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RMS-ASSOC-PRIN-BOND." sheetId="1" r:id="rId4"/>
    <sheet state="visible" name="ACCT." sheetId="2" r:id="rId5"/>
    <sheet state="visible" name="FARMS-FD-SIDE." sheetId="3" r:id="rId6"/>
    <sheet state="visible" name="FARMS-ACCT-DATA." sheetId="4" r:id="rId7"/>
    <sheet state="visible" name="SYMBOL." sheetId="5" r:id="rId8"/>
    <sheet state="visible" name="USGLACT." sheetId="6" r:id="rId9"/>
    <sheet state="visible" name="GLACCT." sheetId="7" r:id="rId10"/>
    <sheet state="visible" name="FARMS-CASE." sheetId="8" r:id="rId11"/>
    <sheet state="visible" name="FARMS-EQUITY." sheetId="9" r:id="rId12"/>
    <sheet state="visible" name="GLBLKC." sheetId="10" r:id="rId13"/>
    <sheet state="visible" name="GLBLKD." sheetId="11" r:id="rId14"/>
    <sheet state="visible" name="GL-MSTACCT." sheetId="12" r:id="rId15"/>
    <sheet state="visible" name="GLACCTC." sheetId="13" r:id="rId16"/>
    <sheet state="visible" name="GLMSTR." sheetId="14" r:id="rId17"/>
    <sheet state="visible" name="FARMS-MALLOT." sheetId="15" r:id="rId18"/>
    <sheet state="visible" name="FARMS-MALLOT-OBLGN." sheetId="16" r:id="rId19"/>
    <sheet state="visible" name="EQPMTS." sheetId="17" r:id="rId20"/>
    <sheet state="visible" name="FARMS-EQTYRVRS." sheetId="18" r:id="rId21"/>
    <sheet state="visible" name="FARMS-CK-INFO." sheetId="19" r:id="rId22"/>
    <sheet state="visible" name="FARMS-CK-INFO-FRADS." sheetId="20" r:id="rId23"/>
    <sheet state="visible" name="Formatted txt file" sheetId="21" r:id="rId24"/>
    <sheet state="visible" name="GLOVA." sheetId="22" r:id="rId25"/>
    <sheet state="visible" name="FARMS-CLIENT." sheetId="23" r:id="rId26"/>
    <sheet state="visible" name="headers" sheetId="24" r:id="rId27"/>
    <sheet state="visible" name="fips" sheetId="25" r:id="rId28"/>
    <sheet state="visible" name="all headers count" sheetId="26" r:id="rId29"/>
    <sheet state="visible" name="random stuff" sheetId="27" r:id="rId30"/>
    <sheet state="visible" name="Copy of all headers count" sheetId="28" r:id="rId31"/>
    <sheet state="visible" name="Raw" sheetId="29" r:id="rId32"/>
  </sheets>
  <definedNames>
    <definedName hidden="1" localSheetId="20" name="Z_409A5064_376D_4855_973A_F2E64D489A57_.wvu.FilterData">'Formatted txt file'!$A$1:$J$3299</definedName>
  </definedNames>
  <calcPr/>
  <customWorkbookViews>
    <customWorkbookView activeSheetId="0" maximized="1" windowHeight="0" windowWidth="0" guid="{409A5064-376D-4855-973A-F2E64D489A57}" name="Filter 1"/>
  </customWorkbookViews>
</workbook>
</file>

<file path=xl/sharedStrings.xml><?xml version="1.0" encoding="utf-8"?>
<sst xmlns="http://schemas.openxmlformats.org/spreadsheetml/2006/main" count="40374" uniqueCount="14885">
  <si>
    <t>BOND-CDE</t>
  </si>
  <si>
    <t>INT-UNPD-DUE-BOND-ACCTS</t>
  </si>
  <si>
    <t>PRIN-UNPD-DUE-BOND-ACCTS</t>
  </si>
  <si>
    <t>INT-NEXT-INSTLMT-BOND-ACCTS</t>
  </si>
  <si>
    <t>PRIN-NEXT-INSTLMT-BOND-ACCTS</t>
  </si>
  <si>
    <t>INT-ON-DELQ-PRIN</t>
  </si>
  <si>
    <t>9(1)</t>
  </si>
  <si>
    <t>S9(7)V99</t>
  </si>
  <si>
    <t>1 digit Random numbers from 0-9</t>
  </si>
  <si>
    <t>12% of the PRIN-UNPD-DUE-BOND-ACCTS</t>
  </si>
  <si>
    <t>Ranging from 0.00-99999.99 with 0's added to reach 0000000.00</t>
  </si>
  <si>
    <t>1/12 of the INT-UNPD-DUE-BOND-ACCTS</t>
  </si>
  <si>
    <t>1/12 of the PRIN-UNPD-DUE-BOND-ACCTS</t>
  </si>
  <si>
    <t>Ranging from 0.00-999.99 with 0's added to reach 0000000.00</t>
  </si>
  <si>
    <t>9(4).</t>
  </si>
  <si>
    <t>XX.</t>
  </si>
  <si>
    <t>9(12)V99</t>
  </si>
  <si>
    <t>X.</t>
  </si>
  <si>
    <t>Acct number is 7000-7999</t>
  </si>
  <si>
    <t>A randomly generated number 2 digits long</t>
  </si>
  <si>
    <t>2 random letters</t>
  </si>
  <si>
    <t>Randomly generated numbers that randomly are 2-6 digits long with  2 decimals at the end. padded to reach 12 digits with 2 decimals.</t>
  </si>
  <si>
    <t>Randomly alternating between S,D,L,C,B</t>
  </si>
  <si>
    <t>ACCT</t>
  </si>
  <si>
    <t>SUB-ACCT</t>
  </si>
  <si>
    <t>OBJ-CLS</t>
  </si>
  <si>
    <t>AMT</t>
  </si>
  <si>
    <t>DR-CR</t>
  </si>
  <si>
    <t>RT</t>
  </si>
  <si>
    <t>S</t>
  </si>
  <si>
    <t>LR</t>
  </si>
  <si>
    <t>D</t>
  </si>
  <si>
    <t>CP</t>
  </si>
  <si>
    <t>L</t>
  </si>
  <si>
    <t>SC</t>
  </si>
  <si>
    <t>OZ</t>
  </si>
  <si>
    <t>AG</t>
  </si>
  <si>
    <t>PP</t>
  </si>
  <si>
    <t>GB</t>
  </si>
  <si>
    <t>C</t>
  </si>
  <si>
    <t>WV</t>
  </si>
  <si>
    <t>KB</t>
  </si>
  <si>
    <t>WX</t>
  </si>
  <si>
    <t>KA</t>
  </si>
  <si>
    <t>HO</t>
  </si>
  <si>
    <t>EF</t>
  </si>
  <si>
    <t>OQ</t>
  </si>
  <si>
    <t>BF</t>
  </si>
  <si>
    <t>B</t>
  </si>
  <si>
    <t>TJ</t>
  </si>
  <si>
    <t>RD</t>
  </si>
  <si>
    <t>JI</t>
  </si>
  <si>
    <t>XH</t>
  </si>
  <si>
    <t>LF</t>
  </si>
  <si>
    <t>IN</t>
  </si>
  <si>
    <t>YT</t>
  </si>
  <si>
    <t>DL</t>
  </si>
  <si>
    <t>CD</t>
  </si>
  <si>
    <t>HF</t>
  </si>
  <si>
    <t>TH</t>
  </si>
  <si>
    <t>UN</t>
  </si>
  <si>
    <t>XO</t>
  </si>
  <si>
    <t>CB</t>
  </si>
  <si>
    <t>VP</t>
  </si>
  <si>
    <t>ZZ</t>
  </si>
  <si>
    <t>VK</t>
  </si>
  <si>
    <t>YG</t>
  </si>
  <si>
    <t>JT</t>
  </si>
  <si>
    <t>AZ</t>
  </si>
  <si>
    <t>EI</t>
  </si>
  <si>
    <t>EX</t>
  </si>
  <si>
    <t>AD</t>
  </si>
  <si>
    <t>EG</t>
  </si>
  <si>
    <t>KH</t>
  </si>
  <si>
    <t>PL</t>
  </si>
  <si>
    <t>JG</t>
  </si>
  <si>
    <t>MS</t>
  </si>
  <si>
    <t>GY</t>
  </si>
  <si>
    <t>FU</t>
  </si>
  <si>
    <t>WC</t>
  </si>
  <si>
    <t>AK</t>
  </si>
  <si>
    <t>DC</t>
  </si>
  <si>
    <t>PC</t>
  </si>
  <si>
    <t>EQ</t>
  </si>
  <si>
    <t>QG</t>
  </si>
  <si>
    <t>YN</t>
  </si>
  <si>
    <t>AC</t>
  </si>
  <si>
    <t>FK</t>
  </si>
  <si>
    <t>ZQ</t>
  </si>
  <si>
    <t>FQ</t>
  </si>
  <si>
    <t>ZK</t>
  </si>
  <si>
    <t>GZ</t>
  </si>
  <si>
    <t>QY</t>
  </si>
  <si>
    <t>FH</t>
  </si>
  <si>
    <t>LC</t>
  </si>
  <si>
    <t>UC</t>
  </si>
  <si>
    <t>MM</t>
  </si>
  <si>
    <t>FW</t>
  </si>
  <si>
    <t>WH</t>
  </si>
  <si>
    <t>KF</t>
  </si>
  <si>
    <t>SZ</t>
  </si>
  <si>
    <t>OD</t>
  </si>
  <si>
    <t>JO</t>
  </si>
  <si>
    <t>MO</t>
  </si>
  <si>
    <t>SE</t>
  </si>
  <si>
    <t>ND</t>
  </si>
  <si>
    <t>TE</t>
  </si>
  <si>
    <t>ZH</t>
  </si>
  <si>
    <t>SV</t>
  </si>
  <si>
    <t>YE</t>
  </si>
  <si>
    <t>GW</t>
  </si>
  <si>
    <t>AS</t>
  </si>
  <si>
    <t>BM</t>
  </si>
  <si>
    <t>TQ</t>
  </si>
  <si>
    <t>JR</t>
  </si>
  <si>
    <t>YO</t>
  </si>
  <si>
    <t>YS</t>
  </si>
  <si>
    <t>QN</t>
  </si>
  <si>
    <t>UV</t>
  </si>
  <si>
    <t>UJ</t>
  </si>
  <si>
    <t>ET</t>
  </si>
  <si>
    <t>FS</t>
  </si>
  <si>
    <t>VE</t>
  </si>
  <si>
    <t>ZW</t>
  </si>
  <si>
    <t>AA</t>
  </si>
  <si>
    <t>AF</t>
  </si>
  <si>
    <t>KR</t>
  </si>
  <si>
    <t>PZ</t>
  </si>
  <si>
    <t>SD</t>
  </si>
  <si>
    <t>AP</t>
  </si>
  <si>
    <t>IV</t>
  </si>
  <si>
    <t>PJ</t>
  </si>
  <si>
    <t>BG</t>
  </si>
  <si>
    <t>RM</t>
  </si>
  <si>
    <t>ZJ</t>
  </si>
  <si>
    <t>WY</t>
  </si>
  <si>
    <t>WE</t>
  </si>
  <si>
    <t>LW</t>
  </si>
  <si>
    <t>SP</t>
  </si>
  <si>
    <t>TL</t>
  </si>
  <si>
    <t>CR</t>
  </si>
  <si>
    <t>WA</t>
  </si>
  <si>
    <t>VU</t>
  </si>
  <si>
    <t>LB</t>
  </si>
  <si>
    <t>GX</t>
  </si>
  <si>
    <t>EN</t>
  </si>
  <si>
    <t>WM</t>
  </si>
  <si>
    <t>WK</t>
  </si>
  <si>
    <t>FX</t>
  </si>
  <si>
    <t>RY</t>
  </si>
  <si>
    <t>VF</t>
  </si>
  <si>
    <t>LE</t>
  </si>
  <si>
    <t>EV</t>
  </si>
  <si>
    <t>XE</t>
  </si>
  <si>
    <t>SH</t>
  </si>
  <si>
    <t>JW</t>
  </si>
  <si>
    <t>KQ</t>
  </si>
  <si>
    <t>PK</t>
  </si>
  <si>
    <t>MX</t>
  </si>
  <si>
    <t>UD</t>
  </si>
  <si>
    <t>VA</t>
  </si>
  <si>
    <t>VJ</t>
  </si>
  <si>
    <t>HN</t>
  </si>
  <si>
    <t>BI</t>
  </si>
  <si>
    <t>CH</t>
  </si>
  <si>
    <t>SO</t>
  </si>
  <si>
    <t>QA</t>
  </si>
  <si>
    <t>UT</t>
  </si>
  <si>
    <t>VQ</t>
  </si>
  <si>
    <t>IG</t>
  </si>
  <si>
    <t>MR</t>
  </si>
  <si>
    <t>HL</t>
  </si>
  <si>
    <t>NJ</t>
  </si>
  <si>
    <t>HA</t>
  </si>
  <si>
    <t>ZN</t>
  </si>
  <si>
    <t>HR</t>
  </si>
  <si>
    <t>NS</t>
  </si>
  <si>
    <t>MD</t>
  </si>
  <si>
    <t>SU</t>
  </si>
  <si>
    <t>EA</t>
  </si>
  <si>
    <t>QQ</t>
  </si>
  <si>
    <t>XZ</t>
  </si>
  <si>
    <t>AI</t>
  </si>
  <si>
    <t>NI</t>
  </si>
  <si>
    <t>IU</t>
  </si>
  <si>
    <t>CV</t>
  </si>
  <si>
    <t>RB</t>
  </si>
  <si>
    <t>FT</t>
  </si>
  <si>
    <t>RF</t>
  </si>
  <si>
    <t>BX</t>
  </si>
  <si>
    <t>VH</t>
  </si>
  <si>
    <t>OC</t>
  </si>
  <si>
    <t>QP</t>
  </si>
  <si>
    <t>RR</t>
  </si>
  <si>
    <t>TZ</t>
  </si>
  <si>
    <t>UI</t>
  </si>
  <si>
    <t>RC</t>
  </si>
  <si>
    <t>BQ</t>
  </si>
  <si>
    <t>NM</t>
  </si>
  <si>
    <t>WN</t>
  </si>
  <si>
    <t>IM</t>
  </si>
  <si>
    <t>YL</t>
  </si>
  <si>
    <t>MA</t>
  </si>
  <si>
    <t>VV</t>
  </si>
  <si>
    <t>BY</t>
  </si>
  <si>
    <t>OS</t>
  </si>
  <si>
    <t>GP</t>
  </si>
  <si>
    <t>BV</t>
  </si>
  <si>
    <t>FO</t>
  </si>
  <si>
    <t>MK</t>
  </si>
  <si>
    <t>AL</t>
  </si>
  <si>
    <t>ZR</t>
  </si>
  <si>
    <t>VO</t>
  </si>
  <si>
    <t>NQ</t>
  </si>
  <si>
    <t>AV</t>
  </si>
  <si>
    <t>WI</t>
  </si>
  <si>
    <t>KJ</t>
  </si>
  <si>
    <t>PE</t>
  </si>
  <si>
    <t>GH</t>
  </si>
  <si>
    <t>AR</t>
  </si>
  <si>
    <t>HD</t>
  </si>
  <si>
    <t>UL</t>
  </si>
  <si>
    <t>FB</t>
  </si>
  <si>
    <t>GL</t>
  </si>
  <si>
    <t>LZ</t>
  </si>
  <si>
    <t>MZ</t>
  </si>
  <si>
    <t>DO</t>
  </si>
  <si>
    <t>DJ</t>
  </si>
  <si>
    <t>KS</t>
  </si>
  <si>
    <t>UZ</t>
  </si>
  <si>
    <t>UA</t>
  </si>
  <si>
    <t>KI</t>
  </si>
  <si>
    <t>SY</t>
  </si>
  <si>
    <t>ML</t>
  </si>
  <si>
    <t>DS</t>
  </si>
  <si>
    <t>VR</t>
  </si>
  <si>
    <t>GV</t>
  </si>
  <si>
    <t>UR</t>
  </si>
  <si>
    <t>HQ</t>
  </si>
  <si>
    <t>MB</t>
  </si>
  <si>
    <t>ME</t>
  </si>
  <si>
    <t>CL</t>
  </si>
  <si>
    <t>IW</t>
  </si>
  <si>
    <t>IB</t>
  </si>
  <si>
    <t>JM</t>
  </si>
  <si>
    <t>DG</t>
  </si>
  <si>
    <t>YV</t>
  </si>
  <si>
    <t>EE</t>
  </si>
  <si>
    <t>KE</t>
  </si>
  <si>
    <t>XQ</t>
  </si>
  <si>
    <t>PA</t>
  </si>
  <si>
    <t>JH</t>
  </si>
  <si>
    <t>HS</t>
  </si>
  <si>
    <t>HX</t>
  </si>
  <si>
    <t>FR</t>
  </si>
  <si>
    <t>XC</t>
  </si>
  <si>
    <t>IJ</t>
  </si>
  <si>
    <t>NR</t>
  </si>
  <si>
    <t>NL</t>
  </si>
  <si>
    <t>MG</t>
  </si>
  <si>
    <t>UO</t>
  </si>
  <si>
    <t>KV</t>
  </si>
  <si>
    <t>YM</t>
  </si>
  <si>
    <t>PM</t>
  </si>
  <si>
    <t>KC</t>
  </si>
  <si>
    <t>ZA</t>
  </si>
  <si>
    <t>HM</t>
  </si>
  <si>
    <t>PD</t>
  </si>
  <si>
    <t>PR</t>
  </si>
  <si>
    <t>BB</t>
  </si>
  <si>
    <t>GQ</t>
  </si>
  <si>
    <t>GE</t>
  </si>
  <si>
    <t>YD</t>
  </si>
  <si>
    <t>JL</t>
  </si>
  <si>
    <t>IL</t>
  </si>
  <si>
    <t>TT</t>
  </si>
  <si>
    <t>WS</t>
  </si>
  <si>
    <t>VN</t>
  </si>
  <si>
    <t>OB</t>
  </si>
  <si>
    <t>EL</t>
  </si>
  <si>
    <t>VG</t>
  </si>
  <si>
    <t>NK</t>
  </si>
  <si>
    <t>TA</t>
  </si>
  <si>
    <t>XJ</t>
  </si>
  <si>
    <t>QF</t>
  </si>
  <si>
    <t>ZY</t>
  </si>
  <si>
    <t>KK</t>
  </si>
  <si>
    <t>EO</t>
  </si>
  <si>
    <t>LP</t>
  </si>
  <si>
    <t>NV</t>
  </si>
  <si>
    <t>TM</t>
  </si>
  <si>
    <t>IS</t>
  </si>
  <si>
    <t>CU</t>
  </si>
  <si>
    <t>WW</t>
  </si>
  <si>
    <t>WJ</t>
  </si>
  <si>
    <t>HJ</t>
  </si>
  <si>
    <t>TX</t>
  </si>
  <si>
    <t>KW</t>
  </si>
  <si>
    <t>HE</t>
  </si>
  <si>
    <t>DF</t>
  </si>
  <si>
    <t>UK</t>
  </si>
  <si>
    <t>JJ</t>
  </si>
  <si>
    <t>KL</t>
  </si>
  <si>
    <t>TB</t>
  </si>
  <si>
    <t>PI</t>
  </si>
  <si>
    <t>RW</t>
  </si>
  <si>
    <t>LD</t>
  </si>
  <si>
    <t>WL</t>
  </si>
  <si>
    <t>ZS</t>
  </si>
  <si>
    <t>YQ</t>
  </si>
  <si>
    <t>KN</t>
  </si>
  <si>
    <t>JQ</t>
  </si>
  <si>
    <t>CZ</t>
  </si>
  <si>
    <t>KD</t>
  </si>
  <si>
    <t>TF</t>
  </si>
  <si>
    <t>OH</t>
  </si>
  <si>
    <t>FL</t>
  </si>
  <si>
    <t>BR</t>
  </si>
  <si>
    <t>NO</t>
  </si>
  <si>
    <t>BJ</t>
  </si>
  <si>
    <t>XL</t>
  </si>
  <si>
    <t>QK</t>
  </si>
  <si>
    <t>RL</t>
  </si>
  <si>
    <t>RE</t>
  </si>
  <si>
    <t>MF</t>
  </si>
  <si>
    <t>OE</t>
  </si>
  <si>
    <t>HP</t>
  </si>
  <si>
    <t>TR</t>
  </si>
  <si>
    <t>DE</t>
  </si>
  <si>
    <t>XM</t>
  </si>
  <si>
    <t>GA</t>
  </si>
  <si>
    <t>RX</t>
  </si>
  <si>
    <t>IO</t>
  </si>
  <si>
    <t>IQ</t>
  </si>
  <si>
    <t>HB</t>
  </si>
  <si>
    <t>OM</t>
  </si>
  <si>
    <t>GD</t>
  </si>
  <si>
    <t>YU</t>
  </si>
  <si>
    <t>EZ</t>
  </si>
  <si>
    <t>EC</t>
  </si>
  <si>
    <t>CK</t>
  </si>
  <si>
    <t>OW</t>
  </si>
  <si>
    <t>OX</t>
  </si>
  <si>
    <t>FF</t>
  </si>
  <si>
    <t>AW</t>
  </si>
  <si>
    <t>QE</t>
  </si>
  <si>
    <t>BN</t>
  </si>
  <si>
    <t>BZ</t>
  </si>
  <si>
    <t>MJ</t>
  </si>
  <si>
    <t>RS</t>
  </si>
  <si>
    <t>GI</t>
  </si>
  <si>
    <t>QZ</t>
  </si>
  <si>
    <t>ST</t>
  </si>
  <si>
    <t>NE</t>
  </si>
  <si>
    <t>TP</t>
  </si>
  <si>
    <t>EY</t>
  </si>
  <si>
    <t>AJ</t>
  </si>
  <si>
    <t>JK</t>
  </si>
  <si>
    <t>JP</t>
  </si>
  <si>
    <t>WB</t>
  </si>
  <si>
    <t>LY</t>
  </si>
  <si>
    <t>NN</t>
  </si>
  <si>
    <t>WG</t>
  </si>
  <si>
    <t>GO</t>
  </si>
  <si>
    <t>KM</t>
  </si>
  <si>
    <t>XB</t>
  </si>
  <si>
    <t>WO</t>
  </si>
  <si>
    <t>MC</t>
  </si>
  <si>
    <t>KY</t>
  </si>
  <si>
    <t>VZ</t>
  </si>
  <si>
    <t>WR</t>
  </si>
  <si>
    <t>LK</t>
  </si>
  <si>
    <t>ES</t>
  </si>
  <si>
    <t>XF</t>
  </si>
  <si>
    <t>II</t>
  </si>
  <si>
    <t>XR</t>
  </si>
  <si>
    <t>YP</t>
  </si>
  <si>
    <t>DV</t>
  </si>
  <si>
    <t>FC</t>
  </si>
  <si>
    <t>ZX</t>
  </si>
  <si>
    <t>DD</t>
  </si>
  <si>
    <t>XT</t>
  </si>
  <si>
    <t>ER</t>
  </si>
  <si>
    <t>UG</t>
  </si>
  <si>
    <t>HZ</t>
  </si>
  <si>
    <t>OT</t>
  </si>
  <si>
    <t>VL</t>
  </si>
  <si>
    <t>EK</t>
  </si>
  <si>
    <t>QC</t>
  </si>
  <si>
    <t>ZG</t>
  </si>
  <si>
    <t>XK</t>
  </si>
  <si>
    <t>BC</t>
  </si>
  <si>
    <t>RZ</t>
  </si>
  <si>
    <t>QU</t>
  </si>
  <si>
    <t>GS</t>
  </si>
  <si>
    <t>DW</t>
  </si>
  <si>
    <t>VS</t>
  </si>
  <si>
    <t>UE</t>
  </si>
  <si>
    <t>FI</t>
  </si>
  <si>
    <t>PN</t>
  </si>
  <si>
    <t>ZP</t>
  </si>
  <si>
    <t>CO</t>
  </si>
  <si>
    <t>RP</t>
  </si>
  <si>
    <t>JZ</t>
  </si>
  <si>
    <t>DP</t>
  </si>
  <si>
    <t>PT</t>
  </si>
  <si>
    <t>VI</t>
  </si>
  <si>
    <t>FN</t>
  </si>
  <si>
    <t>XN</t>
  </si>
  <si>
    <t>ZT</t>
  </si>
  <si>
    <t>VC</t>
  </si>
  <si>
    <t>SM</t>
  </si>
  <si>
    <t>TO</t>
  </si>
  <si>
    <t>JB</t>
  </si>
  <si>
    <t>CY</t>
  </si>
  <si>
    <t>HU</t>
  </si>
  <si>
    <t>YF</t>
  </si>
  <si>
    <t>YR</t>
  </si>
  <si>
    <t>LQ</t>
  </si>
  <si>
    <t>XU</t>
  </si>
  <si>
    <t>LT</t>
  </si>
  <si>
    <t>BW</t>
  </si>
  <si>
    <t>BL</t>
  </si>
  <si>
    <t>TI</t>
  </si>
  <si>
    <t>QD</t>
  </si>
  <si>
    <t>JD</t>
  </si>
  <si>
    <t>TK</t>
  </si>
  <si>
    <t>LU</t>
  </si>
  <si>
    <t>SR</t>
  </si>
  <si>
    <t>QW</t>
  </si>
  <si>
    <t>PU</t>
  </si>
  <si>
    <t>YY</t>
  </si>
  <si>
    <t>AB</t>
  </si>
  <si>
    <t>OJ</t>
  </si>
  <si>
    <t>UQ</t>
  </si>
  <si>
    <t>TS</t>
  </si>
  <si>
    <t>AN</t>
  </si>
  <si>
    <t>UB</t>
  </si>
  <si>
    <t>EP</t>
  </si>
  <si>
    <t>LJ</t>
  </si>
  <si>
    <t>LL</t>
  </si>
  <si>
    <t>SK</t>
  </si>
  <si>
    <t>UM</t>
  </si>
  <si>
    <t>OV</t>
  </si>
  <si>
    <t>ON</t>
  </si>
  <si>
    <t>QL</t>
  </si>
  <si>
    <t>GC</t>
  </si>
  <si>
    <t>FV</t>
  </si>
  <si>
    <t>CM</t>
  </si>
  <si>
    <t>RN</t>
  </si>
  <si>
    <t>VD</t>
  </si>
  <si>
    <t>ZC</t>
  </si>
  <si>
    <t>ZI</t>
  </si>
  <si>
    <t>SA</t>
  </si>
  <si>
    <t>ID</t>
  </si>
  <si>
    <t>RG</t>
  </si>
  <si>
    <t>HW</t>
  </si>
  <si>
    <t>SQ</t>
  </si>
  <si>
    <t>XA</t>
  </si>
  <si>
    <t>MU</t>
  </si>
  <si>
    <t>PB</t>
  </si>
  <si>
    <t>KX</t>
  </si>
  <si>
    <t>TC</t>
  </si>
  <si>
    <t>PH</t>
  </si>
  <si>
    <t>JN</t>
  </si>
  <si>
    <t>QT</t>
  </si>
  <si>
    <t>LM</t>
  </si>
  <si>
    <t>DX</t>
  </si>
  <si>
    <t>KP</t>
  </si>
  <si>
    <t>IY</t>
  </si>
  <si>
    <t>ED</t>
  </si>
  <si>
    <t>BH</t>
  </si>
  <si>
    <t>XW</t>
  </si>
  <si>
    <t>JX</t>
  </si>
  <si>
    <t>TN</t>
  </si>
  <si>
    <t>DZ</t>
  </si>
  <si>
    <t>BD</t>
  </si>
  <si>
    <t>CG</t>
  </si>
  <si>
    <t>XI</t>
  </si>
  <si>
    <t>UY</t>
  </si>
  <si>
    <t>LG</t>
  </si>
  <si>
    <t>WU</t>
  </si>
  <si>
    <t>SI</t>
  </si>
  <si>
    <t>UF</t>
  </si>
  <si>
    <t>MH</t>
  </si>
  <si>
    <t>YK</t>
  </si>
  <si>
    <t>ZD</t>
  </si>
  <si>
    <t>WT</t>
  </si>
  <si>
    <t>IC</t>
  </si>
  <si>
    <t>XX</t>
  </si>
  <si>
    <t>CJ</t>
  </si>
  <si>
    <t>NA</t>
  </si>
  <si>
    <t>VT</t>
  </si>
  <si>
    <t>OY</t>
  </si>
  <si>
    <t>DI</t>
  </si>
  <si>
    <t>XP</t>
  </si>
  <si>
    <t>DH</t>
  </si>
  <si>
    <t>NP</t>
  </si>
  <si>
    <t>TW</t>
  </si>
  <si>
    <t>KG</t>
  </si>
  <si>
    <t>FE</t>
  </si>
  <si>
    <t>RI</t>
  </si>
  <si>
    <t>QR</t>
  </si>
  <si>
    <t>JY</t>
  </si>
  <si>
    <t>YW</t>
  </si>
  <si>
    <t>QI</t>
  </si>
  <si>
    <t>RH</t>
  </si>
  <si>
    <t>HH</t>
  </si>
  <si>
    <t>WZ</t>
  </si>
  <si>
    <t>KT</t>
  </si>
  <si>
    <t>BP</t>
  </si>
  <si>
    <t>FJ</t>
  </si>
  <si>
    <t>HK</t>
  </si>
  <si>
    <t>YH</t>
  </si>
  <si>
    <t>FY</t>
  </si>
  <si>
    <t>SX</t>
  </si>
  <si>
    <t>KZ</t>
  </si>
  <si>
    <t>CE</t>
  </si>
  <si>
    <t>TG</t>
  </si>
  <si>
    <t>DB</t>
  </si>
  <si>
    <t>NZ</t>
  </si>
  <si>
    <t>NG</t>
  </si>
  <si>
    <t>YJ</t>
  </si>
  <si>
    <t>AX</t>
  </si>
  <si>
    <t>WD</t>
  </si>
  <si>
    <t>NU</t>
  </si>
  <si>
    <t>GG</t>
  </si>
  <si>
    <t>YB</t>
  </si>
  <si>
    <t>SG</t>
  </si>
  <si>
    <t>YA</t>
  </si>
  <si>
    <t>BA</t>
  </si>
  <si>
    <t>OA</t>
  </si>
  <si>
    <t>XV</t>
  </si>
  <si>
    <t>YI</t>
  </si>
  <si>
    <t>MT</t>
  </si>
  <si>
    <t>GF</t>
  </si>
  <si>
    <t>XY</t>
  </si>
  <si>
    <t>OF</t>
  </si>
  <si>
    <t>OO</t>
  </si>
  <si>
    <t>NH</t>
  </si>
  <si>
    <t>EW</t>
  </si>
  <si>
    <t>FD</t>
  </si>
  <si>
    <t>PQ</t>
  </si>
  <si>
    <t>OR</t>
  </si>
  <si>
    <t>S9(10)V99</t>
  </si>
  <si>
    <t>Randomly generated numbers ranging from 0-99999.99  that randomly alternate between positive and negative</t>
  </si>
  <si>
    <t>ALTMT</t>
  </si>
  <si>
    <t>ALTMT-1ST-ACCTG-PRD</t>
  </si>
  <si>
    <t>ALTMT-2ND-ACCTG-PRD</t>
  </si>
  <si>
    <t>ALTMT-3RD-ACCTG-PRD</t>
  </si>
  <si>
    <t>ALTMT-4TH-ACCTG-PRD</t>
  </si>
  <si>
    <t>9(2).</t>
  </si>
  <si>
    <t>9(1).</t>
  </si>
  <si>
    <t>9(2)V9(4).</t>
  </si>
  <si>
    <t>V9(6).</t>
  </si>
  <si>
    <t>9(06).</t>
  </si>
  <si>
    <t>9(3).</t>
  </si>
  <si>
    <t>X(1).</t>
  </si>
  <si>
    <t>S9(8)V99</t>
  </si>
  <si>
    <t>X(01).</t>
  </si>
  <si>
    <t>9(6).</t>
  </si>
  <si>
    <t>9(01).</t>
  </si>
  <si>
    <t>2 random numbers ranging from 00-99</t>
  </si>
  <si>
    <t>FOR FD-CDE-2, FD-CDE-3rd, FDE-CDE 4th: Randomly generated 1000 Unique numbers, seperated them out 2 digits, 1 digit, 1 digit. so when combined, these are a unique field. these numbers are consistant for a few different tables</t>
  </si>
  <si>
    <t>These numbers range from 60-68.</t>
  </si>
  <si>
    <t>2 whole numbers and a decimal place, followed by 4 numbers after the decimal place, ranging from 00.0000-10.9999</t>
  </si>
  <si>
    <t>The percentage from int-rate-note in decimal form</t>
  </si>
  <si>
    <t>1 random number ranging from 0-9</t>
  </si>
  <si>
    <t>MMDDYY. A random date from 01/01/2013-01/01/2023.</t>
  </si>
  <si>
    <t>3 random numbers ranging from 000-999</t>
  </si>
  <si>
    <t>The values for this are 'A', 'B', 'C', 'D', 'E', F', 'G'.</t>
  </si>
  <si>
    <t>Randomly generated numbers with following specifications: Numbers randomly alternating between positive and negative. Decimal ranges from 0-99. Whole numbers randomly alternate between 3-6 digits in length.</t>
  </si>
  <si>
    <t xml:space="preserve">The values of this are 'F', 'R', 'W', 'O'. </t>
  </si>
  <si>
    <t>2 whole numbers and a decimal place, followed by 4 numbers after the decimal place, ranging from 00.0000-99.9999</t>
  </si>
  <si>
    <t>The interest rate from INT-RATE-PREV divided by 100</t>
  </si>
  <si>
    <t>LN-NBR</t>
  </si>
  <si>
    <t>FD-CDE-2</t>
  </si>
  <si>
    <t>FD-CDE-3RD</t>
  </si>
  <si>
    <t>FD-CDE-4TH</t>
  </si>
  <si>
    <t>KIND-CDE-LN</t>
  </si>
  <si>
    <t>INT-RATE-NOTE</t>
  </si>
  <si>
    <t>INT-RATE-NOTE-1ST</t>
  </si>
  <si>
    <t>PYMT-TYP-CDE</t>
  </si>
  <si>
    <t>DIR-PYMT-CDE</t>
  </si>
  <si>
    <t>DTE-AMORTN-EFCTV</t>
  </si>
  <si>
    <t>DSTR-TYP-CDE</t>
  </si>
  <si>
    <t>FY-DSTR-DCLRD</t>
  </si>
  <si>
    <t>DSTR-DCLRD-NBR</t>
  </si>
  <si>
    <t>MRG-CNTRL</t>
  </si>
  <si>
    <t>DOCMT-TYP-CDE</t>
  </si>
  <si>
    <t>DTE-OBLGN-LN</t>
  </si>
  <si>
    <t>ASSTNC-TYP-CDE</t>
  </si>
  <si>
    <t>LN-AMT-OBLGN</t>
  </si>
  <si>
    <t>BEGNG-FRMR-RNCHR-CDE</t>
  </si>
  <si>
    <t>COLLTL-CDE</t>
  </si>
  <si>
    <t>CPN-PROCG-DTE</t>
  </si>
  <si>
    <t>CASE-NBR-CHNG-CDE</t>
  </si>
  <si>
    <t>PYMT-ASSTNC-METH-CDE</t>
  </si>
  <si>
    <t>INT-RATE-PREV</t>
  </si>
  <si>
    <t>INT-RATE-PREV-REDFND</t>
  </si>
  <si>
    <t>F</t>
  </si>
  <si>
    <t>E</t>
  </si>
  <si>
    <t>R</t>
  </si>
  <si>
    <t>A</t>
  </si>
  <si>
    <t>W</t>
  </si>
  <si>
    <t>O</t>
  </si>
  <si>
    <t>G</t>
  </si>
  <si>
    <t>X(20).</t>
  </si>
  <si>
    <t>X(4).</t>
  </si>
  <si>
    <t>Randomly generated letters (capital) and numbers. Length 20.</t>
  </si>
  <si>
    <t>Randomly generated 2 digit numbers ranging from 10-99.</t>
  </si>
  <si>
    <t>Randomly generated letters (capital) and numbers. Length 2.</t>
  </si>
  <si>
    <t>Randomly generated letters (capital) and numbers. Length 4.</t>
  </si>
  <si>
    <t>Values are 'C', 'L', 'S', 'B', 'D'. They randomly alternate. All letters are capitalized.</t>
  </si>
  <si>
    <t>Randomly generated dates in the formatt MMDDYY ranging from 01/01/2013-01/01/2023.</t>
  </si>
  <si>
    <t>TRSRY-SYM</t>
  </si>
  <si>
    <t>ACCT-MO</t>
  </si>
  <si>
    <t>DEPT-NBR</t>
  </si>
  <si>
    <t>SRVC-AGCY</t>
  </si>
  <si>
    <t>AGCY</t>
  </si>
  <si>
    <t>ACCT-STATN</t>
  </si>
  <si>
    <t>TRNSMT</t>
  </si>
  <si>
    <t>TRNSMT-DTE</t>
  </si>
  <si>
    <t>OLHWH9HT6ARRMQF9HEW7</t>
  </si>
  <si>
    <t>EB</t>
  </si>
  <si>
    <t>SW</t>
  </si>
  <si>
    <t>U8P3</t>
  </si>
  <si>
    <t>10TDCGTX20FVER13K1QX</t>
  </si>
  <si>
    <t>C5YU</t>
  </si>
  <si>
    <t>SDAARTWWC8BOAAE5VND7</t>
  </si>
  <si>
    <t>TD</t>
  </si>
  <si>
    <t>KU7U</t>
  </si>
  <si>
    <t>65PEPQXZT2SFWC9VLH1M</t>
  </si>
  <si>
    <t>EH</t>
  </si>
  <si>
    <t>DJXD</t>
  </si>
  <si>
    <t>7YKH0X5GTJT3UYG33O89</t>
  </si>
  <si>
    <t>EC9A</t>
  </si>
  <si>
    <t>XPPKXGDNDKMZGNCIYLW0</t>
  </si>
  <si>
    <t>07MB</t>
  </si>
  <si>
    <t>3AHXX82U76OHINTAE8T5</t>
  </si>
  <si>
    <t>WF</t>
  </si>
  <si>
    <t>DEWG</t>
  </si>
  <si>
    <t>QS9CADEIDZFCGQDVEV8G</t>
  </si>
  <si>
    <t>AE</t>
  </si>
  <si>
    <t>L8PL</t>
  </si>
  <si>
    <t>8YKD6B0OY9UMQH0XY243</t>
  </si>
  <si>
    <t>RQ</t>
  </si>
  <si>
    <t>BOV2</t>
  </si>
  <si>
    <t>2WFE9CBSRHQAWNYEGW86</t>
  </si>
  <si>
    <t>LV</t>
  </si>
  <si>
    <t>2BK2</t>
  </si>
  <si>
    <t>6J8FS22GAS77M7LBUYXX</t>
  </si>
  <si>
    <t>NQZ8</t>
  </si>
  <si>
    <t>XPQS3JL0YBATCWDF99JC</t>
  </si>
  <si>
    <t>7VLP</t>
  </si>
  <si>
    <t>B3YQ48IGWARS1XVU547P</t>
  </si>
  <si>
    <t>7YXM</t>
  </si>
  <si>
    <t>BJ6WRUN0E9Y2GTE4F7A0</t>
  </si>
  <si>
    <t>NT</t>
  </si>
  <si>
    <t>OL</t>
  </si>
  <si>
    <t>3GKJ</t>
  </si>
  <si>
    <t>I8B2GQYWQZ7918O2HBM9</t>
  </si>
  <si>
    <t>RJ</t>
  </si>
  <si>
    <t>UAAD</t>
  </si>
  <si>
    <t>EVVZMWZQFPAM7NT8XOQA</t>
  </si>
  <si>
    <t>7PAY</t>
  </si>
  <si>
    <t>NAXP6BH3LNZBY04NS7Q5</t>
  </si>
  <si>
    <t>ANP7</t>
  </si>
  <si>
    <t>V882ZFKON8K95RVUM022</t>
  </si>
  <si>
    <t>GJ</t>
  </si>
  <si>
    <t>HA2Y</t>
  </si>
  <si>
    <t>N3FOI36QGN9L1WSVRN9Y</t>
  </si>
  <si>
    <t>MV</t>
  </si>
  <si>
    <t>Q16E</t>
  </si>
  <si>
    <t>UVAZ3U422O0WDAOW3NCG</t>
  </si>
  <si>
    <t>FA</t>
  </si>
  <si>
    <t>KREG</t>
  </si>
  <si>
    <t>9B5GQVNOT2WIU9S7PUX3</t>
  </si>
  <si>
    <t>DQ</t>
  </si>
  <si>
    <t>55OL</t>
  </si>
  <si>
    <t>5FIQGTLSCQWBY2C9RN53</t>
  </si>
  <si>
    <t>CSOX</t>
  </si>
  <si>
    <t>LT4PU7F2Y78QNZTWV0PJ</t>
  </si>
  <si>
    <t>BK</t>
  </si>
  <si>
    <t>S5Y5</t>
  </si>
  <si>
    <t>DRMZBOMI9UI22262MLZU</t>
  </si>
  <si>
    <t>ZM</t>
  </si>
  <si>
    <t>XPP2</t>
  </si>
  <si>
    <t>TM3ENHH6KREZV08BP1II</t>
  </si>
  <si>
    <t>VX</t>
  </si>
  <si>
    <t>Q205</t>
  </si>
  <si>
    <t>DK9I2D9U9HP8P1JHA8VT</t>
  </si>
  <si>
    <t>3KQR</t>
  </si>
  <si>
    <t>7XNQPKGSEP49Y3UK9FQ5</t>
  </si>
  <si>
    <t>CAHH</t>
  </si>
  <si>
    <t>1XN5EPBWXWQDRTYC52UB</t>
  </si>
  <si>
    <t>1WIY</t>
  </si>
  <si>
    <t>DJ95DZGGCDP7G455NJ93</t>
  </si>
  <si>
    <t>5CWW</t>
  </si>
  <si>
    <t>QKDX053B3IB54MMQU8TH</t>
  </si>
  <si>
    <t>QST1</t>
  </si>
  <si>
    <t>4G8FS7IY2EPYIDJ81KAR</t>
  </si>
  <si>
    <t>2NIT</t>
  </si>
  <si>
    <t>M28K4GJBWI1CWQVLIEHB</t>
  </si>
  <si>
    <t>JG5P</t>
  </si>
  <si>
    <t>3WKS6VBPUNSEAFWTM00Z</t>
  </si>
  <si>
    <t>JCR1</t>
  </si>
  <si>
    <t>NZMON3RHVVLJCR7YCMBO</t>
  </si>
  <si>
    <t>KV27</t>
  </si>
  <si>
    <t>FTK007M5PMENWDGZ7HJP</t>
  </si>
  <si>
    <t>7Q8N</t>
  </si>
  <si>
    <t>O3H3YV238ZA0EJC78KKE</t>
  </si>
  <si>
    <t>FZU1</t>
  </si>
  <si>
    <t>WK551M7VBLX01SV13C8Y</t>
  </si>
  <si>
    <t>DY</t>
  </si>
  <si>
    <t>ZFW6</t>
  </si>
  <si>
    <t>LN3OD66G5U4T3X3IRAET</t>
  </si>
  <si>
    <t>H3OP</t>
  </si>
  <si>
    <t>2H7DW7F8LRO8BHWCEL1Y</t>
  </si>
  <si>
    <t>BT</t>
  </si>
  <si>
    <t>0TM9</t>
  </si>
  <si>
    <t>V32U4D87MO5UH2EAXM4J</t>
  </si>
  <si>
    <t>KMQ8</t>
  </si>
  <si>
    <t>BRU99OL13HRY1YXCFN8X</t>
  </si>
  <si>
    <t>16TV</t>
  </si>
  <si>
    <t>T81KXL1ZHTOKP67TAE2L</t>
  </si>
  <si>
    <t>WCLR</t>
  </si>
  <si>
    <t>QP8S0E8TFZMZ1WMY8K95</t>
  </si>
  <si>
    <t>WK1Q</t>
  </si>
  <si>
    <t>54KEJ55YXHLSSQAA9ZS0</t>
  </si>
  <si>
    <t>FLFR</t>
  </si>
  <si>
    <t>DZW4TI5LBVKB3KDB5SWZ</t>
  </si>
  <si>
    <t>CL9H</t>
  </si>
  <si>
    <t>5T8HXPPZB0UN2KOVQSON</t>
  </si>
  <si>
    <t>NW</t>
  </si>
  <si>
    <t>SC7H</t>
  </si>
  <si>
    <t>BT29N7TA32UJRZ6QUKEK</t>
  </si>
  <si>
    <t>7H3H</t>
  </si>
  <si>
    <t>LT1LLTGPAUSSOT72OP43</t>
  </si>
  <si>
    <t>QPRW</t>
  </si>
  <si>
    <t>H56JR7ZQYHHDXINPWNR7</t>
  </si>
  <si>
    <t>XDU5</t>
  </si>
  <si>
    <t>4C9CHGG9LF20YZ5SKSYO</t>
  </si>
  <si>
    <t>SL</t>
  </si>
  <si>
    <t>L73N</t>
  </si>
  <si>
    <t>K0BUTS7S3NHSBPL6NFSG</t>
  </si>
  <si>
    <t>5MW3</t>
  </si>
  <si>
    <t>8R71FI9J8Y4V0EQ6NZ6O</t>
  </si>
  <si>
    <t>T8K1</t>
  </si>
  <si>
    <t>DSVXE2TYU7D6442PS6MN</t>
  </si>
  <si>
    <t>JCGS</t>
  </si>
  <si>
    <t>6UKXCK8LDOVMNX4VHPV8</t>
  </si>
  <si>
    <t>OI</t>
  </si>
  <si>
    <t>QF88</t>
  </si>
  <si>
    <t>5GFTQ6XA71759U8JTFZ7</t>
  </si>
  <si>
    <t>02NR</t>
  </si>
  <si>
    <t>0YGSEKFDWBH58JOJ9AGB</t>
  </si>
  <si>
    <t>OK</t>
  </si>
  <si>
    <t>YCUP</t>
  </si>
  <si>
    <t>8Z7EC4E64U6IOF0Z61TT</t>
  </si>
  <si>
    <t>R9QB</t>
  </si>
  <si>
    <t>729TCEXMIAE2L0YYG0FV</t>
  </si>
  <si>
    <t>8NES</t>
  </si>
  <si>
    <t>XS4PJ5LRM8YU7R28KZC1</t>
  </si>
  <si>
    <t>KO</t>
  </si>
  <si>
    <t>08FF</t>
  </si>
  <si>
    <t>NAJ5O7MOHB0U59654CO7</t>
  </si>
  <si>
    <t>GN</t>
  </si>
  <si>
    <t>EFX3</t>
  </si>
  <si>
    <t>9NFPRIQKDVYS32VSRFWM</t>
  </si>
  <si>
    <t>DT</t>
  </si>
  <si>
    <t>G7KS</t>
  </si>
  <si>
    <t>NJPER4TKC9FGNHDATTFV</t>
  </si>
  <si>
    <t>E6B6</t>
  </si>
  <si>
    <t>BACSH6SI62G9L8SIWBIY</t>
  </si>
  <si>
    <t>PUPJ</t>
  </si>
  <si>
    <t>K2LXRT9WBMZUT4DVFG5Y</t>
  </si>
  <si>
    <t>T8IR</t>
  </si>
  <si>
    <t>QM09QZRXY30G6LJIN349</t>
  </si>
  <si>
    <t>XG</t>
  </si>
  <si>
    <t>JIB1</t>
  </si>
  <si>
    <t>A8ACGCNS89LB1MH33NEO</t>
  </si>
  <si>
    <t>EM</t>
  </si>
  <si>
    <t>YOHQ</t>
  </si>
  <si>
    <t>EF6QWY2HBJLG7YLM8HO0</t>
  </si>
  <si>
    <t>LI</t>
  </si>
  <si>
    <t>LWEZ</t>
  </si>
  <si>
    <t>2OOKLFL7SNZBF08KTF3F</t>
  </si>
  <si>
    <t>F27F</t>
  </si>
  <si>
    <t>M8HR345DD8D4W4W6ZIXR</t>
  </si>
  <si>
    <t>CPDJ</t>
  </si>
  <si>
    <t>3HGD4IVWJF2D19ND9U4M</t>
  </si>
  <si>
    <t>82YS</t>
  </si>
  <si>
    <t>DVHK1GFDE8CUZDWRNUUM</t>
  </si>
  <si>
    <t>QS</t>
  </si>
  <si>
    <t>YC</t>
  </si>
  <si>
    <t>JQ2H</t>
  </si>
  <si>
    <t>QW0560TJSADEZIOKPVHO</t>
  </si>
  <si>
    <t>FP</t>
  </si>
  <si>
    <t>PEJ9</t>
  </si>
  <si>
    <t>MKLSRV1NROO0OGC4XA2K</t>
  </si>
  <si>
    <t>PS</t>
  </si>
  <si>
    <t>WW2N</t>
  </si>
  <si>
    <t>Y8SGR0CQ1HX9OTILOGW8</t>
  </si>
  <si>
    <t>RFSC</t>
  </si>
  <si>
    <t>TP5VOVIM5DXBNRKBJ2LZ</t>
  </si>
  <si>
    <t>W1WS</t>
  </si>
  <si>
    <t>8A7Z5DLBU0J9PCXAQ2XA</t>
  </si>
  <si>
    <t>N91I</t>
  </si>
  <si>
    <t>M3C1O77E81L05XPWIZ87</t>
  </si>
  <si>
    <t>C074</t>
  </si>
  <si>
    <t>AEKIUEY8HDNSA7T9RSPB</t>
  </si>
  <si>
    <t>FVKZ</t>
  </si>
  <si>
    <t>0US8C8JUTBJMAABKC856</t>
  </si>
  <si>
    <t>N35K</t>
  </si>
  <si>
    <t>C4G89QNFEXSPJOT4Q6QF</t>
  </si>
  <si>
    <t>PV</t>
  </si>
  <si>
    <t>NQ2I</t>
  </si>
  <si>
    <t>DW5GLZRL2BJZKC1XN52D</t>
  </si>
  <si>
    <t>5I0L</t>
  </si>
  <si>
    <t>JFHCVBKEVI1SJ9XYKSHC</t>
  </si>
  <si>
    <t>RV</t>
  </si>
  <si>
    <t>VSAI</t>
  </si>
  <si>
    <t>MKPU5GRFRMAXZL00KLZ8</t>
  </si>
  <si>
    <t>QKLL</t>
  </si>
  <si>
    <t>8OCVLUMMPQ2C1EXY8RXK</t>
  </si>
  <si>
    <t>EA4I</t>
  </si>
  <si>
    <t>766DA4QGUDZR07HP392P</t>
  </si>
  <si>
    <t>IF</t>
  </si>
  <si>
    <t>UH</t>
  </si>
  <si>
    <t>TMGD</t>
  </si>
  <si>
    <t>CA1FK33MTOX8804W1WGN</t>
  </si>
  <si>
    <t>LEHT</t>
  </si>
  <si>
    <t>08FNZ1MFUHZMGL8MCYUU</t>
  </si>
  <si>
    <t>DK</t>
  </si>
  <si>
    <t>J0S1</t>
  </si>
  <si>
    <t>SLIZX79VVZHGBYCGQ8DQ</t>
  </si>
  <si>
    <t>JA</t>
  </si>
  <si>
    <t>R31S</t>
  </si>
  <si>
    <t>2U488I7U0NIUW86494UD</t>
  </si>
  <si>
    <t>6KJY</t>
  </si>
  <si>
    <t>Y6HMRMYLE5DI57C9ZE48</t>
  </si>
  <si>
    <t>E4FZ</t>
  </si>
  <si>
    <t>LFGXKTT2WMYIUVOAU7I9</t>
  </si>
  <si>
    <t>V70G</t>
  </si>
  <si>
    <t>897G9V4SRKU906YHBRDI</t>
  </si>
  <si>
    <t>E1Z0</t>
  </si>
  <si>
    <t>IHM6O90X4CJLT0AO526E</t>
  </si>
  <si>
    <t>Y2NY</t>
  </si>
  <si>
    <t>C7N8EAIAG7B6L8RVFJL0</t>
  </si>
  <si>
    <t>WR9Q</t>
  </si>
  <si>
    <t>70IQRO5PSTHC0OV1YYIE</t>
  </si>
  <si>
    <t>92GC</t>
  </si>
  <si>
    <t>0BOPPCCC8KV7CWIDTRE7</t>
  </si>
  <si>
    <t>TQDB</t>
  </si>
  <si>
    <t>QIQVPKGUOMIZYUPDC6X9</t>
  </si>
  <si>
    <t>GD5E</t>
  </si>
  <si>
    <t>15JNXJ29DT20UH1ZHPVX</t>
  </si>
  <si>
    <t>MHNG</t>
  </si>
  <si>
    <t>X5WS5J304HM9LW2CL8Y8</t>
  </si>
  <si>
    <t>DWS0</t>
  </si>
  <si>
    <t>8MLTQYNH386JCMDMTXUY</t>
  </si>
  <si>
    <t>28W8</t>
  </si>
  <si>
    <t>020CXIT8JUHS458R26AY</t>
  </si>
  <si>
    <t>RQRO</t>
  </si>
  <si>
    <t>HIWXFVXJBAC1JZ37OE3I</t>
  </si>
  <si>
    <t>Y6J5</t>
  </si>
  <si>
    <t>25ETPA71J038RQF9J3UN</t>
  </si>
  <si>
    <t>C7WM</t>
  </si>
  <si>
    <t>SJQTJ4KR1XS1LT2NS9PU</t>
  </si>
  <si>
    <t>5Z4Q</t>
  </si>
  <si>
    <t>SVJF252UMPY0MB397F8F</t>
  </si>
  <si>
    <t>NX</t>
  </si>
  <si>
    <t>5P1B</t>
  </si>
  <si>
    <t>YT7GTRXLG07UAK8WDH43</t>
  </si>
  <si>
    <t>CI</t>
  </si>
  <si>
    <t>CKOO</t>
  </si>
  <si>
    <t>V2YOLFDV7196YTFSJYJA</t>
  </si>
  <si>
    <t>VB</t>
  </si>
  <si>
    <t>P8Q1</t>
  </si>
  <si>
    <t>LW6PAXCONO4S7PQ6EOXY</t>
  </si>
  <si>
    <t>LN</t>
  </si>
  <si>
    <t>REGQ</t>
  </si>
  <si>
    <t>QOYLMETWU6AGY8M8TM5C</t>
  </si>
  <si>
    <t>OP</t>
  </si>
  <si>
    <t>ICR0</t>
  </si>
  <si>
    <t>NCL2EX0YQGNORWGAEWFB</t>
  </si>
  <si>
    <t>UU</t>
  </si>
  <si>
    <t>G93N</t>
  </si>
  <si>
    <t>LX22A6KKKRQ0394FBH8T</t>
  </si>
  <si>
    <t>XUHX</t>
  </si>
  <si>
    <t>7SEM7FABYOXGQWZSQ4TQ</t>
  </si>
  <si>
    <t>RYOP</t>
  </si>
  <si>
    <t>6EB3RF4UO0UNGL569Z3R</t>
  </si>
  <si>
    <t>IE</t>
  </si>
  <si>
    <t>SR2R</t>
  </si>
  <si>
    <t>OKS4DTPYK2W0XGLGKSOO</t>
  </si>
  <si>
    <t>ZIXN</t>
  </si>
  <si>
    <t>BJ52O6X9F8JDBDN9RTQE</t>
  </si>
  <si>
    <t>IHQS</t>
  </si>
  <si>
    <t>7HSWZFTTHLABLIT7OM3N</t>
  </si>
  <si>
    <t>Q56Z</t>
  </si>
  <si>
    <t>4J76MH60P078GFS8BSRA</t>
  </si>
  <si>
    <t>RJWK</t>
  </si>
  <si>
    <t>42HNU21IXDFFQQ4PFKAK</t>
  </si>
  <si>
    <t>0P07</t>
  </si>
  <si>
    <t>SA96SJ9X4DJBLX5HG8VG</t>
  </si>
  <si>
    <t>GR</t>
  </si>
  <si>
    <t>2X72</t>
  </si>
  <si>
    <t>113O5F3NTI5YXQDLKKSQ</t>
  </si>
  <si>
    <t>J2LL</t>
  </si>
  <si>
    <t>7X7511PL9A7ELA4P71DW</t>
  </si>
  <si>
    <t>CX</t>
  </si>
  <si>
    <t>LO</t>
  </si>
  <si>
    <t>G02P</t>
  </si>
  <si>
    <t>CTJZCAA246RPB5O9PGDJ</t>
  </si>
  <si>
    <t>56OA</t>
  </si>
  <si>
    <t>ZE4IA5HC8G8KUO3MWQT8</t>
  </si>
  <si>
    <t>C1MF</t>
  </si>
  <si>
    <t>T4RATPUJ84LF6NL1C25Q</t>
  </si>
  <si>
    <t>JNBZ</t>
  </si>
  <si>
    <t>DNV558SBQNXFPD2RO7GK</t>
  </si>
  <si>
    <t>Z959</t>
  </si>
  <si>
    <t>6RV5G4C006NWJJ06HDGY</t>
  </si>
  <si>
    <t>IR</t>
  </si>
  <si>
    <t>HTMS</t>
  </si>
  <si>
    <t>AZWPHBEEZ5YCZ6F3PWF9</t>
  </si>
  <si>
    <t>DM</t>
  </si>
  <si>
    <t>CQ</t>
  </si>
  <si>
    <t>49TK</t>
  </si>
  <si>
    <t>PR8GEN9RJ4JJLA417Z5Z</t>
  </si>
  <si>
    <t>KA05</t>
  </si>
  <si>
    <t>N9HU3NS8WKO040MMEEE2</t>
  </si>
  <si>
    <t>JS</t>
  </si>
  <si>
    <t>IM7H</t>
  </si>
  <si>
    <t>FQAV4OP8Y50W1PVA57L8</t>
  </si>
  <si>
    <t>8MAK</t>
  </si>
  <si>
    <t>STO1VJ201M6BEVEFO2G1</t>
  </si>
  <si>
    <t>ORTY</t>
  </si>
  <si>
    <t>5RYO49ZJN7VE02WUPRXE</t>
  </si>
  <si>
    <t>WXFF</t>
  </si>
  <si>
    <t>Z5RPYSJ8KVSZ4BEJV865</t>
  </si>
  <si>
    <t>JWLT</t>
  </si>
  <si>
    <t>3B7BQ48415VVCGMNKDWA</t>
  </si>
  <si>
    <t>WVZM</t>
  </si>
  <si>
    <t>675E1WY10JCDUQERKN10</t>
  </si>
  <si>
    <t>2GEL</t>
  </si>
  <si>
    <t>3OU1Q2XNIZL7RK3W38GM</t>
  </si>
  <si>
    <t>DA</t>
  </si>
  <si>
    <t>RKMG</t>
  </si>
  <si>
    <t>QG0EAVEIU77YEFD4F32E</t>
  </si>
  <si>
    <t>7W65</t>
  </si>
  <si>
    <t>LKD5YE035KAJGPI9COCH</t>
  </si>
  <si>
    <t>903J</t>
  </si>
  <si>
    <t>33ODWZ44WOKFNMOYVSLF</t>
  </si>
  <si>
    <t>OSA3</t>
  </si>
  <si>
    <t>T3RN218N59ZPGX30L077</t>
  </si>
  <si>
    <t>SX5K</t>
  </si>
  <si>
    <t>SFD2RDX49UEZQEIMKZBJ</t>
  </si>
  <si>
    <t>19TA</t>
  </si>
  <si>
    <t>KTMS7411R7E0KIK0ZM21</t>
  </si>
  <si>
    <t>RGOB</t>
  </si>
  <si>
    <t>NO38VAPCVMNFQZ25X74H</t>
  </si>
  <si>
    <t>USV2</t>
  </si>
  <si>
    <t>SIKUZJO45CJAT209PGBV</t>
  </si>
  <si>
    <t>3VML</t>
  </si>
  <si>
    <t>W5XPAN93ZWZU4D3QT74C</t>
  </si>
  <si>
    <t>14R0</t>
  </si>
  <si>
    <t>AH7G7C0JLOFLHE2MQTNB</t>
  </si>
  <si>
    <t>TU</t>
  </si>
  <si>
    <t>WJNW</t>
  </si>
  <si>
    <t>D9G8D2Y8CBB1H4RL7G22</t>
  </si>
  <si>
    <t>VB3X</t>
  </si>
  <si>
    <t>PR5UYMQRRDBCNKP4S5EZ</t>
  </si>
  <si>
    <t>1PDI</t>
  </si>
  <si>
    <t>Z38LZK455Q9PHXQOV2LZ</t>
  </si>
  <si>
    <t>DN</t>
  </si>
  <si>
    <t>KJF1</t>
  </si>
  <si>
    <t>6FRIDZD45FY4YYFIJFBT</t>
  </si>
  <si>
    <t>ZB</t>
  </si>
  <si>
    <t>AY</t>
  </si>
  <si>
    <t>PHE9</t>
  </si>
  <si>
    <t>6HUAIUNGE5C37LAXUX0W</t>
  </si>
  <si>
    <t>XL5B</t>
  </si>
  <si>
    <t>765YUSSASU08X985GH71</t>
  </si>
  <si>
    <t>WYIW</t>
  </si>
  <si>
    <t>758H35FJ0B8RDDTMKK7J</t>
  </si>
  <si>
    <t>E6V4</t>
  </si>
  <si>
    <t>EEFOKW1U9Q4NIS754EYL</t>
  </si>
  <si>
    <t>BO</t>
  </si>
  <si>
    <t>8QY8</t>
  </si>
  <si>
    <t>5MSKGHIXIVOCJ27UM72S</t>
  </si>
  <si>
    <t>HT</t>
  </si>
  <si>
    <t>VVDR</t>
  </si>
  <si>
    <t>VVH47AI7EHJL0S02CU4K</t>
  </si>
  <si>
    <t>B8TZ</t>
  </si>
  <si>
    <t>E7U31P6JCQU7GFKUB8XZ</t>
  </si>
  <si>
    <t>LERA</t>
  </si>
  <si>
    <t>IH1MCQCEI8XDTSZG80UF</t>
  </si>
  <si>
    <t>UP</t>
  </si>
  <si>
    <t>WKRL</t>
  </si>
  <si>
    <t>JQUSR2Y648CULMZ4LYFU</t>
  </si>
  <si>
    <t>J6LD</t>
  </si>
  <si>
    <t>Z77ELV42UOTW5Q9S4T1X</t>
  </si>
  <si>
    <t>808S</t>
  </si>
  <si>
    <t>BLYPFULM54LNPT13PNH6</t>
  </si>
  <si>
    <t>IA</t>
  </si>
  <si>
    <t>ONU7</t>
  </si>
  <si>
    <t>EWOGH55FJ0MEXZQBTS4G</t>
  </si>
  <si>
    <t>XD</t>
  </si>
  <si>
    <t>8QFK</t>
  </si>
  <si>
    <t>T427OX87V8N1J2R2P5SB</t>
  </si>
  <si>
    <t>LXKY</t>
  </si>
  <si>
    <t>5XL8RIMIN4ATYU4Y1ITP</t>
  </si>
  <si>
    <t>K4AI</t>
  </si>
  <si>
    <t>MGUY7EOYDYVON9VGRGU3</t>
  </si>
  <si>
    <t>3WJG</t>
  </si>
  <si>
    <t>711W4I8VI1PLWH8Z8DDQ</t>
  </si>
  <si>
    <t>PIE7</t>
  </si>
  <si>
    <t>SXTSA75CYFY3YI2CT92S</t>
  </si>
  <si>
    <t>XRDZ</t>
  </si>
  <si>
    <t>QDOHZAII1EPRFQXDFG9W</t>
  </si>
  <si>
    <t>KA2B</t>
  </si>
  <si>
    <t>S00FUXT07FQ2SOTCYYIK</t>
  </si>
  <si>
    <t>33MI</t>
  </si>
  <si>
    <t>UB7IF9KANLD37ULK4VLL</t>
  </si>
  <si>
    <t>7MWL</t>
  </si>
  <si>
    <t>INJ1ZRN9XD9Y8GGB6M3S</t>
  </si>
  <si>
    <t>NQGV</t>
  </si>
  <si>
    <t>QEV8LNXX20QHSEC3NQH3</t>
  </si>
  <si>
    <t>RA</t>
  </si>
  <si>
    <t>MKCU</t>
  </si>
  <si>
    <t>ZXTELDDU2Y7V9JOKQ1G9</t>
  </si>
  <si>
    <t>QKYL</t>
  </si>
  <si>
    <t>BYZ22PK837NCE9ITIY84</t>
  </si>
  <si>
    <t>96PK</t>
  </si>
  <si>
    <t>EBBOIOSAZFI1KV6KISDY</t>
  </si>
  <si>
    <t>AU</t>
  </si>
  <si>
    <t>YC02</t>
  </si>
  <si>
    <t>4E88OMRBSEN5W47V1YDZ</t>
  </si>
  <si>
    <t>IIAU</t>
  </si>
  <si>
    <t>F1HZ8XVT11YRELC718OO</t>
  </si>
  <si>
    <t>FO1P</t>
  </si>
  <si>
    <t>JXQ0PC4TUT0D25WPNSXR</t>
  </si>
  <si>
    <t>QM</t>
  </si>
  <si>
    <t>LX</t>
  </si>
  <si>
    <t>K5A5</t>
  </si>
  <si>
    <t>HYDI08UTQ7S9NXIDNEFJ</t>
  </si>
  <si>
    <t>X03D</t>
  </si>
  <si>
    <t>6GBBMNHUX6P2GEL1N7KH</t>
  </si>
  <si>
    <t>RKCR</t>
  </si>
  <si>
    <t>XBTCA0G0GB6MXIZEZHVP</t>
  </si>
  <si>
    <t>4PGO</t>
  </si>
  <si>
    <t>4HV98OJ6MHV9J7KSXFPQ</t>
  </si>
  <si>
    <t>4JPL</t>
  </si>
  <si>
    <t>DTU7L5UZHD2H6NWNS4MR</t>
  </si>
  <si>
    <t>DBGJ</t>
  </si>
  <si>
    <t>YJOVDK78UQ4J5E82GFD3</t>
  </si>
  <si>
    <t>STIL</t>
  </si>
  <si>
    <t>GV99AMM73XZMB15GOU2N</t>
  </si>
  <si>
    <t>5Z08</t>
  </si>
  <si>
    <t>F1X5A95GM1FC61RSJQ3Y</t>
  </si>
  <si>
    <t>R7KD</t>
  </si>
  <si>
    <t>2HJR6ZRM4PSF4VMF5VM8</t>
  </si>
  <si>
    <t>VPTN</t>
  </si>
  <si>
    <t>BI9041TFCEOXH473NCM2</t>
  </si>
  <si>
    <t>EJ</t>
  </si>
  <si>
    <t>7C0R</t>
  </si>
  <si>
    <t>8SBQ1LOJUM2O4RAIS3EQ</t>
  </si>
  <si>
    <t>LS</t>
  </si>
  <si>
    <t>3ASP</t>
  </si>
  <si>
    <t>EQKWV7YWJ7PG4WO2R2SG</t>
  </si>
  <si>
    <t>ROEL</t>
  </si>
  <si>
    <t>UBB3KZYNXZN84QFB1XKB</t>
  </si>
  <si>
    <t>DU</t>
  </si>
  <si>
    <t>FYBO</t>
  </si>
  <si>
    <t>FTJEGGZIU1HCLH7UD8UX</t>
  </si>
  <si>
    <t>RU</t>
  </si>
  <si>
    <t>4MJF</t>
  </si>
  <si>
    <t>S9R2SWAXHTI24C47H4TH</t>
  </si>
  <si>
    <t>VM4U</t>
  </si>
  <si>
    <t>EMMAK7TRCN2AM0C3L4DO</t>
  </si>
  <si>
    <t>ZU7B</t>
  </si>
  <si>
    <t>9TTOBWA41ASLKM7IWQN6</t>
  </si>
  <si>
    <t>OU</t>
  </si>
  <si>
    <t>J20S</t>
  </si>
  <si>
    <t>O78DXCYZAIGV8NPFTP94</t>
  </si>
  <si>
    <t>HH93</t>
  </si>
  <si>
    <t>97EODP0MLRNIG1WP17VN</t>
  </si>
  <si>
    <t>5WW0</t>
  </si>
  <si>
    <t>YCLO4E9EP6DLL6ZHW9ZG</t>
  </si>
  <si>
    <t>M2X7</t>
  </si>
  <si>
    <t>8978QJV4QCJ1VT0TADAI</t>
  </si>
  <si>
    <t>ZE</t>
  </si>
  <si>
    <t>5J78</t>
  </si>
  <si>
    <t>974JEUMWNOHCTP02WJT8</t>
  </si>
  <si>
    <t>QH</t>
  </si>
  <si>
    <t>7M8I</t>
  </si>
  <si>
    <t>090CLWW0UXR6YWUYHE5T</t>
  </si>
  <si>
    <t>WP</t>
  </si>
  <si>
    <t>PW</t>
  </si>
  <si>
    <t>M4HO</t>
  </si>
  <si>
    <t>U132UUC8A25KPM5DM5XC</t>
  </si>
  <si>
    <t>4CPO</t>
  </si>
  <si>
    <t>NCEJQUWL0G2CASUAF8V2</t>
  </si>
  <si>
    <t>HC</t>
  </si>
  <si>
    <t>KGV0</t>
  </si>
  <si>
    <t>WQW63T32SNYXDNPFE3EQ</t>
  </si>
  <si>
    <t>QQFG</t>
  </si>
  <si>
    <t>8MRDPOMZ2QPNJJ5ZKW1R</t>
  </si>
  <si>
    <t>OLZI</t>
  </si>
  <si>
    <t>ZJBCFMHV0I4TRSYDX9RM</t>
  </si>
  <si>
    <t>36H1</t>
  </si>
  <si>
    <t>A8PQSP4437F9UH5OQNMC</t>
  </si>
  <si>
    <t>OO5W</t>
  </si>
  <si>
    <t>UFB3D5KPOWIDQBZ76FRJ</t>
  </si>
  <si>
    <t>DPY3</t>
  </si>
  <si>
    <t>RG1JL9BS3BWKQNAPRG6R</t>
  </si>
  <si>
    <t>N9GT</t>
  </si>
  <si>
    <t>R1D2RYPYISXQ4UUWFQGG</t>
  </si>
  <si>
    <t>BU20</t>
  </si>
  <si>
    <t>B02X0296DAI6YQJVR8GD</t>
  </si>
  <si>
    <t>BUGG</t>
  </si>
  <si>
    <t>WN1BMZ44PZTYYL9Z0B1G</t>
  </si>
  <si>
    <t>DR</t>
  </si>
  <si>
    <t>PG</t>
  </si>
  <si>
    <t>W85W</t>
  </si>
  <si>
    <t>N23A13UWP3RD3CS4QFLT</t>
  </si>
  <si>
    <t>WP7Q</t>
  </si>
  <si>
    <t>V9XVTT3RD5PPNJLGPDH9</t>
  </si>
  <si>
    <t>QCQH</t>
  </si>
  <si>
    <t>OEGF8RVGRHVP9C5KF9EB</t>
  </si>
  <si>
    <t>16VJ</t>
  </si>
  <si>
    <t>UJUL50WSAJMQO6106JTL</t>
  </si>
  <si>
    <t>GC46</t>
  </si>
  <si>
    <t>UF95S9AJT1OI55A0Z0XI</t>
  </si>
  <si>
    <t>ZXO0</t>
  </si>
  <si>
    <t>UDFF5KXWCLSSKQF3O56N</t>
  </si>
  <si>
    <t>3XNN</t>
  </si>
  <si>
    <t>C2IYD1U2LDRHDXIS65W5</t>
  </si>
  <si>
    <t>TT8N</t>
  </si>
  <si>
    <t>UDYKJTSA8JJLB7QWALVL</t>
  </si>
  <si>
    <t>XTPB</t>
  </si>
  <si>
    <t>GRVJN4QHZJV9ISR07WP6</t>
  </si>
  <si>
    <t>XZYS</t>
  </si>
  <si>
    <t>BBBDISBYD8KDOPAIL8U8</t>
  </si>
  <si>
    <t>V373</t>
  </si>
  <si>
    <t>ZF0PF89Y1A9RJ6YFRVDQ</t>
  </si>
  <si>
    <t>DVIN</t>
  </si>
  <si>
    <t>6T2JVT9CNOBW3ZZYZ1KN</t>
  </si>
  <si>
    <t>FM</t>
  </si>
  <si>
    <t>VLDQ</t>
  </si>
  <si>
    <t>NTG6S0K5TQZIM8EDIVKV</t>
  </si>
  <si>
    <t>FGCD</t>
  </si>
  <si>
    <t>XQ4FF07HMCC6JVNVMTCM</t>
  </si>
  <si>
    <t>4ZZH</t>
  </si>
  <si>
    <t>0JGJ6CR6Y30NAYZIC9KQ</t>
  </si>
  <si>
    <t>1DOF</t>
  </si>
  <si>
    <t>WKW3WIU5AB973DMLMD4Q</t>
  </si>
  <si>
    <t>OPS7</t>
  </si>
  <si>
    <t>C319HXPW8E3GNINL14TH</t>
  </si>
  <si>
    <t>GM8T</t>
  </si>
  <si>
    <t>E9Y7ABPY3LCAJEGX3HT6</t>
  </si>
  <si>
    <t>UWPS</t>
  </si>
  <si>
    <t>WV77N6VN2KQO8ZSKUMCU</t>
  </si>
  <si>
    <t>APYC</t>
  </si>
  <si>
    <t>I8B5MUW83TRYJN3M4DD7</t>
  </si>
  <si>
    <t>LOYV</t>
  </si>
  <si>
    <t>9VA5KZRIY6UNEVLNPSG0</t>
  </si>
  <si>
    <t>V5YS</t>
  </si>
  <si>
    <t>LKDUJW5LW9QEQJGOMBK5</t>
  </si>
  <si>
    <t>D2KB</t>
  </si>
  <si>
    <t>49ASJQTFG5QPV3Q9Y479</t>
  </si>
  <si>
    <t>OHR1</t>
  </si>
  <si>
    <t>5IYSYV8GIVH8I6LPVXOV</t>
  </si>
  <si>
    <t>JBZE</t>
  </si>
  <si>
    <t>S9B4BEUSHT5MZO4XNZQU</t>
  </si>
  <si>
    <t>1VW4</t>
  </si>
  <si>
    <t>TU9400KNUQ63O9ZSCXYI</t>
  </si>
  <si>
    <t>ATD3</t>
  </si>
  <si>
    <t>VH2WIIE9OS80YLRLYG2I</t>
  </si>
  <si>
    <t>GT</t>
  </si>
  <si>
    <t>MEDB</t>
  </si>
  <si>
    <t>17Y27Q2ZT0BFNKRQ56Y2</t>
  </si>
  <si>
    <t>AM</t>
  </si>
  <si>
    <t>S92M</t>
  </si>
  <si>
    <t>9TMUGED5K8E8RNY03XFM</t>
  </si>
  <si>
    <t>SJ</t>
  </si>
  <si>
    <t>E74Z</t>
  </si>
  <si>
    <t>I0CM3PGKBJOZUKJ8S1CX</t>
  </si>
  <si>
    <t>L0SV</t>
  </si>
  <si>
    <t>3QGA6U2GODZJVLI6RFHY</t>
  </si>
  <si>
    <t>1XBY</t>
  </si>
  <si>
    <t>LX32H9T2AEK2D7OF4MNZ</t>
  </si>
  <si>
    <t>H180</t>
  </si>
  <si>
    <t>2BKUZAKQU16V01P0YBM1</t>
  </si>
  <si>
    <t>IX</t>
  </si>
  <si>
    <t>U069</t>
  </si>
  <si>
    <t>REW4N6GDTY7Z8G1FUFHQ</t>
  </si>
  <si>
    <t>NMUW</t>
  </si>
  <si>
    <t>398IS78D360AKVDI58OW</t>
  </si>
  <si>
    <t>VY</t>
  </si>
  <si>
    <t>9P30</t>
  </si>
  <si>
    <t>FWNMRIO3XGUE2FAZDI4T</t>
  </si>
  <si>
    <t>SF6V</t>
  </si>
  <si>
    <t>YHKM5DTIENC7KJIQVANH</t>
  </si>
  <si>
    <t>80D6</t>
  </si>
  <si>
    <t>L7K1I4VF5B02EQQEJMEN</t>
  </si>
  <si>
    <t>XAHR</t>
  </si>
  <si>
    <t>N8G5BW6ZJ34GWO6PQEZZ</t>
  </si>
  <si>
    <t>9XZD</t>
  </si>
  <si>
    <t>QLDQ15HPMUWCW6B8KTGY</t>
  </si>
  <si>
    <t>7G3H</t>
  </si>
  <si>
    <t>7MENEEPLP1ZMODL9U04F</t>
  </si>
  <si>
    <t>V8LP</t>
  </si>
  <si>
    <t>64NKHGMSP54AGC6IUHN4</t>
  </si>
  <si>
    <t>NCZ9</t>
  </si>
  <si>
    <t>VMNY8TX4Y1URTQT9C3C8</t>
  </si>
  <si>
    <t>RO</t>
  </si>
  <si>
    <t>HB0S</t>
  </si>
  <si>
    <t>UF2CT20U60JJKWLICR4O</t>
  </si>
  <si>
    <t>YL8H</t>
  </si>
  <si>
    <t>U5JGUQGZXNIUU0JRP47U</t>
  </si>
  <si>
    <t>0NFE</t>
  </si>
  <si>
    <t>4ECEQDW7UANL5SHAUWT1</t>
  </si>
  <si>
    <t>NY</t>
  </si>
  <si>
    <t>V9Z8</t>
  </si>
  <si>
    <t>QG98G7YA9GANL7IFUZ8B</t>
  </si>
  <si>
    <t>OT9E</t>
  </si>
  <si>
    <t>MOP7G0OTICW6KGKGSZTS</t>
  </si>
  <si>
    <t>9DJS</t>
  </si>
  <si>
    <t>EE5AYWLYNL3NO36O1L62</t>
  </si>
  <si>
    <t>ZF</t>
  </si>
  <si>
    <t>7R8C</t>
  </si>
  <si>
    <t>TLDOACYVJFKRFRKOO48I</t>
  </si>
  <si>
    <t>5ZMU</t>
  </si>
  <si>
    <t>TWX8Q2YHOWYMOSBEUF3Z</t>
  </si>
  <si>
    <t>NLC0</t>
  </si>
  <si>
    <t>IK1P0QY2CWQKZ48V4LR6</t>
  </si>
  <si>
    <t>LL2L</t>
  </si>
  <si>
    <t>17GHO7NI9O6R9NMIQ3PO</t>
  </si>
  <si>
    <t>01Y7</t>
  </si>
  <si>
    <t>LRMXY146PK2NL7ET9SNK</t>
  </si>
  <si>
    <t>HHQE</t>
  </si>
  <si>
    <t>DS8QS13I1HDMVWRNPLBH</t>
  </si>
  <si>
    <t>MN</t>
  </si>
  <si>
    <t>UXLX</t>
  </si>
  <si>
    <t>IO6M6DG12NAOG2J6ZYCD</t>
  </si>
  <si>
    <t>XQ5T</t>
  </si>
  <si>
    <t>NRTB7KO3Y1M9NW7GA8DX</t>
  </si>
  <si>
    <t>JCGH</t>
  </si>
  <si>
    <t>9MOGJ9X93RC6YSBKS576</t>
  </si>
  <si>
    <t>QKL6</t>
  </si>
  <si>
    <t>JJ8DPN1G15RSHZ0DSHBG</t>
  </si>
  <si>
    <t>KSAU</t>
  </si>
  <si>
    <t>ETSB8EBN7MQAIYV0L9MD</t>
  </si>
  <si>
    <t>ZV</t>
  </si>
  <si>
    <t>BQ60</t>
  </si>
  <si>
    <t>0LT7E8UEK7BRY8NQFA5G</t>
  </si>
  <si>
    <t>HY</t>
  </si>
  <si>
    <t>TFDP</t>
  </si>
  <si>
    <t>RJURA2RTPFOHCPQ9APA8</t>
  </si>
  <si>
    <t>9EGI</t>
  </si>
  <si>
    <t>K7R5ZRZNUXN434TSEXFI</t>
  </si>
  <si>
    <t>IQAD</t>
  </si>
  <si>
    <t>UIX1LKOHQ9SHJOQL3JUO</t>
  </si>
  <si>
    <t>S9I2</t>
  </si>
  <si>
    <t>JH5Q7IHT8FFEO68W9B0O</t>
  </si>
  <si>
    <t>GV06H0E0PY96X1ZZN9FS</t>
  </si>
  <si>
    <t>D2XI</t>
  </si>
  <si>
    <t>PGY8ZGA1M4S8AEE0PRXH</t>
  </si>
  <si>
    <t>YXOE</t>
  </si>
  <si>
    <t>65GS6CER1H47GC3PXHLI</t>
  </si>
  <si>
    <t>RD2J</t>
  </si>
  <si>
    <t>JX3GNSTE23O60H1AW9L0</t>
  </si>
  <si>
    <t>5ZGM</t>
  </si>
  <si>
    <t>XG35LG37CAQF3CP3ZWSZ</t>
  </si>
  <si>
    <t>TUU6</t>
  </si>
  <si>
    <t>V98VB7X5WK97UR6MPIMP</t>
  </si>
  <si>
    <t>86XY</t>
  </si>
  <si>
    <t>PC6XCP47MQJQCU0XWD06</t>
  </si>
  <si>
    <t>BU</t>
  </si>
  <si>
    <t>NJKW</t>
  </si>
  <si>
    <t>1O4IMT0HBX9APFY0KI1I</t>
  </si>
  <si>
    <t>MP</t>
  </si>
  <si>
    <t>7O6J</t>
  </si>
  <si>
    <t>MD8X3MMXN8X907DUA904</t>
  </si>
  <si>
    <t>VM</t>
  </si>
  <si>
    <t>LMMC</t>
  </si>
  <si>
    <t>XWE0KZY07GXQYF8ID29H</t>
  </si>
  <si>
    <t>2FZS</t>
  </si>
  <si>
    <t>MIC8NQZRTUHZ8AGD7SCV</t>
  </si>
  <si>
    <t>2T0P</t>
  </si>
  <si>
    <t>ZWWZUI6ABKS92F0LNXJA</t>
  </si>
  <si>
    <t>EU</t>
  </si>
  <si>
    <t>7LVI</t>
  </si>
  <si>
    <t>YXOE4JOZT9J0XJY06GZZ</t>
  </si>
  <si>
    <t>AK0A</t>
  </si>
  <si>
    <t>X0LDF99UBI70523WZURH</t>
  </si>
  <si>
    <t>VL8E</t>
  </si>
  <si>
    <t>RKYSCBFJED76S0SVH3NB</t>
  </si>
  <si>
    <t>DLF5</t>
  </si>
  <si>
    <t>MDUR0R3N5FUUIN6SH3X7</t>
  </si>
  <si>
    <t>SB</t>
  </si>
  <si>
    <t>DJQ6</t>
  </si>
  <si>
    <t>LHBM9YEX6Y983LM55ZLO</t>
  </si>
  <si>
    <t>VAHC</t>
  </si>
  <si>
    <t>AFT4PFMOKN978ZG1FVUT</t>
  </si>
  <si>
    <t>UVGV</t>
  </si>
  <si>
    <t>8B1SX5ZI1ZEOMUHJLK85</t>
  </si>
  <si>
    <t>KBSL</t>
  </si>
  <si>
    <t>IYOCG6D4U0K23YB3PSUS</t>
  </si>
  <si>
    <t>47F8</t>
  </si>
  <si>
    <t>PM9XVEC05NW4WVHFD632</t>
  </si>
  <si>
    <t>ZC0X</t>
  </si>
  <si>
    <t>8IE4CFHH9OQB3FFDAKWK</t>
  </si>
  <si>
    <t>IF7O</t>
  </si>
  <si>
    <t>UJTGJ4KN2W4BOM6T1G4L</t>
  </si>
  <si>
    <t>JSGC</t>
  </si>
  <si>
    <t>Q1793DJPNBDVSC23V1HC</t>
  </si>
  <si>
    <t>X8YF</t>
  </si>
  <si>
    <t>2CB07UTESZVHRHJALV5O</t>
  </si>
  <si>
    <t>1W5C</t>
  </si>
  <si>
    <t>EP7M3E5RXALF7C27ICZB</t>
  </si>
  <si>
    <t>YX</t>
  </si>
  <si>
    <t>U8WV</t>
  </si>
  <si>
    <t>LEQPHICE9OFHOQQTATS6</t>
  </si>
  <si>
    <t>BE</t>
  </si>
  <si>
    <t>C4CN</t>
  </si>
  <si>
    <t>OWN5NT7NTHL7Y8C56G8I</t>
  </si>
  <si>
    <t>4N8N</t>
  </si>
  <si>
    <t>43PMLXCCV31P6JJYRQI1</t>
  </si>
  <si>
    <t>UOWW</t>
  </si>
  <si>
    <t>D3U5XAMYFKYVBTTG9MNQ</t>
  </si>
  <si>
    <t>46RS</t>
  </si>
  <si>
    <t>XJKPR3VJFRWEVKSWB7VJ</t>
  </si>
  <si>
    <t>PWSG</t>
  </si>
  <si>
    <t>YP2PKP9P2X44DMIUNBM8</t>
  </si>
  <si>
    <t>00Q1</t>
  </si>
  <si>
    <t>P3UQHQV8J8J3NB2F3QR8</t>
  </si>
  <si>
    <t>CDC0</t>
  </si>
  <si>
    <t>NUG58AAN5UGO9I3GMXQC</t>
  </si>
  <si>
    <t>MTWK</t>
  </si>
  <si>
    <t>0Z30MYAB0XAFDE18DI5P</t>
  </si>
  <si>
    <t>A9HM</t>
  </si>
  <si>
    <t>RUFQCCMQ7Z5IDKNBGQU3</t>
  </si>
  <si>
    <t>XJ5Q</t>
  </si>
  <si>
    <t>A81H4GO83HEHJA8538J1</t>
  </si>
  <si>
    <t>OJTX</t>
  </si>
  <si>
    <t>QMAUFP0R6AXH4QXHEYD7</t>
  </si>
  <si>
    <t>PF</t>
  </si>
  <si>
    <t>3LZD</t>
  </si>
  <si>
    <t>FGUWSXJAJZWRZVS2MRGG</t>
  </si>
  <si>
    <t>70SJ</t>
  </si>
  <si>
    <t>8L640CO15FDDDG81IU9A</t>
  </si>
  <si>
    <t>UXE8</t>
  </si>
  <si>
    <t>OUNISIEBJI599K81JYAJ</t>
  </si>
  <si>
    <t>MF41</t>
  </si>
  <si>
    <t>8VGUGSD76ZUPQ1X1HKGQ</t>
  </si>
  <si>
    <t>Q8GS</t>
  </si>
  <si>
    <t>YBIZI0WPC5523CX0PPDJ</t>
  </si>
  <si>
    <t>B18R</t>
  </si>
  <si>
    <t>TLR6RA3L5GRPG7HENG39</t>
  </si>
  <si>
    <t>9BVI</t>
  </si>
  <si>
    <t>OT9QI8K561SOI5DM065D</t>
  </si>
  <si>
    <t>FG</t>
  </si>
  <si>
    <t>HPMT</t>
  </si>
  <si>
    <t>2X8X2UNHC9K82OSIFL7T</t>
  </si>
  <si>
    <t>9NKQ</t>
  </si>
  <si>
    <t>ETIQW2LGFM97RXPGZDO8</t>
  </si>
  <si>
    <t>MRBT</t>
  </si>
  <si>
    <t>PPYBB3UPZD3WE1TI96K3</t>
  </si>
  <si>
    <t>FNKP</t>
  </si>
  <si>
    <t>X9FUZI08FZOE3MRWSHRI</t>
  </si>
  <si>
    <t>MW</t>
  </si>
  <si>
    <t>W771</t>
  </si>
  <si>
    <t>2NA7HZDA19PO5OFFSZIR</t>
  </si>
  <si>
    <t>3FQ2</t>
  </si>
  <si>
    <t>THVKOM7G227WN2W55GD9</t>
  </si>
  <si>
    <t>LYP4</t>
  </si>
  <si>
    <t>F3MCTQN54OTH512DGUS4</t>
  </si>
  <si>
    <t>RK</t>
  </si>
  <si>
    <t>I4D0</t>
  </si>
  <si>
    <t>T2DF6F13UQOKCELJEU6H</t>
  </si>
  <si>
    <t>JGIY</t>
  </si>
  <si>
    <t>KDJ1CK6PO717WAYWNG4H</t>
  </si>
  <si>
    <t>7NI1</t>
  </si>
  <si>
    <t>B5GNGKMZS456AQ4RHXYF</t>
  </si>
  <si>
    <t>IH</t>
  </si>
  <si>
    <t>M6Y6</t>
  </si>
  <si>
    <t>8B1C63N8NGP7FTEZ6BNO</t>
  </si>
  <si>
    <t>GU</t>
  </si>
  <si>
    <t>34SH</t>
  </si>
  <si>
    <t>E791S5KX27ZZ53NEY9I4</t>
  </si>
  <si>
    <t>UJCG</t>
  </si>
  <si>
    <t>ES38FHFMDX69GKAEIGK6</t>
  </si>
  <si>
    <t>TV</t>
  </si>
  <si>
    <t>OBOY</t>
  </si>
  <si>
    <t>S119GM32PCC2KRNZG8E4</t>
  </si>
  <si>
    <t>JYCD</t>
  </si>
  <si>
    <t>H3WKUCJHL47XCHY777IF</t>
  </si>
  <si>
    <t>PCVU</t>
  </si>
  <si>
    <t>J440DC0ZHY2K6TBFEFRU</t>
  </si>
  <si>
    <t>MR9R</t>
  </si>
  <si>
    <t>Q97DS4IN009TB81LTH2K</t>
  </si>
  <si>
    <t>5K4V</t>
  </si>
  <si>
    <t>32CDHRHBKG30WVSV8IKC</t>
  </si>
  <si>
    <t>TY</t>
  </si>
  <si>
    <t>BP3J</t>
  </si>
  <si>
    <t>35VBPLIM6NVKYGFZRUD1</t>
  </si>
  <si>
    <t>IZPZ</t>
  </si>
  <si>
    <t>EVMXWTESPMZLHBMIPPCX</t>
  </si>
  <si>
    <t>WP6R</t>
  </si>
  <si>
    <t>0HXF8FVP9CSUATWYJGTA</t>
  </si>
  <si>
    <t>QV8D</t>
  </si>
  <si>
    <t>YHKL9RIF8YJMLE8FKXF0</t>
  </si>
  <si>
    <t>VWYE</t>
  </si>
  <si>
    <t>CGL4VF0RVQPZZ2M9PLKU</t>
  </si>
  <si>
    <t>CYB8</t>
  </si>
  <si>
    <t>VHVT61TGALPN1R56U1ZN</t>
  </si>
  <si>
    <t>SGE3</t>
  </si>
  <si>
    <t>P6FU18YDVEXNL6QJTBMJ</t>
  </si>
  <si>
    <t>I1S0</t>
  </si>
  <si>
    <t>FOHJHJME6UE1BABG2NN4</t>
  </si>
  <si>
    <t>S5HB</t>
  </si>
  <si>
    <t>XXTFP1AMU05CCNNT5ZLB</t>
  </si>
  <si>
    <t>HFOW</t>
  </si>
  <si>
    <t>KQ3VYPQ2VAIKHVL3XOHH</t>
  </si>
  <si>
    <t>IODJ</t>
  </si>
  <si>
    <t>I8X08K6C6IJUMMKQ3GVE</t>
  </si>
  <si>
    <t>20IM</t>
  </si>
  <si>
    <t>JOPIVUCL8Y7MNM7AFBJH</t>
  </si>
  <si>
    <t>LVJ4</t>
  </si>
  <si>
    <t>ZR8ZZDDG5PEYPSRFL31U</t>
  </si>
  <si>
    <t>Y4NQ</t>
  </si>
  <si>
    <t>XBH7U5KYWBQ0JS0DX15S</t>
  </si>
  <si>
    <t>0DTI</t>
  </si>
  <si>
    <t>AKVJN6C90TX7KZ2UGS05</t>
  </si>
  <si>
    <t>VF35</t>
  </si>
  <si>
    <t>82VPFRXV7S86OPUKYN6U</t>
  </si>
  <si>
    <t>8Y5O</t>
  </si>
  <si>
    <t>0D8K3CR0ULKQ6EYI8E0E</t>
  </si>
  <si>
    <t>QB</t>
  </si>
  <si>
    <t>XD7G</t>
  </si>
  <si>
    <t>BHPANCPUQ6W6DPOFBJ1E</t>
  </si>
  <si>
    <t>NKAH</t>
  </si>
  <si>
    <t>WS06VGGM6JFUUYTOVWSE</t>
  </si>
  <si>
    <t>3J3U</t>
  </si>
  <si>
    <t>M8APDVOB5MXSA9S3P5CJ</t>
  </si>
  <si>
    <t>NB</t>
  </si>
  <si>
    <t>BPWW</t>
  </si>
  <si>
    <t>53B4FDXVMTB9JQC9YX0N</t>
  </si>
  <si>
    <t>OB3R</t>
  </si>
  <si>
    <t>QQQ0DY29LGC5PVM1GCOY</t>
  </si>
  <si>
    <t>BF5V</t>
  </si>
  <si>
    <t>VH22EEC18YBUE2H2K5PK</t>
  </si>
  <si>
    <t>YE0C</t>
  </si>
  <si>
    <t>ND6SJB1GT5DQB7ZRJVC0</t>
  </si>
  <si>
    <t>N23Z</t>
  </si>
  <si>
    <t>7C9BJGXI9DKDKKCTS07G</t>
  </si>
  <si>
    <t>KET4</t>
  </si>
  <si>
    <t>5XE48TD3T95W6JP3DNGD</t>
  </si>
  <si>
    <t>7P5Y</t>
  </si>
  <si>
    <t>BFO9MWPJLICG6LKK5YGZ</t>
  </si>
  <si>
    <t>IZ</t>
  </si>
  <si>
    <t>J7RJ</t>
  </si>
  <si>
    <t>ERRNY8V8ZOGON3T6M5U5</t>
  </si>
  <si>
    <t>486Q</t>
  </si>
  <si>
    <t>2W59DXM5ZS2SBG0JM62O</t>
  </si>
  <si>
    <t>B3LR</t>
  </si>
  <si>
    <t>VRGGF0Q53EQ76PZ9QU89</t>
  </si>
  <si>
    <t>3XVZ</t>
  </si>
  <si>
    <t>J9TFQ8DYU08PVRR02D8T</t>
  </si>
  <si>
    <t>W2RV</t>
  </si>
  <si>
    <t>4084FN2YNXIDPR3KGHBI</t>
  </si>
  <si>
    <t>5DQK</t>
  </si>
  <si>
    <t>WQIZHGO4FFL7E3EPIE6F</t>
  </si>
  <si>
    <t>4BSS</t>
  </si>
  <si>
    <t>5G6FH6DWHOZWWZPJCPJ0</t>
  </si>
  <si>
    <t>8MZG</t>
  </si>
  <si>
    <t>AZR9KLU427Y9OJWZP875</t>
  </si>
  <si>
    <t>RCPB</t>
  </si>
  <si>
    <t>QYU3HRDSKH0676VUXJ10</t>
  </si>
  <si>
    <t>RTK6</t>
  </si>
  <si>
    <t>O44BNTWB1LHKO9T6DB5P</t>
  </si>
  <si>
    <t>G95L</t>
  </si>
  <si>
    <t>E7VP3HAVIY1NGFKMEGZY</t>
  </si>
  <si>
    <t>Z85B</t>
  </si>
  <si>
    <t>OISYB3D5UZVUFO29N834</t>
  </si>
  <si>
    <t>Z5QG</t>
  </si>
  <si>
    <t>W3BNRDG5PERB4KHPWB10</t>
  </si>
  <si>
    <t>BOL2</t>
  </si>
  <si>
    <t>K7LNLOVDC1DBVAZKUW49</t>
  </si>
  <si>
    <t>IEH1</t>
  </si>
  <si>
    <t>HLWIVY4HLWKUPBE5PHUI</t>
  </si>
  <si>
    <t>P0Q6</t>
  </si>
  <si>
    <t>DI3YF89MX089NIZ0H9G5</t>
  </si>
  <si>
    <t>AUZMEFGEKUW3ZMF9V9BA</t>
  </si>
  <si>
    <t>9CYO</t>
  </si>
  <si>
    <t>BR4JQ8KPK8YOUFU13LQX</t>
  </si>
  <si>
    <t>Q9NG</t>
  </si>
  <si>
    <t>3OA3A3DLS7514FORY4SZ</t>
  </si>
  <si>
    <t>EY4N</t>
  </si>
  <si>
    <t>MTJPLX9TMPAHY0IEUR3R</t>
  </si>
  <si>
    <t>XBAS</t>
  </si>
  <si>
    <t>QDXXGOL1TIAMGRF5NJTC</t>
  </si>
  <si>
    <t>BSZM</t>
  </si>
  <si>
    <t>23GYF5XI41GKKS449D2E</t>
  </si>
  <si>
    <t>9DZW</t>
  </si>
  <si>
    <t>YDRXQFJX3WEEBGDDYYXE</t>
  </si>
  <si>
    <t>17VQ</t>
  </si>
  <si>
    <t>W4FUDPJIPJ00KZG6IEK4</t>
  </si>
  <si>
    <t>NC</t>
  </si>
  <si>
    <t>ANH3</t>
  </si>
  <si>
    <t>RX2DX60MFACNE6SY52PH</t>
  </si>
  <si>
    <t>VEW9</t>
  </si>
  <si>
    <t>EDLURIYVLYONKN1MGY4K</t>
  </si>
  <si>
    <t>UJMG</t>
  </si>
  <si>
    <t>ZBGJBJJX1RA7S69N42SZ</t>
  </si>
  <si>
    <t>ACPK</t>
  </si>
  <si>
    <t>GC0FXNOJ0V0XGS0YQKBF</t>
  </si>
  <si>
    <t>9WBQ</t>
  </si>
  <si>
    <t>8OLMZFGYX1J06KHC2MLV</t>
  </si>
  <si>
    <t>WHOY</t>
  </si>
  <si>
    <t>E8OX0TY0LM5W5WGK5TAJ</t>
  </si>
  <si>
    <t>BRB4</t>
  </si>
  <si>
    <t>4YFFI8EDZZ5QYP96IR0F</t>
  </si>
  <si>
    <t>NRM9</t>
  </si>
  <si>
    <t>1365H0GKZJJICINU662S</t>
  </si>
  <si>
    <t>X4DA</t>
  </si>
  <si>
    <t>B4DQ89DIGEEZNKQ6XEUT</t>
  </si>
  <si>
    <t>GWKC</t>
  </si>
  <si>
    <t>3EKATHWWGTRVFUTQUKBT</t>
  </si>
  <si>
    <t>GPZ9</t>
  </si>
  <si>
    <t>NR22RQOT756QJWX90UUM</t>
  </si>
  <si>
    <t>4CGU</t>
  </si>
  <si>
    <t>Z0NLZ7A2UPKAGIXRCPT8</t>
  </si>
  <si>
    <t>V2FD</t>
  </si>
  <si>
    <t>ZG2TGNQQAYC0YVO4KLVV</t>
  </si>
  <si>
    <t>9W6L</t>
  </si>
  <si>
    <t>I5YQBH670HJYKZ8VEJJ1</t>
  </si>
  <si>
    <t>73O7</t>
  </si>
  <si>
    <t>GLH270V2Q0O8KT9JWMIK</t>
  </si>
  <si>
    <t>QX</t>
  </si>
  <si>
    <t>BS</t>
  </si>
  <si>
    <t>9ZVE</t>
  </si>
  <si>
    <t>R0VGVDSKE6HNF5E4I3QY</t>
  </si>
  <si>
    <t>RKD9</t>
  </si>
  <si>
    <t>3UDJ7BWVGJWAR39AH79G</t>
  </si>
  <si>
    <t>HV</t>
  </si>
  <si>
    <t>ZATB</t>
  </si>
  <si>
    <t>R6VVL3Q9GFGTZGW5T9LV</t>
  </si>
  <si>
    <t>2NH7</t>
  </si>
  <si>
    <t>CU884PRTB0WUZ4XRV3SZ</t>
  </si>
  <si>
    <t>XYVU</t>
  </si>
  <si>
    <t>8DXBW34WVH7WE748T6XY</t>
  </si>
  <si>
    <t>LWW8</t>
  </si>
  <si>
    <t>GOK93710JDNJ4OI5LFXM</t>
  </si>
  <si>
    <t>DMPO</t>
  </si>
  <si>
    <t>1R2KV8ZCQ6RCLJ7ED6ZN</t>
  </si>
  <si>
    <t>AUA7</t>
  </si>
  <si>
    <t>CXNHOVRB3G58PK86BWDK</t>
  </si>
  <si>
    <t>I4CM</t>
  </si>
  <si>
    <t>EFCD4TO1B3VW1R8E64J7</t>
  </si>
  <si>
    <t>F1NO</t>
  </si>
  <si>
    <t>LVF5B8FYVHQBCHRO5IY7</t>
  </si>
  <si>
    <t>75VH</t>
  </si>
  <si>
    <t>BLKGCPMTVE17ZVHIWUVJ</t>
  </si>
  <si>
    <t>6DNE</t>
  </si>
  <si>
    <t>4VKXVXOIFB4J6DENGTM2</t>
  </si>
  <si>
    <t>HDC4</t>
  </si>
  <si>
    <t>ISYBBW6RJ2MT3VQW0ABH</t>
  </si>
  <si>
    <t>H0GK</t>
  </si>
  <si>
    <t>HWONPVDYLK1QLIKZCK5T</t>
  </si>
  <si>
    <t>0M3E</t>
  </si>
  <si>
    <t>YUL9STBLDDZ2OLQZ1IK0</t>
  </si>
  <si>
    <t>4RJQ</t>
  </si>
  <si>
    <t>ZVM3UNTT1WF0I6RBRYTX</t>
  </si>
  <si>
    <t>VFKV</t>
  </si>
  <si>
    <t>KPWPKEZMG6TK7J3SXL7R</t>
  </si>
  <si>
    <t>XJAR</t>
  </si>
  <si>
    <t>RJD5YQEL0VJZFU3CCKHF</t>
  </si>
  <si>
    <t>04QA</t>
  </si>
  <si>
    <t>FLMHTEYHN0PZHYTJQL81</t>
  </si>
  <si>
    <t>SN</t>
  </si>
  <si>
    <t>T8CT</t>
  </si>
  <si>
    <t>W5GC03O59D8QY3M8571N</t>
  </si>
  <si>
    <t>S854</t>
  </si>
  <si>
    <t>PIYO9XOD61L57XRRKEGW</t>
  </si>
  <si>
    <t>I25U</t>
  </si>
  <si>
    <t>GN9WPHO1LKE4JZKW9R8Y</t>
  </si>
  <si>
    <t>78QG</t>
  </si>
  <si>
    <t>Z2DAHYX8XDH27HF5K6DI</t>
  </si>
  <si>
    <t>AEAE</t>
  </si>
  <si>
    <t>XFWYYKDSNCA2ANAZK5W0</t>
  </si>
  <si>
    <t>0VJE</t>
  </si>
  <si>
    <t>WZRVQ7AJTZ548B6N5B5T</t>
  </si>
  <si>
    <t>0NIA</t>
  </si>
  <si>
    <t>V5B5P1U0E5U1XQWNRK2B</t>
  </si>
  <si>
    <t>FCEH</t>
  </si>
  <si>
    <t>WXEIAIEQ5H192YSUJF2N</t>
  </si>
  <si>
    <t>NTIH</t>
  </si>
  <si>
    <t>5Z64ZMD8I56RRFLY37VQ</t>
  </si>
  <si>
    <t>2SQI</t>
  </si>
  <si>
    <t>BKEJ6H39EHWP4QPI7TP0</t>
  </si>
  <si>
    <t>NF</t>
  </si>
  <si>
    <t>GPJN</t>
  </si>
  <si>
    <t>DWH89S8D9CG3GHJ790AO</t>
  </si>
  <si>
    <t>ZU</t>
  </si>
  <si>
    <t>YJGH</t>
  </si>
  <si>
    <t>UOB8RAP8ZLGXEPNSH034</t>
  </si>
  <si>
    <t>P7XJT7LF1RWCPK84CAF2</t>
  </si>
  <si>
    <t>MY</t>
  </si>
  <si>
    <t>QV</t>
  </si>
  <si>
    <t>PIVV</t>
  </si>
  <si>
    <t>ZQI89C9NLNDW4YNLC6UD</t>
  </si>
  <si>
    <t>JO4M</t>
  </si>
  <si>
    <t>S8MO67BBZ37D4LJKKBT0</t>
  </si>
  <si>
    <t>3QGE</t>
  </si>
  <si>
    <t>OT53USVWXF75DE5U4A6L</t>
  </si>
  <si>
    <t>0O2I</t>
  </si>
  <si>
    <t>43XYGOP3A3VW44MAZFCG</t>
  </si>
  <si>
    <t>3Y95</t>
  </si>
  <si>
    <t>TVJS72B5EB5IRF7HPPWS</t>
  </si>
  <si>
    <t>HG</t>
  </si>
  <si>
    <t>144I</t>
  </si>
  <si>
    <t>UEJR3MB4QOSVXTR1ZL7B</t>
  </si>
  <si>
    <t>HSSZ</t>
  </si>
  <si>
    <t>VSSE5U0C39W8NCJRUBQM</t>
  </si>
  <si>
    <t>39K6</t>
  </si>
  <si>
    <t>PSI70O9UWX03CF4IT4GS</t>
  </si>
  <si>
    <t>7K6J</t>
  </si>
  <si>
    <t>SHMRMASMGFFSMOG87MHR</t>
  </si>
  <si>
    <t>O2OB</t>
  </si>
  <si>
    <t>WV3OB0MYA8CLEXXLY47B</t>
  </si>
  <si>
    <t>ZDPP</t>
  </si>
  <si>
    <t>2ST3WRVCB382HVX6CKQ3</t>
  </si>
  <si>
    <t>CVN1</t>
  </si>
  <si>
    <t>P885LXWA7GF8IZUWK92W</t>
  </si>
  <si>
    <t>FZAC</t>
  </si>
  <si>
    <t>SSSCA1PHXLBRR3W6WVAB</t>
  </si>
  <si>
    <t>YTAG</t>
  </si>
  <si>
    <t>EGC7R5MYIPAJTVM4JKEO</t>
  </si>
  <si>
    <t>NJJU</t>
  </si>
  <si>
    <t>DL6IDS3PIO03GVKGBVZV</t>
  </si>
  <si>
    <t>7PK0</t>
  </si>
  <si>
    <t>DZJQBNGNBXGENS0W9MQE</t>
  </si>
  <si>
    <t>ZHRU</t>
  </si>
  <si>
    <t>PLMDQ20G97T0BGPWPD2U</t>
  </si>
  <si>
    <t>27HP</t>
  </si>
  <si>
    <t>QEU0KA7L4I4USKTV7U6V</t>
  </si>
  <si>
    <t>462U</t>
  </si>
  <si>
    <t>L4ID70HLK5AGI16U054D</t>
  </si>
  <si>
    <t>8Z81</t>
  </si>
  <si>
    <t>T993H7L99K3H3GR05J01</t>
  </si>
  <si>
    <t>L9PL</t>
  </si>
  <si>
    <t>KID2PLD4IRKXU3HEVJWU</t>
  </si>
  <si>
    <t>YYSX</t>
  </si>
  <si>
    <t>IOXNAMRFT39IZBS6FPMC</t>
  </si>
  <si>
    <t>CN</t>
  </si>
  <si>
    <t>1V38</t>
  </si>
  <si>
    <t>4WBEDR8Z4IERXF4BBBSR</t>
  </si>
  <si>
    <t>6JC5</t>
  </si>
  <si>
    <t>LJ6155L84D8UGU3C5IN3</t>
  </si>
  <si>
    <t>SDEM</t>
  </si>
  <si>
    <t>WD756MS62FC38N2QKPQE</t>
  </si>
  <si>
    <t>036Y</t>
  </si>
  <si>
    <t>G1HVT5X980M246FENX1D</t>
  </si>
  <si>
    <t>D3VR</t>
  </si>
  <si>
    <t>TSM0KU77DEAFJIGUMX4H</t>
  </si>
  <si>
    <t>AHI0</t>
  </si>
  <si>
    <t>C0O0K4FHEZ09SRCJCUE7</t>
  </si>
  <si>
    <t>U08Y</t>
  </si>
  <si>
    <t>EJTHR6IJRPW2ZJ98GODU</t>
  </si>
  <si>
    <t>1CSV</t>
  </si>
  <si>
    <t>4N04VXM1B3JUOF5HO97P</t>
  </si>
  <si>
    <t>OP2G</t>
  </si>
  <si>
    <t>6Q9BLJFF4QA6CXAEQHAG</t>
  </si>
  <si>
    <t>TSEE</t>
  </si>
  <si>
    <t>AP1YS6OG7AZ3M5EN3UXC</t>
  </si>
  <si>
    <t>UTIK</t>
  </si>
  <si>
    <t>EODQAJ4TXOEN8MBEX1J6</t>
  </si>
  <si>
    <t>QJUC</t>
  </si>
  <si>
    <t>FD71663HHWD14OTFTBDR</t>
  </si>
  <si>
    <t>QQ67</t>
  </si>
  <si>
    <t>VG5M7WPGYB6RF8WH9JMA</t>
  </si>
  <si>
    <t>C2LY</t>
  </si>
  <si>
    <t>Z0TGDPSVXC991T4ZVX1J</t>
  </si>
  <si>
    <t>SF</t>
  </si>
  <si>
    <t>LNBI</t>
  </si>
  <si>
    <t>582VMMZWTLHJA0TEAPNF</t>
  </si>
  <si>
    <t>7K78</t>
  </si>
  <si>
    <t>3ZB7ZF0XT1U3Q0UBBLML</t>
  </si>
  <si>
    <t>FYDP</t>
  </si>
  <si>
    <t>O3493HAERJONJNCZD8FJ</t>
  </si>
  <si>
    <t>DVCR</t>
  </si>
  <si>
    <t>784PCHS8OJ6KUF3E5KY3</t>
  </si>
  <si>
    <t>NJX6</t>
  </si>
  <si>
    <t>6KC79R5PYN5DLTTBEBL1</t>
  </si>
  <si>
    <t>M0BU</t>
  </si>
  <si>
    <t>UBTE1T21YZLFGH4L1BP5</t>
  </si>
  <si>
    <t>DUS5</t>
  </si>
  <si>
    <t>STKBT8IX1QHM721144M7</t>
  </si>
  <si>
    <t>0RXI</t>
  </si>
  <si>
    <t>2X358ENDA4EA5BBF4Z52</t>
  </si>
  <si>
    <t>C4I6</t>
  </si>
  <si>
    <t>DNN07NZ9QCFXHACT3IRP</t>
  </si>
  <si>
    <t>C1RL</t>
  </si>
  <si>
    <t>8PVR3YSKR5TMPTFMJHOR</t>
  </si>
  <si>
    <t>XIJU</t>
  </si>
  <si>
    <t>D9E0NLAIA752GCAQH0LP</t>
  </si>
  <si>
    <t>QO9A</t>
  </si>
  <si>
    <t>5NUODGZLWJ5V3JR9T24F</t>
  </si>
  <si>
    <t>GM</t>
  </si>
  <si>
    <t>92Z4</t>
  </si>
  <si>
    <t>JAU5AW8HPJI0WNPK4P4B</t>
  </si>
  <si>
    <t>OWEJ</t>
  </si>
  <si>
    <t>XK007PJSI1C5I5XDYN1B</t>
  </si>
  <si>
    <t>R9WH</t>
  </si>
  <si>
    <t>NJ6LNA71JVSOD2JCH9N1</t>
  </si>
  <si>
    <t>750X</t>
  </si>
  <si>
    <t>ZLY3HMI73GJ2LS0IMHTX</t>
  </si>
  <si>
    <t>LA</t>
  </si>
  <si>
    <t>1ZFZ</t>
  </si>
  <si>
    <t>K8BTHSXR6RBT998W6LVP</t>
  </si>
  <si>
    <t>WQ</t>
  </si>
  <si>
    <t>6NHQ</t>
  </si>
  <si>
    <t>6YQBKSS9NDEK5NL1MKM9</t>
  </si>
  <si>
    <t>ZETP</t>
  </si>
  <si>
    <t>REYRFSURZZ0MPU4P5ELZ</t>
  </si>
  <si>
    <t>AEKM</t>
  </si>
  <si>
    <t>O6V7LRXUVWFL6RB80YI6</t>
  </si>
  <si>
    <t>G52J</t>
  </si>
  <si>
    <t>CN8VIZ80P9Y19R570MJU</t>
  </si>
  <si>
    <t>DTCF</t>
  </si>
  <si>
    <t>VZDRTYSW5A3AFC7FXPRW</t>
  </si>
  <si>
    <t>0RTI</t>
  </si>
  <si>
    <t>BB9HRVZ5AW6U63AB6JLG</t>
  </si>
  <si>
    <t>402S</t>
  </si>
  <si>
    <t>77PK8TVZMP88QX0HP8Y5</t>
  </si>
  <si>
    <t>PO</t>
  </si>
  <si>
    <t>IMR2</t>
  </si>
  <si>
    <t>DNFQW5LHQ7W9SLP88IWF</t>
  </si>
  <si>
    <t>V1IS</t>
  </si>
  <si>
    <t>XYBTQH8VEXPAM6K4AZU0</t>
  </si>
  <si>
    <t>WOH4</t>
  </si>
  <si>
    <t>3752AU2MUOXW9ATS46T6</t>
  </si>
  <si>
    <t>8S8M</t>
  </si>
  <si>
    <t>TD0E4YJC8P4XH57HSOAL</t>
  </si>
  <si>
    <t>4AKU</t>
  </si>
  <si>
    <t>2KGMIUW00SV8ZDTGGJKY</t>
  </si>
  <si>
    <t>G3VX</t>
  </si>
  <si>
    <t>20PZSKCF9QEFUN52WV8N</t>
  </si>
  <si>
    <t>BXAL</t>
  </si>
  <si>
    <t>IGGV4OL0HYOI9ZZ5VVQI</t>
  </si>
  <si>
    <t>MMJO</t>
  </si>
  <si>
    <t>3121XORQO0NWEXKU81U0</t>
  </si>
  <si>
    <t>H0NY</t>
  </si>
  <si>
    <t>QKOIQQW6T6M5V4L1UI6R</t>
  </si>
  <si>
    <t>52JW</t>
  </si>
  <si>
    <t>UVQ1BQ1498OA6PDJYFKY</t>
  </si>
  <si>
    <t>ZOQP</t>
  </si>
  <si>
    <t>R016MVRTTEQ9UGFAHJA5</t>
  </si>
  <si>
    <t>U7A2</t>
  </si>
  <si>
    <t>RS1M4I57EBSIW50LK3X5</t>
  </si>
  <si>
    <t>6A2I</t>
  </si>
  <si>
    <t>1QLDTK78RVCL077UNCU5</t>
  </si>
  <si>
    <t>QC9Y</t>
  </si>
  <si>
    <t>OXJTNACR6KP1HUIEAMPN</t>
  </si>
  <si>
    <t>CW</t>
  </si>
  <si>
    <t>VMKB</t>
  </si>
  <si>
    <t>TSCB601P0E5WYHGH7DJC</t>
  </si>
  <si>
    <t>XOBW</t>
  </si>
  <si>
    <t>BVKD54NF1UKA00FZ9G1N</t>
  </si>
  <si>
    <t>D6CH</t>
  </si>
  <si>
    <t>W5ANGOWIKOK15B0TQD2N</t>
  </si>
  <si>
    <t>NQWS</t>
  </si>
  <si>
    <t>IHI8X99NHOVMFKDTWFT3</t>
  </si>
  <si>
    <t>IZ5C</t>
  </si>
  <si>
    <t>F2SDTPETBSC2LOFJOM9H</t>
  </si>
  <si>
    <t>PX</t>
  </si>
  <si>
    <t>WG6Z</t>
  </si>
  <si>
    <t>9C2CEB8M3E8K09IKUWCY</t>
  </si>
  <si>
    <t>41DG</t>
  </si>
  <si>
    <t>44YVMTAX3KUUQYJ4QKCF</t>
  </si>
  <si>
    <t>OMDL</t>
  </si>
  <si>
    <t>5C9AH2DEK5TWS86GRKLE</t>
  </si>
  <si>
    <t>8PJB</t>
  </si>
  <si>
    <t>SEDSN2JGV5DZMWMX1MI7</t>
  </si>
  <si>
    <t>4G7R</t>
  </si>
  <si>
    <t>OZ9FII6508X7MPP4F7XQ</t>
  </si>
  <si>
    <t>82SF</t>
  </si>
  <si>
    <t>5CVEEVRXVNEEO20IC8TO</t>
  </si>
  <si>
    <t>PU20</t>
  </si>
  <si>
    <t>LJ644DQFZJXSDKL2UHNE</t>
  </si>
  <si>
    <t>0SPW</t>
  </si>
  <si>
    <t>Z5OD4D1SGTNKU3J417ZF</t>
  </si>
  <si>
    <t>CS</t>
  </si>
  <si>
    <t>UFJ0</t>
  </si>
  <si>
    <t>IE6EOBN669HD1JE760H4</t>
  </si>
  <si>
    <t>QEUN</t>
  </si>
  <si>
    <t>FPPJSVNAKQFTZV7NE001</t>
  </si>
  <si>
    <t>WADJ</t>
  </si>
  <si>
    <t>EJ09D8T3HBOS83ASK7B7</t>
  </si>
  <si>
    <t>8ZOD</t>
  </si>
  <si>
    <t>D73NQM0QY4D5K1EWOBO5</t>
  </si>
  <si>
    <t>NKA9</t>
  </si>
  <si>
    <t>UUFTE7RX1W06B82Y9491</t>
  </si>
  <si>
    <t>UQTLPW28CQ8PN93EFP88</t>
  </si>
  <si>
    <t>QGAF</t>
  </si>
  <si>
    <t>C5CKIF30AAHII9L0CX3K</t>
  </si>
  <si>
    <t>V3FY</t>
  </si>
  <si>
    <t>8UT4RH6NMZGWHANI4GPK</t>
  </si>
  <si>
    <t>0V89</t>
  </si>
  <si>
    <t>TMW91WBTLJ1DWCHKIO15</t>
  </si>
  <si>
    <t>TEAE</t>
  </si>
  <si>
    <t>RKOY4SSWHHO780WGHIX7</t>
  </si>
  <si>
    <t>KGYV</t>
  </si>
  <si>
    <t>AJWDXJAFW1V9CO693T5V</t>
  </si>
  <si>
    <t>MBAP</t>
  </si>
  <si>
    <t>FS14C4KFIVQ7PWS6YDVX</t>
  </si>
  <si>
    <t>D0BM</t>
  </si>
  <si>
    <t>1O99LVXLBY4MWRWQZR4Z</t>
  </si>
  <si>
    <t>SOBA</t>
  </si>
  <si>
    <t>7O010T8DALG6VM6RUM6A</t>
  </si>
  <si>
    <t>2O9H</t>
  </si>
  <si>
    <t>OP9AZK236W840K2JGTO2</t>
  </si>
  <si>
    <t>7NUC</t>
  </si>
  <si>
    <t>5TXUXTS81RRP4UVAJVG7</t>
  </si>
  <si>
    <t>GYSP</t>
  </si>
  <si>
    <t>UOWQ70IMYCQ5JM3BWJNY</t>
  </si>
  <si>
    <t>WO4I</t>
  </si>
  <si>
    <t>0YADWP0EGFHA8IZU54Q2</t>
  </si>
  <si>
    <t>ZL</t>
  </si>
  <si>
    <t>PWV3</t>
  </si>
  <si>
    <t>NOP2FHQGVYZOHQH8BBTZ</t>
  </si>
  <si>
    <t>GMUS</t>
  </si>
  <si>
    <t>S8K0VTZG1EXNA4ZY12LI</t>
  </si>
  <si>
    <t>HPX0</t>
  </si>
  <si>
    <t>JMPHKWAUV1NM57T4RAC6</t>
  </si>
  <si>
    <t>7L01</t>
  </si>
  <si>
    <t>7R3JSM0TTV6OUS5KZYMK</t>
  </si>
  <si>
    <t>LUG6</t>
  </si>
  <si>
    <t>IPYVT1MJJOVFZSBOFF6K</t>
  </si>
  <si>
    <t>D2Y7</t>
  </si>
  <si>
    <t>HQFRQHRCTJK6K5SUC17W</t>
  </si>
  <si>
    <t>HQU8</t>
  </si>
  <si>
    <t>V11U5PKU3DAERMYFHGX7</t>
  </si>
  <si>
    <t>LJT5</t>
  </si>
  <si>
    <t>VVHQKOXE8E7WQIVO66LZ</t>
  </si>
  <si>
    <t>B4VL</t>
  </si>
  <si>
    <t>FZVWSE9MLIZJ73EX7TG0</t>
  </si>
  <si>
    <t>VUIP</t>
  </si>
  <si>
    <t>MPI9TS4UTW8AJZ5JVVME</t>
  </si>
  <si>
    <t>6U0Q</t>
  </si>
  <si>
    <t>RSONUU8MO2E240PMEPL6</t>
  </si>
  <si>
    <t>4R7G</t>
  </si>
  <si>
    <t>1VDYIZB0HBJAMMRPKS1T</t>
  </si>
  <si>
    <t>N5X9</t>
  </si>
  <si>
    <t>DPIKCVHMG75XJD5K8K9F</t>
  </si>
  <si>
    <t>SC3C</t>
  </si>
  <si>
    <t>J701PWQSDNV3O2DZX9SE</t>
  </si>
  <si>
    <t>2VNK</t>
  </si>
  <si>
    <t>113J9UZ54EV40JQCRC0P</t>
  </si>
  <si>
    <t>YRVN</t>
  </si>
  <si>
    <t>VIRMNT1XND6DQCNGGWRV</t>
  </si>
  <si>
    <t>9H8D</t>
  </si>
  <si>
    <t>4K773VVMSRHQODXMX3R8</t>
  </si>
  <si>
    <t>X2LP</t>
  </si>
  <si>
    <t>VUAR4N8A4SW9OMMZJ2NF</t>
  </si>
  <si>
    <t>ILQW</t>
  </si>
  <si>
    <t>V6EJW6IDMU548UFI7422</t>
  </si>
  <si>
    <t>YE7Y</t>
  </si>
  <si>
    <t>UJS5EKFQO2RCP2K7CRUF</t>
  </si>
  <si>
    <t>3G8M</t>
  </si>
  <si>
    <t>8DT9IJ1Q0MFE7XIC3HWS</t>
  </si>
  <si>
    <t>HKUF</t>
  </si>
  <si>
    <t>XIUEKO0BVOCDA63T2LGO</t>
  </si>
  <si>
    <t>TGET</t>
  </si>
  <si>
    <t>SKC3E86AB5O0CBTS5H6B</t>
  </si>
  <si>
    <t>US</t>
  </si>
  <si>
    <t>UGIU</t>
  </si>
  <si>
    <t>HVIMKQ7DV2MH0NDPFUU2</t>
  </si>
  <si>
    <t>S8N4</t>
  </si>
  <si>
    <t>8W4IRFUCQSLBZE6ZLYPZ</t>
  </si>
  <si>
    <t>RFIF</t>
  </si>
  <si>
    <t>LATR2PCVCIKKMB8IJ1IR</t>
  </si>
  <si>
    <t>1TP7</t>
  </si>
  <si>
    <t>9XELG5JSXWOT2H1ZPWP2</t>
  </si>
  <si>
    <t>TB3N</t>
  </si>
  <si>
    <t>495JNXV25MGEFDWS9I8T</t>
  </si>
  <si>
    <t>LVBU</t>
  </si>
  <si>
    <t>AZK9QPPY9HIL4GI32P9T</t>
  </si>
  <si>
    <t>93P9</t>
  </si>
  <si>
    <t>QTJSPKT5OYAVRIAZ09TN</t>
  </si>
  <si>
    <t>2AP2</t>
  </si>
  <si>
    <t>5NNTYWH2NM9EKACOSF6K</t>
  </si>
  <si>
    <t>2R22</t>
  </si>
  <si>
    <t>UU7C1JKPBDB0AHK404C4</t>
  </si>
  <si>
    <t>GC9T</t>
  </si>
  <si>
    <t>29K11IWEX6QGS3JTDRAS</t>
  </si>
  <si>
    <t>XOZ7</t>
  </si>
  <si>
    <t>GJIQF4HV6GH0LS6NM3P9</t>
  </si>
  <si>
    <t>MYZA</t>
  </si>
  <si>
    <t>OR4VQEQYGNMQPQURQCT9</t>
  </si>
  <si>
    <t>IT</t>
  </si>
  <si>
    <t>FJ5X</t>
  </si>
  <si>
    <t>ANZZL97GD5E5CZ25JK47</t>
  </si>
  <si>
    <t>GO3S</t>
  </si>
  <si>
    <t>G72FCZQ2CFORQ8FNY7KA</t>
  </si>
  <si>
    <t>7GCB</t>
  </si>
  <si>
    <t>RIPZFS3B50707BE5D6NS</t>
  </si>
  <si>
    <t>SZR0</t>
  </si>
  <si>
    <t>00VTVTVCVMI0QFMCK7WQ</t>
  </si>
  <si>
    <t>KGCI</t>
  </si>
  <si>
    <t>OR9WBZCTCQPQ2Z6BRQV6</t>
  </si>
  <si>
    <t>8O8L</t>
  </si>
  <si>
    <t>BVQJ6YE7MZLAUFN9KCVZ</t>
  </si>
  <si>
    <t>SQK5</t>
  </si>
  <si>
    <t>AN5J0AUALE2JWH6RCEDH</t>
  </si>
  <si>
    <t>97AQ</t>
  </si>
  <si>
    <t>SXWH8JZWD0CQZG4J9NYC</t>
  </si>
  <si>
    <t>WYH3</t>
  </si>
  <si>
    <t>8FU9QGC8IQ67J6QSFB78</t>
  </si>
  <si>
    <t>CWJP</t>
  </si>
  <si>
    <t>6NPX4ZFFQLMA8ZNUGCTH</t>
  </si>
  <si>
    <t>OYR0</t>
  </si>
  <si>
    <t>02H23I66OHO7VZ9AA0PE</t>
  </si>
  <si>
    <t>WTZ9</t>
  </si>
  <si>
    <t>61IIZCP3IUGC16L6ZZES</t>
  </si>
  <si>
    <t>6HDH</t>
  </si>
  <si>
    <t>9AYALLA9N28YE0UJP8L7</t>
  </si>
  <si>
    <t>OTFE</t>
  </si>
  <si>
    <t>U67QXV5JW2K00697YHVG</t>
  </si>
  <si>
    <t>IYPZ</t>
  </si>
  <si>
    <t>U6F24M4P3QPTJ2GHPBCS</t>
  </si>
  <si>
    <t>K7N8</t>
  </si>
  <si>
    <t>XXOJDN99E75R9VCBTRUA</t>
  </si>
  <si>
    <t>ATHL</t>
  </si>
  <si>
    <t>GV15H3LO8WRTIWER7IEQ</t>
  </si>
  <si>
    <t>S79F</t>
  </si>
  <si>
    <t>OIYIMUEL5FFMGPPS6LXB</t>
  </si>
  <si>
    <t>ETLY</t>
  </si>
  <si>
    <t>8KQK9EXBPCQLIQAC8YLC</t>
  </si>
  <si>
    <t>IK</t>
  </si>
  <si>
    <t>0JHP</t>
  </si>
  <si>
    <t>FHT3W7Y0HD8CSX6WY0SN</t>
  </si>
  <si>
    <t>OLIC</t>
  </si>
  <si>
    <t>Z6UMA2RPTKJMUONFVWLU</t>
  </si>
  <si>
    <t>VVP3</t>
  </si>
  <si>
    <t>HKPJ1TZUCHDTAJ7FIUZH</t>
  </si>
  <si>
    <t>0UTL</t>
  </si>
  <si>
    <t>FXIQC0U9GM6V43UX6YEJ</t>
  </si>
  <si>
    <t>XDWJ</t>
  </si>
  <si>
    <t>C316WNBI4XY829W97WQV</t>
  </si>
  <si>
    <t>B7ZD</t>
  </si>
  <si>
    <t>J76B66NVWR4WGCU126VF</t>
  </si>
  <si>
    <t>2TFQ</t>
  </si>
  <si>
    <t>3L9KWNDB6TGYH25VHUBG</t>
  </si>
  <si>
    <t>MJVI</t>
  </si>
  <si>
    <t>ASUCM70FV1UG76A1QKBW</t>
  </si>
  <si>
    <t>PMBG</t>
  </si>
  <si>
    <t>LRPXM6ZP90ES37CKMKDT</t>
  </si>
  <si>
    <t>EWLU</t>
  </si>
  <si>
    <t>GECE3R7MJHIBN2ILODVG</t>
  </si>
  <si>
    <t>JOCT</t>
  </si>
  <si>
    <t>Y1I5UFBQBJLKZT1NUEKN</t>
  </si>
  <si>
    <t>53NC</t>
  </si>
  <si>
    <t>836LI5LRE95KQW998Q7R</t>
  </si>
  <si>
    <t>IKUN</t>
  </si>
  <si>
    <t>NV9HJVIHC8TGAVIR2AIR</t>
  </si>
  <si>
    <t>JA1U</t>
  </si>
  <si>
    <t>M9HBQJYTGDI7LX53G8JK</t>
  </si>
  <si>
    <t>ZNDM</t>
  </si>
  <si>
    <t>57OLB7QIF35XLEEH64G3</t>
  </si>
  <si>
    <t>UPJD</t>
  </si>
  <si>
    <t>3DWG1O84AE941ITH5PXR</t>
  </si>
  <si>
    <t>254E</t>
  </si>
  <si>
    <t>EICESCM482EGJRIVW9HJ</t>
  </si>
  <si>
    <t>SJYZ</t>
  </si>
  <si>
    <t>ZIN3OZ4EES96GCN6UWCQ</t>
  </si>
  <si>
    <t>ZRNO</t>
  </si>
  <si>
    <t>B0ZX085NEZ5E6CGA2AXW</t>
  </si>
  <si>
    <t>ZBDF</t>
  </si>
  <si>
    <t>KSS0XO01YJ9PDEP60XD7</t>
  </si>
  <si>
    <t>420M</t>
  </si>
  <si>
    <t>F4K1W83GXQCOJAKLNVCG</t>
  </si>
  <si>
    <t>EF9E</t>
  </si>
  <si>
    <t>WM8OCYK1CSFWQE8OPRHI</t>
  </si>
  <si>
    <t>APF6</t>
  </si>
  <si>
    <t>2OBFEMJ8V2WAFCKEG225</t>
  </si>
  <si>
    <t>SZLP</t>
  </si>
  <si>
    <t>VYK45AZY0N6M8WDSOANG</t>
  </si>
  <si>
    <t>3G87</t>
  </si>
  <si>
    <t>XU44B045MAJGF7WJMWXJ</t>
  </si>
  <si>
    <t>S29D</t>
  </si>
  <si>
    <t>16YUUC1MFBAVTK9RI4LF</t>
  </si>
  <si>
    <t>JF</t>
  </si>
  <si>
    <t>8JC9</t>
  </si>
  <si>
    <t>J842ZL61H0UD746AFBWX</t>
  </si>
  <si>
    <t>MNIZ</t>
  </si>
  <si>
    <t>EUIYUQK1JFLE5FO0J29F</t>
  </si>
  <si>
    <t>W0ME</t>
  </si>
  <si>
    <t>Y3NV5ATHCT85C0RQWWUO</t>
  </si>
  <si>
    <t>NM59</t>
  </si>
  <si>
    <t>Y2FVQ7K6QXW28IY72GD9</t>
  </si>
  <si>
    <t>HRY4</t>
  </si>
  <si>
    <t>GU9OGM36A6MCNK2VO7BV</t>
  </si>
  <si>
    <t>UNJH</t>
  </si>
  <si>
    <t>JT0G3N10IZ25QNKICEF1</t>
  </si>
  <si>
    <t>JC</t>
  </si>
  <si>
    <t>6OJX</t>
  </si>
  <si>
    <t>5ORA5BFWSW0HHW5PQEHF</t>
  </si>
  <si>
    <t>4Z5D</t>
  </si>
  <si>
    <t>PQHTHYKOTTWPFQD232S3</t>
  </si>
  <si>
    <t>BWWE</t>
  </si>
  <si>
    <t>FDI6J6RFPQ74OXWQKB97</t>
  </si>
  <si>
    <t>BYUG</t>
  </si>
  <si>
    <t>TAFUCTHU7NFUQT6SD5JC</t>
  </si>
  <si>
    <t>TRZF</t>
  </si>
  <si>
    <t>C60C8ZB39SI6LQN93QP7</t>
  </si>
  <si>
    <t>Z6CW</t>
  </si>
  <si>
    <t>6DZUGHOCAI230NOJYPA4</t>
  </si>
  <si>
    <t>RHJI</t>
  </si>
  <si>
    <t>ZL9TVOVRVO98O2US6LTJ</t>
  </si>
  <si>
    <t>HI</t>
  </si>
  <si>
    <t>QG4V</t>
  </si>
  <si>
    <t>9S3W29QYEQVONMAFN0BL</t>
  </si>
  <si>
    <t>ACQI</t>
  </si>
  <si>
    <t>MO6II8V87BCSYW9MLHZI</t>
  </si>
  <si>
    <t>342F</t>
  </si>
  <si>
    <t>KU0WUQ07MP41Z3VDAHM5</t>
  </si>
  <si>
    <t>AYWA</t>
  </si>
  <si>
    <t>98TS8Z0ROG5NVX725I1B</t>
  </si>
  <si>
    <t>KOKO</t>
  </si>
  <si>
    <t>Y6DSWECFX4Z7BWH89A72</t>
  </si>
  <si>
    <t>0QO7</t>
  </si>
  <si>
    <t>ON25IETPODEHIZIP8HX7</t>
  </si>
  <si>
    <t>9TMI</t>
  </si>
  <si>
    <t>UW04BV4CXPSBFJPZCMTE</t>
  </si>
  <si>
    <t>PQGA</t>
  </si>
  <si>
    <t>7D86FHE1SKGFNUNYDJEY</t>
  </si>
  <si>
    <t>5YQ4</t>
  </si>
  <si>
    <t>9Q4R6VOAZISU3LRQFJ3E</t>
  </si>
  <si>
    <t>BHC2</t>
  </si>
  <si>
    <t>LU5G3FQDA43C96AGWBGB</t>
  </si>
  <si>
    <t>PY</t>
  </si>
  <si>
    <t>9ID2</t>
  </si>
  <si>
    <t>EWNMA9UGVFKQCGLS09C8</t>
  </si>
  <si>
    <t>ESFP</t>
  </si>
  <si>
    <t>6D3IZ2MIKC9EIK28QPNN</t>
  </si>
  <si>
    <t>9EZS</t>
  </si>
  <si>
    <t>7CKDQABFP8DQHWHR7XS9</t>
  </si>
  <si>
    <t>6APE</t>
  </si>
  <si>
    <t>907FNR3CA6Z629TOL7HV</t>
  </si>
  <si>
    <t>P9Y1</t>
  </si>
  <si>
    <t>FRHGO0SED76IVRAPNT8M</t>
  </si>
  <si>
    <t>7TEB</t>
  </si>
  <si>
    <t>FDMGRYJV513DWYCFTJO7</t>
  </si>
  <si>
    <t>3EJW</t>
  </si>
  <si>
    <t>GD1K91UL1L0D1GXNQLSD</t>
  </si>
  <si>
    <t>TASX</t>
  </si>
  <si>
    <t>MLHEHD73KHQ4UO6IOZJC</t>
  </si>
  <si>
    <t>MQ</t>
  </si>
  <si>
    <t>J39A</t>
  </si>
  <si>
    <t>Y4QNUTIFQ7M10FOXRWBB</t>
  </si>
  <si>
    <t>92DY</t>
  </si>
  <si>
    <t>K8L4Z0Q8PIVY5Q26J04S</t>
  </si>
  <si>
    <t>X04I</t>
  </si>
  <si>
    <t>E9XAD65OHQ92JJQZNWM0</t>
  </si>
  <si>
    <t>MHDC</t>
  </si>
  <si>
    <t>B2X3UY58DEXN292O90CG</t>
  </si>
  <si>
    <t>JE</t>
  </si>
  <si>
    <t>U7ML</t>
  </si>
  <si>
    <t>V98NBB830RVE1370APIV</t>
  </si>
  <si>
    <t>DL86</t>
  </si>
  <si>
    <t>AVVAQZOKQ98NV5VY9DIW</t>
  </si>
  <si>
    <t>HG2N</t>
  </si>
  <si>
    <t>V0DMMY9XUQIR02JNZYTR</t>
  </si>
  <si>
    <t>7VRR</t>
  </si>
  <si>
    <t>I3HB2SKCH58W3JGM7FG5</t>
  </si>
  <si>
    <t>BYJH</t>
  </si>
  <si>
    <t>E4TOS7NKTK0HDM22QNO2</t>
  </si>
  <si>
    <t>OPMI</t>
  </si>
  <si>
    <t>H09PMJKFLTZ9O7Z8T3C2</t>
  </si>
  <si>
    <t>IP</t>
  </si>
  <si>
    <t>0PDQ</t>
  </si>
  <si>
    <t>95NNG4LKTSUCQU6BRCLX</t>
  </si>
  <si>
    <t>7W3O</t>
  </si>
  <si>
    <t>YFLSNSNU4L42S28AJPLH</t>
  </si>
  <si>
    <t>1EUU</t>
  </si>
  <si>
    <t>0LPUUW5CWA2ZM6PQ4NGZ</t>
  </si>
  <si>
    <t>OXZW</t>
  </si>
  <si>
    <t>ULK48YNLAA7K6RUE7JOK</t>
  </si>
  <si>
    <t>MEOO</t>
  </si>
  <si>
    <t>1HYIODSS5I0I4DI8BUW5</t>
  </si>
  <si>
    <t>WK3X</t>
  </si>
  <si>
    <t>2XFGP8GRIDJ81DDTKJON</t>
  </si>
  <si>
    <t>I8SV</t>
  </si>
  <si>
    <t>5F3EB9XC3NSQ8560UYQD</t>
  </si>
  <si>
    <t>Q6PS</t>
  </si>
  <si>
    <t>P4SC8L8QXUBNRFRHO15N</t>
  </si>
  <si>
    <t>ZXD7</t>
  </si>
  <si>
    <t>XO1344QLFZ4N2KEB83NO</t>
  </si>
  <si>
    <t>2C34</t>
  </si>
  <si>
    <t>PQRE8LD9RI3NB49W96ZW</t>
  </si>
  <si>
    <t>WLR0</t>
  </si>
  <si>
    <t>BNKP8XMMJA1YS56BE8N9</t>
  </si>
  <si>
    <t>JJC7</t>
  </si>
  <si>
    <t>24ASAW96VKVLNEY6884G</t>
  </si>
  <si>
    <t>52AG</t>
  </si>
  <si>
    <t>A7OPGU8XIODCTK7YSCWS</t>
  </si>
  <si>
    <t>YZ</t>
  </si>
  <si>
    <t>SZSK</t>
  </si>
  <si>
    <t>IW9G1PRF8TO1CC9FT9L4</t>
  </si>
  <si>
    <t>SY9Q</t>
  </si>
  <si>
    <t>QZ0Y77LRNRASL3WCXE0V</t>
  </si>
  <si>
    <t>QH9I</t>
  </si>
  <si>
    <t>F6UQG0NCOB2DTKX13I7L</t>
  </si>
  <si>
    <t>T1CF</t>
  </si>
  <si>
    <t>DVFIEI5RI3X4PCARPZFJ</t>
  </si>
  <si>
    <t>BBAZ</t>
  </si>
  <si>
    <t>KF0QFWF8711YV2U8HX9K</t>
  </si>
  <si>
    <t>08G5</t>
  </si>
  <si>
    <t>TC9EM2FKZD5YNPKBBRDZ</t>
  </si>
  <si>
    <t>N4OR</t>
  </si>
  <si>
    <t>12XMNOXK7HODYLX9535D</t>
  </si>
  <si>
    <t>Z4KK</t>
  </si>
  <si>
    <t>BZXMFOBQO90FW113H7V4</t>
  </si>
  <si>
    <t>2DKC</t>
  </si>
  <si>
    <t>2T7JE43DXTD7QDP6ZU6U</t>
  </si>
  <si>
    <t>X6TH</t>
  </si>
  <si>
    <t>OPB4VSDSGBIN7WGWKONZ</t>
  </si>
  <si>
    <t>SS</t>
  </si>
  <si>
    <t>3RM0</t>
  </si>
  <si>
    <t>2XUI64JJJ6XJSDWLY6XC</t>
  </si>
  <si>
    <t>9IHC</t>
  </si>
  <si>
    <t>WS75FCRY43I93NNQCYR4</t>
  </si>
  <si>
    <t>NLY6</t>
  </si>
  <si>
    <t>8DOLD3Q5X2RI6SE48RFW</t>
  </si>
  <si>
    <t>XW6Z</t>
  </si>
  <si>
    <t>MTRON87NZMDY8SPO3IYT</t>
  </si>
  <si>
    <t>EMUP</t>
  </si>
  <si>
    <t>V8N91M9KCA6NZUQUC2VF</t>
  </si>
  <si>
    <t>3AD4</t>
  </si>
  <si>
    <t>1YP2YDOHGS8LJ0XW0E80</t>
  </si>
  <si>
    <t>SW46</t>
  </si>
  <si>
    <t>PVPZNFCWLTRQ71CTQE7O</t>
  </si>
  <si>
    <t>4IR4</t>
  </si>
  <si>
    <t>SNW1U837PTCZNGBLUXNS</t>
  </si>
  <si>
    <t>FUN0</t>
  </si>
  <si>
    <t>7TPGYFT3SZXHI23XOCED</t>
  </si>
  <si>
    <t>YKIF</t>
  </si>
  <si>
    <t>TLPVRAP1MVWXL0GP5NG4</t>
  </si>
  <si>
    <t>T6MY</t>
  </si>
  <si>
    <t>MXTKFQOF52BGQCCJGD91</t>
  </si>
  <si>
    <t>AHCY</t>
  </si>
  <si>
    <t>DV2MPGGFU8FXGE354FK0</t>
  </si>
  <si>
    <t>4ADQ</t>
  </si>
  <si>
    <t>KDDLLEDQ3DN6SHC1H8JF</t>
  </si>
  <si>
    <t>D12N</t>
  </si>
  <si>
    <t>UO2DKO34SP80YB2BRQ8N</t>
  </si>
  <si>
    <t>P4MD</t>
  </si>
  <si>
    <t>AE2415DQSFLCN2WX9DK6</t>
  </si>
  <si>
    <t>UW</t>
  </si>
  <si>
    <t>7GNQ</t>
  </si>
  <si>
    <t>6DY4GMZ3R44O4W745FW5</t>
  </si>
  <si>
    <t>X9OD</t>
  </si>
  <si>
    <t>LYDZ5LAD3TL75I12PML2</t>
  </si>
  <si>
    <t>ZNID</t>
  </si>
  <si>
    <t>D0NYHDEINDFM9XHBLOBK</t>
  </si>
  <si>
    <t>MJ3B</t>
  </si>
  <si>
    <t>CD5I3R0SJPA4QY4QXUIF</t>
  </si>
  <si>
    <t>02SN</t>
  </si>
  <si>
    <t>NJ8OJY9RA4UHM4JXUEB5</t>
  </si>
  <si>
    <t>GM6X</t>
  </si>
  <si>
    <t>O79OJ3XTYLRGLGUJZ29T</t>
  </si>
  <si>
    <t>ZYZ2</t>
  </si>
  <si>
    <t>DUBBJ6HAFLEJO2IANC45</t>
  </si>
  <si>
    <t>GF13</t>
  </si>
  <si>
    <t>90EH0MHV3SUJZG2V5NQP</t>
  </si>
  <si>
    <t>P1UN</t>
  </si>
  <si>
    <t>JMMW9TZVRBKVIMJGW1CK</t>
  </si>
  <si>
    <t>36H6</t>
  </si>
  <si>
    <t>Y9PTWRUWP7HNPWLRFLPS</t>
  </si>
  <si>
    <t>DKD1</t>
  </si>
  <si>
    <t>RK045U91BV0IYITTGZPT</t>
  </si>
  <si>
    <t>WLI9</t>
  </si>
  <si>
    <t>MA00MN7558KVXC8G7SKW</t>
  </si>
  <si>
    <t>A591</t>
  </si>
  <si>
    <t>ESYH9S8A11HUUACX2B8C</t>
  </si>
  <si>
    <t>S040</t>
  </si>
  <si>
    <t>8RCLCD8E4L1U6PX76PZI</t>
  </si>
  <si>
    <t>CH1M</t>
  </si>
  <si>
    <t>PKS2BCFIKMWRUZ4I1DEM</t>
  </si>
  <si>
    <t>IKYO</t>
  </si>
  <si>
    <t>58Z8RPRSYAZ9T1UG5157</t>
  </si>
  <si>
    <t>RCMK</t>
  </si>
  <si>
    <t>2VUNPMFM3R85QUW5RXFF</t>
  </si>
  <si>
    <t>8XWC</t>
  </si>
  <si>
    <t>NX3PYAJOQCIJCGN6CO69</t>
  </si>
  <si>
    <t>987C</t>
  </si>
  <si>
    <t>LPPEJZSLZGC8UQDI8E8Q</t>
  </si>
  <si>
    <t>0QIA</t>
  </si>
  <si>
    <t>8816GFYIDKZURGOPC2XF</t>
  </si>
  <si>
    <t>VMC6</t>
  </si>
  <si>
    <t>KILBUSWLJBQ9X8XFBECV</t>
  </si>
  <si>
    <t>0PAL</t>
  </si>
  <si>
    <t>N2FRPPPLVOBS94LXK1N3</t>
  </si>
  <si>
    <t>P10T</t>
  </si>
  <si>
    <t>42HLX5TTLFQY5VDN579I</t>
  </si>
  <si>
    <t>IMDO</t>
  </si>
  <si>
    <t>1SX31ZV4GQESTJ9MNE34</t>
  </si>
  <si>
    <t>NX5B</t>
  </si>
  <si>
    <t>RT636IFE3DHVJZ6I52YM</t>
  </si>
  <si>
    <t>7Q92</t>
  </si>
  <si>
    <t>1GVJC5P71HJYE9MON081</t>
  </si>
  <si>
    <t>P15S</t>
  </si>
  <si>
    <t>5CLOBBQ6RM0M3WEILK3Y</t>
  </si>
  <si>
    <t>7ZSS</t>
  </si>
  <si>
    <t>N2OD1X5K95L0WKDTRCKG</t>
  </si>
  <si>
    <t>3U54</t>
  </si>
  <si>
    <t>K10Q9973G8ZQUF97A750</t>
  </si>
  <si>
    <t>KQ3Z</t>
  </si>
  <si>
    <t>CA77XTKAVHHMRETL8Z3Z</t>
  </si>
  <si>
    <t>IADL</t>
  </si>
  <si>
    <t>ERYXT3VD2HDRUBA80TDP</t>
  </si>
  <si>
    <t>ID8R</t>
  </si>
  <si>
    <t>G8I2CL8O6CY6WQIGZHL6</t>
  </si>
  <si>
    <t>Y5KF</t>
  </si>
  <si>
    <t>HKURAU3RDWBIP0QXY8FS</t>
  </si>
  <si>
    <t>41HB</t>
  </si>
  <si>
    <t>MHI1NK5INRVFR599PSFZ</t>
  </si>
  <si>
    <t>I0I2</t>
  </si>
  <si>
    <t>8Y5A6J9KYFICAD74LRK8</t>
  </si>
  <si>
    <t>6A6N</t>
  </si>
  <si>
    <t>DW0A3MA223IHTN5CT9FA</t>
  </si>
  <si>
    <t>0G3B</t>
  </si>
  <si>
    <t>QKLFIWR5U23V0MAO4L4L</t>
  </si>
  <si>
    <t>H29Z</t>
  </si>
  <si>
    <t>TQ2WUTT6MSKVYK3APAO8</t>
  </si>
  <si>
    <t>NDUV</t>
  </si>
  <si>
    <t>GOQCHTEBLOQ6ZMGZVKA0</t>
  </si>
  <si>
    <t>5TQM</t>
  </si>
  <si>
    <t>VWAM4TUY9N9HBLW3J980</t>
  </si>
  <si>
    <t>0V6F</t>
  </si>
  <si>
    <t>LZMG2R3NUIJU7JEZVKA2</t>
  </si>
  <si>
    <t>OF18</t>
  </si>
  <si>
    <t>IO3XO8GS3ZWJ7R3BM1NG</t>
  </si>
  <si>
    <t>B4OR</t>
  </si>
  <si>
    <t>DRHOTH4KJVK7C0SF3I1F</t>
  </si>
  <si>
    <t>SP9M</t>
  </si>
  <si>
    <t>7DOYUXAMCBZE0KCE2WDX</t>
  </si>
  <si>
    <t>HL30</t>
  </si>
  <si>
    <t>ODF4NO2SBL5QNNCIJGGO</t>
  </si>
  <si>
    <t>7CVH</t>
  </si>
  <si>
    <t>AH45HINVT3WJ7D1DDPD0</t>
  </si>
  <si>
    <t>SY8T</t>
  </si>
  <si>
    <t>9HXFUBSQEM9J5JASGE48</t>
  </si>
  <si>
    <t>ADIE</t>
  </si>
  <si>
    <t>6KHZBB9Y5J2606VRC91D</t>
  </si>
  <si>
    <t>M4AI</t>
  </si>
  <si>
    <t>UQMEYDV8JLVWOLHFQ04H</t>
  </si>
  <si>
    <t>B6UW</t>
  </si>
  <si>
    <t>B92QIZET1FTIE8SY6DTL</t>
  </si>
  <si>
    <t>HTA9</t>
  </si>
  <si>
    <t>AAM685BYM2WGB51YEHDR</t>
  </si>
  <si>
    <t>HATC</t>
  </si>
  <si>
    <t>2639MFJYNMB3J8XC131P</t>
  </si>
  <si>
    <t>6IP7</t>
  </si>
  <si>
    <t>I2AIDZF73TPG1UQSK70Y</t>
  </si>
  <si>
    <t>2ENB</t>
  </si>
  <si>
    <t>Y7WYIBTGFI4BAACD3BLM</t>
  </si>
  <si>
    <t>RITI</t>
  </si>
  <si>
    <t>6EEQNJXZEFBOOJKXU52J</t>
  </si>
  <si>
    <t>ZY5T</t>
  </si>
  <si>
    <t>0DM9LG962C42GHFYTL9B</t>
  </si>
  <si>
    <t>ZYX2</t>
  </si>
  <si>
    <t>K1K02GJZH2WGXTFPYTWH</t>
  </si>
  <si>
    <t>RUXC</t>
  </si>
  <si>
    <t>F3AWTWR3VKBMDQEKV9ZD</t>
  </si>
  <si>
    <t>QI2Q</t>
  </si>
  <si>
    <t>IO6NL02AFSL8E8CAJVK8</t>
  </si>
  <si>
    <t>ZHZE</t>
  </si>
  <si>
    <t>9XDIXJZTFPMUNVIXPHTN</t>
  </si>
  <si>
    <t>JVT8</t>
  </si>
  <si>
    <t>BNDRDGKWZOJMC1E30Z5P</t>
  </si>
  <si>
    <t>50J5</t>
  </si>
  <si>
    <t>GFV112UUM064W0ZL5LQ6</t>
  </si>
  <si>
    <t>KORI</t>
  </si>
  <si>
    <t>IYP98708H6UICBVTJD7Q</t>
  </si>
  <si>
    <t>TQ5E</t>
  </si>
  <si>
    <t>18SHKVXVKHHLFYJQD1XH</t>
  </si>
  <si>
    <t>MV0T</t>
  </si>
  <si>
    <t>7ZPJ2PT8EOWOYEK26779</t>
  </si>
  <si>
    <t>R1OZ</t>
  </si>
  <si>
    <t>M5T9261WLTVJF1IX0A8E</t>
  </si>
  <si>
    <t>3ZNJ</t>
  </si>
  <si>
    <t>7P6JKXV6FAYTV8HMABL7</t>
  </si>
  <si>
    <t>PJG6</t>
  </si>
  <si>
    <t>JC26NFKJMRXXLDASRTYA</t>
  </si>
  <si>
    <t>0JP7</t>
  </si>
  <si>
    <t>JJR0VXVZ4I35Q3VTL4QE</t>
  </si>
  <si>
    <t>AQ</t>
  </si>
  <si>
    <t>4NS6</t>
  </si>
  <si>
    <t>EIBPZ7VL350F24B81K3F</t>
  </si>
  <si>
    <t>O577</t>
  </si>
  <si>
    <t>JTDVQUTE9JGYDTK7X6A3</t>
  </si>
  <si>
    <t>E7HX</t>
  </si>
  <si>
    <t>64REU5QY4VPTGN44TVFU</t>
  </si>
  <si>
    <t>ZO</t>
  </si>
  <si>
    <t>40ZR</t>
  </si>
  <si>
    <t>20IUIMWN4ZWLK12R43FN</t>
  </si>
  <si>
    <t>CQCN</t>
  </si>
  <si>
    <t>NUH1QCHBIJQ1VC4WSC1L</t>
  </si>
  <si>
    <t>0KLP</t>
  </si>
  <si>
    <t>R4KMEPFZY6TG9A6WHMOH</t>
  </si>
  <si>
    <t>8V4H</t>
  </si>
  <si>
    <t>3N73LUY4EYT30CMFKRUC</t>
  </si>
  <si>
    <t>V94H</t>
  </si>
  <si>
    <t>USMSJSXHH5Z3VEX51VUC</t>
  </si>
  <si>
    <t>CRLB</t>
  </si>
  <si>
    <t>KO9Q1RY75NCGKWMCAF3L</t>
  </si>
  <si>
    <t>3HNO</t>
  </si>
  <si>
    <t>JW257Q77IBOZDDNTVG4X</t>
  </si>
  <si>
    <t>71N79DXB6P57CZJYD0L6</t>
  </si>
  <si>
    <t>SIQ8</t>
  </si>
  <si>
    <t>17TKQOTHZ4FXN999VF6L</t>
  </si>
  <si>
    <t>91GR</t>
  </si>
  <si>
    <t>CXJDB6Z5KOHQVFD8EVRT</t>
  </si>
  <si>
    <t>8T8C</t>
  </si>
  <si>
    <t>7HS1NGD43Q30VE518LD7</t>
  </si>
  <si>
    <t>RCTP</t>
  </si>
  <si>
    <t>WF19WXWR8TELBBIJUBVO</t>
  </si>
  <si>
    <t>KCZB</t>
  </si>
  <si>
    <t>W84C3KWZ39UM82SY8YKK</t>
  </si>
  <si>
    <t>CA</t>
  </si>
  <si>
    <t>TAJM</t>
  </si>
  <si>
    <t>91FZWSPCYDJ1D51UFWFA</t>
  </si>
  <si>
    <t>E6EV</t>
  </si>
  <si>
    <t>MMSC2V5Z5L9LD648H3SK</t>
  </si>
  <si>
    <t>OTND</t>
  </si>
  <si>
    <t>T4P5D015XZ9RW0G3X1E1</t>
  </si>
  <si>
    <t>T97R</t>
  </si>
  <si>
    <t>O6EC7KKENK0XSZCUNZYR</t>
  </si>
  <si>
    <t>CWR0</t>
  </si>
  <si>
    <t>0CCUYTFT94M3YGBB7OTS</t>
  </si>
  <si>
    <t>MI</t>
  </si>
  <si>
    <t>LQ7K</t>
  </si>
  <si>
    <t>T3LT2VRQGUZLUUCOL9BJ</t>
  </si>
  <si>
    <t>IJVJ</t>
  </si>
  <si>
    <t>U0KH5ECTG4MID6DAN5JY</t>
  </si>
  <si>
    <t>BDUV</t>
  </si>
  <si>
    <t>OF1T13W64JIUBD6C6VWR</t>
  </si>
  <si>
    <t>D4ZJ</t>
  </si>
  <si>
    <t>H8LM8OSR79KG4IW8LXSS</t>
  </si>
  <si>
    <t>6W0I</t>
  </si>
  <si>
    <t>MLR2PGAKNA71YHD9TDO3</t>
  </si>
  <si>
    <t>S25T</t>
  </si>
  <si>
    <t>OFI78QGBUBHQECP6P1VM</t>
  </si>
  <si>
    <t>E5R4</t>
  </si>
  <si>
    <t>WDLZ06YKFJTBL1296AAM</t>
  </si>
  <si>
    <t>181X</t>
  </si>
  <si>
    <t>45W0679FT0XZOJVH1LFU</t>
  </si>
  <si>
    <t>W8YJ</t>
  </si>
  <si>
    <t>00KDMZQNX6UL3W8QPRPO</t>
  </si>
  <si>
    <t>2OQ3</t>
  </si>
  <si>
    <t>WOCK1D6KEF98X4ZYA7GK</t>
  </si>
  <si>
    <t>IVEA</t>
  </si>
  <si>
    <t>B4987VOVIYLXW6NPOGK0</t>
  </si>
  <si>
    <t>P627</t>
  </si>
  <si>
    <t>JQ9R1MEKFKUFTJXS0M9Y</t>
  </si>
  <si>
    <t>FV6K</t>
  </si>
  <si>
    <t>QZCUNG0D4VEM7B4SCDQZ</t>
  </si>
  <si>
    <t>O521</t>
  </si>
  <si>
    <t>021E4I1JPUOXPSB3JPTK</t>
  </si>
  <si>
    <t>1WKF</t>
  </si>
  <si>
    <t>OE51M4INX502OWLMZ2SC</t>
  </si>
  <si>
    <t>DR7F</t>
  </si>
  <si>
    <t>MIOPEEEULYJI6BY5DMWM</t>
  </si>
  <si>
    <t>6DTY</t>
  </si>
  <si>
    <t>W8OOSDVZE1WMJN8ZEH6B</t>
  </si>
  <si>
    <t>HNHR</t>
  </si>
  <si>
    <t>OYWLK5JFKHEJ97BCLYPX</t>
  </si>
  <si>
    <t>7WHI</t>
  </si>
  <si>
    <t>767P0NKR435Z4FJD2HOT</t>
  </si>
  <si>
    <t>P522</t>
  </si>
  <si>
    <t>OLQ1E94EZA94WW2BBGHX</t>
  </si>
  <si>
    <t>T382</t>
  </si>
  <si>
    <t>QG1NIQ9NM2813QLNALCO</t>
  </si>
  <si>
    <t>QO</t>
  </si>
  <si>
    <t>1OZ1</t>
  </si>
  <si>
    <t>7HKUJUUQ9XBGG95OQWVF</t>
  </si>
  <si>
    <t>9J15</t>
  </si>
  <si>
    <t>V8AGGK4403IRZLT98P5N</t>
  </si>
  <si>
    <t>L893</t>
  </si>
  <si>
    <t>I8LXABE5U9GC6ZF3NVH3</t>
  </si>
  <si>
    <t>LH</t>
  </si>
  <si>
    <t>5EFQ</t>
  </si>
  <si>
    <t>RBYBOA87S1ZANX6YSO1D</t>
  </si>
  <si>
    <t>OXDK</t>
  </si>
  <si>
    <t>TJZW01IY3JN1HVG207LV</t>
  </si>
  <si>
    <t>4BHJ</t>
  </si>
  <si>
    <t>FU0ZQG7ZF7TUFDH91IGH</t>
  </si>
  <si>
    <t>07MQ</t>
  </si>
  <si>
    <t>HD9U309JSLMFZHMPSCA2</t>
  </si>
  <si>
    <t>AT</t>
  </si>
  <si>
    <t>1ZZ8</t>
  </si>
  <si>
    <t>XHM6WRMN7CY0QBOXWOPI</t>
  </si>
  <si>
    <t>YLQC</t>
  </si>
  <si>
    <t>KGZKRZDBH7Y5GCVIEA8A</t>
  </si>
  <si>
    <t>1Y73</t>
  </si>
  <si>
    <t>O6EB9V6TX53X58654B1B</t>
  </si>
  <si>
    <t>UQNJ</t>
  </si>
  <si>
    <t>Y2NH71BK71S1DQBWO3GS</t>
  </si>
  <si>
    <t>W9IS</t>
  </si>
  <si>
    <t>XI89QSJ8FMS9CXKJZ3L6</t>
  </si>
  <si>
    <t>DCT1</t>
  </si>
  <si>
    <t>5JOJJU3ONU5UOKWXN3ET</t>
  </si>
  <si>
    <t>EMBG</t>
  </si>
  <si>
    <t>8H4D1YMQ8T3NM88OZ8Q5</t>
  </si>
  <si>
    <t>ONW4</t>
  </si>
  <si>
    <t>T22CSY4P6ZD4IO5YT7IF</t>
  </si>
  <si>
    <t>6IXP</t>
  </si>
  <si>
    <t>MKCO6YVAXND4I74OC78H</t>
  </si>
  <si>
    <t>BG8W</t>
  </si>
  <si>
    <t>3WDRE7IO9TZST9GGJHR7</t>
  </si>
  <si>
    <t>ESS4</t>
  </si>
  <si>
    <t>JD7VI1HSQ50LE2LAE57J</t>
  </si>
  <si>
    <t>KEOK</t>
  </si>
  <si>
    <t>Q0X24B5NKMJJWP4SAHZH</t>
  </si>
  <si>
    <t>H2Z5</t>
  </si>
  <si>
    <t>0T6AODZ7EJZ8EDJM9W2B</t>
  </si>
  <si>
    <t>9GAG</t>
  </si>
  <si>
    <t>U0PQ5XNMIAX87MWZSIOP</t>
  </si>
  <si>
    <t>955J</t>
  </si>
  <si>
    <t>RUMDRMB4COW4F4Q76SSK</t>
  </si>
  <si>
    <t>8MAI</t>
  </si>
  <si>
    <t>26BBIWHIMWO4GH5BT973</t>
  </si>
  <si>
    <t>N8G0</t>
  </si>
  <si>
    <t>R7F7QJR554L7OQJFEVY0</t>
  </si>
  <si>
    <t>ZISY</t>
  </si>
  <si>
    <t>SQ9WWLJXLSGS339PKDQF</t>
  </si>
  <si>
    <t>C7N2</t>
  </si>
  <si>
    <t>82RY7ZVRL1NS16WPUV86</t>
  </si>
  <si>
    <t>MPPH</t>
  </si>
  <si>
    <t>P7LAAGCC6NED2VSDEC3R</t>
  </si>
  <si>
    <t>6O40</t>
  </si>
  <si>
    <t>H76JJKQHRU3PDQEOR27B</t>
  </si>
  <si>
    <t>VYRL</t>
  </si>
  <si>
    <t>KY0EHPU8V0D39S2SX0H4</t>
  </si>
  <si>
    <t>8RFB</t>
  </si>
  <si>
    <t>ZA3LVC6MAANL7H9DA092</t>
  </si>
  <si>
    <t>BMTV</t>
  </si>
  <si>
    <t>GPA6C9LMBNO5CNE85YBM</t>
  </si>
  <si>
    <t>1NLT</t>
  </si>
  <si>
    <t>MU43N9OB4374F3QAWQGY</t>
  </si>
  <si>
    <t>AV7E</t>
  </si>
  <si>
    <t>CD2GOK84SAS5WC6RDXP4</t>
  </si>
  <si>
    <t>MKTN</t>
  </si>
  <si>
    <t>C3888UGRG0G0CMW2VYID</t>
  </si>
  <si>
    <t>RZ74</t>
  </si>
  <si>
    <t>GE1ORERMFEKZDS1WC2FA</t>
  </si>
  <si>
    <t>GZM3</t>
  </si>
  <si>
    <t>D675OMZGGINKTG82TTUM</t>
  </si>
  <si>
    <t>XBF6</t>
  </si>
  <si>
    <t>LZTK7XIJ78EI9ERYF1YO</t>
  </si>
  <si>
    <t>HIWX</t>
  </si>
  <si>
    <t>VN8LW2YM5V5U1KL4ZQR3</t>
  </si>
  <si>
    <t>AC2G</t>
  </si>
  <si>
    <t>TIKU46EZRVVAX9NB22K8</t>
  </si>
  <si>
    <t>Y5QQ</t>
  </si>
  <si>
    <t>EOB3M634STYLT7ZPL3RB</t>
  </si>
  <si>
    <t>DI67</t>
  </si>
  <si>
    <t>7DSRUXIMR9BAU95Q6W65</t>
  </si>
  <si>
    <t>RF7S</t>
  </si>
  <si>
    <t>5COV8XX8LKJWSE58C0U6</t>
  </si>
  <si>
    <t>RZ65</t>
  </si>
  <si>
    <t>1UKR8XSD0SY80S2PVIH7</t>
  </si>
  <si>
    <t>Z4G4</t>
  </si>
  <si>
    <t>EZCQNFNF8TNA33EW75ZM</t>
  </si>
  <si>
    <t>DXO3</t>
  </si>
  <si>
    <t>KL7BGD7G85EU5NTGJJ7M</t>
  </si>
  <si>
    <t>EIEZ</t>
  </si>
  <si>
    <t>3ILI4DGR0OVL6UNXD9WV</t>
  </si>
  <si>
    <t>L472</t>
  </si>
  <si>
    <t>FW9B15L3I9951MGIE1M0</t>
  </si>
  <si>
    <t>N72P</t>
  </si>
  <si>
    <t>IQHQ41J95A5PQVZAMN85</t>
  </si>
  <si>
    <t>NMGM</t>
  </si>
  <si>
    <t>XVJ6K53FGIBRAHRVG3B8</t>
  </si>
  <si>
    <t>8WGN</t>
  </si>
  <si>
    <t>YIZINULJYNE2PP58NQQM</t>
  </si>
  <si>
    <t>GDH5</t>
  </si>
  <si>
    <t>FV9SC6IA1EOG07H2XQT9</t>
  </si>
  <si>
    <t>M71F</t>
  </si>
  <si>
    <t>FKPRX2GRGALBSW5T9UOA</t>
  </si>
  <si>
    <t>8GA0</t>
  </si>
  <si>
    <t>7FUFFZ1INX1IPYOOGFRP</t>
  </si>
  <si>
    <t>1YTL</t>
  </si>
  <si>
    <t>WWW0PTNN75J5PVD1D9YB</t>
  </si>
  <si>
    <t>L4TW</t>
  </si>
  <si>
    <t>7JPIZZEGM8DVRKZ4WIHV</t>
  </si>
  <si>
    <t>A20P</t>
  </si>
  <si>
    <t>JOAEAUU5NVVWV2II3S83</t>
  </si>
  <si>
    <t>7U94</t>
  </si>
  <si>
    <t>A6RV39IS7P59P7AMP2Q6</t>
  </si>
  <si>
    <t>6ZW6</t>
  </si>
  <si>
    <t>ADJT0WUQ4A4CJPWWP9S5</t>
  </si>
  <si>
    <t>PK9J</t>
  </si>
  <si>
    <t>JXS9EVIJU3ZG0EN8NJKK</t>
  </si>
  <si>
    <t>EAJS</t>
  </si>
  <si>
    <t>9EP0DED599U8HNNEO2P1</t>
  </si>
  <si>
    <t>A288IVZOAQCQVVUTD2W5</t>
  </si>
  <si>
    <t>QE89</t>
  </si>
  <si>
    <t>K5MFT91EHXPY8W96GFSE</t>
  </si>
  <si>
    <t>YRNW</t>
  </si>
  <si>
    <t>PNOCHDOBDTK9O07L98P6</t>
  </si>
  <si>
    <t>9N8P</t>
  </si>
  <si>
    <t>SGK5C6M1YE84O097ATS5</t>
  </si>
  <si>
    <t>A784</t>
  </si>
  <si>
    <t>9WTJUC7OMTW8TI0XZ428</t>
  </si>
  <si>
    <t>FRAR</t>
  </si>
  <si>
    <t>VWCDZ6SIWK5QH4X9I1TC</t>
  </si>
  <si>
    <t>C0GL</t>
  </si>
  <si>
    <t>VSIT6HUZCOUM2OM6RKX5</t>
  </si>
  <si>
    <t>RADT</t>
  </si>
  <si>
    <t>OQRZ8AS9E2C4WWKSPNFW</t>
  </si>
  <si>
    <t>J94P</t>
  </si>
  <si>
    <t>VU2XZ06BD2ZIUI208ZK5</t>
  </si>
  <si>
    <t>3ZQH</t>
  </si>
  <si>
    <t>SYR1FB8TWMCMF9YNF4ZG</t>
  </si>
  <si>
    <t>UAKX</t>
  </si>
  <si>
    <t>2Y3TRQNQ8YGJEVPCMSN5</t>
  </si>
  <si>
    <t>56PJ</t>
  </si>
  <si>
    <t>IUGIMVMW68E9ED6WDNVL</t>
  </si>
  <si>
    <t>WV0Q</t>
  </si>
  <si>
    <t>ZTQF6O3Z3GV6IWQU72VY</t>
  </si>
  <si>
    <t>90VE</t>
  </si>
  <si>
    <t>RXU0THIJA0GFLGGFMSAD</t>
  </si>
  <si>
    <t>02A2</t>
  </si>
  <si>
    <t>747IM6P429HQR8OQTEU3</t>
  </si>
  <si>
    <t>KL92</t>
  </si>
  <si>
    <t>A1T5WMO9GPHQ8DD53VJD</t>
  </si>
  <si>
    <t>UZAC</t>
  </si>
  <si>
    <t>MRVPH657LSJDFCMJMVOF</t>
  </si>
  <si>
    <t>CF</t>
  </si>
  <si>
    <t>00BD</t>
  </si>
  <si>
    <t>3V8YZCKSSLYSQ0KAAW5D</t>
  </si>
  <si>
    <t>KRRS</t>
  </si>
  <si>
    <t>N3X9EIRY1AVR1DQKBOVM</t>
  </si>
  <si>
    <t>YV12</t>
  </si>
  <si>
    <t>799ZFPUGNE3BZOX7KQKX</t>
  </si>
  <si>
    <t>I450</t>
  </si>
  <si>
    <t>0FQ3XAIGUF69RH3XY02F</t>
  </si>
  <si>
    <t>TIXK</t>
  </si>
  <si>
    <t>0FDV6M0PNNBWJ8OEG1G4</t>
  </si>
  <si>
    <t>4PFM</t>
  </si>
  <si>
    <t>NKTG942JH207IO79ALF2</t>
  </si>
  <si>
    <t>71LM</t>
  </si>
  <si>
    <t>OSBHP1FELGP43T0R5ZVR</t>
  </si>
  <si>
    <t>KVK5</t>
  </si>
  <si>
    <t>REKJOP79LUE2PFVZO2R8</t>
  </si>
  <si>
    <t>52Q0</t>
  </si>
  <si>
    <t>329YDMTLNPVBW4DCRYKI</t>
  </si>
  <si>
    <t>JSB8</t>
  </si>
  <si>
    <t>4J9KAOF9YH9SQGRX1KAZ</t>
  </si>
  <si>
    <t>WEOB</t>
  </si>
  <si>
    <t>8X950SW9N0CNWU6DI0VC</t>
  </si>
  <si>
    <t>J6KX</t>
  </si>
  <si>
    <t>S67RTLBNYE4S2EI8E18I</t>
  </si>
  <si>
    <t>AVOP</t>
  </si>
  <si>
    <t>HFJ38CVY1NOYNKGIM011</t>
  </si>
  <si>
    <t>SX2P</t>
  </si>
  <si>
    <t>9FF11EHBC4BPRVTHB16V</t>
  </si>
  <si>
    <t>LZMF</t>
  </si>
  <si>
    <t>5POEMBWV3IFZG2KL03M3</t>
  </si>
  <si>
    <t>BSEY</t>
  </si>
  <si>
    <t>OGKXYRUREPG4JLFCWBQ6</t>
  </si>
  <si>
    <t>C3D6</t>
  </si>
  <si>
    <t>D3YS5PEY5440X4GUJ76V</t>
  </si>
  <si>
    <t>AE4E</t>
  </si>
  <si>
    <t>P625AIBHPMG9C2GH203E</t>
  </si>
  <si>
    <t>XXL2</t>
  </si>
  <si>
    <t>FSPO0QMI8CAA38ECY0AR</t>
  </si>
  <si>
    <t>UJ4O</t>
  </si>
  <si>
    <t>DBHPBQ42WEEJ3JV3N548</t>
  </si>
  <si>
    <t>AO0P</t>
  </si>
  <si>
    <t>C085EK06JZZ3QJB0OOBA</t>
  </si>
  <si>
    <t>X40I</t>
  </si>
  <si>
    <t>APSD5WFP76CRMJDXG4CG</t>
  </si>
  <si>
    <t>TJKA</t>
  </si>
  <si>
    <t>HYZ4TCT65E7YCXJIBW54</t>
  </si>
  <si>
    <t>0V13</t>
  </si>
  <si>
    <t>CUWFC9MJZ8GF4QR2GVAO</t>
  </si>
  <si>
    <t>91UM</t>
  </si>
  <si>
    <t>3981Z4RK1040LI8HKW68</t>
  </si>
  <si>
    <t>KSG3</t>
  </si>
  <si>
    <t>H20R8ZBLAB3BA5GDSJKT</t>
  </si>
  <si>
    <t>340Z</t>
  </si>
  <si>
    <t>THHH7B2E2I70OP02R5NU</t>
  </si>
  <si>
    <t>2G93</t>
  </si>
  <si>
    <t>IOAPN9JN2DT68D4WNFKE</t>
  </si>
  <si>
    <t>KJT5</t>
  </si>
  <si>
    <t>2M3QEW89OYOMH79HX7T9</t>
  </si>
  <si>
    <t>UNQ7</t>
  </si>
  <si>
    <t>4OA44PIMQ0VLBD9Z8DTN</t>
  </si>
  <si>
    <t>D4WY</t>
  </si>
  <si>
    <t>9S878S2OML0T4CVWCIT8</t>
  </si>
  <si>
    <t>A7C2</t>
  </si>
  <si>
    <t>WGKIFX4DDKAXNS85SVIB</t>
  </si>
  <si>
    <t>MINN</t>
  </si>
  <si>
    <t>WRBRXC16QAZXKDLDJBOB</t>
  </si>
  <si>
    <t>J099</t>
  </si>
  <si>
    <t>7W4KYD7MKWNCJ1PFHZBX</t>
  </si>
  <si>
    <t>DZJS</t>
  </si>
  <si>
    <t>SQTFF2WF05ONT7YDCE1A</t>
  </si>
  <si>
    <t>QBCI</t>
  </si>
  <si>
    <t>SR4AU5ZRWMG4O59MF3IK</t>
  </si>
  <si>
    <t>CC</t>
  </si>
  <si>
    <t>NDN0</t>
  </si>
  <si>
    <t>KZUMRIJGORGOL34UXB6D</t>
  </si>
  <si>
    <t>DGA4</t>
  </si>
  <si>
    <t>OL1PVYF9Z6NRJ6YYSRTU</t>
  </si>
  <si>
    <t>7TGU</t>
  </si>
  <si>
    <t>AGRLLON24ZDFY0LDPQZU</t>
  </si>
  <si>
    <t>NJT2</t>
  </si>
  <si>
    <t>40FBLVV69BBTM2KGYYR8</t>
  </si>
  <si>
    <t>EE1Y</t>
  </si>
  <si>
    <t>VXTR5T4XHAZT4RPU7I8H</t>
  </si>
  <si>
    <t>JDE3</t>
  </si>
  <si>
    <t>PY2KU6BPVMOGCEPLDDD9</t>
  </si>
  <si>
    <t>W5XE</t>
  </si>
  <si>
    <t>43RRPJD176IONBHF6XMC</t>
  </si>
  <si>
    <t>MNR7</t>
  </si>
  <si>
    <t>2UKYGRY7UOXPKLDFO12E</t>
  </si>
  <si>
    <t>AZNU</t>
  </si>
  <si>
    <t>XN82DV16DJS76IKT23E0</t>
  </si>
  <si>
    <t>WCNR</t>
  </si>
  <si>
    <t>ECR49B5301UE8JULLC3V</t>
  </si>
  <si>
    <t>1E8R</t>
  </si>
  <si>
    <t>03J6F5244NBDN4S60ANS</t>
  </si>
  <si>
    <t>3ECA</t>
  </si>
  <si>
    <t>WA4ICPREOHGG2QMAK4MZ</t>
  </si>
  <si>
    <t>C0PR</t>
  </si>
  <si>
    <t>RT8YXY1S58UHND5GI4YW</t>
  </si>
  <si>
    <t>2VYR</t>
  </si>
  <si>
    <t>MG2KKJLP6CYB7B7OPPV8</t>
  </si>
  <si>
    <t>QJ</t>
  </si>
  <si>
    <t>VWS7</t>
  </si>
  <si>
    <t>XM8NYJW8M7MNAIRSMHCL</t>
  </si>
  <si>
    <t>NHB3</t>
  </si>
  <si>
    <t>A4T2UFI7A3I9K0H1LFOR</t>
  </si>
  <si>
    <t>BM9Y</t>
  </si>
  <si>
    <t>O2GXOW26UZYF2CVIM5EE</t>
  </si>
  <si>
    <t>KFR1</t>
  </si>
  <si>
    <t>4WEEL7K8AG5OGXE11MQZ</t>
  </si>
  <si>
    <t>IJTQ</t>
  </si>
  <si>
    <t>XOV53VCU12M6II2XZZHB</t>
  </si>
  <si>
    <t>RCFZ</t>
  </si>
  <si>
    <t>8ZHI3CFJZOI84UAGEM44</t>
  </si>
  <si>
    <t>2Y2K</t>
  </si>
  <si>
    <t>LL5EV56EI1VIGEP9WJ2I</t>
  </si>
  <si>
    <t>O69L</t>
  </si>
  <si>
    <t>6YVWD1P85UOJW78VUMH1</t>
  </si>
  <si>
    <t>IO6Q</t>
  </si>
  <si>
    <t>CVDIVBOHW1TFGQZ7L7SU</t>
  </si>
  <si>
    <t>LZ7XGC5F0F6K7V892ZEI</t>
  </si>
  <si>
    <t>5X6B</t>
  </si>
  <si>
    <t>FLAM1P43Y9ROIHC5JMUI</t>
  </si>
  <si>
    <t>U9RT</t>
  </si>
  <si>
    <t>DMOIIP4Z24JUJXCY9VSP</t>
  </si>
  <si>
    <t>QJF5</t>
  </si>
  <si>
    <t>JFAPQM57NRK0NDSJHY9N</t>
  </si>
  <si>
    <t>BLNN</t>
  </si>
  <si>
    <t>A9550HQQBQ3IX6GW23X5</t>
  </si>
  <si>
    <t>RLLT</t>
  </si>
  <si>
    <t>5JVWY6T7MCTSVCN34KVO</t>
  </si>
  <si>
    <t>OVHG</t>
  </si>
  <si>
    <t>CDHQU16W38PEZEYPZU90</t>
  </si>
  <si>
    <t>CU8T</t>
  </si>
  <si>
    <t>7ITZHRB2FAOAXAUO88QX</t>
  </si>
  <si>
    <t>2Z0D</t>
  </si>
  <si>
    <t>R2EPPUOA6BGOT7P6O0GT</t>
  </si>
  <si>
    <t>QPOW</t>
  </si>
  <si>
    <t>FXJD928PMH0LFLR5SG2L</t>
  </si>
  <si>
    <t>N3MB</t>
  </si>
  <si>
    <t>N9N4NMT2Y1J7LTH1WNTW</t>
  </si>
  <si>
    <t>KTB6</t>
  </si>
  <si>
    <t>B3V5L17R5M3V5VL1S7YV</t>
  </si>
  <si>
    <t>A5U7</t>
  </si>
  <si>
    <t>4SLA8W2IFDC77L7JX4EU</t>
  </si>
  <si>
    <t>77UH</t>
  </si>
  <si>
    <t>JRNAZFEJ271EPRXJQNTC</t>
  </si>
  <si>
    <t>RCT8</t>
  </si>
  <si>
    <t>E0Q3EIIJRHJCZLWUA9Z1</t>
  </si>
  <si>
    <t>JV</t>
  </si>
  <si>
    <t>VDAU</t>
  </si>
  <si>
    <t>RMKKP0QEO1GWUH5B0GY8</t>
  </si>
  <si>
    <t>CYP1</t>
  </si>
  <si>
    <t>IRCM4RFL732CLX5GIQCZ</t>
  </si>
  <si>
    <t>9PYE</t>
  </si>
  <si>
    <t>WF8B28GQDYVV2BEUVT8V</t>
  </si>
  <si>
    <t>0NMK</t>
  </si>
  <si>
    <t>YHFF1OZXRX5ZPNLV4EU5</t>
  </si>
  <si>
    <t>Q0YH</t>
  </si>
  <si>
    <t>SKGYJGYZQY78V2DK130H</t>
  </si>
  <si>
    <t>6OCV</t>
  </si>
  <si>
    <t>6FGXD612L18R41ZMDALV</t>
  </si>
  <si>
    <t>4AHU</t>
  </si>
  <si>
    <t>HBQ67GJHF81U5N9DIK1Q</t>
  </si>
  <si>
    <t>V1AJ</t>
  </si>
  <si>
    <t>RNZWCOPEK8QG3JFZUBWF</t>
  </si>
  <si>
    <t>6LSF</t>
  </si>
  <si>
    <t>PF4MKSF60U04X6AEX0H6</t>
  </si>
  <si>
    <t>BHU6</t>
  </si>
  <si>
    <t>24N2VYSN56484YAFC0IW</t>
  </si>
  <si>
    <t>XRLK</t>
  </si>
  <si>
    <t>MI70ZJKQ6SFW86LHMDNK</t>
  </si>
  <si>
    <t>OZNU</t>
  </si>
  <si>
    <t>AVKEQDUBWZ157CLX3GTU</t>
  </si>
  <si>
    <t>EU3O</t>
  </si>
  <si>
    <t>DY1GLKHWIFMNBDYFKX7S</t>
  </si>
  <si>
    <t>EK1Z</t>
  </si>
  <si>
    <t>IVUG89IIFD47ECG43TVT</t>
  </si>
  <si>
    <t>RT4Z</t>
  </si>
  <si>
    <t>D7GCLIJM8F7XM205LMSQ</t>
  </si>
  <si>
    <t>EKBN</t>
  </si>
  <si>
    <t>RZ6RPZE83MQG8BMNQ2VN</t>
  </si>
  <si>
    <t>IH8E</t>
  </si>
  <si>
    <t>NUTKOJJ970N2JUSJO41K</t>
  </si>
  <si>
    <t>1ZXX</t>
  </si>
  <si>
    <t>99TQWBFZYRSYG574GQUV</t>
  </si>
  <si>
    <t>4RBU</t>
  </si>
  <si>
    <t>J4LE9XQ1PU9LL0WG7CVY</t>
  </si>
  <si>
    <t>LZ6H</t>
  </si>
  <si>
    <t>OWQZAL7E4MZ0MMEGJWEQ</t>
  </si>
  <si>
    <t>D7R1</t>
  </si>
  <si>
    <t>3N157P1JJ7HYVXYBQ6Z9</t>
  </si>
  <si>
    <t>RZW5</t>
  </si>
  <si>
    <t>8VWPA9P8VIM7MCK281KH</t>
  </si>
  <si>
    <t>1CMZ</t>
  </si>
  <si>
    <t>LYZAXBOUEVTZXK2DQGU9</t>
  </si>
  <si>
    <t>AYEX</t>
  </si>
  <si>
    <t>OS5H5KIIMAL6KOUX44YE</t>
  </si>
  <si>
    <t>4D49</t>
  </si>
  <si>
    <t>9VQYJG778GZDFQST3A7C</t>
  </si>
  <si>
    <t>IXGV</t>
  </si>
  <si>
    <t>ZW63C9CFBMYT028H0K3M</t>
  </si>
  <si>
    <t>YP3T</t>
  </si>
  <si>
    <t>X6QZGVDJT7XZ0LKR34ZG</t>
  </si>
  <si>
    <t>M9CF</t>
  </si>
  <si>
    <t>HTQ7XQON15PRARHIC6AI</t>
  </si>
  <si>
    <t>HHZT</t>
  </si>
  <si>
    <t>3F1H0RCEDP1K43DWE669</t>
  </si>
  <si>
    <t>GL64</t>
  </si>
  <si>
    <t>7DB1R3PUBG14WNB0DWKL</t>
  </si>
  <si>
    <t>E7PT</t>
  </si>
  <si>
    <t>K0P9J28073QACPR5M0W5</t>
  </si>
  <si>
    <t>XVHS</t>
  </si>
  <si>
    <t>746386J3RZUETDE2WDDQ</t>
  </si>
  <si>
    <t>267D</t>
  </si>
  <si>
    <t>JV0761OZMO0U5KJS75S7</t>
  </si>
  <si>
    <t>JJO8</t>
  </si>
  <si>
    <t>VDHG014KYI4ZK50TU3KH</t>
  </si>
  <si>
    <t>2BUW</t>
  </si>
  <si>
    <t>UKJ11NXS9L7TX4ARSP3J</t>
  </si>
  <si>
    <t>PTRA</t>
  </si>
  <si>
    <t>7HS4L2MS7I8FBIQOMAEO</t>
  </si>
  <si>
    <t>LNP4</t>
  </si>
  <si>
    <t>X(50).</t>
  </si>
  <si>
    <t>starting at 7,000, increasing by 1</t>
  </si>
  <si>
    <t>4 random numbers ranging from 0-9999</t>
  </si>
  <si>
    <t>These were randomly generated with a name and a adjective. See the code to see this list, I manually came up with the names and adjectives. All account titles are unique. These values are on the GLACCT and USGLACT tables.</t>
  </si>
  <si>
    <t>ranging from 1-4, 1 random number</t>
  </si>
  <si>
    <t>Randomly generated numbers. When combined with the line PRFX-LINE-NBR, SFX-LINE-NBR, and SUB-SFX-LINE-NBR, we get a unique combination. These values are used in USGLACT and GLACCT.</t>
  </si>
  <si>
    <t>MMDDYY A randomly generated list of dates from January 1, 2013 (010113) through January 1, 2023 (010123).  There are no duplicates. This field is a unique key.</t>
  </si>
  <si>
    <t>ACCT-NBRGL</t>
  </si>
  <si>
    <t>ACCT-NBR-SUB</t>
  </si>
  <si>
    <t>ACCT-NBRDA</t>
  </si>
  <si>
    <t>ACCT-TITLE</t>
  </si>
  <si>
    <t>BAL-CDE</t>
  </si>
  <si>
    <t>PRFX-LINE-NBR</t>
  </si>
  <si>
    <t>SFX-LINE-NBR</t>
  </si>
  <si>
    <t>SUB-SFX-LINE-NBR</t>
  </si>
  <si>
    <t>DTE-LST-RGSTR-ACCT</t>
  </si>
  <si>
    <t>Dry Creek Pumpkin Patch</t>
  </si>
  <si>
    <t>Blue Lake Mushroom Farm</t>
  </si>
  <si>
    <t>Ramaya's Horses</t>
  </si>
  <si>
    <t>Los Angeles Egg Farm</t>
  </si>
  <si>
    <t>Abdalah's Chickens</t>
  </si>
  <si>
    <t>Ross Lake Homestead</t>
  </si>
  <si>
    <t>Blooming Family Vineyards</t>
  </si>
  <si>
    <t>Deer Creek Homestead</t>
  </si>
  <si>
    <t>Black Mountain Hills</t>
  </si>
  <si>
    <t>Sparkle Pond Sunflower Farms</t>
  </si>
  <si>
    <t>Serene Sunflower Farms</t>
  </si>
  <si>
    <t>Blissful Herb Garden</t>
  </si>
  <si>
    <t>Webb Family Goats</t>
  </si>
  <si>
    <t>Turtle Pond Herb Farm</t>
  </si>
  <si>
    <t>Coleman Lavender Fields</t>
  </si>
  <si>
    <t>Arizona Sunflower Farms</t>
  </si>
  <si>
    <t>Francesco's Lavender Fields</t>
  </si>
  <si>
    <t>Jimmy's Pumpkin Patch</t>
  </si>
  <si>
    <t>Sparkle Pond Pumpkin Patch</t>
  </si>
  <si>
    <t>Rustic Fields</t>
  </si>
  <si>
    <t>Sunny Cow Farm</t>
  </si>
  <si>
    <t>Alaska Fields</t>
  </si>
  <si>
    <t>Kathy's Honeybees</t>
  </si>
  <si>
    <t>Salt Lake Egg Farm</t>
  </si>
  <si>
    <t>Alaska Avocado Farm</t>
  </si>
  <si>
    <t>Black Mountain Farm</t>
  </si>
  <si>
    <t>Sharon's Horses</t>
  </si>
  <si>
    <t>Maribel's Lavender Fields</t>
  </si>
  <si>
    <t>Kathy's Ranch</t>
  </si>
  <si>
    <t>Maribel's Vineyards</t>
  </si>
  <si>
    <t>Sparkle Pond Horse Ranch</t>
  </si>
  <si>
    <t>Kristen's Acres</t>
  </si>
  <si>
    <t>Timmy's Acres</t>
  </si>
  <si>
    <t>Coleman Farm</t>
  </si>
  <si>
    <t>Cloudy Plum Orchard</t>
  </si>
  <si>
    <t>Smucker's Vegetable Farm</t>
  </si>
  <si>
    <t>Webb Family Vegetable Farm</t>
  </si>
  <si>
    <t>Pringle Family Avocado Farm</t>
  </si>
  <si>
    <t>Alberto's Horses</t>
  </si>
  <si>
    <t>Middle Creek Lavender Fields</t>
  </si>
  <si>
    <t>Blissful Pumpkin Patch</t>
  </si>
  <si>
    <t>Serene Squash Farm</t>
  </si>
  <si>
    <t>Elm Tree Oranges</t>
  </si>
  <si>
    <t>Anita's Farm</t>
  </si>
  <si>
    <t>Harvest Herb Farm</t>
  </si>
  <si>
    <t>Dry Creek Lavender Fields</t>
  </si>
  <si>
    <t>Jasmin's Organic Farm</t>
  </si>
  <si>
    <t>Albert's Country Estate</t>
  </si>
  <si>
    <t>Turtle Pond Avocado Farm</t>
  </si>
  <si>
    <t>Blue Lake Farm</t>
  </si>
  <si>
    <t>Timmy's Vineyards</t>
  </si>
  <si>
    <t>Rustic Honey Bee Farm</t>
  </si>
  <si>
    <t>Serene Herb Garden</t>
  </si>
  <si>
    <t>Kristen's Homestead</t>
  </si>
  <si>
    <t>Nelson's Hills</t>
  </si>
  <si>
    <t>Gloria's Chickens</t>
  </si>
  <si>
    <t>Crater Lake Flower Garden</t>
  </si>
  <si>
    <t>Breezy Goats</t>
  </si>
  <si>
    <t>Los Angeles Acres</t>
  </si>
  <si>
    <t>Francesco's Vineyards</t>
  </si>
  <si>
    <t>Francesco's Horse Ranch</t>
  </si>
  <si>
    <t>Sunset Hill Mushroom Farm</t>
  </si>
  <si>
    <t>Timmy's Fruit Orchard</t>
  </si>
  <si>
    <t>Blue Lake Ranch</t>
  </si>
  <si>
    <t>Sunny Oranges</t>
  </si>
  <si>
    <t>Alberto's Vegetable Farm</t>
  </si>
  <si>
    <t>Alberto's Maple Syrup</t>
  </si>
  <si>
    <t>Golden Goats</t>
  </si>
  <si>
    <t>Sunset Hill Farm</t>
  </si>
  <si>
    <t>Black Mountain Herb Farm</t>
  </si>
  <si>
    <t>Nelson's Fields</t>
  </si>
  <si>
    <t>Pringle Family Juicery</t>
  </si>
  <si>
    <t>Kristen's Plum Orchard</t>
  </si>
  <si>
    <t>Sharon's Country Estate</t>
  </si>
  <si>
    <t>Blissful Herb Farm</t>
  </si>
  <si>
    <t>Kathy's Organic Farm</t>
  </si>
  <si>
    <t>Jimmy's Ranch</t>
  </si>
  <si>
    <t>Jose's Peach Orchard</t>
  </si>
  <si>
    <t>Albert's Egg Farm</t>
  </si>
  <si>
    <t>Esmeralda's Pumpkin Patch</t>
  </si>
  <si>
    <t>Pringle Family Sunflower Farms</t>
  </si>
  <si>
    <t>Elm Tree Squash Farm</t>
  </si>
  <si>
    <t>Black Mountain Horse Ranch</t>
  </si>
  <si>
    <t>Carolina's Sunflower Farms</t>
  </si>
  <si>
    <t>Arizona Egg Farm</t>
  </si>
  <si>
    <t>Webb Family Avocado Farm</t>
  </si>
  <si>
    <t>Mountain Meadows Honeybees</t>
  </si>
  <si>
    <t>Black Mountain Cow Farm</t>
  </si>
  <si>
    <t>Monarch Meadow Pumpkin Patch</t>
  </si>
  <si>
    <t>Breezy Fields</t>
  </si>
  <si>
    <t>Alberto's Fields</t>
  </si>
  <si>
    <t>Blooming Family Squash Farm</t>
  </si>
  <si>
    <t>Maribel's Farm</t>
  </si>
  <si>
    <t>Ramaya's Honey Bee Farm</t>
  </si>
  <si>
    <t>Blooming Family Acres</t>
  </si>
  <si>
    <t>Maribel's Egg Farm</t>
  </si>
  <si>
    <t>Carolina's Cattle</t>
  </si>
  <si>
    <t>Harvest Vegetable Farm</t>
  </si>
  <si>
    <t>Sharon's Oranges</t>
  </si>
  <si>
    <t>Cloudy Horse Ranch</t>
  </si>
  <si>
    <t>Harvest Goats</t>
  </si>
  <si>
    <t>Delightful Creamery</t>
  </si>
  <si>
    <t>Carolina's Vegetable Farm</t>
  </si>
  <si>
    <t>Charlotte's Farm</t>
  </si>
  <si>
    <t>Ross Lake Vineyards</t>
  </si>
  <si>
    <t>Fly Creek Oranges</t>
  </si>
  <si>
    <t>Esmeralda's Oranges</t>
  </si>
  <si>
    <t>Radiant Homestead</t>
  </si>
  <si>
    <t>Maria's Flower Garden</t>
  </si>
  <si>
    <t>Happy Mushroom Farm</t>
  </si>
  <si>
    <t>Kristen's Acre Farms</t>
  </si>
  <si>
    <t>Ross Lake Oranges</t>
  </si>
  <si>
    <t>Pringle Family Acre Farms</t>
  </si>
  <si>
    <t>Badger Hill Flower Garden</t>
  </si>
  <si>
    <t>Badger Hill Chickens</t>
  </si>
  <si>
    <t>Webb Family Horses</t>
  </si>
  <si>
    <t>Bankers Hill Juicery</t>
  </si>
  <si>
    <t>Francesco's Egg Farm</t>
  </si>
  <si>
    <t>Mountain Meadows Herb Farm</t>
  </si>
  <si>
    <t>Blooming Family Pumpkin Patch</t>
  </si>
  <si>
    <t>Charlotte's Plum Orchard</t>
  </si>
  <si>
    <t>Tranquil Hills</t>
  </si>
  <si>
    <t>Hightower Family Juicery</t>
  </si>
  <si>
    <t>Black Mountain Vineyards</t>
  </si>
  <si>
    <t>Virginia's Fields</t>
  </si>
  <si>
    <t>Ross Lake Organic Farm</t>
  </si>
  <si>
    <t>Sparkle Pond Acre Farms</t>
  </si>
  <si>
    <t>Maria's Cow Farm</t>
  </si>
  <si>
    <t>Blissful Horse Ranch</t>
  </si>
  <si>
    <t>Ross Lake Cow Farm</t>
  </si>
  <si>
    <t>Green Meadow Cow Farm</t>
  </si>
  <si>
    <t>Green Meadow Juicery</t>
  </si>
  <si>
    <t>Ross Lake Flower Garden</t>
  </si>
  <si>
    <t>Alberto's Vineyards</t>
  </si>
  <si>
    <t>Smucker's Country Estate</t>
  </si>
  <si>
    <t>Arizona Farm</t>
  </si>
  <si>
    <t>Salt Lake Farm</t>
  </si>
  <si>
    <t>Hudson Family Fields</t>
  </si>
  <si>
    <t>Elm Tree Honeybees</t>
  </si>
  <si>
    <t>Albert's Acre Farms</t>
  </si>
  <si>
    <t>Maria's Avocado Farm</t>
  </si>
  <si>
    <t>Sauer Family Acres</t>
  </si>
  <si>
    <t>Maria's Chickens</t>
  </si>
  <si>
    <t>Sparkle Pond Cow Farm</t>
  </si>
  <si>
    <t>Breezy Pumpkin Patch</t>
  </si>
  <si>
    <t>Los Angeles Goats</t>
  </si>
  <si>
    <t>Arizona Cattle</t>
  </si>
  <si>
    <t>Tranquil Farm</t>
  </si>
  <si>
    <t>Fly Creek Hills</t>
  </si>
  <si>
    <t>Jimmy's Vineyards</t>
  </si>
  <si>
    <t>Timmy's Herb Farm</t>
  </si>
  <si>
    <t>Salt Lake Squash Farm</t>
  </si>
  <si>
    <t>Turtle Pond Peach Orchard</t>
  </si>
  <si>
    <t>Sauer Family Honey Bee Farm</t>
  </si>
  <si>
    <t>Kristen's Goats</t>
  </si>
  <si>
    <t>Smith Peach Orchard</t>
  </si>
  <si>
    <t>Coleman Pumpkin Patch</t>
  </si>
  <si>
    <t>Jose's Cow Farm</t>
  </si>
  <si>
    <t>Fullerton Herb Farm</t>
  </si>
  <si>
    <t>Green Meadow Herb Farm</t>
  </si>
  <si>
    <t>Monarch Meadow Hills</t>
  </si>
  <si>
    <t>Deer Creek Herb Farm</t>
  </si>
  <si>
    <t>Olivia's Goats</t>
  </si>
  <si>
    <t>Virginia's Honeybees</t>
  </si>
  <si>
    <t>Fulkerson Family Squash Farm</t>
  </si>
  <si>
    <t>Middle Creek Horses</t>
  </si>
  <si>
    <t>Carolina's Acre Farms</t>
  </si>
  <si>
    <t>Monarch Meadow Creamery</t>
  </si>
  <si>
    <t>Sunny Peach Orchard</t>
  </si>
  <si>
    <t>Esmeralda's Cow Farm</t>
  </si>
  <si>
    <t>Cloudy Maple Syrup</t>
  </si>
  <si>
    <t>Hightower Family Cow Farm</t>
  </si>
  <si>
    <t>Middle Creek Avocado Farm</t>
  </si>
  <si>
    <t>Sunny Honeybees</t>
  </si>
  <si>
    <t>Sunset Hill Goats</t>
  </si>
  <si>
    <t>Dry Creek Homestead</t>
  </si>
  <si>
    <t>Swallowtail Ponds Apples</t>
  </si>
  <si>
    <t>Blue Lake Honeybees</t>
  </si>
  <si>
    <t>Green Meadow Goats</t>
  </si>
  <si>
    <t>Timmy's Country Estate</t>
  </si>
  <si>
    <t>Nelson's Vineyards</t>
  </si>
  <si>
    <t>Sauer Family Herb Garden</t>
  </si>
  <si>
    <t>Elm Tree Acre Farms</t>
  </si>
  <si>
    <t>Eduardo's Horses</t>
  </si>
  <si>
    <t>Esmeralda's Acre Farms</t>
  </si>
  <si>
    <t>Blooming Family Juicery</t>
  </si>
  <si>
    <t>Monarch Meadow Ranch</t>
  </si>
  <si>
    <t>Carolina's Avocado Farm</t>
  </si>
  <si>
    <t>Aisha's Creamery</t>
  </si>
  <si>
    <t>Deer Creek Fields</t>
  </si>
  <si>
    <t>Harvest Creamery</t>
  </si>
  <si>
    <t>Tranquil Plum Orchard</t>
  </si>
  <si>
    <t>Mountain Horses</t>
  </si>
  <si>
    <t>Swallowtail Ponds Homestead</t>
  </si>
  <si>
    <t>Albert's Vegetable Farm</t>
  </si>
  <si>
    <t>Smith Goats</t>
  </si>
  <si>
    <t>Green Meadow Homestead</t>
  </si>
  <si>
    <t>Hudson Family Pumpkin Patch</t>
  </si>
  <si>
    <t>Green Meadow Lavender Fields</t>
  </si>
  <si>
    <t>Mountain Meadows Cattle</t>
  </si>
  <si>
    <t>Monarch Meadow Farm</t>
  </si>
  <si>
    <t>Happy Pumpkin Patch</t>
  </si>
  <si>
    <t>Hightower Family Avocado Farm</t>
  </si>
  <si>
    <t>Charlotte's Mushroom Farm</t>
  </si>
  <si>
    <t>Pringle Family Peach Orchard</t>
  </si>
  <si>
    <t>Mountain Horse Ranch</t>
  </si>
  <si>
    <t>Carolina's Flower Garden</t>
  </si>
  <si>
    <t>Cloudy Apples</t>
  </si>
  <si>
    <t>Maribel's Horse Ranch</t>
  </si>
  <si>
    <t>Eduardo's Vineyards</t>
  </si>
  <si>
    <t>Kristen's Farm</t>
  </si>
  <si>
    <t>Ross Lake Fruit Orchard</t>
  </si>
  <si>
    <t>Francesco's Squash Farm</t>
  </si>
  <si>
    <t>Arizona Maple Syrup</t>
  </si>
  <si>
    <t>Harvest Squash Farm</t>
  </si>
  <si>
    <t>Sauer Family Organic Farm</t>
  </si>
  <si>
    <t>Kathy's Hills</t>
  </si>
  <si>
    <t>Ramaya's Country Estate</t>
  </si>
  <si>
    <t>Breezy Juicery</t>
  </si>
  <si>
    <t>Mountain Hills</t>
  </si>
  <si>
    <t>Jasmin's Vineyards</t>
  </si>
  <si>
    <t>Jose's Juicery</t>
  </si>
  <si>
    <t>Virginia's Apples</t>
  </si>
  <si>
    <t>Albert's Sunflower Farms</t>
  </si>
  <si>
    <t>Monarch Meadow Goats</t>
  </si>
  <si>
    <t>Timmy's Apples</t>
  </si>
  <si>
    <t>Ramaya's Organic Farm</t>
  </si>
  <si>
    <t>Anita's Egg Farm</t>
  </si>
  <si>
    <t>Hightower Family Fruit Orchard</t>
  </si>
  <si>
    <t>Green Meadow Plum Orchard</t>
  </si>
  <si>
    <t>Black Mountain Organic Farm</t>
  </si>
  <si>
    <t>Blissful Goats</t>
  </si>
  <si>
    <t>Sunset Hill Fields</t>
  </si>
  <si>
    <t>Timmy's Juicery</t>
  </si>
  <si>
    <t>Swallowtail Ponds Acre Farms</t>
  </si>
  <si>
    <t>Gloria's Apples</t>
  </si>
  <si>
    <t>Blooming Family Cattle</t>
  </si>
  <si>
    <t>Jose's Pumpkin Patch</t>
  </si>
  <si>
    <t>Serene Creamery</t>
  </si>
  <si>
    <t>Fullerton Ranch</t>
  </si>
  <si>
    <t>Gloria's Ranch</t>
  </si>
  <si>
    <t>Blooming Family Sunflower Farms</t>
  </si>
  <si>
    <t>Delightful Horses</t>
  </si>
  <si>
    <t>Francesco's Mushroom Farm</t>
  </si>
  <si>
    <t>Nelson's Acres</t>
  </si>
  <si>
    <t>Golden Vineyards</t>
  </si>
  <si>
    <t>Timmy's Cattle</t>
  </si>
  <si>
    <t>Maricel's Plum Orchard</t>
  </si>
  <si>
    <t>Charlotte's Goats</t>
  </si>
  <si>
    <t>Kathy's Avocado Farm</t>
  </si>
  <si>
    <t>Virginia's Homestead</t>
  </si>
  <si>
    <t>Francesco's Acre Farms</t>
  </si>
  <si>
    <t>Charlotte's Avocado Farm</t>
  </si>
  <si>
    <t>Dry Creek Country Estate</t>
  </si>
  <si>
    <t>Fly Creek Pumpkin Patch</t>
  </si>
  <si>
    <t>Salt Lake Hills</t>
  </si>
  <si>
    <t>Alaska Vineyards</t>
  </si>
  <si>
    <t>Coleman Avocado Farm</t>
  </si>
  <si>
    <t>Pringle Family Organic Farm</t>
  </si>
  <si>
    <t>Fullerton Maple Syrup</t>
  </si>
  <si>
    <t>Deer Creek Maple Syrup</t>
  </si>
  <si>
    <t>Eduardo's Herb Farm</t>
  </si>
  <si>
    <t>Fly Creek Lavender Fields</t>
  </si>
  <si>
    <t>Crater Lake Hills</t>
  </si>
  <si>
    <t>Alberto's Pumpkin Patch</t>
  </si>
  <si>
    <t>Serene Mushroom Farm</t>
  </si>
  <si>
    <t>Maricel's Juicery</t>
  </si>
  <si>
    <t>Charlotte's Fruit Orchard</t>
  </si>
  <si>
    <t>Jasmin's Homestead</t>
  </si>
  <si>
    <t>Alaska Mushroom Farm</t>
  </si>
  <si>
    <t>Mountain Meadows Honey Bee Farm</t>
  </si>
  <si>
    <t>Sunset Hill Sunflower Farms</t>
  </si>
  <si>
    <t>Salt Lake Horses</t>
  </si>
  <si>
    <t>Albert's Honey Bee Farm</t>
  </si>
  <si>
    <t>Pringle Family Honeybees</t>
  </si>
  <si>
    <t>Maricel's Acres</t>
  </si>
  <si>
    <t>Salt Lake Mushroom Farm</t>
  </si>
  <si>
    <t>Badger Hill Plum Orchard</t>
  </si>
  <si>
    <t>Elm Tree Peach Orchard</t>
  </si>
  <si>
    <t>Crater Lake Honey Bee Farm</t>
  </si>
  <si>
    <t>Green Meadow Organic Farm</t>
  </si>
  <si>
    <t>Fullerton Cow Farm</t>
  </si>
  <si>
    <t>Bankers Hill Mushroom Farm</t>
  </si>
  <si>
    <t>Webb Family Honeybees</t>
  </si>
  <si>
    <t>Olivia's Cattle</t>
  </si>
  <si>
    <t>Rustic Hills</t>
  </si>
  <si>
    <t>Ramaya's Cow Farm</t>
  </si>
  <si>
    <t>Anita's Maple Syrup</t>
  </si>
  <si>
    <t>Nelson's Juicery</t>
  </si>
  <si>
    <t>Radiant Egg Farm</t>
  </si>
  <si>
    <t>Middle Creek Sunflower Farms</t>
  </si>
  <si>
    <t>Jimmy's Creamery</t>
  </si>
  <si>
    <t>Hightower Family Farm</t>
  </si>
  <si>
    <t>Crater Lake Herb Farm</t>
  </si>
  <si>
    <t>Kristen's Squash Farm</t>
  </si>
  <si>
    <t>Arizona Horses</t>
  </si>
  <si>
    <t>Jimmy's Honeybees</t>
  </si>
  <si>
    <t>Delightful Herb Garden</t>
  </si>
  <si>
    <t>Middle Creek Squash Farm</t>
  </si>
  <si>
    <t>Fulkerson Family Chickens</t>
  </si>
  <si>
    <t>Hudson Family Hills</t>
  </si>
  <si>
    <t>Gloria's Farm</t>
  </si>
  <si>
    <t>Carolina's Fruit Orchard</t>
  </si>
  <si>
    <t>Timmy's Organic Farm</t>
  </si>
  <si>
    <t>Radiant Goats</t>
  </si>
  <si>
    <t>Cloudy Herb Farm</t>
  </si>
  <si>
    <t>Deer Creek Flower Garden</t>
  </si>
  <si>
    <t>Middle Creek Mushroom Farm</t>
  </si>
  <si>
    <t>Kristen's Juicery</t>
  </si>
  <si>
    <t>Abdalah's Herb Garden</t>
  </si>
  <si>
    <t>Maricel's Egg Farm</t>
  </si>
  <si>
    <t>Mountain Meadows Organic Farm</t>
  </si>
  <si>
    <t>Maricel's Farm</t>
  </si>
  <si>
    <t>Green Meadow Squash Farm</t>
  </si>
  <si>
    <t>Maribel's Vegetable Farm</t>
  </si>
  <si>
    <t>Aisha's Honeybees</t>
  </si>
  <si>
    <t>Bankers Hill Peach Orchard</t>
  </si>
  <si>
    <t>Serene Horses</t>
  </si>
  <si>
    <t>Fly Creek Acre Farms</t>
  </si>
  <si>
    <t>Kathy's Pumpkin Patch</t>
  </si>
  <si>
    <t>Eduardo's Farm</t>
  </si>
  <si>
    <t>Sunset Hill Hills</t>
  </si>
  <si>
    <t>Jimmy's Maple Syrup</t>
  </si>
  <si>
    <t>Timmy's Plum Orchard</t>
  </si>
  <si>
    <t>Salt Lake Pumpkin Patch</t>
  </si>
  <si>
    <t>Aisha's Acre Farms</t>
  </si>
  <si>
    <t>Fullerton Vineyards</t>
  </si>
  <si>
    <t>Sunny Mushroom Farm</t>
  </si>
  <si>
    <t>Black Mountain Chickens</t>
  </si>
  <si>
    <t>Cloudy Juicery</t>
  </si>
  <si>
    <t>Los Angeles Cow Farm</t>
  </si>
  <si>
    <t>Aisha's Honey Bee Farm</t>
  </si>
  <si>
    <t>Fullerton Mushroom Farm</t>
  </si>
  <si>
    <t>Bankers Hill Sunflower Farms</t>
  </si>
  <si>
    <t>Maribel's Ranch</t>
  </si>
  <si>
    <t>Hudson Family Acres</t>
  </si>
  <si>
    <t>Maricel's Squash Farm</t>
  </si>
  <si>
    <t>Kathy's Farm</t>
  </si>
  <si>
    <t>Fulkerson Family Avocado Farm</t>
  </si>
  <si>
    <t>Elm Tree Fruit Orchard</t>
  </si>
  <si>
    <t>Aisha's Lavender Fields</t>
  </si>
  <si>
    <t>Blissful Cow Farm</t>
  </si>
  <si>
    <t>Maria's Mushroom Farm</t>
  </si>
  <si>
    <t>Elm Tree Lavender Fields</t>
  </si>
  <si>
    <t>Blissful Organic Farm</t>
  </si>
  <si>
    <t>Sparkle Pond Peach Orchard</t>
  </si>
  <si>
    <t>Abdalah's Herb Farm</t>
  </si>
  <si>
    <t>Deer Creek Honeybees</t>
  </si>
  <si>
    <t>Fullerton Honeybees</t>
  </si>
  <si>
    <t>Crater Lake Juicery</t>
  </si>
  <si>
    <t>Ramaya's Fields</t>
  </si>
  <si>
    <t>Badger Hill Farm</t>
  </si>
  <si>
    <t>Olivia's Fields</t>
  </si>
  <si>
    <t>Jasmin's Cow Farm</t>
  </si>
  <si>
    <t>Hudson Family Juicery</t>
  </si>
  <si>
    <t>Bankers Hill Plum Orchard</t>
  </si>
  <si>
    <t>Hudson Family Vineyards</t>
  </si>
  <si>
    <t>Swallowtail Ponds Farm</t>
  </si>
  <si>
    <t>Blooming Family Apples</t>
  </si>
  <si>
    <t>Turtle Pond Plum Orchard</t>
  </si>
  <si>
    <t>Black Mountain Honeybees</t>
  </si>
  <si>
    <t>Monarch Meadow Herb Garden</t>
  </si>
  <si>
    <t>Maria's Herb Farm</t>
  </si>
  <si>
    <t>Blooming Family Acre Farms</t>
  </si>
  <si>
    <t>Gloria's Horses</t>
  </si>
  <si>
    <t>Dry Creek Goats</t>
  </si>
  <si>
    <t>Crater Lake Mushroom Farm</t>
  </si>
  <si>
    <t>Jasmin's Flower Garden</t>
  </si>
  <si>
    <t>Olivia's Acre Farms</t>
  </si>
  <si>
    <t>Happy Peach Orchard</t>
  </si>
  <si>
    <t>Fly Creek Plum Orchard</t>
  </si>
  <si>
    <t>Gloria's Plum Orchard</t>
  </si>
  <si>
    <t>Los Angeles Avocado Farm</t>
  </si>
  <si>
    <t>Elm Tree Farm</t>
  </si>
  <si>
    <t>Alberto's Plum Orchard</t>
  </si>
  <si>
    <t>Crater Lake Fields</t>
  </si>
  <si>
    <t>Fulkerson Family Peach Orchard</t>
  </si>
  <si>
    <t>Sunset Hill Honeybees</t>
  </si>
  <si>
    <t>Gloria's Country Estate</t>
  </si>
  <si>
    <t>Gloria's Oranges</t>
  </si>
  <si>
    <t>Tranquil Honey Bee Farm</t>
  </si>
  <si>
    <t>Tranquil Egg Farm</t>
  </si>
  <si>
    <t>Happy Creamery</t>
  </si>
  <si>
    <t>Happy Goats</t>
  </si>
  <si>
    <t>Fulkerson Family Plum Orchard</t>
  </si>
  <si>
    <t>Salt Lake Flower Garden</t>
  </si>
  <si>
    <t>Mountain Lavender Fields</t>
  </si>
  <si>
    <t>Butterfly Creek Herb Farm</t>
  </si>
  <si>
    <t>Maribel's Fruit Orchard</t>
  </si>
  <si>
    <t>Smith Plum Orchard</t>
  </si>
  <si>
    <t>Jimmy's Peach Orchard</t>
  </si>
  <si>
    <t>Kristen's Apples</t>
  </si>
  <si>
    <t>Los Angeles Ranch</t>
  </si>
  <si>
    <t>Harvest Flower Garden</t>
  </si>
  <si>
    <t>Los Angeles Chickens</t>
  </si>
  <si>
    <t>Smucker's Ranch</t>
  </si>
  <si>
    <t>Dry Creek Fields</t>
  </si>
  <si>
    <t>Maribel's Peach Orchard</t>
  </si>
  <si>
    <t>Alberto's Fruit Orchard</t>
  </si>
  <si>
    <t>Webb Family Herb Garden</t>
  </si>
  <si>
    <t>Sauer Family Fruit Orchard</t>
  </si>
  <si>
    <t>Turtle Pond Squash Farm</t>
  </si>
  <si>
    <t>Albert's Vineyards</t>
  </si>
  <si>
    <t>Alaska Honeybees</t>
  </si>
  <si>
    <t>Golden Lavender Fields</t>
  </si>
  <si>
    <t>Breezy Horse Ranch</t>
  </si>
  <si>
    <t>Middle Creek Honeybees</t>
  </si>
  <si>
    <t>Radiant Herb Garden</t>
  </si>
  <si>
    <t>Charlotte's Horses</t>
  </si>
  <si>
    <t>Sparkle Pond Honey Bee Farm</t>
  </si>
  <si>
    <t>Middle Creek Vineyards</t>
  </si>
  <si>
    <t>Elm Tree Cow Farm</t>
  </si>
  <si>
    <t>Middle Creek Flower Garden</t>
  </si>
  <si>
    <t>Kathy's Herb Garden</t>
  </si>
  <si>
    <t>Elm Tree Herb Farm</t>
  </si>
  <si>
    <t>Nelson's Vegetable Farm</t>
  </si>
  <si>
    <t>Maria's Farm</t>
  </si>
  <si>
    <t>Coleman Vegetable Farm</t>
  </si>
  <si>
    <t>Sauer Family Hills</t>
  </si>
  <si>
    <t>Ross Lake Farm</t>
  </si>
  <si>
    <t>Sunny Lavender Fields</t>
  </si>
  <si>
    <t>Rustic Honeybees</t>
  </si>
  <si>
    <t>Sunset Hill Plum Orchard</t>
  </si>
  <si>
    <t>Swallowtail Ponds Hills</t>
  </si>
  <si>
    <t>Sauer Family Egg Farm</t>
  </si>
  <si>
    <t>Badger Hill Fruit Orchard</t>
  </si>
  <si>
    <t>Francesco's Horses</t>
  </si>
  <si>
    <t>Jimmy's Cattle</t>
  </si>
  <si>
    <t>Sharon's Herb Farm</t>
  </si>
  <si>
    <t>Crater Lake Homestead</t>
  </si>
  <si>
    <t>Aisha's Vegetable Farm</t>
  </si>
  <si>
    <t>Mountain Meadows Juicery</t>
  </si>
  <si>
    <t>Blissful Honeybees</t>
  </si>
  <si>
    <t>Nelson's Acre Farms</t>
  </si>
  <si>
    <t>Maricel's Avocado Farm</t>
  </si>
  <si>
    <t>Hightower Family Creamery</t>
  </si>
  <si>
    <t>Pringle Family Vegetable Farm</t>
  </si>
  <si>
    <t>Albert's Oranges</t>
  </si>
  <si>
    <t>Bankers Hill Squash Farm</t>
  </si>
  <si>
    <t>Olivia's Juicery</t>
  </si>
  <si>
    <t>Green Meadow Creamery</t>
  </si>
  <si>
    <t>Maribel's Cow Farm</t>
  </si>
  <si>
    <t>Breezy Squash Farm</t>
  </si>
  <si>
    <t>Cloudy Sunflower Farms</t>
  </si>
  <si>
    <t>Turtle Pond Fruit Orchard</t>
  </si>
  <si>
    <t>Serene Organic Farm</t>
  </si>
  <si>
    <t>Kristen's Lavender Fields</t>
  </si>
  <si>
    <t>Bankers Hill Vegetable Farm</t>
  </si>
  <si>
    <t>Los Angeles Farm</t>
  </si>
  <si>
    <t>Elm Tree Goats</t>
  </si>
  <si>
    <t>Golden Homestead</t>
  </si>
  <si>
    <t>Tranquil Horses</t>
  </si>
  <si>
    <t>Anita's Goats</t>
  </si>
  <si>
    <t>Maricel's Flower Garden</t>
  </si>
  <si>
    <t>Blue Lake Cow Farm</t>
  </si>
  <si>
    <t>Hightower Family Acres</t>
  </si>
  <si>
    <t>Pringle Family Herb Garden</t>
  </si>
  <si>
    <t>Turtle Pond Fields</t>
  </si>
  <si>
    <t>Green Meadow Ranch</t>
  </si>
  <si>
    <t>Sharon's Organic Farm</t>
  </si>
  <si>
    <t>Fly Creek Farm</t>
  </si>
  <si>
    <t>Bankers Hill Fruit Orchard</t>
  </si>
  <si>
    <t>Sauer Family Mushroom Farm</t>
  </si>
  <si>
    <t>Timmy's Mushroom Farm</t>
  </si>
  <si>
    <t>Jose's Squash Farm</t>
  </si>
  <si>
    <t>Olivia's Pumpkin Patch</t>
  </si>
  <si>
    <t>Blooming Family Lavender Fields</t>
  </si>
  <si>
    <t>Elm Tree Country Estate</t>
  </si>
  <si>
    <t>Tranquil Mushroom Farm</t>
  </si>
  <si>
    <t>Maricel's Organic Farm</t>
  </si>
  <si>
    <t>Alaska Apples</t>
  </si>
  <si>
    <t>Abdalah's Vegetable Farm</t>
  </si>
  <si>
    <t>Abdalah's Homestead</t>
  </si>
  <si>
    <t>Delightful Juicery</t>
  </si>
  <si>
    <t>Cloudy Mushroom Farm</t>
  </si>
  <si>
    <t>Jimmy's Plum Orchard</t>
  </si>
  <si>
    <t>Fullerton Lavender Fields</t>
  </si>
  <si>
    <t>Fulkerson Family Sunflower Farms</t>
  </si>
  <si>
    <t>Cloudy Fruit Orchard</t>
  </si>
  <si>
    <t>Swallowtail Ponds Acres</t>
  </si>
  <si>
    <t>Olivia's Lavender Fields</t>
  </si>
  <si>
    <t>Smucker's Juicery</t>
  </si>
  <si>
    <t>Sunset Hill Horse Ranch</t>
  </si>
  <si>
    <t>Fulkerson Family Vegetable Farm</t>
  </si>
  <si>
    <t>Timmy's Sunflower Farms</t>
  </si>
  <si>
    <t>Jose's Organic Farm</t>
  </si>
  <si>
    <t>Jose's Egg Farm</t>
  </si>
  <si>
    <t>Rustic Maple Syrup</t>
  </si>
  <si>
    <t>Kathy's Apples</t>
  </si>
  <si>
    <t>Sparkle Pond Lavender Fields</t>
  </si>
  <si>
    <t>Bankers Hill Hills</t>
  </si>
  <si>
    <t>Maria's Vineyards</t>
  </si>
  <si>
    <t>Olivia's Country Estate</t>
  </si>
  <si>
    <t>Butterfly Creek Horses</t>
  </si>
  <si>
    <t>Happy Country Estate</t>
  </si>
  <si>
    <t>Smith Vineyards</t>
  </si>
  <si>
    <t>Los Angeles Mushroom Farm</t>
  </si>
  <si>
    <t>Sunny Creamery</t>
  </si>
  <si>
    <t>Fulkerson Family Horse Ranch</t>
  </si>
  <si>
    <t>Smith Chickens</t>
  </si>
  <si>
    <t>Turtle Pond Homestead</t>
  </si>
  <si>
    <t>Elm Tree Plum Orchard</t>
  </si>
  <si>
    <t>Blue Lake Maple Syrup</t>
  </si>
  <si>
    <t>Blissful Homestead</t>
  </si>
  <si>
    <t>Jasmin's Herb Farm</t>
  </si>
  <si>
    <t>Happy Oranges</t>
  </si>
  <si>
    <t>Gloria's Egg Farm</t>
  </si>
  <si>
    <t>Olivia's Farm</t>
  </si>
  <si>
    <t>Maribel's Plum Orchard</t>
  </si>
  <si>
    <t>Happy Apples</t>
  </si>
  <si>
    <t>Turtle Pond Chickens</t>
  </si>
  <si>
    <t>Tranquil Organic Farm</t>
  </si>
  <si>
    <t>Badger Hill Herb Farm</t>
  </si>
  <si>
    <t>Deer Creek Vineyards</t>
  </si>
  <si>
    <t>Gloria's Hills</t>
  </si>
  <si>
    <t>Virginia's Cow Farm</t>
  </si>
  <si>
    <t>Fly Creek Flower Garden</t>
  </si>
  <si>
    <t>Gloria's Acres</t>
  </si>
  <si>
    <t>Virginia's Organic Farm</t>
  </si>
  <si>
    <t>Crater Lake Vineyards</t>
  </si>
  <si>
    <t>Turtle Pond Lavender Fields</t>
  </si>
  <si>
    <t>Coleman Flower Garden</t>
  </si>
  <si>
    <t>Turtle Pond Cattle</t>
  </si>
  <si>
    <t>Jose's Herb Farm</t>
  </si>
  <si>
    <t>Green Meadow Chickens</t>
  </si>
  <si>
    <t>Ramaya's Fruit Orchard</t>
  </si>
  <si>
    <t>Black Mountain Plum Orchard</t>
  </si>
  <si>
    <t>Harvest Sunflower Farms</t>
  </si>
  <si>
    <t>Sparkle Pond Juicery</t>
  </si>
  <si>
    <t>Gloria's Squash Farm</t>
  </si>
  <si>
    <t>Smith Horses</t>
  </si>
  <si>
    <t>Crater Lake Ranch</t>
  </si>
  <si>
    <t>Abdalah's Squash Farm</t>
  </si>
  <si>
    <t>Badger Hill Honeybees</t>
  </si>
  <si>
    <t>Badger Hill Squash Farm</t>
  </si>
  <si>
    <t>Dry Creek Herb Garden</t>
  </si>
  <si>
    <t>Blooming Family Honeybees</t>
  </si>
  <si>
    <t>Golden Horse Ranch</t>
  </si>
  <si>
    <t>Monarch Meadow Juicery</t>
  </si>
  <si>
    <t>Maria's Pumpkin Patch</t>
  </si>
  <si>
    <t>Abdalah's Horse Ranch</t>
  </si>
  <si>
    <t>Charlotte's Sunflower Farms</t>
  </si>
  <si>
    <t>Ramaya's Homestead</t>
  </si>
  <si>
    <t>Radiant Vegetable Farm</t>
  </si>
  <si>
    <t>Fullerton Farm</t>
  </si>
  <si>
    <t>Turtle Pond Creamery</t>
  </si>
  <si>
    <t>Harvest Acres</t>
  </si>
  <si>
    <t>Sunny Farm</t>
  </si>
  <si>
    <t>Elm Tree Mushroom Farm</t>
  </si>
  <si>
    <t>Black Mountain Apples</t>
  </si>
  <si>
    <t>Nelson's Horses</t>
  </si>
  <si>
    <t>Kathy's Flower Garden</t>
  </si>
  <si>
    <t>Arizona Mushroom Farm</t>
  </si>
  <si>
    <t>Cloudy Horses</t>
  </si>
  <si>
    <t>Sparkle Pond Egg Farm</t>
  </si>
  <si>
    <t>Hightower Family Fields</t>
  </si>
  <si>
    <t>Carolina's Juicery</t>
  </si>
  <si>
    <t>Jimmy's Herb Farm</t>
  </si>
  <si>
    <t>Anita's Mushroom Farm</t>
  </si>
  <si>
    <t>Carolina's Oranges</t>
  </si>
  <si>
    <t>Nelson's Lavender Fields</t>
  </si>
  <si>
    <t>Jose's Chickens</t>
  </si>
  <si>
    <t>Sharon's Mushroom Farm</t>
  </si>
  <si>
    <t>Jasmin's Avocado Farm</t>
  </si>
  <si>
    <t>Tranquil Herb Garden</t>
  </si>
  <si>
    <t>Swallowtail Ponds Squash Farm</t>
  </si>
  <si>
    <t>Golden Egg Farm</t>
  </si>
  <si>
    <t>Alaska Cattle</t>
  </si>
  <si>
    <t>Francesco's Farm</t>
  </si>
  <si>
    <t>Fulkerson Family Herb Garden</t>
  </si>
  <si>
    <t>Nelson's Fruit Orchard</t>
  </si>
  <si>
    <t>Delightful Hills</t>
  </si>
  <si>
    <t>Black Mountain Honey Bee Farm</t>
  </si>
  <si>
    <t>Breezy Fruit Orchard</t>
  </si>
  <si>
    <t>Jimmy's Mushroom Farm</t>
  </si>
  <si>
    <t>Coleman Mushroom Farm</t>
  </si>
  <si>
    <t>Nelson's Oranges</t>
  </si>
  <si>
    <t>Fly Creek Mushroom Farm</t>
  </si>
  <si>
    <t>Los Angeles Sunflower Farms</t>
  </si>
  <si>
    <t>Fly Creek Cow Farm</t>
  </si>
  <si>
    <t>Esmeralda's Honeybees</t>
  </si>
  <si>
    <t>Smucker's Farm</t>
  </si>
  <si>
    <t>Hightower Family Hills</t>
  </si>
  <si>
    <t>Sunny Organic Farm</t>
  </si>
  <si>
    <t>Anita's Herb Garden</t>
  </si>
  <si>
    <t>Tranquil Ranch</t>
  </si>
  <si>
    <t>Deer Creek Mushroom Farm</t>
  </si>
  <si>
    <t>Bankers Hill Goats</t>
  </si>
  <si>
    <t>Alberto's Sunflower Farms</t>
  </si>
  <si>
    <t>Radiant Fruit Orchard</t>
  </si>
  <si>
    <t>Mountain Vineyards</t>
  </si>
  <si>
    <t>Maribel's Goats</t>
  </si>
  <si>
    <t>Fly Creek Peach Orchard</t>
  </si>
  <si>
    <t>Delightful Fruit Orchard</t>
  </si>
  <si>
    <t>Virginia's Acres</t>
  </si>
  <si>
    <t>Anita's Honey Bee Farm</t>
  </si>
  <si>
    <t>Blissful Creamery</t>
  </si>
  <si>
    <t>Tranquil Honeybees</t>
  </si>
  <si>
    <t>Jimmy's Egg Farm</t>
  </si>
  <si>
    <t>Esmeralda's Hills</t>
  </si>
  <si>
    <t>Rustic Sunflower Farms</t>
  </si>
  <si>
    <t>Dry Creek Creamery</t>
  </si>
  <si>
    <t>Olivia's Hills</t>
  </si>
  <si>
    <t>Deer Creek Fruit Orchard</t>
  </si>
  <si>
    <t>Carolina's Pumpkin Patch</t>
  </si>
  <si>
    <t>Ramaya's Maple Syrup</t>
  </si>
  <si>
    <t>Breezy Mushroom Farm</t>
  </si>
  <si>
    <t>Jasmin's Peach Orchard</t>
  </si>
  <si>
    <t>Deer Creek Farm</t>
  </si>
  <si>
    <t>Mountain Pumpkin Patch</t>
  </si>
  <si>
    <t>Webb Family Plum Orchard</t>
  </si>
  <si>
    <t>Kristen's Mushroom Farm</t>
  </si>
  <si>
    <t>Blooming Family Horse Ranch</t>
  </si>
  <si>
    <t>Badger Hill Herb Garden</t>
  </si>
  <si>
    <t>Smith Lavender Fields</t>
  </si>
  <si>
    <t>Aisha's Vineyards</t>
  </si>
  <si>
    <t>Mountain Meadows Hills</t>
  </si>
  <si>
    <t>Crater Lake Acre Farms</t>
  </si>
  <si>
    <t>Virginia's Plum Orchard</t>
  </si>
  <si>
    <t>Alberto's Avocado Farm</t>
  </si>
  <si>
    <t>Swallowtail Ponds Goats</t>
  </si>
  <si>
    <t>Albert's Plum Orchard</t>
  </si>
  <si>
    <t>Mountain Meadows Acres</t>
  </si>
  <si>
    <t>Virginia's Egg Farm</t>
  </si>
  <si>
    <t>Abdalah's Goats</t>
  </si>
  <si>
    <t>Rustic Acres</t>
  </si>
  <si>
    <t>Green Meadow Acre Farms</t>
  </si>
  <si>
    <t>Serene Cattle</t>
  </si>
  <si>
    <t>Bankers Hill Herb Garden</t>
  </si>
  <si>
    <t>Deer Creek Plum Orchard</t>
  </si>
  <si>
    <t>Bankers Hill Egg Farm</t>
  </si>
  <si>
    <t>Jasmin's Horse Ranch</t>
  </si>
  <si>
    <t>Hightower Family Egg Farm</t>
  </si>
  <si>
    <t>Dry Creek Flower Garden</t>
  </si>
  <si>
    <t>Jose's Farm</t>
  </si>
  <si>
    <t>Carolina's Apples</t>
  </si>
  <si>
    <t>Abdalah's Country Estate</t>
  </si>
  <si>
    <t>Maria's Creamery</t>
  </si>
  <si>
    <t>Swallowtail Ponds Vineyards</t>
  </si>
  <si>
    <t>Alberto's Goats</t>
  </si>
  <si>
    <t>Smucker's Sunflower Farms</t>
  </si>
  <si>
    <t>Cloudy Egg Farm</t>
  </si>
  <si>
    <t>Breezy Chickens</t>
  </si>
  <si>
    <t>Kristen's Horse Ranch</t>
  </si>
  <si>
    <t>Delightful Country Estate</t>
  </si>
  <si>
    <t>Sunset Hill Cow Farm</t>
  </si>
  <si>
    <t>Turtle Pond Maple Syrup</t>
  </si>
  <si>
    <t>Butterfly Creek Lavender Fields</t>
  </si>
  <si>
    <t>Abdalah's Horses</t>
  </si>
  <si>
    <t>Jasmin's Apples</t>
  </si>
  <si>
    <t>Jose's Ranch</t>
  </si>
  <si>
    <t>Francesco's Creamery</t>
  </si>
  <si>
    <t>Sauer Family Farm</t>
  </si>
  <si>
    <t>Coleman Cattle</t>
  </si>
  <si>
    <t>Carolina's Creamery</t>
  </si>
  <si>
    <t>Sauer Family Country Estate</t>
  </si>
  <si>
    <t>Aisha's Squash Farm</t>
  </si>
  <si>
    <t>Sparkle Pond Squash Farm</t>
  </si>
  <si>
    <t>Maribel's Herb Garden</t>
  </si>
  <si>
    <t>Mountain Mushroom Farm</t>
  </si>
  <si>
    <t>Alberto's Creamery</t>
  </si>
  <si>
    <t>Salt Lake Lavender Fields</t>
  </si>
  <si>
    <t>Swallowtail Ponds Peach Orchard</t>
  </si>
  <si>
    <t>Alaska Ranch</t>
  </si>
  <si>
    <t>Ramaya's Acre Farms</t>
  </si>
  <si>
    <t>Esmeralda's Mushroom Farm</t>
  </si>
  <si>
    <t>Los Angeles Fruit Orchard</t>
  </si>
  <si>
    <t>Elm Tree Ranch</t>
  </si>
  <si>
    <t>Salt Lake Honeybees</t>
  </si>
  <si>
    <t>Tranquil Country Estate</t>
  </si>
  <si>
    <t>Virginia's Creamery</t>
  </si>
  <si>
    <t>Monarch Meadow Honeybees</t>
  </si>
  <si>
    <t>Harvest Organic Farm</t>
  </si>
  <si>
    <t>Turtle Pond Goats</t>
  </si>
  <si>
    <t>Abdalah's Farm</t>
  </si>
  <si>
    <t>Hudson Family Honey Bee Farm</t>
  </si>
  <si>
    <t>Maria's Acres</t>
  </si>
  <si>
    <t>Hightower Family Vegetable Farm</t>
  </si>
  <si>
    <t>Los Angeles Vineyards</t>
  </si>
  <si>
    <t>Sparkle Pond Organic Farm</t>
  </si>
  <si>
    <t>Green Meadow Cattle</t>
  </si>
  <si>
    <t>Maricel's Herb Farm</t>
  </si>
  <si>
    <t>Fullerton Homestead</t>
  </si>
  <si>
    <t>Esmeralda's Organic Farm</t>
  </si>
  <si>
    <t>Cloudy Peach Orchard</t>
  </si>
  <si>
    <t>Delightful Egg Farm</t>
  </si>
  <si>
    <t>Jasmin's Herb Garden</t>
  </si>
  <si>
    <t>Esmeralda's Peach Orchard</t>
  </si>
  <si>
    <t>Alberto's Mushroom Farm</t>
  </si>
  <si>
    <t>Francesco's Herb Garden</t>
  </si>
  <si>
    <t>Mountain Meadows Herb Garden</t>
  </si>
  <si>
    <t>Golden Honey Bee Farm</t>
  </si>
  <si>
    <t>Blooming Family Fields</t>
  </si>
  <si>
    <t>Charlotte's Maple Syrup</t>
  </si>
  <si>
    <t>Olivia's Vineyards</t>
  </si>
  <si>
    <t>Delightful Mushroom Farm</t>
  </si>
  <si>
    <t>Golden Mushroom Farm</t>
  </si>
  <si>
    <t>Harvest Lavender Fields</t>
  </si>
  <si>
    <t>Esmeralda's Ranch</t>
  </si>
  <si>
    <t>Webb Family Chickens</t>
  </si>
  <si>
    <t>Golden Country Estate</t>
  </si>
  <si>
    <t>Fullerton Sunflower Farms</t>
  </si>
  <si>
    <t>Blissful Fields</t>
  </si>
  <si>
    <t>Sauer Family Flower Garden</t>
  </si>
  <si>
    <t>Abdalah's Sunflower Farms</t>
  </si>
  <si>
    <t>Cloudy Squash Farm</t>
  </si>
  <si>
    <t>Jose's Mushroom Farm</t>
  </si>
  <si>
    <t>Smucker's Herb Garden</t>
  </si>
  <si>
    <t>Coleman Peach Orchard</t>
  </si>
  <si>
    <t>Maria's Horses</t>
  </si>
  <si>
    <t>Rustic Creamery</t>
  </si>
  <si>
    <t>Blue Lake Hills</t>
  </si>
  <si>
    <t>Sunset Hill Organic Farm</t>
  </si>
  <si>
    <t>Golden Sunflower Farms</t>
  </si>
  <si>
    <t>Black Mountain Herb Garden</t>
  </si>
  <si>
    <t>Olivia's Oranges</t>
  </si>
  <si>
    <t>Serene Acre Farms</t>
  </si>
  <si>
    <t>Alaska Goats</t>
  </si>
  <si>
    <t>Kathy's Horses</t>
  </si>
  <si>
    <t>Esmeralda's Herb Farm</t>
  </si>
  <si>
    <t>Swallowtail Ponds Herb Garden</t>
  </si>
  <si>
    <t>Dry Creek Cow Farm</t>
  </si>
  <si>
    <t>Butterfly Creek Egg Farm</t>
  </si>
  <si>
    <t>Bankers Hill Pumpkin Patch</t>
  </si>
  <si>
    <t>Virginia's Hills</t>
  </si>
  <si>
    <t>Swallowtail Ponds Maple Syrup</t>
  </si>
  <si>
    <t>Happy Flower Garden</t>
  </si>
  <si>
    <t>Nelson's Honeybees</t>
  </si>
  <si>
    <t>Sunset Hill Lavender Fields</t>
  </si>
  <si>
    <t>Eduardo's Maple Syrup</t>
  </si>
  <si>
    <t>Maricel's Oranges</t>
  </si>
  <si>
    <t>Deer Creek Oranges</t>
  </si>
  <si>
    <t>Black Mountain Acre Farms</t>
  </si>
  <si>
    <t>Webb Family Apples</t>
  </si>
  <si>
    <t>Swallowtail Ponds Country Estate</t>
  </si>
  <si>
    <t>Badger Hill Homestead</t>
  </si>
  <si>
    <t>Jose's Goats</t>
  </si>
  <si>
    <t>Middle Creek Chickens</t>
  </si>
  <si>
    <t>Elm Tree Fields</t>
  </si>
  <si>
    <t>Fullerton Acre Farms</t>
  </si>
  <si>
    <t>Webb Family Farm</t>
  </si>
  <si>
    <t>Sauer Family Herb Farm</t>
  </si>
  <si>
    <t>Sharon's Pumpkin Patch</t>
  </si>
  <si>
    <t>Salt Lake Ranch</t>
  </si>
  <si>
    <t>Monarch Meadow Squash Farm</t>
  </si>
  <si>
    <t>Golden Squash Farm</t>
  </si>
  <si>
    <t>Jimmy's Herb Garden</t>
  </si>
  <si>
    <t>Blooming Family Maple Syrup</t>
  </si>
  <si>
    <t>Virginia's Farm</t>
  </si>
  <si>
    <t>Albert's Lavender Fields</t>
  </si>
  <si>
    <t>Swallowtail Ponds Sunflower Farms</t>
  </si>
  <si>
    <t>Sharon's Fruit Orchard</t>
  </si>
  <si>
    <t>Hightower Family Herb Garden</t>
  </si>
  <si>
    <t>Breezy Vineyards</t>
  </si>
  <si>
    <t>Anita's Cow Farm</t>
  </si>
  <si>
    <t>Dry Creek Oranges</t>
  </si>
  <si>
    <t>Deer Creek Horses</t>
  </si>
  <si>
    <t>Jimmy's Homestead</t>
  </si>
  <si>
    <t>Albert's Herb Farm</t>
  </si>
  <si>
    <t>Hudson Family Flower Garden</t>
  </si>
  <si>
    <t>Charlotte's Vegetable Farm</t>
  </si>
  <si>
    <t>Coleman Cow Farm</t>
  </si>
  <si>
    <t>Harvest Ranch</t>
  </si>
  <si>
    <t>Sharon's Vineyards</t>
  </si>
  <si>
    <t>Mountain Meadows Apples</t>
  </si>
  <si>
    <t>Turtle Pond Farm</t>
  </si>
  <si>
    <t>Los Angeles Acre Farms</t>
  </si>
  <si>
    <t>Hudson Family Squash Farm</t>
  </si>
  <si>
    <t>Hightower Family Maple Syrup</t>
  </si>
  <si>
    <t>Alaska Peach Orchard</t>
  </si>
  <si>
    <t>Blooming Family Herb Garden</t>
  </si>
  <si>
    <t>Mountain Meadows Vegetable Farm</t>
  </si>
  <si>
    <t>Breezy Farm</t>
  </si>
  <si>
    <t>Ross Lake Ranch</t>
  </si>
  <si>
    <t>Breezy Creamery</t>
  </si>
  <si>
    <t>Tranquil Lavender Fields</t>
  </si>
  <si>
    <t>Webb Family Acres</t>
  </si>
  <si>
    <t>Pringle Family Fruit Orchard</t>
  </si>
  <si>
    <t>Fullerton Cattle</t>
  </si>
  <si>
    <t>Francesco's Sunflower Farms</t>
  </si>
  <si>
    <t>Gloria's Herb Farm</t>
  </si>
  <si>
    <t>Happy Herb Farm</t>
  </si>
  <si>
    <t>Radiant Herb Farm</t>
  </si>
  <si>
    <t>Harvest Mushroom Farm</t>
  </si>
  <si>
    <t>Maricel's Fruit Orchard</t>
  </si>
  <si>
    <t>Nelson's Pumpkin Patch</t>
  </si>
  <si>
    <t>Golden Organic Farm</t>
  </si>
  <si>
    <t>Salt Lake Cow Farm</t>
  </si>
  <si>
    <t>Timmy's Farm</t>
  </si>
  <si>
    <t>Cloudy Farm</t>
  </si>
  <si>
    <t>Anita's Vineyards</t>
  </si>
  <si>
    <t>Kristen's Cattle</t>
  </si>
  <si>
    <t>Kristen's Vineyards</t>
  </si>
  <si>
    <t>Sunny Vegetable Farm</t>
  </si>
  <si>
    <t>Abdalah's Acre Farms</t>
  </si>
  <si>
    <t>Sunset Hill Horses</t>
  </si>
  <si>
    <t>Fullerton Oranges</t>
  </si>
  <si>
    <t>Blissful Oranges</t>
  </si>
  <si>
    <t>Blue Lake Lavender Fields</t>
  </si>
  <si>
    <t>Eduardo's Vegetable Farm</t>
  </si>
  <si>
    <t>Virginia's Squash Farm</t>
  </si>
  <si>
    <t>Francesco's Juicery</t>
  </si>
  <si>
    <t>Tranquil Avocado Farm</t>
  </si>
  <si>
    <t>Blissful Farm</t>
  </si>
  <si>
    <t>Timmy's Egg Farm</t>
  </si>
  <si>
    <t>Aisha's Homestead</t>
  </si>
  <si>
    <t>Pringle Family Farm</t>
  </si>
  <si>
    <t>Sunset Hill Ranch</t>
  </si>
  <si>
    <t>Abdalah's Mushroom Farm</t>
  </si>
  <si>
    <t>Fly Creek Honeybees</t>
  </si>
  <si>
    <t>Aisha's Cattle</t>
  </si>
  <si>
    <t>Fullerton Horse Ranch</t>
  </si>
  <si>
    <t>Virginia's Fruit Orchard</t>
  </si>
  <si>
    <t>Fly Creek Horses</t>
  </si>
  <si>
    <t>Los Angeles Herb Garden</t>
  </si>
  <si>
    <t>Sparkle Pond Plum Orchard</t>
  </si>
  <si>
    <t>Gloria's Cow Farm</t>
  </si>
  <si>
    <t>Mountain Maple Syrup</t>
  </si>
  <si>
    <t>Jasmin's Juicery</t>
  </si>
  <si>
    <t>Alaska Homestead</t>
  </si>
  <si>
    <t>Albert's Fruit Orchard</t>
  </si>
  <si>
    <t>Jose's Creamery</t>
  </si>
  <si>
    <t>Mountain Chickens</t>
  </si>
  <si>
    <t>Butterfly Creek Maple Syrup</t>
  </si>
  <si>
    <t>Arizona Cow Farm</t>
  </si>
  <si>
    <t>Badger Hill Vegetable Farm</t>
  </si>
  <si>
    <t>Serene Vineyards</t>
  </si>
  <si>
    <t>Bankers Hill Herb Farm</t>
  </si>
  <si>
    <t>Webb Family Organic Farm</t>
  </si>
  <si>
    <t>Maria's Goats</t>
  </si>
  <si>
    <t>Maricel's Pumpkin Patch</t>
  </si>
  <si>
    <t>Aisha's Egg Farm</t>
  </si>
  <si>
    <t>Alberto's Ranch</t>
  </si>
  <si>
    <t>Mountain Meadows Mushroom Farm</t>
  </si>
  <si>
    <t>Alaska Honey Bee Farm</t>
  </si>
  <si>
    <t>Gloria's Honey Bee Farm</t>
  </si>
  <si>
    <t>Smith Fields</t>
  </si>
  <si>
    <t>Elm Tree Apples</t>
  </si>
  <si>
    <t>Sauer Family Ranch</t>
  </si>
  <si>
    <t>Deer Creek Juicery</t>
  </si>
  <si>
    <t>Charlotte's Flower Garden</t>
  </si>
  <si>
    <t>Francesco's Cow Farm</t>
  </si>
  <si>
    <t>Fly Creek Acres</t>
  </si>
  <si>
    <t>Radiant Plum Orchard</t>
  </si>
  <si>
    <t>Ramaya's Hills</t>
  </si>
  <si>
    <t>Gloria's Peach Orchard</t>
  </si>
  <si>
    <t>Salt Lake Sunflower Farms</t>
  </si>
  <si>
    <t>Sharon's Juicery</t>
  </si>
  <si>
    <t>Black Mountain Horses</t>
  </si>
  <si>
    <t>Albert's Chickens</t>
  </si>
  <si>
    <t>Rustic Farm</t>
  </si>
  <si>
    <t>Los Angeles Country Estate</t>
  </si>
  <si>
    <t>Maribel's Creamery</t>
  </si>
  <si>
    <t>Crater Lake Avocado Farm</t>
  </si>
  <si>
    <t>Arizona Juicery</t>
  </si>
  <si>
    <t>Anita's Fruit Orchard</t>
  </si>
  <si>
    <t>Salt Lake Herb Farm</t>
  </si>
  <si>
    <t>Turtle Pond Vineyards</t>
  </si>
  <si>
    <t>Monarch Meadow Plum Orchard</t>
  </si>
  <si>
    <t>Fly Creek Cattle</t>
  </si>
  <si>
    <t>Coleman Oranges</t>
  </si>
  <si>
    <t>Nelson's Farm</t>
  </si>
  <si>
    <t>Jose's Herb Garden</t>
  </si>
  <si>
    <t>Aisha's Juicery</t>
  </si>
  <si>
    <t>Happy Acre Farms</t>
  </si>
  <si>
    <t>Bankers Hill Maple Syrup</t>
  </si>
  <si>
    <t>Sauer Family Acre Farms</t>
  </si>
  <si>
    <t>Francesco's Apples</t>
  </si>
  <si>
    <t>Butterfly Creek Farm</t>
  </si>
  <si>
    <t>Mountain Meadows Maple Syrup</t>
  </si>
  <si>
    <t>Crater Lake Peach Orchard</t>
  </si>
  <si>
    <t>Bankers Hill Vineyards</t>
  </si>
  <si>
    <t>Cloudy Vegetable Farm</t>
  </si>
  <si>
    <t>Harvest Maple Syrup</t>
  </si>
  <si>
    <t>Smucker's Squash Farm</t>
  </si>
  <si>
    <t>Bankers Hill Creamery</t>
  </si>
  <si>
    <t>Los Angeles Horse Ranch</t>
  </si>
  <si>
    <t>Badger Hill Fields</t>
  </si>
  <si>
    <t>Hudson Family Herb Garden</t>
  </si>
  <si>
    <t>Butterfly Creek Horse Ranch</t>
  </si>
  <si>
    <t>Anita's Organic Farm</t>
  </si>
  <si>
    <t>Maria's Horse Ranch</t>
  </si>
  <si>
    <t>Charlotte's Squash Farm</t>
  </si>
  <si>
    <t>Sunset Hill Vineyards</t>
  </si>
  <si>
    <t>Jasmin's Hills</t>
  </si>
  <si>
    <t>Mountain Meadows Squash Farm</t>
  </si>
  <si>
    <t>Blue Lake Goats</t>
  </si>
  <si>
    <t>Carolina's Honeybees</t>
  </si>
  <si>
    <t>Black Mountain Maple Syrup</t>
  </si>
  <si>
    <t>Coleman Herb Farm</t>
  </si>
  <si>
    <t>Kristen's Avocado Farm</t>
  </si>
  <si>
    <t>Badger Hill Sunflower Farms</t>
  </si>
  <si>
    <t>Rustic Goats</t>
  </si>
  <si>
    <t>Fly Creek Chickens</t>
  </si>
  <si>
    <t>Smith Maple Syrup</t>
  </si>
  <si>
    <t>Fulkerson Family Egg Farm</t>
  </si>
  <si>
    <t>Radiant Horse Ranch</t>
  </si>
  <si>
    <t>Sharon's Cow Farm</t>
  </si>
  <si>
    <t>Hightower Family Sunflower Farms</t>
  </si>
  <si>
    <t>Blooming Family Homestead</t>
  </si>
  <si>
    <t>Ross Lake Herb Garden</t>
  </si>
  <si>
    <t>Radiant Mushroom Farm</t>
  </si>
  <si>
    <t>Green Meadow Honey Bee Farm</t>
  </si>
  <si>
    <t>Olivia's Maple Syrup</t>
  </si>
  <si>
    <t>Middle Creek Farm</t>
  </si>
  <si>
    <t>Gloria's Herb Garden</t>
  </si>
  <si>
    <t>Salt Lake Homestead</t>
  </si>
  <si>
    <t>Blooming Family Horses</t>
  </si>
  <si>
    <t>Pringle Family Honey Bee Farm</t>
  </si>
  <si>
    <t>Alaska Fruit Orchard</t>
  </si>
  <si>
    <t>Mountain Organic Farm</t>
  </si>
  <si>
    <t>Dry Creek Juicery</t>
  </si>
  <si>
    <t>Black Mountain Country Estate</t>
  </si>
  <si>
    <t>Kathy's Herb Farm</t>
  </si>
  <si>
    <t>Salt Lake Acres</t>
  </si>
  <si>
    <t>Rustic Ranch</t>
  </si>
  <si>
    <t>Blissful Squash Farm</t>
  </si>
  <si>
    <t>Alaska Juicery</t>
  </si>
  <si>
    <t>Bankers Hill Organic Farm</t>
  </si>
  <si>
    <t>Kristen's Sunflower Farms</t>
  </si>
  <si>
    <t>Francesco's Hills</t>
  </si>
  <si>
    <t>Sauer Family Horses</t>
  </si>
  <si>
    <t>Maria's Peach Orchard</t>
  </si>
  <si>
    <t>Green Meadow Avocado Farm</t>
  </si>
  <si>
    <t>Happy Herb Garden</t>
  </si>
  <si>
    <t>Green Meadow Maple Syrup</t>
  </si>
  <si>
    <t>Webb Family Ranch</t>
  </si>
  <si>
    <t>Fullerton Apples</t>
  </si>
  <si>
    <t>Monarch Meadow Cow Farm</t>
  </si>
  <si>
    <t>Alberto's Organic Farm</t>
  </si>
  <si>
    <t>Monarch Meadow Honey Bee Farm</t>
  </si>
  <si>
    <t>Pringle Family Apples</t>
  </si>
  <si>
    <t>Middle Creek Honey Bee Farm</t>
  </si>
  <si>
    <t>Eduardo's Country Estate</t>
  </si>
  <si>
    <t>Serene Chickens</t>
  </si>
  <si>
    <t>Monarch Meadow Maple Syrup</t>
  </si>
  <si>
    <t>Anita's Juicery</t>
  </si>
  <si>
    <t>Maria's Herb Garden</t>
  </si>
  <si>
    <t>Delightful Honey Bee Farm</t>
  </si>
  <si>
    <t>Virginia's Pumpkin Patch</t>
  </si>
  <si>
    <t>Tranquil Creamery</t>
  </si>
  <si>
    <t>Harvest Peach Orchard</t>
  </si>
  <si>
    <t>Los Angeles Apples</t>
  </si>
  <si>
    <t>Carolina's Herb Farm</t>
  </si>
  <si>
    <t>Eduardo's Lavender Fields</t>
  </si>
  <si>
    <t>Turtle Pond Honey Bee Farm</t>
  </si>
  <si>
    <t>Rustic Acre Farms</t>
  </si>
  <si>
    <t>Breezy Ranch</t>
  </si>
  <si>
    <t>Cloudy Honeybees</t>
  </si>
  <si>
    <t>Deer Creek Cow Farm</t>
  </si>
  <si>
    <t>Blue Lake Chickens</t>
  </si>
  <si>
    <t>Radiant Cattle</t>
  </si>
  <si>
    <t>Timmy's Lavender Fields</t>
  </si>
  <si>
    <t>Jimmy's Farm</t>
  </si>
  <si>
    <t>Bankers Hill Honeybees</t>
  </si>
  <si>
    <t>Nelson's Cattle</t>
  </si>
  <si>
    <t>Kathy's Cattle</t>
  </si>
  <si>
    <t>Smith Juicery</t>
  </si>
  <si>
    <t>Mountain Acre Farms</t>
  </si>
  <si>
    <t>Fly Creek Goats</t>
  </si>
  <si>
    <t>Fullerton Juicery</t>
  </si>
  <si>
    <t>Francesco's Ranch</t>
  </si>
  <si>
    <t>Maricel's Cattle</t>
  </si>
  <si>
    <t>Breezy Herb Garden</t>
  </si>
  <si>
    <t>Sunset Hill Avocado Farm</t>
  </si>
  <si>
    <t>Eduardo's Plum Orchard</t>
  </si>
  <si>
    <t>Mountain Meadows Horses</t>
  </si>
  <si>
    <t>Alberto's Herb Garden</t>
  </si>
  <si>
    <t>Green Meadow Horses</t>
  </si>
  <si>
    <t>Maricel's Mushroom Farm</t>
  </si>
  <si>
    <t>Hudson Family Country Estate</t>
  </si>
  <si>
    <t>Charlotte's Chickens</t>
  </si>
  <si>
    <t>Fly Creek Horse Ranch</t>
  </si>
  <si>
    <t>Cloudy Avocado Farm</t>
  </si>
  <si>
    <t>Harvest Horse Ranch</t>
  </si>
  <si>
    <t>Blissful Maple Syrup</t>
  </si>
  <si>
    <t>Aisha's Flower Garden</t>
  </si>
  <si>
    <t>Elm Tree Hills</t>
  </si>
  <si>
    <t>Webb Family Pumpkin Patch</t>
  </si>
  <si>
    <t>Gloria's Honeybees</t>
  </si>
  <si>
    <t>Blue Lake Creamery</t>
  </si>
  <si>
    <t>Black Mountain Egg Farm</t>
  </si>
  <si>
    <t>Smith Pumpkin Patch</t>
  </si>
  <si>
    <t>Middle Creek Herb Farm</t>
  </si>
  <si>
    <t>Mountain Meadows Farm</t>
  </si>
  <si>
    <t>Maria's Lavender Fields</t>
  </si>
  <si>
    <t>Harvest Pumpkin Patch</t>
  </si>
  <si>
    <t>Jasmin's Acre Farms</t>
  </si>
  <si>
    <t>Delightful Pumpkin Patch</t>
  </si>
  <si>
    <t>Bankers Hill Flower Garden</t>
  </si>
  <si>
    <t>Swallowtail Ponds Fruit Orchard</t>
  </si>
  <si>
    <t>Golden Peach Orchard</t>
  </si>
  <si>
    <t>Dry Creek Cattle</t>
  </si>
  <si>
    <t>Arizona Herb Farm</t>
  </si>
  <si>
    <t>Harvest Herb Garden</t>
  </si>
  <si>
    <t>Smith Avocado Farm</t>
  </si>
  <si>
    <t>Middle Creek Horse Ranch</t>
  </si>
  <si>
    <t>Bankers Hill Apples</t>
  </si>
  <si>
    <t>Arizona Oranges</t>
  </si>
  <si>
    <t>Sharon's Avocado Farm</t>
  </si>
  <si>
    <t xml:space="preserve">Randomly generated numbers. When combined with the line PRFX-LINE-NBR, SFX-LINE-NBR, and SUB-SFX-LINE-NBR, we get a unique combination. These values are used in USGLACT and GLACCT. </t>
  </si>
  <si>
    <t>0 or 1, randomly generated</t>
  </si>
  <si>
    <t>1-9 randomly generated (excluding 0)</t>
  </si>
  <si>
    <t>This ranges from 1-5, randomly alternating.</t>
  </si>
  <si>
    <t>ACCT-NBR</t>
  </si>
  <si>
    <t>MINOR-CDE-FLAG</t>
  </si>
  <si>
    <t>ENTY</t>
  </si>
  <si>
    <t>X(15).</t>
  </si>
  <si>
    <t>X(2).</t>
  </si>
  <si>
    <t>X(3).</t>
  </si>
  <si>
    <t>X(10).</t>
  </si>
  <si>
    <t>This field is a text join of ST-CDE-OBLR, CTY-CDE-OBLR, ID-NBR-OBLR.</t>
  </si>
  <si>
    <t>ST-CDE-OBLR is a FIPS State code, based off of the 50 state codes, that range from 01-56. These state codes skip around, for example, 03 does not exist, along with some others, so thats why it ranges from 1-56. These are randomly selected values that correspond with one of the CTY-CDE-OBLR.</t>
  </si>
  <si>
    <t>The cty code variable goes along with one of the ST-CDE-OBLR variables.</t>
  </si>
  <si>
    <t>The ID nbr variable was 8 randomly generated numbers (ID Cards usually are 8 long) that does not start with 0, but it is padded with 0's to reach length 10.</t>
  </si>
  <si>
    <t>CASE-ID</t>
  </si>
  <si>
    <t>ST-CDE-OBLR</t>
  </si>
  <si>
    <t>CTY-CDE-OBLR</t>
  </si>
  <si>
    <t>ID-NBR-OBLR</t>
  </si>
  <si>
    <t>S9(09)V99</t>
  </si>
  <si>
    <t>9(02).</t>
  </si>
  <si>
    <t>9(03).</t>
  </si>
  <si>
    <t>S9(9)V99</t>
  </si>
  <si>
    <t>Randomly generated 2 digit numbers ranging from 1-99. The LN-Nbr variable is the same across all tables with the ln-nbr variable in them.</t>
  </si>
  <si>
    <t>Randomly generated numbers ranging from 0-9.</t>
  </si>
  <si>
    <t>Randomly generated numbers ranging from 1-99999.99, randomly alternating between positive and negative. Padded with 0's to reach desired length.</t>
  </si>
  <si>
    <t>Randomly generated num bers ranging from 1-99999.99, randomly alternating between positive and negative. Padded with 0's to reach desired length.</t>
  </si>
  <si>
    <t>A random date ranging from 01/01/2010-01/01/2015 in the MMDDYY format.</t>
  </si>
  <si>
    <t>This date is 10, 20, or 30 years after the DTE_EFCTV. MMDDYY.</t>
  </si>
  <si>
    <t>A random date in the range (05/01/23-05/30/23). MMDDYY</t>
  </si>
  <si>
    <t>The last day of the month in the month of DTE-MTURTY. This is 10, 20, or 30 years after the DTE-EFCTVE. MMDDYY</t>
  </si>
  <si>
    <t>These range between 50 and 55, randomly alternating.</t>
  </si>
  <si>
    <t>Randomly generated numbers ranging from 01-99.</t>
  </si>
  <si>
    <t>The values for this are "A", "B", "C", "D", "E".</t>
  </si>
  <si>
    <t>A random capital letter (A-Z) followed by a random number (0-9).</t>
  </si>
  <si>
    <t>Randomly generated numbers ranging from 1-9.</t>
  </si>
  <si>
    <t>Randomly generated dates in the MMDDYY format ranging from 01/01/2013-01/01/2023</t>
  </si>
  <si>
    <t>Randomly generated numbers ranging from 100-200.</t>
  </si>
  <si>
    <t>Randomly generated numbers ranging from 1-99999.99, randomly alernating between positive and negative. padded with 0's to reach desired length.</t>
  </si>
  <si>
    <t>Randomly generated numbers 0-9.</t>
  </si>
  <si>
    <t>TYP-PLAN-CDE</t>
  </si>
  <si>
    <t>WRTDWN-AMT-SCRD-RE</t>
  </si>
  <si>
    <t>WRTDWN-AMT-NOT-SCRD-RE</t>
  </si>
  <si>
    <t>BEGNG-MKT-VLU</t>
  </si>
  <si>
    <t>ENDG-MKT-VLU</t>
  </si>
  <si>
    <t>NET-RECVRY-VLU</t>
  </si>
  <si>
    <t>POTL-RECPTR-AMT</t>
  </si>
  <si>
    <t>RCVB-AMT-DUE</t>
  </si>
  <si>
    <t>RCVB-AMT-PD</t>
  </si>
  <si>
    <t>DTE-EFCTV</t>
  </si>
  <si>
    <t>DTE-MTURTY</t>
  </si>
  <si>
    <t>DTE-LST-CSH</t>
  </si>
  <si>
    <t>DTE-FNL-PYMT</t>
  </si>
  <si>
    <t>DTE-LST-RGSTR-DTL</t>
  </si>
  <si>
    <t>RGSTR-TYP-LST-TRNSCTN</t>
  </si>
  <si>
    <t>EQUITY-SALE-CONTR</t>
  </si>
  <si>
    <t>APPLTN-CDE</t>
  </si>
  <si>
    <t>FULLY-PD-CDE</t>
  </si>
  <si>
    <t>FNL-RCVB-CDE</t>
  </si>
  <si>
    <t>DTE-SALE-PROP</t>
  </si>
  <si>
    <t>DTE-COMPLD-SRVCG-APPLTN</t>
  </si>
  <si>
    <t>DTE-OBLGN</t>
  </si>
  <si>
    <t>CR-APPLD-NONCSH</t>
  </si>
  <si>
    <t>DTE-LST-NONCSH</t>
  </si>
  <si>
    <t>SUSP-CDE</t>
  </si>
  <si>
    <t>P8</t>
  </si>
  <si>
    <t>T2</t>
  </si>
  <si>
    <t>C5</t>
  </si>
  <si>
    <t>H5</t>
  </si>
  <si>
    <t>C6</t>
  </si>
  <si>
    <t>G0</t>
  </si>
  <si>
    <t>U6</t>
  </si>
  <si>
    <t>W7</t>
  </si>
  <si>
    <t>V8</t>
  </si>
  <si>
    <t>S0</t>
  </si>
  <si>
    <t>G6</t>
  </si>
  <si>
    <t>Y7</t>
  </si>
  <si>
    <t>W2</t>
  </si>
  <si>
    <t>Z4</t>
  </si>
  <si>
    <t>V4</t>
  </si>
  <si>
    <t>B2</t>
  </si>
  <si>
    <t>Z5</t>
  </si>
  <si>
    <t>I3</t>
  </si>
  <si>
    <t>F8</t>
  </si>
  <si>
    <t>R2</t>
  </si>
  <si>
    <t>H7</t>
  </si>
  <si>
    <t>Q0</t>
  </si>
  <si>
    <t>O7</t>
  </si>
  <si>
    <t>E4</t>
  </si>
  <si>
    <t>S5</t>
  </si>
  <si>
    <t>J7</t>
  </si>
  <si>
    <t>D0</t>
  </si>
  <si>
    <t>P4</t>
  </si>
  <si>
    <t>X5</t>
  </si>
  <si>
    <t>C2</t>
  </si>
  <si>
    <t>F5</t>
  </si>
  <si>
    <t>Z9</t>
  </si>
  <si>
    <t>A9</t>
  </si>
  <si>
    <t>E9</t>
  </si>
  <si>
    <t>O2</t>
  </si>
  <si>
    <t>N4</t>
  </si>
  <si>
    <t>K3</t>
  </si>
  <si>
    <t>K4</t>
  </si>
  <si>
    <t>G7</t>
  </si>
  <si>
    <t>Y3</t>
  </si>
  <si>
    <t>T9</t>
  </si>
  <si>
    <t>E7</t>
  </si>
  <si>
    <t>D7</t>
  </si>
  <si>
    <t>J5</t>
  </si>
  <si>
    <t>C8</t>
  </si>
  <si>
    <t>M0</t>
  </si>
  <si>
    <t>F7</t>
  </si>
  <si>
    <t>U7</t>
  </si>
  <si>
    <t>X4</t>
  </si>
  <si>
    <t>T7</t>
  </si>
  <si>
    <t>P7</t>
  </si>
  <si>
    <t>P9</t>
  </si>
  <si>
    <t>N1</t>
  </si>
  <si>
    <t>S6</t>
  </si>
  <si>
    <t>Y5</t>
  </si>
  <si>
    <t>T0</t>
  </si>
  <si>
    <t>O0</t>
  </si>
  <si>
    <t>H8</t>
  </si>
  <si>
    <t>G8</t>
  </si>
  <si>
    <t>J2</t>
  </si>
  <si>
    <t>R8</t>
  </si>
  <si>
    <t>S7</t>
  </si>
  <si>
    <t>S2</t>
  </si>
  <si>
    <t>I9</t>
  </si>
  <si>
    <t>K0</t>
  </si>
  <si>
    <t>D4</t>
  </si>
  <si>
    <t>U9</t>
  </si>
  <si>
    <t>J8</t>
  </si>
  <si>
    <t>A7</t>
  </si>
  <si>
    <t>O5</t>
  </si>
  <si>
    <t>I8</t>
  </si>
  <si>
    <t>T3</t>
  </si>
  <si>
    <t>B3</t>
  </si>
  <si>
    <t>I4</t>
  </si>
  <si>
    <t>Q8</t>
  </si>
  <si>
    <t>R1</t>
  </si>
  <si>
    <t>G9</t>
  </si>
  <si>
    <t>D8</t>
  </si>
  <si>
    <t>U8</t>
  </si>
  <si>
    <t>B9</t>
  </si>
  <si>
    <t>H3</t>
  </si>
  <si>
    <t>Z7</t>
  </si>
  <si>
    <t>B4</t>
  </si>
  <si>
    <t>S3</t>
  </si>
  <si>
    <t>C0</t>
  </si>
  <si>
    <t>S4</t>
  </si>
  <si>
    <t>V2</t>
  </si>
  <si>
    <t>H1</t>
  </si>
  <si>
    <t>I1</t>
  </si>
  <si>
    <t>Q7</t>
  </si>
  <si>
    <t>P1</t>
  </si>
  <si>
    <t>Q2</t>
  </si>
  <si>
    <t>L7</t>
  </si>
  <si>
    <t>V7</t>
  </si>
  <si>
    <t>K8</t>
  </si>
  <si>
    <t>B6</t>
  </si>
  <si>
    <t>T1</t>
  </si>
  <si>
    <t>F0</t>
  </si>
  <si>
    <t>D5</t>
  </si>
  <si>
    <t>K7</t>
  </si>
  <si>
    <t>Q3</t>
  </si>
  <si>
    <t>P3</t>
  </si>
  <si>
    <t>P0</t>
  </si>
  <si>
    <t>N7</t>
  </si>
  <si>
    <t>H6</t>
  </si>
  <si>
    <t>U4</t>
  </si>
  <si>
    <t>M1</t>
  </si>
  <si>
    <t>E0</t>
  </si>
  <si>
    <t>U2</t>
  </si>
  <si>
    <t>X9</t>
  </si>
  <si>
    <t>N9</t>
  </si>
  <si>
    <t>F3</t>
  </si>
  <si>
    <t>L1</t>
  </si>
  <si>
    <t>J0</t>
  </si>
  <si>
    <t>O1</t>
  </si>
  <si>
    <t>Q1</t>
  </si>
  <si>
    <t>N5</t>
  </si>
  <si>
    <t>W8</t>
  </si>
  <si>
    <t>U5</t>
  </si>
  <si>
    <t>V3</t>
  </si>
  <si>
    <t>F9</t>
  </si>
  <si>
    <t>K2</t>
  </si>
  <si>
    <t>E3</t>
  </si>
  <si>
    <t>O8</t>
  </si>
  <si>
    <t>V5</t>
  </si>
  <si>
    <t>L8</t>
  </si>
  <si>
    <t>A1</t>
  </si>
  <si>
    <t>U0</t>
  </si>
  <si>
    <t>V6</t>
  </si>
  <si>
    <t>I5</t>
  </si>
  <si>
    <t>A8</t>
  </si>
  <si>
    <t>C4</t>
  </si>
  <si>
    <t>F4</t>
  </si>
  <si>
    <t>A6</t>
  </si>
  <si>
    <t>D9</t>
  </si>
  <si>
    <t>X0</t>
  </si>
  <si>
    <t>F6</t>
  </si>
  <si>
    <t>N0</t>
  </si>
  <si>
    <t>L0</t>
  </si>
  <si>
    <t>T4</t>
  </si>
  <si>
    <t>K9</t>
  </si>
  <si>
    <t>O3</t>
  </si>
  <si>
    <t>E5</t>
  </si>
  <si>
    <t>C1</t>
  </si>
  <si>
    <t>D6</t>
  </si>
  <si>
    <t>Q9</t>
  </si>
  <si>
    <t>A4</t>
  </si>
  <si>
    <t>M4</t>
  </si>
  <si>
    <t>M5</t>
  </si>
  <si>
    <t>L9</t>
  </si>
  <si>
    <t>T8</t>
  </si>
  <si>
    <t>N2</t>
  </si>
  <si>
    <t>V1</t>
  </si>
  <si>
    <t>W4</t>
  </si>
  <si>
    <t>R4</t>
  </si>
  <si>
    <t>U3</t>
  </si>
  <si>
    <t>R3</t>
  </si>
  <si>
    <t>I7</t>
  </si>
  <si>
    <t>W3</t>
  </si>
  <si>
    <t>H2</t>
  </si>
  <si>
    <t>M6</t>
  </si>
  <si>
    <t>N6</t>
  </si>
  <si>
    <t>Q4</t>
  </si>
  <si>
    <t>C3</t>
  </si>
  <si>
    <t>R7</t>
  </si>
  <si>
    <t>K1</t>
  </si>
  <si>
    <t>P5</t>
  </si>
  <si>
    <t>M7</t>
  </si>
  <si>
    <t>T5</t>
  </si>
  <si>
    <t>E8</t>
  </si>
  <si>
    <t>Q6</t>
  </si>
  <si>
    <t>Z3</t>
  </si>
  <si>
    <t>B1</t>
  </si>
  <si>
    <t>G4</t>
  </si>
  <si>
    <t>B0</t>
  </si>
  <si>
    <t>B7</t>
  </si>
  <si>
    <t>G3</t>
  </si>
  <si>
    <t>Q5</t>
  </si>
  <si>
    <t>B5</t>
  </si>
  <si>
    <t>J9</t>
  </si>
  <si>
    <t>W9</t>
  </si>
  <si>
    <t>Y2</t>
  </si>
  <si>
    <t>U1</t>
  </si>
  <si>
    <t>M3</t>
  </si>
  <si>
    <t>L4</t>
  </si>
  <si>
    <t>R5</t>
  </si>
  <si>
    <t>F1</t>
  </si>
  <si>
    <t>H4</t>
  </si>
  <si>
    <t>K6</t>
  </si>
  <si>
    <t>W0</t>
  </si>
  <si>
    <t>N8</t>
  </si>
  <si>
    <t>O9</t>
  </si>
  <si>
    <t>J1</t>
  </si>
  <si>
    <t>P2</t>
  </si>
  <si>
    <t>V9</t>
  </si>
  <si>
    <t>G1</t>
  </si>
  <si>
    <t>A5</t>
  </si>
  <si>
    <t>Z8</t>
  </si>
  <si>
    <t>E6</t>
  </si>
  <si>
    <t>M2</t>
  </si>
  <si>
    <t>S9</t>
  </si>
  <si>
    <t>S8</t>
  </si>
  <si>
    <t>Z2</t>
  </si>
  <si>
    <t>M9</t>
  </si>
  <si>
    <t>A2</t>
  </si>
  <si>
    <t>G2</t>
  </si>
  <si>
    <t>Z0</t>
  </si>
  <si>
    <t>O6</t>
  </si>
  <si>
    <t>O4</t>
  </si>
  <si>
    <t>X8</t>
  </si>
  <si>
    <t>A0</t>
  </si>
  <si>
    <t>T6</t>
  </si>
  <si>
    <t>X3</t>
  </si>
  <si>
    <t>X1</t>
  </si>
  <si>
    <t>Y8</t>
  </si>
  <si>
    <t>Y0</t>
  </si>
  <si>
    <t>D1</t>
  </si>
  <si>
    <t>N3</t>
  </si>
  <si>
    <t>X6</t>
  </si>
  <si>
    <t>R6</t>
  </si>
  <si>
    <t>M8</t>
  </si>
  <si>
    <t>B8</t>
  </si>
  <si>
    <t>F2</t>
  </si>
  <si>
    <t>G5</t>
  </si>
  <si>
    <t>D2</t>
  </si>
  <si>
    <t>J6</t>
  </si>
  <si>
    <t>V0</t>
  </si>
  <si>
    <t>Y4</t>
  </si>
  <si>
    <t>P6</t>
  </si>
  <si>
    <t>C7</t>
  </si>
  <si>
    <t>L2</t>
  </si>
  <si>
    <t>A3</t>
  </si>
  <si>
    <t>C9</t>
  </si>
  <si>
    <t>I2</t>
  </si>
  <si>
    <t>I6</t>
  </si>
  <si>
    <t>X2</t>
  </si>
  <si>
    <t>Y6</t>
  </si>
  <si>
    <t>R0</t>
  </si>
  <si>
    <t>H0</t>
  </si>
  <si>
    <t>E2</t>
  </si>
  <si>
    <t>W1</t>
  </si>
  <si>
    <t>Y9</t>
  </si>
  <si>
    <t>Z1</t>
  </si>
  <si>
    <t>L3</t>
  </si>
  <si>
    <t>W6</t>
  </si>
  <si>
    <t>D3</t>
  </si>
  <si>
    <t>W5</t>
  </si>
  <si>
    <t>J4</t>
  </si>
  <si>
    <t>H9</t>
  </si>
  <si>
    <t>L6</t>
  </si>
  <si>
    <t>L5</t>
  </si>
  <si>
    <t>Y1</t>
  </si>
  <si>
    <t>9(5).</t>
  </si>
  <si>
    <t>S9(5)</t>
  </si>
  <si>
    <t>S9(7)</t>
  </si>
  <si>
    <t>S9(13)V99</t>
  </si>
  <si>
    <t>2 digit numbers, randomly generated. that the fy is combined with the entity-cde, it is a unique code. This unique code is across several tables</t>
  </si>
  <si>
    <t>Ranges from 1-99999.</t>
  </si>
  <si>
    <t xml:space="preserve">Randomly generated numbers with specific specifications: 1/4 of them are negative. For the whole number, they randomly alternate between 2-5 digits long. 0's added to reach expected length. </t>
  </si>
  <si>
    <t xml:space="preserve">Randomly generated numbers with specific specifications: 1/4 of them are negative. For the whole number, they randomly alternate between 2-6 digits long. 0's added to reach expected length. </t>
  </si>
  <si>
    <t>Randomly generated numbers with specific specifications: 1/4 of them are negative. They all have a decimal with a number randing between 0-99 behind the decimal. For the whole number, they randomly alternate between 2-7 digits long. 0's added to reach expected length. These values are the same on the GLBLKD and GLBLKC Tables.</t>
  </si>
  <si>
    <t>Randomly generated numbers with specific specifications: 1/4 of them are negative. They all have a decimal with a number randing between 0-99 behind the decimal. For the whole number, they randomly alternate between 2-7 digits long. 0's added to reach expected length.  These values are the same on the GLBLKD and GLBLKC Tables.</t>
  </si>
  <si>
    <t>3 letters (capital), for initials randomly generated. This is the same on the GLBLKD and GLBLKC tables.</t>
  </si>
  <si>
    <t>ENTY-CDE</t>
  </si>
  <si>
    <t>BLK-NBR-5</t>
  </si>
  <si>
    <t>SBSDRY-ACCT-HASH-TTL</t>
  </si>
  <si>
    <t>ACCT-NBRS-HASH-TTL</t>
  </si>
  <si>
    <t>MINOR-CDE-HASH-TTL</t>
  </si>
  <si>
    <t>DR-AMT-INDIV-GL-ACCTS</t>
  </si>
  <si>
    <t>CR-AMT-INDIV-GL-ACCTS</t>
  </si>
  <si>
    <t>USER-INITS</t>
  </si>
  <si>
    <t>QKV</t>
  </si>
  <si>
    <t>BVI</t>
  </si>
  <si>
    <t>SGH</t>
  </si>
  <si>
    <t>OPM</t>
  </si>
  <si>
    <t>ULX</t>
  </si>
  <si>
    <t>CQS</t>
  </si>
  <si>
    <t>QMT</t>
  </si>
  <si>
    <t>BLD</t>
  </si>
  <si>
    <t>KDZ</t>
  </si>
  <si>
    <t>UYT</t>
  </si>
  <si>
    <t>BKS</t>
  </si>
  <si>
    <t>SPF</t>
  </si>
  <si>
    <t>SQJ</t>
  </si>
  <si>
    <t>GTK</t>
  </si>
  <si>
    <t>NCD</t>
  </si>
  <si>
    <t>DFK</t>
  </si>
  <si>
    <t>FYV</t>
  </si>
  <si>
    <t>MGJ</t>
  </si>
  <si>
    <t>PXU</t>
  </si>
  <si>
    <t>RUV</t>
  </si>
  <si>
    <t>CQM</t>
  </si>
  <si>
    <t>KCF</t>
  </si>
  <si>
    <t>LRT</t>
  </si>
  <si>
    <t>QGB</t>
  </si>
  <si>
    <t>NZN</t>
  </si>
  <si>
    <t>PSQ</t>
  </si>
  <si>
    <t>ULA</t>
  </si>
  <si>
    <t>PIU</t>
  </si>
  <si>
    <t>KJW</t>
  </si>
  <si>
    <t>SGP</t>
  </si>
  <si>
    <t>BNF</t>
  </si>
  <si>
    <t>BIE</t>
  </si>
  <si>
    <t>DOK</t>
  </si>
  <si>
    <t>VGV</t>
  </si>
  <si>
    <t>GEE</t>
  </si>
  <si>
    <t>UMN</t>
  </si>
  <si>
    <t>HHL</t>
  </si>
  <si>
    <t>IKS</t>
  </si>
  <si>
    <t>SFS</t>
  </si>
  <si>
    <t>CEE</t>
  </si>
  <si>
    <t>OOO</t>
  </si>
  <si>
    <t>NXT</t>
  </si>
  <si>
    <t>YPE</t>
  </si>
  <si>
    <t>NCR</t>
  </si>
  <si>
    <t>QUO</t>
  </si>
  <si>
    <t>HXN</t>
  </si>
  <si>
    <t>LTW</t>
  </si>
  <si>
    <t>ADF</t>
  </si>
  <si>
    <t>RUZ</t>
  </si>
  <si>
    <t>LKV</t>
  </si>
  <si>
    <t>TVR</t>
  </si>
  <si>
    <t>LPT</t>
  </si>
  <si>
    <t>ASA</t>
  </si>
  <si>
    <t>PJZ</t>
  </si>
  <si>
    <t>JRN</t>
  </si>
  <si>
    <t>JKJ</t>
  </si>
  <si>
    <t>BSY</t>
  </si>
  <si>
    <t>GSG</t>
  </si>
  <si>
    <t>ZHL</t>
  </si>
  <si>
    <t>VYD</t>
  </si>
  <si>
    <t>XRM</t>
  </si>
  <si>
    <t>QOU</t>
  </si>
  <si>
    <t>NWT</t>
  </si>
  <si>
    <t>WZE</t>
  </si>
  <si>
    <t>ZFW</t>
  </si>
  <si>
    <t>CUN</t>
  </si>
  <si>
    <t>NQG</t>
  </si>
  <si>
    <t>GLR</t>
  </si>
  <si>
    <t>CMG</t>
  </si>
  <si>
    <t>JIF</t>
  </si>
  <si>
    <t>GMY</t>
  </si>
  <si>
    <t>TRX</t>
  </si>
  <si>
    <t>QSY</t>
  </si>
  <si>
    <t>OJX</t>
  </si>
  <si>
    <t>UZB</t>
  </si>
  <si>
    <t>SNX</t>
  </si>
  <si>
    <t>SQC</t>
  </si>
  <si>
    <t>EXC</t>
  </si>
  <si>
    <t>FSY</t>
  </si>
  <si>
    <t>KVT</t>
  </si>
  <si>
    <t>LOR</t>
  </si>
  <si>
    <t>TNP</t>
  </si>
  <si>
    <t>OFE</t>
  </si>
  <si>
    <t>MAD</t>
  </si>
  <si>
    <t>HRI</t>
  </si>
  <si>
    <t>XGM</t>
  </si>
  <si>
    <t>WBN</t>
  </si>
  <si>
    <t>YXZ</t>
  </si>
  <si>
    <t>NYP</t>
  </si>
  <si>
    <t>WMG</t>
  </si>
  <si>
    <t>VLP</t>
  </si>
  <si>
    <t>QTM</t>
  </si>
  <si>
    <t>NIN</t>
  </si>
  <si>
    <t>EAX</t>
  </si>
  <si>
    <t>ZHB</t>
  </si>
  <si>
    <t>WYB</t>
  </si>
  <si>
    <t>NPH</t>
  </si>
  <si>
    <t>UBY</t>
  </si>
  <si>
    <t>IWE</t>
  </si>
  <si>
    <t>DTZ</t>
  </si>
  <si>
    <t>EEQ</t>
  </si>
  <si>
    <t>GTQ</t>
  </si>
  <si>
    <t>UUX</t>
  </si>
  <si>
    <t>WEY</t>
  </si>
  <si>
    <t>CRZ</t>
  </si>
  <si>
    <t>PUD</t>
  </si>
  <si>
    <t>NAB</t>
  </si>
  <si>
    <t>WPD</t>
  </si>
  <si>
    <t>CUV</t>
  </si>
  <si>
    <t>VBZ</t>
  </si>
  <si>
    <t>OEX</t>
  </si>
  <si>
    <t>IHN</t>
  </si>
  <si>
    <t>VLN</t>
  </si>
  <si>
    <t>UGA</t>
  </si>
  <si>
    <t>TNI</t>
  </si>
  <si>
    <t>DRM</t>
  </si>
  <si>
    <t>KMH</t>
  </si>
  <si>
    <t>DGN</t>
  </si>
  <si>
    <t>YME</t>
  </si>
  <si>
    <t>RXB</t>
  </si>
  <si>
    <t>QIK</t>
  </si>
  <si>
    <t>FSH</t>
  </si>
  <si>
    <t>ROQ</t>
  </si>
  <si>
    <t>JKP</t>
  </si>
  <si>
    <t>ELZ</t>
  </si>
  <si>
    <t>ADJ</t>
  </si>
  <si>
    <t>GPS</t>
  </si>
  <si>
    <t>CLH</t>
  </si>
  <si>
    <t>KDR</t>
  </si>
  <si>
    <t>FOU</t>
  </si>
  <si>
    <t>SOD</t>
  </si>
  <si>
    <t>HHD</t>
  </si>
  <si>
    <t>DRF</t>
  </si>
  <si>
    <t>ZOT</t>
  </si>
  <si>
    <t>JYF</t>
  </si>
  <si>
    <t>CUA</t>
  </si>
  <si>
    <t>ZTZ</t>
  </si>
  <si>
    <t>RDO</t>
  </si>
  <si>
    <t>XEL</t>
  </si>
  <si>
    <t>YTV</t>
  </si>
  <si>
    <t>HXD</t>
  </si>
  <si>
    <t>UYA</t>
  </si>
  <si>
    <t>FMV</t>
  </si>
  <si>
    <t>HHX</t>
  </si>
  <si>
    <t>KQJ</t>
  </si>
  <si>
    <t>CPK</t>
  </si>
  <si>
    <t>ZDP</t>
  </si>
  <si>
    <t>HIK</t>
  </si>
  <si>
    <t>VDT</t>
  </si>
  <si>
    <t>EAD</t>
  </si>
  <si>
    <t>WQX</t>
  </si>
  <si>
    <t>PDT</t>
  </si>
  <si>
    <t>ALU</t>
  </si>
  <si>
    <t>TEV</t>
  </si>
  <si>
    <t>ZCE</t>
  </si>
  <si>
    <t>DHU</t>
  </si>
  <si>
    <t>LYG</t>
  </si>
  <si>
    <t>IOD</t>
  </si>
  <si>
    <t>XHW</t>
  </si>
  <si>
    <t>LFZ</t>
  </si>
  <si>
    <t>XKD</t>
  </si>
  <si>
    <t>SNK</t>
  </si>
  <si>
    <t>RWR</t>
  </si>
  <si>
    <t>GSK</t>
  </si>
  <si>
    <t>JYL</t>
  </si>
  <si>
    <t>UVR</t>
  </si>
  <si>
    <t>XGG</t>
  </si>
  <si>
    <t>ZSK</t>
  </si>
  <si>
    <t>XPC</t>
  </si>
  <si>
    <t>UVB</t>
  </si>
  <si>
    <t>TXG</t>
  </si>
  <si>
    <t>LAH</t>
  </si>
  <si>
    <t>HMN</t>
  </si>
  <si>
    <t>EWO</t>
  </si>
  <si>
    <t>NDI</t>
  </si>
  <si>
    <t>AED</t>
  </si>
  <si>
    <t>GZQ</t>
  </si>
  <si>
    <t>ZMV</t>
  </si>
  <si>
    <t>GBG</t>
  </si>
  <si>
    <t>FSS</t>
  </si>
  <si>
    <t>GZR</t>
  </si>
  <si>
    <t>IAK</t>
  </si>
  <si>
    <t>LQB</t>
  </si>
  <si>
    <t>NKB</t>
  </si>
  <si>
    <t>JWU</t>
  </si>
  <si>
    <t>XYQ</t>
  </si>
  <si>
    <t>BUC</t>
  </si>
  <si>
    <t>WXH</t>
  </si>
  <si>
    <t>EAH</t>
  </si>
  <si>
    <t>MCU</t>
  </si>
  <si>
    <t>RJD</t>
  </si>
  <si>
    <t>THX</t>
  </si>
  <si>
    <t>ACV</t>
  </si>
  <si>
    <t>HFC</t>
  </si>
  <si>
    <t>HWE</t>
  </si>
  <si>
    <t>WML</t>
  </si>
  <si>
    <t>QVZ</t>
  </si>
  <si>
    <t>TNG</t>
  </si>
  <si>
    <t>JZE</t>
  </si>
  <si>
    <t>MYN</t>
  </si>
  <si>
    <t>COE</t>
  </si>
  <si>
    <t>NIS</t>
  </si>
  <si>
    <t>FBK</t>
  </si>
  <si>
    <t>MDQ</t>
  </si>
  <si>
    <t>QQX</t>
  </si>
  <si>
    <t>TVX</t>
  </si>
  <si>
    <t>CNI</t>
  </si>
  <si>
    <t>ZXM</t>
  </si>
  <si>
    <t>JZS</t>
  </si>
  <si>
    <t>ZPF</t>
  </si>
  <si>
    <t>BZP</t>
  </si>
  <si>
    <t>HXW</t>
  </si>
  <si>
    <t>LXK</t>
  </si>
  <si>
    <t>QPF</t>
  </si>
  <si>
    <t>MQS</t>
  </si>
  <si>
    <t>AIL</t>
  </si>
  <si>
    <t>LSC</t>
  </si>
  <si>
    <t>SVS</t>
  </si>
  <si>
    <t>KXQ</t>
  </si>
  <si>
    <t>IMU</t>
  </si>
  <si>
    <t>OLP</t>
  </si>
  <si>
    <t>LYQ</t>
  </si>
  <si>
    <t>MLI</t>
  </si>
  <si>
    <t>OUB</t>
  </si>
  <si>
    <t>HNM</t>
  </si>
  <si>
    <t>NEE</t>
  </si>
  <si>
    <t>SWG</t>
  </si>
  <si>
    <t>ZUW</t>
  </si>
  <si>
    <t>NZS</t>
  </si>
  <si>
    <t>TSK</t>
  </si>
  <si>
    <t>ZHS</t>
  </si>
  <si>
    <t>NXC</t>
  </si>
  <si>
    <t>AJH</t>
  </si>
  <si>
    <t>EIC</t>
  </si>
  <si>
    <t>JVX</t>
  </si>
  <si>
    <t>VBL</t>
  </si>
  <si>
    <t>VCU</t>
  </si>
  <si>
    <t>TPI</t>
  </si>
  <si>
    <t>IPB</t>
  </si>
  <si>
    <t>QBL</t>
  </si>
  <si>
    <t>WQY</t>
  </si>
  <si>
    <t>QHZ</t>
  </si>
  <si>
    <t>QSD</t>
  </si>
  <si>
    <t>NIQ</t>
  </si>
  <si>
    <t>NDR</t>
  </si>
  <si>
    <t>URH</t>
  </si>
  <si>
    <t>ZDT</t>
  </si>
  <si>
    <t>FGK</t>
  </si>
  <si>
    <t>GXT</t>
  </si>
  <si>
    <t>BOT</t>
  </si>
  <si>
    <t>DKB</t>
  </si>
  <si>
    <t>CKT</t>
  </si>
  <si>
    <t>YGX</t>
  </si>
  <si>
    <t>DUD</t>
  </si>
  <si>
    <t>HIL</t>
  </si>
  <si>
    <t>KXN</t>
  </si>
  <si>
    <t>VZQ</t>
  </si>
  <si>
    <t>UPD</t>
  </si>
  <si>
    <t>MBI</t>
  </si>
  <si>
    <t>SHE</t>
  </si>
  <si>
    <t>ABV</t>
  </si>
  <si>
    <t>EKY</t>
  </si>
  <si>
    <t>SVF</t>
  </si>
  <si>
    <t>MNZ</t>
  </si>
  <si>
    <t>IVB</t>
  </si>
  <si>
    <t>PPF</t>
  </si>
  <si>
    <t>XQC</t>
  </si>
  <si>
    <t>INI</t>
  </si>
  <si>
    <t>ECE</t>
  </si>
  <si>
    <t>MFM</t>
  </si>
  <si>
    <t>EMA</t>
  </si>
  <si>
    <t>ZCW</t>
  </si>
  <si>
    <t>ENT</t>
  </si>
  <si>
    <t>AHV</t>
  </si>
  <si>
    <t>VOB</t>
  </si>
  <si>
    <t>CZR</t>
  </si>
  <si>
    <t>DRA</t>
  </si>
  <si>
    <t>DPU</t>
  </si>
  <si>
    <t>DZJ</t>
  </si>
  <si>
    <t>QVT</t>
  </si>
  <si>
    <t>AFK</t>
  </si>
  <si>
    <t>FTX</t>
  </si>
  <si>
    <t>HPQ</t>
  </si>
  <si>
    <t>ERF</t>
  </si>
  <si>
    <t>UGI</t>
  </si>
  <si>
    <t>WOG</t>
  </si>
  <si>
    <t>XAF</t>
  </si>
  <si>
    <t>QCW</t>
  </si>
  <si>
    <t>BCD</t>
  </si>
  <si>
    <t>RQM</t>
  </si>
  <si>
    <t>LBC</t>
  </si>
  <si>
    <t>XSH</t>
  </si>
  <si>
    <t>FWQ</t>
  </si>
  <si>
    <t>EAJ</t>
  </si>
  <si>
    <t>CZB</t>
  </si>
  <si>
    <t>CDW</t>
  </si>
  <si>
    <t>IAA</t>
  </si>
  <si>
    <t>MWT</t>
  </si>
  <si>
    <t>LFY</t>
  </si>
  <si>
    <t>CIA</t>
  </si>
  <si>
    <t>BUK</t>
  </si>
  <si>
    <t>DSF</t>
  </si>
  <si>
    <t>LQR</t>
  </si>
  <si>
    <t>JFE</t>
  </si>
  <si>
    <t>FDJ</t>
  </si>
  <si>
    <t>WND</t>
  </si>
  <si>
    <t>YSC</t>
  </si>
  <si>
    <t>AFQ</t>
  </si>
  <si>
    <t>EWU</t>
  </si>
  <si>
    <t>QAQ</t>
  </si>
  <si>
    <t>LKI</t>
  </si>
  <si>
    <t>EVH</t>
  </si>
  <si>
    <t>TLR</t>
  </si>
  <si>
    <t>NGG</t>
  </si>
  <si>
    <t>FLL</t>
  </si>
  <si>
    <t>BKQ</t>
  </si>
  <si>
    <t>TGH</t>
  </si>
  <si>
    <t>THL</t>
  </si>
  <si>
    <t>PFS</t>
  </si>
  <si>
    <t>OQS</t>
  </si>
  <si>
    <t>UNM</t>
  </si>
  <si>
    <t>CFR</t>
  </si>
  <si>
    <t>NGK</t>
  </si>
  <si>
    <t>CGJ</t>
  </si>
  <si>
    <t>LJQ</t>
  </si>
  <si>
    <t>SEF</t>
  </si>
  <si>
    <t>JPZ</t>
  </si>
  <si>
    <t>CHI</t>
  </si>
  <si>
    <t>RLC</t>
  </si>
  <si>
    <t>CWH</t>
  </si>
  <si>
    <t>VZI</t>
  </si>
  <si>
    <t>RIZ</t>
  </si>
  <si>
    <t>ICJ</t>
  </si>
  <si>
    <t>BEB</t>
  </si>
  <si>
    <t>EYD</t>
  </si>
  <si>
    <t>QIV</t>
  </si>
  <si>
    <t>YGD</t>
  </si>
  <si>
    <t>UFP</t>
  </si>
  <si>
    <t>KND</t>
  </si>
  <si>
    <t>YWW</t>
  </si>
  <si>
    <t>LLA</t>
  </si>
  <si>
    <t>SOE</t>
  </si>
  <si>
    <t>HYC</t>
  </si>
  <si>
    <t>VST</t>
  </si>
  <si>
    <t>SBM</t>
  </si>
  <si>
    <t>BVH</t>
  </si>
  <si>
    <t>CNB</t>
  </si>
  <si>
    <t>KMK</t>
  </si>
  <si>
    <t>JJM</t>
  </si>
  <si>
    <t>WOQ</t>
  </si>
  <si>
    <t>KIU</t>
  </si>
  <si>
    <t>REL</t>
  </si>
  <si>
    <t>JIQ</t>
  </si>
  <si>
    <t>UHD</t>
  </si>
  <si>
    <t>IQY</t>
  </si>
  <si>
    <t>RLA</t>
  </si>
  <si>
    <t>HUU</t>
  </si>
  <si>
    <t>KWI</t>
  </si>
  <si>
    <t>EZR</t>
  </si>
  <si>
    <t>MZZ</t>
  </si>
  <si>
    <t>OXV</t>
  </si>
  <si>
    <t>EED</t>
  </si>
  <si>
    <t>GGP</t>
  </si>
  <si>
    <t>NKF</t>
  </si>
  <si>
    <t>PUI</t>
  </si>
  <si>
    <t>BLK</t>
  </si>
  <si>
    <t>JRW</t>
  </si>
  <si>
    <t>MCH</t>
  </si>
  <si>
    <t>IYK</t>
  </si>
  <si>
    <t>LJD</t>
  </si>
  <si>
    <t>TAV</t>
  </si>
  <si>
    <t>TFC</t>
  </si>
  <si>
    <t>BHT</t>
  </si>
  <si>
    <t>VHD</t>
  </si>
  <si>
    <t>CNK</t>
  </si>
  <si>
    <t>SRD</t>
  </si>
  <si>
    <t>FQR</t>
  </si>
  <si>
    <t>VDX</t>
  </si>
  <si>
    <t>BQA</t>
  </si>
  <si>
    <t>LSN</t>
  </si>
  <si>
    <t>SVG</t>
  </si>
  <si>
    <t>DDL</t>
  </si>
  <si>
    <t>OJR</t>
  </si>
  <si>
    <t>LWN</t>
  </si>
  <si>
    <t>SUB</t>
  </si>
  <si>
    <t>YKB</t>
  </si>
  <si>
    <t>TLW</t>
  </si>
  <si>
    <t>JAA</t>
  </si>
  <si>
    <t>VCG</t>
  </si>
  <si>
    <t>NSM</t>
  </si>
  <si>
    <t>DFW</t>
  </si>
  <si>
    <t>ZWP</t>
  </si>
  <si>
    <t>CBW</t>
  </si>
  <si>
    <t>PJP</t>
  </si>
  <si>
    <t>HWM</t>
  </si>
  <si>
    <t>CRE</t>
  </si>
  <si>
    <t>WLR</t>
  </si>
  <si>
    <t>RTL</t>
  </si>
  <si>
    <t>AKA</t>
  </si>
  <si>
    <t>KQB</t>
  </si>
  <si>
    <t>QMC</t>
  </si>
  <si>
    <t>TDE</t>
  </si>
  <si>
    <t>QTQ</t>
  </si>
  <si>
    <t>YUC</t>
  </si>
  <si>
    <t>WZJ</t>
  </si>
  <si>
    <t>XCB</t>
  </si>
  <si>
    <t>CQL</t>
  </si>
  <si>
    <t>XFN</t>
  </si>
  <si>
    <t>UXC</t>
  </si>
  <si>
    <t>NCY</t>
  </si>
  <si>
    <t>FML</t>
  </si>
  <si>
    <t>FRX</t>
  </si>
  <si>
    <t>JOD</t>
  </si>
  <si>
    <t>WAS</t>
  </si>
  <si>
    <t>DBR</t>
  </si>
  <si>
    <t>OSL</t>
  </si>
  <si>
    <t>WZP</t>
  </si>
  <si>
    <t>TQJ</t>
  </si>
  <si>
    <t>GGD</t>
  </si>
  <si>
    <t>JOI</t>
  </si>
  <si>
    <t>GEU</t>
  </si>
  <si>
    <t>NEQ</t>
  </si>
  <si>
    <t>WLD</t>
  </si>
  <si>
    <t>JKW</t>
  </si>
  <si>
    <t>UVV</t>
  </si>
  <si>
    <t>GAT</t>
  </si>
  <si>
    <t>KST</t>
  </si>
  <si>
    <t>PUK</t>
  </si>
  <si>
    <t>NLN</t>
  </si>
  <si>
    <t>VZC</t>
  </si>
  <si>
    <t>VRE</t>
  </si>
  <si>
    <t>JIV</t>
  </si>
  <si>
    <t>ZMO</t>
  </si>
  <si>
    <t>PTV</t>
  </si>
  <si>
    <t>OYS</t>
  </si>
  <si>
    <t>JHX</t>
  </si>
  <si>
    <t>SYJ</t>
  </si>
  <si>
    <t>AEJ</t>
  </si>
  <si>
    <t>EYN</t>
  </si>
  <si>
    <t>ZVW</t>
  </si>
  <si>
    <t>JTT</t>
  </si>
  <si>
    <t>ZNZ</t>
  </si>
  <si>
    <t>JUQ</t>
  </si>
  <si>
    <t>DBB</t>
  </si>
  <si>
    <t>FNZ</t>
  </si>
  <si>
    <t>IIM</t>
  </si>
  <si>
    <t>QJH</t>
  </si>
  <si>
    <t>UNN</t>
  </si>
  <si>
    <t>VIN</t>
  </si>
  <si>
    <t>CVR</t>
  </si>
  <si>
    <t>KQX</t>
  </si>
  <si>
    <t>MKD</t>
  </si>
  <si>
    <t>NNK</t>
  </si>
  <si>
    <t>MXN</t>
  </si>
  <si>
    <t>ZYP</t>
  </si>
  <si>
    <t>QRE</t>
  </si>
  <si>
    <t>SQS</t>
  </si>
  <si>
    <t>PRP</t>
  </si>
  <si>
    <t>WLN</t>
  </si>
  <si>
    <t>ZAN</t>
  </si>
  <si>
    <t>QPQ</t>
  </si>
  <si>
    <t>IMC</t>
  </si>
  <si>
    <t>OHD</t>
  </si>
  <si>
    <t>GGX</t>
  </si>
  <si>
    <t>PKG</t>
  </si>
  <si>
    <t>NYK</t>
  </si>
  <si>
    <t>NYL</t>
  </si>
  <si>
    <t>ICI</t>
  </si>
  <si>
    <t>JAO</t>
  </si>
  <si>
    <t>MKL</t>
  </si>
  <si>
    <t>TPW</t>
  </si>
  <si>
    <t>LDR</t>
  </si>
  <si>
    <t>IYT</t>
  </si>
  <si>
    <t>HNS</t>
  </si>
  <si>
    <t>BUL</t>
  </si>
  <si>
    <t>WDB</t>
  </si>
  <si>
    <t>XNR</t>
  </si>
  <si>
    <t>SRA</t>
  </si>
  <si>
    <t>YQE</t>
  </si>
  <si>
    <t>BDN</t>
  </si>
  <si>
    <t>RYD</t>
  </si>
  <si>
    <t>KRF</t>
  </si>
  <si>
    <t>KAT</t>
  </si>
  <si>
    <t>VPV</t>
  </si>
  <si>
    <t>MYE</t>
  </si>
  <si>
    <t>WKX</t>
  </si>
  <si>
    <t>JAM</t>
  </si>
  <si>
    <t>UIS</t>
  </si>
  <si>
    <t>PRO</t>
  </si>
  <si>
    <t>XQQ</t>
  </si>
  <si>
    <t>XPZ</t>
  </si>
  <si>
    <t>UTS</t>
  </si>
  <si>
    <t>IRM</t>
  </si>
  <si>
    <t>LEM</t>
  </si>
  <si>
    <t>EUC</t>
  </si>
  <si>
    <t>EGB</t>
  </si>
  <si>
    <t>MWW</t>
  </si>
  <si>
    <t>TKN</t>
  </si>
  <si>
    <t>BAF</t>
  </si>
  <si>
    <t>JQA</t>
  </si>
  <si>
    <t>OTX</t>
  </si>
  <si>
    <t>XQE</t>
  </si>
  <si>
    <t>FKA</t>
  </si>
  <si>
    <t>ESZ</t>
  </si>
  <si>
    <t>JZK</t>
  </si>
  <si>
    <t>GVT</t>
  </si>
  <si>
    <t>LFI</t>
  </si>
  <si>
    <t>BNA</t>
  </si>
  <si>
    <t>SLG</t>
  </si>
  <si>
    <t>FCV</t>
  </si>
  <si>
    <t>FWK</t>
  </si>
  <si>
    <t>XWA</t>
  </si>
  <si>
    <t>PMY</t>
  </si>
  <si>
    <t>ITA</t>
  </si>
  <si>
    <t>TVK</t>
  </si>
  <si>
    <t>JSF</t>
  </si>
  <si>
    <t>YEZ</t>
  </si>
  <si>
    <t>GKQ</t>
  </si>
  <si>
    <t>WMA</t>
  </si>
  <si>
    <t>XSR</t>
  </si>
  <si>
    <t>NCB</t>
  </si>
  <si>
    <t>FPP</t>
  </si>
  <si>
    <t>EMP</t>
  </si>
  <si>
    <t>WNS</t>
  </si>
  <si>
    <t>GZV</t>
  </si>
  <si>
    <t>UNE</t>
  </si>
  <si>
    <t>NXF</t>
  </si>
  <si>
    <t>DXY</t>
  </si>
  <si>
    <t>IUR</t>
  </si>
  <si>
    <t>PIK</t>
  </si>
  <si>
    <t>BWU</t>
  </si>
  <si>
    <t>LZQ</t>
  </si>
  <si>
    <t>HYM</t>
  </si>
  <si>
    <t>CFG</t>
  </si>
  <si>
    <t>QSU</t>
  </si>
  <si>
    <t>LKO</t>
  </si>
  <si>
    <t>YIQ</t>
  </si>
  <si>
    <t>KPS</t>
  </si>
  <si>
    <t>GFK</t>
  </si>
  <si>
    <t>UIB</t>
  </si>
  <si>
    <t>QCG</t>
  </si>
  <si>
    <t>KPF</t>
  </si>
  <si>
    <t>WSO</t>
  </si>
  <si>
    <t>NED</t>
  </si>
  <si>
    <t>JES</t>
  </si>
  <si>
    <t>IXW</t>
  </si>
  <si>
    <t>YPM</t>
  </si>
  <si>
    <t>PWR</t>
  </si>
  <si>
    <t>XKA</t>
  </si>
  <si>
    <t>IOL</t>
  </si>
  <si>
    <t>DWV</t>
  </si>
  <si>
    <t>JLC</t>
  </si>
  <si>
    <t>DSX</t>
  </si>
  <si>
    <t>DRV</t>
  </si>
  <si>
    <t>CNO</t>
  </si>
  <si>
    <t>QPD</t>
  </si>
  <si>
    <t>ALE</t>
  </si>
  <si>
    <t>WFY</t>
  </si>
  <si>
    <t>SZS</t>
  </si>
  <si>
    <t>WFL</t>
  </si>
  <si>
    <t>DID</t>
  </si>
  <si>
    <t>SGU</t>
  </si>
  <si>
    <t>DYL</t>
  </si>
  <si>
    <t>ZDY</t>
  </si>
  <si>
    <t>KIL</t>
  </si>
  <si>
    <t>JTH</t>
  </si>
  <si>
    <t>WNY</t>
  </si>
  <si>
    <t>WXS</t>
  </si>
  <si>
    <t>GBS</t>
  </si>
  <si>
    <t>RZP</t>
  </si>
  <si>
    <t>REG</t>
  </si>
  <si>
    <t>PEJ</t>
  </si>
  <si>
    <t>RJV</t>
  </si>
  <si>
    <t>UTT</t>
  </si>
  <si>
    <t>NQQ</t>
  </si>
  <si>
    <t>KRA</t>
  </si>
  <si>
    <t>LCW</t>
  </si>
  <si>
    <t>QMZ</t>
  </si>
  <si>
    <t>WOB</t>
  </si>
  <si>
    <t>DQU</t>
  </si>
  <si>
    <t>RRM</t>
  </si>
  <si>
    <t>YZQ</t>
  </si>
  <si>
    <t>XAU</t>
  </si>
  <si>
    <t>JLV</t>
  </si>
  <si>
    <t>CVQ</t>
  </si>
  <si>
    <t>LLF</t>
  </si>
  <si>
    <t>OHW</t>
  </si>
  <si>
    <t>XQR</t>
  </si>
  <si>
    <t>GCV</t>
  </si>
  <si>
    <t>FYW</t>
  </si>
  <si>
    <t>MPZ</t>
  </si>
  <si>
    <t>MRE</t>
  </si>
  <si>
    <t>TJJ</t>
  </si>
  <si>
    <t>KBS</t>
  </si>
  <si>
    <t>XHG</t>
  </si>
  <si>
    <t>LWG</t>
  </si>
  <si>
    <t>OKZ</t>
  </si>
  <si>
    <t>RLX</t>
  </si>
  <si>
    <t>SEY</t>
  </si>
  <si>
    <t>QTC</t>
  </si>
  <si>
    <t>CEW</t>
  </si>
  <si>
    <t>ZOS</t>
  </si>
  <si>
    <t>UQK</t>
  </si>
  <si>
    <t>RPX</t>
  </si>
  <si>
    <t>NEP</t>
  </si>
  <si>
    <t>IKZ</t>
  </si>
  <si>
    <t>OYC</t>
  </si>
  <si>
    <t>YZB</t>
  </si>
  <si>
    <t>TFI</t>
  </si>
  <si>
    <t>GNH</t>
  </si>
  <si>
    <t>AGC</t>
  </si>
  <si>
    <t>UOH</t>
  </si>
  <si>
    <t>HRC</t>
  </si>
  <si>
    <t>VOF</t>
  </si>
  <si>
    <t>PVI</t>
  </si>
  <si>
    <t>KBE</t>
  </si>
  <si>
    <t>JRY</t>
  </si>
  <si>
    <t>HHO</t>
  </si>
  <si>
    <t>XSJ</t>
  </si>
  <si>
    <t>OBL</t>
  </si>
  <si>
    <t>DBL</t>
  </si>
  <si>
    <t>PEO</t>
  </si>
  <si>
    <t>FNS</t>
  </si>
  <si>
    <t>FGM</t>
  </si>
  <si>
    <t>CYS</t>
  </si>
  <si>
    <t>NQD</t>
  </si>
  <si>
    <t>PUS</t>
  </si>
  <si>
    <t>DZD</t>
  </si>
  <si>
    <t>EAV</t>
  </si>
  <si>
    <t>WWC</t>
  </si>
  <si>
    <t>PMG</t>
  </si>
  <si>
    <t>UOT</t>
  </si>
  <si>
    <t>NMP</t>
  </si>
  <si>
    <t>QDP</t>
  </si>
  <si>
    <t>GDD</t>
  </si>
  <si>
    <t>PXS</t>
  </si>
  <si>
    <t>DUH</t>
  </si>
  <si>
    <t>GIU</t>
  </si>
  <si>
    <t>NIZ</t>
  </si>
  <si>
    <t>VGL</t>
  </si>
  <si>
    <t>YXC</t>
  </si>
  <si>
    <t>BLL</t>
  </si>
  <si>
    <t>UNU</t>
  </si>
  <si>
    <t>XJM</t>
  </si>
  <si>
    <t>UIN</t>
  </si>
  <si>
    <t>BRY</t>
  </si>
  <si>
    <t>KWU</t>
  </si>
  <si>
    <t>GQF</t>
  </si>
  <si>
    <t>MIC</t>
  </si>
  <si>
    <t>NDU</t>
  </si>
  <si>
    <t>XTE</t>
  </si>
  <si>
    <t>NGD</t>
  </si>
  <si>
    <t>TGG</t>
  </si>
  <si>
    <t>CMD</t>
  </si>
  <si>
    <t>XHN</t>
  </si>
  <si>
    <t>MTM</t>
  </si>
  <si>
    <t>YYT</t>
  </si>
  <si>
    <t>AHO</t>
  </si>
  <si>
    <t>RFF</t>
  </si>
  <si>
    <t>DWR</t>
  </si>
  <si>
    <t>MDM</t>
  </si>
  <si>
    <t>VPR</t>
  </si>
  <si>
    <t>SHX</t>
  </si>
  <si>
    <t>VHH</t>
  </si>
  <si>
    <t>DDC</t>
  </si>
  <si>
    <t>FYG</t>
  </si>
  <si>
    <t>UJE</t>
  </si>
  <si>
    <t>VIW</t>
  </si>
  <si>
    <t>KBK</t>
  </si>
  <si>
    <t>LKC</t>
  </si>
  <si>
    <t>UCH</t>
  </si>
  <si>
    <t>ZAV</t>
  </si>
  <si>
    <t>QHN</t>
  </si>
  <si>
    <t>PAC</t>
  </si>
  <si>
    <t>OMV</t>
  </si>
  <si>
    <t>OHG</t>
  </si>
  <si>
    <t>CEQ</t>
  </si>
  <si>
    <t>RJT</t>
  </si>
  <si>
    <t>VMI</t>
  </si>
  <si>
    <t>ECS</t>
  </si>
  <si>
    <t>NZE</t>
  </si>
  <si>
    <t>HSK</t>
  </si>
  <si>
    <t>BWY</t>
  </si>
  <si>
    <t>QAW</t>
  </si>
  <si>
    <t>DGB</t>
  </si>
  <si>
    <t>LOM</t>
  </si>
  <si>
    <t>ISV</t>
  </si>
  <si>
    <t>KXI</t>
  </si>
  <si>
    <t>AJQ</t>
  </si>
  <si>
    <t>ADB</t>
  </si>
  <si>
    <t>XXK</t>
  </si>
  <si>
    <t>TOH</t>
  </si>
  <si>
    <t>ISH</t>
  </si>
  <si>
    <t>YYD</t>
  </si>
  <si>
    <t>PTE</t>
  </si>
  <si>
    <t>VRV</t>
  </si>
  <si>
    <t>BRP</t>
  </si>
  <si>
    <t>RXO</t>
  </si>
  <si>
    <t>BTX</t>
  </si>
  <si>
    <t>VUH</t>
  </si>
  <si>
    <t>NIY</t>
  </si>
  <si>
    <t>NTF</t>
  </si>
  <si>
    <t>PMW</t>
  </si>
  <si>
    <t>LQA</t>
  </si>
  <si>
    <t>GZN</t>
  </si>
  <si>
    <t>QCB</t>
  </si>
  <si>
    <t>MXE</t>
  </si>
  <si>
    <t>ANL</t>
  </si>
  <si>
    <t>JHH</t>
  </si>
  <si>
    <t>MQJ</t>
  </si>
  <si>
    <t>VEQ</t>
  </si>
  <si>
    <t>SKF</t>
  </si>
  <si>
    <t>FMU</t>
  </si>
  <si>
    <t>RBS</t>
  </si>
  <si>
    <t>OXL</t>
  </si>
  <si>
    <t>PFY</t>
  </si>
  <si>
    <t>HYI</t>
  </si>
  <si>
    <t>TQX</t>
  </si>
  <si>
    <t>QWS</t>
  </si>
  <si>
    <t>EQM</t>
  </si>
  <si>
    <t>WVC</t>
  </si>
  <si>
    <t>DGO</t>
  </si>
  <si>
    <t>EZA</t>
  </si>
  <si>
    <t>GIG</t>
  </si>
  <si>
    <t>KEP</t>
  </si>
  <si>
    <t>VJF</t>
  </si>
  <si>
    <t>LOL</t>
  </si>
  <si>
    <t>WTZ</t>
  </si>
  <si>
    <t>CJM</t>
  </si>
  <si>
    <t>OEI</t>
  </si>
  <si>
    <t>WMC</t>
  </si>
  <si>
    <t>QRD</t>
  </si>
  <si>
    <t>KYX</t>
  </si>
  <si>
    <t>JGK</t>
  </si>
  <si>
    <t>NYY</t>
  </si>
  <si>
    <t>FTC</t>
  </si>
  <si>
    <t>VBK</t>
  </si>
  <si>
    <t>CGL</t>
  </si>
  <si>
    <t>GYZ</t>
  </si>
  <si>
    <t>TIF</t>
  </si>
  <si>
    <t>EPA</t>
  </si>
  <si>
    <t>CUT</t>
  </si>
  <si>
    <t>GMJ</t>
  </si>
  <si>
    <t>MWD</t>
  </si>
  <si>
    <t>VKD</t>
  </si>
  <si>
    <t>BMZ</t>
  </si>
  <si>
    <t>PBY</t>
  </si>
  <si>
    <t>SIA</t>
  </si>
  <si>
    <t>OWV</t>
  </si>
  <si>
    <t>QAR</t>
  </si>
  <si>
    <t>JON</t>
  </si>
  <si>
    <t>BWJ</t>
  </si>
  <si>
    <t>CKS</t>
  </si>
  <si>
    <t>LVA</t>
  </si>
  <si>
    <t>BGQ</t>
  </si>
  <si>
    <t>WOE</t>
  </si>
  <si>
    <t>SXP</t>
  </si>
  <si>
    <t>MVR</t>
  </si>
  <si>
    <t>WRE</t>
  </si>
  <si>
    <t>ZKX</t>
  </si>
  <si>
    <t>GUZ</t>
  </si>
  <si>
    <t>NJI</t>
  </si>
  <si>
    <t>FEI</t>
  </si>
  <si>
    <t>NJK</t>
  </si>
  <si>
    <t>VIS</t>
  </si>
  <si>
    <t>OYX</t>
  </si>
  <si>
    <t>BAK</t>
  </si>
  <si>
    <t>KXV</t>
  </si>
  <si>
    <t>KKP</t>
  </si>
  <si>
    <t>NDT</t>
  </si>
  <si>
    <t>OXE</t>
  </si>
  <si>
    <t>APE</t>
  </si>
  <si>
    <t>MPM</t>
  </si>
  <si>
    <t>RRT</t>
  </si>
  <si>
    <t>ZVX</t>
  </si>
  <si>
    <t>WFQ</t>
  </si>
  <si>
    <t>TCE</t>
  </si>
  <si>
    <t>WDN</t>
  </si>
  <si>
    <t>MID</t>
  </si>
  <si>
    <t>RBE</t>
  </si>
  <si>
    <t>HXZ</t>
  </si>
  <si>
    <t>HQV</t>
  </si>
  <si>
    <t>IBP</t>
  </si>
  <si>
    <t>GMQ</t>
  </si>
  <si>
    <t>KNF</t>
  </si>
  <si>
    <t>PAX</t>
  </si>
  <si>
    <t>TDT</t>
  </si>
  <si>
    <t>PJN</t>
  </si>
  <si>
    <t>LBH</t>
  </si>
  <si>
    <t>AYZ</t>
  </si>
  <si>
    <t>CUO</t>
  </si>
  <si>
    <t>ACK</t>
  </si>
  <si>
    <t>XVW</t>
  </si>
  <si>
    <t>VPG</t>
  </si>
  <si>
    <t>XYO</t>
  </si>
  <si>
    <t>WNT</t>
  </si>
  <si>
    <t>JLN</t>
  </si>
  <si>
    <t>TCF</t>
  </si>
  <si>
    <t>OYP</t>
  </si>
  <si>
    <t>OBB</t>
  </si>
  <si>
    <t>TPU</t>
  </si>
  <si>
    <t>SFY</t>
  </si>
  <si>
    <t>EOZ</t>
  </si>
  <si>
    <t>VVK</t>
  </si>
  <si>
    <t>XKN</t>
  </si>
  <si>
    <t>RWL</t>
  </si>
  <si>
    <t>AXA</t>
  </si>
  <si>
    <t>FIZ</t>
  </si>
  <si>
    <t>QHX</t>
  </si>
  <si>
    <t>XTB</t>
  </si>
  <si>
    <t>YXO</t>
  </si>
  <si>
    <t>IQC</t>
  </si>
  <si>
    <t>RED</t>
  </si>
  <si>
    <t>AFC</t>
  </si>
  <si>
    <t>XRU</t>
  </si>
  <si>
    <t>JZL</t>
  </si>
  <si>
    <t>NTN</t>
  </si>
  <si>
    <t>OKH</t>
  </si>
  <si>
    <t>GNV</t>
  </si>
  <si>
    <t>BFD</t>
  </si>
  <si>
    <t>MLX</t>
  </si>
  <si>
    <t>JPL</t>
  </si>
  <si>
    <t>YTH</t>
  </si>
  <si>
    <t>PNB</t>
  </si>
  <si>
    <t>RSR</t>
  </si>
  <si>
    <t>DCW</t>
  </si>
  <si>
    <t>VJR</t>
  </si>
  <si>
    <t>BNG</t>
  </si>
  <si>
    <t>VRY</t>
  </si>
  <si>
    <t>DWC</t>
  </si>
  <si>
    <t>TOB</t>
  </si>
  <si>
    <t>YHY</t>
  </si>
  <si>
    <t>VOH</t>
  </si>
  <si>
    <t>SQD</t>
  </si>
  <si>
    <t>MFA</t>
  </si>
  <si>
    <t>JKH</t>
  </si>
  <si>
    <t>MUS</t>
  </si>
  <si>
    <t>YEC</t>
  </si>
  <si>
    <t>GFM</t>
  </si>
  <si>
    <t>LXR</t>
  </si>
  <si>
    <t>JUW</t>
  </si>
  <si>
    <t>ZVV</t>
  </si>
  <si>
    <t>ELH</t>
  </si>
  <si>
    <t>EER</t>
  </si>
  <si>
    <t>KKB</t>
  </si>
  <si>
    <t>GYW</t>
  </si>
  <si>
    <t>XGS</t>
  </si>
  <si>
    <t>FGL</t>
  </si>
  <si>
    <t>JKY</t>
  </si>
  <si>
    <t>MDK</t>
  </si>
  <si>
    <t>DFN</t>
  </si>
  <si>
    <t>PKK</t>
  </si>
  <si>
    <t>RDK</t>
  </si>
  <si>
    <t>HET</t>
  </si>
  <si>
    <t>UQL</t>
  </si>
  <si>
    <t>OYW</t>
  </si>
  <si>
    <t>ODV</t>
  </si>
  <si>
    <t>GKX</t>
  </si>
  <si>
    <t>CBU</t>
  </si>
  <si>
    <t>SYQ</t>
  </si>
  <si>
    <t>ULJ</t>
  </si>
  <si>
    <t>SOU</t>
  </si>
  <si>
    <t>JDE</t>
  </si>
  <si>
    <t>KWX</t>
  </si>
  <si>
    <t>UER</t>
  </si>
  <si>
    <t>OEF</t>
  </si>
  <si>
    <t>RXE</t>
  </si>
  <si>
    <t>JMH</t>
  </si>
  <si>
    <t>IXO</t>
  </si>
  <si>
    <t>HPF</t>
  </si>
  <si>
    <t>ABL</t>
  </si>
  <si>
    <t>FRD</t>
  </si>
  <si>
    <t>WHE</t>
  </si>
  <si>
    <t>AJV</t>
  </si>
  <si>
    <t>WWV</t>
  </si>
  <si>
    <t>NWC</t>
  </si>
  <si>
    <t>SHH</t>
  </si>
  <si>
    <t>UNT</t>
  </si>
  <si>
    <t>XFV</t>
  </si>
  <si>
    <t>LQO</t>
  </si>
  <si>
    <t>KVK</t>
  </si>
  <si>
    <t>IFO</t>
  </si>
  <si>
    <t>IYF</t>
  </si>
  <si>
    <t>BRR</t>
  </si>
  <si>
    <t>LLC</t>
  </si>
  <si>
    <t>GTZ</t>
  </si>
  <si>
    <t>ULC</t>
  </si>
  <si>
    <t>QLN</t>
  </si>
  <si>
    <t>KIB</t>
  </si>
  <si>
    <t>WOY</t>
  </si>
  <si>
    <t>AJP</t>
  </si>
  <si>
    <t>VOU</t>
  </si>
  <si>
    <t>RAG</t>
  </si>
  <si>
    <t>IBR</t>
  </si>
  <si>
    <t>DUK</t>
  </si>
  <si>
    <t>LYS</t>
  </si>
  <si>
    <t>WGN</t>
  </si>
  <si>
    <t>NWV</t>
  </si>
  <si>
    <t>QBM</t>
  </si>
  <si>
    <t>EKU</t>
  </si>
  <si>
    <t>FXM</t>
  </si>
  <si>
    <t>HXH</t>
  </si>
  <si>
    <t>AEB</t>
  </si>
  <si>
    <t>JIB</t>
  </si>
  <si>
    <t>VXJ</t>
  </si>
  <si>
    <t>WPZ</t>
  </si>
  <si>
    <t>EBP</t>
  </si>
  <si>
    <t>JOB</t>
  </si>
  <si>
    <t>EOU</t>
  </si>
  <si>
    <t>YDD</t>
  </si>
  <si>
    <t>WTQ</t>
  </si>
  <si>
    <t>WLJ</t>
  </si>
  <si>
    <t>SYV</t>
  </si>
  <si>
    <t>HCG</t>
  </si>
  <si>
    <t>BFN</t>
  </si>
  <si>
    <t>KYV</t>
  </si>
  <si>
    <t>NBA</t>
  </si>
  <si>
    <t>SUJ</t>
  </si>
  <si>
    <t>WVM</t>
  </si>
  <si>
    <t>MHF</t>
  </si>
  <si>
    <t>EYW</t>
  </si>
  <si>
    <t>TZB</t>
  </si>
  <si>
    <t>YMS</t>
  </si>
  <si>
    <t>IJC</t>
  </si>
  <si>
    <t>PEN</t>
  </si>
  <si>
    <t>RXU</t>
  </si>
  <si>
    <t>IUJ</t>
  </si>
  <si>
    <t>QPU</t>
  </si>
  <si>
    <t>KAQ</t>
  </si>
  <si>
    <t>QPC</t>
  </si>
  <si>
    <t>GON</t>
  </si>
  <si>
    <t>EES</t>
  </si>
  <si>
    <t>IRP</t>
  </si>
  <si>
    <t>AKJ</t>
  </si>
  <si>
    <t>YAZ</t>
  </si>
  <si>
    <t>OVD</t>
  </si>
  <si>
    <t>QIY</t>
  </si>
  <si>
    <t>EYU</t>
  </si>
  <si>
    <t>IDH</t>
  </si>
  <si>
    <t>KXX</t>
  </si>
  <si>
    <t>JMJ</t>
  </si>
  <si>
    <t>VNE</t>
  </si>
  <si>
    <t>AAI</t>
  </si>
  <si>
    <t>EHK</t>
  </si>
  <si>
    <t>GXQ</t>
  </si>
  <si>
    <t>HVD</t>
  </si>
  <si>
    <t>LJE</t>
  </si>
  <si>
    <t>HOH</t>
  </si>
  <si>
    <t>FSB</t>
  </si>
  <si>
    <t>NUI</t>
  </si>
  <si>
    <t>VTJ</t>
  </si>
  <si>
    <t>LIZ</t>
  </si>
  <si>
    <t>MUI</t>
  </si>
  <si>
    <t>ZCV</t>
  </si>
  <si>
    <t>CDL</t>
  </si>
  <si>
    <t>FZQ</t>
  </si>
  <si>
    <t>UWR</t>
  </si>
  <si>
    <t>JCD</t>
  </si>
  <si>
    <t>PBQ</t>
  </si>
  <si>
    <t>ASM</t>
  </si>
  <si>
    <t>OFQ</t>
  </si>
  <si>
    <t>SHN</t>
  </si>
  <si>
    <t>RBY</t>
  </si>
  <si>
    <t>BRD</t>
  </si>
  <si>
    <t>NHQ</t>
  </si>
  <si>
    <t>KOZ</t>
  </si>
  <si>
    <t>VLC</t>
  </si>
  <si>
    <t>SJA</t>
  </si>
  <si>
    <t>LBA</t>
  </si>
  <si>
    <t>AGN</t>
  </si>
  <si>
    <t>KAD</t>
  </si>
  <si>
    <t>HVG</t>
  </si>
  <si>
    <t>VUD</t>
  </si>
  <si>
    <t>RRW</t>
  </si>
  <si>
    <t>Acct number is 7000-7999, increasing by 1 each time. This is consistant across all the tables with the acct_nbr field</t>
  </si>
  <si>
    <t>Randomly generated numbers, ranging from 200-220. MINOR_CDE repeats values(not unique). It is the same for each account number it is associated with accross the tables that have a MINOR_CDE Field.</t>
  </si>
  <si>
    <t>Randomly generated numbers, 100-999. This is the same on the GLBLKD table and the GLOVA table.</t>
  </si>
  <si>
    <t>MMDDYY: these are randomly generated dates in the format MMDDYY. These dates range from January 1, 1990 - December 31, 2022. These are the last day of the month during that date range.</t>
  </si>
  <si>
    <t>Randomly generated numbers, 1-9. These are the same on the GLBLKD table and FARMS-MALLOT-OBLGN table.</t>
  </si>
  <si>
    <t>Randomly generated numbers 1-99</t>
  </si>
  <si>
    <t>These values range from 20-23. These values are the same on GLBKD and GLMSTR.</t>
  </si>
  <si>
    <t>Times in 30 minute intervals</t>
  </si>
  <si>
    <t>MINOR-CDE</t>
  </si>
  <si>
    <t>TRNSCTN-CDE</t>
  </si>
  <si>
    <t>DTE-END-OF-MO</t>
  </si>
  <si>
    <t>PURP-CDE-1</t>
  </si>
  <si>
    <t>MO-ACTV</t>
  </si>
  <si>
    <t>RGSTR-TYP-CDE</t>
  </si>
  <si>
    <t>TIME-STNDS-DATA</t>
  </si>
  <si>
    <t>3 letters (capital), for initials randomly generated</t>
  </si>
  <si>
    <t>S9(9)</t>
  </si>
  <si>
    <t>Randomly generated 9 digit number.</t>
  </si>
  <si>
    <t>7000-7999, kept the same as the other acct numbers</t>
  </si>
  <si>
    <t>RD-TAX-ID</t>
  </si>
  <si>
    <t>RD-ACCT-NBR</t>
  </si>
  <si>
    <t>Randomly generated numbers 00 or 01.</t>
  </si>
  <si>
    <t>Numbers 20000-20999</t>
  </si>
  <si>
    <t>GL-CNTRL-KEY</t>
  </si>
  <si>
    <t>RCRD-CNT</t>
  </si>
  <si>
    <t>DTE-LST-RGSTRCT</t>
  </si>
  <si>
    <t>Account number starts with 7,000 and increases by 1. This is consistant throughout the fields with account number.</t>
  </si>
  <si>
    <t>Randomly generated numbers ranging from 10-99</t>
  </si>
  <si>
    <t>Randomly generated numbers ranging from 1-99999.99 that randomly alternate between positive and negative. padded with 0's to reach the desired length.</t>
  </si>
  <si>
    <t>These values range from 20-23. They are the same on the GLMSTR and GLBKD</t>
  </si>
  <si>
    <t>Randomly generated values between 1-9.</t>
  </si>
  <si>
    <t>CUR-MO-CDE</t>
  </si>
  <si>
    <t>CUR-ACCT-BAL</t>
  </si>
  <si>
    <t>PR-YR-ENDG-BAL</t>
  </si>
  <si>
    <t>GL-MO-ACTV</t>
  </si>
  <si>
    <t>CLSG-ENTRIES</t>
  </si>
  <si>
    <t>CUR-MO-PR-YR-ACTV</t>
  </si>
  <si>
    <t>SUBQ-MO-PR-YR-ACTV</t>
  </si>
  <si>
    <t>MEMO-ACCT-BAL</t>
  </si>
  <si>
    <t>PREV-BAL-CNTR</t>
  </si>
  <si>
    <t>CTRY-DIGIT</t>
  </si>
  <si>
    <t>​</t>
  </si>
  <si>
    <t>Randomly generated numbers ranging from 10-99.</t>
  </si>
  <si>
    <t>APROPTN-CDE</t>
  </si>
  <si>
    <t>MAJ-CLS</t>
  </si>
  <si>
    <t>OBJ-CLSFCTN-CDE</t>
  </si>
  <si>
    <t>FY-ACCTG</t>
  </si>
  <si>
    <t>ACCT-TYP-CDE</t>
  </si>
  <si>
    <t>MULTI-ELMT-CDE</t>
  </si>
  <si>
    <t>OK-TO-PROC-CDE</t>
  </si>
  <si>
    <t>APRTNMTS-CUR-DTL</t>
  </si>
  <si>
    <t>ALTMT-CUR</t>
  </si>
  <si>
    <t>APRTNMT-TYP</t>
  </si>
  <si>
    <t>ALTMT-TYP</t>
  </si>
  <si>
    <t>PRD-CDE</t>
  </si>
  <si>
    <t>APRTNMTS-1ST-ACCTG-PRD</t>
  </si>
  <si>
    <t>APRTNMTS-2ND-ACCTG-PRD</t>
  </si>
  <si>
    <t>APRTNMTS-3RD-ACCTG-PRD</t>
  </si>
  <si>
    <t>APRTNMTS-4TH-ACCTG-PRD</t>
  </si>
  <si>
    <t>S9(6)</t>
  </si>
  <si>
    <t>Randomly generated numbers 1-9.</t>
  </si>
  <si>
    <t>Randomly generated numbers, 1-9. These are the same on the GLBLKD table and FARMS-MALLOT-OBLGN table</t>
  </si>
  <si>
    <t>Randomly generated numbers ranging from 100000-999999.</t>
  </si>
  <si>
    <t>Randomly generated numbers 10-99.</t>
  </si>
  <si>
    <t>SBMSN-CDE</t>
  </si>
  <si>
    <t>PURP-CDE</t>
  </si>
  <si>
    <t>OBLGNS-AMT-CUM</t>
  </si>
  <si>
    <t>OBLGNS-CNT-CUM</t>
  </si>
  <si>
    <t>VOU-AMT</t>
  </si>
  <si>
    <t>PPB-CDE-1ST</t>
  </si>
  <si>
    <t>PPB-CDE-2-3</t>
  </si>
  <si>
    <t>S9(05)V99</t>
  </si>
  <si>
    <t>X(30).</t>
  </si>
  <si>
    <t>9(06)</t>
  </si>
  <si>
    <t>S9(10)</t>
  </si>
  <si>
    <t xml:space="preserve">Numbers corresponging to the Farm Equipment, ranging from 100-149 </t>
  </si>
  <si>
    <t>Randomly generated numbers ranging from 0-99999.99, randomly alternating between positive and negative.</t>
  </si>
  <si>
    <t>Randomly Generated list of Farm Equiptment. These equiptments correspond to the ITEM-NBR.</t>
  </si>
  <si>
    <t>Ranges from 7000-7999</t>
  </si>
  <si>
    <t>Randomly generated numbers ranging from 1-99999. Randomly alertnating between positive and negative. Padded with 0's to reach desired length.</t>
  </si>
  <si>
    <t>ITEM-NBR</t>
  </si>
  <si>
    <t>ITEM-ESTD-CST</t>
  </si>
  <si>
    <t>ITEM-DESC</t>
  </si>
  <si>
    <t>ACTL-NBR</t>
  </si>
  <si>
    <t>ACTL-AMT</t>
  </si>
  <si>
    <t>RQSTD-NBR</t>
  </si>
  <si>
    <t>RQSTD-AMT</t>
  </si>
  <si>
    <t>PROJD-NBR</t>
  </si>
  <si>
    <t>PROJD-AMT</t>
  </si>
  <si>
    <t>Cultivator</t>
  </si>
  <si>
    <t>Rear Engine Lawnmower</t>
  </si>
  <si>
    <t>Irrigation Pump</t>
  </si>
  <si>
    <t>Combine Tractor</t>
  </si>
  <si>
    <t>Planter</t>
  </si>
  <si>
    <t>Pelican Bucket</t>
  </si>
  <si>
    <t>Chain Saw</t>
  </si>
  <si>
    <t>Front End Loader</t>
  </si>
  <si>
    <t>Harrow</t>
  </si>
  <si>
    <t>Straw Blower</t>
  </si>
  <si>
    <t>Four Wheel Drive Tractor</t>
  </si>
  <si>
    <t>Plow</t>
  </si>
  <si>
    <t>Compact Utility Tractor</t>
  </si>
  <si>
    <t>Digger</t>
  </si>
  <si>
    <t>Trowel</t>
  </si>
  <si>
    <t>Drill Press</t>
  </si>
  <si>
    <t>Chop Saw</t>
  </si>
  <si>
    <t>Wagon</t>
  </si>
  <si>
    <t>Cotton Picker Tractor</t>
  </si>
  <si>
    <t>Back Hoe</t>
  </si>
  <si>
    <t>Thresher</t>
  </si>
  <si>
    <t>Grab-Hoe</t>
  </si>
  <si>
    <t>Lawn Tractor</t>
  </si>
  <si>
    <t>Loader</t>
  </si>
  <si>
    <t>Slurry Tanker</t>
  </si>
  <si>
    <t>Spade</t>
  </si>
  <si>
    <t>Bale Spear</t>
  </si>
  <si>
    <t>Mulch Tiller</t>
  </si>
  <si>
    <t>Bulb Planter</t>
  </si>
  <si>
    <t>Seed Drill</t>
  </si>
  <si>
    <t>Backhoe</t>
  </si>
  <si>
    <t>Rake</t>
  </si>
  <si>
    <t>Round Baler</t>
  </si>
  <si>
    <t>Square Baler</t>
  </si>
  <si>
    <t>Fertilizer Spreader</t>
  </si>
  <si>
    <t>Pick Mattock</t>
  </si>
  <si>
    <t>Saw Mill</t>
  </si>
  <si>
    <t>Sickle</t>
  </si>
  <si>
    <t>Wheelbarrow</t>
  </si>
  <si>
    <t>Backpack Sprayer</t>
  </si>
  <si>
    <t>Lawnmower</t>
  </si>
  <si>
    <t>Electric Lawnmower</t>
  </si>
  <si>
    <t>Grain Auger</t>
  </si>
  <si>
    <t>Utility Tractor</t>
  </si>
  <si>
    <t>Cotton Stripper Tractor</t>
  </si>
  <si>
    <t>Seeder</t>
  </si>
  <si>
    <t>Sugarcane Harvester</t>
  </si>
  <si>
    <t>Row-Crop Tractor</t>
  </si>
  <si>
    <t>Work Bench</t>
  </si>
  <si>
    <t>Randomly generated dates in the MMDDYY format from 01/01/2013-01/01/2023.</t>
  </si>
  <si>
    <t>Same as the  PRFX-LINE-NBR used in USGLACT and GLACCT.</t>
  </si>
  <si>
    <t>Randomly generated numbers ranging from 1-99999.99. Randomly alertnating between positive and negative. Padded with 0's to reach desired length.</t>
  </si>
  <si>
    <t>Randomly generated numbers ranging from 20-30.</t>
  </si>
  <si>
    <t>DTE-TRNSCTN</t>
  </si>
  <si>
    <t>LN-NBR-NEW</t>
  </si>
  <si>
    <t>AMORTN-AMT-CUM</t>
  </si>
  <si>
    <t>PRTL-SALE-LN-NBR</t>
  </si>
  <si>
    <t>PRTL-SALE-AMORTN-AMT</t>
  </si>
  <si>
    <t>9(10).</t>
  </si>
  <si>
    <t>X(19).</t>
  </si>
  <si>
    <t>S9(08)V99</t>
  </si>
  <si>
    <t>Randomly generated 2 digit numbers ranging from 10-20. These numbers are the same on 2 tables: farms-ck-info and farms-ck-info-frauds.</t>
  </si>
  <si>
    <t>FOR FD-CDE-2, FD-CDE-3rd, FDE-CDE 4th: Randomly generated 1000 Unique numbers, seperated them out 2 digits, 1 digit, 1 digit. so when combined, these are a unique field. these numbers are consistant for a few different tables. This table does not have 3rd or 4th, so it is just the first  two numbers</t>
  </si>
  <si>
    <t>Randomly generated numbers 1-9</t>
  </si>
  <si>
    <t>Randomly alternates between 'S', 'D', 'C', 'T', 'U', 'V'</t>
  </si>
  <si>
    <t>Randomly generated state codes, ranging from 1-56, skipping the ones that are not states. The same as in Column ST-CDE-OBLR and ST-OFC-MAILG for this table. The CTY-OFC Corresponds with the ST-OFC, as one of the CTY for that state. These values are the same on FARMS-CK-INFO and FARMS-CK-INFO-FRAUDS</t>
  </si>
  <si>
    <t>Randomly generated FIPS CTY codes, ranging from 1-999, skipping the ones that are not FIPS codes. These values are CTYs that correspond with the ST-OFC. The values are the same for CTY-OFC-MAILG and for CTY-CDE-OBLR. These values are the same on FARMS-CK-INFO and FARMS-CK-INFO-FRAUDS.</t>
  </si>
  <si>
    <t>The DST-OFC is the same as CTY-OFC for this table.</t>
  </si>
  <si>
    <t>The ID nbr variable was 8 randomly generated numbers (ID Cards usually are 8 long) that does not start with 0, but it is padded with 0's to reach length 10. These values are the same on FARMS-CK-INFO and FARMS-CK-INFO-FRAUDS.</t>
  </si>
  <si>
    <t>Randomly generated, 0-9. same values as on the farms-ck-info-frauds table.</t>
  </si>
  <si>
    <t>Joined together the CTY-CDE-OBLR, ID-NBR-OBLR, LN-NBR, CR-REPT-FEE-CDE. Padded with one 0.</t>
  </si>
  <si>
    <t>Randomly generated numbers randing from 1-99999, followed by 2 decimals, randomly alternating between positive and negative.</t>
  </si>
  <si>
    <t>Randomly generated numbers ranging from 70-80.</t>
  </si>
  <si>
    <t>Randomly generated state codes, ranging from 1-56, skipping the ones that are not states.</t>
  </si>
  <si>
    <t>The FY numbers are randomly generated (usually they go with the Entity-cde) but in this case there is not one.</t>
  </si>
  <si>
    <t>RCRD-TYP</t>
  </si>
  <si>
    <t>NME-FLDS-BORR-CNT</t>
  </si>
  <si>
    <t>MAILG-LVL</t>
  </si>
  <si>
    <t>ST-OFC-MAILG</t>
  </si>
  <si>
    <t>CTY-OFC-MAILG</t>
  </si>
  <si>
    <t>DST-OFC-MAILG</t>
  </si>
  <si>
    <t>CR-REPT-FEE-CDE</t>
  </si>
  <si>
    <t>NME-OBLR</t>
  </si>
  <si>
    <t>ADVNC-MULTI-AMT</t>
  </si>
  <si>
    <t>DTE-CK</t>
  </si>
  <si>
    <t>GEOG-ST-CDE</t>
  </si>
  <si>
    <t>T</t>
  </si>
  <si>
    <t>U</t>
  </si>
  <si>
    <t>V</t>
  </si>
  <si>
    <t>9(8).</t>
  </si>
  <si>
    <t>X(17).</t>
  </si>
  <si>
    <t>Randomly generated, 0-9</t>
  </si>
  <si>
    <t>Randomly generated with the following specifications: 1/4 are negative. 2 decimals range from 0-99. The whole numbers randomly alternate between 3-6 digits long. 0's were added to reach the specified length.</t>
  </si>
  <si>
    <t>MMDDYY A randomly generated list of dates from January 1, 2013 (010113) through January 1, 2023 (010123).  Same as on the FARMS-CK-INFO table</t>
  </si>
  <si>
    <t>ranges from 01-99, randomly generateed</t>
  </si>
  <si>
    <t xml:space="preserve">Randomly generated state codes. The state code is based off of the 50 state codes, that range from 01-56. These state codes skip around, for example, 03 does not exist, along with some others, so thats why it ranges from 1-56. </t>
  </si>
  <si>
    <t>8 digits long, ranging from 10000000-99999999.</t>
  </si>
  <si>
    <t>The values for this are "C", "S", "M", "B"</t>
  </si>
  <si>
    <t>Randomly generated, 0-9 and A-Z, all letters are capitalized. Length 17.</t>
  </si>
  <si>
    <t>ranges from 01-9999, randomly generateed</t>
  </si>
  <si>
    <t>FED-RESV-ROUTE-NBR</t>
  </si>
  <si>
    <t>CK-DIGIT-ROUTE-NBR</t>
  </si>
  <si>
    <t>TYP-BANK-ACCT</t>
  </si>
  <si>
    <t>DPSTR-ACCT-NBR</t>
  </si>
  <si>
    <t>CK-CNCLTN-CDE</t>
  </si>
  <si>
    <t>FNL-ADVNC-CDE</t>
  </si>
  <si>
    <t>BLK-NBR</t>
  </si>
  <si>
    <t>M</t>
  </si>
  <si>
    <t>B66E1SS5S4YBUJ6PF</t>
  </si>
  <si>
    <t>ZPYT49DZNVWWH98N3</t>
  </si>
  <si>
    <t>QC5B6JP5TDB9E6BVU</t>
  </si>
  <si>
    <t>YKPPGBOQXZIR2PKR6</t>
  </si>
  <si>
    <t>Z5DKKCMDU8T9QEJWQ</t>
  </si>
  <si>
    <t>242S8TVAGOJH1P7BZ</t>
  </si>
  <si>
    <t>T9HMIXUI7PD2FA79P</t>
  </si>
  <si>
    <t>HSUETK8ZVT8E82I2R</t>
  </si>
  <si>
    <t>FUFZASCRWRPYAV7UT</t>
  </si>
  <si>
    <t>0TEYP3N7CTRJPZYNK</t>
  </si>
  <si>
    <t>CCASTV2BSOMBY56LT</t>
  </si>
  <si>
    <t>S5FMA5PSJVYGBT1SF</t>
  </si>
  <si>
    <t>K718ACZSWULKUNXNG</t>
  </si>
  <si>
    <t>2U9OEYVG8BGZYGLME</t>
  </si>
  <si>
    <t>559AN4TAZZJM1XJV2</t>
  </si>
  <si>
    <t>5EX5LGH4FWC3THA9E</t>
  </si>
  <si>
    <t>SES92ATR2OM83D3P4</t>
  </si>
  <si>
    <t>TG8QT3MYYADQ3FWBM</t>
  </si>
  <si>
    <t>A2M6AY6B0OH204BHT</t>
  </si>
  <si>
    <t>AJDY7I2XLK9WJ2UXN</t>
  </si>
  <si>
    <t>Z8OC940GWK93X8N3X</t>
  </si>
  <si>
    <t>5H4QCF09SJVM5HJZB</t>
  </si>
  <si>
    <t>DNMXQZRB6QFN8WO4P</t>
  </si>
  <si>
    <t>4EEWTSP82A5CDDT0B</t>
  </si>
  <si>
    <t>L8GEOF3EEJ4G3ISAU</t>
  </si>
  <si>
    <t>2L4MODPU1PEWTBK52</t>
  </si>
  <si>
    <t>S1WJ860AWORZ3HUOV</t>
  </si>
  <si>
    <t>WDE0U528KVEGP0067</t>
  </si>
  <si>
    <t>8ITQGDYCTK1ZFUD93</t>
  </si>
  <si>
    <t>FWICS5ND2DV37NWCW</t>
  </si>
  <si>
    <t>UPJ6DFFGXQY8USP5E</t>
  </si>
  <si>
    <t>L3PNWE1X0DO3I87DG</t>
  </si>
  <si>
    <t>GF3K6HMRV1KHQOSJL</t>
  </si>
  <si>
    <t>ACBY89WDDJRYP1GD9</t>
  </si>
  <si>
    <t>MULAXTBY0LLTV83C0</t>
  </si>
  <si>
    <t>02RRRXS60ZFKQME8Q</t>
  </si>
  <si>
    <t>287J2Z0RWSOR6JXEI</t>
  </si>
  <si>
    <t>5FA52Y6T88DZ6ROCC</t>
  </si>
  <si>
    <t>RYGXHIQYOE5RI9RY9</t>
  </si>
  <si>
    <t>1CKISZICUL0VZS1ZB</t>
  </si>
  <si>
    <t>B02NOVR8U2ZIIGQ3H</t>
  </si>
  <si>
    <t>TCN7QKUVWONEJ4JEO</t>
  </si>
  <si>
    <t>8F1GRJVUJG404T955</t>
  </si>
  <si>
    <t>P40GWBRY9RNM0THMF</t>
  </si>
  <si>
    <t>45DP278GKMEIYL03Y</t>
  </si>
  <si>
    <t>OJ5WBC1DSFGDUWFUL</t>
  </si>
  <si>
    <t>NT9NP5Y90PUALIAFR</t>
  </si>
  <si>
    <t>B7XP46K24IH9UKFJ5</t>
  </si>
  <si>
    <t>HI96ATBG2UWQNAB7M</t>
  </si>
  <si>
    <t>E1D6HQN1HVL7P1XAC</t>
  </si>
  <si>
    <t>W7DGEMWGHVAUCANUN</t>
  </si>
  <si>
    <t>J0VL56AV7GH3XHOIZ</t>
  </si>
  <si>
    <t>AN59K866YVOAC0QKP</t>
  </si>
  <si>
    <t>L328G4IYV69FK27U5</t>
  </si>
  <si>
    <t>WZXMLBGYV2ARMNY07</t>
  </si>
  <si>
    <t>ECPIN7KY1KZ6WAULP</t>
  </si>
  <si>
    <t>D7KE5M8OTJ35NEA34</t>
  </si>
  <si>
    <t>EUKYSYGH3FV6B6KRG</t>
  </si>
  <si>
    <t>973H64IYNS9SO27QC</t>
  </si>
  <si>
    <t>WILGB9M2QQMR511PA</t>
  </si>
  <si>
    <t>7JBN38MZJJE2ARN92</t>
  </si>
  <si>
    <t>0Q9UDF7LQWW9LVTE7</t>
  </si>
  <si>
    <t>1GDXTHTE5JX32P1YZ</t>
  </si>
  <si>
    <t>CHM81DX6BLM160LRW</t>
  </si>
  <si>
    <t>W41RSFUBCXS2H3LSV</t>
  </si>
  <si>
    <t>DOF3SUF71XF50CHX7</t>
  </si>
  <si>
    <t>BDW498LT8ONF5BTM3</t>
  </si>
  <si>
    <t>U3BPDFKUD3TTE1HWN</t>
  </si>
  <si>
    <t>5YYAWOTDJ58K5QT23</t>
  </si>
  <si>
    <t>COJAUBMSEEVEL8MPJ</t>
  </si>
  <si>
    <t>XIKIV73QBPNUBR7X2</t>
  </si>
  <si>
    <t>16XQ2BFCV87437MP0</t>
  </si>
  <si>
    <t>XC7H8H7LRYEL0C2PL</t>
  </si>
  <si>
    <t>D3PFVE5FVKUM9KXTB</t>
  </si>
  <si>
    <t>BJZ7PFU9DDN8UKOGI</t>
  </si>
  <si>
    <t>OWTXVSIHKQVSAJTZA</t>
  </si>
  <si>
    <t>T3F17Q31G5BN7OV6T</t>
  </si>
  <si>
    <t>NLJJ8DNL6R4RL4BHB</t>
  </si>
  <si>
    <t>WJCDND8E3BD8POJV7</t>
  </si>
  <si>
    <t>Z3QLDLYCS452FVXUO</t>
  </si>
  <si>
    <t>NO82OGBNJOITPSPQU</t>
  </si>
  <si>
    <t>FSK54BE1BIRYDOZ11</t>
  </si>
  <si>
    <t>Z1ONGHH863H28YX36</t>
  </si>
  <si>
    <t>HDHFX9Q78483ZN6U5</t>
  </si>
  <si>
    <t>FEYDHE7SG3SSF1Z7M</t>
  </si>
  <si>
    <t>V7RSKBIGVU17SOJF1</t>
  </si>
  <si>
    <t>602E5TNC5XT2QUAPQ</t>
  </si>
  <si>
    <t>1IA0KLDCF3LVQNJLX</t>
  </si>
  <si>
    <t>NC0JNRT1I3VRCH53G</t>
  </si>
  <si>
    <t>3N25V8ELPRXL6S4G6</t>
  </si>
  <si>
    <t>3MRBOZMGFBCCOPXDY</t>
  </si>
  <si>
    <t>Z7WIZOSWDD8Q48BQF</t>
  </si>
  <si>
    <t>UKAOSTVOO43I7CSCR</t>
  </si>
  <si>
    <t>XK2WCGVK4BWR3O7NN</t>
  </si>
  <si>
    <t>32SQACTVXKOPH9EG5</t>
  </si>
  <si>
    <t>J420Z721S8SM4NLPL</t>
  </si>
  <si>
    <t>W1DIHJP4AVY32ILAP</t>
  </si>
  <si>
    <t>FVLI23PF3L6SE09YL</t>
  </si>
  <si>
    <t>9L2XHTAWOFC7TU9WI</t>
  </si>
  <si>
    <t>CXLNO6MGR9FSAVCG0</t>
  </si>
  <si>
    <t>KR67Y7713LFPPWJYI</t>
  </si>
  <si>
    <t>R891TD7AX9CWFTVIR</t>
  </si>
  <si>
    <t>N2R4T73UQ87P290HJ</t>
  </si>
  <si>
    <t>RYMEC485AEOODE1Q2</t>
  </si>
  <si>
    <t>GCAI146W47DND7TNY</t>
  </si>
  <si>
    <t>A6HFGM0SQZPLAS6L7</t>
  </si>
  <si>
    <t>0JDEBNDCOYD3SN1T8</t>
  </si>
  <si>
    <t>FCF1GAIXUANVOYKYJ</t>
  </si>
  <si>
    <t>ELHDN94VJLZYSCWZY</t>
  </si>
  <si>
    <t>P18H63M8X3E1PXEJY</t>
  </si>
  <si>
    <t>16M7RTHJLC8F2M8N7</t>
  </si>
  <si>
    <t>2TRFTTN06T8WYH1F7</t>
  </si>
  <si>
    <t>HA7V7JLR5P7GA5T9X</t>
  </si>
  <si>
    <t>Q9R7J4N7HQYDBIT6P</t>
  </si>
  <si>
    <t>3RVSU1VRAX97KD4EJ</t>
  </si>
  <si>
    <t>0BA18ZV6UV9PM150W</t>
  </si>
  <si>
    <t>6JOUJNPQXEGHT20SO</t>
  </si>
  <si>
    <t>QF2EQT3UVKG56OTMH</t>
  </si>
  <si>
    <t>CTOTC732783K33M4T</t>
  </si>
  <si>
    <t>WI3QMVUQ17U5NLDOO</t>
  </si>
  <si>
    <t>SGWN03XQ5ZMHUHFD8</t>
  </si>
  <si>
    <t>047CJC0HEUBYZ3U1T</t>
  </si>
  <si>
    <t>7TEQZKCRFJXG52QIK</t>
  </si>
  <si>
    <t>HDVNF9BISV2OQK51X</t>
  </si>
  <si>
    <t>RJ5LEGOC670OW2LXN</t>
  </si>
  <si>
    <t>DFOA4TEG88KDIX39O</t>
  </si>
  <si>
    <t>FC39JFZSC0JHF97ZS</t>
  </si>
  <si>
    <t>N2YSMZMUKX5GAAUGJ</t>
  </si>
  <si>
    <t>WDZ00W1COKXMNQHU2</t>
  </si>
  <si>
    <t>LTCIRDC3ZGB5J09JL</t>
  </si>
  <si>
    <t>4MFSMZJ3IBAZ3I0J2</t>
  </si>
  <si>
    <t>F2Z3D0F0ROI9TDLN0</t>
  </si>
  <si>
    <t>EFRECVSMEVEWXX47Z</t>
  </si>
  <si>
    <t>I6PREOK7RTOWZ4DVH</t>
  </si>
  <si>
    <t>QKE7JSX0UVQVJLNRW</t>
  </si>
  <si>
    <t>XRIE76IIHXITNIWQI</t>
  </si>
  <si>
    <t>BL8G9DP9WGJA0357Z</t>
  </si>
  <si>
    <t>HZKSV3VCRFATGF4SY</t>
  </si>
  <si>
    <t>VBJLFL4WEEADCCB75</t>
  </si>
  <si>
    <t>NTQ7AXLQ6STYIWKWG</t>
  </si>
  <si>
    <t>6QYMB96PM7XIF2CI5</t>
  </si>
  <si>
    <t>SYOSVS82MHCS4WMFV</t>
  </si>
  <si>
    <t>RLF6QKMOPBSSI2Y5A</t>
  </si>
  <si>
    <t>A6H3HBECYVRG9ABE7</t>
  </si>
  <si>
    <t>AERPD8VVTTVLUVQH0</t>
  </si>
  <si>
    <t>KTA775KMJCCWMW3PT</t>
  </si>
  <si>
    <t>O0TXDVIYI5WFBEUSR</t>
  </si>
  <si>
    <t>O7QFP4V9522T0UNCU</t>
  </si>
  <si>
    <t>74JZGOB72UFOEEX5E</t>
  </si>
  <si>
    <t>QV1KG7A7I8RIF84U9</t>
  </si>
  <si>
    <t>W8PWL4Y2D5RSUQAAF</t>
  </si>
  <si>
    <t>346V4IGPMZYL4X1AI</t>
  </si>
  <si>
    <t>LM265UZ4T1RXPHXX6</t>
  </si>
  <si>
    <t>MCEF6WVDZCJ6OHSF4</t>
  </si>
  <si>
    <t>7ZIR9WN6ZZ8KHGFC1</t>
  </si>
  <si>
    <t>V5GWARTYZ1FTZD5IF</t>
  </si>
  <si>
    <t>SR93YSISI064P3N32</t>
  </si>
  <si>
    <t>L803XRFMVHXYHEBQQ</t>
  </si>
  <si>
    <t>M5VJ19D4MOGLC9V6F</t>
  </si>
  <si>
    <t>RXZORJEKNJKD5YTQF</t>
  </si>
  <si>
    <t>OWUVDS2TN8YL3VYF8</t>
  </si>
  <si>
    <t>KV258096VECAQI80R</t>
  </si>
  <si>
    <t>5V6U8VL4DHF96RFYI</t>
  </si>
  <si>
    <t>5DW3MYFBKCNRRB0TE</t>
  </si>
  <si>
    <t>YLTW4EJ7D1NSO7UEN</t>
  </si>
  <si>
    <t>UD3C49N4ICL5A3YW0</t>
  </si>
  <si>
    <t>S35UL1KLCC8ZPAUUJ</t>
  </si>
  <si>
    <t>7LV2GGLKIHTEOTSA4</t>
  </si>
  <si>
    <t>P2DRGROP7M11WIMF8</t>
  </si>
  <si>
    <t>DBS7ATMSSAQ4KG4H9</t>
  </si>
  <si>
    <t>PYMLUZ3E5C0NE6BFT</t>
  </si>
  <si>
    <t>K208DJUL6UOGNF9ED</t>
  </si>
  <si>
    <t>1PJEBK009X8N2D9OC</t>
  </si>
  <si>
    <t>38SI96CZP3VVAS84E</t>
  </si>
  <si>
    <t>U0OGYRUDFSHZLTI5F</t>
  </si>
  <si>
    <t>R3LUQSXI3G1Z6CF0C</t>
  </si>
  <si>
    <t>D7304IKLK2Q9QZRWK</t>
  </si>
  <si>
    <t>ENXB21C30FU5W0SGI</t>
  </si>
  <si>
    <t>E04HLTFFTT6QK0N2Y</t>
  </si>
  <si>
    <t>I0E7YKMU1BKMRCG4Y</t>
  </si>
  <si>
    <t>DQRUHUIW5VRY8HV32</t>
  </si>
  <si>
    <t>01TY2QYLR528RDXJT</t>
  </si>
  <si>
    <t>OPIJE9ROWAGS4QRLN</t>
  </si>
  <si>
    <t>4BQKYDMIVLRLY9A37</t>
  </si>
  <si>
    <t>8CXG4SM7OEGBP9ZH8</t>
  </si>
  <si>
    <t>C4I2HD8OND0T9U6HH</t>
  </si>
  <si>
    <t>KMQCME07YKH1T1FZM</t>
  </si>
  <si>
    <t>CBWLNNB8D90O1KOKS</t>
  </si>
  <si>
    <t>LSCJ46VJL4X0SJV5O</t>
  </si>
  <si>
    <t>9L8I416I70KV114I2</t>
  </si>
  <si>
    <t>UH8E9YKLYMM7BDO1R</t>
  </si>
  <si>
    <t>Y461NB3GUNQKXQN9I</t>
  </si>
  <si>
    <t>WCJ580CB9EGAJZ7OY</t>
  </si>
  <si>
    <t>D6381ROZEPUP61PVX</t>
  </si>
  <si>
    <t>VF4Z1ZKMIDQI32ZLX</t>
  </si>
  <si>
    <t>WTKAGFF44JEVXUABR</t>
  </si>
  <si>
    <t>T8JMBAMXD4TW4OTJY</t>
  </si>
  <si>
    <t>BQFJLW4XCXKWRAJ84</t>
  </si>
  <si>
    <t>MH6CDTTKYZ6P5BE86</t>
  </si>
  <si>
    <t>V7D9DIRZK7UPU827B</t>
  </si>
  <si>
    <t>3LUEOYK1C59L5Z257</t>
  </si>
  <si>
    <t>FQ82LH2FOR4IYZ4U9</t>
  </si>
  <si>
    <t>IFCX2Y8ZKD2517BI2</t>
  </si>
  <si>
    <t>F5EFLCJUHIGOWOLFL</t>
  </si>
  <si>
    <t>QHQPBWGNMVVTMAKML</t>
  </si>
  <si>
    <t>6PB5KRA2OMUM3W3S7</t>
  </si>
  <si>
    <t>H6CL1DFNMN63Q53N6</t>
  </si>
  <si>
    <t>W8E311KSK6LTCTSU5</t>
  </si>
  <si>
    <t>NRJPPHJCJOJY9X231</t>
  </si>
  <si>
    <t>JRN3TSZ3QVAIHOO8V</t>
  </si>
  <si>
    <t>FEQSDVHSAJD8EOWPS</t>
  </si>
  <si>
    <t>64ZKIQCRCLXIZMLI0</t>
  </si>
  <si>
    <t>3153X81TKN5ZQL717</t>
  </si>
  <si>
    <t>O2W499HO2Z3H8BBVA</t>
  </si>
  <si>
    <t>21THO4QSBJMEPQTKO</t>
  </si>
  <si>
    <t>UF1MZQZ7XSX8PY67X</t>
  </si>
  <si>
    <t>Q7M8DYJ25NRLIIQRE</t>
  </si>
  <si>
    <t>5ATZBOQF8F4Z6H02G</t>
  </si>
  <si>
    <t>IY9OM1NQ9LT2LKJI9</t>
  </si>
  <si>
    <t>26A00JYYGSB4F7TX3</t>
  </si>
  <si>
    <t>E3QWSZRKYV0HM6SOY</t>
  </si>
  <si>
    <t>YGL0PZC2MSUD91GPK</t>
  </si>
  <si>
    <t>OE1Q4PAF6PUPJZ69K</t>
  </si>
  <si>
    <t>F0TEQHL8G5RAFOR68</t>
  </si>
  <si>
    <t>6OSKBA04ONOX5M8W4</t>
  </si>
  <si>
    <t>ASHKI557PHFISQF27</t>
  </si>
  <si>
    <t>1W7IU31N01S9ALQ1J</t>
  </si>
  <si>
    <t>22SUY2PDYF6U9OU9N</t>
  </si>
  <si>
    <t>ZKB46E5HSDUHUGKOK</t>
  </si>
  <si>
    <t>W6YGCD7HCFQH1998B</t>
  </si>
  <si>
    <t>1QQFSQNO2V7JXYEOX</t>
  </si>
  <si>
    <t>C1ZZTVK7FQWTORPG6</t>
  </si>
  <si>
    <t>967S52OFW99Y49LGJ</t>
  </si>
  <si>
    <t>4ZLPTSF2GEVXTM2WC</t>
  </si>
  <si>
    <t>A0Z0TDWLPKTAKLIEO</t>
  </si>
  <si>
    <t>N3GBQHPTVYFOOA3SV</t>
  </si>
  <si>
    <t>47P06U2S6CXLYMBBR</t>
  </si>
  <si>
    <t>44R0NMQWIDC5S39GH</t>
  </si>
  <si>
    <t>3EU1GFQ2JU2GIW44F</t>
  </si>
  <si>
    <t>2ZMXEXVNXIOU1FDBR</t>
  </si>
  <si>
    <t>D3KWPOR2JB9P6C9K8</t>
  </si>
  <si>
    <t>N9PV2ETI86BOPUK97</t>
  </si>
  <si>
    <t>DQM1ZBMBU2MD83SOI</t>
  </si>
  <si>
    <t>AUCFK5FY96Q5TMDJ3</t>
  </si>
  <si>
    <t>P6RX55ZHHM7SB2LG3</t>
  </si>
  <si>
    <t>7FQIM5YJBFUXT2JGN</t>
  </si>
  <si>
    <t>ZNU78HKUCIQ9WTYVS</t>
  </si>
  <si>
    <t>S4MWMHZ0KF9OVBWP7</t>
  </si>
  <si>
    <t>M0UMEPKWY0MKDZ5H8</t>
  </si>
  <si>
    <t>SGN4GPLO5RDHRYDEN</t>
  </si>
  <si>
    <t>Z6IP3JEG139JOQM2J</t>
  </si>
  <si>
    <t>R6JP3OMWZ0QYCYJPS</t>
  </si>
  <si>
    <t>VXYAHVF27UO99LNXL</t>
  </si>
  <si>
    <t>ZTFXOYUYZ06BXQ69S</t>
  </si>
  <si>
    <t>LRXLMIBUTYJBHZ7YM</t>
  </si>
  <si>
    <t>P3YZLQC1LDWKIOOM9</t>
  </si>
  <si>
    <t>ZXWGZI0B2YBJ0YGON</t>
  </si>
  <si>
    <t>N33PIVESKJFXIN8HU</t>
  </si>
  <si>
    <t>WIA5JBMJ1EEDL19HI</t>
  </si>
  <si>
    <t>12UAA37K9KQV0COZT</t>
  </si>
  <si>
    <t>FLF64R6CTW5SK1TWV</t>
  </si>
  <si>
    <t>CYWIHQWRA9R0BBP5T</t>
  </si>
  <si>
    <t>3IXRG8IM75W9NVCQF</t>
  </si>
  <si>
    <t>DN59LC33E0Z0LSGRD</t>
  </si>
  <si>
    <t>KG7MACXH6697ILDWV</t>
  </si>
  <si>
    <t>9KNG6HGF4CBIAHD14</t>
  </si>
  <si>
    <t>EPBDF9V7V3YHXBHSR</t>
  </si>
  <si>
    <t>FWOIASRK4BZ3NDQPD</t>
  </si>
  <si>
    <t>CLGUQOML5UWTCD9SX</t>
  </si>
  <si>
    <t>F7WIS7QS2535J4JKB</t>
  </si>
  <si>
    <t>H253O87B5KN2DCUQ9</t>
  </si>
  <si>
    <t>4NZZGFJ5C3FBOWVIS</t>
  </si>
  <si>
    <t>IPRE4SPMMYEF3QFOW</t>
  </si>
  <si>
    <t>N6YZGYGSJ519Q5LLT</t>
  </si>
  <si>
    <t>J3OZJCIU6PS7SYOEF</t>
  </si>
  <si>
    <t>0NQBGD3LC73XW1Y7P</t>
  </si>
  <si>
    <t>13DFZJ4UX1JI1664T</t>
  </si>
  <si>
    <t>0BPENFN5T3TNXHSVH</t>
  </si>
  <si>
    <t>765NN5LUJ43TNO66B</t>
  </si>
  <si>
    <t>UG9OFBH22QKPELTWP</t>
  </si>
  <si>
    <t>N9N6E2DE48JJBSI4U</t>
  </si>
  <si>
    <t>LYEGT057XIK9C3QRJ</t>
  </si>
  <si>
    <t>Q1SIK6HKNK23CZ44N</t>
  </si>
  <si>
    <t>FIJ30Y629KCLMM3A0</t>
  </si>
  <si>
    <t>T2D3GKIPGH1RHGGYN</t>
  </si>
  <si>
    <t>7D8BYSOUBM9M7W7MB</t>
  </si>
  <si>
    <t>GWHWA1QGL2NAML2UM</t>
  </si>
  <si>
    <t>RS25ILWFQMX0XHFW5</t>
  </si>
  <si>
    <t>0OUOSG5S7B3DRK063</t>
  </si>
  <si>
    <t>TZ4TGBVR7ZWB8QJBA</t>
  </si>
  <si>
    <t>005FOD24B3F06TBWU</t>
  </si>
  <si>
    <t>00EFVUO27B8U9BS78</t>
  </si>
  <si>
    <t>DCASXRW2GM4UIOI4O</t>
  </si>
  <si>
    <t>QO0KIL853MXMVASEC</t>
  </si>
  <si>
    <t>Y7BABRIOCCVMHYJWL</t>
  </si>
  <si>
    <t>UBOK1R50FFP93RYOR</t>
  </si>
  <si>
    <t>HUSPWTJ59RNHKHMDM</t>
  </si>
  <si>
    <t>0SRTY4955YCO037MV</t>
  </si>
  <si>
    <t>9IIOXKI672G7EITBI</t>
  </si>
  <si>
    <t>2KP6WM74XBAHIJHLZ</t>
  </si>
  <si>
    <t>MU6P6YE1TNDGDNGTC</t>
  </si>
  <si>
    <t>A08Y5LUBHSB4HRAQI</t>
  </si>
  <si>
    <t>FUIMQ4019YOP7ENRV</t>
  </si>
  <si>
    <t>QA2ODCPPPN496TCFP</t>
  </si>
  <si>
    <t>Z8VKQDELOXTJT10KK</t>
  </si>
  <si>
    <t>FDEWC2XAXFZHIODDO</t>
  </si>
  <si>
    <t>HEI23CCQ7X93G0NH6</t>
  </si>
  <si>
    <t>OUVJQ0MM4HK147X3B</t>
  </si>
  <si>
    <t>MLRA7LEDIHOLEX3A8</t>
  </si>
  <si>
    <t>947RDKYPU92W03BHS</t>
  </si>
  <si>
    <t>57BSDYUAKEXXOZR0N</t>
  </si>
  <si>
    <t>DH4KMYP77EIVGADNH</t>
  </si>
  <si>
    <t>NX2ZA8Q5DEY70S077</t>
  </si>
  <si>
    <t>AIN7AUV7P4OJ8WIE1</t>
  </si>
  <si>
    <t>0ON7JJ0V4CPLJ8UWE</t>
  </si>
  <si>
    <t>PY8NNI3VROH3DTDVZ</t>
  </si>
  <si>
    <t>B5ABSFAR2DZYVLHLN</t>
  </si>
  <si>
    <t>PYAS0RBJMYH7IOI3M</t>
  </si>
  <si>
    <t>J18ZJ8KEH8K34NMNO</t>
  </si>
  <si>
    <t>8GZRN79Z9S2XMXGV6</t>
  </si>
  <si>
    <t>0682D4N3KGJZUQGJT</t>
  </si>
  <si>
    <t>97JVH3Q2KOXGEUBYS</t>
  </si>
  <si>
    <t>XCVS6G34ODINT862M</t>
  </si>
  <si>
    <t>FY7G0Q6IDIK5T89AK</t>
  </si>
  <si>
    <t>XFAKLLZY0QULB072E</t>
  </si>
  <si>
    <t>2F12APDR5BNNWKO53</t>
  </si>
  <si>
    <t>4HP2HEW9D2QQ6KTH4</t>
  </si>
  <si>
    <t>Y9AIAVIHC2TJCSI79</t>
  </si>
  <si>
    <t>CHP7NWNAHA3C0MUNA</t>
  </si>
  <si>
    <t>ZZUAM6K3I9X3MIOM4</t>
  </si>
  <si>
    <t>6E20LJZXLJI9YBBQT</t>
  </si>
  <si>
    <t>1WWGPC2K5RC9AMSYC</t>
  </si>
  <si>
    <t>C6N74EDAQVM2ZM0V0</t>
  </si>
  <si>
    <t>NBJTXEI28MAI3A6DP</t>
  </si>
  <si>
    <t>6UZHFGZLBOZZG8QFI</t>
  </si>
  <si>
    <t>O6TZZ235RVV9HRI46</t>
  </si>
  <si>
    <t>KFNO79H24SOESGRNU</t>
  </si>
  <si>
    <t>LZNRMINGJCM0OI7ON</t>
  </si>
  <si>
    <t>LKFNDLJFHGS84I11P</t>
  </si>
  <si>
    <t>1PZ884BFW5BVSD7HG</t>
  </si>
  <si>
    <t>JDKULXDEIMN7A311E</t>
  </si>
  <si>
    <t>NHAOWLC4XGWVS2EIC</t>
  </si>
  <si>
    <t>8N0FTOJ9S6ENW67ZO</t>
  </si>
  <si>
    <t>7OF9ZGWPPW4I7JTGC</t>
  </si>
  <si>
    <t>45VQD0MHWAMMHFKFS</t>
  </si>
  <si>
    <t>JHXN99XZO0VEP4V3L</t>
  </si>
  <si>
    <t>RS6LB7O90T4Q7UTQX</t>
  </si>
  <si>
    <t>OJ1U2BYYBVZ2JM4YA</t>
  </si>
  <si>
    <t>AH7DWTCR0NUU4RQ1E</t>
  </si>
  <si>
    <t>SGN3JLCEOCX9OLXT5</t>
  </si>
  <si>
    <t>LHCR8CPLMY5B940TC</t>
  </si>
  <si>
    <t>1UEUN4ZFUP4LUUMFY</t>
  </si>
  <si>
    <t>6B5CL90KCBWH5D75F</t>
  </si>
  <si>
    <t>6F0SS01IAGGUYAYZW</t>
  </si>
  <si>
    <t>J1P9VGRD9YIMFMKNB</t>
  </si>
  <si>
    <t>81VGH79RDD23JLMAB</t>
  </si>
  <si>
    <t>6EPB77BA23DFTHST2</t>
  </si>
  <si>
    <t>DM489JL1RT3VP26SF</t>
  </si>
  <si>
    <t>QMGKFOID1SR25G4OD</t>
  </si>
  <si>
    <t>XE51WXHCUKWDPX03U</t>
  </si>
  <si>
    <t>VMJDW4PFNFII0RO32</t>
  </si>
  <si>
    <t>7KA8TDJSFR4618KGC</t>
  </si>
  <si>
    <t>GD9S0FZQYPJ0XY2IY</t>
  </si>
  <si>
    <t>8IR7TY06I58M76620</t>
  </si>
  <si>
    <t>ZPDKH96BGR85LXP09</t>
  </si>
  <si>
    <t>DKJK8MYSJP3IS6APV</t>
  </si>
  <si>
    <t>RO9LSGG7AA6KAYP9L</t>
  </si>
  <si>
    <t>E4S3KJU0UU4E8JRTX</t>
  </si>
  <si>
    <t>Z1ZDX32DCA7FQSC6P</t>
  </si>
  <si>
    <t>Z4VIKO13KO1RNCRS3</t>
  </si>
  <si>
    <t>85V52CR9VLZRURBSZ</t>
  </si>
  <si>
    <t>MXSWDUPLCB09OB4ZC</t>
  </si>
  <si>
    <t>2K818UL2KYYN28OCY</t>
  </si>
  <si>
    <t>N8BX9MAU9ZXLTRXJ2</t>
  </si>
  <si>
    <t>BJG605QDHIJVC7WYL</t>
  </si>
  <si>
    <t>DJP7S1JL6QY7W8HMX</t>
  </si>
  <si>
    <t>30HCTREHQ7M1ZO5DW</t>
  </si>
  <si>
    <t>ZLLQ0FKJCMMY9V2VH</t>
  </si>
  <si>
    <t>DINI2KX6P8N0PSP5X</t>
  </si>
  <si>
    <t>EJR1K0VB2NPFHYPLL</t>
  </si>
  <si>
    <t>NDT4OQZAGOKVAI5RE</t>
  </si>
  <si>
    <t>4UOMZXC757KFDHA12</t>
  </si>
  <si>
    <t>VW3LES9LA0OU6UB9S</t>
  </si>
  <si>
    <t>AE5XPD7NQUK66C6R0</t>
  </si>
  <si>
    <t>DJZ3SIPS9AOWE6UT1</t>
  </si>
  <si>
    <t>UOLST5OPMVWZMTZ96</t>
  </si>
  <si>
    <t>UV9ZLMCIZ2O0ODL0N</t>
  </si>
  <si>
    <t>NBVJBMCQZECRWRXQQ</t>
  </si>
  <si>
    <t>V5PT4NUHW7TKL8TJB</t>
  </si>
  <si>
    <t>XVGQKYRODFGTPO2UP</t>
  </si>
  <si>
    <t>INZJPJD98H78NCT0I</t>
  </si>
  <si>
    <t>1V5QBVDNSMR0DXW44</t>
  </si>
  <si>
    <t>MHL8CJIFHA08WK8RI</t>
  </si>
  <si>
    <t>VB2F136TMMPKEYIYH</t>
  </si>
  <si>
    <t>C5E7FV8MABTA3YBU7</t>
  </si>
  <si>
    <t>L4PFVYFLU4EVV4IZL</t>
  </si>
  <si>
    <t>7QE9T8FQ662MWIS5Y</t>
  </si>
  <si>
    <t>D80UHRW344PN07OCW</t>
  </si>
  <si>
    <t>LLAZZDPMDV63HC8P8</t>
  </si>
  <si>
    <t>VNI05J9RB2U41VMEJ</t>
  </si>
  <si>
    <t>5293AWHWG3P1Y1U7M</t>
  </si>
  <si>
    <t>AIR3YDO7Q0Y8ZO3MM</t>
  </si>
  <si>
    <t>0P3C9H92WBZ85QIJO</t>
  </si>
  <si>
    <t>V2HWPVL8HK9ZM4OJA</t>
  </si>
  <si>
    <t>U5PXSK2UHQYZ9OR3D</t>
  </si>
  <si>
    <t>SII5REBP1ASM8X63U</t>
  </si>
  <si>
    <t>0ETMMZIS12O2LH3UI</t>
  </si>
  <si>
    <t>N71LIFOL74XUDFDE6</t>
  </si>
  <si>
    <t>TMXZI89NK5C2K14GH</t>
  </si>
  <si>
    <t>G82P25XGIO6D5ZSZA</t>
  </si>
  <si>
    <t>PNA77LNSBJT2M83CD</t>
  </si>
  <si>
    <t>QC7QAJXEGMGYETRBC</t>
  </si>
  <si>
    <t>V6RXRSTP4BRUWUY7C</t>
  </si>
  <si>
    <t>4GW9ZR03B1A2MEDKB</t>
  </si>
  <si>
    <t>ZPR391IHSQVLMLIZ5</t>
  </si>
  <si>
    <t>90R8CXCNIL5WZNWMT</t>
  </si>
  <si>
    <t>ZMOJWX643WVS1XLWN</t>
  </si>
  <si>
    <t>UF5II27QSFY1TZ5CZ</t>
  </si>
  <si>
    <t>BQW4JR4H7SLMFYPCU</t>
  </si>
  <si>
    <t>ZE5Y0NIEUTUSH5A2O</t>
  </si>
  <si>
    <t>R5KCRTC5QPOLYBGL0</t>
  </si>
  <si>
    <t>V6ICGY2DE45M93ONC</t>
  </si>
  <si>
    <t>C3GZH26ARNS2HOMP1</t>
  </si>
  <si>
    <t>3FWFD0Z8VYVXN7XGK</t>
  </si>
  <si>
    <t>253D4PYU12D7BNMLD</t>
  </si>
  <si>
    <t>E4XLTPAJ8TCFHZ8RO</t>
  </si>
  <si>
    <t>ZXOWFQ3HAUFB9C8FF</t>
  </si>
  <si>
    <t>B36R066IMBLHB2VST</t>
  </si>
  <si>
    <t>2ZCD4VXE80B8BJFCP</t>
  </si>
  <si>
    <t>1OBF6K603KH6RYXCH</t>
  </si>
  <si>
    <t>7NUKPFLFPQCLGC01N</t>
  </si>
  <si>
    <t>J7S0UW9I6Z6N5ZJ9B</t>
  </si>
  <si>
    <t>BN79993WBJ1Y3PSAV</t>
  </si>
  <si>
    <t>8597CUHFQO7G6ZMR9</t>
  </si>
  <si>
    <t>INLPYCKKTL5BC9IVA</t>
  </si>
  <si>
    <t>MQ9Z2WLCK6YZRVLUO</t>
  </si>
  <si>
    <t>49665AUFPS0DW4FOB</t>
  </si>
  <si>
    <t>IIVJ3PX4VDFA9UQU8</t>
  </si>
  <si>
    <t>9QB103YZNWIHQ7D18</t>
  </si>
  <si>
    <t>VGDHWV72B907JHL8Z</t>
  </si>
  <si>
    <t>8IP1I505GC0YXR7RW</t>
  </si>
  <si>
    <t>URN7E1PW70TE7RGBP</t>
  </si>
  <si>
    <t>3J6WGLY5TJ9ZFY762</t>
  </si>
  <si>
    <t>E28TGCFB8PY724GE0</t>
  </si>
  <si>
    <t>7MVHYHPJ5GSZTRPZ0</t>
  </si>
  <si>
    <t>SF0D2PNLW44ZGU7EE</t>
  </si>
  <si>
    <t>GRLJCGND7OSYTRSB2</t>
  </si>
  <si>
    <t>DYJRR5FZJX233WV1N</t>
  </si>
  <si>
    <t>6EZUHPVZNPN1RV3QJ</t>
  </si>
  <si>
    <t>SNAF0IXGMYU1SVFT0</t>
  </si>
  <si>
    <t>VFDWF6HGTAPM95JD7</t>
  </si>
  <si>
    <t>BY31DWAK2AUPGN5S5</t>
  </si>
  <si>
    <t>9VI95D8PBZPYAT4Z7</t>
  </si>
  <si>
    <t>LVL75SXXH3028UI5T</t>
  </si>
  <si>
    <t>VC8FK3U4T6SV693CU</t>
  </si>
  <si>
    <t>BD1O7IYA5HPCEDPBC</t>
  </si>
  <si>
    <t>LRQOB6DDJNDK8DB2X</t>
  </si>
  <si>
    <t>3E834OJDCBDA1EJYU</t>
  </si>
  <si>
    <t>NFOPWKS0VB7PNRPUW</t>
  </si>
  <si>
    <t>60HBHBXMV8BL6HPFP</t>
  </si>
  <si>
    <t>7SBGVPAL8LN7B3ZK2</t>
  </si>
  <si>
    <t>I7R9JUQV783C1NTZL</t>
  </si>
  <si>
    <t>LI3ABJ7K8QQ5FCWCM</t>
  </si>
  <si>
    <t>PTBMQ2P8Y0HVEB1RP</t>
  </si>
  <si>
    <t>8PCVKTGPQGG3E3KOE</t>
  </si>
  <si>
    <t>PJBPFIP8U1P1RWAM4</t>
  </si>
  <si>
    <t>AU8A2XAJ41HJMWX83</t>
  </si>
  <si>
    <t>8LZWE7RT12CDGNBOI</t>
  </si>
  <si>
    <t>A909PO39SK6X3JN34</t>
  </si>
  <si>
    <t>P9JA1UPV8T88R87XA</t>
  </si>
  <si>
    <t>9YDTBZJ44SI63L7TZ</t>
  </si>
  <si>
    <t>YFTLHVKUBM3PSZVK9</t>
  </si>
  <si>
    <t>YHJN3T0I9QXXRVQAI</t>
  </si>
  <si>
    <t>TI660TRS8H01WAG3M</t>
  </si>
  <si>
    <t>QCVLMZ83AMQTYR1HQ</t>
  </si>
  <si>
    <t>RX16OB523CPHEG1UG</t>
  </si>
  <si>
    <t>E389PEQE9HH7HDL0M</t>
  </si>
  <si>
    <t>FBJ7G3C2PABMR5RP4</t>
  </si>
  <si>
    <t>3USXA47E8NVQA8LPO</t>
  </si>
  <si>
    <t>UT4XQ58ABNBYJYXE5</t>
  </si>
  <si>
    <t>R4KI9PW2S863ETD1S</t>
  </si>
  <si>
    <t>6213KYHGYNP28ICQI</t>
  </si>
  <si>
    <t>IU0XQCHUDEJKKYGIA</t>
  </si>
  <si>
    <t>B9N736KGDHOWEJYSI</t>
  </si>
  <si>
    <t>6XIEDQV7XL9KR81T0</t>
  </si>
  <si>
    <t>B40TG31ONW0K8V3L7</t>
  </si>
  <si>
    <t>FB53PMMKX2FOVK0PI</t>
  </si>
  <si>
    <t>JJ3OY7CI8JADXZW3L</t>
  </si>
  <si>
    <t>7FHMCXJMGRQ042ANF</t>
  </si>
  <si>
    <t>JCWZPK5HP23ARAOZY</t>
  </si>
  <si>
    <t>P0U8CG14R43AR87F7</t>
  </si>
  <si>
    <t>XRL99DF1T5VUGJ4NV</t>
  </si>
  <si>
    <t>XD3IYPRG1LRPNRRY5</t>
  </si>
  <si>
    <t>9VK2D2VBZHQUJK7QI</t>
  </si>
  <si>
    <t>DKQ5I5ZBPP8QRK56D</t>
  </si>
  <si>
    <t>43VPIDII4O2QIYO7S</t>
  </si>
  <si>
    <t>ZYQWJHXBANM8VUW7L</t>
  </si>
  <si>
    <t>DAS85JGQEMH2RZ5PQ</t>
  </si>
  <si>
    <t>NGZYF9VXM1KZ4VCBY</t>
  </si>
  <si>
    <t>1890OA9T408B535NH</t>
  </si>
  <si>
    <t>QI83PMHS5Z7VQSZBI</t>
  </si>
  <si>
    <t>TAQRTPYBKQMB0NOJU</t>
  </si>
  <si>
    <t>5UI6FKSM2M6Q95YV7</t>
  </si>
  <si>
    <t>NRHT6UQV5KQH87UUU</t>
  </si>
  <si>
    <t>PG2UTSFIEE1G282VH</t>
  </si>
  <si>
    <t>HVQREFCLAYK9EGKNE</t>
  </si>
  <si>
    <t>WMI5NCEXKTR6MEIBC</t>
  </si>
  <si>
    <t>V3P27P0IGLY0TTMP9</t>
  </si>
  <si>
    <t>QFCF91UBGQH4N02X7</t>
  </si>
  <si>
    <t>LU1SPPMZT87D15NE9</t>
  </si>
  <si>
    <t>1IZQ9W0PM12I3TQEJ</t>
  </si>
  <si>
    <t>VJ4NOFSM5DVDTIIZL</t>
  </si>
  <si>
    <t>FIZO5NPDFDX6EQ70E</t>
  </si>
  <si>
    <t>ZVI6IZ8M5XMUE8VLH</t>
  </si>
  <si>
    <t>V94ATA1DUR2VU4MHW</t>
  </si>
  <si>
    <t>FJ3BJGDK1D7XLUPU5</t>
  </si>
  <si>
    <t>RLDMS91FFS8KPZWI5</t>
  </si>
  <si>
    <t>E6T3BF3I41FSJ3HA2</t>
  </si>
  <si>
    <t>F8CDSNXOH5Q50P9C3</t>
  </si>
  <si>
    <t>LJT6D7GARIB6ENVCU</t>
  </si>
  <si>
    <t>1ALCLB7SRWSWLNB48</t>
  </si>
  <si>
    <t>8ZJMN8N2S01HX9F4S</t>
  </si>
  <si>
    <t>W0FDX21H85QICAP0X</t>
  </si>
  <si>
    <t>WLFHFNGW45SO2PJZI</t>
  </si>
  <si>
    <t>E93IOYG99SW5Z7X0C</t>
  </si>
  <si>
    <t>AQQN9GOLJW85YQOL7</t>
  </si>
  <si>
    <t>OBQJIMABA0SQQFPC6</t>
  </si>
  <si>
    <t>I6BL7RX5UX7QFO88D</t>
  </si>
  <si>
    <t>73B9QZFFZIXWNSB1E</t>
  </si>
  <si>
    <t>07LU4DS5QJQS7CQWG</t>
  </si>
  <si>
    <t>PNE1BY965WSGIY4NN</t>
  </si>
  <si>
    <t>NDT2WNIPCXLZ7O5UN</t>
  </si>
  <si>
    <t>8KZFC23NQ5PATXY5E</t>
  </si>
  <si>
    <t>QH49NL9AE2NY55C7O</t>
  </si>
  <si>
    <t>U5A0HVZAO2Q2ZXGGE</t>
  </si>
  <si>
    <t>YWJW0NDEIJILPQE21</t>
  </si>
  <si>
    <t>7L8LPVEJ4JPIVYYEG</t>
  </si>
  <si>
    <t>2CQ5WMBJNTR0U76OQ</t>
  </si>
  <si>
    <t>YWFIV27Y0T9D9KWX7</t>
  </si>
  <si>
    <t>RJROMC6P0LZN3BCQ2</t>
  </si>
  <si>
    <t>FW0S8TPC4K8HT8ZO0</t>
  </si>
  <si>
    <t>2IBU1FLFOR6K1LB9N</t>
  </si>
  <si>
    <t>AXW5EMMIV5ZU3O4R7</t>
  </si>
  <si>
    <t>GLYOU4JV1KKDHGJJE</t>
  </si>
  <si>
    <t>J0VM6H5IAEOTEZ04V</t>
  </si>
  <si>
    <t>7IGMZRG2XOVG4MR0R</t>
  </si>
  <si>
    <t>I0EPACJDVMQVGA7JT</t>
  </si>
  <si>
    <t>BT2KR2GVVU256US07</t>
  </si>
  <si>
    <t>PCAL5TZ6S2X12Y9OD</t>
  </si>
  <si>
    <t>0PCGI4MDDAKE9IO5A</t>
  </si>
  <si>
    <t>IOZ7GS11YZ3LFKVJA</t>
  </si>
  <si>
    <t>ZG799O4C2WBVJ4YB8</t>
  </si>
  <si>
    <t>FRX6S7PIEONKESQMZ</t>
  </si>
  <si>
    <t>C8IW1VGKT62G0HWU4</t>
  </si>
  <si>
    <t>DXYU5BZZQEGI5VCLL</t>
  </si>
  <si>
    <t>9HABGBYCK0KGGP70G</t>
  </si>
  <si>
    <t>PUUUCPA30YGZNHGFK</t>
  </si>
  <si>
    <t>AGB26UWJRJQBJPO0M</t>
  </si>
  <si>
    <t>FLBZTFUNPY02HSI48</t>
  </si>
  <si>
    <t>VYT78Z7V3CCCY4S0H</t>
  </si>
  <si>
    <t>NP2OJRNYGL94HI8QX</t>
  </si>
  <si>
    <t>794YNN2S8X8CIQXN2</t>
  </si>
  <si>
    <t>AQW2MYTKXTSUCVU8I</t>
  </si>
  <si>
    <t>IOOAY3X64QQPYI4BZ</t>
  </si>
  <si>
    <t>CYF1SG19I4A3O3S50</t>
  </si>
  <si>
    <t>RU5F2ENBW2TSE7NMA</t>
  </si>
  <si>
    <t>BO3JFIGJLF5VAYWCE</t>
  </si>
  <si>
    <t>2S4PQWBMKI5VZ79D1</t>
  </si>
  <si>
    <t>93UI12S9H6MFG26AW</t>
  </si>
  <si>
    <t>WBWAA3Q0GSE8MUGST</t>
  </si>
  <si>
    <t>087D61SMQQ7TIIXYC</t>
  </si>
  <si>
    <t>XTPY82IRNBWHBZ71V</t>
  </si>
  <si>
    <t>9TECOPYLMHVBS5ID7</t>
  </si>
  <si>
    <t>SPHFQFZJ03PJ6XBOC</t>
  </si>
  <si>
    <t>NFLLVP22X5FIJ456E</t>
  </si>
  <si>
    <t>96WLQ7FTIUZ6K00ED</t>
  </si>
  <si>
    <t>ZHSERXE8OFHBU1MBD</t>
  </si>
  <si>
    <t>6QEVYO591LUW6NQXE</t>
  </si>
  <si>
    <t>5Q31LXKFIX8XY7RVI</t>
  </si>
  <si>
    <t>R5B7DGK836HM0TL8M</t>
  </si>
  <si>
    <t>PBE3JKXFF62H41I18</t>
  </si>
  <si>
    <t>ZN3OHS8O7OUJ3KGVJ</t>
  </si>
  <si>
    <t>9OJTX4TBIJ9FKDU5U</t>
  </si>
  <si>
    <t>1E6TZ4XXRE48U1QLZ</t>
  </si>
  <si>
    <t>1EYIX2GQNJJJ8YIXN</t>
  </si>
  <si>
    <t>2PMO0JS5YULJ8MNJ1</t>
  </si>
  <si>
    <t>3JSJDMYIKJT9HVE5W</t>
  </si>
  <si>
    <t>GHN07FW0CN624UL7O</t>
  </si>
  <si>
    <t>YMS5QELLZCC4WBWPQ</t>
  </si>
  <si>
    <t>NXQOYY5XVIVTR1MB9</t>
  </si>
  <si>
    <t>WWCHQGOX7UWR07JUR</t>
  </si>
  <si>
    <t>PIWA06KALF1JAOY7K</t>
  </si>
  <si>
    <t>23KEU1DDRPZGG1YXK</t>
  </si>
  <si>
    <t>CRQKQ5VKOR5933QRQ</t>
  </si>
  <si>
    <t>3U0ST75IEJ9A9J797</t>
  </si>
  <si>
    <t>N4M5HTKA0POGT9X6X</t>
  </si>
  <si>
    <t>EI0WHH3ZGBUIM2RJM</t>
  </si>
  <si>
    <t>QH0H4YJDMNHYUL15O</t>
  </si>
  <si>
    <t>5C4ESX5Q5QXAACR5V</t>
  </si>
  <si>
    <t>9SSXSYPLLY19UME8K</t>
  </si>
  <si>
    <t>PTQSJHYKAK6EUBFUA</t>
  </si>
  <si>
    <t>9HAYI2T3O3SOWFQBN</t>
  </si>
  <si>
    <t>8YBZPUE9RWHVVV1RI</t>
  </si>
  <si>
    <t>6DBACDJS8RPN75XJ0</t>
  </si>
  <si>
    <t>PCPEXOSOHWB7VPLNO</t>
  </si>
  <si>
    <t>527M2C4G8BVFE4UBS</t>
  </si>
  <si>
    <t>Z6LPEJX8EBBM1J84Z</t>
  </si>
  <si>
    <t>EL9PYDK79JGBVGBJO</t>
  </si>
  <si>
    <t>BDUQMXI6FBANUAIXY</t>
  </si>
  <si>
    <t>9Z7I6257FNQ12HRDW</t>
  </si>
  <si>
    <t>OGXNPTHDCWYYL7SON</t>
  </si>
  <si>
    <t>Z5ZEL2M8ATJIC4OUE</t>
  </si>
  <si>
    <t>L58VCRWK0ED5W9VGN</t>
  </si>
  <si>
    <t>IXWJS3OBEZQU3QMHO</t>
  </si>
  <si>
    <t>XNPEMUHN5L3KSDAHK</t>
  </si>
  <si>
    <t>MJ4OYLEN6RH2X8RTI</t>
  </si>
  <si>
    <t>8QDXQOOG7M336HQO7</t>
  </si>
  <si>
    <t>D0J4O6V9HBGPD4NOL</t>
  </si>
  <si>
    <t>QEHJ97S5SOS6YVVDY</t>
  </si>
  <si>
    <t>9XAOBKAMRFP6PT2WH</t>
  </si>
  <si>
    <t>JT74RKRD1Z632M6XR</t>
  </si>
  <si>
    <t>EYA7TGLGBB4BSOXU2</t>
  </si>
  <si>
    <t>KD6B96QO1OR87EOPB</t>
  </si>
  <si>
    <t>83A08T38D8P8HE986</t>
  </si>
  <si>
    <t>J3LDLVOWW5314ZGUR</t>
  </si>
  <si>
    <t>JF7C1JLFK0TIQXIOP</t>
  </si>
  <si>
    <t>A2DUD5FC5YRMHPXQL</t>
  </si>
  <si>
    <t>0Z8QFX8FBLQFH3HEK</t>
  </si>
  <si>
    <t>9ZELBZQULHNBHNH6Z</t>
  </si>
  <si>
    <t>CB4ULWD51WBNZGLKI</t>
  </si>
  <si>
    <t>0EZV4UF6GREEEXQ0W</t>
  </si>
  <si>
    <t>JCX9GRJCZOXOALQRX</t>
  </si>
  <si>
    <t>0DR6DJMG7RQFAGTGH</t>
  </si>
  <si>
    <t>1KROVRPWD7PFSUN48</t>
  </si>
  <si>
    <t>TA3DOWNJUUXOO3ALP</t>
  </si>
  <si>
    <t>3F5XTAO474G8R9WPL</t>
  </si>
  <si>
    <t>IG8E0I0KUIBRKIV3Y</t>
  </si>
  <si>
    <t>C6ORH46QM6VUQJWLB</t>
  </si>
  <si>
    <t>YUN88X7TDU23QTZOL</t>
  </si>
  <si>
    <t>FIIMJ2H03GH03XOEO</t>
  </si>
  <si>
    <t>J36XIUTYP4GZSM5ES</t>
  </si>
  <si>
    <t>ID07PK6KO9Q2T19GY</t>
  </si>
  <si>
    <t>TYD88ZKXYHUTNLX91</t>
  </si>
  <si>
    <t>TR4FWQPCLZ0A6SL08</t>
  </si>
  <si>
    <t>XMR3IIWQEU3JF1F5E</t>
  </si>
  <si>
    <t>MJNJ677RGX7E0B827</t>
  </si>
  <si>
    <t>1T2O23GY470V6VQKR</t>
  </si>
  <si>
    <t>Y3OFR2X94VR5I5MHW</t>
  </si>
  <si>
    <t>SXSQO61SJXAWC00TP</t>
  </si>
  <si>
    <t>N6ECCLPKYF1B9S24T</t>
  </si>
  <si>
    <t>EUS5OJ25I2EGKG13W</t>
  </si>
  <si>
    <t>0Q3RN51G4S0JZE1PR</t>
  </si>
  <si>
    <t>OBCL44T3A8EWTHSI3</t>
  </si>
  <si>
    <t>QA9ZUFT4YBJ4RN8EK</t>
  </si>
  <si>
    <t>6VC8EQ5XQS801DQQU</t>
  </si>
  <si>
    <t>G8W4B92YKY8WO2XTN</t>
  </si>
  <si>
    <t>VNK2R3GB7UO6LEC2B</t>
  </si>
  <si>
    <t>Y30ZVJ1KEKBJU0QHZ</t>
  </si>
  <si>
    <t>EREHMB3O0BPKW2NRI</t>
  </si>
  <si>
    <t>FFYPVM3E76ZOQD4IH</t>
  </si>
  <si>
    <t>ZXTAAWC4RQCZRX5IL</t>
  </si>
  <si>
    <t>35M9NT3KKYKAY668A</t>
  </si>
  <si>
    <t>2LHMR6GCJ5DXF2ELA</t>
  </si>
  <si>
    <t>DAFSVFW92DDCV12GP</t>
  </si>
  <si>
    <t>LSDUOPJ12XELHH46C</t>
  </si>
  <si>
    <t>U8D651CE08NCXLNWM</t>
  </si>
  <si>
    <t>TZBDDB1M0BGURWTC4</t>
  </si>
  <si>
    <t>W2LS20L5VDLEVVORV</t>
  </si>
  <si>
    <t>QR752S8GN5D20XDPR</t>
  </si>
  <si>
    <t>OJLJOGCVMAH1SPMAP</t>
  </si>
  <si>
    <t>97NSWCUL7E05GU0PC</t>
  </si>
  <si>
    <t>VT9EFKQAWSTCH0YVK</t>
  </si>
  <si>
    <t>R6D9UFUJY4T2JZK7B</t>
  </si>
  <si>
    <t>FTQOLO7COGKIAL7CL</t>
  </si>
  <si>
    <t>3J4X98J7IMPD82ZZR</t>
  </si>
  <si>
    <t>OSL9VG94WN82FO19T</t>
  </si>
  <si>
    <t>26ZJ3F9PZ4NA669F6</t>
  </si>
  <si>
    <t>22YPPXQ4BJQVUEM0V</t>
  </si>
  <si>
    <t>5QTAPKZKUHADPZOS0</t>
  </si>
  <si>
    <t>IWI0H0AM8BAUR4C20</t>
  </si>
  <si>
    <t>73182K882HWKY83JQ</t>
  </si>
  <si>
    <t>W2MKSXLJ3JAZXL7OX</t>
  </si>
  <si>
    <t>AGKJSL0ELD83XV6AJ</t>
  </si>
  <si>
    <t>1956711NEWMF5O5X4</t>
  </si>
  <si>
    <t>5XJBYJZZ88D44UVOR</t>
  </si>
  <si>
    <t>HIM0SAYE1055C7K60</t>
  </si>
  <si>
    <t>3RD2HPXBCJJZB6ECZ</t>
  </si>
  <si>
    <t>49C4FRR8Q0HO0EJYP</t>
  </si>
  <si>
    <t>CUH9SDIATZCS1KRPS</t>
  </si>
  <si>
    <t>9M3SSA5M4KZCJ9YOX</t>
  </si>
  <si>
    <t>7L3JOTM6HLG5VW4R5</t>
  </si>
  <si>
    <t>S5A3J89P4JI4CMLML</t>
  </si>
  <si>
    <t>LES15JY5INV09FDFS</t>
  </si>
  <si>
    <t>ETP17UNI6SRZ46SV8</t>
  </si>
  <si>
    <t>E7UQ85MNXKVCTE996</t>
  </si>
  <si>
    <t>YK4CR642JZZWVSW7F</t>
  </si>
  <si>
    <t>7JTGGEEF31LKBRASK</t>
  </si>
  <si>
    <t>E4OKOAJJNF36TLF0I</t>
  </si>
  <si>
    <t>OXSU2IKT0KO09QYYH</t>
  </si>
  <si>
    <t>HBK6IJ2ACXLALFW7P</t>
  </si>
  <si>
    <t>H1P6WMXV7EIB5TAUH</t>
  </si>
  <si>
    <t>4VTMV7N7WLOXWW9CV</t>
  </si>
  <si>
    <t>ZLJ1PDN1AM52BDB3F</t>
  </si>
  <si>
    <t>VSZHF57O434RLXT1R</t>
  </si>
  <si>
    <t>P3TQ2WLFKGZS7DTFB</t>
  </si>
  <si>
    <t>I9Y26AARBQLF20PCL</t>
  </si>
  <si>
    <t>CQG71D1K7XKS16UBS</t>
  </si>
  <si>
    <t>JRS42VOMMEYKSF32F</t>
  </si>
  <si>
    <t>BZO9TWRWZTOVZS86A</t>
  </si>
  <si>
    <t>7TRFB6BKI96A3OE9Y</t>
  </si>
  <si>
    <t>K84M8P1WBFBB28H3V</t>
  </si>
  <si>
    <t>D8ZDS5BZ1OGMT1TE1</t>
  </si>
  <si>
    <t>4ENSI91ZSIROOVT3Z</t>
  </si>
  <si>
    <t>OH1L1E0OJBHY010NF</t>
  </si>
  <si>
    <t>9EDH5ZUGMAJGAE59A</t>
  </si>
  <si>
    <t>M3Y3T8JXO4YINAH00</t>
  </si>
  <si>
    <t>03PCPOJKHY2M21RO7</t>
  </si>
  <si>
    <t>B0A5KSZX5A2KYMA83</t>
  </si>
  <si>
    <t>PUGFHIUDX6US1FH7F</t>
  </si>
  <si>
    <t>4VWB2X5K79FO7JMEI</t>
  </si>
  <si>
    <t>CC93X3QC914GHJJIT</t>
  </si>
  <si>
    <t>D51C5WSNOYWYCC6S4</t>
  </si>
  <si>
    <t>R8X0MDNNVEADIARL1</t>
  </si>
  <si>
    <t>33W4BAZFGT9O5L1BN</t>
  </si>
  <si>
    <t>HCH6VWB59CZYUQDAT</t>
  </si>
  <si>
    <t>736GYIPMJZCNR1F75</t>
  </si>
  <si>
    <t>P0GINBFVDLCIN53UY</t>
  </si>
  <si>
    <t>2IAHLKMDDLZXHA1G4</t>
  </si>
  <si>
    <t>CTMA7QLKLADMCJZPW</t>
  </si>
  <si>
    <t>TYM3MTDVQAEGDUXLU</t>
  </si>
  <si>
    <t>27GPINGECL92QYHOM</t>
  </si>
  <si>
    <t>1FHVXB3MULFE901I7</t>
  </si>
  <si>
    <t>X62SRSN0ZFHFV1U4W</t>
  </si>
  <si>
    <t>DTVJ2PG4J9N5M3EO1</t>
  </si>
  <si>
    <t>7UOTABT4OIOUB5ZP6</t>
  </si>
  <si>
    <t>K38NSGSUB6J9KNRL2</t>
  </si>
  <si>
    <t>0D4TKFTEA75WUH0WC</t>
  </si>
  <si>
    <t>EEIRMT9HACKA67PKZ</t>
  </si>
  <si>
    <t>0H4QL214MMIF7W7FX</t>
  </si>
  <si>
    <t>W4118GVCOFGDX5YM3</t>
  </si>
  <si>
    <t>3UQ18WSQS1G862REG</t>
  </si>
  <si>
    <t>JMQO8BE8CI3QH1XEL</t>
  </si>
  <si>
    <t>QKQ2EKDCHTUJF4HLW</t>
  </si>
  <si>
    <t>T6VWJ9QJ28YUONBCC</t>
  </si>
  <si>
    <t>KW3V6799DJINRW9DE</t>
  </si>
  <si>
    <t>G2MP4RWZYUEYJN8MB</t>
  </si>
  <si>
    <t>3BUGONPM6057N2SWO</t>
  </si>
  <si>
    <t>BITUZ83HM3ZXK7GNZ</t>
  </si>
  <si>
    <t>7O7ZEL7EC61UJWUX0</t>
  </si>
  <si>
    <t>2MP6PM7CMOAAKHYD8</t>
  </si>
  <si>
    <t>MAQMR1V5Y85AUUO14</t>
  </si>
  <si>
    <t>8W78EEMV2GACH6BW8</t>
  </si>
  <si>
    <t>JFDN42F160WSMT464</t>
  </si>
  <si>
    <t>ZHWP9ZRYR7BM9ZUNM</t>
  </si>
  <si>
    <t>HN7ZB9RKYQDGHTZYK</t>
  </si>
  <si>
    <t>D1Q766J7H58EVXW1G</t>
  </si>
  <si>
    <t>36WNBCDRAGAUYVWB1</t>
  </si>
  <si>
    <t>G7FJULFUKO6RYM609</t>
  </si>
  <si>
    <t>OZE0G2EZ61YOQ97W2</t>
  </si>
  <si>
    <t>5QVYLODRJXV5WJI2Y</t>
  </si>
  <si>
    <t>P5DKHD6U2TD90U85R</t>
  </si>
  <si>
    <t>3UQ315VXGHKYE8C5N</t>
  </si>
  <si>
    <t>44MHO0CQ87EOQL53C</t>
  </si>
  <si>
    <t>OOX2OLKTPGPDFT83S</t>
  </si>
  <si>
    <t>4GXP43X25ZRIKI9GV</t>
  </si>
  <si>
    <t>I4NQXXTVM7HEF7OWN</t>
  </si>
  <si>
    <t>1OVFC7QKKKCSN0CY1</t>
  </si>
  <si>
    <t>17SKNAY45U31V12E1</t>
  </si>
  <si>
    <t>WVZWK1UOY8DTVXXDS</t>
  </si>
  <si>
    <t>7U76FDHKNVV5SV33J</t>
  </si>
  <si>
    <t>W3Q71O2QWRQMP0BZ0</t>
  </si>
  <si>
    <t>XHA7SLHSF1M4Q4Y41</t>
  </si>
  <si>
    <t>TU1TRJM4YWSIB3H19</t>
  </si>
  <si>
    <t>BI1U24CH3DU62JPBZ</t>
  </si>
  <si>
    <t>UG5WG9NKFETFB1UBX</t>
  </si>
  <si>
    <t>XDXJ7MXBDG48S8CTV</t>
  </si>
  <si>
    <t>FCZY0OEK8SSWFZZHW</t>
  </si>
  <si>
    <t>Y49JVYASQEN69XMZI</t>
  </si>
  <si>
    <t>HNEGE0SI6P8W2SYE8</t>
  </si>
  <si>
    <t>P9ON0FQJDB3E2IYWK</t>
  </si>
  <si>
    <t>19O6XYTUQKE90WS98</t>
  </si>
  <si>
    <t>IWCTA7TSY0CDNCX6Q</t>
  </si>
  <si>
    <t>BP45S27LDBSSHL73R</t>
  </si>
  <si>
    <t>ILWLV1488M1QNLH8E</t>
  </si>
  <si>
    <t>ARNE3AJ64HOPPO5RS</t>
  </si>
  <si>
    <t>Q4I76P5OYWY16T23U</t>
  </si>
  <si>
    <t>HG92JPD4ZNNA5XTQZ</t>
  </si>
  <si>
    <t>IRKAXG0PDKAEDGHK4</t>
  </si>
  <si>
    <t>LZ2XV0RIZEQ10C32E</t>
  </si>
  <si>
    <t>F5MMXYFQDDIXS0GDI</t>
  </si>
  <si>
    <t>WA8FKA8ATS95KC54D</t>
  </si>
  <si>
    <t>K5BBSY4TTJ738EBLL</t>
  </si>
  <si>
    <t>O6WJBBGTERGNN1ITU</t>
  </si>
  <si>
    <t>ROZD2YMXMW502F1GV</t>
  </si>
  <si>
    <t>NN9G5EGLK6SGNBYK9</t>
  </si>
  <si>
    <t>W40IM7PM9ZWFNRPAU</t>
  </si>
  <si>
    <t>YOEWKNJYQOVTRZM0E</t>
  </si>
  <si>
    <t>WSEQ9H1L6BFRO9ZF6</t>
  </si>
  <si>
    <t>347RB95RY6ZB16ADB</t>
  </si>
  <si>
    <t>EPX7GNIDHTFW7S62M</t>
  </si>
  <si>
    <t>NJ4E2RLA0A2RE8AVN</t>
  </si>
  <si>
    <t>JBIZOX5OIPRG9ZR3I</t>
  </si>
  <si>
    <t>BLB5LX8AZ7HHW1SKW</t>
  </si>
  <si>
    <t>226RL8QDDH598FLPD</t>
  </si>
  <si>
    <t>9XVMM9JVHAM35GADA</t>
  </si>
  <si>
    <t>Y7LJN4GYWP8I849XY</t>
  </si>
  <si>
    <t>7QOJ1ROP1X5GSM10X</t>
  </si>
  <si>
    <t>B4XUQ8UB19PYQZSX8</t>
  </si>
  <si>
    <t>K3YTJ10DM1A2MN4SW</t>
  </si>
  <si>
    <t>45Z7RTLB0AAMZMFE8</t>
  </si>
  <si>
    <t>5RDPJ7MNCX33BOY0Z</t>
  </si>
  <si>
    <t>AAESTIMZX4MG740Q7</t>
  </si>
  <si>
    <t>T5A9THSZGEIFWEHKE</t>
  </si>
  <si>
    <t>S0UI1E06G1RL91XLI</t>
  </si>
  <si>
    <t>MJV1BAUKEUMX1IV6V</t>
  </si>
  <si>
    <t>YQKHBFODR5HPF7BQN</t>
  </si>
  <si>
    <t>V3QASA65TZEYJ1CPZ</t>
  </si>
  <si>
    <t>HLV343BWVZD5P8Q2B</t>
  </si>
  <si>
    <t>XQ21XSVAG688862UB</t>
  </si>
  <si>
    <t>5GF70MTST2N52DKPN</t>
  </si>
  <si>
    <t>IRLQSKI5L5K5QP0ED</t>
  </si>
  <si>
    <t>OSSOPH5EJ2N3095AE</t>
  </si>
  <si>
    <t>165HBOZ9086Z1FHP8</t>
  </si>
  <si>
    <t>AKQQ70WFVEEWYP6GS</t>
  </si>
  <si>
    <t>OK2C5LZMWZDPI2WN1</t>
  </si>
  <si>
    <t>QV7FTF9OH84YYMZGV</t>
  </si>
  <si>
    <t>7RXZ2PWJMVBKLO83E</t>
  </si>
  <si>
    <t>GGXOI7X1GQJNKQYBV</t>
  </si>
  <si>
    <t>E8JW1WYHAIZK3NKKA</t>
  </si>
  <si>
    <t>547XGYEGK02QTA51Z</t>
  </si>
  <si>
    <t>DRTYKXO69SLF4W8LE</t>
  </si>
  <si>
    <t>4DS4ICBZX0WY73IRH</t>
  </si>
  <si>
    <t>013TERTCJUG4IXLAT</t>
  </si>
  <si>
    <t>C0P8PIQ4ROHXRHJUZ</t>
  </si>
  <si>
    <t>192J6OHEQ43DETW51</t>
  </si>
  <si>
    <t>QVPQARDUSABXB5KVJ</t>
  </si>
  <si>
    <t>VW0U4EXZZ5AGM4P62</t>
  </si>
  <si>
    <t>Q0GFJMNPFGV8RS1LI</t>
  </si>
  <si>
    <t>UCFZWB4HXBXLJ1FTI</t>
  </si>
  <si>
    <t>W52IHOZLMHZU8PFCG</t>
  </si>
  <si>
    <t>WEEBBACSV7FM438XK</t>
  </si>
  <si>
    <t>LTDPKR8451H1JYKC5</t>
  </si>
  <si>
    <t>PQW817L5EU3GMA040</t>
  </si>
  <si>
    <t>C3WUM0W6YPWC9RBWD</t>
  </si>
  <si>
    <t>T4U2H5SMQXKP4NMUS</t>
  </si>
  <si>
    <t>2IFFG5E4J2F0D3X0Z</t>
  </si>
  <si>
    <t>2JJU8ZRFE8QOLHWKZ</t>
  </si>
  <si>
    <t>MIEU6PKSBQ0FRUEBF</t>
  </si>
  <si>
    <t>0FCZRFOECKAY4IDFY</t>
  </si>
  <si>
    <t>6N9AW8UGU8VJ2N5GG</t>
  </si>
  <si>
    <t>RXXF9SJ55W6HO1PF3</t>
  </si>
  <si>
    <t>Q2RQALAKY13L8TKMN</t>
  </si>
  <si>
    <t>GO1T58PJSUZ3LWVEJ</t>
  </si>
  <si>
    <t>COS275H6URZD70QCT</t>
  </si>
  <si>
    <t>42872CGUI20599HW5</t>
  </si>
  <si>
    <t>V5D9BXXD6G2E8J8O6</t>
  </si>
  <si>
    <t>GPFKQTXWGYX83PBGJ</t>
  </si>
  <si>
    <t>6KYOQSX3E3OF3MTS9</t>
  </si>
  <si>
    <t>ZZUGW9DDRLXV7L79E</t>
  </si>
  <si>
    <t>2GL152B6T2JMG0RLH</t>
  </si>
  <si>
    <t>Y5C47J0EGJJIZH6TP</t>
  </si>
  <si>
    <t>MCYGE3HQ2NJK6YTMT</t>
  </si>
  <si>
    <t>64W8FXJQPNJD0AX29</t>
  </si>
  <si>
    <t>6FPVU4F9S8FI1QENB</t>
  </si>
  <si>
    <t>WPT7VPS38GEZKUFUK</t>
  </si>
  <si>
    <t>OPPHMUQ0TY90T9TX2</t>
  </si>
  <si>
    <t>SL7BOODD88917OH1Y</t>
  </si>
  <si>
    <t>1GHVTZPY8WM80QZ95</t>
  </si>
  <si>
    <t>GXT7YYV3T4AR286M8</t>
  </si>
  <si>
    <t>K0GT7T0A0MU59HJZ8</t>
  </si>
  <si>
    <t>SYPEBGI2YIO38C91N</t>
  </si>
  <si>
    <t>04NCKTNXKE95P3IQ6</t>
  </si>
  <si>
    <t>XHQPK1Z85X60A49BS</t>
  </si>
  <si>
    <t>V7UWXMUATDBDFX3A3</t>
  </si>
  <si>
    <t>N3ENP4WJYIEG37E08</t>
  </si>
  <si>
    <t>MCRZ8P0F1FUJHBB70</t>
  </si>
  <si>
    <t>EWDSSYQ9GYXDU5C2L</t>
  </si>
  <si>
    <t>B474IQOVF58EWVKU5</t>
  </si>
  <si>
    <t>ZCNWLTPO9JEKDJHGE</t>
  </si>
  <si>
    <t>22PXF9OXWADA6KLGR</t>
  </si>
  <si>
    <t>5QL888KUU9R7AOE2Y</t>
  </si>
  <si>
    <t>Q78ROBLKXBWZH01GU</t>
  </si>
  <si>
    <t>DJ2DRRCICU4PP02YI</t>
  </si>
  <si>
    <t>AGHMW4CSS3U70MBCZ</t>
  </si>
  <si>
    <t>J65GHWWQU7PTP59AS</t>
  </si>
  <si>
    <t>RRG27P08PGWJSO27Q</t>
  </si>
  <si>
    <t>1E6UQQ2BPJ6YTT0EG</t>
  </si>
  <si>
    <t>F592DXNAJ64FU4MPV</t>
  </si>
  <si>
    <t>AIXIJ0KVJCS4Y8AP2</t>
  </si>
  <si>
    <t>U7D69Y7376FLLV9X7</t>
  </si>
  <si>
    <t>0YK4WDT4SHDQ1SA6I</t>
  </si>
  <si>
    <t>DQEKMNEXHKUKY856F</t>
  </si>
  <si>
    <t>NQRVTJFPLKBRXAZEG</t>
  </si>
  <si>
    <t>EY1U9X3JYE7Z7WZDH</t>
  </si>
  <si>
    <t>D7ENVC9M77BKPJ6PL</t>
  </si>
  <si>
    <t>DSQMUCS7TC1PI2WLD</t>
  </si>
  <si>
    <t>PQ2GVOIW2ARSD6Y0G</t>
  </si>
  <si>
    <t>LNXC5JOMJ69WWCTO6</t>
  </si>
  <si>
    <t>6JXELER7R79OW1K82</t>
  </si>
  <si>
    <t>OQT5MTMJVPKF2P7J8</t>
  </si>
  <si>
    <t>E7NR13NLYJAW3TC69</t>
  </si>
  <si>
    <t>8DAPUN4POEE4K2WT7</t>
  </si>
  <si>
    <t>DJIYPPCVM66S52B77</t>
  </si>
  <si>
    <t>F8HY8NID3L2ZKM7JW</t>
  </si>
  <si>
    <t>BFSDZ32IYJ57N66Y9</t>
  </si>
  <si>
    <t>IVNDW5IYGY1ZPKWD1</t>
  </si>
  <si>
    <t>QDJLSYMCWGE5LU68K</t>
  </si>
  <si>
    <t>QPCDSGTJGBMFUPGGH</t>
  </si>
  <si>
    <t>UJ8OD5ZJ3UTVRMVCD</t>
  </si>
  <si>
    <t>1P38HVC0QHVPU5TVD</t>
  </si>
  <si>
    <t>5B82G0IIYS9LO18HX</t>
  </si>
  <si>
    <t>Y979EAEQVIKERZ5FO</t>
  </si>
  <si>
    <t>BG9KWJF0W7LT2WST7</t>
  </si>
  <si>
    <t>SAVTAMDP912VOGQHC</t>
  </si>
  <si>
    <t>04GNIDGXICNCO7QLV</t>
  </si>
  <si>
    <t>UO1YSB43FBS7OXIMK</t>
  </si>
  <si>
    <t>BH1R9XHHSWAZJQA5O</t>
  </si>
  <si>
    <t>I2TT9OUS5ALXVUYRQ</t>
  </si>
  <si>
    <t>LIFI3DZFNRIHX84ZC</t>
  </si>
  <si>
    <t>L4PMH9MJX6NP70J4G</t>
  </si>
  <si>
    <t>MH2F9JFQWZ0H2LC8O</t>
  </si>
  <si>
    <t>3T8E7HJSH4S6OZ7KQ</t>
  </si>
  <si>
    <t>BYJB05676BKLS4C1K</t>
  </si>
  <si>
    <t>9Y28KOEBQJX2BEGOG</t>
  </si>
  <si>
    <t>Z2WZH9PFW300Z48CQ</t>
  </si>
  <si>
    <t>FAH9VR1YOOMR4JRM1</t>
  </si>
  <si>
    <t>1KWJLVI0MKL0KWHU0</t>
  </si>
  <si>
    <t>4CTEU2KZ8V8OMLP74</t>
  </si>
  <si>
    <t>GR6ZTW6FX4RPTQTLE</t>
  </si>
  <si>
    <t>NACENXKYAQ03BA46X</t>
  </si>
  <si>
    <t>M4RGWVTCBZYKM7N07</t>
  </si>
  <si>
    <t>NAABR5ANAY3E4QR1H</t>
  </si>
  <si>
    <t>IZN2EYLG1VI0L3QUP</t>
  </si>
  <si>
    <t>9O7MY2JEHN6UB360W</t>
  </si>
  <si>
    <t>GZGB5W97TOVMGBYU5</t>
  </si>
  <si>
    <t>NJOYKD4JVCC3QD54T</t>
  </si>
  <si>
    <t>DTAGEIKVGN1Q2UUKJ</t>
  </si>
  <si>
    <t>V422O96RKKE5BXCMK</t>
  </si>
  <si>
    <t>HPZJ8VSOT5ENT64J0</t>
  </si>
  <si>
    <t>ATC7CJTE6J80WSQZP</t>
  </si>
  <si>
    <t>WJN4T05X23RT2BHGS</t>
  </si>
  <si>
    <t>AJ755MYN2DDFLT6KT</t>
  </si>
  <si>
    <t>77ZQ74J6KSKNI4CX6</t>
  </si>
  <si>
    <t>I85MTRUC920FTQU4G</t>
  </si>
  <si>
    <t>R4736FRXJE4R7PQCN</t>
  </si>
  <si>
    <t>22KSIDXR11W4WRB66</t>
  </si>
  <si>
    <t>Z4BVM6EP7GA8639L6</t>
  </si>
  <si>
    <t>UWLJMGGMK5BBRL3CZ</t>
  </si>
  <si>
    <t>08RYDNRFN1RYQK0Y5</t>
  </si>
  <si>
    <t>7L9EWVTJADE5VCE6E</t>
  </si>
  <si>
    <t>WLMFIPTC0QX8I86ZO</t>
  </si>
  <si>
    <t>9V1CGZHEPWLFXMWEG</t>
  </si>
  <si>
    <t>O675QMDAF8Z9AWRMO</t>
  </si>
  <si>
    <t>944MC4VYV8RZ5VGAO</t>
  </si>
  <si>
    <t>8F3OJIE6N4NYZC7TI</t>
  </si>
  <si>
    <t>24MCK50E8ZP3SZ0Y7</t>
  </si>
  <si>
    <t>16XH6RMCJKZ38NC53</t>
  </si>
  <si>
    <t>8UNHHJKGKTJ9FA7ZE</t>
  </si>
  <si>
    <t>HOVZQDG6LL8GDDPEY</t>
  </si>
  <si>
    <t>ZO88O4B6OM49UBD8D</t>
  </si>
  <si>
    <t>ABGIFDZH8T8DC6DX5</t>
  </si>
  <si>
    <t>W3KSE0MCTB9PPNPQ1</t>
  </si>
  <si>
    <t>QLV0WOBAADGR96MBJ</t>
  </si>
  <si>
    <t>99HE4K1YQE5EQNZLH</t>
  </si>
  <si>
    <t>D76DSDUSSKTFCGEJ0</t>
  </si>
  <si>
    <t>WV4DMZLGF3QILQ6Z2</t>
  </si>
  <si>
    <t>VP74C9LZD3SH9ST6R</t>
  </si>
  <si>
    <t>TSV8LBH81LM7SVZ2W</t>
  </si>
  <si>
    <t>VSMBSNZBOH3U12XFF</t>
  </si>
  <si>
    <t>40JSAOOA5P114BFSA</t>
  </si>
  <si>
    <t>4DIK06CVZ51K1ETG4</t>
  </si>
  <si>
    <t>9UNYURG6FRF82HK0Y</t>
  </si>
  <si>
    <t>VAX8HQNJANE6EOLXW</t>
  </si>
  <si>
    <t>XK5L153VY2K053ELB</t>
  </si>
  <si>
    <t>CE3011D7I4LTN9TWM</t>
  </si>
  <si>
    <t>HNH5LS5GB0OXXXG4O</t>
  </si>
  <si>
    <t>YFZ4V9G9TUAYHJP9N</t>
  </si>
  <si>
    <t>Z15FTIL7OLSL2D0FG</t>
  </si>
  <si>
    <t>USFDKA0EU4TOF3DJJ</t>
  </si>
  <si>
    <t>JF97QCMIDS8FHKC4V</t>
  </si>
  <si>
    <t>WPNMTD3HTZ5HWTI2F</t>
  </si>
  <si>
    <t>NIPEPFUTCC10K1WIY</t>
  </si>
  <si>
    <t>JPM3LK35RV49KNE97</t>
  </si>
  <si>
    <t>Z3TH71CLU9Y8JNFOC</t>
  </si>
  <si>
    <t>M34FCUTEID9UQYJHM</t>
  </si>
  <si>
    <t>V9LXKW7C957MAKV50</t>
  </si>
  <si>
    <t>N3FJ46FTUMXKHVO22</t>
  </si>
  <si>
    <t>I2YZ0ILLX6ELSLI31</t>
  </si>
  <si>
    <t>0JRY8R7ENA6JZ59YF</t>
  </si>
  <si>
    <t>FGT9ELB2SLVS9N9LB</t>
  </si>
  <si>
    <t>SAAP61TUJRE0GR1BQ</t>
  </si>
  <si>
    <t>FK0UX6OP50ECERBAY</t>
  </si>
  <si>
    <t>US9OI5FIEGFLCRMK2</t>
  </si>
  <si>
    <t>C8635QW7Z9JI2AWX8</t>
  </si>
  <si>
    <t>2RRW6069ZUNA53RPA</t>
  </si>
  <si>
    <t>SXKLAVIAMRT3949QN</t>
  </si>
  <si>
    <t>P1ZGKYJQBZDDWYWPM</t>
  </si>
  <si>
    <t>GCX4FOQQZOK47I2KX</t>
  </si>
  <si>
    <t>584FMQXS9IAE4E2DU</t>
  </si>
  <si>
    <t>HGFMU6VFR2420HQGR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</si>
  <si>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</si>
  <si>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</si>
  <si>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</si>
  <si>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</si>
  <si>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</si>
  <si>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</si>
  <si>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</si>
  <si>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</si>
  <si>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</si>
  <si>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ACCT.</t>
  </si>
  <si>
    <t>GOVT-ACCT.</t>
  </si>
  <si>
    <t>PIC</t>
  </si>
  <si>
    <t>COMP-3.</t>
  </si>
  <si>
    <t>FILLER</t>
  </si>
  <si>
    <t>X(0023).</t>
  </si>
  <si>
    <t>APPEAL.</t>
  </si>
  <si>
    <t>APPEAL-NBR.</t>
  </si>
  <si>
    <t>APPEAL-FY</t>
  </si>
  <si>
    <t>APPEAL-SEQNC-NBR</t>
  </si>
  <si>
    <t>APPEAL-AREA</t>
  </si>
  <si>
    <t>FMHA-CASE-NBR.</t>
  </si>
  <si>
    <t>CASE-ST-NBR</t>
  </si>
  <si>
    <t>X(02).</t>
  </si>
  <si>
    <t>CTY-DST-NBR</t>
  </si>
  <si>
    <t>X(03).</t>
  </si>
  <si>
    <t>CASE-ENTY</t>
  </si>
  <si>
    <t>APPLNT-ENTY-NME.</t>
  </si>
  <si>
    <t>APPLNT-LST-NME</t>
  </si>
  <si>
    <t>APPLNT-1ST-NME</t>
  </si>
  <si>
    <t>X(12).</t>
  </si>
  <si>
    <t>APPLNT-MID-NME</t>
  </si>
  <si>
    <t>CUR-REVW-DECSN</t>
  </si>
  <si>
    <t>ENTY-CNTCT-NME.</t>
  </si>
  <si>
    <t>ENTY-CNTCT-LST-NME</t>
  </si>
  <si>
    <t>ENTY-CNTCT-1ST-NME</t>
  </si>
  <si>
    <t>APPLNT-ADDR.</t>
  </si>
  <si>
    <t>APPLNT-ADDR-GRP.</t>
  </si>
  <si>
    <t>APPLNT-STREET-CITY-1</t>
  </si>
  <si>
    <t>X(25).</t>
  </si>
  <si>
    <t>APPLNT-STREET-CITY-2</t>
  </si>
  <si>
    <t>APPLNT-ST</t>
  </si>
  <si>
    <t>APPLNT-ZIP.</t>
  </si>
  <si>
    <t>APPLNT-ZIP-1</t>
  </si>
  <si>
    <t>X(05).</t>
  </si>
  <si>
    <t>APPLNT-ZIP-2</t>
  </si>
  <si>
    <t>X(04).</t>
  </si>
  <si>
    <t>APPLNT-OFC-PHN.</t>
  </si>
  <si>
    <t>APPLNT-OFC-AREA</t>
  </si>
  <si>
    <t>APPLNT-OFC-PHN-NBR</t>
  </si>
  <si>
    <t>X(07).</t>
  </si>
  <si>
    <t>APPLNT-OFC-EXTNSN</t>
  </si>
  <si>
    <t>APPLNT-HOME-PHN.</t>
  </si>
  <si>
    <t>APPLNT-HOME-AREA</t>
  </si>
  <si>
    <t>APPLNT-HOME-PHN-NBR</t>
  </si>
  <si>
    <t>LNDR-APPLNT</t>
  </si>
  <si>
    <t>X(40).</t>
  </si>
  <si>
    <t>LNDR-APPLNT-NME.</t>
  </si>
  <si>
    <t>LNDR-APPLNT-LST-NME</t>
  </si>
  <si>
    <t>LNDR-APPLNT-1ST-NME</t>
  </si>
  <si>
    <t>LNDR-APPLNT-ADDR.</t>
  </si>
  <si>
    <t>LNDR-APPLNT-ADDR-GRP.</t>
  </si>
  <si>
    <t>LNDR-APPLNT-STREET-1</t>
  </si>
  <si>
    <t>LNDR-APPLNT-STREET-2</t>
  </si>
  <si>
    <t>LNDR-APPLNT-ST</t>
  </si>
  <si>
    <t>LNDR-APPLNT-ZIP.</t>
  </si>
  <si>
    <t>LNDR-APPLNT-ZIP-1</t>
  </si>
  <si>
    <t>LNDR-APPLNT-ZIP-2</t>
  </si>
  <si>
    <t>LNDR-APPLNT-OFC-PHN.</t>
  </si>
  <si>
    <t>LNDR-APPLNT-OFC-AREA</t>
  </si>
  <si>
    <t>LNDR-APPLNT-OFC-PHN-NBR</t>
  </si>
  <si>
    <t>LNDR-APPLNT-OFC-EXTNSN</t>
  </si>
  <si>
    <t>APPEAL-CUR-STAT.</t>
  </si>
  <si>
    <t>APPEAL-STAT-MAJ</t>
  </si>
  <si>
    <t>APPEAL-STAT-PHASE</t>
  </si>
  <si>
    <t>APPEAL-STAT-LVL</t>
  </si>
  <si>
    <t>APPEAL-STAT-DECSN</t>
  </si>
  <si>
    <t>REP-NME.</t>
  </si>
  <si>
    <t>REP-LST-NME</t>
  </si>
  <si>
    <t>REP-1ST-NME</t>
  </si>
  <si>
    <t>REP-MID-NME</t>
  </si>
  <si>
    <t>REP-ADDR.</t>
  </si>
  <si>
    <t>REP-ADDR-GRP.</t>
  </si>
  <si>
    <t>REP-STREET-CITY-1</t>
  </si>
  <si>
    <t>REP-STREET-CITY-2</t>
  </si>
  <si>
    <t>REP-ST</t>
  </si>
  <si>
    <t>REP-ZIP.</t>
  </si>
  <si>
    <t>REP-ZIP-1</t>
  </si>
  <si>
    <t>REP-ZIP-2</t>
  </si>
  <si>
    <t>REP-OFC-PHN.</t>
  </si>
  <si>
    <t>REP-OFC-AREA</t>
  </si>
  <si>
    <t>REP-OFC-PHN-NBR</t>
  </si>
  <si>
    <t>REP-OFC-EXTNSN</t>
  </si>
  <si>
    <t>DECSN-OFCL-NME.</t>
  </si>
  <si>
    <t>DECSN-OFCL-LST-NME</t>
  </si>
  <si>
    <t>DECSN-OFCL-1ST-NME</t>
  </si>
  <si>
    <t>DECSN-OFCL-MID-NME</t>
  </si>
  <si>
    <t>DECSN-OFCL-CDE</t>
  </si>
  <si>
    <t>X(06).</t>
  </si>
  <si>
    <t>DECSN-OFCL-ADDR.</t>
  </si>
  <si>
    <t>DECSN-OFCL-ADDR-GRP.</t>
  </si>
  <si>
    <t>DECSN-OFCL-STREET-CITY-1</t>
  </si>
  <si>
    <t>DECSN-OFCL-STREET-CITY-2</t>
  </si>
  <si>
    <t>DECSN-OFCL-ST</t>
  </si>
  <si>
    <t>DECSN-OFCL-ZIP.</t>
  </si>
  <si>
    <t>DECSN-OFCL-ZIP-1</t>
  </si>
  <si>
    <t>DECSN-OFCL-ZIP-2</t>
  </si>
  <si>
    <t>DECSN-OFCL-PHN.</t>
  </si>
  <si>
    <t>DECSN-OFCL-AREA</t>
  </si>
  <si>
    <t>DECSN-OFCL-PHN-NBR</t>
  </si>
  <si>
    <t>DECSN-OFCL-EXTNSN</t>
  </si>
  <si>
    <t>PROG-CDE</t>
  </si>
  <si>
    <t>LN-CDE</t>
  </si>
  <si>
    <t>ACTN-CDE</t>
  </si>
  <si>
    <t>SUB-ACTN-CDE</t>
  </si>
  <si>
    <t>STATCS-CDE.</t>
  </si>
  <si>
    <t>RACE-DESC-CDE</t>
  </si>
  <si>
    <t>SEX-CDE</t>
  </si>
  <si>
    <t>HNDICPD-CDE</t>
  </si>
  <si>
    <t>FMHA-ORIG-DECSN-DTE</t>
  </si>
  <si>
    <t>HEARG-RQSTD-DTE</t>
  </si>
  <si>
    <t>HEARG-ASGD-DTE</t>
  </si>
  <si>
    <t>HEARG-DECSN-DUE-DTE</t>
  </si>
  <si>
    <t>HEARG-DTE</t>
  </si>
  <si>
    <t>HEARG-CNFNC-CALL</t>
  </si>
  <si>
    <t>HEARG-USER-ID</t>
  </si>
  <si>
    <t>HEARG-DECSN</t>
  </si>
  <si>
    <t>HEARG-DECSN-NOTFCTN-DTE</t>
  </si>
  <si>
    <t>MTRL.</t>
  </si>
  <si>
    <t>MTRL-TRNSCRPT</t>
  </si>
  <si>
    <t>MTRL-TAPE</t>
  </si>
  <si>
    <t>MTRL-RCRD-COPY</t>
  </si>
  <si>
    <t>MTRL-PYMT-RCVD</t>
  </si>
  <si>
    <t>MTRL-RQSTD-DTE</t>
  </si>
  <si>
    <t>MTRL-DTE-SENT</t>
  </si>
  <si>
    <t>MTRL-AMT-PD</t>
  </si>
  <si>
    <t>9(05)V99</t>
  </si>
  <si>
    <t>MTRL-OTH</t>
  </si>
  <si>
    <t>ST-USER-ID</t>
  </si>
  <si>
    <t>APPLNT-RQSTD-ST-REVW-DTE</t>
  </si>
  <si>
    <t>ST-ASGD-DTE</t>
  </si>
  <si>
    <t>ST-REVW-DUE-DTE</t>
  </si>
  <si>
    <t>ST-APPEAL-NOTFCTN-DTE</t>
  </si>
  <si>
    <t>ST-APPEAL-DECSN</t>
  </si>
  <si>
    <t>NATL-USER-ID</t>
  </si>
  <si>
    <t>NATL-RQSTD-REVW-DTE</t>
  </si>
  <si>
    <t>NATL-ASGD-DTE</t>
  </si>
  <si>
    <t>NATL-RCVD-DTE</t>
  </si>
  <si>
    <t>NATL-ASGD-STAFF</t>
  </si>
  <si>
    <t>NATL-APPEAL-DUE-DTE</t>
  </si>
  <si>
    <t>NATL-APPEAL-NOTFCTN-DTE</t>
  </si>
  <si>
    <t>NATL-APPEAL-DECSN</t>
  </si>
  <si>
    <t>HEARG-REVW-FLAG</t>
  </si>
  <si>
    <t>ST-REVW-FLAG</t>
  </si>
  <si>
    <t>NATL-REVW-FLAG</t>
  </si>
  <si>
    <t>PREV-HEARG-USER-ID</t>
  </si>
  <si>
    <t>PREV-ST-USER-ID</t>
  </si>
  <si>
    <t>PREV-NATL-USER-ID</t>
  </si>
  <si>
    <t>LST-UPDTE-USER-ID</t>
  </si>
  <si>
    <t>LST-UPDTE-DTE</t>
  </si>
  <si>
    <t>USER-ID-WORK</t>
  </si>
  <si>
    <t>X(08).</t>
  </si>
  <si>
    <t>APPEAL-RCRD-SENT</t>
  </si>
  <si>
    <t>WK-DTE-1</t>
  </si>
  <si>
    <t>WK-DTE-2</t>
  </si>
  <si>
    <t>WK-DTE-3</t>
  </si>
  <si>
    <t>WK-AMT-1</t>
  </si>
  <si>
    <t>9(08)V99</t>
  </si>
  <si>
    <t>WK-AMT-2</t>
  </si>
  <si>
    <t>WK-AMT-3</t>
  </si>
  <si>
    <t>X(0046).</t>
  </si>
  <si>
    <t>APPLCMT.</t>
  </si>
  <si>
    <t>APPEAL-CMMTS-PSTN</t>
  </si>
  <si>
    <t>APPEAL-CMMTS</t>
  </si>
  <si>
    <t>X(70).</t>
  </si>
  <si>
    <t>X(0008).</t>
  </si>
  <si>
    <t>AREAOFC.</t>
  </si>
  <si>
    <t>AREA-OFC-ID</t>
  </si>
  <si>
    <t>OFC-ADDR.</t>
  </si>
  <si>
    <t>OFC-ADDR-GRP.</t>
  </si>
  <si>
    <t>OFC-STREET-CITY-1</t>
  </si>
  <si>
    <t>OFC-STREET-CITY-2</t>
  </si>
  <si>
    <t>OFC-ST</t>
  </si>
  <si>
    <t>OFC-ZIP.</t>
  </si>
  <si>
    <t>OFC-ZIP-1</t>
  </si>
  <si>
    <t>OFC-ZIP-2</t>
  </si>
  <si>
    <t>FMHA-ST</t>
  </si>
  <si>
    <t>OCCURS</t>
  </si>
  <si>
    <t>ST-NBR</t>
  </si>
  <si>
    <t>ST-ABBR.</t>
  </si>
  <si>
    <t>ST-ABBR-1ST</t>
  </si>
  <si>
    <t>A.</t>
  </si>
  <si>
    <t>ST-ABBR-2ND</t>
  </si>
  <si>
    <t>ST-NME</t>
  </si>
  <si>
    <t>LST-APPEAL-LOG-NBR.</t>
  </si>
  <si>
    <t>LST-APPEAL-FY</t>
  </si>
  <si>
    <t>LST-APPEAL-SEQNC-NBR</t>
  </si>
  <si>
    <t>X(0048).</t>
  </si>
  <si>
    <t>AVLBLFD.</t>
  </si>
  <si>
    <t>FD-DESC-AVLBL</t>
  </si>
  <si>
    <t>FD-AMT-AVLBL-1</t>
  </si>
  <si>
    <t>FD-CDE-AVLBL</t>
  </si>
  <si>
    <t>X(0031).</t>
  </si>
  <si>
    <t>BDGTCTRL.</t>
  </si>
  <si>
    <t>BDGT-CNTRL-KEY.</t>
  </si>
  <si>
    <t>OFC-CDE</t>
  </si>
  <si>
    <t>SRMP-ALTEE</t>
  </si>
  <si>
    <t>X(28).</t>
  </si>
  <si>
    <t>BDGTSTAF.</t>
  </si>
  <si>
    <t>GEN-WORK-LOAD-FTIME-EMPL</t>
  </si>
  <si>
    <t>EMERG-LN-MKG-FTIME-EMPL</t>
  </si>
  <si>
    <t>FRM-CR-SRVC-FTIME-EMPL</t>
  </si>
  <si>
    <t>OFC-SPC-FTIME-NBR</t>
  </si>
  <si>
    <t>OFC-SPC-DST-NBR</t>
  </si>
  <si>
    <t>OFC-SPC-CTY-FTIME-NBR</t>
  </si>
  <si>
    <t>OFC-SPC-CTY-SUB-OFC-NBR</t>
  </si>
  <si>
    <t>OFC-SPC-CTY-PTIME-NBR</t>
  </si>
  <si>
    <t>INFO-RESRCS-PROJ-OBJTV</t>
  </si>
  <si>
    <t>X(60).</t>
  </si>
  <si>
    <t>INFO-RESRCS-ACT-DESC</t>
  </si>
  <si>
    <t>INFO-RESRCS-ID-FUNCTN</t>
  </si>
  <si>
    <t>INFO-RESRCS-STAFF-YR</t>
  </si>
  <si>
    <t>INFO-RESRCS-STAFF-CST</t>
  </si>
  <si>
    <t>INFO-RESRCS-OTH-CST</t>
  </si>
  <si>
    <t>INFO-RESRCS-EST-BNFTS-CST</t>
  </si>
  <si>
    <t>CMMTS</t>
  </si>
  <si>
    <t>X(78).</t>
  </si>
  <si>
    <t>INFO-RESRCS-ACT-START-DTE</t>
  </si>
  <si>
    <t>INFO-RESRCS-ACT-END-DTE</t>
  </si>
  <si>
    <t>X(0014).</t>
  </si>
  <si>
    <t>CMMTS-RCRD.</t>
  </si>
  <si>
    <t>RCRD-NBR-KEY</t>
  </si>
  <si>
    <t>CMMT-DATA</t>
  </si>
  <si>
    <t>X(110).</t>
  </si>
  <si>
    <t>RMS-OPRTR-NBR</t>
  </si>
  <si>
    <t>CODEREC.</t>
  </si>
  <si>
    <t>CDE-KEY.</t>
  </si>
  <si>
    <t>TBL-CDE</t>
  </si>
  <si>
    <t>TBL-NBR</t>
  </si>
  <si>
    <t>TBL-DESCV</t>
  </si>
  <si>
    <t>TBL-ENTRY-PROG</t>
  </si>
  <si>
    <t>TBL-ENTRY-ACTN-TYP</t>
  </si>
  <si>
    <t>X(0011).</t>
  </si>
  <si>
    <t>CRBREC.</t>
  </si>
  <si>
    <t>CRB-NBR.</t>
  </si>
  <si>
    <t>DIV-CDE</t>
  </si>
  <si>
    <t>CRB-ID</t>
  </si>
  <si>
    <t>CRB-PRRTY-CDE</t>
  </si>
  <si>
    <t>CRB-DIV-NME</t>
  </si>
  <si>
    <t>CRB-FY-AMT</t>
  </si>
  <si>
    <t>9(10)</t>
  </si>
  <si>
    <t>CRB-ACTN-TYP</t>
  </si>
  <si>
    <t>CRB-OTH-TYP</t>
  </si>
  <si>
    <t>CRB-PROCURMT-TYP</t>
  </si>
  <si>
    <t>CRB-CNTRCR-NME</t>
  </si>
  <si>
    <t>CRB-SRC-FD</t>
  </si>
  <si>
    <t>CRB-COMPLD-SRVC-DTE</t>
  </si>
  <si>
    <t>CRB-PY</t>
  </si>
  <si>
    <t>9(04).</t>
  </si>
  <si>
    <t>CRB-PR-VNDR-NME</t>
  </si>
  <si>
    <t>CRB-PR-CNTRC-NBR</t>
  </si>
  <si>
    <t>CRB-PR-YR-AMT</t>
  </si>
  <si>
    <t>CRB-IMPACT-FUTR</t>
  </si>
  <si>
    <t>CRB-COMPRH-PROJ-TYP</t>
  </si>
  <si>
    <t>CRB-COMPRH-PROJ-AMT</t>
  </si>
  <si>
    <t>CRB-COMPRH-PROJ-PCT</t>
  </si>
  <si>
    <t>99V99.</t>
  </si>
  <si>
    <t>CRB-CNTRC-PROJ-LEADR</t>
  </si>
  <si>
    <t>CRB-CNTRC-PROJ-TLPHN</t>
  </si>
  <si>
    <t>CRB-DTE</t>
  </si>
  <si>
    <t>CRB-ACCT-ID</t>
  </si>
  <si>
    <t>CRB-APPRVD-AMT</t>
  </si>
  <si>
    <t>CRB-OBLGD-AMT</t>
  </si>
  <si>
    <t>CRB-DESC</t>
  </si>
  <si>
    <t>CRB-RMRKS</t>
  </si>
  <si>
    <t>CRB-REAS</t>
  </si>
  <si>
    <t>CRB-ID-CNTRCR</t>
  </si>
  <si>
    <t>X(0018).</t>
  </si>
  <si>
    <t>DIVREC.</t>
  </si>
  <si>
    <t>DIV-CNTRL-KEY.</t>
  </si>
  <si>
    <t>DIV-NBR</t>
  </si>
  <si>
    <t>FURNTR-DESC</t>
  </si>
  <si>
    <t>X(0024).</t>
  </si>
  <si>
    <t>EQPMTS.</t>
  </si>
  <si>
    <t>X(0017).</t>
  </si>
  <si>
    <t>EQPTCTRL.</t>
  </si>
  <si>
    <t>EQPMT-DESC</t>
  </si>
  <si>
    <t>EQPMT-CST</t>
  </si>
  <si>
    <t>S9(5)V99</t>
  </si>
  <si>
    <t>EQPMT-CDE</t>
  </si>
  <si>
    <t>X(0045).</t>
  </si>
  <si>
    <t>EVENT-HN.</t>
  </si>
  <si>
    <t>EVENT-KEY.</t>
  </si>
  <si>
    <t>DTE-EVENT</t>
  </si>
  <si>
    <t>X(8).</t>
  </si>
  <si>
    <t>TIME-EVENT</t>
  </si>
  <si>
    <t>X(6).</t>
  </si>
  <si>
    <t>ENVRNMT-CDE</t>
  </si>
  <si>
    <t>SEQNC</t>
  </si>
  <si>
    <t>S9(8)</t>
  </si>
  <si>
    <t>COMP.</t>
  </si>
  <si>
    <t>ADM-USER-ID</t>
  </si>
  <si>
    <t>X(18).</t>
  </si>
  <si>
    <t>SRT-CDE</t>
  </si>
  <si>
    <t>EXPSCTRL.</t>
  </si>
  <si>
    <t>ALTEE</t>
  </si>
  <si>
    <t>OFC-NME</t>
  </si>
  <si>
    <t>X(47).</t>
  </si>
  <si>
    <t>FARMS-ACCT-DATA.</t>
  </si>
  <si>
    <t>FD-CDE.</t>
  </si>
  <si>
    <t>FD-CDE-3.</t>
  </si>
  <si>
    <t>REDEFINES</t>
  </si>
  <si>
    <t>DSTR-DCLRD-CDE.</t>
  </si>
  <si>
    <t>X(0019).</t>
  </si>
  <si>
    <t>FARMS-ACQD-PROP.</t>
  </si>
  <si>
    <t>FD-CDE-ACQD-PROP.</t>
  </si>
  <si>
    <t>FD-CDE-3-ACQD-PROP.</t>
  </si>
  <si>
    <t>FD-CDE-2-ACQD-PROP</t>
  </si>
  <si>
    <t>FD-CDE-3RD-ACQD-PROP</t>
  </si>
  <si>
    <t>FD-CDE-4TH-ACQD-PROP</t>
  </si>
  <si>
    <t>ASCS-FRM-NBR-1</t>
  </si>
  <si>
    <t>ASCS-FRM-NBR-2</t>
  </si>
  <si>
    <t>ACQD-PROP-NBR.</t>
  </si>
  <si>
    <t>ST-CDE-ACQD-PROP</t>
  </si>
  <si>
    <t>CTY-CDE-ACQD-PROP</t>
  </si>
  <si>
    <t>ADVC-NBR</t>
  </si>
  <si>
    <t>MAILG-OFC-ACQD.</t>
  </si>
  <si>
    <t>MAILG-LVL-ACQD</t>
  </si>
  <si>
    <t>ST-MAILG-LVL-ACQD</t>
  </si>
  <si>
    <t>VALUE</t>
  </si>
  <si>
    <t>S'.</t>
  </si>
  <si>
    <t>DST-MAILG-LVL-ACQD</t>
  </si>
  <si>
    <t>D'.</t>
  </si>
  <si>
    <t>CTY-MAILG-LVL-ACQD</t>
  </si>
  <si>
    <t>C'.</t>
  </si>
  <si>
    <t>CTY-SPECL-LVL-ACQD</t>
  </si>
  <si>
    <t>T'.</t>
  </si>
  <si>
    <t>DST-SPECL-LVL-ACQD</t>
  </si>
  <si>
    <t>U'.</t>
  </si>
  <si>
    <t>ST-SPECL-LVL-ACQD</t>
  </si>
  <si>
    <t>V'.</t>
  </si>
  <si>
    <t>MAILG-CDE-ACQD.</t>
  </si>
  <si>
    <t>ST-OFC-MAILG-ACQD</t>
  </si>
  <si>
    <t>CTY-OFC-MAILG-ACQD</t>
  </si>
  <si>
    <t>DST-OFC-MAILG-ACQD</t>
  </si>
  <si>
    <t>DTE-LST-CSH-CR-PROP</t>
  </si>
  <si>
    <t>DTE-ACQSTN</t>
  </si>
  <si>
    <t>LQDTN-CDE</t>
  </si>
  <si>
    <t>VLU-ACQSTN</t>
  </si>
  <si>
    <t>ACRES-CNT</t>
  </si>
  <si>
    <t>S9(6)V9.</t>
  </si>
  <si>
    <t>PRIN-CR-ACQSTN</t>
  </si>
  <si>
    <t>INT-CR-ACQSTN</t>
  </si>
  <si>
    <t>PRIN-UNPD-PROP-ACQSTN</t>
  </si>
  <si>
    <t>INT-UNPD-PROP-ACQSTN</t>
  </si>
  <si>
    <t>CPTL-IMPRVMTS</t>
  </si>
  <si>
    <t>DTE-1ST-ADVTSD</t>
  </si>
  <si>
    <t>INCM-OTH-ACQD-PROP</t>
  </si>
  <si>
    <t>S9(07)V99</t>
  </si>
  <si>
    <t>ACQD-PROP-GAIN-LOSS-FNL-SALE</t>
  </si>
  <si>
    <t>DTE-JDGMT</t>
  </si>
  <si>
    <t>JDGMT-AMT</t>
  </si>
  <si>
    <t>DTE-WRTF</t>
  </si>
  <si>
    <t>WRTF-UNPD-PRIN</t>
  </si>
  <si>
    <t>WRTF-UNPD-INT-AMT</t>
  </si>
  <si>
    <t>ACQD-PROP-SALE-AMT</t>
  </si>
  <si>
    <t>SALE-PRTL-COMPL-CDE</t>
  </si>
  <si>
    <t>NME-PURCHR</t>
  </si>
  <si>
    <t>CASE-NBR-PURCHR.</t>
  </si>
  <si>
    <t>ST-CDE-PURCHR</t>
  </si>
  <si>
    <t>CTY-CDE-PURCHR</t>
  </si>
  <si>
    <t>ID-NBR-PURCHR</t>
  </si>
  <si>
    <t>DTE-ACQSTN-PROCD</t>
  </si>
  <si>
    <t>DTE-SALE-PROCD</t>
  </si>
  <si>
    <t>DLT-CDE</t>
  </si>
  <si>
    <t>FD-CDE-ACQD-PROP-PR-ACQSTN</t>
  </si>
  <si>
    <t>SUSP-CDE-ACQD-PROP</t>
  </si>
  <si>
    <t>DTE-LST-RGSTR-DTL-PROP</t>
  </si>
  <si>
    <t>RGSTR-TYP-LST-CHNG-PROP</t>
  </si>
  <si>
    <t>DTE-ACQSTN-SBMTD.</t>
  </si>
  <si>
    <t>DTE-ACQSTN-SBMTD-MO</t>
  </si>
  <si>
    <t>DTE-ACQSTN-SBMTD-DAY</t>
  </si>
  <si>
    <t>DTE-ACQSTN-SBMTD-YR</t>
  </si>
  <si>
    <t>PROP-LOCTN</t>
  </si>
  <si>
    <t>X(16).</t>
  </si>
  <si>
    <t>PROP-DESC-CDE</t>
  </si>
  <si>
    <t>PROP-SUTBLTY</t>
  </si>
  <si>
    <t>ORIG-MKT-VLU</t>
  </si>
  <si>
    <t>TYP-BUS</t>
  </si>
  <si>
    <t>CUR-MKT-VLU</t>
  </si>
  <si>
    <t>DTE-LST-APPRSL.</t>
  </si>
  <si>
    <t>DTE-LST-APPRSL-MO</t>
  </si>
  <si>
    <t>DTE-LST-APPRSL-DAY</t>
  </si>
  <si>
    <t>DTE-LST-APPRSL-YR</t>
  </si>
  <si>
    <t>ACRES-ACQD-CROP</t>
  </si>
  <si>
    <t>S9(5)V9</t>
  </si>
  <si>
    <t>ACRES-ACQD-PSTR</t>
  </si>
  <si>
    <t>ACRES-ACQD-WDLND</t>
  </si>
  <si>
    <t>ACRES-ACQD-OTH</t>
  </si>
  <si>
    <t>DTE-CR-SALE-COMPLD.</t>
  </si>
  <si>
    <t>DTE-CR-SALE-COMPLD-MO</t>
  </si>
  <si>
    <t>DTE-CR-SALE-COMPLD-DAY</t>
  </si>
  <si>
    <t>DTE-CR-SALE-COMPLD-YR</t>
  </si>
  <si>
    <t>TYP-SALE-DSPSL</t>
  </si>
  <si>
    <t>TERM-SALE-DSPSL</t>
  </si>
  <si>
    <t>PURCHR-TYP-CDE</t>
  </si>
  <si>
    <t>SD-APPLT-CDE</t>
  </si>
  <si>
    <t>DTE-FLD-NOTFS-FWS</t>
  </si>
  <si>
    <t>DTE-FWS-RQSTS-EASMNT</t>
  </si>
  <si>
    <t>BORR-RHTS-WAVD</t>
  </si>
  <si>
    <t>PROP-MNGR</t>
  </si>
  <si>
    <t>DTE-MNGMT-AGRMT</t>
  </si>
  <si>
    <t>EXPRTN-DTE-MNGMT-AGRMT</t>
  </si>
  <si>
    <t>DTE-2ND-ADVTSD</t>
  </si>
  <si>
    <t>SALES-COMMSN</t>
  </si>
  <si>
    <t>S9(6)V99</t>
  </si>
  <si>
    <t>OTH-SELLG-EXP</t>
  </si>
  <si>
    <t>PROP-STREET-ADRS</t>
  </si>
  <si>
    <t>DTE-PROP-LISTD.</t>
  </si>
  <si>
    <t>PROP-LISTD-MO</t>
  </si>
  <si>
    <t>PROP-LISTD-DAY</t>
  </si>
  <si>
    <t>PROP-LISTD-YR</t>
  </si>
  <si>
    <t>GAIN-LOSS-ACQSTN</t>
  </si>
  <si>
    <t>GR-SALE-AMT</t>
  </si>
  <si>
    <t>DTE-SUBDVSN</t>
  </si>
  <si>
    <t>SUBQ-DTE-SUBDVSN</t>
  </si>
  <si>
    <t>PR-PROP-ID</t>
  </si>
  <si>
    <t>PURCHR-RACE-CDE</t>
  </si>
  <si>
    <t>PURCHR-KIND-CDE</t>
  </si>
  <si>
    <t>PURCHR-RELTNSHP-CDE</t>
  </si>
  <si>
    <t>DWNPYMT-SBMTD</t>
  </si>
  <si>
    <t>DWNPYMT-CRDTD</t>
  </si>
  <si>
    <t>NET-CSH-SALE-CRDTD</t>
  </si>
  <si>
    <t>NET-CSH-SALE-RCVB</t>
  </si>
  <si>
    <t>NET-DWNPYMT-RCVB</t>
  </si>
  <si>
    <t>ASSTNC-TYP-CDE-ACQD</t>
  </si>
  <si>
    <t>DTE-OBLGN-LN-ACQD</t>
  </si>
  <si>
    <t>LN-NBR-SCRD-ACQD</t>
  </si>
  <si>
    <t>ACQD-PROP-OPRTG-CST-FMHA</t>
  </si>
  <si>
    <t>S9(06)V99</t>
  </si>
  <si>
    <t>FARMS-ADPS-CNTRL.</t>
  </si>
  <si>
    <t>ADPS-CNTRL-KEY</t>
  </si>
  <si>
    <t>ADPS-SEQNC-NBR</t>
  </si>
  <si>
    <t>9(5)</t>
  </si>
  <si>
    <t>DTE-JULIAN</t>
  </si>
  <si>
    <t>FARMS-ADVANCE.</t>
  </si>
  <si>
    <t>CHGS-ADVNC-FROM-FD</t>
  </si>
  <si>
    <t>PRIN-CR-ADVNC-FROM-FD</t>
  </si>
  <si>
    <t>INT-CR-ADVNC-FROM-FD</t>
  </si>
  <si>
    <t>INT-FCL-FROM-ADVNC-DTE</t>
  </si>
  <si>
    <t>SCHED-STAT-ADVNC-FROM-FD</t>
  </si>
  <si>
    <t>XXX.</t>
  </si>
  <si>
    <t>FARMS-AID.</t>
  </si>
  <si>
    <t>DTE-DFRL-EFCTV</t>
  </si>
  <si>
    <t>DTE-DFRL-EXPRTN</t>
  </si>
  <si>
    <t>DTE-DFRL-CNCLTN</t>
  </si>
  <si>
    <t>STAT-DFRL</t>
  </si>
  <si>
    <t>DTE-SET-ASIDE-EFCTV</t>
  </si>
  <si>
    <t>DTE-SET-ASIDE-EXPRTN</t>
  </si>
  <si>
    <t>DTE-SET-ASIDE-CNCLTN</t>
  </si>
  <si>
    <t>DEBT-SET-ASIDE-TTL-AMT</t>
  </si>
  <si>
    <t>STAT-DEBT-SET-ASIDE</t>
  </si>
  <si>
    <t>DTE-MRTM-EFCTV-RH</t>
  </si>
  <si>
    <t>DTE-MRTM-CNCLTN-RH</t>
  </si>
  <si>
    <t>MRTM-RENWL-NBR-RH</t>
  </si>
  <si>
    <t>STAT-MRTM-RH</t>
  </si>
  <si>
    <t>NBR-DFRL-RENWLS</t>
  </si>
  <si>
    <t>DFRD-INT-TTL-AMT</t>
  </si>
  <si>
    <t>X(0004).</t>
  </si>
  <si>
    <t>FARMS-ALTMADJ.</t>
  </si>
  <si>
    <t>ALTMT-LDGR-KEY.</t>
  </si>
  <si>
    <t>VOU-DTE.</t>
  </si>
  <si>
    <t>VOU-YR</t>
  </si>
  <si>
    <t>VOU-MO</t>
  </si>
  <si>
    <t>VOU-DAY</t>
  </si>
  <si>
    <t>VOU-NBR</t>
  </si>
  <si>
    <t>TRNSCTN-CDE-UPDTE</t>
  </si>
  <si>
    <t>DTE-BLK-PROC-CTRY</t>
  </si>
  <si>
    <t>STAT-CDE</t>
  </si>
  <si>
    <t>UPDTE-CDE-GL</t>
  </si>
  <si>
    <t>PREPR-INIT</t>
  </si>
  <si>
    <t>ADDTNL-RMRKS</t>
  </si>
  <si>
    <t>X(48).</t>
  </si>
  <si>
    <t>ADJMT-USER-ID</t>
  </si>
  <si>
    <t>NBR-OF-OCCURS</t>
  </si>
  <si>
    <t>S9(4)</t>
  </si>
  <si>
    <t>ALTMT-LDGR-DTL</t>
  </si>
  <si>
    <t>DEPENDING</t>
  </si>
  <si>
    <t>NBR-OF-OCCURS.</t>
  </si>
  <si>
    <t>ALTMT-KEY.</t>
  </si>
  <si>
    <t>PPB-OBLGN-EXPNTR-CDE.</t>
  </si>
  <si>
    <t>PROG-PLANG-BDGTG-CDE.</t>
  </si>
  <si>
    <t>OBLGN-EXPNTR-CDE.</t>
  </si>
  <si>
    <t>NBR-LNS-ADJD</t>
  </si>
  <si>
    <t>S9(06)</t>
  </si>
  <si>
    <t>VOU-ADJMT-AMT</t>
  </si>
  <si>
    <t>OBLGN-TTL-AMT</t>
  </si>
  <si>
    <t>GRP-OF-ALTMT-CDE</t>
  </si>
  <si>
    <t>X(0007).</t>
  </si>
  <si>
    <t>FARMS-ALTMADJ-NEW.</t>
  </si>
  <si>
    <t>AGCY-VOU-NBR.</t>
  </si>
  <si>
    <t>ALTMT-LDGR-ADJMT-DTL</t>
  </si>
  <si>
    <t>ALTMT-KEY-EXPND.</t>
  </si>
  <si>
    <t>APROPTN-CDE-EXPND</t>
  </si>
  <si>
    <t>MAJ-CLS-EXPND</t>
  </si>
  <si>
    <t>VOU-AMT-ADJMT</t>
  </si>
  <si>
    <t>S9(12)V99</t>
  </si>
  <si>
    <t>OBLGN-AMT-ADJMT</t>
  </si>
  <si>
    <t>ALTMT-AMT-ADJMT</t>
  </si>
  <si>
    <t>X(0010).</t>
  </si>
  <si>
    <t>FARMS-ALTMT.</t>
  </si>
  <si>
    <t>FARMS-AMORTD-CST.</t>
  </si>
  <si>
    <t>DTE-OF-CHG-LST-PYMT</t>
  </si>
  <si>
    <t>PRIN-UNPD-EACH-CHG</t>
  </si>
  <si>
    <t>RECVRBL-CST-MTLY-INSTLMT</t>
  </si>
  <si>
    <t>MO-YR-1ST-INSTLMT</t>
  </si>
  <si>
    <t>INSTLMTS-PD-CNT</t>
  </si>
  <si>
    <t>AMORTN-PRD-AMORTD-CST</t>
  </si>
  <si>
    <t>FARMS-APROPTN-LOOKUP.</t>
  </si>
  <si>
    <t>APROPTN-LOOKUP-KEY.</t>
  </si>
  <si>
    <t>APROPTN-MAJ-CLS-CDE.</t>
  </si>
  <si>
    <t>APROPTN-SYM</t>
  </si>
  <si>
    <t>X(14).</t>
  </si>
  <si>
    <t>APROPTN-TITLE</t>
  </si>
  <si>
    <t>X(54).</t>
  </si>
  <si>
    <t>FARMS-ASSISTANCE.</t>
  </si>
  <si>
    <t>INT-ASSTNC-CUM-AMT</t>
  </si>
  <si>
    <t>YR-INT-ASSTNC-AGRMT-EXPRTN</t>
  </si>
  <si>
    <t>MO-INT-ASSTNC-AGRMT-EXPRTN</t>
  </si>
  <si>
    <t>INT-ASSTNC-RECPTR-CDE</t>
  </si>
  <si>
    <t>INT-ASSTNC-INSTLMT-NEXT-AMT</t>
  </si>
  <si>
    <t>YR-NEXT-INT-ASSTNC-INSTLMT</t>
  </si>
  <si>
    <t>ASSTNC-SAVE-INSTLMTS</t>
  </si>
  <si>
    <t>YR-INSTLMT-DUE-SAVE</t>
  </si>
  <si>
    <t>INSTLMT-DUE-AMT-SAVE</t>
  </si>
  <si>
    <t>FARMS-ASSOC-PRIN-BOND.</t>
  </si>
  <si>
    <t>FARMS-CASE.</t>
  </si>
  <si>
    <t>CASE-NBR</t>
  </si>
  <si>
    <t>CASE-ID.</t>
  </si>
  <si>
    <t>X(1)</t>
  </si>
  <si>
    <t>SPACE.</t>
  </si>
  <si>
    <t>FARMS-CDEJUNC.</t>
  </si>
  <si>
    <t>FD-2-KIND-CDE.</t>
  </si>
  <si>
    <t>KIND-CDE-BORR</t>
  </si>
  <si>
    <t>FARMS-CDESTR.</t>
  </si>
  <si>
    <t>SRC-FDS-TYP-ASSTNC-CDE.</t>
  </si>
  <si>
    <t>SRC-FDS-CDE</t>
  </si>
  <si>
    <t>PURP-TYP-CDES</t>
  </si>
  <si>
    <t>TYP-PURP-CDE</t>
  </si>
  <si>
    <t>SBSY-APROPTN-CDE</t>
  </si>
  <si>
    <t>SBSY-PROG-PLANG-BDGTG-CDE</t>
  </si>
  <si>
    <t>CR-RFM-OBJ-CLS-CDE</t>
  </si>
  <si>
    <t>BDWN-INT-ASSTNC-APROPTN</t>
  </si>
  <si>
    <t>BDWN-INT-ASSTNC-MAJ-CLS</t>
  </si>
  <si>
    <t>BDWN-INT-ASSTNC-OBJ-CLS</t>
  </si>
  <si>
    <t>BDWN-INT-ASSTNC-PPB</t>
  </si>
  <si>
    <t>FINCG-SBSY-APROPTN-CDE</t>
  </si>
  <si>
    <t>NEG-SBSY-PURP-CDE</t>
  </si>
  <si>
    <t>NEG-SBSY-OBJ-CLS</t>
  </si>
  <si>
    <t>X(0035).</t>
  </si>
  <si>
    <t>FARMS-CHECKS.</t>
  </si>
  <si>
    <t>CK-STAT-CDE</t>
  </si>
  <si>
    <t>ASSOC-ADVNC-CLSG-CDE</t>
  </si>
  <si>
    <t>DTE-CK-SORT</t>
  </si>
  <si>
    <t>SBSY-AMT-DISBRSED</t>
  </si>
  <si>
    <t>EFT-STAT-CDE</t>
  </si>
  <si>
    <t>FARMS-CK-CNTRL.</t>
  </si>
  <si>
    <t>CK-ISS-TTL</t>
  </si>
  <si>
    <t>FRADS-CK-TTL</t>
  </si>
  <si>
    <t>CR-REPT-FEE-TTL</t>
  </si>
  <si>
    <t>RENTL-ASSTNC-LN-CK-TTL</t>
  </si>
  <si>
    <t>DLY-LN-CK-TTL</t>
  </si>
  <si>
    <t>REFUND-CK-TTL</t>
  </si>
  <si>
    <t>FRADS-LN-CK-TTL</t>
  </si>
  <si>
    <t>FARMS-CK-INFO.</t>
  </si>
  <si>
    <t>MAILG-OFC.</t>
  </si>
  <si>
    <t>ST-MAILG-LVL</t>
  </si>
  <si>
    <t>DST-MAILG-LVL</t>
  </si>
  <si>
    <t>CTY-MAILG-LVL</t>
  </si>
  <si>
    <t>CTY-SPECL-LVL</t>
  </si>
  <si>
    <t>DST-SPECL-LVL</t>
  </si>
  <si>
    <t>ST-SPECL-LVL</t>
  </si>
  <si>
    <t>MAILG-CDE.</t>
  </si>
  <si>
    <t>CASE-NBR.</t>
  </si>
  <si>
    <t>X(0001).</t>
  </si>
  <si>
    <t>FARMS-CK-INFO-FRADS.</t>
  </si>
  <si>
    <t>FARMS-CLIENT.</t>
  </si>
  <si>
    <t>CASE-NBR-OBLR</t>
  </si>
  <si>
    <t>ST-CTY-OBLR</t>
  </si>
  <si>
    <t>MAILG-OFC-CLIENT.</t>
  </si>
  <si>
    <t>MAILG-LVL-CLIENT</t>
  </si>
  <si>
    <t>ST-MAILG-LVL-CLIENT</t>
  </si>
  <si>
    <t>DST-MAILG-LVL-CLIENT</t>
  </si>
  <si>
    <t>CTY-MAILG-LVL-CLIENT</t>
  </si>
  <si>
    <t>CTY-SPECL-LVL-CLIENT</t>
  </si>
  <si>
    <t>DST-SPECL-LVL-CLIENT</t>
  </si>
  <si>
    <t>ST-SPECL-LVL-CLIENT</t>
  </si>
  <si>
    <t>MAILG-CDE-CLIENT.</t>
  </si>
  <si>
    <t>ST-OFC-MAILG-CLIENT</t>
  </si>
  <si>
    <t>CTY-OFC-MAILG-CLIENT</t>
  </si>
  <si>
    <t>DST-OFC-MAILG-CLIENT</t>
  </si>
  <si>
    <t>ADRS-FLDS-BORR-CNT</t>
  </si>
  <si>
    <t>NME-OBLR-GRP-1.</t>
  </si>
  <si>
    <t>NME-ADRS-OBLR-1</t>
  </si>
  <si>
    <t>NME-ADRS-OBLR-2</t>
  </si>
  <si>
    <t>NME-OBLR-GRP-2</t>
  </si>
  <si>
    <t>NME-OBLR-KEY</t>
  </si>
  <si>
    <t>X(0037).</t>
  </si>
  <si>
    <t>NME-ADRS-OBLR-3</t>
  </si>
  <si>
    <t>NME-ADRS-OBLR-4</t>
  </si>
  <si>
    <t>ZIP-CDE</t>
  </si>
  <si>
    <t>MRTL-STAT</t>
  </si>
  <si>
    <t>TAX-EXEMPT-CDE</t>
  </si>
  <si>
    <t>VET-CDE</t>
  </si>
  <si>
    <t>DUE-DAY-PYMT</t>
  </si>
  <si>
    <t>APPLT-TYP-CDE</t>
  </si>
  <si>
    <t>NET-WORTH-AMT</t>
  </si>
  <si>
    <t>S9(08)</t>
  </si>
  <si>
    <t>LN-NBR-LST-ASGD</t>
  </si>
  <si>
    <t>RCRD-LN-CNT</t>
  </si>
  <si>
    <t>LN-CNT-EE</t>
  </si>
  <si>
    <t>LN-CNT-OTC</t>
  </si>
  <si>
    <t>LN-CNT-INSRD-FO</t>
  </si>
  <si>
    <t>LN-CNT-DIR-FO</t>
  </si>
  <si>
    <t>LN-CNT-INSRD-SW</t>
  </si>
  <si>
    <t>LN-CNT-DIR-SW</t>
  </si>
  <si>
    <t>LN-CNT-INSRD-RH</t>
  </si>
  <si>
    <t>LN-CNT-DIR-RH</t>
  </si>
  <si>
    <t>LN-CNT-INVSTR</t>
  </si>
  <si>
    <t>LN-CNT-ASSOC</t>
  </si>
  <si>
    <t>SUSP-CDE-ACCT</t>
  </si>
  <si>
    <t>SIS-TRF-CDE</t>
  </si>
  <si>
    <t>EMPL-RELTNSHP-CDE</t>
  </si>
  <si>
    <t>LRTF-SRVCG-CDE</t>
  </si>
  <si>
    <t>MAILG-OFC-FSA.</t>
  </si>
  <si>
    <t>MAILG-LVL-FSA</t>
  </si>
  <si>
    <t>ST-MAILG-LVL-FSA</t>
  </si>
  <si>
    <t>DST-MAILG-LVL-FSA</t>
  </si>
  <si>
    <t>CTY-MAILG-LVL-FSA</t>
  </si>
  <si>
    <t>CTY-SPECL-LVL-FSA</t>
  </si>
  <si>
    <t>DST-SPECL-LVL-FSA</t>
  </si>
  <si>
    <t>ST-SPECL-LVL-FSA</t>
  </si>
  <si>
    <t>MAILG-CDE-FSA.</t>
  </si>
  <si>
    <t>ST-OFC-MAILG-FSA</t>
  </si>
  <si>
    <t>CTY-OFC-MAILG-FSA</t>
  </si>
  <si>
    <t>DST-OFC-MAILG-FSA</t>
  </si>
  <si>
    <t>ORGZTN-CDE</t>
  </si>
  <si>
    <t>DTE-OAC-ESTBD</t>
  </si>
  <si>
    <t>DTE-OAC-RSLVD</t>
  </si>
  <si>
    <t>DTE-OAC-MRTM-EFCTV</t>
  </si>
  <si>
    <t>PREVL-INDCTR</t>
  </si>
  <si>
    <t>NBR-COMPLNTS</t>
  </si>
  <si>
    <t>X(0009).</t>
  </si>
  <si>
    <t>FARMS-CLIENT-SFSI.</t>
  </si>
  <si>
    <t>FP-CLSFCTN-CDE</t>
  </si>
  <si>
    <t>FP-EST-LOSS-AMT</t>
  </si>
  <si>
    <t>FP-DTE-LST-CLSFD</t>
  </si>
  <si>
    <t>RH-CLSFCTN-CDE</t>
  </si>
  <si>
    <t>RH-EST-LOSS-AMT</t>
  </si>
  <si>
    <t>RH-DTE-LST-CLSFD</t>
  </si>
  <si>
    <t>RH-SCRTY-CDE</t>
  </si>
  <si>
    <t>RH-SCRTY-VLU</t>
  </si>
  <si>
    <t>SIS-TRF-DTE</t>
  </si>
  <si>
    <t>SIS-TRF-ACTN-CDE</t>
  </si>
  <si>
    <t>TRNG-CDE</t>
  </si>
  <si>
    <t>DTE-TRNG-EFCTV</t>
  </si>
  <si>
    <t>DTE-TRNG-EXPRTN</t>
  </si>
  <si>
    <t>DTE-TRNG-COMPLTN</t>
  </si>
  <si>
    <t>DTE-TRNG-CDE-PROCD</t>
  </si>
  <si>
    <t>CLIENT-FILL</t>
  </si>
  <si>
    <t>X(34).</t>
  </si>
  <si>
    <t>FARMS-COHORT.</t>
  </si>
  <si>
    <t>COHORT-CDE</t>
  </si>
  <si>
    <t>X(0097).</t>
  </si>
  <si>
    <t>FARMS-CRBUR.</t>
  </si>
  <si>
    <t>CR-BUR-STAT-CDE</t>
  </si>
  <si>
    <t>DTE-LST-REPTD</t>
  </si>
  <si>
    <t>PR-CR-BUR-STAT-CDE</t>
  </si>
  <si>
    <t>LST-DTE-PR-STAT-CDE-REPTD</t>
  </si>
  <si>
    <t>DTE-INIT-REPT</t>
  </si>
  <si>
    <t>DTE-PAST-DUE-LST</t>
  </si>
  <si>
    <t>DTE-LST-RGSTR</t>
  </si>
  <si>
    <t>DTE-LST-PYMT</t>
  </si>
  <si>
    <t>AMT-PAST-DUE-CB</t>
  </si>
  <si>
    <t>9(07)V99</t>
  </si>
  <si>
    <t>UNPD-PRIN-AMT-CB</t>
  </si>
  <si>
    <t>UNPD-INT-AMT-CB</t>
  </si>
  <si>
    <t>STOP-CDE</t>
  </si>
  <si>
    <t>DTE-LST-STOP-ESTBD</t>
  </si>
  <si>
    <t>NBR-STOPS-ESTBD</t>
  </si>
  <si>
    <t>NBR-OF-60-DAY-NOTCS-SENT</t>
  </si>
  <si>
    <t>DTE-60-DAY-NOTC-SENT</t>
  </si>
  <si>
    <t>ADRS-CHNG-CDE</t>
  </si>
  <si>
    <t>CR-BUR-TRNSCTN-TYP</t>
  </si>
  <si>
    <t>SPECL-CMMTS-CDE</t>
  </si>
  <si>
    <t>LGTH-OF-LN</t>
  </si>
  <si>
    <t>DTE-OF-DSPT</t>
  </si>
  <si>
    <t>NBR-OF-DSPTS</t>
  </si>
  <si>
    <t>DTE-DSPT-RSLVD</t>
  </si>
  <si>
    <t>ASSOC-CDE</t>
  </si>
  <si>
    <t>DLTN-CDE</t>
  </si>
  <si>
    <t>DTE-DLTD</t>
  </si>
  <si>
    <t>NBR-TIMES-DLTD</t>
  </si>
  <si>
    <t>LN-AMT</t>
  </si>
  <si>
    <t>DTE-CLSG</t>
  </si>
  <si>
    <t>CRDT-MTURTY-DTE</t>
  </si>
  <si>
    <t>CRDT-PYMT-FREQ</t>
  </si>
  <si>
    <t>X(0033).</t>
  </si>
  <si>
    <t>FARMS-CRCLAIMS.</t>
  </si>
  <si>
    <t>CRC-CLM-NBR</t>
  </si>
  <si>
    <t>CITY-NME</t>
  </si>
  <si>
    <t>ZIP-CDE-GRP.</t>
  </si>
  <si>
    <t>ZIP-CDE-LST-4</t>
  </si>
  <si>
    <t>DTE-CRC-ADJDCTR-DECSN</t>
  </si>
  <si>
    <t>DTE-CRC-RCVD-OGC</t>
  </si>
  <si>
    <t>DTE-CRC-RCVD-FLP</t>
  </si>
  <si>
    <t>CRC-WRTF-INDCTR</t>
  </si>
  <si>
    <t>DTE-CRC-FO-LN-PRRTY-RQSTD</t>
  </si>
  <si>
    <t>CRC-FO-LN-RQSTD-ST-CTY</t>
  </si>
  <si>
    <t>DTE-CRC-FO-LN-SBMTD</t>
  </si>
  <si>
    <t>DTE-CRC-FO-LN-APPRVD</t>
  </si>
  <si>
    <t>DTE-CRC-FO-LN-DENIED</t>
  </si>
  <si>
    <t>CRC-FO-APPEAL-INDCTR</t>
  </si>
  <si>
    <t>DTE-CRC-FO-LN-CLSG</t>
  </si>
  <si>
    <t>CRC-FO-LN-AMT</t>
  </si>
  <si>
    <t>DTE-CRC-OL-LN-PRRTY-RQSTD</t>
  </si>
  <si>
    <t>CRC-OL-LN-RQSTD-ST-CTY</t>
  </si>
  <si>
    <t>DTE-CRC-OL-LN-SBMTD</t>
  </si>
  <si>
    <t>DTE-CRC-OL-LN-APPRVD</t>
  </si>
  <si>
    <t>DTE-CRC-OL-LN-DENIED</t>
  </si>
  <si>
    <t>CRC-OL-APPEAL-INDCTR</t>
  </si>
  <si>
    <t>DTE-CRC-OL-LN-CLSG</t>
  </si>
  <si>
    <t>CRC-OL-LN-AMT</t>
  </si>
  <si>
    <t>DTE-CRC-LSE-PURCH-RQSTD</t>
  </si>
  <si>
    <t>CRC-LSE-PURCH-ST-CTY</t>
  </si>
  <si>
    <t>DTE-CRC-LSE-PURCH-SBMTD</t>
  </si>
  <si>
    <t>DTE-CRC-LSE-PURCH-APPRVD</t>
  </si>
  <si>
    <t>DTE-CRC-LSE-PURCH-DENIED</t>
  </si>
  <si>
    <t>CRC-LSE-PURCH-INDCTR</t>
  </si>
  <si>
    <t>DTE-CRC-LSE-PURCH-CLSG</t>
  </si>
  <si>
    <t>CRC-LSE-PURCH-AMT</t>
  </si>
  <si>
    <t>WRTF-CUM-AMT</t>
  </si>
  <si>
    <t>S9(11)V99</t>
  </si>
  <si>
    <t>DTE-LST-UPDTE</t>
  </si>
  <si>
    <t>USER-ID.</t>
  </si>
  <si>
    <t>AUTHY-CDE-TRML-OPRTR</t>
  </si>
  <si>
    <t>PRFCY-LVL-TRML-OPRTR</t>
  </si>
  <si>
    <t>NO-UP-AUTHTY-CDE</t>
  </si>
  <si>
    <t>0'.</t>
  </si>
  <si>
    <t>UP-AUTHTY-CDE</t>
  </si>
  <si>
    <t>1'.</t>
  </si>
  <si>
    <t>ID-TRML-OPRTR</t>
  </si>
  <si>
    <t>PRRTY-ELGBLTY-CDE</t>
  </si>
  <si>
    <t>CRC-YR-TYP-DSCRMTN-CLMD</t>
  </si>
  <si>
    <t>CRC-YR-DSCRMTN-CLMD</t>
  </si>
  <si>
    <t>LN-TYP-ABBR</t>
  </si>
  <si>
    <t>A(2).</t>
  </si>
  <si>
    <t>DTE-CRC-PRRTY-LTR-PROCD</t>
  </si>
  <si>
    <t>DTE-CRC-FO-APPEAL-DECSN</t>
  </si>
  <si>
    <t>DTE-CRC-OL-APPEAL-DECSN</t>
  </si>
  <si>
    <t>DTE-CRC-LSE-APPEAL-DECSN</t>
  </si>
  <si>
    <t>FARMS-CRRATE.</t>
  </si>
  <si>
    <t>CR-RFM-DTE.</t>
  </si>
  <si>
    <t>CR-RFM-YR</t>
  </si>
  <si>
    <t>CR-RFM-MO</t>
  </si>
  <si>
    <t>CR-RFM-DAY</t>
  </si>
  <si>
    <t>CR-RFM-RATE</t>
  </si>
  <si>
    <t>RCRD-TYP-CDE</t>
  </si>
  <si>
    <t>FARMS-CTY-LOOKUP.</t>
  </si>
  <si>
    <t>ST-CDE-FMHA</t>
  </si>
  <si>
    <t>CTY-CDE-FMHA</t>
  </si>
  <si>
    <t>SRVCG-OFC-CDE-CTY</t>
  </si>
  <si>
    <t>FIPS-ST-CDE</t>
  </si>
  <si>
    <t>FIPS-CTY-CDE</t>
  </si>
  <si>
    <t>DST-SRVCG-CDE</t>
  </si>
  <si>
    <t>NME-CTY</t>
  </si>
  <si>
    <t>HQ-TWN</t>
  </si>
  <si>
    <t>ST-ABBR</t>
  </si>
  <si>
    <t>ORGZTN-STRUC</t>
  </si>
  <si>
    <t>CONG-DST-CDE-CTY</t>
  </si>
  <si>
    <t>9(9).</t>
  </si>
  <si>
    <t>ADRS-MAILG-CTY-OFC</t>
  </si>
  <si>
    <t>X(36).</t>
  </si>
  <si>
    <t>ZIP-CDE-CTY-OFC</t>
  </si>
  <si>
    <t>FARMS-DALLOT.</t>
  </si>
  <si>
    <t>DISTRBN-TTL-1ST-ACCTG-PRD</t>
  </si>
  <si>
    <t>DISTRBN-TTL-2ND-ACCTG-PRD</t>
  </si>
  <si>
    <t>DISTRBN-TTL-3RD-ACCTG-PRD</t>
  </si>
  <si>
    <t>DISTRBN-TTL-4TH-ACCTG-PRD</t>
  </si>
  <si>
    <t>FARMS-DALLOT-DTL.</t>
  </si>
  <si>
    <t>DALLOT-DTL-KEY.</t>
  </si>
  <si>
    <t>LVL-CDE</t>
  </si>
  <si>
    <t>DISTRBN-CUR</t>
  </si>
  <si>
    <t>DISTRBN-TYP-CDE</t>
  </si>
  <si>
    <t>DISTRBN-ST-1ST-ACCTG-PRD</t>
  </si>
  <si>
    <t>DISTRBN-ST-2ND-ACCTG-PRD</t>
  </si>
  <si>
    <t>DISTRBN-ST-3RD-ACCTG-PRD</t>
  </si>
  <si>
    <t>DISTRBN-ST-4TH-ACCTG-PRD</t>
  </si>
  <si>
    <t>DISTRBN-SBSZD-RH-NEW</t>
  </si>
  <si>
    <t>DISTRBN-SBSZD-RH-OLD</t>
  </si>
  <si>
    <t>DISTRBN-SBSZD-RRH</t>
  </si>
  <si>
    <t>DISTRBN-UNSBSZD-HSG</t>
  </si>
  <si>
    <t>DISTRBN-INSRD-OL</t>
  </si>
  <si>
    <t>DISTRBN-GUAR-OL</t>
  </si>
  <si>
    <t>DISTRBN-LMTD-RESRCS-OL</t>
  </si>
  <si>
    <t>DISTRBN-INSRD-FO</t>
  </si>
  <si>
    <t>DISTRBN-GUAR-FO</t>
  </si>
  <si>
    <t>DISTRBN-LMTD-RESRCS-FO</t>
  </si>
  <si>
    <t>DISTRBN-AMT</t>
  </si>
  <si>
    <t>X(0034).</t>
  </si>
  <si>
    <t>FARMS-DALLOT-OBLGN.</t>
  </si>
  <si>
    <t>FARMS-DALLOT-OTH.</t>
  </si>
  <si>
    <t>FARMS-DAPROC.</t>
  </si>
  <si>
    <t>VARBL-DATA</t>
  </si>
  <si>
    <t>X(220).</t>
  </si>
  <si>
    <t>FARMS-DISCRP.</t>
  </si>
  <si>
    <t>TRNSCTN-VARBL-DATA</t>
  </si>
  <si>
    <t>X(57).</t>
  </si>
  <si>
    <t>CARD-NBR</t>
  </si>
  <si>
    <t>CARD-TYP</t>
  </si>
  <si>
    <t>DTE-EFCTV.</t>
  </si>
  <si>
    <t>MO-GRGRN</t>
  </si>
  <si>
    <t>DAY-GRGRN</t>
  </si>
  <si>
    <t>DISCRP-CDE</t>
  </si>
  <si>
    <t>PROCG-SEQNC-NBR</t>
  </si>
  <si>
    <t>PROCG-SEQNC-NBR-ORIG</t>
  </si>
  <si>
    <t>PROCG-TYP-CDE</t>
  </si>
  <si>
    <t>DLT-REAS-CDE</t>
  </si>
  <si>
    <t>ACTN-PNDG-CDE</t>
  </si>
  <si>
    <t>AUTHY-CDE</t>
  </si>
  <si>
    <t>RJCTD-REAS</t>
  </si>
  <si>
    <t>USER-BAL-AMT</t>
  </si>
  <si>
    <t>S9(8)V99.</t>
  </si>
  <si>
    <t>TRNSCTN-NBR-TIMES-RJCTED</t>
  </si>
  <si>
    <t>BLK-NBR-ORIG</t>
  </si>
  <si>
    <t>PROC-DTE.</t>
  </si>
  <si>
    <t>PROC-DTE-ORIG</t>
  </si>
  <si>
    <t>PROC-DTE-JULIAN-ORIG</t>
  </si>
  <si>
    <t>TRNSCTN-SEQNC-NBR</t>
  </si>
  <si>
    <t>X(5).</t>
  </si>
  <si>
    <t>JURDCTN-CDE.</t>
  </si>
  <si>
    <t>JURDCTN-ST-CDE</t>
  </si>
  <si>
    <t>JURDCTN-UNIT-CDE</t>
  </si>
  <si>
    <t>MANUSCRIPT-CDE</t>
  </si>
  <si>
    <t>SYS-BAL-AMT</t>
  </si>
  <si>
    <t>PR-BLK-NBR</t>
  </si>
  <si>
    <t>DTE-LST-ACTV</t>
  </si>
  <si>
    <t>FARMS-DISCRP-MISC.</t>
  </si>
  <si>
    <t>JURDCTN-CDE-PR</t>
  </si>
  <si>
    <t>BRNH-CDE</t>
  </si>
  <si>
    <t>CASE-NBR-OLD</t>
  </si>
  <si>
    <t>9(15).</t>
  </si>
  <si>
    <t>POST-SWITCH</t>
  </si>
  <si>
    <t>LAST-PROCG-CDE</t>
  </si>
  <si>
    <t>WORK-FIL</t>
  </si>
  <si>
    <t>FARMS-DSTR-SETASD.</t>
  </si>
  <si>
    <t>DCLRD-NBR</t>
  </si>
  <si>
    <t>DTE-INSTLMT-DUE</t>
  </si>
  <si>
    <t>DTE-CNCLTN.</t>
  </si>
  <si>
    <t>CNCLTN-MO</t>
  </si>
  <si>
    <t>CNCLTN-DAY</t>
  </si>
  <si>
    <t>CNCLTN-YR</t>
  </si>
  <si>
    <t>PRIN-AMT</t>
  </si>
  <si>
    <t>INT-AMT</t>
  </si>
  <si>
    <t>INT-FCL-LN</t>
  </si>
  <si>
    <t>UNPD-CHG-ADVNC-FD</t>
  </si>
  <si>
    <t>INT-ADVNC-FD</t>
  </si>
  <si>
    <t>INT-FCL-ADVNC-FD</t>
  </si>
  <si>
    <t>NON-CPTLZD-INT-INSTLMT</t>
  </si>
  <si>
    <t>DFRD-NCPTLZD-INT-INSTLMT</t>
  </si>
  <si>
    <t>DFRD-INT-INSTLMT</t>
  </si>
  <si>
    <t>PRIN-CR-LN</t>
  </si>
  <si>
    <t>INT-CR-LN</t>
  </si>
  <si>
    <t>NON-CPTLZD-INT-CR-AMT</t>
  </si>
  <si>
    <t>CR-DFRD-NON-CPTLZD-INT</t>
  </si>
  <si>
    <t>INT-CR-DFRD-LN</t>
  </si>
  <si>
    <t>UNPD-INSRNC-CHG</t>
  </si>
  <si>
    <t>PRIN-CR-INSRNC-CHG-CUM</t>
  </si>
  <si>
    <t>UNAPL-INT</t>
  </si>
  <si>
    <t>UNAPL-NON-CPTLZD-INT</t>
  </si>
  <si>
    <t>UNAPL-DFRD-NON-CPTLZD-INT</t>
  </si>
  <si>
    <t>UNAPL-DFRD-INT</t>
  </si>
  <si>
    <t>CNCLD-TTL</t>
  </si>
  <si>
    <t>INSTLMT-TTL</t>
  </si>
  <si>
    <t>ORIG-UNAPL-INT</t>
  </si>
  <si>
    <t>ORIG-UNAPL-NON-CPTLZD-INT</t>
  </si>
  <si>
    <t>ORIG-UNAPL-DFRD-INT</t>
  </si>
  <si>
    <t>ORIG-UNAPL-DFRD-NONCAP</t>
  </si>
  <si>
    <t>DTE-LST-NON-CSH-CR</t>
  </si>
  <si>
    <t>X(0003).</t>
  </si>
  <si>
    <t>FARMS-DTEREC.</t>
  </si>
  <si>
    <t>DTE-COHORT.</t>
  </si>
  <si>
    <t>DTE-CTRY-YR.</t>
  </si>
  <si>
    <t>EFCTV-DTE-CTRY</t>
  </si>
  <si>
    <t>YR-GRGRN</t>
  </si>
  <si>
    <t>X(0032).</t>
  </si>
  <si>
    <t>FARMS-DTL-RATE.</t>
  </si>
  <si>
    <t>DTL-KEY.</t>
  </si>
  <si>
    <t>FY-OBLGN-OCCURD.</t>
  </si>
  <si>
    <t>FY-OBLGN-1</t>
  </si>
  <si>
    <t>FY-OBLGN-2</t>
  </si>
  <si>
    <t>ST-CDE</t>
  </si>
  <si>
    <t>NBR-SBSY-LNS</t>
  </si>
  <si>
    <t>FP-SBSY-AVG-CALC-ONE</t>
  </si>
  <si>
    <t>S9(14)</t>
  </si>
  <si>
    <t>FP-SBSY-AVG-CALC-TWO</t>
  </si>
  <si>
    <t>SBSY-RATE</t>
  </si>
  <si>
    <t>9(08)V9999</t>
  </si>
  <si>
    <t>X(0044).</t>
  </si>
  <si>
    <t>FARMS-EASMNT.</t>
  </si>
  <si>
    <t>ACRES-EASD-CROP</t>
  </si>
  <si>
    <t>S9(05)V9</t>
  </si>
  <si>
    <t>ACRES-EASD-PSTR</t>
  </si>
  <si>
    <t>ACRES-EASD-WDLND</t>
  </si>
  <si>
    <t>ACRES-EASD-OTH</t>
  </si>
  <si>
    <t>FED-TYP-EASMNT</t>
  </si>
  <si>
    <t>FED-PURP-EASMNT</t>
  </si>
  <si>
    <t>FED-DTE-EASMNT</t>
  </si>
  <si>
    <t>FED-EASMNT-APPRSL-AMT</t>
  </si>
  <si>
    <t>FED-EASMNT-VLU</t>
  </si>
  <si>
    <t>ST-TYP-EASMNT</t>
  </si>
  <si>
    <t>ST-PURP-EASMNT</t>
  </si>
  <si>
    <t>ST-DTE-EASMNT</t>
  </si>
  <si>
    <t>ST-EASMNT-APPRSL-AMT</t>
  </si>
  <si>
    <t>ST-EASMNT-VLU</t>
  </si>
  <si>
    <t>LOC-TYP-EASMNT</t>
  </si>
  <si>
    <t>LOC-PURP-EASMNT</t>
  </si>
  <si>
    <t>LOC-DTE-EASMNT</t>
  </si>
  <si>
    <t>LOC-EASMNT-APPRSL-AMT</t>
  </si>
  <si>
    <t>LOC-EASMNT-VLU</t>
  </si>
  <si>
    <t>FARMS-EQTYRVRS.</t>
  </si>
  <si>
    <t>FD-CDE-NEW-SHRD-APRCTN-LN.</t>
  </si>
  <si>
    <t>PRTL-SALE-RVRSL-DATA.</t>
  </si>
  <si>
    <t>FARMS-EQUITY.</t>
  </si>
  <si>
    <t>STTLMT-CDE.</t>
  </si>
  <si>
    <t>X(0025).</t>
  </si>
  <si>
    <t>FARMS-FD-SIDE.</t>
  </si>
  <si>
    <t>FARMS-FDCDE.</t>
  </si>
  <si>
    <t>X(0036).</t>
  </si>
  <si>
    <t>FARMS-GLBORR.</t>
  </si>
  <si>
    <t>BORR-KEY.</t>
  </si>
  <si>
    <t>RCVB-NBR</t>
  </si>
  <si>
    <t>BORR-RCRD-TYP-1.</t>
  </si>
  <si>
    <t>APPLT-TYP-CDE-GUARNTD</t>
  </si>
  <si>
    <t>X(0759).</t>
  </si>
  <si>
    <t>BORR-RCRD-TYP-2</t>
  </si>
  <si>
    <t>ABBR-LN-TYP</t>
  </si>
  <si>
    <t>OBLGN-LN-NBR</t>
  </si>
  <si>
    <t>DSTR-DCLRD-CDE-GUARNTD.</t>
  </si>
  <si>
    <t>LN-ORGN-CDE</t>
  </si>
  <si>
    <t>2ND-OF-LN-RCRD.</t>
  </si>
  <si>
    <t>GUARNTD-LN-AMT</t>
  </si>
  <si>
    <t>ADVNCS-TO-DTE</t>
  </si>
  <si>
    <t>PRIN-CR-GUARNTD-LN</t>
  </si>
  <si>
    <t>ACCRD-INT-GUARNTD-LN</t>
  </si>
  <si>
    <t>CLSG-ADJMT-AMT</t>
  </si>
  <si>
    <t>DTE-GUAR-BEGN</t>
  </si>
  <si>
    <t>DTE-GUAR-END</t>
  </si>
  <si>
    <t>DTE-FNL-ADVNC</t>
  </si>
  <si>
    <t>BORR-INT-RATE</t>
  </si>
  <si>
    <t>S99V9999</t>
  </si>
  <si>
    <t>LNDR-INT-RATE</t>
  </si>
  <si>
    <t>VARBL-INT-RATE-CDE</t>
  </si>
  <si>
    <t>INT-BAS</t>
  </si>
  <si>
    <t>S9(03)</t>
  </si>
  <si>
    <t>PCT-LOSS-GUAR</t>
  </si>
  <si>
    <t>S999V9999</t>
  </si>
  <si>
    <t>CNTRC-TYP-CDE</t>
  </si>
  <si>
    <t>LINE-OF-CR-CDE</t>
  </si>
  <si>
    <t>DBT-ADJMT-CDE</t>
  </si>
  <si>
    <t>ID-NBR-LNDR</t>
  </si>
  <si>
    <t>BRNH-NBR</t>
  </si>
  <si>
    <t>ORIG-ID-NBR-LNDR</t>
  </si>
  <si>
    <t>ORIG-BRNH-NBR</t>
  </si>
  <si>
    <t>GUARNTD-LN-STAT-CDE</t>
  </si>
  <si>
    <t>GUARNTD-LN-SUSP-CDE</t>
  </si>
  <si>
    <t>NTCE-GUAR-EXPRTN</t>
  </si>
  <si>
    <t>NTCE-BDWN-EXPRTN</t>
  </si>
  <si>
    <t>NTCE-2ND-HALF-FEE</t>
  </si>
  <si>
    <t>FEE-PURP-CDE</t>
  </si>
  <si>
    <t>FEE-PD-AMT</t>
  </si>
  <si>
    <t>FEES-CHGD-CUM</t>
  </si>
  <si>
    <t>GUAR-FEE-RATE</t>
  </si>
  <si>
    <t>DTE-DPST-FEE</t>
  </si>
  <si>
    <t>PYMT-STAT-CDE</t>
  </si>
  <si>
    <t>PAST-DUE-PRIN-GUARNTD</t>
  </si>
  <si>
    <t>SCHED-STAT-AMT-GUARNTD</t>
  </si>
  <si>
    <t>DTE-LST-STAT-REPT</t>
  </si>
  <si>
    <t>DTE-TRF-PROCD</t>
  </si>
  <si>
    <t>CASE-NBR-TRFOR.</t>
  </si>
  <si>
    <t>ST-CDE-TRFOR</t>
  </si>
  <si>
    <t>CTY-CDE-TRFOR</t>
  </si>
  <si>
    <t>ID-NBR-TRFOR</t>
  </si>
  <si>
    <t>ASUMPTN-AGRMT-CDE</t>
  </si>
  <si>
    <t>TRF-CDE</t>
  </si>
  <si>
    <t>TRF-FEE-GUARNTD</t>
  </si>
  <si>
    <t>DTE-DPST-TRF-FEE</t>
  </si>
  <si>
    <t>DTE-DLQCY-REPT</t>
  </si>
  <si>
    <t>DLQCY-CDE</t>
  </si>
  <si>
    <t>INT-ASSTNC-CDE</t>
  </si>
  <si>
    <t>SBSY-AREA-OF-LN-RCRD</t>
  </si>
  <si>
    <t>BDWN-CDE</t>
  </si>
  <si>
    <t>BDWN-DTE</t>
  </si>
  <si>
    <t>BEGNG-CUR-SBSY-PRD</t>
  </si>
  <si>
    <t>END-LST-SBSY-PRD</t>
  </si>
  <si>
    <t>SBSY-BEGNG-PRIN</t>
  </si>
  <si>
    <t>PRIN-ADVNC-CUR-PRD</t>
  </si>
  <si>
    <t>PRIN-CR-CUR</t>
  </si>
  <si>
    <t>SBSY-ENDG-PRIN</t>
  </si>
  <si>
    <t>SBSY-BEGNG-INT</t>
  </si>
  <si>
    <t>INT-CR-CUR</t>
  </si>
  <si>
    <t>SBSY-ENDG-INT</t>
  </si>
  <si>
    <t>DTE-LST-SBSY-PD</t>
  </si>
  <si>
    <t>SBSY-PD-LST-PRD</t>
  </si>
  <si>
    <t>SBSY-PD-CUM</t>
  </si>
  <si>
    <t>INT-ASSTNC-AREA-LN-RCRD.</t>
  </si>
  <si>
    <t>DTE-INT-ASSTNC-CNCLTN</t>
  </si>
  <si>
    <t>CUR-INT-ASSTNC-RATE</t>
  </si>
  <si>
    <t>9(2)V9999</t>
  </si>
  <si>
    <t>PYMTS-CUR-PRD</t>
  </si>
  <si>
    <t>S9(02).</t>
  </si>
  <si>
    <t>DTE-OFFSET-ESTBD</t>
  </si>
  <si>
    <t>OFFSET-AMT</t>
  </si>
  <si>
    <t>OFFSET-AMT-PD</t>
  </si>
  <si>
    <t>OFFSET-AMT-MTLY</t>
  </si>
  <si>
    <t>INT-ASSTNC-RECPTR-DUE</t>
  </si>
  <si>
    <t>INT-ASSTNC-RECPTR-PD</t>
  </si>
  <si>
    <t>DTE-INT-ASSTNC-RECPTR-PD</t>
  </si>
  <si>
    <t>INT-ASSTNC-TRMNTN-CDE</t>
  </si>
  <si>
    <t>DTE-ANL-REVW</t>
  </si>
  <si>
    <t>BEGNG-INT-ASSTNC-PRD</t>
  </si>
  <si>
    <t>END-INT-ASSTNC-PRD</t>
  </si>
  <si>
    <t>FP-BEGNG-PRIN</t>
  </si>
  <si>
    <t>FP-AMT-ADVNC-CUR-PRD</t>
  </si>
  <si>
    <t>FP-PRIN-CR-CUR-PRD</t>
  </si>
  <si>
    <t>FP-ENDG-PRIN</t>
  </si>
  <si>
    <t>FP-BEGNG-INT</t>
  </si>
  <si>
    <t>FP-INT-CR-CUR-PRD</t>
  </si>
  <si>
    <t>FP-ENDG-INT</t>
  </si>
  <si>
    <t>DTE-LST-INT-ASSTNC-PD</t>
  </si>
  <si>
    <t>DTE-LST-INT-ASSTNC-FEE-PD</t>
  </si>
  <si>
    <t>INT-ASSTNC-FEES-TTL</t>
  </si>
  <si>
    <t>CUR-INT-ASSTNC-AMT</t>
  </si>
  <si>
    <t>INT-ASSTNC-PD-CUR-PRD</t>
  </si>
  <si>
    <t>INT-ASSTNC-PD-LST-PRD</t>
  </si>
  <si>
    <t>INT-ASSTNC-PD-TTL</t>
  </si>
  <si>
    <t>INT-ASSTNC-TERM</t>
  </si>
  <si>
    <t>FP-INT-ASSTNC-CLSG-DTE</t>
  </si>
  <si>
    <t>LQDTN-AREA-OF-LN-RCRD.</t>
  </si>
  <si>
    <t>DTE-LQDTN-RSPNSBLTY</t>
  </si>
  <si>
    <t>PRTCTVE-ADVNCS</t>
  </si>
  <si>
    <t>APPRSL-FEE-PYMT</t>
  </si>
  <si>
    <t>APPRSL-FEE-REPYMT</t>
  </si>
  <si>
    <t>DTE-APPRSL-FEE-PYMT</t>
  </si>
  <si>
    <t>DTE-REORGN-END</t>
  </si>
  <si>
    <t>DTE-REDCTN-EXPRTN</t>
  </si>
  <si>
    <t>ORIG-MKT-VLU-GUARNTD</t>
  </si>
  <si>
    <t>LOSS-AREA-OF-LN-RCRD</t>
  </si>
  <si>
    <t>LOSS-TYP</t>
  </si>
  <si>
    <t>LOSS-PYMT-TYP</t>
  </si>
  <si>
    <t>DTE-LOSS-PYMT</t>
  </si>
  <si>
    <t>LOSS-PYMT-AMT</t>
  </si>
  <si>
    <t>INT-LOSS-PYMT-AMT</t>
  </si>
  <si>
    <t>INT-EARNED-REFUND</t>
  </si>
  <si>
    <t>DTE-RECVRY-LOSS</t>
  </si>
  <si>
    <t>RECVRY-LOSS-AMT</t>
  </si>
  <si>
    <t>DTE-RECPTR-PYMT</t>
  </si>
  <si>
    <t>RECPTR-PYMT-AMT</t>
  </si>
  <si>
    <t>GUAR-LOSS-PCT-PD</t>
  </si>
  <si>
    <t>CERTFD-LN</t>
  </si>
  <si>
    <t>LNDR-INT-RATE-NON-GUARNTD</t>
  </si>
  <si>
    <t>S99V9(04)</t>
  </si>
  <si>
    <t>AVG-PRIN-BAL</t>
  </si>
  <si>
    <t>X(0038).</t>
  </si>
  <si>
    <t>BORR-RCRD-TYP-3</t>
  </si>
  <si>
    <t>ID-NBR-HLDR</t>
  </si>
  <si>
    <t>NME-HLDR-1</t>
  </si>
  <si>
    <t>X(22).</t>
  </si>
  <si>
    <t>NME-ADRS-HLDR-2</t>
  </si>
  <si>
    <t>NME-ADRS-HLDR-3</t>
  </si>
  <si>
    <t>NME-ADRS-HLDR-4</t>
  </si>
  <si>
    <t>NME-ADRS-HLDR-5</t>
  </si>
  <si>
    <t>ZIP-CDE-HLDR</t>
  </si>
  <si>
    <t>LN-AMT-PURCHD-BY-HLDR</t>
  </si>
  <si>
    <t>DTE-PURCHD</t>
  </si>
  <si>
    <t>PURCHD-REAS</t>
  </si>
  <si>
    <t>PRIN-PD-HLDR</t>
  </si>
  <si>
    <t>INT-PD-HLDR</t>
  </si>
  <si>
    <t>DTE-LST-INT-PD-BY-LNDR</t>
  </si>
  <si>
    <t>SRVC-FEE-PCT</t>
  </si>
  <si>
    <t>PRIN-CRS-RCVB</t>
  </si>
  <si>
    <t>INT-CRS-RCVB</t>
  </si>
  <si>
    <t>DTE-INT-PD-THRU-TO-FMHA</t>
  </si>
  <si>
    <t>LST-PRIN-PYMT-DTE</t>
  </si>
  <si>
    <t>INT-ACCRD-TO-LST-PRIN-DTE</t>
  </si>
  <si>
    <t>DFRD-INT-CRS</t>
  </si>
  <si>
    <t>DFRD-PRIN</t>
  </si>
  <si>
    <t>DFRD-PRIN-CRS</t>
  </si>
  <si>
    <t>DFRD-INT</t>
  </si>
  <si>
    <t>DFRD-INT-INCM</t>
  </si>
  <si>
    <t>DFRD-PRIN-CDE</t>
  </si>
  <si>
    <t>ACCRD-LOST-INCM</t>
  </si>
  <si>
    <t>DTE-DFRD-PRIN-LST-PD</t>
  </si>
  <si>
    <t>DFRD-INT-RATE</t>
  </si>
  <si>
    <t>DTE-DMND</t>
  </si>
  <si>
    <t>SRVC-FEE-AMT</t>
  </si>
  <si>
    <t>SRVC-FEE-PD</t>
  </si>
  <si>
    <t>DTE-PREV-INT-PYMT</t>
  </si>
  <si>
    <t>DTE-PREV-PRIN-PYMT</t>
  </si>
  <si>
    <t>DTE-DFRD-INT</t>
  </si>
  <si>
    <t>UNEARND-SBSY</t>
  </si>
  <si>
    <t>DTE-DMND-FMHA</t>
  </si>
  <si>
    <t>INT-ACCRL-TRMNTN-CDE</t>
  </si>
  <si>
    <t>X(0584).</t>
  </si>
  <si>
    <t>BORR-RCRD-TYP-4</t>
  </si>
  <si>
    <t>BORR-RCRD-TYP-4A.</t>
  </si>
  <si>
    <t>RUN-NBR-CTRL</t>
  </si>
  <si>
    <t>DTE-UPDTE</t>
  </si>
  <si>
    <t>DTE-PREV-UPDTE</t>
  </si>
  <si>
    <t>FILE-PROC-FLAG</t>
  </si>
  <si>
    <t>BORR-RCRD-TYP-4B</t>
  </si>
  <si>
    <t>X(0051).</t>
  </si>
  <si>
    <t>GUARNTD-LN-CNT-CUM</t>
  </si>
  <si>
    <t>LN-AMT-CUM</t>
  </si>
  <si>
    <t>PRIN-CR-CUM</t>
  </si>
  <si>
    <t>ACCRD-INT-CUM</t>
  </si>
  <si>
    <t>GUAR-FEE-CHGD-CUM</t>
  </si>
  <si>
    <t>GUAR-FEE-PD-CUM</t>
  </si>
  <si>
    <t>GUARNTD-LN-SBSY-CUM</t>
  </si>
  <si>
    <t>ADVNCS-BY-FMHA-CUM</t>
  </si>
  <si>
    <t>LOSS-PYMT-AMT-CUM</t>
  </si>
  <si>
    <t>RECPTR-RCVD-CUM</t>
  </si>
  <si>
    <t>PRIN-RCVB-CUM</t>
  </si>
  <si>
    <t>INT-RCVB-CUM</t>
  </si>
  <si>
    <t>INT-ASSTNC-PD-CUM</t>
  </si>
  <si>
    <t>INT-ASSTNC-FEE-PD-CUM</t>
  </si>
  <si>
    <t>X(0730).</t>
  </si>
  <si>
    <t>FARMS-GLLNDR.</t>
  </si>
  <si>
    <t>LNDR-KEY.</t>
  </si>
  <si>
    <t>LNDR-RCRD-TYP-1.</t>
  </si>
  <si>
    <t>NME-LNDR-1</t>
  </si>
  <si>
    <t>NME-ADRS-LNDR-2</t>
  </si>
  <si>
    <t>NME-ADRS-LNDR-3</t>
  </si>
  <si>
    <t>NME-ADRS-LNDR-4</t>
  </si>
  <si>
    <t>NME-ADRS-LNDR-5</t>
  </si>
  <si>
    <t>LNDR-TYP</t>
  </si>
  <si>
    <t>LNDR-STAT-CDE</t>
  </si>
  <si>
    <t>OL-LNS-CNT-TTL</t>
  </si>
  <si>
    <t>S9(04)</t>
  </si>
  <si>
    <t>FO-LNS-CNT-TTL</t>
  </si>
  <si>
    <t>EM-LNS-CNT-TTL</t>
  </si>
  <si>
    <t>RH-LNS-CNT-TTL</t>
  </si>
  <si>
    <t>EL-LNS-CNT-TTL</t>
  </si>
  <si>
    <t>EE-LNS-CNT-TTL</t>
  </si>
  <si>
    <t>BI-LNS-CNT-TTL</t>
  </si>
  <si>
    <t>CF-LNS-CNT-TTL</t>
  </si>
  <si>
    <t>WW-LNS-CNT-TTL</t>
  </si>
  <si>
    <t>OL-LNS-AMT-TTL</t>
  </si>
  <si>
    <t>FO-LNS-AMT-TTL</t>
  </si>
  <si>
    <t>EM-LNS-AMT-TTL</t>
  </si>
  <si>
    <t>RH-LNS-AMT-TTL</t>
  </si>
  <si>
    <t>EL-LNS-AMT-TTL</t>
  </si>
  <si>
    <t>EE-LNS-AMT-TTL</t>
  </si>
  <si>
    <t>BI-LNS-AMT-TTL</t>
  </si>
  <si>
    <t>CF-LNS-AMT-TTL</t>
  </si>
  <si>
    <t>WW-LNS-AMT-TTL</t>
  </si>
  <si>
    <t>OL-LNS-OUTSTG-BAL</t>
  </si>
  <si>
    <t>FO-LNS-OUTSTG-BAL</t>
  </si>
  <si>
    <t>EM-LNS-OUTSTG-BAL</t>
  </si>
  <si>
    <t>RH-LNS-OUTSTG-BAL</t>
  </si>
  <si>
    <t>EL-LNS-OUTSTG-BAL</t>
  </si>
  <si>
    <t>EE-LNS-OUTSTG-BAL</t>
  </si>
  <si>
    <t>BI-LNS-OUTSTG-BAL</t>
  </si>
  <si>
    <t>CF-LNS-OUTSTG-BAL</t>
  </si>
  <si>
    <t>WW-LNS-OUTSTG-BAL</t>
  </si>
  <si>
    <t>OL-LNS-GUAR-TRMTD-CNT</t>
  </si>
  <si>
    <t>FO-LNS-GUAR-TRMTD-CNT</t>
  </si>
  <si>
    <t>EM-LNS-GUAR-TRMTD-CNT</t>
  </si>
  <si>
    <t>RH-LNS-GUAR-TRMTD-CNT</t>
  </si>
  <si>
    <t>EL-LNS-GUAR-TRMTD-CNT</t>
  </si>
  <si>
    <t>EE-LNS-GUAR-TRMTD-CNT</t>
  </si>
  <si>
    <t>BI-LNS-GUAR-TRMTD-CNT</t>
  </si>
  <si>
    <t>CF-LNS-GUAR-TRMTD-CNT</t>
  </si>
  <si>
    <t>WW-LNS-GUAR-TRMTD-CNT</t>
  </si>
  <si>
    <t>OL-LNS-GUAR-TRMTD-AMT</t>
  </si>
  <si>
    <t>FO-LNS-GUAR-TRMTD-AMT</t>
  </si>
  <si>
    <t>EM-LNS-GUAR-TRMTD-AMT</t>
  </si>
  <si>
    <t>RH-LNS-GUAR-TRMTD-AMT</t>
  </si>
  <si>
    <t>EL-LNS-GUAR-TRMTD-AMT</t>
  </si>
  <si>
    <t>EE-LNS-GUAR-TRMTD-AMT</t>
  </si>
  <si>
    <t>BI-LNS-GUAR-TRMTD-AMT</t>
  </si>
  <si>
    <t>CF-LNS-GUAR-TRMTD-AMT</t>
  </si>
  <si>
    <t>WW-LNS-GUAR-TRMTD-AMT</t>
  </si>
  <si>
    <t>OL-LNS-DELQ-CNT</t>
  </si>
  <si>
    <t>FO-LNS-DELQ-CNT</t>
  </si>
  <si>
    <t>EM-LNS-DELQ-CNT</t>
  </si>
  <si>
    <t>RH-LNS-DELQ-CNT</t>
  </si>
  <si>
    <t>EL-LNS-DELQ-CNT</t>
  </si>
  <si>
    <t>EE-LNS-DELQ-CNT</t>
  </si>
  <si>
    <t>BI-LNS-DELQ-CNT</t>
  </si>
  <si>
    <t>CF-LNS-DELQ-CNT</t>
  </si>
  <si>
    <t>WW-LNS-DELQ-CNT</t>
  </si>
  <si>
    <t>OL-LNS-DELQ-AMT</t>
  </si>
  <si>
    <t>FO-LNS-DELQ-AMT</t>
  </si>
  <si>
    <t>EM-LNS-DELQ-AMT</t>
  </si>
  <si>
    <t>RH-LNS-DELQ-AMT</t>
  </si>
  <si>
    <t>EL-LNS-DELQ-AMT</t>
  </si>
  <si>
    <t>EE-LNS-DELQ-AMT</t>
  </si>
  <si>
    <t>BI-LNS-DELQ-AMT</t>
  </si>
  <si>
    <t>CF-LNS-DELQ-AMT</t>
  </si>
  <si>
    <t>WW-LNS-DELQ-AMT</t>
  </si>
  <si>
    <t>OL-LNS-DELQ-OUTSTG-BAL</t>
  </si>
  <si>
    <t>FO-LNS-DELQ-OUTSTG-BAL</t>
  </si>
  <si>
    <t>EM-LNS-DELQ-OUTSTG-BAL</t>
  </si>
  <si>
    <t>RH-LNS-DELQ-OUTSTG-BAL</t>
  </si>
  <si>
    <t>EL-LNS-DELQ-OUTSTG-BAL</t>
  </si>
  <si>
    <t>EE-LNS-DELQ-OUTSTG-BAL</t>
  </si>
  <si>
    <t>BI-LNS-DELQ-OUTSTG-BAL</t>
  </si>
  <si>
    <t>CF-LNS-DELQ-OUTSTG-BAL</t>
  </si>
  <si>
    <t>WW-LNS-DELQ-OUTSTG-BAL</t>
  </si>
  <si>
    <t>OL-LNS-LOSS-PD-CNT</t>
  </si>
  <si>
    <t>FO-LNS-LOSS-PD-CNT</t>
  </si>
  <si>
    <t>EM-LNS-LOSS-PD-CNT</t>
  </si>
  <si>
    <t>RH-LNS-LOSS-PD-CNT</t>
  </si>
  <si>
    <t>EL-LNS-LOSS-PD-CNT</t>
  </si>
  <si>
    <t>EE-LNS-LOSS-PD-CNT</t>
  </si>
  <si>
    <t>BI-LNS-LOSS-PD-CNT</t>
  </si>
  <si>
    <t>CF-LNS-LOSS-PD-CNT</t>
  </si>
  <si>
    <t>WW-LNS-LOSS-PD-CNT</t>
  </si>
  <si>
    <t>OL-LNS-LOSS-PD-AMT</t>
  </si>
  <si>
    <t>FO-LNS-LOSS-PD-AMT</t>
  </si>
  <si>
    <t>EM-LNS-LOSS-PD-AMT</t>
  </si>
  <si>
    <t>RH-LNS-LOSS-PD-AMT</t>
  </si>
  <si>
    <t>EL-LNS-LOSS-PD-AMT</t>
  </si>
  <si>
    <t>EE-LNS-LOSS-PD-AMT</t>
  </si>
  <si>
    <t>BI-LNS-LOSS-PD-AMT</t>
  </si>
  <si>
    <t>CF-LNS-LOSS-PD-AMT</t>
  </si>
  <si>
    <t>WW-LNS-LOSS-PD-AMT</t>
  </si>
  <si>
    <t>DTE-CERTFTN-EFCTV</t>
  </si>
  <si>
    <t>DTE-CERTFTN-EXPRTN</t>
  </si>
  <si>
    <t>CERTFTN-CNT</t>
  </si>
  <si>
    <t>DTE-REVCTN</t>
  </si>
  <si>
    <t>REVCTN-CDE</t>
  </si>
  <si>
    <t>REVCTN-CNT</t>
  </si>
  <si>
    <t>NOTC-CERTFD-LNDR-PROG-CDE</t>
  </si>
  <si>
    <t>X(0147).</t>
  </si>
  <si>
    <t>LNDR-RCRD-TYP-2</t>
  </si>
  <si>
    <t>LNDR-RCRD-CNT</t>
  </si>
  <si>
    <t>X(0767).</t>
  </si>
  <si>
    <t>FARMS-IMCASE.</t>
  </si>
  <si>
    <t>X(15)</t>
  </si>
  <si>
    <t>FARMS-INITMAN.</t>
  </si>
  <si>
    <t>BUS-FUNCTN-GRP.</t>
  </si>
  <si>
    <t>MENU-SLCTN-2-MFH</t>
  </si>
  <si>
    <t>SUBMENU-OPTN</t>
  </si>
  <si>
    <t>DTE-TRNSCTN-EFCTV.</t>
  </si>
  <si>
    <t>EFCTV-DTE-MO</t>
  </si>
  <si>
    <t>EFCTV-DTE-DAY</t>
  </si>
  <si>
    <t>TRNSCTN-CNTRL-AMT-MFH</t>
  </si>
  <si>
    <t>DTE-MANUSCRIPT-ORIG.</t>
  </si>
  <si>
    <t>DTE-VIEWD-CTRY</t>
  </si>
  <si>
    <t>DTE-VIEWD-YR</t>
  </si>
  <si>
    <t>DTE-VIEWD-MO</t>
  </si>
  <si>
    <t>DTE-VIEWD-DAY</t>
  </si>
  <si>
    <t>DTE-MANUSCRIPT-PR.</t>
  </si>
  <si>
    <t>DTE-LST-REVW-CTRY</t>
  </si>
  <si>
    <t>DTE-LST-REVW-YR</t>
  </si>
  <si>
    <t>DTE-LST-REVW-MO</t>
  </si>
  <si>
    <t>DTE-LST-REVW-DAY</t>
  </si>
  <si>
    <t>USER-ID-PR.</t>
  </si>
  <si>
    <t>AUTHY-CDE-PR</t>
  </si>
  <si>
    <t>ID-PR</t>
  </si>
  <si>
    <t>TRNSCTN-AVLBL-INDCTR-MFH</t>
  </si>
  <si>
    <t>TRNSCTN-ELMT-GRP.</t>
  </si>
  <si>
    <t>TRNSCTN-ELMT-FLD</t>
  </si>
  <si>
    <t>FARMS-INSRNC-AUTHY.</t>
  </si>
  <si>
    <t>FARMS-INSTALLMENT.</t>
  </si>
  <si>
    <t>INSTLMT-OC-DATA</t>
  </si>
  <si>
    <t>INSTLMT-DUE-AMT</t>
  </si>
  <si>
    <t>INSTLMT-TYP-CDE</t>
  </si>
  <si>
    <t>MTURD-CDE-DIR-RE</t>
  </si>
  <si>
    <t>FARMS-INSURANCE.</t>
  </si>
  <si>
    <t>CHG-TYP-CDE</t>
  </si>
  <si>
    <t>INSRNC-CHGS-CUM-AMT</t>
  </si>
  <si>
    <t>INSRNC-CHG-MTURD-CUR-YR</t>
  </si>
  <si>
    <t>FARMS-INT-ASSTNC.</t>
  </si>
  <si>
    <t>TAX-1ST-YR-CDE</t>
  </si>
  <si>
    <t>INSRNC-PROP</t>
  </si>
  <si>
    <t>TXS-ON-PROP-1ST-YR-INT-ASSTNC</t>
  </si>
  <si>
    <t>TXS-ON-PROP-2ND-YR-INT-ASSTNC</t>
  </si>
  <si>
    <t>INT-ASSTNC-DIFF-1ST-YR</t>
  </si>
  <si>
    <t>INT-ASSTNC-DIFF-2ND-YR</t>
  </si>
  <si>
    <t>FARMS-INT-BDWN.</t>
  </si>
  <si>
    <t>COMPTN-AMT-BDWN</t>
  </si>
  <si>
    <t>INT-RATE-BDWN</t>
  </si>
  <si>
    <t>TERM-OF-BDWN</t>
  </si>
  <si>
    <t>OBLGN-AMT-BDWN</t>
  </si>
  <si>
    <t>OBLGN-DTE-BDWN</t>
  </si>
  <si>
    <t>SUSP-CDE-BDWN</t>
  </si>
  <si>
    <t>MAX-SBSY-DUE-BDWN</t>
  </si>
  <si>
    <t>DTE-APPRVL-BDWN</t>
  </si>
  <si>
    <t>BORR-RATE-BDWN</t>
  </si>
  <si>
    <t>99V9999.</t>
  </si>
  <si>
    <t>FY-OBLGN-OCCURD-BDWN</t>
  </si>
  <si>
    <t>CUR-YR-INT-ASSTNC</t>
  </si>
  <si>
    <t>INT-ASSTNC-MAX-AMT</t>
  </si>
  <si>
    <t>PURP-CDE-BDWN</t>
  </si>
  <si>
    <t>SBMSN-CDE-BDWN</t>
  </si>
  <si>
    <t>FARMS-INVSTR-DTL.</t>
  </si>
  <si>
    <t>INT-RATE-INVSTR</t>
  </si>
  <si>
    <t>INT-RATE-CDE</t>
  </si>
  <si>
    <t>FD-CDE-INVSTMT.</t>
  </si>
  <si>
    <t>FD-CDE-3-INVSTMT.</t>
  </si>
  <si>
    <t>FD-CDE-2-INVSTMT</t>
  </si>
  <si>
    <t>FD-CDE-3RD-INVSTMT</t>
  </si>
  <si>
    <t>FD-CDE-4TH-INVSTMT</t>
  </si>
  <si>
    <t>PRIN-CR-LN-CUM-INVSTR</t>
  </si>
  <si>
    <t>INT-CR-LN-CUM-INVSTR</t>
  </si>
  <si>
    <t>INT-FCL-LN-INVSTR</t>
  </si>
  <si>
    <t>ANL-CHG-RTND</t>
  </si>
  <si>
    <t>INT-PREM-CUM-AMT</t>
  </si>
  <si>
    <t>ANL-PYMT-DUE-INVSTR</t>
  </si>
  <si>
    <t>INT-UNPD-LN-SALE</t>
  </si>
  <si>
    <t>FULLY-PD-CDE-INVSTMT</t>
  </si>
  <si>
    <t>DTE-SALE-INVSTR</t>
  </si>
  <si>
    <t>DTE-INVSTR-LST-PD-INVSTMT</t>
  </si>
  <si>
    <t>FULLY-PD-CDE-SLD-LN</t>
  </si>
  <si>
    <t>FIXD-PRD-CDE</t>
  </si>
  <si>
    <t>DTE-CUR-PRD-AGRMT-EX</t>
  </si>
  <si>
    <t>FIXD-PRD-CUR-LGTH</t>
  </si>
  <si>
    <t>YR-INIT-FIXD-PRD-EXPRTN</t>
  </si>
  <si>
    <t>DTE-NEXT-ANL-PYMT-INVSTR</t>
  </si>
  <si>
    <t>INT-ASSTNC-LIAB</t>
  </si>
  <si>
    <t>S9(05)</t>
  </si>
  <si>
    <t>SUSP-CDE-INVSTMT</t>
  </si>
  <si>
    <t>DTE-LST-RGSTR-DTL-INVSTR</t>
  </si>
  <si>
    <t>RGSTR-TYP-LST-CHNG-INVSTR</t>
  </si>
  <si>
    <t>LN-AMT-INVSTR</t>
  </si>
  <si>
    <t>INSTLMT-DUE-INVSTR</t>
  </si>
  <si>
    <t>FARMS-INVSTR-INFO.</t>
  </si>
  <si>
    <t>ID-NBR-INVSTR</t>
  </si>
  <si>
    <t>ST-CDE-INVSTR</t>
  </si>
  <si>
    <t>MULTI-ACCT-INVSTR</t>
  </si>
  <si>
    <t>NME-INVSTR-1</t>
  </si>
  <si>
    <t>NME-ADRS-INVSTR-2</t>
  </si>
  <si>
    <t>NME-ADRS-INVSTR-3</t>
  </si>
  <si>
    <t>NME-ADRS-INVSTR-4</t>
  </si>
  <si>
    <t>NME-ADRS-INVSTR-5</t>
  </si>
  <si>
    <t>NME-ADRS-INVSTR-6</t>
  </si>
  <si>
    <t>ZIP-CDE-INVSTR</t>
  </si>
  <si>
    <t>PRIN-UNPD-BLK-SALE-INVSTR</t>
  </si>
  <si>
    <t>INT-PYMT-DUE-BLK-SALE</t>
  </si>
  <si>
    <t>PRIN-REDCTN-INVSTR</t>
  </si>
  <si>
    <t>PRIN-REMTNC-INVSTR</t>
  </si>
  <si>
    <t>S9(4)V99</t>
  </si>
  <si>
    <t>CNTRC-NBR-BLK-SALE</t>
  </si>
  <si>
    <t>SERIES-NBR</t>
  </si>
  <si>
    <t>INT-RATE-INVSTR-BLK-SALE</t>
  </si>
  <si>
    <t>DTE-INVSTR-LST-PD</t>
  </si>
  <si>
    <t>INVSTR-TTL-LNS-CNT</t>
  </si>
  <si>
    <t>EXCH-CDE-INVSTMT</t>
  </si>
  <si>
    <t>NATL-LOC-CDE-INVSTR</t>
  </si>
  <si>
    <t>INVSTR-TYP-CDE</t>
  </si>
  <si>
    <t>SUSP-CDE-INVSTR-ACCT</t>
  </si>
  <si>
    <t>FARMS-INVSTR-INFO-MISC.</t>
  </si>
  <si>
    <t>TAX-ID-TYP-INVSTR</t>
  </si>
  <si>
    <t>TAX-ID-NBR-INVSTR</t>
  </si>
  <si>
    <t>FARMS-JDGMT-3RD-PARTY.</t>
  </si>
  <si>
    <t>NME-FLDS-3RD-PARTY-JDGMT-CNT</t>
  </si>
  <si>
    <t>ADRS-FLDS-3RD-PARTY-JDGMT-CNT</t>
  </si>
  <si>
    <t>NME-3RD-PARTY-JDGMT</t>
  </si>
  <si>
    <t>NME-ADRS-3RD-PARTY-JDGMT-1</t>
  </si>
  <si>
    <t>NME-ADRS-3RD-PARTY-JDGMT-2</t>
  </si>
  <si>
    <t>NME-ADRS-3RD-PARTY-JDGMT-3</t>
  </si>
  <si>
    <t>NME-ADRS-3RD-PARTY-JDGMT-4</t>
  </si>
  <si>
    <t>ZIP-CDE-3RD-PARTY-JDGMT</t>
  </si>
  <si>
    <t>FARMS-JOB-RESTART.</t>
  </si>
  <si>
    <t>PROG-ID</t>
  </si>
  <si>
    <t>PROG-START-DTE</t>
  </si>
  <si>
    <t>PROG-START-TIME</t>
  </si>
  <si>
    <t>FARMS-JURDCTN.</t>
  </si>
  <si>
    <t>JURDCTN-NEXT-KEY</t>
  </si>
  <si>
    <t>FARMS-LESSEE.</t>
  </si>
  <si>
    <t>CASE-NBR-LSEE.</t>
  </si>
  <si>
    <t>ST-CDE-LSEE</t>
  </si>
  <si>
    <t>CTY-CDE-LSEE</t>
  </si>
  <si>
    <t>ID-LSEE</t>
  </si>
  <si>
    <t>NME-FLDS-LSEE-CNT</t>
  </si>
  <si>
    <t>ADRS-FLDS-LSEE-CNT</t>
  </si>
  <si>
    <t>NME-LSEE</t>
  </si>
  <si>
    <t>NME-ADRS-LSEE-1</t>
  </si>
  <si>
    <t>NME-ADRS-LSEE-2</t>
  </si>
  <si>
    <t>NME-ADRS-LSEE-3</t>
  </si>
  <si>
    <t>NME-ADRS-LSEE-4</t>
  </si>
  <si>
    <t>ZIP-CDE-LSEE</t>
  </si>
  <si>
    <t>LSEE-TYP-CDE</t>
  </si>
  <si>
    <t>LSEE-RACE-CDE</t>
  </si>
  <si>
    <t>FARMS-LN-AID.</t>
  </si>
  <si>
    <t>DEBT-SET-ASIDE-LN-AMT</t>
  </si>
  <si>
    <t>DEBT-SET-ASIDE-LN-CNCLD</t>
  </si>
  <si>
    <t>DEBT-SET-ASIDE-LN-OFFSET</t>
  </si>
  <si>
    <t>DTE-DFRL-CNCLTN-LN</t>
  </si>
  <si>
    <t>DTE-DFRL-EFCTV-LN</t>
  </si>
  <si>
    <t>DFRD-INT-LN-AMT</t>
  </si>
  <si>
    <t>DFRD-NON-CPTLZD-INT-AMT</t>
  </si>
  <si>
    <t>DFRD-PRIN-LN-AMT</t>
  </si>
  <si>
    <t>X(0006).</t>
  </si>
  <si>
    <t>FARMS-LN-NO-INT.</t>
  </si>
  <si>
    <t>NON-CPTLZD-INT-LN-AMT</t>
  </si>
  <si>
    <t>FARMS-LNRATE.</t>
  </si>
  <si>
    <t>INT-RATE-BORR</t>
  </si>
  <si>
    <t>NON-PROG-INT-RATE</t>
  </si>
  <si>
    <t>FARMS-LOAN.</t>
  </si>
  <si>
    <t>INT-RATE-BORR-1ST</t>
  </si>
  <si>
    <t>FULLY-MTURD-CDE</t>
  </si>
  <si>
    <t>ADVNC-UNCLSD-CDE</t>
  </si>
  <si>
    <t>ACT-COLLCTN-ONLY-CDE</t>
  </si>
  <si>
    <t>ASSOC-TYP-NOTE-CDE</t>
  </si>
  <si>
    <t>PURCH-CDE</t>
  </si>
  <si>
    <t>NBR-PYMTS-AMORTN</t>
  </si>
  <si>
    <t>INSTLMTS-INT-ONLY-CNT</t>
  </si>
  <si>
    <t>SALE-STAT-CDE</t>
  </si>
  <si>
    <t>FIXD-PRD-INIT-LGTH</t>
  </si>
  <si>
    <t>MORT-HLDR-CDE</t>
  </si>
  <si>
    <t>YR-LN-CLSD</t>
  </si>
  <si>
    <t>DTE-LN-SLD-OR-PLDGD</t>
  </si>
  <si>
    <t>FMHA-DIR-TO-INSRD-CDE</t>
  </si>
  <si>
    <t>DTE-LN-EXPRTN</t>
  </si>
  <si>
    <t>RECVRBL-CST-CHGS</t>
  </si>
  <si>
    <t>SCHED-STAT</t>
  </si>
  <si>
    <t>PYMT-EXTRA-AMT-CUM</t>
  </si>
  <si>
    <t>CR-NON-CSH-APPLTN-TYP-CDE</t>
  </si>
  <si>
    <t>CR-NON-CSH-LST-AMT-APPLD</t>
  </si>
  <si>
    <t>DTE-LST-CSH-CR</t>
  </si>
  <si>
    <t>DTE-NEXT-INSTLMT-DUE</t>
  </si>
  <si>
    <t>INSTLMT-DUE-NEXT-AMT</t>
  </si>
  <si>
    <t>INSTLMT-NEXT-TYP-CDE</t>
  </si>
  <si>
    <t>SUSP-CDE-LN</t>
  </si>
  <si>
    <t>RGSTR-TYP-LST-CHNG</t>
  </si>
  <si>
    <t>LN-NBR-OLD</t>
  </si>
  <si>
    <t>WRTF-CDE</t>
  </si>
  <si>
    <t>FARMS-LOAN-DRE.</t>
  </si>
  <si>
    <t>CIV-RHTS-CDE</t>
  </si>
  <si>
    <t>FY-PLDGD-GNMA</t>
  </si>
  <si>
    <t>INT-DFRD-UNMTURD-AMT-RMNG</t>
  </si>
  <si>
    <t>S9(3)V99</t>
  </si>
  <si>
    <t>INT-DFRD-ANL-INSTLMT</t>
  </si>
  <si>
    <t>INT-DFRD-INSTLMT-MTURTY-YR</t>
  </si>
  <si>
    <t>FARMS-LOAN-OTC.</t>
  </si>
  <si>
    <t>FY-PLDGD-GNMA-OTC</t>
  </si>
  <si>
    <t>CIV-RHTS-CDE-OTC</t>
  </si>
  <si>
    <t>INT-RATE-VARBL-CDE</t>
  </si>
  <si>
    <t>AMORTN-PRD</t>
  </si>
  <si>
    <t>EM-MULTI-ORIG-LN-NBR</t>
  </si>
  <si>
    <t>EM-CDE</t>
  </si>
  <si>
    <t>INT-BILLD-UNPD-PR-STMT</t>
  </si>
  <si>
    <t>INT-BILLD-UNPD-OTC-AMT</t>
  </si>
  <si>
    <t>PRIN-DUE-OTC-AMT</t>
  </si>
  <si>
    <t>PYMT-PR-TO-APPLTN-INT</t>
  </si>
  <si>
    <t>PYMT-PR-TO-APPLTN-PRIN</t>
  </si>
  <si>
    <t>FARMS-LOAN-SFSI.</t>
  </si>
  <si>
    <t>DTE-LST-REVW.</t>
  </si>
  <si>
    <t>CP-CLSFCTN-CDE</t>
  </si>
  <si>
    <t>CP-DTE-LST-CLSFD</t>
  </si>
  <si>
    <t>CP-EST-LOSS-AMT</t>
  </si>
  <si>
    <t>LN-FILL</t>
  </si>
  <si>
    <t>FARMS-LSE-INFO.</t>
  </si>
  <si>
    <t>LSE-NBR</t>
  </si>
  <si>
    <t>FD-CDE-LSE.</t>
  </si>
  <si>
    <t>FD-CDE-3-LSE.</t>
  </si>
  <si>
    <t>FD-CDE-2-LSE</t>
  </si>
  <si>
    <t>FD-CDE-3RD-LSE</t>
  </si>
  <si>
    <t>FD-CDE-4TH-LSE</t>
  </si>
  <si>
    <t>LSE-TYP-CDE</t>
  </si>
  <si>
    <t>DTE-LSE-EFCTV</t>
  </si>
  <si>
    <t>DTE-LSE-ENDS</t>
  </si>
  <si>
    <t>LSE-TTL-AMT</t>
  </si>
  <si>
    <t>INCM-LSE</t>
  </si>
  <si>
    <t>DTE-LST-CSH-CR-LSE</t>
  </si>
  <si>
    <t>STAT-CDE-LSE</t>
  </si>
  <si>
    <t>LSE-CNCLD-AMT</t>
  </si>
  <si>
    <t>WRTF-LSE-AMT</t>
  </si>
  <si>
    <t>SUSP-CDE-LSE</t>
  </si>
  <si>
    <t>DTE-LST-RGSTR-DTL-LSE</t>
  </si>
  <si>
    <t>RGSTR-TYP-LST-CHNG-LSE</t>
  </si>
  <si>
    <t>LSEE-KIND-CDE</t>
  </si>
  <si>
    <t>LSEE-RELTNSHP-CDE</t>
  </si>
  <si>
    <t>INSTLMT-DUE-AMT-LSE-1</t>
  </si>
  <si>
    <t>DTE-INSTLMT-DUE-LSE-1</t>
  </si>
  <si>
    <t>INSTLMT-DUE-AMT-LSE-2</t>
  </si>
  <si>
    <t>DTE-INSTLMT-DUE-LSE-2</t>
  </si>
  <si>
    <t>INSTLMT-DUE-AMT-LSE-3</t>
  </si>
  <si>
    <t>DTE-INSTLMT-DUE-LSE-3</t>
  </si>
  <si>
    <t>INSTLMT-DUE-AMT-LSE-4</t>
  </si>
  <si>
    <t>DTE-INSTLMT-DUE-LSE-4</t>
  </si>
  <si>
    <t>INSTLMT-DUE-AMT-LSE-5</t>
  </si>
  <si>
    <t>DTE-INSTLMT-DUE-LSE-5</t>
  </si>
  <si>
    <t>LSE-TERMS-AMT</t>
  </si>
  <si>
    <t>FARMS-MALLOT.</t>
  </si>
  <si>
    <t>FARMS-MALLOT-OBLGN.</t>
  </si>
  <si>
    <t>FARMS-MALLOT-OTH.</t>
  </si>
  <si>
    <t>FARMS-MSTR-RATE.</t>
  </si>
  <si>
    <t>MSTR-KEY.</t>
  </si>
  <si>
    <t>FARMS-NOTIFY.</t>
  </si>
  <si>
    <t>PYMT-CDE-INVSTR</t>
  </si>
  <si>
    <t>INT-PD-INVSTR</t>
  </si>
  <si>
    <t>PRIN-PD-INVSTR</t>
  </si>
  <si>
    <t>PRIN-UNPD-INVSTR</t>
  </si>
  <si>
    <t>FED-RESV-CDE</t>
  </si>
  <si>
    <t>NOTE-APPLD-AMT</t>
  </si>
  <si>
    <t>FARMS-NOTIFY-CNTRL.</t>
  </si>
  <si>
    <t>PYMT-AMT-TTL</t>
  </si>
  <si>
    <t>FARMS-OBLGN.</t>
  </si>
  <si>
    <t>ADRS-CARD-CDE</t>
  </si>
  <si>
    <t>INT-ASSTNC-AGRMT-FORM-COMPL</t>
  </si>
  <si>
    <t>SALE-CR-ASUMPTN-CDE</t>
  </si>
  <si>
    <t>SRVCG-OFC-CDE-ST</t>
  </si>
  <si>
    <t>OBLGN-TO-BORR-TTL-AMT</t>
  </si>
  <si>
    <t>VOU-UNCLSD-AMT</t>
  </si>
  <si>
    <t>LN-CNT-CDE</t>
  </si>
  <si>
    <t>FEE-CR-REPT-CDE</t>
  </si>
  <si>
    <t>ASSTNC-REPAIR-REHBLTN</t>
  </si>
  <si>
    <t>INCM-FAM-ADJD</t>
  </si>
  <si>
    <t>DWL-TYP-CDE</t>
  </si>
  <si>
    <t>GUAR-LN-FACE-VLU-AMT</t>
  </si>
  <si>
    <t>ADVNC-MULTI-TTL-AMT</t>
  </si>
  <si>
    <t>INT-CPTLZD-CDE</t>
  </si>
  <si>
    <t>REPYMT-PRD</t>
  </si>
  <si>
    <t>SPLIT-CMBN-RCRD-ASSOC-CDE</t>
  </si>
  <si>
    <t>INCM-CTGRY-CDE</t>
  </si>
  <si>
    <t>FEE-INSPCTN-CDE</t>
  </si>
  <si>
    <t>DTE-APPRVL-LN-GRT</t>
  </si>
  <si>
    <t>DRGHT-CDE</t>
  </si>
  <si>
    <t>GUAR-LOSS-PCT</t>
  </si>
  <si>
    <t>SUSP-CDE-OBLGN</t>
  </si>
  <si>
    <t>INIT-INT-ASSTNC-RATE</t>
  </si>
  <si>
    <t>9(02)V9999</t>
  </si>
  <si>
    <t>HIGH-CST-AREA</t>
  </si>
  <si>
    <t>AMT-INSRD-DEBT-REFIN</t>
  </si>
  <si>
    <t>BORR-HIST-CDE</t>
  </si>
  <si>
    <t>DTE-LST-RGSTR-DTL-OBLGN</t>
  </si>
  <si>
    <t>RGSTR-TYP-LST-CHNG-OBLGN</t>
  </si>
  <si>
    <t>SBSY-AMT-OBLGN</t>
  </si>
  <si>
    <t>FARMS-ORDERS.</t>
  </si>
  <si>
    <t>LOOKD-CNT</t>
  </si>
  <si>
    <t>FARMS-ORGZTN-LOOKUP.</t>
  </si>
  <si>
    <t>MAILG-CDE-LVL2.</t>
  </si>
  <si>
    <t>MAILG-LVL-LVL2</t>
  </si>
  <si>
    <t>ST-MAILG-LVL-LVL2</t>
  </si>
  <si>
    <t>DST-MAILG-LVL-LVL2</t>
  </si>
  <si>
    <t>CTY-MAILG-LVL-LVL2</t>
  </si>
  <si>
    <t>CTY-SPECL-LVL-LVL2</t>
  </si>
  <si>
    <t>DST-SPECL-LVL-LVL2</t>
  </si>
  <si>
    <t>ST-SPECL-LVL-LVL2</t>
  </si>
  <si>
    <t>ST-OFC-MAILG-LVL2</t>
  </si>
  <si>
    <t>CTY-OFC-MAILG-LVL2</t>
  </si>
  <si>
    <t>MAILG-CDE-LVL3.</t>
  </si>
  <si>
    <t>MAILG-LVL-LVL3</t>
  </si>
  <si>
    <t>ST-MAILG-LVL-LVL3</t>
  </si>
  <si>
    <t>DST-MAILG-LVL-LVL3</t>
  </si>
  <si>
    <t>CTY-MAILG-LVL-LVL3</t>
  </si>
  <si>
    <t>CTY-SPECL-LVL-LVL3</t>
  </si>
  <si>
    <t>DST-SPECL-LVL-LVL3</t>
  </si>
  <si>
    <t>ST-SPECL-LVL-LVL3</t>
  </si>
  <si>
    <t>ST-OFC-MAILG-LVL3</t>
  </si>
  <si>
    <t>CTY-OFC-MAILG-LVL3</t>
  </si>
  <si>
    <t>FARMS-OVFLO.</t>
  </si>
  <si>
    <t>FARMS-PD-ACCT-RVRSL.</t>
  </si>
  <si>
    <t>TO-OR-FROM-CDE</t>
  </si>
  <si>
    <t>FARMS-PLEREP.</t>
  </si>
  <si>
    <t>FRM-MORT-DATA</t>
  </si>
  <si>
    <t>RGN-CDE-PLEREP</t>
  </si>
  <si>
    <t>MORTS-FRM-GOVT-OWND-CNT</t>
  </si>
  <si>
    <t>MORTS-FRM-OWND-GOVT-AMT</t>
  </si>
  <si>
    <t>MORT-FRM-ACQD-CUR-QTR-CNT</t>
  </si>
  <si>
    <t>MORTS-ACQD-ON-FRMS-AMT</t>
  </si>
  <si>
    <t>PRIN-INCR-FRM-MORT-OWND</t>
  </si>
  <si>
    <t>MORTS-FRM-FULLY-PD-CNT</t>
  </si>
  <si>
    <t>PYMT-FNL-FRM-MORT-TTL-AMT</t>
  </si>
  <si>
    <t>PRIN-PYMT-ON-OTH-FRM-MORT</t>
  </si>
  <si>
    <t>MORTS-FRM-ACQD-FRCL-CNT</t>
  </si>
  <si>
    <t>MORTS-FRM-ACQD-FRCL-AMT</t>
  </si>
  <si>
    <t>RH-INIT-LNS-1-PCT-CNT</t>
  </si>
  <si>
    <t>RH-INIT-LNS-1-PCT-AMT</t>
  </si>
  <si>
    <t>S9(07)</t>
  </si>
  <si>
    <t>RH-INIT-LNS-3-PCT-CNT</t>
  </si>
  <si>
    <t>RH-INIT-LNS-3-PCT-AMT</t>
  </si>
  <si>
    <t>RH-INIT-LNS-6-PCT-CNT</t>
  </si>
  <si>
    <t>RH-INIT-LNS-6-PCT-AMT</t>
  </si>
  <si>
    <t>FO-INIT-LNS-3-PCT-CNT</t>
  </si>
  <si>
    <t>FO-INIT-LNS-3-PCT-AMT</t>
  </si>
  <si>
    <t>FO-INIT-LNS-5-PCT-CNT</t>
  </si>
  <si>
    <t>FO-INIT-LNS-5-PCT-AMT</t>
  </si>
  <si>
    <t>PURCH-RE-QTR</t>
  </si>
  <si>
    <t>LN-REFIN-RE-PRTN-FO-RH</t>
  </si>
  <si>
    <t>LN-REFIN-NON-RE-PRTN-FO-RH</t>
  </si>
  <si>
    <t>LN-FO-RH-LAND-BLDG-PRTN</t>
  </si>
  <si>
    <t>FEES-OTH-KNOWN</t>
  </si>
  <si>
    <t>PYMT-DWN-INIT-LNS-TTL-AMT</t>
  </si>
  <si>
    <t>PLDGD-LN-DATA</t>
  </si>
  <si>
    <t>FY-PLDGD-GNMA-PLEREP</t>
  </si>
  <si>
    <t>LN-ACCT-CDE</t>
  </si>
  <si>
    <t>PLDG-ORIG-AMT</t>
  </si>
  <si>
    <t>LNS-IN-ORIG-PLDG-CNT</t>
  </si>
  <si>
    <t>LN-AMT-ADDD-CUM</t>
  </si>
  <si>
    <t>LNS-ADDD-CUM-CNT</t>
  </si>
  <si>
    <t>ADVNC-ADDTNL-CUM-AMT</t>
  </si>
  <si>
    <t>LNS-CNCLD-CUM-AMT</t>
  </si>
  <si>
    <t>LNS-CNCLD-CUM-CNT</t>
  </si>
  <si>
    <t>PRIN-NOT-FULLY-PD-CUM</t>
  </si>
  <si>
    <t>INT-NOT-FULLY-PD-CUM</t>
  </si>
  <si>
    <t>PRIN-FULLY-PD-CUM</t>
  </si>
  <si>
    <t>INT-FULLY-PD-CUM-AMT</t>
  </si>
  <si>
    <t>LNS-FULLY-PD-CUM-CNT</t>
  </si>
  <si>
    <t>FRCL-JDGMT-CUM-AMT</t>
  </si>
  <si>
    <t>FRCL-JDGMT-CUM-CNT</t>
  </si>
  <si>
    <t>WRTF-CUM</t>
  </si>
  <si>
    <t>LN-AMT-ADDD-MTD</t>
  </si>
  <si>
    <t>LNS-ADDD-MTD-CNT</t>
  </si>
  <si>
    <t>ADVNC-ADDTNL-AMT-MTD</t>
  </si>
  <si>
    <t>LNS-CNCLD-MTD-AMT</t>
  </si>
  <si>
    <t>LNS-CNCLD-MTD-CNT</t>
  </si>
  <si>
    <t>PRIN-NOT-FULLY-PD-MTD</t>
  </si>
  <si>
    <t>INT-NOT-FULLY-PD-MTD</t>
  </si>
  <si>
    <t>PRIN-FULLY-PD-MTD</t>
  </si>
  <si>
    <t>INT-FULLY-PD-MTD</t>
  </si>
  <si>
    <t>LNS-FULLY-PD-MTD-CNT</t>
  </si>
  <si>
    <t>PRIN-FRCL-JDGMT-MTD</t>
  </si>
  <si>
    <t>LNS-FRCL-JDGMT-MTD</t>
  </si>
  <si>
    <t>WRTF-UNPD-PRIN-MTD</t>
  </si>
  <si>
    <t>LNS-WRTF-MTD-CNT</t>
  </si>
  <si>
    <t>PRIN-UNPD-PLDGD-LNS</t>
  </si>
  <si>
    <t>LNS-OUTSTG-CNT</t>
  </si>
  <si>
    <t>FARMS-PROG-SAVE.</t>
  </si>
  <si>
    <t>PROG-DATA</t>
  </si>
  <si>
    <t>X(500).</t>
  </si>
  <si>
    <t>FARMS-PRTLSALE.</t>
  </si>
  <si>
    <t>PRTL-NET-RECVRY-VLU</t>
  </si>
  <si>
    <t>S9(09)V9(02)</t>
  </si>
  <si>
    <t>PRTL-BEGNG-MKT-VLU</t>
  </si>
  <si>
    <t>PRTL-ENDG-MKT-VLU</t>
  </si>
  <si>
    <t>PRTL-RCVB-AMT-DUE</t>
  </si>
  <si>
    <t>PRTL-RCVB-AMT-PD</t>
  </si>
  <si>
    <t>PRTL-DTE-SALE-MTURTY</t>
  </si>
  <si>
    <t>DTE-LST-CSH-PRTL</t>
  </si>
  <si>
    <t>PRTL-STTLMT-CDE-GRP.</t>
  </si>
  <si>
    <t>PRTL-APPLTN-CDE</t>
  </si>
  <si>
    <t>PRTL-FULLY-PD-CDE</t>
  </si>
  <si>
    <t>CR-APPLD-NONCSH-PRTL</t>
  </si>
  <si>
    <t>DTE-LST-NONCSH-PRTL</t>
  </si>
  <si>
    <t>X(0053).</t>
  </si>
  <si>
    <t>FARMS-RDA-ALTMT.</t>
  </si>
  <si>
    <t>X(0002).</t>
  </si>
  <si>
    <t>FARMS-RDA-AREA-DALLOT.</t>
  </si>
  <si>
    <t>RDA-AREA-DALLOT-KEY.</t>
  </si>
  <si>
    <t>RDA-RGN-CDE</t>
  </si>
  <si>
    <t>RDA-AREA-CDE</t>
  </si>
  <si>
    <t>DISTRBN-GUAR</t>
  </si>
  <si>
    <t>DISTRBN-INSRD</t>
  </si>
  <si>
    <t>DISTRBN-DIR</t>
  </si>
  <si>
    <t>DISTRBN-GRT</t>
  </si>
  <si>
    <t>FARMS-RDA-AREA-OBLGN.</t>
  </si>
  <si>
    <t>FARMS-RDA-DALLOT-DTL.</t>
  </si>
  <si>
    <t>RDA-DALLOT-DTL-KEY.</t>
  </si>
  <si>
    <t>DALLOT-DTL-SRT-KEY.</t>
  </si>
  <si>
    <t>FARMS-RDA-DALLOT-OBLGN.</t>
  </si>
  <si>
    <t>FARMS-RDA-FD-SIDE.</t>
  </si>
  <si>
    <t>X(0005).</t>
  </si>
  <si>
    <t>FARMS-RDA-INSRNC-AUTHY.</t>
  </si>
  <si>
    <t>FARMS-RDA-MALLOT.</t>
  </si>
  <si>
    <t>RDA-MALLOT-KEY.</t>
  </si>
  <si>
    <t>FARMS-RDA-MALLOT-OBLGN.</t>
  </si>
  <si>
    <t>FARMS-RDA-RGN-DTL.</t>
  </si>
  <si>
    <t>RDA-RGN-DTL-KEY.</t>
  </si>
  <si>
    <t>FARMS-RDA-RGN-OBLGN.</t>
  </si>
  <si>
    <t>FARMS-REJECT-TRNSCTN.</t>
  </si>
  <si>
    <t>MULTI-CARD-DATA-LGTH</t>
  </si>
  <si>
    <t>REJECT-TRNSCTN-DATA.</t>
  </si>
  <si>
    <t>FIRST-CARD-DATA</t>
  </si>
  <si>
    <t>X(150).</t>
  </si>
  <si>
    <t>MULTI-CARD-DATA</t>
  </si>
  <si>
    <t>FARMS-RENTL-CNTRL.</t>
  </si>
  <si>
    <t>GEOG-ST-CDE-RENTL-CNTRL</t>
  </si>
  <si>
    <t>NEXT-PROJ-NBR</t>
  </si>
  <si>
    <t>PYMT-FCTR-NEW</t>
  </si>
  <si>
    <t>PYMT-FCTR-EXSTG</t>
  </si>
  <si>
    <t>ALTMT-UNITS-NEW</t>
  </si>
  <si>
    <t>OBLGD-UNITS-NEW</t>
  </si>
  <si>
    <t>ALTMT-UNITS-EXSTG</t>
  </si>
  <si>
    <t>OBLGD-UNITS-EXSTG</t>
  </si>
  <si>
    <t>OBLGN-LONG-TERM-CNTRL</t>
  </si>
  <si>
    <t>PYMTS-RENTL</t>
  </si>
  <si>
    <t>OBLGNS-UNLGDTD-CNTRL</t>
  </si>
  <si>
    <t>FAM-UNIT-OBLGD-TTL</t>
  </si>
  <si>
    <t>SR-CITS-UNIT-OBLGD-TTL</t>
  </si>
  <si>
    <t>FARMS-RENTL-DTL.</t>
  </si>
  <si>
    <t>PROJ-NBR</t>
  </si>
  <si>
    <t>PROJ-TYP-CDE</t>
  </si>
  <si>
    <t>LN-TYP-CDE</t>
  </si>
  <si>
    <t>FY-PLDGD-PROJ</t>
  </si>
  <si>
    <t>FAM-UNITS-OBLGD</t>
  </si>
  <si>
    <t>SR-CITS-UNITS-OBLGD</t>
  </si>
  <si>
    <t>UNITS-PROJ-TTL</t>
  </si>
  <si>
    <t>UNITS-LST-PYMT</t>
  </si>
  <si>
    <t>UNITS-CUR-FY-PD</t>
  </si>
  <si>
    <t>LST-PYMT-AMT</t>
  </si>
  <si>
    <t>PYMTS-CUR-FY</t>
  </si>
  <si>
    <t>PYMTS-CUM</t>
  </si>
  <si>
    <t>OBLGN-CUR-FY</t>
  </si>
  <si>
    <t>OBLGN-LONG-TERM</t>
  </si>
  <si>
    <t>OBLGNS-UNLGDTD</t>
  </si>
  <si>
    <t>DTE-OBLGN-RENTL</t>
  </si>
  <si>
    <t>DTE-OBLGN-RGSTR</t>
  </si>
  <si>
    <t>DTE-LST-CK</t>
  </si>
  <si>
    <t>DTE-LST-CK-RGSTR</t>
  </si>
  <si>
    <t>DTE-INT-ASSTNC</t>
  </si>
  <si>
    <t>RGSTR-TYP-LST-CHNG-RENTL</t>
  </si>
  <si>
    <t>DTE-LST-RGSTR-DTL-RENTL</t>
  </si>
  <si>
    <t>FULLY-DISBRSD-CDE</t>
  </si>
  <si>
    <t>FARMS-RENTL-FY-UNIT.</t>
  </si>
  <si>
    <t>FY-UNITS-OBLGD</t>
  </si>
  <si>
    <t>FAM-UNITS-OBLGD-FY</t>
  </si>
  <si>
    <t>SR-CITS-UNITS-FY</t>
  </si>
  <si>
    <t>FARMS-RENTL-TTL.</t>
  </si>
  <si>
    <t>TYP-DATA-RENTL-TTL</t>
  </si>
  <si>
    <t>RENTL-TTL-DATA</t>
  </si>
  <si>
    <t>OBLGD-FAM-AMT</t>
  </si>
  <si>
    <t>OBLGD-SR-CITS-AMT</t>
  </si>
  <si>
    <t>PYMT-RCVD-AMT</t>
  </si>
  <si>
    <t>OBLGD-FAM-UNITS</t>
  </si>
  <si>
    <t>OBLGD-SR-CITS-UNITS</t>
  </si>
  <si>
    <t>UNITS-PD-CUR-YR</t>
  </si>
  <si>
    <t>PROJS-TTL</t>
  </si>
  <si>
    <t>FARMS-RESCHEDULE.</t>
  </si>
  <si>
    <t>DTE-RVSD-PYMT-AGRMT-EFCTV</t>
  </si>
  <si>
    <t>DELQ-AMT-AS-OF-RESCHED-AGRMT</t>
  </si>
  <si>
    <t>RVSD-PYMT-INSTLMT-AMT</t>
  </si>
  <si>
    <t>FARMS-RH-DFRL.</t>
  </si>
  <si>
    <t>RH-DFRD-MORT-CDE</t>
  </si>
  <si>
    <t>PR-DFRD-AMT</t>
  </si>
  <si>
    <t>CUR-MO-DFRD-AMT</t>
  </si>
  <si>
    <t>CUR-ANL-DFRD-AMT</t>
  </si>
  <si>
    <t>DTE-INIT-DFRL</t>
  </si>
  <si>
    <t>DTE-CUR-DFRL</t>
  </si>
  <si>
    <t>DTE-CUR-DFRL-EXPRTN</t>
  </si>
  <si>
    <t>DTE-LST-CNCLTN</t>
  </si>
  <si>
    <t>CUM-DFRD-PRIN-CR-AMT</t>
  </si>
  <si>
    <t>CUM-DFRD-DUE-RCVB-AMT</t>
  </si>
  <si>
    <t>DFRD-PRIN-PD-AMT</t>
  </si>
  <si>
    <t>CUM-DFRD-INT-CR-AMT</t>
  </si>
  <si>
    <t>DFRD-INT-PD-AMT</t>
  </si>
  <si>
    <t>ACCRD-INT-PD-AMT</t>
  </si>
  <si>
    <t>CUR-DFRD-MORT-INSTLMT-AMT</t>
  </si>
  <si>
    <t>NON-CSH-CR-AMT</t>
  </si>
  <si>
    <t>SCHED-STAT-DFRL</t>
  </si>
  <si>
    <t>INT-FCL-LN-DFRL</t>
  </si>
  <si>
    <t>FARMS-SRCFDS.</t>
  </si>
  <si>
    <t>X(0099).</t>
  </si>
  <si>
    <t>FARMS-ST-LOOKUP.</t>
  </si>
  <si>
    <t>NME-ST</t>
  </si>
  <si>
    <t>RGN-CDE</t>
  </si>
  <si>
    <t>ST-OFC-CNTRL-CDE</t>
  </si>
  <si>
    <t>FARMS-STAT.</t>
  </si>
  <si>
    <t>STAT-COURT-ACTN-PNDG</t>
  </si>
  <si>
    <t>STAT-FRCL-ACTN-PNDG</t>
  </si>
  <si>
    <t>STAT-BANKRUPTCY</t>
  </si>
  <si>
    <t>STAT-3RD-PARTY-JDGMT</t>
  </si>
  <si>
    <t>STAT-TRF-PNDG</t>
  </si>
  <si>
    <t>STAT-SUBJ-TO-ADJMT</t>
  </si>
  <si>
    <t>STAT-MRTM</t>
  </si>
  <si>
    <t>DTE-FRCL-OR-CNVYNC-ACTN</t>
  </si>
  <si>
    <t>STAT-ACCLTN</t>
  </si>
  <si>
    <t>FARMS-STOPPER.</t>
  </si>
  <si>
    <t>X(0200).</t>
  </si>
  <si>
    <t>FARMS-SUBSIDY.</t>
  </si>
  <si>
    <t>CUR-SBSY-AMT</t>
  </si>
  <si>
    <t>PR-SBSY-AMT</t>
  </si>
  <si>
    <t>PRIN-CR-SBSY</t>
  </si>
  <si>
    <t>INT-CR-SBSY</t>
  </si>
  <si>
    <t>SBSY-RECPTR-CDE</t>
  </si>
  <si>
    <t>EFCTV-DTE-SBSY-AGRMT.</t>
  </si>
  <si>
    <t>EFCTV-MO-SBSY-AGRMT</t>
  </si>
  <si>
    <t>EFCTV-DAY-SBSY-AGRMT</t>
  </si>
  <si>
    <t>EFCTV-YR-SBSY-AGRMT</t>
  </si>
  <si>
    <t>EXPRTN-DTE-SBSY-AGRMT.</t>
  </si>
  <si>
    <t>EXPRTN-MO-SBSY-AGRMT</t>
  </si>
  <si>
    <t>EXPRTN-DAY-SBSY-AGRMT</t>
  </si>
  <si>
    <t>EXPRTN-YR-SBSY-AGRMT</t>
  </si>
  <si>
    <t>DTE-SBSY-CNVSN.</t>
  </si>
  <si>
    <t>MO-SBSY-CNVSN</t>
  </si>
  <si>
    <t>DAY-SBSY-CNVSN</t>
  </si>
  <si>
    <t>YR-SBSY-CNVSN</t>
  </si>
  <si>
    <t>PRIN-REDCTN-SBSY</t>
  </si>
  <si>
    <t>UNPD-PRIN-CNVSN</t>
  </si>
  <si>
    <t>FARMS-SUBSRC.</t>
  </si>
  <si>
    <t>FARMS-TRNSCTN-CNTRL.</t>
  </si>
  <si>
    <t>TRNSCTN-CNTRL-KEY</t>
  </si>
  <si>
    <t>FARMS-TRNSCTN-RVRSL.</t>
  </si>
  <si>
    <t>CASE-NBR-TRFEE.</t>
  </si>
  <si>
    <t>ST-CDE-TRFEE</t>
  </si>
  <si>
    <t>CTY-CDE-TRFEE</t>
  </si>
  <si>
    <t>ID-NBR-TRFEE</t>
  </si>
  <si>
    <t>CPTLZD-INT</t>
  </si>
  <si>
    <t>FARMS-TRRATE.</t>
  </si>
  <si>
    <t>TRSRY-RATE-KEY.</t>
  </si>
  <si>
    <t>TRSRY-YR</t>
  </si>
  <si>
    <t>MTURTY-RNGE-CDE</t>
  </si>
  <si>
    <t>QTR-RATE</t>
  </si>
  <si>
    <t>V9(04).</t>
  </si>
  <si>
    <t>X(0027).</t>
  </si>
  <si>
    <t>FARMS-TRSTR.</t>
  </si>
  <si>
    <t>TRSRY-CALC-KEY.</t>
  </si>
  <si>
    <t>TRSRY-SYM-CDE</t>
  </si>
  <si>
    <t>FARMS-USER-AUTHY.</t>
  </si>
  <si>
    <t>TRNSCTN-AUTHY-CDE</t>
  </si>
  <si>
    <t>TRNSCTN-CNT</t>
  </si>
  <si>
    <t>FARMS-USER-DOMAIN.</t>
  </si>
  <si>
    <t>ST-CTY-CDE-FMHA.</t>
  </si>
  <si>
    <t>FARMS-USER-STATCS.</t>
  </si>
  <si>
    <t>RPT-RQST-CDE</t>
  </si>
  <si>
    <t>LST-LGN-DTE</t>
  </si>
  <si>
    <t>TRNSCTN-TTL-CNT</t>
  </si>
  <si>
    <t>9(7)</t>
  </si>
  <si>
    <t>TIME-START.</t>
  </si>
  <si>
    <t>HR-START</t>
  </si>
  <si>
    <t>MIN-START</t>
  </si>
  <si>
    <t>OPTN-CDE</t>
  </si>
  <si>
    <t>OPTN-CLS</t>
  </si>
  <si>
    <t>ACCMLTD-TIME-DTD</t>
  </si>
  <si>
    <t>9(4)V99.</t>
  </si>
  <si>
    <t>TRNSCTN-TTL-CNT-DTD</t>
  </si>
  <si>
    <t>ACCMLTD-TIME-MTD</t>
  </si>
  <si>
    <t>TRNSCTN-TTL-CNT-MTD</t>
  </si>
  <si>
    <t>ACCMLTD-TIME-YTD</t>
  </si>
  <si>
    <t>TRNSCTN-TTL-CNT-YTD</t>
  </si>
  <si>
    <t>FARMS-USERS.</t>
  </si>
  <si>
    <t>USER-ID-ALT</t>
  </si>
  <si>
    <t>USER-ID</t>
  </si>
  <si>
    <t>SCRTY-INDCTR-CDE</t>
  </si>
  <si>
    <t>FDBDGT.</t>
  </si>
  <si>
    <t>FY-YR-MO.</t>
  </si>
  <si>
    <t>FY-MO</t>
  </si>
  <si>
    <t>FHARREC.</t>
  </si>
  <si>
    <t>LOCTN-KEY-2.</t>
  </si>
  <si>
    <t>LOCTN-LVL</t>
  </si>
  <si>
    <t>ST-LOCTN-LVL</t>
  </si>
  <si>
    <t>DST-LOCTN-LVL</t>
  </si>
  <si>
    <t>CTY-LOCTN-LVL</t>
  </si>
  <si>
    <t>DST-CDE-FMHA</t>
  </si>
  <si>
    <t>YR-MO.</t>
  </si>
  <si>
    <t>FRM-HSG-ACTV-GRP</t>
  </si>
  <si>
    <t>MULTI-CARD-DATA-LGTH-106.</t>
  </si>
  <si>
    <t>LN-PROG-KEY</t>
  </si>
  <si>
    <t>UPDTE-CDE</t>
  </si>
  <si>
    <t>RACE-SEX-DESC-CDE</t>
  </si>
  <si>
    <t>TBL-ELMT-CNT</t>
  </si>
  <si>
    <t>S9(03).</t>
  </si>
  <si>
    <t>FIELD-HN.</t>
  </si>
  <si>
    <t>FLD-NME-SCRTY</t>
  </si>
  <si>
    <t>BFOR-VLU-SCRTY</t>
  </si>
  <si>
    <t>X(53).</t>
  </si>
  <si>
    <t>AFTR-VLU-SCRTY</t>
  </si>
  <si>
    <t>X(0026).</t>
  </si>
  <si>
    <t>GL-MSTACCT.</t>
  </si>
  <si>
    <t>GLACCT.</t>
  </si>
  <si>
    <t>LINE-NBR-CDE.</t>
  </si>
  <si>
    <t>GLACCTC.</t>
  </si>
  <si>
    <t>GLBLKC.</t>
  </si>
  <si>
    <t>ENTY-BLK-NBR.</t>
  </si>
  <si>
    <t>GLBLKD.</t>
  </si>
  <si>
    <t>GLCNTRL.</t>
  </si>
  <si>
    <t>ENTRY-TRNSCTNS-CNTRL-TTL</t>
  </si>
  <si>
    <t>ENTRY-FUNDS-CNTRL-TTL</t>
  </si>
  <si>
    <t>MINOR-CDES-CNTRL-TTL</t>
  </si>
  <si>
    <t>ACCT-TITLES-CNTRL-TTL</t>
  </si>
  <si>
    <t>DLY-RGSTR-DRS</t>
  </si>
  <si>
    <t>DLY-RGSTR-CRS</t>
  </si>
  <si>
    <t>GLENTRY.</t>
  </si>
  <si>
    <t>ASSOC-TRNSCTN-CDE.</t>
  </si>
  <si>
    <t>INDIV-ASSOC-CDE</t>
  </si>
  <si>
    <t>POS-NEG-CDE</t>
  </si>
  <si>
    <t>DR-INT</t>
  </si>
  <si>
    <t>9(7).</t>
  </si>
  <si>
    <t>CR-INT</t>
  </si>
  <si>
    <t>DR-PRIN</t>
  </si>
  <si>
    <t>CR-PRIN</t>
  </si>
  <si>
    <t>DR-RTND-INT</t>
  </si>
  <si>
    <t>CR-RTND-INT</t>
  </si>
  <si>
    <t>GLENTTL.</t>
  </si>
  <si>
    <t>FY-ENTY-CDE.</t>
  </si>
  <si>
    <t>ACCT-NBRS-CNTRL-TTL</t>
  </si>
  <si>
    <t>MINOR-CDE-CNTRL-TTL</t>
  </si>
  <si>
    <t>CUR-ACCT-BAL-TTL-DRS</t>
  </si>
  <si>
    <t>CUR-ACCT-BAL-TTL-CRS</t>
  </si>
  <si>
    <t>PR-YR-ENDG-BAL-CNTRL-TTL</t>
  </si>
  <si>
    <t>CUR-PROC-MO</t>
  </si>
  <si>
    <t>ENTY-TITLE</t>
  </si>
  <si>
    <t>AGCY-TITLE</t>
  </si>
  <si>
    <t>ENTY-SUB-TITLE</t>
  </si>
  <si>
    <t>X(35).</t>
  </si>
  <si>
    <t>GLMNCDE.</t>
  </si>
  <si>
    <t>MINOR-CDE-TITLE</t>
  </si>
  <si>
    <t>X(0012).</t>
  </si>
  <si>
    <t>GLMNCDEC.</t>
  </si>
  <si>
    <t>GLMSTR.</t>
  </si>
  <si>
    <t>ENTY-ACCT-MINOR-CDE.</t>
  </si>
  <si>
    <t>GLNTRYC.</t>
  </si>
  <si>
    <t>TRNSCTN-CDES-HASH-TTL</t>
  </si>
  <si>
    <t>FD-CDES-HASH-TTL</t>
  </si>
  <si>
    <t>UPDTR-INITS</t>
  </si>
  <si>
    <t>9(0007).</t>
  </si>
  <si>
    <t>GLNTRYD.</t>
  </si>
  <si>
    <t>FD-CDE-3RD-4TH</t>
  </si>
  <si>
    <t>RCRD-CNTRL-CDE</t>
  </si>
  <si>
    <t>SIGN-1</t>
  </si>
  <si>
    <t>INSRNC-CHG-CDE</t>
  </si>
  <si>
    <t>DR-AMT-INT-PRIN-RTND</t>
  </si>
  <si>
    <t>CR-AMT-INT-PRIN-RTND</t>
  </si>
  <si>
    <t>DR-REMVL-INDCTR</t>
  </si>
  <si>
    <t>CR-REMVL-INDCTR</t>
  </si>
  <si>
    <t>GLOVA.</t>
  </si>
  <si>
    <t>GL-ACCTS-ENTRY-KEY-EXPND.</t>
  </si>
  <si>
    <t>OBLGN-ACCTS-DR-ODR</t>
  </si>
  <si>
    <t>ACCT-NBR-ODR</t>
  </si>
  <si>
    <t>MINOR-CDE-ODR</t>
  </si>
  <si>
    <t>OBLGN-ACCTS-CR-OCR</t>
  </si>
  <si>
    <t>ACCT-NBR-OCR</t>
  </si>
  <si>
    <t>MINOR-CDE-OCR</t>
  </si>
  <si>
    <t>VOU-ACCTS-DR-VDR</t>
  </si>
  <si>
    <t>ACCT-NBR-VDR</t>
  </si>
  <si>
    <t>MINOR-CDE-VDR</t>
  </si>
  <si>
    <t>VOU-ACCTS-CR-VCR</t>
  </si>
  <si>
    <t>ACCT-NBR-VCR</t>
  </si>
  <si>
    <t>MINOR-CDE-VCR</t>
  </si>
  <si>
    <t>ALTMT-ACCTS-DR-ADR</t>
  </si>
  <si>
    <t>ACCT-NBR-ADR</t>
  </si>
  <si>
    <t>MINOR-CDE-ADR</t>
  </si>
  <si>
    <t>ALTMT-ACCTS-CR-ACR</t>
  </si>
  <si>
    <t>ACCT-NBR-ACR</t>
  </si>
  <si>
    <t>MINOR-CDE-ACR</t>
  </si>
  <si>
    <t>X(0057).</t>
  </si>
  <si>
    <t>HEAROFC.</t>
  </si>
  <si>
    <t>HEARG-OFC-GRP.</t>
  </si>
  <si>
    <t>HEARG-OFC-AREA-ID</t>
  </si>
  <si>
    <t>HEARG-OFC-ID</t>
  </si>
  <si>
    <t>X(0021).</t>
  </si>
  <si>
    <t>LOCTN-LOOKUP.</t>
  </si>
  <si>
    <t>LOCTN-KEY.</t>
  </si>
  <si>
    <t>SRVCG-OFC.</t>
  </si>
  <si>
    <t>OFC-LVL</t>
  </si>
  <si>
    <t>ST-LVL</t>
  </si>
  <si>
    <t>DST-LVL</t>
  </si>
  <si>
    <t>CTY-LVL</t>
  </si>
  <si>
    <t>RDA-RGN-LVL</t>
  </si>
  <si>
    <t>R'.</t>
  </si>
  <si>
    <t>RDA-AREA-LVL</t>
  </si>
  <si>
    <t>A'.</t>
  </si>
  <si>
    <t>ST-CDE-SRVCG</t>
  </si>
  <si>
    <t>CTY-CDE-SRVCG</t>
  </si>
  <si>
    <t>DST-CDE-SRVCG</t>
  </si>
  <si>
    <t>FIPS-ST-CTY-CDE.</t>
  </si>
  <si>
    <t>PRIM-ST-CDE</t>
  </si>
  <si>
    <t>LOCTN-NME</t>
  </si>
  <si>
    <t>SRVCG-DST-OFC.</t>
  </si>
  <si>
    <t>DST-OFC-LVL</t>
  </si>
  <si>
    <t>ST-CDE-DST</t>
  </si>
  <si>
    <t>SRVCG-DST.</t>
  </si>
  <si>
    <t>DST-SRVCG-CDE-1ST</t>
  </si>
  <si>
    <t>ORGZTN-STRUC-CTY</t>
  </si>
  <si>
    <t>DTE-UPDTED</t>
  </si>
  <si>
    <t>UPDTE-SLCTN-CDE</t>
  </si>
  <si>
    <t>SRVCG-SIS-OFC.</t>
  </si>
  <si>
    <t>SIS-OFC-LVL</t>
  </si>
  <si>
    <t>ST-CDE-SIS</t>
  </si>
  <si>
    <t>SRVCG-SIS.</t>
  </si>
  <si>
    <t>SIS-SRVCG-CDE-1ST</t>
  </si>
  <si>
    <t>SIS-SRVCG-CDE</t>
  </si>
  <si>
    <t>MAILG-CDE-AMAS.</t>
  </si>
  <si>
    <t>MAILG-LVL-AMAS</t>
  </si>
  <si>
    <t>ST-MAILG-LVL-AMAS</t>
  </si>
  <si>
    <t>DST-MAILG-LVL-AMAS</t>
  </si>
  <si>
    <t>CTY-MAILG-LVL-AMAS</t>
  </si>
  <si>
    <t>CTY-SPECL-LVL-AMAS</t>
  </si>
  <si>
    <t>DST-SPECL-LVL-AMAS</t>
  </si>
  <si>
    <t>ST-SPECL-LVL-AMAS</t>
  </si>
  <si>
    <t>ST-OFC-MAILG-AMAS</t>
  </si>
  <si>
    <t>CTY-OFC-MAILG-AMAS</t>
  </si>
  <si>
    <t>NATIONAL.</t>
  </si>
  <si>
    <t>NATL-OFC-ID</t>
  </si>
  <si>
    <t>NAS-USER-ID-LOG-NBR</t>
  </si>
  <si>
    <t>9(05).</t>
  </si>
  <si>
    <t>NHEAROFC.</t>
  </si>
  <si>
    <t>NATL-HEARG-OFC-ID</t>
  </si>
  <si>
    <t>OBLGCTRL.</t>
  </si>
  <si>
    <t>OBLGN-KEY.</t>
  </si>
  <si>
    <t>OBLGDTL.</t>
  </si>
  <si>
    <t>SOC-CDE.</t>
  </si>
  <si>
    <t>ACTL-OBLGN-AMT-1</t>
  </si>
  <si>
    <t>MO-PLAN-AMT-1</t>
  </si>
  <si>
    <t>ANL-PLAN-AMT</t>
  </si>
  <si>
    <t>OFCSPC.</t>
  </si>
  <si>
    <t>OFC-SPC-TYP-SRVC</t>
  </si>
  <si>
    <t>OFC-SPC-MAIL-CDE</t>
  </si>
  <si>
    <t>OFC-SPC-TYP</t>
  </si>
  <si>
    <t>OFC-SPC-LSE-EXPRD-DTE</t>
  </si>
  <si>
    <t>OFC-SPC-SQFT-RQRMT</t>
  </si>
  <si>
    <t>OFC-SPC-CST</t>
  </si>
  <si>
    <t>OFC-SPC-DESC</t>
  </si>
  <si>
    <t>OFC-SPC-FREQ-CLN</t>
  </si>
  <si>
    <t>PRESBDGT.</t>
  </si>
  <si>
    <t>BDGT-SLRYS-AMT</t>
  </si>
  <si>
    <t>BDGT-TRVL-AMT</t>
  </si>
  <si>
    <t>BDGT-NATL-AMT</t>
  </si>
  <si>
    <t>BDGT-FLD-AMT</t>
  </si>
  <si>
    <t>PROJHDR.</t>
  </si>
  <si>
    <t>PROJ-HDR</t>
  </si>
  <si>
    <t>OLD-PROJ-HDR</t>
  </si>
  <si>
    <t>X(0056).</t>
  </si>
  <si>
    <t>PROJREC.</t>
  </si>
  <si>
    <t>MISC-PROJ-KEY.</t>
  </si>
  <si>
    <t>SRMP-PROJ-CDE.</t>
  </si>
  <si>
    <t>PROJ-SEQNC-NBR</t>
  </si>
  <si>
    <t>PROJ-DESC</t>
  </si>
  <si>
    <t>OLD-PROJD-AMT</t>
  </si>
  <si>
    <t>PROJ-RMRKS</t>
  </si>
  <si>
    <t>PSTNFIL.</t>
  </si>
  <si>
    <t>JOB-CDE</t>
  </si>
  <si>
    <t>NBR-FTIME-EMPLS</t>
  </si>
  <si>
    <t>NBR-PTIME-EMPLS</t>
  </si>
  <si>
    <t>NBR-TEMP-EMPLS</t>
  </si>
  <si>
    <t>NBR-EM-TEMP-EMPLS</t>
  </si>
  <si>
    <t>NBR-COOPS-STDNT-TRNEE</t>
  </si>
  <si>
    <t>NBR-WAE-EMPLS</t>
  </si>
  <si>
    <t>NBR-NON-CEILG-PSTN</t>
  </si>
  <si>
    <t>RDADATA.</t>
  </si>
  <si>
    <t>RDA-KEY.</t>
  </si>
  <si>
    <t>SRVCG-OFC-CDE-RGN</t>
  </si>
  <si>
    <t>SRVCG-OFC-CDE-AREA</t>
  </si>
  <si>
    <t>YR-DTE</t>
  </si>
  <si>
    <t>MO-DTE</t>
  </si>
  <si>
    <t>CF-HRS.</t>
  </si>
  <si>
    <t>HRS-TRVL-CF</t>
  </si>
  <si>
    <t>TRNG-HRS-CF</t>
  </si>
  <si>
    <t>TTL-HRS-WORK-CF</t>
  </si>
  <si>
    <t>WW-HRS.</t>
  </si>
  <si>
    <t>HRS-TRVL-WW</t>
  </si>
  <si>
    <t>TRNG-HRS-WW</t>
  </si>
  <si>
    <t>TTL-HRS-WORK-WW</t>
  </si>
  <si>
    <t>BI-HRS.</t>
  </si>
  <si>
    <t>HRS-TRVL-BI</t>
  </si>
  <si>
    <t>TRNG-HRS-BI</t>
  </si>
  <si>
    <t>TTL-HRS-WORK-BI</t>
  </si>
  <si>
    <t>ADM-GEN-HRS.</t>
  </si>
  <si>
    <t>HRS-TRVL-ADM-GEN</t>
  </si>
  <si>
    <t>TRNG-HRS-ADM-GEN</t>
  </si>
  <si>
    <t>TTL-HRS-WORK-ADM-GEN</t>
  </si>
  <si>
    <t>OTH-HRS.</t>
  </si>
  <si>
    <t>HRS-TRVL-OTH</t>
  </si>
  <si>
    <t>TRNG-HRS-OTH</t>
  </si>
  <si>
    <t>TTL-HRS-WORK-OTH</t>
  </si>
  <si>
    <t>RECORD-HN.</t>
  </si>
  <si>
    <t>RCRD-CDE-SCRTY</t>
  </si>
  <si>
    <t>CHNG-TYP-CDE</t>
  </si>
  <si>
    <t>RMSADRS.</t>
  </si>
  <si>
    <t>SDC-KEY.</t>
  </si>
  <si>
    <t>SRVCG-OFC-CDE-DST</t>
  </si>
  <si>
    <t>SRVCG-CDE-OFC-CTY</t>
  </si>
  <si>
    <t>MAILG-ADRS.</t>
  </si>
  <si>
    <t>STREET-ADRS</t>
  </si>
  <si>
    <t>CITY</t>
  </si>
  <si>
    <t>TLPHN.</t>
  </si>
  <si>
    <t>COMMRCL</t>
  </si>
  <si>
    <t>EXTENSION</t>
  </si>
  <si>
    <t>FTS</t>
  </si>
  <si>
    <t>KEEP</t>
  </si>
  <si>
    <t>DUMMY-DST</t>
  </si>
  <si>
    <t>DTE-RMS-OFC-CRTD</t>
  </si>
  <si>
    <t>9(4)</t>
  </si>
  <si>
    <t>STAT-OF-WEEKS-UPDTE-ALL</t>
  </si>
  <si>
    <t>STAT-OF-WEEKS-UPDTE</t>
  </si>
  <si>
    <t>STAT-OF-WEEKS-UPDTE-BY-QTR</t>
  </si>
  <si>
    <t>STAT-OF-WEEKS-UPDTE-BY-MO</t>
  </si>
  <si>
    <t>STAT-OF-MTLY-UPDTE-ALL</t>
  </si>
  <si>
    <t>STAT-OF-MTLY-UPDTE</t>
  </si>
  <si>
    <t>STAT-OF-MTLY-UPDTE-BY-QTR</t>
  </si>
  <si>
    <t>USER-FLD-1</t>
  </si>
  <si>
    <t>X(7).</t>
  </si>
  <si>
    <t>DTE-OF-LST-EXTRCT</t>
  </si>
  <si>
    <t>DTE-OF-LST-CHG</t>
  </si>
  <si>
    <t>RMSDATA.</t>
  </si>
  <si>
    <t>EARNED-TIME-NEW</t>
  </si>
  <si>
    <t>PRDCTVTY-INDEX-NEW</t>
  </si>
  <si>
    <t>LN-ACTV-1ST-WEEK.</t>
  </si>
  <si>
    <t>LN-PROGS-1ST-WEEK</t>
  </si>
  <si>
    <t>FUNCTN-CNT-1ST-WEEK</t>
  </si>
  <si>
    <t>INIT-SERIAL-NBR-1ST-WEEK</t>
  </si>
  <si>
    <t>SUBQ-SERIAL-NBR-1ST-WEEK</t>
  </si>
  <si>
    <t>CHNG-CDE-1ST-WEEK</t>
  </si>
  <si>
    <t>LN-ACTV-2ND-WEEK.</t>
  </si>
  <si>
    <t>LN-PROGS-2ND-WEEK</t>
  </si>
  <si>
    <t>FUNCTN-CNT-2ND-WEEK</t>
  </si>
  <si>
    <t>INIT-SERIAL-NBR-2ND-WEEK</t>
  </si>
  <si>
    <t>SUBQ-SERIAL-NBR-2ND-WEEK</t>
  </si>
  <si>
    <t>CHNG-CDE-2ND-WEEK</t>
  </si>
  <si>
    <t>LN-ACTV-3RD-WEEK.</t>
  </si>
  <si>
    <t>LN-PROGS-3RD-WEEK</t>
  </si>
  <si>
    <t>FUNCTN-CNT-3RD-WEEK</t>
  </si>
  <si>
    <t>INIT-SERIAL-NBR-3RD-WEEK</t>
  </si>
  <si>
    <t>SUBQ-SERIAL-NBR-3RD-WEEK</t>
  </si>
  <si>
    <t>CHNG-CDE-3RD-WEEK</t>
  </si>
  <si>
    <t>LN-ACTV-4TH-WEEK.</t>
  </si>
  <si>
    <t>LN-PROGS-4TH-WEEK</t>
  </si>
  <si>
    <t>FUNCTN-CNT-4TH-WEEK</t>
  </si>
  <si>
    <t>INIT-SERIAL-NBR-4TH-WEEK</t>
  </si>
  <si>
    <t>SUBQ-SERIAL-NBR-4TH-WEEK</t>
  </si>
  <si>
    <t>CHNG-CDE-4TH-WEEK</t>
  </si>
  <si>
    <t>LN-ACTV-MTD-WEEK.</t>
  </si>
  <si>
    <t>LN-PROGS-MTD-WEEK</t>
  </si>
  <si>
    <t>FUNCTN-CNT-MTD-WEEK</t>
  </si>
  <si>
    <t>INIT-SERIAL-NBR-MTLY</t>
  </si>
  <si>
    <t>SUBQ-SERIAL-NBR-MTLY</t>
  </si>
  <si>
    <t>CHNG-CDE-MTLY</t>
  </si>
  <si>
    <t>PRELIM-CNTCT</t>
  </si>
  <si>
    <t>PRELIM-APPLTNS-RCVD</t>
  </si>
  <si>
    <t>ENVRNMTL-ASMT</t>
  </si>
  <si>
    <t>ELGBL-DETMNT</t>
  </si>
  <si>
    <t>APPLTNS-RCVD</t>
  </si>
  <si>
    <t>APPLTNS-UNPROCD</t>
  </si>
  <si>
    <t>APPLTNS-IN-PROCS</t>
  </si>
  <si>
    <t>LNS-APPRVD-UNCLSD</t>
  </si>
  <si>
    <t>APPLTNS-RJCTD</t>
  </si>
  <si>
    <t>APPLTNS-WTHDRWN</t>
  </si>
  <si>
    <t>LNS-CLSD</t>
  </si>
  <si>
    <t>APPRSL</t>
  </si>
  <si>
    <t>INSPCTN</t>
  </si>
  <si>
    <t>CNSTRTN-INSPCTN</t>
  </si>
  <si>
    <t>SUPVSR-VSTS</t>
  </si>
  <si>
    <t>SCRTY-SRVCS</t>
  </si>
  <si>
    <t>SUPVSR-CNFNC</t>
  </si>
  <si>
    <t>BANK-SRVCS</t>
  </si>
  <si>
    <t>DELQ-ACCT-SRVCS</t>
  </si>
  <si>
    <t>PYMT-AGRMT</t>
  </si>
  <si>
    <t>RPTS-EVAL</t>
  </si>
  <si>
    <t>PYMT-IN-FULL</t>
  </si>
  <si>
    <t>LN-QDTN-ACTNS</t>
  </si>
  <si>
    <t>PROP-MNGNT-ACTNS</t>
  </si>
  <si>
    <t>SALE-INVT-PROP</t>
  </si>
  <si>
    <t>APLS-CASES</t>
  </si>
  <si>
    <t>LNS-GRT-OUTSTG</t>
  </si>
  <si>
    <t>DELQ-LNS-OUTSTG</t>
  </si>
  <si>
    <t>PRE-APPLTNS-ON-HAND</t>
  </si>
  <si>
    <t>APPLTNS-ON-HAND</t>
  </si>
  <si>
    <t>BORRS-PROJ-OUTSTG</t>
  </si>
  <si>
    <t>DELQ-BORRS-PROJ-OUTSTG</t>
  </si>
  <si>
    <t>PROPS-INVT</t>
  </si>
  <si>
    <t>BORRS-REVWD-GRDTN</t>
  </si>
  <si>
    <t>BORRS-RQSTD-GRDTN</t>
  </si>
  <si>
    <t>BORRS-GRDTN</t>
  </si>
  <si>
    <t>LNS-IN-GRDTN-RQST</t>
  </si>
  <si>
    <t>LNS-IN-GRDTN</t>
  </si>
  <si>
    <t>UNDUP-BORRS-REVWD</t>
  </si>
  <si>
    <t>UNDUP-BORRS-RQSTD</t>
  </si>
  <si>
    <t>UNDUP-BORRS-GRDTN</t>
  </si>
  <si>
    <t>CFS-BORRS-NEW</t>
  </si>
  <si>
    <t>CFS-BORRS-EXSTG</t>
  </si>
  <si>
    <t>CFS-BORRS-CONT</t>
  </si>
  <si>
    <t>CFS-BORRS-TTL</t>
  </si>
  <si>
    <t>ACT-FRM-BORRS-UNDUP</t>
  </si>
  <si>
    <t>FRM-BORRS-OFF-SCHED-UNDUP</t>
  </si>
  <si>
    <t>SBORDNTN-SCRTY-INT-FO-NBR</t>
  </si>
  <si>
    <t>SBORDNTN-SCRTY-INT-FO-AMT</t>
  </si>
  <si>
    <t>SBORDNTN-SCRTY-INT-OL-NBR</t>
  </si>
  <si>
    <t>SBORDNTN-SCRTY-INT-OL-AMT</t>
  </si>
  <si>
    <t>CNDTNL-CMITMTS-ISSD-PRD</t>
  </si>
  <si>
    <t>CNDTNL-CMITMTS-END-OF-PRD</t>
  </si>
  <si>
    <t>RH-MRTMS-APPRVD-INIT</t>
  </si>
  <si>
    <t>RH-MRTMS-APPRVD-RENWL-2</t>
  </si>
  <si>
    <t>RH-MRTMS-APPRVD-RENWL-3</t>
  </si>
  <si>
    <t>RH-MRTMS-APPRVD-RENWL-4</t>
  </si>
  <si>
    <t>RH-MRTMS-APPRVD-RENWL-5</t>
  </si>
  <si>
    <t>RH-MRTMS-APPRVD-RENWL-6</t>
  </si>
  <si>
    <t>RH-MRTMS-IN-FORCE</t>
  </si>
  <si>
    <t>HRS-TRVL</t>
  </si>
  <si>
    <t>TRNG-HRS</t>
  </si>
  <si>
    <t>TTL-HRS-WORK</t>
  </si>
  <si>
    <t>BORRS-FP-DFRLS-IN-FORCE</t>
  </si>
  <si>
    <t>BORRS-NOT-FRMG-VLNTY</t>
  </si>
  <si>
    <t>BORRS-NOT-FRMG-TRF</t>
  </si>
  <si>
    <t>BORRS-NOT-FRMG-SALE</t>
  </si>
  <si>
    <t>DST-REVW-CTY-OFC-WORK</t>
  </si>
  <si>
    <t>ACT-BORRS</t>
  </si>
  <si>
    <t>PROP-ACQD-VLNTY-TTL-GRP</t>
  </si>
  <si>
    <t>PROP-ACQD-FRCL-FMHA-TTL</t>
  </si>
  <si>
    <t>PROP-ACQD-FRCL-OTH-TTL</t>
  </si>
  <si>
    <t>PROP-SLD-CSH-TTL-GRP</t>
  </si>
  <si>
    <t>PROP-SLD-ELGBL-TERMS-TTL</t>
  </si>
  <si>
    <t>PROP-SLD-INELGBL-TERMS</t>
  </si>
  <si>
    <t>PROP-LSE-TTL-GRP</t>
  </si>
  <si>
    <t>PROP-INVT-SUTBL-TTL-GRP</t>
  </si>
  <si>
    <t>PROP-INVT-UNSUTBL-TTL-GRP</t>
  </si>
  <si>
    <t>ACRES-INVT-TTL-GRP</t>
  </si>
  <si>
    <t>MKT-VLU-INVT-TTL-GRP</t>
  </si>
  <si>
    <t>SUPVSD-BANK-ACCTS-NBR</t>
  </si>
  <si>
    <t>SUPVSD-BANK-ACCTS-AMT</t>
  </si>
  <si>
    <t>BORRS-WITH-CKS-ON-HAND</t>
  </si>
  <si>
    <t>YR-END-ANLYS-COMPLD</t>
  </si>
  <si>
    <t>GUIDE-LTR-SENT</t>
  </si>
  <si>
    <t>LNS-RESCHED-CNSLDTD</t>
  </si>
  <si>
    <t>DFRLS-PRIN-INIT</t>
  </si>
  <si>
    <t>ACCLTN-LTR-SENT</t>
  </si>
  <si>
    <t>CHAT-LQDTN-APPRVD</t>
  </si>
  <si>
    <t>PETN-BNKRPTC-FILE</t>
  </si>
  <si>
    <t>BNKRPTC-COMPLD-CONT-BORR</t>
  </si>
  <si>
    <t>BNKRPTC-COMPLD-LOSS-HSE</t>
  </si>
  <si>
    <t>BNKRPTC-COMPLD-NO-FRMG</t>
  </si>
  <si>
    <t>CASES-FRCL-PNDG</t>
  </si>
  <si>
    <t>FRCL-NO-FRMNG-FMHA</t>
  </si>
  <si>
    <t>FRCL-NO-FRMG-LIENHLDR</t>
  </si>
  <si>
    <t>RMSTIME.</t>
  </si>
  <si>
    <t>LN-PROG-DESC</t>
  </si>
  <si>
    <t>LN-PROG-GRP-CDE</t>
  </si>
  <si>
    <t>TIME-STNDS-DATA-NEW</t>
  </si>
  <si>
    <t>SITE-LOOKUP.</t>
  </si>
  <si>
    <t>CNTCT-NME</t>
  </si>
  <si>
    <t>MAILG-ADRS-LINE-1</t>
  </si>
  <si>
    <t>MAILG-ADRS-LINE-2</t>
  </si>
  <si>
    <t>MAILG-ADRS-LINE-3</t>
  </si>
  <si>
    <t>FED-STRIP</t>
  </si>
  <si>
    <t>RMT-ID</t>
  </si>
  <si>
    <t>X(0123).</t>
  </si>
  <si>
    <t>SOCCDE.</t>
  </si>
  <si>
    <t>SOC-DESC</t>
  </si>
  <si>
    <t>MISC-OBJ-FLAG</t>
  </si>
  <si>
    <t>ST-RCRD.</t>
  </si>
  <si>
    <t>ST-REC-KEY.</t>
  </si>
  <si>
    <t>YR-TABLE-ST</t>
  </si>
  <si>
    <t>MO-TABLE-ST</t>
  </si>
  <si>
    <t>LN-PROG-DATA</t>
  </si>
  <si>
    <t>STAFF-RCRD.</t>
  </si>
  <si>
    <t>STAFF-DATA</t>
  </si>
  <si>
    <t>STAFFYR.</t>
  </si>
  <si>
    <t>CLDR-YR</t>
  </si>
  <si>
    <t>QTY-PROJD-STAFF-YR</t>
  </si>
  <si>
    <t>S9(06)V9</t>
  </si>
  <si>
    <t>QTY-ACTL-STAFF-YTD</t>
  </si>
  <si>
    <t>QTY-CEILG-STAFF-YR</t>
  </si>
  <si>
    <t>QTY-CUR-STAFF-YR</t>
  </si>
  <si>
    <t>X(0098).</t>
  </si>
  <si>
    <t>STNDBDGT.</t>
  </si>
  <si>
    <t>ESTD-FY-1-AMT</t>
  </si>
  <si>
    <t>ESTD-FY-2-AMT</t>
  </si>
  <si>
    <t>RQSTD-AMT-1</t>
  </si>
  <si>
    <t>RQSTD-AMT-2</t>
  </si>
  <si>
    <t>RECMDD-AMT-1</t>
  </si>
  <si>
    <t>RECMDD-AMT-2</t>
  </si>
  <si>
    <t>ALCTD-AMT</t>
  </si>
  <si>
    <t>OBLGD-AMT</t>
  </si>
  <si>
    <t>ADP-LSE-AMT</t>
  </si>
  <si>
    <t>NON-ADP-LSE-AMT</t>
  </si>
  <si>
    <t>ADP-PURCH-AMT</t>
  </si>
  <si>
    <t>NON-ADP-PURCH-AMT</t>
  </si>
  <si>
    <t>ADP-COMMUCTN-AMT</t>
  </si>
  <si>
    <t>NON-ADP-COMMUCTN-AMT</t>
  </si>
  <si>
    <t>SYMBOL.</t>
  </si>
  <si>
    <t>TRNING.</t>
  </si>
  <si>
    <t>TRNG-CRSE-TITLE</t>
  </si>
  <si>
    <t>TRNG-JOB-TITLE</t>
  </si>
  <si>
    <t>NBR-TRNG-ATNDNC</t>
  </si>
  <si>
    <t>TRNG-TUITN-AMT</t>
  </si>
  <si>
    <t>TRNG-TRVL-PER-DIEM-AMT</t>
  </si>
  <si>
    <t>X(0029).</t>
  </si>
  <si>
    <t>TRUCKRNT.</t>
  </si>
  <si>
    <t>TRKS-LOCTN</t>
  </si>
  <si>
    <t>TRKS-VEHCL-TYP</t>
  </si>
  <si>
    <t>TRKS-RENT-CST</t>
  </si>
  <si>
    <t>TRKS-MILAGE-CST</t>
  </si>
  <si>
    <t>TRKS-ANL-CST-1</t>
  </si>
  <si>
    <t>TRKS-ANL-CST-2</t>
  </si>
  <si>
    <t>TRKS-ANL-CST-3</t>
  </si>
  <si>
    <t>USER-HN.</t>
  </si>
  <si>
    <t>USER-ID-PROC</t>
  </si>
  <si>
    <t>X(0022).</t>
  </si>
  <si>
    <t>USERINFO.</t>
  </si>
  <si>
    <t>USER-ID-NAS</t>
  </si>
  <si>
    <t>OFCR-NME.</t>
  </si>
  <si>
    <t>OFCR-LST-NME</t>
  </si>
  <si>
    <t>OFCR-1ST-NME</t>
  </si>
  <si>
    <t>OFCR-MID-NME</t>
  </si>
  <si>
    <t>TELMAIL-ADDR</t>
  </si>
  <si>
    <t>OFC-PHN.</t>
  </si>
  <si>
    <t>OFC-AREA</t>
  </si>
  <si>
    <t>OFC-PHN-NBR</t>
  </si>
  <si>
    <t>OFC-EXTNSN</t>
  </si>
  <si>
    <t>CUR-PSTN.</t>
  </si>
  <si>
    <t>LVL-PSTN</t>
  </si>
  <si>
    <t>LVL-AREA</t>
  </si>
  <si>
    <t>LVL-SCRTY</t>
  </si>
  <si>
    <t>ACT-SWTCH</t>
  </si>
  <si>
    <t>USGLACT.</t>
  </si>
  <si>
    <t>USGL-ACCTS-ENTRY-KEY.</t>
  </si>
  <si>
    <t>Randomly generated numbers, 1-9. These are the same on the GLBLKD table and the GLOVA table.</t>
  </si>
  <si>
    <t>Account number starts at 7000 and increases by 1. This is consistant throughout the fields with account number.</t>
  </si>
  <si>
    <t>ST-CDE-OBLR is the same on each table that has it. The state code is based off of the 50 state codes, that range from 01-56. These state codes skip around, for example, 03 does not exist, along with some others, so thats why it ranges from 1-56. These are randomly selected values.</t>
  </si>
  <si>
    <t>The cty code variable was 3 randomly generated numbers that do not start with 0. These are the same across all tables with this variable.</t>
  </si>
  <si>
    <t>all headers</t>
  </si>
  <si>
    <t>FMHA-CASE-NBR</t>
  </si>
  <si>
    <t>APPLNT-ENTY-NME</t>
  </si>
  <si>
    <t>ENTY-CNTCT-NME</t>
  </si>
  <si>
    <t>APPLNT-ADDR</t>
  </si>
  <si>
    <t>APPLNT-ADDR-GRP</t>
  </si>
  <si>
    <t>APPLNT-ZIP</t>
  </si>
  <si>
    <t>APPLNT-OFC-PHN</t>
  </si>
  <si>
    <t>APPLNT-HOME-PHN</t>
  </si>
  <si>
    <t>LNDR-APPLNT-NME</t>
  </si>
  <si>
    <t>LNDR-APPLNT-ADDR</t>
  </si>
  <si>
    <t>LNDR-APPLNT-ADDR-GRP</t>
  </si>
  <si>
    <t>LNDR-APPLNT-ZIP</t>
  </si>
  <si>
    <t>LNDR-APPLNT-OFC-PHN</t>
  </si>
  <si>
    <t>APPEAL-CUR-STAT</t>
  </si>
  <si>
    <t>REP-NME</t>
  </si>
  <si>
    <t>REP-ADDR</t>
  </si>
  <si>
    <t>REP-ADDR-GRP</t>
  </si>
  <si>
    <t>REP-ZIP</t>
  </si>
  <si>
    <t>REP-OFC-PHN</t>
  </si>
  <si>
    <t>DECSN-OFCL-NME</t>
  </si>
  <si>
    <t>DECSN-OFCL-ADDR</t>
  </si>
  <si>
    <t>DECSN-OFCL-ADDR-GRP</t>
  </si>
  <si>
    <t>DECSN-OFCL-ZIP</t>
  </si>
  <si>
    <t>DECSN-OFCL-PHN</t>
  </si>
  <si>
    <t>STATCS-CDE</t>
  </si>
  <si>
    <t>MTRL</t>
  </si>
  <si>
    <t>FARMS-ASSOC-PRIN-BOND</t>
  </si>
  <si>
    <t>FARMS-CASE</t>
  </si>
  <si>
    <t>FARMS-CK-INFO</t>
  </si>
  <si>
    <t>MAILG-OFC</t>
  </si>
  <si>
    <t>MAILG-CDE</t>
  </si>
  <si>
    <t>FARMS-CK-INFO-FRADS</t>
  </si>
  <si>
    <t>FARMS-CLIENT</t>
  </si>
  <si>
    <t>MAILG-OFC-CLIENT</t>
  </si>
  <si>
    <t>MAILG-CDE-CLIENT</t>
  </si>
  <si>
    <t>NME-OBLR-GRP-1</t>
  </si>
  <si>
    <t>MAILG-OFC-FSA</t>
  </si>
  <si>
    <t>MAILG-CDE-FSA</t>
  </si>
  <si>
    <t>FARMS-FD-SIDE</t>
  </si>
  <si>
    <t>FARMS-MALLOT</t>
  </si>
  <si>
    <t>FARMS-PLEREP</t>
  </si>
  <si>
    <t>GL-MSTACCT</t>
  </si>
  <si>
    <t>GLACCT</t>
  </si>
  <si>
    <t>LINE-NBR-CDE</t>
  </si>
  <si>
    <t>GLMSTR</t>
  </si>
  <si>
    <t>ENTY-ACCT-MINOR-CDE</t>
  </si>
  <si>
    <t>GLACCTC</t>
  </si>
  <si>
    <t>GLBLKC</t>
  </si>
  <si>
    <t>ENTY-BLK-NBR</t>
  </si>
  <si>
    <t>GLBLKD</t>
  </si>
  <si>
    <t>FD-CDE</t>
  </si>
  <si>
    <t>FD-CDE-3</t>
  </si>
  <si>
    <t>GLOVA</t>
  </si>
  <si>
    <t>GL-ACCTS-ENTRY-KEY-EXPND</t>
  </si>
  <si>
    <t>PROG-PLANG-BDGTG-CDE</t>
  </si>
  <si>
    <t>OBLGN-EXPNTR-CDE</t>
  </si>
  <si>
    <t>SYMBOL</t>
  </si>
  <si>
    <t>USGLACT</t>
  </si>
  <si>
    <t>USGL-ACCTS-ENTRY-KEY</t>
  </si>
  <si>
    <t>27 137</t>
  </si>
  <si>
    <t>18 99</t>
  </si>
  <si>
    <t>37 163</t>
  </si>
  <si>
    <t>17 11</t>
  </si>
  <si>
    <t>31 61</t>
  </si>
  <si>
    <t>36 9</t>
  </si>
  <si>
    <t>27 35</t>
  </si>
  <si>
    <t>48 61</t>
  </si>
  <si>
    <t>55 5</t>
  </si>
  <si>
    <t>5 41</t>
  </si>
  <si>
    <t>18 163</t>
  </si>
  <si>
    <t>18 103</t>
  </si>
  <si>
    <t>48 265</t>
  </si>
  <si>
    <t>40 143</t>
  </si>
  <si>
    <t>22 95</t>
  </si>
  <si>
    <t>31 55</t>
  </si>
  <si>
    <t>5 33</t>
  </si>
  <si>
    <t>51 171</t>
  </si>
  <si>
    <t>33 1</t>
  </si>
  <si>
    <t>5 29</t>
  </si>
  <si>
    <t>12 29</t>
  </si>
  <si>
    <t>20 195</t>
  </si>
  <si>
    <t>28 73</t>
  </si>
  <si>
    <t>56 11</t>
  </si>
  <si>
    <t>37 131</t>
  </si>
  <si>
    <t>47 185</t>
  </si>
  <si>
    <t>48 467</t>
  </si>
  <si>
    <t>31 87</t>
  </si>
  <si>
    <t>54 41</t>
  </si>
  <si>
    <t>51 515</t>
  </si>
  <si>
    <t>48 11</t>
  </si>
  <si>
    <t>48 365</t>
  </si>
  <si>
    <t>31 19</t>
  </si>
  <si>
    <t>27 103</t>
  </si>
  <si>
    <t>19 121</t>
  </si>
  <si>
    <t>55 81</t>
  </si>
  <si>
    <t>8 101</t>
  </si>
  <si>
    <t>48 293</t>
  </si>
  <si>
    <t>41 15</t>
  </si>
  <si>
    <t>18 109</t>
  </si>
  <si>
    <t>31 75</t>
  </si>
  <si>
    <t>48 359</t>
  </si>
  <si>
    <t>18 49</t>
  </si>
  <si>
    <t>12 65</t>
  </si>
  <si>
    <t>8 13</t>
  </si>
  <si>
    <t>49 21</t>
  </si>
  <si>
    <t>6 57</t>
  </si>
  <si>
    <t>19 71</t>
  </si>
  <si>
    <t>13 241</t>
  </si>
  <si>
    <t>42 121</t>
  </si>
  <si>
    <t>36 35</t>
  </si>
  <si>
    <t>42 75</t>
  </si>
  <si>
    <t>13 127</t>
  </si>
  <si>
    <t>39 135</t>
  </si>
  <si>
    <t>8 55</t>
  </si>
  <si>
    <t>27 149</t>
  </si>
  <si>
    <t>53 13</t>
  </si>
  <si>
    <t>37 189</t>
  </si>
  <si>
    <t>31 1</t>
  </si>
  <si>
    <t>36 59</t>
  </si>
  <si>
    <t>12 95</t>
  </si>
  <si>
    <t>21 139</t>
  </si>
  <si>
    <t>39 23</t>
  </si>
  <si>
    <t>29 147</t>
  </si>
  <si>
    <t>38 35</t>
  </si>
  <si>
    <t>21 117</t>
  </si>
  <si>
    <t>8 51</t>
  </si>
  <si>
    <t>40 27</t>
  </si>
  <si>
    <t>13 165</t>
  </si>
  <si>
    <t>40 91</t>
  </si>
  <si>
    <t>22 59</t>
  </si>
  <si>
    <t>36 7</t>
  </si>
  <si>
    <t>47 85</t>
  </si>
  <si>
    <t>19 153</t>
  </si>
  <si>
    <t>31 111</t>
  </si>
  <si>
    <t>54 53</t>
  </si>
  <si>
    <t>48 367</t>
  </si>
  <si>
    <t>48 375</t>
  </si>
  <si>
    <t>12 9</t>
  </si>
  <si>
    <t>46 137</t>
  </si>
  <si>
    <t>19 113</t>
  </si>
  <si>
    <t>36 39</t>
  </si>
  <si>
    <t>38 79</t>
  </si>
  <si>
    <t>48 331</t>
  </si>
  <si>
    <t>40 145</t>
  </si>
  <si>
    <t>28 49</t>
  </si>
  <si>
    <t>51 51</t>
  </si>
  <si>
    <t>19 77</t>
  </si>
  <si>
    <t>48 1</t>
  </si>
  <si>
    <t>19 23</t>
  </si>
  <si>
    <t>48 343</t>
  </si>
  <si>
    <t>55 127</t>
  </si>
  <si>
    <t>19 47</t>
  </si>
  <si>
    <t>8 61</t>
  </si>
  <si>
    <t>13 283</t>
  </si>
  <si>
    <t>40 139</t>
  </si>
  <si>
    <t>51 97</t>
  </si>
  <si>
    <t>29 27</t>
  </si>
  <si>
    <t>18 83</t>
  </si>
  <si>
    <t>47 171</t>
  </si>
  <si>
    <t>47 117</t>
  </si>
  <si>
    <t>28 97</t>
  </si>
  <si>
    <t>18 65</t>
  </si>
  <si>
    <t>51 770</t>
  </si>
  <si>
    <t>12 69</t>
  </si>
  <si>
    <t>48 339</t>
  </si>
  <si>
    <t>31 7</t>
  </si>
  <si>
    <t>20 209</t>
  </si>
  <si>
    <t>8 25</t>
  </si>
  <si>
    <t>55 95</t>
  </si>
  <si>
    <t>51 33</t>
  </si>
  <si>
    <t>28 69</t>
  </si>
  <si>
    <t>39 109</t>
  </si>
  <si>
    <t>42 101</t>
  </si>
  <si>
    <t>48 299</t>
  </si>
  <si>
    <t>19 67</t>
  </si>
  <si>
    <t>53 25</t>
  </si>
  <si>
    <t>45 7</t>
  </si>
  <si>
    <t>26 157</t>
  </si>
  <si>
    <t>37 127</t>
  </si>
  <si>
    <t>26 79</t>
  </si>
  <si>
    <t>48 311</t>
  </si>
  <si>
    <t>48 281</t>
  </si>
  <si>
    <t>13 23</t>
  </si>
  <si>
    <t>51 775</t>
  </si>
  <si>
    <t>17 51</t>
  </si>
  <si>
    <t>13 293</t>
  </si>
  <si>
    <t>21 173</t>
  </si>
  <si>
    <t>17 33</t>
  </si>
  <si>
    <t>20 189</t>
  </si>
  <si>
    <t>30 5</t>
  </si>
  <si>
    <t>17 5</t>
  </si>
  <si>
    <t>47 45</t>
  </si>
  <si>
    <t>47 49</t>
  </si>
  <si>
    <t>36 95</t>
  </si>
  <si>
    <t>37 135</t>
  </si>
  <si>
    <t>48 19</t>
  </si>
  <si>
    <t>28 115</t>
  </si>
  <si>
    <t>30 97</t>
  </si>
  <si>
    <t>27 39</t>
  </si>
  <si>
    <t>17 93</t>
  </si>
  <si>
    <t>48 217</t>
  </si>
  <si>
    <t>1 61</t>
  </si>
  <si>
    <t>22 85</t>
  </si>
  <si>
    <t>27 151</t>
  </si>
  <si>
    <t>18 33</t>
  </si>
  <si>
    <t>46 93</t>
  </si>
  <si>
    <t>21 1</t>
  </si>
  <si>
    <t>35 9</t>
  </si>
  <si>
    <t>26 149</t>
  </si>
  <si>
    <t>5 95</t>
  </si>
  <si>
    <t>19 97</t>
  </si>
  <si>
    <t>36 73</t>
  </si>
  <si>
    <t>47 25</t>
  </si>
  <si>
    <t>31 17</t>
  </si>
  <si>
    <t>5 69</t>
  </si>
  <si>
    <t>8 73</t>
  </si>
  <si>
    <t>33 15</t>
  </si>
  <si>
    <t>6 69</t>
  </si>
  <si>
    <t>51 127</t>
  </si>
  <si>
    <t>48 507</t>
  </si>
  <si>
    <t>51 780</t>
  </si>
  <si>
    <t>33 9</t>
  </si>
  <si>
    <t>6 67</t>
  </si>
  <si>
    <t>36 113</t>
  </si>
  <si>
    <t>5 21</t>
  </si>
  <si>
    <t>20 45</t>
  </si>
  <si>
    <t>17 129</t>
  </si>
  <si>
    <t>13 137</t>
  </si>
  <si>
    <t>8 117</t>
  </si>
  <si>
    <t>21 97</t>
  </si>
  <si>
    <t>35 61</t>
  </si>
  <si>
    <t>37 169</t>
  </si>
  <si>
    <t>37 55</t>
  </si>
  <si>
    <t>31 15</t>
  </si>
  <si>
    <t>17 191</t>
  </si>
  <si>
    <t>48 501</t>
  </si>
  <si>
    <t>34 39</t>
  </si>
  <si>
    <t>19 55</t>
  </si>
  <si>
    <t>48 497</t>
  </si>
  <si>
    <t>51 570</t>
  </si>
  <si>
    <t>27 17</t>
  </si>
  <si>
    <t>29 111</t>
  </si>
  <si>
    <t>2 261</t>
  </si>
  <si>
    <t>8 115</t>
  </si>
  <si>
    <t>33 13</t>
  </si>
  <si>
    <t>21 195</t>
  </si>
  <si>
    <t>40 133</t>
  </si>
  <si>
    <t>55 15</t>
  </si>
  <si>
    <t>46 65</t>
  </si>
  <si>
    <t>31 65</t>
  </si>
  <si>
    <t>36 33</t>
  </si>
  <si>
    <t>47 55</t>
  </si>
  <si>
    <t>48 449</t>
  </si>
  <si>
    <t>26 37</t>
  </si>
  <si>
    <t>16 59</t>
  </si>
  <si>
    <t>47 157</t>
  </si>
  <si>
    <t>5 47</t>
  </si>
  <si>
    <t>48 93</t>
  </si>
  <si>
    <t>31 5</t>
  </si>
  <si>
    <t>20 193</t>
  </si>
  <si>
    <t>46 33</t>
  </si>
  <si>
    <t>12 79</t>
  </si>
  <si>
    <t>20 123</t>
  </si>
  <si>
    <t>22 119</t>
  </si>
  <si>
    <t>1 19</t>
  </si>
  <si>
    <t>19 73</t>
  </si>
  <si>
    <t>30 29</t>
  </si>
  <si>
    <t>54 45</t>
  </si>
  <si>
    <t>42 67</t>
  </si>
  <si>
    <t>30 35</t>
  </si>
  <si>
    <t>40 131</t>
  </si>
  <si>
    <t>49 45</t>
  </si>
  <si>
    <t>48 31</t>
  </si>
  <si>
    <t>29 113</t>
  </si>
  <si>
    <t>42 11</t>
  </si>
  <si>
    <t>48 485</t>
  </si>
  <si>
    <t>37 101</t>
  </si>
  <si>
    <t>5 109</t>
  </si>
  <si>
    <t>18 175</t>
  </si>
  <si>
    <t>56 23</t>
  </si>
  <si>
    <t>8 15</t>
  </si>
  <si>
    <t>48 213</t>
  </si>
  <si>
    <t>47 15</t>
  </si>
  <si>
    <t>35 57</t>
  </si>
  <si>
    <t>13 183</t>
  </si>
  <si>
    <t>46 15</t>
  </si>
  <si>
    <t>54 107</t>
  </si>
  <si>
    <t>48 111</t>
  </si>
  <si>
    <t>39 151</t>
  </si>
  <si>
    <t>39 131</t>
  </si>
  <si>
    <t>31 145</t>
  </si>
  <si>
    <t>42 119</t>
  </si>
  <si>
    <t>18 181</t>
  </si>
  <si>
    <t>41 51</t>
  </si>
  <si>
    <t>29 221</t>
  </si>
  <si>
    <t>17 151</t>
  </si>
  <si>
    <t>37 51</t>
  </si>
  <si>
    <t>51 610</t>
  </si>
  <si>
    <t>37 91</t>
  </si>
  <si>
    <t>48 27</t>
  </si>
  <si>
    <t>36 19</t>
  </si>
  <si>
    <t>25 11</t>
  </si>
  <si>
    <t>8 9</t>
  </si>
  <si>
    <t>48 333</t>
  </si>
  <si>
    <t>13 35</t>
  </si>
  <si>
    <t>21 71</t>
  </si>
  <si>
    <t>13 155</t>
  </si>
  <si>
    <t>54 67</t>
  </si>
  <si>
    <t>29 63</t>
  </si>
  <si>
    <t>47 97</t>
  </si>
  <si>
    <t>4 1</t>
  </si>
  <si>
    <t>16 17</t>
  </si>
  <si>
    <t>32 9</t>
  </si>
  <si>
    <t>8 121</t>
  </si>
  <si>
    <t>53 63</t>
  </si>
  <si>
    <t>53 19</t>
  </si>
  <si>
    <t>18 111</t>
  </si>
  <si>
    <t>48 345</t>
  </si>
  <si>
    <t>37 111</t>
  </si>
  <si>
    <t>4 11</t>
  </si>
  <si>
    <t>37 33</t>
  </si>
  <si>
    <t>20 85</t>
  </si>
  <si>
    <t>51 85</t>
  </si>
  <si>
    <t>35 55</t>
  </si>
  <si>
    <t>38 3</t>
  </si>
  <si>
    <t>12 119</t>
  </si>
  <si>
    <t>48 49</t>
  </si>
  <si>
    <t>48 297</t>
  </si>
  <si>
    <t>35 43</t>
  </si>
  <si>
    <t>13 305</t>
  </si>
  <si>
    <t>21 49</t>
  </si>
  <si>
    <t>51 840</t>
  </si>
  <si>
    <t>17 189</t>
  </si>
  <si>
    <t>22 41</t>
  </si>
  <si>
    <t>27 9</t>
  </si>
  <si>
    <t>55 39</t>
  </si>
  <si>
    <t>51 195</t>
  </si>
  <si>
    <t>31 107</t>
  </si>
  <si>
    <t>12 87</t>
  </si>
  <si>
    <t>51 117</t>
  </si>
  <si>
    <t>34 9</t>
  </si>
  <si>
    <t>48 239</t>
  </si>
  <si>
    <t>36 23</t>
  </si>
  <si>
    <t>19 139</t>
  </si>
  <si>
    <t>26 133</t>
  </si>
  <si>
    <t>17 61</t>
  </si>
  <si>
    <t>16 31</t>
  </si>
  <si>
    <t>22 91</t>
  </si>
  <si>
    <t>18 21</t>
  </si>
  <si>
    <t>51 63</t>
  </si>
  <si>
    <t>2 110</t>
  </si>
  <si>
    <t>31 3</t>
  </si>
  <si>
    <t>5 125</t>
  </si>
  <si>
    <t>34 25</t>
  </si>
  <si>
    <t>30 101</t>
  </si>
  <si>
    <t>13 265</t>
  </si>
  <si>
    <t>51 149</t>
  </si>
  <si>
    <t>56 37</t>
  </si>
  <si>
    <t>51 75</t>
  </si>
  <si>
    <t>17 59</t>
  </si>
  <si>
    <t>47 141</t>
  </si>
  <si>
    <t>27 147</t>
  </si>
  <si>
    <t>11 31</t>
  </si>
  <si>
    <t>21 145</t>
  </si>
  <si>
    <t>20 11</t>
  </si>
  <si>
    <t>19 35</t>
  </si>
  <si>
    <t>47 137</t>
  </si>
  <si>
    <t>18 153</t>
  </si>
  <si>
    <t>29 103</t>
  </si>
  <si>
    <t>5 93</t>
  </si>
  <si>
    <t>26 73</t>
  </si>
  <si>
    <t>50 15</t>
  </si>
  <si>
    <t>28 65</t>
  </si>
  <si>
    <t>30 73</t>
  </si>
  <si>
    <t>48 229</t>
  </si>
  <si>
    <t>4 5</t>
  </si>
  <si>
    <t>29 23</t>
  </si>
  <si>
    <t>48 415</t>
  </si>
  <si>
    <t>55 33</t>
  </si>
  <si>
    <t>19 177</t>
  </si>
  <si>
    <t>27 45</t>
  </si>
  <si>
    <t>42 21</t>
  </si>
  <si>
    <t>31 165</t>
  </si>
  <si>
    <t>22 109</t>
  </si>
  <si>
    <t>21 41</t>
  </si>
  <si>
    <t>28 7</t>
  </si>
  <si>
    <t>36 77</t>
  </si>
  <si>
    <t>1 3</t>
  </si>
  <si>
    <t>39 143</t>
  </si>
  <si>
    <t>5 81</t>
  </si>
  <si>
    <t>26 21</t>
  </si>
  <si>
    <t>17 71</t>
  </si>
  <si>
    <t>17 57</t>
  </si>
  <si>
    <t>18 71</t>
  </si>
  <si>
    <t>38 93</t>
  </si>
  <si>
    <t>29 189</t>
  </si>
  <si>
    <t>40 19</t>
  </si>
  <si>
    <t>48 445</t>
  </si>
  <si>
    <t>12 51</t>
  </si>
  <si>
    <t>48 335</t>
  </si>
  <si>
    <t>39 87</t>
  </si>
  <si>
    <t>51 163</t>
  </si>
  <si>
    <t>13 151</t>
  </si>
  <si>
    <t>48 413</t>
  </si>
  <si>
    <t>48 263</t>
  </si>
  <si>
    <t>48 451</t>
  </si>
  <si>
    <t>13 135</t>
  </si>
  <si>
    <t>21 37</t>
  </si>
  <si>
    <t>1 107</t>
  </si>
  <si>
    <t>42 17</t>
  </si>
  <si>
    <t>29 65</t>
  </si>
  <si>
    <t>48 489</t>
  </si>
  <si>
    <t>54 3</t>
  </si>
  <si>
    <t>42 3</t>
  </si>
  <si>
    <t>45 49</t>
  </si>
  <si>
    <t>30 13</t>
  </si>
  <si>
    <t>40 117</t>
  </si>
  <si>
    <t>37 157</t>
  </si>
  <si>
    <t>16 7</t>
  </si>
  <si>
    <t>37 113</t>
  </si>
  <si>
    <t>19 175</t>
  </si>
  <si>
    <t>53 33</t>
  </si>
  <si>
    <t>48 469</t>
  </si>
  <si>
    <t>46 111</t>
  </si>
  <si>
    <t>19 99</t>
  </si>
  <si>
    <t>45 47</t>
  </si>
  <si>
    <t>26 39</t>
  </si>
  <si>
    <t>28 43</t>
  </si>
  <si>
    <t>39 7</t>
  </si>
  <si>
    <t>20 13</t>
  </si>
  <si>
    <t>19 187</t>
  </si>
  <si>
    <t>38 53</t>
  </si>
  <si>
    <t>48 109</t>
  </si>
  <si>
    <t>17 139</t>
  </si>
  <si>
    <t>49 39</t>
  </si>
  <si>
    <t>53 51</t>
  </si>
  <si>
    <t>51 5</t>
  </si>
  <si>
    <t>55 107</t>
  </si>
  <si>
    <t>48 309</t>
  </si>
  <si>
    <t>5 87</t>
  </si>
  <si>
    <t>5 147</t>
  </si>
  <si>
    <t>28 107</t>
  </si>
  <si>
    <t>21 163</t>
  </si>
  <si>
    <t>51 113</t>
  </si>
  <si>
    <t>51 109</t>
  </si>
  <si>
    <t>30 39</t>
  </si>
  <si>
    <t>42 125</t>
  </si>
  <si>
    <t>36 1</t>
  </si>
  <si>
    <t>9 3</t>
  </si>
  <si>
    <t>42 97</t>
  </si>
  <si>
    <t>48 313</t>
  </si>
  <si>
    <t>36 45</t>
  </si>
  <si>
    <t>28 1</t>
  </si>
  <si>
    <t>21 147</t>
  </si>
  <si>
    <t>34 15</t>
  </si>
  <si>
    <t>5 43</t>
  </si>
  <si>
    <t>19 165</t>
  </si>
  <si>
    <t>54 81</t>
  </si>
  <si>
    <t>51 43</t>
  </si>
  <si>
    <t>13 217</t>
  </si>
  <si>
    <t>48 103</t>
  </si>
  <si>
    <t>19 179</t>
  </si>
  <si>
    <t>13 75</t>
  </si>
  <si>
    <t>27 27</t>
  </si>
  <si>
    <t>27 29</t>
  </si>
  <si>
    <t>51 685</t>
  </si>
  <si>
    <t>26 143</t>
  </si>
  <si>
    <t>27 33</t>
  </si>
  <si>
    <t>51 79</t>
  </si>
  <si>
    <t>48 251</t>
  </si>
  <si>
    <t>53 5</t>
  </si>
  <si>
    <t>18 113</t>
  </si>
  <si>
    <t>17 169</t>
  </si>
  <si>
    <t>5 105</t>
  </si>
  <si>
    <t>12 11</t>
  </si>
  <si>
    <t>27 77</t>
  </si>
  <si>
    <t>6 65</t>
  </si>
  <si>
    <t>55 141</t>
  </si>
  <si>
    <t>49 9</t>
  </si>
  <si>
    <t>30 33</t>
  </si>
  <si>
    <t>51 670</t>
  </si>
  <si>
    <t>48 327</t>
  </si>
  <si>
    <t>37 85</t>
  </si>
  <si>
    <t>19 5</t>
  </si>
  <si>
    <t>29 227</t>
  </si>
  <si>
    <t>8 103</t>
  </si>
  <si>
    <t>21 123</t>
  </si>
  <si>
    <t>26 147</t>
  </si>
  <si>
    <t>49 27</t>
  </si>
  <si>
    <t>35 45</t>
  </si>
  <si>
    <t>28 59</t>
  </si>
  <si>
    <t>12 111</t>
  </si>
  <si>
    <t>20 101</t>
  </si>
  <si>
    <t>53 9</t>
  </si>
  <si>
    <t>56 25</t>
  </si>
  <si>
    <t>39 133</t>
  </si>
  <si>
    <t>47 33</t>
  </si>
  <si>
    <t>20 63</t>
  </si>
  <si>
    <t>47 43</t>
  </si>
  <si>
    <t>21 79</t>
  </si>
  <si>
    <t>13 159</t>
  </si>
  <si>
    <t>51 580</t>
  </si>
  <si>
    <t>20 159</t>
  </si>
  <si>
    <t>42 71</t>
  </si>
  <si>
    <t>29 79</t>
  </si>
  <si>
    <t>35 23</t>
  </si>
  <si>
    <t>53 67</t>
  </si>
  <si>
    <t>13 133</t>
  </si>
  <si>
    <t>13 317</t>
  </si>
  <si>
    <t>54 105</t>
  </si>
  <si>
    <t>22 121</t>
  </si>
  <si>
    <t>17 157</t>
  </si>
  <si>
    <t>27 55</t>
  </si>
  <si>
    <t>20 21</t>
  </si>
  <si>
    <t>6 49</t>
  </si>
  <si>
    <t>18 25</t>
  </si>
  <si>
    <t>19 3</t>
  </si>
  <si>
    <t>22 115</t>
  </si>
  <si>
    <t>45 35</t>
  </si>
  <si>
    <t>8 33</t>
  </si>
  <si>
    <t>17 21</t>
  </si>
  <si>
    <t>27 99</t>
  </si>
  <si>
    <t>42 59</t>
  </si>
  <si>
    <t>8 95</t>
  </si>
  <si>
    <t>38 91</t>
  </si>
  <si>
    <t>27 53</t>
  </si>
  <si>
    <t>37 17</t>
  </si>
  <si>
    <t>34 11</t>
  </si>
  <si>
    <t>37 47</t>
  </si>
  <si>
    <t>37 65</t>
  </si>
  <si>
    <t>17 105</t>
  </si>
  <si>
    <t>27 157</t>
  </si>
  <si>
    <t>38 47</t>
  </si>
  <si>
    <t>55 87</t>
  </si>
  <si>
    <t>1 53</t>
  </si>
  <si>
    <t>17 161</t>
  </si>
  <si>
    <t>8 19</t>
  </si>
  <si>
    <t>8 125</t>
  </si>
  <si>
    <t>40 105</t>
  </si>
  <si>
    <t>34 37</t>
  </si>
  <si>
    <t>47 133</t>
  </si>
  <si>
    <t>28 67</t>
  </si>
  <si>
    <t>8 1</t>
  </si>
  <si>
    <t>34 3</t>
  </si>
  <si>
    <t>12 1</t>
  </si>
  <si>
    <t>12 59</t>
  </si>
  <si>
    <t>46 109</t>
  </si>
  <si>
    <t>17 193</t>
  </si>
  <si>
    <t>27 91</t>
  </si>
  <si>
    <t>16 39</t>
  </si>
  <si>
    <t>18 119</t>
  </si>
  <si>
    <t>24 43</t>
  </si>
  <si>
    <t>30 25</t>
  </si>
  <si>
    <t>46 91</t>
  </si>
  <si>
    <t>48 291</t>
  </si>
  <si>
    <t>37 27</t>
  </si>
  <si>
    <t>22 77</t>
  </si>
  <si>
    <t>19 95</t>
  </si>
  <si>
    <t>48 487</t>
  </si>
  <si>
    <t>40 49</t>
  </si>
  <si>
    <t>55 1</t>
  </si>
  <si>
    <t>21 205</t>
  </si>
  <si>
    <t>49 43</t>
  </si>
  <si>
    <t>39 21</t>
  </si>
  <si>
    <t>13 319</t>
  </si>
  <si>
    <t>2 150</t>
  </si>
  <si>
    <t>17 55</t>
  </si>
  <si>
    <t>12 109</t>
  </si>
  <si>
    <t>29 199</t>
  </si>
  <si>
    <t>16 35</t>
  </si>
  <si>
    <t>16 49</t>
  </si>
  <si>
    <t>45 31</t>
  </si>
  <si>
    <t>13 95</t>
  </si>
  <si>
    <t>36 29</t>
  </si>
  <si>
    <t>46 71</t>
  </si>
  <si>
    <t>48 457</t>
  </si>
  <si>
    <t>29 186</t>
  </si>
  <si>
    <t>37 149</t>
  </si>
  <si>
    <t>37 5</t>
  </si>
  <si>
    <t>55 13</t>
  </si>
  <si>
    <t>27 111</t>
  </si>
  <si>
    <t>12 89</t>
  </si>
  <si>
    <t>13 147</t>
  </si>
  <si>
    <t>39 105</t>
  </si>
  <si>
    <t>39 85</t>
  </si>
  <si>
    <t>40 43</t>
  </si>
  <si>
    <t>51 93</t>
  </si>
  <si>
    <t>48 279</t>
  </si>
  <si>
    <t>18 35</t>
  </si>
  <si>
    <t>17 39</t>
  </si>
  <si>
    <t>29 133</t>
  </si>
  <si>
    <t>21 21</t>
  </si>
  <si>
    <t>48 165</t>
  </si>
  <si>
    <t>6 47</t>
  </si>
  <si>
    <t>22 63</t>
  </si>
  <si>
    <t>41 25</t>
  </si>
  <si>
    <t>48 107</t>
  </si>
  <si>
    <t>13 33</t>
  </si>
  <si>
    <t>26 87</t>
  </si>
  <si>
    <t>20 125</t>
  </si>
  <si>
    <t>13 7</t>
  </si>
  <si>
    <t>4 7</t>
  </si>
  <si>
    <t>19 163</t>
  </si>
  <si>
    <t>26 9</t>
  </si>
  <si>
    <t>22 23</t>
  </si>
  <si>
    <t>36 53</t>
  </si>
  <si>
    <t>29 99</t>
  </si>
  <si>
    <t>48 153</t>
  </si>
  <si>
    <t>48 453</t>
  </si>
  <si>
    <t>51 99</t>
  </si>
  <si>
    <t>25 5</t>
  </si>
  <si>
    <t>45 11</t>
  </si>
  <si>
    <t>48 495</t>
  </si>
  <si>
    <t>42 9</t>
  </si>
  <si>
    <t>29 39</t>
  </si>
  <si>
    <t>55 9</t>
  </si>
  <si>
    <t>12 13</t>
  </si>
  <si>
    <t>21 127</t>
  </si>
  <si>
    <t>54 1</t>
  </si>
  <si>
    <t>21 217</t>
  </si>
  <si>
    <t>48 17</t>
  </si>
  <si>
    <t>13 105</t>
  </si>
  <si>
    <t>13 223</t>
  </si>
  <si>
    <t>1 111</t>
  </si>
  <si>
    <t>13 237</t>
  </si>
  <si>
    <t>27 93</t>
  </si>
  <si>
    <t>23 3</t>
  </si>
  <si>
    <t>13 279</t>
  </si>
  <si>
    <t>38 17</t>
  </si>
  <si>
    <t>37 97</t>
  </si>
  <si>
    <t>48 441</t>
  </si>
  <si>
    <t>39 149</t>
  </si>
  <si>
    <t>8 59</t>
  </si>
  <si>
    <t>51 181</t>
  </si>
  <si>
    <t>56 19</t>
  </si>
  <si>
    <t>49 15</t>
  </si>
  <si>
    <t>50 25</t>
  </si>
  <si>
    <t>49 25</t>
  </si>
  <si>
    <t>19 105</t>
  </si>
  <si>
    <t>16 9</t>
  </si>
  <si>
    <t>46 55</t>
  </si>
  <si>
    <t>48 439</t>
  </si>
  <si>
    <t>47 87</t>
  </si>
  <si>
    <t>27 49</t>
  </si>
  <si>
    <t>51 167</t>
  </si>
  <si>
    <t>22 45</t>
  </si>
  <si>
    <t>13 55</t>
  </si>
  <si>
    <t>2 50</t>
  </si>
  <si>
    <t>13 17</t>
  </si>
  <si>
    <t>31 139</t>
  </si>
  <si>
    <t>29 105</t>
  </si>
  <si>
    <t>46 121</t>
  </si>
  <si>
    <t>51 750</t>
  </si>
  <si>
    <t>22 15</t>
  </si>
  <si>
    <t>28 53</t>
  </si>
  <si>
    <t>31 67</t>
  </si>
  <si>
    <t>41 17</t>
  </si>
  <si>
    <t>21 167</t>
  </si>
  <si>
    <t>21 187</t>
  </si>
  <si>
    <t>1 103</t>
  </si>
  <si>
    <t>27 169</t>
  </si>
  <si>
    <t>28 93</t>
  </si>
  <si>
    <t>31 23</t>
  </si>
  <si>
    <t>47 57</t>
  </si>
  <si>
    <t>35 29</t>
  </si>
  <si>
    <t>1 41</t>
  </si>
  <si>
    <t>47 101</t>
  </si>
  <si>
    <t>34 5</t>
  </si>
  <si>
    <t>39 75</t>
  </si>
  <si>
    <t>17 177</t>
  </si>
  <si>
    <t>48 325</t>
  </si>
  <si>
    <t>50 23</t>
  </si>
  <si>
    <t>50 9</t>
  </si>
  <si>
    <t>18 95</t>
  </si>
  <si>
    <t>48 47</t>
  </si>
  <si>
    <t>38 57</t>
  </si>
  <si>
    <t>55 79</t>
  </si>
  <si>
    <t>5 51</t>
  </si>
  <si>
    <t>21 57</t>
  </si>
  <si>
    <t>26 11</t>
  </si>
  <si>
    <t>29 185</t>
  </si>
  <si>
    <t>21 175</t>
  </si>
  <si>
    <t>51 53</t>
  </si>
  <si>
    <t>20 65</t>
  </si>
  <si>
    <t>55 43</t>
  </si>
  <si>
    <t>17 131</t>
  </si>
  <si>
    <t>27 15</t>
  </si>
  <si>
    <t>39 93</t>
  </si>
  <si>
    <t>42 19</t>
  </si>
  <si>
    <t>48 39</t>
  </si>
  <si>
    <t>13 175</t>
  </si>
  <si>
    <t>13 197</t>
  </si>
  <si>
    <t>50 21</t>
  </si>
  <si>
    <t>38 23</t>
  </si>
  <si>
    <t>13 185</t>
  </si>
  <si>
    <t>31 79</t>
  </si>
  <si>
    <t>27 19</t>
  </si>
  <si>
    <t>13 25</t>
  </si>
  <si>
    <t>16 29</t>
  </si>
  <si>
    <t>30 57</t>
  </si>
  <si>
    <t>5 63</t>
  </si>
  <si>
    <t>31 131</t>
  </si>
  <si>
    <t>20 115</t>
  </si>
  <si>
    <t>13 249</t>
  </si>
  <si>
    <t>38 41</t>
  </si>
  <si>
    <t>29 171</t>
  </si>
  <si>
    <t>36 111</t>
  </si>
  <si>
    <t>19 145</t>
  </si>
  <si>
    <t>9 11</t>
  </si>
  <si>
    <t>28 21</t>
  </si>
  <si>
    <t>31 151</t>
  </si>
  <si>
    <t>6 21</t>
  </si>
  <si>
    <t>48 211</t>
  </si>
  <si>
    <t>6 103</t>
  </si>
  <si>
    <t>40 61</t>
  </si>
  <si>
    <t>32 21</t>
  </si>
  <si>
    <t>26 75</t>
  </si>
  <si>
    <t>37 173</t>
  </si>
  <si>
    <t>17 81</t>
  </si>
  <si>
    <t>41 49</t>
  </si>
  <si>
    <t>18 91</t>
  </si>
  <si>
    <t>21 213</t>
  </si>
  <si>
    <t>21 23</t>
  </si>
  <si>
    <t>8 119</t>
  </si>
  <si>
    <t>45 15</t>
  </si>
  <si>
    <t>41 57</t>
  </si>
  <si>
    <t>8 71</t>
  </si>
  <si>
    <t>37 193</t>
  </si>
  <si>
    <t>38 73</t>
  </si>
  <si>
    <t>31 167</t>
  </si>
  <si>
    <t>45 67</t>
  </si>
  <si>
    <t>13 115</t>
  </si>
  <si>
    <t>24 41</t>
  </si>
  <si>
    <t>18 15</t>
  </si>
  <si>
    <t>51 135</t>
  </si>
  <si>
    <t>40 59</t>
  </si>
  <si>
    <t>20 197</t>
  </si>
  <si>
    <t>27 95</t>
  </si>
  <si>
    <t>1 47</t>
  </si>
  <si>
    <t>31 161</t>
  </si>
  <si>
    <t>5 11</t>
  </si>
  <si>
    <t>28 75</t>
  </si>
  <si>
    <t>35 31</t>
  </si>
  <si>
    <t>39 27</t>
  </si>
  <si>
    <t>51 41</t>
  </si>
  <si>
    <t>21 51</t>
  </si>
  <si>
    <t>32 31</t>
  </si>
  <si>
    <t>28 139</t>
  </si>
  <si>
    <t>29 19</t>
  </si>
  <si>
    <t>37 179</t>
  </si>
  <si>
    <t>18 7</t>
  </si>
  <si>
    <t>17 101</t>
  </si>
  <si>
    <t>40 77</t>
  </si>
  <si>
    <t>13 91</t>
  </si>
  <si>
    <t>1 57</t>
  </si>
  <si>
    <t>29 11</t>
  </si>
  <si>
    <t>55 97</t>
  </si>
  <si>
    <t>42 95</t>
  </si>
  <si>
    <t>25 3</t>
  </si>
  <si>
    <t>22 57</t>
  </si>
  <si>
    <t>38 55</t>
  </si>
  <si>
    <t>20 3</t>
  </si>
  <si>
    <t>20 201</t>
  </si>
  <si>
    <t>1 45</t>
  </si>
  <si>
    <t>47 19</t>
  </si>
  <si>
    <t>19 127</t>
  </si>
  <si>
    <t>26 25</t>
  </si>
  <si>
    <t>45 69</t>
  </si>
  <si>
    <t>46 27</t>
  </si>
  <si>
    <t>5 5</t>
  </si>
  <si>
    <t>6 77</t>
  </si>
  <si>
    <t>30 7</t>
  </si>
  <si>
    <t>36 61</t>
  </si>
  <si>
    <t>51 177</t>
  </si>
  <si>
    <t>8 45</t>
  </si>
  <si>
    <t>40 79</t>
  </si>
  <si>
    <t>47 39</t>
  </si>
  <si>
    <t>40 3</t>
  </si>
  <si>
    <t>18 151</t>
  </si>
  <si>
    <t>1 123</t>
  </si>
  <si>
    <t>28 113</t>
  </si>
  <si>
    <t>31 137</t>
  </si>
  <si>
    <t>29 71</t>
  </si>
  <si>
    <t>48 15</t>
  </si>
  <si>
    <t>48 323</t>
  </si>
  <si>
    <t>13 53</t>
  </si>
  <si>
    <t>8 17</t>
  </si>
  <si>
    <t>45 65</t>
  </si>
  <si>
    <t>39 49</t>
  </si>
  <si>
    <t>12 27</t>
  </si>
  <si>
    <t>28 51</t>
  </si>
  <si>
    <t>50 5</t>
  </si>
  <si>
    <t>42 65</t>
  </si>
  <si>
    <t>37 71</t>
  </si>
  <si>
    <t>6 89</t>
  </si>
  <si>
    <t>54 47</t>
  </si>
  <si>
    <t>55 89</t>
  </si>
  <si>
    <t>41 13</t>
  </si>
  <si>
    <t>29 157</t>
  </si>
  <si>
    <t>36 99</t>
  </si>
  <si>
    <t>47 17</t>
  </si>
  <si>
    <t>48 119</t>
  </si>
  <si>
    <t>16 19</t>
  </si>
  <si>
    <t>6 55</t>
  </si>
  <si>
    <t>40 115</t>
  </si>
  <si>
    <t>42 7</t>
  </si>
  <si>
    <t>20 71</t>
  </si>
  <si>
    <t>19 133</t>
  </si>
  <si>
    <t>17 25</t>
  </si>
  <si>
    <t>41 23</t>
  </si>
  <si>
    <t>18 81</t>
  </si>
  <si>
    <t>6 35</t>
  </si>
  <si>
    <t>6 109</t>
  </si>
  <si>
    <t>1 7</t>
  </si>
  <si>
    <t>48 221</t>
  </si>
  <si>
    <t>19 85</t>
  </si>
  <si>
    <t>21 91</t>
  </si>
  <si>
    <t>21 111</t>
  </si>
  <si>
    <t>6 97</t>
  </si>
  <si>
    <t>28 61</t>
  </si>
  <si>
    <t>20 9</t>
  </si>
  <si>
    <t>1 15</t>
  </si>
  <si>
    <t>47 129</t>
  </si>
  <si>
    <t>36 51</t>
  </si>
  <si>
    <t>5 17</t>
  </si>
  <si>
    <t>29 45</t>
  </si>
  <si>
    <t>51 1</t>
  </si>
  <si>
    <t>16 51</t>
  </si>
  <si>
    <t>48 363</t>
  </si>
  <si>
    <t>21 13</t>
  </si>
  <si>
    <t>51 3</t>
  </si>
  <si>
    <t>2 232</t>
  </si>
  <si>
    <t>21 59</t>
  </si>
  <si>
    <t>48 183</t>
  </si>
  <si>
    <t>40 45</t>
  </si>
  <si>
    <t>51 57</t>
  </si>
  <si>
    <t>51 47</t>
  </si>
  <si>
    <t>51 165</t>
  </si>
  <si>
    <t>20 53</t>
  </si>
  <si>
    <t>29 75</t>
  </si>
  <si>
    <t>36 121</t>
  </si>
  <si>
    <t>25 13</t>
  </si>
  <si>
    <t>19 37</t>
  </si>
  <si>
    <t>13 81</t>
  </si>
  <si>
    <t>54 63</t>
  </si>
  <si>
    <t>28 151</t>
  </si>
  <si>
    <t>48 435</t>
  </si>
  <si>
    <t>16 47</t>
  </si>
  <si>
    <t>42 63</t>
  </si>
  <si>
    <t>8 77</t>
  </si>
  <si>
    <t>6 107</t>
  </si>
  <si>
    <t>51 11</t>
  </si>
  <si>
    <t>26 101</t>
  </si>
  <si>
    <t>47 143</t>
  </si>
  <si>
    <t>18 173</t>
  </si>
  <si>
    <t>1 97</t>
  </si>
  <si>
    <t>5 149</t>
  </si>
  <si>
    <t>51 69</t>
  </si>
  <si>
    <t>19 161</t>
  </si>
  <si>
    <t>20 25</t>
  </si>
  <si>
    <t>39 125</t>
  </si>
  <si>
    <t>21 95</t>
  </si>
  <si>
    <t>55 93</t>
  </si>
  <si>
    <t>39 77</t>
  </si>
  <si>
    <t>17 123</t>
  </si>
  <si>
    <t>54 79</t>
  </si>
  <si>
    <t>13 233</t>
  </si>
  <si>
    <t>54 77</t>
  </si>
  <si>
    <t>29 179</t>
  </si>
  <si>
    <t>48 361</t>
  </si>
  <si>
    <t>46 9</t>
  </si>
  <si>
    <t>21 9</t>
  </si>
  <si>
    <t>34 17</t>
  </si>
  <si>
    <t>53 11</t>
  </si>
  <si>
    <t>48 147</t>
  </si>
  <si>
    <t>28 57</t>
  </si>
  <si>
    <t>56 15</t>
  </si>
  <si>
    <t>48 407</t>
  </si>
  <si>
    <t>27 155</t>
  </si>
  <si>
    <t>39 19</t>
  </si>
  <si>
    <t>35 41</t>
  </si>
  <si>
    <t>17 85</t>
  </si>
  <si>
    <t>38 5</t>
  </si>
  <si>
    <t>45 57</t>
  </si>
  <si>
    <t>27 107</t>
  </si>
  <si>
    <t>28 35</t>
  </si>
  <si>
    <t>35 3</t>
  </si>
  <si>
    <t>48 357</t>
  </si>
  <si>
    <t>22 75</t>
  </si>
  <si>
    <t>20 35</t>
  </si>
  <si>
    <t>41 1</t>
  </si>
  <si>
    <t>17 107</t>
  </si>
  <si>
    <t>48 395</t>
  </si>
  <si>
    <t>9 15</t>
  </si>
  <si>
    <t>16 87</t>
  </si>
  <si>
    <t>54 87</t>
  </si>
  <si>
    <t>8 37</t>
  </si>
  <si>
    <t>47 63</t>
  </si>
  <si>
    <t>50 3</t>
  </si>
  <si>
    <t>12 47</t>
  </si>
  <si>
    <t>30 75</t>
  </si>
  <si>
    <t>12 33</t>
  </si>
  <si>
    <t>28 79</t>
  </si>
  <si>
    <t>31 121</t>
  </si>
  <si>
    <t>19 63</t>
  </si>
  <si>
    <t>38 27</t>
  </si>
  <si>
    <t>48 195</t>
  </si>
  <si>
    <t>33 5</t>
  </si>
  <si>
    <t>40 9</t>
  </si>
  <si>
    <t>51 590</t>
  </si>
  <si>
    <t>21 191</t>
  </si>
  <si>
    <t>28 163</t>
  </si>
  <si>
    <t>50 1</t>
  </si>
  <si>
    <t>42 133</t>
  </si>
  <si>
    <t>5 83</t>
  </si>
  <si>
    <t>22 83</t>
  </si>
  <si>
    <t>13 275</t>
  </si>
  <si>
    <t>19 15</t>
  </si>
  <si>
    <t>48 43</t>
  </si>
  <si>
    <t>45 25</t>
  </si>
  <si>
    <t>13 251</t>
  </si>
  <si>
    <t>37 123</t>
  </si>
  <si>
    <t>26 131</t>
  </si>
  <si>
    <t>49 53</t>
  </si>
  <si>
    <t>21 235</t>
  </si>
  <si>
    <t>37 119</t>
  </si>
  <si>
    <t>51 143</t>
  </si>
  <si>
    <t>4 25</t>
  </si>
  <si>
    <t>36 89</t>
  </si>
  <si>
    <t>39 155</t>
  </si>
  <si>
    <t>19 123</t>
  </si>
  <si>
    <t>55 109</t>
  </si>
  <si>
    <t>48 225</t>
  </si>
  <si>
    <t>46 61</t>
  </si>
  <si>
    <t>51 830</t>
  </si>
  <si>
    <t>46 101</t>
  </si>
  <si>
    <t>40 107</t>
  </si>
  <si>
    <t>20 95</t>
  </si>
  <si>
    <t>39 51</t>
  </si>
  <si>
    <t>31 11</t>
  </si>
  <si>
    <t>18 89</t>
  </si>
  <si>
    <t>21 233</t>
  </si>
  <si>
    <t>38 85</t>
  </si>
  <si>
    <t>31 113</t>
  </si>
  <si>
    <t>19 7</t>
  </si>
  <si>
    <t>18 167</t>
  </si>
  <si>
    <t>12 67</t>
  </si>
  <si>
    <t>40 101</t>
  </si>
  <si>
    <t>46 75</t>
  </si>
  <si>
    <t>19 129</t>
  </si>
  <si>
    <t>44 5</t>
  </si>
  <si>
    <t>39 3</t>
  </si>
  <si>
    <t>42 47</t>
  </si>
  <si>
    <t>48 5</t>
  </si>
  <si>
    <t>46 135</t>
  </si>
  <si>
    <t>24 11</t>
  </si>
  <si>
    <t>44 3</t>
  </si>
  <si>
    <t>48 67</t>
  </si>
  <si>
    <t>21 39</t>
  </si>
  <si>
    <t>51 21</t>
  </si>
  <si>
    <t>54 99</t>
  </si>
  <si>
    <t>37 159</t>
  </si>
  <si>
    <t>18 3</t>
  </si>
  <si>
    <t>51 683</t>
  </si>
  <si>
    <t>37 1</t>
  </si>
  <si>
    <t>24 17</t>
  </si>
  <si>
    <t>25 19</t>
  </si>
  <si>
    <t>16 27</t>
  </si>
  <si>
    <t>13 71</t>
  </si>
  <si>
    <t>13 211</t>
  </si>
  <si>
    <t>30 27</t>
  </si>
  <si>
    <t>48 381</t>
  </si>
  <si>
    <t>56 33</t>
  </si>
  <si>
    <t>13 145</t>
  </si>
  <si>
    <t>4 19</t>
  </si>
  <si>
    <t>47 189</t>
  </si>
  <si>
    <t>38 89</t>
  </si>
  <si>
    <t>39 73</t>
  </si>
  <si>
    <t>39 69</t>
  </si>
  <si>
    <t>13 107</t>
  </si>
  <si>
    <t>42 87</t>
  </si>
  <si>
    <t>6 73</t>
  </si>
  <si>
    <t>29 143</t>
  </si>
  <si>
    <t>40 95</t>
  </si>
  <si>
    <t>28 143</t>
  </si>
  <si>
    <t>2 220</t>
  </si>
  <si>
    <t>48 271</t>
  </si>
  <si>
    <t>32 29</t>
  </si>
  <si>
    <t>28 13</t>
  </si>
  <si>
    <t>26 91</t>
  </si>
  <si>
    <t>53 39</t>
  </si>
  <si>
    <t>35 6</t>
  </si>
  <si>
    <t>45 45</t>
  </si>
  <si>
    <t>31 77</t>
  </si>
  <si>
    <t>50 27</t>
  </si>
  <si>
    <t>31 163</t>
  </si>
  <si>
    <t>37 175</t>
  </si>
  <si>
    <t>30 9</t>
  </si>
  <si>
    <t>48 175</t>
  </si>
  <si>
    <t>19 81</t>
  </si>
  <si>
    <t>20 117</t>
  </si>
  <si>
    <t>51 103</t>
  </si>
  <si>
    <t>1 67</t>
  </si>
  <si>
    <t>22 113</t>
  </si>
  <si>
    <t>36 123</t>
  </si>
  <si>
    <t>55 47</t>
  </si>
  <si>
    <t>55 35</t>
  </si>
  <si>
    <t>26 1</t>
  </si>
  <si>
    <t>21 19</t>
  </si>
  <si>
    <t>37 89</t>
  </si>
  <si>
    <t>55 19</t>
  </si>
  <si>
    <t>21 101</t>
  </si>
  <si>
    <t>37 93</t>
  </si>
  <si>
    <t>16 25</t>
  </si>
  <si>
    <t>31 123</t>
  </si>
  <si>
    <t>9 9</t>
  </si>
  <si>
    <t>35 1</t>
  </si>
  <si>
    <t>48 433</t>
  </si>
  <si>
    <t>48 315</t>
  </si>
  <si>
    <t>39 99</t>
  </si>
  <si>
    <t>26 97</t>
  </si>
  <si>
    <t>28 137</t>
  </si>
  <si>
    <t>29 145</t>
  </si>
  <si>
    <t>26 105</t>
  </si>
  <si>
    <t>48 87</t>
  </si>
  <si>
    <t>21 229</t>
  </si>
  <si>
    <t>4 21</t>
  </si>
  <si>
    <t>26 99</t>
  </si>
  <si>
    <t>2 90</t>
  </si>
  <si>
    <t>54 51</t>
  </si>
  <si>
    <t>26 117</t>
  </si>
  <si>
    <t>47 161</t>
  </si>
  <si>
    <t>19 111</t>
  </si>
  <si>
    <t>55 121</t>
  </si>
  <si>
    <t>29 73</t>
  </si>
  <si>
    <t>47 115</t>
  </si>
  <si>
    <t>51 595</t>
  </si>
  <si>
    <t>6 59</t>
  </si>
  <si>
    <t>48 33</t>
  </si>
  <si>
    <t>16 81</t>
  </si>
  <si>
    <t>1 81</t>
  </si>
  <si>
    <t>48 503</t>
  </si>
  <si>
    <t>48 505</t>
  </si>
  <si>
    <t>42 105</t>
  </si>
  <si>
    <t>21 157</t>
  </si>
  <si>
    <t>51 820</t>
  </si>
  <si>
    <t>22 103</t>
  </si>
  <si>
    <t>37 59</t>
  </si>
  <si>
    <t>55 59</t>
  </si>
  <si>
    <t>51 83</t>
  </si>
  <si>
    <t>2 282</t>
  </si>
  <si>
    <t>12 45</t>
  </si>
  <si>
    <t>39 37</t>
  </si>
  <si>
    <t>27 143</t>
  </si>
  <si>
    <t>6 105</t>
  </si>
  <si>
    <t>55 99</t>
  </si>
  <si>
    <t>39 43</t>
  </si>
  <si>
    <t>51 740</t>
  </si>
  <si>
    <t>30 93</t>
  </si>
  <si>
    <t>12 127</t>
  </si>
  <si>
    <t>17 173</t>
  </si>
  <si>
    <t>51 800</t>
  </si>
  <si>
    <t>46 103</t>
  </si>
  <si>
    <t>48 181</t>
  </si>
  <si>
    <t>10 3</t>
  </si>
  <si>
    <t>41 5</t>
  </si>
  <si>
    <t>30 109</t>
  </si>
  <si>
    <t>18 93</t>
  </si>
  <si>
    <t>13 225</t>
  </si>
  <si>
    <t>22 69</t>
  </si>
  <si>
    <t>38 75</t>
  </si>
  <si>
    <t>51 111</t>
  </si>
  <si>
    <t>47 125</t>
  </si>
  <si>
    <t>51 131</t>
  </si>
  <si>
    <t>37 73</t>
  </si>
  <si>
    <t>1 119</t>
  </si>
  <si>
    <t>34 19</t>
  </si>
  <si>
    <t>56 5</t>
  </si>
  <si>
    <t>21 129</t>
  </si>
  <si>
    <t>6 29</t>
  </si>
  <si>
    <t>51 7</t>
  </si>
  <si>
    <t>2 130</t>
  </si>
  <si>
    <t>19 91</t>
  </si>
  <si>
    <t>29 161</t>
  </si>
  <si>
    <t>48 133</t>
  </si>
  <si>
    <t>24 1</t>
  </si>
  <si>
    <t>20 165</t>
  </si>
  <si>
    <t>38 39</t>
  </si>
  <si>
    <t>28 105</t>
  </si>
  <si>
    <t>31 53</t>
  </si>
  <si>
    <t>21 209</t>
  </si>
  <si>
    <t>48 89</t>
  </si>
  <si>
    <t>25 15</t>
  </si>
  <si>
    <t>13 257</t>
  </si>
  <si>
    <t>41 71</t>
  </si>
  <si>
    <t>13 129</t>
  </si>
  <si>
    <t>20 129</t>
  </si>
  <si>
    <t>20 77</t>
  </si>
  <si>
    <t>28 55</t>
  </si>
  <si>
    <t>18 129</t>
  </si>
  <si>
    <t>8 63</t>
  </si>
  <si>
    <t>6 17</t>
  </si>
  <si>
    <t>47 149</t>
  </si>
  <si>
    <t>2 100</t>
  </si>
  <si>
    <t>12 41</t>
  </si>
  <si>
    <t>5 7</t>
  </si>
  <si>
    <t>42 43</t>
  </si>
  <si>
    <t>16 65</t>
  </si>
  <si>
    <t>56 31</t>
  </si>
  <si>
    <t>51 141</t>
  </si>
  <si>
    <t>31 45</t>
  </si>
  <si>
    <t>13 189</t>
  </si>
  <si>
    <t>45 13</t>
  </si>
  <si>
    <t>17 31</t>
  </si>
  <si>
    <t>51 35</t>
  </si>
  <si>
    <t>42 57</t>
  </si>
  <si>
    <t>19 93</t>
  </si>
  <si>
    <t>27 21</t>
  </si>
  <si>
    <t>21 227</t>
  </si>
  <si>
    <t>39 81</t>
  </si>
  <si>
    <t>42 107</t>
  </si>
  <si>
    <t>23 21</t>
  </si>
  <si>
    <t>45 61</t>
  </si>
  <si>
    <t>51 87</t>
  </si>
  <si>
    <t>20 163</t>
  </si>
  <si>
    <t>27 25</t>
  </si>
  <si>
    <t>5 99</t>
  </si>
  <si>
    <t>1 1</t>
  </si>
  <si>
    <t>27 73</t>
  </si>
  <si>
    <t>27 113</t>
  </si>
  <si>
    <t>38 87</t>
  </si>
  <si>
    <t>22 65</t>
  </si>
  <si>
    <t>18 57</t>
  </si>
  <si>
    <t>8 65</t>
  </si>
  <si>
    <t>23 11</t>
  </si>
  <si>
    <t>29 211</t>
  </si>
  <si>
    <t>16 85</t>
  </si>
  <si>
    <t>48 163</t>
  </si>
  <si>
    <t>18 47</t>
  </si>
  <si>
    <t>31 89</t>
  </si>
  <si>
    <t>48 169</t>
  </si>
  <si>
    <t>30 31</t>
  </si>
  <si>
    <t>38 95</t>
  </si>
  <si>
    <t>35 21</t>
  </si>
  <si>
    <t>55 85</t>
  </si>
  <si>
    <t>45 63</t>
  </si>
  <si>
    <t>34 41</t>
  </si>
  <si>
    <t>18 117</t>
  </si>
  <si>
    <t>34 21</t>
  </si>
  <si>
    <t>48 139</t>
  </si>
  <si>
    <t>47 131</t>
  </si>
  <si>
    <t>42 85</t>
  </si>
  <si>
    <t>47 169</t>
  </si>
  <si>
    <t>26 103</t>
  </si>
  <si>
    <t>49 3</t>
  </si>
  <si>
    <t>31 143</t>
  </si>
  <si>
    <t>12 103</t>
  </si>
  <si>
    <t>19 9</t>
  </si>
  <si>
    <t>13 1</t>
  </si>
  <si>
    <t>31 129</t>
  </si>
  <si>
    <t>19 115</t>
  </si>
  <si>
    <t>48 347</t>
  </si>
  <si>
    <t>1 29</t>
  </si>
  <si>
    <t>22 111</t>
  </si>
  <si>
    <t>20 39</t>
  </si>
  <si>
    <t>54 61</t>
  </si>
  <si>
    <t>28 11</t>
  </si>
  <si>
    <t>46 11</t>
  </si>
  <si>
    <t>30 63</t>
  </si>
  <si>
    <t>23 1</t>
  </si>
  <si>
    <t>29 125</t>
  </si>
  <si>
    <t>51 720</t>
  </si>
  <si>
    <t>27 125</t>
  </si>
  <si>
    <t>47 103</t>
  </si>
  <si>
    <t>37 161</t>
  </si>
  <si>
    <t>13 215</t>
  </si>
  <si>
    <t>49 33</t>
  </si>
  <si>
    <t>25 7</t>
  </si>
  <si>
    <t>41 33</t>
  </si>
  <si>
    <t>26 111</t>
  </si>
  <si>
    <t>55 113</t>
  </si>
  <si>
    <t>30 83</t>
  </si>
  <si>
    <t>51 37</t>
  </si>
  <si>
    <t>22 97</t>
  </si>
  <si>
    <t>19 171</t>
  </si>
  <si>
    <t>8 31</t>
  </si>
  <si>
    <t>18 43</t>
  </si>
  <si>
    <t>48 171</t>
  </si>
  <si>
    <t>54 13</t>
  </si>
  <si>
    <t>37 103</t>
  </si>
  <si>
    <t>22 31</t>
  </si>
  <si>
    <t>5 3</t>
  </si>
  <si>
    <t>55 139</t>
  </si>
  <si>
    <t>19 41</t>
  </si>
  <si>
    <t>36 117</t>
  </si>
  <si>
    <t>42 89</t>
  </si>
  <si>
    <t>41 7</t>
  </si>
  <si>
    <t>48 399</t>
  </si>
  <si>
    <t>5 139</t>
  </si>
  <si>
    <t>51 510</t>
  </si>
  <si>
    <t>20 191</t>
  </si>
  <si>
    <t>5 45</t>
  </si>
  <si>
    <t>21 83</t>
  </si>
  <si>
    <t>18 149</t>
  </si>
  <si>
    <t>6 101</t>
  </si>
  <si>
    <t>30 51</t>
  </si>
  <si>
    <t>20 103</t>
  </si>
  <si>
    <t>13 161</t>
  </si>
  <si>
    <t>51 115</t>
  </si>
  <si>
    <t>28 117</t>
  </si>
  <si>
    <t>35 53</t>
  </si>
  <si>
    <t>55 131</t>
  </si>
  <si>
    <t>21 99</t>
  </si>
  <si>
    <t>13 47</t>
  </si>
  <si>
    <t>46 5</t>
  </si>
  <si>
    <t>13 253</t>
  </si>
  <si>
    <t>21 203</t>
  </si>
  <si>
    <t>6 31</t>
  </si>
  <si>
    <t>51 139</t>
  </si>
  <si>
    <t>37 183</t>
  </si>
  <si>
    <t>51 81</t>
  </si>
  <si>
    <t>29 217</t>
  </si>
  <si>
    <t>13 117</t>
  </si>
  <si>
    <t>31 47</t>
  </si>
  <si>
    <t>36 17</t>
  </si>
  <si>
    <t>18 101</t>
  </si>
  <si>
    <t>37 77</t>
  </si>
  <si>
    <t>27 101</t>
  </si>
  <si>
    <t>30 105</t>
  </si>
  <si>
    <t>18 45</t>
  </si>
  <si>
    <t>26 125</t>
  </si>
  <si>
    <t>48 267</t>
  </si>
  <si>
    <t>30 69</t>
  </si>
  <si>
    <t>21 221</t>
  </si>
  <si>
    <t>48 481</t>
  </si>
  <si>
    <t>48 207</t>
  </si>
  <si>
    <t>53 27</t>
  </si>
  <si>
    <t>16 75</t>
  </si>
  <si>
    <t>20 69</t>
  </si>
  <si>
    <t>5 85</t>
  </si>
  <si>
    <t>5 91</t>
  </si>
  <si>
    <t>31 9</t>
  </si>
  <si>
    <t>39 17</t>
  </si>
  <si>
    <t>26 51</t>
  </si>
  <si>
    <t>47 121</t>
  </si>
  <si>
    <t>40 23</t>
  </si>
  <si>
    <t>5 131</t>
  </si>
  <si>
    <t>48 431</t>
  </si>
  <si>
    <t>48 223</t>
  </si>
  <si>
    <t>46 41</t>
  </si>
  <si>
    <t>20 133</t>
  </si>
  <si>
    <t>18 67</t>
  </si>
  <si>
    <t>37 199</t>
  </si>
  <si>
    <t>48 247</t>
  </si>
  <si>
    <t>9 13</t>
  </si>
  <si>
    <t>8 41</t>
  </si>
  <si>
    <t>49 35</t>
  </si>
  <si>
    <t>2 164</t>
  </si>
  <si>
    <t>21 3</t>
  </si>
  <si>
    <t>2 60</t>
  </si>
  <si>
    <t>56 43</t>
  </si>
  <si>
    <t>48 317</t>
  </si>
  <si>
    <t>48 405</t>
  </si>
  <si>
    <t>51 193</t>
  </si>
  <si>
    <t>39 65</t>
  </si>
  <si>
    <t>48 465</t>
  </si>
  <si>
    <t>54 101</t>
  </si>
  <si>
    <t>47 187</t>
  </si>
  <si>
    <t>24 21</t>
  </si>
  <si>
    <t>40 21</t>
  </si>
  <si>
    <t>51 145</t>
  </si>
  <si>
    <t>13 307</t>
  </si>
  <si>
    <t>40 109</t>
  </si>
  <si>
    <t>20 93</t>
  </si>
  <si>
    <t>42 61</t>
  </si>
  <si>
    <t>18 183</t>
  </si>
  <si>
    <t>51 540</t>
  </si>
  <si>
    <t>38 105</t>
  </si>
  <si>
    <t>39 71</t>
  </si>
  <si>
    <t>24 37</t>
  </si>
  <si>
    <t>47 135</t>
  </si>
  <si>
    <t>48 383</t>
  </si>
  <si>
    <t>28 31</t>
  </si>
  <si>
    <t>13 235</t>
  </si>
  <si>
    <t>20 143</t>
  </si>
  <si>
    <t>8 99</t>
  </si>
  <si>
    <t>20 105</t>
  </si>
  <si>
    <t>53 29</t>
  </si>
  <si>
    <t>20 59</t>
  </si>
  <si>
    <t>20 141</t>
  </si>
  <si>
    <t>48 189</t>
  </si>
  <si>
    <t>47 79</t>
  </si>
  <si>
    <t>2 68</t>
  </si>
  <si>
    <t>48 141</t>
  </si>
  <si>
    <t>5 117</t>
  </si>
  <si>
    <t>51 169</t>
  </si>
  <si>
    <t>37 133</t>
  </si>
  <si>
    <t>37 39</t>
  </si>
  <si>
    <t>13 65</t>
  </si>
  <si>
    <t>29 229</t>
  </si>
  <si>
    <t>42 45</t>
  </si>
  <si>
    <t>1 59</t>
  </si>
  <si>
    <t>20 111</t>
  </si>
  <si>
    <t>42 73</t>
  </si>
  <si>
    <t>38 81</t>
  </si>
  <si>
    <t>26 65</t>
  </si>
  <si>
    <t>13 195</t>
  </si>
  <si>
    <t>26 139</t>
  </si>
  <si>
    <t>48 201</t>
  </si>
  <si>
    <t>28 23</t>
  </si>
  <si>
    <t>47 27</t>
  </si>
  <si>
    <t>29 9</t>
  </si>
  <si>
    <t>5 143</t>
  </si>
  <si>
    <t>28 157</t>
  </si>
  <si>
    <t>19 117</t>
  </si>
  <si>
    <t>38 1</t>
  </si>
  <si>
    <t>31 173</t>
  </si>
  <si>
    <t>45 5</t>
  </si>
  <si>
    <t>10 1</t>
  </si>
  <si>
    <t>48 401</t>
  </si>
  <si>
    <t>13 201</t>
  </si>
  <si>
    <t>27 71</t>
  </si>
  <si>
    <t>13 21</t>
  </si>
  <si>
    <t>46 85</t>
  </si>
  <si>
    <t>48 151</t>
  </si>
  <si>
    <t>30 17</t>
  </si>
  <si>
    <t>19 137</t>
  </si>
  <si>
    <t>37 191</t>
  </si>
  <si>
    <t>47 41</t>
  </si>
  <si>
    <t>51 157</t>
  </si>
  <si>
    <t>13 83</t>
  </si>
  <si>
    <t>37 11</t>
  </si>
  <si>
    <t>51 173</t>
  </si>
  <si>
    <t>40 137</t>
  </si>
  <si>
    <t>1 71</t>
  </si>
  <si>
    <t>48 41</t>
  </si>
  <si>
    <t>19 79</t>
  </si>
  <si>
    <t>29 137</t>
  </si>
  <si>
    <t>17 99</t>
  </si>
  <si>
    <t>45 55</t>
  </si>
  <si>
    <t>8 7</t>
  </si>
  <si>
    <t>19 169</t>
  </si>
  <si>
    <t>47 99</t>
  </si>
  <si>
    <t>12 113</t>
  </si>
  <si>
    <t>49 55</t>
  </si>
  <si>
    <t>35 15</t>
  </si>
  <si>
    <t>6 19</t>
  </si>
  <si>
    <t>28 111</t>
  </si>
  <si>
    <t>17 95</t>
  </si>
  <si>
    <t>6 1</t>
  </si>
  <si>
    <t>19 87</t>
  </si>
  <si>
    <t>12 17</t>
  </si>
  <si>
    <t>40 5</t>
  </si>
  <si>
    <t>19 193</t>
  </si>
  <si>
    <t>48 425</t>
  </si>
  <si>
    <t>21 231</t>
  </si>
  <si>
    <t>48 455</t>
  </si>
  <si>
    <t>17 97</t>
  </si>
  <si>
    <t>29 77</t>
  </si>
  <si>
    <t>29 89</t>
  </si>
  <si>
    <t>55 119</t>
  </si>
  <si>
    <t>45 27</t>
  </si>
  <si>
    <t>37 107</t>
  </si>
  <si>
    <t>21 107</t>
  </si>
  <si>
    <t>30 23</t>
  </si>
  <si>
    <t>6 3</t>
  </si>
  <si>
    <t>18 143</t>
  </si>
  <si>
    <t>13 119</t>
  </si>
  <si>
    <t>19 101</t>
  </si>
  <si>
    <t>35 59</t>
  </si>
  <si>
    <t>48 123</t>
  </si>
  <si>
    <t>45 59</t>
  </si>
  <si>
    <t>48 483</t>
  </si>
  <si>
    <t>17 79</t>
  </si>
  <si>
    <t>8 57</t>
  </si>
  <si>
    <t>6 63</t>
  </si>
  <si>
    <t>16 11</t>
  </si>
  <si>
    <t>20 149</t>
  </si>
  <si>
    <t>27 69</t>
  </si>
  <si>
    <t>36 85</t>
  </si>
  <si>
    <t>28 15</t>
  </si>
  <si>
    <t>42 5</t>
  </si>
  <si>
    <t>31 99</t>
  </si>
  <si>
    <t>18 75</t>
  </si>
  <si>
    <t>48 427</t>
  </si>
  <si>
    <t>41 21</t>
  </si>
  <si>
    <t>17 203</t>
  </si>
  <si>
    <t>30 41</t>
  </si>
  <si>
    <t>22 7</t>
  </si>
  <si>
    <t>21 43</t>
  </si>
  <si>
    <t>38 13</t>
  </si>
  <si>
    <t>35 51</t>
  </si>
  <si>
    <t>4 9</t>
  </si>
  <si>
    <t>48 243</t>
  </si>
  <si>
    <t>26 49</t>
  </si>
  <si>
    <t>48 285</t>
  </si>
  <si>
    <t>22 81</t>
  </si>
  <si>
    <t>26 109</t>
  </si>
  <si>
    <t>12 19</t>
  </si>
  <si>
    <t>48 91</t>
  </si>
  <si>
    <t>20 169</t>
  </si>
  <si>
    <t>38 51</t>
  </si>
  <si>
    <t>41 45</t>
  </si>
  <si>
    <t>27 59</t>
  </si>
  <si>
    <t>36 57</t>
  </si>
  <si>
    <t>48 287</t>
  </si>
  <si>
    <t>37 181</t>
  </si>
  <si>
    <t>40 29</t>
  </si>
  <si>
    <t>51 101</t>
  </si>
  <si>
    <t>47 29</t>
  </si>
  <si>
    <t>13 295</t>
  </si>
  <si>
    <t>18 171</t>
  </si>
  <si>
    <t>55 77</t>
  </si>
  <si>
    <t>15 7</t>
  </si>
  <si>
    <t>39 169</t>
  </si>
  <si>
    <t>13 309</t>
  </si>
  <si>
    <t>31 95</t>
  </si>
  <si>
    <t>51 65</t>
  </si>
  <si>
    <t>40 13</t>
  </si>
  <si>
    <t>46 35</t>
  </si>
  <si>
    <t>35 27</t>
  </si>
  <si>
    <t>17 67</t>
  </si>
  <si>
    <t>5 135</t>
  </si>
  <si>
    <t>48 29</t>
  </si>
  <si>
    <t>21 197</t>
  </si>
  <si>
    <t>18 137</t>
  </si>
  <si>
    <t>51 25</t>
  </si>
  <si>
    <t>54 17</t>
  </si>
  <si>
    <t>45 33</t>
  </si>
  <si>
    <t>13 131</t>
  </si>
  <si>
    <t>5 39</t>
  </si>
  <si>
    <t>4 27</t>
  </si>
  <si>
    <t>29 209</t>
  </si>
  <si>
    <t>21 155</t>
  </si>
  <si>
    <t>37 187</t>
  </si>
  <si>
    <t>37 87</t>
  </si>
  <si>
    <t>48 295</t>
  </si>
  <si>
    <t>12 37</t>
  </si>
  <si>
    <t>29 81</t>
  </si>
  <si>
    <t>47 59</t>
  </si>
  <si>
    <t>17 45</t>
  </si>
  <si>
    <t>48 85</t>
  </si>
  <si>
    <t>42 23</t>
  </si>
  <si>
    <t>33 7</t>
  </si>
  <si>
    <t>6 111</t>
  </si>
  <si>
    <t>31 133</t>
  </si>
  <si>
    <t>38 103</t>
  </si>
  <si>
    <t>17 149</t>
  </si>
  <si>
    <t>27 81</t>
  </si>
  <si>
    <t>22 89</t>
  </si>
  <si>
    <t>38 11</t>
  </si>
  <si>
    <t>20 121</t>
  </si>
  <si>
    <t>35 7</t>
  </si>
  <si>
    <t>51 36</t>
  </si>
  <si>
    <t>48 249</t>
  </si>
  <si>
    <t>51 760</t>
  </si>
  <si>
    <t>21 143</t>
  </si>
  <si>
    <t>28 3</t>
  </si>
  <si>
    <t>54 95</t>
  </si>
  <si>
    <t>19 155</t>
  </si>
  <si>
    <t>51 95</t>
  </si>
  <si>
    <t>27 79</t>
  </si>
  <si>
    <t>6 87</t>
  </si>
  <si>
    <t>47 75</t>
  </si>
  <si>
    <t>1 33</t>
  </si>
  <si>
    <t>20 207</t>
  </si>
  <si>
    <t>1 131</t>
  </si>
  <si>
    <t>13 85</t>
  </si>
  <si>
    <t>46 23</t>
  </si>
  <si>
    <t>54 5</t>
  </si>
  <si>
    <t>29 61</t>
  </si>
  <si>
    <t>41 19</t>
  </si>
  <si>
    <t>31 13</t>
  </si>
  <si>
    <t>37 99</t>
  </si>
  <si>
    <t>27 117</t>
  </si>
  <si>
    <t>17 73</t>
  </si>
  <si>
    <t>29 13</t>
  </si>
  <si>
    <t>51 690</t>
  </si>
  <si>
    <t>30 71</t>
  </si>
  <si>
    <t>31 171</t>
  </si>
  <si>
    <t>40 99</t>
  </si>
  <si>
    <t>21 115</t>
  </si>
  <si>
    <t>17 143</t>
  </si>
  <si>
    <t>18 61</t>
  </si>
  <si>
    <t>4 3</t>
  </si>
  <si>
    <t>42 99</t>
  </si>
  <si>
    <t>41 11</t>
  </si>
  <si>
    <t>21 17</t>
  </si>
  <si>
    <t>48 219</t>
  </si>
  <si>
    <t>18 121</t>
  </si>
  <si>
    <t>48 227</t>
  </si>
  <si>
    <t>19 183</t>
  </si>
  <si>
    <t>45 29</t>
  </si>
  <si>
    <t>12 57</t>
  </si>
  <si>
    <t>18 23</t>
  </si>
  <si>
    <t>39 89</t>
  </si>
  <si>
    <t>17 89</t>
  </si>
  <si>
    <t>8 123</t>
  </si>
  <si>
    <t>13 261</t>
  </si>
  <si>
    <t>5 55</t>
  </si>
  <si>
    <t>20 31</t>
  </si>
  <si>
    <t>51 73</t>
  </si>
  <si>
    <t>16 61</t>
  </si>
  <si>
    <t>37 115</t>
  </si>
  <si>
    <t>53 69</t>
  </si>
  <si>
    <t>37 139</t>
  </si>
  <si>
    <t>27 159</t>
  </si>
  <si>
    <t>2 170</t>
  </si>
  <si>
    <t>36 5</t>
  </si>
  <si>
    <t>40 15</t>
  </si>
  <si>
    <t>12 23</t>
  </si>
  <si>
    <t>27 43</t>
  </si>
  <si>
    <t>26 159</t>
  </si>
  <si>
    <t>17 109</t>
  </si>
  <si>
    <t>51 77</t>
  </si>
  <si>
    <t>19 107</t>
  </si>
  <si>
    <t>48 23</t>
  </si>
  <si>
    <t>47 53</t>
  </si>
  <si>
    <t>30 67</t>
  </si>
  <si>
    <t>12 131</t>
  </si>
  <si>
    <t>23 29</t>
  </si>
  <si>
    <t>54 29</t>
  </si>
  <si>
    <t>46 69</t>
  </si>
  <si>
    <t>30 85</t>
  </si>
  <si>
    <t>19 143</t>
  </si>
  <si>
    <t>46 45</t>
  </si>
  <si>
    <t>51 790</t>
  </si>
  <si>
    <t>5 127</t>
  </si>
  <si>
    <t>29 175</t>
  </si>
  <si>
    <t>8 69</t>
  </si>
  <si>
    <t>22 51</t>
  </si>
  <si>
    <t>6 115</t>
  </si>
  <si>
    <t>20 107</t>
  </si>
  <si>
    <t>19 125</t>
  </si>
  <si>
    <t>31 29</t>
  </si>
  <si>
    <t>20 171</t>
  </si>
  <si>
    <t>46 87</t>
  </si>
  <si>
    <t>21 151</t>
  </si>
  <si>
    <t>17 141</t>
  </si>
  <si>
    <t>30 21</t>
  </si>
  <si>
    <t>6 51</t>
  </si>
  <si>
    <t>49 49</t>
  </si>
  <si>
    <t>35 47</t>
  </si>
  <si>
    <t>46 3</t>
  </si>
  <si>
    <t>20 151</t>
  </si>
  <si>
    <t>16 73</t>
  </si>
  <si>
    <t>22 125</t>
  </si>
  <si>
    <t>42 83</t>
  </si>
  <si>
    <t>30 81</t>
  </si>
  <si>
    <t>37 129</t>
  </si>
  <si>
    <t>17 9</t>
  </si>
  <si>
    <t>25 23</t>
  </si>
  <si>
    <t>51 91</t>
  </si>
  <si>
    <t>48 337</t>
  </si>
  <si>
    <t>51 678</t>
  </si>
  <si>
    <t>48 73</t>
  </si>
  <si>
    <t>55 57</t>
  </si>
  <si>
    <t>24 35</t>
  </si>
  <si>
    <t>41 3</t>
  </si>
  <si>
    <t>5 23</t>
  </si>
  <si>
    <t>13 121</t>
  </si>
  <si>
    <t>29 223</t>
  </si>
  <si>
    <t>47 109</t>
  </si>
  <si>
    <t>13 181</t>
  </si>
  <si>
    <t>26 63</t>
  </si>
  <si>
    <t>48 51</t>
  </si>
  <si>
    <t>51 119</t>
  </si>
  <si>
    <t>29 149</t>
  </si>
  <si>
    <t>29 57</t>
  </si>
  <si>
    <t>8 97</t>
  </si>
  <si>
    <t>35 33</t>
  </si>
  <si>
    <t>13 193</t>
  </si>
  <si>
    <t>48 409</t>
  </si>
  <si>
    <t>21 149</t>
  </si>
  <si>
    <t>49 17</t>
  </si>
  <si>
    <t>17 15</t>
  </si>
  <si>
    <t>55 137</t>
  </si>
  <si>
    <t>22 43</t>
  </si>
  <si>
    <t>29 129</t>
  </si>
  <si>
    <t>37 63</t>
  </si>
  <si>
    <t>13 169</t>
  </si>
  <si>
    <t>39 121</t>
  </si>
  <si>
    <t>36 81</t>
  </si>
  <si>
    <t>21 73</t>
  </si>
  <si>
    <t>47 3</t>
  </si>
  <si>
    <t>19 27</t>
  </si>
  <si>
    <t>51 520</t>
  </si>
  <si>
    <t>48 79</t>
  </si>
  <si>
    <t>5 1</t>
  </si>
  <si>
    <t>55 27</t>
  </si>
  <si>
    <t>5 71</t>
  </si>
  <si>
    <t>8 85</t>
  </si>
  <si>
    <t>22 55</t>
  </si>
  <si>
    <t>37 3</t>
  </si>
  <si>
    <t>53 61</t>
  </si>
  <si>
    <t>21 27</t>
  </si>
  <si>
    <t>23 9</t>
  </si>
  <si>
    <t>39 83</t>
  </si>
  <si>
    <t>42 39</t>
  </si>
  <si>
    <t>20 87</t>
  </si>
  <si>
    <t>42 31</t>
  </si>
  <si>
    <t>13 273</t>
  </si>
  <si>
    <t>28 25</t>
  </si>
  <si>
    <t>48 209</t>
  </si>
  <si>
    <t>25 21</t>
  </si>
  <si>
    <t>21 55</t>
  </si>
  <si>
    <t>36 11</t>
  </si>
  <si>
    <t>28 83</t>
  </si>
  <si>
    <t>37 143</t>
  </si>
  <si>
    <t>36 31</t>
  </si>
  <si>
    <t>21 75</t>
  </si>
  <si>
    <t>55 53</t>
  </si>
  <si>
    <t>56 41</t>
  </si>
  <si>
    <t>17 3</t>
  </si>
  <si>
    <t>37 147</t>
  </si>
  <si>
    <t>13 43</t>
  </si>
  <si>
    <t>40 67</t>
  </si>
  <si>
    <t>21 63</t>
  </si>
  <si>
    <t>19 65</t>
  </si>
  <si>
    <t>1 125</t>
  </si>
  <si>
    <t>24 27</t>
  </si>
  <si>
    <t>27 11</t>
  </si>
  <si>
    <t>53 31</t>
  </si>
  <si>
    <t>36 109</t>
  </si>
  <si>
    <t>18 139</t>
  </si>
  <si>
    <t>4 15</t>
  </si>
  <si>
    <t>17 27</t>
  </si>
  <si>
    <t>38 69</t>
  </si>
  <si>
    <t>19 109</t>
  </si>
  <si>
    <t>53 49</t>
  </si>
  <si>
    <t>18 37</t>
  </si>
  <si>
    <t>37 43</t>
  </si>
  <si>
    <t>48 129</t>
  </si>
  <si>
    <t>54 65</t>
  </si>
  <si>
    <t>51 59</t>
  </si>
  <si>
    <t>21 161</t>
  </si>
  <si>
    <t>48 157</t>
  </si>
  <si>
    <t>17 17</t>
  </si>
  <si>
    <t>37 155</t>
  </si>
  <si>
    <t>47 67</t>
  </si>
  <si>
    <t>6 113</t>
  </si>
  <si>
    <t>21 47</t>
  </si>
  <si>
    <t>42 53</t>
  </si>
  <si>
    <t>42 77</t>
  </si>
  <si>
    <t>31 83</t>
  </si>
  <si>
    <t>46 127</t>
  </si>
  <si>
    <t>19 89</t>
  </si>
  <si>
    <t>21 31</t>
  </si>
  <si>
    <t>29 37</t>
  </si>
  <si>
    <t>32 13</t>
  </si>
  <si>
    <t>36 83</t>
  </si>
  <si>
    <t>20 175</t>
  </si>
  <si>
    <t>42 35</t>
  </si>
  <si>
    <t>54 85</t>
  </si>
  <si>
    <t>37 29</t>
  </si>
  <si>
    <t>51 530</t>
  </si>
  <si>
    <t>48 351</t>
  </si>
  <si>
    <t>38 9</t>
  </si>
  <si>
    <t>42 127</t>
  </si>
  <si>
    <t>2 13</t>
  </si>
  <si>
    <t>29 97</t>
  </si>
  <si>
    <t>41 61</t>
  </si>
  <si>
    <t>39 29</t>
  </si>
  <si>
    <t>5 31</t>
  </si>
  <si>
    <t>48 459</t>
  </si>
  <si>
    <t>54 49</t>
  </si>
  <si>
    <t>30 53</t>
  </si>
  <si>
    <t>30 37</t>
  </si>
  <si>
    <t>13 173</t>
  </si>
  <si>
    <t>46 49</t>
  </si>
  <si>
    <t>19 191</t>
  </si>
  <si>
    <t>39 139</t>
  </si>
  <si>
    <t>31 25</t>
  </si>
  <si>
    <t>18 131</t>
  </si>
  <si>
    <t>31 57</t>
  </si>
  <si>
    <t>40 73</t>
  </si>
  <si>
    <t>20 1</t>
  </si>
  <si>
    <t>8 35</t>
  </si>
  <si>
    <t>24 3</t>
  </si>
  <si>
    <t>42 13</t>
  </si>
  <si>
    <t>45 89</t>
  </si>
  <si>
    <t>39 137</t>
  </si>
  <si>
    <t>29 181</t>
  </si>
  <si>
    <t>36 63</t>
  </si>
  <si>
    <t>48 13</t>
  </si>
  <si>
    <t>12 107</t>
  </si>
  <si>
    <t>28 125</t>
  </si>
  <si>
    <t>20 153</t>
  </si>
  <si>
    <t>26 27</t>
  </si>
  <si>
    <t>51 19</t>
  </si>
  <si>
    <t>46 53</t>
  </si>
  <si>
    <t>13 29</t>
  </si>
  <si>
    <t>55 105</t>
  </si>
  <si>
    <t>26 85</t>
  </si>
  <si>
    <t>29 5</t>
  </si>
  <si>
    <t>37 125</t>
  </si>
  <si>
    <t>38 29</t>
  </si>
  <si>
    <t>42 91</t>
  </si>
  <si>
    <t>36 43</t>
  </si>
  <si>
    <t>21 121</t>
  </si>
  <si>
    <t>18 145</t>
  </si>
  <si>
    <t>17 69</t>
  </si>
  <si>
    <t>19 33</t>
  </si>
  <si>
    <t>47 165</t>
  </si>
  <si>
    <t>17 35</t>
  </si>
  <si>
    <t>34 33</t>
  </si>
  <si>
    <t>2 185</t>
  </si>
  <si>
    <t>12 73</t>
  </si>
  <si>
    <t>6 95</t>
  </si>
  <si>
    <t>29 121</t>
  </si>
  <si>
    <t>16 45</t>
  </si>
  <si>
    <t>45 19</t>
  </si>
  <si>
    <t>16 79</t>
  </si>
  <si>
    <t>13 263</t>
  </si>
  <si>
    <t>16 37</t>
  </si>
  <si>
    <t>24 15</t>
  </si>
  <si>
    <t>46 51</t>
  </si>
  <si>
    <t>56 17</t>
  </si>
  <si>
    <t>29 201</t>
  </si>
  <si>
    <t>13 301</t>
  </si>
  <si>
    <t>6 9</t>
  </si>
  <si>
    <t>55 41</t>
  </si>
  <si>
    <t>5 25</t>
  </si>
  <si>
    <t>12 71</t>
  </si>
  <si>
    <t>40 37</t>
  </si>
  <si>
    <t>29 187</t>
  </si>
  <si>
    <t>13 177</t>
  </si>
  <si>
    <t>21 225</t>
  </si>
  <si>
    <t>48 403</t>
  </si>
  <si>
    <t>36 93</t>
  </si>
  <si>
    <t>1 93</t>
  </si>
  <si>
    <t>28 95</t>
  </si>
  <si>
    <t>36 41</t>
  </si>
  <si>
    <t>37 25</t>
  </si>
  <si>
    <t>46 81</t>
  </si>
  <si>
    <t>28 37</t>
  </si>
  <si>
    <t>5 67</t>
  </si>
  <si>
    <t>19 39</t>
  </si>
  <si>
    <t>40 113</t>
  </si>
  <si>
    <t>31 85</t>
  </si>
  <si>
    <t>48 205</t>
  </si>
  <si>
    <t>26 95</t>
  </si>
  <si>
    <t>53 37</t>
  </si>
  <si>
    <t>29 213</t>
  </si>
  <si>
    <t>1 5</t>
  </si>
  <si>
    <t>17 63</t>
  </si>
  <si>
    <t>54 55</t>
  </si>
  <si>
    <t>13 157</t>
  </si>
  <si>
    <t>39 47</t>
  </si>
  <si>
    <t>2 290</t>
  </si>
  <si>
    <t>55 23</t>
  </si>
  <si>
    <t>46 113</t>
  </si>
  <si>
    <t>31 71</t>
  </si>
  <si>
    <t>18 169</t>
  </si>
  <si>
    <t>48 45</t>
  </si>
  <si>
    <t>27 51</t>
  </si>
  <si>
    <t>20 67</t>
  </si>
  <si>
    <t>13 123</t>
  </si>
  <si>
    <t>26 29</t>
  </si>
  <si>
    <t>26 77</t>
  </si>
  <si>
    <t>31 105</t>
  </si>
  <si>
    <t>51 107</t>
  </si>
  <si>
    <t>55 83</t>
  </si>
  <si>
    <t>21 169</t>
  </si>
  <si>
    <t>47 9</t>
  </si>
  <si>
    <t>9 7</t>
  </si>
  <si>
    <t>6 23</t>
  </si>
  <si>
    <t>19 59</t>
  </si>
  <si>
    <t>29 55</t>
  </si>
  <si>
    <t>34 29</t>
  </si>
  <si>
    <t>32 5</t>
  </si>
  <si>
    <t>28 123</t>
  </si>
  <si>
    <t>20 91</t>
  </si>
  <si>
    <t>19 17</t>
  </si>
  <si>
    <t>23 31</t>
  </si>
  <si>
    <t>48 37</t>
  </si>
  <si>
    <t>35 13</t>
  </si>
  <si>
    <t>5 89</t>
  </si>
  <si>
    <t>20 179</t>
  </si>
  <si>
    <t>48 191</t>
  </si>
  <si>
    <t>29 159</t>
  </si>
  <si>
    <t>28 161</t>
  </si>
  <si>
    <t>27 131</t>
  </si>
  <si>
    <t>13 267</t>
  </si>
  <si>
    <t>36 21</t>
  </si>
  <si>
    <t>5 79</t>
  </si>
  <si>
    <t>30 11</t>
  </si>
  <si>
    <t>48 245</t>
  </si>
  <si>
    <t>46 47</t>
  </si>
  <si>
    <t>48 83</t>
  </si>
  <si>
    <t>44 7</t>
  </si>
  <si>
    <t>55 67</t>
  </si>
  <si>
    <t>35 37</t>
  </si>
  <si>
    <t>15 9</t>
  </si>
  <si>
    <t>45 81</t>
  </si>
  <si>
    <t>44 1</t>
  </si>
  <si>
    <t>21 65</t>
  </si>
  <si>
    <t>12 101</t>
  </si>
  <si>
    <t>5 53</t>
  </si>
  <si>
    <t>22 87</t>
  </si>
  <si>
    <t>38 49</t>
  </si>
  <si>
    <t>2 70</t>
  </si>
  <si>
    <t>26 41</t>
  </si>
  <si>
    <t>22 37</t>
  </si>
  <si>
    <t>55 101</t>
  </si>
  <si>
    <t>1 95</t>
  </si>
  <si>
    <t>5 49</t>
  </si>
  <si>
    <t>47 127</t>
  </si>
  <si>
    <t>46 119</t>
  </si>
  <si>
    <t>47 83</t>
  </si>
  <si>
    <t>29 85</t>
  </si>
  <si>
    <t>47 65</t>
  </si>
  <si>
    <t>1 31</t>
  </si>
  <si>
    <t>48 371</t>
  </si>
  <si>
    <t>33 19</t>
  </si>
  <si>
    <t>40 149</t>
  </si>
  <si>
    <t>45 51</t>
  </si>
  <si>
    <t>48 197</t>
  </si>
  <si>
    <t>51 155</t>
  </si>
  <si>
    <t>40 125</t>
  </si>
  <si>
    <t>16 33</t>
  </si>
  <si>
    <t>29 25</t>
  </si>
  <si>
    <t>8 111</t>
  </si>
  <si>
    <t>45 53</t>
  </si>
  <si>
    <t>37 45</t>
  </si>
  <si>
    <t>38 97</t>
  </si>
  <si>
    <t>12 115</t>
  </si>
  <si>
    <t>18 53</t>
  </si>
  <si>
    <t>24 29</t>
  </si>
  <si>
    <t>40 111</t>
  </si>
  <si>
    <t>28 119</t>
  </si>
  <si>
    <t>55 91</t>
  </si>
  <si>
    <t>29 69</t>
  </si>
  <si>
    <t>31 147</t>
  </si>
  <si>
    <t>17 185</t>
  </si>
  <si>
    <t>8 11</t>
  </si>
  <si>
    <t>48 275</t>
  </si>
  <si>
    <t>48 491</t>
  </si>
  <si>
    <t>37 195</t>
  </si>
  <si>
    <t>26 121</t>
  </si>
  <si>
    <t>34 27</t>
  </si>
  <si>
    <t>31 69</t>
  </si>
  <si>
    <t>1 17</t>
  </si>
  <si>
    <t>17 145</t>
  </si>
  <si>
    <t>17 181</t>
  </si>
  <si>
    <t>19 45</t>
  </si>
  <si>
    <t>31 159</t>
  </si>
  <si>
    <t>30 43</t>
  </si>
  <si>
    <t>39 153</t>
  </si>
  <si>
    <t>38 7</t>
  </si>
  <si>
    <t>27 47</t>
  </si>
  <si>
    <t>46 13</t>
  </si>
  <si>
    <t>8 29</t>
  </si>
  <si>
    <t>29 165</t>
  </si>
  <si>
    <t>18 77</t>
  </si>
  <si>
    <t>6 27</t>
  </si>
  <si>
    <t>55 78</t>
  </si>
  <si>
    <t>51 13</t>
  </si>
  <si>
    <t>49 29</t>
  </si>
  <si>
    <t>6 71</t>
  </si>
  <si>
    <t>21 113</t>
  </si>
  <si>
    <t>42 103</t>
  </si>
  <si>
    <t>28 133</t>
  </si>
  <si>
    <t>17 13</t>
  </si>
  <si>
    <t>30 87</t>
  </si>
  <si>
    <t>29 67</t>
  </si>
  <si>
    <t>27 61</t>
  </si>
  <si>
    <t>28 85</t>
  </si>
  <si>
    <t>1 99</t>
  </si>
  <si>
    <t>31 117</t>
  </si>
  <si>
    <t>56 45</t>
  </si>
  <si>
    <t>18 19</t>
  </si>
  <si>
    <t>29 123</t>
  </si>
  <si>
    <t>13 303</t>
  </si>
  <si>
    <t>17 111</t>
  </si>
  <si>
    <t>47 37</t>
  </si>
  <si>
    <t>42 109</t>
  </si>
  <si>
    <t>22 117</t>
  </si>
  <si>
    <t>13 3</t>
  </si>
  <si>
    <t>55 31</t>
  </si>
  <si>
    <t>48 493</t>
  </si>
  <si>
    <t>21 239</t>
  </si>
  <si>
    <t>38 43</t>
  </si>
  <si>
    <t>37 37</t>
  </si>
  <si>
    <t>48 57</t>
  </si>
  <si>
    <t>42 79</t>
  </si>
  <si>
    <t>42 33</t>
  </si>
  <si>
    <t>42 25</t>
  </si>
  <si>
    <t>37 31</t>
  </si>
  <si>
    <t>51 680</t>
  </si>
  <si>
    <t>34 7</t>
  </si>
  <si>
    <t>47 51</t>
  </si>
  <si>
    <t>45 87</t>
  </si>
  <si>
    <t>29 109</t>
  </si>
  <si>
    <t>30 47</t>
  </si>
  <si>
    <t>32 15</t>
  </si>
  <si>
    <t>49 11</t>
  </si>
  <si>
    <t>54 15</t>
  </si>
  <si>
    <t>28 129</t>
  </si>
  <si>
    <t>5 121</t>
  </si>
  <si>
    <t>17 153</t>
  </si>
  <si>
    <t>12 15</t>
  </si>
  <si>
    <t>36 37</t>
  </si>
  <si>
    <t>8 79</t>
  </si>
  <si>
    <t>40 31</t>
  </si>
  <si>
    <t>51 183</t>
  </si>
  <si>
    <t>51 710</t>
  </si>
  <si>
    <t>16 3</t>
  </si>
  <si>
    <t>20 147</t>
  </si>
  <si>
    <t>53 47</t>
  </si>
  <si>
    <t>2 180</t>
  </si>
  <si>
    <t>40 7</t>
  </si>
  <si>
    <t>41 59</t>
  </si>
  <si>
    <t>39 25</t>
  </si>
  <si>
    <t>1 13</t>
  </si>
  <si>
    <t>8 87</t>
  </si>
  <si>
    <t>26 163</t>
  </si>
  <si>
    <t>46 25</t>
  </si>
  <si>
    <t>17 53</t>
  </si>
  <si>
    <t>48 159</t>
  </si>
  <si>
    <t>17 41</t>
  </si>
  <si>
    <t>56 9</t>
  </si>
  <si>
    <t>2 16</t>
  </si>
  <si>
    <t>5 115</t>
  </si>
  <si>
    <t>13 221</t>
  </si>
  <si>
    <t>13 227</t>
  </si>
  <si>
    <t>29 31</t>
  </si>
  <si>
    <t>47 113</t>
  </si>
  <si>
    <t>29 151</t>
  </si>
  <si>
    <t>55 103</t>
  </si>
  <si>
    <t>1 23</t>
  </si>
  <si>
    <t>45 79</t>
  </si>
  <si>
    <t>27 97</t>
  </si>
  <si>
    <t>46 123</t>
  </si>
  <si>
    <t>22 71</t>
  </si>
  <si>
    <t>37 171</t>
  </si>
  <si>
    <t>30 49</t>
  </si>
  <si>
    <t>20 185</t>
  </si>
  <si>
    <t>33 3</t>
  </si>
  <si>
    <t>29 1</t>
  </si>
  <si>
    <t>6 93</t>
  </si>
  <si>
    <t>12 31</t>
  </si>
  <si>
    <t>26 23</t>
  </si>
  <si>
    <t>46 17</t>
  </si>
  <si>
    <t>20 17</t>
  </si>
  <si>
    <t>19 149</t>
  </si>
  <si>
    <t>27 129</t>
  </si>
  <si>
    <t>24 5</t>
  </si>
  <si>
    <t>18 125</t>
  </si>
  <si>
    <t>20 99</t>
  </si>
  <si>
    <t>13 49</t>
  </si>
  <si>
    <t>17 163</t>
  </si>
  <si>
    <t>51 31</t>
  </si>
  <si>
    <t>26 113</t>
  </si>
  <si>
    <t>21 69</t>
  </si>
  <si>
    <t>28 27</t>
  </si>
  <si>
    <t>34 23</t>
  </si>
  <si>
    <t>18 105</t>
  </si>
  <si>
    <t>13 191</t>
  </si>
  <si>
    <t>18 141</t>
  </si>
  <si>
    <t>1 35</t>
  </si>
  <si>
    <t>37 145</t>
  </si>
  <si>
    <t>13 5</t>
  </si>
  <si>
    <t>27 141</t>
  </si>
  <si>
    <t>54 25</t>
  </si>
  <si>
    <t>20 75</t>
  </si>
  <si>
    <t>21 103</t>
  </si>
  <si>
    <t>39 161</t>
  </si>
  <si>
    <t>41 31</t>
  </si>
  <si>
    <t>51 159</t>
  </si>
  <si>
    <t>53 3</t>
  </si>
  <si>
    <t>49 13</t>
  </si>
  <si>
    <t>39 117</t>
  </si>
  <si>
    <t>48 341</t>
  </si>
  <si>
    <t>54 59</t>
  </si>
  <si>
    <t>20 109</t>
  </si>
  <si>
    <t>48 215</t>
  </si>
  <si>
    <t>42 131</t>
  </si>
  <si>
    <t>47 35</t>
  </si>
  <si>
    <t>32 17</t>
  </si>
  <si>
    <t>46 31</t>
  </si>
  <si>
    <t>21 15</t>
  </si>
  <si>
    <t>1 25</t>
  </si>
  <si>
    <t>10 5</t>
  </si>
  <si>
    <t>45 41</t>
  </si>
  <si>
    <t>46 83</t>
  </si>
  <si>
    <t>24 19</t>
  </si>
  <si>
    <t>45 71</t>
  </si>
  <si>
    <t>1 49</t>
  </si>
  <si>
    <t>31 101</t>
  </si>
  <si>
    <t>39 97</t>
  </si>
  <si>
    <t>53 7</t>
  </si>
  <si>
    <t>46 95</t>
  </si>
  <si>
    <t>27 115</t>
  </si>
  <si>
    <t>19 1</t>
  </si>
  <si>
    <t>42 29</t>
  </si>
  <si>
    <t>12 77</t>
  </si>
  <si>
    <t>20 155</t>
  </si>
  <si>
    <t>38 61</t>
  </si>
  <si>
    <t>21 199</t>
  </si>
  <si>
    <t>51 660</t>
  </si>
  <si>
    <t>51 187</t>
  </si>
  <si>
    <t>51 191</t>
  </si>
  <si>
    <t>47 123</t>
  </si>
  <si>
    <t>28 99</t>
  </si>
  <si>
    <t>12 3</t>
  </si>
  <si>
    <t>46 29</t>
  </si>
  <si>
    <t>22 21</t>
  </si>
  <si>
    <t>36 47</t>
  </si>
  <si>
    <t>29 83</t>
  </si>
  <si>
    <t>21 135</t>
  </si>
  <si>
    <t>19 21</t>
  </si>
  <si>
    <t>22 99</t>
  </si>
  <si>
    <t>37 23</t>
  </si>
  <si>
    <t>17 19</t>
  </si>
  <si>
    <t>46 57</t>
  </si>
  <si>
    <t>11 1</t>
  </si>
  <si>
    <t>40 57</t>
  </si>
  <si>
    <t>16 77</t>
  </si>
  <si>
    <t>36 79</t>
  </si>
  <si>
    <t>28 87</t>
  </si>
  <si>
    <t>39 31</t>
  </si>
  <si>
    <t>29 107</t>
  </si>
  <si>
    <t>12 133</t>
  </si>
  <si>
    <t>29 29</t>
  </si>
  <si>
    <t>29 95</t>
  </si>
  <si>
    <t>1 55</t>
  </si>
  <si>
    <t>6 91</t>
  </si>
  <si>
    <t>17 91</t>
  </si>
  <si>
    <t>44 9</t>
  </si>
  <si>
    <t>13 51</t>
  </si>
  <si>
    <t>26 55</t>
  </si>
  <si>
    <t>51 105</t>
  </si>
  <si>
    <t>26 5</t>
  </si>
  <si>
    <t>8 91</t>
  </si>
  <si>
    <t>28 155</t>
  </si>
  <si>
    <t>28 109</t>
  </si>
  <si>
    <t>48 35</t>
  </si>
  <si>
    <t>21 93</t>
  </si>
  <si>
    <t>29 41</t>
  </si>
  <si>
    <t>12 61</t>
  </si>
  <si>
    <t>26 141</t>
  </si>
  <si>
    <t>48 393</t>
  </si>
  <si>
    <t>45 73</t>
  </si>
  <si>
    <t>27 119</t>
  </si>
  <si>
    <t>47 77</t>
  </si>
  <si>
    <t>28 101</t>
  </si>
  <si>
    <t>21 7</t>
  </si>
  <si>
    <t>48 437</t>
  </si>
  <si>
    <t>48 447</t>
  </si>
  <si>
    <t>26 67</t>
  </si>
  <si>
    <t>30 95</t>
  </si>
  <si>
    <t>29 153</t>
  </si>
  <si>
    <t>21 193</t>
  </si>
  <si>
    <t>20 27</t>
  </si>
  <si>
    <t>48 303</t>
  </si>
  <si>
    <t>22 5</t>
  </si>
  <si>
    <t>29 167</t>
  </si>
  <si>
    <t>48 115</t>
  </si>
  <si>
    <t>46 7</t>
  </si>
  <si>
    <t>26 145</t>
  </si>
  <si>
    <t>19 69</t>
  </si>
  <si>
    <t>6 53</t>
  </si>
  <si>
    <t>54 33</t>
  </si>
  <si>
    <t>31 37</t>
  </si>
  <si>
    <t>37 15</t>
  </si>
  <si>
    <t>36 105</t>
  </si>
  <si>
    <t>48 373</t>
  </si>
  <si>
    <t>19 119</t>
  </si>
  <si>
    <t>17 115</t>
  </si>
  <si>
    <t>17 183</t>
  </si>
  <si>
    <t>20 181</t>
  </si>
  <si>
    <t>13 315</t>
  </si>
  <si>
    <t>40 41</t>
  </si>
  <si>
    <t>30 19</t>
  </si>
  <si>
    <t>40 89</t>
  </si>
  <si>
    <t>46 129</t>
  </si>
  <si>
    <t>37 79</t>
  </si>
  <si>
    <t>19 61</t>
  </si>
  <si>
    <t>20 97</t>
  </si>
  <si>
    <t>31 109</t>
  </si>
  <si>
    <t>5 73</t>
  </si>
  <si>
    <t>26 71</t>
  </si>
  <si>
    <t>26 3</t>
  </si>
  <si>
    <t>40 135</t>
  </si>
  <si>
    <t>28 33</t>
  </si>
  <si>
    <t>54 9</t>
  </si>
  <si>
    <t>13 163</t>
  </si>
  <si>
    <t>19 103</t>
  </si>
  <si>
    <t>54 37</t>
  </si>
  <si>
    <t>41 53</t>
  </si>
  <si>
    <t>18 73</t>
  </si>
  <si>
    <t>4 23</t>
  </si>
  <si>
    <t>22 123</t>
  </si>
  <si>
    <t>19 131</t>
  </si>
  <si>
    <t>16 13</t>
  </si>
  <si>
    <t>8 5</t>
  </si>
  <si>
    <t>21 109</t>
  </si>
  <si>
    <t>54 69</t>
  </si>
  <si>
    <t>39 95</t>
  </si>
  <si>
    <t>53 43</t>
  </si>
  <si>
    <t>18 123</t>
  </si>
  <si>
    <t>6 43</t>
  </si>
  <si>
    <t>48 131</t>
  </si>
  <si>
    <t>29 91</t>
  </si>
  <si>
    <t>39 159</t>
  </si>
  <si>
    <t>39 41</t>
  </si>
  <si>
    <t>48 443</t>
  </si>
  <si>
    <t>6 79</t>
  </si>
  <si>
    <t>36 97</t>
  </si>
  <si>
    <t>47 177</t>
  </si>
  <si>
    <t>29 35</t>
  </si>
  <si>
    <t>55 133</t>
  </si>
  <si>
    <t>40 75</t>
  </si>
  <si>
    <t>20 23</t>
  </si>
  <si>
    <t>8 23</t>
  </si>
  <si>
    <t>13 79</t>
  </si>
  <si>
    <t>48 69</t>
  </si>
  <si>
    <t>1 27</t>
  </si>
  <si>
    <t>27 57</t>
  </si>
  <si>
    <t>53 41</t>
  </si>
  <si>
    <t>29 119</t>
  </si>
  <si>
    <t>18 59</t>
  </si>
  <si>
    <t>25 17</t>
  </si>
  <si>
    <t>13 11</t>
  </si>
  <si>
    <t>50 11</t>
  </si>
  <si>
    <t>46 67</t>
  </si>
  <si>
    <t>22 107</t>
  </si>
  <si>
    <t>12 83</t>
  </si>
  <si>
    <t>19 25</t>
  </si>
  <si>
    <t>48 385</t>
  </si>
  <si>
    <t>21 207</t>
  </si>
  <si>
    <t>48 21</t>
  </si>
  <si>
    <t>13 13</t>
  </si>
  <si>
    <t>27 1</t>
  </si>
  <si>
    <t>12 129</t>
  </si>
  <si>
    <t>1 105</t>
  </si>
  <si>
    <t>26 115</t>
  </si>
  <si>
    <t>8 21</t>
  </si>
  <si>
    <t>47 21</t>
  </si>
  <si>
    <t>48 377</t>
  </si>
  <si>
    <t>20 167</t>
  </si>
  <si>
    <t>42 41</t>
  </si>
  <si>
    <t>38 25</t>
  </si>
  <si>
    <t>35 19</t>
  </si>
  <si>
    <t>51 735</t>
  </si>
  <si>
    <t>27 67</t>
  </si>
  <si>
    <t>5 15</t>
  </si>
  <si>
    <t>47 95</t>
  </si>
  <si>
    <t>55 11</t>
  </si>
  <si>
    <t>37 19</t>
  </si>
  <si>
    <t>51 197</t>
  </si>
  <si>
    <t>22 49</t>
  </si>
  <si>
    <t>17 125</t>
  </si>
  <si>
    <t>39 9</t>
  </si>
  <si>
    <t>47 167</t>
  </si>
  <si>
    <t>19 19</t>
  </si>
  <si>
    <t>55 65</t>
  </si>
  <si>
    <t>16 1</t>
  </si>
  <si>
    <t>13 77</t>
  </si>
  <si>
    <t>22 19</t>
  </si>
  <si>
    <t>46 117</t>
  </si>
  <si>
    <t>13 199</t>
  </si>
  <si>
    <t>31 39</t>
  </si>
  <si>
    <t>29 131</t>
  </si>
  <si>
    <t>8 67</t>
  </si>
  <si>
    <t>13 229</t>
  </si>
  <si>
    <t>31 27</t>
  </si>
  <si>
    <t>54 31</t>
  </si>
  <si>
    <t>6 61</t>
  </si>
  <si>
    <t>29 87</t>
  </si>
  <si>
    <t>39 101</t>
  </si>
  <si>
    <t>49 23</t>
  </si>
  <si>
    <t>51 147</t>
  </si>
  <si>
    <t>48 77</t>
  </si>
  <si>
    <t>29 49</t>
  </si>
  <si>
    <t>39 55</t>
  </si>
  <si>
    <t>39 173</t>
  </si>
  <si>
    <t>9 5</t>
  </si>
  <si>
    <t>13 19</t>
  </si>
  <si>
    <t>28 103</t>
  </si>
  <si>
    <t>19 173</t>
  </si>
  <si>
    <t>47 147</t>
  </si>
  <si>
    <t>35 5</t>
  </si>
  <si>
    <t>46 105</t>
  </si>
  <si>
    <t>27 163</t>
  </si>
  <si>
    <t>47 71</t>
  </si>
  <si>
    <t>1 65</t>
  </si>
  <si>
    <t>47 105</t>
  </si>
  <si>
    <t>27 5</t>
  </si>
  <si>
    <t>31 49</t>
  </si>
  <si>
    <t>13 45</t>
  </si>
  <si>
    <t>55 123</t>
  </si>
  <si>
    <t>48 65</t>
  </si>
  <si>
    <t>1 89</t>
  </si>
  <si>
    <t>13 277</t>
  </si>
  <si>
    <t>34 13</t>
  </si>
  <si>
    <t>18 79</t>
  </si>
  <si>
    <t>51 45</t>
  </si>
  <si>
    <t>1 69</t>
  </si>
  <si>
    <t>42 81</t>
  </si>
  <si>
    <t>28 63</t>
  </si>
  <si>
    <t>37 81</t>
  </si>
  <si>
    <t>26 89</t>
  </si>
  <si>
    <t>27 41</t>
  </si>
  <si>
    <t>19 141</t>
  </si>
  <si>
    <t>40 153</t>
  </si>
  <si>
    <t>48 143</t>
  </si>
  <si>
    <t>20 57</t>
  </si>
  <si>
    <t>26 137</t>
  </si>
  <si>
    <t>36 69</t>
  </si>
  <si>
    <t>51 650</t>
  </si>
  <si>
    <t>53 17</t>
  </si>
  <si>
    <t>50 17</t>
  </si>
  <si>
    <t>30 77</t>
  </si>
  <si>
    <t>21 119</t>
  </si>
  <si>
    <t>54 71</t>
  </si>
  <si>
    <t>56 1</t>
  </si>
  <si>
    <t>38 101</t>
  </si>
  <si>
    <t>26 129</t>
  </si>
  <si>
    <t>41 47</t>
  </si>
  <si>
    <t>20 37</t>
  </si>
  <si>
    <t>56 35</t>
  </si>
  <si>
    <t>28 19</t>
  </si>
  <si>
    <t>25 27</t>
  </si>
  <si>
    <t>39 57</t>
  </si>
  <si>
    <t>51 560</t>
  </si>
  <si>
    <t>42 1</t>
  </si>
  <si>
    <t>26 69</t>
  </si>
  <si>
    <t>27 65</t>
  </si>
  <si>
    <t>1 51</t>
  </si>
  <si>
    <t>1 113</t>
  </si>
  <si>
    <t>37 61</t>
  </si>
  <si>
    <t>40 51</t>
  </si>
  <si>
    <t>45 21</t>
  </si>
  <si>
    <t>56 3</t>
  </si>
  <si>
    <t>16 53</t>
  </si>
  <si>
    <t>29 3</t>
  </si>
  <si>
    <t>26 61</t>
  </si>
  <si>
    <t>33 17</t>
  </si>
  <si>
    <t>51 15</t>
  </si>
  <si>
    <t>1 43</t>
  </si>
  <si>
    <t>5 113</t>
  </si>
  <si>
    <t>12 55</t>
  </si>
  <si>
    <t>39 163</t>
  </si>
  <si>
    <t>21 105</t>
  </si>
  <si>
    <t>39 11</t>
  </si>
  <si>
    <t>30 91</t>
  </si>
  <si>
    <t>54 103</t>
  </si>
  <si>
    <t>48 231</t>
  </si>
  <si>
    <t>47 151</t>
  </si>
  <si>
    <t>48 411</t>
  </si>
  <si>
    <t>55 21</t>
  </si>
  <si>
    <t>16 55</t>
  </si>
  <si>
    <t>6 45</t>
  </si>
  <si>
    <t>42 27</t>
  </si>
  <si>
    <t>48 429</t>
  </si>
  <si>
    <t>13 153</t>
  </si>
  <si>
    <t>5 119</t>
  </si>
  <si>
    <t>27 153</t>
  </si>
  <si>
    <t>48 397</t>
  </si>
  <si>
    <t>48 479</t>
  </si>
  <si>
    <t>30 3</t>
  </si>
  <si>
    <t>12 43</t>
  </si>
  <si>
    <t>37 9</t>
  </si>
  <si>
    <t>1 37</t>
  </si>
  <si>
    <t>17 175</t>
  </si>
  <si>
    <t>37 7</t>
  </si>
  <si>
    <t>13 31</t>
  </si>
  <si>
    <t>20 89</t>
  </si>
  <si>
    <t>8 14</t>
  </si>
  <si>
    <t>39 165</t>
  </si>
  <si>
    <t>22 61</t>
  </si>
  <si>
    <t>30 107</t>
  </si>
  <si>
    <t>37 75</t>
  </si>
  <si>
    <t>1 39</t>
  </si>
  <si>
    <t>37 21</t>
  </si>
  <si>
    <t>13 125</t>
  </si>
  <si>
    <t>42 111</t>
  </si>
  <si>
    <t>2 188</t>
  </si>
  <si>
    <t>26 155</t>
  </si>
  <si>
    <t>13 9</t>
  </si>
  <si>
    <t>46 59</t>
  </si>
  <si>
    <t>20 41</t>
  </si>
  <si>
    <t>22 25</t>
  </si>
  <si>
    <t>48 117</t>
  </si>
  <si>
    <t>26 33</t>
  </si>
  <si>
    <t>23 19</t>
  </si>
  <si>
    <t>12 75</t>
  </si>
  <si>
    <t>20 73</t>
  </si>
  <si>
    <t>46 79</t>
  </si>
  <si>
    <t>26 47</t>
  </si>
  <si>
    <t>53 53</t>
  </si>
  <si>
    <t>40 123</t>
  </si>
  <si>
    <t>30 55</t>
  </si>
  <si>
    <t>54 35</t>
  </si>
  <si>
    <t>54 21</t>
  </si>
  <si>
    <t>51 49</t>
  </si>
  <si>
    <t>18 1</t>
  </si>
  <si>
    <t>13 247</t>
  </si>
  <si>
    <t>54 23</t>
  </si>
  <si>
    <t>19 147</t>
  </si>
  <si>
    <t>1 79</t>
  </si>
  <si>
    <t>21 45</t>
  </si>
  <si>
    <t>5 59</t>
  </si>
  <si>
    <t>29 155</t>
  </si>
  <si>
    <t>39 127</t>
  </si>
  <si>
    <t>56 27</t>
  </si>
  <si>
    <t>40 33</t>
  </si>
  <si>
    <t>48 477</t>
  </si>
  <si>
    <t>48 389</t>
  </si>
  <si>
    <t>55 71</t>
  </si>
  <si>
    <t>47 175</t>
  </si>
  <si>
    <t>37 165</t>
  </si>
  <si>
    <t>31 185</t>
  </si>
  <si>
    <t>21 11</t>
  </si>
  <si>
    <t>6 41</t>
  </si>
  <si>
    <t>18 31</t>
  </si>
  <si>
    <t>39 119</t>
  </si>
  <si>
    <t>32 11</t>
  </si>
  <si>
    <t>48 179</t>
  </si>
  <si>
    <t>13 87</t>
  </si>
  <si>
    <t>24 47</t>
  </si>
  <si>
    <t>31 119</t>
  </si>
  <si>
    <t>13 271</t>
  </si>
  <si>
    <t>32 7</t>
  </si>
  <si>
    <t>12 86</t>
  </si>
  <si>
    <t>20 7</t>
  </si>
  <si>
    <t>36 65</t>
  </si>
  <si>
    <t>23 25</t>
  </si>
  <si>
    <t>41 29</t>
  </si>
  <si>
    <t>39 141</t>
  </si>
  <si>
    <t>20 49</t>
  </si>
  <si>
    <t>19 83</t>
  </si>
  <si>
    <t>13 89</t>
  </si>
  <si>
    <t>31 31</t>
  </si>
  <si>
    <t>55 45</t>
  </si>
  <si>
    <t>26 151</t>
  </si>
  <si>
    <t>29 15</t>
  </si>
  <si>
    <t>27 167</t>
  </si>
  <si>
    <t>35 28</t>
  </si>
  <si>
    <t>27 7</t>
  </si>
  <si>
    <t>13 149</t>
  </si>
  <si>
    <t>13 15</t>
  </si>
  <si>
    <t>37 13</t>
  </si>
  <si>
    <t>38 67</t>
  </si>
  <si>
    <t>48 161</t>
  </si>
  <si>
    <t>18 51</t>
  </si>
  <si>
    <t>31 35</t>
  </si>
  <si>
    <t>18 29</t>
  </si>
  <si>
    <t>48 473</t>
  </si>
  <si>
    <t>6 33</t>
  </si>
  <si>
    <t>27 75</t>
  </si>
  <si>
    <t>39 157</t>
  </si>
  <si>
    <t>56 29</t>
  </si>
  <si>
    <t>13 59</t>
  </si>
  <si>
    <t>23 23</t>
  </si>
  <si>
    <t>51 89</t>
  </si>
  <si>
    <t>45 43</t>
  </si>
  <si>
    <t>17 23</t>
  </si>
  <si>
    <t>13 187</t>
  </si>
  <si>
    <t>48 145</t>
  </si>
  <si>
    <t>20 5</t>
  </si>
  <si>
    <t>20 137</t>
  </si>
  <si>
    <t>16 67</t>
  </si>
  <si>
    <t>40 71</t>
  </si>
  <si>
    <t>47 1</t>
  </si>
  <si>
    <t>21 25</t>
  </si>
  <si>
    <t>6 5</t>
  </si>
  <si>
    <t>17 197</t>
  </si>
  <si>
    <t>46 89</t>
  </si>
  <si>
    <t>42 69</t>
  </si>
  <si>
    <t>39 111</t>
  </si>
  <si>
    <t>1 91</t>
  </si>
  <si>
    <t>28 135</t>
  </si>
  <si>
    <t>20 199</t>
  </si>
  <si>
    <t>36 103</t>
  </si>
  <si>
    <t>5 123</t>
  </si>
  <si>
    <t>26 153</t>
  </si>
  <si>
    <t>17 121</t>
  </si>
  <si>
    <t>51 121</t>
  </si>
  <si>
    <t>34 35</t>
  </si>
  <si>
    <t>35 39</t>
  </si>
  <si>
    <t>27 161</t>
  </si>
  <si>
    <t>23 5</t>
  </si>
  <si>
    <t>35 49</t>
  </si>
  <si>
    <t>15 1</t>
  </si>
  <si>
    <t>5 61</t>
  </si>
  <si>
    <t>28 77</t>
  </si>
  <si>
    <t>55 61</t>
  </si>
  <si>
    <t>48 235</t>
  </si>
  <si>
    <t>47 181</t>
  </si>
  <si>
    <t>8 53</t>
  </si>
  <si>
    <t>19 157</t>
  </si>
  <si>
    <t>19 135</t>
  </si>
  <si>
    <t>54 57</t>
  </si>
  <si>
    <t>46 43</t>
  </si>
  <si>
    <t>8 93</t>
  </si>
  <si>
    <t>18 133</t>
  </si>
  <si>
    <t>2 280</t>
  </si>
  <si>
    <t>16 57</t>
  </si>
  <si>
    <t>39 103</t>
  </si>
  <si>
    <t>24 23</t>
  </si>
  <si>
    <t>12 123</t>
  </si>
  <si>
    <t>25 9</t>
  </si>
  <si>
    <t>51 67</t>
  </si>
  <si>
    <t>46 99</t>
  </si>
  <si>
    <t>22 29</t>
  </si>
  <si>
    <t>51 153</t>
  </si>
  <si>
    <t>17 43</t>
  </si>
  <si>
    <t>37 153</t>
  </si>
  <si>
    <t>53 15</t>
  </si>
  <si>
    <t>48 305</t>
  </si>
  <si>
    <t>17 147</t>
  </si>
  <si>
    <t>21 183</t>
  </si>
  <si>
    <t>1 75</t>
  </si>
  <si>
    <t>1 73</t>
  </si>
  <si>
    <t>1 133</t>
  </si>
  <si>
    <t>31 21</t>
  </si>
  <si>
    <t>13 109</t>
  </si>
  <si>
    <t>38 83</t>
  </si>
  <si>
    <t>51 550</t>
  </si>
  <si>
    <t>45 23</t>
  </si>
  <si>
    <t>2 122</t>
  </si>
  <si>
    <t>47 91</t>
  </si>
  <si>
    <t>12 63</t>
  </si>
  <si>
    <t>4 13</t>
  </si>
  <si>
    <t>18 39</t>
  </si>
  <si>
    <t>16 69</t>
  </si>
  <si>
    <t>21 141</t>
  </si>
  <si>
    <t>38 71</t>
  </si>
  <si>
    <t>39 35</t>
  </si>
  <si>
    <t>50 7</t>
  </si>
  <si>
    <t>13 311</t>
  </si>
  <si>
    <t>19 13</t>
  </si>
  <si>
    <t>48 307</t>
  </si>
  <si>
    <t>48 379</t>
  </si>
  <si>
    <t>13 291</t>
  </si>
  <si>
    <t>31 149</t>
  </si>
  <si>
    <t>28 159</t>
  </si>
  <si>
    <t>16 23</t>
  </si>
  <si>
    <t>22 33</t>
  </si>
  <si>
    <t>21 61</t>
  </si>
  <si>
    <t>50 19</t>
  </si>
  <si>
    <t>51 730</t>
  </si>
  <si>
    <t>26 17</t>
  </si>
  <si>
    <t>36 15</t>
  </si>
  <si>
    <t>23 15</t>
  </si>
  <si>
    <t>4 17</t>
  </si>
  <si>
    <t>29 93</t>
  </si>
  <si>
    <t>41 9</t>
  </si>
  <si>
    <t>53 55</t>
  </si>
  <si>
    <t>26 35</t>
  </si>
  <si>
    <t>27 63</t>
  </si>
  <si>
    <t>21 125</t>
  </si>
  <si>
    <t>5 101</t>
  </si>
  <si>
    <t>6 99</t>
  </si>
  <si>
    <t>18 55</t>
  </si>
  <si>
    <t>55 7</t>
  </si>
  <si>
    <t>22 53</t>
  </si>
  <si>
    <t>45 9</t>
  </si>
  <si>
    <t>36 3</t>
  </si>
  <si>
    <t>31 169</t>
  </si>
  <si>
    <t>48 233</t>
  </si>
  <si>
    <t>56 21</t>
  </si>
  <si>
    <t>26 57</t>
  </si>
  <si>
    <t>40 119</t>
  </si>
  <si>
    <t>29 197</t>
  </si>
  <si>
    <t>47 7</t>
  </si>
  <si>
    <t>36 49</t>
  </si>
  <si>
    <t>48 259</t>
  </si>
  <si>
    <t>48 301</t>
  </si>
  <si>
    <t>1 115</t>
  </si>
  <si>
    <t>16 71</t>
  </si>
  <si>
    <t>42 37</t>
  </si>
  <si>
    <t>21 219</t>
  </si>
  <si>
    <t>40 69</t>
  </si>
  <si>
    <t>27 89</t>
  </si>
  <si>
    <t>46 19</t>
  </si>
  <si>
    <t>30 111</t>
  </si>
  <si>
    <t>39 15</t>
  </si>
  <si>
    <t>31 135</t>
  </si>
  <si>
    <t>21 185</t>
  </si>
  <si>
    <t>28 131</t>
  </si>
  <si>
    <t>47 153</t>
  </si>
  <si>
    <t>51 137</t>
  </si>
  <si>
    <t>40 87</t>
  </si>
  <si>
    <t>18 69</t>
  </si>
  <si>
    <t>41 39</t>
  </si>
  <si>
    <t>18 63</t>
  </si>
  <si>
    <t>55 69</t>
  </si>
  <si>
    <t>29 59</t>
  </si>
  <si>
    <t>13 313</t>
  </si>
  <si>
    <t>40 127</t>
  </si>
  <si>
    <t>27 121</t>
  </si>
  <si>
    <t>20 177</t>
  </si>
  <si>
    <t>25 1</t>
  </si>
  <si>
    <t>20 145</t>
  </si>
  <si>
    <t>48 97</t>
  </si>
  <si>
    <t>27 145</t>
  </si>
  <si>
    <t>6 83</t>
  </si>
  <si>
    <t>1 117</t>
  </si>
  <si>
    <t>41 27</t>
  </si>
  <si>
    <t>12 99</t>
  </si>
  <si>
    <t>8 89</t>
  </si>
  <si>
    <t>27 165</t>
  </si>
  <si>
    <t>13 97</t>
  </si>
  <si>
    <t>48 9</t>
  </si>
  <si>
    <t>22 39</t>
  </si>
  <si>
    <t>37 177</t>
  </si>
  <si>
    <t>13 239</t>
  </si>
  <si>
    <t>1 109</t>
  </si>
  <si>
    <t>55 55</t>
  </si>
  <si>
    <t>13 37</t>
  </si>
  <si>
    <t>19 29</t>
  </si>
  <si>
    <t>37 185</t>
  </si>
  <si>
    <t>39 115</t>
  </si>
  <si>
    <t>55 75</t>
  </si>
  <si>
    <t>17 47</t>
  </si>
  <si>
    <t>51 179</t>
  </si>
  <si>
    <t>36 75</t>
  </si>
  <si>
    <t>29 177</t>
  </si>
  <si>
    <t>32 3</t>
  </si>
  <si>
    <t>37 57</t>
  </si>
  <si>
    <t>39 129</t>
  </si>
  <si>
    <t>31 141</t>
  </si>
  <si>
    <t>37 67</t>
  </si>
  <si>
    <t>37 83</t>
  </si>
  <si>
    <t>18 177</t>
  </si>
  <si>
    <t>31 125</t>
  </si>
  <si>
    <t>37 95</t>
  </si>
  <si>
    <t>19 11</t>
  </si>
  <si>
    <t>1 87</t>
  </si>
  <si>
    <t>47 145</t>
  </si>
  <si>
    <t>48 349</t>
  </si>
  <si>
    <t>29 7</t>
  </si>
  <si>
    <t>30 59</t>
  </si>
  <si>
    <t>1 9</t>
  </si>
  <si>
    <t>31 179</t>
  </si>
  <si>
    <t>53 45</t>
  </si>
  <si>
    <t>46 107</t>
  </si>
  <si>
    <t>36 25</t>
  </si>
  <si>
    <t>12 125</t>
  </si>
  <si>
    <t>26 31</t>
  </si>
  <si>
    <t>36 87</t>
  </si>
  <si>
    <t>27 127</t>
  </si>
  <si>
    <t>31 115</t>
  </si>
  <si>
    <t>37 53</t>
  </si>
  <si>
    <t>24 13</t>
  </si>
  <si>
    <t>54 109</t>
  </si>
  <si>
    <t>15 3</t>
  </si>
  <si>
    <t>13 139</t>
  </si>
  <si>
    <t>31 153</t>
  </si>
  <si>
    <t>2 240</t>
  </si>
  <si>
    <t>18 127</t>
  </si>
  <si>
    <t>6 85</t>
  </si>
  <si>
    <t>29 51</t>
  </si>
  <si>
    <t>42 55</t>
  </si>
  <si>
    <t>21 215</t>
  </si>
  <si>
    <t>29 203</t>
  </si>
  <si>
    <t>48 99</t>
  </si>
  <si>
    <t>22 101</t>
  </si>
  <si>
    <t>12 93</t>
  </si>
  <si>
    <t>47 89</t>
  </si>
  <si>
    <t>28 121</t>
  </si>
  <si>
    <t>21 87</t>
  </si>
  <si>
    <t>6 7</t>
  </si>
  <si>
    <t>26 161</t>
  </si>
  <si>
    <t>20 47</t>
  </si>
  <si>
    <t>17 7</t>
  </si>
  <si>
    <t>5 65</t>
  </si>
  <si>
    <t>22 73</t>
  </si>
  <si>
    <t>47 159</t>
  </si>
  <si>
    <t>28 149</t>
  </si>
  <si>
    <t>27 23</t>
  </si>
  <si>
    <t>45 77</t>
  </si>
  <si>
    <t>53 71</t>
  </si>
  <si>
    <t>31 43</t>
  </si>
  <si>
    <t>29 183</t>
  </si>
  <si>
    <t>1 127</t>
  </si>
  <si>
    <t>38 65</t>
  </si>
  <si>
    <t>1 101</t>
  </si>
  <si>
    <t>13 321</t>
  </si>
  <si>
    <t>55 3</t>
  </si>
  <si>
    <t>54 43</t>
  </si>
  <si>
    <t>40 35</t>
  </si>
  <si>
    <t>29 510</t>
  </si>
  <si>
    <t>22 27</t>
  </si>
  <si>
    <t>23 13</t>
  </si>
  <si>
    <t>48 463</t>
  </si>
  <si>
    <t>28 29</t>
  </si>
  <si>
    <t>31 155</t>
  </si>
  <si>
    <t>45 3</t>
  </si>
  <si>
    <t>27 83</t>
  </si>
  <si>
    <t>48 419</t>
  </si>
  <si>
    <t>39 5</t>
  </si>
  <si>
    <t>39 147</t>
  </si>
  <si>
    <t>55 129</t>
  </si>
  <si>
    <t>19 75</t>
  </si>
  <si>
    <t>12 35</t>
  </si>
  <si>
    <t>8 47</t>
  </si>
  <si>
    <t>36 71</t>
  </si>
  <si>
    <t>30 1</t>
  </si>
  <si>
    <t>48 81</t>
  </si>
  <si>
    <t>53 1</t>
  </si>
  <si>
    <t>48 53</t>
  </si>
  <si>
    <t>39 113</t>
  </si>
  <si>
    <t>31 177</t>
  </si>
  <si>
    <t>29 117</t>
  </si>
  <si>
    <t>51 133</t>
  </si>
  <si>
    <t>12 7</t>
  </si>
  <si>
    <t>39 63</t>
  </si>
  <si>
    <t>40 141</t>
  </si>
  <si>
    <t>31 41</t>
  </si>
  <si>
    <t>46 39</t>
  </si>
  <si>
    <t>26 19</t>
  </si>
  <si>
    <t>20 19</t>
  </si>
  <si>
    <t>42 115</t>
  </si>
  <si>
    <t>18 5</t>
  </si>
  <si>
    <t>51 161</t>
  </si>
  <si>
    <t>8 43</t>
  </si>
  <si>
    <t>48 121</t>
  </si>
  <si>
    <t>13 297</t>
  </si>
  <si>
    <t>17 37</t>
  </si>
  <si>
    <t>51 175</t>
  </si>
  <si>
    <t>20 29</t>
  </si>
  <si>
    <t>16 83</t>
  </si>
  <si>
    <t>13 141</t>
  </si>
  <si>
    <t>37 141</t>
  </si>
  <si>
    <t>5 145</t>
  </si>
  <si>
    <t>49 19</t>
  </si>
  <si>
    <t>23 7</t>
  </si>
  <si>
    <t>48 113</t>
  </si>
  <si>
    <t>48 421</t>
  </si>
  <si>
    <t>40 83</t>
  </si>
  <si>
    <t>39 175</t>
  </si>
  <si>
    <t>53 21</t>
  </si>
  <si>
    <t>29 225</t>
  </si>
  <si>
    <t>40 63</t>
  </si>
  <si>
    <t>55 73</t>
  </si>
  <si>
    <t>31 103</t>
  </si>
  <si>
    <t>27 13</t>
  </si>
  <si>
    <t>48 155</t>
  </si>
  <si>
    <t>53 65</t>
  </si>
  <si>
    <t>21 211</t>
  </si>
  <si>
    <t>48 135</t>
  </si>
  <si>
    <t>41 37</t>
  </si>
  <si>
    <t>29 101</t>
  </si>
  <si>
    <t>31 183</t>
  </si>
  <si>
    <t>37 105</t>
  </si>
  <si>
    <t>41 63</t>
  </si>
  <si>
    <t>35 35</t>
  </si>
  <si>
    <t>54 73</t>
  </si>
  <si>
    <t>17 113</t>
  </si>
  <si>
    <t>48 355</t>
  </si>
  <si>
    <t>5 35</t>
  </si>
  <si>
    <t>17 171</t>
  </si>
  <si>
    <t>19 49</t>
  </si>
  <si>
    <t>40 17</t>
  </si>
  <si>
    <t>47 47</t>
  </si>
  <si>
    <t>26 81</t>
  </si>
  <si>
    <t>24 31</t>
  </si>
  <si>
    <t>48 391</t>
  </si>
  <si>
    <t>13 69</t>
  </si>
  <si>
    <t>45 37</t>
  </si>
  <si>
    <t>36 107</t>
  </si>
  <si>
    <t>56 13</t>
  </si>
  <si>
    <t>5 111</t>
  </si>
  <si>
    <t>8 113</t>
  </si>
  <si>
    <t>37 35</t>
  </si>
  <si>
    <t>37 41</t>
  </si>
  <si>
    <t>29 169</t>
  </si>
  <si>
    <t>39 79</t>
  </si>
  <si>
    <t>22 9</t>
  </si>
  <si>
    <t>39 45</t>
  </si>
  <si>
    <t>18 85</t>
  </si>
  <si>
    <t>20 157</t>
  </si>
  <si>
    <t>26 59</t>
  </si>
  <si>
    <t>48 261</t>
  </si>
  <si>
    <t>37 49</t>
  </si>
  <si>
    <t>51 9</t>
  </si>
  <si>
    <t>38 99</t>
  </si>
  <si>
    <t>16 5</t>
  </si>
  <si>
    <t>31 59</t>
  </si>
  <si>
    <t>46 21</t>
  </si>
  <si>
    <t>26 13</t>
  </si>
  <si>
    <t>5 103</t>
  </si>
  <si>
    <t>12 97</t>
  </si>
  <si>
    <t>40 81</t>
  </si>
  <si>
    <t>46 115</t>
  </si>
  <si>
    <t>20 33</t>
  </si>
  <si>
    <t>40 85</t>
  </si>
  <si>
    <t>42 15</t>
  </si>
  <si>
    <t>12 117</t>
  </si>
  <si>
    <t>47 111</t>
  </si>
  <si>
    <t>40 93</t>
  </si>
  <si>
    <t>46 77</t>
  </si>
  <si>
    <t>48 277</t>
  </si>
  <si>
    <t>46 97</t>
  </si>
  <si>
    <t>47 73</t>
  </si>
  <si>
    <t>51 630</t>
  </si>
  <si>
    <t>51 61</t>
  </si>
  <si>
    <t>55 49</t>
  </si>
  <si>
    <t>21 181</t>
  </si>
  <si>
    <t>26 119</t>
  </si>
  <si>
    <t>18 165</t>
  </si>
  <si>
    <t>20 43</t>
  </si>
  <si>
    <t>48 257</t>
  </si>
  <si>
    <t>13 287</t>
  </si>
  <si>
    <t>20 173</t>
  </si>
  <si>
    <t>13 57</t>
  </si>
  <si>
    <t>26 107</t>
  </si>
  <si>
    <t>20 131</t>
  </si>
  <si>
    <t>27 37</t>
  </si>
  <si>
    <t>51 199</t>
  </si>
  <si>
    <t>17 201</t>
  </si>
  <si>
    <t>18 135</t>
  </si>
  <si>
    <t>36 91</t>
  </si>
  <si>
    <t>27 171</t>
  </si>
  <si>
    <t>13 209</t>
  </si>
  <si>
    <t>29 173</t>
  </si>
  <si>
    <t>39 171</t>
  </si>
  <si>
    <t>18 41</t>
  </si>
  <si>
    <t>48 105</t>
  </si>
  <si>
    <t>18 157</t>
  </si>
  <si>
    <t>53 59</t>
  </si>
  <si>
    <t>31 93</t>
  </si>
  <si>
    <t>18 17</t>
  </si>
  <si>
    <t>32 27</t>
  </si>
  <si>
    <t>28 41</t>
  </si>
  <si>
    <t>17 179</t>
  </si>
  <si>
    <t>13 27</t>
  </si>
  <si>
    <t>12 53</t>
  </si>
  <si>
    <t>39 91</t>
  </si>
  <si>
    <t>49 31</t>
  </si>
  <si>
    <t>55 115</t>
  </si>
  <si>
    <t>21 77</t>
  </si>
  <si>
    <t>2 20</t>
  </si>
  <si>
    <t>55 25</t>
  </si>
  <si>
    <t>29 43</t>
  </si>
  <si>
    <t>41 35</t>
  </si>
  <si>
    <t>38 63</t>
  </si>
  <si>
    <t>51 125</t>
  </si>
  <si>
    <t>47 155</t>
  </si>
  <si>
    <t>32 19</t>
  </si>
  <si>
    <t>47 69</t>
  </si>
  <si>
    <t>13 73</t>
  </si>
  <si>
    <t>17 127</t>
  </si>
  <si>
    <t>48 283</t>
  </si>
  <si>
    <t>54 39</t>
  </si>
  <si>
    <t>22 67</t>
  </si>
  <si>
    <t>22 35</t>
  </si>
  <si>
    <t>27 85</t>
  </si>
  <si>
    <t>12 39</t>
  </si>
  <si>
    <t>31 73</t>
  </si>
  <si>
    <t>39 123</t>
  </si>
  <si>
    <t>54 93</t>
  </si>
  <si>
    <t>21 137</t>
  </si>
  <si>
    <t>21 171</t>
  </si>
  <si>
    <t>13 219</t>
  </si>
  <si>
    <t>53 23</t>
  </si>
  <si>
    <t>13 101</t>
  </si>
  <si>
    <t>28 89</t>
  </si>
  <si>
    <t>40 97</t>
  </si>
  <si>
    <t>13 269</t>
  </si>
  <si>
    <t>21 177</t>
  </si>
  <si>
    <t>39 61</t>
  </si>
  <si>
    <t>26 123</t>
  </si>
  <si>
    <t>30 89</t>
  </si>
  <si>
    <t>17 75</t>
  </si>
  <si>
    <t>20 83</t>
  </si>
  <si>
    <t>37 167</t>
  </si>
  <si>
    <t>17 119</t>
  </si>
  <si>
    <t>51 620</t>
  </si>
  <si>
    <t>31 181</t>
  </si>
  <si>
    <t>21 53</t>
  </si>
  <si>
    <t>54 89</t>
  </si>
  <si>
    <t>13 143</t>
  </si>
  <si>
    <t>26 43</t>
  </si>
  <si>
    <t>40 129</t>
  </si>
  <si>
    <t>41 65</t>
  </si>
  <si>
    <t>38 21</t>
  </si>
  <si>
    <t>18 147</t>
  </si>
  <si>
    <t>12 91</t>
  </si>
  <si>
    <t>47 139</t>
  </si>
  <si>
    <t>30 15</t>
  </si>
  <si>
    <t>54 75</t>
  </si>
  <si>
    <t>37 197</t>
  </si>
  <si>
    <t>48 255</t>
  </si>
  <si>
    <t>13 243</t>
  </si>
  <si>
    <t>19 43</t>
  </si>
  <si>
    <t>18 155</t>
  </si>
  <si>
    <t>13 61</t>
  </si>
  <si>
    <t>53 77</t>
  </si>
  <si>
    <t>55 17</t>
  </si>
  <si>
    <t>21 189</t>
  </si>
  <si>
    <t>48 137</t>
  </si>
  <si>
    <t>16 43</t>
  </si>
  <si>
    <t>42 129</t>
  </si>
  <si>
    <t>38 19</t>
  </si>
  <si>
    <t>48 7</t>
  </si>
  <si>
    <t>24 45</t>
  </si>
  <si>
    <t>36 55</t>
  </si>
  <si>
    <t>26 45</t>
  </si>
  <si>
    <t>29 215</t>
  </si>
  <si>
    <t>39 145</t>
  </si>
  <si>
    <t>26 7</t>
  </si>
  <si>
    <t>37 117</t>
  </si>
  <si>
    <t>6 11</t>
  </si>
  <si>
    <t>1 83</t>
  </si>
  <si>
    <t>19 57</t>
  </si>
  <si>
    <t>18 13</t>
  </si>
  <si>
    <t>47 93</t>
  </si>
  <si>
    <t>31 81</t>
  </si>
  <si>
    <t>25 25</t>
  </si>
  <si>
    <t>38 45</t>
  </si>
  <si>
    <t>54 83</t>
  </si>
  <si>
    <t>5 13</t>
  </si>
  <si>
    <t>22 47</t>
  </si>
  <si>
    <t>12 49</t>
  </si>
  <si>
    <t>48 273</t>
  </si>
  <si>
    <t>24 9</t>
  </si>
  <si>
    <t>27 139</t>
  </si>
  <si>
    <t>21 5</t>
  </si>
  <si>
    <t>42 93</t>
  </si>
  <si>
    <t>21 179</t>
  </si>
  <si>
    <t>51 29</t>
  </si>
  <si>
    <t>5 137</t>
  </si>
  <si>
    <t>17 199</t>
  </si>
  <si>
    <t>8 27</t>
  </si>
  <si>
    <t>6 75</t>
  </si>
  <si>
    <t>32 1</t>
  </si>
  <si>
    <t>47 13</t>
  </si>
  <si>
    <t>26 135</t>
  </si>
  <si>
    <t>22 3</t>
  </si>
  <si>
    <t>28 39</t>
  </si>
  <si>
    <t>40 151</t>
  </si>
  <si>
    <t>30 99</t>
  </si>
  <si>
    <t>46 63</t>
  </si>
  <si>
    <t>48 149</t>
  </si>
  <si>
    <t>55 51</t>
  </si>
  <si>
    <t>47 23</t>
  </si>
  <si>
    <t>20 61</t>
  </si>
  <si>
    <t>31 51</t>
  </si>
  <si>
    <t>12 5</t>
  </si>
  <si>
    <t>48 3</t>
  </si>
  <si>
    <t>21 133</t>
  </si>
  <si>
    <t>19 31</t>
  </si>
  <si>
    <t>8 39</t>
  </si>
  <si>
    <t>47 163</t>
  </si>
  <si>
    <t>26 53</t>
  </si>
  <si>
    <t>19 185</t>
  </si>
  <si>
    <t>24 510</t>
  </si>
  <si>
    <t>39 107</t>
  </si>
  <si>
    <t>5 9</t>
  </si>
  <si>
    <t>41 43</t>
  </si>
  <si>
    <t>47 61</t>
  </si>
  <si>
    <t>48 167</t>
  </si>
  <si>
    <t>42 113</t>
  </si>
  <si>
    <t>13 255</t>
  </si>
  <si>
    <t>21 33</t>
  </si>
  <si>
    <t>20 79</t>
  </si>
  <si>
    <t>35 17</t>
  </si>
  <si>
    <t>38 31</t>
  </si>
  <si>
    <t>28 91</t>
  </si>
  <si>
    <t>6 81</t>
  </si>
  <si>
    <t>24 33</t>
  </si>
  <si>
    <t>20 119</t>
  </si>
  <si>
    <t>51 700</t>
  </si>
  <si>
    <t>38 15</t>
  </si>
  <si>
    <t>36 119</t>
  </si>
  <si>
    <t>20 205</t>
  </si>
  <si>
    <t>12 21</t>
  </si>
  <si>
    <t>36 67</t>
  </si>
  <si>
    <t>13 93</t>
  </si>
  <si>
    <t>39 13</t>
  </si>
  <si>
    <t>48 101</t>
  </si>
  <si>
    <t>48 25</t>
  </si>
  <si>
    <t>20 127</t>
  </si>
  <si>
    <t>54 19</t>
  </si>
  <si>
    <t>19 151</t>
  </si>
  <si>
    <t>21 89</t>
  </si>
  <si>
    <t>48 353</t>
  </si>
  <si>
    <t>2 270</t>
  </si>
  <si>
    <t>32 23</t>
  </si>
  <si>
    <t>45 83</t>
  </si>
  <si>
    <t>5 107</t>
  </si>
  <si>
    <t>49 51</t>
  </si>
  <si>
    <t>18 115</t>
  </si>
  <si>
    <t>28 153</t>
  </si>
  <si>
    <t>48 253</t>
  </si>
  <si>
    <t>40 65</t>
  </si>
  <si>
    <t>28 9</t>
  </si>
  <si>
    <t>32 33</t>
  </si>
  <si>
    <t>31 127</t>
  </si>
  <si>
    <t>28 71</t>
  </si>
  <si>
    <t>12 85</t>
  </si>
  <si>
    <t>31 33</t>
  </si>
  <si>
    <t>56 7</t>
  </si>
  <si>
    <t>12 81</t>
  </si>
  <si>
    <t>18 107</t>
  </si>
  <si>
    <t>26 83</t>
  </si>
  <si>
    <t>4 12</t>
  </si>
  <si>
    <t>13 63</t>
  </si>
  <si>
    <t>40 11</t>
  </si>
  <si>
    <t>16 21</t>
  </si>
  <si>
    <t>55 37</t>
  </si>
  <si>
    <t>48 95</t>
  </si>
  <si>
    <t>1 77</t>
  </si>
  <si>
    <t>45 39</t>
  </si>
  <si>
    <t>31 63</t>
  </si>
  <si>
    <t>48 417</t>
  </si>
  <si>
    <t>13 285</t>
  </si>
  <si>
    <t>13 231</t>
  </si>
  <si>
    <t>5 27</t>
  </si>
  <si>
    <t>48 499</t>
  </si>
  <si>
    <t>18 161</t>
  </si>
  <si>
    <t>1 11</t>
  </si>
  <si>
    <t>21 81</t>
  </si>
  <si>
    <t>27 31</t>
  </si>
  <si>
    <t>28 45</t>
  </si>
  <si>
    <t>5 75</t>
  </si>
  <si>
    <t>22 17</t>
  </si>
  <si>
    <t>13 99</t>
  </si>
  <si>
    <t>38 37</t>
  </si>
  <si>
    <t>48 329</t>
  </si>
  <si>
    <t>29 207</t>
  </si>
  <si>
    <t>46 73</t>
  </si>
  <si>
    <t>48 203</t>
  </si>
  <si>
    <t>55 111</t>
  </si>
  <si>
    <t>6 37</t>
  </si>
  <si>
    <t>48 187</t>
  </si>
  <si>
    <t>40 121</t>
  </si>
  <si>
    <t>34 1</t>
  </si>
  <si>
    <t>1 129</t>
  </si>
  <si>
    <t>19 189</t>
  </si>
  <si>
    <t>20 183</t>
  </si>
  <si>
    <t>35 11</t>
  </si>
  <si>
    <t>18 27</t>
  </si>
  <si>
    <t>20 55</t>
  </si>
  <si>
    <t>18 159</t>
  </si>
  <si>
    <t>17 1</t>
  </si>
  <si>
    <t>48 75</t>
  </si>
  <si>
    <t>13 113</t>
  </si>
  <si>
    <t>48 241</t>
  </si>
  <si>
    <t>19 181</t>
  </si>
  <si>
    <t>30 79</t>
  </si>
  <si>
    <t>13 39</t>
  </si>
  <si>
    <t>31 91</t>
  </si>
  <si>
    <t>20 113</t>
  </si>
  <si>
    <t>18 179</t>
  </si>
  <si>
    <t>2 201</t>
  </si>
  <si>
    <t>37 109</t>
  </si>
  <si>
    <t>29 139</t>
  </si>
  <si>
    <t>47 173</t>
  </si>
  <si>
    <t>18 9</t>
  </si>
  <si>
    <t>49 47</t>
  </si>
  <si>
    <t>37 69</t>
  </si>
  <si>
    <t>51 810</t>
  </si>
  <si>
    <t>48 237</t>
  </si>
  <si>
    <t>33 11</t>
  </si>
  <si>
    <t>17 117</t>
  </si>
  <si>
    <t>21 131</t>
  </si>
  <si>
    <t>40 55</t>
  </si>
  <si>
    <t>28 81</t>
  </si>
  <si>
    <t>21 159</t>
  </si>
  <si>
    <t>49 7</t>
  </si>
  <si>
    <t>22 93</t>
  </si>
  <si>
    <t>39 67</t>
  </si>
  <si>
    <t>28 5</t>
  </si>
  <si>
    <t>19 195</t>
  </si>
  <si>
    <t>16 41</t>
  </si>
  <si>
    <t>5 77</t>
  </si>
  <si>
    <t>48 461</t>
  </si>
  <si>
    <t>54 97</t>
  </si>
  <si>
    <t>6 15</t>
  </si>
  <si>
    <t>40 47</t>
  </si>
  <si>
    <t>42 51</t>
  </si>
  <si>
    <t>40 39</t>
  </si>
  <si>
    <t>36 115</t>
  </si>
  <si>
    <t>36 27</t>
  </si>
  <si>
    <t>8 49</t>
  </si>
  <si>
    <t>39 167</t>
  </si>
  <si>
    <t>41 67</t>
  </si>
  <si>
    <t>47 107</t>
  </si>
  <si>
    <t>17 195</t>
  </si>
  <si>
    <t>17 49</t>
  </si>
  <si>
    <t>20 135</t>
  </si>
  <si>
    <t>45 75</t>
  </si>
  <si>
    <t>48 55</t>
  </si>
  <si>
    <t>13 179</t>
  </si>
  <si>
    <t>37 151</t>
  </si>
  <si>
    <t>18 11</t>
  </si>
  <si>
    <t>54 27</t>
  </si>
  <si>
    <t>22 105</t>
  </si>
  <si>
    <t>27 123</t>
  </si>
  <si>
    <t>48 59</t>
  </si>
  <si>
    <t>29 163</t>
  </si>
  <si>
    <t>28 145</t>
  </si>
  <si>
    <t>21 201</t>
  </si>
  <si>
    <t>47 11</t>
  </si>
  <si>
    <t>40 1</t>
  </si>
  <si>
    <t>20 51</t>
  </si>
  <si>
    <t>21 237</t>
  </si>
  <si>
    <t>13 205</t>
  </si>
  <si>
    <t>17 137</t>
  </si>
  <si>
    <t>26 165</t>
  </si>
  <si>
    <t>29 115</t>
  </si>
  <si>
    <t>48 269</t>
  </si>
  <si>
    <t>8 75</t>
  </si>
  <si>
    <t>45 91</t>
  </si>
  <si>
    <t>8 3</t>
  </si>
  <si>
    <t>48 423</t>
  </si>
  <si>
    <t>55 117</t>
  </si>
  <si>
    <t>23 17</t>
  </si>
  <si>
    <t>42 123</t>
  </si>
  <si>
    <t>17 65</t>
  </si>
  <si>
    <t>32 510</t>
  </si>
  <si>
    <t>47 119</t>
  </si>
  <si>
    <t>27 105</t>
  </si>
  <si>
    <t>8 107</t>
  </si>
  <si>
    <t>39 39</t>
  </si>
  <si>
    <t>8 109</t>
  </si>
  <si>
    <t>51 27</t>
  </si>
  <si>
    <t>40 53</t>
  </si>
  <si>
    <t>22 1</t>
  </si>
  <si>
    <t>51 600</t>
  </si>
  <si>
    <t>12 105</t>
  </si>
  <si>
    <t>51 185</t>
  </si>
  <si>
    <t>13 111</t>
  </si>
  <si>
    <t>13 103</t>
  </si>
  <si>
    <t>17 159</t>
  </si>
  <si>
    <t>20 161</t>
  </si>
  <si>
    <t>27 135</t>
  </si>
  <si>
    <t>41 41</t>
  </si>
  <si>
    <t>17 167</t>
  </si>
  <si>
    <t>48 125</t>
  </si>
  <si>
    <t>29 195</t>
  </si>
  <si>
    <t>31 175</t>
  </si>
  <si>
    <t>1 63</t>
  </si>
  <si>
    <t>13 259</t>
  </si>
  <si>
    <t>6 39</t>
  </si>
  <si>
    <t>28 141</t>
  </si>
  <si>
    <t>48 319</t>
  </si>
  <si>
    <t>22 79</t>
  </si>
  <si>
    <t>48 185</t>
  </si>
  <si>
    <t>48 369</t>
  </si>
  <si>
    <t>56 39</t>
  </si>
  <si>
    <t>49 57</t>
  </si>
  <si>
    <t>5 141</t>
  </si>
  <si>
    <t>54 91</t>
  </si>
  <si>
    <t>12 121</t>
  </si>
  <si>
    <t>5 37</t>
  </si>
  <si>
    <t>13 213</t>
  </si>
  <si>
    <t>49 5</t>
  </si>
  <si>
    <t>47 31</t>
  </si>
  <si>
    <t>28 147</t>
  </si>
  <si>
    <t>16 15</t>
  </si>
  <si>
    <t>48 387</t>
  </si>
  <si>
    <t>46 37</t>
  </si>
  <si>
    <t>37 121</t>
  </si>
  <si>
    <t>6 25</t>
  </si>
  <si>
    <t>27 87</t>
  </si>
  <si>
    <t>13 281</t>
  </si>
  <si>
    <t>17 155</t>
  </si>
  <si>
    <t>27 3</t>
  </si>
  <si>
    <t>51 640</t>
  </si>
  <si>
    <t>17 83</t>
  </si>
  <si>
    <t>49 37</t>
  </si>
  <si>
    <t>28 47</t>
  </si>
  <si>
    <t>29 21</t>
  </si>
  <si>
    <t>48 471</t>
  </si>
  <si>
    <t>29 47</t>
  </si>
  <si>
    <t>47 183</t>
  </si>
  <si>
    <t>21 67</t>
  </si>
  <si>
    <t>5 133</t>
  </si>
  <si>
    <t>47 81</t>
  </si>
  <si>
    <t>21 85</t>
  </si>
  <si>
    <t>39 33</t>
  </si>
  <si>
    <t>55 29</t>
  </si>
  <si>
    <t>5 129</t>
  </si>
  <si>
    <t>13 289</t>
  </si>
  <si>
    <t>41 55</t>
  </si>
  <si>
    <t>20 15</t>
  </si>
  <si>
    <t>1 85</t>
  </si>
  <si>
    <t>13 171</t>
  </si>
  <si>
    <t>13 207</t>
  </si>
  <si>
    <t>40 103</t>
  </si>
  <si>
    <t>45 85</t>
  </si>
  <si>
    <t>53 35</t>
  </si>
  <si>
    <t>21 165</t>
  </si>
  <si>
    <t>20 139</t>
  </si>
  <si>
    <t>19 53</t>
  </si>
  <si>
    <t>48 71</t>
  </si>
  <si>
    <t>29 127</t>
  </si>
  <si>
    <t>28 127</t>
  </si>
  <si>
    <t>22 13</t>
  </si>
  <si>
    <t>42 49</t>
  </si>
  <si>
    <t>36 101</t>
  </si>
  <si>
    <t>39 1</t>
  </si>
  <si>
    <t>55 63</t>
  </si>
  <si>
    <t>48 321</t>
  </si>
  <si>
    <t>50 13</t>
  </si>
  <si>
    <t>17 165</t>
  </si>
  <si>
    <t>19 159</t>
  </si>
  <si>
    <t>1 21</t>
  </si>
  <si>
    <t>38 77</t>
  </si>
  <si>
    <t>29 219</t>
  </si>
  <si>
    <t>13 67</t>
  </si>
  <si>
    <t>37 137</t>
  </si>
  <si>
    <t>24 25</t>
  </si>
  <si>
    <t>53 75</t>
  </si>
  <si>
    <t>27 133</t>
  </si>
  <si>
    <t>51 17</t>
  </si>
  <si>
    <t>29 141</t>
  </si>
  <si>
    <t>55 125</t>
  </si>
  <si>
    <t>28 17</t>
  </si>
  <si>
    <t>47 179</t>
  </si>
  <si>
    <t>20 203</t>
  </si>
  <si>
    <t>38 59</t>
  </si>
  <si>
    <t>21 153</t>
  </si>
  <si>
    <t>48 177</t>
  </si>
  <si>
    <t>26 93</t>
  </si>
  <si>
    <t>36 13</t>
  </si>
  <si>
    <t>45 1</t>
  </si>
  <si>
    <t>46 125</t>
  </si>
  <si>
    <t>21 29</t>
  </si>
  <si>
    <t>40 25</t>
  </si>
  <si>
    <t>47 5</t>
  </si>
  <si>
    <t>17 135</t>
  </si>
  <si>
    <t>22 127</t>
  </si>
  <si>
    <t>29 53</t>
  </si>
  <si>
    <t>20 81</t>
  </si>
  <si>
    <t>17 77</t>
  </si>
  <si>
    <t>54 11</t>
  </si>
  <si>
    <t>38 33</t>
  </si>
  <si>
    <t>49 1</t>
  </si>
  <si>
    <t>34 31</t>
  </si>
  <si>
    <t>9 1</t>
  </si>
  <si>
    <t>8 81</t>
  </si>
  <si>
    <t>18 97</t>
  </si>
  <si>
    <t>20 187</t>
  </si>
  <si>
    <t>48 193</t>
  </si>
  <si>
    <t>48 63</t>
  </si>
  <si>
    <t>16 63</t>
  </si>
  <si>
    <t>27 173</t>
  </si>
  <si>
    <t>8 105</t>
  </si>
  <si>
    <t>29 205</t>
  </si>
  <si>
    <t>48 173</t>
  </si>
  <si>
    <t>42 117</t>
  </si>
  <si>
    <t>17 29</t>
  </si>
  <si>
    <t>51 71</t>
  </si>
  <si>
    <t>6 13</t>
  </si>
  <si>
    <t>24 39</t>
  </si>
  <si>
    <t>30 103</t>
  </si>
  <si>
    <t>53 57</t>
  </si>
  <si>
    <t>45 17</t>
  </si>
  <si>
    <t>19 51</t>
  </si>
  <si>
    <t>30 65</t>
  </si>
  <si>
    <t>29 135</t>
  </si>
  <si>
    <t>41 69</t>
  </si>
  <si>
    <t>26 15</t>
  </si>
  <si>
    <t>48 475</t>
  </si>
  <si>
    <t>1 121</t>
  </si>
  <si>
    <t>48 199</t>
  </si>
  <si>
    <t>17 187</t>
  </si>
  <si>
    <t>29 17</t>
  </si>
  <si>
    <t>26 127</t>
  </si>
  <si>
    <t>39 53</t>
  </si>
  <si>
    <t>35 25</t>
  </si>
  <si>
    <t>19 167</t>
  </si>
  <si>
    <t>23 27</t>
  </si>
  <si>
    <t>17 87</t>
  </si>
  <si>
    <t>21 35</t>
  </si>
  <si>
    <t>29 33</t>
  </si>
  <si>
    <t>30 45</t>
  </si>
  <si>
    <t>48 127</t>
  </si>
  <si>
    <t>18 87</t>
  </si>
  <si>
    <t>17 133</t>
  </si>
  <si>
    <t>5 19</t>
  </si>
  <si>
    <t>21 223</t>
  </si>
  <si>
    <t>49 41</t>
  </si>
  <si>
    <t>13 245</t>
  </si>
  <si>
    <t>39 59</t>
  </si>
  <si>
    <t>51 23</t>
  </si>
  <si>
    <t>48 289</t>
  </si>
  <si>
    <t>13 299</t>
  </si>
  <si>
    <t>5 57</t>
  </si>
  <si>
    <t>13 167</t>
  </si>
  <si>
    <t>54 7</t>
  </si>
  <si>
    <t>31 97</t>
  </si>
  <si>
    <t>27 109</t>
  </si>
  <si>
    <t>17 103</t>
  </si>
  <si>
    <t>30 61</t>
  </si>
  <si>
    <t>31 157</t>
  </si>
  <si>
    <t>40 147</t>
  </si>
  <si>
    <t>55 135</t>
  </si>
  <si>
    <t>8 83</t>
  </si>
  <si>
    <t>19 197</t>
  </si>
  <si>
    <t>53 73</t>
  </si>
  <si>
    <t>22 11</t>
  </si>
  <si>
    <t>000050 01 ACCT.</t>
  </si>
  <si>
    <t>000100 05 GOVT-ACCT.</t>
  </si>
  <si>
    <t>000200 10 ACCT PIC 9(4).</t>
  </si>
  <si>
    <t>000300 10 SUB-ACCT PIC 99.</t>
  </si>
  <si>
    <t>000400 05 OBJ-CLS PIC XX.</t>
  </si>
  <si>
    <t>000500 05 AMT PIC 9(12)V99 COMP-3.</t>
  </si>
  <si>
    <t>000600 05 DR-CR PIC X.</t>
  </si>
  <si>
    <t>000700 05 FILLER PIC X(0023).</t>
  </si>
  <si>
    <t>000050 01 APPEAL.</t>
  </si>
  <si>
    <t>000100 05 APPEAL-NBR.</t>
  </si>
  <si>
    <t>000200 10 APPEAL-FY PIC 99.</t>
  </si>
  <si>
    <t>000300 10 APPEAL-SEQNC-NBR PIC 9(06).</t>
  </si>
  <si>
    <t>000400 10 APPEAL-AREA PIC X.</t>
  </si>
  <si>
    <t>000500 05 FMHA-CASE-NBR.</t>
  </si>
  <si>
    <t>000600 10 CASE-ST-NBR PIC X(02).</t>
  </si>
  <si>
    <t>000700 10 CTY-DST-NBR PIC X(03).</t>
  </si>
  <si>
    <t>000800 10 CASE-ENTY PIC X(10).</t>
  </si>
  <si>
    <t>000900 05 APPLNT-ENTY-NME.</t>
  </si>
  <si>
    <t>001000 10 APPLNT-LST-NME PIC X(17).</t>
  </si>
  <si>
    <t>001100 10 APPLNT-1ST-NME PIC X(12).</t>
  </si>
  <si>
    <t>001200 10 APPLNT-MID-NME PIC X.</t>
  </si>
  <si>
    <t>001300 05 CUR-REVW-DECSN PIC X(01).</t>
  </si>
  <si>
    <t>001400 05 ENTY-CNTCT-NME.</t>
  </si>
  <si>
    <t>001500 10 ENTY-CNTCT-LST-NME PIC X(17).</t>
  </si>
  <si>
    <t>001600 10 ENTY-CNTCT-1ST-NME PIC X(12).</t>
  </si>
  <si>
    <t>001700 05 APPLNT-ADDR.</t>
  </si>
  <si>
    <t>001800 10 APPLNT-ADDR-GRP.</t>
  </si>
  <si>
    <t>001900 15 APPLNT-STREET-CITY-1 PIC X(25).</t>
  </si>
  <si>
    <t>002000 15 APPLNT-STREET-CITY-2 PIC X(25).</t>
  </si>
  <si>
    <t>002100 10 APPLNT-ST PIC X(02).</t>
  </si>
  <si>
    <t>002200 10 APPLNT-ZIP.</t>
  </si>
  <si>
    <t>002300 15 APPLNT-ZIP-1 PIC X(05).</t>
  </si>
  <si>
    <t>002400 15 APPLNT-ZIP-2 PIC X(04).</t>
  </si>
  <si>
    <t>002500 05 APPLNT-OFC-PHN.</t>
  </si>
  <si>
    <t>002600 10 APPLNT-OFC-AREA PIC X(03).</t>
  </si>
  <si>
    <t>002700 10 APPLNT-OFC-PHN-NBR PIC X(07).</t>
  </si>
  <si>
    <t>002800 10 APPLNT-OFC-EXTNSN PIC X(04).</t>
  </si>
  <si>
    <t>002900 05 APPLNT-HOME-PHN.</t>
  </si>
  <si>
    <t>003000 10 APPLNT-HOME-AREA PIC X(03).</t>
  </si>
  <si>
    <t>003100 10 APPLNT-HOME-PHN-NBR PIC X(07).</t>
  </si>
  <si>
    <t>003200 05 LNDR-APPLNT PIC X(40).</t>
  </si>
  <si>
    <t>003300 05 LNDR-APPLNT-NME.</t>
  </si>
  <si>
    <t>003400 10 LNDR-APPLNT-LST-NME PIC X(17).</t>
  </si>
  <si>
    <t>003500 10 LNDR-APPLNT-1ST-NME PIC X(12).</t>
  </si>
  <si>
    <t>003600 05 LNDR-APPLNT-ADDR.</t>
  </si>
  <si>
    <t>003700 10 LNDR-APPLNT-ADDR-GRP.</t>
  </si>
  <si>
    <t>003800 15 LNDR-APPLNT-STREET-1 PIC X(25).</t>
  </si>
  <si>
    <t>003900 15 LNDR-APPLNT-STREET-2 PIC X(25).</t>
  </si>
  <si>
    <t>004000 10 LNDR-APPLNT-ST PIC X(2).</t>
  </si>
  <si>
    <t>004100 10 LNDR-APPLNT-ZIP.</t>
  </si>
  <si>
    <t>004200 15 LNDR-APPLNT-ZIP-1 PIC X(05).</t>
  </si>
  <si>
    <t>004300 15 LNDR-APPLNT-ZIP-2 PIC X(04).</t>
  </si>
  <si>
    <t>004400 05 LNDR-APPLNT-OFC-PHN.</t>
  </si>
  <si>
    <t>004500 10 LNDR-APPLNT-OFC-AREA PIC X(03).</t>
  </si>
  <si>
    <t>004600 10 LNDR-APPLNT-OFC-PHN-NBR PIC X(07).</t>
  </si>
  <si>
    <t>004700 10 LNDR-APPLNT-OFC-EXTNSN PIC X(04).</t>
  </si>
  <si>
    <t>004800 05 APPEAL-CUR-STAT.</t>
  </si>
  <si>
    <t>004900 10 APPEAL-STAT-MAJ PIC X.</t>
  </si>
  <si>
    <t>005000 10 APPEAL-STAT-PHASE PIC X.</t>
  </si>
  <si>
    <t>005100 10 APPEAL-STAT-LVL PIC X.</t>
  </si>
  <si>
    <t>005200 10 APPEAL-STAT-DECSN PIC X.</t>
  </si>
  <si>
    <t>005300 05 REP-NME.</t>
  </si>
  <si>
    <t>005400 10 REP-LST-NME PIC X(17).</t>
  </si>
  <si>
    <t>005500 10 REP-1ST-NME PIC X(12).</t>
  </si>
  <si>
    <t>005600 10 REP-MID-NME PIC X(01).</t>
  </si>
  <si>
    <t>005700 05 REP-ADDR.</t>
  </si>
  <si>
    <t>005800 10 REP-ADDR-GRP.</t>
  </si>
  <si>
    <t>005900 15 REP-STREET-CITY-1 PIC X(25).</t>
  </si>
  <si>
    <t>006000 15 REP-STREET-CITY-2 PIC X(25).</t>
  </si>
  <si>
    <t>006100 10 REP-ST PIC X(02).</t>
  </si>
  <si>
    <t>006200 10 REP-ZIP.</t>
  </si>
  <si>
    <t>006300 15 REP-ZIP-1 PIC X(05).</t>
  </si>
  <si>
    <t>006400 15 REP-ZIP-2 PIC X(04).</t>
  </si>
  <si>
    <t>006500 05 REP-OFC-PHN.</t>
  </si>
  <si>
    <t>006600 10 REP-OFC-AREA PIC X(03).</t>
  </si>
  <si>
    <t>006700 10 REP-OFC-PHN-NBR PIC X(07).</t>
  </si>
  <si>
    <t>006800 10 REP-OFC-EXTNSN PIC X(04).</t>
  </si>
  <si>
    <t>006900 05 DECSN-OFCL-NME.</t>
  </si>
  <si>
    <t>007000 10 DECSN-OFCL-LST-NME PIC X(17).</t>
  </si>
  <si>
    <t>007100 10 DECSN-OFCL-1ST-NME PIC X(12).</t>
  </si>
  <si>
    <t>007200 10 DECSN-OFCL-MID-NME PIC X(01).</t>
  </si>
  <si>
    <t>007300 05 DECSN-OFCL-CDE PIC X(06).</t>
  </si>
  <si>
    <t>007400 05 DECSN-OFCL-ADDR.</t>
  </si>
  <si>
    <t>007500 10 DECSN-OFCL-ADDR-GRP.</t>
  </si>
  <si>
    <t>007600 15 DECSN-OFCL-STREET-CITY-1 PIC X(25).</t>
  </si>
  <si>
    <t>007700 15 DECSN-OFCL-STREET-CITY-2 PIC X(25).</t>
  </si>
  <si>
    <t>007800 10 DECSN-OFCL-ST PIC X(02).</t>
  </si>
  <si>
    <t>007900 10 DECSN-OFCL-ZIP.</t>
  </si>
  <si>
    <t>008000 15 DECSN-OFCL-ZIP-1 PIC X(05).</t>
  </si>
  <si>
    <t>008100 15 DECSN-OFCL-ZIP-2 PIC X(04).</t>
  </si>
  <si>
    <t>008200 05 DECSN-OFCL-PHN.</t>
  </si>
  <si>
    <t>008300 10 DECSN-OFCL-AREA PIC X(03).</t>
  </si>
  <si>
    <t>008400 10 DECSN-OFCL-PHN-NBR PIC X(07).</t>
  </si>
  <si>
    <t>008500 10 DECSN-OFCL-EXTNSN PIC X(04).</t>
  </si>
  <si>
    <t>008600 05 PROG-CDE PIC X(06).</t>
  </si>
  <si>
    <t>008700 05 LN-CDE PIC X(06).</t>
  </si>
  <si>
    <t>008800 05 ACTN-CDE PIC X(06).</t>
  </si>
  <si>
    <t>008900 05 SUB-ACTN-CDE PIC X(06).</t>
  </si>
  <si>
    <t>009000 05 STATCS-CDE.</t>
  </si>
  <si>
    <t>009100 10 RACE-DESC-CDE PIC 9(1).</t>
  </si>
  <si>
    <t>009200 10 SEX-CDE PIC 9(1).</t>
  </si>
  <si>
    <t>009300 10 HNDICPD-CDE PIC 9(01).</t>
  </si>
  <si>
    <t>009400 05 FMHA-ORIG-DECSN-DTE PIC 9(06).</t>
  </si>
  <si>
    <t>009500 05 HEARG-RQSTD-DTE PIC 9(06).</t>
  </si>
  <si>
    <t>009600 05 HEARG-ASGD-DTE PIC 9(06).</t>
  </si>
  <si>
    <t>009700 05 HEARG-DECSN-DUE-DTE PIC 9(06).</t>
  </si>
  <si>
    <t>009800 05 HEARG-DTE PIC 9(06).</t>
  </si>
  <si>
    <t>009900 05 HEARG-CNFNC-CALL PIC X.</t>
  </si>
  <si>
    <t>010000 05 HEARG-USER-ID PIC X(05).</t>
  </si>
  <si>
    <t>010100 05 HEARG-DECSN PIC X.</t>
  </si>
  <si>
    <t>010200 05 HEARG-DECSN-NOTFCTN-DTE PIC 9(06).</t>
  </si>
  <si>
    <t>010300 05 MTRL.</t>
  </si>
  <si>
    <t>010400 10 MTRL-TRNSCRPT PIC X.</t>
  </si>
  <si>
    <t>010500 10 MTRL-TAPE PIC X.</t>
  </si>
  <si>
    <t>010600 10 MTRL-RCRD-COPY PIC X.</t>
  </si>
  <si>
    <t>010700 10 MTRL-PYMT-RCVD PIC X.</t>
  </si>
  <si>
    <t>010800 10 MTRL-RQSTD-DTE PIC 9(06).</t>
  </si>
  <si>
    <t>010900 10 MTRL-DTE-SENT PIC 9(06).</t>
  </si>
  <si>
    <t>011000 05 MTRL-AMT-PD PIC 9(05)V99 COMP-3.</t>
  </si>
  <si>
    <t>011100 05 MTRL-OTH PIC X.</t>
  </si>
  <si>
    <t>011200 05 ST-USER-ID PIC X(05).</t>
  </si>
  <si>
    <t>011300 05 APPLNT-RQSTD-ST-REVW-DTE PIC 9(06).</t>
  </si>
  <si>
    <t>011400 05 ST-ASGD-DTE PIC 9(06).</t>
  </si>
  <si>
    <t>011500 05 ST-REVW-DUE-DTE PIC 9(06).</t>
  </si>
  <si>
    <t>011600 05 ST-APPEAL-NOTFCTN-DTE PIC 9(06).</t>
  </si>
  <si>
    <t>011700 05 ST-APPEAL-DECSN PIC X(01).</t>
  </si>
  <si>
    <t>011800 05 NATL-USER-ID PIC X(05).</t>
  </si>
  <si>
    <t>011900 05 NATL-RQSTD-REVW-DTE PIC 9(06).</t>
  </si>
  <si>
    <t>012000 05 NATL-ASGD-DTE PIC 9(06).</t>
  </si>
  <si>
    <t>012100 05 NATL-RCVD-DTE PIC 9(06).</t>
  </si>
  <si>
    <t>012200 05 NATL-ASGD-STAFF PIC 9(06).</t>
  </si>
  <si>
    <t>012300 05 NATL-APPEAL-DUE-DTE PIC 9(06).</t>
  </si>
  <si>
    <t>012400 05 NATL-APPEAL-NOTFCTN-DTE PIC 9(06).</t>
  </si>
  <si>
    <t>012500 05 NATL-APPEAL-DECSN PIC X(01).</t>
  </si>
  <si>
    <t>012600 05 HEARG-REVW-FLAG PIC X(01).</t>
  </si>
  <si>
    <t>012700 05 ST-REVW-FLAG PIC X(01).</t>
  </si>
  <si>
    <t>012800 05 NATL-REVW-FLAG PIC X(01).</t>
  </si>
  <si>
    <t>012900 05 PREV-HEARG-USER-ID PIC X(05).</t>
  </si>
  <si>
    <t>013000 05 PREV-ST-USER-ID PIC X(05).</t>
  </si>
  <si>
    <t>013100 05 PREV-NATL-USER-ID PIC X(05).</t>
  </si>
  <si>
    <t>013200 05 LST-UPDTE-USER-ID PIC X(05).</t>
  </si>
  <si>
    <t>013300 05 LST-UPDTE-DTE PIC 9(06).</t>
  </si>
  <si>
    <t>013400 05 USER-ID-WORK PIC X(08).</t>
  </si>
  <si>
    <t>013500 05 APPEAL-RCRD-SENT PIC X(01).</t>
  </si>
  <si>
    <t>013600 05 WK-DTE-1 PIC 9(06).</t>
  </si>
  <si>
    <t>013700 05 WK-DTE-2 PIC 9(06).</t>
  </si>
  <si>
    <t>013800 05 WK-DTE-3 PIC 9(06).</t>
  </si>
  <si>
    <t>013900 05 WK-AMT-1 PIC 9(08)V99 COMP-3.</t>
  </si>
  <si>
    <t>014000 05 WK-AMT-2 PIC 9(08)V99 COMP-3.</t>
  </si>
  <si>
    <t>014100 05 WK-AMT-3 PIC 9(08)V99 COMP-3.</t>
  </si>
  <si>
    <t>014200 05 FILLER PIC X(0046).</t>
  </si>
  <si>
    <t>000050 01 APPLCMT.</t>
  </si>
  <si>
    <t>000100 05 APPEAL-CMMTS-PSTN PIC X(02).</t>
  </si>
  <si>
    <t>000200 05 APPEAL-CMMTS PIC X(70).</t>
  </si>
  <si>
    <t>000300 05 FILLER PIC X(0008).</t>
  </si>
  <si>
    <t>000050 01 AREAOFC.</t>
  </si>
  <si>
    <t>000100 05 AREA-OFC-ID PIC X(02).</t>
  </si>
  <si>
    <t>000200 05 OFC-ADDR.</t>
  </si>
  <si>
    <t>000300 10 OFC-ADDR-GRP.</t>
  </si>
  <si>
    <t>000400 15 OFC-STREET-CITY-1 PIC X(25).</t>
  </si>
  <si>
    <t>000500 15 OFC-STREET-CITY-2 PIC X(25).</t>
  </si>
  <si>
    <t>000600 10 OFC-ST PIC X(02).</t>
  </si>
  <si>
    <t>000700 10 OFC-ZIP.</t>
  </si>
  <si>
    <t>000800 15 OFC-ZIP-1 PIC X(05).</t>
  </si>
  <si>
    <t>000900 15 OFC-ZIP-2 PIC X(04).</t>
  </si>
  <si>
    <t>001000 05 FMHA-ST OCCURS 35.</t>
  </si>
  <si>
    <t>001100 10 ST-NBR PIC 9(02).</t>
  </si>
  <si>
    <t>001200 10 ST-ABBR.</t>
  </si>
  <si>
    <t>001300 15 ST-ABBR-1ST PIC A.</t>
  </si>
  <si>
    <t>001400 15 ST-ABBR-2ND PIC A.</t>
  </si>
  <si>
    <t>001500 10 ST-NME PIC X(15).</t>
  </si>
  <si>
    <t>001600 05 LST-APPEAL-LOG-NBR.</t>
  </si>
  <si>
    <t>001700 10 LST-APPEAL-FY PIC 9(02).</t>
  </si>
  <si>
    <t>001800 10 LST-APPEAL-SEQNC-NBR PIC 9(06).</t>
  </si>
  <si>
    <t>001900 05 FILLER PIC X(0048).</t>
  </si>
  <si>
    <t>000050 01 AVLBLFD.</t>
  </si>
  <si>
    <t>000100 05 FD-DESC-AVLBL PIC X(40).</t>
  </si>
  <si>
    <t>000200 05 FD-AMT-AVLBL-1 PIC S9(10) COMP-3.</t>
  </si>
  <si>
    <t>000300 05 FD-CDE-AVLBL PIC 9(3).</t>
  </si>
  <si>
    <t>000400 05 FILLER PIC X(0031).</t>
  </si>
  <si>
    <t>000050 01 BDGTCTRL.</t>
  </si>
  <si>
    <t>000100 05 BDGT-CNTRL-KEY.</t>
  </si>
  <si>
    <t>000200 10 OFC-CDE PIC 9(02).</t>
  </si>
  <si>
    <t>000300 10 FY PIC 9(2).</t>
  </si>
  <si>
    <t>000400 05 SRMP-ALTEE PIC 9(02).</t>
  </si>
  <si>
    <t>000500 05 LST-UPDTE-DTE PIC 9(06).</t>
  </si>
  <si>
    <t>000600 05 FILLER PIC X(28).</t>
  </si>
  <si>
    <t>000050 01 BDGTSTAF.</t>
  </si>
  <si>
    <t>000100 05 GEN-WORK-LOAD-FTIME-EMPL OCCURS 3 PIC 9(06).</t>
  </si>
  <si>
    <t>000200 05 EMERG-LN-MKG-FTIME-EMPL OCCURS 3 PIC 9(06).</t>
  </si>
  <si>
    <t>000300 05 FRM-CR-SRVC-FTIME-EMPL OCCURS 3 PIC 9(06).</t>
  </si>
  <si>
    <t>000400 05 OFC-SPC-FTIME-NBR OCCURS 3 PIC 9(06).</t>
  </si>
  <si>
    <t>000500 05 OFC-SPC-DST-NBR OCCURS 3 PIC 9(06).</t>
  </si>
  <si>
    <t>000600 05 OFC-SPC-CTY-FTIME-NBR OCCURS 3 PIC 9(06).</t>
  </si>
  <si>
    <t>000700 05 OFC-SPC-CTY-SUB-OFC-NBR OCCURS 3 PIC 9(06).</t>
  </si>
  <si>
    <t>000800 05 OFC-SPC-CTY-PTIME-NBR OCCURS 3 PIC 9(06).</t>
  </si>
  <si>
    <t>000900 05 INFO-RESRCS-PROJ-OBJTV OCCURS 2 PIC X(60).</t>
  </si>
  <si>
    <t>001000 05 INFO-RESRCS-ACT-DESC OCCURS 4 PIC X(60).</t>
  </si>
  <si>
    <t>001100 05 INFO-RESRCS-ID-FUNCTN OCCURS 4 PIC X(60).</t>
  </si>
  <si>
    <t>001200 05 INFO-RESRCS-STAFF-YR OCCURS 5 PIC 9(10).</t>
  </si>
  <si>
    <t>001300 05 INFO-RESRCS-STAFF-CST OCCURS 5 PIC S9(10) COMP-3.</t>
  </si>
  <si>
    <t>001400 05 INFO-RESRCS-OTH-CST OCCURS 5 PIC S9(10) COMP-3.</t>
  </si>
  <si>
    <t>001500 05 INFO-RESRCS-EST-BNFTS-CST OCCURS 5 PIC S9(10) COMP-3.</t>
  </si>
  <si>
    <t>001600 05 CMMTS OCCURS 4 PIC X(78).</t>
  </si>
  <si>
    <t>001700 05 INFO-RESRCS-ACT-START-DTE OCCURS 4 PIC 9(06).</t>
  </si>
  <si>
    <t>001800 05 INFO-RESRCS-ACT-END-DTE OCCURS 4 PIC 9(06).</t>
  </si>
  <si>
    <t>001900 05 LST-UPDTE-DTE PIC 9(06).</t>
  </si>
  <si>
    <t>002000 05 FILLER PIC X(0014).</t>
  </si>
  <si>
    <t>000050 01 CMMTS-RCRD.</t>
  </si>
  <si>
    <t>000100 05 RCRD-NBR-KEY PIC 9(2).</t>
  </si>
  <si>
    <t>000200 05 CMMT-DATA PIC X(110).</t>
  </si>
  <si>
    <t>000300 05 RMS-OPRTR-NBR PIC 9(3).</t>
  </si>
  <si>
    <t>000400 05 FILLER PIC X.</t>
  </si>
  <si>
    <t>000050 01 CODEREC.</t>
  </si>
  <si>
    <t>000100 05 CDE-KEY.</t>
  </si>
  <si>
    <t>000200 10 TBL-CDE PIC X(02).</t>
  </si>
  <si>
    <t>000300 10 TBL-NBR PIC X(06).</t>
  </si>
  <si>
    <t>000400 05 TBL-DESCV PIC X(40).</t>
  </si>
  <si>
    <t>000500 05 TBL-ENTRY-PROG PIC X.</t>
  </si>
  <si>
    <t>000600 05 TBL-ENTRY-ACTN-TYP PIC X.</t>
  </si>
  <si>
    <t>000700 05 LST-UPDTE-USER-ID PIC X(05).</t>
  </si>
  <si>
    <t>000800 05 LST-UPDTE-DTE PIC 9(06).</t>
  </si>
  <si>
    <t>000900 05 FILLER PIC X(0011).</t>
  </si>
  <si>
    <t>000050 01 CRBREC.</t>
  </si>
  <si>
    <t>000100 05 CRB-NBR.</t>
  </si>
  <si>
    <t>000200 10 DIV-CDE PIC X(06).</t>
  </si>
  <si>
    <t>000400 10 CRB-ID PIC X(03).</t>
  </si>
  <si>
    <t>000500 05 CRB-PRRTY-CDE PIC X(02).</t>
  </si>
  <si>
    <t>000600 05 CRB-DIV-NME PIC X(30).</t>
  </si>
  <si>
    <t>000700 05 CRB-FY-AMT PIC 9(10) COMP-3.</t>
  </si>
  <si>
    <t>000800 05 CRB-ACTN-TYP PIC X.</t>
  </si>
  <si>
    <t>000900 05 CRB-OTH-TYP PIC X(40).</t>
  </si>
  <si>
    <t>001000 05 CRB-PROCURMT-TYP PIC X.</t>
  </si>
  <si>
    <t>001100 05 CRB-CNTRCR-NME PIC X(30).</t>
  </si>
  <si>
    <t>001200 05 CRB-SRC-FD PIC X.</t>
  </si>
  <si>
    <t>001300 05 CRB-COMPLD-SRVC-DTE PIC 9(06).</t>
  </si>
  <si>
    <t>001400 05 CRB-PY OCCURS 4 PIC 9(04).</t>
  </si>
  <si>
    <t>001500 05 CRB-PR-VNDR-NME OCCURS 4 PIC X(30).</t>
  </si>
  <si>
    <t>001600 05 CRB-PR-CNTRC-NBR OCCURS 4 PIC X(15).</t>
  </si>
  <si>
    <t>001700 05 CRB-PR-YR-AMT OCCURS 4 PIC 9(10) COMP-3.</t>
  </si>
  <si>
    <t>001800 05 CRB-IMPACT-FUTR OCCURS 3 PIC X(60).</t>
  </si>
  <si>
    <t>001900 05 CRB-COMPRH-PROJ-TYP PIC X.</t>
  </si>
  <si>
    <t>002000 05 CRB-COMPRH-PROJ-AMT PIC 9(10) COMP-3.</t>
  </si>
  <si>
    <t>002100 05 CRB-COMPRH-PROJ-PCT PIC 99V99.</t>
  </si>
  <si>
    <t>002200 05 CRB-CNTRC-PROJ-LEADR PIC X(30).</t>
  </si>
  <si>
    <t>002300 05 CRB-CNTRC-PROJ-TLPHN PIC 9(10).</t>
  </si>
  <si>
    <t>002400 05 CRB-DTE PIC 9(06).</t>
  </si>
  <si>
    <t>002500 05 CRB-ACCT-ID PIC X(05).</t>
  </si>
  <si>
    <t>002600 05 CRB-APPRVD-AMT PIC S9(10) COMP-3.</t>
  </si>
  <si>
    <t>002700 05 CRB-OBLGD-AMT PIC S9(10) COMP-3.</t>
  </si>
  <si>
    <t>002800 05 CRB-DESC OCCURS 2 PIC X(70).</t>
  </si>
  <si>
    <t>002900 05 CRB-RMRKS OCCURS 2 PIC X(70).</t>
  </si>
  <si>
    <t>003000 05 CRB-REAS OCCURS 10 PIC X(70).</t>
  </si>
  <si>
    <t>003100 05 CRB-ID-CNTRCR PIC X(70).</t>
  </si>
  <si>
    <t>003200 05 LST-UPDTE-DTE PIC 9(06).</t>
  </si>
  <si>
    <t>003300 05 FILLER PIC X(0018).</t>
  </si>
  <si>
    <t>000050 01 DIVREC.</t>
  </si>
  <si>
    <t>000100 05 DIV-CNTRL-KEY.</t>
  </si>
  <si>
    <t>000200 10 FY PIC 9(2).</t>
  </si>
  <si>
    <t>000300 10 DIV-NBR PIC 9(02).</t>
  </si>
  <si>
    <t>000400 05 DIV-CDE PIC X(06).</t>
  </si>
  <si>
    <t>000500 05 CRB-DIV-NME PIC X(30).</t>
  </si>
  <si>
    <t>000600 05 CMMTS OCCURS 12 PIC X(78).</t>
  </si>
  <si>
    <t>000700 05 FURNTR-DESC OCCURS 12 PIC X(78).</t>
  </si>
  <si>
    <t>000800 05 FILLER PIC X(0024).</t>
  </si>
  <si>
    <t>000050 01 EQPMTS.</t>
  </si>
  <si>
    <t>000100 05 ITEM-NBR PIC 9(03).</t>
  </si>
  <si>
    <t>000200 05 ITEM-ESTD-CST PIC S9(05)V99 COMP-3.</t>
  </si>
  <si>
    <t>000300 05 ITEM-DESC PIC X(30).</t>
  </si>
  <si>
    <t>000400 05 ACTL-NBR PIC 9(06) COMP-3.</t>
  </si>
  <si>
    <t>000500 05 ACTL-AMT PIC S9(10) COMP-3.</t>
  </si>
  <si>
    <t>000600 05 RQSTD-NBR PIC 9(06).</t>
  </si>
  <si>
    <t>000700 05 RQSTD-AMT PIC S9(10) COMP-3.</t>
  </si>
  <si>
    <t>000800 05 PROJD-NBR PIC 9(06).</t>
  </si>
  <si>
    <t>000900 05 PROJD-AMT PIC S9(10) COMP-3.</t>
  </si>
  <si>
    <t>001000 05 FILLER PIC X(0017).</t>
  </si>
  <si>
    <t>000050 01 EQPTCTRL.</t>
  </si>
  <si>
    <t>000100 05 EQPMT-DESC PIC X(30).</t>
  </si>
  <si>
    <t>000200 05 EQPMT-CST PIC S9(5)V99 COMP-3.</t>
  </si>
  <si>
    <t>000300 05 EQPMT-CDE PIC X(01).</t>
  </si>
  <si>
    <t>000400 05 FILLER PIC X(0045).</t>
  </si>
  <si>
    <t>000050 01 EVENT-HN.</t>
  </si>
  <si>
    <t>000100 05 EVENT-KEY.</t>
  </si>
  <si>
    <t>000200 10 DTE-EVENT PIC X(8).</t>
  </si>
  <si>
    <t>000300 10 TIME-EVENT PIC X(6).</t>
  </si>
  <si>
    <t>000400 10 ENVRNMT-CDE PIC X(4).</t>
  </si>
  <si>
    <t>000500 10 SEQNC PIC S9(8) COMP.</t>
  </si>
  <si>
    <t>000600 05 ADM-USER-ID PIC X(18).</t>
  </si>
  <si>
    <t>000700 05 SRT-CDE PIC X(4).</t>
  </si>
  <si>
    <t>000800 05 FILLER PIC X(20).</t>
  </si>
  <si>
    <t>000050 01 EXPSCTRL.</t>
  </si>
  <si>
    <t>000100 05 OFC-CDE PIC 9(02).</t>
  </si>
  <si>
    <t>000200 05 ALTEE PIC 9.</t>
  </si>
  <si>
    <t>000300 05 OFC-NME PIC X(30).</t>
  </si>
  <si>
    <t>000400 05 FILLER PIC X(47).</t>
  </si>
  <si>
    <t>000050 01 FARMS-ACCT-DATA.</t>
  </si>
  <si>
    <t>000100 05 LN-NBR PIC 9(2).</t>
  </si>
  <si>
    <t>000200 05 FD-CDE.</t>
  </si>
  <si>
    <t>000300 10 FD-CDE-3.</t>
  </si>
  <si>
    <t>000400 15 FD-CDE-2 PIC 9(2).</t>
  </si>
  <si>
    <t>000500 15 FD-CDE-3RD PIC 9(1).</t>
  </si>
  <si>
    <t>000600 10 FD-CDE-4TH PIC 9(1).</t>
  </si>
  <si>
    <t>000700 05 KIND-CDE-LN PIC 9(2).</t>
  </si>
  <si>
    <t>000800 05 INT-RATE-NOTE PIC 9(2)V9(4).</t>
  </si>
  <si>
    <t>000900 05 INT-RATE-NOTE-1ST REDEFINES INT-RATE-NOTE PIC V9(6).</t>
  </si>
  <si>
    <t>001000 05 PYMT-TYP-CDE PIC 9(1).</t>
  </si>
  <si>
    <t>001100 05 DIR-PYMT-CDE PIC 9(1).</t>
  </si>
  <si>
    <t>001200 05 DTE-AMORTN-EFCTV PIC 9(06).</t>
  </si>
  <si>
    <t>001300 05 DSTR-DCLRD-CDE.</t>
  </si>
  <si>
    <t>001400 10 DSTR-TYP-CDE PIC 9(1).</t>
  </si>
  <si>
    <t>001500 10 FY-DSTR-DCLRD PIC 9(1).</t>
  </si>
  <si>
    <t>001600 10 DSTR-DCLRD-NBR PIC 9(3).</t>
  </si>
  <si>
    <t>001700 05 MRG-CNTRL PIC 9(2).</t>
  </si>
  <si>
    <t>001800 05 DOCMT-TYP-CDE PIC X(1).</t>
  </si>
  <si>
    <t>001900 05 DTE-OBLGN-LN PIC 9(06).</t>
  </si>
  <si>
    <t>002000 05 ASSTNC-TYP-CDE PIC 9(3).</t>
  </si>
  <si>
    <t>002100 05 LN-AMT-OBLGN PIC S9(8)V99 COMP-3.</t>
  </si>
  <si>
    <t>002200 05 BEGNG-FRMR-RNCHR-CDE PIC X(01).</t>
  </si>
  <si>
    <t>002300 05 COLLTL-CDE PIC 9(1).</t>
  </si>
  <si>
    <t>002400 05 CPN-PROCG-DTE PIC 9(6).</t>
  </si>
  <si>
    <t>002500 05 CASE-NBR-CHNG-CDE PIC 9(01).</t>
  </si>
  <si>
    <t>002600 05 PYMT-ASSTNC-METH-CDE PIC 9(1).</t>
  </si>
  <si>
    <t>002700 05 INT-RATE-PREV PIC 9(2)V9(4).</t>
  </si>
  <si>
    <t>002800 05 INT-RATE-PREV-REDFND REDEFINES INT-RATE-PREV PIC V9(6).</t>
  </si>
  <si>
    <t>002900 05 FILLER PIC X(0019).</t>
  </si>
  <si>
    <t>000050 01 FARMS-ACQD-PROP.</t>
  </si>
  <si>
    <t>000100 05 FD-CDE-ACQD-PROP.</t>
  </si>
  <si>
    <t>000200 10 FD-CDE-3-ACQD-PROP.</t>
  </si>
  <si>
    <t>000300 15 FD-CDE-2-ACQD-PROP PIC 9(2).</t>
  </si>
  <si>
    <t>000400 15 FD-CDE-3RD-ACQD-PROP PIC 9(1).</t>
  </si>
  <si>
    <t>000500 10 FD-CDE-4TH-ACQD-PROP PIC 9(1).</t>
  </si>
  <si>
    <t>000600 05 ASCS-FRM-NBR-1 PIC X(07).</t>
  </si>
  <si>
    <t>000700 05 ASCS-FRM-NBR-2 PIC X(07).</t>
  </si>
  <si>
    <t>000800 05 ACQD-PROP-NBR.</t>
  </si>
  <si>
    <t>000900 10 ST-CDE-ACQD-PROP PIC 9(2).</t>
  </si>
  <si>
    <t>001000 10 CTY-CDE-ACQD-PROP PIC 9(3).</t>
  </si>
  <si>
    <t>001100 10 ADVC-NBR PIC 9(5).</t>
  </si>
  <si>
    <t>001200 05 MAILG-OFC-ACQD.</t>
  </si>
  <si>
    <t>001300 10 MAILG-LVL-ACQD PIC X(1).</t>
  </si>
  <si>
    <t>001400 88 ST-MAILG-LVL-ACQD VALUE 'S'.</t>
  </si>
  <si>
    <t>001500 88 DST-MAILG-LVL-ACQD VALUE 'D'.</t>
  </si>
  <si>
    <t>001600 88 CTY-MAILG-LVL-ACQD VALUE 'C'.</t>
  </si>
  <si>
    <t>001700 88 CTY-SPECL-LVL-ACQD VALUE 'T'.</t>
  </si>
  <si>
    <t>001800 88 DST-SPECL-LVL-ACQD VALUE 'U'.</t>
  </si>
  <si>
    <t>001900 88 ST-SPECL-LVL-ACQD VALUE 'V'.</t>
  </si>
  <si>
    <t>002000 10 MAILG-CDE-ACQD.</t>
  </si>
  <si>
    <t>002100 15 ST-OFC-MAILG-ACQD PIC 9(2).</t>
  </si>
  <si>
    <t>002200 15 CTY-OFC-MAILG-ACQD PIC 9(3).</t>
  </si>
  <si>
    <t>002300 15 DST-OFC-MAILG-ACQD</t>
  </si>
  <si>
    <t>002350 REDEFINES CTY-OFC-MAILG-ACQD PIC 9(3).</t>
  </si>
  <si>
    <t>002400 05 DTE-LST-CSH-CR-PROP PIC 9(6).</t>
  </si>
  <si>
    <t>002500 05 DTE-ACQSTN PIC 9(06).</t>
  </si>
  <si>
    <t>002600 05 LQDTN-CDE PIC 9(1).</t>
  </si>
  <si>
    <t>002700 05 VLU-ACQSTN PIC S9(08)V99 COMP-3.</t>
  </si>
  <si>
    <t>002800 05 ACRES-CNT PIC S9(6)V9.</t>
  </si>
  <si>
    <t>002900 05 PRIN-CR-ACQSTN PIC S9(08)V99 COMP-3.</t>
  </si>
  <si>
    <t>003000 05 INT-CR-ACQSTN PIC S9(7)V99 COMP-3.</t>
  </si>
  <si>
    <t>003100 05 PRIN-UNPD-PROP-ACQSTN PIC S9(08)V99 COMP-3.</t>
  </si>
  <si>
    <t>003200 05 INT-UNPD-PROP-ACQSTN PIC S9(7)V99 COMP-3.</t>
  </si>
  <si>
    <t>003300 05 CPTL-IMPRVMTS PIC S9(7)V99 COMP-3.</t>
  </si>
  <si>
    <t>003400 05 DTE-1ST-ADVTSD PIC 9(06).</t>
  </si>
  <si>
    <t>003500 05 INCM-OTH-ACQD-PROP PIC S9(07)V99 COMP-3.</t>
  </si>
  <si>
    <t>003600 05 ACQD-PROP-GAIN-LOSS-FNL-SALE PIC S9(7)V99 COMP-3.</t>
  </si>
  <si>
    <t>003700 05 DTE-JDGMT PIC 9(06).</t>
  </si>
  <si>
    <t>003800 05 JDGMT-AMT PIC S9(7)V99 COMP-3.</t>
  </si>
  <si>
    <t>003900 05 DTE-WRTF PIC 9(06).</t>
  </si>
  <si>
    <t>004000 05 WRTF-UNPD-PRIN PIC S9(7)V99 COMP-3.</t>
  </si>
  <si>
    <t>004100 05 WRTF-UNPD-INT-AMT PIC S9(7)V99 COMP-3.</t>
  </si>
  <si>
    <t>004200 05 DTE-SALE-PROP PIC 9(06).</t>
  </si>
  <si>
    <t>004300 05 ACQD-PROP-SALE-AMT PIC S9(08)V99 COMP-3.</t>
  </si>
  <si>
    <t>004400 05 SALE-PRTL-COMPL-CDE PIC 9(1).</t>
  </si>
  <si>
    <t>004500 05 NME-PURCHR PIC X(19).</t>
  </si>
  <si>
    <t>004600 05 CASE-NBR-PURCHR.</t>
  </si>
  <si>
    <t>004700 10 ST-CDE-PURCHR PIC 9(2).</t>
  </si>
  <si>
    <t>004800 10 CTY-CDE-PURCHR PIC 9(3).</t>
  </si>
  <si>
    <t>004900 10 ID-NBR-PURCHR PIC 9(10).</t>
  </si>
  <si>
    <t>005000 05 DTE-ACQSTN-PROCD PIC 9(04).</t>
  </si>
  <si>
    <t>005100 05 DTE-SALE-PROCD PIC 9(04).</t>
  </si>
  <si>
    <t>005200 05 DLT-CDE PIC 9(1).</t>
  </si>
  <si>
    <t>005300 05 FD-CDE-ACQD-PROP-PR-ACQSTN PIC 9(2).</t>
  </si>
  <si>
    <t>005400 05 SUSP-CDE-ACQD-PROP PIC 9(2).</t>
  </si>
  <si>
    <t>005500 05 DTE-LST-RGSTR-DTL-PROP PIC 9(06).</t>
  </si>
  <si>
    <t>005600 05 RGSTR-TYP-LST-CHNG-PROP PIC 9(2).</t>
  </si>
  <si>
    <t>005700 05 DTE-ACQSTN-SBMTD.</t>
  </si>
  <si>
    <t>005800 10 DTE-ACQSTN-SBMTD-MO PIC 99.</t>
  </si>
  <si>
    <t>005900 10 DTE-ACQSTN-SBMTD-DAY PIC 99.</t>
  </si>
  <si>
    <t>006000 10 DTE-ACQSTN-SBMTD-YR PIC 99.</t>
  </si>
  <si>
    <t>006100 05 PROP-LOCTN PIC X(16).</t>
  </si>
  <si>
    <t>006200 05 PROP-DESC-CDE PIC 9(2).</t>
  </si>
  <si>
    <t>006300 05 PROP-SUTBLTY PIC 9(1).</t>
  </si>
  <si>
    <t>006400 05 ORIG-MKT-VLU PIC S9(7)V99 COMP-3.</t>
  </si>
  <si>
    <t>006500 05 TYP-BUS PIC 9(4).</t>
  </si>
  <si>
    <t>006600 05 CUR-MKT-VLU PIC S9(7)V99 COMP-3.</t>
  </si>
  <si>
    <t>006700 05 DTE-LST-APPRSL.</t>
  </si>
  <si>
    <t>006800 10 DTE-LST-APPRSL-MO PIC 99.</t>
  </si>
  <si>
    <t>006900 10 DTE-LST-APPRSL-DAY PIC 99.</t>
  </si>
  <si>
    <t>007000 10 DTE-LST-APPRSL-YR PIC 99.</t>
  </si>
  <si>
    <t>007100 05 ACRES-ACQD-CROP PIC S9(5)V9 COMP-3.</t>
  </si>
  <si>
    <t>007200 05 ACRES-ACQD-PSTR PIC S9(5)V9 COMP-3.</t>
  </si>
  <si>
    <t>007300 05 ACRES-ACQD-WDLND PIC S9(5)V9 COMP-3.</t>
  </si>
  <si>
    <t>007400 05 ACRES-ACQD-OTH PIC S9(5)V9 COMP-3.</t>
  </si>
  <si>
    <t>007500 05 DTE-CR-SALE-COMPLD.</t>
  </si>
  <si>
    <t>007600 10 DTE-CR-SALE-COMPLD-MO PIC 99.</t>
  </si>
  <si>
    <t>007700 10 DTE-CR-SALE-COMPLD-DAY PIC 99.</t>
  </si>
  <si>
    <t>007800 10 DTE-CR-SALE-COMPLD-YR PIC 99.</t>
  </si>
  <si>
    <t>007900 05 TYP-SALE-DSPSL PIC 9(1).</t>
  </si>
  <si>
    <t>008000 05 TERM-SALE-DSPSL PIC 9(1).</t>
  </si>
  <si>
    <t>008100 05 PURCHR-TYP-CDE PIC 9(2).</t>
  </si>
  <si>
    <t>008200 05 SD-APPLT-CDE PIC X(01).</t>
  </si>
  <si>
    <t>008300 05 DTE-FLD-NOTFS-FWS PIC 9(06).</t>
  </si>
  <si>
    <t>008400 05 DTE-FWS-RQSTS-EASMNT PIC 9(06).</t>
  </si>
  <si>
    <t>008500 05 BORR-RHTS-WAVD PIC X(01).</t>
  </si>
  <si>
    <t>008600 05 PROP-MNGR PIC X(19).</t>
  </si>
  <si>
    <t>008700 05 DTE-MNGMT-AGRMT PIC 9(06).</t>
  </si>
  <si>
    <t>008800 05 EXPRTN-DTE-MNGMT-AGRMT PIC 9(06).</t>
  </si>
  <si>
    <t>008900 05 DTE-2ND-ADVTSD PIC 9(06).</t>
  </si>
  <si>
    <t>009000 05 SALES-COMMSN PIC S9(6)V99 COMP-3.</t>
  </si>
  <si>
    <t>009100 05 OTH-SELLG-EXP PIC S9(6)V99 COMP-3.</t>
  </si>
  <si>
    <t>009200 05 PROP-STREET-ADRS PIC X(16).</t>
  </si>
  <si>
    <t>009300 05 DTE-PROP-LISTD.</t>
  </si>
  <si>
    <t>009400 10 PROP-LISTD-MO PIC 9(02).</t>
  </si>
  <si>
    <t>009500 10 PROP-LISTD-DAY PIC 9(02).</t>
  </si>
  <si>
    <t>009600 10 PROP-LISTD-YR PIC 9(02).</t>
  </si>
  <si>
    <t>009700 05 GAIN-LOSS-ACQSTN PIC S9(7)V99 COMP-3.</t>
  </si>
  <si>
    <t>009800 05 GR-SALE-AMT PIC S9(8)V99 COMP-3.</t>
  </si>
  <si>
    <t>009900 05 DTE-SUBDVSN PIC 9(6).</t>
  </si>
  <si>
    <t>010000 05 SUBQ-DTE-SUBDVSN PIC 9(6).</t>
  </si>
  <si>
    <t>010100 05 PR-PROP-ID PIC 9(5).</t>
  </si>
  <si>
    <t>010200 05 PURCHR-RACE-CDE PIC 9(1).</t>
  </si>
  <si>
    <t>010300 05 PURCHR-KIND-CDE PIC 9(2).</t>
  </si>
  <si>
    <t>010400 05 PURCHR-RELTNSHP-CDE PIC 9(2).</t>
  </si>
  <si>
    <t>010500 05 DWNPYMT-SBMTD PIC S9(7)V99 COMP-3.</t>
  </si>
  <si>
    <t>010600 05 DWNPYMT-CRDTD PIC S9(7)V99 COMP-3.</t>
  </si>
  <si>
    <t>010700 05 NET-CSH-SALE-CRDTD PIC S9(8)V99 COMP-3.</t>
  </si>
  <si>
    <t>010800 05 NET-CSH-SALE-RCVB PIC S9(8)V99 COMP-3.</t>
  </si>
  <si>
    <t>010900 05 NET-DWNPYMT-RCVB PIC S9(7)V99 COMP-3.</t>
  </si>
  <si>
    <t>011000 05 ASSTNC-TYP-CDE-ACQD PIC 9(03).</t>
  </si>
  <si>
    <t>011100 05 DTE-OBLGN-LN-ACQD PIC 9(06).</t>
  </si>
  <si>
    <t>011200 05 LN-NBR-SCRD-ACQD PIC 9(02).</t>
  </si>
  <si>
    <t>011300 05 ACQD-PROP-OPRTG-CST-FMHA PIC S9(06)V99 COMP-3.</t>
  </si>
  <si>
    <t>011400 05 FILLER PIC X(28).</t>
  </si>
  <si>
    <t>000050 01 FARMS-ADPS-CNTRL.</t>
  </si>
  <si>
    <t>000100 05 ADPS-CNTRL-KEY PIC X(2).</t>
  </si>
  <si>
    <t>000200 05 ADPS-SEQNC-NBR PIC 9(5) COMP-3.</t>
  </si>
  <si>
    <t>000300 05 DTE-JULIAN PIC 9(5).</t>
  </si>
  <si>
    <t>000400 05 FILLER PIC X(0008).</t>
  </si>
  <si>
    <t>000500 05 FILLER PIC XX.</t>
  </si>
  <si>
    <t>000050 01 FARMS-ADVANCE.</t>
  </si>
  <si>
    <t>000100 05 CHGS-ADVNC-FROM-FD PIC S9(7)V99 COMP-3.</t>
  </si>
  <si>
    <t>000200 05 PRIN-CR-ADVNC-FROM-FD PIC S9(7)V99 COMP-3.</t>
  </si>
  <si>
    <t>000300 05 INT-CR-ADVNC-FROM-FD PIC S9(7)V99 COMP-3.</t>
  </si>
  <si>
    <t>000400 05 INT-FCL-FROM-ADVNC-DTE PIC S9(7)V99 COMP-3.</t>
  </si>
  <si>
    <t>000500 05 SCHED-STAT-ADVNC-FROM-FD PIC S9(7)V99 COMP-3.</t>
  </si>
  <si>
    <t>000600 05 FILLER PIC XXX.</t>
  </si>
  <si>
    <t>000050 01 FARMS-AID.</t>
  </si>
  <si>
    <t>000100 05 DTE-DFRL-EFCTV PIC 9(6).</t>
  </si>
  <si>
    <t>000200 05 DTE-DFRL-EXPRTN PIC 9(6).</t>
  </si>
  <si>
    <t>000300 05 DTE-DFRL-CNCLTN PIC 9(6).</t>
  </si>
  <si>
    <t>000400 05 STAT-DFRL PIC 9(1).</t>
  </si>
  <si>
    <t>000500 05 DTE-SET-ASIDE-EFCTV PIC 9(6).</t>
  </si>
  <si>
    <t>000600 05 DTE-SET-ASIDE-EXPRTN PIC 9(6).</t>
  </si>
  <si>
    <t>000700 05 DTE-SET-ASIDE-CNCLTN PIC 9(6).</t>
  </si>
  <si>
    <t>000800 05 DEBT-SET-ASIDE-TTL-AMT PIC S9(6)V99 COMP-3.</t>
  </si>
  <si>
    <t>000900 05 STAT-DEBT-SET-ASIDE PIC 9(1).</t>
  </si>
  <si>
    <t>001000 05 DTE-MRTM-EFCTV-RH PIC 9(6).</t>
  </si>
  <si>
    <t>001100 05 DTE-MRTM-CNCLTN-RH PIC 9(6).</t>
  </si>
  <si>
    <t>001200 05 MRTM-RENWL-NBR-RH PIC 9(1).</t>
  </si>
  <si>
    <t>001300 05 STAT-MRTM-RH PIC 9(1).</t>
  </si>
  <si>
    <t>001400 05 NBR-DFRL-RENWLS PIC 9(2).</t>
  </si>
  <si>
    <t>001500 05 DFRD-INT-TTL-AMT PIC S9(7)V99 COMP-3.</t>
  </si>
  <si>
    <t>001600 05 FILLER PIC X(0004).</t>
  </si>
  <si>
    <t>000050 01 FARMS-ALTMADJ.</t>
  </si>
  <si>
    <t>000100 05 ALTMT-LDGR-KEY.</t>
  </si>
  <si>
    <t>000200 10 VOU-DTE.</t>
  </si>
  <si>
    <t>000300 15 VOU-YR PIC 9(4).</t>
  </si>
  <si>
    <t>000400 15 VOU-MO PIC 99.</t>
  </si>
  <si>
    <t>000500 15 VOU-DAY PIC 99.</t>
  </si>
  <si>
    <t>000600 10 VOU-NBR PIC 9(5).</t>
  </si>
  <si>
    <t>000700 05 TRNSCTN-CDE-UPDTE PIC X(2).</t>
  </si>
  <si>
    <t>000800 05 BLK-NBR PIC 9(4).</t>
  </si>
  <si>
    <t>000900 05 DTE-BLK-PROC-CTRY PIC 9(8).</t>
  </si>
  <si>
    <t>001000 05 STAT-CDE PIC 9.</t>
  </si>
  <si>
    <t>001100 05 UPDTE-CDE-GL PIC X(01).</t>
  </si>
  <si>
    <t>001200 05 PREPR-INIT PIC X(04).</t>
  </si>
  <si>
    <t>001300 05 ADDTNL-RMRKS PIC X(48).</t>
  </si>
  <si>
    <t>001400 05 ADJMT-USER-ID PIC X(06).</t>
  </si>
  <si>
    <t>001500 05 FILLER PIC X(0023).</t>
  </si>
  <si>
    <t>001600 05 NBR-OF-OCCURS PIC S9(4) COMP.</t>
  </si>
  <si>
    <t>001700 05 ALTMT-LDGR-DTL OCCURS 10 DEPENDING ON NBR-OF-OCCURS.</t>
  </si>
  <si>
    <t>001800 10 FY PIC 9(2).</t>
  </si>
  <si>
    <t>001900 10 ALTEE PIC 9.</t>
  </si>
  <si>
    <t>002000 10 ALTMT-KEY.</t>
  </si>
  <si>
    <t>002100 15 APROPTN-CDE PIC 9(2).</t>
  </si>
  <si>
    <t>002200 15 MAJ-CLS PIC 9(2).</t>
  </si>
  <si>
    <t>002300 15 OBJ-CLSFCTN-CDE PIC 9(2).</t>
  </si>
  <si>
    <t>002400 10 PPB-OBLGN-EXPNTR-CDE.</t>
  </si>
  <si>
    <t>002500 15 PROG-PLANG-BDGTG-CDE.</t>
  </si>
  <si>
    <t>002600 20 PPB-CDE-1ST PIC 9.</t>
  </si>
  <si>
    <t>002700 20 PPB-CDE-2-3 PIC 9(2).</t>
  </si>
  <si>
    <t>002800 15 OBLGN-EXPNTR-CDE.</t>
  </si>
  <si>
    <t>002900 20 SBMSN-CDE PIC 9(1).</t>
  </si>
  <si>
    <t>003000 20 PURP-CDE PIC 9(2).</t>
  </si>
  <si>
    <t>003100 10 NBR-LNS-ADJD PIC S9(06) COMP-3.</t>
  </si>
  <si>
    <t>003200 10 VOU-ADJMT-AMT PIC S9(09)V99 COMP-3.</t>
  </si>
  <si>
    <t>003300 10 OBLGN-TTL-AMT PIC S9(09)V99 COMP-3.</t>
  </si>
  <si>
    <t>003400 10 ALTMT PIC S9(10)V99 COMP-3.</t>
  </si>
  <si>
    <t>003500 10 GRP-OF-ALTMT-CDE PIC X(3).</t>
  </si>
  <si>
    <t>003600 10 FILLER PIC X(0007).</t>
  </si>
  <si>
    <t>000050 01 FARMS-ALTMADJ-NEW.</t>
  </si>
  <si>
    <t>000100 05 AGCY-VOU-NBR.</t>
  </si>
  <si>
    <t>000200 10 AGCY PIC XX.</t>
  </si>
  <si>
    <t>000300 10 VOU-NBR PIC 9(5).</t>
  </si>
  <si>
    <t>000400 05 VOU-DTE.</t>
  </si>
  <si>
    <t>000500 10 VOU-YR PIC 9(4).</t>
  </si>
  <si>
    <t>000600 10 VOU-MO PIC 99.</t>
  </si>
  <si>
    <t>000700 10 VOU-DAY PIC 99.</t>
  </si>
  <si>
    <t>000800 05 TRNSCTN-CDE-UPDTE PIC X(2).</t>
  </si>
  <si>
    <t>000900 05 BLK-NBR PIC 9(4).</t>
  </si>
  <si>
    <t>001000 05 DTE-BLK-PROC-CTRY PIC 9(8).</t>
  </si>
  <si>
    <t>001100 05 STAT-CDE PIC 9.</t>
  </si>
  <si>
    <t>001500 05 FILLER PIC X(0024).</t>
  </si>
  <si>
    <t>001700 05 ALTMT-LDGR-ADJMT-DTL</t>
  </si>
  <si>
    <t>001750 OCCURS 10 DEPENDING ON NBR-OF-OCCURS.</t>
  </si>
  <si>
    <t>002000 10 ALTMT-KEY-EXPND.</t>
  </si>
  <si>
    <t>002100 15 APROPTN-CDE-EXPND PIC 9(3).</t>
  </si>
  <si>
    <t>002200 15 GRP-OF-ALTMT-CDE PIC X(3).</t>
  </si>
  <si>
    <t>002300 15 MAJ-CLS-EXPND PIC 9(3).</t>
  </si>
  <si>
    <t>002400 15 OBJ-CLSFCTN-CDE PIC 9(2).</t>
  </si>
  <si>
    <t>002500 10 PPB-OBLGN-EXPNTR-CDE.</t>
  </si>
  <si>
    <t>002600 15 PROG-PLANG-BDGTG-CDE.</t>
  </si>
  <si>
    <t>002700 20 PPB-CDE-1ST PIC 9.</t>
  </si>
  <si>
    <t>002800 20 PPB-CDE-2-3 PIC 9(2).</t>
  </si>
  <si>
    <t>002900 15 OBLGN-EXPNTR-CDE.</t>
  </si>
  <si>
    <t>003000 20 SBMSN-CDE PIC 9(1).</t>
  </si>
  <si>
    <t>003100 20 PURP-CDE PIC 9(2).</t>
  </si>
  <si>
    <t>003200 10 NBR-LNS-ADJD PIC S9(06) COMP-3.</t>
  </si>
  <si>
    <t>003300 10 VOU-AMT-ADJMT PIC S9(12)V99 COMP-3.</t>
  </si>
  <si>
    <t>003400 10 OBLGN-AMT-ADJMT PIC S9(12)V99 COMP-3.</t>
  </si>
  <si>
    <t>003500 10 ALTMT-AMT-ADJMT PIC S9(12)V99 COMP-3.</t>
  </si>
  <si>
    <t>003600 10 UPDTE-CDE-GL PIC X(01).</t>
  </si>
  <si>
    <t>003700 10 FILLER PIC X(0010).</t>
  </si>
  <si>
    <t>000050 01 FARMS-ALTMT.</t>
  </si>
  <si>
    <t>000100 05 ALTMT-KEY.</t>
  </si>
  <si>
    <t>000200 10 APROPTN-CDE PIC 9(2).</t>
  </si>
  <si>
    <t>000300 10 MAJ-CLS PIC 9(2).</t>
  </si>
  <si>
    <t>000400 10 OBJ-CLSFCTN-CDE PIC 9(2).</t>
  </si>
  <si>
    <t>000050 01 FARMS-AMORTD-CST.</t>
  </si>
  <si>
    <t>000100 05 DTE-OF-CHG-LST-PYMT PIC 9(06).</t>
  </si>
  <si>
    <t>000200 05 PRIN-UNPD-EACH-CHG PIC S9(5)V99 COMP-3.</t>
  </si>
  <si>
    <t>000300 05 RECVRBL-CST-MTLY-INSTLMT PIC S9(5)V99 COMP-3.</t>
  </si>
  <si>
    <t>000400 05 MO-YR-1ST-INSTLMT PIC 9(4).</t>
  </si>
  <si>
    <t>000500 05 INSTLMTS-PD-CNT PIC 9(2).</t>
  </si>
  <si>
    <t>000600 05 AMORTN-PRD-AMORTD-CST PIC 9(2).</t>
  </si>
  <si>
    <t>000700 05 FILLER PIC XX.</t>
  </si>
  <si>
    <t>000050 01 FARMS-APROPTN-LOOKUP.</t>
  </si>
  <si>
    <t>000100 05 APROPTN-LOOKUP-KEY.</t>
  </si>
  <si>
    <t>000200 10 APROPTN-MAJ-CLS-CDE.</t>
  </si>
  <si>
    <t>000300 15 APROPTN-CDE PIC 9(2).</t>
  </si>
  <si>
    <t>000400 15 MAJ-CLS PIC 9(2).</t>
  </si>
  <si>
    <t>000500 10 PROG-PLANG-BDGTG-CDE.</t>
  </si>
  <si>
    <t>000600 15 PPB-CDE-1ST PIC 9.</t>
  </si>
  <si>
    <t>000700 15 PPB-CDE-2-3 PIC 9(2).</t>
  </si>
  <si>
    <t>000800 05 APROPTN-SYM PIC X(14).</t>
  </si>
  <si>
    <t>000900 05 APROPTN-TITLE PIC X(54).</t>
  </si>
  <si>
    <t>001000 05 FILLER PIC X.</t>
  </si>
  <si>
    <t>000050 01 FARMS-ASSISTANCE.</t>
  </si>
  <si>
    <t>000100 05 INT-ASSTNC-CUM-AMT PIC S9(7)V99 COMP-3.</t>
  </si>
  <si>
    <t>000200 05 YR-INT-ASSTNC-AGRMT-EXPRTN PIC 9(1).</t>
  </si>
  <si>
    <t>000300 05 MO-INT-ASSTNC-AGRMT-EXPRTN PIC 9(2).</t>
  </si>
  <si>
    <t>000500 05 INT-ASSTNC-RECPTR-CDE PIC 9(1).</t>
  </si>
  <si>
    <t>000600 05 INT-ASSTNC-INSTLMT-NEXT-AMT PIC S9(5)V99 COMP-3.</t>
  </si>
  <si>
    <t>000700 05 YR-NEXT-INT-ASSTNC-INSTLMT PIC 9(2).</t>
  </si>
  <si>
    <t>000800 05 FILLER PIC X.</t>
  </si>
  <si>
    <t>000900 05 ASSTNC-SAVE-INSTLMTS OCCURS 2.</t>
  </si>
  <si>
    <t>001000 10 YR-INSTLMT-DUE-SAVE PIC 9(2).</t>
  </si>
  <si>
    <t>001100 10 INSTLMT-DUE-AMT-SAVE PIC S9(06)V99 COMP-3.</t>
  </si>
  <si>
    <t>001200 05 FILLER PIC X.</t>
  </si>
  <si>
    <t>000050 01 FARMS-ASSOC-PRIN-BOND.</t>
  </si>
  <si>
    <t>000100 05 BOND-CDE PIC 9(1).</t>
  </si>
  <si>
    <t>000200 05 INT-UNPD-DUE-BOND-ACCTS PIC S9(7)V99 COMP-3.</t>
  </si>
  <si>
    <t>000300 05 PRIN-UNPD-DUE-BOND-ACCTS PIC S9(7)V99 COMP-3.</t>
  </si>
  <si>
    <t>000400 05 INT-NEXT-INSTLMT-BOND-ACCTS PIC S9(7)V99 COMP-3.</t>
  </si>
  <si>
    <t>000500 05 PRIN-NEXT-INSTLMT-BOND-ACCTS PIC S9(7)V99 COMP-3.</t>
  </si>
  <si>
    <t>000600 05 INT-ON-DELQ-PRIN PIC S9(7)V99 COMP-3.</t>
  </si>
  <si>
    <t>000050 01 FARMS-CASE.</t>
  </si>
  <si>
    <t>000100 05 CASE-ID PIC X(15).</t>
  </si>
  <si>
    <t>000200 05 CASE-NBR REDEFINES CASE-ID.</t>
  </si>
  <si>
    <t>000300 10 ST-CDE-OBLR PIC X(2).</t>
  </si>
  <si>
    <t>000400 10 CTY-CDE-OBLR PIC X(3).</t>
  </si>
  <si>
    <t>000500 10 ID-NBR-OBLR PIC X(10).</t>
  </si>
  <si>
    <t>000600 05 FILLER PIC X(1) VALUE SPACE.</t>
  </si>
  <si>
    <t>000050 01 FARMS-CDEJUNC.</t>
  </si>
  <si>
    <t>000100 05 FD-2-KIND-CDE.</t>
  </si>
  <si>
    <t>000200 10 FD-CDE-2 PIC 9(2).</t>
  </si>
  <si>
    <t>000300 10 KIND-CDE-BORR PIC 9(2).</t>
  </si>
  <si>
    <t>000400 05 FILLER PIC X(28).</t>
  </si>
  <si>
    <t>000050 01 FARMS-CDESTR.</t>
  </si>
  <si>
    <t>000100 05 SRC-FDS-TYP-ASSTNC-CDE.</t>
  </si>
  <si>
    <t>000200 10 SRC-FDS-CDE PIC 9(1).</t>
  </si>
  <si>
    <t>000300 10 ASSTNC-TYP-CDE PIC 9(3).</t>
  </si>
  <si>
    <t>000400 05 APROPTN-MAJ-CLS-CDE.</t>
  </si>
  <si>
    <t>000500 10 APROPTN-CDE PIC 9(2).</t>
  </si>
  <si>
    <t>000600 10 MAJ-CLS PIC 9(2).</t>
  </si>
  <si>
    <t>000700 05 OBJ-CLSFCTN-CDE PIC 9(2).</t>
  </si>
  <si>
    <t>000800 05 PROG-PLANG-BDGTG-CDE.</t>
  </si>
  <si>
    <t>000900 10 PPB-CDE-1ST PIC 9.</t>
  </si>
  <si>
    <t>001000 10 PPB-CDE-2-3 PIC 9(2).</t>
  </si>
  <si>
    <t>001100 05 PURP-TYP-CDES OCCURS 10.</t>
  </si>
  <si>
    <t>001200 10 TYP-PURP-CDE PIC 9(1).</t>
  </si>
  <si>
    <t>001300 10 PURP-CDE PIC 9(2).</t>
  </si>
  <si>
    <t>001400 05 SBSY-APROPTN-CDE PIC 99.</t>
  </si>
  <si>
    <t>001500 05 SBSY-PROG-PLANG-BDGTG-CDE PIC 999.</t>
  </si>
  <si>
    <t>001600 05 CR-RFM-OBJ-CLS-CDE PIC 9(2).</t>
  </si>
  <si>
    <t>001700 05 BDWN-INT-ASSTNC-APROPTN PIC 9(02).</t>
  </si>
  <si>
    <t>001800 05 BDWN-INT-ASSTNC-MAJ-CLS PIC 9(02).</t>
  </si>
  <si>
    <t>001900 05 BDWN-INT-ASSTNC-OBJ-CLS PIC 9(02).</t>
  </si>
  <si>
    <t>002000 05 BDWN-INT-ASSTNC-PPB PIC 9(03).</t>
  </si>
  <si>
    <t>002100 05 FINCG-SBSY-APROPTN-CDE PIC 9(02).</t>
  </si>
  <si>
    <t>002200 05 NEG-SBSY-PURP-CDE PIC 9(02).</t>
  </si>
  <si>
    <t>002300 05 NEG-SBSY-OBJ-CLS PIC 9(02).</t>
  </si>
  <si>
    <t>002400 05 FILLER PIC X(0035).</t>
  </si>
  <si>
    <t>000050 01 FARMS-CHECKS.</t>
  </si>
  <si>
    <t>000100 05 CK-STAT-CDE PIC 9(1).</t>
  </si>
  <si>
    <t>000200 05 ADVNC-MULTI-AMT PIC S9(08)V99 COMP-3.</t>
  </si>
  <si>
    <t>000300 05 DTE-CK PIC 9(6).</t>
  </si>
  <si>
    <t>000400 05 ASSOC-ADVNC-CLSG-CDE PIC 9(1).</t>
  </si>
  <si>
    <t>000500 05 DTE-CK-SORT PIC 9(6).</t>
  </si>
  <si>
    <t>000600 05 SBSY-AMT-DISBRSED PIC S9(8)V99 COMP-3.</t>
  </si>
  <si>
    <t>000700 05 CTRY-DIGIT PIC 9(1).</t>
  </si>
  <si>
    <t>000800 05 EFT-STAT-CDE PIC 9(1).</t>
  </si>
  <si>
    <t>000900 05 FILLER PIC X(0004).</t>
  </si>
  <si>
    <t>000050 01 FARMS-CK-CNTRL.</t>
  </si>
  <si>
    <t>000100 05 RCRD-TYP PIC 9(2).</t>
  </si>
  <si>
    <t>000200 05 CK-ISS-TTL PIC S9(10)V99 COMP-3.</t>
  </si>
  <si>
    <t>000300 05 FRADS-CK-TTL PIC S9(5) COMP-3.</t>
  </si>
  <si>
    <t>000400 05 CR-REPT-FEE-TTL OCCURS 4 PIC S9(5) COMP-3.</t>
  </si>
  <si>
    <t>000500 05 RENTL-ASSTNC-LN-CK-TTL PIC S9(10)V99 COMP-3.</t>
  </si>
  <si>
    <t>000600 05 DLY-LN-CK-TTL PIC S9(10)V99 COMP-3.</t>
  </si>
  <si>
    <t>000700 05 REFUND-CK-TTL PIC S9(10)V99 COMP-3.</t>
  </si>
  <si>
    <t>000800 05 FRADS-LN-CK-TTL PIC S9(10)V99 COMP-3.</t>
  </si>
  <si>
    <t>000050 01 FARMS-CK-INFO.</t>
  </si>
  <si>
    <t>000200 05 FD-CDE-2 PIC 9(2).</t>
  </si>
  <si>
    <t>000300 05 NME-FLDS-BORR-CNT PIC 9(1).</t>
  </si>
  <si>
    <t>000400 05 MAILG-OFC.</t>
  </si>
  <si>
    <t>000500 10 MAILG-LVL PIC X(1).</t>
  </si>
  <si>
    <t>000600 88 ST-MAILG-LVL VALUE 'S'.</t>
  </si>
  <si>
    <t>000700 88 DST-MAILG-LVL VALUE 'D'.</t>
  </si>
  <si>
    <t>000800 88 CTY-MAILG-LVL VALUE 'C'.</t>
  </si>
  <si>
    <t>000900 88 CTY-SPECL-LVL VALUE 'T'.</t>
  </si>
  <si>
    <t>001000 88 DST-SPECL-LVL VALUE 'U'.</t>
  </si>
  <si>
    <t>001100 88 ST-SPECL-LVL VALUE 'V'.</t>
  </si>
  <si>
    <t>001200 10 MAILG-CDE.</t>
  </si>
  <si>
    <t>001300 15 ST-OFC-MAILG PIC 9(2).</t>
  </si>
  <si>
    <t>001400 15 CTY-OFC-MAILG PIC 9(3).</t>
  </si>
  <si>
    <t>001500 15 DST-OFC-MAILG REDEFINES CTY-OFC-MAILG PIC 9(3).</t>
  </si>
  <si>
    <t>001600 05 CASE-NBR.</t>
  </si>
  <si>
    <t>001700 10 ST-CDE-OBLR PIC 9(2).</t>
  </si>
  <si>
    <t>001800 10 CTY-CDE-OBLR PIC 9(3).</t>
  </si>
  <si>
    <t>001900 10 ID-NBR-OBLR PIC 9(10).</t>
  </si>
  <si>
    <t>002000 05 LN-NBR PIC 9(2).</t>
  </si>
  <si>
    <t>002100 05 CR-REPT-FEE-CDE PIC 9(1).</t>
  </si>
  <si>
    <t>002200 05 NME-OBLR OCCURS 4 PIC X(19).</t>
  </si>
  <si>
    <t>002300 05 ADVNC-MULTI-AMT PIC S9(08)V99 COMP-3.</t>
  </si>
  <si>
    <t>002400 05 DTE-CK PIC 9(6).</t>
  </si>
  <si>
    <t>002500 05 APROPTN-CDE PIC 9(2).</t>
  </si>
  <si>
    <t>002600 05 GEOG-ST-CDE PIC 9(2).</t>
  </si>
  <si>
    <t>002700 05 FY PIC 9(2).</t>
  </si>
  <si>
    <t>002800 05 FILLER PIC X(0001).</t>
  </si>
  <si>
    <t>000050 01 FARMS-CK-INFO-FRADS.</t>
  </si>
  <si>
    <t>000300 05 MAILG-CDE.</t>
  </si>
  <si>
    <t>000400 10 ST-OFC-MAILG PIC 9(2).</t>
  </si>
  <si>
    <t>000500 10 CTY-OFC-MAILG PIC 9(3).</t>
  </si>
  <si>
    <t>000600 10 DST-OFC-MAILG REDEFINES CTY-OFC-MAILG PIC 9(3).</t>
  </si>
  <si>
    <t>000700 05 CASE-NBR.</t>
  </si>
  <si>
    <t>000800 10 ST-CDE-OBLR PIC 9(2).</t>
  </si>
  <si>
    <t>000900 10 CTY-CDE-OBLR PIC 9(3).</t>
  </si>
  <si>
    <t>001000 10 ID-NBR-OBLR PIC 9(10).</t>
  </si>
  <si>
    <t>001100 05 LN-NBR PIC 9(2).</t>
  </si>
  <si>
    <t>001200 05 CR-REPT-FEE-CDE PIC 9(1).</t>
  </si>
  <si>
    <t>001300 05 NME-OBLR OCCURS 2 PIC X(19).</t>
  </si>
  <si>
    <t>001400 05 ADVNC-MULTI-AMT PIC S9(08)V99 COMP-3.</t>
  </si>
  <si>
    <t>001500 05 DTE-CK PIC 9(6).</t>
  </si>
  <si>
    <t>001600 05 APROPTN-CDE PIC 9(2).</t>
  </si>
  <si>
    <t>001700 05 GEOG-ST-CDE PIC 9(2).</t>
  </si>
  <si>
    <t>001800 05 FY PIC 9(2).</t>
  </si>
  <si>
    <t>001900 05 FED-RESV-ROUTE-NBR PIC 9(8).</t>
  </si>
  <si>
    <t>002000 05 CK-DIGIT-ROUTE-NBR PIC 9(1).</t>
  </si>
  <si>
    <t>002100 05 TYP-BANK-ACCT PIC X(1).</t>
  </si>
  <si>
    <t>002200 05 DPSTR-ACCT-NBR PIC X(17).</t>
  </si>
  <si>
    <t>002300 05 ENTY-CDE PIC 9(2).</t>
  </si>
  <si>
    <t>002400 05 CK-CNCLTN-CDE PIC 9(2).</t>
  </si>
  <si>
    <t>002500 05 FNL-ADVNC-CDE PIC 9(2).</t>
  </si>
  <si>
    <t>002600 05 DTE-LST-RGSTR-DTL PIC 9(06).</t>
  </si>
  <si>
    <t>002700 05 BLK-NBR PIC 9(4).</t>
  </si>
  <si>
    <t>002800 05 FILLER PIC XX.</t>
  </si>
  <si>
    <t>000050 01 FARMS-CLIENT.</t>
  </si>
  <si>
    <t>000100 05 CASE-NBR.</t>
  </si>
  <si>
    <t>000200 10 ST-CDE-OBLR PIC 9(2).</t>
  </si>
  <si>
    <t>000300 10 CTY-CDE-OBLR PIC 9(3).</t>
  </si>
  <si>
    <t>000400 10 ID-NBR-OBLR PIC 9(10).</t>
  </si>
  <si>
    <t>000500 05 CASE-NBR-OBLR REDEFINES CASE-NBR.</t>
  </si>
  <si>
    <t>000600 10 ST-CTY-OBLR PIC 9(5).</t>
  </si>
  <si>
    <t>000700 10 FILLER PIC X(0010).</t>
  </si>
  <si>
    <t>000800 05 MAILG-OFC-CLIENT.</t>
  </si>
  <si>
    <t>000900 10 MAILG-LVL-CLIENT PIC X(1).</t>
  </si>
  <si>
    <t>001000 88 ST-MAILG-LVL-CLIENT VALUE 'S'.</t>
  </si>
  <si>
    <t>001100 88 DST-MAILG-LVL-CLIENT VALUE 'D'.</t>
  </si>
  <si>
    <t>001200 88 CTY-MAILG-LVL-CLIENT VALUE 'C'.</t>
  </si>
  <si>
    <t>001300 88 CTY-SPECL-LVL-CLIENT VALUE 'T'.</t>
  </si>
  <si>
    <t>001400 88 DST-SPECL-LVL-CLIENT VALUE 'U'.</t>
  </si>
  <si>
    <t>001500 88 ST-SPECL-LVL-CLIENT VALUE 'V'.</t>
  </si>
  <si>
    <t>001600 10 MAILG-CDE-CLIENT.</t>
  </si>
  <si>
    <t>001700 15 ST-OFC-MAILG-CLIENT PIC 9(2).</t>
  </si>
  <si>
    <t>001800 15 CTY-OFC-MAILG-CLIENT PIC 9(3).</t>
  </si>
  <si>
    <t>001900 15 DST-OFC-MAILG-CLIENT</t>
  </si>
  <si>
    <t>001950 REDEFINES CTY-OFC-MAILG-CLIENT PIC 9(3).</t>
  </si>
  <si>
    <t>002000 05 NME-FLDS-BORR-CNT PIC 9(1).</t>
  </si>
  <si>
    <t>002100 05 ADRS-FLDS-BORR-CNT PIC 9(1).</t>
  </si>
  <si>
    <t>002200 05 NME-OBLR-GRP-1.</t>
  </si>
  <si>
    <t>002300 10 NME-OBLR PIC X(19).</t>
  </si>
  <si>
    <t>002400 10 NME-ADRS-OBLR-1 PIC X(19).</t>
  </si>
  <si>
    <t>002500 10 NME-ADRS-OBLR-2 PIC X(19).</t>
  </si>
  <si>
    <t>002600 05 NME-OBLR-GRP-2 REDEFINES NME-OBLR-GRP-1.</t>
  </si>
  <si>
    <t>002700 10 NME-OBLR-KEY PIC X(20).</t>
  </si>
  <si>
    <t>002800 10 FILLER PIC X(0037).</t>
  </si>
  <si>
    <t>002900 05 NME-ADRS-OBLR-3 PIC X(19).</t>
  </si>
  <si>
    <t>003000 05 NME-ADRS-OBLR-4 PIC X(19).</t>
  </si>
  <si>
    <t>003100 05 ZIP-CDE PIC 9(5).</t>
  </si>
  <si>
    <t>003200 05 RACE-DESC-CDE PIC 9(1).</t>
  </si>
  <si>
    <t>003300 05 SEX-CDE PIC 9(1).</t>
  </si>
  <si>
    <t>003400 05 MRTL-STAT PIC 9(1).</t>
  </si>
  <si>
    <t>003500 05 TAX-EXEMPT-CDE PIC 9(1).</t>
  </si>
  <si>
    <t>003600 05 VET-CDE PIC 9(1).</t>
  </si>
  <si>
    <t>003700 05 DUE-DAY-PYMT PIC 9(2).</t>
  </si>
  <si>
    <t>003800 05 APPLT-TYP-CDE PIC 9(1).</t>
  </si>
  <si>
    <t>003900 05 NET-WORTH-AMT PIC S9(08) COMP-3.</t>
  </si>
  <si>
    <t>004000 05 LN-NBR-LST-ASGD PIC 9(2).</t>
  </si>
  <si>
    <t>004100 05 RCRD-LN-CNT PIC 9(2).</t>
  </si>
  <si>
    <t>004200 05 LN-CNT-EE PIC 9(1).</t>
  </si>
  <si>
    <t>004300 05 LN-CNT-OTC PIC 9(2).</t>
  </si>
  <si>
    <t>004400 05 LN-CNT-INSRD-FO PIC 9(1).</t>
  </si>
  <si>
    <t>004500 05 LN-CNT-DIR-FO PIC 9(1).</t>
  </si>
  <si>
    <t>004600 05 LN-CNT-INSRD-SW PIC 9(1).</t>
  </si>
  <si>
    <t>004700 05 LN-CNT-DIR-SW PIC 9(1).</t>
  </si>
  <si>
    <t>004800 05 LN-CNT-INSRD-RH PIC 9(1).</t>
  </si>
  <si>
    <t>004900 05 LN-CNT-DIR-RH PIC 9(1).</t>
  </si>
  <si>
    <t>005000 05 LN-CNT-INVSTR PIC 9(1).</t>
  </si>
  <si>
    <t>005100 05 LN-CNT-ASSOC PIC 9(1).</t>
  </si>
  <si>
    <t>005200 05 SUSP-CDE-ACCT PIC 9(1).</t>
  </si>
  <si>
    <t>005300 05 DTE-LST-RGSTR-ACCT PIC 9(06).</t>
  </si>
  <si>
    <t>005400 05 RGSTR-TYP-LST-TRNSCTN PIC 9(2).</t>
  </si>
  <si>
    <t>005500 05 SIS-TRF-CDE PIC X(1).</t>
  </si>
  <si>
    <t>005600 05 EMPL-RELTNSHP-CDE PIC X(01).</t>
  </si>
  <si>
    <t>005700 05 LRTF-SRVCG-CDE PIC 9.</t>
  </si>
  <si>
    <t>005800 05 MAILG-OFC-FSA.</t>
  </si>
  <si>
    <t>005900 10 MAILG-LVL-FSA PIC X(1).</t>
  </si>
  <si>
    <t>006000 88 ST-MAILG-LVL-FSA VALUE 'S'.</t>
  </si>
  <si>
    <t>006100 88 DST-MAILG-LVL-FSA VALUE 'D'.</t>
  </si>
  <si>
    <t>006200 88 CTY-MAILG-LVL-FSA VALUE 'C'.</t>
  </si>
  <si>
    <t>006300 88 CTY-SPECL-LVL-FSA VALUE 'T'.</t>
  </si>
  <si>
    <t>006400 88 DST-SPECL-LVL-FSA VALUE 'U'.</t>
  </si>
  <si>
    <t>006500 88 ST-SPECL-LVL-FSA VALUE 'V'.</t>
  </si>
  <si>
    <t>006600 10 MAILG-CDE-FSA.</t>
  </si>
  <si>
    <t>006700 15 ST-OFC-MAILG-FSA PIC 9(2).</t>
  </si>
  <si>
    <t>006800 15 CTY-OFC-MAILG-FSA PIC 9(3).</t>
  </si>
  <si>
    <t>006900 15 DST-OFC-MAILG-FSA</t>
  </si>
  <si>
    <t>006950 REDEFINES CTY-OFC-MAILG-FSA PIC 9(3).</t>
  </si>
  <si>
    <t>007000 05 ORGZTN-CDE PIC X(01).</t>
  </si>
  <si>
    <t>007100 05 DTE-OAC-ESTBD PIC 9(06).</t>
  </si>
  <si>
    <t>007200 05 DTE-OAC-RSLVD PIC 9(06).</t>
  </si>
  <si>
    <t>007300 05 DTE-OAC-MRTM-EFCTV PIC 9(06).</t>
  </si>
  <si>
    <t>007400 05 PREVL-INDCTR PIC X(01).</t>
  </si>
  <si>
    <t>007500 05 NBR-COMPLNTS PIC 9(2).</t>
  </si>
  <si>
    <t>007600 05 FILLER PIC X(0009).</t>
  </si>
  <si>
    <t>000050 01 FARMS-CLIENT-SFSI.</t>
  </si>
  <si>
    <t>000100 05 FP-CLSFCTN-CDE PIC 9(1).</t>
  </si>
  <si>
    <t>000200 05 FP-EST-LOSS-AMT PIC S9(8) COMP-3.</t>
  </si>
  <si>
    <t>000300 05 FP-DTE-LST-CLSFD PIC 9(6).</t>
  </si>
  <si>
    <t>000400 05 RH-CLSFCTN-CDE PIC 9(1).</t>
  </si>
  <si>
    <t>000500 05 RH-EST-LOSS-AMT PIC S9(8) COMP-3.</t>
  </si>
  <si>
    <t>000600 05 RH-DTE-LST-CLSFD PIC 9(6).</t>
  </si>
  <si>
    <t>000700 05 RH-SCRTY-CDE PIC X(1).</t>
  </si>
  <si>
    <t>000800 05 RH-SCRTY-VLU PIC S9(8) COMP-3.</t>
  </si>
  <si>
    <t>000900 05 SIS-TRF-DTE PIC 9(6).</t>
  </si>
  <si>
    <t>001000 05 SIS-TRF-ACTN-CDE PIC X(1).</t>
  </si>
  <si>
    <t>001100 05 TRNG-CDE PIC X(1).</t>
  </si>
  <si>
    <t>001200 05 DTE-TRNG-EFCTV PIC 9(6).</t>
  </si>
  <si>
    <t>001300 05 DTE-TRNG-EXPRTN PIC 9(6).</t>
  </si>
  <si>
    <t>001400 05 DTE-TRNG-COMPLTN PIC 9(6).</t>
  </si>
  <si>
    <t>001500 05 DTE-TRNG-CDE-PROCD PIC 9(6).</t>
  </si>
  <si>
    <t>001600 05 CLIENT-FILL PIC X(34).</t>
  </si>
  <si>
    <t>000050 01 FARMS-COHORT.</t>
  </si>
  <si>
    <t>000100 05 COHORT-CDE PIC 9(3).</t>
  </si>
  <si>
    <t>000200 05 FILLER PIC X(0097).</t>
  </si>
  <si>
    <t>000050 01 FARMS-CRBUR.</t>
  </si>
  <si>
    <t>000100 05 CR-BUR-STAT-CDE PIC X(02).</t>
  </si>
  <si>
    <t>000200 05 DTE-LST-REPTD PIC 9(06).</t>
  </si>
  <si>
    <t>000300 05 PR-CR-BUR-STAT-CDE PIC X(02).</t>
  </si>
  <si>
    <t>000400 05 LST-DTE-PR-STAT-CDE-REPTD PIC 9(06).</t>
  </si>
  <si>
    <t>000500 05 DTE-INIT-REPT PIC 9(06).</t>
  </si>
  <si>
    <t>000600 05 DTE-PAST-DUE-LST PIC 9(06).</t>
  </si>
  <si>
    <t>000700 05 DTE-LST-RGSTR PIC 9(06).</t>
  </si>
  <si>
    <t>000800 05 DTE-LST-PYMT PIC 9(6).</t>
  </si>
  <si>
    <t>000900 05 AMT-PAST-DUE-CB PIC 9(07)V99 COMP-3.</t>
  </si>
  <si>
    <t>001000 05 UNPD-PRIN-AMT-CB PIC S9(07)V99 COMP-3.</t>
  </si>
  <si>
    <t>001100 05 UNPD-INT-AMT-CB PIC S9(07)V99 COMP-3.</t>
  </si>
  <si>
    <t>001200 05 STOP-CDE PIC 9(01).</t>
  </si>
  <si>
    <t>001300 05 DTE-LST-STOP-ESTBD PIC 9(06).</t>
  </si>
  <si>
    <t>001400 05 NBR-STOPS-ESTBD PIC 9(02).</t>
  </si>
  <si>
    <t>001500 05 NBR-OF-60-DAY-NOTCS-SENT PIC 9(02).</t>
  </si>
  <si>
    <t>001600 05 DTE-60-DAY-NOTC-SENT PIC 9(06).</t>
  </si>
  <si>
    <t>001700 05 ADRS-CHNG-CDE PIC 9(01).</t>
  </si>
  <si>
    <t>001800 05 CR-BUR-TRNSCTN-TYP PIC 9(01).</t>
  </si>
  <si>
    <t>001900 05 SPECL-CMMTS-CDE PIC X(01).</t>
  </si>
  <si>
    <t>002000 05 LGTH-OF-LN PIC 9(02).</t>
  </si>
  <si>
    <t>002100 05 DTE-OF-DSPT PIC 9(06).</t>
  </si>
  <si>
    <t>002200 05 NBR-OF-DSPTS PIC 9(02).</t>
  </si>
  <si>
    <t>002300 05 DTE-DSPT-RSLVD PIC 9(06).</t>
  </si>
  <si>
    <t>002400 05 ASSOC-CDE PIC X(01).</t>
  </si>
  <si>
    <t>002500 05 DLTN-CDE PIC 9(01).</t>
  </si>
  <si>
    <t>002600 05 DTE-DLTD PIC 9(06).</t>
  </si>
  <si>
    <t>002700 05 NBR-TIMES-DLTD PIC 9(02).</t>
  </si>
  <si>
    <t>002800 05 LN-AMT PIC S9(7)V99 COMP-3.</t>
  </si>
  <si>
    <t>002900 05 DTE-CLSG PIC 9(06).</t>
  </si>
  <si>
    <t>003000 05 CRDT-MTURTY-DTE PIC 9(06).</t>
  </si>
  <si>
    <t>003100 05 CRDT-PYMT-FREQ PIC X(01).</t>
  </si>
  <si>
    <t>003200 05 FILLER PIC X(0033).</t>
  </si>
  <si>
    <t>000050 01 FARMS-CRCLAIMS.</t>
  </si>
  <si>
    <t>000100 05 CRC-CLM-NBR PIC X(6).</t>
  </si>
  <si>
    <t>000200 05 ID-NBR-OBLR PIC 9(10).</t>
  </si>
  <si>
    <t>000300 05 NME-OBLR PIC X(19).</t>
  </si>
  <si>
    <t>000400 05 NME-ADRS-OBLR-1 PIC X(19).</t>
  </si>
  <si>
    <t>000500 05 NME-ADRS-OBLR-2 PIC X(19).</t>
  </si>
  <si>
    <t>000600 05 CITY-NME PIC X(25).</t>
  </si>
  <si>
    <t>000700 05 ST-ABBR.</t>
  </si>
  <si>
    <t>000800 10 ST-ABBR-1ST PIC A.</t>
  </si>
  <si>
    <t>000900 10 ST-ABBR-2ND PIC A.</t>
  </si>
  <si>
    <t>001000 05 ZIP-CDE-GRP.</t>
  </si>
  <si>
    <t>001100 10 ZIP-CDE PIC 9(5).</t>
  </si>
  <si>
    <t>001200 10 ZIP-CDE-LST-4 PIC 9(4).</t>
  </si>
  <si>
    <t>001300 05 RACE-DESC-CDE PIC 9(1).</t>
  </si>
  <si>
    <t>001400 05 DTE-CRC-ADJDCTR-DECSN PIC 9(6).</t>
  </si>
  <si>
    <t>001500 05 DTE-CRC-RCVD-OGC PIC 9(6).</t>
  </si>
  <si>
    <t>001600 05 DTE-CRC-RCVD-FLP PIC 9(6).</t>
  </si>
  <si>
    <t>001700 05 CRC-WRTF-INDCTR PIC X(1).</t>
  </si>
  <si>
    <t>001800 05 DTE-CRC-FO-LN-PRRTY-RQSTD PIC 9(6).</t>
  </si>
  <si>
    <t>001900 05 CRC-FO-LN-RQSTD-ST-CTY PIC 9(5).</t>
  </si>
  <si>
    <t>002000 05 DTE-CRC-FO-LN-SBMTD PIC 9(6).</t>
  </si>
  <si>
    <t>002100 05 DTE-CRC-FO-LN-APPRVD PIC 9(6).</t>
  </si>
  <si>
    <t>002200 05 DTE-CRC-FO-LN-DENIED PIC 9(6).</t>
  </si>
  <si>
    <t>002300 05 CRC-FO-APPEAL-INDCTR PIC X(1).</t>
  </si>
  <si>
    <t>002400 05 DTE-CRC-FO-LN-CLSG PIC 9(6).</t>
  </si>
  <si>
    <t>002500 05 CRC-FO-LN-AMT PIC S9(9)V99 COMP-3.</t>
  </si>
  <si>
    <t>002600 05 DTE-CRC-OL-LN-PRRTY-RQSTD PIC 9(6).</t>
  </si>
  <si>
    <t>002700 05 CRC-OL-LN-RQSTD-ST-CTY PIC 9(5).</t>
  </si>
  <si>
    <t>002800 05 DTE-CRC-OL-LN-SBMTD PIC 9(6).</t>
  </si>
  <si>
    <t>002900 05 DTE-CRC-OL-LN-APPRVD PIC 9(6).</t>
  </si>
  <si>
    <t>003000 05 DTE-CRC-OL-LN-DENIED PIC 9(6).</t>
  </si>
  <si>
    <t>003100 05 CRC-OL-APPEAL-INDCTR PIC X(1).</t>
  </si>
  <si>
    <t>003200 05 DTE-CRC-OL-LN-CLSG PIC 9(6).</t>
  </si>
  <si>
    <t>003300 05 CRC-OL-LN-AMT PIC S9(9)V99 COMP-3.</t>
  </si>
  <si>
    <t>003400 05 DTE-CRC-LSE-PURCH-RQSTD PIC 9(6).</t>
  </si>
  <si>
    <t>003500 05 CRC-LSE-PURCH-ST-CTY PIC 9(5).</t>
  </si>
  <si>
    <t>003600 05 DTE-CRC-LSE-PURCH-SBMTD PIC 9(6).</t>
  </si>
  <si>
    <t>003700 05 DTE-CRC-LSE-PURCH-APPRVD PIC 9(6).</t>
  </si>
  <si>
    <t>003800 05 DTE-CRC-LSE-PURCH-DENIED PIC 9(6).</t>
  </si>
  <si>
    <t>003900 05 CRC-LSE-PURCH-INDCTR PIC X(1).</t>
  </si>
  <si>
    <t>004000 05 DTE-CRC-LSE-PURCH-CLSG PIC 9(6).</t>
  </si>
  <si>
    <t>004100 05 CRC-LSE-PURCH-AMT PIC S9(9)V99 COMP-3.</t>
  </si>
  <si>
    <t>004200 05 WRTF-CUM-AMT PIC S9(11)V99 COMP-3.</t>
  </si>
  <si>
    <t>004300 05 DTE-LST-UPDTE PIC 9(6).</t>
  </si>
  <si>
    <t>004400 05 USER-ID.</t>
  </si>
  <si>
    <t>004500 10 AUTHY-CDE-TRML-OPRTR PIC X(1).</t>
  </si>
  <si>
    <t>004600 10 PRFCY-LVL-TRML-OPRTR PIC X.</t>
  </si>
  <si>
    <t>004700 88 NO-UP-AUTHTY-CDE VALUE '0'.</t>
  </si>
  <si>
    <t>004800 88 UP-AUTHTY-CDE VALUE '1'.</t>
  </si>
  <si>
    <t>004900 10 FILLER PIC X(1).</t>
  </si>
  <si>
    <t>005000 10 ID-TRML-OPRTR PIC X(03).</t>
  </si>
  <si>
    <t>005100 05 PRRTY-ELGBLTY-CDE PIC X(01).</t>
  </si>
  <si>
    <t>005200 05 CRC-YR-TYP-DSCRMTN-CLMD OCCURS 16.</t>
  </si>
  <si>
    <t>005300 10 CRC-YR-DSCRMTN-CLMD PIC 9(02).</t>
  </si>
  <si>
    <t>005400 10 LN-TYP-ABBR OCCURS 4 PIC A(2).</t>
  </si>
  <si>
    <t>005500 05 DTE-CRC-PRRTY-LTR-PROCD PIC 9(06).</t>
  </si>
  <si>
    <t>005600 05 DTE-CRC-FO-APPEAL-DECSN PIC 9(6).</t>
  </si>
  <si>
    <t>005700 05 DTE-CRC-OL-APPEAL-DECSN PIC 9(6).</t>
  </si>
  <si>
    <t>005800 05 DTE-CRC-LSE-APPEAL-DECSN PIC 9(6).</t>
  </si>
  <si>
    <t>005900 05 FILLER PIC X(0017).</t>
  </si>
  <si>
    <t>000050 01 FARMS-CRRATE.</t>
  </si>
  <si>
    <t>000100 05 CR-RFM-DTE.</t>
  </si>
  <si>
    <t>000200 10 CR-RFM-YR PIC 9(2).</t>
  </si>
  <si>
    <t>000300 10 CR-RFM-MO PIC 9(2).</t>
  </si>
  <si>
    <t>000400 10 CR-RFM-DAY PIC 9(2).</t>
  </si>
  <si>
    <t>000500 05 CR-RFM-RATE PIC V9(6).</t>
  </si>
  <si>
    <t>000600 05 RCRD-TYP-CDE PIC X.</t>
  </si>
  <si>
    <t>000800 05 FILLER PIC X(0010).</t>
  </si>
  <si>
    <t>000050 01 FARMS-CTY-LOOKUP.</t>
  </si>
  <si>
    <t>000100 05 ST-CDE-FMHA PIC 9(2).</t>
  </si>
  <si>
    <t>000200 05 CTY-CDE-FMHA PIC 9(3).</t>
  </si>
  <si>
    <t>000300 05 CTY-OFC-MAILG PIC 9(5).</t>
  </si>
  <si>
    <t>000400 05 SRVCG-OFC-CDE-CTY PIC 9(5).</t>
  </si>
  <si>
    <t>000500 05 FIPS-ST-CDE PIC 9(2).</t>
  </si>
  <si>
    <t>000600 05 FIPS-CTY-CDE PIC 9(3).</t>
  </si>
  <si>
    <t>000700 05 DST-SRVCG-CDE PIC 9(3).</t>
  </si>
  <si>
    <t>000800 05 DST-OFC-MAILG PIC 9(3).</t>
  </si>
  <si>
    <t>000900 05 NME-CTY PIC X(20).</t>
  </si>
  <si>
    <t>001000 05 HQ-TWN PIC X(20).</t>
  </si>
  <si>
    <t>001100 05 ST-ABBR PIC A(2).</t>
  </si>
  <si>
    <t>001200 05 ORGZTN-STRUC PIC 9(1).</t>
  </si>
  <si>
    <t>001300 05 CONG-DST-CDE-CTY PIC 9(9).</t>
  </si>
  <si>
    <t>001400 05 ADRS-MAILG-CTY-OFC PIC X(36).</t>
  </si>
  <si>
    <t>001500 05 ZIP-CDE-CTY-OFC PIC 9(5).</t>
  </si>
  <si>
    <t>001600 05 FILLER PIC X.</t>
  </si>
  <si>
    <t>000050 01 FARMS-DALLOT.</t>
  </si>
  <si>
    <t>000100 05 DISTRBN-TTL-1ST-ACCTG-PRD PIC S9(10)V99 COMP-3.</t>
  </si>
  <si>
    <t>000200 05 DISTRBN-TTL-2ND-ACCTG-PRD PIC S9(10)V99 COMP-3.</t>
  </si>
  <si>
    <t>000300 05 DISTRBN-TTL-3RD-ACCTG-PRD PIC S9(10)V99 COMP-3.</t>
  </si>
  <si>
    <t>000400 05 DISTRBN-TTL-4TH-ACCTG-PRD PIC S9(10)V99 COMP-3.</t>
  </si>
  <si>
    <t>000500 05 OBLGNS-AMT-CUM PIC S9(10)V99 COMP-3.</t>
  </si>
  <si>
    <t>000600 05 OBLGNS-CNT-CUM PIC S9(6) COMP-3.</t>
  </si>
  <si>
    <t>000700 05 VOU-AMT PIC S9(10)V99 COMP-3.</t>
  </si>
  <si>
    <t>000800 05 FY-ACCTG PIC 9(2).</t>
  </si>
  <si>
    <t>000050 01 FARMS-DALLOT-DTL.</t>
  </si>
  <si>
    <t>000100 05 DALLOT-DTL-KEY.</t>
  </si>
  <si>
    <t>000500 10 GEOG-ST-CDE PIC 9(2).</t>
  </si>
  <si>
    <t>000600 10 LVL-CDE PIC 9(1).</t>
  </si>
  <si>
    <t>000700 10 FY-ACCTG PIC 9(2).</t>
  </si>
  <si>
    <t>000800 05 MULTI-ELMT-CDE PIC 9(1).</t>
  </si>
  <si>
    <t>000900 05 OK-TO-PROC-CDE PIC 9(1).</t>
  </si>
  <si>
    <t>001000 05 DISTRBN-CUR PIC S9(10)V99 COMP-3.</t>
  </si>
  <si>
    <t>001100 05 DISTRBN-TYP-CDE PIC 9(1).</t>
  </si>
  <si>
    <t>001200 05 PRD-CDE PIC 9(1).</t>
  </si>
  <si>
    <t>001300 05 DISTRBN-ST-1ST-ACCTG-PRD PIC S9(10)V99 COMP-3.</t>
  </si>
  <si>
    <t>001400 05 DISTRBN-ST-2ND-ACCTG-PRD PIC S9(10)V99 COMP-3.</t>
  </si>
  <si>
    <t>001500 05 DISTRBN-ST-3RD-ACCTG-PRD PIC S9(10)V99 COMP-3.</t>
  </si>
  <si>
    <t>001600 05 DISTRBN-ST-4TH-ACCTG-PRD PIC S9(10)V99 COMP-3.</t>
  </si>
  <si>
    <t>001700 05 DISTRBN-SBSZD-RH-NEW PIC S9(10)V99 COMP-3.</t>
  </si>
  <si>
    <t>001800 05 DISTRBN-SBSZD-RH-OLD PIC S9(10)V99 COMP-3.</t>
  </si>
  <si>
    <t>001900 05 DISTRBN-SBSZD-RRH PIC S9(10)V99 COMP-3.</t>
  </si>
  <si>
    <t>002000 05 DISTRBN-UNSBSZD-HSG PIC S9(10)V99 COMP-3.</t>
  </si>
  <si>
    <t>002100 05 DISTRBN-INSRD-OL PIC S9(10)V99 COMP-3.</t>
  </si>
  <si>
    <t>002200 05 DISTRBN-GUAR-OL PIC S9(10)V99 COMP-3.</t>
  </si>
  <si>
    <t>002300 05 DISTRBN-LMTD-RESRCS-OL PIC S9(10)V99 COMP-3.</t>
  </si>
  <si>
    <t>002400 05 DISTRBN-INSRD-FO PIC S9(10)V99 COMP-3.</t>
  </si>
  <si>
    <t>002500 05 DISTRBN-GUAR-FO PIC S9(10)V99 COMP-3.</t>
  </si>
  <si>
    <t>002600 05 DISTRBN-LMTD-RESRCS-FO PIC S9(10)V99 COMP-3.</t>
  </si>
  <si>
    <t>002700 05 DISTRBN-AMT OCCURS 10 PIC S9(10)V99 COMP-3.</t>
  </si>
  <si>
    <t>002800 05 FILLER PIC X(0034).</t>
  </si>
  <si>
    <t>000050 01 FARMS-DALLOT-OBLGN.</t>
  </si>
  <si>
    <t>000100 05 PROG-PLANG-BDGTG-CDE.</t>
  </si>
  <si>
    <t>000200 10 PPB-CDE-1ST PIC 9.</t>
  </si>
  <si>
    <t>000300 10 PPB-CDE-2-3 PIC 9(2).</t>
  </si>
  <si>
    <t>000400 05 OBLGN-EXPNTR-CDE.</t>
  </si>
  <si>
    <t>000500 10 SBMSN-CDE PIC 9(1).</t>
  </si>
  <si>
    <t>000600 10 PURP-CDE PIC 9(2).</t>
  </si>
  <si>
    <t>000700 05 OBLGNS-AMT-CUM PIC S9(10)V99 COMP-3.</t>
  </si>
  <si>
    <t>000800 05 OBLGNS-CNT-CUM PIC S9(6) COMP-3.</t>
  </si>
  <si>
    <t>000900 05 VOU-AMT PIC S9(10)V99 COMP-3.</t>
  </si>
  <si>
    <t>000050 01 FARMS-DALLOT-OTH.</t>
  </si>
  <si>
    <t>000100 05 FILLER PIC X(0004).</t>
  </si>
  <si>
    <t>000050 01 FARMS-DAPROC.</t>
  </si>
  <si>
    <t>000200 05 RGSTR-TYP-CDE PIC 9(2).</t>
  </si>
  <si>
    <t>000300 05 VARBL-DATA PIC X(220).</t>
  </si>
  <si>
    <t>000050 01 FARMS-DISCRP.</t>
  </si>
  <si>
    <t>000100 05 TRNSCTN-CDE-UPDTE PIC X(2).</t>
  </si>
  <si>
    <t>000200 05 CASE-NBR.</t>
  </si>
  <si>
    <t>000600 05 TRNSCTN-VARBL-DATA PIC X(57).</t>
  </si>
  <si>
    <t>000700 05 CARD-NBR PIC X(1).</t>
  </si>
  <si>
    <t>000800 05 CARD-TYP PIC X(01).</t>
  </si>
  <si>
    <t>000900 05 BLK-NBR PIC X(4).</t>
  </si>
  <si>
    <t>001000 05 FD-CDE-2 PIC X(2).</t>
  </si>
  <si>
    <t>001100 05 LN-NBR PIC X(2).</t>
  </si>
  <si>
    <t>001200 05 DTE-EFCTV.</t>
  </si>
  <si>
    <t>001300 10 MO-GRGRN PIC X(2).</t>
  </si>
  <si>
    <t>001400 10 DAY-GRGRN PIC X(2).</t>
  </si>
  <si>
    <t>001500 10 YR PIC X(2).</t>
  </si>
  <si>
    <t>001600 05 DISCRP-CDE OCCURS 4 PIC X(2).</t>
  </si>
  <si>
    <t>001700 05 PROCG-SEQNC-NBR PIC X(3).</t>
  </si>
  <si>
    <t>001800 05 PROCG-SEQNC-NBR-ORIG PIC X(3).</t>
  </si>
  <si>
    <t>001900 05 PROCG-TYP-CDE PIC X(1).</t>
  </si>
  <si>
    <t>002000 05 DLT-REAS-CDE PIC X(02).</t>
  </si>
  <si>
    <t>002100 05 ACTN-PNDG-CDE PIC X(02).</t>
  </si>
  <si>
    <t>002200 05 AUTHY-CDE PIC X(01).</t>
  </si>
  <si>
    <t>002300 05 RJCTD-REAS PIC X(02).</t>
  </si>
  <si>
    <t>002400 05 USER-BAL-AMT PIC S9(8)V99.</t>
  </si>
  <si>
    <t>002500 05 TRNSCTN-NBR-TIMES-RJCTED PIC X(03).</t>
  </si>
  <si>
    <t>002600 05 BLK-NBR-ORIG PIC X(04).</t>
  </si>
  <si>
    <t>002700 05 PROC-DTE.</t>
  </si>
  <si>
    <t>002800 10 MO-GRGRN PIC X(2).</t>
  </si>
  <si>
    <t>002900 10 DAY-GRGRN PIC X(2).</t>
  </si>
  <si>
    <t>003000 10 YR PIC X(2).</t>
  </si>
  <si>
    <t>003100 05 PROC-DTE-ORIG PIC X(06).</t>
  </si>
  <si>
    <t>003200 05 PROC-DTE-JULIAN-ORIG PIC X(05).</t>
  </si>
  <si>
    <t>003300 05 TRNSCTN-SEQNC-NBR PIC X(5).</t>
  </si>
  <si>
    <t>003400 05 USER-ID.</t>
  </si>
  <si>
    <t>003500 10 AUTHY-CDE-TRML-OPRTR PIC X(1).</t>
  </si>
  <si>
    <t>003600 10 PRFCY-LVL-TRML-OPRTR PIC X(01).</t>
  </si>
  <si>
    <t>003700 88 NO-UP-AUTHTY-CDE VALUE '0'.</t>
  </si>
  <si>
    <t>003800 88 UP-AUTHTY-CDE VALUE '1'.</t>
  </si>
  <si>
    <t>003900 10 FILLER PIC X(1).</t>
  </si>
  <si>
    <t>004000 10 ID-TRML-OPRTR PIC X(03).</t>
  </si>
  <si>
    <t>004100 05 JURDCTN-CDE.</t>
  </si>
  <si>
    <t>004200 10 JURDCTN-ST-CDE PIC X(2).</t>
  </si>
  <si>
    <t>004300 10 JURDCTN-UNIT-CDE PIC X(2).</t>
  </si>
  <si>
    <t>004400 05 MANUSCRIPT-CDE PIC X(01).</t>
  </si>
  <si>
    <t>004500 05 SYS-BAL-AMT PIC S9(8)V99.</t>
  </si>
  <si>
    <t>004600 05 PR-BLK-NBR PIC X(4).</t>
  </si>
  <si>
    <t>004700 05 DTE-LST-ACTV PIC 9(6).</t>
  </si>
  <si>
    <t>004800 05 FILLER PIC XX.</t>
  </si>
  <si>
    <t>000050 01 FARMS-DISCRP-MISC.</t>
  </si>
  <si>
    <t>000100 05 JURDCTN-CDE-PR PIC X(4).</t>
  </si>
  <si>
    <t>000200 05 BRNH-CDE PIC X(1).</t>
  </si>
  <si>
    <t>000300 05 CASE-NBR-OLD PIC 9(15).</t>
  </si>
  <si>
    <t>000400 05 POST-SWITCH PIC 9.</t>
  </si>
  <si>
    <t>000500 05 LAST-PROCG-CDE PIC X.</t>
  </si>
  <si>
    <t>000600 05 WORK-FIL PIC X(6).</t>
  </si>
  <si>
    <t>000050 01 FARMS-DSTR-SETASD.</t>
  </si>
  <si>
    <t>000100 05 DCLRD-NBR PIC X(5).</t>
  </si>
  <si>
    <t>000200 05 STAT-CDE PIC 9.</t>
  </si>
  <si>
    <t>000300 05 DTE-EFCTV PIC 9(6).</t>
  </si>
  <si>
    <t>000400 05 DTE-INSTLMT-DUE PIC 9(6).</t>
  </si>
  <si>
    <t>000500 05 DTE-CNCLTN.</t>
  </si>
  <si>
    <t>000600 10 CNCLTN-MO PIC 99.</t>
  </si>
  <si>
    <t>000700 10 CNCLTN-DAY PIC 99.</t>
  </si>
  <si>
    <t>000800 10 CNCLTN-YR PIC 99.</t>
  </si>
  <si>
    <t>000900 05 PRIN-AMT PIC S9(7)V99 COMP-3.</t>
  </si>
  <si>
    <t>001000 05 INT-AMT PIC S9(7)V99 COMP-3.</t>
  </si>
  <si>
    <t>001100 05 INT-FCL-LN PIC S9(7)V99 COMP-3.</t>
  </si>
  <si>
    <t>001200 05 UNPD-CHG-ADVNC-FD PIC S9(7)V99 COMP-3.</t>
  </si>
  <si>
    <t>001300 05 INT-ADVNC-FD PIC S9(7)V99 COMP-3.</t>
  </si>
  <si>
    <t>001400 05 INT-FCL-ADVNC-FD PIC S9(7)V99 COMP-3.</t>
  </si>
  <si>
    <t>001500 05 NON-CPTLZD-INT-INSTLMT PIC S9(7)V99 COMP-3.</t>
  </si>
  <si>
    <t>001600 05 DFRD-NCPTLZD-INT-INSTLMT PIC S9(07)V99 COMP-3.</t>
  </si>
  <si>
    <t>001700 05 DFRD-INT-INSTLMT PIC S9(6)V99 COMP-3.</t>
  </si>
  <si>
    <t>001800 05 PRIN-CR-LN PIC S9(7)V99 COMP-3.</t>
  </si>
  <si>
    <t>001900 05 INT-CR-LN PIC S9(7)V99 COMP-3.</t>
  </si>
  <si>
    <t>002000 05 PRIN-CR-ADVNC-FROM-FD PIC S9(7)V99 COMP-3.</t>
  </si>
  <si>
    <t>002100 05 INT-CR-ADVNC-FROM-FD PIC S9(7)V99 COMP-3.</t>
  </si>
  <si>
    <t>002200 05 NON-CPTLZD-INT-CR-AMT PIC S9(7)V99 COMP-3.</t>
  </si>
  <si>
    <t>002300 05 CR-DFRD-NON-CPTLZD-INT PIC S9(07)V99 COMP-3.</t>
  </si>
  <si>
    <t>002400 05 INT-CR-DFRD-LN PIC S9(6)V99 COMP-3.</t>
  </si>
  <si>
    <t>002500 05 UNPD-INSRNC-CHG PIC S9(7)V99 COMP-3.</t>
  </si>
  <si>
    <t>002600 05 PRIN-CR-INSRNC-CHG-CUM PIC S9(5)V99 COMP-3.</t>
  </si>
  <si>
    <t>002700 05 DTE-LST-PYMT PIC 9(6).</t>
  </si>
  <si>
    <t>002800 05 UNAPL-INT PIC S9(7)V99 COMP-3.</t>
  </si>
  <si>
    <t>002900 05 UNAPL-NON-CPTLZD-INT PIC S9(7)V99 COMP-3.</t>
  </si>
  <si>
    <t>003000 05 UNAPL-DFRD-NON-CPTLZD-INT PIC S9(7)V99 COMP-3.</t>
  </si>
  <si>
    <t>003100 05 UNAPL-DFRD-INT PIC S9(7)V99 COMP-3.</t>
  </si>
  <si>
    <t>003200 05 CNCLD-TTL PIC S9(8)V99 COMP-3.</t>
  </si>
  <si>
    <t>003300 05 INSTLMT-TTL PIC S9(8)V99 COMP-3.</t>
  </si>
  <si>
    <t>003400 05 ORIG-UNAPL-INT PIC S9(7)V99 COMP-3.</t>
  </si>
  <si>
    <t>003500 05 ORIG-UNAPL-NON-CPTLZD-INT PIC S9(7)V99 COMP-3.</t>
  </si>
  <si>
    <t>003600 05 ORIG-UNAPL-DFRD-INT PIC S9(7)V99 COMP-3.</t>
  </si>
  <si>
    <t>003700 05 ORIG-UNAPL-DFRD-NONCAP PIC S9(7)V99 COMP-3.</t>
  </si>
  <si>
    <t>003800 05 DTE-LST-NON-CSH-CR PIC 9(06).</t>
  </si>
  <si>
    <t>003900 05 FILLER PIC X(0003).</t>
  </si>
  <si>
    <t>000050 01 FARMS-DTEREC.</t>
  </si>
  <si>
    <t>000100 05 DTE-COHORT.</t>
  </si>
  <si>
    <t>000200 10 DTE-CTRY-YR.</t>
  </si>
  <si>
    <t>000300 15 EFCTV-DTE-CTRY PIC 9(02).</t>
  </si>
  <si>
    <t>000400 15 YR-GRGRN PIC 9(2).</t>
  </si>
  <si>
    <t>000500 10 MO-GRGRN PIC 9(2).</t>
  </si>
  <si>
    <t>000600 10 DAY-GRGRN PIC 9(2).</t>
  </si>
  <si>
    <t>000700 05 FILLER PIC X(0032).</t>
  </si>
  <si>
    <t>000050 01 FARMS-DTL-RATE.</t>
  </si>
  <si>
    <t>000100 05 DTL-KEY.</t>
  </si>
  <si>
    <t>000200 10 FY-OBLGN-OCCURD.</t>
  </si>
  <si>
    <t>000300 15 FY-OBLGN-1 PIC 9.</t>
  </si>
  <si>
    <t>000400 15 FY-OBLGN-2 PIC 9.</t>
  </si>
  <si>
    <t>000700 10 ST-CDE PIC 9(2).</t>
  </si>
  <si>
    <t>000800 05 NBR-SBSY-LNS PIC S9(8) COMP-3.</t>
  </si>
  <si>
    <t>000900 05 FP-SBSY-AVG-CALC-ONE PIC S9(14) COMP-3.</t>
  </si>
  <si>
    <t>001000 05 FP-SBSY-AVG-CALC-TWO PIC S9(14) COMP-3.</t>
  </si>
  <si>
    <t>001100 05 SBSY-RATE PIC 9(08)V9999 COMP-3.</t>
  </si>
  <si>
    <t>001200 05 FILLER PIC X(0044).</t>
  </si>
  <si>
    <t>000050 01 FARMS-EASMNT.</t>
  </si>
  <si>
    <t>000100 05 ACRES-EASD-CROP PIC S9(05)V9 COMP-3.</t>
  </si>
  <si>
    <t>000200 05 ACRES-EASD-PSTR PIC S9(05)V9 COMP-3.</t>
  </si>
  <si>
    <t>000300 05 ACRES-EASD-WDLND PIC S9(05)V9 COMP-3.</t>
  </si>
  <si>
    <t>000400 05 ACRES-EASD-OTH PIC S9(05)V9 COMP-3.</t>
  </si>
  <si>
    <t>000500 05 FED-TYP-EASMNT PIC 9(02).</t>
  </si>
  <si>
    <t>000600 05 FED-PURP-EASMNT PIC 9(02).</t>
  </si>
  <si>
    <t>000700 05 FED-DTE-EASMNT PIC 9(06).</t>
  </si>
  <si>
    <t>000800 05 FED-EASMNT-APPRSL-AMT PIC S9(07)V99 COMP-3.</t>
  </si>
  <si>
    <t>000900 05 FED-EASMNT-VLU PIC S9(07)V99 COMP-3.</t>
  </si>
  <si>
    <t>001000 05 ST-TYP-EASMNT PIC 9(02).</t>
  </si>
  <si>
    <t>001100 05 ST-PURP-EASMNT PIC 9(02).</t>
  </si>
  <si>
    <t>001200 05 ST-DTE-EASMNT PIC 9(06).</t>
  </si>
  <si>
    <t>001300 05 ST-EASMNT-APPRSL-AMT PIC S9(07)V99 COMP-3.</t>
  </si>
  <si>
    <t>001400 05 ST-EASMNT-VLU PIC S9(07)V99 COMP-3.</t>
  </si>
  <si>
    <t>001500 05 LOC-TYP-EASMNT PIC 9(02).</t>
  </si>
  <si>
    <t>001600 05 LOC-PURP-EASMNT PIC 9(02).</t>
  </si>
  <si>
    <t>001700 05 LOC-DTE-EASMNT PIC 9(06).</t>
  </si>
  <si>
    <t>001800 05 LOC-EASMNT-APPRSL-AMT PIC S9(07)V99 COMP-3.</t>
  </si>
  <si>
    <t>001900 05 LOC-EASMNT-VLU PIC S9(07)V99 COMP-3.</t>
  </si>
  <si>
    <t>002000 05 FILLER PIC X(20).</t>
  </si>
  <si>
    <t>000050 01 FARMS-EQTYRVRS.</t>
  </si>
  <si>
    <t>000100 05 DTE-TRNSCTN PIC 9(06).</t>
  </si>
  <si>
    <t>000200 05 LN-NBR PIC 9(2).</t>
  </si>
  <si>
    <t>000300 05 LN-NBR-NEW PIC 9(2).</t>
  </si>
  <si>
    <t>000400 05 FD-CDE-NEW-SHRD-APRCTN-LN.</t>
  </si>
  <si>
    <t>000500 10 FD-CDE-3.</t>
  </si>
  <si>
    <t>000600 15 FD-CDE-2 PIC 9(2).</t>
  </si>
  <si>
    <t>000700 15 FD-CDE-3RD PIC 9(1).</t>
  </si>
  <si>
    <t>000800 10 FD-CDE-4TH PIC 9(1).</t>
  </si>
  <si>
    <t>000900 05 AMORTN-AMT-CUM PIC S9(9)V99 COMP-3.</t>
  </si>
  <si>
    <t>001000 05 PRTL-SALE-RVRSL-DATA.</t>
  </si>
  <si>
    <t>001100 10 PRTL-SALE-LN-NBR OCCURS 6 PIC 9(02).</t>
  </si>
  <si>
    <t>001200 10 PRTL-SALE-AMORTN-AMT OCCURS 6 PIC S9(9)V99 COMP-3.</t>
  </si>
  <si>
    <t>001300 05 FILLER PIC X(40).</t>
  </si>
  <si>
    <t>000050 01 FARMS-EQUITY.</t>
  </si>
  <si>
    <t>000100 05 FD-CDE.</t>
  </si>
  <si>
    <t>000200 10 FD-CDE-3.</t>
  </si>
  <si>
    <t>000300 15 FD-CDE-2 PIC 9(2).</t>
  </si>
  <si>
    <t>000400 15 FD-CDE-3RD PIC 9(1).</t>
  </si>
  <si>
    <t>000500 10 FD-CDE-4TH PIC 9(1).</t>
  </si>
  <si>
    <t>000600 05 LN-NBR PIC 9(2).</t>
  </si>
  <si>
    <t>000700 05 TYP-PLAN-CDE PIC 9(01).</t>
  </si>
  <si>
    <t>000800 05 WRTDWN-AMT-SCRD-RE PIC S9(09)V99 COMP-3.</t>
  </si>
  <si>
    <t>000900 05 WRTDWN-AMT-NOT-SCRD-RE PIC S9(09)V99 COMP-3.</t>
  </si>
  <si>
    <t>001000 05 BEGNG-MKT-VLU PIC S9(09)V99 COMP-3.</t>
  </si>
  <si>
    <t>001100 05 ENDG-MKT-VLU PIC S9(09)V99 COMP-3.</t>
  </si>
  <si>
    <t>001200 05 NET-RECVRY-VLU PIC S9(09)V99 COMP-3.</t>
  </si>
  <si>
    <t>001300 05 POTL-RECPTR-AMT PIC S9(09)V99 COMP-3.</t>
  </si>
  <si>
    <t>001400 05 RCVB-AMT-DUE PIC S9(09)V99 COMP-3.</t>
  </si>
  <si>
    <t>001500 05 RCVB-AMT-PD PIC S9(09)V99 COMP-3.</t>
  </si>
  <si>
    <t>001600 05 DTE-EFCTV PIC 9(6).</t>
  </si>
  <si>
    <t>001700 05 DTE-MTURTY PIC 9(06).</t>
  </si>
  <si>
    <t>001800 05 DTE-LST-CSH PIC 9(06).</t>
  </si>
  <si>
    <t>001900 05 DTE-FNL-PYMT PIC 9(06).</t>
  </si>
  <si>
    <t>002000 05 DTE-LST-RGSTR-DTL PIC 9(06).</t>
  </si>
  <si>
    <t>002100 05 RGSTR-TYP-LST-TRNSCTN PIC 9(2).</t>
  </si>
  <si>
    <t>002200 05 EQUITY-SALE-CONTR PIC 9(02).</t>
  </si>
  <si>
    <t>002300 05 STTLMT-CDE.</t>
  </si>
  <si>
    <t>002400 10 APPLTN-CDE PIC X(1).</t>
  </si>
  <si>
    <t>002500 10 FULLY-PD-CDE PIC X(2).</t>
  </si>
  <si>
    <t>002600 05 FNL-RCVB-CDE PIC 9(01).</t>
  </si>
  <si>
    <t>002700 05 DTE-SALE-PROP PIC 9(06).</t>
  </si>
  <si>
    <t>002800 05 DTE-COMPLD-SRVCG-APPLTN PIC 9(6).</t>
  </si>
  <si>
    <t>002900 05 ASSTNC-TYP-CDE PIC 9(03).</t>
  </si>
  <si>
    <t>003000 05 DTE-OBLGN PIC 9(6).</t>
  </si>
  <si>
    <t>003100 05 CR-APPLD-NONCSH PIC S9(9)V99 COMP-3.</t>
  </si>
  <si>
    <t>003200 05 DTE-LST-NONCSH PIC 9(6).</t>
  </si>
  <si>
    <t>003300 05 SUSP-CDE PIC 9(1).</t>
  </si>
  <si>
    <t>003400 05 FILLER PIC X(0025).</t>
  </si>
  <si>
    <t>000050 01 FARMS-FD-SIDE.</t>
  </si>
  <si>
    <t>000100 05 ALTMT PIC S9(10)V99 COMP-3.</t>
  </si>
  <si>
    <t>000200 05 ALTMT-1ST-ACCTG-PRD PIC S9(10)V99 COMP-3.</t>
  </si>
  <si>
    <t>000300 05 ALTMT-2ND-ACCTG-PRD PIC S9(10)V99 COMP-3.</t>
  </si>
  <si>
    <t>000400 05 ALTMT-3RD-ACCTG-PRD PIC S9(10)V99 COMP-3.</t>
  </si>
  <si>
    <t>000500 05 ALTMT-4TH-ACCTG-PRD PIC S9(10)V99 COMP-3.</t>
  </si>
  <si>
    <t>000600 05 FILLER PIC X.</t>
  </si>
  <si>
    <t>000050 01 FARMS-FDCDE.</t>
  </si>
  <si>
    <t>000400 05 FILLER PIC X(0036).</t>
  </si>
  <si>
    <t>000050 01 FARMS-GLBORR.</t>
  </si>
  <si>
    <t>000100 05 BORR-KEY.</t>
  </si>
  <si>
    <t>000200 10 CASE-NBR.</t>
  </si>
  <si>
    <t>000300 15 ST-CDE-OBLR PIC 9(2).</t>
  </si>
  <si>
    <t>000400 15 CTY-CDE-OBLR PIC 9(3).</t>
  </si>
  <si>
    <t>000500 15 ID-NBR-OBLR PIC 9(10).</t>
  </si>
  <si>
    <t>000600 10 LN-NBR PIC 9(2).</t>
  </si>
  <si>
    <t>000700 10 RCVB-NBR PIC 9(02).</t>
  </si>
  <si>
    <t>000800 10 RCRD-TYP PIC 9(2).</t>
  </si>
  <si>
    <t>000900 05 BORR-RCRD-TYP-1.</t>
  </si>
  <si>
    <t>001000 10 NME-OBLR PIC X(19).</t>
  </si>
  <si>
    <t>001100 10 NME-ADRS-OBLR-1 PIC X(19).</t>
  </si>
  <si>
    <t>001200 10 NME-ADRS-OBLR-2 PIC X(19).</t>
  </si>
  <si>
    <t>001300 10 NME-ADRS-OBLR-3 PIC X(19).</t>
  </si>
  <si>
    <t>001400 10 NME-ADRS-OBLR-4 PIC X(19).</t>
  </si>
  <si>
    <t>001500 10 ZIP-CDE PIC 9(5).</t>
  </si>
  <si>
    <t>001600 10 LN-NBR-LST-ASGD PIC 9(2).</t>
  </si>
  <si>
    <t>001700 10 DTE-LST-RGSTR-ACCT PIC 9(06).</t>
  </si>
  <si>
    <t>001800 10 APPLT-TYP-CDE-GUARNTD PIC 9(02).</t>
  </si>
  <si>
    <t>001900 10 SUSP-CDE-ACCT PIC 9(1).</t>
  </si>
  <si>
    <t>002000 10 SIS-TRF-CDE PIC X(1).</t>
  </si>
  <si>
    <t>002100 10 SIS-TRF-ACTN-CDE PIC X(1).</t>
  </si>
  <si>
    <t>002200 10 SIS-TRF-DTE PIC 9(6).</t>
  </si>
  <si>
    <t>002300 10 EMPL-RELTNSHP-CDE PIC X(01).</t>
  </si>
  <si>
    <t>002400 10 FILLER PIC X(0759).</t>
  </si>
  <si>
    <t>002500 05 BORR-RCRD-TYP-2 REDEFINES BORR-RCRD-TYP-1.</t>
  </si>
  <si>
    <t>002600 10 ASSTNC-TYP-CDE PIC 9(3).</t>
  </si>
  <si>
    <t>002700 10 ABBR-LN-TYP PIC X(04).</t>
  </si>
  <si>
    <t>002800 10 FD-CDE.</t>
  </si>
  <si>
    <t>002900 15 FD-CDE-3.</t>
  </si>
  <si>
    <t>003000 20 FD-CDE-2 PIC 9(2).</t>
  </si>
  <si>
    <t>003100 20 FD-CDE-3RD PIC 9(1).</t>
  </si>
  <si>
    <t>003200 15 FD-CDE-4TH PIC 9(1).</t>
  </si>
  <si>
    <t>003300 10 KIND-CDE-BORR PIC 9(2).</t>
  </si>
  <si>
    <t>003400 10 DTE-OBLGN PIC 9(06).</t>
  </si>
  <si>
    <t>003500 10 FY-OBLGN-OCCURD.</t>
  </si>
  <si>
    <t>003600 15 FY-OBLGN-1 PIC 9.</t>
  </si>
  <si>
    <t>003700 15 FY-OBLGN-2 PIC 9.</t>
  </si>
  <si>
    <t>003800 10 OBLGN-TTL-AMT PIC S9(09)V99 COMP-3.</t>
  </si>
  <si>
    <t>003900 10 OBLGN-LN-NBR PIC 9(02).</t>
  </si>
  <si>
    <t>004000 10 APROPTN-CDE PIC 9(2).</t>
  </si>
  <si>
    <t>004100 10 SRC-FDS-CDE PIC 9(1).</t>
  </si>
  <si>
    <t>004200 10 DSTR-DCLRD-CDE-GUARNTD.</t>
  </si>
  <si>
    <t>004300 15 FY-DSTR-DCLRD PIC 9(1).</t>
  </si>
  <si>
    <t>004400 15 DSTR-TYP-CDE PIC 9(1).</t>
  </si>
  <si>
    <t>004500 15 DSTR-DCLRD-NBR PIC 9(3).</t>
  </si>
  <si>
    <t>004600 10 LN-ORGN-CDE PIC 9(01).</t>
  </si>
  <si>
    <t>004700 10 SBMSN-CDE PIC 9(1).</t>
  </si>
  <si>
    <t>004800 10 2ND-OF-LN-RCRD.</t>
  </si>
  <si>
    <t>004900 15 GUARNTD-LN-AMT PIC S9(08)V99 COMP-3.</t>
  </si>
  <si>
    <t>005000 15 ADVNCS-TO-DTE PIC S9(08)V99 COMP-3.</t>
  </si>
  <si>
    <t>005100 15 PRIN-CR-GUARNTD-LN PIC S9(08)V99 COMP-3.</t>
  </si>
  <si>
    <t>005200 15 ACCRD-INT-GUARNTD-LN PIC S9(08)V99 COMP-3.</t>
  </si>
  <si>
    <t>005300 15 CLSG-ADJMT-AMT PIC S9(08)V99 COMP-3.</t>
  </si>
  <si>
    <t>005400 15 DTE-CLSG PIC 9(06).</t>
  </si>
  <si>
    <t>005500 15 DTE-MTURTY PIC 9(06).</t>
  </si>
  <si>
    <t>005600 15 DTE-GUAR-BEGN PIC 9(6).</t>
  </si>
  <si>
    <t>005700 15 DTE-GUAR-END PIC 9(6).</t>
  </si>
  <si>
    <t>005800 15 DTE-FNL-ADVNC PIC 9(06).</t>
  </si>
  <si>
    <t>005900 15 BORR-INT-RATE PIC S99V9999 COMP-3.</t>
  </si>
  <si>
    <t>006000 15 LNDR-INT-RATE PIC S99V9999 COMP-3.</t>
  </si>
  <si>
    <t>006100 15 VARBL-INT-RATE-CDE PIC 9(01).</t>
  </si>
  <si>
    <t>006200 15 INT-BAS PIC S9(03) COMP-3.</t>
  </si>
  <si>
    <t>006300 15 PCT-LOSS-GUAR PIC S999V9999 COMP-3.</t>
  </si>
  <si>
    <t>006400 15 CNTRC-TYP-CDE PIC 9(01).</t>
  </si>
  <si>
    <t>006500 15 LINE-OF-CR-CDE PIC 9(01).</t>
  </si>
  <si>
    <t>006600 15 DBT-ADJMT-CDE PIC 9(01).</t>
  </si>
  <si>
    <t>006700 15 ID-NBR-LNDR PIC 9(10).</t>
  </si>
  <si>
    <t>006800 15 BRNH-NBR PIC 99.</t>
  </si>
  <si>
    <t>006900 15 ORIG-ID-NBR-LNDR PIC 9(10).</t>
  </si>
  <si>
    <t>007000 15 ORIG-BRNH-NBR PIC 9(02).</t>
  </si>
  <si>
    <t>007100 15 GUARNTD-LN-STAT-CDE PIC 9(02).</t>
  </si>
  <si>
    <t>007200 15 GUARNTD-LN-SUSP-CDE PIC 9(01).</t>
  </si>
  <si>
    <t>007300 15 NTCE-GUAR-EXPRTN PIC 9(01).</t>
  </si>
  <si>
    <t>007400 15 NTCE-BDWN-EXPRTN OCCURS 3 PIC 9(01).</t>
  </si>
  <si>
    <t>007500 15 NTCE-2ND-HALF-FEE PIC 9(01).</t>
  </si>
  <si>
    <t>007600 15 FEE-PURP-CDE PIC 9(01).</t>
  </si>
  <si>
    <t>007700 15 FEE-PD-AMT PIC S9(06)V99 COMP-3.</t>
  </si>
  <si>
    <t>007800 15 FEES-CHGD-CUM PIC S9(06)V99 COMP-3.</t>
  </si>
  <si>
    <t>007900 15 GUAR-FEE-RATE PIC S99V9999 COMP-3.</t>
  </si>
  <si>
    <t>008000 15 DTE-DPST-FEE PIC 9(06).</t>
  </si>
  <si>
    <t>008100 15 PYMT-STAT-CDE PIC 9.</t>
  </si>
  <si>
    <t>008200 15 PAST-DUE-PRIN-GUARNTD PIC S9(08)V99 COMP-3.</t>
  </si>
  <si>
    <t>008300 15 SCHED-STAT-AMT-GUARNTD PIC S9(08)V99 COMP-3.</t>
  </si>
  <si>
    <t>008400 15 DTE-LST-STAT-REPT PIC 9(06).</t>
  </si>
  <si>
    <t>008500 15 DTE-LST-RGSTR-DTL PIC 9(06).</t>
  </si>
  <si>
    <t>008600 15 DTE-TRF-PROCD PIC 9(06).</t>
  </si>
  <si>
    <t>008700 15 CASE-NBR-TRFOR.</t>
  </si>
  <si>
    <t>008800 20 ST-CDE-TRFOR PIC 9(2).</t>
  </si>
  <si>
    <t>008900 20 CTY-CDE-TRFOR PIC 9(3).</t>
  </si>
  <si>
    <t>009000 20 ID-NBR-TRFOR PIC 9(10).</t>
  </si>
  <si>
    <t>009100 15 ASUMPTN-AGRMT-CDE PIC 9(1).</t>
  </si>
  <si>
    <t>009200 15 TRF-CDE PIC 9.</t>
  </si>
  <si>
    <t>009300 15 TRF-FEE-GUARNTD PIC S9(08)V99 COMP-3.</t>
  </si>
  <si>
    <t>009400 15 DTE-DPST-TRF-FEE PIC 9(06).</t>
  </si>
  <si>
    <t>009500 15 DTE-DLQCY-REPT PIC 9(06).</t>
  </si>
  <si>
    <t>009600 15 DLQCY-CDE PIC 9(02).</t>
  </si>
  <si>
    <t>009700 15 INT-ASSTNC-CDE PIC 9(1).</t>
  </si>
  <si>
    <t>009800 10 SBSY-AREA-OF-LN-RCRD OCCURS 3.</t>
  </si>
  <si>
    <t>009900 15 BDWN-CDE PIC 9(01).</t>
  </si>
  <si>
    <t>010000 15 BDWN-DTE PIC 9(06).</t>
  </si>
  <si>
    <t>010100 15 BEGNG-CUR-SBSY-PRD PIC 9(06).</t>
  </si>
  <si>
    <t>010200 15 END-LST-SBSY-PRD PIC 9(06).</t>
  </si>
  <si>
    <t>010300 15 SBSY-BEGNG-PRIN PIC S9(08)V99 COMP-3.</t>
  </si>
  <si>
    <t>010400 15 PRIN-ADVNC-CUR-PRD PIC S9(08)V99 COMP-3.</t>
  </si>
  <si>
    <t>010500 15 PRIN-CR-CUR PIC S9(08)V99 COMP-3.</t>
  </si>
  <si>
    <t>010600 15 SBSY-ENDG-PRIN PIC S9(08)V99 COMP-3.</t>
  </si>
  <si>
    <t>010700 15 SBSY-BEGNG-INT PIC S9(06)V99 COMP-3.</t>
  </si>
  <si>
    <t>010800 15 INT-CR-CUR PIC S9(08)V99 COMP-3.</t>
  </si>
  <si>
    <t>010900 15 SBSY-ENDG-INT PIC S9(06)V99 COMP-3.</t>
  </si>
  <si>
    <t>011000 15 DTE-LST-SBSY-PD PIC 9(06).</t>
  </si>
  <si>
    <t>011100 15 SBSY-PD-LST-PRD PIC S9(07)V99 COMP-3.</t>
  </si>
  <si>
    <t>011200 15 SBSY-PD-CUM PIC S9(08)V99 COMP-3.</t>
  </si>
  <si>
    <t>011300 10 INT-ASSTNC-AREA-LN-RCRD.</t>
  </si>
  <si>
    <t>011400 15 DTE-INT-ASSTNC-CNCLTN PIC 9(06).</t>
  </si>
  <si>
    <t>011500 15 CUR-INT-ASSTNC-RATE PIC 9(2)V9999 COMP-3.</t>
  </si>
  <si>
    <t>011600 15 PYMTS-CUR-PRD PIC S9(02).</t>
  </si>
  <si>
    <t>011700 15 DTE-OFFSET-ESTBD PIC 9(06).</t>
  </si>
  <si>
    <t>011800 15 OFFSET-AMT PIC S9(08)V99 COMP-3.</t>
  </si>
  <si>
    <t>011900 15 OFFSET-AMT-PD PIC S9(08)V99 COMP-3.</t>
  </si>
  <si>
    <t>012000 15 OFFSET-AMT-MTLY PIC S9(08)V99 COMP-3.</t>
  </si>
  <si>
    <t>012100 15 INT-ASSTNC-RECPTR-DUE PIC S9(08)V99 COMP-3.</t>
  </si>
  <si>
    <t>012200 15 INT-ASSTNC-RECPTR-PD PIC S9(08)V99 COMP-3.</t>
  </si>
  <si>
    <t>012300 15 DTE-INT-ASSTNC-RECPTR-PD PIC 9(06).</t>
  </si>
  <si>
    <t>012400 15 INT-ASSTNC-TRMNTN-CDE PIC 9(02).</t>
  </si>
  <si>
    <t>012500 15 DTE-ANL-REVW PIC 9(6).</t>
  </si>
  <si>
    <t>012600 15 BEGNG-INT-ASSTNC-PRD PIC 9(6).</t>
  </si>
  <si>
    <t>012700 15 END-INT-ASSTNC-PRD PIC 9(6).</t>
  </si>
  <si>
    <t>012800 15 FP-BEGNG-PRIN PIC S9(08)V99 COMP-3.</t>
  </si>
  <si>
    <t>012900 15 FP-AMT-ADVNC-CUR-PRD PIC S9(08)V99 COMP-3.</t>
  </si>
  <si>
    <t>013000 15 FP-PRIN-CR-CUR-PRD PIC S9(08)V99 COMP-3.</t>
  </si>
  <si>
    <t>013100 15 FP-ENDG-PRIN PIC S9(08)V99 COMP-3.</t>
  </si>
  <si>
    <t>013200 15 FP-BEGNG-INT PIC S9(06)V99 COMP-3.</t>
  </si>
  <si>
    <t>013300 15 FP-INT-CR-CUR-PRD PIC S9(08)V99 COMP-3.</t>
  </si>
  <si>
    <t>013400 15 FP-ENDG-INT PIC S9(06)V99 COMP-3.</t>
  </si>
  <si>
    <t>013500 15 DTE-LST-INT-ASSTNC-PD PIC 9(06).</t>
  </si>
  <si>
    <t>013600 15 DTE-LST-INT-ASSTNC-FEE-PD PIC 9(06).</t>
  </si>
  <si>
    <t>013700 15 INT-ASSTNC-FEES-TTL PIC S9(06)V99 COMP-3.</t>
  </si>
  <si>
    <t>013800 15 CUR-INT-ASSTNC-AMT PIC S9(07)V99 COMP-3.</t>
  </si>
  <si>
    <t>013900 15 INT-ASSTNC-PD-CUR-PRD PIC S9(07)V99 COMP-3.</t>
  </si>
  <si>
    <t>014000 15 INT-ASSTNC-PD-LST-PRD PIC S9(07)V99 COMP-3.</t>
  </si>
  <si>
    <t>014100 15 INT-ASSTNC-PD-TTL PIC S9(8)V99 COMP-3.</t>
  </si>
  <si>
    <t>014200 15 INT-ASSTNC-TERM PIC 9(02).</t>
  </si>
  <si>
    <t>014300 15 FP-INT-ASSTNC-CLSG-DTE PIC 9(06).</t>
  </si>
  <si>
    <t>014400 10 LQDTN-AREA-OF-LN-RCRD.</t>
  </si>
  <si>
    <t>014500 15 DTE-LQDTN-RSPNSBLTY PIC 9(06).</t>
  </si>
  <si>
    <t>014600 15 PRTCTVE-ADVNCS PIC S9(07)V99 COMP-3.</t>
  </si>
  <si>
    <t>014700 15 APPRSL-FEE-PYMT PIC S9(07)V99 COMP-3.</t>
  </si>
  <si>
    <t>014800 15 APPRSL-FEE-REPYMT PIC S9(07)V99 COMP-3.</t>
  </si>
  <si>
    <t>014900 15 DTE-APPRSL-FEE-PYMT PIC 9(06).</t>
  </si>
  <si>
    <t>015000 15 DTE-REORGN-END PIC 9(06).</t>
  </si>
  <si>
    <t>015100 15 DTE-REDCTN-EXPRTN PIC 9(06).</t>
  </si>
  <si>
    <t>015200 15 ORIG-MKT-VLU-GUARNTD PIC S9(08)V99 COMP-3.</t>
  </si>
  <si>
    <t>015300 10 LOSS-AREA-OF-LN-RCRD OCCURS 3.</t>
  </si>
  <si>
    <t>015400 15 LOSS-TYP PIC X(01).</t>
  </si>
  <si>
    <t>015500 15 LOSS-PYMT-TYP PIC 9(01).</t>
  </si>
  <si>
    <t>015600 15 DTE-LOSS-PYMT PIC 9(06).</t>
  </si>
  <si>
    <t>015700 15 LOSS-PYMT-AMT PIC S9(08)V99 COMP-3.</t>
  </si>
  <si>
    <t>015800 15 INT-LOSS-PYMT-AMT PIC S9(08)V99 COMP-3.</t>
  </si>
  <si>
    <t>015900 15 INT-EARNED-REFUND PIC S9(07)V99 COMP-3.</t>
  </si>
  <si>
    <t>016000 15 DTE-RECVRY-LOSS PIC 9(06).</t>
  </si>
  <si>
    <t>016100 15 RECVRY-LOSS-AMT PIC S9(08)V99 COMP-3.</t>
  </si>
  <si>
    <t>016200 15 DTE-RECPTR-PYMT PIC 9(06).</t>
  </si>
  <si>
    <t>016300 15 RECPTR-PYMT-AMT PIC S9(08)V99 COMP-3.</t>
  </si>
  <si>
    <t>016400 15 GUAR-LOSS-PCT-PD PIC S999V9999 COMP-3.</t>
  </si>
  <si>
    <t>016500 10 CERTFD-LN PIC X(01).</t>
  </si>
  <si>
    <t>016600 10 LNDR-INT-RATE-NON-GUARNTD PIC S99V9(04) COMP-3.</t>
  </si>
  <si>
    <t>016700 10 AVG-PRIN-BAL PIC S9(6)V99 COMP-3.</t>
  </si>
  <si>
    <t>016800 10 FILLER PIC X(0038).</t>
  </si>
  <si>
    <t>016900 05 BORR-RCRD-TYP-3 REDEFINES BORR-RCRD-TYP-1.</t>
  </si>
  <si>
    <t>017000 10 ID-NBR-HLDR PIC 9(10).</t>
  </si>
  <si>
    <t>017100 10 NME-HLDR-1 PIC X(22).</t>
  </si>
  <si>
    <t>017200 10 NME-ADRS-HLDR-2 PIC X(22).</t>
  </si>
  <si>
    <t>017300 10 NME-ADRS-HLDR-3 PIC X(22).</t>
  </si>
  <si>
    <t>017400 10 NME-ADRS-HLDR-4 PIC X(22).</t>
  </si>
  <si>
    <t>017500 10 NME-ADRS-HLDR-5 PIC X(22).</t>
  </si>
  <si>
    <t>017600 10 ZIP-CDE-HLDR PIC 9(5).</t>
  </si>
  <si>
    <t>017700 10 LN-AMT-PURCHD-BY-HLDR PIC S9(08)V99 COMP-3.</t>
  </si>
  <si>
    <t>017800 10 DTE-PURCHD PIC 9(06).</t>
  </si>
  <si>
    <t>017900 10 PURCHD-REAS PIC 9(01).</t>
  </si>
  <si>
    <t>018000 10 PRIN-PD-HLDR PIC S9(08)V99 COMP-3.</t>
  </si>
  <si>
    <t>018100 10 INT-PD-HLDR PIC S9(07)V99 COMP-3.</t>
  </si>
  <si>
    <t>018200 10 DTE-LST-INT-PD-BY-LNDR PIC 9(06).</t>
  </si>
  <si>
    <t>018300 10 SRVC-FEE-PCT PIC S99V9999 COMP-3.</t>
  </si>
  <si>
    <t>018400 10 PRIN-CRS-RCVB PIC S9(08)V99 COMP-3.</t>
  </si>
  <si>
    <t>018500 10 INT-CRS-RCVB PIC S9(07)V99 COMP-3.</t>
  </si>
  <si>
    <t>018600 10 DTE-INT-PD-THRU-TO-FMHA PIC 9(06).</t>
  </si>
  <si>
    <t>018700 10 LST-PRIN-PYMT-DTE PIC 9(06).</t>
  </si>
  <si>
    <t>018800 10 INT-ACCRD-TO-LST-PRIN-DTE PIC S9(08)V99 COMP-3.</t>
  </si>
  <si>
    <t>018900 10 DFRD-INT-CRS PIC S9(08)V99 COMP-3.</t>
  </si>
  <si>
    <t>019000 10 DFRD-PRIN PIC S9(08)V99 COMP-3.</t>
  </si>
  <si>
    <t>019100 10 DFRD-PRIN-CRS PIC S9(08)V99 COMP-3.</t>
  </si>
  <si>
    <t>019200 10 DFRD-INT PIC S9(08)V99 COMP-3.</t>
  </si>
  <si>
    <t>019300 10 DTE-DFRL-EFCTV PIC 9(6).</t>
  </si>
  <si>
    <t>019400 10 DTE-DFRL-CNCLTN PIC 9(6).</t>
  </si>
  <si>
    <t>019500 10 DFRD-INT-INCM PIC S9(08)V99 COMP-3.</t>
  </si>
  <si>
    <t>019600 10 DFRD-PRIN-CDE PIC X(01).</t>
  </si>
  <si>
    <t>019700 10 ACCRD-LOST-INCM PIC S9(08)V99 COMP-3.</t>
  </si>
  <si>
    <t>019800 10 DTE-DFRD-PRIN-LST-PD PIC 9(06).</t>
  </si>
  <si>
    <t>019900 10 DFRD-INT-RATE PIC S99V9999 COMP-3.</t>
  </si>
  <si>
    <t>020000 10 DTE-DMND PIC 9(06).</t>
  </si>
  <si>
    <t>020100 10 SRVC-FEE-AMT PIC S9(08)V99 COMP-3.</t>
  </si>
  <si>
    <t>020200 10 SRVC-FEE-PD PIC S9(08)V99 COMP-3.</t>
  </si>
  <si>
    <t>020300 10 DTE-PREV-INT-PYMT PIC 9(06).</t>
  </si>
  <si>
    <t>020400 10 DTE-PREV-PRIN-PYMT PIC 9(06).</t>
  </si>
  <si>
    <t>020500 10 DTE-DFRD-INT PIC 9(06).</t>
  </si>
  <si>
    <t>020600 10 UNEARND-SBSY PIC S9(06)V99 COMP-3.</t>
  </si>
  <si>
    <t>020700 10 DTE-DMND-FMHA PIC 9(06).</t>
  </si>
  <si>
    <t>020800 10 INT-ACCRL-TRMNTN-CDE PIC X(01).</t>
  </si>
  <si>
    <t>020900 10 FILLER PIC X(0584).</t>
  </si>
  <si>
    <t>021000 05 BORR-RCRD-TYP-4 REDEFINES BORR-RCRD-TYP-1.</t>
  </si>
  <si>
    <t>021100 10 BORR-RCRD-TYP-4A.</t>
  </si>
  <si>
    <t>021200 15 FILLER PIC X(0036).</t>
  </si>
  <si>
    <t>021300 15 RUN-NBR-CTRL PIC 9(02).</t>
  </si>
  <si>
    <t>021400 15 DTE-UPDTE PIC 9(06).</t>
  </si>
  <si>
    <t>021500 15 DTE-PREV-UPDTE PIC 9(06).</t>
  </si>
  <si>
    <t>021600 15 FILE-PROC-FLAG PIC X(01).</t>
  </si>
  <si>
    <t>021700 10 BORR-RCRD-TYP-4B REDEFINES BORR-RCRD-TYP-4A.</t>
  </si>
  <si>
    <t>021800 15 FILLER PIC X(0051).</t>
  </si>
  <si>
    <t>021900 10 GUARNTD-LN-CNT-CUM PIC S9(06) COMP-3.</t>
  </si>
  <si>
    <t>022000 10 LN-AMT-CUM PIC S9(12)V99 COMP-3.</t>
  </si>
  <si>
    <t>022100 10 PRIN-CR-CUM PIC S9(12)V99 COMP-3.</t>
  </si>
  <si>
    <t>022200 10 ACCRD-INT-CUM PIC S9(12)V99 COMP-3.</t>
  </si>
  <si>
    <t>022300 10 GUAR-FEE-CHGD-CUM PIC S9(10)V99 COMP-3.</t>
  </si>
  <si>
    <t>022400 10 GUAR-FEE-PD-CUM PIC S9(10)V99 COMP-3.</t>
  </si>
  <si>
    <t>022500 10 GUARNTD-LN-SBSY-CUM PIC S9(10)V99 COMP-3.</t>
  </si>
  <si>
    <t>022600 10 ADVNCS-BY-FMHA-CUM PIC S9(08)V99 COMP-3.</t>
  </si>
  <si>
    <t>022700 10 LOSS-PYMT-AMT-CUM PIC S9(12)V99 COMP-3.</t>
  </si>
  <si>
    <t>022800 10 RECPTR-RCVD-CUM PIC S9(10)V99 COMP-3.</t>
  </si>
  <si>
    <t>022900 10 PRIN-RCVB-CUM PIC S9(10)V99 COMP-3.</t>
  </si>
  <si>
    <t>023000 10 INT-RCVB-CUM PIC S9(10)V99 COMP-3.</t>
  </si>
  <si>
    <t>023100 10 INT-ASSTNC-PD-CUM PIC S9(10)V99 COMP-3.</t>
  </si>
  <si>
    <t>023200 10 INT-ASSTNC-FEE-PD-CUM PIC S9(10)V99 COMP-3.</t>
  </si>
  <si>
    <t>023300 10 FILLER PIC X(0730).</t>
  </si>
  <si>
    <t>000050 01 FARMS-GLLNDR.</t>
  </si>
  <si>
    <t>000100 05 LNDR-KEY.</t>
  </si>
  <si>
    <t>000200 10 ID-NBR-LNDR PIC 9(10).</t>
  </si>
  <si>
    <t>000300 10 BRNH-NBR PIC 99.</t>
  </si>
  <si>
    <t>000400 10 RCRD-TYP PIC 9(2).</t>
  </si>
  <si>
    <t>000500 05 LNDR-RCRD-TYP-1.</t>
  </si>
  <si>
    <t>000600 10 NME-LNDR-1 PIC X(22).</t>
  </si>
  <si>
    <t>000700 10 NME-ADRS-LNDR-2 PIC X(22).</t>
  </si>
  <si>
    <t>000800 10 NME-ADRS-LNDR-3 PIC X(22).</t>
  </si>
  <si>
    <t>000900 10 NME-ADRS-LNDR-4 PIC X(22).</t>
  </si>
  <si>
    <t>001000 10 NME-ADRS-LNDR-5 PIC X(22).</t>
  </si>
  <si>
    <t>001200 10 LNDR-TYP PIC XX.</t>
  </si>
  <si>
    <t>001300 10 SRVCG-OFC-CDE-CTY PIC 9(5).</t>
  </si>
  <si>
    <t>001400 10 GUARNTD-LN-SUSP-CDE PIC 9(01).</t>
  </si>
  <si>
    <t>001500 10 LNDR-STAT-CDE PIC 9(01).</t>
  </si>
  <si>
    <t>001600 10 OL-LNS-CNT-TTL PIC S9(04) COMP-3.</t>
  </si>
  <si>
    <t>001700 10 FO-LNS-CNT-TTL PIC S9(04) COMP-3.</t>
  </si>
  <si>
    <t>001800 10 EM-LNS-CNT-TTL PIC S9(04) COMP-3.</t>
  </si>
  <si>
    <t>001900 10 RH-LNS-CNT-TTL PIC S9(04) COMP-3.</t>
  </si>
  <si>
    <t>002000 10 EL-LNS-CNT-TTL PIC S9(04) COMP-3.</t>
  </si>
  <si>
    <t>002100 10 EE-LNS-CNT-TTL PIC S9(04) COMP-3.</t>
  </si>
  <si>
    <t>002200 10 BI-LNS-CNT-TTL PIC S9(04) COMP-3.</t>
  </si>
  <si>
    <t>002300 10 CF-LNS-CNT-TTL PIC S9(04) COMP-3.</t>
  </si>
  <si>
    <t>002400 10 WW-LNS-CNT-TTL PIC S9(04) COMP-3.</t>
  </si>
  <si>
    <t>002500 10 OL-LNS-AMT-TTL PIC S9(10)V99 COMP-3.</t>
  </si>
  <si>
    <t>002600 10 FO-LNS-AMT-TTL PIC S9(10)V99 COMP-3.</t>
  </si>
  <si>
    <t>002700 10 EM-LNS-AMT-TTL PIC S9(10)V99 COMP-3.</t>
  </si>
  <si>
    <t>002800 10 RH-LNS-AMT-TTL PIC S9(10)V99 COMP-3.</t>
  </si>
  <si>
    <t>002900 10 EL-LNS-AMT-TTL PIC S9(10)V99 COMP-3.</t>
  </si>
  <si>
    <t>003000 10 EE-LNS-AMT-TTL PIC S9(10)V99 COMP-3.</t>
  </si>
  <si>
    <t>003100 10 BI-LNS-AMT-TTL PIC S9(10)V99 COMP-3.</t>
  </si>
  <si>
    <t>003200 10 CF-LNS-AMT-TTL PIC S9(10)V99 COMP-3.</t>
  </si>
  <si>
    <t>003300 10 WW-LNS-AMT-TTL PIC S9(10)V99 COMP-3.</t>
  </si>
  <si>
    <t>003400 10 OL-LNS-OUTSTG-BAL PIC S9(10)V99 COMP-3.</t>
  </si>
  <si>
    <t>003500 10 FO-LNS-OUTSTG-BAL PIC S9(10)V99 COMP-3.</t>
  </si>
  <si>
    <t>003600 10 EM-LNS-OUTSTG-BAL PIC S9(10)V99 COMP-3.</t>
  </si>
  <si>
    <t>003700 10 RH-LNS-OUTSTG-BAL PIC S9(10)V99 COMP-3.</t>
  </si>
  <si>
    <t>003800 10 EL-LNS-OUTSTG-BAL PIC S9(10)V99 COMP-3.</t>
  </si>
  <si>
    <t>003900 10 EE-LNS-OUTSTG-BAL PIC S9(10)V99 COMP-3.</t>
  </si>
  <si>
    <t>004000 10 BI-LNS-OUTSTG-BAL PIC S9(10)V99 COMP-3.</t>
  </si>
  <si>
    <t>004100 10 CF-LNS-OUTSTG-BAL PIC S9(10)V99 COMP-3.</t>
  </si>
  <si>
    <t>004200 10 WW-LNS-OUTSTG-BAL PIC S9(10)V99 COMP-3.</t>
  </si>
  <si>
    <t>004300 10 OL-LNS-GUAR-TRMTD-CNT PIC S9(04) COMP-3.</t>
  </si>
  <si>
    <t>004400 10 FO-LNS-GUAR-TRMTD-CNT PIC S9(04) COMP-3.</t>
  </si>
  <si>
    <t>004500 10 EM-LNS-GUAR-TRMTD-CNT PIC S9(04) COMP-3.</t>
  </si>
  <si>
    <t>004600 10 RH-LNS-GUAR-TRMTD-CNT PIC S9(04) COMP-3.</t>
  </si>
  <si>
    <t>004700 10 EL-LNS-GUAR-TRMTD-CNT PIC S9(04) COMP-3.</t>
  </si>
  <si>
    <t>004800 10 EE-LNS-GUAR-TRMTD-CNT PIC S9(04) COMP-3.</t>
  </si>
  <si>
    <t>004900 10 BI-LNS-GUAR-TRMTD-CNT PIC S9(04) COMP-3.</t>
  </si>
  <si>
    <t>005000 10 CF-LNS-GUAR-TRMTD-CNT PIC S9(04) COMP-3.</t>
  </si>
  <si>
    <t>005100 10 WW-LNS-GUAR-TRMTD-CNT PIC S9(04) COMP-3.</t>
  </si>
  <si>
    <t>005200 10 OL-LNS-GUAR-TRMTD-AMT PIC S9(10)V99 COMP-3.</t>
  </si>
  <si>
    <t>005300 10 FO-LNS-GUAR-TRMTD-AMT PIC S9(10)V99 COMP-3.</t>
  </si>
  <si>
    <t>005400 10 EM-LNS-GUAR-TRMTD-AMT PIC S9(10)V99 COMP-3.</t>
  </si>
  <si>
    <t>005500 10 RH-LNS-GUAR-TRMTD-AMT PIC S9(10)V99 COMP-3.</t>
  </si>
  <si>
    <t>005600 10 EL-LNS-GUAR-TRMTD-AMT PIC S9(10)V99 COMP-3.</t>
  </si>
  <si>
    <t>005700 10 EE-LNS-GUAR-TRMTD-AMT PIC S9(10)V99 COMP-3.</t>
  </si>
  <si>
    <t>005800 10 BI-LNS-GUAR-TRMTD-AMT PIC S9(10)V99 COMP-3.</t>
  </si>
  <si>
    <t>005900 10 CF-LNS-GUAR-TRMTD-AMT PIC S9(10)V99 COMP-3.</t>
  </si>
  <si>
    <t>006000 10 WW-LNS-GUAR-TRMTD-AMT PIC S9(10)V99 COMP-3.</t>
  </si>
  <si>
    <t>006100 10 OL-LNS-DELQ-CNT PIC S9(04) COMP-3.</t>
  </si>
  <si>
    <t>006200 10 FO-LNS-DELQ-CNT PIC S9(04) COMP-3.</t>
  </si>
  <si>
    <t>006300 10 EM-LNS-DELQ-CNT PIC S9(04) COMP-3.</t>
  </si>
  <si>
    <t>006400 10 RH-LNS-DELQ-CNT PIC S9(04) COMP-3.</t>
  </si>
  <si>
    <t>006500 10 EL-LNS-DELQ-CNT PIC S9(04) COMP-3.</t>
  </si>
  <si>
    <t>006600 10 EE-LNS-DELQ-CNT PIC S9(04) COMP-3.</t>
  </si>
  <si>
    <t>006700 10 BI-LNS-DELQ-CNT PIC S9(04) COMP-3.</t>
  </si>
  <si>
    <t>006800 10 CF-LNS-DELQ-CNT PIC S9(04) COMP-3.</t>
  </si>
  <si>
    <t>006900 10 WW-LNS-DELQ-CNT PIC S9(04) COMP-3.</t>
  </si>
  <si>
    <t>007000 10 OL-LNS-DELQ-AMT PIC S9(10)V99 COMP-3.</t>
  </si>
  <si>
    <t>007100 10 FO-LNS-DELQ-AMT PIC S9(10)V99 COMP-3.</t>
  </si>
  <si>
    <t>007200 10 EM-LNS-DELQ-AMT PIC S9(10)V99 COMP-3.</t>
  </si>
  <si>
    <t>007300 10 RH-LNS-DELQ-AMT PIC S9(10)V99 COMP-3.</t>
  </si>
  <si>
    <t>007400 10 EL-LNS-DELQ-AMT PIC S9(10)V99 COMP-3.</t>
  </si>
  <si>
    <t>007500 10 EE-LNS-DELQ-AMT PIC S9(10)V99 COMP-3.</t>
  </si>
  <si>
    <t>007600 10 BI-LNS-DELQ-AMT PIC S9(10)V99 COMP-3.</t>
  </si>
  <si>
    <t>007700 10 CF-LNS-DELQ-AMT PIC S9(10)V99 COMP-3.</t>
  </si>
  <si>
    <t>007800 10 WW-LNS-DELQ-AMT PIC S9(10)V99 COMP-3.</t>
  </si>
  <si>
    <t>007900 10 OL-LNS-DELQ-OUTSTG-BAL PIC S9(10)V99 COMP-3.</t>
  </si>
  <si>
    <t>008000 10 FO-LNS-DELQ-OUTSTG-BAL PIC S9(10)V99 COMP-3.</t>
  </si>
  <si>
    <t>008100 10 EM-LNS-DELQ-OUTSTG-BAL PIC S9(10)V99 COMP-3.</t>
  </si>
  <si>
    <t>008200 10 RH-LNS-DELQ-OUTSTG-BAL PIC S9(10)V99 COMP-3.</t>
  </si>
  <si>
    <t>008300 10 EL-LNS-DELQ-OUTSTG-BAL PIC S9(10)V99 COMP-3.</t>
  </si>
  <si>
    <t>008400 10 EE-LNS-DELQ-OUTSTG-BAL PIC S9(10)V99 COMP-3.</t>
  </si>
  <si>
    <t>008500 10 BI-LNS-DELQ-OUTSTG-BAL PIC S9(10)V99 COMP-3.</t>
  </si>
  <si>
    <t>008600 10 CF-LNS-DELQ-OUTSTG-BAL PIC S9(10)V99 COMP-3.</t>
  </si>
  <si>
    <t>008700 10 WW-LNS-DELQ-OUTSTG-BAL PIC S9(10)V99 COMP-3.</t>
  </si>
  <si>
    <t>008800 10 OL-LNS-LOSS-PD-CNT PIC S9(04) COMP-3.</t>
  </si>
  <si>
    <t>008900 10 FO-LNS-LOSS-PD-CNT PIC S9(04) COMP-3.</t>
  </si>
  <si>
    <t>009000 10 EM-LNS-LOSS-PD-CNT PIC S9(04) COMP-3.</t>
  </si>
  <si>
    <t>009100 10 RH-LNS-LOSS-PD-CNT PIC S9(04) COMP-3.</t>
  </si>
  <si>
    <t>009200 10 EL-LNS-LOSS-PD-CNT PIC S9(04) COMP-3.</t>
  </si>
  <si>
    <t>009300 10 EE-LNS-LOSS-PD-CNT PIC S9(04) COMP-3.</t>
  </si>
  <si>
    <t>009400 10 BI-LNS-LOSS-PD-CNT PIC S9(04) COMP-3.</t>
  </si>
  <si>
    <t>009500 10 CF-LNS-LOSS-PD-CNT PIC S9(04) COMP-3.</t>
  </si>
  <si>
    <t>009600 10 WW-LNS-LOSS-PD-CNT PIC S9(04) COMP-3.</t>
  </si>
  <si>
    <t>009700 10 OL-LNS-LOSS-PD-AMT PIC S9(10)V99 COMP-3.</t>
  </si>
  <si>
    <t>009800 10 FO-LNS-LOSS-PD-AMT PIC S9(10)V99 COMP-3.</t>
  </si>
  <si>
    <t>009900 10 EM-LNS-LOSS-PD-AMT PIC S9(10)V99 COMP-3.</t>
  </si>
  <si>
    <t>010000 10 RH-LNS-LOSS-PD-AMT PIC S9(10)V99 COMP-3.</t>
  </si>
  <si>
    <t>010100 10 EL-LNS-LOSS-PD-AMT PIC S9(10)V99 COMP-3.</t>
  </si>
  <si>
    <t>010200 10 EE-LNS-LOSS-PD-AMT PIC S9(10)V99 COMP-3.</t>
  </si>
  <si>
    <t>010300 10 BI-LNS-LOSS-PD-AMT PIC S9(10)V99 COMP-3.</t>
  </si>
  <si>
    <t>010400 10 CF-LNS-LOSS-PD-AMT PIC S9(10)V99 COMP-3.</t>
  </si>
  <si>
    <t>010500 10 WW-LNS-LOSS-PD-AMT PIC S9(10)V99 COMP-3.</t>
  </si>
  <si>
    <t>010600 10 DTE-LST-RGSTR-DTL PIC 9(06).</t>
  </si>
  <si>
    <t>010700 10 DTE-CERTFTN-EFCTV PIC 9(06).</t>
  </si>
  <si>
    <t>010800 10 DTE-CERTFTN-EXPRTN PIC 9(06).</t>
  </si>
  <si>
    <t>010900 10 CERTFTN-CNT PIC 9(01).</t>
  </si>
  <si>
    <t>011000 10 DTE-REVCTN PIC 9(06).</t>
  </si>
  <si>
    <t>011100 10 REVCTN-CDE PIC X(02).</t>
  </si>
  <si>
    <t>011200 10 REVCTN-CNT PIC 9(01).</t>
  </si>
  <si>
    <t>011300 10 NOTC-CERTFD-LNDR-PROG-CDE PIC X(01).</t>
  </si>
  <si>
    <t>011400 10 FILLER PIC X(0147).</t>
  </si>
  <si>
    <t>011500 05 LNDR-RCRD-TYP-2 REDEFINES LNDR-RCRD-TYP-1.</t>
  </si>
  <si>
    <t>011600 10 LNDR-RCRD-CNT PIC S9(06) COMP-3.</t>
  </si>
  <si>
    <t>011700 10 RUN-NBR-CTRL PIC 9(02).</t>
  </si>
  <si>
    <t>011800 10 DTE-UPDTE PIC 9(06).</t>
  </si>
  <si>
    <t>011900 10 DTE-PREV-UPDTE PIC 9(06).</t>
  </si>
  <si>
    <t>012000 10 FILE-PROC-FLAG PIC X(01).</t>
  </si>
  <si>
    <t>012100 10 FILLER PIC X(0767).</t>
  </si>
  <si>
    <t>000050 01 FARMS-IMCASE.</t>
  </si>
  <si>
    <t>000300 10 ST-CDE-OBLR PIC 9(2).</t>
  </si>
  <si>
    <t>000400 10 CTY-CDE-OBLR PIC 9(3).</t>
  </si>
  <si>
    <t>000500 10 ID-NBR-OBLR PIC 9(10).</t>
  </si>
  <si>
    <t>000600 05 FILLER PIC X(15) VALUE SPACE.</t>
  </si>
  <si>
    <t>000050 01 FARMS-INITMAN.</t>
  </si>
  <si>
    <t>000100 05 JURDCTN-CDE.</t>
  </si>
  <si>
    <t>000200 10 JURDCTN-ST-CDE PIC X(2).</t>
  </si>
  <si>
    <t>000300 10 JURDCTN-UNIT-CDE PIC X(2).</t>
  </si>
  <si>
    <t>000400 05 CMMTS PIC X(78).</t>
  </si>
  <si>
    <t>000500 05 BUS-FUNCTN-GRP.</t>
  </si>
  <si>
    <t>000600 10 MENU-SLCTN-2-MFH PIC 9(2).</t>
  </si>
  <si>
    <t>000700 10 SUBMENU-OPTN PIC 9(02).</t>
  </si>
  <si>
    <t>000800 05 DTE-TRNSCTN-EFCTV.</t>
  </si>
  <si>
    <t>000900 10 EFCTV-DTE-CTRY PIC 9(02).</t>
  </si>
  <si>
    <t>001000 10 YR PIC 9(2).</t>
  </si>
  <si>
    <t>001100 10 EFCTV-DTE-MO PIC 9(2).</t>
  </si>
  <si>
    <t>001200 10 EFCTV-DTE-DAY PIC 9(2).</t>
  </si>
  <si>
    <t>001300 05 LN-NBR PIC 9(2).</t>
  </si>
  <si>
    <t>001400 05 TRNSCTN-CNTRL-AMT-MFH PIC S9(9)V99 COMP-3.</t>
  </si>
  <si>
    <t>001500 05 DTE-MANUSCRIPT-ORIG.</t>
  </si>
  <si>
    <t>001600 10 DTE-VIEWD-CTRY PIC 9(02).</t>
  </si>
  <si>
    <t>001700 10 DTE-VIEWD-YR PIC 9(2).</t>
  </si>
  <si>
    <t>001800 10 DTE-VIEWD-MO PIC 9(2).</t>
  </si>
  <si>
    <t>001900 10 DTE-VIEWD-DAY PIC 9(2).</t>
  </si>
  <si>
    <t>002000 05 DTE-MANUSCRIPT-PR.</t>
  </si>
  <si>
    <t>002100 10 DTE-LST-REVW-CTRY PIC 9(02).</t>
  </si>
  <si>
    <t>002200 10 DTE-LST-REVW-YR PIC 9(02).</t>
  </si>
  <si>
    <t>002300 10 DTE-LST-REVW-MO PIC 9(02).</t>
  </si>
  <si>
    <t>002400 10 DTE-LST-REVW-DAY PIC 9(02).</t>
  </si>
  <si>
    <t>002500 05 USER-ID.</t>
  </si>
  <si>
    <t>002600 10 AUTHY-CDE-TRML-OPRTR PIC X(1).</t>
  </si>
  <si>
    <t>002700 10 PRFCY-LVL-TRML-OPRTR PIC X.</t>
  </si>
  <si>
    <t>002800 88 NO-UP-AUTHTY-CDE VALUE '0'.</t>
  </si>
  <si>
    <t>002900 88 UP-AUTHTY-CDE VALUE '1'.</t>
  </si>
  <si>
    <t>003000 10 FILLER PIC X(1).</t>
  </si>
  <si>
    <t>003100 10 ID-TRML-OPRTR PIC X(03).</t>
  </si>
  <si>
    <t>003200 05 USER-ID-PR.</t>
  </si>
  <si>
    <t>003300 10 AUTHY-CDE-PR PIC X(01).</t>
  </si>
  <si>
    <t>003400 10 ID-PR PIC X(05).</t>
  </si>
  <si>
    <t>003500 05 TRNSCTN-AVLBL-INDCTR-MFH PIC X(1).</t>
  </si>
  <si>
    <t>003600 05 NBR-OF-OCCURS PIC S9(4) COMP.</t>
  </si>
  <si>
    <t>003700 05 FILLER PIC X(0031).</t>
  </si>
  <si>
    <t>003800 05 TRNSCTN-ELMT-GRP.</t>
  </si>
  <si>
    <t>003900 10 TRNSCTN-ELMT-FLD OCCURS 1800</t>
  </si>
  <si>
    <t>003950 DEPENDING ON NBR-OF-OCCURS PIC X(1).</t>
  </si>
  <si>
    <t>000050 01 FARMS-INSRNC-AUTHY.</t>
  </si>
  <si>
    <t>000700 05 ALTMT PIC S9(10)V99 COMP-3.</t>
  </si>
  <si>
    <t>000800 05 OBLGNS-AMT-CUM PIC S9(10)V99 COMP-3.</t>
  </si>
  <si>
    <t>000900 05 OBLGNS-CNT-CUM PIC S9(6) COMP-3.</t>
  </si>
  <si>
    <t>001000 05 VOU-AMT PIC S9(10)V99 COMP-3.</t>
  </si>
  <si>
    <t>001100 05 ALTMT-1ST-ACCTG-PRD PIC S9(10)V99 COMP-3.</t>
  </si>
  <si>
    <t>001200 05 ALTMT-2ND-ACCTG-PRD PIC S9(10)V99 COMP-3.</t>
  </si>
  <si>
    <t>001300 05 ALTMT-3RD-ACCTG-PRD PIC S9(10)V99 COMP-3.</t>
  </si>
  <si>
    <t>001400 05 ALTMT-4TH-ACCTG-PRD PIC S9(10)V99 COMP-3.</t>
  </si>
  <si>
    <t>001500 05 FILLER PIC X.</t>
  </si>
  <si>
    <t>000050 01 FARMS-INSTALLMENT.</t>
  </si>
  <si>
    <t>000100 05 INSTLMT-OC-DATA OCCURS 5.</t>
  </si>
  <si>
    <t>000200 10 DTE-INSTLMT-DUE PIC 9(6).</t>
  </si>
  <si>
    <t>000300 10 INSTLMT-DUE-AMT PIC S9(06)V99 COMP-3.</t>
  </si>
  <si>
    <t>000400 10 INSTLMT-TYP-CDE PIC 9(1).</t>
  </si>
  <si>
    <t>000500 10 MTURD-CDE-DIR-RE PIC 9(1).</t>
  </si>
  <si>
    <t>000050 01 FARMS-INSURANCE.</t>
  </si>
  <si>
    <t>000100 05 CHG-TYP-CDE PIC 9(1).</t>
  </si>
  <si>
    <t>000200 05 INSRNC-CHGS-CUM-AMT PIC S9(5)V99 COMP-3.</t>
  </si>
  <si>
    <t>000300 05 PRIN-CR-INSRNC-CHG-CUM PIC S9(5)V99 COMP-3.</t>
  </si>
  <si>
    <t>000400 05 INSRNC-CHG-MTURD-CUR-YR PIC S9(5)V99 COMP-3.</t>
  </si>
  <si>
    <t>000500 05 FILLER PIC XXX.</t>
  </si>
  <si>
    <t>000050 01 FARMS-INT-ASSTNC.</t>
  </si>
  <si>
    <t>000100 05 TAX-1ST-YR-CDE PIC 9(1).</t>
  </si>
  <si>
    <t>000200 05 INSRNC-PROP PIC S9(04) COMP-3.</t>
  </si>
  <si>
    <t>000300 05 TXS-ON-PROP-1ST-YR-INT-ASSTNC PIC S9(04) COMP-3.</t>
  </si>
  <si>
    <t>000400 05 TXS-ON-PROP-2ND-YR-INT-ASSTNC PIC S9(04) COMP-3.</t>
  </si>
  <si>
    <t>000500 05 INT-ASSTNC-DIFF-1ST-YR PIC S9(06) COMP-3.</t>
  </si>
  <si>
    <t>000600 05 INT-ASSTNC-DIFF-2ND-YR PIC S9(06) COMP-3.</t>
  </si>
  <si>
    <t>000050 01 FARMS-INT-BDWN.</t>
  </si>
  <si>
    <t>000100 05 COMPTN-AMT-BDWN PIC S9(8)V99 COMP-3.</t>
  </si>
  <si>
    <t>000200 05 INT-RATE-BDWN PIC 9(2)V9(4).</t>
  </si>
  <si>
    <t>000300 05 TERM-OF-BDWN PIC 9(02).</t>
  </si>
  <si>
    <t>000400 05 OBLGN-AMT-BDWN PIC S9(8)V99 COMP-3.</t>
  </si>
  <si>
    <t>000500 05 OBLGN-DTE-BDWN PIC 9(6).</t>
  </si>
  <si>
    <t>000600 05 SUSP-CDE-BDWN PIC 9(1).</t>
  </si>
  <si>
    <t>000700 05 MAX-SBSY-DUE-BDWN PIC S9(8)V99 COMP-3.</t>
  </si>
  <si>
    <t>000800 05 DTE-APPRVL-BDWN PIC 9(6).</t>
  </si>
  <si>
    <t>000900 05 BORR-RATE-BDWN PIC 99V9999.</t>
  </si>
  <si>
    <t>001000 05 FY-OBLGN-OCCURD-BDWN PIC 9(02).</t>
  </si>
  <si>
    <t>001100 05 CUR-YR-INT-ASSTNC PIC S9(06)V99 COMP-3.</t>
  </si>
  <si>
    <t>001200 05 INT-ASSTNC-MAX-AMT PIC S9(06)V99 COMP-3.</t>
  </si>
  <si>
    <t>001300 05 PURP-CDE-BDWN PIC 9(02).</t>
  </si>
  <si>
    <t>001400 05 SBMSN-CDE-BDWN PIC 9(01).</t>
  </si>
  <si>
    <t>001500 05 SRC-FDS-CDE PIC 9(1).</t>
  </si>
  <si>
    <t>001600 05 FILLER PIC X(0019).</t>
  </si>
  <si>
    <t>000050 01 FARMS-INVSTR-DTL.</t>
  </si>
  <si>
    <t>000100 05 INT-RATE-INVSTR PIC 9(2)V9(4).</t>
  </si>
  <si>
    <t>000200 05 INT-RATE-CDE PIC 9(2).</t>
  </si>
  <si>
    <t>000300 05 FD-CDE-INVSTMT.</t>
  </si>
  <si>
    <t>000400 10 FD-CDE-3-INVSTMT.</t>
  </si>
  <si>
    <t>000500 15 FD-CDE-2-INVSTMT PIC 9(2).</t>
  </si>
  <si>
    <t>000600 15 FD-CDE-3RD-INVSTMT PIC 9(1).</t>
  </si>
  <si>
    <t>000700 10 FD-CDE-4TH-INVSTMT PIC 9(1).</t>
  </si>
  <si>
    <t>000800 05 PRIN-CR-LN-CUM-INVSTR PIC S9(07)V99 COMP-3.</t>
  </si>
  <si>
    <t>000900 05 INT-CR-LN-CUM-INVSTR PIC S9(07)V99 COMP-3.</t>
  </si>
  <si>
    <t>001000 05 INT-FCL-LN-INVSTR PIC S9(7)V99 COMP-3.</t>
  </si>
  <si>
    <t>001100 05 ANL-CHG-RTND PIC S9(07)V99 COMP-3.</t>
  </si>
  <si>
    <t>001200 05 INT-PREM-CUM-AMT PIC S9(07)V99 COMP-3.</t>
  </si>
  <si>
    <t>001300 05 ANL-PYMT-DUE-INVSTR PIC S9(07)V99 COMP-3.</t>
  </si>
  <si>
    <t>001400 05 INT-UNPD-LN-SALE PIC S9(07)V99 COMP-3.</t>
  </si>
  <si>
    <t>001500 05 FULLY-PD-CDE-INVSTMT PIC 9(1).</t>
  </si>
  <si>
    <t>001600 05 DTE-SALE-INVSTR PIC 9(06).</t>
  </si>
  <si>
    <t>001700 05 DTE-INVSTR-LST-PD-INVSTMT PIC 9(06).</t>
  </si>
  <si>
    <t>001800 05 FULLY-PD-CDE-SLD-LN PIC 9(1).</t>
  </si>
  <si>
    <t>001900 05 FIXD-PRD-CDE PIC X(1).</t>
  </si>
  <si>
    <t>002000 05 DTE-CUR-PRD-AGRMT-EX PIC 9(06).</t>
  </si>
  <si>
    <t>002100 05 FIXD-PRD-CUR-LGTH PIC 9(4).</t>
  </si>
  <si>
    <t>002200 05 YR-INIT-FIXD-PRD-EXPRTN PIC 9(4).</t>
  </si>
  <si>
    <t>002300 05 DTE-NEXT-ANL-PYMT-INVSTR PIC 9(06).</t>
  </si>
  <si>
    <t>002400 05 INT-ASSTNC-LIAB PIC S9(05) COMP-3.</t>
  </si>
  <si>
    <t>002500 05 SUSP-CDE-INVSTMT PIC 9(1).</t>
  </si>
  <si>
    <t>002600 05 DTE-LST-RGSTR-DTL-INVSTR PIC 9(06).</t>
  </si>
  <si>
    <t>002700 05 RGSTR-TYP-LST-CHNG-INVSTR PIC 9(2).</t>
  </si>
  <si>
    <t>002800 05 LN-AMT-INVSTR PIC S9(7)V99 COMP-3.</t>
  </si>
  <si>
    <t>002900 05 INSTLMT-DUE-INVSTR PIC S9(6)V99 COMP-3.</t>
  </si>
  <si>
    <t>000050 01 FARMS-INVSTR-INFO.</t>
  </si>
  <si>
    <t>000100 05 ID-NBR-INVSTR PIC 9(5).</t>
  </si>
  <si>
    <t>000200 05 ST-CDE-INVSTR PIC 9(2).</t>
  </si>
  <si>
    <t>000300 05 MULTI-ACCT-INVSTR PIC 9(3).</t>
  </si>
  <si>
    <t>000400 05 NME-INVSTR-1 PIC X(22).</t>
  </si>
  <si>
    <t>000500 05 NME-ADRS-INVSTR-2 PIC X(22).</t>
  </si>
  <si>
    <t>000600 05 NME-ADRS-INVSTR-3 PIC X(22).</t>
  </si>
  <si>
    <t>000700 05 NME-ADRS-INVSTR-4 PIC X(22).</t>
  </si>
  <si>
    <t>000800 05 NME-ADRS-INVSTR-5 PIC X(22).</t>
  </si>
  <si>
    <t>000900 05 NME-ADRS-INVSTR-6 PIC X(15).</t>
  </si>
  <si>
    <t>001000 05 ZIP-CDE-INVSTR PIC 9(5).</t>
  </si>
  <si>
    <t>001100 05 PRIN-UNPD-BLK-SALE-INVSTR PIC S9(09)V99 COMP-3.</t>
  </si>
  <si>
    <t>001200 05 INT-PYMT-DUE-BLK-SALE PIC S9(09)V99 COMP-3.</t>
  </si>
  <si>
    <t>001300 05 PRIN-REDCTN-INVSTR PIC S9(07)V99 COMP-3.</t>
  </si>
  <si>
    <t>001400 05 PRIN-REMTNC-INVSTR PIC S9(4)V99 COMP-3.</t>
  </si>
  <si>
    <t>001500 05 CNTRC-NBR-BLK-SALE PIC 9(4).</t>
  </si>
  <si>
    <t>001600 05 SERIES-NBR PIC X(1).</t>
  </si>
  <si>
    <t>001700 05 INT-RATE-INVSTR-BLK-SALE PIC 9(2)V9(4).</t>
  </si>
  <si>
    <t>001800 05 DTE-INVSTR-LST-PD PIC 9(06).</t>
  </si>
  <si>
    <t>001900 05 INVSTR-TTL-LNS-CNT PIC S9(5) COMP-3.</t>
  </si>
  <si>
    <t>002000 05 EXCH-CDE-INVSTMT PIC 9(1).</t>
  </si>
  <si>
    <t>002100 05 NATL-LOC-CDE-INVSTR PIC 9(1).</t>
  </si>
  <si>
    <t>002200 05 INVSTR-TYP-CDE PIC 9(1).</t>
  </si>
  <si>
    <t>002300 05 SUSP-CDE-INVSTR-ACCT PIC 9(1).</t>
  </si>
  <si>
    <t>002400 05 FILLER PIC XXX.</t>
  </si>
  <si>
    <t>000050 01 FARMS-INVSTR-INFO-MISC.</t>
  </si>
  <si>
    <t>000100 05 TAX-ID-TYP-INVSTR PIC 9(1).</t>
  </si>
  <si>
    <t>000200 05 TAX-ID-NBR-INVSTR PIC 9(9).</t>
  </si>
  <si>
    <t>000300 05 FILLER PIC X(0014).</t>
  </si>
  <si>
    <t>000050 01 FARMS-JDGMT-3RD-PARTY.</t>
  </si>
  <si>
    <t>000100 05 NME-FLDS-3RD-PARTY-JDGMT-CNT PIC 9(1).</t>
  </si>
  <si>
    <t>000200 05 ADRS-FLDS-3RD-PARTY-JDGMT-CNT PIC 9(1).</t>
  </si>
  <si>
    <t>000300 05 NME-3RD-PARTY-JDGMT PIC X(19).</t>
  </si>
  <si>
    <t>000400 05 NME-ADRS-3RD-PARTY-JDGMT-1 PIC X(19).</t>
  </si>
  <si>
    <t>000500 05 NME-ADRS-3RD-PARTY-JDGMT-2 PIC X(19).</t>
  </si>
  <si>
    <t>000600 05 NME-ADRS-3RD-PARTY-JDGMT-3 PIC X(19).</t>
  </si>
  <si>
    <t>000700 05 NME-ADRS-3RD-PARTY-JDGMT-4 PIC X(19).</t>
  </si>
  <si>
    <t>000800 05 ZIP-CDE-3RD-PARTY-JDGMT PIC 9(5).</t>
  </si>
  <si>
    <t>000900 05 FILLER PIC XX.</t>
  </si>
  <si>
    <t>000050 01 FARMS-JOB-RESTART.</t>
  </si>
  <si>
    <t>000100 05 PROG-ID PIC X(8).</t>
  </si>
  <si>
    <t>000200 05 PROG-START-DTE PIC 9(06).</t>
  </si>
  <si>
    <t>000300 05 PROG-START-TIME PIC 9(8).</t>
  </si>
  <si>
    <t>000400 05 FILLER PIC XX.</t>
  </si>
  <si>
    <t>000050 01 FARMS-JURDCTN.</t>
  </si>
  <si>
    <t>000400 05 JURDCTN-NEXT-KEY PIC S9(08) COMP.</t>
  </si>
  <si>
    <t>000050 01 FARMS-LESSEE.</t>
  </si>
  <si>
    <t>000100 05 CASE-NBR-LSEE.</t>
  </si>
  <si>
    <t>000200 10 ST-CDE-LSEE PIC 9(2).</t>
  </si>
  <si>
    <t>000300 10 CTY-CDE-LSEE PIC 9(3).</t>
  </si>
  <si>
    <t>000400 10 ID-LSEE PIC 9(10).</t>
  </si>
  <si>
    <t>000500 05 NME-FLDS-LSEE-CNT PIC 9(1).</t>
  </si>
  <si>
    <t>000600 05 ADRS-FLDS-LSEE-CNT PIC 9(1).</t>
  </si>
  <si>
    <t>000700 05 NME-LSEE PIC X(19).</t>
  </si>
  <si>
    <t>000800 05 NME-ADRS-LSEE-1 PIC X(19).</t>
  </si>
  <si>
    <t>000900 05 NME-ADRS-LSEE-2 PIC X(19).</t>
  </si>
  <si>
    <t>001000 05 NME-ADRS-LSEE-3 PIC X(19).</t>
  </si>
  <si>
    <t>001100 05 NME-ADRS-LSEE-4 PIC X(19).</t>
  </si>
  <si>
    <t>001200 05 ZIP-CDE-LSEE PIC 9(5).</t>
  </si>
  <si>
    <t>001300 05 LSEE-TYP-CDE PIC 9(02).</t>
  </si>
  <si>
    <t>001400 05 LSEE-RACE-CDE PIC 9(01).</t>
  </si>
  <si>
    <t>001500 05 FILLER PIC X(20).</t>
  </si>
  <si>
    <t>000050 01 FARMS-LN-AID.</t>
  </si>
  <si>
    <t>000100 05 DEBT-SET-ASIDE-LN-AMT PIC S9(6)V99 COMP-3.</t>
  </si>
  <si>
    <t>000200 05 DEBT-SET-ASIDE-LN-CNCLD PIC S9(6)V99 COMP-3.</t>
  </si>
  <si>
    <t>000300 05 DEBT-SET-ASIDE-LN-OFFSET PIC S9(6)V99 COMP-3.</t>
  </si>
  <si>
    <t>000400 05 DTE-DFRL-CNCLTN-LN PIC 9(6).</t>
  </si>
  <si>
    <t>000500 05 DTE-DFRL-EFCTV-LN PIC 9(6).</t>
  </si>
  <si>
    <t>000600 05 INT-CR-DFRD-LN PIC S9(6)V99 COMP-3.</t>
  </si>
  <si>
    <t>000700 05 DFRD-INT-INSTLMT PIC S9(6)V99 COMP-3.</t>
  </si>
  <si>
    <t>000800 05 DFRD-INT-LN-AMT PIC S9(6)V99 COMP-3.</t>
  </si>
  <si>
    <t>000900 05 DFRD-NON-CPTLZD-INT-AMT PIC S9(07)V99 COMP-3.</t>
  </si>
  <si>
    <t>001000 05 DFRD-NCPTLZD-INT-INSTLMT PIC S9(07)V99 COMP-3.</t>
  </si>
  <si>
    <t>001100 05 CR-DFRD-NON-CPTLZD-INT PIC S9(07)V99 COMP-3.</t>
  </si>
  <si>
    <t>001200 05 DFRD-PRIN-LN-AMT PIC S9(07)V99 COMP-3.</t>
  </si>
  <si>
    <t>001300 05 FILLER PIC X(0006).</t>
  </si>
  <si>
    <t>000050 01 FARMS-LN-NO-INT.</t>
  </si>
  <si>
    <t>000100 05 NON-CPTLZD-INT-LN-AMT PIC S9(7)V99 COMP-3.</t>
  </si>
  <si>
    <t>000200 05 NON-CPTLZD-INT-CR-AMT PIC S9(7)V99 COMP-3.</t>
  </si>
  <si>
    <t>000300 05 NON-CPTLZD-INT-INSTLMT PIC S9(7)V99 COMP-3.</t>
  </si>
  <si>
    <t>000400 05 FILLER PIC X(0017).</t>
  </si>
  <si>
    <t>000050 01 FARMS-LNRATE.</t>
  </si>
  <si>
    <t>000100 05 DTE-EFCTV PIC 9(6).</t>
  </si>
  <si>
    <t>000200 05 INT-RATE-BORR OCCURS 6 PIC 9(2)V9(4).</t>
  </si>
  <si>
    <t>000300 05 NON-PROG-INT-RATE OCCURS 6 PIC 9(2)V9(4).</t>
  </si>
  <si>
    <t>000400 05 CTRY-DIGIT PIC 9(1).</t>
  </si>
  <si>
    <t>000500 05 FILLER PIC X(0017).</t>
  </si>
  <si>
    <t>000050 01 FARMS-LOAN.</t>
  </si>
  <si>
    <t>000100 05 INT-RATE-BORR PIC 9(2)V9(4).</t>
  </si>
  <si>
    <t>000200 05 INT-RATE-BORR-1ST REDEFINES INT-RATE-BORR PIC V9(6).</t>
  </si>
  <si>
    <t>000300 05 STTLMT-CDE.</t>
  </si>
  <si>
    <t>000400 10 APPLTN-CDE PIC X(1).</t>
  </si>
  <si>
    <t>000500 10 FULLY-PD-CDE PIC X(2).</t>
  </si>
  <si>
    <t>000600 05 FULLY-MTURD-CDE PIC 9(1).</t>
  </si>
  <si>
    <t>000700 05 ADVNC-UNCLSD-CDE PIC 9(1).</t>
  </si>
  <si>
    <t>000800 05 ACT-COLLCTN-ONLY-CDE PIC 9(1).</t>
  </si>
  <si>
    <t>000900 05 ASSOC-TYP-NOTE-CDE PIC 9(1).</t>
  </si>
  <si>
    <t>001000 05 PURCH-CDE PIC X(1).</t>
  </si>
  <si>
    <t>001100 05 NBR-PYMTS-AMORTN PIC 9(3).</t>
  </si>
  <si>
    <t>001200 05 INSTLMTS-INT-ONLY-CNT PIC 9(1).</t>
  </si>
  <si>
    <t>001300 05 SALE-STAT-CDE PIC 9(1).</t>
  </si>
  <si>
    <t>001400 05 FIXD-PRD-INIT-LGTH PIC 9(2).</t>
  </si>
  <si>
    <t>001500 05 MORT-HLDR-CDE PIC 9(2).</t>
  </si>
  <si>
    <t>001600 05 YR-LN-CLSD PIC 9(2).</t>
  </si>
  <si>
    <t>001700 05 DTE-LN-SLD-OR-PLDGD PIC 9(06).</t>
  </si>
  <si>
    <t>001800 05 FMHA-DIR-TO-INSRD-CDE PIC 9(1).</t>
  </si>
  <si>
    <t>001900 05 DTE-CLSG PIC 9(06).</t>
  </si>
  <si>
    <t>002000 05 DTE-LN-EXPRTN PIC 9(2).</t>
  </si>
  <si>
    <t>002100 05 LN-AMT PIC S9(7)V99 COMP-3.</t>
  </si>
  <si>
    <t>002200 05 RECVRBL-CST-CHGS PIC S9(7)V99 COMP-3.</t>
  </si>
  <si>
    <t>002300 05 PRIN-CR-LN PIC S9(7)V99 COMP-3.</t>
  </si>
  <si>
    <t>002400 05 INT-CR-LN PIC S9(7)V99 COMP-3.</t>
  </si>
  <si>
    <t>002500 05 INT-FCL-LN PIC S9(7)V99 COMP-3.</t>
  </si>
  <si>
    <t>002600 05 SCHED-STAT PIC S9(7)V99 COMP-3.</t>
  </si>
  <si>
    <t>002700 05 PYMT-EXTRA-AMT-CUM PIC S9(7)V99 COMP-3.</t>
  </si>
  <si>
    <t>002800 05 CR-NON-CSH-APPLTN-TYP-CDE PIC X(1).</t>
  </si>
  <si>
    <t>002900 05 CR-NON-CSH-LST-AMT-APPLD PIC S9(7)V99 COMP-3.</t>
  </si>
  <si>
    <t>003000 05 DTE-LST-NON-CSH-CR PIC 9(06).</t>
  </si>
  <si>
    <t>003100 05 DTE-LST-CSH-CR PIC 9(6).</t>
  </si>
  <si>
    <t>003200 05 DTE-NEXT-INSTLMT-DUE PIC 9(06).</t>
  </si>
  <si>
    <t>003300 05 INSTLMT-DUE-NEXT-AMT PIC S9(06)V99 COMP-3.</t>
  </si>
  <si>
    <t>003400 05 INSTLMT-NEXT-TYP-CDE PIC 9(1).</t>
  </si>
  <si>
    <t>003500 05 INSTLMT-OC-DATA OCCURS 2.</t>
  </si>
  <si>
    <t>003600 10 DTE-INSTLMT-DUE PIC 9(6).</t>
  </si>
  <si>
    <t>003700 10 INSTLMT-DUE-AMT PIC S9(06)V99 COMP-3.</t>
  </si>
  <si>
    <t>003800 10 INSTLMT-TYP-CDE PIC 9(1).</t>
  </si>
  <si>
    <t>003900 10 MTURD-CDE-DIR-RE PIC 9(1).</t>
  </si>
  <si>
    <t>004000 05 SUSP-CDE-LN PIC 9(1).</t>
  </si>
  <si>
    <t>004100 05 DTE-LST-RGSTR-DTL PIC 9(06).</t>
  </si>
  <si>
    <t>004200 05 RGSTR-TYP-LST-CHNG PIC 9(2).</t>
  </si>
  <si>
    <t>004300 05 LN-NBR-OLD PIC 9(2).</t>
  </si>
  <si>
    <t>004400 05 INT-ASSTNC-CDE PIC 9(1).</t>
  </si>
  <si>
    <t>004500 05 WRTF-CDE PIC X(01).</t>
  </si>
  <si>
    <t>000050 01 FARMS-LOAN-DRE.</t>
  </si>
  <si>
    <t>000100 05 CIV-RHTS-CDE PIC 9(2).</t>
  </si>
  <si>
    <t>000200 05 FY-PLDGD-GNMA PIC 9(2).</t>
  </si>
  <si>
    <t>000300 05 INT-DFRD-UNMTURD-AMT-RMNG PIC S9(3)V99 COMP-3.</t>
  </si>
  <si>
    <t>000400 05 INT-DFRD-ANL-INSTLMT PIC S9(3)V99 COMP-3.</t>
  </si>
  <si>
    <t>000500 05 INT-DFRD-INSTLMT-MTURTY-YR PIC 9(2).</t>
  </si>
  <si>
    <t>000050 01 FARMS-LOAN-OTC.</t>
  </si>
  <si>
    <t>000100 05 FY-PLDGD-GNMA-OTC PIC 9(2).</t>
  </si>
  <si>
    <t>000200 05 CIV-RHTS-CDE-OTC PIC 9(2).</t>
  </si>
  <si>
    <t>000300 05 INT-RATE-VARBL-CDE PIC 9(1).</t>
  </si>
  <si>
    <t>000400 05 AMORTN-PRD PIC 9(2).</t>
  </si>
  <si>
    <t>000500 05 EM-MULTI-ORIG-LN-NBR PIC 9(2).</t>
  </si>
  <si>
    <t>000600 05 EM-CDE PIC 9(1).</t>
  </si>
  <si>
    <t>000700 05 INT-BILLD-UNPD-PR-STMT PIC S9(7)V99 COMP-3.</t>
  </si>
  <si>
    <t>000800 05 INT-BILLD-UNPD-OTC-AMT PIC S9(7)V99 COMP-3.</t>
  </si>
  <si>
    <t>000900 05 PRIN-DUE-OTC-AMT PIC S9(7)V99 COMP-3.</t>
  </si>
  <si>
    <t>001000 05 PYMT-PR-TO-APPLTN-INT PIC S9(7)V99 COMP-3.</t>
  </si>
  <si>
    <t>001100 05 PYMT-PR-TO-APPLTN-PRIN PIC S9(7)V99 COMP-3.</t>
  </si>
  <si>
    <t>000050 01 FARMS-LOAN-SFSI.</t>
  </si>
  <si>
    <t>000100 05 DTE-LST-REVW.</t>
  </si>
  <si>
    <t>000200 10 DTE-LST-REVW-YR PIC 9(02).</t>
  </si>
  <si>
    <t>000300 10 DTE-LST-REVW-MO PIC 9(02).</t>
  </si>
  <si>
    <t>000400 10 DTE-LST-REVW-DAY PIC 9(02).</t>
  </si>
  <si>
    <t>000500 05 CP-CLSFCTN-CDE PIC 9(1).</t>
  </si>
  <si>
    <t>000600 05 CP-DTE-LST-CLSFD PIC 9(6).</t>
  </si>
  <si>
    <t>000700 05 CP-EST-LOSS-AMT PIC S9(8) COMP-3.</t>
  </si>
  <si>
    <t>000800 05 LN-FILL PIC X(22).</t>
  </si>
  <si>
    <t>000050 01 FARMS-LSE-INFO.</t>
  </si>
  <si>
    <t>000100 05 LSE-NBR PIC 9(2).</t>
  </si>
  <si>
    <t>000200 05 FD-CDE-LSE.</t>
  </si>
  <si>
    <t>000300 10 FD-CDE-3-LSE.</t>
  </si>
  <si>
    <t>000400 15 FD-CDE-2-LSE PIC 9(2).</t>
  </si>
  <si>
    <t>000500 15 FD-CDE-3RD-LSE PIC 9(1).</t>
  </si>
  <si>
    <t>000600 10 FD-CDE-4TH-LSE PIC 9(1).</t>
  </si>
  <si>
    <t>000700 05 LSE-TYP-CDE PIC 9(2).</t>
  </si>
  <si>
    <t>000800 05 DTE-LSE-EFCTV PIC 9(06).</t>
  </si>
  <si>
    <t>000900 05 DTE-LSE-ENDS PIC 9(06).</t>
  </si>
  <si>
    <t>001000 05 LSE-TTL-AMT PIC S9(08)V99 COMP-3.</t>
  </si>
  <si>
    <t>001100 05 INCM-LSE PIC S9(08)V99 COMP-3.</t>
  </si>
  <si>
    <t>001200 05 DTE-LST-CSH-CR-LSE PIC 9(6).</t>
  </si>
  <si>
    <t>001300 05 STAT-CDE-LSE PIC 9(1).</t>
  </si>
  <si>
    <t>001400 05 LSE-CNCLD-AMT PIC S9(08)V99 COMP-3.</t>
  </si>
  <si>
    <t>001500 05 WRTF-LSE-AMT PIC S9(08)V99 COMP-3.</t>
  </si>
  <si>
    <t>001600 05 SUSP-CDE-LSE PIC 9(1).</t>
  </si>
  <si>
    <t>001700 05 DTE-LST-RGSTR-DTL-LSE PIC 9(06).</t>
  </si>
  <si>
    <t>001800 05 RGSTR-TYP-LST-CHNG-LSE PIC 9(2).</t>
  </si>
  <si>
    <t>001900 05 LSEE-KIND-CDE PIC 9(02).</t>
  </si>
  <si>
    <t>002000 05 LSEE-RELTNSHP-CDE PIC 9(2).</t>
  </si>
  <si>
    <t>002100 05 INSTLMT-DUE-AMT-LSE-1 PIC S9(06)V99 COMP-3.</t>
  </si>
  <si>
    <t>002200 05 DTE-INSTLMT-DUE-LSE-1 PIC 9(06).</t>
  </si>
  <si>
    <t>002300 05 INSTLMT-DUE-AMT-LSE-2 PIC S9(06)V99 COMP-3.</t>
  </si>
  <si>
    <t>002400 05 DTE-INSTLMT-DUE-LSE-2 PIC 9(06).</t>
  </si>
  <si>
    <t>002500 05 INSTLMT-DUE-AMT-LSE-3 PIC S9(06)V99 COMP-3.</t>
  </si>
  <si>
    <t>002600 05 DTE-INSTLMT-DUE-LSE-3 PIC 9(06).</t>
  </si>
  <si>
    <t>002700 05 INSTLMT-DUE-AMT-LSE-4 PIC S9(06)V99 COMP-3.</t>
  </si>
  <si>
    <t>002800 05 DTE-INSTLMT-DUE-LSE-4 PIC 9(06).</t>
  </si>
  <si>
    <t>002900 05 INSTLMT-DUE-AMT-LSE-5 PIC S9(06)V99 COMP-3.</t>
  </si>
  <si>
    <t>003000 05 DTE-INSTLMT-DUE-LSE-5 PIC 9(06).</t>
  </si>
  <si>
    <t>003100 05 LSE-TERMS-AMT PIC S9(5)V99 COMP-3.</t>
  </si>
  <si>
    <t>003200 05 FILLER PIC X(0037).</t>
  </si>
  <si>
    <t>000050 01 FARMS-MALLOT.</t>
  </si>
  <si>
    <t>000100 05 APROPTN-CDE PIC 9(2).</t>
  </si>
  <si>
    <t>000200 05 MAJ-CLS PIC 9(2).</t>
  </si>
  <si>
    <t>000300 05 OBJ-CLSFCTN-CDE PIC 9(2).</t>
  </si>
  <si>
    <t>000400 05 FY-ACCTG PIC 9(2).</t>
  </si>
  <si>
    <t>000500 05 ACCT-TYP-CDE PIC 9(1).</t>
  </si>
  <si>
    <t>000600 05 MULTI-ELMT-CDE PIC 9(1).</t>
  </si>
  <si>
    <t>000700 05 OK-TO-PROC-CDE PIC 9(1).</t>
  </si>
  <si>
    <t>000800 05 APRTNMTS-CUR-DTL PIC S9(10)V99 COMP-3.</t>
  </si>
  <si>
    <t>000900 05 ALTMT-CUR PIC S9(10)V99 COMP-3.</t>
  </si>
  <si>
    <t>001000 05 APRTNMT-TYP PIC 9(1).</t>
  </si>
  <si>
    <t>001100 05 ALTMT-TYP PIC 9(1).</t>
  </si>
  <si>
    <t>001300 05 APRTNMTS-1ST-ACCTG-PRD PIC S9(10)V99 COMP-3.</t>
  </si>
  <si>
    <t>001400 05 APRTNMTS-2ND-ACCTG-PRD PIC S9(10)V99 COMP-3.</t>
  </si>
  <si>
    <t>001500 05 APRTNMTS-3RD-ACCTG-PRD PIC S9(10)V99 COMP-3.</t>
  </si>
  <si>
    <t>001600 05 APRTNMTS-4TH-ACCTG-PRD PIC S9(10)V99 COMP-3.</t>
  </si>
  <si>
    <t>000050 01 FARMS-MALLOT-OBLGN.</t>
  </si>
  <si>
    <t>000100 05 OBLGN-EXPNTR-CDE.</t>
  </si>
  <si>
    <t>000200 10 SBMSN-CDE PIC 9(1).</t>
  </si>
  <si>
    <t>000300 10 PURP-CDE PIC 9(2).</t>
  </si>
  <si>
    <t>000400 05 OBLGNS-AMT-CUM PIC S9(10)V99 COMP-3.</t>
  </si>
  <si>
    <t>000500 05 OBLGNS-CNT-CUM PIC S9(6) COMP-3.</t>
  </si>
  <si>
    <t>000600 05 VOU-AMT PIC S9(10)V99 COMP-3.</t>
  </si>
  <si>
    <t>000700 05 PROG-PLANG-BDGTG-CDE.</t>
  </si>
  <si>
    <t>000800 10 PPB-CDE-1ST PIC 9.</t>
  </si>
  <si>
    <t>000900 10 PPB-CDE-2-3 PIC 9(2).</t>
  </si>
  <si>
    <t>000050 01 FARMS-MALLOT-OTH.</t>
  </si>
  <si>
    <t>000050 01 FARMS-MSTR-RATE.</t>
  </si>
  <si>
    <t>000100 05 MSTR-KEY.</t>
  </si>
  <si>
    <t>000700 05 NBR-SBSY-LNS PIC S9(8) COMP-3.</t>
  </si>
  <si>
    <t>000800 05 FP-SBSY-AVG-CALC-ONE PIC S9(14) COMP-3.</t>
  </si>
  <si>
    <t>000900 05 FP-SBSY-AVG-CALC-TWO PIC S9(14) COMP-3.</t>
  </si>
  <si>
    <t>001000 05 SBSY-RATE PIC 9(08)V9999 COMP-3.</t>
  </si>
  <si>
    <t>001100 05 FILLER PIC X(0046).</t>
  </si>
  <si>
    <t>000050 01 FARMS-NOTIFY.</t>
  </si>
  <si>
    <t>000300 05 ID-NBR-INVSTR PIC 9(5).</t>
  </si>
  <si>
    <t>000400 05 CASE-NBR.</t>
  </si>
  <si>
    <t>000500 10 ST-CDE-OBLR PIC 9(2).</t>
  </si>
  <si>
    <t>000600 10 CTY-CDE-OBLR PIC 9(3).</t>
  </si>
  <si>
    <t>000700 10 ID-NBR-OBLR PIC 9(10).</t>
  </si>
  <si>
    <t>000800 05 LN-NBR PIC 9(2).</t>
  </si>
  <si>
    <t>000900 05 NME-OBLR PIC X(19).</t>
  </si>
  <si>
    <t>001000 05 TRNSCTN-CDE-UPDTE PIC X(2).</t>
  </si>
  <si>
    <t>001100 05 FD-CDE.</t>
  </si>
  <si>
    <t>001200 10 FD-CDE-3.</t>
  </si>
  <si>
    <t>001300 15 FD-CDE-2 PIC 9(2).</t>
  </si>
  <si>
    <t>001400 15 FD-CDE-3RD PIC 9(1).</t>
  </si>
  <si>
    <t>001500 10 FD-CDE-4TH PIC 9(1).</t>
  </si>
  <si>
    <t>001600 05 INT-RATE-INVSTR PIC 9(2)V9(4).</t>
  </si>
  <si>
    <t>001700 05 INT-RATE-BORR PIC 9(2)V9(4).</t>
  </si>
  <si>
    <t>001800 05 PYMT-CDE-INVSTR PIC 9(1).</t>
  </si>
  <si>
    <t>001900 05 ANL-CHG-RTND PIC S9(07)V99 COMP-3.</t>
  </si>
  <si>
    <t>002000 05 INT-PD-INVSTR PIC S9(07)V99 COMP-3.</t>
  </si>
  <si>
    <t>002100 05 PRIN-PD-INVSTR PIC S9(07)V99 COMP-3.</t>
  </si>
  <si>
    <t>002200 05 PRIN-UNPD-INVSTR PIC S9(07)V99 COMP-3.</t>
  </si>
  <si>
    <t>002300 05 FED-RESV-CDE PIC 9(1).</t>
  </si>
  <si>
    <t>002400 05 FIXD-PRD-CDE PIC X(1).</t>
  </si>
  <si>
    <t>002500 05 DTE-CUR-PRD-AGRMT-EX PIC 9(06).</t>
  </si>
  <si>
    <t>002600 05 DTE-CK PIC 9(6).</t>
  </si>
  <si>
    <t>002700 05 MORT-HLDR-CDE PIC 9(2).</t>
  </si>
  <si>
    <t>002800 05 NOTE-APPLD-AMT PIC S9(07)V99 COMP-3.</t>
  </si>
  <si>
    <t>002900 05 DTE-EFCTV PIC 9(06).</t>
  </si>
  <si>
    <t>003000 05 DTE-CLSG PIC 9(06).</t>
  </si>
  <si>
    <t>003100 05 FULLY-PD-CDE-INVSTMT PIC 9(1).</t>
  </si>
  <si>
    <t>003200 05 BLK-NBR PIC 9(4).</t>
  </si>
  <si>
    <t>003300 05 FILLER PIC XX.</t>
  </si>
  <si>
    <t>000050 01 FARMS-NOTIFY-CNTRL.</t>
  </si>
  <si>
    <t>000200 05 PYMT-AMT-TTL PIC S9(10)V99 COMP-3.</t>
  </si>
  <si>
    <t>000300 05 FILLER PIC XXX.</t>
  </si>
  <si>
    <t>000050 01 FARMS-OBLGN.</t>
  </si>
  <si>
    <t>000200 05 ADRS-CARD-CDE PIC 9(1).</t>
  </si>
  <si>
    <t>000300 05 INT-ASSTNC-AGRMT-FORM-COMPL PIC 9(1).</t>
  </si>
  <si>
    <t>000400 05 SALE-CR-ASUMPTN-CDE PIC 9(1).</t>
  </si>
  <si>
    <t>000500 05 FY-OBLGN-OCCURD.</t>
  </si>
  <si>
    <t>000600 10 FY-OBLGN-1 PIC 9.</t>
  </si>
  <si>
    <t>000700 10 FY-OBLGN-2 PIC 9.</t>
  </si>
  <si>
    <t>000800 05 APROPTN-MAJ-CLS-CDE.</t>
  </si>
  <si>
    <t>000900 10 APROPTN-CDE PIC 9(2).</t>
  </si>
  <si>
    <t>001000 10 MAJ-CLS PIC 9(2).</t>
  </si>
  <si>
    <t>001100 05 SRVCG-OFC-CDE-ST PIC 9(2).</t>
  </si>
  <si>
    <t>001200 05 OBLGN-EXPNTR-CDE.</t>
  </si>
  <si>
    <t>001300 10 SBMSN-CDE PIC 9(1).</t>
  </si>
  <si>
    <t>001400 10 PURP-CDE PIC 9(2).</t>
  </si>
  <si>
    <t>001500 05 OBLGN-TO-BORR-TTL-AMT PIC S9(08)V99 COMP-3.</t>
  </si>
  <si>
    <t>001600 05 DTE-OBLGN PIC 9(06).</t>
  </si>
  <si>
    <t>001700 05 VOU-UNCLSD-AMT PIC S9(08)V99 COMP-3.</t>
  </si>
  <si>
    <t>001800 05 LN-CNT-CDE PIC 9(1).</t>
  </si>
  <si>
    <t>001900 05 FEE-CR-REPT-CDE PIC 9(1).</t>
  </si>
  <si>
    <t>002000 05 ASSTNC-REPAIR-REHBLTN PIC 9(1).</t>
  </si>
  <si>
    <t>002100 05 INCM-FAM-ADJD PIC S9(06) COMP-3.</t>
  </si>
  <si>
    <t>002200 05 DWL-TYP-CDE PIC 9(02).</t>
  </si>
  <si>
    <t>002300 05 VOU-NBR PIC 9(5).</t>
  </si>
  <si>
    <t>002400 05 GUAR-LN-FACE-VLU-AMT PIC S9(8)V99 COMP-3.</t>
  </si>
  <si>
    <t>002500 05 ADVNC-MULTI-TTL-AMT PIC S9(08)V99 COMP-3.</t>
  </si>
  <si>
    <t>002600 05 INT-CPTLZD-CDE PIC 9(1).</t>
  </si>
  <si>
    <t>002700 05 REPYMT-PRD PIC 9(2).</t>
  </si>
  <si>
    <t>002800 05 PROG-PLANG-BDGTG-CDE.</t>
  </si>
  <si>
    <t>002900 10 PPB-CDE-1ST PIC 9.</t>
  </si>
  <si>
    <t>003000 10 PPB-CDE-2-3 PIC 9(2).</t>
  </si>
  <si>
    <t>003100 05 SPLIT-CMBN-RCRD-ASSOC-CDE PIC 9(1).</t>
  </si>
  <si>
    <t>003200 05 INCM-CTGRY-CDE PIC 9(1).</t>
  </si>
  <si>
    <t>003300 05 FEE-INSPCTN-CDE PIC 9(1).</t>
  </si>
  <si>
    <t>003400 05 DTE-APPRVL-LN-GRT PIC 9(06).</t>
  </si>
  <si>
    <t>003500 05 DRGHT-CDE PIC 9(1).</t>
  </si>
  <si>
    <t>003600 05 GUAR-LOSS-PCT PIC 9(03).</t>
  </si>
  <si>
    <t>003700 05 SUSP-CDE-OBLGN PIC 9(1).</t>
  </si>
  <si>
    <t>003800 05 SRC-FDS-CDE PIC 9(1).</t>
  </si>
  <si>
    <t>003900 05 INIT-INT-ASSTNC-RATE PIC 9(02)V9999 COMP-3.</t>
  </si>
  <si>
    <t>004000 05 HIGH-CST-AREA PIC X(01).</t>
  </si>
  <si>
    <t>004100 05 AMT-INSRD-DEBT-REFIN PIC S9(08)V99 COMP-3.</t>
  </si>
  <si>
    <t>004200 05 BORR-HIST-CDE PIC 9(02).</t>
  </si>
  <si>
    <t>004300 05 DTE-LST-RGSTR-DTL-OBLGN PIC 9(06).</t>
  </si>
  <si>
    <t>004400 05 RGSTR-TYP-LST-CHNG-OBLGN PIC 9(2).</t>
  </si>
  <si>
    <t>004500 05 SBSY-AMT-OBLGN PIC S9(8)V99 COMP-3.</t>
  </si>
  <si>
    <t>004600 05 SBSY-APROPTN-CDE PIC 99.</t>
  </si>
  <si>
    <t>004700 05 SBSY-PROG-PLANG-BDGTG-CDE PIC 999.</t>
  </si>
  <si>
    <t>004800 05 FILLER PIC X(0007).</t>
  </si>
  <si>
    <t>000050 01 FARMS-ORDERS.</t>
  </si>
  <si>
    <t>000600 05 LOOKD-CNT PIC 9.</t>
  </si>
  <si>
    <t>000050 01 FARMS-ORGZTN-LOOKUP.</t>
  </si>
  <si>
    <t>000100 05 MAILG-CDE-LVL2.</t>
  </si>
  <si>
    <t>000200 10 MAILG-LVL-LVL2 PIC X(1).</t>
  </si>
  <si>
    <t>000300 88 ST-MAILG-LVL-LVL2 VALUE 'S'.</t>
  </si>
  <si>
    <t>000400 88 DST-MAILG-LVL-LVL2 VALUE 'D'.</t>
  </si>
  <si>
    <t>000500 88 CTY-MAILG-LVL-LVL2 VALUE 'C'.</t>
  </si>
  <si>
    <t>000600 88 CTY-SPECL-LVL-LVL2 VALUE 'T'.</t>
  </si>
  <si>
    <t>000700 88 DST-SPECL-LVL-LVL2 VALUE 'U'.</t>
  </si>
  <si>
    <t>000800 88 ST-SPECL-LVL-LVL2 VALUE 'V'.</t>
  </si>
  <si>
    <t>000900 10 ST-OFC-MAILG-LVL2 PIC 9(2).</t>
  </si>
  <si>
    <t>001000 10 CTY-OFC-MAILG-LVL2 PIC 9(3).</t>
  </si>
  <si>
    <t>001100 05 MAILG-CDE-LVL3.</t>
  </si>
  <si>
    <t>001200 10 MAILG-LVL-LVL3 PIC X(1).</t>
  </si>
  <si>
    <t>001300 88 ST-MAILG-LVL-LVL3 VALUE 'S'.</t>
  </si>
  <si>
    <t>001400 88 DST-MAILG-LVL-LVL3 VALUE 'D'.</t>
  </si>
  <si>
    <t>001500 88 CTY-MAILG-LVL-LVL3 VALUE 'C'.</t>
  </si>
  <si>
    <t>001600 88 CTY-SPECL-LVL-LVL3 VALUE 'T'.</t>
  </si>
  <si>
    <t>001700 88 DST-SPECL-LVL-LVL3 VALUE 'U'.</t>
  </si>
  <si>
    <t>001800 88 ST-SPECL-LVL-LVL3 VALUE 'V'.</t>
  </si>
  <si>
    <t>001900 10 ST-OFC-MAILG-LVL3 PIC 9(2).</t>
  </si>
  <si>
    <t>002000 10 CTY-OFC-MAILG-LVL3 PIC 9(3).</t>
  </si>
  <si>
    <t>002100 05 FILLER PIC X(0048).</t>
  </si>
  <si>
    <t>000050 01 FARMS-OVFLO.</t>
  </si>
  <si>
    <t>000050 01 FARMS-PD-ACCT-RVRSL.</t>
  </si>
  <si>
    <t>000800 05 BOND-CDE PIC 9(1).</t>
  </si>
  <si>
    <t>001000 05 INT-RATE-BORR PIC 9(2)V9(4).</t>
  </si>
  <si>
    <t>001100 05 INT-RATE-BORR-1ST REDEFINES INT-RATE-BORR PIC V9(6).</t>
  </si>
  <si>
    <t>001200 05 DTE-CLSG PIC 9(06).</t>
  </si>
  <si>
    <t>001300 05 ACT-COLLCTN-ONLY-CDE PIC 9(1).</t>
  </si>
  <si>
    <t>001400 05 SUSP-CDE-LN PIC 9(1).</t>
  </si>
  <si>
    <t>001500 05 FULLY-MTURD-CDE PIC 9(1).</t>
  </si>
  <si>
    <t>001600 05 FIXD-PRD-INIT-LGTH PIC 9(2).</t>
  </si>
  <si>
    <t>001700 05 LN-AMT PIC S9(7)V99 COMP-3.</t>
  </si>
  <si>
    <t>001800 05 INT-ASSTNC-CUM-AMT PIC S9(7)V99 COMP-3.</t>
  </si>
  <si>
    <t>001900 05 RECVRBL-CST-CHGS PIC S9(7)V99 COMP-3.</t>
  </si>
  <si>
    <t>002000 05 PRIN-CR-LN PIC S9(7)V99 COMP-3.</t>
  </si>
  <si>
    <t>002100 05 INT-CR-LN PIC S9(7)V99 COMP-3.</t>
  </si>
  <si>
    <t>002200 05 INT-FCL-LN PIC S9(7)V99 COMP-3.</t>
  </si>
  <si>
    <t>002300 05 PYMT-EXTRA-AMT-CUM PIC S9(7)V99 COMP-3.</t>
  </si>
  <si>
    <t>002400 05 SCHED-STAT PIC S9(7)V99 COMP-3.</t>
  </si>
  <si>
    <t>002500 05 DTE-LST-RGSTR-DTL PIC 9(06).</t>
  </si>
  <si>
    <t>002600 05 RGSTR-TYP-LST-CHNG PIC 9(2).</t>
  </si>
  <si>
    <t>002700 05 DTE-LST-NON-CSH-CR PIC 9(06).</t>
  </si>
  <si>
    <t>002800 05 CR-NON-CSH-LST-AMT-APPLD PIC S9(7)V99 COMP-3.</t>
  </si>
  <si>
    <t>002900 05 CR-NON-CSH-APPLTN-TYP-CDE PIC X(1).</t>
  </si>
  <si>
    <t>003000 05 STTLMT-CDE.</t>
  </si>
  <si>
    <t>003100 10 APPLTN-CDE PIC X(1).</t>
  </si>
  <si>
    <t>003200 10 FULLY-PD-CDE PIC X(2).</t>
  </si>
  <si>
    <t>003300 05 DTE-TRNSCTN PIC 9(06).</t>
  </si>
  <si>
    <t>003400 05 MORT-HLDR-CDE PIC 9(2).</t>
  </si>
  <si>
    <t>003500 05 TO-OR-FROM-CDE PIC 9(1).</t>
  </si>
  <si>
    <t>003600 05 CASE-NBR.</t>
  </si>
  <si>
    <t>003700 10 ST-CDE-OBLR PIC 9(2).</t>
  </si>
  <si>
    <t>003800 10 CTY-CDE-OBLR PIC 9(3).</t>
  </si>
  <si>
    <t>003900 10 ID-NBR-OBLR PIC 9(10).</t>
  </si>
  <si>
    <t>004000 05 BLK-NBR PIC 9(4).</t>
  </si>
  <si>
    <t>004100 05 FILLER PIC XX.</t>
  </si>
  <si>
    <t>000050 01 FARMS-PLEREP.</t>
  </si>
  <si>
    <t>000100 05 FRM-MORT-DATA OCCURS 8.</t>
  </si>
  <si>
    <t>000200 10 RGN-CDE-PLEREP PIC 9(1).</t>
  </si>
  <si>
    <t>000300 10 MORTS-FRM-GOVT-OWND-CNT PIC S9(7) COMP-3.</t>
  </si>
  <si>
    <t>000400 10 MORTS-FRM-OWND-GOVT-AMT PIC S9(12)V99 COMP-3.</t>
  </si>
  <si>
    <t>000500 10 MORT-FRM-ACQD-CUR-QTR-CNT PIC S9(05) COMP-3.</t>
  </si>
  <si>
    <t>000600 10 MORTS-ACQD-ON-FRMS-AMT PIC S9(08)V99 COMP-3.</t>
  </si>
  <si>
    <t>000700 10 PRIN-INCR-FRM-MORT-OWND PIC S9(08)V99 COMP-3.</t>
  </si>
  <si>
    <t>000800 10 MORTS-FRM-FULLY-PD-CNT PIC S9(05) COMP-3.</t>
  </si>
  <si>
    <t>000900 10 PYMT-FNL-FRM-MORT-TTL-AMT PIC S9(08)V99 COMP-3.</t>
  </si>
  <si>
    <t>001000 10 PRIN-PYMT-ON-OTH-FRM-MORT PIC S9(08)V99 COMP-3.</t>
  </si>
  <si>
    <t>001100 10 MORTS-FRM-ACQD-FRCL-CNT PIC S9(05) COMP-3.</t>
  </si>
  <si>
    <t>001200 10 MORTS-FRM-ACQD-FRCL-AMT PIC S9(08)V99 COMP-3.</t>
  </si>
  <si>
    <t>001300 10 RH-INIT-LNS-1-PCT-CNT PIC S9(04) COMP-3.</t>
  </si>
  <si>
    <t>001400 10 RH-INIT-LNS-1-PCT-AMT PIC S9(07) COMP-3.</t>
  </si>
  <si>
    <t>001500 10 RH-INIT-LNS-3-PCT-CNT PIC S9(04) COMP-3.</t>
  </si>
  <si>
    <t>001600 10 RH-INIT-LNS-3-PCT-AMT PIC S9(07) COMP-3.</t>
  </si>
  <si>
    <t>001700 10 RH-INIT-LNS-6-PCT-CNT PIC S9(04) COMP-3.</t>
  </si>
  <si>
    <t>001800 10 RH-INIT-LNS-6-PCT-AMT PIC S9(07) COMP-3.</t>
  </si>
  <si>
    <t>001900 10 FO-INIT-LNS-3-PCT-CNT PIC S9(04) COMP-3.</t>
  </si>
  <si>
    <t>002000 10 FO-INIT-LNS-3-PCT-AMT PIC S9(07) COMP-3.</t>
  </si>
  <si>
    <t>002100 10 FO-INIT-LNS-5-PCT-CNT PIC S9(04) COMP-3.</t>
  </si>
  <si>
    <t>002200 10 FO-INIT-LNS-5-PCT-AMT PIC S9(07) COMP-3.</t>
  </si>
  <si>
    <t>002300 10 PURCH-RE-QTR PIC S9(07) COMP-3.</t>
  </si>
  <si>
    <t>002400 10 LN-REFIN-RE-PRTN-FO-RH PIC S9(07) COMP-3.</t>
  </si>
  <si>
    <t>002500 10 LN-REFIN-NON-RE-PRTN-FO-RH PIC S9(07) COMP-3.</t>
  </si>
  <si>
    <t>002600 10 LN-FO-RH-LAND-BLDG-PRTN PIC S9(07) COMP-3.</t>
  </si>
  <si>
    <t>002700 10 FEES-OTH-KNOWN PIC S9(07) COMP-3.</t>
  </si>
  <si>
    <t>002800 10 PYMT-DWN-INIT-LNS-TTL-AMT PIC S9(07) COMP-3.</t>
  </si>
  <si>
    <t>002900 05 PLDGD-LN-DATA OCCURS 4.</t>
  </si>
  <si>
    <t>003000 10 FY-PLDGD-GNMA-PLEREP PIC 9(2).</t>
  </si>
  <si>
    <t>003100 10 LN-ACCT-CDE PIC 9(1).</t>
  </si>
  <si>
    <t>003200 10 PLDG-ORIG-AMT PIC S9(11)V99 COMP-3.</t>
  </si>
  <si>
    <t>003300 10 LNS-IN-ORIG-PLDG-CNT PIC S9(08) COMP-3.</t>
  </si>
  <si>
    <t>003400 10 LN-AMT-ADDD-CUM PIC S9(11)V99 COMP-3.</t>
  </si>
  <si>
    <t>003500 10 LNS-ADDD-CUM-CNT PIC S9(08) COMP-3.</t>
  </si>
  <si>
    <t>003600 10 ADVNC-ADDTNL-CUM-AMT PIC S9(11)V99 COMP-3.</t>
  </si>
  <si>
    <t>003700 10 LNS-CNCLD-CUM-AMT PIC S9(11)V99 COMP-3.</t>
  </si>
  <si>
    <t>003800 10 LNS-CNCLD-CUM-CNT PIC S9(08) COMP-3.</t>
  </si>
  <si>
    <t>003900 10 PRIN-NOT-FULLY-PD-CUM PIC S9(11)V99 COMP-3.</t>
  </si>
  <si>
    <t>004000 10 INT-NOT-FULLY-PD-CUM PIC S9(11)V99 COMP-3.</t>
  </si>
  <si>
    <t>004100 10 PRIN-FULLY-PD-CUM PIC S9(11)V99 COMP-3.</t>
  </si>
  <si>
    <t>004200 10 INT-FULLY-PD-CUM-AMT PIC S9(11)V99 COMP-3.</t>
  </si>
  <si>
    <t>004300 10 LNS-FULLY-PD-CUM-CNT PIC S9(08) COMP-3.</t>
  </si>
  <si>
    <t>004400 10 FRCL-JDGMT-CUM-AMT PIC S9(11)V99 COMP-3.</t>
  </si>
  <si>
    <t>004500 10 FRCL-JDGMT-CUM-CNT PIC S9(08) COMP-3.</t>
  </si>
  <si>
    <t>004600 10 WRTF-CUM-AMT PIC S9(11)V99 COMP-3.</t>
  </si>
  <si>
    <t>004700 10 WRTF-CUM PIC S9(08) COMP-3.</t>
  </si>
  <si>
    <t>004800 10 LN-AMT-ADDD-MTD PIC S9(08)V99 COMP-3.</t>
  </si>
  <si>
    <t>004900 10 LNS-ADDD-MTD-CNT PIC S9(05) COMP-3.</t>
  </si>
  <si>
    <t>005000 10 ADVNC-ADDTNL-AMT-MTD PIC S9(08)V99 COMP-3.</t>
  </si>
  <si>
    <t>005100 10 LNS-CNCLD-MTD-AMT PIC S9(08)V99 COMP-3.</t>
  </si>
  <si>
    <t>005200 10 LNS-CNCLD-MTD-CNT PIC S9(05) COMP-3.</t>
  </si>
  <si>
    <t>005300 10 PRIN-NOT-FULLY-PD-MTD PIC S9(08)V99 COMP-3.</t>
  </si>
  <si>
    <t>005400 10 INT-NOT-FULLY-PD-MTD PIC S9(08)V99 COMP-3.</t>
  </si>
  <si>
    <t>005500 10 PRIN-FULLY-PD-MTD PIC S9(08)V99 COMP-3.</t>
  </si>
  <si>
    <t>005600 10 INT-FULLY-PD-MTD PIC S9(08)V99 COMP-3.</t>
  </si>
  <si>
    <t>005700 10 LNS-FULLY-PD-MTD-CNT PIC S9(05) COMP-3.</t>
  </si>
  <si>
    <t>005800 10 PRIN-FRCL-JDGMT-MTD PIC S9(08)V99 COMP-3.</t>
  </si>
  <si>
    <t>005900 10 LNS-FRCL-JDGMT-MTD PIC S9(05) COMP-3.</t>
  </si>
  <si>
    <t>006000 10 WRTF-UNPD-PRIN-MTD PIC S9(08)V99 COMP-3.</t>
  </si>
  <si>
    <t>006100 10 LNS-WRTF-MTD-CNT PIC S9(05) COMP-3.</t>
  </si>
  <si>
    <t>006200 10 PRIN-UNPD-PLDGD-LNS PIC S9(11)V99 COMP-3.</t>
  </si>
  <si>
    <t>006300 10 LNS-OUTSTG-CNT PIC S9(08) COMP-3.</t>
  </si>
  <si>
    <t>000050 01 FARMS-PROG-SAVE.</t>
  </si>
  <si>
    <t>000100 05 PROG-DATA PIC X(500).</t>
  </si>
  <si>
    <t>000050 01 FARMS-PRTLSALE.</t>
  </si>
  <si>
    <t>000100 05 PRTL-SALE-LN-NBR PIC 9(02).</t>
  </si>
  <si>
    <t>000200 05 PRTL-NET-RECVRY-VLU PIC S9(09)V9(02) COMP-3.</t>
  </si>
  <si>
    <t>000300 05 PRTL-BEGNG-MKT-VLU PIC S9(09)V9(02) COMP-3.</t>
  </si>
  <si>
    <t>000400 05 PRTL-ENDG-MKT-VLU PIC S9(09)V9(02) COMP-3.</t>
  </si>
  <si>
    <t>000500 05 PRTL-RCVB-AMT-DUE PIC S9(09)V9(02) COMP-3.</t>
  </si>
  <si>
    <t>000600 05 PRTL-RCVB-AMT-PD PIC S9(09)V9(02) COMP-3.</t>
  </si>
  <si>
    <t>000700 05 PRTL-DTE-SALE-MTURTY PIC 9(06).</t>
  </si>
  <si>
    <t>000800 05 DTE-LST-CSH-PRTL PIC 9(6).</t>
  </si>
  <si>
    <t>000900 05 PRTL-STTLMT-CDE-GRP.</t>
  </si>
  <si>
    <t>001000 10 PRTL-APPLTN-CDE PIC X(01).</t>
  </si>
  <si>
    <t>001100 10 PRTL-FULLY-PD-CDE PIC X(02).</t>
  </si>
  <si>
    <t>001200 05 CR-APPLD-NONCSH-PRTL PIC S9(9)V99 COMP-3.</t>
  </si>
  <si>
    <t>001300 05 DTE-LST-NONCSH-PRTL PIC 9(6).</t>
  </si>
  <si>
    <t>001400 05 FILLER PIC X(0053).</t>
  </si>
  <si>
    <t>000050 01 FARMS-RDA-ALTMT.</t>
  </si>
  <si>
    <t>000500 05 FILLER PIC X(0002).</t>
  </si>
  <si>
    <t>000050 01 FARMS-RDA-AREA-DALLOT.</t>
  </si>
  <si>
    <t>000100 05 RDA-AREA-DALLOT-KEY.</t>
  </si>
  <si>
    <t>000300 10 RDA-RGN-CDE PIC 9(2).</t>
  </si>
  <si>
    <t>000400 10 GEOG-ST-CDE PIC 9(2).</t>
  </si>
  <si>
    <t>000500 10 RDA-AREA-CDE PIC 9(03).</t>
  </si>
  <si>
    <t>000600 10 ALTMT-KEY.</t>
  </si>
  <si>
    <t>000700 15 APROPTN-CDE PIC 9(2).</t>
  </si>
  <si>
    <t>000800 15 MAJ-CLS PIC 9(2).</t>
  </si>
  <si>
    <t>000900 15 OBJ-CLSFCTN-CDE PIC 9(2).</t>
  </si>
  <si>
    <t>001000 05 MULTI-ELMT-CDE PIC 9(1).</t>
  </si>
  <si>
    <t>001100 05 OK-TO-PROC-CDE PIC 9(1).</t>
  </si>
  <si>
    <t>001200 05 DISTRBN-CUR PIC S9(10)V99 COMP-3.</t>
  </si>
  <si>
    <t>001300 05 DISTRBN-TYP-CDE PIC 9(1).</t>
  </si>
  <si>
    <t>001400 05 PRD-CDE PIC 9(1).</t>
  </si>
  <si>
    <t>001500 05 DISTRBN-ST-1ST-ACCTG-PRD PIC S9(10)V99 COMP-3.</t>
  </si>
  <si>
    <t>001600 05 DISTRBN-ST-2ND-ACCTG-PRD PIC S9(10)V99 COMP-3.</t>
  </si>
  <si>
    <t>001700 05 DISTRBN-ST-3RD-ACCTG-PRD PIC S9(10)V99 COMP-3.</t>
  </si>
  <si>
    <t>001800 05 DISTRBN-ST-4TH-ACCTG-PRD PIC S9(10)V99 COMP-3.</t>
  </si>
  <si>
    <t>001900 05 DISTRBN-GUAR PIC S9(10)V99 COMP-3.</t>
  </si>
  <si>
    <t>002000 05 DISTRBN-INSRD PIC S9(10)V99 COMP-3.</t>
  </si>
  <si>
    <t>002100 05 DISTRBN-DIR PIC S9(10)V99 COMP-3.</t>
  </si>
  <si>
    <t>002200 05 DISTRBN-GRT PIC S9(10)V99 COMP-3.</t>
  </si>
  <si>
    <t>002300 05 DISTRBN-AMT OCCURS 10 PIC S9(10)V99 COMP-3.</t>
  </si>
  <si>
    <t>002400 05 FILLER PIC X(16).</t>
  </si>
  <si>
    <t>000050 01 FARMS-RDA-AREA-OBLGN.</t>
  </si>
  <si>
    <t>000100 05 PPB-OBLGN-EXPNTR-CDE.</t>
  </si>
  <si>
    <t>000200 10 PROG-PLANG-BDGTG-CDE.</t>
  </si>
  <si>
    <t>000300 15 PPB-CDE-1ST PIC 9.</t>
  </si>
  <si>
    <t>000400 15 PPB-CDE-2-3 PIC 9(2).</t>
  </si>
  <si>
    <t>000500 10 OBLGN-EXPNTR-CDE.</t>
  </si>
  <si>
    <t>000600 15 SBMSN-CDE PIC 9(1).</t>
  </si>
  <si>
    <t>000700 15 PURP-CDE PIC 9(2).</t>
  </si>
  <si>
    <t>000050 01 FARMS-RDA-DALLOT-DTL.</t>
  </si>
  <si>
    <t>000100 05 RDA-DALLOT-DTL-KEY.</t>
  </si>
  <si>
    <t>000300 10 DALLOT-DTL-SRT-KEY.</t>
  </si>
  <si>
    <t>000400 15 RDA-RGN-CDE PIC 9(2).</t>
  </si>
  <si>
    <t>000500 15 GEOG-ST-CDE PIC 9(2).</t>
  </si>
  <si>
    <t>002400 05 FILLER PIC X(0011).</t>
  </si>
  <si>
    <t>000050 01 FARMS-RDA-DALLOT-OBLGN.</t>
  </si>
  <si>
    <t>000050 01 FARMS-RDA-FD-SIDE.</t>
  </si>
  <si>
    <t>000600 05 FILLER PIC X(0005).</t>
  </si>
  <si>
    <t>000050 01 FARMS-RDA-INSRNC-AUTHY.</t>
  </si>
  <si>
    <t>000800 05 ALTMT PIC S9(10)V99 COMP-3.</t>
  </si>
  <si>
    <t>000900 05 OBLGNS-AMT-CUM PIC S9(10)V99 COMP-3.</t>
  </si>
  <si>
    <t>001000 05 OBLGNS-CNT-CUM PIC S9(6) COMP-3.</t>
  </si>
  <si>
    <t>001100 05 VOU-AMT PIC S9(10)V99 COMP-3.</t>
  </si>
  <si>
    <t>001200 05 ALTMT-1ST-ACCTG-PRD PIC S9(10)V99 COMP-3.</t>
  </si>
  <si>
    <t>001300 05 ALTMT-2ND-ACCTG-PRD PIC S9(10)V99 COMP-3.</t>
  </si>
  <si>
    <t>001400 05 ALTMT-3RD-ACCTG-PRD PIC S9(10)V99 COMP-3.</t>
  </si>
  <si>
    <t>001500 05 ALTMT-4TH-ACCTG-PRD PIC S9(10)V99 COMP-3.</t>
  </si>
  <si>
    <t>001600 05 FILLER PIC X(0005).</t>
  </si>
  <si>
    <t>000050 01 FARMS-RDA-MALLOT.</t>
  </si>
  <si>
    <t>000100 05 RDA-MALLOT-KEY.</t>
  </si>
  <si>
    <t>000300 10 ALTMT-KEY.</t>
  </si>
  <si>
    <t>000400 15 APROPTN-CDE PIC 9(2).</t>
  </si>
  <si>
    <t>000500 15 MAJ-CLS PIC 9(2).</t>
  </si>
  <si>
    <t>000600 15 OBJ-CLSFCTN-CDE PIC 9(2).</t>
  </si>
  <si>
    <t>000700 05 ACCT-TYP-CDE PIC 9(1).</t>
  </si>
  <si>
    <t>001000 05 APRTNMTS-CUR-DTL PIC S9(10)V99 COMP-3.</t>
  </si>
  <si>
    <t>001100 05 ALTMT-CUR PIC S9(10)V99 COMP-3.</t>
  </si>
  <si>
    <t>001200 05 APRTNMT-TYP PIC 9(1).</t>
  </si>
  <si>
    <t>001300 05 ALTMT-TYP PIC 9(1).</t>
  </si>
  <si>
    <t>001500 05 APRTNMTS-1ST-ACCTG-PRD PIC S9(10)V99 COMP-3.</t>
  </si>
  <si>
    <t>001600 05 APRTNMTS-2ND-ACCTG-PRD PIC S9(10)V99 COMP-3.</t>
  </si>
  <si>
    <t>001700 05 APRTNMTS-3RD-ACCTG-PRD PIC S9(10)V99 COMP-3.</t>
  </si>
  <si>
    <t>001800 05 APRTNMTS-4TH-ACCTG-PRD PIC S9(10)V99 COMP-3.</t>
  </si>
  <si>
    <t>001900 05 FILLER PIC X(0008).</t>
  </si>
  <si>
    <t>000050 01 FARMS-RDA-MALLOT-OBLGN.</t>
  </si>
  <si>
    <t>000050 01 FARMS-RDA-RGN-DTL.</t>
  </si>
  <si>
    <t>000100 05 RDA-RGN-DTL-KEY.</t>
  </si>
  <si>
    <t>000400 10 ALTMT-KEY.</t>
  </si>
  <si>
    <t>000500 15 APROPTN-CDE PIC 9(2).</t>
  </si>
  <si>
    <t>000600 15 MAJ-CLS PIC 9(2).</t>
  </si>
  <si>
    <t>000700 15 OBJ-CLSFCTN-CDE PIC 9(2).</t>
  </si>
  <si>
    <t>000800 05 ACCT-TYP-CDE PIC 9(1).</t>
  </si>
  <si>
    <t>000900 05 MULTI-ELMT-CDE PIC 9(1).</t>
  </si>
  <si>
    <t>001000 05 OK-TO-PROC-CDE PIC 9(1).</t>
  </si>
  <si>
    <t>001100 05 DISTRBN-CUR PIC S9(10)V99 COMP-3.</t>
  </si>
  <si>
    <t>001200 05 DISTRBN-TYP-CDE PIC 9(1).</t>
  </si>
  <si>
    <t>001300 05 PRD-CDE PIC 9(1).</t>
  </si>
  <si>
    <t>001400 05 FILLER PIC X(0010).</t>
  </si>
  <si>
    <t>000050 01 FARMS-RDA-RGN-OBLGN.</t>
  </si>
  <si>
    <t>000800 05 DISTRBN-CUR PIC S9(10)V99 COMP-3.</t>
  </si>
  <si>
    <t>001200 05 DISTRBN-ST-1ST-ACCTG-PRD PIC S9(10)V99 COMP-3.</t>
  </si>
  <si>
    <t>001300 05 DISTRBN-ST-2ND-ACCTG-PRD PIC S9(10)V99 COMP-3.</t>
  </si>
  <si>
    <t>001400 05 DISTRBN-ST-3RD-ACCTG-PRD PIC S9(10)V99 COMP-3.</t>
  </si>
  <si>
    <t>001500 05 DISTRBN-ST-4TH-ACCTG-PRD PIC S9(10)V99 COMP-3.</t>
  </si>
  <si>
    <t>000050 01 FARMS-REJECT-TRNSCTN.</t>
  </si>
  <si>
    <t>000100 05 MULTI-CARD-DATA-LGTH PIC S9(4) COMP.</t>
  </si>
  <si>
    <t>000200 05 REJECT-TRNSCTN-DATA.</t>
  </si>
  <si>
    <t>000300 10 FIRST-CARD-DATA PIC X(150).</t>
  </si>
  <si>
    <t>000400 10 MULTI-CARD-DATA OCCURS 1850</t>
  </si>
  <si>
    <t>000450 DEPENDING ON MULTI-CARD-DATA-LGTH PIC X(1).</t>
  </si>
  <si>
    <t>000050 01 FARMS-RENTL-CNTRL.</t>
  </si>
  <si>
    <t>000100 05 GEOG-ST-CDE-RENTL-CNTRL PIC 9(2).</t>
  </si>
  <si>
    <t>000200 05 NEXT-PROJ-NBR PIC 9(5).</t>
  </si>
  <si>
    <t>000300 05 PYMT-FCTR-NEW PIC S9(6) COMP-3.</t>
  </si>
  <si>
    <t>000400 05 PYMT-FCTR-EXSTG PIC S9(6) COMP-3.</t>
  </si>
  <si>
    <t>000500 05 ALTMT-UNITS-NEW PIC S9(6) COMP-3.</t>
  </si>
  <si>
    <t>000600 05 OBLGD-UNITS-NEW PIC S9(6) COMP-3.</t>
  </si>
  <si>
    <t>000700 05 ALTMT-UNITS-EXSTG PIC S9(6) COMP-3.</t>
  </si>
  <si>
    <t>000800 05 OBLGD-UNITS-EXSTG PIC S9(6) COMP-3.</t>
  </si>
  <si>
    <t>000900 05 OBLGN-LONG-TERM-CNTRL PIC S9(12)V99 COMP-3.</t>
  </si>
  <si>
    <t>001000 05 PYMTS-RENTL PIC S9(11)V99 COMP-3.</t>
  </si>
  <si>
    <t>001100 05 OBLGNS-UNLGDTD-CNTRL PIC S9(11)V99 COMP-3.</t>
  </si>
  <si>
    <t>001200 05 FAM-UNIT-OBLGD-TTL PIC S9(8) COMP-3.</t>
  </si>
  <si>
    <t>001300 05 SR-CITS-UNIT-OBLGD-TTL PIC S9(8) COMP-3.</t>
  </si>
  <si>
    <t>001400 05 FILLER PIC X.</t>
  </si>
  <si>
    <t>000050 01 FARMS-RENTL-DTL.</t>
  </si>
  <si>
    <t>000100 05 PROJ-NBR PIC 9(6).</t>
  </si>
  <si>
    <t>000200 05 PROJ-TYP-CDE PIC 9(1).</t>
  </si>
  <si>
    <t>000300 05 LN-TYP-CDE PIC 9(2).</t>
  </si>
  <si>
    <t>000400 05 FY-PLDGD-PROJ PIC 99.</t>
  </si>
  <si>
    <t>000500 05 FAM-UNITS-OBLGD PIC S9(4) COMP-3.</t>
  </si>
  <si>
    <t>000600 05 SR-CITS-UNITS-OBLGD PIC S9(4) COMP-3.</t>
  </si>
  <si>
    <t>000700 05 UNITS-PROJ-TTL PIC S9(4) COMP-3.</t>
  </si>
  <si>
    <t>000800 05 UNITS-LST-PYMT PIC S9(4) COMP-3.</t>
  </si>
  <si>
    <t>000900 05 UNITS-CUR-FY-PD PIC S9(4) COMP-3.</t>
  </si>
  <si>
    <t>001000 05 LST-PYMT-AMT PIC S9(7)V99 COMP-3.</t>
  </si>
  <si>
    <t>001100 05 PYMTS-CUR-FY PIC S9(7)V99 COMP-3.</t>
  </si>
  <si>
    <t>001200 05 PYMTS-CUM PIC S9(7)V99 COMP-3.</t>
  </si>
  <si>
    <t>001300 05 OBLGN-CUR-FY PIC S9(8)V99 COMP-3.</t>
  </si>
  <si>
    <t>001400 05 OBLGN-LONG-TERM PIC S9(8)V99 COMP-3.</t>
  </si>
  <si>
    <t>001500 05 OBLGNS-UNLGDTD PIC S9(8)V99 COMP-3.</t>
  </si>
  <si>
    <t>001600 05 DTE-OBLGN-RENTL PIC 9(06).</t>
  </si>
  <si>
    <t>001700 05 DTE-OBLGN-RGSTR PIC 9(06).</t>
  </si>
  <si>
    <t>001800 05 DTE-LST-CK PIC 9(06).</t>
  </si>
  <si>
    <t>001900 05 DTE-LST-CK-RGSTR PIC 9(06).</t>
  </si>
  <si>
    <t>002000 05 DTE-INT-ASSTNC PIC 9(06).</t>
  </si>
  <si>
    <t>002100 05 RGSTR-TYP-LST-CHNG-RENTL PIC 9(2).</t>
  </si>
  <si>
    <t>002200 05 DTE-LST-RGSTR-DTL-RENTL PIC 9(06).</t>
  </si>
  <si>
    <t>002300 05 FULLY-DISBRSD-CDE PIC X(3).</t>
  </si>
  <si>
    <t>000050 01 FARMS-RENTL-FY-UNIT.</t>
  </si>
  <si>
    <t>000100 05 FY-UNITS-OBLGD PIC 9(2).</t>
  </si>
  <si>
    <t>000200 05 FAM-UNITS-OBLGD-FY PIC S9(4) COMP-3.</t>
  </si>
  <si>
    <t>000300 05 SR-CITS-UNITS-FY PIC S9(4) COMP-3.</t>
  </si>
  <si>
    <t>000050 01 FARMS-RENTL-TTL.</t>
  </si>
  <si>
    <t>000100 05 TYP-DATA-RENTL-TTL PIC X(03).</t>
  </si>
  <si>
    <t>000200 05 RENTL-TTL-DATA OCCURS 3.</t>
  </si>
  <si>
    <t>000300 10 OBLGD-FAM-AMT PIC S9(10)V99 COMP-3.</t>
  </si>
  <si>
    <t>000400 10 OBLGD-SR-CITS-AMT PIC S9(8)V99 COMP-3.</t>
  </si>
  <si>
    <t>000500 10 PYMT-RCVD-AMT PIC S9(10)V99 COMP-3.</t>
  </si>
  <si>
    <t>000600 10 OBLGD-FAM-UNITS PIC S9(6) COMP-3.</t>
  </si>
  <si>
    <t>000700 10 OBLGD-SR-CITS-UNITS PIC S9(4) COMP-3.</t>
  </si>
  <si>
    <t>000800 10 UNITS-PD-CUR-YR PIC S9(6) COMP-3.</t>
  </si>
  <si>
    <t>000900 10 PROJS-TTL PIC S9(5) COMP-3.</t>
  </si>
  <si>
    <t>001000 05 FILLER PIC XXX.</t>
  </si>
  <si>
    <t>000050 01 FARMS-RESCHEDULE.</t>
  </si>
  <si>
    <t>000100 05 DTE-RVSD-PYMT-AGRMT-EFCTV PIC 9(06).</t>
  </si>
  <si>
    <t>000200 05 DELQ-AMT-AS-OF-RESCHED-AGRMT PIC S9(7)V99 COMP-3.</t>
  </si>
  <si>
    <t>000300 05 RVSD-PYMT-INSTLMT-AMT PIC S9(5)V99 COMP-3.</t>
  </si>
  <si>
    <t>000050 01 FARMS-RH-DFRL.</t>
  </si>
  <si>
    <t>000100 05 RH-DFRD-MORT-CDE PIC 9(1).</t>
  </si>
  <si>
    <t>000200 05 PR-DFRD-AMT PIC S9(5)V99 COMP-3.</t>
  </si>
  <si>
    <t>000300 05 CUR-MO-DFRD-AMT PIC S9(5)V99 COMP-3.</t>
  </si>
  <si>
    <t>000400 05 CUR-ANL-DFRD-AMT PIC S9(5)V99 COMP-3.</t>
  </si>
  <si>
    <t>000500 05 DTE-INIT-DFRL PIC 9(6).</t>
  </si>
  <si>
    <t>000600 05 DTE-CUR-DFRL PIC 9(6).</t>
  </si>
  <si>
    <t>000700 05 DTE-CUR-DFRL-EXPRTN PIC 9(6).</t>
  </si>
  <si>
    <t>000800 05 DTE-LST-CNCLTN PIC 9(6).</t>
  </si>
  <si>
    <t>000900 05 CUM-DFRD-PRIN-CR-AMT PIC S9(5)V99 COMP-3.</t>
  </si>
  <si>
    <t>001000 05 CUM-DFRD-DUE-RCVB-AMT PIC S9(5)V99 COMP-3.</t>
  </si>
  <si>
    <t>001100 05 DFRD-PRIN-PD-AMT PIC S9(5)V99 COMP-3.</t>
  </si>
  <si>
    <t>001200 05 CUM-DFRD-INT-CR-AMT PIC S9(5)V99 COMP-3.</t>
  </si>
  <si>
    <t>001300 05 DFRD-INT-PD-AMT PIC S9(5)V99 COMP-3.</t>
  </si>
  <si>
    <t>001400 05 ACCRD-INT-PD-AMT PIC S9(5)V99 COMP-3.</t>
  </si>
  <si>
    <t>001500 05 CUR-DFRD-MORT-INSTLMT-AMT PIC S9(5)V99 COMP-3.</t>
  </si>
  <si>
    <t>001600 05 DTE-LST-CSH-CR PIC 9(6).</t>
  </si>
  <si>
    <t>001700 05 NON-CSH-CR-AMT PIC S9(5)V99 COMP-3.</t>
  </si>
  <si>
    <t>001800 05 SCHED-STAT-DFRL PIC S9(5)V99 COMP-3.</t>
  </si>
  <si>
    <t>001900 05 CR-NON-CSH-APPLTN-TYP-CDE PIC X(1).</t>
  </si>
  <si>
    <t>002000 05 DTE-LST-NON-CSH-CR PIC 9(06).</t>
  </si>
  <si>
    <t>002100 05 INT-FCL-LN-DFRL PIC S9(5)V99 COMP-3.</t>
  </si>
  <si>
    <t>002200 05 FILLER PIC X(0034).</t>
  </si>
  <si>
    <t>000050 01 FARMS-SRCFDS.</t>
  </si>
  <si>
    <t>000100 05 SRC-FDS-CDE PIC 9(1).</t>
  </si>
  <si>
    <t>000200 05 FILLER PIC X(0099).</t>
  </si>
  <si>
    <t>000050 01 FARMS-ST-LOOKUP.</t>
  </si>
  <si>
    <t>000200 05 SRVCG-OFC-CDE-ST PIC 9(2).</t>
  </si>
  <si>
    <t>000300 05 NME-ST PIC X(14).</t>
  </si>
  <si>
    <t>000400 05 ST-ABBR PIC A(2).</t>
  </si>
  <si>
    <t>000500 05 HQ-TWN PIC X(20).</t>
  </si>
  <si>
    <t>000600 05 RGN-CDE PIC 9(1).</t>
  </si>
  <si>
    <t>000700 05 ST-OFC-CNTRL-CDE PIC 9(1).</t>
  </si>
  <si>
    <t>000800 05 FILLER PIC XX.</t>
  </si>
  <si>
    <t>000050 01 FARMS-STAT.</t>
  </si>
  <si>
    <t>000100 05 STAT-COURT-ACTN-PNDG PIC 9(1).</t>
  </si>
  <si>
    <t>000200 05 STAT-FRCL-ACTN-PNDG PIC 9(1).</t>
  </si>
  <si>
    <t>000300 05 STAT-BANKRUPTCY PIC 9(1).</t>
  </si>
  <si>
    <t>000400 05 STAT-3RD-PARTY-JDGMT PIC 9(1).</t>
  </si>
  <si>
    <t>000500 05 STAT-TRF-PNDG PIC 9(1).</t>
  </si>
  <si>
    <t>000600 05 STAT-SUBJ-TO-ADJMT PIC 9(1).</t>
  </si>
  <si>
    <t>000700 05 STAT-MRTM PIC 9(1).</t>
  </si>
  <si>
    <t>000800 05 DTE-FRCL-OR-CNVYNC-ACTN PIC 9(4).</t>
  </si>
  <si>
    <t>000900 05 STAT-ACCLTN PIC X(1).</t>
  </si>
  <si>
    <t>000050 01 FARMS-STOPPER.</t>
  </si>
  <si>
    <t>000100 05 FILLER PIC X(0200).</t>
  </si>
  <si>
    <t>000050 01 FARMS-SUBSIDY.</t>
  </si>
  <si>
    <t>000100 05 CUR-SBSY-AMT PIC S9(5) COMP-3.</t>
  </si>
  <si>
    <t>000200 05 PR-SBSY-AMT PIC S9(5) COMP-3.</t>
  </si>
  <si>
    <t>000300 05 PRIN-CR-SBSY PIC S9(7)V99 COMP-3.</t>
  </si>
  <si>
    <t>000400 05 INT-CR-SBSY PIC S9(7)V99 COMP-3.</t>
  </si>
  <si>
    <t>000500 05 INT-ASSTNC-CUM-AMT PIC S9(7)V99 COMP-3.</t>
  </si>
  <si>
    <t>000600 05 SBSY-RECPTR-CDE PIC 9.</t>
  </si>
  <si>
    <t>000700 05 EFCTV-DTE-SBSY-AGRMT.</t>
  </si>
  <si>
    <t>000800 10 EFCTV-MO-SBSY-AGRMT PIC 9(2).</t>
  </si>
  <si>
    <t>000900 10 EFCTV-DAY-SBSY-AGRMT PIC 9(2).</t>
  </si>
  <si>
    <t>001000 10 EFCTV-YR-SBSY-AGRMT PIC 9(2).</t>
  </si>
  <si>
    <t>001100 05 EXPRTN-DTE-SBSY-AGRMT.</t>
  </si>
  <si>
    <t>001200 10 EXPRTN-MO-SBSY-AGRMT PIC 9(2).</t>
  </si>
  <si>
    <t>001300 10 EXPRTN-DAY-SBSY-AGRMT PIC 9(2).</t>
  </si>
  <si>
    <t>001400 10 EXPRTN-YR-SBSY-AGRMT PIC 9(2).</t>
  </si>
  <si>
    <t>001500 05 DTE-SBSY-CNVSN.</t>
  </si>
  <si>
    <t>001600 10 MO-SBSY-CNVSN PIC 9(2).</t>
  </si>
  <si>
    <t>001700 10 DAY-SBSY-CNVSN PIC 9(2).</t>
  </si>
  <si>
    <t>001800 10 YR-SBSY-CNVSN PIC 9(2).</t>
  </si>
  <si>
    <t>001900 05 PRIN-REDCTN-SBSY PIC S9(7)V99 COMP-3.</t>
  </si>
  <si>
    <t>002000 05 UNPD-PRIN-CNVSN PIC S9(7)V99 COMP-3.</t>
  </si>
  <si>
    <t>002100 05 FILLER PIC X(0006).</t>
  </si>
  <si>
    <t>000050 01 FARMS-SUBSRC.</t>
  </si>
  <si>
    <t>000200 05 SRC-FDS-CDE PIC 9(1).</t>
  </si>
  <si>
    <t>000300 05 FILLER PIC X(20).</t>
  </si>
  <si>
    <t>000050 01 FARMS-TRNSCTN-CNTRL.</t>
  </si>
  <si>
    <t>000100 05 TRNSCTN-CNTRL-KEY PIC X(2).</t>
  </si>
  <si>
    <t>000200 05 FILLER PIC XX.</t>
  </si>
  <si>
    <t>000050 01 FARMS-TRNSCTN-RVRSL.</t>
  </si>
  <si>
    <t>000200 05 LN-AMT PIC S9(7)V99 COMP-3.</t>
  </si>
  <si>
    <t>000300 05 RECVRBL-CST-CHGS PIC S9(7)V99 COMP-3.</t>
  </si>
  <si>
    <t>000400 05 PRIN-CR-LN PIC S9(7)V99 COMP-3.</t>
  </si>
  <si>
    <t>000500 05 INT-CR-LN PIC S9(7)V99 COMP-3.</t>
  </si>
  <si>
    <t>000600 05 INT-FCL-LN PIC S9(7)V99 COMP-3.</t>
  </si>
  <si>
    <t>000700 05 CHGS-ADVNC-FROM-FD PIC S9(7)V99 COMP-3.</t>
  </si>
  <si>
    <t>000800 05 PRIN-CR-ADVNC-FROM-FD PIC S9(7)V99 COMP-3.</t>
  </si>
  <si>
    <t>000900 05 INT-CR-ADVNC-FROM-FD PIC S9(7)V99 COMP-3.</t>
  </si>
  <si>
    <t>001000 05 INT-FCL-FROM-ADVNC-DTE PIC S9(7)V99 COMP-3.</t>
  </si>
  <si>
    <t>001100 05 INSRNC-CHGS-CUM-AMT PIC S9(5)V99 COMP-3.</t>
  </si>
  <si>
    <t>001200 05 PRIN-CR-INSRNC-CHG-CUM PIC S9(5)V99 COMP-3.</t>
  </si>
  <si>
    <t>001300 05 CASE-NBR-TRFEE.</t>
  </si>
  <si>
    <t>001400 10 ST-CDE-TRFEE PIC 9(2).</t>
  </si>
  <si>
    <t>001500 10 CTY-CDE-TRFEE PIC 9(3).</t>
  </si>
  <si>
    <t>001600 10 ID-NBR-TRFEE PIC 9(10).</t>
  </si>
  <si>
    <t>001700 05 FD-CDE.</t>
  </si>
  <si>
    <t>001800 10 FD-CDE-3.</t>
  </si>
  <si>
    <t>001900 15 FD-CDE-2 PIC 9(2).</t>
  </si>
  <si>
    <t>002000 15 FD-CDE-3RD PIC 9(1).</t>
  </si>
  <si>
    <t>002100 10 FD-CDE-4TH PIC 9(1).</t>
  </si>
  <si>
    <t>002200 05 LN-NBR PIC 9(2).</t>
  </si>
  <si>
    <t>002300 05 PROCG-TYP-CDE PIC X(1).</t>
  </si>
  <si>
    <t>002400 05 DFRD-INT-LN-AMT PIC S9(6)V99 COMP-3.</t>
  </si>
  <si>
    <t>002500 05 NON-CPTLZD-INT-LN-AMT PIC S9(7)V99 COMP-3.</t>
  </si>
  <si>
    <t>002600 05 DFRD-NON-CPTLZD-INT-AMT PIC S9(07)V99 COMP-3.</t>
  </si>
  <si>
    <t>002700 05 CPTLZD-INT PIC S9(7)V99 COMP-3.</t>
  </si>
  <si>
    <t>002800 05 FILLER PIC X(0003).</t>
  </si>
  <si>
    <t>000050 01 FARMS-TRRATE.</t>
  </si>
  <si>
    <t>000100 05 TRSRY-RATE-KEY.</t>
  </si>
  <si>
    <t>000200 10 TRSRY-YR PIC 9(04).</t>
  </si>
  <si>
    <t>000300 10 MTURTY-RNGE-CDE PIC 9(01).</t>
  </si>
  <si>
    <t>000400 05 QTR-RATE OCCURS 4 PIC V9(04).</t>
  </si>
  <si>
    <t>000500 05 FILLER PIC X(0027).</t>
  </si>
  <si>
    <t>000050 01 FARMS-TRSTR.</t>
  </si>
  <si>
    <t>000100 05 TRSRY-CALC-KEY.</t>
  </si>
  <si>
    <t>000400 10 TRSRY-SYM-CDE PIC X(07).</t>
  </si>
  <si>
    <t>000500 10 COHORT-CDE PIC 9(3).</t>
  </si>
  <si>
    <t>000600 05 FILLER PIC X(0025).</t>
  </si>
  <si>
    <t>000050 01 FARMS-USER-AUTHY.</t>
  </si>
  <si>
    <t>000100 05 TRNSCTN-AUTHY-CDE PIC XX.</t>
  </si>
  <si>
    <t>000200 05 TRNSCTN-CNT PIC X(3).</t>
  </si>
  <si>
    <t>000300 05 TRNSCTN-CDE-UPDTE OCCURS 200 PIC X(2).</t>
  </si>
  <si>
    <t>000400 05 FILLER PIC X(0011).</t>
  </si>
  <si>
    <t>000050 01 FARMS-USER-DOMAIN.</t>
  </si>
  <si>
    <t>000100 05 DTE-LST-UPDTE PIC 9(6).</t>
  </si>
  <si>
    <t>000200 05 ST-CTY-CDE-FMHA.</t>
  </si>
  <si>
    <t>000300 10 ST-CDE-FMHA PIC 9(2).</t>
  </si>
  <si>
    <t>000400 10 CTY-CDE-FMHA PIC 9(3).</t>
  </si>
  <si>
    <t>000500 05 NME-CTY PIC X(20).</t>
  </si>
  <si>
    <t>000050 01 FARMS-USER-STATCS.</t>
  </si>
  <si>
    <t>000100 05 RPT-RQST-CDE PIC X(1).</t>
  </si>
  <si>
    <t>000200 05 LST-LGN-DTE PIC 9(6).</t>
  </si>
  <si>
    <t>000300 05 TRNSCTN-TTL-CNT PIC 9(7) COMP-3.</t>
  </si>
  <si>
    <t>000400 05 TIME-START.</t>
  </si>
  <si>
    <t>000500 10 HR-START PIC 99.</t>
  </si>
  <si>
    <t>000600 10 MIN-START PIC 99.</t>
  </si>
  <si>
    <t>000700 05 OPTN-CDE PIC X(1).</t>
  </si>
  <si>
    <t>000800 05 OPTN-CLS OCCURS 2.</t>
  </si>
  <si>
    <t>000900 10 ACCMLTD-TIME-DTD PIC 9(4)V99.</t>
  </si>
  <si>
    <t>001000 10 TRNSCTN-TTL-CNT-DTD PIC 9(7) COMP-3.</t>
  </si>
  <si>
    <t>001100 10 ACCMLTD-TIME-MTD PIC 9(4)V99.</t>
  </si>
  <si>
    <t>001200 10 TRNSCTN-TTL-CNT-MTD PIC 9(7) COMP-3.</t>
  </si>
  <si>
    <t>001300 10 ACCMLTD-TIME-YTD PIC 9(4)V99.</t>
  </si>
  <si>
    <t>001400 10 TRNSCTN-TTL-CNT-YTD PIC 9(7) COMP-3.</t>
  </si>
  <si>
    <t>000050 01 FARMS-USERS.</t>
  </si>
  <si>
    <t>000100 05 USER-ID.</t>
  </si>
  <si>
    <t>000200 10 AUTHY-CDE-TRML-OPRTR PIC X(1).</t>
  </si>
  <si>
    <t>000300 10 PRFCY-LVL-TRML-OPRTR PIC X.</t>
  </si>
  <si>
    <t>000400 88 NO-UP-AUTHTY-CDE VALUE '0'.</t>
  </si>
  <si>
    <t>000500 88 UP-AUTHTY-CDE VALUE '1'.</t>
  </si>
  <si>
    <t>000600 10 FILLER PIC X(1).</t>
  </si>
  <si>
    <t>000700 10 ID-TRML-OPRTR PIC X(03).</t>
  </si>
  <si>
    <t>000800 05 USER-ID-ALT REDEFINES USER-ID PIC X(6).</t>
  </si>
  <si>
    <t>000900 05 SRVCG-OFC-CDE-CTY PIC 9(5).</t>
  </si>
  <si>
    <t>001000 05 ORGZTN-STRUC PIC 9(1).</t>
  </si>
  <si>
    <t>001100 05 SCRTY-INDCTR-CDE PIC 9(1).</t>
  </si>
  <si>
    <t>001200 05 TRNSCTN-AUTHY-CDE PIC XX.</t>
  </si>
  <si>
    <t>001300 05 FILLER PIC X.</t>
  </si>
  <si>
    <t>000050 01 FDBDGT.</t>
  </si>
  <si>
    <t>000100 05 FY-YR-MO.</t>
  </si>
  <si>
    <t>000300 10 FY-MO PIC 9(02).</t>
  </si>
  <si>
    <t>000050 01 FHARREC.</t>
  </si>
  <si>
    <t>000100 05 LOCTN-KEY-2.</t>
  </si>
  <si>
    <t>000200 10 LOCTN-LVL PIC X(1).</t>
  </si>
  <si>
    <t>000300 88 ST-LOCTN-LVL VALUE 'S'.</t>
  </si>
  <si>
    <t>000400 88 DST-LOCTN-LVL VALUE 'D'.</t>
  </si>
  <si>
    <t>000500 88 CTY-LOCTN-LVL VALUE 'C'.</t>
  </si>
  <si>
    <t>000600 10 ST-CDE-FMHA PIC 9(2).</t>
  </si>
  <si>
    <t>000700 10 CTY-CDE-FMHA PIC 9(3).</t>
  </si>
  <si>
    <t>000800 10 DST-CDE-FMHA PIC 9(3).</t>
  </si>
  <si>
    <t>000900 10 YR-MO.</t>
  </si>
  <si>
    <t>001000 15 YR PIC 9(2).</t>
  </si>
  <si>
    <t>001100 15 MO-GRGRN PIC 9(2).</t>
  </si>
  <si>
    <t>001200 05 MULTI-CARD-DATA-LGTH PIC S9(4) COMP.</t>
  </si>
  <si>
    <t>001300 05 FRM-HSG-ACTV-GRP OCCURS 1500</t>
  </si>
  <si>
    <t>001350 DEPENDING ON MULTI-CARD-DATA-LGTH-106.</t>
  </si>
  <si>
    <t>001400 10 LN-PROG-KEY PIC 9(2).</t>
  </si>
  <si>
    <t>001500 10 UPDTE-CDE PIC 9(01).</t>
  </si>
  <si>
    <t>001600 10 RACE-SEX-DESC-CDE PIC 9(2).</t>
  </si>
  <si>
    <t>001700 10 TBL-ELMT-CNT PIC S9(03).</t>
  </si>
  <si>
    <t>000050 01 FIELD-HN.</t>
  </si>
  <si>
    <t>000100 05 FLD-NME-SCRTY PIC X(20).</t>
  </si>
  <si>
    <t>000200 05 BFOR-VLU-SCRTY PIC X(53).</t>
  </si>
  <si>
    <t>000300 05 AFTR-VLU-SCRTY PIC X(53).</t>
  </si>
  <si>
    <t>000400 05 FILLER PIC X(0026).</t>
  </si>
  <si>
    <t>000050 01 GL-MSTACCT.</t>
  </si>
  <si>
    <t>000100 05 RD-TAX-ID PIC S9(9) COMP.</t>
  </si>
  <si>
    <t>000200 05 RD-ACCT-NBR PIC S9(9) COMP.</t>
  </si>
  <si>
    <t>000050 01 GLACCT.</t>
  </si>
  <si>
    <t>000100 05 ACCT-NBR PIC 9(4).</t>
  </si>
  <si>
    <t>000200 05 LINE-NBR-CDE.</t>
  </si>
  <si>
    <t>000300 10 PRFX-LINE-NBR PIC 99.</t>
  </si>
  <si>
    <t>000400 10 SFX-LINE-NBR PIC X.</t>
  </si>
  <si>
    <t>000500 10 SUB-SFX-LINE-NBR PIC 9.</t>
  </si>
  <si>
    <t>000600 05 MINOR-CDE-FLAG PIC 9.</t>
  </si>
  <si>
    <t>000700 05 ACCT-TITLE PIC X(50).</t>
  </si>
  <si>
    <t>000800 05 BAL-CDE PIC 9.</t>
  </si>
  <si>
    <t>000900 05 ENTY OCCURS 99 PIC 9.</t>
  </si>
  <si>
    <t>001000 05 DTE-LST-RGSTR-ACCT PIC 9(06).</t>
  </si>
  <si>
    <t>001100 05 FILLER PIC X(0035).</t>
  </si>
  <si>
    <t>000050 01 GLACCTC.</t>
  </si>
  <si>
    <t>000100 05 GL-CNTRL-KEY PIC 99 VALUE 01.</t>
  </si>
  <si>
    <t>000200 05 RCRD-CNT PIC 9(5).</t>
  </si>
  <si>
    <t>000300 05 DTE-LST-RGSTRCT PIC 9(06).</t>
  </si>
  <si>
    <t>000400 05 FILLER PIC XXX.</t>
  </si>
  <si>
    <t>000050 01 GLBLKC.</t>
  </si>
  <si>
    <t>000100 05 ENTY-BLK-NBR.</t>
  </si>
  <si>
    <t>000300 10 ENTY-CDE PIC 9(2).</t>
  </si>
  <si>
    <t>000400 10 BLK-NBR-5 PIC 9(5).</t>
  </si>
  <si>
    <t>000500 05 SBSDRY-ACCT-HASH-TTL PIC S9(5) COMP-3.</t>
  </si>
  <si>
    <t>000600 05 ACCT-NBRS-HASH-TTL PIC S9(7) COMP-3.</t>
  </si>
  <si>
    <t>000700 05 MINOR-CDE-HASH-TTL PIC S9(5) COMP-3.</t>
  </si>
  <si>
    <t>000800 05 DR-AMT-INDIV-GL-ACCTS PIC S9(13)V99 COMP-3.</t>
  </si>
  <si>
    <t>000900 05 CR-AMT-INDIV-GL-ACCTS PIC S9(13)V99 COMP-3.</t>
  </si>
  <si>
    <t>001000 05 USER-INITS PIC X(3).</t>
  </si>
  <si>
    <t>001100 05 FILLER PIC X(0002).</t>
  </si>
  <si>
    <t>000050 01 GLBLKD.</t>
  </si>
  <si>
    <t>000200 05 MINOR-CDE PIC 9(3).</t>
  </si>
  <si>
    <t>000300 05 FD-CDE.</t>
  </si>
  <si>
    <t>000400 10 FD-CDE-3.</t>
  </si>
  <si>
    <t>000500 15 FD-CDE-2 PIC 9(2).</t>
  </si>
  <si>
    <t>000600 15 FD-CDE-3RD PIC 9(1).</t>
  </si>
  <si>
    <t>000700 10 FD-CDE-4TH PIC 9(1).</t>
  </si>
  <si>
    <t>000800 05 TRNSCTN-CDE PIC 999.</t>
  </si>
  <si>
    <t>000900 05 DTE-END-OF-MO PIC 9(6).</t>
  </si>
  <si>
    <t>001000 05 PURP-CDE-1 PIC 9.</t>
  </si>
  <si>
    <t>001100 05 DR-AMT-INDIV-GL-ACCTS PIC S9(13)V99 COMP-3.</t>
  </si>
  <si>
    <t>001200 05 CR-AMT-INDIV-GL-ACCTS PIC S9(13)V99 COMP-3.</t>
  </si>
  <si>
    <t>001300 05 MO-ACTV PIC 99.</t>
  </si>
  <si>
    <t>001400 05 RGSTR-TYP-CDE PIC 99.</t>
  </si>
  <si>
    <t>001500 05 TIME-STNDS-DATA PIC 9(4).</t>
  </si>
  <si>
    <t>001600 05 USER-INITS PIC X(3).</t>
  </si>
  <si>
    <t>001700 05 FILLER PIC X(0004).</t>
  </si>
  <si>
    <t>000050 01 GLCNTRL.</t>
  </si>
  <si>
    <t>000200 05 ENTRY-TRNSCTNS-CNTRL-TTL PIC S9(10) COMP-3.</t>
  </si>
  <si>
    <t>000300 05 ENTRY-FUNDS-CNTRL-TTL PIC S9(10) COMP-3.</t>
  </si>
  <si>
    <t>000400 05 MINOR-CDES-CNTRL-TTL PIC S9(10) COMP-3.</t>
  </si>
  <si>
    <t>000500 05 ACCT-TITLES-CNTRL-TTL PIC S9(10) COMP-3.</t>
  </si>
  <si>
    <t>000600 05 DLY-RGSTR-DRS PIC S9(12)V99 COMP-3.</t>
  </si>
  <si>
    <t>000700 05 DLY-RGSTR-CRS PIC S9(12)V99 COMP-3.</t>
  </si>
  <si>
    <t>000800 05 FILLER PIC X(0006).</t>
  </si>
  <si>
    <t>000050 01 GLENTRY.</t>
  </si>
  <si>
    <t>000100 05 ASSOC-TRNSCTN-CDE.</t>
  </si>
  <si>
    <t>000200 10 INDIV-ASSOC-CDE PIC 9.</t>
  </si>
  <si>
    <t>000300 10 TRNSCTN-CDE PIC 999.</t>
  </si>
  <si>
    <t>000400 10 FD-CDE-2 PIC 9(2).</t>
  </si>
  <si>
    <t>000500 05 POS-NEG-CDE PIC 9.</t>
  </si>
  <si>
    <t>000600 05 DR-INT OCCURS 5 PIC 9(7).</t>
  </si>
  <si>
    <t>000700 05 CR-INT OCCURS 5 PIC 9(7).</t>
  </si>
  <si>
    <t>000800 05 DR-PRIN OCCURS 5 PIC 9(7).</t>
  </si>
  <si>
    <t>000900 05 CR-PRIN OCCURS 5 PIC 9(7).</t>
  </si>
  <si>
    <t>001000 05 DR-RTND-INT OCCURS 2 PIC 9(7).</t>
  </si>
  <si>
    <t>001100 05 CR-RTND-INT OCCURS 2 PIC 9(7).</t>
  </si>
  <si>
    <t>001200 05 DTE-LST-RGSTR-ACCT PIC 9(06).</t>
  </si>
  <si>
    <t>001300 05 FILLER PIC X(0019).</t>
  </si>
  <si>
    <t>000050 01 GLENTTL.</t>
  </si>
  <si>
    <t>000100 05 FY-ENTY-CDE.</t>
  </si>
  <si>
    <t>000400 05 ACCT-NBRS-CNTRL-TTL PIC S9(8) COMP-3.</t>
  </si>
  <si>
    <t>000500 05 MINOR-CDE-CNTRL-TTL PIC S9(7) COMP-3.</t>
  </si>
  <si>
    <t>000600 05 CUR-ACCT-BAL-TTL-DRS PIC S9(13)V99 COMP-3.</t>
  </si>
  <si>
    <t>000700 05 CUR-ACCT-BAL-TTL-CRS PIC S9(13)V99 COMP-3.</t>
  </si>
  <si>
    <t>000800 05 PR-YR-ENDG-BAL-CNTRL-TTL PIC S9(13)V99 COMP-3.</t>
  </si>
  <si>
    <t>000900 05 CUR-PROC-MO PIC 99.</t>
  </si>
  <si>
    <t>001100 05 ENTY-TITLE PIC X(60).</t>
  </si>
  <si>
    <t>001200 05 AGCY-TITLE PIC X(50).</t>
  </si>
  <si>
    <t>001300 05 ENTY-SUB-TITLE PIC X(35).</t>
  </si>
  <si>
    <t>001400 05 FILLER PIC X(0034).</t>
  </si>
  <si>
    <t>000050 01 GLMNCDE.</t>
  </si>
  <si>
    <t>000100 05 MINOR-CDE PIC 999.</t>
  </si>
  <si>
    <t>000200 05 ENTY OCCURS 99 PIC 9.</t>
  </si>
  <si>
    <t>000300 05 MINOR-CDE-TITLE PIC X(50).</t>
  </si>
  <si>
    <t>000400 05 DTE-LST-RGSTR-ACCT PIC 9(06).</t>
  </si>
  <si>
    <t>000500 05 FILLER PIC X(0012).</t>
  </si>
  <si>
    <t>000050 01 GLMNCDEC.</t>
  </si>
  <si>
    <t>000300 05 DTE-LST-RGSTR-ACCT PIC 9(06).</t>
  </si>
  <si>
    <t>000050 01 GLMSTR.</t>
  </si>
  <si>
    <t>000100 05 ENTY-ACCT-MINOR-CDE.</t>
  </si>
  <si>
    <t>000400 10 ACCT-NBR PIC 9(4).</t>
  </si>
  <si>
    <t>000500 10 MINOR-CDE PIC 999.</t>
  </si>
  <si>
    <t>000600 05 CUR-MO-CDE PIC 99.</t>
  </si>
  <si>
    <t>000700 05 CUR-ACCT-BAL PIC S9(13)V99 COMP-3.</t>
  </si>
  <si>
    <t>000800 05 PR-YR-ENDG-BAL PIC S9(13)V99 COMP-3.</t>
  </si>
  <si>
    <t>000900 05 GL-MO-ACTV OCCURS 12 PIC S9(13)V99 COMP-3.</t>
  </si>
  <si>
    <t>001000 05 CLSG-ENTRIES PIC S9(13)V99 COMP-3.</t>
  </si>
  <si>
    <t>001100 05 CUR-MO-PR-YR-ACTV PIC S9(13)V99 COMP-3.</t>
  </si>
  <si>
    <t>001200 05 SUBQ-MO-PR-YR-ACTV OCCURS 3 PIC S9(13)V99 COMP-3.</t>
  </si>
  <si>
    <t>001300 05 MEMO-ACCT-BAL PIC S9(13)V99 COMP-3.</t>
  </si>
  <si>
    <t>001400 05 PREV-BAL-CNTR PIC S9(13)V99 COMP-3.</t>
  </si>
  <si>
    <t>001500 05 DTE-LST-RGSTR-ACCT PIC 9(06).</t>
  </si>
  <si>
    <t>001600 05 RGSTR-TYP-CDE PIC 9(2).</t>
  </si>
  <si>
    <t>001700 05 CTRY-DIGIT PIC 9(1).</t>
  </si>
  <si>
    <t>001800 05 FILLER PIC X(0010).</t>
  </si>
  <si>
    <t>000050 01 GLNTRYC.</t>
  </si>
  <si>
    <t>000100 05 BLK-NBR-5 PIC 9(5).</t>
  </si>
  <si>
    <t>000200 05 TRNSCTN-CDES-HASH-TTL PIC S9(5) COMP-3.</t>
  </si>
  <si>
    <t>000300 05 FD-CDES-HASH-TTL PIC S9(4) COMP-3.</t>
  </si>
  <si>
    <t>000400 05 USER-INITS PIC X(3).</t>
  </si>
  <si>
    <t>000500 05 UPDTR-INITS PIC X(3).</t>
  </si>
  <si>
    <t>000600 05 TIME-STNDS-DATA PIC 9(4).</t>
  </si>
  <si>
    <t>000700 05 FILLER PIC 9(0007).</t>
  </si>
  <si>
    <t>000050 01 GLNTRYD.</t>
  </si>
  <si>
    <t>000100 05 INDIV-ASSOC-CDE PIC 9.</t>
  </si>
  <si>
    <t>000200 05 TRNSCTN-CDE PIC 9(3).</t>
  </si>
  <si>
    <t>000300 05 FD-CDE-3RD-4TH PIC 9(2).</t>
  </si>
  <si>
    <t>000400 05 RCRD-CNTRL-CDE PIC 9(1).</t>
  </si>
  <si>
    <t>000500 05 SIGN-1 PIC X(1).</t>
  </si>
  <si>
    <t>000600 05 INSRNC-CHG-CDE PIC 9.</t>
  </si>
  <si>
    <t>000700 05 DR-AMT-INT-PRIN-RTND OCCURS 5 PIC S9(7) COMP-3.</t>
  </si>
  <si>
    <t>000800 05 CR-AMT-INT-PRIN-RTND OCCURS 5 PIC S9(7) COMP-3.</t>
  </si>
  <si>
    <t>000900 05 DR-REMVL-INDCTR PIC X.</t>
  </si>
  <si>
    <t>001000 05 CR-REMVL-INDCTR PIC X.</t>
  </si>
  <si>
    <t>001100 05 FILLER PIC X(0005).</t>
  </si>
  <si>
    <t>000050 01 GLOVA.</t>
  </si>
  <si>
    <t>000100 05 GL-ACCTS-ENTRY-KEY-EXPND.</t>
  </si>
  <si>
    <t>000300 10 APROPTN-CDE-EXPND PIC 9(3).</t>
  </si>
  <si>
    <t>000400 10 PROG-PLANG-BDGTG-CDE.</t>
  </si>
  <si>
    <t>000500 15 PPB-CDE-1ST PIC 9.</t>
  </si>
  <si>
    <t>000600 15 PPB-CDE-2-3 PIC 9(2).</t>
  </si>
  <si>
    <t>000700 10 MAJ-CLS-EXPND PIC 9(3).</t>
  </si>
  <si>
    <t>000800 10 OBLGN-EXPNTR-CDE.</t>
  </si>
  <si>
    <t>000900 15 SBMSN-CDE PIC 9(1).</t>
  </si>
  <si>
    <t>001000 15 PURP-CDE PIC 9(2).</t>
  </si>
  <si>
    <t>001100 10 TRNSCTN-CDE-UPDTE PIC X(2).</t>
  </si>
  <si>
    <t>001200 10 GRP-OF-ALTMT-CDE PIC X(3).</t>
  </si>
  <si>
    <t>001300 05 ENTY-CDE PIC 9(2).</t>
  </si>
  <si>
    <t>001400 05 OBLGN-ACCTS-DR-ODR OCCURS 5.</t>
  </si>
  <si>
    <t>001500 10 ACCT-NBR-ODR PIC 9(4).</t>
  </si>
  <si>
    <t>001600 10 MINOR-CDE-ODR PIC 999.</t>
  </si>
  <si>
    <t>001700 05 OBLGN-ACCTS-CR-OCR OCCURS 5.</t>
  </si>
  <si>
    <t>001800 10 ACCT-NBR-OCR PIC 9(4).</t>
  </si>
  <si>
    <t>001900 10 MINOR-CDE-OCR PIC 999.</t>
  </si>
  <si>
    <t>002000 05 VOU-ACCTS-DR-VDR OCCURS 5.</t>
  </si>
  <si>
    <t>002100 10 ACCT-NBR-VDR PIC 9(4).</t>
  </si>
  <si>
    <t>002200 10 MINOR-CDE-VDR PIC 999.</t>
  </si>
  <si>
    <t>002300 05 VOU-ACCTS-CR-VCR OCCURS 5.</t>
  </si>
  <si>
    <t>002400 10 ACCT-NBR-VCR PIC 9(4).</t>
  </si>
  <si>
    <t>002500 10 MINOR-CDE-VCR PIC 999.</t>
  </si>
  <si>
    <t>002600 05 ALTMT-ACCTS-DR-ADR OCCURS 5.</t>
  </si>
  <si>
    <t>002700 10 ACCT-NBR-ADR PIC 9(4).</t>
  </si>
  <si>
    <t>002800 10 MINOR-CDE-ADR PIC 999.</t>
  </si>
  <si>
    <t>002900 05 ALTMT-ACCTS-CR-ACR OCCURS 5.</t>
  </si>
  <si>
    <t>003000 10 ACCT-NBR-ACR PIC 9(4).</t>
  </si>
  <si>
    <t>003100 10 MINOR-CDE-ACR PIC 999.</t>
  </si>
  <si>
    <t>003200 05 DTE-LST-UPDTE PIC 9(6).</t>
  </si>
  <si>
    <t>003300 05 USER-ID.</t>
  </si>
  <si>
    <t>003400 10 AUTHY-CDE-TRML-OPRTR PIC X(1).</t>
  </si>
  <si>
    <t>003500 10 PRFCY-LVL-TRML-OPRTR PIC X.</t>
  </si>
  <si>
    <t>003600 88 NO-UP-AUTHTY-CDE VALUE '0'.</t>
  </si>
  <si>
    <t>003700 88 UP-AUTHTY-CDE VALUE '1'.</t>
  </si>
  <si>
    <t>003800 10 FILLER PIC X(1).</t>
  </si>
  <si>
    <t>003900 10 ID-TRML-OPRTR PIC X(03).</t>
  </si>
  <si>
    <t>004000 05 FILLER PIC X(0057).</t>
  </si>
  <si>
    <t>000050 01 HEAROFC.</t>
  </si>
  <si>
    <t>000100 05 HEARG-OFC-GRP.</t>
  </si>
  <si>
    <t>000200 10 HEARG-OFC-AREA-ID PIC X.</t>
  </si>
  <si>
    <t>000300 10 HEARG-OFC-ID PIC X(05).</t>
  </si>
  <si>
    <t>000400 05 OFC-ADDR.</t>
  </si>
  <si>
    <t>000500 10 OFC-ADDR-GRP.</t>
  </si>
  <si>
    <t>000600 15 OFC-STREET-CITY-1 PIC X(25).</t>
  </si>
  <si>
    <t>000700 15 OFC-STREET-CITY-2 PIC X(25).</t>
  </si>
  <si>
    <t>000800 10 OFC-ST PIC X(02).</t>
  </si>
  <si>
    <t>000900 10 OFC-ZIP.</t>
  </si>
  <si>
    <t>001000 15 OFC-ZIP-1 PIC X(05).</t>
  </si>
  <si>
    <t>001100 15 OFC-ZIP-2 PIC X(04).</t>
  </si>
  <si>
    <t>001200 05 FILLER PIC X(0021).</t>
  </si>
  <si>
    <t>000050 01 LOCTN-LOOKUP.</t>
  </si>
  <si>
    <t>000100 05 LOCTN-KEY.</t>
  </si>
  <si>
    <t>000800 10 DST-CDE-FMHA REDEFINES CTY-CDE-FMHA PIC 9(3).</t>
  </si>
  <si>
    <t>000900 05 SRVCG-OFC.</t>
  </si>
  <si>
    <t>001000 10 OFC-LVL PIC X.</t>
  </si>
  <si>
    <t>001100 88 ST-LVL VALUE 'S'.</t>
  </si>
  <si>
    <t>001200 88 DST-LVL VALUE 'D'.</t>
  </si>
  <si>
    <t>001300 88 CTY-LVL VALUE 'C'.</t>
  </si>
  <si>
    <t>001400 88 RDA-RGN-LVL VALUE 'R'.</t>
  </si>
  <si>
    <t>001500 88 RDA-AREA-LVL VALUE 'A'.</t>
  </si>
  <si>
    <t>001600 10 ST-CDE-SRVCG PIC 9(2).</t>
  </si>
  <si>
    <t>001700 10 CTY-CDE-SRVCG PIC 9(3).</t>
  </si>
  <si>
    <t>001800 10 DST-CDE-SRVCG REDEFINES CTY-CDE-SRVCG PIC 9(3).</t>
  </si>
  <si>
    <t>001900 05 MAILG-OFC.</t>
  </si>
  <si>
    <t>002000 10 MAILG-LVL PIC X(1).</t>
  </si>
  <si>
    <t>002100 88 ST-MAILG-LVL VALUE 'S'.</t>
  </si>
  <si>
    <t>002200 88 DST-MAILG-LVL VALUE 'D'.</t>
  </si>
  <si>
    <t>002300 88 CTY-MAILG-LVL VALUE 'C'.</t>
  </si>
  <si>
    <t>002400 88 CTY-SPECL-LVL VALUE 'T'.</t>
  </si>
  <si>
    <t>002500 88 DST-SPECL-LVL VALUE 'U'.</t>
  </si>
  <si>
    <t>002600 88 ST-SPECL-LVL VALUE 'V'.</t>
  </si>
  <si>
    <t>002700 10 MAILG-CDE.</t>
  </si>
  <si>
    <t>002800 15 ST-OFC-MAILG PIC 9(2).</t>
  </si>
  <si>
    <t>002900 15 CTY-OFC-MAILG PIC 9(3).</t>
  </si>
  <si>
    <t>003000 15 DST-OFC-MAILG REDEFINES CTY-OFC-MAILG PIC 9(3).</t>
  </si>
  <si>
    <t>003100 05 FIPS-ST-CTY-CDE.</t>
  </si>
  <si>
    <t>003200 10 FIPS-ST-CDE PIC 9(2).</t>
  </si>
  <si>
    <t>003300 10 FIPS-CTY-CDE PIC 9(3).</t>
  </si>
  <si>
    <t>003400 05 PRIM-ST-CDE PIC 9(2).</t>
  </si>
  <si>
    <t>003500 05 LOCTN-NME PIC X(20).</t>
  </si>
  <si>
    <t>003600 05 ST-ABBR.</t>
  </si>
  <si>
    <t>003700 10 ST-ABBR-1ST PIC A.</t>
  </si>
  <si>
    <t>003800 10 ST-ABBR-2ND PIC A.</t>
  </si>
  <si>
    <t>003900 05 RGN-CDE PIC 9(1).</t>
  </si>
  <si>
    <t>004000 05 ST-OFC-CNTRL-CDE PIC 9(1).</t>
  </si>
  <si>
    <t>004100 05 SRVCG-DST-OFC.</t>
  </si>
  <si>
    <t>004200 10 DST-OFC-LVL PIC X(1).</t>
  </si>
  <si>
    <t>004300 10 ST-CDE-DST PIC 9(2).</t>
  </si>
  <si>
    <t>004400 10 SRVCG-DST.</t>
  </si>
  <si>
    <t>004500 15 DST-SRVCG-CDE-1ST PIC 9(1).</t>
  </si>
  <si>
    <t>004600 15 DST-SRVCG-CDE PIC 9(2).</t>
  </si>
  <si>
    <t>004700 05 CONG-DST-CDE-CTY OCCURS 4 PIC 9(2).</t>
  </si>
  <si>
    <t>004800 05 ORGZTN-STRUC-CTY PIC 9(5).</t>
  </si>
  <si>
    <t>004900 05 DTE-UPDTED PIC 9(06).</t>
  </si>
  <si>
    <t>005000 05 UPDTE-SLCTN-CDE PIC X(1).</t>
  </si>
  <si>
    <t>005100 05 SRVCG-SIS-OFC.</t>
  </si>
  <si>
    <t>005200 10 SIS-OFC-LVL PIC X(01).</t>
  </si>
  <si>
    <t>005300 10 ST-CDE-SIS PIC 9(02).</t>
  </si>
  <si>
    <t>005400 10 SRVCG-SIS.</t>
  </si>
  <si>
    <t>005500 15 SIS-SRVCG-CDE-1ST PIC 9(01).</t>
  </si>
  <si>
    <t>005600 15 SIS-SRVCG-CDE PIC 9(02).</t>
  </si>
  <si>
    <t>005700 05 MAILG-CDE-AMAS.</t>
  </si>
  <si>
    <t>005800 10 MAILG-LVL-AMAS PIC X(1).</t>
  </si>
  <si>
    <t>005900 88 ST-MAILG-LVL-AMAS VALUE 'S'.</t>
  </si>
  <si>
    <t>006000 88 DST-MAILG-LVL-AMAS VALUE 'D'.</t>
  </si>
  <si>
    <t>006100 88 CTY-MAILG-LVL-AMAS VALUE 'C'.</t>
  </si>
  <si>
    <t>006200 88 CTY-SPECL-LVL-AMAS VALUE 'T'.</t>
  </si>
  <si>
    <t>006300 88 DST-SPECL-LVL-AMAS VALUE 'U'.</t>
  </si>
  <si>
    <t>006400 88 ST-SPECL-LVL-AMAS VALUE 'V'.</t>
  </si>
  <si>
    <t>006500 10 ST-OFC-MAILG-AMAS PIC 9(2).</t>
  </si>
  <si>
    <t>006600 10 CTY-OFC-MAILG-AMAS PIC 9(3).</t>
  </si>
  <si>
    <t>006700 05 FILLER PIC X(0097).</t>
  </si>
  <si>
    <t>000050 01 NATIONAL.</t>
  </si>
  <si>
    <t>000100 05 NATL-OFC-ID PIC X(05).</t>
  </si>
  <si>
    <t>001000 05 LST-APPEAL-LOG-NBR.</t>
  </si>
  <si>
    <t>001100 10 LST-APPEAL-FY PIC 9(02).</t>
  </si>
  <si>
    <t>001200 10 LST-APPEAL-SEQNC-NBR PIC 9(06).</t>
  </si>
  <si>
    <t>001300 05 NAS-USER-ID-LOG-NBR PIC 9(05).</t>
  </si>
  <si>
    <t>001400 05 FILLER PIC X(0025).</t>
  </si>
  <si>
    <t>000050 01 NHEAROFC.</t>
  </si>
  <si>
    <t>000100 05 NATL-HEARG-OFC-ID PIC X(05).</t>
  </si>
  <si>
    <t>001000 05 FILLER PIC X(0014).</t>
  </si>
  <si>
    <t>000050 01 OBLGCTRL.</t>
  </si>
  <si>
    <t>000100 05 OBLGN-KEY.</t>
  </si>
  <si>
    <t>000200 10 ALTEE PIC 9.</t>
  </si>
  <si>
    <t>000400 10 FY-MO PIC 9(02).</t>
  </si>
  <si>
    <t>000500 05 FILLER PIC X(0035).</t>
  </si>
  <si>
    <t>000050 01 OBLGDTL.</t>
  </si>
  <si>
    <t>000100 05 SOC-CDE.</t>
  </si>
  <si>
    <t>000200 10 MAJ-CLS PIC 9(2).</t>
  </si>
  <si>
    <t>000300 10 OBJ-CLSFCTN-CDE PIC 9(2).</t>
  </si>
  <si>
    <t>000400 05 OFC-CDE PIC 9(02).</t>
  </si>
  <si>
    <t>000500 05 PROJD-AMT PIC S9(10) COMP-3.</t>
  </si>
  <si>
    <t>000600 05 ACTL-OBLGN-AMT-1 PIC S9(10) COMP-3.</t>
  </si>
  <si>
    <t>000700 05 MO-PLAN-AMT-1 PIC S9(10) COMP-3.</t>
  </si>
  <si>
    <t>000800 05 ANL-PLAN-AMT PIC S9(10) COMP-3.</t>
  </si>
  <si>
    <t>000900 05 FILLER PIC X(0026).</t>
  </si>
  <si>
    <t>000050 01 OFCSPC.</t>
  </si>
  <si>
    <t>000100 05 OFC-SPC-TYP-SRVC PIC X.</t>
  </si>
  <si>
    <t>000200 05 OFC-SPC-MAIL-CDE PIC 9(05).</t>
  </si>
  <si>
    <t>000300 05 OFC-SPC-TYP PIC X.</t>
  </si>
  <si>
    <t>000400 05 OFC-SPC-LSE-EXPRD-DTE PIC 9(06).</t>
  </si>
  <si>
    <t>000500 05 OFC-SPC-SQFT-RQRMT OCCURS 3 PIC 9(06).</t>
  </si>
  <si>
    <t>000600 05 OFC-SPC-CST OCCURS 3 PIC S9(10) COMP-3.</t>
  </si>
  <si>
    <t>000700 05 OFC-SPC-DESC PIC X(30).</t>
  </si>
  <si>
    <t>000800 05 OFC-SPC-FREQ-CLN PIC X(30).</t>
  </si>
  <si>
    <t>000900 05 FILLER PIC X(0035).</t>
  </si>
  <si>
    <t>000050 01 PRESBDGT.</t>
  </si>
  <si>
    <t>000100 05 BDGT-SLRYS-AMT PIC S9(10) COMP-3.</t>
  </si>
  <si>
    <t>000200 05 BDGT-TRVL-AMT PIC S9(10) COMP-3.</t>
  </si>
  <si>
    <t>000300 05 BDGT-NATL-AMT PIC S9(10) COMP-3.</t>
  </si>
  <si>
    <t>000400 05 BDGT-FLD-AMT PIC S9(10) COMP-3.</t>
  </si>
  <si>
    <t>000500 05 FILLER PIC X(16).</t>
  </si>
  <si>
    <t>000050 01 PROJHDR.</t>
  </si>
  <si>
    <t>000100 05 FY PIC 9(2).</t>
  </si>
  <si>
    <t>000200 05 PROJ-HDR OCCURS 14 PIC X(12).</t>
  </si>
  <si>
    <t>000300 05 OLD-PROJ-HDR OCCURS 14 PIC X(12).</t>
  </si>
  <si>
    <t>000400 05 LST-UPDTE-DTE PIC 9(06).</t>
  </si>
  <si>
    <t>000500 05 FILLER PIC X(0056).</t>
  </si>
  <si>
    <t>000050 01 PROJREC.</t>
  </si>
  <si>
    <t>000100 05 MISC-PROJ-KEY.</t>
  </si>
  <si>
    <t>000300 10 SRMP-PROJ-CDE.</t>
  </si>
  <si>
    <t>000400 15 SOC-CDE.</t>
  </si>
  <si>
    <t>000500 20 MAJ-CLS PIC 9(2).</t>
  </si>
  <si>
    <t>000600 20 OBJ-CLSFCTN-CDE PIC 9(2).</t>
  </si>
  <si>
    <t>000700 15 SRMP-ALTEE PIC 9(02).</t>
  </si>
  <si>
    <t>000800 15 PROJ-SEQNC-NBR PIC 9(02).</t>
  </si>
  <si>
    <t>000900 05 PROJ-DESC PIC X(40).</t>
  </si>
  <si>
    <t>001000 05 PROJD-AMT OCCURS 14 PIC S9(10) COMP-3.</t>
  </si>
  <si>
    <t>001100 05 OLD-PROJD-AMT OCCURS 14 PIC S9(10) COMP-3.</t>
  </si>
  <si>
    <t>001200 05 PROJ-RMRKS PIC X(30).</t>
  </si>
  <si>
    <t>001300 05 LST-UPDTE-DTE PIC 9(06).</t>
  </si>
  <si>
    <t>001400 05 FILLER PIC X(0026).</t>
  </si>
  <si>
    <t>000050 01 PSTNFIL.</t>
  </si>
  <si>
    <t>000100 05 JOB-CDE PIC 9(06).</t>
  </si>
  <si>
    <t>000200 05 NBR-FTIME-EMPLS OCCURS 12 PIC S9(05) COMP-3.</t>
  </si>
  <si>
    <t>000300 05 NBR-PTIME-EMPLS OCCURS 12 PIC S9(05) COMP-3.</t>
  </si>
  <si>
    <t>000400 05 NBR-TEMP-EMPLS OCCURS 12 PIC S9(05) COMP-3.</t>
  </si>
  <si>
    <t>000500 05 NBR-EM-TEMP-EMPLS OCCURS 12 PIC S9(05) COMP-3.</t>
  </si>
  <si>
    <t>000600 05 NBR-COOPS-STDNT-TRNEE OCCURS 12 PIC S9(05) COMP-3.</t>
  </si>
  <si>
    <t>000700 05 NBR-WAE-EMPLS OCCURS 12 PIC S9(05) COMP-3.</t>
  </si>
  <si>
    <t>000800 05 NBR-NON-CEILG-PSTN OCCURS 12 PIC S9(05) COMP-3.</t>
  </si>
  <si>
    <t>000900 05 DTE-UPDTED PIC 9(06).</t>
  </si>
  <si>
    <t>001000 05 FILLER PIC X(40).</t>
  </si>
  <si>
    <t>000050 01 RDADATA.</t>
  </si>
  <si>
    <t>000100 05 RDA-KEY.</t>
  </si>
  <si>
    <t>000200 10 SRVCG-OFC-CDE-ST PIC 9(2).</t>
  </si>
  <si>
    <t>000300 10 SRVCG-OFC-CDE-RGN PIC 9(03).</t>
  </si>
  <si>
    <t>000400 10 SRVCG-OFC-CDE-AREA REDEFINES SRVCG-OFC-CDE-RGN PIC 9(03).</t>
  </si>
  <si>
    <t>000500 10 YR-DTE PIC 99.</t>
  </si>
  <si>
    <t>000600 10 MO-DTE PIC 99.</t>
  </si>
  <si>
    <t>000700 05 CF-HRS.</t>
  </si>
  <si>
    <t>000800 10 HRS-TRVL-CF PIC S9(5) COMP-3.</t>
  </si>
  <si>
    <t>000900 10 TRNG-HRS-CF PIC S9(5) COMP-3.</t>
  </si>
  <si>
    <t>001000 10 TTL-HRS-WORK-CF PIC S9(5) COMP-3.</t>
  </si>
  <si>
    <t>001100 05 WW-HRS.</t>
  </si>
  <si>
    <t>001200 10 HRS-TRVL-WW PIC S9(5) COMP-3.</t>
  </si>
  <si>
    <t>001300 10 TRNG-HRS-WW PIC S9(5) COMP-3.</t>
  </si>
  <si>
    <t>001400 10 TTL-HRS-WORK-WW PIC S9(5) COMP-3.</t>
  </si>
  <si>
    <t>001500 05 BI-HRS.</t>
  </si>
  <si>
    <t>001600 10 HRS-TRVL-BI PIC S9(5) COMP-3.</t>
  </si>
  <si>
    <t>001700 10 TRNG-HRS-BI PIC S9(5) COMP-3.</t>
  </si>
  <si>
    <t>001800 10 TTL-HRS-WORK-BI PIC S9(5) COMP-3.</t>
  </si>
  <si>
    <t>001900 05 ADM-GEN-HRS.</t>
  </si>
  <si>
    <t>002000 10 HRS-TRVL-ADM-GEN PIC S9(5) COMP-3.</t>
  </si>
  <si>
    <t>002100 10 TRNG-HRS-ADM-GEN PIC S9(5) COMP-3.</t>
  </si>
  <si>
    <t>002200 10 TTL-HRS-WORK-ADM-GEN PIC S9(5) COMP-3.</t>
  </si>
  <si>
    <t>002300 05 OTH-HRS.</t>
  </si>
  <si>
    <t>002400 10 HRS-TRVL-OTH PIC S9(5) COMP-3.</t>
  </si>
  <si>
    <t>002500 10 TRNG-HRS-OTH PIC S9(5) COMP-3.</t>
  </si>
  <si>
    <t>002600 10 TTL-HRS-WORK-OTH PIC S9(5) COMP-3.</t>
  </si>
  <si>
    <t>002700 05 FILLER PIC X(0026).</t>
  </si>
  <si>
    <t>000050 01 RECORD-HN.</t>
  </si>
  <si>
    <t>000100 05 RCRD-CDE-SCRTY PIC X(4).</t>
  </si>
  <si>
    <t>000200 05 CHNG-TYP-CDE PIC X(1).</t>
  </si>
  <si>
    <t>000300 05 FILLER PIC X(0011).</t>
  </si>
  <si>
    <t>000050 01 RMSADRS.</t>
  </si>
  <si>
    <t>000100 05 SDC-KEY.</t>
  </si>
  <si>
    <t>000200 10 OFC-LVL PIC X.</t>
  </si>
  <si>
    <t>000300 88 ST-LVL VALUE 'S'.</t>
  </si>
  <si>
    <t>000400 88 DST-LVL VALUE 'D'.</t>
  </si>
  <si>
    <t>000500 88 CTY-LVL VALUE 'C'.</t>
  </si>
  <si>
    <t>000600 88 RDA-RGN-LVL VALUE 'R'.</t>
  </si>
  <si>
    <t>000700 88 RDA-AREA-LVL VALUE 'A'.</t>
  </si>
  <si>
    <t>000800 10 SRVCG-OFC-CDE-ST PIC 9(2).</t>
  </si>
  <si>
    <t>000900 10 SRVCG-OFC-CDE-DST PIC 9(2).</t>
  </si>
  <si>
    <t>001000 10 SRVCG-CDE-OFC-CTY PIC 9(2).</t>
  </si>
  <si>
    <t>001100 05 ST-CDE-FMHA PIC 9(2).</t>
  </si>
  <si>
    <t>001200 05 OFC-NME PIC X(30).</t>
  </si>
  <si>
    <t>001300 05 NME-ST PIC X(14).</t>
  </si>
  <si>
    <t>001400 05 MAILG-ADRS.</t>
  </si>
  <si>
    <t>001500 10 STREET-ADRS OCCURS 2 PIC X(30).</t>
  </si>
  <si>
    <t>001600 10 CITY PIC X(28).</t>
  </si>
  <si>
    <t>001700 10 ST-ABBR.</t>
  </si>
  <si>
    <t>001800 15 ST-ABBR-1ST PIC A.</t>
  </si>
  <si>
    <t>001900 15 ST-ABBR-2ND PIC A.</t>
  </si>
  <si>
    <t>002000 10 ZIP-CDE PIC 9(5).</t>
  </si>
  <si>
    <t>002100 05 TLPHN.</t>
  </si>
  <si>
    <t>002200 10 COMMRCL PIC X(12).</t>
  </si>
  <si>
    <t>002300 10 EXTENSION PIC X(4).</t>
  </si>
  <si>
    <t>002400 10 FTS PIC X(12).</t>
  </si>
  <si>
    <t>002500 05 KEEP PIC X(1).</t>
  </si>
  <si>
    <t>002600 05 DUMMY-DST PIC X(1).</t>
  </si>
  <si>
    <t>002700 05 DTE-RMS-OFC-CRTD PIC 9(4) COMP-3.</t>
  </si>
  <si>
    <t>002800 05 STAT-OF-WEEKS-UPDTE-ALL PIC X(48).</t>
  </si>
  <si>
    <t>002900 05 STAT-OF-WEEKS-UPDTE</t>
  </si>
  <si>
    <t>002950 REDEFINES STAT-OF-WEEKS-UPDTE-ALL OCCURS 48 PIC X.</t>
  </si>
  <si>
    <t>003000 05 STAT-OF-WEEKS-UPDTE-BY-QTR</t>
  </si>
  <si>
    <t>003050 REDEFINES STAT-OF-WEEKS-UPDTE-ALL OCCURS 4 PIC X(12).</t>
  </si>
  <si>
    <t>003100 05 STAT-OF-WEEKS-UPDTE-BY-MO</t>
  </si>
  <si>
    <t>003150 REDEFINES STAT-OF-WEEKS-UPDTE-ALL OCCURS 12 PIC X(4).</t>
  </si>
  <si>
    <t>003200 05 STAT-OF-MTLY-UPDTE-ALL PIC X(12).</t>
  </si>
  <si>
    <t>003300 05 STAT-OF-MTLY-UPDTE</t>
  </si>
  <si>
    <t>003350 REDEFINES STAT-OF-MTLY-UPDTE-ALL OCCURS 12 PIC X.</t>
  </si>
  <si>
    <t>003400 05 STAT-OF-MTLY-UPDTE-BY-QTR</t>
  </si>
  <si>
    <t>003450 REDEFINES STAT-OF-MTLY-UPDTE-ALL OCCURS 4 PIC X(3).</t>
  </si>
  <si>
    <t>003500 05 USER-FLD-1 PIC X(7).</t>
  </si>
  <si>
    <t>003600 05 DTE-OF-LST-EXTRCT PIC S9(7) COMP-3.</t>
  </si>
  <si>
    <t>003700 05 DTE-OF-LST-CHG PIC S9(7) COMP-3.</t>
  </si>
  <si>
    <t>003800 05 FILLER PIC X(0008).</t>
  </si>
  <si>
    <t>000050 01 RMSDATA.</t>
  </si>
  <si>
    <t>000100 05 YR-MO.</t>
  </si>
  <si>
    <t>000200 10 YR PIC 9(2).</t>
  </si>
  <si>
    <t>000300 10 MO-GRGRN PIC 9(2).</t>
  </si>
  <si>
    <t>000400 05 EARNED-TIME-NEW PIC S9(5) COMP-3.</t>
  </si>
  <si>
    <t>000500 05 PRDCTVTY-INDEX-NEW PIC S9(5) COMP-3.</t>
  </si>
  <si>
    <t>000600 05 LN-ACTV-1ST-WEEK.</t>
  </si>
  <si>
    <t>000700 10 LN-PROGS-1ST-WEEK OCCURS 7.</t>
  </si>
  <si>
    <t>000800 15 FUNCTN-CNT-1ST-WEEK OCCURS 9 PIC S9(5) COMP-3.</t>
  </si>
  <si>
    <t>000900 05 INIT-SERIAL-NBR-1ST-WEEK PIC S9(5) COMP-3.</t>
  </si>
  <si>
    <t>001000 05 SUBQ-SERIAL-NBR-1ST-WEEK PIC S9(5) COMP-3.</t>
  </si>
  <si>
    <t>001100 05 CHNG-CDE-1ST-WEEK PIC X.</t>
  </si>
  <si>
    <t>001200 05 LN-ACTV-2ND-WEEK.</t>
  </si>
  <si>
    <t>001300 10 LN-PROGS-2ND-WEEK OCCURS 7.</t>
  </si>
  <si>
    <t>001400 15 FUNCTN-CNT-2ND-WEEK OCCURS 9 PIC S9(5) COMP-3.</t>
  </si>
  <si>
    <t>001500 05 INIT-SERIAL-NBR-2ND-WEEK PIC S9(5) COMP-3.</t>
  </si>
  <si>
    <t>001600 05 SUBQ-SERIAL-NBR-2ND-WEEK PIC S9(5) COMP-3.</t>
  </si>
  <si>
    <t>001700 05 CHNG-CDE-2ND-WEEK PIC X.</t>
  </si>
  <si>
    <t>001800 05 LN-ACTV-3RD-WEEK.</t>
  </si>
  <si>
    <t>001900 10 LN-PROGS-3RD-WEEK OCCURS 7.</t>
  </si>
  <si>
    <t>002000 15 FUNCTN-CNT-3RD-WEEK OCCURS 9 PIC S9(5) COMP-3.</t>
  </si>
  <si>
    <t>002100 05 INIT-SERIAL-NBR-3RD-WEEK PIC S9(5) COMP-3.</t>
  </si>
  <si>
    <t>002200 05 SUBQ-SERIAL-NBR-3RD-WEEK PIC S9(5) COMP-3.</t>
  </si>
  <si>
    <t>002300 05 CHNG-CDE-3RD-WEEK PIC X.</t>
  </si>
  <si>
    <t>002400 05 LN-ACTV-4TH-WEEK.</t>
  </si>
  <si>
    <t>002500 10 LN-PROGS-4TH-WEEK OCCURS 7.</t>
  </si>
  <si>
    <t>002600 15 FUNCTN-CNT-4TH-WEEK OCCURS 9 PIC S9(5) COMP-3.</t>
  </si>
  <si>
    <t>002700 05 INIT-SERIAL-NBR-4TH-WEEK PIC S9(5) COMP-3.</t>
  </si>
  <si>
    <t>002800 05 SUBQ-SERIAL-NBR-4TH-WEEK PIC S9(5) COMP-3.</t>
  </si>
  <si>
    <t>002900 05 CHNG-CDE-4TH-WEEK PIC X.</t>
  </si>
  <si>
    <t>003000 05 LN-ACTV-MTD-WEEK.</t>
  </si>
  <si>
    <t>003100 10 LN-PROGS-MTD-WEEK OCCURS 7.</t>
  </si>
  <si>
    <t>003200 15 FUNCTN-CNT-MTD-WEEK OCCURS 9 PIC S9(5) COMP-3.</t>
  </si>
  <si>
    <t>003300 05 INIT-SERIAL-NBR-MTLY PIC S9(5) COMP-3.</t>
  </si>
  <si>
    <t>003400 05 SUBQ-SERIAL-NBR-MTLY PIC S9(5) COMP-3.</t>
  </si>
  <si>
    <t>003500 05 CHNG-CDE-MTLY PIC X.</t>
  </si>
  <si>
    <t>003600 05 PRELIM-CNTCT OCCURS 12 PIC S9(5) COMP-3.</t>
  </si>
  <si>
    <t>003700 05 PRELIM-APPLTNS-RCVD OCCURS 12 PIC S9(5) COMP-3.</t>
  </si>
  <si>
    <t>003800 05 ENVRNMTL-ASMT OCCURS 12 PIC S9(5) COMP-3.</t>
  </si>
  <si>
    <t>003900 05 ELGBL-DETMNT OCCURS 12 PIC S9(5) COMP-3.</t>
  </si>
  <si>
    <t>004000 05 APPLTNS-RCVD OCCURS 16 PIC S9(5) COMP-3.</t>
  </si>
  <si>
    <t>004100 05 APPLTNS-UNPROCD OCCURS 16 PIC S9(5) COMP-3.</t>
  </si>
  <si>
    <t>004200 05 APPLTNS-IN-PROCS OCCURS 16 PIC S9(5) COMP-3.</t>
  </si>
  <si>
    <t>004300 05 LNS-APPRVD-UNCLSD OCCURS 16 PIC S9(5) COMP-3.</t>
  </si>
  <si>
    <t>004400 05 APPLTNS-RJCTD OCCURS 16 PIC S9(5) COMP-3.</t>
  </si>
  <si>
    <t>004500 05 APPLTNS-WTHDRWN OCCURS 16 PIC S9(5) COMP-3.</t>
  </si>
  <si>
    <t>004600 05 LNS-CLSD OCCURS 16 PIC S9(5) COMP-3.</t>
  </si>
  <si>
    <t>004700 05 APPRSL OCCURS 12 PIC S9(5) COMP-3.</t>
  </si>
  <si>
    <t>004800 05 INSPCTN OCCURS 12 PIC S9(5) COMP-3.</t>
  </si>
  <si>
    <t>004900 05 CNSTRTN-INSPCTN OCCURS 12 PIC S9(5) COMP-3.</t>
  </si>
  <si>
    <t>005000 05 SUPVSR-VSTS OCCURS 12 PIC S9(5) COMP-3.</t>
  </si>
  <si>
    <t>005100 05 SCRTY-SRVCS OCCURS 12 PIC S9(5) COMP-3.</t>
  </si>
  <si>
    <t>005200 05 SUPVSR-CNFNC OCCURS 12 PIC S9(5) COMP-3.</t>
  </si>
  <si>
    <t>005300 05 BANK-SRVCS OCCURS 12 PIC S9(5) COMP-3.</t>
  </si>
  <si>
    <t>005400 05 DELQ-ACCT-SRVCS OCCURS 12 PIC S9(5) COMP-3.</t>
  </si>
  <si>
    <t>005500 05 PYMT-AGRMT OCCURS 12 PIC S9(5) COMP-3.</t>
  </si>
  <si>
    <t>005600 05 RPTS-EVAL OCCURS 12 PIC S9(5) COMP-3.</t>
  </si>
  <si>
    <t>005700 05 PYMT-IN-FULL OCCURS 12 PIC S9(5) COMP-3.</t>
  </si>
  <si>
    <t>005800 05 LN-QDTN-ACTNS OCCURS 12 PIC S9(5) COMP-3.</t>
  </si>
  <si>
    <t>005900 05 PROP-MNGNT-ACTNS OCCURS 12 PIC S9(5) COMP-3.</t>
  </si>
  <si>
    <t>006000 05 SALE-INVT-PROP OCCURS 12 PIC S9(5) COMP-3.</t>
  </si>
  <si>
    <t>006100 05 APLS-CASES OCCURS 12 PIC S9(5) COMP-3.</t>
  </si>
  <si>
    <t>006200 05 LNS-GRT-OUTSTG OCCURS 12 PIC S9(5) COMP-3.</t>
  </si>
  <si>
    <t>006300 05 DELQ-LNS-OUTSTG OCCURS 12 PIC S9(5) COMP-3.</t>
  </si>
  <si>
    <t>006400 05 PRE-APPLTNS-ON-HAND OCCURS 12 PIC S9(5) COMP-3.</t>
  </si>
  <si>
    <t>006500 05 APPLTNS-ON-HAND OCCURS 12 PIC S9(5) COMP-3.</t>
  </si>
  <si>
    <t>006600 05 BORRS-PROJ-OUTSTG OCCURS 12 PIC S9(5) COMP-3.</t>
  </si>
  <si>
    <t>006700 05 DELQ-BORRS-PROJ-OUTSTG OCCURS 12 PIC S9(5) COMP-3.</t>
  </si>
  <si>
    <t>006800 05 PROPS-INVT OCCURS 12 PIC S9(5) COMP-3.</t>
  </si>
  <si>
    <t>006900 05 BORRS-REVWD-GRDTN OCCURS 12 PIC S9(5) COMP-3.</t>
  </si>
  <si>
    <t>007000 05 BORRS-RQSTD-GRDTN OCCURS 12 PIC S9(5) COMP-3.</t>
  </si>
  <si>
    <t>007100 05 BORRS-GRDTN OCCURS 12 PIC S9(5) COMP-3.</t>
  </si>
  <si>
    <t>007200 05 LNS-IN-GRDTN-RQST OCCURS 12 PIC S9(9) COMP-3.</t>
  </si>
  <si>
    <t>007300 05 LNS-IN-GRDTN OCCURS 12 PIC S9(9) COMP-3.</t>
  </si>
  <si>
    <t>007400 05 UNDUP-BORRS-REVWD PIC S9(5) COMP-3.</t>
  </si>
  <si>
    <t>007500 05 UNDUP-BORRS-RQSTD PIC S9(5) COMP-3.</t>
  </si>
  <si>
    <t>007600 05 UNDUP-BORRS-GRDTN PIC S9(5) COMP-3.</t>
  </si>
  <si>
    <t>007700 05 CFS-BORRS-NEW PIC S9(5) COMP-3.</t>
  </si>
  <si>
    <t>007800 05 CFS-BORRS-EXSTG PIC S9(5) COMP-3.</t>
  </si>
  <si>
    <t>007900 05 CFS-BORRS-CONT PIC S9(5) COMP-3.</t>
  </si>
  <si>
    <t>008000 05 CFS-BORRS-TTL PIC S9(5) COMP-3.</t>
  </si>
  <si>
    <t>008100 05 ACT-FRM-BORRS-UNDUP PIC S9(5) COMP-3.</t>
  </si>
  <si>
    <t>008200 05 FRM-BORRS-OFF-SCHED-UNDUP PIC S9(5) COMP-3.</t>
  </si>
  <si>
    <t>008300 05 SBORDNTN-SCRTY-INT-FO-NBR PIC S9(5) COMP-3.</t>
  </si>
  <si>
    <t>008400 05 SBORDNTN-SCRTY-INT-FO-AMT PIC S9(9) COMP-3.</t>
  </si>
  <si>
    <t>008500 05 SBORDNTN-SCRTY-INT-OL-NBR PIC S9(5) COMP-3.</t>
  </si>
  <si>
    <t>008600 05 SBORDNTN-SCRTY-INT-OL-AMT PIC S9(9) COMP-3.</t>
  </si>
  <si>
    <t>008700 05 CNDTNL-CMITMTS-ISSD-PRD PIC S9(5) COMP-3.</t>
  </si>
  <si>
    <t>008800 05 CNDTNL-CMITMTS-END-OF-PRD PIC S9(5) COMP-3.</t>
  </si>
  <si>
    <t>008900 05 RH-MRTMS-APPRVD-INIT PIC S9(5) COMP-3.</t>
  </si>
  <si>
    <t>009000 05 RH-MRTMS-APPRVD-RENWL-2 PIC S9(5) COMP-3.</t>
  </si>
  <si>
    <t>009100 05 RH-MRTMS-APPRVD-RENWL-3 PIC S9(5) COMP-3.</t>
  </si>
  <si>
    <t>009200 05 RH-MRTMS-APPRVD-RENWL-4 PIC S9(5) COMP-3.</t>
  </si>
  <si>
    <t>009300 05 RH-MRTMS-APPRVD-RENWL-5 PIC S9(5) COMP-3.</t>
  </si>
  <si>
    <t>009400 05 RH-MRTMS-APPRVD-RENWL-6 PIC S9(5) COMP-3.</t>
  </si>
  <si>
    <t>009500 05 RH-MRTMS-IN-FORCE PIC S9(5) COMP-3.</t>
  </si>
  <si>
    <t>009600 05 HRS-TRVL PIC S9(5) COMP-3.</t>
  </si>
  <si>
    <t>009700 05 TRNG-HRS PIC S9(5) COMP-3.</t>
  </si>
  <si>
    <t>009800 05 TTL-HRS-WORK PIC S9(5) COMP-3.</t>
  </si>
  <si>
    <t>009900 05 BORRS-FP-DFRLS-IN-FORCE PIC S9(5) COMP-3.</t>
  </si>
  <si>
    <t>010000 05 BORRS-NOT-FRMG-VLNTY PIC S9(5) COMP-3.</t>
  </si>
  <si>
    <t>010100 05 BORRS-NOT-FRMG-TRF PIC S9(5) COMP-3.</t>
  </si>
  <si>
    <t>010200 05 BORRS-NOT-FRMG-SALE PIC S9(5) COMP-3.</t>
  </si>
  <si>
    <t>010300 05 DST-REVW-CTY-OFC-WORK PIC S9(5) COMP-3.</t>
  </si>
  <si>
    <t>010400 05 ACT-BORRS PIC S9(5) COMP-3.</t>
  </si>
  <si>
    <t>010500 05 PROP-ACQD-VLNTY-TTL-GRP OCCURS 3 PIC S9(5) COMP-3.</t>
  </si>
  <si>
    <t>010600 05 PROP-ACQD-FRCL-FMHA-TTL OCCURS 3 PIC S9(5) COMP-3.</t>
  </si>
  <si>
    <t>010700 05 PROP-ACQD-FRCL-OTH-TTL OCCURS 3 PIC S9(5) COMP-3.</t>
  </si>
  <si>
    <t>010800 05 PROP-SLD-CSH-TTL-GRP OCCURS 3 PIC S9(5) COMP-3.</t>
  </si>
  <si>
    <t>010900 05 PROP-SLD-ELGBL-TERMS-TTL OCCURS 3 PIC S9(5) COMP-3.</t>
  </si>
  <si>
    <t>011000 05 PROP-SLD-INELGBL-TERMS OCCURS 3 PIC S9(5) COMP-3.</t>
  </si>
  <si>
    <t>011100 05 PROP-LSE-TTL-GRP OCCURS 3 PIC S9(5) COMP-3.</t>
  </si>
  <si>
    <t>011200 05 PROP-INVT-SUTBL-TTL-GRP OCCURS 3 PIC S9(5) COMP-3.</t>
  </si>
  <si>
    <t>011300 05 PROP-INVT-UNSUTBL-TTL-GRP OCCURS 3 PIC S9(5) COMP-3.</t>
  </si>
  <si>
    <t>011400 05 ACRES-INVT-TTL-GRP OCCURS 3 PIC S9(5) COMP-3.</t>
  </si>
  <si>
    <t>011500 05 MKT-VLU-INVT-TTL-GRP OCCURS 3 PIC S9(9) COMP-3.</t>
  </si>
  <si>
    <t>011600 05 SUPVSD-BANK-ACCTS-NBR OCCURS 2 PIC S9(5) COMP-3.</t>
  </si>
  <si>
    <t>011700 05 SUPVSD-BANK-ACCTS-AMT OCCURS 2 PIC S9(9) COMP-3.</t>
  </si>
  <si>
    <t>011800 05 BORRS-WITH-CKS-ON-HAND OCCURS 2 PIC S9(5) COMP-3.</t>
  </si>
  <si>
    <t>011900 05 YR-END-ANLYS-COMPLD OCCURS 2 PIC S9(5) COMP-3.</t>
  </si>
  <si>
    <t>012000 05 GUIDE-LTR-SENT OCCURS 2 PIC S9(5) COMP-3.</t>
  </si>
  <si>
    <t>012100 05 LNS-RESCHED-CNSLDTD OCCURS 2 PIC S9(5) COMP-3.</t>
  </si>
  <si>
    <t>012200 05 DFRLS-PRIN-INIT OCCURS 2 PIC S9(5) COMP-3.</t>
  </si>
  <si>
    <t>012300 05 ACCLTN-LTR-SENT OCCURS 2 PIC S9(5) COMP-3.</t>
  </si>
  <si>
    <t>012400 05 CHAT-LQDTN-APPRVD OCCURS 2 PIC S9(5) COMP-3.</t>
  </si>
  <si>
    <t>012500 05 PETN-BNKRPTC-FILE OCCURS 2 PIC S9(5) COMP-3.</t>
  </si>
  <si>
    <t>012600 05 BNKRPTC-COMPLD-CONT-BORR OCCURS 2 PIC S9(5) COMP-3.</t>
  </si>
  <si>
    <t>012700 05 BNKRPTC-COMPLD-LOSS-HSE OCCURS 2 PIC S9(5) COMP-3.</t>
  </si>
  <si>
    <t>012800 05 BNKRPTC-COMPLD-NO-FRMG OCCURS 2 PIC S9(5) COMP-3.</t>
  </si>
  <si>
    <t>012900 05 CASES-FRCL-PNDG OCCURS 2 PIC S9(5) COMP-3.</t>
  </si>
  <si>
    <t>013000 05 FRCL-NO-FRMNG-FMHA OCCURS 2 PIC S9(5) COMP-3.</t>
  </si>
  <si>
    <t>013100 05 FRCL-NO-FRMG-LIENHLDR OCCURS 2 PIC S9(5) COMP-3.</t>
  </si>
  <si>
    <t>013200 05 DTE-OF-LST-CHG PIC S9(7) COMP-3.</t>
  </si>
  <si>
    <t>013300 05 FILLER PIC X(0004).</t>
  </si>
  <si>
    <t>000050 01 RMSTIME.</t>
  </si>
  <si>
    <t>000100 05 LN-PROG-KEY PIC 9(2).</t>
  </si>
  <si>
    <t>000200 05 LN-PROG-DESC PIC X(25).</t>
  </si>
  <si>
    <t>000300 05 LN-PROG-GRP-CDE PIC X.</t>
  </si>
  <si>
    <t>000500 05 TIME-STNDS-DATA-NEW OCCURS 25 PIC S9(5) COMP-3.</t>
  </si>
  <si>
    <t>000050 01 SITE-LOOKUP.</t>
  </si>
  <si>
    <t>000100 05 CNTCT-NME PIC X(25).</t>
  </si>
  <si>
    <t>000200 05 MAILG-ADRS-LINE-1 PIC X(25).</t>
  </si>
  <si>
    <t>000300 05 MAILG-ADRS-LINE-2 PIC X(25).</t>
  </si>
  <si>
    <t>000400 05 MAILG-ADRS-LINE-3 PIC X(25).</t>
  </si>
  <si>
    <t>000500 05 CITY-NME PIC X(25).</t>
  </si>
  <si>
    <t>000600 05 HQ-TWN PIC X(20).</t>
  </si>
  <si>
    <t>001300 05 TLPHN.</t>
  </si>
  <si>
    <t>001400 10 COMMRCL PIC X(12).</t>
  </si>
  <si>
    <t>001500 10 EXTENSION PIC X(4).</t>
  </si>
  <si>
    <t>001600 10 FTS PIC X(12).</t>
  </si>
  <si>
    <t>001700 05 FED-STRIP PIC X(6).</t>
  </si>
  <si>
    <t>001800 05 DTE-UPDTED PIC 9(06).</t>
  </si>
  <si>
    <t>001900 05 UPDTE-SLCTN-CDE PIC X(1).</t>
  </si>
  <si>
    <t>002000 05 RMT-ID PIC X(8).</t>
  </si>
  <si>
    <t>002100 05 FILLER PIC X(0123).</t>
  </si>
  <si>
    <t>000050 01 SOCCDE.</t>
  </si>
  <si>
    <t>000400 05 SOC-DESC PIC X(40).</t>
  </si>
  <si>
    <t>000500 05 MISC-OBJ-FLAG PIC X.</t>
  </si>
  <si>
    <t>000600 05 FILLER PIC X(0035).</t>
  </si>
  <si>
    <t>000050 01 ST-RCRD.</t>
  </si>
  <si>
    <t>000100 05 ST-REC-KEY.</t>
  </si>
  <si>
    <t>000200 10 ST-CDE-FMHA PIC 9(2).</t>
  </si>
  <si>
    <t>000300 10 YR-TABLE-ST PIC 9(2).</t>
  </si>
  <si>
    <t>000400 05 MO-TABLE-ST OCCURS 12.</t>
  </si>
  <si>
    <t>000500 10 LN-PROG-DATA OCCURS 8 PIC 9(5).</t>
  </si>
  <si>
    <t>000600 05 RMS-OPRTR-NBR PIC 9(3).</t>
  </si>
  <si>
    <t>000700 05 FILLER PIC X.</t>
  </si>
  <si>
    <t>000050 01 STAFF-RCRD.</t>
  </si>
  <si>
    <t>000200 05 STAFF-DATA OCCURS 64 PIC 9(4).</t>
  </si>
  <si>
    <t>000050 01 STAFFYR.</t>
  </si>
  <si>
    <t>000100 05 CLDR-YR PIC 9(02).</t>
  </si>
  <si>
    <t>000200 05 QTY-PROJD-STAFF-YR OCCURS 12 PIC S9(06)V9 COMP-3.</t>
  </si>
  <si>
    <t>000300 05 QTY-ACTL-STAFF-YTD OCCURS 12 PIC S9(06)V9 COMP-3.</t>
  </si>
  <si>
    <t>000400 05 QTY-CEILG-STAFF-YR OCCURS 12 PIC S9(06)V9 COMP-3.</t>
  </si>
  <si>
    <t>000500 05 QTY-CUR-STAFF-YR OCCURS 12 PIC S9(6)V99 COMP-3.</t>
  </si>
  <si>
    <t>000600 05 FILLER PIC X(0098).</t>
  </si>
  <si>
    <t>000050 01 STNDBDGT.</t>
  </si>
  <si>
    <t>000200 05 SRMP-PROJ-CDE.</t>
  </si>
  <si>
    <t>000300 10 SOC-CDE.</t>
  </si>
  <si>
    <t>000500 15 OBJ-CLSFCTN-CDE PIC 9(2).</t>
  </si>
  <si>
    <t>000600 10 SRMP-ALTEE PIC 9(02).</t>
  </si>
  <si>
    <t>000700 10 PROJ-SEQNC-NBR PIC 9(02).</t>
  </si>
  <si>
    <t>000800 05 ACTL-AMT PIC S9(10) COMP-3.</t>
  </si>
  <si>
    <t>001000 05 ESTD-FY-1-AMT PIC S9(10) COMP-3.</t>
  </si>
  <si>
    <t>001100 05 ESTD-FY-2-AMT PIC S9(10) COMP-3.</t>
  </si>
  <si>
    <t>001200 05 RQSTD-AMT-1 PIC 9(10) COMP-3.</t>
  </si>
  <si>
    <t>001300 05 RQSTD-AMT-2 PIC 9(10) COMP-3.</t>
  </si>
  <si>
    <t>001400 05 RECMDD-AMT-1 PIC 9(10) COMP-3.</t>
  </si>
  <si>
    <t>001500 05 RECMDD-AMT-2 PIC 9(10) COMP-3.</t>
  </si>
  <si>
    <t>001600 05 ACTL-NBR PIC 9(06) COMP-3.</t>
  </si>
  <si>
    <t>001700 05 RQSTD-NBR PIC 9(06).</t>
  </si>
  <si>
    <t>001800 05 PROJD-NBR PIC 9(06).</t>
  </si>
  <si>
    <t>001900 05 ALCTD-AMT PIC S9(10) COMP-3.</t>
  </si>
  <si>
    <t>002000 05 OBLGD-AMT PIC S9(10) COMP-3.</t>
  </si>
  <si>
    <t>002100 05 ADP-LSE-AMT PIC S9(10) COMP-3.</t>
  </si>
  <si>
    <t>002200 05 NON-ADP-LSE-AMT PIC S9(10) COMP-3.</t>
  </si>
  <si>
    <t>002300 05 ADP-PURCH-AMT PIC S9(10) COMP-3.</t>
  </si>
  <si>
    <t>002400 05 NON-ADP-PURCH-AMT PIC S9(10) COMP-3.</t>
  </si>
  <si>
    <t>002500 05 ADP-COMMUCTN-AMT PIC S9(10) COMP-3.</t>
  </si>
  <si>
    <t>002600 05 NON-ADP-COMMUCTN-AMT PIC S9(10) COMP-3.</t>
  </si>
  <si>
    <t>002700 05 CMMTS OCCURS 4 PIC X(78).</t>
  </si>
  <si>
    <t>002800 05 LST-UPDTE-DTE PIC 9(06).</t>
  </si>
  <si>
    <t>002900 05 FILLER PIC X(40).</t>
  </si>
  <si>
    <t>000050 01 SYMBOL.</t>
  </si>
  <si>
    <t>000100 05 TRSRY-SYM PIC X(20).</t>
  </si>
  <si>
    <t>000200 05 ACCT-MO PIC 99.</t>
  </si>
  <si>
    <t>000300 05 DEPT-NBR PIC 99.</t>
  </si>
  <si>
    <t>000400 05 SRVC-AGCY PIC XX.</t>
  </si>
  <si>
    <t>000500 05 AGCY PIC XX.</t>
  </si>
  <si>
    <t>000600 05 ACCT-STATN PIC X(4).</t>
  </si>
  <si>
    <t>000700 05 FD-CDE.</t>
  </si>
  <si>
    <t>000800 10 FD-CDE-3.</t>
  </si>
  <si>
    <t>000900 15 FD-CDE-2 PIC 9(2).</t>
  </si>
  <si>
    <t>001000 15 FD-CDE-3RD PIC 9(1).</t>
  </si>
  <si>
    <t>001100 10 FD-CDE-4TH PIC 9(1).</t>
  </si>
  <si>
    <t>001200 05 TRNSMT PIC X.</t>
  </si>
  <si>
    <t>001300 05 TRNSMT-DTE PIC 9(6).</t>
  </si>
  <si>
    <t>001400 05 FILLER PIC X(0057).</t>
  </si>
  <si>
    <t>000050 01 TRNING.</t>
  </si>
  <si>
    <t>000100 05 TRNG-CRSE-TITLE PIC X(60).</t>
  </si>
  <si>
    <t>000200 05 TRNG-JOB-TITLE PIC X(20).</t>
  </si>
  <si>
    <t>000300 05 NBR-TRNG-ATNDNC PIC 9(03).</t>
  </si>
  <si>
    <t>000400 05 TRNG-TUITN-AMT PIC S9(06) COMP-3.</t>
  </si>
  <si>
    <t>000500 05 TRNG-TRVL-PER-DIEM-AMT PIC S9(06) COMP-3.</t>
  </si>
  <si>
    <t>000600 05 FILLER PIC X(0029).</t>
  </si>
  <si>
    <t>000050 01 TRUCKRNT.</t>
  </si>
  <si>
    <t>000100 05 TRKS-LOCTN PIC 9(05).</t>
  </si>
  <si>
    <t>000200 05 TRKS-VEHCL-TYP PIC X(02).</t>
  </si>
  <si>
    <t>000300 05 TRKS-RENT-CST PIC S9(10) COMP-3.</t>
  </si>
  <si>
    <t>000400 05 TRKS-MILAGE-CST PIC S9(10) COMP-3.</t>
  </si>
  <si>
    <t>000500 05 TRKS-ANL-CST-1 PIC S9(10) COMP-3.</t>
  </si>
  <si>
    <t>000600 05 TRKS-ANL-CST-2 PIC S9(10) COMP-3.</t>
  </si>
  <si>
    <t>000700 05 TRKS-ANL-CST-3 PIC S9(10) COMP-3.</t>
  </si>
  <si>
    <t>000800 05 FILLER PIC X(0027).</t>
  </si>
  <si>
    <t>000050 01 USER-HN.</t>
  </si>
  <si>
    <t>000100 05 USER-ID-PROC PIC X(18).</t>
  </si>
  <si>
    <t>000200 05 FILLER PIC X(0022).</t>
  </si>
  <si>
    <t>000050 01 USERINFO.</t>
  </si>
  <si>
    <t>000100 05 USER-ID-NAS PIC X(05).</t>
  </si>
  <si>
    <t>000200 05 USER-ID.</t>
  </si>
  <si>
    <t>000300 10 AUTHY-CDE-TRML-OPRTR PIC X(1).</t>
  </si>
  <si>
    <t>000400 10 PRFCY-LVL-TRML-OPRTR PIC X.</t>
  </si>
  <si>
    <t>000500 88 NO-UP-AUTHTY-CDE VALUE '0'.</t>
  </si>
  <si>
    <t>000600 88 UP-AUTHTY-CDE VALUE '1'.</t>
  </si>
  <si>
    <t>000700 10 FILLER PIC X(1).</t>
  </si>
  <si>
    <t>000800 10 ID-TRML-OPRTR PIC X(03).</t>
  </si>
  <si>
    <t>000900 05 OFCR-NME.</t>
  </si>
  <si>
    <t>001000 10 OFCR-LST-NME PIC X(17).</t>
  </si>
  <si>
    <t>001100 10 OFCR-1ST-NME PIC X(12).</t>
  </si>
  <si>
    <t>001200 10 OFCR-MID-NME PIC X.</t>
  </si>
  <si>
    <t>001300 05 OFC-ADDR.</t>
  </si>
  <si>
    <t>001400 10 OFC-ADDR-GRP.</t>
  </si>
  <si>
    <t>001500 15 OFC-STREET-CITY-1 PIC X(25).</t>
  </si>
  <si>
    <t>001600 15 OFC-STREET-CITY-2 PIC X(25).</t>
  </si>
  <si>
    <t>001700 10 OFC-ST PIC X(02).</t>
  </si>
  <si>
    <t>001800 10 OFC-ZIP.</t>
  </si>
  <si>
    <t>001900 15 OFC-ZIP-1 PIC X(05).</t>
  </si>
  <si>
    <t>002000 15 OFC-ZIP-2 PIC X(04).</t>
  </si>
  <si>
    <t>002100 05 TELMAIL-ADDR PIC X(40).</t>
  </si>
  <si>
    <t>002200 05 OFC-PHN.</t>
  </si>
  <si>
    <t>002300 10 OFC-AREA PIC X(03).</t>
  </si>
  <si>
    <t>002400 10 OFC-PHN-NBR PIC X(07).</t>
  </si>
  <si>
    <t>002500 10 OFC-EXTNSN PIC X(04).</t>
  </si>
  <si>
    <t>002600 05 CUR-PSTN.</t>
  </si>
  <si>
    <t>002700 10 LVL-PSTN PIC X(02).</t>
  </si>
  <si>
    <t>002800 10 LVL-AREA OCCURS 4 PIC X.</t>
  </si>
  <si>
    <t>002900 10 LVL-SCRTY OCCURS 4 PIC X.</t>
  </si>
  <si>
    <t>003000 05 LST-UPDTE-USER-ID PIC X(05).</t>
  </si>
  <si>
    <t>003100 05 LST-UPDTE-DTE PIC 9(06).</t>
  </si>
  <si>
    <t>003200 05 ACT-SWTCH PIC X.</t>
  </si>
  <si>
    <t>003300 05 FILLER PIC X(0046).</t>
  </si>
  <si>
    <t>000050 01 USGLACT.</t>
  </si>
  <si>
    <t>000100 05 USGL-ACCTS-ENTRY-KEY.</t>
  </si>
  <si>
    <t>000200 10 ACCT-NBRGL PIC 9(4).</t>
  </si>
  <si>
    <t>000300 10 ACCT-NBR-SUB PIC 9(4).</t>
  </si>
  <si>
    <t>000400 10 ACCT-NBRDA PIC 9(4).</t>
  </si>
  <si>
    <t>000500 05 ACCT-TITLE PIC X(50).</t>
  </si>
  <si>
    <t>000600 05 BAL-CDE PIC 9.</t>
  </si>
  <si>
    <t>000700 05 LINE-NBR-CDE.</t>
  </si>
  <si>
    <t>000800 10 PRFX-LINE-NBR PIC 99.</t>
  </si>
  <si>
    <t>000900 10 SFX-LINE-NBR PIC X.</t>
  </si>
  <si>
    <t>001000 10 SUB-SFX-LINE-NBR PIC 9.</t>
  </si>
  <si>
    <t>001100 05 DTE-LST-RGSTR-ACCT PIC 9(06).</t>
  </si>
  <si>
    <t>001200 05 FILLER PIC X(0027).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</si>
</sst>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0">
    <numFmt numFmtId="164" formatCode="0000000.00"/>
    <numFmt numFmtId="165" formatCode="00"/>
    <numFmt numFmtId="166" formatCode="000000000000.00"/>
    <numFmt numFmtId="167" formatCode="00000000000.00"/>
    <numFmt numFmtId="168" formatCode="0.00000"/>
    <numFmt numFmtId="169" formatCode="000000"/>
    <numFmt numFmtId="170" formatCode="00.0000"/>
    <numFmt numFmtId="171" formatCode="0.000000"/>
    <numFmt numFmtId="172" formatCode="000"/>
    <numFmt numFmtId="173" formatCode="00000000.00"/>
    <numFmt numFmtId="174" formatCode="0000"/>
    <numFmt numFmtId="175" formatCode="0000000000"/>
    <numFmt numFmtId="176" formatCode="000000000.00"/>
    <numFmt numFmtId="177" formatCode="00000"/>
    <numFmt numFmtId="178" formatCode="0000000"/>
    <numFmt numFmtId="179" formatCode="0000000000000.00"/>
    <numFmt numFmtId="180" formatCode="000000000"/>
    <numFmt numFmtId="181" formatCode="0000000000.00"/>
    <numFmt numFmtId="182" formatCode="00000000000000000000"/>
    <numFmt numFmtId="183" formatCode="00000000000000000"/>
  </numFmts>
  <fonts count="37">
    <font>
      <sz val="10.0"/>
      <color rgb="FF000000"/>
      <name val="Arial"/>
      <scheme val="minor"/>
    </font>
    <font>
      <sz val="11.0"/>
      <color rgb="FF000000"/>
      <name val="Arial"/>
    </font>
    <font>
      <sz val="11.0"/>
      <color rgb="FF000000"/>
      <name val="Lato"/>
    </font>
    <font>
      <b/>
      <sz val="11.0"/>
      <color rgb="FF000000"/>
      <name val="Lato"/>
    </font>
    <font>
      <b/>
      <color theme="1"/>
      <name val="Arial"/>
      <scheme val="minor"/>
    </font>
    <font>
      <sz val="11.0"/>
      <color rgb="FF000000"/>
      <name val="Monospace"/>
    </font>
    <font>
      <color theme="1"/>
      <name val="Arial"/>
      <scheme val="minor"/>
    </font>
    <font>
      <color theme="1"/>
      <name val="Lato"/>
    </font>
    <font>
      <sz val="11.0"/>
      <color rgb="FF000000"/>
      <name val="Nunito"/>
    </font>
    <font>
      <color theme="1"/>
      <name val="Nunito"/>
    </font>
    <font>
      <color rgb="FF000000"/>
      <name val="Nunito"/>
    </font>
    <font>
      <b/>
      <sz val="11.0"/>
      <color rgb="FF000000"/>
      <name val="Nunito"/>
    </font>
    <font>
      <b/>
      <color theme="1"/>
      <name val="Nunito"/>
    </font>
    <font>
      <sz val="11.0"/>
      <color theme="1"/>
      <name val="Arial"/>
    </font>
    <font>
      <sz val="9.0"/>
      <color rgb="FF1F1F1F"/>
      <name val="Nunito"/>
    </font>
    <font>
      <sz val="11.0"/>
      <color theme="1"/>
      <name val="Nunito"/>
    </font>
    <font>
      <sz val="11.0"/>
      <color theme="1"/>
      <name val="Lato"/>
    </font>
    <font>
      <sz val="11.0"/>
      <color rgb="FF1F1F1F"/>
      <name val="Lato"/>
    </font>
    <font>
      <b/>
      <sz val="11.0"/>
      <color theme="1"/>
      <name val="Lato"/>
    </font>
    <font>
      <sz val="12.0"/>
      <color rgb="FF343541"/>
      <name val="Lato"/>
    </font>
    <font>
      <sz val="11.0"/>
      <color rgb="FF000000"/>
      <name val="Arial"/>
      <scheme val="minor"/>
    </font>
    <font>
      <sz val="11.0"/>
      <color theme="1"/>
      <name val="Arial"/>
      <scheme val="minor"/>
    </font>
    <font>
      <b/>
      <sz val="11.0"/>
      <color rgb="FF000000"/>
      <name val="Arial"/>
      <scheme val="minor"/>
    </font>
    <font>
      <color rgb="FF000000"/>
      <name val="Arial"/>
      <scheme val="minor"/>
    </font>
    <font>
      <b/>
      <sz val="11.0"/>
      <color theme="1"/>
      <name val="Nunito"/>
    </font>
    <font>
      <color rgb="FF303F9F"/>
      <name val="Arial"/>
      <scheme val="minor"/>
    </font>
    <font>
      <sz val="9.0"/>
      <color rgb="FF1F1F1F"/>
      <name val="Lato"/>
    </font>
    <font>
      <sz val="9.0"/>
      <color rgb="FF000000"/>
      <name val="&quot;Google Sans Mono&quot;"/>
    </font>
    <font>
      <sz val="11.0"/>
      <color rgb="FF303F9F"/>
      <name val="Lato"/>
    </font>
    <font>
      <sz val="11.0"/>
      <color rgb="FF000000"/>
      <name val="Courier New"/>
    </font>
    <font>
      <color theme="1"/>
      <name val="Courier New"/>
    </font>
    <font>
      <color rgb="FF000000"/>
      <name val="Arial"/>
    </font>
    <font>
      <color rgb="FF000000"/>
      <name val="Monospace"/>
    </font>
    <font>
      <sz val="11.0"/>
      <color rgb="FF1F1F1F"/>
      <name val="&quot;Google Sans&quot;"/>
    </font>
    <font>
      <sz val="11.0"/>
      <color rgb="FF1F1F1F"/>
      <name val="Google Sans"/>
    </font>
    <font>
      <sz val="11.0"/>
      <color rgb="FF000000"/>
      <name val="Verdana"/>
    </font>
    <font>
      <sz val="11.0"/>
      <color rgb="FF000000"/>
      <name val="&quot;Söhne Mono&quot;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</fills>
  <borders count="3">
    <border/>
    <border>
      <left style="thin">
        <color rgb="FFC0C0C0"/>
      </left>
      <right style="thin">
        <color rgb="FFC0C0C0"/>
      </right>
      <bottom style="thin">
        <color rgb="FFC0C0C0"/>
      </bottom>
    </border>
    <border>
      <right style="thin">
        <color rgb="FFC0C0C0"/>
      </right>
      <bottom style="thin">
        <color rgb="FFC0C0C0"/>
      </bottom>
    </border>
  </borders>
  <cellStyleXfs count="1">
    <xf borderId="0" fillId="0" fontId="0" numFmtId="0" applyAlignment="1" applyFont="1"/>
  </cellStyleXfs>
  <cellXfs count="29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 shrinkToFit="0" wrapText="1"/>
    </xf>
    <xf borderId="0" fillId="0" fontId="2" numFmtId="164" xfId="0" applyAlignment="1" applyFont="1" applyNumberFormat="1">
      <alignment readingOrder="0" shrinkToFit="0" wrapText="1"/>
    </xf>
    <xf borderId="0" fillId="2" fontId="2" numFmtId="164" xfId="0" applyAlignment="1" applyFill="1" applyFont="1" applyNumberFormat="1">
      <alignment readingOrder="0" shrinkToFit="0" wrapText="1"/>
    </xf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4" numFmtId="0" xfId="0" applyFont="1"/>
    <xf borderId="0" fillId="0" fontId="2" numFmtId="0" xfId="0" applyAlignment="1" applyFont="1">
      <alignment horizontal="left" readingOrder="0" shrinkToFit="0" wrapText="1"/>
    </xf>
    <xf borderId="0" fillId="0" fontId="5" numFmtId="164" xfId="0" applyAlignment="1" applyFont="1" applyNumberFormat="1">
      <alignment horizontal="left" readingOrder="0" shrinkToFit="0" wrapText="1"/>
    </xf>
    <xf borderId="0" fillId="0" fontId="2" numFmtId="164" xfId="0" applyAlignment="1" applyFont="1" applyNumberFormat="1">
      <alignment horizontal="left" readingOrder="0" shrinkToFit="0" wrapText="1"/>
    </xf>
    <xf borderId="0" fillId="0" fontId="2" numFmtId="165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5" xfId="0" applyAlignment="1" applyFont="1" applyNumberFormat="1">
      <alignment horizontal="left" readingOrder="0" shrinkToFit="0" wrapText="1"/>
    </xf>
    <xf borderId="0" fillId="0" fontId="2" numFmtId="165" xfId="0" applyAlignment="1" applyFont="1" applyNumberFormat="1">
      <alignment horizontal="left" readingOrder="0" shrinkToFit="0" wrapText="1"/>
    </xf>
    <xf borderId="0" fillId="0" fontId="2" numFmtId="166" xfId="0" applyAlignment="1" applyFont="1" applyNumberFormat="1">
      <alignment horizontal="left" readingOrder="0" shrinkToFit="0" wrapText="1"/>
    </xf>
    <xf borderId="0" fillId="2" fontId="2" numFmtId="0" xfId="0" applyAlignment="1" applyFont="1">
      <alignment horizontal="left" readingOrder="0" shrinkToFit="0" wrapText="1"/>
    </xf>
    <xf borderId="0" fillId="0" fontId="3" numFmtId="165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  <xf borderId="0" fillId="0" fontId="5" numFmtId="165" xfId="0" applyAlignment="1" applyFont="1" applyNumberFormat="1">
      <alignment horizontal="left" readingOrder="0" shrinkToFit="0" wrapText="1"/>
    </xf>
    <xf borderId="0" fillId="0" fontId="5" numFmtId="166" xfId="0" applyAlignment="1" applyFont="1" applyNumberFormat="1">
      <alignment horizontal="left" readingOrder="0" shrinkToFit="0" wrapText="1"/>
    </xf>
    <xf borderId="0" fillId="0" fontId="5" numFmtId="0" xfId="0" applyAlignment="1" applyFont="1">
      <alignment horizontal="left" readingOrder="0" shrinkToFit="0" wrapText="1"/>
    </xf>
    <xf borderId="0" fillId="0" fontId="6" numFmtId="165" xfId="0" applyFont="1" applyNumberFormat="1"/>
    <xf borderId="0" fillId="0" fontId="2" numFmtId="167" xfId="0" applyAlignment="1" applyFont="1" applyNumberFormat="1">
      <alignment readingOrder="0"/>
    </xf>
    <xf borderId="0" fillId="0" fontId="2" numFmtId="167" xfId="0" applyAlignment="1" applyFont="1" applyNumberFormat="1">
      <alignment readingOrder="0"/>
    </xf>
    <xf borderId="0" fillId="0" fontId="2" numFmtId="167" xfId="0" applyAlignment="1" applyFont="1" applyNumberFormat="1">
      <alignment horizontal="left" readingOrder="0" shrinkToFit="0" wrapText="1"/>
    </xf>
    <xf borderId="0" fillId="0" fontId="3" numFmtId="167" xfId="0" applyAlignment="1" applyFont="1" applyNumberFormat="1">
      <alignment readingOrder="0"/>
    </xf>
    <xf borderId="0" fillId="0" fontId="3" numFmtId="167" xfId="0" applyAlignment="1" applyFont="1" applyNumberFormat="1">
      <alignment readingOrder="0"/>
    </xf>
    <xf borderId="0" fillId="0" fontId="2" numFmtId="167" xfId="0" applyAlignment="1" applyFont="1" applyNumberFormat="1">
      <alignment horizontal="left" readingOrder="0" shrinkToFit="0" wrapText="1"/>
    </xf>
    <xf borderId="0" fillId="0" fontId="7" numFmtId="0" xfId="0" applyFont="1"/>
    <xf borderId="0" fillId="0" fontId="7" numFmtId="167" xfId="0" applyFont="1" applyNumberFormat="1"/>
    <xf borderId="0" fillId="0" fontId="2" numFmtId="165" xfId="0" applyAlignment="1" applyFont="1" applyNumberForma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168" xfId="0" applyAlignment="1" applyFont="1" applyNumberFormat="1">
      <alignment readingOrder="0" shrinkToFit="0" vertical="bottom" wrapText="0"/>
    </xf>
    <xf borderId="0" fillId="0" fontId="2" numFmtId="169" xfId="0" applyAlignment="1" applyFont="1" applyNumberFormat="1">
      <alignment readingOrder="0" shrinkToFit="0" vertical="bottom" wrapText="0"/>
    </xf>
    <xf borderId="0" fillId="0" fontId="2" numFmtId="170" xfId="0" applyAlignment="1" applyFont="1" applyNumberFormat="1">
      <alignment readingOrder="0" shrinkToFit="0" vertical="bottom" wrapText="0"/>
    </xf>
    <xf borderId="0" fillId="0" fontId="6" numFmtId="0" xfId="0" applyAlignment="1" applyFont="1">
      <alignment readingOrder="0" shrinkToFit="0" wrapText="1"/>
    </xf>
    <xf borderId="0" fillId="0" fontId="2" numFmtId="170" xfId="0" applyAlignment="1" applyFont="1" applyNumberFormat="1">
      <alignment horizontal="left" readingOrder="0" shrinkToFit="0" wrapText="1"/>
    </xf>
    <xf borderId="0" fillId="0" fontId="2" numFmtId="168" xfId="0" applyAlignment="1" applyFont="1" applyNumberFormat="1">
      <alignment horizontal="left" readingOrder="0" shrinkToFit="0" wrapText="1"/>
    </xf>
    <xf borderId="0" fillId="0" fontId="7" numFmtId="0" xfId="0" applyAlignment="1" applyFont="1">
      <alignment readingOrder="0" shrinkToFit="0" wrapText="1"/>
    </xf>
    <xf borderId="0" fillId="0" fontId="3" numFmtId="165" xfId="0" applyAlignment="1" applyFont="1" applyNumberForma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168" xfId="0" applyAlignment="1" applyFont="1" applyNumberFormat="1">
      <alignment readingOrder="0" shrinkToFit="0" vertical="bottom" wrapText="0"/>
    </xf>
    <xf borderId="0" fillId="0" fontId="3" numFmtId="169" xfId="0" applyAlignment="1" applyFont="1" applyNumberFormat="1">
      <alignment readingOrder="0" shrinkToFit="0" vertical="bottom" wrapText="0"/>
    </xf>
    <xf borderId="0" fillId="0" fontId="3" numFmtId="170" xfId="0" applyAlignment="1" applyFont="1" applyNumberFormat="1">
      <alignment readingOrder="0" shrinkToFit="0" vertical="bottom" wrapText="0"/>
    </xf>
    <xf borderId="0" fillId="0" fontId="5" numFmtId="170" xfId="0" applyAlignment="1" applyFont="1" applyNumberFormat="1">
      <alignment horizontal="left" readingOrder="0" shrinkToFit="0" wrapText="1"/>
    </xf>
    <xf borderId="0" fillId="0" fontId="2" numFmtId="171" xfId="0" applyAlignment="1" applyFont="1" applyNumberFormat="1">
      <alignment horizontal="left" readingOrder="0" shrinkToFit="0" wrapText="1"/>
    </xf>
    <xf borderId="0" fillId="0" fontId="5" numFmtId="169" xfId="0" applyAlignment="1" applyFont="1" applyNumberFormat="1">
      <alignment horizontal="left" readingOrder="0" shrinkToFit="0" wrapText="1"/>
    </xf>
    <xf borderId="0" fillId="0" fontId="2" numFmtId="172" xfId="0" applyAlignment="1" applyFont="1" applyNumberFormat="1">
      <alignment horizontal="left" readingOrder="0" shrinkToFit="0" wrapText="1"/>
    </xf>
    <xf borderId="0" fillId="0" fontId="5" numFmtId="169" xfId="0" applyAlignment="1" applyFont="1" applyNumberFormat="1">
      <alignment horizontal="left" readingOrder="0" shrinkToFit="0" wrapText="1"/>
    </xf>
    <xf borderId="0" fillId="0" fontId="5" numFmtId="173" xfId="0" applyAlignment="1" applyFont="1" applyNumberFormat="1">
      <alignment horizontal="left" readingOrder="0" shrinkToFit="0" wrapText="1"/>
    </xf>
    <xf borderId="0" fillId="0" fontId="6" numFmtId="165" xfId="0" applyFont="1" applyNumberFormat="1"/>
    <xf borderId="0" fillId="0" fontId="6" numFmtId="168" xfId="0" applyFont="1" applyNumberFormat="1"/>
    <xf borderId="0" fillId="0" fontId="6" numFmtId="169" xfId="0" applyFont="1" applyNumberFormat="1"/>
    <xf borderId="0" fillId="0" fontId="6" numFmtId="170" xfId="0" applyFont="1" applyNumberFormat="1"/>
    <xf borderId="0" fillId="0" fontId="8" numFmtId="0" xfId="0" applyAlignment="1" applyFont="1">
      <alignment readingOrder="0"/>
    </xf>
    <xf borderId="0" fillId="0" fontId="9" numFmtId="0" xfId="0" applyFont="1"/>
    <xf borderId="0" fillId="0" fontId="9" numFmtId="0" xfId="0" applyAlignment="1" applyFont="1">
      <alignment readingOrder="0" shrinkToFit="0" wrapText="1"/>
    </xf>
    <xf borderId="0" fillId="2" fontId="10" numFmtId="0" xfId="0" applyAlignment="1" applyFont="1">
      <alignment horizontal="left" readingOrder="0" shrinkToFit="0" wrapText="1"/>
    </xf>
    <xf borderId="0" fillId="0" fontId="6" numFmtId="169" xfId="0" applyAlignment="1" applyFont="1" applyNumberFormat="1">
      <alignment readingOrder="0" shrinkToFit="0" wrapText="1"/>
    </xf>
    <xf borderId="0" fillId="0" fontId="9" numFmtId="0" xfId="0" applyAlignment="1" applyFont="1">
      <alignment shrinkToFit="0" wrapText="1"/>
    </xf>
    <xf borderId="0" fillId="0" fontId="11" numFmtId="0" xfId="0" applyAlignment="1" applyFont="1">
      <alignment readingOrder="0"/>
    </xf>
    <xf borderId="0" fillId="0" fontId="12" numFmtId="0" xfId="0" applyFont="1"/>
    <xf borderId="0" fillId="0" fontId="8" numFmtId="0" xfId="0" applyAlignment="1" applyFont="1">
      <alignment horizontal="left" readingOrder="0" shrinkToFit="0" wrapText="1"/>
    </xf>
    <xf borderId="0" fillId="0" fontId="13" numFmtId="169" xfId="0" applyAlignment="1" applyFont="1" applyNumberFormat="1">
      <alignment shrinkToFit="0" vertical="bottom" wrapText="1"/>
    </xf>
    <xf borderId="0" fillId="0" fontId="8" numFmtId="11" xfId="0" applyAlignment="1" applyFont="1" applyNumberFormat="1">
      <alignment horizontal="left" readingOrder="0" shrinkToFit="0" wrapText="1"/>
    </xf>
    <xf borderId="0" fillId="0" fontId="8" numFmtId="174" xfId="0" applyAlignment="1" applyFont="1" applyNumberFormat="1">
      <alignment readingOrder="0"/>
    </xf>
    <xf borderId="0" fillId="0" fontId="8" numFmtId="174" xfId="0" applyAlignment="1" applyFont="1" applyNumberFormat="1">
      <alignment horizontal="left" readingOrder="0" shrinkToFit="0" wrapText="1"/>
    </xf>
    <xf borderId="0" fillId="2" fontId="14" numFmtId="0" xfId="0" applyAlignment="1" applyFont="1">
      <alignment readingOrder="0" shrinkToFit="0" wrapText="1"/>
    </xf>
    <xf borderId="0" fillId="0" fontId="6" numFmtId="0" xfId="0" applyAlignment="1" applyFont="1">
      <alignment shrinkToFit="0" wrapText="1"/>
    </xf>
    <xf borderId="0" fillId="0" fontId="11" numFmtId="174" xfId="0" applyAlignment="1" applyFont="1" applyNumberFormat="1">
      <alignment readingOrder="0"/>
    </xf>
    <xf borderId="0" fillId="0" fontId="8" numFmtId="174" xfId="0" applyAlignment="1" applyFont="1" applyNumberFormat="1">
      <alignment horizontal="left" readingOrder="0" shrinkToFit="0" wrapText="1"/>
    </xf>
    <xf borderId="0" fillId="0" fontId="1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174" xfId="0" applyFont="1" applyNumberFormat="1"/>
    <xf borderId="0" fillId="0" fontId="8" numFmtId="1" xfId="0" applyAlignment="1" applyFont="1" applyNumberFormat="1">
      <alignment readingOrder="0"/>
    </xf>
    <xf borderId="0" fillId="0" fontId="10" numFmtId="1" xfId="0" applyAlignment="1" applyFont="1" applyNumberFormat="1">
      <alignment horizontal="left" readingOrder="0" shrinkToFit="0" wrapText="1"/>
    </xf>
    <xf borderId="0" fillId="0" fontId="11" numFmtId="1" xfId="0" applyAlignment="1" applyFont="1" applyNumberFormat="1">
      <alignment readingOrder="0"/>
    </xf>
    <xf borderId="0" fillId="0" fontId="5" numFmtId="1" xfId="0" applyAlignment="1" applyFont="1" applyNumberFormat="1">
      <alignment horizontal="left" readingOrder="0" shrinkToFit="0" wrapText="1"/>
    </xf>
    <xf borderId="0" fillId="0" fontId="9" numFmtId="1" xfId="0" applyFont="1" applyNumberFormat="1"/>
    <xf borderId="0" fillId="0" fontId="2" numFmtId="172" xfId="0" applyAlignment="1" applyFont="1" applyNumberFormat="1">
      <alignment readingOrder="0"/>
    </xf>
    <xf borderId="0" fillId="0" fontId="2" numFmtId="175" xfId="0" applyAlignment="1" applyFont="1" applyNumberFormat="1">
      <alignment readingOrder="0"/>
    </xf>
    <xf borderId="0" fillId="0" fontId="16" numFmtId="0" xfId="0" applyAlignment="1" applyFont="1">
      <alignment readingOrder="0" shrinkToFit="0" wrapText="1"/>
    </xf>
    <xf borderId="0" fillId="2" fontId="17" numFmtId="165" xfId="0" applyAlignment="1" applyFont="1" applyNumberFormat="1">
      <alignment readingOrder="0" shrinkToFit="0" wrapText="1"/>
    </xf>
    <xf borderId="0" fillId="2" fontId="17" numFmtId="172" xfId="0" applyAlignment="1" applyFont="1" applyNumberFormat="1">
      <alignment horizontal="left" readingOrder="0" shrinkToFit="0" wrapText="1"/>
    </xf>
    <xf borderId="0" fillId="2" fontId="17" numFmtId="175" xfId="0" applyAlignment="1" applyFont="1" applyNumberFormat="1">
      <alignment readingOrder="0" shrinkToFit="0" wrapText="1"/>
    </xf>
    <xf borderId="0" fillId="0" fontId="18" numFmtId="0" xfId="0" applyAlignment="1" applyFont="1">
      <alignment vertical="bottom"/>
    </xf>
    <xf borderId="0" fillId="0" fontId="18" numFmtId="165" xfId="0" applyAlignment="1" applyFont="1" applyNumberFormat="1">
      <alignment vertical="bottom"/>
    </xf>
    <xf borderId="0" fillId="0" fontId="18" numFmtId="172" xfId="0" applyAlignment="1" applyFont="1" applyNumberFormat="1">
      <alignment vertical="bottom"/>
    </xf>
    <xf borderId="0" fillId="0" fontId="18" numFmtId="175" xfId="0" applyAlignment="1" applyFont="1" applyNumberFormat="1">
      <alignment vertical="bottom"/>
    </xf>
    <xf borderId="0" fillId="0" fontId="16" numFmtId="0" xfId="0" applyFont="1"/>
    <xf borderId="0" fillId="0" fontId="2" numFmtId="165" xfId="0" applyFont="1" applyNumberFormat="1"/>
    <xf borderId="0" fillId="0" fontId="2" numFmtId="172" xfId="0" applyFont="1" applyNumberFormat="1"/>
    <xf borderId="0" fillId="0" fontId="2" numFmtId="175" xfId="0" applyAlignment="1" applyFont="1" applyNumberFormat="1">
      <alignment horizontal="left" readingOrder="0" shrinkToFit="0" wrapText="1"/>
    </xf>
    <xf borderId="0" fillId="0" fontId="7" numFmtId="172" xfId="0" applyFont="1" applyNumberFormat="1"/>
    <xf borderId="0" fillId="0" fontId="7" numFmtId="165" xfId="0" applyFont="1" applyNumberFormat="1"/>
    <xf borderId="0" fillId="0" fontId="2" numFmtId="176" xfId="0" applyAlignment="1" applyFont="1" applyNumberFormat="1">
      <alignment readingOrder="0"/>
    </xf>
    <xf borderId="0" fillId="0" fontId="2" numFmtId="169" xfId="0" applyAlignment="1" applyFont="1" applyNumberFormat="1">
      <alignment readingOrder="0"/>
    </xf>
    <xf borderId="0" fillId="0" fontId="7" numFmtId="165" xfId="0" applyAlignment="1" applyFont="1" applyNumberFormat="1">
      <alignment readingOrder="0" shrinkToFit="0" wrapText="1"/>
    </xf>
    <xf borderId="0" fillId="0" fontId="2" numFmtId="176" xfId="0" applyAlignment="1" applyFont="1" applyNumberFormat="1">
      <alignment readingOrder="0" shrinkToFit="0" wrapText="1"/>
    </xf>
    <xf borderId="0" fillId="0" fontId="19" numFmtId="0" xfId="0" applyAlignment="1" applyFont="1">
      <alignment readingOrder="0" shrinkToFit="0" wrapText="1"/>
    </xf>
    <xf borderId="0" fillId="2" fontId="2" numFmtId="0" xfId="0" applyAlignment="1" applyFont="1">
      <alignment readingOrder="0" shrinkToFit="0" wrapText="1"/>
    </xf>
    <xf borderId="0" fillId="0" fontId="2" numFmtId="169" xfId="0" applyAlignment="1" applyFont="1" applyNumberFormat="1">
      <alignment readingOrder="0" shrinkToFit="0" wrapText="1"/>
    </xf>
    <xf borderId="0" fillId="0" fontId="3" numFmtId="176" xfId="0" applyAlignment="1" applyFont="1" applyNumberFormat="1">
      <alignment readingOrder="0"/>
    </xf>
    <xf borderId="0" fillId="0" fontId="3" numFmtId="169" xfId="0" applyAlignment="1" applyFont="1" applyNumberFormat="1">
      <alignment readingOrder="0"/>
    </xf>
    <xf borderId="0" fillId="0" fontId="16" numFmtId="0" xfId="0" applyAlignment="1" applyFont="1">
      <alignment shrinkToFit="0" vertical="bottom" wrapText="1"/>
    </xf>
    <xf borderId="0" fillId="0" fontId="2" numFmtId="176" xfId="0" applyAlignment="1" applyFont="1" applyNumberFormat="1">
      <alignment horizontal="left" readingOrder="0" shrinkToFit="0" wrapText="1"/>
    </xf>
    <xf borderId="0" fillId="0" fontId="2" numFmtId="169" xfId="0" applyAlignment="1" applyFont="1" applyNumberFormat="1">
      <alignment horizontal="left" readingOrder="0" shrinkToFit="0" wrapText="1"/>
    </xf>
    <xf borderId="0" fillId="0" fontId="5" numFmtId="165" xfId="0" applyAlignment="1" applyFont="1" applyNumberFormat="1">
      <alignment horizontal="left" readingOrder="0" shrinkToFit="0" wrapText="1"/>
    </xf>
    <xf borderId="0" fillId="0" fontId="16" numFmtId="165" xfId="0" applyAlignment="1" applyFont="1" applyNumberFormat="1">
      <alignment shrinkToFit="0" vertical="bottom" wrapText="1"/>
    </xf>
    <xf borderId="0" fillId="0" fontId="2" numFmtId="169" xfId="0" applyAlignment="1" applyFont="1" applyNumberFormat="1">
      <alignment horizontal="left" readingOrder="0" shrinkToFit="0" wrapText="1"/>
    </xf>
    <xf borderId="0" fillId="0" fontId="6" numFmtId="176" xfId="0" applyFont="1" applyNumberFormat="1"/>
    <xf borderId="0" fillId="0" fontId="8" numFmtId="165" xfId="0" applyAlignment="1" applyFont="1" applyNumberFormat="1">
      <alignment readingOrder="0"/>
    </xf>
    <xf borderId="0" fillId="0" fontId="8" numFmtId="177" xfId="0" applyAlignment="1" applyFont="1" applyNumberFormat="1">
      <alignment readingOrder="0"/>
    </xf>
    <xf borderId="0" fillId="0" fontId="8" numFmtId="178" xfId="0" applyAlignment="1" applyFont="1" applyNumberFormat="1">
      <alignment readingOrder="0"/>
    </xf>
    <xf borderId="0" fillId="0" fontId="8" numFmtId="177" xfId="0" applyAlignment="1" applyFont="1" applyNumberFormat="1">
      <alignment readingOrder="0"/>
    </xf>
    <xf borderId="0" fillId="0" fontId="10" numFmtId="165" xfId="0" applyAlignment="1" applyFont="1" applyNumberFormat="1">
      <alignment horizontal="left" readingOrder="0" shrinkToFit="0" wrapText="1"/>
    </xf>
    <xf borderId="0" fillId="0" fontId="8" numFmtId="0" xfId="0" applyAlignment="1" applyFont="1">
      <alignment readingOrder="0" shrinkToFit="0" wrapText="1"/>
    </xf>
    <xf borderId="0" fillId="3" fontId="8" numFmtId="177" xfId="0" applyAlignment="1" applyFill="1" applyFont="1" applyNumberFormat="1">
      <alignment horizontal="left" readingOrder="0" shrinkToFit="0" wrapText="1"/>
    </xf>
    <xf borderId="0" fillId="3" fontId="8" numFmtId="178" xfId="0" applyAlignment="1" applyFont="1" applyNumberFormat="1">
      <alignment horizontal="left" readingOrder="0" shrinkToFit="0" wrapText="1"/>
    </xf>
    <xf borderId="0" fillId="3" fontId="8" numFmtId="177" xfId="0" applyAlignment="1" applyFont="1" applyNumberFormat="1">
      <alignment horizontal="left" readingOrder="0" shrinkToFit="0" wrapText="1"/>
    </xf>
    <xf borderId="0" fillId="2" fontId="8" numFmtId="0" xfId="0" applyAlignment="1" applyFont="1">
      <alignment horizontal="left" readingOrder="0" shrinkToFit="0" wrapText="1"/>
    </xf>
    <xf borderId="0" fillId="0" fontId="11" numFmtId="165" xfId="0" applyAlignment="1" applyFont="1" applyNumberFormat="1">
      <alignment readingOrder="0"/>
    </xf>
    <xf borderId="0" fillId="0" fontId="11" numFmtId="177" xfId="0" applyAlignment="1" applyFont="1" applyNumberFormat="1">
      <alignment readingOrder="0"/>
    </xf>
    <xf borderId="0" fillId="0" fontId="11" numFmtId="178" xfId="0" applyAlignment="1" applyFont="1" applyNumberFormat="1">
      <alignment readingOrder="0"/>
    </xf>
    <xf borderId="0" fillId="0" fontId="11" numFmtId="177" xfId="0" applyAlignment="1" applyFont="1" applyNumberFormat="1">
      <alignment readingOrder="0"/>
    </xf>
    <xf borderId="0" fillId="0" fontId="8" numFmtId="177" xfId="0" applyAlignment="1" applyFont="1" applyNumberFormat="1">
      <alignment horizontal="left" readingOrder="0" shrinkToFit="0" wrapText="1"/>
    </xf>
    <xf borderId="0" fillId="0" fontId="8" numFmtId="178" xfId="0" applyAlignment="1" applyFont="1" applyNumberFormat="1">
      <alignment horizontal="left" readingOrder="0" shrinkToFit="0" wrapText="1"/>
    </xf>
    <xf borderId="0" fillId="0" fontId="8" numFmtId="177" xfId="0" applyAlignment="1" applyFont="1" applyNumberFormat="1">
      <alignment horizontal="left" readingOrder="0" shrinkToFit="0" wrapText="1"/>
    </xf>
    <xf borderId="0" fillId="0" fontId="8" numFmtId="179" xfId="0" applyAlignment="1" applyFont="1" applyNumberFormat="1">
      <alignment horizontal="left" readingOrder="0" shrinkToFit="0" wrapText="1"/>
    </xf>
    <xf borderId="0" fillId="0" fontId="8" numFmtId="179" xfId="0" applyAlignment="1" applyFont="1" applyNumberFormat="1">
      <alignment horizontal="left" readingOrder="0" shrinkToFit="0" wrapText="1"/>
    </xf>
    <xf borderId="0" fillId="0" fontId="5" numFmtId="11" xfId="0" applyAlignment="1" applyFont="1" applyNumberFormat="1">
      <alignment horizontal="left" readingOrder="0" shrinkToFit="0" wrapText="1"/>
    </xf>
    <xf borderId="0" fillId="0" fontId="8" numFmtId="169" xfId="0" applyAlignment="1" applyFont="1" applyNumberFormat="1">
      <alignment readingOrder="0"/>
    </xf>
    <xf borderId="0" fillId="2" fontId="8" numFmtId="0" xfId="0" applyAlignment="1" applyFont="1">
      <alignment readingOrder="0" shrinkToFit="0" wrapText="1"/>
    </xf>
    <xf borderId="0" fillId="0" fontId="8" numFmtId="169" xfId="0" applyAlignment="1" applyFont="1" applyNumberFormat="1">
      <alignment readingOrder="0" shrinkToFit="0" wrapText="1"/>
    </xf>
    <xf borderId="0" fillId="0" fontId="8" numFmtId="165" xfId="0" applyAlignment="1" applyFont="1" applyNumberFormat="1">
      <alignment readingOrder="0" shrinkToFit="0" wrapText="1"/>
    </xf>
    <xf borderId="0" fillId="0" fontId="8" numFmtId="174" xfId="0" applyAlignment="1" applyFont="1" applyNumberFormat="1">
      <alignment readingOrder="0" shrinkToFit="0" wrapText="1"/>
    </xf>
    <xf borderId="0" fillId="0" fontId="11" numFmtId="169" xfId="0" applyAlignment="1" applyFont="1" applyNumberFormat="1">
      <alignment readingOrder="0"/>
    </xf>
    <xf borderId="0" fillId="0" fontId="8" numFmtId="169" xfId="0" applyAlignment="1" applyFont="1" applyNumberFormat="1">
      <alignment horizontal="left" readingOrder="0" shrinkToFit="0" wrapText="1"/>
    </xf>
    <xf borderId="0" fillId="0" fontId="8" numFmtId="165" xfId="0" applyAlignment="1" applyFont="1" applyNumberFormat="1">
      <alignment horizontal="left" readingOrder="0" shrinkToFit="0" wrapText="1"/>
    </xf>
    <xf borderId="0" fillId="0" fontId="6" numFmtId="169" xfId="0" applyFont="1" applyNumberFormat="1"/>
    <xf borderId="0" fillId="0" fontId="2" numFmtId="180" xfId="0" applyAlignment="1" applyFont="1" applyNumberFormat="1">
      <alignment readingOrder="0"/>
    </xf>
    <xf borderId="0" fillId="0" fontId="3" numFmtId="180" xfId="0" applyAlignment="1" applyFont="1" applyNumberFormat="1">
      <alignment readingOrder="0"/>
    </xf>
    <xf borderId="0" fillId="0" fontId="2" numFmtId="180" xfId="0" applyAlignment="1" applyFont="1" applyNumberFormat="1">
      <alignment horizontal="left" readingOrder="0" shrinkToFit="0" wrapText="1"/>
    </xf>
    <xf borderId="0" fillId="0" fontId="20" numFmtId="0" xfId="0" applyAlignment="1" applyFont="1">
      <alignment readingOrder="0"/>
    </xf>
    <xf borderId="0" fillId="0" fontId="20" numFmtId="177" xfId="0" applyAlignment="1" applyFont="1" applyNumberFormat="1">
      <alignment readingOrder="0"/>
    </xf>
    <xf borderId="0" fillId="0" fontId="20" numFmtId="169" xfId="0" applyAlignment="1" applyFont="1" applyNumberFormat="1">
      <alignment readingOrder="0"/>
    </xf>
    <xf borderId="0" fillId="0" fontId="21" numFmtId="0" xfId="0" applyFont="1"/>
    <xf borderId="0" fillId="0" fontId="20" numFmtId="165" xfId="0" applyAlignment="1" applyFont="1" applyNumberFormat="1">
      <alignment horizontal="left" readingOrder="0" shrinkToFit="0" wrapText="1"/>
    </xf>
    <xf borderId="0" fillId="0" fontId="20" numFmtId="177" xfId="0" applyAlignment="1" applyFont="1" applyNumberFormat="1">
      <alignment readingOrder="0" shrinkToFit="0" wrapText="1"/>
    </xf>
    <xf borderId="0" fillId="0" fontId="22" numFmtId="0" xfId="0" applyAlignment="1" applyFont="1">
      <alignment readingOrder="0"/>
    </xf>
    <xf borderId="0" fillId="0" fontId="22" numFmtId="177" xfId="0" applyAlignment="1" applyFont="1" applyNumberFormat="1">
      <alignment readingOrder="0"/>
    </xf>
    <xf borderId="0" fillId="0" fontId="22" numFmtId="169" xfId="0" applyAlignment="1" applyFont="1" applyNumberFormat="1">
      <alignment readingOrder="0"/>
    </xf>
    <xf borderId="0" fillId="0" fontId="21" numFmtId="177" xfId="0" applyAlignment="1" applyFont="1" applyNumberFormat="1">
      <alignment readingOrder="0"/>
    </xf>
    <xf borderId="0" fillId="0" fontId="21" numFmtId="169" xfId="0" applyFont="1" applyNumberFormat="1"/>
    <xf borderId="0" fillId="0" fontId="20" numFmtId="172" xfId="0" applyAlignment="1" applyFont="1" applyNumberFormat="1">
      <alignment readingOrder="0"/>
    </xf>
    <xf borderId="0" fillId="0" fontId="20" numFmtId="179" xfId="0" applyAlignment="1" applyFont="1" applyNumberFormat="1">
      <alignment readingOrder="0"/>
    </xf>
    <xf borderId="0" fillId="0" fontId="23" numFmtId="165" xfId="0" applyAlignment="1" applyFont="1" applyNumberFormat="1">
      <alignment horizontal="left" readingOrder="0" shrinkToFit="0" wrapText="1"/>
    </xf>
    <xf borderId="0" fillId="0" fontId="20" numFmtId="0" xfId="0" applyAlignment="1" applyFont="1">
      <alignment readingOrder="0" shrinkToFit="0" wrapText="1"/>
    </xf>
    <xf borderId="0" fillId="2" fontId="20" numFmtId="0" xfId="0" applyAlignment="1" applyFont="1">
      <alignment readingOrder="0" shrinkToFit="0" wrapText="1"/>
    </xf>
    <xf borderId="0" fillId="0" fontId="20" numFmtId="179" xfId="0" applyAlignment="1" applyFont="1" applyNumberFormat="1">
      <alignment readingOrder="0" shrinkToFit="0" wrapText="1"/>
    </xf>
    <xf borderId="0" fillId="0" fontId="15" numFmtId="0" xfId="0" applyAlignment="1" applyFont="1">
      <alignment readingOrder="0" shrinkToFit="0" wrapText="1"/>
    </xf>
    <xf borderId="0" fillId="0" fontId="22" numFmtId="172" xfId="0" applyAlignment="1" applyFont="1" applyNumberFormat="1">
      <alignment readingOrder="0"/>
    </xf>
    <xf borderId="0" fillId="0" fontId="22" numFmtId="179" xfId="0" applyAlignment="1" applyFont="1" applyNumberFormat="1">
      <alignment readingOrder="0"/>
    </xf>
    <xf borderId="0" fillId="0" fontId="24" numFmtId="0" xfId="0" applyAlignment="1" applyFont="1">
      <alignment vertical="bottom"/>
    </xf>
    <xf borderId="0" fillId="0" fontId="20" numFmtId="0" xfId="0" applyAlignment="1" applyFont="1">
      <alignment horizontal="left" readingOrder="0" shrinkToFit="0" wrapText="1"/>
    </xf>
    <xf borderId="0" fillId="0" fontId="5" numFmtId="179" xfId="0" applyAlignment="1" applyFont="1" applyNumberFormat="1">
      <alignment horizontal="left" readingOrder="0" shrinkToFit="0" wrapText="1"/>
    </xf>
    <xf borderId="0" fillId="0" fontId="21" numFmtId="0" xfId="0" applyAlignment="1" applyFont="1">
      <alignment readingOrder="0"/>
    </xf>
    <xf borderId="0" fillId="0" fontId="25" numFmtId="165" xfId="0" applyAlignment="1" applyFont="1" applyNumberFormat="1">
      <alignment horizontal="right" readingOrder="0" shrinkToFit="0" wrapText="1"/>
    </xf>
    <xf borderId="0" fillId="0" fontId="6" numFmtId="172" xfId="0" applyFont="1" applyNumberFormat="1"/>
    <xf borderId="0" fillId="0" fontId="6" numFmtId="179" xfId="0" applyFont="1" applyNumberFormat="1"/>
    <xf borderId="0" fillId="0" fontId="6" numFmtId="165" xfId="0" applyAlignment="1" applyFont="1" applyNumberFormat="1">
      <alignment horizontal="right" readingOrder="0"/>
    </xf>
    <xf borderId="0" fillId="0" fontId="20" numFmtId="1" xfId="0" applyAlignment="1" applyFont="1" applyNumberFormat="1">
      <alignment readingOrder="0"/>
    </xf>
    <xf borderId="0" fillId="0" fontId="20" numFmtId="181" xfId="0" applyAlignment="1" applyFont="1" applyNumberFormat="1">
      <alignment readingOrder="0"/>
    </xf>
    <xf borderId="0" fillId="0" fontId="20" numFmtId="181" xfId="0" applyAlignment="1" applyFont="1" applyNumberFormat="1">
      <alignment readingOrder="0"/>
    </xf>
    <xf borderId="0" fillId="0" fontId="20" numFmtId="181" xfId="0" applyAlignment="1" applyFont="1" applyNumberFormat="1">
      <alignment readingOrder="0" shrinkToFit="0" wrapText="1"/>
    </xf>
    <xf borderId="0" fillId="0" fontId="20" numFmtId="181" xfId="0" applyAlignment="1" applyFont="1" applyNumberFormat="1">
      <alignment readingOrder="0" shrinkToFit="0" wrapText="1"/>
    </xf>
    <xf borderId="0" fillId="0" fontId="22" numFmtId="1" xfId="0" applyAlignment="1" applyFont="1" applyNumberFormat="1">
      <alignment readingOrder="0"/>
    </xf>
    <xf borderId="0" fillId="0" fontId="22" numFmtId="181" xfId="0" applyAlignment="1" applyFont="1" applyNumberFormat="1">
      <alignment readingOrder="0"/>
    </xf>
    <xf borderId="0" fillId="0" fontId="22" numFmtId="181" xfId="0" applyAlignment="1" applyFont="1" applyNumberFormat="1">
      <alignment readingOrder="0"/>
    </xf>
    <xf borderId="0" fillId="0" fontId="20" numFmtId="181" xfId="0" applyAlignment="1" applyFont="1" applyNumberFormat="1">
      <alignment horizontal="left" readingOrder="0" shrinkToFit="0" wrapText="1"/>
    </xf>
    <xf borderId="0" fillId="0" fontId="20" numFmtId="181" xfId="0" applyAlignment="1" applyFont="1" applyNumberFormat="1">
      <alignment horizontal="left" readingOrder="0" shrinkToFit="0" wrapText="1"/>
    </xf>
    <xf borderId="0" fillId="0" fontId="16" numFmtId="1" xfId="0" applyAlignment="1" applyFont="1" applyNumberFormat="1">
      <alignment shrinkToFit="0" vertical="bottom" wrapText="1"/>
    </xf>
    <xf borderId="0" fillId="0" fontId="6" numFmtId="181" xfId="0" applyFont="1" applyNumberFormat="1"/>
    <xf borderId="0" fillId="0" fontId="6" numFmtId="181" xfId="0" applyFont="1" applyNumberFormat="1"/>
    <xf borderId="0" fillId="0" fontId="2" numFmtId="181" xfId="0" applyAlignment="1" applyFont="1" applyNumberFormat="1">
      <alignment readingOrder="0"/>
    </xf>
    <xf borderId="0" fillId="0" fontId="2" numFmtId="181" xfId="0" applyAlignment="1" applyFont="1" applyNumberFormat="1">
      <alignment readingOrder="0"/>
    </xf>
    <xf borderId="0" fillId="0" fontId="2" numFmtId="165" xfId="0" applyAlignment="1" applyFont="1" applyNumberFormat="1">
      <alignment readingOrder="0" shrinkToFit="0" wrapText="1"/>
    </xf>
    <xf borderId="0" fillId="0" fontId="2" numFmtId="181" xfId="0" applyAlignment="1" applyFont="1" applyNumberFormat="1">
      <alignment readingOrder="0" shrinkToFit="0" wrapText="1"/>
    </xf>
    <xf borderId="0" fillId="0" fontId="2" numFmtId="181" xfId="0" applyAlignment="1" applyFont="1" applyNumberFormat="1">
      <alignment readingOrder="0" shrinkToFit="0" wrapText="1"/>
    </xf>
    <xf borderId="0" fillId="0" fontId="3" numFmtId="181" xfId="0" applyAlignment="1" applyFont="1" applyNumberFormat="1">
      <alignment readingOrder="0"/>
    </xf>
    <xf borderId="0" fillId="0" fontId="3" numFmtId="181" xfId="0" applyAlignment="1" applyFont="1" applyNumberFormat="1">
      <alignment readingOrder="0"/>
    </xf>
    <xf borderId="0" fillId="0" fontId="2" numFmtId="181" xfId="0" applyAlignment="1" applyFont="1" applyNumberFormat="1">
      <alignment horizontal="left" readingOrder="0" shrinkToFit="0" wrapText="1"/>
    </xf>
    <xf borderId="0" fillId="0" fontId="2" numFmtId="181" xfId="0" applyAlignment="1" applyFont="1" applyNumberFormat="1">
      <alignment horizontal="left" readingOrder="0" shrinkToFit="0" wrapText="1"/>
    </xf>
    <xf borderId="0" fillId="0" fontId="16" numFmtId="0" xfId="0" applyAlignment="1" applyFont="1">
      <alignment horizontal="right" shrinkToFit="0" vertical="bottom" wrapText="1"/>
    </xf>
    <xf borderId="0" fillId="0" fontId="16" numFmtId="165" xfId="0" applyAlignment="1" applyFont="1" applyNumberFormat="1">
      <alignment horizontal="right" shrinkToFit="0" vertical="bottom" wrapText="1"/>
    </xf>
    <xf borderId="0" fillId="0" fontId="16" numFmtId="181" xfId="0" applyAlignment="1" applyFont="1" applyNumberFormat="1">
      <alignment horizontal="right" shrinkToFit="0" vertical="bottom" wrapText="1"/>
    </xf>
    <xf borderId="0" fillId="0" fontId="16" numFmtId="181" xfId="0" applyAlignment="1" applyFont="1" applyNumberFormat="1">
      <alignment horizontal="right" shrinkToFit="0" vertical="bottom" wrapText="1"/>
    </xf>
    <xf borderId="0" fillId="0" fontId="20" numFmtId="175" xfId="0" applyAlignment="1" applyFont="1" applyNumberFormat="1">
      <alignment readingOrder="0"/>
    </xf>
    <xf borderId="0" fillId="0" fontId="20" numFmtId="175" xfId="0" applyAlignment="1" applyFont="1" applyNumberFormat="1">
      <alignment readingOrder="0"/>
    </xf>
    <xf borderId="0" fillId="0" fontId="20" numFmtId="175" xfId="0" applyAlignment="1" applyFont="1" applyNumberFormat="1">
      <alignment readingOrder="0" shrinkToFit="0" wrapText="1"/>
    </xf>
    <xf borderId="0" fillId="0" fontId="20" numFmtId="175" xfId="0" applyAlignment="1" applyFont="1" applyNumberFormat="1">
      <alignment readingOrder="0" shrinkToFit="0" wrapText="1"/>
    </xf>
    <xf borderId="0" fillId="0" fontId="18" numFmtId="0" xfId="0" applyAlignment="1" applyFont="1">
      <alignment readingOrder="0"/>
    </xf>
    <xf borderId="0" fillId="0" fontId="22" numFmtId="175" xfId="0" applyAlignment="1" applyFont="1" applyNumberFormat="1">
      <alignment readingOrder="0"/>
    </xf>
    <xf borderId="0" fillId="0" fontId="22" numFmtId="175" xfId="0" applyAlignment="1" applyFont="1" applyNumberFormat="1">
      <alignment readingOrder="0"/>
    </xf>
    <xf borderId="0" fillId="0" fontId="20" numFmtId="175" xfId="0" applyAlignment="1" applyFont="1" applyNumberFormat="1">
      <alignment horizontal="left" readingOrder="0" shrinkToFit="0" wrapText="1"/>
    </xf>
    <xf borderId="0" fillId="0" fontId="20" numFmtId="175" xfId="0" applyAlignment="1" applyFont="1" applyNumberFormat="1">
      <alignment horizontal="left" readingOrder="0" shrinkToFit="0" wrapText="1"/>
    </xf>
    <xf borderId="0" fillId="0" fontId="2" numFmtId="176" xfId="0" applyAlignment="1" applyFont="1" applyNumberFormat="1">
      <alignment readingOrder="0"/>
    </xf>
    <xf borderId="0" fillId="2" fontId="26" numFmtId="0" xfId="0" applyAlignment="1" applyFont="1">
      <alignment readingOrder="0" shrinkToFit="0" wrapText="1"/>
    </xf>
    <xf borderId="0" fillId="0" fontId="2" numFmtId="176" xfId="0" applyAlignment="1" applyFont="1" applyNumberFormat="1">
      <alignment readingOrder="0" shrinkToFit="0" wrapText="1"/>
    </xf>
    <xf borderId="0" fillId="0" fontId="2" numFmtId="175" xfId="0" applyAlignment="1" applyFont="1" applyNumberFormat="1">
      <alignment readingOrder="0" shrinkToFit="0" wrapText="1"/>
    </xf>
    <xf borderId="0" fillId="0" fontId="3" numFmtId="176" xfId="0" applyAlignment="1" applyFont="1" applyNumberFormat="1">
      <alignment readingOrder="0"/>
    </xf>
    <xf borderId="0" fillId="0" fontId="2" numFmtId="176" xfId="0" applyAlignment="1" applyFont="1" applyNumberFormat="1">
      <alignment horizontal="left" readingOrder="0" shrinkToFit="0" wrapText="1"/>
    </xf>
    <xf borderId="0" fillId="0" fontId="6" numFmtId="176" xfId="0" applyFont="1" applyNumberFormat="1"/>
    <xf borderId="0" fillId="0" fontId="2" numFmtId="172" xfId="0" applyAlignment="1" applyFont="1" applyNumberFormat="1">
      <alignment readingOrder="0"/>
    </xf>
    <xf borderId="0" fillId="0" fontId="2" numFmtId="175" xfId="0" applyAlignment="1" applyFont="1" applyNumberFormat="1">
      <alignment readingOrder="0"/>
    </xf>
    <xf borderId="0" fillId="0" fontId="2" numFmtId="182" xfId="0" applyAlignment="1" applyFont="1" applyNumberFormat="1">
      <alignment readingOrder="0"/>
    </xf>
    <xf borderId="0" fillId="0" fontId="2" numFmtId="173" xfId="0" applyAlignment="1" applyFont="1" applyNumberFormat="1">
      <alignment readingOrder="0"/>
    </xf>
    <xf borderId="0" fillId="0" fontId="2" numFmtId="169" xfId="0" applyAlignment="1" applyFont="1" applyNumberFormat="1">
      <alignment readingOrder="0"/>
    </xf>
    <xf borderId="0" fillId="0" fontId="16" numFmtId="165" xfId="0" applyAlignment="1" applyFont="1" applyNumberFormat="1">
      <alignment readingOrder="0" shrinkToFit="0" wrapText="1"/>
    </xf>
    <xf borderId="0" fillId="0" fontId="16" numFmtId="172" xfId="0" applyAlignment="1" applyFont="1" applyNumberFormat="1">
      <alignment readingOrder="0" shrinkToFit="0" wrapText="1"/>
    </xf>
    <xf borderId="0" fillId="2" fontId="17" numFmtId="175" xfId="0" applyAlignment="1" applyFont="1" applyNumberFormat="1">
      <alignment readingOrder="0" shrinkToFit="0" wrapText="1"/>
    </xf>
    <xf borderId="0" fillId="0" fontId="16" numFmtId="182" xfId="0" applyAlignment="1" applyFont="1" applyNumberFormat="1">
      <alignment readingOrder="0" shrinkToFit="0" wrapText="1"/>
    </xf>
    <xf borderId="0" fillId="0" fontId="16" numFmtId="173" xfId="0" applyAlignment="1" applyFont="1" applyNumberFormat="1">
      <alignment readingOrder="0" shrinkToFit="0" wrapText="1"/>
    </xf>
    <xf borderId="0" fillId="0" fontId="16" numFmtId="169" xfId="0" applyAlignment="1" applyFont="1" applyNumberFormat="1">
      <alignment readingOrder="0" shrinkToFit="0" wrapText="1"/>
    </xf>
    <xf borderId="0" fillId="0" fontId="16" numFmtId="165" xfId="0" applyAlignment="1" applyFont="1" applyNumberFormat="1">
      <alignment readingOrder="0" shrinkToFit="0" wrapText="1"/>
    </xf>
    <xf borderId="0" fillId="0" fontId="3" numFmtId="172" xfId="0" applyAlignment="1" applyFont="1" applyNumberFormat="1">
      <alignment readingOrder="0"/>
    </xf>
    <xf borderId="0" fillId="0" fontId="3" numFmtId="175" xfId="0" applyAlignment="1" applyFont="1" applyNumberFormat="1">
      <alignment readingOrder="0"/>
    </xf>
    <xf borderId="0" fillId="0" fontId="3" numFmtId="182" xfId="0" applyAlignment="1" applyFont="1" applyNumberFormat="1">
      <alignment readingOrder="0"/>
    </xf>
    <xf borderId="0" fillId="0" fontId="3" numFmtId="173" xfId="0" applyAlignment="1" applyFont="1" applyNumberFormat="1">
      <alignment readingOrder="0"/>
    </xf>
    <xf borderId="0" fillId="0" fontId="3" numFmtId="169" xfId="0" applyAlignment="1" applyFont="1" applyNumberFormat="1">
      <alignment readingOrder="0"/>
    </xf>
    <xf borderId="0" fillId="0" fontId="2" numFmtId="0" xfId="0" applyFont="1"/>
    <xf borderId="0" fillId="0" fontId="2" numFmtId="172" xfId="0" applyFont="1" applyNumberFormat="1"/>
    <xf borderId="0" fillId="0" fontId="2" numFmtId="175" xfId="0" applyAlignment="1" applyFont="1" applyNumberFormat="1">
      <alignment horizontal="left" readingOrder="0" shrinkToFit="0" wrapText="1"/>
    </xf>
    <xf borderId="0" fillId="0" fontId="16" numFmtId="182" xfId="0" applyFont="1" applyNumberFormat="1"/>
    <xf borderId="0" fillId="0" fontId="2" numFmtId="173" xfId="0" applyAlignment="1" applyFont="1" applyNumberFormat="1">
      <alignment horizontal="left" readingOrder="0" shrinkToFit="0" wrapText="1"/>
    </xf>
    <xf borderId="0" fillId="0" fontId="16" numFmtId="165" xfId="0" applyFont="1" applyNumberFormat="1"/>
    <xf borderId="0" fillId="0" fontId="27" numFmtId="0" xfId="0" applyFont="1"/>
    <xf borderId="0" fillId="0" fontId="27" numFmtId="172" xfId="0" applyFont="1" applyNumberFormat="1"/>
    <xf borderId="0" fillId="0" fontId="6" numFmtId="172" xfId="0" applyFont="1" applyNumberFormat="1"/>
    <xf borderId="0" fillId="0" fontId="6" numFmtId="175" xfId="0" applyFont="1" applyNumberFormat="1"/>
    <xf borderId="0" fillId="0" fontId="6" numFmtId="182" xfId="0" applyFont="1" applyNumberFormat="1"/>
    <xf borderId="0" fillId="0" fontId="6" numFmtId="173" xfId="0" applyFont="1" applyNumberFormat="1"/>
    <xf borderId="0" fillId="0" fontId="2" numFmtId="183" xfId="0" applyAlignment="1" applyFont="1" applyNumberFormat="1">
      <alignment readingOrder="0"/>
    </xf>
    <xf borderId="0" fillId="0" fontId="2" numFmtId="174" xfId="0" applyAlignment="1" applyFont="1" applyNumberFormat="1">
      <alignment readingOrder="0"/>
    </xf>
    <xf borderId="0" fillId="2" fontId="17" numFmtId="165" xfId="0" applyAlignment="1" applyFont="1" applyNumberFormat="1">
      <alignment readingOrder="0" shrinkToFit="0" wrapText="1"/>
    </xf>
    <xf borderId="0" fillId="0" fontId="2" numFmtId="183" xfId="0" applyAlignment="1" applyFont="1" applyNumberFormat="1">
      <alignment horizontal="left" readingOrder="0" shrinkToFit="0" wrapText="1"/>
    </xf>
    <xf borderId="0" fillId="0" fontId="2" numFmtId="174" xfId="0" applyAlignment="1" applyFont="1" applyNumberFormat="1">
      <alignment horizontal="left" readingOrder="0" shrinkToFit="0" wrapText="1"/>
    </xf>
    <xf borderId="0" fillId="0" fontId="3" numFmtId="183" xfId="0" applyAlignment="1" applyFont="1" applyNumberFormat="1">
      <alignment readingOrder="0"/>
    </xf>
    <xf borderId="0" fillId="0" fontId="3" numFmtId="174" xfId="0" applyAlignment="1" applyFont="1" applyNumberFormat="1">
      <alignment readingOrder="0"/>
    </xf>
    <xf borderId="0" fillId="0" fontId="2" numFmtId="165" xfId="0" applyFont="1" applyNumberFormat="1"/>
    <xf borderId="0" fillId="0" fontId="20" numFmtId="169" xfId="0" applyAlignment="1" applyFont="1" applyNumberFormat="1">
      <alignment horizontal="left" readingOrder="0" shrinkToFit="0" wrapText="1"/>
    </xf>
    <xf borderId="0" fillId="0" fontId="27" numFmtId="165" xfId="0" applyFont="1" applyNumberFormat="1"/>
    <xf borderId="0" fillId="0" fontId="7" numFmtId="175" xfId="0" applyFont="1" applyNumberFormat="1"/>
    <xf borderId="0" fillId="0" fontId="7" numFmtId="165" xfId="0" applyFont="1" applyNumberFormat="1"/>
    <xf borderId="0" fillId="2" fontId="28" numFmtId="0" xfId="0" applyAlignment="1" applyFont="1">
      <alignment horizontal="right" readingOrder="0" shrinkToFit="0" wrapText="1"/>
    </xf>
    <xf borderId="0" fillId="2" fontId="7" numFmtId="183" xfId="0" applyFont="1" applyNumberFormat="1"/>
    <xf borderId="0" fillId="2" fontId="2" numFmtId="165" xfId="0" applyAlignment="1" applyFont="1" applyNumberFormat="1">
      <alignment horizontal="left" readingOrder="0" shrinkToFit="0" wrapText="1"/>
    </xf>
    <xf borderId="0" fillId="2" fontId="7" numFmtId="0" xfId="0" applyFont="1"/>
    <xf borderId="0" fillId="2" fontId="2" numFmtId="174" xfId="0" applyAlignment="1" applyFont="1" applyNumberFormat="1">
      <alignment horizontal="left" readingOrder="0" shrinkToFit="0" wrapText="1"/>
    </xf>
    <xf borderId="0" fillId="2" fontId="7" numFmtId="0" xfId="0" applyAlignment="1" applyFont="1">
      <alignment horizontal="right" shrinkToFit="0" wrapText="1"/>
    </xf>
    <xf borderId="0" fillId="0" fontId="7" numFmtId="183" xfId="0" applyFont="1" applyNumberFormat="1"/>
    <xf borderId="0" fillId="0" fontId="7" numFmtId="172" xfId="0" applyFont="1" applyNumberFormat="1"/>
    <xf borderId="0" fillId="0" fontId="29" numFmtId="0" xfId="0" applyAlignment="1" applyFont="1">
      <alignment readingOrder="0"/>
    </xf>
    <xf borderId="0" fillId="0" fontId="30" numFmtId="0" xfId="0" applyFont="1"/>
    <xf borderId="0" fillId="0" fontId="29" numFmtId="0" xfId="0" applyAlignment="1" applyFont="1">
      <alignment readingOrder="0" vertical="bottom"/>
    </xf>
    <xf quotePrefix="1" borderId="0" fillId="0" fontId="29" numFmtId="0" xfId="0" applyAlignment="1" applyFont="1">
      <alignment readingOrder="0"/>
    </xf>
    <xf borderId="0" fillId="0" fontId="1" numFmtId="0" xfId="0" applyFont="1"/>
    <xf borderId="0" fillId="4" fontId="29" numFmtId="0" xfId="0" applyAlignment="1" applyFill="1" applyFont="1">
      <alignment readingOrder="0"/>
    </xf>
    <xf borderId="0" fillId="5" fontId="29" numFmtId="0" xfId="0" applyAlignment="1" applyFill="1" applyFont="1">
      <alignment readingOrder="0"/>
    </xf>
    <xf borderId="0" fillId="6" fontId="29" numFmtId="0" xfId="0" applyAlignment="1" applyFill="1" applyFont="1">
      <alignment readingOrder="0"/>
    </xf>
    <xf borderId="0" fillId="0" fontId="31" numFmtId="165" xfId="0" applyAlignment="1" applyFont="1" applyNumberFormat="1">
      <alignment horizontal="left" readingOrder="0" shrinkToFit="0" wrapText="1"/>
    </xf>
    <xf borderId="0" fillId="0" fontId="29" numFmtId="0" xfId="0" applyAlignment="1" applyFont="1">
      <alignment readingOrder="0" shrinkToFit="0" wrapText="1"/>
    </xf>
    <xf borderId="0" fillId="0" fontId="32" numFmtId="165" xfId="0" applyAlignment="1" applyFont="1" applyNumberFormat="1">
      <alignment horizontal="left" readingOrder="0" shrinkToFit="0" wrapText="1"/>
    </xf>
    <xf borderId="0" fillId="0" fontId="16" numFmtId="0" xfId="0" applyAlignment="1" applyFont="1">
      <alignment readingOrder="0"/>
    </xf>
    <xf borderId="0" fillId="0" fontId="5" numFmtId="172" xfId="0" applyAlignment="1" applyFont="1" applyNumberFormat="1">
      <alignment horizontal="left" readingOrder="0" shrinkToFit="0" wrapText="1"/>
    </xf>
    <xf borderId="0" fillId="0" fontId="29" numFmtId="165" xfId="0" applyAlignment="1" applyFont="1" applyNumberFormat="1">
      <alignment readingOrder="0"/>
    </xf>
    <xf borderId="0" fillId="2" fontId="33" numFmtId="165" xfId="0" applyAlignment="1" applyFont="1" applyNumberFormat="1">
      <alignment readingOrder="0" shrinkToFit="0" wrapText="1"/>
    </xf>
    <xf borderId="0" fillId="2" fontId="34" numFmtId="0" xfId="0" applyAlignment="1" applyFont="1">
      <alignment horizontal="left" readingOrder="0" shrinkToFit="0" wrapText="1"/>
    </xf>
    <xf borderId="0" fillId="2" fontId="33" numFmtId="175" xfId="0" applyAlignment="1" applyFont="1" applyNumberFormat="1">
      <alignment readingOrder="0" shrinkToFit="0" wrapText="1"/>
    </xf>
    <xf borderId="1" fillId="0" fontId="35" numFmtId="0" xfId="0" applyAlignment="1" applyBorder="1" applyFont="1">
      <alignment horizontal="right" readingOrder="0" vertical="bottom"/>
    </xf>
    <xf borderId="2" fillId="0" fontId="35" numFmtId="0" xfId="0" applyAlignment="1" applyBorder="1" applyFont="1">
      <alignment horizontal="right" readingOrder="0" vertical="bottom"/>
    </xf>
    <xf borderId="0" fillId="0" fontId="27" numFmtId="0" xfId="0" applyFont="1"/>
    <xf borderId="0" fillId="0" fontId="6" numFmtId="0" xfId="0" applyFont="1"/>
    <xf borderId="0" fillId="0" fontId="6" numFmtId="0" xfId="0" applyAlignment="1" applyFont="1">
      <alignment horizontal="left"/>
    </xf>
    <xf borderId="0" fillId="0" fontId="6" numFmtId="165" xfId="0" applyAlignment="1" applyFont="1" applyNumberFormat="1">
      <alignment readingOrder="0"/>
    </xf>
    <xf borderId="0" fillId="2" fontId="36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38"/>
    <col customWidth="1" min="3" max="3" width="29.0"/>
    <col customWidth="1" min="4" max="4" width="32.13"/>
    <col customWidth="1" min="5" max="5" width="37.38"/>
    <col customWidth="1" min="6" max="6" width="20.75"/>
  </cols>
  <sheetData>
    <row r="1" hidden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3" t="s">
        <v>6</v>
      </c>
      <c r="B2" s="4" t="s">
        <v>7</v>
      </c>
      <c r="C2" s="4" t="s">
        <v>7</v>
      </c>
      <c r="D2" s="4" t="s">
        <v>7</v>
      </c>
      <c r="E2" s="4" t="s">
        <v>7</v>
      </c>
      <c r="F2" s="4" t="s">
        <v>7</v>
      </c>
    </row>
    <row r="3">
      <c r="A3" s="5" t="s">
        <v>8</v>
      </c>
      <c r="B3" s="6" t="s">
        <v>9</v>
      </c>
      <c r="C3" s="6" t="s">
        <v>10</v>
      </c>
      <c r="D3" s="7" t="s">
        <v>11</v>
      </c>
      <c r="E3" s="7" t="s">
        <v>12</v>
      </c>
      <c r="F3" s="6" t="s">
        <v>13</v>
      </c>
    </row>
    <row r="4">
      <c r="A4" s="8" t="s">
        <v>0</v>
      </c>
      <c r="B4" s="9" t="s">
        <v>1</v>
      </c>
      <c r="C4" s="9" t="s">
        <v>2</v>
      </c>
      <c r="D4" s="9" t="s">
        <v>3</v>
      </c>
      <c r="E4" s="9" t="s">
        <v>4</v>
      </c>
      <c r="F4" s="9" t="s">
        <v>5</v>
      </c>
      <c r="G4" s="10"/>
      <c r="H4" s="10"/>
      <c r="I4" s="10"/>
      <c r="J4" s="10"/>
      <c r="K4" s="10"/>
      <c r="L4" s="10"/>
      <c r="M4" s="10"/>
      <c r="N4" s="10"/>
      <c r="O4" s="10"/>
      <c r="P4" s="10"/>
    </row>
    <row r="5">
      <c r="A5" s="11">
        <v>7.0</v>
      </c>
      <c r="B5" s="12">
        <f t="shared" ref="B5:B1004" si="2">0.12*C5</f>
        <v>1479.606</v>
      </c>
      <c r="C5" s="13">
        <v>12330.05</v>
      </c>
      <c r="D5" s="13">
        <f t="shared" ref="D5:E5" si="1">B5/12</f>
        <v>123.3005</v>
      </c>
      <c r="E5" s="13">
        <f t="shared" si="1"/>
        <v>1027.504167</v>
      </c>
      <c r="F5" s="13">
        <v>482.97</v>
      </c>
    </row>
    <row r="6">
      <c r="A6" s="11">
        <v>9.0</v>
      </c>
      <c r="B6" s="12">
        <f t="shared" si="2"/>
        <v>5018.256</v>
      </c>
      <c r="C6" s="13">
        <v>41818.8</v>
      </c>
      <c r="D6" s="13">
        <f t="shared" ref="D6:E6" si="3">B6/12</f>
        <v>418.188</v>
      </c>
      <c r="E6" s="13">
        <f t="shared" si="3"/>
        <v>3484.9</v>
      </c>
      <c r="F6" s="13">
        <v>37.38</v>
      </c>
    </row>
    <row r="7">
      <c r="A7" s="11">
        <v>6.0</v>
      </c>
      <c r="B7" s="12">
        <f t="shared" si="2"/>
        <v>10147.9032</v>
      </c>
      <c r="C7" s="13">
        <v>84565.86</v>
      </c>
      <c r="D7" s="13">
        <f t="shared" ref="D7:E7" si="4">B7/12</f>
        <v>845.6586</v>
      </c>
      <c r="E7" s="13">
        <f t="shared" si="4"/>
        <v>7047.155</v>
      </c>
      <c r="F7" s="13">
        <v>484.42</v>
      </c>
    </row>
    <row r="8">
      <c r="A8" s="11">
        <v>2.0</v>
      </c>
      <c r="B8" s="12">
        <f t="shared" si="2"/>
        <v>7230.1824</v>
      </c>
      <c r="C8" s="13">
        <v>60251.52</v>
      </c>
      <c r="D8" s="13">
        <f t="shared" ref="D8:E8" si="5">B8/12</f>
        <v>602.5152</v>
      </c>
      <c r="E8" s="13">
        <f t="shared" si="5"/>
        <v>5020.96</v>
      </c>
      <c r="F8" s="13">
        <v>71.18</v>
      </c>
    </row>
    <row r="9">
      <c r="A9" s="11">
        <v>6.0</v>
      </c>
      <c r="B9" s="12">
        <f t="shared" si="2"/>
        <v>4102.782</v>
      </c>
      <c r="C9" s="13">
        <v>34189.85</v>
      </c>
      <c r="D9" s="13">
        <f t="shared" ref="D9:E9" si="6">B9/12</f>
        <v>341.8985</v>
      </c>
      <c r="E9" s="13">
        <f t="shared" si="6"/>
        <v>2849.154167</v>
      </c>
      <c r="F9" s="13">
        <v>859.74</v>
      </c>
    </row>
    <row r="10">
      <c r="A10" s="11">
        <v>4.0</v>
      </c>
      <c r="B10" s="12">
        <f t="shared" si="2"/>
        <v>1035.4068</v>
      </c>
      <c r="C10" s="13">
        <v>8628.39</v>
      </c>
      <c r="D10" s="13">
        <f t="shared" ref="D10:E10" si="7">B10/12</f>
        <v>86.2839</v>
      </c>
      <c r="E10" s="13">
        <f t="shared" si="7"/>
        <v>719.0325</v>
      </c>
      <c r="F10" s="13">
        <v>76.45</v>
      </c>
    </row>
    <row r="11">
      <c r="A11" s="11">
        <v>9.0</v>
      </c>
      <c r="B11" s="12">
        <f t="shared" si="2"/>
        <v>11913.6984</v>
      </c>
      <c r="C11" s="13">
        <v>99280.82</v>
      </c>
      <c r="D11" s="13">
        <f t="shared" ref="D11:E11" si="8">B11/12</f>
        <v>992.8082</v>
      </c>
      <c r="E11" s="13">
        <f t="shared" si="8"/>
        <v>8273.401667</v>
      </c>
      <c r="F11" s="13">
        <v>658.1</v>
      </c>
    </row>
    <row r="12">
      <c r="A12" s="11">
        <v>3.0</v>
      </c>
      <c r="B12" s="12">
        <f t="shared" si="2"/>
        <v>5268.1332</v>
      </c>
      <c r="C12" s="13">
        <v>43901.11</v>
      </c>
      <c r="D12" s="13">
        <f t="shared" ref="D12:E12" si="9">B12/12</f>
        <v>439.0111</v>
      </c>
      <c r="E12" s="13">
        <f t="shared" si="9"/>
        <v>3658.425833</v>
      </c>
      <c r="F12" s="13">
        <v>92.62</v>
      </c>
    </row>
    <row r="13">
      <c r="A13" s="11">
        <v>9.0</v>
      </c>
      <c r="B13" s="12">
        <f t="shared" si="2"/>
        <v>7649.3988</v>
      </c>
      <c r="C13" s="13">
        <v>63744.99</v>
      </c>
      <c r="D13" s="13">
        <f t="shared" ref="D13:E13" si="10">B13/12</f>
        <v>637.4499</v>
      </c>
      <c r="E13" s="13">
        <f t="shared" si="10"/>
        <v>5312.0825</v>
      </c>
      <c r="F13" s="13">
        <v>897.84</v>
      </c>
    </row>
    <row r="14">
      <c r="A14" s="11">
        <v>9.0</v>
      </c>
      <c r="B14" s="12">
        <f t="shared" si="2"/>
        <v>4613.4828</v>
      </c>
      <c r="C14" s="13">
        <v>38445.69</v>
      </c>
      <c r="D14" s="13">
        <f t="shared" ref="D14:E14" si="11">B14/12</f>
        <v>384.4569</v>
      </c>
      <c r="E14" s="13">
        <f t="shared" si="11"/>
        <v>3203.8075</v>
      </c>
      <c r="F14" s="13">
        <v>441.47</v>
      </c>
    </row>
    <row r="15">
      <c r="A15" s="11">
        <v>7.0</v>
      </c>
      <c r="B15" s="12">
        <f t="shared" si="2"/>
        <v>1327.2492</v>
      </c>
      <c r="C15" s="13">
        <v>11060.41</v>
      </c>
      <c r="D15" s="13">
        <f t="shared" ref="D15:E15" si="12">B15/12</f>
        <v>110.6041</v>
      </c>
      <c r="E15" s="13">
        <f t="shared" si="12"/>
        <v>921.7008333</v>
      </c>
      <c r="F15" s="13">
        <v>1.81</v>
      </c>
    </row>
    <row r="16">
      <c r="A16" s="11">
        <v>8.0</v>
      </c>
      <c r="B16" s="12">
        <f t="shared" si="2"/>
        <v>11165.25</v>
      </c>
      <c r="C16" s="13">
        <v>93043.75</v>
      </c>
      <c r="D16" s="13">
        <f t="shared" ref="D16:E16" si="13">B16/12</f>
        <v>930.4375</v>
      </c>
      <c r="E16" s="13">
        <f t="shared" si="13"/>
        <v>7753.645833</v>
      </c>
      <c r="F16" s="13">
        <v>211.89</v>
      </c>
    </row>
    <row r="17">
      <c r="A17" s="11">
        <v>4.0</v>
      </c>
      <c r="B17" s="12">
        <f t="shared" si="2"/>
        <v>6110.5788</v>
      </c>
      <c r="C17" s="13">
        <v>50921.49</v>
      </c>
      <c r="D17" s="13">
        <f t="shared" ref="D17:E17" si="14">B17/12</f>
        <v>509.2149</v>
      </c>
      <c r="E17" s="13">
        <f t="shared" si="14"/>
        <v>4243.4575</v>
      </c>
      <c r="F17" s="13">
        <v>490.21</v>
      </c>
    </row>
    <row r="18">
      <c r="A18" s="11">
        <v>3.0</v>
      </c>
      <c r="B18" s="12">
        <f t="shared" si="2"/>
        <v>10526.2992</v>
      </c>
      <c r="C18" s="13">
        <v>87719.16</v>
      </c>
      <c r="D18" s="13">
        <f t="shared" ref="D18:E18" si="15">B18/12</f>
        <v>877.1916</v>
      </c>
      <c r="E18" s="13">
        <f t="shared" si="15"/>
        <v>7309.93</v>
      </c>
      <c r="F18" s="13">
        <v>616.68</v>
      </c>
    </row>
    <row r="19">
      <c r="A19" s="11">
        <v>2.0</v>
      </c>
      <c r="B19" s="12">
        <f t="shared" si="2"/>
        <v>7147.2984</v>
      </c>
      <c r="C19" s="13">
        <v>59560.82</v>
      </c>
      <c r="D19" s="13">
        <f t="shared" ref="D19:E19" si="16">B19/12</f>
        <v>595.6082</v>
      </c>
      <c r="E19" s="13">
        <f t="shared" si="16"/>
        <v>4963.401667</v>
      </c>
      <c r="F19" s="13">
        <v>27.92</v>
      </c>
    </row>
    <row r="20">
      <c r="A20" s="11">
        <v>2.0</v>
      </c>
      <c r="B20" s="12">
        <f t="shared" si="2"/>
        <v>457.2156</v>
      </c>
      <c r="C20" s="13">
        <v>3810.13</v>
      </c>
      <c r="D20" s="13">
        <f t="shared" ref="D20:E20" si="17">B20/12</f>
        <v>38.1013</v>
      </c>
      <c r="E20" s="13">
        <f t="shared" si="17"/>
        <v>317.5108333</v>
      </c>
      <c r="F20" s="13">
        <v>876.06</v>
      </c>
    </row>
    <row r="21">
      <c r="A21" s="11">
        <v>5.0</v>
      </c>
      <c r="B21" s="12">
        <f t="shared" si="2"/>
        <v>1739.5464</v>
      </c>
      <c r="C21" s="13">
        <v>14496.22</v>
      </c>
      <c r="D21" s="13">
        <f t="shared" ref="D21:E21" si="18">B21/12</f>
        <v>144.9622</v>
      </c>
      <c r="E21" s="13">
        <f t="shared" si="18"/>
        <v>1208.018333</v>
      </c>
      <c r="F21" s="13">
        <v>205.04</v>
      </c>
    </row>
    <row r="22">
      <c r="A22" s="11">
        <v>3.0</v>
      </c>
      <c r="B22" s="12">
        <f t="shared" si="2"/>
        <v>2937.6012</v>
      </c>
      <c r="C22" s="13">
        <v>24480.01</v>
      </c>
      <c r="D22" s="13">
        <f t="shared" ref="D22:E22" si="19">B22/12</f>
        <v>244.8001</v>
      </c>
      <c r="E22" s="13">
        <f t="shared" si="19"/>
        <v>2040.000833</v>
      </c>
      <c r="F22" s="13">
        <v>185.72</v>
      </c>
    </row>
    <row r="23">
      <c r="A23" s="11">
        <v>7.0</v>
      </c>
      <c r="B23" s="12">
        <f t="shared" si="2"/>
        <v>7624.3236</v>
      </c>
      <c r="C23" s="13">
        <v>63536.03</v>
      </c>
      <c r="D23" s="13">
        <f t="shared" ref="D23:E23" si="20">B23/12</f>
        <v>635.3603</v>
      </c>
      <c r="E23" s="13">
        <f t="shared" si="20"/>
        <v>5294.669167</v>
      </c>
      <c r="F23" s="13">
        <v>294.25</v>
      </c>
    </row>
    <row r="24">
      <c r="A24" s="11">
        <v>3.0</v>
      </c>
      <c r="B24" s="12">
        <f t="shared" si="2"/>
        <v>1200.4992</v>
      </c>
      <c r="C24" s="13">
        <v>10004.16</v>
      </c>
      <c r="D24" s="13">
        <f t="shared" ref="D24:E24" si="21">B24/12</f>
        <v>100.0416</v>
      </c>
      <c r="E24" s="13">
        <f t="shared" si="21"/>
        <v>833.68</v>
      </c>
      <c r="F24" s="13">
        <v>154.95</v>
      </c>
    </row>
    <row r="25">
      <c r="A25" s="11">
        <v>6.0</v>
      </c>
      <c r="B25" s="12">
        <f t="shared" si="2"/>
        <v>3708.9672</v>
      </c>
      <c r="C25" s="13">
        <v>30908.06</v>
      </c>
      <c r="D25" s="13">
        <f t="shared" ref="D25:E25" si="22">B25/12</f>
        <v>309.0806</v>
      </c>
      <c r="E25" s="13">
        <f t="shared" si="22"/>
        <v>2575.671667</v>
      </c>
      <c r="F25" s="13">
        <v>640.11</v>
      </c>
    </row>
    <row r="26">
      <c r="A26" s="11">
        <v>7.0</v>
      </c>
      <c r="B26" s="12">
        <f t="shared" si="2"/>
        <v>4789.284</v>
      </c>
      <c r="C26" s="13">
        <v>39910.7</v>
      </c>
      <c r="D26" s="13">
        <f t="shared" ref="D26:E26" si="23">B26/12</f>
        <v>399.107</v>
      </c>
      <c r="E26" s="13">
        <f t="shared" si="23"/>
        <v>3325.891667</v>
      </c>
      <c r="F26" s="13">
        <v>689.74</v>
      </c>
    </row>
    <row r="27">
      <c r="A27" s="11">
        <v>0.0</v>
      </c>
      <c r="B27" s="12">
        <f t="shared" si="2"/>
        <v>990.5172</v>
      </c>
      <c r="C27" s="13">
        <v>8254.31</v>
      </c>
      <c r="D27" s="13">
        <f t="shared" ref="D27:E27" si="24">B27/12</f>
        <v>82.5431</v>
      </c>
      <c r="E27" s="13">
        <f t="shared" si="24"/>
        <v>687.8591667</v>
      </c>
      <c r="F27" s="13">
        <v>866.58</v>
      </c>
    </row>
    <row r="28">
      <c r="A28" s="11">
        <v>0.0</v>
      </c>
      <c r="B28" s="12">
        <f t="shared" si="2"/>
        <v>1156.7304</v>
      </c>
      <c r="C28" s="13">
        <v>9639.42</v>
      </c>
      <c r="D28" s="13">
        <f t="shared" ref="D28:E28" si="25">B28/12</f>
        <v>96.3942</v>
      </c>
      <c r="E28" s="13">
        <f t="shared" si="25"/>
        <v>803.285</v>
      </c>
      <c r="F28" s="13">
        <v>115.41</v>
      </c>
    </row>
    <row r="29">
      <c r="A29" s="11">
        <v>3.0</v>
      </c>
      <c r="B29" s="12">
        <f t="shared" si="2"/>
        <v>1052.4792</v>
      </c>
      <c r="C29" s="13">
        <v>8770.66</v>
      </c>
      <c r="D29" s="13">
        <f t="shared" ref="D29:E29" si="26">B29/12</f>
        <v>87.7066</v>
      </c>
      <c r="E29" s="13">
        <f t="shared" si="26"/>
        <v>730.8883333</v>
      </c>
      <c r="F29" s="13">
        <v>731.29</v>
      </c>
    </row>
    <row r="30">
      <c r="A30" s="11">
        <v>1.0</v>
      </c>
      <c r="B30" s="12">
        <f t="shared" si="2"/>
        <v>3627.6672</v>
      </c>
      <c r="C30" s="13">
        <v>30230.56</v>
      </c>
      <c r="D30" s="13">
        <f t="shared" ref="D30:E30" si="27">B30/12</f>
        <v>302.3056</v>
      </c>
      <c r="E30" s="13">
        <f t="shared" si="27"/>
        <v>2519.213333</v>
      </c>
      <c r="F30" s="13">
        <v>31.88</v>
      </c>
    </row>
    <row r="31">
      <c r="A31" s="11">
        <v>6.0</v>
      </c>
      <c r="B31" s="12">
        <f t="shared" si="2"/>
        <v>7765.3164</v>
      </c>
      <c r="C31" s="13">
        <v>64710.97</v>
      </c>
      <c r="D31" s="13">
        <f t="shared" ref="D31:E31" si="28">B31/12</f>
        <v>647.1097</v>
      </c>
      <c r="E31" s="13">
        <f t="shared" si="28"/>
        <v>5392.580833</v>
      </c>
      <c r="F31" s="13">
        <v>905.72</v>
      </c>
    </row>
    <row r="32">
      <c r="A32" s="11">
        <v>8.0</v>
      </c>
      <c r="B32" s="12">
        <f t="shared" si="2"/>
        <v>11747.2692</v>
      </c>
      <c r="C32" s="13">
        <v>97893.91</v>
      </c>
      <c r="D32" s="13">
        <f t="shared" ref="D32:E32" si="29">B32/12</f>
        <v>978.9391</v>
      </c>
      <c r="E32" s="13">
        <f t="shared" si="29"/>
        <v>8157.825833</v>
      </c>
      <c r="F32" s="13">
        <v>602.8</v>
      </c>
    </row>
    <row r="33">
      <c r="A33" s="11">
        <v>1.0</v>
      </c>
      <c r="B33" s="12">
        <f t="shared" si="2"/>
        <v>1489.026</v>
      </c>
      <c r="C33" s="13">
        <v>12408.55</v>
      </c>
      <c r="D33" s="13">
        <f t="shared" ref="D33:E33" si="30">B33/12</f>
        <v>124.0855</v>
      </c>
      <c r="E33" s="13">
        <f t="shared" si="30"/>
        <v>1034.045833</v>
      </c>
      <c r="F33" s="13">
        <v>18.47</v>
      </c>
    </row>
    <row r="34">
      <c r="A34" s="11">
        <v>1.0</v>
      </c>
      <c r="B34" s="12">
        <f t="shared" si="2"/>
        <v>9320.2176</v>
      </c>
      <c r="C34" s="13">
        <v>77668.48</v>
      </c>
      <c r="D34" s="13">
        <f t="shared" ref="D34:E34" si="31">B34/12</f>
        <v>776.6848</v>
      </c>
      <c r="E34" s="13">
        <f t="shared" si="31"/>
        <v>6472.373333</v>
      </c>
      <c r="F34" s="13">
        <v>573.53</v>
      </c>
    </row>
    <row r="35">
      <c r="A35" s="11">
        <v>3.0</v>
      </c>
      <c r="B35" s="12">
        <f t="shared" si="2"/>
        <v>466.1484</v>
      </c>
      <c r="C35" s="13">
        <v>3884.57</v>
      </c>
      <c r="D35" s="13">
        <f t="shared" ref="D35:E35" si="32">B35/12</f>
        <v>38.8457</v>
      </c>
      <c r="E35" s="13">
        <f t="shared" si="32"/>
        <v>323.7141667</v>
      </c>
      <c r="F35" s="13">
        <v>329.52</v>
      </c>
    </row>
    <row r="36">
      <c r="A36" s="11">
        <v>0.0</v>
      </c>
      <c r="B36" s="12">
        <f t="shared" si="2"/>
        <v>8018.55</v>
      </c>
      <c r="C36" s="13">
        <v>66821.25</v>
      </c>
      <c r="D36" s="13">
        <f t="shared" ref="D36:E36" si="33">B36/12</f>
        <v>668.2125</v>
      </c>
      <c r="E36" s="13">
        <f t="shared" si="33"/>
        <v>5568.4375</v>
      </c>
      <c r="F36" s="13">
        <v>51.47</v>
      </c>
    </row>
    <row r="37">
      <c r="A37" s="11">
        <v>9.0</v>
      </c>
      <c r="B37" s="12">
        <f t="shared" si="2"/>
        <v>10269.8724</v>
      </c>
      <c r="C37" s="13">
        <v>85582.27</v>
      </c>
      <c r="D37" s="13">
        <f t="shared" ref="D37:E37" si="34">B37/12</f>
        <v>855.8227</v>
      </c>
      <c r="E37" s="13">
        <f t="shared" si="34"/>
        <v>7131.855833</v>
      </c>
      <c r="F37" s="13">
        <v>963.71</v>
      </c>
    </row>
    <row r="38">
      <c r="A38" s="11">
        <v>6.0</v>
      </c>
      <c r="B38" s="12">
        <f t="shared" si="2"/>
        <v>4110.972</v>
      </c>
      <c r="C38" s="13">
        <v>34258.1</v>
      </c>
      <c r="D38" s="13">
        <f t="shared" ref="D38:E38" si="35">B38/12</f>
        <v>342.581</v>
      </c>
      <c r="E38" s="13">
        <f t="shared" si="35"/>
        <v>2854.841667</v>
      </c>
      <c r="F38" s="13">
        <v>760.46</v>
      </c>
    </row>
    <row r="39">
      <c r="A39" s="11">
        <v>9.0</v>
      </c>
      <c r="B39" s="12">
        <f t="shared" si="2"/>
        <v>453.384</v>
      </c>
      <c r="C39" s="13">
        <v>3778.2</v>
      </c>
      <c r="D39" s="13">
        <f t="shared" ref="D39:E39" si="36">B39/12</f>
        <v>37.782</v>
      </c>
      <c r="E39" s="13">
        <f t="shared" si="36"/>
        <v>314.85</v>
      </c>
      <c r="F39" s="13">
        <v>915.79</v>
      </c>
    </row>
    <row r="40">
      <c r="A40" s="11">
        <v>9.0</v>
      </c>
      <c r="B40" s="12">
        <f t="shared" si="2"/>
        <v>6893.61</v>
      </c>
      <c r="C40" s="13">
        <v>57446.75</v>
      </c>
      <c r="D40" s="13">
        <f t="shared" ref="D40:E40" si="37">B40/12</f>
        <v>574.4675</v>
      </c>
      <c r="E40" s="13">
        <f t="shared" si="37"/>
        <v>4787.229167</v>
      </c>
      <c r="F40" s="13">
        <v>827.87</v>
      </c>
    </row>
    <row r="41">
      <c r="A41" s="11">
        <v>0.0</v>
      </c>
      <c r="B41" s="12">
        <f t="shared" si="2"/>
        <v>8325.2916</v>
      </c>
      <c r="C41" s="13">
        <v>69377.43</v>
      </c>
      <c r="D41" s="13">
        <f t="shared" ref="D41:E41" si="38">B41/12</f>
        <v>693.7743</v>
      </c>
      <c r="E41" s="13">
        <f t="shared" si="38"/>
        <v>5781.4525</v>
      </c>
      <c r="F41" s="13">
        <v>874.93</v>
      </c>
    </row>
    <row r="42">
      <c r="A42" s="11">
        <v>9.0</v>
      </c>
      <c r="B42" s="12">
        <f t="shared" si="2"/>
        <v>10903.7616</v>
      </c>
      <c r="C42" s="13">
        <v>90864.68</v>
      </c>
      <c r="D42" s="13">
        <f t="shared" ref="D42:E42" si="39">B42/12</f>
        <v>908.6468</v>
      </c>
      <c r="E42" s="13">
        <f t="shared" si="39"/>
        <v>7572.056667</v>
      </c>
      <c r="F42" s="13">
        <v>809.16</v>
      </c>
    </row>
    <row r="43">
      <c r="A43" s="11">
        <v>7.0</v>
      </c>
      <c r="B43" s="12">
        <f t="shared" si="2"/>
        <v>11004.8628</v>
      </c>
      <c r="C43" s="13">
        <v>91707.19</v>
      </c>
      <c r="D43" s="13">
        <f t="shared" ref="D43:E43" si="40">B43/12</f>
        <v>917.0719</v>
      </c>
      <c r="E43" s="13">
        <f t="shared" si="40"/>
        <v>7642.265833</v>
      </c>
      <c r="F43" s="13">
        <v>333.43</v>
      </c>
    </row>
    <row r="44">
      <c r="A44" s="11">
        <v>9.0</v>
      </c>
      <c r="B44" s="12">
        <f t="shared" si="2"/>
        <v>6773.7444</v>
      </c>
      <c r="C44" s="13">
        <v>56447.87</v>
      </c>
      <c r="D44" s="13">
        <f t="shared" ref="D44:E44" si="41">B44/12</f>
        <v>564.4787</v>
      </c>
      <c r="E44" s="13">
        <f t="shared" si="41"/>
        <v>4703.989167</v>
      </c>
      <c r="F44" s="13">
        <v>58.95</v>
      </c>
    </row>
    <row r="45">
      <c r="A45" s="11">
        <v>9.0</v>
      </c>
      <c r="B45" s="12">
        <f t="shared" si="2"/>
        <v>7384.2084</v>
      </c>
      <c r="C45" s="13">
        <v>61535.07</v>
      </c>
      <c r="D45" s="13">
        <f t="shared" ref="D45:E45" si="42">B45/12</f>
        <v>615.3507</v>
      </c>
      <c r="E45" s="13">
        <f t="shared" si="42"/>
        <v>5127.9225</v>
      </c>
      <c r="F45" s="13">
        <v>444.0</v>
      </c>
    </row>
    <row r="46">
      <c r="A46" s="11">
        <v>6.0</v>
      </c>
      <c r="B46" s="12">
        <f t="shared" si="2"/>
        <v>4122.648</v>
      </c>
      <c r="C46" s="13">
        <v>34355.4</v>
      </c>
      <c r="D46" s="13">
        <f t="shared" ref="D46:E46" si="43">B46/12</f>
        <v>343.554</v>
      </c>
      <c r="E46" s="13">
        <f t="shared" si="43"/>
        <v>2862.95</v>
      </c>
      <c r="F46" s="13">
        <v>573.61</v>
      </c>
    </row>
    <row r="47">
      <c r="A47" s="11">
        <v>4.0</v>
      </c>
      <c r="B47" s="12">
        <f t="shared" si="2"/>
        <v>10668.2376</v>
      </c>
      <c r="C47" s="13">
        <v>88901.98</v>
      </c>
      <c r="D47" s="13">
        <f t="shared" ref="D47:E47" si="44">B47/12</f>
        <v>889.0198</v>
      </c>
      <c r="E47" s="13">
        <f t="shared" si="44"/>
        <v>7408.498333</v>
      </c>
      <c r="F47" s="13">
        <v>231.68</v>
      </c>
    </row>
    <row r="48">
      <c r="A48" s="11">
        <v>8.0</v>
      </c>
      <c r="B48" s="12">
        <f t="shared" si="2"/>
        <v>10334.4636</v>
      </c>
      <c r="C48" s="13">
        <v>86120.53</v>
      </c>
      <c r="D48" s="13">
        <f t="shared" ref="D48:E48" si="45">B48/12</f>
        <v>861.2053</v>
      </c>
      <c r="E48" s="13">
        <f t="shared" si="45"/>
        <v>7176.710833</v>
      </c>
      <c r="F48" s="13">
        <v>68.47</v>
      </c>
    </row>
    <row r="49">
      <c r="A49" s="11">
        <v>2.0</v>
      </c>
      <c r="B49" s="12">
        <f t="shared" si="2"/>
        <v>8550.9456</v>
      </c>
      <c r="C49" s="13">
        <v>71257.88</v>
      </c>
      <c r="D49" s="13">
        <f t="shared" ref="D49:E49" si="46">B49/12</f>
        <v>712.5788</v>
      </c>
      <c r="E49" s="13">
        <f t="shared" si="46"/>
        <v>5938.156667</v>
      </c>
      <c r="F49" s="13">
        <v>242.02</v>
      </c>
    </row>
    <row r="50">
      <c r="A50" s="11">
        <v>3.0</v>
      </c>
      <c r="B50" s="12">
        <f t="shared" si="2"/>
        <v>6555.7488</v>
      </c>
      <c r="C50" s="13">
        <v>54631.24</v>
      </c>
      <c r="D50" s="13">
        <f t="shared" ref="D50:E50" si="47">B50/12</f>
        <v>546.3124</v>
      </c>
      <c r="E50" s="13">
        <f t="shared" si="47"/>
        <v>4552.603333</v>
      </c>
      <c r="F50" s="13">
        <v>322.39</v>
      </c>
    </row>
    <row r="51">
      <c r="A51" s="11">
        <v>8.0</v>
      </c>
      <c r="B51" s="12">
        <f t="shared" si="2"/>
        <v>6303.4656</v>
      </c>
      <c r="C51" s="13">
        <v>52528.88</v>
      </c>
      <c r="D51" s="13">
        <f t="shared" ref="D51:E51" si="48">B51/12</f>
        <v>525.2888</v>
      </c>
      <c r="E51" s="13">
        <f t="shared" si="48"/>
        <v>4377.406667</v>
      </c>
      <c r="F51" s="13">
        <v>271.78</v>
      </c>
    </row>
    <row r="52">
      <c r="A52" s="11">
        <v>7.0</v>
      </c>
      <c r="B52" s="12">
        <f t="shared" si="2"/>
        <v>7654.6368</v>
      </c>
      <c r="C52" s="13">
        <v>63788.64</v>
      </c>
      <c r="D52" s="13">
        <f t="shared" ref="D52:E52" si="49">B52/12</f>
        <v>637.8864</v>
      </c>
      <c r="E52" s="13">
        <f t="shared" si="49"/>
        <v>5315.72</v>
      </c>
      <c r="F52" s="13">
        <v>473.87</v>
      </c>
    </row>
    <row r="53">
      <c r="A53" s="11">
        <v>0.0</v>
      </c>
      <c r="B53" s="12">
        <f t="shared" si="2"/>
        <v>11631.0336</v>
      </c>
      <c r="C53" s="13">
        <v>96925.28</v>
      </c>
      <c r="D53" s="13">
        <f t="shared" ref="D53:E53" si="50">B53/12</f>
        <v>969.2528</v>
      </c>
      <c r="E53" s="13">
        <f t="shared" si="50"/>
        <v>8077.106667</v>
      </c>
      <c r="F53" s="13">
        <v>959.71</v>
      </c>
    </row>
    <row r="54">
      <c r="A54" s="11">
        <v>3.0</v>
      </c>
      <c r="B54" s="12">
        <f t="shared" si="2"/>
        <v>7338.1752</v>
      </c>
      <c r="C54" s="13">
        <v>61151.46</v>
      </c>
      <c r="D54" s="13">
        <f t="shared" ref="D54:E54" si="51">B54/12</f>
        <v>611.5146</v>
      </c>
      <c r="E54" s="13">
        <f t="shared" si="51"/>
        <v>5095.955</v>
      </c>
      <c r="F54" s="13">
        <v>610.45</v>
      </c>
    </row>
    <row r="55">
      <c r="A55" s="11">
        <v>1.0</v>
      </c>
      <c r="B55" s="12">
        <f t="shared" si="2"/>
        <v>4887.084</v>
      </c>
      <c r="C55" s="13">
        <v>40725.7</v>
      </c>
      <c r="D55" s="13">
        <f t="shared" ref="D55:E55" si="52">B55/12</f>
        <v>407.257</v>
      </c>
      <c r="E55" s="13">
        <f t="shared" si="52"/>
        <v>3393.808333</v>
      </c>
      <c r="F55" s="13">
        <v>725.34</v>
      </c>
    </row>
    <row r="56">
      <c r="A56" s="11">
        <v>7.0</v>
      </c>
      <c r="B56" s="12">
        <f t="shared" si="2"/>
        <v>1575.7908</v>
      </c>
      <c r="C56" s="13">
        <v>13131.59</v>
      </c>
      <c r="D56" s="13">
        <f t="shared" ref="D56:E56" si="53">B56/12</f>
        <v>131.3159</v>
      </c>
      <c r="E56" s="13">
        <f t="shared" si="53"/>
        <v>1094.299167</v>
      </c>
      <c r="F56" s="13">
        <v>991.97</v>
      </c>
    </row>
    <row r="57">
      <c r="A57" s="11">
        <v>4.0</v>
      </c>
      <c r="B57" s="12">
        <f t="shared" si="2"/>
        <v>4561.2324</v>
      </c>
      <c r="C57" s="13">
        <v>38010.27</v>
      </c>
      <c r="D57" s="13">
        <f t="shared" ref="D57:E57" si="54">B57/12</f>
        <v>380.1027</v>
      </c>
      <c r="E57" s="13">
        <f t="shared" si="54"/>
        <v>3167.5225</v>
      </c>
      <c r="F57" s="13">
        <v>273.76</v>
      </c>
    </row>
    <row r="58">
      <c r="A58" s="11">
        <v>7.0</v>
      </c>
      <c r="B58" s="12">
        <f t="shared" si="2"/>
        <v>2190.3216</v>
      </c>
      <c r="C58" s="13">
        <v>18252.68</v>
      </c>
      <c r="D58" s="13">
        <f t="shared" ref="D58:E58" si="55">B58/12</f>
        <v>182.5268</v>
      </c>
      <c r="E58" s="13">
        <f t="shared" si="55"/>
        <v>1521.056667</v>
      </c>
      <c r="F58" s="13">
        <v>677.4</v>
      </c>
    </row>
    <row r="59">
      <c r="A59" s="11">
        <v>3.0</v>
      </c>
      <c r="B59" s="12">
        <f t="shared" si="2"/>
        <v>416.4852</v>
      </c>
      <c r="C59" s="13">
        <v>3470.71</v>
      </c>
      <c r="D59" s="13">
        <f t="shared" ref="D59:E59" si="56">B59/12</f>
        <v>34.7071</v>
      </c>
      <c r="E59" s="13">
        <f t="shared" si="56"/>
        <v>289.2258333</v>
      </c>
      <c r="F59" s="13">
        <v>836.72</v>
      </c>
    </row>
    <row r="60">
      <c r="A60" s="11">
        <v>0.0</v>
      </c>
      <c r="B60" s="12">
        <f t="shared" si="2"/>
        <v>734.0268</v>
      </c>
      <c r="C60" s="13">
        <v>6116.89</v>
      </c>
      <c r="D60" s="13">
        <f t="shared" ref="D60:E60" si="57">B60/12</f>
        <v>61.1689</v>
      </c>
      <c r="E60" s="13">
        <f t="shared" si="57"/>
        <v>509.7408333</v>
      </c>
      <c r="F60" s="13">
        <v>616.78</v>
      </c>
    </row>
    <row r="61">
      <c r="A61" s="11">
        <v>3.0</v>
      </c>
      <c r="B61" s="12">
        <f t="shared" si="2"/>
        <v>3736.3152</v>
      </c>
      <c r="C61" s="13">
        <v>31135.96</v>
      </c>
      <c r="D61" s="13">
        <f t="shared" ref="D61:E61" si="58">B61/12</f>
        <v>311.3596</v>
      </c>
      <c r="E61" s="13">
        <f t="shared" si="58"/>
        <v>2594.663333</v>
      </c>
      <c r="F61" s="13">
        <v>806.48</v>
      </c>
    </row>
    <row r="62">
      <c r="A62" s="11">
        <v>7.0</v>
      </c>
      <c r="B62" s="12">
        <f t="shared" si="2"/>
        <v>11529.0528</v>
      </c>
      <c r="C62" s="13">
        <v>96075.44</v>
      </c>
      <c r="D62" s="13">
        <f t="shared" ref="D62:E62" si="59">B62/12</f>
        <v>960.7544</v>
      </c>
      <c r="E62" s="13">
        <f t="shared" si="59"/>
        <v>8006.286667</v>
      </c>
      <c r="F62" s="13">
        <v>927.17</v>
      </c>
    </row>
    <row r="63">
      <c r="A63" s="11">
        <v>5.0</v>
      </c>
      <c r="B63" s="12">
        <f t="shared" si="2"/>
        <v>8593.0848</v>
      </c>
      <c r="C63" s="13">
        <v>71609.04</v>
      </c>
      <c r="D63" s="13">
        <f t="shared" ref="D63:E63" si="60">B63/12</f>
        <v>716.0904</v>
      </c>
      <c r="E63" s="13">
        <f t="shared" si="60"/>
        <v>5967.42</v>
      </c>
      <c r="F63" s="13">
        <v>865.83</v>
      </c>
    </row>
    <row r="64">
      <c r="A64" s="11">
        <v>9.0</v>
      </c>
      <c r="B64" s="12">
        <f t="shared" si="2"/>
        <v>5703.0516</v>
      </c>
      <c r="C64" s="13">
        <v>47525.43</v>
      </c>
      <c r="D64" s="13">
        <f t="shared" ref="D64:E64" si="61">B64/12</f>
        <v>475.2543</v>
      </c>
      <c r="E64" s="13">
        <f t="shared" si="61"/>
        <v>3960.4525</v>
      </c>
      <c r="F64" s="13">
        <v>633.3</v>
      </c>
    </row>
    <row r="65">
      <c r="A65" s="11">
        <v>4.0</v>
      </c>
      <c r="B65" s="12">
        <f t="shared" si="2"/>
        <v>990.4464</v>
      </c>
      <c r="C65" s="13">
        <v>8253.72</v>
      </c>
      <c r="D65" s="13">
        <f t="shared" ref="D65:E65" si="62">B65/12</f>
        <v>82.5372</v>
      </c>
      <c r="E65" s="13">
        <f t="shared" si="62"/>
        <v>687.81</v>
      </c>
      <c r="F65" s="13">
        <v>172.07</v>
      </c>
    </row>
    <row r="66">
      <c r="A66" s="11">
        <v>7.0</v>
      </c>
      <c r="B66" s="12">
        <f t="shared" si="2"/>
        <v>4074.666</v>
      </c>
      <c r="C66" s="13">
        <v>33955.55</v>
      </c>
      <c r="D66" s="13">
        <f t="shared" ref="D66:E66" si="63">B66/12</f>
        <v>339.5555</v>
      </c>
      <c r="E66" s="13">
        <f t="shared" si="63"/>
        <v>2829.629167</v>
      </c>
      <c r="F66" s="13">
        <v>27.34</v>
      </c>
    </row>
    <row r="67">
      <c r="A67" s="11">
        <v>3.0</v>
      </c>
      <c r="B67" s="12">
        <f t="shared" si="2"/>
        <v>8522.778</v>
      </c>
      <c r="C67" s="13">
        <v>71023.15</v>
      </c>
      <c r="D67" s="13">
        <f t="shared" ref="D67:E67" si="64">B67/12</f>
        <v>710.2315</v>
      </c>
      <c r="E67" s="13">
        <f t="shared" si="64"/>
        <v>5918.595833</v>
      </c>
      <c r="F67" s="13">
        <v>794.13</v>
      </c>
    </row>
    <row r="68">
      <c r="A68" s="11">
        <v>5.0</v>
      </c>
      <c r="B68" s="12">
        <f t="shared" si="2"/>
        <v>3148.4688</v>
      </c>
      <c r="C68" s="13">
        <v>26237.24</v>
      </c>
      <c r="D68" s="13">
        <f t="shared" ref="D68:E68" si="65">B68/12</f>
        <v>262.3724</v>
      </c>
      <c r="E68" s="13">
        <f t="shared" si="65"/>
        <v>2186.436667</v>
      </c>
      <c r="F68" s="13">
        <v>663.84</v>
      </c>
    </row>
    <row r="69">
      <c r="A69" s="11">
        <v>7.0</v>
      </c>
      <c r="B69" s="12">
        <f t="shared" si="2"/>
        <v>634.7748</v>
      </c>
      <c r="C69" s="13">
        <v>5289.79</v>
      </c>
      <c r="D69" s="13">
        <f t="shared" ref="D69:E69" si="66">B69/12</f>
        <v>52.8979</v>
      </c>
      <c r="E69" s="13">
        <f t="shared" si="66"/>
        <v>440.8158333</v>
      </c>
      <c r="F69" s="13">
        <v>511.6</v>
      </c>
    </row>
    <row r="70">
      <c r="A70" s="11">
        <v>7.0</v>
      </c>
      <c r="B70" s="12">
        <f t="shared" si="2"/>
        <v>5890.0224</v>
      </c>
      <c r="C70" s="13">
        <v>49083.52</v>
      </c>
      <c r="D70" s="13">
        <f t="shared" ref="D70:E70" si="67">B70/12</f>
        <v>490.8352</v>
      </c>
      <c r="E70" s="13">
        <f t="shared" si="67"/>
        <v>4090.293333</v>
      </c>
      <c r="F70" s="13">
        <v>370.61</v>
      </c>
    </row>
    <row r="71">
      <c r="A71" s="11">
        <v>1.0</v>
      </c>
      <c r="B71" s="12">
        <f t="shared" si="2"/>
        <v>6828.696</v>
      </c>
      <c r="C71" s="13">
        <v>56905.8</v>
      </c>
      <c r="D71" s="13">
        <f t="shared" ref="D71:E71" si="68">B71/12</f>
        <v>569.058</v>
      </c>
      <c r="E71" s="13">
        <f t="shared" si="68"/>
        <v>4742.15</v>
      </c>
      <c r="F71" s="13">
        <v>309.72</v>
      </c>
    </row>
    <row r="72">
      <c r="A72" s="11">
        <v>1.0</v>
      </c>
      <c r="B72" s="12">
        <f t="shared" si="2"/>
        <v>2762.4816</v>
      </c>
      <c r="C72" s="13">
        <v>23020.68</v>
      </c>
      <c r="D72" s="13">
        <f t="shared" ref="D72:E72" si="69">B72/12</f>
        <v>230.2068</v>
      </c>
      <c r="E72" s="13">
        <f t="shared" si="69"/>
        <v>1918.39</v>
      </c>
      <c r="F72" s="13">
        <v>562.71</v>
      </c>
    </row>
    <row r="73">
      <c r="A73" s="11">
        <v>0.0</v>
      </c>
      <c r="B73" s="12">
        <f t="shared" si="2"/>
        <v>2472.8076</v>
      </c>
      <c r="C73" s="13">
        <v>20606.73</v>
      </c>
      <c r="D73" s="13">
        <f t="shared" ref="D73:E73" si="70">B73/12</f>
        <v>206.0673</v>
      </c>
      <c r="E73" s="13">
        <f t="shared" si="70"/>
        <v>1717.2275</v>
      </c>
      <c r="F73" s="13">
        <v>229.09</v>
      </c>
    </row>
    <row r="74">
      <c r="A74" s="11">
        <v>2.0</v>
      </c>
      <c r="B74" s="12">
        <f t="shared" si="2"/>
        <v>7414.7664</v>
      </c>
      <c r="C74" s="13">
        <v>61789.72</v>
      </c>
      <c r="D74" s="13">
        <f t="shared" ref="D74:E74" si="71">B74/12</f>
        <v>617.8972</v>
      </c>
      <c r="E74" s="13">
        <f t="shared" si="71"/>
        <v>5149.143333</v>
      </c>
      <c r="F74" s="13">
        <v>638.19</v>
      </c>
    </row>
    <row r="75">
      <c r="A75" s="11">
        <v>6.0</v>
      </c>
      <c r="B75" s="12">
        <f t="shared" si="2"/>
        <v>2208.5856</v>
      </c>
      <c r="C75" s="13">
        <v>18404.88</v>
      </c>
      <c r="D75" s="13">
        <f t="shared" ref="D75:E75" si="72">B75/12</f>
        <v>184.0488</v>
      </c>
      <c r="E75" s="13">
        <f t="shared" si="72"/>
        <v>1533.74</v>
      </c>
      <c r="F75" s="13">
        <v>203.54</v>
      </c>
    </row>
    <row r="76">
      <c r="A76" s="11">
        <v>2.0</v>
      </c>
      <c r="B76" s="12">
        <f t="shared" si="2"/>
        <v>703.8456</v>
      </c>
      <c r="C76" s="13">
        <v>5865.38</v>
      </c>
      <c r="D76" s="13">
        <f t="shared" ref="D76:E76" si="73">B76/12</f>
        <v>58.6538</v>
      </c>
      <c r="E76" s="13">
        <f t="shared" si="73"/>
        <v>488.7816667</v>
      </c>
      <c r="F76" s="13">
        <v>39.92</v>
      </c>
    </row>
    <row r="77">
      <c r="A77" s="11">
        <v>2.0</v>
      </c>
      <c r="B77" s="12">
        <f t="shared" si="2"/>
        <v>10818.8748</v>
      </c>
      <c r="C77" s="13">
        <v>90157.29</v>
      </c>
      <c r="D77" s="13">
        <f t="shared" ref="D77:E77" si="74">B77/12</f>
        <v>901.5729</v>
      </c>
      <c r="E77" s="13">
        <f t="shared" si="74"/>
        <v>7513.1075</v>
      </c>
      <c r="F77" s="13">
        <v>906.23</v>
      </c>
    </row>
    <row r="78">
      <c r="A78" s="11">
        <v>3.0</v>
      </c>
      <c r="B78" s="12">
        <f t="shared" si="2"/>
        <v>4982.2728</v>
      </c>
      <c r="C78" s="13">
        <v>41518.94</v>
      </c>
      <c r="D78" s="13">
        <f t="shared" ref="D78:E78" si="75">B78/12</f>
        <v>415.1894</v>
      </c>
      <c r="E78" s="13">
        <f t="shared" si="75"/>
        <v>3459.911667</v>
      </c>
      <c r="F78" s="13">
        <v>427.94</v>
      </c>
    </row>
    <row r="79">
      <c r="A79" s="11">
        <v>2.0</v>
      </c>
      <c r="B79" s="12">
        <f t="shared" si="2"/>
        <v>7624.1832</v>
      </c>
      <c r="C79" s="13">
        <v>63534.86</v>
      </c>
      <c r="D79" s="13">
        <f t="shared" ref="D79:E79" si="76">B79/12</f>
        <v>635.3486</v>
      </c>
      <c r="E79" s="13">
        <f t="shared" si="76"/>
        <v>5294.571667</v>
      </c>
      <c r="F79" s="13">
        <v>323.27</v>
      </c>
    </row>
    <row r="80">
      <c r="A80" s="11">
        <v>0.0</v>
      </c>
      <c r="B80" s="12">
        <f t="shared" si="2"/>
        <v>2221.3728</v>
      </c>
      <c r="C80" s="13">
        <v>18511.44</v>
      </c>
      <c r="D80" s="13">
        <f t="shared" ref="D80:E80" si="77">B80/12</f>
        <v>185.1144</v>
      </c>
      <c r="E80" s="13">
        <f t="shared" si="77"/>
        <v>1542.62</v>
      </c>
      <c r="F80" s="13">
        <v>870.02</v>
      </c>
    </row>
    <row r="81">
      <c r="A81" s="11">
        <v>2.0</v>
      </c>
      <c r="B81" s="12">
        <f t="shared" si="2"/>
        <v>11227.7316</v>
      </c>
      <c r="C81" s="13">
        <v>93564.43</v>
      </c>
      <c r="D81" s="13">
        <f t="shared" ref="D81:E81" si="78">B81/12</f>
        <v>935.6443</v>
      </c>
      <c r="E81" s="13">
        <f t="shared" si="78"/>
        <v>7797.035833</v>
      </c>
      <c r="F81" s="13">
        <v>238.67</v>
      </c>
    </row>
    <row r="82">
      <c r="A82" s="11">
        <v>4.0</v>
      </c>
      <c r="B82" s="12">
        <f t="shared" si="2"/>
        <v>8419.1316</v>
      </c>
      <c r="C82" s="13">
        <v>70159.43</v>
      </c>
      <c r="D82" s="13">
        <f t="shared" ref="D82:E82" si="79">B82/12</f>
        <v>701.5943</v>
      </c>
      <c r="E82" s="13">
        <f t="shared" si="79"/>
        <v>5846.619167</v>
      </c>
      <c r="F82" s="13">
        <v>122.16</v>
      </c>
    </row>
    <row r="83">
      <c r="A83" s="11">
        <v>8.0</v>
      </c>
      <c r="B83" s="12">
        <f t="shared" si="2"/>
        <v>2391.372</v>
      </c>
      <c r="C83" s="13">
        <v>19928.1</v>
      </c>
      <c r="D83" s="13">
        <f t="shared" ref="D83:E83" si="80">B83/12</f>
        <v>199.281</v>
      </c>
      <c r="E83" s="13">
        <f t="shared" si="80"/>
        <v>1660.675</v>
      </c>
      <c r="F83" s="13">
        <v>134.81</v>
      </c>
    </row>
    <row r="84">
      <c r="A84" s="11">
        <v>7.0</v>
      </c>
      <c r="B84" s="12">
        <f t="shared" si="2"/>
        <v>10490.1468</v>
      </c>
      <c r="C84" s="13">
        <v>87417.89</v>
      </c>
      <c r="D84" s="13">
        <f t="shared" ref="D84:E84" si="81">B84/12</f>
        <v>874.1789</v>
      </c>
      <c r="E84" s="13">
        <f t="shared" si="81"/>
        <v>7284.824167</v>
      </c>
      <c r="F84" s="13">
        <v>849.36</v>
      </c>
    </row>
    <row r="85">
      <c r="A85" s="11">
        <v>0.0</v>
      </c>
      <c r="B85" s="12">
        <f t="shared" si="2"/>
        <v>7043.2044</v>
      </c>
      <c r="C85" s="13">
        <v>58693.37</v>
      </c>
      <c r="D85" s="13">
        <f t="shared" ref="D85:E85" si="82">B85/12</f>
        <v>586.9337</v>
      </c>
      <c r="E85" s="13">
        <f t="shared" si="82"/>
        <v>4891.114167</v>
      </c>
      <c r="F85" s="13">
        <v>545.39</v>
      </c>
    </row>
    <row r="86">
      <c r="A86" s="11">
        <v>5.0</v>
      </c>
      <c r="B86" s="12">
        <f t="shared" si="2"/>
        <v>3878.2596</v>
      </c>
      <c r="C86" s="13">
        <v>32318.83</v>
      </c>
      <c r="D86" s="13">
        <f t="shared" ref="D86:E86" si="83">B86/12</f>
        <v>323.1883</v>
      </c>
      <c r="E86" s="13">
        <f t="shared" si="83"/>
        <v>2693.235833</v>
      </c>
      <c r="F86" s="13">
        <v>50.32</v>
      </c>
    </row>
    <row r="87">
      <c r="A87" s="11">
        <v>6.0</v>
      </c>
      <c r="B87" s="12">
        <f t="shared" si="2"/>
        <v>7349.5428</v>
      </c>
      <c r="C87" s="13">
        <v>61246.19</v>
      </c>
      <c r="D87" s="13">
        <f t="shared" ref="D87:E87" si="84">B87/12</f>
        <v>612.4619</v>
      </c>
      <c r="E87" s="13">
        <f t="shared" si="84"/>
        <v>5103.849167</v>
      </c>
      <c r="F87" s="13">
        <v>471.73</v>
      </c>
    </row>
    <row r="88">
      <c r="A88" s="11">
        <v>9.0</v>
      </c>
      <c r="B88" s="12">
        <f t="shared" si="2"/>
        <v>1104.5124</v>
      </c>
      <c r="C88" s="13">
        <v>9204.27</v>
      </c>
      <c r="D88" s="13">
        <f t="shared" ref="D88:E88" si="85">B88/12</f>
        <v>92.0427</v>
      </c>
      <c r="E88" s="13">
        <f t="shared" si="85"/>
        <v>767.0225</v>
      </c>
      <c r="F88" s="13">
        <v>635.93</v>
      </c>
    </row>
    <row r="89">
      <c r="A89" s="11">
        <v>6.0</v>
      </c>
      <c r="B89" s="12">
        <f t="shared" si="2"/>
        <v>10573.272</v>
      </c>
      <c r="C89" s="13">
        <v>88110.6</v>
      </c>
      <c r="D89" s="13">
        <f t="shared" ref="D89:E89" si="86">B89/12</f>
        <v>881.106</v>
      </c>
      <c r="E89" s="13">
        <f t="shared" si="86"/>
        <v>7342.55</v>
      </c>
      <c r="F89" s="13">
        <v>518.62</v>
      </c>
    </row>
    <row r="90">
      <c r="A90" s="11">
        <v>3.0</v>
      </c>
      <c r="B90" s="12">
        <f t="shared" si="2"/>
        <v>5370.0744</v>
      </c>
      <c r="C90" s="13">
        <v>44750.62</v>
      </c>
      <c r="D90" s="13">
        <f t="shared" ref="D90:E90" si="87">B90/12</f>
        <v>447.5062</v>
      </c>
      <c r="E90" s="13">
        <f t="shared" si="87"/>
        <v>3729.218333</v>
      </c>
      <c r="F90" s="13">
        <v>555.21</v>
      </c>
    </row>
    <row r="91">
      <c r="A91" s="11">
        <v>1.0</v>
      </c>
      <c r="B91" s="12">
        <f t="shared" si="2"/>
        <v>143.1888</v>
      </c>
      <c r="C91" s="13">
        <v>1193.24</v>
      </c>
      <c r="D91" s="13">
        <f t="shared" ref="D91:E91" si="88">B91/12</f>
        <v>11.9324</v>
      </c>
      <c r="E91" s="13">
        <f t="shared" si="88"/>
        <v>99.43666667</v>
      </c>
      <c r="F91" s="13">
        <v>927.87</v>
      </c>
    </row>
    <row r="92">
      <c r="A92" s="11">
        <v>3.0</v>
      </c>
      <c r="B92" s="12">
        <f t="shared" si="2"/>
        <v>4365.3324</v>
      </c>
      <c r="C92" s="13">
        <v>36377.77</v>
      </c>
      <c r="D92" s="13">
        <f t="shared" ref="D92:E92" si="89">B92/12</f>
        <v>363.7777</v>
      </c>
      <c r="E92" s="13">
        <f t="shared" si="89"/>
        <v>3031.480833</v>
      </c>
      <c r="F92" s="13">
        <v>430.03</v>
      </c>
    </row>
    <row r="93">
      <c r="A93" s="11">
        <v>2.0</v>
      </c>
      <c r="B93" s="12">
        <f t="shared" si="2"/>
        <v>10162.0824</v>
      </c>
      <c r="C93" s="13">
        <v>84684.02</v>
      </c>
      <c r="D93" s="13">
        <f t="shared" ref="D93:E93" si="90">B93/12</f>
        <v>846.8402</v>
      </c>
      <c r="E93" s="13">
        <f t="shared" si="90"/>
        <v>7057.001667</v>
      </c>
      <c r="F93" s="13">
        <v>293.04</v>
      </c>
    </row>
    <row r="94">
      <c r="A94" s="11">
        <v>0.0</v>
      </c>
      <c r="B94" s="12">
        <f t="shared" si="2"/>
        <v>8054.9652</v>
      </c>
      <c r="C94" s="13">
        <v>67124.71</v>
      </c>
      <c r="D94" s="13">
        <f t="shared" ref="D94:E94" si="91">B94/12</f>
        <v>671.2471</v>
      </c>
      <c r="E94" s="13">
        <f t="shared" si="91"/>
        <v>5593.725833</v>
      </c>
      <c r="F94" s="13">
        <v>545.18</v>
      </c>
    </row>
    <row r="95">
      <c r="A95" s="11">
        <v>4.0</v>
      </c>
      <c r="B95" s="12">
        <f t="shared" si="2"/>
        <v>3799.524</v>
      </c>
      <c r="C95" s="13">
        <v>31662.7</v>
      </c>
      <c r="D95" s="13">
        <f t="shared" ref="D95:E95" si="92">B95/12</f>
        <v>316.627</v>
      </c>
      <c r="E95" s="13">
        <f t="shared" si="92"/>
        <v>2638.558333</v>
      </c>
      <c r="F95" s="13">
        <v>121.42</v>
      </c>
    </row>
    <row r="96">
      <c r="A96" s="11">
        <v>4.0</v>
      </c>
      <c r="B96" s="12">
        <f t="shared" si="2"/>
        <v>3569.172</v>
      </c>
      <c r="C96" s="13">
        <v>29743.1</v>
      </c>
      <c r="D96" s="13">
        <f t="shared" ref="D96:E96" si="93">B96/12</f>
        <v>297.431</v>
      </c>
      <c r="E96" s="13">
        <f t="shared" si="93"/>
        <v>2478.591667</v>
      </c>
      <c r="F96" s="13">
        <v>195.73</v>
      </c>
    </row>
    <row r="97">
      <c r="A97" s="11">
        <v>7.0</v>
      </c>
      <c r="B97" s="12">
        <f t="shared" si="2"/>
        <v>386.5296</v>
      </c>
      <c r="C97" s="13">
        <v>3221.08</v>
      </c>
      <c r="D97" s="13">
        <f t="shared" ref="D97:E97" si="94">B97/12</f>
        <v>32.2108</v>
      </c>
      <c r="E97" s="13">
        <f t="shared" si="94"/>
        <v>268.4233333</v>
      </c>
      <c r="F97" s="13">
        <v>894.18</v>
      </c>
    </row>
    <row r="98">
      <c r="A98" s="11">
        <v>2.0</v>
      </c>
      <c r="B98" s="12">
        <f t="shared" si="2"/>
        <v>9742.6452</v>
      </c>
      <c r="C98" s="13">
        <v>81188.71</v>
      </c>
      <c r="D98" s="13">
        <f t="shared" ref="D98:E98" si="95">B98/12</f>
        <v>811.8871</v>
      </c>
      <c r="E98" s="13">
        <f t="shared" si="95"/>
        <v>6765.725833</v>
      </c>
      <c r="F98" s="13">
        <v>911.5</v>
      </c>
    </row>
    <row r="99">
      <c r="A99" s="11">
        <v>7.0</v>
      </c>
      <c r="B99" s="12">
        <f t="shared" si="2"/>
        <v>8131.7748</v>
      </c>
      <c r="C99" s="13">
        <v>67764.79</v>
      </c>
      <c r="D99" s="13">
        <f t="shared" ref="D99:E99" si="96">B99/12</f>
        <v>677.6479</v>
      </c>
      <c r="E99" s="13">
        <f t="shared" si="96"/>
        <v>5647.065833</v>
      </c>
      <c r="F99" s="13">
        <v>993.05</v>
      </c>
    </row>
    <row r="100">
      <c r="A100" s="11">
        <v>1.0</v>
      </c>
      <c r="B100" s="12">
        <f t="shared" si="2"/>
        <v>5297.3316</v>
      </c>
      <c r="C100" s="13">
        <v>44144.43</v>
      </c>
      <c r="D100" s="13">
        <f t="shared" ref="D100:E100" si="97">B100/12</f>
        <v>441.4443</v>
      </c>
      <c r="E100" s="13">
        <f t="shared" si="97"/>
        <v>3678.7025</v>
      </c>
      <c r="F100" s="13">
        <v>201.06</v>
      </c>
    </row>
    <row r="101">
      <c r="A101" s="11">
        <v>3.0</v>
      </c>
      <c r="B101" s="12">
        <f t="shared" si="2"/>
        <v>9545.8908</v>
      </c>
      <c r="C101" s="13">
        <v>79549.09</v>
      </c>
      <c r="D101" s="13">
        <f t="shared" ref="D101:E101" si="98">B101/12</f>
        <v>795.4909</v>
      </c>
      <c r="E101" s="13">
        <f t="shared" si="98"/>
        <v>6629.090833</v>
      </c>
      <c r="F101" s="13">
        <v>194.21</v>
      </c>
    </row>
    <row r="102">
      <c r="A102" s="11">
        <v>4.0</v>
      </c>
      <c r="B102" s="12">
        <f t="shared" si="2"/>
        <v>6187.7208</v>
      </c>
      <c r="C102" s="13">
        <v>51564.34</v>
      </c>
      <c r="D102" s="13">
        <f t="shared" ref="D102:E102" si="99">B102/12</f>
        <v>515.6434</v>
      </c>
      <c r="E102" s="13">
        <f t="shared" si="99"/>
        <v>4297.028333</v>
      </c>
      <c r="F102" s="13">
        <v>619.34</v>
      </c>
    </row>
    <row r="103">
      <c r="A103" s="11">
        <v>3.0</v>
      </c>
      <c r="B103" s="12">
        <f t="shared" si="2"/>
        <v>538.6176</v>
      </c>
      <c r="C103" s="13">
        <v>4488.48</v>
      </c>
      <c r="D103" s="13">
        <f t="shared" ref="D103:E103" si="100">B103/12</f>
        <v>44.8848</v>
      </c>
      <c r="E103" s="13">
        <f t="shared" si="100"/>
        <v>374.04</v>
      </c>
      <c r="F103" s="13">
        <v>40.78</v>
      </c>
    </row>
    <row r="104">
      <c r="A104" s="11">
        <v>9.0</v>
      </c>
      <c r="B104" s="12">
        <f t="shared" si="2"/>
        <v>7621.7016</v>
      </c>
      <c r="C104" s="13">
        <v>63514.18</v>
      </c>
      <c r="D104" s="13">
        <f t="shared" ref="D104:E104" si="101">B104/12</f>
        <v>635.1418</v>
      </c>
      <c r="E104" s="13">
        <f t="shared" si="101"/>
        <v>5292.848333</v>
      </c>
      <c r="F104" s="13">
        <v>279.26</v>
      </c>
    </row>
    <row r="105">
      <c r="A105" s="11">
        <v>1.0</v>
      </c>
      <c r="B105" s="12">
        <f t="shared" si="2"/>
        <v>4363.23</v>
      </c>
      <c r="C105" s="13">
        <v>36360.25</v>
      </c>
      <c r="D105" s="13">
        <f t="shared" ref="D105:E105" si="102">B105/12</f>
        <v>363.6025</v>
      </c>
      <c r="E105" s="13">
        <f t="shared" si="102"/>
        <v>3030.020833</v>
      </c>
      <c r="F105" s="13">
        <v>440.12</v>
      </c>
    </row>
    <row r="106">
      <c r="A106" s="11">
        <v>2.0</v>
      </c>
      <c r="B106" s="12">
        <f t="shared" si="2"/>
        <v>9106.596</v>
      </c>
      <c r="C106" s="13">
        <v>75888.3</v>
      </c>
      <c r="D106" s="13">
        <f t="shared" ref="D106:E106" si="103">B106/12</f>
        <v>758.883</v>
      </c>
      <c r="E106" s="13">
        <f t="shared" si="103"/>
        <v>6324.025</v>
      </c>
      <c r="F106" s="13">
        <v>285.27</v>
      </c>
    </row>
    <row r="107">
      <c r="A107" s="11">
        <v>7.0</v>
      </c>
      <c r="B107" s="12">
        <f t="shared" si="2"/>
        <v>7854.1392</v>
      </c>
      <c r="C107" s="13">
        <v>65451.16</v>
      </c>
      <c r="D107" s="13">
        <f t="shared" ref="D107:E107" si="104">B107/12</f>
        <v>654.5116</v>
      </c>
      <c r="E107" s="13">
        <f t="shared" si="104"/>
        <v>5454.263333</v>
      </c>
      <c r="F107" s="13">
        <v>637.63</v>
      </c>
    </row>
    <row r="108">
      <c r="A108" s="11">
        <v>4.0</v>
      </c>
      <c r="B108" s="12">
        <f t="shared" si="2"/>
        <v>10609.8036</v>
      </c>
      <c r="C108" s="13">
        <v>88415.03</v>
      </c>
      <c r="D108" s="13">
        <f t="shared" ref="D108:E108" si="105">B108/12</f>
        <v>884.1503</v>
      </c>
      <c r="E108" s="13">
        <f t="shared" si="105"/>
        <v>7367.919167</v>
      </c>
      <c r="F108" s="13">
        <v>701.7</v>
      </c>
    </row>
    <row r="109">
      <c r="A109" s="11">
        <v>2.0</v>
      </c>
      <c r="B109" s="12">
        <f t="shared" si="2"/>
        <v>7273.5204</v>
      </c>
      <c r="C109" s="13">
        <v>60612.67</v>
      </c>
      <c r="D109" s="13">
        <f t="shared" ref="D109:E109" si="106">B109/12</f>
        <v>606.1267</v>
      </c>
      <c r="E109" s="13">
        <f t="shared" si="106"/>
        <v>5051.055833</v>
      </c>
      <c r="F109" s="13">
        <v>944.17</v>
      </c>
    </row>
    <row r="110">
      <c r="A110" s="11">
        <v>8.0</v>
      </c>
      <c r="B110" s="12">
        <f t="shared" si="2"/>
        <v>7114.9248</v>
      </c>
      <c r="C110" s="13">
        <v>59291.04</v>
      </c>
      <c r="D110" s="13">
        <f t="shared" ref="D110:E110" si="107">B110/12</f>
        <v>592.9104</v>
      </c>
      <c r="E110" s="13">
        <f t="shared" si="107"/>
        <v>4940.92</v>
      </c>
      <c r="F110" s="13">
        <v>612.71</v>
      </c>
    </row>
    <row r="111">
      <c r="A111" s="11">
        <v>8.0</v>
      </c>
      <c r="B111" s="12">
        <f t="shared" si="2"/>
        <v>1138.746</v>
      </c>
      <c r="C111" s="13">
        <v>9489.55</v>
      </c>
      <c r="D111" s="13">
        <f t="shared" ref="D111:E111" si="108">B111/12</f>
        <v>94.8955</v>
      </c>
      <c r="E111" s="13">
        <f t="shared" si="108"/>
        <v>790.7958333</v>
      </c>
      <c r="F111" s="13">
        <v>654.85</v>
      </c>
    </row>
    <row r="112">
      <c r="A112" s="11">
        <v>9.0</v>
      </c>
      <c r="B112" s="12">
        <f t="shared" si="2"/>
        <v>5396.9304</v>
      </c>
      <c r="C112" s="13">
        <v>44974.42</v>
      </c>
      <c r="D112" s="13">
        <f t="shared" ref="D112:E112" si="109">B112/12</f>
        <v>449.7442</v>
      </c>
      <c r="E112" s="13">
        <f t="shared" si="109"/>
        <v>3747.868333</v>
      </c>
      <c r="F112" s="13">
        <v>209.48</v>
      </c>
    </row>
    <row r="113">
      <c r="A113" s="11">
        <v>4.0</v>
      </c>
      <c r="B113" s="12">
        <f t="shared" si="2"/>
        <v>10249.1292</v>
      </c>
      <c r="C113" s="13">
        <v>85409.41</v>
      </c>
      <c r="D113" s="13">
        <f t="shared" ref="D113:E113" si="110">B113/12</f>
        <v>854.0941</v>
      </c>
      <c r="E113" s="13">
        <f t="shared" si="110"/>
        <v>7117.450833</v>
      </c>
      <c r="F113" s="13">
        <v>926.48</v>
      </c>
    </row>
    <row r="114">
      <c r="A114" s="11">
        <v>7.0</v>
      </c>
      <c r="B114" s="12">
        <f t="shared" si="2"/>
        <v>6292.812</v>
      </c>
      <c r="C114" s="13">
        <v>52440.1</v>
      </c>
      <c r="D114" s="13">
        <f t="shared" ref="D114:E114" si="111">B114/12</f>
        <v>524.401</v>
      </c>
      <c r="E114" s="13">
        <f t="shared" si="111"/>
        <v>4370.008333</v>
      </c>
      <c r="F114" s="13">
        <v>807.85</v>
      </c>
    </row>
    <row r="115">
      <c r="A115" s="11">
        <v>1.0</v>
      </c>
      <c r="B115" s="12">
        <f t="shared" si="2"/>
        <v>8494.0416</v>
      </c>
      <c r="C115" s="13">
        <v>70783.68</v>
      </c>
      <c r="D115" s="13">
        <f t="shared" ref="D115:E115" si="112">B115/12</f>
        <v>707.8368</v>
      </c>
      <c r="E115" s="13">
        <f t="shared" si="112"/>
        <v>5898.64</v>
      </c>
      <c r="F115" s="13">
        <v>735.56</v>
      </c>
    </row>
    <row r="116">
      <c r="A116" s="11">
        <v>6.0</v>
      </c>
      <c r="B116" s="12">
        <f t="shared" si="2"/>
        <v>932.6832</v>
      </c>
      <c r="C116" s="13">
        <v>7772.36</v>
      </c>
      <c r="D116" s="13">
        <f t="shared" ref="D116:E116" si="113">B116/12</f>
        <v>77.7236</v>
      </c>
      <c r="E116" s="13">
        <f t="shared" si="113"/>
        <v>647.6966667</v>
      </c>
      <c r="F116" s="13">
        <v>200.69</v>
      </c>
    </row>
    <row r="117">
      <c r="A117" s="11">
        <v>3.0</v>
      </c>
      <c r="B117" s="12">
        <f t="shared" si="2"/>
        <v>5065.4316</v>
      </c>
      <c r="C117" s="13">
        <v>42211.93</v>
      </c>
      <c r="D117" s="13">
        <f t="shared" ref="D117:E117" si="114">B117/12</f>
        <v>422.1193</v>
      </c>
      <c r="E117" s="13">
        <f t="shared" si="114"/>
        <v>3517.660833</v>
      </c>
      <c r="F117" s="13">
        <v>743.95</v>
      </c>
    </row>
    <row r="118">
      <c r="A118" s="11">
        <v>8.0</v>
      </c>
      <c r="B118" s="12">
        <f t="shared" si="2"/>
        <v>2493.456</v>
      </c>
      <c r="C118" s="13">
        <v>20778.8</v>
      </c>
      <c r="D118" s="13">
        <f t="shared" ref="D118:E118" si="115">B118/12</f>
        <v>207.788</v>
      </c>
      <c r="E118" s="13">
        <f t="shared" si="115"/>
        <v>1731.566667</v>
      </c>
      <c r="F118" s="13">
        <v>566.97</v>
      </c>
    </row>
    <row r="119">
      <c r="A119" s="11">
        <v>2.0</v>
      </c>
      <c r="B119" s="12">
        <f t="shared" si="2"/>
        <v>9320.5248</v>
      </c>
      <c r="C119" s="13">
        <v>77671.04</v>
      </c>
      <c r="D119" s="13">
        <f t="shared" ref="D119:E119" si="116">B119/12</f>
        <v>776.7104</v>
      </c>
      <c r="E119" s="13">
        <f t="shared" si="116"/>
        <v>6472.586667</v>
      </c>
      <c r="F119" s="13">
        <v>519.35</v>
      </c>
    </row>
    <row r="120">
      <c r="A120" s="11">
        <v>1.0</v>
      </c>
      <c r="B120" s="12">
        <f t="shared" si="2"/>
        <v>9844.4628</v>
      </c>
      <c r="C120" s="13">
        <v>82037.19</v>
      </c>
      <c r="D120" s="13">
        <f t="shared" ref="D120:E120" si="117">B120/12</f>
        <v>820.3719</v>
      </c>
      <c r="E120" s="13">
        <f t="shared" si="117"/>
        <v>6836.4325</v>
      </c>
      <c r="F120" s="13">
        <v>347.7</v>
      </c>
    </row>
    <row r="121">
      <c r="A121" s="11">
        <v>9.0</v>
      </c>
      <c r="B121" s="12">
        <f t="shared" si="2"/>
        <v>6365.6388</v>
      </c>
      <c r="C121" s="13">
        <v>53046.99</v>
      </c>
      <c r="D121" s="13">
        <f t="shared" ref="D121:E121" si="118">B121/12</f>
        <v>530.4699</v>
      </c>
      <c r="E121" s="13">
        <f t="shared" si="118"/>
        <v>4420.5825</v>
      </c>
      <c r="F121" s="13">
        <v>885.25</v>
      </c>
    </row>
    <row r="122">
      <c r="A122" s="11">
        <v>5.0</v>
      </c>
      <c r="B122" s="12">
        <f t="shared" si="2"/>
        <v>11518.608</v>
      </c>
      <c r="C122" s="13">
        <v>95988.4</v>
      </c>
      <c r="D122" s="13">
        <f t="shared" ref="D122:E122" si="119">B122/12</f>
        <v>959.884</v>
      </c>
      <c r="E122" s="13">
        <f t="shared" si="119"/>
        <v>7999.033333</v>
      </c>
      <c r="F122" s="13">
        <v>886.66</v>
      </c>
    </row>
    <row r="123">
      <c r="A123" s="11">
        <v>8.0</v>
      </c>
      <c r="B123" s="12">
        <f t="shared" si="2"/>
        <v>1771.6416</v>
      </c>
      <c r="C123" s="13">
        <v>14763.68</v>
      </c>
      <c r="D123" s="13">
        <f t="shared" ref="D123:E123" si="120">B123/12</f>
        <v>147.6368</v>
      </c>
      <c r="E123" s="13">
        <f t="shared" si="120"/>
        <v>1230.306667</v>
      </c>
      <c r="F123" s="13">
        <v>480.13</v>
      </c>
    </row>
    <row r="124">
      <c r="A124" s="11">
        <v>1.0</v>
      </c>
      <c r="B124" s="12">
        <f t="shared" si="2"/>
        <v>8791.7076</v>
      </c>
      <c r="C124" s="13">
        <v>73264.23</v>
      </c>
      <c r="D124" s="13">
        <f t="shared" ref="D124:E124" si="121">B124/12</f>
        <v>732.6423</v>
      </c>
      <c r="E124" s="13">
        <f t="shared" si="121"/>
        <v>6105.3525</v>
      </c>
      <c r="F124" s="13">
        <v>974.25</v>
      </c>
    </row>
    <row r="125">
      <c r="A125" s="11">
        <v>3.0</v>
      </c>
      <c r="B125" s="12">
        <f t="shared" si="2"/>
        <v>7026.2928</v>
      </c>
      <c r="C125" s="13">
        <v>58552.44</v>
      </c>
      <c r="D125" s="13">
        <f t="shared" ref="D125:E125" si="122">B125/12</f>
        <v>585.5244</v>
      </c>
      <c r="E125" s="13">
        <f t="shared" si="122"/>
        <v>4879.37</v>
      </c>
      <c r="F125" s="13">
        <v>558.26</v>
      </c>
    </row>
    <row r="126">
      <c r="A126" s="11">
        <v>8.0</v>
      </c>
      <c r="B126" s="12">
        <f t="shared" si="2"/>
        <v>1397.7732</v>
      </c>
      <c r="C126" s="13">
        <v>11648.11</v>
      </c>
      <c r="D126" s="13">
        <f t="shared" ref="D126:E126" si="123">B126/12</f>
        <v>116.4811</v>
      </c>
      <c r="E126" s="13">
        <f t="shared" si="123"/>
        <v>970.6758333</v>
      </c>
      <c r="F126" s="13">
        <v>894.07</v>
      </c>
    </row>
    <row r="127">
      <c r="A127" s="11">
        <v>6.0</v>
      </c>
      <c r="B127" s="12">
        <f t="shared" si="2"/>
        <v>1155.768</v>
      </c>
      <c r="C127" s="13">
        <v>9631.4</v>
      </c>
      <c r="D127" s="13">
        <f t="shared" ref="D127:E127" si="124">B127/12</f>
        <v>96.314</v>
      </c>
      <c r="E127" s="13">
        <f t="shared" si="124"/>
        <v>802.6166667</v>
      </c>
      <c r="F127" s="13">
        <v>626.45</v>
      </c>
    </row>
    <row r="128">
      <c r="A128" s="11">
        <v>6.0</v>
      </c>
      <c r="B128" s="12">
        <f t="shared" si="2"/>
        <v>9742.7748</v>
      </c>
      <c r="C128" s="13">
        <v>81189.79</v>
      </c>
      <c r="D128" s="13">
        <f t="shared" ref="D128:E128" si="125">B128/12</f>
        <v>811.8979</v>
      </c>
      <c r="E128" s="13">
        <f t="shared" si="125"/>
        <v>6765.815833</v>
      </c>
      <c r="F128" s="13">
        <v>62.08</v>
      </c>
    </row>
    <row r="129">
      <c r="A129" s="11">
        <v>7.0</v>
      </c>
      <c r="B129" s="12">
        <f t="shared" si="2"/>
        <v>9118.848</v>
      </c>
      <c r="C129" s="13">
        <v>75990.4</v>
      </c>
      <c r="D129" s="13">
        <f t="shared" ref="D129:E129" si="126">B129/12</f>
        <v>759.904</v>
      </c>
      <c r="E129" s="13">
        <f t="shared" si="126"/>
        <v>6332.533333</v>
      </c>
      <c r="F129" s="13">
        <v>140.51</v>
      </c>
    </row>
    <row r="130">
      <c r="A130" s="11">
        <v>8.0</v>
      </c>
      <c r="B130" s="12">
        <f t="shared" si="2"/>
        <v>10382.256</v>
      </c>
      <c r="C130" s="13">
        <v>86518.8</v>
      </c>
      <c r="D130" s="13">
        <f t="shared" ref="D130:E130" si="127">B130/12</f>
        <v>865.188</v>
      </c>
      <c r="E130" s="13">
        <f t="shared" si="127"/>
        <v>7209.9</v>
      </c>
      <c r="F130" s="13">
        <v>593.11</v>
      </c>
    </row>
    <row r="131">
      <c r="A131" s="11">
        <v>6.0</v>
      </c>
      <c r="B131" s="12">
        <f t="shared" si="2"/>
        <v>4979.2056</v>
      </c>
      <c r="C131" s="13">
        <v>41493.38</v>
      </c>
      <c r="D131" s="13">
        <f t="shared" ref="D131:E131" si="128">B131/12</f>
        <v>414.9338</v>
      </c>
      <c r="E131" s="13">
        <f t="shared" si="128"/>
        <v>3457.781667</v>
      </c>
      <c r="F131" s="13">
        <v>199.17</v>
      </c>
    </row>
    <row r="132">
      <c r="A132" s="11">
        <v>8.0</v>
      </c>
      <c r="B132" s="12">
        <f t="shared" si="2"/>
        <v>2566.566</v>
      </c>
      <c r="C132" s="13">
        <v>21388.05</v>
      </c>
      <c r="D132" s="13">
        <f t="shared" ref="D132:E132" si="129">B132/12</f>
        <v>213.8805</v>
      </c>
      <c r="E132" s="13">
        <f t="shared" si="129"/>
        <v>1782.3375</v>
      </c>
      <c r="F132" s="13">
        <v>674.4</v>
      </c>
    </row>
    <row r="133">
      <c r="A133" s="11">
        <v>7.0</v>
      </c>
      <c r="B133" s="12">
        <f t="shared" si="2"/>
        <v>5914.1856</v>
      </c>
      <c r="C133" s="13">
        <v>49284.88</v>
      </c>
      <c r="D133" s="13">
        <f t="shared" ref="D133:E133" si="130">B133/12</f>
        <v>492.8488</v>
      </c>
      <c r="E133" s="13">
        <f t="shared" si="130"/>
        <v>4107.073333</v>
      </c>
      <c r="F133" s="13">
        <v>684.05</v>
      </c>
    </row>
    <row r="134">
      <c r="A134" s="11">
        <v>1.0</v>
      </c>
      <c r="B134" s="12">
        <f t="shared" si="2"/>
        <v>2490.7548</v>
      </c>
      <c r="C134" s="13">
        <v>20756.29</v>
      </c>
      <c r="D134" s="13">
        <f t="shared" ref="D134:E134" si="131">B134/12</f>
        <v>207.5629</v>
      </c>
      <c r="E134" s="13">
        <f t="shared" si="131"/>
        <v>1729.690833</v>
      </c>
      <c r="F134" s="13">
        <v>989.0</v>
      </c>
    </row>
    <row r="135">
      <c r="A135" s="11">
        <v>7.0</v>
      </c>
      <c r="B135" s="12">
        <f t="shared" si="2"/>
        <v>10195.9368</v>
      </c>
      <c r="C135" s="13">
        <v>84966.14</v>
      </c>
      <c r="D135" s="13">
        <f t="shared" ref="D135:E135" si="132">B135/12</f>
        <v>849.6614</v>
      </c>
      <c r="E135" s="13">
        <f t="shared" si="132"/>
        <v>7080.511667</v>
      </c>
      <c r="F135" s="13">
        <v>897.37</v>
      </c>
    </row>
    <row r="136">
      <c r="A136" s="11">
        <v>4.0</v>
      </c>
      <c r="B136" s="12">
        <f t="shared" si="2"/>
        <v>780.9456</v>
      </c>
      <c r="C136" s="13">
        <v>6507.88</v>
      </c>
      <c r="D136" s="13">
        <f t="shared" ref="D136:E136" si="133">B136/12</f>
        <v>65.0788</v>
      </c>
      <c r="E136" s="13">
        <f t="shared" si="133"/>
        <v>542.3233333</v>
      </c>
      <c r="F136" s="13">
        <v>150.87</v>
      </c>
    </row>
    <row r="137">
      <c r="A137" s="11">
        <v>5.0</v>
      </c>
      <c r="B137" s="12">
        <f t="shared" si="2"/>
        <v>8276.5428</v>
      </c>
      <c r="C137" s="13">
        <v>68971.19</v>
      </c>
      <c r="D137" s="13">
        <f t="shared" ref="D137:E137" si="134">B137/12</f>
        <v>689.7119</v>
      </c>
      <c r="E137" s="13">
        <f t="shared" si="134"/>
        <v>5747.599167</v>
      </c>
      <c r="F137" s="13">
        <v>254.94</v>
      </c>
    </row>
    <row r="138">
      <c r="A138" s="11">
        <v>7.0</v>
      </c>
      <c r="B138" s="12">
        <f t="shared" si="2"/>
        <v>3922.1088</v>
      </c>
      <c r="C138" s="13">
        <v>32684.24</v>
      </c>
      <c r="D138" s="13">
        <f t="shared" ref="D138:E138" si="135">B138/12</f>
        <v>326.8424</v>
      </c>
      <c r="E138" s="13">
        <f t="shared" si="135"/>
        <v>2723.686667</v>
      </c>
      <c r="F138" s="13">
        <v>283.27</v>
      </c>
    </row>
    <row r="139">
      <c r="A139" s="11">
        <v>4.0</v>
      </c>
      <c r="B139" s="12">
        <f t="shared" si="2"/>
        <v>10581.7824</v>
      </c>
      <c r="C139" s="13">
        <v>88181.52</v>
      </c>
      <c r="D139" s="13">
        <f t="shared" ref="D139:E139" si="136">B139/12</f>
        <v>881.8152</v>
      </c>
      <c r="E139" s="13">
        <f t="shared" si="136"/>
        <v>7348.46</v>
      </c>
      <c r="F139" s="13">
        <v>683.12</v>
      </c>
    </row>
    <row r="140">
      <c r="A140" s="11">
        <v>9.0</v>
      </c>
      <c r="B140" s="12">
        <f t="shared" si="2"/>
        <v>597.0096</v>
      </c>
      <c r="C140" s="13">
        <v>4975.08</v>
      </c>
      <c r="D140" s="13">
        <f t="shared" ref="D140:E140" si="137">B140/12</f>
        <v>49.7508</v>
      </c>
      <c r="E140" s="13">
        <f t="shared" si="137"/>
        <v>414.59</v>
      </c>
      <c r="F140" s="13">
        <v>8.34</v>
      </c>
    </row>
    <row r="141">
      <c r="A141" s="11">
        <v>2.0</v>
      </c>
      <c r="B141" s="12">
        <f t="shared" si="2"/>
        <v>4628.754</v>
      </c>
      <c r="C141" s="13">
        <v>38572.95</v>
      </c>
      <c r="D141" s="13">
        <f t="shared" ref="D141:E141" si="138">B141/12</f>
        <v>385.7295</v>
      </c>
      <c r="E141" s="13">
        <f t="shared" si="138"/>
        <v>3214.4125</v>
      </c>
      <c r="F141" s="13">
        <v>570.16</v>
      </c>
    </row>
    <row r="142">
      <c r="A142" s="11">
        <v>3.0</v>
      </c>
      <c r="B142" s="12">
        <f t="shared" si="2"/>
        <v>4338.5052</v>
      </c>
      <c r="C142" s="13">
        <v>36154.21</v>
      </c>
      <c r="D142" s="13">
        <f t="shared" ref="D142:E142" si="139">B142/12</f>
        <v>361.5421</v>
      </c>
      <c r="E142" s="13">
        <f t="shared" si="139"/>
        <v>3012.850833</v>
      </c>
      <c r="F142" s="13">
        <v>233.6</v>
      </c>
    </row>
    <row r="143">
      <c r="A143" s="11">
        <v>7.0</v>
      </c>
      <c r="B143" s="12">
        <f t="shared" si="2"/>
        <v>3611.5992</v>
      </c>
      <c r="C143" s="13">
        <v>30096.66</v>
      </c>
      <c r="D143" s="13">
        <f t="shared" ref="D143:E143" si="140">B143/12</f>
        <v>300.9666</v>
      </c>
      <c r="E143" s="13">
        <f t="shared" si="140"/>
        <v>2508.055</v>
      </c>
      <c r="F143" s="13">
        <v>846.59</v>
      </c>
    </row>
    <row r="144">
      <c r="A144" s="11">
        <v>2.0</v>
      </c>
      <c r="B144" s="12">
        <f t="shared" si="2"/>
        <v>7619.6724</v>
      </c>
      <c r="C144" s="13">
        <v>63497.27</v>
      </c>
      <c r="D144" s="13">
        <f t="shared" ref="D144:E144" si="141">B144/12</f>
        <v>634.9727</v>
      </c>
      <c r="E144" s="13">
        <f t="shared" si="141"/>
        <v>5291.439167</v>
      </c>
      <c r="F144" s="13">
        <v>756.11</v>
      </c>
    </row>
    <row r="145">
      <c r="A145" s="11">
        <v>8.0</v>
      </c>
      <c r="B145" s="12">
        <f t="shared" si="2"/>
        <v>366.5868</v>
      </c>
      <c r="C145" s="13">
        <v>3054.89</v>
      </c>
      <c r="D145" s="13">
        <f t="shared" ref="D145:E145" si="142">B145/12</f>
        <v>30.5489</v>
      </c>
      <c r="E145" s="13">
        <f t="shared" si="142"/>
        <v>254.5741667</v>
      </c>
      <c r="F145" s="13">
        <v>224.4</v>
      </c>
    </row>
    <row r="146">
      <c r="A146" s="11">
        <v>1.0</v>
      </c>
      <c r="B146" s="12">
        <f t="shared" si="2"/>
        <v>5492.0928</v>
      </c>
      <c r="C146" s="13">
        <v>45767.44</v>
      </c>
      <c r="D146" s="13">
        <f t="shared" ref="D146:E146" si="143">B146/12</f>
        <v>457.6744</v>
      </c>
      <c r="E146" s="13">
        <f t="shared" si="143"/>
        <v>3813.953333</v>
      </c>
      <c r="F146" s="13">
        <v>857.8</v>
      </c>
    </row>
    <row r="147">
      <c r="A147" s="11">
        <v>8.0</v>
      </c>
      <c r="B147" s="12">
        <f t="shared" si="2"/>
        <v>6570.9012</v>
      </c>
      <c r="C147" s="13">
        <v>54757.51</v>
      </c>
      <c r="D147" s="13">
        <f t="shared" ref="D147:E147" si="144">B147/12</f>
        <v>547.5751</v>
      </c>
      <c r="E147" s="13">
        <f t="shared" si="144"/>
        <v>4563.125833</v>
      </c>
      <c r="F147" s="13">
        <v>504.13</v>
      </c>
    </row>
    <row r="148">
      <c r="A148" s="11">
        <v>2.0</v>
      </c>
      <c r="B148" s="12">
        <f t="shared" si="2"/>
        <v>497.364</v>
      </c>
      <c r="C148" s="13">
        <v>4144.7</v>
      </c>
      <c r="D148" s="13">
        <f t="shared" ref="D148:E148" si="145">B148/12</f>
        <v>41.447</v>
      </c>
      <c r="E148" s="13">
        <f t="shared" si="145"/>
        <v>345.3916667</v>
      </c>
      <c r="F148" s="13">
        <v>603.07</v>
      </c>
    </row>
    <row r="149">
      <c r="A149" s="11">
        <v>3.0</v>
      </c>
      <c r="B149" s="12">
        <f t="shared" si="2"/>
        <v>7430.4168</v>
      </c>
      <c r="C149" s="13">
        <v>61920.14</v>
      </c>
      <c r="D149" s="13">
        <f t="shared" ref="D149:E149" si="146">B149/12</f>
        <v>619.2014</v>
      </c>
      <c r="E149" s="13">
        <f t="shared" si="146"/>
        <v>5160.011667</v>
      </c>
      <c r="F149" s="13">
        <v>899.81</v>
      </c>
    </row>
    <row r="150">
      <c r="A150" s="11">
        <v>9.0</v>
      </c>
      <c r="B150" s="12">
        <f t="shared" si="2"/>
        <v>2164.6032</v>
      </c>
      <c r="C150" s="13">
        <v>18038.36</v>
      </c>
      <c r="D150" s="13">
        <f t="shared" ref="D150:E150" si="147">B150/12</f>
        <v>180.3836</v>
      </c>
      <c r="E150" s="13">
        <f t="shared" si="147"/>
        <v>1503.196667</v>
      </c>
      <c r="F150" s="13">
        <v>926.31</v>
      </c>
    </row>
    <row r="151">
      <c r="A151" s="11">
        <v>7.0</v>
      </c>
      <c r="B151" s="12">
        <f t="shared" si="2"/>
        <v>8494.5312</v>
      </c>
      <c r="C151" s="13">
        <v>70787.76</v>
      </c>
      <c r="D151" s="13">
        <f t="shared" ref="D151:E151" si="148">B151/12</f>
        <v>707.8776</v>
      </c>
      <c r="E151" s="13">
        <f t="shared" si="148"/>
        <v>5898.98</v>
      </c>
      <c r="F151" s="13">
        <v>521.35</v>
      </c>
    </row>
    <row r="152">
      <c r="A152" s="11">
        <v>0.0</v>
      </c>
      <c r="B152" s="12">
        <f t="shared" si="2"/>
        <v>9938.1576</v>
      </c>
      <c r="C152" s="13">
        <v>82817.98</v>
      </c>
      <c r="D152" s="13">
        <f t="shared" ref="D152:E152" si="149">B152/12</f>
        <v>828.1798</v>
      </c>
      <c r="E152" s="13">
        <f t="shared" si="149"/>
        <v>6901.498333</v>
      </c>
      <c r="F152" s="13">
        <v>931.19</v>
      </c>
    </row>
    <row r="153">
      <c r="A153" s="11">
        <v>7.0</v>
      </c>
      <c r="B153" s="12">
        <f t="shared" si="2"/>
        <v>6334.626</v>
      </c>
      <c r="C153" s="13">
        <v>52788.55</v>
      </c>
      <c r="D153" s="13">
        <f t="shared" ref="D153:E153" si="150">B153/12</f>
        <v>527.8855</v>
      </c>
      <c r="E153" s="13">
        <f t="shared" si="150"/>
        <v>4399.045833</v>
      </c>
      <c r="F153" s="13">
        <v>231.56</v>
      </c>
    </row>
    <row r="154">
      <c r="A154" s="11">
        <v>3.0</v>
      </c>
      <c r="B154" s="12">
        <f t="shared" si="2"/>
        <v>9376.6308</v>
      </c>
      <c r="C154" s="13">
        <v>78138.59</v>
      </c>
      <c r="D154" s="13">
        <f t="shared" ref="D154:E154" si="151">B154/12</f>
        <v>781.3859</v>
      </c>
      <c r="E154" s="13">
        <f t="shared" si="151"/>
        <v>6511.549167</v>
      </c>
      <c r="F154" s="13">
        <v>499.48</v>
      </c>
    </row>
    <row r="155">
      <c r="A155" s="11">
        <v>2.0</v>
      </c>
      <c r="B155" s="12">
        <f t="shared" si="2"/>
        <v>11758.9152</v>
      </c>
      <c r="C155" s="13">
        <v>97990.96</v>
      </c>
      <c r="D155" s="13">
        <f t="shared" ref="D155:E155" si="152">B155/12</f>
        <v>979.9096</v>
      </c>
      <c r="E155" s="13">
        <f t="shared" si="152"/>
        <v>8165.913333</v>
      </c>
      <c r="F155" s="13">
        <v>620.06</v>
      </c>
    </row>
    <row r="156">
      <c r="A156" s="11">
        <v>7.0</v>
      </c>
      <c r="B156" s="12">
        <f t="shared" si="2"/>
        <v>7801.2804</v>
      </c>
      <c r="C156" s="13">
        <v>65010.67</v>
      </c>
      <c r="D156" s="13">
        <f t="shared" ref="D156:E156" si="153">B156/12</f>
        <v>650.1067</v>
      </c>
      <c r="E156" s="13">
        <f t="shared" si="153"/>
        <v>5417.555833</v>
      </c>
      <c r="F156" s="13">
        <v>926.74</v>
      </c>
    </row>
    <row r="157">
      <c r="A157" s="11">
        <v>7.0</v>
      </c>
      <c r="B157" s="12">
        <f t="shared" si="2"/>
        <v>10888.0032</v>
      </c>
      <c r="C157" s="13">
        <v>90733.36</v>
      </c>
      <c r="D157" s="13">
        <f t="shared" ref="D157:E157" si="154">B157/12</f>
        <v>907.3336</v>
      </c>
      <c r="E157" s="13">
        <f t="shared" si="154"/>
        <v>7561.113333</v>
      </c>
      <c r="F157" s="13">
        <v>170.01</v>
      </c>
    </row>
    <row r="158">
      <c r="A158" s="11">
        <v>3.0</v>
      </c>
      <c r="B158" s="12">
        <f t="shared" si="2"/>
        <v>41.2392</v>
      </c>
      <c r="C158" s="13">
        <v>343.66</v>
      </c>
      <c r="D158" s="13">
        <f t="shared" ref="D158:E158" si="155">B158/12</f>
        <v>3.4366</v>
      </c>
      <c r="E158" s="13">
        <f t="shared" si="155"/>
        <v>28.63833333</v>
      </c>
      <c r="F158" s="13">
        <v>157.14</v>
      </c>
    </row>
    <row r="159">
      <c r="A159" s="11">
        <v>7.0</v>
      </c>
      <c r="B159" s="12">
        <f t="shared" si="2"/>
        <v>8658.0036</v>
      </c>
      <c r="C159" s="13">
        <v>72150.03</v>
      </c>
      <c r="D159" s="13">
        <f t="shared" ref="D159:E159" si="156">B159/12</f>
        <v>721.5003</v>
      </c>
      <c r="E159" s="13">
        <f t="shared" si="156"/>
        <v>6012.5025</v>
      </c>
      <c r="F159" s="13">
        <v>193.19</v>
      </c>
    </row>
    <row r="160">
      <c r="A160" s="11">
        <v>7.0</v>
      </c>
      <c r="B160" s="12">
        <f t="shared" si="2"/>
        <v>3765.264</v>
      </c>
      <c r="C160" s="13">
        <v>31377.2</v>
      </c>
      <c r="D160" s="13">
        <f t="shared" ref="D160:E160" si="157">B160/12</f>
        <v>313.772</v>
      </c>
      <c r="E160" s="13">
        <f t="shared" si="157"/>
        <v>2614.766667</v>
      </c>
      <c r="F160" s="13">
        <v>841.71</v>
      </c>
    </row>
    <row r="161">
      <c r="A161" s="11">
        <v>6.0</v>
      </c>
      <c r="B161" s="12">
        <f t="shared" si="2"/>
        <v>10096.5948</v>
      </c>
      <c r="C161" s="13">
        <v>84138.29</v>
      </c>
      <c r="D161" s="13">
        <f t="shared" ref="D161:E161" si="158">B161/12</f>
        <v>841.3829</v>
      </c>
      <c r="E161" s="13">
        <f t="shared" si="158"/>
        <v>7011.524167</v>
      </c>
      <c r="F161" s="13">
        <v>299.15</v>
      </c>
    </row>
    <row r="162">
      <c r="A162" s="11">
        <v>2.0</v>
      </c>
      <c r="B162" s="12">
        <f t="shared" si="2"/>
        <v>8831.1288</v>
      </c>
      <c r="C162" s="13">
        <v>73592.74</v>
      </c>
      <c r="D162" s="13">
        <f t="shared" ref="D162:E162" si="159">B162/12</f>
        <v>735.9274</v>
      </c>
      <c r="E162" s="13">
        <f t="shared" si="159"/>
        <v>6132.728333</v>
      </c>
      <c r="F162" s="13">
        <v>698.42</v>
      </c>
    </row>
    <row r="163">
      <c r="A163" s="11">
        <v>6.0</v>
      </c>
      <c r="B163" s="12">
        <f t="shared" si="2"/>
        <v>4033.4112</v>
      </c>
      <c r="C163" s="13">
        <v>33611.76</v>
      </c>
      <c r="D163" s="13">
        <f t="shared" ref="D163:E163" si="160">B163/12</f>
        <v>336.1176</v>
      </c>
      <c r="E163" s="13">
        <f t="shared" si="160"/>
        <v>2800.98</v>
      </c>
      <c r="F163" s="13">
        <v>865.3</v>
      </c>
    </row>
    <row r="164">
      <c r="A164" s="11">
        <v>9.0</v>
      </c>
      <c r="B164" s="12">
        <f t="shared" si="2"/>
        <v>1548.7476</v>
      </c>
      <c r="C164" s="13">
        <v>12906.23</v>
      </c>
      <c r="D164" s="13">
        <f t="shared" ref="D164:E164" si="161">B164/12</f>
        <v>129.0623</v>
      </c>
      <c r="E164" s="13">
        <f t="shared" si="161"/>
        <v>1075.519167</v>
      </c>
      <c r="F164" s="13">
        <v>778.1</v>
      </c>
    </row>
    <row r="165">
      <c r="A165" s="11">
        <v>3.0</v>
      </c>
      <c r="B165" s="12">
        <f t="shared" si="2"/>
        <v>9094.1076</v>
      </c>
      <c r="C165" s="13">
        <v>75784.23</v>
      </c>
      <c r="D165" s="13">
        <f t="shared" ref="D165:E165" si="162">B165/12</f>
        <v>757.8423</v>
      </c>
      <c r="E165" s="13">
        <f t="shared" si="162"/>
        <v>6315.3525</v>
      </c>
      <c r="F165" s="13">
        <v>685.4</v>
      </c>
    </row>
    <row r="166">
      <c r="A166" s="11">
        <v>2.0</v>
      </c>
      <c r="B166" s="12">
        <f t="shared" si="2"/>
        <v>3860.892</v>
      </c>
      <c r="C166" s="13">
        <v>32174.1</v>
      </c>
      <c r="D166" s="13">
        <f t="shared" ref="D166:E166" si="163">B166/12</f>
        <v>321.741</v>
      </c>
      <c r="E166" s="13">
        <f t="shared" si="163"/>
        <v>2681.175</v>
      </c>
      <c r="F166" s="13">
        <v>812.0</v>
      </c>
    </row>
    <row r="167">
      <c r="A167" s="11">
        <v>1.0</v>
      </c>
      <c r="B167" s="12">
        <f t="shared" si="2"/>
        <v>8991.0912</v>
      </c>
      <c r="C167" s="13">
        <v>74925.76</v>
      </c>
      <c r="D167" s="13">
        <f t="shared" ref="D167:E167" si="164">B167/12</f>
        <v>749.2576</v>
      </c>
      <c r="E167" s="13">
        <f t="shared" si="164"/>
        <v>6243.813333</v>
      </c>
      <c r="F167" s="13">
        <v>887.89</v>
      </c>
    </row>
    <row r="168">
      <c r="A168" s="11">
        <v>5.0</v>
      </c>
      <c r="B168" s="12">
        <f t="shared" si="2"/>
        <v>9659.1648</v>
      </c>
      <c r="C168" s="13">
        <v>80493.04</v>
      </c>
      <c r="D168" s="13">
        <f t="shared" ref="D168:E168" si="165">B168/12</f>
        <v>804.9304</v>
      </c>
      <c r="E168" s="13">
        <f t="shared" si="165"/>
        <v>6707.753333</v>
      </c>
      <c r="F168" s="13">
        <v>127.01</v>
      </c>
    </row>
    <row r="169">
      <c r="A169" s="11">
        <v>5.0</v>
      </c>
      <c r="B169" s="12">
        <f t="shared" si="2"/>
        <v>43.1616</v>
      </c>
      <c r="C169" s="13">
        <v>359.68</v>
      </c>
      <c r="D169" s="13">
        <f t="shared" ref="D169:E169" si="166">B169/12</f>
        <v>3.5968</v>
      </c>
      <c r="E169" s="13">
        <f t="shared" si="166"/>
        <v>29.97333333</v>
      </c>
      <c r="F169" s="13">
        <v>725.03</v>
      </c>
    </row>
    <row r="170">
      <c r="A170" s="11">
        <v>2.0</v>
      </c>
      <c r="B170" s="12">
        <f t="shared" si="2"/>
        <v>8437.4496</v>
      </c>
      <c r="C170" s="13">
        <v>70312.08</v>
      </c>
      <c r="D170" s="13">
        <f t="shared" ref="D170:E170" si="167">B170/12</f>
        <v>703.1208</v>
      </c>
      <c r="E170" s="13">
        <f t="shared" si="167"/>
        <v>5859.34</v>
      </c>
      <c r="F170" s="13">
        <v>577.42</v>
      </c>
    </row>
    <row r="171">
      <c r="A171" s="11">
        <v>4.0</v>
      </c>
      <c r="B171" s="12">
        <f t="shared" si="2"/>
        <v>6257.1456</v>
      </c>
      <c r="C171" s="13">
        <v>52142.88</v>
      </c>
      <c r="D171" s="13">
        <f t="shared" ref="D171:E171" si="168">B171/12</f>
        <v>521.4288</v>
      </c>
      <c r="E171" s="13">
        <f t="shared" si="168"/>
        <v>4345.24</v>
      </c>
      <c r="F171" s="13">
        <v>805.13</v>
      </c>
    </row>
    <row r="172">
      <c r="A172" s="11">
        <v>0.0</v>
      </c>
      <c r="B172" s="12">
        <f t="shared" si="2"/>
        <v>5192.5008</v>
      </c>
      <c r="C172" s="13">
        <v>43270.84</v>
      </c>
      <c r="D172" s="13">
        <f t="shared" ref="D172:E172" si="169">B172/12</f>
        <v>432.7084</v>
      </c>
      <c r="E172" s="13">
        <f t="shared" si="169"/>
        <v>3605.903333</v>
      </c>
      <c r="F172" s="13">
        <v>588.99</v>
      </c>
    </row>
    <row r="173">
      <c r="A173" s="11">
        <v>1.0</v>
      </c>
      <c r="B173" s="12">
        <f t="shared" si="2"/>
        <v>38.0376</v>
      </c>
      <c r="C173" s="13">
        <v>316.98</v>
      </c>
      <c r="D173" s="13">
        <f t="shared" ref="D173:E173" si="170">B173/12</f>
        <v>3.1698</v>
      </c>
      <c r="E173" s="13">
        <f t="shared" si="170"/>
        <v>26.415</v>
      </c>
      <c r="F173" s="13">
        <v>474.46</v>
      </c>
    </row>
    <row r="174">
      <c r="A174" s="11">
        <v>0.0</v>
      </c>
      <c r="B174" s="12">
        <f t="shared" si="2"/>
        <v>4849.758</v>
      </c>
      <c r="C174" s="13">
        <v>40414.65</v>
      </c>
      <c r="D174" s="13">
        <f t="shared" ref="D174:E174" si="171">B174/12</f>
        <v>404.1465</v>
      </c>
      <c r="E174" s="13">
        <f t="shared" si="171"/>
        <v>3367.8875</v>
      </c>
      <c r="F174" s="13">
        <v>310.38</v>
      </c>
    </row>
    <row r="175">
      <c r="A175" s="11">
        <v>6.0</v>
      </c>
      <c r="B175" s="12">
        <f t="shared" si="2"/>
        <v>6325.2108</v>
      </c>
      <c r="C175" s="13">
        <v>52710.09</v>
      </c>
      <c r="D175" s="13">
        <f t="shared" ref="D175:E175" si="172">B175/12</f>
        <v>527.1009</v>
      </c>
      <c r="E175" s="13">
        <f t="shared" si="172"/>
        <v>4392.5075</v>
      </c>
      <c r="F175" s="13">
        <v>627.27</v>
      </c>
    </row>
    <row r="176">
      <c r="A176" s="11">
        <v>5.0</v>
      </c>
      <c r="B176" s="12">
        <f t="shared" si="2"/>
        <v>5953.9188</v>
      </c>
      <c r="C176" s="13">
        <v>49615.99</v>
      </c>
      <c r="D176" s="13">
        <f t="shared" ref="D176:E176" si="173">B176/12</f>
        <v>496.1599</v>
      </c>
      <c r="E176" s="13">
        <f t="shared" si="173"/>
        <v>4134.665833</v>
      </c>
      <c r="F176" s="13">
        <v>143.57</v>
      </c>
    </row>
    <row r="177">
      <c r="A177" s="11">
        <v>2.0</v>
      </c>
      <c r="B177" s="12">
        <f t="shared" si="2"/>
        <v>3272.5032</v>
      </c>
      <c r="C177" s="13">
        <v>27270.86</v>
      </c>
      <c r="D177" s="13">
        <f t="shared" ref="D177:E177" si="174">B177/12</f>
        <v>272.7086</v>
      </c>
      <c r="E177" s="13">
        <f t="shared" si="174"/>
        <v>2272.571667</v>
      </c>
      <c r="F177" s="13">
        <v>261.59</v>
      </c>
    </row>
    <row r="178">
      <c r="A178" s="11">
        <v>7.0</v>
      </c>
      <c r="B178" s="12">
        <f t="shared" si="2"/>
        <v>4160.3436</v>
      </c>
      <c r="C178" s="13">
        <v>34669.53</v>
      </c>
      <c r="D178" s="13">
        <f t="shared" ref="D178:E178" si="175">B178/12</f>
        <v>346.6953</v>
      </c>
      <c r="E178" s="13">
        <f t="shared" si="175"/>
        <v>2889.1275</v>
      </c>
      <c r="F178" s="13">
        <v>15.52</v>
      </c>
    </row>
    <row r="179">
      <c r="A179" s="11">
        <v>2.0</v>
      </c>
      <c r="B179" s="12">
        <f t="shared" si="2"/>
        <v>11003.6364</v>
      </c>
      <c r="C179" s="13">
        <v>91696.97</v>
      </c>
      <c r="D179" s="13">
        <f t="shared" ref="D179:E179" si="176">B179/12</f>
        <v>916.9697</v>
      </c>
      <c r="E179" s="13">
        <f t="shared" si="176"/>
        <v>7641.414167</v>
      </c>
      <c r="F179" s="13">
        <v>481.67</v>
      </c>
    </row>
    <row r="180">
      <c r="A180" s="11">
        <v>7.0</v>
      </c>
      <c r="B180" s="12">
        <f t="shared" si="2"/>
        <v>7834.2648</v>
      </c>
      <c r="C180" s="13">
        <v>65285.54</v>
      </c>
      <c r="D180" s="13">
        <f t="shared" ref="D180:E180" si="177">B180/12</f>
        <v>652.8554</v>
      </c>
      <c r="E180" s="13">
        <f t="shared" si="177"/>
        <v>5440.461667</v>
      </c>
      <c r="F180" s="13">
        <v>597.95</v>
      </c>
    </row>
    <row r="181">
      <c r="A181" s="11">
        <v>4.0</v>
      </c>
      <c r="B181" s="12">
        <f t="shared" si="2"/>
        <v>5007.2508</v>
      </c>
      <c r="C181" s="13">
        <v>41727.09</v>
      </c>
      <c r="D181" s="13">
        <f t="shared" ref="D181:E181" si="178">B181/12</f>
        <v>417.2709</v>
      </c>
      <c r="E181" s="13">
        <f t="shared" si="178"/>
        <v>3477.2575</v>
      </c>
      <c r="F181" s="13">
        <v>462.76</v>
      </c>
    </row>
    <row r="182">
      <c r="A182" s="11">
        <v>6.0</v>
      </c>
      <c r="B182" s="12">
        <f t="shared" si="2"/>
        <v>10918.5348</v>
      </c>
      <c r="C182" s="13">
        <v>90987.79</v>
      </c>
      <c r="D182" s="13">
        <f t="shared" ref="D182:E182" si="179">B182/12</f>
        <v>909.8779</v>
      </c>
      <c r="E182" s="13">
        <f t="shared" si="179"/>
        <v>7582.315833</v>
      </c>
      <c r="F182" s="13">
        <v>842.28</v>
      </c>
    </row>
    <row r="183">
      <c r="A183" s="11">
        <v>2.0</v>
      </c>
      <c r="B183" s="12">
        <f t="shared" si="2"/>
        <v>4864.9356</v>
      </c>
      <c r="C183" s="13">
        <v>40541.13</v>
      </c>
      <c r="D183" s="13">
        <f t="shared" ref="D183:E183" si="180">B183/12</f>
        <v>405.4113</v>
      </c>
      <c r="E183" s="13">
        <f t="shared" si="180"/>
        <v>3378.4275</v>
      </c>
      <c r="F183" s="13">
        <v>738.53</v>
      </c>
    </row>
    <row r="184">
      <c r="A184" s="11">
        <v>7.0</v>
      </c>
      <c r="B184" s="12">
        <f t="shared" si="2"/>
        <v>5814.4572</v>
      </c>
      <c r="C184" s="13">
        <v>48453.81</v>
      </c>
      <c r="D184" s="13">
        <f t="shared" ref="D184:E184" si="181">B184/12</f>
        <v>484.5381</v>
      </c>
      <c r="E184" s="13">
        <f t="shared" si="181"/>
        <v>4037.8175</v>
      </c>
      <c r="F184" s="13">
        <v>892.3</v>
      </c>
    </row>
    <row r="185">
      <c r="A185" s="11">
        <v>8.0</v>
      </c>
      <c r="B185" s="12">
        <f t="shared" si="2"/>
        <v>11423.5584</v>
      </c>
      <c r="C185" s="13">
        <v>95196.32</v>
      </c>
      <c r="D185" s="13">
        <f t="shared" ref="D185:E185" si="182">B185/12</f>
        <v>951.9632</v>
      </c>
      <c r="E185" s="13">
        <f t="shared" si="182"/>
        <v>7933.026667</v>
      </c>
      <c r="F185" s="13">
        <v>760.85</v>
      </c>
    </row>
    <row r="186">
      <c r="A186" s="11">
        <v>4.0</v>
      </c>
      <c r="B186" s="12">
        <f t="shared" si="2"/>
        <v>10090.2636</v>
      </c>
      <c r="C186" s="13">
        <v>84085.53</v>
      </c>
      <c r="D186" s="13">
        <f t="shared" ref="D186:E186" si="183">B186/12</f>
        <v>840.8553</v>
      </c>
      <c r="E186" s="13">
        <f t="shared" si="183"/>
        <v>7007.1275</v>
      </c>
      <c r="F186" s="13">
        <v>420.22</v>
      </c>
    </row>
    <row r="187">
      <c r="A187" s="11">
        <v>8.0</v>
      </c>
      <c r="B187" s="12">
        <f t="shared" si="2"/>
        <v>7631.1876</v>
      </c>
      <c r="C187" s="13">
        <v>63593.23</v>
      </c>
      <c r="D187" s="13">
        <f t="shared" ref="D187:E187" si="184">B187/12</f>
        <v>635.9323</v>
      </c>
      <c r="E187" s="13">
        <f t="shared" si="184"/>
        <v>5299.435833</v>
      </c>
      <c r="F187" s="13">
        <v>608.17</v>
      </c>
    </row>
    <row r="188">
      <c r="A188" s="11">
        <v>8.0</v>
      </c>
      <c r="B188" s="12">
        <f t="shared" si="2"/>
        <v>5148.4488</v>
      </c>
      <c r="C188" s="13">
        <v>42903.74</v>
      </c>
      <c r="D188" s="13">
        <f t="shared" ref="D188:E188" si="185">B188/12</f>
        <v>429.0374</v>
      </c>
      <c r="E188" s="13">
        <f t="shared" si="185"/>
        <v>3575.311667</v>
      </c>
      <c r="F188" s="13">
        <v>973.68</v>
      </c>
    </row>
    <row r="189">
      <c r="A189" s="11">
        <v>9.0</v>
      </c>
      <c r="B189" s="12">
        <f t="shared" si="2"/>
        <v>7480.5744</v>
      </c>
      <c r="C189" s="13">
        <v>62338.12</v>
      </c>
      <c r="D189" s="13">
        <f t="shared" ref="D189:E189" si="186">B189/12</f>
        <v>623.3812</v>
      </c>
      <c r="E189" s="13">
        <f t="shared" si="186"/>
        <v>5194.843333</v>
      </c>
      <c r="F189" s="13">
        <v>251.18</v>
      </c>
    </row>
    <row r="190">
      <c r="A190" s="11">
        <v>6.0</v>
      </c>
      <c r="B190" s="12">
        <f t="shared" si="2"/>
        <v>5158.0716</v>
      </c>
      <c r="C190" s="13">
        <v>42983.93</v>
      </c>
      <c r="D190" s="13">
        <f t="shared" ref="D190:E190" si="187">B190/12</f>
        <v>429.8393</v>
      </c>
      <c r="E190" s="13">
        <f t="shared" si="187"/>
        <v>3581.994167</v>
      </c>
      <c r="F190" s="13">
        <v>584.21</v>
      </c>
    </row>
    <row r="191">
      <c r="A191" s="11">
        <v>7.0</v>
      </c>
      <c r="B191" s="12">
        <f t="shared" si="2"/>
        <v>90.0732</v>
      </c>
      <c r="C191" s="13">
        <v>750.61</v>
      </c>
      <c r="D191" s="13">
        <f t="shared" ref="D191:E191" si="188">B191/12</f>
        <v>7.5061</v>
      </c>
      <c r="E191" s="13">
        <f t="shared" si="188"/>
        <v>62.55083333</v>
      </c>
      <c r="F191" s="13">
        <v>279.6</v>
      </c>
    </row>
    <row r="192">
      <c r="A192" s="11">
        <v>9.0</v>
      </c>
      <c r="B192" s="12">
        <f t="shared" si="2"/>
        <v>3141.7788</v>
      </c>
      <c r="C192" s="13">
        <v>26181.49</v>
      </c>
      <c r="D192" s="13">
        <f t="shared" ref="D192:E192" si="189">B192/12</f>
        <v>261.8149</v>
      </c>
      <c r="E192" s="13">
        <f t="shared" si="189"/>
        <v>2181.790833</v>
      </c>
      <c r="F192" s="13">
        <v>261.42</v>
      </c>
    </row>
    <row r="193">
      <c r="A193" s="11">
        <v>5.0</v>
      </c>
      <c r="B193" s="12">
        <f t="shared" si="2"/>
        <v>4504.0464</v>
      </c>
      <c r="C193" s="13">
        <v>37533.72</v>
      </c>
      <c r="D193" s="13">
        <f t="shared" ref="D193:E193" si="190">B193/12</f>
        <v>375.3372</v>
      </c>
      <c r="E193" s="13">
        <f t="shared" si="190"/>
        <v>3127.81</v>
      </c>
      <c r="F193" s="13">
        <v>651.68</v>
      </c>
    </row>
    <row r="194">
      <c r="A194" s="11">
        <v>2.0</v>
      </c>
      <c r="B194" s="12">
        <f t="shared" si="2"/>
        <v>4384.0188</v>
      </c>
      <c r="C194" s="13">
        <v>36533.49</v>
      </c>
      <c r="D194" s="13">
        <f t="shared" ref="D194:E194" si="191">B194/12</f>
        <v>365.3349</v>
      </c>
      <c r="E194" s="13">
        <f t="shared" si="191"/>
        <v>3044.4575</v>
      </c>
      <c r="F194" s="13">
        <v>732.66</v>
      </c>
    </row>
    <row r="195">
      <c r="A195" s="11">
        <v>8.0</v>
      </c>
      <c r="B195" s="12">
        <f t="shared" si="2"/>
        <v>1577.9772</v>
      </c>
      <c r="C195" s="13">
        <v>13149.81</v>
      </c>
      <c r="D195" s="13">
        <f t="shared" ref="D195:E195" si="192">B195/12</f>
        <v>131.4981</v>
      </c>
      <c r="E195" s="13">
        <f t="shared" si="192"/>
        <v>1095.8175</v>
      </c>
      <c r="F195" s="13">
        <v>552.98</v>
      </c>
    </row>
    <row r="196">
      <c r="A196" s="11">
        <v>5.0</v>
      </c>
      <c r="B196" s="12">
        <f t="shared" si="2"/>
        <v>2047.014</v>
      </c>
      <c r="C196" s="13">
        <v>17058.45</v>
      </c>
      <c r="D196" s="13">
        <f t="shared" ref="D196:E196" si="193">B196/12</f>
        <v>170.5845</v>
      </c>
      <c r="E196" s="13">
        <f t="shared" si="193"/>
        <v>1421.5375</v>
      </c>
      <c r="F196" s="13">
        <v>41.37</v>
      </c>
    </row>
    <row r="197">
      <c r="A197" s="11">
        <v>1.0</v>
      </c>
      <c r="B197" s="12">
        <f t="shared" si="2"/>
        <v>3609.4692</v>
      </c>
      <c r="C197" s="13">
        <v>30078.91</v>
      </c>
      <c r="D197" s="13">
        <f t="shared" ref="D197:E197" si="194">B197/12</f>
        <v>300.7891</v>
      </c>
      <c r="E197" s="13">
        <f t="shared" si="194"/>
        <v>2506.575833</v>
      </c>
      <c r="F197" s="13">
        <v>401.29</v>
      </c>
    </row>
    <row r="198">
      <c r="A198" s="11">
        <v>9.0</v>
      </c>
      <c r="B198" s="12">
        <f t="shared" si="2"/>
        <v>3735.3984</v>
      </c>
      <c r="C198" s="13">
        <v>31128.32</v>
      </c>
      <c r="D198" s="13">
        <f t="shared" ref="D198:E198" si="195">B198/12</f>
        <v>311.2832</v>
      </c>
      <c r="E198" s="13">
        <f t="shared" si="195"/>
        <v>2594.026667</v>
      </c>
      <c r="F198" s="13">
        <v>800.78</v>
      </c>
    </row>
    <row r="199">
      <c r="A199" s="11">
        <v>8.0</v>
      </c>
      <c r="B199" s="12">
        <f t="shared" si="2"/>
        <v>11333.5356</v>
      </c>
      <c r="C199" s="13">
        <v>94446.13</v>
      </c>
      <c r="D199" s="13">
        <f t="shared" ref="D199:E199" si="196">B199/12</f>
        <v>944.4613</v>
      </c>
      <c r="E199" s="13">
        <f t="shared" si="196"/>
        <v>7870.510833</v>
      </c>
      <c r="F199" s="13">
        <v>323.39</v>
      </c>
    </row>
    <row r="200">
      <c r="A200" s="11">
        <v>3.0</v>
      </c>
      <c r="B200" s="12">
        <f t="shared" si="2"/>
        <v>10986.9924</v>
      </c>
      <c r="C200" s="13">
        <v>91558.27</v>
      </c>
      <c r="D200" s="13">
        <f t="shared" ref="D200:E200" si="197">B200/12</f>
        <v>915.5827</v>
      </c>
      <c r="E200" s="13">
        <f t="shared" si="197"/>
        <v>7629.855833</v>
      </c>
      <c r="F200" s="13">
        <v>674.62</v>
      </c>
    </row>
    <row r="201">
      <c r="A201" s="11">
        <v>9.0</v>
      </c>
      <c r="B201" s="12">
        <f t="shared" si="2"/>
        <v>11282.232</v>
      </c>
      <c r="C201" s="13">
        <v>94018.6</v>
      </c>
      <c r="D201" s="13">
        <f t="shared" ref="D201:E201" si="198">B201/12</f>
        <v>940.186</v>
      </c>
      <c r="E201" s="13">
        <f t="shared" si="198"/>
        <v>7834.883333</v>
      </c>
      <c r="F201" s="13">
        <v>37.83</v>
      </c>
    </row>
    <row r="202">
      <c r="A202" s="11">
        <v>9.0</v>
      </c>
      <c r="B202" s="12">
        <f t="shared" si="2"/>
        <v>1889.6076</v>
      </c>
      <c r="C202" s="13">
        <v>15746.73</v>
      </c>
      <c r="D202" s="13">
        <f t="shared" ref="D202:E202" si="199">B202/12</f>
        <v>157.4673</v>
      </c>
      <c r="E202" s="13">
        <f t="shared" si="199"/>
        <v>1312.2275</v>
      </c>
      <c r="F202" s="13">
        <v>225.15</v>
      </c>
    </row>
    <row r="203">
      <c r="A203" s="11">
        <v>5.0</v>
      </c>
      <c r="B203" s="12">
        <f t="shared" si="2"/>
        <v>11216.8272</v>
      </c>
      <c r="C203" s="13">
        <v>93473.56</v>
      </c>
      <c r="D203" s="13">
        <f t="shared" ref="D203:E203" si="200">B203/12</f>
        <v>934.7356</v>
      </c>
      <c r="E203" s="13">
        <f t="shared" si="200"/>
        <v>7789.463333</v>
      </c>
      <c r="F203" s="13">
        <v>873.83</v>
      </c>
    </row>
    <row r="204">
      <c r="A204" s="11">
        <v>4.0</v>
      </c>
      <c r="B204" s="12">
        <f t="shared" si="2"/>
        <v>8840.6904</v>
      </c>
      <c r="C204" s="13">
        <v>73672.42</v>
      </c>
      <c r="D204" s="13">
        <f t="shared" ref="D204:E204" si="201">B204/12</f>
        <v>736.7242</v>
      </c>
      <c r="E204" s="13">
        <f t="shared" si="201"/>
        <v>6139.368333</v>
      </c>
      <c r="F204" s="13">
        <v>307.49</v>
      </c>
    </row>
    <row r="205">
      <c r="A205" s="11">
        <v>9.0</v>
      </c>
      <c r="B205" s="12">
        <f t="shared" si="2"/>
        <v>10516.6152</v>
      </c>
      <c r="C205" s="13">
        <v>87638.46</v>
      </c>
      <c r="D205" s="13">
        <f t="shared" ref="D205:E205" si="202">B205/12</f>
        <v>876.3846</v>
      </c>
      <c r="E205" s="13">
        <f t="shared" si="202"/>
        <v>7303.205</v>
      </c>
      <c r="F205" s="13">
        <v>239.34</v>
      </c>
    </row>
    <row r="206">
      <c r="A206" s="11">
        <v>5.0</v>
      </c>
      <c r="B206" s="12">
        <f t="shared" si="2"/>
        <v>10613.742</v>
      </c>
      <c r="C206" s="13">
        <v>88447.85</v>
      </c>
      <c r="D206" s="13">
        <f t="shared" ref="D206:E206" si="203">B206/12</f>
        <v>884.4785</v>
      </c>
      <c r="E206" s="13">
        <f t="shared" si="203"/>
        <v>7370.654167</v>
      </c>
      <c r="F206" s="13">
        <v>461.5</v>
      </c>
    </row>
    <row r="207">
      <c r="A207" s="11">
        <v>7.0</v>
      </c>
      <c r="B207" s="12">
        <f t="shared" si="2"/>
        <v>10553.9616</v>
      </c>
      <c r="C207" s="13">
        <v>87949.68</v>
      </c>
      <c r="D207" s="13">
        <f t="shared" ref="D207:E207" si="204">B207/12</f>
        <v>879.4968</v>
      </c>
      <c r="E207" s="13">
        <f t="shared" si="204"/>
        <v>7329.14</v>
      </c>
      <c r="F207" s="13">
        <v>676.65</v>
      </c>
    </row>
    <row r="208">
      <c r="A208" s="11">
        <v>5.0</v>
      </c>
      <c r="B208" s="12">
        <f t="shared" si="2"/>
        <v>5834.7372</v>
      </c>
      <c r="C208" s="13">
        <v>48622.81</v>
      </c>
      <c r="D208" s="13">
        <f t="shared" ref="D208:E208" si="205">B208/12</f>
        <v>486.2281</v>
      </c>
      <c r="E208" s="13">
        <f t="shared" si="205"/>
        <v>4051.900833</v>
      </c>
      <c r="F208" s="13">
        <v>399.17</v>
      </c>
    </row>
    <row r="209">
      <c r="A209" s="11">
        <v>7.0</v>
      </c>
      <c r="B209" s="12">
        <f t="shared" si="2"/>
        <v>2678.43</v>
      </c>
      <c r="C209" s="13">
        <v>22320.25</v>
      </c>
      <c r="D209" s="13">
        <f t="shared" ref="D209:E209" si="206">B209/12</f>
        <v>223.2025</v>
      </c>
      <c r="E209" s="13">
        <f t="shared" si="206"/>
        <v>1860.020833</v>
      </c>
      <c r="F209" s="13">
        <v>78.55</v>
      </c>
    </row>
    <row r="210">
      <c r="A210" s="11">
        <v>5.0</v>
      </c>
      <c r="B210" s="12">
        <f t="shared" si="2"/>
        <v>1431.528</v>
      </c>
      <c r="C210" s="13">
        <v>11929.4</v>
      </c>
      <c r="D210" s="13">
        <f t="shared" ref="D210:E210" si="207">B210/12</f>
        <v>119.294</v>
      </c>
      <c r="E210" s="13">
        <f t="shared" si="207"/>
        <v>994.1166667</v>
      </c>
      <c r="F210" s="13">
        <v>871.24</v>
      </c>
    </row>
    <row r="211">
      <c r="A211" s="11">
        <v>4.0</v>
      </c>
      <c r="B211" s="12">
        <f t="shared" si="2"/>
        <v>3767.0424</v>
      </c>
      <c r="C211" s="13">
        <v>31392.02</v>
      </c>
      <c r="D211" s="13">
        <f t="shared" ref="D211:E211" si="208">B211/12</f>
        <v>313.9202</v>
      </c>
      <c r="E211" s="13">
        <f t="shared" si="208"/>
        <v>2616.001667</v>
      </c>
      <c r="F211" s="13">
        <v>492.02</v>
      </c>
    </row>
    <row r="212">
      <c r="A212" s="11">
        <v>7.0</v>
      </c>
      <c r="B212" s="12">
        <f t="shared" si="2"/>
        <v>10248.3324</v>
      </c>
      <c r="C212" s="13">
        <v>85402.77</v>
      </c>
      <c r="D212" s="13">
        <f t="shared" ref="D212:E212" si="209">B212/12</f>
        <v>854.0277</v>
      </c>
      <c r="E212" s="13">
        <f t="shared" si="209"/>
        <v>7116.8975</v>
      </c>
      <c r="F212" s="13">
        <v>427.69</v>
      </c>
    </row>
    <row r="213">
      <c r="A213" s="11">
        <v>9.0</v>
      </c>
      <c r="B213" s="12">
        <f t="shared" si="2"/>
        <v>1660.9968</v>
      </c>
      <c r="C213" s="13">
        <v>13841.64</v>
      </c>
      <c r="D213" s="13">
        <f t="shared" ref="D213:E213" si="210">B213/12</f>
        <v>138.4164</v>
      </c>
      <c r="E213" s="13">
        <f t="shared" si="210"/>
        <v>1153.47</v>
      </c>
      <c r="F213" s="13">
        <v>851.74</v>
      </c>
    </row>
    <row r="214">
      <c r="A214" s="11">
        <v>5.0</v>
      </c>
      <c r="B214" s="12">
        <f t="shared" si="2"/>
        <v>4696.5912</v>
      </c>
      <c r="C214" s="13">
        <v>39138.26</v>
      </c>
      <c r="D214" s="13">
        <f t="shared" ref="D214:E214" si="211">B214/12</f>
        <v>391.3826</v>
      </c>
      <c r="E214" s="13">
        <f t="shared" si="211"/>
        <v>3261.521667</v>
      </c>
      <c r="F214" s="13">
        <v>73.09</v>
      </c>
    </row>
    <row r="215">
      <c r="A215" s="11">
        <v>3.0</v>
      </c>
      <c r="B215" s="12">
        <f t="shared" si="2"/>
        <v>3202.2072</v>
      </c>
      <c r="C215" s="13">
        <v>26685.06</v>
      </c>
      <c r="D215" s="13">
        <f t="shared" ref="D215:E215" si="212">B215/12</f>
        <v>266.8506</v>
      </c>
      <c r="E215" s="13">
        <f t="shared" si="212"/>
        <v>2223.755</v>
      </c>
      <c r="F215" s="13">
        <v>38.0</v>
      </c>
    </row>
    <row r="216">
      <c r="A216" s="11">
        <v>3.0</v>
      </c>
      <c r="B216" s="12">
        <f t="shared" si="2"/>
        <v>1301.028</v>
      </c>
      <c r="C216" s="13">
        <v>10841.9</v>
      </c>
      <c r="D216" s="13">
        <f t="shared" ref="D216:E216" si="213">B216/12</f>
        <v>108.419</v>
      </c>
      <c r="E216" s="13">
        <f t="shared" si="213"/>
        <v>903.4916667</v>
      </c>
      <c r="F216" s="13">
        <v>270.07</v>
      </c>
    </row>
    <row r="217">
      <c r="A217" s="11">
        <v>6.0</v>
      </c>
      <c r="B217" s="12">
        <f t="shared" si="2"/>
        <v>112.4484</v>
      </c>
      <c r="C217" s="13">
        <v>937.07</v>
      </c>
      <c r="D217" s="13">
        <f t="shared" ref="D217:E217" si="214">B217/12</f>
        <v>9.3707</v>
      </c>
      <c r="E217" s="13">
        <f t="shared" si="214"/>
        <v>78.08916667</v>
      </c>
      <c r="F217" s="13">
        <v>125.5</v>
      </c>
    </row>
    <row r="218">
      <c r="A218" s="11">
        <v>7.0</v>
      </c>
      <c r="B218" s="12">
        <f t="shared" si="2"/>
        <v>7747.4736</v>
      </c>
      <c r="C218" s="13">
        <v>64562.28</v>
      </c>
      <c r="D218" s="13">
        <f t="shared" ref="D218:E218" si="215">B218/12</f>
        <v>645.6228</v>
      </c>
      <c r="E218" s="13">
        <f t="shared" si="215"/>
        <v>5380.19</v>
      </c>
      <c r="F218" s="13">
        <v>547.43</v>
      </c>
    </row>
    <row r="219">
      <c r="A219" s="11">
        <v>1.0</v>
      </c>
      <c r="B219" s="12">
        <f t="shared" si="2"/>
        <v>5485.9008</v>
      </c>
      <c r="C219" s="13">
        <v>45715.84</v>
      </c>
      <c r="D219" s="13">
        <f t="shared" ref="D219:E219" si="216">B219/12</f>
        <v>457.1584</v>
      </c>
      <c r="E219" s="13">
        <f t="shared" si="216"/>
        <v>3809.653333</v>
      </c>
      <c r="F219" s="13">
        <v>869.12</v>
      </c>
    </row>
    <row r="220">
      <c r="A220" s="11">
        <v>8.0</v>
      </c>
      <c r="B220" s="12">
        <f t="shared" si="2"/>
        <v>7625.0148</v>
      </c>
      <c r="C220" s="13">
        <v>63541.79</v>
      </c>
      <c r="D220" s="13">
        <f t="shared" ref="D220:E220" si="217">B220/12</f>
        <v>635.4179</v>
      </c>
      <c r="E220" s="13">
        <f t="shared" si="217"/>
        <v>5295.149167</v>
      </c>
      <c r="F220" s="13">
        <v>879.36</v>
      </c>
    </row>
    <row r="221">
      <c r="A221" s="11">
        <v>0.0</v>
      </c>
      <c r="B221" s="12">
        <f t="shared" si="2"/>
        <v>958.626</v>
      </c>
      <c r="C221" s="13">
        <v>7988.55</v>
      </c>
      <c r="D221" s="13">
        <f t="shared" ref="D221:E221" si="218">B221/12</f>
        <v>79.8855</v>
      </c>
      <c r="E221" s="13">
        <f t="shared" si="218"/>
        <v>665.7125</v>
      </c>
      <c r="F221" s="13">
        <v>876.6</v>
      </c>
    </row>
    <row r="222">
      <c r="A222" s="11">
        <v>1.0</v>
      </c>
      <c r="B222" s="12">
        <f t="shared" si="2"/>
        <v>4397.9568</v>
      </c>
      <c r="C222" s="13">
        <v>36649.64</v>
      </c>
      <c r="D222" s="13">
        <f t="shared" ref="D222:E222" si="219">B222/12</f>
        <v>366.4964</v>
      </c>
      <c r="E222" s="13">
        <f t="shared" si="219"/>
        <v>3054.136667</v>
      </c>
      <c r="F222" s="13">
        <v>830.72</v>
      </c>
    </row>
    <row r="223">
      <c r="A223" s="11">
        <v>3.0</v>
      </c>
      <c r="B223" s="12">
        <f t="shared" si="2"/>
        <v>8816.1648</v>
      </c>
      <c r="C223" s="13">
        <v>73468.04</v>
      </c>
      <c r="D223" s="13">
        <f t="shared" ref="D223:E223" si="220">B223/12</f>
        <v>734.6804</v>
      </c>
      <c r="E223" s="13">
        <f t="shared" si="220"/>
        <v>6122.336667</v>
      </c>
      <c r="F223" s="13">
        <v>245.28</v>
      </c>
    </row>
    <row r="224">
      <c r="A224" s="11">
        <v>4.0</v>
      </c>
      <c r="B224" s="12">
        <f t="shared" si="2"/>
        <v>10137.9204</v>
      </c>
      <c r="C224" s="13">
        <v>84482.67</v>
      </c>
      <c r="D224" s="13">
        <f t="shared" ref="D224:E224" si="221">B224/12</f>
        <v>844.8267</v>
      </c>
      <c r="E224" s="13">
        <f t="shared" si="221"/>
        <v>7040.2225</v>
      </c>
      <c r="F224" s="13">
        <v>0.76</v>
      </c>
    </row>
    <row r="225">
      <c r="A225" s="11">
        <v>2.0</v>
      </c>
      <c r="B225" s="12">
        <f t="shared" si="2"/>
        <v>10059.8976</v>
      </c>
      <c r="C225" s="13">
        <v>83832.48</v>
      </c>
      <c r="D225" s="13">
        <f t="shared" ref="D225:E225" si="222">B225/12</f>
        <v>838.3248</v>
      </c>
      <c r="E225" s="13">
        <f t="shared" si="222"/>
        <v>6986.04</v>
      </c>
      <c r="F225" s="13">
        <v>161.67</v>
      </c>
    </row>
    <row r="226">
      <c r="A226" s="11">
        <v>5.0</v>
      </c>
      <c r="B226" s="12">
        <f t="shared" si="2"/>
        <v>5275.9224</v>
      </c>
      <c r="C226" s="13">
        <v>43966.02</v>
      </c>
      <c r="D226" s="13">
        <f t="shared" ref="D226:E226" si="223">B226/12</f>
        <v>439.6602</v>
      </c>
      <c r="E226" s="13">
        <f t="shared" si="223"/>
        <v>3663.835</v>
      </c>
      <c r="F226" s="13">
        <v>684.35</v>
      </c>
    </row>
    <row r="227">
      <c r="A227" s="11">
        <v>4.0</v>
      </c>
      <c r="B227" s="12">
        <f t="shared" si="2"/>
        <v>5734.0704</v>
      </c>
      <c r="C227" s="13">
        <v>47783.92</v>
      </c>
      <c r="D227" s="13">
        <f t="shared" ref="D227:E227" si="224">B227/12</f>
        <v>477.8392</v>
      </c>
      <c r="E227" s="13">
        <f t="shared" si="224"/>
        <v>3981.993333</v>
      </c>
      <c r="F227" s="13">
        <v>295.53</v>
      </c>
    </row>
    <row r="228">
      <c r="A228" s="11">
        <v>5.0</v>
      </c>
      <c r="B228" s="12">
        <f t="shared" si="2"/>
        <v>9343.9572</v>
      </c>
      <c r="C228" s="13">
        <v>77866.31</v>
      </c>
      <c r="D228" s="13">
        <f t="shared" ref="D228:E228" si="225">B228/12</f>
        <v>778.6631</v>
      </c>
      <c r="E228" s="13">
        <f t="shared" si="225"/>
        <v>6488.859167</v>
      </c>
      <c r="F228" s="13">
        <v>301.53</v>
      </c>
    </row>
    <row r="229">
      <c r="A229" s="11">
        <v>8.0</v>
      </c>
      <c r="B229" s="12">
        <f t="shared" si="2"/>
        <v>5153.3484</v>
      </c>
      <c r="C229" s="13">
        <v>42944.57</v>
      </c>
      <c r="D229" s="13">
        <f t="shared" ref="D229:E229" si="226">B229/12</f>
        <v>429.4457</v>
      </c>
      <c r="E229" s="13">
        <f t="shared" si="226"/>
        <v>3578.714167</v>
      </c>
      <c r="F229" s="13">
        <v>738.91</v>
      </c>
    </row>
    <row r="230">
      <c r="A230" s="11">
        <v>9.0</v>
      </c>
      <c r="B230" s="12">
        <f t="shared" si="2"/>
        <v>798.4728</v>
      </c>
      <c r="C230" s="13">
        <v>6653.94</v>
      </c>
      <c r="D230" s="13">
        <f t="shared" ref="D230:E230" si="227">B230/12</f>
        <v>66.5394</v>
      </c>
      <c r="E230" s="13">
        <f t="shared" si="227"/>
        <v>554.495</v>
      </c>
      <c r="F230" s="13">
        <v>625.19</v>
      </c>
    </row>
    <row r="231">
      <c r="A231" s="11">
        <v>5.0</v>
      </c>
      <c r="B231" s="12">
        <f t="shared" si="2"/>
        <v>11899.6116</v>
      </c>
      <c r="C231" s="13">
        <v>99163.43</v>
      </c>
      <c r="D231" s="13">
        <f t="shared" ref="D231:E231" si="228">B231/12</f>
        <v>991.6343</v>
      </c>
      <c r="E231" s="13">
        <f t="shared" si="228"/>
        <v>8263.619167</v>
      </c>
      <c r="F231" s="13">
        <v>299.76</v>
      </c>
    </row>
    <row r="232">
      <c r="A232" s="11">
        <v>3.0</v>
      </c>
      <c r="B232" s="12">
        <f t="shared" si="2"/>
        <v>5.3136</v>
      </c>
      <c r="C232" s="13">
        <v>44.28</v>
      </c>
      <c r="D232" s="13">
        <f t="shared" ref="D232:E232" si="229">B232/12</f>
        <v>0.4428</v>
      </c>
      <c r="E232" s="13">
        <f t="shared" si="229"/>
        <v>3.69</v>
      </c>
      <c r="F232" s="13">
        <v>648.68</v>
      </c>
    </row>
    <row r="233">
      <c r="A233" s="11">
        <v>9.0</v>
      </c>
      <c r="B233" s="12">
        <f t="shared" si="2"/>
        <v>11434.4676</v>
      </c>
      <c r="C233" s="13">
        <v>95287.23</v>
      </c>
      <c r="D233" s="13">
        <f t="shared" ref="D233:E233" si="230">B233/12</f>
        <v>952.8723</v>
      </c>
      <c r="E233" s="13">
        <f t="shared" si="230"/>
        <v>7940.6025</v>
      </c>
      <c r="F233" s="13">
        <v>919.09</v>
      </c>
    </row>
    <row r="234">
      <c r="A234" s="11">
        <v>0.0</v>
      </c>
      <c r="B234" s="12">
        <f t="shared" si="2"/>
        <v>9539.664</v>
      </c>
      <c r="C234" s="13">
        <v>79497.2</v>
      </c>
      <c r="D234" s="13">
        <f t="shared" ref="D234:E234" si="231">B234/12</f>
        <v>794.972</v>
      </c>
      <c r="E234" s="13">
        <f t="shared" si="231"/>
        <v>6624.766667</v>
      </c>
      <c r="F234" s="13">
        <v>527.8</v>
      </c>
    </row>
    <row r="235">
      <c r="A235" s="11">
        <v>0.0</v>
      </c>
      <c r="B235" s="12">
        <f t="shared" si="2"/>
        <v>11344.8336</v>
      </c>
      <c r="C235" s="13">
        <v>94540.28</v>
      </c>
      <c r="D235" s="13">
        <f t="shared" ref="D235:E235" si="232">B235/12</f>
        <v>945.4028</v>
      </c>
      <c r="E235" s="13">
        <f t="shared" si="232"/>
        <v>7878.356667</v>
      </c>
      <c r="F235" s="13">
        <v>271.5</v>
      </c>
    </row>
    <row r="236">
      <c r="A236" s="11">
        <v>7.0</v>
      </c>
      <c r="B236" s="12">
        <f t="shared" si="2"/>
        <v>6869.9328</v>
      </c>
      <c r="C236" s="13">
        <v>57249.44</v>
      </c>
      <c r="D236" s="13">
        <f t="shared" ref="D236:E236" si="233">B236/12</f>
        <v>572.4944</v>
      </c>
      <c r="E236" s="13">
        <f t="shared" si="233"/>
        <v>4770.786667</v>
      </c>
      <c r="F236" s="13">
        <v>544.14</v>
      </c>
    </row>
    <row r="237">
      <c r="A237" s="11">
        <v>8.0</v>
      </c>
      <c r="B237" s="12">
        <f t="shared" si="2"/>
        <v>1027.2756</v>
      </c>
      <c r="C237" s="13">
        <v>8560.63</v>
      </c>
      <c r="D237" s="13">
        <f t="shared" ref="D237:E237" si="234">B237/12</f>
        <v>85.6063</v>
      </c>
      <c r="E237" s="13">
        <f t="shared" si="234"/>
        <v>713.3858333</v>
      </c>
      <c r="F237" s="13">
        <v>926.48</v>
      </c>
    </row>
    <row r="238">
      <c r="A238" s="11">
        <v>2.0</v>
      </c>
      <c r="B238" s="12">
        <f t="shared" si="2"/>
        <v>3778.4892</v>
      </c>
      <c r="C238" s="13">
        <v>31487.41</v>
      </c>
      <c r="D238" s="13">
        <f t="shared" ref="D238:E238" si="235">B238/12</f>
        <v>314.8741</v>
      </c>
      <c r="E238" s="13">
        <f t="shared" si="235"/>
        <v>2623.950833</v>
      </c>
      <c r="F238" s="13">
        <v>511.08</v>
      </c>
    </row>
    <row r="239">
      <c r="A239" s="11">
        <v>3.0</v>
      </c>
      <c r="B239" s="12">
        <f t="shared" si="2"/>
        <v>8631.6744</v>
      </c>
      <c r="C239" s="13">
        <v>71930.62</v>
      </c>
      <c r="D239" s="13">
        <f t="shared" ref="D239:E239" si="236">B239/12</f>
        <v>719.3062</v>
      </c>
      <c r="E239" s="13">
        <f t="shared" si="236"/>
        <v>5994.218333</v>
      </c>
      <c r="F239" s="13">
        <v>112.87</v>
      </c>
    </row>
    <row r="240">
      <c r="A240" s="11">
        <v>4.0</v>
      </c>
      <c r="B240" s="12">
        <f t="shared" si="2"/>
        <v>11970.6012</v>
      </c>
      <c r="C240" s="13">
        <v>99755.01</v>
      </c>
      <c r="D240" s="13">
        <f t="shared" ref="D240:E240" si="237">B240/12</f>
        <v>997.5501</v>
      </c>
      <c r="E240" s="13">
        <f t="shared" si="237"/>
        <v>8312.9175</v>
      </c>
      <c r="F240" s="13">
        <v>120.93</v>
      </c>
    </row>
    <row r="241">
      <c r="A241" s="11">
        <v>2.0</v>
      </c>
      <c r="B241" s="12">
        <f t="shared" si="2"/>
        <v>7915.9188</v>
      </c>
      <c r="C241" s="13">
        <v>65965.99</v>
      </c>
      <c r="D241" s="13">
        <f t="shared" ref="D241:E241" si="238">B241/12</f>
        <v>659.6599</v>
      </c>
      <c r="E241" s="13">
        <f t="shared" si="238"/>
        <v>5497.165833</v>
      </c>
      <c r="F241" s="13">
        <v>635.77</v>
      </c>
    </row>
    <row r="242">
      <c r="A242" s="11">
        <v>8.0</v>
      </c>
      <c r="B242" s="12">
        <f t="shared" si="2"/>
        <v>1050.7332</v>
      </c>
      <c r="C242" s="13">
        <v>8756.11</v>
      </c>
      <c r="D242" s="13">
        <f t="shared" ref="D242:E242" si="239">B242/12</f>
        <v>87.5611</v>
      </c>
      <c r="E242" s="13">
        <f t="shared" si="239"/>
        <v>729.6758333</v>
      </c>
      <c r="F242" s="13">
        <v>981.62</v>
      </c>
    </row>
    <row r="243">
      <c r="A243" s="11">
        <v>2.0</v>
      </c>
      <c r="B243" s="12">
        <f t="shared" si="2"/>
        <v>3109.554</v>
      </c>
      <c r="C243" s="13">
        <v>25912.95</v>
      </c>
      <c r="D243" s="13">
        <f t="shared" ref="D243:E243" si="240">B243/12</f>
        <v>259.1295</v>
      </c>
      <c r="E243" s="13">
        <f t="shared" si="240"/>
        <v>2159.4125</v>
      </c>
      <c r="F243" s="13">
        <v>342.17</v>
      </c>
    </row>
    <row r="244">
      <c r="A244" s="11">
        <v>1.0</v>
      </c>
      <c r="B244" s="12">
        <f t="shared" si="2"/>
        <v>165.3372</v>
      </c>
      <c r="C244" s="13">
        <v>1377.81</v>
      </c>
      <c r="D244" s="13">
        <f t="shared" ref="D244:E244" si="241">B244/12</f>
        <v>13.7781</v>
      </c>
      <c r="E244" s="13">
        <f t="shared" si="241"/>
        <v>114.8175</v>
      </c>
      <c r="F244" s="13">
        <v>915.65</v>
      </c>
    </row>
    <row r="245">
      <c r="A245" s="11">
        <v>9.0</v>
      </c>
      <c r="B245" s="12">
        <f t="shared" si="2"/>
        <v>11244.9096</v>
      </c>
      <c r="C245" s="13">
        <v>93707.58</v>
      </c>
      <c r="D245" s="13">
        <f t="shared" ref="D245:E245" si="242">B245/12</f>
        <v>937.0758</v>
      </c>
      <c r="E245" s="13">
        <f t="shared" si="242"/>
        <v>7808.965</v>
      </c>
      <c r="F245" s="13">
        <v>145.83</v>
      </c>
    </row>
    <row r="246">
      <c r="A246" s="11">
        <v>8.0</v>
      </c>
      <c r="B246" s="12">
        <f t="shared" si="2"/>
        <v>7032.4068</v>
      </c>
      <c r="C246" s="13">
        <v>58603.39</v>
      </c>
      <c r="D246" s="13">
        <f t="shared" ref="D246:E246" si="243">B246/12</f>
        <v>586.0339</v>
      </c>
      <c r="E246" s="13">
        <f t="shared" si="243"/>
        <v>4883.615833</v>
      </c>
      <c r="F246" s="13">
        <v>175.85</v>
      </c>
    </row>
    <row r="247">
      <c r="A247" s="11">
        <v>5.0</v>
      </c>
      <c r="B247" s="12">
        <f t="shared" si="2"/>
        <v>4318.1616</v>
      </c>
      <c r="C247" s="13">
        <v>35984.68</v>
      </c>
      <c r="D247" s="13">
        <f t="shared" ref="D247:E247" si="244">B247/12</f>
        <v>359.8468</v>
      </c>
      <c r="E247" s="13">
        <f t="shared" si="244"/>
        <v>2998.723333</v>
      </c>
      <c r="F247" s="13">
        <v>506.6</v>
      </c>
    </row>
    <row r="248">
      <c r="A248" s="11">
        <v>4.0</v>
      </c>
      <c r="B248" s="12">
        <f t="shared" si="2"/>
        <v>10000.0464</v>
      </c>
      <c r="C248" s="13">
        <v>83333.72</v>
      </c>
      <c r="D248" s="13">
        <f t="shared" ref="D248:E248" si="245">B248/12</f>
        <v>833.3372</v>
      </c>
      <c r="E248" s="13">
        <f t="shared" si="245"/>
        <v>6944.476667</v>
      </c>
      <c r="F248" s="13">
        <v>510.44</v>
      </c>
    </row>
    <row r="249">
      <c r="A249" s="11">
        <v>0.0</v>
      </c>
      <c r="B249" s="12">
        <f t="shared" si="2"/>
        <v>11812.3836</v>
      </c>
      <c r="C249" s="13">
        <v>98436.53</v>
      </c>
      <c r="D249" s="13">
        <f t="shared" ref="D249:E249" si="246">B249/12</f>
        <v>984.3653</v>
      </c>
      <c r="E249" s="13">
        <f t="shared" si="246"/>
        <v>8203.044167</v>
      </c>
      <c r="F249" s="13">
        <v>636.13</v>
      </c>
    </row>
    <row r="250">
      <c r="A250" s="11">
        <v>8.0</v>
      </c>
      <c r="B250" s="12">
        <f t="shared" si="2"/>
        <v>3004.884</v>
      </c>
      <c r="C250" s="13">
        <v>25040.7</v>
      </c>
      <c r="D250" s="13">
        <f t="shared" ref="D250:E250" si="247">B250/12</f>
        <v>250.407</v>
      </c>
      <c r="E250" s="13">
        <f t="shared" si="247"/>
        <v>2086.725</v>
      </c>
      <c r="F250" s="13">
        <v>880.07</v>
      </c>
    </row>
    <row r="251">
      <c r="A251" s="11">
        <v>0.0</v>
      </c>
      <c r="B251" s="12">
        <f t="shared" si="2"/>
        <v>8624.4048</v>
      </c>
      <c r="C251" s="13">
        <v>71870.04</v>
      </c>
      <c r="D251" s="13">
        <f t="shared" ref="D251:E251" si="248">B251/12</f>
        <v>718.7004</v>
      </c>
      <c r="E251" s="13">
        <f t="shared" si="248"/>
        <v>5989.17</v>
      </c>
      <c r="F251" s="13">
        <v>30.8</v>
      </c>
    </row>
    <row r="252">
      <c r="A252" s="11">
        <v>3.0</v>
      </c>
      <c r="B252" s="12">
        <f t="shared" si="2"/>
        <v>6850.6812</v>
      </c>
      <c r="C252" s="13">
        <v>57089.01</v>
      </c>
      <c r="D252" s="13">
        <f t="shared" ref="D252:E252" si="249">B252/12</f>
        <v>570.8901</v>
      </c>
      <c r="E252" s="13">
        <f t="shared" si="249"/>
        <v>4757.4175</v>
      </c>
      <c r="F252" s="13">
        <v>32.24</v>
      </c>
    </row>
    <row r="253">
      <c r="A253" s="11">
        <v>1.0</v>
      </c>
      <c r="B253" s="12">
        <f t="shared" si="2"/>
        <v>5209.0596</v>
      </c>
      <c r="C253" s="13">
        <v>43408.83</v>
      </c>
      <c r="D253" s="13">
        <f t="shared" ref="D253:E253" si="250">B253/12</f>
        <v>434.0883</v>
      </c>
      <c r="E253" s="13">
        <f t="shared" si="250"/>
        <v>3617.4025</v>
      </c>
      <c r="F253" s="13">
        <v>133.73</v>
      </c>
    </row>
    <row r="254">
      <c r="A254" s="11">
        <v>8.0</v>
      </c>
      <c r="B254" s="12">
        <f t="shared" si="2"/>
        <v>2588.0628</v>
      </c>
      <c r="C254" s="13">
        <v>21567.19</v>
      </c>
      <c r="D254" s="13">
        <f t="shared" ref="D254:E254" si="251">B254/12</f>
        <v>215.6719</v>
      </c>
      <c r="E254" s="13">
        <f t="shared" si="251"/>
        <v>1797.265833</v>
      </c>
      <c r="F254" s="13">
        <v>85.29</v>
      </c>
    </row>
    <row r="255">
      <c r="A255" s="11">
        <v>9.0</v>
      </c>
      <c r="B255" s="12">
        <f t="shared" si="2"/>
        <v>6281.2104</v>
      </c>
      <c r="C255" s="13">
        <v>52343.42</v>
      </c>
      <c r="D255" s="13">
        <f t="shared" ref="D255:E255" si="252">B255/12</f>
        <v>523.4342</v>
      </c>
      <c r="E255" s="13">
        <f t="shared" si="252"/>
        <v>4361.951667</v>
      </c>
      <c r="F255" s="13">
        <v>522.01</v>
      </c>
    </row>
    <row r="256">
      <c r="A256" s="11">
        <v>0.0</v>
      </c>
      <c r="B256" s="12">
        <f t="shared" si="2"/>
        <v>11845.758</v>
      </c>
      <c r="C256" s="13">
        <v>98714.65</v>
      </c>
      <c r="D256" s="13">
        <f t="shared" ref="D256:E256" si="253">B256/12</f>
        <v>987.1465</v>
      </c>
      <c r="E256" s="13">
        <f t="shared" si="253"/>
        <v>8226.220833</v>
      </c>
      <c r="F256" s="13">
        <v>924.99</v>
      </c>
    </row>
    <row r="257">
      <c r="A257" s="11">
        <v>2.0</v>
      </c>
      <c r="B257" s="12">
        <f t="shared" si="2"/>
        <v>3434.3196</v>
      </c>
      <c r="C257" s="13">
        <v>28619.33</v>
      </c>
      <c r="D257" s="13">
        <f t="shared" ref="D257:E257" si="254">B257/12</f>
        <v>286.1933</v>
      </c>
      <c r="E257" s="13">
        <f t="shared" si="254"/>
        <v>2384.944167</v>
      </c>
      <c r="F257" s="13">
        <v>404.93</v>
      </c>
    </row>
    <row r="258">
      <c r="A258" s="11">
        <v>1.0</v>
      </c>
      <c r="B258" s="12">
        <f t="shared" si="2"/>
        <v>6418.8072</v>
      </c>
      <c r="C258" s="13">
        <v>53490.06</v>
      </c>
      <c r="D258" s="13">
        <f t="shared" ref="D258:E258" si="255">B258/12</f>
        <v>534.9006</v>
      </c>
      <c r="E258" s="13">
        <f t="shared" si="255"/>
        <v>4457.505</v>
      </c>
      <c r="F258" s="13">
        <v>310.22</v>
      </c>
    </row>
    <row r="259">
      <c r="A259" s="11">
        <v>1.0</v>
      </c>
      <c r="B259" s="12">
        <f t="shared" si="2"/>
        <v>3419.2032</v>
      </c>
      <c r="C259" s="13">
        <v>28493.36</v>
      </c>
      <c r="D259" s="13">
        <f t="shared" ref="D259:E259" si="256">B259/12</f>
        <v>284.9336</v>
      </c>
      <c r="E259" s="13">
        <f t="shared" si="256"/>
        <v>2374.446667</v>
      </c>
      <c r="F259" s="13">
        <v>248.2</v>
      </c>
    </row>
    <row r="260">
      <c r="A260" s="11">
        <v>3.0</v>
      </c>
      <c r="B260" s="12">
        <f t="shared" si="2"/>
        <v>513.5148</v>
      </c>
      <c r="C260" s="13">
        <v>4279.29</v>
      </c>
      <c r="D260" s="13">
        <f t="shared" ref="D260:E260" si="257">B260/12</f>
        <v>42.7929</v>
      </c>
      <c r="E260" s="13">
        <f t="shared" si="257"/>
        <v>356.6075</v>
      </c>
      <c r="F260" s="13">
        <v>431.66</v>
      </c>
    </row>
    <row r="261">
      <c r="A261" s="11">
        <v>1.0</v>
      </c>
      <c r="B261" s="12">
        <f t="shared" si="2"/>
        <v>2597.712</v>
      </c>
      <c r="C261" s="13">
        <v>21647.6</v>
      </c>
      <c r="D261" s="13">
        <f t="shared" ref="D261:E261" si="258">B261/12</f>
        <v>216.476</v>
      </c>
      <c r="E261" s="13">
        <f t="shared" si="258"/>
        <v>1803.966667</v>
      </c>
      <c r="F261" s="13">
        <v>684.49</v>
      </c>
    </row>
    <row r="262">
      <c r="A262" s="11">
        <v>5.0</v>
      </c>
      <c r="B262" s="12">
        <f t="shared" si="2"/>
        <v>375.1596</v>
      </c>
      <c r="C262" s="13">
        <v>3126.33</v>
      </c>
      <c r="D262" s="13">
        <f t="shared" ref="D262:E262" si="259">B262/12</f>
        <v>31.2633</v>
      </c>
      <c r="E262" s="13">
        <f t="shared" si="259"/>
        <v>260.5275</v>
      </c>
      <c r="F262" s="13">
        <v>68.19</v>
      </c>
    </row>
    <row r="263">
      <c r="A263" s="11">
        <v>8.0</v>
      </c>
      <c r="B263" s="12">
        <f t="shared" si="2"/>
        <v>4171.962</v>
      </c>
      <c r="C263" s="13">
        <v>34766.35</v>
      </c>
      <c r="D263" s="13">
        <f t="shared" ref="D263:E263" si="260">B263/12</f>
        <v>347.6635</v>
      </c>
      <c r="E263" s="13">
        <f t="shared" si="260"/>
        <v>2897.195833</v>
      </c>
      <c r="F263" s="13">
        <v>407.5</v>
      </c>
    </row>
    <row r="264">
      <c r="A264" s="11">
        <v>3.0</v>
      </c>
      <c r="B264" s="12">
        <f t="shared" si="2"/>
        <v>2529.5208</v>
      </c>
      <c r="C264" s="13">
        <v>21079.34</v>
      </c>
      <c r="D264" s="13">
        <f t="shared" ref="D264:E264" si="261">B264/12</f>
        <v>210.7934</v>
      </c>
      <c r="E264" s="13">
        <f t="shared" si="261"/>
        <v>1756.611667</v>
      </c>
      <c r="F264" s="13">
        <v>911.07</v>
      </c>
    </row>
    <row r="265">
      <c r="A265" s="11">
        <v>1.0</v>
      </c>
      <c r="B265" s="12">
        <f t="shared" si="2"/>
        <v>6313.7832</v>
      </c>
      <c r="C265" s="13">
        <v>52614.86</v>
      </c>
      <c r="D265" s="13">
        <f t="shared" ref="D265:E265" si="262">B265/12</f>
        <v>526.1486</v>
      </c>
      <c r="E265" s="13">
        <f t="shared" si="262"/>
        <v>4384.571667</v>
      </c>
      <c r="F265" s="13">
        <v>172.87</v>
      </c>
    </row>
    <row r="266">
      <c r="A266" s="11">
        <v>3.0</v>
      </c>
      <c r="B266" s="12">
        <f t="shared" si="2"/>
        <v>2370.732</v>
      </c>
      <c r="C266" s="13">
        <v>19756.1</v>
      </c>
      <c r="D266" s="13">
        <f t="shared" ref="D266:E266" si="263">B266/12</f>
        <v>197.561</v>
      </c>
      <c r="E266" s="13">
        <f t="shared" si="263"/>
        <v>1646.341667</v>
      </c>
      <c r="F266" s="13">
        <v>593.15</v>
      </c>
    </row>
    <row r="267">
      <c r="A267" s="11">
        <v>9.0</v>
      </c>
      <c r="B267" s="12">
        <f t="shared" si="2"/>
        <v>11990.262</v>
      </c>
      <c r="C267" s="13">
        <v>99918.85</v>
      </c>
      <c r="D267" s="13">
        <f t="shared" ref="D267:E267" si="264">B267/12</f>
        <v>999.1885</v>
      </c>
      <c r="E267" s="13">
        <f t="shared" si="264"/>
        <v>8326.570833</v>
      </c>
      <c r="F267" s="13">
        <v>113.64</v>
      </c>
    </row>
    <row r="268">
      <c r="A268" s="11">
        <v>5.0</v>
      </c>
      <c r="B268" s="12">
        <f t="shared" si="2"/>
        <v>4244.2536</v>
      </c>
      <c r="C268" s="13">
        <v>35368.78</v>
      </c>
      <c r="D268" s="13">
        <f t="shared" ref="D268:E268" si="265">B268/12</f>
        <v>353.6878</v>
      </c>
      <c r="E268" s="13">
        <f t="shared" si="265"/>
        <v>2947.398333</v>
      </c>
      <c r="F268" s="13">
        <v>927.62</v>
      </c>
    </row>
    <row r="269">
      <c r="A269" s="11">
        <v>7.0</v>
      </c>
      <c r="B269" s="12">
        <f t="shared" si="2"/>
        <v>10445.2884</v>
      </c>
      <c r="C269" s="13">
        <v>87044.07</v>
      </c>
      <c r="D269" s="13">
        <f t="shared" ref="D269:E269" si="266">B269/12</f>
        <v>870.4407</v>
      </c>
      <c r="E269" s="13">
        <f t="shared" si="266"/>
        <v>7253.6725</v>
      </c>
      <c r="F269" s="13">
        <v>505.0</v>
      </c>
    </row>
    <row r="270">
      <c r="A270" s="11">
        <v>7.0</v>
      </c>
      <c r="B270" s="12">
        <f t="shared" si="2"/>
        <v>8061.5868</v>
      </c>
      <c r="C270" s="13">
        <v>67179.89</v>
      </c>
      <c r="D270" s="13">
        <f t="shared" ref="D270:E270" si="267">B270/12</f>
        <v>671.7989</v>
      </c>
      <c r="E270" s="13">
        <f t="shared" si="267"/>
        <v>5598.324167</v>
      </c>
      <c r="F270" s="13">
        <v>280.73</v>
      </c>
    </row>
    <row r="271">
      <c r="A271" s="11">
        <v>9.0</v>
      </c>
      <c r="B271" s="12">
        <f t="shared" si="2"/>
        <v>6894.18</v>
      </c>
      <c r="C271" s="13">
        <v>57451.5</v>
      </c>
      <c r="D271" s="13">
        <f t="shared" ref="D271:E271" si="268">B271/12</f>
        <v>574.515</v>
      </c>
      <c r="E271" s="13">
        <f t="shared" si="268"/>
        <v>4787.625</v>
      </c>
      <c r="F271" s="13">
        <v>723.87</v>
      </c>
    </row>
    <row r="272">
      <c r="A272" s="11">
        <v>0.0</v>
      </c>
      <c r="B272" s="12">
        <f t="shared" si="2"/>
        <v>7150.7256</v>
      </c>
      <c r="C272" s="13">
        <v>59589.38</v>
      </c>
      <c r="D272" s="13">
        <f t="shared" ref="D272:E272" si="269">B272/12</f>
        <v>595.8938</v>
      </c>
      <c r="E272" s="13">
        <f t="shared" si="269"/>
        <v>4965.781667</v>
      </c>
      <c r="F272" s="13">
        <v>145.36</v>
      </c>
    </row>
    <row r="273">
      <c r="A273" s="11">
        <v>4.0</v>
      </c>
      <c r="B273" s="12">
        <f t="shared" si="2"/>
        <v>11375.9772</v>
      </c>
      <c r="C273" s="13">
        <v>94799.81</v>
      </c>
      <c r="D273" s="13">
        <f t="shared" ref="D273:E273" si="270">B273/12</f>
        <v>947.9981</v>
      </c>
      <c r="E273" s="13">
        <f t="shared" si="270"/>
        <v>7899.984167</v>
      </c>
      <c r="F273" s="13">
        <v>637.1</v>
      </c>
    </row>
    <row r="274">
      <c r="A274" s="11">
        <v>1.0</v>
      </c>
      <c r="B274" s="12">
        <f t="shared" si="2"/>
        <v>7311.132</v>
      </c>
      <c r="C274" s="13">
        <v>60926.1</v>
      </c>
      <c r="D274" s="13">
        <f t="shared" ref="D274:E274" si="271">B274/12</f>
        <v>609.261</v>
      </c>
      <c r="E274" s="13">
        <f t="shared" si="271"/>
        <v>5077.175</v>
      </c>
      <c r="F274" s="13">
        <v>636.62</v>
      </c>
    </row>
    <row r="275">
      <c r="A275" s="11">
        <v>5.0</v>
      </c>
      <c r="B275" s="12">
        <f t="shared" si="2"/>
        <v>9362.004</v>
      </c>
      <c r="C275" s="13">
        <v>78016.7</v>
      </c>
      <c r="D275" s="13">
        <f t="shared" ref="D275:E275" si="272">B275/12</f>
        <v>780.167</v>
      </c>
      <c r="E275" s="13">
        <f t="shared" si="272"/>
        <v>6501.391667</v>
      </c>
      <c r="F275" s="13">
        <v>40.93</v>
      </c>
    </row>
    <row r="276">
      <c r="A276" s="11">
        <v>1.0</v>
      </c>
      <c r="B276" s="12">
        <f t="shared" si="2"/>
        <v>11272.47</v>
      </c>
      <c r="C276" s="13">
        <v>93937.25</v>
      </c>
      <c r="D276" s="13">
        <f t="shared" ref="D276:E276" si="273">B276/12</f>
        <v>939.3725</v>
      </c>
      <c r="E276" s="13">
        <f t="shared" si="273"/>
        <v>7828.104167</v>
      </c>
      <c r="F276" s="13">
        <v>218.64</v>
      </c>
    </row>
    <row r="277">
      <c r="A277" s="11">
        <v>1.0</v>
      </c>
      <c r="B277" s="12">
        <f t="shared" si="2"/>
        <v>11353.2564</v>
      </c>
      <c r="C277" s="13">
        <v>94610.47</v>
      </c>
      <c r="D277" s="13">
        <f t="shared" ref="D277:E277" si="274">B277/12</f>
        <v>946.1047</v>
      </c>
      <c r="E277" s="13">
        <f t="shared" si="274"/>
        <v>7884.205833</v>
      </c>
      <c r="F277" s="13">
        <v>714.9</v>
      </c>
    </row>
    <row r="278">
      <c r="A278" s="11">
        <v>2.0</v>
      </c>
      <c r="B278" s="12">
        <f t="shared" si="2"/>
        <v>4534.9968</v>
      </c>
      <c r="C278" s="13">
        <v>37791.64</v>
      </c>
      <c r="D278" s="13">
        <f t="shared" ref="D278:E278" si="275">B278/12</f>
        <v>377.9164</v>
      </c>
      <c r="E278" s="13">
        <f t="shared" si="275"/>
        <v>3149.303333</v>
      </c>
      <c r="F278" s="13">
        <v>736.33</v>
      </c>
    </row>
    <row r="279">
      <c r="A279" s="11">
        <v>4.0</v>
      </c>
      <c r="B279" s="12">
        <f t="shared" si="2"/>
        <v>4144.3668</v>
      </c>
      <c r="C279" s="13">
        <v>34536.39</v>
      </c>
      <c r="D279" s="13">
        <f t="shared" ref="D279:E279" si="276">B279/12</f>
        <v>345.3639</v>
      </c>
      <c r="E279" s="13">
        <f t="shared" si="276"/>
        <v>2878.0325</v>
      </c>
      <c r="F279" s="13">
        <v>38.05</v>
      </c>
    </row>
    <row r="280">
      <c r="A280" s="11">
        <v>6.0</v>
      </c>
      <c r="B280" s="12">
        <f t="shared" si="2"/>
        <v>951.978</v>
      </c>
      <c r="C280" s="13">
        <v>7933.15</v>
      </c>
      <c r="D280" s="13">
        <f t="shared" ref="D280:E280" si="277">B280/12</f>
        <v>79.3315</v>
      </c>
      <c r="E280" s="13">
        <f t="shared" si="277"/>
        <v>661.0958333</v>
      </c>
      <c r="F280" s="13">
        <v>975.01</v>
      </c>
    </row>
    <row r="281">
      <c r="A281" s="11">
        <v>8.0</v>
      </c>
      <c r="B281" s="12">
        <f t="shared" si="2"/>
        <v>6702.2016</v>
      </c>
      <c r="C281" s="13">
        <v>55851.68</v>
      </c>
      <c r="D281" s="13">
        <f t="shared" ref="D281:E281" si="278">B281/12</f>
        <v>558.5168</v>
      </c>
      <c r="E281" s="13">
        <f t="shared" si="278"/>
        <v>4654.306667</v>
      </c>
      <c r="F281" s="13">
        <v>891.52</v>
      </c>
    </row>
    <row r="282">
      <c r="A282" s="11">
        <v>3.0</v>
      </c>
      <c r="B282" s="12">
        <f t="shared" si="2"/>
        <v>9633.6348</v>
      </c>
      <c r="C282" s="13">
        <v>80280.29</v>
      </c>
      <c r="D282" s="13">
        <f t="shared" ref="D282:E282" si="279">B282/12</f>
        <v>802.8029</v>
      </c>
      <c r="E282" s="13">
        <f t="shared" si="279"/>
        <v>6690.024167</v>
      </c>
      <c r="F282" s="13">
        <v>67.24</v>
      </c>
    </row>
    <row r="283">
      <c r="A283" s="11">
        <v>6.0</v>
      </c>
      <c r="B283" s="12">
        <f t="shared" si="2"/>
        <v>7685.7624</v>
      </c>
      <c r="C283" s="13">
        <v>64048.02</v>
      </c>
      <c r="D283" s="13">
        <f t="shared" ref="D283:E283" si="280">B283/12</f>
        <v>640.4802</v>
      </c>
      <c r="E283" s="13">
        <f t="shared" si="280"/>
        <v>5337.335</v>
      </c>
      <c r="F283" s="13">
        <v>457.88</v>
      </c>
    </row>
    <row r="284">
      <c r="A284" s="11">
        <v>2.0</v>
      </c>
      <c r="B284" s="12">
        <f t="shared" si="2"/>
        <v>788.772</v>
      </c>
      <c r="C284" s="13">
        <v>6573.1</v>
      </c>
      <c r="D284" s="13">
        <f t="shared" ref="D284:E284" si="281">B284/12</f>
        <v>65.731</v>
      </c>
      <c r="E284" s="13">
        <f t="shared" si="281"/>
        <v>547.7583333</v>
      </c>
      <c r="F284" s="13">
        <v>792.1</v>
      </c>
    </row>
    <row r="285">
      <c r="A285" s="11">
        <v>9.0</v>
      </c>
      <c r="B285" s="12">
        <f t="shared" si="2"/>
        <v>4705.9056</v>
      </c>
      <c r="C285" s="13">
        <v>39215.88</v>
      </c>
      <c r="D285" s="13">
        <f t="shared" ref="D285:E285" si="282">B285/12</f>
        <v>392.1588</v>
      </c>
      <c r="E285" s="13">
        <f t="shared" si="282"/>
        <v>3267.99</v>
      </c>
      <c r="F285" s="13">
        <v>236.08</v>
      </c>
    </row>
    <row r="286">
      <c r="A286" s="11">
        <v>0.0</v>
      </c>
      <c r="B286" s="12">
        <f t="shared" si="2"/>
        <v>9960.9576</v>
      </c>
      <c r="C286" s="13">
        <v>83007.98</v>
      </c>
      <c r="D286" s="13">
        <f t="shared" ref="D286:E286" si="283">B286/12</f>
        <v>830.0798</v>
      </c>
      <c r="E286" s="13">
        <f t="shared" si="283"/>
        <v>6917.331667</v>
      </c>
      <c r="F286" s="13">
        <v>120.25</v>
      </c>
    </row>
    <row r="287">
      <c r="A287" s="11">
        <v>7.0</v>
      </c>
      <c r="B287" s="12">
        <f t="shared" si="2"/>
        <v>6589.1928</v>
      </c>
      <c r="C287" s="13">
        <v>54909.94</v>
      </c>
      <c r="D287" s="13">
        <f t="shared" ref="D287:E287" si="284">B287/12</f>
        <v>549.0994</v>
      </c>
      <c r="E287" s="13">
        <f t="shared" si="284"/>
        <v>4575.828333</v>
      </c>
      <c r="F287" s="13">
        <v>17.59</v>
      </c>
    </row>
    <row r="288">
      <c r="A288" s="11">
        <v>1.0</v>
      </c>
      <c r="B288" s="12">
        <f t="shared" si="2"/>
        <v>10064.436</v>
      </c>
      <c r="C288" s="13">
        <v>83870.3</v>
      </c>
      <c r="D288" s="13">
        <f t="shared" ref="D288:E288" si="285">B288/12</f>
        <v>838.703</v>
      </c>
      <c r="E288" s="13">
        <f t="shared" si="285"/>
        <v>6989.191667</v>
      </c>
      <c r="F288" s="13">
        <v>14.36</v>
      </c>
    </row>
    <row r="289">
      <c r="A289" s="11">
        <v>4.0</v>
      </c>
      <c r="B289" s="12">
        <f t="shared" si="2"/>
        <v>3136.0776</v>
      </c>
      <c r="C289" s="13">
        <v>26133.98</v>
      </c>
      <c r="D289" s="13">
        <f t="shared" ref="D289:E289" si="286">B289/12</f>
        <v>261.3398</v>
      </c>
      <c r="E289" s="13">
        <f t="shared" si="286"/>
        <v>2177.831667</v>
      </c>
      <c r="F289" s="13">
        <v>485.82</v>
      </c>
    </row>
    <row r="290">
      <c r="A290" s="11">
        <v>0.0</v>
      </c>
      <c r="B290" s="12">
        <f t="shared" si="2"/>
        <v>3697.8576</v>
      </c>
      <c r="C290" s="13">
        <v>30815.48</v>
      </c>
      <c r="D290" s="13">
        <f t="shared" ref="D290:E290" si="287">B290/12</f>
        <v>308.1548</v>
      </c>
      <c r="E290" s="13">
        <f t="shared" si="287"/>
        <v>2567.956667</v>
      </c>
      <c r="F290" s="13">
        <v>636.56</v>
      </c>
    </row>
    <row r="291">
      <c r="A291" s="11">
        <v>4.0</v>
      </c>
      <c r="B291" s="12">
        <f t="shared" si="2"/>
        <v>2024.9952</v>
      </c>
      <c r="C291" s="13">
        <v>16874.96</v>
      </c>
      <c r="D291" s="13">
        <f t="shared" ref="D291:E291" si="288">B291/12</f>
        <v>168.7496</v>
      </c>
      <c r="E291" s="13">
        <f t="shared" si="288"/>
        <v>1406.246667</v>
      </c>
      <c r="F291" s="13">
        <v>844.61</v>
      </c>
    </row>
    <row r="292">
      <c r="A292" s="11">
        <v>1.0</v>
      </c>
      <c r="B292" s="12">
        <f t="shared" si="2"/>
        <v>9453.3684</v>
      </c>
      <c r="C292" s="13">
        <v>78778.07</v>
      </c>
      <c r="D292" s="13">
        <f t="shared" ref="D292:E292" si="289">B292/12</f>
        <v>787.7807</v>
      </c>
      <c r="E292" s="13">
        <f t="shared" si="289"/>
        <v>6564.839167</v>
      </c>
      <c r="F292" s="13">
        <v>291.89</v>
      </c>
    </row>
    <row r="293">
      <c r="A293" s="11">
        <v>6.0</v>
      </c>
      <c r="B293" s="12">
        <f t="shared" si="2"/>
        <v>418.4532</v>
      </c>
      <c r="C293" s="13">
        <v>3487.11</v>
      </c>
      <c r="D293" s="13">
        <f t="shared" ref="D293:E293" si="290">B293/12</f>
        <v>34.8711</v>
      </c>
      <c r="E293" s="13">
        <f t="shared" si="290"/>
        <v>290.5925</v>
      </c>
      <c r="F293" s="13">
        <v>306.82</v>
      </c>
    </row>
    <row r="294">
      <c r="A294" s="11">
        <v>7.0</v>
      </c>
      <c r="B294" s="12">
        <f t="shared" si="2"/>
        <v>2528.9664</v>
      </c>
      <c r="C294" s="13">
        <v>21074.72</v>
      </c>
      <c r="D294" s="13">
        <f t="shared" ref="D294:E294" si="291">B294/12</f>
        <v>210.7472</v>
      </c>
      <c r="E294" s="13">
        <f t="shared" si="291"/>
        <v>1756.226667</v>
      </c>
      <c r="F294" s="13">
        <v>316.69</v>
      </c>
    </row>
    <row r="295">
      <c r="A295" s="11">
        <v>6.0</v>
      </c>
      <c r="B295" s="12">
        <f t="shared" si="2"/>
        <v>1271.2128</v>
      </c>
      <c r="C295" s="13">
        <v>10593.44</v>
      </c>
      <c r="D295" s="13">
        <f t="shared" ref="D295:E295" si="292">B295/12</f>
        <v>105.9344</v>
      </c>
      <c r="E295" s="13">
        <f t="shared" si="292"/>
        <v>882.7866667</v>
      </c>
      <c r="F295" s="13">
        <v>269.15</v>
      </c>
    </row>
    <row r="296">
      <c r="A296" s="11">
        <v>6.0</v>
      </c>
      <c r="B296" s="12">
        <f t="shared" si="2"/>
        <v>9947.5464</v>
      </c>
      <c r="C296" s="13">
        <v>82896.22</v>
      </c>
      <c r="D296" s="13">
        <f t="shared" ref="D296:E296" si="293">B296/12</f>
        <v>828.9622</v>
      </c>
      <c r="E296" s="13">
        <f t="shared" si="293"/>
        <v>6908.018333</v>
      </c>
      <c r="F296" s="13">
        <v>398.87</v>
      </c>
    </row>
    <row r="297">
      <c r="A297" s="11">
        <v>5.0</v>
      </c>
      <c r="B297" s="12">
        <f t="shared" si="2"/>
        <v>11669.1408</v>
      </c>
      <c r="C297" s="13">
        <v>97242.84</v>
      </c>
      <c r="D297" s="13">
        <f t="shared" ref="D297:E297" si="294">B297/12</f>
        <v>972.4284</v>
      </c>
      <c r="E297" s="13">
        <f t="shared" si="294"/>
        <v>8103.57</v>
      </c>
      <c r="F297" s="13">
        <v>115.72</v>
      </c>
    </row>
    <row r="298">
      <c r="A298" s="11">
        <v>0.0</v>
      </c>
      <c r="B298" s="12">
        <f t="shared" si="2"/>
        <v>1429.4724</v>
      </c>
      <c r="C298" s="13">
        <v>11912.27</v>
      </c>
      <c r="D298" s="13">
        <f t="shared" ref="D298:E298" si="295">B298/12</f>
        <v>119.1227</v>
      </c>
      <c r="E298" s="13">
        <f t="shared" si="295"/>
        <v>992.6891667</v>
      </c>
      <c r="F298" s="13">
        <v>576.08</v>
      </c>
    </row>
    <row r="299">
      <c r="A299" s="11">
        <v>8.0</v>
      </c>
      <c r="B299" s="12">
        <f t="shared" si="2"/>
        <v>5478.2316</v>
      </c>
      <c r="C299" s="13">
        <v>45651.93</v>
      </c>
      <c r="D299" s="13">
        <f t="shared" ref="D299:E299" si="296">B299/12</f>
        <v>456.5193</v>
      </c>
      <c r="E299" s="13">
        <f t="shared" si="296"/>
        <v>3804.3275</v>
      </c>
      <c r="F299" s="13">
        <v>592.31</v>
      </c>
    </row>
    <row r="300">
      <c r="A300" s="11">
        <v>4.0</v>
      </c>
      <c r="B300" s="12">
        <f t="shared" si="2"/>
        <v>6846.3504</v>
      </c>
      <c r="C300" s="13">
        <v>57052.92</v>
      </c>
      <c r="D300" s="13">
        <f t="shared" ref="D300:E300" si="297">B300/12</f>
        <v>570.5292</v>
      </c>
      <c r="E300" s="13">
        <f t="shared" si="297"/>
        <v>4754.41</v>
      </c>
      <c r="F300" s="13">
        <v>33.34</v>
      </c>
    </row>
    <row r="301">
      <c r="A301" s="11">
        <v>1.0</v>
      </c>
      <c r="B301" s="12">
        <f t="shared" si="2"/>
        <v>546.0252</v>
      </c>
      <c r="C301" s="13">
        <v>4550.21</v>
      </c>
      <c r="D301" s="13">
        <f t="shared" ref="D301:E301" si="298">B301/12</f>
        <v>45.5021</v>
      </c>
      <c r="E301" s="13">
        <f t="shared" si="298"/>
        <v>379.1841667</v>
      </c>
      <c r="F301" s="13">
        <v>681.68</v>
      </c>
    </row>
    <row r="302">
      <c r="A302" s="11">
        <v>6.0</v>
      </c>
      <c r="B302" s="12">
        <f t="shared" si="2"/>
        <v>10144.6524</v>
      </c>
      <c r="C302" s="13">
        <v>84538.77</v>
      </c>
      <c r="D302" s="13">
        <f t="shared" ref="D302:E302" si="299">B302/12</f>
        <v>845.3877</v>
      </c>
      <c r="E302" s="13">
        <f t="shared" si="299"/>
        <v>7044.8975</v>
      </c>
      <c r="F302" s="13">
        <v>203.63</v>
      </c>
    </row>
    <row r="303">
      <c r="A303" s="11">
        <v>4.0</v>
      </c>
      <c r="B303" s="12">
        <f t="shared" si="2"/>
        <v>7524.2316</v>
      </c>
      <c r="C303" s="13">
        <v>62701.93</v>
      </c>
      <c r="D303" s="13">
        <f t="shared" ref="D303:E303" si="300">B303/12</f>
        <v>627.0193</v>
      </c>
      <c r="E303" s="13">
        <f t="shared" si="300"/>
        <v>5225.160833</v>
      </c>
      <c r="F303" s="13">
        <v>312.89</v>
      </c>
    </row>
    <row r="304">
      <c r="A304" s="11">
        <v>0.0</v>
      </c>
      <c r="B304" s="12">
        <f t="shared" si="2"/>
        <v>8457.2484</v>
      </c>
      <c r="C304" s="13">
        <v>70477.07</v>
      </c>
      <c r="D304" s="13">
        <f t="shared" ref="D304:E304" si="301">B304/12</f>
        <v>704.7707</v>
      </c>
      <c r="E304" s="13">
        <f t="shared" si="301"/>
        <v>5873.089167</v>
      </c>
      <c r="F304" s="13">
        <v>463.67</v>
      </c>
    </row>
    <row r="305">
      <c r="A305" s="11">
        <v>6.0</v>
      </c>
      <c r="B305" s="12">
        <f t="shared" si="2"/>
        <v>667.0512</v>
      </c>
      <c r="C305" s="13">
        <v>5558.76</v>
      </c>
      <c r="D305" s="13">
        <f t="shared" ref="D305:E305" si="302">B305/12</f>
        <v>55.5876</v>
      </c>
      <c r="E305" s="13">
        <f t="shared" si="302"/>
        <v>463.23</v>
      </c>
      <c r="F305" s="13">
        <v>961.35</v>
      </c>
    </row>
    <row r="306">
      <c r="A306" s="11">
        <v>5.0</v>
      </c>
      <c r="B306" s="12">
        <f t="shared" si="2"/>
        <v>574.2048</v>
      </c>
      <c r="C306" s="13">
        <v>4785.04</v>
      </c>
      <c r="D306" s="13">
        <f t="shared" ref="D306:E306" si="303">B306/12</f>
        <v>47.8504</v>
      </c>
      <c r="E306" s="13">
        <f t="shared" si="303"/>
        <v>398.7533333</v>
      </c>
      <c r="F306" s="13">
        <v>791.0</v>
      </c>
    </row>
    <row r="307">
      <c r="A307" s="11">
        <v>7.0</v>
      </c>
      <c r="B307" s="12">
        <f t="shared" si="2"/>
        <v>1609.2348</v>
      </c>
      <c r="C307" s="13">
        <v>13410.29</v>
      </c>
      <c r="D307" s="13">
        <f t="shared" ref="D307:E307" si="304">B307/12</f>
        <v>134.1029</v>
      </c>
      <c r="E307" s="13">
        <f t="shared" si="304"/>
        <v>1117.524167</v>
      </c>
      <c r="F307" s="13">
        <v>326.5</v>
      </c>
    </row>
    <row r="308">
      <c r="A308" s="11">
        <v>0.0</v>
      </c>
      <c r="B308" s="12">
        <f t="shared" si="2"/>
        <v>813.0792</v>
      </c>
      <c r="C308" s="13">
        <v>6775.66</v>
      </c>
      <c r="D308" s="13">
        <f t="shared" ref="D308:E308" si="305">B308/12</f>
        <v>67.7566</v>
      </c>
      <c r="E308" s="13">
        <f t="shared" si="305"/>
        <v>564.6383333</v>
      </c>
      <c r="F308" s="13">
        <v>126.68</v>
      </c>
    </row>
    <row r="309">
      <c r="A309" s="11">
        <v>9.0</v>
      </c>
      <c r="B309" s="12">
        <f t="shared" si="2"/>
        <v>1056.6612</v>
      </c>
      <c r="C309" s="13">
        <v>8805.51</v>
      </c>
      <c r="D309" s="13">
        <f t="shared" ref="D309:E309" si="306">B309/12</f>
        <v>88.0551</v>
      </c>
      <c r="E309" s="13">
        <f t="shared" si="306"/>
        <v>733.7925</v>
      </c>
      <c r="F309" s="13">
        <v>910.27</v>
      </c>
    </row>
    <row r="310">
      <c r="A310" s="11">
        <v>5.0</v>
      </c>
      <c r="B310" s="12">
        <f t="shared" si="2"/>
        <v>7791.6696</v>
      </c>
      <c r="C310" s="13">
        <v>64930.58</v>
      </c>
      <c r="D310" s="13">
        <f t="shared" ref="D310:E310" si="307">B310/12</f>
        <v>649.3058</v>
      </c>
      <c r="E310" s="13">
        <f t="shared" si="307"/>
        <v>5410.881667</v>
      </c>
      <c r="F310" s="13">
        <v>818.85</v>
      </c>
    </row>
    <row r="311">
      <c r="A311" s="11">
        <v>1.0</v>
      </c>
      <c r="B311" s="12">
        <f t="shared" si="2"/>
        <v>3778.3968</v>
      </c>
      <c r="C311" s="13">
        <v>31486.64</v>
      </c>
      <c r="D311" s="13">
        <f t="shared" ref="D311:E311" si="308">B311/12</f>
        <v>314.8664</v>
      </c>
      <c r="E311" s="13">
        <f t="shared" si="308"/>
        <v>2623.886667</v>
      </c>
      <c r="F311" s="13">
        <v>966.77</v>
      </c>
    </row>
    <row r="312">
      <c r="A312" s="11">
        <v>8.0</v>
      </c>
      <c r="B312" s="12">
        <f t="shared" si="2"/>
        <v>4393.4364</v>
      </c>
      <c r="C312" s="13">
        <v>36611.97</v>
      </c>
      <c r="D312" s="13">
        <f t="shared" ref="D312:E312" si="309">B312/12</f>
        <v>366.1197</v>
      </c>
      <c r="E312" s="13">
        <f t="shared" si="309"/>
        <v>3050.9975</v>
      </c>
      <c r="F312" s="13">
        <v>683.79</v>
      </c>
    </row>
    <row r="313">
      <c r="A313" s="11">
        <v>9.0</v>
      </c>
      <c r="B313" s="12">
        <f t="shared" si="2"/>
        <v>6673.3968</v>
      </c>
      <c r="C313" s="13">
        <v>55611.64</v>
      </c>
      <c r="D313" s="13">
        <f t="shared" ref="D313:E313" si="310">B313/12</f>
        <v>556.1164</v>
      </c>
      <c r="E313" s="13">
        <f t="shared" si="310"/>
        <v>4634.303333</v>
      </c>
      <c r="F313" s="13">
        <v>583.97</v>
      </c>
    </row>
    <row r="314">
      <c r="A314" s="11">
        <v>7.0</v>
      </c>
      <c r="B314" s="12">
        <f t="shared" si="2"/>
        <v>3124.1088</v>
      </c>
      <c r="C314" s="13">
        <v>26034.24</v>
      </c>
      <c r="D314" s="13">
        <f t="shared" ref="D314:E314" si="311">B314/12</f>
        <v>260.3424</v>
      </c>
      <c r="E314" s="13">
        <f t="shared" si="311"/>
        <v>2169.52</v>
      </c>
      <c r="F314" s="13">
        <v>863.2</v>
      </c>
    </row>
    <row r="315">
      <c r="A315" s="11">
        <v>1.0</v>
      </c>
      <c r="B315" s="12">
        <f t="shared" si="2"/>
        <v>1516.4844</v>
      </c>
      <c r="C315" s="13">
        <v>12637.37</v>
      </c>
      <c r="D315" s="13">
        <f t="shared" ref="D315:E315" si="312">B315/12</f>
        <v>126.3737</v>
      </c>
      <c r="E315" s="13">
        <f t="shared" si="312"/>
        <v>1053.114167</v>
      </c>
      <c r="F315" s="13">
        <v>521.77</v>
      </c>
    </row>
    <row r="316">
      <c r="A316" s="11">
        <v>9.0</v>
      </c>
      <c r="B316" s="12">
        <f t="shared" si="2"/>
        <v>8346.4356</v>
      </c>
      <c r="C316" s="13">
        <v>69553.63</v>
      </c>
      <c r="D316" s="13">
        <f t="shared" ref="D316:E316" si="313">B316/12</f>
        <v>695.5363</v>
      </c>
      <c r="E316" s="13">
        <f t="shared" si="313"/>
        <v>5796.135833</v>
      </c>
      <c r="F316" s="13">
        <v>842.75</v>
      </c>
    </row>
    <row r="317">
      <c r="A317" s="11">
        <v>6.0</v>
      </c>
      <c r="B317" s="12">
        <f t="shared" si="2"/>
        <v>340.4652</v>
      </c>
      <c r="C317" s="13">
        <v>2837.21</v>
      </c>
      <c r="D317" s="13">
        <f t="shared" ref="D317:E317" si="314">B317/12</f>
        <v>28.3721</v>
      </c>
      <c r="E317" s="13">
        <f t="shared" si="314"/>
        <v>236.4341667</v>
      </c>
      <c r="F317" s="13">
        <v>526.29</v>
      </c>
    </row>
    <row r="318">
      <c r="A318" s="11">
        <v>9.0</v>
      </c>
      <c r="B318" s="12">
        <f t="shared" si="2"/>
        <v>5370.6372</v>
      </c>
      <c r="C318" s="13">
        <v>44755.31</v>
      </c>
      <c r="D318" s="13">
        <f t="shared" ref="D318:E318" si="315">B318/12</f>
        <v>447.5531</v>
      </c>
      <c r="E318" s="13">
        <f t="shared" si="315"/>
        <v>3729.609167</v>
      </c>
      <c r="F318" s="13">
        <v>193.03</v>
      </c>
    </row>
    <row r="319">
      <c r="A319" s="11">
        <v>4.0</v>
      </c>
      <c r="B319" s="12">
        <f t="shared" si="2"/>
        <v>1725.6456</v>
      </c>
      <c r="C319" s="13">
        <v>14380.38</v>
      </c>
      <c r="D319" s="13">
        <f t="shared" ref="D319:E319" si="316">B319/12</f>
        <v>143.8038</v>
      </c>
      <c r="E319" s="13">
        <f t="shared" si="316"/>
        <v>1198.365</v>
      </c>
      <c r="F319" s="13">
        <v>48.46</v>
      </c>
    </row>
    <row r="320">
      <c r="A320" s="11">
        <v>3.0</v>
      </c>
      <c r="B320" s="12">
        <f t="shared" si="2"/>
        <v>6813.0708</v>
      </c>
      <c r="C320" s="13">
        <v>56775.59</v>
      </c>
      <c r="D320" s="13">
        <f t="shared" ref="D320:E320" si="317">B320/12</f>
        <v>567.7559</v>
      </c>
      <c r="E320" s="13">
        <f t="shared" si="317"/>
        <v>4731.299167</v>
      </c>
      <c r="F320" s="13">
        <v>675.26</v>
      </c>
    </row>
    <row r="321">
      <c r="A321" s="11">
        <v>8.0</v>
      </c>
      <c r="B321" s="12">
        <f t="shared" si="2"/>
        <v>9001.098</v>
      </c>
      <c r="C321" s="13">
        <v>75009.15</v>
      </c>
      <c r="D321" s="13">
        <f t="shared" ref="D321:E321" si="318">B321/12</f>
        <v>750.0915</v>
      </c>
      <c r="E321" s="13">
        <f t="shared" si="318"/>
        <v>6250.7625</v>
      </c>
      <c r="F321" s="13">
        <v>725.21</v>
      </c>
    </row>
    <row r="322">
      <c r="A322" s="11">
        <v>3.0</v>
      </c>
      <c r="B322" s="12">
        <f t="shared" si="2"/>
        <v>7235.0808</v>
      </c>
      <c r="C322" s="13">
        <v>60292.34</v>
      </c>
      <c r="D322" s="13">
        <f t="shared" ref="D322:E322" si="319">B322/12</f>
        <v>602.9234</v>
      </c>
      <c r="E322" s="13">
        <f t="shared" si="319"/>
        <v>5024.361667</v>
      </c>
      <c r="F322" s="13">
        <v>855.23</v>
      </c>
    </row>
    <row r="323">
      <c r="A323" s="11">
        <v>7.0</v>
      </c>
      <c r="B323" s="12">
        <f t="shared" si="2"/>
        <v>1698.462</v>
      </c>
      <c r="C323" s="13">
        <v>14153.85</v>
      </c>
      <c r="D323" s="13">
        <f t="shared" ref="D323:E323" si="320">B323/12</f>
        <v>141.5385</v>
      </c>
      <c r="E323" s="13">
        <f t="shared" si="320"/>
        <v>1179.4875</v>
      </c>
      <c r="F323" s="13">
        <v>306.07</v>
      </c>
    </row>
    <row r="324">
      <c r="A324" s="11">
        <v>8.0</v>
      </c>
      <c r="B324" s="12">
        <f t="shared" si="2"/>
        <v>2433.4956</v>
      </c>
      <c r="C324" s="13">
        <v>20279.13</v>
      </c>
      <c r="D324" s="13">
        <f t="shared" ref="D324:E324" si="321">B324/12</f>
        <v>202.7913</v>
      </c>
      <c r="E324" s="13">
        <f t="shared" si="321"/>
        <v>1689.9275</v>
      </c>
      <c r="F324" s="13">
        <v>707.18</v>
      </c>
    </row>
    <row r="325">
      <c r="A325" s="11">
        <v>4.0</v>
      </c>
      <c r="B325" s="12">
        <f t="shared" si="2"/>
        <v>9689.7768</v>
      </c>
      <c r="C325" s="13">
        <v>80748.14</v>
      </c>
      <c r="D325" s="13">
        <f t="shared" ref="D325:E325" si="322">B325/12</f>
        <v>807.4814</v>
      </c>
      <c r="E325" s="13">
        <f t="shared" si="322"/>
        <v>6729.011667</v>
      </c>
      <c r="F325" s="13">
        <v>354.1</v>
      </c>
    </row>
    <row r="326">
      <c r="A326" s="11">
        <v>9.0</v>
      </c>
      <c r="B326" s="12">
        <f t="shared" si="2"/>
        <v>857.3148</v>
      </c>
      <c r="C326" s="13">
        <v>7144.29</v>
      </c>
      <c r="D326" s="13">
        <f t="shared" ref="D326:E326" si="323">B326/12</f>
        <v>71.4429</v>
      </c>
      <c r="E326" s="13">
        <f t="shared" si="323"/>
        <v>595.3575</v>
      </c>
      <c r="F326" s="13">
        <v>418.48</v>
      </c>
    </row>
    <row r="327">
      <c r="A327" s="11">
        <v>9.0</v>
      </c>
      <c r="B327" s="12">
        <f t="shared" si="2"/>
        <v>11941.008</v>
      </c>
      <c r="C327" s="13">
        <v>99508.4</v>
      </c>
      <c r="D327" s="13">
        <f t="shared" ref="D327:E327" si="324">B327/12</f>
        <v>995.084</v>
      </c>
      <c r="E327" s="13">
        <f t="shared" si="324"/>
        <v>8292.366667</v>
      </c>
      <c r="F327" s="13">
        <v>615.6</v>
      </c>
    </row>
    <row r="328">
      <c r="A328" s="11">
        <v>1.0</v>
      </c>
      <c r="B328" s="12">
        <f t="shared" si="2"/>
        <v>6935.082</v>
      </c>
      <c r="C328" s="13">
        <v>57792.35</v>
      </c>
      <c r="D328" s="13">
        <f t="shared" ref="D328:E328" si="325">B328/12</f>
        <v>577.9235</v>
      </c>
      <c r="E328" s="13">
        <f t="shared" si="325"/>
        <v>4816.029167</v>
      </c>
      <c r="F328" s="13">
        <v>49.24</v>
      </c>
    </row>
    <row r="329">
      <c r="A329" s="11">
        <v>1.0</v>
      </c>
      <c r="B329" s="12">
        <f t="shared" si="2"/>
        <v>605.4264</v>
      </c>
      <c r="C329" s="13">
        <v>5045.22</v>
      </c>
      <c r="D329" s="13">
        <f t="shared" ref="D329:E329" si="326">B329/12</f>
        <v>50.4522</v>
      </c>
      <c r="E329" s="13">
        <f t="shared" si="326"/>
        <v>420.435</v>
      </c>
      <c r="F329" s="13">
        <v>447.69</v>
      </c>
    </row>
    <row r="330">
      <c r="A330" s="11">
        <v>7.0</v>
      </c>
      <c r="B330" s="12">
        <f t="shared" si="2"/>
        <v>2929.1016</v>
      </c>
      <c r="C330" s="13">
        <v>24409.18</v>
      </c>
      <c r="D330" s="13">
        <f t="shared" ref="D330:E330" si="327">B330/12</f>
        <v>244.0918</v>
      </c>
      <c r="E330" s="13">
        <f t="shared" si="327"/>
        <v>2034.098333</v>
      </c>
      <c r="F330" s="13">
        <v>955.15</v>
      </c>
    </row>
    <row r="331">
      <c r="A331" s="11">
        <v>2.0</v>
      </c>
      <c r="B331" s="12">
        <f t="shared" si="2"/>
        <v>11726.0892</v>
      </c>
      <c r="C331" s="13">
        <v>97717.41</v>
      </c>
      <c r="D331" s="13">
        <f t="shared" ref="D331:E331" si="328">B331/12</f>
        <v>977.1741</v>
      </c>
      <c r="E331" s="13">
        <f t="shared" si="328"/>
        <v>8143.1175</v>
      </c>
      <c r="F331" s="13">
        <v>891.76</v>
      </c>
    </row>
    <row r="332">
      <c r="A332" s="11">
        <v>8.0</v>
      </c>
      <c r="B332" s="12">
        <f t="shared" si="2"/>
        <v>5047.812</v>
      </c>
      <c r="C332" s="13">
        <v>42065.1</v>
      </c>
      <c r="D332" s="13">
        <f t="shared" ref="D332:E332" si="329">B332/12</f>
        <v>420.651</v>
      </c>
      <c r="E332" s="13">
        <f t="shared" si="329"/>
        <v>3505.425</v>
      </c>
      <c r="F332" s="13">
        <v>19.05</v>
      </c>
    </row>
    <row r="333">
      <c r="A333" s="11">
        <v>0.0</v>
      </c>
      <c r="B333" s="12">
        <f t="shared" si="2"/>
        <v>6448.386</v>
      </c>
      <c r="C333" s="13">
        <v>53736.55</v>
      </c>
      <c r="D333" s="13">
        <f t="shared" ref="D333:E333" si="330">B333/12</f>
        <v>537.3655</v>
      </c>
      <c r="E333" s="13">
        <f t="shared" si="330"/>
        <v>4478.045833</v>
      </c>
      <c r="F333" s="13">
        <v>870.88</v>
      </c>
    </row>
    <row r="334">
      <c r="A334" s="11">
        <v>6.0</v>
      </c>
      <c r="B334" s="12">
        <f t="shared" si="2"/>
        <v>1171.17</v>
      </c>
      <c r="C334" s="13">
        <v>9759.75</v>
      </c>
      <c r="D334" s="13">
        <f t="shared" ref="D334:E334" si="331">B334/12</f>
        <v>97.5975</v>
      </c>
      <c r="E334" s="13">
        <f t="shared" si="331"/>
        <v>813.3125</v>
      </c>
      <c r="F334" s="13">
        <v>96.98</v>
      </c>
    </row>
    <row r="335">
      <c r="A335" s="11">
        <v>9.0</v>
      </c>
      <c r="B335" s="12">
        <f t="shared" si="2"/>
        <v>7244.3736</v>
      </c>
      <c r="C335" s="13">
        <v>60369.78</v>
      </c>
      <c r="D335" s="13">
        <f t="shared" ref="D335:E335" si="332">B335/12</f>
        <v>603.6978</v>
      </c>
      <c r="E335" s="13">
        <f t="shared" si="332"/>
        <v>5030.815</v>
      </c>
      <c r="F335" s="13">
        <v>19.67</v>
      </c>
    </row>
    <row r="336">
      <c r="A336" s="11">
        <v>7.0</v>
      </c>
      <c r="B336" s="12">
        <f t="shared" si="2"/>
        <v>9771.2808</v>
      </c>
      <c r="C336" s="13">
        <v>81427.34</v>
      </c>
      <c r="D336" s="13">
        <f t="shared" ref="D336:E336" si="333">B336/12</f>
        <v>814.2734</v>
      </c>
      <c r="E336" s="13">
        <f t="shared" si="333"/>
        <v>6785.611667</v>
      </c>
      <c r="F336" s="13">
        <v>323.72</v>
      </c>
    </row>
    <row r="337">
      <c r="A337" s="11">
        <v>8.0</v>
      </c>
      <c r="B337" s="12">
        <f t="shared" si="2"/>
        <v>6796.2288</v>
      </c>
      <c r="C337" s="13">
        <v>56635.24</v>
      </c>
      <c r="D337" s="13">
        <f t="shared" ref="D337:E337" si="334">B337/12</f>
        <v>566.3524</v>
      </c>
      <c r="E337" s="13">
        <f t="shared" si="334"/>
        <v>4719.603333</v>
      </c>
      <c r="F337" s="13">
        <v>984.37</v>
      </c>
    </row>
    <row r="338">
      <c r="A338" s="11">
        <v>8.0</v>
      </c>
      <c r="B338" s="12">
        <f t="shared" si="2"/>
        <v>10479.0384</v>
      </c>
      <c r="C338" s="13">
        <v>87325.32</v>
      </c>
      <c r="D338" s="13">
        <f t="shared" ref="D338:E338" si="335">B338/12</f>
        <v>873.2532</v>
      </c>
      <c r="E338" s="13">
        <f t="shared" si="335"/>
        <v>7277.11</v>
      </c>
      <c r="F338" s="13">
        <v>691.37</v>
      </c>
    </row>
    <row r="339">
      <c r="A339" s="11">
        <v>9.0</v>
      </c>
      <c r="B339" s="12">
        <f t="shared" si="2"/>
        <v>10376.4804</v>
      </c>
      <c r="C339" s="13">
        <v>86470.67</v>
      </c>
      <c r="D339" s="13">
        <f t="shared" ref="D339:E339" si="336">B339/12</f>
        <v>864.7067</v>
      </c>
      <c r="E339" s="13">
        <f t="shared" si="336"/>
        <v>7205.889167</v>
      </c>
      <c r="F339" s="13">
        <v>157.69</v>
      </c>
    </row>
    <row r="340">
      <c r="A340" s="11">
        <v>0.0</v>
      </c>
      <c r="B340" s="12">
        <f t="shared" si="2"/>
        <v>7873.2132</v>
      </c>
      <c r="C340" s="13">
        <v>65610.11</v>
      </c>
      <c r="D340" s="13">
        <f t="shared" ref="D340:E340" si="337">B340/12</f>
        <v>656.1011</v>
      </c>
      <c r="E340" s="13">
        <f t="shared" si="337"/>
        <v>5467.509167</v>
      </c>
      <c r="F340" s="13">
        <v>872.73</v>
      </c>
    </row>
    <row r="341">
      <c r="A341" s="11">
        <v>7.0</v>
      </c>
      <c r="B341" s="12">
        <f t="shared" si="2"/>
        <v>3292.008</v>
      </c>
      <c r="C341" s="13">
        <v>27433.4</v>
      </c>
      <c r="D341" s="13">
        <f t="shared" ref="D341:E341" si="338">B341/12</f>
        <v>274.334</v>
      </c>
      <c r="E341" s="13">
        <f t="shared" si="338"/>
        <v>2286.116667</v>
      </c>
      <c r="F341" s="13">
        <v>648.0</v>
      </c>
    </row>
    <row r="342">
      <c r="A342" s="11">
        <v>6.0</v>
      </c>
      <c r="B342" s="12">
        <f t="shared" si="2"/>
        <v>643.008</v>
      </c>
      <c r="C342" s="13">
        <v>5358.4</v>
      </c>
      <c r="D342" s="13">
        <f t="shared" ref="D342:E342" si="339">B342/12</f>
        <v>53.584</v>
      </c>
      <c r="E342" s="13">
        <f t="shared" si="339"/>
        <v>446.5333333</v>
      </c>
      <c r="F342" s="13">
        <v>774.14</v>
      </c>
    </row>
    <row r="343">
      <c r="A343" s="11">
        <v>1.0</v>
      </c>
      <c r="B343" s="12">
        <f t="shared" si="2"/>
        <v>9359.7144</v>
      </c>
      <c r="C343" s="13">
        <v>77997.62</v>
      </c>
      <c r="D343" s="13">
        <f t="shared" ref="D343:E343" si="340">B343/12</f>
        <v>779.9762</v>
      </c>
      <c r="E343" s="13">
        <f t="shared" si="340"/>
        <v>6499.801667</v>
      </c>
      <c r="F343" s="13">
        <v>687.86</v>
      </c>
    </row>
    <row r="344">
      <c r="A344" s="11">
        <v>0.0</v>
      </c>
      <c r="B344" s="12">
        <f t="shared" si="2"/>
        <v>3234.9096</v>
      </c>
      <c r="C344" s="13">
        <v>26957.58</v>
      </c>
      <c r="D344" s="13">
        <f t="shared" ref="D344:E344" si="341">B344/12</f>
        <v>269.5758</v>
      </c>
      <c r="E344" s="13">
        <f t="shared" si="341"/>
        <v>2246.465</v>
      </c>
      <c r="F344" s="13">
        <v>579.04</v>
      </c>
    </row>
    <row r="345">
      <c r="A345" s="11">
        <v>1.0</v>
      </c>
      <c r="B345" s="12">
        <f t="shared" si="2"/>
        <v>8818.3104</v>
      </c>
      <c r="C345" s="13">
        <v>73485.92</v>
      </c>
      <c r="D345" s="13">
        <f t="shared" ref="D345:E345" si="342">B345/12</f>
        <v>734.8592</v>
      </c>
      <c r="E345" s="13">
        <f t="shared" si="342"/>
        <v>6123.826667</v>
      </c>
      <c r="F345" s="13">
        <v>590.77</v>
      </c>
    </row>
    <row r="346">
      <c r="A346" s="11">
        <v>5.0</v>
      </c>
      <c r="B346" s="12">
        <f t="shared" si="2"/>
        <v>4230.084</v>
      </c>
      <c r="C346" s="13">
        <v>35250.7</v>
      </c>
      <c r="D346" s="13">
        <f t="shared" ref="D346:E346" si="343">B346/12</f>
        <v>352.507</v>
      </c>
      <c r="E346" s="13">
        <f t="shared" si="343"/>
        <v>2937.558333</v>
      </c>
      <c r="F346" s="13">
        <v>879.39</v>
      </c>
    </row>
    <row r="347">
      <c r="A347" s="11">
        <v>4.0</v>
      </c>
      <c r="B347" s="12">
        <f t="shared" si="2"/>
        <v>11653.4832</v>
      </c>
      <c r="C347" s="13">
        <v>97112.36</v>
      </c>
      <c r="D347" s="13">
        <f t="shared" ref="D347:E347" si="344">B347/12</f>
        <v>971.1236</v>
      </c>
      <c r="E347" s="13">
        <f t="shared" si="344"/>
        <v>8092.696667</v>
      </c>
      <c r="F347" s="13">
        <v>958.91</v>
      </c>
    </row>
    <row r="348">
      <c r="A348" s="11">
        <v>6.0</v>
      </c>
      <c r="B348" s="12">
        <f t="shared" si="2"/>
        <v>5889.0516</v>
      </c>
      <c r="C348" s="13">
        <v>49075.43</v>
      </c>
      <c r="D348" s="13">
        <f t="shared" ref="D348:E348" si="345">B348/12</f>
        <v>490.7543</v>
      </c>
      <c r="E348" s="13">
        <f t="shared" si="345"/>
        <v>4089.619167</v>
      </c>
      <c r="F348" s="13">
        <v>429.17</v>
      </c>
    </row>
    <row r="349">
      <c r="A349" s="11">
        <v>8.0</v>
      </c>
      <c r="B349" s="12">
        <f t="shared" si="2"/>
        <v>5989.1292</v>
      </c>
      <c r="C349" s="13">
        <v>49909.41</v>
      </c>
      <c r="D349" s="13">
        <f t="shared" ref="D349:E349" si="346">B349/12</f>
        <v>499.0941</v>
      </c>
      <c r="E349" s="13">
        <f t="shared" si="346"/>
        <v>4159.1175</v>
      </c>
      <c r="F349" s="13">
        <v>658.54</v>
      </c>
    </row>
    <row r="350">
      <c r="A350" s="11">
        <v>6.0</v>
      </c>
      <c r="B350" s="12">
        <f t="shared" si="2"/>
        <v>7003.884</v>
      </c>
      <c r="C350" s="13">
        <v>58365.7</v>
      </c>
      <c r="D350" s="13">
        <f t="shared" ref="D350:E350" si="347">B350/12</f>
        <v>583.657</v>
      </c>
      <c r="E350" s="13">
        <f t="shared" si="347"/>
        <v>4863.808333</v>
      </c>
      <c r="F350" s="13">
        <v>810.15</v>
      </c>
    </row>
    <row r="351">
      <c r="A351" s="11">
        <v>1.0</v>
      </c>
      <c r="B351" s="12">
        <f t="shared" si="2"/>
        <v>6714.6984</v>
      </c>
      <c r="C351" s="13">
        <v>55955.82</v>
      </c>
      <c r="D351" s="13">
        <f t="shared" ref="D351:E351" si="348">B351/12</f>
        <v>559.5582</v>
      </c>
      <c r="E351" s="13">
        <f t="shared" si="348"/>
        <v>4662.985</v>
      </c>
      <c r="F351" s="13">
        <v>419.85</v>
      </c>
    </row>
    <row r="352">
      <c r="A352" s="11">
        <v>7.0</v>
      </c>
      <c r="B352" s="12">
        <f t="shared" si="2"/>
        <v>7586.8632</v>
      </c>
      <c r="C352" s="13">
        <v>63223.86</v>
      </c>
      <c r="D352" s="13">
        <f t="shared" ref="D352:E352" si="349">B352/12</f>
        <v>632.2386</v>
      </c>
      <c r="E352" s="13">
        <f t="shared" si="349"/>
        <v>5268.655</v>
      </c>
      <c r="F352" s="13">
        <v>759.39</v>
      </c>
    </row>
    <row r="353">
      <c r="A353" s="11">
        <v>2.0</v>
      </c>
      <c r="B353" s="12">
        <f t="shared" si="2"/>
        <v>9155.8668</v>
      </c>
      <c r="C353" s="13">
        <v>76298.89</v>
      </c>
      <c r="D353" s="13">
        <f t="shared" ref="D353:E353" si="350">B353/12</f>
        <v>762.9889</v>
      </c>
      <c r="E353" s="13">
        <f t="shared" si="350"/>
        <v>6358.240833</v>
      </c>
      <c r="F353" s="13">
        <v>298.31</v>
      </c>
    </row>
    <row r="354">
      <c r="A354" s="11">
        <v>6.0</v>
      </c>
      <c r="B354" s="12">
        <f t="shared" si="2"/>
        <v>7955.5284</v>
      </c>
      <c r="C354" s="13">
        <v>66296.07</v>
      </c>
      <c r="D354" s="13">
        <f t="shared" ref="D354:E354" si="351">B354/12</f>
        <v>662.9607</v>
      </c>
      <c r="E354" s="13">
        <f t="shared" si="351"/>
        <v>5524.6725</v>
      </c>
      <c r="F354" s="13">
        <v>413.81</v>
      </c>
    </row>
    <row r="355">
      <c r="A355" s="11">
        <v>6.0</v>
      </c>
      <c r="B355" s="12">
        <f t="shared" si="2"/>
        <v>9475.2096</v>
      </c>
      <c r="C355" s="13">
        <v>78960.08</v>
      </c>
      <c r="D355" s="13">
        <f t="shared" ref="D355:E355" si="352">B355/12</f>
        <v>789.6008</v>
      </c>
      <c r="E355" s="13">
        <f t="shared" si="352"/>
        <v>6580.006667</v>
      </c>
      <c r="F355" s="13">
        <v>939.59</v>
      </c>
    </row>
    <row r="356">
      <c r="A356" s="11">
        <v>0.0</v>
      </c>
      <c r="B356" s="12">
        <f t="shared" si="2"/>
        <v>6207.0804</v>
      </c>
      <c r="C356" s="13">
        <v>51725.67</v>
      </c>
      <c r="D356" s="13">
        <f t="shared" ref="D356:E356" si="353">B356/12</f>
        <v>517.2567</v>
      </c>
      <c r="E356" s="13">
        <f t="shared" si="353"/>
        <v>4310.4725</v>
      </c>
      <c r="F356" s="13">
        <v>322.82</v>
      </c>
    </row>
    <row r="357">
      <c r="A357" s="11">
        <v>1.0</v>
      </c>
      <c r="B357" s="12">
        <f t="shared" si="2"/>
        <v>4042.2648</v>
      </c>
      <c r="C357" s="13">
        <v>33685.54</v>
      </c>
      <c r="D357" s="13">
        <f t="shared" ref="D357:E357" si="354">B357/12</f>
        <v>336.8554</v>
      </c>
      <c r="E357" s="13">
        <f t="shared" si="354"/>
        <v>2807.128333</v>
      </c>
      <c r="F357" s="13">
        <v>697.75</v>
      </c>
    </row>
    <row r="358">
      <c r="A358" s="11">
        <v>2.0</v>
      </c>
      <c r="B358" s="12">
        <f t="shared" si="2"/>
        <v>8531.3412</v>
      </c>
      <c r="C358" s="13">
        <v>71094.51</v>
      </c>
      <c r="D358" s="13">
        <f t="shared" ref="D358:E358" si="355">B358/12</f>
        <v>710.9451</v>
      </c>
      <c r="E358" s="13">
        <f t="shared" si="355"/>
        <v>5924.5425</v>
      </c>
      <c r="F358" s="13">
        <v>177.9</v>
      </c>
    </row>
    <row r="359">
      <c r="A359" s="11">
        <v>8.0</v>
      </c>
      <c r="B359" s="12">
        <f t="shared" si="2"/>
        <v>10254.0228</v>
      </c>
      <c r="C359" s="13">
        <v>85450.19</v>
      </c>
      <c r="D359" s="13">
        <f t="shared" ref="D359:E359" si="356">B359/12</f>
        <v>854.5019</v>
      </c>
      <c r="E359" s="13">
        <f t="shared" si="356"/>
        <v>7120.849167</v>
      </c>
      <c r="F359" s="13">
        <v>516.67</v>
      </c>
    </row>
    <row r="360">
      <c r="A360" s="11">
        <v>1.0</v>
      </c>
      <c r="B360" s="12">
        <f t="shared" si="2"/>
        <v>1273.8264</v>
      </c>
      <c r="C360" s="13">
        <v>10615.22</v>
      </c>
      <c r="D360" s="13">
        <f t="shared" ref="D360:E360" si="357">B360/12</f>
        <v>106.1522</v>
      </c>
      <c r="E360" s="13">
        <f t="shared" si="357"/>
        <v>884.6016667</v>
      </c>
      <c r="F360" s="13">
        <v>77.07</v>
      </c>
    </row>
    <row r="361">
      <c r="A361" s="11">
        <v>9.0</v>
      </c>
      <c r="B361" s="12">
        <f t="shared" si="2"/>
        <v>6678.1596</v>
      </c>
      <c r="C361" s="13">
        <v>55651.33</v>
      </c>
      <c r="D361" s="13">
        <f t="shared" ref="D361:E361" si="358">B361/12</f>
        <v>556.5133</v>
      </c>
      <c r="E361" s="13">
        <f t="shared" si="358"/>
        <v>4637.610833</v>
      </c>
      <c r="F361" s="13">
        <v>619.77</v>
      </c>
    </row>
    <row r="362">
      <c r="A362" s="11">
        <v>3.0</v>
      </c>
      <c r="B362" s="12">
        <f t="shared" si="2"/>
        <v>1035.6768</v>
      </c>
      <c r="C362" s="13">
        <v>8630.64</v>
      </c>
      <c r="D362" s="13">
        <f t="shared" ref="D362:E362" si="359">B362/12</f>
        <v>86.3064</v>
      </c>
      <c r="E362" s="13">
        <f t="shared" si="359"/>
        <v>719.22</v>
      </c>
      <c r="F362" s="13">
        <v>232.4</v>
      </c>
    </row>
    <row r="363">
      <c r="A363" s="11">
        <v>3.0</v>
      </c>
      <c r="B363" s="12">
        <f t="shared" si="2"/>
        <v>10753.4916</v>
      </c>
      <c r="C363" s="13">
        <v>89612.43</v>
      </c>
      <c r="D363" s="13">
        <f t="shared" ref="D363:E363" si="360">B363/12</f>
        <v>896.1243</v>
      </c>
      <c r="E363" s="13">
        <f t="shared" si="360"/>
        <v>7467.7025</v>
      </c>
      <c r="F363" s="13">
        <v>430.9</v>
      </c>
    </row>
    <row r="364">
      <c r="A364" s="11">
        <v>6.0</v>
      </c>
      <c r="B364" s="12">
        <f t="shared" si="2"/>
        <v>11387.8848</v>
      </c>
      <c r="C364" s="13">
        <v>94899.04</v>
      </c>
      <c r="D364" s="13">
        <f t="shared" ref="D364:E364" si="361">B364/12</f>
        <v>948.9904</v>
      </c>
      <c r="E364" s="13">
        <f t="shared" si="361"/>
        <v>7908.253333</v>
      </c>
      <c r="F364" s="13">
        <v>777.83</v>
      </c>
    </row>
    <row r="365">
      <c r="A365" s="11">
        <v>7.0</v>
      </c>
      <c r="B365" s="12">
        <f t="shared" si="2"/>
        <v>2646.7188</v>
      </c>
      <c r="C365" s="13">
        <v>22055.99</v>
      </c>
      <c r="D365" s="13">
        <f t="shared" ref="D365:E365" si="362">B365/12</f>
        <v>220.5599</v>
      </c>
      <c r="E365" s="13">
        <f t="shared" si="362"/>
        <v>1837.999167</v>
      </c>
      <c r="F365" s="13">
        <v>27.35</v>
      </c>
    </row>
    <row r="366">
      <c r="A366" s="11">
        <v>3.0</v>
      </c>
      <c r="B366" s="12">
        <f t="shared" si="2"/>
        <v>11999.4216</v>
      </c>
      <c r="C366" s="13">
        <v>99995.18</v>
      </c>
      <c r="D366" s="13">
        <f t="shared" ref="D366:E366" si="363">B366/12</f>
        <v>999.9518</v>
      </c>
      <c r="E366" s="13">
        <f t="shared" si="363"/>
        <v>8332.931667</v>
      </c>
      <c r="F366" s="13">
        <v>979.5</v>
      </c>
    </row>
    <row r="367">
      <c r="A367" s="11">
        <v>4.0</v>
      </c>
      <c r="B367" s="12">
        <f t="shared" si="2"/>
        <v>4683.6036</v>
      </c>
      <c r="C367" s="13">
        <v>39030.03</v>
      </c>
      <c r="D367" s="13">
        <f t="shared" ref="D367:E367" si="364">B367/12</f>
        <v>390.3003</v>
      </c>
      <c r="E367" s="13">
        <f t="shared" si="364"/>
        <v>3252.5025</v>
      </c>
      <c r="F367" s="13">
        <v>138.44</v>
      </c>
    </row>
    <row r="368">
      <c r="A368" s="11">
        <v>2.0</v>
      </c>
      <c r="B368" s="12">
        <f t="shared" si="2"/>
        <v>183.54</v>
      </c>
      <c r="C368" s="13">
        <v>1529.5</v>
      </c>
      <c r="D368" s="13">
        <f t="shared" ref="D368:E368" si="365">B368/12</f>
        <v>15.295</v>
      </c>
      <c r="E368" s="13">
        <f t="shared" si="365"/>
        <v>127.4583333</v>
      </c>
      <c r="F368" s="13">
        <v>605.52</v>
      </c>
    </row>
    <row r="369">
      <c r="A369" s="11">
        <v>4.0</v>
      </c>
      <c r="B369" s="12">
        <f t="shared" si="2"/>
        <v>10383.8496</v>
      </c>
      <c r="C369" s="13">
        <v>86532.08</v>
      </c>
      <c r="D369" s="13">
        <f t="shared" ref="D369:E369" si="366">B369/12</f>
        <v>865.3208</v>
      </c>
      <c r="E369" s="13">
        <f t="shared" si="366"/>
        <v>7211.006667</v>
      </c>
      <c r="F369" s="13">
        <v>489.17</v>
      </c>
    </row>
    <row r="370">
      <c r="A370" s="11">
        <v>9.0</v>
      </c>
      <c r="B370" s="12">
        <f t="shared" si="2"/>
        <v>9580.254</v>
      </c>
      <c r="C370" s="13">
        <v>79835.45</v>
      </c>
      <c r="D370" s="13">
        <f t="shared" ref="D370:E370" si="367">B370/12</f>
        <v>798.3545</v>
      </c>
      <c r="E370" s="13">
        <f t="shared" si="367"/>
        <v>6652.954167</v>
      </c>
      <c r="F370" s="13">
        <v>116.27</v>
      </c>
    </row>
    <row r="371">
      <c r="A371" s="11">
        <v>5.0</v>
      </c>
      <c r="B371" s="12">
        <f t="shared" si="2"/>
        <v>3030.2748</v>
      </c>
      <c r="C371" s="13">
        <v>25252.29</v>
      </c>
      <c r="D371" s="13">
        <f t="shared" ref="D371:E371" si="368">B371/12</f>
        <v>252.5229</v>
      </c>
      <c r="E371" s="13">
        <f t="shared" si="368"/>
        <v>2104.3575</v>
      </c>
      <c r="F371" s="13">
        <v>631.31</v>
      </c>
    </row>
    <row r="372">
      <c r="A372" s="11">
        <v>8.0</v>
      </c>
      <c r="B372" s="12">
        <f t="shared" si="2"/>
        <v>1164.8772</v>
      </c>
      <c r="C372" s="13">
        <v>9707.31</v>
      </c>
      <c r="D372" s="13">
        <f t="shared" ref="D372:E372" si="369">B372/12</f>
        <v>97.0731</v>
      </c>
      <c r="E372" s="13">
        <f t="shared" si="369"/>
        <v>808.9425</v>
      </c>
      <c r="F372" s="13">
        <v>78.3</v>
      </c>
    </row>
    <row r="373">
      <c r="A373" s="11">
        <v>1.0</v>
      </c>
      <c r="B373" s="12">
        <f t="shared" si="2"/>
        <v>8650.9896</v>
      </c>
      <c r="C373" s="13">
        <v>72091.58</v>
      </c>
      <c r="D373" s="13">
        <f t="shared" ref="D373:E373" si="370">B373/12</f>
        <v>720.9158</v>
      </c>
      <c r="E373" s="13">
        <f t="shared" si="370"/>
        <v>6007.631667</v>
      </c>
      <c r="F373" s="13">
        <v>316.93</v>
      </c>
    </row>
    <row r="374">
      <c r="A374" s="11">
        <v>9.0</v>
      </c>
      <c r="B374" s="12">
        <f t="shared" si="2"/>
        <v>2794.392</v>
      </c>
      <c r="C374" s="13">
        <v>23286.6</v>
      </c>
      <c r="D374" s="13">
        <f t="shared" ref="D374:E374" si="371">B374/12</f>
        <v>232.866</v>
      </c>
      <c r="E374" s="13">
        <f t="shared" si="371"/>
        <v>1940.55</v>
      </c>
      <c r="F374" s="13">
        <v>935.18</v>
      </c>
    </row>
    <row r="375">
      <c r="A375" s="11">
        <v>2.0</v>
      </c>
      <c r="B375" s="12">
        <f t="shared" si="2"/>
        <v>713.334</v>
      </c>
      <c r="C375" s="13">
        <v>5944.45</v>
      </c>
      <c r="D375" s="13">
        <f t="shared" ref="D375:E375" si="372">B375/12</f>
        <v>59.4445</v>
      </c>
      <c r="E375" s="13">
        <f t="shared" si="372"/>
        <v>495.3708333</v>
      </c>
      <c r="F375" s="13">
        <v>618.61</v>
      </c>
    </row>
    <row r="376">
      <c r="A376" s="11">
        <v>5.0</v>
      </c>
      <c r="B376" s="12">
        <f t="shared" si="2"/>
        <v>6965.2056</v>
      </c>
      <c r="C376" s="13">
        <v>58043.38</v>
      </c>
      <c r="D376" s="13">
        <f t="shared" ref="D376:E376" si="373">B376/12</f>
        <v>580.4338</v>
      </c>
      <c r="E376" s="13">
        <f t="shared" si="373"/>
        <v>4836.948333</v>
      </c>
      <c r="F376" s="13">
        <v>141.51</v>
      </c>
    </row>
    <row r="377">
      <c r="A377" s="11">
        <v>9.0</v>
      </c>
      <c r="B377" s="12">
        <f t="shared" si="2"/>
        <v>3376.068</v>
      </c>
      <c r="C377" s="13">
        <v>28133.9</v>
      </c>
      <c r="D377" s="13">
        <f t="shared" ref="D377:E377" si="374">B377/12</f>
        <v>281.339</v>
      </c>
      <c r="E377" s="13">
        <f t="shared" si="374"/>
        <v>2344.491667</v>
      </c>
      <c r="F377" s="13">
        <v>167.32</v>
      </c>
    </row>
    <row r="378">
      <c r="A378" s="11">
        <v>9.0</v>
      </c>
      <c r="B378" s="12">
        <f t="shared" si="2"/>
        <v>8995.65</v>
      </c>
      <c r="C378" s="13">
        <v>74963.75</v>
      </c>
      <c r="D378" s="13">
        <f t="shared" ref="D378:E378" si="375">B378/12</f>
        <v>749.6375</v>
      </c>
      <c r="E378" s="13">
        <f t="shared" si="375"/>
        <v>6246.979167</v>
      </c>
      <c r="F378" s="13">
        <v>152.49</v>
      </c>
    </row>
    <row r="379">
      <c r="A379" s="11">
        <v>6.0</v>
      </c>
      <c r="B379" s="12">
        <f t="shared" si="2"/>
        <v>10897.998</v>
      </c>
      <c r="C379" s="13">
        <v>90816.65</v>
      </c>
      <c r="D379" s="13">
        <f t="shared" ref="D379:E379" si="376">B379/12</f>
        <v>908.1665</v>
      </c>
      <c r="E379" s="13">
        <f t="shared" si="376"/>
        <v>7568.054167</v>
      </c>
      <c r="F379" s="13">
        <v>440.72</v>
      </c>
    </row>
    <row r="380">
      <c r="A380" s="11">
        <v>6.0</v>
      </c>
      <c r="B380" s="12">
        <f t="shared" si="2"/>
        <v>4551.0672</v>
      </c>
      <c r="C380" s="13">
        <v>37925.56</v>
      </c>
      <c r="D380" s="13">
        <f t="shared" ref="D380:E380" si="377">B380/12</f>
        <v>379.2556</v>
      </c>
      <c r="E380" s="13">
        <f t="shared" si="377"/>
        <v>3160.463333</v>
      </c>
      <c r="F380" s="13">
        <v>413.57</v>
      </c>
    </row>
    <row r="381">
      <c r="A381" s="11">
        <v>7.0</v>
      </c>
      <c r="B381" s="12">
        <f t="shared" si="2"/>
        <v>5719.638</v>
      </c>
      <c r="C381" s="13">
        <v>47663.65</v>
      </c>
      <c r="D381" s="13">
        <f t="shared" ref="D381:E381" si="378">B381/12</f>
        <v>476.6365</v>
      </c>
      <c r="E381" s="13">
        <f t="shared" si="378"/>
        <v>3971.970833</v>
      </c>
      <c r="F381" s="13">
        <v>66.72</v>
      </c>
    </row>
    <row r="382">
      <c r="A382" s="11">
        <v>3.0</v>
      </c>
      <c r="B382" s="12">
        <f t="shared" si="2"/>
        <v>2662.0008</v>
      </c>
      <c r="C382" s="13">
        <v>22183.34</v>
      </c>
      <c r="D382" s="13">
        <f t="shared" ref="D382:E382" si="379">B382/12</f>
        <v>221.8334</v>
      </c>
      <c r="E382" s="13">
        <f t="shared" si="379"/>
        <v>1848.611667</v>
      </c>
      <c r="F382" s="13">
        <v>313.98</v>
      </c>
    </row>
    <row r="383">
      <c r="A383" s="11">
        <v>7.0</v>
      </c>
      <c r="B383" s="12">
        <f t="shared" si="2"/>
        <v>5536.3608</v>
      </c>
      <c r="C383" s="13">
        <v>46136.34</v>
      </c>
      <c r="D383" s="13">
        <f t="shared" ref="D383:E383" si="380">B383/12</f>
        <v>461.3634</v>
      </c>
      <c r="E383" s="13">
        <f t="shared" si="380"/>
        <v>3844.695</v>
      </c>
      <c r="F383" s="13">
        <v>931.35</v>
      </c>
    </row>
    <row r="384">
      <c r="A384" s="11">
        <v>6.0</v>
      </c>
      <c r="B384" s="12">
        <f t="shared" si="2"/>
        <v>9743.6352</v>
      </c>
      <c r="C384" s="13">
        <v>81196.96</v>
      </c>
      <c r="D384" s="13">
        <f t="shared" ref="D384:E384" si="381">B384/12</f>
        <v>811.9696</v>
      </c>
      <c r="E384" s="13">
        <f t="shared" si="381"/>
        <v>6766.413333</v>
      </c>
      <c r="F384" s="13">
        <v>31.22</v>
      </c>
    </row>
    <row r="385">
      <c r="A385" s="11">
        <v>9.0</v>
      </c>
      <c r="B385" s="12">
        <f t="shared" si="2"/>
        <v>10012.1388</v>
      </c>
      <c r="C385" s="13">
        <v>83434.49</v>
      </c>
      <c r="D385" s="13">
        <f t="shared" ref="D385:E385" si="382">B385/12</f>
        <v>834.3449</v>
      </c>
      <c r="E385" s="13">
        <f t="shared" si="382"/>
        <v>6952.874167</v>
      </c>
      <c r="F385" s="13">
        <v>201.96</v>
      </c>
    </row>
    <row r="386">
      <c r="A386" s="11">
        <v>8.0</v>
      </c>
      <c r="B386" s="12">
        <f t="shared" si="2"/>
        <v>5971.3392</v>
      </c>
      <c r="C386" s="13">
        <v>49761.16</v>
      </c>
      <c r="D386" s="13">
        <f t="shared" ref="D386:E386" si="383">B386/12</f>
        <v>497.6116</v>
      </c>
      <c r="E386" s="13">
        <f t="shared" si="383"/>
        <v>4146.763333</v>
      </c>
      <c r="F386" s="13">
        <v>169.7</v>
      </c>
    </row>
    <row r="387">
      <c r="A387" s="11">
        <v>3.0</v>
      </c>
      <c r="B387" s="12">
        <f t="shared" si="2"/>
        <v>2074.0812</v>
      </c>
      <c r="C387" s="13">
        <v>17284.01</v>
      </c>
      <c r="D387" s="13">
        <f t="shared" ref="D387:E387" si="384">B387/12</f>
        <v>172.8401</v>
      </c>
      <c r="E387" s="13">
        <f t="shared" si="384"/>
        <v>1440.334167</v>
      </c>
      <c r="F387" s="13">
        <v>997.94</v>
      </c>
    </row>
    <row r="388">
      <c r="A388" s="11">
        <v>8.0</v>
      </c>
      <c r="B388" s="12">
        <f t="shared" si="2"/>
        <v>11646.156</v>
      </c>
      <c r="C388" s="13">
        <v>97051.3</v>
      </c>
      <c r="D388" s="13">
        <f t="shared" ref="D388:E388" si="385">B388/12</f>
        <v>970.513</v>
      </c>
      <c r="E388" s="13">
        <f t="shared" si="385"/>
        <v>8087.608333</v>
      </c>
      <c r="F388" s="13">
        <v>991.33</v>
      </c>
    </row>
    <row r="389">
      <c r="A389" s="11">
        <v>8.0</v>
      </c>
      <c r="B389" s="12">
        <f t="shared" si="2"/>
        <v>513.0012</v>
      </c>
      <c r="C389" s="13">
        <v>4275.01</v>
      </c>
      <c r="D389" s="13">
        <f t="shared" ref="D389:E389" si="386">B389/12</f>
        <v>42.7501</v>
      </c>
      <c r="E389" s="13">
        <f t="shared" si="386"/>
        <v>356.2508333</v>
      </c>
      <c r="F389" s="13">
        <v>287.24</v>
      </c>
    </row>
    <row r="390">
      <c r="A390" s="11">
        <v>3.0</v>
      </c>
      <c r="B390" s="12">
        <f t="shared" si="2"/>
        <v>2254.2528</v>
      </c>
      <c r="C390" s="13">
        <v>18785.44</v>
      </c>
      <c r="D390" s="13">
        <f t="shared" ref="D390:E390" si="387">B390/12</f>
        <v>187.8544</v>
      </c>
      <c r="E390" s="13">
        <f t="shared" si="387"/>
        <v>1565.453333</v>
      </c>
      <c r="F390" s="13">
        <v>441.32</v>
      </c>
    </row>
    <row r="391">
      <c r="A391" s="11">
        <v>4.0</v>
      </c>
      <c r="B391" s="12">
        <f t="shared" si="2"/>
        <v>217.7496</v>
      </c>
      <c r="C391" s="13">
        <v>1814.58</v>
      </c>
      <c r="D391" s="13">
        <f t="shared" ref="D391:E391" si="388">B391/12</f>
        <v>18.1458</v>
      </c>
      <c r="E391" s="13">
        <f t="shared" si="388"/>
        <v>151.215</v>
      </c>
      <c r="F391" s="13">
        <v>997.5</v>
      </c>
    </row>
    <row r="392">
      <c r="A392" s="11">
        <v>9.0</v>
      </c>
      <c r="B392" s="12">
        <f t="shared" si="2"/>
        <v>5978.5368</v>
      </c>
      <c r="C392" s="13">
        <v>49821.14</v>
      </c>
      <c r="D392" s="13">
        <f t="shared" ref="D392:E392" si="389">B392/12</f>
        <v>498.2114</v>
      </c>
      <c r="E392" s="13">
        <f t="shared" si="389"/>
        <v>4151.761667</v>
      </c>
      <c r="F392" s="13">
        <v>918.3</v>
      </c>
    </row>
    <row r="393">
      <c r="A393" s="11">
        <v>4.0</v>
      </c>
      <c r="B393" s="12">
        <f t="shared" si="2"/>
        <v>2661.0408</v>
      </c>
      <c r="C393" s="13">
        <v>22175.34</v>
      </c>
      <c r="D393" s="13">
        <f t="shared" ref="D393:E393" si="390">B393/12</f>
        <v>221.7534</v>
      </c>
      <c r="E393" s="13">
        <f t="shared" si="390"/>
        <v>1847.945</v>
      </c>
      <c r="F393" s="13">
        <v>768.68</v>
      </c>
    </row>
    <row r="394">
      <c r="A394" s="11">
        <v>4.0</v>
      </c>
      <c r="B394" s="12">
        <f t="shared" si="2"/>
        <v>6729.3912</v>
      </c>
      <c r="C394" s="13">
        <v>56078.26</v>
      </c>
      <c r="D394" s="13">
        <f t="shared" ref="D394:E394" si="391">B394/12</f>
        <v>560.7826</v>
      </c>
      <c r="E394" s="13">
        <f t="shared" si="391"/>
        <v>4673.188333</v>
      </c>
      <c r="F394" s="13">
        <v>218.68</v>
      </c>
    </row>
    <row r="395">
      <c r="A395" s="11">
        <v>9.0</v>
      </c>
      <c r="B395" s="12">
        <f t="shared" si="2"/>
        <v>6021.348</v>
      </c>
      <c r="C395" s="13">
        <v>50177.9</v>
      </c>
      <c r="D395" s="13">
        <f t="shared" ref="D395:E395" si="392">B395/12</f>
        <v>501.779</v>
      </c>
      <c r="E395" s="13">
        <f t="shared" si="392"/>
        <v>4181.491667</v>
      </c>
      <c r="F395" s="13">
        <v>419.05</v>
      </c>
    </row>
    <row r="396">
      <c r="A396" s="11">
        <v>1.0</v>
      </c>
      <c r="B396" s="12">
        <f t="shared" si="2"/>
        <v>11587.3764</v>
      </c>
      <c r="C396" s="13">
        <v>96561.47</v>
      </c>
      <c r="D396" s="13">
        <f t="shared" ref="D396:E396" si="393">B396/12</f>
        <v>965.6147</v>
      </c>
      <c r="E396" s="13">
        <f t="shared" si="393"/>
        <v>8046.789167</v>
      </c>
      <c r="F396" s="13">
        <v>386.62</v>
      </c>
    </row>
    <row r="397">
      <c r="A397" s="11">
        <v>5.0</v>
      </c>
      <c r="B397" s="12">
        <f t="shared" si="2"/>
        <v>10814.1264</v>
      </c>
      <c r="C397" s="13">
        <v>90117.72</v>
      </c>
      <c r="D397" s="13">
        <f t="shared" ref="D397:E397" si="394">B397/12</f>
        <v>901.1772</v>
      </c>
      <c r="E397" s="13">
        <f t="shared" si="394"/>
        <v>7509.81</v>
      </c>
      <c r="F397" s="13">
        <v>990.99</v>
      </c>
    </row>
    <row r="398">
      <c r="A398" s="11">
        <v>1.0</v>
      </c>
      <c r="B398" s="12">
        <f t="shared" si="2"/>
        <v>11012.7588</v>
      </c>
      <c r="C398" s="13">
        <v>91772.99</v>
      </c>
      <c r="D398" s="13">
        <f t="shared" ref="D398:E398" si="395">B398/12</f>
        <v>917.7299</v>
      </c>
      <c r="E398" s="13">
        <f t="shared" si="395"/>
        <v>7647.749167</v>
      </c>
      <c r="F398" s="13">
        <v>706.16</v>
      </c>
    </row>
    <row r="399">
      <c r="A399" s="11">
        <v>5.0</v>
      </c>
      <c r="B399" s="12">
        <f t="shared" si="2"/>
        <v>1004.5092</v>
      </c>
      <c r="C399" s="13">
        <v>8370.91</v>
      </c>
      <c r="D399" s="13">
        <f t="shared" ref="D399:E399" si="396">B399/12</f>
        <v>83.7091</v>
      </c>
      <c r="E399" s="13">
        <f t="shared" si="396"/>
        <v>697.5758333</v>
      </c>
      <c r="F399" s="13">
        <v>903.66</v>
      </c>
    </row>
    <row r="400">
      <c r="A400" s="11">
        <v>8.0</v>
      </c>
      <c r="B400" s="12">
        <f t="shared" si="2"/>
        <v>3833.598</v>
      </c>
      <c r="C400" s="13">
        <v>31946.65</v>
      </c>
      <c r="D400" s="13">
        <f t="shared" ref="D400:E400" si="397">B400/12</f>
        <v>319.4665</v>
      </c>
      <c r="E400" s="13">
        <f t="shared" si="397"/>
        <v>2662.220833</v>
      </c>
      <c r="F400" s="13">
        <v>605.65</v>
      </c>
    </row>
    <row r="401">
      <c r="A401" s="11">
        <v>2.0</v>
      </c>
      <c r="B401" s="12">
        <f t="shared" si="2"/>
        <v>9843.4032</v>
      </c>
      <c r="C401" s="13">
        <v>82028.36</v>
      </c>
      <c r="D401" s="13">
        <f t="shared" ref="D401:E401" si="398">B401/12</f>
        <v>820.2836</v>
      </c>
      <c r="E401" s="13">
        <f t="shared" si="398"/>
        <v>6835.696667</v>
      </c>
      <c r="F401" s="13">
        <v>844.15</v>
      </c>
    </row>
    <row r="402">
      <c r="A402" s="11">
        <v>7.0</v>
      </c>
      <c r="B402" s="12">
        <f t="shared" si="2"/>
        <v>1585.4952</v>
      </c>
      <c r="C402" s="13">
        <v>13212.46</v>
      </c>
      <c r="D402" s="13">
        <f t="shared" ref="D402:E402" si="399">B402/12</f>
        <v>132.1246</v>
      </c>
      <c r="E402" s="13">
        <f t="shared" si="399"/>
        <v>1101.038333</v>
      </c>
      <c r="F402" s="13">
        <v>412.5</v>
      </c>
    </row>
    <row r="403">
      <c r="A403" s="11">
        <v>7.0</v>
      </c>
      <c r="B403" s="12">
        <f t="shared" si="2"/>
        <v>8269.224</v>
      </c>
      <c r="C403" s="13">
        <v>68910.2</v>
      </c>
      <c r="D403" s="13">
        <f t="shared" ref="D403:E403" si="400">B403/12</f>
        <v>689.102</v>
      </c>
      <c r="E403" s="13">
        <f t="shared" si="400"/>
        <v>5742.516667</v>
      </c>
      <c r="F403" s="13">
        <v>672.95</v>
      </c>
    </row>
    <row r="404">
      <c r="A404" s="11">
        <v>7.0</v>
      </c>
      <c r="B404" s="12">
        <f t="shared" si="2"/>
        <v>4030.1496</v>
      </c>
      <c r="C404" s="13">
        <v>33584.58</v>
      </c>
      <c r="D404" s="13">
        <f t="shared" ref="D404:E404" si="401">B404/12</f>
        <v>335.8458</v>
      </c>
      <c r="E404" s="13">
        <f t="shared" si="401"/>
        <v>2798.715</v>
      </c>
      <c r="F404" s="13">
        <v>308.08</v>
      </c>
    </row>
    <row r="405">
      <c r="A405" s="11">
        <v>0.0</v>
      </c>
      <c r="B405" s="12">
        <f t="shared" si="2"/>
        <v>2899.812</v>
      </c>
      <c r="C405" s="13">
        <v>24165.1</v>
      </c>
      <c r="D405" s="13">
        <f t="shared" ref="D405:E405" si="402">B405/12</f>
        <v>241.651</v>
      </c>
      <c r="E405" s="13">
        <f t="shared" si="402"/>
        <v>2013.758333</v>
      </c>
      <c r="F405" s="13">
        <v>441.4</v>
      </c>
    </row>
    <row r="406">
      <c r="A406" s="11">
        <v>3.0</v>
      </c>
      <c r="B406" s="12">
        <f t="shared" si="2"/>
        <v>2039.5668</v>
      </c>
      <c r="C406" s="13">
        <v>16996.39</v>
      </c>
      <c r="D406" s="13">
        <f t="shared" ref="D406:E406" si="403">B406/12</f>
        <v>169.9639</v>
      </c>
      <c r="E406" s="13">
        <f t="shared" si="403"/>
        <v>1416.365833</v>
      </c>
      <c r="F406" s="13">
        <v>49.09</v>
      </c>
    </row>
    <row r="407">
      <c r="A407" s="11">
        <v>5.0</v>
      </c>
      <c r="B407" s="12">
        <f t="shared" si="2"/>
        <v>7139.0244</v>
      </c>
      <c r="C407" s="13">
        <v>59491.87</v>
      </c>
      <c r="D407" s="13">
        <f t="shared" ref="D407:E407" si="404">B407/12</f>
        <v>594.9187</v>
      </c>
      <c r="E407" s="13">
        <f t="shared" si="404"/>
        <v>4957.655833</v>
      </c>
      <c r="F407" s="13">
        <v>763.86</v>
      </c>
    </row>
    <row r="408">
      <c r="A408" s="11">
        <v>1.0</v>
      </c>
      <c r="B408" s="12">
        <f t="shared" si="2"/>
        <v>4660.1124</v>
      </c>
      <c r="C408" s="13">
        <v>38834.27</v>
      </c>
      <c r="D408" s="13">
        <f t="shared" ref="D408:E408" si="405">B408/12</f>
        <v>388.3427</v>
      </c>
      <c r="E408" s="13">
        <f t="shared" si="405"/>
        <v>3236.189167</v>
      </c>
      <c r="F408" s="13">
        <v>523.86</v>
      </c>
    </row>
    <row r="409">
      <c r="A409" s="11">
        <v>2.0</v>
      </c>
      <c r="B409" s="12">
        <f t="shared" si="2"/>
        <v>9247.4424</v>
      </c>
      <c r="C409" s="13">
        <v>77062.02</v>
      </c>
      <c r="D409" s="13">
        <f t="shared" ref="D409:E409" si="406">B409/12</f>
        <v>770.6202</v>
      </c>
      <c r="E409" s="13">
        <f t="shared" si="406"/>
        <v>6421.835</v>
      </c>
      <c r="F409" s="13">
        <v>20.38</v>
      </c>
    </row>
    <row r="410">
      <c r="A410" s="11">
        <v>1.0</v>
      </c>
      <c r="B410" s="12">
        <f t="shared" si="2"/>
        <v>5580.5748</v>
      </c>
      <c r="C410" s="13">
        <v>46504.79</v>
      </c>
      <c r="D410" s="13">
        <f t="shared" ref="D410:E410" si="407">B410/12</f>
        <v>465.0479</v>
      </c>
      <c r="E410" s="13">
        <f t="shared" si="407"/>
        <v>3875.399167</v>
      </c>
      <c r="F410" s="13">
        <v>624.16</v>
      </c>
    </row>
    <row r="411">
      <c r="A411" s="11">
        <v>5.0</v>
      </c>
      <c r="B411" s="12">
        <f t="shared" si="2"/>
        <v>10839.3876</v>
      </c>
      <c r="C411" s="13">
        <v>90328.23</v>
      </c>
      <c r="D411" s="13">
        <f t="shared" ref="D411:E411" si="408">B411/12</f>
        <v>903.2823</v>
      </c>
      <c r="E411" s="13">
        <f t="shared" si="408"/>
        <v>7527.3525</v>
      </c>
      <c r="F411" s="13">
        <v>954.83</v>
      </c>
    </row>
    <row r="412">
      <c r="A412" s="11">
        <v>0.0</v>
      </c>
      <c r="B412" s="12">
        <f t="shared" si="2"/>
        <v>3024.738</v>
      </c>
      <c r="C412" s="13">
        <v>25206.15</v>
      </c>
      <c r="D412" s="13">
        <f t="shared" ref="D412:E412" si="409">B412/12</f>
        <v>252.0615</v>
      </c>
      <c r="E412" s="13">
        <f t="shared" si="409"/>
        <v>2100.5125</v>
      </c>
      <c r="F412" s="13">
        <v>411.02</v>
      </c>
    </row>
    <row r="413">
      <c r="A413" s="11">
        <v>4.0</v>
      </c>
      <c r="B413" s="12">
        <f t="shared" si="2"/>
        <v>1396.14</v>
      </c>
      <c r="C413" s="13">
        <v>11634.5</v>
      </c>
      <c r="D413" s="13">
        <f t="shared" ref="D413:E413" si="410">B413/12</f>
        <v>116.345</v>
      </c>
      <c r="E413" s="13">
        <f t="shared" si="410"/>
        <v>969.5416667</v>
      </c>
      <c r="F413" s="13">
        <v>586.56</v>
      </c>
    </row>
    <row r="414">
      <c r="A414" s="11">
        <v>6.0</v>
      </c>
      <c r="B414" s="12">
        <f t="shared" si="2"/>
        <v>7044.132</v>
      </c>
      <c r="C414" s="13">
        <v>58701.1</v>
      </c>
      <c r="D414" s="13">
        <f t="shared" ref="D414:E414" si="411">B414/12</f>
        <v>587.011</v>
      </c>
      <c r="E414" s="13">
        <f t="shared" si="411"/>
        <v>4891.758333</v>
      </c>
      <c r="F414" s="13">
        <v>7.07</v>
      </c>
    </row>
    <row r="415">
      <c r="A415" s="11">
        <v>2.0</v>
      </c>
      <c r="B415" s="12">
        <f t="shared" si="2"/>
        <v>6186.6888</v>
      </c>
      <c r="C415" s="13">
        <v>51555.74</v>
      </c>
      <c r="D415" s="13">
        <f t="shared" ref="D415:E415" si="412">B415/12</f>
        <v>515.5574</v>
      </c>
      <c r="E415" s="13">
        <f t="shared" si="412"/>
        <v>4296.311667</v>
      </c>
      <c r="F415" s="13">
        <v>937.27</v>
      </c>
    </row>
    <row r="416">
      <c r="A416" s="11">
        <v>6.0</v>
      </c>
      <c r="B416" s="12">
        <f t="shared" si="2"/>
        <v>3480.192</v>
      </c>
      <c r="C416" s="13">
        <v>29001.6</v>
      </c>
      <c r="D416" s="13">
        <f t="shared" ref="D416:E416" si="413">B416/12</f>
        <v>290.016</v>
      </c>
      <c r="E416" s="13">
        <f t="shared" si="413"/>
        <v>2416.8</v>
      </c>
      <c r="F416" s="13">
        <v>652.24</v>
      </c>
    </row>
    <row r="417">
      <c r="A417" s="11">
        <v>0.0</v>
      </c>
      <c r="B417" s="12">
        <f t="shared" si="2"/>
        <v>4656.4656</v>
      </c>
      <c r="C417" s="13">
        <v>38803.88</v>
      </c>
      <c r="D417" s="13">
        <f t="shared" ref="D417:E417" si="414">B417/12</f>
        <v>388.0388</v>
      </c>
      <c r="E417" s="13">
        <f t="shared" si="414"/>
        <v>3233.656667</v>
      </c>
      <c r="F417" s="13">
        <v>2.14</v>
      </c>
    </row>
    <row r="418">
      <c r="A418" s="11">
        <v>5.0</v>
      </c>
      <c r="B418" s="12">
        <f t="shared" si="2"/>
        <v>4973.2068</v>
      </c>
      <c r="C418" s="13">
        <v>41443.39</v>
      </c>
      <c r="D418" s="13">
        <f t="shared" ref="D418:E418" si="415">B418/12</f>
        <v>414.4339</v>
      </c>
      <c r="E418" s="13">
        <f t="shared" si="415"/>
        <v>3453.615833</v>
      </c>
      <c r="F418" s="13">
        <v>26.63</v>
      </c>
    </row>
    <row r="419">
      <c r="A419" s="11">
        <v>8.0</v>
      </c>
      <c r="B419" s="12">
        <f t="shared" si="2"/>
        <v>6240.0504</v>
      </c>
      <c r="C419" s="13">
        <v>52000.42</v>
      </c>
      <c r="D419" s="13">
        <f t="shared" ref="D419:E419" si="416">B419/12</f>
        <v>520.0042</v>
      </c>
      <c r="E419" s="13">
        <f t="shared" si="416"/>
        <v>4333.368333</v>
      </c>
      <c r="F419" s="13">
        <v>617.61</v>
      </c>
    </row>
    <row r="420">
      <c r="A420" s="11">
        <v>0.0</v>
      </c>
      <c r="B420" s="12">
        <f t="shared" si="2"/>
        <v>8661.9576</v>
      </c>
      <c r="C420" s="13">
        <v>72182.98</v>
      </c>
      <c r="D420" s="13">
        <f t="shared" ref="D420:E420" si="417">B420/12</f>
        <v>721.8298</v>
      </c>
      <c r="E420" s="13">
        <f t="shared" si="417"/>
        <v>6015.248333</v>
      </c>
      <c r="F420" s="13">
        <v>881.29</v>
      </c>
    </row>
    <row r="421">
      <c r="A421" s="11">
        <v>6.0</v>
      </c>
      <c r="B421" s="12">
        <f t="shared" si="2"/>
        <v>5869.4208</v>
      </c>
      <c r="C421" s="13">
        <v>48911.84</v>
      </c>
      <c r="D421" s="13">
        <f t="shared" ref="D421:E421" si="418">B421/12</f>
        <v>489.1184</v>
      </c>
      <c r="E421" s="13">
        <f t="shared" si="418"/>
        <v>4075.986667</v>
      </c>
      <c r="F421" s="13">
        <v>286.74</v>
      </c>
    </row>
    <row r="422">
      <c r="A422" s="11">
        <v>5.0</v>
      </c>
      <c r="B422" s="12">
        <f t="shared" si="2"/>
        <v>10300.2192</v>
      </c>
      <c r="C422" s="13">
        <v>85835.16</v>
      </c>
      <c r="D422" s="13">
        <f t="shared" ref="D422:E422" si="419">B422/12</f>
        <v>858.3516</v>
      </c>
      <c r="E422" s="13">
        <f t="shared" si="419"/>
        <v>7152.93</v>
      </c>
      <c r="F422" s="13">
        <v>261.74</v>
      </c>
    </row>
    <row r="423">
      <c r="A423" s="11">
        <v>8.0</v>
      </c>
      <c r="B423" s="12">
        <f t="shared" si="2"/>
        <v>9449.1396</v>
      </c>
      <c r="C423" s="13">
        <v>78742.83</v>
      </c>
      <c r="D423" s="13">
        <f t="shared" ref="D423:E423" si="420">B423/12</f>
        <v>787.4283</v>
      </c>
      <c r="E423" s="13">
        <f t="shared" si="420"/>
        <v>6561.9025</v>
      </c>
      <c r="F423" s="13">
        <v>202.45</v>
      </c>
    </row>
    <row r="424">
      <c r="A424" s="11">
        <v>9.0</v>
      </c>
      <c r="B424" s="12">
        <f t="shared" si="2"/>
        <v>5553.5772</v>
      </c>
      <c r="C424" s="13">
        <v>46279.81</v>
      </c>
      <c r="D424" s="13">
        <f t="shared" ref="D424:E424" si="421">B424/12</f>
        <v>462.7981</v>
      </c>
      <c r="E424" s="13">
        <f t="shared" si="421"/>
        <v>3856.650833</v>
      </c>
      <c r="F424" s="13">
        <v>309.18</v>
      </c>
    </row>
    <row r="425">
      <c r="A425" s="11">
        <v>5.0</v>
      </c>
      <c r="B425" s="12">
        <f t="shared" si="2"/>
        <v>6171.0096</v>
      </c>
      <c r="C425" s="13">
        <v>51425.08</v>
      </c>
      <c r="D425" s="13">
        <f t="shared" ref="D425:E425" si="422">B425/12</f>
        <v>514.2508</v>
      </c>
      <c r="E425" s="13">
        <f t="shared" si="422"/>
        <v>4285.423333</v>
      </c>
      <c r="F425" s="13">
        <v>330.9</v>
      </c>
    </row>
    <row r="426">
      <c r="A426" s="11">
        <v>7.0</v>
      </c>
      <c r="B426" s="12">
        <f t="shared" si="2"/>
        <v>2698.1388</v>
      </c>
      <c r="C426" s="13">
        <v>22484.49</v>
      </c>
      <c r="D426" s="13">
        <f t="shared" ref="D426:E426" si="423">B426/12</f>
        <v>224.8449</v>
      </c>
      <c r="E426" s="13">
        <f t="shared" si="423"/>
        <v>1873.7075</v>
      </c>
      <c r="F426" s="13">
        <v>96.7</v>
      </c>
    </row>
    <row r="427">
      <c r="A427" s="11">
        <v>9.0</v>
      </c>
      <c r="B427" s="12">
        <f t="shared" si="2"/>
        <v>11356.392</v>
      </c>
      <c r="C427" s="13">
        <v>94636.6</v>
      </c>
      <c r="D427" s="13">
        <f t="shared" ref="D427:E427" si="424">B427/12</f>
        <v>946.366</v>
      </c>
      <c r="E427" s="13">
        <f t="shared" si="424"/>
        <v>7886.383333</v>
      </c>
      <c r="F427" s="13">
        <v>376.46</v>
      </c>
    </row>
    <row r="428">
      <c r="A428" s="11">
        <v>7.0</v>
      </c>
      <c r="B428" s="12">
        <f t="shared" si="2"/>
        <v>3655.32</v>
      </c>
      <c r="C428" s="13">
        <v>30461.0</v>
      </c>
      <c r="D428" s="13">
        <f t="shared" ref="D428:E428" si="425">B428/12</f>
        <v>304.61</v>
      </c>
      <c r="E428" s="13">
        <f t="shared" si="425"/>
        <v>2538.416667</v>
      </c>
      <c r="F428" s="13">
        <v>340.33</v>
      </c>
    </row>
    <row r="429">
      <c r="A429" s="11">
        <v>2.0</v>
      </c>
      <c r="B429" s="12">
        <f t="shared" si="2"/>
        <v>5880.6072</v>
      </c>
      <c r="C429" s="13">
        <v>49005.06</v>
      </c>
      <c r="D429" s="13">
        <f t="shared" ref="D429:E429" si="426">B429/12</f>
        <v>490.0506</v>
      </c>
      <c r="E429" s="13">
        <f t="shared" si="426"/>
        <v>4083.755</v>
      </c>
      <c r="F429" s="13">
        <v>947.59</v>
      </c>
    </row>
    <row r="430">
      <c r="A430" s="11">
        <v>8.0</v>
      </c>
      <c r="B430" s="12">
        <f t="shared" si="2"/>
        <v>3314.142</v>
      </c>
      <c r="C430" s="13">
        <v>27617.85</v>
      </c>
      <c r="D430" s="13">
        <f t="shared" ref="D430:E430" si="427">B430/12</f>
        <v>276.1785</v>
      </c>
      <c r="E430" s="13">
        <f t="shared" si="427"/>
        <v>2301.4875</v>
      </c>
      <c r="F430" s="13">
        <v>962.37</v>
      </c>
    </row>
    <row r="431">
      <c r="A431" s="11">
        <v>6.0</v>
      </c>
      <c r="B431" s="12">
        <f t="shared" si="2"/>
        <v>863.964</v>
      </c>
      <c r="C431" s="13">
        <v>7199.7</v>
      </c>
      <c r="D431" s="13">
        <f t="shared" ref="D431:E431" si="428">B431/12</f>
        <v>71.997</v>
      </c>
      <c r="E431" s="13">
        <f t="shared" si="428"/>
        <v>599.975</v>
      </c>
      <c r="F431" s="13">
        <v>264.86</v>
      </c>
    </row>
    <row r="432">
      <c r="A432" s="11">
        <v>1.0</v>
      </c>
      <c r="B432" s="12">
        <f t="shared" si="2"/>
        <v>9467.154</v>
      </c>
      <c r="C432" s="13">
        <v>78892.95</v>
      </c>
      <c r="D432" s="13">
        <f t="shared" ref="D432:E432" si="429">B432/12</f>
        <v>788.9295</v>
      </c>
      <c r="E432" s="13">
        <f t="shared" si="429"/>
        <v>6574.4125</v>
      </c>
      <c r="F432" s="13">
        <v>702.28</v>
      </c>
    </row>
    <row r="433">
      <c r="A433" s="11">
        <v>7.0</v>
      </c>
      <c r="B433" s="12">
        <f t="shared" si="2"/>
        <v>9052.1832</v>
      </c>
      <c r="C433" s="13">
        <v>75434.86</v>
      </c>
      <c r="D433" s="13">
        <f t="shared" ref="D433:E433" si="430">B433/12</f>
        <v>754.3486</v>
      </c>
      <c r="E433" s="13">
        <f t="shared" si="430"/>
        <v>6286.238333</v>
      </c>
      <c r="F433" s="13">
        <v>491.31</v>
      </c>
    </row>
    <row r="434">
      <c r="A434" s="11">
        <v>5.0</v>
      </c>
      <c r="B434" s="12">
        <f t="shared" si="2"/>
        <v>1690.0656</v>
      </c>
      <c r="C434" s="13">
        <v>14083.88</v>
      </c>
      <c r="D434" s="13">
        <f t="shared" ref="D434:E434" si="431">B434/12</f>
        <v>140.8388</v>
      </c>
      <c r="E434" s="13">
        <f t="shared" si="431"/>
        <v>1173.656667</v>
      </c>
      <c r="F434" s="13">
        <v>558.06</v>
      </c>
    </row>
    <row r="435">
      <c r="A435" s="11">
        <v>0.0</v>
      </c>
      <c r="B435" s="12">
        <f t="shared" si="2"/>
        <v>2157.0564</v>
      </c>
      <c r="C435" s="13">
        <v>17975.47</v>
      </c>
      <c r="D435" s="13">
        <f t="shared" ref="D435:E435" si="432">B435/12</f>
        <v>179.7547</v>
      </c>
      <c r="E435" s="13">
        <f t="shared" si="432"/>
        <v>1497.955833</v>
      </c>
      <c r="F435" s="13">
        <v>445.04</v>
      </c>
    </row>
    <row r="436">
      <c r="A436" s="11">
        <v>9.0</v>
      </c>
      <c r="B436" s="12">
        <f t="shared" si="2"/>
        <v>5175.966</v>
      </c>
      <c r="C436" s="13">
        <v>43133.05</v>
      </c>
      <c r="D436" s="13">
        <f t="shared" ref="D436:E436" si="433">B436/12</f>
        <v>431.3305</v>
      </c>
      <c r="E436" s="13">
        <f t="shared" si="433"/>
        <v>3594.420833</v>
      </c>
      <c r="F436" s="13">
        <v>413.12</v>
      </c>
    </row>
    <row r="437">
      <c r="A437" s="11">
        <v>8.0</v>
      </c>
      <c r="B437" s="12">
        <f t="shared" si="2"/>
        <v>2742.8292</v>
      </c>
      <c r="C437" s="13">
        <v>22856.91</v>
      </c>
      <c r="D437" s="13">
        <f t="shared" ref="D437:E437" si="434">B437/12</f>
        <v>228.5691</v>
      </c>
      <c r="E437" s="13">
        <f t="shared" si="434"/>
        <v>1904.7425</v>
      </c>
      <c r="F437" s="13">
        <v>28.3</v>
      </c>
    </row>
    <row r="438">
      <c r="A438" s="11">
        <v>6.0</v>
      </c>
      <c r="B438" s="12">
        <f t="shared" si="2"/>
        <v>6402.7272</v>
      </c>
      <c r="C438" s="13">
        <v>53356.06</v>
      </c>
      <c r="D438" s="13">
        <f t="shared" ref="D438:E438" si="435">B438/12</f>
        <v>533.5606</v>
      </c>
      <c r="E438" s="13">
        <f t="shared" si="435"/>
        <v>4446.338333</v>
      </c>
      <c r="F438" s="13">
        <v>508.8</v>
      </c>
    </row>
    <row r="439">
      <c r="A439" s="11">
        <v>2.0</v>
      </c>
      <c r="B439" s="12">
        <f t="shared" si="2"/>
        <v>5766.2544</v>
      </c>
      <c r="C439" s="13">
        <v>48052.12</v>
      </c>
      <c r="D439" s="13">
        <f t="shared" ref="D439:E439" si="436">B439/12</f>
        <v>480.5212</v>
      </c>
      <c r="E439" s="13">
        <f t="shared" si="436"/>
        <v>4004.343333</v>
      </c>
      <c r="F439" s="13">
        <v>76.45</v>
      </c>
    </row>
    <row r="440">
      <c r="A440" s="11">
        <v>6.0</v>
      </c>
      <c r="B440" s="12">
        <f t="shared" si="2"/>
        <v>10184.4708</v>
      </c>
      <c r="C440" s="13">
        <v>84870.59</v>
      </c>
      <c r="D440" s="13">
        <f t="shared" ref="D440:E440" si="437">B440/12</f>
        <v>848.7059</v>
      </c>
      <c r="E440" s="13">
        <f t="shared" si="437"/>
        <v>7072.549167</v>
      </c>
      <c r="F440" s="13">
        <v>697.78</v>
      </c>
    </row>
    <row r="441">
      <c r="A441" s="11">
        <v>1.0</v>
      </c>
      <c r="B441" s="12">
        <f t="shared" si="2"/>
        <v>1641.3996</v>
      </c>
      <c r="C441" s="13">
        <v>13678.33</v>
      </c>
      <c r="D441" s="13">
        <f t="shared" ref="D441:E441" si="438">B441/12</f>
        <v>136.7833</v>
      </c>
      <c r="E441" s="13">
        <f t="shared" si="438"/>
        <v>1139.860833</v>
      </c>
      <c r="F441" s="13">
        <v>59.79</v>
      </c>
    </row>
    <row r="442">
      <c r="A442" s="11">
        <v>6.0</v>
      </c>
      <c r="B442" s="12">
        <f t="shared" si="2"/>
        <v>11678.5668</v>
      </c>
      <c r="C442" s="13">
        <v>97321.39</v>
      </c>
      <c r="D442" s="13">
        <f t="shared" ref="D442:E442" si="439">B442/12</f>
        <v>973.2139</v>
      </c>
      <c r="E442" s="13">
        <f t="shared" si="439"/>
        <v>8110.115833</v>
      </c>
      <c r="F442" s="13">
        <v>631.03</v>
      </c>
    </row>
    <row r="443">
      <c r="A443" s="11">
        <v>1.0</v>
      </c>
      <c r="B443" s="12">
        <f t="shared" si="2"/>
        <v>11946.0612</v>
      </c>
      <c r="C443" s="13">
        <v>99550.51</v>
      </c>
      <c r="D443" s="13">
        <f t="shared" ref="D443:E443" si="440">B443/12</f>
        <v>995.5051</v>
      </c>
      <c r="E443" s="13">
        <f t="shared" si="440"/>
        <v>8295.875833</v>
      </c>
      <c r="F443" s="13">
        <v>799.87</v>
      </c>
    </row>
    <row r="444">
      <c r="A444" s="11">
        <v>2.0</v>
      </c>
      <c r="B444" s="12">
        <f t="shared" si="2"/>
        <v>11019.3852</v>
      </c>
      <c r="C444" s="13">
        <v>91828.21</v>
      </c>
      <c r="D444" s="13">
        <f t="shared" ref="D444:E444" si="441">B444/12</f>
        <v>918.2821</v>
      </c>
      <c r="E444" s="13">
        <f t="shared" si="441"/>
        <v>7652.350833</v>
      </c>
      <c r="F444" s="13">
        <v>738.25</v>
      </c>
    </row>
    <row r="445">
      <c r="A445" s="11">
        <v>5.0</v>
      </c>
      <c r="B445" s="12">
        <f t="shared" si="2"/>
        <v>486.234</v>
      </c>
      <c r="C445" s="13">
        <v>4051.95</v>
      </c>
      <c r="D445" s="13">
        <f t="shared" ref="D445:E445" si="442">B445/12</f>
        <v>40.5195</v>
      </c>
      <c r="E445" s="13">
        <f t="shared" si="442"/>
        <v>337.6625</v>
      </c>
      <c r="F445" s="13">
        <v>575.71</v>
      </c>
    </row>
    <row r="446">
      <c r="A446" s="11">
        <v>4.0</v>
      </c>
      <c r="B446" s="12">
        <f t="shared" si="2"/>
        <v>8378.6016</v>
      </c>
      <c r="C446" s="13">
        <v>69821.68</v>
      </c>
      <c r="D446" s="13">
        <f t="shared" ref="D446:E446" si="443">B446/12</f>
        <v>698.2168</v>
      </c>
      <c r="E446" s="13">
        <f t="shared" si="443"/>
        <v>5818.473333</v>
      </c>
      <c r="F446" s="13">
        <v>378.11</v>
      </c>
    </row>
    <row r="447">
      <c r="A447" s="11">
        <v>3.0</v>
      </c>
      <c r="B447" s="12">
        <f t="shared" si="2"/>
        <v>4620.882</v>
      </c>
      <c r="C447" s="13">
        <v>38507.35</v>
      </c>
      <c r="D447" s="13">
        <f t="shared" ref="D447:E447" si="444">B447/12</f>
        <v>385.0735</v>
      </c>
      <c r="E447" s="13">
        <f t="shared" si="444"/>
        <v>3208.945833</v>
      </c>
      <c r="F447" s="13">
        <v>859.95</v>
      </c>
    </row>
    <row r="448">
      <c r="A448" s="11">
        <v>5.0</v>
      </c>
      <c r="B448" s="12">
        <f t="shared" si="2"/>
        <v>4983.36</v>
      </c>
      <c r="C448" s="13">
        <v>41528.0</v>
      </c>
      <c r="D448" s="13">
        <f t="shared" ref="D448:E448" si="445">B448/12</f>
        <v>415.28</v>
      </c>
      <c r="E448" s="13">
        <f t="shared" si="445"/>
        <v>3460.666667</v>
      </c>
      <c r="F448" s="13">
        <v>689.03</v>
      </c>
    </row>
    <row r="449">
      <c r="A449" s="11">
        <v>1.0</v>
      </c>
      <c r="B449" s="12">
        <f t="shared" si="2"/>
        <v>1736.1084</v>
      </c>
      <c r="C449" s="13">
        <v>14467.57</v>
      </c>
      <c r="D449" s="13">
        <f t="shared" ref="D449:E449" si="446">B449/12</f>
        <v>144.6757</v>
      </c>
      <c r="E449" s="13">
        <f t="shared" si="446"/>
        <v>1205.630833</v>
      </c>
      <c r="F449" s="13">
        <v>563.87</v>
      </c>
    </row>
    <row r="450">
      <c r="A450" s="11">
        <v>5.0</v>
      </c>
      <c r="B450" s="12">
        <f t="shared" si="2"/>
        <v>10271.9892</v>
      </c>
      <c r="C450" s="13">
        <v>85599.91</v>
      </c>
      <c r="D450" s="13">
        <f t="shared" ref="D450:E450" si="447">B450/12</f>
        <v>855.9991</v>
      </c>
      <c r="E450" s="13">
        <f t="shared" si="447"/>
        <v>7133.325833</v>
      </c>
      <c r="F450" s="13">
        <v>748.35</v>
      </c>
    </row>
    <row r="451">
      <c r="A451" s="11">
        <v>3.0</v>
      </c>
      <c r="B451" s="12">
        <f t="shared" si="2"/>
        <v>9249.4608</v>
      </c>
      <c r="C451" s="13">
        <v>77078.84</v>
      </c>
      <c r="D451" s="13">
        <f t="shared" ref="D451:E451" si="448">B451/12</f>
        <v>770.7884</v>
      </c>
      <c r="E451" s="13">
        <f t="shared" si="448"/>
        <v>6423.236667</v>
      </c>
      <c r="F451" s="13">
        <v>687.62</v>
      </c>
    </row>
    <row r="452">
      <c r="A452" s="11">
        <v>3.0</v>
      </c>
      <c r="B452" s="12">
        <f t="shared" si="2"/>
        <v>4364.0496</v>
      </c>
      <c r="C452" s="13">
        <v>36367.08</v>
      </c>
      <c r="D452" s="13">
        <f t="shared" ref="D452:E452" si="449">B452/12</f>
        <v>363.6708</v>
      </c>
      <c r="E452" s="13">
        <f t="shared" si="449"/>
        <v>3030.59</v>
      </c>
      <c r="F452" s="13">
        <v>526.46</v>
      </c>
    </row>
    <row r="453">
      <c r="A453" s="11">
        <v>3.0</v>
      </c>
      <c r="B453" s="12">
        <f t="shared" si="2"/>
        <v>8723.4708</v>
      </c>
      <c r="C453" s="13">
        <v>72695.59</v>
      </c>
      <c r="D453" s="13">
        <f t="shared" ref="D453:E453" si="450">B453/12</f>
        <v>726.9559</v>
      </c>
      <c r="E453" s="13">
        <f t="shared" si="450"/>
        <v>6057.965833</v>
      </c>
      <c r="F453" s="13">
        <v>28.45</v>
      </c>
    </row>
    <row r="454">
      <c r="A454" s="11">
        <v>6.0</v>
      </c>
      <c r="B454" s="12">
        <f t="shared" si="2"/>
        <v>7552.5552</v>
      </c>
      <c r="C454" s="13">
        <v>62937.96</v>
      </c>
      <c r="D454" s="13">
        <f t="shared" ref="D454:E454" si="451">B454/12</f>
        <v>629.3796</v>
      </c>
      <c r="E454" s="13">
        <f t="shared" si="451"/>
        <v>5244.83</v>
      </c>
      <c r="F454" s="13">
        <v>917.77</v>
      </c>
    </row>
    <row r="455">
      <c r="A455" s="11">
        <v>2.0</v>
      </c>
      <c r="B455" s="12">
        <f t="shared" si="2"/>
        <v>9729.426</v>
      </c>
      <c r="C455" s="13">
        <v>81078.55</v>
      </c>
      <c r="D455" s="13">
        <f t="shared" ref="D455:E455" si="452">B455/12</f>
        <v>810.7855</v>
      </c>
      <c r="E455" s="13">
        <f t="shared" si="452"/>
        <v>6756.545833</v>
      </c>
      <c r="F455" s="13">
        <v>661.8</v>
      </c>
    </row>
    <row r="456">
      <c r="A456" s="11">
        <v>9.0</v>
      </c>
      <c r="B456" s="12">
        <f t="shared" si="2"/>
        <v>8984.4108</v>
      </c>
      <c r="C456" s="13">
        <v>74870.09</v>
      </c>
      <c r="D456" s="13">
        <f t="shared" ref="D456:E456" si="453">B456/12</f>
        <v>748.7009</v>
      </c>
      <c r="E456" s="13">
        <f t="shared" si="453"/>
        <v>6239.174167</v>
      </c>
      <c r="F456" s="13">
        <v>471.1</v>
      </c>
    </row>
    <row r="457">
      <c r="A457" s="11">
        <v>9.0</v>
      </c>
      <c r="B457" s="12">
        <f t="shared" si="2"/>
        <v>11794.5672</v>
      </c>
      <c r="C457" s="13">
        <v>98288.06</v>
      </c>
      <c r="D457" s="13">
        <f t="shared" ref="D457:E457" si="454">B457/12</f>
        <v>982.8806</v>
      </c>
      <c r="E457" s="13">
        <f t="shared" si="454"/>
        <v>8190.671667</v>
      </c>
      <c r="F457" s="13">
        <v>834.37</v>
      </c>
    </row>
    <row r="458">
      <c r="A458" s="11">
        <v>2.0</v>
      </c>
      <c r="B458" s="12">
        <f t="shared" si="2"/>
        <v>1887.8592</v>
      </c>
      <c r="C458" s="13">
        <v>15732.16</v>
      </c>
      <c r="D458" s="13">
        <f t="shared" ref="D458:E458" si="455">B458/12</f>
        <v>157.3216</v>
      </c>
      <c r="E458" s="13">
        <f t="shared" si="455"/>
        <v>1311.013333</v>
      </c>
      <c r="F458" s="13">
        <v>877.57</v>
      </c>
    </row>
    <row r="459">
      <c r="A459" s="11">
        <v>9.0</v>
      </c>
      <c r="B459" s="12">
        <f t="shared" si="2"/>
        <v>8731.7472</v>
      </c>
      <c r="C459" s="13">
        <v>72764.56</v>
      </c>
      <c r="D459" s="13">
        <f t="shared" ref="D459:E459" si="456">B459/12</f>
        <v>727.6456</v>
      </c>
      <c r="E459" s="13">
        <f t="shared" si="456"/>
        <v>6063.713333</v>
      </c>
      <c r="F459" s="13">
        <v>952.96</v>
      </c>
    </row>
    <row r="460">
      <c r="A460" s="11">
        <v>0.0</v>
      </c>
      <c r="B460" s="12">
        <f t="shared" si="2"/>
        <v>10353.8856</v>
      </c>
      <c r="C460" s="13">
        <v>86282.38</v>
      </c>
      <c r="D460" s="13">
        <f t="shared" ref="D460:E460" si="457">B460/12</f>
        <v>862.8238</v>
      </c>
      <c r="E460" s="13">
        <f t="shared" si="457"/>
        <v>7190.198333</v>
      </c>
      <c r="F460" s="13">
        <v>979.53</v>
      </c>
    </row>
    <row r="461">
      <c r="A461" s="11">
        <v>8.0</v>
      </c>
      <c r="B461" s="12">
        <f t="shared" si="2"/>
        <v>4836.0324</v>
      </c>
      <c r="C461" s="13">
        <v>40300.27</v>
      </c>
      <c r="D461" s="13">
        <f t="shared" ref="D461:E461" si="458">B461/12</f>
        <v>403.0027</v>
      </c>
      <c r="E461" s="13">
        <f t="shared" si="458"/>
        <v>3358.355833</v>
      </c>
      <c r="F461" s="13">
        <v>851.04</v>
      </c>
    </row>
    <row r="462">
      <c r="A462" s="11">
        <v>1.0</v>
      </c>
      <c r="B462" s="12">
        <f t="shared" si="2"/>
        <v>4331.6184</v>
      </c>
      <c r="C462" s="13">
        <v>36096.82</v>
      </c>
      <c r="D462" s="13">
        <f t="shared" ref="D462:E462" si="459">B462/12</f>
        <v>360.9682</v>
      </c>
      <c r="E462" s="13">
        <f t="shared" si="459"/>
        <v>3008.068333</v>
      </c>
      <c r="F462" s="13">
        <v>200.52</v>
      </c>
    </row>
    <row r="463">
      <c r="A463" s="11">
        <v>1.0</v>
      </c>
      <c r="B463" s="12">
        <f t="shared" si="2"/>
        <v>6255.1932</v>
      </c>
      <c r="C463" s="13">
        <v>52126.61</v>
      </c>
      <c r="D463" s="13">
        <f t="shared" ref="D463:E463" si="460">B463/12</f>
        <v>521.2661</v>
      </c>
      <c r="E463" s="13">
        <f t="shared" si="460"/>
        <v>4343.884167</v>
      </c>
      <c r="F463" s="13">
        <v>234.74</v>
      </c>
    </row>
    <row r="464">
      <c r="A464" s="11">
        <v>5.0</v>
      </c>
      <c r="B464" s="12">
        <f t="shared" si="2"/>
        <v>3118.0764</v>
      </c>
      <c r="C464" s="13">
        <v>25983.97</v>
      </c>
      <c r="D464" s="13">
        <f t="shared" ref="D464:E464" si="461">B464/12</f>
        <v>259.8397</v>
      </c>
      <c r="E464" s="13">
        <f t="shared" si="461"/>
        <v>2165.330833</v>
      </c>
      <c r="F464" s="13">
        <v>136.68</v>
      </c>
    </row>
    <row r="465">
      <c r="A465" s="11">
        <v>3.0</v>
      </c>
      <c r="B465" s="12">
        <f t="shared" si="2"/>
        <v>4441.4544</v>
      </c>
      <c r="C465" s="13">
        <v>37012.12</v>
      </c>
      <c r="D465" s="13">
        <f t="shared" ref="D465:E465" si="462">B465/12</f>
        <v>370.1212</v>
      </c>
      <c r="E465" s="13">
        <f t="shared" si="462"/>
        <v>3084.343333</v>
      </c>
      <c r="F465" s="13">
        <v>279.59</v>
      </c>
    </row>
    <row r="466">
      <c r="A466" s="11">
        <v>2.0</v>
      </c>
      <c r="B466" s="12">
        <f t="shared" si="2"/>
        <v>6245.3088</v>
      </c>
      <c r="C466" s="13">
        <v>52044.24</v>
      </c>
      <c r="D466" s="13">
        <f t="shared" ref="D466:E466" si="463">B466/12</f>
        <v>520.4424</v>
      </c>
      <c r="E466" s="13">
        <f t="shared" si="463"/>
        <v>4337.02</v>
      </c>
      <c r="F466" s="13">
        <v>590.69</v>
      </c>
    </row>
    <row r="467">
      <c r="A467" s="11">
        <v>7.0</v>
      </c>
      <c r="B467" s="12">
        <f t="shared" si="2"/>
        <v>3885.6636</v>
      </c>
      <c r="C467" s="13">
        <v>32380.53</v>
      </c>
      <c r="D467" s="13">
        <f t="shared" ref="D467:E467" si="464">B467/12</f>
        <v>323.8053</v>
      </c>
      <c r="E467" s="13">
        <f t="shared" si="464"/>
        <v>2698.3775</v>
      </c>
      <c r="F467" s="13">
        <v>523.02</v>
      </c>
    </row>
    <row r="468">
      <c r="A468" s="11">
        <v>6.0</v>
      </c>
      <c r="B468" s="12">
        <f t="shared" si="2"/>
        <v>6354.5388</v>
      </c>
      <c r="C468" s="13">
        <v>52954.49</v>
      </c>
      <c r="D468" s="13">
        <f t="shared" ref="D468:E468" si="465">B468/12</f>
        <v>529.5449</v>
      </c>
      <c r="E468" s="13">
        <f t="shared" si="465"/>
        <v>4412.874167</v>
      </c>
      <c r="F468" s="13">
        <v>496.55</v>
      </c>
    </row>
    <row r="469">
      <c r="A469" s="11">
        <v>3.0</v>
      </c>
      <c r="B469" s="12">
        <f t="shared" si="2"/>
        <v>2168.1444</v>
      </c>
      <c r="C469" s="13">
        <v>18067.87</v>
      </c>
      <c r="D469" s="13">
        <f t="shared" ref="D469:E469" si="466">B469/12</f>
        <v>180.6787</v>
      </c>
      <c r="E469" s="13">
        <f t="shared" si="466"/>
        <v>1505.655833</v>
      </c>
      <c r="F469" s="13">
        <v>798.51</v>
      </c>
    </row>
    <row r="470">
      <c r="A470" s="11">
        <v>0.0</v>
      </c>
      <c r="B470" s="12">
        <f t="shared" si="2"/>
        <v>7236.492</v>
      </c>
      <c r="C470" s="13">
        <v>60304.1</v>
      </c>
      <c r="D470" s="13">
        <f t="shared" ref="D470:E470" si="467">B470/12</f>
        <v>603.041</v>
      </c>
      <c r="E470" s="13">
        <f t="shared" si="467"/>
        <v>5025.341667</v>
      </c>
      <c r="F470" s="13">
        <v>415.91</v>
      </c>
    </row>
    <row r="471">
      <c r="A471" s="11">
        <v>6.0</v>
      </c>
      <c r="B471" s="12">
        <f t="shared" si="2"/>
        <v>2585.3868</v>
      </c>
      <c r="C471" s="13">
        <v>21544.89</v>
      </c>
      <c r="D471" s="13">
        <f t="shared" ref="D471:E471" si="468">B471/12</f>
        <v>215.4489</v>
      </c>
      <c r="E471" s="13">
        <f t="shared" si="468"/>
        <v>1795.4075</v>
      </c>
      <c r="F471" s="13">
        <v>82.52</v>
      </c>
    </row>
    <row r="472">
      <c r="A472" s="11">
        <v>5.0</v>
      </c>
      <c r="B472" s="12">
        <f t="shared" si="2"/>
        <v>140.8272</v>
      </c>
      <c r="C472" s="13">
        <v>1173.56</v>
      </c>
      <c r="D472" s="13">
        <f t="shared" ref="D472:E472" si="469">B472/12</f>
        <v>11.7356</v>
      </c>
      <c r="E472" s="13">
        <f t="shared" si="469"/>
        <v>97.79666667</v>
      </c>
      <c r="F472" s="13">
        <v>178.14</v>
      </c>
    </row>
    <row r="473">
      <c r="A473" s="11">
        <v>5.0</v>
      </c>
      <c r="B473" s="12">
        <f t="shared" si="2"/>
        <v>1270.818</v>
      </c>
      <c r="C473" s="13">
        <v>10590.15</v>
      </c>
      <c r="D473" s="13">
        <f t="shared" ref="D473:E473" si="470">B473/12</f>
        <v>105.9015</v>
      </c>
      <c r="E473" s="13">
        <f t="shared" si="470"/>
        <v>882.5125</v>
      </c>
      <c r="F473" s="13">
        <v>990.73</v>
      </c>
    </row>
    <row r="474">
      <c r="A474" s="11">
        <v>1.0</v>
      </c>
      <c r="B474" s="12">
        <f t="shared" si="2"/>
        <v>10309.1076</v>
      </c>
      <c r="C474" s="13">
        <v>85909.23</v>
      </c>
      <c r="D474" s="13">
        <f t="shared" ref="D474:E474" si="471">B474/12</f>
        <v>859.0923</v>
      </c>
      <c r="E474" s="13">
        <f t="shared" si="471"/>
        <v>7159.1025</v>
      </c>
      <c r="F474" s="13">
        <v>419.31</v>
      </c>
    </row>
    <row r="475">
      <c r="A475" s="11">
        <v>2.0</v>
      </c>
      <c r="B475" s="12">
        <f t="shared" si="2"/>
        <v>5489.7756</v>
      </c>
      <c r="C475" s="13">
        <v>45748.13</v>
      </c>
      <c r="D475" s="13">
        <f t="shared" ref="D475:E475" si="472">B475/12</f>
        <v>457.4813</v>
      </c>
      <c r="E475" s="13">
        <f t="shared" si="472"/>
        <v>3812.344167</v>
      </c>
      <c r="F475" s="13">
        <v>550.38</v>
      </c>
    </row>
    <row r="476">
      <c r="A476" s="11">
        <v>1.0</v>
      </c>
      <c r="B476" s="12">
        <f t="shared" si="2"/>
        <v>10827.1476</v>
      </c>
      <c r="C476" s="13">
        <v>90226.23</v>
      </c>
      <c r="D476" s="13">
        <f t="shared" ref="D476:E476" si="473">B476/12</f>
        <v>902.2623</v>
      </c>
      <c r="E476" s="13">
        <f t="shared" si="473"/>
        <v>7518.8525</v>
      </c>
      <c r="F476" s="13">
        <v>187.01</v>
      </c>
    </row>
    <row r="477">
      <c r="A477" s="11">
        <v>8.0</v>
      </c>
      <c r="B477" s="12">
        <f t="shared" si="2"/>
        <v>8298.804</v>
      </c>
      <c r="C477" s="13">
        <v>69156.7</v>
      </c>
      <c r="D477" s="13">
        <f t="shared" ref="D477:E477" si="474">B477/12</f>
        <v>691.567</v>
      </c>
      <c r="E477" s="13">
        <f t="shared" si="474"/>
        <v>5763.058333</v>
      </c>
      <c r="F477" s="13">
        <v>124.97</v>
      </c>
    </row>
    <row r="478">
      <c r="A478" s="11">
        <v>4.0</v>
      </c>
      <c r="B478" s="12">
        <f t="shared" si="2"/>
        <v>11881.8276</v>
      </c>
      <c r="C478" s="13">
        <v>99015.23</v>
      </c>
      <c r="D478" s="13">
        <f t="shared" ref="D478:E478" si="475">B478/12</f>
        <v>990.1523</v>
      </c>
      <c r="E478" s="13">
        <f t="shared" si="475"/>
        <v>8251.269167</v>
      </c>
      <c r="F478" s="13">
        <v>596.86</v>
      </c>
    </row>
    <row r="479">
      <c r="A479" s="11">
        <v>3.0</v>
      </c>
      <c r="B479" s="12">
        <f t="shared" si="2"/>
        <v>6099.5256</v>
      </c>
      <c r="C479" s="13">
        <v>50829.38</v>
      </c>
      <c r="D479" s="13">
        <f t="shared" ref="D479:E479" si="476">B479/12</f>
        <v>508.2938</v>
      </c>
      <c r="E479" s="13">
        <f t="shared" si="476"/>
        <v>4235.781667</v>
      </c>
      <c r="F479" s="13">
        <v>262.66</v>
      </c>
    </row>
    <row r="480">
      <c r="A480" s="11">
        <v>5.0</v>
      </c>
      <c r="B480" s="12">
        <f t="shared" si="2"/>
        <v>5772.9972</v>
      </c>
      <c r="C480" s="13">
        <v>48108.31</v>
      </c>
      <c r="D480" s="13">
        <f t="shared" ref="D480:E480" si="477">B480/12</f>
        <v>481.0831</v>
      </c>
      <c r="E480" s="13">
        <f t="shared" si="477"/>
        <v>4009.025833</v>
      </c>
      <c r="F480" s="13">
        <v>932.24</v>
      </c>
    </row>
    <row r="481">
      <c r="A481" s="11">
        <v>1.0</v>
      </c>
      <c r="B481" s="12">
        <f t="shared" si="2"/>
        <v>1815.342</v>
      </c>
      <c r="C481" s="13">
        <v>15127.85</v>
      </c>
      <c r="D481" s="13">
        <f t="shared" ref="D481:E481" si="478">B481/12</f>
        <v>151.2785</v>
      </c>
      <c r="E481" s="13">
        <f t="shared" si="478"/>
        <v>1260.654167</v>
      </c>
      <c r="F481" s="13">
        <v>67.93</v>
      </c>
    </row>
    <row r="482">
      <c r="A482" s="11">
        <v>6.0</v>
      </c>
      <c r="B482" s="12">
        <f t="shared" si="2"/>
        <v>11102.6352</v>
      </c>
      <c r="C482" s="13">
        <v>92521.96</v>
      </c>
      <c r="D482" s="13">
        <f t="shared" ref="D482:E482" si="479">B482/12</f>
        <v>925.2196</v>
      </c>
      <c r="E482" s="13">
        <f t="shared" si="479"/>
        <v>7710.163333</v>
      </c>
      <c r="F482" s="13">
        <v>87.59</v>
      </c>
    </row>
    <row r="483">
      <c r="A483" s="11">
        <v>1.0</v>
      </c>
      <c r="B483" s="12">
        <f t="shared" si="2"/>
        <v>10860.0972</v>
      </c>
      <c r="C483" s="13">
        <v>90500.81</v>
      </c>
      <c r="D483" s="13">
        <f t="shared" ref="D483:E483" si="480">B483/12</f>
        <v>905.0081</v>
      </c>
      <c r="E483" s="13">
        <f t="shared" si="480"/>
        <v>7541.734167</v>
      </c>
      <c r="F483" s="13">
        <v>383.41</v>
      </c>
    </row>
    <row r="484">
      <c r="A484" s="11">
        <v>0.0</v>
      </c>
      <c r="B484" s="12">
        <f t="shared" si="2"/>
        <v>9874.7928</v>
      </c>
      <c r="C484" s="13">
        <v>82289.94</v>
      </c>
      <c r="D484" s="13">
        <f t="shared" ref="D484:E484" si="481">B484/12</f>
        <v>822.8994</v>
      </c>
      <c r="E484" s="13">
        <f t="shared" si="481"/>
        <v>6857.495</v>
      </c>
      <c r="F484" s="13">
        <v>84.69</v>
      </c>
    </row>
    <row r="485">
      <c r="A485" s="11">
        <v>1.0</v>
      </c>
      <c r="B485" s="12">
        <f t="shared" si="2"/>
        <v>1800.9768</v>
      </c>
      <c r="C485" s="13">
        <v>15008.14</v>
      </c>
      <c r="D485" s="13">
        <f t="shared" ref="D485:E485" si="482">B485/12</f>
        <v>150.0814</v>
      </c>
      <c r="E485" s="13">
        <f t="shared" si="482"/>
        <v>1250.678333</v>
      </c>
      <c r="F485" s="13">
        <v>32.71</v>
      </c>
    </row>
    <row r="486">
      <c r="A486" s="11">
        <v>2.0</v>
      </c>
      <c r="B486" s="12">
        <f t="shared" si="2"/>
        <v>9215.3664</v>
      </c>
      <c r="C486" s="13">
        <v>76794.72</v>
      </c>
      <c r="D486" s="13">
        <f t="shared" ref="D486:E486" si="483">B486/12</f>
        <v>767.9472</v>
      </c>
      <c r="E486" s="13">
        <f t="shared" si="483"/>
        <v>6399.56</v>
      </c>
      <c r="F486" s="13">
        <v>972.48</v>
      </c>
    </row>
    <row r="487">
      <c r="A487" s="11">
        <v>4.0</v>
      </c>
      <c r="B487" s="12">
        <f t="shared" si="2"/>
        <v>4475.1012</v>
      </c>
      <c r="C487" s="13">
        <v>37292.51</v>
      </c>
      <c r="D487" s="13">
        <f t="shared" ref="D487:E487" si="484">B487/12</f>
        <v>372.9251</v>
      </c>
      <c r="E487" s="13">
        <f t="shared" si="484"/>
        <v>3107.709167</v>
      </c>
      <c r="F487" s="13">
        <v>704.63</v>
      </c>
    </row>
    <row r="488">
      <c r="A488" s="11">
        <v>1.0</v>
      </c>
      <c r="B488" s="12">
        <f t="shared" si="2"/>
        <v>2640.258</v>
      </c>
      <c r="C488" s="13">
        <v>22002.15</v>
      </c>
      <c r="D488" s="13">
        <f t="shared" ref="D488:E488" si="485">B488/12</f>
        <v>220.0215</v>
      </c>
      <c r="E488" s="13">
        <f t="shared" si="485"/>
        <v>1833.5125</v>
      </c>
      <c r="F488" s="13">
        <v>809.31</v>
      </c>
    </row>
    <row r="489">
      <c r="A489" s="11">
        <v>5.0</v>
      </c>
      <c r="B489" s="12">
        <f t="shared" si="2"/>
        <v>10133.82</v>
      </c>
      <c r="C489" s="13">
        <v>84448.5</v>
      </c>
      <c r="D489" s="13">
        <f t="shared" ref="D489:E489" si="486">B489/12</f>
        <v>844.485</v>
      </c>
      <c r="E489" s="13">
        <f t="shared" si="486"/>
        <v>7037.375</v>
      </c>
      <c r="F489" s="13">
        <v>382.53</v>
      </c>
    </row>
    <row r="490">
      <c r="A490" s="11">
        <v>9.0</v>
      </c>
      <c r="B490" s="12">
        <f t="shared" si="2"/>
        <v>5811.0144</v>
      </c>
      <c r="C490" s="13">
        <v>48425.12</v>
      </c>
      <c r="D490" s="13">
        <f t="shared" ref="D490:E490" si="487">B490/12</f>
        <v>484.2512</v>
      </c>
      <c r="E490" s="13">
        <f t="shared" si="487"/>
        <v>4035.426667</v>
      </c>
      <c r="F490" s="13">
        <v>399.4</v>
      </c>
    </row>
    <row r="491">
      <c r="A491" s="11">
        <v>3.0</v>
      </c>
      <c r="B491" s="12">
        <f t="shared" si="2"/>
        <v>1700.22</v>
      </c>
      <c r="C491" s="13">
        <v>14168.5</v>
      </c>
      <c r="D491" s="13">
        <f t="shared" ref="D491:E491" si="488">B491/12</f>
        <v>141.685</v>
      </c>
      <c r="E491" s="13">
        <f t="shared" si="488"/>
        <v>1180.708333</v>
      </c>
      <c r="F491" s="13">
        <v>335.73</v>
      </c>
    </row>
    <row r="492">
      <c r="A492" s="11">
        <v>2.0</v>
      </c>
      <c r="B492" s="12">
        <f t="shared" si="2"/>
        <v>9025.2888</v>
      </c>
      <c r="C492" s="13">
        <v>75210.74</v>
      </c>
      <c r="D492" s="13">
        <f t="shared" ref="D492:E492" si="489">B492/12</f>
        <v>752.1074</v>
      </c>
      <c r="E492" s="13">
        <f t="shared" si="489"/>
        <v>6267.561667</v>
      </c>
      <c r="F492" s="13">
        <v>355.25</v>
      </c>
    </row>
    <row r="493">
      <c r="A493" s="11">
        <v>8.0</v>
      </c>
      <c r="B493" s="12">
        <f t="shared" si="2"/>
        <v>4362.0492</v>
      </c>
      <c r="C493" s="13">
        <v>36350.41</v>
      </c>
      <c r="D493" s="13">
        <f t="shared" ref="D493:E493" si="490">B493/12</f>
        <v>363.5041</v>
      </c>
      <c r="E493" s="13">
        <f t="shared" si="490"/>
        <v>3029.200833</v>
      </c>
      <c r="F493" s="13">
        <v>895.52</v>
      </c>
    </row>
    <row r="494">
      <c r="A494" s="11">
        <v>1.0</v>
      </c>
      <c r="B494" s="12">
        <f t="shared" si="2"/>
        <v>8914.4088</v>
      </c>
      <c r="C494" s="13">
        <v>74286.74</v>
      </c>
      <c r="D494" s="13">
        <f t="shared" ref="D494:E494" si="491">B494/12</f>
        <v>742.8674</v>
      </c>
      <c r="E494" s="13">
        <f t="shared" si="491"/>
        <v>6190.561667</v>
      </c>
      <c r="F494" s="13">
        <v>938.12</v>
      </c>
    </row>
    <row r="495">
      <c r="A495" s="11">
        <v>8.0</v>
      </c>
      <c r="B495" s="12">
        <f t="shared" si="2"/>
        <v>596.9988</v>
      </c>
      <c r="C495" s="13">
        <v>4974.99</v>
      </c>
      <c r="D495" s="13">
        <f t="shared" ref="D495:E495" si="492">B495/12</f>
        <v>49.7499</v>
      </c>
      <c r="E495" s="13">
        <f t="shared" si="492"/>
        <v>414.5825</v>
      </c>
      <c r="F495" s="13">
        <v>857.24</v>
      </c>
    </row>
    <row r="496">
      <c r="A496" s="11">
        <v>3.0</v>
      </c>
      <c r="B496" s="12">
        <f t="shared" si="2"/>
        <v>10400.1864</v>
      </c>
      <c r="C496" s="13">
        <v>86668.22</v>
      </c>
      <c r="D496" s="13">
        <f t="shared" ref="D496:E496" si="493">B496/12</f>
        <v>866.6822</v>
      </c>
      <c r="E496" s="13">
        <f t="shared" si="493"/>
        <v>7222.351667</v>
      </c>
      <c r="F496" s="13">
        <v>576.31</v>
      </c>
    </row>
    <row r="497">
      <c r="A497" s="11">
        <v>0.0</v>
      </c>
      <c r="B497" s="12">
        <f t="shared" si="2"/>
        <v>10415.8212</v>
      </c>
      <c r="C497" s="13">
        <v>86798.51</v>
      </c>
      <c r="D497" s="13">
        <f t="shared" ref="D497:E497" si="494">B497/12</f>
        <v>867.9851</v>
      </c>
      <c r="E497" s="13">
        <f t="shared" si="494"/>
        <v>7233.209167</v>
      </c>
      <c r="F497" s="13">
        <v>530.03</v>
      </c>
    </row>
    <row r="498">
      <c r="A498" s="11">
        <v>6.0</v>
      </c>
      <c r="B498" s="12">
        <f t="shared" si="2"/>
        <v>328.6296</v>
      </c>
      <c r="C498" s="13">
        <v>2738.58</v>
      </c>
      <c r="D498" s="13">
        <f t="shared" ref="D498:E498" si="495">B498/12</f>
        <v>27.3858</v>
      </c>
      <c r="E498" s="13">
        <f t="shared" si="495"/>
        <v>228.215</v>
      </c>
      <c r="F498" s="13">
        <v>416.82</v>
      </c>
    </row>
    <row r="499">
      <c r="A499" s="11">
        <v>1.0</v>
      </c>
      <c r="B499" s="12">
        <f t="shared" si="2"/>
        <v>4883.058</v>
      </c>
      <c r="C499" s="13">
        <v>40692.15</v>
      </c>
      <c r="D499" s="13">
        <f t="shared" ref="D499:E499" si="496">B499/12</f>
        <v>406.9215</v>
      </c>
      <c r="E499" s="13">
        <f t="shared" si="496"/>
        <v>3391.0125</v>
      </c>
      <c r="F499" s="13">
        <v>496.69</v>
      </c>
    </row>
    <row r="500">
      <c r="A500" s="11">
        <v>5.0</v>
      </c>
      <c r="B500" s="12">
        <f t="shared" si="2"/>
        <v>6674.394</v>
      </c>
      <c r="C500" s="13">
        <v>55619.95</v>
      </c>
      <c r="D500" s="13">
        <f t="shared" ref="D500:E500" si="497">B500/12</f>
        <v>556.1995</v>
      </c>
      <c r="E500" s="13">
        <f t="shared" si="497"/>
        <v>4634.995833</v>
      </c>
      <c r="F500" s="13">
        <v>200.85</v>
      </c>
    </row>
    <row r="501">
      <c r="A501" s="11">
        <v>3.0</v>
      </c>
      <c r="B501" s="12">
        <f t="shared" si="2"/>
        <v>6810.9456</v>
      </c>
      <c r="C501" s="13">
        <v>56757.88</v>
      </c>
      <c r="D501" s="13">
        <f t="shared" ref="D501:E501" si="498">B501/12</f>
        <v>567.5788</v>
      </c>
      <c r="E501" s="13">
        <f t="shared" si="498"/>
        <v>4729.823333</v>
      </c>
      <c r="F501" s="13">
        <v>813.5</v>
      </c>
    </row>
    <row r="502">
      <c r="A502" s="11">
        <v>5.0</v>
      </c>
      <c r="B502" s="12">
        <f t="shared" si="2"/>
        <v>10494.5676</v>
      </c>
      <c r="C502" s="13">
        <v>87454.73</v>
      </c>
      <c r="D502" s="13">
        <f t="shared" ref="D502:E502" si="499">B502/12</f>
        <v>874.5473</v>
      </c>
      <c r="E502" s="13">
        <f t="shared" si="499"/>
        <v>7287.894167</v>
      </c>
      <c r="F502" s="13">
        <v>845.41</v>
      </c>
    </row>
    <row r="503">
      <c r="A503" s="11">
        <v>8.0</v>
      </c>
      <c r="B503" s="12">
        <f t="shared" si="2"/>
        <v>2158.0296</v>
      </c>
      <c r="C503" s="13">
        <v>17983.58</v>
      </c>
      <c r="D503" s="13">
        <f t="shared" ref="D503:E503" si="500">B503/12</f>
        <v>179.8358</v>
      </c>
      <c r="E503" s="13">
        <f t="shared" si="500"/>
        <v>1498.631667</v>
      </c>
      <c r="F503" s="13">
        <v>858.01</v>
      </c>
    </row>
    <row r="504">
      <c r="A504" s="11">
        <v>5.0</v>
      </c>
      <c r="B504" s="12">
        <f t="shared" si="2"/>
        <v>1207.3452</v>
      </c>
      <c r="C504" s="13">
        <v>10061.21</v>
      </c>
      <c r="D504" s="13">
        <f t="shared" ref="D504:E504" si="501">B504/12</f>
        <v>100.6121</v>
      </c>
      <c r="E504" s="13">
        <f t="shared" si="501"/>
        <v>838.4341667</v>
      </c>
      <c r="F504" s="13">
        <v>529.0</v>
      </c>
    </row>
    <row r="505">
      <c r="A505" s="11">
        <v>1.0</v>
      </c>
      <c r="B505" s="12">
        <f t="shared" si="2"/>
        <v>7613.2416</v>
      </c>
      <c r="C505" s="13">
        <v>63443.68</v>
      </c>
      <c r="D505" s="13">
        <f t="shared" ref="D505:E505" si="502">B505/12</f>
        <v>634.4368</v>
      </c>
      <c r="E505" s="13">
        <f t="shared" si="502"/>
        <v>5286.973333</v>
      </c>
      <c r="F505" s="13">
        <v>151.27</v>
      </c>
    </row>
    <row r="506">
      <c r="A506" s="11">
        <v>5.0</v>
      </c>
      <c r="B506" s="12">
        <f t="shared" si="2"/>
        <v>1925.8248</v>
      </c>
      <c r="C506" s="13">
        <v>16048.54</v>
      </c>
      <c r="D506" s="13">
        <f t="shared" ref="D506:E506" si="503">B506/12</f>
        <v>160.4854</v>
      </c>
      <c r="E506" s="13">
        <f t="shared" si="503"/>
        <v>1337.378333</v>
      </c>
      <c r="F506" s="13">
        <v>716.88</v>
      </c>
    </row>
    <row r="507">
      <c r="A507" s="11">
        <v>1.0</v>
      </c>
      <c r="B507" s="12">
        <f t="shared" si="2"/>
        <v>9779.7864</v>
      </c>
      <c r="C507" s="13">
        <v>81498.22</v>
      </c>
      <c r="D507" s="13">
        <f t="shared" ref="D507:E507" si="504">B507/12</f>
        <v>814.9822</v>
      </c>
      <c r="E507" s="13">
        <f t="shared" si="504"/>
        <v>6791.518333</v>
      </c>
      <c r="F507" s="13">
        <v>341.35</v>
      </c>
    </row>
    <row r="508">
      <c r="A508" s="11">
        <v>7.0</v>
      </c>
      <c r="B508" s="12">
        <f t="shared" si="2"/>
        <v>11773.0836</v>
      </c>
      <c r="C508" s="13">
        <v>98109.03</v>
      </c>
      <c r="D508" s="13">
        <f t="shared" ref="D508:E508" si="505">B508/12</f>
        <v>981.0903</v>
      </c>
      <c r="E508" s="13">
        <f t="shared" si="505"/>
        <v>8175.7525</v>
      </c>
      <c r="F508" s="13">
        <v>874.44</v>
      </c>
    </row>
    <row r="509">
      <c r="A509" s="11">
        <v>3.0</v>
      </c>
      <c r="B509" s="12">
        <f t="shared" si="2"/>
        <v>514.224</v>
      </c>
      <c r="C509" s="13">
        <v>4285.2</v>
      </c>
      <c r="D509" s="13">
        <f t="shared" ref="D509:E509" si="506">B509/12</f>
        <v>42.852</v>
      </c>
      <c r="E509" s="13">
        <f t="shared" si="506"/>
        <v>357.1</v>
      </c>
      <c r="F509" s="13">
        <v>367.2</v>
      </c>
    </row>
    <row r="510">
      <c r="A510" s="11">
        <v>4.0</v>
      </c>
      <c r="B510" s="12">
        <f t="shared" si="2"/>
        <v>4351.0824</v>
      </c>
      <c r="C510" s="13">
        <v>36259.02</v>
      </c>
      <c r="D510" s="13">
        <f t="shared" ref="D510:E510" si="507">B510/12</f>
        <v>362.5902</v>
      </c>
      <c r="E510" s="13">
        <f t="shared" si="507"/>
        <v>3021.585</v>
      </c>
      <c r="F510" s="13">
        <v>507.45</v>
      </c>
    </row>
    <row r="511">
      <c r="A511" s="11">
        <v>8.0</v>
      </c>
      <c r="B511" s="12">
        <f t="shared" si="2"/>
        <v>7282.9812</v>
      </c>
      <c r="C511" s="13">
        <v>60691.51</v>
      </c>
      <c r="D511" s="13">
        <f t="shared" ref="D511:E511" si="508">B511/12</f>
        <v>606.9151</v>
      </c>
      <c r="E511" s="13">
        <f t="shared" si="508"/>
        <v>5057.625833</v>
      </c>
      <c r="F511" s="13">
        <v>700.45</v>
      </c>
    </row>
    <row r="512">
      <c r="A512" s="11">
        <v>5.0</v>
      </c>
      <c r="B512" s="12">
        <f t="shared" si="2"/>
        <v>10082.3148</v>
      </c>
      <c r="C512" s="13">
        <v>84019.29</v>
      </c>
      <c r="D512" s="13">
        <f t="shared" ref="D512:E512" si="509">B512/12</f>
        <v>840.1929</v>
      </c>
      <c r="E512" s="13">
        <f t="shared" si="509"/>
        <v>7001.6075</v>
      </c>
      <c r="F512" s="13">
        <v>619.53</v>
      </c>
    </row>
    <row r="513">
      <c r="A513" s="11">
        <v>9.0</v>
      </c>
      <c r="B513" s="12">
        <f t="shared" si="2"/>
        <v>5679.012</v>
      </c>
      <c r="C513" s="13">
        <v>47325.1</v>
      </c>
      <c r="D513" s="13">
        <f t="shared" ref="D513:E513" si="510">B513/12</f>
        <v>473.251</v>
      </c>
      <c r="E513" s="13">
        <f t="shared" si="510"/>
        <v>3943.758333</v>
      </c>
      <c r="F513" s="13">
        <v>669.39</v>
      </c>
    </row>
    <row r="514">
      <c r="A514" s="11">
        <v>1.0</v>
      </c>
      <c r="B514" s="12">
        <f t="shared" si="2"/>
        <v>54.5808</v>
      </c>
      <c r="C514" s="13">
        <v>454.84</v>
      </c>
      <c r="D514" s="13">
        <f t="shared" ref="D514:E514" si="511">B514/12</f>
        <v>4.5484</v>
      </c>
      <c r="E514" s="13">
        <f t="shared" si="511"/>
        <v>37.90333333</v>
      </c>
      <c r="F514" s="13">
        <v>44.3</v>
      </c>
    </row>
    <row r="515">
      <c r="A515" s="11">
        <v>6.0</v>
      </c>
      <c r="B515" s="12">
        <f t="shared" si="2"/>
        <v>9194.5752</v>
      </c>
      <c r="C515" s="13">
        <v>76621.46</v>
      </c>
      <c r="D515" s="13">
        <f t="shared" ref="D515:E515" si="512">B515/12</f>
        <v>766.2146</v>
      </c>
      <c r="E515" s="13">
        <f t="shared" si="512"/>
        <v>6385.121667</v>
      </c>
      <c r="F515" s="13">
        <v>121.09</v>
      </c>
    </row>
    <row r="516">
      <c r="A516" s="11">
        <v>7.0</v>
      </c>
      <c r="B516" s="12">
        <f t="shared" si="2"/>
        <v>8829.462</v>
      </c>
      <c r="C516" s="13">
        <v>73578.85</v>
      </c>
      <c r="D516" s="13">
        <f t="shared" ref="D516:E516" si="513">B516/12</f>
        <v>735.7885</v>
      </c>
      <c r="E516" s="13">
        <f t="shared" si="513"/>
        <v>6131.570833</v>
      </c>
      <c r="F516" s="13">
        <v>738.54</v>
      </c>
    </row>
    <row r="517">
      <c r="A517" s="11">
        <v>2.0</v>
      </c>
      <c r="B517" s="12">
        <f t="shared" si="2"/>
        <v>5320.8708</v>
      </c>
      <c r="C517" s="13">
        <v>44340.59</v>
      </c>
      <c r="D517" s="13">
        <f t="shared" ref="D517:E517" si="514">B517/12</f>
        <v>443.4059</v>
      </c>
      <c r="E517" s="13">
        <f t="shared" si="514"/>
        <v>3695.049167</v>
      </c>
      <c r="F517" s="13">
        <v>496.66</v>
      </c>
    </row>
    <row r="518">
      <c r="A518" s="11">
        <v>9.0</v>
      </c>
      <c r="B518" s="12">
        <f t="shared" si="2"/>
        <v>5351.364</v>
      </c>
      <c r="C518" s="13">
        <v>44594.7</v>
      </c>
      <c r="D518" s="13">
        <f t="shared" ref="D518:E518" si="515">B518/12</f>
        <v>445.947</v>
      </c>
      <c r="E518" s="13">
        <f t="shared" si="515"/>
        <v>3716.225</v>
      </c>
      <c r="F518" s="13">
        <v>70.7</v>
      </c>
    </row>
    <row r="519">
      <c r="A519" s="11">
        <v>5.0</v>
      </c>
      <c r="B519" s="12">
        <f t="shared" si="2"/>
        <v>824.6196</v>
      </c>
      <c r="C519" s="13">
        <v>6871.83</v>
      </c>
      <c r="D519" s="13">
        <f t="shared" ref="D519:E519" si="516">B519/12</f>
        <v>68.7183</v>
      </c>
      <c r="E519" s="13">
        <f t="shared" si="516"/>
        <v>572.6525</v>
      </c>
      <c r="F519" s="13">
        <v>801.02</v>
      </c>
    </row>
    <row r="520">
      <c r="A520" s="11">
        <v>9.0</v>
      </c>
      <c r="B520" s="12">
        <f t="shared" si="2"/>
        <v>1246.2348</v>
      </c>
      <c r="C520" s="13">
        <v>10385.29</v>
      </c>
      <c r="D520" s="13">
        <f t="shared" ref="D520:E520" si="517">B520/12</f>
        <v>103.8529</v>
      </c>
      <c r="E520" s="13">
        <f t="shared" si="517"/>
        <v>865.4408333</v>
      </c>
      <c r="F520" s="13">
        <v>503.54</v>
      </c>
    </row>
    <row r="521">
      <c r="A521" s="11">
        <v>6.0</v>
      </c>
      <c r="B521" s="12">
        <f t="shared" si="2"/>
        <v>2366.1828</v>
      </c>
      <c r="C521" s="13">
        <v>19718.19</v>
      </c>
      <c r="D521" s="13">
        <f t="shared" ref="D521:E521" si="518">B521/12</f>
        <v>197.1819</v>
      </c>
      <c r="E521" s="13">
        <f t="shared" si="518"/>
        <v>1643.1825</v>
      </c>
      <c r="F521" s="13">
        <v>418.75</v>
      </c>
    </row>
    <row r="522">
      <c r="A522" s="11">
        <v>5.0</v>
      </c>
      <c r="B522" s="12">
        <f t="shared" si="2"/>
        <v>9878.1828</v>
      </c>
      <c r="C522" s="13">
        <v>82318.19</v>
      </c>
      <c r="D522" s="13">
        <f t="shared" ref="D522:E522" si="519">B522/12</f>
        <v>823.1819</v>
      </c>
      <c r="E522" s="13">
        <f t="shared" si="519"/>
        <v>6859.849167</v>
      </c>
      <c r="F522" s="13">
        <v>280.29</v>
      </c>
    </row>
    <row r="523">
      <c r="A523" s="11">
        <v>2.0</v>
      </c>
      <c r="B523" s="12">
        <f t="shared" si="2"/>
        <v>2335.7328</v>
      </c>
      <c r="C523" s="13">
        <v>19464.44</v>
      </c>
      <c r="D523" s="13">
        <f t="shared" ref="D523:E523" si="520">B523/12</f>
        <v>194.6444</v>
      </c>
      <c r="E523" s="13">
        <f t="shared" si="520"/>
        <v>1622.036667</v>
      </c>
      <c r="F523" s="13">
        <v>833.72</v>
      </c>
    </row>
    <row r="524">
      <c r="A524" s="11">
        <v>0.0</v>
      </c>
      <c r="B524" s="12">
        <f t="shared" si="2"/>
        <v>9367.6692</v>
      </c>
      <c r="C524" s="13">
        <v>78063.91</v>
      </c>
      <c r="D524" s="13">
        <f t="shared" ref="D524:E524" si="521">B524/12</f>
        <v>780.6391</v>
      </c>
      <c r="E524" s="13">
        <f t="shared" si="521"/>
        <v>6505.325833</v>
      </c>
      <c r="F524" s="13">
        <v>528.71</v>
      </c>
    </row>
    <row r="525">
      <c r="A525" s="11">
        <v>7.0</v>
      </c>
      <c r="B525" s="12">
        <f t="shared" si="2"/>
        <v>3359.1648</v>
      </c>
      <c r="C525" s="13">
        <v>27993.04</v>
      </c>
      <c r="D525" s="13">
        <f t="shared" ref="D525:E525" si="522">B525/12</f>
        <v>279.9304</v>
      </c>
      <c r="E525" s="13">
        <f t="shared" si="522"/>
        <v>2332.753333</v>
      </c>
      <c r="F525" s="13">
        <v>898.11</v>
      </c>
    </row>
    <row r="526">
      <c r="A526" s="11">
        <v>2.0</v>
      </c>
      <c r="B526" s="12">
        <f t="shared" si="2"/>
        <v>7267.2</v>
      </c>
      <c r="C526" s="13">
        <v>60560.0</v>
      </c>
      <c r="D526" s="13">
        <f t="shared" ref="D526:E526" si="523">B526/12</f>
        <v>605.6</v>
      </c>
      <c r="E526" s="13">
        <f t="shared" si="523"/>
        <v>5046.666667</v>
      </c>
      <c r="F526" s="13">
        <v>474.26</v>
      </c>
    </row>
    <row r="527">
      <c r="A527" s="11">
        <v>7.0</v>
      </c>
      <c r="B527" s="12">
        <f t="shared" si="2"/>
        <v>2853.666</v>
      </c>
      <c r="C527" s="13">
        <v>23780.55</v>
      </c>
      <c r="D527" s="13">
        <f t="shared" ref="D527:E527" si="524">B527/12</f>
        <v>237.8055</v>
      </c>
      <c r="E527" s="13">
        <f t="shared" si="524"/>
        <v>1981.7125</v>
      </c>
      <c r="F527" s="13">
        <v>562.33</v>
      </c>
    </row>
    <row r="528">
      <c r="A528" s="11">
        <v>2.0</v>
      </c>
      <c r="B528" s="12">
        <f t="shared" si="2"/>
        <v>11740.8564</v>
      </c>
      <c r="C528" s="13">
        <v>97840.47</v>
      </c>
      <c r="D528" s="13">
        <f t="shared" ref="D528:E528" si="525">B528/12</f>
        <v>978.4047</v>
      </c>
      <c r="E528" s="13">
        <f t="shared" si="525"/>
        <v>8153.3725</v>
      </c>
      <c r="F528" s="13">
        <v>39.28</v>
      </c>
    </row>
    <row r="529">
      <c r="A529" s="11">
        <v>5.0</v>
      </c>
      <c r="B529" s="12">
        <f t="shared" si="2"/>
        <v>5049.336</v>
      </c>
      <c r="C529" s="13">
        <v>42077.8</v>
      </c>
      <c r="D529" s="13">
        <f t="shared" ref="D529:E529" si="526">B529/12</f>
        <v>420.778</v>
      </c>
      <c r="E529" s="13">
        <f t="shared" si="526"/>
        <v>3506.483333</v>
      </c>
      <c r="F529" s="13">
        <v>510.58</v>
      </c>
    </row>
    <row r="530">
      <c r="A530" s="11">
        <v>3.0</v>
      </c>
      <c r="B530" s="12">
        <f t="shared" si="2"/>
        <v>7274.046</v>
      </c>
      <c r="C530" s="13">
        <v>60617.05</v>
      </c>
      <c r="D530" s="13">
        <f t="shared" ref="D530:E530" si="527">B530/12</f>
        <v>606.1705</v>
      </c>
      <c r="E530" s="13">
        <f t="shared" si="527"/>
        <v>5051.420833</v>
      </c>
      <c r="F530" s="13">
        <v>4.04</v>
      </c>
    </row>
    <row r="531">
      <c r="A531" s="11">
        <v>8.0</v>
      </c>
      <c r="B531" s="12">
        <f t="shared" si="2"/>
        <v>4972.9164</v>
      </c>
      <c r="C531" s="13">
        <v>41440.97</v>
      </c>
      <c r="D531" s="13">
        <f t="shared" ref="D531:E531" si="528">B531/12</f>
        <v>414.4097</v>
      </c>
      <c r="E531" s="13">
        <f t="shared" si="528"/>
        <v>3453.414167</v>
      </c>
      <c r="F531" s="13">
        <v>445.22</v>
      </c>
    </row>
    <row r="532">
      <c r="A532" s="11">
        <v>4.0</v>
      </c>
      <c r="B532" s="12">
        <f t="shared" si="2"/>
        <v>4981.764</v>
      </c>
      <c r="C532" s="13">
        <v>41514.7</v>
      </c>
      <c r="D532" s="13">
        <f t="shared" ref="D532:E532" si="529">B532/12</f>
        <v>415.147</v>
      </c>
      <c r="E532" s="13">
        <f t="shared" si="529"/>
        <v>3459.558333</v>
      </c>
      <c r="F532" s="13">
        <v>793.23</v>
      </c>
    </row>
    <row r="533">
      <c r="A533" s="11">
        <v>0.0</v>
      </c>
      <c r="B533" s="12">
        <f t="shared" si="2"/>
        <v>5591.088</v>
      </c>
      <c r="C533" s="13">
        <v>46592.4</v>
      </c>
      <c r="D533" s="13">
        <f t="shared" ref="D533:E533" si="530">B533/12</f>
        <v>465.924</v>
      </c>
      <c r="E533" s="13">
        <f t="shared" si="530"/>
        <v>3882.7</v>
      </c>
      <c r="F533" s="13">
        <v>182.41</v>
      </c>
    </row>
    <row r="534">
      <c r="A534" s="11">
        <v>8.0</v>
      </c>
      <c r="B534" s="12">
        <f t="shared" si="2"/>
        <v>9777.4548</v>
      </c>
      <c r="C534" s="13">
        <v>81478.79</v>
      </c>
      <c r="D534" s="13">
        <f t="shared" ref="D534:E534" si="531">B534/12</f>
        <v>814.7879</v>
      </c>
      <c r="E534" s="13">
        <f t="shared" si="531"/>
        <v>6789.899167</v>
      </c>
      <c r="F534" s="13">
        <v>605.46</v>
      </c>
    </row>
    <row r="535">
      <c r="A535" s="11">
        <v>5.0</v>
      </c>
      <c r="B535" s="12">
        <f t="shared" si="2"/>
        <v>1824.3048</v>
      </c>
      <c r="C535" s="13">
        <v>15202.54</v>
      </c>
      <c r="D535" s="13">
        <f t="shared" ref="D535:E535" si="532">B535/12</f>
        <v>152.0254</v>
      </c>
      <c r="E535" s="13">
        <f t="shared" si="532"/>
        <v>1266.878333</v>
      </c>
      <c r="F535" s="13">
        <v>662.26</v>
      </c>
    </row>
    <row r="536">
      <c r="A536" s="11">
        <v>0.0</v>
      </c>
      <c r="B536" s="12">
        <f t="shared" si="2"/>
        <v>3792.2664</v>
      </c>
      <c r="C536" s="13">
        <v>31602.22</v>
      </c>
      <c r="D536" s="13">
        <f t="shared" ref="D536:E536" si="533">B536/12</f>
        <v>316.0222</v>
      </c>
      <c r="E536" s="13">
        <f t="shared" si="533"/>
        <v>2633.518333</v>
      </c>
      <c r="F536" s="13">
        <v>567.52</v>
      </c>
    </row>
    <row r="537">
      <c r="A537" s="11">
        <v>9.0</v>
      </c>
      <c r="B537" s="12">
        <f t="shared" si="2"/>
        <v>10811.8224</v>
      </c>
      <c r="C537" s="13">
        <v>90098.52</v>
      </c>
      <c r="D537" s="13">
        <f t="shared" ref="D537:E537" si="534">B537/12</f>
        <v>900.9852</v>
      </c>
      <c r="E537" s="13">
        <f t="shared" si="534"/>
        <v>7508.21</v>
      </c>
      <c r="F537" s="13">
        <v>225.83</v>
      </c>
    </row>
    <row r="538">
      <c r="A538" s="11">
        <v>5.0</v>
      </c>
      <c r="B538" s="12">
        <f t="shared" si="2"/>
        <v>135.7332</v>
      </c>
      <c r="C538" s="13">
        <v>1131.11</v>
      </c>
      <c r="D538" s="13">
        <f t="shared" ref="D538:E538" si="535">B538/12</f>
        <v>11.3111</v>
      </c>
      <c r="E538" s="13">
        <f t="shared" si="535"/>
        <v>94.25916667</v>
      </c>
      <c r="F538" s="13">
        <v>748.87</v>
      </c>
    </row>
    <row r="539">
      <c r="A539" s="11">
        <v>7.0</v>
      </c>
      <c r="B539" s="12">
        <f t="shared" si="2"/>
        <v>7186.884</v>
      </c>
      <c r="C539" s="13">
        <v>59890.7</v>
      </c>
      <c r="D539" s="13">
        <f t="shared" ref="D539:E539" si="536">B539/12</f>
        <v>598.907</v>
      </c>
      <c r="E539" s="13">
        <f t="shared" si="536"/>
        <v>4990.891667</v>
      </c>
      <c r="F539" s="13">
        <v>511.0</v>
      </c>
    </row>
    <row r="540">
      <c r="A540" s="11">
        <v>1.0</v>
      </c>
      <c r="B540" s="12">
        <f t="shared" si="2"/>
        <v>5682.786</v>
      </c>
      <c r="C540" s="13">
        <v>47356.55</v>
      </c>
      <c r="D540" s="13">
        <f t="shared" ref="D540:E540" si="537">B540/12</f>
        <v>473.5655</v>
      </c>
      <c r="E540" s="13">
        <f t="shared" si="537"/>
        <v>3946.379167</v>
      </c>
      <c r="F540" s="13">
        <v>344.6</v>
      </c>
    </row>
    <row r="541">
      <c r="A541" s="11">
        <v>7.0</v>
      </c>
      <c r="B541" s="12">
        <f t="shared" si="2"/>
        <v>6864.9144</v>
      </c>
      <c r="C541" s="13">
        <v>57207.62</v>
      </c>
      <c r="D541" s="13">
        <f t="shared" ref="D541:E541" si="538">B541/12</f>
        <v>572.0762</v>
      </c>
      <c r="E541" s="13">
        <f t="shared" si="538"/>
        <v>4767.301667</v>
      </c>
      <c r="F541" s="13">
        <v>530.11</v>
      </c>
    </row>
    <row r="542">
      <c r="A542" s="11">
        <v>4.0</v>
      </c>
      <c r="B542" s="12">
        <f t="shared" si="2"/>
        <v>1609.0104</v>
      </c>
      <c r="C542" s="13">
        <v>13408.42</v>
      </c>
      <c r="D542" s="13">
        <f t="shared" ref="D542:E542" si="539">B542/12</f>
        <v>134.0842</v>
      </c>
      <c r="E542" s="13">
        <f t="shared" si="539"/>
        <v>1117.368333</v>
      </c>
      <c r="F542" s="13">
        <v>963.53</v>
      </c>
    </row>
    <row r="543">
      <c r="A543" s="11">
        <v>4.0</v>
      </c>
      <c r="B543" s="12">
        <f t="shared" si="2"/>
        <v>9279.768</v>
      </c>
      <c r="C543" s="13">
        <v>77331.4</v>
      </c>
      <c r="D543" s="13">
        <f t="shared" ref="D543:E543" si="540">B543/12</f>
        <v>773.314</v>
      </c>
      <c r="E543" s="13">
        <f t="shared" si="540"/>
        <v>6444.283333</v>
      </c>
      <c r="F543" s="13">
        <v>35.58</v>
      </c>
    </row>
    <row r="544">
      <c r="A544" s="11">
        <v>3.0</v>
      </c>
      <c r="B544" s="12">
        <f t="shared" si="2"/>
        <v>1657.5444</v>
      </c>
      <c r="C544" s="13">
        <v>13812.87</v>
      </c>
      <c r="D544" s="13">
        <f t="shared" ref="D544:E544" si="541">B544/12</f>
        <v>138.1287</v>
      </c>
      <c r="E544" s="13">
        <f t="shared" si="541"/>
        <v>1151.0725</v>
      </c>
      <c r="F544" s="13">
        <v>767.28</v>
      </c>
    </row>
    <row r="545">
      <c r="A545" s="11">
        <v>9.0</v>
      </c>
      <c r="B545" s="12">
        <f t="shared" si="2"/>
        <v>5043.1236</v>
      </c>
      <c r="C545" s="13">
        <v>42026.03</v>
      </c>
      <c r="D545" s="13">
        <f t="shared" ref="D545:E545" si="542">B545/12</f>
        <v>420.2603</v>
      </c>
      <c r="E545" s="13">
        <f t="shared" si="542"/>
        <v>3502.169167</v>
      </c>
      <c r="F545" s="13">
        <v>474.21</v>
      </c>
    </row>
    <row r="546">
      <c r="A546" s="11">
        <v>1.0</v>
      </c>
      <c r="B546" s="12">
        <f t="shared" si="2"/>
        <v>6082.4376</v>
      </c>
      <c r="C546" s="13">
        <v>50686.98</v>
      </c>
      <c r="D546" s="13">
        <f t="shared" ref="D546:E546" si="543">B546/12</f>
        <v>506.8698</v>
      </c>
      <c r="E546" s="13">
        <f t="shared" si="543"/>
        <v>4223.915</v>
      </c>
      <c r="F546" s="13">
        <v>343.38</v>
      </c>
    </row>
    <row r="547">
      <c r="A547" s="11">
        <v>9.0</v>
      </c>
      <c r="B547" s="12">
        <f t="shared" si="2"/>
        <v>662.5416</v>
      </c>
      <c r="C547" s="13">
        <v>5521.18</v>
      </c>
      <c r="D547" s="13">
        <f t="shared" ref="D547:E547" si="544">B547/12</f>
        <v>55.2118</v>
      </c>
      <c r="E547" s="13">
        <f t="shared" si="544"/>
        <v>460.0983333</v>
      </c>
      <c r="F547" s="13">
        <v>140.75</v>
      </c>
    </row>
    <row r="548">
      <c r="A548" s="11">
        <v>5.0</v>
      </c>
      <c r="B548" s="12">
        <f t="shared" si="2"/>
        <v>9761.9988</v>
      </c>
      <c r="C548" s="13">
        <v>81349.99</v>
      </c>
      <c r="D548" s="13">
        <f t="shared" ref="D548:E548" si="545">B548/12</f>
        <v>813.4999</v>
      </c>
      <c r="E548" s="13">
        <f t="shared" si="545"/>
        <v>6779.165833</v>
      </c>
      <c r="F548" s="13">
        <v>677.23</v>
      </c>
    </row>
    <row r="549">
      <c r="A549" s="11">
        <v>3.0</v>
      </c>
      <c r="B549" s="12">
        <f t="shared" si="2"/>
        <v>4227.06</v>
      </c>
      <c r="C549" s="13">
        <v>35225.5</v>
      </c>
      <c r="D549" s="13">
        <f t="shared" ref="D549:E549" si="546">B549/12</f>
        <v>352.255</v>
      </c>
      <c r="E549" s="13">
        <f t="shared" si="546"/>
        <v>2935.458333</v>
      </c>
      <c r="F549" s="13">
        <v>314.32</v>
      </c>
    </row>
    <row r="550">
      <c r="A550" s="11">
        <v>3.0</v>
      </c>
      <c r="B550" s="12">
        <f t="shared" si="2"/>
        <v>1575.1284</v>
      </c>
      <c r="C550" s="13">
        <v>13126.07</v>
      </c>
      <c r="D550" s="13">
        <f t="shared" ref="D550:E550" si="547">B550/12</f>
        <v>131.2607</v>
      </c>
      <c r="E550" s="13">
        <f t="shared" si="547"/>
        <v>1093.839167</v>
      </c>
      <c r="F550" s="13">
        <v>817.92</v>
      </c>
    </row>
    <row r="551">
      <c r="A551" s="11">
        <v>0.0</v>
      </c>
      <c r="B551" s="12">
        <f t="shared" si="2"/>
        <v>7417.7184</v>
      </c>
      <c r="C551" s="13">
        <v>61814.32</v>
      </c>
      <c r="D551" s="13">
        <f t="shared" ref="D551:E551" si="548">B551/12</f>
        <v>618.1432</v>
      </c>
      <c r="E551" s="13">
        <f t="shared" si="548"/>
        <v>5151.193333</v>
      </c>
      <c r="F551" s="13">
        <v>131.64</v>
      </c>
    </row>
    <row r="552">
      <c r="A552" s="11">
        <v>4.0</v>
      </c>
      <c r="B552" s="12">
        <f t="shared" si="2"/>
        <v>5210.4948</v>
      </c>
      <c r="C552" s="13">
        <v>43420.79</v>
      </c>
      <c r="D552" s="13">
        <f t="shared" ref="D552:E552" si="549">B552/12</f>
        <v>434.2079</v>
      </c>
      <c r="E552" s="13">
        <f t="shared" si="549"/>
        <v>3618.399167</v>
      </c>
      <c r="F552" s="13">
        <v>154.55</v>
      </c>
    </row>
    <row r="553">
      <c r="A553" s="11">
        <v>8.0</v>
      </c>
      <c r="B553" s="12">
        <f t="shared" si="2"/>
        <v>2997.9528</v>
      </c>
      <c r="C553" s="13">
        <v>24982.94</v>
      </c>
      <c r="D553" s="13">
        <f t="shared" ref="D553:E553" si="550">B553/12</f>
        <v>249.8294</v>
      </c>
      <c r="E553" s="13">
        <f t="shared" si="550"/>
        <v>2081.911667</v>
      </c>
      <c r="F553" s="13">
        <v>586.02</v>
      </c>
    </row>
    <row r="554">
      <c r="A554" s="11">
        <v>8.0</v>
      </c>
      <c r="B554" s="12">
        <f t="shared" si="2"/>
        <v>787.5264</v>
      </c>
      <c r="C554" s="13">
        <v>6562.72</v>
      </c>
      <c r="D554" s="13">
        <f t="shared" ref="D554:E554" si="551">B554/12</f>
        <v>65.6272</v>
      </c>
      <c r="E554" s="13">
        <f t="shared" si="551"/>
        <v>546.8933333</v>
      </c>
      <c r="F554" s="13">
        <v>633.28</v>
      </c>
    </row>
    <row r="555">
      <c r="A555" s="11">
        <v>7.0</v>
      </c>
      <c r="B555" s="12">
        <f t="shared" si="2"/>
        <v>8009.8656</v>
      </c>
      <c r="C555" s="13">
        <v>66748.88</v>
      </c>
      <c r="D555" s="13">
        <f t="shared" ref="D555:E555" si="552">B555/12</f>
        <v>667.4888</v>
      </c>
      <c r="E555" s="13">
        <f t="shared" si="552"/>
        <v>5562.406667</v>
      </c>
      <c r="F555" s="13">
        <v>284.86</v>
      </c>
    </row>
    <row r="556">
      <c r="A556" s="11">
        <v>0.0</v>
      </c>
      <c r="B556" s="12">
        <f t="shared" si="2"/>
        <v>224.0136</v>
      </c>
      <c r="C556" s="13">
        <v>1866.78</v>
      </c>
      <c r="D556" s="13">
        <f t="shared" ref="D556:E556" si="553">B556/12</f>
        <v>18.6678</v>
      </c>
      <c r="E556" s="13">
        <f t="shared" si="553"/>
        <v>155.565</v>
      </c>
      <c r="F556" s="13">
        <v>282.35</v>
      </c>
    </row>
    <row r="557">
      <c r="A557" s="11">
        <v>4.0</v>
      </c>
      <c r="B557" s="12">
        <f t="shared" si="2"/>
        <v>324.144</v>
      </c>
      <c r="C557" s="13">
        <v>2701.2</v>
      </c>
      <c r="D557" s="13">
        <f t="shared" ref="D557:E557" si="554">B557/12</f>
        <v>27.012</v>
      </c>
      <c r="E557" s="13">
        <f t="shared" si="554"/>
        <v>225.1</v>
      </c>
      <c r="F557" s="13">
        <v>111.59</v>
      </c>
    </row>
    <row r="558">
      <c r="A558" s="11">
        <v>0.0</v>
      </c>
      <c r="B558" s="12">
        <f t="shared" si="2"/>
        <v>4578.7608</v>
      </c>
      <c r="C558" s="13">
        <v>38156.34</v>
      </c>
      <c r="D558" s="13">
        <f t="shared" ref="D558:E558" si="555">B558/12</f>
        <v>381.5634</v>
      </c>
      <c r="E558" s="13">
        <f t="shared" si="555"/>
        <v>3179.695</v>
      </c>
      <c r="F558" s="13">
        <v>609.26</v>
      </c>
    </row>
    <row r="559">
      <c r="A559" s="11">
        <v>3.0</v>
      </c>
      <c r="B559" s="12">
        <f t="shared" si="2"/>
        <v>8219.7</v>
      </c>
      <c r="C559" s="13">
        <v>68497.5</v>
      </c>
      <c r="D559" s="13">
        <f t="shared" ref="D559:E559" si="556">B559/12</f>
        <v>684.975</v>
      </c>
      <c r="E559" s="13">
        <f t="shared" si="556"/>
        <v>5708.125</v>
      </c>
      <c r="F559" s="13">
        <v>102.51</v>
      </c>
    </row>
    <row r="560">
      <c r="A560" s="11">
        <v>1.0</v>
      </c>
      <c r="B560" s="12">
        <f t="shared" si="2"/>
        <v>8999.7672</v>
      </c>
      <c r="C560" s="13">
        <v>74998.06</v>
      </c>
      <c r="D560" s="13">
        <f t="shared" ref="D560:E560" si="557">B560/12</f>
        <v>749.9806</v>
      </c>
      <c r="E560" s="13">
        <f t="shared" si="557"/>
        <v>6249.838333</v>
      </c>
      <c r="F560" s="13">
        <v>990.43</v>
      </c>
    </row>
    <row r="561">
      <c r="A561" s="11">
        <v>5.0</v>
      </c>
      <c r="B561" s="12">
        <f t="shared" si="2"/>
        <v>971.7456</v>
      </c>
      <c r="C561" s="13">
        <v>8097.88</v>
      </c>
      <c r="D561" s="13">
        <f t="shared" ref="D561:E561" si="558">B561/12</f>
        <v>80.9788</v>
      </c>
      <c r="E561" s="13">
        <f t="shared" si="558"/>
        <v>674.8233333</v>
      </c>
      <c r="F561" s="13">
        <v>176.59</v>
      </c>
    </row>
    <row r="562">
      <c r="A562" s="11">
        <v>1.0</v>
      </c>
      <c r="B562" s="12">
        <f t="shared" si="2"/>
        <v>7530.7392</v>
      </c>
      <c r="C562" s="13">
        <v>62756.16</v>
      </c>
      <c r="D562" s="13">
        <f t="shared" ref="D562:E562" si="559">B562/12</f>
        <v>627.5616</v>
      </c>
      <c r="E562" s="13">
        <f t="shared" si="559"/>
        <v>5229.68</v>
      </c>
      <c r="F562" s="13">
        <v>963.61</v>
      </c>
    </row>
    <row r="563">
      <c r="A563" s="11">
        <v>8.0</v>
      </c>
      <c r="B563" s="12">
        <f t="shared" si="2"/>
        <v>4455.6984</v>
      </c>
      <c r="C563" s="13">
        <v>37130.82</v>
      </c>
      <c r="D563" s="13">
        <f t="shared" ref="D563:E563" si="560">B563/12</f>
        <v>371.3082</v>
      </c>
      <c r="E563" s="13">
        <f t="shared" si="560"/>
        <v>3094.235</v>
      </c>
      <c r="F563" s="13">
        <v>25.5</v>
      </c>
    </row>
    <row r="564">
      <c r="A564" s="11">
        <v>9.0</v>
      </c>
      <c r="B564" s="12">
        <f t="shared" si="2"/>
        <v>7006.902</v>
      </c>
      <c r="C564" s="13">
        <v>58390.85</v>
      </c>
      <c r="D564" s="13">
        <f t="shared" ref="D564:E564" si="561">B564/12</f>
        <v>583.9085</v>
      </c>
      <c r="E564" s="13">
        <f t="shared" si="561"/>
        <v>4865.904167</v>
      </c>
      <c r="F564" s="13">
        <v>724.98</v>
      </c>
    </row>
    <row r="565">
      <c r="A565" s="11">
        <v>8.0</v>
      </c>
      <c r="B565" s="12">
        <f t="shared" si="2"/>
        <v>9641.244</v>
      </c>
      <c r="C565" s="13">
        <v>80343.7</v>
      </c>
      <c r="D565" s="13">
        <f t="shared" ref="D565:E565" si="562">B565/12</f>
        <v>803.437</v>
      </c>
      <c r="E565" s="13">
        <f t="shared" si="562"/>
        <v>6695.308333</v>
      </c>
      <c r="F565" s="13">
        <v>200.19</v>
      </c>
    </row>
    <row r="566">
      <c r="A566" s="11">
        <v>9.0</v>
      </c>
      <c r="B566" s="12">
        <f t="shared" si="2"/>
        <v>11538.0192</v>
      </c>
      <c r="C566" s="13">
        <v>96150.16</v>
      </c>
      <c r="D566" s="13">
        <f t="shared" ref="D566:E566" si="563">B566/12</f>
        <v>961.5016</v>
      </c>
      <c r="E566" s="13">
        <f t="shared" si="563"/>
        <v>8012.513333</v>
      </c>
      <c r="F566" s="13">
        <v>95.42</v>
      </c>
    </row>
    <row r="567">
      <c r="A567" s="11">
        <v>9.0</v>
      </c>
      <c r="B567" s="12">
        <f t="shared" si="2"/>
        <v>2922.8376</v>
      </c>
      <c r="C567" s="13">
        <v>24356.98</v>
      </c>
      <c r="D567" s="13">
        <f t="shared" ref="D567:E567" si="564">B567/12</f>
        <v>243.5698</v>
      </c>
      <c r="E567" s="13">
        <f t="shared" si="564"/>
        <v>2029.748333</v>
      </c>
      <c r="F567" s="13">
        <v>507.92</v>
      </c>
    </row>
    <row r="568">
      <c r="A568" s="11">
        <v>4.0</v>
      </c>
      <c r="B568" s="12">
        <f t="shared" si="2"/>
        <v>7851.9912</v>
      </c>
      <c r="C568" s="13">
        <v>65433.26</v>
      </c>
      <c r="D568" s="13">
        <f t="shared" ref="D568:E568" si="565">B568/12</f>
        <v>654.3326</v>
      </c>
      <c r="E568" s="13">
        <f t="shared" si="565"/>
        <v>5452.771667</v>
      </c>
      <c r="F568" s="13">
        <v>602.99</v>
      </c>
    </row>
    <row r="569">
      <c r="A569" s="11">
        <v>2.0</v>
      </c>
      <c r="B569" s="12">
        <f t="shared" si="2"/>
        <v>1405.0392</v>
      </c>
      <c r="C569" s="13">
        <v>11708.66</v>
      </c>
      <c r="D569" s="13">
        <f t="shared" ref="D569:E569" si="566">B569/12</f>
        <v>117.0866</v>
      </c>
      <c r="E569" s="13">
        <f t="shared" si="566"/>
        <v>975.7216667</v>
      </c>
      <c r="F569" s="13">
        <v>427.33</v>
      </c>
    </row>
    <row r="570">
      <c r="A570" s="11">
        <v>6.0</v>
      </c>
      <c r="B570" s="12">
        <f t="shared" si="2"/>
        <v>6467.9952</v>
      </c>
      <c r="C570" s="13">
        <v>53899.96</v>
      </c>
      <c r="D570" s="13">
        <f t="shared" ref="D570:E570" si="567">B570/12</f>
        <v>538.9996</v>
      </c>
      <c r="E570" s="13">
        <f t="shared" si="567"/>
        <v>4491.663333</v>
      </c>
      <c r="F570" s="13">
        <v>23.44</v>
      </c>
    </row>
    <row r="571">
      <c r="A571" s="11">
        <v>8.0</v>
      </c>
      <c r="B571" s="12">
        <f t="shared" si="2"/>
        <v>6048.288</v>
      </c>
      <c r="C571" s="13">
        <v>50402.4</v>
      </c>
      <c r="D571" s="13">
        <f t="shared" ref="D571:E571" si="568">B571/12</f>
        <v>504.024</v>
      </c>
      <c r="E571" s="13">
        <f t="shared" si="568"/>
        <v>4200.2</v>
      </c>
      <c r="F571" s="13">
        <v>350.62</v>
      </c>
    </row>
    <row r="572">
      <c r="A572" s="11">
        <v>9.0</v>
      </c>
      <c r="B572" s="12">
        <f t="shared" si="2"/>
        <v>4372.686</v>
      </c>
      <c r="C572" s="13">
        <v>36439.05</v>
      </c>
      <c r="D572" s="13">
        <f t="shared" ref="D572:E572" si="569">B572/12</f>
        <v>364.3905</v>
      </c>
      <c r="E572" s="13">
        <f t="shared" si="569"/>
        <v>3036.5875</v>
      </c>
      <c r="F572" s="13">
        <v>768.52</v>
      </c>
    </row>
    <row r="573">
      <c r="A573" s="11">
        <v>4.0</v>
      </c>
      <c r="B573" s="12">
        <f t="shared" si="2"/>
        <v>8422.1304</v>
      </c>
      <c r="C573" s="13">
        <v>70184.42</v>
      </c>
      <c r="D573" s="13">
        <f t="shared" ref="D573:E573" si="570">B573/12</f>
        <v>701.8442</v>
      </c>
      <c r="E573" s="13">
        <f t="shared" si="570"/>
        <v>5848.701667</v>
      </c>
      <c r="F573" s="13">
        <v>893.58</v>
      </c>
    </row>
    <row r="574">
      <c r="A574" s="11">
        <v>3.0</v>
      </c>
      <c r="B574" s="12">
        <f t="shared" si="2"/>
        <v>8981.454</v>
      </c>
      <c r="C574" s="13">
        <v>74845.45</v>
      </c>
      <c r="D574" s="13">
        <f t="shared" ref="D574:E574" si="571">B574/12</f>
        <v>748.4545</v>
      </c>
      <c r="E574" s="13">
        <f t="shared" si="571"/>
        <v>6237.120833</v>
      </c>
      <c r="F574" s="13">
        <v>903.8</v>
      </c>
    </row>
    <row r="575">
      <c r="A575" s="11">
        <v>8.0</v>
      </c>
      <c r="B575" s="12">
        <f t="shared" si="2"/>
        <v>863.4408</v>
      </c>
      <c r="C575" s="13">
        <v>7195.34</v>
      </c>
      <c r="D575" s="13">
        <f t="shared" ref="D575:E575" si="572">B575/12</f>
        <v>71.9534</v>
      </c>
      <c r="E575" s="13">
        <f t="shared" si="572"/>
        <v>599.6116667</v>
      </c>
      <c r="F575" s="13">
        <v>214.86</v>
      </c>
    </row>
    <row r="576">
      <c r="A576" s="11">
        <v>7.0</v>
      </c>
      <c r="B576" s="12">
        <f t="shared" si="2"/>
        <v>5706.1476</v>
      </c>
      <c r="C576" s="13">
        <v>47551.23</v>
      </c>
      <c r="D576" s="13">
        <f t="shared" ref="D576:E576" si="573">B576/12</f>
        <v>475.5123</v>
      </c>
      <c r="E576" s="13">
        <f t="shared" si="573"/>
        <v>3962.6025</v>
      </c>
      <c r="F576" s="13">
        <v>967.21</v>
      </c>
    </row>
    <row r="577">
      <c r="A577" s="11">
        <v>2.0</v>
      </c>
      <c r="B577" s="12">
        <f t="shared" si="2"/>
        <v>9860.2236</v>
      </c>
      <c r="C577" s="13">
        <v>82168.53</v>
      </c>
      <c r="D577" s="13">
        <f t="shared" ref="D577:E577" si="574">B577/12</f>
        <v>821.6853</v>
      </c>
      <c r="E577" s="13">
        <f t="shared" si="574"/>
        <v>6847.3775</v>
      </c>
      <c r="F577" s="13">
        <v>843.07</v>
      </c>
    </row>
    <row r="578">
      <c r="A578" s="11">
        <v>4.0</v>
      </c>
      <c r="B578" s="12">
        <f t="shared" si="2"/>
        <v>9350.3376</v>
      </c>
      <c r="C578" s="13">
        <v>77919.48</v>
      </c>
      <c r="D578" s="13">
        <f t="shared" ref="D578:E578" si="575">B578/12</f>
        <v>779.1948</v>
      </c>
      <c r="E578" s="13">
        <f t="shared" si="575"/>
        <v>6493.29</v>
      </c>
      <c r="F578" s="13">
        <v>282.58</v>
      </c>
    </row>
    <row r="579">
      <c r="A579" s="11">
        <v>1.0</v>
      </c>
      <c r="B579" s="12">
        <f t="shared" si="2"/>
        <v>6569.172</v>
      </c>
      <c r="C579" s="13">
        <v>54743.1</v>
      </c>
      <c r="D579" s="13">
        <f t="shared" ref="D579:E579" si="576">B579/12</f>
        <v>547.431</v>
      </c>
      <c r="E579" s="13">
        <f t="shared" si="576"/>
        <v>4561.925</v>
      </c>
      <c r="F579" s="13">
        <v>724.52</v>
      </c>
    </row>
    <row r="580">
      <c r="A580" s="11">
        <v>3.0</v>
      </c>
      <c r="B580" s="12">
        <f t="shared" si="2"/>
        <v>6358.1256</v>
      </c>
      <c r="C580" s="13">
        <v>52984.38</v>
      </c>
      <c r="D580" s="13">
        <f t="shared" ref="D580:E580" si="577">B580/12</f>
        <v>529.8438</v>
      </c>
      <c r="E580" s="13">
        <f t="shared" si="577"/>
        <v>4415.365</v>
      </c>
      <c r="F580" s="13">
        <v>340.01</v>
      </c>
    </row>
    <row r="581">
      <c r="A581" s="11">
        <v>8.0</v>
      </c>
      <c r="B581" s="12">
        <f t="shared" si="2"/>
        <v>6177.9876</v>
      </c>
      <c r="C581" s="13">
        <v>51483.23</v>
      </c>
      <c r="D581" s="13">
        <f t="shared" ref="D581:E581" si="578">B581/12</f>
        <v>514.8323</v>
      </c>
      <c r="E581" s="13">
        <f t="shared" si="578"/>
        <v>4290.269167</v>
      </c>
      <c r="F581" s="13">
        <v>982.54</v>
      </c>
    </row>
    <row r="582">
      <c r="A582" s="11">
        <v>1.0</v>
      </c>
      <c r="B582" s="12">
        <f t="shared" si="2"/>
        <v>7640.1492</v>
      </c>
      <c r="C582" s="13">
        <v>63667.91</v>
      </c>
      <c r="D582" s="13">
        <f t="shared" ref="D582:E582" si="579">B582/12</f>
        <v>636.6791</v>
      </c>
      <c r="E582" s="13">
        <f t="shared" si="579"/>
        <v>5305.659167</v>
      </c>
      <c r="F582" s="13">
        <v>31.43</v>
      </c>
    </row>
    <row r="583">
      <c r="A583" s="11">
        <v>6.0</v>
      </c>
      <c r="B583" s="12">
        <f t="shared" si="2"/>
        <v>8818.8036</v>
      </c>
      <c r="C583" s="13">
        <v>73490.03</v>
      </c>
      <c r="D583" s="13">
        <f t="shared" ref="D583:E583" si="580">B583/12</f>
        <v>734.9003</v>
      </c>
      <c r="E583" s="13">
        <f t="shared" si="580"/>
        <v>6124.169167</v>
      </c>
      <c r="F583" s="13">
        <v>326.24</v>
      </c>
    </row>
    <row r="584">
      <c r="A584" s="11">
        <v>3.0</v>
      </c>
      <c r="B584" s="12">
        <f t="shared" si="2"/>
        <v>3231.2292</v>
      </c>
      <c r="C584" s="13">
        <v>26926.91</v>
      </c>
      <c r="D584" s="13">
        <f t="shared" ref="D584:E584" si="581">B584/12</f>
        <v>269.2691</v>
      </c>
      <c r="E584" s="13">
        <f t="shared" si="581"/>
        <v>2243.909167</v>
      </c>
      <c r="F584" s="13">
        <v>925.3</v>
      </c>
    </row>
    <row r="585">
      <c r="A585" s="11">
        <v>4.0</v>
      </c>
      <c r="B585" s="12">
        <f t="shared" si="2"/>
        <v>2661.4644</v>
      </c>
      <c r="C585" s="13">
        <v>22178.87</v>
      </c>
      <c r="D585" s="13">
        <f t="shared" ref="D585:E585" si="582">B585/12</f>
        <v>221.7887</v>
      </c>
      <c r="E585" s="13">
        <f t="shared" si="582"/>
        <v>1848.239167</v>
      </c>
      <c r="F585" s="13">
        <v>841.63</v>
      </c>
    </row>
    <row r="586">
      <c r="A586" s="11">
        <v>0.0</v>
      </c>
      <c r="B586" s="12">
        <f t="shared" si="2"/>
        <v>10423.3332</v>
      </c>
      <c r="C586" s="13">
        <v>86861.11</v>
      </c>
      <c r="D586" s="13">
        <f t="shared" ref="D586:E586" si="583">B586/12</f>
        <v>868.6111</v>
      </c>
      <c r="E586" s="13">
        <f t="shared" si="583"/>
        <v>7238.425833</v>
      </c>
      <c r="F586" s="13">
        <v>62.64</v>
      </c>
    </row>
    <row r="587">
      <c r="A587" s="11">
        <v>9.0</v>
      </c>
      <c r="B587" s="12">
        <f t="shared" si="2"/>
        <v>4126.6296</v>
      </c>
      <c r="C587" s="13">
        <v>34388.58</v>
      </c>
      <c r="D587" s="13">
        <f t="shared" ref="D587:E587" si="584">B587/12</f>
        <v>343.8858</v>
      </c>
      <c r="E587" s="13">
        <f t="shared" si="584"/>
        <v>2865.715</v>
      </c>
      <c r="F587" s="13">
        <v>508.16</v>
      </c>
    </row>
    <row r="588">
      <c r="A588" s="11">
        <v>2.0</v>
      </c>
      <c r="B588" s="12">
        <f t="shared" si="2"/>
        <v>7950.534</v>
      </c>
      <c r="C588" s="13">
        <v>66254.45</v>
      </c>
      <c r="D588" s="13">
        <f t="shared" ref="D588:E588" si="585">B588/12</f>
        <v>662.5445</v>
      </c>
      <c r="E588" s="13">
        <f t="shared" si="585"/>
        <v>5521.204167</v>
      </c>
      <c r="F588" s="13">
        <v>617.5</v>
      </c>
    </row>
    <row r="589">
      <c r="A589" s="11">
        <v>6.0</v>
      </c>
      <c r="B589" s="12">
        <f t="shared" si="2"/>
        <v>5391.4872</v>
      </c>
      <c r="C589" s="13">
        <v>44929.06</v>
      </c>
      <c r="D589" s="13">
        <f t="shared" ref="D589:E589" si="586">B589/12</f>
        <v>449.2906</v>
      </c>
      <c r="E589" s="13">
        <f t="shared" si="586"/>
        <v>3744.088333</v>
      </c>
      <c r="F589" s="13">
        <v>438.07</v>
      </c>
    </row>
    <row r="590">
      <c r="A590" s="11">
        <v>3.0</v>
      </c>
      <c r="B590" s="12">
        <f t="shared" si="2"/>
        <v>1464.3396</v>
      </c>
      <c r="C590" s="13">
        <v>12202.83</v>
      </c>
      <c r="D590" s="13">
        <f t="shared" ref="D590:E590" si="587">B590/12</f>
        <v>122.0283</v>
      </c>
      <c r="E590" s="13">
        <f t="shared" si="587"/>
        <v>1016.9025</v>
      </c>
      <c r="F590" s="13">
        <v>148.56</v>
      </c>
    </row>
    <row r="591">
      <c r="A591" s="11">
        <v>2.0</v>
      </c>
      <c r="B591" s="12">
        <f t="shared" si="2"/>
        <v>9113.1768</v>
      </c>
      <c r="C591" s="13">
        <v>75943.14</v>
      </c>
      <c r="D591" s="13">
        <f t="shared" ref="D591:E591" si="588">B591/12</f>
        <v>759.4314</v>
      </c>
      <c r="E591" s="13">
        <f t="shared" si="588"/>
        <v>6328.595</v>
      </c>
      <c r="F591" s="13">
        <v>63.47</v>
      </c>
    </row>
    <row r="592">
      <c r="A592" s="11">
        <v>2.0</v>
      </c>
      <c r="B592" s="12">
        <f t="shared" si="2"/>
        <v>772.206</v>
      </c>
      <c r="C592" s="13">
        <v>6435.05</v>
      </c>
      <c r="D592" s="13">
        <f t="shared" ref="D592:E592" si="589">B592/12</f>
        <v>64.3505</v>
      </c>
      <c r="E592" s="13">
        <f t="shared" si="589"/>
        <v>536.2541667</v>
      </c>
      <c r="F592" s="13">
        <v>425.75</v>
      </c>
    </row>
    <row r="593">
      <c r="A593" s="11">
        <v>7.0</v>
      </c>
      <c r="B593" s="12">
        <f t="shared" si="2"/>
        <v>7344.8628</v>
      </c>
      <c r="C593" s="13">
        <v>61207.19</v>
      </c>
      <c r="D593" s="13">
        <f t="shared" ref="D593:E593" si="590">B593/12</f>
        <v>612.0719</v>
      </c>
      <c r="E593" s="13">
        <f t="shared" si="590"/>
        <v>5100.599167</v>
      </c>
      <c r="F593" s="13">
        <v>768.33</v>
      </c>
    </row>
    <row r="594">
      <c r="A594" s="11">
        <v>5.0</v>
      </c>
      <c r="B594" s="12">
        <f t="shared" si="2"/>
        <v>5245.518</v>
      </c>
      <c r="C594" s="13">
        <v>43712.65</v>
      </c>
      <c r="D594" s="13">
        <f t="shared" ref="D594:E594" si="591">B594/12</f>
        <v>437.1265</v>
      </c>
      <c r="E594" s="13">
        <f t="shared" si="591"/>
        <v>3642.720833</v>
      </c>
      <c r="F594" s="13">
        <v>455.85</v>
      </c>
    </row>
    <row r="595">
      <c r="A595" s="11">
        <v>6.0</v>
      </c>
      <c r="B595" s="12">
        <f t="shared" si="2"/>
        <v>5034.2904</v>
      </c>
      <c r="C595" s="13">
        <v>41952.42</v>
      </c>
      <c r="D595" s="13">
        <f t="shared" ref="D595:E595" si="592">B595/12</f>
        <v>419.5242</v>
      </c>
      <c r="E595" s="13">
        <f t="shared" si="592"/>
        <v>3496.035</v>
      </c>
      <c r="F595" s="13">
        <v>231.29</v>
      </c>
    </row>
    <row r="596">
      <c r="A596" s="11">
        <v>8.0</v>
      </c>
      <c r="B596" s="12">
        <f t="shared" si="2"/>
        <v>1292.9088</v>
      </c>
      <c r="C596" s="13">
        <v>10774.24</v>
      </c>
      <c r="D596" s="13">
        <f t="shared" ref="D596:E596" si="593">B596/12</f>
        <v>107.7424</v>
      </c>
      <c r="E596" s="13">
        <f t="shared" si="593"/>
        <v>897.8533333</v>
      </c>
      <c r="F596" s="13">
        <v>485.97</v>
      </c>
    </row>
    <row r="597">
      <c r="A597" s="11">
        <v>4.0</v>
      </c>
      <c r="B597" s="12">
        <f t="shared" si="2"/>
        <v>8358.2376</v>
      </c>
      <c r="C597" s="13">
        <v>69651.98</v>
      </c>
      <c r="D597" s="13">
        <f t="shared" ref="D597:E597" si="594">B597/12</f>
        <v>696.5198</v>
      </c>
      <c r="E597" s="13">
        <f t="shared" si="594"/>
        <v>5804.331667</v>
      </c>
      <c r="F597" s="13">
        <v>543.62</v>
      </c>
    </row>
    <row r="598">
      <c r="A598" s="11">
        <v>8.0</v>
      </c>
      <c r="B598" s="12">
        <f t="shared" si="2"/>
        <v>2313.4068</v>
      </c>
      <c r="C598" s="13">
        <v>19278.39</v>
      </c>
      <c r="D598" s="13">
        <f t="shared" ref="D598:E598" si="595">B598/12</f>
        <v>192.7839</v>
      </c>
      <c r="E598" s="13">
        <f t="shared" si="595"/>
        <v>1606.5325</v>
      </c>
      <c r="F598" s="13">
        <v>22.99</v>
      </c>
    </row>
    <row r="599">
      <c r="A599" s="11">
        <v>6.0</v>
      </c>
      <c r="B599" s="12">
        <f t="shared" si="2"/>
        <v>11424.9972</v>
      </c>
      <c r="C599" s="13">
        <v>95208.31</v>
      </c>
      <c r="D599" s="13">
        <f t="shared" ref="D599:E599" si="596">B599/12</f>
        <v>952.0831</v>
      </c>
      <c r="E599" s="13">
        <f t="shared" si="596"/>
        <v>7934.025833</v>
      </c>
      <c r="F599" s="13">
        <v>408.79</v>
      </c>
    </row>
    <row r="600">
      <c r="A600" s="11">
        <v>3.0</v>
      </c>
      <c r="B600" s="12">
        <f t="shared" si="2"/>
        <v>3787.9188</v>
      </c>
      <c r="C600" s="13">
        <v>31565.99</v>
      </c>
      <c r="D600" s="13">
        <f t="shared" ref="D600:E600" si="597">B600/12</f>
        <v>315.6599</v>
      </c>
      <c r="E600" s="13">
        <f t="shared" si="597"/>
        <v>2630.499167</v>
      </c>
      <c r="F600" s="13">
        <v>630.94</v>
      </c>
    </row>
    <row r="601">
      <c r="A601" s="11">
        <v>2.0</v>
      </c>
      <c r="B601" s="12">
        <f t="shared" si="2"/>
        <v>6951.1908</v>
      </c>
      <c r="C601" s="13">
        <v>57926.59</v>
      </c>
      <c r="D601" s="13">
        <f t="shared" ref="D601:E601" si="598">B601/12</f>
        <v>579.2659</v>
      </c>
      <c r="E601" s="13">
        <f t="shared" si="598"/>
        <v>4827.215833</v>
      </c>
      <c r="F601" s="13">
        <v>854.88</v>
      </c>
    </row>
    <row r="602">
      <c r="A602" s="11">
        <v>6.0</v>
      </c>
      <c r="B602" s="12">
        <f t="shared" si="2"/>
        <v>755.4288</v>
      </c>
      <c r="C602" s="13">
        <v>6295.24</v>
      </c>
      <c r="D602" s="13">
        <f t="shared" ref="D602:E602" si="599">B602/12</f>
        <v>62.9524</v>
      </c>
      <c r="E602" s="13">
        <f t="shared" si="599"/>
        <v>524.6033333</v>
      </c>
      <c r="F602" s="13">
        <v>481.41</v>
      </c>
    </row>
    <row r="603">
      <c r="A603" s="11">
        <v>3.0</v>
      </c>
      <c r="B603" s="12">
        <f t="shared" si="2"/>
        <v>3244.7988</v>
      </c>
      <c r="C603" s="13">
        <v>27039.99</v>
      </c>
      <c r="D603" s="13">
        <f t="shared" ref="D603:E603" si="600">B603/12</f>
        <v>270.3999</v>
      </c>
      <c r="E603" s="13">
        <f t="shared" si="600"/>
        <v>2253.3325</v>
      </c>
      <c r="F603" s="13">
        <v>886.89</v>
      </c>
    </row>
    <row r="604">
      <c r="A604" s="11">
        <v>4.0</v>
      </c>
      <c r="B604" s="12">
        <f t="shared" si="2"/>
        <v>3971.544</v>
      </c>
      <c r="C604" s="13">
        <v>33096.2</v>
      </c>
      <c r="D604" s="13">
        <f t="shared" ref="D604:E604" si="601">B604/12</f>
        <v>330.962</v>
      </c>
      <c r="E604" s="13">
        <f t="shared" si="601"/>
        <v>2758.016667</v>
      </c>
      <c r="F604" s="13">
        <v>298.41</v>
      </c>
    </row>
    <row r="605">
      <c r="A605" s="11">
        <v>7.0</v>
      </c>
      <c r="B605" s="12">
        <f t="shared" si="2"/>
        <v>2917.2156</v>
      </c>
      <c r="C605" s="13">
        <v>24310.13</v>
      </c>
      <c r="D605" s="13">
        <f t="shared" ref="D605:E605" si="602">B605/12</f>
        <v>243.1013</v>
      </c>
      <c r="E605" s="13">
        <f t="shared" si="602"/>
        <v>2025.844167</v>
      </c>
      <c r="F605" s="13">
        <v>501.94</v>
      </c>
    </row>
    <row r="606">
      <c r="A606" s="11">
        <v>6.0</v>
      </c>
      <c r="B606" s="12">
        <f t="shared" si="2"/>
        <v>1043.8572</v>
      </c>
      <c r="C606" s="13">
        <v>8698.81</v>
      </c>
      <c r="D606" s="13">
        <f t="shared" ref="D606:E606" si="603">B606/12</f>
        <v>86.9881</v>
      </c>
      <c r="E606" s="13">
        <f t="shared" si="603"/>
        <v>724.9008333</v>
      </c>
      <c r="F606" s="13">
        <v>729.99</v>
      </c>
    </row>
    <row r="607">
      <c r="A607" s="11">
        <v>8.0</v>
      </c>
      <c r="B607" s="12">
        <f t="shared" si="2"/>
        <v>11009.2908</v>
      </c>
      <c r="C607" s="13">
        <v>91744.09</v>
      </c>
      <c r="D607" s="13">
        <f t="shared" ref="D607:E607" si="604">B607/12</f>
        <v>917.4409</v>
      </c>
      <c r="E607" s="13">
        <f t="shared" si="604"/>
        <v>7645.340833</v>
      </c>
      <c r="F607" s="13">
        <v>939.42</v>
      </c>
    </row>
    <row r="608">
      <c r="A608" s="11">
        <v>5.0</v>
      </c>
      <c r="B608" s="12">
        <f t="shared" si="2"/>
        <v>4818.5916</v>
      </c>
      <c r="C608" s="13">
        <v>40154.93</v>
      </c>
      <c r="D608" s="13">
        <f t="shared" ref="D608:E608" si="605">B608/12</f>
        <v>401.5493</v>
      </c>
      <c r="E608" s="13">
        <f t="shared" si="605"/>
        <v>3346.244167</v>
      </c>
      <c r="F608" s="13">
        <v>821.25</v>
      </c>
    </row>
    <row r="609">
      <c r="A609" s="11">
        <v>9.0</v>
      </c>
      <c r="B609" s="12">
        <f t="shared" si="2"/>
        <v>11894.8032</v>
      </c>
      <c r="C609" s="13">
        <v>99123.36</v>
      </c>
      <c r="D609" s="13">
        <f t="shared" ref="D609:E609" si="606">B609/12</f>
        <v>991.2336</v>
      </c>
      <c r="E609" s="13">
        <f t="shared" si="606"/>
        <v>8260.28</v>
      </c>
      <c r="F609" s="13">
        <v>849.62</v>
      </c>
    </row>
    <row r="610">
      <c r="A610" s="11">
        <v>5.0</v>
      </c>
      <c r="B610" s="12">
        <f t="shared" si="2"/>
        <v>5470.6728</v>
      </c>
      <c r="C610" s="13">
        <v>45588.94</v>
      </c>
      <c r="D610" s="13">
        <f t="shared" ref="D610:E610" si="607">B610/12</f>
        <v>455.8894</v>
      </c>
      <c r="E610" s="13">
        <f t="shared" si="607"/>
        <v>3799.078333</v>
      </c>
      <c r="F610" s="13">
        <v>244.5</v>
      </c>
    </row>
    <row r="611">
      <c r="A611" s="11">
        <v>8.0</v>
      </c>
      <c r="B611" s="12">
        <f t="shared" si="2"/>
        <v>9778.8432</v>
      </c>
      <c r="C611" s="13">
        <v>81490.36</v>
      </c>
      <c r="D611" s="13">
        <f t="shared" ref="D611:E611" si="608">B611/12</f>
        <v>814.9036</v>
      </c>
      <c r="E611" s="13">
        <f t="shared" si="608"/>
        <v>6790.863333</v>
      </c>
      <c r="F611" s="13">
        <v>4.06</v>
      </c>
    </row>
    <row r="612">
      <c r="A612" s="11">
        <v>2.0</v>
      </c>
      <c r="B612" s="12">
        <f t="shared" si="2"/>
        <v>10523.6136</v>
      </c>
      <c r="C612" s="13">
        <v>87696.78</v>
      </c>
      <c r="D612" s="13">
        <f t="shared" ref="D612:E612" si="609">B612/12</f>
        <v>876.9678</v>
      </c>
      <c r="E612" s="13">
        <f t="shared" si="609"/>
        <v>7308.065</v>
      </c>
      <c r="F612" s="13">
        <v>957.77</v>
      </c>
    </row>
    <row r="613">
      <c r="A613" s="11">
        <v>0.0</v>
      </c>
      <c r="B613" s="12">
        <f t="shared" si="2"/>
        <v>671.0352</v>
      </c>
      <c r="C613" s="13">
        <v>5591.96</v>
      </c>
      <c r="D613" s="13">
        <f t="shared" ref="D613:E613" si="610">B613/12</f>
        <v>55.9196</v>
      </c>
      <c r="E613" s="13">
        <f t="shared" si="610"/>
        <v>465.9966667</v>
      </c>
      <c r="F613" s="13">
        <v>810.56</v>
      </c>
    </row>
    <row r="614">
      <c r="A614" s="11">
        <v>2.0</v>
      </c>
      <c r="B614" s="12">
        <f t="shared" si="2"/>
        <v>7562.2656</v>
      </c>
      <c r="C614" s="13">
        <v>63018.88</v>
      </c>
      <c r="D614" s="13">
        <f t="shared" ref="D614:E614" si="611">B614/12</f>
        <v>630.1888</v>
      </c>
      <c r="E614" s="13">
        <f t="shared" si="611"/>
        <v>5251.573333</v>
      </c>
      <c r="F614" s="13">
        <v>963.86</v>
      </c>
    </row>
    <row r="615">
      <c r="A615" s="11">
        <v>0.0</v>
      </c>
      <c r="B615" s="12">
        <f t="shared" si="2"/>
        <v>2870.7288</v>
      </c>
      <c r="C615" s="13">
        <v>23922.74</v>
      </c>
      <c r="D615" s="13">
        <f t="shared" ref="D615:E615" si="612">B615/12</f>
        <v>239.2274</v>
      </c>
      <c r="E615" s="13">
        <f t="shared" si="612"/>
        <v>1993.561667</v>
      </c>
      <c r="F615" s="13">
        <v>500.92</v>
      </c>
    </row>
    <row r="616">
      <c r="A616" s="11">
        <v>3.0</v>
      </c>
      <c r="B616" s="12">
        <f t="shared" si="2"/>
        <v>9573.03</v>
      </c>
      <c r="C616" s="13">
        <v>79775.25</v>
      </c>
      <c r="D616" s="13">
        <f t="shared" ref="D616:E616" si="613">B616/12</f>
        <v>797.7525</v>
      </c>
      <c r="E616" s="13">
        <f t="shared" si="613"/>
        <v>6647.9375</v>
      </c>
      <c r="F616" s="13">
        <v>856.33</v>
      </c>
    </row>
    <row r="617">
      <c r="A617" s="11">
        <v>5.0</v>
      </c>
      <c r="B617" s="12">
        <f t="shared" si="2"/>
        <v>3861.0348</v>
      </c>
      <c r="C617" s="13">
        <v>32175.29</v>
      </c>
      <c r="D617" s="13">
        <f t="shared" ref="D617:E617" si="614">B617/12</f>
        <v>321.7529</v>
      </c>
      <c r="E617" s="13">
        <f t="shared" si="614"/>
        <v>2681.274167</v>
      </c>
      <c r="F617" s="13">
        <v>789.44</v>
      </c>
    </row>
    <row r="618">
      <c r="A618" s="11">
        <v>6.0</v>
      </c>
      <c r="B618" s="12">
        <f t="shared" si="2"/>
        <v>6263.562</v>
      </c>
      <c r="C618" s="13">
        <v>52196.35</v>
      </c>
      <c r="D618" s="13">
        <f t="shared" ref="D618:E618" si="615">B618/12</f>
        <v>521.9635</v>
      </c>
      <c r="E618" s="13">
        <f t="shared" si="615"/>
        <v>4349.695833</v>
      </c>
      <c r="F618" s="13">
        <v>607.51</v>
      </c>
    </row>
    <row r="619">
      <c r="A619" s="11">
        <v>6.0</v>
      </c>
      <c r="B619" s="12">
        <f t="shared" si="2"/>
        <v>341.5464</v>
      </c>
      <c r="C619" s="13">
        <v>2846.22</v>
      </c>
      <c r="D619" s="13">
        <f t="shared" ref="D619:E619" si="616">B619/12</f>
        <v>28.4622</v>
      </c>
      <c r="E619" s="13">
        <f t="shared" si="616"/>
        <v>237.185</v>
      </c>
      <c r="F619" s="13">
        <v>787.97</v>
      </c>
    </row>
    <row r="620">
      <c r="A620" s="11">
        <v>7.0</v>
      </c>
      <c r="B620" s="12">
        <f t="shared" si="2"/>
        <v>9128.3028</v>
      </c>
      <c r="C620" s="13">
        <v>76069.19</v>
      </c>
      <c r="D620" s="13">
        <f t="shared" ref="D620:E620" si="617">B620/12</f>
        <v>760.6919</v>
      </c>
      <c r="E620" s="13">
        <f t="shared" si="617"/>
        <v>6339.099167</v>
      </c>
      <c r="F620" s="13">
        <v>563.17</v>
      </c>
    </row>
    <row r="621">
      <c r="A621" s="11">
        <v>4.0</v>
      </c>
      <c r="B621" s="12">
        <f t="shared" si="2"/>
        <v>4911.7188</v>
      </c>
      <c r="C621" s="13">
        <v>40930.99</v>
      </c>
      <c r="D621" s="13">
        <f t="shared" ref="D621:E621" si="618">B621/12</f>
        <v>409.3099</v>
      </c>
      <c r="E621" s="13">
        <f t="shared" si="618"/>
        <v>3410.915833</v>
      </c>
      <c r="F621" s="13">
        <v>869.7</v>
      </c>
    </row>
    <row r="622">
      <c r="A622" s="11">
        <v>2.0</v>
      </c>
      <c r="B622" s="12">
        <f t="shared" si="2"/>
        <v>6020.8776</v>
      </c>
      <c r="C622" s="13">
        <v>50173.98</v>
      </c>
      <c r="D622" s="13">
        <f t="shared" ref="D622:E622" si="619">B622/12</f>
        <v>501.7398</v>
      </c>
      <c r="E622" s="13">
        <f t="shared" si="619"/>
        <v>4181.165</v>
      </c>
      <c r="F622" s="13">
        <v>165.19</v>
      </c>
    </row>
    <row r="623">
      <c r="A623" s="11">
        <v>2.0</v>
      </c>
      <c r="B623" s="12">
        <f t="shared" si="2"/>
        <v>6387.9636</v>
      </c>
      <c r="C623" s="13">
        <v>53233.03</v>
      </c>
      <c r="D623" s="13">
        <f t="shared" ref="D623:E623" si="620">B623/12</f>
        <v>532.3303</v>
      </c>
      <c r="E623" s="13">
        <f t="shared" si="620"/>
        <v>4436.085833</v>
      </c>
      <c r="F623" s="13">
        <v>390.21</v>
      </c>
    </row>
    <row r="624">
      <c r="A624" s="11">
        <v>7.0</v>
      </c>
      <c r="B624" s="12">
        <f t="shared" si="2"/>
        <v>11304.8748</v>
      </c>
      <c r="C624" s="13">
        <v>94207.29</v>
      </c>
      <c r="D624" s="13">
        <f t="shared" ref="D624:E624" si="621">B624/12</f>
        <v>942.0729</v>
      </c>
      <c r="E624" s="13">
        <f t="shared" si="621"/>
        <v>7850.6075</v>
      </c>
      <c r="F624" s="13">
        <v>135.03</v>
      </c>
    </row>
    <row r="625">
      <c r="A625" s="11">
        <v>6.0</v>
      </c>
      <c r="B625" s="12">
        <f t="shared" si="2"/>
        <v>3953.9616</v>
      </c>
      <c r="C625" s="13">
        <v>32949.68</v>
      </c>
      <c r="D625" s="13">
        <f t="shared" ref="D625:E625" si="622">B625/12</f>
        <v>329.4968</v>
      </c>
      <c r="E625" s="13">
        <f t="shared" si="622"/>
        <v>2745.806667</v>
      </c>
      <c r="F625" s="13">
        <v>37.76</v>
      </c>
    </row>
    <row r="626">
      <c r="A626" s="11">
        <v>5.0</v>
      </c>
      <c r="B626" s="12">
        <f t="shared" si="2"/>
        <v>2339.1456</v>
      </c>
      <c r="C626" s="13">
        <v>19492.88</v>
      </c>
      <c r="D626" s="13">
        <f t="shared" ref="D626:E626" si="623">B626/12</f>
        <v>194.9288</v>
      </c>
      <c r="E626" s="13">
        <f t="shared" si="623"/>
        <v>1624.406667</v>
      </c>
      <c r="F626" s="13">
        <v>848.87</v>
      </c>
    </row>
    <row r="627">
      <c r="A627" s="11">
        <v>5.0</v>
      </c>
      <c r="B627" s="12">
        <f t="shared" si="2"/>
        <v>9846.4116</v>
      </c>
      <c r="C627" s="13">
        <v>82053.43</v>
      </c>
      <c r="D627" s="13">
        <f t="shared" ref="D627:E627" si="624">B627/12</f>
        <v>820.5343</v>
      </c>
      <c r="E627" s="13">
        <f t="shared" si="624"/>
        <v>6837.785833</v>
      </c>
      <c r="F627" s="13">
        <v>211.06</v>
      </c>
    </row>
    <row r="628">
      <c r="A628" s="11">
        <v>6.0</v>
      </c>
      <c r="B628" s="12">
        <f t="shared" si="2"/>
        <v>7484.226</v>
      </c>
      <c r="C628" s="13">
        <v>62368.55</v>
      </c>
      <c r="D628" s="13">
        <f t="shared" ref="D628:E628" si="625">B628/12</f>
        <v>623.6855</v>
      </c>
      <c r="E628" s="13">
        <f t="shared" si="625"/>
        <v>5197.379167</v>
      </c>
      <c r="F628" s="13">
        <v>996.02</v>
      </c>
    </row>
    <row r="629">
      <c r="A629" s="11">
        <v>9.0</v>
      </c>
      <c r="B629" s="12">
        <f t="shared" si="2"/>
        <v>7605.72</v>
      </c>
      <c r="C629" s="13">
        <v>63381.0</v>
      </c>
      <c r="D629" s="13">
        <f t="shared" ref="D629:E629" si="626">B629/12</f>
        <v>633.81</v>
      </c>
      <c r="E629" s="13">
        <f t="shared" si="626"/>
        <v>5281.75</v>
      </c>
      <c r="F629" s="13">
        <v>424.87</v>
      </c>
    </row>
    <row r="630">
      <c r="A630" s="11">
        <v>3.0</v>
      </c>
      <c r="B630" s="12">
        <f t="shared" si="2"/>
        <v>7882.1484</v>
      </c>
      <c r="C630" s="13">
        <v>65684.57</v>
      </c>
      <c r="D630" s="13">
        <f t="shared" ref="D630:E630" si="627">B630/12</f>
        <v>656.8457</v>
      </c>
      <c r="E630" s="13">
        <f t="shared" si="627"/>
        <v>5473.714167</v>
      </c>
      <c r="F630" s="13">
        <v>90.22</v>
      </c>
    </row>
    <row r="631">
      <c r="A631" s="11">
        <v>4.0</v>
      </c>
      <c r="B631" s="12">
        <f t="shared" si="2"/>
        <v>6576.8508</v>
      </c>
      <c r="C631" s="13">
        <v>54807.09</v>
      </c>
      <c r="D631" s="13">
        <f t="shared" ref="D631:E631" si="628">B631/12</f>
        <v>548.0709</v>
      </c>
      <c r="E631" s="13">
        <f t="shared" si="628"/>
        <v>4567.2575</v>
      </c>
      <c r="F631" s="13">
        <v>577.72</v>
      </c>
    </row>
    <row r="632">
      <c r="A632" s="11">
        <v>9.0</v>
      </c>
      <c r="B632" s="12">
        <f t="shared" si="2"/>
        <v>976.4724</v>
      </c>
      <c r="C632" s="13">
        <v>8137.27</v>
      </c>
      <c r="D632" s="13">
        <f t="shared" ref="D632:E632" si="629">B632/12</f>
        <v>81.3727</v>
      </c>
      <c r="E632" s="13">
        <f t="shared" si="629"/>
        <v>678.1058333</v>
      </c>
      <c r="F632" s="13">
        <v>723.81</v>
      </c>
    </row>
    <row r="633">
      <c r="A633" s="11">
        <v>1.0</v>
      </c>
      <c r="B633" s="12">
        <f t="shared" si="2"/>
        <v>7889.1156</v>
      </c>
      <c r="C633" s="13">
        <v>65742.63</v>
      </c>
      <c r="D633" s="13">
        <f t="shared" ref="D633:E633" si="630">B633/12</f>
        <v>657.4263</v>
      </c>
      <c r="E633" s="13">
        <f t="shared" si="630"/>
        <v>5478.5525</v>
      </c>
      <c r="F633" s="13">
        <v>68.32</v>
      </c>
    </row>
    <row r="634">
      <c r="A634" s="11">
        <v>9.0</v>
      </c>
      <c r="B634" s="12">
        <f t="shared" si="2"/>
        <v>6912.9</v>
      </c>
      <c r="C634" s="13">
        <v>57607.5</v>
      </c>
      <c r="D634" s="13">
        <f t="shared" ref="D634:E634" si="631">B634/12</f>
        <v>576.075</v>
      </c>
      <c r="E634" s="13">
        <f t="shared" si="631"/>
        <v>4800.625</v>
      </c>
      <c r="F634" s="13">
        <v>611.86</v>
      </c>
    </row>
    <row r="635">
      <c r="A635" s="11">
        <v>6.0</v>
      </c>
      <c r="B635" s="12">
        <f t="shared" si="2"/>
        <v>7977.8952</v>
      </c>
      <c r="C635" s="13">
        <v>66482.46</v>
      </c>
      <c r="D635" s="13">
        <f t="shared" ref="D635:E635" si="632">B635/12</f>
        <v>664.8246</v>
      </c>
      <c r="E635" s="13">
        <f t="shared" si="632"/>
        <v>5540.205</v>
      </c>
      <c r="F635" s="13">
        <v>713.31</v>
      </c>
    </row>
    <row r="636">
      <c r="A636" s="11">
        <v>8.0</v>
      </c>
      <c r="B636" s="12">
        <f t="shared" si="2"/>
        <v>9957.2304</v>
      </c>
      <c r="C636" s="13">
        <v>82976.92</v>
      </c>
      <c r="D636" s="13">
        <f t="shared" ref="D636:E636" si="633">B636/12</f>
        <v>829.7692</v>
      </c>
      <c r="E636" s="13">
        <f t="shared" si="633"/>
        <v>6914.743333</v>
      </c>
      <c r="F636" s="13">
        <v>560.75</v>
      </c>
    </row>
    <row r="637">
      <c r="A637" s="11">
        <v>2.0</v>
      </c>
      <c r="B637" s="12">
        <f t="shared" si="2"/>
        <v>7346.7528</v>
      </c>
      <c r="C637" s="13">
        <v>61222.94</v>
      </c>
      <c r="D637" s="13">
        <f t="shared" ref="D637:E637" si="634">B637/12</f>
        <v>612.2294</v>
      </c>
      <c r="E637" s="13">
        <f t="shared" si="634"/>
        <v>5101.911667</v>
      </c>
      <c r="F637" s="13">
        <v>438.76</v>
      </c>
    </row>
    <row r="638">
      <c r="A638" s="11">
        <v>3.0</v>
      </c>
      <c r="B638" s="12">
        <f t="shared" si="2"/>
        <v>8268.3828</v>
      </c>
      <c r="C638" s="13">
        <v>68903.19</v>
      </c>
      <c r="D638" s="13">
        <f t="shared" ref="D638:E638" si="635">B638/12</f>
        <v>689.0319</v>
      </c>
      <c r="E638" s="13">
        <f t="shared" si="635"/>
        <v>5741.9325</v>
      </c>
      <c r="F638" s="13">
        <v>354.4</v>
      </c>
    </row>
    <row r="639">
      <c r="A639" s="11">
        <v>1.0</v>
      </c>
      <c r="B639" s="12">
        <f t="shared" si="2"/>
        <v>4733.9052</v>
      </c>
      <c r="C639" s="13">
        <v>39449.21</v>
      </c>
      <c r="D639" s="13">
        <f t="shared" ref="D639:E639" si="636">B639/12</f>
        <v>394.4921</v>
      </c>
      <c r="E639" s="13">
        <f t="shared" si="636"/>
        <v>3287.434167</v>
      </c>
      <c r="F639" s="13">
        <v>150.29</v>
      </c>
    </row>
    <row r="640">
      <c r="A640" s="11">
        <v>5.0</v>
      </c>
      <c r="B640" s="12">
        <f t="shared" si="2"/>
        <v>1466.1492</v>
      </c>
      <c r="C640" s="13">
        <v>12217.91</v>
      </c>
      <c r="D640" s="13">
        <f t="shared" ref="D640:E640" si="637">B640/12</f>
        <v>122.1791</v>
      </c>
      <c r="E640" s="13">
        <f t="shared" si="637"/>
        <v>1018.159167</v>
      </c>
      <c r="F640" s="13">
        <v>213.86</v>
      </c>
    </row>
    <row r="641">
      <c r="A641" s="11">
        <v>6.0</v>
      </c>
      <c r="B641" s="12">
        <f t="shared" si="2"/>
        <v>3077.322</v>
      </c>
      <c r="C641" s="13">
        <v>25644.35</v>
      </c>
      <c r="D641" s="13">
        <f t="shared" ref="D641:E641" si="638">B641/12</f>
        <v>256.4435</v>
      </c>
      <c r="E641" s="13">
        <f t="shared" si="638"/>
        <v>2137.029167</v>
      </c>
      <c r="F641" s="13">
        <v>951.22</v>
      </c>
    </row>
    <row r="642">
      <c r="A642" s="11">
        <v>6.0</v>
      </c>
      <c r="B642" s="12">
        <f t="shared" si="2"/>
        <v>6983.0004</v>
      </c>
      <c r="C642" s="13">
        <v>58191.67</v>
      </c>
      <c r="D642" s="13">
        <f t="shared" ref="D642:E642" si="639">B642/12</f>
        <v>581.9167</v>
      </c>
      <c r="E642" s="13">
        <f t="shared" si="639"/>
        <v>4849.305833</v>
      </c>
      <c r="F642" s="13">
        <v>825.47</v>
      </c>
    </row>
    <row r="643">
      <c r="A643" s="11">
        <v>6.0</v>
      </c>
      <c r="B643" s="12">
        <f t="shared" si="2"/>
        <v>11074.26</v>
      </c>
      <c r="C643" s="13">
        <v>92285.5</v>
      </c>
      <c r="D643" s="13">
        <f t="shared" ref="D643:E643" si="640">B643/12</f>
        <v>922.855</v>
      </c>
      <c r="E643" s="13">
        <f t="shared" si="640"/>
        <v>7690.458333</v>
      </c>
      <c r="F643" s="13">
        <v>321.97</v>
      </c>
    </row>
    <row r="644">
      <c r="A644" s="11">
        <v>4.0</v>
      </c>
      <c r="B644" s="12">
        <f t="shared" si="2"/>
        <v>9039.7224</v>
      </c>
      <c r="C644" s="13">
        <v>75331.02</v>
      </c>
      <c r="D644" s="13">
        <f t="shared" ref="D644:E644" si="641">B644/12</f>
        <v>753.3102</v>
      </c>
      <c r="E644" s="13">
        <f t="shared" si="641"/>
        <v>6277.585</v>
      </c>
      <c r="F644" s="13">
        <v>79.92</v>
      </c>
    </row>
    <row r="645">
      <c r="A645" s="11">
        <v>7.0</v>
      </c>
      <c r="B645" s="12">
        <f t="shared" si="2"/>
        <v>7675.8996</v>
      </c>
      <c r="C645" s="13">
        <v>63965.83</v>
      </c>
      <c r="D645" s="13">
        <f t="shared" ref="D645:E645" si="642">B645/12</f>
        <v>639.6583</v>
      </c>
      <c r="E645" s="13">
        <f t="shared" si="642"/>
        <v>5330.485833</v>
      </c>
      <c r="F645" s="13">
        <v>143.37</v>
      </c>
    </row>
    <row r="646">
      <c r="A646" s="11">
        <v>7.0</v>
      </c>
      <c r="B646" s="12">
        <f t="shared" si="2"/>
        <v>5019.6336</v>
      </c>
      <c r="C646" s="13">
        <v>41830.28</v>
      </c>
      <c r="D646" s="13">
        <f t="shared" ref="D646:E646" si="643">B646/12</f>
        <v>418.3028</v>
      </c>
      <c r="E646" s="13">
        <f t="shared" si="643"/>
        <v>3485.856667</v>
      </c>
      <c r="F646" s="13">
        <v>342.75</v>
      </c>
    </row>
    <row r="647">
      <c r="A647" s="11">
        <v>8.0</v>
      </c>
      <c r="B647" s="12">
        <f t="shared" si="2"/>
        <v>11756.5968</v>
      </c>
      <c r="C647" s="13">
        <v>97971.64</v>
      </c>
      <c r="D647" s="13">
        <f t="shared" ref="D647:E647" si="644">B647/12</f>
        <v>979.7164</v>
      </c>
      <c r="E647" s="13">
        <f t="shared" si="644"/>
        <v>8164.303333</v>
      </c>
      <c r="F647" s="13">
        <v>296.69</v>
      </c>
    </row>
    <row r="648">
      <c r="A648" s="11">
        <v>3.0</v>
      </c>
      <c r="B648" s="12">
        <f t="shared" si="2"/>
        <v>5267.5692</v>
      </c>
      <c r="C648" s="13">
        <v>43896.41</v>
      </c>
      <c r="D648" s="13">
        <f t="shared" ref="D648:E648" si="645">B648/12</f>
        <v>438.9641</v>
      </c>
      <c r="E648" s="13">
        <f t="shared" si="645"/>
        <v>3658.034167</v>
      </c>
      <c r="F648" s="13">
        <v>520.8</v>
      </c>
    </row>
    <row r="649">
      <c r="A649" s="11">
        <v>1.0</v>
      </c>
      <c r="B649" s="12">
        <f t="shared" si="2"/>
        <v>10532.3964</v>
      </c>
      <c r="C649" s="13">
        <v>87769.97</v>
      </c>
      <c r="D649" s="13">
        <f t="shared" ref="D649:E649" si="646">B649/12</f>
        <v>877.6997</v>
      </c>
      <c r="E649" s="13">
        <f t="shared" si="646"/>
        <v>7314.164167</v>
      </c>
      <c r="F649" s="13">
        <v>137.32</v>
      </c>
    </row>
    <row r="650">
      <c r="A650" s="11">
        <v>9.0</v>
      </c>
      <c r="B650" s="12">
        <f t="shared" si="2"/>
        <v>5247.2292</v>
      </c>
      <c r="C650" s="13">
        <v>43726.91</v>
      </c>
      <c r="D650" s="13">
        <f t="shared" ref="D650:E650" si="647">B650/12</f>
        <v>437.2691</v>
      </c>
      <c r="E650" s="13">
        <f t="shared" si="647"/>
        <v>3643.909167</v>
      </c>
      <c r="F650" s="13">
        <v>407.68</v>
      </c>
    </row>
    <row r="651">
      <c r="A651" s="11">
        <v>0.0</v>
      </c>
      <c r="B651" s="12">
        <f t="shared" si="2"/>
        <v>10447.1988</v>
      </c>
      <c r="C651" s="13">
        <v>87059.99</v>
      </c>
      <c r="D651" s="13">
        <f t="shared" ref="D651:E651" si="648">B651/12</f>
        <v>870.5999</v>
      </c>
      <c r="E651" s="13">
        <f t="shared" si="648"/>
        <v>7254.999167</v>
      </c>
      <c r="F651" s="13">
        <v>284.19</v>
      </c>
    </row>
    <row r="652">
      <c r="A652" s="11">
        <v>4.0</v>
      </c>
      <c r="B652" s="12">
        <f t="shared" si="2"/>
        <v>7553.1468</v>
      </c>
      <c r="C652" s="13">
        <v>62942.89</v>
      </c>
      <c r="D652" s="13">
        <f t="shared" ref="D652:E652" si="649">B652/12</f>
        <v>629.4289</v>
      </c>
      <c r="E652" s="13">
        <f t="shared" si="649"/>
        <v>5245.240833</v>
      </c>
      <c r="F652" s="13">
        <v>475.12</v>
      </c>
    </row>
    <row r="653">
      <c r="A653" s="11">
        <v>4.0</v>
      </c>
      <c r="B653" s="12">
        <f t="shared" si="2"/>
        <v>9108.456</v>
      </c>
      <c r="C653" s="13">
        <v>75903.8</v>
      </c>
      <c r="D653" s="13">
        <f t="shared" ref="D653:E653" si="650">B653/12</f>
        <v>759.038</v>
      </c>
      <c r="E653" s="13">
        <f t="shared" si="650"/>
        <v>6325.316667</v>
      </c>
      <c r="F653" s="13">
        <v>26.54</v>
      </c>
    </row>
    <row r="654">
      <c r="A654" s="11">
        <v>0.0</v>
      </c>
      <c r="B654" s="12">
        <f t="shared" si="2"/>
        <v>1329.4464</v>
      </c>
      <c r="C654" s="13">
        <v>11078.72</v>
      </c>
      <c r="D654" s="13">
        <f t="shared" ref="D654:E654" si="651">B654/12</f>
        <v>110.7872</v>
      </c>
      <c r="E654" s="13">
        <f t="shared" si="651"/>
        <v>923.2266667</v>
      </c>
      <c r="F654" s="13">
        <v>624.46</v>
      </c>
    </row>
    <row r="655">
      <c r="A655" s="11">
        <v>1.0</v>
      </c>
      <c r="B655" s="12">
        <f t="shared" si="2"/>
        <v>9968.6292</v>
      </c>
      <c r="C655" s="13">
        <v>83071.91</v>
      </c>
      <c r="D655" s="13">
        <f t="shared" ref="D655:E655" si="652">B655/12</f>
        <v>830.7191</v>
      </c>
      <c r="E655" s="13">
        <f t="shared" si="652"/>
        <v>6922.659167</v>
      </c>
      <c r="F655" s="13">
        <v>988.31</v>
      </c>
    </row>
    <row r="656">
      <c r="A656" s="11">
        <v>5.0</v>
      </c>
      <c r="B656" s="12">
        <f t="shared" si="2"/>
        <v>3603.2244</v>
      </c>
      <c r="C656" s="13">
        <v>30026.87</v>
      </c>
      <c r="D656" s="13">
        <f t="shared" ref="D656:E656" si="653">B656/12</f>
        <v>300.2687</v>
      </c>
      <c r="E656" s="13">
        <f t="shared" si="653"/>
        <v>2502.239167</v>
      </c>
      <c r="F656" s="13">
        <v>873.7</v>
      </c>
    </row>
    <row r="657">
      <c r="A657" s="11">
        <v>3.0</v>
      </c>
      <c r="B657" s="12">
        <f t="shared" si="2"/>
        <v>302.2692</v>
      </c>
      <c r="C657" s="13">
        <v>2518.91</v>
      </c>
      <c r="D657" s="13">
        <f t="shared" ref="D657:E657" si="654">B657/12</f>
        <v>25.1891</v>
      </c>
      <c r="E657" s="13">
        <f t="shared" si="654"/>
        <v>209.9091667</v>
      </c>
      <c r="F657" s="13">
        <v>656.09</v>
      </c>
    </row>
    <row r="658">
      <c r="A658" s="11">
        <v>0.0</v>
      </c>
      <c r="B658" s="12">
        <f t="shared" si="2"/>
        <v>1213.908</v>
      </c>
      <c r="C658" s="13">
        <v>10115.9</v>
      </c>
      <c r="D658" s="13">
        <f t="shared" ref="D658:E658" si="655">B658/12</f>
        <v>101.159</v>
      </c>
      <c r="E658" s="13">
        <f t="shared" si="655"/>
        <v>842.9916667</v>
      </c>
      <c r="F658" s="13">
        <v>160.17</v>
      </c>
    </row>
    <row r="659">
      <c r="A659" s="11">
        <v>2.0</v>
      </c>
      <c r="B659" s="12">
        <f t="shared" si="2"/>
        <v>337.9776</v>
      </c>
      <c r="C659" s="13">
        <v>2816.48</v>
      </c>
      <c r="D659" s="13">
        <f t="shared" ref="D659:E659" si="656">B659/12</f>
        <v>28.1648</v>
      </c>
      <c r="E659" s="13">
        <f t="shared" si="656"/>
        <v>234.7066667</v>
      </c>
      <c r="F659" s="13">
        <v>611.39</v>
      </c>
    </row>
    <row r="660">
      <c r="A660" s="11">
        <v>7.0</v>
      </c>
      <c r="B660" s="12">
        <f t="shared" si="2"/>
        <v>9472.4868</v>
      </c>
      <c r="C660" s="13">
        <v>78937.39</v>
      </c>
      <c r="D660" s="13">
        <f t="shared" ref="D660:E660" si="657">B660/12</f>
        <v>789.3739</v>
      </c>
      <c r="E660" s="13">
        <f t="shared" si="657"/>
        <v>6578.115833</v>
      </c>
      <c r="F660" s="13">
        <v>743.16</v>
      </c>
    </row>
    <row r="661">
      <c r="A661" s="11">
        <v>8.0</v>
      </c>
      <c r="B661" s="12">
        <f t="shared" si="2"/>
        <v>9275.2728</v>
      </c>
      <c r="C661" s="13">
        <v>77293.94</v>
      </c>
      <c r="D661" s="13">
        <f t="shared" ref="D661:E661" si="658">B661/12</f>
        <v>772.9394</v>
      </c>
      <c r="E661" s="13">
        <f t="shared" si="658"/>
        <v>6441.161667</v>
      </c>
      <c r="F661" s="13">
        <v>450.83</v>
      </c>
    </row>
    <row r="662">
      <c r="A662" s="11">
        <v>3.0</v>
      </c>
      <c r="B662" s="12">
        <f t="shared" si="2"/>
        <v>2452.0908</v>
      </c>
      <c r="C662" s="13">
        <v>20434.09</v>
      </c>
      <c r="D662" s="13">
        <f t="shared" ref="D662:E662" si="659">B662/12</f>
        <v>204.3409</v>
      </c>
      <c r="E662" s="13">
        <f t="shared" si="659"/>
        <v>1702.840833</v>
      </c>
      <c r="F662" s="13">
        <v>739.85</v>
      </c>
    </row>
    <row r="663">
      <c r="A663" s="11">
        <v>0.0</v>
      </c>
      <c r="B663" s="12">
        <f t="shared" si="2"/>
        <v>4138.4016</v>
      </c>
      <c r="C663" s="13">
        <v>34486.68</v>
      </c>
      <c r="D663" s="13">
        <f t="shared" ref="D663:E663" si="660">B663/12</f>
        <v>344.8668</v>
      </c>
      <c r="E663" s="13">
        <f t="shared" si="660"/>
        <v>2873.89</v>
      </c>
      <c r="F663" s="13">
        <v>275.65</v>
      </c>
    </row>
    <row r="664">
      <c r="A664" s="11">
        <v>3.0</v>
      </c>
      <c r="B664" s="12">
        <f t="shared" si="2"/>
        <v>2394.7836</v>
      </c>
      <c r="C664" s="13">
        <v>19956.53</v>
      </c>
      <c r="D664" s="13">
        <f t="shared" ref="D664:E664" si="661">B664/12</f>
        <v>199.5653</v>
      </c>
      <c r="E664" s="13">
        <f t="shared" si="661"/>
        <v>1663.044167</v>
      </c>
      <c r="F664" s="13">
        <v>871.15</v>
      </c>
    </row>
    <row r="665">
      <c r="A665" s="11">
        <v>5.0</v>
      </c>
      <c r="B665" s="12">
        <f t="shared" si="2"/>
        <v>5750.2344</v>
      </c>
      <c r="C665" s="13">
        <v>47918.62</v>
      </c>
      <c r="D665" s="13">
        <f t="shared" ref="D665:E665" si="662">B665/12</f>
        <v>479.1862</v>
      </c>
      <c r="E665" s="13">
        <f t="shared" si="662"/>
        <v>3993.218333</v>
      </c>
      <c r="F665" s="13">
        <v>161.61</v>
      </c>
    </row>
    <row r="666">
      <c r="A666" s="11">
        <v>1.0</v>
      </c>
      <c r="B666" s="12">
        <f t="shared" si="2"/>
        <v>896.4396</v>
      </c>
      <c r="C666" s="13">
        <v>7470.33</v>
      </c>
      <c r="D666" s="13">
        <f t="shared" ref="D666:E666" si="663">B666/12</f>
        <v>74.7033</v>
      </c>
      <c r="E666" s="13">
        <f t="shared" si="663"/>
        <v>622.5275</v>
      </c>
      <c r="F666" s="13">
        <v>171.79</v>
      </c>
    </row>
    <row r="667">
      <c r="A667" s="11">
        <v>3.0</v>
      </c>
      <c r="B667" s="12">
        <f t="shared" si="2"/>
        <v>6191.6244</v>
      </c>
      <c r="C667" s="13">
        <v>51596.87</v>
      </c>
      <c r="D667" s="13">
        <f t="shared" ref="D667:E667" si="664">B667/12</f>
        <v>515.9687</v>
      </c>
      <c r="E667" s="13">
        <f t="shared" si="664"/>
        <v>4299.739167</v>
      </c>
      <c r="F667" s="13">
        <v>145.15</v>
      </c>
    </row>
    <row r="668">
      <c r="A668" s="11">
        <v>7.0</v>
      </c>
      <c r="B668" s="12">
        <f t="shared" si="2"/>
        <v>7845.954</v>
      </c>
      <c r="C668" s="13">
        <v>65382.95</v>
      </c>
      <c r="D668" s="13">
        <f t="shared" ref="D668:E668" si="665">B668/12</f>
        <v>653.8295</v>
      </c>
      <c r="E668" s="13">
        <f t="shared" si="665"/>
        <v>5448.579167</v>
      </c>
      <c r="F668" s="13">
        <v>69.65</v>
      </c>
    </row>
    <row r="669">
      <c r="A669" s="11">
        <v>4.0</v>
      </c>
      <c r="B669" s="12">
        <f t="shared" si="2"/>
        <v>6735.7104</v>
      </c>
      <c r="C669" s="13">
        <v>56130.92</v>
      </c>
      <c r="D669" s="13">
        <f t="shared" ref="D669:E669" si="666">B669/12</f>
        <v>561.3092</v>
      </c>
      <c r="E669" s="13">
        <f t="shared" si="666"/>
        <v>4677.576667</v>
      </c>
      <c r="F669" s="13">
        <v>393.48</v>
      </c>
    </row>
    <row r="670">
      <c r="A670" s="11">
        <v>7.0</v>
      </c>
      <c r="B670" s="12">
        <f t="shared" si="2"/>
        <v>6894.36</v>
      </c>
      <c r="C670" s="13">
        <v>57453.0</v>
      </c>
      <c r="D670" s="13">
        <f t="shared" ref="D670:E670" si="667">B670/12</f>
        <v>574.53</v>
      </c>
      <c r="E670" s="13">
        <f t="shared" si="667"/>
        <v>4787.75</v>
      </c>
      <c r="F670" s="13">
        <v>234.44</v>
      </c>
    </row>
    <row r="671">
      <c r="A671" s="11">
        <v>8.0</v>
      </c>
      <c r="B671" s="12">
        <f t="shared" si="2"/>
        <v>2804.2512</v>
      </c>
      <c r="C671" s="13">
        <v>23368.76</v>
      </c>
      <c r="D671" s="13">
        <f t="shared" ref="D671:E671" si="668">B671/12</f>
        <v>233.6876</v>
      </c>
      <c r="E671" s="13">
        <f t="shared" si="668"/>
        <v>1947.396667</v>
      </c>
      <c r="F671" s="13">
        <v>178.72</v>
      </c>
    </row>
    <row r="672">
      <c r="A672" s="11">
        <v>1.0</v>
      </c>
      <c r="B672" s="12">
        <f t="shared" si="2"/>
        <v>10020.5628</v>
      </c>
      <c r="C672" s="13">
        <v>83504.69</v>
      </c>
      <c r="D672" s="13">
        <f t="shared" ref="D672:E672" si="669">B672/12</f>
        <v>835.0469</v>
      </c>
      <c r="E672" s="13">
        <f t="shared" si="669"/>
        <v>6958.724167</v>
      </c>
      <c r="F672" s="13">
        <v>362.5</v>
      </c>
    </row>
    <row r="673">
      <c r="A673" s="11">
        <v>7.0</v>
      </c>
      <c r="B673" s="12">
        <f t="shared" si="2"/>
        <v>4150.458</v>
      </c>
      <c r="C673" s="13">
        <v>34587.15</v>
      </c>
      <c r="D673" s="13">
        <f t="shared" ref="D673:E673" si="670">B673/12</f>
        <v>345.8715</v>
      </c>
      <c r="E673" s="13">
        <f t="shared" si="670"/>
        <v>2882.2625</v>
      </c>
      <c r="F673" s="13">
        <v>332.09</v>
      </c>
    </row>
    <row r="674">
      <c r="A674" s="11">
        <v>8.0</v>
      </c>
      <c r="B674" s="12">
        <f t="shared" si="2"/>
        <v>7007.1336</v>
      </c>
      <c r="C674" s="13">
        <v>58392.78</v>
      </c>
      <c r="D674" s="13">
        <f t="shared" ref="D674:E674" si="671">B674/12</f>
        <v>583.9278</v>
      </c>
      <c r="E674" s="13">
        <f t="shared" si="671"/>
        <v>4866.065</v>
      </c>
      <c r="F674" s="13">
        <v>953.87</v>
      </c>
    </row>
    <row r="675">
      <c r="A675" s="11">
        <v>6.0</v>
      </c>
      <c r="B675" s="12">
        <f t="shared" si="2"/>
        <v>3799.7424</v>
      </c>
      <c r="C675" s="13">
        <v>31664.52</v>
      </c>
      <c r="D675" s="13">
        <f t="shared" ref="D675:E675" si="672">B675/12</f>
        <v>316.6452</v>
      </c>
      <c r="E675" s="13">
        <f t="shared" si="672"/>
        <v>2638.71</v>
      </c>
      <c r="F675" s="13">
        <v>716.23</v>
      </c>
    </row>
    <row r="676">
      <c r="A676" s="11">
        <v>4.0</v>
      </c>
      <c r="B676" s="12">
        <f t="shared" si="2"/>
        <v>338.082</v>
      </c>
      <c r="C676" s="13">
        <v>2817.35</v>
      </c>
      <c r="D676" s="13">
        <f t="shared" ref="D676:E676" si="673">B676/12</f>
        <v>28.1735</v>
      </c>
      <c r="E676" s="13">
        <f t="shared" si="673"/>
        <v>234.7791667</v>
      </c>
      <c r="F676" s="13">
        <v>875.73</v>
      </c>
    </row>
    <row r="677">
      <c r="A677" s="11">
        <v>8.0</v>
      </c>
      <c r="B677" s="12">
        <f t="shared" si="2"/>
        <v>3934.6224</v>
      </c>
      <c r="C677" s="13">
        <v>32788.52</v>
      </c>
      <c r="D677" s="13">
        <f t="shared" ref="D677:E677" si="674">B677/12</f>
        <v>327.8852</v>
      </c>
      <c r="E677" s="13">
        <f t="shared" si="674"/>
        <v>2732.376667</v>
      </c>
      <c r="F677" s="13">
        <v>431.81</v>
      </c>
    </row>
    <row r="678">
      <c r="A678" s="11">
        <v>7.0</v>
      </c>
      <c r="B678" s="12">
        <f t="shared" si="2"/>
        <v>1139.9292</v>
      </c>
      <c r="C678" s="13">
        <v>9499.41</v>
      </c>
      <c r="D678" s="13">
        <f t="shared" ref="D678:E678" si="675">B678/12</f>
        <v>94.9941</v>
      </c>
      <c r="E678" s="13">
        <f t="shared" si="675"/>
        <v>791.6175</v>
      </c>
      <c r="F678" s="13">
        <v>474.34</v>
      </c>
    </row>
    <row r="679">
      <c r="A679" s="11">
        <v>8.0</v>
      </c>
      <c r="B679" s="12">
        <f t="shared" si="2"/>
        <v>3201.492</v>
      </c>
      <c r="C679" s="13">
        <v>26679.1</v>
      </c>
      <c r="D679" s="13">
        <f t="shared" ref="D679:E679" si="676">B679/12</f>
        <v>266.791</v>
      </c>
      <c r="E679" s="13">
        <f t="shared" si="676"/>
        <v>2223.258333</v>
      </c>
      <c r="F679" s="13">
        <v>937.36</v>
      </c>
    </row>
    <row r="680">
      <c r="A680" s="11">
        <v>2.0</v>
      </c>
      <c r="B680" s="12">
        <f t="shared" si="2"/>
        <v>6901.0524</v>
      </c>
      <c r="C680" s="13">
        <v>57508.77</v>
      </c>
      <c r="D680" s="13">
        <f t="shared" ref="D680:E680" si="677">B680/12</f>
        <v>575.0877</v>
      </c>
      <c r="E680" s="13">
        <f t="shared" si="677"/>
        <v>4792.3975</v>
      </c>
      <c r="F680" s="13">
        <v>48.25</v>
      </c>
    </row>
    <row r="681">
      <c r="A681" s="11">
        <v>7.0</v>
      </c>
      <c r="B681" s="12">
        <f t="shared" si="2"/>
        <v>11063.7828</v>
      </c>
      <c r="C681" s="13">
        <v>92198.19</v>
      </c>
      <c r="D681" s="13">
        <f t="shared" ref="D681:E681" si="678">B681/12</f>
        <v>921.9819</v>
      </c>
      <c r="E681" s="13">
        <f t="shared" si="678"/>
        <v>7683.1825</v>
      </c>
      <c r="F681" s="13">
        <v>549.25</v>
      </c>
    </row>
    <row r="682">
      <c r="A682" s="11">
        <v>9.0</v>
      </c>
      <c r="B682" s="12">
        <f t="shared" si="2"/>
        <v>731.2608</v>
      </c>
      <c r="C682" s="13">
        <v>6093.84</v>
      </c>
      <c r="D682" s="13">
        <f t="shared" ref="D682:E682" si="679">B682/12</f>
        <v>60.9384</v>
      </c>
      <c r="E682" s="13">
        <f t="shared" si="679"/>
        <v>507.82</v>
      </c>
      <c r="F682" s="13">
        <v>183.07</v>
      </c>
    </row>
    <row r="683">
      <c r="A683" s="11">
        <v>1.0</v>
      </c>
      <c r="B683" s="12">
        <f t="shared" si="2"/>
        <v>7448.9688</v>
      </c>
      <c r="C683" s="13">
        <v>62074.74</v>
      </c>
      <c r="D683" s="13">
        <f t="shared" ref="D683:E683" si="680">B683/12</f>
        <v>620.7474</v>
      </c>
      <c r="E683" s="13">
        <f t="shared" si="680"/>
        <v>5172.895</v>
      </c>
      <c r="F683" s="13">
        <v>361.06</v>
      </c>
    </row>
    <row r="684">
      <c r="A684" s="11">
        <v>7.0</v>
      </c>
      <c r="B684" s="12">
        <f t="shared" si="2"/>
        <v>4613.6196</v>
      </c>
      <c r="C684" s="13">
        <v>38446.83</v>
      </c>
      <c r="D684" s="13">
        <f t="shared" ref="D684:E684" si="681">B684/12</f>
        <v>384.4683</v>
      </c>
      <c r="E684" s="13">
        <f t="shared" si="681"/>
        <v>3203.9025</v>
      </c>
      <c r="F684" s="13">
        <v>227.45</v>
      </c>
    </row>
    <row r="685">
      <c r="A685" s="11">
        <v>1.0</v>
      </c>
      <c r="B685" s="12">
        <f t="shared" si="2"/>
        <v>2256.0036</v>
      </c>
      <c r="C685" s="13">
        <v>18800.03</v>
      </c>
      <c r="D685" s="13">
        <f t="shared" ref="D685:E685" si="682">B685/12</f>
        <v>188.0003</v>
      </c>
      <c r="E685" s="13">
        <f t="shared" si="682"/>
        <v>1566.669167</v>
      </c>
      <c r="F685" s="13">
        <v>722.99</v>
      </c>
    </row>
    <row r="686">
      <c r="A686" s="11">
        <v>3.0</v>
      </c>
      <c r="B686" s="12">
        <f t="shared" si="2"/>
        <v>4702.212</v>
      </c>
      <c r="C686" s="13">
        <v>39185.1</v>
      </c>
      <c r="D686" s="13">
        <f t="shared" ref="D686:E686" si="683">B686/12</f>
        <v>391.851</v>
      </c>
      <c r="E686" s="13">
        <f t="shared" si="683"/>
        <v>3265.425</v>
      </c>
      <c r="F686" s="13">
        <v>744.85</v>
      </c>
    </row>
    <row r="687">
      <c r="A687" s="11">
        <v>1.0</v>
      </c>
      <c r="B687" s="12">
        <f t="shared" si="2"/>
        <v>3014.5092</v>
      </c>
      <c r="C687" s="13">
        <v>25120.91</v>
      </c>
      <c r="D687" s="13">
        <f t="shared" ref="D687:E687" si="684">B687/12</f>
        <v>251.2091</v>
      </c>
      <c r="E687" s="13">
        <f t="shared" si="684"/>
        <v>2093.409167</v>
      </c>
      <c r="F687" s="13">
        <v>202.0</v>
      </c>
    </row>
    <row r="688">
      <c r="A688" s="11">
        <v>7.0</v>
      </c>
      <c r="B688" s="12">
        <f t="shared" si="2"/>
        <v>5240.6208</v>
      </c>
      <c r="C688" s="13">
        <v>43671.84</v>
      </c>
      <c r="D688" s="13">
        <f t="shared" ref="D688:E688" si="685">B688/12</f>
        <v>436.7184</v>
      </c>
      <c r="E688" s="13">
        <f t="shared" si="685"/>
        <v>3639.32</v>
      </c>
      <c r="F688" s="13">
        <v>14.29</v>
      </c>
    </row>
    <row r="689">
      <c r="A689" s="11">
        <v>5.0</v>
      </c>
      <c r="B689" s="12">
        <f t="shared" si="2"/>
        <v>313.1472</v>
      </c>
      <c r="C689" s="13">
        <v>2609.56</v>
      </c>
      <c r="D689" s="13">
        <f t="shared" ref="D689:E689" si="686">B689/12</f>
        <v>26.0956</v>
      </c>
      <c r="E689" s="13">
        <f t="shared" si="686"/>
        <v>217.4633333</v>
      </c>
      <c r="F689" s="13">
        <v>793.96</v>
      </c>
    </row>
    <row r="690">
      <c r="A690" s="11">
        <v>0.0</v>
      </c>
      <c r="B690" s="12">
        <f t="shared" si="2"/>
        <v>2728.2888</v>
      </c>
      <c r="C690" s="13">
        <v>22735.74</v>
      </c>
      <c r="D690" s="13">
        <f t="shared" ref="D690:E690" si="687">B690/12</f>
        <v>227.3574</v>
      </c>
      <c r="E690" s="13">
        <f t="shared" si="687"/>
        <v>1894.645</v>
      </c>
      <c r="F690" s="13">
        <v>524.44</v>
      </c>
    </row>
    <row r="691">
      <c r="A691" s="11">
        <v>5.0</v>
      </c>
      <c r="B691" s="12">
        <f t="shared" si="2"/>
        <v>5441.2404</v>
      </c>
      <c r="C691" s="13">
        <v>45343.67</v>
      </c>
      <c r="D691" s="13">
        <f t="shared" ref="D691:E691" si="688">B691/12</f>
        <v>453.4367</v>
      </c>
      <c r="E691" s="13">
        <f t="shared" si="688"/>
        <v>3778.639167</v>
      </c>
      <c r="F691" s="13">
        <v>442.66</v>
      </c>
    </row>
    <row r="692">
      <c r="A692" s="11">
        <v>9.0</v>
      </c>
      <c r="B692" s="12">
        <f t="shared" si="2"/>
        <v>5193.7788</v>
      </c>
      <c r="C692" s="13">
        <v>43281.49</v>
      </c>
      <c r="D692" s="13">
        <f t="shared" ref="D692:E692" si="689">B692/12</f>
        <v>432.8149</v>
      </c>
      <c r="E692" s="13">
        <f t="shared" si="689"/>
        <v>3606.790833</v>
      </c>
      <c r="F692" s="13">
        <v>417.16</v>
      </c>
    </row>
    <row r="693">
      <c r="A693" s="11">
        <v>0.0</v>
      </c>
      <c r="B693" s="12">
        <f t="shared" si="2"/>
        <v>8839.818</v>
      </c>
      <c r="C693" s="13">
        <v>73665.15</v>
      </c>
      <c r="D693" s="13">
        <f t="shared" ref="D693:E693" si="690">B693/12</f>
        <v>736.6515</v>
      </c>
      <c r="E693" s="13">
        <f t="shared" si="690"/>
        <v>6138.7625</v>
      </c>
      <c r="F693" s="13">
        <v>337.46</v>
      </c>
    </row>
    <row r="694">
      <c r="A694" s="11">
        <v>7.0</v>
      </c>
      <c r="B694" s="12">
        <f t="shared" si="2"/>
        <v>7621.1748</v>
      </c>
      <c r="C694" s="13">
        <v>63509.79</v>
      </c>
      <c r="D694" s="13">
        <f t="shared" ref="D694:E694" si="691">B694/12</f>
        <v>635.0979</v>
      </c>
      <c r="E694" s="13">
        <f t="shared" si="691"/>
        <v>5292.4825</v>
      </c>
      <c r="F694" s="13">
        <v>527.11</v>
      </c>
    </row>
    <row r="695">
      <c r="A695" s="11">
        <v>7.0</v>
      </c>
      <c r="B695" s="12">
        <f t="shared" si="2"/>
        <v>4739.1636</v>
      </c>
      <c r="C695" s="13">
        <v>39493.03</v>
      </c>
      <c r="D695" s="13">
        <f t="shared" ref="D695:E695" si="692">B695/12</f>
        <v>394.9303</v>
      </c>
      <c r="E695" s="13">
        <f t="shared" si="692"/>
        <v>3291.085833</v>
      </c>
      <c r="F695" s="13">
        <v>388.2</v>
      </c>
    </row>
    <row r="696">
      <c r="A696" s="11">
        <v>4.0</v>
      </c>
      <c r="B696" s="12">
        <f t="shared" si="2"/>
        <v>1028.8524</v>
      </c>
      <c r="C696" s="13">
        <v>8573.77</v>
      </c>
      <c r="D696" s="13">
        <f t="shared" ref="D696:E696" si="693">B696/12</f>
        <v>85.7377</v>
      </c>
      <c r="E696" s="13">
        <f t="shared" si="693"/>
        <v>714.4808333</v>
      </c>
      <c r="F696" s="13">
        <v>932.89</v>
      </c>
    </row>
    <row r="697">
      <c r="A697" s="11">
        <v>6.0</v>
      </c>
      <c r="B697" s="12">
        <f t="shared" si="2"/>
        <v>1616.6868</v>
      </c>
      <c r="C697" s="13">
        <v>13472.39</v>
      </c>
      <c r="D697" s="13">
        <f t="shared" ref="D697:E697" si="694">B697/12</f>
        <v>134.7239</v>
      </c>
      <c r="E697" s="13">
        <f t="shared" si="694"/>
        <v>1122.699167</v>
      </c>
      <c r="F697" s="13">
        <v>284.91</v>
      </c>
    </row>
    <row r="698">
      <c r="A698" s="11">
        <v>2.0</v>
      </c>
      <c r="B698" s="12">
        <f t="shared" si="2"/>
        <v>10028.454</v>
      </c>
      <c r="C698" s="13">
        <v>83570.45</v>
      </c>
      <c r="D698" s="13">
        <f t="shared" ref="D698:E698" si="695">B698/12</f>
        <v>835.7045</v>
      </c>
      <c r="E698" s="13">
        <f t="shared" si="695"/>
        <v>6964.204167</v>
      </c>
      <c r="F698" s="13">
        <v>874.76</v>
      </c>
    </row>
    <row r="699">
      <c r="A699" s="11">
        <v>2.0</v>
      </c>
      <c r="B699" s="12">
        <f t="shared" si="2"/>
        <v>7217.8896</v>
      </c>
      <c r="C699" s="13">
        <v>60149.08</v>
      </c>
      <c r="D699" s="13">
        <f t="shared" ref="D699:E699" si="696">B699/12</f>
        <v>601.4908</v>
      </c>
      <c r="E699" s="13">
        <f t="shared" si="696"/>
        <v>5012.423333</v>
      </c>
      <c r="F699" s="13">
        <v>488.36</v>
      </c>
    </row>
    <row r="700">
      <c r="A700" s="11">
        <v>8.0</v>
      </c>
      <c r="B700" s="12">
        <f t="shared" si="2"/>
        <v>96.3744</v>
      </c>
      <c r="C700" s="13">
        <v>803.12</v>
      </c>
      <c r="D700" s="13">
        <f t="shared" ref="D700:E700" si="697">B700/12</f>
        <v>8.0312</v>
      </c>
      <c r="E700" s="13">
        <f t="shared" si="697"/>
        <v>66.92666667</v>
      </c>
      <c r="F700" s="13">
        <v>91.44</v>
      </c>
    </row>
    <row r="701">
      <c r="A701" s="11">
        <v>9.0</v>
      </c>
      <c r="B701" s="12">
        <f t="shared" si="2"/>
        <v>1672.3476</v>
      </c>
      <c r="C701" s="13">
        <v>13936.23</v>
      </c>
      <c r="D701" s="13">
        <f t="shared" ref="D701:E701" si="698">B701/12</f>
        <v>139.3623</v>
      </c>
      <c r="E701" s="13">
        <f t="shared" si="698"/>
        <v>1161.3525</v>
      </c>
      <c r="F701" s="13">
        <v>704.93</v>
      </c>
    </row>
    <row r="702">
      <c r="A702" s="11">
        <v>4.0</v>
      </c>
      <c r="B702" s="12">
        <f t="shared" si="2"/>
        <v>1089.9</v>
      </c>
      <c r="C702" s="13">
        <v>9082.5</v>
      </c>
      <c r="D702" s="13">
        <f t="shared" ref="D702:E702" si="699">B702/12</f>
        <v>90.825</v>
      </c>
      <c r="E702" s="13">
        <f t="shared" si="699"/>
        <v>756.875</v>
      </c>
      <c r="F702" s="13">
        <v>606.11</v>
      </c>
    </row>
    <row r="703">
      <c r="A703" s="11">
        <v>4.0</v>
      </c>
      <c r="B703" s="12">
        <f t="shared" si="2"/>
        <v>6038.4144</v>
      </c>
      <c r="C703" s="13">
        <v>50320.12</v>
      </c>
      <c r="D703" s="13">
        <f t="shared" ref="D703:E703" si="700">B703/12</f>
        <v>503.2012</v>
      </c>
      <c r="E703" s="13">
        <f t="shared" si="700"/>
        <v>4193.343333</v>
      </c>
      <c r="F703" s="13">
        <v>89.71</v>
      </c>
    </row>
    <row r="704">
      <c r="A704" s="11">
        <v>8.0</v>
      </c>
      <c r="B704" s="12">
        <f t="shared" si="2"/>
        <v>11062.4652</v>
      </c>
      <c r="C704" s="13">
        <v>92187.21</v>
      </c>
      <c r="D704" s="13">
        <f t="shared" ref="D704:E704" si="701">B704/12</f>
        <v>921.8721</v>
      </c>
      <c r="E704" s="13">
        <f t="shared" si="701"/>
        <v>7682.2675</v>
      </c>
      <c r="F704" s="13">
        <v>772.45</v>
      </c>
    </row>
    <row r="705">
      <c r="A705" s="11">
        <v>8.0</v>
      </c>
      <c r="B705" s="12">
        <f t="shared" si="2"/>
        <v>11098.2288</v>
      </c>
      <c r="C705" s="13">
        <v>92485.24</v>
      </c>
      <c r="D705" s="13">
        <f t="shared" ref="D705:E705" si="702">B705/12</f>
        <v>924.8524</v>
      </c>
      <c r="E705" s="13">
        <f t="shared" si="702"/>
        <v>7707.103333</v>
      </c>
      <c r="F705" s="13">
        <v>578.86</v>
      </c>
    </row>
    <row r="706">
      <c r="A706" s="11">
        <v>2.0</v>
      </c>
      <c r="B706" s="12">
        <f t="shared" si="2"/>
        <v>9126.0816</v>
      </c>
      <c r="C706" s="13">
        <v>76050.68</v>
      </c>
      <c r="D706" s="13">
        <f t="shared" ref="D706:E706" si="703">B706/12</f>
        <v>760.5068</v>
      </c>
      <c r="E706" s="13">
        <f t="shared" si="703"/>
        <v>6337.556667</v>
      </c>
      <c r="F706" s="13">
        <v>663.94</v>
      </c>
    </row>
    <row r="707">
      <c r="A707" s="11">
        <v>6.0</v>
      </c>
      <c r="B707" s="12">
        <f t="shared" si="2"/>
        <v>805.218</v>
      </c>
      <c r="C707" s="13">
        <v>6710.15</v>
      </c>
      <c r="D707" s="13">
        <f t="shared" ref="D707:E707" si="704">B707/12</f>
        <v>67.1015</v>
      </c>
      <c r="E707" s="13">
        <f t="shared" si="704"/>
        <v>559.1791667</v>
      </c>
      <c r="F707" s="13">
        <v>505.78</v>
      </c>
    </row>
    <row r="708">
      <c r="A708" s="11">
        <v>8.0</v>
      </c>
      <c r="B708" s="12">
        <f t="shared" si="2"/>
        <v>8396.556</v>
      </c>
      <c r="C708" s="13">
        <v>69971.3</v>
      </c>
      <c r="D708" s="13">
        <f t="shared" ref="D708:E708" si="705">B708/12</f>
        <v>699.713</v>
      </c>
      <c r="E708" s="13">
        <f t="shared" si="705"/>
        <v>5830.941667</v>
      </c>
      <c r="F708" s="13">
        <v>535.37</v>
      </c>
    </row>
    <row r="709">
      <c r="A709" s="11">
        <v>8.0</v>
      </c>
      <c r="B709" s="12">
        <f t="shared" si="2"/>
        <v>8166.5472</v>
      </c>
      <c r="C709" s="13">
        <v>68054.56</v>
      </c>
      <c r="D709" s="13">
        <f t="shared" ref="D709:E709" si="706">B709/12</f>
        <v>680.5456</v>
      </c>
      <c r="E709" s="13">
        <f t="shared" si="706"/>
        <v>5671.213333</v>
      </c>
      <c r="F709" s="13">
        <v>784.01</v>
      </c>
    </row>
    <row r="710">
      <c r="A710" s="11">
        <v>2.0</v>
      </c>
      <c r="B710" s="12">
        <f t="shared" si="2"/>
        <v>10785.7644</v>
      </c>
      <c r="C710" s="13">
        <v>89881.37</v>
      </c>
      <c r="D710" s="13">
        <f t="shared" ref="D710:E710" si="707">B710/12</f>
        <v>898.8137</v>
      </c>
      <c r="E710" s="13">
        <f t="shared" si="707"/>
        <v>7490.114167</v>
      </c>
      <c r="F710" s="13">
        <v>312.62</v>
      </c>
    </row>
    <row r="711">
      <c r="A711" s="11">
        <v>1.0</v>
      </c>
      <c r="B711" s="12">
        <f t="shared" si="2"/>
        <v>8960.4768</v>
      </c>
      <c r="C711" s="13">
        <v>74670.64</v>
      </c>
      <c r="D711" s="13">
        <f t="shared" ref="D711:E711" si="708">B711/12</f>
        <v>746.7064</v>
      </c>
      <c r="E711" s="13">
        <f t="shared" si="708"/>
        <v>6222.553333</v>
      </c>
      <c r="F711" s="13">
        <v>400.04</v>
      </c>
    </row>
    <row r="712">
      <c r="A712" s="11">
        <v>7.0</v>
      </c>
      <c r="B712" s="12">
        <f t="shared" si="2"/>
        <v>2870.5428</v>
      </c>
      <c r="C712" s="13">
        <v>23921.19</v>
      </c>
      <c r="D712" s="13">
        <f t="shared" ref="D712:E712" si="709">B712/12</f>
        <v>239.2119</v>
      </c>
      <c r="E712" s="13">
        <f t="shared" si="709"/>
        <v>1993.4325</v>
      </c>
      <c r="F712" s="13">
        <v>685.18</v>
      </c>
    </row>
    <row r="713">
      <c r="A713" s="11">
        <v>8.0</v>
      </c>
      <c r="B713" s="12">
        <f t="shared" si="2"/>
        <v>2676.324</v>
      </c>
      <c r="C713" s="13">
        <v>22302.7</v>
      </c>
      <c r="D713" s="13">
        <f t="shared" ref="D713:E713" si="710">B713/12</f>
        <v>223.027</v>
      </c>
      <c r="E713" s="13">
        <f t="shared" si="710"/>
        <v>1858.558333</v>
      </c>
      <c r="F713" s="13">
        <v>793.96</v>
      </c>
    </row>
    <row r="714">
      <c r="A714" s="11">
        <v>8.0</v>
      </c>
      <c r="B714" s="12">
        <f t="shared" si="2"/>
        <v>6332.5392</v>
      </c>
      <c r="C714" s="13">
        <v>52771.16</v>
      </c>
      <c r="D714" s="13">
        <f t="shared" ref="D714:E714" si="711">B714/12</f>
        <v>527.7116</v>
      </c>
      <c r="E714" s="13">
        <f t="shared" si="711"/>
        <v>4397.596667</v>
      </c>
      <c r="F714" s="13">
        <v>919.68</v>
      </c>
    </row>
    <row r="715">
      <c r="A715" s="11">
        <v>9.0</v>
      </c>
      <c r="B715" s="12">
        <f t="shared" si="2"/>
        <v>5136.2952</v>
      </c>
      <c r="C715" s="13">
        <v>42802.46</v>
      </c>
      <c r="D715" s="13">
        <f t="shared" ref="D715:E715" si="712">B715/12</f>
        <v>428.0246</v>
      </c>
      <c r="E715" s="13">
        <f t="shared" si="712"/>
        <v>3566.871667</v>
      </c>
      <c r="F715" s="13">
        <v>233.97</v>
      </c>
    </row>
    <row r="716">
      <c r="A716" s="11">
        <v>4.0</v>
      </c>
      <c r="B716" s="12">
        <f t="shared" si="2"/>
        <v>7623.8316</v>
      </c>
      <c r="C716" s="13">
        <v>63531.93</v>
      </c>
      <c r="D716" s="13">
        <f t="shared" ref="D716:E716" si="713">B716/12</f>
        <v>635.3193</v>
      </c>
      <c r="E716" s="13">
        <f t="shared" si="713"/>
        <v>5294.3275</v>
      </c>
      <c r="F716" s="13">
        <v>541.62</v>
      </c>
    </row>
    <row r="717">
      <c r="A717" s="11">
        <v>0.0</v>
      </c>
      <c r="B717" s="12">
        <f t="shared" si="2"/>
        <v>3002.334</v>
      </c>
      <c r="C717" s="13">
        <v>25019.45</v>
      </c>
      <c r="D717" s="13">
        <f t="shared" ref="D717:E717" si="714">B717/12</f>
        <v>250.1945</v>
      </c>
      <c r="E717" s="13">
        <f t="shared" si="714"/>
        <v>2084.954167</v>
      </c>
      <c r="F717" s="13">
        <v>261.54</v>
      </c>
    </row>
    <row r="718">
      <c r="A718" s="11">
        <v>8.0</v>
      </c>
      <c r="B718" s="12">
        <f t="shared" si="2"/>
        <v>3054.4308</v>
      </c>
      <c r="C718" s="13">
        <v>25453.59</v>
      </c>
      <c r="D718" s="13">
        <f t="shared" ref="D718:E718" si="715">B718/12</f>
        <v>254.5359</v>
      </c>
      <c r="E718" s="13">
        <f t="shared" si="715"/>
        <v>2121.1325</v>
      </c>
      <c r="F718" s="13">
        <v>457.38</v>
      </c>
    </row>
    <row r="719">
      <c r="A719" s="11">
        <v>4.0</v>
      </c>
      <c r="B719" s="12">
        <f t="shared" si="2"/>
        <v>2949.0396</v>
      </c>
      <c r="C719" s="13">
        <v>24575.33</v>
      </c>
      <c r="D719" s="13">
        <f t="shared" ref="D719:E719" si="716">B719/12</f>
        <v>245.7533</v>
      </c>
      <c r="E719" s="13">
        <f t="shared" si="716"/>
        <v>2047.944167</v>
      </c>
      <c r="F719" s="13">
        <v>5.62</v>
      </c>
    </row>
    <row r="720">
      <c r="A720" s="11">
        <v>0.0</v>
      </c>
      <c r="B720" s="12">
        <f t="shared" si="2"/>
        <v>40.926</v>
      </c>
      <c r="C720" s="13">
        <v>341.05</v>
      </c>
      <c r="D720" s="13">
        <f t="shared" ref="D720:E720" si="717">B720/12</f>
        <v>3.4105</v>
      </c>
      <c r="E720" s="13">
        <f t="shared" si="717"/>
        <v>28.42083333</v>
      </c>
      <c r="F720" s="13">
        <v>303.05</v>
      </c>
    </row>
    <row r="721">
      <c r="A721" s="11">
        <v>4.0</v>
      </c>
      <c r="B721" s="12">
        <f t="shared" si="2"/>
        <v>7822.1448</v>
      </c>
      <c r="C721" s="13">
        <v>65184.54</v>
      </c>
      <c r="D721" s="13">
        <f t="shared" ref="D721:E721" si="718">B721/12</f>
        <v>651.8454</v>
      </c>
      <c r="E721" s="13">
        <f t="shared" si="718"/>
        <v>5432.045</v>
      </c>
      <c r="F721" s="13">
        <v>351.99</v>
      </c>
    </row>
    <row r="722">
      <c r="A722" s="11">
        <v>1.0</v>
      </c>
      <c r="B722" s="12">
        <f t="shared" si="2"/>
        <v>4229.244</v>
      </c>
      <c r="C722" s="13">
        <v>35243.7</v>
      </c>
      <c r="D722" s="13">
        <f t="shared" ref="D722:E722" si="719">B722/12</f>
        <v>352.437</v>
      </c>
      <c r="E722" s="13">
        <f t="shared" si="719"/>
        <v>2936.975</v>
      </c>
      <c r="F722" s="13">
        <v>779.59</v>
      </c>
    </row>
    <row r="723">
      <c r="A723" s="11">
        <v>7.0</v>
      </c>
      <c r="B723" s="12">
        <f t="shared" si="2"/>
        <v>3886.6392</v>
      </c>
      <c r="C723" s="13">
        <v>32388.66</v>
      </c>
      <c r="D723" s="13">
        <f t="shared" ref="D723:E723" si="720">B723/12</f>
        <v>323.8866</v>
      </c>
      <c r="E723" s="13">
        <f t="shared" si="720"/>
        <v>2699.055</v>
      </c>
      <c r="F723" s="13">
        <v>670.7</v>
      </c>
    </row>
    <row r="724">
      <c r="A724" s="11">
        <v>0.0</v>
      </c>
      <c r="B724" s="12">
        <f t="shared" si="2"/>
        <v>7481.298</v>
      </c>
      <c r="C724" s="13">
        <v>62344.15</v>
      </c>
      <c r="D724" s="13">
        <f t="shared" ref="D724:E724" si="721">B724/12</f>
        <v>623.4415</v>
      </c>
      <c r="E724" s="13">
        <f t="shared" si="721"/>
        <v>5195.345833</v>
      </c>
      <c r="F724" s="13">
        <v>45.3</v>
      </c>
    </row>
    <row r="725">
      <c r="A725" s="11">
        <v>2.0</v>
      </c>
      <c r="B725" s="12">
        <f t="shared" si="2"/>
        <v>2804.748</v>
      </c>
      <c r="C725" s="13">
        <v>23372.9</v>
      </c>
      <c r="D725" s="13">
        <f t="shared" ref="D725:E725" si="722">B725/12</f>
        <v>233.729</v>
      </c>
      <c r="E725" s="13">
        <f t="shared" si="722"/>
        <v>1947.741667</v>
      </c>
      <c r="F725" s="13">
        <v>469.24</v>
      </c>
    </row>
    <row r="726">
      <c r="A726" s="11">
        <v>8.0</v>
      </c>
      <c r="B726" s="12">
        <f t="shared" si="2"/>
        <v>2544.1164</v>
      </c>
      <c r="C726" s="13">
        <v>21200.97</v>
      </c>
      <c r="D726" s="13">
        <f t="shared" ref="D726:E726" si="723">B726/12</f>
        <v>212.0097</v>
      </c>
      <c r="E726" s="13">
        <f t="shared" si="723"/>
        <v>1766.7475</v>
      </c>
      <c r="F726" s="13">
        <v>398.81</v>
      </c>
    </row>
    <row r="727">
      <c r="A727" s="11">
        <v>2.0</v>
      </c>
      <c r="B727" s="12">
        <f t="shared" si="2"/>
        <v>5191.35</v>
      </c>
      <c r="C727" s="13">
        <v>43261.25</v>
      </c>
      <c r="D727" s="13">
        <f t="shared" ref="D727:E727" si="724">B727/12</f>
        <v>432.6125</v>
      </c>
      <c r="E727" s="13">
        <f t="shared" si="724"/>
        <v>3605.104167</v>
      </c>
      <c r="F727" s="13">
        <v>850.4</v>
      </c>
    </row>
    <row r="728">
      <c r="A728" s="11">
        <v>7.0</v>
      </c>
      <c r="B728" s="12">
        <f t="shared" si="2"/>
        <v>2672.4012</v>
      </c>
      <c r="C728" s="13">
        <v>22270.01</v>
      </c>
      <c r="D728" s="13">
        <f t="shared" ref="D728:E728" si="725">B728/12</f>
        <v>222.7001</v>
      </c>
      <c r="E728" s="13">
        <f t="shared" si="725"/>
        <v>1855.834167</v>
      </c>
      <c r="F728" s="13">
        <v>521.76</v>
      </c>
    </row>
    <row r="729">
      <c r="A729" s="11">
        <v>8.0</v>
      </c>
      <c r="B729" s="12">
        <f t="shared" si="2"/>
        <v>6120.7116</v>
      </c>
      <c r="C729" s="13">
        <v>51005.93</v>
      </c>
      <c r="D729" s="13">
        <f t="shared" ref="D729:E729" si="726">B729/12</f>
        <v>510.0593</v>
      </c>
      <c r="E729" s="13">
        <f t="shared" si="726"/>
        <v>4250.494167</v>
      </c>
      <c r="F729" s="13">
        <v>814.66</v>
      </c>
    </row>
    <row r="730">
      <c r="A730" s="11">
        <v>8.0</v>
      </c>
      <c r="B730" s="12">
        <f t="shared" si="2"/>
        <v>3084.5604</v>
      </c>
      <c r="C730" s="13">
        <v>25704.67</v>
      </c>
      <c r="D730" s="13">
        <f t="shared" ref="D730:E730" si="727">B730/12</f>
        <v>257.0467</v>
      </c>
      <c r="E730" s="13">
        <f t="shared" si="727"/>
        <v>2142.055833</v>
      </c>
      <c r="F730" s="13">
        <v>299.56</v>
      </c>
    </row>
    <row r="731">
      <c r="A731" s="11">
        <v>4.0</v>
      </c>
      <c r="B731" s="12">
        <f t="shared" si="2"/>
        <v>727.0596</v>
      </c>
      <c r="C731" s="13">
        <v>6058.83</v>
      </c>
      <c r="D731" s="13">
        <f t="shared" ref="D731:E731" si="728">B731/12</f>
        <v>60.5883</v>
      </c>
      <c r="E731" s="13">
        <f t="shared" si="728"/>
        <v>504.9025</v>
      </c>
      <c r="F731" s="13">
        <v>340.82</v>
      </c>
    </row>
    <row r="732">
      <c r="A732" s="11">
        <v>5.0</v>
      </c>
      <c r="B732" s="12">
        <f t="shared" si="2"/>
        <v>11558.2908</v>
      </c>
      <c r="C732" s="13">
        <v>96319.09</v>
      </c>
      <c r="D732" s="13">
        <f t="shared" ref="D732:E732" si="729">B732/12</f>
        <v>963.1909</v>
      </c>
      <c r="E732" s="13">
        <f t="shared" si="729"/>
        <v>8026.590833</v>
      </c>
      <c r="F732" s="13">
        <v>840.2</v>
      </c>
    </row>
    <row r="733">
      <c r="A733" s="11">
        <v>0.0</v>
      </c>
      <c r="B733" s="12">
        <f t="shared" si="2"/>
        <v>8864.1864</v>
      </c>
      <c r="C733" s="13">
        <v>73868.22</v>
      </c>
      <c r="D733" s="13">
        <f t="shared" ref="D733:E733" si="730">B733/12</f>
        <v>738.6822</v>
      </c>
      <c r="E733" s="13">
        <f t="shared" si="730"/>
        <v>6155.685</v>
      </c>
      <c r="F733" s="13">
        <v>58.16</v>
      </c>
    </row>
    <row r="734">
      <c r="A734" s="11">
        <v>2.0</v>
      </c>
      <c r="B734" s="12">
        <f t="shared" si="2"/>
        <v>11959.3992</v>
      </c>
      <c r="C734" s="13">
        <v>99661.66</v>
      </c>
      <c r="D734" s="13">
        <f t="shared" ref="D734:E734" si="731">B734/12</f>
        <v>996.6166</v>
      </c>
      <c r="E734" s="13">
        <f t="shared" si="731"/>
        <v>8305.138333</v>
      </c>
      <c r="F734" s="13">
        <v>555.18</v>
      </c>
    </row>
    <row r="735">
      <c r="A735" s="11">
        <v>3.0</v>
      </c>
      <c r="B735" s="12">
        <f t="shared" si="2"/>
        <v>6144.78</v>
      </c>
      <c r="C735" s="13">
        <v>51206.5</v>
      </c>
      <c r="D735" s="13">
        <f t="shared" ref="D735:E735" si="732">B735/12</f>
        <v>512.065</v>
      </c>
      <c r="E735" s="13">
        <f t="shared" si="732"/>
        <v>4267.208333</v>
      </c>
      <c r="F735" s="13">
        <v>960.24</v>
      </c>
    </row>
    <row r="736">
      <c r="A736" s="11">
        <v>6.0</v>
      </c>
      <c r="B736" s="12">
        <f t="shared" si="2"/>
        <v>847.2816</v>
      </c>
      <c r="C736" s="13">
        <v>7060.68</v>
      </c>
      <c r="D736" s="13">
        <f t="shared" ref="D736:E736" si="733">B736/12</f>
        <v>70.6068</v>
      </c>
      <c r="E736" s="13">
        <f t="shared" si="733"/>
        <v>588.39</v>
      </c>
      <c r="F736" s="13">
        <v>22.9</v>
      </c>
    </row>
    <row r="737">
      <c r="A737" s="11">
        <v>9.0</v>
      </c>
      <c r="B737" s="12">
        <f t="shared" si="2"/>
        <v>9293.3676</v>
      </c>
      <c r="C737" s="13">
        <v>77444.73</v>
      </c>
      <c r="D737" s="13">
        <f t="shared" ref="D737:E737" si="734">B737/12</f>
        <v>774.4473</v>
      </c>
      <c r="E737" s="13">
        <f t="shared" si="734"/>
        <v>6453.7275</v>
      </c>
      <c r="F737" s="13">
        <v>540.82</v>
      </c>
    </row>
    <row r="738">
      <c r="A738" s="11">
        <v>8.0</v>
      </c>
      <c r="B738" s="12">
        <f t="shared" si="2"/>
        <v>11773.2588</v>
      </c>
      <c r="C738" s="13">
        <v>98110.49</v>
      </c>
      <c r="D738" s="13">
        <f t="shared" ref="D738:E738" si="735">B738/12</f>
        <v>981.1049</v>
      </c>
      <c r="E738" s="13">
        <f t="shared" si="735"/>
        <v>8175.874167</v>
      </c>
      <c r="F738" s="13">
        <v>562.39</v>
      </c>
    </row>
    <row r="739">
      <c r="A739" s="11">
        <v>6.0</v>
      </c>
      <c r="B739" s="12">
        <f t="shared" si="2"/>
        <v>5772.816</v>
      </c>
      <c r="C739" s="13">
        <v>48106.8</v>
      </c>
      <c r="D739" s="13">
        <f t="shared" ref="D739:E739" si="736">B739/12</f>
        <v>481.068</v>
      </c>
      <c r="E739" s="13">
        <f t="shared" si="736"/>
        <v>4008.9</v>
      </c>
      <c r="F739" s="13">
        <v>912.52</v>
      </c>
    </row>
    <row r="740">
      <c r="A740" s="11">
        <v>5.0</v>
      </c>
      <c r="B740" s="12">
        <f t="shared" si="2"/>
        <v>7775.6292</v>
      </c>
      <c r="C740" s="13">
        <v>64796.91</v>
      </c>
      <c r="D740" s="13">
        <f t="shared" ref="D740:E740" si="737">B740/12</f>
        <v>647.9691</v>
      </c>
      <c r="E740" s="13">
        <f t="shared" si="737"/>
        <v>5399.7425</v>
      </c>
      <c r="F740" s="13">
        <v>267.37</v>
      </c>
    </row>
    <row r="741">
      <c r="A741" s="11">
        <v>8.0</v>
      </c>
      <c r="B741" s="12">
        <f t="shared" si="2"/>
        <v>5967.1068</v>
      </c>
      <c r="C741" s="13">
        <v>49725.89</v>
      </c>
      <c r="D741" s="13">
        <f t="shared" ref="D741:E741" si="738">B741/12</f>
        <v>497.2589</v>
      </c>
      <c r="E741" s="13">
        <f t="shared" si="738"/>
        <v>4143.824167</v>
      </c>
      <c r="F741" s="13">
        <v>247.92</v>
      </c>
    </row>
    <row r="742">
      <c r="A742" s="11">
        <v>6.0</v>
      </c>
      <c r="B742" s="12">
        <f t="shared" si="2"/>
        <v>7427.0364</v>
      </c>
      <c r="C742" s="13">
        <v>61891.97</v>
      </c>
      <c r="D742" s="13">
        <f t="shared" ref="D742:E742" si="739">B742/12</f>
        <v>618.9197</v>
      </c>
      <c r="E742" s="13">
        <f t="shared" si="739"/>
        <v>5157.664167</v>
      </c>
      <c r="F742" s="13">
        <v>409.56</v>
      </c>
    </row>
    <row r="743">
      <c r="A743" s="11">
        <v>2.0</v>
      </c>
      <c r="B743" s="12">
        <f t="shared" si="2"/>
        <v>8374.638</v>
      </c>
      <c r="C743" s="13">
        <v>69788.65</v>
      </c>
      <c r="D743" s="13">
        <f t="shared" ref="D743:E743" si="740">B743/12</f>
        <v>697.8865</v>
      </c>
      <c r="E743" s="13">
        <f t="shared" si="740"/>
        <v>5815.720833</v>
      </c>
      <c r="F743" s="13">
        <v>815.24</v>
      </c>
    </row>
    <row r="744">
      <c r="A744" s="11">
        <v>5.0</v>
      </c>
      <c r="B744" s="12">
        <f t="shared" si="2"/>
        <v>1422.06</v>
      </c>
      <c r="C744" s="13">
        <v>11850.5</v>
      </c>
      <c r="D744" s="13">
        <f t="shared" ref="D744:E744" si="741">B744/12</f>
        <v>118.505</v>
      </c>
      <c r="E744" s="13">
        <f t="shared" si="741"/>
        <v>987.5416667</v>
      </c>
      <c r="F744" s="13">
        <v>792.01</v>
      </c>
    </row>
    <row r="745">
      <c r="A745" s="11">
        <v>4.0</v>
      </c>
      <c r="B745" s="12">
        <f t="shared" si="2"/>
        <v>6696.6468</v>
      </c>
      <c r="C745" s="13">
        <v>55805.39</v>
      </c>
      <c r="D745" s="13">
        <f t="shared" ref="D745:E745" si="742">B745/12</f>
        <v>558.0539</v>
      </c>
      <c r="E745" s="13">
        <f t="shared" si="742"/>
        <v>4650.449167</v>
      </c>
      <c r="F745" s="13">
        <v>739.92</v>
      </c>
    </row>
    <row r="746">
      <c r="A746" s="11">
        <v>4.0</v>
      </c>
      <c r="B746" s="12">
        <f t="shared" si="2"/>
        <v>11466.7956</v>
      </c>
      <c r="C746" s="13">
        <v>95556.63</v>
      </c>
      <c r="D746" s="13">
        <f t="shared" ref="D746:E746" si="743">B746/12</f>
        <v>955.5663</v>
      </c>
      <c r="E746" s="13">
        <f t="shared" si="743"/>
        <v>7963.0525</v>
      </c>
      <c r="F746" s="13">
        <v>376.03</v>
      </c>
    </row>
    <row r="747">
      <c r="A747" s="11">
        <v>0.0</v>
      </c>
      <c r="B747" s="12">
        <f t="shared" si="2"/>
        <v>3141.4776</v>
      </c>
      <c r="C747" s="13">
        <v>26178.98</v>
      </c>
      <c r="D747" s="13">
        <f t="shared" ref="D747:E747" si="744">B747/12</f>
        <v>261.7898</v>
      </c>
      <c r="E747" s="13">
        <f t="shared" si="744"/>
        <v>2181.581667</v>
      </c>
      <c r="F747" s="13">
        <v>799.39</v>
      </c>
    </row>
    <row r="748">
      <c r="A748" s="11">
        <v>2.0</v>
      </c>
      <c r="B748" s="12">
        <f t="shared" si="2"/>
        <v>1187.142</v>
      </c>
      <c r="C748" s="13">
        <v>9892.85</v>
      </c>
      <c r="D748" s="13">
        <f t="shared" ref="D748:E748" si="745">B748/12</f>
        <v>98.9285</v>
      </c>
      <c r="E748" s="13">
        <f t="shared" si="745"/>
        <v>824.4041667</v>
      </c>
      <c r="F748" s="13">
        <v>560.21</v>
      </c>
    </row>
    <row r="749">
      <c r="A749" s="11">
        <v>1.0</v>
      </c>
      <c r="B749" s="12">
        <f t="shared" si="2"/>
        <v>2148.0312</v>
      </c>
      <c r="C749" s="13">
        <v>17900.26</v>
      </c>
      <c r="D749" s="13">
        <f t="shared" ref="D749:E749" si="746">B749/12</f>
        <v>179.0026</v>
      </c>
      <c r="E749" s="13">
        <f t="shared" si="746"/>
        <v>1491.688333</v>
      </c>
      <c r="F749" s="13">
        <v>794.88</v>
      </c>
    </row>
    <row r="750">
      <c r="A750" s="11">
        <v>2.0</v>
      </c>
      <c r="B750" s="12">
        <f t="shared" si="2"/>
        <v>242.3784</v>
      </c>
      <c r="C750" s="13">
        <v>2019.82</v>
      </c>
      <c r="D750" s="13">
        <f t="shared" ref="D750:E750" si="747">B750/12</f>
        <v>20.1982</v>
      </c>
      <c r="E750" s="13">
        <f t="shared" si="747"/>
        <v>168.3183333</v>
      </c>
      <c r="F750" s="13">
        <v>88.44</v>
      </c>
    </row>
    <row r="751">
      <c r="A751" s="11">
        <v>2.0</v>
      </c>
      <c r="B751" s="12">
        <f t="shared" si="2"/>
        <v>1590.9144</v>
      </c>
      <c r="C751" s="13">
        <v>13257.62</v>
      </c>
      <c r="D751" s="13">
        <f t="shared" ref="D751:E751" si="748">B751/12</f>
        <v>132.5762</v>
      </c>
      <c r="E751" s="13">
        <f t="shared" si="748"/>
        <v>1104.801667</v>
      </c>
      <c r="F751" s="13">
        <v>611.02</v>
      </c>
    </row>
    <row r="752">
      <c r="A752" s="11">
        <v>5.0</v>
      </c>
      <c r="B752" s="12">
        <f t="shared" si="2"/>
        <v>7375.4304</v>
      </c>
      <c r="C752" s="13">
        <v>61461.92</v>
      </c>
      <c r="D752" s="13">
        <f t="shared" ref="D752:E752" si="749">B752/12</f>
        <v>614.6192</v>
      </c>
      <c r="E752" s="13">
        <f t="shared" si="749"/>
        <v>5121.826667</v>
      </c>
      <c r="F752" s="13">
        <v>262.15</v>
      </c>
    </row>
    <row r="753">
      <c r="A753" s="11">
        <v>0.0</v>
      </c>
      <c r="B753" s="12">
        <f t="shared" si="2"/>
        <v>11648.8272</v>
      </c>
      <c r="C753" s="13">
        <v>97073.56</v>
      </c>
      <c r="D753" s="13">
        <f t="shared" ref="D753:E753" si="750">B753/12</f>
        <v>970.7356</v>
      </c>
      <c r="E753" s="13">
        <f t="shared" si="750"/>
        <v>8089.463333</v>
      </c>
      <c r="F753" s="13">
        <v>681.94</v>
      </c>
    </row>
    <row r="754">
      <c r="A754" s="11">
        <v>4.0</v>
      </c>
      <c r="B754" s="12">
        <f t="shared" si="2"/>
        <v>3997.7916</v>
      </c>
      <c r="C754" s="13">
        <v>33314.93</v>
      </c>
      <c r="D754" s="13">
        <f t="shared" ref="D754:E754" si="751">B754/12</f>
        <v>333.1493</v>
      </c>
      <c r="E754" s="13">
        <f t="shared" si="751"/>
        <v>2776.244167</v>
      </c>
      <c r="F754" s="13">
        <v>350.42</v>
      </c>
    </row>
    <row r="755">
      <c r="A755" s="11">
        <v>7.0</v>
      </c>
      <c r="B755" s="12">
        <f t="shared" si="2"/>
        <v>11496.5556</v>
      </c>
      <c r="C755" s="13">
        <v>95804.63</v>
      </c>
      <c r="D755" s="13">
        <f t="shared" ref="D755:E755" si="752">B755/12</f>
        <v>958.0463</v>
      </c>
      <c r="E755" s="13">
        <f t="shared" si="752"/>
        <v>7983.719167</v>
      </c>
      <c r="F755" s="13">
        <v>536.51</v>
      </c>
    </row>
    <row r="756">
      <c r="A756" s="11">
        <v>5.0</v>
      </c>
      <c r="B756" s="12">
        <f t="shared" si="2"/>
        <v>9076.0248</v>
      </c>
      <c r="C756" s="13">
        <v>75633.54</v>
      </c>
      <c r="D756" s="13">
        <f t="shared" ref="D756:E756" si="753">B756/12</f>
        <v>756.3354</v>
      </c>
      <c r="E756" s="13">
        <f t="shared" si="753"/>
        <v>6302.795</v>
      </c>
      <c r="F756" s="13">
        <v>3.05</v>
      </c>
    </row>
    <row r="757">
      <c r="A757" s="11">
        <v>2.0</v>
      </c>
      <c r="B757" s="12">
        <f t="shared" si="2"/>
        <v>1307.106</v>
      </c>
      <c r="C757" s="13">
        <v>10892.55</v>
      </c>
      <c r="D757" s="13">
        <f t="shared" ref="D757:E757" si="754">B757/12</f>
        <v>108.9255</v>
      </c>
      <c r="E757" s="13">
        <f t="shared" si="754"/>
        <v>907.7125</v>
      </c>
      <c r="F757" s="13">
        <v>314.08</v>
      </c>
    </row>
    <row r="758">
      <c r="A758" s="11">
        <v>6.0</v>
      </c>
      <c r="B758" s="12">
        <f t="shared" si="2"/>
        <v>8339.2368</v>
      </c>
      <c r="C758" s="13">
        <v>69493.64</v>
      </c>
      <c r="D758" s="13">
        <f t="shared" ref="D758:E758" si="755">B758/12</f>
        <v>694.9364</v>
      </c>
      <c r="E758" s="13">
        <f t="shared" si="755"/>
        <v>5791.136667</v>
      </c>
      <c r="F758" s="13">
        <v>150.48</v>
      </c>
    </row>
    <row r="759">
      <c r="A759" s="11">
        <v>0.0</v>
      </c>
      <c r="B759" s="12">
        <f t="shared" si="2"/>
        <v>9290.8452</v>
      </c>
      <c r="C759" s="13">
        <v>77423.71</v>
      </c>
      <c r="D759" s="13">
        <f t="shared" ref="D759:E759" si="756">B759/12</f>
        <v>774.2371</v>
      </c>
      <c r="E759" s="13">
        <f t="shared" si="756"/>
        <v>6451.975833</v>
      </c>
      <c r="F759" s="13">
        <v>652.02</v>
      </c>
    </row>
    <row r="760">
      <c r="A760" s="11">
        <v>9.0</v>
      </c>
      <c r="B760" s="12">
        <f t="shared" si="2"/>
        <v>11701.572</v>
      </c>
      <c r="C760" s="13">
        <v>97513.1</v>
      </c>
      <c r="D760" s="13">
        <f t="shared" ref="D760:E760" si="757">B760/12</f>
        <v>975.131</v>
      </c>
      <c r="E760" s="13">
        <f t="shared" si="757"/>
        <v>8126.091667</v>
      </c>
      <c r="F760" s="13">
        <v>494.84</v>
      </c>
    </row>
    <row r="761">
      <c r="A761" s="11">
        <v>0.0</v>
      </c>
      <c r="B761" s="12">
        <f t="shared" si="2"/>
        <v>3650.1732</v>
      </c>
      <c r="C761" s="13">
        <v>30418.11</v>
      </c>
      <c r="D761" s="13">
        <f t="shared" ref="D761:E761" si="758">B761/12</f>
        <v>304.1811</v>
      </c>
      <c r="E761" s="13">
        <f t="shared" si="758"/>
        <v>2534.8425</v>
      </c>
      <c r="F761" s="13">
        <v>108.18</v>
      </c>
    </row>
    <row r="762">
      <c r="A762" s="11">
        <v>5.0</v>
      </c>
      <c r="B762" s="12">
        <f t="shared" si="2"/>
        <v>4144.146</v>
      </c>
      <c r="C762" s="13">
        <v>34534.55</v>
      </c>
      <c r="D762" s="13">
        <f t="shared" ref="D762:E762" si="759">B762/12</f>
        <v>345.3455</v>
      </c>
      <c r="E762" s="13">
        <f t="shared" si="759"/>
        <v>2877.879167</v>
      </c>
      <c r="F762" s="13">
        <v>896.41</v>
      </c>
    </row>
    <row r="763">
      <c r="A763" s="11">
        <v>5.0</v>
      </c>
      <c r="B763" s="12">
        <f t="shared" si="2"/>
        <v>11271.0048</v>
      </c>
      <c r="C763" s="13">
        <v>93925.04</v>
      </c>
      <c r="D763" s="13">
        <f t="shared" ref="D763:E763" si="760">B763/12</f>
        <v>939.2504</v>
      </c>
      <c r="E763" s="13">
        <f t="shared" si="760"/>
        <v>7827.086667</v>
      </c>
      <c r="F763" s="13">
        <v>530.32</v>
      </c>
    </row>
    <row r="764">
      <c r="A764" s="11">
        <v>9.0</v>
      </c>
      <c r="B764" s="12">
        <f t="shared" si="2"/>
        <v>1723.3812</v>
      </c>
      <c r="C764" s="13">
        <v>14361.51</v>
      </c>
      <c r="D764" s="13">
        <f t="shared" ref="D764:E764" si="761">B764/12</f>
        <v>143.6151</v>
      </c>
      <c r="E764" s="13">
        <f t="shared" si="761"/>
        <v>1196.7925</v>
      </c>
      <c r="F764" s="13">
        <v>343.12</v>
      </c>
    </row>
    <row r="765">
      <c r="A765" s="11">
        <v>7.0</v>
      </c>
      <c r="B765" s="12">
        <f t="shared" si="2"/>
        <v>11572.1004</v>
      </c>
      <c r="C765" s="13">
        <v>96434.17</v>
      </c>
      <c r="D765" s="13">
        <f t="shared" ref="D765:E765" si="762">B765/12</f>
        <v>964.3417</v>
      </c>
      <c r="E765" s="13">
        <f t="shared" si="762"/>
        <v>8036.180833</v>
      </c>
      <c r="F765" s="13">
        <v>855.53</v>
      </c>
    </row>
    <row r="766">
      <c r="A766" s="11">
        <v>9.0</v>
      </c>
      <c r="B766" s="12">
        <f t="shared" si="2"/>
        <v>7926.4344</v>
      </c>
      <c r="C766" s="13">
        <v>66053.62</v>
      </c>
      <c r="D766" s="13">
        <f t="shared" ref="D766:E766" si="763">B766/12</f>
        <v>660.5362</v>
      </c>
      <c r="E766" s="13">
        <f t="shared" si="763"/>
        <v>5504.468333</v>
      </c>
      <c r="F766" s="13">
        <v>269.58</v>
      </c>
    </row>
    <row r="767">
      <c r="A767" s="11">
        <v>2.0</v>
      </c>
      <c r="B767" s="12">
        <f t="shared" si="2"/>
        <v>1485.084</v>
      </c>
      <c r="C767" s="13">
        <v>12375.7</v>
      </c>
      <c r="D767" s="13">
        <f t="shared" ref="D767:E767" si="764">B767/12</f>
        <v>123.757</v>
      </c>
      <c r="E767" s="13">
        <f t="shared" si="764"/>
        <v>1031.308333</v>
      </c>
      <c r="F767" s="13">
        <v>757.61</v>
      </c>
    </row>
    <row r="768">
      <c r="A768" s="11">
        <v>3.0</v>
      </c>
      <c r="B768" s="12">
        <f t="shared" si="2"/>
        <v>7650.0924</v>
      </c>
      <c r="C768" s="13">
        <v>63750.77</v>
      </c>
      <c r="D768" s="13">
        <f t="shared" ref="D768:E768" si="765">B768/12</f>
        <v>637.5077</v>
      </c>
      <c r="E768" s="13">
        <f t="shared" si="765"/>
        <v>5312.564167</v>
      </c>
      <c r="F768" s="13">
        <v>499.43</v>
      </c>
    </row>
    <row r="769">
      <c r="A769" s="11">
        <v>6.0</v>
      </c>
      <c r="B769" s="12">
        <f t="shared" si="2"/>
        <v>7989.5544</v>
      </c>
      <c r="C769" s="13">
        <v>66579.62</v>
      </c>
      <c r="D769" s="13">
        <f t="shared" ref="D769:E769" si="766">B769/12</f>
        <v>665.7962</v>
      </c>
      <c r="E769" s="13">
        <f t="shared" si="766"/>
        <v>5548.301667</v>
      </c>
      <c r="F769" s="13">
        <v>27.71</v>
      </c>
    </row>
    <row r="770">
      <c r="A770" s="11">
        <v>3.0</v>
      </c>
      <c r="B770" s="12">
        <f t="shared" si="2"/>
        <v>5514.6816</v>
      </c>
      <c r="C770" s="13">
        <v>45955.68</v>
      </c>
      <c r="D770" s="13">
        <f t="shared" ref="D770:E770" si="767">B770/12</f>
        <v>459.5568</v>
      </c>
      <c r="E770" s="13">
        <f t="shared" si="767"/>
        <v>3829.64</v>
      </c>
      <c r="F770" s="13">
        <v>605.56</v>
      </c>
    </row>
    <row r="771">
      <c r="A771" s="11">
        <v>5.0</v>
      </c>
      <c r="B771" s="12">
        <f t="shared" si="2"/>
        <v>11817.7428</v>
      </c>
      <c r="C771" s="13">
        <v>98481.19</v>
      </c>
      <c r="D771" s="13">
        <f t="shared" ref="D771:E771" si="768">B771/12</f>
        <v>984.8119</v>
      </c>
      <c r="E771" s="13">
        <f t="shared" si="768"/>
        <v>8206.765833</v>
      </c>
      <c r="F771" s="13">
        <v>379.91</v>
      </c>
    </row>
    <row r="772">
      <c r="A772" s="11">
        <v>3.0</v>
      </c>
      <c r="B772" s="12">
        <f t="shared" si="2"/>
        <v>1073.9088</v>
      </c>
      <c r="C772" s="13">
        <v>8949.24</v>
      </c>
      <c r="D772" s="13">
        <f t="shared" ref="D772:E772" si="769">B772/12</f>
        <v>89.4924</v>
      </c>
      <c r="E772" s="13">
        <f t="shared" si="769"/>
        <v>745.77</v>
      </c>
      <c r="F772" s="13">
        <v>155.25</v>
      </c>
    </row>
    <row r="773">
      <c r="A773" s="11">
        <v>0.0</v>
      </c>
      <c r="B773" s="12">
        <f t="shared" si="2"/>
        <v>719.2428</v>
      </c>
      <c r="C773" s="13">
        <v>5993.69</v>
      </c>
      <c r="D773" s="13">
        <f t="shared" ref="D773:E773" si="770">B773/12</f>
        <v>59.9369</v>
      </c>
      <c r="E773" s="13">
        <f t="shared" si="770"/>
        <v>499.4741667</v>
      </c>
      <c r="F773" s="13">
        <v>216.25</v>
      </c>
    </row>
    <row r="774">
      <c r="A774" s="11">
        <v>5.0</v>
      </c>
      <c r="B774" s="12">
        <f t="shared" si="2"/>
        <v>2588.5776</v>
      </c>
      <c r="C774" s="13">
        <v>21571.48</v>
      </c>
      <c r="D774" s="13">
        <f t="shared" ref="D774:E774" si="771">B774/12</f>
        <v>215.7148</v>
      </c>
      <c r="E774" s="13">
        <f t="shared" si="771"/>
        <v>1797.623333</v>
      </c>
      <c r="F774" s="13">
        <v>418.67</v>
      </c>
    </row>
    <row r="775">
      <c r="A775" s="11">
        <v>0.0</v>
      </c>
      <c r="B775" s="12">
        <f t="shared" si="2"/>
        <v>9729.7968</v>
      </c>
      <c r="C775" s="13">
        <v>81081.64</v>
      </c>
      <c r="D775" s="13">
        <f t="shared" ref="D775:E775" si="772">B775/12</f>
        <v>810.8164</v>
      </c>
      <c r="E775" s="13">
        <f t="shared" si="772"/>
        <v>6756.803333</v>
      </c>
      <c r="F775" s="13">
        <v>992.3</v>
      </c>
    </row>
    <row r="776">
      <c r="A776" s="11">
        <v>2.0</v>
      </c>
      <c r="B776" s="12">
        <f t="shared" si="2"/>
        <v>8872.6308</v>
      </c>
      <c r="C776" s="13">
        <v>73938.59</v>
      </c>
      <c r="D776" s="13">
        <f t="shared" ref="D776:E776" si="773">B776/12</f>
        <v>739.3859</v>
      </c>
      <c r="E776" s="13">
        <f t="shared" si="773"/>
        <v>6161.549167</v>
      </c>
      <c r="F776" s="13">
        <v>927.04</v>
      </c>
    </row>
    <row r="777">
      <c r="A777" s="11">
        <v>4.0</v>
      </c>
      <c r="B777" s="12">
        <f t="shared" si="2"/>
        <v>3928.2648</v>
      </c>
      <c r="C777" s="13">
        <v>32735.54</v>
      </c>
      <c r="D777" s="13">
        <f t="shared" ref="D777:E777" si="774">B777/12</f>
        <v>327.3554</v>
      </c>
      <c r="E777" s="13">
        <f t="shared" si="774"/>
        <v>2727.961667</v>
      </c>
      <c r="F777" s="13">
        <v>549.54</v>
      </c>
    </row>
    <row r="778">
      <c r="A778" s="11">
        <v>2.0</v>
      </c>
      <c r="B778" s="12">
        <f t="shared" si="2"/>
        <v>795.612</v>
      </c>
      <c r="C778" s="13">
        <v>6630.1</v>
      </c>
      <c r="D778" s="13">
        <f t="shared" ref="D778:E778" si="775">B778/12</f>
        <v>66.301</v>
      </c>
      <c r="E778" s="13">
        <f t="shared" si="775"/>
        <v>552.5083333</v>
      </c>
      <c r="F778" s="13">
        <v>377.08</v>
      </c>
    </row>
    <row r="779">
      <c r="A779" s="11">
        <v>2.0</v>
      </c>
      <c r="B779" s="12">
        <f t="shared" si="2"/>
        <v>7487.1228</v>
      </c>
      <c r="C779" s="13">
        <v>62392.69</v>
      </c>
      <c r="D779" s="13">
        <f t="shared" ref="D779:E779" si="776">B779/12</f>
        <v>623.9269</v>
      </c>
      <c r="E779" s="13">
        <f t="shared" si="776"/>
        <v>5199.390833</v>
      </c>
      <c r="F779" s="13">
        <v>717.57</v>
      </c>
    </row>
    <row r="780">
      <c r="A780" s="11">
        <v>4.0</v>
      </c>
      <c r="B780" s="12">
        <f t="shared" si="2"/>
        <v>1257.6564</v>
      </c>
      <c r="C780" s="13">
        <v>10480.47</v>
      </c>
      <c r="D780" s="13">
        <f t="shared" ref="D780:E780" si="777">B780/12</f>
        <v>104.8047</v>
      </c>
      <c r="E780" s="13">
        <f t="shared" si="777"/>
        <v>873.3725</v>
      </c>
      <c r="F780" s="13">
        <v>420.21</v>
      </c>
    </row>
    <row r="781">
      <c r="A781" s="11">
        <v>6.0</v>
      </c>
      <c r="B781" s="12">
        <f t="shared" si="2"/>
        <v>2500.2396</v>
      </c>
      <c r="C781" s="13">
        <v>20835.33</v>
      </c>
      <c r="D781" s="13">
        <f t="shared" ref="D781:E781" si="778">B781/12</f>
        <v>208.3533</v>
      </c>
      <c r="E781" s="13">
        <f t="shared" si="778"/>
        <v>1736.2775</v>
      </c>
      <c r="F781" s="13">
        <v>560.62</v>
      </c>
    </row>
    <row r="782">
      <c r="A782" s="11">
        <v>4.0</v>
      </c>
      <c r="B782" s="12">
        <f t="shared" si="2"/>
        <v>9367.7976</v>
      </c>
      <c r="C782" s="13">
        <v>78064.98</v>
      </c>
      <c r="D782" s="13">
        <f t="shared" ref="D782:E782" si="779">B782/12</f>
        <v>780.6498</v>
      </c>
      <c r="E782" s="13">
        <f t="shared" si="779"/>
        <v>6505.415</v>
      </c>
      <c r="F782" s="13">
        <v>964.01</v>
      </c>
    </row>
    <row r="783">
      <c r="A783" s="11">
        <v>5.0</v>
      </c>
      <c r="B783" s="12">
        <f t="shared" si="2"/>
        <v>3999.12</v>
      </c>
      <c r="C783" s="13">
        <v>33326.0</v>
      </c>
      <c r="D783" s="13">
        <f t="shared" ref="D783:E783" si="780">B783/12</f>
        <v>333.26</v>
      </c>
      <c r="E783" s="13">
        <f t="shared" si="780"/>
        <v>2777.166667</v>
      </c>
      <c r="F783" s="13">
        <v>196.23</v>
      </c>
    </row>
    <row r="784">
      <c r="A784" s="11">
        <v>2.0</v>
      </c>
      <c r="B784" s="12">
        <f t="shared" si="2"/>
        <v>9202.8108</v>
      </c>
      <c r="C784" s="13">
        <v>76690.09</v>
      </c>
      <c r="D784" s="13">
        <f t="shared" ref="D784:E784" si="781">B784/12</f>
        <v>766.9009</v>
      </c>
      <c r="E784" s="13">
        <f t="shared" si="781"/>
        <v>6390.840833</v>
      </c>
      <c r="F784" s="13">
        <v>3.87</v>
      </c>
    </row>
    <row r="785">
      <c r="A785" s="11">
        <v>7.0</v>
      </c>
      <c r="B785" s="12">
        <f t="shared" si="2"/>
        <v>3184.194</v>
      </c>
      <c r="C785" s="13">
        <v>26534.95</v>
      </c>
      <c r="D785" s="13">
        <f t="shared" ref="D785:E785" si="782">B785/12</f>
        <v>265.3495</v>
      </c>
      <c r="E785" s="13">
        <f t="shared" si="782"/>
        <v>2211.245833</v>
      </c>
      <c r="F785" s="13">
        <v>351.46</v>
      </c>
    </row>
    <row r="786">
      <c r="A786" s="11">
        <v>6.0</v>
      </c>
      <c r="B786" s="12">
        <f t="shared" si="2"/>
        <v>7761.6312</v>
      </c>
      <c r="C786" s="13">
        <v>64680.26</v>
      </c>
      <c r="D786" s="13">
        <f t="shared" ref="D786:E786" si="783">B786/12</f>
        <v>646.8026</v>
      </c>
      <c r="E786" s="13">
        <f t="shared" si="783"/>
        <v>5390.021667</v>
      </c>
      <c r="F786" s="13">
        <v>579.93</v>
      </c>
    </row>
    <row r="787">
      <c r="A787" s="11">
        <v>4.0</v>
      </c>
      <c r="B787" s="12">
        <f t="shared" si="2"/>
        <v>5531.1336</v>
      </c>
      <c r="C787" s="13">
        <v>46092.78</v>
      </c>
      <c r="D787" s="13">
        <f t="shared" ref="D787:E787" si="784">B787/12</f>
        <v>460.9278</v>
      </c>
      <c r="E787" s="13">
        <f t="shared" si="784"/>
        <v>3841.065</v>
      </c>
      <c r="F787" s="13">
        <v>893.93</v>
      </c>
    </row>
    <row r="788">
      <c r="A788" s="11">
        <v>9.0</v>
      </c>
      <c r="B788" s="12">
        <f t="shared" si="2"/>
        <v>3.7464</v>
      </c>
      <c r="C788" s="13">
        <v>31.22</v>
      </c>
      <c r="D788" s="13">
        <f t="shared" ref="D788:E788" si="785">B788/12</f>
        <v>0.3122</v>
      </c>
      <c r="E788" s="13">
        <f t="shared" si="785"/>
        <v>2.601666667</v>
      </c>
      <c r="F788" s="13">
        <v>884.06</v>
      </c>
    </row>
    <row r="789">
      <c r="A789" s="11">
        <v>9.0</v>
      </c>
      <c r="B789" s="12">
        <f t="shared" si="2"/>
        <v>6554.682</v>
      </c>
      <c r="C789" s="13">
        <v>54622.35</v>
      </c>
      <c r="D789" s="13">
        <f t="shared" ref="D789:E789" si="786">B789/12</f>
        <v>546.2235</v>
      </c>
      <c r="E789" s="13">
        <f t="shared" si="786"/>
        <v>4551.8625</v>
      </c>
      <c r="F789" s="13">
        <v>307.74</v>
      </c>
    </row>
    <row r="790">
      <c r="A790" s="11">
        <v>6.0</v>
      </c>
      <c r="B790" s="12">
        <f t="shared" si="2"/>
        <v>277.536</v>
      </c>
      <c r="C790" s="13">
        <v>2312.8</v>
      </c>
      <c r="D790" s="13">
        <f t="shared" ref="D790:E790" si="787">B790/12</f>
        <v>23.128</v>
      </c>
      <c r="E790" s="13">
        <f t="shared" si="787"/>
        <v>192.7333333</v>
      </c>
      <c r="F790" s="13">
        <v>130.55</v>
      </c>
    </row>
    <row r="791">
      <c r="A791" s="11">
        <v>0.0</v>
      </c>
      <c r="B791" s="12">
        <f t="shared" si="2"/>
        <v>3764.5188</v>
      </c>
      <c r="C791" s="13">
        <v>31370.99</v>
      </c>
      <c r="D791" s="13">
        <f t="shared" ref="D791:E791" si="788">B791/12</f>
        <v>313.7099</v>
      </c>
      <c r="E791" s="13">
        <f t="shared" si="788"/>
        <v>2614.249167</v>
      </c>
      <c r="F791" s="13">
        <v>498.88</v>
      </c>
    </row>
    <row r="792">
      <c r="A792" s="11">
        <v>2.0</v>
      </c>
      <c r="B792" s="12">
        <f t="shared" si="2"/>
        <v>4934.7936</v>
      </c>
      <c r="C792" s="13">
        <v>41123.28</v>
      </c>
      <c r="D792" s="13">
        <f t="shared" ref="D792:E792" si="789">B792/12</f>
        <v>411.2328</v>
      </c>
      <c r="E792" s="13">
        <f t="shared" si="789"/>
        <v>3426.94</v>
      </c>
      <c r="F792" s="13">
        <v>72.14</v>
      </c>
    </row>
    <row r="793">
      <c r="A793" s="11">
        <v>9.0</v>
      </c>
      <c r="B793" s="12">
        <f t="shared" si="2"/>
        <v>11515.1712</v>
      </c>
      <c r="C793" s="13">
        <v>95959.76</v>
      </c>
      <c r="D793" s="13">
        <f t="shared" ref="D793:E793" si="790">B793/12</f>
        <v>959.5976</v>
      </c>
      <c r="E793" s="13">
        <f t="shared" si="790"/>
        <v>7996.646667</v>
      </c>
      <c r="F793" s="13">
        <v>247.49</v>
      </c>
    </row>
    <row r="794">
      <c r="A794" s="11">
        <v>8.0</v>
      </c>
      <c r="B794" s="12">
        <f t="shared" si="2"/>
        <v>6986.7624</v>
      </c>
      <c r="C794" s="13">
        <v>58223.02</v>
      </c>
      <c r="D794" s="13">
        <f t="shared" ref="D794:E794" si="791">B794/12</f>
        <v>582.2302</v>
      </c>
      <c r="E794" s="13">
        <f t="shared" si="791"/>
        <v>4851.918333</v>
      </c>
      <c r="F794" s="13">
        <v>373.31</v>
      </c>
    </row>
    <row r="795">
      <c r="A795" s="11">
        <v>1.0</v>
      </c>
      <c r="B795" s="12">
        <f t="shared" si="2"/>
        <v>773.8728</v>
      </c>
      <c r="C795" s="13">
        <v>6448.94</v>
      </c>
      <c r="D795" s="13">
        <f t="shared" ref="D795:E795" si="792">B795/12</f>
        <v>64.4894</v>
      </c>
      <c r="E795" s="13">
        <f t="shared" si="792"/>
        <v>537.4116667</v>
      </c>
      <c r="F795" s="13">
        <v>620.22</v>
      </c>
    </row>
    <row r="796">
      <c r="A796" s="11">
        <v>9.0</v>
      </c>
      <c r="B796" s="12">
        <f t="shared" si="2"/>
        <v>2866.674</v>
      </c>
      <c r="C796" s="13">
        <v>23888.95</v>
      </c>
      <c r="D796" s="13">
        <f t="shared" ref="D796:E796" si="793">B796/12</f>
        <v>238.8895</v>
      </c>
      <c r="E796" s="13">
        <f t="shared" si="793"/>
        <v>1990.745833</v>
      </c>
      <c r="F796" s="13">
        <v>359.45</v>
      </c>
    </row>
    <row r="797">
      <c r="A797" s="11">
        <v>4.0</v>
      </c>
      <c r="B797" s="12">
        <f t="shared" si="2"/>
        <v>7985.7912</v>
      </c>
      <c r="C797" s="13">
        <v>66548.26</v>
      </c>
      <c r="D797" s="13">
        <f t="shared" ref="D797:E797" si="794">B797/12</f>
        <v>665.4826</v>
      </c>
      <c r="E797" s="13">
        <f t="shared" si="794"/>
        <v>5545.688333</v>
      </c>
      <c r="F797" s="13">
        <v>204.76</v>
      </c>
    </row>
    <row r="798">
      <c r="A798" s="11">
        <v>0.0</v>
      </c>
      <c r="B798" s="12">
        <f t="shared" si="2"/>
        <v>9037.0356</v>
      </c>
      <c r="C798" s="13">
        <v>75308.63</v>
      </c>
      <c r="D798" s="13">
        <f t="shared" ref="D798:E798" si="795">B798/12</f>
        <v>753.0863</v>
      </c>
      <c r="E798" s="13">
        <f t="shared" si="795"/>
        <v>6275.719167</v>
      </c>
      <c r="F798" s="13">
        <v>271.06</v>
      </c>
    </row>
    <row r="799">
      <c r="A799" s="11">
        <v>0.0</v>
      </c>
      <c r="B799" s="12">
        <f t="shared" si="2"/>
        <v>10014.7692</v>
      </c>
      <c r="C799" s="13">
        <v>83456.41</v>
      </c>
      <c r="D799" s="13">
        <f t="shared" ref="D799:E799" si="796">B799/12</f>
        <v>834.5641</v>
      </c>
      <c r="E799" s="13">
        <f t="shared" si="796"/>
        <v>6954.700833</v>
      </c>
      <c r="F799" s="13">
        <v>407.82</v>
      </c>
    </row>
    <row r="800">
      <c r="A800" s="11">
        <v>9.0</v>
      </c>
      <c r="B800" s="12">
        <f t="shared" si="2"/>
        <v>8983.974</v>
      </c>
      <c r="C800" s="13">
        <v>74866.45</v>
      </c>
      <c r="D800" s="13">
        <f t="shared" ref="D800:E800" si="797">B800/12</f>
        <v>748.6645</v>
      </c>
      <c r="E800" s="13">
        <f t="shared" si="797"/>
        <v>6238.870833</v>
      </c>
      <c r="F800" s="13">
        <v>177.53</v>
      </c>
    </row>
    <row r="801">
      <c r="A801" s="11">
        <v>4.0</v>
      </c>
      <c r="B801" s="12">
        <f t="shared" si="2"/>
        <v>2256.906</v>
      </c>
      <c r="C801" s="13">
        <v>18807.55</v>
      </c>
      <c r="D801" s="13">
        <f t="shared" ref="D801:E801" si="798">B801/12</f>
        <v>188.0755</v>
      </c>
      <c r="E801" s="13">
        <f t="shared" si="798"/>
        <v>1567.295833</v>
      </c>
      <c r="F801" s="13">
        <v>971.69</v>
      </c>
    </row>
    <row r="802">
      <c r="A802" s="11">
        <v>1.0</v>
      </c>
      <c r="B802" s="12">
        <f t="shared" si="2"/>
        <v>3011.7408</v>
      </c>
      <c r="C802" s="13">
        <v>25097.84</v>
      </c>
      <c r="D802" s="13">
        <f t="shared" ref="D802:E802" si="799">B802/12</f>
        <v>250.9784</v>
      </c>
      <c r="E802" s="13">
        <f t="shared" si="799"/>
        <v>2091.486667</v>
      </c>
      <c r="F802" s="13">
        <v>425.95</v>
      </c>
    </row>
    <row r="803">
      <c r="A803" s="11">
        <v>0.0</v>
      </c>
      <c r="B803" s="12">
        <f t="shared" si="2"/>
        <v>523.428</v>
      </c>
      <c r="C803" s="13">
        <v>4361.9</v>
      </c>
      <c r="D803" s="13">
        <f t="shared" ref="D803:E803" si="800">B803/12</f>
        <v>43.619</v>
      </c>
      <c r="E803" s="13">
        <f t="shared" si="800"/>
        <v>363.4916667</v>
      </c>
      <c r="F803" s="13">
        <v>251.69</v>
      </c>
    </row>
    <row r="804">
      <c r="A804" s="11">
        <v>9.0</v>
      </c>
      <c r="B804" s="12">
        <f t="shared" si="2"/>
        <v>3844.1772</v>
      </c>
      <c r="C804" s="13">
        <v>32034.81</v>
      </c>
      <c r="D804" s="13">
        <f t="shared" ref="D804:E804" si="801">B804/12</f>
        <v>320.3481</v>
      </c>
      <c r="E804" s="13">
        <f t="shared" si="801"/>
        <v>2669.5675</v>
      </c>
      <c r="F804" s="13">
        <v>974.91</v>
      </c>
    </row>
    <row r="805">
      <c r="A805" s="11">
        <v>7.0</v>
      </c>
      <c r="B805" s="12">
        <f t="shared" si="2"/>
        <v>8618.1324</v>
      </c>
      <c r="C805" s="13">
        <v>71817.77</v>
      </c>
      <c r="D805" s="13">
        <f t="shared" ref="D805:E805" si="802">B805/12</f>
        <v>718.1777</v>
      </c>
      <c r="E805" s="13">
        <f t="shared" si="802"/>
        <v>5984.814167</v>
      </c>
      <c r="F805" s="13">
        <v>190.83</v>
      </c>
    </row>
    <row r="806">
      <c r="A806" s="11">
        <v>7.0</v>
      </c>
      <c r="B806" s="12">
        <f t="shared" si="2"/>
        <v>8212.818</v>
      </c>
      <c r="C806" s="13">
        <v>68440.15</v>
      </c>
      <c r="D806" s="13">
        <f t="shared" ref="D806:E806" si="803">B806/12</f>
        <v>684.4015</v>
      </c>
      <c r="E806" s="13">
        <f t="shared" si="803"/>
        <v>5703.345833</v>
      </c>
      <c r="F806" s="13">
        <v>675.72</v>
      </c>
    </row>
    <row r="807">
      <c r="A807" s="11">
        <v>8.0</v>
      </c>
      <c r="B807" s="12">
        <f t="shared" si="2"/>
        <v>8386.698</v>
      </c>
      <c r="C807" s="13">
        <v>69889.15</v>
      </c>
      <c r="D807" s="13">
        <f t="shared" ref="D807:E807" si="804">B807/12</f>
        <v>698.8915</v>
      </c>
      <c r="E807" s="13">
        <f t="shared" si="804"/>
        <v>5824.095833</v>
      </c>
      <c r="F807" s="13">
        <v>836.39</v>
      </c>
    </row>
    <row r="808">
      <c r="A808" s="11">
        <v>1.0</v>
      </c>
      <c r="B808" s="12">
        <f t="shared" si="2"/>
        <v>8703.8028</v>
      </c>
      <c r="C808" s="13">
        <v>72531.69</v>
      </c>
      <c r="D808" s="13">
        <f t="shared" ref="D808:E808" si="805">B808/12</f>
        <v>725.3169</v>
      </c>
      <c r="E808" s="13">
        <f t="shared" si="805"/>
        <v>6044.3075</v>
      </c>
      <c r="F808" s="13">
        <v>92.0</v>
      </c>
    </row>
    <row r="809">
      <c r="A809" s="11">
        <v>9.0</v>
      </c>
      <c r="B809" s="12">
        <f t="shared" si="2"/>
        <v>1771.644</v>
      </c>
      <c r="C809" s="13">
        <v>14763.7</v>
      </c>
      <c r="D809" s="13">
        <f t="shared" ref="D809:E809" si="806">B809/12</f>
        <v>147.637</v>
      </c>
      <c r="E809" s="13">
        <f t="shared" si="806"/>
        <v>1230.308333</v>
      </c>
      <c r="F809" s="13">
        <v>343.74</v>
      </c>
    </row>
    <row r="810">
      <c r="A810" s="11">
        <v>7.0</v>
      </c>
      <c r="B810" s="12">
        <f t="shared" si="2"/>
        <v>9475.8168</v>
      </c>
      <c r="C810" s="13">
        <v>78965.14</v>
      </c>
      <c r="D810" s="13">
        <f t="shared" ref="D810:E810" si="807">B810/12</f>
        <v>789.6514</v>
      </c>
      <c r="E810" s="13">
        <f t="shared" si="807"/>
        <v>6580.428333</v>
      </c>
      <c r="F810" s="13">
        <v>518.74</v>
      </c>
    </row>
    <row r="811">
      <c r="A811" s="11">
        <v>1.0</v>
      </c>
      <c r="B811" s="12">
        <f t="shared" si="2"/>
        <v>1370.706</v>
      </c>
      <c r="C811" s="13">
        <v>11422.55</v>
      </c>
      <c r="D811" s="13">
        <f t="shared" ref="D811:E811" si="808">B811/12</f>
        <v>114.2255</v>
      </c>
      <c r="E811" s="13">
        <f t="shared" si="808"/>
        <v>951.8791667</v>
      </c>
      <c r="F811" s="13">
        <v>109.12</v>
      </c>
    </row>
    <row r="812">
      <c r="A812" s="11">
        <v>3.0</v>
      </c>
      <c r="B812" s="12">
        <f t="shared" si="2"/>
        <v>1836.7356</v>
      </c>
      <c r="C812" s="13">
        <v>15306.13</v>
      </c>
      <c r="D812" s="13">
        <f t="shared" ref="D812:E812" si="809">B812/12</f>
        <v>153.0613</v>
      </c>
      <c r="E812" s="13">
        <f t="shared" si="809"/>
        <v>1275.510833</v>
      </c>
      <c r="F812" s="13">
        <v>547.38</v>
      </c>
    </row>
    <row r="813">
      <c r="A813" s="11">
        <v>9.0</v>
      </c>
      <c r="B813" s="12">
        <f t="shared" si="2"/>
        <v>8855.0628</v>
      </c>
      <c r="C813" s="13">
        <v>73792.19</v>
      </c>
      <c r="D813" s="13">
        <f t="shared" ref="D813:E813" si="810">B813/12</f>
        <v>737.9219</v>
      </c>
      <c r="E813" s="13">
        <f t="shared" si="810"/>
        <v>6149.349167</v>
      </c>
      <c r="F813" s="13">
        <v>837.12</v>
      </c>
    </row>
    <row r="814">
      <c r="A814" s="11">
        <v>4.0</v>
      </c>
      <c r="B814" s="12">
        <f t="shared" si="2"/>
        <v>2887.0668</v>
      </c>
      <c r="C814" s="13">
        <v>24058.89</v>
      </c>
      <c r="D814" s="13">
        <f t="shared" ref="D814:E814" si="811">B814/12</f>
        <v>240.5889</v>
      </c>
      <c r="E814" s="13">
        <f t="shared" si="811"/>
        <v>2004.9075</v>
      </c>
      <c r="F814" s="13">
        <v>913.45</v>
      </c>
    </row>
    <row r="815">
      <c r="A815" s="11">
        <v>4.0</v>
      </c>
      <c r="B815" s="12">
        <f t="shared" si="2"/>
        <v>8602.0068</v>
      </c>
      <c r="C815" s="13">
        <v>71683.39</v>
      </c>
      <c r="D815" s="13">
        <f t="shared" ref="D815:E815" si="812">B815/12</f>
        <v>716.8339</v>
      </c>
      <c r="E815" s="13">
        <f t="shared" si="812"/>
        <v>5973.615833</v>
      </c>
      <c r="F815" s="13">
        <v>582.32</v>
      </c>
    </row>
    <row r="816">
      <c r="A816" s="11">
        <v>5.0</v>
      </c>
      <c r="B816" s="12">
        <f t="shared" si="2"/>
        <v>7515.3924</v>
      </c>
      <c r="C816" s="13">
        <v>62628.27</v>
      </c>
      <c r="D816" s="13">
        <f t="shared" ref="D816:E816" si="813">B816/12</f>
        <v>626.2827</v>
      </c>
      <c r="E816" s="13">
        <f t="shared" si="813"/>
        <v>5219.0225</v>
      </c>
      <c r="F816" s="13">
        <v>337.06</v>
      </c>
    </row>
    <row r="817">
      <c r="A817" s="11">
        <v>3.0</v>
      </c>
      <c r="B817" s="12">
        <f t="shared" si="2"/>
        <v>3998.5152</v>
      </c>
      <c r="C817" s="13">
        <v>33320.96</v>
      </c>
      <c r="D817" s="13">
        <f t="shared" ref="D817:E817" si="814">B817/12</f>
        <v>333.2096</v>
      </c>
      <c r="E817" s="13">
        <f t="shared" si="814"/>
        <v>2776.746667</v>
      </c>
      <c r="F817" s="13">
        <v>70.34</v>
      </c>
    </row>
    <row r="818">
      <c r="A818" s="11">
        <v>5.0</v>
      </c>
      <c r="B818" s="12">
        <f t="shared" si="2"/>
        <v>5873.9772</v>
      </c>
      <c r="C818" s="13">
        <v>48949.81</v>
      </c>
      <c r="D818" s="13">
        <f t="shared" ref="D818:E818" si="815">B818/12</f>
        <v>489.4981</v>
      </c>
      <c r="E818" s="13">
        <f t="shared" si="815"/>
        <v>4079.150833</v>
      </c>
      <c r="F818" s="13">
        <v>235.14</v>
      </c>
    </row>
    <row r="819">
      <c r="A819" s="11">
        <v>0.0</v>
      </c>
      <c r="B819" s="12">
        <f t="shared" si="2"/>
        <v>3845.5608</v>
      </c>
      <c r="C819" s="13">
        <v>32046.34</v>
      </c>
      <c r="D819" s="13">
        <f t="shared" ref="D819:E819" si="816">B819/12</f>
        <v>320.4634</v>
      </c>
      <c r="E819" s="13">
        <f t="shared" si="816"/>
        <v>2670.528333</v>
      </c>
      <c r="F819" s="13">
        <v>731.1</v>
      </c>
    </row>
    <row r="820">
      <c r="A820" s="11">
        <v>9.0</v>
      </c>
      <c r="B820" s="12">
        <f t="shared" si="2"/>
        <v>4022.0568</v>
      </c>
      <c r="C820" s="13">
        <v>33517.14</v>
      </c>
      <c r="D820" s="13">
        <f t="shared" ref="D820:E820" si="817">B820/12</f>
        <v>335.1714</v>
      </c>
      <c r="E820" s="13">
        <f t="shared" si="817"/>
        <v>2793.095</v>
      </c>
      <c r="F820" s="13">
        <v>33.94</v>
      </c>
    </row>
    <row r="821">
      <c r="A821" s="11">
        <v>8.0</v>
      </c>
      <c r="B821" s="12">
        <f t="shared" si="2"/>
        <v>2481.5808</v>
      </c>
      <c r="C821" s="13">
        <v>20679.84</v>
      </c>
      <c r="D821" s="13">
        <f t="shared" ref="D821:E821" si="818">B821/12</f>
        <v>206.7984</v>
      </c>
      <c r="E821" s="13">
        <f t="shared" si="818"/>
        <v>1723.32</v>
      </c>
      <c r="F821" s="13">
        <v>681.21</v>
      </c>
    </row>
    <row r="822">
      <c r="A822" s="11">
        <v>4.0</v>
      </c>
      <c r="B822" s="12">
        <f t="shared" si="2"/>
        <v>4066.9188</v>
      </c>
      <c r="C822" s="13">
        <v>33890.99</v>
      </c>
      <c r="D822" s="13">
        <f t="shared" ref="D822:E822" si="819">B822/12</f>
        <v>338.9099</v>
      </c>
      <c r="E822" s="13">
        <f t="shared" si="819"/>
        <v>2824.249167</v>
      </c>
      <c r="F822" s="13">
        <v>653.01</v>
      </c>
    </row>
    <row r="823">
      <c r="A823" s="11">
        <v>2.0</v>
      </c>
      <c r="B823" s="12">
        <f t="shared" si="2"/>
        <v>2272.1148</v>
      </c>
      <c r="C823" s="13">
        <v>18934.29</v>
      </c>
      <c r="D823" s="13">
        <f t="shared" ref="D823:E823" si="820">B823/12</f>
        <v>189.3429</v>
      </c>
      <c r="E823" s="13">
        <f t="shared" si="820"/>
        <v>1577.8575</v>
      </c>
      <c r="F823" s="13">
        <v>606.24</v>
      </c>
    </row>
    <row r="824">
      <c r="A824" s="11">
        <v>2.0</v>
      </c>
      <c r="B824" s="12">
        <f t="shared" si="2"/>
        <v>943.0488</v>
      </c>
      <c r="C824" s="13">
        <v>7858.74</v>
      </c>
      <c r="D824" s="13">
        <f t="shared" ref="D824:E824" si="821">B824/12</f>
        <v>78.5874</v>
      </c>
      <c r="E824" s="13">
        <f t="shared" si="821"/>
        <v>654.895</v>
      </c>
      <c r="F824" s="13">
        <v>869.39</v>
      </c>
    </row>
    <row r="825">
      <c r="A825" s="11">
        <v>0.0</v>
      </c>
      <c r="B825" s="12">
        <f t="shared" si="2"/>
        <v>2183.6268</v>
      </c>
      <c r="C825" s="13">
        <v>18196.89</v>
      </c>
      <c r="D825" s="13">
        <f t="shared" ref="D825:E825" si="822">B825/12</f>
        <v>181.9689</v>
      </c>
      <c r="E825" s="13">
        <f t="shared" si="822"/>
        <v>1516.4075</v>
      </c>
      <c r="F825" s="13">
        <v>779.03</v>
      </c>
    </row>
    <row r="826">
      <c r="A826" s="11">
        <v>3.0</v>
      </c>
      <c r="B826" s="12">
        <f t="shared" si="2"/>
        <v>354.6864</v>
      </c>
      <c r="C826" s="13">
        <v>2955.72</v>
      </c>
      <c r="D826" s="13">
        <f t="shared" ref="D826:E826" si="823">B826/12</f>
        <v>29.5572</v>
      </c>
      <c r="E826" s="13">
        <f t="shared" si="823"/>
        <v>246.31</v>
      </c>
      <c r="F826" s="13">
        <v>561.51</v>
      </c>
    </row>
    <row r="827">
      <c r="A827" s="11">
        <v>6.0</v>
      </c>
      <c r="B827" s="12">
        <f t="shared" si="2"/>
        <v>2512.3956</v>
      </c>
      <c r="C827" s="13">
        <v>20936.63</v>
      </c>
      <c r="D827" s="13">
        <f t="shared" ref="D827:E827" si="824">B827/12</f>
        <v>209.3663</v>
      </c>
      <c r="E827" s="13">
        <f t="shared" si="824"/>
        <v>1744.719167</v>
      </c>
      <c r="F827" s="13">
        <v>300.54</v>
      </c>
    </row>
    <row r="828">
      <c r="A828" s="11">
        <v>8.0</v>
      </c>
      <c r="B828" s="12">
        <f t="shared" si="2"/>
        <v>303.6756</v>
      </c>
      <c r="C828" s="13">
        <v>2530.63</v>
      </c>
      <c r="D828" s="13">
        <f t="shared" ref="D828:E828" si="825">B828/12</f>
        <v>25.3063</v>
      </c>
      <c r="E828" s="13">
        <f t="shared" si="825"/>
        <v>210.8858333</v>
      </c>
      <c r="F828" s="13">
        <v>821.62</v>
      </c>
    </row>
    <row r="829">
      <c r="A829" s="11">
        <v>8.0</v>
      </c>
      <c r="B829" s="12">
        <f t="shared" si="2"/>
        <v>11922.6612</v>
      </c>
      <c r="C829" s="13">
        <v>99355.51</v>
      </c>
      <c r="D829" s="13">
        <f t="shared" ref="D829:E829" si="826">B829/12</f>
        <v>993.5551</v>
      </c>
      <c r="E829" s="13">
        <f t="shared" si="826"/>
        <v>8279.625833</v>
      </c>
      <c r="F829" s="13">
        <v>972.83</v>
      </c>
    </row>
    <row r="830">
      <c r="A830" s="11">
        <v>9.0</v>
      </c>
      <c r="B830" s="12">
        <f t="shared" si="2"/>
        <v>1262.4612</v>
      </c>
      <c r="C830" s="13">
        <v>10520.51</v>
      </c>
      <c r="D830" s="13">
        <f t="shared" ref="D830:E830" si="827">B830/12</f>
        <v>105.2051</v>
      </c>
      <c r="E830" s="13">
        <f t="shared" si="827"/>
        <v>876.7091667</v>
      </c>
      <c r="F830" s="13">
        <v>598.08</v>
      </c>
    </row>
    <row r="831">
      <c r="A831" s="11">
        <v>8.0</v>
      </c>
      <c r="B831" s="12">
        <f t="shared" si="2"/>
        <v>8277.4524</v>
      </c>
      <c r="C831" s="13">
        <v>68978.77</v>
      </c>
      <c r="D831" s="13">
        <f t="shared" ref="D831:E831" si="828">B831/12</f>
        <v>689.7877</v>
      </c>
      <c r="E831" s="13">
        <f t="shared" si="828"/>
        <v>5748.230833</v>
      </c>
      <c r="F831" s="13">
        <v>22.0</v>
      </c>
    </row>
    <row r="832">
      <c r="A832" s="11">
        <v>0.0</v>
      </c>
      <c r="B832" s="12">
        <f t="shared" si="2"/>
        <v>9825.5952</v>
      </c>
      <c r="C832" s="13">
        <v>81879.96</v>
      </c>
      <c r="D832" s="13">
        <f t="shared" ref="D832:E832" si="829">B832/12</f>
        <v>818.7996</v>
      </c>
      <c r="E832" s="13">
        <f t="shared" si="829"/>
        <v>6823.33</v>
      </c>
      <c r="F832" s="13">
        <v>772.14</v>
      </c>
    </row>
    <row r="833">
      <c r="A833" s="11">
        <v>2.0</v>
      </c>
      <c r="B833" s="12">
        <f t="shared" si="2"/>
        <v>6865.3212</v>
      </c>
      <c r="C833" s="13">
        <v>57211.01</v>
      </c>
      <c r="D833" s="13">
        <f t="shared" ref="D833:E833" si="830">B833/12</f>
        <v>572.1101</v>
      </c>
      <c r="E833" s="13">
        <f t="shared" si="830"/>
        <v>4767.584167</v>
      </c>
      <c r="F833" s="13">
        <v>836.14</v>
      </c>
    </row>
    <row r="834">
      <c r="A834" s="11">
        <v>3.0</v>
      </c>
      <c r="B834" s="12">
        <f t="shared" si="2"/>
        <v>6211.26</v>
      </c>
      <c r="C834" s="13">
        <v>51760.5</v>
      </c>
      <c r="D834" s="13">
        <f t="shared" ref="D834:E834" si="831">B834/12</f>
        <v>517.605</v>
      </c>
      <c r="E834" s="13">
        <f t="shared" si="831"/>
        <v>4313.375</v>
      </c>
      <c r="F834" s="13">
        <v>488.17</v>
      </c>
    </row>
    <row r="835">
      <c r="A835" s="11">
        <v>6.0</v>
      </c>
      <c r="B835" s="12">
        <f t="shared" si="2"/>
        <v>6543.2208</v>
      </c>
      <c r="C835" s="13">
        <v>54526.84</v>
      </c>
      <c r="D835" s="13">
        <f t="shared" ref="D835:E835" si="832">B835/12</f>
        <v>545.2684</v>
      </c>
      <c r="E835" s="13">
        <f t="shared" si="832"/>
        <v>4543.903333</v>
      </c>
      <c r="F835" s="13">
        <v>955.98</v>
      </c>
    </row>
    <row r="836">
      <c r="A836" s="11">
        <v>3.0</v>
      </c>
      <c r="B836" s="12">
        <f t="shared" si="2"/>
        <v>10697.2452</v>
      </c>
      <c r="C836" s="13">
        <v>89143.71</v>
      </c>
      <c r="D836" s="13">
        <f t="shared" ref="D836:E836" si="833">B836/12</f>
        <v>891.4371</v>
      </c>
      <c r="E836" s="13">
        <f t="shared" si="833"/>
        <v>7428.6425</v>
      </c>
      <c r="F836" s="13">
        <v>405.3</v>
      </c>
    </row>
    <row r="837">
      <c r="A837" s="11">
        <v>6.0</v>
      </c>
      <c r="B837" s="12">
        <f t="shared" si="2"/>
        <v>8315.6748</v>
      </c>
      <c r="C837" s="13">
        <v>69297.29</v>
      </c>
      <c r="D837" s="13">
        <f t="shared" ref="D837:E837" si="834">B837/12</f>
        <v>692.9729</v>
      </c>
      <c r="E837" s="13">
        <f t="shared" si="834"/>
        <v>5774.774167</v>
      </c>
      <c r="F837" s="13">
        <v>276.51</v>
      </c>
    </row>
    <row r="838">
      <c r="A838" s="11">
        <v>1.0</v>
      </c>
      <c r="B838" s="12">
        <f t="shared" si="2"/>
        <v>2101.572</v>
      </c>
      <c r="C838" s="13">
        <v>17513.1</v>
      </c>
      <c r="D838" s="13">
        <f t="shared" ref="D838:E838" si="835">B838/12</f>
        <v>175.131</v>
      </c>
      <c r="E838" s="13">
        <f t="shared" si="835"/>
        <v>1459.425</v>
      </c>
      <c r="F838" s="13">
        <v>305.3</v>
      </c>
    </row>
    <row r="839">
      <c r="A839" s="11">
        <v>5.0</v>
      </c>
      <c r="B839" s="12">
        <f t="shared" si="2"/>
        <v>1112.0532</v>
      </c>
      <c r="C839" s="13">
        <v>9267.11</v>
      </c>
      <c r="D839" s="13">
        <f t="shared" ref="D839:E839" si="836">B839/12</f>
        <v>92.6711</v>
      </c>
      <c r="E839" s="13">
        <f t="shared" si="836"/>
        <v>772.2591667</v>
      </c>
      <c r="F839" s="13">
        <v>528.17</v>
      </c>
    </row>
    <row r="840">
      <c r="A840" s="11">
        <v>9.0</v>
      </c>
      <c r="B840" s="12">
        <f t="shared" si="2"/>
        <v>4514.64</v>
      </c>
      <c r="C840" s="13">
        <v>37622.0</v>
      </c>
      <c r="D840" s="13">
        <f t="shared" ref="D840:E840" si="837">B840/12</f>
        <v>376.22</v>
      </c>
      <c r="E840" s="13">
        <f t="shared" si="837"/>
        <v>3135.166667</v>
      </c>
      <c r="F840" s="13">
        <v>693.31</v>
      </c>
    </row>
    <row r="841">
      <c r="A841" s="11">
        <v>9.0</v>
      </c>
      <c r="B841" s="12">
        <f t="shared" si="2"/>
        <v>3815.3484</v>
      </c>
      <c r="C841" s="13">
        <v>31794.57</v>
      </c>
      <c r="D841" s="13">
        <f t="shared" ref="D841:E841" si="838">B841/12</f>
        <v>317.9457</v>
      </c>
      <c r="E841" s="13">
        <f t="shared" si="838"/>
        <v>2649.5475</v>
      </c>
      <c r="F841" s="13">
        <v>780.43</v>
      </c>
    </row>
    <row r="842">
      <c r="A842" s="11">
        <v>3.0</v>
      </c>
      <c r="B842" s="12">
        <f t="shared" si="2"/>
        <v>7153.5672</v>
      </c>
      <c r="C842" s="13">
        <v>59613.06</v>
      </c>
      <c r="D842" s="13">
        <f t="shared" ref="D842:E842" si="839">B842/12</f>
        <v>596.1306</v>
      </c>
      <c r="E842" s="13">
        <f t="shared" si="839"/>
        <v>4967.755</v>
      </c>
      <c r="F842" s="13">
        <v>888.26</v>
      </c>
    </row>
    <row r="843">
      <c r="A843" s="11">
        <v>0.0</v>
      </c>
      <c r="B843" s="12">
        <f t="shared" si="2"/>
        <v>2530.416</v>
      </c>
      <c r="C843" s="13">
        <v>21086.8</v>
      </c>
      <c r="D843" s="13">
        <f t="shared" ref="D843:E843" si="840">B843/12</f>
        <v>210.868</v>
      </c>
      <c r="E843" s="13">
        <f t="shared" si="840"/>
        <v>1757.233333</v>
      </c>
      <c r="F843" s="13">
        <v>595.23</v>
      </c>
    </row>
    <row r="844">
      <c r="A844" s="11">
        <v>3.0</v>
      </c>
      <c r="B844" s="12">
        <f t="shared" si="2"/>
        <v>10994.6328</v>
      </c>
      <c r="C844" s="13">
        <v>91621.94</v>
      </c>
      <c r="D844" s="13">
        <f t="shared" ref="D844:E844" si="841">B844/12</f>
        <v>916.2194</v>
      </c>
      <c r="E844" s="13">
        <f t="shared" si="841"/>
        <v>7635.161667</v>
      </c>
      <c r="F844" s="13">
        <v>265.54</v>
      </c>
    </row>
    <row r="845">
      <c r="A845" s="11">
        <v>8.0</v>
      </c>
      <c r="B845" s="12">
        <f t="shared" si="2"/>
        <v>8637.8544</v>
      </c>
      <c r="C845" s="13">
        <v>71982.12</v>
      </c>
      <c r="D845" s="13">
        <f t="shared" ref="D845:E845" si="842">B845/12</f>
        <v>719.8212</v>
      </c>
      <c r="E845" s="13">
        <f t="shared" si="842"/>
        <v>5998.51</v>
      </c>
      <c r="F845" s="13">
        <v>348.57</v>
      </c>
    </row>
    <row r="846">
      <c r="A846" s="11">
        <v>7.0</v>
      </c>
      <c r="B846" s="12">
        <f t="shared" si="2"/>
        <v>2682.6492</v>
      </c>
      <c r="C846" s="13">
        <v>22355.41</v>
      </c>
      <c r="D846" s="13">
        <f t="shared" ref="D846:E846" si="843">B846/12</f>
        <v>223.5541</v>
      </c>
      <c r="E846" s="13">
        <f t="shared" si="843"/>
        <v>1862.950833</v>
      </c>
      <c r="F846" s="13">
        <v>903.71</v>
      </c>
    </row>
    <row r="847">
      <c r="A847" s="11">
        <v>4.0</v>
      </c>
      <c r="B847" s="12">
        <f t="shared" si="2"/>
        <v>2694.432</v>
      </c>
      <c r="C847" s="13">
        <v>22453.6</v>
      </c>
      <c r="D847" s="13">
        <f t="shared" ref="D847:E847" si="844">B847/12</f>
        <v>224.536</v>
      </c>
      <c r="E847" s="13">
        <f t="shared" si="844"/>
        <v>1871.133333</v>
      </c>
      <c r="F847" s="13">
        <v>899.62</v>
      </c>
    </row>
    <row r="848">
      <c r="A848" s="11">
        <v>9.0</v>
      </c>
      <c r="B848" s="12">
        <f t="shared" si="2"/>
        <v>1472.0688</v>
      </c>
      <c r="C848" s="13">
        <v>12267.24</v>
      </c>
      <c r="D848" s="13">
        <f t="shared" ref="D848:E848" si="845">B848/12</f>
        <v>122.6724</v>
      </c>
      <c r="E848" s="13">
        <f t="shared" si="845"/>
        <v>1022.27</v>
      </c>
      <c r="F848" s="13">
        <v>444.31</v>
      </c>
    </row>
    <row r="849">
      <c r="A849" s="11">
        <v>4.0</v>
      </c>
      <c r="B849" s="12">
        <f t="shared" si="2"/>
        <v>4837.4988</v>
      </c>
      <c r="C849" s="13">
        <v>40312.49</v>
      </c>
      <c r="D849" s="13">
        <f t="shared" ref="D849:E849" si="846">B849/12</f>
        <v>403.1249</v>
      </c>
      <c r="E849" s="13">
        <f t="shared" si="846"/>
        <v>3359.374167</v>
      </c>
      <c r="F849" s="13">
        <v>155.75</v>
      </c>
    </row>
    <row r="850">
      <c r="A850" s="11">
        <v>5.0</v>
      </c>
      <c r="B850" s="12">
        <f t="shared" si="2"/>
        <v>4797.594</v>
      </c>
      <c r="C850" s="13">
        <v>39979.95</v>
      </c>
      <c r="D850" s="13">
        <f t="shared" ref="D850:E850" si="847">B850/12</f>
        <v>399.7995</v>
      </c>
      <c r="E850" s="13">
        <f t="shared" si="847"/>
        <v>3331.6625</v>
      </c>
      <c r="F850" s="13">
        <v>2.44</v>
      </c>
    </row>
    <row r="851">
      <c r="A851" s="11">
        <v>7.0</v>
      </c>
      <c r="B851" s="12">
        <f t="shared" si="2"/>
        <v>3017.8128</v>
      </c>
      <c r="C851" s="13">
        <v>25148.44</v>
      </c>
      <c r="D851" s="13">
        <f t="shared" ref="D851:E851" si="848">B851/12</f>
        <v>251.4844</v>
      </c>
      <c r="E851" s="13">
        <f t="shared" si="848"/>
        <v>2095.703333</v>
      </c>
      <c r="F851" s="13">
        <v>98.99</v>
      </c>
    </row>
    <row r="852">
      <c r="A852" s="11">
        <v>6.0</v>
      </c>
      <c r="B852" s="12">
        <f t="shared" si="2"/>
        <v>9024.5508</v>
      </c>
      <c r="C852" s="13">
        <v>75204.59</v>
      </c>
      <c r="D852" s="13">
        <f t="shared" ref="D852:E852" si="849">B852/12</f>
        <v>752.0459</v>
      </c>
      <c r="E852" s="13">
        <f t="shared" si="849"/>
        <v>6267.049167</v>
      </c>
      <c r="F852" s="13">
        <v>336.88</v>
      </c>
    </row>
    <row r="853">
      <c r="A853" s="11">
        <v>9.0</v>
      </c>
      <c r="B853" s="12">
        <f t="shared" si="2"/>
        <v>3463.8996</v>
      </c>
      <c r="C853" s="13">
        <v>28865.83</v>
      </c>
      <c r="D853" s="13">
        <f t="shared" ref="D853:E853" si="850">B853/12</f>
        <v>288.6583</v>
      </c>
      <c r="E853" s="13">
        <f t="shared" si="850"/>
        <v>2405.485833</v>
      </c>
      <c r="F853" s="13">
        <v>286.26</v>
      </c>
    </row>
    <row r="854">
      <c r="A854" s="11">
        <v>2.0</v>
      </c>
      <c r="B854" s="12">
        <f t="shared" si="2"/>
        <v>11295.7236</v>
      </c>
      <c r="C854" s="13">
        <v>94131.03</v>
      </c>
      <c r="D854" s="13">
        <f t="shared" ref="D854:E854" si="851">B854/12</f>
        <v>941.3103</v>
      </c>
      <c r="E854" s="13">
        <f t="shared" si="851"/>
        <v>7844.2525</v>
      </c>
      <c r="F854" s="13">
        <v>935.16</v>
      </c>
    </row>
    <row r="855">
      <c r="A855" s="11">
        <v>4.0</v>
      </c>
      <c r="B855" s="12">
        <f t="shared" si="2"/>
        <v>10929.0312</v>
      </c>
      <c r="C855" s="13">
        <v>91075.26</v>
      </c>
      <c r="D855" s="13">
        <f t="shared" ref="D855:E855" si="852">B855/12</f>
        <v>910.7526</v>
      </c>
      <c r="E855" s="13">
        <f t="shared" si="852"/>
        <v>7589.605</v>
      </c>
      <c r="F855" s="13">
        <v>614.77</v>
      </c>
    </row>
    <row r="856">
      <c r="A856" s="11">
        <v>9.0</v>
      </c>
      <c r="B856" s="12">
        <f t="shared" si="2"/>
        <v>11967.132</v>
      </c>
      <c r="C856" s="13">
        <v>99726.1</v>
      </c>
      <c r="D856" s="13">
        <f t="shared" ref="D856:E856" si="853">B856/12</f>
        <v>997.261</v>
      </c>
      <c r="E856" s="13">
        <f t="shared" si="853"/>
        <v>8310.508333</v>
      </c>
      <c r="F856" s="13">
        <v>14.62</v>
      </c>
    </row>
    <row r="857">
      <c r="A857" s="11">
        <v>0.0</v>
      </c>
      <c r="B857" s="12">
        <f t="shared" si="2"/>
        <v>9630.1992</v>
      </c>
      <c r="C857" s="13">
        <v>80251.66</v>
      </c>
      <c r="D857" s="13">
        <f t="shared" ref="D857:E857" si="854">B857/12</f>
        <v>802.5166</v>
      </c>
      <c r="E857" s="13">
        <f t="shared" si="854"/>
        <v>6687.638333</v>
      </c>
      <c r="F857" s="13">
        <v>870.34</v>
      </c>
    </row>
    <row r="858">
      <c r="A858" s="11">
        <v>9.0</v>
      </c>
      <c r="B858" s="12">
        <f t="shared" si="2"/>
        <v>9895.5144</v>
      </c>
      <c r="C858" s="13">
        <v>82462.62</v>
      </c>
      <c r="D858" s="13">
        <f t="shared" ref="D858:E858" si="855">B858/12</f>
        <v>824.6262</v>
      </c>
      <c r="E858" s="13">
        <f t="shared" si="855"/>
        <v>6871.885</v>
      </c>
      <c r="F858" s="13">
        <v>684.64</v>
      </c>
    </row>
    <row r="859">
      <c r="A859" s="11">
        <v>8.0</v>
      </c>
      <c r="B859" s="12">
        <f t="shared" si="2"/>
        <v>2422.3236</v>
      </c>
      <c r="C859" s="13">
        <v>20186.03</v>
      </c>
      <c r="D859" s="13">
        <f t="shared" ref="D859:E859" si="856">B859/12</f>
        <v>201.8603</v>
      </c>
      <c r="E859" s="13">
        <f t="shared" si="856"/>
        <v>1682.169167</v>
      </c>
      <c r="F859" s="13">
        <v>573.33</v>
      </c>
    </row>
    <row r="860">
      <c r="A860" s="11">
        <v>3.0</v>
      </c>
      <c r="B860" s="12">
        <f t="shared" si="2"/>
        <v>6412.0116</v>
      </c>
      <c r="C860" s="13">
        <v>53433.43</v>
      </c>
      <c r="D860" s="13">
        <f t="shared" ref="D860:E860" si="857">B860/12</f>
        <v>534.3343</v>
      </c>
      <c r="E860" s="13">
        <f t="shared" si="857"/>
        <v>4452.785833</v>
      </c>
      <c r="F860" s="13">
        <v>807.81</v>
      </c>
    </row>
    <row r="861">
      <c r="A861" s="11">
        <v>9.0</v>
      </c>
      <c r="B861" s="12">
        <f t="shared" si="2"/>
        <v>11693.8044</v>
      </c>
      <c r="C861" s="13">
        <v>97448.37</v>
      </c>
      <c r="D861" s="13">
        <f t="shared" ref="D861:E861" si="858">B861/12</f>
        <v>974.4837</v>
      </c>
      <c r="E861" s="13">
        <f t="shared" si="858"/>
        <v>8120.6975</v>
      </c>
      <c r="F861" s="13">
        <v>977.57</v>
      </c>
    </row>
    <row r="862">
      <c r="A862" s="11">
        <v>8.0</v>
      </c>
      <c r="B862" s="12">
        <f t="shared" si="2"/>
        <v>578.9436</v>
      </c>
      <c r="C862" s="13">
        <v>4824.53</v>
      </c>
      <c r="D862" s="13">
        <f t="shared" ref="D862:E862" si="859">B862/12</f>
        <v>48.2453</v>
      </c>
      <c r="E862" s="13">
        <f t="shared" si="859"/>
        <v>402.0441667</v>
      </c>
      <c r="F862" s="13">
        <v>728.99</v>
      </c>
    </row>
    <row r="863">
      <c r="A863" s="11">
        <v>1.0</v>
      </c>
      <c r="B863" s="12">
        <f t="shared" si="2"/>
        <v>10056.5844</v>
      </c>
      <c r="C863" s="13">
        <v>83804.87</v>
      </c>
      <c r="D863" s="13">
        <f t="shared" ref="D863:E863" si="860">B863/12</f>
        <v>838.0487</v>
      </c>
      <c r="E863" s="13">
        <f t="shared" si="860"/>
        <v>6983.739167</v>
      </c>
      <c r="F863" s="13">
        <v>284.04</v>
      </c>
    </row>
    <row r="864">
      <c r="A864" s="11">
        <v>5.0</v>
      </c>
      <c r="B864" s="12">
        <f t="shared" si="2"/>
        <v>2836.554</v>
      </c>
      <c r="C864" s="13">
        <v>23637.95</v>
      </c>
      <c r="D864" s="13">
        <f t="shared" ref="D864:E864" si="861">B864/12</f>
        <v>236.3795</v>
      </c>
      <c r="E864" s="13">
        <f t="shared" si="861"/>
        <v>1969.829167</v>
      </c>
      <c r="F864" s="13">
        <v>112.65</v>
      </c>
    </row>
    <row r="865">
      <c r="A865" s="11">
        <v>8.0</v>
      </c>
      <c r="B865" s="12">
        <f t="shared" si="2"/>
        <v>6043.1196</v>
      </c>
      <c r="C865" s="13">
        <v>50359.33</v>
      </c>
      <c r="D865" s="13">
        <f t="shared" ref="D865:E865" si="862">B865/12</f>
        <v>503.5933</v>
      </c>
      <c r="E865" s="13">
        <f t="shared" si="862"/>
        <v>4196.610833</v>
      </c>
      <c r="F865" s="13">
        <v>704.95</v>
      </c>
    </row>
    <row r="866">
      <c r="A866" s="11">
        <v>9.0</v>
      </c>
      <c r="B866" s="12">
        <f t="shared" si="2"/>
        <v>3478.2552</v>
      </c>
      <c r="C866" s="13">
        <v>28985.46</v>
      </c>
      <c r="D866" s="13">
        <f t="shared" ref="D866:E866" si="863">B866/12</f>
        <v>289.8546</v>
      </c>
      <c r="E866" s="13">
        <f t="shared" si="863"/>
        <v>2415.455</v>
      </c>
      <c r="F866" s="13">
        <v>1.06</v>
      </c>
    </row>
    <row r="867">
      <c r="A867" s="11">
        <v>8.0</v>
      </c>
      <c r="B867" s="12">
        <f t="shared" si="2"/>
        <v>5571.9012</v>
      </c>
      <c r="C867" s="13">
        <v>46432.51</v>
      </c>
      <c r="D867" s="13">
        <f t="shared" ref="D867:E867" si="864">B867/12</f>
        <v>464.3251</v>
      </c>
      <c r="E867" s="13">
        <f t="shared" si="864"/>
        <v>3869.375833</v>
      </c>
      <c r="F867" s="13">
        <v>715.14</v>
      </c>
    </row>
    <row r="868">
      <c r="A868" s="11">
        <v>7.0</v>
      </c>
      <c r="B868" s="12">
        <f t="shared" si="2"/>
        <v>572.6208</v>
      </c>
      <c r="C868" s="13">
        <v>4771.84</v>
      </c>
      <c r="D868" s="13">
        <f t="shared" ref="D868:E868" si="865">B868/12</f>
        <v>47.7184</v>
      </c>
      <c r="E868" s="13">
        <f t="shared" si="865"/>
        <v>397.6533333</v>
      </c>
      <c r="F868" s="13">
        <v>117.79</v>
      </c>
    </row>
    <row r="869">
      <c r="A869" s="11">
        <v>0.0</v>
      </c>
      <c r="B869" s="12">
        <f t="shared" si="2"/>
        <v>8889.0636</v>
      </c>
      <c r="C869" s="13">
        <v>74075.53</v>
      </c>
      <c r="D869" s="13">
        <f t="shared" ref="D869:E869" si="866">B869/12</f>
        <v>740.7553</v>
      </c>
      <c r="E869" s="13">
        <f t="shared" si="866"/>
        <v>6172.960833</v>
      </c>
      <c r="F869" s="13">
        <v>966.26</v>
      </c>
    </row>
    <row r="870">
      <c r="A870" s="11">
        <v>7.0</v>
      </c>
      <c r="B870" s="12">
        <f t="shared" si="2"/>
        <v>9902.7792</v>
      </c>
      <c r="C870" s="13">
        <v>82523.16</v>
      </c>
      <c r="D870" s="13">
        <f t="shared" ref="D870:E870" si="867">B870/12</f>
        <v>825.2316</v>
      </c>
      <c r="E870" s="13">
        <f t="shared" si="867"/>
        <v>6876.93</v>
      </c>
      <c r="F870" s="13">
        <v>581.41</v>
      </c>
    </row>
    <row r="871">
      <c r="A871" s="11">
        <v>1.0</v>
      </c>
      <c r="B871" s="12">
        <f t="shared" si="2"/>
        <v>3232.11</v>
      </c>
      <c r="C871" s="13">
        <v>26934.25</v>
      </c>
      <c r="D871" s="13">
        <f t="shared" ref="D871:E871" si="868">B871/12</f>
        <v>269.3425</v>
      </c>
      <c r="E871" s="13">
        <f t="shared" si="868"/>
        <v>2244.520833</v>
      </c>
      <c r="F871" s="13">
        <v>508.27</v>
      </c>
    </row>
    <row r="872">
      <c r="A872" s="11">
        <v>2.0</v>
      </c>
      <c r="B872" s="12">
        <f t="shared" si="2"/>
        <v>3840.522</v>
      </c>
      <c r="C872" s="13">
        <v>32004.35</v>
      </c>
      <c r="D872" s="13">
        <f t="shared" ref="D872:E872" si="869">B872/12</f>
        <v>320.0435</v>
      </c>
      <c r="E872" s="13">
        <f t="shared" si="869"/>
        <v>2667.029167</v>
      </c>
      <c r="F872" s="13">
        <v>557.91</v>
      </c>
    </row>
    <row r="873">
      <c r="A873" s="11">
        <v>5.0</v>
      </c>
      <c r="B873" s="12">
        <f t="shared" si="2"/>
        <v>11099.5812</v>
      </c>
      <c r="C873" s="13">
        <v>92496.51</v>
      </c>
      <c r="D873" s="13">
        <f t="shared" ref="D873:E873" si="870">B873/12</f>
        <v>924.9651</v>
      </c>
      <c r="E873" s="13">
        <f t="shared" si="870"/>
        <v>7708.0425</v>
      </c>
      <c r="F873" s="13">
        <v>769.22</v>
      </c>
    </row>
    <row r="874">
      <c r="A874" s="11">
        <v>5.0</v>
      </c>
      <c r="B874" s="12">
        <f t="shared" si="2"/>
        <v>5813.1576</v>
      </c>
      <c r="C874" s="13">
        <v>48442.98</v>
      </c>
      <c r="D874" s="13">
        <f t="shared" ref="D874:E874" si="871">B874/12</f>
        <v>484.4298</v>
      </c>
      <c r="E874" s="13">
        <f t="shared" si="871"/>
        <v>4036.915</v>
      </c>
      <c r="F874" s="13">
        <v>492.24</v>
      </c>
    </row>
    <row r="875">
      <c r="A875" s="11">
        <v>2.0</v>
      </c>
      <c r="B875" s="12">
        <f t="shared" si="2"/>
        <v>1399.8072</v>
      </c>
      <c r="C875" s="13">
        <v>11665.06</v>
      </c>
      <c r="D875" s="13">
        <f t="shared" ref="D875:E875" si="872">B875/12</f>
        <v>116.6506</v>
      </c>
      <c r="E875" s="13">
        <f t="shared" si="872"/>
        <v>972.0883333</v>
      </c>
      <c r="F875" s="13">
        <v>479.62</v>
      </c>
    </row>
    <row r="876">
      <c r="A876" s="11">
        <v>7.0</v>
      </c>
      <c r="B876" s="12">
        <f t="shared" si="2"/>
        <v>4151.1312</v>
      </c>
      <c r="C876" s="13">
        <v>34592.76</v>
      </c>
      <c r="D876" s="13">
        <f t="shared" ref="D876:E876" si="873">B876/12</f>
        <v>345.9276</v>
      </c>
      <c r="E876" s="13">
        <f t="shared" si="873"/>
        <v>2882.73</v>
      </c>
      <c r="F876" s="13">
        <v>365.38</v>
      </c>
    </row>
    <row r="877">
      <c r="A877" s="11">
        <v>0.0</v>
      </c>
      <c r="B877" s="12">
        <f t="shared" si="2"/>
        <v>566.406</v>
      </c>
      <c r="C877" s="13">
        <v>4720.05</v>
      </c>
      <c r="D877" s="13">
        <f t="shared" ref="D877:E877" si="874">B877/12</f>
        <v>47.2005</v>
      </c>
      <c r="E877" s="13">
        <f t="shared" si="874"/>
        <v>393.3375</v>
      </c>
      <c r="F877" s="13">
        <v>31.33</v>
      </c>
    </row>
    <row r="878">
      <c r="A878" s="11">
        <v>1.0</v>
      </c>
      <c r="B878" s="12">
        <f t="shared" si="2"/>
        <v>7215.042</v>
      </c>
      <c r="C878" s="13">
        <v>60125.35</v>
      </c>
      <c r="D878" s="13">
        <f t="shared" ref="D878:E878" si="875">B878/12</f>
        <v>601.2535</v>
      </c>
      <c r="E878" s="13">
        <f t="shared" si="875"/>
        <v>5010.445833</v>
      </c>
      <c r="F878" s="13">
        <v>893.24</v>
      </c>
    </row>
    <row r="879">
      <c r="A879" s="11">
        <v>4.0</v>
      </c>
      <c r="B879" s="12">
        <f t="shared" si="2"/>
        <v>2626.152</v>
      </c>
      <c r="C879" s="13">
        <v>21884.6</v>
      </c>
      <c r="D879" s="13">
        <f t="shared" ref="D879:E879" si="876">B879/12</f>
        <v>218.846</v>
      </c>
      <c r="E879" s="13">
        <f t="shared" si="876"/>
        <v>1823.716667</v>
      </c>
      <c r="F879" s="13">
        <v>544.77</v>
      </c>
    </row>
    <row r="880">
      <c r="A880" s="11">
        <v>0.0</v>
      </c>
      <c r="B880" s="12">
        <f t="shared" si="2"/>
        <v>11986.5972</v>
      </c>
      <c r="C880" s="13">
        <v>99888.31</v>
      </c>
      <c r="D880" s="13">
        <f t="shared" ref="D880:E880" si="877">B880/12</f>
        <v>998.8831</v>
      </c>
      <c r="E880" s="13">
        <f t="shared" si="877"/>
        <v>8324.025833</v>
      </c>
      <c r="F880" s="13">
        <v>305.02</v>
      </c>
    </row>
    <row r="881">
      <c r="A881" s="11">
        <v>8.0</v>
      </c>
      <c r="B881" s="12">
        <f t="shared" si="2"/>
        <v>4721.4828</v>
      </c>
      <c r="C881" s="13">
        <v>39345.69</v>
      </c>
      <c r="D881" s="13">
        <f t="shared" ref="D881:E881" si="878">B881/12</f>
        <v>393.4569</v>
      </c>
      <c r="E881" s="13">
        <f t="shared" si="878"/>
        <v>3278.8075</v>
      </c>
      <c r="F881" s="13">
        <v>971.88</v>
      </c>
    </row>
    <row r="882">
      <c r="A882" s="11">
        <v>2.0</v>
      </c>
      <c r="B882" s="12">
        <f t="shared" si="2"/>
        <v>3856.3992</v>
      </c>
      <c r="C882" s="13">
        <v>32136.66</v>
      </c>
      <c r="D882" s="13">
        <f t="shared" ref="D882:E882" si="879">B882/12</f>
        <v>321.3666</v>
      </c>
      <c r="E882" s="13">
        <f t="shared" si="879"/>
        <v>2678.055</v>
      </c>
      <c r="F882" s="13">
        <v>868.63</v>
      </c>
    </row>
    <row r="883">
      <c r="A883" s="11">
        <v>5.0</v>
      </c>
      <c r="B883" s="12">
        <f t="shared" si="2"/>
        <v>1142.1</v>
      </c>
      <c r="C883" s="13">
        <v>9517.5</v>
      </c>
      <c r="D883" s="13">
        <f t="shared" ref="D883:E883" si="880">B883/12</f>
        <v>95.175</v>
      </c>
      <c r="E883" s="13">
        <f t="shared" si="880"/>
        <v>793.125</v>
      </c>
      <c r="F883" s="13">
        <v>949.6</v>
      </c>
    </row>
    <row r="884">
      <c r="A884" s="11">
        <v>2.0</v>
      </c>
      <c r="B884" s="12">
        <f t="shared" si="2"/>
        <v>10928.82</v>
      </c>
      <c r="C884" s="13">
        <v>91073.5</v>
      </c>
      <c r="D884" s="13">
        <f t="shared" ref="D884:E884" si="881">B884/12</f>
        <v>910.735</v>
      </c>
      <c r="E884" s="13">
        <f t="shared" si="881"/>
        <v>7589.458333</v>
      </c>
      <c r="F884" s="13">
        <v>394.22</v>
      </c>
    </row>
    <row r="885">
      <c r="A885" s="11">
        <v>2.0</v>
      </c>
      <c r="B885" s="12">
        <f t="shared" si="2"/>
        <v>1564.6236</v>
      </c>
      <c r="C885" s="13">
        <v>13038.53</v>
      </c>
      <c r="D885" s="13">
        <f t="shared" ref="D885:E885" si="882">B885/12</f>
        <v>130.3853</v>
      </c>
      <c r="E885" s="13">
        <f t="shared" si="882"/>
        <v>1086.544167</v>
      </c>
      <c r="F885" s="13">
        <v>722.52</v>
      </c>
    </row>
    <row r="886">
      <c r="A886" s="11">
        <v>8.0</v>
      </c>
      <c r="B886" s="12">
        <f t="shared" si="2"/>
        <v>1150.5108</v>
      </c>
      <c r="C886" s="13">
        <v>9587.59</v>
      </c>
      <c r="D886" s="13">
        <f t="shared" ref="D886:E886" si="883">B886/12</f>
        <v>95.8759</v>
      </c>
      <c r="E886" s="13">
        <f t="shared" si="883"/>
        <v>798.9658333</v>
      </c>
      <c r="F886" s="13">
        <v>787.51</v>
      </c>
    </row>
    <row r="887">
      <c r="A887" s="11">
        <v>5.0</v>
      </c>
      <c r="B887" s="12">
        <f t="shared" si="2"/>
        <v>3811.4532</v>
      </c>
      <c r="C887" s="13">
        <v>31762.11</v>
      </c>
      <c r="D887" s="13">
        <f t="shared" ref="D887:E887" si="884">B887/12</f>
        <v>317.6211</v>
      </c>
      <c r="E887" s="13">
        <f t="shared" si="884"/>
        <v>2646.8425</v>
      </c>
      <c r="F887" s="13">
        <v>202.81</v>
      </c>
    </row>
    <row r="888">
      <c r="A888" s="11">
        <v>1.0</v>
      </c>
      <c r="B888" s="12">
        <f t="shared" si="2"/>
        <v>6661.1496</v>
      </c>
      <c r="C888" s="13">
        <v>55509.58</v>
      </c>
      <c r="D888" s="13">
        <f t="shared" ref="D888:E888" si="885">B888/12</f>
        <v>555.0958</v>
      </c>
      <c r="E888" s="13">
        <f t="shared" si="885"/>
        <v>4625.798333</v>
      </c>
      <c r="F888" s="13">
        <v>111.5</v>
      </c>
    </row>
    <row r="889">
      <c r="A889" s="11">
        <v>6.0</v>
      </c>
      <c r="B889" s="12">
        <f t="shared" si="2"/>
        <v>9942.888</v>
      </c>
      <c r="C889" s="13">
        <v>82857.4</v>
      </c>
      <c r="D889" s="13">
        <f t="shared" ref="D889:E889" si="886">B889/12</f>
        <v>828.574</v>
      </c>
      <c r="E889" s="13">
        <f t="shared" si="886"/>
        <v>6904.783333</v>
      </c>
      <c r="F889" s="13">
        <v>923.23</v>
      </c>
    </row>
    <row r="890">
      <c r="A890" s="11">
        <v>8.0</v>
      </c>
      <c r="B890" s="12">
        <f t="shared" si="2"/>
        <v>10070.676</v>
      </c>
      <c r="C890" s="13">
        <v>83922.3</v>
      </c>
      <c r="D890" s="13">
        <f t="shared" ref="D890:E890" si="887">B890/12</f>
        <v>839.223</v>
      </c>
      <c r="E890" s="13">
        <f t="shared" si="887"/>
        <v>6993.525</v>
      </c>
      <c r="F890" s="13">
        <v>290.32</v>
      </c>
    </row>
    <row r="891">
      <c r="A891" s="11">
        <v>7.0</v>
      </c>
      <c r="B891" s="12">
        <f t="shared" si="2"/>
        <v>1253.6664</v>
      </c>
      <c r="C891" s="13">
        <v>10447.22</v>
      </c>
      <c r="D891" s="13">
        <f t="shared" ref="D891:E891" si="888">B891/12</f>
        <v>104.4722</v>
      </c>
      <c r="E891" s="13">
        <f t="shared" si="888"/>
        <v>870.6016667</v>
      </c>
      <c r="F891" s="13">
        <v>548.42</v>
      </c>
    </row>
    <row r="892">
      <c r="A892" s="11">
        <v>4.0</v>
      </c>
      <c r="B892" s="12">
        <f t="shared" si="2"/>
        <v>7659.2784</v>
      </c>
      <c r="C892" s="13">
        <v>63827.32</v>
      </c>
      <c r="D892" s="13">
        <f t="shared" ref="D892:E892" si="889">B892/12</f>
        <v>638.2732</v>
      </c>
      <c r="E892" s="13">
        <f t="shared" si="889"/>
        <v>5318.943333</v>
      </c>
      <c r="F892" s="13">
        <v>119.4</v>
      </c>
    </row>
    <row r="893">
      <c r="A893" s="11">
        <v>0.0</v>
      </c>
      <c r="B893" s="12">
        <f t="shared" si="2"/>
        <v>1189.6596</v>
      </c>
      <c r="C893" s="13">
        <v>9913.83</v>
      </c>
      <c r="D893" s="13">
        <f t="shared" ref="D893:E893" si="890">B893/12</f>
        <v>99.1383</v>
      </c>
      <c r="E893" s="13">
        <f t="shared" si="890"/>
        <v>826.1525</v>
      </c>
      <c r="F893" s="13">
        <v>189.76</v>
      </c>
    </row>
    <row r="894">
      <c r="A894" s="11">
        <v>9.0</v>
      </c>
      <c r="B894" s="12">
        <f t="shared" si="2"/>
        <v>964.0392</v>
      </c>
      <c r="C894" s="13">
        <v>8033.66</v>
      </c>
      <c r="D894" s="13">
        <f t="shared" ref="D894:E894" si="891">B894/12</f>
        <v>80.3366</v>
      </c>
      <c r="E894" s="13">
        <f t="shared" si="891"/>
        <v>669.4716667</v>
      </c>
      <c r="F894" s="13">
        <v>656.58</v>
      </c>
    </row>
    <row r="895">
      <c r="A895" s="11">
        <v>3.0</v>
      </c>
      <c r="B895" s="12">
        <f t="shared" si="2"/>
        <v>9895.4412</v>
      </c>
      <c r="C895" s="13">
        <v>82462.01</v>
      </c>
      <c r="D895" s="13">
        <f t="shared" ref="D895:E895" si="892">B895/12</f>
        <v>824.6201</v>
      </c>
      <c r="E895" s="13">
        <f t="shared" si="892"/>
        <v>6871.834167</v>
      </c>
      <c r="F895" s="13">
        <v>618.48</v>
      </c>
    </row>
    <row r="896">
      <c r="A896" s="11">
        <v>5.0</v>
      </c>
      <c r="B896" s="12">
        <f t="shared" si="2"/>
        <v>3603.6432</v>
      </c>
      <c r="C896" s="13">
        <v>30030.36</v>
      </c>
      <c r="D896" s="13">
        <f t="shared" ref="D896:E896" si="893">B896/12</f>
        <v>300.3036</v>
      </c>
      <c r="E896" s="13">
        <f t="shared" si="893"/>
        <v>2502.53</v>
      </c>
      <c r="F896" s="13">
        <v>985.64</v>
      </c>
    </row>
    <row r="897">
      <c r="A897" s="11">
        <v>1.0</v>
      </c>
      <c r="B897" s="12">
        <f t="shared" si="2"/>
        <v>3372.6756</v>
      </c>
      <c r="C897" s="13">
        <v>28105.63</v>
      </c>
      <c r="D897" s="13">
        <f t="shared" ref="D897:E897" si="894">B897/12</f>
        <v>281.0563</v>
      </c>
      <c r="E897" s="13">
        <f t="shared" si="894"/>
        <v>2342.135833</v>
      </c>
      <c r="F897" s="13">
        <v>268.05</v>
      </c>
    </row>
    <row r="898">
      <c r="A898" s="11">
        <v>8.0</v>
      </c>
      <c r="B898" s="12">
        <f t="shared" si="2"/>
        <v>1953.618</v>
      </c>
      <c r="C898" s="13">
        <v>16280.15</v>
      </c>
      <c r="D898" s="13">
        <f t="shared" ref="D898:E898" si="895">B898/12</f>
        <v>162.8015</v>
      </c>
      <c r="E898" s="13">
        <f t="shared" si="895"/>
        <v>1356.679167</v>
      </c>
      <c r="F898" s="13">
        <v>914.52</v>
      </c>
    </row>
    <row r="899">
      <c r="A899" s="11">
        <v>2.0</v>
      </c>
      <c r="B899" s="12">
        <f t="shared" si="2"/>
        <v>5679.7944</v>
      </c>
      <c r="C899" s="13">
        <v>47331.62</v>
      </c>
      <c r="D899" s="13">
        <f t="shared" ref="D899:E899" si="896">B899/12</f>
        <v>473.3162</v>
      </c>
      <c r="E899" s="13">
        <f t="shared" si="896"/>
        <v>3944.301667</v>
      </c>
      <c r="F899" s="13">
        <v>561.66</v>
      </c>
    </row>
    <row r="900">
      <c r="A900" s="11">
        <v>5.0</v>
      </c>
      <c r="B900" s="12">
        <f t="shared" si="2"/>
        <v>8775.096</v>
      </c>
      <c r="C900" s="13">
        <v>73125.8</v>
      </c>
      <c r="D900" s="13">
        <f t="shared" ref="D900:E900" si="897">B900/12</f>
        <v>731.258</v>
      </c>
      <c r="E900" s="13">
        <f t="shared" si="897"/>
        <v>6093.816667</v>
      </c>
      <c r="F900" s="13">
        <v>661.74</v>
      </c>
    </row>
    <row r="901">
      <c r="A901" s="11">
        <v>7.0</v>
      </c>
      <c r="B901" s="12">
        <f t="shared" si="2"/>
        <v>7900.8288</v>
      </c>
      <c r="C901" s="13">
        <v>65840.24</v>
      </c>
      <c r="D901" s="13">
        <f t="shared" ref="D901:E901" si="898">B901/12</f>
        <v>658.4024</v>
      </c>
      <c r="E901" s="13">
        <f t="shared" si="898"/>
        <v>5486.686667</v>
      </c>
      <c r="F901" s="13">
        <v>276.45</v>
      </c>
    </row>
    <row r="902">
      <c r="A902" s="11">
        <v>9.0</v>
      </c>
      <c r="B902" s="12">
        <f t="shared" si="2"/>
        <v>178.212</v>
      </c>
      <c r="C902" s="13">
        <v>1485.1</v>
      </c>
      <c r="D902" s="13">
        <f t="shared" ref="D902:E902" si="899">B902/12</f>
        <v>14.851</v>
      </c>
      <c r="E902" s="13">
        <f t="shared" si="899"/>
        <v>123.7583333</v>
      </c>
      <c r="F902" s="13">
        <v>492.8</v>
      </c>
    </row>
    <row r="903">
      <c r="A903" s="11">
        <v>0.0</v>
      </c>
      <c r="B903" s="12">
        <f t="shared" si="2"/>
        <v>7364.6556</v>
      </c>
      <c r="C903" s="13">
        <v>61372.13</v>
      </c>
      <c r="D903" s="13">
        <f t="shared" ref="D903:E903" si="900">B903/12</f>
        <v>613.7213</v>
      </c>
      <c r="E903" s="13">
        <f t="shared" si="900"/>
        <v>5114.344167</v>
      </c>
      <c r="F903" s="13">
        <v>850.32</v>
      </c>
    </row>
    <row r="904">
      <c r="A904" s="11">
        <v>1.0</v>
      </c>
      <c r="B904" s="12">
        <f t="shared" si="2"/>
        <v>6492.936</v>
      </c>
      <c r="C904" s="13">
        <v>54107.8</v>
      </c>
      <c r="D904" s="13">
        <f t="shared" ref="D904:E904" si="901">B904/12</f>
        <v>541.078</v>
      </c>
      <c r="E904" s="13">
        <f t="shared" si="901"/>
        <v>4508.983333</v>
      </c>
      <c r="F904" s="13">
        <v>977.0</v>
      </c>
    </row>
    <row r="905">
      <c r="A905" s="11">
        <v>4.0</v>
      </c>
      <c r="B905" s="12">
        <f t="shared" si="2"/>
        <v>6544.572</v>
      </c>
      <c r="C905" s="13">
        <v>54538.1</v>
      </c>
      <c r="D905" s="13">
        <f t="shared" ref="D905:E905" si="902">B905/12</f>
        <v>545.381</v>
      </c>
      <c r="E905" s="13">
        <f t="shared" si="902"/>
        <v>4544.841667</v>
      </c>
      <c r="F905" s="13">
        <v>998.45</v>
      </c>
    </row>
    <row r="906">
      <c r="A906" s="11">
        <v>5.0</v>
      </c>
      <c r="B906" s="12">
        <f t="shared" si="2"/>
        <v>6721.326</v>
      </c>
      <c r="C906" s="13">
        <v>56011.05</v>
      </c>
      <c r="D906" s="13">
        <f t="shared" ref="D906:E906" si="903">B906/12</f>
        <v>560.1105</v>
      </c>
      <c r="E906" s="13">
        <f t="shared" si="903"/>
        <v>4667.5875</v>
      </c>
      <c r="F906" s="13">
        <v>972.26</v>
      </c>
    </row>
    <row r="907">
      <c r="A907" s="11">
        <v>3.0</v>
      </c>
      <c r="B907" s="12">
        <f t="shared" si="2"/>
        <v>7611.9912</v>
      </c>
      <c r="C907" s="13">
        <v>63433.26</v>
      </c>
      <c r="D907" s="13">
        <f t="shared" ref="D907:E907" si="904">B907/12</f>
        <v>634.3326</v>
      </c>
      <c r="E907" s="13">
        <f t="shared" si="904"/>
        <v>5286.105</v>
      </c>
      <c r="F907" s="13">
        <v>859.72</v>
      </c>
    </row>
    <row r="908">
      <c r="A908" s="11">
        <v>4.0</v>
      </c>
      <c r="B908" s="12">
        <f t="shared" si="2"/>
        <v>1966.0008</v>
      </c>
      <c r="C908" s="13">
        <v>16383.34</v>
      </c>
      <c r="D908" s="13">
        <f t="shared" ref="D908:E908" si="905">B908/12</f>
        <v>163.8334</v>
      </c>
      <c r="E908" s="13">
        <f t="shared" si="905"/>
        <v>1365.278333</v>
      </c>
      <c r="F908" s="13">
        <v>933.65</v>
      </c>
    </row>
    <row r="909">
      <c r="A909" s="11">
        <v>2.0</v>
      </c>
      <c r="B909" s="12">
        <f t="shared" si="2"/>
        <v>2733.8556</v>
      </c>
      <c r="C909" s="13">
        <v>22782.13</v>
      </c>
      <c r="D909" s="13">
        <f t="shared" ref="D909:E909" si="906">B909/12</f>
        <v>227.8213</v>
      </c>
      <c r="E909" s="13">
        <f t="shared" si="906"/>
        <v>1898.510833</v>
      </c>
      <c r="F909" s="13">
        <v>278.73</v>
      </c>
    </row>
    <row r="910">
      <c r="A910" s="11">
        <v>5.0</v>
      </c>
      <c r="B910" s="12">
        <f t="shared" si="2"/>
        <v>11474.3496</v>
      </c>
      <c r="C910" s="13">
        <v>95619.58</v>
      </c>
      <c r="D910" s="13">
        <f t="shared" ref="D910:E910" si="907">B910/12</f>
        <v>956.1958</v>
      </c>
      <c r="E910" s="13">
        <f t="shared" si="907"/>
        <v>7968.298333</v>
      </c>
      <c r="F910" s="13">
        <v>177.21</v>
      </c>
    </row>
    <row r="911">
      <c r="A911" s="11">
        <v>1.0</v>
      </c>
      <c r="B911" s="12">
        <f t="shared" si="2"/>
        <v>10200.3744</v>
      </c>
      <c r="C911" s="13">
        <v>85003.12</v>
      </c>
      <c r="D911" s="13">
        <f t="shared" ref="D911:E911" si="908">B911/12</f>
        <v>850.0312</v>
      </c>
      <c r="E911" s="13">
        <f t="shared" si="908"/>
        <v>7083.593333</v>
      </c>
      <c r="F911" s="13">
        <v>511.51</v>
      </c>
    </row>
    <row r="912">
      <c r="A912" s="11">
        <v>3.0</v>
      </c>
      <c r="B912" s="12">
        <f t="shared" si="2"/>
        <v>7662.7008</v>
      </c>
      <c r="C912" s="13">
        <v>63855.84</v>
      </c>
      <c r="D912" s="13">
        <f t="shared" ref="D912:E912" si="909">B912/12</f>
        <v>638.5584</v>
      </c>
      <c r="E912" s="13">
        <f t="shared" si="909"/>
        <v>5321.32</v>
      </c>
      <c r="F912" s="13">
        <v>380.38</v>
      </c>
    </row>
    <row r="913">
      <c r="A913" s="11">
        <v>6.0</v>
      </c>
      <c r="B913" s="12">
        <f t="shared" si="2"/>
        <v>5428.4856</v>
      </c>
      <c r="C913" s="13">
        <v>45237.38</v>
      </c>
      <c r="D913" s="13">
        <f t="shared" ref="D913:E913" si="910">B913/12</f>
        <v>452.3738</v>
      </c>
      <c r="E913" s="13">
        <f t="shared" si="910"/>
        <v>3769.781667</v>
      </c>
      <c r="F913" s="13">
        <v>158.96</v>
      </c>
    </row>
    <row r="914">
      <c r="A914" s="11">
        <v>5.0</v>
      </c>
      <c r="B914" s="12">
        <f t="shared" si="2"/>
        <v>1603.7124</v>
      </c>
      <c r="C914" s="13">
        <v>13364.27</v>
      </c>
      <c r="D914" s="13">
        <f t="shared" ref="D914:E914" si="911">B914/12</f>
        <v>133.6427</v>
      </c>
      <c r="E914" s="13">
        <f t="shared" si="911"/>
        <v>1113.689167</v>
      </c>
      <c r="F914" s="13">
        <v>392.89</v>
      </c>
    </row>
    <row r="915">
      <c r="A915" s="11">
        <v>7.0</v>
      </c>
      <c r="B915" s="12">
        <f t="shared" si="2"/>
        <v>9755.6892</v>
      </c>
      <c r="C915" s="13">
        <v>81297.41</v>
      </c>
      <c r="D915" s="13">
        <f t="shared" ref="D915:E915" si="912">B915/12</f>
        <v>812.9741</v>
      </c>
      <c r="E915" s="13">
        <f t="shared" si="912"/>
        <v>6774.784167</v>
      </c>
      <c r="F915" s="13">
        <v>211.91</v>
      </c>
    </row>
    <row r="916">
      <c r="A916" s="11">
        <v>9.0</v>
      </c>
      <c r="B916" s="12">
        <f t="shared" si="2"/>
        <v>5140.8708</v>
      </c>
      <c r="C916" s="13">
        <v>42840.59</v>
      </c>
      <c r="D916" s="13">
        <f t="shared" ref="D916:E916" si="913">B916/12</f>
        <v>428.4059</v>
      </c>
      <c r="E916" s="13">
        <f t="shared" si="913"/>
        <v>3570.049167</v>
      </c>
      <c r="F916" s="13">
        <v>975.96</v>
      </c>
    </row>
    <row r="917">
      <c r="A917" s="11">
        <v>6.0</v>
      </c>
      <c r="B917" s="12">
        <f t="shared" si="2"/>
        <v>11969.5512</v>
      </c>
      <c r="C917" s="13">
        <v>99746.26</v>
      </c>
      <c r="D917" s="13">
        <f t="shared" ref="D917:E917" si="914">B917/12</f>
        <v>997.4626</v>
      </c>
      <c r="E917" s="13">
        <f t="shared" si="914"/>
        <v>8312.188333</v>
      </c>
      <c r="F917" s="13">
        <v>852.16</v>
      </c>
    </row>
    <row r="918">
      <c r="A918" s="11">
        <v>7.0</v>
      </c>
      <c r="B918" s="12">
        <f t="shared" si="2"/>
        <v>611.3016</v>
      </c>
      <c r="C918" s="13">
        <v>5094.18</v>
      </c>
      <c r="D918" s="13">
        <f t="shared" ref="D918:E918" si="915">B918/12</f>
        <v>50.9418</v>
      </c>
      <c r="E918" s="13">
        <f t="shared" si="915"/>
        <v>424.515</v>
      </c>
      <c r="F918" s="13">
        <v>590.15</v>
      </c>
    </row>
    <row r="919">
      <c r="A919" s="11">
        <v>2.0</v>
      </c>
      <c r="B919" s="12">
        <f t="shared" si="2"/>
        <v>92.2536</v>
      </c>
      <c r="C919" s="13">
        <v>768.78</v>
      </c>
      <c r="D919" s="13">
        <f t="shared" ref="D919:E919" si="916">B919/12</f>
        <v>7.6878</v>
      </c>
      <c r="E919" s="13">
        <f t="shared" si="916"/>
        <v>64.065</v>
      </c>
      <c r="F919" s="13">
        <v>830.64</v>
      </c>
    </row>
    <row r="920">
      <c r="A920" s="11">
        <v>8.0</v>
      </c>
      <c r="B920" s="12">
        <f t="shared" si="2"/>
        <v>914.0604</v>
      </c>
      <c r="C920" s="13">
        <v>7617.17</v>
      </c>
      <c r="D920" s="13">
        <f t="shared" ref="D920:E920" si="917">B920/12</f>
        <v>76.1717</v>
      </c>
      <c r="E920" s="13">
        <f t="shared" si="917"/>
        <v>634.7641667</v>
      </c>
      <c r="F920" s="13">
        <v>362.96</v>
      </c>
    </row>
    <row r="921">
      <c r="A921" s="11">
        <v>4.0</v>
      </c>
      <c r="B921" s="12">
        <f t="shared" si="2"/>
        <v>4339.9596</v>
      </c>
      <c r="C921" s="13">
        <v>36166.33</v>
      </c>
      <c r="D921" s="13">
        <f t="shared" ref="D921:E921" si="918">B921/12</f>
        <v>361.6633</v>
      </c>
      <c r="E921" s="13">
        <f t="shared" si="918"/>
        <v>3013.860833</v>
      </c>
      <c r="F921" s="13">
        <v>684.23</v>
      </c>
    </row>
    <row r="922">
      <c r="A922" s="11">
        <v>1.0</v>
      </c>
      <c r="B922" s="12">
        <f t="shared" si="2"/>
        <v>2659.8276</v>
      </c>
      <c r="C922" s="13">
        <v>22165.23</v>
      </c>
      <c r="D922" s="13">
        <f t="shared" ref="D922:E922" si="919">B922/12</f>
        <v>221.6523</v>
      </c>
      <c r="E922" s="13">
        <f t="shared" si="919"/>
        <v>1847.1025</v>
      </c>
      <c r="F922" s="13">
        <v>300.22</v>
      </c>
    </row>
    <row r="923">
      <c r="A923" s="11">
        <v>5.0</v>
      </c>
      <c r="B923" s="12">
        <f t="shared" si="2"/>
        <v>1223.0496</v>
      </c>
      <c r="C923" s="13">
        <v>10192.08</v>
      </c>
      <c r="D923" s="13">
        <f t="shared" ref="D923:E923" si="920">B923/12</f>
        <v>101.9208</v>
      </c>
      <c r="E923" s="13">
        <f t="shared" si="920"/>
        <v>849.34</v>
      </c>
      <c r="F923" s="13">
        <v>712.48</v>
      </c>
    </row>
    <row r="924">
      <c r="A924" s="11">
        <v>1.0</v>
      </c>
      <c r="B924" s="12">
        <f t="shared" si="2"/>
        <v>1740.7872</v>
      </c>
      <c r="C924" s="13">
        <v>14506.56</v>
      </c>
      <c r="D924" s="13">
        <f t="shared" ref="D924:E924" si="921">B924/12</f>
        <v>145.0656</v>
      </c>
      <c r="E924" s="13">
        <f t="shared" si="921"/>
        <v>1208.88</v>
      </c>
      <c r="F924" s="13">
        <v>903.26</v>
      </c>
    </row>
    <row r="925">
      <c r="A925" s="11">
        <v>1.0</v>
      </c>
      <c r="B925" s="12">
        <f t="shared" si="2"/>
        <v>1655.652</v>
      </c>
      <c r="C925" s="13">
        <v>13797.1</v>
      </c>
      <c r="D925" s="13">
        <f t="shared" ref="D925:E925" si="922">B925/12</f>
        <v>137.971</v>
      </c>
      <c r="E925" s="13">
        <f t="shared" si="922"/>
        <v>1149.758333</v>
      </c>
      <c r="F925" s="13">
        <v>619.02</v>
      </c>
    </row>
    <row r="926">
      <c r="A926" s="11">
        <v>2.0</v>
      </c>
      <c r="B926" s="12">
        <f t="shared" si="2"/>
        <v>5890.3356</v>
      </c>
      <c r="C926" s="13">
        <v>49086.13</v>
      </c>
      <c r="D926" s="13">
        <f t="shared" ref="D926:E926" si="923">B926/12</f>
        <v>490.8613</v>
      </c>
      <c r="E926" s="13">
        <f t="shared" si="923"/>
        <v>4090.510833</v>
      </c>
      <c r="F926" s="13">
        <v>472.87</v>
      </c>
    </row>
    <row r="927">
      <c r="A927" s="11">
        <v>4.0</v>
      </c>
      <c r="B927" s="12">
        <f t="shared" si="2"/>
        <v>4599.2928</v>
      </c>
      <c r="C927" s="13">
        <v>38327.44</v>
      </c>
      <c r="D927" s="13">
        <f t="shared" ref="D927:E927" si="924">B927/12</f>
        <v>383.2744</v>
      </c>
      <c r="E927" s="13">
        <f t="shared" si="924"/>
        <v>3193.953333</v>
      </c>
      <c r="F927" s="13">
        <v>260.21</v>
      </c>
    </row>
    <row r="928">
      <c r="A928" s="11">
        <v>4.0</v>
      </c>
      <c r="B928" s="12">
        <f t="shared" si="2"/>
        <v>5065.4328</v>
      </c>
      <c r="C928" s="13">
        <v>42211.94</v>
      </c>
      <c r="D928" s="13">
        <f t="shared" ref="D928:E928" si="925">B928/12</f>
        <v>422.1194</v>
      </c>
      <c r="E928" s="13">
        <f t="shared" si="925"/>
        <v>3517.661667</v>
      </c>
      <c r="F928" s="13">
        <v>241.51</v>
      </c>
    </row>
    <row r="929">
      <c r="A929" s="11">
        <v>9.0</v>
      </c>
      <c r="B929" s="12">
        <f t="shared" si="2"/>
        <v>2801.124</v>
      </c>
      <c r="C929" s="13">
        <v>23342.7</v>
      </c>
      <c r="D929" s="13">
        <f t="shared" ref="D929:E929" si="926">B929/12</f>
        <v>233.427</v>
      </c>
      <c r="E929" s="13">
        <f t="shared" si="926"/>
        <v>1945.225</v>
      </c>
      <c r="F929" s="13">
        <v>421.6</v>
      </c>
    </row>
    <row r="930">
      <c r="A930" s="11">
        <v>1.0</v>
      </c>
      <c r="B930" s="12">
        <f t="shared" si="2"/>
        <v>1528.782</v>
      </c>
      <c r="C930" s="13">
        <v>12739.85</v>
      </c>
      <c r="D930" s="13">
        <f t="shared" ref="D930:E930" si="927">B930/12</f>
        <v>127.3985</v>
      </c>
      <c r="E930" s="13">
        <f t="shared" si="927"/>
        <v>1061.654167</v>
      </c>
      <c r="F930" s="13">
        <v>322.56</v>
      </c>
    </row>
    <row r="931">
      <c r="A931" s="11">
        <v>8.0</v>
      </c>
      <c r="B931" s="12">
        <f t="shared" si="2"/>
        <v>7311.1128</v>
      </c>
      <c r="C931" s="13">
        <v>60925.94</v>
      </c>
      <c r="D931" s="13">
        <f t="shared" ref="D931:E931" si="928">B931/12</f>
        <v>609.2594</v>
      </c>
      <c r="E931" s="13">
        <f t="shared" si="928"/>
        <v>5077.161667</v>
      </c>
      <c r="F931" s="13">
        <v>933.44</v>
      </c>
    </row>
    <row r="932">
      <c r="A932" s="11">
        <v>9.0</v>
      </c>
      <c r="B932" s="12">
        <f t="shared" si="2"/>
        <v>9588.5688</v>
      </c>
      <c r="C932" s="13">
        <v>79904.74</v>
      </c>
      <c r="D932" s="13">
        <f t="shared" ref="D932:E932" si="929">B932/12</f>
        <v>799.0474</v>
      </c>
      <c r="E932" s="13">
        <f t="shared" si="929"/>
        <v>6658.728333</v>
      </c>
      <c r="F932" s="13">
        <v>46.61</v>
      </c>
    </row>
    <row r="933">
      <c r="A933" s="11">
        <v>4.0</v>
      </c>
      <c r="B933" s="12">
        <f t="shared" si="2"/>
        <v>2229.84</v>
      </c>
      <c r="C933" s="13">
        <v>18582.0</v>
      </c>
      <c r="D933" s="13">
        <f t="shared" ref="D933:E933" si="930">B933/12</f>
        <v>185.82</v>
      </c>
      <c r="E933" s="13">
        <f t="shared" si="930"/>
        <v>1548.5</v>
      </c>
      <c r="F933" s="13">
        <v>645.59</v>
      </c>
    </row>
    <row r="934">
      <c r="A934" s="11">
        <v>5.0</v>
      </c>
      <c r="B934" s="12">
        <f t="shared" si="2"/>
        <v>1306.7076</v>
      </c>
      <c r="C934" s="13">
        <v>10889.23</v>
      </c>
      <c r="D934" s="13">
        <f t="shared" ref="D934:E934" si="931">B934/12</f>
        <v>108.8923</v>
      </c>
      <c r="E934" s="13">
        <f t="shared" si="931"/>
        <v>907.4358333</v>
      </c>
      <c r="F934" s="13">
        <v>68.96</v>
      </c>
    </row>
    <row r="935">
      <c r="A935" s="11">
        <v>8.0</v>
      </c>
      <c r="B935" s="12">
        <f t="shared" si="2"/>
        <v>8450.778</v>
      </c>
      <c r="C935" s="13">
        <v>70423.15</v>
      </c>
      <c r="D935" s="13">
        <f t="shared" ref="D935:E935" si="932">B935/12</f>
        <v>704.2315</v>
      </c>
      <c r="E935" s="13">
        <f t="shared" si="932"/>
        <v>5868.595833</v>
      </c>
      <c r="F935" s="13">
        <v>415.08</v>
      </c>
    </row>
    <row r="936">
      <c r="A936" s="11">
        <v>0.0</v>
      </c>
      <c r="B936" s="12">
        <f t="shared" si="2"/>
        <v>5197.8384</v>
      </c>
      <c r="C936" s="13">
        <v>43315.32</v>
      </c>
      <c r="D936" s="13">
        <f t="shared" ref="D936:E936" si="933">B936/12</f>
        <v>433.1532</v>
      </c>
      <c r="E936" s="13">
        <f t="shared" si="933"/>
        <v>3609.61</v>
      </c>
      <c r="F936" s="13">
        <v>312.08</v>
      </c>
    </row>
    <row r="937">
      <c r="A937" s="11">
        <v>3.0</v>
      </c>
      <c r="B937" s="12">
        <f t="shared" si="2"/>
        <v>6477.4044</v>
      </c>
      <c r="C937" s="13">
        <v>53978.37</v>
      </c>
      <c r="D937" s="13">
        <f t="shared" ref="D937:E937" si="934">B937/12</f>
        <v>539.7837</v>
      </c>
      <c r="E937" s="13">
        <f t="shared" si="934"/>
        <v>4498.1975</v>
      </c>
      <c r="F937" s="13">
        <v>973.48</v>
      </c>
    </row>
    <row r="938">
      <c r="A938" s="11">
        <v>6.0</v>
      </c>
      <c r="B938" s="12">
        <f t="shared" si="2"/>
        <v>10713.288</v>
      </c>
      <c r="C938" s="13">
        <v>89277.4</v>
      </c>
      <c r="D938" s="13">
        <f t="shared" ref="D938:E938" si="935">B938/12</f>
        <v>892.774</v>
      </c>
      <c r="E938" s="13">
        <f t="shared" si="935"/>
        <v>7439.783333</v>
      </c>
      <c r="F938" s="13">
        <v>550.47</v>
      </c>
    </row>
    <row r="939">
      <c r="A939" s="11">
        <v>6.0</v>
      </c>
      <c r="B939" s="12">
        <f t="shared" si="2"/>
        <v>1615.9512</v>
      </c>
      <c r="C939" s="13">
        <v>13466.26</v>
      </c>
      <c r="D939" s="13">
        <f t="shared" ref="D939:E939" si="936">B939/12</f>
        <v>134.6626</v>
      </c>
      <c r="E939" s="13">
        <f t="shared" si="936"/>
        <v>1122.188333</v>
      </c>
      <c r="F939" s="13">
        <v>289.81</v>
      </c>
    </row>
    <row r="940">
      <c r="A940" s="11">
        <v>8.0</v>
      </c>
      <c r="B940" s="12">
        <f t="shared" si="2"/>
        <v>7558.0692</v>
      </c>
      <c r="C940" s="13">
        <v>62983.91</v>
      </c>
      <c r="D940" s="13">
        <f t="shared" ref="D940:E940" si="937">B940/12</f>
        <v>629.8391</v>
      </c>
      <c r="E940" s="13">
        <f t="shared" si="937"/>
        <v>5248.659167</v>
      </c>
      <c r="F940" s="13">
        <v>945.52</v>
      </c>
    </row>
    <row r="941">
      <c r="A941" s="11">
        <v>1.0</v>
      </c>
      <c r="B941" s="12">
        <f t="shared" si="2"/>
        <v>11415.426</v>
      </c>
      <c r="C941" s="13">
        <v>95128.55</v>
      </c>
      <c r="D941" s="13">
        <f t="shared" ref="D941:E941" si="938">B941/12</f>
        <v>951.2855</v>
      </c>
      <c r="E941" s="13">
        <f t="shared" si="938"/>
        <v>7927.379167</v>
      </c>
      <c r="F941" s="13">
        <v>818.26</v>
      </c>
    </row>
    <row r="942">
      <c r="A942" s="11">
        <v>5.0</v>
      </c>
      <c r="B942" s="12">
        <f t="shared" si="2"/>
        <v>8095.0344</v>
      </c>
      <c r="C942" s="13">
        <v>67458.62</v>
      </c>
      <c r="D942" s="13">
        <f t="shared" ref="D942:E942" si="939">B942/12</f>
        <v>674.5862</v>
      </c>
      <c r="E942" s="13">
        <f t="shared" si="939"/>
        <v>5621.551667</v>
      </c>
      <c r="F942" s="13">
        <v>102.44</v>
      </c>
    </row>
    <row r="943">
      <c r="A943" s="11">
        <v>8.0</v>
      </c>
      <c r="B943" s="12">
        <f t="shared" si="2"/>
        <v>6128.652</v>
      </c>
      <c r="C943" s="13">
        <v>51072.1</v>
      </c>
      <c r="D943" s="13">
        <f t="shared" ref="D943:E943" si="940">B943/12</f>
        <v>510.721</v>
      </c>
      <c r="E943" s="13">
        <f t="shared" si="940"/>
        <v>4256.008333</v>
      </c>
      <c r="F943" s="13">
        <v>679.81</v>
      </c>
    </row>
    <row r="944">
      <c r="A944" s="11">
        <v>0.0</v>
      </c>
      <c r="B944" s="12">
        <f t="shared" si="2"/>
        <v>10516.806</v>
      </c>
      <c r="C944" s="13">
        <v>87640.05</v>
      </c>
      <c r="D944" s="13">
        <f t="shared" ref="D944:E944" si="941">B944/12</f>
        <v>876.4005</v>
      </c>
      <c r="E944" s="13">
        <f t="shared" si="941"/>
        <v>7303.3375</v>
      </c>
      <c r="F944" s="13">
        <v>352.82</v>
      </c>
    </row>
    <row r="945">
      <c r="A945" s="11">
        <v>2.0</v>
      </c>
      <c r="B945" s="12">
        <f t="shared" si="2"/>
        <v>11213.2848</v>
      </c>
      <c r="C945" s="13">
        <v>93444.04</v>
      </c>
      <c r="D945" s="13">
        <f t="shared" ref="D945:E945" si="942">B945/12</f>
        <v>934.4404</v>
      </c>
      <c r="E945" s="13">
        <f t="shared" si="942"/>
        <v>7787.003333</v>
      </c>
      <c r="F945" s="13">
        <v>440.02</v>
      </c>
    </row>
    <row r="946">
      <c r="A946" s="11">
        <v>8.0</v>
      </c>
      <c r="B946" s="12">
        <f t="shared" si="2"/>
        <v>497.1456</v>
      </c>
      <c r="C946" s="13">
        <v>4142.88</v>
      </c>
      <c r="D946" s="13">
        <f t="shared" ref="D946:E946" si="943">B946/12</f>
        <v>41.4288</v>
      </c>
      <c r="E946" s="13">
        <f t="shared" si="943"/>
        <v>345.24</v>
      </c>
      <c r="F946" s="13">
        <v>618.26</v>
      </c>
    </row>
    <row r="947">
      <c r="A947" s="11">
        <v>1.0</v>
      </c>
      <c r="B947" s="12">
        <f t="shared" si="2"/>
        <v>11154.4188</v>
      </c>
      <c r="C947" s="13">
        <v>92953.49</v>
      </c>
      <c r="D947" s="13">
        <f t="shared" ref="D947:E947" si="944">B947/12</f>
        <v>929.5349</v>
      </c>
      <c r="E947" s="13">
        <f t="shared" si="944"/>
        <v>7746.124167</v>
      </c>
      <c r="F947" s="13">
        <v>315.8</v>
      </c>
    </row>
    <row r="948">
      <c r="A948" s="11">
        <v>3.0</v>
      </c>
      <c r="B948" s="12">
        <f t="shared" si="2"/>
        <v>5395.1784</v>
      </c>
      <c r="C948" s="13">
        <v>44959.82</v>
      </c>
      <c r="D948" s="13">
        <f t="shared" ref="D948:E948" si="945">B948/12</f>
        <v>449.5982</v>
      </c>
      <c r="E948" s="13">
        <f t="shared" si="945"/>
        <v>3746.651667</v>
      </c>
      <c r="F948" s="13">
        <v>652.14</v>
      </c>
    </row>
    <row r="949">
      <c r="A949" s="11">
        <v>3.0</v>
      </c>
      <c r="B949" s="12">
        <f t="shared" si="2"/>
        <v>10904.5332</v>
      </c>
      <c r="C949" s="13">
        <v>90871.11</v>
      </c>
      <c r="D949" s="13">
        <f t="shared" ref="D949:E949" si="946">B949/12</f>
        <v>908.7111</v>
      </c>
      <c r="E949" s="13">
        <f t="shared" si="946"/>
        <v>7572.5925</v>
      </c>
      <c r="F949" s="13">
        <v>827.75</v>
      </c>
    </row>
    <row r="950">
      <c r="A950" s="11">
        <v>9.0</v>
      </c>
      <c r="B950" s="12">
        <f t="shared" si="2"/>
        <v>9418.0296</v>
      </c>
      <c r="C950" s="13">
        <v>78483.58</v>
      </c>
      <c r="D950" s="13">
        <f t="shared" ref="D950:E950" si="947">B950/12</f>
        <v>784.8358</v>
      </c>
      <c r="E950" s="13">
        <f t="shared" si="947"/>
        <v>6540.298333</v>
      </c>
      <c r="F950" s="13">
        <v>121.7</v>
      </c>
    </row>
    <row r="951">
      <c r="A951" s="11">
        <v>8.0</v>
      </c>
      <c r="B951" s="12">
        <f t="shared" si="2"/>
        <v>3408.546</v>
      </c>
      <c r="C951" s="13">
        <v>28404.55</v>
      </c>
      <c r="D951" s="13">
        <f t="shared" ref="D951:E951" si="948">B951/12</f>
        <v>284.0455</v>
      </c>
      <c r="E951" s="13">
        <f t="shared" si="948"/>
        <v>2367.045833</v>
      </c>
      <c r="F951" s="13">
        <v>832.52</v>
      </c>
    </row>
    <row r="952">
      <c r="A952" s="11">
        <v>5.0</v>
      </c>
      <c r="B952" s="12">
        <f t="shared" si="2"/>
        <v>8871.9972</v>
      </c>
      <c r="C952" s="13">
        <v>73933.31</v>
      </c>
      <c r="D952" s="13">
        <f t="shared" ref="D952:E952" si="949">B952/12</f>
        <v>739.3331</v>
      </c>
      <c r="E952" s="13">
        <f t="shared" si="949"/>
        <v>6161.109167</v>
      </c>
      <c r="F952" s="13">
        <v>821.6</v>
      </c>
    </row>
    <row r="953">
      <c r="A953" s="11">
        <v>9.0</v>
      </c>
      <c r="B953" s="12">
        <f t="shared" si="2"/>
        <v>7292.214</v>
      </c>
      <c r="C953" s="13">
        <v>60768.45</v>
      </c>
      <c r="D953" s="13">
        <f t="shared" ref="D953:E953" si="950">B953/12</f>
        <v>607.6845</v>
      </c>
      <c r="E953" s="13">
        <f t="shared" si="950"/>
        <v>5064.0375</v>
      </c>
      <c r="F953" s="13">
        <v>342.22</v>
      </c>
    </row>
    <row r="954">
      <c r="A954" s="11">
        <v>5.0</v>
      </c>
      <c r="B954" s="12">
        <f t="shared" si="2"/>
        <v>6028.9176</v>
      </c>
      <c r="C954" s="13">
        <v>50240.98</v>
      </c>
      <c r="D954" s="13">
        <f t="shared" ref="D954:E954" si="951">B954/12</f>
        <v>502.4098</v>
      </c>
      <c r="E954" s="13">
        <f t="shared" si="951"/>
        <v>4186.748333</v>
      </c>
      <c r="F954" s="13">
        <v>524.16</v>
      </c>
    </row>
    <row r="955">
      <c r="A955" s="11">
        <v>5.0</v>
      </c>
      <c r="B955" s="12">
        <f t="shared" si="2"/>
        <v>11345.148</v>
      </c>
      <c r="C955" s="13">
        <v>94542.9</v>
      </c>
      <c r="D955" s="13">
        <f t="shared" ref="D955:E955" si="952">B955/12</f>
        <v>945.429</v>
      </c>
      <c r="E955" s="13">
        <f t="shared" si="952"/>
        <v>7878.575</v>
      </c>
      <c r="F955" s="13">
        <v>881.71</v>
      </c>
    </row>
    <row r="956">
      <c r="A956" s="11">
        <v>1.0</v>
      </c>
      <c r="B956" s="12">
        <f t="shared" si="2"/>
        <v>2608.0212</v>
      </c>
      <c r="C956" s="13">
        <v>21733.51</v>
      </c>
      <c r="D956" s="13">
        <f t="shared" ref="D956:E956" si="953">B956/12</f>
        <v>217.3351</v>
      </c>
      <c r="E956" s="13">
        <f t="shared" si="953"/>
        <v>1811.125833</v>
      </c>
      <c r="F956" s="13">
        <v>75.14</v>
      </c>
    </row>
    <row r="957">
      <c r="A957" s="11">
        <v>0.0</v>
      </c>
      <c r="B957" s="12">
        <f t="shared" si="2"/>
        <v>2645.73</v>
      </c>
      <c r="C957" s="13">
        <v>22047.75</v>
      </c>
      <c r="D957" s="13">
        <f t="shared" ref="D957:E957" si="954">B957/12</f>
        <v>220.4775</v>
      </c>
      <c r="E957" s="13">
        <f t="shared" si="954"/>
        <v>1837.3125</v>
      </c>
      <c r="F957" s="13">
        <v>369.97</v>
      </c>
    </row>
    <row r="958">
      <c r="A958" s="11">
        <v>4.0</v>
      </c>
      <c r="B958" s="12">
        <f t="shared" si="2"/>
        <v>8887.854</v>
      </c>
      <c r="C958" s="13">
        <v>74065.45</v>
      </c>
      <c r="D958" s="13">
        <f t="shared" ref="D958:E958" si="955">B958/12</f>
        <v>740.6545</v>
      </c>
      <c r="E958" s="13">
        <f t="shared" si="955"/>
        <v>6172.120833</v>
      </c>
      <c r="F958" s="13">
        <v>588.03</v>
      </c>
    </row>
    <row r="959">
      <c r="A959" s="11">
        <v>4.0</v>
      </c>
      <c r="B959" s="12">
        <f t="shared" si="2"/>
        <v>3174.3048</v>
      </c>
      <c r="C959" s="13">
        <v>26452.54</v>
      </c>
      <c r="D959" s="13">
        <f t="shared" ref="D959:E959" si="956">B959/12</f>
        <v>264.5254</v>
      </c>
      <c r="E959" s="13">
        <f t="shared" si="956"/>
        <v>2204.378333</v>
      </c>
      <c r="F959" s="13">
        <v>303.85</v>
      </c>
    </row>
    <row r="960">
      <c r="A960" s="11">
        <v>0.0</v>
      </c>
      <c r="B960" s="12">
        <f t="shared" si="2"/>
        <v>2833.7088</v>
      </c>
      <c r="C960" s="13">
        <v>23614.24</v>
      </c>
      <c r="D960" s="13">
        <f t="shared" ref="D960:E960" si="957">B960/12</f>
        <v>236.1424</v>
      </c>
      <c r="E960" s="13">
        <f t="shared" si="957"/>
        <v>1967.853333</v>
      </c>
      <c r="F960" s="13">
        <v>608.36</v>
      </c>
    </row>
    <row r="961">
      <c r="A961" s="11">
        <v>4.0</v>
      </c>
      <c r="B961" s="12">
        <f t="shared" si="2"/>
        <v>6036.8676</v>
      </c>
      <c r="C961" s="13">
        <v>50307.23</v>
      </c>
      <c r="D961" s="13">
        <f t="shared" ref="D961:E961" si="958">B961/12</f>
        <v>503.0723</v>
      </c>
      <c r="E961" s="13">
        <f t="shared" si="958"/>
        <v>4192.269167</v>
      </c>
      <c r="F961" s="13">
        <v>510.83</v>
      </c>
    </row>
    <row r="962">
      <c r="A962" s="11">
        <v>7.0</v>
      </c>
      <c r="B962" s="12">
        <f t="shared" si="2"/>
        <v>8548.2732</v>
      </c>
      <c r="C962" s="13">
        <v>71235.61</v>
      </c>
      <c r="D962" s="13">
        <f t="shared" ref="D962:E962" si="959">B962/12</f>
        <v>712.3561</v>
      </c>
      <c r="E962" s="13">
        <f t="shared" si="959"/>
        <v>5936.300833</v>
      </c>
      <c r="F962" s="13">
        <v>550.35</v>
      </c>
    </row>
    <row r="963">
      <c r="A963" s="11">
        <v>9.0</v>
      </c>
      <c r="B963" s="12">
        <f t="shared" si="2"/>
        <v>11536.5072</v>
      </c>
      <c r="C963" s="13">
        <v>96137.56</v>
      </c>
      <c r="D963" s="13">
        <f t="shared" ref="D963:E963" si="960">B963/12</f>
        <v>961.3756</v>
      </c>
      <c r="E963" s="13">
        <f t="shared" si="960"/>
        <v>8011.463333</v>
      </c>
      <c r="F963" s="13">
        <v>633.88</v>
      </c>
    </row>
    <row r="964">
      <c r="A964" s="11">
        <v>0.0</v>
      </c>
      <c r="B964" s="12">
        <f t="shared" si="2"/>
        <v>836.2464</v>
      </c>
      <c r="C964" s="13">
        <v>6968.72</v>
      </c>
      <c r="D964" s="13">
        <f t="shared" ref="D964:E964" si="961">B964/12</f>
        <v>69.6872</v>
      </c>
      <c r="E964" s="13">
        <f t="shared" si="961"/>
        <v>580.7266667</v>
      </c>
      <c r="F964" s="13">
        <v>361.74</v>
      </c>
    </row>
    <row r="965">
      <c r="A965" s="11">
        <v>1.0</v>
      </c>
      <c r="B965" s="12">
        <f t="shared" si="2"/>
        <v>8000.8872</v>
      </c>
      <c r="C965" s="13">
        <v>66674.06</v>
      </c>
      <c r="D965" s="13">
        <f t="shared" ref="D965:E965" si="962">B965/12</f>
        <v>666.7406</v>
      </c>
      <c r="E965" s="13">
        <f t="shared" si="962"/>
        <v>5556.171667</v>
      </c>
      <c r="F965" s="13">
        <v>339.6</v>
      </c>
    </row>
    <row r="966">
      <c r="A966" s="11">
        <v>1.0</v>
      </c>
      <c r="B966" s="12">
        <f t="shared" si="2"/>
        <v>4546.6776</v>
      </c>
      <c r="C966" s="13">
        <v>37888.98</v>
      </c>
      <c r="D966" s="13">
        <f t="shared" ref="D966:E966" si="963">B966/12</f>
        <v>378.8898</v>
      </c>
      <c r="E966" s="13">
        <f t="shared" si="963"/>
        <v>3157.415</v>
      </c>
      <c r="F966" s="13">
        <v>967.6</v>
      </c>
    </row>
    <row r="967">
      <c r="A967" s="11">
        <v>5.0</v>
      </c>
      <c r="B967" s="12">
        <f t="shared" si="2"/>
        <v>2595.786</v>
      </c>
      <c r="C967" s="13">
        <v>21631.55</v>
      </c>
      <c r="D967" s="13">
        <f t="shared" ref="D967:E967" si="964">B967/12</f>
        <v>216.3155</v>
      </c>
      <c r="E967" s="13">
        <f t="shared" si="964"/>
        <v>1802.629167</v>
      </c>
      <c r="F967" s="13">
        <v>314.78</v>
      </c>
    </row>
    <row r="968">
      <c r="A968" s="11">
        <v>1.0</v>
      </c>
      <c r="B968" s="12">
        <f t="shared" si="2"/>
        <v>5531.3076</v>
      </c>
      <c r="C968" s="13">
        <v>46094.23</v>
      </c>
      <c r="D968" s="13">
        <f t="shared" ref="D968:E968" si="965">B968/12</f>
        <v>460.9423</v>
      </c>
      <c r="E968" s="13">
        <f t="shared" si="965"/>
        <v>3841.185833</v>
      </c>
      <c r="F968" s="13">
        <v>480.55</v>
      </c>
    </row>
    <row r="969">
      <c r="A969" s="11">
        <v>5.0</v>
      </c>
      <c r="B969" s="12">
        <f t="shared" si="2"/>
        <v>10450.4544</v>
      </c>
      <c r="C969" s="13">
        <v>87087.12</v>
      </c>
      <c r="D969" s="13">
        <f t="shared" ref="D969:E969" si="966">B969/12</f>
        <v>870.8712</v>
      </c>
      <c r="E969" s="13">
        <f t="shared" si="966"/>
        <v>7257.26</v>
      </c>
      <c r="F969" s="13">
        <v>228.31</v>
      </c>
    </row>
    <row r="970">
      <c r="A970" s="11">
        <v>8.0</v>
      </c>
      <c r="B970" s="12">
        <f t="shared" si="2"/>
        <v>5484.48</v>
      </c>
      <c r="C970" s="13">
        <v>45704.0</v>
      </c>
      <c r="D970" s="13">
        <f t="shared" ref="D970:E970" si="967">B970/12</f>
        <v>457.04</v>
      </c>
      <c r="E970" s="13">
        <f t="shared" si="967"/>
        <v>3808.666667</v>
      </c>
      <c r="F970" s="13">
        <v>519.65</v>
      </c>
    </row>
    <row r="971">
      <c r="A971" s="11">
        <v>2.0</v>
      </c>
      <c r="B971" s="12">
        <f t="shared" si="2"/>
        <v>5700.9012</v>
      </c>
      <c r="C971" s="13">
        <v>47507.51</v>
      </c>
      <c r="D971" s="13">
        <f t="shared" ref="D971:E971" si="968">B971/12</f>
        <v>475.0751</v>
      </c>
      <c r="E971" s="13">
        <f t="shared" si="968"/>
        <v>3958.959167</v>
      </c>
      <c r="F971" s="13">
        <v>269.39</v>
      </c>
    </row>
    <row r="972">
      <c r="A972" s="11">
        <v>8.0</v>
      </c>
      <c r="B972" s="12">
        <f t="shared" si="2"/>
        <v>5573.3772</v>
      </c>
      <c r="C972" s="13">
        <v>46444.81</v>
      </c>
      <c r="D972" s="13">
        <f t="shared" ref="D972:E972" si="969">B972/12</f>
        <v>464.4481</v>
      </c>
      <c r="E972" s="13">
        <f t="shared" si="969"/>
        <v>3870.400833</v>
      </c>
      <c r="F972" s="13">
        <v>459.14</v>
      </c>
    </row>
    <row r="973">
      <c r="A973" s="11">
        <v>7.0</v>
      </c>
      <c r="B973" s="12">
        <f t="shared" si="2"/>
        <v>6343.182</v>
      </c>
      <c r="C973" s="13">
        <v>52859.85</v>
      </c>
      <c r="D973" s="13">
        <f t="shared" ref="D973:E973" si="970">B973/12</f>
        <v>528.5985</v>
      </c>
      <c r="E973" s="13">
        <f t="shared" si="970"/>
        <v>4404.9875</v>
      </c>
      <c r="F973" s="13">
        <v>932.91</v>
      </c>
    </row>
    <row r="974">
      <c r="A974" s="11">
        <v>5.0</v>
      </c>
      <c r="B974" s="12">
        <f t="shared" si="2"/>
        <v>2866.0896</v>
      </c>
      <c r="C974" s="13">
        <v>23884.08</v>
      </c>
      <c r="D974" s="13">
        <f t="shared" ref="D974:E974" si="971">B974/12</f>
        <v>238.8408</v>
      </c>
      <c r="E974" s="13">
        <f t="shared" si="971"/>
        <v>1990.34</v>
      </c>
      <c r="F974" s="13">
        <v>65.46</v>
      </c>
    </row>
    <row r="975">
      <c r="A975" s="11">
        <v>2.0</v>
      </c>
      <c r="B975" s="12">
        <f t="shared" si="2"/>
        <v>9524.1924</v>
      </c>
      <c r="C975" s="13">
        <v>79368.27</v>
      </c>
      <c r="D975" s="13">
        <f t="shared" ref="D975:E975" si="972">B975/12</f>
        <v>793.6827</v>
      </c>
      <c r="E975" s="13">
        <f t="shared" si="972"/>
        <v>6614.0225</v>
      </c>
      <c r="F975" s="13">
        <v>234.08</v>
      </c>
    </row>
    <row r="976">
      <c r="A976" s="11">
        <v>3.0</v>
      </c>
      <c r="B976" s="12">
        <f t="shared" si="2"/>
        <v>7307.8476</v>
      </c>
      <c r="C976" s="13">
        <v>60898.73</v>
      </c>
      <c r="D976" s="13">
        <f t="shared" ref="D976:E976" si="973">B976/12</f>
        <v>608.9873</v>
      </c>
      <c r="E976" s="13">
        <f t="shared" si="973"/>
        <v>5074.894167</v>
      </c>
      <c r="F976" s="13">
        <v>679.69</v>
      </c>
    </row>
    <row r="977">
      <c r="A977" s="11">
        <v>6.0</v>
      </c>
      <c r="B977" s="12">
        <f t="shared" si="2"/>
        <v>10605.2052</v>
      </c>
      <c r="C977" s="13">
        <v>88376.71</v>
      </c>
      <c r="D977" s="13">
        <f t="shared" ref="D977:E977" si="974">B977/12</f>
        <v>883.7671</v>
      </c>
      <c r="E977" s="13">
        <f t="shared" si="974"/>
        <v>7364.725833</v>
      </c>
      <c r="F977" s="13">
        <v>503.84</v>
      </c>
    </row>
    <row r="978">
      <c r="A978" s="11">
        <v>0.0</v>
      </c>
      <c r="B978" s="12">
        <f t="shared" si="2"/>
        <v>11021.2884</v>
      </c>
      <c r="C978" s="13">
        <v>91844.07</v>
      </c>
      <c r="D978" s="13">
        <f t="shared" ref="D978:E978" si="975">B978/12</f>
        <v>918.4407</v>
      </c>
      <c r="E978" s="13">
        <f t="shared" si="975"/>
        <v>7653.6725</v>
      </c>
      <c r="F978" s="13">
        <v>417.06</v>
      </c>
    </row>
    <row r="979">
      <c r="A979" s="11">
        <v>7.0</v>
      </c>
      <c r="B979" s="12">
        <f t="shared" si="2"/>
        <v>3787.9956</v>
      </c>
      <c r="C979" s="13">
        <v>31566.63</v>
      </c>
      <c r="D979" s="13">
        <f t="shared" ref="D979:E979" si="976">B979/12</f>
        <v>315.6663</v>
      </c>
      <c r="E979" s="13">
        <f t="shared" si="976"/>
        <v>2630.5525</v>
      </c>
      <c r="F979" s="13">
        <v>462.21</v>
      </c>
    </row>
    <row r="980">
      <c r="A980" s="11">
        <v>1.0</v>
      </c>
      <c r="B980" s="12">
        <f t="shared" si="2"/>
        <v>5432.7144</v>
      </c>
      <c r="C980" s="13">
        <v>45272.62</v>
      </c>
      <c r="D980" s="13">
        <f t="shared" ref="D980:E980" si="977">B980/12</f>
        <v>452.7262</v>
      </c>
      <c r="E980" s="13">
        <f t="shared" si="977"/>
        <v>3772.718333</v>
      </c>
      <c r="F980" s="13">
        <v>538.95</v>
      </c>
    </row>
    <row r="981">
      <c r="A981" s="11">
        <v>8.0</v>
      </c>
      <c r="B981" s="12">
        <f t="shared" si="2"/>
        <v>7063.1064</v>
      </c>
      <c r="C981" s="13">
        <v>58859.22</v>
      </c>
      <c r="D981" s="13">
        <f t="shared" ref="D981:E981" si="978">B981/12</f>
        <v>588.5922</v>
      </c>
      <c r="E981" s="13">
        <f t="shared" si="978"/>
        <v>4904.935</v>
      </c>
      <c r="F981" s="13">
        <v>67.16</v>
      </c>
    </row>
    <row r="982">
      <c r="A982" s="11">
        <v>9.0</v>
      </c>
      <c r="B982" s="12">
        <f t="shared" si="2"/>
        <v>1749.3648</v>
      </c>
      <c r="C982" s="13">
        <v>14578.04</v>
      </c>
      <c r="D982" s="13">
        <f t="shared" ref="D982:E982" si="979">B982/12</f>
        <v>145.7804</v>
      </c>
      <c r="E982" s="13">
        <f t="shared" si="979"/>
        <v>1214.836667</v>
      </c>
      <c r="F982" s="13">
        <v>169.55</v>
      </c>
    </row>
    <row r="983">
      <c r="A983" s="11">
        <v>3.0</v>
      </c>
      <c r="B983" s="12">
        <f t="shared" si="2"/>
        <v>3756.3168</v>
      </c>
      <c r="C983" s="13">
        <v>31302.64</v>
      </c>
      <c r="D983" s="13">
        <f t="shared" ref="D983:E983" si="980">B983/12</f>
        <v>313.0264</v>
      </c>
      <c r="E983" s="13">
        <f t="shared" si="980"/>
        <v>2608.553333</v>
      </c>
      <c r="F983" s="13">
        <v>678.95</v>
      </c>
    </row>
    <row r="984">
      <c r="A984" s="11">
        <v>2.0</v>
      </c>
      <c r="B984" s="12">
        <f t="shared" si="2"/>
        <v>5557.1244</v>
      </c>
      <c r="C984" s="13">
        <v>46309.37</v>
      </c>
      <c r="D984" s="13">
        <f t="shared" ref="D984:E984" si="981">B984/12</f>
        <v>463.0937</v>
      </c>
      <c r="E984" s="13">
        <f t="shared" si="981"/>
        <v>3859.114167</v>
      </c>
      <c r="F984" s="13">
        <v>230.68</v>
      </c>
    </row>
    <row r="985">
      <c r="A985" s="11">
        <v>3.0</v>
      </c>
      <c r="B985" s="12">
        <f t="shared" si="2"/>
        <v>8304.9192</v>
      </c>
      <c r="C985" s="13">
        <v>69207.66</v>
      </c>
      <c r="D985" s="13">
        <f t="shared" ref="D985:E985" si="982">B985/12</f>
        <v>692.0766</v>
      </c>
      <c r="E985" s="13">
        <f t="shared" si="982"/>
        <v>5767.305</v>
      </c>
      <c r="F985" s="13">
        <v>139.88</v>
      </c>
    </row>
    <row r="986">
      <c r="A986" s="11">
        <v>8.0</v>
      </c>
      <c r="B986" s="12">
        <f t="shared" si="2"/>
        <v>10907.106</v>
      </c>
      <c r="C986" s="13">
        <v>90892.55</v>
      </c>
      <c r="D986" s="13">
        <f t="shared" ref="D986:E986" si="983">B986/12</f>
        <v>908.9255</v>
      </c>
      <c r="E986" s="13">
        <f t="shared" si="983"/>
        <v>7574.379167</v>
      </c>
      <c r="F986" s="13">
        <v>355.03</v>
      </c>
    </row>
    <row r="987">
      <c r="A987" s="11">
        <v>7.0</v>
      </c>
      <c r="B987" s="12">
        <f t="shared" si="2"/>
        <v>478.2984</v>
      </c>
      <c r="C987" s="13">
        <v>3985.82</v>
      </c>
      <c r="D987" s="13">
        <f t="shared" ref="D987:E987" si="984">B987/12</f>
        <v>39.8582</v>
      </c>
      <c r="E987" s="13">
        <f t="shared" si="984"/>
        <v>332.1516667</v>
      </c>
      <c r="F987" s="13">
        <v>13.83</v>
      </c>
    </row>
    <row r="988">
      <c r="A988" s="11">
        <v>0.0</v>
      </c>
      <c r="B988" s="12">
        <f t="shared" si="2"/>
        <v>9525.1416</v>
      </c>
      <c r="C988" s="13">
        <v>79376.18</v>
      </c>
      <c r="D988" s="13">
        <f t="shared" ref="D988:E988" si="985">B988/12</f>
        <v>793.7618</v>
      </c>
      <c r="E988" s="13">
        <f t="shared" si="985"/>
        <v>6614.681667</v>
      </c>
      <c r="F988" s="13">
        <v>122.21</v>
      </c>
    </row>
    <row r="989">
      <c r="A989" s="11">
        <v>7.0</v>
      </c>
      <c r="B989" s="12">
        <f t="shared" si="2"/>
        <v>8002.8324</v>
      </c>
      <c r="C989" s="13">
        <v>66690.27</v>
      </c>
      <c r="D989" s="13">
        <f t="shared" ref="D989:E989" si="986">B989/12</f>
        <v>666.9027</v>
      </c>
      <c r="E989" s="13">
        <f t="shared" si="986"/>
        <v>5557.5225</v>
      </c>
      <c r="F989" s="13">
        <v>803.31</v>
      </c>
    </row>
    <row r="990">
      <c r="A990" s="11">
        <v>1.0</v>
      </c>
      <c r="B990" s="12">
        <f t="shared" si="2"/>
        <v>1295.406</v>
      </c>
      <c r="C990" s="13">
        <v>10795.05</v>
      </c>
      <c r="D990" s="13">
        <f t="shared" ref="D990:E990" si="987">B990/12</f>
        <v>107.9505</v>
      </c>
      <c r="E990" s="13">
        <f t="shared" si="987"/>
        <v>899.5875</v>
      </c>
      <c r="F990" s="13">
        <v>924.71</v>
      </c>
    </row>
    <row r="991">
      <c r="A991" s="11">
        <v>5.0</v>
      </c>
      <c r="B991" s="12">
        <f t="shared" si="2"/>
        <v>2122.4052</v>
      </c>
      <c r="C991" s="13">
        <v>17686.71</v>
      </c>
      <c r="D991" s="13">
        <f t="shared" ref="D991:E991" si="988">B991/12</f>
        <v>176.8671</v>
      </c>
      <c r="E991" s="13">
        <f t="shared" si="988"/>
        <v>1473.8925</v>
      </c>
      <c r="F991" s="13">
        <v>594.94</v>
      </c>
    </row>
    <row r="992">
      <c r="A992" s="11">
        <v>6.0</v>
      </c>
      <c r="B992" s="12">
        <f t="shared" si="2"/>
        <v>5281.7136</v>
      </c>
      <c r="C992" s="13">
        <v>44014.28</v>
      </c>
      <c r="D992" s="13">
        <f t="shared" ref="D992:E992" si="989">B992/12</f>
        <v>440.1428</v>
      </c>
      <c r="E992" s="13">
        <f t="shared" si="989"/>
        <v>3667.856667</v>
      </c>
      <c r="F992" s="13">
        <v>271.78</v>
      </c>
    </row>
    <row r="993">
      <c r="A993" s="11">
        <v>2.0</v>
      </c>
      <c r="B993" s="12">
        <f t="shared" si="2"/>
        <v>7393.2528</v>
      </c>
      <c r="C993" s="13">
        <v>61610.44</v>
      </c>
      <c r="D993" s="13">
        <f t="shared" ref="D993:E993" si="990">B993/12</f>
        <v>616.1044</v>
      </c>
      <c r="E993" s="13">
        <f t="shared" si="990"/>
        <v>5134.203333</v>
      </c>
      <c r="F993" s="13">
        <v>78.35</v>
      </c>
    </row>
    <row r="994">
      <c r="A994" s="11">
        <v>8.0</v>
      </c>
      <c r="B994" s="12">
        <f t="shared" si="2"/>
        <v>7958.5464</v>
      </c>
      <c r="C994" s="13">
        <v>66321.22</v>
      </c>
      <c r="D994" s="13">
        <f t="shared" ref="D994:E994" si="991">B994/12</f>
        <v>663.2122</v>
      </c>
      <c r="E994" s="13">
        <f t="shared" si="991"/>
        <v>5526.768333</v>
      </c>
      <c r="F994" s="13">
        <v>630.96</v>
      </c>
    </row>
    <row r="995">
      <c r="A995" s="11">
        <v>6.0</v>
      </c>
      <c r="B995" s="12">
        <f t="shared" si="2"/>
        <v>10596.5124</v>
      </c>
      <c r="C995" s="13">
        <v>88304.27</v>
      </c>
      <c r="D995" s="13">
        <f t="shared" ref="D995:E995" si="992">B995/12</f>
        <v>883.0427</v>
      </c>
      <c r="E995" s="13">
        <f t="shared" si="992"/>
        <v>7358.689167</v>
      </c>
      <c r="F995" s="13">
        <v>540.49</v>
      </c>
    </row>
    <row r="996">
      <c r="A996" s="11">
        <v>4.0</v>
      </c>
      <c r="B996" s="12">
        <f t="shared" si="2"/>
        <v>5609.8044</v>
      </c>
      <c r="C996" s="13">
        <v>46748.37</v>
      </c>
      <c r="D996" s="13">
        <f t="shared" ref="D996:E996" si="993">B996/12</f>
        <v>467.4837</v>
      </c>
      <c r="E996" s="13">
        <f t="shared" si="993"/>
        <v>3895.6975</v>
      </c>
      <c r="F996" s="13">
        <v>542.13</v>
      </c>
    </row>
    <row r="997">
      <c r="A997" s="11">
        <v>3.0</v>
      </c>
      <c r="B997" s="12">
        <f t="shared" si="2"/>
        <v>3389.8116</v>
      </c>
      <c r="C997" s="13">
        <v>28248.43</v>
      </c>
      <c r="D997" s="13">
        <f t="shared" ref="D997:E997" si="994">B997/12</f>
        <v>282.4843</v>
      </c>
      <c r="E997" s="13">
        <f t="shared" si="994"/>
        <v>2354.035833</v>
      </c>
      <c r="F997" s="13">
        <v>845.3</v>
      </c>
    </row>
    <row r="998">
      <c r="A998" s="11">
        <v>3.0</v>
      </c>
      <c r="B998" s="12">
        <f t="shared" si="2"/>
        <v>9448.2132</v>
      </c>
      <c r="C998" s="13">
        <v>78735.11</v>
      </c>
      <c r="D998" s="13">
        <f t="shared" ref="D998:E998" si="995">B998/12</f>
        <v>787.3511</v>
      </c>
      <c r="E998" s="13">
        <f t="shared" si="995"/>
        <v>6561.259167</v>
      </c>
      <c r="F998" s="13">
        <v>283.68</v>
      </c>
    </row>
    <row r="999">
      <c r="A999" s="11">
        <v>7.0</v>
      </c>
      <c r="B999" s="12">
        <f t="shared" si="2"/>
        <v>7580.316</v>
      </c>
      <c r="C999" s="13">
        <v>63169.3</v>
      </c>
      <c r="D999" s="13">
        <f t="shared" ref="D999:E999" si="996">B999/12</f>
        <v>631.693</v>
      </c>
      <c r="E999" s="13">
        <f t="shared" si="996"/>
        <v>5264.108333</v>
      </c>
      <c r="F999" s="13">
        <v>844.55</v>
      </c>
    </row>
    <row r="1000">
      <c r="A1000" s="11">
        <v>4.0</v>
      </c>
      <c r="B1000" s="12">
        <f t="shared" si="2"/>
        <v>10614.7044</v>
      </c>
      <c r="C1000" s="13">
        <v>88455.87</v>
      </c>
      <c r="D1000" s="13">
        <f t="shared" ref="D1000:E1000" si="997">B1000/12</f>
        <v>884.5587</v>
      </c>
      <c r="E1000" s="13">
        <f t="shared" si="997"/>
        <v>7371.3225</v>
      </c>
      <c r="F1000" s="13">
        <v>997.42</v>
      </c>
    </row>
    <row r="1001">
      <c r="A1001" s="11">
        <v>6.0</v>
      </c>
      <c r="B1001" s="12">
        <f t="shared" si="2"/>
        <v>11468.1708</v>
      </c>
      <c r="C1001" s="13">
        <v>95568.09</v>
      </c>
      <c r="D1001" s="13">
        <f t="shared" ref="D1001:E1001" si="998">B1001/12</f>
        <v>955.6809</v>
      </c>
      <c r="E1001" s="13">
        <f t="shared" si="998"/>
        <v>7964.0075</v>
      </c>
      <c r="F1001" s="13">
        <v>883.39</v>
      </c>
    </row>
    <row r="1002">
      <c r="A1002" s="11">
        <v>1.0</v>
      </c>
      <c r="B1002" s="12">
        <f t="shared" si="2"/>
        <v>11591.2524</v>
      </c>
      <c r="C1002" s="13">
        <v>96593.77</v>
      </c>
      <c r="D1002" s="13">
        <f t="shared" ref="D1002:E1002" si="999">B1002/12</f>
        <v>965.9377</v>
      </c>
      <c r="E1002" s="13">
        <f t="shared" si="999"/>
        <v>8049.480833</v>
      </c>
      <c r="F1002" s="13">
        <v>63.79</v>
      </c>
    </row>
    <row r="1003">
      <c r="A1003" s="11">
        <v>4.0</v>
      </c>
      <c r="B1003" s="12">
        <f t="shared" si="2"/>
        <v>8805.0732</v>
      </c>
      <c r="C1003" s="13">
        <v>73375.61</v>
      </c>
      <c r="D1003" s="13">
        <f t="shared" ref="D1003:E1003" si="1000">B1003/12</f>
        <v>733.7561</v>
      </c>
      <c r="E1003" s="13">
        <f t="shared" si="1000"/>
        <v>6114.634167</v>
      </c>
      <c r="F1003" s="13">
        <v>863.65</v>
      </c>
    </row>
    <row r="1004">
      <c r="A1004" s="11">
        <v>6.0</v>
      </c>
      <c r="B1004" s="12">
        <f t="shared" si="2"/>
        <v>582.0024</v>
      </c>
      <c r="C1004" s="13">
        <v>4850.02</v>
      </c>
      <c r="D1004" s="13">
        <f t="shared" ref="D1004:E1004" si="1001">B1004/12</f>
        <v>48.5002</v>
      </c>
      <c r="E1004" s="13">
        <f t="shared" si="1001"/>
        <v>404.1683333</v>
      </c>
      <c r="F1004" s="13">
        <v>696.39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75"/>
  </cols>
  <sheetData>
    <row r="1">
      <c r="A1" s="3" t="s">
        <v>14</v>
      </c>
      <c r="B1" s="14">
        <v>99.0</v>
      </c>
      <c r="C1" s="15" t="s">
        <v>15</v>
      </c>
      <c r="D1" s="3" t="s">
        <v>16</v>
      </c>
      <c r="E1" s="3" t="s">
        <v>17</v>
      </c>
    </row>
    <row r="2">
      <c r="A2" s="11" t="s">
        <v>18</v>
      </c>
      <c r="B2" s="16" t="s">
        <v>19</v>
      </c>
      <c r="C2" s="17" t="s">
        <v>20</v>
      </c>
      <c r="D2" s="18" t="s">
        <v>21</v>
      </c>
      <c r="E2" s="19" t="s">
        <v>22</v>
      </c>
    </row>
    <row r="3">
      <c r="A3" s="8" t="s">
        <v>23</v>
      </c>
      <c r="B3" s="20" t="s">
        <v>24</v>
      </c>
      <c r="C3" s="21" t="s">
        <v>25</v>
      </c>
      <c r="D3" s="8" t="s">
        <v>26</v>
      </c>
      <c r="E3" s="8" t="s">
        <v>27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>
      <c r="A4" s="11">
        <v>7000.0</v>
      </c>
      <c r="B4" s="16">
        <v>73.0</v>
      </c>
      <c r="C4" s="22" t="s">
        <v>28</v>
      </c>
      <c r="D4" s="23">
        <v>688.71</v>
      </c>
      <c r="E4" s="24" t="s">
        <v>29</v>
      </c>
    </row>
    <row r="5">
      <c r="A5" s="11">
        <v>7001.0</v>
      </c>
      <c r="B5" s="16">
        <v>80.0</v>
      </c>
      <c r="C5" s="22" t="s">
        <v>30</v>
      </c>
      <c r="D5" s="23">
        <v>70482.22</v>
      </c>
      <c r="E5" s="24" t="s">
        <v>31</v>
      </c>
    </row>
    <row r="6">
      <c r="A6" s="11">
        <v>7002.0</v>
      </c>
      <c r="B6" s="16">
        <v>52.0</v>
      </c>
      <c r="C6" s="22" t="s">
        <v>32</v>
      </c>
      <c r="D6" s="23">
        <v>68.22</v>
      </c>
      <c r="E6" s="24" t="s">
        <v>33</v>
      </c>
    </row>
    <row r="7">
      <c r="A7" s="11">
        <v>7003.0</v>
      </c>
      <c r="B7" s="16">
        <v>64.0</v>
      </c>
      <c r="C7" s="22" t="s">
        <v>34</v>
      </c>
      <c r="D7" s="23">
        <v>4185.8</v>
      </c>
      <c r="E7" s="24" t="s">
        <v>29</v>
      </c>
    </row>
    <row r="8">
      <c r="A8" s="11">
        <v>7004.0</v>
      </c>
      <c r="B8" s="16">
        <v>93.0</v>
      </c>
      <c r="C8" s="22" t="s">
        <v>35</v>
      </c>
      <c r="D8" s="23">
        <v>315003.95</v>
      </c>
      <c r="E8" s="24" t="s">
        <v>31</v>
      </c>
    </row>
    <row r="9">
      <c r="A9" s="11">
        <v>7005.0</v>
      </c>
      <c r="B9" s="16">
        <v>43.0</v>
      </c>
      <c r="C9" s="22" t="s">
        <v>36</v>
      </c>
      <c r="D9" s="23">
        <v>79.47</v>
      </c>
      <c r="E9" s="24" t="s">
        <v>31</v>
      </c>
    </row>
    <row r="10">
      <c r="A10" s="11">
        <v>7006.0</v>
      </c>
      <c r="B10" s="16">
        <v>18.0</v>
      </c>
      <c r="C10" s="22" t="s">
        <v>37</v>
      </c>
      <c r="D10" s="23">
        <v>20665.11</v>
      </c>
      <c r="E10" s="24" t="s">
        <v>31</v>
      </c>
    </row>
    <row r="11">
      <c r="A11" s="11">
        <v>7007.0</v>
      </c>
      <c r="B11" s="16">
        <v>31.0</v>
      </c>
      <c r="C11" s="22" t="s">
        <v>38</v>
      </c>
      <c r="D11" s="23">
        <v>695.65</v>
      </c>
      <c r="E11" s="24" t="s">
        <v>39</v>
      </c>
    </row>
    <row r="12">
      <c r="A12" s="11">
        <v>7008.0</v>
      </c>
      <c r="B12" s="16">
        <v>90.0</v>
      </c>
      <c r="C12" s="22" t="s">
        <v>40</v>
      </c>
      <c r="D12" s="23">
        <v>3402.7</v>
      </c>
      <c r="E12" s="24" t="s">
        <v>33</v>
      </c>
    </row>
    <row r="13">
      <c r="A13" s="11">
        <v>7009.0</v>
      </c>
      <c r="B13" s="16">
        <v>80.0</v>
      </c>
      <c r="C13" s="22" t="s">
        <v>41</v>
      </c>
      <c r="D13" s="23">
        <v>19865.62</v>
      </c>
      <c r="E13" s="24" t="s">
        <v>33</v>
      </c>
    </row>
    <row r="14">
      <c r="A14" s="11">
        <v>7010.0</v>
      </c>
      <c r="B14" s="16">
        <v>45.0</v>
      </c>
      <c r="C14" s="22" t="s">
        <v>42</v>
      </c>
      <c r="D14" s="23">
        <v>21876.23</v>
      </c>
      <c r="E14" s="24" t="s">
        <v>31</v>
      </c>
    </row>
    <row r="15">
      <c r="A15" s="11">
        <v>7011.0</v>
      </c>
      <c r="B15" s="16">
        <v>80.0</v>
      </c>
      <c r="C15" s="22" t="s">
        <v>43</v>
      </c>
      <c r="D15" s="23">
        <v>5811.82</v>
      </c>
      <c r="E15" s="24" t="s">
        <v>31</v>
      </c>
    </row>
    <row r="16">
      <c r="A16" s="11">
        <v>7012.0</v>
      </c>
      <c r="B16" s="16">
        <v>24.0</v>
      </c>
      <c r="C16" s="22" t="s">
        <v>44</v>
      </c>
      <c r="D16" s="23">
        <v>496.84</v>
      </c>
      <c r="E16" s="24" t="s">
        <v>33</v>
      </c>
    </row>
    <row r="17">
      <c r="A17" s="11">
        <v>7013.0</v>
      </c>
      <c r="B17" s="16">
        <v>27.0</v>
      </c>
      <c r="C17" s="22" t="s">
        <v>45</v>
      </c>
      <c r="D17" s="23">
        <v>217613.95</v>
      </c>
      <c r="E17" s="24" t="s">
        <v>31</v>
      </c>
    </row>
    <row r="18">
      <c r="A18" s="11">
        <v>7014.0</v>
      </c>
      <c r="B18" s="16">
        <v>30.0</v>
      </c>
      <c r="C18" s="22" t="s">
        <v>46</v>
      </c>
      <c r="D18" s="23">
        <v>112388.5</v>
      </c>
      <c r="E18" s="24" t="s">
        <v>39</v>
      </c>
    </row>
    <row r="19">
      <c r="A19" s="11">
        <v>7015.0</v>
      </c>
      <c r="B19" s="16">
        <v>91.0</v>
      </c>
      <c r="C19" s="22" t="s">
        <v>47</v>
      </c>
      <c r="D19" s="23">
        <v>59217.79</v>
      </c>
      <c r="E19" s="24" t="s">
        <v>48</v>
      </c>
    </row>
    <row r="20">
      <c r="A20" s="11">
        <v>7016.0</v>
      </c>
      <c r="B20" s="16">
        <v>74.0</v>
      </c>
      <c r="C20" s="22" t="s">
        <v>49</v>
      </c>
      <c r="D20" s="23">
        <v>80924.53</v>
      </c>
      <c r="E20" s="24" t="s">
        <v>31</v>
      </c>
    </row>
    <row r="21">
      <c r="A21" s="11">
        <v>7017.0</v>
      </c>
      <c r="B21" s="16">
        <v>23.0</v>
      </c>
      <c r="C21" s="22" t="s">
        <v>50</v>
      </c>
      <c r="D21" s="23">
        <v>879994.85</v>
      </c>
      <c r="E21" s="24" t="s">
        <v>39</v>
      </c>
    </row>
    <row r="22">
      <c r="A22" s="11">
        <v>7018.0</v>
      </c>
      <c r="B22" s="16">
        <v>43.0</v>
      </c>
      <c r="C22" s="22" t="s">
        <v>51</v>
      </c>
      <c r="D22" s="23">
        <v>11.96</v>
      </c>
      <c r="E22" s="24" t="s">
        <v>29</v>
      </c>
    </row>
    <row r="23">
      <c r="A23" s="11">
        <v>7019.0</v>
      </c>
      <c r="B23" s="16">
        <v>67.0</v>
      </c>
      <c r="C23" s="22" t="s">
        <v>52</v>
      </c>
      <c r="D23" s="23">
        <v>60.74</v>
      </c>
      <c r="E23" s="24" t="s">
        <v>33</v>
      </c>
    </row>
    <row r="24">
      <c r="A24" s="11">
        <v>7020.0</v>
      </c>
      <c r="B24" s="16">
        <v>48.0</v>
      </c>
      <c r="C24" s="22" t="s">
        <v>53</v>
      </c>
      <c r="D24" s="23">
        <v>60.69</v>
      </c>
      <c r="E24" s="24" t="s">
        <v>31</v>
      </c>
    </row>
    <row r="25">
      <c r="A25" s="11">
        <v>7021.0</v>
      </c>
      <c r="B25" s="16">
        <v>99.0</v>
      </c>
      <c r="C25" s="22" t="s">
        <v>54</v>
      </c>
      <c r="D25" s="23">
        <v>60.4</v>
      </c>
      <c r="E25" s="24" t="s">
        <v>39</v>
      </c>
    </row>
    <row r="26">
      <c r="A26" s="11">
        <v>7022.0</v>
      </c>
      <c r="B26" s="16">
        <v>43.0</v>
      </c>
      <c r="C26" s="22" t="s">
        <v>55</v>
      </c>
      <c r="D26" s="23">
        <v>50842.63</v>
      </c>
      <c r="E26" s="24" t="s">
        <v>39</v>
      </c>
    </row>
    <row r="27">
      <c r="A27" s="11">
        <v>7023.0</v>
      </c>
      <c r="B27" s="16">
        <v>54.0</v>
      </c>
      <c r="C27" s="22" t="s">
        <v>56</v>
      </c>
      <c r="D27" s="23">
        <v>62432.8</v>
      </c>
      <c r="E27" s="24" t="s">
        <v>29</v>
      </c>
    </row>
    <row r="28">
      <c r="A28" s="11">
        <v>7024.0</v>
      </c>
      <c r="B28" s="16">
        <v>14.0</v>
      </c>
      <c r="C28" s="22" t="s">
        <v>57</v>
      </c>
      <c r="D28" s="23">
        <v>365759.82</v>
      </c>
      <c r="E28" s="24" t="s">
        <v>29</v>
      </c>
    </row>
    <row r="29">
      <c r="A29" s="11">
        <v>7025.0</v>
      </c>
      <c r="B29" s="16">
        <v>40.0</v>
      </c>
      <c r="C29" s="22" t="s">
        <v>58</v>
      </c>
      <c r="D29" s="23">
        <v>57175.22</v>
      </c>
      <c r="E29" s="24" t="s">
        <v>33</v>
      </c>
    </row>
    <row r="30">
      <c r="A30" s="11">
        <v>7026.0</v>
      </c>
      <c r="B30" s="16">
        <v>93.0</v>
      </c>
      <c r="C30" s="22" t="s">
        <v>59</v>
      </c>
      <c r="D30" s="23">
        <v>1724.7</v>
      </c>
      <c r="E30" s="24" t="s">
        <v>33</v>
      </c>
    </row>
    <row r="31">
      <c r="A31" s="11">
        <v>7027.0</v>
      </c>
      <c r="B31" s="16">
        <v>56.0</v>
      </c>
      <c r="C31" s="22" t="s">
        <v>60</v>
      </c>
      <c r="D31" s="23">
        <v>31980.11</v>
      </c>
      <c r="E31" s="24" t="s">
        <v>31</v>
      </c>
    </row>
    <row r="32">
      <c r="A32" s="11">
        <v>7028.0</v>
      </c>
      <c r="B32" s="16">
        <v>33.0</v>
      </c>
      <c r="C32" s="22" t="s">
        <v>61</v>
      </c>
      <c r="D32" s="23">
        <v>568.57</v>
      </c>
      <c r="E32" s="24" t="s">
        <v>48</v>
      </c>
    </row>
    <row r="33">
      <c r="A33" s="11">
        <v>7029.0</v>
      </c>
      <c r="B33" s="16">
        <v>90.0</v>
      </c>
      <c r="C33" s="22" t="s">
        <v>62</v>
      </c>
      <c r="D33" s="23">
        <v>9273.24</v>
      </c>
      <c r="E33" s="24" t="s">
        <v>39</v>
      </c>
    </row>
    <row r="34">
      <c r="A34" s="11">
        <v>7030.0</v>
      </c>
      <c r="B34" s="16">
        <v>99.0</v>
      </c>
      <c r="C34" s="22" t="s">
        <v>63</v>
      </c>
      <c r="D34" s="23">
        <v>5940.58</v>
      </c>
      <c r="E34" s="24" t="s">
        <v>48</v>
      </c>
    </row>
    <row r="35">
      <c r="A35" s="11">
        <v>7031.0</v>
      </c>
      <c r="B35" s="16">
        <v>22.0</v>
      </c>
      <c r="C35" s="22" t="s">
        <v>64</v>
      </c>
      <c r="D35" s="23">
        <v>862.2</v>
      </c>
      <c r="E35" s="24" t="s">
        <v>29</v>
      </c>
    </row>
    <row r="36">
      <c r="A36" s="11">
        <v>7032.0</v>
      </c>
      <c r="B36" s="16">
        <v>70.0</v>
      </c>
      <c r="C36" s="22" t="s">
        <v>65</v>
      </c>
      <c r="D36" s="23">
        <v>475.76</v>
      </c>
      <c r="E36" s="24" t="s">
        <v>29</v>
      </c>
    </row>
    <row r="37">
      <c r="A37" s="11">
        <v>7033.0</v>
      </c>
      <c r="B37" s="16">
        <v>56.0</v>
      </c>
      <c r="C37" s="22" t="s">
        <v>66</v>
      </c>
      <c r="D37" s="23">
        <v>501.2</v>
      </c>
      <c r="E37" s="24" t="s">
        <v>33</v>
      </c>
    </row>
    <row r="38">
      <c r="A38" s="11">
        <v>7034.0</v>
      </c>
      <c r="B38" s="16">
        <v>19.0</v>
      </c>
      <c r="C38" s="22" t="s">
        <v>52</v>
      </c>
      <c r="D38" s="23">
        <v>95333.28</v>
      </c>
      <c r="E38" s="24" t="s">
        <v>39</v>
      </c>
    </row>
    <row r="39">
      <c r="A39" s="11">
        <v>7035.0</v>
      </c>
      <c r="B39" s="16">
        <v>44.0</v>
      </c>
      <c r="C39" s="22" t="s">
        <v>47</v>
      </c>
      <c r="D39" s="23">
        <v>6967.67</v>
      </c>
      <c r="E39" s="24" t="s">
        <v>31</v>
      </c>
    </row>
    <row r="40">
      <c r="A40" s="11">
        <v>7036.0</v>
      </c>
      <c r="B40" s="16">
        <v>65.0</v>
      </c>
      <c r="C40" s="22" t="s">
        <v>67</v>
      </c>
      <c r="D40" s="23">
        <v>41709.37</v>
      </c>
      <c r="E40" s="24" t="s">
        <v>31</v>
      </c>
    </row>
    <row r="41">
      <c r="A41" s="11">
        <v>7037.0</v>
      </c>
      <c r="B41" s="16">
        <v>95.0</v>
      </c>
      <c r="C41" s="22" t="s">
        <v>68</v>
      </c>
      <c r="D41" s="23">
        <v>58515.6</v>
      </c>
      <c r="E41" s="24" t="s">
        <v>48</v>
      </c>
    </row>
    <row r="42">
      <c r="A42" s="11">
        <v>7038.0</v>
      </c>
      <c r="B42" s="16">
        <v>23.0</v>
      </c>
      <c r="C42" s="22" t="s">
        <v>69</v>
      </c>
      <c r="D42" s="23">
        <v>26151.94</v>
      </c>
      <c r="E42" s="24" t="s">
        <v>39</v>
      </c>
    </row>
    <row r="43">
      <c r="A43" s="11">
        <v>7039.0</v>
      </c>
      <c r="B43" s="16">
        <v>34.0</v>
      </c>
      <c r="C43" s="22" t="s">
        <v>70</v>
      </c>
      <c r="D43" s="23">
        <v>677.47</v>
      </c>
      <c r="E43" s="24" t="s">
        <v>33</v>
      </c>
    </row>
    <row r="44">
      <c r="A44" s="11">
        <v>7040.0</v>
      </c>
      <c r="B44" s="16">
        <v>82.0</v>
      </c>
      <c r="C44" s="22" t="s">
        <v>71</v>
      </c>
      <c r="D44" s="23">
        <v>56.88</v>
      </c>
      <c r="E44" s="24" t="s">
        <v>29</v>
      </c>
    </row>
    <row r="45">
      <c r="A45" s="11">
        <v>7041.0</v>
      </c>
      <c r="B45" s="16">
        <v>65.0</v>
      </c>
      <c r="C45" s="22" t="s">
        <v>72</v>
      </c>
      <c r="D45" s="23">
        <v>21315.45</v>
      </c>
      <c r="E45" s="24" t="s">
        <v>31</v>
      </c>
    </row>
    <row r="46">
      <c r="A46" s="11">
        <v>7042.0</v>
      </c>
      <c r="B46" s="16">
        <v>19.0</v>
      </c>
      <c r="C46" s="22" t="s">
        <v>73</v>
      </c>
      <c r="D46" s="23">
        <v>28067.58</v>
      </c>
      <c r="E46" s="24" t="s">
        <v>31</v>
      </c>
    </row>
    <row r="47">
      <c r="A47" s="11">
        <v>7043.0</v>
      </c>
      <c r="B47" s="16">
        <v>80.0</v>
      </c>
      <c r="C47" s="22" t="s">
        <v>74</v>
      </c>
      <c r="D47" s="23">
        <v>39099.69</v>
      </c>
      <c r="E47" s="24" t="s">
        <v>33</v>
      </c>
    </row>
    <row r="48">
      <c r="A48" s="11">
        <v>7044.0</v>
      </c>
      <c r="B48" s="16">
        <v>15.0</v>
      </c>
      <c r="C48" s="22" t="s">
        <v>75</v>
      </c>
      <c r="D48" s="23">
        <v>6240.39</v>
      </c>
      <c r="E48" s="24" t="s">
        <v>48</v>
      </c>
    </row>
    <row r="49">
      <c r="A49" s="11">
        <v>7045.0</v>
      </c>
      <c r="B49" s="16">
        <v>26.0</v>
      </c>
      <c r="C49" s="22" t="s">
        <v>74</v>
      </c>
      <c r="D49" s="23">
        <v>8930.68</v>
      </c>
      <c r="E49" s="24" t="s">
        <v>33</v>
      </c>
    </row>
    <row r="50">
      <c r="A50" s="11">
        <v>7046.0</v>
      </c>
      <c r="B50" s="16">
        <v>9.0</v>
      </c>
      <c r="C50" s="22" t="s">
        <v>76</v>
      </c>
      <c r="D50" s="23">
        <v>7211.4</v>
      </c>
      <c r="E50" s="24" t="s">
        <v>29</v>
      </c>
    </row>
    <row r="51">
      <c r="A51" s="11">
        <v>7047.0</v>
      </c>
      <c r="B51" s="16">
        <v>76.0</v>
      </c>
      <c r="C51" s="22" t="s">
        <v>77</v>
      </c>
      <c r="D51" s="23">
        <v>7469.19</v>
      </c>
      <c r="E51" s="24" t="s">
        <v>29</v>
      </c>
    </row>
    <row r="52">
      <c r="A52" s="11">
        <v>7048.0</v>
      </c>
      <c r="B52" s="16">
        <v>95.0</v>
      </c>
      <c r="C52" s="22" t="s">
        <v>78</v>
      </c>
      <c r="D52" s="23">
        <v>217370.5</v>
      </c>
      <c r="E52" s="24" t="s">
        <v>31</v>
      </c>
    </row>
    <row r="53">
      <c r="A53" s="11">
        <v>7049.0</v>
      </c>
      <c r="B53" s="16">
        <v>20.0</v>
      </c>
      <c r="C53" s="22" t="s">
        <v>79</v>
      </c>
      <c r="D53" s="23">
        <v>560885.6</v>
      </c>
      <c r="E53" s="24" t="s">
        <v>31</v>
      </c>
    </row>
    <row r="54">
      <c r="A54" s="11">
        <v>7050.0</v>
      </c>
      <c r="B54" s="16">
        <v>95.0</v>
      </c>
      <c r="C54" s="22" t="s">
        <v>80</v>
      </c>
      <c r="D54" s="23">
        <v>40659.89</v>
      </c>
      <c r="E54" s="24" t="s">
        <v>39</v>
      </c>
    </row>
    <row r="55">
      <c r="A55" s="11">
        <v>7051.0</v>
      </c>
      <c r="B55" s="16">
        <v>37.0</v>
      </c>
      <c r="C55" s="22" t="s">
        <v>81</v>
      </c>
      <c r="D55" s="23">
        <v>7064.6</v>
      </c>
      <c r="E55" s="24" t="s">
        <v>31</v>
      </c>
    </row>
    <row r="56">
      <c r="A56" s="11">
        <v>7052.0</v>
      </c>
      <c r="B56" s="16">
        <v>40.0</v>
      </c>
      <c r="C56" s="22" t="s">
        <v>82</v>
      </c>
      <c r="D56" s="23">
        <v>2557.63</v>
      </c>
      <c r="E56" s="24" t="s">
        <v>33</v>
      </c>
    </row>
    <row r="57">
      <c r="A57" s="11">
        <v>7053.0</v>
      </c>
      <c r="B57" s="16">
        <v>19.0</v>
      </c>
      <c r="C57" s="22" t="s">
        <v>83</v>
      </c>
      <c r="D57" s="23">
        <v>95961.39</v>
      </c>
      <c r="E57" s="24" t="s">
        <v>33</v>
      </c>
    </row>
    <row r="58">
      <c r="A58" s="11">
        <v>7054.0</v>
      </c>
      <c r="B58" s="16">
        <v>46.0</v>
      </c>
      <c r="C58" s="22" t="s">
        <v>84</v>
      </c>
      <c r="D58" s="23">
        <v>14939.39</v>
      </c>
      <c r="E58" s="24" t="s">
        <v>31</v>
      </c>
    </row>
    <row r="59">
      <c r="A59" s="11">
        <v>7055.0</v>
      </c>
      <c r="B59" s="16">
        <v>50.0</v>
      </c>
      <c r="C59" s="22" t="s">
        <v>85</v>
      </c>
      <c r="D59" s="23">
        <v>56045.58</v>
      </c>
      <c r="E59" s="24" t="s">
        <v>39</v>
      </c>
    </row>
    <row r="60">
      <c r="A60" s="11">
        <v>7056.0</v>
      </c>
      <c r="B60" s="16">
        <v>91.0</v>
      </c>
      <c r="C60" s="22" t="s">
        <v>86</v>
      </c>
      <c r="D60" s="23">
        <v>18227.23</v>
      </c>
      <c r="E60" s="24" t="s">
        <v>29</v>
      </c>
    </row>
    <row r="61">
      <c r="A61" s="11">
        <v>7057.0</v>
      </c>
      <c r="B61" s="16">
        <v>20.0</v>
      </c>
      <c r="C61" s="22" t="s">
        <v>87</v>
      </c>
      <c r="D61" s="23">
        <v>7855.76</v>
      </c>
      <c r="E61" s="24" t="s">
        <v>48</v>
      </c>
    </row>
    <row r="62">
      <c r="A62" s="11">
        <v>7058.0</v>
      </c>
      <c r="B62" s="16">
        <v>75.0</v>
      </c>
      <c r="C62" s="22" t="s">
        <v>88</v>
      </c>
      <c r="D62" s="23">
        <v>420.72</v>
      </c>
      <c r="E62" s="24" t="s">
        <v>48</v>
      </c>
    </row>
    <row r="63">
      <c r="A63" s="11">
        <v>7059.0</v>
      </c>
      <c r="B63" s="16">
        <v>16.0</v>
      </c>
      <c r="C63" s="22" t="s">
        <v>89</v>
      </c>
      <c r="D63" s="23">
        <v>27442.91</v>
      </c>
      <c r="E63" s="24" t="s">
        <v>29</v>
      </c>
    </row>
    <row r="64">
      <c r="A64" s="11">
        <v>7060.0</v>
      </c>
      <c r="B64" s="16">
        <v>32.0</v>
      </c>
      <c r="C64" s="22" t="s">
        <v>90</v>
      </c>
      <c r="D64" s="23">
        <v>7243.7</v>
      </c>
      <c r="E64" s="24" t="s">
        <v>29</v>
      </c>
    </row>
    <row r="65">
      <c r="A65" s="11">
        <v>7061.0</v>
      </c>
      <c r="B65" s="16">
        <v>37.0</v>
      </c>
      <c r="C65" s="22" t="s">
        <v>91</v>
      </c>
      <c r="D65" s="23">
        <v>843.41</v>
      </c>
      <c r="E65" s="24" t="s">
        <v>31</v>
      </c>
    </row>
    <row r="66">
      <c r="A66" s="11">
        <v>7062.0</v>
      </c>
      <c r="B66" s="16">
        <v>60.0</v>
      </c>
      <c r="C66" s="22" t="s">
        <v>65</v>
      </c>
      <c r="D66" s="23">
        <v>3481.93</v>
      </c>
      <c r="E66" s="24" t="s">
        <v>31</v>
      </c>
    </row>
    <row r="67">
      <c r="A67" s="11">
        <v>7063.0</v>
      </c>
      <c r="B67" s="16">
        <v>36.0</v>
      </c>
      <c r="C67" s="22" t="s">
        <v>92</v>
      </c>
      <c r="D67" s="23">
        <v>73.1</v>
      </c>
      <c r="E67" s="24" t="s">
        <v>33</v>
      </c>
    </row>
    <row r="68">
      <c r="A68" s="11">
        <v>7064.0</v>
      </c>
      <c r="B68" s="16">
        <v>77.0</v>
      </c>
      <c r="C68" s="22" t="s">
        <v>93</v>
      </c>
      <c r="D68" s="23">
        <v>95691.25</v>
      </c>
      <c r="E68" s="24" t="s">
        <v>39</v>
      </c>
    </row>
    <row r="69">
      <c r="A69" s="11">
        <v>7065.0</v>
      </c>
      <c r="B69" s="16">
        <v>69.0</v>
      </c>
      <c r="C69" s="22" t="s">
        <v>94</v>
      </c>
      <c r="D69" s="23">
        <v>13.36</v>
      </c>
      <c r="E69" s="24" t="s">
        <v>31</v>
      </c>
    </row>
    <row r="70">
      <c r="A70" s="11">
        <v>7066.0</v>
      </c>
      <c r="B70" s="16">
        <v>45.0</v>
      </c>
      <c r="C70" s="22" t="s">
        <v>95</v>
      </c>
      <c r="D70" s="23">
        <v>877.54</v>
      </c>
      <c r="E70" s="24" t="s">
        <v>33</v>
      </c>
    </row>
    <row r="71">
      <c r="A71" s="11">
        <v>7067.0</v>
      </c>
      <c r="B71" s="16">
        <v>18.0</v>
      </c>
      <c r="C71" s="22" t="s">
        <v>96</v>
      </c>
      <c r="D71" s="23">
        <v>37.3</v>
      </c>
      <c r="E71" s="24" t="s">
        <v>48</v>
      </c>
    </row>
    <row r="72">
      <c r="A72" s="11">
        <v>7068.0</v>
      </c>
      <c r="B72" s="16">
        <v>65.0</v>
      </c>
      <c r="C72" s="22" t="s">
        <v>97</v>
      </c>
      <c r="D72" s="23">
        <v>994386.7</v>
      </c>
      <c r="E72" s="24" t="s">
        <v>39</v>
      </c>
    </row>
    <row r="73">
      <c r="A73" s="11">
        <v>7069.0</v>
      </c>
      <c r="B73" s="16">
        <v>81.0</v>
      </c>
      <c r="C73" s="22" t="s">
        <v>98</v>
      </c>
      <c r="D73" s="23">
        <v>3975.22</v>
      </c>
      <c r="E73" s="24" t="s">
        <v>39</v>
      </c>
    </row>
    <row r="74">
      <c r="A74" s="11">
        <v>7070.0</v>
      </c>
      <c r="B74" s="16">
        <v>95.0</v>
      </c>
      <c r="C74" s="22" t="s">
        <v>99</v>
      </c>
      <c r="D74" s="23">
        <v>94.16</v>
      </c>
      <c r="E74" s="24" t="s">
        <v>39</v>
      </c>
    </row>
    <row r="75">
      <c r="A75" s="11">
        <v>7071.0</v>
      </c>
      <c r="B75" s="16">
        <v>73.0</v>
      </c>
      <c r="C75" s="22" t="s">
        <v>100</v>
      </c>
      <c r="D75" s="23">
        <v>71382.56</v>
      </c>
      <c r="E75" s="24" t="s">
        <v>39</v>
      </c>
    </row>
    <row r="76">
      <c r="A76" s="11">
        <v>7072.0</v>
      </c>
      <c r="B76" s="16">
        <v>21.0</v>
      </c>
      <c r="C76" s="22" t="s">
        <v>101</v>
      </c>
      <c r="D76" s="23">
        <v>1462.2</v>
      </c>
      <c r="E76" s="24" t="s">
        <v>31</v>
      </c>
    </row>
    <row r="77">
      <c r="A77" s="11">
        <v>7073.0</v>
      </c>
      <c r="B77" s="16">
        <v>17.0</v>
      </c>
      <c r="C77" s="22" t="s">
        <v>102</v>
      </c>
      <c r="D77" s="23">
        <v>51501.43</v>
      </c>
      <c r="E77" s="24" t="s">
        <v>39</v>
      </c>
    </row>
    <row r="78">
      <c r="A78" s="11">
        <v>7074.0</v>
      </c>
      <c r="B78" s="16">
        <v>97.0</v>
      </c>
      <c r="C78" s="22" t="s">
        <v>103</v>
      </c>
      <c r="D78" s="23">
        <v>7498.7</v>
      </c>
      <c r="E78" s="24" t="s">
        <v>29</v>
      </c>
    </row>
    <row r="79">
      <c r="A79" s="11">
        <v>7075.0</v>
      </c>
      <c r="B79" s="16">
        <v>62.0</v>
      </c>
      <c r="C79" s="22" t="s">
        <v>104</v>
      </c>
      <c r="D79" s="23">
        <v>24.48</v>
      </c>
      <c r="E79" s="24" t="s">
        <v>48</v>
      </c>
    </row>
    <row r="80">
      <c r="A80" s="11">
        <v>7076.0</v>
      </c>
      <c r="B80" s="16">
        <v>18.0</v>
      </c>
      <c r="C80" s="22" t="s">
        <v>105</v>
      </c>
      <c r="D80" s="23">
        <v>918977.56</v>
      </c>
      <c r="E80" s="24" t="s">
        <v>31</v>
      </c>
    </row>
    <row r="81">
      <c r="A81" s="11">
        <v>7077.0</v>
      </c>
      <c r="B81" s="16">
        <v>73.0</v>
      </c>
      <c r="C81" s="22" t="s">
        <v>106</v>
      </c>
      <c r="D81" s="23">
        <v>3283.22</v>
      </c>
      <c r="E81" s="24" t="s">
        <v>31</v>
      </c>
    </row>
    <row r="82">
      <c r="A82" s="11">
        <v>7078.0</v>
      </c>
      <c r="B82" s="16">
        <v>0.0</v>
      </c>
      <c r="C82" s="22" t="s">
        <v>107</v>
      </c>
      <c r="D82" s="23">
        <v>8180.97</v>
      </c>
      <c r="E82" s="24" t="s">
        <v>29</v>
      </c>
    </row>
    <row r="83">
      <c r="A83" s="11">
        <v>7079.0</v>
      </c>
      <c r="B83" s="16">
        <v>60.0</v>
      </c>
      <c r="C83" s="22" t="s">
        <v>108</v>
      </c>
      <c r="D83" s="23">
        <v>37434.87</v>
      </c>
      <c r="E83" s="24" t="s">
        <v>39</v>
      </c>
    </row>
    <row r="84">
      <c r="A84" s="11">
        <v>7080.0</v>
      </c>
      <c r="B84" s="16">
        <v>36.0</v>
      </c>
      <c r="C84" s="22" t="s">
        <v>109</v>
      </c>
      <c r="D84" s="23">
        <v>887.1</v>
      </c>
      <c r="E84" s="24" t="s">
        <v>39</v>
      </c>
    </row>
    <row r="85">
      <c r="A85" s="11">
        <v>7081.0</v>
      </c>
      <c r="B85" s="16">
        <v>60.0</v>
      </c>
      <c r="C85" s="22" t="s">
        <v>110</v>
      </c>
      <c r="D85" s="23">
        <v>577320.93</v>
      </c>
      <c r="E85" s="24" t="s">
        <v>33</v>
      </c>
    </row>
    <row r="86">
      <c r="A86" s="11">
        <v>7082.0</v>
      </c>
      <c r="B86" s="16">
        <v>42.0</v>
      </c>
      <c r="C86" s="22" t="s">
        <v>111</v>
      </c>
      <c r="D86" s="23">
        <v>19.45</v>
      </c>
      <c r="E86" s="24" t="s">
        <v>31</v>
      </c>
    </row>
    <row r="87">
      <c r="A87" s="11">
        <v>7083.0</v>
      </c>
      <c r="B87" s="16">
        <v>3.0</v>
      </c>
      <c r="C87" s="22" t="s">
        <v>112</v>
      </c>
      <c r="D87" s="23">
        <v>340031.19</v>
      </c>
      <c r="E87" s="24" t="s">
        <v>33</v>
      </c>
    </row>
    <row r="88">
      <c r="A88" s="11">
        <v>7084.0</v>
      </c>
      <c r="B88" s="16">
        <v>41.0</v>
      </c>
      <c r="C88" s="22" t="s">
        <v>110</v>
      </c>
      <c r="D88" s="23">
        <v>651636.38</v>
      </c>
      <c r="E88" s="24" t="s">
        <v>39</v>
      </c>
    </row>
    <row r="89">
      <c r="A89" s="11">
        <v>7085.0</v>
      </c>
      <c r="B89" s="16">
        <v>95.0</v>
      </c>
      <c r="C89" s="22" t="s">
        <v>57</v>
      </c>
      <c r="D89" s="23">
        <v>3227.35</v>
      </c>
      <c r="E89" s="24" t="s">
        <v>39</v>
      </c>
    </row>
    <row r="90">
      <c r="A90" s="11">
        <v>7086.0</v>
      </c>
      <c r="B90" s="16">
        <v>82.0</v>
      </c>
      <c r="C90" s="22" t="s">
        <v>87</v>
      </c>
      <c r="D90" s="23">
        <v>442245.71</v>
      </c>
      <c r="E90" s="24" t="s">
        <v>39</v>
      </c>
    </row>
    <row r="91">
      <c r="A91" s="11">
        <v>7087.0</v>
      </c>
      <c r="B91" s="16">
        <v>61.0</v>
      </c>
      <c r="C91" s="22" t="s">
        <v>113</v>
      </c>
      <c r="D91" s="23">
        <v>94577.72</v>
      </c>
      <c r="E91" s="24" t="s">
        <v>39</v>
      </c>
    </row>
    <row r="92">
      <c r="A92" s="11">
        <v>7088.0</v>
      </c>
      <c r="B92" s="16">
        <v>39.0</v>
      </c>
      <c r="C92" s="22" t="s">
        <v>114</v>
      </c>
      <c r="D92" s="23">
        <v>990.1</v>
      </c>
      <c r="E92" s="24" t="s">
        <v>31</v>
      </c>
    </row>
    <row r="93">
      <c r="A93" s="11">
        <v>7089.0</v>
      </c>
      <c r="B93" s="16">
        <v>37.0</v>
      </c>
      <c r="C93" s="22" t="s">
        <v>115</v>
      </c>
      <c r="D93" s="23">
        <v>884.68</v>
      </c>
      <c r="E93" s="24" t="s">
        <v>33</v>
      </c>
    </row>
    <row r="94">
      <c r="A94" s="11">
        <v>7090.0</v>
      </c>
      <c r="B94" s="16">
        <v>14.0</v>
      </c>
      <c r="C94" s="22" t="s">
        <v>116</v>
      </c>
      <c r="D94" s="23">
        <v>272810.85</v>
      </c>
      <c r="E94" s="24" t="s">
        <v>29</v>
      </c>
    </row>
    <row r="95">
      <c r="A95" s="11">
        <v>7091.0</v>
      </c>
      <c r="B95" s="16">
        <v>25.0</v>
      </c>
      <c r="C95" s="22" t="s">
        <v>116</v>
      </c>
      <c r="D95" s="23">
        <v>46692.7</v>
      </c>
      <c r="E95" s="24" t="s">
        <v>31</v>
      </c>
    </row>
    <row r="96">
      <c r="A96" s="11">
        <v>7092.0</v>
      </c>
      <c r="B96" s="16">
        <v>86.0</v>
      </c>
      <c r="C96" s="22" t="s">
        <v>117</v>
      </c>
      <c r="D96" s="23">
        <v>41.15</v>
      </c>
      <c r="E96" s="24" t="s">
        <v>39</v>
      </c>
    </row>
    <row r="97">
      <c r="A97" s="11">
        <v>7093.0</v>
      </c>
      <c r="B97" s="16">
        <v>72.0</v>
      </c>
      <c r="C97" s="22" t="s">
        <v>118</v>
      </c>
      <c r="D97" s="23">
        <v>76.99</v>
      </c>
      <c r="E97" s="24" t="s">
        <v>39</v>
      </c>
    </row>
    <row r="98">
      <c r="A98" s="11">
        <v>7094.0</v>
      </c>
      <c r="B98" s="16">
        <v>69.0</v>
      </c>
      <c r="C98" s="22" t="s">
        <v>42</v>
      </c>
      <c r="D98" s="23">
        <v>57.65</v>
      </c>
      <c r="E98" s="24" t="s">
        <v>29</v>
      </c>
    </row>
    <row r="99">
      <c r="A99" s="11">
        <v>7095.0</v>
      </c>
      <c r="B99" s="16">
        <v>44.0</v>
      </c>
      <c r="C99" s="22" t="s">
        <v>119</v>
      </c>
      <c r="D99" s="23">
        <v>56205.53</v>
      </c>
      <c r="E99" s="24" t="s">
        <v>29</v>
      </c>
    </row>
    <row r="100">
      <c r="A100" s="11">
        <v>7096.0</v>
      </c>
      <c r="B100" s="16">
        <v>70.0</v>
      </c>
      <c r="C100" s="22" t="s">
        <v>120</v>
      </c>
      <c r="D100" s="23">
        <v>495.27</v>
      </c>
      <c r="E100" s="24" t="s">
        <v>48</v>
      </c>
    </row>
    <row r="101">
      <c r="A101" s="11">
        <v>7097.0</v>
      </c>
      <c r="B101" s="16">
        <v>69.0</v>
      </c>
      <c r="C101" s="22" t="s">
        <v>121</v>
      </c>
      <c r="D101" s="23">
        <v>364.87</v>
      </c>
      <c r="E101" s="24" t="s">
        <v>31</v>
      </c>
    </row>
    <row r="102">
      <c r="A102" s="11">
        <v>7098.0</v>
      </c>
      <c r="B102" s="16">
        <v>42.0</v>
      </c>
      <c r="C102" s="22" t="s">
        <v>122</v>
      </c>
      <c r="D102" s="23">
        <v>15.84</v>
      </c>
      <c r="E102" s="24" t="s">
        <v>48</v>
      </c>
    </row>
    <row r="103">
      <c r="A103" s="11">
        <v>7099.0</v>
      </c>
      <c r="B103" s="16">
        <v>58.0</v>
      </c>
      <c r="C103" s="22" t="s">
        <v>123</v>
      </c>
      <c r="D103" s="23">
        <v>1743.84</v>
      </c>
      <c r="E103" s="24" t="s">
        <v>39</v>
      </c>
    </row>
    <row r="104">
      <c r="A104" s="11">
        <v>7100.0</v>
      </c>
      <c r="B104" s="16">
        <v>29.0</v>
      </c>
      <c r="C104" s="22" t="s">
        <v>37</v>
      </c>
      <c r="D104" s="23">
        <v>163131.61</v>
      </c>
      <c r="E104" s="24" t="s">
        <v>48</v>
      </c>
    </row>
    <row r="105">
      <c r="A105" s="11">
        <v>7101.0</v>
      </c>
      <c r="B105" s="16">
        <v>59.0</v>
      </c>
      <c r="C105" s="22" t="s">
        <v>124</v>
      </c>
      <c r="D105" s="23">
        <v>105.55</v>
      </c>
      <c r="E105" s="24" t="s">
        <v>33</v>
      </c>
    </row>
    <row r="106">
      <c r="A106" s="11">
        <v>7102.0</v>
      </c>
      <c r="B106" s="16">
        <v>88.0</v>
      </c>
      <c r="C106" s="22" t="s">
        <v>125</v>
      </c>
      <c r="D106" s="23">
        <v>11568.52</v>
      </c>
      <c r="E106" s="24" t="s">
        <v>48</v>
      </c>
    </row>
    <row r="107">
      <c r="A107" s="11">
        <v>7103.0</v>
      </c>
      <c r="B107" s="16">
        <v>63.0</v>
      </c>
      <c r="C107" s="22" t="s">
        <v>126</v>
      </c>
      <c r="D107" s="23">
        <v>92663.36</v>
      </c>
      <c r="E107" s="24" t="s">
        <v>29</v>
      </c>
    </row>
    <row r="108">
      <c r="A108" s="11">
        <v>7104.0</v>
      </c>
      <c r="B108" s="16">
        <v>24.0</v>
      </c>
      <c r="C108" s="22" t="s">
        <v>127</v>
      </c>
      <c r="D108" s="23">
        <v>28.73</v>
      </c>
      <c r="E108" s="24" t="s">
        <v>48</v>
      </c>
    </row>
    <row r="109">
      <c r="A109" s="11">
        <v>7105.0</v>
      </c>
      <c r="B109" s="16">
        <v>11.0</v>
      </c>
      <c r="C109" s="22" t="s">
        <v>128</v>
      </c>
      <c r="D109" s="23">
        <v>77.88</v>
      </c>
      <c r="E109" s="24" t="s">
        <v>48</v>
      </c>
    </row>
    <row r="110">
      <c r="A110" s="11">
        <v>7106.0</v>
      </c>
      <c r="B110" s="16">
        <v>69.0</v>
      </c>
      <c r="C110" s="22" t="s">
        <v>67</v>
      </c>
      <c r="D110" s="23">
        <v>82915.13</v>
      </c>
      <c r="E110" s="24" t="s">
        <v>39</v>
      </c>
    </row>
    <row r="111">
      <c r="A111" s="11">
        <v>7107.0</v>
      </c>
      <c r="B111" s="16">
        <v>40.0</v>
      </c>
      <c r="C111" s="22" t="s">
        <v>129</v>
      </c>
      <c r="D111" s="23">
        <v>513.17</v>
      </c>
      <c r="E111" s="24" t="s">
        <v>48</v>
      </c>
    </row>
    <row r="112">
      <c r="A112" s="11">
        <v>7108.0</v>
      </c>
      <c r="B112" s="16">
        <v>59.0</v>
      </c>
      <c r="C112" s="22" t="s">
        <v>130</v>
      </c>
      <c r="D112" s="23">
        <v>92926.28</v>
      </c>
      <c r="E112" s="24" t="s">
        <v>48</v>
      </c>
    </row>
    <row r="113">
      <c r="A113" s="11">
        <v>7109.0</v>
      </c>
      <c r="B113" s="16">
        <v>32.0</v>
      </c>
      <c r="C113" s="22" t="s">
        <v>131</v>
      </c>
      <c r="D113" s="23">
        <v>115709.69</v>
      </c>
      <c r="E113" s="24" t="s">
        <v>48</v>
      </c>
    </row>
    <row r="114">
      <c r="A114" s="11">
        <v>7110.0</v>
      </c>
      <c r="B114" s="16">
        <v>19.0</v>
      </c>
      <c r="C114" s="22" t="s">
        <v>94</v>
      </c>
      <c r="D114" s="23">
        <v>521.48</v>
      </c>
      <c r="E114" s="24" t="s">
        <v>29</v>
      </c>
    </row>
    <row r="115">
      <c r="A115" s="11">
        <v>7111.0</v>
      </c>
      <c r="B115" s="16">
        <v>80.0</v>
      </c>
      <c r="C115" s="22" t="s">
        <v>132</v>
      </c>
      <c r="D115" s="23">
        <v>8020.44</v>
      </c>
      <c r="E115" s="24" t="s">
        <v>29</v>
      </c>
    </row>
    <row r="116">
      <c r="A116" s="11">
        <v>7112.0</v>
      </c>
      <c r="B116" s="16">
        <v>45.0</v>
      </c>
      <c r="C116" s="22" t="s">
        <v>133</v>
      </c>
      <c r="D116" s="23">
        <v>2171.66</v>
      </c>
      <c r="E116" s="24" t="s">
        <v>33</v>
      </c>
    </row>
    <row r="117">
      <c r="A117" s="11">
        <v>7113.0</v>
      </c>
      <c r="B117" s="16">
        <v>7.0</v>
      </c>
      <c r="C117" s="22" t="s">
        <v>134</v>
      </c>
      <c r="D117" s="23">
        <v>9238.46</v>
      </c>
      <c r="E117" s="24" t="s">
        <v>48</v>
      </c>
    </row>
    <row r="118">
      <c r="A118" s="11">
        <v>7114.0</v>
      </c>
      <c r="B118" s="16">
        <v>41.0</v>
      </c>
      <c r="C118" s="22" t="s">
        <v>135</v>
      </c>
      <c r="D118" s="23">
        <v>530.32</v>
      </c>
      <c r="E118" s="24" t="s">
        <v>33</v>
      </c>
    </row>
    <row r="119">
      <c r="A119" s="11">
        <v>7115.0</v>
      </c>
      <c r="B119" s="16">
        <v>97.0</v>
      </c>
      <c r="C119" s="22" t="s">
        <v>136</v>
      </c>
      <c r="D119" s="23">
        <v>82424.62</v>
      </c>
      <c r="E119" s="24" t="s">
        <v>33</v>
      </c>
    </row>
    <row r="120">
      <c r="A120" s="11">
        <v>7116.0</v>
      </c>
      <c r="B120" s="16">
        <v>18.0</v>
      </c>
      <c r="C120" s="22" t="s">
        <v>137</v>
      </c>
      <c r="D120" s="23">
        <v>5139.61</v>
      </c>
      <c r="E120" s="24" t="s">
        <v>29</v>
      </c>
    </row>
    <row r="121">
      <c r="A121" s="11">
        <v>7117.0</v>
      </c>
      <c r="B121" s="16">
        <v>59.0</v>
      </c>
      <c r="C121" s="22" t="s">
        <v>97</v>
      </c>
      <c r="D121" s="23">
        <v>24.91</v>
      </c>
      <c r="E121" s="24" t="s">
        <v>39</v>
      </c>
    </row>
    <row r="122">
      <c r="A122" s="11">
        <v>7118.0</v>
      </c>
      <c r="B122" s="16">
        <v>11.0</v>
      </c>
      <c r="C122" s="22" t="s">
        <v>138</v>
      </c>
      <c r="D122" s="23">
        <v>83.49</v>
      </c>
      <c r="E122" s="24" t="s">
        <v>33</v>
      </c>
    </row>
    <row r="123">
      <c r="A123" s="11">
        <v>7119.0</v>
      </c>
      <c r="B123" s="16">
        <v>56.0</v>
      </c>
      <c r="C123" s="22" t="s">
        <v>139</v>
      </c>
      <c r="D123" s="23">
        <v>868141.73</v>
      </c>
      <c r="E123" s="24" t="s">
        <v>48</v>
      </c>
    </row>
    <row r="124">
      <c r="A124" s="11">
        <v>7120.0</v>
      </c>
      <c r="B124" s="16">
        <v>71.0</v>
      </c>
      <c r="C124" s="22" t="s">
        <v>99</v>
      </c>
      <c r="D124" s="23">
        <v>993.39</v>
      </c>
      <c r="E124" s="24" t="s">
        <v>39</v>
      </c>
    </row>
    <row r="125">
      <c r="A125" s="11">
        <v>7121.0</v>
      </c>
      <c r="B125" s="16">
        <v>47.0</v>
      </c>
      <c r="C125" s="22" t="s">
        <v>140</v>
      </c>
      <c r="D125" s="23">
        <v>2819.81</v>
      </c>
      <c r="E125" s="24" t="s">
        <v>29</v>
      </c>
    </row>
    <row r="126">
      <c r="A126" s="11">
        <v>7122.0</v>
      </c>
      <c r="B126" s="16">
        <v>98.0</v>
      </c>
      <c r="C126" s="22" t="s">
        <v>141</v>
      </c>
      <c r="D126" s="23">
        <v>5041.3</v>
      </c>
      <c r="E126" s="24" t="s">
        <v>31</v>
      </c>
    </row>
    <row r="127">
      <c r="A127" s="11">
        <v>7123.0</v>
      </c>
      <c r="B127" s="16">
        <v>65.0</v>
      </c>
      <c r="C127" s="22" t="s">
        <v>59</v>
      </c>
      <c r="D127" s="23">
        <v>872.55</v>
      </c>
      <c r="E127" s="24" t="s">
        <v>48</v>
      </c>
    </row>
    <row r="128">
      <c r="A128" s="11">
        <v>7124.0</v>
      </c>
      <c r="B128" s="16">
        <v>4.0</v>
      </c>
      <c r="C128" s="22" t="s">
        <v>98</v>
      </c>
      <c r="D128" s="23">
        <v>24.98</v>
      </c>
      <c r="E128" s="24" t="s">
        <v>39</v>
      </c>
    </row>
    <row r="129">
      <c r="A129" s="11">
        <v>7125.0</v>
      </c>
      <c r="B129" s="16">
        <v>66.0</v>
      </c>
      <c r="C129" s="22" t="s">
        <v>142</v>
      </c>
      <c r="D129" s="23">
        <v>535266.78</v>
      </c>
      <c r="E129" s="24" t="s">
        <v>48</v>
      </c>
    </row>
    <row r="130">
      <c r="A130" s="11">
        <v>7126.0</v>
      </c>
      <c r="B130" s="16">
        <v>66.0</v>
      </c>
      <c r="C130" s="22" t="s">
        <v>143</v>
      </c>
      <c r="D130" s="23">
        <v>4024.3</v>
      </c>
      <c r="E130" s="24" t="s">
        <v>48</v>
      </c>
    </row>
    <row r="131">
      <c r="A131" s="11">
        <v>7127.0</v>
      </c>
      <c r="B131" s="16">
        <v>45.0</v>
      </c>
      <c r="C131" s="22" t="s">
        <v>144</v>
      </c>
      <c r="D131" s="23">
        <v>27.99</v>
      </c>
      <c r="E131" s="24" t="s">
        <v>39</v>
      </c>
    </row>
    <row r="132">
      <c r="A132" s="11">
        <v>7128.0</v>
      </c>
      <c r="B132" s="16">
        <v>85.0</v>
      </c>
      <c r="C132" s="22" t="s">
        <v>145</v>
      </c>
      <c r="D132" s="23">
        <v>37.76</v>
      </c>
      <c r="E132" s="24" t="s">
        <v>29</v>
      </c>
    </row>
    <row r="133">
      <c r="A133" s="11">
        <v>7129.0</v>
      </c>
      <c r="B133" s="16">
        <v>54.0</v>
      </c>
      <c r="C133" s="22" t="s">
        <v>146</v>
      </c>
      <c r="D133" s="23">
        <v>361.54</v>
      </c>
      <c r="E133" s="24" t="s">
        <v>29</v>
      </c>
    </row>
    <row r="134">
      <c r="A134" s="11">
        <v>7130.0</v>
      </c>
      <c r="B134" s="16">
        <v>26.0</v>
      </c>
      <c r="C134" s="22" t="s">
        <v>147</v>
      </c>
      <c r="D134" s="23">
        <v>4405.63</v>
      </c>
      <c r="E134" s="24" t="s">
        <v>29</v>
      </c>
    </row>
    <row r="135">
      <c r="A135" s="11">
        <v>7131.0</v>
      </c>
      <c r="B135" s="16">
        <v>56.0</v>
      </c>
      <c r="C135" s="22" t="s">
        <v>61</v>
      </c>
      <c r="D135" s="23">
        <v>19978.0</v>
      </c>
      <c r="E135" s="24" t="s">
        <v>39</v>
      </c>
    </row>
    <row r="136">
      <c r="A136" s="11">
        <v>7132.0</v>
      </c>
      <c r="B136" s="16">
        <v>98.0</v>
      </c>
      <c r="C136" s="22" t="s">
        <v>148</v>
      </c>
      <c r="D136" s="23">
        <v>97367.35</v>
      </c>
      <c r="E136" s="24" t="s">
        <v>29</v>
      </c>
    </row>
    <row r="137">
      <c r="A137" s="11">
        <v>7133.0</v>
      </c>
      <c r="B137" s="16">
        <v>53.0</v>
      </c>
      <c r="C137" s="22" t="s">
        <v>149</v>
      </c>
      <c r="D137" s="23">
        <v>91.45</v>
      </c>
      <c r="E137" s="24" t="s">
        <v>31</v>
      </c>
    </row>
    <row r="138">
      <c r="A138" s="11">
        <v>7134.0</v>
      </c>
      <c r="B138" s="16">
        <v>55.0</v>
      </c>
      <c r="C138" s="22" t="s">
        <v>150</v>
      </c>
      <c r="D138" s="23">
        <v>94437.63</v>
      </c>
      <c r="E138" s="24" t="s">
        <v>39</v>
      </c>
    </row>
    <row r="139">
      <c r="A139" s="11">
        <v>7135.0</v>
      </c>
      <c r="B139" s="16">
        <v>57.0</v>
      </c>
      <c r="C139" s="22" t="s">
        <v>151</v>
      </c>
      <c r="D139" s="23">
        <v>8909.5</v>
      </c>
      <c r="E139" s="24" t="s">
        <v>48</v>
      </c>
    </row>
    <row r="140">
      <c r="A140" s="11">
        <v>7136.0</v>
      </c>
      <c r="B140" s="16">
        <v>88.0</v>
      </c>
      <c r="C140" s="22" t="s">
        <v>152</v>
      </c>
      <c r="D140" s="23">
        <v>228.4</v>
      </c>
      <c r="E140" s="24" t="s">
        <v>31</v>
      </c>
    </row>
    <row r="141">
      <c r="A141" s="11">
        <v>7137.0</v>
      </c>
      <c r="B141" s="16">
        <v>80.0</v>
      </c>
      <c r="C141" s="22" t="s">
        <v>153</v>
      </c>
      <c r="D141" s="23">
        <v>1880.81</v>
      </c>
      <c r="E141" s="24" t="s">
        <v>31</v>
      </c>
    </row>
    <row r="142">
      <c r="A142" s="11">
        <v>7138.0</v>
      </c>
      <c r="B142" s="16">
        <v>36.0</v>
      </c>
      <c r="C142" s="22" t="s">
        <v>154</v>
      </c>
      <c r="D142" s="23">
        <v>4327.57</v>
      </c>
      <c r="E142" s="24" t="s">
        <v>39</v>
      </c>
    </row>
    <row r="143">
      <c r="A143" s="11">
        <v>7139.0</v>
      </c>
      <c r="B143" s="16">
        <v>32.0</v>
      </c>
      <c r="C143" s="22" t="s">
        <v>155</v>
      </c>
      <c r="D143" s="23">
        <v>306.3</v>
      </c>
      <c r="E143" s="24" t="s">
        <v>48</v>
      </c>
    </row>
    <row r="144">
      <c r="A144" s="11">
        <v>7140.0</v>
      </c>
      <c r="B144" s="16">
        <v>97.0</v>
      </c>
      <c r="C144" s="22" t="s">
        <v>156</v>
      </c>
      <c r="D144" s="23">
        <v>11209.3</v>
      </c>
      <c r="E144" s="24" t="s">
        <v>33</v>
      </c>
    </row>
    <row r="145">
      <c r="A145" s="11">
        <v>7141.0</v>
      </c>
      <c r="B145" s="16">
        <v>10.0</v>
      </c>
      <c r="C145" s="22" t="s">
        <v>157</v>
      </c>
      <c r="D145" s="23">
        <v>14361.41</v>
      </c>
      <c r="E145" s="24" t="s">
        <v>33</v>
      </c>
    </row>
    <row r="146">
      <c r="A146" s="11">
        <v>7142.0</v>
      </c>
      <c r="B146" s="16">
        <v>44.0</v>
      </c>
      <c r="C146" s="22" t="s">
        <v>124</v>
      </c>
      <c r="D146" s="23">
        <v>7838.21</v>
      </c>
      <c r="E146" s="24" t="s">
        <v>39</v>
      </c>
    </row>
    <row r="147">
      <c r="A147" s="11">
        <v>7143.0</v>
      </c>
      <c r="B147" s="16">
        <v>53.0</v>
      </c>
      <c r="C147" s="22" t="s">
        <v>158</v>
      </c>
      <c r="D147" s="23">
        <v>48.73</v>
      </c>
      <c r="E147" s="24" t="s">
        <v>29</v>
      </c>
    </row>
    <row r="148">
      <c r="A148" s="11">
        <v>7144.0</v>
      </c>
      <c r="B148" s="16">
        <v>55.0</v>
      </c>
      <c r="C148" s="22" t="s">
        <v>159</v>
      </c>
      <c r="D148" s="23">
        <v>95149.21</v>
      </c>
      <c r="E148" s="24" t="s">
        <v>31</v>
      </c>
    </row>
    <row r="149">
      <c r="A149" s="11">
        <v>7145.0</v>
      </c>
      <c r="B149" s="16">
        <v>30.0</v>
      </c>
      <c r="C149" s="22" t="s">
        <v>159</v>
      </c>
      <c r="D149" s="23">
        <v>1027.2</v>
      </c>
      <c r="E149" s="24" t="s">
        <v>39</v>
      </c>
    </row>
    <row r="150">
      <c r="A150" s="11">
        <v>7146.0</v>
      </c>
      <c r="B150" s="16">
        <v>42.0</v>
      </c>
      <c r="C150" s="22" t="s">
        <v>160</v>
      </c>
      <c r="D150" s="23">
        <v>938094.68</v>
      </c>
      <c r="E150" s="24" t="s">
        <v>31</v>
      </c>
    </row>
    <row r="151">
      <c r="A151" s="11">
        <v>7147.0</v>
      </c>
      <c r="B151" s="16">
        <v>77.0</v>
      </c>
      <c r="C151" s="22" t="s">
        <v>161</v>
      </c>
      <c r="D151" s="23">
        <v>548769.96</v>
      </c>
      <c r="E151" s="24" t="s">
        <v>39</v>
      </c>
    </row>
    <row r="152">
      <c r="A152" s="11">
        <v>7148.0</v>
      </c>
      <c r="B152" s="16">
        <v>89.0</v>
      </c>
      <c r="C152" s="22" t="s">
        <v>162</v>
      </c>
      <c r="D152" s="23">
        <v>6718.17</v>
      </c>
      <c r="E152" s="24" t="s">
        <v>33</v>
      </c>
    </row>
    <row r="153">
      <c r="A153" s="11">
        <v>7149.0</v>
      </c>
      <c r="B153" s="16">
        <v>32.0</v>
      </c>
      <c r="C153" s="22" t="s">
        <v>163</v>
      </c>
      <c r="D153" s="23">
        <v>103590.58</v>
      </c>
      <c r="E153" s="24" t="s">
        <v>39</v>
      </c>
    </row>
    <row r="154">
      <c r="A154" s="11">
        <v>7150.0</v>
      </c>
      <c r="B154" s="16">
        <v>19.0</v>
      </c>
      <c r="C154" s="22" t="s">
        <v>164</v>
      </c>
      <c r="D154" s="23">
        <v>5868.94</v>
      </c>
      <c r="E154" s="24" t="s">
        <v>39</v>
      </c>
    </row>
    <row r="155">
      <c r="A155" s="11">
        <v>7151.0</v>
      </c>
      <c r="B155" s="16">
        <v>43.0</v>
      </c>
      <c r="C155" s="22" t="s">
        <v>165</v>
      </c>
      <c r="D155" s="23">
        <v>259462.29</v>
      </c>
      <c r="E155" s="24" t="s">
        <v>31</v>
      </c>
    </row>
    <row r="156">
      <c r="A156" s="11">
        <v>7152.0</v>
      </c>
      <c r="B156" s="16">
        <v>62.0</v>
      </c>
      <c r="C156" s="22" t="s">
        <v>111</v>
      </c>
      <c r="D156" s="23">
        <v>463.8</v>
      </c>
      <c r="E156" s="24" t="s">
        <v>29</v>
      </c>
    </row>
    <row r="157">
      <c r="A157" s="11">
        <v>7153.0</v>
      </c>
      <c r="B157" s="16">
        <v>15.0</v>
      </c>
      <c r="C157" s="22" t="s">
        <v>166</v>
      </c>
      <c r="D157" s="23">
        <v>99520.99</v>
      </c>
      <c r="E157" s="24" t="s">
        <v>31</v>
      </c>
    </row>
    <row r="158">
      <c r="A158" s="11">
        <v>7154.0</v>
      </c>
      <c r="B158" s="16">
        <v>8.0</v>
      </c>
      <c r="C158" s="22" t="s">
        <v>167</v>
      </c>
      <c r="D158" s="23">
        <v>594.22</v>
      </c>
      <c r="E158" s="24" t="s">
        <v>29</v>
      </c>
    </row>
    <row r="159">
      <c r="A159" s="11">
        <v>7155.0</v>
      </c>
      <c r="B159" s="16">
        <v>55.0</v>
      </c>
      <c r="C159" s="22" t="s">
        <v>168</v>
      </c>
      <c r="D159" s="23">
        <v>840966.76</v>
      </c>
      <c r="E159" s="24" t="s">
        <v>39</v>
      </c>
    </row>
    <row r="160">
      <c r="A160" s="11">
        <v>7156.0</v>
      </c>
      <c r="B160" s="16">
        <v>22.0</v>
      </c>
      <c r="C160" s="22" t="s">
        <v>169</v>
      </c>
      <c r="D160" s="23">
        <v>867285.52</v>
      </c>
      <c r="E160" s="24" t="s">
        <v>48</v>
      </c>
    </row>
    <row r="161">
      <c r="A161" s="11">
        <v>7157.0</v>
      </c>
      <c r="B161" s="16">
        <v>11.0</v>
      </c>
      <c r="C161" s="22" t="s">
        <v>170</v>
      </c>
      <c r="D161" s="23">
        <v>24518.18</v>
      </c>
      <c r="E161" s="24" t="s">
        <v>39</v>
      </c>
    </row>
    <row r="162">
      <c r="A162" s="11">
        <v>7158.0</v>
      </c>
      <c r="B162" s="16">
        <v>73.0</v>
      </c>
      <c r="C162" s="22" t="s">
        <v>171</v>
      </c>
      <c r="D162" s="23">
        <v>2858.87</v>
      </c>
      <c r="E162" s="24" t="s">
        <v>29</v>
      </c>
    </row>
    <row r="163">
      <c r="A163" s="11">
        <v>7159.0</v>
      </c>
      <c r="B163" s="16">
        <v>74.0</v>
      </c>
      <c r="C163" s="22" t="s">
        <v>172</v>
      </c>
      <c r="D163" s="23">
        <v>8444.97</v>
      </c>
      <c r="E163" s="24" t="s">
        <v>31</v>
      </c>
    </row>
    <row r="164">
      <c r="A164" s="11">
        <v>7160.0</v>
      </c>
      <c r="B164" s="16">
        <v>89.0</v>
      </c>
      <c r="C164" s="22" t="s">
        <v>173</v>
      </c>
      <c r="D164" s="23">
        <v>15274.18</v>
      </c>
      <c r="E164" s="24" t="s">
        <v>29</v>
      </c>
    </row>
    <row r="165">
      <c r="A165" s="11">
        <v>7161.0</v>
      </c>
      <c r="B165" s="16">
        <v>73.0</v>
      </c>
      <c r="C165" s="22" t="s">
        <v>174</v>
      </c>
      <c r="D165" s="23">
        <v>77.74</v>
      </c>
      <c r="E165" s="24" t="s">
        <v>39</v>
      </c>
    </row>
    <row r="166">
      <c r="A166" s="11">
        <v>7162.0</v>
      </c>
      <c r="B166" s="16">
        <v>7.0</v>
      </c>
      <c r="C166" s="22" t="s">
        <v>90</v>
      </c>
      <c r="D166" s="23">
        <v>67995.43</v>
      </c>
      <c r="E166" s="24" t="s">
        <v>33</v>
      </c>
    </row>
    <row r="167">
      <c r="A167" s="11">
        <v>7163.0</v>
      </c>
      <c r="B167" s="16">
        <v>15.0</v>
      </c>
      <c r="C167" s="22" t="s">
        <v>175</v>
      </c>
      <c r="D167" s="23">
        <v>58.7</v>
      </c>
      <c r="E167" s="24" t="s">
        <v>39</v>
      </c>
    </row>
    <row r="168">
      <c r="A168" s="11">
        <v>7164.0</v>
      </c>
      <c r="B168" s="16">
        <v>26.0</v>
      </c>
      <c r="C168" s="22" t="s">
        <v>176</v>
      </c>
      <c r="D168" s="23">
        <v>7079.55</v>
      </c>
      <c r="E168" s="24" t="s">
        <v>39</v>
      </c>
    </row>
    <row r="169">
      <c r="A169" s="11">
        <v>7165.0</v>
      </c>
      <c r="B169" s="16">
        <v>24.0</v>
      </c>
      <c r="C169" s="22" t="s">
        <v>177</v>
      </c>
      <c r="D169" s="23">
        <v>9098.16</v>
      </c>
      <c r="E169" s="24" t="s">
        <v>29</v>
      </c>
    </row>
    <row r="170">
      <c r="A170" s="11">
        <v>7166.0</v>
      </c>
      <c r="B170" s="16">
        <v>45.0</v>
      </c>
      <c r="C170" s="22" t="s">
        <v>178</v>
      </c>
      <c r="D170" s="23">
        <v>53.4</v>
      </c>
      <c r="E170" s="24" t="s">
        <v>48</v>
      </c>
    </row>
    <row r="171">
      <c r="A171" s="11">
        <v>7167.0</v>
      </c>
      <c r="B171" s="16">
        <v>4.0</v>
      </c>
      <c r="C171" s="22" t="s">
        <v>179</v>
      </c>
      <c r="D171" s="23">
        <v>5939.5</v>
      </c>
      <c r="E171" s="24" t="s">
        <v>31</v>
      </c>
    </row>
    <row r="172">
      <c r="A172" s="11">
        <v>7168.0</v>
      </c>
      <c r="B172" s="16">
        <v>38.0</v>
      </c>
      <c r="C172" s="22" t="s">
        <v>115</v>
      </c>
      <c r="D172" s="23">
        <v>21.59</v>
      </c>
      <c r="E172" s="24" t="s">
        <v>33</v>
      </c>
    </row>
    <row r="173">
      <c r="A173" s="11">
        <v>7169.0</v>
      </c>
      <c r="B173" s="16">
        <v>13.0</v>
      </c>
      <c r="C173" s="22" t="s">
        <v>180</v>
      </c>
      <c r="D173" s="23">
        <v>861.47</v>
      </c>
      <c r="E173" s="24" t="s">
        <v>33</v>
      </c>
    </row>
    <row r="174">
      <c r="A174" s="11">
        <v>7170.0</v>
      </c>
      <c r="B174" s="16">
        <v>46.0</v>
      </c>
      <c r="C174" s="22" t="s">
        <v>144</v>
      </c>
      <c r="D174" s="23">
        <v>7456.82</v>
      </c>
      <c r="E174" s="24" t="s">
        <v>33</v>
      </c>
    </row>
    <row r="175">
      <c r="A175" s="11">
        <v>7171.0</v>
      </c>
      <c r="B175" s="16">
        <v>0.0</v>
      </c>
      <c r="C175" s="22" t="s">
        <v>181</v>
      </c>
      <c r="D175" s="23">
        <v>17.49</v>
      </c>
      <c r="E175" s="24" t="s">
        <v>29</v>
      </c>
    </row>
    <row r="176">
      <c r="A176" s="11">
        <v>7172.0</v>
      </c>
      <c r="B176" s="16">
        <v>0.0</v>
      </c>
      <c r="C176" s="22" t="s">
        <v>182</v>
      </c>
      <c r="D176" s="23">
        <v>18.12</v>
      </c>
      <c r="E176" s="24" t="s">
        <v>29</v>
      </c>
    </row>
    <row r="177">
      <c r="A177" s="11">
        <v>7173.0</v>
      </c>
      <c r="B177" s="16">
        <v>48.0</v>
      </c>
      <c r="C177" s="22" t="s">
        <v>183</v>
      </c>
      <c r="D177" s="23">
        <v>46.71</v>
      </c>
      <c r="E177" s="24" t="s">
        <v>33</v>
      </c>
    </row>
    <row r="178">
      <c r="A178" s="11">
        <v>7174.0</v>
      </c>
      <c r="B178" s="16">
        <v>28.0</v>
      </c>
      <c r="C178" s="22" t="s">
        <v>184</v>
      </c>
      <c r="D178" s="23">
        <v>629.5</v>
      </c>
      <c r="E178" s="24" t="s">
        <v>31</v>
      </c>
    </row>
    <row r="179">
      <c r="A179" s="11">
        <v>7175.0</v>
      </c>
      <c r="B179" s="16">
        <v>21.0</v>
      </c>
      <c r="C179" s="22" t="s">
        <v>185</v>
      </c>
      <c r="D179" s="23">
        <v>131004.1</v>
      </c>
      <c r="E179" s="24" t="s">
        <v>29</v>
      </c>
    </row>
    <row r="180">
      <c r="A180" s="11">
        <v>7176.0</v>
      </c>
      <c r="B180" s="16">
        <v>27.0</v>
      </c>
      <c r="C180" s="22" t="s">
        <v>186</v>
      </c>
      <c r="D180" s="23">
        <v>42.82</v>
      </c>
      <c r="E180" s="24" t="s">
        <v>33</v>
      </c>
    </row>
    <row r="181">
      <c r="A181" s="11">
        <v>7177.0</v>
      </c>
      <c r="B181" s="16">
        <v>25.0</v>
      </c>
      <c r="C181" s="22" t="s">
        <v>187</v>
      </c>
      <c r="D181" s="23">
        <v>416249.78</v>
      </c>
      <c r="E181" s="24" t="s">
        <v>39</v>
      </c>
    </row>
    <row r="182">
      <c r="A182" s="11">
        <v>7178.0</v>
      </c>
      <c r="B182" s="16">
        <v>24.0</v>
      </c>
      <c r="C182" s="22" t="s">
        <v>130</v>
      </c>
      <c r="D182" s="23">
        <v>6283.72</v>
      </c>
      <c r="E182" s="24" t="s">
        <v>33</v>
      </c>
    </row>
    <row r="183">
      <c r="A183" s="11">
        <v>7179.0</v>
      </c>
      <c r="B183" s="16">
        <v>46.0</v>
      </c>
      <c r="C183" s="22" t="s">
        <v>188</v>
      </c>
      <c r="D183" s="23">
        <v>9454.82</v>
      </c>
      <c r="E183" s="24" t="s">
        <v>31</v>
      </c>
    </row>
    <row r="184">
      <c r="A184" s="11">
        <v>7180.0</v>
      </c>
      <c r="B184" s="16">
        <v>88.0</v>
      </c>
      <c r="C184" s="22" t="s">
        <v>189</v>
      </c>
      <c r="D184" s="23">
        <v>281391.72</v>
      </c>
      <c r="E184" s="24" t="s">
        <v>31</v>
      </c>
    </row>
    <row r="185">
      <c r="A185" s="11">
        <v>7181.0</v>
      </c>
      <c r="B185" s="16">
        <v>55.0</v>
      </c>
      <c r="C185" s="22" t="s">
        <v>190</v>
      </c>
      <c r="D185" s="23">
        <v>33249.8</v>
      </c>
      <c r="E185" s="24" t="s">
        <v>48</v>
      </c>
    </row>
    <row r="186">
      <c r="A186" s="11">
        <v>7182.0</v>
      </c>
      <c r="B186" s="16">
        <v>89.0</v>
      </c>
      <c r="C186" s="22" t="s">
        <v>191</v>
      </c>
      <c r="D186" s="23">
        <v>79.13</v>
      </c>
      <c r="E186" s="24" t="s">
        <v>33</v>
      </c>
    </row>
    <row r="187">
      <c r="A187" s="11">
        <v>7183.0</v>
      </c>
      <c r="B187" s="16">
        <v>69.0</v>
      </c>
      <c r="C187" s="22" t="s">
        <v>192</v>
      </c>
      <c r="D187" s="23">
        <v>87.18</v>
      </c>
      <c r="E187" s="24" t="s">
        <v>39</v>
      </c>
    </row>
    <row r="188">
      <c r="A188" s="11">
        <v>7184.0</v>
      </c>
      <c r="B188" s="16">
        <v>41.0</v>
      </c>
      <c r="C188" s="22" t="s">
        <v>193</v>
      </c>
      <c r="D188" s="23">
        <v>29148.6</v>
      </c>
      <c r="E188" s="24" t="s">
        <v>31</v>
      </c>
    </row>
    <row r="189">
      <c r="A189" s="11">
        <v>7185.0</v>
      </c>
      <c r="B189" s="16">
        <v>63.0</v>
      </c>
      <c r="C189" s="22" t="s">
        <v>135</v>
      </c>
      <c r="D189" s="23">
        <v>556534.32</v>
      </c>
      <c r="E189" s="24" t="s">
        <v>48</v>
      </c>
    </row>
    <row r="190">
      <c r="A190" s="11">
        <v>7186.0</v>
      </c>
      <c r="B190" s="16">
        <v>36.0</v>
      </c>
      <c r="C190" s="22" t="s">
        <v>194</v>
      </c>
      <c r="D190" s="23">
        <v>91.59</v>
      </c>
      <c r="E190" s="24" t="s">
        <v>39</v>
      </c>
    </row>
    <row r="191">
      <c r="A191" s="11">
        <v>7187.0</v>
      </c>
      <c r="B191" s="16">
        <v>97.0</v>
      </c>
      <c r="C191" s="22" t="s">
        <v>195</v>
      </c>
      <c r="D191" s="23">
        <v>230.55</v>
      </c>
      <c r="E191" s="24" t="s">
        <v>39</v>
      </c>
    </row>
    <row r="192">
      <c r="A192" s="11">
        <v>7188.0</v>
      </c>
      <c r="B192" s="16">
        <v>74.0</v>
      </c>
      <c r="C192" s="22" t="s">
        <v>182</v>
      </c>
      <c r="D192" s="23">
        <v>704.65</v>
      </c>
      <c r="E192" s="24" t="s">
        <v>31</v>
      </c>
    </row>
    <row r="193">
      <c r="A193" s="11">
        <v>7189.0</v>
      </c>
      <c r="B193" s="16">
        <v>99.0</v>
      </c>
      <c r="C193" s="22" t="s">
        <v>196</v>
      </c>
      <c r="D193" s="23">
        <v>636.0</v>
      </c>
      <c r="E193" s="24" t="s">
        <v>29</v>
      </c>
    </row>
    <row r="194">
      <c r="A194" s="11">
        <v>7190.0</v>
      </c>
      <c r="B194" s="16">
        <v>47.0</v>
      </c>
      <c r="C194" s="22" t="s">
        <v>197</v>
      </c>
      <c r="D194" s="23">
        <v>739.52</v>
      </c>
      <c r="E194" s="24" t="s">
        <v>29</v>
      </c>
    </row>
    <row r="195">
      <c r="A195" s="11">
        <v>7191.0</v>
      </c>
      <c r="B195" s="16">
        <v>15.0</v>
      </c>
      <c r="C195" s="22" t="s">
        <v>124</v>
      </c>
      <c r="D195" s="23">
        <v>217591.76</v>
      </c>
      <c r="E195" s="24" t="s">
        <v>31</v>
      </c>
    </row>
    <row r="196">
      <c r="A196" s="11">
        <v>7192.0</v>
      </c>
      <c r="B196" s="16">
        <v>97.0</v>
      </c>
      <c r="C196" s="22" t="s">
        <v>157</v>
      </c>
      <c r="D196" s="23">
        <v>393356.82</v>
      </c>
      <c r="E196" s="24" t="s">
        <v>29</v>
      </c>
    </row>
    <row r="197">
      <c r="A197" s="11">
        <v>7193.0</v>
      </c>
      <c r="B197" s="16">
        <v>14.0</v>
      </c>
      <c r="C197" s="22" t="s">
        <v>181</v>
      </c>
      <c r="D197" s="23">
        <v>68.43</v>
      </c>
      <c r="E197" s="24" t="s">
        <v>31</v>
      </c>
    </row>
    <row r="198">
      <c r="A198" s="11">
        <v>7194.0</v>
      </c>
      <c r="B198" s="16">
        <v>86.0</v>
      </c>
      <c r="C198" s="22" t="s">
        <v>82</v>
      </c>
      <c r="D198" s="23">
        <v>5409.89</v>
      </c>
      <c r="E198" s="24" t="s">
        <v>39</v>
      </c>
    </row>
    <row r="199">
      <c r="A199" s="11">
        <v>7195.0</v>
      </c>
      <c r="B199" s="16">
        <v>54.0</v>
      </c>
      <c r="C199" s="22" t="s">
        <v>198</v>
      </c>
      <c r="D199" s="23">
        <v>790.15</v>
      </c>
      <c r="E199" s="24" t="s">
        <v>29</v>
      </c>
    </row>
    <row r="200">
      <c r="A200" s="11">
        <v>7196.0</v>
      </c>
      <c r="B200" s="16">
        <v>85.0</v>
      </c>
      <c r="C200" s="22" t="s">
        <v>199</v>
      </c>
      <c r="D200" s="23">
        <v>51010.94</v>
      </c>
      <c r="E200" s="24" t="s">
        <v>48</v>
      </c>
    </row>
    <row r="201">
      <c r="A201" s="11">
        <v>7197.0</v>
      </c>
      <c r="B201" s="16">
        <v>44.0</v>
      </c>
      <c r="C201" s="22" t="s">
        <v>200</v>
      </c>
      <c r="D201" s="23">
        <v>18193.15</v>
      </c>
      <c r="E201" s="24" t="s">
        <v>39</v>
      </c>
    </row>
    <row r="202">
      <c r="A202" s="11">
        <v>7198.0</v>
      </c>
      <c r="B202" s="16">
        <v>73.0</v>
      </c>
      <c r="C202" s="22" t="s">
        <v>201</v>
      </c>
      <c r="D202" s="23">
        <v>99620.43</v>
      </c>
      <c r="E202" s="24" t="s">
        <v>31</v>
      </c>
    </row>
    <row r="203">
      <c r="A203" s="11">
        <v>7199.0</v>
      </c>
      <c r="B203" s="16">
        <v>10.0</v>
      </c>
      <c r="C203" s="22" t="s">
        <v>202</v>
      </c>
      <c r="D203" s="23">
        <v>742.61</v>
      </c>
      <c r="E203" s="24" t="s">
        <v>31</v>
      </c>
    </row>
    <row r="204">
      <c r="A204" s="11">
        <v>7200.0</v>
      </c>
      <c r="B204" s="16">
        <v>40.0</v>
      </c>
      <c r="C204" s="22" t="s">
        <v>203</v>
      </c>
      <c r="D204" s="23">
        <v>9743.46</v>
      </c>
      <c r="E204" s="24" t="s">
        <v>31</v>
      </c>
    </row>
    <row r="205">
      <c r="A205" s="11">
        <v>7201.0</v>
      </c>
      <c r="B205" s="16">
        <v>21.0</v>
      </c>
      <c r="C205" s="22" t="s">
        <v>196</v>
      </c>
      <c r="D205" s="23">
        <v>426787.58</v>
      </c>
      <c r="E205" s="24" t="s">
        <v>48</v>
      </c>
    </row>
    <row r="206">
      <c r="A206" s="11">
        <v>7202.0</v>
      </c>
      <c r="B206" s="16">
        <v>43.0</v>
      </c>
      <c r="C206" s="22" t="s">
        <v>167</v>
      </c>
      <c r="D206" s="23">
        <v>879.9</v>
      </c>
      <c r="E206" s="24" t="s">
        <v>33</v>
      </c>
    </row>
    <row r="207">
      <c r="A207" s="11">
        <v>7203.0</v>
      </c>
      <c r="B207" s="16">
        <v>4.0</v>
      </c>
      <c r="C207" s="22" t="s">
        <v>204</v>
      </c>
      <c r="D207" s="23">
        <v>4264.8</v>
      </c>
      <c r="E207" s="24" t="s">
        <v>31</v>
      </c>
    </row>
    <row r="208">
      <c r="A208" s="11">
        <v>7204.0</v>
      </c>
      <c r="B208" s="16">
        <v>73.0</v>
      </c>
      <c r="C208" s="22" t="s">
        <v>205</v>
      </c>
      <c r="D208" s="23">
        <v>36.1</v>
      </c>
      <c r="E208" s="24" t="s">
        <v>39</v>
      </c>
    </row>
    <row r="209">
      <c r="A209" s="11">
        <v>7205.0</v>
      </c>
      <c r="B209" s="16">
        <v>78.0</v>
      </c>
      <c r="C209" s="22" t="s">
        <v>120</v>
      </c>
      <c r="D209" s="23">
        <v>16.12</v>
      </c>
      <c r="E209" s="24" t="s">
        <v>33</v>
      </c>
    </row>
    <row r="210">
      <c r="A210" s="11">
        <v>7206.0</v>
      </c>
      <c r="B210" s="16">
        <v>49.0</v>
      </c>
      <c r="C210" s="22" t="s">
        <v>206</v>
      </c>
      <c r="D210" s="23">
        <v>720089.27</v>
      </c>
      <c r="E210" s="24" t="s">
        <v>31</v>
      </c>
    </row>
    <row r="211">
      <c r="A211" s="11">
        <v>7207.0</v>
      </c>
      <c r="B211" s="16">
        <v>50.0</v>
      </c>
      <c r="C211" s="22" t="s">
        <v>207</v>
      </c>
      <c r="D211" s="23">
        <v>60545.91</v>
      </c>
      <c r="E211" s="24" t="s">
        <v>48</v>
      </c>
    </row>
    <row r="212">
      <c r="A212" s="11">
        <v>7208.0</v>
      </c>
      <c r="B212" s="16">
        <v>23.0</v>
      </c>
      <c r="C212" s="22" t="s">
        <v>36</v>
      </c>
      <c r="D212" s="23">
        <v>763.68</v>
      </c>
      <c r="E212" s="24" t="s">
        <v>31</v>
      </c>
    </row>
    <row r="213">
      <c r="A213" s="11">
        <v>7209.0</v>
      </c>
      <c r="B213" s="16">
        <v>79.0</v>
      </c>
      <c r="C213" s="22" t="s">
        <v>65</v>
      </c>
      <c r="D213" s="23">
        <v>98.7</v>
      </c>
      <c r="E213" s="24" t="s">
        <v>33</v>
      </c>
    </row>
    <row r="214">
      <c r="A214" s="11">
        <v>7210.0</v>
      </c>
      <c r="B214" s="16">
        <v>98.0</v>
      </c>
      <c r="C214" s="22" t="s">
        <v>208</v>
      </c>
      <c r="D214" s="23">
        <v>887297.31</v>
      </c>
      <c r="E214" s="24" t="s">
        <v>31</v>
      </c>
    </row>
    <row r="215">
      <c r="A215" s="11">
        <v>7211.0</v>
      </c>
      <c r="B215" s="16">
        <v>29.0</v>
      </c>
      <c r="C215" s="22" t="s">
        <v>209</v>
      </c>
      <c r="D215" s="23">
        <v>68280.73</v>
      </c>
      <c r="E215" s="24" t="s">
        <v>29</v>
      </c>
    </row>
    <row r="216">
      <c r="A216" s="11">
        <v>7212.0</v>
      </c>
      <c r="B216" s="16">
        <v>70.0</v>
      </c>
      <c r="C216" s="22" t="s">
        <v>210</v>
      </c>
      <c r="D216" s="23">
        <v>93.94</v>
      </c>
      <c r="E216" s="24" t="s">
        <v>48</v>
      </c>
    </row>
    <row r="217">
      <c r="A217" s="11">
        <v>7213.0</v>
      </c>
      <c r="B217" s="16">
        <v>63.0</v>
      </c>
      <c r="C217" s="22" t="s">
        <v>211</v>
      </c>
      <c r="D217" s="23">
        <v>24362.63</v>
      </c>
      <c r="E217" s="24" t="s">
        <v>33</v>
      </c>
    </row>
    <row r="218">
      <c r="A218" s="11">
        <v>7214.0</v>
      </c>
      <c r="B218" s="16">
        <v>54.0</v>
      </c>
      <c r="C218" s="22" t="s">
        <v>132</v>
      </c>
      <c r="D218" s="23">
        <v>77.1</v>
      </c>
      <c r="E218" s="24" t="s">
        <v>39</v>
      </c>
    </row>
    <row r="219">
      <c r="A219" s="11">
        <v>7215.0</v>
      </c>
      <c r="B219" s="16">
        <v>5.0</v>
      </c>
      <c r="C219" s="22" t="s">
        <v>204</v>
      </c>
      <c r="D219" s="23">
        <v>876743.79</v>
      </c>
      <c r="E219" s="24" t="s">
        <v>39</v>
      </c>
    </row>
    <row r="220">
      <c r="A220" s="11">
        <v>7216.0</v>
      </c>
      <c r="B220" s="16">
        <v>80.0</v>
      </c>
      <c r="C220" s="22" t="s">
        <v>212</v>
      </c>
      <c r="D220" s="23">
        <v>695.22</v>
      </c>
      <c r="E220" s="24" t="s">
        <v>39</v>
      </c>
    </row>
    <row r="221">
      <c r="A221" s="11">
        <v>7217.0</v>
      </c>
      <c r="B221" s="16">
        <v>8.0</v>
      </c>
      <c r="C221" s="22" t="s">
        <v>213</v>
      </c>
      <c r="D221" s="23">
        <v>67.22</v>
      </c>
      <c r="E221" s="24" t="s">
        <v>33</v>
      </c>
    </row>
    <row r="222">
      <c r="A222" s="11">
        <v>7218.0</v>
      </c>
      <c r="B222" s="16">
        <v>65.0</v>
      </c>
      <c r="C222" s="22" t="s">
        <v>214</v>
      </c>
      <c r="D222" s="23">
        <v>346.21</v>
      </c>
      <c r="E222" s="24" t="s">
        <v>29</v>
      </c>
    </row>
    <row r="223">
      <c r="A223" s="11">
        <v>7219.0</v>
      </c>
      <c r="B223" s="16">
        <v>43.0</v>
      </c>
      <c r="C223" s="22" t="s">
        <v>215</v>
      </c>
      <c r="D223" s="23">
        <v>925090.73</v>
      </c>
      <c r="E223" s="24" t="s">
        <v>48</v>
      </c>
    </row>
    <row r="224">
      <c r="A224" s="11">
        <v>7220.0</v>
      </c>
      <c r="B224" s="16">
        <v>12.0</v>
      </c>
      <c r="C224" s="22" t="s">
        <v>216</v>
      </c>
      <c r="D224" s="23">
        <v>36794.41</v>
      </c>
      <c r="E224" s="24" t="s">
        <v>33</v>
      </c>
    </row>
    <row r="225">
      <c r="A225" s="11">
        <v>7221.0</v>
      </c>
      <c r="B225" s="16">
        <v>99.0</v>
      </c>
      <c r="C225" s="22" t="s">
        <v>217</v>
      </c>
      <c r="D225" s="23">
        <v>43494.76</v>
      </c>
      <c r="E225" s="24" t="s">
        <v>31</v>
      </c>
    </row>
    <row r="226">
      <c r="A226" s="11">
        <v>7222.0</v>
      </c>
      <c r="B226" s="16">
        <v>59.0</v>
      </c>
      <c r="C226" s="22" t="s">
        <v>218</v>
      </c>
      <c r="D226" s="23">
        <v>578.43</v>
      </c>
      <c r="E226" s="24" t="s">
        <v>33</v>
      </c>
    </row>
    <row r="227">
      <c r="A227" s="11">
        <v>7223.0</v>
      </c>
      <c r="B227" s="16">
        <v>14.0</v>
      </c>
      <c r="C227" s="22" t="s">
        <v>219</v>
      </c>
      <c r="D227" s="23">
        <v>688373.3</v>
      </c>
      <c r="E227" s="24" t="s">
        <v>29</v>
      </c>
    </row>
    <row r="228">
      <c r="A228" s="11">
        <v>7224.0</v>
      </c>
      <c r="B228" s="16">
        <v>51.0</v>
      </c>
      <c r="C228" s="22" t="s">
        <v>220</v>
      </c>
      <c r="D228" s="23">
        <v>40.67</v>
      </c>
      <c r="E228" s="24" t="s">
        <v>33</v>
      </c>
    </row>
    <row r="229">
      <c r="A229" s="11">
        <v>7225.0</v>
      </c>
      <c r="B229" s="16">
        <v>21.0</v>
      </c>
      <c r="C229" s="22" t="s">
        <v>221</v>
      </c>
      <c r="D229" s="23">
        <v>95.72</v>
      </c>
      <c r="E229" s="24" t="s">
        <v>39</v>
      </c>
    </row>
    <row r="230">
      <c r="A230" s="11">
        <v>7226.0</v>
      </c>
      <c r="B230" s="16">
        <v>17.0</v>
      </c>
      <c r="C230" s="22" t="s">
        <v>192</v>
      </c>
      <c r="D230" s="23">
        <v>698.54</v>
      </c>
      <c r="E230" s="24" t="s">
        <v>29</v>
      </c>
    </row>
    <row r="231">
      <c r="A231" s="11">
        <v>7227.0</v>
      </c>
      <c r="B231" s="16">
        <v>95.0</v>
      </c>
      <c r="C231" s="22" t="s">
        <v>222</v>
      </c>
      <c r="D231" s="23">
        <v>49.4</v>
      </c>
      <c r="E231" s="24" t="s">
        <v>33</v>
      </c>
    </row>
    <row r="232">
      <c r="A232" s="11">
        <v>7228.0</v>
      </c>
      <c r="B232" s="16">
        <v>33.0</v>
      </c>
      <c r="C232" s="22" t="s">
        <v>74</v>
      </c>
      <c r="D232" s="23">
        <v>64.49</v>
      </c>
      <c r="E232" s="24" t="s">
        <v>48</v>
      </c>
    </row>
    <row r="233">
      <c r="A233" s="11">
        <v>7229.0</v>
      </c>
      <c r="B233" s="16">
        <v>40.0</v>
      </c>
      <c r="C233" s="22" t="s">
        <v>223</v>
      </c>
      <c r="D233" s="23">
        <v>4519.92</v>
      </c>
      <c r="E233" s="24" t="s">
        <v>29</v>
      </c>
    </row>
    <row r="234">
      <c r="A234" s="11">
        <v>7230.0</v>
      </c>
      <c r="B234" s="16">
        <v>64.0</v>
      </c>
      <c r="C234" s="22" t="s">
        <v>224</v>
      </c>
      <c r="D234" s="23">
        <v>9172.71</v>
      </c>
      <c r="E234" s="24" t="s">
        <v>33</v>
      </c>
    </row>
    <row r="235">
      <c r="A235" s="11">
        <v>7231.0</v>
      </c>
      <c r="B235" s="16">
        <v>44.0</v>
      </c>
      <c r="C235" s="22" t="s">
        <v>129</v>
      </c>
      <c r="D235" s="23">
        <v>747829.57</v>
      </c>
      <c r="E235" s="24" t="s">
        <v>39</v>
      </c>
    </row>
    <row r="236">
      <c r="A236" s="11">
        <v>7232.0</v>
      </c>
      <c r="B236" s="16">
        <v>4.0</v>
      </c>
      <c r="C236" s="22" t="s">
        <v>135</v>
      </c>
      <c r="D236" s="23">
        <v>791645.47</v>
      </c>
      <c r="E236" s="24" t="s">
        <v>33</v>
      </c>
    </row>
    <row r="237">
      <c r="A237" s="11">
        <v>7233.0</v>
      </c>
      <c r="B237" s="16">
        <v>59.0</v>
      </c>
      <c r="C237" s="22" t="s">
        <v>225</v>
      </c>
      <c r="D237" s="23">
        <v>187738.42</v>
      </c>
      <c r="E237" s="24" t="s">
        <v>39</v>
      </c>
    </row>
    <row r="238">
      <c r="A238" s="11">
        <v>7234.0</v>
      </c>
      <c r="B238" s="16">
        <v>15.0</v>
      </c>
      <c r="C238" s="22" t="s">
        <v>226</v>
      </c>
      <c r="D238" s="23">
        <v>8744.11</v>
      </c>
      <c r="E238" s="24" t="s">
        <v>31</v>
      </c>
    </row>
    <row r="239">
      <c r="A239" s="11">
        <v>7235.0</v>
      </c>
      <c r="B239" s="16">
        <v>68.0</v>
      </c>
      <c r="C239" s="22" t="s">
        <v>227</v>
      </c>
      <c r="D239" s="23">
        <v>664085.4</v>
      </c>
      <c r="E239" s="24" t="s">
        <v>48</v>
      </c>
    </row>
    <row r="240">
      <c r="A240" s="11">
        <v>7236.0</v>
      </c>
      <c r="B240" s="16">
        <v>36.0</v>
      </c>
      <c r="C240" s="22" t="s">
        <v>228</v>
      </c>
      <c r="D240" s="23">
        <v>1609.53</v>
      </c>
      <c r="E240" s="24" t="s">
        <v>29</v>
      </c>
    </row>
    <row r="241">
      <c r="A241" s="11">
        <v>7237.0</v>
      </c>
      <c r="B241" s="16">
        <v>41.0</v>
      </c>
      <c r="C241" s="22" t="s">
        <v>229</v>
      </c>
      <c r="D241" s="23">
        <v>56.24</v>
      </c>
      <c r="E241" s="24" t="s">
        <v>33</v>
      </c>
    </row>
    <row r="242">
      <c r="A242" s="11">
        <v>7238.0</v>
      </c>
      <c r="B242" s="16">
        <v>30.0</v>
      </c>
      <c r="C242" s="22" t="s">
        <v>230</v>
      </c>
      <c r="D242" s="23">
        <v>19.8</v>
      </c>
      <c r="E242" s="24" t="s">
        <v>48</v>
      </c>
    </row>
    <row r="243">
      <c r="A243" s="11">
        <v>7239.0</v>
      </c>
      <c r="B243" s="16">
        <v>18.0</v>
      </c>
      <c r="C243" s="22" t="s">
        <v>231</v>
      </c>
      <c r="D243" s="23">
        <v>9285.68</v>
      </c>
      <c r="E243" s="24" t="s">
        <v>33</v>
      </c>
    </row>
    <row r="244">
      <c r="A244" s="11">
        <v>7240.0</v>
      </c>
      <c r="B244" s="16">
        <v>71.0</v>
      </c>
      <c r="C244" s="22" t="s">
        <v>232</v>
      </c>
      <c r="D244" s="23">
        <v>783.55</v>
      </c>
      <c r="E244" s="24" t="s">
        <v>29</v>
      </c>
    </row>
    <row r="245">
      <c r="A245" s="11">
        <v>7241.0</v>
      </c>
      <c r="B245" s="16">
        <v>71.0</v>
      </c>
      <c r="C245" s="22" t="s">
        <v>233</v>
      </c>
      <c r="D245" s="23">
        <v>47134.3</v>
      </c>
      <c r="E245" s="24" t="s">
        <v>31</v>
      </c>
    </row>
    <row r="246">
      <c r="A246" s="11">
        <v>7242.0</v>
      </c>
      <c r="B246" s="16">
        <v>76.0</v>
      </c>
      <c r="C246" s="22" t="s">
        <v>216</v>
      </c>
      <c r="D246" s="23">
        <v>9653.7</v>
      </c>
      <c r="E246" s="24" t="s">
        <v>39</v>
      </c>
    </row>
    <row r="247">
      <c r="A247" s="11">
        <v>7243.0</v>
      </c>
      <c r="B247" s="16">
        <v>86.0</v>
      </c>
      <c r="C247" s="22" t="s">
        <v>234</v>
      </c>
      <c r="D247" s="23">
        <v>368666.14</v>
      </c>
      <c r="E247" s="24" t="s">
        <v>33</v>
      </c>
    </row>
    <row r="248">
      <c r="A248" s="11">
        <v>7244.0</v>
      </c>
      <c r="B248" s="16">
        <v>49.0</v>
      </c>
      <c r="C248" s="22" t="s">
        <v>235</v>
      </c>
      <c r="D248" s="23">
        <v>247496.3</v>
      </c>
      <c r="E248" s="24" t="s">
        <v>33</v>
      </c>
    </row>
    <row r="249">
      <c r="A249" s="11">
        <v>7245.0</v>
      </c>
      <c r="B249" s="16">
        <v>68.0</v>
      </c>
      <c r="C249" s="22" t="s">
        <v>236</v>
      </c>
      <c r="D249" s="23">
        <v>1911.33</v>
      </c>
      <c r="E249" s="24" t="s">
        <v>33</v>
      </c>
    </row>
    <row r="250">
      <c r="A250" s="11">
        <v>7246.0</v>
      </c>
      <c r="B250" s="16">
        <v>91.0</v>
      </c>
      <c r="C250" s="22" t="s">
        <v>125</v>
      </c>
      <c r="D250" s="23">
        <v>811221.45</v>
      </c>
      <c r="E250" s="24" t="s">
        <v>48</v>
      </c>
    </row>
    <row r="251">
      <c r="A251" s="11">
        <v>7247.0</v>
      </c>
      <c r="B251" s="16">
        <v>99.0</v>
      </c>
      <c r="C251" s="22" t="s">
        <v>237</v>
      </c>
      <c r="D251" s="23">
        <v>83741.3</v>
      </c>
      <c r="E251" s="24" t="s">
        <v>39</v>
      </c>
    </row>
    <row r="252">
      <c r="A252" s="11">
        <v>7248.0</v>
      </c>
      <c r="B252" s="16">
        <v>50.0</v>
      </c>
      <c r="C252" s="22" t="s">
        <v>238</v>
      </c>
      <c r="D252" s="23">
        <v>558656.25</v>
      </c>
      <c r="E252" s="24" t="s">
        <v>29</v>
      </c>
    </row>
    <row r="253">
      <c r="A253" s="11">
        <v>7249.0</v>
      </c>
      <c r="B253" s="16">
        <v>71.0</v>
      </c>
      <c r="C253" s="22" t="s">
        <v>239</v>
      </c>
      <c r="D253" s="23">
        <v>451302.18</v>
      </c>
      <c r="E253" s="24" t="s">
        <v>48</v>
      </c>
    </row>
    <row r="254">
      <c r="A254" s="11">
        <v>7250.0</v>
      </c>
      <c r="B254" s="16">
        <v>56.0</v>
      </c>
      <c r="C254" s="22" t="s">
        <v>231</v>
      </c>
      <c r="D254" s="23">
        <v>404240.79</v>
      </c>
      <c r="E254" s="24" t="s">
        <v>31</v>
      </c>
    </row>
    <row r="255">
      <c r="A255" s="11">
        <v>7251.0</v>
      </c>
      <c r="B255" s="16">
        <v>7.0</v>
      </c>
      <c r="C255" s="22" t="s">
        <v>240</v>
      </c>
      <c r="D255" s="23">
        <v>549081.87</v>
      </c>
      <c r="E255" s="24" t="s">
        <v>31</v>
      </c>
    </row>
    <row r="256">
      <c r="A256" s="11">
        <v>7252.0</v>
      </c>
      <c r="B256" s="16">
        <v>7.0</v>
      </c>
      <c r="C256" s="22" t="s">
        <v>241</v>
      </c>
      <c r="D256" s="23">
        <v>676558.15</v>
      </c>
      <c r="E256" s="24" t="s">
        <v>29</v>
      </c>
    </row>
    <row r="257">
      <c r="A257" s="11">
        <v>7253.0</v>
      </c>
      <c r="B257" s="16">
        <v>79.0</v>
      </c>
      <c r="C257" s="22" t="s">
        <v>97</v>
      </c>
      <c r="D257" s="23">
        <v>445.52</v>
      </c>
      <c r="E257" s="24" t="s">
        <v>31</v>
      </c>
    </row>
    <row r="258">
      <c r="A258" s="11">
        <v>7254.0</v>
      </c>
      <c r="B258" s="16">
        <v>24.0</v>
      </c>
      <c r="C258" s="22" t="s">
        <v>242</v>
      </c>
      <c r="D258" s="23">
        <v>7669.4</v>
      </c>
      <c r="E258" s="24" t="s">
        <v>31</v>
      </c>
    </row>
    <row r="259">
      <c r="A259" s="11">
        <v>7255.0</v>
      </c>
      <c r="B259" s="16">
        <v>7.0</v>
      </c>
      <c r="C259" s="22" t="s">
        <v>243</v>
      </c>
      <c r="D259" s="23">
        <v>1102.86</v>
      </c>
      <c r="E259" s="24" t="s">
        <v>31</v>
      </c>
    </row>
    <row r="260">
      <c r="A260" s="11">
        <v>7256.0</v>
      </c>
      <c r="B260" s="16">
        <v>39.0</v>
      </c>
      <c r="C260" s="22" t="s">
        <v>244</v>
      </c>
      <c r="D260" s="23">
        <v>99.4</v>
      </c>
      <c r="E260" s="24" t="s">
        <v>48</v>
      </c>
    </row>
    <row r="261">
      <c r="A261" s="11">
        <v>7257.0</v>
      </c>
      <c r="B261" s="16">
        <v>49.0</v>
      </c>
      <c r="C261" s="22" t="s">
        <v>245</v>
      </c>
      <c r="D261" s="23">
        <v>744.3</v>
      </c>
      <c r="E261" s="24" t="s">
        <v>31</v>
      </c>
    </row>
    <row r="262">
      <c r="A262" s="11">
        <v>7258.0</v>
      </c>
      <c r="B262" s="16">
        <v>16.0</v>
      </c>
      <c r="C262" s="22" t="s">
        <v>246</v>
      </c>
      <c r="D262" s="23">
        <v>11686.87</v>
      </c>
      <c r="E262" s="24" t="s">
        <v>33</v>
      </c>
    </row>
    <row r="263">
      <c r="A263" s="11">
        <v>7259.0</v>
      </c>
      <c r="B263" s="16">
        <v>41.0</v>
      </c>
      <c r="C263" s="22" t="s">
        <v>247</v>
      </c>
      <c r="D263" s="23">
        <v>82.63</v>
      </c>
      <c r="E263" s="24" t="s">
        <v>39</v>
      </c>
    </row>
    <row r="264">
      <c r="A264" s="11">
        <v>7260.0</v>
      </c>
      <c r="B264" s="16">
        <v>56.0</v>
      </c>
      <c r="C264" s="22" t="s">
        <v>248</v>
      </c>
      <c r="D264" s="23">
        <v>710.16</v>
      </c>
      <c r="E264" s="24" t="s">
        <v>31</v>
      </c>
    </row>
    <row r="265">
      <c r="A265" s="11">
        <v>7261.0</v>
      </c>
      <c r="B265" s="16">
        <v>46.0</v>
      </c>
      <c r="C265" s="22" t="s">
        <v>249</v>
      </c>
      <c r="D265" s="23">
        <v>156.78</v>
      </c>
      <c r="E265" s="24" t="s">
        <v>48</v>
      </c>
    </row>
    <row r="266">
      <c r="A266" s="11">
        <v>7262.0</v>
      </c>
      <c r="B266" s="16">
        <v>29.0</v>
      </c>
      <c r="C266" s="22" t="s">
        <v>250</v>
      </c>
      <c r="D266" s="23">
        <v>645746.71</v>
      </c>
      <c r="E266" s="24" t="s">
        <v>33</v>
      </c>
    </row>
    <row r="267">
      <c r="A267" s="11">
        <v>7263.0</v>
      </c>
      <c r="B267" s="16">
        <v>53.0</v>
      </c>
      <c r="C267" s="22" t="s">
        <v>239</v>
      </c>
      <c r="D267" s="23">
        <v>389.81</v>
      </c>
      <c r="E267" s="24" t="s">
        <v>39</v>
      </c>
    </row>
    <row r="268">
      <c r="A268" s="11">
        <v>7264.0</v>
      </c>
      <c r="B268" s="16">
        <v>86.0</v>
      </c>
      <c r="C268" s="22" t="s">
        <v>151</v>
      </c>
      <c r="D268" s="23">
        <v>7008.92</v>
      </c>
      <c r="E268" s="24" t="s">
        <v>39</v>
      </c>
    </row>
    <row r="269">
      <c r="A269" s="11">
        <v>7265.0</v>
      </c>
      <c r="B269" s="16">
        <v>37.0</v>
      </c>
      <c r="C269" s="22" t="s">
        <v>251</v>
      </c>
      <c r="D269" s="23">
        <v>1489.2</v>
      </c>
      <c r="E269" s="24" t="s">
        <v>33</v>
      </c>
    </row>
    <row r="270">
      <c r="A270" s="11">
        <v>7266.0</v>
      </c>
      <c r="B270" s="16">
        <v>64.0</v>
      </c>
      <c r="C270" s="22" t="s">
        <v>252</v>
      </c>
      <c r="D270" s="23">
        <v>3580.34</v>
      </c>
      <c r="E270" s="24" t="s">
        <v>33</v>
      </c>
    </row>
    <row r="271">
      <c r="A271" s="11">
        <v>7267.0</v>
      </c>
      <c r="B271" s="16">
        <v>3.0</v>
      </c>
      <c r="C271" s="22" t="s">
        <v>253</v>
      </c>
      <c r="D271" s="23">
        <v>601601.31</v>
      </c>
      <c r="E271" s="24" t="s">
        <v>39</v>
      </c>
    </row>
    <row r="272">
      <c r="A272" s="11">
        <v>7268.0</v>
      </c>
      <c r="B272" s="16">
        <v>22.0</v>
      </c>
      <c r="C272" s="22" t="s">
        <v>254</v>
      </c>
      <c r="D272" s="23">
        <v>7363.57</v>
      </c>
      <c r="E272" s="24" t="s">
        <v>39</v>
      </c>
    </row>
    <row r="273">
      <c r="A273" s="11">
        <v>7269.0</v>
      </c>
      <c r="B273" s="16">
        <v>46.0</v>
      </c>
      <c r="C273" s="22" t="s">
        <v>255</v>
      </c>
      <c r="D273" s="23">
        <v>55362.17</v>
      </c>
      <c r="E273" s="24" t="s">
        <v>31</v>
      </c>
    </row>
    <row r="274">
      <c r="A274" s="11">
        <v>7270.0</v>
      </c>
      <c r="B274" s="16">
        <v>25.0</v>
      </c>
      <c r="C274" s="22" t="s">
        <v>256</v>
      </c>
      <c r="D274" s="23">
        <v>546009.16</v>
      </c>
      <c r="E274" s="24" t="s">
        <v>33</v>
      </c>
    </row>
    <row r="275">
      <c r="A275" s="11">
        <v>7271.0</v>
      </c>
      <c r="B275" s="16">
        <v>42.0</v>
      </c>
      <c r="C275" s="22" t="s">
        <v>74</v>
      </c>
      <c r="D275" s="23">
        <v>69.9</v>
      </c>
      <c r="E275" s="24" t="s">
        <v>31</v>
      </c>
    </row>
    <row r="276">
      <c r="A276" s="11">
        <v>7272.0</v>
      </c>
      <c r="B276" s="16">
        <v>65.0</v>
      </c>
      <c r="C276" s="22" t="s">
        <v>244</v>
      </c>
      <c r="D276" s="23">
        <v>335.83</v>
      </c>
      <c r="E276" s="24" t="s">
        <v>48</v>
      </c>
    </row>
    <row r="277">
      <c r="A277" s="11">
        <v>7273.0</v>
      </c>
      <c r="B277" s="16">
        <v>6.0</v>
      </c>
      <c r="C277" s="22" t="s">
        <v>257</v>
      </c>
      <c r="D277" s="23">
        <v>58.92</v>
      </c>
      <c r="E277" s="24" t="s">
        <v>31</v>
      </c>
    </row>
    <row r="278">
      <c r="A278" s="11">
        <v>7274.0</v>
      </c>
      <c r="B278" s="16">
        <v>52.0</v>
      </c>
      <c r="C278" s="22" t="s">
        <v>258</v>
      </c>
      <c r="D278" s="23">
        <v>8982.45</v>
      </c>
      <c r="E278" s="24" t="s">
        <v>48</v>
      </c>
    </row>
    <row r="279">
      <c r="A279" s="11">
        <v>7275.0</v>
      </c>
      <c r="B279" s="16">
        <v>71.0</v>
      </c>
      <c r="C279" s="22" t="s">
        <v>259</v>
      </c>
      <c r="D279" s="23">
        <v>61.19</v>
      </c>
      <c r="E279" s="24" t="s">
        <v>48</v>
      </c>
    </row>
    <row r="280">
      <c r="A280" s="11">
        <v>7276.0</v>
      </c>
      <c r="B280" s="16">
        <v>50.0</v>
      </c>
      <c r="C280" s="22" t="s">
        <v>260</v>
      </c>
      <c r="D280" s="23">
        <v>8207.53</v>
      </c>
      <c r="E280" s="24" t="s">
        <v>39</v>
      </c>
    </row>
    <row r="281">
      <c r="A281" s="11">
        <v>7277.0</v>
      </c>
      <c r="B281" s="16">
        <v>48.0</v>
      </c>
      <c r="C281" s="22" t="s">
        <v>235</v>
      </c>
      <c r="D281" s="23">
        <v>13440.23</v>
      </c>
      <c r="E281" s="24" t="s">
        <v>29</v>
      </c>
    </row>
    <row r="282">
      <c r="A282" s="11">
        <v>7278.0</v>
      </c>
      <c r="B282" s="16">
        <v>9.0</v>
      </c>
      <c r="C282" s="22" t="s">
        <v>243</v>
      </c>
      <c r="D282" s="23">
        <v>356999.49</v>
      </c>
      <c r="E282" s="24" t="s">
        <v>29</v>
      </c>
    </row>
    <row r="283">
      <c r="A283" s="11">
        <v>7279.0</v>
      </c>
      <c r="B283" s="16">
        <v>88.0</v>
      </c>
      <c r="C283" s="22" t="s">
        <v>261</v>
      </c>
      <c r="D283" s="23">
        <v>25.69</v>
      </c>
      <c r="E283" s="24" t="s">
        <v>39</v>
      </c>
    </row>
    <row r="284">
      <c r="A284" s="11">
        <v>7280.0</v>
      </c>
      <c r="B284" s="16">
        <v>15.0</v>
      </c>
      <c r="C284" s="22" t="s">
        <v>262</v>
      </c>
      <c r="D284" s="23">
        <v>18.64</v>
      </c>
      <c r="E284" s="24" t="s">
        <v>39</v>
      </c>
    </row>
    <row r="285">
      <c r="A285" s="11">
        <v>7281.0</v>
      </c>
      <c r="B285" s="16">
        <v>76.0</v>
      </c>
      <c r="C285" s="22" t="s">
        <v>263</v>
      </c>
      <c r="D285" s="23">
        <v>811680.56</v>
      </c>
      <c r="E285" s="24" t="s">
        <v>29</v>
      </c>
    </row>
    <row r="286">
      <c r="A286" s="11">
        <v>7282.0</v>
      </c>
      <c r="B286" s="16">
        <v>14.0</v>
      </c>
      <c r="C286" s="22" t="s">
        <v>170</v>
      </c>
      <c r="D286" s="23">
        <v>232.44</v>
      </c>
      <c r="E286" s="24" t="s">
        <v>33</v>
      </c>
    </row>
    <row r="287">
      <c r="A287" s="11">
        <v>7283.0</v>
      </c>
      <c r="B287" s="16">
        <v>30.0</v>
      </c>
      <c r="C287" s="22" t="s">
        <v>264</v>
      </c>
      <c r="D287" s="23">
        <v>19675.8</v>
      </c>
      <c r="E287" s="24" t="s">
        <v>39</v>
      </c>
    </row>
    <row r="288">
      <c r="A288" s="11">
        <v>7284.0</v>
      </c>
      <c r="B288" s="16">
        <v>35.0</v>
      </c>
      <c r="C288" s="22" t="s">
        <v>265</v>
      </c>
      <c r="D288" s="23">
        <v>72.76</v>
      </c>
      <c r="E288" s="24" t="s">
        <v>48</v>
      </c>
    </row>
    <row r="289">
      <c r="A289" s="11">
        <v>7285.0</v>
      </c>
      <c r="B289" s="16">
        <v>60.0</v>
      </c>
      <c r="C289" s="22" t="s">
        <v>35</v>
      </c>
      <c r="D289" s="23">
        <v>80.57</v>
      </c>
      <c r="E289" s="24" t="s">
        <v>48</v>
      </c>
    </row>
    <row r="290">
      <c r="A290" s="11">
        <v>7286.0</v>
      </c>
      <c r="B290" s="16">
        <v>83.0</v>
      </c>
      <c r="C290" s="22" t="s">
        <v>266</v>
      </c>
      <c r="D290" s="23">
        <v>539.23</v>
      </c>
      <c r="E290" s="24" t="s">
        <v>33</v>
      </c>
    </row>
    <row r="291">
      <c r="A291" s="11">
        <v>7287.0</v>
      </c>
      <c r="B291" s="16">
        <v>6.0</v>
      </c>
      <c r="C291" s="22" t="s">
        <v>214</v>
      </c>
      <c r="D291" s="23">
        <v>58805.19</v>
      </c>
      <c r="E291" s="24" t="s">
        <v>48</v>
      </c>
    </row>
    <row r="292">
      <c r="A292" s="11">
        <v>7288.0</v>
      </c>
      <c r="B292" s="16">
        <v>14.0</v>
      </c>
      <c r="C292" s="22" t="s">
        <v>267</v>
      </c>
      <c r="D292" s="23">
        <v>84687.32</v>
      </c>
      <c r="E292" s="24" t="s">
        <v>33</v>
      </c>
    </row>
    <row r="293">
      <c r="A293" s="11">
        <v>7289.0</v>
      </c>
      <c r="B293" s="16">
        <v>21.0</v>
      </c>
      <c r="C293" s="22" t="s">
        <v>199</v>
      </c>
      <c r="D293" s="23">
        <v>951175.98</v>
      </c>
      <c r="E293" s="24" t="s">
        <v>33</v>
      </c>
    </row>
    <row r="294">
      <c r="A294" s="11">
        <v>7290.0</v>
      </c>
      <c r="B294" s="16">
        <v>78.0</v>
      </c>
      <c r="C294" s="22" t="s">
        <v>268</v>
      </c>
      <c r="D294" s="23">
        <v>18.85</v>
      </c>
      <c r="E294" s="24" t="s">
        <v>29</v>
      </c>
    </row>
    <row r="295">
      <c r="A295" s="11">
        <v>7291.0</v>
      </c>
      <c r="B295" s="16">
        <v>82.0</v>
      </c>
      <c r="C295" s="22" t="s">
        <v>269</v>
      </c>
      <c r="D295" s="23">
        <v>381.94</v>
      </c>
      <c r="E295" s="24" t="s">
        <v>39</v>
      </c>
    </row>
    <row r="296">
      <c r="A296" s="11">
        <v>7292.0</v>
      </c>
      <c r="B296" s="16">
        <v>72.0</v>
      </c>
      <c r="C296" s="22" t="s">
        <v>270</v>
      </c>
      <c r="D296" s="23">
        <v>310.66</v>
      </c>
      <c r="E296" s="24" t="s">
        <v>31</v>
      </c>
    </row>
    <row r="297">
      <c r="A297" s="11">
        <v>7293.0</v>
      </c>
      <c r="B297" s="16">
        <v>58.0</v>
      </c>
      <c r="C297" s="22" t="s">
        <v>271</v>
      </c>
      <c r="D297" s="23">
        <v>194.58</v>
      </c>
      <c r="E297" s="24" t="s">
        <v>29</v>
      </c>
    </row>
    <row r="298">
      <c r="A298" s="11">
        <v>7294.0</v>
      </c>
      <c r="B298" s="16">
        <v>79.0</v>
      </c>
      <c r="C298" s="22" t="s">
        <v>272</v>
      </c>
      <c r="D298" s="23">
        <v>28597.3</v>
      </c>
      <c r="E298" s="24" t="s">
        <v>48</v>
      </c>
    </row>
    <row r="299">
      <c r="A299" s="11">
        <v>7295.0</v>
      </c>
      <c r="B299" s="16">
        <v>60.0</v>
      </c>
      <c r="C299" s="22" t="s">
        <v>273</v>
      </c>
      <c r="D299" s="23">
        <v>28.31</v>
      </c>
      <c r="E299" s="24" t="s">
        <v>31</v>
      </c>
    </row>
    <row r="300">
      <c r="A300" s="11">
        <v>7296.0</v>
      </c>
      <c r="B300" s="16">
        <v>93.0</v>
      </c>
      <c r="C300" s="22" t="s">
        <v>274</v>
      </c>
      <c r="D300" s="23">
        <v>3585.27</v>
      </c>
      <c r="E300" s="24" t="s">
        <v>39</v>
      </c>
    </row>
    <row r="301">
      <c r="A301" s="11">
        <v>7297.0</v>
      </c>
      <c r="B301" s="16">
        <v>25.0</v>
      </c>
      <c r="C301" s="22" t="s">
        <v>275</v>
      </c>
      <c r="D301" s="23">
        <v>7374.66</v>
      </c>
      <c r="E301" s="24" t="s">
        <v>29</v>
      </c>
    </row>
    <row r="302">
      <c r="A302" s="11">
        <v>7298.0</v>
      </c>
      <c r="B302" s="16">
        <v>22.0</v>
      </c>
      <c r="C302" s="22" t="s">
        <v>276</v>
      </c>
      <c r="D302" s="23">
        <v>556649.63</v>
      </c>
      <c r="E302" s="24" t="s">
        <v>39</v>
      </c>
    </row>
    <row r="303">
      <c r="A303" s="11">
        <v>7299.0</v>
      </c>
      <c r="B303" s="16">
        <v>10.0</v>
      </c>
      <c r="C303" s="22" t="s">
        <v>277</v>
      </c>
      <c r="D303" s="23">
        <v>706292.37</v>
      </c>
      <c r="E303" s="24" t="s">
        <v>29</v>
      </c>
    </row>
    <row r="304">
      <c r="A304" s="11">
        <v>7300.0</v>
      </c>
      <c r="B304" s="16">
        <v>36.0</v>
      </c>
      <c r="C304" s="22" t="s">
        <v>278</v>
      </c>
      <c r="D304" s="23">
        <v>903.3</v>
      </c>
      <c r="E304" s="24" t="s">
        <v>33</v>
      </c>
    </row>
    <row r="305">
      <c r="A305" s="11">
        <v>7301.0</v>
      </c>
      <c r="B305" s="16">
        <v>68.0</v>
      </c>
      <c r="C305" s="22" t="s">
        <v>94</v>
      </c>
      <c r="D305" s="23">
        <v>168774.58</v>
      </c>
      <c r="E305" s="24" t="s">
        <v>39</v>
      </c>
    </row>
    <row r="306">
      <c r="A306" s="11">
        <v>7302.0</v>
      </c>
      <c r="B306" s="16">
        <v>81.0</v>
      </c>
      <c r="C306" s="22" t="s">
        <v>279</v>
      </c>
      <c r="D306" s="23">
        <v>283.5</v>
      </c>
      <c r="E306" s="24" t="s">
        <v>48</v>
      </c>
    </row>
    <row r="307">
      <c r="A307" s="11">
        <v>7303.0</v>
      </c>
      <c r="B307" s="16">
        <v>78.0</v>
      </c>
      <c r="C307" s="22" t="s">
        <v>280</v>
      </c>
      <c r="D307" s="23">
        <v>50.37</v>
      </c>
      <c r="E307" s="24" t="s">
        <v>39</v>
      </c>
    </row>
    <row r="308">
      <c r="A308" s="11">
        <v>7304.0</v>
      </c>
      <c r="B308" s="16">
        <v>76.0</v>
      </c>
      <c r="C308" s="22" t="s">
        <v>128</v>
      </c>
      <c r="D308" s="23">
        <v>23909.15</v>
      </c>
      <c r="E308" s="24" t="s">
        <v>39</v>
      </c>
    </row>
    <row r="309">
      <c r="A309" s="11">
        <v>7305.0</v>
      </c>
      <c r="B309" s="16">
        <v>57.0</v>
      </c>
      <c r="C309" s="22" t="s">
        <v>55</v>
      </c>
      <c r="D309" s="23">
        <v>380.13</v>
      </c>
      <c r="E309" s="24" t="s">
        <v>39</v>
      </c>
    </row>
    <row r="310">
      <c r="A310" s="11">
        <v>7306.0</v>
      </c>
      <c r="B310" s="16">
        <v>97.0</v>
      </c>
      <c r="C310" s="22" t="s">
        <v>281</v>
      </c>
      <c r="D310" s="23">
        <v>1291.67</v>
      </c>
      <c r="E310" s="24" t="s">
        <v>48</v>
      </c>
    </row>
    <row r="311">
      <c r="A311" s="11">
        <v>7307.0</v>
      </c>
      <c r="B311" s="16">
        <v>83.0</v>
      </c>
      <c r="C311" s="22" t="s">
        <v>152</v>
      </c>
      <c r="D311" s="23">
        <v>252.23</v>
      </c>
      <c r="E311" s="24" t="s">
        <v>29</v>
      </c>
    </row>
    <row r="312">
      <c r="A312" s="11">
        <v>7308.0</v>
      </c>
      <c r="B312" s="16">
        <v>7.0</v>
      </c>
      <c r="C312" s="22" t="s">
        <v>282</v>
      </c>
      <c r="D312" s="23">
        <v>3251.93</v>
      </c>
      <c r="E312" s="24" t="s">
        <v>33</v>
      </c>
    </row>
    <row r="313">
      <c r="A313" s="11">
        <v>7309.0</v>
      </c>
      <c r="B313" s="16">
        <v>96.0</v>
      </c>
      <c r="C313" s="22" t="s">
        <v>283</v>
      </c>
      <c r="D313" s="23">
        <v>401.75</v>
      </c>
      <c r="E313" s="24" t="s">
        <v>39</v>
      </c>
    </row>
    <row r="314">
      <c r="A314" s="11">
        <v>7310.0</v>
      </c>
      <c r="B314" s="16">
        <v>99.0</v>
      </c>
      <c r="C314" s="22" t="s">
        <v>115</v>
      </c>
      <c r="D314" s="23">
        <v>65631.9</v>
      </c>
      <c r="E314" s="24" t="s">
        <v>48</v>
      </c>
    </row>
    <row r="315">
      <c r="A315" s="11">
        <v>7311.0</v>
      </c>
      <c r="B315" s="16">
        <v>72.0</v>
      </c>
      <c r="C315" s="22" t="s">
        <v>111</v>
      </c>
      <c r="D315" s="23">
        <v>52918.11</v>
      </c>
      <c r="E315" s="24" t="s">
        <v>39</v>
      </c>
    </row>
    <row r="316">
      <c r="A316" s="11">
        <v>7312.0</v>
      </c>
      <c r="B316" s="16">
        <v>85.0</v>
      </c>
      <c r="C316" s="22" t="s">
        <v>284</v>
      </c>
      <c r="D316" s="23">
        <v>290.44</v>
      </c>
      <c r="E316" s="24" t="s">
        <v>39</v>
      </c>
    </row>
    <row r="317">
      <c r="A317" s="11">
        <v>7313.0</v>
      </c>
      <c r="B317" s="16">
        <v>81.0</v>
      </c>
      <c r="C317" s="22" t="s">
        <v>285</v>
      </c>
      <c r="D317" s="23">
        <v>299.45</v>
      </c>
      <c r="E317" s="24" t="s">
        <v>48</v>
      </c>
    </row>
    <row r="318">
      <c r="A318" s="11">
        <v>7314.0</v>
      </c>
      <c r="B318" s="16">
        <v>16.0</v>
      </c>
      <c r="C318" s="22" t="s">
        <v>286</v>
      </c>
      <c r="D318" s="23">
        <v>12698.4</v>
      </c>
      <c r="E318" s="24" t="s">
        <v>33</v>
      </c>
    </row>
    <row r="319">
      <c r="A319" s="11">
        <v>7315.0</v>
      </c>
      <c r="B319" s="16">
        <v>83.0</v>
      </c>
      <c r="C319" s="22" t="s">
        <v>234</v>
      </c>
      <c r="D319" s="23">
        <v>410720.45</v>
      </c>
      <c r="E319" s="24" t="s">
        <v>29</v>
      </c>
    </row>
    <row r="320">
      <c r="A320" s="11">
        <v>7316.0</v>
      </c>
      <c r="B320" s="16">
        <v>20.0</v>
      </c>
      <c r="C320" s="22" t="s">
        <v>287</v>
      </c>
      <c r="D320" s="23">
        <v>77408.7</v>
      </c>
      <c r="E320" s="24" t="s">
        <v>33</v>
      </c>
    </row>
    <row r="321">
      <c r="A321" s="11">
        <v>7317.0</v>
      </c>
      <c r="B321" s="16">
        <v>60.0</v>
      </c>
      <c r="C321" s="22" t="s">
        <v>288</v>
      </c>
      <c r="D321" s="23">
        <v>172.47</v>
      </c>
      <c r="E321" s="24" t="s">
        <v>33</v>
      </c>
    </row>
    <row r="322">
      <c r="A322" s="11">
        <v>7318.0</v>
      </c>
      <c r="B322" s="16">
        <v>79.0</v>
      </c>
      <c r="C322" s="22" t="s">
        <v>218</v>
      </c>
      <c r="D322" s="23">
        <v>36741.21</v>
      </c>
      <c r="E322" s="24" t="s">
        <v>33</v>
      </c>
    </row>
    <row r="323">
      <c r="A323" s="11">
        <v>7319.0</v>
      </c>
      <c r="B323" s="16">
        <v>18.0</v>
      </c>
      <c r="C323" s="22" t="s">
        <v>197</v>
      </c>
      <c r="D323" s="23">
        <v>8347.39</v>
      </c>
      <c r="E323" s="24" t="s">
        <v>31</v>
      </c>
    </row>
    <row r="324">
      <c r="A324" s="11">
        <v>7320.0</v>
      </c>
      <c r="B324" s="16">
        <v>73.0</v>
      </c>
      <c r="C324" s="22" t="s">
        <v>289</v>
      </c>
      <c r="D324" s="23">
        <v>99.54</v>
      </c>
      <c r="E324" s="24" t="s">
        <v>48</v>
      </c>
    </row>
    <row r="325">
      <c r="A325" s="11">
        <v>7321.0</v>
      </c>
      <c r="B325" s="16">
        <v>33.0</v>
      </c>
      <c r="C325" s="22" t="s">
        <v>290</v>
      </c>
      <c r="D325" s="23">
        <v>994508.89</v>
      </c>
      <c r="E325" s="24" t="s">
        <v>33</v>
      </c>
    </row>
    <row r="326">
      <c r="A326" s="11">
        <v>7322.0</v>
      </c>
      <c r="B326" s="16">
        <v>64.0</v>
      </c>
      <c r="C326" s="22" t="s">
        <v>291</v>
      </c>
      <c r="D326" s="23">
        <v>42.19</v>
      </c>
      <c r="E326" s="24" t="s">
        <v>33</v>
      </c>
    </row>
    <row r="327">
      <c r="A327" s="11">
        <v>7323.0</v>
      </c>
      <c r="B327" s="16">
        <v>41.0</v>
      </c>
      <c r="C327" s="22" t="s">
        <v>292</v>
      </c>
      <c r="D327" s="23">
        <v>74698.1</v>
      </c>
      <c r="E327" s="24" t="s">
        <v>39</v>
      </c>
    </row>
    <row r="328">
      <c r="A328" s="11">
        <v>7324.0</v>
      </c>
      <c r="B328" s="16">
        <v>47.0</v>
      </c>
      <c r="C328" s="22" t="s">
        <v>293</v>
      </c>
      <c r="D328" s="23">
        <v>19.68</v>
      </c>
      <c r="E328" s="24" t="s">
        <v>48</v>
      </c>
    </row>
    <row r="329">
      <c r="A329" s="11">
        <v>7325.0</v>
      </c>
      <c r="B329" s="16">
        <v>98.0</v>
      </c>
      <c r="C329" s="22" t="s">
        <v>193</v>
      </c>
      <c r="D329" s="23">
        <v>427598.63</v>
      </c>
      <c r="E329" s="24" t="s">
        <v>33</v>
      </c>
    </row>
    <row r="330">
      <c r="A330" s="11">
        <v>7326.0</v>
      </c>
      <c r="B330" s="16">
        <v>46.0</v>
      </c>
      <c r="C330" s="22" t="s">
        <v>158</v>
      </c>
      <c r="D330" s="23">
        <v>681.44</v>
      </c>
      <c r="E330" s="24" t="s">
        <v>48</v>
      </c>
    </row>
    <row r="331">
      <c r="A331" s="11">
        <v>7327.0</v>
      </c>
      <c r="B331" s="16">
        <v>81.0</v>
      </c>
      <c r="C331" s="22" t="s">
        <v>294</v>
      </c>
      <c r="D331" s="23">
        <v>62.34</v>
      </c>
      <c r="E331" s="24" t="s">
        <v>31</v>
      </c>
    </row>
    <row r="332">
      <c r="A332" s="11">
        <v>7328.0</v>
      </c>
      <c r="B332" s="16">
        <v>18.0</v>
      </c>
      <c r="C332" s="22" t="s">
        <v>60</v>
      </c>
      <c r="D332" s="23">
        <v>4610.0</v>
      </c>
      <c r="E332" s="24" t="s">
        <v>33</v>
      </c>
    </row>
    <row r="333">
      <c r="A333" s="11">
        <v>7329.0</v>
      </c>
      <c r="B333" s="16">
        <v>52.0</v>
      </c>
      <c r="C333" s="22" t="s">
        <v>70</v>
      </c>
      <c r="D333" s="23">
        <v>9185.81</v>
      </c>
      <c r="E333" s="24" t="s">
        <v>48</v>
      </c>
    </row>
    <row r="334">
      <c r="A334" s="11">
        <v>7330.0</v>
      </c>
      <c r="B334" s="16">
        <v>22.0</v>
      </c>
      <c r="C334" s="22" t="s">
        <v>295</v>
      </c>
      <c r="D334" s="23">
        <v>432.49</v>
      </c>
      <c r="E334" s="24" t="s">
        <v>48</v>
      </c>
    </row>
    <row r="335">
      <c r="A335" s="11">
        <v>7331.0</v>
      </c>
      <c r="B335" s="16">
        <v>51.0</v>
      </c>
      <c r="C335" s="22" t="s">
        <v>296</v>
      </c>
      <c r="D335" s="23">
        <v>56.88</v>
      </c>
      <c r="E335" s="24" t="s">
        <v>48</v>
      </c>
    </row>
    <row r="336">
      <c r="A336" s="11">
        <v>7332.0</v>
      </c>
      <c r="B336" s="16">
        <v>54.0</v>
      </c>
      <c r="C336" s="22" t="s">
        <v>297</v>
      </c>
      <c r="D336" s="23">
        <v>88.48</v>
      </c>
      <c r="E336" s="24" t="s">
        <v>39</v>
      </c>
    </row>
    <row r="337">
      <c r="A337" s="11">
        <v>7333.0</v>
      </c>
      <c r="B337" s="16">
        <v>42.0</v>
      </c>
      <c r="C337" s="22" t="s">
        <v>298</v>
      </c>
      <c r="D337" s="23">
        <v>534.88</v>
      </c>
      <c r="E337" s="24" t="s">
        <v>48</v>
      </c>
    </row>
    <row r="338">
      <c r="A338" s="11">
        <v>7334.0</v>
      </c>
      <c r="B338" s="16">
        <v>39.0</v>
      </c>
      <c r="C338" s="22" t="s">
        <v>299</v>
      </c>
      <c r="D338" s="23">
        <v>96.44</v>
      </c>
      <c r="E338" s="24" t="s">
        <v>31</v>
      </c>
    </row>
    <row r="339">
      <c r="A339" s="11">
        <v>7335.0</v>
      </c>
      <c r="B339" s="16">
        <v>95.0</v>
      </c>
      <c r="C339" s="22" t="s">
        <v>300</v>
      </c>
      <c r="D339" s="23">
        <v>5348.15</v>
      </c>
      <c r="E339" s="24" t="s">
        <v>48</v>
      </c>
    </row>
    <row r="340">
      <c r="A340" s="11">
        <v>7336.0</v>
      </c>
      <c r="B340" s="16">
        <v>86.0</v>
      </c>
      <c r="C340" s="22" t="s">
        <v>215</v>
      </c>
      <c r="D340" s="23">
        <v>5510.96</v>
      </c>
      <c r="E340" s="24" t="s">
        <v>39</v>
      </c>
    </row>
    <row r="341">
      <c r="A341" s="11">
        <v>7337.0</v>
      </c>
      <c r="B341" s="16">
        <v>94.0</v>
      </c>
      <c r="C341" s="22" t="s">
        <v>301</v>
      </c>
      <c r="D341" s="23">
        <v>102919.49</v>
      </c>
      <c r="E341" s="24" t="s">
        <v>39</v>
      </c>
    </row>
    <row r="342">
      <c r="A342" s="11">
        <v>7338.0</v>
      </c>
      <c r="B342" s="16">
        <v>10.0</v>
      </c>
      <c r="C342" s="22" t="s">
        <v>84</v>
      </c>
      <c r="D342" s="23">
        <v>850.88</v>
      </c>
      <c r="E342" s="24" t="s">
        <v>33</v>
      </c>
    </row>
    <row r="343">
      <c r="A343" s="11">
        <v>7339.0</v>
      </c>
      <c r="B343" s="16">
        <v>54.0</v>
      </c>
      <c r="C343" s="22" t="s">
        <v>302</v>
      </c>
      <c r="D343" s="23">
        <v>21506.58</v>
      </c>
      <c r="E343" s="24" t="s">
        <v>39</v>
      </c>
    </row>
    <row r="344">
      <c r="A344" s="11">
        <v>7340.0</v>
      </c>
      <c r="B344" s="16">
        <v>26.0</v>
      </c>
      <c r="C344" s="22" t="s">
        <v>303</v>
      </c>
      <c r="D344" s="23">
        <v>35.38</v>
      </c>
      <c r="E344" s="24" t="s">
        <v>29</v>
      </c>
    </row>
    <row r="345">
      <c r="A345" s="11">
        <v>7341.0</v>
      </c>
      <c r="B345" s="16">
        <v>96.0</v>
      </c>
      <c r="C345" s="22" t="s">
        <v>172</v>
      </c>
      <c r="D345" s="23">
        <v>35184.62</v>
      </c>
      <c r="E345" s="24" t="s">
        <v>48</v>
      </c>
    </row>
    <row r="346">
      <c r="A346" s="11">
        <v>7342.0</v>
      </c>
      <c r="B346" s="16">
        <v>96.0</v>
      </c>
      <c r="C346" s="22" t="s">
        <v>304</v>
      </c>
      <c r="D346" s="23">
        <v>56931.91</v>
      </c>
      <c r="E346" s="24" t="s">
        <v>33</v>
      </c>
    </row>
    <row r="347">
      <c r="A347" s="11">
        <v>7343.0</v>
      </c>
      <c r="B347" s="16">
        <v>35.0</v>
      </c>
      <c r="C347" s="22" t="s">
        <v>296</v>
      </c>
      <c r="D347" s="23">
        <v>74.17</v>
      </c>
      <c r="E347" s="24" t="s">
        <v>29</v>
      </c>
    </row>
    <row r="348">
      <c r="A348" s="11">
        <v>7344.0</v>
      </c>
      <c r="B348" s="16">
        <v>28.0</v>
      </c>
      <c r="C348" s="22" t="s">
        <v>191</v>
      </c>
      <c r="D348" s="23">
        <v>807.97</v>
      </c>
      <c r="E348" s="24" t="s">
        <v>48</v>
      </c>
    </row>
    <row r="349">
      <c r="A349" s="11">
        <v>7345.0</v>
      </c>
      <c r="B349" s="16">
        <v>19.0</v>
      </c>
      <c r="C349" s="22" t="s">
        <v>76</v>
      </c>
      <c r="D349" s="23">
        <v>6877.93</v>
      </c>
      <c r="E349" s="24" t="s">
        <v>29</v>
      </c>
    </row>
    <row r="350">
      <c r="A350" s="11">
        <v>7346.0</v>
      </c>
      <c r="B350" s="16">
        <v>32.0</v>
      </c>
      <c r="C350" s="22" t="s">
        <v>63</v>
      </c>
      <c r="D350" s="23">
        <v>812.95</v>
      </c>
      <c r="E350" s="24" t="s">
        <v>48</v>
      </c>
    </row>
    <row r="351">
      <c r="A351" s="11">
        <v>7347.0</v>
      </c>
      <c r="B351" s="16">
        <v>52.0</v>
      </c>
      <c r="C351" s="22" t="s">
        <v>180</v>
      </c>
      <c r="D351" s="23">
        <v>64.92</v>
      </c>
      <c r="E351" s="24" t="s">
        <v>39</v>
      </c>
    </row>
    <row r="352">
      <c r="A352" s="11">
        <v>7348.0</v>
      </c>
      <c r="B352" s="16">
        <v>14.0</v>
      </c>
      <c r="C352" s="22" t="s">
        <v>134</v>
      </c>
      <c r="D352" s="23">
        <v>713.87</v>
      </c>
      <c r="E352" s="24" t="s">
        <v>39</v>
      </c>
    </row>
    <row r="353">
      <c r="A353" s="11">
        <v>7349.0</v>
      </c>
      <c r="B353" s="16">
        <v>45.0</v>
      </c>
      <c r="C353" s="22" t="s">
        <v>136</v>
      </c>
      <c r="D353" s="23">
        <v>2279.81</v>
      </c>
      <c r="E353" s="24" t="s">
        <v>39</v>
      </c>
    </row>
    <row r="354">
      <c r="A354" s="11">
        <v>7350.0</v>
      </c>
      <c r="B354" s="16">
        <v>93.0</v>
      </c>
      <c r="C354" s="22" t="s">
        <v>235</v>
      </c>
      <c r="D354" s="23">
        <v>22081.53</v>
      </c>
      <c r="E354" s="24" t="s">
        <v>48</v>
      </c>
    </row>
    <row r="355">
      <c r="A355" s="11">
        <v>7351.0</v>
      </c>
      <c r="B355" s="16">
        <v>5.0</v>
      </c>
      <c r="C355" s="22" t="s">
        <v>305</v>
      </c>
      <c r="D355" s="23">
        <v>23664.41</v>
      </c>
      <c r="E355" s="24" t="s">
        <v>33</v>
      </c>
    </row>
    <row r="356">
      <c r="A356" s="11">
        <v>7352.0</v>
      </c>
      <c r="B356" s="16">
        <v>8.0</v>
      </c>
      <c r="C356" s="22" t="s">
        <v>72</v>
      </c>
      <c r="D356" s="23">
        <v>78077.6</v>
      </c>
      <c r="E356" s="24" t="s">
        <v>29</v>
      </c>
    </row>
    <row r="357">
      <c r="A357" s="11">
        <v>7353.0</v>
      </c>
      <c r="B357" s="16">
        <v>40.0</v>
      </c>
      <c r="C357" s="22" t="s">
        <v>306</v>
      </c>
      <c r="D357" s="23">
        <v>813.99</v>
      </c>
      <c r="E357" s="24" t="s">
        <v>33</v>
      </c>
    </row>
    <row r="358">
      <c r="A358" s="11">
        <v>7354.0</v>
      </c>
      <c r="B358" s="16">
        <v>66.0</v>
      </c>
      <c r="C358" s="22" t="s">
        <v>306</v>
      </c>
      <c r="D358" s="23">
        <v>95471.45</v>
      </c>
      <c r="E358" s="24" t="s">
        <v>33</v>
      </c>
    </row>
    <row r="359">
      <c r="A359" s="11">
        <v>7355.0</v>
      </c>
      <c r="B359" s="16">
        <v>56.0</v>
      </c>
      <c r="C359" s="22" t="s">
        <v>307</v>
      </c>
      <c r="D359" s="23">
        <v>523172.79</v>
      </c>
      <c r="E359" s="24" t="s">
        <v>29</v>
      </c>
    </row>
    <row r="360">
      <c r="A360" s="11">
        <v>7356.0</v>
      </c>
      <c r="B360" s="16">
        <v>57.0</v>
      </c>
      <c r="C360" s="22" t="s">
        <v>75</v>
      </c>
      <c r="D360" s="23">
        <v>19.2</v>
      </c>
      <c r="E360" s="24" t="s">
        <v>29</v>
      </c>
    </row>
    <row r="361">
      <c r="A361" s="11">
        <v>7357.0</v>
      </c>
      <c r="B361" s="16">
        <v>33.0</v>
      </c>
      <c r="C361" s="22" t="s">
        <v>308</v>
      </c>
      <c r="D361" s="23">
        <v>4516.33</v>
      </c>
      <c r="E361" s="24" t="s">
        <v>33</v>
      </c>
    </row>
    <row r="362">
      <c r="A362" s="11">
        <v>7358.0</v>
      </c>
      <c r="B362" s="16">
        <v>64.0</v>
      </c>
      <c r="C362" s="22" t="s">
        <v>309</v>
      </c>
      <c r="D362" s="23">
        <v>762218.24</v>
      </c>
      <c r="E362" s="24" t="s">
        <v>39</v>
      </c>
    </row>
    <row r="363">
      <c r="A363" s="11">
        <v>7359.0</v>
      </c>
      <c r="B363" s="16">
        <v>59.0</v>
      </c>
      <c r="C363" s="22" t="s">
        <v>310</v>
      </c>
      <c r="D363" s="23">
        <v>68.77</v>
      </c>
      <c r="E363" s="24" t="s">
        <v>29</v>
      </c>
    </row>
    <row r="364">
      <c r="A364" s="11">
        <v>7360.0</v>
      </c>
      <c r="B364" s="16">
        <v>69.0</v>
      </c>
      <c r="C364" s="22" t="s">
        <v>194</v>
      </c>
      <c r="D364" s="23">
        <v>48.24</v>
      </c>
      <c r="E364" s="24" t="s">
        <v>29</v>
      </c>
    </row>
    <row r="365">
      <c r="A365" s="11">
        <v>7361.0</v>
      </c>
      <c r="B365" s="16">
        <v>69.0</v>
      </c>
      <c r="C365" s="22" t="s">
        <v>311</v>
      </c>
      <c r="D365" s="23">
        <v>10356.15</v>
      </c>
      <c r="E365" s="24" t="s">
        <v>39</v>
      </c>
    </row>
    <row r="366">
      <c r="A366" s="11">
        <v>7362.0</v>
      </c>
      <c r="B366" s="16">
        <v>40.0</v>
      </c>
      <c r="C366" s="22" t="s">
        <v>312</v>
      </c>
      <c r="D366" s="23">
        <v>26.16</v>
      </c>
      <c r="E366" s="24" t="s">
        <v>48</v>
      </c>
    </row>
    <row r="367">
      <c r="A367" s="11">
        <v>7363.0</v>
      </c>
      <c r="B367" s="16">
        <v>13.0</v>
      </c>
      <c r="C367" s="22" t="s">
        <v>313</v>
      </c>
      <c r="D367" s="23">
        <v>69043.62</v>
      </c>
      <c r="E367" s="24" t="s">
        <v>33</v>
      </c>
    </row>
    <row r="368">
      <c r="A368" s="11">
        <v>7364.0</v>
      </c>
      <c r="B368" s="16">
        <v>47.0</v>
      </c>
      <c r="C368" s="22" t="s">
        <v>65</v>
      </c>
      <c r="D368" s="23">
        <v>425623.22</v>
      </c>
      <c r="E368" s="24" t="s">
        <v>33</v>
      </c>
    </row>
    <row r="369">
      <c r="A369" s="11">
        <v>7365.0</v>
      </c>
      <c r="B369" s="16">
        <v>91.0</v>
      </c>
      <c r="C369" s="22" t="s">
        <v>274</v>
      </c>
      <c r="D369" s="23">
        <v>52967.87</v>
      </c>
      <c r="E369" s="24" t="s">
        <v>31</v>
      </c>
    </row>
    <row r="370">
      <c r="A370" s="11">
        <v>7366.0</v>
      </c>
      <c r="B370" s="16">
        <v>36.0</v>
      </c>
      <c r="C370" s="22" t="s">
        <v>314</v>
      </c>
      <c r="D370" s="23">
        <v>2808.4</v>
      </c>
      <c r="E370" s="24" t="s">
        <v>39</v>
      </c>
    </row>
    <row r="371">
      <c r="A371" s="11">
        <v>7367.0</v>
      </c>
      <c r="B371" s="16">
        <v>38.0</v>
      </c>
      <c r="C371" s="22" t="s">
        <v>315</v>
      </c>
      <c r="D371" s="23">
        <v>3574.31</v>
      </c>
      <c r="E371" s="24" t="s">
        <v>31</v>
      </c>
    </row>
    <row r="372">
      <c r="A372" s="11">
        <v>7368.0</v>
      </c>
      <c r="B372" s="16">
        <v>54.0</v>
      </c>
      <c r="C372" s="22" t="s">
        <v>316</v>
      </c>
      <c r="D372" s="23">
        <v>71.84</v>
      </c>
      <c r="E372" s="24" t="s">
        <v>48</v>
      </c>
    </row>
    <row r="373">
      <c r="A373" s="11">
        <v>7369.0</v>
      </c>
      <c r="B373" s="16">
        <v>81.0</v>
      </c>
      <c r="C373" s="22" t="s">
        <v>183</v>
      </c>
      <c r="D373" s="23">
        <v>34.2</v>
      </c>
      <c r="E373" s="24" t="s">
        <v>48</v>
      </c>
    </row>
    <row r="374">
      <c r="A374" s="11">
        <v>7370.0</v>
      </c>
      <c r="B374" s="16">
        <v>60.0</v>
      </c>
      <c r="C374" s="22" t="s">
        <v>317</v>
      </c>
      <c r="D374" s="23">
        <v>41572.75</v>
      </c>
      <c r="E374" s="24" t="s">
        <v>31</v>
      </c>
    </row>
    <row r="375">
      <c r="A375" s="11">
        <v>7371.0</v>
      </c>
      <c r="B375" s="16">
        <v>83.0</v>
      </c>
      <c r="C375" s="22" t="s">
        <v>194</v>
      </c>
      <c r="D375" s="23">
        <v>54.28</v>
      </c>
      <c r="E375" s="24" t="s">
        <v>29</v>
      </c>
    </row>
    <row r="376">
      <c r="A376" s="11">
        <v>7372.0</v>
      </c>
      <c r="B376" s="16">
        <v>22.0</v>
      </c>
      <c r="C376" s="22" t="s">
        <v>42</v>
      </c>
      <c r="D376" s="23">
        <v>9517.15</v>
      </c>
      <c r="E376" s="24" t="s">
        <v>48</v>
      </c>
    </row>
    <row r="377">
      <c r="A377" s="11">
        <v>7373.0</v>
      </c>
      <c r="B377" s="16">
        <v>12.0</v>
      </c>
      <c r="C377" s="22" t="s">
        <v>318</v>
      </c>
      <c r="D377" s="23">
        <v>324.64</v>
      </c>
      <c r="E377" s="24" t="s">
        <v>29</v>
      </c>
    </row>
    <row r="378">
      <c r="A378" s="11">
        <v>7374.0</v>
      </c>
      <c r="B378" s="16">
        <v>27.0</v>
      </c>
      <c r="C378" s="22" t="s">
        <v>319</v>
      </c>
      <c r="D378" s="23">
        <v>1704.51</v>
      </c>
      <c r="E378" s="24" t="s">
        <v>33</v>
      </c>
    </row>
    <row r="379">
      <c r="A379" s="11">
        <v>7375.0</v>
      </c>
      <c r="B379" s="16">
        <v>44.0</v>
      </c>
      <c r="C379" s="22" t="s">
        <v>139</v>
      </c>
      <c r="D379" s="23">
        <v>279.31</v>
      </c>
      <c r="E379" s="24" t="s">
        <v>48</v>
      </c>
    </row>
    <row r="380">
      <c r="A380" s="11">
        <v>7376.0</v>
      </c>
      <c r="B380" s="16">
        <v>85.0</v>
      </c>
      <c r="C380" s="22" t="s">
        <v>148</v>
      </c>
      <c r="D380" s="23">
        <v>290.9</v>
      </c>
      <c r="E380" s="24" t="s">
        <v>31</v>
      </c>
    </row>
    <row r="381">
      <c r="A381" s="11">
        <v>7377.0</v>
      </c>
      <c r="B381" s="16">
        <v>89.0</v>
      </c>
      <c r="C381" s="22" t="s">
        <v>320</v>
      </c>
      <c r="D381" s="23">
        <v>254.41</v>
      </c>
      <c r="E381" s="24" t="s">
        <v>33</v>
      </c>
    </row>
    <row r="382">
      <c r="A382" s="11">
        <v>7378.0</v>
      </c>
      <c r="B382" s="16">
        <v>71.0</v>
      </c>
      <c r="C382" s="22" t="s">
        <v>321</v>
      </c>
      <c r="D382" s="23">
        <v>973.27</v>
      </c>
      <c r="E382" s="24" t="s">
        <v>39</v>
      </c>
    </row>
    <row r="383">
      <c r="A383" s="11">
        <v>7379.0</v>
      </c>
      <c r="B383" s="16">
        <v>92.0</v>
      </c>
      <c r="C383" s="22" t="s">
        <v>322</v>
      </c>
      <c r="D383" s="23">
        <v>4374.32</v>
      </c>
      <c r="E383" s="24" t="s">
        <v>29</v>
      </c>
    </row>
    <row r="384">
      <c r="A384" s="11">
        <v>7380.0</v>
      </c>
      <c r="B384" s="16">
        <v>83.0</v>
      </c>
      <c r="C384" s="22" t="s">
        <v>272</v>
      </c>
      <c r="D384" s="23">
        <v>5700.6</v>
      </c>
      <c r="E384" s="24" t="s">
        <v>29</v>
      </c>
    </row>
    <row r="385">
      <c r="A385" s="11">
        <v>7381.0</v>
      </c>
      <c r="B385" s="16">
        <v>32.0</v>
      </c>
      <c r="C385" s="22" t="s">
        <v>168</v>
      </c>
      <c r="D385" s="23">
        <v>377.94</v>
      </c>
      <c r="E385" s="24" t="s">
        <v>29</v>
      </c>
    </row>
    <row r="386">
      <c r="A386" s="11">
        <v>7382.0</v>
      </c>
      <c r="B386" s="16">
        <v>94.0</v>
      </c>
      <c r="C386" s="22" t="s">
        <v>128</v>
      </c>
      <c r="D386" s="23">
        <v>525.47</v>
      </c>
      <c r="E386" s="24" t="s">
        <v>39</v>
      </c>
    </row>
    <row r="387">
      <c r="A387" s="11">
        <v>7383.0</v>
      </c>
      <c r="B387" s="16">
        <v>14.0</v>
      </c>
      <c r="C387" s="22" t="s">
        <v>295</v>
      </c>
      <c r="D387" s="23">
        <v>105909.15</v>
      </c>
      <c r="E387" s="24" t="s">
        <v>39</v>
      </c>
    </row>
    <row r="388">
      <c r="A388" s="11">
        <v>7384.0</v>
      </c>
      <c r="B388" s="16">
        <v>13.0</v>
      </c>
      <c r="C388" s="22" t="s">
        <v>323</v>
      </c>
      <c r="D388" s="23">
        <v>10394.62</v>
      </c>
      <c r="E388" s="24" t="s">
        <v>39</v>
      </c>
    </row>
    <row r="389">
      <c r="A389" s="11">
        <v>7385.0</v>
      </c>
      <c r="B389" s="16">
        <v>55.0</v>
      </c>
      <c r="C389" s="22" t="s">
        <v>317</v>
      </c>
      <c r="D389" s="23">
        <v>95.77</v>
      </c>
      <c r="E389" s="24" t="s">
        <v>39</v>
      </c>
    </row>
    <row r="390">
      <c r="A390" s="11">
        <v>7386.0</v>
      </c>
      <c r="B390" s="16">
        <v>46.0</v>
      </c>
      <c r="C390" s="22" t="s">
        <v>324</v>
      </c>
      <c r="D390" s="23">
        <v>61600.44</v>
      </c>
      <c r="E390" s="24" t="s">
        <v>33</v>
      </c>
    </row>
    <row r="391">
      <c r="A391" s="11">
        <v>7387.0</v>
      </c>
      <c r="B391" s="16">
        <v>41.0</v>
      </c>
      <c r="C391" s="22" t="s">
        <v>71</v>
      </c>
      <c r="D391" s="23">
        <v>18063.9</v>
      </c>
      <c r="E391" s="24" t="s">
        <v>39</v>
      </c>
    </row>
    <row r="392">
      <c r="A392" s="11">
        <v>7388.0</v>
      </c>
      <c r="B392" s="16">
        <v>77.0</v>
      </c>
      <c r="C392" s="22" t="s">
        <v>325</v>
      </c>
      <c r="D392" s="23">
        <v>8012.64</v>
      </c>
      <c r="E392" s="24" t="s">
        <v>31</v>
      </c>
    </row>
    <row r="393">
      <c r="A393" s="11">
        <v>7389.0</v>
      </c>
      <c r="B393" s="16">
        <v>0.0</v>
      </c>
      <c r="C393" s="22" t="s">
        <v>326</v>
      </c>
      <c r="D393" s="23">
        <v>15.57</v>
      </c>
      <c r="E393" s="24" t="s">
        <v>39</v>
      </c>
    </row>
    <row r="394">
      <c r="A394" s="11">
        <v>7390.0</v>
      </c>
      <c r="B394" s="16">
        <v>10.0</v>
      </c>
      <c r="C394" s="22" t="s">
        <v>56</v>
      </c>
      <c r="D394" s="23">
        <v>280.56</v>
      </c>
      <c r="E394" s="24" t="s">
        <v>48</v>
      </c>
    </row>
    <row r="395">
      <c r="A395" s="11">
        <v>7391.0</v>
      </c>
      <c r="B395" s="16">
        <v>40.0</v>
      </c>
      <c r="C395" s="22" t="s">
        <v>327</v>
      </c>
      <c r="D395" s="23">
        <v>580054.31</v>
      </c>
      <c r="E395" s="24" t="s">
        <v>48</v>
      </c>
    </row>
    <row r="396">
      <c r="A396" s="11">
        <v>7392.0</v>
      </c>
      <c r="B396" s="16">
        <v>64.0</v>
      </c>
      <c r="C396" s="22" t="s">
        <v>328</v>
      </c>
      <c r="D396" s="23">
        <v>113.2</v>
      </c>
      <c r="E396" s="24" t="s">
        <v>29</v>
      </c>
    </row>
    <row r="397">
      <c r="A397" s="11">
        <v>7393.0</v>
      </c>
      <c r="B397" s="16">
        <v>28.0</v>
      </c>
      <c r="C397" s="22" t="s">
        <v>329</v>
      </c>
      <c r="D397" s="23">
        <v>7676.71</v>
      </c>
      <c r="E397" s="24" t="s">
        <v>33</v>
      </c>
    </row>
    <row r="398">
      <c r="A398" s="11">
        <v>7394.0</v>
      </c>
      <c r="B398" s="16">
        <v>81.0</v>
      </c>
      <c r="C398" s="22" t="s">
        <v>172</v>
      </c>
      <c r="D398" s="23">
        <v>16.53</v>
      </c>
      <c r="E398" s="24" t="s">
        <v>33</v>
      </c>
    </row>
    <row r="399">
      <c r="A399" s="11">
        <v>7395.0</v>
      </c>
      <c r="B399" s="16">
        <v>24.0</v>
      </c>
      <c r="C399" s="22" t="s">
        <v>330</v>
      </c>
      <c r="D399" s="23">
        <v>4308.48</v>
      </c>
      <c r="E399" s="24" t="s">
        <v>31</v>
      </c>
    </row>
    <row r="400">
      <c r="A400" s="11">
        <v>7396.0</v>
      </c>
      <c r="B400" s="16">
        <v>89.0</v>
      </c>
      <c r="C400" s="22" t="s">
        <v>225</v>
      </c>
      <c r="D400" s="23">
        <v>610574.32</v>
      </c>
      <c r="E400" s="24" t="s">
        <v>29</v>
      </c>
    </row>
    <row r="401">
      <c r="A401" s="11">
        <v>7397.0</v>
      </c>
      <c r="B401" s="16">
        <v>68.0</v>
      </c>
      <c r="C401" s="22" t="s">
        <v>280</v>
      </c>
      <c r="D401" s="23">
        <v>693.42</v>
      </c>
      <c r="E401" s="24" t="s">
        <v>39</v>
      </c>
    </row>
    <row r="402">
      <c r="A402" s="11">
        <v>7398.0</v>
      </c>
      <c r="B402" s="16">
        <v>75.0</v>
      </c>
      <c r="C402" s="22" t="s">
        <v>233</v>
      </c>
      <c r="D402" s="23">
        <v>1591.17</v>
      </c>
      <c r="E402" s="24" t="s">
        <v>39</v>
      </c>
    </row>
    <row r="403">
      <c r="A403" s="11">
        <v>7399.0</v>
      </c>
      <c r="B403" s="16">
        <v>11.0</v>
      </c>
      <c r="C403" s="22" t="s">
        <v>331</v>
      </c>
      <c r="D403" s="23">
        <v>37571.95</v>
      </c>
      <c r="E403" s="24" t="s">
        <v>29</v>
      </c>
    </row>
    <row r="404">
      <c r="A404" s="11">
        <v>7400.0</v>
      </c>
      <c r="B404" s="16">
        <v>57.0</v>
      </c>
      <c r="C404" s="22" t="s">
        <v>159</v>
      </c>
      <c r="D404" s="23">
        <v>354.61</v>
      </c>
      <c r="E404" s="24" t="s">
        <v>29</v>
      </c>
    </row>
    <row r="405">
      <c r="A405" s="11">
        <v>7401.0</v>
      </c>
      <c r="B405" s="16">
        <v>40.0</v>
      </c>
      <c r="C405" s="22" t="s">
        <v>332</v>
      </c>
      <c r="D405" s="23">
        <v>106.83</v>
      </c>
      <c r="E405" s="24" t="s">
        <v>48</v>
      </c>
    </row>
    <row r="406">
      <c r="A406" s="11">
        <v>7402.0</v>
      </c>
      <c r="B406" s="16">
        <v>57.0</v>
      </c>
      <c r="C406" s="22" t="s">
        <v>333</v>
      </c>
      <c r="D406" s="23">
        <v>2298.41</v>
      </c>
      <c r="E406" s="24" t="s">
        <v>29</v>
      </c>
    </row>
    <row r="407">
      <c r="A407" s="11">
        <v>7403.0</v>
      </c>
      <c r="B407" s="16">
        <v>93.0</v>
      </c>
      <c r="C407" s="22" t="s">
        <v>227</v>
      </c>
      <c r="D407" s="23">
        <v>40283.13</v>
      </c>
      <c r="E407" s="24" t="s">
        <v>48</v>
      </c>
    </row>
    <row r="408">
      <c r="A408" s="11">
        <v>7404.0</v>
      </c>
      <c r="B408" s="16">
        <v>72.0</v>
      </c>
      <c r="C408" s="22" t="s">
        <v>334</v>
      </c>
      <c r="D408" s="23">
        <v>90.98</v>
      </c>
      <c r="E408" s="24" t="s">
        <v>29</v>
      </c>
    </row>
    <row r="409">
      <c r="A409" s="11">
        <v>7405.0</v>
      </c>
      <c r="B409" s="16">
        <v>47.0</v>
      </c>
      <c r="C409" s="22" t="s">
        <v>195</v>
      </c>
      <c r="D409" s="23">
        <v>85786.24</v>
      </c>
      <c r="E409" s="24" t="s">
        <v>33</v>
      </c>
    </row>
    <row r="410">
      <c r="A410" s="11">
        <v>7406.0</v>
      </c>
      <c r="B410" s="16">
        <v>37.0</v>
      </c>
      <c r="C410" s="22" t="s">
        <v>335</v>
      </c>
      <c r="D410" s="23">
        <v>30.7</v>
      </c>
      <c r="E410" s="24" t="s">
        <v>48</v>
      </c>
    </row>
    <row r="411">
      <c r="A411" s="11">
        <v>7407.0</v>
      </c>
      <c r="B411" s="16">
        <v>64.0</v>
      </c>
      <c r="C411" s="22" t="s">
        <v>264</v>
      </c>
      <c r="D411" s="23">
        <v>149.49</v>
      </c>
      <c r="E411" s="24" t="s">
        <v>39</v>
      </c>
    </row>
    <row r="412">
      <c r="A412" s="11">
        <v>7408.0</v>
      </c>
      <c r="B412" s="16">
        <v>34.0</v>
      </c>
      <c r="C412" s="22" t="s">
        <v>70</v>
      </c>
      <c r="D412" s="23">
        <v>85.4</v>
      </c>
      <c r="E412" s="24" t="s">
        <v>33</v>
      </c>
    </row>
    <row r="413">
      <c r="A413" s="11">
        <v>7409.0</v>
      </c>
      <c r="B413" s="16">
        <v>76.0</v>
      </c>
      <c r="C413" s="22" t="s">
        <v>336</v>
      </c>
      <c r="D413" s="23">
        <v>59.18</v>
      </c>
      <c r="E413" s="24" t="s">
        <v>48</v>
      </c>
    </row>
    <row r="414">
      <c r="A414" s="11">
        <v>7410.0</v>
      </c>
      <c r="B414" s="16">
        <v>52.0</v>
      </c>
      <c r="C414" s="22" t="s">
        <v>134</v>
      </c>
      <c r="D414" s="23">
        <v>59.67</v>
      </c>
      <c r="E414" s="24" t="s">
        <v>29</v>
      </c>
    </row>
    <row r="415">
      <c r="A415" s="11">
        <v>7411.0</v>
      </c>
      <c r="B415" s="16">
        <v>98.0</v>
      </c>
      <c r="C415" s="22" t="s">
        <v>129</v>
      </c>
      <c r="D415" s="23">
        <v>425.64</v>
      </c>
      <c r="E415" s="24" t="s">
        <v>48</v>
      </c>
    </row>
    <row r="416">
      <c r="A416" s="11">
        <v>7412.0</v>
      </c>
      <c r="B416" s="16">
        <v>12.0</v>
      </c>
      <c r="C416" s="22" t="s">
        <v>200</v>
      </c>
      <c r="D416" s="23">
        <v>84.66</v>
      </c>
      <c r="E416" s="24" t="s">
        <v>48</v>
      </c>
    </row>
    <row r="417">
      <c r="A417" s="11">
        <v>7413.0</v>
      </c>
      <c r="B417" s="16">
        <v>40.0</v>
      </c>
      <c r="C417" s="22" t="s">
        <v>68</v>
      </c>
      <c r="D417" s="23">
        <v>795.56</v>
      </c>
      <c r="E417" s="24" t="s">
        <v>29</v>
      </c>
    </row>
    <row r="418">
      <c r="A418" s="11">
        <v>7414.0</v>
      </c>
      <c r="B418" s="16">
        <v>41.0</v>
      </c>
      <c r="C418" s="22" t="s">
        <v>337</v>
      </c>
      <c r="D418" s="23">
        <v>4248.21</v>
      </c>
      <c r="E418" s="24" t="s">
        <v>48</v>
      </c>
    </row>
    <row r="419">
      <c r="A419" s="11">
        <v>7415.0</v>
      </c>
      <c r="B419" s="16">
        <v>99.0</v>
      </c>
      <c r="C419" s="22" t="s">
        <v>338</v>
      </c>
      <c r="D419" s="23">
        <v>668446.16</v>
      </c>
      <c r="E419" s="24" t="s">
        <v>31</v>
      </c>
    </row>
    <row r="420">
      <c r="A420" s="11">
        <v>7416.0</v>
      </c>
      <c r="B420" s="16">
        <v>31.0</v>
      </c>
      <c r="C420" s="22" t="s">
        <v>339</v>
      </c>
      <c r="D420" s="23">
        <v>13.95</v>
      </c>
      <c r="E420" s="24" t="s">
        <v>48</v>
      </c>
    </row>
    <row r="421">
      <c r="A421" s="11">
        <v>7417.0</v>
      </c>
      <c r="B421" s="16">
        <v>58.0</v>
      </c>
      <c r="C421" s="22" t="s">
        <v>280</v>
      </c>
      <c r="D421" s="23">
        <v>431001.6</v>
      </c>
      <c r="E421" s="24" t="s">
        <v>31</v>
      </c>
    </row>
    <row r="422">
      <c r="A422" s="11">
        <v>7418.0</v>
      </c>
      <c r="B422" s="16">
        <v>63.0</v>
      </c>
      <c r="C422" s="22" t="s">
        <v>340</v>
      </c>
      <c r="D422" s="23">
        <v>2418.31</v>
      </c>
      <c r="E422" s="24" t="s">
        <v>29</v>
      </c>
    </row>
    <row r="423">
      <c r="A423" s="11">
        <v>7419.0</v>
      </c>
      <c r="B423" s="16">
        <v>98.0</v>
      </c>
      <c r="C423" s="22" t="s">
        <v>133</v>
      </c>
      <c r="D423" s="23">
        <v>5199.92</v>
      </c>
      <c r="E423" s="24" t="s">
        <v>29</v>
      </c>
    </row>
    <row r="424">
      <c r="A424" s="11">
        <v>7420.0</v>
      </c>
      <c r="B424" s="16">
        <v>77.0</v>
      </c>
      <c r="C424" s="22" t="s">
        <v>112</v>
      </c>
      <c r="D424" s="23">
        <v>991959.0</v>
      </c>
      <c r="E424" s="24" t="s">
        <v>33</v>
      </c>
    </row>
    <row r="425">
      <c r="A425" s="11">
        <v>7421.0</v>
      </c>
      <c r="B425" s="16">
        <v>82.0</v>
      </c>
      <c r="C425" s="22" t="s">
        <v>144</v>
      </c>
      <c r="D425" s="23">
        <v>402.99</v>
      </c>
      <c r="E425" s="24" t="s">
        <v>39</v>
      </c>
    </row>
    <row r="426">
      <c r="A426" s="11">
        <v>7422.0</v>
      </c>
      <c r="B426" s="16">
        <v>56.0</v>
      </c>
      <c r="C426" s="22" t="s">
        <v>341</v>
      </c>
      <c r="D426" s="23">
        <v>4396.91</v>
      </c>
      <c r="E426" s="24" t="s">
        <v>48</v>
      </c>
    </row>
    <row r="427">
      <c r="A427" s="11">
        <v>7423.0</v>
      </c>
      <c r="B427" s="16">
        <v>83.0</v>
      </c>
      <c r="C427" s="22" t="s">
        <v>208</v>
      </c>
      <c r="D427" s="23">
        <v>865.0</v>
      </c>
      <c r="E427" s="24" t="s">
        <v>33</v>
      </c>
    </row>
    <row r="428">
      <c r="A428" s="11">
        <v>7424.0</v>
      </c>
      <c r="B428" s="16">
        <v>52.0</v>
      </c>
      <c r="C428" s="22" t="s">
        <v>342</v>
      </c>
      <c r="D428" s="23">
        <v>71.1</v>
      </c>
      <c r="E428" s="24" t="s">
        <v>29</v>
      </c>
    </row>
    <row r="429">
      <c r="A429" s="11">
        <v>7425.0</v>
      </c>
      <c r="B429" s="16">
        <v>27.0</v>
      </c>
      <c r="C429" s="22" t="s">
        <v>343</v>
      </c>
      <c r="D429" s="23">
        <v>80009.1</v>
      </c>
      <c r="E429" s="24" t="s">
        <v>29</v>
      </c>
    </row>
    <row r="430">
      <c r="A430" s="11">
        <v>7426.0</v>
      </c>
      <c r="B430" s="16">
        <v>18.0</v>
      </c>
      <c r="C430" s="22" t="s">
        <v>222</v>
      </c>
      <c r="D430" s="23">
        <v>443634.34</v>
      </c>
      <c r="E430" s="24" t="s">
        <v>48</v>
      </c>
    </row>
    <row r="431">
      <c r="A431" s="11">
        <v>7427.0</v>
      </c>
      <c r="B431" s="16">
        <v>41.0</v>
      </c>
      <c r="C431" s="22" t="s">
        <v>344</v>
      </c>
      <c r="D431" s="23">
        <v>47.48</v>
      </c>
      <c r="E431" s="24" t="s">
        <v>39</v>
      </c>
    </row>
    <row r="432">
      <c r="A432" s="11">
        <v>7428.0</v>
      </c>
      <c r="B432" s="16">
        <v>17.0</v>
      </c>
      <c r="C432" s="22" t="s">
        <v>278</v>
      </c>
      <c r="D432" s="23">
        <v>565.19</v>
      </c>
      <c r="E432" s="24" t="s">
        <v>39</v>
      </c>
    </row>
    <row r="433">
      <c r="A433" s="11">
        <v>7429.0</v>
      </c>
      <c r="B433" s="16">
        <v>94.0</v>
      </c>
      <c r="C433" s="22" t="s">
        <v>345</v>
      </c>
      <c r="D433" s="23">
        <v>8273.25</v>
      </c>
      <c r="E433" s="24" t="s">
        <v>29</v>
      </c>
    </row>
    <row r="434">
      <c r="A434" s="11">
        <v>7430.0</v>
      </c>
      <c r="B434" s="16">
        <v>19.0</v>
      </c>
      <c r="C434" s="22" t="s">
        <v>124</v>
      </c>
      <c r="D434" s="23">
        <v>684.71</v>
      </c>
      <c r="E434" s="24" t="s">
        <v>39</v>
      </c>
    </row>
    <row r="435">
      <c r="A435" s="11">
        <v>7431.0</v>
      </c>
      <c r="B435" s="16">
        <v>53.0</v>
      </c>
      <c r="C435" s="22" t="s">
        <v>346</v>
      </c>
      <c r="D435" s="23">
        <v>648505.9</v>
      </c>
      <c r="E435" s="24" t="s">
        <v>31</v>
      </c>
    </row>
    <row r="436">
      <c r="A436" s="11">
        <v>7432.0</v>
      </c>
      <c r="B436" s="16">
        <v>82.0</v>
      </c>
      <c r="C436" s="22" t="s">
        <v>305</v>
      </c>
      <c r="D436" s="23">
        <v>559.0</v>
      </c>
      <c r="E436" s="24" t="s">
        <v>33</v>
      </c>
    </row>
    <row r="437">
      <c r="A437" s="11">
        <v>7433.0</v>
      </c>
      <c r="B437" s="16">
        <v>18.0</v>
      </c>
      <c r="C437" s="22" t="s">
        <v>347</v>
      </c>
      <c r="D437" s="23">
        <v>672033.92</v>
      </c>
      <c r="E437" s="24" t="s">
        <v>39</v>
      </c>
    </row>
    <row r="438">
      <c r="A438" s="11">
        <v>7434.0</v>
      </c>
      <c r="B438" s="16">
        <v>37.0</v>
      </c>
      <c r="C438" s="22" t="s">
        <v>92</v>
      </c>
      <c r="D438" s="23">
        <v>8040.66</v>
      </c>
      <c r="E438" s="24" t="s">
        <v>33</v>
      </c>
    </row>
    <row r="439">
      <c r="A439" s="11">
        <v>7435.0</v>
      </c>
      <c r="B439" s="16">
        <v>24.0</v>
      </c>
      <c r="C439" s="22" t="s">
        <v>108</v>
      </c>
      <c r="D439" s="23">
        <v>8137.7</v>
      </c>
      <c r="E439" s="24" t="s">
        <v>29</v>
      </c>
    </row>
    <row r="440">
      <c r="A440" s="11">
        <v>7436.0</v>
      </c>
      <c r="B440" s="16">
        <v>67.0</v>
      </c>
      <c r="C440" s="22" t="s">
        <v>348</v>
      </c>
      <c r="D440" s="23">
        <v>22.75</v>
      </c>
      <c r="E440" s="24" t="s">
        <v>48</v>
      </c>
    </row>
    <row r="441">
      <c r="A441" s="11">
        <v>7437.0</v>
      </c>
      <c r="B441" s="16">
        <v>17.0</v>
      </c>
      <c r="C441" s="22" t="s">
        <v>349</v>
      </c>
      <c r="D441" s="23">
        <v>444758.96</v>
      </c>
      <c r="E441" s="24" t="s">
        <v>31</v>
      </c>
    </row>
    <row r="442">
      <c r="A442" s="11">
        <v>7438.0</v>
      </c>
      <c r="B442" s="16">
        <v>84.0</v>
      </c>
      <c r="C442" s="22" t="s">
        <v>350</v>
      </c>
      <c r="D442" s="23">
        <v>41636.84</v>
      </c>
      <c r="E442" s="24" t="s">
        <v>29</v>
      </c>
    </row>
    <row r="443">
      <c r="A443" s="11">
        <v>7439.0</v>
      </c>
      <c r="B443" s="16">
        <v>9.0</v>
      </c>
      <c r="C443" s="22" t="s">
        <v>90</v>
      </c>
      <c r="D443" s="23">
        <v>2911.53</v>
      </c>
      <c r="E443" s="24" t="s">
        <v>39</v>
      </c>
    </row>
    <row r="444">
      <c r="A444" s="11">
        <v>7440.0</v>
      </c>
      <c r="B444" s="16">
        <v>37.0</v>
      </c>
      <c r="C444" s="22" t="s">
        <v>90</v>
      </c>
      <c r="D444" s="23">
        <v>15.1</v>
      </c>
      <c r="E444" s="24" t="s">
        <v>39</v>
      </c>
    </row>
    <row r="445">
      <c r="A445" s="11">
        <v>7441.0</v>
      </c>
      <c r="B445" s="16">
        <v>99.0</v>
      </c>
      <c r="C445" s="22" t="s">
        <v>351</v>
      </c>
      <c r="D445" s="23">
        <v>97.59</v>
      </c>
      <c r="E445" s="24" t="s">
        <v>39</v>
      </c>
    </row>
    <row r="446">
      <c r="A446" s="11">
        <v>7442.0</v>
      </c>
      <c r="B446" s="16">
        <v>43.0</v>
      </c>
      <c r="C446" s="22" t="s">
        <v>352</v>
      </c>
      <c r="D446" s="23">
        <v>6624.5</v>
      </c>
      <c r="E446" s="24" t="s">
        <v>48</v>
      </c>
    </row>
    <row r="447">
      <c r="A447" s="11">
        <v>7443.0</v>
      </c>
      <c r="B447" s="16">
        <v>70.0</v>
      </c>
      <c r="C447" s="22" t="s">
        <v>225</v>
      </c>
      <c r="D447" s="23">
        <v>5750.3</v>
      </c>
      <c r="E447" s="24" t="s">
        <v>33</v>
      </c>
    </row>
    <row r="448">
      <c r="A448" s="11">
        <v>7444.0</v>
      </c>
      <c r="B448" s="16">
        <v>11.0</v>
      </c>
      <c r="C448" s="22" t="s">
        <v>137</v>
      </c>
      <c r="D448" s="23">
        <v>74.35</v>
      </c>
      <c r="E448" s="24" t="s">
        <v>29</v>
      </c>
    </row>
    <row r="449">
      <c r="A449" s="11">
        <v>7445.0</v>
      </c>
      <c r="B449" s="16">
        <v>81.0</v>
      </c>
      <c r="C449" s="22" t="s">
        <v>353</v>
      </c>
      <c r="D449" s="23">
        <v>30.76</v>
      </c>
      <c r="E449" s="24" t="s">
        <v>48</v>
      </c>
    </row>
    <row r="450">
      <c r="A450" s="11">
        <v>7446.0</v>
      </c>
      <c r="B450" s="16">
        <v>50.0</v>
      </c>
      <c r="C450" s="22" t="s">
        <v>354</v>
      </c>
      <c r="D450" s="23">
        <v>9225.46</v>
      </c>
      <c r="E450" s="24" t="s">
        <v>48</v>
      </c>
    </row>
    <row r="451">
      <c r="A451" s="11">
        <v>7447.0</v>
      </c>
      <c r="B451" s="16">
        <v>28.0</v>
      </c>
      <c r="C451" s="22" t="s">
        <v>193</v>
      </c>
      <c r="D451" s="23">
        <v>3365.21</v>
      </c>
      <c r="E451" s="24" t="s">
        <v>31</v>
      </c>
    </row>
    <row r="452">
      <c r="A452" s="11">
        <v>7448.0</v>
      </c>
      <c r="B452" s="16">
        <v>62.0</v>
      </c>
      <c r="C452" s="22" t="s">
        <v>306</v>
      </c>
      <c r="D452" s="23">
        <v>343381.9</v>
      </c>
      <c r="E452" s="24" t="s">
        <v>31</v>
      </c>
    </row>
    <row r="453">
      <c r="A453" s="11">
        <v>7449.0</v>
      </c>
      <c r="B453" s="16">
        <v>61.0</v>
      </c>
      <c r="C453" s="22" t="s">
        <v>296</v>
      </c>
      <c r="D453" s="23">
        <v>984.1</v>
      </c>
      <c r="E453" s="24" t="s">
        <v>29</v>
      </c>
    </row>
    <row r="454">
      <c r="A454" s="11">
        <v>7450.0</v>
      </c>
      <c r="B454" s="16">
        <v>74.0</v>
      </c>
      <c r="C454" s="22" t="s">
        <v>330</v>
      </c>
      <c r="D454" s="23">
        <v>35.12</v>
      </c>
      <c r="E454" s="24" t="s">
        <v>39</v>
      </c>
    </row>
    <row r="455">
      <c r="A455" s="11">
        <v>7451.0</v>
      </c>
      <c r="B455" s="16">
        <v>69.0</v>
      </c>
      <c r="C455" s="22" t="s">
        <v>355</v>
      </c>
      <c r="D455" s="23">
        <v>191.78</v>
      </c>
      <c r="E455" s="24" t="s">
        <v>29</v>
      </c>
    </row>
    <row r="456">
      <c r="A456" s="11">
        <v>7452.0</v>
      </c>
      <c r="B456" s="16">
        <v>45.0</v>
      </c>
      <c r="C456" s="22" t="s">
        <v>132</v>
      </c>
      <c r="D456" s="23">
        <v>73.41</v>
      </c>
      <c r="E456" s="24" t="s">
        <v>48</v>
      </c>
    </row>
    <row r="457">
      <c r="A457" s="11">
        <v>7453.0</v>
      </c>
      <c r="B457" s="16">
        <v>88.0</v>
      </c>
      <c r="C457" s="22" t="s">
        <v>356</v>
      </c>
      <c r="D457" s="23">
        <v>13934.67</v>
      </c>
      <c r="E457" s="24" t="s">
        <v>31</v>
      </c>
    </row>
    <row r="458">
      <c r="A458" s="11">
        <v>7454.0</v>
      </c>
      <c r="B458" s="16">
        <v>11.0</v>
      </c>
      <c r="C458" s="22" t="s">
        <v>357</v>
      </c>
      <c r="D458" s="23">
        <v>82.2</v>
      </c>
      <c r="E458" s="24" t="s">
        <v>39</v>
      </c>
    </row>
    <row r="459">
      <c r="A459" s="11">
        <v>7455.0</v>
      </c>
      <c r="B459" s="16">
        <v>40.0</v>
      </c>
      <c r="C459" s="22" t="s">
        <v>358</v>
      </c>
      <c r="D459" s="23">
        <v>25.51</v>
      </c>
      <c r="E459" s="24" t="s">
        <v>31</v>
      </c>
    </row>
    <row r="460">
      <c r="A460" s="11">
        <v>7456.0</v>
      </c>
      <c r="B460" s="16">
        <v>69.0</v>
      </c>
      <c r="C460" s="22" t="s">
        <v>280</v>
      </c>
      <c r="D460" s="23">
        <v>1494.64</v>
      </c>
      <c r="E460" s="24" t="s">
        <v>31</v>
      </c>
    </row>
    <row r="461">
      <c r="A461" s="11">
        <v>7457.0</v>
      </c>
      <c r="B461" s="16">
        <v>10.0</v>
      </c>
      <c r="C461" s="22" t="s">
        <v>320</v>
      </c>
      <c r="D461" s="23">
        <v>317.69</v>
      </c>
      <c r="E461" s="24" t="s">
        <v>48</v>
      </c>
    </row>
    <row r="462">
      <c r="A462" s="11">
        <v>7458.0</v>
      </c>
      <c r="B462" s="16">
        <v>15.0</v>
      </c>
      <c r="C462" s="22" t="s">
        <v>359</v>
      </c>
      <c r="D462" s="23">
        <v>2935.22</v>
      </c>
      <c r="E462" s="24" t="s">
        <v>33</v>
      </c>
    </row>
    <row r="463">
      <c r="A463" s="11">
        <v>7459.0</v>
      </c>
      <c r="B463" s="16">
        <v>54.0</v>
      </c>
      <c r="C463" s="22" t="s">
        <v>360</v>
      </c>
      <c r="D463" s="23">
        <v>8704.19</v>
      </c>
      <c r="E463" s="24" t="s">
        <v>39</v>
      </c>
    </row>
    <row r="464">
      <c r="A464" s="11">
        <v>7460.0</v>
      </c>
      <c r="B464" s="16">
        <v>86.0</v>
      </c>
      <c r="C464" s="22" t="s">
        <v>361</v>
      </c>
      <c r="D464" s="23">
        <v>47.0</v>
      </c>
      <c r="E464" s="24" t="s">
        <v>33</v>
      </c>
    </row>
    <row r="465">
      <c r="A465" s="11">
        <v>7461.0</v>
      </c>
      <c r="B465" s="16">
        <v>69.0</v>
      </c>
      <c r="C465" s="22" t="s">
        <v>362</v>
      </c>
      <c r="D465" s="23">
        <v>90506.66</v>
      </c>
      <c r="E465" s="24" t="s">
        <v>48</v>
      </c>
    </row>
    <row r="466">
      <c r="A466" s="11">
        <v>7462.0</v>
      </c>
      <c r="B466" s="16">
        <v>88.0</v>
      </c>
      <c r="C466" s="22" t="s">
        <v>113</v>
      </c>
      <c r="D466" s="23">
        <v>257.66</v>
      </c>
      <c r="E466" s="24" t="s">
        <v>48</v>
      </c>
    </row>
    <row r="467">
      <c r="A467" s="11">
        <v>7463.0</v>
      </c>
      <c r="B467" s="16">
        <v>49.0</v>
      </c>
      <c r="C467" s="22" t="s">
        <v>266</v>
      </c>
      <c r="D467" s="23">
        <v>8023.5</v>
      </c>
      <c r="E467" s="24" t="s">
        <v>33</v>
      </c>
    </row>
    <row r="468">
      <c r="A468" s="11">
        <v>7464.0</v>
      </c>
      <c r="B468" s="16">
        <v>3.0</v>
      </c>
      <c r="C468" s="22" t="s">
        <v>148</v>
      </c>
      <c r="D468" s="23">
        <v>7007.75</v>
      </c>
      <c r="E468" s="24" t="s">
        <v>29</v>
      </c>
    </row>
    <row r="469">
      <c r="A469" s="11">
        <v>7465.0</v>
      </c>
      <c r="B469" s="16">
        <v>85.0</v>
      </c>
      <c r="C469" s="22" t="s">
        <v>322</v>
      </c>
      <c r="D469" s="23">
        <v>35.0</v>
      </c>
      <c r="E469" s="24" t="s">
        <v>31</v>
      </c>
    </row>
    <row r="470">
      <c r="A470" s="11">
        <v>7466.0</v>
      </c>
      <c r="B470" s="16">
        <v>66.0</v>
      </c>
      <c r="C470" s="22" t="s">
        <v>73</v>
      </c>
      <c r="D470" s="23">
        <v>34.79</v>
      </c>
      <c r="E470" s="24" t="s">
        <v>29</v>
      </c>
    </row>
    <row r="471">
      <c r="A471" s="11">
        <v>7467.0</v>
      </c>
      <c r="B471" s="16">
        <v>83.0</v>
      </c>
      <c r="C471" s="22" t="s">
        <v>323</v>
      </c>
      <c r="D471" s="23">
        <v>907.57</v>
      </c>
      <c r="E471" s="24" t="s">
        <v>39</v>
      </c>
    </row>
    <row r="472">
      <c r="A472" s="11">
        <v>7468.0</v>
      </c>
      <c r="B472" s="16">
        <v>16.0</v>
      </c>
      <c r="C472" s="22" t="s">
        <v>363</v>
      </c>
      <c r="D472" s="23">
        <v>1680.99</v>
      </c>
      <c r="E472" s="24" t="s">
        <v>48</v>
      </c>
    </row>
    <row r="473">
      <c r="A473" s="11">
        <v>7469.0</v>
      </c>
      <c r="B473" s="16">
        <v>74.0</v>
      </c>
      <c r="C473" s="22" t="s">
        <v>364</v>
      </c>
      <c r="D473" s="23">
        <v>1333.44</v>
      </c>
      <c r="E473" s="24" t="s">
        <v>31</v>
      </c>
    </row>
    <row r="474">
      <c r="A474" s="11">
        <v>7470.0</v>
      </c>
      <c r="B474" s="16">
        <v>48.0</v>
      </c>
      <c r="C474" s="22" t="s">
        <v>348</v>
      </c>
      <c r="D474" s="23">
        <v>31.62</v>
      </c>
      <c r="E474" s="24" t="s">
        <v>39</v>
      </c>
    </row>
    <row r="475">
      <c r="A475" s="11">
        <v>7471.0</v>
      </c>
      <c r="B475" s="16">
        <v>22.0</v>
      </c>
      <c r="C475" s="22" t="s">
        <v>365</v>
      </c>
      <c r="D475" s="23">
        <v>2466.55</v>
      </c>
      <c r="E475" s="24" t="s">
        <v>48</v>
      </c>
    </row>
    <row r="476">
      <c r="A476" s="11">
        <v>7472.0</v>
      </c>
      <c r="B476" s="16">
        <v>86.0</v>
      </c>
      <c r="C476" s="22" t="s">
        <v>366</v>
      </c>
      <c r="D476" s="23">
        <v>503811.5</v>
      </c>
      <c r="E476" s="24" t="s">
        <v>29</v>
      </c>
    </row>
    <row r="477">
      <c r="A477" s="11">
        <v>7473.0</v>
      </c>
      <c r="B477" s="16">
        <v>8.0</v>
      </c>
      <c r="C477" s="22" t="s">
        <v>367</v>
      </c>
      <c r="D477" s="23">
        <v>697.23</v>
      </c>
      <c r="E477" s="24" t="s">
        <v>31</v>
      </c>
    </row>
    <row r="478">
      <c r="A478" s="11">
        <v>7474.0</v>
      </c>
      <c r="B478" s="16">
        <v>60.0</v>
      </c>
      <c r="C478" s="22" t="s">
        <v>368</v>
      </c>
      <c r="D478" s="23">
        <v>79032.39</v>
      </c>
      <c r="E478" s="24" t="s">
        <v>31</v>
      </c>
    </row>
    <row r="479">
      <c r="A479" s="11">
        <v>7475.0</v>
      </c>
      <c r="B479" s="16">
        <v>58.0</v>
      </c>
      <c r="C479" s="22" t="s">
        <v>102</v>
      </c>
      <c r="D479" s="23">
        <v>991.22</v>
      </c>
      <c r="E479" s="24" t="s">
        <v>29</v>
      </c>
    </row>
    <row r="480">
      <c r="A480" s="11">
        <v>7476.0</v>
      </c>
      <c r="B480" s="16">
        <v>67.0</v>
      </c>
      <c r="C480" s="22" t="s">
        <v>154</v>
      </c>
      <c r="D480" s="23">
        <v>895.55</v>
      </c>
      <c r="E480" s="24" t="s">
        <v>39</v>
      </c>
    </row>
    <row r="481">
      <c r="A481" s="11">
        <v>7477.0</v>
      </c>
      <c r="B481" s="16">
        <v>40.0</v>
      </c>
      <c r="C481" s="22" t="s">
        <v>216</v>
      </c>
      <c r="D481" s="23">
        <v>952391.28</v>
      </c>
      <c r="E481" s="24" t="s">
        <v>31</v>
      </c>
    </row>
    <row r="482">
      <c r="A482" s="11">
        <v>7478.0</v>
      </c>
      <c r="B482" s="16">
        <v>32.0</v>
      </c>
      <c r="C482" s="22" t="s">
        <v>369</v>
      </c>
      <c r="D482" s="23">
        <v>77940.7</v>
      </c>
      <c r="E482" s="24" t="s">
        <v>33</v>
      </c>
    </row>
    <row r="483">
      <c r="A483" s="11">
        <v>7479.0</v>
      </c>
      <c r="B483" s="16">
        <v>95.0</v>
      </c>
      <c r="C483" s="22" t="s">
        <v>353</v>
      </c>
      <c r="D483" s="23">
        <v>6503.78</v>
      </c>
      <c r="E483" s="24" t="s">
        <v>39</v>
      </c>
    </row>
    <row r="484">
      <c r="A484" s="11">
        <v>7480.0</v>
      </c>
      <c r="B484" s="16">
        <v>39.0</v>
      </c>
      <c r="C484" s="22" t="s">
        <v>153</v>
      </c>
      <c r="D484" s="23">
        <v>9184.23</v>
      </c>
      <c r="E484" s="24" t="s">
        <v>31</v>
      </c>
    </row>
    <row r="485">
      <c r="A485" s="11">
        <v>7481.0</v>
      </c>
      <c r="B485" s="16">
        <v>35.0</v>
      </c>
      <c r="C485" s="22" t="s">
        <v>370</v>
      </c>
      <c r="D485" s="23">
        <v>21.54</v>
      </c>
      <c r="E485" s="24" t="s">
        <v>29</v>
      </c>
    </row>
    <row r="486">
      <c r="A486" s="11">
        <v>7482.0</v>
      </c>
      <c r="B486" s="16">
        <v>30.0</v>
      </c>
      <c r="C486" s="22" t="s">
        <v>371</v>
      </c>
      <c r="D486" s="23">
        <v>65.52</v>
      </c>
      <c r="E486" s="24" t="s">
        <v>31</v>
      </c>
    </row>
    <row r="487">
      <c r="A487" s="11">
        <v>7483.0</v>
      </c>
      <c r="B487" s="16">
        <v>16.0</v>
      </c>
      <c r="C487" s="22" t="s">
        <v>372</v>
      </c>
      <c r="D487" s="23">
        <v>5140.87</v>
      </c>
      <c r="E487" s="24" t="s">
        <v>48</v>
      </c>
    </row>
    <row r="488">
      <c r="A488" s="11">
        <v>7484.0</v>
      </c>
      <c r="B488" s="16">
        <v>96.0</v>
      </c>
      <c r="C488" s="22" t="s">
        <v>223</v>
      </c>
      <c r="D488" s="23">
        <v>70268.69</v>
      </c>
      <c r="E488" s="24" t="s">
        <v>39</v>
      </c>
    </row>
    <row r="489">
      <c r="A489" s="11">
        <v>7485.0</v>
      </c>
      <c r="B489" s="16">
        <v>25.0</v>
      </c>
      <c r="C489" s="22" t="s">
        <v>373</v>
      </c>
      <c r="D489" s="23">
        <v>80392.0</v>
      </c>
      <c r="E489" s="24" t="s">
        <v>31</v>
      </c>
    </row>
    <row r="490">
      <c r="A490" s="11">
        <v>7486.0</v>
      </c>
      <c r="B490" s="16">
        <v>53.0</v>
      </c>
      <c r="C490" s="22" t="s">
        <v>374</v>
      </c>
      <c r="D490" s="23">
        <v>9766.8</v>
      </c>
      <c r="E490" s="24" t="s">
        <v>29</v>
      </c>
    </row>
    <row r="491">
      <c r="A491" s="11">
        <v>7487.0</v>
      </c>
      <c r="B491" s="16">
        <v>72.0</v>
      </c>
      <c r="C491" s="22" t="s">
        <v>116</v>
      </c>
      <c r="D491" s="23">
        <v>21.98</v>
      </c>
      <c r="E491" s="24" t="s">
        <v>31</v>
      </c>
    </row>
    <row r="492">
      <c r="A492" s="11">
        <v>7488.0</v>
      </c>
      <c r="B492" s="16">
        <v>5.0</v>
      </c>
      <c r="C492" s="22" t="s">
        <v>58</v>
      </c>
      <c r="D492" s="23">
        <v>596.74</v>
      </c>
      <c r="E492" s="24" t="s">
        <v>48</v>
      </c>
    </row>
    <row r="493">
      <c r="A493" s="11">
        <v>7489.0</v>
      </c>
      <c r="B493" s="16">
        <v>78.0</v>
      </c>
      <c r="C493" s="22" t="s">
        <v>347</v>
      </c>
      <c r="D493" s="23">
        <v>41368.96</v>
      </c>
      <c r="E493" s="24" t="s">
        <v>39</v>
      </c>
    </row>
    <row r="494">
      <c r="A494" s="11">
        <v>7490.0</v>
      </c>
      <c r="B494" s="16">
        <v>74.0</v>
      </c>
      <c r="C494" s="22" t="s">
        <v>129</v>
      </c>
      <c r="D494" s="23">
        <v>86615.86</v>
      </c>
      <c r="E494" s="24" t="s">
        <v>39</v>
      </c>
    </row>
    <row r="495">
      <c r="A495" s="11">
        <v>7491.0</v>
      </c>
      <c r="B495" s="16">
        <v>35.0</v>
      </c>
      <c r="C495" s="22" t="s">
        <v>375</v>
      </c>
      <c r="D495" s="23">
        <v>46.2</v>
      </c>
      <c r="E495" s="24" t="s">
        <v>31</v>
      </c>
    </row>
    <row r="496">
      <c r="A496" s="11">
        <v>7492.0</v>
      </c>
      <c r="B496" s="16">
        <v>41.0</v>
      </c>
      <c r="C496" s="22" t="s">
        <v>267</v>
      </c>
      <c r="D496" s="23">
        <v>63326.81</v>
      </c>
      <c r="E496" s="24" t="s">
        <v>33</v>
      </c>
    </row>
    <row r="497">
      <c r="A497" s="11">
        <v>7493.0</v>
      </c>
      <c r="B497" s="16">
        <v>71.0</v>
      </c>
      <c r="C497" s="22" t="s">
        <v>376</v>
      </c>
      <c r="D497" s="23">
        <v>400.6</v>
      </c>
      <c r="E497" s="24" t="s">
        <v>48</v>
      </c>
    </row>
    <row r="498">
      <c r="A498" s="11">
        <v>7494.0</v>
      </c>
      <c r="B498" s="16">
        <v>27.0</v>
      </c>
      <c r="C498" s="22" t="s">
        <v>377</v>
      </c>
      <c r="D498" s="23">
        <v>323.62</v>
      </c>
      <c r="E498" s="24" t="s">
        <v>48</v>
      </c>
    </row>
    <row r="499">
      <c r="A499" s="11">
        <v>7495.0</v>
      </c>
      <c r="B499" s="16">
        <v>36.0</v>
      </c>
      <c r="C499" s="22" t="s">
        <v>149</v>
      </c>
      <c r="D499" s="23">
        <v>18650.8</v>
      </c>
      <c r="E499" s="24" t="s">
        <v>33</v>
      </c>
    </row>
    <row r="500">
      <c r="A500" s="11">
        <v>7496.0</v>
      </c>
      <c r="B500" s="16">
        <v>92.0</v>
      </c>
      <c r="C500" s="22" t="s">
        <v>174</v>
      </c>
      <c r="D500" s="23">
        <v>345.98</v>
      </c>
      <c r="E500" s="24" t="s">
        <v>31</v>
      </c>
    </row>
    <row r="501">
      <c r="A501" s="11">
        <v>7497.0</v>
      </c>
      <c r="B501" s="16">
        <v>31.0</v>
      </c>
      <c r="C501" s="22" t="s">
        <v>378</v>
      </c>
      <c r="D501" s="23">
        <v>18766.68</v>
      </c>
      <c r="E501" s="24" t="s">
        <v>33</v>
      </c>
    </row>
    <row r="502">
      <c r="A502" s="11">
        <v>7498.0</v>
      </c>
      <c r="B502" s="16">
        <v>80.0</v>
      </c>
      <c r="C502" s="22" t="s">
        <v>379</v>
      </c>
      <c r="D502" s="23">
        <v>3300.74</v>
      </c>
      <c r="E502" s="24" t="s">
        <v>33</v>
      </c>
    </row>
    <row r="503">
      <c r="A503" s="11">
        <v>7499.0</v>
      </c>
      <c r="B503" s="16">
        <v>38.0</v>
      </c>
      <c r="C503" s="22" t="s">
        <v>380</v>
      </c>
      <c r="D503" s="23">
        <v>9980.51</v>
      </c>
      <c r="E503" s="24" t="s">
        <v>29</v>
      </c>
    </row>
    <row r="504">
      <c r="A504" s="11">
        <v>7500.0</v>
      </c>
      <c r="B504" s="16">
        <v>69.0</v>
      </c>
      <c r="C504" s="22" t="s">
        <v>381</v>
      </c>
      <c r="D504" s="23">
        <v>52418.97</v>
      </c>
      <c r="E504" s="24" t="s">
        <v>39</v>
      </c>
    </row>
    <row r="505">
      <c r="A505" s="11">
        <v>7501.0</v>
      </c>
      <c r="B505" s="16">
        <v>47.0</v>
      </c>
      <c r="C505" s="22" t="s">
        <v>326</v>
      </c>
      <c r="D505" s="23">
        <v>31426.65</v>
      </c>
      <c r="E505" s="24" t="s">
        <v>39</v>
      </c>
    </row>
    <row r="506">
      <c r="A506" s="11">
        <v>7502.0</v>
      </c>
      <c r="B506" s="16">
        <v>18.0</v>
      </c>
      <c r="C506" s="22" t="s">
        <v>335</v>
      </c>
      <c r="D506" s="23">
        <v>9992.23</v>
      </c>
      <c r="E506" s="24" t="s">
        <v>31</v>
      </c>
    </row>
    <row r="507">
      <c r="A507" s="11">
        <v>7503.0</v>
      </c>
      <c r="B507" s="16">
        <v>87.0</v>
      </c>
      <c r="C507" s="22" t="s">
        <v>309</v>
      </c>
      <c r="D507" s="23">
        <v>7832.77</v>
      </c>
      <c r="E507" s="24" t="s">
        <v>39</v>
      </c>
    </row>
    <row r="508">
      <c r="A508" s="11">
        <v>7504.0</v>
      </c>
      <c r="B508" s="16">
        <v>70.0</v>
      </c>
      <c r="C508" s="22" t="s">
        <v>382</v>
      </c>
      <c r="D508" s="23">
        <v>723.37</v>
      </c>
      <c r="E508" s="24" t="s">
        <v>39</v>
      </c>
    </row>
    <row r="509">
      <c r="A509" s="11">
        <v>7505.0</v>
      </c>
      <c r="B509" s="16">
        <v>44.0</v>
      </c>
      <c r="C509" s="22" t="s">
        <v>383</v>
      </c>
      <c r="D509" s="23">
        <v>737.88</v>
      </c>
      <c r="E509" s="24" t="s">
        <v>31</v>
      </c>
    </row>
    <row r="510">
      <c r="A510" s="11">
        <v>7506.0</v>
      </c>
      <c r="B510" s="16">
        <v>49.0</v>
      </c>
      <c r="C510" s="22" t="s">
        <v>201</v>
      </c>
      <c r="D510" s="23">
        <v>612843.74</v>
      </c>
      <c r="E510" s="24" t="s">
        <v>29</v>
      </c>
    </row>
    <row r="511">
      <c r="A511" s="11">
        <v>7507.0</v>
      </c>
      <c r="B511" s="16">
        <v>27.0</v>
      </c>
      <c r="C511" s="22" t="s">
        <v>375</v>
      </c>
      <c r="D511" s="23">
        <v>639.94</v>
      </c>
      <c r="E511" s="24" t="s">
        <v>39</v>
      </c>
    </row>
    <row r="512">
      <c r="A512" s="11">
        <v>7508.0</v>
      </c>
      <c r="B512" s="16">
        <v>23.0</v>
      </c>
      <c r="C512" s="22" t="s">
        <v>62</v>
      </c>
      <c r="D512" s="23">
        <v>99.2</v>
      </c>
      <c r="E512" s="24" t="s">
        <v>29</v>
      </c>
    </row>
    <row r="513">
      <c r="A513" s="11">
        <v>7509.0</v>
      </c>
      <c r="B513" s="16">
        <v>57.0</v>
      </c>
      <c r="C513" s="22" t="s">
        <v>265</v>
      </c>
      <c r="D513" s="23">
        <v>103998.68</v>
      </c>
      <c r="E513" s="24" t="s">
        <v>39</v>
      </c>
    </row>
    <row r="514">
      <c r="A514" s="11">
        <v>7510.0</v>
      </c>
      <c r="B514" s="16">
        <v>18.0</v>
      </c>
      <c r="C514" s="22" t="s">
        <v>59</v>
      </c>
      <c r="D514" s="23">
        <v>48770.34</v>
      </c>
      <c r="E514" s="24" t="s">
        <v>31</v>
      </c>
    </row>
    <row r="515">
      <c r="A515" s="11">
        <v>7511.0</v>
      </c>
      <c r="B515" s="16">
        <v>41.0</v>
      </c>
      <c r="C515" s="22" t="s">
        <v>384</v>
      </c>
      <c r="D515" s="23">
        <v>54577.3</v>
      </c>
      <c r="E515" s="24" t="s">
        <v>31</v>
      </c>
    </row>
    <row r="516">
      <c r="A516" s="11">
        <v>7512.0</v>
      </c>
      <c r="B516" s="16">
        <v>7.0</v>
      </c>
      <c r="C516" s="22" t="s">
        <v>234</v>
      </c>
      <c r="D516" s="23">
        <v>614876.58</v>
      </c>
      <c r="E516" s="24" t="s">
        <v>48</v>
      </c>
    </row>
    <row r="517">
      <c r="A517" s="11">
        <v>7513.0</v>
      </c>
      <c r="B517" s="16">
        <v>50.0</v>
      </c>
      <c r="C517" s="22" t="s">
        <v>128</v>
      </c>
      <c r="D517" s="23">
        <v>9628.74</v>
      </c>
      <c r="E517" s="24" t="s">
        <v>31</v>
      </c>
    </row>
    <row r="518">
      <c r="A518" s="11">
        <v>7514.0</v>
      </c>
      <c r="B518" s="16">
        <v>42.0</v>
      </c>
      <c r="C518" s="22" t="s">
        <v>166</v>
      </c>
      <c r="D518" s="23">
        <v>87569.13</v>
      </c>
      <c r="E518" s="24" t="s">
        <v>31</v>
      </c>
    </row>
    <row r="519">
      <c r="A519" s="11">
        <v>7515.0</v>
      </c>
      <c r="B519" s="16">
        <v>47.0</v>
      </c>
      <c r="C519" s="22" t="s">
        <v>385</v>
      </c>
      <c r="D519" s="23">
        <v>94.3</v>
      </c>
      <c r="E519" s="24" t="s">
        <v>33</v>
      </c>
    </row>
    <row r="520">
      <c r="A520" s="11">
        <v>7516.0</v>
      </c>
      <c r="B520" s="16">
        <v>81.0</v>
      </c>
      <c r="C520" s="22" t="s">
        <v>51</v>
      </c>
      <c r="D520" s="23">
        <v>2808.3</v>
      </c>
      <c r="E520" s="24" t="s">
        <v>29</v>
      </c>
    </row>
    <row r="521">
      <c r="A521" s="11">
        <v>7517.0</v>
      </c>
      <c r="B521" s="16">
        <v>36.0</v>
      </c>
      <c r="C521" s="22" t="s">
        <v>386</v>
      </c>
      <c r="D521" s="23">
        <v>466.59</v>
      </c>
      <c r="E521" s="24" t="s">
        <v>39</v>
      </c>
    </row>
    <row r="522">
      <c r="A522" s="11">
        <v>7518.0</v>
      </c>
      <c r="B522" s="16">
        <v>58.0</v>
      </c>
      <c r="C522" s="22" t="s">
        <v>387</v>
      </c>
      <c r="D522" s="23">
        <v>4936.51</v>
      </c>
      <c r="E522" s="24" t="s">
        <v>39</v>
      </c>
    </row>
    <row r="523">
      <c r="A523" s="11">
        <v>7519.0</v>
      </c>
      <c r="B523" s="16">
        <v>83.0</v>
      </c>
      <c r="C523" s="22" t="s">
        <v>388</v>
      </c>
      <c r="D523" s="23">
        <v>84.67</v>
      </c>
      <c r="E523" s="24" t="s">
        <v>29</v>
      </c>
    </row>
    <row r="524">
      <c r="A524" s="11">
        <v>7520.0</v>
      </c>
      <c r="B524" s="16">
        <v>59.0</v>
      </c>
      <c r="C524" s="22" t="s">
        <v>215</v>
      </c>
      <c r="D524" s="23">
        <v>985628.78</v>
      </c>
      <c r="E524" s="24" t="s">
        <v>31</v>
      </c>
    </row>
    <row r="525">
      <c r="A525" s="11">
        <v>7521.0</v>
      </c>
      <c r="B525" s="16">
        <v>82.0</v>
      </c>
      <c r="C525" s="22" t="s">
        <v>389</v>
      </c>
      <c r="D525" s="23">
        <v>74.81</v>
      </c>
      <c r="E525" s="24" t="s">
        <v>33</v>
      </c>
    </row>
    <row r="526">
      <c r="A526" s="11">
        <v>7522.0</v>
      </c>
      <c r="B526" s="16">
        <v>12.0</v>
      </c>
      <c r="C526" s="22" t="s">
        <v>390</v>
      </c>
      <c r="D526" s="23">
        <v>668045.61</v>
      </c>
      <c r="E526" s="24" t="s">
        <v>31</v>
      </c>
    </row>
    <row r="527">
      <c r="A527" s="11">
        <v>7523.0</v>
      </c>
      <c r="B527" s="16">
        <v>2.0</v>
      </c>
      <c r="C527" s="22" t="s">
        <v>391</v>
      </c>
      <c r="D527" s="23">
        <v>540.19</v>
      </c>
      <c r="E527" s="24" t="s">
        <v>29</v>
      </c>
    </row>
    <row r="528">
      <c r="A528" s="11">
        <v>7524.0</v>
      </c>
      <c r="B528" s="16">
        <v>8.0</v>
      </c>
      <c r="C528" s="22" t="s">
        <v>198</v>
      </c>
      <c r="D528" s="23">
        <v>264.49</v>
      </c>
      <c r="E528" s="24" t="s">
        <v>33</v>
      </c>
    </row>
    <row r="529">
      <c r="A529" s="11">
        <v>7525.0</v>
      </c>
      <c r="B529" s="16">
        <v>26.0</v>
      </c>
      <c r="C529" s="22" t="s">
        <v>353</v>
      </c>
      <c r="D529" s="23">
        <v>4447.54</v>
      </c>
      <c r="E529" s="24" t="s">
        <v>31</v>
      </c>
    </row>
    <row r="530">
      <c r="A530" s="11">
        <v>7526.0</v>
      </c>
      <c r="B530" s="16">
        <v>63.0</v>
      </c>
      <c r="C530" s="22" t="s">
        <v>231</v>
      </c>
      <c r="D530" s="23">
        <v>93844.86</v>
      </c>
      <c r="E530" s="24" t="s">
        <v>29</v>
      </c>
    </row>
    <row r="531">
      <c r="A531" s="11">
        <v>7527.0</v>
      </c>
      <c r="B531" s="16">
        <v>59.0</v>
      </c>
      <c r="C531" s="22" t="s">
        <v>392</v>
      </c>
      <c r="D531" s="23">
        <v>86.35</v>
      </c>
      <c r="E531" s="24" t="s">
        <v>31</v>
      </c>
    </row>
    <row r="532">
      <c r="A532" s="11">
        <v>7528.0</v>
      </c>
      <c r="B532" s="16">
        <v>41.0</v>
      </c>
      <c r="C532" s="22" t="s">
        <v>393</v>
      </c>
      <c r="D532" s="23">
        <v>75199.37</v>
      </c>
      <c r="E532" s="24" t="s">
        <v>31</v>
      </c>
    </row>
    <row r="533">
      <c r="A533" s="11">
        <v>7529.0</v>
      </c>
      <c r="B533" s="16">
        <v>41.0</v>
      </c>
      <c r="C533" s="22" t="s">
        <v>191</v>
      </c>
      <c r="D533" s="23">
        <v>305.5</v>
      </c>
      <c r="E533" s="24" t="s">
        <v>33</v>
      </c>
    </row>
    <row r="534">
      <c r="A534" s="11">
        <v>7530.0</v>
      </c>
      <c r="B534" s="16">
        <v>67.0</v>
      </c>
      <c r="C534" s="22" t="s">
        <v>394</v>
      </c>
      <c r="D534" s="23">
        <v>96.6</v>
      </c>
      <c r="E534" s="24" t="s">
        <v>48</v>
      </c>
    </row>
    <row r="535">
      <c r="A535" s="11">
        <v>7531.0</v>
      </c>
      <c r="B535" s="16">
        <v>32.0</v>
      </c>
      <c r="C535" s="22" t="s">
        <v>395</v>
      </c>
      <c r="D535" s="23">
        <v>43.68</v>
      </c>
      <c r="E535" s="24" t="s">
        <v>31</v>
      </c>
    </row>
    <row r="536">
      <c r="A536" s="11">
        <v>7532.0</v>
      </c>
      <c r="B536" s="16">
        <v>59.0</v>
      </c>
      <c r="C536" s="22" t="s">
        <v>177</v>
      </c>
      <c r="D536" s="23">
        <v>977973.16</v>
      </c>
      <c r="E536" s="24" t="s">
        <v>31</v>
      </c>
    </row>
    <row r="537">
      <c r="A537" s="11">
        <v>7533.0</v>
      </c>
      <c r="B537" s="16">
        <v>74.0</v>
      </c>
      <c r="C537" s="22" t="s">
        <v>294</v>
      </c>
      <c r="D537" s="23">
        <v>39.36</v>
      </c>
      <c r="E537" s="24" t="s">
        <v>33</v>
      </c>
    </row>
    <row r="538">
      <c r="A538" s="11">
        <v>7534.0</v>
      </c>
      <c r="B538" s="16">
        <v>51.0</v>
      </c>
      <c r="C538" s="22" t="s">
        <v>396</v>
      </c>
      <c r="D538" s="23">
        <v>8619.92</v>
      </c>
      <c r="E538" s="24" t="s">
        <v>31</v>
      </c>
    </row>
    <row r="539">
      <c r="A539" s="11">
        <v>7535.0</v>
      </c>
      <c r="B539" s="16">
        <v>51.0</v>
      </c>
      <c r="C539" s="22" t="s">
        <v>397</v>
      </c>
      <c r="D539" s="23">
        <v>22.82</v>
      </c>
      <c r="E539" s="24" t="s">
        <v>39</v>
      </c>
    </row>
    <row r="540">
      <c r="A540" s="11">
        <v>7536.0</v>
      </c>
      <c r="B540" s="16">
        <v>23.0</v>
      </c>
      <c r="C540" s="22" t="s">
        <v>398</v>
      </c>
      <c r="D540" s="23">
        <v>70100.37</v>
      </c>
      <c r="E540" s="24" t="s">
        <v>33</v>
      </c>
    </row>
    <row r="541">
      <c r="A541" s="11">
        <v>7537.0</v>
      </c>
      <c r="B541" s="16">
        <v>75.0</v>
      </c>
      <c r="C541" s="22" t="s">
        <v>83</v>
      </c>
      <c r="D541" s="23">
        <v>3283.94</v>
      </c>
      <c r="E541" s="24" t="s">
        <v>33</v>
      </c>
    </row>
    <row r="542">
      <c r="A542" s="11">
        <v>7538.0</v>
      </c>
      <c r="B542" s="16">
        <v>85.0</v>
      </c>
      <c r="C542" s="22" t="s">
        <v>187</v>
      </c>
      <c r="D542" s="23">
        <v>90110.9</v>
      </c>
      <c r="E542" s="24" t="s">
        <v>31</v>
      </c>
    </row>
    <row r="543">
      <c r="A543" s="11">
        <v>7539.0</v>
      </c>
      <c r="B543" s="16">
        <v>97.0</v>
      </c>
      <c r="C543" s="22" t="s">
        <v>88</v>
      </c>
      <c r="D543" s="23">
        <v>566.73</v>
      </c>
      <c r="E543" s="24" t="s">
        <v>39</v>
      </c>
    </row>
    <row r="544">
      <c r="A544" s="11">
        <v>7540.0</v>
      </c>
      <c r="B544" s="16">
        <v>34.0</v>
      </c>
      <c r="C544" s="22" t="s">
        <v>262</v>
      </c>
      <c r="D544" s="23">
        <v>151.29</v>
      </c>
      <c r="E544" s="24" t="s">
        <v>48</v>
      </c>
    </row>
    <row r="545">
      <c r="A545" s="11">
        <v>7541.0</v>
      </c>
      <c r="B545" s="16">
        <v>44.0</v>
      </c>
      <c r="C545" s="22" t="s">
        <v>366</v>
      </c>
      <c r="D545" s="23">
        <v>550977.7</v>
      </c>
      <c r="E545" s="24" t="s">
        <v>33</v>
      </c>
    </row>
    <row r="546">
      <c r="A546" s="11">
        <v>7542.0</v>
      </c>
      <c r="B546" s="16">
        <v>30.0</v>
      </c>
      <c r="C546" s="22" t="s">
        <v>238</v>
      </c>
      <c r="D546" s="23">
        <v>59.31</v>
      </c>
      <c r="E546" s="24" t="s">
        <v>33</v>
      </c>
    </row>
    <row r="547">
      <c r="A547" s="11">
        <v>7543.0</v>
      </c>
      <c r="B547" s="16">
        <v>50.0</v>
      </c>
      <c r="C547" s="22" t="s">
        <v>399</v>
      </c>
      <c r="D547" s="23">
        <v>9695.63</v>
      </c>
      <c r="E547" s="24" t="s">
        <v>48</v>
      </c>
    </row>
    <row r="548">
      <c r="A548" s="11">
        <v>7544.0</v>
      </c>
      <c r="B548" s="16">
        <v>87.0</v>
      </c>
      <c r="C548" s="22" t="s">
        <v>400</v>
      </c>
      <c r="D548" s="23">
        <v>97967.44</v>
      </c>
      <c r="E548" s="24" t="s">
        <v>29</v>
      </c>
    </row>
    <row r="549">
      <c r="A549" s="11">
        <v>7545.0</v>
      </c>
      <c r="B549" s="16">
        <v>17.0</v>
      </c>
      <c r="C549" s="22" t="s">
        <v>401</v>
      </c>
      <c r="D549" s="23">
        <v>87.21</v>
      </c>
      <c r="E549" s="24" t="s">
        <v>29</v>
      </c>
    </row>
    <row r="550">
      <c r="A550" s="11">
        <v>7546.0</v>
      </c>
      <c r="B550" s="16">
        <v>98.0</v>
      </c>
      <c r="C550" s="22" t="s">
        <v>160</v>
      </c>
      <c r="D550" s="23">
        <v>846369.96</v>
      </c>
      <c r="E550" s="24" t="s">
        <v>33</v>
      </c>
    </row>
    <row r="551">
      <c r="A551" s="11">
        <v>7547.0</v>
      </c>
      <c r="B551" s="16">
        <v>75.0</v>
      </c>
      <c r="C551" s="22" t="s">
        <v>228</v>
      </c>
      <c r="D551" s="23">
        <v>441.34</v>
      </c>
      <c r="E551" s="24" t="s">
        <v>48</v>
      </c>
    </row>
    <row r="552">
      <c r="A552" s="11">
        <v>7548.0</v>
      </c>
      <c r="B552" s="16">
        <v>43.0</v>
      </c>
      <c r="C552" s="22" t="s">
        <v>402</v>
      </c>
      <c r="D552" s="23">
        <v>99.81</v>
      </c>
      <c r="E552" s="24" t="s">
        <v>31</v>
      </c>
    </row>
    <row r="553">
      <c r="A553" s="11">
        <v>7549.0</v>
      </c>
      <c r="B553" s="16">
        <v>69.0</v>
      </c>
      <c r="C553" s="22" t="s">
        <v>403</v>
      </c>
      <c r="D553" s="23">
        <v>660.4</v>
      </c>
      <c r="E553" s="24" t="s">
        <v>33</v>
      </c>
    </row>
    <row r="554">
      <c r="A554" s="11">
        <v>7550.0</v>
      </c>
      <c r="B554" s="16">
        <v>36.0</v>
      </c>
      <c r="C554" s="22" t="s">
        <v>404</v>
      </c>
      <c r="D554" s="23">
        <v>487.71</v>
      </c>
      <c r="E554" s="24" t="s">
        <v>39</v>
      </c>
    </row>
    <row r="555">
      <c r="A555" s="11">
        <v>7551.0</v>
      </c>
      <c r="B555" s="16">
        <v>19.0</v>
      </c>
      <c r="C555" s="22" t="s">
        <v>280</v>
      </c>
      <c r="D555" s="23">
        <v>13.66</v>
      </c>
      <c r="E555" s="24" t="s">
        <v>31</v>
      </c>
    </row>
    <row r="556">
      <c r="A556" s="11">
        <v>7552.0</v>
      </c>
      <c r="B556" s="16">
        <v>34.0</v>
      </c>
      <c r="C556" s="22" t="s">
        <v>405</v>
      </c>
      <c r="D556" s="23">
        <v>85133.7</v>
      </c>
      <c r="E556" s="24" t="s">
        <v>39</v>
      </c>
    </row>
    <row r="557">
      <c r="A557" s="11">
        <v>7553.0</v>
      </c>
      <c r="B557" s="16">
        <v>85.0</v>
      </c>
      <c r="C557" s="22" t="s">
        <v>215</v>
      </c>
      <c r="D557" s="23">
        <v>86.18</v>
      </c>
      <c r="E557" s="24" t="s">
        <v>29</v>
      </c>
    </row>
    <row r="558">
      <c r="A558" s="11">
        <v>7554.0</v>
      </c>
      <c r="B558" s="16">
        <v>72.0</v>
      </c>
      <c r="C558" s="22" t="s">
        <v>266</v>
      </c>
      <c r="D558" s="23">
        <v>320098.96</v>
      </c>
      <c r="E558" s="24" t="s">
        <v>33</v>
      </c>
    </row>
    <row r="559">
      <c r="A559" s="11">
        <v>7555.0</v>
      </c>
      <c r="B559" s="16">
        <v>64.0</v>
      </c>
      <c r="C559" s="22" t="s">
        <v>181</v>
      </c>
      <c r="D559" s="23">
        <v>17.45</v>
      </c>
      <c r="E559" s="24" t="s">
        <v>31</v>
      </c>
    </row>
    <row r="560">
      <c r="A560" s="11">
        <v>7556.0</v>
      </c>
      <c r="B560" s="16">
        <v>90.0</v>
      </c>
      <c r="C560" s="22" t="s">
        <v>104</v>
      </c>
      <c r="D560" s="23">
        <v>35413.68</v>
      </c>
      <c r="E560" s="24" t="s">
        <v>48</v>
      </c>
    </row>
    <row r="561">
      <c r="A561" s="11">
        <v>7557.0</v>
      </c>
      <c r="B561" s="16">
        <v>9.0</v>
      </c>
      <c r="C561" s="22" t="s">
        <v>406</v>
      </c>
      <c r="D561" s="23">
        <v>47521.13</v>
      </c>
      <c r="E561" s="24" t="s">
        <v>29</v>
      </c>
    </row>
    <row r="562">
      <c r="A562" s="11">
        <v>7558.0</v>
      </c>
      <c r="B562" s="16">
        <v>91.0</v>
      </c>
      <c r="C562" s="22" t="s">
        <v>150</v>
      </c>
      <c r="D562" s="23">
        <v>2108.21</v>
      </c>
      <c r="E562" s="24" t="s">
        <v>39</v>
      </c>
    </row>
    <row r="563">
      <c r="A563" s="11">
        <v>7559.0</v>
      </c>
      <c r="B563" s="16">
        <v>44.0</v>
      </c>
      <c r="C563" s="22" t="s">
        <v>336</v>
      </c>
      <c r="D563" s="23">
        <v>717.57</v>
      </c>
      <c r="E563" s="24" t="s">
        <v>31</v>
      </c>
    </row>
    <row r="564">
      <c r="A564" s="11">
        <v>7560.0</v>
      </c>
      <c r="B564" s="16">
        <v>49.0</v>
      </c>
      <c r="C564" s="22" t="s">
        <v>58</v>
      </c>
      <c r="D564" s="23">
        <v>41302.73</v>
      </c>
      <c r="E564" s="24" t="s">
        <v>48</v>
      </c>
    </row>
    <row r="565">
      <c r="A565" s="11">
        <v>7561.0</v>
      </c>
      <c r="B565" s="16">
        <v>96.0</v>
      </c>
      <c r="C565" s="22" t="s">
        <v>82</v>
      </c>
      <c r="D565" s="23">
        <v>93876.27</v>
      </c>
      <c r="E565" s="24" t="s">
        <v>31</v>
      </c>
    </row>
    <row r="566">
      <c r="A566" s="11">
        <v>7562.0</v>
      </c>
      <c r="B566" s="16">
        <v>88.0</v>
      </c>
      <c r="C566" s="22" t="s">
        <v>260</v>
      </c>
      <c r="D566" s="23">
        <v>230691.39</v>
      </c>
      <c r="E566" s="24" t="s">
        <v>39</v>
      </c>
    </row>
    <row r="567">
      <c r="A567" s="11">
        <v>7563.0</v>
      </c>
      <c r="B567" s="16">
        <v>86.0</v>
      </c>
      <c r="C567" s="22" t="s">
        <v>161</v>
      </c>
      <c r="D567" s="23">
        <v>71.18</v>
      </c>
      <c r="E567" s="24" t="s">
        <v>48</v>
      </c>
    </row>
    <row r="568">
      <c r="A568" s="11">
        <v>7564.0</v>
      </c>
      <c r="B568" s="16">
        <v>4.0</v>
      </c>
      <c r="C568" s="22" t="s">
        <v>383</v>
      </c>
      <c r="D568" s="23">
        <v>448297.94</v>
      </c>
      <c r="E568" s="24" t="s">
        <v>39</v>
      </c>
    </row>
    <row r="569">
      <c r="A569" s="11">
        <v>7565.0</v>
      </c>
      <c r="B569" s="16">
        <v>80.0</v>
      </c>
      <c r="C569" s="22" t="s">
        <v>407</v>
      </c>
      <c r="D569" s="23">
        <v>3014.65</v>
      </c>
      <c r="E569" s="24" t="s">
        <v>48</v>
      </c>
    </row>
    <row r="570">
      <c r="A570" s="11">
        <v>7566.0</v>
      </c>
      <c r="B570" s="16">
        <v>30.0</v>
      </c>
      <c r="C570" s="22" t="s">
        <v>408</v>
      </c>
      <c r="D570" s="23">
        <v>139458.66</v>
      </c>
      <c r="E570" s="24" t="s">
        <v>33</v>
      </c>
    </row>
    <row r="571">
      <c r="A571" s="11">
        <v>7567.0</v>
      </c>
      <c r="B571" s="16">
        <v>81.0</v>
      </c>
      <c r="C571" s="22" t="s">
        <v>365</v>
      </c>
      <c r="D571" s="23">
        <v>851149.25</v>
      </c>
      <c r="E571" s="24" t="s">
        <v>33</v>
      </c>
    </row>
    <row r="572">
      <c r="A572" s="11">
        <v>7568.0</v>
      </c>
      <c r="B572" s="16">
        <v>80.0</v>
      </c>
      <c r="C572" s="22" t="s">
        <v>409</v>
      </c>
      <c r="D572" s="23">
        <v>50754.1</v>
      </c>
      <c r="E572" s="24" t="s">
        <v>33</v>
      </c>
    </row>
    <row r="573">
      <c r="A573" s="11">
        <v>7569.0</v>
      </c>
      <c r="B573" s="16">
        <v>89.0</v>
      </c>
      <c r="C573" s="22" t="s">
        <v>410</v>
      </c>
      <c r="D573" s="23">
        <v>3445.37</v>
      </c>
      <c r="E573" s="24" t="s">
        <v>48</v>
      </c>
    </row>
    <row r="574">
      <c r="A574" s="11">
        <v>7570.0</v>
      </c>
      <c r="B574" s="16">
        <v>95.0</v>
      </c>
      <c r="C574" s="22" t="s">
        <v>78</v>
      </c>
      <c r="D574" s="23">
        <v>52416.3</v>
      </c>
      <c r="E574" s="24" t="s">
        <v>29</v>
      </c>
    </row>
    <row r="575">
      <c r="A575" s="11">
        <v>7571.0</v>
      </c>
      <c r="B575" s="16">
        <v>49.0</v>
      </c>
      <c r="C575" s="22" t="s">
        <v>281</v>
      </c>
      <c r="D575" s="23">
        <v>449802.86</v>
      </c>
      <c r="E575" s="24" t="s">
        <v>39</v>
      </c>
    </row>
    <row r="576">
      <c r="A576" s="11">
        <v>7572.0</v>
      </c>
      <c r="B576" s="16">
        <v>56.0</v>
      </c>
      <c r="C576" s="22" t="s">
        <v>50</v>
      </c>
      <c r="D576" s="23">
        <v>9755.62</v>
      </c>
      <c r="E576" s="24" t="s">
        <v>39</v>
      </c>
    </row>
    <row r="577">
      <c r="A577" s="11">
        <v>7573.0</v>
      </c>
      <c r="B577" s="16">
        <v>26.0</v>
      </c>
      <c r="C577" s="22" t="s">
        <v>59</v>
      </c>
      <c r="D577" s="23">
        <v>143668.3</v>
      </c>
      <c r="E577" s="24" t="s">
        <v>39</v>
      </c>
    </row>
    <row r="578">
      <c r="A578" s="11">
        <v>7574.0</v>
      </c>
      <c r="B578" s="16">
        <v>83.0</v>
      </c>
      <c r="C578" s="22" t="s">
        <v>122</v>
      </c>
      <c r="D578" s="23">
        <v>922.79</v>
      </c>
      <c r="E578" s="24" t="s">
        <v>31</v>
      </c>
    </row>
    <row r="579">
      <c r="A579" s="11">
        <v>7575.0</v>
      </c>
      <c r="B579" s="16">
        <v>73.0</v>
      </c>
      <c r="C579" s="22" t="s">
        <v>411</v>
      </c>
      <c r="D579" s="23">
        <v>757.6</v>
      </c>
      <c r="E579" s="24" t="s">
        <v>33</v>
      </c>
    </row>
    <row r="580">
      <c r="A580" s="11">
        <v>7576.0</v>
      </c>
      <c r="B580" s="16">
        <v>16.0</v>
      </c>
      <c r="C580" s="22" t="s">
        <v>412</v>
      </c>
      <c r="D580" s="23">
        <v>43.9</v>
      </c>
      <c r="E580" s="24" t="s">
        <v>39</v>
      </c>
    </row>
    <row r="581">
      <c r="A581" s="11">
        <v>7577.0</v>
      </c>
      <c r="B581" s="16">
        <v>99.0</v>
      </c>
      <c r="C581" s="22" t="s">
        <v>413</v>
      </c>
      <c r="D581" s="23">
        <v>21.74</v>
      </c>
      <c r="E581" s="24" t="s">
        <v>48</v>
      </c>
    </row>
    <row r="582">
      <c r="A582" s="11">
        <v>7578.0</v>
      </c>
      <c r="B582" s="16">
        <v>31.0</v>
      </c>
      <c r="C582" s="22" t="s">
        <v>357</v>
      </c>
      <c r="D582" s="23">
        <v>827.36</v>
      </c>
      <c r="E582" s="24" t="s">
        <v>29</v>
      </c>
    </row>
    <row r="583">
      <c r="A583" s="11">
        <v>7579.0</v>
      </c>
      <c r="B583" s="16">
        <v>61.0</v>
      </c>
      <c r="C583" s="22" t="s">
        <v>47</v>
      </c>
      <c r="D583" s="23">
        <v>83.76</v>
      </c>
      <c r="E583" s="24" t="s">
        <v>39</v>
      </c>
    </row>
    <row r="584">
      <c r="A584" s="11">
        <v>7580.0</v>
      </c>
      <c r="B584" s="16">
        <v>25.0</v>
      </c>
      <c r="C584" s="22" t="s">
        <v>414</v>
      </c>
      <c r="D584" s="23">
        <v>7785.1</v>
      </c>
      <c r="E584" s="24" t="s">
        <v>48</v>
      </c>
    </row>
    <row r="585">
      <c r="A585" s="11">
        <v>7581.0</v>
      </c>
      <c r="B585" s="16">
        <v>80.0</v>
      </c>
      <c r="C585" s="22" t="s">
        <v>163</v>
      </c>
      <c r="D585" s="23">
        <v>809.84</v>
      </c>
      <c r="E585" s="24" t="s">
        <v>29</v>
      </c>
    </row>
    <row r="586">
      <c r="A586" s="11">
        <v>7582.0</v>
      </c>
      <c r="B586" s="16">
        <v>60.0</v>
      </c>
      <c r="C586" s="22" t="s">
        <v>221</v>
      </c>
      <c r="D586" s="23">
        <v>1856.6</v>
      </c>
      <c r="E586" s="24" t="s">
        <v>39</v>
      </c>
    </row>
    <row r="587">
      <c r="A587" s="11">
        <v>7583.0</v>
      </c>
      <c r="B587" s="16">
        <v>87.0</v>
      </c>
      <c r="C587" s="22" t="s">
        <v>415</v>
      </c>
      <c r="D587" s="23">
        <v>51.81</v>
      </c>
      <c r="E587" s="24" t="s">
        <v>31</v>
      </c>
    </row>
    <row r="588">
      <c r="A588" s="11">
        <v>7584.0</v>
      </c>
      <c r="B588" s="16">
        <v>42.0</v>
      </c>
      <c r="C588" s="22" t="s">
        <v>69</v>
      </c>
      <c r="D588" s="23">
        <v>2000.92</v>
      </c>
      <c r="E588" s="24" t="s">
        <v>39</v>
      </c>
    </row>
    <row r="589">
      <c r="A589" s="11">
        <v>7585.0</v>
      </c>
      <c r="B589" s="16">
        <v>87.0</v>
      </c>
      <c r="C589" s="22" t="s">
        <v>416</v>
      </c>
      <c r="D589" s="23">
        <v>915603.25</v>
      </c>
      <c r="E589" s="24" t="s">
        <v>39</v>
      </c>
    </row>
    <row r="590">
      <c r="A590" s="11">
        <v>7586.0</v>
      </c>
      <c r="B590" s="16">
        <v>30.0</v>
      </c>
      <c r="C590" s="22" t="s">
        <v>417</v>
      </c>
      <c r="D590" s="23">
        <v>869.35</v>
      </c>
      <c r="E590" s="24" t="s">
        <v>48</v>
      </c>
    </row>
    <row r="591">
      <c r="A591" s="11">
        <v>7587.0</v>
      </c>
      <c r="B591" s="16">
        <v>81.0</v>
      </c>
      <c r="C591" s="22" t="s">
        <v>272</v>
      </c>
      <c r="D591" s="23">
        <v>1025.1</v>
      </c>
      <c r="E591" s="24" t="s">
        <v>48</v>
      </c>
    </row>
    <row r="592">
      <c r="A592" s="11">
        <v>7588.0</v>
      </c>
      <c r="B592" s="16">
        <v>28.0</v>
      </c>
      <c r="C592" s="22" t="s">
        <v>229</v>
      </c>
      <c r="D592" s="23">
        <v>69.32</v>
      </c>
      <c r="E592" s="24" t="s">
        <v>31</v>
      </c>
    </row>
    <row r="593">
      <c r="A593" s="11">
        <v>7589.0</v>
      </c>
      <c r="B593" s="16">
        <v>18.0</v>
      </c>
      <c r="C593" s="22" t="s">
        <v>418</v>
      </c>
      <c r="D593" s="23">
        <v>31839.1</v>
      </c>
      <c r="E593" s="24" t="s">
        <v>39</v>
      </c>
    </row>
    <row r="594">
      <c r="A594" s="11">
        <v>7590.0</v>
      </c>
      <c r="B594" s="16">
        <v>17.0</v>
      </c>
      <c r="C594" s="22" t="s">
        <v>361</v>
      </c>
      <c r="D594" s="23">
        <v>78585.34</v>
      </c>
      <c r="E594" s="24" t="s">
        <v>39</v>
      </c>
    </row>
    <row r="595">
      <c r="A595" s="11">
        <v>7591.0</v>
      </c>
      <c r="B595" s="16">
        <v>48.0</v>
      </c>
      <c r="C595" s="22" t="s">
        <v>419</v>
      </c>
      <c r="D595" s="23">
        <v>399838.26</v>
      </c>
      <c r="E595" s="24" t="s">
        <v>31</v>
      </c>
    </row>
    <row r="596">
      <c r="A596" s="11">
        <v>7592.0</v>
      </c>
      <c r="B596" s="16">
        <v>2.0</v>
      </c>
      <c r="C596" s="22" t="s">
        <v>237</v>
      </c>
      <c r="D596" s="23">
        <v>25350.16</v>
      </c>
      <c r="E596" s="24" t="s">
        <v>29</v>
      </c>
    </row>
    <row r="597">
      <c r="A597" s="11">
        <v>7593.0</v>
      </c>
      <c r="B597" s="16">
        <v>15.0</v>
      </c>
      <c r="C597" s="22" t="s">
        <v>198</v>
      </c>
      <c r="D597" s="23">
        <v>47.81</v>
      </c>
      <c r="E597" s="24" t="s">
        <v>33</v>
      </c>
    </row>
    <row r="598">
      <c r="A598" s="11">
        <v>7594.0</v>
      </c>
      <c r="B598" s="16">
        <v>39.0</v>
      </c>
      <c r="C598" s="22" t="s">
        <v>146</v>
      </c>
      <c r="D598" s="23">
        <v>17026.6</v>
      </c>
      <c r="E598" s="24" t="s">
        <v>33</v>
      </c>
    </row>
    <row r="599">
      <c r="A599" s="11">
        <v>7595.0</v>
      </c>
      <c r="B599" s="16">
        <v>82.0</v>
      </c>
      <c r="C599" s="22" t="s">
        <v>336</v>
      </c>
      <c r="D599" s="23">
        <v>84.39</v>
      </c>
      <c r="E599" s="24" t="s">
        <v>33</v>
      </c>
    </row>
    <row r="600">
      <c r="A600" s="11">
        <v>7596.0</v>
      </c>
      <c r="B600" s="16">
        <v>89.0</v>
      </c>
      <c r="C600" s="22" t="s">
        <v>100</v>
      </c>
      <c r="D600" s="23">
        <v>989.74</v>
      </c>
      <c r="E600" s="24" t="s">
        <v>29</v>
      </c>
    </row>
    <row r="601">
      <c r="A601" s="11">
        <v>7597.0</v>
      </c>
      <c r="B601" s="16">
        <v>24.0</v>
      </c>
      <c r="C601" s="22" t="s">
        <v>44</v>
      </c>
      <c r="D601" s="23">
        <v>79473.45</v>
      </c>
      <c r="E601" s="24" t="s">
        <v>29</v>
      </c>
    </row>
    <row r="602">
      <c r="A602" s="11">
        <v>7598.0</v>
      </c>
      <c r="B602" s="16">
        <v>1.0</v>
      </c>
      <c r="C602" s="22" t="s">
        <v>45</v>
      </c>
      <c r="D602" s="23">
        <v>4022.89</v>
      </c>
      <c r="E602" s="24" t="s">
        <v>31</v>
      </c>
    </row>
    <row r="603">
      <c r="A603" s="11">
        <v>7599.0</v>
      </c>
      <c r="B603" s="16">
        <v>48.0</v>
      </c>
      <c r="C603" s="22" t="s">
        <v>121</v>
      </c>
      <c r="D603" s="23">
        <v>8561.6</v>
      </c>
      <c r="E603" s="24" t="s">
        <v>33</v>
      </c>
    </row>
    <row r="604">
      <c r="A604" s="11">
        <v>7600.0</v>
      </c>
      <c r="B604" s="16">
        <v>44.0</v>
      </c>
      <c r="C604" s="22" t="s">
        <v>214</v>
      </c>
      <c r="D604" s="23">
        <v>25273.92</v>
      </c>
      <c r="E604" s="24" t="s">
        <v>33</v>
      </c>
    </row>
    <row r="605">
      <c r="A605" s="11">
        <v>7601.0</v>
      </c>
      <c r="B605" s="16">
        <v>8.0</v>
      </c>
      <c r="C605" s="22" t="s">
        <v>105</v>
      </c>
      <c r="D605" s="23">
        <v>642627.12</v>
      </c>
      <c r="E605" s="24" t="s">
        <v>31</v>
      </c>
    </row>
    <row r="606">
      <c r="A606" s="11">
        <v>7602.0</v>
      </c>
      <c r="B606" s="16">
        <v>11.0</v>
      </c>
      <c r="C606" s="22" t="s">
        <v>420</v>
      </c>
      <c r="D606" s="23">
        <v>456.65</v>
      </c>
      <c r="E606" s="24" t="s">
        <v>39</v>
      </c>
    </row>
    <row r="607">
      <c r="A607" s="11">
        <v>7603.0</v>
      </c>
      <c r="B607" s="16">
        <v>40.0</v>
      </c>
      <c r="C607" s="22" t="s">
        <v>421</v>
      </c>
      <c r="D607" s="23">
        <v>899.88</v>
      </c>
      <c r="E607" s="24" t="s">
        <v>31</v>
      </c>
    </row>
    <row r="608">
      <c r="A608" s="11">
        <v>7604.0</v>
      </c>
      <c r="B608" s="16">
        <v>50.0</v>
      </c>
      <c r="C608" s="22" t="s">
        <v>174</v>
      </c>
      <c r="D608" s="23">
        <v>46.22</v>
      </c>
      <c r="E608" s="24" t="s">
        <v>33</v>
      </c>
    </row>
    <row r="609">
      <c r="A609" s="11">
        <v>7605.0</v>
      </c>
      <c r="B609" s="16">
        <v>77.0</v>
      </c>
      <c r="C609" s="22" t="s">
        <v>240</v>
      </c>
      <c r="D609" s="23">
        <v>79.11</v>
      </c>
      <c r="E609" s="24" t="s">
        <v>33</v>
      </c>
    </row>
    <row r="610">
      <c r="A610" s="11">
        <v>7606.0</v>
      </c>
      <c r="B610" s="16">
        <v>54.0</v>
      </c>
      <c r="C610" s="22" t="s">
        <v>422</v>
      </c>
      <c r="D610" s="23">
        <v>4196.77</v>
      </c>
      <c r="E610" s="24" t="s">
        <v>39</v>
      </c>
    </row>
    <row r="611">
      <c r="A611" s="11">
        <v>7607.0</v>
      </c>
      <c r="B611" s="16">
        <v>24.0</v>
      </c>
      <c r="C611" s="22" t="s">
        <v>423</v>
      </c>
      <c r="D611" s="23">
        <v>22.25</v>
      </c>
      <c r="E611" s="24" t="s">
        <v>33</v>
      </c>
    </row>
    <row r="612">
      <c r="A612" s="11">
        <v>7608.0</v>
      </c>
      <c r="B612" s="16">
        <v>60.0</v>
      </c>
      <c r="C612" s="22" t="s">
        <v>424</v>
      </c>
      <c r="D612" s="23">
        <v>5930.48</v>
      </c>
      <c r="E612" s="24" t="s">
        <v>39</v>
      </c>
    </row>
    <row r="613">
      <c r="A613" s="11">
        <v>7609.0</v>
      </c>
      <c r="B613" s="16">
        <v>98.0</v>
      </c>
      <c r="C613" s="22" t="s">
        <v>425</v>
      </c>
      <c r="D613" s="23">
        <v>25.1</v>
      </c>
      <c r="E613" s="24" t="s">
        <v>31</v>
      </c>
    </row>
    <row r="614">
      <c r="A614" s="11">
        <v>7610.0</v>
      </c>
      <c r="B614" s="16">
        <v>53.0</v>
      </c>
      <c r="C614" s="22" t="s">
        <v>288</v>
      </c>
      <c r="D614" s="23">
        <v>652.24</v>
      </c>
      <c r="E614" s="24" t="s">
        <v>39</v>
      </c>
    </row>
    <row r="615">
      <c r="A615" s="11">
        <v>7611.0</v>
      </c>
      <c r="B615" s="16">
        <v>74.0</v>
      </c>
      <c r="C615" s="22" t="s">
        <v>376</v>
      </c>
      <c r="D615" s="23">
        <v>93049.34</v>
      </c>
      <c r="E615" s="24" t="s">
        <v>33</v>
      </c>
    </row>
    <row r="616">
      <c r="A616" s="11">
        <v>7612.0</v>
      </c>
      <c r="B616" s="16">
        <v>94.0</v>
      </c>
      <c r="C616" s="22" t="s">
        <v>364</v>
      </c>
      <c r="D616" s="23">
        <v>78229.78</v>
      </c>
      <c r="E616" s="24" t="s">
        <v>39</v>
      </c>
    </row>
    <row r="617">
      <c r="A617" s="11">
        <v>7613.0</v>
      </c>
      <c r="B617" s="16">
        <v>38.0</v>
      </c>
      <c r="C617" s="22" t="s">
        <v>426</v>
      </c>
      <c r="D617" s="23">
        <v>516787.39</v>
      </c>
      <c r="E617" s="24" t="s">
        <v>39</v>
      </c>
    </row>
    <row r="618">
      <c r="A618" s="11">
        <v>7614.0</v>
      </c>
      <c r="B618" s="16">
        <v>70.0</v>
      </c>
      <c r="C618" s="22" t="s">
        <v>51</v>
      </c>
      <c r="D618" s="23">
        <v>234912.53</v>
      </c>
      <c r="E618" s="24" t="s">
        <v>39</v>
      </c>
    </row>
    <row r="619">
      <c r="A619" s="11">
        <v>7615.0</v>
      </c>
      <c r="B619" s="16">
        <v>28.0</v>
      </c>
      <c r="C619" s="22" t="s">
        <v>192</v>
      </c>
      <c r="D619" s="23">
        <v>383.41</v>
      </c>
      <c r="E619" s="24" t="s">
        <v>39</v>
      </c>
    </row>
    <row r="620">
      <c r="A620" s="11">
        <v>7616.0</v>
      </c>
      <c r="B620" s="16">
        <v>41.0</v>
      </c>
      <c r="C620" s="22" t="s">
        <v>427</v>
      </c>
      <c r="D620" s="23">
        <v>302.95</v>
      </c>
      <c r="E620" s="24" t="s">
        <v>29</v>
      </c>
    </row>
    <row r="621">
      <c r="A621" s="11">
        <v>7617.0</v>
      </c>
      <c r="B621" s="16">
        <v>47.0</v>
      </c>
      <c r="C621" s="22" t="s">
        <v>428</v>
      </c>
      <c r="D621" s="23">
        <v>3745.72</v>
      </c>
      <c r="E621" s="24" t="s">
        <v>48</v>
      </c>
    </row>
    <row r="622">
      <c r="A622" s="11">
        <v>7618.0</v>
      </c>
      <c r="B622" s="16">
        <v>80.0</v>
      </c>
      <c r="C622" s="22" t="s">
        <v>429</v>
      </c>
      <c r="D622" s="23">
        <v>247491.44</v>
      </c>
      <c r="E622" s="24" t="s">
        <v>48</v>
      </c>
    </row>
    <row r="623">
      <c r="A623" s="11">
        <v>7619.0</v>
      </c>
      <c r="B623" s="16">
        <v>6.0</v>
      </c>
      <c r="C623" s="22" t="s">
        <v>154</v>
      </c>
      <c r="D623" s="23">
        <v>699.41</v>
      </c>
      <c r="E623" s="24" t="s">
        <v>48</v>
      </c>
    </row>
    <row r="624">
      <c r="A624" s="11">
        <v>7620.0</v>
      </c>
      <c r="B624" s="16">
        <v>3.0</v>
      </c>
      <c r="C624" s="22" t="s">
        <v>430</v>
      </c>
      <c r="D624" s="23">
        <v>673109.65</v>
      </c>
      <c r="E624" s="24" t="s">
        <v>29</v>
      </c>
    </row>
    <row r="625">
      <c r="A625" s="11">
        <v>7621.0</v>
      </c>
      <c r="B625" s="16">
        <v>0.0</v>
      </c>
      <c r="C625" s="22" t="s">
        <v>431</v>
      </c>
      <c r="D625" s="23">
        <v>25.87</v>
      </c>
      <c r="E625" s="24" t="s">
        <v>39</v>
      </c>
    </row>
    <row r="626">
      <c r="A626" s="11">
        <v>7622.0</v>
      </c>
      <c r="B626" s="16">
        <v>98.0</v>
      </c>
      <c r="C626" s="22" t="s">
        <v>383</v>
      </c>
      <c r="D626" s="23">
        <v>321.67</v>
      </c>
      <c r="E626" s="24" t="s">
        <v>48</v>
      </c>
    </row>
    <row r="627">
      <c r="A627" s="11">
        <v>7623.0</v>
      </c>
      <c r="B627" s="16">
        <v>68.0</v>
      </c>
      <c r="C627" s="22" t="s">
        <v>180</v>
      </c>
      <c r="D627" s="23">
        <v>29078.66</v>
      </c>
      <c r="E627" s="24" t="s">
        <v>33</v>
      </c>
    </row>
    <row r="628">
      <c r="A628" s="11">
        <v>7624.0</v>
      </c>
      <c r="B628" s="16">
        <v>96.0</v>
      </c>
      <c r="C628" s="22" t="s">
        <v>422</v>
      </c>
      <c r="D628" s="23">
        <v>661017.49</v>
      </c>
      <c r="E628" s="24" t="s">
        <v>33</v>
      </c>
    </row>
    <row r="629">
      <c r="A629" s="11">
        <v>7625.0</v>
      </c>
      <c r="B629" s="16">
        <v>21.0</v>
      </c>
      <c r="C629" s="22" t="s">
        <v>432</v>
      </c>
      <c r="D629" s="23">
        <v>269433.71</v>
      </c>
      <c r="E629" s="24" t="s">
        <v>39</v>
      </c>
    </row>
    <row r="630">
      <c r="A630" s="11">
        <v>7626.0</v>
      </c>
      <c r="B630" s="16">
        <v>53.0</v>
      </c>
      <c r="C630" s="22" t="s">
        <v>433</v>
      </c>
      <c r="D630" s="23">
        <v>1181.92</v>
      </c>
      <c r="E630" s="24" t="s">
        <v>31</v>
      </c>
    </row>
    <row r="631">
      <c r="A631" s="11">
        <v>7627.0</v>
      </c>
      <c r="B631" s="16">
        <v>55.0</v>
      </c>
      <c r="C631" s="22" t="s">
        <v>147</v>
      </c>
      <c r="D631" s="23">
        <v>661.61</v>
      </c>
      <c r="E631" s="24" t="s">
        <v>29</v>
      </c>
    </row>
    <row r="632">
      <c r="A632" s="11">
        <v>7628.0</v>
      </c>
      <c r="B632" s="16">
        <v>43.0</v>
      </c>
      <c r="C632" s="22" t="s">
        <v>434</v>
      </c>
      <c r="D632" s="23">
        <v>58.48</v>
      </c>
      <c r="E632" s="24" t="s">
        <v>31</v>
      </c>
    </row>
    <row r="633">
      <c r="A633" s="11">
        <v>7629.0</v>
      </c>
      <c r="B633" s="16">
        <v>10.0</v>
      </c>
      <c r="C633" s="22" t="s">
        <v>152</v>
      </c>
      <c r="D633" s="23">
        <v>56225.59</v>
      </c>
      <c r="E633" s="24" t="s">
        <v>39</v>
      </c>
    </row>
    <row r="634">
      <c r="A634" s="11">
        <v>7630.0</v>
      </c>
      <c r="B634" s="16">
        <v>4.0</v>
      </c>
      <c r="C634" s="22" t="s">
        <v>435</v>
      </c>
      <c r="D634" s="23">
        <v>453.51</v>
      </c>
      <c r="E634" s="24" t="s">
        <v>48</v>
      </c>
    </row>
    <row r="635">
      <c r="A635" s="11">
        <v>7631.0</v>
      </c>
      <c r="B635" s="16">
        <v>45.0</v>
      </c>
      <c r="C635" s="22" t="s">
        <v>309</v>
      </c>
      <c r="D635" s="23">
        <v>37287.1</v>
      </c>
      <c r="E635" s="24" t="s">
        <v>29</v>
      </c>
    </row>
    <row r="636">
      <c r="A636" s="11">
        <v>7632.0</v>
      </c>
      <c r="B636" s="16">
        <v>8.0</v>
      </c>
      <c r="C636" s="22" t="s">
        <v>343</v>
      </c>
      <c r="D636" s="23">
        <v>85.72</v>
      </c>
      <c r="E636" s="24" t="s">
        <v>39</v>
      </c>
    </row>
    <row r="637">
      <c r="A637" s="11">
        <v>7633.0</v>
      </c>
      <c r="B637" s="16">
        <v>8.0</v>
      </c>
      <c r="C637" s="22" t="s">
        <v>319</v>
      </c>
      <c r="D637" s="23">
        <v>448.8</v>
      </c>
      <c r="E637" s="24" t="s">
        <v>48</v>
      </c>
    </row>
    <row r="638">
      <c r="A638" s="11">
        <v>7634.0</v>
      </c>
      <c r="B638" s="16">
        <v>78.0</v>
      </c>
      <c r="C638" s="22" t="s">
        <v>436</v>
      </c>
      <c r="D638" s="23">
        <v>443.66</v>
      </c>
      <c r="E638" s="24" t="s">
        <v>31</v>
      </c>
    </row>
    <row r="639">
      <c r="A639" s="11">
        <v>7635.0</v>
      </c>
      <c r="B639" s="16">
        <v>4.0</v>
      </c>
      <c r="C639" s="22" t="s">
        <v>229</v>
      </c>
      <c r="D639" s="23">
        <v>89698.74</v>
      </c>
      <c r="E639" s="24" t="s">
        <v>39</v>
      </c>
    </row>
    <row r="640">
      <c r="A640" s="11">
        <v>7636.0</v>
      </c>
      <c r="B640" s="16">
        <v>6.0</v>
      </c>
      <c r="C640" s="22" t="s">
        <v>53</v>
      </c>
      <c r="D640" s="23">
        <v>722081.59</v>
      </c>
      <c r="E640" s="24" t="s">
        <v>39</v>
      </c>
    </row>
    <row r="641">
      <c r="A641" s="11">
        <v>7637.0</v>
      </c>
      <c r="B641" s="16">
        <v>90.0</v>
      </c>
      <c r="C641" s="22" t="s">
        <v>28</v>
      </c>
      <c r="D641" s="23">
        <v>20.8</v>
      </c>
      <c r="E641" s="24" t="s">
        <v>31</v>
      </c>
    </row>
    <row r="642">
      <c r="A642" s="11">
        <v>7638.0</v>
      </c>
      <c r="B642" s="16">
        <v>6.0</v>
      </c>
      <c r="C642" s="22" t="s">
        <v>437</v>
      </c>
      <c r="D642" s="23">
        <v>408.5</v>
      </c>
      <c r="E642" s="24" t="s">
        <v>29</v>
      </c>
    </row>
    <row r="643">
      <c r="A643" s="11">
        <v>7639.0</v>
      </c>
      <c r="B643" s="16">
        <v>63.0</v>
      </c>
      <c r="C643" s="22" t="s">
        <v>264</v>
      </c>
      <c r="D643" s="23">
        <v>214.88</v>
      </c>
      <c r="E643" s="24" t="s">
        <v>29</v>
      </c>
    </row>
    <row r="644">
      <c r="A644" s="11">
        <v>7640.0</v>
      </c>
      <c r="B644" s="16">
        <v>8.0</v>
      </c>
      <c r="C644" s="22" t="s">
        <v>45</v>
      </c>
      <c r="D644" s="23">
        <v>634821.17</v>
      </c>
      <c r="E644" s="24" t="s">
        <v>33</v>
      </c>
    </row>
    <row r="645">
      <c r="A645" s="11">
        <v>7641.0</v>
      </c>
      <c r="B645" s="16">
        <v>18.0</v>
      </c>
      <c r="C645" s="22" t="s">
        <v>141</v>
      </c>
      <c r="D645" s="23">
        <v>6040.83</v>
      </c>
      <c r="E645" s="24" t="s">
        <v>33</v>
      </c>
    </row>
    <row r="646">
      <c r="A646" s="11">
        <v>7642.0</v>
      </c>
      <c r="B646" s="16">
        <v>7.0</v>
      </c>
      <c r="C646" s="22" t="s">
        <v>438</v>
      </c>
      <c r="D646" s="23">
        <v>64.82</v>
      </c>
      <c r="E646" s="24" t="s">
        <v>33</v>
      </c>
    </row>
    <row r="647">
      <c r="A647" s="11">
        <v>7643.0</v>
      </c>
      <c r="B647" s="16">
        <v>78.0</v>
      </c>
      <c r="C647" s="22" t="s">
        <v>439</v>
      </c>
      <c r="D647" s="23">
        <v>555041.57</v>
      </c>
      <c r="E647" s="24" t="s">
        <v>48</v>
      </c>
    </row>
    <row r="648">
      <c r="A648" s="11">
        <v>7644.0</v>
      </c>
      <c r="B648" s="16">
        <v>32.0</v>
      </c>
      <c r="C648" s="22" t="s">
        <v>122</v>
      </c>
      <c r="D648" s="23">
        <v>88305.79</v>
      </c>
      <c r="E648" s="24" t="s">
        <v>31</v>
      </c>
    </row>
    <row r="649">
      <c r="A649" s="11">
        <v>7645.0</v>
      </c>
      <c r="B649" s="16">
        <v>17.0</v>
      </c>
      <c r="C649" s="22" t="s">
        <v>440</v>
      </c>
      <c r="D649" s="23">
        <v>84764.77</v>
      </c>
      <c r="E649" s="24" t="s">
        <v>48</v>
      </c>
    </row>
    <row r="650">
      <c r="A650" s="11">
        <v>7646.0</v>
      </c>
      <c r="B650" s="16">
        <v>88.0</v>
      </c>
      <c r="C650" s="22" t="s">
        <v>348</v>
      </c>
      <c r="D650" s="23">
        <v>79.25</v>
      </c>
      <c r="E650" s="24" t="s">
        <v>48</v>
      </c>
    </row>
    <row r="651">
      <c r="A651" s="11">
        <v>7647.0</v>
      </c>
      <c r="B651" s="16">
        <v>79.0</v>
      </c>
      <c r="C651" s="22" t="s">
        <v>421</v>
      </c>
      <c r="D651" s="23">
        <v>71.75</v>
      </c>
      <c r="E651" s="24" t="s">
        <v>48</v>
      </c>
    </row>
    <row r="652">
      <c r="A652" s="11">
        <v>7648.0</v>
      </c>
      <c r="B652" s="16">
        <v>66.0</v>
      </c>
      <c r="C652" s="22" t="s">
        <v>218</v>
      </c>
      <c r="D652" s="23">
        <v>664571.15</v>
      </c>
      <c r="E652" s="24" t="s">
        <v>29</v>
      </c>
    </row>
    <row r="653">
      <c r="A653" s="11">
        <v>7649.0</v>
      </c>
      <c r="B653" s="16">
        <v>97.0</v>
      </c>
      <c r="C653" s="22" t="s">
        <v>434</v>
      </c>
      <c r="D653" s="23">
        <v>940.91</v>
      </c>
      <c r="E653" s="24" t="s">
        <v>48</v>
      </c>
    </row>
    <row r="654">
      <c r="A654" s="11">
        <v>7650.0</v>
      </c>
      <c r="B654" s="16">
        <v>79.0</v>
      </c>
      <c r="C654" s="22" t="s">
        <v>441</v>
      </c>
      <c r="D654" s="23">
        <v>2834.75</v>
      </c>
      <c r="E654" s="24" t="s">
        <v>33</v>
      </c>
    </row>
    <row r="655">
      <c r="A655" s="11">
        <v>7651.0</v>
      </c>
      <c r="B655" s="16">
        <v>47.0</v>
      </c>
      <c r="C655" s="22" t="s">
        <v>225</v>
      </c>
      <c r="D655" s="23">
        <v>885.39</v>
      </c>
      <c r="E655" s="24" t="s">
        <v>31</v>
      </c>
    </row>
    <row r="656">
      <c r="A656" s="11">
        <v>7652.0</v>
      </c>
      <c r="B656" s="16">
        <v>9.0</v>
      </c>
      <c r="C656" s="22" t="s">
        <v>47</v>
      </c>
      <c r="D656" s="23">
        <v>712247.13</v>
      </c>
      <c r="E656" s="24" t="s">
        <v>39</v>
      </c>
    </row>
    <row r="657">
      <c r="A657" s="11">
        <v>7653.0</v>
      </c>
      <c r="B657" s="16">
        <v>12.0</v>
      </c>
      <c r="C657" s="22" t="s">
        <v>284</v>
      </c>
      <c r="D657" s="23">
        <v>258597.76</v>
      </c>
      <c r="E657" s="24" t="s">
        <v>31</v>
      </c>
    </row>
    <row r="658">
      <c r="A658" s="11">
        <v>7654.0</v>
      </c>
      <c r="B658" s="16">
        <v>81.0</v>
      </c>
      <c r="C658" s="22" t="s">
        <v>442</v>
      </c>
      <c r="D658" s="23">
        <v>562.16</v>
      </c>
      <c r="E658" s="24" t="s">
        <v>31</v>
      </c>
    </row>
    <row r="659">
      <c r="A659" s="11">
        <v>7655.0</v>
      </c>
      <c r="B659" s="16">
        <v>72.0</v>
      </c>
      <c r="C659" s="22" t="s">
        <v>443</v>
      </c>
      <c r="D659" s="23">
        <v>885439.92</v>
      </c>
      <c r="E659" s="24" t="s">
        <v>33</v>
      </c>
    </row>
    <row r="660">
      <c r="A660" s="11">
        <v>7656.0</v>
      </c>
      <c r="B660" s="16">
        <v>24.0</v>
      </c>
      <c r="C660" s="22" t="s">
        <v>280</v>
      </c>
      <c r="D660" s="23">
        <v>35682.36</v>
      </c>
      <c r="E660" s="24" t="s">
        <v>33</v>
      </c>
    </row>
    <row r="661">
      <c r="A661" s="11">
        <v>7657.0</v>
      </c>
      <c r="B661" s="16">
        <v>5.0</v>
      </c>
      <c r="C661" s="22" t="s">
        <v>444</v>
      </c>
      <c r="D661" s="23">
        <v>513540.15</v>
      </c>
      <c r="E661" s="24" t="s">
        <v>48</v>
      </c>
    </row>
    <row r="662">
      <c r="A662" s="11">
        <v>7658.0</v>
      </c>
      <c r="B662" s="16">
        <v>83.0</v>
      </c>
      <c r="C662" s="22" t="s">
        <v>163</v>
      </c>
      <c r="D662" s="23">
        <v>4205.3</v>
      </c>
      <c r="E662" s="24" t="s">
        <v>29</v>
      </c>
    </row>
    <row r="663">
      <c r="A663" s="11">
        <v>7659.0</v>
      </c>
      <c r="B663" s="16">
        <v>83.0</v>
      </c>
      <c r="C663" s="22" t="s">
        <v>93</v>
      </c>
      <c r="D663" s="23">
        <v>940586.66</v>
      </c>
      <c r="E663" s="24" t="s">
        <v>31</v>
      </c>
    </row>
    <row r="664">
      <c r="A664" s="11">
        <v>7660.0</v>
      </c>
      <c r="B664" s="16">
        <v>1.0</v>
      </c>
      <c r="C664" s="22" t="s">
        <v>371</v>
      </c>
      <c r="D664" s="23">
        <v>70372.98</v>
      </c>
      <c r="E664" s="24" t="s">
        <v>39</v>
      </c>
    </row>
    <row r="665">
      <c r="A665" s="11">
        <v>7661.0</v>
      </c>
      <c r="B665" s="16">
        <v>51.0</v>
      </c>
      <c r="C665" s="22" t="s">
        <v>117</v>
      </c>
      <c r="D665" s="23">
        <v>40162.37</v>
      </c>
      <c r="E665" s="24" t="s">
        <v>39</v>
      </c>
    </row>
    <row r="666">
      <c r="A666" s="11">
        <v>7662.0</v>
      </c>
      <c r="B666" s="16">
        <v>72.0</v>
      </c>
      <c r="C666" s="22" t="s">
        <v>350</v>
      </c>
      <c r="D666" s="23">
        <v>7876.36</v>
      </c>
      <c r="E666" s="24" t="s">
        <v>48</v>
      </c>
    </row>
    <row r="667">
      <c r="A667" s="11">
        <v>7663.0</v>
      </c>
      <c r="B667" s="16">
        <v>3.0</v>
      </c>
      <c r="C667" s="22" t="s">
        <v>392</v>
      </c>
      <c r="D667" s="23">
        <v>4096.44</v>
      </c>
      <c r="E667" s="24" t="s">
        <v>48</v>
      </c>
    </row>
    <row r="668">
      <c r="A668" s="11">
        <v>7664.0</v>
      </c>
      <c r="B668" s="16">
        <v>78.0</v>
      </c>
      <c r="C668" s="22" t="s">
        <v>373</v>
      </c>
      <c r="D668" s="23">
        <v>366320.43</v>
      </c>
      <c r="E668" s="24" t="s">
        <v>31</v>
      </c>
    </row>
    <row r="669">
      <c r="A669" s="11">
        <v>7665.0</v>
      </c>
      <c r="B669" s="16">
        <v>38.0</v>
      </c>
      <c r="C669" s="22" t="s">
        <v>344</v>
      </c>
      <c r="D669" s="23">
        <v>96.21</v>
      </c>
      <c r="E669" s="24" t="s">
        <v>39</v>
      </c>
    </row>
    <row r="670">
      <c r="A670" s="11">
        <v>7666.0</v>
      </c>
      <c r="B670" s="16">
        <v>7.0</v>
      </c>
      <c r="C670" s="22" t="s">
        <v>445</v>
      </c>
      <c r="D670" s="23">
        <v>52.96</v>
      </c>
      <c r="E670" s="24" t="s">
        <v>48</v>
      </c>
    </row>
    <row r="671">
      <c r="A671" s="11">
        <v>7667.0</v>
      </c>
      <c r="B671" s="16">
        <v>63.0</v>
      </c>
      <c r="C671" s="22" t="s">
        <v>446</v>
      </c>
      <c r="D671" s="23">
        <v>83.67</v>
      </c>
      <c r="E671" s="24" t="s">
        <v>29</v>
      </c>
    </row>
    <row r="672">
      <c r="A672" s="11">
        <v>7668.0</v>
      </c>
      <c r="B672" s="16">
        <v>6.0</v>
      </c>
      <c r="C672" s="22" t="s">
        <v>91</v>
      </c>
      <c r="D672" s="23">
        <v>8654.7</v>
      </c>
      <c r="E672" s="24" t="s">
        <v>48</v>
      </c>
    </row>
    <row r="673">
      <c r="A673" s="11">
        <v>7669.0</v>
      </c>
      <c r="B673" s="16">
        <v>85.0</v>
      </c>
      <c r="C673" s="22" t="s">
        <v>447</v>
      </c>
      <c r="D673" s="23">
        <v>920.99</v>
      </c>
      <c r="E673" s="24" t="s">
        <v>33</v>
      </c>
    </row>
    <row r="674">
      <c r="A674" s="11">
        <v>7670.0</v>
      </c>
      <c r="B674" s="16">
        <v>82.0</v>
      </c>
      <c r="C674" s="22" t="s">
        <v>328</v>
      </c>
      <c r="D674" s="23">
        <v>948.79</v>
      </c>
      <c r="E674" s="24" t="s">
        <v>31</v>
      </c>
    </row>
    <row r="675">
      <c r="A675" s="11">
        <v>7671.0</v>
      </c>
      <c r="B675" s="16">
        <v>51.0</v>
      </c>
      <c r="C675" s="22" t="s">
        <v>448</v>
      </c>
      <c r="D675" s="23">
        <v>68.53</v>
      </c>
      <c r="E675" s="24" t="s">
        <v>31</v>
      </c>
    </row>
    <row r="676">
      <c r="A676" s="11">
        <v>7672.0</v>
      </c>
      <c r="B676" s="16">
        <v>77.0</v>
      </c>
      <c r="C676" s="22" t="s">
        <v>449</v>
      </c>
      <c r="D676" s="23">
        <v>653680.87</v>
      </c>
      <c r="E676" s="24" t="s">
        <v>29</v>
      </c>
    </row>
    <row r="677">
      <c r="A677" s="11">
        <v>7673.0</v>
      </c>
      <c r="B677" s="16">
        <v>49.0</v>
      </c>
      <c r="C677" s="22" t="s">
        <v>364</v>
      </c>
      <c r="D677" s="23">
        <v>17.24</v>
      </c>
      <c r="E677" s="24" t="s">
        <v>48</v>
      </c>
    </row>
    <row r="678">
      <c r="A678" s="11">
        <v>7674.0</v>
      </c>
      <c r="B678" s="16">
        <v>2.0</v>
      </c>
      <c r="C678" s="22" t="s">
        <v>155</v>
      </c>
      <c r="D678" s="23">
        <v>56338.6</v>
      </c>
      <c r="E678" s="24" t="s">
        <v>29</v>
      </c>
    </row>
    <row r="679">
      <c r="A679" s="11">
        <v>7675.0</v>
      </c>
      <c r="B679" s="16">
        <v>74.0</v>
      </c>
      <c r="C679" s="22" t="s">
        <v>36</v>
      </c>
      <c r="D679" s="23">
        <v>87.9</v>
      </c>
      <c r="E679" s="24" t="s">
        <v>33</v>
      </c>
    </row>
    <row r="680">
      <c r="A680" s="11">
        <v>7676.0</v>
      </c>
      <c r="B680" s="16">
        <v>84.0</v>
      </c>
      <c r="C680" s="22" t="s">
        <v>42</v>
      </c>
      <c r="D680" s="23">
        <v>78.4</v>
      </c>
      <c r="E680" s="24" t="s">
        <v>48</v>
      </c>
    </row>
    <row r="681">
      <c r="A681" s="11">
        <v>7677.0</v>
      </c>
      <c r="B681" s="16">
        <v>35.0</v>
      </c>
      <c r="C681" s="22" t="s">
        <v>450</v>
      </c>
      <c r="D681" s="23">
        <v>63975.56</v>
      </c>
      <c r="E681" s="24" t="s">
        <v>48</v>
      </c>
    </row>
    <row r="682">
      <c r="A682" s="11">
        <v>7678.0</v>
      </c>
      <c r="B682" s="16">
        <v>2.0</v>
      </c>
      <c r="C682" s="22" t="s">
        <v>400</v>
      </c>
      <c r="D682" s="23">
        <v>392.19</v>
      </c>
      <c r="E682" s="24" t="s">
        <v>31</v>
      </c>
    </row>
    <row r="683">
      <c r="A683" s="11">
        <v>7679.0</v>
      </c>
      <c r="B683" s="16">
        <v>90.0</v>
      </c>
      <c r="C683" s="22" t="s">
        <v>451</v>
      </c>
      <c r="D683" s="23">
        <v>92.29</v>
      </c>
      <c r="E683" s="24" t="s">
        <v>31</v>
      </c>
    </row>
    <row r="684">
      <c r="A684" s="11">
        <v>7680.0</v>
      </c>
      <c r="B684" s="16">
        <v>40.0</v>
      </c>
      <c r="C684" s="22" t="s">
        <v>37</v>
      </c>
      <c r="D684" s="23">
        <v>72970.95</v>
      </c>
      <c r="E684" s="24" t="s">
        <v>33</v>
      </c>
    </row>
    <row r="685">
      <c r="A685" s="11">
        <v>7681.0</v>
      </c>
      <c r="B685" s="16">
        <v>42.0</v>
      </c>
      <c r="C685" s="22" t="s">
        <v>186</v>
      </c>
      <c r="D685" s="23">
        <v>873.92</v>
      </c>
      <c r="E685" s="24" t="s">
        <v>48</v>
      </c>
    </row>
    <row r="686">
      <c r="A686" s="11">
        <v>7682.0</v>
      </c>
      <c r="B686" s="16">
        <v>75.0</v>
      </c>
      <c r="C686" s="22" t="s">
        <v>452</v>
      </c>
      <c r="D686" s="23">
        <v>79.83</v>
      </c>
      <c r="E686" s="24" t="s">
        <v>39</v>
      </c>
    </row>
    <row r="687">
      <c r="A687" s="11">
        <v>7683.0</v>
      </c>
      <c r="B687" s="16">
        <v>44.0</v>
      </c>
      <c r="C687" s="22" t="s">
        <v>164</v>
      </c>
      <c r="D687" s="23">
        <v>414.33</v>
      </c>
      <c r="E687" s="24" t="s">
        <v>31</v>
      </c>
    </row>
    <row r="688">
      <c r="A688" s="11">
        <v>7684.0</v>
      </c>
      <c r="B688" s="16">
        <v>76.0</v>
      </c>
      <c r="C688" s="22" t="s">
        <v>453</v>
      </c>
      <c r="D688" s="23">
        <v>20.59</v>
      </c>
      <c r="E688" s="24" t="s">
        <v>48</v>
      </c>
    </row>
    <row r="689">
      <c r="A689" s="11">
        <v>7685.0</v>
      </c>
      <c r="B689" s="16">
        <v>77.0</v>
      </c>
      <c r="C689" s="22" t="s">
        <v>454</v>
      </c>
      <c r="D689" s="23">
        <v>273520.99</v>
      </c>
      <c r="E689" s="24" t="s">
        <v>29</v>
      </c>
    </row>
    <row r="690">
      <c r="A690" s="11">
        <v>7686.0</v>
      </c>
      <c r="B690" s="16">
        <v>41.0</v>
      </c>
      <c r="C690" s="22" t="s">
        <v>437</v>
      </c>
      <c r="D690" s="23">
        <v>973.2</v>
      </c>
      <c r="E690" s="24" t="s">
        <v>39</v>
      </c>
    </row>
    <row r="691">
      <c r="A691" s="11">
        <v>7687.0</v>
      </c>
      <c r="B691" s="16">
        <v>37.0</v>
      </c>
      <c r="C691" s="22" t="s">
        <v>240</v>
      </c>
      <c r="D691" s="23">
        <v>1517.82</v>
      </c>
      <c r="E691" s="24" t="s">
        <v>29</v>
      </c>
    </row>
    <row r="692">
      <c r="A692" s="11">
        <v>7688.0</v>
      </c>
      <c r="B692" s="16">
        <v>43.0</v>
      </c>
      <c r="C692" s="22" t="s">
        <v>187</v>
      </c>
      <c r="D692" s="23">
        <v>85784.52</v>
      </c>
      <c r="E692" s="24" t="s">
        <v>39</v>
      </c>
    </row>
    <row r="693">
      <c r="A693" s="11">
        <v>7689.0</v>
      </c>
      <c r="B693" s="16">
        <v>93.0</v>
      </c>
      <c r="C693" s="22" t="s">
        <v>455</v>
      </c>
      <c r="D693" s="23">
        <v>89.54</v>
      </c>
      <c r="E693" s="24" t="s">
        <v>31</v>
      </c>
    </row>
    <row r="694">
      <c r="A694" s="11">
        <v>7690.0</v>
      </c>
      <c r="B694" s="16">
        <v>31.0</v>
      </c>
      <c r="C694" s="22" t="s">
        <v>456</v>
      </c>
      <c r="D694" s="23">
        <v>98.98</v>
      </c>
      <c r="E694" s="24" t="s">
        <v>39</v>
      </c>
    </row>
    <row r="695">
      <c r="A695" s="11">
        <v>7691.0</v>
      </c>
      <c r="B695" s="16">
        <v>13.0</v>
      </c>
      <c r="C695" s="22" t="s">
        <v>362</v>
      </c>
      <c r="D695" s="23">
        <v>2403.2</v>
      </c>
      <c r="E695" s="24" t="s">
        <v>31</v>
      </c>
    </row>
    <row r="696">
      <c r="A696" s="11">
        <v>7692.0</v>
      </c>
      <c r="B696" s="16">
        <v>28.0</v>
      </c>
      <c r="C696" s="22" t="s">
        <v>129</v>
      </c>
      <c r="D696" s="23">
        <v>29222.43</v>
      </c>
      <c r="E696" s="24" t="s">
        <v>48</v>
      </c>
    </row>
    <row r="697">
      <c r="A697" s="11">
        <v>7693.0</v>
      </c>
      <c r="B697" s="16">
        <v>88.0</v>
      </c>
      <c r="C697" s="22" t="s">
        <v>457</v>
      </c>
      <c r="D697" s="23">
        <v>77947.81</v>
      </c>
      <c r="E697" s="24" t="s">
        <v>48</v>
      </c>
    </row>
    <row r="698">
      <c r="A698" s="11">
        <v>7694.0</v>
      </c>
      <c r="B698" s="16">
        <v>39.0</v>
      </c>
      <c r="C698" s="22" t="s">
        <v>307</v>
      </c>
      <c r="D698" s="23">
        <v>27733.62</v>
      </c>
      <c r="E698" s="24" t="s">
        <v>31</v>
      </c>
    </row>
    <row r="699">
      <c r="A699" s="11">
        <v>7695.0</v>
      </c>
      <c r="B699" s="16">
        <v>83.0</v>
      </c>
      <c r="C699" s="22" t="s">
        <v>137</v>
      </c>
      <c r="D699" s="23">
        <v>956.81</v>
      </c>
      <c r="E699" s="24" t="s">
        <v>29</v>
      </c>
    </row>
    <row r="700">
      <c r="A700" s="11">
        <v>7696.0</v>
      </c>
      <c r="B700" s="16">
        <v>92.0</v>
      </c>
      <c r="C700" s="22" t="s">
        <v>281</v>
      </c>
      <c r="D700" s="23">
        <v>679602.48</v>
      </c>
      <c r="E700" s="24" t="s">
        <v>33</v>
      </c>
    </row>
    <row r="701">
      <c r="A701" s="11">
        <v>7697.0</v>
      </c>
      <c r="B701" s="16">
        <v>15.0</v>
      </c>
      <c r="C701" s="22" t="s">
        <v>145</v>
      </c>
      <c r="D701" s="23">
        <v>619435.73</v>
      </c>
      <c r="E701" s="24" t="s">
        <v>33</v>
      </c>
    </row>
    <row r="702">
      <c r="A702" s="11">
        <v>7698.0</v>
      </c>
      <c r="B702" s="16">
        <v>31.0</v>
      </c>
      <c r="C702" s="22" t="s">
        <v>242</v>
      </c>
      <c r="D702" s="23">
        <v>425.71</v>
      </c>
      <c r="E702" s="24" t="s">
        <v>48</v>
      </c>
    </row>
    <row r="703">
      <c r="A703" s="11">
        <v>7699.0</v>
      </c>
      <c r="B703" s="16">
        <v>71.0</v>
      </c>
      <c r="C703" s="22" t="s">
        <v>338</v>
      </c>
      <c r="D703" s="23">
        <v>759643.68</v>
      </c>
      <c r="E703" s="24" t="s">
        <v>48</v>
      </c>
    </row>
    <row r="704">
      <c r="A704" s="11">
        <v>7700.0</v>
      </c>
      <c r="B704" s="16">
        <v>30.0</v>
      </c>
      <c r="C704" s="22" t="s">
        <v>458</v>
      </c>
      <c r="D704" s="23">
        <v>47224.85</v>
      </c>
      <c r="E704" s="24" t="s">
        <v>39</v>
      </c>
    </row>
    <row r="705">
      <c r="A705" s="11">
        <v>7701.0</v>
      </c>
      <c r="B705" s="16">
        <v>71.0</v>
      </c>
      <c r="C705" s="22" t="s">
        <v>459</v>
      </c>
      <c r="D705" s="23">
        <v>204215.67</v>
      </c>
      <c r="E705" s="24" t="s">
        <v>48</v>
      </c>
    </row>
    <row r="706">
      <c r="A706" s="11">
        <v>7702.0</v>
      </c>
      <c r="B706" s="16">
        <v>58.0</v>
      </c>
      <c r="C706" s="22" t="s">
        <v>460</v>
      </c>
      <c r="D706" s="23">
        <v>22928.67</v>
      </c>
      <c r="E706" s="24" t="s">
        <v>29</v>
      </c>
    </row>
    <row r="707">
      <c r="A707" s="11">
        <v>7703.0</v>
      </c>
      <c r="B707" s="16">
        <v>51.0</v>
      </c>
      <c r="C707" s="22" t="s">
        <v>171</v>
      </c>
      <c r="D707" s="23">
        <v>72181.6</v>
      </c>
      <c r="E707" s="24" t="s">
        <v>31</v>
      </c>
    </row>
    <row r="708">
      <c r="A708" s="11">
        <v>7704.0</v>
      </c>
      <c r="B708" s="16">
        <v>56.0</v>
      </c>
      <c r="C708" s="22" t="s">
        <v>439</v>
      </c>
      <c r="D708" s="23">
        <v>1730.85</v>
      </c>
      <c r="E708" s="24" t="s">
        <v>48</v>
      </c>
    </row>
    <row r="709">
      <c r="A709" s="11">
        <v>7705.0</v>
      </c>
      <c r="B709" s="16">
        <v>85.0</v>
      </c>
      <c r="C709" s="22" t="s">
        <v>423</v>
      </c>
      <c r="D709" s="23">
        <v>7941.53</v>
      </c>
      <c r="E709" s="24" t="s">
        <v>29</v>
      </c>
    </row>
    <row r="710">
      <c r="A710" s="11">
        <v>7706.0</v>
      </c>
      <c r="B710" s="16">
        <v>40.0</v>
      </c>
      <c r="C710" s="22" t="s">
        <v>403</v>
      </c>
      <c r="D710" s="23">
        <v>38.5</v>
      </c>
      <c r="E710" s="24" t="s">
        <v>29</v>
      </c>
    </row>
    <row r="711">
      <c r="A711" s="11">
        <v>7707.0</v>
      </c>
      <c r="B711" s="16">
        <v>88.0</v>
      </c>
      <c r="C711" s="22" t="s">
        <v>461</v>
      </c>
      <c r="D711" s="23">
        <v>8161.3</v>
      </c>
      <c r="E711" s="24" t="s">
        <v>31</v>
      </c>
    </row>
    <row r="712">
      <c r="A712" s="11">
        <v>7708.0</v>
      </c>
      <c r="B712" s="16">
        <v>31.0</v>
      </c>
      <c r="C712" s="22" t="s">
        <v>208</v>
      </c>
      <c r="D712" s="23">
        <v>1849.99</v>
      </c>
      <c r="E712" s="24" t="s">
        <v>29</v>
      </c>
    </row>
    <row r="713">
      <c r="A713" s="11">
        <v>7709.0</v>
      </c>
      <c r="B713" s="16">
        <v>85.0</v>
      </c>
      <c r="C713" s="22" t="s">
        <v>209</v>
      </c>
      <c r="D713" s="23">
        <v>11.32</v>
      </c>
      <c r="E713" s="24" t="s">
        <v>31</v>
      </c>
    </row>
    <row r="714">
      <c r="A714" s="11">
        <v>7710.0</v>
      </c>
      <c r="B714" s="16">
        <v>84.0</v>
      </c>
      <c r="C714" s="22" t="s">
        <v>108</v>
      </c>
      <c r="D714" s="23">
        <v>958.88</v>
      </c>
      <c r="E714" s="24" t="s">
        <v>29</v>
      </c>
    </row>
    <row r="715">
      <c r="A715" s="11">
        <v>7711.0</v>
      </c>
      <c r="B715" s="16">
        <v>57.0</v>
      </c>
      <c r="C715" s="22" t="s">
        <v>462</v>
      </c>
      <c r="D715" s="23">
        <v>84942.32</v>
      </c>
      <c r="E715" s="24" t="s">
        <v>33</v>
      </c>
    </row>
    <row r="716">
      <c r="A716" s="11">
        <v>7712.0</v>
      </c>
      <c r="B716" s="16">
        <v>19.0</v>
      </c>
      <c r="C716" s="22" t="s">
        <v>37</v>
      </c>
      <c r="D716" s="23">
        <v>1341.44</v>
      </c>
      <c r="E716" s="24" t="s">
        <v>39</v>
      </c>
    </row>
    <row r="717">
      <c r="A717" s="11">
        <v>7713.0</v>
      </c>
      <c r="B717" s="16">
        <v>18.0</v>
      </c>
      <c r="C717" s="22" t="s">
        <v>349</v>
      </c>
      <c r="D717" s="23">
        <v>227190.11</v>
      </c>
      <c r="E717" s="24" t="s">
        <v>29</v>
      </c>
    </row>
    <row r="718">
      <c r="A718" s="11">
        <v>7714.0</v>
      </c>
      <c r="B718" s="16">
        <v>39.0</v>
      </c>
      <c r="C718" s="22" t="s">
        <v>463</v>
      </c>
      <c r="D718" s="23">
        <v>20.13</v>
      </c>
      <c r="E718" s="24" t="s">
        <v>33</v>
      </c>
    </row>
    <row r="719">
      <c r="A719" s="11">
        <v>7715.0</v>
      </c>
      <c r="B719" s="16">
        <v>79.0</v>
      </c>
      <c r="C719" s="22" t="s">
        <v>320</v>
      </c>
      <c r="D719" s="23">
        <v>898.8</v>
      </c>
      <c r="E719" s="24" t="s">
        <v>33</v>
      </c>
    </row>
    <row r="720">
      <c r="A720" s="11">
        <v>7716.0</v>
      </c>
      <c r="B720" s="16">
        <v>30.0</v>
      </c>
      <c r="C720" s="22" t="s">
        <v>92</v>
      </c>
      <c r="D720" s="23">
        <v>77533.3</v>
      </c>
      <c r="E720" s="24" t="s">
        <v>29</v>
      </c>
    </row>
    <row r="721">
      <c r="A721" s="11">
        <v>7717.0</v>
      </c>
      <c r="B721" s="16">
        <v>33.0</v>
      </c>
      <c r="C721" s="22" t="s">
        <v>322</v>
      </c>
      <c r="D721" s="23">
        <v>3258.51</v>
      </c>
      <c r="E721" s="24" t="s">
        <v>31</v>
      </c>
    </row>
    <row r="722">
      <c r="A722" s="11">
        <v>7718.0</v>
      </c>
      <c r="B722" s="16">
        <v>68.0</v>
      </c>
      <c r="C722" s="22" t="s">
        <v>464</v>
      </c>
      <c r="D722" s="23">
        <v>67.95</v>
      </c>
      <c r="E722" s="24" t="s">
        <v>29</v>
      </c>
    </row>
    <row r="723">
      <c r="A723" s="11">
        <v>7719.0</v>
      </c>
      <c r="B723" s="16">
        <v>11.0</v>
      </c>
      <c r="C723" s="22" t="s">
        <v>116</v>
      </c>
      <c r="D723" s="23">
        <v>2445.59</v>
      </c>
      <c r="E723" s="24" t="s">
        <v>31</v>
      </c>
    </row>
    <row r="724">
      <c r="A724" s="11">
        <v>7720.0</v>
      </c>
      <c r="B724" s="16">
        <v>32.0</v>
      </c>
      <c r="C724" s="22" t="s">
        <v>156</v>
      </c>
      <c r="D724" s="23">
        <v>7075.51</v>
      </c>
      <c r="E724" s="24" t="s">
        <v>48</v>
      </c>
    </row>
    <row r="725">
      <c r="A725" s="11">
        <v>7721.0</v>
      </c>
      <c r="B725" s="16">
        <v>8.0</v>
      </c>
      <c r="C725" s="22" t="s">
        <v>335</v>
      </c>
      <c r="D725" s="23">
        <v>568.78</v>
      </c>
      <c r="E725" s="24" t="s">
        <v>31</v>
      </c>
    </row>
    <row r="726">
      <c r="A726" s="11">
        <v>7722.0</v>
      </c>
      <c r="B726" s="16">
        <v>50.0</v>
      </c>
      <c r="C726" s="22" t="s">
        <v>465</v>
      </c>
      <c r="D726" s="23">
        <v>2947.66</v>
      </c>
      <c r="E726" s="24" t="s">
        <v>31</v>
      </c>
    </row>
    <row r="727">
      <c r="A727" s="11">
        <v>7723.0</v>
      </c>
      <c r="B727" s="16">
        <v>58.0</v>
      </c>
      <c r="C727" s="22" t="s">
        <v>466</v>
      </c>
      <c r="D727" s="23">
        <v>91743.69</v>
      </c>
      <c r="E727" s="24" t="s">
        <v>31</v>
      </c>
    </row>
    <row r="728">
      <c r="A728" s="11">
        <v>7724.0</v>
      </c>
      <c r="B728" s="16">
        <v>24.0</v>
      </c>
      <c r="C728" s="22" t="s">
        <v>82</v>
      </c>
      <c r="D728" s="23">
        <v>423182.6</v>
      </c>
      <c r="E728" s="24" t="s">
        <v>31</v>
      </c>
    </row>
    <row r="729">
      <c r="A729" s="11">
        <v>7725.0</v>
      </c>
      <c r="B729" s="16">
        <v>91.0</v>
      </c>
      <c r="C729" s="22" t="s">
        <v>219</v>
      </c>
      <c r="D729" s="23">
        <v>95500.88</v>
      </c>
      <c r="E729" s="24" t="s">
        <v>39</v>
      </c>
    </row>
    <row r="730">
      <c r="A730" s="11">
        <v>7726.0</v>
      </c>
      <c r="B730" s="16">
        <v>22.0</v>
      </c>
      <c r="C730" s="22" t="s">
        <v>463</v>
      </c>
      <c r="D730" s="23">
        <v>365.42</v>
      </c>
      <c r="E730" s="24" t="s">
        <v>33</v>
      </c>
    </row>
    <row r="731">
      <c r="A731" s="11">
        <v>7727.0</v>
      </c>
      <c r="B731" s="16">
        <v>63.0</v>
      </c>
      <c r="C731" s="22" t="s">
        <v>409</v>
      </c>
      <c r="D731" s="23">
        <v>3389.25</v>
      </c>
      <c r="E731" s="24" t="s">
        <v>29</v>
      </c>
    </row>
    <row r="732">
      <c r="A732" s="11">
        <v>7728.0</v>
      </c>
      <c r="B732" s="16">
        <v>88.0</v>
      </c>
      <c r="C732" s="22" t="s">
        <v>115</v>
      </c>
      <c r="D732" s="23">
        <v>71286.69</v>
      </c>
      <c r="E732" s="24" t="s">
        <v>31</v>
      </c>
    </row>
    <row r="733">
      <c r="A733" s="11">
        <v>7729.0</v>
      </c>
      <c r="B733" s="16">
        <v>0.0</v>
      </c>
      <c r="C733" s="22" t="s">
        <v>446</v>
      </c>
      <c r="D733" s="23">
        <v>506708.5</v>
      </c>
      <c r="E733" s="24" t="s">
        <v>39</v>
      </c>
    </row>
    <row r="734">
      <c r="A734" s="11">
        <v>7730.0</v>
      </c>
      <c r="B734" s="16">
        <v>10.0</v>
      </c>
      <c r="C734" s="22" t="s">
        <v>467</v>
      </c>
      <c r="D734" s="23">
        <v>481.37</v>
      </c>
      <c r="E734" s="24" t="s">
        <v>29</v>
      </c>
    </row>
    <row r="735">
      <c r="A735" s="11">
        <v>7731.0</v>
      </c>
      <c r="B735" s="16">
        <v>3.0</v>
      </c>
      <c r="C735" s="22" t="s">
        <v>210</v>
      </c>
      <c r="D735" s="23">
        <v>51.23</v>
      </c>
      <c r="E735" s="24" t="s">
        <v>39</v>
      </c>
    </row>
    <row r="736">
      <c r="A736" s="11">
        <v>7732.0</v>
      </c>
      <c r="B736" s="16">
        <v>14.0</v>
      </c>
      <c r="C736" s="22" t="s">
        <v>468</v>
      </c>
      <c r="D736" s="23">
        <v>16942.18</v>
      </c>
      <c r="E736" s="24" t="s">
        <v>39</v>
      </c>
    </row>
    <row r="737">
      <c r="A737" s="11">
        <v>7733.0</v>
      </c>
      <c r="B737" s="16">
        <v>55.0</v>
      </c>
      <c r="C737" s="22" t="s">
        <v>186</v>
      </c>
      <c r="D737" s="23">
        <v>5629.36</v>
      </c>
      <c r="E737" s="24" t="s">
        <v>48</v>
      </c>
    </row>
    <row r="738">
      <c r="A738" s="11">
        <v>7734.0</v>
      </c>
      <c r="B738" s="16">
        <v>26.0</v>
      </c>
      <c r="C738" s="22" t="s">
        <v>469</v>
      </c>
      <c r="D738" s="23">
        <v>628.89</v>
      </c>
      <c r="E738" s="24" t="s">
        <v>48</v>
      </c>
    </row>
    <row r="739">
      <c r="A739" s="11">
        <v>7735.0</v>
      </c>
      <c r="B739" s="16">
        <v>43.0</v>
      </c>
      <c r="C739" s="22" t="s">
        <v>391</v>
      </c>
      <c r="D739" s="23">
        <v>963813.3</v>
      </c>
      <c r="E739" s="24" t="s">
        <v>39</v>
      </c>
    </row>
    <row r="740">
      <c r="A740" s="11">
        <v>7736.0</v>
      </c>
      <c r="B740" s="16">
        <v>38.0</v>
      </c>
      <c r="C740" s="22" t="s">
        <v>130</v>
      </c>
      <c r="D740" s="23">
        <v>662.45</v>
      </c>
      <c r="E740" s="24" t="s">
        <v>31</v>
      </c>
    </row>
    <row r="741">
      <c r="A741" s="11">
        <v>7737.0</v>
      </c>
      <c r="B741" s="16">
        <v>64.0</v>
      </c>
      <c r="C741" s="22" t="s">
        <v>259</v>
      </c>
      <c r="D741" s="23">
        <v>53.1</v>
      </c>
      <c r="E741" s="24" t="s">
        <v>33</v>
      </c>
    </row>
    <row r="742">
      <c r="A742" s="11">
        <v>7738.0</v>
      </c>
      <c r="B742" s="16">
        <v>15.0</v>
      </c>
      <c r="C742" s="22" t="s">
        <v>470</v>
      </c>
      <c r="D742" s="23">
        <v>328185.92</v>
      </c>
      <c r="E742" s="24" t="s">
        <v>48</v>
      </c>
    </row>
    <row r="743">
      <c r="A743" s="11">
        <v>7739.0</v>
      </c>
      <c r="B743" s="16">
        <v>13.0</v>
      </c>
      <c r="C743" s="22" t="s">
        <v>156</v>
      </c>
      <c r="D743" s="23">
        <v>19.15</v>
      </c>
      <c r="E743" s="24" t="s">
        <v>39</v>
      </c>
    </row>
    <row r="744">
      <c r="A744" s="11">
        <v>7740.0</v>
      </c>
      <c r="B744" s="16">
        <v>20.0</v>
      </c>
      <c r="C744" s="22" t="s">
        <v>471</v>
      </c>
      <c r="D744" s="23">
        <v>45710.44</v>
      </c>
      <c r="E744" s="24" t="s">
        <v>33</v>
      </c>
    </row>
    <row r="745">
      <c r="A745" s="11">
        <v>7741.0</v>
      </c>
      <c r="B745" s="16">
        <v>72.0</v>
      </c>
      <c r="C745" s="22" t="s">
        <v>191</v>
      </c>
      <c r="D745" s="23">
        <v>804.78</v>
      </c>
      <c r="E745" s="24" t="s">
        <v>33</v>
      </c>
    </row>
    <row r="746">
      <c r="A746" s="11">
        <v>7742.0</v>
      </c>
      <c r="B746" s="16">
        <v>8.0</v>
      </c>
      <c r="C746" s="22" t="s">
        <v>409</v>
      </c>
      <c r="D746" s="23">
        <v>407.1</v>
      </c>
      <c r="E746" s="24" t="s">
        <v>31</v>
      </c>
    </row>
    <row r="747">
      <c r="A747" s="11">
        <v>7743.0</v>
      </c>
      <c r="B747" s="16">
        <v>24.0</v>
      </c>
      <c r="C747" s="22" t="s">
        <v>200</v>
      </c>
      <c r="D747" s="23">
        <v>4006.28</v>
      </c>
      <c r="E747" s="24" t="s">
        <v>31</v>
      </c>
    </row>
    <row r="748">
      <c r="A748" s="11">
        <v>7744.0</v>
      </c>
      <c r="B748" s="16">
        <v>11.0</v>
      </c>
      <c r="C748" s="22" t="s">
        <v>53</v>
      </c>
      <c r="D748" s="23">
        <v>467366.69</v>
      </c>
      <c r="E748" s="24" t="s">
        <v>39</v>
      </c>
    </row>
    <row r="749">
      <c r="A749" s="11">
        <v>7745.0</v>
      </c>
      <c r="B749" s="16">
        <v>50.0</v>
      </c>
      <c r="C749" s="22" t="s">
        <v>396</v>
      </c>
      <c r="D749" s="23">
        <v>40.81</v>
      </c>
      <c r="E749" s="24" t="s">
        <v>48</v>
      </c>
    </row>
    <row r="750">
      <c r="A750" s="11">
        <v>7746.0</v>
      </c>
      <c r="B750" s="16">
        <v>26.0</v>
      </c>
      <c r="C750" s="22" t="s">
        <v>472</v>
      </c>
      <c r="D750" s="23">
        <v>725654.29</v>
      </c>
      <c r="E750" s="24" t="s">
        <v>31</v>
      </c>
    </row>
    <row r="751">
      <c r="A751" s="11">
        <v>7747.0</v>
      </c>
      <c r="B751" s="16">
        <v>40.0</v>
      </c>
      <c r="C751" s="22" t="s">
        <v>84</v>
      </c>
      <c r="D751" s="23">
        <v>94322.99</v>
      </c>
      <c r="E751" s="24" t="s">
        <v>31</v>
      </c>
    </row>
    <row r="752">
      <c r="A752" s="11">
        <v>7748.0</v>
      </c>
      <c r="B752" s="16">
        <v>78.0</v>
      </c>
      <c r="C752" s="22" t="s">
        <v>210</v>
      </c>
      <c r="D752" s="23">
        <v>938.88</v>
      </c>
      <c r="E752" s="24" t="s">
        <v>48</v>
      </c>
    </row>
    <row r="753">
      <c r="A753" s="11">
        <v>7749.0</v>
      </c>
      <c r="B753" s="16">
        <v>87.0</v>
      </c>
      <c r="C753" s="22" t="s">
        <v>143</v>
      </c>
      <c r="D753" s="23">
        <v>388274.89</v>
      </c>
      <c r="E753" s="24" t="s">
        <v>48</v>
      </c>
    </row>
    <row r="754">
      <c r="A754" s="11">
        <v>7750.0</v>
      </c>
      <c r="B754" s="16">
        <v>57.0</v>
      </c>
      <c r="C754" s="22" t="s">
        <v>420</v>
      </c>
      <c r="D754" s="23">
        <v>573392.86</v>
      </c>
      <c r="E754" s="24" t="s">
        <v>29</v>
      </c>
    </row>
    <row r="755">
      <c r="A755" s="11">
        <v>7751.0</v>
      </c>
      <c r="B755" s="16">
        <v>5.0</v>
      </c>
      <c r="C755" s="22" t="s">
        <v>393</v>
      </c>
      <c r="D755" s="23">
        <v>8737.46</v>
      </c>
      <c r="E755" s="24" t="s">
        <v>39</v>
      </c>
    </row>
    <row r="756">
      <c r="A756" s="11">
        <v>7752.0</v>
      </c>
      <c r="B756" s="16">
        <v>51.0</v>
      </c>
      <c r="C756" s="22" t="s">
        <v>473</v>
      </c>
      <c r="D756" s="23">
        <v>26.31</v>
      </c>
      <c r="E756" s="24" t="s">
        <v>39</v>
      </c>
    </row>
    <row r="757">
      <c r="A757" s="11">
        <v>7753.0</v>
      </c>
      <c r="B757" s="16">
        <v>29.0</v>
      </c>
      <c r="C757" s="22" t="s">
        <v>394</v>
      </c>
      <c r="D757" s="23">
        <v>7643.39</v>
      </c>
      <c r="E757" s="24" t="s">
        <v>39</v>
      </c>
    </row>
    <row r="758">
      <c r="A758" s="11">
        <v>7754.0</v>
      </c>
      <c r="B758" s="16">
        <v>75.0</v>
      </c>
      <c r="C758" s="22" t="s">
        <v>474</v>
      </c>
      <c r="D758" s="23">
        <v>850.9</v>
      </c>
      <c r="E758" s="24" t="s">
        <v>33</v>
      </c>
    </row>
    <row r="759">
      <c r="A759" s="11">
        <v>7755.0</v>
      </c>
      <c r="B759" s="16">
        <v>62.0</v>
      </c>
      <c r="C759" s="22" t="s">
        <v>249</v>
      </c>
      <c r="D759" s="23">
        <v>524.37</v>
      </c>
      <c r="E759" s="24" t="s">
        <v>29</v>
      </c>
    </row>
    <row r="760">
      <c r="A760" s="11">
        <v>7756.0</v>
      </c>
      <c r="B760" s="16">
        <v>6.0</v>
      </c>
      <c r="C760" s="22" t="s">
        <v>203</v>
      </c>
      <c r="D760" s="23">
        <v>74387.37</v>
      </c>
      <c r="E760" s="24" t="s">
        <v>33</v>
      </c>
    </row>
    <row r="761">
      <c r="A761" s="11">
        <v>7757.0</v>
      </c>
      <c r="B761" s="16">
        <v>27.0</v>
      </c>
      <c r="C761" s="22" t="s">
        <v>78</v>
      </c>
      <c r="D761" s="23">
        <v>51.77</v>
      </c>
      <c r="E761" s="24" t="s">
        <v>29</v>
      </c>
    </row>
    <row r="762">
      <c r="A762" s="11">
        <v>7758.0</v>
      </c>
      <c r="B762" s="16">
        <v>75.0</v>
      </c>
      <c r="C762" s="22" t="s">
        <v>214</v>
      </c>
      <c r="D762" s="23">
        <v>61.84</v>
      </c>
      <c r="E762" s="24" t="s">
        <v>29</v>
      </c>
    </row>
    <row r="763">
      <c r="A763" s="11">
        <v>7759.0</v>
      </c>
      <c r="B763" s="16">
        <v>16.0</v>
      </c>
      <c r="C763" s="22" t="s">
        <v>475</v>
      </c>
      <c r="D763" s="23">
        <v>254.46</v>
      </c>
      <c r="E763" s="24" t="s">
        <v>39</v>
      </c>
    </row>
    <row r="764">
      <c r="A764" s="11">
        <v>7760.0</v>
      </c>
      <c r="B764" s="16">
        <v>99.0</v>
      </c>
      <c r="C764" s="22" t="s">
        <v>476</v>
      </c>
      <c r="D764" s="23">
        <v>562.67</v>
      </c>
      <c r="E764" s="24" t="s">
        <v>29</v>
      </c>
    </row>
    <row r="765">
      <c r="A765" s="11">
        <v>7761.0</v>
      </c>
      <c r="B765" s="16">
        <v>35.0</v>
      </c>
      <c r="C765" s="22" t="s">
        <v>349</v>
      </c>
      <c r="D765" s="23">
        <v>895.33</v>
      </c>
      <c r="E765" s="24" t="s">
        <v>39</v>
      </c>
    </row>
    <row r="766">
      <c r="A766" s="11">
        <v>7762.0</v>
      </c>
      <c r="B766" s="16">
        <v>91.0</v>
      </c>
      <c r="C766" s="22" t="s">
        <v>388</v>
      </c>
      <c r="D766" s="23">
        <v>48338.43</v>
      </c>
      <c r="E766" s="24" t="s">
        <v>29</v>
      </c>
    </row>
    <row r="767">
      <c r="A767" s="11">
        <v>7763.0</v>
      </c>
      <c r="B767" s="16">
        <v>26.0</v>
      </c>
      <c r="C767" s="22" t="s">
        <v>85</v>
      </c>
      <c r="D767" s="23">
        <v>66810.91</v>
      </c>
      <c r="E767" s="24" t="s">
        <v>39</v>
      </c>
    </row>
    <row r="768">
      <c r="A768" s="11">
        <v>7764.0</v>
      </c>
      <c r="B768" s="16">
        <v>6.0</v>
      </c>
      <c r="C768" s="22" t="s">
        <v>477</v>
      </c>
      <c r="D768" s="23">
        <v>665.9</v>
      </c>
      <c r="E768" s="24" t="s">
        <v>29</v>
      </c>
    </row>
    <row r="769">
      <c r="A769" s="11">
        <v>7765.0</v>
      </c>
      <c r="B769" s="16">
        <v>69.0</v>
      </c>
      <c r="C769" s="22" t="s">
        <v>478</v>
      </c>
      <c r="D769" s="23">
        <v>32.42</v>
      </c>
      <c r="E769" s="24" t="s">
        <v>39</v>
      </c>
    </row>
    <row r="770">
      <c r="A770" s="11">
        <v>7766.0</v>
      </c>
      <c r="B770" s="16">
        <v>38.0</v>
      </c>
      <c r="C770" s="22" t="s">
        <v>476</v>
      </c>
      <c r="D770" s="23">
        <v>18728.5</v>
      </c>
      <c r="E770" s="24" t="s">
        <v>33</v>
      </c>
    </row>
    <row r="771">
      <c r="A771" s="11">
        <v>7767.0</v>
      </c>
      <c r="B771" s="16">
        <v>75.0</v>
      </c>
      <c r="C771" s="22" t="s">
        <v>129</v>
      </c>
      <c r="D771" s="23">
        <v>80.31</v>
      </c>
      <c r="E771" s="24" t="s">
        <v>39</v>
      </c>
    </row>
    <row r="772">
      <c r="A772" s="11">
        <v>7768.0</v>
      </c>
      <c r="B772" s="16">
        <v>77.0</v>
      </c>
      <c r="C772" s="22" t="s">
        <v>479</v>
      </c>
      <c r="D772" s="23">
        <v>49.15</v>
      </c>
      <c r="E772" s="24" t="s">
        <v>33</v>
      </c>
    </row>
    <row r="773">
      <c r="A773" s="11">
        <v>7769.0</v>
      </c>
      <c r="B773" s="16">
        <v>77.0</v>
      </c>
      <c r="C773" s="22" t="s">
        <v>480</v>
      </c>
      <c r="D773" s="23">
        <v>55974.18</v>
      </c>
      <c r="E773" s="24" t="s">
        <v>33</v>
      </c>
    </row>
    <row r="774">
      <c r="A774" s="11">
        <v>7770.0</v>
      </c>
      <c r="B774" s="16">
        <v>7.0</v>
      </c>
      <c r="C774" s="22" t="s">
        <v>481</v>
      </c>
      <c r="D774" s="23">
        <v>79.33</v>
      </c>
      <c r="E774" s="24" t="s">
        <v>33</v>
      </c>
    </row>
    <row r="775">
      <c r="A775" s="11">
        <v>7771.0</v>
      </c>
      <c r="B775" s="16">
        <v>74.0</v>
      </c>
      <c r="C775" s="22" t="s">
        <v>182</v>
      </c>
      <c r="D775" s="23">
        <v>98.0</v>
      </c>
      <c r="E775" s="24" t="s">
        <v>31</v>
      </c>
    </row>
    <row r="776">
      <c r="A776" s="11">
        <v>7772.0</v>
      </c>
      <c r="B776" s="16">
        <v>14.0</v>
      </c>
      <c r="C776" s="22" t="s">
        <v>482</v>
      </c>
      <c r="D776" s="23">
        <v>542.72</v>
      </c>
      <c r="E776" s="24" t="s">
        <v>33</v>
      </c>
    </row>
    <row r="777">
      <c r="A777" s="11">
        <v>7773.0</v>
      </c>
      <c r="B777" s="16">
        <v>17.0</v>
      </c>
      <c r="C777" s="22" t="s">
        <v>483</v>
      </c>
      <c r="D777" s="23">
        <v>541404.15</v>
      </c>
      <c r="E777" s="24" t="s">
        <v>29</v>
      </c>
    </row>
    <row r="778">
      <c r="A778" s="11">
        <v>7774.0</v>
      </c>
      <c r="B778" s="16">
        <v>30.0</v>
      </c>
      <c r="C778" s="22" t="s">
        <v>386</v>
      </c>
      <c r="D778" s="23">
        <v>492136.33</v>
      </c>
      <c r="E778" s="24" t="s">
        <v>33</v>
      </c>
    </row>
    <row r="779">
      <c r="A779" s="11">
        <v>7775.0</v>
      </c>
      <c r="B779" s="16">
        <v>41.0</v>
      </c>
      <c r="C779" s="22" t="s">
        <v>402</v>
      </c>
      <c r="D779" s="23">
        <v>530601.92</v>
      </c>
      <c r="E779" s="24" t="s">
        <v>39</v>
      </c>
    </row>
    <row r="780">
      <c r="A780" s="11">
        <v>7776.0</v>
      </c>
      <c r="B780" s="16">
        <v>3.0</v>
      </c>
      <c r="C780" s="22" t="s">
        <v>484</v>
      </c>
      <c r="D780" s="23">
        <v>5381.14</v>
      </c>
      <c r="E780" s="24" t="s">
        <v>31</v>
      </c>
    </row>
    <row r="781">
      <c r="A781" s="11">
        <v>7777.0</v>
      </c>
      <c r="B781" s="16">
        <v>75.0</v>
      </c>
      <c r="C781" s="22" t="s">
        <v>104</v>
      </c>
      <c r="D781" s="23">
        <v>33.61</v>
      </c>
      <c r="E781" s="24" t="s">
        <v>48</v>
      </c>
    </row>
    <row r="782">
      <c r="A782" s="11">
        <v>7778.0</v>
      </c>
      <c r="B782" s="16">
        <v>76.0</v>
      </c>
      <c r="C782" s="22" t="s">
        <v>485</v>
      </c>
      <c r="D782" s="23">
        <v>933.44</v>
      </c>
      <c r="E782" s="24" t="s">
        <v>29</v>
      </c>
    </row>
    <row r="783">
      <c r="A783" s="11">
        <v>7779.0</v>
      </c>
      <c r="B783" s="16">
        <v>50.0</v>
      </c>
      <c r="C783" s="22" t="s">
        <v>484</v>
      </c>
      <c r="D783" s="23">
        <v>68.79</v>
      </c>
      <c r="E783" s="24" t="s">
        <v>33</v>
      </c>
    </row>
    <row r="784">
      <c r="A784" s="11">
        <v>7780.0</v>
      </c>
      <c r="B784" s="16">
        <v>60.0</v>
      </c>
      <c r="C784" s="22" t="s">
        <v>486</v>
      </c>
      <c r="D784" s="23">
        <v>11715.32</v>
      </c>
      <c r="E784" s="24" t="s">
        <v>33</v>
      </c>
    </row>
    <row r="785">
      <c r="A785" s="11">
        <v>7781.0</v>
      </c>
      <c r="B785" s="16">
        <v>25.0</v>
      </c>
      <c r="C785" s="22" t="s">
        <v>163</v>
      </c>
      <c r="D785" s="23">
        <v>985.28</v>
      </c>
      <c r="E785" s="24" t="s">
        <v>48</v>
      </c>
    </row>
    <row r="786">
      <c r="A786" s="11">
        <v>7782.0</v>
      </c>
      <c r="B786" s="16">
        <v>29.0</v>
      </c>
      <c r="C786" s="22" t="s">
        <v>487</v>
      </c>
      <c r="D786" s="23">
        <v>492917.92</v>
      </c>
      <c r="E786" s="24" t="s">
        <v>48</v>
      </c>
    </row>
    <row r="787">
      <c r="A787" s="11">
        <v>7783.0</v>
      </c>
      <c r="B787" s="16">
        <v>11.0</v>
      </c>
      <c r="C787" s="22" t="s">
        <v>283</v>
      </c>
      <c r="D787" s="23">
        <v>5907.79</v>
      </c>
      <c r="E787" s="24" t="s">
        <v>29</v>
      </c>
    </row>
    <row r="788">
      <c r="A788" s="11">
        <v>7784.0</v>
      </c>
      <c r="B788" s="16">
        <v>55.0</v>
      </c>
      <c r="C788" s="22" t="s">
        <v>188</v>
      </c>
      <c r="D788" s="23">
        <v>7523.85</v>
      </c>
      <c r="E788" s="24" t="s">
        <v>33</v>
      </c>
    </row>
    <row r="789">
      <c r="A789" s="11">
        <v>7785.0</v>
      </c>
      <c r="B789" s="16">
        <v>52.0</v>
      </c>
      <c r="C789" s="22" t="s">
        <v>418</v>
      </c>
      <c r="D789" s="23">
        <v>9820.67</v>
      </c>
      <c r="E789" s="24" t="s">
        <v>31</v>
      </c>
    </row>
    <row r="790">
      <c r="A790" s="11">
        <v>7786.0</v>
      </c>
      <c r="B790" s="16">
        <v>20.0</v>
      </c>
      <c r="C790" s="22" t="s">
        <v>365</v>
      </c>
      <c r="D790" s="23">
        <v>81702.45</v>
      </c>
      <c r="E790" s="24" t="s">
        <v>31</v>
      </c>
    </row>
    <row r="791">
      <c r="A791" s="11">
        <v>7787.0</v>
      </c>
      <c r="B791" s="16">
        <v>90.0</v>
      </c>
      <c r="C791" s="22" t="s">
        <v>488</v>
      </c>
      <c r="D791" s="23">
        <v>15864.99</v>
      </c>
      <c r="E791" s="24" t="s">
        <v>33</v>
      </c>
    </row>
    <row r="792">
      <c r="A792" s="11">
        <v>7788.0</v>
      </c>
      <c r="B792" s="16">
        <v>98.0</v>
      </c>
      <c r="C792" s="22" t="s">
        <v>204</v>
      </c>
      <c r="D792" s="23">
        <v>64.55</v>
      </c>
      <c r="E792" s="24" t="s">
        <v>29</v>
      </c>
    </row>
    <row r="793">
      <c r="A793" s="11">
        <v>7789.0</v>
      </c>
      <c r="B793" s="16">
        <v>21.0</v>
      </c>
      <c r="C793" s="22" t="s">
        <v>489</v>
      </c>
      <c r="D793" s="23">
        <v>39.74</v>
      </c>
      <c r="E793" s="24" t="s">
        <v>33</v>
      </c>
    </row>
    <row r="794">
      <c r="A794" s="11">
        <v>7790.0</v>
      </c>
      <c r="B794" s="16">
        <v>60.0</v>
      </c>
      <c r="C794" s="22" t="s">
        <v>217</v>
      </c>
      <c r="D794" s="23">
        <v>721939.35</v>
      </c>
      <c r="E794" s="24" t="s">
        <v>33</v>
      </c>
    </row>
    <row r="795">
      <c r="A795" s="11">
        <v>7791.0</v>
      </c>
      <c r="B795" s="16">
        <v>98.0</v>
      </c>
      <c r="C795" s="22" t="s">
        <v>490</v>
      </c>
      <c r="D795" s="23">
        <v>492.21</v>
      </c>
      <c r="E795" s="24" t="s">
        <v>31</v>
      </c>
    </row>
    <row r="796">
      <c r="A796" s="11">
        <v>7792.0</v>
      </c>
      <c r="B796" s="16">
        <v>69.0</v>
      </c>
      <c r="C796" s="22" t="s">
        <v>491</v>
      </c>
      <c r="D796" s="23">
        <v>440312.1</v>
      </c>
      <c r="E796" s="24" t="s">
        <v>39</v>
      </c>
    </row>
    <row r="797">
      <c r="A797" s="11">
        <v>7793.0</v>
      </c>
      <c r="B797" s="16">
        <v>84.0</v>
      </c>
      <c r="C797" s="22" t="s">
        <v>460</v>
      </c>
      <c r="D797" s="23">
        <v>753.44</v>
      </c>
      <c r="E797" s="24" t="s">
        <v>39</v>
      </c>
    </row>
    <row r="798">
      <c r="A798" s="11">
        <v>7794.0</v>
      </c>
      <c r="B798" s="16">
        <v>53.0</v>
      </c>
      <c r="C798" s="22" t="s">
        <v>492</v>
      </c>
      <c r="D798" s="23">
        <v>636.29</v>
      </c>
      <c r="E798" s="24" t="s">
        <v>39</v>
      </c>
    </row>
    <row r="799">
      <c r="A799" s="11">
        <v>7795.0</v>
      </c>
      <c r="B799" s="16">
        <v>47.0</v>
      </c>
      <c r="C799" s="22" t="s">
        <v>277</v>
      </c>
      <c r="D799" s="23">
        <v>6407.48</v>
      </c>
      <c r="E799" s="24" t="s">
        <v>39</v>
      </c>
    </row>
    <row r="800">
      <c r="A800" s="11">
        <v>7796.0</v>
      </c>
      <c r="B800" s="16">
        <v>15.0</v>
      </c>
      <c r="C800" s="22" t="s">
        <v>142</v>
      </c>
      <c r="D800" s="23">
        <v>773534.2</v>
      </c>
      <c r="E800" s="24" t="s">
        <v>39</v>
      </c>
    </row>
    <row r="801">
      <c r="A801" s="11">
        <v>7797.0</v>
      </c>
      <c r="B801" s="16">
        <v>21.0</v>
      </c>
      <c r="C801" s="22" t="s">
        <v>124</v>
      </c>
      <c r="D801" s="23">
        <v>753799.3</v>
      </c>
      <c r="E801" s="24" t="s">
        <v>48</v>
      </c>
    </row>
    <row r="802">
      <c r="A802" s="11">
        <v>7798.0</v>
      </c>
      <c r="B802" s="16">
        <v>17.0</v>
      </c>
      <c r="C802" s="22" t="s">
        <v>158</v>
      </c>
      <c r="D802" s="23">
        <v>93625.71</v>
      </c>
      <c r="E802" s="24" t="s">
        <v>33</v>
      </c>
    </row>
    <row r="803">
      <c r="A803" s="11">
        <v>7799.0</v>
      </c>
      <c r="B803" s="16">
        <v>71.0</v>
      </c>
      <c r="C803" s="22" t="s">
        <v>493</v>
      </c>
      <c r="D803" s="23">
        <v>319934.53</v>
      </c>
      <c r="E803" s="24" t="s">
        <v>29</v>
      </c>
    </row>
    <row r="804">
      <c r="A804" s="11">
        <v>7800.0</v>
      </c>
      <c r="B804" s="16">
        <v>95.0</v>
      </c>
      <c r="C804" s="22" t="s">
        <v>494</v>
      </c>
      <c r="D804" s="23">
        <v>191713.16</v>
      </c>
      <c r="E804" s="24" t="s">
        <v>29</v>
      </c>
    </row>
    <row r="805">
      <c r="A805" s="11">
        <v>7801.0</v>
      </c>
      <c r="B805" s="16">
        <v>51.0</v>
      </c>
      <c r="C805" s="22" t="s">
        <v>381</v>
      </c>
      <c r="D805" s="23">
        <v>56487.14</v>
      </c>
      <c r="E805" s="24" t="s">
        <v>31</v>
      </c>
    </row>
    <row r="806">
      <c r="A806" s="11">
        <v>7802.0</v>
      </c>
      <c r="B806" s="16">
        <v>19.0</v>
      </c>
      <c r="C806" s="22" t="s">
        <v>361</v>
      </c>
      <c r="D806" s="23">
        <v>7984.3</v>
      </c>
      <c r="E806" s="24" t="s">
        <v>48</v>
      </c>
    </row>
    <row r="807">
      <c r="A807" s="11">
        <v>7803.0</v>
      </c>
      <c r="B807" s="16">
        <v>15.0</v>
      </c>
      <c r="C807" s="22" t="s">
        <v>219</v>
      </c>
      <c r="D807" s="23">
        <v>374516.73</v>
      </c>
      <c r="E807" s="24" t="s">
        <v>48</v>
      </c>
    </row>
    <row r="808">
      <c r="A808" s="11">
        <v>7804.0</v>
      </c>
      <c r="B808" s="16">
        <v>98.0</v>
      </c>
      <c r="C808" s="22" t="s">
        <v>271</v>
      </c>
      <c r="D808" s="23">
        <v>5646.41</v>
      </c>
      <c r="E808" s="24" t="s">
        <v>31</v>
      </c>
    </row>
    <row r="809">
      <c r="A809" s="11">
        <v>7805.0</v>
      </c>
      <c r="B809" s="16">
        <v>75.0</v>
      </c>
      <c r="C809" s="22" t="s">
        <v>495</v>
      </c>
      <c r="D809" s="23">
        <v>461.57</v>
      </c>
      <c r="E809" s="24" t="s">
        <v>33</v>
      </c>
    </row>
    <row r="810">
      <c r="A810" s="11">
        <v>7806.0</v>
      </c>
      <c r="B810" s="16">
        <v>41.0</v>
      </c>
      <c r="C810" s="22" t="s">
        <v>479</v>
      </c>
      <c r="D810" s="23">
        <v>61596.24</v>
      </c>
      <c r="E810" s="24" t="s">
        <v>39</v>
      </c>
    </row>
    <row r="811">
      <c r="A811" s="11">
        <v>7807.0</v>
      </c>
      <c r="B811" s="16">
        <v>63.0</v>
      </c>
      <c r="C811" s="22" t="s">
        <v>371</v>
      </c>
      <c r="D811" s="23">
        <v>39831.89</v>
      </c>
      <c r="E811" s="24" t="s">
        <v>33</v>
      </c>
    </row>
    <row r="812">
      <c r="A812" s="11">
        <v>7808.0</v>
      </c>
      <c r="B812" s="16">
        <v>75.0</v>
      </c>
      <c r="C812" s="22" t="s">
        <v>67</v>
      </c>
      <c r="D812" s="23">
        <v>5660.57</v>
      </c>
      <c r="E812" s="24" t="s">
        <v>39</v>
      </c>
    </row>
    <row r="813">
      <c r="A813" s="11">
        <v>7809.0</v>
      </c>
      <c r="B813" s="16">
        <v>14.0</v>
      </c>
      <c r="C813" s="22" t="s">
        <v>202</v>
      </c>
      <c r="D813" s="23">
        <v>527.75</v>
      </c>
      <c r="E813" s="24" t="s">
        <v>33</v>
      </c>
    </row>
    <row r="814">
      <c r="A814" s="11">
        <v>7810.0</v>
      </c>
      <c r="B814" s="16">
        <v>46.0</v>
      </c>
      <c r="C814" s="22" t="s">
        <v>221</v>
      </c>
      <c r="D814" s="23">
        <v>8395.44</v>
      </c>
      <c r="E814" s="24" t="s">
        <v>33</v>
      </c>
    </row>
    <row r="815">
      <c r="A815" s="11">
        <v>7811.0</v>
      </c>
      <c r="B815" s="16">
        <v>79.0</v>
      </c>
      <c r="C815" s="22" t="s">
        <v>81</v>
      </c>
      <c r="D815" s="23">
        <v>456.58</v>
      </c>
      <c r="E815" s="24" t="s">
        <v>33</v>
      </c>
    </row>
    <row r="816">
      <c r="A816" s="11">
        <v>7812.0</v>
      </c>
      <c r="B816" s="16">
        <v>67.0</v>
      </c>
      <c r="C816" s="22" t="s">
        <v>496</v>
      </c>
      <c r="D816" s="23">
        <v>9645.74</v>
      </c>
      <c r="E816" s="24" t="s">
        <v>29</v>
      </c>
    </row>
    <row r="817">
      <c r="A817" s="11">
        <v>7813.0</v>
      </c>
      <c r="B817" s="16">
        <v>25.0</v>
      </c>
      <c r="C817" s="22" t="s">
        <v>61</v>
      </c>
      <c r="D817" s="23">
        <v>7579.22</v>
      </c>
      <c r="E817" s="24" t="s">
        <v>33</v>
      </c>
    </row>
    <row r="818">
      <c r="A818" s="11">
        <v>7814.0</v>
      </c>
      <c r="B818" s="16">
        <v>38.0</v>
      </c>
      <c r="C818" s="22" t="s">
        <v>392</v>
      </c>
      <c r="D818" s="23">
        <v>31.69</v>
      </c>
      <c r="E818" s="24" t="s">
        <v>48</v>
      </c>
    </row>
    <row r="819">
      <c r="A819" s="11">
        <v>7815.0</v>
      </c>
      <c r="B819" s="16">
        <v>22.0</v>
      </c>
      <c r="C819" s="22" t="s">
        <v>201</v>
      </c>
      <c r="D819" s="23">
        <v>93.55</v>
      </c>
      <c r="E819" s="24" t="s">
        <v>29</v>
      </c>
    </row>
    <row r="820">
      <c r="A820" s="11">
        <v>7816.0</v>
      </c>
      <c r="B820" s="16">
        <v>58.0</v>
      </c>
      <c r="C820" s="22" t="s">
        <v>240</v>
      </c>
      <c r="D820" s="23">
        <v>662359.16</v>
      </c>
      <c r="E820" s="24" t="s">
        <v>33</v>
      </c>
    </row>
    <row r="821">
      <c r="A821" s="11">
        <v>7817.0</v>
      </c>
      <c r="B821" s="16">
        <v>34.0</v>
      </c>
      <c r="C821" s="22" t="s">
        <v>132</v>
      </c>
      <c r="D821" s="23">
        <v>884.95</v>
      </c>
      <c r="E821" s="24" t="s">
        <v>31</v>
      </c>
    </row>
    <row r="822">
      <c r="A822" s="11">
        <v>7818.0</v>
      </c>
      <c r="B822" s="16">
        <v>19.0</v>
      </c>
      <c r="C822" s="22" t="s">
        <v>447</v>
      </c>
      <c r="D822" s="23">
        <v>1420.64</v>
      </c>
      <c r="E822" s="24" t="s">
        <v>39</v>
      </c>
    </row>
    <row r="823">
      <c r="A823" s="11">
        <v>7819.0</v>
      </c>
      <c r="B823" s="16">
        <v>42.0</v>
      </c>
      <c r="C823" s="22" t="s">
        <v>347</v>
      </c>
      <c r="D823" s="23">
        <v>416625.88</v>
      </c>
      <c r="E823" s="24" t="s">
        <v>31</v>
      </c>
    </row>
    <row r="824">
      <c r="A824" s="11">
        <v>7820.0</v>
      </c>
      <c r="B824" s="16">
        <v>92.0</v>
      </c>
      <c r="C824" s="22" t="s">
        <v>267</v>
      </c>
      <c r="D824" s="23">
        <v>494.57</v>
      </c>
      <c r="E824" s="24" t="s">
        <v>31</v>
      </c>
    </row>
    <row r="825">
      <c r="A825" s="11">
        <v>7821.0</v>
      </c>
      <c r="B825" s="16">
        <v>61.0</v>
      </c>
      <c r="C825" s="22" t="s">
        <v>497</v>
      </c>
      <c r="D825" s="23">
        <v>958245.94</v>
      </c>
      <c r="E825" s="24" t="s">
        <v>48</v>
      </c>
    </row>
    <row r="826">
      <c r="A826" s="11">
        <v>7822.0</v>
      </c>
      <c r="B826" s="16">
        <v>20.0</v>
      </c>
      <c r="C826" s="22" t="s">
        <v>310</v>
      </c>
      <c r="D826" s="23">
        <v>6762.4</v>
      </c>
      <c r="E826" s="24" t="s">
        <v>31</v>
      </c>
    </row>
    <row r="827">
      <c r="A827" s="11">
        <v>7823.0</v>
      </c>
      <c r="B827" s="16">
        <v>63.0</v>
      </c>
      <c r="C827" s="22" t="s">
        <v>131</v>
      </c>
      <c r="D827" s="23">
        <v>367.81</v>
      </c>
      <c r="E827" s="24" t="s">
        <v>31</v>
      </c>
    </row>
    <row r="828">
      <c r="A828" s="11">
        <v>7824.0</v>
      </c>
      <c r="B828" s="16">
        <v>29.0</v>
      </c>
      <c r="C828" s="22" t="s">
        <v>105</v>
      </c>
      <c r="D828" s="23">
        <v>23.63</v>
      </c>
      <c r="E828" s="24" t="s">
        <v>39</v>
      </c>
    </row>
    <row r="829">
      <c r="A829" s="11">
        <v>7825.0</v>
      </c>
      <c r="B829" s="16">
        <v>78.0</v>
      </c>
      <c r="C829" s="22" t="s">
        <v>404</v>
      </c>
      <c r="D829" s="23">
        <v>403736.26</v>
      </c>
      <c r="E829" s="24" t="s">
        <v>39</v>
      </c>
    </row>
    <row r="830">
      <c r="A830" s="11">
        <v>7826.0</v>
      </c>
      <c r="B830" s="16">
        <v>2.0</v>
      </c>
      <c r="C830" s="22" t="s">
        <v>455</v>
      </c>
      <c r="D830" s="23">
        <v>57047.27</v>
      </c>
      <c r="E830" s="24" t="s">
        <v>31</v>
      </c>
    </row>
    <row r="831">
      <c r="A831" s="11">
        <v>7827.0</v>
      </c>
      <c r="B831" s="16">
        <v>41.0</v>
      </c>
      <c r="C831" s="22" t="s">
        <v>312</v>
      </c>
      <c r="D831" s="23">
        <v>530.63</v>
      </c>
      <c r="E831" s="24" t="s">
        <v>29</v>
      </c>
    </row>
    <row r="832">
      <c r="A832" s="11">
        <v>7828.0</v>
      </c>
      <c r="B832" s="16">
        <v>11.0</v>
      </c>
      <c r="C832" s="22" t="s">
        <v>443</v>
      </c>
      <c r="D832" s="23">
        <v>19.52</v>
      </c>
      <c r="E832" s="24" t="s">
        <v>39</v>
      </c>
    </row>
    <row r="833">
      <c r="A833" s="11">
        <v>7829.0</v>
      </c>
      <c r="B833" s="16">
        <v>62.0</v>
      </c>
      <c r="C833" s="22" t="s">
        <v>383</v>
      </c>
      <c r="D833" s="23">
        <v>504536.1</v>
      </c>
      <c r="E833" s="24" t="s">
        <v>39</v>
      </c>
    </row>
    <row r="834">
      <c r="A834" s="11">
        <v>7830.0</v>
      </c>
      <c r="B834" s="16">
        <v>97.0</v>
      </c>
      <c r="C834" s="22" t="s">
        <v>476</v>
      </c>
      <c r="D834" s="23">
        <v>30907.77</v>
      </c>
      <c r="E834" s="24" t="s">
        <v>39</v>
      </c>
    </row>
    <row r="835">
      <c r="A835" s="11">
        <v>7831.0</v>
      </c>
      <c r="B835" s="16">
        <v>69.0</v>
      </c>
      <c r="C835" s="22" t="s">
        <v>350</v>
      </c>
      <c r="D835" s="23">
        <v>34.8</v>
      </c>
      <c r="E835" s="24" t="s">
        <v>33</v>
      </c>
    </row>
    <row r="836">
      <c r="A836" s="11">
        <v>7832.0</v>
      </c>
      <c r="B836" s="16">
        <v>54.0</v>
      </c>
      <c r="C836" s="22" t="s">
        <v>124</v>
      </c>
      <c r="D836" s="23">
        <v>7690.34</v>
      </c>
      <c r="E836" s="24" t="s">
        <v>39</v>
      </c>
    </row>
    <row r="837">
      <c r="A837" s="11">
        <v>7833.0</v>
      </c>
      <c r="B837" s="16">
        <v>42.0</v>
      </c>
      <c r="C837" s="22" t="s">
        <v>434</v>
      </c>
      <c r="D837" s="23">
        <v>670.45</v>
      </c>
      <c r="E837" s="24" t="s">
        <v>39</v>
      </c>
    </row>
    <row r="838">
      <c r="A838" s="11">
        <v>7834.0</v>
      </c>
      <c r="B838" s="16">
        <v>98.0</v>
      </c>
      <c r="C838" s="22" t="s">
        <v>420</v>
      </c>
      <c r="D838" s="23">
        <v>1896.64</v>
      </c>
      <c r="E838" s="24" t="s">
        <v>31</v>
      </c>
    </row>
    <row r="839">
      <c r="A839" s="11">
        <v>7835.0</v>
      </c>
      <c r="B839" s="16">
        <v>61.0</v>
      </c>
      <c r="C839" s="22" t="s">
        <v>417</v>
      </c>
      <c r="D839" s="23">
        <v>76.33</v>
      </c>
      <c r="E839" s="24" t="s">
        <v>39</v>
      </c>
    </row>
    <row r="840">
      <c r="A840" s="11">
        <v>7836.0</v>
      </c>
      <c r="B840" s="16">
        <v>38.0</v>
      </c>
      <c r="C840" s="22" t="s">
        <v>395</v>
      </c>
      <c r="D840" s="23">
        <v>810930.82</v>
      </c>
      <c r="E840" s="24" t="s">
        <v>48</v>
      </c>
    </row>
    <row r="841">
      <c r="A841" s="11">
        <v>7837.0</v>
      </c>
      <c r="B841" s="16">
        <v>48.0</v>
      </c>
      <c r="C841" s="22" t="s">
        <v>345</v>
      </c>
      <c r="D841" s="23">
        <v>72692.34</v>
      </c>
      <c r="E841" s="24" t="s">
        <v>48</v>
      </c>
    </row>
    <row r="842">
      <c r="A842" s="11">
        <v>7838.0</v>
      </c>
      <c r="B842" s="16">
        <v>37.0</v>
      </c>
      <c r="C842" s="22" t="s">
        <v>249</v>
      </c>
      <c r="D842" s="23">
        <v>343071.8</v>
      </c>
      <c r="E842" s="24" t="s">
        <v>33</v>
      </c>
    </row>
    <row r="843">
      <c r="A843" s="11">
        <v>7839.0</v>
      </c>
      <c r="B843" s="16">
        <v>67.0</v>
      </c>
      <c r="C843" s="22" t="s">
        <v>89</v>
      </c>
      <c r="D843" s="23">
        <v>19.48</v>
      </c>
      <c r="E843" s="24" t="s">
        <v>48</v>
      </c>
    </row>
    <row r="844">
      <c r="A844" s="11">
        <v>7840.0</v>
      </c>
      <c r="B844" s="16">
        <v>69.0</v>
      </c>
      <c r="C844" s="22" t="s">
        <v>171</v>
      </c>
      <c r="D844" s="23">
        <v>820833.74</v>
      </c>
      <c r="E844" s="24" t="s">
        <v>29</v>
      </c>
    </row>
    <row r="845">
      <c r="A845" s="11">
        <v>7841.0</v>
      </c>
      <c r="B845" s="16">
        <v>92.0</v>
      </c>
      <c r="C845" s="22" t="s">
        <v>498</v>
      </c>
      <c r="D845" s="23">
        <v>98.86</v>
      </c>
      <c r="E845" s="24" t="s">
        <v>33</v>
      </c>
    </row>
    <row r="846">
      <c r="A846" s="11">
        <v>7842.0</v>
      </c>
      <c r="B846" s="16">
        <v>71.0</v>
      </c>
      <c r="C846" s="22" t="s">
        <v>38</v>
      </c>
      <c r="D846" s="23">
        <v>666813.92</v>
      </c>
      <c r="E846" s="24" t="s">
        <v>48</v>
      </c>
    </row>
    <row r="847">
      <c r="A847" s="11">
        <v>7843.0</v>
      </c>
      <c r="B847" s="16">
        <v>54.0</v>
      </c>
      <c r="C847" s="22" t="s">
        <v>499</v>
      </c>
      <c r="D847" s="23">
        <v>845440.23</v>
      </c>
      <c r="E847" s="24" t="s">
        <v>31</v>
      </c>
    </row>
    <row r="848">
      <c r="A848" s="11">
        <v>7844.0</v>
      </c>
      <c r="B848" s="16">
        <v>75.0</v>
      </c>
      <c r="C848" s="22" t="s">
        <v>344</v>
      </c>
      <c r="D848" s="23">
        <v>880.92</v>
      </c>
      <c r="E848" s="24" t="s">
        <v>39</v>
      </c>
    </row>
    <row r="849">
      <c r="A849" s="11">
        <v>7845.0</v>
      </c>
      <c r="B849" s="16">
        <v>94.0</v>
      </c>
      <c r="C849" s="22" t="s">
        <v>487</v>
      </c>
      <c r="D849" s="23">
        <v>29.4</v>
      </c>
      <c r="E849" s="24" t="s">
        <v>48</v>
      </c>
    </row>
    <row r="850">
      <c r="A850" s="11">
        <v>7846.0</v>
      </c>
      <c r="B850" s="16">
        <v>72.0</v>
      </c>
      <c r="C850" s="22" t="s">
        <v>54</v>
      </c>
      <c r="D850" s="23">
        <v>337536.1</v>
      </c>
      <c r="E850" s="24" t="s">
        <v>31</v>
      </c>
    </row>
    <row r="851">
      <c r="A851" s="11">
        <v>7847.0</v>
      </c>
      <c r="B851" s="16">
        <v>45.0</v>
      </c>
      <c r="C851" s="22" t="s">
        <v>370</v>
      </c>
      <c r="D851" s="23">
        <v>633.2</v>
      </c>
      <c r="E851" s="24" t="s">
        <v>48</v>
      </c>
    </row>
    <row r="852">
      <c r="A852" s="11">
        <v>7848.0</v>
      </c>
      <c r="B852" s="16">
        <v>25.0</v>
      </c>
      <c r="C852" s="22" t="s">
        <v>168</v>
      </c>
      <c r="D852" s="23">
        <v>5368.0</v>
      </c>
      <c r="E852" s="24" t="s">
        <v>33</v>
      </c>
    </row>
    <row r="853">
      <c r="A853" s="11">
        <v>7849.0</v>
      </c>
      <c r="B853" s="16">
        <v>8.0</v>
      </c>
      <c r="C853" s="22" t="s">
        <v>500</v>
      </c>
      <c r="D853" s="23">
        <v>801.51</v>
      </c>
      <c r="E853" s="24" t="s">
        <v>29</v>
      </c>
    </row>
    <row r="854">
      <c r="A854" s="11">
        <v>7850.0</v>
      </c>
      <c r="B854" s="16">
        <v>76.0</v>
      </c>
      <c r="C854" s="22" t="s">
        <v>265</v>
      </c>
      <c r="D854" s="23">
        <v>83.8</v>
      </c>
      <c r="E854" s="24" t="s">
        <v>31</v>
      </c>
    </row>
    <row r="855">
      <c r="A855" s="11">
        <v>7851.0</v>
      </c>
      <c r="B855" s="16">
        <v>98.0</v>
      </c>
      <c r="C855" s="22" t="s">
        <v>209</v>
      </c>
      <c r="D855" s="23">
        <v>46206.1</v>
      </c>
      <c r="E855" s="24" t="s">
        <v>31</v>
      </c>
    </row>
    <row r="856">
      <c r="A856" s="11">
        <v>7852.0</v>
      </c>
      <c r="B856" s="16">
        <v>19.0</v>
      </c>
      <c r="C856" s="22" t="s">
        <v>331</v>
      </c>
      <c r="D856" s="23">
        <v>63945.32</v>
      </c>
      <c r="E856" s="24" t="s">
        <v>39</v>
      </c>
    </row>
    <row r="857">
      <c r="A857" s="11">
        <v>7853.0</v>
      </c>
      <c r="B857" s="16">
        <v>31.0</v>
      </c>
      <c r="C857" s="22" t="s">
        <v>181</v>
      </c>
      <c r="D857" s="23">
        <v>39.78</v>
      </c>
      <c r="E857" s="24" t="s">
        <v>39</v>
      </c>
    </row>
    <row r="858">
      <c r="A858" s="11">
        <v>7854.0</v>
      </c>
      <c r="B858" s="16">
        <v>62.0</v>
      </c>
      <c r="C858" s="22" t="s">
        <v>52</v>
      </c>
      <c r="D858" s="23">
        <v>96125.85</v>
      </c>
      <c r="E858" s="24" t="s">
        <v>39</v>
      </c>
    </row>
    <row r="859">
      <c r="A859" s="11">
        <v>7855.0</v>
      </c>
      <c r="B859" s="16">
        <v>74.0</v>
      </c>
      <c r="C859" s="22" t="s">
        <v>406</v>
      </c>
      <c r="D859" s="23">
        <v>131651.48</v>
      </c>
      <c r="E859" s="24" t="s">
        <v>48</v>
      </c>
    </row>
    <row r="860">
      <c r="A860" s="11">
        <v>7856.0</v>
      </c>
      <c r="B860" s="16">
        <v>7.0</v>
      </c>
      <c r="C860" s="22" t="s">
        <v>256</v>
      </c>
      <c r="D860" s="23">
        <v>303.23</v>
      </c>
      <c r="E860" s="24" t="s">
        <v>48</v>
      </c>
    </row>
    <row r="861">
      <c r="A861" s="11">
        <v>7857.0</v>
      </c>
      <c r="B861" s="16">
        <v>24.0</v>
      </c>
      <c r="C861" s="22" t="s">
        <v>501</v>
      </c>
      <c r="D861" s="23">
        <v>684.57</v>
      </c>
      <c r="E861" s="24" t="s">
        <v>31</v>
      </c>
    </row>
    <row r="862">
      <c r="A862" s="11">
        <v>7858.0</v>
      </c>
      <c r="B862" s="16">
        <v>16.0</v>
      </c>
      <c r="C862" s="22" t="s">
        <v>47</v>
      </c>
      <c r="D862" s="23">
        <v>44.39</v>
      </c>
      <c r="E862" s="24" t="s">
        <v>39</v>
      </c>
    </row>
    <row r="863">
      <c r="A863" s="11">
        <v>7859.0</v>
      </c>
      <c r="B863" s="16">
        <v>88.0</v>
      </c>
      <c r="C863" s="22" t="s">
        <v>249</v>
      </c>
      <c r="D863" s="23">
        <v>770159.99</v>
      </c>
      <c r="E863" s="24" t="s">
        <v>39</v>
      </c>
    </row>
    <row r="864">
      <c r="A864" s="11">
        <v>7860.0</v>
      </c>
      <c r="B864" s="16">
        <v>93.0</v>
      </c>
      <c r="C864" s="22" t="s">
        <v>78</v>
      </c>
      <c r="D864" s="23">
        <v>804.0</v>
      </c>
      <c r="E864" s="24" t="s">
        <v>39</v>
      </c>
    </row>
    <row r="865">
      <c r="A865" s="11">
        <v>7861.0</v>
      </c>
      <c r="B865" s="16">
        <v>37.0</v>
      </c>
      <c r="C865" s="22" t="s">
        <v>502</v>
      </c>
      <c r="D865" s="23">
        <v>841590.0</v>
      </c>
      <c r="E865" s="24" t="s">
        <v>31</v>
      </c>
    </row>
    <row r="866">
      <c r="A866" s="11">
        <v>7862.0</v>
      </c>
      <c r="B866" s="16">
        <v>63.0</v>
      </c>
      <c r="C866" s="22" t="s">
        <v>503</v>
      </c>
      <c r="D866" s="23">
        <v>167926.7</v>
      </c>
      <c r="E866" s="24" t="s">
        <v>39</v>
      </c>
    </row>
    <row r="867">
      <c r="A867" s="11">
        <v>7863.0</v>
      </c>
      <c r="B867" s="16">
        <v>76.0</v>
      </c>
      <c r="C867" s="22" t="s">
        <v>504</v>
      </c>
      <c r="D867" s="23">
        <v>1956.1</v>
      </c>
      <c r="E867" s="24" t="s">
        <v>29</v>
      </c>
    </row>
    <row r="868">
      <c r="A868" s="11">
        <v>7864.0</v>
      </c>
      <c r="B868" s="16">
        <v>19.0</v>
      </c>
      <c r="C868" s="22" t="s">
        <v>34</v>
      </c>
      <c r="D868" s="23">
        <v>917.97</v>
      </c>
      <c r="E868" s="24" t="s">
        <v>39</v>
      </c>
    </row>
    <row r="869">
      <c r="A869" s="11">
        <v>7865.0</v>
      </c>
      <c r="B869" s="16">
        <v>62.0</v>
      </c>
      <c r="C869" s="22" t="s">
        <v>472</v>
      </c>
      <c r="D869" s="23">
        <v>137407.27</v>
      </c>
      <c r="E869" s="24" t="s">
        <v>33</v>
      </c>
    </row>
    <row r="870">
      <c r="A870" s="11">
        <v>7866.0</v>
      </c>
      <c r="B870" s="16">
        <v>4.0</v>
      </c>
      <c r="C870" s="22" t="s">
        <v>477</v>
      </c>
      <c r="D870" s="23">
        <v>754493.86</v>
      </c>
      <c r="E870" s="24" t="s">
        <v>48</v>
      </c>
    </row>
    <row r="871">
      <c r="A871" s="11">
        <v>7867.0</v>
      </c>
      <c r="B871" s="16">
        <v>87.0</v>
      </c>
      <c r="C871" s="22" t="s">
        <v>101</v>
      </c>
      <c r="D871" s="23">
        <v>866361.64</v>
      </c>
      <c r="E871" s="24" t="s">
        <v>48</v>
      </c>
    </row>
    <row r="872">
      <c r="A872" s="11">
        <v>7868.0</v>
      </c>
      <c r="B872" s="16">
        <v>17.0</v>
      </c>
      <c r="C872" s="22" t="s">
        <v>228</v>
      </c>
      <c r="D872" s="23">
        <v>510228.96</v>
      </c>
      <c r="E872" s="24" t="s">
        <v>33</v>
      </c>
    </row>
    <row r="873">
      <c r="A873" s="11">
        <v>7869.0</v>
      </c>
      <c r="B873" s="16">
        <v>76.0</v>
      </c>
      <c r="C873" s="22" t="s">
        <v>34</v>
      </c>
      <c r="D873" s="23">
        <v>286.94</v>
      </c>
      <c r="E873" s="24" t="s">
        <v>48</v>
      </c>
    </row>
    <row r="874">
      <c r="A874" s="11">
        <v>7870.0</v>
      </c>
      <c r="B874" s="16">
        <v>37.0</v>
      </c>
      <c r="C874" s="22" t="s">
        <v>316</v>
      </c>
      <c r="D874" s="23">
        <v>61.54</v>
      </c>
      <c r="E874" s="24" t="s">
        <v>33</v>
      </c>
    </row>
    <row r="875">
      <c r="A875" s="11">
        <v>7871.0</v>
      </c>
      <c r="B875" s="16">
        <v>68.0</v>
      </c>
      <c r="C875" s="22" t="s">
        <v>491</v>
      </c>
      <c r="D875" s="23">
        <v>805.64</v>
      </c>
      <c r="E875" s="24" t="s">
        <v>31</v>
      </c>
    </row>
    <row r="876">
      <c r="A876" s="11">
        <v>7872.0</v>
      </c>
      <c r="B876" s="16">
        <v>33.0</v>
      </c>
      <c r="C876" s="22" t="s">
        <v>197</v>
      </c>
      <c r="D876" s="23">
        <v>4255.44</v>
      </c>
      <c r="E876" s="24" t="s">
        <v>39</v>
      </c>
    </row>
    <row r="877">
      <c r="A877" s="11">
        <v>7873.0</v>
      </c>
      <c r="B877" s="16">
        <v>7.0</v>
      </c>
      <c r="C877" s="22" t="s">
        <v>86</v>
      </c>
      <c r="D877" s="23">
        <v>236758.87</v>
      </c>
      <c r="E877" s="24" t="s">
        <v>31</v>
      </c>
    </row>
    <row r="878">
      <c r="A878" s="11">
        <v>7874.0</v>
      </c>
      <c r="B878" s="16">
        <v>11.0</v>
      </c>
      <c r="C878" s="22" t="s">
        <v>123</v>
      </c>
      <c r="D878" s="23">
        <v>16.9</v>
      </c>
      <c r="E878" s="24" t="s">
        <v>33</v>
      </c>
    </row>
    <row r="879">
      <c r="A879" s="11">
        <v>7875.0</v>
      </c>
      <c r="B879" s="16">
        <v>76.0</v>
      </c>
      <c r="C879" s="22" t="s">
        <v>335</v>
      </c>
      <c r="D879" s="23">
        <v>909.48</v>
      </c>
      <c r="E879" s="24" t="s">
        <v>39</v>
      </c>
    </row>
    <row r="880">
      <c r="A880" s="11">
        <v>7876.0</v>
      </c>
      <c r="B880" s="16">
        <v>52.0</v>
      </c>
      <c r="C880" s="22" t="s">
        <v>505</v>
      </c>
      <c r="D880" s="23">
        <v>75244.51</v>
      </c>
      <c r="E880" s="24" t="s">
        <v>48</v>
      </c>
    </row>
    <row r="881">
      <c r="A881" s="11">
        <v>7877.0</v>
      </c>
      <c r="B881" s="16">
        <v>44.0</v>
      </c>
      <c r="C881" s="22" t="s">
        <v>352</v>
      </c>
      <c r="D881" s="23">
        <v>2054.22</v>
      </c>
      <c r="E881" s="24" t="s">
        <v>33</v>
      </c>
    </row>
    <row r="882">
      <c r="A882" s="11">
        <v>7878.0</v>
      </c>
      <c r="B882" s="16">
        <v>54.0</v>
      </c>
      <c r="C882" s="22" t="s">
        <v>506</v>
      </c>
      <c r="D882" s="23">
        <v>49421.49</v>
      </c>
      <c r="E882" s="24" t="s">
        <v>48</v>
      </c>
    </row>
    <row r="883">
      <c r="A883" s="11">
        <v>7879.0</v>
      </c>
      <c r="B883" s="16">
        <v>98.0</v>
      </c>
      <c r="C883" s="22" t="s">
        <v>65</v>
      </c>
      <c r="D883" s="23">
        <v>58919.94</v>
      </c>
      <c r="E883" s="24" t="s">
        <v>48</v>
      </c>
    </row>
    <row r="884">
      <c r="A884" s="11">
        <v>7880.0</v>
      </c>
      <c r="B884" s="16">
        <v>80.0</v>
      </c>
      <c r="C884" s="22" t="s">
        <v>507</v>
      </c>
      <c r="D884" s="23">
        <v>783117.52</v>
      </c>
      <c r="E884" s="24" t="s">
        <v>31</v>
      </c>
    </row>
    <row r="885">
      <c r="A885" s="11">
        <v>7881.0</v>
      </c>
      <c r="B885" s="16">
        <v>97.0</v>
      </c>
      <c r="C885" s="22" t="s">
        <v>104</v>
      </c>
      <c r="D885" s="23">
        <v>1662.17</v>
      </c>
      <c r="E885" s="24" t="s">
        <v>33</v>
      </c>
    </row>
    <row r="886">
      <c r="A886" s="11">
        <v>7882.0</v>
      </c>
      <c r="B886" s="16">
        <v>54.0</v>
      </c>
      <c r="C886" s="22" t="s">
        <v>375</v>
      </c>
      <c r="D886" s="23">
        <v>4579.72</v>
      </c>
      <c r="E886" s="24" t="s">
        <v>31</v>
      </c>
    </row>
    <row r="887">
      <c r="A887" s="11">
        <v>7883.0</v>
      </c>
      <c r="B887" s="16">
        <v>58.0</v>
      </c>
      <c r="C887" s="22" t="s">
        <v>508</v>
      </c>
      <c r="D887" s="23">
        <v>80.48</v>
      </c>
      <c r="E887" s="24" t="s">
        <v>29</v>
      </c>
    </row>
    <row r="888">
      <c r="A888" s="11">
        <v>7884.0</v>
      </c>
      <c r="B888" s="16">
        <v>74.0</v>
      </c>
      <c r="C888" s="22" t="s">
        <v>473</v>
      </c>
      <c r="D888" s="23">
        <v>1275.27</v>
      </c>
      <c r="E888" s="24" t="s">
        <v>39</v>
      </c>
    </row>
    <row r="889">
      <c r="A889" s="11">
        <v>7885.0</v>
      </c>
      <c r="B889" s="16">
        <v>19.0</v>
      </c>
      <c r="C889" s="22" t="s">
        <v>509</v>
      </c>
      <c r="D889" s="23">
        <v>30.52</v>
      </c>
      <c r="E889" s="24" t="s">
        <v>33</v>
      </c>
    </row>
    <row r="890">
      <c r="A890" s="11">
        <v>7886.0</v>
      </c>
      <c r="B890" s="16">
        <v>82.0</v>
      </c>
      <c r="C890" s="22" t="s">
        <v>510</v>
      </c>
      <c r="D890" s="23">
        <v>490.97</v>
      </c>
      <c r="E890" s="24" t="s">
        <v>29</v>
      </c>
    </row>
    <row r="891">
      <c r="A891" s="11">
        <v>7887.0</v>
      </c>
      <c r="B891" s="16">
        <v>15.0</v>
      </c>
      <c r="C891" s="22" t="s">
        <v>442</v>
      </c>
      <c r="D891" s="23">
        <v>77.44</v>
      </c>
      <c r="E891" s="24" t="s">
        <v>48</v>
      </c>
    </row>
    <row r="892">
      <c r="A892" s="11">
        <v>7888.0</v>
      </c>
      <c r="B892" s="16">
        <v>85.0</v>
      </c>
      <c r="C892" s="22" t="s">
        <v>141</v>
      </c>
      <c r="D892" s="23">
        <v>2540.11</v>
      </c>
      <c r="E892" s="24" t="s">
        <v>29</v>
      </c>
    </row>
    <row r="893">
      <c r="A893" s="11">
        <v>7889.0</v>
      </c>
      <c r="B893" s="16">
        <v>20.0</v>
      </c>
      <c r="C893" s="22" t="s">
        <v>106</v>
      </c>
      <c r="D893" s="23">
        <v>4456.1</v>
      </c>
      <c r="E893" s="24" t="s">
        <v>29</v>
      </c>
    </row>
    <row r="894">
      <c r="A894" s="11">
        <v>7890.0</v>
      </c>
      <c r="B894" s="16">
        <v>39.0</v>
      </c>
      <c r="C894" s="22" t="s">
        <v>285</v>
      </c>
      <c r="D894" s="23">
        <v>29303.45</v>
      </c>
      <c r="E894" s="24" t="s">
        <v>33</v>
      </c>
    </row>
    <row r="895">
      <c r="A895" s="11">
        <v>7891.0</v>
      </c>
      <c r="B895" s="16">
        <v>0.0</v>
      </c>
      <c r="C895" s="22" t="s">
        <v>511</v>
      </c>
      <c r="D895" s="23">
        <v>95240.68</v>
      </c>
      <c r="E895" s="24" t="s">
        <v>29</v>
      </c>
    </row>
    <row r="896">
      <c r="A896" s="11">
        <v>7892.0</v>
      </c>
      <c r="B896" s="16">
        <v>79.0</v>
      </c>
      <c r="C896" s="22" t="s">
        <v>398</v>
      </c>
      <c r="D896" s="23">
        <v>12157.66</v>
      </c>
      <c r="E896" s="24" t="s">
        <v>33</v>
      </c>
    </row>
    <row r="897">
      <c r="A897" s="11">
        <v>7893.0</v>
      </c>
      <c r="B897" s="16">
        <v>41.0</v>
      </c>
      <c r="C897" s="22" t="s">
        <v>512</v>
      </c>
      <c r="D897" s="23">
        <v>6291.24</v>
      </c>
      <c r="E897" s="24" t="s">
        <v>48</v>
      </c>
    </row>
    <row r="898">
      <c r="A898" s="11">
        <v>7894.0</v>
      </c>
      <c r="B898" s="16">
        <v>81.0</v>
      </c>
      <c r="C898" s="22" t="s">
        <v>382</v>
      </c>
      <c r="D898" s="23">
        <v>68187.31</v>
      </c>
      <c r="E898" s="24" t="s">
        <v>33</v>
      </c>
    </row>
    <row r="899">
      <c r="A899" s="11">
        <v>7895.0</v>
      </c>
      <c r="B899" s="16">
        <v>12.0</v>
      </c>
      <c r="C899" s="22" t="s">
        <v>513</v>
      </c>
      <c r="D899" s="23">
        <v>27.42</v>
      </c>
      <c r="E899" s="24" t="s">
        <v>48</v>
      </c>
    </row>
    <row r="900">
      <c r="A900" s="11">
        <v>7896.0</v>
      </c>
      <c r="B900" s="16">
        <v>46.0</v>
      </c>
      <c r="C900" s="22" t="s">
        <v>204</v>
      </c>
      <c r="D900" s="23">
        <v>88781.63</v>
      </c>
      <c r="E900" s="24" t="s">
        <v>31</v>
      </c>
    </row>
    <row r="901">
      <c r="A901" s="11">
        <v>7897.0</v>
      </c>
      <c r="B901" s="16">
        <v>5.0</v>
      </c>
      <c r="C901" s="22" t="s">
        <v>514</v>
      </c>
      <c r="D901" s="23">
        <v>381312.21</v>
      </c>
      <c r="E901" s="24" t="s">
        <v>48</v>
      </c>
    </row>
    <row r="902">
      <c r="A902" s="11">
        <v>7898.0</v>
      </c>
      <c r="B902" s="16">
        <v>78.0</v>
      </c>
      <c r="C902" s="22" t="s">
        <v>515</v>
      </c>
      <c r="D902" s="23">
        <v>355286.4</v>
      </c>
      <c r="E902" s="24" t="s">
        <v>48</v>
      </c>
    </row>
    <row r="903">
      <c r="A903" s="11">
        <v>7899.0</v>
      </c>
      <c r="B903" s="16">
        <v>57.0</v>
      </c>
      <c r="C903" s="22" t="s">
        <v>516</v>
      </c>
      <c r="D903" s="23">
        <v>96579.43</v>
      </c>
      <c r="E903" s="24" t="s">
        <v>39</v>
      </c>
    </row>
    <row r="904">
      <c r="A904" s="11">
        <v>7900.0</v>
      </c>
      <c r="B904" s="16">
        <v>81.0</v>
      </c>
      <c r="C904" s="22" t="s">
        <v>179</v>
      </c>
      <c r="D904" s="23">
        <v>2536.48</v>
      </c>
      <c r="E904" s="24" t="s">
        <v>48</v>
      </c>
    </row>
    <row r="905">
      <c r="A905" s="11">
        <v>7901.0</v>
      </c>
      <c r="B905" s="16">
        <v>84.0</v>
      </c>
      <c r="C905" s="22" t="s">
        <v>517</v>
      </c>
      <c r="D905" s="23">
        <v>5006.75</v>
      </c>
      <c r="E905" s="24" t="s">
        <v>39</v>
      </c>
    </row>
    <row r="906">
      <c r="A906" s="11">
        <v>7902.0</v>
      </c>
      <c r="B906" s="16">
        <v>44.0</v>
      </c>
      <c r="C906" s="22" t="s">
        <v>226</v>
      </c>
      <c r="D906" s="23">
        <v>8588.63</v>
      </c>
      <c r="E906" s="24" t="s">
        <v>39</v>
      </c>
    </row>
    <row r="907">
      <c r="A907" s="11">
        <v>7903.0</v>
      </c>
      <c r="B907" s="16">
        <v>76.0</v>
      </c>
      <c r="C907" s="22" t="s">
        <v>518</v>
      </c>
      <c r="D907" s="23">
        <v>224170.3</v>
      </c>
      <c r="E907" s="24" t="s">
        <v>29</v>
      </c>
    </row>
    <row r="908">
      <c r="A908" s="11">
        <v>7904.0</v>
      </c>
      <c r="B908" s="16">
        <v>17.0</v>
      </c>
      <c r="C908" s="22" t="s">
        <v>252</v>
      </c>
      <c r="D908" s="23">
        <v>718.78</v>
      </c>
      <c r="E908" s="24" t="s">
        <v>39</v>
      </c>
    </row>
    <row r="909">
      <c r="A909" s="11">
        <v>7905.0</v>
      </c>
      <c r="B909" s="16">
        <v>37.0</v>
      </c>
      <c r="C909" s="22" t="s">
        <v>519</v>
      </c>
      <c r="D909" s="23">
        <v>1302.1</v>
      </c>
      <c r="E909" s="24" t="s">
        <v>29</v>
      </c>
    </row>
    <row r="910">
      <c r="A910" s="11">
        <v>7906.0</v>
      </c>
      <c r="B910" s="16">
        <v>68.0</v>
      </c>
      <c r="C910" s="22" t="s">
        <v>204</v>
      </c>
      <c r="D910" s="23">
        <v>732469.53</v>
      </c>
      <c r="E910" s="24" t="s">
        <v>31</v>
      </c>
    </row>
    <row r="911">
      <c r="A911" s="11">
        <v>7907.0</v>
      </c>
      <c r="B911" s="16">
        <v>41.0</v>
      </c>
      <c r="C911" s="22" t="s">
        <v>520</v>
      </c>
      <c r="D911" s="23">
        <v>37486.56</v>
      </c>
      <c r="E911" s="24" t="s">
        <v>39</v>
      </c>
    </row>
    <row r="912">
      <c r="A912" s="11">
        <v>7908.0</v>
      </c>
      <c r="B912" s="16">
        <v>98.0</v>
      </c>
      <c r="C912" s="22" t="s">
        <v>521</v>
      </c>
      <c r="D912" s="23">
        <v>99922.66</v>
      </c>
      <c r="E912" s="24" t="s">
        <v>48</v>
      </c>
    </row>
    <row r="913">
      <c r="A913" s="11">
        <v>7909.0</v>
      </c>
      <c r="B913" s="16">
        <v>71.0</v>
      </c>
      <c r="C913" s="22" t="s">
        <v>522</v>
      </c>
      <c r="D913" s="23">
        <v>5566.46</v>
      </c>
      <c r="E913" s="24" t="s">
        <v>33</v>
      </c>
    </row>
    <row r="914">
      <c r="A914" s="11">
        <v>7910.0</v>
      </c>
      <c r="B914" s="16">
        <v>53.0</v>
      </c>
      <c r="C914" s="22" t="s">
        <v>523</v>
      </c>
      <c r="D914" s="23">
        <v>333.79</v>
      </c>
      <c r="E914" s="24" t="s">
        <v>31</v>
      </c>
    </row>
    <row r="915">
      <c r="A915" s="11">
        <v>7911.0</v>
      </c>
      <c r="B915" s="16">
        <v>89.0</v>
      </c>
      <c r="C915" s="22" t="s">
        <v>362</v>
      </c>
      <c r="D915" s="23">
        <v>387361.98</v>
      </c>
      <c r="E915" s="24" t="s">
        <v>33</v>
      </c>
    </row>
    <row r="916">
      <c r="A916" s="11">
        <v>7912.0</v>
      </c>
      <c r="B916" s="16">
        <v>69.0</v>
      </c>
      <c r="C916" s="22" t="s">
        <v>135</v>
      </c>
      <c r="D916" s="23">
        <v>74.22</v>
      </c>
      <c r="E916" s="24" t="s">
        <v>48</v>
      </c>
    </row>
    <row r="917">
      <c r="A917" s="11">
        <v>7913.0</v>
      </c>
      <c r="B917" s="16">
        <v>50.0</v>
      </c>
      <c r="C917" s="22" t="s">
        <v>524</v>
      </c>
      <c r="D917" s="23">
        <v>91.58</v>
      </c>
      <c r="E917" s="24" t="s">
        <v>39</v>
      </c>
    </row>
    <row r="918">
      <c r="A918" s="11">
        <v>7914.0</v>
      </c>
      <c r="B918" s="16">
        <v>68.0</v>
      </c>
      <c r="C918" s="22" t="s">
        <v>433</v>
      </c>
      <c r="D918" s="23">
        <v>70239.41</v>
      </c>
      <c r="E918" s="24" t="s">
        <v>48</v>
      </c>
    </row>
    <row r="919">
      <c r="A919" s="11">
        <v>7915.0</v>
      </c>
      <c r="B919" s="16">
        <v>13.0</v>
      </c>
      <c r="C919" s="22" t="s">
        <v>448</v>
      </c>
      <c r="D919" s="23">
        <v>75.12</v>
      </c>
      <c r="E919" s="24" t="s">
        <v>29</v>
      </c>
    </row>
    <row r="920">
      <c r="A920" s="11">
        <v>7916.0</v>
      </c>
      <c r="B920" s="16">
        <v>44.0</v>
      </c>
      <c r="C920" s="22" t="s">
        <v>397</v>
      </c>
      <c r="D920" s="23">
        <v>9835.32</v>
      </c>
      <c r="E920" s="24" t="s">
        <v>33</v>
      </c>
    </row>
    <row r="921">
      <c r="A921" s="11">
        <v>7917.0</v>
      </c>
      <c r="B921" s="16">
        <v>59.0</v>
      </c>
      <c r="C921" s="22" t="s">
        <v>420</v>
      </c>
      <c r="D921" s="23">
        <v>9761.74</v>
      </c>
      <c r="E921" s="24" t="s">
        <v>33</v>
      </c>
    </row>
    <row r="922">
      <c r="A922" s="11">
        <v>7918.0</v>
      </c>
      <c r="B922" s="16">
        <v>75.0</v>
      </c>
      <c r="C922" s="22" t="s">
        <v>424</v>
      </c>
      <c r="D922" s="23">
        <v>499.94</v>
      </c>
      <c r="E922" s="24" t="s">
        <v>48</v>
      </c>
    </row>
    <row r="923">
      <c r="A923" s="11">
        <v>7919.0</v>
      </c>
      <c r="B923" s="16">
        <v>11.0</v>
      </c>
      <c r="C923" s="22" t="s">
        <v>175</v>
      </c>
      <c r="D923" s="23">
        <v>48.58</v>
      </c>
      <c r="E923" s="24" t="s">
        <v>39</v>
      </c>
    </row>
    <row r="924">
      <c r="A924" s="11">
        <v>7920.0</v>
      </c>
      <c r="B924" s="16">
        <v>6.0</v>
      </c>
      <c r="C924" s="22" t="s">
        <v>263</v>
      </c>
      <c r="D924" s="23">
        <v>96901.0</v>
      </c>
      <c r="E924" s="24" t="s">
        <v>33</v>
      </c>
    </row>
    <row r="925">
      <c r="A925" s="11">
        <v>7921.0</v>
      </c>
      <c r="B925" s="16">
        <v>55.0</v>
      </c>
      <c r="C925" s="22" t="s">
        <v>525</v>
      </c>
      <c r="D925" s="23">
        <v>12207.31</v>
      </c>
      <c r="E925" s="24" t="s">
        <v>33</v>
      </c>
    </row>
    <row r="926">
      <c r="A926" s="11">
        <v>7922.0</v>
      </c>
      <c r="B926" s="16">
        <v>54.0</v>
      </c>
      <c r="C926" s="22" t="s">
        <v>526</v>
      </c>
      <c r="D926" s="23">
        <v>136.34</v>
      </c>
      <c r="E926" s="24" t="s">
        <v>33</v>
      </c>
    </row>
    <row r="927">
      <c r="A927" s="11">
        <v>7923.0</v>
      </c>
      <c r="B927" s="16">
        <v>11.0</v>
      </c>
      <c r="C927" s="22" t="s">
        <v>118</v>
      </c>
      <c r="D927" s="23">
        <v>283806.64</v>
      </c>
      <c r="E927" s="24" t="s">
        <v>31</v>
      </c>
    </row>
    <row r="928">
      <c r="A928" s="11">
        <v>7924.0</v>
      </c>
      <c r="B928" s="16">
        <v>63.0</v>
      </c>
      <c r="C928" s="22" t="s">
        <v>527</v>
      </c>
      <c r="D928" s="23">
        <v>72084.5</v>
      </c>
      <c r="E928" s="24" t="s">
        <v>48</v>
      </c>
    </row>
    <row r="929">
      <c r="A929" s="11">
        <v>7925.0</v>
      </c>
      <c r="B929" s="16">
        <v>7.0</v>
      </c>
      <c r="C929" s="22" t="s">
        <v>130</v>
      </c>
      <c r="D929" s="23">
        <v>41.5</v>
      </c>
      <c r="E929" s="24" t="s">
        <v>33</v>
      </c>
    </row>
    <row r="930">
      <c r="A930" s="11">
        <v>7926.0</v>
      </c>
      <c r="B930" s="16">
        <v>26.0</v>
      </c>
      <c r="C930" s="22" t="s">
        <v>294</v>
      </c>
      <c r="D930" s="23">
        <v>296.9</v>
      </c>
      <c r="E930" s="24" t="s">
        <v>33</v>
      </c>
    </row>
    <row r="931">
      <c r="A931" s="11">
        <v>7927.0</v>
      </c>
      <c r="B931" s="16">
        <v>39.0</v>
      </c>
      <c r="C931" s="22" t="s">
        <v>53</v>
      </c>
      <c r="D931" s="23">
        <v>6710.74</v>
      </c>
      <c r="E931" s="24" t="s">
        <v>48</v>
      </c>
    </row>
    <row r="932">
      <c r="A932" s="11">
        <v>7928.0</v>
      </c>
      <c r="B932" s="16">
        <v>5.0</v>
      </c>
      <c r="C932" s="22" t="s">
        <v>478</v>
      </c>
      <c r="D932" s="23">
        <v>408570.71</v>
      </c>
      <c r="E932" s="24" t="s">
        <v>31</v>
      </c>
    </row>
    <row r="933">
      <c r="A933" s="11">
        <v>7929.0</v>
      </c>
      <c r="B933" s="16">
        <v>13.0</v>
      </c>
      <c r="C933" s="22" t="s">
        <v>229</v>
      </c>
      <c r="D933" s="23">
        <v>4474.92</v>
      </c>
      <c r="E933" s="24" t="s">
        <v>33</v>
      </c>
    </row>
    <row r="934">
      <c r="A934" s="11">
        <v>7930.0</v>
      </c>
      <c r="B934" s="16">
        <v>74.0</v>
      </c>
      <c r="C934" s="22" t="s">
        <v>142</v>
      </c>
      <c r="D934" s="23">
        <v>8546.76</v>
      </c>
      <c r="E934" s="24" t="s">
        <v>48</v>
      </c>
    </row>
    <row r="935">
      <c r="A935" s="11">
        <v>7931.0</v>
      </c>
      <c r="B935" s="16">
        <v>83.0</v>
      </c>
      <c r="C935" s="22" t="s">
        <v>528</v>
      </c>
      <c r="D935" s="23">
        <v>4236.94</v>
      </c>
      <c r="E935" s="24" t="s">
        <v>29</v>
      </c>
    </row>
    <row r="936">
      <c r="A936" s="11">
        <v>7932.0</v>
      </c>
      <c r="B936" s="16">
        <v>32.0</v>
      </c>
      <c r="C936" s="22" t="s">
        <v>331</v>
      </c>
      <c r="D936" s="23">
        <v>290.52</v>
      </c>
      <c r="E936" s="24" t="s">
        <v>31</v>
      </c>
    </row>
    <row r="937">
      <c r="A937" s="11">
        <v>7933.0</v>
      </c>
      <c r="B937" s="16">
        <v>94.0</v>
      </c>
      <c r="C937" s="22" t="s">
        <v>529</v>
      </c>
      <c r="D937" s="23">
        <v>9371.49</v>
      </c>
      <c r="E937" s="24" t="s">
        <v>33</v>
      </c>
    </row>
    <row r="938">
      <c r="A938" s="11">
        <v>7934.0</v>
      </c>
      <c r="B938" s="16">
        <v>4.0</v>
      </c>
      <c r="C938" s="22" t="s">
        <v>518</v>
      </c>
      <c r="D938" s="23">
        <v>73.68</v>
      </c>
      <c r="E938" s="24" t="s">
        <v>39</v>
      </c>
    </row>
    <row r="939">
      <c r="A939" s="11">
        <v>7935.0</v>
      </c>
      <c r="B939" s="16">
        <v>92.0</v>
      </c>
      <c r="C939" s="22" t="s">
        <v>44</v>
      </c>
      <c r="D939" s="23">
        <v>1187.49</v>
      </c>
      <c r="E939" s="24" t="s">
        <v>48</v>
      </c>
    </row>
    <row r="940">
      <c r="A940" s="11">
        <v>7936.0</v>
      </c>
      <c r="B940" s="16">
        <v>77.0</v>
      </c>
      <c r="C940" s="22" t="s">
        <v>299</v>
      </c>
      <c r="D940" s="23">
        <v>562.49</v>
      </c>
      <c r="E940" s="24" t="s">
        <v>33</v>
      </c>
    </row>
    <row r="941">
      <c r="A941" s="11">
        <v>7937.0</v>
      </c>
      <c r="B941" s="16">
        <v>65.0</v>
      </c>
      <c r="C941" s="22" t="s">
        <v>530</v>
      </c>
      <c r="D941" s="23">
        <v>705203.82</v>
      </c>
      <c r="E941" s="24" t="s">
        <v>48</v>
      </c>
    </row>
    <row r="942">
      <c r="A942" s="11">
        <v>7938.0</v>
      </c>
      <c r="B942" s="16">
        <v>93.0</v>
      </c>
      <c r="C942" s="22" t="s">
        <v>531</v>
      </c>
      <c r="D942" s="23">
        <v>455141.39</v>
      </c>
      <c r="E942" s="24" t="s">
        <v>29</v>
      </c>
    </row>
    <row r="943">
      <c r="A943" s="11">
        <v>7939.0</v>
      </c>
      <c r="B943" s="16">
        <v>19.0</v>
      </c>
      <c r="C943" s="22" t="s">
        <v>364</v>
      </c>
      <c r="D943" s="23">
        <v>91.62</v>
      </c>
      <c r="E943" s="24" t="s">
        <v>39</v>
      </c>
    </row>
    <row r="944">
      <c r="A944" s="11">
        <v>7940.0</v>
      </c>
      <c r="B944" s="16">
        <v>37.0</v>
      </c>
      <c r="C944" s="22" t="s">
        <v>532</v>
      </c>
      <c r="D944" s="23">
        <v>46901.84</v>
      </c>
      <c r="E944" s="24" t="s">
        <v>29</v>
      </c>
    </row>
    <row r="945">
      <c r="A945" s="11">
        <v>7941.0</v>
      </c>
      <c r="B945" s="16">
        <v>74.0</v>
      </c>
      <c r="C945" s="22" t="s">
        <v>194</v>
      </c>
      <c r="D945" s="23">
        <v>30182.87</v>
      </c>
      <c r="E945" s="24" t="s">
        <v>31</v>
      </c>
    </row>
    <row r="946">
      <c r="A946" s="11">
        <v>7942.0</v>
      </c>
      <c r="B946" s="16">
        <v>77.0</v>
      </c>
      <c r="C946" s="22" t="s">
        <v>504</v>
      </c>
      <c r="D946" s="23">
        <v>18850.18</v>
      </c>
      <c r="E946" s="24" t="s">
        <v>31</v>
      </c>
    </row>
    <row r="947">
      <c r="A947" s="11">
        <v>7943.0</v>
      </c>
      <c r="B947" s="16">
        <v>60.0</v>
      </c>
      <c r="C947" s="22" t="s">
        <v>533</v>
      </c>
      <c r="D947" s="23">
        <v>55257.14</v>
      </c>
      <c r="E947" s="24" t="s">
        <v>33</v>
      </c>
    </row>
    <row r="948">
      <c r="A948" s="11">
        <v>7944.0</v>
      </c>
      <c r="B948" s="16">
        <v>35.0</v>
      </c>
      <c r="C948" s="22" t="s">
        <v>273</v>
      </c>
      <c r="D948" s="23">
        <v>371044.14</v>
      </c>
      <c r="E948" s="24" t="s">
        <v>29</v>
      </c>
    </row>
    <row r="949">
      <c r="A949" s="11">
        <v>7945.0</v>
      </c>
      <c r="B949" s="16">
        <v>22.0</v>
      </c>
      <c r="C949" s="22" t="s">
        <v>211</v>
      </c>
      <c r="D949" s="23">
        <v>99564.63</v>
      </c>
      <c r="E949" s="24" t="s">
        <v>39</v>
      </c>
    </row>
    <row r="950">
      <c r="A950" s="11">
        <v>7946.0</v>
      </c>
      <c r="B950" s="16">
        <v>75.0</v>
      </c>
      <c r="C950" s="22" t="s">
        <v>294</v>
      </c>
      <c r="D950" s="23">
        <v>557763.7</v>
      </c>
      <c r="E950" s="24" t="s">
        <v>48</v>
      </c>
    </row>
    <row r="951">
      <c r="A951" s="11">
        <v>7947.0</v>
      </c>
      <c r="B951" s="16">
        <v>26.0</v>
      </c>
      <c r="C951" s="22" t="s">
        <v>534</v>
      </c>
      <c r="D951" s="23">
        <v>6546.8</v>
      </c>
      <c r="E951" s="24" t="s">
        <v>29</v>
      </c>
    </row>
    <row r="952">
      <c r="A952" s="11">
        <v>7948.0</v>
      </c>
      <c r="B952" s="16">
        <v>25.0</v>
      </c>
      <c r="C952" s="22" t="s">
        <v>149</v>
      </c>
      <c r="D952" s="23">
        <v>382222.58</v>
      </c>
      <c r="E952" s="24" t="s">
        <v>29</v>
      </c>
    </row>
    <row r="953">
      <c r="A953" s="11">
        <v>7949.0</v>
      </c>
      <c r="B953" s="16">
        <v>28.0</v>
      </c>
      <c r="C953" s="22" t="s">
        <v>162</v>
      </c>
      <c r="D953" s="23">
        <v>69430.1</v>
      </c>
      <c r="E953" s="24" t="s">
        <v>31</v>
      </c>
    </row>
    <row r="954">
      <c r="A954" s="11">
        <v>7950.0</v>
      </c>
      <c r="B954" s="16">
        <v>46.0</v>
      </c>
      <c r="C954" s="22" t="s">
        <v>428</v>
      </c>
      <c r="D954" s="23">
        <v>44792.34</v>
      </c>
      <c r="E954" s="24" t="s">
        <v>31</v>
      </c>
    </row>
    <row r="955">
      <c r="A955" s="11">
        <v>7951.0</v>
      </c>
      <c r="B955" s="16">
        <v>22.0</v>
      </c>
      <c r="C955" s="22" t="s">
        <v>73</v>
      </c>
      <c r="D955" s="23">
        <v>4907.16</v>
      </c>
      <c r="E955" s="24" t="s">
        <v>29</v>
      </c>
    </row>
    <row r="956">
      <c r="A956" s="11">
        <v>7952.0</v>
      </c>
      <c r="B956" s="16">
        <v>68.0</v>
      </c>
      <c r="C956" s="22" t="s">
        <v>101</v>
      </c>
      <c r="D956" s="23">
        <v>537328.95</v>
      </c>
      <c r="E956" s="24" t="s">
        <v>39</v>
      </c>
    </row>
    <row r="957">
      <c r="A957" s="11">
        <v>7953.0</v>
      </c>
      <c r="B957" s="16">
        <v>88.0</v>
      </c>
      <c r="C957" s="22" t="s">
        <v>293</v>
      </c>
      <c r="D957" s="23">
        <v>4642.31</v>
      </c>
      <c r="E957" s="24" t="s">
        <v>48</v>
      </c>
    </row>
    <row r="958">
      <c r="A958" s="11">
        <v>7954.0</v>
      </c>
      <c r="B958" s="16">
        <v>88.0</v>
      </c>
      <c r="C958" s="22" t="s">
        <v>499</v>
      </c>
      <c r="D958" s="23">
        <v>37034.27</v>
      </c>
      <c r="E958" s="24" t="s">
        <v>31</v>
      </c>
    </row>
    <row r="959">
      <c r="A959" s="11">
        <v>7955.0</v>
      </c>
      <c r="B959" s="16">
        <v>58.0</v>
      </c>
      <c r="C959" s="22" t="s">
        <v>34</v>
      </c>
      <c r="D959" s="23">
        <v>675034.82</v>
      </c>
      <c r="E959" s="24" t="s">
        <v>33</v>
      </c>
    </row>
    <row r="960">
      <c r="A960" s="11">
        <v>7956.0</v>
      </c>
      <c r="B960" s="16">
        <v>86.0</v>
      </c>
      <c r="C960" s="22" t="s">
        <v>366</v>
      </c>
      <c r="D960" s="23">
        <v>18.34</v>
      </c>
      <c r="E960" s="24" t="s">
        <v>39</v>
      </c>
    </row>
    <row r="961">
      <c r="A961" s="11">
        <v>7957.0</v>
      </c>
      <c r="B961" s="16">
        <v>9.0</v>
      </c>
      <c r="C961" s="22" t="s">
        <v>233</v>
      </c>
      <c r="D961" s="23">
        <v>3681.49</v>
      </c>
      <c r="E961" s="24" t="s">
        <v>39</v>
      </c>
    </row>
    <row r="962">
      <c r="A962" s="11">
        <v>7958.0</v>
      </c>
      <c r="B962" s="16">
        <v>81.0</v>
      </c>
      <c r="C962" s="22" t="s">
        <v>254</v>
      </c>
      <c r="D962" s="23">
        <v>27.77</v>
      </c>
      <c r="E962" s="24" t="s">
        <v>33</v>
      </c>
    </row>
    <row r="963">
      <c r="A963" s="11">
        <v>7959.0</v>
      </c>
      <c r="B963" s="16">
        <v>98.0</v>
      </c>
      <c r="C963" s="22" t="s">
        <v>535</v>
      </c>
      <c r="D963" s="23">
        <v>29.52</v>
      </c>
      <c r="E963" s="24" t="s">
        <v>31</v>
      </c>
    </row>
    <row r="964">
      <c r="A964" s="11">
        <v>7960.0</v>
      </c>
      <c r="B964" s="16">
        <v>39.0</v>
      </c>
      <c r="C964" s="22" t="s">
        <v>58</v>
      </c>
      <c r="D964" s="23">
        <v>9605.18</v>
      </c>
      <c r="E964" s="24" t="s">
        <v>29</v>
      </c>
    </row>
    <row r="965">
      <c r="A965" s="11">
        <v>7961.0</v>
      </c>
      <c r="B965" s="16">
        <v>51.0</v>
      </c>
      <c r="C965" s="22" t="s">
        <v>96</v>
      </c>
      <c r="D965" s="23">
        <v>518922.96</v>
      </c>
      <c r="E965" s="24" t="s">
        <v>48</v>
      </c>
    </row>
    <row r="966">
      <c r="A966" s="11">
        <v>7962.0</v>
      </c>
      <c r="B966" s="16">
        <v>93.0</v>
      </c>
      <c r="C966" s="22" t="s">
        <v>511</v>
      </c>
      <c r="D966" s="23">
        <v>86.94</v>
      </c>
      <c r="E966" s="24" t="s">
        <v>29</v>
      </c>
    </row>
    <row r="967">
      <c r="A967" s="11">
        <v>7963.0</v>
      </c>
      <c r="B967" s="16">
        <v>71.0</v>
      </c>
      <c r="C967" s="22" t="s">
        <v>411</v>
      </c>
      <c r="D967" s="23">
        <v>3137.81</v>
      </c>
      <c r="E967" s="24" t="s">
        <v>39</v>
      </c>
    </row>
    <row r="968">
      <c r="A968" s="11">
        <v>7964.0</v>
      </c>
      <c r="B968" s="16">
        <v>68.0</v>
      </c>
      <c r="C968" s="22" t="s">
        <v>536</v>
      </c>
      <c r="D968" s="23">
        <v>93297.2</v>
      </c>
      <c r="E968" s="24" t="s">
        <v>48</v>
      </c>
    </row>
    <row r="969">
      <c r="A969" s="11">
        <v>7965.0</v>
      </c>
      <c r="B969" s="16">
        <v>52.0</v>
      </c>
      <c r="C969" s="22" t="s">
        <v>255</v>
      </c>
      <c r="D969" s="23">
        <v>46014.11</v>
      </c>
      <c r="E969" s="24" t="s">
        <v>33</v>
      </c>
    </row>
    <row r="970">
      <c r="A970" s="11">
        <v>7966.0</v>
      </c>
      <c r="B970" s="16">
        <v>13.0</v>
      </c>
      <c r="C970" s="22" t="s">
        <v>152</v>
      </c>
      <c r="D970" s="23">
        <v>71.69</v>
      </c>
      <c r="E970" s="24" t="s">
        <v>48</v>
      </c>
    </row>
    <row r="971">
      <c r="A971" s="11">
        <v>7967.0</v>
      </c>
      <c r="B971" s="16">
        <v>35.0</v>
      </c>
      <c r="C971" s="22" t="s">
        <v>320</v>
      </c>
      <c r="D971" s="23">
        <v>955641.88</v>
      </c>
      <c r="E971" s="24" t="s">
        <v>39</v>
      </c>
    </row>
    <row r="972">
      <c r="A972" s="11">
        <v>7968.0</v>
      </c>
      <c r="B972" s="16">
        <v>17.0</v>
      </c>
      <c r="C972" s="22" t="s">
        <v>360</v>
      </c>
      <c r="D972" s="23">
        <v>61.29</v>
      </c>
      <c r="E972" s="24" t="s">
        <v>48</v>
      </c>
    </row>
    <row r="973">
      <c r="A973" s="11">
        <v>7969.0</v>
      </c>
      <c r="B973" s="16">
        <v>34.0</v>
      </c>
      <c r="C973" s="22" t="s">
        <v>28</v>
      </c>
      <c r="D973" s="23">
        <v>79.2</v>
      </c>
      <c r="E973" s="24" t="s">
        <v>39</v>
      </c>
    </row>
    <row r="974">
      <c r="A974" s="11">
        <v>7970.0</v>
      </c>
      <c r="B974" s="16">
        <v>65.0</v>
      </c>
      <c r="C974" s="22" t="s">
        <v>380</v>
      </c>
      <c r="D974" s="23">
        <v>20.74</v>
      </c>
      <c r="E974" s="24" t="s">
        <v>31</v>
      </c>
    </row>
    <row r="975">
      <c r="A975" s="11">
        <v>7971.0</v>
      </c>
      <c r="B975" s="16">
        <v>30.0</v>
      </c>
      <c r="C975" s="22" t="s">
        <v>496</v>
      </c>
      <c r="D975" s="23">
        <v>1070.68</v>
      </c>
      <c r="E975" s="24" t="s">
        <v>29</v>
      </c>
    </row>
    <row r="976">
      <c r="A976" s="11">
        <v>7972.0</v>
      </c>
      <c r="B976" s="16">
        <v>60.0</v>
      </c>
      <c r="C976" s="22" t="s">
        <v>313</v>
      </c>
      <c r="D976" s="23">
        <v>43.61</v>
      </c>
      <c r="E976" s="24" t="s">
        <v>31</v>
      </c>
    </row>
    <row r="977">
      <c r="A977" s="11">
        <v>7973.0</v>
      </c>
      <c r="B977" s="16">
        <v>28.0</v>
      </c>
      <c r="C977" s="22" t="s">
        <v>182</v>
      </c>
      <c r="D977" s="23">
        <v>859247.28</v>
      </c>
      <c r="E977" s="24" t="s">
        <v>39</v>
      </c>
    </row>
    <row r="978">
      <c r="A978" s="11">
        <v>7974.0</v>
      </c>
      <c r="B978" s="16">
        <v>99.0</v>
      </c>
      <c r="C978" s="22" t="s">
        <v>37</v>
      </c>
      <c r="D978" s="23">
        <v>51.75</v>
      </c>
      <c r="E978" s="24" t="s">
        <v>31</v>
      </c>
    </row>
    <row r="979">
      <c r="A979" s="11">
        <v>7975.0</v>
      </c>
      <c r="B979" s="16">
        <v>42.0</v>
      </c>
      <c r="C979" s="22" t="s">
        <v>140</v>
      </c>
      <c r="D979" s="23">
        <v>67.99</v>
      </c>
      <c r="E979" s="24" t="s">
        <v>29</v>
      </c>
    </row>
    <row r="980">
      <c r="A980" s="11">
        <v>7976.0</v>
      </c>
      <c r="B980" s="16">
        <v>37.0</v>
      </c>
      <c r="C980" s="22" t="s">
        <v>413</v>
      </c>
      <c r="D980" s="23">
        <v>239.85</v>
      </c>
      <c r="E980" s="24" t="s">
        <v>39</v>
      </c>
    </row>
    <row r="981">
      <c r="A981" s="11">
        <v>7977.0</v>
      </c>
      <c r="B981" s="16">
        <v>41.0</v>
      </c>
      <c r="C981" s="22" t="s">
        <v>537</v>
      </c>
      <c r="D981" s="23">
        <v>87.75</v>
      </c>
      <c r="E981" s="24" t="s">
        <v>48</v>
      </c>
    </row>
    <row r="982">
      <c r="A982" s="11">
        <v>7978.0</v>
      </c>
      <c r="B982" s="16">
        <v>70.0</v>
      </c>
      <c r="C982" s="22" t="s">
        <v>269</v>
      </c>
      <c r="D982" s="23">
        <v>93.59</v>
      </c>
      <c r="E982" s="24" t="s">
        <v>29</v>
      </c>
    </row>
    <row r="983">
      <c r="A983" s="11">
        <v>7979.0</v>
      </c>
      <c r="B983" s="16">
        <v>49.0</v>
      </c>
      <c r="C983" s="22" t="s">
        <v>193</v>
      </c>
      <c r="D983" s="23">
        <v>651734.9</v>
      </c>
      <c r="E983" s="24" t="s">
        <v>48</v>
      </c>
    </row>
    <row r="984">
      <c r="A984" s="11">
        <v>7980.0</v>
      </c>
      <c r="B984" s="16">
        <v>61.0</v>
      </c>
      <c r="C984" s="22" t="s">
        <v>152</v>
      </c>
      <c r="D984" s="23">
        <v>346933.33</v>
      </c>
      <c r="E984" s="24" t="s">
        <v>33</v>
      </c>
    </row>
    <row r="985">
      <c r="A985" s="11">
        <v>7981.0</v>
      </c>
      <c r="B985" s="16">
        <v>68.0</v>
      </c>
      <c r="C985" s="22" t="s">
        <v>150</v>
      </c>
      <c r="D985" s="23">
        <v>16.76</v>
      </c>
      <c r="E985" s="24" t="s">
        <v>33</v>
      </c>
    </row>
    <row r="986">
      <c r="A986" s="11">
        <v>7982.0</v>
      </c>
      <c r="B986" s="16">
        <v>62.0</v>
      </c>
      <c r="C986" s="22" t="s">
        <v>491</v>
      </c>
      <c r="D986" s="23">
        <v>9739.95</v>
      </c>
      <c r="E986" s="24" t="s">
        <v>39</v>
      </c>
    </row>
    <row r="987">
      <c r="A987" s="11">
        <v>7983.0</v>
      </c>
      <c r="B987" s="16">
        <v>86.0</v>
      </c>
      <c r="C987" s="22" t="s">
        <v>529</v>
      </c>
      <c r="D987" s="23">
        <v>10.34</v>
      </c>
      <c r="E987" s="24" t="s">
        <v>39</v>
      </c>
    </row>
    <row r="988">
      <c r="A988" s="11">
        <v>7984.0</v>
      </c>
      <c r="B988" s="16">
        <v>7.0</v>
      </c>
      <c r="C988" s="22" t="s">
        <v>538</v>
      </c>
      <c r="D988" s="23">
        <v>70545.8</v>
      </c>
      <c r="E988" s="24" t="s">
        <v>29</v>
      </c>
    </row>
    <row r="989">
      <c r="A989" s="11">
        <v>7985.0</v>
      </c>
      <c r="B989" s="16">
        <v>66.0</v>
      </c>
      <c r="C989" s="22" t="s">
        <v>173</v>
      </c>
      <c r="D989" s="23">
        <v>6354.17</v>
      </c>
      <c r="E989" s="24" t="s">
        <v>31</v>
      </c>
    </row>
    <row r="990">
      <c r="A990" s="11">
        <v>7986.0</v>
      </c>
      <c r="B990" s="16">
        <v>71.0</v>
      </c>
      <c r="C990" s="22" t="s">
        <v>62</v>
      </c>
      <c r="D990" s="23">
        <v>10.52</v>
      </c>
      <c r="E990" s="24" t="s">
        <v>39</v>
      </c>
    </row>
    <row r="991">
      <c r="A991" s="11">
        <v>7987.0</v>
      </c>
      <c r="B991" s="16">
        <v>32.0</v>
      </c>
      <c r="C991" s="22" t="s">
        <v>124</v>
      </c>
      <c r="D991" s="23">
        <v>724.22</v>
      </c>
      <c r="E991" s="24" t="s">
        <v>48</v>
      </c>
    </row>
    <row r="992">
      <c r="A992" s="11">
        <v>7988.0</v>
      </c>
      <c r="B992" s="16">
        <v>90.0</v>
      </c>
      <c r="C992" s="22" t="s">
        <v>539</v>
      </c>
      <c r="D992" s="23">
        <v>867448.56</v>
      </c>
      <c r="E992" s="24" t="s">
        <v>33</v>
      </c>
    </row>
    <row r="993">
      <c r="A993" s="11">
        <v>7989.0</v>
      </c>
      <c r="B993" s="16">
        <v>17.0</v>
      </c>
      <c r="C993" s="22" t="s">
        <v>540</v>
      </c>
      <c r="D993" s="23">
        <v>623.11</v>
      </c>
      <c r="E993" s="24" t="s">
        <v>29</v>
      </c>
    </row>
    <row r="994">
      <c r="A994" s="11">
        <v>7990.0</v>
      </c>
      <c r="B994" s="16">
        <v>49.0</v>
      </c>
      <c r="C994" s="22" t="s">
        <v>98</v>
      </c>
      <c r="D994" s="23">
        <v>52160.25</v>
      </c>
      <c r="E994" s="24" t="s">
        <v>29</v>
      </c>
    </row>
    <row r="995">
      <c r="A995" s="11">
        <v>7991.0</v>
      </c>
      <c r="B995" s="16">
        <v>42.0</v>
      </c>
      <c r="C995" s="22" t="s">
        <v>541</v>
      </c>
      <c r="D995" s="23">
        <v>90339.86</v>
      </c>
      <c r="E995" s="24" t="s">
        <v>39</v>
      </c>
    </row>
    <row r="996">
      <c r="A996" s="11">
        <v>7992.0</v>
      </c>
      <c r="B996" s="16">
        <v>29.0</v>
      </c>
      <c r="C996" s="22" t="s">
        <v>542</v>
      </c>
      <c r="D996" s="23">
        <v>67853.19</v>
      </c>
      <c r="E996" s="24" t="s">
        <v>33</v>
      </c>
    </row>
    <row r="997">
      <c r="A997" s="11">
        <v>7993.0</v>
      </c>
      <c r="B997" s="16">
        <v>62.0</v>
      </c>
      <c r="C997" s="22" t="s">
        <v>262</v>
      </c>
      <c r="D997" s="23">
        <v>1189.38</v>
      </c>
      <c r="E997" s="24" t="s">
        <v>31</v>
      </c>
    </row>
    <row r="998">
      <c r="A998" s="11">
        <v>7994.0</v>
      </c>
      <c r="B998" s="16">
        <v>47.0</v>
      </c>
      <c r="C998" s="22" t="s">
        <v>150</v>
      </c>
      <c r="D998" s="23">
        <v>712158.82</v>
      </c>
      <c r="E998" s="24" t="s">
        <v>31</v>
      </c>
    </row>
    <row r="999">
      <c r="A999" s="11">
        <v>7995.0</v>
      </c>
      <c r="B999" s="16">
        <v>71.0</v>
      </c>
      <c r="C999" s="22" t="s">
        <v>258</v>
      </c>
      <c r="D999" s="23">
        <v>8038.2</v>
      </c>
      <c r="E999" s="24" t="s">
        <v>48</v>
      </c>
    </row>
    <row r="1000">
      <c r="A1000" s="11">
        <v>7996.0</v>
      </c>
      <c r="B1000" s="16">
        <v>35.0</v>
      </c>
      <c r="C1000" s="22" t="s">
        <v>251</v>
      </c>
      <c r="D1000" s="23">
        <v>725.53</v>
      </c>
      <c r="E1000" s="24" t="s">
        <v>48</v>
      </c>
    </row>
    <row r="1001">
      <c r="A1001" s="11">
        <v>7997.0</v>
      </c>
      <c r="B1001" s="16">
        <v>0.0</v>
      </c>
      <c r="C1001" s="22" t="s">
        <v>528</v>
      </c>
      <c r="D1001" s="23">
        <v>57.7</v>
      </c>
      <c r="E1001" s="24" t="s">
        <v>39</v>
      </c>
    </row>
    <row r="1002">
      <c r="A1002" s="11">
        <v>7998.0</v>
      </c>
      <c r="B1002" s="16">
        <v>73.0</v>
      </c>
      <c r="C1002" s="22" t="s">
        <v>408</v>
      </c>
      <c r="D1002" s="23">
        <v>70444.45</v>
      </c>
      <c r="E1002" s="24" t="s">
        <v>39</v>
      </c>
    </row>
    <row r="1003">
      <c r="A1003" s="11">
        <v>7999.0</v>
      </c>
      <c r="B1003" s="16">
        <v>54.0</v>
      </c>
      <c r="C1003" s="22" t="s">
        <v>543</v>
      </c>
      <c r="D1003" s="23">
        <v>5507.67</v>
      </c>
      <c r="E1003" s="24" t="s">
        <v>33</v>
      </c>
    </row>
    <row r="1004">
      <c r="B1004" s="25"/>
      <c r="C1004" s="22"/>
      <c r="D1004" s="23"/>
      <c r="E1004" s="24"/>
    </row>
    <row r="1005">
      <c r="B1005" s="25"/>
      <c r="C1005" s="22"/>
      <c r="D1005" s="23"/>
      <c r="E1005" s="24"/>
    </row>
    <row r="1006">
      <c r="B1006" s="25"/>
      <c r="C1006" s="22"/>
      <c r="D1006" s="23"/>
      <c r="E1006" s="24"/>
    </row>
    <row r="1007">
      <c r="B1007" s="25"/>
      <c r="C1007" s="22"/>
      <c r="D1007" s="23"/>
      <c r="E1007" s="24"/>
    </row>
    <row r="1008">
      <c r="B1008" s="25"/>
      <c r="C1008" s="22"/>
      <c r="D1008" s="23"/>
      <c r="E1008" s="24"/>
    </row>
    <row r="1009">
      <c r="B1009" s="25"/>
      <c r="C1009" s="22"/>
      <c r="D1009" s="23"/>
      <c r="E1009" s="24"/>
    </row>
    <row r="1010">
      <c r="B1010" s="25"/>
      <c r="C1010" s="22"/>
      <c r="D1010" s="23"/>
      <c r="E1010" s="24"/>
    </row>
    <row r="1011">
      <c r="B1011" s="25"/>
      <c r="C1011" s="22"/>
      <c r="D1011" s="23"/>
      <c r="E1011" s="24"/>
    </row>
    <row r="1012">
      <c r="B1012" s="25"/>
      <c r="C1012" s="22"/>
      <c r="D1012" s="23"/>
      <c r="E1012" s="24"/>
    </row>
    <row r="1013">
      <c r="B1013" s="25"/>
      <c r="C1013" s="22"/>
      <c r="D1013" s="23"/>
      <c r="E1013" s="24"/>
    </row>
    <row r="1014">
      <c r="B1014" s="25"/>
      <c r="C1014" s="22"/>
      <c r="D1014" s="23"/>
      <c r="E1014" s="24"/>
    </row>
    <row r="1015">
      <c r="B1015" s="25"/>
      <c r="C1015" s="22"/>
      <c r="D1015" s="23"/>
      <c r="E1015" s="24"/>
    </row>
    <row r="1016">
      <c r="B1016" s="25"/>
      <c r="C1016" s="22"/>
      <c r="D1016" s="23"/>
      <c r="E1016" s="24"/>
    </row>
    <row r="1017">
      <c r="B1017" s="25"/>
      <c r="C1017" s="22"/>
      <c r="D1017" s="23"/>
      <c r="E1017" s="24"/>
    </row>
    <row r="1018">
      <c r="B1018" s="25"/>
      <c r="C1018" s="22"/>
      <c r="D1018" s="23"/>
      <c r="E1018" s="24"/>
    </row>
    <row r="1019">
      <c r="B1019" s="25"/>
      <c r="C1019" s="22"/>
      <c r="D1019" s="23"/>
      <c r="E1019" s="24"/>
    </row>
    <row r="1020">
      <c r="B1020" s="25"/>
      <c r="C1020" s="22"/>
      <c r="D1020" s="23"/>
      <c r="E1020" s="24"/>
    </row>
    <row r="1021">
      <c r="B1021" s="25"/>
      <c r="C1021" s="22"/>
      <c r="D1021" s="23"/>
      <c r="E1021" s="24"/>
    </row>
    <row r="1022">
      <c r="B1022" s="25"/>
      <c r="C1022" s="22"/>
      <c r="D1022" s="23"/>
      <c r="E1022" s="24"/>
    </row>
    <row r="1023">
      <c r="B1023" s="25"/>
      <c r="C1023" s="22"/>
      <c r="D1023" s="23"/>
      <c r="E1023" s="24"/>
    </row>
    <row r="1024">
      <c r="B1024" s="25"/>
      <c r="C1024" s="22"/>
      <c r="D1024" s="23"/>
      <c r="E1024" s="24"/>
    </row>
    <row r="1025">
      <c r="B1025" s="25"/>
      <c r="C1025" s="22"/>
      <c r="D1025" s="23"/>
      <c r="E1025" s="24"/>
    </row>
    <row r="1026">
      <c r="B1026" s="25"/>
      <c r="C1026" s="22"/>
      <c r="D1026" s="23"/>
      <c r="E1026" s="24"/>
    </row>
    <row r="1027">
      <c r="B1027" s="25"/>
      <c r="C1027" s="22"/>
      <c r="D1027" s="23"/>
      <c r="E1027" s="24"/>
    </row>
    <row r="1028">
      <c r="B1028" s="25"/>
      <c r="C1028" s="22"/>
      <c r="D1028" s="23"/>
      <c r="E1028" s="24"/>
    </row>
    <row r="1029">
      <c r="B1029" s="25"/>
      <c r="C1029" s="22"/>
      <c r="D1029" s="23"/>
      <c r="E1029" s="24"/>
    </row>
    <row r="1030">
      <c r="B1030" s="25"/>
      <c r="C1030" s="22"/>
      <c r="D1030" s="23"/>
      <c r="E1030" s="24"/>
    </row>
    <row r="1031">
      <c r="B1031" s="25"/>
      <c r="C1031" s="22"/>
      <c r="D1031" s="23"/>
      <c r="E1031" s="24"/>
    </row>
    <row r="1032">
      <c r="B1032" s="25"/>
      <c r="C1032" s="22"/>
      <c r="D1032" s="23"/>
      <c r="E1032" s="24"/>
    </row>
    <row r="1033">
      <c r="B1033" s="25"/>
      <c r="C1033" s="22"/>
      <c r="D1033" s="23"/>
      <c r="E1033" s="24"/>
    </row>
    <row r="1034">
      <c r="B1034" s="25"/>
      <c r="C1034" s="22"/>
      <c r="D1034" s="23"/>
      <c r="E1034" s="24"/>
    </row>
    <row r="1035">
      <c r="B1035" s="25"/>
      <c r="C1035" s="22"/>
      <c r="D1035" s="23"/>
      <c r="E1035" s="24"/>
    </row>
    <row r="1036">
      <c r="B1036" s="25"/>
      <c r="C1036" s="22"/>
      <c r="D1036" s="23"/>
      <c r="E1036" s="24"/>
    </row>
    <row r="1037">
      <c r="B1037" s="25"/>
      <c r="C1037" s="22"/>
      <c r="D1037" s="23"/>
      <c r="E1037" s="24"/>
    </row>
    <row r="1038">
      <c r="B1038" s="25"/>
      <c r="C1038" s="22"/>
      <c r="D1038" s="23"/>
      <c r="E1038" s="24"/>
    </row>
    <row r="1039">
      <c r="B1039" s="25"/>
      <c r="C1039" s="22"/>
      <c r="D1039" s="23"/>
      <c r="E1039" s="24"/>
    </row>
    <row r="1040">
      <c r="B1040" s="25"/>
      <c r="C1040" s="22"/>
      <c r="D1040" s="23"/>
      <c r="E1040" s="24"/>
    </row>
    <row r="1041">
      <c r="B1041" s="25"/>
      <c r="C1041" s="22"/>
      <c r="D1041" s="23"/>
      <c r="E1041" s="24"/>
    </row>
    <row r="1042">
      <c r="B1042" s="25"/>
      <c r="C1042" s="22"/>
      <c r="D1042" s="23"/>
      <c r="E1042" s="24"/>
    </row>
    <row r="1043">
      <c r="B1043" s="25"/>
      <c r="C1043" s="22"/>
      <c r="D1043" s="23"/>
      <c r="E1043" s="24"/>
    </row>
    <row r="1044">
      <c r="B1044" s="25"/>
      <c r="C1044" s="22"/>
      <c r="D1044" s="23"/>
      <c r="E1044" s="24"/>
    </row>
    <row r="1045">
      <c r="B1045" s="25"/>
      <c r="C1045" s="22"/>
      <c r="D1045" s="23"/>
      <c r="E1045" s="24"/>
    </row>
    <row r="1046">
      <c r="B1046" s="25"/>
      <c r="C1046" s="22"/>
      <c r="D1046" s="23"/>
      <c r="E1046" s="24"/>
    </row>
    <row r="1047">
      <c r="B1047" s="25"/>
      <c r="C1047" s="22"/>
      <c r="D1047" s="23"/>
      <c r="E1047" s="24"/>
    </row>
    <row r="1048">
      <c r="B1048" s="25"/>
      <c r="C1048" s="22"/>
      <c r="D1048" s="23"/>
      <c r="E1048" s="24"/>
    </row>
    <row r="1049">
      <c r="B1049" s="25"/>
      <c r="C1049" s="22"/>
      <c r="D1049" s="23"/>
      <c r="E1049" s="24"/>
    </row>
    <row r="1050">
      <c r="B1050" s="25"/>
      <c r="C1050" s="22"/>
      <c r="D1050" s="23"/>
      <c r="E1050" s="24"/>
    </row>
    <row r="1051">
      <c r="B1051" s="25"/>
      <c r="C1051" s="22"/>
      <c r="D1051" s="23"/>
      <c r="E1051" s="24"/>
    </row>
    <row r="1052">
      <c r="B1052" s="25"/>
      <c r="C1052" s="22"/>
      <c r="D1052" s="23"/>
      <c r="E1052" s="24"/>
    </row>
    <row r="1053">
      <c r="B1053" s="25"/>
      <c r="C1053" s="22"/>
      <c r="D1053" s="23"/>
      <c r="E1053" s="24"/>
    </row>
    <row r="1054">
      <c r="B1054" s="25"/>
      <c r="C1054" s="22"/>
      <c r="D1054" s="23"/>
      <c r="E1054" s="24"/>
    </row>
    <row r="1055">
      <c r="B1055" s="25"/>
      <c r="C1055" s="22"/>
      <c r="D1055" s="23"/>
      <c r="E1055" s="24"/>
    </row>
    <row r="1056">
      <c r="B1056" s="25"/>
      <c r="C1056" s="22"/>
      <c r="D1056" s="23"/>
      <c r="E1056" s="24"/>
    </row>
    <row r="1057">
      <c r="B1057" s="25"/>
      <c r="C1057" s="22"/>
      <c r="D1057" s="23"/>
      <c r="E1057" s="24"/>
    </row>
    <row r="1058">
      <c r="B1058" s="25"/>
      <c r="C1058" s="22"/>
      <c r="D1058" s="23"/>
      <c r="E1058" s="24"/>
    </row>
    <row r="1059">
      <c r="B1059" s="25"/>
      <c r="C1059" s="22"/>
      <c r="D1059" s="23"/>
      <c r="E1059" s="24"/>
    </row>
    <row r="1060">
      <c r="B1060" s="25"/>
      <c r="C1060" s="22"/>
      <c r="D1060" s="23"/>
      <c r="E1060" s="24"/>
    </row>
    <row r="1061">
      <c r="B1061" s="25"/>
      <c r="C1061" s="22"/>
      <c r="D1061" s="23"/>
      <c r="E1061" s="24"/>
    </row>
    <row r="1062">
      <c r="B1062" s="25"/>
      <c r="C1062" s="22"/>
      <c r="D1062" s="23"/>
      <c r="E1062" s="24"/>
    </row>
    <row r="1063">
      <c r="B1063" s="25"/>
      <c r="C1063" s="22"/>
      <c r="D1063" s="23"/>
      <c r="E1063" s="24"/>
    </row>
    <row r="1064">
      <c r="B1064" s="25"/>
      <c r="C1064" s="22"/>
      <c r="D1064" s="23"/>
      <c r="E1064" s="24"/>
    </row>
    <row r="1065">
      <c r="B1065" s="25"/>
      <c r="C1065" s="22"/>
      <c r="D1065" s="23"/>
      <c r="E1065" s="24"/>
    </row>
    <row r="1066">
      <c r="B1066" s="25"/>
      <c r="C1066" s="22"/>
      <c r="D1066" s="23"/>
      <c r="E1066" s="24"/>
    </row>
    <row r="1067">
      <c r="B1067" s="25"/>
      <c r="C1067" s="22"/>
      <c r="D1067" s="23"/>
      <c r="E1067" s="24"/>
    </row>
    <row r="1068">
      <c r="B1068" s="25"/>
      <c r="C1068" s="22"/>
      <c r="D1068" s="23"/>
      <c r="E1068" s="24"/>
    </row>
    <row r="1069">
      <c r="B1069" s="25"/>
      <c r="C1069" s="22"/>
      <c r="D1069" s="23"/>
      <c r="E1069" s="24"/>
    </row>
    <row r="1070">
      <c r="B1070" s="25"/>
      <c r="C1070" s="22"/>
      <c r="D1070" s="23"/>
      <c r="E1070" s="24"/>
    </row>
    <row r="1071">
      <c r="B1071" s="25"/>
      <c r="C1071" s="22"/>
      <c r="D1071" s="23"/>
      <c r="E1071" s="24"/>
    </row>
    <row r="1072">
      <c r="B1072" s="25"/>
      <c r="C1072" s="22"/>
      <c r="D1072" s="23"/>
      <c r="E1072" s="24"/>
    </row>
    <row r="1073">
      <c r="B1073" s="25"/>
      <c r="C1073" s="22"/>
      <c r="D1073" s="23"/>
      <c r="E1073" s="24"/>
    </row>
    <row r="1074">
      <c r="B1074" s="25"/>
      <c r="C1074" s="22"/>
      <c r="D1074" s="23"/>
      <c r="E1074" s="24"/>
    </row>
    <row r="1075">
      <c r="B1075" s="25"/>
      <c r="C1075" s="22"/>
      <c r="D1075" s="23"/>
      <c r="E1075" s="24"/>
    </row>
    <row r="1076">
      <c r="B1076" s="25"/>
      <c r="C1076" s="22"/>
      <c r="D1076" s="23"/>
      <c r="E1076" s="24"/>
    </row>
    <row r="1077">
      <c r="B1077" s="25"/>
      <c r="C1077" s="22"/>
      <c r="D1077" s="23"/>
      <c r="E1077" s="24"/>
    </row>
    <row r="1078">
      <c r="B1078" s="25"/>
      <c r="C1078" s="22"/>
      <c r="D1078" s="23"/>
      <c r="E1078" s="24"/>
    </row>
    <row r="1079">
      <c r="B1079" s="25"/>
      <c r="C1079" s="22"/>
      <c r="D1079" s="23"/>
      <c r="E1079" s="24"/>
    </row>
    <row r="1080">
      <c r="B1080" s="25"/>
      <c r="C1080" s="22"/>
      <c r="D1080" s="23"/>
      <c r="E1080" s="24"/>
    </row>
    <row r="1081">
      <c r="B1081" s="25"/>
      <c r="C1081" s="22"/>
      <c r="D1081" s="23"/>
      <c r="E1081" s="24"/>
    </row>
    <row r="1082">
      <c r="B1082" s="25"/>
      <c r="C1082" s="22"/>
      <c r="D1082" s="23"/>
      <c r="E1082" s="24"/>
    </row>
    <row r="1083">
      <c r="B1083" s="25"/>
      <c r="C1083" s="22"/>
      <c r="D1083" s="23"/>
      <c r="E1083" s="24"/>
    </row>
    <row r="1084">
      <c r="B1084" s="25"/>
      <c r="C1084" s="22"/>
      <c r="D1084" s="23"/>
      <c r="E1084" s="24"/>
    </row>
    <row r="1085">
      <c r="B1085" s="25"/>
      <c r="C1085" s="22"/>
      <c r="D1085" s="23"/>
      <c r="E1085" s="24"/>
    </row>
    <row r="1086">
      <c r="B1086" s="25"/>
      <c r="C1086" s="22"/>
      <c r="D1086" s="23"/>
      <c r="E1086" s="24"/>
    </row>
    <row r="1087">
      <c r="B1087" s="25"/>
      <c r="C1087" s="22"/>
      <c r="D1087" s="23"/>
      <c r="E1087" s="24"/>
    </row>
    <row r="1088">
      <c r="B1088" s="25"/>
      <c r="C1088" s="22"/>
      <c r="D1088" s="23"/>
      <c r="E1088" s="24"/>
    </row>
    <row r="1089">
      <c r="B1089" s="25"/>
      <c r="C1089" s="22"/>
      <c r="D1089" s="23"/>
      <c r="E1089" s="24"/>
    </row>
    <row r="1090">
      <c r="B1090" s="25"/>
      <c r="C1090" s="22"/>
      <c r="D1090" s="23"/>
      <c r="E1090" s="24"/>
    </row>
    <row r="1091">
      <c r="B1091" s="25"/>
      <c r="C1091" s="22"/>
      <c r="D1091" s="23"/>
      <c r="E1091" s="24"/>
    </row>
    <row r="1092">
      <c r="B1092" s="25"/>
      <c r="C1092" s="22"/>
      <c r="D1092" s="23"/>
      <c r="E1092" s="24"/>
    </row>
    <row r="1093">
      <c r="B1093" s="25"/>
      <c r="C1093" s="22"/>
      <c r="D1093" s="23"/>
      <c r="E1093" s="24"/>
    </row>
    <row r="1094">
      <c r="B1094" s="25"/>
      <c r="C1094" s="22"/>
      <c r="D1094" s="23"/>
      <c r="E1094" s="24"/>
    </row>
    <row r="1095">
      <c r="B1095" s="25"/>
      <c r="C1095" s="22"/>
      <c r="D1095" s="23"/>
      <c r="E1095" s="24"/>
    </row>
    <row r="1096">
      <c r="B1096" s="25"/>
      <c r="C1096" s="22"/>
      <c r="D1096" s="23"/>
      <c r="E1096" s="24"/>
    </row>
    <row r="1097">
      <c r="B1097" s="25"/>
      <c r="C1097" s="22"/>
      <c r="D1097" s="23"/>
      <c r="E1097" s="24"/>
    </row>
    <row r="1098">
      <c r="B1098" s="25"/>
      <c r="C1098" s="22"/>
      <c r="D1098" s="23"/>
      <c r="E1098" s="24"/>
    </row>
    <row r="1099">
      <c r="B1099" s="25"/>
      <c r="C1099" s="22"/>
      <c r="D1099" s="23"/>
      <c r="E1099" s="24"/>
    </row>
    <row r="1100">
      <c r="B1100" s="25"/>
      <c r="C1100" s="22"/>
      <c r="D1100" s="23"/>
      <c r="E1100" s="24"/>
    </row>
    <row r="1101">
      <c r="B1101" s="25"/>
      <c r="C1101" s="22"/>
      <c r="D1101" s="23"/>
      <c r="E1101" s="24"/>
    </row>
    <row r="1102">
      <c r="B1102" s="25"/>
      <c r="C1102" s="22"/>
      <c r="D1102" s="23"/>
      <c r="E1102" s="24"/>
    </row>
    <row r="1103">
      <c r="B1103" s="25"/>
      <c r="C1103" s="22"/>
      <c r="D1103" s="23"/>
      <c r="E1103" s="24"/>
    </row>
    <row r="1104">
      <c r="B1104" s="25"/>
      <c r="C1104" s="22"/>
      <c r="D1104" s="23"/>
      <c r="E1104" s="24"/>
    </row>
    <row r="1105">
      <c r="B1105" s="25"/>
      <c r="C1105" s="22"/>
      <c r="D1105" s="23"/>
      <c r="E1105" s="24"/>
    </row>
    <row r="1106">
      <c r="B1106" s="25"/>
      <c r="C1106" s="22"/>
      <c r="D1106" s="23"/>
      <c r="E1106" s="24"/>
    </row>
    <row r="1107">
      <c r="B1107" s="25"/>
      <c r="C1107" s="22"/>
      <c r="D1107" s="23"/>
      <c r="E1107" s="24"/>
    </row>
    <row r="1108">
      <c r="B1108" s="25"/>
      <c r="C1108" s="22"/>
      <c r="D1108" s="23"/>
      <c r="E1108" s="24"/>
    </row>
    <row r="1109">
      <c r="B1109" s="25"/>
      <c r="C1109" s="22"/>
      <c r="D1109" s="23"/>
      <c r="E1109" s="24"/>
    </row>
    <row r="1110">
      <c r="B1110" s="25"/>
      <c r="C1110" s="22"/>
      <c r="D1110" s="23"/>
      <c r="E1110" s="24"/>
    </row>
    <row r="1111">
      <c r="B1111" s="25"/>
      <c r="C1111" s="22"/>
      <c r="D1111" s="23"/>
      <c r="E1111" s="24"/>
    </row>
    <row r="1112">
      <c r="B1112" s="25"/>
      <c r="C1112" s="22"/>
      <c r="D1112" s="23"/>
      <c r="E1112" s="24"/>
    </row>
    <row r="1113">
      <c r="B1113" s="25"/>
      <c r="C1113" s="22"/>
      <c r="D1113" s="23"/>
      <c r="E1113" s="24"/>
    </row>
    <row r="1114">
      <c r="B1114" s="25"/>
      <c r="C1114" s="22"/>
      <c r="D1114" s="23"/>
      <c r="E1114" s="24"/>
    </row>
    <row r="1115">
      <c r="B1115" s="25"/>
      <c r="C1115" s="22"/>
      <c r="D1115" s="23"/>
      <c r="E1115" s="24"/>
    </row>
    <row r="1116">
      <c r="B1116" s="25"/>
      <c r="C1116" s="22"/>
      <c r="D1116" s="23"/>
      <c r="E1116" s="24"/>
    </row>
    <row r="1117">
      <c r="B1117" s="25"/>
      <c r="C1117" s="22"/>
      <c r="D1117" s="23"/>
      <c r="E1117" s="24"/>
    </row>
    <row r="1118">
      <c r="B1118" s="25"/>
      <c r="C1118" s="22"/>
      <c r="D1118" s="23"/>
      <c r="E1118" s="24"/>
    </row>
    <row r="1119">
      <c r="B1119" s="25"/>
      <c r="C1119" s="22"/>
      <c r="D1119" s="23"/>
      <c r="E1119" s="24"/>
    </row>
    <row r="1120">
      <c r="B1120" s="25"/>
      <c r="C1120" s="22"/>
      <c r="D1120" s="23"/>
      <c r="E1120" s="24"/>
    </row>
    <row r="1121">
      <c r="B1121" s="25"/>
      <c r="C1121" s="22"/>
      <c r="D1121" s="23"/>
      <c r="E1121" s="24"/>
    </row>
    <row r="1122">
      <c r="B1122" s="25"/>
      <c r="C1122" s="22"/>
      <c r="D1122" s="23"/>
      <c r="E1122" s="24"/>
    </row>
    <row r="1123">
      <c r="B1123" s="25"/>
      <c r="C1123" s="22"/>
      <c r="D1123" s="23"/>
      <c r="E1123" s="24"/>
    </row>
    <row r="1124">
      <c r="B1124" s="25"/>
      <c r="C1124" s="22"/>
      <c r="D1124" s="23"/>
      <c r="E1124" s="24"/>
    </row>
    <row r="1125">
      <c r="B1125" s="25"/>
      <c r="C1125" s="22"/>
      <c r="D1125" s="23"/>
      <c r="E1125" s="24"/>
    </row>
    <row r="1126">
      <c r="B1126" s="25"/>
      <c r="C1126" s="22"/>
      <c r="D1126" s="23"/>
      <c r="E1126" s="24"/>
    </row>
    <row r="1127">
      <c r="B1127" s="25"/>
      <c r="C1127" s="22"/>
      <c r="D1127" s="23"/>
      <c r="E1127" s="24"/>
    </row>
    <row r="1128">
      <c r="B1128" s="25"/>
      <c r="C1128" s="22"/>
      <c r="D1128" s="23"/>
      <c r="E1128" s="24"/>
    </row>
    <row r="1129">
      <c r="B1129" s="25"/>
      <c r="C1129" s="22"/>
      <c r="D1129" s="23"/>
      <c r="E1129" s="24"/>
    </row>
    <row r="1130">
      <c r="B1130" s="25"/>
      <c r="C1130" s="22"/>
      <c r="D1130" s="23"/>
      <c r="E1130" s="24"/>
    </row>
    <row r="1131">
      <c r="B1131" s="25"/>
      <c r="C1131" s="22"/>
      <c r="D1131" s="23"/>
      <c r="E1131" s="24"/>
    </row>
    <row r="1132">
      <c r="B1132" s="25"/>
      <c r="C1132" s="22"/>
      <c r="D1132" s="23"/>
      <c r="E1132" s="24"/>
    </row>
    <row r="1133">
      <c r="B1133" s="25"/>
      <c r="C1133" s="22"/>
      <c r="D1133" s="23"/>
      <c r="E1133" s="24"/>
    </row>
    <row r="1134">
      <c r="B1134" s="25"/>
      <c r="C1134" s="22"/>
      <c r="D1134" s="23"/>
      <c r="E1134" s="24"/>
    </row>
    <row r="1135">
      <c r="B1135" s="25"/>
      <c r="C1135" s="22"/>
      <c r="D1135" s="23"/>
      <c r="E1135" s="24"/>
    </row>
    <row r="1136">
      <c r="B1136" s="25"/>
      <c r="C1136" s="22"/>
      <c r="D1136" s="23"/>
      <c r="E1136" s="24"/>
    </row>
    <row r="1137">
      <c r="B1137" s="25"/>
      <c r="C1137" s="22"/>
      <c r="D1137" s="23"/>
      <c r="E1137" s="24"/>
    </row>
    <row r="1138">
      <c r="B1138" s="25"/>
      <c r="C1138" s="22"/>
      <c r="D1138" s="23"/>
      <c r="E1138" s="24"/>
    </row>
    <row r="1139">
      <c r="B1139" s="25"/>
      <c r="C1139" s="22"/>
      <c r="D1139" s="23"/>
      <c r="E1139" s="24"/>
    </row>
    <row r="1140">
      <c r="B1140" s="25"/>
      <c r="C1140" s="22"/>
      <c r="D1140" s="23"/>
      <c r="E1140" s="24"/>
    </row>
    <row r="1141">
      <c r="B1141" s="25"/>
      <c r="C1141" s="22"/>
      <c r="D1141" s="23"/>
      <c r="E1141" s="24"/>
    </row>
    <row r="1142">
      <c r="B1142" s="25"/>
      <c r="C1142" s="22"/>
      <c r="D1142" s="23"/>
      <c r="E1142" s="24"/>
    </row>
    <row r="1143">
      <c r="B1143" s="25"/>
      <c r="C1143" s="22"/>
      <c r="D1143" s="23"/>
      <c r="E1143" s="24"/>
    </row>
    <row r="1144">
      <c r="B1144" s="25"/>
      <c r="C1144" s="22"/>
      <c r="D1144" s="23"/>
      <c r="E1144" s="24"/>
    </row>
    <row r="1145">
      <c r="B1145" s="25"/>
      <c r="C1145" s="22"/>
      <c r="D1145" s="23"/>
      <c r="E1145" s="24"/>
    </row>
    <row r="1146">
      <c r="B1146" s="25"/>
      <c r="C1146" s="22"/>
      <c r="D1146" s="23"/>
      <c r="E1146" s="24"/>
    </row>
    <row r="1147">
      <c r="B1147" s="25"/>
      <c r="C1147" s="22"/>
      <c r="D1147" s="23"/>
      <c r="E1147" s="24"/>
    </row>
    <row r="1148">
      <c r="B1148" s="25"/>
      <c r="C1148" s="22"/>
      <c r="D1148" s="23"/>
      <c r="E1148" s="24"/>
    </row>
    <row r="1149">
      <c r="B1149" s="25"/>
      <c r="C1149" s="22"/>
      <c r="D1149" s="23"/>
      <c r="E1149" s="24"/>
    </row>
    <row r="1150">
      <c r="B1150" s="25"/>
      <c r="C1150" s="22"/>
      <c r="D1150" s="23"/>
      <c r="E1150" s="24"/>
    </row>
    <row r="1151">
      <c r="B1151" s="25"/>
      <c r="C1151" s="22"/>
      <c r="D1151" s="23"/>
      <c r="E1151" s="24"/>
    </row>
    <row r="1152">
      <c r="B1152" s="25"/>
      <c r="C1152" s="22"/>
      <c r="D1152" s="23"/>
      <c r="E1152" s="24"/>
    </row>
    <row r="1153">
      <c r="B1153" s="25"/>
      <c r="C1153" s="22"/>
      <c r="D1153" s="23"/>
      <c r="E1153" s="24"/>
    </row>
    <row r="1154">
      <c r="B1154" s="25"/>
      <c r="C1154" s="22"/>
      <c r="D1154" s="23"/>
      <c r="E1154" s="24"/>
    </row>
    <row r="1155">
      <c r="B1155" s="25"/>
      <c r="C1155" s="22"/>
      <c r="D1155" s="23"/>
      <c r="E1155" s="24"/>
    </row>
    <row r="1156">
      <c r="B1156" s="25"/>
      <c r="C1156" s="22"/>
      <c r="D1156" s="23"/>
      <c r="E1156" s="24"/>
    </row>
    <row r="1157">
      <c r="B1157" s="25"/>
      <c r="C1157" s="22"/>
      <c r="D1157" s="23"/>
      <c r="E1157" s="24"/>
    </row>
    <row r="1158">
      <c r="B1158" s="25"/>
      <c r="C1158" s="22"/>
      <c r="D1158" s="23"/>
      <c r="E1158" s="24"/>
    </row>
    <row r="1159">
      <c r="B1159" s="25"/>
      <c r="C1159" s="22"/>
      <c r="D1159" s="23"/>
      <c r="E1159" s="24"/>
    </row>
    <row r="1160">
      <c r="B1160" s="25"/>
      <c r="C1160" s="22"/>
      <c r="D1160" s="23"/>
      <c r="E1160" s="24"/>
    </row>
    <row r="1161">
      <c r="B1161" s="25"/>
      <c r="C1161" s="22"/>
      <c r="D1161" s="23"/>
      <c r="E1161" s="24"/>
    </row>
    <row r="1162">
      <c r="B1162" s="25"/>
      <c r="C1162" s="22"/>
      <c r="D1162" s="23"/>
      <c r="E1162" s="24"/>
    </row>
    <row r="1163">
      <c r="B1163" s="25"/>
      <c r="C1163" s="22"/>
      <c r="D1163" s="23"/>
      <c r="E1163" s="24"/>
    </row>
    <row r="1164">
      <c r="B1164" s="25"/>
      <c r="C1164" s="22"/>
      <c r="D1164" s="23"/>
      <c r="E1164" s="24"/>
    </row>
    <row r="1165">
      <c r="B1165" s="25"/>
      <c r="C1165" s="22"/>
      <c r="D1165" s="23"/>
      <c r="E1165" s="24"/>
    </row>
    <row r="1166">
      <c r="B1166" s="25"/>
      <c r="C1166" s="22"/>
      <c r="D1166" s="23"/>
      <c r="E1166" s="24"/>
    </row>
    <row r="1167">
      <c r="B1167" s="25"/>
      <c r="C1167" s="22"/>
      <c r="D1167" s="23"/>
      <c r="E1167" s="24"/>
    </row>
    <row r="1168">
      <c r="B1168" s="25"/>
      <c r="C1168" s="22"/>
      <c r="D1168" s="23"/>
      <c r="E1168" s="24"/>
    </row>
    <row r="1169">
      <c r="B1169" s="25"/>
      <c r="C1169" s="22"/>
      <c r="D1169" s="23"/>
      <c r="E1169" s="24"/>
    </row>
    <row r="1170">
      <c r="B1170" s="25"/>
      <c r="C1170" s="22"/>
      <c r="D1170" s="23"/>
      <c r="E1170" s="24"/>
    </row>
    <row r="1171">
      <c r="B1171" s="25"/>
      <c r="C1171" s="22"/>
      <c r="D1171" s="23"/>
      <c r="E1171" s="24"/>
    </row>
    <row r="1172">
      <c r="B1172" s="25"/>
      <c r="C1172" s="22"/>
      <c r="D1172" s="23"/>
      <c r="E1172" s="24"/>
    </row>
    <row r="1173">
      <c r="B1173" s="25"/>
      <c r="C1173" s="22"/>
      <c r="D1173" s="23"/>
      <c r="E1173" s="24"/>
    </row>
    <row r="1174">
      <c r="B1174" s="25"/>
      <c r="C1174" s="22"/>
      <c r="D1174" s="23"/>
      <c r="E1174" s="24"/>
    </row>
    <row r="1175">
      <c r="B1175" s="25"/>
      <c r="C1175" s="22"/>
      <c r="D1175" s="23"/>
      <c r="E1175" s="24"/>
    </row>
    <row r="1176">
      <c r="B1176" s="25"/>
      <c r="C1176" s="22"/>
      <c r="D1176" s="23"/>
      <c r="E1176" s="24"/>
    </row>
    <row r="1177">
      <c r="B1177" s="25"/>
      <c r="C1177" s="22"/>
      <c r="D1177" s="23"/>
      <c r="E1177" s="24"/>
    </row>
    <row r="1178">
      <c r="B1178" s="25"/>
      <c r="C1178" s="22"/>
      <c r="D1178" s="23"/>
      <c r="E1178" s="24"/>
    </row>
    <row r="1179">
      <c r="B1179" s="25"/>
      <c r="C1179" s="22"/>
      <c r="D1179" s="23"/>
      <c r="E1179" s="24"/>
    </row>
    <row r="1180">
      <c r="B1180" s="25"/>
      <c r="C1180" s="22"/>
      <c r="D1180" s="23"/>
      <c r="E1180" s="24"/>
    </row>
    <row r="1181">
      <c r="B1181" s="25"/>
      <c r="C1181" s="22"/>
      <c r="D1181" s="23"/>
      <c r="E1181" s="24"/>
    </row>
    <row r="1182">
      <c r="B1182" s="25"/>
      <c r="C1182" s="22"/>
      <c r="D1182" s="23"/>
      <c r="E1182" s="24"/>
    </row>
    <row r="1183">
      <c r="B1183" s="25"/>
      <c r="C1183" s="22"/>
      <c r="D1183" s="23"/>
      <c r="E1183" s="24"/>
    </row>
    <row r="1184">
      <c r="B1184" s="25"/>
      <c r="C1184" s="22"/>
      <c r="D1184" s="23"/>
      <c r="E1184" s="24"/>
    </row>
    <row r="1185">
      <c r="B1185" s="25"/>
      <c r="C1185" s="22"/>
      <c r="D1185" s="23"/>
      <c r="E1185" s="24"/>
    </row>
    <row r="1186">
      <c r="B1186" s="25"/>
      <c r="C1186" s="22"/>
      <c r="D1186" s="23"/>
      <c r="E1186" s="24"/>
    </row>
    <row r="1187">
      <c r="B1187" s="25"/>
      <c r="C1187" s="22"/>
      <c r="D1187" s="23"/>
      <c r="E1187" s="24"/>
    </row>
    <row r="1188">
      <c r="B1188" s="25"/>
      <c r="C1188" s="22"/>
      <c r="D1188" s="23"/>
      <c r="E1188" s="24"/>
    </row>
    <row r="1189">
      <c r="B1189" s="25"/>
      <c r="C1189" s="22"/>
      <c r="D1189" s="23"/>
      <c r="E1189" s="24"/>
    </row>
    <row r="1190">
      <c r="B1190" s="25"/>
      <c r="C1190" s="22"/>
      <c r="D1190" s="23"/>
      <c r="E1190" s="24"/>
    </row>
    <row r="1191">
      <c r="B1191" s="25"/>
      <c r="C1191" s="22"/>
      <c r="D1191" s="23"/>
      <c r="E1191" s="24"/>
    </row>
    <row r="1192">
      <c r="B1192" s="25"/>
      <c r="C1192" s="22"/>
      <c r="D1192" s="23"/>
      <c r="E1192" s="24"/>
    </row>
    <row r="1193">
      <c r="B1193" s="25"/>
      <c r="C1193" s="22"/>
      <c r="D1193" s="23"/>
      <c r="E1193" s="24"/>
    </row>
    <row r="1194">
      <c r="B1194" s="25"/>
      <c r="C1194" s="22"/>
      <c r="D1194" s="23"/>
      <c r="E1194" s="24"/>
    </row>
    <row r="1195">
      <c r="B1195" s="25"/>
      <c r="C1195" s="22"/>
      <c r="D1195" s="23"/>
      <c r="E1195" s="24"/>
    </row>
    <row r="1196">
      <c r="B1196" s="25"/>
      <c r="C1196" s="22"/>
      <c r="D1196" s="23"/>
      <c r="E1196" s="24"/>
    </row>
    <row r="1197">
      <c r="B1197" s="25"/>
      <c r="C1197" s="22"/>
      <c r="D1197" s="23"/>
      <c r="E1197" s="24"/>
    </row>
    <row r="1198">
      <c r="B1198" s="25"/>
      <c r="C1198" s="22"/>
      <c r="D1198" s="23"/>
      <c r="E1198" s="24"/>
    </row>
    <row r="1199">
      <c r="B1199" s="25"/>
      <c r="C1199" s="22"/>
      <c r="D1199" s="23"/>
      <c r="E1199" s="24"/>
    </row>
    <row r="1200">
      <c r="B1200" s="25"/>
      <c r="C1200" s="22"/>
      <c r="D1200" s="23"/>
      <c r="E1200" s="24"/>
    </row>
    <row r="1201">
      <c r="B1201" s="25"/>
      <c r="C1201" s="22"/>
      <c r="D1201" s="23"/>
      <c r="E1201" s="24"/>
    </row>
    <row r="1202">
      <c r="B1202" s="25"/>
      <c r="C1202" s="22"/>
      <c r="D1202" s="23"/>
      <c r="E1202" s="24"/>
    </row>
    <row r="1203">
      <c r="B1203" s="25"/>
      <c r="C1203" s="22"/>
      <c r="D1203" s="23"/>
      <c r="E1203" s="24"/>
    </row>
    <row r="1204">
      <c r="B1204" s="25"/>
      <c r="C1204" s="22"/>
      <c r="D1204" s="23"/>
      <c r="E1204" s="24"/>
    </row>
    <row r="1205">
      <c r="B1205" s="25"/>
      <c r="C1205" s="22"/>
      <c r="D1205" s="23"/>
      <c r="E1205" s="24"/>
    </row>
    <row r="1206">
      <c r="B1206" s="25"/>
      <c r="C1206" s="22"/>
      <c r="D1206" s="23"/>
      <c r="E1206" s="24"/>
    </row>
    <row r="1207">
      <c r="B1207" s="25"/>
      <c r="C1207" s="22"/>
      <c r="D1207" s="23"/>
      <c r="E1207" s="24"/>
    </row>
    <row r="1208">
      <c r="B1208" s="25"/>
      <c r="C1208" s="22"/>
      <c r="D1208" s="23"/>
      <c r="E1208" s="24"/>
    </row>
    <row r="1209">
      <c r="B1209" s="25"/>
      <c r="C1209" s="22"/>
      <c r="D1209" s="23"/>
      <c r="E1209" s="24"/>
    </row>
    <row r="1210">
      <c r="B1210" s="25"/>
      <c r="C1210" s="22"/>
      <c r="D1210" s="23"/>
      <c r="E1210" s="24"/>
    </row>
    <row r="1211">
      <c r="B1211" s="25"/>
      <c r="C1211" s="22"/>
      <c r="D1211" s="23"/>
      <c r="E1211" s="24"/>
    </row>
    <row r="1212">
      <c r="B1212" s="25"/>
      <c r="C1212" s="22"/>
      <c r="D1212" s="23"/>
      <c r="E1212" s="24"/>
    </row>
    <row r="1213">
      <c r="B1213" s="25"/>
      <c r="C1213" s="22"/>
      <c r="D1213" s="23"/>
      <c r="E1213" s="24"/>
    </row>
    <row r="1214">
      <c r="B1214" s="25"/>
      <c r="C1214" s="22"/>
      <c r="D1214" s="23"/>
      <c r="E1214" s="24"/>
    </row>
    <row r="1215">
      <c r="B1215" s="25"/>
      <c r="C1215" s="22"/>
      <c r="D1215" s="23"/>
      <c r="E1215" s="24"/>
    </row>
    <row r="1216">
      <c r="B1216" s="25"/>
      <c r="C1216" s="22"/>
      <c r="D1216" s="23"/>
      <c r="E1216" s="24"/>
    </row>
    <row r="1217">
      <c r="B1217" s="25"/>
      <c r="C1217" s="22"/>
      <c r="D1217" s="23"/>
      <c r="E1217" s="24"/>
    </row>
    <row r="1218">
      <c r="B1218" s="25"/>
      <c r="C1218" s="22"/>
      <c r="D1218" s="23"/>
      <c r="E1218" s="24"/>
    </row>
    <row r="1219">
      <c r="B1219" s="25"/>
      <c r="C1219" s="22"/>
      <c r="D1219" s="23"/>
      <c r="E1219" s="24"/>
    </row>
    <row r="1220">
      <c r="B1220" s="25"/>
      <c r="C1220" s="22"/>
      <c r="D1220" s="23"/>
      <c r="E1220" s="24"/>
    </row>
    <row r="1221">
      <c r="B1221" s="25"/>
      <c r="C1221" s="22"/>
      <c r="D1221" s="23"/>
      <c r="E1221" s="24"/>
    </row>
    <row r="1222">
      <c r="B1222" s="25"/>
      <c r="C1222" s="22"/>
      <c r="D1222" s="23"/>
      <c r="E1222" s="24"/>
    </row>
    <row r="1223">
      <c r="B1223" s="25"/>
      <c r="C1223" s="22"/>
      <c r="D1223" s="23"/>
      <c r="E1223" s="24"/>
    </row>
    <row r="1224">
      <c r="B1224" s="25"/>
      <c r="C1224" s="22"/>
      <c r="D1224" s="23"/>
      <c r="E1224" s="24"/>
    </row>
    <row r="1225">
      <c r="B1225" s="25"/>
      <c r="C1225" s="22"/>
      <c r="D1225" s="23"/>
      <c r="E1225" s="24"/>
    </row>
    <row r="1226">
      <c r="B1226" s="25"/>
      <c r="C1226" s="22"/>
      <c r="D1226" s="23"/>
      <c r="E1226" s="24"/>
    </row>
    <row r="1227">
      <c r="B1227" s="25"/>
      <c r="C1227" s="22"/>
      <c r="D1227" s="23"/>
      <c r="E1227" s="24"/>
    </row>
    <row r="1228">
      <c r="B1228" s="25"/>
      <c r="C1228" s="22"/>
      <c r="D1228" s="23"/>
      <c r="E1228" s="24"/>
    </row>
    <row r="1229">
      <c r="B1229" s="25"/>
      <c r="C1229" s="22"/>
      <c r="D1229" s="23"/>
      <c r="E1229" s="24"/>
    </row>
    <row r="1230">
      <c r="B1230" s="25"/>
      <c r="C1230" s="22"/>
      <c r="D1230" s="23"/>
      <c r="E1230" s="24"/>
    </row>
    <row r="1231">
      <c r="B1231" s="25"/>
      <c r="C1231" s="22"/>
      <c r="D1231" s="23"/>
      <c r="E1231" s="24"/>
    </row>
    <row r="1232">
      <c r="B1232" s="25"/>
      <c r="C1232" s="22"/>
      <c r="D1232" s="23"/>
      <c r="E1232" s="24"/>
    </row>
    <row r="1233">
      <c r="B1233" s="25"/>
      <c r="C1233" s="22"/>
      <c r="D1233" s="23"/>
      <c r="E1233" s="24"/>
    </row>
    <row r="1234">
      <c r="B1234" s="25"/>
      <c r="C1234" s="22"/>
      <c r="D1234" s="23"/>
      <c r="E1234" s="24"/>
    </row>
    <row r="1235">
      <c r="B1235" s="25"/>
      <c r="C1235" s="22"/>
      <c r="D1235" s="23"/>
      <c r="E1235" s="24"/>
    </row>
    <row r="1236">
      <c r="B1236" s="25"/>
      <c r="C1236" s="22"/>
      <c r="D1236" s="23"/>
      <c r="E1236" s="24"/>
    </row>
    <row r="1237">
      <c r="B1237" s="25"/>
      <c r="C1237" s="22"/>
      <c r="D1237" s="23"/>
      <c r="E1237" s="24"/>
    </row>
    <row r="1238">
      <c r="B1238" s="25"/>
      <c r="C1238" s="22"/>
      <c r="D1238" s="23"/>
      <c r="E1238" s="24"/>
    </row>
    <row r="1239">
      <c r="B1239" s="25"/>
      <c r="C1239" s="22"/>
      <c r="D1239" s="23"/>
      <c r="E1239" s="24"/>
    </row>
    <row r="1240">
      <c r="B1240" s="25"/>
      <c r="C1240" s="22"/>
      <c r="D1240" s="23"/>
      <c r="E1240" s="24"/>
    </row>
    <row r="1241">
      <c r="B1241" s="25"/>
      <c r="C1241" s="22"/>
      <c r="D1241" s="23"/>
      <c r="E1241" s="24"/>
    </row>
    <row r="1242">
      <c r="B1242" s="25"/>
      <c r="C1242" s="22"/>
      <c r="D1242" s="23"/>
      <c r="E1242" s="24"/>
    </row>
    <row r="1243">
      <c r="B1243" s="25"/>
      <c r="C1243" s="22"/>
      <c r="D1243" s="23"/>
      <c r="E1243" s="24"/>
    </row>
    <row r="1244">
      <c r="B1244" s="25"/>
      <c r="C1244" s="22"/>
      <c r="D1244" s="23"/>
      <c r="E1244" s="24"/>
    </row>
    <row r="1245">
      <c r="B1245" s="25"/>
      <c r="C1245" s="22"/>
      <c r="D1245" s="23"/>
      <c r="E1245" s="24"/>
    </row>
    <row r="1246">
      <c r="B1246" s="25"/>
      <c r="C1246" s="22"/>
      <c r="D1246" s="23"/>
      <c r="E1246" s="24"/>
    </row>
    <row r="1247">
      <c r="B1247" s="25"/>
      <c r="C1247" s="22"/>
      <c r="D1247" s="23"/>
      <c r="E1247" s="24"/>
    </row>
    <row r="1248">
      <c r="B1248" s="25"/>
      <c r="C1248" s="22"/>
      <c r="D1248" s="23"/>
      <c r="E1248" s="24"/>
    </row>
    <row r="1249">
      <c r="B1249" s="25"/>
      <c r="C1249" s="22"/>
      <c r="D1249" s="23"/>
      <c r="E1249" s="24"/>
    </row>
    <row r="1250">
      <c r="B1250" s="25"/>
      <c r="C1250" s="22"/>
      <c r="D1250" s="23"/>
      <c r="E1250" s="24"/>
    </row>
    <row r="1251">
      <c r="B1251" s="25"/>
      <c r="C1251" s="22"/>
      <c r="D1251" s="23"/>
      <c r="E1251" s="24"/>
    </row>
    <row r="1252">
      <c r="B1252" s="25"/>
      <c r="C1252" s="22"/>
      <c r="D1252" s="23"/>
      <c r="E1252" s="24"/>
    </row>
    <row r="1253">
      <c r="B1253" s="25"/>
      <c r="C1253" s="22"/>
      <c r="D1253" s="23"/>
      <c r="E1253" s="24"/>
    </row>
    <row r="1254">
      <c r="B1254" s="25"/>
      <c r="C1254" s="22"/>
      <c r="D1254" s="23"/>
      <c r="E1254" s="24"/>
    </row>
    <row r="1255">
      <c r="B1255" s="25"/>
      <c r="C1255" s="22"/>
      <c r="D1255" s="23"/>
      <c r="E1255" s="24"/>
    </row>
    <row r="1256">
      <c r="B1256" s="25"/>
      <c r="C1256" s="22"/>
      <c r="D1256" s="23"/>
      <c r="E1256" s="24"/>
    </row>
    <row r="1257">
      <c r="B1257" s="25"/>
      <c r="C1257" s="22"/>
      <c r="D1257" s="23"/>
      <c r="E1257" s="24"/>
    </row>
    <row r="1258">
      <c r="B1258" s="25"/>
      <c r="C1258" s="22"/>
      <c r="D1258" s="23"/>
      <c r="E1258" s="24"/>
    </row>
    <row r="1259">
      <c r="B1259" s="25"/>
      <c r="C1259" s="22"/>
      <c r="D1259" s="23"/>
      <c r="E1259" s="24"/>
    </row>
    <row r="1260">
      <c r="B1260" s="25"/>
      <c r="C1260" s="22"/>
      <c r="D1260" s="23"/>
      <c r="E1260" s="24"/>
    </row>
    <row r="1261">
      <c r="B1261" s="25"/>
      <c r="C1261" s="22"/>
      <c r="D1261" s="23"/>
      <c r="E1261" s="24"/>
    </row>
    <row r="1262">
      <c r="B1262" s="25"/>
      <c r="C1262" s="22"/>
      <c r="D1262" s="23"/>
      <c r="E1262" s="24"/>
    </row>
    <row r="1263">
      <c r="B1263" s="25"/>
      <c r="C1263" s="22"/>
      <c r="D1263" s="23"/>
      <c r="E1263" s="24"/>
    </row>
    <row r="1264">
      <c r="B1264" s="25"/>
      <c r="C1264" s="22"/>
      <c r="D1264" s="23"/>
      <c r="E1264" s="24"/>
    </row>
    <row r="1265">
      <c r="B1265" s="25"/>
      <c r="C1265" s="22"/>
      <c r="D1265" s="23"/>
      <c r="E1265" s="24"/>
    </row>
    <row r="1266">
      <c r="B1266" s="25"/>
      <c r="C1266" s="22"/>
      <c r="D1266" s="23"/>
      <c r="E1266" s="24"/>
    </row>
    <row r="1267">
      <c r="B1267" s="25"/>
      <c r="C1267" s="22"/>
      <c r="D1267" s="23"/>
      <c r="E1267" s="24"/>
    </row>
    <row r="1268">
      <c r="B1268" s="25"/>
      <c r="C1268" s="22"/>
      <c r="D1268" s="23"/>
      <c r="E1268" s="24"/>
    </row>
    <row r="1269">
      <c r="B1269" s="25"/>
      <c r="C1269" s="22"/>
      <c r="D1269" s="23"/>
      <c r="E1269" s="24"/>
    </row>
    <row r="1270">
      <c r="B1270" s="25"/>
      <c r="C1270" s="22"/>
      <c r="D1270" s="23"/>
      <c r="E1270" s="24"/>
    </row>
    <row r="1271">
      <c r="B1271" s="25"/>
      <c r="C1271" s="22"/>
      <c r="D1271" s="23"/>
      <c r="E1271" s="24"/>
    </row>
    <row r="1272">
      <c r="B1272" s="25"/>
      <c r="C1272" s="22"/>
      <c r="D1272" s="23"/>
      <c r="E1272" s="24"/>
    </row>
    <row r="1273">
      <c r="B1273" s="25"/>
      <c r="C1273" s="22"/>
      <c r="D1273" s="23"/>
      <c r="E1273" s="24"/>
    </row>
    <row r="1274">
      <c r="B1274" s="25"/>
      <c r="C1274" s="22"/>
      <c r="D1274" s="23"/>
      <c r="E1274" s="24"/>
    </row>
    <row r="1275">
      <c r="B1275" s="25"/>
      <c r="C1275" s="22"/>
      <c r="D1275" s="23"/>
      <c r="E1275" s="24"/>
    </row>
    <row r="1276">
      <c r="B1276" s="25"/>
      <c r="C1276" s="22"/>
      <c r="D1276" s="23"/>
      <c r="E1276" s="24"/>
    </row>
    <row r="1277">
      <c r="B1277" s="25"/>
      <c r="C1277" s="22"/>
      <c r="D1277" s="23"/>
      <c r="E1277" s="24"/>
    </row>
    <row r="1278">
      <c r="B1278" s="25"/>
      <c r="C1278" s="22"/>
      <c r="D1278" s="23"/>
      <c r="E1278" s="24"/>
    </row>
    <row r="1279">
      <c r="B1279" s="25"/>
      <c r="C1279" s="22"/>
      <c r="D1279" s="23"/>
      <c r="E1279" s="24"/>
    </row>
    <row r="1280">
      <c r="B1280" s="25"/>
      <c r="C1280" s="22"/>
      <c r="D1280" s="23"/>
      <c r="E1280" s="24"/>
    </row>
    <row r="1281">
      <c r="B1281" s="25"/>
      <c r="C1281" s="22"/>
      <c r="D1281" s="23"/>
      <c r="E1281" s="24"/>
    </row>
    <row r="1282">
      <c r="B1282" s="25"/>
      <c r="C1282" s="22"/>
      <c r="D1282" s="23"/>
      <c r="E1282" s="24"/>
    </row>
    <row r="1283">
      <c r="B1283" s="25"/>
      <c r="C1283" s="22"/>
      <c r="D1283" s="23"/>
      <c r="E1283" s="24"/>
    </row>
    <row r="1284">
      <c r="B1284" s="25"/>
      <c r="C1284" s="22"/>
      <c r="D1284" s="23"/>
      <c r="E1284" s="24"/>
    </row>
    <row r="1285">
      <c r="B1285" s="25"/>
      <c r="C1285" s="22"/>
      <c r="D1285" s="23"/>
      <c r="E1285" s="24"/>
    </row>
    <row r="1286">
      <c r="B1286" s="25"/>
      <c r="C1286" s="22"/>
      <c r="D1286" s="23"/>
      <c r="E1286" s="24"/>
    </row>
    <row r="1287">
      <c r="B1287" s="25"/>
      <c r="C1287" s="22"/>
      <c r="D1287" s="23"/>
      <c r="E1287" s="24"/>
    </row>
    <row r="1288">
      <c r="B1288" s="25"/>
      <c r="C1288" s="22"/>
      <c r="D1288" s="23"/>
      <c r="E1288" s="24"/>
    </row>
    <row r="1289">
      <c r="B1289" s="25"/>
      <c r="C1289" s="22"/>
      <c r="D1289" s="23"/>
      <c r="E1289" s="24"/>
    </row>
    <row r="1290">
      <c r="B1290" s="25"/>
      <c r="C1290" s="22"/>
      <c r="D1290" s="23"/>
      <c r="E1290" s="24"/>
    </row>
    <row r="1291">
      <c r="B1291" s="25"/>
      <c r="C1291" s="22"/>
      <c r="D1291" s="23"/>
      <c r="E1291" s="24"/>
    </row>
    <row r="1292">
      <c r="B1292" s="25"/>
      <c r="C1292" s="22"/>
      <c r="D1292" s="23"/>
      <c r="E1292" s="24"/>
    </row>
    <row r="1293">
      <c r="B1293" s="25"/>
      <c r="C1293" s="22"/>
      <c r="D1293" s="23"/>
      <c r="E1293" s="24"/>
    </row>
    <row r="1294">
      <c r="B1294" s="25"/>
      <c r="C1294" s="22"/>
      <c r="D1294" s="23"/>
      <c r="E1294" s="24"/>
    </row>
    <row r="1295">
      <c r="B1295" s="25"/>
      <c r="C1295" s="22"/>
      <c r="D1295" s="23"/>
      <c r="E1295" s="24"/>
    </row>
    <row r="1296">
      <c r="B1296" s="25"/>
      <c r="C1296" s="22"/>
      <c r="D1296" s="23"/>
      <c r="E1296" s="24"/>
    </row>
    <row r="1297">
      <c r="B1297" s="25"/>
      <c r="C1297" s="22"/>
      <c r="D1297" s="23"/>
      <c r="E1297" s="24"/>
    </row>
    <row r="1298">
      <c r="B1298" s="25"/>
      <c r="C1298" s="22"/>
      <c r="D1298" s="23"/>
      <c r="E1298" s="24"/>
    </row>
    <row r="1299">
      <c r="B1299" s="25"/>
      <c r="C1299" s="22"/>
      <c r="D1299" s="23"/>
      <c r="E1299" s="24"/>
    </row>
    <row r="1300">
      <c r="B1300" s="25"/>
      <c r="C1300" s="22"/>
      <c r="D1300" s="23"/>
      <c r="E1300" s="24"/>
    </row>
    <row r="1301">
      <c r="B1301" s="25"/>
      <c r="C1301" s="22"/>
      <c r="D1301" s="23"/>
      <c r="E1301" s="24"/>
    </row>
    <row r="1302">
      <c r="B1302" s="25"/>
      <c r="C1302" s="22"/>
      <c r="D1302" s="23"/>
      <c r="E1302" s="24"/>
    </row>
    <row r="1303">
      <c r="B1303" s="25"/>
      <c r="C1303" s="22"/>
      <c r="D1303" s="23"/>
      <c r="E1303" s="24"/>
    </row>
    <row r="1304">
      <c r="B1304" s="25"/>
      <c r="C1304" s="22"/>
      <c r="D1304" s="23"/>
      <c r="E1304" s="24"/>
    </row>
    <row r="1305">
      <c r="B1305" s="25"/>
      <c r="C1305" s="22"/>
      <c r="D1305" s="23"/>
      <c r="E1305" s="24"/>
    </row>
    <row r="1306">
      <c r="B1306" s="25"/>
      <c r="C1306" s="22"/>
      <c r="D1306" s="23"/>
      <c r="E1306" s="24"/>
    </row>
    <row r="1307">
      <c r="B1307" s="25"/>
      <c r="C1307" s="22"/>
      <c r="D1307" s="23"/>
      <c r="E1307" s="24"/>
    </row>
    <row r="1308">
      <c r="B1308" s="25"/>
      <c r="C1308" s="22"/>
      <c r="D1308" s="23"/>
      <c r="E1308" s="24"/>
    </row>
    <row r="1309">
      <c r="B1309" s="25"/>
      <c r="C1309" s="22"/>
      <c r="D1309" s="23"/>
      <c r="E1309" s="24"/>
    </row>
    <row r="1310">
      <c r="B1310" s="25"/>
      <c r="C1310" s="22"/>
      <c r="D1310" s="23"/>
      <c r="E1310" s="24"/>
    </row>
    <row r="1311">
      <c r="B1311" s="25"/>
      <c r="C1311" s="22"/>
      <c r="D1311" s="23"/>
      <c r="E1311" s="24"/>
    </row>
    <row r="1312">
      <c r="B1312" s="25"/>
      <c r="C1312" s="22"/>
      <c r="D1312" s="23"/>
      <c r="E1312" s="24"/>
    </row>
    <row r="1313">
      <c r="B1313" s="25"/>
      <c r="C1313" s="22"/>
      <c r="D1313" s="23"/>
      <c r="E1313" s="24"/>
    </row>
    <row r="1314">
      <c r="B1314" s="25"/>
      <c r="C1314" s="22"/>
      <c r="D1314" s="23"/>
      <c r="E1314" s="24"/>
    </row>
    <row r="1315">
      <c r="B1315" s="25"/>
      <c r="C1315" s="22"/>
      <c r="D1315" s="23"/>
      <c r="E1315" s="24"/>
    </row>
    <row r="1316">
      <c r="B1316" s="25"/>
      <c r="C1316" s="22"/>
      <c r="D1316" s="23"/>
      <c r="E1316" s="24"/>
    </row>
    <row r="1317">
      <c r="B1317" s="25"/>
      <c r="C1317" s="22"/>
      <c r="D1317" s="23"/>
      <c r="E1317" s="24"/>
    </row>
    <row r="1318">
      <c r="B1318" s="25"/>
      <c r="C1318" s="22"/>
      <c r="D1318" s="23"/>
      <c r="E1318" s="24"/>
    </row>
    <row r="1319">
      <c r="B1319" s="25"/>
      <c r="C1319" s="22"/>
      <c r="D1319" s="23"/>
      <c r="E1319" s="24"/>
    </row>
    <row r="1320">
      <c r="B1320" s="25"/>
      <c r="C1320" s="22"/>
      <c r="D1320" s="23"/>
      <c r="E1320" s="24"/>
    </row>
    <row r="1321">
      <c r="B1321" s="25"/>
      <c r="C1321" s="22"/>
      <c r="D1321" s="23"/>
      <c r="E1321" s="24"/>
    </row>
    <row r="1322">
      <c r="B1322" s="25"/>
      <c r="C1322" s="22"/>
      <c r="D1322" s="23"/>
      <c r="E1322" s="24"/>
    </row>
    <row r="1323">
      <c r="B1323" s="25"/>
      <c r="C1323" s="22"/>
      <c r="D1323" s="23"/>
      <c r="E1323" s="24"/>
    </row>
    <row r="1324">
      <c r="B1324" s="25"/>
      <c r="C1324" s="22"/>
      <c r="D1324" s="23"/>
      <c r="E1324" s="24"/>
    </row>
    <row r="1325">
      <c r="B1325" s="25"/>
      <c r="C1325" s="22"/>
      <c r="D1325" s="23"/>
      <c r="E1325" s="24"/>
    </row>
    <row r="1326">
      <c r="B1326" s="25"/>
      <c r="C1326" s="22"/>
      <c r="D1326" s="23"/>
      <c r="E1326" s="24"/>
    </row>
    <row r="1327">
      <c r="B1327" s="25"/>
      <c r="C1327" s="22"/>
      <c r="D1327" s="23"/>
      <c r="E1327" s="24"/>
    </row>
    <row r="1328">
      <c r="B1328" s="25"/>
      <c r="C1328" s="22"/>
      <c r="D1328" s="23"/>
      <c r="E1328" s="24"/>
    </row>
    <row r="1329">
      <c r="B1329" s="25"/>
      <c r="C1329" s="22"/>
      <c r="D1329" s="23"/>
      <c r="E1329" s="24"/>
    </row>
    <row r="1330">
      <c r="B1330" s="25"/>
      <c r="C1330" s="22"/>
      <c r="D1330" s="23"/>
      <c r="E1330" s="24"/>
    </row>
    <row r="1331">
      <c r="B1331" s="25"/>
      <c r="C1331" s="22"/>
      <c r="D1331" s="23"/>
      <c r="E1331" s="24"/>
    </row>
    <row r="1332">
      <c r="B1332" s="25"/>
      <c r="C1332" s="22"/>
      <c r="D1332" s="23"/>
      <c r="E1332" s="24"/>
    </row>
    <row r="1333">
      <c r="B1333" s="25"/>
      <c r="C1333" s="22"/>
      <c r="D1333" s="23"/>
      <c r="E1333" s="24"/>
    </row>
    <row r="1334">
      <c r="B1334" s="25"/>
      <c r="C1334" s="22"/>
      <c r="D1334" s="23"/>
      <c r="E1334" s="24"/>
    </row>
    <row r="1335">
      <c r="B1335" s="25"/>
      <c r="C1335" s="22"/>
      <c r="D1335" s="23"/>
      <c r="E1335" s="24"/>
    </row>
    <row r="1336">
      <c r="B1336" s="25"/>
      <c r="C1336" s="22"/>
      <c r="D1336" s="23"/>
      <c r="E1336" s="24"/>
    </row>
    <row r="1337">
      <c r="B1337" s="25"/>
      <c r="C1337" s="22"/>
      <c r="D1337" s="23"/>
      <c r="E1337" s="24"/>
    </row>
    <row r="1338">
      <c r="B1338" s="25"/>
      <c r="C1338" s="22"/>
      <c r="D1338" s="23"/>
      <c r="E1338" s="24"/>
    </row>
    <row r="1339">
      <c r="B1339" s="25"/>
      <c r="C1339" s="22"/>
      <c r="D1339" s="23"/>
      <c r="E1339" s="24"/>
    </row>
    <row r="1340">
      <c r="B1340" s="25"/>
      <c r="C1340" s="22"/>
      <c r="D1340" s="23"/>
      <c r="E1340" s="24"/>
    </row>
    <row r="1341">
      <c r="B1341" s="25"/>
      <c r="C1341" s="22"/>
      <c r="D1341" s="23"/>
      <c r="E1341" s="24"/>
    </row>
    <row r="1342">
      <c r="B1342" s="25"/>
      <c r="C1342" s="22"/>
      <c r="D1342" s="23"/>
      <c r="E1342" s="24"/>
    </row>
    <row r="1343">
      <c r="B1343" s="25"/>
      <c r="C1343" s="22"/>
      <c r="D1343" s="23"/>
      <c r="E1343" s="24"/>
    </row>
    <row r="1344">
      <c r="B1344" s="25"/>
      <c r="C1344" s="22"/>
      <c r="D1344" s="23"/>
      <c r="E1344" s="24"/>
    </row>
    <row r="1345">
      <c r="B1345" s="25"/>
      <c r="C1345" s="22"/>
      <c r="D1345" s="23"/>
      <c r="E1345" s="24"/>
    </row>
    <row r="1346">
      <c r="B1346" s="25"/>
      <c r="C1346" s="22"/>
      <c r="D1346" s="23"/>
      <c r="E1346" s="24"/>
    </row>
    <row r="1347">
      <c r="B1347" s="25"/>
      <c r="C1347" s="22"/>
      <c r="D1347" s="23"/>
      <c r="E1347" s="24"/>
    </row>
    <row r="1348">
      <c r="B1348" s="25"/>
      <c r="C1348" s="22"/>
      <c r="D1348" s="23"/>
      <c r="E1348" s="24"/>
    </row>
    <row r="1349">
      <c r="B1349" s="25"/>
      <c r="C1349" s="22"/>
      <c r="D1349" s="23"/>
      <c r="E1349" s="24"/>
    </row>
    <row r="1350">
      <c r="B1350" s="25"/>
      <c r="C1350" s="22"/>
      <c r="D1350" s="23"/>
      <c r="E1350" s="24"/>
    </row>
    <row r="1351">
      <c r="B1351" s="25"/>
      <c r="C1351" s="22"/>
      <c r="D1351" s="23"/>
      <c r="E1351" s="24"/>
    </row>
    <row r="1352">
      <c r="B1352" s="25"/>
      <c r="C1352" s="22"/>
      <c r="D1352" s="23"/>
      <c r="E1352" s="24"/>
    </row>
    <row r="1353">
      <c r="B1353" s="25"/>
      <c r="C1353" s="22"/>
      <c r="D1353" s="23"/>
      <c r="E1353" s="24"/>
    </row>
    <row r="1354">
      <c r="B1354" s="25"/>
      <c r="C1354" s="22"/>
      <c r="D1354" s="23"/>
      <c r="E1354" s="24"/>
    </row>
    <row r="1355">
      <c r="B1355" s="25"/>
      <c r="C1355" s="22"/>
      <c r="D1355" s="23"/>
      <c r="E1355" s="24"/>
    </row>
    <row r="1356">
      <c r="B1356" s="25"/>
      <c r="C1356" s="22"/>
      <c r="D1356" s="23"/>
      <c r="E1356" s="24"/>
    </row>
    <row r="1357">
      <c r="B1357" s="25"/>
      <c r="C1357" s="22"/>
      <c r="D1357" s="23"/>
      <c r="E1357" s="24"/>
    </row>
    <row r="1358">
      <c r="B1358" s="25"/>
      <c r="C1358" s="22"/>
      <c r="D1358" s="23"/>
      <c r="E1358" s="24"/>
    </row>
    <row r="1359">
      <c r="B1359" s="25"/>
      <c r="C1359" s="22"/>
      <c r="D1359" s="23"/>
      <c r="E1359" s="24"/>
    </row>
    <row r="1360">
      <c r="B1360" s="25"/>
      <c r="C1360" s="22"/>
      <c r="D1360" s="23"/>
      <c r="E1360" s="24"/>
    </row>
    <row r="1361">
      <c r="B1361" s="25"/>
      <c r="C1361" s="22"/>
      <c r="D1361" s="23"/>
      <c r="E1361" s="24"/>
    </row>
    <row r="1362">
      <c r="B1362" s="25"/>
      <c r="C1362" s="22"/>
      <c r="D1362" s="23"/>
      <c r="E1362" s="24"/>
    </row>
    <row r="1363">
      <c r="B1363" s="25"/>
      <c r="C1363" s="22"/>
      <c r="D1363" s="23"/>
      <c r="E1363" s="24"/>
    </row>
    <row r="1364">
      <c r="B1364" s="25"/>
      <c r="C1364" s="22"/>
      <c r="D1364" s="23"/>
      <c r="E1364" s="24"/>
    </row>
    <row r="1365">
      <c r="B1365" s="25"/>
      <c r="C1365" s="22"/>
      <c r="D1365" s="23"/>
      <c r="E1365" s="24"/>
    </row>
    <row r="1366">
      <c r="B1366" s="25"/>
      <c r="C1366" s="22"/>
      <c r="D1366" s="23"/>
      <c r="E1366" s="24"/>
    </row>
    <row r="1367">
      <c r="B1367" s="25"/>
      <c r="C1367" s="22"/>
      <c r="D1367" s="23"/>
      <c r="E1367" s="24"/>
    </row>
    <row r="1368">
      <c r="B1368" s="25"/>
      <c r="C1368" s="22"/>
      <c r="D1368" s="23"/>
      <c r="E1368" s="24"/>
    </row>
    <row r="1369">
      <c r="B1369" s="25"/>
      <c r="C1369" s="22"/>
      <c r="D1369" s="23"/>
      <c r="E1369" s="24"/>
    </row>
    <row r="1370">
      <c r="B1370" s="25"/>
      <c r="C1370" s="22"/>
      <c r="D1370" s="23"/>
      <c r="E1370" s="24"/>
    </row>
    <row r="1371">
      <c r="B1371" s="25"/>
      <c r="C1371" s="22"/>
      <c r="D1371" s="23"/>
      <c r="E1371" s="24"/>
    </row>
    <row r="1372">
      <c r="B1372" s="25"/>
      <c r="C1372" s="22"/>
      <c r="D1372" s="23"/>
      <c r="E1372" s="24"/>
    </row>
    <row r="1373">
      <c r="B1373" s="25"/>
      <c r="C1373" s="22"/>
      <c r="D1373" s="23"/>
      <c r="E1373" s="24"/>
    </row>
    <row r="1374">
      <c r="B1374" s="25"/>
      <c r="C1374" s="22"/>
      <c r="D1374" s="23"/>
      <c r="E1374" s="24"/>
    </row>
    <row r="1375">
      <c r="B1375" s="25"/>
      <c r="C1375" s="22"/>
      <c r="D1375" s="23"/>
      <c r="E1375" s="24"/>
    </row>
    <row r="1376">
      <c r="B1376" s="25"/>
      <c r="C1376" s="22"/>
      <c r="D1376" s="23"/>
      <c r="E1376" s="24"/>
    </row>
    <row r="1377">
      <c r="B1377" s="25"/>
      <c r="C1377" s="22"/>
      <c r="D1377" s="23"/>
      <c r="E1377" s="24"/>
    </row>
    <row r="1378">
      <c r="B1378" s="25"/>
      <c r="C1378" s="22"/>
      <c r="D1378" s="23"/>
      <c r="E1378" s="24"/>
    </row>
    <row r="1379">
      <c r="B1379" s="25"/>
      <c r="C1379" s="22"/>
      <c r="D1379" s="23"/>
      <c r="E1379" s="24"/>
    </row>
    <row r="1380">
      <c r="B1380" s="25"/>
      <c r="C1380" s="22"/>
      <c r="D1380" s="23"/>
      <c r="E1380" s="24"/>
    </row>
    <row r="1381">
      <c r="B1381" s="25"/>
      <c r="C1381" s="22"/>
      <c r="D1381" s="23"/>
      <c r="E1381" s="24"/>
    </row>
    <row r="1382">
      <c r="B1382" s="25"/>
      <c r="C1382" s="22"/>
      <c r="D1382" s="23"/>
      <c r="E1382" s="24"/>
    </row>
    <row r="1383">
      <c r="B1383" s="25"/>
      <c r="C1383" s="22"/>
      <c r="D1383" s="23"/>
      <c r="E1383" s="24"/>
    </row>
    <row r="1384">
      <c r="B1384" s="25"/>
      <c r="C1384" s="22"/>
      <c r="D1384" s="23"/>
      <c r="E1384" s="24"/>
    </row>
    <row r="1385">
      <c r="B1385" s="25"/>
      <c r="C1385" s="22"/>
      <c r="D1385" s="23"/>
      <c r="E1385" s="24"/>
    </row>
    <row r="1386">
      <c r="B1386" s="25"/>
      <c r="C1386" s="22"/>
      <c r="D1386" s="23"/>
      <c r="E1386" s="24"/>
    </row>
    <row r="1387">
      <c r="B1387" s="25"/>
      <c r="C1387" s="22"/>
      <c r="D1387" s="23"/>
      <c r="E1387" s="24"/>
    </row>
    <row r="1388">
      <c r="B1388" s="25"/>
      <c r="C1388" s="22"/>
      <c r="D1388" s="23"/>
      <c r="E1388" s="24"/>
    </row>
    <row r="1389">
      <c r="B1389" s="25"/>
      <c r="C1389" s="22"/>
      <c r="D1389" s="23"/>
      <c r="E1389" s="24"/>
    </row>
    <row r="1390">
      <c r="B1390" s="25"/>
      <c r="C1390" s="22"/>
      <c r="D1390" s="23"/>
      <c r="E1390" s="24"/>
    </row>
    <row r="1391">
      <c r="B1391" s="25"/>
      <c r="C1391" s="22"/>
      <c r="D1391" s="23"/>
      <c r="E1391" s="24"/>
    </row>
    <row r="1392">
      <c r="B1392" s="25"/>
      <c r="C1392" s="22"/>
      <c r="D1392" s="23"/>
      <c r="E1392" s="24"/>
    </row>
    <row r="1393">
      <c r="B1393" s="25"/>
      <c r="C1393" s="22"/>
      <c r="D1393" s="23"/>
      <c r="E1393" s="24"/>
    </row>
    <row r="1394">
      <c r="B1394" s="25"/>
      <c r="C1394" s="22"/>
      <c r="D1394" s="23"/>
      <c r="E1394" s="24"/>
    </row>
    <row r="1395">
      <c r="B1395" s="25"/>
      <c r="C1395" s="22"/>
      <c r="D1395" s="23"/>
      <c r="E1395" s="24"/>
    </row>
    <row r="1396">
      <c r="B1396" s="25"/>
      <c r="C1396" s="22"/>
      <c r="D1396" s="23"/>
      <c r="E1396" s="24"/>
    </row>
    <row r="1397">
      <c r="B1397" s="25"/>
      <c r="C1397" s="22"/>
      <c r="D1397" s="23"/>
      <c r="E1397" s="24"/>
    </row>
    <row r="1398">
      <c r="B1398" s="25"/>
      <c r="C1398" s="22"/>
      <c r="D1398" s="23"/>
      <c r="E1398" s="24"/>
    </row>
    <row r="1399">
      <c r="B1399" s="25"/>
      <c r="C1399" s="22"/>
      <c r="D1399" s="23"/>
      <c r="E1399" s="24"/>
    </row>
    <row r="1400">
      <c r="B1400" s="25"/>
      <c r="C1400" s="22"/>
      <c r="D1400" s="23"/>
      <c r="E1400" s="24"/>
    </row>
    <row r="1401">
      <c r="B1401" s="25"/>
      <c r="C1401" s="22"/>
      <c r="D1401" s="23"/>
      <c r="E1401" s="24"/>
    </row>
    <row r="1402">
      <c r="B1402" s="25"/>
      <c r="C1402" s="22"/>
      <c r="D1402" s="23"/>
      <c r="E1402" s="24"/>
    </row>
    <row r="1403">
      <c r="B1403" s="25"/>
      <c r="C1403" s="22"/>
      <c r="D1403" s="23"/>
      <c r="E1403" s="24"/>
    </row>
    <row r="1404">
      <c r="B1404" s="25"/>
      <c r="C1404" s="22"/>
      <c r="D1404" s="23"/>
      <c r="E1404" s="24"/>
    </row>
    <row r="1405">
      <c r="B1405" s="25"/>
      <c r="C1405" s="22"/>
      <c r="D1405" s="23"/>
      <c r="E1405" s="24"/>
    </row>
    <row r="1406">
      <c r="B1406" s="25"/>
      <c r="C1406" s="22"/>
      <c r="D1406" s="23"/>
      <c r="E1406" s="24"/>
    </row>
    <row r="1407">
      <c r="B1407" s="25"/>
      <c r="C1407" s="22"/>
      <c r="D1407" s="23"/>
      <c r="E1407" s="24"/>
    </row>
    <row r="1408">
      <c r="B1408" s="25"/>
      <c r="C1408" s="22"/>
      <c r="D1408" s="23"/>
      <c r="E1408" s="24"/>
    </row>
    <row r="1409">
      <c r="B1409" s="25"/>
      <c r="C1409" s="22"/>
      <c r="D1409" s="23"/>
      <c r="E1409" s="24"/>
    </row>
    <row r="1410">
      <c r="B1410" s="25"/>
      <c r="C1410" s="22"/>
      <c r="D1410" s="23"/>
      <c r="E1410" s="24"/>
    </row>
    <row r="1411">
      <c r="B1411" s="25"/>
      <c r="C1411" s="22"/>
      <c r="D1411" s="23"/>
      <c r="E1411" s="24"/>
    </row>
    <row r="1412">
      <c r="B1412" s="25"/>
      <c r="C1412" s="22"/>
      <c r="D1412" s="23"/>
      <c r="E1412" s="24"/>
    </row>
    <row r="1413">
      <c r="B1413" s="25"/>
      <c r="C1413" s="22"/>
      <c r="D1413" s="23"/>
      <c r="E1413" s="24"/>
    </row>
    <row r="1414">
      <c r="B1414" s="25"/>
      <c r="C1414" s="22"/>
      <c r="D1414" s="23"/>
      <c r="E1414" s="24"/>
    </row>
    <row r="1415">
      <c r="B1415" s="25"/>
      <c r="C1415" s="22"/>
      <c r="D1415" s="23"/>
      <c r="E1415" s="24"/>
    </row>
    <row r="1416">
      <c r="B1416" s="25"/>
      <c r="C1416" s="22"/>
      <c r="D1416" s="23"/>
      <c r="E1416" s="24"/>
    </row>
    <row r="1417">
      <c r="B1417" s="25"/>
      <c r="C1417" s="22"/>
      <c r="D1417" s="23"/>
      <c r="E1417" s="24"/>
    </row>
    <row r="1418">
      <c r="B1418" s="25"/>
      <c r="C1418" s="22"/>
      <c r="D1418" s="23"/>
      <c r="E1418" s="24"/>
    </row>
    <row r="1419">
      <c r="B1419" s="25"/>
      <c r="C1419" s="22"/>
      <c r="D1419" s="23"/>
      <c r="E1419" s="24"/>
    </row>
    <row r="1420">
      <c r="B1420" s="25"/>
      <c r="C1420" s="22"/>
      <c r="D1420" s="23"/>
      <c r="E1420" s="24"/>
    </row>
    <row r="1421">
      <c r="B1421" s="25"/>
      <c r="C1421" s="22"/>
      <c r="D1421" s="23"/>
      <c r="E1421" s="24"/>
    </row>
    <row r="1422">
      <c r="B1422" s="25"/>
      <c r="C1422" s="22"/>
      <c r="D1422" s="23"/>
      <c r="E1422" s="24"/>
    </row>
    <row r="1423">
      <c r="B1423" s="25"/>
      <c r="C1423" s="22"/>
      <c r="D1423" s="23"/>
      <c r="E1423" s="24"/>
    </row>
    <row r="1424">
      <c r="B1424" s="25"/>
      <c r="C1424" s="22"/>
      <c r="D1424" s="23"/>
      <c r="E1424" s="24"/>
    </row>
    <row r="1425">
      <c r="B1425" s="25"/>
      <c r="C1425" s="22"/>
      <c r="D1425" s="23"/>
      <c r="E1425" s="24"/>
    </row>
    <row r="1426">
      <c r="B1426" s="25"/>
      <c r="C1426" s="22"/>
      <c r="D1426" s="23"/>
      <c r="E1426" s="24"/>
    </row>
    <row r="1427">
      <c r="B1427" s="25"/>
      <c r="C1427" s="22"/>
      <c r="D1427" s="23"/>
      <c r="E1427" s="24"/>
    </row>
    <row r="1428">
      <c r="B1428" s="25"/>
      <c r="C1428" s="22"/>
      <c r="D1428" s="23"/>
      <c r="E1428" s="24"/>
    </row>
    <row r="1429">
      <c r="B1429" s="25"/>
      <c r="C1429" s="22"/>
      <c r="D1429" s="23"/>
      <c r="E1429" s="24"/>
    </row>
    <row r="1430">
      <c r="B1430" s="25"/>
      <c r="C1430" s="22"/>
      <c r="D1430" s="23"/>
      <c r="E1430" s="24"/>
    </row>
    <row r="1431">
      <c r="B1431" s="25"/>
      <c r="C1431" s="22"/>
      <c r="D1431" s="23"/>
      <c r="E1431" s="24"/>
    </row>
    <row r="1432">
      <c r="B1432" s="25"/>
      <c r="C1432" s="22"/>
      <c r="D1432" s="23"/>
      <c r="E1432" s="24"/>
    </row>
    <row r="1433">
      <c r="B1433" s="25"/>
      <c r="C1433" s="22"/>
      <c r="D1433" s="23"/>
      <c r="E1433" s="24"/>
    </row>
    <row r="1434">
      <c r="B1434" s="25"/>
      <c r="C1434" s="22"/>
      <c r="D1434" s="23"/>
      <c r="E1434" s="24"/>
    </row>
    <row r="1435">
      <c r="B1435" s="25"/>
      <c r="C1435" s="22"/>
      <c r="D1435" s="23"/>
      <c r="E1435" s="24"/>
    </row>
    <row r="1436">
      <c r="B1436" s="25"/>
      <c r="C1436" s="22"/>
      <c r="D1436" s="23"/>
      <c r="E1436" s="24"/>
    </row>
    <row r="1437">
      <c r="B1437" s="25"/>
      <c r="C1437" s="22"/>
      <c r="D1437" s="23"/>
      <c r="E1437" s="24"/>
    </row>
    <row r="1438">
      <c r="B1438" s="25"/>
      <c r="C1438" s="22"/>
      <c r="D1438" s="23"/>
      <c r="E1438" s="24"/>
    </row>
    <row r="1439">
      <c r="B1439" s="25"/>
      <c r="C1439" s="22"/>
      <c r="D1439" s="23"/>
      <c r="E1439" s="24"/>
    </row>
    <row r="1440">
      <c r="B1440" s="25"/>
      <c r="C1440" s="22"/>
      <c r="D1440" s="23"/>
      <c r="E1440" s="24"/>
    </row>
    <row r="1441">
      <c r="B1441" s="25"/>
      <c r="C1441" s="22"/>
      <c r="D1441" s="23"/>
      <c r="E1441" s="24"/>
    </row>
    <row r="1442">
      <c r="B1442" s="25"/>
      <c r="C1442" s="22"/>
      <c r="D1442" s="23"/>
      <c r="E1442" s="24"/>
    </row>
    <row r="1443">
      <c r="B1443" s="25"/>
      <c r="C1443" s="22"/>
      <c r="D1443" s="23"/>
      <c r="E1443" s="24"/>
    </row>
    <row r="1444">
      <c r="B1444" s="25"/>
      <c r="C1444" s="22"/>
      <c r="D1444" s="23"/>
      <c r="E1444" s="24"/>
    </row>
    <row r="1445">
      <c r="B1445" s="25"/>
      <c r="C1445" s="22"/>
      <c r="D1445" s="23"/>
      <c r="E1445" s="24"/>
    </row>
    <row r="1446">
      <c r="B1446" s="25"/>
      <c r="C1446" s="22"/>
      <c r="D1446" s="23"/>
      <c r="E1446" s="24"/>
    </row>
    <row r="1447">
      <c r="B1447" s="25"/>
      <c r="C1447" s="22"/>
      <c r="D1447" s="23"/>
      <c r="E1447" s="24"/>
    </row>
    <row r="1448">
      <c r="B1448" s="25"/>
      <c r="C1448" s="22"/>
      <c r="D1448" s="23"/>
      <c r="E1448" s="24"/>
    </row>
    <row r="1449">
      <c r="B1449" s="25"/>
      <c r="C1449" s="22"/>
      <c r="D1449" s="23"/>
      <c r="E1449" s="24"/>
    </row>
    <row r="1450">
      <c r="B1450" s="25"/>
      <c r="C1450" s="22"/>
      <c r="D1450" s="23"/>
      <c r="E1450" s="24"/>
    </row>
    <row r="1451">
      <c r="B1451" s="25"/>
      <c r="C1451" s="22"/>
      <c r="D1451" s="23"/>
      <c r="E1451" s="24"/>
    </row>
    <row r="1452">
      <c r="B1452" s="25"/>
      <c r="C1452" s="22"/>
      <c r="D1452" s="23"/>
      <c r="E1452" s="24"/>
    </row>
    <row r="1453">
      <c r="B1453" s="25"/>
      <c r="C1453" s="22"/>
      <c r="D1453" s="23"/>
      <c r="E1453" s="24"/>
    </row>
    <row r="1454">
      <c r="B1454" s="25"/>
      <c r="C1454" s="22"/>
      <c r="D1454" s="23"/>
      <c r="E1454" s="24"/>
    </row>
    <row r="1455">
      <c r="B1455" s="25"/>
      <c r="C1455" s="22"/>
      <c r="D1455" s="23"/>
      <c r="E1455" s="24"/>
    </row>
    <row r="1456">
      <c r="B1456" s="25"/>
      <c r="C1456" s="22"/>
      <c r="D1456" s="23"/>
      <c r="E1456" s="24"/>
    </row>
    <row r="1457">
      <c r="B1457" s="25"/>
      <c r="C1457" s="22"/>
      <c r="D1457" s="23"/>
      <c r="E1457" s="24"/>
    </row>
    <row r="1458">
      <c r="B1458" s="25"/>
      <c r="C1458" s="22"/>
      <c r="D1458" s="23"/>
      <c r="E1458" s="24"/>
    </row>
    <row r="1459">
      <c r="B1459" s="25"/>
      <c r="C1459" s="22"/>
      <c r="D1459" s="23"/>
      <c r="E1459" s="24"/>
    </row>
    <row r="1460">
      <c r="B1460" s="25"/>
      <c r="C1460" s="22"/>
      <c r="D1460" s="23"/>
      <c r="E1460" s="24"/>
    </row>
    <row r="1461">
      <c r="B1461" s="25"/>
      <c r="C1461" s="22"/>
      <c r="D1461" s="23"/>
      <c r="E1461" s="24"/>
    </row>
    <row r="1462">
      <c r="B1462" s="25"/>
      <c r="C1462" s="22"/>
      <c r="D1462" s="23"/>
      <c r="E1462" s="24"/>
    </row>
    <row r="1463">
      <c r="B1463" s="25"/>
      <c r="C1463" s="22"/>
      <c r="D1463" s="23"/>
      <c r="E1463" s="24"/>
    </row>
    <row r="1464">
      <c r="B1464" s="25"/>
      <c r="C1464" s="22"/>
      <c r="D1464" s="23"/>
      <c r="E1464" s="24"/>
    </row>
    <row r="1465">
      <c r="B1465" s="25"/>
      <c r="C1465" s="22"/>
      <c r="D1465" s="23"/>
      <c r="E1465" s="24"/>
    </row>
    <row r="1466">
      <c r="B1466" s="25"/>
      <c r="C1466" s="22"/>
      <c r="D1466" s="23"/>
      <c r="E1466" s="24"/>
    </row>
    <row r="1467">
      <c r="B1467" s="25"/>
      <c r="C1467" s="22"/>
      <c r="D1467" s="23"/>
      <c r="E1467" s="24"/>
    </row>
    <row r="1468">
      <c r="B1468" s="25"/>
      <c r="C1468" s="22"/>
      <c r="D1468" s="23"/>
      <c r="E1468" s="24"/>
    </row>
    <row r="1469">
      <c r="B1469" s="25"/>
      <c r="C1469" s="22"/>
      <c r="D1469" s="23"/>
      <c r="E1469" s="24"/>
    </row>
    <row r="1470">
      <c r="B1470" s="25"/>
      <c r="C1470" s="22"/>
      <c r="D1470" s="23"/>
      <c r="E1470" s="24"/>
    </row>
    <row r="1471">
      <c r="B1471" s="25"/>
      <c r="C1471" s="22"/>
      <c r="D1471" s="23"/>
      <c r="E1471" s="24"/>
    </row>
    <row r="1472">
      <c r="B1472" s="25"/>
      <c r="C1472" s="22"/>
      <c r="D1472" s="23"/>
      <c r="E1472" s="24"/>
    </row>
    <row r="1473">
      <c r="B1473" s="25"/>
      <c r="C1473" s="22"/>
      <c r="D1473" s="23"/>
      <c r="E1473" s="24"/>
    </row>
    <row r="1474">
      <c r="B1474" s="25"/>
      <c r="C1474" s="22"/>
      <c r="D1474" s="23"/>
      <c r="E1474" s="24"/>
    </row>
    <row r="1475">
      <c r="B1475" s="25"/>
      <c r="C1475" s="22"/>
      <c r="D1475" s="23"/>
      <c r="E1475" s="24"/>
    </row>
    <row r="1476">
      <c r="B1476" s="25"/>
      <c r="C1476" s="22"/>
      <c r="D1476" s="23"/>
      <c r="E1476" s="24"/>
    </row>
    <row r="1477">
      <c r="B1477" s="25"/>
      <c r="C1477" s="22"/>
      <c r="D1477" s="23"/>
      <c r="E1477" s="24"/>
    </row>
    <row r="1478">
      <c r="B1478" s="25"/>
      <c r="C1478" s="22"/>
      <c r="D1478" s="23"/>
      <c r="E1478" s="24"/>
    </row>
    <row r="1479">
      <c r="B1479" s="25"/>
      <c r="C1479" s="22"/>
      <c r="D1479" s="23"/>
      <c r="E1479" s="24"/>
    </row>
    <row r="1480">
      <c r="B1480" s="25"/>
      <c r="C1480" s="22"/>
      <c r="D1480" s="23"/>
      <c r="E1480" s="24"/>
    </row>
    <row r="1481">
      <c r="B1481" s="25"/>
      <c r="C1481" s="22"/>
      <c r="D1481" s="23"/>
      <c r="E1481" s="24"/>
    </row>
    <row r="1482">
      <c r="B1482" s="25"/>
      <c r="C1482" s="22"/>
      <c r="D1482" s="23"/>
      <c r="E1482" s="24"/>
    </row>
    <row r="1483">
      <c r="B1483" s="25"/>
      <c r="C1483" s="22"/>
      <c r="D1483" s="23"/>
      <c r="E1483" s="24"/>
    </row>
    <row r="1484">
      <c r="B1484" s="25"/>
      <c r="C1484" s="22"/>
      <c r="D1484" s="23"/>
      <c r="E1484" s="24"/>
    </row>
    <row r="1485">
      <c r="B1485" s="25"/>
      <c r="C1485" s="22"/>
      <c r="D1485" s="23"/>
      <c r="E1485" s="24"/>
    </row>
    <row r="1486">
      <c r="B1486" s="25"/>
      <c r="C1486" s="22"/>
      <c r="D1486" s="23"/>
      <c r="E1486" s="24"/>
    </row>
    <row r="1487">
      <c r="B1487" s="25"/>
      <c r="C1487" s="22"/>
      <c r="D1487" s="23"/>
      <c r="E1487" s="24"/>
    </row>
    <row r="1488">
      <c r="B1488" s="25"/>
      <c r="C1488" s="22"/>
      <c r="D1488" s="23"/>
      <c r="E1488" s="24"/>
    </row>
    <row r="1489">
      <c r="B1489" s="25"/>
      <c r="C1489" s="22"/>
      <c r="D1489" s="23"/>
      <c r="E1489" s="24"/>
    </row>
    <row r="1490">
      <c r="B1490" s="25"/>
      <c r="C1490" s="22"/>
      <c r="D1490" s="23"/>
      <c r="E1490" s="24"/>
    </row>
    <row r="1491">
      <c r="B1491" s="25"/>
      <c r="C1491" s="22"/>
      <c r="D1491" s="23"/>
      <c r="E1491" s="24"/>
    </row>
    <row r="1492">
      <c r="B1492" s="25"/>
      <c r="C1492" s="22"/>
      <c r="D1492" s="23"/>
      <c r="E1492" s="24"/>
    </row>
    <row r="1493">
      <c r="B1493" s="25"/>
      <c r="C1493" s="22"/>
      <c r="D1493" s="23"/>
      <c r="E1493" s="24"/>
    </row>
    <row r="1494">
      <c r="B1494" s="25"/>
      <c r="C1494" s="22"/>
      <c r="D1494" s="23"/>
      <c r="E1494" s="24"/>
    </row>
    <row r="1495">
      <c r="B1495" s="25"/>
      <c r="C1495" s="22"/>
      <c r="D1495" s="23"/>
      <c r="E1495" s="24"/>
    </row>
    <row r="1496">
      <c r="B1496" s="25"/>
      <c r="C1496" s="22"/>
      <c r="D1496" s="23"/>
      <c r="E1496" s="24"/>
    </row>
    <row r="1497">
      <c r="B1497" s="25"/>
      <c r="C1497" s="22"/>
      <c r="D1497" s="23"/>
      <c r="E1497" s="24"/>
    </row>
    <row r="1498">
      <c r="B1498" s="25"/>
      <c r="C1498" s="22"/>
      <c r="D1498" s="23"/>
      <c r="E1498" s="24"/>
    </row>
    <row r="1499">
      <c r="B1499" s="25"/>
      <c r="C1499" s="22"/>
      <c r="D1499" s="23"/>
      <c r="E1499" s="24"/>
    </row>
    <row r="1500">
      <c r="B1500" s="25"/>
      <c r="C1500" s="22"/>
      <c r="D1500" s="23"/>
      <c r="E1500" s="24"/>
    </row>
    <row r="1501">
      <c r="B1501" s="25"/>
      <c r="C1501" s="22"/>
      <c r="D1501" s="23"/>
      <c r="E1501" s="24"/>
    </row>
    <row r="1502">
      <c r="B1502" s="25"/>
      <c r="C1502" s="22"/>
      <c r="D1502" s="23"/>
      <c r="E1502" s="24"/>
    </row>
    <row r="1503">
      <c r="B1503" s="25"/>
      <c r="C1503" s="22"/>
      <c r="D1503" s="23"/>
      <c r="E1503" s="24"/>
    </row>
    <row r="1504">
      <c r="B1504" s="25"/>
      <c r="C1504" s="22"/>
      <c r="D1504" s="23"/>
      <c r="E1504" s="24"/>
    </row>
    <row r="1505">
      <c r="B1505" s="25"/>
      <c r="C1505" s="22"/>
      <c r="D1505" s="23"/>
      <c r="E1505" s="24"/>
    </row>
    <row r="1506">
      <c r="B1506" s="25"/>
      <c r="C1506" s="22"/>
      <c r="D1506" s="23"/>
      <c r="E1506" s="24"/>
    </row>
    <row r="1507">
      <c r="B1507" s="25"/>
      <c r="C1507" s="22"/>
      <c r="D1507" s="23"/>
      <c r="E1507" s="24"/>
    </row>
    <row r="1508">
      <c r="B1508" s="25"/>
      <c r="C1508" s="22"/>
      <c r="D1508" s="23"/>
      <c r="E1508" s="24"/>
    </row>
    <row r="1509">
      <c r="B1509" s="25"/>
      <c r="C1509" s="22"/>
      <c r="D1509" s="23"/>
      <c r="E1509" s="24"/>
    </row>
    <row r="1510">
      <c r="B1510" s="25"/>
      <c r="C1510" s="22"/>
      <c r="D1510" s="23"/>
      <c r="E1510" s="24"/>
    </row>
    <row r="1511">
      <c r="B1511" s="25"/>
      <c r="C1511" s="22"/>
      <c r="D1511" s="23"/>
      <c r="E1511" s="24"/>
    </row>
    <row r="1512">
      <c r="B1512" s="25"/>
      <c r="C1512" s="22"/>
      <c r="D1512" s="23"/>
      <c r="E1512" s="24"/>
    </row>
    <row r="1513">
      <c r="B1513" s="25"/>
      <c r="C1513" s="22"/>
      <c r="D1513" s="23"/>
      <c r="E1513" s="24"/>
    </row>
    <row r="1514">
      <c r="B1514" s="25"/>
      <c r="C1514" s="22"/>
      <c r="D1514" s="23"/>
      <c r="E1514" s="24"/>
    </row>
    <row r="1515">
      <c r="B1515" s="25"/>
      <c r="C1515" s="22"/>
      <c r="D1515" s="23"/>
      <c r="E1515" s="24"/>
    </row>
    <row r="1516">
      <c r="B1516" s="25"/>
      <c r="C1516" s="22"/>
      <c r="D1516" s="23"/>
      <c r="E1516" s="24"/>
    </row>
    <row r="1517">
      <c r="B1517" s="25"/>
      <c r="C1517" s="22"/>
      <c r="D1517" s="23"/>
      <c r="E1517" s="24"/>
    </row>
    <row r="1518">
      <c r="B1518" s="25"/>
      <c r="C1518" s="22"/>
      <c r="D1518" s="23"/>
      <c r="E1518" s="24"/>
    </row>
    <row r="1519">
      <c r="B1519" s="25"/>
      <c r="C1519" s="22"/>
      <c r="D1519" s="23"/>
      <c r="E1519" s="24"/>
    </row>
    <row r="1520">
      <c r="B1520" s="25"/>
      <c r="C1520" s="22"/>
      <c r="D1520" s="23"/>
      <c r="E1520" s="24"/>
    </row>
    <row r="1521">
      <c r="B1521" s="25"/>
      <c r="C1521" s="22"/>
      <c r="D1521" s="23"/>
      <c r="E1521" s="24"/>
    </row>
    <row r="1522">
      <c r="B1522" s="25"/>
      <c r="C1522" s="22"/>
      <c r="D1522" s="23"/>
      <c r="E1522" s="24"/>
    </row>
    <row r="1523">
      <c r="B1523" s="25"/>
      <c r="C1523" s="22"/>
      <c r="D1523" s="23"/>
      <c r="E1523" s="24"/>
    </row>
    <row r="1524">
      <c r="B1524" s="25"/>
      <c r="C1524" s="22"/>
      <c r="D1524" s="23"/>
      <c r="E1524" s="24"/>
    </row>
    <row r="1525">
      <c r="B1525" s="25"/>
      <c r="C1525" s="22"/>
      <c r="D1525" s="23"/>
      <c r="E1525" s="24"/>
    </row>
    <row r="1526">
      <c r="B1526" s="25"/>
      <c r="C1526" s="22"/>
      <c r="D1526" s="23"/>
      <c r="E1526" s="24"/>
    </row>
    <row r="1527">
      <c r="B1527" s="25"/>
      <c r="C1527" s="22"/>
      <c r="D1527" s="23"/>
      <c r="E1527" s="24"/>
    </row>
    <row r="1528">
      <c r="B1528" s="25"/>
      <c r="C1528" s="22"/>
      <c r="D1528" s="23"/>
      <c r="E1528" s="24"/>
    </row>
    <row r="1529">
      <c r="B1529" s="25"/>
      <c r="C1529" s="22"/>
      <c r="D1529" s="23"/>
      <c r="E1529" s="24"/>
    </row>
    <row r="1530">
      <c r="B1530" s="25"/>
      <c r="C1530" s="22"/>
      <c r="D1530" s="23"/>
      <c r="E1530" s="24"/>
    </row>
    <row r="1531">
      <c r="B1531" s="25"/>
      <c r="C1531" s="22"/>
      <c r="D1531" s="23"/>
      <c r="E1531" s="24"/>
    </row>
    <row r="1532">
      <c r="B1532" s="25"/>
      <c r="C1532" s="22"/>
      <c r="D1532" s="23"/>
      <c r="E1532" s="24"/>
    </row>
    <row r="1533">
      <c r="B1533" s="25"/>
      <c r="C1533" s="22"/>
      <c r="D1533" s="23"/>
      <c r="E1533" s="24"/>
    </row>
    <row r="1534">
      <c r="B1534" s="25"/>
      <c r="C1534" s="22"/>
      <c r="D1534" s="23"/>
      <c r="E1534" s="24"/>
    </row>
    <row r="1535">
      <c r="B1535" s="25"/>
      <c r="C1535" s="22"/>
      <c r="D1535" s="23"/>
      <c r="E1535" s="24"/>
    </row>
    <row r="1536">
      <c r="B1536" s="25"/>
      <c r="C1536" s="22"/>
      <c r="D1536" s="23"/>
      <c r="E1536" s="24"/>
    </row>
    <row r="1537">
      <c r="B1537" s="25"/>
      <c r="C1537" s="22"/>
      <c r="D1537" s="23"/>
      <c r="E1537" s="24"/>
    </row>
    <row r="1538">
      <c r="B1538" s="25"/>
      <c r="C1538" s="22"/>
      <c r="D1538" s="23"/>
      <c r="E1538" s="24"/>
    </row>
    <row r="1539">
      <c r="B1539" s="25"/>
      <c r="C1539" s="22"/>
      <c r="D1539" s="23"/>
      <c r="E1539" s="24"/>
    </row>
    <row r="1540">
      <c r="B1540" s="25"/>
      <c r="C1540" s="22"/>
      <c r="D1540" s="23"/>
      <c r="E1540" s="24"/>
    </row>
    <row r="1541">
      <c r="B1541" s="25"/>
      <c r="C1541" s="22"/>
      <c r="D1541" s="23"/>
      <c r="E1541" s="24"/>
    </row>
    <row r="1542">
      <c r="B1542" s="25"/>
      <c r="C1542" s="22"/>
      <c r="D1542" s="23"/>
      <c r="E1542" s="24"/>
    </row>
    <row r="1543">
      <c r="B1543" s="25"/>
      <c r="C1543" s="22"/>
      <c r="D1543" s="23"/>
      <c r="E1543" s="24"/>
    </row>
    <row r="1544">
      <c r="B1544" s="25"/>
      <c r="C1544" s="22"/>
      <c r="D1544" s="23"/>
      <c r="E1544" s="24"/>
    </row>
    <row r="1545">
      <c r="B1545" s="25"/>
      <c r="C1545" s="22"/>
      <c r="D1545" s="23"/>
      <c r="E1545" s="24"/>
    </row>
    <row r="1546">
      <c r="B1546" s="25"/>
      <c r="C1546" s="22"/>
      <c r="D1546" s="23"/>
      <c r="E1546" s="24"/>
    </row>
    <row r="1547">
      <c r="B1547" s="25"/>
      <c r="C1547" s="22"/>
      <c r="D1547" s="23"/>
      <c r="E1547" s="24"/>
    </row>
    <row r="1548">
      <c r="B1548" s="25"/>
      <c r="C1548" s="22"/>
      <c r="D1548" s="23"/>
      <c r="E1548" s="24"/>
    </row>
    <row r="1549">
      <c r="B1549" s="25"/>
      <c r="C1549" s="22"/>
      <c r="D1549" s="23"/>
      <c r="E1549" s="24"/>
    </row>
    <row r="1550">
      <c r="B1550" s="25"/>
      <c r="C1550" s="22"/>
      <c r="D1550" s="23"/>
      <c r="E1550" s="24"/>
    </row>
    <row r="1551">
      <c r="B1551" s="25"/>
      <c r="C1551" s="22"/>
      <c r="D1551" s="23"/>
      <c r="E1551" s="24"/>
    </row>
    <row r="1552">
      <c r="B1552" s="25"/>
      <c r="C1552" s="22"/>
      <c r="D1552" s="23"/>
      <c r="E1552" s="24"/>
    </row>
    <row r="1553">
      <c r="B1553" s="25"/>
      <c r="C1553" s="22"/>
      <c r="D1553" s="23"/>
      <c r="E1553" s="24"/>
    </row>
    <row r="1554">
      <c r="B1554" s="25"/>
      <c r="C1554" s="22"/>
      <c r="D1554" s="23"/>
      <c r="E1554" s="24"/>
    </row>
    <row r="1555">
      <c r="B1555" s="25"/>
      <c r="C1555" s="22"/>
      <c r="D1555" s="23"/>
      <c r="E1555" s="24"/>
    </row>
    <row r="1556">
      <c r="B1556" s="25"/>
      <c r="C1556" s="22"/>
      <c r="D1556" s="23"/>
      <c r="E1556" s="24"/>
    </row>
    <row r="1557">
      <c r="B1557" s="25"/>
      <c r="C1557" s="22"/>
      <c r="D1557" s="23"/>
      <c r="E1557" s="24"/>
    </row>
    <row r="1558">
      <c r="B1558" s="25"/>
      <c r="C1558" s="22"/>
      <c r="D1558" s="23"/>
      <c r="E1558" s="24"/>
    </row>
    <row r="1559">
      <c r="B1559" s="25"/>
      <c r="C1559" s="22"/>
      <c r="D1559" s="23"/>
      <c r="E1559" s="24"/>
    </row>
    <row r="1560">
      <c r="B1560" s="25"/>
      <c r="C1560" s="22"/>
      <c r="D1560" s="23"/>
      <c r="E1560" s="24"/>
    </row>
    <row r="1561">
      <c r="B1561" s="25"/>
      <c r="C1561" s="22"/>
      <c r="D1561" s="23"/>
      <c r="E1561" s="24"/>
    </row>
    <row r="1562">
      <c r="B1562" s="25"/>
      <c r="C1562" s="22"/>
      <c r="D1562" s="23"/>
      <c r="E1562" s="24"/>
    </row>
    <row r="1563">
      <c r="B1563" s="25"/>
      <c r="C1563" s="22"/>
      <c r="D1563" s="23"/>
      <c r="E1563" s="24"/>
    </row>
    <row r="1564">
      <c r="B1564" s="25"/>
      <c r="C1564" s="22"/>
      <c r="D1564" s="23"/>
      <c r="E1564" s="24"/>
    </row>
    <row r="1565">
      <c r="B1565" s="25"/>
      <c r="C1565" s="22"/>
      <c r="D1565" s="23"/>
      <c r="E1565" s="24"/>
    </row>
    <row r="1566">
      <c r="B1566" s="25"/>
      <c r="C1566" s="22"/>
      <c r="D1566" s="23"/>
      <c r="E1566" s="24"/>
    </row>
    <row r="1567">
      <c r="B1567" s="25"/>
      <c r="C1567" s="22"/>
      <c r="D1567" s="23"/>
      <c r="E1567" s="24"/>
    </row>
    <row r="1568">
      <c r="B1568" s="25"/>
      <c r="C1568" s="22"/>
      <c r="D1568" s="23"/>
      <c r="E1568" s="24"/>
    </row>
    <row r="1569">
      <c r="B1569" s="25"/>
      <c r="C1569" s="22"/>
      <c r="D1569" s="23"/>
      <c r="E1569" s="24"/>
    </row>
    <row r="1570">
      <c r="B1570" s="25"/>
      <c r="C1570" s="22"/>
      <c r="D1570" s="23"/>
      <c r="E1570" s="24"/>
    </row>
    <row r="1571">
      <c r="B1571" s="25"/>
      <c r="C1571" s="22"/>
      <c r="D1571" s="23"/>
      <c r="E1571" s="24"/>
    </row>
    <row r="1572">
      <c r="B1572" s="25"/>
      <c r="C1572" s="22"/>
      <c r="D1572" s="23"/>
      <c r="E1572" s="24"/>
    </row>
    <row r="1573">
      <c r="B1573" s="25"/>
      <c r="C1573" s="22"/>
      <c r="D1573" s="23"/>
      <c r="E1573" s="24"/>
    </row>
    <row r="1574">
      <c r="B1574" s="25"/>
      <c r="C1574" s="22"/>
      <c r="D1574" s="23"/>
      <c r="E1574" s="24"/>
    </row>
    <row r="1575">
      <c r="B1575" s="25"/>
      <c r="C1575" s="22"/>
      <c r="D1575" s="23"/>
      <c r="E1575" s="24"/>
    </row>
    <row r="1576">
      <c r="B1576" s="25"/>
      <c r="C1576" s="22"/>
      <c r="D1576" s="23"/>
      <c r="E1576" s="24"/>
    </row>
    <row r="1577">
      <c r="B1577" s="25"/>
      <c r="C1577" s="22"/>
      <c r="D1577" s="23"/>
      <c r="E1577" s="24"/>
    </row>
    <row r="1578">
      <c r="B1578" s="25"/>
      <c r="C1578" s="22"/>
      <c r="D1578" s="23"/>
      <c r="E1578" s="24"/>
    </row>
    <row r="1579">
      <c r="B1579" s="25"/>
      <c r="C1579" s="22"/>
      <c r="D1579" s="23"/>
      <c r="E1579" s="24"/>
    </row>
    <row r="1580">
      <c r="B1580" s="25"/>
      <c r="C1580" s="22"/>
      <c r="D1580" s="23"/>
      <c r="E1580" s="24"/>
    </row>
    <row r="1581">
      <c r="B1581" s="25"/>
      <c r="C1581" s="22"/>
      <c r="D1581" s="23"/>
      <c r="E1581" s="24"/>
    </row>
    <row r="1582">
      <c r="B1582" s="25"/>
      <c r="C1582" s="22"/>
      <c r="D1582" s="23"/>
      <c r="E1582" s="24"/>
    </row>
    <row r="1583">
      <c r="B1583" s="25"/>
      <c r="C1583" s="22"/>
      <c r="D1583" s="23"/>
      <c r="E1583" s="24"/>
    </row>
    <row r="1584">
      <c r="B1584" s="25"/>
      <c r="C1584" s="22"/>
      <c r="D1584" s="23"/>
      <c r="E1584" s="24"/>
    </row>
    <row r="1585">
      <c r="B1585" s="25"/>
      <c r="C1585" s="22"/>
      <c r="D1585" s="23"/>
      <c r="E1585" s="24"/>
    </row>
    <row r="1586">
      <c r="B1586" s="25"/>
      <c r="C1586" s="22"/>
      <c r="D1586" s="23"/>
      <c r="E1586" s="24"/>
    </row>
    <row r="1587">
      <c r="B1587" s="25"/>
      <c r="C1587" s="22"/>
      <c r="D1587" s="23"/>
      <c r="E1587" s="24"/>
    </row>
    <row r="1588">
      <c r="B1588" s="25"/>
      <c r="C1588" s="22"/>
      <c r="D1588" s="23"/>
      <c r="E1588" s="24"/>
    </row>
    <row r="1589">
      <c r="B1589" s="25"/>
      <c r="C1589" s="22"/>
      <c r="D1589" s="23"/>
      <c r="E1589" s="24"/>
    </row>
    <row r="1590">
      <c r="B1590" s="25"/>
      <c r="C1590" s="22"/>
      <c r="D1590" s="23"/>
      <c r="E1590" s="24"/>
    </row>
    <row r="1591">
      <c r="B1591" s="25"/>
      <c r="C1591" s="22"/>
      <c r="D1591" s="23"/>
      <c r="E1591" s="24"/>
    </row>
    <row r="1592">
      <c r="B1592" s="25"/>
      <c r="C1592" s="22"/>
      <c r="D1592" s="23"/>
      <c r="E1592" s="24"/>
    </row>
    <row r="1593">
      <c r="B1593" s="25"/>
      <c r="C1593" s="22"/>
      <c r="D1593" s="23"/>
      <c r="E1593" s="24"/>
    </row>
    <row r="1594">
      <c r="B1594" s="25"/>
      <c r="C1594" s="22"/>
      <c r="D1594" s="23"/>
      <c r="E1594" s="24"/>
    </row>
    <row r="1595">
      <c r="B1595" s="25"/>
      <c r="C1595" s="22"/>
      <c r="D1595" s="23"/>
      <c r="E1595" s="24"/>
    </row>
    <row r="1596">
      <c r="B1596" s="25"/>
      <c r="C1596" s="22"/>
      <c r="D1596" s="23"/>
      <c r="E1596" s="24"/>
    </row>
    <row r="1597">
      <c r="B1597" s="25"/>
      <c r="C1597" s="22"/>
      <c r="D1597" s="23"/>
      <c r="E1597" s="24"/>
    </row>
    <row r="1598">
      <c r="B1598" s="25"/>
      <c r="C1598" s="22"/>
      <c r="D1598" s="23"/>
      <c r="E1598" s="24"/>
    </row>
    <row r="1599">
      <c r="B1599" s="25"/>
      <c r="C1599" s="22"/>
      <c r="D1599" s="23"/>
      <c r="E1599" s="24"/>
    </row>
    <row r="1600">
      <c r="B1600" s="25"/>
      <c r="C1600" s="22"/>
      <c r="D1600" s="23"/>
      <c r="E1600" s="24"/>
    </row>
    <row r="1601">
      <c r="B1601" s="25"/>
      <c r="C1601" s="22"/>
      <c r="D1601" s="23"/>
      <c r="E1601" s="24"/>
    </row>
    <row r="1602">
      <c r="B1602" s="25"/>
      <c r="C1602" s="22"/>
      <c r="D1602" s="23"/>
      <c r="E1602" s="24"/>
    </row>
    <row r="1603">
      <c r="B1603" s="25"/>
      <c r="C1603" s="22"/>
      <c r="D1603" s="23"/>
      <c r="E1603" s="24"/>
    </row>
    <row r="1604">
      <c r="B1604" s="25"/>
      <c r="C1604" s="22"/>
      <c r="D1604" s="23"/>
      <c r="E1604" s="24"/>
    </row>
    <row r="1605">
      <c r="B1605" s="25"/>
      <c r="C1605" s="22"/>
      <c r="D1605" s="23"/>
      <c r="E1605" s="24"/>
    </row>
    <row r="1606">
      <c r="B1606" s="25"/>
      <c r="C1606" s="22"/>
      <c r="D1606" s="23"/>
      <c r="E1606" s="24"/>
    </row>
    <row r="1607">
      <c r="B1607" s="25"/>
      <c r="C1607" s="22"/>
      <c r="D1607" s="23"/>
      <c r="E1607" s="24"/>
    </row>
    <row r="1608">
      <c r="B1608" s="25"/>
      <c r="C1608" s="22"/>
      <c r="D1608" s="23"/>
      <c r="E1608" s="24"/>
    </row>
    <row r="1609">
      <c r="B1609" s="25"/>
      <c r="C1609" s="22"/>
      <c r="D1609" s="23"/>
      <c r="E1609" s="24"/>
    </row>
    <row r="1610">
      <c r="B1610" s="25"/>
      <c r="C1610" s="22"/>
      <c r="D1610" s="23"/>
      <c r="E1610" s="24"/>
    </row>
    <row r="1611">
      <c r="B1611" s="25"/>
      <c r="C1611" s="22"/>
      <c r="D1611" s="23"/>
      <c r="E1611" s="24"/>
    </row>
    <row r="1612">
      <c r="B1612" s="25"/>
      <c r="C1612" s="22"/>
      <c r="D1612" s="23"/>
      <c r="E1612" s="24"/>
    </row>
    <row r="1613">
      <c r="B1613" s="25"/>
      <c r="C1613" s="22"/>
      <c r="D1613" s="23"/>
      <c r="E1613" s="24"/>
    </row>
    <row r="1614">
      <c r="B1614" s="25"/>
      <c r="C1614" s="22"/>
      <c r="D1614" s="23"/>
      <c r="E1614" s="24"/>
    </row>
    <row r="1615">
      <c r="B1615" s="25"/>
      <c r="C1615" s="22"/>
      <c r="D1615" s="23"/>
      <c r="E1615" s="24"/>
    </row>
    <row r="1616">
      <c r="B1616" s="25"/>
      <c r="C1616" s="22"/>
      <c r="D1616" s="23"/>
      <c r="E1616" s="24"/>
    </row>
    <row r="1617">
      <c r="B1617" s="25"/>
      <c r="C1617" s="22"/>
      <c r="D1617" s="23"/>
      <c r="E1617" s="24"/>
    </row>
    <row r="1618">
      <c r="B1618" s="25"/>
      <c r="C1618" s="22"/>
      <c r="D1618" s="23"/>
      <c r="E1618" s="24"/>
    </row>
    <row r="1619">
      <c r="B1619" s="25"/>
      <c r="C1619" s="22"/>
      <c r="D1619" s="23"/>
      <c r="E1619" s="24"/>
    </row>
    <row r="1620">
      <c r="B1620" s="25"/>
      <c r="C1620" s="22"/>
      <c r="D1620" s="23"/>
      <c r="E1620" s="24"/>
    </row>
    <row r="1621">
      <c r="B1621" s="25"/>
      <c r="C1621" s="22"/>
      <c r="D1621" s="23"/>
      <c r="E1621" s="24"/>
    </row>
    <row r="1622">
      <c r="B1622" s="25"/>
      <c r="C1622" s="22"/>
      <c r="D1622" s="23"/>
      <c r="E1622" s="24"/>
    </row>
    <row r="1623">
      <c r="B1623" s="25"/>
      <c r="C1623" s="22"/>
      <c r="D1623" s="23"/>
      <c r="E1623" s="24"/>
    </row>
    <row r="1624">
      <c r="B1624" s="25"/>
      <c r="C1624" s="22"/>
      <c r="D1624" s="23"/>
      <c r="E1624" s="24"/>
    </row>
    <row r="1625">
      <c r="B1625" s="25"/>
      <c r="C1625" s="22"/>
      <c r="D1625" s="23"/>
      <c r="E1625" s="24"/>
    </row>
    <row r="1626">
      <c r="B1626" s="25"/>
      <c r="C1626" s="22"/>
      <c r="D1626" s="23"/>
      <c r="E1626" s="24"/>
    </row>
    <row r="1627">
      <c r="B1627" s="25"/>
      <c r="C1627" s="22"/>
      <c r="D1627" s="23"/>
      <c r="E1627" s="24"/>
    </row>
    <row r="1628">
      <c r="B1628" s="25"/>
      <c r="C1628" s="22"/>
      <c r="D1628" s="23"/>
      <c r="E1628" s="24"/>
    </row>
    <row r="1629">
      <c r="B1629" s="25"/>
      <c r="C1629" s="22"/>
      <c r="D1629" s="23"/>
      <c r="E1629" s="24"/>
    </row>
    <row r="1630">
      <c r="B1630" s="25"/>
      <c r="C1630" s="22"/>
      <c r="D1630" s="23"/>
      <c r="E1630" s="24"/>
    </row>
    <row r="1631">
      <c r="B1631" s="25"/>
      <c r="C1631" s="22"/>
      <c r="D1631" s="23"/>
      <c r="E1631" s="24"/>
    </row>
    <row r="1632">
      <c r="B1632" s="25"/>
      <c r="C1632" s="22"/>
      <c r="D1632" s="23"/>
      <c r="E1632" s="24"/>
    </row>
    <row r="1633">
      <c r="B1633" s="25"/>
      <c r="C1633" s="22"/>
      <c r="D1633" s="23"/>
      <c r="E1633" s="24"/>
    </row>
    <row r="1634">
      <c r="B1634" s="25"/>
      <c r="C1634" s="22"/>
      <c r="D1634" s="23"/>
      <c r="E1634" s="24"/>
    </row>
    <row r="1635">
      <c r="B1635" s="25"/>
      <c r="C1635" s="22"/>
      <c r="D1635" s="23"/>
      <c r="E1635" s="24"/>
    </row>
    <row r="1636">
      <c r="B1636" s="25"/>
      <c r="C1636" s="22"/>
      <c r="D1636" s="23"/>
      <c r="E1636" s="24"/>
    </row>
    <row r="1637">
      <c r="B1637" s="25"/>
      <c r="C1637" s="22"/>
      <c r="D1637" s="23"/>
      <c r="E1637" s="24"/>
    </row>
    <row r="1638">
      <c r="B1638" s="25"/>
      <c r="C1638" s="22"/>
      <c r="D1638" s="23"/>
      <c r="E1638" s="24"/>
    </row>
    <row r="1639">
      <c r="B1639" s="25"/>
      <c r="C1639" s="22"/>
      <c r="D1639" s="23"/>
      <c r="E1639" s="24"/>
    </row>
    <row r="1640">
      <c r="B1640" s="25"/>
      <c r="C1640" s="22"/>
      <c r="D1640" s="23"/>
      <c r="E1640" s="24"/>
    </row>
    <row r="1641">
      <c r="B1641" s="25"/>
      <c r="C1641" s="22"/>
      <c r="D1641" s="23"/>
      <c r="E1641" s="24"/>
    </row>
    <row r="1642">
      <c r="B1642" s="25"/>
      <c r="C1642" s="22"/>
      <c r="D1642" s="23"/>
      <c r="E1642" s="24"/>
    </row>
    <row r="1643">
      <c r="B1643" s="25"/>
      <c r="C1643" s="22"/>
      <c r="D1643" s="23"/>
      <c r="E1643" s="24"/>
    </row>
    <row r="1644">
      <c r="B1644" s="25"/>
      <c r="C1644" s="22"/>
      <c r="D1644" s="23"/>
      <c r="E1644" s="24"/>
    </row>
    <row r="1645">
      <c r="B1645" s="25"/>
      <c r="C1645" s="22"/>
      <c r="D1645" s="23"/>
      <c r="E1645" s="24"/>
    </row>
    <row r="1646">
      <c r="B1646" s="25"/>
      <c r="C1646" s="22"/>
      <c r="D1646" s="23"/>
      <c r="E1646" s="24"/>
    </row>
    <row r="1647">
      <c r="B1647" s="25"/>
      <c r="C1647" s="22"/>
      <c r="D1647" s="23"/>
      <c r="E1647" s="24"/>
    </row>
    <row r="1648">
      <c r="B1648" s="25"/>
      <c r="C1648" s="22"/>
      <c r="D1648" s="23"/>
      <c r="E1648" s="24"/>
    </row>
    <row r="1649">
      <c r="B1649" s="25"/>
      <c r="C1649" s="22"/>
      <c r="D1649" s="23"/>
      <c r="E1649" s="24"/>
    </row>
    <row r="1650">
      <c r="B1650" s="25"/>
      <c r="C1650" s="22"/>
      <c r="D1650" s="23"/>
      <c r="E1650" s="24"/>
    </row>
    <row r="1651">
      <c r="B1651" s="25"/>
      <c r="C1651" s="22"/>
      <c r="D1651" s="23"/>
      <c r="E1651" s="24"/>
    </row>
    <row r="1652">
      <c r="B1652" s="25"/>
      <c r="C1652" s="22"/>
      <c r="D1652" s="23"/>
      <c r="E1652" s="24"/>
    </row>
    <row r="1653">
      <c r="B1653" s="25"/>
      <c r="C1653" s="22"/>
      <c r="D1653" s="23"/>
      <c r="E1653" s="24"/>
    </row>
    <row r="1654">
      <c r="B1654" s="25"/>
      <c r="C1654" s="22"/>
      <c r="D1654" s="23"/>
      <c r="E1654" s="24"/>
    </row>
    <row r="1655">
      <c r="B1655" s="25"/>
      <c r="C1655" s="22"/>
      <c r="D1655" s="23"/>
      <c r="E1655" s="24"/>
    </row>
    <row r="1656">
      <c r="B1656" s="25"/>
      <c r="C1656" s="22"/>
      <c r="D1656" s="23"/>
      <c r="E1656" s="24"/>
    </row>
    <row r="1657">
      <c r="B1657" s="25"/>
      <c r="C1657" s="22"/>
      <c r="D1657" s="23"/>
      <c r="E1657" s="24"/>
    </row>
    <row r="1658">
      <c r="B1658" s="25"/>
      <c r="C1658" s="22"/>
      <c r="D1658" s="23"/>
      <c r="E1658" s="24"/>
    </row>
    <row r="1659">
      <c r="B1659" s="25"/>
      <c r="C1659" s="22"/>
      <c r="D1659" s="23"/>
      <c r="E1659" s="24"/>
    </row>
    <row r="1660">
      <c r="B1660" s="25"/>
      <c r="C1660" s="22"/>
      <c r="D1660" s="23"/>
      <c r="E1660" s="24"/>
    </row>
    <row r="1661">
      <c r="B1661" s="25"/>
      <c r="C1661" s="22"/>
      <c r="D1661" s="23"/>
      <c r="E1661" s="24"/>
    </row>
    <row r="1662">
      <c r="B1662" s="25"/>
      <c r="C1662" s="22"/>
      <c r="D1662" s="23"/>
      <c r="E1662" s="24"/>
    </row>
    <row r="1663">
      <c r="B1663" s="25"/>
      <c r="C1663" s="22"/>
      <c r="D1663" s="23"/>
      <c r="E1663" s="24"/>
    </row>
    <row r="1664">
      <c r="B1664" s="25"/>
      <c r="C1664" s="22"/>
      <c r="D1664" s="23"/>
      <c r="E1664" s="24"/>
    </row>
    <row r="1665">
      <c r="B1665" s="25"/>
      <c r="C1665" s="22"/>
      <c r="D1665" s="23"/>
      <c r="E1665" s="24"/>
    </row>
    <row r="1666">
      <c r="B1666" s="25"/>
      <c r="C1666" s="22"/>
      <c r="D1666" s="23"/>
      <c r="E1666" s="24"/>
    </row>
    <row r="1667">
      <c r="B1667" s="25"/>
      <c r="C1667" s="22"/>
      <c r="D1667" s="23"/>
      <c r="E1667" s="24"/>
    </row>
    <row r="1668">
      <c r="B1668" s="25"/>
      <c r="C1668" s="22"/>
      <c r="D1668" s="23"/>
      <c r="E1668" s="24"/>
    </row>
    <row r="1669">
      <c r="B1669" s="25"/>
      <c r="C1669" s="22"/>
      <c r="D1669" s="23"/>
      <c r="E1669" s="24"/>
    </row>
    <row r="1670">
      <c r="B1670" s="25"/>
      <c r="C1670" s="22"/>
      <c r="D1670" s="23"/>
      <c r="E1670" s="24"/>
    </row>
    <row r="1671">
      <c r="B1671" s="25"/>
      <c r="C1671" s="22"/>
      <c r="D1671" s="23"/>
      <c r="E1671" s="24"/>
    </row>
    <row r="1672">
      <c r="B1672" s="25"/>
      <c r="C1672" s="22"/>
      <c r="D1672" s="23"/>
      <c r="E1672" s="24"/>
    </row>
    <row r="1673">
      <c r="B1673" s="25"/>
      <c r="C1673" s="22"/>
      <c r="D1673" s="23"/>
      <c r="E1673" s="24"/>
    </row>
    <row r="1674">
      <c r="B1674" s="25"/>
      <c r="C1674" s="22"/>
      <c r="D1674" s="23"/>
      <c r="E1674" s="24"/>
    </row>
    <row r="1675">
      <c r="B1675" s="25"/>
      <c r="C1675" s="22"/>
      <c r="D1675" s="23"/>
      <c r="E1675" s="24"/>
    </row>
    <row r="1676">
      <c r="B1676" s="25"/>
      <c r="C1676" s="22"/>
      <c r="D1676" s="23"/>
      <c r="E1676" s="24"/>
    </row>
    <row r="1677">
      <c r="B1677" s="25"/>
      <c r="C1677" s="22"/>
      <c r="D1677" s="23"/>
      <c r="E1677" s="24"/>
    </row>
    <row r="1678">
      <c r="B1678" s="25"/>
      <c r="C1678" s="22"/>
      <c r="D1678" s="23"/>
      <c r="E1678" s="24"/>
    </row>
    <row r="1679">
      <c r="B1679" s="25"/>
      <c r="C1679" s="22"/>
      <c r="D1679" s="23"/>
      <c r="E1679" s="24"/>
    </row>
    <row r="1680">
      <c r="B1680" s="25"/>
      <c r="C1680" s="22"/>
      <c r="D1680" s="23"/>
      <c r="E1680" s="24"/>
    </row>
    <row r="1681">
      <c r="B1681" s="25"/>
      <c r="C1681" s="22"/>
      <c r="D1681" s="23"/>
      <c r="E1681" s="24"/>
    </row>
    <row r="1682">
      <c r="B1682" s="25"/>
      <c r="C1682" s="22"/>
      <c r="D1682" s="23"/>
      <c r="E1682" s="24"/>
    </row>
    <row r="1683">
      <c r="B1683" s="25"/>
      <c r="C1683" s="22"/>
      <c r="D1683" s="23"/>
      <c r="E1683" s="24"/>
    </row>
    <row r="1684">
      <c r="B1684" s="25"/>
      <c r="C1684" s="22"/>
      <c r="D1684" s="23"/>
      <c r="E1684" s="24"/>
    </row>
    <row r="1685">
      <c r="B1685" s="25"/>
      <c r="C1685" s="22"/>
      <c r="D1685" s="23"/>
      <c r="E1685" s="24"/>
    </row>
    <row r="1686">
      <c r="B1686" s="25"/>
      <c r="C1686" s="22"/>
      <c r="D1686" s="23"/>
      <c r="E1686" s="24"/>
    </row>
    <row r="1687">
      <c r="B1687" s="25"/>
      <c r="C1687" s="22"/>
      <c r="D1687" s="23"/>
      <c r="E1687" s="24"/>
    </row>
    <row r="1688">
      <c r="B1688" s="25"/>
      <c r="C1688" s="22"/>
      <c r="D1688" s="23"/>
      <c r="E1688" s="24"/>
    </row>
    <row r="1689">
      <c r="B1689" s="25"/>
      <c r="C1689" s="22"/>
      <c r="D1689" s="23"/>
      <c r="E1689" s="24"/>
    </row>
    <row r="1690">
      <c r="B1690" s="25"/>
      <c r="C1690" s="22"/>
      <c r="D1690" s="23"/>
      <c r="E1690" s="24"/>
    </row>
    <row r="1691">
      <c r="B1691" s="25"/>
      <c r="C1691" s="22"/>
      <c r="D1691" s="23"/>
      <c r="E1691" s="24"/>
    </row>
    <row r="1692">
      <c r="B1692" s="25"/>
      <c r="C1692" s="22"/>
      <c r="D1692" s="23"/>
      <c r="E1692" s="24"/>
    </row>
    <row r="1693">
      <c r="B1693" s="25"/>
      <c r="C1693" s="22"/>
      <c r="D1693" s="23"/>
      <c r="E1693" s="24"/>
    </row>
    <row r="1694">
      <c r="B1694" s="25"/>
      <c r="C1694" s="22"/>
      <c r="D1694" s="23"/>
      <c r="E1694" s="24"/>
    </row>
    <row r="1695">
      <c r="B1695" s="25"/>
      <c r="C1695" s="22"/>
      <c r="D1695" s="23"/>
      <c r="E1695" s="24"/>
    </row>
    <row r="1696">
      <c r="B1696" s="25"/>
      <c r="C1696" s="22"/>
      <c r="D1696" s="23"/>
      <c r="E1696" s="24"/>
    </row>
    <row r="1697">
      <c r="B1697" s="25"/>
      <c r="C1697" s="22"/>
      <c r="D1697" s="23"/>
      <c r="E1697" s="24"/>
    </row>
    <row r="1698">
      <c r="B1698" s="25"/>
      <c r="C1698" s="22"/>
      <c r="D1698" s="23"/>
      <c r="E1698" s="24"/>
    </row>
    <row r="1699">
      <c r="B1699" s="25"/>
      <c r="C1699" s="22"/>
      <c r="D1699" s="23"/>
      <c r="E1699" s="24"/>
    </row>
    <row r="1700">
      <c r="B1700" s="25"/>
      <c r="C1700" s="22"/>
      <c r="D1700" s="23"/>
      <c r="E1700" s="24"/>
    </row>
    <row r="1701">
      <c r="B1701" s="25"/>
      <c r="C1701" s="22"/>
      <c r="D1701" s="23"/>
      <c r="E1701" s="24"/>
    </row>
    <row r="1702">
      <c r="B1702" s="25"/>
      <c r="C1702" s="22"/>
      <c r="D1702" s="23"/>
      <c r="E1702" s="24"/>
    </row>
    <row r="1703">
      <c r="B1703" s="25"/>
      <c r="C1703" s="22"/>
      <c r="D1703" s="23"/>
      <c r="E1703" s="24"/>
    </row>
    <row r="1704">
      <c r="B1704" s="25"/>
      <c r="C1704" s="22"/>
      <c r="D1704" s="23"/>
      <c r="E1704" s="24"/>
    </row>
    <row r="1705">
      <c r="B1705" s="25"/>
      <c r="C1705" s="22"/>
      <c r="D1705" s="23"/>
      <c r="E1705" s="24"/>
    </row>
    <row r="1706">
      <c r="B1706" s="25"/>
      <c r="C1706" s="22"/>
      <c r="D1706" s="23"/>
      <c r="E1706" s="24"/>
    </row>
    <row r="1707">
      <c r="B1707" s="25"/>
      <c r="C1707" s="22"/>
      <c r="D1707" s="23"/>
      <c r="E1707" s="24"/>
    </row>
    <row r="1708">
      <c r="B1708" s="25"/>
      <c r="C1708" s="22"/>
      <c r="D1708" s="23"/>
      <c r="E1708" s="24"/>
    </row>
    <row r="1709">
      <c r="B1709" s="25"/>
      <c r="C1709" s="22"/>
      <c r="D1709" s="23"/>
      <c r="E1709" s="24"/>
    </row>
    <row r="1710">
      <c r="B1710" s="25"/>
      <c r="C1710" s="22"/>
      <c r="D1710" s="23"/>
      <c r="E1710" s="24"/>
    </row>
    <row r="1711">
      <c r="B1711" s="25"/>
      <c r="C1711" s="22"/>
      <c r="D1711" s="23"/>
      <c r="E1711" s="24"/>
    </row>
    <row r="1712">
      <c r="B1712" s="25"/>
      <c r="C1712" s="22"/>
      <c r="D1712" s="23"/>
      <c r="E1712" s="24"/>
    </row>
    <row r="1713">
      <c r="B1713" s="25"/>
      <c r="C1713" s="22"/>
      <c r="D1713" s="23"/>
      <c r="E1713" s="24"/>
    </row>
    <row r="1714">
      <c r="B1714" s="25"/>
      <c r="C1714" s="22"/>
      <c r="D1714" s="23"/>
      <c r="E1714" s="24"/>
    </row>
    <row r="1715">
      <c r="B1715" s="25"/>
      <c r="C1715" s="22"/>
      <c r="D1715" s="23"/>
      <c r="E1715" s="24"/>
    </row>
    <row r="1716">
      <c r="B1716" s="25"/>
      <c r="C1716" s="22"/>
      <c r="D1716" s="23"/>
      <c r="E1716" s="24"/>
    </row>
    <row r="1717">
      <c r="B1717" s="25"/>
      <c r="C1717" s="22"/>
      <c r="D1717" s="23"/>
      <c r="E1717" s="24"/>
    </row>
    <row r="1718">
      <c r="B1718" s="25"/>
      <c r="C1718" s="22"/>
      <c r="D1718" s="23"/>
      <c r="E1718" s="24"/>
    </row>
    <row r="1719">
      <c r="B1719" s="25"/>
      <c r="C1719" s="22"/>
      <c r="D1719" s="23"/>
      <c r="E1719" s="24"/>
    </row>
    <row r="1720">
      <c r="B1720" s="25"/>
      <c r="C1720" s="22"/>
      <c r="D1720" s="23"/>
      <c r="E1720" s="24"/>
    </row>
    <row r="1721">
      <c r="B1721" s="25"/>
      <c r="C1721" s="22"/>
      <c r="D1721" s="23"/>
      <c r="E1721" s="24"/>
    </row>
    <row r="1722">
      <c r="B1722" s="25"/>
      <c r="C1722" s="22"/>
      <c r="D1722" s="23"/>
      <c r="E1722" s="24"/>
    </row>
    <row r="1723">
      <c r="B1723" s="25"/>
      <c r="C1723" s="22"/>
      <c r="D1723" s="23"/>
      <c r="E1723" s="24"/>
    </row>
    <row r="1724">
      <c r="B1724" s="25"/>
      <c r="C1724" s="22"/>
      <c r="D1724" s="23"/>
      <c r="E1724" s="24"/>
    </row>
    <row r="1725">
      <c r="B1725" s="25"/>
      <c r="C1725" s="22"/>
      <c r="D1725" s="23"/>
      <c r="E1725" s="24"/>
    </row>
    <row r="1726">
      <c r="B1726" s="25"/>
      <c r="C1726" s="22"/>
      <c r="D1726" s="23"/>
      <c r="E1726" s="24"/>
    </row>
    <row r="1727">
      <c r="B1727" s="25"/>
      <c r="C1727" s="22"/>
      <c r="D1727" s="23"/>
      <c r="E1727" s="24"/>
    </row>
    <row r="1728">
      <c r="B1728" s="25"/>
      <c r="C1728" s="22"/>
      <c r="D1728" s="23"/>
      <c r="E1728" s="24"/>
    </row>
    <row r="1729">
      <c r="B1729" s="25"/>
      <c r="C1729" s="22"/>
      <c r="D1729" s="23"/>
      <c r="E1729" s="24"/>
    </row>
    <row r="1730">
      <c r="B1730" s="25"/>
      <c r="C1730" s="22"/>
      <c r="D1730" s="23"/>
      <c r="E1730" s="24"/>
    </row>
    <row r="1731">
      <c r="B1731" s="25"/>
      <c r="C1731" s="22"/>
      <c r="D1731" s="23"/>
      <c r="E1731" s="24"/>
    </row>
    <row r="1732">
      <c r="B1732" s="25"/>
      <c r="C1732" s="22"/>
      <c r="D1732" s="23"/>
      <c r="E1732" s="24"/>
    </row>
    <row r="1733">
      <c r="B1733" s="25"/>
      <c r="C1733" s="22"/>
      <c r="D1733" s="23"/>
      <c r="E1733" s="24"/>
    </row>
    <row r="1734">
      <c r="B1734" s="25"/>
      <c r="C1734" s="22"/>
      <c r="D1734" s="23"/>
      <c r="E1734" s="24"/>
    </row>
    <row r="1735">
      <c r="B1735" s="25"/>
      <c r="C1735" s="22"/>
      <c r="D1735" s="23"/>
      <c r="E1735" s="24"/>
    </row>
    <row r="1736">
      <c r="B1736" s="25"/>
      <c r="C1736" s="22"/>
      <c r="D1736" s="23"/>
      <c r="E1736" s="24"/>
    </row>
    <row r="1737">
      <c r="B1737" s="25"/>
      <c r="C1737" s="22"/>
      <c r="D1737" s="23"/>
      <c r="E1737" s="24"/>
    </row>
    <row r="1738">
      <c r="B1738" s="25"/>
      <c r="C1738" s="22"/>
      <c r="D1738" s="23"/>
      <c r="E1738" s="24"/>
    </row>
    <row r="1739">
      <c r="B1739" s="25"/>
      <c r="C1739" s="22"/>
      <c r="D1739" s="23"/>
      <c r="E1739" s="24"/>
    </row>
    <row r="1740">
      <c r="B1740" s="25"/>
      <c r="C1740" s="22"/>
      <c r="D1740" s="23"/>
      <c r="E1740" s="24"/>
    </row>
    <row r="1741">
      <c r="B1741" s="25"/>
      <c r="C1741" s="22"/>
      <c r="D1741" s="23"/>
      <c r="E1741" s="24"/>
    </row>
    <row r="1742">
      <c r="B1742" s="25"/>
      <c r="C1742" s="22"/>
      <c r="D1742" s="23"/>
      <c r="E1742" s="24"/>
    </row>
    <row r="1743">
      <c r="B1743" s="25"/>
      <c r="C1743" s="22"/>
      <c r="D1743" s="23"/>
      <c r="E1743" s="24"/>
    </row>
    <row r="1744">
      <c r="B1744" s="25"/>
      <c r="C1744" s="22"/>
      <c r="D1744" s="23"/>
      <c r="E1744" s="24"/>
    </row>
    <row r="1745">
      <c r="B1745" s="25"/>
      <c r="C1745" s="22"/>
      <c r="D1745" s="23"/>
      <c r="E1745" s="24"/>
    </row>
    <row r="1746">
      <c r="B1746" s="25"/>
      <c r="C1746" s="22"/>
      <c r="D1746" s="23"/>
      <c r="E1746" s="24"/>
    </row>
    <row r="1747">
      <c r="B1747" s="25"/>
      <c r="C1747" s="22"/>
      <c r="D1747" s="23"/>
      <c r="E1747" s="24"/>
    </row>
    <row r="1748">
      <c r="B1748" s="25"/>
      <c r="C1748" s="22"/>
      <c r="D1748" s="23"/>
      <c r="E1748" s="24"/>
    </row>
    <row r="1749">
      <c r="B1749" s="25"/>
      <c r="C1749" s="22"/>
      <c r="D1749" s="23"/>
      <c r="E1749" s="24"/>
    </row>
    <row r="1750">
      <c r="B1750" s="25"/>
      <c r="C1750" s="22"/>
      <c r="D1750" s="23"/>
      <c r="E1750" s="24"/>
    </row>
    <row r="1751">
      <c r="B1751" s="25"/>
      <c r="C1751" s="22"/>
      <c r="D1751" s="23"/>
      <c r="E1751" s="24"/>
    </row>
    <row r="1752">
      <c r="B1752" s="25"/>
      <c r="C1752" s="22"/>
      <c r="D1752" s="23"/>
      <c r="E1752" s="24"/>
    </row>
    <row r="1753">
      <c r="B1753" s="25"/>
      <c r="C1753" s="22"/>
      <c r="D1753" s="23"/>
      <c r="E1753" s="24"/>
    </row>
    <row r="1754">
      <c r="B1754" s="25"/>
      <c r="C1754" s="22"/>
      <c r="D1754" s="23"/>
      <c r="E1754" s="24"/>
    </row>
    <row r="1755">
      <c r="B1755" s="25"/>
      <c r="C1755" s="22"/>
      <c r="D1755" s="23"/>
      <c r="E1755" s="24"/>
    </row>
    <row r="1756">
      <c r="B1756" s="25"/>
      <c r="C1756" s="22"/>
      <c r="D1756" s="23"/>
      <c r="E1756" s="24"/>
    </row>
    <row r="1757">
      <c r="B1757" s="25"/>
      <c r="C1757" s="22"/>
      <c r="D1757" s="23"/>
      <c r="E1757" s="24"/>
    </row>
    <row r="1758">
      <c r="B1758" s="25"/>
      <c r="C1758" s="22"/>
      <c r="D1758" s="23"/>
      <c r="E1758" s="24"/>
    </row>
    <row r="1759">
      <c r="B1759" s="25"/>
      <c r="C1759" s="22"/>
      <c r="D1759" s="23"/>
      <c r="E1759" s="24"/>
    </row>
    <row r="1760">
      <c r="B1760" s="25"/>
      <c r="C1760" s="22"/>
      <c r="D1760" s="23"/>
      <c r="E1760" s="24"/>
    </row>
    <row r="1761">
      <c r="B1761" s="25"/>
      <c r="C1761" s="22"/>
      <c r="D1761" s="23"/>
      <c r="E1761" s="24"/>
    </row>
    <row r="1762">
      <c r="B1762" s="25"/>
      <c r="C1762" s="22"/>
      <c r="D1762" s="23"/>
      <c r="E1762" s="24"/>
    </row>
    <row r="1763">
      <c r="B1763" s="25"/>
      <c r="C1763" s="22"/>
      <c r="D1763" s="23"/>
      <c r="E1763" s="24"/>
    </row>
    <row r="1764">
      <c r="B1764" s="25"/>
      <c r="C1764" s="22"/>
      <c r="D1764" s="23"/>
      <c r="E1764" s="24"/>
    </row>
    <row r="1765">
      <c r="B1765" s="25"/>
      <c r="C1765" s="22"/>
      <c r="D1765" s="23"/>
      <c r="E1765" s="24"/>
    </row>
    <row r="1766">
      <c r="B1766" s="25"/>
      <c r="C1766" s="22"/>
      <c r="D1766" s="23"/>
      <c r="E1766" s="24"/>
    </row>
    <row r="1767">
      <c r="B1767" s="25"/>
      <c r="C1767" s="22"/>
      <c r="D1767" s="23"/>
      <c r="E1767" s="24"/>
    </row>
    <row r="1768">
      <c r="B1768" s="25"/>
      <c r="C1768" s="22"/>
      <c r="D1768" s="23"/>
      <c r="E1768" s="24"/>
    </row>
    <row r="1769">
      <c r="B1769" s="25"/>
      <c r="C1769" s="22"/>
      <c r="D1769" s="23"/>
      <c r="E1769" s="24"/>
    </row>
    <row r="1770">
      <c r="B1770" s="25"/>
      <c r="C1770" s="22"/>
      <c r="D1770" s="23"/>
      <c r="E1770" s="24"/>
    </row>
    <row r="1771">
      <c r="B1771" s="25"/>
      <c r="C1771" s="22"/>
      <c r="D1771" s="23"/>
      <c r="E1771" s="24"/>
    </row>
    <row r="1772">
      <c r="B1772" s="25"/>
      <c r="C1772" s="22"/>
      <c r="D1772" s="23"/>
      <c r="E1772" s="24"/>
    </row>
    <row r="1773">
      <c r="B1773" s="25"/>
      <c r="C1773" s="22"/>
      <c r="D1773" s="23"/>
      <c r="E1773" s="24"/>
    </row>
    <row r="1774">
      <c r="B1774" s="25"/>
      <c r="C1774" s="22"/>
      <c r="D1774" s="23"/>
      <c r="E1774" s="24"/>
    </row>
    <row r="1775">
      <c r="B1775" s="25"/>
      <c r="C1775" s="22"/>
      <c r="D1775" s="23"/>
      <c r="E1775" s="24"/>
    </row>
    <row r="1776">
      <c r="B1776" s="25"/>
      <c r="C1776" s="22"/>
      <c r="D1776" s="23"/>
      <c r="E1776" s="24"/>
    </row>
    <row r="1777">
      <c r="B1777" s="25"/>
      <c r="C1777" s="22"/>
      <c r="D1777" s="23"/>
      <c r="E1777" s="24"/>
    </row>
    <row r="1778">
      <c r="B1778" s="25"/>
      <c r="C1778" s="22"/>
      <c r="D1778" s="23"/>
      <c r="E1778" s="24"/>
    </row>
    <row r="1779">
      <c r="B1779" s="25"/>
      <c r="C1779" s="22"/>
      <c r="D1779" s="23"/>
      <c r="E1779" s="24"/>
    </row>
    <row r="1780">
      <c r="B1780" s="25"/>
      <c r="C1780" s="22"/>
      <c r="D1780" s="23"/>
      <c r="E1780" s="24"/>
    </row>
    <row r="1781">
      <c r="B1781" s="25"/>
      <c r="C1781" s="22"/>
      <c r="D1781" s="23"/>
      <c r="E1781" s="24"/>
    </row>
    <row r="1782">
      <c r="B1782" s="25"/>
      <c r="C1782" s="22"/>
      <c r="D1782" s="23"/>
      <c r="E1782" s="24"/>
    </row>
    <row r="1783">
      <c r="B1783" s="25"/>
      <c r="C1783" s="22"/>
      <c r="D1783" s="23"/>
      <c r="E1783" s="24"/>
    </row>
    <row r="1784">
      <c r="B1784" s="25"/>
      <c r="C1784" s="22"/>
      <c r="D1784" s="23"/>
      <c r="E1784" s="24"/>
    </row>
    <row r="1785">
      <c r="B1785" s="25"/>
      <c r="C1785" s="22"/>
      <c r="D1785" s="23"/>
      <c r="E1785" s="24"/>
    </row>
    <row r="1786">
      <c r="B1786" s="25"/>
      <c r="C1786" s="22"/>
      <c r="D1786" s="23"/>
      <c r="E1786" s="24"/>
    </row>
    <row r="1787">
      <c r="B1787" s="25"/>
      <c r="C1787" s="22"/>
      <c r="D1787" s="23"/>
      <c r="E1787" s="24"/>
    </row>
    <row r="1788">
      <c r="B1788" s="25"/>
      <c r="C1788" s="22"/>
      <c r="D1788" s="23"/>
      <c r="E1788" s="24"/>
    </row>
    <row r="1789">
      <c r="B1789" s="25"/>
      <c r="C1789" s="22"/>
      <c r="D1789" s="23"/>
      <c r="E1789" s="24"/>
    </row>
    <row r="1790">
      <c r="B1790" s="25"/>
      <c r="C1790" s="22"/>
      <c r="D1790" s="23"/>
      <c r="E1790" s="24"/>
    </row>
    <row r="1791">
      <c r="B1791" s="25"/>
      <c r="C1791" s="22"/>
      <c r="D1791" s="23"/>
      <c r="E1791" s="24"/>
    </row>
    <row r="1792">
      <c r="B1792" s="25"/>
      <c r="C1792" s="22"/>
      <c r="D1792" s="23"/>
      <c r="E1792" s="24"/>
    </row>
    <row r="1793">
      <c r="B1793" s="25"/>
      <c r="C1793" s="22"/>
      <c r="D1793" s="23"/>
      <c r="E1793" s="24"/>
    </row>
    <row r="1794">
      <c r="B1794" s="25"/>
      <c r="C1794" s="22"/>
      <c r="D1794" s="23"/>
      <c r="E1794" s="24"/>
    </row>
    <row r="1795">
      <c r="B1795" s="25"/>
      <c r="C1795" s="22"/>
      <c r="D1795" s="23"/>
      <c r="E1795" s="24"/>
    </row>
    <row r="1796">
      <c r="B1796" s="25"/>
      <c r="C1796" s="22"/>
      <c r="D1796" s="23"/>
      <c r="E1796" s="24"/>
    </row>
    <row r="1797">
      <c r="B1797" s="25"/>
      <c r="C1797" s="22"/>
      <c r="D1797" s="23"/>
      <c r="E1797" s="24"/>
    </row>
    <row r="1798">
      <c r="B1798" s="25"/>
      <c r="C1798" s="22"/>
      <c r="D1798" s="23"/>
      <c r="E1798" s="24"/>
    </row>
    <row r="1799">
      <c r="B1799" s="25"/>
      <c r="C1799" s="22"/>
      <c r="D1799" s="23"/>
      <c r="E1799" s="24"/>
    </row>
    <row r="1800">
      <c r="B1800" s="25"/>
      <c r="C1800" s="22"/>
      <c r="D1800" s="23"/>
      <c r="E1800" s="24"/>
    </row>
    <row r="1801">
      <c r="B1801" s="25"/>
      <c r="C1801" s="22"/>
      <c r="D1801" s="23"/>
      <c r="E1801" s="24"/>
    </row>
    <row r="1802">
      <c r="B1802" s="25"/>
      <c r="C1802" s="22"/>
      <c r="D1802" s="23"/>
      <c r="E1802" s="24"/>
    </row>
    <row r="1803">
      <c r="B1803" s="25"/>
      <c r="C1803" s="22"/>
      <c r="D1803" s="23"/>
      <c r="E1803" s="24"/>
    </row>
    <row r="1804">
      <c r="B1804" s="25"/>
      <c r="C1804" s="22"/>
      <c r="D1804" s="23"/>
      <c r="E1804" s="24"/>
    </row>
    <row r="1805">
      <c r="B1805" s="25"/>
      <c r="C1805" s="22"/>
      <c r="D1805" s="23"/>
      <c r="E1805" s="24"/>
    </row>
    <row r="1806">
      <c r="B1806" s="25"/>
      <c r="C1806" s="22"/>
      <c r="D1806" s="23"/>
      <c r="E1806" s="24"/>
    </row>
    <row r="1807">
      <c r="B1807" s="25"/>
      <c r="C1807" s="22"/>
      <c r="D1807" s="23"/>
      <c r="E1807" s="24"/>
    </row>
    <row r="1808">
      <c r="B1808" s="25"/>
      <c r="C1808" s="22"/>
      <c r="D1808" s="23"/>
      <c r="E1808" s="24"/>
    </row>
    <row r="1809">
      <c r="B1809" s="25"/>
      <c r="C1809" s="22"/>
      <c r="D1809" s="23"/>
      <c r="E1809" s="24"/>
    </row>
    <row r="1810">
      <c r="B1810" s="25"/>
      <c r="C1810" s="22"/>
      <c r="D1810" s="23"/>
      <c r="E1810" s="24"/>
    </row>
    <row r="1811">
      <c r="B1811" s="25"/>
      <c r="C1811" s="22"/>
      <c r="D1811" s="23"/>
      <c r="E1811" s="24"/>
    </row>
    <row r="1812">
      <c r="B1812" s="25"/>
      <c r="C1812" s="22"/>
      <c r="D1812" s="23"/>
      <c r="E1812" s="24"/>
    </row>
    <row r="1813">
      <c r="B1813" s="25"/>
      <c r="C1813" s="22"/>
      <c r="D1813" s="23"/>
      <c r="E1813" s="24"/>
    </row>
    <row r="1814">
      <c r="B1814" s="25"/>
      <c r="C1814" s="22"/>
      <c r="D1814" s="23"/>
      <c r="E1814" s="24"/>
    </row>
    <row r="1815">
      <c r="B1815" s="25"/>
      <c r="C1815" s="22"/>
      <c r="D1815" s="23"/>
      <c r="E1815" s="24"/>
    </row>
    <row r="1816">
      <c r="B1816" s="25"/>
      <c r="C1816" s="22"/>
      <c r="D1816" s="23"/>
      <c r="E1816" s="24"/>
    </row>
    <row r="1817">
      <c r="B1817" s="25"/>
      <c r="C1817" s="22"/>
      <c r="D1817" s="23"/>
      <c r="E1817" s="24"/>
    </row>
    <row r="1818">
      <c r="B1818" s="25"/>
      <c r="C1818" s="22"/>
      <c r="D1818" s="23"/>
      <c r="E1818" s="24"/>
    </row>
    <row r="1819">
      <c r="B1819" s="25"/>
      <c r="C1819" s="22"/>
      <c r="D1819" s="23"/>
      <c r="E1819" s="24"/>
    </row>
    <row r="1820">
      <c r="B1820" s="25"/>
      <c r="C1820" s="22"/>
      <c r="D1820" s="23"/>
      <c r="E1820" s="24"/>
    </row>
    <row r="1821">
      <c r="B1821" s="25"/>
      <c r="C1821" s="22"/>
      <c r="D1821" s="23"/>
      <c r="E1821" s="24"/>
    </row>
    <row r="1822">
      <c r="B1822" s="25"/>
      <c r="C1822" s="22"/>
      <c r="D1822" s="23"/>
      <c r="E1822" s="24"/>
    </row>
    <row r="1823">
      <c r="B1823" s="25"/>
      <c r="C1823" s="22"/>
      <c r="D1823" s="23"/>
      <c r="E1823" s="24"/>
    </row>
    <row r="1824">
      <c r="B1824" s="25"/>
      <c r="C1824" s="22"/>
      <c r="D1824" s="23"/>
      <c r="E1824" s="24"/>
    </row>
    <row r="1825">
      <c r="B1825" s="25"/>
      <c r="C1825" s="22"/>
      <c r="D1825" s="23"/>
      <c r="E1825" s="24"/>
    </row>
    <row r="1826">
      <c r="B1826" s="25"/>
      <c r="C1826" s="22"/>
      <c r="D1826" s="23"/>
      <c r="E1826" s="24"/>
    </row>
    <row r="1827">
      <c r="B1827" s="25"/>
      <c r="C1827" s="22"/>
      <c r="D1827" s="23"/>
      <c r="E1827" s="24"/>
    </row>
    <row r="1828">
      <c r="B1828" s="25"/>
      <c r="C1828" s="22"/>
      <c r="D1828" s="23"/>
      <c r="E1828" s="24"/>
    </row>
    <row r="1829">
      <c r="B1829" s="25"/>
      <c r="C1829" s="22"/>
      <c r="D1829" s="23"/>
      <c r="E1829" s="24"/>
    </row>
    <row r="1830">
      <c r="B1830" s="25"/>
      <c r="C1830" s="22"/>
      <c r="D1830" s="23"/>
      <c r="E1830" s="24"/>
    </row>
    <row r="1831">
      <c r="B1831" s="25"/>
      <c r="C1831" s="22"/>
      <c r="D1831" s="23"/>
      <c r="E1831" s="24"/>
    </row>
    <row r="1832">
      <c r="B1832" s="25"/>
      <c r="C1832" s="22"/>
      <c r="D1832" s="23"/>
      <c r="E1832" s="24"/>
    </row>
    <row r="1833">
      <c r="B1833" s="25"/>
      <c r="C1833" s="22"/>
      <c r="D1833" s="23"/>
      <c r="E1833" s="24"/>
    </row>
    <row r="1834">
      <c r="B1834" s="25"/>
      <c r="C1834" s="22"/>
      <c r="D1834" s="23"/>
      <c r="E1834" s="24"/>
    </row>
    <row r="1835">
      <c r="B1835" s="25"/>
      <c r="C1835" s="22"/>
      <c r="D1835" s="23"/>
      <c r="E1835" s="24"/>
    </row>
    <row r="1836">
      <c r="B1836" s="25"/>
      <c r="C1836" s="22"/>
      <c r="D1836" s="23"/>
      <c r="E1836" s="24"/>
    </row>
    <row r="1837">
      <c r="B1837" s="25"/>
      <c r="C1837" s="22"/>
      <c r="D1837" s="23"/>
      <c r="E1837" s="24"/>
    </row>
    <row r="1838">
      <c r="B1838" s="25"/>
      <c r="C1838" s="22"/>
      <c r="D1838" s="23"/>
      <c r="E1838" s="24"/>
    </row>
    <row r="1839">
      <c r="B1839" s="25"/>
      <c r="C1839" s="22"/>
      <c r="D1839" s="23"/>
      <c r="E1839" s="24"/>
    </row>
    <row r="1840">
      <c r="B1840" s="25"/>
      <c r="C1840" s="22"/>
      <c r="D1840" s="23"/>
      <c r="E1840" s="24"/>
    </row>
    <row r="1841">
      <c r="B1841" s="25"/>
      <c r="C1841" s="22"/>
      <c r="D1841" s="23"/>
      <c r="E1841" s="24"/>
    </row>
    <row r="1842">
      <c r="B1842" s="25"/>
      <c r="C1842" s="22"/>
      <c r="D1842" s="23"/>
      <c r="E1842" s="24"/>
    </row>
    <row r="1843">
      <c r="B1843" s="25"/>
      <c r="C1843" s="22"/>
      <c r="D1843" s="23"/>
      <c r="E1843" s="24"/>
    </row>
    <row r="1844">
      <c r="B1844" s="25"/>
      <c r="C1844" s="22"/>
      <c r="D1844" s="23"/>
      <c r="E1844" s="24"/>
    </row>
    <row r="1845">
      <c r="B1845" s="25"/>
      <c r="C1845" s="22"/>
      <c r="D1845" s="23"/>
      <c r="E1845" s="24"/>
    </row>
    <row r="1846">
      <c r="B1846" s="25"/>
      <c r="C1846" s="22"/>
      <c r="D1846" s="23"/>
      <c r="E1846" s="24"/>
    </row>
    <row r="1847">
      <c r="B1847" s="25"/>
      <c r="C1847" s="22"/>
      <c r="D1847" s="23"/>
      <c r="E1847" s="24"/>
    </row>
    <row r="1848">
      <c r="B1848" s="25"/>
      <c r="C1848" s="22"/>
      <c r="D1848" s="23"/>
      <c r="E1848" s="24"/>
    </row>
    <row r="1849">
      <c r="B1849" s="25"/>
      <c r="C1849" s="22"/>
      <c r="D1849" s="23"/>
      <c r="E1849" s="24"/>
    </row>
    <row r="1850">
      <c r="B1850" s="25"/>
      <c r="C1850" s="22"/>
      <c r="D1850" s="23"/>
      <c r="E1850" s="24"/>
    </row>
    <row r="1851">
      <c r="B1851" s="25"/>
      <c r="C1851" s="22"/>
      <c r="D1851" s="23"/>
      <c r="E1851" s="24"/>
    </row>
    <row r="1852">
      <c r="B1852" s="25"/>
      <c r="C1852" s="22"/>
      <c r="D1852" s="23"/>
      <c r="E1852" s="24"/>
    </row>
    <row r="1853">
      <c r="B1853" s="25"/>
      <c r="C1853" s="22"/>
      <c r="D1853" s="23"/>
      <c r="E1853" s="24"/>
    </row>
    <row r="1854">
      <c r="B1854" s="25"/>
      <c r="C1854" s="22"/>
      <c r="D1854" s="23"/>
      <c r="E1854" s="24"/>
    </row>
    <row r="1855">
      <c r="B1855" s="25"/>
      <c r="C1855" s="22"/>
      <c r="D1855" s="23"/>
      <c r="E1855" s="24"/>
    </row>
    <row r="1856">
      <c r="B1856" s="25"/>
      <c r="C1856" s="22"/>
      <c r="D1856" s="23"/>
      <c r="E1856" s="24"/>
    </row>
    <row r="1857">
      <c r="B1857" s="25"/>
      <c r="C1857" s="22"/>
      <c r="D1857" s="23"/>
      <c r="E1857" s="24"/>
    </row>
    <row r="1858">
      <c r="B1858" s="25"/>
      <c r="C1858" s="22"/>
      <c r="D1858" s="23"/>
      <c r="E1858" s="24"/>
    </row>
    <row r="1859">
      <c r="B1859" s="25"/>
      <c r="C1859" s="22"/>
      <c r="D1859" s="23"/>
      <c r="E1859" s="24"/>
    </row>
    <row r="1860">
      <c r="B1860" s="25"/>
      <c r="C1860" s="22"/>
      <c r="D1860" s="23"/>
      <c r="E1860" s="24"/>
    </row>
    <row r="1861">
      <c r="B1861" s="25"/>
      <c r="C1861" s="22"/>
      <c r="D1861" s="23"/>
      <c r="E1861" s="24"/>
    </row>
    <row r="1862">
      <c r="B1862" s="25"/>
      <c r="C1862" s="22"/>
      <c r="D1862" s="23"/>
      <c r="E1862" s="24"/>
    </row>
    <row r="1863">
      <c r="B1863" s="25"/>
      <c r="C1863" s="22"/>
      <c r="D1863" s="23"/>
      <c r="E1863" s="24"/>
    </row>
    <row r="1864">
      <c r="B1864" s="25"/>
      <c r="C1864" s="22"/>
      <c r="D1864" s="23"/>
      <c r="E1864" s="24"/>
    </row>
    <row r="1865">
      <c r="B1865" s="25"/>
      <c r="C1865" s="22"/>
      <c r="D1865" s="23"/>
      <c r="E1865" s="24"/>
    </row>
    <row r="1866">
      <c r="B1866" s="25"/>
      <c r="C1866" s="22"/>
      <c r="D1866" s="23"/>
      <c r="E1866" s="24"/>
    </row>
    <row r="1867">
      <c r="B1867" s="25"/>
      <c r="C1867" s="22"/>
      <c r="D1867" s="23"/>
      <c r="E1867" s="24"/>
    </row>
    <row r="1868">
      <c r="B1868" s="25"/>
      <c r="C1868" s="22"/>
      <c r="D1868" s="23"/>
      <c r="E1868" s="24"/>
    </row>
    <row r="1869">
      <c r="B1869" s="25"/>
      <c r="C1869" s="22"/>
      <c r="D1869" s="23"/>
      <c r="E1869" s="24"/>
    </row>
    <row r="1870">
      <c r="B1870" s="25"/>
      <c r="C1870" s="22"/>
      <c r="D1870" s="23"/>
      <c r="E1870" s="24"/>
    </row>
    <row r="1871">
      <c r="B1871" s="25"/>
      <c r="C1871" s="22"/>
      <c r="D1871" s="23"/>
      <c r="E1871" s="24"/>
    </row>
    <row r="1872">
      <c r="B1872" s="25"/>
      <c r="C1872" s="22"/>
      <c r="D1872" s="23"/>
      <c r="E1872" s="24"/>
    </row>
    <row r="1873">
      <c r="B1873" s="25"/>
      <c r="C1873" s="22"/>
      <c r="D1873" s="23"/>
      <c r="E1873" s="24"/>
    </row>
    <row r="1874">
      <c r="B1874" s="25"/>
      <c r="C1874" s="22"/>
      <c r="D1874" s="23"/>
      <c r="E1874" s="24"/>
    </row>
    <row r="1875">
      <c r="B1875" s="25"/>
      <c r="C1875" s="22"/>
      <c r="D1875" s="23"/>
      <c r="E1875" s="24"/>
    </row>
    <row r="1876">
      <c r="B1876" s="25"/>
      <c r="C1876" s="22"/>
      <c r="D1876" s="23"/>
      <c r="E1876" s="24"/>
    </row>
    <row r="1877">
      <c r="B1877" s="25"/>
      <c r="C1877" s="22"/>
      <c r="D1877" s="23"/>
      <c r="E1877" s="24"/>
    </row>
    <row r="1878">
      <c r="B1878" s="25"/>
      <c r="C1878" s="22"/>
      <c r="D1878" s="23"/>
      <c r="E1878" s="24"/>
    </row>
    <row r="1879">
      <c r="B1879" s="25"/>
      <c r="C1879" s="22"/>
      <c r="D1879" s="23"/>
      <c r="E1879" s="24"/>
    </row>
    <row r="1880">
      <c r="B1880" s="25"/>
      <c r="C1880" s="22"/>
      <c r="D1880" s="23"/>
      <c r="E1880" s="24"/>
    </row>
    <row r="1881">
      <c r="B1881" s="25"/>
      <c r="C1881" s="22"/>
      <c r="D1881" s="23"/>
      <c r="E1881" s="24"/>
    </row>
    <row r="1882">
      <c r="B1882" s="25"/>
      <c r="C1882" s="22"/>
      <c r="D1882" s="23"/>
      <c r="E1882" s="24"/>
    </row>
    <row r="1883">
      <c r="B1883" s="25"/>
      <c r="C1883" s="22"/>
      <c r="D1883" s="23"/>
      <c r="E1883" s="24"/>
    </row>
    <row r="1884">
      <c r="B1884" s="25"/>
      <c r="C1884" s="22"/>
      <c r="D1884" s="23"/>
      <c r="E1884" s="24"/>
    </row>
    <row r="1885">
      <c r="B1885" s="25"/>
      <c r="C1885" s="22"/>
      <c r="D1885" s="23"/>
      <c r="E1885" s="24"/>
    </row>
    <row r="1886">
      <c r="B1886" s="25"/>
      <c r="C1886" s="22"/>
      <c r="D1886" s="23"/>
      <c r="E1886" s="24"/>
    </row>
    <row r="1887">
      <c r="B1887" s="25"/>
      <c r="C1887" s="22"/>
      <c r="D1887" s="23"/>
      <c r="E1887" s="24"/>
    </row>
    <row r="1888">
      <c r="B1888" s="25"/>
      <c r="C1888" s="22"/>
      <c r="D1888" s="23"/>
      <c r="E1888" s="24"/>
    </row>
    <row r="1889">
      <c r="B1889" s="25"/>
      <c r="C1889" s="22"/>
      <c r="D1889" s="23"/>
      <c r="E1889" s="24"/>
    </row>
    <row r="1890">
      <c r="B1890" s="25"/>
      <c r="C1890" s="22"/>
      <c r="D1890" s="23"/>
      <c r="E1890" s="24"/>
    </row>
    <row r="1891">
      <c r="B1891" s="25"/>
      <c r="C1891" s="22"/>
      <c r="D1891" s="23"/>
      <c r="E1891" s="24"/>
    </row>
    <row r="1892">
      <c r="B1892" s="25"/>
      <c r="C1892" s="22"/>
      <c r="D1892" s="23"/>
      <c r="E1892" s="24"/>
    </row>
    <row r="1893">
      <c r="B1893" s="25"/>
      <c r="C1893" s="22"/>
      <c r="D1893" s="23"/>
      <c r="E1893" s="24"/>
    </row>
    <row r="1894">
      <c r="B1894" s="25"/>
      <c r="C1894" s="22"/>
      <c r="D1894" s="23"/>
      <c r="E1894" s="24"/>
    </row>
    <row r="1895">
      <c r="B1895" s="25"/>
      <c r="C1895" s="22"/>
      <c r="D1895" s="23"/>
      <c r="E1895" s="24"/>
    </row>
    <row r="1896">
      <c r="B1896" s="25"/>
      <c r="C1896" s="22"/>
      <c r="D1896" s="23"/>
      <c r="E1896" s="24"/>
    </row>
    <row r="1897">
      <c r="B1897" s="25"/>
      <c r="C1897" s="22"/>
      <c r="D1897" s="23"/>
      <c r="E1897" s="24"/>
    </row>
    <row r="1898">
      <c r="B1898" s="25"/>
      <c r="C1898" s="22"/>
      <c r="D1898" s="23"/>
      <c r="E1898" s="24"/>
    </row>
    <row r="1899">
      <c r="B1899" s="25"/>
      <c r="C1899" s="22"/>
      <c r="D1899" s="23"/>
      <c r="E1899" s="24"/>
    </row>
    <row r="1900">
      <c r="B1900" s="25"/>
      <c r="C1900" s="22"/>
      <c r="D1900" s="23"/>
      <c r="E1900" s="24"/>
    </row>
    <row r="1901">
      <c r="B1901" s="25"/>
      <c r="C1901" s="22"/>
      <c r="D1901" s="23"/>
      <c r="E1901" s="24"/>
    </row>
    <row r="1902">
      <c r="B1902" s="25"/>
      <c r="C1902" s="22"/>
      <c r="D1902" s="23"/>
      <c r="E1902" s="24"/>
    </row>
    <row r="1903">
      <c r="B1903" s="25"/>
      <c r="C1903" s="22"/>
      <c r="D1903" s="23"/>
      <c r="E1903" s="24"/>
    </row>
    <row r="1904">
      <c r="B1904" s="25"/>
      <c r="C1904" s="22"/>
      <c r="D1904" s="23"/>
      <c r="E1904" s="24"/>
    </row>
    <row r="1905">
      <c r="B1905" s="25"/>
      <c r="C1905" s="22"/>
      <c r="D1905" s="23"/>
      <c r="E1905" s="24"/>
    </row>
    <row r="1906">
      <c r="B1906" s="25"/>
      <c r="C1906" s="22"/>
      <c r="D1906" s="23"/>
      <c r="E1906" s="24"/>
    </row>
    <row r="1907">
      <c r="B1907" s="25"/>
      <c r="C1907" s="22"/>
      <c r="D1907" s="23"/>
      <c r="E1907" s="24"/>
    </row>
    <row r="1908">
      <c r="B1908" s="25"/>
      <c r="C1908" s="22"/>
      <c r="D1908" s="23"/>
      <c r="E1908" s="24"/>
    </row>
    <row r="1909">
      <c r="B1909" s="25"/>
      <c r="C1909" s="22"/>
      <c r="D1909" s="23"/>
      <c r="E1909" s="24"/>
    </row>
    <row r="1910">
      <c r="B1910" s="25"/>
      <c r="C1910" s="22"/>
      <c r="D1910" s="23"/>
      <c r="E1910" s="24"/>
    </row>
    <row r="1911">
      <c r="B1911" s="25"/>
      <c r="C1911" s="22"/>
      <c r="D1911" s="23"/>
      <c r="E1911" s="24"/>
    </row>
    <row r="1912">
      <c r="B1912" s="25"/>
      <c r="C1912" s="22"/>
      <c r="D1912" s="23"/>
      <c r="E1912" s="24"/>
    </row>
    <row r="1913">
      <c r="B1913" s="25"/>
      <c r="C1913" s="22"/>
      <c r="D1913" s="23"/>
      <c r="E1913" s="24"/>
    </row>
    <row r="1914">
      <c r="B1914" s="25"/>
      <c r="C1914" s="22"/>
      <c r="D1914" s="23"/>
      <c r="E1914" s="24"/>
    </row>
    <row r="1915">
      <c r="B1915" s="25"/>
      <c r="C1915" s="22"/>
      <c r="D1915" s="23"/>
      <c r="E1915" s="24"/>
    </row>
    <row r="1916">
      <c r="B1916" s="25"/>
      <c r="C1916" s="22"/>
      <c r="D1916" s="23"/>
      <c r="E1916" s="24"/>
    </row>
    <row r="1917">
      <c r="B1917" s="25"/>
      <c r="C1917" s="22"/>
      <c r="D1917" s="23"/>
      <c r="E1917" s="24"/>
    </row>
    <row r="1918">
      <c r="B1918" s="25"/>
      <c r="C1918" s="22"/>
      <c r="D1918" s="23"/>
      <c r="E1918" s="24"/>
    </row>
    <row r="1919">
      <c r="B1919" s="25"/>
      <c r="C1919" s="22"/>
      <c r="D1919" s="23"/>
      <c r="E1919" s="24"/>
    </row>
    <row r="1920">
      <c r="B1920" s="25"/>
      <c r="C1920" s="22"/>
      <c r="D1920" s="23"/>
      <c r="E1920" s="24"/>
    </row>
    <row r="1921">
      <c r="B1921" s="25"/>
      <c r="C1921" s="22"/>
      <c r="D1921" s="23"/>
      <c r="E1921" s="24"/>
    </row>
    <row r="1922">
      <c r="B1922" s="25"/>
      <c r="C1922" s="22"/>
      <c r="D1922" s="23"/>
      <c r="E1922" s="24"/>
    </row>
    <row r="1923">
      <c r="B1923" s="25"/>
      <c r="C1923" s="22"/>
      <c r="D1923" s="23"/>
      <c r="E1923" s="24"/>
    </row>
    <row r="1924">
      <c r="B1924" s="25"/>
      <c r="C1924" s="22"/>
      <c r="D1924" s="23"/>
      <c r="E1924" s="24"/>
    </row>
    <row r="1925">
      <c r="B1925" s="25"/>
      <c r="C1925" s="22"/>
      <c r="D1925" s="23"/>
      <c r="E1925" s="24"/>
    </row>
    <row r="1926">
      <c r="B1926" s="25"/>
      <c r="C1926" s="22"/>
      <c r="D1926" s="23"/>
      <c r="E1926" s="24"/>
    </row>
    <row r="1927">
      <c r="B1927" s="25"/>
      <c r="C1927" s="22"/>
      <c r="D1927" s="23"/>
      <c r="E1927" s="24"/>
    </row>
    <row r="1928">
      <c r="B1928" s="25"/>
      <c r="C1928" s="22"/>
      <c r="D1928" s="23"/>
      <c r="E1928" s="24"/>
    </row>
    <row r="1929">
      <c r="B1929" s="25"/>
      <c r="C1929" s="22"/>
      <c r="D1929" s="23"/>
      <c r="E1929" s="24"/>
    </row>
    <row r="1930">
      <c r="B1930" s="25"/>
      <c r="C1930" s="22"/>
      <c r="D1930" s="23"/>
      <c r="E1930" s="24"/>
    </row>
    <row r="1931">
      <c r="B1931" s="25"/>
      <c r="C1931" s="22"/>
      <c r="D1931" s="23"/>
      <c r="E1931" s="24"/>
    </row>
    <row r="1932">
      <c r="B1932" s="25"/>
      <c r="C1932" s="22"/>
      <c r="D1932" s="23"/>
      <c r="E1932" s="24"/>
    </row>
    <row r="1933">
      <c r="B1933" s="25"/>
      <c r="C1933" s="22"/>
      <c r="D1933" s="23"/>
      <c r="E1933" s="24"/>
    </row>
    <row r="1934">
      <c r="B1934" s="25"/>
      <c r="C1934" s="22"/>
      <c r="D1934" s="23"/>
      <c r="E1934" s="24"/>
    </row>
    <row r="1935">
      <c r="B1935" s="25"/>
      <c r="C1935" s="22"/>
      <c r="D1935" s="23"/>
      <c r="E1935" s="24"/>
    </row>
    <row r="1936">
      <c r="B1936" s="25"/>
      <c r="C1936" s="22"/>
      <c r="D1936" s="23"/>
      <c r="E1936" s="24"/>
    </row>
    <row r="1937">
      <c r="B1937" s="25"/>
      <c r="C1937" s="22"/>
      <c r="D1937" s="23"/>
      <c r="E1937" s="24"/>
    </row>
    <row r="1938">
      <c r="B1938" s="25"/>
      <c r="C1938" s="22"/>
      <c r="D1938" s="23"/>
      <c r="E1938" s="24"/>
    </row>
    <row r="1939">
      <c r="B1939" s="25"/>
      <c r="C1939" s="22"/>
      <c r="D1939" s="23"/>
      <c r="E1939" s="24"/>
    </row>
    <row r="1940">
      <c r="B1940" s="25"/>
      <c r="C1940" s="22"/>
      <c r="D1940" s="23"/>
      <c r="E1940" s="24"/>
    </row>
    <row r="1941">
      <c r="B1941" s="25"/>
      <c r="C1941" s="22"/>
      <c r="D1941" s="23"/>
      <c r="E1941" s="24"/>
    </row>
    <row r="1942">
      <c r="B1942" s="25"/>
      <c r="C1942" s="22"/>
      <c r="D1942" s="23"/>
      <c r="E1942" s="24"/>
    </row>
    <row r="1943">
      <c r="B1943" s="25"/>
      <c r="C1943" s="22"/>
      <c r="D1943" s="23"/>
      <c r="E1943" s="24"/>
    </row>
    <row r="1944">
      <c r="B1944" s="25"/>
      <c r="C1944" s="22"/>
      <c r="D1944" s="23"/>
      <c r="E1944" s="24"/>
    </row>
    <row r="1945">
      <c r="B1945" s="25"/>
      <c r="C1945" s="22"/>
      <c r="D1945" s="23"/>
      <c r="E1945" s="24"/>
    </row>
    <row r="1946">
      <c r="B1946" s="25"/>
      <c r="C1946" s="22"/>
      <c r="D1946" s="23"/>
      <c r="E1946" s="24"/>
    </row>
    <row r="1947">
      <c r="B1947" s="25"/>
      <c r="C1947" s="22"/>
      <c r="D1947" s="23"/>
      <c r="E1947" s="24"/>
    </row>
    <row r="1948">
      <c r="B1948" s="25"/>
      <c r="C1948" s="22"/>
      <c r="D1948" s="23"/>
      <c r="E1948" s="24"/>
    </row>
    <row r="1949">
      <c r="B1949" s="25"/>
      <c r="C1949" s="22"/>
      <c r="D1949" s="23"/>
      <c r="E1949" s="24"/>
    </row>
    <row r="1950">
      <c r="B1950" s="25"/>
      <c r="C1950" s="22"/>
      <c r="D1950" s="23"/>
      <c r="E1950" s="24"/>
    </row>
    <row r="1951">
      <c r="B1951" s="25"/>
      <c r="C1951" s="22"/>
      <c r="D1951" s="23"/>
      <c r="E1951" s="24"/>
    </row>
    <row r="1952">
      <c r="B1952" s="25"/>
      <c r="C1952" s="22"/>
      <c r="D1952" s="23"/>
      <c r="E1952" s="24"/>
    </row>
    <row r="1953">
      <c r="B1953" s="25"/>
      <c r="C1953" s="22"/>
      <c r="D1953" s="23"/>
      <c r="E1953" s="24"/>
    </row>
    <row r="1954">
      <c r="B1954" s="25"/>
      <c r="C1954" s="22"/>
      <c r="D1954" s="23"/>
      <c r="E1954" s="24"/>
    </row>
    <row r="1955">
      <c r="B1955" s="25"/>
      <c r="C1955" s="22"/>
      <c r="D1955" s="23"/>
      <c r="E1955" s="24"/>
    </row>
    <row r="1956">
      <c r="B1956" s="25"/>
      <c r="C1956" s="22"/>
      <c r="D1956" s="23"/>
      <c r="E1956" s="24"/>
    </row>
    <row r="1957">
      <c r="B1957" s="25"/>
      <c r="C1957" s="22"/>
      <c r="D1957" s="23"/>
      <c r="E1957" s="24"/>
    </row>
    <row r="1958">
      <c r="B1958" s="25"/>
      <c r="C1958" s="22"/>
      <c r="D1958" s="23"/>
      <c r="E1958" s="24"/>
    </row>
    <row r="1959">
      <c r="B1959" s="25"/>
      <c r="C1959" s="22"/>
      <c r="D1959" s="23"/>
      <c r="E1959" s="24"/>
    </row>
    <row r="1960">
      <c r="B1960" s="25"/>
      <c r="C1960" s="22"/>
      <c r="D1960" s="23"/>
      <c r="E1960" s="24"/>
    </row>
    <row r="1961">
      <c r="B1961" s="25"/>
      <c r="C1961" s="22"/>
      <c r="D1961" s="23"/>
      <c r="E1961" s="24"/>
    </row>
    <row r="1962">
      <c r="B1962" s="25"/>
      <c r="C1962" s="22"/>
      <c r="D1962" s="23"/>
      <c r="E1962" s="24"/>
    </row>
    <row r="1963">
      <c r="B1963" s="25"/>
      <c r="C1963" s="22"/>
      <c r="D1963" s="23"/>
      <c r="E1963" s="24"/>
    </row>
    <row r="1964">
      <c r="B1964" s="25"/>
      <c r="C1964" s="22"/>
      <c r="D1964" s="23"/>
      <c r="E1964" s="24"/>
    </row>
    <row r="1965">
      <c r="B1965" s="25"/>
      <c r="C1965" s="22"/>
      <c r="D1965" s="23"/>
      <c r="E1965" s="24"/>
    </row>
    <row r="1966">
      <c r="B1966" s="25"/>
      <c r="C1966" s="22"/>
      <c r="D1966" s="23"/>
      <c r="E1966" s="24"/>
    </row>
    <row r="1967">
      <c r="B1967" s="25"/>
      <c r="C1967" s="22"/>
      <c r="D1967" s="23"/>
      <c r="E1967" s="24"/>
    </row>
    <row r="1968">
      <c r="B1968" s="25"/>
      <c r="C1968" s="22"/>
      <c r="D1968" s="23"/>
      <c r="E1968" s="24"/>
    </row>
    <row r="1969">
      <c r="B1969" s="25"/>
      <c r="C1969" s="22"/>
      <c r="D1969" s="23"/>
      <c r="E1969" s="24"/>
    </row>
    <row r="1970">
      <c r="B1970" s="25"/>
      <c r="C1970" s="22"/>
      <c r="D1970" s="23"/>
      <c r="E1970" s="24"/>
    </row>
    <row r="1971">
      <c r="B1971" s="25"/>
      <c r="C1971" s="22"/>
      <c r="D1971" s="23"/>
      <c r="E1971" s="24"/>
    </row>
    <row r="1972">
      <c r="B1972" s="25"/>
      <c r="C1972" s="22"/>
      <c r="D1972" s="23"/>
      <c r="E1972" s="24"/>
    </row>
    <row r="1973">
      <c r="B1973" s="25"/>
      <c r="C1973" s="22"/>
      <c r="D1973" s="23"/>
      <c r="E1973" s="24"/>
    </row>
    <row r="1974">
      <c r="B1974" s="25"/>
      <c r="C1974" s="22"/>
      <c r="D1974" s="23"/>
      <c r="E1974" s="24"/>
    </row>
    <row r="1975">
      <c r="B1975" s="25"/>
      <c r="C1975" s="22"/>
      <c r="D1975" s="23"/>
      <c r="E1975" s="24"/>
    </row>
    <row r="1976">
      <c r="B1976" s="25"/>
      <c r="C1976" s="22"/>
      <c r="D1976" s="23"/>
      <c r="E1976" s="24"/>
    </row>
    <row r="1977">
      <c r="B1977" s="25"/>
      <c r="C1977" s="22"/>
      <c r="D1977" s="23"/>
      <c r="E1977" s="24"/>
    </row>
    <row r="1978">
      <c r="B1978" s="25"/>
      <c r="C1978" s="22"/>
      <c r="D1978" s="23"/>
      <c r="E1978" s="24"/>
    </row>
    <row r="1979">
      <c r="B1979" s="25"/>
      <c r="C1979" s="22"/>
      <c r="D1979" s="23"/>
      <c r="E1979" s="24"/>
    </row>
    <row r="1980">
      <c r="B1980" s="25"/>
      <c r="C1980" s="22"/>
      <c r="D1980" s="23"/>
      <c r="E1980" s="24"/>
    </row>
    <row r="1981">
      <c r="B1981" s="25"/>
      <c r="C1981" s="22"/>
      <c r="D1981" s="23"/>
      <c r="E1981" s="24"/>
    </row>
    <row r="1982">
      <c r="B1982" s="25"/>
      <c r="C1982" s="22"/>
      <c r="D1982" s="23"/>
      <c r="E1982" s="24"/>
    </row>
    <row r="1983">
      <c r="B1983" s="25"/>
      <c r="C1983" s="22"/>
      <c r="D1983" s="23"/>
      <c r="E1983" s="24"/>
    </row>
    <row r="1984">
      <c r="B1984" s="25"/>
      <c r="C1984" s="22"/>
      <c r="D1984" s="23"/>
      <c r="E1984" s="24"/>
    </row>
    <row r="1985">
      <c r="B1985" s="25"/>
      <c r="C1985" s="22"/>
      <c r="D1985" s="23"/>
      <c r="E1985" s="24"/>
    </row>
    <row r="1986">
      <c r="B1986" s="25"/>
      <c r="C1986" s="22"/>
      <c r="D1986" s="23"/>
      <c r="E1986" s="24"/>
    </row>
    <row r="1987">
      <c r="B1987" s="25"/>
      <c r="C1987" s="22"/>
      <c r="D1987" s="23"/>
      <c r="E1987" s="24"/>
    </row>
    <row r="1988">
      <c r="B1988" s="25"/>
      <c r="C1988" s="22"/>
      <c r="D1988" s="23"/>
      <c r="E1988" s="24"/>
    </row>
    <row r="1989">
      <c r="B1989" s="25"/>
      <c r="C1989" s="22"/>
      <c r="D1989" s="23"/>
      <c r="E1989" s="24"/>
    </row>
    <row r="1990">
      <c r="B1990" s="25"/>
      <c r="C1990" s="22"/>
      <c r="D1990" s="23"/>
      <c r="E1990" s="24"/>
    </row>
    <row r="1991">
      <c r="B1991" s="25"/>
      <c r="C1991" s="22"/>
      <c r="D1991" s="23"/>
      <c r="E1991" s="24"/>
    </row>
    <row r="1992">
      <c r="B1992" s="25"/>
      <c r="C1992" s="22"/>
      <c r="D1992" s="23"/>
      <c r="E1992" s="24"/>
    </row>
    <row r="1993">
      <c r="B1993" s="25"/>
      <c r="C1993" s="22"/>
      <c r="D1993" s="23"/>
      <c r="E1993" s="24"/>
    </row>
    <row r="1994">
      <c r="B1994" s="25"/>
      <c r="C1994" s="22"/>
      <c r="D1994" s="23"/>
      <c r="E1994" s="24"/>
    </row>
    <row r="1995">
      <c r="B1995" s="25"/>
      <c r="C1995" s="22"/>
      <c r="D1995" s="23"/>
      <c r="E1995" s="24"/>
    </row>
    <row r="1996">
      <c r="B1996" s="25"/>
      <c r="C1996" s="22"/>
      <c r="D1996" s="23"/>
      <c r="E1996" s="24"/>
    </row>
    <row r="1997">
      <c r="B1997" s="25"/>
      <c r="C1997" s="22"/>
      <c r="D1997" s="23"/>
      <c r="E1997" s="24"/>
    </row>
    <row r="1998">
      <c r="B1998" s="25"/>
      <c r="C1998" s="22"/>
      <c r="D1998" s="23"/>
      <c r="E1998" s="24"/>
    </row>
    <row r="1999">
      <c r="B1999" s="25"/>
      <c r="C1999" s="22"/>
      <c r="D1999" s="23"/>
      <c r="E1999" s="24"/>
    </row>
    <row r="2000">
      <c r="B2000" s="25"/>
      <c r="C2000" s="22"/>
      <c r="D2000" s="23"/>
      <c r="E2000" s="24"/>
    </row>
    <row r="2001">
      <c r="B2001" s="25"/>
      <c r="C2001" s="22"/>
      <c r="D2001" s="23"/>
      <c r="E2001" s="24"/>
    </row>
    <row r="2002">
      <c r="B2002" s="25"/>
      <c r="C2002" s="22"/>
      <c r="D2002" s="23"/>
      <c r="E2002" s="24"/>
    </row>
    <row r="2003">
      <c r="B2003" s="25"/>
      <c r="C2003" s="22"/>
      <c r="D2003" s="23"/>
      <c r="E2003" s="24"/>
    </row>
    <row r="2004">
      <c r="B2004" s="25"/>
      <c r="C2004" s="22"/>
      <c r="D2004" s="23"/>
      <c r="E2004" s="24"/>
    </row>
    <row r="2005">
      <c r="B2005" s="25"/>
      <c r="C2005" s="22"/>
      <c r="D2005" s="23"/>
      <c r="E2005" s="24"/>
    </row>
    <row r="2006">
      <c r="B2006" s="25"/>
      <c r="C2006" s="22"/>
      <c r="D2006" s="23"/>
      <c r="E2006" s="24"/>
    </row>
    <row r="2007">
      <c r="B2007" s="25"/>
      <c r="C2007" s="22"/>
      <c r="D2007" s="23"/>
      <c r="E2007" s="24"/>
    </row>
    <row r="2008">
      <c r="B2008" s="25"/>
      <c r="C2008" s="22"/>
      <c r="D2008" s="23"/>
      <c r="E2008" s="24"/>
    </row>
    <row r="2009">
      <c r="B2009" s="25"/>
      <c r="C2009" s="22"/>
      <c r="D2009" s="23"/>
      <c r="E2009" s="24"/>
    </row>
    <row r="2010">
      <c r="B2010" s="25"/>
      <c r="C2010" s="22"/>
      <c r="D2010" s="23"/>
      <c r="E2010" s="24"/>
    </row>
    <row r="2011">
      <c r="B2011" s="25"/>
      <c r="C2011" s="22"/>
      <c r="D2011" s="23"/>
      <c r="E2011" s="24"/>
    </row>
    <row r="2012">
      <c r="B2012" s="25"/>
      <c r="C2012" s="22"/>
      <c r="D2012" s="23"/>
      <c r="E2012" s="24"/>
    </row>
    <row r="2013">
      <c r="B2013" s="25"/>
      <c r="C2013" s="22"/>
      <c r="D2013" s="23"/>
      <c r="E2013" s="24"/>
    </row>
    <row r="2014">
      <c r="B2014" s="25"/>
      <c r="C2014" s="22"/>
      <c r="D2014" s="23"/>
      <c r="E2014" s="24"/>
    </row>
    <row r="2015">
      <c r="B2015" s="25"/>
      <c r="C2015" s="22"/>
      <c r="D2015" s="23"/>
      <c r="E2015" s="24"/>
    </row>
    <row r="2016">
      <c r="B2016" s="25"/>
      <c r="C2016" s="22"/>
      <c r="D2016" s="23"/>
      <c r="E2016" s="24"/>
    </row>
    <row r="2017">
      <c r="B2017" s="25"/>
      <c r="C2017" s="22"/>
      <c r="D2017" s="23"/>
      <c r="E2017" s="24"/>
    </row>
    <row r="2018">
      <c r="B2018" s="25"/>
      <c r="C2018" s="22"/>
      <c r="D2018" s="23"/>
      <c r="E2018" s="24"/>
    </row>
    <row r="2019">
      <c r="B2019" s="25"/>
      <c r="C2019" s="22"/>
      <c r="D2019" s="23"/>
      <c r="E2019" s="24"/>
    </row>
    <row r="2020">
      <c r="B2020" s="25"/>
      <c r="C2020" s="22"/>
      <c r="D2020" s="23"/>
      <c r="E2020" s="24"/>
    </row>
    <row r="2021">
      <c r="B2021" s="25"/>
      <c r="C2021" s="22"/>
      <c r="D2021" s="23"/>
      <c r="E2021" s="24"/>
    </row>
    <row r="2022">
      <c r="B2022" s="25"/>
      <c r="C2022" s="22"/>
      <c r="D2022" s="23"/>
      <c r="E2022" s="24"/>
    </row>
    <row r="2023">
      <c r="B2023" s="25"/>
      <c r="C2023" s="22"/>
      <c r="D2023" s="23"/>
      <c r="E2023" s="24"/>
    </row>
    <row r="2024">
      <c r="B2024" s="25"/>
      <c r="C2024" s="22"/>
      <c r="D2024" s="23"/>
      <c r="E2024" s="24"/>
    </row>
    <row r="2025">
      <c r="B2025" s="25"/>
      <c r="C2025" s="22"/>
      <c r="D2025" s="23"/>
      <c r="E2025" s="24"/>
    </row>
    <row r="2026">
      <c r="B2026" s="25"/>
      <c r="C2026" s="22"/>
      <c r="D2026" s="23"/>
      <c r="E2026" s="24"/>
    </row>
    <row r="2027">
      <c r="B2027" s="25"/>
      <c r="C2027" s="22"/>
      <c r="D2027" s="23"/>
      <c r="E2027" s="24"/>
    </row>
    <row r="2028">
      <c r="B2028" s="25"/>
      <c r="C2028" s="22"/>
      <c r="D2028" s="23"/>
      <c r="E2028" s="24"/>
    </row>
    <row r="2029">
      <c r="B2029" s="25"/>
      <c r="C2029" s="22"/>
      <c r="D2029" s="23"/>
      <c r="E2029" s="24"/>
    </row>
    <row r="2030">
      <c r="B2030" s="25"/>
      <c r="C2030" s="22"/>
      <c r="D2030" s="23"/>
      <c r="E2030" s="24"/>
    </row>
    <row r="2031">
      <c r="B2031" s="25"/>
      <c r="C2031" s="22"/>
      <c r="D2031" s="23"/>
      <c r="E2031" s="24"/>
    </row>
    <row r="2032">
      <c r="B2032" s="25"/>
      <c r="C2032" s="22"/>
      <c r="D2032" s="23"/>
      <c r="E2032" s="24"/>
    </row>
    <row r="2033">
      <c r="B2033" s="25"/>
      <c r="C2033" s="22"/>
      <c r="D2033" s="23"/>
      <c r="E2033" s="24"/>
    </row>
    <row r="2034">
      <c r="B2034" s="25"/>
      <c r="C2034" s="22"/>
      <c r="D2034" s="23"/>
      <c r="E2034" s="24"/>
    </row>
    <row r="2035">
      <c r="B2035" s="25"/>
      <c r="C2035" s="22"/>
      <c r="D2035" s="23"/>
      <c r="E2035" s="24"/>
    </row>
    <row r="2036">
      <c r="B2036" s="25"/>
      <c r="C2036" s="22"/>
      <c r="D2036" s="23"/>
      <c r="E2036" s="24"/>
    </row>
    <row r="2037">
      <c r="B2037" s="25"/>
      <c r="C2037" s="22"/>
      <c r="D2037" s="23"/>
      <c r="E2037" s="24"/>
    </row>
    <row r="2038">
      <c r="B2038" s="25"/>
      <c r="C2038" s="22"/>
      <c r="D2038" s="23"/>
      <c r="E2038" s="24"/>
    </row>
    <row r="2039">
      <c r="B2039" s="25"/>
      <c r="C2039" s="22"/>
      <c r="D2039" s="23"/>
      <c r="E2039" s="24"/>
    </row>
    <row r="2040">
      <c r="B2040" s="25"/>
      <c r="C2040" s="22"/>
      <c r="D2040" s="23"/>
      <c r="E2040" s="24"/>
    </row>
    <row r="2041">
      <c r="B2041" s="25"/>
      <c r="C2041" s="22"/>
      <c r="D2041" s="23"/>
      <c r="E2041" s="24"/>
    </row>
    <row r="2042">
      <c r="B2042" s="25"/>
      <c r="C2042" s="22"/>
      <c r="D2042" s="23"/>
      <c r="E2042" s="24"/>
    </row>
    <row r="2043">
      <c r="B2043" s="25"/>
      <c r="C2043" s="22"/>
      <c r="D2043" s="23"/>
      <c r="E2043" s="24"/>
    </row>
    <row r="2044">
      <c r="B2044" s="25"/>
      <c r="C2044" s="22"/>
      <c r="D2044" s="23"/>
      <c r="E2044" s="24"/>
    </row>
    <row r="2045">
      <c r="B2045" s="25"/>
      <c r="C2045" s="22"/>
      <c r="D2045" s="23"/>
      <c r="E2045" s="24"/>
    </row>
    <row r="2046">
      <c r="B2046" s="25"/>
      <c r="C2046" s="22"/>
      <c r="D2046" s="23"/>
      <c r="E2046" s="24"/>
    </row>
    <row r="2047">
      <c r="B2047" s="25"/>
      <c r="C2047" s="22"/>
      <c r="D2047" s="23"/>
      <c r="E2047" s="24"/>
    </row>
    <row r="2048">
      <c r="B2048" s="25"/>
      <c r="C2048" s="22"/>
      <c r="D2048" s="23"/>
      <c r="E2048" s="24"/>
    </row>
    <row r="2049">
      <c r="B2049" s="25"/>
      <c r="C2049" s="22"/>
      <c r="D2049" s="23"/>
      <c r="E2049" s="24"/>
    </row>
    <row r="2050">
      <c r="B2050" s="25"/>
      <c r="C2050" s="22"/>
      <c r="D2050" s="23"/>
      <c r="E2050" s="24"/>
    </row>
    <row r="2051">
      <c r="B2051" s="25"/>
      <c r="C2051" s="22"/>
      <c r="D2051" s="23"/>
      <c r="E2051" s="24"/>
    </row>
    <row r="2052">
      <c r="B2052" s="25"/>
      <c r="C2052" s="22"/>
      <c r="D2052" s="23"/>
      <c r="E2052" s="24"/>
    </row>
    <row r="2053">
      <c r="B2053" s="25"/>
      <c r="C2053" s="22"/>
      <c r="D2053" s="23"/>
      <c r="E2053" s="24"/>
    </row>
    <row r="2054">
      <c r="B2054" s="25"/>
      <c r="C2054" s="22"/>
      <c r="D2054" s="23"/>
      <c r="E2054" s="24"/>
    </row>
    <row r="2055">
      <c r="B2055" s="25"/>
      <c r="C2055" s="22"/>
      <c r="D2055" s="23"/>
      <c r="E2055" s="24"/>
    </row>
    <row r="2056">
      <c r="B2056" s="25"/>
      <c r="C2056" s="22"/>
      <c r="D2056" s="23"/>
      <c r="E2056" s="24"/>
    </row>
    <row r="2057">
      <c r="B2057" s="25"/>
      <c r="C2057" s="22"/>
      <c r="D2057" s="23"/>
      <c r="E2057" s="24"/>
    </row>
    <row r="2058">
      <c r="B2058" s="25"/>
      <c r="C2058" s="22"/>
      <c r="D2058" s="23"/>
      <c r="E2058" s="24"/>
    </row>
    <row r="2059">
      <c r="B2059" s="25"/>
      <c r="C2059" s="22"/>
      <c r="D2059" s="23"/>
      <c r="E2059" s="24"/>
    </row>
    <row r="2060">
      <c r="B2060" s="25"/>
      <c r="C2060" s="22"/>
      <c r="D2060" s="23"/>
      <c r="E2060" s="24"/>
    </row>
    <row r="2061">
      <c r="B2061" s="25"/>
      <c r="C2061" s="22"/>
      <c r="D2061" s="23"/>
      <c r="E2061" s="24"/>
    </row>
    <row r="2062">
      <c r="B2062" s="25"/>
      <c r="C2062" s="22"/>
      <c r="D2062" s="23"/>
      <c r="E2062" s="24"/>
    </row>
    <row r="2063">
      <c r="B2063" s="25"/>
      <c r="C2063" s="22"/>
      <c r="D2063" s="23"/>
      <c r="E2063" s="24"/>
    </row>
    <row r="2064">
      <c r="B2064" s="25"/>
      <c r="C2064" s="22"/>
      <c r="D2064" s="23"/>
      <c r="E2064" s="24"/>
    </row>
    <row r="2065">
      <c r="B2065" s="25"/>
      <c r="C2065" s="22"/>
      <c r="D2065" s="23"/>
      <c r="E2065" s="24"/>
    </row>
    <row r="2066">
      <c r="B2066" s="25"/>
      <c r="C2066" s="22"/>
      <c r="D2066" s="23"/>
      <c r="E2066" s="24"/>
    </row>
    <row r="2067">
      <c r="B2067" s="25"/>
      <c r="C2067" s="22"/>
      <c r="D2067" s="23"/>
      <c r="E2067" s="24"/>
    </row>
    <row r="2068">
      <c r="B2068" s="25"/>
      <c r="C2068" s="22"/>
      <c r="D2068" s="23"/>
      <c r="E2068" s="24"/>
    </row>
    <row r="2069">
      <c r="B2069" s="25"/>
      <c r="C2069" s="22"/>
      <c r="D2069" s="23"/>
      <c r="E2069" s="24"/>
    </row>
    <row r="2070">
      <c r="B2070" s="25"/>
      <c r="C2070" s="22"/>
      <c r="D2070" s="23"/>
      <c r="E2070" s="24"/>
    </row>
    <row r="2071">
      <c r="B2071" s="25"/>
      <c r="C2071" s="22"/>
      <c r="D2071" s="23"/>
      <c r="E2071" s="24"/>
    </row>
    <row r="2072">
      <c r="B2072" s="25"/>
      <c r="C2072" s="22"/>
      <c r="D2072" s="23"/>
      <c r="E2072" s="24"/>
    </row>
    <row r="2073">
      <c r="B2073" s="25"/>
      <c r="C2073" s="22"/>
      <c r="D2073" s="23"/>
      <c r="E2073" s="24"/>
    </row>
    <row r="2074">
      <c r="B2074" s="25"/>
      <c r="C2074" s="22"/>
      <c r="D2074" s="23"/>
      <c r="E2074" s="24"/>
    </row>
    <row r="2075">
      <c r="B2075" s="25"/>
      <c r="C2075" s="22"/>
      <c r="D2075" s="23"/>
      <c r="E2075" s="24"/>
    </row>
    <row r="2076">
      <c r="B2076" s="25"/>
      <c r="C2076" s="22"/>
      <c r="D2076" s="23"/>
      <c r="E2076" s="24"/>
    </row>
    <row r="2077">
      <c r="B2077" s="25"/>
      <c r="C2077" s="22"/>
      <c r="D2077" s="23"/>
      <c r="E2077" s="24"/>
    </row>
    <row r="2078">
      <c r="B2078" s="25"/>
      <c r="C2078" s="22"/>
      <c r="D2078" s="23"/>
      <c r="E2078" s="24"/>
    </row>
    <row r="2079">
      <c r="B2079" s="25"/>
      <c r="C2079" s="22"/>
      <c r="D2079" s="23"/>
      <c r="E2079" s="24"/>
    </row>
    <row r="2080">
      <c r="B2080" s="25"/>
      <c r="C2080" s="22"/>
      <c r="D2080" s="23"/>
      <c r="E2080" s="24"/>
    </row>
    <row r="2081">
      <c r="B2081" s="25"/>
      <c r="C2081" s="22"/>
      <c r="D2081" s="23"/>
      <c r="E2081" s="24"/>
    </row>
    <row r="2082">
      <c r="B2082" s="25"/>
      <c r="C2082" s="22"/>
      <c r="D2082" s="23"/>
      <c r="E2082" s="24"/>
    </row>
    <row r="2083">
      <c r="B2083" s="25"/>
      <c r="C2083" s="22"/>
      <c r="D2083" s="23"/>
      <c r="E2083" s="24"/>
    </row>
    <row r="2084">
      <c r="B2084" s="25"/>
      <c r="C2084" s="22"/>
      <c r="D2084" s="23"/>
      <c r="E2084" s="24"/>
    </row>
    <row r="2085">
      <c r="B2085" s="25"/>
      <c r="C2085" s="22"/>
      <c r="D2085" s="23"/>
      <c r="E2085" s="24"/>
    </row>
    <row r="2086">
      <c r="B2086" s="25"/>
      <c r="C2086" s="22"/>
      <c r="D2086" s="23"/>
      <c r="E2086" s="24"/>
    </row>
    <row r="2087">
      <c r="B2087" s="25"/>
      <c r="C2087" s="22"/>
      <c r="D2087" s="23"/>
      <c r="E2087" s="24"/>
    </row>
    <row r="2088">
      <c r="B2088" s="25"/>
      <c r="C2088" s="22"/>
      <c r="D2088" s="23"/>
      <c r="E2088" s="24"/>
    </row>
    <row r="2089">
      <c r="B2089" s="25"/>
      <c r="C2089" s="22"/>
      <c r="D2089" s="23"/>
      <c r="E2089" s="24"/>
    </row>
    <row r="2090">
      <c r="B2090" s="25"/>
      <c r="C2090" s="22"/>
      <c r="D2090" s="23"/>
      <c r="E2090" s="24"/>
    </row>
    <row r="2091">
      <c r="B2091" s="25"/>
      <c r="C2091" s="22"/>
      <c r="D2091" s="23"/>
      <c r="E2091" s="24"/>
    </row>
    <row r="2092">
      <c r="B2092" s="25"/>
      <c r="C2092" s="22"/>
      <c r="D2092" s="23"/>
      <c r="E2092" s="24"/>
    </row>
    <row r="2093">
      <c r="B2093" s="25"/>
      <c r="C2093" s="22"/>
      <c r="D2093" s="23"/>
      <c r="E2093" s="24"/>
    </row>
    <row r="2094">
      <c r="B2094" s="25"/>
      <c r="C2094" s="22"/>
      <c r="D2094" s="23"/>
      <c r="E2094" s="24"/>
    </row>
    <row r="2095">
      <c r="B2095" s="25"/>
      <c r="C2095" s="22"/>
      <c r="D2095" s="23"/>
      <c r="E2095" s="24"/>
    </row>
    <row r="2096">
      <c r="B2096" s="25"/>
      <c r="C2096" s="22"/>
      <c r="D2096" s="23"/>
      <c r="E2096" s="24"/>
    </row>
    <row r="2097">
      <c r="B2097" s="25"/>
      <c r="C2097" s="22"/>
      <c r="D2097" s="23"/>
      <c r="E2097" s="24"/>
    </row>
    <row r="2098">
      <c r="B2098" s="25"/>
      <c r="C2098" s="22"/>
      <c r="D2098" s="23"/>
      <c r="E2098" s="24"/>
    </row>
    <row r="2099">
      <c r="B2099" s="25"/>
      <c r="C2099" s="22"/>
      <c r="D2099" s="23"/>
      <c r="E2099" s="24"/>
    </row>
    <row r="2100">
      <c r="B2100" s="25"/>
      <c r="C2100" s="22"/>
      <c r="D2100" s="23"/>
      <c r="E2100" s="24"/>
    </row>
    <row r="2101">
      <c r="B2101" s="25"/>
      <c r="C2101" s="22"/>
      <c r="D2101" s="23"/>
      <c r="E2101" s="24"/>
    </row>
    <row r="2102">
      <c r="B2102" s="25"/>
      <c r="C2102" s="22"/>
      <c r="D2102" s="23"/>
      <c r="E2102" s="24"/>
    </row>
    <row r="2103">
      <c r="B2103" s="25"/>
      <c r="C2103" s="22"/>
      <c r="D2103" s="23"/>
      <c r="E2103" s="24"/>
    </row>
    <row r="2104">
      <c r="B2104" s="25"/>
      <c r="C2104" s="22"/>
      <c r="D2104" s="23"/>
      <c r="E2104" s="24"/>
    </row>
    <row r="2105">
      <c r="B2105" s="25"/>
      <c r="C2105" s="22"/>
      <c r="D2105" s="23"/>
      <c r="E2105" s="24"/>
    </row>
    <row r="2106">
      <c r="B2106" s="25"/>
      <c r="C2106" s="22"/>
      <c r="D2106" s="23"/>
      <c r="E2106" s="24"/>
    </row>
    <row r="2107">
      <c r="B2107" s="25"/>
      <c r="C2107" s="22"/>
      <c r="D2107" s="23"/>
      <c r="E2107" s="24"/>
    </row>
    <row r="2108">
      <c r="B2108" s="25"/>
      <c r="C2108" s="22"/>
      <c r="D2108" s="23"/>
      <c r="E2108" s="24"/>
    </row>
    <row r="2109">
      <c r="B2109" s="25"/>
      <c r="C2109" s="22"/>
      <c r="D2109" s="23"/>
      <c r="E2109" s="24"/>
    </row>
    <row r="2110">
      <c r="B2110" s="25"/>
      <c r="C2110" s="22"/>
      <c r="D2110" s="23"/>
      <c r="E2110" s="24"/>
    </row>
    <row r="2111">
      <c r="B2111" s="25"/>
      <c r="C2111" s="22"/>
      <c r="D2111" s="23"/>
      <c r="E2111" s="24"/>
    </row>
    <row r="2112">
      <c r="B2112" s="25"/>
      <c r="C2112" s="22"/>
      <c r="D2112" s="23"/>
      <c r="E2112" s="24"/>
    </row>
    <row r="2113">
      <c r="B2113" s="25"/>
      <c r="C2113" s="22"/>
      <c r="D2113" s="23"/>
      <c r="E2113" s="24"/>
    </row>
    <row r="2114">
      <c r="B2114" s="25"/>
      <c r="C2114" s="22"/>
      <c r="D2114" s="23"/>
      <c r="E2114" s="24"/>
    </row>
    <row r="2115">
      <c r="B2115" s="25"/>
      <c r="C2115" s="22"/>
      <c r="D2115" s="23"/>
      <c r="E2115" s="24"/>
    </row>
    <row r="2116">
      <c r="B2116" s="25"/>
      <c r="C2116" s="22"/>
      <c r="D2116" s="23"/>
      <c r="E2116" s="24"/>
    </row>
    <row r="2117">
      <c r="B2117" s="25"/>
      <c r="C2117" s="22"/>
      <c r="D2117" s="23"/>
      <c r="E2117" s="24"/>
    </row>
    <row r="2118">
      <c r="B2118" s="25"/>
      <c r="C2118" s="22"/>
      <c r="D2118" s="23"/>
      <c r="E2118" s="24"/>
    </row>
    <row r="2119">
      <c r="B2119" s="25"/>
      <c r="C2119" s="22"/>
      <c r="D2119" s="23"/>
      <c r="E2119" s="24"/>
    </row>
    <row r="2120">
      <c r="B2120" s="25"/>
      <c r="C2120" s="22"/>
      <c r="D2120" s="23"/>
      <c r="E2120" s="24"/>
    </row>
    <row r="2121">
      <c r="B2121" s="25"/>
      <c r="C2121" s="22"/>
      <c r="D2121" s="23"/>
      <c r="E2121" s="24"/>
    </row>
    <row r="2122">
      <c r="B2122" s="25"/>
      <c r="C2122" s="22"/>
      <c r="D2122" s="23"/>
      <c r="E2122" s="24"/>
    </row>
    <row r="2123">
      <c r="B2123" s="25"/>
      <c r="C2123" s="22"/>
      <c r="D2123" s="23"/>
      <c r="E2123" s="24"/>
    </row>
    <row r="2124">
      <c r="B2124" s="25"/>
      <c r="C2124" s="22"/>
      <c r="D2124" s="23"/>
      <c r="E2124" s="24"/>
    </row>
    <row r="2125">
      <c r="B2125" s="25"/>
      <c r="C2125" s="22"/>
      <c r="D2125" s="23"/>
      <c r="E2125" s="24"/>
    </row>
    <row r="2126">
      <c r="B2126" s="25"/>
      <c r="C2126" s="22"/>
      <c r="D2126" s="23"/>
      <c r="E2126" s="24"/>
    </row>
    <row r="2127">
      <c r="B2127" s="25"/>
      <c r="C2127" s="22"/>
      <c r="D2127" s="23"/>
      <c r="E2127" s="24"/>
    </row>
    <row r="2128">
      <c r="B2128" s="25"/>
      <c r="C2128" s="22"/>
      <c r="D2128" s="23"/>
      <c r="E2128" s="24"/>
    </row>
    <row r="2129">
      <c r="B2129" s="25"/>
      <c r="C2129" s="22"/>
      <c r="D2129" s="23"/>
      <c r="E2129" s="24"/>
    </row>
    <row r="2130">
      <c r="B2130" s="25"/>
      <c r="C2130" s="22"/>
      <c r="D2130" s="23"/>
      <c r="E2130" s="24"/>
    </row>
    <row r="2131">
      <c r="B2131" s="25"/>
      <c r="C2131" s="22"/>
      <c r="D2131" s="23"/>
      <c r="E2131" s="24"/>
    </row>
    <row r="2132">
      <c r="B2132" s="25"/>
      <c r="C2132" s="22"/>
      <c r="D2132" s="23"/>
      <c r="E2132" s="24"/>
    </row>
    <row r="2133">
      <c r="B2133" s="25"/>
      <c r="C2133" s="22"/>
      <c r="D2133" s="23"/>
      <c r="E2133" s="24"/>
    </row>
    <row r="2134">
      <c r="B2134" s="25"/>
      <c r="C2134" s="22"/>
      <c r="D2134" s="23"/>
      <c r="E2134" s="24"/>
    </row>
    <row r="2135">
      <c r="B2135" s="25"/>
      <c r="C2135" s="22"/>
      <c r="D2135" s="23"/>
      <c r="E2135" s="24"/>
    </row>
    <row r="2136">
      <c r="B2136" s="25"/>
      <c r="C2136" s="22"/>
      <c r="D2136" s="23"/>
      <c r="E2136" s="24"/>
    </row>
    <row r="2137">
      <c r="B2137" s="25"/>
      <c r="C2137" s="22"/>
      <c r="D2137" s="23"/>
      <c r="E2137" s="24"/>
    </row>
    <row r="2138">
      <c r="B2138" s="25"/>
      <c r="C2138" s="22"/>
      <c r="D2138" s="23"/>
      <c r="E2138" s="24"/>
    </row>
    <row r="2139">
      <c r="B2139" s="25"/>
      <c r="C2139" s="22"/>
      <c r="D2139" s="23"/>
      <c r="E2139" s="24"/>
    </row>
    <row r="2140">
      <c r="B2140" s="25"/>
      <c r="C2140" s="22"/>
      <c r="D2140" s="23"/>
      <c r="E2140" s="24"/>
    </row>
    <row r="2141">
      <c r="B2141" s="25"/>
      <c r="C2141" s="22"/>
      <c r="D2141" s="23"/>
      <c r="E2141" s="24"/>
    </row>
    <row r="2142">
      <c r="B2142" s="25"/>
      <c r="C2142" s="22"/>
      <c r="D2142" s="23"/>
      <c r="E2142" s="24"/>
    </row>
    <row r="2143">
      <c r="B2143" s="25"/>
      <c r="C2143" s="22"/>
      <c r="D2143" s="23"/>
      <c r="E2143" s="24"/>
    </row>
    <row r="2144">
      <c r="B2144" s="25"/>
      <c r="C2144" s="22"/>
      <c r="D2144" s="23"/>
      <c r="E2144" s="24"/>
    </row>
    <row r="2145">
      <c r="B2145" s="25"/>
      <c r="C2145" s="22"/>
      <c r="D2145" s="23"/>
      <c r="E2145" s="24"/>
    </row>
    <row r="2146">
      <c r="B2146" s="25"/>
      <c r="C2146" s="22"/>
      <c r="D2146" s="23"/>
      <c r="E2146" s="24"/>
    </row>
    <row r="2147">
      <c r="B2147" s="25"/>
      <c r="C2147" s="22"/>
      <c r="D2147" s="23"/>
      <c r="E2147" s="24"/>
    </row>
    <row r="2148">
      <c r="B2148" s="25"/>
      <c r="C2148" s="22"/>
      <c r="D2148" s="23"/>
      <c r="E2148" s="24"/>
    </row>
    <row r="2149">
      <c r="B2149" s="25"/>
      <c r="C2149" s="22"/>
      <c r="D2149" s="23"/>
      <c r="E2149" s="24"/>
    </row>
    <row r="2150">
      <c r="B2150" s="25"/>
      <c r="C2150" s="22"/>
      <c r="D2150" s="23"/>
      <c r="E2150" s="24"/>
    </row>
    <row r="2151">
      <c r="B2151" s="25"/>
      <c r="C2151" s="22"/>
      <c r="D2151" s="23"/>
      <c r="E2151" s="24"/>
    </row>
    <row r="2152">
      <c r="B2152" s="25"/>
      <c r="C2152" s="22"/>
      <c r="D2152" s="23"/>
      <c r="E2152" s="24"/>
    </row>
    <row r="2153">
      <c r="B2153" s="25"/>
      <c r="C2153" s="22"/>
      <c r="D2153" s="23"/>
      <c r="E2153" s="24"/>
    </row>
    <row r="2154">
      <c r="B2154" s="25"/>
      <c r="C2154" s="22"/>
      <c r="D2154" s="23"/>
      <c r="E2154" s="24"/>
    </row>
    <row r="2155">
      <c r="B2155" s="25"/>
      <c r="C2155" s="22"/>
      <c r="D2155" s="23"/>
      <c r="E2155" s="24"/>
    </row>
    <row r="2156">
      <c r="B2156" s="25"/>
      <c r="C2156" s="22"/>
      <c r="D2156" s="23"/>
      <c r="E2156" s="24"/>
    </row>
    <row r="2157">
      <c r="B2157" s="25"/>
      <c r="C2157" s="22"/>
      <c r="D2157" s="23"/>
      <c r="E2157" s="24"/>
    </row>
    <row r="2158">
      <c r="B2158" s="25"/>
      <c r="C2158" s="22"/>
      <c r="D2158" s="23"/>
      <c r="E2158" s="24"/>
    </row>
    <row r="2159">
      <c r="B2159" s="25"/>
      <c r="C2159" s="22"/>
      <c r="D2159" s="23"/>
      <c r="E2159" s="24"/>
    </row>
    <row r="2160">
      <c r="B2160" s="25"/>
      <c r="C2160" s="22"/>
      <c r="D2160" s="23"/>
      <c r="E2160" s="24"/>
    </row>
    <row r="2161">
      <c r="B2161" s="25"/>
      <c r="C2161" s="22"/>
      <c r="D2161" s="23"/>
      <c r="E2161" s="24"/>
    </row>
    <row r="2162">
      <c r="B2162" s="25"/>
      <c r="C2162" s="22"/>
      <c r="D2162" s="23"/>
      <c r="E2162" s="24"/>
    </row>
    <row r="2163">
      <c r="B2163" s="25"/>
      <c r="C2163" s="22"/>
      <c r="D2163" s="23"/>
      <c r="E2163" s="24"/>
    </row>
    <row r="2164">
      <c r="B2164" s="25"/>
      <c r="C2164" s="22"/>
      <c r="D2164" s="23"/>
      <c r="E2164" s="24"/>
    </row>
    <row r="2165">
      <c r="B2165" s="25"/>
      <c r="C2165" s="22"/>
      <c r="D2165" s="23"/>
      <c r="E2165" s="24"/>
    </row>
    <row r="2166">
      <c r="B2166" s="25"/>
      <c r="C2166" s="22"/>
      <c r="D2166" s="23"/>
      <c r="E2166" s="24"/>
    </row>
    <row r="2167">
      <c r="B2167" s="25"/>
      <c r="C2167" s="22"/>
      <c r="D2167" s="23"/>
      <c r="E2167" s="24"/>
    </row>
    <row r="2168">
      <c r="B2168" s="25"/>
      <c r="C2168" s="22"/>
      <c r="D2168" s="23"/>
      <c r="E2168" s="24"/>
    </row>
    <row r="2169">
      <c r="B2169" s="25"/>
      <c r="C2169" s="22"/>
      <c r="D2169" s="23"/>
      <c r="E2169" s="24"/>
    </row>
    <row r="2170">
      <c r="B2170" s="25"/>
      <c r="C2170" s="22"/>
      <c r="D2170" s="23"/>
      <c r="E2170" s="24"/>
    </row>
    <row r="2171">
      <c r="B2171" s="25"/>
      <c r="C2171" s="22"/>
      <c r="D2171" s="23"/>
      <c r="E2171" s="24"/>
    </row>
    <row r="2172">
      <c r="B2172" s="25"/>
      <c r="C2172" s="22"/>
      <c r="D2172" s="23"/>
      <c r="E2172" s="24"/>
    </row>
    <row r="2173">
      <c r="B2173" s="25"/>
      <c r="C2173" s="22"/>
      <c r="D2173" s="23"/>
      <c r="E2173" s="24"/>
    </row>
    <row r="2174">
      <c r="B2174" s="25"/>
      <c r="C2174" s="22"/>
      <c r="D2174" s="23"/>
      <c r="E2174" s="24"/>
    </row>
    <row r="2175">
      <c r="B2175" s="25"/>
      <c r="C2175" s="22"/>
      <c r="D2175" s="23"/>
      <c r="E2175" s="24"/>
    </row>
    <row r="2176">
      <c r="B2176" s="25"/>
      <c r="C2176" s="22"/>
      <c r="D2176" s="23"/>
      <c r="E2176" s="24"/>
    </row>
    <row r="2177">
      <c r="B2177" s="25"/>
      <c r="C2177" s="22"/>
      <c r="D2177" s="23"/>
      <c r="E2177" s="24"/>
    </row>
    <row r="2178">
      <c r="B2178" s="25"/>
      <c r="C2178" s="22"/>
      <c r="D2178" s="23"/>
      <c r="E2178" s="24"/>
    </row>
    <row r="2179">
      <c r="B2179" s="25"/>
      <c r="C2179" s="22"/>
      <c r="D2179" s="23"/>
      <c r="E2179" s="24"/>
    </row>
    <row r="2180">
      <c r="B2180" s="25"/>
      <c r="C2180" s="22"/>
      <c r="D2180" s="23"/>
      <c r="E2180" s="24"/>
    </row>
    <row r="2181">
      <c r="B2181" s="25"/>
      <c r="C2181" s="22"/>
      <c r="D2181" s="23"/>
      <c r="E2181" s="24"/>
    </row>
    <row r="2182">
      <c r="B2182" s="25"/>
      <c r="C2182" s="22"/>
      <c r="D2182" s="23"/>
      <c r="E2182" s="24"/>
    </row>
    <row r="2183">
      <c r="B2183" s="25"/>
      <c r="C2183" s="22"/>
      <c r="D2183" s="23"/>
      <c r="E2183" s="24"/>
    </row>
    <row r="2184">
      <c r="B2184" s="25"/>
      <c r="C2184" s="22"/>
      <c r="D2184" s="23"/>
      <c r="E2184" s="24"/>
    </row>
    <row r="2185">
      <c r="B2185" s="25"/>
      <c r="C2185" s="22"/>
      <c r="D2185" s="23"/>
      <c r="E2185" s="24"/>
    </row>
    <row r="2186">
      <c r="B2186" s="25"/>
      <c r="C2186" s="22"/>
      <c r="D2186" s="23"/>
      <c r="E2186" s="24"/>
    </row>
    <row r="2187">
      <c r="B2187" s="25"/>
      <c r="C2187" s="22"/>
      <c r="D2187" s="23"/>
      <c r="E2187" s="24"/>
    </row>
    <row r="2188">
      <c r="B2188" s="25"/>
      <c r="C2188" s="22"/>
      <c r="D2188" s="23"/>
      <c r="E2188" s="24"/>
    </row>
    <row r="2189">
      <c r="B2189" s="25"/>
      <c r="C2189" s="22"/>
      <c r="D2189" s="23"/>
      <c r="E2189" s="24"/>
    </row>
    <row r="2190">
      <c r="B2190" s="25"/>
      <c r="C2190" s="22"/>
      <c r="D2190" s="23"/>
      <c r="E2190" s="24"/>
    </row>
    <row r="2191">
      <c r="B2191" s="25"/>
      <c r="C2191" s="22"/>
      <c r="D2191" s="23"/>
      <c r="E2191" s="24"/>
    </row>
    <row r="2192">
      <c r="B2192" s="25"/>
      <c r="C2192" s="22"/>
      <c r="D2192" s="23"/>
      <c r="E2192" s="24"/>
    </row>
    <row r="2193">
      <c r="B2193" s="25"/>
      <c r="C2193" s="22"/>
      <c r="D2193" s="23"/>
      <c r="E2193" s="24"/>
    </row>
    <row r="2194">
      <c r="B2194" s="25"/>
      <c r="C2194" s="22"/>
      <c r="D2194" s="23"/>
      <c r="E2194" s="24"/>
    </row>
    <row r="2195">
      <c r="B2195" s="25"/>
      <c r="C2195" s="22"/>
      <c r="D2195" s="23"/>
      <c r="E2195" s="24"/>
    </row>
    <row r="2196">
      <c r="B2196" s="25"/>
      <c r="C2196" s="22"/>
      <c r="D2196" s="23"/>
      <c r="E2196" s="24"/>
    </row>
    <row r="2197">
      <c r="B2197" s="25"/>
      <c r="C2197" s="22"/>
      <c r="D2197" s="23"/>
      <c r="E2197" s="24"/>
    </row>
    <row r="2198">
      <c r="B2198" s="25"/>
      <c r="C2198" s="22"/>
      <c r="D2198" s="23"/>
      <c r="E2198" s="24"/>
    </row>
    <row r="2199">
      <c r="B2199" s="25"/>
      <c r="C2199" s="22"/>
      <c r="D2199" s="23"/>
      <c r="E2199" s="24"/>
    </row>
    <row r="2200">
      <c r="B2200" s="25"/>
      <c r="C2200" s="22"/>
      <c r="D2200" s="23"/>
      <c r="E2200" s="24"/>
    </row>
    <row r="2201">
      <c r="B2201" s="25"/>
      <c r="C2201" s="22"/>
      <c r="D2201" s="23"/>
      <c r="E2201" s="24"/>
    </row>
    <row r="2202">
      <c r="B2202" s="25"/>
      <c r="C2202" s="22"/>
      <c r="D2202" s="23"/>
      <c r="E2202" s="24"/>
    </row>
    <row r="2203">
      <c r="B2203" s="25"/>
      <c r="C2203" s="22"/>
      <c r="D2203" s="23"/>
      <c r="E2203" s="24"/>
    </row>
    <row r="2204">
      <c r="B2204" s="25"/>
      <c r="C2204" s="22"/>
      <c r="D2204" s="23"/>
      <c r="E2204" s="24"/>
    </row>
    <row r="2205">
      <c r="B2205" s="25"/>
      <c r="C2205" s="22"/>
      <c r="D2205" s="23"/>
      <c r="E2205" s="24"/>
    </row>
    <row r="2206">
      <c r="B2206" s="25"/>
      <c r="C2206" s="22"/>
      <c r="D2206" s="23"/>
      <c r="E2206" s="24"/>
    </row>
    <row r="2207">
      <c r="B2207" s="25"/>
      <c r="C2207" s="22"/>
      <c r="D2207" s="23"/>
      <c r="E2207" s="24"/>
    </row>
    <row r="2208">
      <c r="B2208" s="25"/>
      <c r="C2208" s="22"/>
      <c r="D2208" s="23"/>
      <c r="E2208" s="24"/>
    </row>
    <row r="2209">
      <c r="B2209" s="25"/>
      <c r="C2209" s="22"/>
      <c r="D2209" s="23"/>
      <c r="E2209" s="24"/>
    </row>
    <row r="2210">
      <c r="B2210" s="25"/>
      <c r="C2210" s="22"/>
      <c r="D2210" s="23"/>
      <c r="E2210" s="24"/>
    </row>
    <row r="2211">
      <c r="B2211" s="25"/>
      <c r="C2211" s="22"/>
      <c r="D2211" s="23"/>
      <c r="E2211" s="24"/>
    </row>
    <row r="2212">
      <c r="B2212" s="25"/>
      <c r="C2212" s="22"/>
      <c r="D2212" s="23"/>
      <c r="E2212" s="24"/>
    </row>
    <row r="2213">
      <c r="B2213" s="25"/>
      <c r="C2213" s="22"/>
      <c r="D2213" s="23"/>
      <c r="E2213" s="24"/>
    </row>
    <row r="2214">
      <c r="B2214" s="25"/>
      <c r="C2214" s="22"/>
      <c r="D2214" s="23"/>
      <c r="E2214" s="24"/>
    </row>
    <row r="2215">
      <c r="B2215" s="25"/>
      <c r="C2215" s="22"/>
      <c r="D2215" s="23"/>
      <c r="E2215" s="24"/>
    </row>
    <row r="2216">
      <c r="B2216" s="25"/>
      <c r="C2216" s="22"/>
      <c r="D2216" s="23"/>
      <c r="E2216" s="24"/>
    </row>
    <row r="2217">
      <c r="B2217" s="25"/>
      <c r="C2217" s="22"/>
      <c r="D2217" s="23"/>
      <c r="E2217" s="24"/>
    </row>
    <row r="2218">
      <c r="B2218" s="25"/>
      <c r="C2218" s="22"/>
      <c r="D2218" s="23"/>
      <c r="E2218" s="24"/>
    </row>
    <row r="2219">
      <c r="B2219" s="25"/>
      <c r="C2219" s="22"/>
      <c r="D2219" s="23"/>
      <c r="E2219" s="24"/>
    </row>
    <row r="2220">
      <c r="B2220" s="25"/>
      <c r="C2220" s="22"/>
      <c r="D2220" s="23"/>
      <c r="E2220" s="24"/>
    </row>
    <row r="2221">
      <c r="B2221" s="25"/>
      <c r="C2221" s="22"/>
      <c r="D2221" s="23"/>
      <c r="E2221" s="24"/>
    </row>
    <row r="2222">
      <c r="B2222" s="25"/>
      <c r="C2222" s="22"/>
      <c r="D2222" s="23"/>
      <c r="E2222" s="24"/>
    </row>
    <row r="2223">
      <c r="B2223" s="25"/>
      <c r="C2223" s="22"/>
      <c r="D2223" s="23"/>
      <c r="E2223" s="24"/>
    </row>
    <row r="2224">
      <c r="B2224" s="25"/>
      <c r="C2224" s="22"/>
      <c r="D2224" s="23"/>
      <c r="E2224" s="24"/>
    </row>
    <row r="2225">
      <c r="B2225" s="25"/>
      <c r="C2225" s="22"/>
      <c r="D2225" s="23"/>
      <c r="E2225" s="24"/>
    </row>
    <row r="2226">
      <c r="B2226" s="25"/>
      <c r="C2226" s="22"/>
      <c r="D2226" s="23"/>
      <c r="E2226" s="24"/>
    </row>
    <row r="2227">
      <c r="B2227" s="25"/>
      <c r="C2227" s="22"/>
      <c r="D2227" s="23"/>
      <c r="E2227" s="24"/>
    </row>
    <row r="2228">
      <c r="B2228" s="25"/>
      <c r="C2228" s="22"/>
      <c r="D2228" s="23"/>
      <c r="E2228" s="24"/>
    </row>
    <row r="2229">
      <c r="B2229" s="25"/>
      <c r="C2229" s="22"/>
      <c r="D2229" s="23"/>
      <c r="E2229" s="24"/>
    </row>
    <row r="2230">
      <c r="B2230" s="25"/>
      <c r="C2230" s="22"/>
      <c r="D2230" s="23"/>
      <c r="E2230" s="24"/>
    </row>
    <row r="2231">
      <c r="B2231" s="25"/>
      <c r="C2231" s="22"/>
      <c r="D2231" s="23"/>
      <c r="E2231" s="24"/>
    </row>
    <row r="2232">
      <c r="B2232" s="25"/>
      <c r="C2232" s="22"/>
      <c r="D2232" s="23"/>
      <c r="E2232" s="24"/>
    </row>
    <row r="2233">
      <c r="B2233" s="25"/>
      <c r="C2233" s="22"/>
      <c r="D2233" s="23"/>
      <c r="E2233" s="24"/>
    </row>
    <row r="2234">
      <c r="B2234" s="25"/>
      <c r="C2234" s="22"/>
      <c r="D2234" s="23"/>
      <c r="E2234" s="24"/>
    </row>
    <row r="2235">
      <c r="B2235" s="25"/>
      <c r="C2235" s="22"/>
      <c r="D2235" s="23"/>
      <c r="E2235" s="24"/>
    </row>
    <row r="2236">
      <c r="B2236" s="25"/>
      <c r="C2236" s="22"/>
      <c r="D2236" s="23"/>
      <c r="E2236" s="24"/>
    </row>
    <row r="2237">
      <c r="B2237" s="25"/>
      <c r="C2237" s="22"/>
      <c r="D2237" s="23"/>
      <c r="E2237" s="24"/>
    </row>
    <row r="2238">
      <c r="B2238" s="25"/>
      <c r="C2238" s="22"/>
      <c r="D2238" s="23"/>
      <c r="E2238" s="24"/>
    </row>
    <row r="2239">
      <c r="B2239" s="25"/>
      <c r="C2239" s="22"/>
      <c r="D2239" s="23"/>
      <c r="E2239" s="24"/>
    </row>
    <row r="2240">
      <c r="B2240" s="25"/>
      <c r="C2240" s="22"/>
      <c r="D2240" s="23"/>
      <c r="E2240" s="24"/>
    </row>
    <row r="2241">
      <c r="B2241" s="25"/>
      <c r="C2241" s="22"/>
      <c r="D2241" s="23"/>
      <c r="E2241" s="24"/>
    </row>
    <row r="2242">
      <c r="B2242" s="25"/>
      <c r="C2242" s="22"/>
      <c r="D2242" s="23"/>
      <c r="E2242" s="24"/>
    </row>
    <row r="2243">
      <c r="B2243" s="25"/>
      <c r="C2243" s="22"/>
      <c r="D2243" s="23"/>
      <c r="E2243" s="24"/>
    </row>
    <row r="2244">
      <c r="B2244" s="25"/>
      <c r="C2244" s="22"/>
      <c r="D2244" s="23"/>
      <c r="E2244" s="24"/>
    </row>
    <row r="2245">
      <c r="B2245" s="25"/>
      <c r="C2245" s="22"/>
      <c r="D2245" s="23"/>
      <c r="E2245" s="24"/>
    </row>
    <row r="2246">
      <c r="B2246" s="25"/>
      <c r="C2246" s="22"/>
      <c r="D2246" s="23"/>
      <c r="E2246" s="24"/>
    </row>
    <row r="2247">
      <c r="B2247" s="25"/>
      <c r="C2247" s="22"/>
      <c r="D2247" s="23"/>
      <c r="E2247" s="24"/>
    </row>
    <row r="2248">
      <c r="B2248" s="25"/>
      <c r="C2248" s="22"/>
      <c r="D2248" s="23"/>
      <c r="E2248" s="24"/>
    </row>
    <row r="2249">
      <c r="B2249" s="25"/>
      <c r="C2249" s="22"/>
      <c r="D2249" s="23"/>
      <c r="E2249" s="24"/>
    </row>
    <row r="2250">
      <c r="B2250" s="25"/>
      <c r="C2250" s="22"/>
      <c r="D2250" s="23"/>
      <c r="E2250" s="24"/>
    </row>
    <row r="2251">
      <c r="B2251" s="25"/>
      <c r="C2251" s="22"/>
      <c r="D2251" s="23"/>
      <c r="E2251" s="24"/>
    </row>
    <row r="2252">
      <c r="B2252" s="25"/>
      <c r="C2252" s="22"/>
      <c r="D2252" s="23"/>
      <c r="E2252" s="24"/>
    </row>
    <row r="2253">
      <c r="B2253" s="25"/>
      <c r="C2253" s="22"/>
      <c r="D2253" s="23"/>
      <c r="E2253" s="24"/>
    </row>
    <row r="2254">
      <c r="B2254" s="25"/>
      <c r="C2254" s="22"/>
      <c r="D2254" s="23"/>
      <c r="E2254" s="24"/>
    </row>
    <row r="2255">
      <c r="B2255" s="25"/>
      <c r="C2255" s="22"/>
      <c r="D2255" s="23"/>
      <c r="E2255" s="24"/>
    </row>
    <row r="2256">
      <c r="B2256" s="25"/>
      <c r="C2256" s="22"/>
      <c r="D2256" s="23"/>
      <c r="E2256" s="24"/>
    </row>
    <row r="2257">
      <c r="B2257" s="25"/>
      <c r="C2257" s="22"/>
      <c r="D2257" s="23"/>
      <c r="E2257" s="24"/>
    </row>
    <row r="2258">
      <c r="B2258" s="25"/>
      <c r="C2258" s="22"/>
      <c r="D2258" s="23"/>
      <c r="E2258" s="24"/>
    </row>
    <row r="2259">
      <c r="B2259" s="25"/>
      <c r="C2259" s="22"/>
      <c r="D2259" s="23"/>
      <c r="E2259" s="24"/>
    </row>
    <row r="2260">
      <c r="B2260" s="25"/>
      <c r="C2260" s="22"/>
      <c r="D2260" s="23"/>
      <c r="E2260" s="24"/>
    </row>
    <row r="2261">
      <c r="B2261" s="25"/>
      <c r="C2261" s="22"/>
      <c r="D2261" s="23"/>
      <c r="E2261" s="24"/>
    </row>
    <row r="2262">
      <c r="B2262" s="25"/>
      <c r="C2262" s="22"/>
      <c r="D2262" s="23"/>
      <c r="E2262" s="24"/>
    </row>
    <row r="2263">
      <c r="B2263" s="25"/>
      <c r="C2263" s="22"/>
      <c r="D2263" s="23"/>
      <c r="E2263" s="24"/>
    </row>
    <row r="2264">
      <c r="B2264" s="25"/>
      <c r="C2264" s="22"/>
      <c r="D2264" s="23"/>
      <c r="E2264" s="24"/>
    </row>
    <row r="2265">
      <c r="B2265" s="25"/>
      <c r="C2265" s="22"/>
      <c r="D2265" s="23"/>
      <c r="E2265" s="24"/>
    </row>
    <row r="2266">
      <c r="B2266" s="25"/>
      <c r="C2266" s="22"/>
      <c r="D2266" s="23"/>
      <c r="E2266" s="24"/>
    </row>
    <row r="2267">
      <c r="B2267" s="25"/>
      <c r="C2267" s="22"/>
      <c r="D2267" s="23"/>
      <c r="E2267" s="24"/>
    </row>
    <row r="2268">
      <c r="B2268" s="25"/>
      <c r="C2268" s="22"/>
      <c r="D2268" s="23"/>
      <c r="E2268" s="24"/>
    </row>
    <row r="2269">
      <c r="B2269" s="25"/>
      <c r="C2269" s="22"/>
      <c r="D2269" s="23"/>
      <c r="E2269" s="24"/>
    </row>
    <row r="2270">
      <c r="B2270" s="25"/>
      <c r="C2270" s="22"/>
      <c r="D2270" s="23"/>
      <c r="E2270" s="24"/>
    </row>
    <row r="2271">
      <c r="B2271" s="25"/>
      <c r="C2271" s="22"/>
      <c r="D2271" s="23"/>
      <c r="E2271" s="24"/>
    </row>
    <row r="2272">
      <c r="B2272" s="25"/>
      <c r="C2272" s="22"/>
      <c r="D2272" s="23"/>
      <c r="E2272" s="24"/>
    </row>
    <row r="2273">
      <c r="B2273" s="25"/>
      <c r="C2273" s="22"/>
      <c r="D2273" s="23"/>
      <c r="E2273" s="24"/>
    </row>
    <row r="2274">
      <c r="B2274" s="25"/>
      <c r="C2274" s="22"/>
      <c r="D2274" s="23"/>
      <c r="E2274" s="24"/>
    </row>
    <row r="2275">
      <c r="B2275" s="25"/>
      <c r="C2275" s="22"/>
      <c r="D2275" s="23"/>
      <c r="E2275" s="24"/>
    </row>
    <row r="2276">
      <c r="B2276" s="25"/>
      <c r="C2276" s="22"/>
      <c r="D2276" s="23"/>
      <c r="E2276" s="24"/>
    </row>
    <row r="2277">
      <c r="B2277" s="25"/>
      <c r="C2277" s="22"/>
      <c r="D2277" s="23"/>
      <c r="E2277" s="24"/>
    </row>
    <row r="2278">
      <c r="B2278" s="25"/>
      <c r="C2278" s="22"/>
      <c r="D2278" s="23"/>
      <c r="E2278" s="24"/>
    </row>
    <row r="2279">
      <c r="B2279" s="25"/>
      <c r="C2279" s="22"/>
      <c r="D2279" s="23"/>
      <c r="E2279" s="24"/>
    </row>
    <row r="2280">
      <c r="B2280" s="25"/>
      <c r="C2280" s="22"/>
      <c r="D2280" s="23"/>
      <c r="E2280" s="24"/>
    </row>
    <row r="2281">
      <c r="B2281" s="25"/>
      <c r="C2281" s="22"/>
      <c r="D2281" s="23"/>
      <c r="E2281" s="24"/>
    </row>
    <row r="2282">
      <c r="B2282" s="25"/>
      <c r="C2282" s="22"/>
      <c r="D2282" s="23"/>
      <c r="E2282" s="24"/>
    </row>
    <row r="2283">
      <c r="B2283" s="25"/>
      <c r="C2283" s="22"/>
      <c r="D2283" s="23"/>
      <c r="E2283" s="24"/>
    </row>
    <row r="2284">
      <c r="B2284" s="25"/>
      <c r="C2284" s="22"/>
      <c r="D2284" s="23"/>
      <c r="E2284" s="24"/>
    </row>
    <row r="2285">
      <c r="B2285" s="25"/>
      <c r="C2285" s="22"/>
      <c r="D2285" s="23"/>
      <c r="E2285" s="24"/>
    </row>
    <row r="2286">
      <c r="B2286" s="25"/>
      <c r="C2286" s="22"/>
      <c r="D2286" s="23"/>
      <c r="E2286" s="24"/>
    </row>
    <row r="2287">
      <c r="B2287" s="25"/>
      <c r="C2287" s="22"/>
      <c r="D2287" s="23"/>
      <c r="E2287" s="24"/>
    </row>
    <row r="2288">
      <c r="B2288" s="25"/>
      <c r="C2288" s="22"/>
      <c r="D2288" s="23"/>
      <c r="E2288" s="24"/>
    </row>
    <row r="2289">
      <c r="B2289" s="25"/>
      <c r="C2289" s="22"/>
      <c r="D2289" s="23"/>
      <c r="E2289" s="24"/>
    </row>
    <row r="2290">
      <c r="B2290" s="25"/>
      <c r="C2290" s="22"/>
      <c r="D2290" s="23"/>
      <c r="E2290" s="24"/>
    </row>
    <row r="2291">
      <c r="B2291" s="25"/>
      <c r="C2291" s="22"/>
      <c r="D2291" s="23"/>
      <c r="E2291" s="24"/>
    </row>
    <row r="2292">
      <c r="B2292" s="25"/>
      <c r="C2292" s="22"/>
      <c r="D2292" s="23"/>
      <c r="E2292" s="24"/>
    </row>
    <row r="2293">
      <c r="B2293" s="25"/>
      <c r="C2293" s="22"/>
      <c r="D2293" s="23"/>
      <c r="E2293" s="24"/>
    </row>
    <row r="2294">
      <c r="B2294" s="25"/>
      <c r="C2294" s="22"/>
      <c r="D2294" s="23"/>
      <c r="E2294" s="24"/>
    </row>
    <row r="2295">
      <c r="B2295" s="25"/>
      <c r="C2295" s="22"/>
      <c r="D2295" s="23"/>
      <c r="E2295" s="24"/>
    </row>
    <row r="2296">
      <c r="B2296" s="25"/>
      <c r="C2296" s="22"/>
      <c r="D2296" s="23"/>
      <c r="E2296" s="24"/>
    </row>
    <row r="2297">
      <c r="B2297" s="25"/>
      <c r="C2297" s="22"/>
      <c r="D2297" s="23"/>
      <c r="E2297" s="24"/>
    </row>
    <row r="2298">
      <c r="B2298" s="25"/>
      <c r="C2298" s="22"/>
      <c r="D2298" s="23"/>
      <c r="E2298" s="24"/>
    </row>
    <row r="2299">
      <c r="B2299" s="25"/>
      <c r="C2299" s="22"/>
      <c r="D2299" s="23"/>
      <c r="E2299" s="24"/>
    </row>
    <row r="2300">
      <c r="B2300" s="25"/>
      <c r="C2300" s="22"/>
      <c r="D2300" s="23"/>
      <c r="E2300" s="24"/>
    </row>
    <row r="2301">
      <c r="B2301" s="25"/>
      <c r="C2301" s="22"/>
      <c r="D2301" s="23"/>
      <c r="E2301" s="24"/>
    </row>
    <row r="2302">
      <c r="B2302" s="25"/>
      <c r="C2302" s="22"/>
      <c r="D2302" s="23"/>
      <c r="E2302" s="24"/>
    </row>
    <row r="2303">
      <c r="B2303" s="25"/>
      <c r="C2303" s="22"/>
      <c r="D2303" s="23"/>
      <c r="E2303" s="24"/>
    </row>
    <row r="2304">
      <c r="B2304" s="25"/>
      <c r="C2304" s="22"/>
      <c r="D2304" s="23"/>
      <c r="E2304" s="24"/>
    </row>
    <row r="2305">
      <c r="B2305" s="25"/>
      <c r="C2305" s="22"/>
      <c r="D2305" s="23"/>
      <c r="E2305" s="24"/>
    </row>
    <row r="2306">
      <c r="B2306" s="25"/>
      <c r="C2306" s="22"/>
      <c r="D2306" s="23"/>
      <c r="E2306" s="24"/>
    </row>
    <row r="2307">
      <c r="B2307" s="25"/>
      <c r="C2307" s="22"/>
      <c r="D2307" s="23"/>
      <c r="E2307" s="24"/>
    </row>
    <row r="2308">
      <c r="B2308" s="25"/>
      <c r="C2308" s="22"/>
      <c r="D2308" s="23"/>
      <c r="E2308" s="24"/>
    </row>
    <row r="2309">
      <c r="B2309" s="25"/>
      <c r="C2309" s="22"/>
      <c r="D2309" s="23"/>
      <c r="E2309" s="24"/>
    </row>
    <row r="2310">
      <c r="B2310" s="25"/>
      <c r="C2310" s="22"/>
      <c r="D2310" s="23"/>
      <c r="E2310" s="24"/>
    </row>
    <row r="2311">
      <c r="B2311" s="25"/>
      <c r="C2311" s="22"/>
      <c r="D2311" s="23"/>
      <c r="E2311" s="24"/>
    </row>
    <row r="2312">
      <c r="B2312" s="25"/>
      <c r="C2312" s="22"/>
      <c r="D2312" s="23"/>
      <c r="E2312" s="24"/>
    </row>
    <row r="2313">
      <c r="B2313" s="25"/>
      <c r="C2313" s="22"/>
      <c r="D2313" s="23"/>
      <c r="E2313" s="24"/>
    </row>
    <row r="2314">
      <c r="B2314" s="25"/>
      <c r="C2314" s="22"/>
      <c r="D2314" s="23"/>
      <c r="E2314" s="24"/>
    </row>
    <row r="2315">
      <c r="B2315" s="25"/>
      <c r="C2315" s="22"/>
      <c r="D2315" s="23"/>
      <c r="E2315" s="24"/>
    </row>
    <row r="2316">
      <c r="B2316" s="25"/>
      <c r="C2316" s="22"/>
      <c r="D2316" s="23"/>
      <c r="E2316" s="24"/>
    </row>
    <row r="2317">
      <c r="B2317" s="25"/>
      <c r="C2317" s="22"/>
      <c r="D2317" s="23"/>
      <c r="E2317" s="24"/>
    </row>
    <row r="2318">
      <c r="B2318" s="25"/>
      <c r="C2318" s="22"/>
      <c r="D2318" s="23"/>
      <c r="E2318" s="24"/>
    </row>
    <row r="2319">
      <c r="B2319" s="25"/>
      <c r="C2319" s="22"/>
      <c r="D2319" s="23"/>
      <c r="E2319" s="24"/>
    </row>
    <row r="2320">
      <c r="B2320" s="25"/>
      <c r="C2320" s="22"/>
      <c r="D2320" s="23"/>
      <c r="E2320" s="24"/>
    </row>
    <row r="2321">
      <c r="B2321" s="25"/>
      <c r="C2321" s="22"/>
      <c r="D2321" s="23"/>
      <c r="E2321" s="24"/>
    </row>
    <row r="2322">
      <c r="B2322" s="25"/>
      <c r="C2322" s="22"/>
      <c r="D2322" s="23"/>
      <c r="E2322" s="24"/>
    </row>
    <row r="2323">
      <c r="B2323" s="25"/>
      <c r="C2323" s="22"/>
      <c r="D2323" s="23"/>
      <c r="E2323" s="24"/>
    </row>
    <row r="2324">
      <c r="B2324" s="25"/>
      <c r="C2324" s="22"/>
      <c r="D2324" s="23"/>
      <c r="E2324" s="24"/>
    </row>
    <row r="2325">
      <c r="B2325" s="25"/>
      <c r="C2325" s="22"/>
      <c r="D2325" s="23"/>
      <c r="E2325" s="24"/>
    </row>
    <row r="2326">
      <c r="B2326" s="25"/>
      <c r="C2326" s="22"/>
      <c r="D2326" s="23"/>
      <c r="E2326" s="24"/>
    </row>
    <row r="2327">
      <c r="B2327" s="25"/>
      <c r="C2327" s="22"/>
      <c r="D2327" s="23"/>
      <c r="E2327" s="24"/>
    </row>
    <row r="2328">
      <c r="B2328" s="25"/>
      <c r="C2328" s="22"/>
      <c r="D2328" s="23"/>
      <c r="E2328" s="24"/>
    </row>
    <row r="2329">
      <c r="B2329" s="25"/>
      <c r="C2329" s="22"/>
      <c r="D2329" s="23"/>
      <c r="E2329" s="24"/>
    </row>
    <row r="2330">
      <c r="B2330" s="25"/>
      <c r="C2330" s="22"/>
      <c r="D2330" s="23"/>
      <c r="E2330" s="24"/>
    </row>
    <row r="2331">
      <c r="B2331" s="25"/>
      <c r="C2331" s="22"/>
      <c r="D2331" s="23"/>
      <c r="E2331" s="24"/>
    </row>
    <row r="2332">
      <c r="B2332" s="25"/>
      <c r="C2332" s="22"/>
      <c r="D2332" s="23"/>
      <c r="E2332" s="24"/>
    </row>
    <row r="2333">
      <c r="B2333" s="25"/>
      <c r="C2333" s="22"/>
      <c r="D2333" s="23"/>
      <c r="E2333" s="24"/>
    </row>
    <row r="2334">
      <c r="B2334" s="25"/>
      <c r="C2334" s="22"/>
      <c r="D2334" s="23"/>
      <c r="E2334" s="24"/>
    </row>
    <row r="2335">
      <c r="B2335" s="25"/>
      <c r="C2335" s="22"/>
      <c r="D2335" s="23"/>
      <c r="E2335" s="24"/>
    </row>
    <row r="2336">
      <c r="B2336" s="25"/>
      <c r="C2336" s="22"/>
      <c r="D2336" s="23"/>
      <c r="E2336" s="24"/>
    </row>
    <row r="2337">
      <c r="B2337" s="25"/>
      <c r="C2337" s="22"/>
      <c r="D2337" s="23"/>
      <c r="E2337" s="24"/>
    </row>
    <row r="2338">
      <c r="B2338" s="25"/>
      <c r="C2338" s="22"/>
      <c r="D2338" s="23"/>
      <c r="E2338" s="24"/>
    </row>
    <row r="2339">
      <c r="B2339" s="25"/>
      <c r="C2339" s="22"/>
      <c r="D2339" s="23"/>
      <c r="E2339" s="24"/>
    </row>
    <row r="2340">
      <c r="B2340" s="25"/>
      <c r="C2340" s="22"/>
      <c r="D2340" s="23"/>
      <c r="E2340" s="24"/>
    </row>
    <row r="2341">
      <c r="B2341" s="25"/>
      <c r="C2341" s="22"/>
      <c r="D2341" s="23"/>
      <c r="E2341" s="24"/>
    </row>
    <row r="2342">
      <c r="B2342" s="25"/>
      <c r="C2342" s="22"/>
      <c r="D2342" s="23"/>
      <c r="E2342" s="24"/>
    </row>
    <row r="2343">
      <c r="B2343" s="25"/>
      <c r="C2343" s="22"/>
      <c r="D2343" s="23"/>
      <c r="E2343" s="24"/>
    </row>
    <row r="2344">
      <c r="B2344" s="25"/>
      <c r="C2344" s="22"/>
      <c r="D2344" s="23"/>
      <c r="E2344" s="24"/>
    </row>
    <row r="2345">
      <c r="B2345" s="25"/>
      <c r="C2345" s="22"/>
      <c r="D2345" s="23"/>
      <c r="E2345" s="24"/>
    </row>
    <row r="2346">
      <c r="B2346" s="25"/>
      <c r="C2346" s="22"/>
      <c r="D2346" s="23"/>
      <c r="E2346" s="24"/>
    </row>
    <row r="2347">
      <c r="B2347" s="25"/>
      <c r="C2347" s="22"/>
      <c r="D2347" s="23"/>
      <c r="E2347" s="24"/>
    </row>
    <row r="2348">
      <c r="B2348" s="25"/>
      <c r="C2348" s="22"/>
      <c r="D2348" s="23"/>
      <c r="E2348" s="24"/>
    </row>
    <row r="2349">
      <c r="B2349" s="25"/>
      <c r="C2349" s="22"/>
      <c r="D2349" s="23"/>
      <c r="E2349" s="24"/>
    </row>
    <row r="2350">
      <c r="B2350" s="25"/>
      <c r="C2350" s="22"/>
      <c r="D2350" s="23"/>
      <c r="E2350" s="24"/>
    </row>
    <row r="2351">
      <c r="B2351" s="25"/>
      <c r="C2351" s="22"/>
      <c r="D2351" s="23"/>
      <c r="E2351" s="24"/>
    </row>
    <row r="2352">
      <c r="B2352" s="25"/>
      <c r="C2352" s="22"/>
      <c r="D2352" s="23"/>
      <c r="E2352" s="24"/>
    </row>
    <row r="2353">
      <c r="B2353" s="25"/>
      <c r="C2353" s="22"/>
      <c r="D2353" s="23"/>
      <c r="E2353" s="24"/>
    </row>
    <row r="2354">
      <c r="B2354" s="25"/>
      <c r="C2354" s="22"/>
      <c r="D2354" s="23"/>
      <c r="E2354" s="24"/>
    </row>
    <row r="2355">
      <c r="B2355" s="25"/>
      <c r="C2355" s="22"/>
      <c r="D2355" s="23"/>
      <c r="E2355" s="24"/>
    </row>
    <row r="2356">
      <c r="B2356" s="25"/>
      <c r="C2356" s="22"/>
      <c r="D2356" s="23"/>
      <c r="E2356" s="24"/>
    </row>
    <row r="2357">
      <c r="B2357" s="25"/>
      <c r="C2357" s="22"/>
      <c r="D2357" s="23"/>
      <c r="E2357" s="24"/>
    </row>
    <row r="2358">
      <c r="B2358" s="25"/>
      <c r="C2358" s="22"/>
      <c r="D2358" s="23"/>
      <c r="E2358" s="24"/>
    </row>
    <row r="2359">
      <c r="B2359" s="25"/>
      <c r="C2359" s="22"/>
      <c r="D2359" s="23"/>
      <c r="E2359" s="24"/>
    </row>
    <row r="2360">
      <c r="B2360" s="25"/>
      <c r="C2360" s="22"/>
      <c r="D2360" s="23"/>
      <c r="E2360" s="24"/>
    </row>
    <row r="2361">
      <c r="B2361" s="25"/>
      <c r="C2361" s="22"/>
      <c r="D2361" s="23"/>
      <c r="E2361" s="24"/>
    </row>
    <row r="2362">
      <c r="B2362" s="25"/>
      <c r="C2362" s="22"/>
      <c r="D2362" s="23"/>
      <c r="E2362" s="24"/>
    </row>
    <row r="2363">
      <c r="B2363" s="25"/>
      <c r="C2363" s="22"/>
      <c r="D2363" s="23"/>
      <c r="E2363" s="24"/>
    </row>
    <row r="2364">
      <c r="B2364" s="25"/>
      <c r="C2364" s="22"/>
      <c r="D2364" s="23"/>
      <c r="E2364" s="24"/>
    </row>
    <row r="2365">
      <c r="B2365" s="25"/>
      <c r="C2365" s="22"/>
      <c r="D2365" s="23"/>
      <c r="E2365" s="24"/>
    </row>
    <row r="2366">
      <c r="B2366" s="25"/>
      <c r="C2366" s="22"/>
      <c r="D2366" s="23"/>
      <c r="E2366" s="24"/>
    </row>
    <row r="2367">
      <c r="B2367" s="25"/>
      <c r="C2367" s="22"/>
      <c r="D2367" s="23"/>
      <c r="E2367" s="24"/>
    </row>
    <row r="2368">
      <c r="B2368" s="25"/>
      <c r="C2368" s="22"/>
      <c r="D2368" s="23"/>
      <c r="E2368" s="24"/>
    </row>
    <row r="2369">
      <c r="B2369" s="25"/>
      <c r="C2369" s="22"/>
      <c r="D2369" s="23"/>
      <c r="E2369" s="24"/>
    </row>
    <row r="2370">
      <c r="B2370" s="25"/>
      <c r="C2370" s="22"/>
      <c r="D2370" s="23"/>
      <c r="E2370" s="24"/>
    </row>
    <row r="2371">
      <c r="B2371" s="25"/>
      <c r="C2371" s="22"/>
      <c r="D2371" s="23"/>
      <c r="E2371" s="24"/>
    </row>
    <row r="2372">
      <c r="B2372" s="25"/>
      <c r="C2372" s="22"/>
      <c r="D2372" s="23"/>
      <c r="E2372" s="24"/>
    </row>
    <row r="2373">
      <c r="B2373" s="25"/>
      <c r="C2373" s="22"/>
      <c r="D2373" s="23"/>
      <c r="E2373" s="24"/>
    </row>
    <row r="2374">
      <c r="B2374" s="25"/>
      <c r="C2374" s="22"/>
      <c r="D2374" s="23"/>
      <c r="E2374" s="24"/>
    </row>
    <row r="2375">
      <c r="B2375" s="25"/>
      <c r="C2375" s="22"/>
      <c r="D2375" s="23"/>
      <c r="E2375" s="24"/>
    </row>
    <row r="2376">
      <c r="B2376" s="25"/>
      <c r="C2376" s="22"/>
      <c r="D2376" s="23"/>
      <c r="E2376" s="24"/>
    </row>
    <row r="2377">
      <c r="B2377" s="25"/>
      <c r="C2377" s="22"/>
      <c r="D2377" s="23"/>
      <c r="E2377" s="24"/>
    </row>
    <row r="2378">
      <c r="B2378" s="25"/>
      <c r="C2378" s="22"/>
      <c r="D2378" s="23"/>
      <c r="E2378" s="24"/>
    </row>
    <row r="2379">
      <c r="B2379" s="25"/>
      <c r="C2379" s="22"/>
      <c r="D2379" s="23"/>
      <c r="E2379" s="24"/>
    </row>
    <row r="2380">
      <c r="B2380" s="25"/>
      <c r="C2380" s="22"/>
      <c r="D2380" s="23"/>
      <c r="E2380" s="24"/>
    </row>
    <row r="2381">
      <c r="B2381" s="25"/>
      <c r="C2381" s="22"/>
      <c r="D2381" s="23"/>
      <c r="E2381" s="24"/>
    </row>
    <row r="2382">
      <c r="B2382" s="25"/>
      <c r="C2382" s="22"/>
      <c r="D2382" s="23"/>
      <c r="E2382" s="24"/>
    </row>
    <row r="2383">
      <c r="B2383" s="25"/>
      <c r="C2383" s="22"/>
      <c r="D2383" s="23"/>
      <c r="E2383" s="24"/>
    </row>
    <row r="2384">
      <c r="B2384" s="25"/>
      <c r="C2384" s="22"/>
      <c r="D2384" s="23"/>
      <c r="E2384" s="24"/>
    </row>
    <row r="2385">
      <c r="B2385" s="25"/>
      <c r="C2385" s="22"/>
      <c r="D2385" s="23"/>
      <c r="E2385" s="24"/>
    </row>
    <row r="2386">
      <c r="B2386" s="25"/>
      <c r="C2386" s="22"/>
      <c r="D2386" s="23"/>
      <c r="E2386" s="24"/>
    </row>
    <row r="2387">
      <c r="B2387" s="25"/>
      <c r="C2387" s="22"/>
      <c r="D2387" s="23"/>
      <c r="E2387" s="24"/>
    </row>
    <row r="2388">
      <c r="B2388" s="25"/>
      <c r="C2388" s="22"/>
      <c r="D2388" s="23"/>
      <c r="E2388" s="24"/>
    </row>
    <row r="2389">
      <c r="B2389" s="25"/>
      <c r="C2389" s="22"/>
      <c r="D2389" s="23"/>
      <c r="E2389" s="24"/>
    </row>
    <row r="2390">
      <c r="B2390" s="25"/>
      <c r="C2390" s="22"/>
      <c r="D2390" s="23"/>
      <c r="E2390" s="24"/>
    </row>
    <row r="2391">
      <c r="B2391" s="25"/>
      <c r="C2391" s="22"/>
      <c r="D2391" s="23"/>
      <c r="E2391" s="24"/>
    </row>
    <row r="2392">
      <c r="B2392" s="25"/>
      <c r="C2392" s="22"/>
      <c r="D2392" s="23"/>
      <c r="E2392" s="24"/>
    </row>
    <row r="2393">
      <c r="B2393" s="25"/>
      <c r="C2393" s="22"/>
      <c r="D2393" s="23"/>
      <c r="E2393" s="24"/>
    </row>
    <row r="2394">
      <c r="B2394" s="25"/>
      <c r="C2394" s="22"/>
      <c r="D2394" s="23"/>
      <c r="E2394" s="24"/>
    </row>
    <row r="2395">
      <c r="B2395" s="25"/>
      <c r="C2395" s="22"/>
      <c r="D2395" s="23"/>
      <c r="E2395" s="24"/>
    </row>
    <row r="2396">
      <c r="B2396" s="25"/>
      <c r="C2396" s="22"/>
      <c r="D2396" s="23"/>
      <c r="E2396" s="24"/>
    </row>
    <row r="2397">
      <c r="B2397" s="25"/>
      <c r="C2397" s="22"/>
      <c r="D2397" s="23"/>
      <c r="E2397" s="24"/>
    </row>
    <row r="2398">
      <c r="B2398" s="25"/>
      <c r="C2398" s="22"/>
      <c r="D2398" s="23"/>
      <c r="E2398" s="24"/>
    </row>
    <row r="2399">
      <c r="B2399" s="25"/>
      <c r="C2399" s="22"/>
      <c r="D2399" s="23"/>
      <c r="E2399" s="24"/>
    </row>
    <row r="2400">
      <c r="B2400" s="25"/>
      <c r="C2400" s="22"/>
      <c r="D2400" s="23"/>
      <c r="E2400" s="24"/>
    </row>
    <row r="2401">
      <c r="B2401" s="25"/>
      <c r="C2401" s="22"/>
      <c r="D2401" s="23"/>
      <c r="E2401" s="24"/>
    </row>
    <row r="2402">
      <c r="B2402" s="25"/>
      <c r="C2402" s="22"/>
      <c r="D2402" s="23"/>
      <c r="E2402" s="24"/>
    </row>
    <row r="2403">
      <c r="B2403" s="25"/>
      <c r="C2403" s="22"/>
      <c r="D2403" s="23"/>
      <c r="E2403" s="24"/>
    </row>
    <row r="2404">
      <c r="B2404" s="25"/>
      <c r="C2404" s="22"/>
      <c r="D2404" s="23"/>
      <c r="E2404" s="24"/>
    </row>
    <row r="2405">
      <c r="B2405" s="25"/>
      <c r="C2405" s="22"/>
      <c r="D2405" s="23"/>
      <c r="E2405" s="24"/>
    </row>
    <row r="2406">
      <c r="B2406" s="25"/>
      <c r="C2406" s="22"/>
      <c r="D2406" s="23"/>
      <c r="E2406" s="24"/>
    </row>
    <row r="2407">
      <c r="B2407" s="25"/>
      <c r="C2407" s="22"/>
      <c r="D2407" s="23"/>
      <c r="E2407" s="24"/>
    </row>
    <row r="2408">
      <c r="B2408" s="25"/>
      <c r="C2408" s="22"/>
      <c r="D2408" s="23"/>
      <c r="E2408" s="24"/>
    </row>
    <row r="2409">
      <c r="B2409" s="25"/>
      <c r="C2409" s="22"/>
      <c r="D2409" s="23"/>
      <c r="E2409" s="24"/>
    </row>
    <row r="2410">
      <c r="B2410" s="25"/>
      <c r="C2410" s="22"/>
      <c r="D2410" s="23"/>
      <c r="E2410" s="24"/>
    </row>
    <row r="2411">
      <c r="B2411" s="25"/>
      <c r="C2411" s="22"/>
      <c r="D2411" s="23"/>
      <c r="E2411" s="24"/>
    </row>
    <row r="2412">
      <c r="B2412" s="25"/>
      <c r="C2412" s="22"/>
      <c r="D2412" s="23"/>
      <c r="E2412" s="24"/>
    </row>
    <row r="2413">
      <c r="B2413" s="25"/>
      <c r="C2413" s="22"/>
      <c r="D2413" s="23"/>
      <c r="E2413" s="24"/>
    </row>
    <row r="2414">
      <c r="B2414" s="25"/>
      <c r="C2414" s="22"/>
      <c r="D2414" s="23"/>
      <c r="E2414" s="24"/>
    </row>
    <row r="2415">
      <c r="B2415" s="25"/>
      <c r="C2415" s="22"/>
      <c r="D2415" s="23"/>
      <c r="E2415" s="24"/>
    </row>
    <row r="2416">
      <c r="B2416" s="25"/>
      <c r="C2416" s="22"/>
      <c r="D2416" s="23"/>
      <c r="E2416" s="24"/>
    </row>
    <row r="2417">
      <c r="B2417" s="25"/>
      <c r="C2417" s="22"/>
      <c r="D2417" s="23"/>
      <c r="E2417" s="24"/>
    </row>
    <row r="2418">
      <c r="B2418" s="25"/>
      <c r="C2418" s="22"/>
      <c r="D2418" s="23"/>
      <c r="E2418" s="24"/>
    </row>
    <row r="2419">
      <c r="B2419" s="25"/>
      <c r="C2419" s="22"/>
      <c r="D2419" s="23"/>
      <c r="E2419" s="24"/>
    </row>
    <row r="2420">
      <c r="B2420" s="25"/>
      <c r="C2420" s="22"/>
      <c r="D2420" s="23"/>
      <c r="E2420" s="24"/>
    </row>
    <row r="2421">
      <c r="B2421" s="25"/>
      <c r="C2421" s="22"/>
      <c r="D2421" s="23"/>
      <c r="E2421" s="24"/>
    </row>
    <row r="2422">
      <c r="B2422" s="25"/>
      <c r="C2422" s="22"/>
      <c r="D2422" s="23"/>
      <c r="E2422" s="24"/>
    </row>
    <row r="2423">
      <c r="B2423" s="25"/>
      <c r="C2423" s="22"/>
      <c r="D2423" s="23"/>
      <c r="E2423" s="24"/>
    </row>
    <row r="2424">
      <c r="B2424" s="25"/>
      <c r="C2424" s="22"/>
      <c r="D2424" s="23"/>
      <c r="E2424" s="24"/>
    </row>
    <row r="2425">
      <c r="B2425" s="25"/>
      <c r="C2425" s="22"/>
      <c r="D2425" s="23"/>
      <c r="E2425" s="24"/>
    </row>
    <row r="2426">
      <c r="B2426" s="25"/>
      <c r="C2426" s="22"/>
      <c r="D2426" s="23"/>
      <c r="E2426" s="24"/>
    </row>
    <row r="2427">
      <c r="B2427" s="25"/>
      <c r="C2427" s="22"/>
      <c r="D2427" s="23"/>
      <c r="E2427" s="24"/>
    </row>
    <row r="2428">
      <c r="B2428" s="25"/>
      <c r="C2428" s="22"/>
      <c r="D2428" s="23"/>
      <c r="E2428" s="24"/>
    </row>
    <row r="2429">
      <c r="B2429" s="25"/>
      <c r="C2429" s="22"/>
      <c r="D2429" s="23"/>
      <c r="E2429" s="24"/>
    </row>
    <row r="2430">
      <c r="B2430" s="25"/>
      <c r="C2430" s="22"/>
      <c r="D2430" s="23"/>
      <c r="E2430" s="24"/>
    </row>
    <row r="2431">
      <c r="B2431" s="25"/>
      <c r="C2431" s="22"/>
      <c r="D2431" s="23"/>
      <c r="E2431" s="24"/>
    </row>
    <row r="2432">
      <c r="B2432" s="25"/>
      <c r="C2432" s="22"/>
      <c r="D2432" s="23"/>
      <c r="E2432" s="24"/>
    </row>
    <row r="2433">
      <c r="B2433" s="25"/>
      <c r="C2433" s="22"/>
      <c r="D2433" s="23"/>
      <c r="E2433" s="24"/>
    </row>
    <row r="2434">
      <c r="B2434" s="25"/>
      <c r="C2434" s="22"/>
      <c r="D2434" s="23"/>
      <c r="E2434" s="24"/>
    </row>
    <row r="2435">
      <c r="B2435" s="25"/>
      <c r="C2435" s="22"/>
      <c r="D2435" s="23"/>
      <c r="E2435" s="24"/>
    </row>
    <row r="2436">
      <c r="B2436" s="25"/>
      <c r="C2436" s="22"/>
      <c r="D2436" s="23"/>
      <c r="E2436" s="24"/>
    </row>
    <row r="2437">
      <c r="B2437" s="25"/>
      <c r="C2437" s="22"/>
      <c r="D2437" s="23"/>
      <c r="E2437" s="24"/>
    </row>
    <row r="2438">
      <c r="B2438" s="25"/>
      <c r="C2438" s="22"/>
      <c r="D2438" s="23"/>
      <c r="E2438" s="24"/>
    </row>
    <row r="2439">
      <c r="B2439" s="25"/>
      <c r="C2439" s="22"/>
      <c r="D2439" s="23"/>
      <c r="E2439" s="24"/>
    </row>
    <row r="2440">
      <c r="B2440" s="25"/>
      <c r="C2440" s="22"/>
      <c r="D2440" s="23"/>
      <c r="E2440" s="24"/>
    </row>
    <row r="2441">
      <c r="B2441" s="25"/>
      <c r="C2441" s="22"/>
      <c r="D2441" s="23"/>
      <c r="E2441" s="24"/>
    </row>
    <row r="2442">
      <c r="B2442" s="25"/>
      <c r="C2442" s="22"/>
      <c r="D2442" s="23"/>
      <c r="E2442" s="24"/>
    </row>
    <row r="2443">
      <c r="B2443" s="25"/>
      <c r="C2443" s="22"/>
      <c r="D2443" s="23"/>
      <c r="E2443" s="24"/>
    </row>
    <row r="2444">
      <c r="B2444" s="25"/>
      <c r="C2444" s="22"/>
      <c r="D2444" s="23"/>
      <c r="E2444" s="24"/>
    </row>
    <row r="2445">
      <c r="B2445" s="25"/>
      <c r="C2445" s="22"/>
      <c r="D2445" s="23"/>
      <c r="E2445" s="24"/>
    </row>
    <row r="2446">
      <c r="B2446" s="25"/>
      <c r="C2446" s="22"/>
      <c r="D2446" s="23"/>
      <c r="E2446" s="24"/>
    </row>
    <row r="2447">
      <c r="B2447" s="25"/>
      <c r="C2447" s="22"/>
      <c r="D2447" s="23"/>
      <c r="E2447" s="24"/>
    </row>
    <row r="2448">
      <c r="B2448" s="25"/>
      <c r="C2448" s="22"/>
      <c r="D2448" s="23"/>
      <c r="E2448" s="24"/>
    </row>
    <row r="2449">
      <c r="B2449" s="25"/>
      <c r="C2449" s="22"/>
      <c r="D2449" s="23"/>
      <c r="E2449" s="24"/>
    </row>
    <row r="2450">
      <c r="B2450" s="25"/>
      <c r="C2450" s="22"/>
      <c r="D2450" s="23"/>
      <c r="E2450" s="24"/>
    </row>
    <row r="2451">
      <c r="B2451" s="25"/>
      <c r="C2451" s="22"/>
      <c r="D2451" s="23"/>
      <c r="E2451" s="24"/>
    </row>
    <row r="2452">
      <c r="B2452" s="25"/>
      <c r="C2452" s="22"/>
      <c r="D2452" s="23"/>
      <c r="E2452" s="24"/>
    </row>
    <row r="2453">
      <c r="B2453" s="25"/>
      <c r="C2453" s="22"/>
      <c r="D2453" s="23"/>
      <c r="E2453" s="24"/>
    </row>
    <row r="2454">
      <c r="B2454" s="25"/>
      <c r="C2454" s="22"/>
      <c r="D2454" s="23"/>
      <c r="E2454" s="24"/>
    </row>
    <row r="2455">
      <c r="B2455" s="25"/>
      <c r="C2455" s="22"/>
      <c r="D2455" s="23"/>
      <c r="E2455" s="24"/>
    </row>
    <row r="2456">
      <c r="B2456" s="25"/>
      <c r="C2456" s="22"/>
      <c r="D2456" s="23"/>
      <c r="E2456" s="24"/>
    </row>
    <row r="2457">
      <c r="B2457" s="25"/>
      <c r="C2457" s="22"/>
      <c r="D2457" s="23"/>
      <c r="E2457" s="24"/>
    </row>
    <row r="2458">
      <c r="B2458" s="25"/>
      <c r="C2458" s="22"/>
      <c r="D2458" s="23"/>
      <c r="E2458" s="24"/>
    </row>
    <row r="2459">
      <c r="B2459" s="25"/>
      <c r="C2459" s="22"/>
      <c r="D2459" s="23"/>
      <c r="E2459" s="24"/>
    </row>
    <row r="2460">
      <c r="B2460" s="25"/>
      <c r="C2460" s="22"/>
      <c r="D2460" s="23"/>
      <c r="E2460" s="24"/>
    </row>
    <row r="2461">
      <c r="B2461" s="25"/>
      <c r="C2461" s="22"/>
      <c r="D2461" s="23"/>
      <c r="E2461" s="24"/>
    </row>
    <row r="2462">
      <c r="B2462" s="25"/>
      <c r="C2462" s="22"/>
      <c r="D2462" s="23"/>
      <c r="E2462" s="24"/>
    </row>
    <row r="2463">
      <c r="B2463" s="25"/>
      <c r="C2463" s="22"/>
      <c r="D2463" s="23"/>
      <c r="E2463" s="24"/>
    </row>
    <row r="2464">
      <c r="B2464" s="25"/>
      <c r="C2464" s="22"/>
      <c r="D2464" s="23"/>
      <c r="E2464" s="24"/>
    </row>
    <row r="2465">
      <c r="B2465" s="25"/>
      <c r="C2465" s="22"/>
      <c r="D2465" s="23"/>
      <c r="E2465" s="24"/>
    </row>
    <row r="2466">
      <c r="B2466" s="25"/>
      <c r="C2466" s="22"/>
      <c r="D2466" s="23"/>
      <c r="E2466" s="24"/>
    </row>
    <row r="2467">
      <c r="B2467" s="25"/>
      <c r="C2467" s="22"/>
      <c r="D2467" s="23"/>
      <c r="E2467" s="24"/>
    </row>
    <row r="2468">
      <c r="B2468" s="25"/>
      <c r="C2468" s="22"/>
      <c r="D2468" s="23"/>
      <c r="E2468" s="24"/>
    </row>
    <row r="2469">
      <c r="B2469" s="25"/>
      <c r="C2469" s="22"/>
      <c r="D2469" s="23"/>
      <c r="E2469" s="24"/>
    </row>
    <row r="2470">
      <c r="B2470" s="25"/>
      <c r="C2470" s="22"/>
      <c r="D2470" s="23"/>
      <c r="E2470" s="24"/>
    </row>
    <row r="2471">
      <c r="B2471" s="25"/>
      <c r="C2471" s="22"/>
      <c r="D2471" s="23"/>
      <c r="E2471" s="24"/>
    </row>
    <row r="2472">
      <c r="B2472" s="25"/>
      <c r="C2472" s="22"/>
      <c r="D2472" s="23"/>
      <c r="E2472" s="24"/>
    </row>
    <row r="2473">
      <c r="B2473" s="25"/>
      <c r="C2473" s="22"/>
      <c r="D2473" s="23"/>
      <c r="E2473" s="24"/>
    </row>
    <row r="2474">
      <c r="B2474" s="25"/>
      <c r="C2474" s="22"/>
      <c r="D2474" s="23"/>
      <c r="E2474" s="24"/>
    </row>
    <row r="2475">
      <c r="B2475" s="25"/>
      <c r="C2475" s="22"/>
      <c r="D2475" s="23"/>
      <c r="E2475" s="24"/>
    </row>
    <row r="2476">
      <c r="B2476" s="25"/>
      <c r="C2476" s="22"/>
      <c r="D2476" s="23"/>
      <c r="E2476" s="24"/>
    </row>
    <row r="2477">
      <c r="B2477" s="25"/>
      <c r="C2477" s="22"/>
      <c r="D2477" s="23"/>
      <c r="E2477" s="24"/>
    </row>
    <row r="2478">
      <c r="B2478" s="25"/>
      <c r="C2478" s="22"/>
      <c r="D2478" s="23"/>
      <c r="E2478" s="24"/>
    </row>
    <row r="2479">
      <c r="B2479" s="25"/>
      <c r="C2479" s="22"/>
      <c r="D2479" s="23"/>
      <c r="E2479" s="24"/>
    </row>
    <row r="2480">
      <c r="B2480" s="25"/>
      <c r="C2480" s="22"/>
      <c r="D2480" s="23"/>
      <c r="E2480" s="24"/>
    </row>
    <row r="2481">
      <c r="B2481" s="25"/>
      <c r="C2481" s="22"/>
      <c r="D2481" s="23"/>
      <c r="E2481" s="24"/>
    </row>
    <row r="2482">
      <c r="B2482" s="25"/>
      <c r="C2482" s="22"/>
      <c r="D2482" s="23"/>
      <c r="E2482" s="24"/>
    </row>
    <row r="2483">
      <c r="B2483" s="25"/>
      <c r="C2483" s="22"/>
      <c r="D2483" s="23"/>
      <c r="E2483" s="24"/>
    </row>
    <row r="2484">
      <c r="B2484" s="25"/>
      <c r="C2484" s="22"/>
      <c r="D2484" s="23"/>
      <c r="E2484" s="24"/>
    </row>
    <row r="2485">
      <c r="B2485" s="25"/>
      <c r="C2485" s="22"/>
      <c r="D2485" s="23"/>
      <c r="E2485" s="24"/>
    </row>
    <row r="2486">
      <c r="B2486" s="25"/>
      <c r="C2486" s="22"/>
      <c r="D2486" s="23"/>
      <c r="E2486" s="24"/>
    </row>
    <row r="2487">
      <c r="B2487" s="25"/>
      <c r="C2487" s="22"/>
      <c r="D2487" s="23"/>
      <c r="E2487" s="24"/>
    </row>
    <row r="2488">
      <c r="B2488" s="25"/>
      <c r="C2488" s="22"/>
      <c r="D2488" s="23"/>
      <c r="E2488" s="24"/>
    </row>
    <row r="2489">
      <c r="B2489" s="25"/>
      <c r="C2489" s="22"/>
      <c r="D2489" s="23"/>
      <c r="E2489" s="24"/>
    </row>
    <row r="2490">
      <c r="B2490" s="25"/>
      <c r="C2490" s="22"/>
      <c r="D2490" s="23"/>
      <c r="E2490" s="24"/>
    </row>
    <row r="2491">
      <c r="B2491" s="25"/>
      <c r="C2491" s="22"/>
      <c r="D2491" s="23"/>
      <c r="E2491" s="24"/>
    </row>
    <row r="2492">
      <c r="B2492" s="25"/>
      <c r="C2492" s="22"/>
      <c r="D2492" s="23"/>
      <c r="E2492" s="24"/>
    </row>
    <row r="2493">
      <c r="B2493" s="25"/>
      <c r="C2493" s="22"/>
      <c r="D2493" s="23"/>
      <c r="E2493" s="24"/>
    </row>
    <row r="2494">
      <c r="B2494" s="25"/>
      <c r="C2494" s="22"/>
      <c r="D2494" s="23"/>
      <c r="E2494" s="24"/>
    </row>
    <row r="2495">
      <c r="B2495" s="25"/>
      <c r="C2495" s="22"/>
      <c r="D2495" s="23"/>
      <c r="E2495" s="24"/>
    </row>
    <row r="2496">
      <c r="B2496" s="25"/>
      <c r="C2496" s="22"/>
      <c r="D2496" s="23"/>
      <c r="E2496" s="24"/>
    </row>
    <row r="2497">
      <c r="B2497" s="25"/>
      <c r="C2497" s="22"/>
      <c r="D2497" s="23"/>
      <c r="E2497" s="24"/>
    </row>
    <row r="2498">
      <c r="B2498" s="25"/>
      <c r="C2498" s="22"/>
      <c r="D2498" s="23"/>
      <c r="E2498" s="24"/>
    </row>
    <row r="2499">
      <c r="B2499" s="25"/>
      <c r="C2499" s="22"/>
      <c r="D2499" s="23"/>
      <c r="E2499" s="24"/>
    </row>
    <row r="2500">
      <c r="B2500" s="25"/>
      <c r="C2500" s="22"/>
      <c r="D2500" s="23"/>
      <c r="E2500" s="24"/>
    </row>
    <row r="2501">
      <c r="B2501" s="25"/>
      <c r="C2501" s="22"/>
      <c r="D2501" s="23"/>
      <c r="E2501" s="24"/>
    </row>
    <row r="2502">
      <c r="B2502" s="25"/>
      <c r="C2502" s="22"/>
      <c r="D2502" s="23"/>
      <c r="E2502" s="24"/>
    </row>
    <row r="2503">
      <c r="B2503" s="25"/>
      <c r="C2503" s="22"/>
      <c r="D2503" s="23"/>
      <c r="E2503" s="24"/>
    </row>
    <row r="2504">
      <c r="B2504" s="25"/>
      <c r="C2504" s="22"/>
      <c r="D2504" s="23"/>
      <c r="E2504" s="24"/>
    </row>
    <row r="2505">
      <c r="B2505" s="25"/>
      <c r="C2505" s="22"/>
      <c r="D2505" s="23"/>
      <c r="E2505" s="24"/>
    </row>
    <row r="2506">
      <c r="B2506" s="25"/>
      <c r="C2506" s="22"/>
      <c r="D2506" s="23"/>
      <c r="E2506" s="24"/>
    </row>
    <row r="2507">
      <c r="B2507" s="25"/>
      <c r="C2507" s="22"/>
      <c r="D2507" s="23"/>
      <c r="E2507" s="24"/>
    </row>
    <row r="2508">
      <c r="B2508" s="25"/>
      <c r="C2508" s="22"/>
      <c r="D2508" s="23"/>
      <c r="E2508" s="24"/>
    </row>
    <row r="2509">
      <c r="B2509" s="25"/>
      <c r="C2509" s="22"/>
      <c r="D2509" s="23"/>
      <c r="E2509" s="24"/>
    </row>
    <row r="2510">
      <c r="B2510" s="25"/>
      <c r="C2510" s="22"/>
      <c r="D2510" s="23"/>
      <c r="E2510" s="24"/>
    </row>
    <row r="2511">
      <c r="B2511" s="25"/>
      <c r="C2511" s="22"/>
      <c r="D2511" s="23"/>
      <c r="E2511" s="24"/>
    </row>
    <row r="2512">
      <c r="B2512" s="25"/>
      <c r="C2512" s="22"/>
      <c r="D2512" s="23"/>
      <c r="E2512" s="24"/>
    </row>
    <row r="2513">
      <c r="B2513" s="25"/>
      <c r="C2513" s="22"/>
      <c r="D2513" s="23"/>
      <c r="E2513" s="24"/>
    </row>
    <row r="2514">
      <c r="B2514" s="25"/>
      <c r="C2514" s="22"/>
      <c r="D2514" s="23"/>
      <c r="E2514" s="24"/>
    </row>
    <row r="2515">
      <c r="B2515" s="25"/>
      <c r="C2515" s="22"/>
      <c r="D2515" s="23"/>
      <c r="E2515" s="24"/>
    </row>
    <row r="2516">
      <c r="B2516" s="25"/>
      <c r="C2516" s="22"/>
      <c r="D2516" s="23"/>
      <c r="E2516" s="24"/>
    </row>
    <row r="2517">
      <c r="B2517" s="25"/>
      <c r="C2517" s="22"/>
      <c r="D2517" s="23"/>
      <c r="E2517" s="24"/>
    </row>
    <row r="2518">
      <c r="B2518" s="25"/>
      <c r="C2518" s="22"/>
      <c r="D2518" s="23"/>
      <c r="E2518" s="24"/>
    </row>
    <row r="2519">
      <c r="B2519" s="25"/>
      <c r="C2519" s="22"/>
      <c r="D2519" s="23"/>
      <c r="E2519" s="24"/>
    </row>
    <row r="2520">
      <c r="B2520" s="25"/>
      <c r="C2520" s="22"/>
      <c r="D2520" s="23"/>
      <c r="E2520" s="24"/>
    </row>
    <row r="2521">
      <c r="B2521" s="25"/>
      <c r="C2521" s="22"/>
      <c r="D2521" s="23"/>
      <c r="E2521" s="24"/>
    </row>
    <row r="2522">
      <c r="B2522" s="25"/>
      <c r="C2522" s="22"/>
      <c r="D2522" s="23"/>
      <c r="E2522" s="24"/>
    </row>
    <row r="2523">
      <c r="B2523" s="25"/>
      <c r="C2523" s="22"/>
      <c r="D2523" s="23"/>
      <c r="E2523" s="24"/>
    </row>
    <row r="2524">
      <c r="B2524" s="25"/>
      <c r="C2524" s="22"/>
      <c r="D2524" s="23"/>
      <c r="E2524" s="24"/>
    </row>
    <row r="2525">
      <c r="B2525" s="25"/>
      <c r="C2525" s="22"/>
      <c r="D2525" s="23"/>
      <c r="E2525" s="24"/>
    </row>
    <row r="2526">
      <c r="B2526" s="25"/>
      <c r="C2526" s="22"/>
      <c r="D2526" s="23"/>
      <c r="E2526" s="24"/>
    </row>
    <row r="2527">
      <c r="B2527" s="25"/>
      <c r="C2527" s="22"/>
      <c r="D2527" s="23"/>
      <c r="E2527" s="24"/>
    </row>
    <row r="2528">
      <c r="B2528" s="25"/>
      <c r="C2528" s="22"/>
      <c r="D2528" s="23"/>
      <c r="E2528" s="24"/>
    </row>
    <row r="2529">
      <c r="B2529" s="25"/>
      <c r="C2529" s="22"/>
      <c r="D2529" s="23"/>
      <c r="E2529" s="24"/>
    </row>
    <row r="2530">
      <c r="B2530" s="25"/>
      <c r="C2530" s="22"/>
      <c r="D2530" s="23"/>
      <c r="E2530" s="24"/>
    </row>
    <row r="2531">
      <c r="B2531" s="25"/>
      <c r="C2531" s="22"/>
      <c r="D2531" s="23"/>
      <c r="E2531" s="24"/>
    </row>
    <row r="2532">
      <c r="B2532" s="25"/>
      <c r="C2532" s="22"/>
      <c r="D2532" s="23"/>
      <c r="E2532" s="24"/>
    </row>
    <row r="2533">
      <c r="B2533" s="25"/>
      <c r="C2533" s="22"/>
      <c r="D2533" s="23"/>
      <c r="E2533" s="24"/>
    </row>
    <row r="2534">
      <c r="B2534" s="25"/>
      <c r="C2534" s="22"/>
      <c r="D2534" s="23"/>
      <c r="E2534" s="24"/>
    </row>
    <row r="2535">
      <c r="B2535" s="25"/>
      <c r="C2535" s="22"/>
      <c r="D2535" s="23"/>
      <c r="E2535" s="24"/>
    </row>
    <row r="2536">
      <c r="B2536" s="25"/>
      <c r="C2536" s="22"/>
      <c r="D2536" s="23"/>
      <c r="E2536" s="24"/>
    </row>
    <row r="2537">
      <c r="B2537" s="25"/>
      <c r="C2537" s="22"/>
      <c r="D2537" s="23"/>
      <c r="E2537" s="24"/>
    </row>
    <row r="2538">
      <c r="B2538" s="25"/>
      <c r="C2538" s="22"/>
      <c r="D2538" s="23"/>
      <c r="E2538" s="24"/>
    </row>
    <row r="2539">
      <c r="B2539" s="25"/>
      <c r="C2539" s="22"/>
      <c r="D2539" s="23"/>
      <c r="E2539" s="24"/>
    </row>
    <row r="2540">
      <c r="B2540" s="25"/>
      <c r="C2540" s="22"/>
      <c r="D2540" s="23"/>
      <c r="E2540" s="24"/>
    </row>
    <row r="2541">
      <c r="B2541" s="25"/>
      <c r="C2541" s="22"/>
      <c r="D2541" s="23"/>
      <c r="E2541" s="24"/>
    </row>
    <row r="2542">
      <c r="B2542" s="25"/>
      <c r="C2542" s="22"/>
      <c r="D2542" s="23"/>
      <c r="E2542" s="24"/>
    </row>
    <row r="2543">
      <c r="B2543" s="25"/>
      <c r="C2543" s="22"/>
      <c r="D2543" s="23"/>
      <c r="E2543" s="24"/>
    </row>
    <row r="2544">
      <c r="B2544" s="25"/>
      <c r="C2544" s="22"/>
      <c r="D2544" s="23"/>
      <c r="E2544" s="24"/>
    </row>
    <row r="2545">
      <c r="B2545" s="25"/>
      <c r="C2545" s="22"/>
      <c r="D2545" s="23"/>
      <c r="E2545" s="24"/>
    </row>
    <row r="2546">
      <c r="B2546" s="25"/>
      <c r="C2546" s="22"/>
      <c r="D2546" s="23"/>
      <c r="E2546" s="24"/>
    </row>
    <row r="2547">
      <c r="B2547" s="25"/>
      <c r="C2547" s="22"/>
      <c r="D2547" s="23"/>
      <c r="E2547" s="24"/>
    </row>
    <row r="2548">
      <c r="B2548" s="25"/>
      <c r="C2548" s="22"/>
      <c r="D2548" s="23"/>
      <c r="E2548" s="24"/>
    </row>
    <row r="2549">
      <c r="B2549" s="25"/>
      <c r="C2549" s="22"/>
      <c r="D2549" s="23"/>
      <c r="E2549" s="24"/>
    </row>
    <row r="2550">
      <c r="B2550" s="25"/>
      <c r="C2550" s="22"/>
      <c r="D2550" s="23"/>
      <c r="E2550" s="24"/>
    </row>
    <row r="2551">
      <c r="B2551" s="25"/>
      <c r="C2551" s="22"/>
      <c r="D2551" s="23"/>
      <c r="E2551" s="24"/>
    </row>
    <row r="2552">
      <c r="B2552" s="25"/>
      <c r="C2552" s="22"/>
      <c r="D2552" s="23"/>
      <c r="E2552" s="24"/>
    </row>
    <row r="2553">
      <c r="B2553" s="25"/>
      <c r="C2553" s="22"/>
      <c r="D2553" s="23"/>
      <c r="E2553" s="24"/>
    </row>
    <row r="2554">
      <c r="B2554" s="25"/>
      <c r="C2554" s="22"/>
      <c r="D2554" s="23"/>
      <c r="E2554" s="24"/>
    </row>
    <row r="2555">
      <c r="B2555" s="25"/>
      <c r="C2555" s="22"/>
      <c r="D2555" s="23"/>
      <c r="E2555" s="24"/>
    </row>
    <row r="2556">
      <c r="B2556" s="25"/>
      <c r="C2556" s="22"/>
      <c r="D2556" s="23"/>
      <c r="E2556" s="24"/>
    </row>
    <row r="2557">
      <c r="B2557" s="25"/>
      <c r="C2557" s="22"/>
      <c r="D2557" s="23"/>
      <c r="E2557" s="24"/>
    </row>
    <row r="2558">
      <c r="B2558" s="25"/>
      <c r="C2558" s="22"/>
      <c r="D2558" s="23"/>
      <c r="E2558" s="24"/>
    </row>
    <row r="2559">
      <c r="B2559" s="25"/>
      <c r="C2559" s="22"/>
      <c r="D2559" s="23"/>
      <c r="E2559" s="24"/>
    </row>
    <row r="2560">
      <c r="B2560" s="25"/>
      <c r="C2560" s="22"/>
      <c r="D2560" s="23"/>
      <c r="E2560" s="24"/>
    </row>
    <row r="2561">
      <c r="B2561" s="25"/>
      <c r="C2561" s="22"/>
      <c r="D2561" s="23"/>
      <c r="E2561" s="24"/>
    </row>
    <row r="2562">
      <c r="B2562" s="25"/>
      <c r="C2562" s="22"/>
      <c r="D2562" s="23"/>
      <c r="E2562" s="24"/>
    </row>
    <row r="2563">
      <c r="B2563" s="25"/>
      <c r="C2563" s="22"/>
      <c r="D2563" s="23"/>
      <c r="E2563" s="24"/>
    </row>
    <row r="2564">
      <c r="B2564" s="25"/>
      <c r="C2564" s="22"/>
      <c r="D2564" s="23"/>
      <c r="E2564" s="24"/>
    </row>
    <row r="2565">
      <c r="B2565" s="25"/>
      <c r="C2565" s="22"/>
      <c r="D2565" s="23"/>
      <c r="E2565" s="24"/>
    </row>
    <row r="2566">
      <c r="B2566" s="25"/>
      <c r="C2566" s="22"/>
      <c r="D2566" s="23"/>
      <c r="E2566" s="24"/>
    </row>
    <row r="2567">
      <c r="B2567" s="25"/>
      <c r="C2567" s="22"/>
      <c r="D2567" s="23"/>
      <c r="E2567" s="24"/>
    </row>
    <row r="2568">
      <c r="B2568" s="25"/>
      <c r="C2568" s="22"/>
      <c r="D2568" s="23"/>
      <c r="E2568" s="24"/>
    </row>
    <row r="2569">
      <c r="B2569" s="25"/>
      <c r="C2569" s="22"/>
      <c r="D2569" s="23"/>
      <c r="E2569" s="24"/>
    </row>
    <row r="2570">
      <c r="B2570" s="25"/>
      <c r="C2570" s="22"/>
      <c r="D2570" s="23"/>
      <c r="E2570" s="24"/>
    </row>
    <row r="2571">
      <c r="B2571" s="25"/>
      <c r="C2571" s="22"/>
      <c r="D2571" s="23"/>
      <c r="E2571" s="24"/>
    </row>
    <row r="2572">
      <c r="B2572" s="25"/>
      <c r="C2572" s="22"/>
      <c r="D2572" s="23"/>
      <c r="E2572" s="24"/>
    </row>
    <row r="2573">
      <c r="B2573" s="25"/>
      <c r="C2573" s="22"/>
      <c r="D2573" s="23"/>
      <c r="E2573" s="24"/>
    </row>
    <row r="2574">
      <c r="B2574" s="25"/>
      <c r="C2574" s="22"/>
      <c r="D2574" s="23"/>
      <c r="E2574" s="24"/>
    </row>
    <row r="2575">
      <c r="B2575" s="25"/>
      <c r="C2575" s="22"/>
      <c r="D2575" s="23"/>
      <c r="E2575" s="24"/>
    </row>
    <row r="2576">
      <c r="B2576" s="25"/>
      <c r="C2576" s="22"/>
      <c r="D2576" s="23"/>
      <c r="E2576" s="24"/>
    </row>
    <row r="2577">
      <c r="B2577" s="25"/>
      <c r="C2577" s="22"/>
      <c r="D2577" s="23"/>
      <c r="E2577" s="24"/>
    </row>
    <row r="2578">
      <c r="B2578" s="25"/>
      <c r="C2578" s="22"/>
      <c r="D2578" s="23"/>
      <c r="E2578" s="24"/>
    </row>
    <row r="2579">
      <c r="B2579" s="25"/>
      <c r="C2579" s="22"/>
      <c r="D2579" s="23"/>
      <c r="E2579" s="24"/>
    </row>
    <row r="2580">
      <c r="B2580" s="25"/>
      <c r="C2580" s="22"/>
      <c r="D2580" s="23"/>
      <c r="E2580" s="24"/>
    </row>
    <row r="2581">
      <c r="B2581" s="25"/>
      <c r="C2581" s="22"/>
      <c r="D2581" s="23"/>
      <c r="E2581" s="24"/>
    </row>
    <row r="2582">
      <c r="B2582" s="25"/>
      <c r="C2582" s="22"/>
      <c r="D2582" s="23"/>
      <c r="E2582" s="24"/>
    </row>
    <row r="2583">
      <c r="B2583" s="25"/>
      <c r="C2583" s="22"/>
      <c r="D2583" s="23"/>
      <c r="E2583" s="24"/>
    </row>
    <row r="2584">
      <c r="B2584" s="25"/>
      <c r="C2584" s="22"/>
      <c r="D2584" s="23"/>
      <c r="E2584" s="24"/>
    </row>
    <row r="2585">
      <c r="B2585" s="25"/>
      <c r="C2585" s="22"/>
      <c r="D2585" s="23"/>
      <c r="E2585" s="24"/>
    </row>
    <row r="2586">
      <c r="B2586" s="25"/>
      <c r="C2586" s="22"/>
      <c r="D2586" s="23"/>
      <c r="E2586" s="24"/>
    </row>
    <row r="2587">
      <c r="B2587" s="25"/>
      <c r="C2587" s="22"/>
      <c r="D2587" s="23"/>
      <c r="E2587" s="24"/>
    </row>
    <row r="2588">
      <c r="B2588" s="25"/>
      <c r="C2588" s="22"/>
      <c r="D2588" s="23"/>
      <c r="E2588" s="24"/>
    </row>
    <row r="2589">
      <c r="B2589" s="25"/>
      <c r="C2589" s="22"/>
      <c r="D2589" s="23"/>
      <c r="E2589" s="24"/>
    </row>
    <row r="2590">
      <c r="B2590" s="25"/>
      <c r="C2590" s="22"/>
      <c r="D2590" s="23"/>
      <c r="E2590" s="24"/>
    </row>
    <row r="2591">
      <c r="B2591" s="25"/>
      <c r="C2591" s="22"/>
      <c r="D2591" s="23"/>
      <c r="E2591" s="24"/>
    </row>
    <row r="2592">
      <c r="B2592" s="25"/>
      <c r="C2592" s="22"/>
      <c r="D2592" s="23"/>
      <c r="E2592" s="24"/>
    </row>
    <row r="2593">
      <c r="B2593" s="25"/>
      <c r="C2593" s="22"/>
      <c r="D2593" s="23"/>
      <c r="E2593" s="24"/>
    </row>
    <row r="2594">
      <c r="B2594" s="25"/>
      <c r="C2594" s="22"/>
      <c r="D2594" s="23"/>
      <c r="E2594" s="24"/>
    </row>
    <row r="2595">
      <c r="B2595" s="25"/>
      <c r="C2595" s="22"/>
      <c r="D2595" s="23"/>
      <c r="E2595" s="24"/>
    </row>
    <row r="2596">
      <c r="B2596" s="25"/>
      <c r="C2596" s="22"/>
      <c r="D2596" s="23"/>
      <c r="E2596" s="24"/>
    </row>
    <row r="2597">
      <c r="B2597" s="25"/>
      <c r="C2597" s="22"/>
      <c r="D2597" s="23"/>
      <c r="E2597" s="24"/>
    </row>
    <row r="2598">
      <c r="B2598" s="25"/>
      <c r="C2598" s="22"/>
      <c r="D2598" s="23"/>
      <c r="E2598" s="24"/>
    </row>
    <row r="2599">
      <c r="B2599" s="25"/>
      <c r="C2599" s="22"/>
      <c r="D2599" s="23"/>
      <c r="E2599" s="24"/>
    </row>
    <row r="2600">
      <c r="B2600" s="25"/>
      <c r="C2600" s="22"/>
      <c r="D2600" s="23"/>
      <c r="E2600" s="24"/>
    </row>
    <row r="2601">
      <c r="B2601" s="25"/>
      <c r="C2601" s="22"/>
      <c r="D2601" s="23"/>
      <c r="E2601" s="24"/>
    </row>
    <row r="2602">
      <c r="B2602" s="25"/>
      <c r="C2602" s="22"/>
      <c r="D2602" s="23"/>
      <c r="E2602" s="24"/>
    </row>
    <row r="2603">
      <c r="B2603" s="25"/>
      <c r="C2603" s="22"/>
      <c r="D2603" s="23"/>
      <c r="E2603" s="24"/>
    </row>
    <row r="2604">
      <c r="B2604" s="25"/>
      <c r="C2604" s="22"/>
      <c r="D2604" s="23"/>
      <c r="E2604" s="24"/>
    </row>
    <row r="2605">
      <c r="B2605" s="25"/>
      <c r="C2605" s="22"/>
      <c r="D2605" s="23"/>
      <c r="E2605" s="24"/>
    </row>
    <row r="2606">
      <c r="B2606" s="25"/>
      <c r="C2606" s="22"/>
      <c r="D2606" s="23"/>
      <c r="E2606" s="24"/>
    </row>
    <row r="2607">
      <c r="B2607" s="25"/>
      <c r="C2607" s="22"/>
      <c r="D2607" s="23"/>
      <c r="E2607" s="24"/>
    </row>
    <row r="2608">
      <c r="B2608" s="25"/>
      <c r="C2608" s="22"/>
      <c r="D2608" s="23"/>
      <c r="E2608" s="24"/>
    </row>
    <row r="2609">
      <c r="B2609" s="25"/>
      <c r="C2609" s="22"/>
      <c r="D2609" s="23"/>
      <c r="E2609" s="24"/>
    </row>
    <row r="2610">
      <c r="B2610" s="25"/>
      <c r="C2610" s="22"/>
      <c r="D2610" s="23"/>
      <c r="E2610" s="24"/>
    </row>
    <row r="2611">
      <c r="B2611" s="25"/>
      <c r="C2611" s="22"/>
      <c r="D2611" s="23"/>
      <c r="E2611" s="24"/>
    </row>
    <row r="2612">
      <c r="B2612" s="25"/>
      <c r="C2612" s="22"/>
      <c r="D2612" s="23"/>
      <c r="E2612" s="24"/>
    </row>
    <row r="2613">
      <c r="B2613" s="25"/>
      <c r="C2613" s="22"/>
      <c r="D2613" s="23"/>
      <c r="E2613" s="24"/>
    </row>
    <row r="2614">
      <c r="B2614" s="25"/>
      <c r="C2614" s="22"/>
      <c r="D2614" s="23"/>
      <c r="E2614" s="24"/>
    </row>
    <row r="2615">
      <c r="B2615" s="25"/>
      <c r="C2615" s="22"/>
      <c r="D2615" s="23"/>
      <c r="E2615" s="24"/>
    </row>
    <row r="2616">
      <c r="B2616" s="25"/>
      <c r="C2616" s="22"/>
      <c r="D2616" s="23"/>
      <c r="E2616" s="24"/>
    </row>
    <row r="2617">
      <c r="B2617" s="25"/>
      <c r="C2617" s="22"/>
      <c r="D2617" s="23"/>
      <c r="E2617" s="24"/>
    </row>
    <row r="2618">
      <c r="B2618" s="25"/>
      <c r="C2618" s="22"/>
      <c r="D2618" s="23"/>
      <c r="E2618" s="24"/>
    </row>
    <row r="2619">
      <c r="B2619" s="25"/>
      <c r="C2619" s="22"/>
      <c r="D2619" s="23"/>
      <c r="E2619" s="24"/>
    </row>
    <row r="2620">
      <c r="B2620" s="25"/>
      <c r="C2620" s="22"/>
      <c r="D2620" s="23"/>
      <c r="E2620" s="24"/>
    </row>
    <row r="2621">
      <c r="B2621" s="25"/>
      <c r="C2621" s="22"/>
      <c r="D2621" s="23"/>
      <c r="E2621" s="24"/>
    </row>
    <row r="2622">
      <c r="B2622" s="25"/>
      <c r="C2622" s="22"/>
      <c r="D2622" s="23"/>
      <c r="E2622" s="24"/>
    </row>
    <row r="2623">
      <c r="B2623" s="25"/>
      <c r="C2623" s="22"/>
      <c r="D2623" s="23"/>
      <c r="E2623" s="24"/>
    </row>
    <row r="2624">
      <c r="B2624" s="25"/>
      <c r="C2624" s="22"/>
      <c r="D2624" s="23"/>
      <c r="E2624" s="24"/>
    </row>
    <row r="2625">
      <c r="B2625" s="25"/>
      <c r="C2625" s="22"/>
      <c r="D2625" s="23"/>
      <c r="E2625" s="24"/>
    </row>
    <row r="2626">
      <c r="B2626" s="25"/>
      <c r="C2626" s="22"/>
      <c r="D2626" s="23"/>
      <c r="E2626" s="24"/>
    </row>
    <row r="2627">
      <c r="B2627" s="25"/>
      <c r="C2627" s="22"/>
      <c r="D2627" s="23"/>
      <c r="E2627" s="24"/>
    </row>
    <row r="2628">
      <c r="B2628" s="25"/>
      <c r="C2628" s="22"/>
      <c r="D2628" s="23"/>
      <c r="E2628" s="24"/>
    </row>
    <row r="2629">
      <c r="B2629" s="25"/>
      <c r="C2629" s="22"/>
      <c r="D2629" s="23"/>
      <c r="E2629" s="24"/>
    </row>
    <row r="2630">
      <c r="B2630" s="25"/>
      <c r="C2630" s="22"/>
      <c r="D2630" s="23"/>
      <c r="E2630" s="24"/>
    </row>
    <row r="2631">
      <c r="B2631" s="25"/>
      <c r="C2631" s="22"/>
      <c r="D2631" s="23"/>
      <c r="E2631" s="24"/>
    </row>
    <row r="2632">
      <c r="B2632" s="25"/>
      <c r="C2632" s="22"/>
      <c r="D2632" s="23"/>
      <c r="E2632" s="24"/>
    </row>
    <row r="2633">
      <c r="B2633" s="25"/>
      <c r="C2633" s="22"/>
      <c r="D2633" s="23"/>
      <c r="E2633" s="24"/>
    </row>
    <row r="2634">
      <c r="B2634" s="25"/>
      <c r="C2634" s="22"/>
      <c r="D2634" s="23"/>
      <c r="E2634" s="24"/>
    </row>
    <row r="2635">
      <c r="B2635" s="25"/>
      <c r="C2635" s="22"/>
      <c r="D2635" s="23"/>
      <c r="E2635" s="24"/>
    </row>
    <row r="2636">
      <c r="B2636" s="25"/>
      <c r="C2636" s="22"/>
      <c r="D2636" s="23"/>
      <c r="E2636" s="24"/>
    </row>
    <row r="2637">
      <c r="B2637" s="25"/>
      <c r="C2637" s="22"/>
      <c r="D2637" s="23"/>
      <c r="E2637" s="24"/>
    </row>
    <row r="2638">
      <c r="B2638" s="25"/>
      <c r="C2638" s="22"/>
      <c r="D2638" s="23"/>
      <c r="E2638" s="24"/>
    </row>
    <row r="2639">
      <c r="B2639" s="25"/>
      <c r="C2639" s="22"/>
      <c r="D2639" s="23"/>
      <c r="E2639" s="24"/>
    </row>
    <row r="2640">
      <c r="B2640" s="25"/>
      <c r="C2640" s="22"/>
      <c r="D2640" s="23"/>
      <c r="E2640" s="24"/>
    </row>
    <row r="2641">
      <c r="B2641" s="25"/>
      <c r="C2641" s="22"/>
      <c r="D2641" s="23"/>
      <c r="E2641" s="24"/>
    </row>
    <row r="2642">
      <c r="B2642" s="25"/>
      <c r="C2642" s="22"/>
      <c r="D2642" s="23"/>
      <c r="E2642" s="24"/>
    </row>
    <row r="2643">
      <c r="B2643" s="25"/>
      <c r="C2643" s="22"/>
      <c r="D2643" s="23"/>
      <c r="E2643" s="24"/>
    </row>
    <row r="2644">
      <c r="B2644" s="25"/>
      <c r="C2644" s="22"/>
      <c r="D2644" s="23"/>
      <c r="E2644" s="24"/>
    </row>
    <row r="2645">
      <c r="B2645" s="25"/>
      <c r="C2645" s="22"/>
      <c r="D2645" s="23"/>
      <c r="E2645" s="24"/>
    </row>
    <row r="2646">
      <c r="B2646" s="25"/>
      <c r="C2646" s="22"/>
      <c r="D2646" s="23"/>
      <c r="E2646" s="24"/>
    </row>
    <row r="2647">
      <c r="B2647" s="25"/>
      <c r="C2647" s="22"/>
      <c r="D2647" s="23"/>
      <c r="E2647" s="24"/>
    </row>
    <row r="2648">
      <c r="B2648" s="25"/>
      <c r="C2648" s="22"/>
      <c r="D2648" s="23"/>
      <c r="E2648" s="24"/>
    </row>
    <row r="2649">
      <c r="B2649" s="25"/>
      <c r="C2649" s="22"/>
      <c r="D2649" s="23"/>
      <c r="E2649" s="24"/>
    </row>
    <row r="2650">
      <c r="B2650" s="25"/>
      <c r="C2650" s="22"/>
      <c r="D2650" s="23"/>
      <c r="E2650" s="24"/>
    </row>
    <row r="2651">
      <c r="B2651" s="25"/>
      <c r="C2651" s="22"/>
      <c r="D2651" s="23"/>
      <c r="E2651" s="24"/>
    </row>
    <row r="2652">
      <c r="B2652" s="25"/>
      <c r="C2652" s="22"/>
      <c r="D2652" s="23"/>
      <c r="E2652" s="24"/>
    </row>
    <row r="2653">
      <c r="B2653" s="25"/>
      <c r="C2653" s="22"/>
      <c r="D2653" s="23"/>
      <c r="E2653" s="24"/>
    </row>
    <row r="2654">
      <c r="B2654" s="25"/>
      <c r="C2654" s="22"/>
      <c r="D2654" s="23"/>
      <c r="E2654" s="24"/>
    </row>
    <row r="2655">
      <c r="B2655" s="25"/>
      <c r="C2655" s="22"/>
      <c r="D2655" s="23"/>
      <c r="E2655" s="24"/>
    </row>
    <row r="2656">
      <c r="B2656" s="25"/>
      <c r="C2656" s="22"/>
      <c r="D2656" s="23"/>
      <c r="E2656" s="24"/>
    </row>
    <row r="2657">
      <c r="B2657" s="25"/>
      <c r="C2657" s="22"/>
      <c r="D2657" s="23"/>
      <c r="E2657" s="24"/>
    </row>
    <row r="2658">
      <c r="B2658" s="25"/>
      <c r="C2658" s="22"/>
      <c r="D2658" s="23"/>
      <c r="E2658" s="24"/>
    </row>
    <row r="2659">
      <c r="B2659" s="25"/>
      <c r="C2659" s="22"/>
      <c r="D2659" s="23"/>
      <c r="E2659" s="24"/>
    </row>
    <row r="2660">
      <c r="B2660" s="25"/>
      <c r="C2660" s="22"/>
      <c r="D2660" s="23"/>
      <c r="E2660" s="24"/>
    </row>
    <row r="2661">
      <c r="B2661" s="25"/>
      <c r="C2661" s="22"/>
      <c r="D2661" s="23"/>
      <c r="E2661" s="24"/>
    </row>
    <row r="2662">
      <c r="B2662" s="25"/>
      <c r="C2662" s="22"/>
      <c r="D2662" s="23"/>
      <c r="E2662" s="24"/>
    </row>
    <row r="2663">
      <c r="B2663" s="25"/>
      <c r="C2663" s="22"/>
      <c r="D2663" s="23"/>
      <c r="E2663" s="24"/>
    </row>
    <row r="2664">
      <c r="B2664" s="25"/>
      <c r="C2664" s="22"/>
      <c r="D2664" s="23"/>
      <c r="E2664" s="24"/>
    </row>
    <row r="2665">
      <c r="B2665" s="25"/>
      <c r="C2665" s="22"/>
      <c r="D2665" s="23"/>
      <c r="E2665" s="24"/>
    </row>
    <row r="2666">
      <c r="B2666" s="25"/>
      <c r="C2666" s="22"/>
      <c r="D2666" s="23"/>
      <c r="E2666" s="24"/>
    </row>
    <row r="2667">
      <c r="B2667" s="25"/>
      <c r="C2667" s="22"/>
      <c r="D2667" s="23"/>
      <c r="E2667" s="24"/>
    </row>
    <row r="2668">
      <c r="B2668" s="25"/>
      <c r="C2668" s="22"/>
      <c r="D2668" s="23"/>
      <c r="E2668" s="24"/>
    </row>
    <row r="2669">
      <c r="B2669" s="25"/>
      <c r="C2669" s="22"/>
      <c r="D2669" s="23"/>
      <c r="E2669" s="24"/>
    </row>
    <row r="2670">
      <c r="B2670" s="25"/>
      <c r="C2670" s="22"/>
      <c r="D2670" s="23"/>
      <c r="E2670" s="24"/>
    </row>
    <row r="2671">
      <c r="B2671" s="25"/>
      <c r="C2671" s="22"/>
      <c r="D2671" s="23"/>
      <c r="E2671" s="24"/>
    </row>
    <row r="2672">
      <c r="B2672" s="25"/>
      <c r="C2672" s="22"/>
      <c r="D2672" s="23"/>
      <c r="E2672" s="24"/>
    </row>
    <row r="2673">
      <c r="B2673" s="25"/>
      <c r="C2673" s="22"/>
      <c r="D2673" s="23"/>
      <c r="E2673" s="24"/>
    </row>
    <row r="2674">
      <c r="B2674" s="25"/>
      <c r="C2674" s="22"/>
      <c r="D2674" s="23"/>
      <c r="E2674" s="24"/>
    </row>
    <row r="2675">
      <c r="B2675" s="25"/>
      <c r="C2675" s="22"/>
      <c r="D2675" s="23"/>
      <c r="E2675" s="24"/>
    </row>
    <row r="2676">
      <c r="B2676" s="25"/>
      <c r="C2676" s="22"/>
      <c r="D2676" s="23"/>
      <c r="E2676" s="24"/>
    </row>
    <row r="2677">
      <c r="B2677" s="25"/>
      <c r="C2677" s="22"/>
      <c r="D2677" s="23"/>
      <c r="E2677" s="24"/>
    </row>
    <row r="2678">
      <c r="B2678" s="25"/>
      <c r="C2678" s="22"/>
      <c r="D2678" s="23"/>
      <c r="E2678" s="24"/>
    </row>
    <row r="2679">
      <c r="B2679" s="25"/>
      <c r="C2679" s="22"/>
      <c r="D2679" s="23"/>
      <c r="E2679" s="24"/>
    </row>
    <row r="2680">
      <c r="B2680" s="25"/>
      <c r="C2680" s="22"/>
      <c r="D2680" s="23"/>
      <c r="E2680" s="24"/>
    </row>
    <row r="2681">
      <c r="B2681" s="25"/>
      <c r="C2681" s="22"/>
      <c r="D2681" s="23"/>
      <c r="E2681" s="24"/>
    </row>
    <row r="2682">
      <c r="B2682" s="25"/>
      <c r="C2682" s="22"/>
      <c r="D2682" s="23"/>
      <c r="E2682" s="24"/>
    </row>
    <row r="2683">
      <c r="B2683" s="25"/>
      <c r="C2683" s="22"/>
      <c r="D2683" s="23"/>
      <c r="E2683" s="24"/>
    </row>
    <row r="2684">
      <c r="B2684" s="25"/>
      <c r="C2684" s="22"/>
      <c r="D2684" s="23"/>
      <c r="E2684" s="24"/>
    </row>
    <row r="2685">
      <c r="B2685" s="25"/>
      <c r="C2685" s="22"/>
      <c r="D2685" s="23"/>
      <c r="E2685" s="24"/>
    </row>
    <row r="2686">
      <c r="B2686" s="25"/>
      <c r="C2686" s="22"/>
      <c r="D2686" s="23"/>
      <c r="E2686" s="24"/>
    </row>
    <row r="2687">
      <c r="B2687" s="25"/>
      <c r="C2687" s="22"/>
      <c r="D2687" s="23"/>
      <c r="E2687" s="24"/>
    </row>
    <row r="2688">
      <c r="B2688" s="25"/>
      <c r="C2688" s="22"/>
      <c r="D2688" s="23"/>
      <c r="E2688" s="24"/>
    </row>
    <row r="2689">
      <c r="B2689" s="25"/>
      <c r="C2689" s="22"/>
      <c r="D2689" s="23"/>
      <c r="E2689" s="24"/>
    </row>
    <row r="2690">
      <c r="B2690" s="25"/>
      <c r="C2690" s="22"/>
      <c r="D2690" s="23"/>
      <c r="E2690" s="24"/>
    </row>
    <row r="2691">
      <c r="B2691" s="25"/>
      <c r="C2691" s="22"/>
      <c r="D2691" s="23"/>
      <c r="E2691" s="24"/>
    </row>
    <row r="2692">
      <c r="B2692" s="25"/>
      <c r="C2692" s="22"/>
      <c r="D2692" s="23"/>
      <c r="E2692" s="24"/>
    </row>
    <row r="2693">
      <c r="B2693" s="25"/>
      <c r="C2693" s="22"/>
      <c r="D2693" s="23"/>
      <c r="E2693" s="24"/>
    </row>
    <row r="2694">
      <c r="B2694" s="25"/>
      <c r="C2694" s="22"/>
      <c r="D2694" s="23"/>
      <c r="E2694" s="24"/>
    </row>
    <row r="2695">
      <c r="B2695" s="25"/>
      <c r="C2695" s="22"/>
      <c r="D2695" s="23"/>
      <c r="E2695" s="24"/>
    </row>
    <row r="2696">
      <c r="B2696" s="25"/>
      <c r="C2696" s="22"/>
      <c r="D2696" s="23"/>
      <c r="E2696" s="24"/>
    </row>
    <row r="2697">
      <c r="B2697" s="25"/>
      <c r="C2697" s="22"/>
      <c r="D2697" s="23"/>
      <c r="E2697" s="24"/>
    </row>
    <row r="2698">
      <c r="B2698" s="25"/>
      <c r="C2698" s="22"/>
      <c r="D2698" s="23"/>
      <c r="E2698" s="24"/>
    </row>
    <row r="2699">
      <c r="B2699" s="25"/>
      <c r="C2699" s="22"/>
      <c r="D2699" s="23"/>
      <c r="E2699" s="24"/>
    </row>
    <row r="2700">
      <c r="B2700" s="25"/>
      <c r="C2700" s="22"/>
      <c r="D2700" s="23"/>
      <c r="E2700" s="24"/>
    </row>
    <row r="2701">
      <c r="B2701" s="25"/>
      <c r="C2701" s="22"/>
      <c r="D2701" s="23"/>
      <c r="E2701" s="24"/>
    </row>
    <row r="2702">
      <c r="B2702" s="25"/>
      <c r="C2702" s="22"/>
      <c r="D2702" s="23"/>
      <c r="E2702" s="24"/>
    </row>
    <row r="2703">
      <c r="B2703" s="25"/>
      <c r="C2703" s="22"/>
      <c r="D2703" s="23"/>
      <c r="E2703" s="24"/>
    </row>
    <row r="2704">
      <c r="B2704" s="25"/>
      <c r="C2704" s="22"/>
      <c r="D2704" s="23"/>
      <c r="E2704" s="24"/>
    </row>
    <row r="2705">
      <c r="B2705" s="25"/>
      <c r="C2705" s="22"/>
      <c r="D2705" s="23"/>
      <c r="E2705" s="24"/>
    </row>
    <row r="2706">
      <c r="B2706" s="25"/>
      <c r="C2706" s="22"/>
      <c r="D2706" s="23"/>
      <c r="E2706" s="24"/>
    </row>
    <row r="2707">
      <c r="B2707" s="25"/>
      <c r="C2707" s="22"/>
      <c r="D2707" s="23"/>
      <c r="E2707" s="24"/>
    </row>
    <row r="2708">
      <c r="B2708" s="25"/>
      <c r="C2708" s="22"/>
      <c r="D2708" s="23"/>
      <c r="E2708" s="24"/>
    </row>
    <row r="2709">
      <c r="B2709" s="25"/>
      <c r="C2709" s="22"/>
      <c r="D2709" s="23"/>
      <c r="E2709" s="24"/>
    </row>
    <row r="2710">
      <c r="B2710" s="25"/>
      <c r="C2710" s="22"/>
      <c r="D2710" s="23"/>
      <c r="E2710" s="24"/>
    </row>
    <row r="2711">
      <c r="B2711" s="25"/>
      <c r="C2711" s="22"/>
      <c r="D2711" s="23"/>
      <c r="E2711" s="24"/>
    </row>
    <row r="2712">
      <c r="B2712" s="25"/>
      <c r="C2712" s="22"/>
      <c r="D2712" s="23"/>
      <c r="E2712" s="24"/>
    </row>
    <row r="2713">
      <c r="B2713" s="25"/>
      <c r="C2713" s="22"/>
      <c r="D2713" s="23"/>
      <c r="E2713" s="24"/>
    </row>
    <row r="2714">
      <c r="B2714" s="25"/>
      <c r="C2714" s="22"/>
      <c r="D2714" s="23"/>
      <c r="E2714" s="24"/>
    </row>
    <row r="2715">
      <c r="B2715" s="25"/>
      <c r="C2715" s="22"/>
      <c r="D2715" s="23"/>
      <c r="E2715" s="24"/>
    </row>
    <row r="2716">
      <c r="B2716" s="25"/>
      <c r="C2716" s="22"/>
      <c r="D2716" s="23"/>
      <c r="E2716" s="24"/>
    </row>
    <row r="2717">
      <c r="B2717" s="25"/>
      <c r="C2717" s="22"/>
      <c r="D2717" s="23"/>
      <c r="E2717" s="24"/>
    </row>
    <row r="2718">
      <c r="B2718" s="25"/>
      <c r="C2718" s="22"/>
      <c r="D2718" s="23"/>
      <c r="E2718" s="24"/>
    </row>
    <row r="2719">
      <c r="B2719" s="25"/>
      <c r="C2719" s="22"/>
      <c r="D2719" s="23"/>
      <c r="E2719" s="24"/>
    </row>
    <row r="2720">
      <c r="B2720" s="25"/>
      <c r="C2720" s="22"/>
      <c r="D2720" s="23"/>
      <c r="E2720" s="24"/>
    </row>
    <row r="2721">
      <c r="B2721" s="25"/>
      <c r="C2721" s="22"/>
      <c r="D2721" s="23"/>
      <c r="E2721" s="24"/>
    </row>
    <row r="2722">
      <c r="B2722" s="25"/>
      <c r="C2722" s="22"/>
      <c r="D2722" s="23"/>
      <c r="E2722" s="24"/>
    </row>
    <row r="2723">
      <c r="B2723" s="25"/>
      <c r="C2723" s="22"/>
      <c r="D2723" s="23"/>
      <c r="E2723" s="24"/>
    </row>
    <row r="2724">
      <c r="B2724" s="25"/>
      <c r="C2724" s="22"/>
      <c r="D2724" s="23"/>
      <c r="E2724" s="24"/>
    </row>
    <row r="2725">
      <c r="B2725" s="25"/>
      <c r="C2725" s="22"/>
      <c r="D2725" s="23"/>
      <c r="E2725" s="24"/>
    </row>
    <row r="2726">
      <c r="B2726" s="25"/>
      <c r="C2726" s="22"/>
      <c r="D2726" s="23"/>
      <c r="E2726" s="24"/>
    </row>
    <row r="2727">
      <c r="B2727" s="25"/>
      <c r="C2727" s="22"/>
      <c r="D2727" s="23"/>
      <c r="E2727" s="24"/>
    </row>
    <row r="2728">
      <c r="B2728" s="25"/>
      <c r="C2728" s="22"/>
      <c r="D2728" s="23"/>
      <c r="E2728" s="24"/>
    </row>
    <row r="2729">
      <c r="B2729" s="25"/>
      <c r="C2729" s="22"/>
      <c r="D2729" s="23"/>
      <c r="E2729" s="24"/>
    </row>
    <row r="2730">
      <c r="B2730" s="25"/>
      <c r="C2730" s="22"/>
      <c r="D2730" s="23"/>
      <c r="E2730" s="24"/>
    </row>
    <row r="2731">
      <c r="B2731" s="25"/>
      <c r="C2731" s="22"/>
      <c r="D2731" s="23"/>
      <c r="E2731" s="24"/>
    </row>
    <row r="2732">
      <c r="B2732" s="25"/>
      <c r="C2732" s="22"/>
      <c r="D2732" s="23"/>
      <c r="E2732" s="24"/>
    </row>
    <row r="2733">
      <c r="B2733" s="25"/>
      <c r="C2733" s="22"/>
      <c r="D2733" s="23"/>
      <c r="E2733" s="24"/>
    </row>
    <row r="2734">
      <c r="B2734" s="25"/>
      <c r="C2734" s="22"/>
      <c r="D2734" s="23"/>
      <c r="E2734" s="24"/>
    </row>
    <row r="2735">
      <c r="B2735" s="25"/>
      <c r="C2735" s="22"/>
      <c r="D2735" s="23"/>
      <c r="E2735" s="24"/>
    </row>
    <row r="2736">
      <c r="B2736" s="25"/>
      <c r="C2736" s="22"/>
      <c r="D2736" s="23"/>
      <c r="E2736" s="24"/>
    </row>
    <row r="2737">
      <c r="B2737" s="25"/>
      <c r="C2737" s="22"/>
      <c r="D2737" s="23"/>
      <c r="E2737" s="24"/>
    </row>
    <row r="2738">
      <c r="B2738" s="25"/>
      <c r="C2738" s="22"/>
      <c r="D2738" s="23"/>
      <c r="E2738" s="24"/>
    </row>
    <row r="2739">
      <c r="B2739" s="25"/>
      <c r="C2739" s="22"/>
      <c r="D2739" s="23"/>
      <c r="E2739" s="24"/>
    </row>
    <row r="2740">
      <c r="B2740" s="25"/>
      <c r="C2740" s="22"/>
      <c r="D2740" s="23"/>
      <c r="E2740" s="24"/>
    </row>
    <row r="2741">
      <c r="B2741" s="25"/>
      <c r="C2741" s="22"/>
      <c r="D2741" s="23"/>
      <c r="E2741" s="24"/>
    </row>
    <row r="2742">
      <c r="B2742" s="25"/>
      <c r="C2742" s="22"/>
      <c r="D2742" s="23"/>
      <c r="E2742" s="24"/>
    </row>
    <row r="2743">
      <c r="B2743" s="25"/>
      <c r="C2743" s="22"/>
      <c r="D2743" s="23"/>
      <c r="E2743" s="24"/>
    </row>
    <row r="2744">
      <c r="B2744" s="25"/>
      <c r="C2744" s="22"/>
      <c r="D2744" s="23"/>
      <c r="E2744" s="24"/>
    </row>
    <row r="2745">
      <c r="B2745" s="25"/>
      <c r="C2745" s="22"/>
      <c r="D2745" s="23"/>
      <c r="E2745" s="24"/>
    </row>
    <row r="2746">
      <c r="B2746" s="25"/>
      <c r="C2746" s="22"/>
      <c r="D2746" s="23"/>
      <c r="E2746" s="24"/>
    </row>
    <row r="2747">
      <c r="B2747" s="25"/>
      <c r="C2747" s="22"/>
      <c r="D2747" s="23"/>
      <c r="E2747" s="24"/>
    </row>
    <row r="2748">
      <c r="B2748" s="25"/>
      <c r="C2748" s="22"/>
      <c r="D2748" s="23"/>
      <c r="E2748" s="24"/>
    </row>
    <row r="2749">
      <c r="B2749" s="25"/>
      <c r="C2749" s="22"/>
      <c r="D2749" s="23"/>
      <c r="E2749" s="24"/>
    </row>
    <row r="2750">
      <c r="B2750" s="25"/>
      <c r="C2750" s="22"/>
      <c r="D2750" s="23"/>
      <c r="E2750" s="24"/>
    </row>
    <row r="2751">
      <c r="B2751" s="25"/>
      <c r="C2751" s="22"/>
      <c r="D2751" s="23"/>
      <c r="E2751" s="24"/>
    </row>
    <row r="2752">
      <c r="B2752" s="25"/>
      <c r="C2752" s="22"/>
      <c r="D2752" s="23"/>
      <c r="E2752" s="24"/>
    </row>
    <row r="2753">
      <c r="B2753" s="25"/>
      <c r="C2753" s="22"/>
      <c r="D2753" s="23"/>
      <c r="E2753" s="24"/>
    </row>
    <row r="2754">
      <c r="B2754" s="25"/>
      <c r="C2754" s="22"/>
      <c r="D2754" s="23"/>
      <c r="E2754" s="24"/>
    </row>
    <row r="2755">
      <c r="B2755" s="25"/>
      <c r="C2755" s="22"/>
      <c r="D2755" s="23"/>
      <c r="E2755" s="24"/>
    </row>
    <row r="2756">
      <c r="B2756" s="25"/>
      <c r="C2756" s="22"/>
      <c r="D2756" s="23"/>
      <c r="E2756" s="24"/>
    </row>
    <row r="2757">
      <c r="B2757" s="25"/>
      <c r="C2757" s="22"/>
      <c r="D2757" s="23"/>
      <c r="E2757" s="24"/>
    </row>
    <row r="2758">
      <c r="B2758" s="25"/>
      <c r="C2758" s="22"/>
      <c r="D2758" s="23"/>
      <c r="E2758" s="24"/>
    </row>
    <row r="2759">
      <c r="B2759" s="25"/>
      <c r="C2759" s="22"/>
      <c r="D2759" s="23"/>
      <c r="E2759" s="24"/>
    </row>
    <row r="2760">
      <c r="B2760" s="25"/>
      <c r="C2760" s="22"/>
      <c r="D2760" s="23"/>
      <c r="E2760" s="24"/>
    </row>
    <row r="2761">
      <c r="B2761" s="25"/>
      <c r="C2761" s="22"/>
      <c r="D2761" s="23"/>
      <c r="E2761" s="24"/>
    </row>
    <row r="2762">
      <c r="B2762" s="25"/>
      <c r="C2762" s="22"/>
      <c r="D2762" s="23"/>
      <c r="E2762" s="24"/>
    </row>
    <row r="2763">
      <c r="B2763" s="25"/>
      <c r="C2763" s="22"/>
      <c r="D2763" s="23"/>
      <c r="E2763" s="24"/>
    </row>
    <row r="2764">
      <c r="B2764" s="25"/>
      <c r="C2764" s="22"/>
      <c r="D2764" s="23"/>
      <c r="E2764" s="24"/>
    </row>
    <row r="2765">
      <c r="B2765" s="25"/>
      <c r="C2765" s="22"/>
      <c r="D2765" s="23"/>
      <c r="E2765" s="24"/>
    </row>
    <row r="2766">
      <c r="B2766" s="25"/>
      <c r="C2766" s="22"/>
      <c r="D2766" s="23"/>
      <c r="E2766" s="24"/>
    </row>
    <row r="2767">
      <c r="B2767" s="25"/>
      <c r="C2767" s="22"/>
      <c r="D2767" s="23"/>
      <c r="E2767" s="24"/>
    </row>
    <row r="2768">
      <c r="B2768" s="25"/>
      <c r="C2768" s="22"/>
      <c r="D2768" s="23"/>
      <c r="E2768" s="24"/>
    </row>
    <row r="2769">
      <c r="B2769" s="25"/>
      <c r="C2769" s="22"/>
      <c r="D2769" s="23"/>
      <c r="E2769" s="24"/>
    </row>
    <row r="2770">
      <c r="B2770" s="25"/>
      <c r="C2770" s="22"/>
      <c r="D2770" s="23"/>
      <c r="E2770" s="24"/>
    </row>
    <row r="2771">
      <c r="B2771" s="25"/>
      <c r="C2771" s="22"/>
      <c r="D2771" s="23"/>
      <c r="E2771" s="24"/>
    </row>
    <row r="2772">
      <c r="B2772" s="25"/>
      <c r="C2772" s="22"/>
      <c r="D2772" s="23"/>
      <c r="E2772" s="24"/>
    </row>
    <row r="2773">
      <c r="B2773" s="25"/>
      <c r="C2773" s="22"/>
      <c r="D2773" s="23"/>
      <c r="E2773" s="24"/>
    </row>
    <row r="2774">
      <c r="B2774" s="25"/>
      <c r="C2774" s="22"/>
      <c r="D2774" s="23"/>
      <c r="E2774" s="24"/>
    </row>
    <row r="2775">
      <c r="B2775" s="25"/>
      <c r="C2775" s="22"/>
      <c r="D2775" s="23"/>
      <c r="E2775" s="24"/>
    </row>
    <row r="2776">
      <c r="B2776" s="25"/>
      <c r="C2776" s="22"/>
      <c r="D2776" s="23"/>
      <c r="E2776" s="24"/>
    </row>
    <row r="2777">
      <c r="B2777" s="25"/>
      <c r="C2777" s="22"/>
      <c r="D2777" s="23"/>
      <c r="E2777" s="24"/>
    </row>
    <row r="2778">
      <c r="B2778" s="25"/>
      <c r="C2778" s="22"/>
      <c r="D2778" s="23"/>
      <c r="E2778" s="24"/>
    </row>
    <row r="2779">
      <c r="B2779" s="25"/>
      <c r="C2779" s="22"/>
      <c r="D2779" s="23"/>
      <c r="E2779" s="24"/>
    </row>
    <row r="2780">
      <c r="B2780" s="25"/>
      <c r="C2780" s="22"/>
      <c r="D2780" s="23"/>
      <c r="E2780" s="24"/>
    </row>
    <row r="2781">
      <c r="B2781" s="25"/>
      <c r="C2781" s="22"/>
      <c r="D2781" s="23"/>
      <c r="E2781" s="24"/>
    </row>
    <row r="2782">
      <c r="B2782" s="25"/>
      <c r="C2782" s="22"/>
      <c r="D2782" s="23"/>
      <c r="E2782" s="24"/>
    </row>
    <row r="2783">
      <c r="B2783" s="25"/>
      <c r="C2783" s="22"/>
      <c r="D2783" s="23"/>
      <c r="E2783" s="24"/>
    </row>
    <row r="2784">
      <c r="B2784" s="25"/>
      <c r="C2784" s="22"/>
      <c r="D2784" s="23"/>
      <c r="E2784" s="24"/>
    </row>
    <row r="2785">
      <c r="B2785" s="25"/>
      <c r="C2785" s="22"/>
      <c r="D2785" s="23"/>
      <c r="E2785" s="24"/>
    </row>
    <row r="2786">
      <c r="B2786" s="25"/>
      <c r="C2786" s="22"/>
      <c r="D2786" s="23"/>
      <c r="E2786" s="24"/>
    </row>
    <row r="2787">
      <c r="B2787" s="25"/>
      <c r="C2787" s="22"/>
      <c r="D2787" s="23"/>
      <c r="E2787" s="24"/>
    </row>
    <row r="2788">
      <c r="B2788" s="25"/>
      <c r="C2788" s="22"/>
      <c r="D2788" s="23"/>
      <c r="E2788" s="24"/>
    </row>
    <row r="2789">
      <c r="B2789" s="25"/>
      <c r="C2789" s="22"/>
      <c r="D2789" s="23"/>
      <c r="E2789" s="24"/>
    </row>
    <row r="2790">
      <c r="B2790" s="25"/>
      <c r="C2790" s="22"/>
      <c r="D2790" s="23"/>
      <c r="E2790" s="24"/>
    </row>
    <row r="2791">
      <c r="B2791" s="25"/>
      <c r="C2791" s="22"/>
      <c r="D2791" s="23"/>
      <c r="E2791" s="24"/>
    </row>
    <row r="2792">
      <c r="B2792" s="25"/>
      <c r="C2792" s="22"/>
      <c r="D2792" s="23"/>
      <c r="E2792" s="24"/>
    </row>
    <row r="2793">
      <c r="B2793" s="25"/>
      <c r="C2793" s="22"/>
      <c r="D2793" s="23"/>
      <c r="E2793" s="24"/>
    </row>
    <row r="2794">
      <c r="B2794" s="25"/>
      <c r="C2794" s="22"/>
      <c r="D2794" s="23"/>
      <c r="E2794" s="24"/>
    </row>
    <row r="2795">
      <c r="B2795" s="25"/>
      <c r="C2795" s="22"/>
      <c r="D2795" s="23"/>
      <c r="E2795" s="24"/>
    </row>
    <row r="2796">
      <c r="B2796" s="25"/>
      <c r="C2796" s="22"/>
      <c r="D2796" s="23"/>
      <c r="E2796" s="24"/>
    </row>
    <row r="2797">
      <c r="B2797" s="25"/>
      <c r="C2797" s="22"/>
      <c r="D2797" s="23"/>
      <c r="E2797" s="24"/>
    </row>
    <row r="2798">
      <c r="B2798" s="25"/>
      <c r="C2798" s="22"/>
      <c r="D2798" s="23"/>
      <c r="E2798" s="24"/>
    </row>
    <row r="2799">
      <c r="B2799" s="25"/>
      <c r="C2799" s="22"/>
      <c r="D2799" s="23"/>
      <c r="E2799" s="24"/>
    </row>
    <row r="2800">
      <c r="B2800" s="25"/>
      <c r="C2800" s="22"/>
      <c r="D2800" s="23"/>
      <c r="E2800" s="24"/>
    </row>
    <row r="2801">
      <c r="B2801" s="25"/>
      <c r="C2801" s="22"/>
      <c r="D2801" s="23"/>
      <c r="E2801" s="24"/>
    </row>
    <row r="2802">
      <c r="B2802" s="25"/>
      <c r="C2802" s="22"/>
      <c r="D2802" s="23"/>
      <c r="E2802" s="24"/>
    </row>
    <row r="2803">
      <c r="B2803" s="25"/>
      <c r="C2803" s="22"/>
      <c r="D2803" s="23"/>
      <c r="E2803" s="24"/>
    </row>
    <row r="2804">
      <c r="B2804" s="25"/>
      <c r="C2804" s="22"/>
      <c r="D2804" s="23"/>
      <c r="E2804" s="24"/>
    </row>
    <row r="2805">
      <c r="B2805" s="25"/>
      <c r="C2805" s="22"/>
      <c r="D2805" s="23"/>
      <c r="E2805" s="24"/>
    </row>
    <row r="2806">
      <c r="B2806" s="25"/>
      <c r="C2806" s="22"/>
      <c r="D2806" s="23"/>
      <c r="E2806" s="24"/>
    </row>
    <row r="2807">
      <c r="B2807" s="25"/>
      <c r="C2807" s="22"/>
      <c r="D2807" s="23"/>
      <c r="E2807" s="24"/>
    </row>
    <row r="2808">
      <c r="B2808" s="25"/>
      <c r="C2808" s="22"/>
      <c r="D2808" s="23"/>
      <c r="E2808" s="24"/>
    </row>
    <row r="2809">
      <c r="B2809" s="25"/>
      <c r="C2809" s="22"/>
      <c r="D2809" s="23"/>
      <c r="E2809" s="24"/>
    </row>
    <row r="2810">
      <c r="B2810" s="25"/>
      <c r="C2810" s="22"/>
      <c r="D2810" s="23"/>
      <c r="E2810" s="24"/>
    </row>
    <row r="2811">
      <c r="B2811" s="25"/>
      <c r="C2811" s="22"/>
      <c r="D2811" s="23"/>
      <c r="E2811" s="24"/>
    </row>
    <row r="2812">
      <c r="B2812" s="25"/>
      <c r="C2812" s="22"/>
      <c r="D2812" s="23"/>
      <c r="E2812" s="24"/>
    </row>
    <row r="2813">
      <c r="B2813" s="25"/>
      <c r="C2813" s="22"/>
      <c r="D2813" s="23"/>
      <c r="E2813" s="24"/>
    </row>
    <row r="2814">
      <c r="B2814" s="25"/>
      <c r="C2814" s="22"/>
      <c r="D2814" s="23"/>
      <c r="E2814" s="24"/>
    </row>
    <row r="2815">
      <c r="B2815" s="25"/>
      <c r="C2815" s="22"/>
      <c r="D2815" s="23"/>
      <c r="E2815" s="24"/>
    </row>
    <row r="2816">
      <c r="B2816" s="25"/>
      <c r="C2816" s="22"/>
      <c r="D2816" s="23"/>
      <c r="E2816" s="24"/>
    </row>
    <row r="2817">
      <c r="B2817" s="25"/>
      <c r="C2817" s="22"/>
      <c r="D2817" s="23"/>
      <c r="E2817" s="24"/>
    </row>
    <row r="2818">
      <c r="B2818" s="25"/>
      <c r="C2818" s="22"/>
      <c r="D2818" s="23"/>
      <c r="E2818" s="24"/>
    </row>
    <row r="2819">
      <c r="B2819" s="25"/>
      <c r="C2819" s="22"/>
      <c r="D2819" s="23"/>
      <c r="E2819" s="24"/>
    </row>
    <row r="2820">
      <c r="B2820" s="25"/>
      <c r="C2820" s="22"/>
      <c r="D2820" s="23"/>
      <c r="E2820" s="24"/>
    </row>
    <row r="2821">
      <c r="B2821" s="25"/>
      <c r="C2821" s="22"/>
      <c r="D2821" s="23"/>
      <c r="E2821" s="24"/>
    </row>
    <row r="2822">
      <c r="B2822" s="25"/>
      <c r="C2822" s="22"/>
      <c r="D2822" s="23"/>
      <c r="E2822" s="24"/>
    </row>
    <row r="2823">
      <c r="B2823" s="25"/>
      <c r="C2823" s="22"/>
      <c r="D2823" s="23"/>
      <c r="E2823" s="24"/>
    </row>
    <row r="2824">
      <c r="B2824" s="25"/>
      <c r="C2824" s="22"/>
      <c r="D2824" s="23"/>
      <c r="E2824" s="24"/>
    </row>
    <row r="2825">
      <c r="B2825" s="25"/>
      <c r="C2825" s="22"/>
      <c r="D2825" s="23"/>
      <c r="E2825" s="24"/>
    </row>
    <row r="2826">
      <c r="B2826" s="25"/>
      <c r="C2826" s="22"/>
      <c r="D2826" s="23"/>
      <c r="E2826" s="24"/>
    </row>
    <row r="2827">
      <c r="B2827" s="25"/>
      <c r="C2827" s="22"/>
      <c r="D2827" s="23"/>
      <c r="E2827" s="24"/>
    </row>
    <row r="2828">
      <c r="B2828" s="25"/>
      <c r="C2828" s="22"/>
      <c r="D2828" s="23"/>
      <c r="E2828" s="24"/>
    </row>
    <row r="2829">
      <c r="B2829" s="25"/>
      <c r="C2829" s="22"/>
      <c r="D2829" s="23"/>
      <c r="E2829" s="24"/>
    </row>
    <row r="2830">
      <c r="B2830" s="25"/>
      <c r="C2830" s="22"/>
      <c r="D2830" s="23"/>
      <c r="E2830" s="24"/>
    </row>
    <row r="2831">
      <c r="B2831" s="25"/>
      <c r="C2831" s="22"/>
      <c r="D2831" s="23"/>
      <c r="E2831" s="24"/>
    </row>
    <row r="2832">
      <c r="B2832" s="25"/>
      <c r="C2832" s="22"/>
      <c r="D2832" s="23"/>
      <c r="E2832" s="24"/>
    </row>
    <row r="2833">
      <c r="B2833" s="25"/>
      <c r="C2833" s="22"/>
      <c r="D2833" s="23"/>
      <c r="E2833" s="24"/>
    </row>
    <row r="2834">
      <c r="B2834" s="25"/>
      <c r="C2834" s="22"/>
      <c r="D2834" s="23"/>
      <c r="E2834" s="24"/>
    </row>
    <row r="2835">
      <c r="B2835" s="25"/>
      <c r="C2835" s="22"/>
      <c r="D2835" s="23"/>
      <c r="E2835" s="24"/>
    </row>
    <row r="2836">
      <c r="B2836" s="25"/>
      <c r="C2836" s="22"/>
      <c r="D2836" s="23"/>
      <c r="E2836" s="24"/>
    </row>
    <row r="2837">
      <c r="B2837" s="25"/>
      <c r="C2837" s="22"/>
      <c r="D2837" s="23"/>
      <c r="E2837" s="24"/>
    </row>
    <row r="2838">
      <c r="B2838" s="25"/>
      <c r="C2838" s="22"/>
      <c r="D2838" s="23"/>
      <c r="E2838" s="24"/>
    </row>
    <row r="2839">
      <c r="B2839" s="25"/>
      <c r="C2839" s="22"/>
      <c r="D2839" s="23"/>
      <c r="E2839" s="24"/>
    </row>
    <row r="2840">
      <c r="B2840" s="25"/>
      <c r="C2840" s="22"/>
      <c r="D2840" s="23"/>
      <c r="E2840" s="24"/>
    </row>
    <row r="2841">
      <c r="B2841" s="25"/>
      <c r="C2841" s="22"/>
      <c r="D2841" s="23"/>
      <c r="E2841" s="24"/>
    </row>
    <row r="2842">
      <c r="B2842" s="25"/>
      <c r="C2842" s="22"/>
      <c r="D2842" s="23"/>
      <c r="E2842" s="24"/>
    </row>
    <row r="2843">
      <c r="B2843" s="25"/>
      <c r="C2843" s="22"/>
      <c r="D2843" s="23"/>
      <c r="E2843" s="24"/>
    </row>
    <row r="2844">
      <c r="B2844" s="25"/>
      <c r="C2844" s="22"/>
      <c r="D2844" s="23"/>
      <c r="E2844" s="24"/>
    </row>
    <row r="2845">
      <c r="B2845" s="25"/>
      <c r="C2845" s="22"/>
      <c r="D2845" s="23"/>
      <c r="E2845" s="24"/>
    </row>
    <row r="2846">
      <c r="B2846" s="25"/>
      <c r="C2846" s="22"/>
      <c r="D2846" s="23"/>
      <c r="E2846" s="24"/>
    </row>
    <row r="2847">
      <c r="B2847" s="25"/>
      <c r="C2847" s="22"/>
      <c r="D2847" s="23"/>
      <c r="E2847" s="24"/>
    </row>
    <row r="2848">
      <c r="B2848" s="25"/>
      <c r="C2848" s="22"/>
      <c r="D2848" s="23"/>
      <c r="E2848" s="24"/>
    </row>
    <row r="2849">
      <c r="B2849" s="25"/>
      <c r="C2849" s="22"/>
      <c r="D2849" s="23"/>
      <c r="E2849" s="24"/>
    </row>
    <row r="2850">
      <c r="B2850" s="25"/>
      <c r="C2850" s="22"/>
      <c r="D2850" s="23"/>
      <c r="E2850" s="24"/>
    </row>
    <row r="2851">
      <c r="B2851" s="25"/>
      <c r="C2851" s="22"/>
      <c r="D2851" s="23"/>
      <c r="E2851" s="24"/>
    </row>
    <row r="2852">
      <c r="B2852" s="25"/>
      <c r="C2852" s="22"/>
      <c r="D2852" s="23"/>
      <c r="E2852" s="24"/>
    </row>
    <row r="2853">
      <c r="B2853" s="25"/>
      <c r="C2853" s="22"/>
      <c r="D2853" s="23"/>
      <c r="E2853" s="24"/>
    </row>
    <row r="2854">
      <c r="B2854" s="25"/>
      <c r="C2854" s="22"/>
      <c r="D2854" s="23"/>
      <c r="E2854" s="24"/>
    </row>
    <row r="2855">
      <c r="B2855" s="25"/>
      <c r="C2855" s="22"/>
      <c r="D2855" s="23"/>
      <c r="E2855" s="24"/>
    </row>
    <row r="2856">
      <c r="B2856" s="25"/>
      <c r="C2856" s="22"/>
      <c r="D2856" s="23"/>
      <c r="E2856" s="24"/>
    </row>
    <row r="2857">
      <c r="B2857" s="25"/>
      <c r="C2857" s="22"/>
      <c r="D2857" s="23"/>
      <c r="E2857" s="24"/>
    </row>
    <row r="2858">
      <c r="B2858" s="25"/>
      <c r="C2858" s="22"/>
      <c r="D2858" s="23"/>
      <c r="E2858" s="24"/>
    </row>
    <row r="2859">
      <c r="B2859" s="25"/>
      <c r="C2859" s="22"/>
      <c r="D2859" s="23"/>
      <c r="E2859" s="24"/>
    </row>
    <row r="2860">
      <c r="B2860" s="25"/>
      <c r="C2860" s="22"/>
      <c r="D2860" s="23"/>
      <c r="E2860" s="24"/>
    </row>
    <row r="2861">
      <c r="B2861" s="25"/>
      <c r="C2861" s="22"/>
      <c r="D2861" s="23"/>
      <c r="E2861" s="24"/>
    </row>
    <row r="2862">
      <c r="B2862" s="25"/>
      <c r="C2862" s="22"/>
      <c r="D2862" s="23"/>
      <c r="E2862" s="24"/>
    </row>
    <row r="2863">
      <c r="B2863" s="25"/>
      <c r="C2863" s="22"/>
      <c r="D2863" s="23"/>
      <c r="E2863" s="24"/>
    </row>
    <row r="2864">
      <c r="B2864" s="25"/>
      <c r="C2864" s="22"/>
      <c r="D2864" s="23"/>
      <c r="E2864" s="24"/>
    </row>
    <row r="2865">
      <c r="B2865" s="25"/>
      <c r="C2865" s="22"/>
      <c r="D2865" s="23"/>
      <c r="E2865" s="24"/>
    </row>
    <row r="2866">
      <c r="B2866" s="25"/>
      <c r="C2866" s="22"/>
      <c r="D2866" s="23"/>
      <c r="E2866" s="24"/>
    </row>
    <row r="2867">
      <c r="B2867" s="25"/>
      <c r="C2867" s="22"/>
      <c r="D2867" s="23"/>
      <c r="E2867" s="24"/>
    </row>
    <row r="2868">
      <c r="B2868" s="25"/>
      <c r="C2868" s="22"/>
      <c r="D2868" s="23"/>
      <c r="E2868" s="24"/>
    </row>
    <row r="2869">
      <c r="B2869" s="25"/>
      <c r="C2869" s="22"/>
      <c r="D2869" s="23"/>
      <c r="E2869" s="24"/>
    </row>
    <row r="2870">
      <c r="B2870" s="25"/>
      <c r="C2870" s="22"/>
      <c r="D2870" s="23"/>
      <c r="E2870" s="24"/>
    </row>
    <row r="2871">
      <c r="B2871" s="25"/>
      <c r="C2871" s="22"/>
      <c r="D2871" s="23"/>
      <c r="E2871" s="24"/>
    </row>
    <row r="2872">
      <c r="B2872" s="25"/>
      <c r="C2872" s="22"/>
      <c r="D2872" s="23"/>
      <c r="E2872" s="24"/>
    </row>
    <row r="2873">
      <c r="B2873" s="25"/>
      <c r="C2873" s="22"/>
      <c r="D2873" s="23"/>
      <c r="E2873" s="24"/>
    </row>
    <row r="2874">
      <c r="B2874" s="25"/>
      <c r="C2874" s="22"/>
      <c r="D2874" s="23"/>
      <c r="E2874" s="24"/>
    </row>
    <row r="2875">
      <c r="B2875" s="25"/>
      <c r="C2875" s="22"/>
      <c r="D2875" s="23"/>
      <c r="E2875" s="24"/>
    </row>
    <row r="2876">
      <c r="B2876" s="25"/>
      <c r="C2876" s="22"/>
      <c r="D2876" s="23"/>
      <c r="E2876" s="24"/>
    </row>
    <row r="2877">
      <c r="B2877" s="25"/>
      <c r="C2877" s="22"/>
      <c r="D2877" s="23"/>
      <c r="E2877" s="24"/>
    </row>
    <row r="2878">
      <c r="B2878" s="25"/>
      <c r="C2878" s="22"/>
      <c r="D2878" s="23"/>
      <c r="E2878" s="24"/>
    </row>
    <row r="2879">
      <c r="B2879" s="25"/>
      <c r="C2879" s="22"/>
      <c r="D2879" s="23"/>
      <c r="E2879" s="24"/>
    </row>
    <row r="2880">
      <c r="B2880" s="25"/>
      <c r="C2880" s="22"/>
      <c r="D2880" s="23"/>
      <c r="E2880" s="24"/>
    </row>
    <row r="2881">
      <c r="B2881" s="25"/>
      <c r="C2881" s="22"/>
      <c r="D2881" s="23"/>
      <c r="E2881" s="24"/>
    </row>
    <row r="2882">
      <c r="B2882" s="25"/>
      <c r="C2882" s="22"/>
      <c r="D2882" s="23"/>
      <c r="E2882" s="24"/>
    </row>
    <row r="2883">
      <c r="B2883" s="25"/>
      <c r="C2883" s="22"/>
      <c r="D2883" s="23"/>
      <c r="E2883" s="24"/>
    </row>
    <row r="2884">
      <c r="B2884" s="25"/>
      <c r="C2884" s="22"/>
      <c r="D2884" s="23"/>
      <c r="E2884" s="24"/>
    </row>
    <row r="2885">
      <c r="B2885" s="25"/>
      <c r="C2885" s="22"/>
      <c r="D2885" s="23"/>
      <c r="E2885" s="24"/>
    </row>
    <row r="2886">
      <c r="B2886" s="25"/>
      <c r="C2886" s="22"/>
      <c r="D2886" s="23"/>
      <c r="E2886" s="24"/>
    </row>
    <row r="2887">
      <c r="B2887" s="25"/>
      <c r="C2887" s="22"/>
      <c r="D2887" s="23"/>
      <c r="E2887" s="24"/>
    </row>
    <row r="2888">
      <c r="B2888" s="25"/>
      <c r="C2888" s="22"/>
      <c r="D2888" s="23"/>
      <c r="E2888" s="24"/>
    </row>
    <row r="2889">
      <c r="B2889" s="25"/>
      <c r="C2889" s="22"/>
      <c r="D2889" s="23"/>
      <c r="E2889" s="24"/>
    </row>
    <row r="2890">
      <c r="B2890" s="25"/>
      <c r="C2890" s="22"/>
      <c r="D2890" s="23"/>
      <c r="E2890" s="24"/>
    </row>
    <row r="2891">
      <c r="B2891" s="25"/>
      <c r="C2891" s="22"/>
      <c r="D2891" s="23"/>
      <c r="E2891" s="24"/>
    </row>
    <row r="2892">
      <c r="B2892" s="25"/>
      <c r="C2892" s="22"/>
      <c r="D2892" s="23"/>
      <c r="E2892" s="24"/>
    </row>
    <row r="2893">
      <c r="B2893" s="25"/>
      <c r="C2893" s="22"/>
      <c r="D2893" s="23"/>
      <c r="E2893" s="24"/>
    </row>
    <row r="2894">
      <c r="B2894" s="25"/>
      <c r="C2894" s="22"/>
      <c r="D2894" s="23"/>
      <c r="E2894" s="24"/>
    </row>
    <row r="2895">
      <c r="B2895" s="25"/>
      <c r="C2895" s="22"/>
      <c r="D2895" s="23"/>
      <c r="E2895" s="24"/>
    </row>
    <row r="2896">
      <c r="B2896" s="25"/>
      <c r="C2896" s="22"/>
      <c r="D2896" s="23"/>
      <c r="E2896" s="24"/>
    </row>
    <row r="2897">
      <c r="B2897" s="25"/>
      <c r="C2897" s="22"/>
      <c r="D2897" s="23"/>
      <c r="E2897" s="24"/>
    </row>
    <row r="2898">
      <c r="B2898" s="25"/>
      <c r="C2898" s="22"/>
      <c r="D2898" s="23"/>
      <c r="E2898" s="24"/>
    </row>
    <row r="2899">
      <c r="B2899" s="25"/>
      <c r="C2899" s="22"/>
      <c r="D2899" s="23"/>
      <c r="E2899" s="24"/>
    </row>
    <row r="2900">
      <c r="B2900" s="25"/>
      <c r="C2900" s="22"/>
      <c r="D2900" s="23"/>
      <c r="E2900" s="24"/>
    </row>
    <row r="2901">
      <c r="B2901" s="25"/>
      <c r="C2901" s="22"/>
      <c r="D2901" s="23"/>
      <c r="E2901" s="24"/>
    </row>
    <row r="2902">
      <c r="B2902" s="25"/>
      <c r="C2902" s="22"/>
      <c r="D2902" s="23"/>
      <c r="E2902" s="24"/>
    </row>
    <row r="2903">
      <c r="B2903" s="25"/>
      <c r="C2903" s="22"/>
      <c r="D2903" s="23"/>
      <c r="E2903" s="24"/>
    </row>
    <row r="2904">
      <c r="B2904" s="25"/>
      <c r="C2904" s="22"/>
      <c r="D2904" s="23"/>
      <c r="E2904" s="24"/>
    </row>
    <row r="2905">
      <c r="B2905" s="25"/>
      <c r="C2905" s="22"/>
      <c r="D2905" s="23"/>
      <c r="E2905" s="24"/>
    </row>
    <row r="2906">
      <c r="B2906" s="25"/>
      <c r="C2906" s="22"/>
      <c r="D2906" s="23"/>
      <c r="E2906" s="24"/>
    </row>
    <row r="2907">
      <c r="B2907" s="25"/>
      <c r="C2907" s="22"/>
      <c r="D2907" s="23"/>
      <c r="E2907" s="24"/>
    </row>
    <row r="2908">
      <c r="B2908" s="25"/>
      <c r="C2908" s="22"/>
      <c r="D2908" s="23"/>
      <c r="E2908" s="24"/>
    </row>
    <row r="2909">
      <c r="B2909" s="25"/>
      <c r="C2909" s="22"/>
      <c r="D2909" s="23"/>
      <c r="E2909" s="24"/>
    </row>
    <row r="2910">
      <c r="B2910" s="25"/>
      <c r="C2910" s="22"/>
      <c r="D2910" s="23"/>
      <c r="E2910" s="24"/>
    </row>
    <row r="2911">
      <c r="B2911" s="25"/>
      <c r="C2911" s="22"/>
      <c r="D2911" s="23"/>
      <c r="E2911" s="24"/>
    </row>
    <row r="2912">
      <c r="B2912" s="25"/>
      <c r="C2912" s="22"/>
      <c r="D2912" s="23"/>
      <c r="E2912" s="24"/>
    </row>
    <row r="2913">
      <c r="B2913" s="25"/>
      <c r="C2913" s="22"/>
      <c r="D2913" s="23"/>
      <c r="E2913" s="24"/>
    </row>
    <row r="2914">
      <c r="B2914" s="25"/>
      <c r="C2914" s="22"/>
      <c r="D2914" s="23"/>
      <c r="E2914" s="24"/>
    </row>
    <row r="2915">
      <c r="B2915" s="25"/>
      <c r="C2915" s="22"/>
      <c r="D2915" s="23"/>
      <c r="E2915" s="24"/>
    </row>
    <row r="2916">
      <c r="B2916" s="25"/>
      <c r="C2916" s="22"/>
      <c r="D2916" s="23"/>
      <c r="E2916" s="24"/>
    </row>
    <row r="2917">
      <c r="B2917" s="25"/>
      <c r="C2917" s="22"/>
      <c r="D2917" s="23"/>
      <c r="E2917" s="24"/>
    </row>
    <row r="2918">
      <c r="B2918" s="25"/>
      <c r="C2918" s="22"/>
      <c r="D2918" s="23"/>
      <c r="E2918" s="24"/>
    </row>
    <row r="2919">
      <c r="B2919" s="25"/>
      <c r="C2919" s="22"/>
      <c r="D2919" s="23"/>
      <c r="E2919" s="24"/>
    </row>
    <row r="2920">
      <c r="B2920" s="25"/>
      <c r="C2920" s="22"/>
      <c r="D2920" s="23"/>
      <c r="E2920" s="24"/>
    </row>
    <row r="2921">
      <c r="B2921" s="25"/>
      <c r="C2921" s="22"/>
      <c r="D2921" s="23"/>
      <c r="E2921" s="24"/>
    </row>
    <row r="2922">
      <c r="B2922" s="25"/>
      <c r="C2922" s="22"/>
      <c r="D2922" s="23"/>
      <c r="E2922" s="24"/>
    </row>
    <row r="2923">
      <c r="B2923" s="25"/>
      <c r="C2923" s="22"/>
      <c r="D2923" s="23"/>
      <c r="E2923" s="24"/>
    </row>
    <row r="2924">
      <c r="B2924" s="25"/>
      <c r="C2924" s="22"/>
      <c r="D2924" s="23"/>
      <c r="E2924" s="24"/>
    </row>
    <row r="2925">
      <c r="B2925" s="25"/>
      <c r="C2925" s="22"/>
      <c r="D2925" s="23"/>
      <c r="E2925" s="24"/>
    </row>
    <row r="2926">
      <c r="B2926" s="25"/>
      <c r="C2926" s="22"/>
      <c r="D2926" s="23"/>
      <c r="E2926" s="24"/>
    </row>
    <row r="2927">
      <c r="B2927" s="25"/>
      <c r="C2927" s="22"/>
      <c r="D2927" s="23"/>
      <c r="E2927" s="24"/>
    </row>
    <row r="2928">
      <c r="B2928" s="25"/>
      <c r="C2928" s="22"/>
      <c r="D2928" s="23"/>
      <c r="E2928" s="24"/>
    </row>
    <row r="2929">
      <c r="B2929" s="25"/>
      <c r="C2929" s="22"/>
      <c r="D2929" s="23"/>
      <c r="E2929" s="24"/>
    </row>
    <row r="2930">
      <c r="B2930" s="25"/>
      <c r="C2930" s="22"/>
      <c r="D2930" s="23"/>
      <c r="E2930" s="24"/>
    </row>
    <row r="2931">
      <c r="B2931" s="25"/>
      <c r="C2931" s="22"/>
      <c r="D2931" s="23"/>
      <c r="E2931" s="24"/>
    </row>
    <row r="2932">
      <c r="B2932" s="25"/>
      <c r="C2932" s="22"/>
      <c r="D2932" s="23"/>
      <c r="E2932" s="24"/>
    </row>
    <row r="2933">
      <c r="B2933" s="25"/>
      <c r="C2933" s="22"/>
      <c r="D2933" s="23"/>
      <c r="E2933" s="24"/>
    </row>
    <row r="2934">
      <c r="B2934" s="25"/>
      <c r="C2934" s="22"/>
      <c r="D2934" s="23"/>
      <c r="E2934" s="24"/>
    </row>
    <row r="2935">
      <c r="B2935" s="25"/>
      <c r="C2935" s="22"/>
      <c r="D2935" s="23"/>
      <c r="E2935" s="24"/>
    </row>
    <row r="2936">
      <c r="B2936" s="25"/>
      <c r="C2936" s="22"/>
      <c r="D2936" s="23"/>
      <c r="E2936" s="24"/>
    </row>
    <row r="2937">
      <c r="B2937" s="25"/>
      <c r="C2937" s="22"/>
      <c r="D2937" s="23"/>
      <c r="E2937" s="24"/>
    </row>
    <row r="2938">
      <c r="B2938" s="25"/>
      <c r="C2938" s="22"/>
      <c r="D2938" s="23"/>
      <c r="E2938" s="24"/>
    </row>
    <row r="2939">
      <c r="B2939" s="25"/>
      <c r="C2939" s="22"/>
      <c r="D2939" s="23"/>
      <c r="E2939" s="24"/>
    </row>
    <row r="2940">
      <c r="B2940" s="25"/>
      <c r="C2940" s="22"/>
      <c r="D2940" s="23"/>
      <c r="E2940" s="24"/>
    </row>
    <row r="2941">
      <c r="B2941" s="25"/>
      <c r="C2941" s="22"/>
      <c r="D2941" s="23"/>
      <c r="E2941" s="24"/>
    </row>
    <row r="2942">
      <c r="B2942" s="25"/>
      <c r="C2942" s="22"/>
      <c r="D2942" s="23"/>
      <c r="E2942" s="24"/>
    </row>
    <row r="2943">
      <c r="B2943" s="25"/>
      <c r="C2943" s="22"/>
      <c r="D2943" s="23"/>
      <c r="E2943" s="24"/>
    </row>
    <row r="2944">
      <c r="B2944" s="25"/>
      <c r="C2944" s="22"/>
      <c r="D2944" s="23"/>
      <c r="E2944" s="24"/>
    </row>
    <row r="2945">
      <c r="B2945" s="25"/>
      <c r="C2945" s="22"/>
      <c r="D2945" s="23"/>
      <c r="E2945" s="24"/>
    </row>
    <row r="2946">
      <c r="B2946" s="25"/>
      <c r="C2946" s="22"/>
      <c r="D2946" s="23"/>
      <c r="E2946" s="24"/>
    </row>
    <row r="2947">
      <c r="B2947" s="25"/>
      <c r="C2947" s="22"/>
      <c r="D2947" s="23"/>
      <c r="E2947" s="24"/>
    </row>
    <row r="2948">
      <c r="B2948" s="25"/>
      <c r="C2948" s="22"/>
      <c r="D2948" s="23"/>
      <c r="E2948" s="24"/>
    </row>
    <row r="2949">
      <c r="B2949" s="25"/>
      <c r="C2949" s="22"/>
      <c r="D2949" s="23"/>
      <c r="E2949" s="24"/>
    </row>
    <row r="2950">
      <c r="B2950" s="25"/>
      <c r="C2950" s="22"/>
      <c r="D2950" s="23"/>
      <c r="E2950" s="24"/>
    </row>
    <row r="2951">
      <c r="B2951" s="25"/>
      <c r="C2951" s="22"/>
      <c r="D2951" s="23"/>
      <c r="E2951" s="24"/>
    </row>
    <row r="2952">
      <c r="B2952" s="25"/>
      <c r="C2952" s="22"/>
      <c r="D2952" s="23"/>
      <c r="E2952" s="24"/>
    </row>
    <row r="2953">
      <c r="B2953" s="25"/>
      <c r="C2953" s="22"/>
      <c r="D2953" s="23"/>
      <c r="E2953" s="24"/>
    </row>
    <row r="2954">
      <c r="B2954" s="25"/>
      <c r="C2954" s="22"/>
      <c r="D2954" s="23"/>
      <c r="E2954" s="24"/>
    </row>
    <row r="2955">
      <c r="B2955" s="25"/>
      <c r="C2955" s="22"/>
      <c r="D2955" s="23"/>
      <c r="E2955" s="24"/>
    </row>
    <row r="2956">
      <c r="B2956" s="25"/>
      <c r="C2956" s="22"/>
      <c r="D2956" s="23"/>
      <c r="E2956" s="24"/>
    </row>
    <row r="2957">
      <c r="B2957" s="25"/>
      <c r="C2957" s="22"/>
      <c r="D2957" s="23"/>
      <c r="E2957" s="24"/>
    </row>
    <row r="2958">
      <c r="B2958" s="25"/>
      <c r="C2958" s="22"/>
      <c r="D2958" s="23"/>
      <c r="E2958" s="24"/>
    </row>
    <row r="2959">
      <c r="B2959" s="25"/>
      <c r="C2959" s="22"/>
      <c r="D2959" s="23"/>
      <c r="E2959" s="24"/>
    </row>
    <row r="2960">
      <c r="B2960" s="25"/>
      <c r="C2960" s="22"/>
      <c r="D2960" s="23"/>
      <c r="E2960" s="24"/>
    </row>
    <row r="2961">
      <c r="B2961" s="25"/>
      <c r="C2961" s="22"/>
      <c r="D2961" s="23"/>
      <c r="E2961" s="24"/>
    </row>
    <row r="2962">
      <c r="B2962" s="25"/>
      <c r="C2962" s="22"/>
      <c r="D2962" s="23"/>
      <c r="E2962" s="24"/>
    </row>
    <row r="2963">
      <c r="B2963" s="25"/>
      <c r="C2963" s="22"/>
      <c r="D2963" s="23"/>
      <c r="E2963" s="24"/>
    </row>
    <row r="2964">
      <c r="B2964" s="25"/>
      <c r="C2964" s="22"/>
      <c r="D2964" s="23"/>
      <c r="E2964" s="24"/>
    </row>
    <row r="2965">
      <c r="B2965" s="25"/>
      <c r="C2965" s="22"/>
      <c r="D2965" s="23"/>
      <c r="E2965" s="24"/>
    </row>
    <row r="2966">
      <c r="B2966" s="25"/>
      <c r="C2966" s="22"/>
      <c r="D2966" s="23"/>
      <c r="E2966" s="24"/>
    </row>
    <row r="2967">
      <c r="B2967" s="25"/>
      <c r="C2967" s="22"/>
      <c r="D2967" s="23"/>
      <c r="E2967" s="24"/>
    </row>
    <row r="2968">
      <c r="B2968" s="25"/>
      <c r="C2968" s="22"/>
      <c r="D2968" s="23"/>
      <c r="E2968" s="24"/>
    </row>
    <row r="2969">
      <c r="B2969" s="25"/>
      <c r="C2969" s="22"/>
      <c r="D2969" s="23"/>
      <c r="E2969" s="24"/>
    </row>
    <row r="2970">
      <c r="B2970" s="25"/>
      <c r="C2970" s="22"/>
      <c r="D2970" s="23"/>
      <c r="E2970" s="24"/>
    </row>
    <row r="2971">
      <c r="B2971" s="25"/>
      <c r="C2971" s="22"/>
      <c r="D2971" s="23"/>
      <c r="E2971" s="24"/>
    </row>
    <row r="2972">
      <c r="B2972" s="25"/>
      <c r="C2972" s="22"/>
      <c r="D2972" s="23"/>
      <c r="E2972" s="24"/>
    </row>
    <row r="2973">
      <c r="B2973" s="25"/>
      <c r="C2973" s="22"/>
      <c r="D2973" s="23"/>
      <c r="E2973" s="24"/>
    </row>
    <row r="2974">
      <c r="B2974" s="25"/>
      <c r="C2974" s="22"/>
      <c r="D2974" s="23"/>
      <c r="E2974" s="24"/>
    </row>
    <row r="2975">
      <c r="B2975" s="25"/>
      <c r="C2975" s="22"/>
      <c r="D2975" s="23"/>
      <c r="E2975" s="24"/>
    </row>
    <row r="2976">
      <c r="B2976" s="25"/>
      <c r="C2976" s="22"/>
      <c r="D2976" s="23"/>
      <c r="E2976" s="24"/>
    </row>
    <row r="2977">
      <c r="B2977" s="25"/>
      <c r="C2977" s="22"/>
      <c r="D2977" s="23"/>
      <c r="E2977" s="24"/>
    </row>
    <row r="2978">
      <c r="B2978" s="25"/>
      <c r="C2978" s="22"/>
      <c r="D2978" s="23"/>
      <c r="E2978" s="24"/>
    </row>
    <row r="2979">
      <c r="B2979" s="25"/>
      <c r="C2979" s="22"/>
      <c r="D2979" s="23"/>
      <c r="E2979" s="24"/>
    </row>
    <row r="2980">
      <c r="B2980" s="25"/>
      <c r="C2980" s="22"/>
      <c r="D2980" s="23"/>
      <c r="E2980" s="24"/>
    </row>
    <row r="2981">
      <c r="B2981" s="25"/>
      <c r="C2981" s="22"/>
      <c r="D2981" s="23"/>
      <c r="E2981" s="24"/>
    </row>
    <row r="2982">
      <c r="B2982" s="25"/>
      <c r="C2982" s="22"/>
      <c r="D2982" s="23"/>
      <c r="E2982" s="24"/>
    </row>
    <row r="2983">
      <c r="B2983" s="25"/>
      <c r="C2983" s="22"/>
      <c r="D2983" s="23"/>
      <c r="E2983" s="24"/>
    </row>
    <row r="2984">
      <c r="B2984" s="25"/>
      <c r="C2984" s="22"/>
      <c r="D2984" s="23"/>
      <c r="E2984" s="24"/>
    </row>
    <row r="2985">
      <c r="B2985" s="25"/>
      <c r="C2985" s="22"/>
      <c r="D2985" s="23"/>
      <c r="E2985" s="24"/>
    </row>
    <row r="2986">
      <c r="B2986" s="25"/>
      <c r="C2986" s="22"/>
      <c r="D2986" s="23"/>
      <c r="E2986" s="24"/>
    </row>
    <row r="2987">
      <c r="B2987" s="25"/>
      <c r="C2987" s="22"/>
      <c r="D2987" s="23"/>
      <c r="E2987" s="24"/>
    </row>
    <row r="2988">
      <c r="B2988" s="25"/>
      <c r="C2988" s="22"/>
      <c r="D2988" s="23"/>
      <c r="E2988" s="24"/>
    </row>
    <row r="2989">
      <c r="B2989" s="25"/>
      <c r="C2989" s="22"/>
      <c r="D2989" s="23"/>
      <c r="E2989" s="24"/>
    </row>
    <row r="2990">
      <c r="B2990" s="25"/>
      <c r="C2990" s="22"/>
      <c r="D2990" s="23"/>
      <c r="E2990" s="24"/>
    </row>
    <row r="2991">
      <c r="B2991" s="25"/>
      <c r="C2991" s="22"/>
      <c r="D2991" s="23"/>
      <c r="E2991" s="24"/>
    </row>
    <row r="2992">
      <c r="B2992" s="25"/>
      <c r="C2992" s="22"/>
      <c r="D2992" s="23"/>
      <c r="E2992" s="24"/>
    </row>
    <row r="2993">
      <c r="B2993" s="25"/>
      <c r="C2993" s="22"/>
      <c r="D2993" s="23"/>
      <c r="E2993" s="24"/>
    </row>
    <row r="2994">
      <c r="B2994" s="25"/>
      <c r="C2994" s="22"/>
      <c r="D2994" s="23"/>
      <c r="E2994" s="24"/>
    </row>
    <row r="2995">
      <c r="B2995" s="25"/>
      <c r="C2995" s="22"/>
      <c r="D2995" s="23"/>
      <c r="E2995" s="24"/>
    </row>
    <row r="2996">
      <c r="B2996" s="25"/>
      <c r="C2996" s="22"/>
      <c r="D2996" s="23"/>
      <c r="E2996" s="24"/>
    </row>
    <row r="2997">
      <c r="B2997" s="25"/>
      <c r="C2997" s="22"/>
      <c r="D2997" s="23"/>
      <c r="E2997" s="24"/>
    </row>
    <row r="2998">
      <c r="B2998" s="25"/>
      <c r="C2998" s="22"/>
      <c r="D2998" s="23"/>
      <c r="E2998" s="24"/>
    </row>
    <row r="2999">
      <c r="B2999" s="25"/>
      <c r="C2999" s="22"/>
      <c r="D2999" s="23"/>
      <c r="E2999" s="24"/>
    </row>
    <row r="3000">
      <c r="B3000" s="25"/>
      <c r="C3000" s="22"/>
      <c r="D3000" s="23"/>
      <c r="E3000" s="24"/>
    </row>
    <row r="3001">
      <c r="B3001" s="25"/>
      <c r="C3001" s="22"/>
      <c r="D3001" s="23"/>
      <c r="E3001" s="24"/>
    </row>
    <row r="3002">
      <c r="B3002" s="25"/>
      <c r="C3002" s="22"/>
      <c r="D3002" s="23"/>
      <c r="E3002" s="24"/>
    </row>
    <row r="3003">
      <c r="B3003" s="25"/>
      <c r="C3003" s="22"/>
      <c r="D3003" s="23"/>
      <c r="E3003" s="24"/>
    </row>
    <row r="3004">
      <c r="B3004" s="25"/>
      <c r="C3004" s="22"/>
      <c r="D3004" s="23"/>
      <c r="E3004" s="24"/>
    </row>
    <row r="3005">
      <c r="B3005" s="25"/>
      <c r="C3005" s="22"/>
      <c r="D3005" s="23"/>
      <c r="E3005" s="24"/>
    </row>
    <row r="3006">
      <c r="B3006" s="25"/>
      <c r="C3006" s="22"/>
      <c r="D3006" s="23"/>
      <c r="E3006" s="24"/>
    </row>
    <row r="3007">
      <c r="B3007" s="25"/>
      <c r="C3007" s="22"/>
      <c r="D3007" s="23"/>
      <c r="E3007" s="24"/>
    </row>
    <row r="3008">
      <c r="B3008" s="25"/>
      <c r="C3008" s="22"/>
      <c r="D3008" s="23"/>
      <c r="E3008" s="2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3" width="22.38"/>
    <col customWidth="1" min="4" max="4" width="26.0"/>
    <col customWidth="1" min="5" max="5" width="22.38"/>
  </cols>
  <sheetData>
    <row r="1">
      <c r="A1" s="26" t="s">
        <v>544</v>
      </c>
      <c r="B1" s="3" t="s">
        <v>544</v>
      </c>
      <c r="C1" s="3" t="s">
        <v>544</v>
      </c>
      <c r="D1" s="27" t="s">
        <v>544</v>
      </c>
      <c r="E1" s="27" t="s">
        <v>544</v>
      </c>
    </row>
    <row r="2">
      <c r="A2" s="28" t="s">
        <v>545</v>
      </c>
      <c r="B2" s="28" t="s">
        <v>545</v>
      </c>
      <c r="C2" s="28" t="s">
        <v>545</v>
      </c>
      <c r="D2" s="28" t="s">
        <v>545</v>
      </c>
      <c r="E2" s="28" t="s">
        <v>545</v>
      </c>
    </row>
    <row r="3">
      <c r="A3" s="29" t="s">
        <v>546</v>
      </c>
      <c r="B3" s="8" t="s">
        <v>547</v>
      </c>
      <c r="C3" s="8" t="s">
        <v>548</v>
      </c>
      <c r="D3" s="30" t="s">
        <v>549</v>
      </c>
      <c r="E3" s="30" t="s">
        <v>550</v>
      </c>
    </row>
    <row r="4">
      <c r="A4" s="28">
        <v>-78592.37</v>
      </c>
      <c r="B4" s="28">
        <v>41392.75</v>
      </c>
      <c r="C4" s="28">
        <v>-23927.17</v>
      </c>
      <c r="D4" s="31">
        <v>77241.82</v>
      </c>
      <c r="E4" s="31">
        <v>-59846.93</v>
      </c>
    </row>
    <row r="5">
      <c r="A5" s="28">
        <v>98741.33</v>
      </c>
      <c r="B5" s="28">
        <v>-50089.09</v>
      </c>
      <c r="C5" s="28">
        <v>79216.15</v>
      </c>
      <c r="D5" s="31">
        <v>-81293.87</v>
      </c>
      <c r="E5" s="31">
        <v>-43423.31</v>
      </c>
    </row>
    <row r="6">
      <c r="A6" s="28">
        <v>-74737.17</v>
      </c>
      <c r="B6" s="28">
        <v>-33271.74</v>
      </c>
      <c r="C6" s="28">
        <v>59415.04</v>
      </c>
      <c r="D6" s="31">
        <v>-80926.39</v>
      </c>
      <c r="E6" s="31">
        <v>40167.33</v>
      </c>
    </row>
    <row r="7">
      <c r="A7" s="28">
        <v>98070.99</v>
      </c>
      <c r="B7" s="28">
        <v>-57770.0</v>
      </c>
      <c r="C7" s="28">
        <v>18690.51</v>
      </c>
      <c r="D7" s="31">
        <v>-16757.0</v>
      </c>
      <c r="E7" s="31">
        <v>77254.03</v>
      </c>
    </row>
    <row r="8">
      <c r="A8" s="28">
        <v>-32098.4</v>
      </c>
      <c r="B8" s="28">
        <v>-75501.34</v>
      </c>
      <c r="C8" s="28">
        <v>-13216.74</v>
      </c>
      <c r="D8" s="31">
        <v>7890.84</v>
      </c>
      <c r="E8" s="31">
        <v>-66763.32</v>
      </c>
    </row>
    <row r="9">
      <c r="A9" s="28">
        <v>-29867.76</v>
      </c>
      <c r="B9" s="28">
        <v>-11149.53</v>
      </c>
      <c r="C9" s="28">
        <v>18622.22</v>
      </c>
      <c r="D9" s="31">
        <v>52029.09</v>
      </c>
      <c r="E9" s="31">
        <v>-23741.17</v>
      </c>
    </row>
    <row r="10">
      <c r="A10" s="28">
        <v>33083.58</v>
      </c>
      <c r="B10" s="28">
        <v>62465.38</v>
      </c>
      <c r="C10" s="28">
        <v>74395.68</v>
      </c>
      <c r="D10" s="31">
        <v>77151.69</v>
      </c>
      <c r="E10" s="31">
        <v>-80154.21</v>
      </c>
    </row>
    <row r="11">
      <c r="A11" s="28">
        <v>-95386.19</v>
      </c>
      <c r="B11" s="28">
        <v>39936.82</v>
      </c>
      <c r="C11" s="28">
        <v>-8715.63</v>
      </c>
      <c r="D11" s="31">
        <v>68507.11</v>
      </c>
      <c r="E11" s="31">
        <v>14342.64</v>
      </c>
    </row>
    <row r="12">
      <c r="A12" s="28">
        <v>43486.24</v>
      </c>
      <c r="B12" s="28">
        <v>36948.26</v>
      </c>
      <c r="C12" s="28">
        <v>-54478.17</v>
      </c>
      <c r="D12" s="31">
        <v>89715.87</v>
      </c>
      <c r="E12" s="31">
        <v>31083.8</v>
      </c>
    </row>
    <row r="13">
      <c r="A13" s="28">
        <v>-94322.22</v>
      </c>
      <c r="B13" s="28">
        <v>43457.94</v>
      </c>
      <c r="C13" s="28">
        <v>-99076.47</v>
      </c>
      <c r="D13" s="31">
        <v>-61149.75</v>
      </c>
      <c r="E13" s="31">
        <v>-7851.16</v>
      </c>
    </row>
    <row r="14">
      <c r="A14" s="28">
        <v>-75620.51</v>
      </c>
      <c r="B14" s="28">
        <v>-35946.6</v>
      </c>
      <c r="C14" s="28">
        <v>-30480.99</v>
      </c>
      <c r="D14" s="31">
        <v>-533.27</v>
      </c>
      <c r="E14" s="31">
        <v>73086.94</v>
      </c>
    </row>
    <row r="15">
      <c r="A15" s="28">
        <v>-81535.7</v>
      </c>
      <c r="B15" s="28">
        <v>75746.5</v>
      </c>
      <c r="C15" s="28">
        <v>-75673.98</v>
      </c>
      <c r="D15" s="31">
        <v>59395.94</v>
      </c>
      <c r="E15" s="31">
        <v>87006.94</v>
      </c>
    </row>
    <row r="16">
      <c r="A16" s="28">
        <v>55069.52</v>
      </c>
      <c r="B16" s="28">
        <v>-91876.6</v>
      </c>
      <c r="C16" s="28">
        <v>82046.5</v>
      </c>
      <c r="D16" s="31">
        <v>63740.07</v>
      </c>
      <c r="E16" s="31">
        <v>-9231.29</v>
      </c>
    </row>
    <row r="17">
      <c r="A17" s="28">
        <v>65086.2</v>
      </c>
      <c r="B17" s="28">
        <v>-35575.8</v>
      </c>
      <c r="C17" s="28">
        <v>-23762.86</v>
      </c>
      <c r="D17" s="31">
        <v>90225.07</v>
      </c>
      <c r="E17" s="31">
        <v>9054.4</v>
      </c>
    </row>
    <row r="18">
      <c r="A18" s="28">
        <v>-35136.53</v>
      </c>
      <c r="B18" s="28">
        <v>-51803.46</v>
      </c>
      <c r="C18" s="28">
        <v>-71351.26</v>
      </c>
      <c r="D18" s="31">
        <v>59704.22</v>
      </c>
      <c r="E18" s="31">
        <v>33488.05</v>
      </c>
    </row>
    <row r="19">
      <c r="A19" s="28">
        <v>-5143.05</v>
      </c>
      <c r="B19" s="28">
        <v>-64162.51</v>
      </c>
      <c r="C19" s="28">
        <v>64515.64</v>
      </c>
      <c r="D19" s="31">
        <v>6105.57</v>
      </c>
      <c r="E19" s="31">
        <v>68519.9</v>
      </c>
    </row>
    <row r="20">
      <c r="A20" s="28">
        <v>-31.18</v>
      </c>
      <c r="B20" s="28">
        <v>88816.53</v>
      </c>
      <c r="C20" s="28">
        <v>-74302.31</v>
      </c>
      <c r="D20" s="31">
        <v>-97646.22</v>
      </c>
      <c r="E20" s="31">
        <v>-57426.12</v>
      </c>
    </row>
    <row r="21">
      <c r="A21" s="28">
        <v>-43555.39</v>
      </c>
      <c r="B21" s="28">
        <v>6483.92</v>
      </c>
      <c r="C21" s="28">
        <v>68624.31</v>
      </c>
      <c r="D21" s="31">
        <v>22596.58</v>
      </c>
      <c r="E21" s="31">
        <v>61877.93</v>
      </c>
    </row>
    <row r="22">
      <c r="A22" s="28">
        <v>-23312.4</v>
      </c>
      <c r="B22" s="28">
        <v>-87594.63</v>
      </c>
      <c r="C22" s="28">
        <v>-62249.62</v>
      </c>
      <c r="D22" s="31">
        <v>97363.55</v>
      </c>
      <c r="E22" s="31">
        <v>-11125.93</v>
      </c>
    </row>
    <row r="23">
      <c r="A23" s="28">
        <v>-53031.84</v>
      </c>
      <c r="B23" s="28">
        <v>30396.57</v>
      </c>
      <c r="C23" s="28">
        <v>-73652.79</v>
      </c>
      <c r="D23" s="31">
        <v>82375.51</v>
      </c>
      <c r="E23" s="31">
        <v>62215.97</v>
      </c>
    </row>
    <row r="24">
      <c r="A24" s="28">
        <v>18877.2</v>
      </c>
      <c r="B24" s="28">
        <v>45829.03</v>
      </c>
      <c r="C24" s="28">
        <v>37808.98</v>
      </c>
      <c r="D24" s="31">
        <v>40881.64</v>
      </c>
      <c r="E24" s="31">
        <v>58228.32</v>
      </c>
    </row>
    <row r="25">
      <c r="A25" s="28">
        <v>-31816.88</v>
      </c>
      <c r="B25" s="28">
        <v>6557.63</v>
      </c>
      <c r="C25" s="28">
        <v>31671.76</v>
      </c>
      <c r="D25" s="31">
        <v>19517.72</v>
      </c>
      <c r="E25" s="31">
        <v>-44687.42</v>
      </c>
    </row>
    <row r="26">
      <c r="A26" s="28">
        <v>24991.93</v>
      </c>
      <c r="B26" s="28">
        <v>7069.25</v>
      </c>
      <c r="C26" s="28">
        <v>66703.81</v>
      </c>
      <c r="D26" s="31">
        <v>1065.44</v>
      </c>
      <c r="E26" s="31">
        <v>44587.26</v>
      </c>
    </row>
    <row r="27">
      <c r="A27" s="28">
        <v>13428.06</v>
      </c>
      <c r="B27" s="28">
        <v>-62773.26</v>
      </c>
      <c r="C27" s="28">
        <v>-40143.82</v>
      </c>
      <c r="D27" s="31">
        <v>73705.12</v>
      </c>
      <c r="E27" s="31">
        <v>93694.57</v>
      </c>
    </row>
    <row r="28">
      <c r="A28" s="28">
        <v>-61742.74</v>
      </c>
      <c r="B28" s="28">
        <v>72837.14</v>
      </c>
      <c r="C28" s="28">
        <v>-30067.09</v>
      </c>
      <c r="D28" s="31">
        <v>87916.62</v>
      </c>
      <c r="E28" s="31">
        <v>-8114.45</v>
      </c>
    </row>
    <row r="29">
      <c r="A29" s="28">
        <v>20363.74</v>
      </c>
      <c r="B29" s="28">
        <v>60737.94</v>
      </c>
      <c r="C29" s="28">
        <v>50806.76</v>
      </c>
      <c r="D29" s="31">
        <v>91263.65</v>
      </c>
      <c r="E29" s="31">
        <v>71344.1</v>
      </c>
    </row>
    <row r="30">
      <c r="A30" s="28">
        <v>-47456.99</v>
      </c>
      <c r="B30" s="28">
        <v>3124.68</v>
      </c>
      <c r="C30" s="28">
        <v>34617.54</v>
      </c>
      <c r="D30" s="31">
        <v>80630.32</v>
      </c>
      <c r="E30" s="31">
        <v>-96991.51</v>
      </c>
    </row>
    <row r="31">
      <c r="A31" s="28">
        <v>90595.57</v>
      </c>
      <c r="B31" s="28">
        <v>61385.48</v>
      </c>
      <c r="C31" s="28">
        <v>1442.38</v>
      </c>
      <c r="D31" s="31">
        <v>-99223.0</v>
      </c>
      <c r="E31" s="31">
        <v>57305.16</v>
      </c>
    </row>
    <row r="32">
      <c r="A32" s="28">
        <v>39483.66</v>
      </c>
      <c r="B32" s="28">
        <v>-10973.39</v>
      </c>
      <c r="C32" s="28">
        <v>32779.25</v>
      </c>
      <c r="D32" s="31">
        <v>47720.95</v>
      </c>
      <c r="E32" s="31">
        <v>38101.5</v>
      </c>
    </row>
    <row r="33">
      <c r="A33" s="28">
        <v>-46511.69</v>
      </c>
      <c r="B33" s="28">
        <v>91339.95</v>
      </c>
      <c r="C33" s="28">
        <v>-972.8</v>
      </c>
      <c r="D33" s="31">
        <v>-22228.28</v>
      </c>
      <c r="E33" s="31">
        <v>79750.04</v>
      </c>
    </row>
    <row r="34">
      <c r="A34" s="28">
        <v>-21542.29</v>
      </c>
      <c r="B34" s="28">
        <v>-94859.2</v>
      </c>
      <c r="C34" s="28">
        <v>-80280.26</v>
      </c>
      <c r="D34" s="31">
        <v>-28850.73</v>
      </c>
      <c r="E34" s="31">
        <v>-37433.69</v>
      </c>
    </row>
    <row r="35">
      <c r="A35" s="28">
        <v>22069.61</v>
      </c>
      <c r="B35" s="28">
        <v>-71003.0</v>
      </c>
      <c r="C35" s="28">
        <v>-1713.16</v>
      </c>
      <c r="D35" s="31">
        <v>-42206.59</v>
      </c>
      <c r="E35" s="31">
        <v>47356.43</v>
      </c>
    </row>
    <row r="36">
      <c r="A36" s="28">
        <v>-39431.49</v>
      </c>
      <c r="B36" s="28">
        <v>-6329.79</v>
      </c>
      <c r="C36" s="28">
        <v>18410.83</v>
      </c>
      <c r="D36" s="31">
        <v>45268.11</v>
      </c>
      <c r="E36" s="31">
        <v>51938.05</v>
      </c>
    </row>
    <row r="37">
      <c r="A37" s="28">
        <v>-57227.43</v>
      </c>
      <c r="B37" s="28">
        <v>38837.51</v>
      </c>
      <c r="C37" s="28">
        <v>-98581.48</v>
      </c>
      <c r="D37" s="31">
        <v>-47648.35</v>
      </c>
      <c r="E37" s="31">
        <v>92480.55</v>
      </c>
    </row>
    <row r="38">
      <c r="A38" s="28">
        <v>-57690.87</v>
      </c>
      <c r="B38" s="28">
        <v>-66840.7</v>
      </c>
      <c r="C38" s="28">
        <v>-36372.1</v>
      </c>
      <c r="D38" s="31">
        <v>58361.61</v>
      </c>
      <c r="E38" s="31">
        <v>-65255.56</v>
      </c>
    </row>
    <row r="39">
      <c r="A39" s="28">
        <v>-84810.11</v>
      </c>
      <c r="B39" s="28">
        <v>-32220.09</v>
      </c>
      <c r="C39" s="28">
        <v>-35972.49</v>
      </c>
      <c r="D39" s="31">
        <v>-26071.14</v>
      </c>
      <c r="E39" s="31">
        <v>36049.45</v>
      </c>
    </row>
    <row r="40">
      <c r="A40" s="28">
        <v>-43804.24</v>
      </c>
      <c r="B40" s="28">
        <v>-20319.16</v>
      </c>
      <c r="C40" s="28">
        <v>-91395.08</v>
      </c>
      <c r="D40" s="31">
        <v>45704.12</v>
      </c>
      <c r="E40" s="31">
        <v>-38515.27</v>
      </c>
    </row>
    <row r="41">
      <c r="A41" s="28">
        <v>66709.28</v>
      </c>
      <c r="B41" s="28">
        <v>-35852.63</v>
      </c>
      <c r="C41" s="28">
        <v>58466.89</v>
      </c>
      <c r="D41" s="31">
        <v>77745.76</v>
      </c>
      <c r="E41" s="31">
        <v>-22735.57</v>
      </c>
    </row>
    <row r="42">
      <c r="A42" s="28">
        <v>75028.72</v>
      </c>
      <c r="B42" s="28">
        <v>-25868.08</v>
      </c>
      <c r="C42" s="28">
        <v>-69491.86</v>
      </c>
      <c r="D42" s="31">
        <v>-77551.44</v>
      </c>
      <c r="E42" s="31">
        <v>28565.2</v>
      </c>
    </row>
    <row r="43">
      <c r="A43" s="28">
        <v>-30447.49</v>
      </c>
      <c r="B43" s="28">
        <v>-21255.48</v>
      </c>
      <c r="C43" s="28">
        <v>-22653.62</v>
      </c>
      <c r="D43" s="31">
        <v>77776.84</v>
      </c>
      <c r="E43" s="31">
        <v>96518.26</v>
      </c>
    </row>
    <row r="44">
      <c r="A44" s="28">
        <v>-31466.49</v>
      </c>
      <c r="B44" s="28">
        <v>-2330.39</v>
      </c>
      <c r="C44" s="28">
        <v>12056.92</v>
      </c>
      <c r="D44" s="31">
        <v>-26586.49</v>
      </c>
      <c r="E44" s="31">
        <v>77237.72</v>
      </c>
    </row>
    <row r="45">
      <c r="A45" s="28">
        <v>-71282.69</v>
      </c>
      <c r="B45" s="28">
        <v>-20665.33</v>
      </c>
      <c r="C45" s="28">
        <v>-2379.25</v>
      </c>
      <c r="D45" s="31">
        <v>-75227.73</v>
      </c>
      <c r="E45" s="31">
        <v>22030.78</v>
      </c>
    </row>
    <row r="46">
      <c r="A46" s="28">
        <v>-7916.2</v>
      </c>
      <c r="B46" s="28">
        <v>8435.43</v>
      </c>
      <c r="C46" s="28">
        <v>88556.38</v>
      </c>
      <c r="D46" s="31">
        <v>39310.36</v>
      </c>
      <c r="E46" s="31">
        <v>19424.74</v>
      </c>
    </row>
    <row r="47">
      <c r="A47" s="28">
        <v>58579.88</v>
      </c>
      <c r="B47" s="28">
        <v>-83571.49</v>
      </c>
      <c r="C47" s="28">
        <v>51376.26</v>
      </c>
      <c r="D47" s="31">
        <v>-90227.7</v>
      </c>
      <c r="E47" s="31">
        <v>-61274.92</v>
      </c>
    </row>
    <row r="48">
      <c r="A48" s="28">
        <v>88437.12</v>
      </c>
      <c r="B48" s="28">
        <v>62630.09</v>
      </c>
      <c r="C48" s="28">
        <v>63666.29</v>
      </c>
      <c r="D48" s="31">
        <v>65265.56</v>
      </c>
      <c r="E48" s="31">
        <v>12589.5</v>
      </c>
    </row>
    <row r="49">
      <c r="A49" s="28">
        <v>-1560.55</v>
      </c>
      <c r="B49" s="28">
        <v>823.86</v>
      </c>
      <c r="C49" s="28">
        <v>-35230.66</v>
      </c>
      <c r="D49" s="31">
        <v>10427.56</v>
      </c>
      <c r="E49" s="31">
        <v>-33098.11</v>
      </c>
    </row>
    <row r="50">
      <c r="A50" s="28">
        <v>-49223.82</v>
      </c>
      <c r="B50" s="28">
        <v>-77591.46</v>
      </c>
      <c r="C50" s="28">
        <v>-36368.52</v>
      </c>
      <c r="D50" s="31">
        <v>-50403.34</v>
      </c>
      <c r="E50" s="31">
        <v>-10128.3</v>
      </c>
    </row>
    <row r="51">
      <c r="A51" s="28">
        <v>-91176.6</v>
      </c>
      <c r="B51" s="28">
        <v>-33670.9</v>
      </c>
      <c r="C51" s="28">
        <v>63833.3</v>
      </c>
      <c r="D51" s="31">
        <v>-4799.65</v>
      </c>
      <c r="E51" s="31">
        <v>4805.9</v>
      </c>
    </row>
    <row r="52">
      <c r="A52" s="28">
        <v>-39121.03</v>
      </c>
      <c r="B52" s="28">
        <v>-84326.22</v>
      </c>
      <c r="C52" s="28">
        <v>-97212.84</v>
      </c>
      <c r="D52" s="31">
        <v>52701.39</v>
      </c>
      <c r="E52" s="31">
        <v>62173.04</v>
      </c>
    </row>
    <row r="53">
      <c r="A53" s="28">
        <v>73417.44</v>
      </c>
      <c r="B53" s="28">
        <v>-92372.28</v>
      </c>
      <c r="C53" s="28">
        <v>47013.54</v>
      </c>
      <c r="D53" s="31">
        <v>69094.75</v>
      </c>
      <c r="E53" s="31">
        <v>40606.0</v>
      </c>
    </row>
    <row r="54">
      <c r="A54" s="28">
        <v>-56926.91</v>
      </c>
      <c r="B54" s="28">
        <v>48723.16</v>
      </c>
      <c r="C54" s="28">
        <v>-67618.77</v>
      </c>
      <c r="D54" s="31">
        <v>69388.75</v>
      </c>
      <c r="E54" s="31">
        <v>50901.39</v>
      </c>
    </row>
    <row r="55">
      <c r="A55" s="28">
        <v>76770.06</v>
      </c>
      <c r="B55" s="28">
        <v>-35859.08</v>
      </c>
      <c r="C55" s="28">
        <v>-62017.8</v>
      </c>
      <c r="D55" s="31">
        <v>-48812.62</v>
      </c>
      <c r="E55" s="31">
        <v>-54480.53</v>
      </c>
    </row>
    <row r="56">
      <c r="A56" s="28">
        <v>-93701.49</v>
      </c>
      <c r="B56" s="28">
        <v>-44929.69</v>
      </c>
      <c r="C56" s="28">
        <v>44984.93</v>
      </c>
      <c r="D56" s="31">
        <v>32580.69</v>
      </c>
      <c r="E56" s="31">
        <v>-12180.92</v>
      </c>
    </row>
    <row r="57">
      <c r="A57" s="28">
        <v>51069.47</v>
      </c>
      <c r="B57" s="28">
        <v>10912.65</v>
      </c>
      <c r="C57" s="28">
        <v>-98186.86</v>
      </c>
      <c r="D57" s="31">
        <v>92720.12</v>
      </c>
      <c r="E57" s="31">
        <v>10681.52</v>
      </c>
    </row>
    <row r="58">
      <c r="A58" s="28">
        <v>17713.63</v>
      </c>
      <c r="B58" s="28">
        <v>-74583.66</v>
      </c>
      <c r="C58" s="28">
        <v>-26615.02</v>
      </c>
      <c r="D58" s="31">
        <v>-4267.74</v>
      </c>
      <c r="E58" s="31">
        <v>27780.62</v>
      </c>
    </row>
    <row r="59">
      <c r="A59" s="28">
        <v>-26581.63</v>
      </c>
      <c r="B59" s="28">
        <v>-61148.74</v>
      </c>
      <c r="C59" s="28">
        <v>-24884.15</v>
      </c>
      <c r="D59" s="31">
        <v>67823.56</v>
      </c>
      <c r="E59" s="31">
        <v>-88143.26</v>
      </c>
    </row>
    <row r="60">
      <c r="A60" s="28">
        <v>-65902.69</v>
      </c>
      <c r="B60" s="28">
        <v>-4387.09</v>
      </c>
      <c r="C60" s="28">
        <v>-53461.0</v>
      </c>
      <c r="D60" s="31">
        <v>50014.43</v>
      </c>
      <c r="E60" s="31">
        <v>-79091.04</v>
      </c>
    </row>
    <row r="61">
      <c r="A61" s="28">
        <v>55208.32</v>
      </c>
      <c r="B61" s="28">
        <v>-35894.06</v>
      </c>
      <c r="C61" s="28">
        <v>-37899.83</v>
      </c>
      <c r="D61" s="31">
        <v>97337.71</v>
      </c>
      <c r="E61" s="31">
        <v>86859.39</v>
      </c>
    </row>
    <row r="62">
      <c r="A62" s="28">
        <v>39006.57</v>
      </c>
      <c r="B62" s="28">
        <v>56419.28</v>
      </c>
      <c r="C62" s="28">
        <v>63331.7</v>
      </c>
      <c r="D62" s="31">
        <v>-28289.25</v>
      </c>
      <c r="E62" s="31">
        <v>-52099.95</v>
      </c>
    </row>
    <row r="63">
      <c r="A63" s="28">
        <v>39048.2</v>
      </c>
      <c r="B63" s="28">
        <v>-88458.4</v>
      </c>
      <c r="C63" s="28">
        <v>-9347.13</v>
      </c>
      <c r="D63" s="31">
        <v>-68580.05</v>
      </c>
      <c r="E63" s="31">
        <v>73621.86</v>
      </c>
    </row>
    <row r="64">
      <c r="A64" s="28">
        <v>-65260.47</v>
      </c>
      <c r="B64" s="28">
        <v>-44411.69</v>
      </c>
      <c r="C64" s="28">
        <v>-33715.31</v>
      </c>
      <c r="D64" s="31">
        <v>-79998.94</v>
      </c>
      <c r="E64" s="31">
        <v>78861.64</v>
      </c>
    </row>
    <row r="65">
      <c r="A65" s="28">
        <v>42130.05</v>
      </c>
      <c r="B65" s="28">
        <v>83284.24</v>
      </c>
      <c r="C65" s="28">
        <v>54450.37</v>
      </c>
      <c r="D65" s="31">
        <v>37020.32</v>
      </c>
      <c r="E65" s="31">
        <v>-84724.0</v>
      </c>
    </row>
    <row r="66">
      <c r="A66" s="28">
        <v>86198.67</v>
      </c>
      <c r="B66" s="28">
        <v>-61801.62</v>
      </c>
      <c r="C66" s="28">
        <v>85315.85</v>
      </c>
      <c r="D66" s="31">
        <v>11591.43</v>
      </c>
      <c r="E66" s="31">
        <v>59330.77</v>
      </c>
    </row>
    <row r="67">
      <c r="A67" s="28">
        <v>-53413.55</v>
      </c>
      <c r="B67" s="28">
        <v>-25840.7</v>
      </c>
      <c r="C67" s="28">
        <v>-32371.32</v>
      </c>
      <c r="D67" s="31">
        <v>44340.09</v>
      </c>
      <c r="E67" s="31">
        <v>40510.28</v>
      </c>
    </row>
    <row r="68">
      <c r="A68" s="28">
        <v>40285.1</v>
      </c>
      <c r="B68" s="28">
        <v>-84892.78</v>
      </c>
      <c r="C68" s="28">
        <v>-50265.48</v>
      </c>
      <c r="D68" s="31">
        <v>-57217.34</v>
      </c>
      <c r="E68" s="31">
        <v>-66044.73</v>
      </c>
    </row>
    <row r="69">
      <c r="A69" s="28">
        <v>41933.35</v>
      </c>
      <c r="B69" s="28">
        <v>-14476.36</v>
      </c>
      <c r="C69" s="28">
        <v>88281.3</v>
      </c>
      <c r="D69" s="31">
        <v>-77387.43</v>
      </c>
      <c r="E69" s="31">
        <v>95994.01</v>
      </c>
    </row>
    <row r="70">
      <c r="A70" s="28">
        <v>-82014.9</v>
      </c>
      <c r="B70" s="28">
        <v>72025.77</v>
      </c>
      <c r="C70" s="28">
        <v>60711.98</v>
      </c>
      <c r="D70" s="31">
        <v>56211.52</v>
      </c>
      <c r="E70" s="31">
        <v>-53906.44</v>
      </c>
    </row>
    <row r="71">
      <c r="A71" s="28">
        <v>84181.84</v>
      </c>
      <c r="B71" s="28">
        <v>-89266.13</v>
      </c>
      <c r="C71" s="28">
        <v>-6670.5</v>
      </c>
      <c r="D71" s="31">
        <v>56336.2</v>
      </c>
      <c r="E71" s="31">
        <v>62172.62</v>
      </c>
    </row>
    <row r="72">
      <c r="A72" s="28">
        <v>-79596.67</v>
      </c>
      <c r="B72" s="28">
        <v>-66229.83</v>
      </c>
      <c r="C72" s="28">
        <v>-8615.37</v>
      </c>
      <c r="D72" s="31">
        <v>33419.49</v>
      </c>
      <c r="E72" s="31">
        <v>90186.38</v>
      </c>
    </row>
    <row r="73">
      <c r="A73" s="28">
        <v>-76720.54</v>
      </c>
      <c r="B73" s="28">
        <v>18341.43</v>
      </c>
      <c r="C73" s="28">
        <v>28730.88</v>
      </c>
      <c r="D73" s="31">
        <v>26900.19</v>
      </c>
      <c r="E73" s="31">
        <v>-30746.46</v>
      </c>
    </row>
    <row r="74">
      <c r="A74" s="28">
        <v>-31483.57</v>
      </c>
      <c r="B74" s="28">
        <v>-32124.37</v>
      </c>
      <c r="C74" s="28">
        <v>-91825.47</v>
      </c>
      <c r="D74" s="31">
        <v>-45747.05</v>
      </c>
      <c r="E74" s="31">
        <v>-67891.48</v>
      </c>
    </row>
    <row r="75">
      <c r="A75" s="28">
        <v>79645.72</v>
      </c>
      <c r="B75" s="28">
        <v>-64910.78</v>
      </c>
      <c r="C75" s="28">
        <v>-79166.22</v>
      </c>
      <c r="D75" s="31">
        <v>-35488.45</v>
      </c>
      <c r="E75" s="31">
        <v>-73447.14</v>
      </c>
    </row>
    <row r="76">
      <c r="A76" s="28">
        <v>-2844.4</v>
      </c>
      <c r="B76" s="28">
        <v>24248.08</v>
      </c>
      <c r="C76" s="28">
        <v>-57304.93</v>
      </c>
      <c r="D76" s="31">
        <v>97069.77</v>
      </c>
      <c r="E76" s="31">
        <v>-76682.47</v>
      </c>
    </row>
    <row r="77">
      <c r="A77" s="28">
        <v>-84914.71</v>
      </c>
      <c r="B77" s="28">
        <v>-28083.66</v>
      </c>
      <c r="C77" s="28">
        <v>4615.68</v>
      </c>
      <c r="D77" s="31">
        <v>96393.25</v>
      </c>
      <c r="E77" s="31">
        <v>-2136.16</v>
      </c>
    </row>
    <row r="78">
      <c r="A78" s="28">
        <v>36563.97</v>
      </c>
      <c r="B78" s="28">
        <v>-89315.45</v>
      </c>
      <c r="C78" s="28">
        <v>20056.4</v>
      </c>
      <c r="D78" s="31">
        <v>11696.7</v>
      </c>
      <c r="E78" s="31">
        <v>1960.78</v>
      </c>
    </row>
    <row r="79">
      <c r="A79" s="28">
        <v>71949.45</v>
      </c>
      <c r="B79" s="28">
        <v>-64970.44</v>
      </c>
      <c r="C79" s="28">
        <v>-64998.0</v>
      </c>
      <c r="D79" s="31">
        <v>62886.73</v>
      </c>
      <c r="E79" s="31">
        <v>-4367.29</v>
      </c>
    </row>
    <row r="80">
      <c r="A80" s="28">
        <v>-12636.62</v>
      </c>
      <c r="B80" s="28">
        <v>-60512.01</v>
      </c>
      <c r="C80" s="28">
        <v>59686.4</v>
      </c>
      <c r="D80" s="31">
        <v>-85278.4</v>
      </c>
      <c r="E80" s="31">
        <v>76029.01</v>
      </c>
    </row>
    <row r="81">
      <c r="A81" s="28">
        <v>-68097.22</v>
      </c>
      <c r="B81" s="28">
        <v>-63119.07</v>
      </c>
      <c r="C81" s="28">
        <v>1537.18</v>
      </c>
      <c r="D81" s="31">
        <v>-67480.89</v>
      </c>
      <c r="E81" s="31">
        <v>48280.44</v>
      </c>
    </row>
    <row r="82">
      <c r="A82" s="28">
        <v>-9983.71</v>
      </c>
      <c r="B82" s="28">
        <v>89552.16</v>
      </c>
      <c r="C82" s="28">
        <v>-80614.76</v>
      </c>
      <c r="D82" s="31">
        <v>82906.41</v>
      </c>
      <c r="E82" s="31">
        <v>-77030.2</v>
      </c>
    </row>
    <row r="83">
      <c r="A83" s="28">
        <v>-45226.0</v>
      </c>
      <c r="B83" s="28">
        <v>31123.96</v>
      </c>
      <c r="C83" s="28">
        <v>-98019.9</v>
      </c>
      <c r="D83" s="31">
        <v>25787.24</v>
      </c>
      <c r="E83" s="31">
        <v>-57580.81</v>
      </c>
    </row>
    <row r="84">
      <c r="A84" s="28">
        <v>3508.1</v>
      </c>
      <c r="B84" s="28">
        <v>-27049.5</v>
      </c>
      <c r="C84" s="28">
        <v>51427.52</v>
      </c>
      <c r="D84" s="31">
        <v>-78437.37</v>
      </c>
      <c r="E84" s="31">
        <v>-13276.31</v>
      </c>
    </row>
    <row r="85">
      <c r="A85" s="28">
        <v>-31470.47</v>
      </c>
      <c r="B85" s="28">
        <v>-54081.07</v>
      </c>
      <c r="C85" s="28">
        <v>57035.1</v>
      </c>
      <c r="D85" s="31">
        <v>55575.76</v>
      </c>
      <c r="E85" s="31">
        <v>-1269.38</v>
      </c>
    </row>
    <row r="86">
      <c r="A86" s="28">
        <v>22930.72</v>
      </c>
      <c r="B86" s="28">
        <v>91446.87</v>
      </c>
      <c r="C86" s="28">
        <v>83695.28</v>
      </c>
      <c r="D86" s="31">
        <v>-17242.73</v>
      </c>
      <c r="E86" s="31">
        <v>81573.74</v>
      </c>
    </row>
    <row r="87">
      <c r="A87" s="28">
        <v>25571.95</v>
      </c>
      <c r="B87" s="28">
        <v>9732.12</v>
      </c>
      <c r="C87" s="28">
        <v>-89371.72</v>
      </c>
      <c r="D87" s="31">
        <v>36613.34</v>
      </c>
      <c r="E87" s="31">
        <v>-4884.56</v>
      </c>
    </row>
    <row r="88">
      <c r="A88" s="28">
        <v>78241.53</v>
      </c>
      <c r="B88" s="28">
        <v>-35736.06</v>
      </c>
      <c r="C88" s="28">
        <v>46236.5</v>
      </c>
      <c r="D88" s="31">
        <v>-23326.84</v>
      </c>
      <c r="E88" s="31">
        <v>-26103.26</v>
      </c>
    </row>
    <row r="89">
      <c r="A89" s="28">
        <v>-33872.18</v>
      </c>
      <c r="B89" s="28">
        <v>-81477.75</v>
      </c>
      <c r="C89" s="28">
        <v>-68517.06</v>
      </c>
      <c r="D89" s="31">
        <v>48989.25</v>
      </c>
      <c r="E89" s="31">
        <v>15259.09</v>
      </c>
    </row>
    <row r="90">
      <c r="A90" s="28">
        <v>52153.97</v>
      </c>
      <c r="B90" s="28">
        <v>-97326.6</v>
      </c>
      <c r="C90" s="28">
        <v>-28857.47</v>
      </c>
      <c r="D90" s="31">
        <v>-27847.62</v>
      </c>
      <c r="E90" s="31">
        <v>37663.55</v>
      </c>
    </row>
    <row r="91">
      <c r="A91" s="28">
        <v>74901.95</v>
      </c>
      <c r="B91" s="28">
        <v>2238.15</v>
      </c>
      <c r="C91" s="28">
        <v>-32773.37</v>
      </c>
      <c r="D91" s="31">
        <v>55679.56</v>
      </c>
      <c r="E91" s="31">
        <v>-42261.13</v>
      </c>
    </row>
    <row r="92">
      <c r="A92" s="28">
        <v>-23908.73</v>
      </c>
      <c r="B92" s="28">
        <v>59319.41</v>
      </c>
      <c r="C92" s="28">
        <v>-96438.35</v>
      </c>
      <c r="D92" s="31">
        <v>-96899.78</v>
      </c>
      <c r="E92" s="31">
        <v>15378.43</v>
      </c>
    </row>
    <row r="93">
      <c r="A93" s="28">
        <v>72576.08</v>
      </c>
      <c r="B93" s="28">
        <v>-34740.17</v>
      </c>
      <c r="C93" s="28">
        <v>-22412.45</v>
      </c>
      <c r="D93" s="31">
        <v>87167.2</v>
      </c>
      <c r="E93" s="31">
        <v>63160.75</v>
      </c>
    </row>
    <row r="94">
      <c r="A94" s="28">
        <v>54563.16</v>
      </c>
      <c r="B94" s="28">
        <v>44454.61</v>
      </c>
      <c r="C94" s="28">
        <v>-22618.32</v>
      </c>
      <c r="D94" s="31">
        <v>52741.07</v>
      </c>
      <c r="E94" s="31">
        <v>-7630.96</v>
      </c>
    </row>
    <row r="95">
      <c r="A95" s="28">
        <v>97269.81</v>
      </c>
      <c r="B95" s="28">
        <v>66474.35</v>
      </c>
      <c r="C95" s="28">
        <v>-42251.74</v>
      </c>
      <c r="D95" s="31">
        <v>-12971.63</v>
      </c>
      <c r="E95" s="31">
        <v>72727.95</v>
      </c>
    </row>
    <row r="96">
      <c r="A96" s="28">
        <v>-25198.79</v>
      </c>
      <c r="B96" s="28">
        <v>-91260.6</v>
      </c>
      <c r="C96" s="28">
        <v>-80147.61</v>
      </c>
      <c r="D96" s="31">
        <v>-33214.02</v>
      </c>
      <c r="E96" s="31">
        <v>-70639.64</v>
      </c>
    </row>
    <row r="97">
      <c r="A97" s="28">
        <v>-17350.96</v>
      </c>
      <c r="B97" s="28">
        <v>-85302.15</v>
      </c>
      <c r="C97" s="28">
        <v>-82964.76</v>
      </c>
      <c r="D97" s="31">
        <v>42056.85</v>
      </c>
      <c r="E97" s="31">
        <v>76303.25</v>
      </c>
    </row>
    <row r="98">
      <c r="A98" s="28">
        <v>-42766.83</v>
      </c>
      <c r="B98" s="28">
        <v>26981.76</v>
      </c>
      <c r="C98" s="28">
        <v>65714.72</v>
      </c>
      <c r="D98" s="31">
        <v>64400.71</v>
      </c>
      <c r="E98" s="31">
        <v>-88902.11</v>
      </c>
    </row>
    <row r="99">
      <c r="A99" s="28">
        <v>40859.79</v>
      </c>
      <c r="B99" s="28">
        <v>-93157.31</v>
      </c>
      <c r="C99" s="28">
        <v>-99564.22</v>
      </c>
      <c r="D99" s="31">
        <v>-67916.79</v>
      </c>
      <c r="E99" s="31">
        <v>14634.01</v>
      </c>
    </row>
    <row r="100">
      <c r="A100" s="28">
        <v>-39640.48</v>
      </c>
      <c r="B100" s="28">
        <v>71099.09</v>
      </c>
      <c r="C100" s="28">
        <v>-57613.88</v>
      </c>
      <c r="D100" s="31">
        <v>83643.4</v>
      </c>
      <c r="E100" s="31">
        <v>52973.51</v>
      </c>
    </row>
    <row r="101">
      <c r="A101" s="28">
        <v>-60112.45</v>
      </c>
      <c r="B101" s="28">
        <v>58953.83</v>
      </c>
      <c r="C101" s="28">
        <v>-80602.28</v>
      </c>
      <c r="D101" s="31">
        <v>41227.96</v>
      </c>
      <c r="E101" s="31">
        <v>34095.3</v>
      </c>
    </row>
    <row r="102">
      <c r="A102" s="28">
        <v>30859.21</v>
      </c>
      <c r="B102" s="28">
        <v>2497.38</v>
      </c>
      <c r="C102" s="28">
        <v>-35880.22</v>
      </c>
      <c r="D102" s="31">
        <v>-79956.21</v>
      </c>
      <c r="E102" s="31">
        <v>36584.08</v>
      </c>
    </row>
    <row r="103">
      <c r="A103" s="28">
        <v>18673.09</v>
      </c>
      <c r="B103" s="28">
        <v>-71749.12</v>
      </c>
      <c r="C103" s="28">
        <v>-94206.42</v>
      </c>
      <c r="D103" s="31">
        <v>-34541.91</v>
      </c>
      <c r="E103" s="31">
        <v>89968.36</v>
      </c>
    </row>
    <row r="104">
      <c r="A104" s="28">
        <v>-70407.17</v>
      </c>
      <c r="B104" s="28">
        <v>22651.39</v>
      </c>
      <c r="C104" s="28">
        <v>66382.5</v>
      </c>
      <c r="D104" s="31">
        <v>65892.06</v>
      </c>
      <c r="E104" s="31">
        <v>18267.18</v>
      </c>
    </row>
    <row r="105">
      <c r="A105" s="28">
        <v>59456.54</v>
      </c>
      <c r="B105" s="28">
        <v>-21522.44</v>
      </c>
      <c r="C105" s="28">
        <v>-5026.12</v>
      </c>
      <c r="D105" s="31">
        <v>3713.13</v>
      </c>
      <c r="E105" s="31">
        <v>50295.5</v>
      </c>
    </row>
    <row r="106">
      <c r="A106" s="28">
        <v>-86764.16</v>
      </c>
      <c r="B106" s="28">
        <v>63499.88</v>
      </c>
      <c r="C106" s="28">
        <v>2935.51</v>
      </c>
      <c r="D106" s="31">
        <v>-75573.59</v>
      </c>
      <c r="E106" s="31">
        <v>-25847.12</v>
      </c>
    </row>
    <row r="107">
      <c r="A107" s="28">
        <v>99084.33</v>
      </c>
      <c r="B107" s="28">
        <v>76812.48</v>
      </c>
      <c r="C107" s="28">
        <v>-65453.91</v>
      </c>
      <c r="D107" s="31">
        <v>-56422.02</v>
      </c>
      <c r="E107" s="31">
        <v>-23138.37</v>
      </c>
    </row>
    <row r="108">
      <c r="A108" s="28">
        <v>40310.11</v>
      </c>
      <c r="B108" s="28">
        <v>-24550.27</v>
      </c>
      <c r="C108" s="28">
        <v>34666.66</v>
      </c>
      <c r="D108" s="31">
        <v>6518.43</v>
      </c>
      <c r="E108" s="31">
        <v>95252.28</v>
      </c>
    </row>
    <row r="109">
      <c r="A109" s="28">
        <v>93248.08</v>
      </c>
      <c r="B109" s="28">
        <v>-91860.45</v>
      </c>
      <c r="C109" s="28">
        <v>65958.29</v>
      </c>
      <c r="D109" s="31">
        <v>-85418.04</v>
      </c>
      <c r="E109" s="31">
        <v>96301.17</v>
      </c>
    </row>
    <row r="110">
      <c r="A110" s="28">
        <v>-5567.82</v>
      </c>
      <c r="B110" s="28">
        <v>60976.27</v>
      </c>
      <c r="C110" s="28">
        <v>-91030.39</v>
      </c>
      <c r="D110" s="31">
        <v>36565.67</v>
      </c>
      <c r="E110" s="31">
        <v>48592.9</v>
      </c>
    </row>
    <row r="111">
      <c r="A111" s="28">
        <v>12251.37</v>
      </c>
      <c r="B111" s="28">
        <v>-93056.18</v>
      </c>
      <c r="C111" s="28">
        <v>29190.81</v>
      </c>
      <c r="D111" s="31">
        <v>-40227.9</v>
      </c>
      <c r="E111" s="31">
        <v>-38212.44</v>
      </c>
    </row>
    <row r="112">
      <c r="A112" s="28">
        <v>-97406.6</v>
      </c>
      <c r="B112" s="28">
        <v>57371.39</v>
      </c>
      <c r="C112" s="28">
        <v>-67767.68</v>
      </c>
      <c r="D112" s="31">
        <v>68427.58</v>
      </c>
      <c r="E112" s="31">
        <v>26548.02</v>
      </c>
    </row>
    <row r="113">
      <c r="A113" s="28">
        <v>70105.44</v>
      </c>
      <c r="B113" s="28">
        <v>75466.05</v>
      </c>
      <c r="C113" s="28">
        <v>37341.27</v>
      </c>
      <c r="D113" s="31">
        <v>-79861.61</v>
      </c>
      <c r="E113" s="31">
        <v>19213.73</v>
      </c>
    </row>
    <row r="114">
      <c r="A114" s="28">
        <v>-10702.77</v>
      </c>
      <c r="B114" s="28">
        <v>24666.58</v>
      </c>
      <c r="C114" s="28">
        <v>83661.6</v>
      </c>
      <c r="D114" s="31">
        <v>-71659.24</v>
      </c>
      <c r="E114" s="31">
        <v>-71465.68</v>
      </c>
    </row>
    <row r="115">
      <c r="A115" s="28">
        <v>73538.21</v>
      </c>
      <c r="B115" s="28">
        <v>-30996.64</v>
      </c>
      <c r="C115" s="28">
        <v>30704.99</v>
      </c>
      <c r="D115" s="31">
        <v>-49560.18</v>
      </c>
      <c r="E115" s="31">
        <v>55137.76</v>
      </c>
    </row>
    <row r="116">
      <c r="A116" s="28">
        <v>31713.01</v>
      </c>
      <c r="B116" s="28">
        <v>79099.51</v>
      </c>
      <c r="C116" s="28">
        <v>-49497.37</v>
      </c>
      <c r="D116" s="31">
        <v>-33588.71</v>
      </c>
      <c r="E116" s="31">
        <v>-76691.21</v>
      </c>
    </row>
    <row r="117">
      <c r="A117" s="28">
        <v>-32768.88</v>
      </c>
      <c r="B117" s="28">
        <v>-63295.94</v>
      </c>
      <c r="C117" s="28">
        <v>87018.52</v>
      </c>
      <c r="D117" s="31">
        <v>-95164.88</v>
      </c>
      <c r="E117" s="31">
        <v>27926.35</v>
      </c>
    </row>
    <row r="118">
      <c r="A118" s="28">
        <v>33730.14</v>
      </c>
      <c r="B118" s="28">
        <v>23477.43</v>
      </c>
      <c r="C118" s="28">
        <v>69271.05</v>
      </c>
      <c r="D118" s="31">
        <v>79605.96</v>
      </c>
      <c r="E118" s="31">
        <v>44645.25</v>
      </c>
    </row>
    <row r="119">
      <c r="A119" s="28">
        <v>15703.38</v>
      </c>
      <c r="B119" s="28">
        <v>30120.6</v>
      </c>
      <c r="C119" s="28">
        <v>-83768.27</v>
      </c>
      <c r="D119" s="31">
        <v>29923.98</v>
      </c>
      <c r="E119" s="31">
        <v>35861.81</v>
      </c>
    </row>
    <row r="120">
      <c r="A120" s="28">
        <v>-34794.31</v>
      </c>
      <c r="B120" s="28">
        <v>15081.38</v>
      </c>
      <c r="C120" s="28">
        <v>60507.45</v>
      </c>
      <c r="D120" s="31">
        <v>46980.69</v>
      </c>
      <c r="E120" s="31">
        <v>-83665.11</v>
      </c>
    </row>
    <row r="121">
      <c r="A121" s="28">
        <v>5689.69</v>
      </c>
      <c r="B121" s="28">
        <v>8428.07</v>
      </c>
      <c r="C121" s="28">
        <v>-83537.85</v>
      </c>
      <c r="D121" s="31">
        <v>22961.73</v>
      </c>
      <c r="E121" s="31">
        <v>73291.17</v>
      </c>
    </row>
    <row r="122">
      <c r="A122" s="28">
        <v>76585.1</v>
      </c>
      <c r="B122" s="28">
        <v>81151.27</v>
      </c>
      <c r="C122" s="28">
        <v>-55262.94</v>
      </c>
      <c r="D122" s="31">
        <v>-43694.38</v>
      </c>
      <c r="E122" s="31">
        <v>-54712.42</v>
      </c>
    </row>
    <row r="123">
      <c r="A123" s="28">
        <v>-37170.55</v>
      </c>
      <c r="B123" s="28">
        <v>76160.47</v>
      </c>
      <c r="C123" s="28">
        <v>-28437.06</v>
      </c>
      <c r="D123" s="31">
        <v>-94931.11</v>
      </c>
      <c r="E123" s="31">
        <v>44034.7</v>
      </c>
    </row>
    <row r="124">
      <c r="A124" s="28">
        <v>84929.55</v>
      </c>
      <c r="B124" s="28">
        <v>-36137.07</v>
      </c>
      <c r="C124" s="28">
        <v>33030.02</v>
      </c>
      <c r="D124" s="31">
        <v>-83965.19</v>
      </c>
      <c r="E124" s="31">
        <v>-19286.66</v>
      </c>
    </row>
    <row r="125">
      <c r="A125" s="28">
        <v>41338.6</v>
      </c>
      <c r="B125" s="28">
        <v>10513.14</v>
      </c>
      <c r="C125" s="28">
        <v>-9788.05</v>
      </c>
      <c r="D125" s="31">
        <v>58228.85</v>
      </c>
      <c r="E125" s="31">
        <v>-78207.64</v>
      </c>
    </row>
    <row r="126">
      <c r="A126" s="28">
        <v>22207.25</v>
      </c>
      <c r="B126" s="28">
        <v>-6582.3</v>
      </c>
      <c r="C126" s="28">
        <v>-33631.94</v>
      </c>
      <c r="D126" s="31">
        <v>-91256.12</v>
      </c>
      <c r="E126" s="31">
        <v>-94111.79</v>
      </c>
    </row>
    <row r="127">
      <c r="A127" s="28">
        <v>-98433.27</v>
      </c>
      <c r="B127" s="28">
        <v>98042.49</v>
      </c>
      <c r="C127" s="28">
        <v>-39625.4</v>
      </c>
      <c r="D127" s="31">
        <v>16587.13</v>
      </c>
      <c r="E127" s="31">
        <v>-82468.55</v>
      </c>
    </row>
    <row r="128">
      <c r="A128" s="28">
        <v>-90993.91</v>
      </c>
      <c r="B128" s="28">
        <v>6702.46</v>
      </c>
      <c r="C128" s="28">
        <v>-44729.89</v>
      </c>
      <c r="D128" s="31">
        <v>-83688.45</v>
      </c>
      <c r="E128" s="31">
        <v>84600.53</v>
      </c>
    </row>
    <row r="129">
      <c r="A129" s="28">
        <v>85342.81</v>
      </c>
      <c r="B129" s="28">
        <v>-31269.38</v>
      </c>
      <c r="C129" s="28">
        <v>36860.71</v>
      </c>
      <c r="D129" s="31">
        <v>-14000.79</v>
      </c>
      <c r="E129" s="31">
        <v>-25142.0</v>
      </c>
    </row>
    <row r="130">
      <c r="A130" s="28">
        <v>80451.61</v>
      </c>
      <c r="B130" s="28">
        <v>-92324.54</v>
      </c>
      <c r="C130" s="28">
        <v>-44786.87</v>
      </c>
      <c r="D130" s="31">
        <v>-29662.57</v>
      </c>
      <c r="E130" s="31">
        <v>69022.94</v>
      </c>
    </row>
    <row r="131">
      <c r="A131" s="28">
        <v>90953.42</v>
      </c>
      <c r="B131" s="28">
        <v>-71815.03</v>
      </c>
      <c r="C131" s="28">
        <v>60833.93</v>
      </c>
      <c r="D131" s="31">
        <v>65388.45</v>
      </c>
      <c r="E131" s="31">
        <v>75928.96</v>
      </c>
    </row>
    <row r="132">
      <c r="A132" s="28">
        <v>64597.23</v>
      </c>
      <c r="B132" s="28">
        <v>58440.01</v>
      </c>
      <c r="C132" s="28">
        <v>50508.04</v>
      </c>
      <c r="D132" s="31">
        <v>-30597.66</v>
      </c>
      <c r="E132" s="31">
        <v>61835.23</v>
      </c>
    </row>
    <row r="133">
      <c r="A133" s="28">
        <v>14897.62</v>
      </c>
      <c r="B133" s="28">
        <v>-36931.84</v>
      </c>
      <c r="C133" s="28">
        <v>-6825.72</v>
      </c>
      <c r="D133" s="31">
        <v>19869.46</v>
      </c>
      <c r="E133" s="31">
        <v>-17027.71</v>
      </c>
    </row>
    <row r="134">
      <c r="A134" s="28">
        <v>4241.06</v>
      </c>
      <c r="B134" s="28">
        <v>86733.52</v>
      </c>
      <c r="C134" s="28">
        <v>-67731.82</v>
      </c>
      <c r="D134" s="31">
        <v>-19424.44</v>
      </c>
      <c r="E134" s="31">
        <v>90294.65</v>
      </c>
    </row>
    <row r="135">
      <c r="A135" s="28">
        <v>76334.11</v>
      </c>
      <c r="B135" s="28">
        <v>2837.62</v>
      </c>
      <c r="C135" s="28">
        <v>-99883.2</v>
      </c>
      <c r="D135" s="31">
        <v>46697.26</v>
      </c>
      <c r="E135" s="31">
        <v>76044.21</v>
      </c>
    </row>
    <row r="136">
      <c r="A136" s="28">
        <v>71493.01</v>
      </c>
      <c r="B136" s="28">
        <v>41560.31</v>
      </c>
      <c r="C136" s="28">
        <v>68706.01</v>
      </c>
      <c r="D136" s="31">
        <v>71876.94</v>
      </c>
      <c r="E136" s="31">
        <v>-64258.48</v>
      </c>
    </row>
    <row r="137">
      <c r="A137" s="28">
        <v>92043.87</v>
      </c>
      <c r="B137" s="28">
        <v>81969.66</v>
      </c>
      <c r="C137" s="28">
        <v>50223.1</v>
      </c>
      <c r="D137" s="31">
        <v>94849.24</v>
      </c>
      <c r="E137" s="31">
        <v>-62908.29</v>
      </c>
    </row>
    <row r="138">
      <c r="A138" s="28">
        <v>55094.18</v>
      </c>
      <c r="B138" s="28">
        <v>-62901.76</v>
      </c>
      <c r="C138" s="28">
        <v>-44958.67</v>
      </c>
      <c r="D138" s="31">
        <v>-83449.99</v>
      </c>
      <c r="E138" s="31">
        <v>-70538.03</v>
      </c>
    </row>
    <row r="139">
      <c r="A139" s="28">
        <v>78562.81</v>
      </c>
      <c r="B139" s="28">
        <v>94382.08</v>
      </c>
      <c r="C139" s="28">
        <v>-80984.55</v>
      </c>
      <c r="D139" s="31">
        <v>-91227.25</v>
      </c>
      <c r="E139" s="31">
        <v>27478.17</v>
      </c>
    </row>
    <row r="140">
      <c r="A140" s="28">
        <v>43792.6</v>
      </c>
      <c r="B140" s="28">
        <v>95930.1</v>
      </c>
      <c r="C140" s="28">
        <v>16065.21</v>
      </c>
      <c r="D140" s="31">
        <v>-57499.79</v>
      </c>
      <c r="E140" s="31">
        <v>75960.11</v>
      </c>
    </row>
    <row r="141">
      <c r="A141" s="28">
        <v>-99867.16</v>
      </c>
      <c r="B141" s="28">
        <v>-39501.91</v>
      </c>
      <c r="C141" s="28">
        <v>34627.06</v>
      </c>
      <c r="D141" s="31">
        <v>26066.22</v>
      </c>
      <c r="E141" s="31">
        <v>-62769.16</v>
      </c>
    </row>
    <row r="142">
      <c r="A142" s="28">
        <v>80435.74</v>
      </c>
      <c r="B142" s="28">
        <v>-64489.13</v>
      </c>
      <c r="C142" s="28">
        <v>23223.84</v>
      </c>
      <c r="D142" s="31">
        <v>29514.68</v>
      </c>
      <c r="E142" s="31">
        <v>97665.46</v>
      </c>
    </row>
    <row r="143">
      <c r="A143" s="28">
        <v>-84391.76</v>
      </c>
      <c r="B143" s="28">
        <v>-51633.47</v>
      </c>
      <c r="C143" s="28">
        <v>62264.63</v>
      </c>
      <c r="D143" s="31">
        <v>-71039.27</v>
      </c>
      <c r="E143" s="31">
        <v>-17466.24</v>
      </c>
    </row>
    <row r="144">
      <c r="A144" s="28">
        <v>-11319.49</v>
      </c>
      <c r="B144" s="28">
        <v>-37844.79</v>
      </c>
      <c r="C144" s="28">
        <v>-90959.39</v>
      </c>
      <c r="D144" s="31">
        <v>-91232.04</v>
      </c>
      <c r="E144" s="31">
        <v>71784.63</v>
      </c>
    </row>
    <row r="145">
      <c r="A145" s="28">
        <v>36332.24</v>
      </c>
      <c r="B145" s="28">
        <v>17690.19</v>
      </c>
      <c r="C145" s="28">
        <v>86679.14</v>
      </c>
      <c r="D145" s="31">
        <v>-22554.15</v>
      </c>
      <c r="E145" s="31">
        <v>-82589.77</v>
      </c>
    </row>
    <row r="146">
      <c r="A146" s="28">
        <v>-11177.27</v>
      </c>
      <c r="B146" s="28">
        <v>-73947.24</v>
      </c>
      <c r="C146" s="28">
        <v>45837.28</v>
      </c>
      <c r="D146" s="31">
        <v>-59885.08</v>
      </c>
      <c r="E146" s="31">
        <v>85480.82</v>
      </c>
    </row>
    <row r="147">
      <c r="A147" s="28">
        <v>-89977.7</v>
      </c>
      <c r="B147" s="28">
        <v>-38289.18</v>
      </c>
      <c r="C147" s="28">
        <v>-64809.55</v>
      </c>
      <c r="D147" s="31">
        <v>-95701.31</v>
      </c>
      <c r="E147" s="31">
        <v>98579.02</v>
      </c>
    </row>
    <row r="148">
      <c r="A148" s="28">
        <v>-66789.52</v>
      </c>
      <c r="B148" s="28">
        <v>-42484.78</v>
      </c>
      <c r="C148" s="28">
        <v>-70871.59</v>
      </c>
      <c r="D148" s="31">
        <v>73376.99</v>
      </c>
      <c r="E148" s="31">
        <v>41506.91</v>
      </c>
    </row>
    <row r="149">
      <c r="A149" s="28">
        <v>-77725.42</v>
      </c>
      <c r="B149" s="28">
        <v>52386.04</v>
      </c>
      <c r="C149" s="28">
        <v>45508.56</v>
      </c>
      <c r="D149" s="31">
        <v>2813.48</v>
      </c>
      <c r="E149" s="31">
        <v>-68474.18</v>
      </c>
    </row>
    <row r="150">
      <c r="A150" s="28">
        <v>-77192.19</v>
      </c>
      <c r="B150" s="28">
        <v>-58264.31</v>
      </c>
      <c r="C150" s="28">
        <v>-3945.14</v>
      </c>
      <c r="D150" s="31">
        <v>6373.79</v>
      </c>
      <c r="E150" s="31">
        <v>-72916.09</v>
      </c>
    </row>
    <row r="151">
      <c r="A151" s="28">
        <v>-37071.45</v>
      </c>
      <c r="B151" s="28">
        <v>60173.91</v>
      </c>
      <c r="C151" s="28">
        <v>82189.48</v>
      </c>
      <c r="D151" s="31">
        <v>45376.0</v>
      </c>
      <c r="E151" s="31">
        <v>-96318.78</v>
      </c>
    </row>
    <row r="152">
      <c r="A152" s="28">
        <v>97492.86</v>
      </c>
      <c r="B152" s="28">
        <v>193.84</v>
      </c>
      <c r="C152" s="28">
        <v>-37731.37</v>
      </c>
      <c r="D152" s="31">
        <v>-82412.12</v>
      </c>
      <c r="E152" s="31">
        <v>56037.84</v>
      </c>
    </row>
    <row r="153">
      <c r="A153" s="28">
        <v>-37138.84</v>
      </c>
      <c r="B153" s="28">
        <v>99198.57</v>
      </c>
      <c r="C153" s="28">
        <v>-65819.61</v>
      </c>
      <c r="D153" s="31">
        <v>33910.2</v>
      </c>
      <c r="E153" s="31">
        <v>68311.62</v>
      </c>
    </row>
    <row r="154">
      <c r="A154" s="28">
        <v>-95802.2</v>
      </c>
      <c r="B154" s="28">
        <v>51035.51</v>
      </c>
      <c r="C154" s="28">
        <v>-28633.65</v>
      </c>
      <c r="D154" s="31">
        <v>32692.08</v>
      </c>
      <c r="E154" s="31">
        <v>-21950.39</v>
      </c>
    </row>
    <row r="155">
      <c r="A155" s="28">
        <v>84797.14</v>
      </c>
      <c r="B155" s="28">
        <v>-91957.18</v>
      </c>
      <c r="C155" s="28">
        <v>-81556.76</v>
      </c>
      <c r="D155" s="31">
        <v>30193.1</v>
      </c>
      <c r="E155" s="31">
        <v>-35576.6</v>
      </c>
    </row>
    <row r="156">
      <c r="A156" s="28">
        <v>-39439.4</v>
      </c>
      <c r="B156" s="28">
        <v>-81187.54</v>
      </c>
      <c r="C156" s="28">
        <v>-7382.05</v>
      </c>
      <c r="D156" s="31">
        <v>89863.17</v>
      </c>
      <c r="E156" s="31">
        <v>51173.14</v>
      </c>
    </row>
    <row r="157">
      <c r="A157" s="28">
        <v>75153.77</v>
      </c>
      <c r="B157" s="28">
        <v>-99928.07</v>
      </c>
      <c r="C157" s="28">
        <v>-97251.95</v>
      </c>
      <c r="D157" s="31">
        <v>78063.04</v>
      </c>
      <c r="E157" s="31">
        <v>-68582.84</v>
      </c>
    </row>
    <row r="158">
      <c r="A158" s="28">
        <v>93871.13</v>
      </c>
      <c r="B158" s="28">
        <v>-45725.73</v>
      </c>
      <c r="C158" s="28">
        <v>93751.27</v>
      </c>
      <c r="D158" s="31">
        <v>12745.57</v>
      </c>
      <c r="E158" s="31">
        <v>-19896.4</v>
      </c>
    </row>
    <row r="159">
      <c r="A159" s="28">
        <v>-40467.48</v>
      </c>
      <c r="B159" s="28">
        <v>64346.63</v>
      </c>
      <c r="C159" s="28">
        <v>-97412.42</v>
      </c>
      <c r="D159" s="31">
        <v>-89108.77</v>
      </c>
      <c r="E159" s="31">
        <v>-98791.25</v>
      </c>
    </row>
    <row r="160">
      <c r="A160" s="28">
        <v>-40121.94</v>
      </c>
      <c r="B160" s="28">
        <v>35581.79</v>
      </c>
      <c r="C160" s="28">
        <v>-65458.42</v>
      </c>
      <c r="D160" s="31">
        <v>-33332.83</v>
      </c>
      <c r="E160" s="31">
        <v>85320.35</v>
      </c>
    </row>
    <row r="161">
      <c r="A161" s="28">
        <v>89641.53</v>
      </c>
      <c r="B161" s="28">
        <v>-89271.74</v>
      </c>
      <c r="C161" s="28">
        <v>-90432.64</v>
      </c>
      <c r="D161" s="31">
        <v>-78728.93</v>
      </c>
      <c r="E161" s="31">
        <v>10526.89</v>
      </c>
    </row>
    <row r="162">
      <c r="A162" s="28">
        <v>-57615.9</v>
      </c>
      <c r="B162" s="28">
        <v>11196.57</v>
      </c>
      <c r="C162" s="28">
        <v>38611.86</v>
      </c>
      <c r="D162" s="31">
        <v>-23555.69</v>
      </c>
      <c r="E162" s="31">
        <v>87769.52</v>
      </c>
    </row>
    <row r="163">
      <c r="A163" s="28">
        <v>-50206.94</v>
      </c>
      <c r="B163" s="28">
        <v>-56117.56</v>
      </c>
      <c r="C163" s="28">
        <v>-87202.01</v>
      </c>
      <c r="D163" s="31">
        <v>78320.98</v>
      </c>
      <c r="E163" s="31">
        <v>-52607.95</v>
      </c>
    </row>
    <row r="164">
      <c r="A164" s="28">
        <v>-39296.85</v>
      </c>
      <c r="B164" s="28">
        <v>-61577.37</v>
      </c>
      <c r="C164" s="28">
        <v>7211.57</v>
      </c>
      <c r="D164" s="31">
        <v>1835.86</v>
      </c>
      <c r="E164" s="31">
        <v>38128.17</v>
      </c>
    </row>
    <row r="165">
      <c r="A165" s="28">
        <v>-54521.38</v>
      </c>
      <c r="B165" s="28">
        <v>-40680.74</v>
      </c>
      <c r="C165" s="28">
        <v>-80423.4</v>
      </c>
      <c r="D165" s="31">
        <v>-96736.16</v>
      </c>
      <c r="E165" s="31">
        <v>-57141.52</v>
      </c>
    </row>
    <row r="166">
      <c r="A166" s="28">
        <v>16425.65</v>
      </c>
      <c r="B166" s="28">
        <v>5465.59</v>
      </c>
      <c r="C166" s="28">
        <v>-50756.96</v>
      </c>
      <c r="D166" s="31">
        <v>66988.04</v>
      </c>
      <c r="E166" s="31">
        <v>33223.18</v>
      </c>
    </row>
    <row r="167">
      <c r="A167" s="28">
        <v>82611.02</v>
      </c>
      <c r="B167" s="28">
        <v>74702.24</v>
      </c>
      <c r="C167" s="28">
        <v>66569.2</v>
      </c>
      <c r="D167" s="31">
        <v>-90935.81</v>
      </c>
      <c r="E167" s="31">
        <v>-95840.24</v>
      </c>
    </row>
    <row r="168">
      <c r="A168" s="28">
        <v>3141.88</v>
      </c>
      <c r="B168" s="28">
        <v>-67283.64</v>
      </c>
      <c r="C168" s="28">
        <v>-422.69</v>
      </c>
      <c r="D168" s="31">
        <v>53148.46</v>
      </c>
      <c r="E168" s="31">
        <v>-98556.55</v>
      </c>
    </row>
    <row r="169">
      <c r="A169" s="28">
        <v>63668.34</v>
      </c>
      <c r="B169" s="28">
        <v>35253.05</v>
      </c>
      <c r="C169" s="28">
        <v>-59505.64</v>
      </c>
      <c r="D169" s="31">
        <v>77712.92</v>
      </c>
      <c r="E169" s="31">
        <v>93740.14</v>
      </c>
    </row>
    <row r="170">
      <c r="A170" s="28">
        <v>-81505.51</v>
      </c>
      <c r="B170" s="28">
        <v>-12026.24</v>
      </c>
      <c r="C170" s="28">
        <v>69644.03</v>
      </c>
      <c r="D170" s="31">
        <v>18484.07</v>
      </c>
      <c r="E170" s="31">
        <v>16840.44</v>
      </c>
    </row>
    <row r="171">
      <c r="A171" s="28">
        <v>48170.89</v>
      </c>
      <c r="B171" s="28">
        <v>-79311.39</v>
      </c>
      <c r="C171" s="28">
        <v>10037.52</v>
      </c>
      <c r="D171" s="31">
        <v>48698.02</v>
      </c>
      <c r="E171" s="31">
        <v>95495.89</v>
      </c>
    </row>
    <row r="172">
      <c r="A172" s="28">
        <v>-67386.81</v>
      </c>
      <c r="B172" s="28">
        <v>2535.99</v>
      </c>
      <c r="C172" s="28">
        <v>-82347.82</v>
      </c>
      <c r="D172" s="31">
        <v>46039.94</v>
      </c>
      <c r="E172" s="31">
        <v>-3713.49</v>
      </c>
    </row>
    <row r="173">
      <c r="A173" s="28">
        <v>-21173.89</v>
      </c>
      <c r="B173" s="28">
        <v>92444.1</v>
      </c>
      <c r="C173" s="28">
        <v>-77228.7</v>
      </c>
      <c r="D173" s="31">
        <v>94014.24</v>
      </c>
      <c r="E173" s="31">
        <v>6053.32</v>
      </c>
    </row>
    <row r="174">
      <c r="A174" s="28">
        <v>-20395.84</v>
      </c>
      <c r="B174" s="28">
        <v>-67751.86</v>
      </c>
      <c r="C174" s="28">
        <v>5479.0</v>
      </c>
      <c r="D174" s="31">
        <v>-92324.56</v>
      </c>
      <c r="E174" s="31">
        <v>-57522.92</v>
      </c>
    </row>
    <row r="175">
      <c r="A175" s="28">
        <v>-8276.79</v>
      </c>
      <c r="B175" s="28">
        <v>-85905.12</v>
      </c>
      <c r="C175" s="28">
        <v>26398.82</v>
      </c>
      <c r="D175" s="31">
        <v>-25973.76</v>
      </c>
      <c r="E175" s="31">
        <v>-36210.27</v>
      </c>
    </row>
    <row r="176">
      <c r="A176" s="28">
        <v>-87955.63</v>
      </c>
      <c r="B176" s="28">
        <v>-94969.14</v>
      </c>
      <c r="C176" s="28">
        <v>4145.84</v>
      </c>
      <c r="D176" s="31">
        <v>-41869.02</v>
      </c>
      <c r="E176" s="31">
        <v>7860.43</v>
      </c>
    </row>
    <row r="177">
      <c r="A177" s="28">
        <v>-49134.3</v>
      </c>
      <c r="B177" s="28">
        <v>89879.26</v>
      </c>
      <c r="C177" s="28">
        <v>75771.9</v>
      </c>
      <c r="D177" s="31">
        <v>-48327.67</v>
      </c>
      <c r="E177" s="31">
        <v>-95852.65</v>
      </c>
    </row>
    <row r="178">
      <c r="A178" s="28">
        <v>-80313.77</v>
      </c>
      <c r="B178" s="28">
        <v>-66671.86</v>
      </c>
      <c r="C178" s="28">
        <v>-58908.0</v>
      </c>
      <c r="D178" s="31">
        <v>-32086.82</v>
      </c>
      <c r="E178" s="31">
        <v>-54096.38</v>
      </c>
    </row>
    <row r="179">
      <c r="A179" s="28">
        <v>-20984.27</v>
      </c>
      <c r="B179" s="28">
        <v>51094.52</v>
      </c>
      <c r="C179" s="28">
        <v>95614.01</v>
      </c>
      <c r="D179" s="31">
        <v>-57975.83</v>
      </c>
      <c r="E179" s="31">
        <v>5339.44</v>
      </c>
    </row>
    <row r="180">
      <c r="A180" s="28">
        <v>-93083.6</v>
      </c>
      <c r="B180" s="28">
        <v>-49299.89</v>
      </c>
      <c r="C180" s="28">
        <v>3869.8</v>
      </c>
      <c r="D180" s="31">
        <v>60922.9</v>
      </c>
      <c r="E180" s="31">
        <v>-68869.63</v>
      </c>
    </row>
    <row r="181">
      <c r="A181" s="28">
        <v>-82196.59</v>
      </c>
      <c r="B181" s="28">
        <v>94541.19</v>
      </c>
      <c r="C181" s="28">
        <v>-6842.68</v>
      </c>
      <c r="D181" s="31">
        <v>-71067.79</v>
      </c>
      <c r="E181" s="31">
        <v>65904.65</v>
      </c>
    </row>
    <row r="182">
      <c r="A182" s="28">
        <v>59227.86</v>
      </c>
      <c r="B182" s="28">
        <v>67095.9</v>
      </c>
      <c r="C182" s="28">
        <v>98096.03</v>
      </c>
      <c r="D182" s="31">
        <v>55898.43</v>
      </c>
      <c r="E182" s="31">
        <v>-91083.97</v>
      </c>
    </row>
    <row r="183">
      <c r="A183" s="28">
        <v>19501.18</v>
      </c>
      <c r="B183" s="28">
        <v>4628.1</v>
      </c>
      <c r="C183" s="28">
        <v>-25483.99</v>
      </c>
      <c r="D183" s="31">
        <v>21316.5</v>
      </c>
      <c r="E183" s="31">
        <v>33210.13</v>
      </c>
    </row>
    <row r="184">
      <c r="A184" s="28">
        <v>33969.44</v>
      </c>
      <c r="B184" s="28">
        <v>-25041.59</v>
      </c>
      <c r="C184" s="28">
        <v>16373.37</v>
      </c>
      <c r="D184" s="31">
        <v>-50003.29</v>
      </c>
      <c r="E184" s="31">
        <v>-7221.32</v>
      </c>
    </row>
    <row r="185">
      <c r="A185" s="28">
        <v>-67642.05</v>
      </c>
      <c r="B185" s="28">
        <v>-75751.57</v>
      </c>
      <c r="C185" s="28">
        <v>91136.85</v>
      </c>
      <c r="D185" s="31">
        <v>-31430.82</v>
      </c>
      <c r="E185" s="31">
        <v>68629.16</v>
      </c>
    </row>
    <row r="186">
      <c r="A186" s="28">
        <v>76997.5</v>
      </c>
      <c r="B186" s="28">
        <v>-52722.57</v>
      </c>
      <c r="C186" s="28">
        <v>-22759.08</v>
      </c>
      <c r="D186" s="31">
        <v>8585.06</v>
      </c>
      <c r="E186" s="31">
        <v>83111.31</v>
      </c>
    </row>
    <row r="187">
      <c r="A187" s="28">
        <v>26172.52</v>
      </c>
      <c r="B187" s="28">
        <v>-47795.73</v>
      </c>
      <c r="C187" s="28">
        <v>1609.29</v>
      </c>
      <c r="D187" s="31">
        <v>-65750.57</v>
      </c>
      <c r="E187" s="31">
        <v>61329.31</v>
      </c>
    </row>
    <row r="188">
      <c r="A188" s="28">
        <v>-98364.82</v>
      </c>
      <c r="B188" s="28">
        <v>-80685.42</v>
      </c>
      <c r="C188" s="28">
        <v>-13833.07</v>
      </c>
      <c r="D188" s="31">
        <v>99879.27</v>
      </c>
      <c r="E188" s="31">
        <v>93128.94</v>
      </c>
    </row>
    <row r="189">
      <c r="A189" s="28">
        <v>53083.72</v>
      </c>
      <c r="B189" s="28">
        <v>-51008.23</v>
      </c>
      <c r="C189" s="28">
        <v>-15630.65</v>
      </c>
      <c r="D189" s="31">
        <v>-93508.77</v>
      </c>
      <c r="E189" s="31">
        <v>58482.62</v>
      </c>
    </row>
    <row r="190">
      <c r="A190" s="28">
        <v>56051.94</v>
      </c>
      <c r="B190" s="28">
        <v>62171.08</v>
      </c>
      <c r="C190" s="28">
        <v>-10514.84</v>
      </c>
      <c r="D190" s="31">
        <v>69732.09</v>
      </c>
      <c r="E190" s="31">
        <v>13540.32</v>
      </c>
    </row>
    <row r="191">
      <c r="A191" s="28">
        <v>9002.47</v>
      </c>
      <c r="B191" s="28">
        <v>-7559.13</v>
      </c>
      <c r="C191" s="28">
        <v>-16924.35</v>
      </c>
      <c r="D191" s="31">
        <v>-59835.13</v>
      </c>
      <c r="E191" s="31">
        <v>-85500.32</v>
      </c>
    </row>
    <row r="192">
      <c r="A192" s="28">
        <v>-69083.8</v>
      </c>
      <c r="B192" s="28">
        <v>-81226.76</v>
      </c>
      <c r="C192" s="28">
        <v>-95689.34</v>
      </c>
      <c r="D192" s="31">
        <v>-99118.75</v>
      </c>
      <c r="E192" s="31">
        <v>95241.99</v>
      </c>
    </row>
    <row r="193">
      <c r="A193" s="28">
        <v>-74185.97</v>
      </c>
      <c r="B193" s="28">
        <v>-63589.57</v>
      </c>
      <c r="C193" s="28">
        <v>-26507.25</v>
      </c>
      <c r="D193" s="31">
        <v>98955.22</v>
      </c>
      <c r="E193" s="31">
        <v>60274.65</v>
      </c>
    </row>
    <row r="194">
      <c r="A194" s="28">
        <v>-89457.75</v>
      </c>
      <c r="B194" s="28">
        <v>-1658.37</v>
      </c>
      <c r="C194" s="28">
        <v>57594.29</v>
      </c>
      <c r="D194" s="31">
        <v>-69177.93</v>
      </c>
      <c r="E194" s="31">
        <v>14382.77</v>
      </c>
    </row>
    <row r="195">
      <c r="A195" s="28">
        <v>-21846.15</v>
      </c>
      <c r="B195" s="28">
        <v>45819.79</v>
      </c>
      <c r="C195" s="28">
        <v>-22972.96</v>
      </c>
      <c r="D195" s="31">
        <v>-17284.67</v>
      </c>
      <c r="E195" s="31">
        <v>-53459.07</v>
      </c>
    </row>
    <row r="196">
      <c r="A196" s="28">
        <v>-15822.73</v>
      </c>
      <c r="B196" s="28">
        <v>-97165.09</v>
      </c>
      <c r="C196" s="28">
        <v>31319.89</v>
      </c>
      <c r="D196" s="31">
        <v>62091.92</v>
      </c>
      <c r="E196" s="31">
        <v>82199.24</v>
      </c>
    </row>
    <row r="197">
      <c r="A197" s="28">
        <v>19544.39</v>
      </c>
      <c r="B197" s="28">
        <v>34499.1</v>
      </c>
      <c r="C197" s="28">
        <v>-45495.48</v>
      </c>
      <c r="D197" s="31">
        <v>-26864.3</v>
      </c>
      <c r="E197" s="31">
        <v>-94587.91</v>
      </c>
    </row>
    <row r="198">
      <c r="A198" s="28">
        <v>58239.59</v>
      </c>
      <c r="B198" s="28">
        <v>23307.71</v>
      </c>
      <c r="C198" s="28">
        <v>97846.22</v>
      </c>
      <c r="D198" s="31">
        <v>71331.85</v>
      </c>
      <c r="E198" s="31">
        <v>24839.87</v>
      </c>
    </row>
    <row r="199">
      <c r="A199" s="28">
        <v>-92448.59</v>
      </c>
      <c r="B199" s="28">
        <v>67253.12</v>
      </c>
      <c r="C199" s="28">
        <v>-67510.6</v>
      </c>
      <c r="D199" s="31">
        <v>82722.01</v>
      </c>
      <c r="E199" s="31">
        <v>-54159.42</v>
      </c>
    </row>
    <row r="200">
      <c r="A200" s="28">
        <v>54562.8</v>
      </c>
      <c r="B200" s="28">
        <v>-78583.63</v>
      </c>
      <c r="C200" s="28">
        <v>65985.74</v>
      </c>
      <c r="D200" s="31">
        <v>-79439.06</v>
      </c>
      <c r="E200" s="31">
        <v>-82296.65</v>
      </c>
    </row>
    <row r="201">
      <c r="A201" s="28">
        <v>-95575.65</v>
      </c>
      <c r="B201" s="28">
        <v>-56978.71</v>
      </c>
      <c r="C201" s="28">
        <v>33343.82</v>
      </c>
      <c r="D201" s="31">
        <v>-67656.04</v>
      </c>
      <c r="E201" s="31">
        <v>2036.17</v>
      </c>
    </row>
    <row r="202">
      <c r="A202" s="28">
        <v>-45697.28</v>
      </c>
      <c r="B202" s="28">
        <v>-62547.36</v>
      </c>
      <c r="C202" s="28">
        <v>57917.93</v>
      </c>
      <c r="D202" s="31">
        <v>5375.19</v>
      </c>
      <c r="E202" s="31">
        <v>99712.54</v>
      </c>
    </row>
    <row r="203">
      <c r="A203" s="28">
        <v>-65872.43</v>
      </c>
      <c r="B203" s="28">
        <v>-54309.65</v>
      </c>
      <c r="C203" s="28">
        <v>90560.57</v>
      </c>
      <c r="D203" s="31">
        <v>-8829.85</v>
      </c>
      <c r="E203" s="31">
        <v>-83167.67</v>
      </c>
    </row>
    <row r="204">
      <c r="A204" s="28">
        <v>80150.67</v>
      </c>
      <c r="B204" s="28">
        <v>24612.86</v>
      </c>
      <c r="C204" s="28">
        <v>9695.25</v>
      </c>
      <c r="D204" s="31">
        <v>-40430.99</v>
      </c>
      <c r="E204" s="31">
        <v>-40376.2</v>
      </c>
    </row>
    <row r="205">
      <c r="A205" s="28">
        <v>-71797.44</v>
      </c>
      <c r="B205" s="28">
        <v>80401.1</v>
      </c>
      <c r="C205" s="28">
        <v>34993.22</v>
      </c>
      <c r="D205" s="31">
        <v>-30573.99</v>
      </c>
      <c r="E205" s="31">
        <v>7645.36</v>
      </c>
    </row>
    <row r="206">
      <c r="A206" s="28">
        <v>44625.62</v>
      </c>
      <c r="B206" s="28">
        <v>62274.97</v>
      </c>
      <c r="C206" s="28">
        <v>9579.03</v>
      </c>
      <c r="D206" s="31">
        <v>-8837.69</v>
      </c>
      <c r="E206" s="31">
        <v>-23081.78</v>
      </c>
    </row>
    <row r="207">
      <c r="A207" s="28">
        <v>-57703.26</v>
      </c>
      <c r="B207" s="28">
        <v>-34559.47</v>
      </c>
      <c r="C207" s="28">
        <v>75877.75</v>
      </c>
      <c r="D207" s="31">
        <v>-57105.45</v>
      </c>
      <c r="E207" s="31">
        <v>-5839.83</v>
      </c>
    </row>
    <row r="208">
      <c r="A208" s="28">
        <v>-81229.64</v>
      </c>
      <c r="B208" s="28">
        <v>64717.68</v>
      </c>
      <c r="C208" s="28">
        <v>-13080.64</v>
      </c>
      <c r="D208" s="31">
        <v>-70838.53</v>
      </c>
      <c r="E208" s="31">
        <v>-13579.63</v>
      </c>
    </row>
    <row r="209">
      <c r="A209" s="28">
        <v>-47906.07</v>
      </c>
      <c r="B209" s="28">
        <v>-17682.25</v>
      </c>
      <c r="C209" s="28">
        <v>73580.05</v>
      </c>
      <c r="D209" s="31">
        <v>30929.73</v>
      </c>
      <c r="E209" s="31">
        <v>-87762.48</v>
      </c>
    </row>
    <row r="210">
      <c r="A210" s="28">
        <v>-17583.14</v>
      </c>
      <c r="B210" s="28">
        <v>-32526.5</v>
      </c>
      <c r="C210" s="28">
        <v>55613.81</v>
      </c>
      <c r="D210" s="31">
        <v>50045.39</v>
      </c>
      <c r="E210" s="31">
        <v>61376.08</v>
      </c>
    </row>
    <row r="211">
      <c r="A211" s="28">
        <v>-3546.78</v>
      </c>
      <c r="B211" s="28">
        <v>23192.52</v>
      </c>
      <c r="C211" s="28">
        <v>82547.74</v>
      </c>
      <c r="D211" s="31">
        <v>-52791.78</v>
      </c>
      <c r="E211" s="31">
        <v>70519.3</v>
      </c>
    </row>
    <row r="212">
      <c r="A212" s="28">
        <v>-65195.66</v>
      </c>
      <c r="B212" s="28">
        <v>37841.05</v>
      </c>
      <c r="C212" s="28">
        <v>43815.2</v>
      </c>
      <c r="D212" s="31">
        <v>48528.26</v>
      </c>
      <c r="E212" s="31">
        <v>41080.34</v>
      </c>
    </row>
    <row r="213">
      <c r="A213" s="28">
        <v>53156.65</v>
      </c>
      <c r="B213" s="28">
        <v>29422.56</v>
      </c>
      <c r="C213" s="28">
        <v>24732.87</v>
      </c>
      <c r="D213" s="31">
        <v>45172.6</v>
      </c>
      <c r="E213" s="31">
        <v>-57967.51</v>
      </c>
    </row>
    <row r="214">
      <c r="A214" s="28">
        <v>67454.19</v>
      </c>
      <c r="B214" s="28">
        <v>-97431.46</v>
      </c>
      <c r="C214" s="28">
        <v>30719.4</v>
      </c>
      <c r="D214" s="31">
        <v>3964.92</v>
      </c>
      <c r="E214" s="31">
        <v>-72018.34</v>
      </c>
    </row>
    <row r="215">
      <c r="A215" s="28">
        <v>17087.01</v>
      </c>
      <c r="B215" s="28">
        <v>52540.45</v>
      </c>
      <c r="C215" s="28">
        <v>64206.17</v>
      </c>
      <c r="D215" s="31">
        <v>97338.56</v>
      </c>
      <c r="E215" s="31">
        <v>-46277.76</v>
      </c>
    </row>
    <row r="216">
      <c r="A216" s="28">
        <v>-97407.91</v>
      </c>
      <c r="B216" s="28">
        <v>-16192.36</v>
      </c>
      <c r="C216" s="28">
        <v>-48403.23</v>
      </c>
      <c r="D216" s="31">
        <v>-48321.05</v>
      </c>
      <c r="E216" s="31">
        <v>-91082.2</v>
      </c>
    </row>
    <row r="217">
      <c r="A217" s="28">
        <v>-43309.16</v>
      </c>
      <c r="B217" s="28">
        <v>11483.06</v>
      </c>
      <c r="C217" s="28">
        <v>9328.26</v>
      </c>
      <c r="D217" s="31">
        <v>-86873.04</v>
      </c>
      <c r="E217" s="31">
        <v>1229.62</v>
      </c>
    </row>
    <row r="218">
      <c r="A218" s="28">
        <v>98890.5</v>
      </c>
      <c r="B218" s="28">
        <v>31496.61</v>
      </c>
      <c r="C218" s="28">
        <v>-55168.93</v>
      </c>
      <c r="D218" s="31">
        <v>-54973.59</v>
      </c>
      <c r="E218" s="31">
        <v>-91541.26</v>
      </c>
    </row>
    <row r="219">
      <c r="A219" s="28">
        <v>-104.46</v>
      </c>
      <c r="B219" s="28">
        <v>-34907.23</v>
      </c>
      <c r="C219" s="28">
        <v>-60063.75</v>
      </c>
      <c r="D219" s="31">
        <v>-17219.48</v>
      </c>
      <c r="E219" s="31">
        <v>-54688.79</v>
      </c>
    </row>
    <row r="220">
      <c r="A220" s="28">
        <v>27905.92</v>
      </c>
      <c r="B220" s="28">
        <v>-49468.95</v>
      </c>
      <c r="C220" s="28">
        <v>-64599.83</v>
      </c>
      <c r="D220" s="31">
        <v>641.67</v>
      </c>
      <c r="E220" s="31">
        <v>33469.63</v>
      </c>
    </row>
    <row r="221">
      <c r="A221" s="28">
        <v>-16788.39</v>
      </c>
      <c r="B221" s="28">
        <v>-90831.4</v>
      </c>
      <c r="C221" s="28">
        <v>95266.88</v>
      </c>
      <c r="D221" s="31">
        <v>16833.6</v>
      </c>
      <c r="E221" s="31">
        <v>74168.02</v>
      </c>
    </row>
    <row r="222">
      <c r="A222" s="28">
        <v>46394.05</v>
      </c>
      <c r="B222" s="28">
        <v>55325.82</v>
      </c>
      <c r="C222" s="28">
        <v>34147.32</v>
      </c>
      <c r="D222" s="31">
        <v>-47044.05</v>
      </c>
      <c r="E222" s="31">
        <v>17620.76</v>
      </c>
    </row>
    <row r="223">
      <c r="A223" s="28">
        <v>-18843.89</v>
      </c>
      <c r="B223" s="28">
        <v>-89728.32</v>
      </c>
      <c r="C223" s="28">
        <v>-23811.01</v>
      </c>
      <c r="D223" s="31">
        <v>-9887.41</v>
      </c>
      <c r="E223" s="31">
        <v>66014.5</v>
      </c>
    </row>
    <row r="224">
      <c r="A224" s="28">
        <v>6133.48</v>
      </c>
      <c r="B224" s="28">
        <v>-16624.71</v>
      </c>
      <c r="C224" s="28">
        <v>-6822.15</v>
      </c>
      <c r="D224" s="31">
        <v>-17496.59</v>
      </c>
      <c r="E224" s="31">
        <v>-5768.57</v>
      </c>
    </row>
    <row r="225">
      <c r="A225" s="28">
        <v>-79610.16</v>
      </c>
      <c r="B225" s="28">
        <v>-59419.2</v>
      </c>
      <c r="C225" s="28">
        <v>75588.64</v>
      </c>
      <c r="D225" s="31">
        <v>-19641.28</v>
      </c>
      <c r="E225" s="31">
        <v>52050.31</v>
      </c>
    </row>
    <row r="226">
      <c r="A226" s="28">
        <v>15108.72</v>
      </c>
      <c r="B226" s="28">
        <v>-42610.07</v>
      </c>
      <c r="C226" s="28">
        <v>8819.84</v>
      </c>
      <c r="D226" s="31">
        <v>42252.54</v>
      </c>
      <c r="E226" s="31">
        <v>-70066.74</v>
      </c>
    </row>
    <row r="227">
      <c r="A227" s="28">
        <v>52536.59</v>
      </c>
      <c r="B227" s="28">
        <v>-96443.6</v>
      </c>
      <c r="C227" s="28">
        <v>75791.83</v>
      </c>
      <c r="D227" s="31">
        <v>-60561.98</v>
      </c>
      <c r="E227" s="31">
        <v>16970.72</v>
      </c>
    </row>
    <row r="228">
      <c r="A228" s="28">
        <v>-61938.46</v>
      </c>
      <c r="B228" s="28">
        <v>-66370.06</v>
      </c>
      <c r="C228" s="28">
        <v>19223.22</v>
      </c>
      <c r="D228" s="31">
        <v>-76554.97</v>
      </c>
      <c r="E228" s="31">
        <v>-81557.84</v>
      </c>
    </row>
    <row r="229">
      <c r="A229" s="28">
        <v>95411.2</v>
      </c>
      <c r="B229" s="28">
        <v>-6874.98</v>
      </c>
      <c r="C229" s="28">
        <v>-27632.85</v>
      </c>
      <c r="D229" s="31">
        <v>-64305.53</v>
      </c>
      <c r="E229" s="31">
        <v>-96209.73</v>
      </c>
    </row>
    <row r="230">
      <c r="A230" s="28">
        <v>61135.68</v>
      </c>
      <c r="B230" s="28">
        <v>80330.12</v>
      </c>
      <c r="C230" s="28">
        <v>56248.35</v>
      </c>
      <c r="D230" s="31">
        <v>-9020.64</v>
      </c>
      <c r="E230" s="31">
        <v>-43652.84</v>
      </c>
    </row>
    <row r="231">
      <c r="A231" s="28">
        <v>-20802.75</v>
      </c>
      <c r="B231" s="28">
        <v>-9022.46</v>
      </c>
      <c r="C231" s="28">
        <v>-24076.4</v>
      </c>
      <c r="D231" s="31">
        <v>-79607.17</v>
      </c>
      <c r="E231" s="31">
        <v>-89439.15</v>
      </c>
    </row>
    <row r="232">
      <c r="A232" s="28">
        <v>32118.89</v>
      </c>
      <c r="B232" s="28">
        <v>70220.08</v>
      </c>
      <c r="C232" s="28">
        <v>-27565.42</v>
      </c>
      <c r="D232" s="31">
        <v>17284.13</v>
      </c>
      <c r="E232" s="31">
        <v>5142.78</v>
      </c>
    </row>
    <row r="233">
      <c r="A233" s="28">
        <v>-20932.12</v>
      </c>
      <c r="B233" s="28">
        <v>-23286.41</v>
      </c>
      <c r="C233" s="28">
        <v>49583.95</v>
      </c>
      <c r="D233" s="31">
        <v>93605.2</v>
      </c>
      <c r="E233" s="31">
        <v>45909.06</v>
      </c>
    </row>
    <row r="234">
      <c r="A234" s="28">
        <v>-27169.47</v>
      </c>
      <c r="B234" s="28">
        <v>-83643.31</v>
      </c>
      <c r="C234" s="28">
        <v>6683.94</v>
      </c>
      <c r="D234" s="31">
        <v>55704.44</v>
      </c>
      <c r="E234" s="31">
        <v>20225.04</v>
      </c>
    </row>
    <row r="235">
      <c r="A235" s="28">
        <v>54585.04</v>
      </c>
      <c r="B235" s="28">
        <v>-26593.04</v>
      </c>
      <c r="C235" s="28">
        <v>28693.86</v>
      </c>
      <c r="D235" s="31">
        <v>-28261.64</v>
      </c>
      <c r="E235" s="31">
        <v>85031.97</v>
      </c>
    </row>
    <row r="236">
      <c r="A236" s="28">
        <v>22519.57</v>
      </c>
      <c r="B236" s="28">
        <v>-96768.76</v>
      </c>
      <c r="C236" s="28">
        <v>89393.3</v>
      </c>
      <c r="D236" s="31">
        <v>31342.32</v>
      </c>
      <c r="E236" s="31">
        <v>77757.5</v>
      </c>
    </row>
    <row r="237">
      <c r="A237" s="28">
        <v>86378.11</v>
      </c>
      <c r="B237" s="28">
        <v>82212.86</v>
      </c>
      <c r="C237" s="28">
        <v>-99714.83</v>
      </c>
      <c r="D237" s="31">
        <v>-81291.33</v>
      </c>
      <c r="E237" s="31">
        <v>-68253.79</v>
      </c>
    </row>
    <row r="238">
      <c r="A238" s="28">
        <v>67929.35</v>
      </c>
      <c r="B238" s="28">
        <v>48262.82</v>
      </c>
      <c r="C238" s="28">
        <v>18956.88</v>
      </c>
      <c r="D238" s="31">
        <v>62335.7</v>
      </c>
      <c r="E238" s="31">
        <v>21811.88</v>
      </c>
    </row>
    <row r="239">
      <c r="A239" s="28">
        <v>-53271.08</v>
      </c>
      <c r="B239" s="28">
        <v>61079.37</v>
      </c>
      <c r="C239" s="28">
        <v>-98952.94</v>
      </c>
      <c r="D239" s="31">
        <v>-28183.96</v>
      </c>
      <c r="E239" s="31">
        <v>-95131.9</v>
      </c>
    </row>
    <row r="240">
      <c r="A240" s="28">
        <v>-50262.24</v>
      </c>
      <c r="B240" s="28">
        <v>86851.56</v>
      </c>
      <c r="C240" s="28">
        <v>96160.44</v>
      </c>
      <c r="D240" s="31">
        <v>23149.41</v>
      </c>
      <c r="E240" s="31">
        <v>-58771.91</v>
      </c>
    </row>
    <row r="241">
      <c r="A241" s="28">
        <v>-71282.67</v>
      </c>
      <c r="B241" s="28">
        <v>48654.09</v>
      </c>
      <c r="C241" s="28">
        <v>65586.91</v>
      </c>
      <c r="D241" s="31">
        <v>-5608.46</v>
      </c>
      <c r="E241" s="31">
        <v>-75260.54</v>
      </c>
    </row>
    <row r="242">
      <c r="A242" s="28">
        <v>-59246.12</v>
      </c>
      <c r="B242" s="28">
        <v>31896.9</v>
      </c>
      <c r="C242" s="28">
        <v>18439.53</v>
      </c>
      <c r="D242" s="31">
        <v>84254.11</v>
      </c>
      <c r="E242" s="31">
        <v>-5581.11</v>
      </c>
    </row>
    <row r="243">
      <c r="A243" s="28">
        <v>83137.06</v>
      </c>
      <c r="B243" s="28">
        <v>-77383.35</v>
      </c>
      <c r="C243" s="28">
        <v>-92323.03</v>
      </c>
      <c r="D243" s="31">
        <v>-48113.39</v>
      </c>
      <c r="E243" s="31">
        <v>82414.93</v>
      </c>
    </row>
    <row r="244">
      <c r="A244" s="28">
        <v>-24432.93</v>
      </c>
      <c r="B244" s="28">
        <v>-96766.43</v>
      </c>
      <c r="C244" s="28">
        <v>29980.86</v>
      </c>
      <c r="D244" s="31">
        <v>-79202.65</v>
      </c>
      <c r="E244" s="31">
        <v>22800.7</v>
      </c>
    </row>
    <row r="245">
      <c r="A245" s="28">
        <v>42915.61</v>
      </c>
      <c r="B245" s="28">
        <v>-65894.84</v>
      </c>
      <c r="C245" s="28">
        <v>64044.37</v>
      </c>
      <c r="D245" s="31">
        <v>61904.25</v>
      </c>
      <c r="E245" s="31">
        <v>-9429.83</v>
      </c>
    </row>
    <row r="246">
      <c r="A246" s="28">
        <v>-64592.29</v>
      </c>
      <c r="B246" s="28">
        <v>-38055.97</v>
      </c>
      <c r="C246" s="28">
        <v>-75867.22</v>
      </c>
      <c r="D246" s="31">
        <v>-89215.94</v>
      </c>
      <c r="E246" s="31">
        <v>54068.47</v>
      </c>
    </row>
    <row r="247">
      <c r="A247" s="28">
        <v>31977.82</v>
      </c>
      <c r="B247" s="28">
        <v>-92268.91</v>
      </c>
      <c r="C247" s="28">
        <v>22327.68</v>
      </c>
      <c r="D247" s="31">
        <v>-890.86</v>
      </c>
      <c r="E247" s="31">
        <v>-91396.77</v>
      </c>
    </row>
    <row r="248">
      <c r="A248" s="28">
        <v>67750.01</v>
      </c>
      <c r="B248" s="28">
        <v>-80461.14</v>
      </c>
      <c r="C248" s="28">
        <v>-27093.49</v>
      </c>
      <c r="D248" s="31">
        <v>9453.47</v>
      </c>
      <c r="E248" s="31">
        <v>-711.46</v>
      </c>
    </row>
    <row r="249">
      <c r="A249" s="28">
        <v>-72737.02</v>
      </c>
      <c r="B249" s="28">
        <v>74604.88</v>
      </c>
      <c r="C249" s="28">
        <v>-9864.74</v>
      </c>
      <c r="D249" s="31">
        <v>-72260.84</v>
      </c>
      <c r="E249" s="31">
        <v>26126.03</v>
      </c>
    </row>
    <row r="250">
      <c r="A250" s="28">
        <v>-45829.04</v>
      </c>
      <c r="B250" s="28">
        <v>-91055.62</v>
      </c>
      <c r="C250" s="28">
        <v>13241.85</v>
      </c>
      <c r="D250" s="31">
        <v>66938.78</v>
      </c>
      <c r="E250" s="31">
        <v>-19541.89</v>
      </c>
    </row>
    <row r="251">
      <c r="A251" s="28">
        <v>-50670.8</v>
      </c>
      <c r="B251" s="28">
        <v>1071.9</v>
      </c>
      <c r="C251" s="28">
        <v>-32275.66</v>
      </c>
      <c r="D251" s="31">
        <v>49586.61</v>
      </c>
      <c r="E251" s="31">
        <v>-25080.94</v>
      </c>
    </row>
    <row r="252">
      <c r="A252" s="28">
        <v>-52534.29</v>
      </c>
      <c r="B252" s="28">
        <v>-7756.04</v>
      </c>
      <c r="C252" s="28">
        <v>45758.36</v>
      </c>
      <c r="D252" s="31">
        <v>-24814.26</v>
      </c>
      <c r="E252" s="31">
        <v>-34225.53</v>
      </c>
    </row>
    <row r="253">
      <c r="A253" s="28">
        <v>70855.63</v>
      </c>
      <c r="B253" s="28">
        <v>14124.3</v>
      </c>
      <c r="C253" s="28">
        <v>-99764.79</v>
      </c>
      <c r="D253" s="31">
        <v>13481.3</v>
      </c>
      <c r="E253" s="31">
        <v>50545.68</v>
      </c>
    </row>
    <row r="254">
      <c r="A254" s="28">
        <v>-36353.8</v>
      </c>
      <c r="B254" s="28">
        <v>-98174.67</v>
      </c>
      <c r="C254" s="28">
        <v>9063.1</v>
      </c>
      <c r="D254" s="31">
        <v>-69618.39</v>
      </c>
      <c r="E254" s="31">
        <v>5322.79</v>
      </c>
    </row>
    <row r="255">
      <c r="A255" s="28">
        <v>-11115.53</v>
      </c>
      <c r="B255" s="28">
        <v>-55654.79</v>
      </c>
      <c r="C255" s="28">
        <v>2305.31</v>
      </c>
      <c r="D255" s="31">
        <v>-33408.23</v>
      </c>
      <c r="E255" s="31">
        <v>11722.36</v>
      </c>
    </row>
    <row r="256">
      <c r="A256" s="28">
        <v>85357.2</v>
      </c>
      <c r="B256" s="28">
        <v>-43417.07</v>
      </c>
      <c r="C256" s="28">
        <v>15197.99</v>
      </c>
      <c r="D256" s="31">
        <v>-90565.37</v>
      </c>
      <c r="E256" s="31">
        <v>-48234.84</v>
      </c>
    </row>
    <row r="257">
      <c r="A257" s="28">
        <v>-17715.02</v>
      </c>
      <c r="B257" s="28">
        <v>62171.59</v>
      </c>
      <c r="C257" s="28">
        <v>97117.25</v>
      </c>
      <c r="D257" s="31">
        <v>-57632.41</v>
      </c>
      <c r="E257" s="31">
        <v>58084.04</v>
      </c>
    </row>
    <row r="258">
      <c r="A258" s="28">
        <v>-35087.89</v>
      </c>
      <c r="B258" s="28">
        <v>-14658.86</v>
      </c>
      <c r="C258" s="28">
        <v>63709.63</v>
      </c>
      <c r="D258" s="31">
        <v>-46741.62</v>
      </c>
      <c r="E258" s="31">
        <v>32081.3</v>
      </c>
    </row>
    <row r="259">
      <c r="A259" s="28">
        <v>97188.48</v>
      </c>
      <c r="B259" s="28">
        <v>-2831.96</v>
      </c>
      <c r="C259" s="28">
        <v>29720.74</v>
      </c>
      <c r="D259" s="31">
        <v>83520.21</v>
      </c>
      <c r="E259" s="31">
        <v>99220.44</v>
      </c>
    </row>
    <row r="260">
      <c r="A260" s="28">
        <v>-6046.74</v>
      </c>
      <c r="B260" s="28">
        <v>40855.18</v>
      </c>
      <c r="C260" s="28">
        <v>59042.32</v>
      </c>
      <c r="D260" s="31">
        <v>76468.96</v>
      </c>
      <c r="E260" s="31">
        <v>51283.95</v>
      </c>
    </row>
    <row r="261">
      <c r="A261" s="28">
        <v>38583.74</v>
      </c>
      <c r="B261" s="28">
        <v>-41143.61</v>
      </c>
      <c r="C261" s="28">
        <v>40493.79</v>
      </c>
      <c r="D261" s="31">
        <v>90600.34</v>
      </c>
      <c r="E261" s="31">
        <v>-23021.82</v>
      </c>
    </row>
    <row r="262">
      <c r="A262" s="28">
        <v>-52296.9</v>
      </c>
      <c r="B262" s="28">
        <v>-80165.25</v>
      </c>
      <c r="C262" s="28">
        <v>-18268.2</v>
      </c>
      <c r="D262" s="31">
        <v>25140.81</v>
      </c>
      <c r="E262" s="31">
        <v>840.95</v>
      </c>
    </row>
    <row r="263">
      <c r="A263" s="28">
        <v>-92221.68</v>
      </c>
      <c r="B263" s="28">
        <v>48504.75</v>
      </c>
      <c r="C263" s="28">
        <v>-11045.64</v>
      </c>
      <c r="D263" s="31">
        <v>-98588.83</v>
      </c>
      <c r="E263" s="31">
        <v>86302.44</v>
      </c>
    </row>
    <row r="264">
      <c r="A264" s="28">
        <v>99205.83</v>
      </c>
      <c r="B264" s="28">
        <v>-35888.33</v>
      </c>
      <c r="C264" s="28">
        <v>-16046.36</v>
      </c>
      <c r="D264" s="31">
        <v>14974.13</v>
      </c>
      <c r="E264" s="31">
        <v>-97622.18</v>
      </c>
    </row>
    <row r="265">
      <c r="A265" s="28">
        <v>-98649.52</v>
      </c>
      <c r="B265" s="28">
        <v>-40916.55</v>
      </c>
      <c r="C265" s="28">
        <v>40724.89</v>
      </c>
      <c r="D265" s="31">
        <v>65528.1</v>
      </c>
      <c r="E265" s="31">
        <v>27091.3</v>
      </c>
    </row>
    <row r="266">
      <c r="A266" s="28">
        <v>12605.05</v>
      </c>
      <c r="B266" s="28">
        <v>6514.02</v>
      </c>
      <c r="C266" s="28">
        <v>93401.91</v>
      </c>
      <c r="D266" s="31">
        <v>-79502.84</v>
      </c>
      <c r="E266" s="31">
        <v>-91639.46</v>
      </c>
    </row>
    <row r="267">
      <c r="A267" s="28">
        <v>-56526.77</v>
      </c>
      <c r="B267" s="28">
        <v>-12116.3</v>
      </c>
      <c r="C267" s="28">
        <v>56541.3</v>
      </c>
      <c r="D267" s="31">
        <v>-32625.73</v>
      </c>
      <c r="E267" s="31">
        <v>22086.34</v>
      </c>
    </row>
    <row r="268">
      <c r="A268" s="28">
        <v>-6159.23</v>
      </c>
      <c r="B268" s="28">
        <v>33328.2</v>
      </c>
      <c r="C268" s="28">
        <v>95272.55</v>
      </c>
      <c r="D268" s="31">
        <v>-83473.83</v>
      </c>
      <c r="E268" s="31">
        <v>50965.31</v>
      </c>
    </row>
    <row r="269">
      <c r="A269" s="28">
        <v>-46933.06</v>
      </c>
      <c r="B269" s="28">
        <v>-40853.24</v>
      </c>
      <c r="C269" s="28">
        <v>56395.39</v>
      </c>
      <c r="D269" s="31">
        <v>-54468.71</v>
      </c>
      <c r="E269" s="31">
        <v>99574.59</v>
      </c>
    </row>
    <row r="270">
      <c r="A270" s="28">
        <v>22660.87</v>
      </c>
      <c r="B270" s="28">
        <v>24542.69</v>
      </c>
      <c r="C270" s="28">
        <v>57821.34</v>
      </c>
      <c r="D270" s="31">
        <v>88574.05</v>
      </c>
      <c r="E270" s="31">
        <v>-23490.15</v>
      </c>
    </row>
    <row r="271">
      <c r="A271" s="28">
        <v>30788.52</v>
      </c>
      <c r="B271" s="28">
        <v>7794.39</v>
      </c>
      <c r="C271" s="28">
        <v>16321.53</v>
      </c>
      <c r="D271" s="31">
        <v>76851.81</v>
      </c>
      <c r="E271" s="31">
        <v>6286.54</v>
      </c>
    </row>
    <row r="272">
      <c r="A272" s="28">
        <v>62723.06</v>
      </c>
      <c r="B272" s="28">
        <v>-32711.28</v>
      </c>
      <c r="C272" s="28">
        <v>-21473.02</v>
      </c>
      <c r="D272" s="31">
        <v>-84375.61</v>
      </c>
      <c r="E272" s="31">
        <v>-3913.53</v>
      </c>
    </row>
    <row r="273">
      <c r="A273" s="28">
        <v>28235.2</v>
      </c>
      <c r="B273" s="28">
        <v>-10519.61</v>
      </c>
      <c r="C273" s="28">
        <v>48671.95</v>
      </c>
      <c r="D273" s="31">
        <v>-96941.84</v>
      </c>
      <c r="E273" s="31">
        <v>60023.63</v>
      </c>
    </row>
    <row r="274">
      <c r="A274" s="28">
        <v>-70313.04</v>
      </c>
      <c r="B274" s="28">
        <v>-43279.74</v>
      </c>
      <c r="C274" s="28">
        <v>66234.74</v>
      </c>
      <c r="D274" s="31">
        <v>-45822.86</v>
      </c>
      <c r="E274" s="31">
        <v>14931.25</v>
      </c>
    </row>
    <row r="275">
      <c r="A275" s="28">
        <v>-47866.67</v>
      </c>
      <c r="B275" s="28">
        <v>-43779.06</v>
      </c>
      <c r="C275" s="28">
        <v>-3454.37</v>
      </c>
      <c r="D275" s="31">
        <v>74355.46</v>
      </c>
      <c r="E275" s="31">
        <v>-61150.27</v>
      </c>
    </row>
    <row r="276">
      <c r="A276" s="28">
        <v>7403.11</v>
      </c>
      <c r="B276" s="28">
        <v>91296.22</v>
      </c>
      <c r="C276" s="28">
        <v>-53352.38</v>
      </c>
      <c r="D276" s="31">
        <v>-33653.03</v>
      </c>
      <c r="E276" s="31">
        <v>11865.02</v>
      </c>
    </row>
    <row r="277">
      <c r="A277" s="28">
        <v>-66150.66</v>
      </c>
      <c r="B277" s="28">
        <v>20643.85</v>
      </c>
      <c r="C277" s="28">
        <v>17682.11</v>
      </c>
      <c r="D277" s="31">
        <v>-26879.66</v>
      </c>
      <c r="E277" s="31">
        <v>88046.78</v>
      </c>
    </row>
    <row r="278">
      <c r="A278" s="28">
        <v>71389.07</v>
      </c>
      <c r="B278" s="28">
        <v>89148.75</v>
      </c>
      <c r="C278" s="28">
        <v>-56261.68</v>
      </c>
      <c r="D278" s="31">
        <v>-30715.92</v>
      </c>
      <c r="E278" s="31">
        <v>-7087.25</v>
      </c>
    </row>
    <row r="279">
      <c r="A279" s="28">
        <v>62348.0</v>
      </c>
      <c r="B279" s="28">
        <v>32196.76</v>
      </c>
      <c r="C279" s="28">
        <v>63518.06</v>
      </c>
      <c r="D279" s="31">
        <v>37390.62</v>
      </c>
      <c r="E279" s="31">
        <v>-14212.64</v>
      </c>
    </row>
    <row r="280">
      <c r="A280" s="28">
        <v>-89189.37</v>
      </c>
      <c r="B280" s="28">
        <v>-98353.89</v>
      </c>
      <c r="C280" s="28">
        <v>59235.0</v>
      </c>
      <c r="D280" s="31">
        <v>-60562.94</v>
      </c>
      <c r="E280" s="31">
        <v>-63892.4</v>
      </c>
    </row>
    <row r="281">
      <c r="A281" s="28">
        <v>-50525.94</v>
      </c>
      <c r="B281" s="28">
        <v>8002.87</v>
      </c>
      <c r="C281" s="28">
        <v>7731.79</v>
      </c>
      <c r="D281" s="31">
        <v>83499.26</v>
      </c>
      <c r="E281" s="31">
        <v>39648.66</v>
      </c>
    </row>
    <row r="282">
      <c r="A282" s="28">
        <v>-41458.16</v>
      </c>
      <c r="B282" s="28">
        <v>75065.91</v>
      </c>
      <c r="C282" s="28">
        <v>28534.46</v>
      </c>
      <c r="D282" s="31">
        <v>63601.66</v>
      </c>
      <c r="E282" s="31">
        <v>50817.97</v>
      </c>
    </row>
    <row r="283">
      <c r="A283" s="28">
        <v>-18204.93</v>
      </c>
      <c r="B283" s="28">
        <v>20760.01</v>
      </c>
      <c r="C283" s="28">
        <v>-92035.76</v>
      </c>
      <c r="D283" s="31">
        <v>-68039.82</v>
      </c>
      <c r="E283" s="31">
        <v>-64951.5</v>
      </c>
    </row>
    <row r="284">
      <c r="A284" s="28">
        <v>62831.27</v>
      </c>
      <c r="B284" s="28">
        <v>79139.11</v>
      </c>
      <c r="C284" s="28">
        <v>-8621.63</v>
      </c>
      <c r="D284" s="31">
        <v>-74962.53</v>
      </c>
      <c r="E284" s="31">
        <v>-92086.49</v>
      </c>
    </row>
    <row r="285">
      <c r="A285" s="28">
        <v>-72511.76</v>
      </c>
      <c r="B285" s="28">
        <v>92055.01</v>
      </c>
      <c r="C285" s="28">
        <v>60086.83</v>
      </c>
      <c r="D285" s="31">
        <v>-62236.78</v>
      </c>
      <c r="E285" s="31">
        <v>39839.76</v>
      </c>
    </row>
    <row r="286">
      <c r="A286" s="28">
        <v>-88155.17</v>
      </c>
      <c r="B286" s="28">
        <v>80152.94</v>
      </c>
      <c r="C286" s="28">
        <v>21782.41</v>
      </c>
      <c r="D286" s="31">
        <v>49743.41</v>
      </c>
      <c r="E286" s="31">
        <v>55340.63</v>
      </c>
    </row>
    <row r="287">
      <c r="A287" s="28">
        <v>-48714.5</v>
      </c>
      <c r="B287" s="28">
        <v>95933.14</v>
      </c>
      <c r="C287" s="28">
        <v>16316.71</v>
      </c>
      <c r="D287" s="31">
        <v>21289.18</v>
      </c>
      <c r="E287" s="31">
        <v>-67077.49</v>
      </c>
    </row>
    <row r="288">
      <c r="A288" s="28">
        <v>-27122.72</v>
      </c>
      <c r="B288" s="28">
        <v>83559.31</v>
      </c>
      <c r="C288" s="28">
        <v>31339.75</v>
      </c>
      <c r="D288" s="31">
        <v>56687.19</v>
      </c>
      <c r="E288" s="31">
        <v>51545.36</v>
      </c>
    </row>
    <row r="289">
      <c r="A289" s="28">
        <v>-24655.39</v>
      </c>
      <c r="B289" s="28">
        <v>-85623.06</v>
      </c>
      <c r="C289" s="28">
        <v>-68666.85</v>
      </c>
      <c r="D289" s="31">
        <v>40561.45</v>
      </c>
      <c r="E289" s="31">
        <v>-13850.11</v>
      </c>
    </row>
    <row r="290">
      <c r="A290" s="28">
        <v>-10359.38</v>
      </c>
      <c r="B290" s="28">
        <v>8282.21</v>
      </c>
      <c r="C290" s="28">
        <v>-64234.71</v>
      </c>
      <c r="D290" s="31">
        <v>-71600.57</v>
      </c>
      <c r="E290" s="31">
        <v>-30010.0</v>
      </c>
    </row>
    <row r="291">
      <c r="A291" s="28">
        <v>-69435.88</v>
      </c>
      <c r="B291" s="28">
        <v>-14619.6</v>
      </c>
      <c r="C291" s="28">
        <v>-48451.82</v>
      </c>
      <c r="D291" s="31">
        <v>-25168.87</v>
      </c>
      <c r="E291" s="31">
        <v>27749.94</v>
      </c>
    </row>
    <row r="292">
      <c r="A292" s="28">
        <v>-9943.42</v>
      </c>
      <c r="B292" s="28">
        <v>-77339.84</v>
      </c>
      <c r="C292" s="28">
        <v>69368.56</v>
      </c>
      <c r="D292" s="31">
        <v>-78750.1</v>
      </c>
      <c r="E292" s="31">
        <v>86800.79</v>
      </c>
    </row>
    <row r="293">
      <c r="A293" s="28">
        <v>78870.39</v>
      </c>
      <c r="B293" s="28">
        <v>91102.28</v>
      </c>
      <c r="C293" s="28">
        <v>-60104.3</v>
      </c>
      <c r="D293" s="31">
        <v>40438.97</v>
      </c>
      <c r="E293" s="31">
        <v>76636.49</v>
      </c>
    </row>
    <row r="294">
      <c r="A294" s="28">
        <v>45698.1</v>
      </c>
      <c r="B294" s="28">
        <v>-52831.55</v>
      </c>
      <c r="C294" s="28">
        <v>4465.76</v>
      </c>
      <c r="D294" s="31">
        <v>-64215.39</v>
      </c>
      <c r="E294" s="31">
        <v>-72113.42</v>
      </c>
    </row>
    <row r="295">
      <c r="A295" s="28">
        <v>22433.87</v>
      </c>
      <c r="B295" s="28">
        <v>-10975.23</v>
      </c>
      <c r="C295" s="28">
        <v>58498.03</v>
      </c>
      <c r="D295" s="31">
        <v>-13507.53</v>
      </c>
      <c r="E295" s="31">
        <v>47761.04</v>
      </c>
    </row>
    <row r="296">
      <c r="A296" s="28">
        <v>-47124.14</v>
      </c>
      <c r="B296" s="28">
        <v>-39613.06</v>
      </c>
      <c r="C296" s="28">
        <v>-64546.09</v>
      </c>
      <c r="D296" s="31">
        <v>60195.14</v>
      </c>
      <c r="E296" s="31">
        <v>70040.88</v>
      </c>
    </row>
    <row r="297">
      <c r="A297" s="28">
        <v>-71742.89</v>
      </c>
      <c r="B297" s="28">
        <v>-29645.68</v>
      </c>
      <c r="C297" s="28">
        <v>74435.25</v>
      </c>
      <c r="D297" s="31">
        <v>32.98</v>
      </c>
      <c r="E297" s="31">
        <v>31860.69</v>
      </c>
    </row>
    <row r="298">
      <c r="A298" s="28">
        <v>96877.06</v>
      </c>
      <c r="B298" s="28">
        <v>85525.31</v>
      </c>
      <c r="C298" s="28">
        <v>83535.56</v>
      </c>
      <c r="D298" s="31">
        <v>-78145.88</v>
      </c>
      <c r="E298" s="31">
        <v>-7198.97</v>
      </c>
    </row>
    <row r="299">
      <c r="A299" s="28">
        <v>94654.11</v>
      </c>
      <c r="B299" s="28">
        <v>-38490.05</v>
      </c>
      <c r="C299" s="28">
        <v>8515.33</v>
      </c>
      <c r="D299" s="31">
        <v>14271.54</v>
      </c>
      <c r="E299" s="31">
        <v>-80455.27</v>
      </c>
    </row>
    <row r="300">
      <c r="A300" s="28">
        <v>-45690.13</v>
      </c>
      <c r="B300" s="28">
        <v>82256.58</v>
      </c>
      <c r="C300" s="28">
        <v>-50025.28</v>
      </c>
      <c r="D300" s="31">
        <v>65551.73</v>
      </c>
      <c r="E300" s="31">
        <v>-40646.87</v>
      </c>
    </row>
    <row r="301">
      <c r="A301" s="28">
        <v>-72205.14</v>
      </c>
      <c r="B301" s="28">
        <v>94567.75</v>
      </c>
      <c r="C301" s="28">
        <v>-63676.02</v>
      </c>
      <c r="D301" s="31">
        <v>49700.39</v>
      </c>
      <c r="E301" s="31">
        <v>-71611.62</v>
      </c>
    </row>
    <row r="302">
      <c r="A302" s="28">
        <v>16703.31</v>
      </c>
      <c r="B302" s="28">
        <v>70550.1</v>
      </c>
      <c r="C302" s="28">
        <v>42139.78</v>
      </c>
      <c r="D302" s="31">
        <v>8763.15</v>
      </c>
      <c r="E302" s="31">
        <v>-76119.5</v>
      </c>
    </row>
    <row r="303">
      <c r="A303" s="28">
        <v>93992.22</v>
      </c>
      <c r="B303" s="28">
        <v>-29052.98</v>
      </c>
      <c r="C303" s="28">
        <v>33066.02</v>
      </c>
      <c r="D303" s="31">
        <v>46275.17</v>
      </c>
      <c r="E303" s="31">
        <v>-22080.63</v>
      </c>
    </row>
    <row r="304">
      <c r="A304" s="28">
        <v>-54963.94</v>
      </c>
      <c r="B304" s="28">
        <v>17198.71</v>
      </c>
      <c r="C304" s="28">
        <v>77404.73</v>
      </c>
      <c r="D304" s="31">
        <v>-29236.32</v>
      </c>
      <c r="E304" s="31">
        <v>-30998.49</v>
      </c>
    </row>
    <row r="305">
      <c r="A305" s="28">
        <v>29009.26</v>
      </c>
      <c r="B305" s="28">
        <v>31329.35</v>
      </c>
      <c r="C305" s="28">
        <v>64593.05</v>
      </c>
      <c r="D305" s="31">
        <v>98564.35</v>
      </c>
      <c r="E305" s="31">
        <v>-9028.71</v>
      </c>
    </row>
    <row r="306">
      <c r="A306" s="28">
        <v>76735.21</v>
      </c>
      <c r="B306" s="28">
        <v>-79783.31</v>
      </c>
      <c r="C306" s="28">
        <v>95946.92</v>
      </c>
      <c r="D306" s="31">
        <v>22717.27</v>
      </c>
      <c r="E306" s="31">
        <v>3052.05</v>
      </c>
    </row>
    <row r="307">
      <c r="A307" s="28">
        <v>53657.03</v>
      </c>
      <c r="B307" s="28">
        <v>-58426.05</v>
      </c>
      <c r="C307" s="28">
        <v>-10264.87</v>
      </c>
      <c r="D307" s="31">
        <v>-41881.74</v>
      </c>
      <c r="E307" s="31">
        <v>-99773.86</v>
      </c>
    </row>
    <row r="308">
      <c r="A308" s="28">
        <v>-16726.31</v>
      </c>
      <c r="B308" s="28">
        <v>-85020.47</v>
      </c>
      <c r="C308" s="28">
        <v>55019.29</v>
      </c>
      <c r="D308" s="31">
        <v>11597.74</v>
      </c>
      <c r="E308" s="31">
        <v>-50050.32</v>
      </c>
    </row>
    <row r="309">
      <c r="A309" s="28">
        <v>56290.8</v>
      </c>
      <c r="B309" s="28">
        <v>-41080.5</v>
      </c>
      <c r="C309" s="28">
        <v>64599.74</v>
      </c>
      <c r="D309" s="31">
        <v>1931.55</v>
      </c>
      <c r="E309" s="31">
        <v>5525.05</v>
      </c>
    </row>
    <row r="310">
      <c r="A310" s="28">
        <v>-43080.9</v>
      </c>
      <c r="B310" s="28">
        <v>-90046.23</v>
      </c>
      <c r="C310" s="28">
        <v>-46758.39</v>
      </c>
      <c r="D310" s="31">
        <v>89035.9</v>
      </c>
      <c r="E310" s="31">
        <v>-85637.52</v>
      </c>
    </row>
    <row r="311">
      <c r="A311" s="28">
        <v>-65059.59</v>
      </c>
      <c r="B311" s="28">
        <v>68223.77</v>
      </c>
      <c r="C311" s="28">
        <v>17853.92</v>
      </c>
      <c r="D311" s="31">
        <v>-39849.38</v>
      </c>
      <c r="E311" s="31">
        <v>-90547.72</v>
      </c>
    </row>
    <row r="312">
      <c r="A312" s="28">
        <v>42345.05</v>
      </c>
      <c r="B312" s="28">
        <v>-63947.06</v>
      </c>
      <c r="C312" s="28">
        <v>-14254.8</v>
      </c>
      <c r="D312" s="31">
        <v>-19819.79</v>
      </c>
      <c r="E312" s="31">
        <v>-47876.67</v>
      </c>
    </row>
    <row r="313">
      <c r="A313" s="28">
        <v>-82523.85</v>
      </c>
      <c r="B313" s="28">
        <v>76084.91</v>
      </c>
      <c r="C313" s="28">
        <v>-30755.96</v>
      </c>
      <c r="D313" s="31">
        <v>-86674.94</v>
      </c>
      <c r="E313" s="31">
        <v>-35049.04</v>
      </c>
    </row>
    <row r="314">
      <c r="A314" s="28">
        <v>53786.4</v>
      </c>
      <c r="B314" s="28">
        <v>44220.07</v>
      </c>
      <c r="C314" s="28">
        <v>-14458.69</v>
      </c>
      <c r="D314" s="31">
        <v>-55563.93</v>
      </c>
      <c r="E314" s="31">
        <v>-57551.66</v>
      </c>
    </row>
    <row r="315">
      <c r="A315" s="28">
        <v>78139.15</v>
      </c>
      <c r="B315" s="28">
        <v>15600.15</v>
      </c>
      <c r="C315" s="28">
        <v>41682.64</v>
      </c>
      <c r="D315" s="31">
        <v>520.51</v>
      </c>
      <c r="E315" s="31">
        <v>-41385.43</v>
      </c>
    </row>
    <row r="316">
      <c r="A316" s="28">
        <v>38788.26</v>
      </c>
      <c r="B316" s="28">
        <v>7894.15</v>
      </c>
      <c r="C316" s="28">
        <v>90467.22</v>
      </c>
      <c r="D316" s="31">
        <v>-30047.73</v>
      </c>
      <c r="E316" s="31">
        <v>-56622.14</v>
      </c>
    </row>
    <row r="317">
      <c r="A317" s="28">
        <v>77103.98</v>
      </c>
      <c r="B317" s="28">
        <v>64511.03</v>
      </c>
      <c r="C317" s="28">
        <v>-5807.26</v>
      </c>
      <c r="D317" s="31">
        <v>92056.12</v>
      </c>
      <c r="E317" s="31">
        <v>-31951.02</v>
      </c>
    </row>
    <row r="318">
      <c r="A318" s="28">
        <v>-55642.96</v>
      </c>
      <c r="B318" s="28">
        <v>-7429.14</v>
      </c>
      <c r="C318" s="28">
        <v>-14041.09</v>
      </c>
      <c r="D318" s="31">
        <v>60738.62</v>
      </c>
      <c r="E318" s="31">
        <v>-84289.48</v>
      </c>
    </row>
    <row r="319">
      <c r="A319" s="28">
        <v>-5932.79</v>
      </c>
      <c r="B319" s="28">
        <v>-90769.0</v>
      </c>
      <c r="C319" s="28">
        <v>-23318.04</v>
      </c>
      <c r="D319" s="31">
        <v>88844.24</v>
      </c>
      <c r="E319" s="31">
        <v>23053.11</v>
      </c>
    </row>
    <row r="320">
      <c r="A320" s="28">
        <v>51452.23</v>
      </c>
      <c r="B320" s="28">
        <v>32916.17</v>
      </c>
      <c r="C320" s="28">
        <v>-44989.23</v>
      </c>
      <c r="D320" s="31">
        <v>-11498.7</v>
      </c>
      <c r="E320" s="31">
        <v>-38740.35</v>
      </c>
    </row>
    <row r="321">
      <c r="A321" s="28">
        <v>32425.07</v>
      </c>
      <c r="B321" s="28">
        <v>-25858.36</v>
      </c>
      <c r="C321" s="28">
        <v>8598.21</v>
      </c>
      <c r="D321" s="31">
        <v>-93833.01</v>
      </c>
      <c r="E321" s="31">
        <v>96174.27</v>
      </c>
    </row>
    <row r="322">
      <c r="A322" s="28">
        <v>-99400.27</v>
      </c>
      <c r="B322" s="28">
        <v>15282.86</v>
      </c>
      <c r="C322" s="28">
        <v>97343.44</v>
      </c>
      <c r="D322" s="31">
        <v>90159.89</v>
      </c>
      <c r="E322" s="31">
        <v>15141.48</v>
      </c>
    </row>
    <row r="323">
      <c r="A323" s="28">
        <v>-79237.01</v>
      </c>
      <c r="B323" s="28">
        <v>-37170.66</v>
      </c>
      <c r="C323" s="28">
        <v>68288.72</v>
      </c>
      <c r="D323" s="31">
        <v>-65421.41</v>
      </c>
      <c r="E323" s="31">
        <v>-6949.76</v>
      </c>
    </row>
    <row r="324">
      <c r="A324" s="28">
        <v>78796.44</v>
      </c>
      <c r="B324" s="28">
        <v>-84417.48</v>
      </c>
      <c r="C324" s="28">
        <v>50557.62</v>
      </c>
      <c r="D324" s="31">
        <v>71807.26</v>
      </c>
      <c r="E324" s="31">
        <v>61726.57</v>
      </c>
    </row>
    <row r="325">
      <c r="A325" s="28">
        <v>90139.19</v>
      </c>
      <c r="B325" s="28">
        <v>16382.67</v>
      </c>
      <c r="C325" s="28">
        <v>-15887.55</v>
      </c>
      <c r="D325" s="31">
        <v>26721.22</v>
      </c>
      <c r="E325" s="31">
        <v>-20071.5</v>
      </c>
    </row>
    <row r="326">
      <c r="A326" s="28">
        <v>-57341.9</v>
      </c>
      <c r="B326" s="28">
        <v>-60017.58</v>
      </c>
      <c r="C326" s="28">
        <v>19246.98</v>
      </c>
      <c r="D326" s="31">
        <v>93932.51</v>
      </c>
      <c r="E326" s="31">
        <v>70246.65</v>
      </c>
    </row>
    <row r="327">
      <c r="A327" s="28">
        <v>-96062.45</v>
      </c>
      <c r="B327" s="28">
        <v>-70592.24</v>
      </c>
      <c r="C327" s="28">
        <v>94543.74</v>
      </c>
      <c r="D327" s="31">
        <v>-32702.49</v>
      </c>
      <c r="E327" s="31">
        <v>26227.32</v>
      </c>
    </row>
    <row r="328">
      <c r="A328" s="28">
        <v>-4483.24</v>
      </c>
      <c r="B328" s="28">
        <v>-11340.05</v>
      </c>
      <c r="C328" s="28">
        <v>-67087.66</v>
      </c>
      <c r="D328" s="31">
        <v>91585.83</v>
      </c>
      <c r="E328" s="31">
        <v>-41968.43</v>
      </c>
    </row>
    <row r="329">
      <c r="A329" s="28">
        <v>-50578.89</v>
      </c>
      <c r="B329" s="28">
        <v>10681.81</v>
      </c>
      <c r="C329" s="28">
        <v>-87623.72</v>
      </c>
      <c r="D329" s="31">
        <v>31732.42</v>
      </c>
      <c r="E329" s="31">
        <v>69558.53</v>
      </c>
    </row>
    <row r="330">
      <c r="A330" s="28">
        <v>-13630.83</v>
      </c>
      <c r="B330" s="28">
        <v>37392.51</v>
      </c>
      <c r="C330" s="28">
        <v>8918.94</v>
      </c>
      <c r="D330" s="31">
        <v>-790.27</v>
      </c>
      <c r="E330" s="31">
        <v>-87942.77</v>
      </c>
    </row>
    <row r="331">
      <c r="A331" s="28">
        <v>65959.12</v>
      </c>
      <c r="B331" s="28">
        <v>11149.98</v>
      </c>
      <c r="C331" s="28">
        <v>-75855.09</v>
      </c>
      <c r="D331" s="31">
        <v>-61940.42</v>
      </c>
      <c r="E331" s="31">
        <v>46227.82</v>
      </c>
    </row>
    <row r="332">
      <c r="A332" s="28">
        <v>32336.82</v>
      </c>
      <c r="B332" s="28">
        <v>15444.02</v>
      </c>
      <c r="C332" s="28">
        <v>11185.84</v>
      </c>
      <c r="D332" s="31">
        <v>-86782.77</v>
      </c>
      <c r="E332" s="31">
        <v>5223.12</v>
      </c>
    </row>
    <row r="333">
      <c r="A333" s="28">
        <v>28164.79</v>
      </c>
      <c r="B333" s="28">
        <v>-69852.24</v>
      </c>
      <c r="C333" s="28">
        <v>-44598.1</v>
      </c>
      <c r="D333" s="31">
        <v>-16867.84</v>
      </c>
      <c r="E333" s="31">
        <v>-84945.9</v>
      </c>
    </row>
    <row r="334">
      <c r="A334" s="28">
        <v>-75087.93</v>
      </c>
      <c r="B334" s="28">
        <v>25292.1</v>
      </c>
      <c r="C334" s="28">
        <v>93458.7</v>
      </c>
      <c r="D334" s="31">
        <v>-68733.16</v>
      </c>
      <c r="E334" s="31">
        <v>9267.34</v>
      </c>
    </row>
    <row r="335">
      <c r="A335" s="28">
        <v>-3510.15</v>
      </c>
      <c r="B335" s="28">
        <v>-34712.49</v>
      </c>
      <c r="C335" s="28">
        <v>22689.58</v>
      </c>
      <c r="D335" s="31">
        <v>-16332.77</v>
      </c>
      <c r="E335" s="31">
        <v>-30071.42</v>
      </c>
    </row>
    <row r="336">
      <c r="A336" s="28">
        <v>-76836.37</v>
      </c>
      <c r="B336" s="28">
        <v>36461.5</v>
      </c>
      <c r="C336" s="28">
        <v>55245.47</v>
      </c>
      <c r="D336" s="31">
        <v>-31371.68</v>
      </c>
      <c r="E336" s="31">
        <v>-88565.19</v>
      </c>
    </row>
    <row r="337">
      <c r="A337" s="28">
        <v>-55871.18</v>
      </c>
      <c r="B337" s="28">
        <v>-85311.28</v>
      </c>
      <c r="C337" s="28">
        <v>59541.3</v>
      </c>
      <c r="D337" s="31">
        <v>-55046.92</v>
      </c>
      <c r="E337" s="31">
        <v>-49548.8</v>
      </c>
    </row>
    <row r="338">
      <c r="A338" s="28">
        <v>46221.55</v>
      </c>
      <c r="B338" s="28">
        <v>22590.21</v>
      </c>
      <c r="C338" s="28">
        <v>88501.69</v>
      </c>
      <c r="D338" s="31">
        <v>50258.96</v>
      </c>
      <c r="E338" s="31">
        <v>-12584.01</v>
      </c>
    </row>
    <row r="339">
      <c r="A339" s="28">
        <v>-73079.28</v>
      </c>
      <c r="B339" s="28">
        <v>86613.87</v>
      </c>
      <c r="C339" s="28">
        <v>16925.01</v>
      </c>
      <c r="D339" s="31">
        <v>-1409.56</v>
      </c>
      <c r="E339" s="31">
        <v>83271.89</v>
      </c>
    </row>
    <row r="340">
      <c r="A340" s="28">
        <v>23060.78</v>
      </c>
      <c r="B340" s="28">
        <v>31361.3</v>
      </c>
      <c r="C340" s="28">
        <v>43965.29</v>
      </c>
      <c r="D340" s="31">
        <v>10101.62</v>
      </c>
      <c r="E340" s="31">
        <v>-93904.98</v>
      </c>
    </row>
    <row r="341">
      <c r="A341" s="28">
        <v>-33298.33</v>
      </c>
      <c r="B341" s="28">
        <v>86448.27</v>
      </c>
      <c r="C341" s="28">
        <v>44534.5</v>
      </c>
      <c r="D341" s="31">
        <v>-29085.3</v>
      </c>
      <c r="E341" s="31">
        <v>-13887.91</v>
      </c>
    </row>
    <row r="342">
      <c r="A342" s="28">
        <v>79624.92</v>
      </c>
      <c r="B342" s="28">
        <v>85967.75</v>
      </c>
      <c r="C342" s="28">
        <v>-34141.66</v>
      </c>
      <c r="D342" s="31">
        <v>75039.44</v>
      </c>
      <c r="E342" s="31">
        <v>7251.34</v>
      </c>
    </row>
    <row r="343">
      <c r="A343" s="28">
        <v>-79397.23</v>
      </c>
      <c r="B343" s="28">
        <v>90453.94</v>
      </c>
      <c r="C343" s="28">
        <v>-15013.53</v>
      </c>
      <c r="D343" s="31">
        <v>62160.33</v>
      </c>
      <c r="E343" s="31">
        <v>-91574.73</v>
      </c>
    </row>
    <row r="344">
      <c r="A344" s="28">
        <v>-83673.92</v>
      </c>
      <c r="B344" s="28">
        <v>-35704.11</v>
      </c>
      <c r="C344" s="28">
        <v>38067.14</v>
      </c>
      <c r="D344" s="31">
        <v>2665.51</v>
      </c>
      <c r="E344" s="31">
        <v>-7733.59</v>
      </c>
    </row>
    <row r="345">
      <c r="A345" s="28">
        <v>60459.43</v>
      </c>
      <c r="B345" s="28">
        <v>27730.2</v>
      </c>
      <c r="C345" s="28">
        <v>91377.55</v>
      </c>
      <c r="D345" s="31">
        <v>52039.94</v>
      </c>
      <c r="E345" s="31">
        <v>-92840.11</v>
      </c>
    </row>
    <row r="346">
      <c r="A346" s="28">
        <v>-27092.54</v>
      </c>
      <c r="B346" s="28">
        <v>-13006.54</v>
      </c>
      <c r="C346" s="28">
        <v>-34230.87</v>
      </c>
      <c r="D346" s="31">
        <v>-95260.09</v>
      </c>
      <c r="E346" s="31">
        <v>84952.42</v>
      </c>
    </row>
    <row r="347">
      <c r="A347" s="28">
        <v>65667.42</v>
      </c>
      <c r="B347" s="28">
        <v>72404.17</v>
      </c>
      <c r="C347" s="28">
        <v>-85593.91</v>
      </c>
      <c r="D347" s="31">
        <v>-34343.16</v>
      </c>
      <c r="E347" s="31">
        <v>-56112.82</v>
      </c>
    </row>
    <row r="348">
      <c r="A348" s="28">
        <v>36643.21</v>
      </c>
      <c r="B348" s="28">
        <v>95918.76</v>
      </c>
      <c r="C348" s="28">
        <v>-14450.58</v>
      </c>
      <c r="D348" s="31">
        <v>69143.14</v>
      </c>
      <c r="E348" s="31">
        <v>59784.9</v>
      </c>
    </row>
    <row r="349">
      <c r="A349" s="28">
        <v>-71019.34</v>
      </c>
      <c r="B349" s="28">
        <v>-77030.04</v>
      </c>
      <c r="C349" s="28">
        <v>94583.31</v>
      </c>
      <c r="D349" s="31">
        <v>40757.5</v>
      </c>
      <c r="E349" s="31">
        <v>63623.66</v>
      </c>
    </row>
    <row r="350">
      <c r="A350" s="28">
        <v>82630.72</v>
      </c>
      <c r="B350" s="28">
        <v>-89086.04</v>
      </c>
      <c r="C350" s="28">
        <v>-45260.09</v>
      </c>
      <c r="D350" s="31">
        <v>80186.87</v>
      </c>
      <c r="E350" s="31">
        <v>72362.32</v>
      </c>
    </row>
    <row r="351">
      <c r="A351" s="28">
        <v>-25523.03</v>
      </c>
      <c r="B351" s="28">
        <v>44863.28</v>
      </c>
      <c r="C351" s="28">
        <v>15907.24</v>
      </c>
      <c r="D351" s="31">
        <v>19392.97</v>
      </c>
      <c r="E351" s="31">
        <v>-55022.88</v>
      </c>
    </row>
    <row r="352">
      <c r="A352" s="28">
        <v>27013.6</v>
      </c>
      <c r="B352" s="28">
        <v>38602.84</v>
      </c>
      <c r="C352" s="28">
        <v>-37380.31</v>
      </c>
      <c r="D352" s="31">
        <v>9046.01</v>
      </c>
      <c r="E352" s="31">
        <v>-51122.53</v>
      </c>
    </row>
    <row r="353">
      <c r="A353" s="28">
        <v>-7648.19</v>
      </c>
      <c r="B353" s="28">
        <v>99846.37</v>
      </c>
      <c r="C353" s="28">
        <v>-83964.54</v>
      </c>
      <c r="D353" s="31">
        <v>74688.93</v>
      </c>
      <c r="E353" s="31">
        <v>37027.71</v>
      </c>
    </row>
    <row r="354">
      <c r="A354" s="28">
        <v>78766.93</v>
      </c>
      <c r="B354" s="28">
        <v>87177.02</v>
      </c>
      <c r="C354" s="28">
        <v>66209.4</v>
      </c>
      <c r="D354" s="31">
        <v>-54262.44</v>
      </c>
      <c r="E354" s="31">
        <v>-31974.44</v>
      </c>
    </row>
    <row r="355">
      <c r="A355" s="28">
        <v>42636.65</v>
      </c>
      <c r="B355" s="28">
        <v>47993.94</v>
      </c>
      <c r="C355" s="28">
        <v>27100.12</v>
      </c>
      <c r="D355" s="31">
        <v>20217.86</v>
      </c>
      <c r="E355" s="31">
        <v>22794.17</v>
      </c>
    </row>
    <row r="356">
      <c r="A356" s="28">
        <v>10310.49</v>
      </c>
      <c r="B356" s="28">
        <v>-20552.75</v>
      </c>
      <c r="C356" s="28">
        <v>5672.25</v>
      </c>
      <c r="D356" s="31">
        <v>4065.99</v>
      </c>
      <c r="E356" s="31">
        <v>-80743.84</v>
      </c>
    </row>
    <row r="357">
      <c r="A357" s="28">
        <v>-24771.55</v>
      </c>
      <c r="B357" s="28">
        <v>36610.41</v>
      </c>
      <c r="C357" s="28">
        <v>-8433.01</v>
      </c>
      <c r="D357" s="31">
        <v>-46826.0</v>
      </c>
      <c r="E357" s="31">
        <v>-78106.08</v>
      </c>
    </row>
    <row r="358">
      <c r="A358" s="28">
        <v>-36455.63</v>
      </c>
      <c r="B358" s="28">
        <v>-96112.11</v>
      </c>
      <c r="C358" s="28">
        <v>-85684.76</v>
      </c>
      <c r="D358" s="31">
        <v>6939.66</v>
      </c>
      <c r="E358" s="31">
        <v>-92830.46</v>
      </c>
    </row>
    <row r="359">
      <c r="A359" s="28">
        <v>65895.86</v>
      </c>
      <c r="B359" s="28">
        <v>98362.02</v>
      </c>
      <c r="C359" s="28">
        <v>-18340.5</v>
      </c>
      <c r="D359" s="31">
        <v>-25097.06</v>
      </c>
      <c r="E359" s="31">
        <v>21320.54</v>
      </c>
    </row>
    <row r="360">
      <c r="A360" s="28">
        <v>83382.33</v>
      </c>
      <c r="B360" s="28">
        <v>-46782.07</v>
      </c>
      <c r="C360" s="28">
        <v>83231.67</v>
      </c>
      <c r="D360" s="31">
        <v>26519.73</v>
      </c>
      <c r="E360" s="31">
        <v>77471.73</v>
      </c>
    </row>
    <row r="361">
      <c r="A361" s="28">
        <v>17952.98</v>
      </c>
      <c r="B361" s="28">
        <v>40113.29</v>
      </c>
      <c r="C361" s="28">
        <v>-60064.29</v>
      </c>
      <c r="D361" s="31">
        <v>-11794.55</v>
      </c>
      <c r="E361" s="31">
        <v>42460.99</v>
      </c>
    </row>
    <row r="362">
      <c r="A362" s="28">
        <v>60161.98</v>
      </c>
      <c r="B362" s="28">
        <v>99844.44</v>
      </c>
      <c r="C362" s="28">
        <v>22595.56</v>
      </c>
      <c r="D362" s="31">
        <v>89190.77</v>
      </c>
      <c r="E362" s="31">
        <v>-64420.42</v>
      </c>
    </row>
    <row r="363">
      <c r="A363" s="28">
        <v>-11781.68</v>
      </c>
      <c r="B363" s="28">
        <v>24838.72</v>
      </c>
      <c r="C363" s="28">
        <v>4249.6</v>
      </c>
      <c r="D363" s="31">
        <v>-57956.52</v>
      </c>
      <c r="E363" s="31">
        <v>31887.41</v>
      </c>
    </row>
    <row r="364">
      <c r="A364" s="28">
        <v>-35734.14</v>
      </c>
      <c r="B364" s="28">
        <v>47326.92</v>
      </c>
      <c r="C364" s="28">
        <v>-69219.68</v>
      </c>
      <c r="D364" s="31">
        <v>72052.09</v>
      </c>
      <c r="E364" s="31">
        <v>-82612.71</v>
      </c>
    </row>
    <row r="365">
      <c r="A365" s="28">
        <v>-80131.21</v>
      </c>
      <c r="B365" s="28">
        <v>44751.35</v>
      </c>
      <c r="C365" s="28">
        <v>21488.84</v>
      </c>
      <c r="D365" s="31">
        <v>-20650.39</v>
      </c>
      <c r="E365" s="31">
        <v>-91663.61</v>
      </c>
    </row>
    <row r="366">
      <c r="A366" s="28">
        <v>78894.83</v>
      </c>
      <c r="B366" s="28">
        <v>97877.33</v>
      </c>
      <c r="C366" s="28">
        <v>17879.33</v>
      </c>
      <c r="D366" s="31">
        <v>83902.96</v>
      </c>
      <c r="E366" s="31">
        <v>-87993.11</v>
      </c>
    </row>
    <row r="367">
      <c r="A367" s="28">
        <v>11977.54</v>
      </c>
      <c r="B367" s="28">
        <v>88692.0</v>
      </c>
      <c r="C367" s="28">
        <v>23631.9</v>
      </c>
      <c r="D367" s="31">
        <v>25466.82</v>
      </c>
      <c r="E367" s="31">
        <v>-34143.57</v>
      </c>
    </row>
    <row r="368">
      <c r="A368" s="28">
        <v>-46846.63</v>
      </c>
      <c r="B368" s="28">
        <v>94962.66</v>
      </c>
      <c r="C368" s="28">
        <v>-71187.49</v>
      </c>
      <c r="D368" s="31">
        <v>-13932.62</v>
      </c>
      <c r="E368" s="31">
        <v>96048.19</v>
      </c>
    </row>
    <row r="369">
      <c r="A369" s="28">
        <v>5208.34</v>
      </c>
      <c r="B369" s="28">
        <v>-98150.18</v>
      </c>
      <c r="C369" s="28">
        <v>-31524.16</v>
      </c>
      <c r="D369" s="31">
        <v>26637.89</v>
      </c>
      <c r="E369" s="31">
        <v>-95108.79</v>
      </c>
    </row>
    <row r="370">
      <c r="A370" s="28">
        <v>70757.55</v>
      </c>
      <c r="B370" s="28">
        <v>19020.62</v>
      </c>
      <c r="C370" s="28">
        <v>91085.92</v>
      </c>
      <c r="D370" s="31">
        <v>76240.02</v>
      </c>
      <c r="E370" s="31">
        <v>53178.99</v>
      </c>
    </row>
    <row r="371">
      <c r="A371" s="28">
        <v>-1834.04</v>
      </c>
      <c r="B371" s="28">
        <v>-88490.95</v>
      </c>
      <c r="C371" s="28">
        <v>-50917.58</v>
      </c>
      <c r="D371" s="31">
        <v>97889.23</v>
      </c>
      <c r="E371" s="31">
        <v>-42357.81</v>
      </c>
    </row>
    <row r="372">
      <c r="A372" s="28">
        <v>-47903.5</v>
      </c>
      <c r="B372" s="28">
        <v>17840.03</v>
      </c>
      <c r="C372" s="28">
        <v>14950.74</v>
      </c>
      <c r="D372" s="31">
        <v>-10750.62</v>
      </c>
      <c r="E372" s="31">
        <v>-22889.5</v>
      </c>
    </row>
    <row r="373">
      <c r="A373" s="28">
        <v>-91770.81</v>
      </c>
      <c r="B373" s="28">
        <v>-59478.61</v>
      </c>
      <c r="C373" s="28">
        <v>49496.86</v>
      </c>
      <c r="D373" s="31">
        <v>-3416.63</v>
      </c>
      <c r="E373" s="31">
        <v>21573.75</v>
      </c>
    </row>
    <row r="374">
      <c r="A374" s="28">
        <v>29632.12</v>
      </c>
      <c r="B374" s="28">
        <v>-26285.14</v>
      </c>
      <c r="C374" s="28">
        <v>24866.31</v>
      </c>
      <c r="D374" s="31">
        <v>-48965.83</v>
      </c>
      <c r="E374" s="31">
        <v>-71963.77</v>
      </c>
    </row>
    <row r="375">
      <c r="A375" s="28">
        <v>60781.63</v>
      </c>
      <c r="B375" s="28">
        <v>-37455.93</v>
      </c>
      <c r="C375" s="28">
        <v>-71915.21</v>
      </c>
      <c r="D375" s="31">
        <v>-67650.95</v>
      </c>
      <c r="E375" s="31">
        <v>-49457.5</v>
      </c>
    </row>
    <row r="376">
      <c r="A376" s="28">
        <v>-69161.93</v>
      </c>
      <c r="B376" s="28">
        <v>54198.41</v>
      </c>
      <c r="C376" s="28">
        <v>-79032.88</v>
      </c>
      <c r="D376" s="31">
        <v>-8459.65</v>
      </c>
      <c r="E376" s="31">
        <v>51531.95</v>
      </c>
    </row>
    <row r="377">
      <c r="A377" s="28">
        <v>-20265.72</v>
      </c>
      <c r="B377" s="28">
        <v>-42585.67</v>
      </c>
      <c r="C377" s="28">
        <v>-29559.06</v>
      </c>
      <c r="D377" s="31">
        <v>-86981.93</v>
      </c>
      <c r="E377" s="31">
        <v>-60081.25</v>
      </c>
    </row>
    <row r="378">
      <c r="A378" s="28">
        <v>91850.13</v>
      </c>
      <c r="B378" s="28">
        <v>87730.26</v>
      </c>
      <c r="C378" s="28">
        <v>-70855.58</v>
      </c>
      <c r="D378" s="31">
        <v>30958.73</v>
      </c>
      <c r="E378" s="31">
        <v>-93030.23</v>
      </c>
    </row>
    <row r="379">
      <c r="A379" s="28">
        <v>-88651.49</v>
      </c>
      <c r="B379" s="28">
        <v>-39237.51</v>
      </c>
      <c r="C379" s="28">
        <v>75020.68</v>
      </c>
      <c r="D379" s="31">
        <v>-68629.18</v>
      </c>
      <c r="E379" s="31">
        <v>71689.42</v>
      </c>
    </row>
    <row r="380">
      <c r="A380" s="28">
        <v>-21887.41</v>
      </c>
      <c r="B380" s="28">
        <v>45494.69</v>
      </c>
      <c r="C380" s="28">
        <v>66496.19</v>
      </c>
      <c r="D380" s="31">
        <v>93533.42</v>
      </c>
      <c r="E380" s="31">
        <v>-52597.46</v>
      </c>
    </row>
    <row r="381">
      <c r="A381" s="28">
        <v>55091.75</v>
      </c>
      <c r="B381" s="28">
        <v>-87270.84</v>
      </c>
      <c r="C381" s="28">
        <v>93103.1</v>
      </c>
      <c r="D381" s="31">
        <v>-41339.02</v>
      </c>
      <c r="E381" s="31">
        <v>-5597.68</v>
      </c>
    </row>
    <row r="382">
      <c r="A382" s="28">
        <v>-41223.87</v>
      </c>
      <c r="B382" s="28">
        <v>1791.74</v>
      </c>
      <c r="C382" s="28">
        <v>-78356.29</v>
      </c>
      <c r="D382" s="31">
        <v>91765.5</v>
      </c>
      <c r="E382" s="31">
        <v>-66134.3</v>
      </c>
    </row>
    <row r="383">
      <c r="A383" s="28">
        <v>-52524.85</v>
      </c>
      <c r="B383" s="28">
        <v>-65378.05</v>
      </c>
      <c r="C383" s="28">
        <v>-86965.57</v>
      </c>
      <c r="D383" s="31">
        <v>67790.68</v>
      </c>
      <c r="E383" s="31">
        <v>23246.41</v>
      </c>
    </row>
    <row r="384">
      <c r="A384" s="28">
        <v>-73221.33</v>
      </c>
      <c r="B384" s="28">
        <v>72115.27</v>
      </c>
      <c r="C384" s="28">
        <v>-45142.69</v>
      </c>
      <c r="D384" s="31">
        <v>-49977.16</v>
      </c>
      <c r="E384" s="31">
        <v>94547.76</v>
      </c>
    </row>
    <row r="385">
      <c r="A385" s="28">
        <v>-10490.87</v>
      </c>
      <c r="B385" s="28">
        <v>66190.48</v>
      </c>
      <c r="C385" s="28">
        <v>40826.57</v>
      </c>
      <c r="D385" s="31">
        <v>-30772.87</v>
      </c>
      <c r="E385" s="31">
        <v>-94642.48</v>
      </c>
    </row>
    <row r="386">
      <c r="A386" s="28">
        <v>-3410.42</v>
      </c>
      <c r="B386" s="28">
        <v>-55949.02</v>
      </c>
      <c r="C386" s="28">
        <v>40522.63</v>
      </c>
      <c r="D386" s="31">
        <v>-19544.62</v>
      </c>
      <c r="E386" s="31">
        <v>-84450.65</v>
      </c>
    </row>
    <row r="387">
      <c r="A387" s="28">
        <v>-86816.5</v>
      </c>
      <c r="B387" s="28">
        <v>-37060.1</v>
      </c>
      <c r="C387" s="28">
        <v>-63662.56</v>
      </c>
      <c r="D387" s="31">
        <v>4353.2</v>
      </c>
      <c r="E387" s="31">
        <v>-89310.83</v>
      </c>
    </row>
    <row r="388">
      <c r="A388" s="28">
        <v>80992.86</v>
      </c>
      <c r="B388" s="28">
        <v>-93753.29</v>
      </c>
      <c r="C388" s="28">
        <v>-97617.45</v>
      </c>
      <c r="D388" s="31">
        <v>-65514.46</v>
      </c>
      <c r="E388" s="31">
        <v>50093.76</v>
      </c>
    </row>
    <row r="389">
      <c r="A389" s="28">
        <v>51958.93</v>
      </c>
      <c r="B389" s="28">
        <v>10804.39</v>
      </c>
      <c r="C389" s="28">
        <v>-17273.71</v>
      </c>
      <c r="D389" s="31">
        <v>98575.2</v>
      </c>
      <c r="E389" s="31">
        <v>-1835.73</v>
      </c>
    </row>
    <row r="390">
      <c r="A390" s="28">
        <v>5922.51</v>
      </c>
      <c r="B390" s="28">
        <v>-44877.41</v>
      </c>
      <c r="C390" s="28">
        <v>-18975.62</v>
      </c>
      <c r="D390" s="31">
        <v>22665.53</v>
      </c>
      <c r="E390" s="31">
        <v>30858.77</v>
      </c>
    </row>
    <row r="391">
      <c r="A391" s="28">
        <v>-38728.53</v>
      </c>
      <c r="B391" s="28">
        <v>18693.59</v>
      </c>
      <c r="C391" s="28">
        <v>-46428.59</v>
      </c>
      <c r="D391" s="31">
        <v>61493.78</v>
      </c>
      <c r="E391" s="31">
        <v>30899.56</v>
      </c>
    </row>
    <row r="392">
      <c r="A392" s="28">
        <v>53188.79</v>
      </c>
      <c r="B392" s="28">
        <v>-51881.84</v>
      </c>
      <c r="C392" s="28">
        <v>-27871.23</v>
      </c>
      <c r="D392" s="31">
        <v>-53266.26</v>
      </c>
      <c r="E392" s="31">
        <v>43344.68</v>
      </c>
    </row>
    <row r="393">
      <c r="A393" s="28">
        <v>599.91</v>
      </c>
      <c r="B393" s="28">
        <v>-93234.0</v>
      </c>
      <c r="C393" s="28">
        <v>-67308.68</v>
      </c>
      <c r="D393" s="31">
        <v>-38522.73</v>
      </c>
      <c r="E393" s="31">
        <v>89408.7</v>
      </c>
    </row>
    <row r="394">
      <c r="A394" s="28">
        <v>-34492.4</v>
      </c>
      <c r="B394" s="28">
        <v>4242.1</v>
      </c>
      <c r="C394" s="28">
        <v>10130.69</v>
      </c>
      <c r="D394" s="31">
        <v>17098.49</v>
      </c>
      <c r="E394" s="31">
        <v>-55318.42</v>
      </c>
    </row>
    <row r="395">
      <c r="A395" s="28">
        <v>-59110.68</v>
      </c>
      <c r="B395" s="28">
        <v>50359.45</v>
      </c>
      <c r="C395" s="28">
        <v>-17157.46</v>
      </c>
      <c r="D395" s="31">
        <v>-21802.69</v>
      </c>
      <c r="E395" s="31">
        <v>-84709.86</v>
      </c>
    </row>
    <row r="396">
      <c r="A396" s="28">
        <v>64031.88</v>
      </c>
      <c r="B396" s="28">
        <v>67005.62</v>
      </c>
      <c r="C396" s="28">
        <v>64658.35</v>
      </c>
      <c r="D396" s="31">
        <v>-67206.98</v>
      </c>
      <c r="E396" s="31">
        <v>40098.98</v>
      </c>
    </row>
    <row r="397">
      <c r="A397" s="28">
        <v>18097.78</v>
      </c>
      <c r="B397" s="28">
        <v>93358.45</v>
      </c>
      <c r="C397" s="28">
        <v>20811.18</v>
      </c>
      <c r="D397" s="31">
        <v>-30832.49</v>
      </c>
      <c r="E397" s="31">
        <v>-75036.0</v>
      </c>
    </row>
    <row r="398">
      <c r="A398" s="28">
        <v>55037.09</v>
      </c>
      <c r="B398" s="28">
        <v>17073.49</v>
      </c>
      <c r="C398" s="28">
        <v>-82815.16</v>
      </c>
      <c r="D398" s="31">
        <v>29049.57</v>
      </c>
      <c r="E398" s="31">
        <v>47736.74</v>
      </c>
    </row>
    <row r="399">
      <c r="A399" s="28">
        <v>-37646.55</v>
      </c>
      <c r="B399" s="28">
        <v>82836.9</v>
      </c>
      <c r="C399" s="28">
        <v>-44913.89</v>
      </c>
      <c r="D399" s="31">
        <v>64941.42</v>
      </c>
      <c r="E399" s="31">
        <v>17224.98</v>
      </c>
    </row>
    <row r="400">
      <c r="A400" s="28">
        <v>60910.32</v>
      </c>
      <c r="B400" s="28">
        <v>16495.56</v>
      </c>
      <c r="C400" s="28">
        <v>-42817.17</v>
      </c>
      <c r="D400" s="31">
        <v>7049.72</v>
      </c>
      <c r="E400" s="31">
        <v>64070.3</v>
      </c>
    </row>
    <row r="401">
      <c r="A401" s="28">
        <v>-38519.27</v>
      </c>
      <c r="B401" s="28">
        <v>79849.32</v>
      </c>
      <c r="C401" s="28">
        <v>-87439.51</v>
      </c>
      <c r="D401" s="31">
        <v>8987.73</v>
      </c>
      <c r="E401" s="31">
        <v>54630.01</v>
      </c>
    </row>
    <row r="402">
      <c r="A402" s="28">
        <v>20565.83</v>
      </c>
      <c r="B402" s="28">
        <v>71834.74</v>
      </c>
      <c r="C402" s="28">
        <v>27919.67</v>
      </c>
      <c r="D402" s="31">
        <v>8183.72</v>
      </c>
      <c r="E402" s="31">
        <v>-48576.17</v>
      </c>
    </row>
    <row r="403">
      <c r="A403" s="28">
        <v>60976.65</v>
      </c>
      <c r="B403" s="28">
        <v>43356.28</v>
      </c>
      <c r="C403" s="28">
        <v>81543.43</v>
      </c>
      <c r="D403" s="31">
        <v>32992.26</v>
      </c>
      <c r="E403" s="31">
        <v>-78550.42</v>
      </c>
    </row>
    <row r="404">
      <c r="A404" s="28">
        <v>-55686.86</v>
      </c>
      <c r="B404" s="28">
        <v>-35676.34</v>
      </c>
      <c r="C404" s="28">
        <v>-57371.64</v>
      </c>
      <c r="D404" s="31">
        <v>10646.37</v>
      </c>
      <c r="E404" s="31">
        <v>-55273.55</v>
      </c>
    </row>
    <row r="405">
      <c r="A405" s="28">
        <v>64828.54</v>
      </c>
      <c r="B405" s="28">
        <v>-99615.32</v>
      </c>
      <c r="C405" s="28">
        <v>-69163.5</v>
      </c>
      <c r="D405" s="31">
        <v>37848.01</v>
      </c>
      <c r="E405" s="31">
        <v>33216.44</v>
      </c>
    </row>
    <row r="406">
      <c r="A406" s="28">
        <v>-88896.2</v>
      </c>
      <c r="B406" s="28">
        <v>-28081.9</v>
      </c>
      <c r="C406" s="28">
        <v>23209.86</v>
      </c>
      <c r="D406" s="31">
        <v>-65104.98</v>
      </c>
      <c r="E406" s="31">
        <v>73660.16</v>
      </c>
    </row>
    <row r="407">
      <c r="A407" s="28">
        <v>79064.98</v>
      </c>
      <c r="B407" s="28">
        <v>-84398.5</v>
      </c>
      <c r="C407" s="28">
        <v>23449.23</v>
      </c>
      <c r="D407" s="31">
        <v>-67106.75</v>
      </c>
      <c r="E407" s="31">
        <v>-29094.05</v>
      </c>
    </row>
    <row r="408">
      <c r="A408" s="28">
        <v>-9477.43</v>
      </c>
      <c r="B408" s="28">
        <v>62823.47</v>
      </c>
      <c r="C408" s="28">
        <v>-28025.79</v>
      </c>
      <c r="D408" s="31">
        <v>19741.69</v>
      </c>
      <c r="E408" s="31">
        <v>-85002.6</v>
      </c>
    </row>
    <row r="409">
      <c r="A409" s="28">
        <v>-64700.63</v>
      </c>
      <c r="B409" s="28">
        <v>38037.95</v>
      </c>
      <c r="C409" s="28">
        <v>57766.12</v>
      </c>
      <c r="D409" s="31">
        <v>90566.47</v>
      </c>
      <c r="E409" s="31">
        <v>81744.19</v>
      </c>
    </row>
    <row r="410">
      <c r="A410" s="28">
        <v>22604.07</v>
      </c>
      <c r="B410" s="28">
        <v>22854.95</v>
      </c>
      <c r="C410" s="28">
        <v>-60904.64</v>
      </c>
      <c r="D410" s="31">
        <v>-8270.24</v>
      </c>
      <c r="E410" s="31">
        <v>-3600.82</v>
      </c>
    </row>
    <row r="411">
      <c r="A411" s="28">
        <v>-15902.44</v>
      </c>
      <c r="B411" s="28">
        <v>-56984.61</v>
      </c>
      <c r="C411" s="28">
        <v>66979.92</v>
      </c>
      <c r="D411" s="31">
        <v>18144.17</v>
      </c>
      <c r="E411" s="31">
        <v>64280.19</v>
      </c>
    </row>
    <row r="412">
      <c r="A412" s="28">
        <v>-64157.63</v>
      </c>
      <c r="B412" s="28">
        <v>13994.62</v>
      </c>
      <c r="C412" s="28">
        <v>-56922.99</v>
      </c>
      <c r="D412" s="31">
        <v>-70361.97</v>
      </c>
      <c r="E412" s="31">
        <v>-1187.27</v>
      </c>
    </row>
    <row r="413">
      <c r="A413" s="28">
        <v>-59633.37</v>
      </c>
      <c r="B413" s="28">
        <v>-29479.77</v>
      </c>
      <c r="C413" s="28">
        <v>-25613.44</v>
      </c>
      <c r="D413" s="31">
        <v>14011.89</v>
      </c>
      <c r="E413" s="31">
        <v>-64182.73</v>
      </c>
    </row>
    <row r="414">
      <c r="A414" s="28">
        <v>-56070.53</v>
      </c>
      <c r="B414" s="28">
        <v>-33261.26</v>
      </c>
      <c r="C414" s="28">
        <v>13265.68</v>
      </c>
      <c r="D414" s="31">
        <v>-37714.84</v>
      </c>
      <c r="E414" s="31">
        <v>41435.53</v>
      </c>
    </row>
    <row r="415">
      <c r="A415" s="28">
        <v>52591.17</v>
      </c>
      <c r="B415" s="28">
        <v>-45074.9</v>
      </c>
      <c r="C415" s="28">
        <v>-58040.04</v>
      </c>
      <c r="D415" s="31">
        <v>-89882.85</v>
      </c>
      <c r="E415" s="31">
        <v>60169.96</v>
      </c>
    </row>
    <row r="416">
      <c r="A416" s="28">
        <v>-79325.47</v>
      </c>
      <c r="B416" s="28">
        <v>22218.9</v>
      </c>
      <c r="C416" s="28">
        <v>-57784.33</v>
      </c>
      <c r="D416" s="31">
        <v>-71155.39</v>
      </c>
      <c r="E416" s="31">
        <v>-19747.06</v>
      </c>
    </row>
    <row r="417">
      <c r="A417" s="28">
        <v>-4102.98</v>
      </c>
      <c r="B417" s="28">
        <v>-45415.64</v>
      </c>
      <c r="C417" s="28">
        <v>93828.17</v>
      </c>
      <c r="D417" s="31">
        <v>68481.08</v>
      </c>
      <c r="E417" s="31">
        <v>-95670.92</v>
      </c>
    </row>
    <row r="418">
      <c r="A418" s="28">
        <v>20796.14</v>
      </c>
      <c r="B418" s="28">
        <v>39378.79</v>
      </c>
      <c r="C418" s="28">
        <v>-48058.27</v>
      </c>
      <c r="D418" s="31">
        <v>28411.99</v>
      </c>
      <c r="E418" s="31">
        <v>-47902.8</v>
      </c>
    </row>
    <row r="419">
      <c r="A419" s="28">
        <v>66799.48</v>
      </c>
      <c r="B419" s="28">
        <v>55616.61</v>
      </c>
      <c r="C419" s="28">
        <v>-40825.26</v>
      </c>
      <c r="D419" s="31">
        <v>79725.26</v>
      </c>
      <c r="E419" s="31">
        <v>81371.31</v>
      </c>
    </row>
    <row r="420">
      <c r="A420" s="28">
        <v>-63314.93</v>
      </c>
      <c r="B420" s="28">
        <v>-983.91</v>
      </c>
      <c r="C420" s="28">
        <v>78490.05</v>
      </c>
      <c r="D420" s="31">
        <v>-64739.53</v>
      </c>
      <c r="E420" s="31">
        <v>-94177.15</v>
      </c>
    </row>
    <row r="421">
      <c r="A421" s="28">
        <v>-97894.31</v>
      </c>
      <c r="B421" s="28">
        <v>82099.08</v>
      </c>
      <c r="C421" s="28">
        <v>-43438.01</v>
      </c>
      <c r="D421" s="31">
        <v>2910.37</v>
      </c>
      <c r="E421" s="31">
        <v>36807.12</v>
      </c>
    </row>
    <row r="422">
      <c r="A422" s="28">
        <v>-365.14</v>
      </c>
      <c r="B422" s="28">
        <v>75937.35</v>
      </c>
      <c r="C422" s="28">
        <v>54864.76</v>
      </c>
      <c r="D422" s="31">
        <v>27743.95</v>
      </c>
      <c r="E422" s="31">
        <v>-82710.23</v>
      </c>
    </row>
    <row r="423">
      <c r="A423" s="28">
        <v>-99367.41</v>
      </c>
      <c r="B423" s="28">
        <v>-28717.81</v>
      </c>
      <c r="C423" s="28">
        <v>40990.31</v>
      </c>
      <c r="D423" s="31">
        <v>20120.26</v>
      </c>
      <c r="E423" s="31">
        <v>-89694.68</v>
      </c>
    </row>
    <row r="424">
      <c r="A424" s="28">
        <v>81044.01</v>
      </c>
      <c r="B424" s="28">
        <v>-89856.73</v>
      </c>
      <c r="C424" s="28">
        <v>21783.97</v>
      </c>
      <c r="D424" s="31">
        <v>48251.37</v>
      </c>
      <c r="E424" s="31">
        <v>-40235.09</v>
      </c>
    </row>
    <row r="425">
      <c r="A425" s="28">
        <v>86683.28</v>
      </c>
      <c r="B425" s="28">
        <v>161.83</v>
      </c>
      <c r="C425" s="28">
        <v>63289.87</v>
      </c>
      <c r="D425" s="31">
        <v>-69201.16</v>
      </c>
      <c r="E425" s="31">
        <v>31196.4</v>
      </c>
    </row>
    <row r="426">
      <c r="A426" s="28">
        <v>3733.98</v>
      </c>
      <c r="B426" s="28">
        <v>-59449.14</v>
      </c>
      <c r="C426" s="28">
        <v>-83886.8</v>
      </c>
      <c r="D426" s="31">
        <v>19692.13</v>
      </c>
      <c r="E426" s="31">
        <v>11818.63</v>
      </c>
    </row>
    <row r="427">
      <c r="A427" s="28">
        <v>-74654.2</v>
      </c>
      <c r="B427" s="28">
        <v>-15540.83</v>
      </c>
      <c r="C427" s="28">
        <v>-87329.11</v>
      </c>
      <c r="D427" s="31">
        <v>-20610.42</v>
      </c>
      <c r="E427" s="31">
        <v>-76755.96</v>
      </c>
    </row>
    <row r="428">
      <c r="A428" s="28">
        <v>25372.94</v>
      </c>
      <c r="B428" s="28">
        <v>16181.54</v>
      </c>
      <c r="C428" s="28">
        <v>11040.34</v>
      </c>
      <c r="D428" s="31">
        <v>10285.81</v>
      </c>
      <c r="E428" s="31">
        <v>98114.47</v>
      </c>
    </row>
    <row r="429">
      <c r="A429" s="28">
        <v>-97589.87</v>
      </c>
      <c r="B429" s="28">
        <v>-91535.57</v>
      </c>
      <c r="C429" s="28">
        <v>30292.62</v>
      </c>
      <c r="D429" s="31">
        <v>-75123.91</v>
      </c>
      <c r="E429" s="31">
        <v>19082.65</v>
      </c>
    </row>
    <row r="430">
      <c r="A430" s="28">
        <v>-90583.75</v>
      </c>
      <c r="B430" s="28">
        <v>44362.54</v>
      </c>
      <c r="C430" s="28">
        <v>14163.01</v>
      </c>
      <c r="D430" s="31">
        <v>-17611.68</v>
      </c>
      <c r="E430" s="31">
        <v>-99798.28</v>
      </c>
    </row>
    <row r="431">
      <c r="A431" s="28">
        <v>88257.67</v>
      </c>
      <c r="B431" s="28">
        <v>55319.14</v>
      </c>
      <c r="C431" s="28">
        <v>-58819.11</v>
      </c>
      <c r="D431" s="31">
        <v>83125.73</v>
      </c>
      <c r="E431" s="31">
        <v>75427.42</v>
      </c>
    </row>
    <row r="432">
      <c r="A432" s="28">
        <v>59920.19</v>
      </c>
      <c r="B432" s="28">
        <v>96121.17</v>
      </c>
      <c r="C432" s="28">
        <v>71917.88</v>
      </c>
      <c r="D432" s="31">
        <v>-69679.47</v>
      </c>
      <c r="E432" s="31">
        <v>21747.87</v>
      </c>
    </row>
    <row r="433">
      <c r="A433" s="28">
        <v>82269.78</v>
      </c>
      <c r="B433" s="28">
        <v>-82533.07</v>
      </c>
      <c r="C433" s="28">
        <v>-18610.83</v>
      </c>
      <c r="D433" s="31">
        <v>26323.66</v>
      </c>
      <c r="E433" s="31">
        <v>-75437.88</v>
      </c>
    </row>
    <row r="434">
      <c r="A434" s="28">
        <v>-83289.81</v>
      </c>
      <c r="B434" s="28">
        <v>-19224.07</v>
      </c>
      <c r="C434" s="28">
        <v>-22348.54</v>
      </c>
      <c r="D434" s="31">
        <v>34787.47</v>
      </c>
      <c r="E434" s="31">
        <v>-47817.92</v>
      </c>
    </row>
    <row r="435">
      <c r="A435" s="28">
        <v>94380.87</v>
      </c>
      <c r="B435" s="28">
        <v>-64525.79</v>
      </c>
      <c r="C435" s="28">
        <v>81107.57</v>
      </c>
      <c r="D435" s="31">
        <v>28603.99</v>
      </c>
      <c r="E435" s="31">
        <v>92158.05</v>
      </c>
    </row>
    <row r="436">
      <c r="A436" s="28">
        <v>-2976.5</v>
      </c>
      <c r="B436" s="28">
        <v>-90840.82</v>
      </c>
      <c r="C436" s="28">
        <v>-46072.39</v>
      </c>
      <c r="D436" s="31">
        <v>-52136.52</v>
      </c>
      <c r="E436" s="31">
        <v>-72077.64</v>
      </c>
    </row>
    <row r="437">
      <c r="A437" s="28">
        <v>80050.59</v>
      </c>
      <c r="B437" s="28">
        <v>11252.33</v>
      </c>
      <c r="C437" s="28">
        <v>-54288.69</v>
      </c>
      <c r="D437" s="31">
        <v>-72431.55</v>
      </c>
      <c r="E437" s="31">
        <v>-67297.97</v>
      </c>
    </row>
    <row r="438">
      <c r="A438" s="28">
        <v>66673.68</v>
      </c>
      <c r="B438" s="28">
        <v>72448.36</v>
      </c>
      <c r="C438" s="28">
        <v>-40939.83</v>
      </c>
      <c r="D438" s="31">
        <v>27591.23</v>
      </c>
      <c r="E438" s="31">
        <v>42577.14</v>
      </c>
    </row>
    <row r="439">
      <c r="A439" s="28">
        <v>96434.79</v>
      </c>
      <c r="B439" s="28">
        <v>27022.2</v>
      </c>
      <c r="C439" s="28">
        <v>-87039.07</v>
      </c>
      <c r="D439" s="31">
        <v>41439.14</v>
      </c>
      <c r="E439" s="31">
        <v>26783.84</v>
      </c>
    </row>
    <row r="440">
      <c r="A440" s="28">
        <v>62176.47</v>
      </c>
      <c r="B440" s="28">
        <v>39509.48</v>
      </c>
      <c r="C440" s="28">
        <v>-58209.28</v>
      </c>
      <c r="D440" s="31">
        <v>-70094.02</v>
      </c>
      <c r="E440" s="31">
        <v>-2666.0</v>
      </c>
    </row>
    <row r="441">
      <c r="A441" s="28">
        <v>62422.7</v>
      </c>
      <c r="B441" s="28">
        <v>87750.3</v>
      </c>
      <c r="C441" s="28">
        <v>-71460.29</v>
      </c>
      <c r="D441" s="31">
        <v>113.0</v>
      </c>
      <c r="E441" s="31">
        <v>-46426.75</v>
      </c>
    </row>
    <row r="442">
      <c r="A442" s="28">
        <v>9437.35</v>
      </c>
      <c r="B442" s="28">
        <v>44226.49</v>
      </c>
      <c r="C442" s="28">
        <v>-62813.05</v>
      </c>
      <c r="D442" s="31">
        <v>51572.12</v>
      </c>
      <c r="E442" s="31">
        <v>94401.75</v>
      </c>
    </row>
    <row r="443">
      <c r="A443" s="28">
        <v>-66878.77</v>
      </c>
      <c r="B443" s="28">
        <v>-49210.11</v>
      </c>
      <c r="C443" s="28">
        <v>99166.39</v>
      </c>
      <c r="D443" s="31">
        <v>-80546.92</v>
      </c>
      <c r="E443" s="31">
        <v>-84001.74</v>
      </c>
    </row>
    <row r="444">
      <c r="A444" s="28">
        <v>-91800.09</v>
      </c>
      <c r="B444" s="28">
        <v>-78432.18</v>
      </c>
      <c r="C444" s="28">
        <v>-46034.58</v>
      </c>
      <c r="D444" s="31">
        <v>-1500.8</v>
      </c>
      <c r="E444" s="31">
        <v>-53173.05</v>
      </c>
    </row>
    <row r="445">
      <c r="A445" s="28">
        <v>3339.06</v>
      </c>
      <c r="B445" s="28">
        <v>-23954.02</v>
      </c>
      <c r="C445" s="28">
        <v>56005.18</v>
      </c>
      <c r="D445" s="31">
        <v>6446.79</v>
      </c>
      <c r="E445" s="31">
        <v>-75427.69</v>
      </c>
    </row>
    <row r="446">
      <c r="A446" s="28">
        <v>6987.71</v>
      </c>
      <c r="B446" s="28">
        <v>-36462.78</v>
      </c>
      <c r="C446" s="28">
        <v>26752.83</v>
      </c>
      <c r="D446" s="31">
        <v>-14418.48</v>
      </c>
      <c r="E446" s="31">
        <v>46005.21</v>
      </c>
    </row>
    <row r="447">
      <c r="A447" s="28">
        <v>-76927.73</v>
      </c>
      <c r="B447" s="28">
        <v>-89775.04</v>
      </c>
      <c r="C447" s="28">
        <v>27092.66</v>
      </c>
      <c r="D447" s="31">
        <v>26938.93</v>
      </c>
      <c r="E447" s="31">
        <v>-73197.65</v>
      </c>
    </row>
    <row r="448">
      <c r="A448" s="28">
        <v>8060.91</v>
      </c>
      <c r="B448" s="28">
        <v>33843.56</v>
      </c>
      <c r="C448" s="28">
        <v>-98370.49</v>
      </c>
      <c r="D448" s="31">
        <v>89658.4</v>
      </c>
      <c r="E448" s="31">
        <v>90722.5</v>
      </c>
    </row>
    <row r="449">
      <c r="A449" s="28">
        <v>-60517.89</v>
      </c>
      <c r="B449" s="28">
        <v>-8641.81</v>
      </c>
      <c r="C449" s="28">
        <v>63373.77</v>
      </c>
      <c r="D449" s="31">
        <v>-14255.14</v>
      </c>
      <c r="E449" s="31">
        <v>91392.14</v>
      </c>
    </row>
    <row r="450">
      <c r="A450" s="28">
        <v>-82923.25</v>
      </c>
      <c r="B450" s="28">
        <v>557.79</v>
      </c>
      <c r="C450" s="28">
        <v>80672.76</v>
      </c>
      <c r="D450" s="31">
        <v>25575.76</v>
      </c>
      <c r="E450" s="31">
        <v>89187.54</v>
      </c>
    </row>
    <row r="451">
      <c r="A451" s="28">
        <v>1406.33</v>
      </c>
      <c r="B451" s="28">
        <v>-90814.5</v>
      </c>
      <c r="C451" s="28">
        <v>-8675.57</v>
      </c>
      <c r="D451" s="31">
        <v>-72718.97</v>
      </c>
      <c r="E451" s="31">
        <v>42016.19</v>
      </c>
    </row>
    <row r="452">
      <c r="A452" s="28">
        <v>63402.75</v>
      </c>
      <c r="B452" s="28">
        <v>78693.12</v>
      </c>
      <c r="C452" s="28">
        <v>-46268.74</v>
      </c>
      <c r="D452" s="31">
        <v>-89513.49</v>
      </c>
      <c r="E452" s="31">
        <v>1986.93</v>
      </c>
    </row>
    <row r="453">
      <c r="A453" s="28">
        <v>35132.98</v>
      </c>
      <c r="B453" s="28">
        <v>-85491.95</v>
      </c>
      <c r="C453" s="28">
        <v>-94167.2</v>
      </c>
      <c r="D453" s="31">
        <v>-9307.89</v>
      </c>
      <c r="E453" s="31">
        <v>-16209.25</v>
      </c>
    </row>
    <row r="454">
      <c r="A454" s="28">
        <v>-26748.23</v>
      </c>
      <c r="B454" s="28">
        <v>-68665.77</v>
      </c>
      <c r="C454" s="28">
        <v>54567.52</v>
      </c>
      <c r="D454" s="31">
        <v>-72777.85</v>
      </c>
      <c r="E454" s="31">
        <v>-44875.07</v>
      </c>
    </row>
    <row r="455">
      <c r="A455" s="28">
        <v>60665.22</v>
      </c>
      <c r="B455" s="28">
        <v>72155.41</v>
      </c>
      <c r="C455" s="28">
        <v>69248.37</v>
      </c>
      <c r="D455" s="31">
        <v>90294.41</v>
      </c>
      <c r="E455" s="31">
        <v>-90953.5</v>
      </c>
    </row>
    <row r="456">
      <c r="A456" s="28">
        <v>-5414.8</v>
      </c>
      <c r="B456" s="28">
        <v>-40773.94</v>
      </c>
      <c r="C456" s="28">
        <v>-70436.71</v>
      </c>
      <c r="D456" s="31">
        <v>-35486.27</v>
      </c>
      <c r="E456" s="31">
        <v>7654.13</v>
      </c>
    </row>
    <row r="457">
      <c r="A457" s="28">
        <v>-99878.9</v>
      </c>
      <c r="B457" s="28">
        <v>-67624.09</v>
      </c>
      <c r="C457" s="28">
        <v>46585.12</v>
      </c>
      <c r="D457" s="31">
        <v>-67561.02</v>
      </c>
      <c r="E457" s="31">
        <v>-77257.9</v>
      </c>
    </row>
    <row r="458">
      <c r="A458" s="28">
        <v>34179.25</v>
      </c>
      <c r="B458" s="28">
        <v>-4927.57</v>
      </c>
      <c r="C458" s="28">
        <v>73063.32</v>
      </c>
      <c r="D458" s="31">
        <v>77576.68</v>
      </c>
      <c r="E458" s="31">
        <v>86367.39</v>
      </c>
    </row>
    <row r="459">
      <c r="A459" s="28">
        <v>92369.53</v>
      </c>
      <c r="B459" s="28">
        <v>-22327.9</v>
      </c>
      <c r="C459" s="28">
        <v>-42057.76</v>
      </c>
      <c r="D459" s="31">
        <v>4583.07</v>
      </c>
      <c r="E459" s="31">
        <v>-14125.66</v>
      </c>
    </row>
    <row r="460">
      <c r="A460" s="28">
        <v>-10384.07</v>
      </c>
      <c r="B460" s="28">
        <v>-16853.32</v>
      </c>
      <c r="C460" s="28">
        <v>-20805.74</v>
      </c>
      <c r="D460" s="31">
        <v>42684.24</v>
      </c>
      <c r="E460" s="31">
        <v>58301.3</v>
      </c>
    </row>
    <row r="461">
      <c r="A461" s="28">
        <v>98482.79</v>
      </c>
      <c r="B461" s="28">
        <v>18193.33</v>
      </c>
      <c r="C461" s="28">
        <v>92266.6</v>
      </c>
      <c r="D461" s="31">
        <v>-94404.99</v>
      </c>
      <c r="E461" s="31">
        <v>-20329.83</v>
      </c>
    </row>
    <row r="462">
      <c r="A462" s="28">
        <v>22769.51</v>
      </c>
      <c r="B462" s="28">
        <v>84975.59</v>
      </c>
      <c r="C462" s="28">
        <v>-78137.36</v>
      </c>
      <c r="D462" s="31">
        <v>-77835.01</v>
      </c>
      <c r="E462" s="31">
        <v>50267.31</v>
      </c>
    </row>
    <row r="463">
      <c r="A463" s="28">
        <v>34569.8</v>
      </c>
      <c r="B463" s="28">
        <v>94278.85</v>
      </c>
      <c r="C463" s="28">
        <v>57608.98</v>
      </c>
      <c r="D463" s="31">
        <v>-28633.77</v>
      </c>
      <c r="E463" s="31">
        <v>-93679.19</v>
      </c>
    </row>
    <row r="464">
      <c r="A464" s="28">
        <v>91698.73</v>
      </c>
      <c r="B464" s="28">
        <v>18129.42</v>
      </c>
      <c r="C464" s="28">
        <v>-70613.07</v>
      </c>
      <c r="D464" s="31">
        <v>-88546.25</v>
      </c>
      <c r="E464" s="31">
        <v>-83881.84</v>
      </c>
    </row>
    <row r="465">
      <c r="A465" s="28">
        <v>47958.89</v>
      </c>
      <c r="B465" s="28">
        <v>44904.21</v>
      </c>
      <c r="C465" s="28">
        <v>-59166.3</v>
      </c>
      <c r="D465" s="31">
        <v>-54160.59</v>
      </c>
      <c r="E465" s="31">
        <v>-45809.13</v>
      </c>
    </row>
    <row r="466">
      <c r="A466" s="28">
        <v>-97967.77</v>
      </c>
      <c r="B466" s="28">
        <v>24270.34</v>
      </c>
      <c r="C466" s="28">
        <v>4038.02</v>
      </c>
      <c r="D466" s="31">
        <v>-57764.82</v>
      </c>
      <c r="E466" s="31">
        <v>36873.12</v>
      </c>
    </row>
    <row r="467">
      <c r="A467" s="28">
        <v>-98081.3</v>
      </c>
      <c r="B467" s="28">
        <v>-76748.98</v>
      </c>
      <c r="C467" s="28">
        <v>29189.41</v>
      </c>
      <c r="D467" s="31">
        <v>-54938.37</v>
      </c>
      <c r="E467" s="31">
        <v>-22672.51</v>
      </c>
    </row>
    <row r="468">
      <c r="A468" s="28">
        <v>54070.01</v>
      </c>
      <c r="B468" s="28">
        <v>-7555.22</v>
      </c>
      <c r="C468" s="28">
        <v>-9946.42</v>
      </c>
      <c r="D468" s="31">
        <v>59210.11</v>
      </c>
      <c r="E468" s="31">
        <v>-30179.77</v>
      </c>
    </row>
    <row r="469">
      <c r="A469" s="28">
        <v>61268.21</v>
      </c>
      <c r="B469" s="28">
        <v>-53547.91</v>
      </c>
      <c r="C469" s="28">
        <v>81821.27</v>
      </c>
      <c r="D469" s="31">
        <v>-75869.38</v>
      </c>
      <c r="E469" s="31">
        <v>9999.2</v>
      </c>
    </row>
    <row r="470">
      <c r="A470" s="28">
        <v>-83922.57</v>
      </c>
      <c r="B470" s="28">
        <v>-75817.05</v>
      </c>
      <c r="C470" s="28">
        <v>46052.46</v>
      </c>
      <c r="D470" s="31">
        <v>20860.39</v>
      </c>
      <c r="E470" s="31">
        <v>-5569.81</v>
      </c>
    </row>
    <row r="471">
      <c r="A471" s="28">
        <v>-33508.38</v>
      </c>
      <c r="B471" s="28">
        <v>56771.48</v>
      </c>
      <c r="C471" s="28">
        <v>-75205.89</v>
      </c>
      <c r="D471" s="31">
        <v>29317.85</v>
      </c>
      <c r="E471" s="31">
        <v>92469.22</v>
      </c>
    </row>
    <row r="472">
      <c r="A472" s="28">
        <v>-88818.41</v>
      </c>
      <c r="B472" s="28">
        <v>-86435.01</v>
      </c>
      <c r="C472" s="28">
        <v>-25094.01</v>
      </c>
      <c r="D472" s="31">
        <v>-78885.14</v>
      </c>
      <c r="E472" s="31">
        <v>48948.16</v>
      </c>
    </row>
    <row r="473">
      <c r="A473" s="28">
        <v>-21811.46</v>
      </c>
      <c r="B473" s="28">
        <v>6420.85</v>
      </c>
      <c r="C473" s="28">
        <v>85783.71</v>
      </c>
      <c r="D473" s="31">
        <v>-38608.47</v>
      </c>
      <c r="E473" s="31">
        <v>-42718.5</v>
      </c>
    </row>
    <row r="474">
      <c r="A474" s="28">
        <v>-85777.02</v>
      </c>
      <c r="B474" s="28">
        <v>50654.82</v>
      </c>
      <c r="C474" s="28">
        <v>18628.41</v>
      </c>
      <c r="D474" s="31">
        <v>79837.23</v>
      </c>
      <c r="E474" s="31">
        <v>-30631.5</v>
      </c>
    </row>
    <row r="475">
      <c r="A475" s="28">
        <v>-88234.62</v>
      </c>
      <c r="B475" s="28">
        <v>76068.34</v>
      </c>
      <c r="C475" s="28">
        <v>17691.2</v>
      </c>
      <c r="D475" s="31">
        <v>2886.31</v>
      </c>
      <c r="E475" s="31">
        <v>13433.45</v>
      </c>
    </row>
    <row r="476">
      <c r="A476" s="28">
        <v>19168.35</v>
      </c>
      <c r="B476" s="28">
        <v>67170.26</v>
      </c>
      <c r="C476" s="28">
        <v>24246.8</v>
      </c>
      <c r="D476" s="31">
        <v>141.79</v>
      </c>
      <c r="E476" s="31">
        <v>-68630.9</v>
      </c>
    </row>
    <row r="477">
      <c r="A477" s="28">
        <v>-3906.91</v>
      </c>
      <c r="B477" s="28">
        <v>-27306.61</v>
      </c>
      <c r="C477" s="28">
        <v>-82617.16</v>
      </c>
      <c r="D477" s="31">
        <v>1098.88</v>
      </c>
      <c r="E477" s="31">
        <v>49747.67</v>
      </c>
    </row>
    <row r="478">
      <c r="A478" s="28">
        <v>-2546.08</v>
      </c>
      <c r="B478" s="28">
        <v>-98547.56</v>
      </c>
      <c r="C478" s="28">
        <v>23014.19</v>
      </c>
      <c r="D478" s="31">
        <v>19110.47</v>
      </c>
      <c r="E478" s="31">
        <v>-13493.9</v>
      </c>
    </row>
    <row r="479">
      <c r="A479" s="28">
        <v>98267.8</v>
      </c>
      <c r="B479" s="28">
        <v>87610.38</v>
      </c>
      <c r="C479" s="28">
        <v>-69828.71</v>
      </c>
      <c r="D479" s="31">
        <v>-33031.84</v>
      </c>
      <c r="E479" s="31">
        <v>10976.05</v>
      </c>
    </row>
    <row r="480">
      <c r="A480" s="28">
        <v>-98469.31</v>
      </c>
      <c r="B480" s="28">
        <v>-43153.42</v>
      </c>
      <c r="C480" s="28">
        <v>-2089.81</v>
      </c>
      <c r="D480" s="31">
        <v>-30032.37</v>
      </c>
      <c r="E480" s="31">
        <v>-70193.71</v>
      </c>
    </row>
    <row r="481">
      <c r="A481" s="28">
        <v>62232.1</v>
      </c>
      <c r="B481" s="28">
        <v>41175.95</v>
      </c>
      <c r="C481" s="28">
        <v>-19520.79</v>
      </c>
      <c r="D481" s="31">
        <v>14386.1</v>
      </c>
      <c r="E481" s="31">
        <v>98622.12</v>
      </c>
    </row>
    <row r="482">
      <c r="A482" s="28">
        <v>92072.52</v>
      </c>
      <c r="B482" s="28">
        <v>-19695.67</v>
      </c>
      <c r="C482" s="28">
        <v>7390.5</v>
      </c>
      <c r="D482" s="31">
        <v>-84961.01</v>
      </c>
      <c r="E482" s="31">
        <v>69397.51</v>
      </c>
    </row>
    <row r="483">
      <c r="A483" s="28">
        <v>60778.46</v>
      </c>
      <c r="B483" s="28">
        <v>-17662.86</v>
      </c>
      <c r="C483" s="28">
        <v>-2473.41</v>
      </c>
      <c r="D483" s="31">
        <v>63024.58</v>
      </c>
      <c r="E483" s="31">
        <v>4368.18</v>
      </c>
    </row>
    <row r="484">
      <c r="A484" s="28">
        <v>-57255.19</v>
      </c>
      <c r="B484" s="28">
        <v>-68393.72</v>
      </c>
      <c r="C484" s="28">
        <v>55689.6</v>
      </c>
      <c r="D484" s="31">
        <v>-41023.7</v>
      </c>
      <c r="E484" s="31">
        <v>3508.52</v>
      </c>
    </row>
    <row r="485">
      <c r="A485" s="28">
        <v>-747.51</v>
      </c>
      <c r="B485" s="28">
        <v>85385.02</v>
      </c>
      <c r="C485" s="28">
        <v>-71600.64</v>
      </c>
      <c r="D485" s="31">
        <v>40047.13</v>
      </c>
      <c r="E485" s="31">
        <v>-77812.84</v>
      </c>
    </row>
    <row r="486">
      <c r="A486" s="28">
        <v>-80021.95</v>
      </c>
      <c r="B486" s="28">
        <v>37607.05</v>
      </c>
      <c r="C486" s="28">
        <v>-74836.07</v>
      </c>
      <c r="D486" s="31">
        <v>55811.84</v>
      </c>
      <c r="E486" s="31">
        <v>-34118.0</v>
      </c>
    </row>
    <row r="487">
      <c r="A487" s="28">
        <v>-20360.75</v>
      </c>
      <c r="B487" s="28">
        <v>-30796.71</v>
      </c>
      <c r="C487" s="28">
        <v>43040.15</v>
      </c>
      <c r="D487" s="31">
        <v>-1222.69</v>
      </c>
      <c r="E487" s="31">
        <v>72910.05</v>
      </c>
    </row>
    <row r="488">
      <c r="A488" s="28">
        <v>-68321.88</v>
      </c>
      <c r="B488" s="28">
        <v>-37369.26</v>
      </c>
      <c r="C488" s="28">
        <v>74016.85</v>
      </c>
      <c r="D488" s="31">
        <v>-28383.0</v>
      </c>
      <c r="E488" s="31">
        <v>-21532.2</v>
      </c>
    </row>
    <row r="489">
      <c r="A489" s="28">
        <v>3144.21</v>
      </c>
      <c r="B489" s="28">
        <v>98351.58</v>
      </c>
      <c r="C489" s="28">
        <v>74199.22</v>
      </c>
      <c r="D489" s="31">
        <v>9685.51</v>
      </c>
      <c r="E489" s="31">
        <v>-90998.06</v>
      </c>
    </row>
    <row r="490">
      <c r="A490" s="28">
        <v>36705.15</v>
      </c>
      <c r="B490" s="28">
        <v>70651.18</v>
      </c>
      <c r="C490" s="28">
        <v>15736.59</v>
      </c>
      <c r="D490" s="31">
        <v>24773.68</v>
      </c>
      <c r="E490" s="31">
        <v>-40572.06</v>
      </c>
    </row>
    <row r="491">
      <c r="A491" s="28">
        <v>90047.52</v>
      </c>
      <c r="B491" s="28">
        <v>-1884.06</v>
      </c>
      <c r="C491" s="28">
        <v>21751.0</v>
      </c>
      <c r="D491" s="31">
        <v>-93750.37</v>
      </c>
      <c r="E491" s="31">
        <v>-78148.6</v>
      </c>
    </row>
    <row r="492">
      <c r="A492" s="28">
        <v>-82610.59</v>
      </c>
      <c r="B492" s="28">
        <v>16966.52</v>
      </c>
      <c r="C492" s="28">
        <v>43405.71</v>
      </c>
      <c r="D492" s="31">
        <v>-41102.0</v>
      </c>
      <c r="E492" s="31">
        <v>-44349.45</v>
      </c>
    </row>
    <row r="493">
      <c r="A493" s="28">
        <v>-92195.73</v>
      </c>
      <c r="B493" s="28">
        <v>11451.51</v>
      </c>
      <c r="C493" s="28">
        <v>18039.85</v>
      </c>
      <c r="D493" s="31">
        <v>-44252.05</v>
      </c>
      <c r="E493" s="31">
        <v>29953.08</v>
      </c>
    </row>
    <row r="494">
      <c r="A494" s="28">
        <v>-18992.79</v>
      </c>
      <c r="B494" s="28">
        <v>-37488.16</v>
      </c>
      <c r="C494" s="28">
        <v>35468.63</v>
      </c>
      <c r="D494" s="31">
        <v>-41036.55</v>
      </c>
      <c r="E494" s="31">
        <v>-89589.74</v>
      </c>
    </row>
    <row r="495">
      <c r="A495" s="28">
        <v>-59078.87</v>
      </c>
      <c r="B495" s="28">
        <v>-61557.34</v>
      </c>
      <c r="C495" s="28">
        <v>75459.13</v>
      </c>
      <c r="D495" s="31">
        <v>96623.6</v>
      </c>
      <c r="E495" s="31">
        <v>58377.82</v>
      </c>
    </row>
    <row r="496">
      <c r="A496" s="28">
        <v>-17540.74</v>
      </c>
      <c r="B496" s="28">
        <v>27763.43</v>
      </c>
      <c r="C496" s="28">
        <v>39204.02</v>
      </c>
      <c r="D496" s="31">
        <v>22305.71</v>
      </c>
      <c r="E496" s="31">
        <v>75624.37</v>
      </c>
    </row>
    <row r="497">
      <c r="A497" s="28">
        <v>-83089.99</v>
      </c>
      <c r="B497" s="28">
        <v>-50850.04</v>
      </c>
      <c r="C497" s="28">
        <v>-91969.51</v>
      </c>
      <c r="D497" s="31">
        <v>-51969.97</v>
      </c>
      <c r="E497" s="31">
        <v>-65750.65</v>
      </c>
    </row>
    <row r="498">
      <c r="A498" s="28">
        <v>22909.27</v>
      </c>
      <c r="B498" s="28">
        <v>9695.16</v>
      </c>
      <c r="C498" s="28">
        <v>-34786.52</v>
      </c>
      <c r="D498" s="31">
        <v>91967.55</v>
      </c>
      <c r="E498" s="31">
        <v>-37775.65</v>
      </c>
    </row>
    <row r="499">
      <c r="A499" s="28">
        <v>57012.63</v>
      </c>
      <c r="B499" s="28">
        <v>52104.86</v>
      </c>
      <c r="C499" s="28">
        <v>15988.54</v>
      </c>
      <c r="D499" s="31">
        <v>11339.34</v>
      </c>
      <c r="E499" s="31">
        <v>-54897.12</v>
      </c>
    </row>
    <row r="500">
      <c r="A500" s="28">
        <v>26092.39</v>
      </c>
      <c r="B500" s="28">
        <v>-66329.08</v>
      </c>
      <c r="C500" s="28">
        <v>50943.82</v>
      </c>
      <c r="D500" s="31">
        <v>33195.6</v>
      </c>
      <c r="E500" s="31">
        <v>-89370.4</v>
      </c>
    </row>
    <row r="501">
      <c r="A501" s="28">
        <v>97421.09</v>
      </c>
      <c r="B501" s="28">
        <v>44014.62</v>
      </c>
      <c r="C501" s="28">
        <v>40284.51</v>
      </c>
      <c r="D501" s="31">
        <v>-27340.22</v>
      </c>
      <c r="E501" s="31">
        <v>2504.17</v>
      </c>
    </row>
    <row r="502">
      <c r="A502" s="28">
        <v>-46668.31</v>
      </c>
      <c r="B502" s="28">
        <v>55544.94</v>
      </c>
      <c r="C502" s="28">
        <v>-93861.48</v>
      </c>
      <c r="D502" s="31">
        <v>60217.79</v>
      </c>
      <c r="E502" s="31">
        <v>-50769.62</v>
      </c>
    </row>
    <row r="503">
      <c r="A503" s="28">
        <v>-44707.25</v>
      </c>
      <c r="B503" s="28">
        <v>-61900.68</v>
      </c>
      <c r="C503" s="28">
        <v>-50039.22</v>
      </c>
      <c r="D503" s="31">
        <v>-15708.0</v>
      </c>
      <c r="E503" s="31">
        <v>-699.89</v>
      </c>
    </row>
    <row r="504">
      <c r="A504" s="28">
        <v>-78036.73</v>
      </c>
      <c r="B504" s="28">
        <v>3346.34</v>
      </c>
      <c r="C504" s="28">
        <v>21967.94</v>
      </c>
      <c r="D504" s="31">
        <v>42152.18</v>
      </c>
      <c r="E504" s="31">
        <v>-47290.38</v>
      </c>
    </row>
    <row r="505">
      <c r="A505" s="28">
        <v>-74479.54</v>
      </c>
      <c r="B505" s="28">
        <v>95223.87</v>
      </c>
      <c r="C505" s="28">
        <v>16961.51</v>
      </c>
      <c r="D505" s="31">
        <v>22303.09</v>
      </c>
      <c r="E505" s="31">
        <v>-61110.34</v>
      </c>
    </row>
    <row r="506">
      <c r="A506" s="28">
        <v>54085.69</v>
      </c>
      <c r="B506" s="28">
        <v>88492.86</v>
      </c>
      <c r="C506" s="28">
        <v>-20487.54</v>
      </c>
      <c r="D506" s="31">
        <v>87302.88</v>
      </c>
      <c r="E506" s="31">
        <v>85908.37</v>
      </c>
    </row>
    <row r="507">
      <c r="A507" s="28">
        <v>88175.32</v>
      </c>
      <c r="B507" s="28">
        <v>5100.62</v>
      </c>
      <c r="C507" s="28">
        <v>63609.33</v>
      </c>
      <c r="D507" s="31">
        <v>97530.82</v>
      </c>
      <c r="E507" s="31">
        <v>17548.11</v>
      </c>
    </row>
    <row r="508">
      <c r="A508" s="28">
        <v>-46544.16</v>
      </c>
      <c r="B508" s="28">
        <v>-93173.21</v>
      </c>
      <c r="C508" s="28">
        <v>24482.93</v>
      </c>
      <c r="D508" s="31">
        <v>47458.37</v>
      </c>
      <c r="E508" s="31">
        <v>-93909.13</v>
      </c>
    </row>
    <row r="509">
      <c r="A509" s="28">
        <v>-92889.48</v>
      </c>
      <c r="B509" s="28">
        <v>-22554.05</v>
      </c>
      <c r="C509" s="28">
        <v>-32846.04</v>
      </c>
      <c r="D509" s="31">
        <v>-64321.56</v>
      </c>
      <c r="E509" s="31">
        <v>-93140.52</v>
      </c>
    </row>
    <row r="510">
      <c r="A510" s="28">
        <v>41529.12</v>
      </c>
      <c r="B510" s="28">
        <v>-51578.06</v>
      </c>
      <c r="C510" s="28">
        <v>52846.64</v>
      </c>
      <c r="D510" s="31">
        <v>92182.77</v>
      </c>
      <c r="E510" s="31">
        <v>26557.72</v>
      </c>
    </row>
    <row r="511">
      <c r="A511" s="28">
        <v>-27670.45</v>
      </c>
      <c r="B511" s="28">
        <v>92590.27</v>
      </c>
      <c r="C511" s="28">
        <v>2085.06</v>
      </c>
      <c r="D511" s="31">
        <v>94051.67</v>
      </c>
      <c r="E511" s="31">
        <v>46913.65</v>
      </c>
    </row>
    <row r="512">
      <c r="A512" s="28">
        <v>98538.74</v>
      </c>
      <c r="B512" s="28">
        <v>-11017.36</v>
      </c>
      <c r="C512" s="28">
        <v>-307.36</v>
      </c>
      <c r="D512" s="31">
        <v>-33933.44</v>
      </c>
      <c r="E512" s="31">
        <v>14048.95</v>
      </c>
    </row>
    <row r="513">
      <c r="A513" s="28">
        <v>-55067.5</v>
      </c>
      <c r="B513" s="28">
        <v>85605.51</v>
      </c>
      <c r="C513" s="28">
        <v>-92771.02</v>
      </c>
      <c r="D513" s="31">
        <v>64476.12</v>
      </c>
      <c r="E513" s="31">
        <v>-75629.58</v>
      </c>
    </row>
    <row r="514">
      <c r="A514" s="28">
        <v>28029.54</v>
      </c>
      <c r="B514" s="28">
        <v>21552.9</v>
      </c>
      <c r="C514" s="28">
        <v>-88313.5</v>
      </c>
      <c r="D514" s="31">
        <v>29785.04</v>
      </c>
      <c r="E514" s="31">
        <v>-46564.47</v>
      </c>
    </row>
    <row r="515">
      <c r="A515" s="28">
        <v>-60949.92</v>
      </c>
      <c r="B515" s="28">
        <v>-30308.34</v>
      </c>
      <c r="C515" s="28">
        <v>-86274.92</v>
      </c>
      <c r="D515" s="31">
        <v>75155.93</v>
      </c>
      <c r="E515" s="31">
        <v>-34295.06</v>
      </c>
    </row>
    <row r="516">
      <c r="A516" s="28">
        <v>-33191.05</v>
      </c>
      <c r="B516" s="28">
        <v>91638.19</v>
      </c>
      <c r="C516" s="28">
        <v>67537.0</v>
      </c>
      <c r="D516" s="31">
        <v>-95593.38</v>
      </c>
      <c r="E516" s="31">
        <v>-84182.77</v>
      </c>
    </row>
    <row r="517">
      <c r="A517" s="28">
        <v>-14990.71</v>
      </c>
      <c r="B517" s="28">
        <v>-97842.26</v>
      </c>
      <c r="C517" s="28">
        <v>9450.04</v>
      </c>
      <c r="D517" s="31">
        <v>-85584.39</v>
      </c>
      <c r="E517" s="31">
        <v>87069.74</v>
      </c>
    </row>
    <row r="518">
      <c r="A518" s="28">
        <v>84882.09</v>
      </c>
      <c r="B518" s="28">
        <v>-48228.02</v>
      </c>
      <c r="C518" s="28">
        <v>91653.68</v>
      </c>
      <c r="D518" s="31">
        <v>-50753.0</v>
      </c>
      <c r="E518" s="31">
        <v>-76175.96</v>
      </c>
    </row>
    <row r="519">
      <c r="A519" s="28">
        <v>-39652.14</v>
      </c>
      <c r="B519" s="28">
        <v>51027.69</v>
      </c>
      <c r="C519" s="28">
        <v>72060.35</v>
      </c>
      <c r="D519" s="31">
        <v>-59352.0</v>
      </c>
      <c r="E519" s="31">
        <v>56487.64</v>
      </c>
    </row>
    <row r="520">
      <c r="A520" s="28">
        <v>-51633.63</v>
      </c>
      <c r="B520" s="28">
        <v>-65545.18</v>
      </c>
      <c r="C520" s="28">
        <v>-34316.74</v>
      </c>
      <c r="D520" s="31">
        <v>14287.84</v>
      </c>
      <c r="E520" s="31">
        <v>66732.21</v>
      </c>
    </row>
    <row r="521">
      <c r="A521" s="28">
        <v>-38044.25</v>
      </c>
      <c r="B521" s="28">
        <v>13143.4</v>
      </c>
      <c r="C521" s="28">
        <v>14413.29</v>
      </c>
      <c r="D521" s="31">
        <v>-14332.71</v>
      </c>
      <c r="E521" s="31">
        <v>-18606.47</v>
      </c>
    </row>
    <row r="522">
      <c r="A522" s="28">
        <v>-64393.08</v>
      </c>
      <c r="B522" s="28">
        <v>-55714.67</v>
      </c>
      <c r="C522" s="28">
        <v>88211.84</v>
      </c>
      <c r="D522" s="31">
        <v>1457.12</v>
      </c>
      <c r="E522" s="31">
        <v>20464.98</v>
      </c>
    </row>
    <row r="523">
      <c r="A523" s="28">
        <v>-13723.94</v>
      </c>
      <c r="B523" s="28">
        <v>-56334.97</v>
      </c>
      <c r="C523" s="28">
        <v>-92456.99</v>
      </c>
      <c r="D523" s="31">
        <v>69326.03</v>
      </c>
      <c r="E523" s="31">
        <v>81188.89</v>
      </c>
    </row>
    <row r="524">
      <c r="A524" s="28">
        <v>2047.43</v>
      </c>
      <c r="B524" s="28">
        <v>83758.94</v>
      </c>
      <c r="C524" s="28">
        <v>-11937.86</v>
      </c>
      <c r="D524" s="31">
        <v>-40402.41</v>
      </c>
      <c r="E524" s="31">
        <v>64665.07</v>
      </c>
    </row>
    <row r="525">
      <c r="A525" s="28">
        <v>-26776.18</v>
      </c>
      <c r="B525" s="28">
        <v>51890.62</v>
      </c>
      <c r="C525" s="28">
        <v>-93712.77</v>
      </c>
      <c r="D525" s="31">
        <v>-76106.96</v>
      </c>
      <c r="E525" s="31">
        <v>93869.37</v>
      </c>
    </row>
    <row r="526">
      <c r="A526" s="28">
        <v>86998.25</v>
      </c>
      <c r="B526" s="28">
        <v>-66866.04</v>
      </c>
      <c r="C526" s="28">
        <v>52344.13</v>
      </c>
      <c r="D526" s="31">
        <v>-25919.14</v>
      </c>
      <c r="E526" s="31">
        <v>23776.28</v>
      </c>
    </row>
    <row r="527">
      <c r="A527" s="28">
        <v>58231.15</v>
      </c>
      <c r="B527" s="28">
        <v>43528.05</v>
      </c>
      <c r="C527" s="28">
        <v>-69582.66</v>
      </c>
      <c r="D527" s="31">
        <v>92667.83</v>
      </c>
      <c r="E527" s="31">
        <v>23232.84</v>
      </c>
    </row>
    <row r="528">
      <c r="A528" s="28">
        <v>1272.82</v>
      </c>
      <c r="B528" s="28">
        <v>-97784.11</v>
      </c>
      <c r="C528" s="28">
        <v>-91953.58</v>
      </c>
      <c r="D528" s="31">
        <v>-78134.81</v>
      </c>
      <c r="E528" s="31">
        <v>14370.86</v>
      </c>
    </row>
    <row r="529">
      <c r="A529" s="28">
        <v>831.05</v>
      </c>
      <c r="B529" s="28">
        <v>78021.25</v>
      </c>
      <c r="C529" s="28">
        <v>-34537.18</v>
      </c>
      <c r="D529" s="31">
        <v>-17970.87</v>
      </c>
      <c r="E529" s="31">
        <v>99859.4</v>
      </c>
    </row>
    <row r="530">
      <c r="A530" s="28">
        <v>-14976.74</v>
      </c>
      <c r="B530" s="28">
        <v>17139.48</v>
      </c>
      <c r="C530" s="28">
        <v>-73304.89</v>
      </c>
      <c r="D530" s="31">
        <v>-45239.36</v>
      </c>
      <c r="E530" s="31">
        <v>-66383.36</v>
      </c>
    </row>
    <row r="531">
      <c r="A531" s="28">
        <v>-84872.69</v>
      </c>
      <c r="B531" s="28">
        <v>93376.56</v>
      </c>
      <c r="C531" s="28">
        <v>80072.76</v>
      </c>
      <c r="D531" s="31">
        <v>-85911.61</v>
      </c>
      <c r="E531" s="31">
        <v>-60163.22</v>
      </c>
    </row>
    <row r="532">
      <c r="A532" s="28">
        <v>82693.0</v>
      </c>
      <c r="B532" s="28">
        <v>-91184.43</v>
      </c>
      <c r="C532" s="28">
        <v>34546.69</v>
      </c>
      <c r="D532" s="31">
        <v>34277.42</v>
      </c>
      <c r="E532" s="31">
        <v>43770.41</v>
      </c>
    </row>
    <row r="533">
      <c r="A533" s="28">
        <v>-25584.19</v>
      </c>
      <c r="B533" s="28">
        <v>86206.62</v>
      </c>
      <c r="C533" s="28">
        <v>27673.75</v>
      </c>
      <c r="D533" s="31">
        <v>-63480.22</v>
      </c>
      <c r="E533" s="31">
        <v>-31096.7</v>
      </c>
    </row>
    <row r="534">
      <c r="A534" s="28">
        <v>81431.88</v>
      </c>
      <c r="B534" s="28">
        <v>49509.28</v>
      </c>
      <c r="C534" s="28">
        <v>41825.0</v>
      </c>
      <c r="D534" s="31">
        <v>-22290.61</v>
      </c>
      <c r="E534" s="31">
        <v>40825.66</v>
      </c>
    </row>
    <row r="535">
      <c r="A535" s="28">
        <v>-53899.1</v>
      </c>
      <c r="B535" s="28">
        <v>44499.0</v>
      </c>
      <c r="C535" s="28">
        <v>-76142.02</v>
      </c>
      <c r="D535" s="31">
        <v>-53987.18</v>
      </c>
      <c r="E535" s="31">
        <v>-3858.73</v>
      </c>
    </row>
    <row r="536">
      <c r="A536" s="28">
        <v>-74966.18</v>
      </c>
      <c r="B536" s="28">
        <v>74893.18</v>
      </c>
      <c r="C536" s="28">
        <v>15133.44</v>
      </c>
      <c r="D536" s="31">
        <v>-49158.73</v>
      </c>
      <c r="E536" s="31">
        <v>-38209.18</v>
      </c>
    </row>
    <row r="537">
      <c r="A537" s="28">
        <v>3419.39</v>
      </c>
      <c r="B537" s="28">
        <v>-45800.49</v>
      </c>
      <c r="C537" s="28">
        <v>-79382.31</v>
      </c>
      <c r="D537" s="31">
        <v>87217.93</v>
      </c>
      <c r="E537" s="31">
        <v>26828.05</v>
      </c>
    </row>
    <row r="538">
      <c r="A538" s="28">
        <v>65460.36</v>
      </c>
      <c r="B538" s="28">
        <v>37503.29</v>
      </c>
      <c r="C538" s="28">
        <v>-31537.99</v>
      </c>
      <c r="D538" s="31">
        <v>80925.47</v>
      </c>
      <c r="E538" s="31">
        <v>66370.56</v>
      </c>
    </row>
    <row r="539">
      <c r="A539" s="28">
        <v>36895.16</v>
      </c>
      <c r="B539" s="28">
        <v>-44258.23</v>
      </c>
      <c r="C539" s="28">
        <v>-34623.53</v>
      </c>
      <c r="D539" s="31">
        <v>-54031.15</v>
      </c>
      <c r="E539" s="31">
        <v>-55055.41</v>
      </c>
    </row>
    <row r="540">
      <c r="A540" s="28">
        <v>34533.68</v>
      </c>
      <c r="B540" s="28">
        <v>-24588.15</v>
      </c>
      <c r="C540" s="28">
        <v>8556.14</v>
      </c>
      <c r="D540" s="31">
        <v>-40050.27</v>
      </c>
      <c r="E540" s="31">
        <v>-87190.38</v>
      </c>
    </row>
    <row r="541">
      <c r="A541" s="28">
        <v>-88001.55</v>
      </c>
      <c r="B541" s="28">
        <v>41316.86</v>
      </c>
      <c r="C541" s="28">
        <v>-99388.91</v>
      </c>
      <c r="D541" s="31">
        <v>-38044.03</v>
      </c>
      <c r="E541" s="31">
        <v>-81961.59</v>
      </c>
    </row>
    <row r="542">
      <c r="A542" s="28">
        <v>-75291.25</v>
      </c>
      <c r="B542" s="28">
        <v>76921.74</v>
      </c>
      <c r="C542" s="28">
        <v>3174.19</v>
      </c>
      <c r="D542" s="31">
        <v>46464.37</v>
      </c>
      <c r="E542" s="31">
        <v>-76768.88</v>
      </c>
    </row>
    <row r="543">
      <c r="A543" s="28">
        <v>34901.64</v>
      </c>
      <c r="B543" s="28">
        <v>28470.08</v>
      </c>
      <c r="C543" s="28">
        <v>-83000.88</v>
      </c>
      <c r="D543" s="31">
        <v>33492.14</v>
      </c>
      <c r="E543" s="31">
        <v>-70266.23</v>
      </c>
    </row>
    <row r="544">
      <c r="A544" s="28">
        <v>-87353.88</v>
      </c>
      <c r="B544" s="28">
        <v>23509.35</v>
      </c>
      <c r="C544" s="28">
        <v>3569.06</v>
      </c>
      <c r="D544" s="31">
        <v>-19434.45</v>
      </c>
      <c r="E544" s="31">
        <v>99165.84</v>
      </c>
    </row>
    <row r="545">
      <c r="A545" s="28">
        <v>68255.39</v>
      </c>
      <c r="B545" s="28">
        <v>-68324.21</v>
      </c>
      <c r="C545" s="28">
        <v>-64770.97</v>
      </c>
      <c r="D545" s="31">
        <v>-18585.8</v>
      </c>
      <c r="E545" s="31">
        <v>4863.83</v>
      </c>
    </row>
    <row r="546">
      <c r="A546" s="28">
        <v>32174.38</v>
      </c>
      <c r="B546" s="28">
        <v>89110.34</v>
      </c>
      <c r="C546" s="28">
        <v>29618.4</v>
      </c>
      <c r="D546" s="31">
        <v>68880.97</v>
      </c>
      <c r="E546" s="31">
        <v>-31776.52</v>
      </c>
    </row>
    <row r="547">
      <c r="A547" s="28">
        <v>-83394.14</v>
      </c>
      <c r="B547" s="28">
        <v>61176.26</v>
      </c>
      <c r="C547" s="28">
        <v>-36491.9</v>
      </c>
      <c r="D547" s="31">
        <v>-3525.73</v>
      </c>
      <c r="E547" s="31">
        <v>-22584.53</v>
      </c>
    </row>
    <row r="548">
      <c r="A548" s="28">
        <v>-22719.23</v>
      </c>
      <c r="B548" s="28">
        <v>-65516.06</v>
      </c>
      <c r="C548" s="28">
        <v>-37041.22</v>
      </c>
      <c r="D548" s="31">
        <v>-48771.07</v>
      </c>
      <c r="E548" s="31">
        <v>54869.52</v>
      </c>
    </row>
    <row r="549">
      <c r="A549" s="28">
        <v>85665.61</v>
      </c>
      <c r="B549" s="28">
        <v>-73215.14</v>
      </c>
      <c r="C549" s="28">
        <v>-2338.45</v>
      </c>
      <c r="D549" s="31">
        <v>63088.0</v>
      </c>
      <c r="E549" s="31">
        <v>-24881.73</v>
      </c>
    </row>
    <row r="550">
      <c r="A550" s="28">
        <v>-6520.34</v>
      </c>
      <c r="B550" s="28">
        <v>-63564.08</v>
      </c>
      <c r="C550" s="28">
        <v>52580.28</v>
      </c>
      <c r="D550" s="31">
        <v>61760.09</v>
      </c>
      <c r="E550" s="31">
        <v>60484.47</v>
      </c>
    </row>
    <row r="551">
      <c r="A551" s="28">
        <v>55910.06</v>
      </c>
      <c r="B551" s="28">
        <v>81992.31</v>
      </c>
      <c r="C551" s="28">
        <v>27973.43</v>
      </c>
      <c r="D551" s="31">
        <v>76928.62</v>
      </c>
      <c r="E551" s="31">
        <v>-67187.92</v>
      </c>
    </row>
    <row r="552">
      <c r="A552" s="28">
        <v>-45712.68</v>
      </c>
      <c r="B552" s="28">
        <v>78224.13</v>
      </c>
      <c r="C552" s="28">
        <v>-48608.25</v>
      </c>
      <c r="D552" s="31">
        <v>4723.59</v>
      </c>
      <c r="E552" s="31">
        <v>-52782.13</v>
      </c>
    </row>
    <row r="553">
      <c r="A553" s="28">
        <v>-87624.9</v>
      </c>
      <c r="B553" s="28">
        <v>64567.18</v>
      </c>
      <c r="C553" s="28">
        <v>-66329.51</v>
      </c>
      <c r="D553" s="31">
        <v>58748.9</v>
      </c>
      <c r="E553" s="31">
        <v>-58704.95</v>
      </c>
    </row>
    <row r="554">
      <c r="A554" s="28">
        <v>12530.15</v>
      </c>
      <c r="B554" s="28">
        <v>-94705.65</v>
      </c>
      <c r="C554" s="28">
        <v>-15331.4</v>
      </c>
      <c r="D554" s="31">
        <v>89884.54</v>
      </c>
      <c r="E554" s="31">
        <v>-14188.34</v>
      </c>
    </row>
    <row r="555">
      <c r="A555" s="28">
        <v>21003.25</v>
      </c>
      <c r="B555" s="28">
        <v>-90767.45</v>
      </c>
      <c r="C555" s="28">
        <v>43260.41</v>
      </c>
      <c r="D555" s="31">
        <v>95129.07</v>
      </c>
      <c r="E555" s="31">
        <v>79904.19</v>
      </c>
    </row>
    <row r="556">
      <c r="A556" s="28">
        <v>-76307.45</v>
      </c>
      <c r="B556" s="28">
        <v>-71289.65</v>
      </c>
      <c r="C556" s="28">
        <v>-43243.12</v>
      </c>
      <c r="D556" s="31">
        <v>76396.07</v>
      </c>
      <c r="E556" s="31">
        <v>-88289.63</v>
      </c>
    </row>
    <row r="557">
      <c r="A557" s="28">
        <v>-30630.21</v>
      </c>
      <c r="B557" s="28">
        <v>6976.03</v>
      </c>
      <c r="C557" s="28">
        <v>-9577.12</v>
      </c>
      <c r="D557" s="31">
        <v>-48715.87</v>
      </c>
      <c r="E557" s="31">
        <v>-87217.62</v>
      </c>
    </row>
    <row r="558">
      <c r="A558" s="28">
        <v>-56863.7</v>
      </c>
      <c r="B558" s="28">
        <v>-89223.93</v>
      </c>
      <c r="C558" s="28">
        <v>-70905.14</v>
      </c>
      <c r="D558" s="31">
        <v>-28605.38</v>
      </c>
      <c r="E558" s="31">
        <v>53948.12</v>
      </c>
    </row>
    <row r="559">
      <c r="A559" s="28">
        <v>-58508.88</v>
      </c>
      <c r="B559" s="28">
        <v>85712.41</v>
      </c>
      <c r="C559" s="28">
        <v>-71250.45</v>
      </c>
      <c r="D559" s="31">
        <v>90137.94</v>
      </c>
      <c r="E559" s="31">
        <v>96367.11</v>
      </c>
    </row>
    <row r="560">
      <c r="A560" s="28">
        <v>86248.28</v>
      </c>
      <c r="B560" s="28">
        <v>-79628.33</v>
      </c>
      <c r="C560" s="28">
        <v>-13563.96</v>
      </c>
      <c r="D560" s="31">
        <v>-59611.8</v>
      </c>
      <c r="E560" s="31">
        <v>86752.57</v>
      </c>
    </row>
    <row r="561">
      <c r="A561" s="28">
        <v>-58623.53</v>
      </c>
      <c r="B561" s="28">
        <v>-38805.11</v>
      </c>
      <c r="C561" s="28">
        <v>-21379.15</v>
      </c>
      <c r="D561" s="31">
        <v>-91796.83</v>
      </c>
      <c r="E561" s="31">
        <v>25075.66</v>
      </c>
    </row>
    <row r="562">
      <c r="A562" s="28">
        <v>54100.01</v>
      </c>
      <c r="B562" s="28">
        <v>-64753.6</v>
      </c>
      <c r="C562" s="28">
        <v>-53931.68</v>
      </c>
      <c r="D562" s="31">
        <v>17218.9</v>
      </c>
      <c r="E562" s="31">
        <v>-53016.17</v>
      </c>
    </row>
    <row r="563">
      <c r="A563" s="28">
        <v>89063.51</v>
      </c>
      <c r="B563" s="28">
        <v>-30184.86</v>
      </c>
      <c r="C563" s="28">
        <v>-76003.75</v>
      </c>
      <c r="D563" s="31">
        <v>-90891.71</v>
      </c>
      <c r="E563" s="31">
        <v>-51014.96</v>
      </c>
    </row>
    <row r="564">
      <c r="A564" s="28">
        <v>-60466.0</v>
      </c>
      <c r="B564" s="28">
        <v>-72741.86</v>
      </c>
      <c r="C564" s="28">
        <v>1982.89</v>
      </c>
      <c r="D564" s="31">
        <v>-34829.94</v>
      </c>
      <c r="E564" s="31">
        <v>-22155.4</v>
      </c>
    </row>
    <row r="565">
      <c r="A565" s="28">
        <v>14175.27</v>
      </c>
      <c r="B565" s="28">
        <v>51893.38</v>
      </c>
      <c r="C565" s="28">
        <v>94894.56</v>
      </c>
      <c r="D565" s="31">
        <v>-44393.34</v>
      </c>
      <c r="E565" s="31">
        <v>-54676.31</v>
      </c>
    </row>
    <row r="566">
      <c r="A566" s="28">
        <v>54280.19</v>
      </c>
      <c r="B566" s="28">
        <v>51542.58</v>
      </c>
      <c r="C566" s="28">
        <v>-91103.52</v>
      </c>
      <c r="D566" s="31">
        <v>-55516.79</v>
      </c>
      <c r="E566" s="31">
        <v>-85637.54</v>
      </c>
    </row>
    <row r="567">
      <c r="A567" s="28">
        <v>46980.58</v>
      </c>
      <c r="B567" s="28">
        <v>-64307.9</v>
      </c>
      <c r="C567" s="28">
        <v>68921.1</v>
      </c>
      <c r="D567" s="31">
        <v>-94539.12</v>
      </c>
      <c r="E567" s="31">
        <v>-63794.64</v>
      </c>
    </row>
    <row r="568">
      <c r="A568" s="28">
        <v>-96059.03</v>
      </c>
      <c r="B568" s="28">
        <v>-88502.89</v>
      </c>
      <c r="C568" s="28">
        <v>93369.98</v>
      </c>
      <c r="D568" s="31">
        <v>-51527.74</v>
      </c>
      <c r="E568" s="31">
        <v>-96933.44</v>
      </c>
    </row>
    <row r="569">
      <c r="A569" s="28">
        <v>-97890.36</v>
      </c>
      <c r="B569" s="28">
        <v>-20439.66</v>
      </c>
      <c r="C569" s="28">
        <v>-27450.37</v>
      </c>
      <c r="D569" s="31">
        <v>65331.98</v>
      </c>
      <c r="E569" s="31">
        <v>-50735.95</v>
      </c>
    </row>
    <row r="570">
      <c r="A570" s="28">
        <v>2245.94</v>
      </c>
      <c r="B570" s="28">
        <v>48395.82</v>
      </c>
      <c r="C570" s="28">
        <v>-61799.29</v>
      </c>
      <c r="D570" s="31">
        <v>-3947.13</v>
      </c>
      <c r="E570" s="31">
        <v>47797.39</v>
      </c>
    </row>
    <row r="571">
      <c r="A571" s="28">
        <v>95852.4</v>
      </c>
      <c r="B571" s="28">
        <v>32575.87</v>
      </c>
      <c r="C571" s="28">
        <v>-12971.28</v>
      </c>
      <c r="D571" s="31">
        <v>-34843.86</v>
      </c>
      <c r="E571" s="31">
        <v>123.76</v>
      </c>
    </row>
    <row r="572">
      <c r="A572" s="28">
        <v>21721.35</v>
      </c>
      <c r="B572" s="28">
        <v>38758.98</v>
      </c>
      <c r="C572" s="28">
        <v>-69503.96</v>
      </c>
      <c r="D572" s="31">
        <v>23970.28</v>
      </c>
      <c r="E572" s="31">
        <v>63495.27</v>
      </c>
    </row>
    <row r="573">
      <c r="A573" s="28">
        <v>49080.74</v>
      </c>
      <c r="B573" s="28">
        <v>1472.83</v>
      </c>
      <c r="C573" s="28">
        <v>6697.81</v>
      </c>
      <c r="D573" s="31">
        <v>44146.47</v>
      </c>
      <c r="E573" s="31">
        <v>33906.45</v>
      </c>
    </row>
    <row r="574">
      <c r="A574" s="28">
        <v>-36205.37</v>
      </c>
      <c r="B574" s="28">
        <v>-26368.94</v>
      </c>
      <c r="C574" s="28">
        <v>9076.11</v>
      </c>
      <c r="D574" s="31">
        <v>-90449.23</v>
      </c>
      <c r="E574" s="31">
        <v>-43627.61</v>
      </c>
    </row>
    <row r="575">
      <c r="A575" s="28">
        <v>74374.62</v>
      </c>
      <c r="B575" s="28">
        <v>-71956.14</v>
      </c>
      <c r="C575" s="28">
        <v>49510.91</v>
      </c>
      <c r="D575" s="31">
        <v>50755.38</v>
      </c>
      <c r="E575" s="31">
        <v>-2801.42</v>
      </c>
    </row>
    <row r="576">
      <c r="A576" s="28">
        <v>66845.86</v>
      </c>
      <c r="B576" s="28">
        <v>35044.18</v>
      </c>
      <c r="C576" s="28">
        <v>62062.78</v>
      </c>
      <c r="D576" s="31">
        <v>-87265.98</v>
      </c>
      <c r="E576" s="31">
        <v>32409.14</v>
      </c>
    </row>
    <row r="577">
      <c r="A577" s="28">
        <v>72799.14</v>
      </c>
      <c r="B577" s="28">
        <v>95331.65</v>
      </c>
      <c r="C577" s="28">
        <v>-37101.65</v>
      </c>
      <c r="D577" s="31">
        <v>-15876.99</v>
      </c>
      <c r="E577" s="31">
        <v>-46387.14</v>
      </c>
    </row>
    <row r="578">
      <c r="A578" s="28">
        <v>-68268.28</v>
      </c>
      <c r="B578" s="28">
        <v>33189.68</v>
      </c>
      <c r="C578" s="28">
        <v>96867.74</v>
      </c>
      <c r="D578" s="31">
        <v>92383.12</v>
      </c>
      <c r="E578" s="31">
        <v>-77548.47</v>
      </c>
    </row>
    <row r="579">
      <c r="A579" s="28">
        <v>-56033.86</v>
      </c>
      <c r="B579" s="28">
        <v>-70520.7</v>
      </c>
      <c r="C579" s="28">
        <v>-95041.22</v>
      </c>
      <c r="D579" s="31">
        <v>-78352.82</v>
      </c>
      <c r="E579" s="31">
        <v>73308.38</v>
      </c>
    </row>
    <row r="580">
      <c r="A580" s="28">
        <v>-17860.43</v>
      </c>
      <c r="B580" s="28">
        <v>-1702.97</v>
      </c>
      <c r="C580" s="28">
        <v>-43462.54</v>
      </c>
      <c r="D580" s="31">
        <v>37869.35</v>
      </c>
      <c r="E580" s="31">
        <v>-68515.41</v>
      </c>
    </row>
    <row r="581">
      <c r="A581" s="28">
        <v>16605.84</v>
      </c>
      <c r="B581" s="28">
        <v>96028.53</v>
      </c>
      <c r="C581" s="28">
        <v>-16355.3</v>
      </c>
      <c r="D581" s="31">
        <v>1685.0</v>
      </c>
      <c r="E581" s="31">
        <v>24788.61</v>
      </c>
    </row>
    <row r="582">
      <c r="A582" s="28">
        <v>17319.04</v>
      </c>
      <c r="B582" s="28">
        <v>-78346.56</v>
      </c>
      <c r="C582" s="28">
        <v>18507.34</v>
      </c>
      <c r="D582" s="31">
        <v>91322.67</v>
      </c>
      <c r="E582" s="31">
        <v>-10578.94</v>
      </c>
    </row>
    <row r="583">
      <c r="A583" s="28">
        <v>-38995.32</v>
      </c>
      <c r="B583" s="28">
        <v>49856.81</v>
      </c>
      <c r="C583" s="28">
        <v>-96765.62</v>
      </c>
      <c r="D583" s="31">
        <v>76127.9</v>
      </c>
      <c r="E583" s="31">
        <v>74752.23</v>
      </c>
    </row>
    <row r="584">
      <c r="A584" s="28">
        <v>-94808.56</v>
      </c>
      <c r="B584" s="28">
        <v>88934.76</v>
      </c>
      <c r="C584" s="28">
        <v>-71468.16</v>
      </c>
      <c r="D584" s="31">
        <v>-99402.09</v>
      </c>
      <c r="E584" s="31">
        <v>-53876.79</v>
      </c>
    </row>
    <row r="585">
      <c r="A585" s="28">
        <v>-30692.51</v>
      </c>
      <c r="B585" s="28">
        <v>3490.69</v>
      </c>
      <c r="C585" s="28">
        <v>49000.01</v>
      </c>
      <c r="D585" s="31">
        <v>-61937.65</v>
      </c>
      <c r="E585" s="31">
        <v>73336.01</v>
      </c>
    </row>
    <row r="586">
      <c r="A586" s="28">
        <v>-44809.33</v>
      </c>
      <c r="B586" s="28">
        <v>38392.15</v>
      </c>
      <c r="C586" s="28">
        <v>63919.98</v>
      </c>
      <c r="D586" s="31">
        <v>31246.59</v>
      </c>
      <c r="E586" s="31">
        <v>-20123.1</v>
      </c>
    </row>
    <row r="587">
      <c r="A587" s="28">
        <v>-92441.66</v>
      </c>
      <c r="B587" s="28">
        <v>90767.07</v>
      </c>
      <c r="C587" s="28">
        <v>-34016.32</v>
      </c>
      <c r="D587" s="31">
        <v>-18173.22</v>
      </c>
      <c r="E587" s="31">
        <v>-62836.58</v>
      </c>
    </row>
    <row r="588">
      <c r="A588" s="28">
        <v>70605.6</v>
      </c>
      <c r="B588" s="28">
        <v>-92893.98</v>
      </c>
      <c r="C588" s="28">
        <v>-99669.36</v>
      </c>
      <c r="D588" s="31">
        <v>-18882.35</v>
      </c>
      <c r="E588" s="31">
        <v>-57677.26</v>
      </c>
    </row>
    <row r="589">
      <c r="A589" s="28">
        <v>-58708.14</v>
      </c>
      <c r="B589" s="28">
        <v>52696.18</v>
      </c>
      <c r="C589" s="28">
        <v>-38466.04</v>
      </c>
      <c r="D589" s="31">
        <v>-37786.9</v>
      </c>
      <c r="E589" s="31">
        <v>1861.08</v>
      </c>
    </row>
    <row r="590">
      <c r="A590" s="28">
        <v>67126.63</v>
      </c>
      <c r="B590" s="28">
        <v>-99041.37</v>
      </c>
      <c r="C590" s="28">
        <v>-63517.39</v>
      </c>
      <c r="D590" s="31">
        <v>-91516.71</v>
      </c>
      <c r="E590" s="31">
        <v>-76180.13</v>
      </c>
    </row>
    <row r="591">
      <c r="A591" s="28">
        <v>-91285.67</v>
      </c>
      <c r="B591" s="28">
        <v>-46632.46</v>
      </c>
      <c r="C591" s="28">
        <v>44747.83</v>
      </c>
      <c r="D591" s="31">
        <v>90790.22</v>
      </c>
      <c r="E591" s="31">
        <v>7807.29</v>
      </c>
    </row>
    <row r="592">
      <c r="A592" s="28">
        <v>-34342.04</v>
      </c>
      <c r="B592" s="28">
        <v>-65653.68</v>
      </c>
      <c r="C592" s="28">
        <v>58078.47</v>
      </c>
      <c r="D592" s="31">
        <v>54634.52</v>
      </c>
      <c r="E592" s="31">
        <v>-39084.99</v>
      </c>
    </row>
    <row r="593">
      <c r="A593" s="28">
        <v>-33627.4</v>
      </c>
      <c r="B593" s="28">
        <v>-46343.33</v>
      </c>
      <c r="C593" s="28">
        <v>20633.37</v>
      </c>
      <c r="D593" s="31">
        <v>-35420.44</v>
      </c>
      <c r="E593" s="31">
        <v>-84095.79</v>
      </c>
    </row>
    <row r="594">
      <c r="A594" s="28">
        <v>44358.82</v>
      </c>
      <c r="B594" s="28">
        <v>19405.72</v>
      </c>
      <c r="C594" s="28">
        <v>-40968.4</v>
      </c>
      <c r="D594" s="31">
        <v>-9788.12</v>
      </c>
      <c r="E594" s="31">
        <v>-34900.81</v>
      </c>
    </row>
    <row r="595">
      <c r="A595" s="28">
        <v>78444.53</v>
      </c>
      <c r="B595" s="28">
        <v>-24148.3</v>
      </c>
      <c r="C595" s="28">
        <v>57652.31</v>
      </c>
      <c r="D595" s="31">
        <v>81332.14</v>
      </c>
      <c r="E595" s="31">
        <v>-86820.28</v>
      </c>
    </row>
    <row r="596">
      <c r="A596" s="28">
        <v>38500.33</v>
      </c>
      <c r="B596" s="28">
        <v>-1473.01</v>
      </c>
      <c r="C596" s="28">
        <v>-69799.29</v>
      </c>
      <c r="D596" s="31">
        <v>80625.46</v>
      </c>
      <c r="E596" s="31">
        <v>67068.92</v>
      </c>
    </row>
    <row r="597">
      <c r="A597" s="28">
        <v>46565.94</v>
      </c>
      <c r="B597" s="28">
        <v>-17871.22</v>
      </c>
      <c r="C597" s="28">
        <v>86455.19</v>
      </c>
      <c r="D597" s="31">
        <v>-17080.06</v>
      </c>
      <c r="E597" s="31">
        <v>56333.47</v>
      </c>
    </row>
    <row r="598">
      <c r="A598" s="28">
        <v>-79673.32</v>
      </c>
      <c r="B598" s="28">
        <v>3784.15</v>
      </c>
      <c r="C598" s="28">
        <v>56242.36</v>
      </c>
      <c r="D598" s="31">
        <v>-35684.15</v>
      </c>
      <c r="E598" s="31">
        <v>-29465.2</v>
      </c>
    </row>
    <row r="599">
      <c r="A599" s="28">
        <v>53718.72</v>
      </c>
      <c r="B599" s="28">
        <v>-93211.06</v>
      </c>
      <c r="C599" s="28">
        <v>-71733.07</v>
      </c>
      <c r="D599" s="31">
        <v>-97736.53</v>
      </c>
      <c r="E599" s="31">
        <v>-39836.34</v>
      </c>
    </row>
    <row r="600">
      <c r="A600" s="28">
        <v>-47396.67</v>
      </c>
      <c r="B600" s="28">
        <v>-95621.07</v>
      </c>
      <c r="C600" s="28">
        <v>-14281.31</v>
      </c>
      <c r="D600" s="31">
        <v>99147.35</v>
      </c>
      <c r="E600" s="31">
        <v>72802.64</v>
      </c>
    </row>
    <row r="601">
      <c r="A601" s="28">
        <v>-44808.48</v>
      </c>
      <c r="B601" s="28">
        <v>-30072.27</v>
      </c>
      <c r="C601" s="28">
        <v>-5326.61</v>
      </c>
      <c r="D601" s="31">
        <v>-15926.77</v>
      </c>
      <c r="E601" s="31">
        <v>53692.72</v>
      </c>
    </row>
    <row r="602">
      <c r="A602" s="28">
        <v>39179.88</v>
      </c>
      <c r="B602" s="28">
        <v>35975.05</v>
      </c>
      <c r="C602" s="28">
        <v>-95442.74</v>
      </c>
      <c r="D602" s="31">
        <v>-27711.06</v>
      </c>
      <c r="E602" s="31">
        <v>-56915.25</v>
      </c>
    </row>
    <row r="603">
      <c r="A603" s="28">
        <v>61596.06</v>
      </c>
      <c r="B603" s="28">
        <v>52125.04</v>
      </c>
      <c r="C603" s="28">
        <v>2567.71</v>
      </c>
      <c r="D603" s="31">
        <v>-16248.01</v>
      </c>
      <c r="E603" s="31">
        <v>-42720.75</v>
      </c>
    </row>
    <row r="604">
      <c r="A604" s="28">
        <v>-90293.93</v>
      </c>
      <c r="B604" s="28">
        <v>76823.55</v>
      </c>
      <c r="C604" s="28">
        <v>44471.65</v>
      </c>
      <c r="D604" s="31">
        <v>74100.01</v>
      </c>
      <c r="E604" s="31">
        <v>2610.23</v>
      </c>
    </row>
    <row r="605">
      <c r="A605" s="28">
        <v>49660.02</v>
      </c>
      <c r="B605" s="28">
        <v>-77620.03</v>
      </c>
      <c r="C605" s="28">
        <v>92923.03</v>
      </c>
      <c r="D605" s="31">
        <v>-51802.58</v>
      </c>
      <c r="E605" s="31">
        <v>66909.85</v>
      </c>
    </row>
    <row r="606">
      <c r="A606" s="28">
        <v>13400.98</v>
      </c>
      <c r="B606" s="28">
        <v>-24747.96</v>
      </c>
      <c r="C606" s="28">
        <v>38304.78</v>
      </c>
      <c r="D606" s="31">
        <v>10449.56</v>
      </c>
      <c r="E606" s="31">
        <v>-72207.09</v>
      </c>
    </row>
    <row r="607">
      <c r="A607" s="28">
        <v>78498.16</v>
      </c>
      <c r="B607" s="28">
        <v>32475.1</v>
      </c>
      <c r="C607" s="28">
        <v>15326.98</v>
      </c>
      <c r="D607" s="31">
        <v>-86206.59</v>
      </c>
      <c r="E607" s="31">
        <v>79878.25</v>
      </c>
    </row>
    <row r="608">
      <c r="A608" s="28">
        <v>-41084.83</v>
      </c>
      <c r="B608" s="28">
        <v>-57362.32</v>
      </c>
      <c r="C608" s="28">
        <v>-54113.96</v>
      </c>
      <c r="D608" s="31">
        <v>47960.06</v>
      </c>
      <c r="E608" s="31">
        <v>-72119.28</v>
      </c>
    </row>
    <row r="609">
      <c r="A609" s="28">
        <v>99800.13</v>
      </c>
      <c r="B609" s="28">
        <v>5595.62</v>
      </c>
      <c r="C609" s="28">
        <v>-32338.94</v>
      </c>
      <c r="D609" s="31">
        <v>-89549.47</v>
      </c>
      <c r="E609" s="31">
        <v>11668.27</v>
      </c>
    </row>
    <row r="610">
      <c r="A610" s="28">
        <v>30291.47</v>
      </c>
      <c r="B610" s="28">
        <v>-35820.28</v>
      </c>
      <c r="C610" s="28">
        <v>13932.35</v>
      </c>
      <c r="D610" s="31">
        <v>-49791.54</v>
      </c>
      <c r="E610" s="31">
        <v>93032.68</v>
      </c>
    </row>
    <row r="611">
      <c r="A611" s="28">
        <v>32922.72</v>
      </c>
      <c r="B611" s="28">
        <v>-98424.57</v>
      </c>
      <c r="C611" s="28">
        <v>-89819.94</v>
      </c>
      <c r="D611" s="31">
        <v>85186.32</v>
      </c>
      <c r="E611" s="31">
        <v>-84997.34</v>
      </c>
    </row>
    <row r="612">
      <c r="A612" s="28">
        <v>70836.1</v>
      </c>
      <c r="B612" s="28">
        <v>63309.3</v>
      </c>
      <c r="C612" s="28">
        <v>-48370.34</v>
      </c>
      <c r="D612" s="31">
        <v>-25441.39</v>
      </c>
      <c r="E612" s="31">
        <v>40512.54</v>
      </c>
    </row>
    <row r="613">
      <c r="A613" s="28">
        <v>-21595.55</v>
      </c>
      <c r="B613" s="28">
        <v>34563.61</v>
      </c>
      <c r="C613" s="28">
        <v>16271.2</v>
      </c>
      <c r="D613" s="31">
        <v>47703.18</v>
      </c>
      <c r="E613" s="31">
        <v>92750.94</v>
      </c>
    </row>
    <row r="614">
      <c r="A614" s="28">
        <v>-21651.35</v>
      </c>
      <c r="B614" s="28">
        <v>25614.04</v>
      </c>
      <c r="C614" s="28">
        <v>-27701.47</v>
      </c>
      <c r="D614" s="31">
        <v>-76785.55</v>
      </c>
      <c r="E614" s="31">
        <v>29851.92</v>
      </c>
    </row>
    <row r="615">
      <c r="A615" s="28">
        <v>-82584.4</v>
      </c>
      <c r="B615" s="28">
        <v>-49145.84</v>
      </c>
      <c r="C615" s="28">
        <v>47786.17</v>
      </c>
      <c r="D615" s="31">
        <v>-77834.92</v>
      </c>
      <c r="E615" s="31">
        <v>-14125.77</v>
      </c>
    </row>
    <row r="616">
      <c r="A616" s="28">
        <v>-39435.43</v>
      </c>
      <c r="B616" s="28">
        <v>-33822.68</v>
      </c>
      <c r="C616" s="28">
        <v>-2809.68</v>
      </c>
      <c r="D616" s="31">
        <v>-47436.72</v>
      </c>
      <c r="E616" s="31">
        <v>28705.37</v>
      </c>
    </row>
    <row r="617">
      <c r="A617" s="28">
        <v>-60540.58</v>
      </c>
      <c r="B617" s="28">
        <v>-21560.69</v>
      </c>
      <c r="C617" s="28">
        <v>-82011.24</v>
      </c>
      <c r="D617" s="31">
        <v>-39561.32</v>
      </c>
      <c r="E617" s="31">
        <v>5069.08</v>
      </c>
    </row>
    <row r="618">
      <c r="A618" s="28">
        <v>35057.99</v>
      </c>
      <c r="B618" s="28">
        <v>31311.41</v>
      </c>
      <c r="C618" s="28">
        <v>-92910.75</v>
      </c>
      <c r="D618" s="31">
        <v>-63221.22</v>
      </c>
      <c r="E618" s="31">
        <v>66110.61</v>
      </c>
    </row>
    <row r="619">
      <c r="A619" s="28">
        <v>-34800.45</v>
      </c>
      <c r="B619" s="28">
        <v>-37186.85</v>
      </c>
      <c r="C619" s="28">
        <v>59746.6</v>
      </c>
      <c r="D619" s="31">
        <v>47626.56</v>
      </c>
      <c r="E619" s="31">
        <v>37540.46</v>
      </c>
    </row>
    <row r="620">
      <c r="A620" s="28">
        <v>24740.64</v>
      </c>
      <c r="B620" s="28">
        <v>21726.87</v>
      </c>
      <c r="C620" s="28">
        <v>518.25</v>
      </c>
      <c r="D620" s="31">
        <v>-6762.65</v>
      </c>
      <c r="E620" s="31">
        <v>75060.62</v>
      </c>
    </row>
    <row r="621">
      <c r="A621" s="28">
        <v>5091.36</v>
      </c>
      <c r="B621" s="28">
        <v>9087.15</v>
      </c>
      <c r="C621" s="28">
        <v>-87177.96</v>
      </c>
      <c r="D621" s="31">
        <v>59590.83</v>
      </c>
      <c r="E621" s="31">
        <v>92892.86</v>
      </c>
    </row>
    <row r="622">
      <c r="A622" s="28">
        <v>20116.56</v>
      </c>
      <c r="B622" s="28">
        <v>-16717.5</v>
      </c>
      <c r="C622" s="28">
        <v>-27225.44</v>
      </c>
      <c r="D622" s="31">
        <v>-52470.62</v>
      </c>
      <c r="E622" s="31">
        <v>-26202.59</v>
      </c>
    </row>
    <row r="623">
      <c r="A623" s="28">
        <v>57300.8</v>
      </c>
      <c r="B623" s="28">
        <v>-97736.4</v>
      </c>
      <c r="C623" s="28">
        <v>51643.89</v>
      </c>
      <c r="D623" s="31">
        <v>16865.54</v>
      </c>
      <c r="E623" s="31">
        <v>-19224.31</v>
      </c>
    </row>
    <row r="624">
      <c r="A624" s="28">
        <v>30320.17</v>
      </c>
      <c r="B624" s="28">
        <v>-37484.25</v>
      </c>
      <c r="C624" s="28">
        <v>93033.42</v>
      </c>
      <c r="D624" s="31">
        <v>-53083.55</v>
      </c>
      <c r="E624" s="31">
        <v>-24940.59</v>
      </c>
    </row>
    <row r="625">
      <c r="A625" s="28">
        <v>18615.01</v>
      </c>
      <c r="B625" s="28">
        <v>40149.21</v>
      </c>
      <c r="C625" s="28">
        <v>-71350.45</v>
      </c>
      <c r="D625" s="31">
        <v>26615.47</v>
      </c>
      <c r="E625" s="31">
        <v>-9265.71</v>
      </c>
    </row>
    <row r="626">
      <c r="A626" s="28">
        <v>-87911.16</v>
      </c>
      <c r="B626" s="28">
        <v>79500.79</v>
      </c>
      <c r="C626" s="28">
        <v>-99788.01</v>
      </c>
      <c r="D626" s="31">
        <v>75015.28</v>
      </c>
      <c r="E626" s="31">
        <v>-92897.15</v>
      </c>
    </row>
    <row r="627">
      <c r="A627" s="28">
        <v>16402.43</v>
      </c>
      <c r="B627" s="28">
        <v>-27357.48</v>
      </c>
      <c r="C627" s="28">
        <v>-88030.3</v>
      </c>
      <c r="D627" s="31">
        <v>73243.63</v>
      </c>
      <c r="E627" s="31">
        <v>-94245.36</v>
      </c>
    </row>
    <row r="628">
      <c r="A628" s="28">
        <v>77405.72</v>
      </c>
      <c r="B628" s="28">
        <v>79827.6</v>
      </c>
      <c r="C628" s="28">
        <v>11459.25</v>
      </c>
      <c r="D628" s="31">
        <v>84891.24</v>
      </c>
      <c r="E628" s="31">
        <v>45802.17</v>
      </c>
    </row>
    <row r="629">
      <c r="A629" s="28">
        <v>-55761.71</v>
      </c>
      <c r="B629" s="28">
        <v>-71576.92</v>
      </c>
      <c r="C629" s="28">
        <v>-25722.62</v>
      </c>
      <c r="D629" s="31">
        <v>41217.05</v>
      </c>
      <c r="E629" s="31">
        <v>-11736.4</v>
      </c>
    </row>
    <row r="630">
      <c r="A630" s="28">
        <v>50195.78</v>
      </c>
      <c r="B630" s="28">
        <v>-31821.5</v>
      </c>
      <c r="C630" s="28">
        <v>97584.41</v>
      </c>
      <c r="D630" s="31">
        <v>50952.37</v>
      </c>
      <c r="E630" s="31">
        <v>-24620.14</v>
      </c>
    </row>
    <row r="631">
      <c r="A631" s="28">
        <v>30625.65</v>
      </c>
      <c r="B631" s="28">
        <v>37705.69</v>
      </c>
      <c r="C631" s="28">
        <v>12904.38</v>
      </c>
      <c r="D631" s="31">
        <v>-4303.78</v>
      </c>
      <c r="E631" s="31">
        <v>-82931.07</v>
      </c>
    </row>
    <row r="632">
      <c r="A632" s="28">
        <v>-35585.64</v>
      </c>
      <c r="B632" s="28">
        <v>-43990.88</v>
      </c>
      <c r="C632" s="28">
        <v>16012.96</v>
      </c>
      <c r="D632" s="31">
        <v>82697.47</v>
      </c>
      <c r="E632" s="31">
        <v>44717.81</v>
      </c>
    </row>
    <row r="633">
      <c r="A633" s="28">
        <v>889.46</v>
      </c>
      <c r="B633" s="28">
        <v>1997.5</v>
      </c>
      <c r="C633" s="28">
        <v>-34836.51</v>
      </c>
      <c r="D633" s="31">
        <v>-96980.74</v>
      </c>
      <c r="E633" s="31">
        <v>65549.65</v>
      </c>
    </row>
    <row r="634">
      <c r="A634" s="28">
        <v>80724.26</v>
      </c>
      <c r="B634" s="28">
        <v>20937.92</v>
      </c>
      <c r="C634" s="28">
        <v>93714.07</v>
      </c>
      <c r="D634" s="31">
        <v>12203.06</v>
      </c>
      <c r="E634" s="31">
        <v>69942.02</v>
      </c>
    </row>
    <row r="635">
      <c r="A635" s="28">
        <v>86981.59</v>
      </c>
      <c r="B635" s="28">
        <v>-71267.47</v>
      </c>
      <c r="C635" s="28">
        <v>-20802.93</v>
      </c>
      <c r="D635" s="31">
        <v>47461.25</v>
      </c>
      <c r="E635" s="31">
        <v>17752.17</v>
      </c>
    </row>
    <row r="636">
      <c r="A636" s="28">
        <v>39493.13</v>
      </c>
      <c r="B636" s="28">
        <v>-37364.29</v>
      </c>
      <c r="C636" s="28">
        <v>463.71</v>
      </c>
      <c r="D636" s="31">
        <v>81336.21</v>
      </c>
      <c r="E636" s="31">
        <v>-90762.76</v>
      </c>
    </row>
    <row r="637">
      <c r="A637" s="28">
        <v>99050.31</v>
      </c>
      <c r="B637" s="28">
        <v>13234.35</v>
      </c>
      <c r="C637" s="28">
        <v>27577.66</v>
      </c>
      <c r="D637" s="31">
        <v>46496.78</v>
      </c>
      <c r="E637" s="31">
        <v>-69263.92</v>
      </c>
    </row>
    <row r="638">
      <c r="A638" s="28">
        <v>-91299.7</v>
      </c>
      <c r="B638" s="28">
        <v>-16321.82</v>
      </c>
      <c r="C638" s="28">
        <v>-86369.06</v>
      </c>
      <c r="D638" s="31">
        <v>87137.07</v>
      </c>
      <c r="E638" s="31">
        <v>94710.55</v>
      </c>
    </row>
    <row r="639">
      <c r="A639" s="28">
        <v>-53633.73</v>
      </c>
      <c r="B639" s="28">
        <v>40338.4</v>
      </c>
      <c r="C639" s="28">
        <v>88188.92</v>
      </c>
      <c r="D639" s="31">
        <v>-49875.9</v>
      </c>
      <c r="E639" s="31">
        <v>25407.09</v>
      </c>
    </row>
    <row r="640">
      <c r="A640" s="28">
        <v>-82664.82</v>
      </c>
      <c r="B640" s="28">
        <v>74784.39</v>
      </c>
      <c r="C640" s="28">
        <v>-18918.57</v>
      </c>
      <c r="D640" s="31">
        <v>-59166.03</v>
      </c>
      <c r="E640" s="31">
        <v>99918.98</v>
      </c>
    </row>
    <row r="641">
      <c r="A641" s="28">
        <v>-39372.09</v>
      </c>
      <c r="B641" s="28">
        <v>43149.37</v>
      </c>
      <c r="C641" s="28">
        <v>75121.13</v>
      </c>
      <c r="D641" s="31">
        <v>63146.35</v>
      </c>
      <c r="E641" s="31">
        <v>38938.19</v>
      </c>
    </row>
    <row r="642">
      <c r="A642" s="28">
        <v>-61342.55</v>
      </c>
      <c r="B642" s="28">
        <v>-44349.26</v>
      </c>
      <c r="C642" s="28">
        <v>-45292.57</v>
      </c>
      <c r="D642" s="31">
        <v>63196.63</v>
      </c>
      <c r="E642" s="31">
        <v>-79518.01</v>
      </c>
    </row>
    <row r="643">
      <c r="A643" s="28">
        <v>35633.13</v>
      </c>
      <c r="B643" s="28">
        <v>-48023.09</v>
      </c>
      <c r="C643" s="28">
        <v>73877.13</v>
      </c>
      <c r="D643" s="31">
        <v>2173.03</v>
      </c>
      <c r="E643" s="31">
        <v>-15642.19</v>
      </c>
    </row>
    <row r="644">
      <c r="A644" s="28">
        <v>-60880.14</v>
      </c>
      <c r="B644" s="28">
        <v>13880.58</v>
      </c>
      <c r="C644" s="28">
        <v>27522.1</v>
      </c>
      <c r="D644" s="31">
        <v>-58914.58</v>
      </c>
      <c r="E644" s="31">
        <v>-67564.56</v>
      </c>
    </row>
    <row r="645">
      <c r="A645" s="28">
        <v>60478.49</v>
      </c>
      <c r="B645" s="28">
        <v>39389.69</v>
      </c>
      <c r="C645" s="28">
        <v>85119.64</v>
      </c>
      <c r="D645" s="31">
        <v>-79407.11</v>
      </c>
      <c r="E645" s="31">
        <v>-56288.97</v>
      </c>
    </row>
    <row r="646">
      <c r="A646" s="28">
        <v>-87089.38</v>
      </c>
      <c r="B646" s="28">
        <v>-73268.67</v>
      </c>
      <c r="C646" s="28">
        <v>32876.47</v>
      </c>
      <c r="D646" s="31">
        <v>-53484.26</v>
      </c>
      <c r="E646" s="31">
        <v>96044.85</v>
      </c>
    </row>
    <row r="647">
      <c r="A647" s="28">
        <v>-12772.33</v>
      </c>
      <c r="B647" s="28">
        <v>-3000.66</v>
      </c>
      <c r="C647" s="28">
        <v>-89752.15</v>
      </c>
      <c r="D647" s="31">
        <v>44901.44</v>
      </c>
      <c r="E647" s="31">
        <v>-69291.15</v>
      </c>
    </row>
    <row r="648">
      <c r="A648" s="28">
        <v>-86893.28</v>
      </c>
      <c r="B648" s="28">
        <v>-38239.79</v>
      </c>
      <c r="C648" s="28">
        <v>11147.02</v>
      </c>
      <c r="D648" s="31">
        <v>-64796.59</v>
      </c>
      <c r="E648" s="31">
        <v>14606.9</v>
      </c>
    </row>
    <row r="649">
      <c r="A649" s="28">
        <v>-92459.23</v>
      </c>
      <c r="B649" s="28">
        <v>-63670.43</v>
      </c>
      <c r="C649" s="28">
        <v>12525.75</v>
      </c>
      <c r="D649" s="31">
        <v>51530.4</v>
      </c>
      <c r="E649" s="31">
        <v>54483.55</v>
      </c>
    </row>
    <row r="650">
      <c r="A650" s="28">
        <v>20865.68</v>
      </c>
      <c r="B650" s="28">
        <v>28808.33</v>
      </c>
      <c r="C650" s="28">
        <v>56202.14</v>
      </c>
      <c r="D650" s="31">
        <v>50321.99</v>
      </c>
      <c r="E650" s="31">
        <v>79483.47</v>
      </c>
    </row>
    <row r="651">
      <c r="A651" s="28">
        <v>22888.86</v>
      </c>
      <c r="B651" s="28">
        <v>10079.28</v>
      </c>
      <c r="C651" s="28">
        <v>4866.35</v>
      </c>
      <c r="D651" s="31">
        <v>5206.84</v>
      </c>
      <c r="E651" s="31">
        <v>38733.45</v>
      </c>
    </row>
    <row r="652">
      <c r="A652" s="28">
        <v>1640.23</v>
      </c>
      <c r="B652" s="28">
        <v>-27835.26</v>
      </c>
      <c r="C652" s="28">
        <v>51794.0</v>
      </c>
      <c r="D652" s="31">
        <v>-22833.55</v>
      </c>
      <c r="E652" s="31">
        <v>-33999.8</v>
      </c>
    </row>
    <row r="653">
      <c r="A653" s="28">
        <v>-96578.76</v>
      </c>
      <c r="B653" s="28">
        <v>13442.56</v>
      </c>
      <c r="C653" s="28">
        <v>-6498.42</v>
      </c>
      <c r="D653" s="31">
        <v>-31100.33</v>
      </c>
      <c r="E653" s="31">
        <v>27527.24</v>
      </c>
    </row>
    <row r="654">
      <c r="A654" s="28">
        <v>-20493.81</v>
      </c>
      <c r="B654" s="28">
        <v>-8514.83</v>
      </c>
      <c r="C654" s="28">
        <v>-6555.12</v>
      </c>
      <c r="D654" s="31">
        <v>53037.51</v>
      </c>
      <c r="E654" s="31">
        <v>-77785.59</v>
      </c>
    </row>
    <row r="655">
      <c r="A655" s="28">
        <v>-98327.55</v>
      </c>
      <c r="B655" s="28">
        <v>-5715.22</v>
      </c>
      <c r="C655" s="28">
        <v>-17913.51</v>
      </c>
      <c r="D655" s="31">
        <v>63597.37</v>
      </c>
      <c r="E655" s="31">
        <v>-93799.43</v>
      </c>
    </row>
    <row r="656">
      <c r="A656" s="28">
        <v>-12781.52</v>
      </c>
      <c r="B656" s="28">
        <v>-9397.66</v>
      </c>
      <c r="C656" s="28">
        <v>81362.99</v>
      </c>
      <c r="D656" s="31">
        <v>-39335.06</v>
      </c>
      <c r="E656" s="31">
        <v>-68676.26</v>
      </c>
    </row>
    <row r="657">
      <c r="A657" s="28">
        <v>-12317.57</v>
      </c>
      <c r="B657" s="28">
        <v>90959.98</v>
      </c>
      <c r="C657" s="28">
        <v>61030.52</v>
      </c>
      <c r="D657" s="31">
        <v>34514.75</v>
      </c>
      <c r="E657" s="31">
        <v>6308.7</v>
      </c>
    </row>
    <row r="658">
      <c r="A658" s="28">
        <v>96644.64</v>
      </c>
      <c r="B658" s="28">
        <v>-40139.25</v>
      </c>
      <c r="C658" s="28">
        <v>-94986.27</v>
      </c>
      <c r="D658" s="31">
        <v>85037.79</v>
      </c>
      <c r="E658" s="31">
        <v>-27729.2</v>
      </c>
    </row>
    <row r="659">
      <c r="A659" s="28">
        <v>17506.31</v>
      </c>
      <c r="B659" s="28">
        <v>-97256.92</v>
      </c>
      <c r="C659" s="28">
        <v>-6599.13</v>
      </c>
      <c r="D659" s="31">
        <v>37526.47</v>
      </c>
      <c r="E659" s="31">
        <v>72818.16</v>
      </c>
    </row>
    <row r="660">
      <c r="A660" s="28">
        <v>-23362.89</v>
      </c>
      <c r="B660" s="28">
        <v>56611.83</v>
      </c>
      <c r="C660" s="28">
        <v>93135.33</v>
      </c>
      <c r="D660" s="31">
        <v>-86426.99</v>
      </c>
      <c r="E660" s="31">
        <v>46508.26</v>
      </c>
    </row>
    <row r="661">
      <c r="A661" s="28">
        <v>-60776.79</v>
      </c>
      <c r="B661" s="28">
        <v>62286.66</v>
      </c>
      <c r="C661" s="28">
        <v>-96753.63</v>
      </c>
      <c r="D661" s="31">
        <v>30385.4</v>
      </c>
      <c r="E661" s="31">
        <v>-94527.33</v>
      </c>
    </row>
    <row r="662">
      <c r="A662" s="28">
        <v>-14356.05</v>
      </c>
      <c r="B662" s="28">
        <v>-45282.68</v>
      </c>
      <c r="C662" s="28">
        <v>-89809.09</v>
      </c>
      <c r="D662" s="31">
        <v>-28248.15</v>
      </c>
      <c r="E662" s="31">
        <v>-50004.14</v>
      </c>
    </row>
    <row r="663">
      <c r="A663" s="28">
        <v>81982.59</v>
      </c>
      <c r="B663" s="28">
        <v>16259.63</v>
      </c>
      <c r="C663" s="28">
        <v>-75241.68</v>
      </c>
      <c r="D663" s="31">
        <v>-12375.04</v>
      </c>
      <c r="E663" s="31">
        <v>3508.87</v>
      </c>
    </row>
    <row r="664">
      <c r="A664" s="28">
        <v>36505.64</v>
      </c>
      <c r="B664" s="28">
        <v>48827.88</v>
      </c>
      <c r="C664" s="28">
        <v>20388.99</v>
      </c>
      <c r="D664" s="31">
        <v>-67189.24</v>
      </c>
      <c r="E664" s="31">
        <v>-55544.65</v>
      </c>
    </row>
    <row r="665">
      <c r="A665" s="28">
        <v>-64468.75</v>
      </c>
      <c r="B665" s="28">
        <v>-3949.92</v>
      </c>
      <c r="C665" s="28">
        <v>-22846.15</v>
      </c>
      <c r="D665" s="31">
        <v>16716.59</v>
      </c>
      <c r="E665" s="31">
        <v>-38021.83</v>
      </c>
    </row>
    <row r="666">
      <c r="A666" s="28">
        <v>-22454.34</v>
      </c>
      <c r="B666" s="28">
        <v>-7259.37</v>
      </c>
      <c r="C666" s="28">
        <v>-26417.42</v>
      </c>
      <c r="D666" s="31">
        <v>-61196.39</v>
      </c>
      <c r="E666" s="31">
        <v>-81122.65</v>
      </c>
    </row>
    <row r="667">
      <c r="A667" s="28">
        <v>37577.16</v>
      </c>
      <c r="B667" s="28">
        <v>69844.96</v>
      </c>
      <c r="C667" s="28">
        <v>-81537.8</v>
      </c>
      <c r="D667" s="31">
        <v>-88228.98</v>
      </c>
      <c r="E667" s="31">
        <v>40284.08</v>
      </c>
    </row>
    <row r="668">
      <c r="A668" s="28">
        <v>-44242.18</v>
      </c>
      <c r="B668" s="28">
        <v>34073.82</v>
      </c>
      <c r="C668" s="28">
        <v>34919.99</v>
      </c>
      <c r="D668" s="31">
        <v>34313.73</v>
      </c>
      <c r="E668" s="31">
        <v>-93096.63</v>
      </c>
    </row>
    <row r="669">
      <c r="A669" s="28">
        <v>-25165.61</v>
      </c>
      <c r="B669" s="28">
        <v>-38225.6</v>
      </c>
      <c r="C669" s="28">
        <v>74443.4</v>
      </c>
      <c r="D669" s="31">
        <v>-33083.23</v>
      </c>
      <c r="E669" s="31">
        <v>68391.98</v>
      </c>
    </row>
    <row r="670">
      <c r="A670" s="28">
        <v>38747.43</v>
      </c>
      <c r="B670" s="28">
        <v>-6873.04</v>
      </c>
      <c r="C670" s="28">
        <v>77869.82</v>
      </c>
      <c r="D670" s="31">
        <v>-95888.18</v>
      </c>
      <c r="E670" s="31">
        <v>-63049.05</v>
      </c>
    </row>
    <row r="671">
      <c r="A671" s="28">
        <v>-8774.16</v>
      </c>
      <c r="B671" s="28">
        <v>-59344.45</v>
      </c>
      <c r="C671" s="28">
        <v>50164.17</v>
      </c>
      <c r="D671" s="31">
        <v>-85088.5</v>
      </c>
      <c r="E671" s="31">
        <v>15420.84</v>
      </c>
    </row>
    <row r="672">
      <c r="A672" s="28">
        <v>-34786.85</v>
      </c>
      <c r="B672" s="28">
        <v>-49263.92</v>
      </c>
      <c r="C672" s="28">
        <v>85440.07</v>
      </c>
      <c r="D672" s="31">
        <v>40398.15</v>
      </c>
      <c r="E672" s="31">
        <v>10196.75</v>
      </c>
    </row>
    <row r="673">
      <c r="A673" s="28">
        <v>-5792.07</v>
      </c>
      <c r="B673" s="28">
        <v>-72321.39</v>
      </c>
      <c r="C673" s="28">
        <v>-9766.84</v>
      </c>
      <c r="D673" s="31">
        <v>-29510.45</v>
      </c>
      <c r="E673" s="31">
        <v>-95941.66</v>
      </c>
    </row>
    <row r="674">
      <c r="A674" s="28">
        <v>-69876.57</v>
      </c>
      <c r="B674" s="28">
        <v>56583.64</v>
      </c>
      <c r="C674" s="28">
        <v>81526.04</v>
      </c>
      <c r="D674" s="31">
        <v>-64758.62</v>
      </c>
      <c r="E674" s="31">
        <v>91290.32</v>
      </c>
    </row>
    <row r="675">
      <c r="A675" s="28">
        <v>-21089.11</v>
      </c>
      <c r="B675" s="28">
        <v>40195.66</v>
      </c>
      <c r="C675" s="28">
        <v>-96530.51</v>
      </c>
      <c r="D675" s="31">
        <v>92825.71</v>
      </c>
      <c r="E675" s="31">
        <v>-8669.49</v>
      </c>
    </row>
    <row r="676">
      <c r="A676" s="28">
        <v>-95918.61</v>
      </c>
      <c r="B676" s="28">
        <v>-43720.22</v>
      </c>
      <c r="C676" s="28">
        <v>-57155.19</v>
      </c>
      <c r="D676" s="31">
        <v>73019.95</v>
      </c>
      <c r="E676" s="31">
        <v>75830.06</v>
      </c>
    </row>
    <row r="677">
      <c r="A677" s="28">
        <v>47336.04</v>
      </c>
      <c r="B677" s="28">
        <v>-25731.44</v>
      </c>
      <c r="C677" s="28">
        <v>-87405.21</v>
      </c>
      <c r="D677" s="31">
        <v>91207.68</v>
      </c>
      <c r="E677" s="31">
        <v>-56949.96</v>
      </c>
    </row>
    <row r="678">
      <c r="A678" s="28">
        <v>-89260.93</v>
      </c>
      <c r="B678" s="28">
        <v>3608.98</v>
      </c>
      <c r="C678" s="28">
        <v>36589.13</v>
      </c>
      <c r="D678" s="31">
        <v>-88434.25</v>
      </c>
      <c r="E678" s="31">
        <v>57903.37</v>
      </c>
    </row>
    <row r="679">
      <c r="A679" s="28">
        <v>-74232.41</v>
      </c>
      <c r="B679" s="28">
        <v>52444.49</v>
      </c>
      <c r="C679" s="28">
        <v>76427.33</v>
      </c>
      <c r="D679" s="31">
        <v>57644.74</v>
      </c>
      <c r="E679" s="31">
        <v>-51094.32</v>
      </c>
    </row>
    <row r="680">
      <c r="A680" s="28">
        <v>81391.32</v>
      </c>
      <c r="B680" s="28">
        <v>85170.62</v>
      </c>
      <c r="C680" s="28">
        <v>-76776.65</v>
      </c>
      <c r="D680" s="31">
        <v>1119.14</v>
      </c>
      <c r="E680" s="31">
        <v>18449.09</v>
      </c>
    </row>
    <row r="681">
      <c r="A681" s="28">
        <v>-2967.5</v>
      </c>
      <c r="B681" s="28">
        <v>95883.9</v>
      </c>
      <c r="C681" s="28">
        <v>-59181.41</v>
      </c>
      <c r="D681" s="31">
        <v>98511.71</v>
      </c>
      <c r="E681" s="31">
        <v>-10442.81</v>
      </c>
    </row>
    <row r="682">
      <c r="A682" s="28">
        <v>-32140.25</v>
      </c>
      <c r="B682" s="28">
        <v>-78184.03</v>
      </c>
      <c r="C682" s="28">
        <v>-61379.15</v>
      </c>
      <c r="D682" s="31">
        <v>-84089.86</v>
      </c>
      <c r="E682" s="31">
        <v>-29596.76</v>
      </c>
    </row>
    <row r="683">
      <c r="A683" s="28">
        <v>-73646.04</v>
      </c>
      <c r="B683" s="28">
        <v>-67724.39</v>
      </c>
      <c r="C683" s="28">
        <v>10898.65</v>
      </c>
      <c r="D683" s="31">
        <v>29804.89</v>
      </c>
      <c r="E683" s="31">
        <v>-50390.23</v>
      </c>
    </row>
    <row r="684">
      <c r="A684" s="28">
        <v>26108.99</v>
      </c>
      <c r="B684" s="28">
        <v>74059.36</v>
      </c>
      <c r="C684" s="28">
        <v>41377.91</v>
      </c>
      <c r="D684" s="31">
        <v>78381.41</v>
      </c>
      <c r="E684" s="31">
        <v>54264.1</v>
      </c>
    </row>
    <row r="685">
      <c r="A685" s="28">
        <v>96883.9</v>
      </c>
      <c r="B685" s="28">
        <v>-23379.69</v>
      </c>
      <c r="C685" s="28">
        <v>20650.16</v>
      </c>
      <c r="D685" s="31">
        <v>20360.34</v>
      </c>
      <c r="E685" s="31">
        <v>-30278.7</v>
      </c>
    </row>
    <row r="686">
      <c r="A686" s="28">
        <v>43628.0</v>
      </c>
      <c r="B686" s="28">
        <v>45794.28</v>
      </c>
      <c r="C686" s="28">
        <v>94566.0</v>
      </c>
      <c r="D686" s="31">
        <v>-39892.13</v>
      </c>
      <c r="E686" s="31">
        <v>71396.6</v>
      </c>
    </row>
    <row r="687">
      <c r="A687" s="28">
        <v>-57073.18</v>
      </c>
      <c r="B687" s="28">
        <v>-60335.46</v>
      </c>
      <c r="C687" s="28">
        <v>67562.39</v>
      </c>
      <c r="D687" s="31">
        <v>70719.23</v>
      </c>
      <c r="E687" s="31">
        <v>87073.26</v>
      </c>
    </row>
    <row r="688">
      <c r="A688" s="28">
        <v>-62401.77</v>
      </c>
      <c r="B688" s="28">
        <v>-99542.18</v>
      </c>
      <c r="C688" s="28">
        <v>-79329.97</v>
      </c>
      <c r="D688" s="31">
        <v>61654.05</v>
      </c>
      <c r="E688" s="31">
        <v>49585.53</v>
      </c>
    </row>
    <row r="689">
      <c r="A689" s="28">
        <v>-10489.92</v>
      </c>
      <c r="B689" s="28">
        <v>-2169.92</v>
      </c>
      <c r="C689" s="28">
        <v>-92606.23</v>
      </c>
      <c r="D689" s="31">
        <v>38834.65</v>
      </c>
      <c r="E689" s="31">
        <v>77012.65</v>
      </c>
    </row>
    <row r="690">
      <c r="A690" s="28">
        <v>48597.51</v>
      </c>
      <c r="B690" s="28">
        <v>42913.35</v>
      </c>
      <c r="C690" s="28">
        <v>-4943.84</v>
      </c>
      <c r="D690" s="31">
        <v>2586.69</v>
      </c>
      <c r="E690" s="31">
        <v>25153.7</v>
      </c>
    </row>
    <row r="691">
      <c r="A691" s="28">
        <v>-80635.62</v>
      </c>
      <c r="B691" s="28">
        <v>46416.65</v>
      </c>
      <c r="C691" s="28">
        <v>-34973.21</v>
      </c>
      <c r="D691" s="31">
        <v>34045.4</v>
      </c>
      <c r="E691" s="31">
        <v>70689.48</v>
      </c>
    </row>
    <row r="692">
      <c r="A692" s="28">
        <v>-10304.5</v>
      </c>
      <c r="B692" s="28">
        <v>33427.83</v>
      </c>
      <c r="C692" s="28">
        <v>-82421.65</v>
      </c>
      <c r="D692" s="31">
        <v>35746.23</v>
      </c>
      <c r="E692" s="31">
        <v>11946.15</v>
      </c>
    </row>
    <row r="693">
      <c r="A693" s="28">
        <v>91477.34</v>
      </c>
      <c r="B693" s="28">
        <v>-54788.23</v>
      </c>
      <c r="C693" s="28">
        <v>99831.17</v>
      </c>
      <c r="D693" s="31">
        <v>-21621.81</v>
      </c>
      <c r="E693" s="31">
        <v>-88590.38</v>
      </c>
    </row>
    <row r="694">
      <c r="A694" s="28">
        <v>31819.58</v>
      </c>
      <c r="B694" s="28">
        <v>94147.36</v>
      </c>
      <c r="C694" s="28">
        <v>17566.95</v>
      </c>
      <c r="D694" s="31">
        <v>-33202.82</v>
      </c>
      <c r="E694" s="31">
        <v>42543.73</v>
      </c>
    </row>
    <row r="695">
      <c r="A695" s="28">
        <v>42867.09</v>
      </c>
      <c r="B695" s="28">
        <v>18671.38</v>
      </c>
      <c r="C695" s="28">
        <v>53743.73</v>
      </c>
      <c r="D695" s="31">
        <v>-70362.35</v>
      </c>
      <c r="E695" s="31">
        <v>29125.41</v>
      </c>
    </row>
    <row r="696">
      <c r="A696" s="28">
        <v>-29477.24</v>
      </c>
      <c r="B696" s="28">
        <v>51557.56</v>
      </c>
      <c r="C696" s="28">
        <v>62406.45</v>
      </c>
      <c r="D696" s="31">
        <v>61613.26</v>
      </c>
      <c r="E696" s="31">
        <v>15844.1</v>
      </c>
    </row>
    <row r="697">
      <c r="A697" s="28">
        <v>46144.56</v>
      </c>
      <c r="B697" s="28">
        <v>93431.41</v>
      </c>
      <c r="C697" s="28">
        <v>-87312.1</v>
      </c>
      <c r="D697" s="31">
        <v>-88288.77</v>
      </c>
      <c r="E697" s="31">
        <v>67507.34</v>
      </c>
    </row>
    <row r="698">
      <c r="A698" s="28">
        <v>16305.32</v>
      </c>
      <c r="B698" s="28">
        <v>44078.48</v>
      </c>
      <c r="C698" s="28">
        <v>-5399.66</v>
      </c>
      <c r="D698" s="31">
        <v>56442.63</v>
      </c>
      <c r="E698" s="31">
        <v>-67299.8</v>
      </c>
    </row>
    <row r="699">
      <c r="A699" s="28">
        <v>-27609.95</v>
      </c>
      <c r="B699" s="28">
        <v>4336.55</v>
      </c>
      <c r="C699" s="28">
        <v>-38447.22</v>
      </c>
      <c r="D699" s="31">
        <v>91765.68</v>
      </c>
      <c r="E699" s="31">
        <v>-28294.31</v>
      </c>
    </row>
    <row r="700">
      <c r="A700" s="28">
        <v>15651.17</v>
      </c>
      <c r="B700" s="28">
        <v>10303.19</v>
      </c>
      <c r="C700" s="28">
        <v>-30492.9</v>
      </c>
      <c r="D700" s="31">
        <v>82251.93</v>
      </c>
      <c r="E700" s="31">
        <v>3230.76</v>
      </c>
    </row>
    <row r="701">
      <c r="A701" s="28">
        <v>87449.68</v>
      </c>
      <c r="B701" s="28">
        <v>53930.34</v>
      </c>
      <c r="C701" s="28">
        <v>-58360.14</v>
      </c>
      <c r="D701" s="31">
        <v>-24772.17</v>
      </c>
      <c r="E701" s="31">
        <v>99288.11</v>
      </c>
    </row>
    <row r="702">
      <c r="A702" s="28">
        <v>-25785.16</v>
      </c>
      <c r="B702" s="28">
        <v>21916.28</v>
      </c>
      <c r="C702" s="28">
        <v>-27414.62</v>
      </c>
      <c r="D702" s="31">
        <v>61389.57</v>
      </c>
      <c r="E702" s="31">
        <v>85080.39</v>
      </c>
    </row>
    <row r="703">
      <c r="A703" s="28">
        <v>70082.87</v>
      </c>
      <c r="B703" s="28">
        <v>-48665.41</v>
      </c>
      <c r="C703" s="28">
        <v>-4267.35</v>
      </c>
      <c r="D703" s="31">
        <v>-29397.9</v>
      </c>
      <c r="E703" s="31">
        <v>42159.73</v>
      </c>
    </row>
    <row r="704">
      <c r="A704" s="28">
        <v>92127.05</v>
      </c>
      <c r="B704" s="28">
        <v>-53382.55</v>
      </c>
      <c r="C704" s="28">
        <v>99981.58</v>
      </c>
      <c r="D704" s="31">
        <v>30173.39</v>
      </c>
      <c r="E704" s="31">
        <v>-2145.07</v>
      </c>
    </row>
    <row r="705">
      <c r="A705" s="28">
        <v>68570.91</v>
      </c>
      <c r="B705" s="28">
        <v>-69227.56</v>
      </c>
      <c r="C705" s="28">
        <v>-79735.61</v>
      </c>
      <c r="D705" s="31">
        <v>-38049.66</v>
      </c>
      <c r="E705" s="31">
        <v>-81634.6</v>
      </c>
    </row>
    <row r="706">
      <c r="A706" s="28">
        <v>-66618.48</v>
      </c>
      <c r="B706" s="28">
        <v>8643.64</v>
      </c>
      <c r="C706" s="28">
        <v>-20560.71</v>
      </c>
      <c r="D706" s="31">
        <v>-3334.53</v>
      </c>
      <c r="E706" s="31">
        <v>25333.66</v>
      </c>
    </row>
    <row r="707">
      <c r="A707" s="28">
        <v>-21877.65</v>
      </c>
      <c r="B707" s="28">
        <v>-87082.16</v>
      </c>
      <c r="C707" s="28">
        <v>88160.65</v>
      </c>
      <c r="D707" s="31">
        <v>60245.19</v>
      </c>
      <c r="E707" s="31">
        <v>-72827.04</v>
      </c>
    </row>
    <row r="708">
      <c r="A708" s="28">
        <v>99561.11</v>
      </c>
      <c r="B708" s="28">
        <v>19084.88</v>
      </c>
      <c r="C708" s="28">
        <v>81173.04</v>
      </c>
      <c r="D708" s="31">
        <v>-35714.43</v>
      </c>
      <c r="E708" s="31">
        <v>82084.11</v>
      </c>
    </row>
    <row r="709">
      <c r="A709" s="28">
        <v>-82308.93</v>
      </c>
      <c r="B709" s="28">
        <v>-92130.95</v>
      </c>
      <c r="C709" s="28">
        <v>98576.78</v>
      </c>
      <c r="D709" s="31">
        <v>59255.64</v>
      </c>
      <c r="E709" s="31">
        <v>12754.88</v>
      </c>
    </row>
    <row r="710">
      <c r="A710" s="28">
        <v>-67659.92</v>
      </c>
      <c r="B710" s="28">
        <v>34508.54</v>
      </c>
      <c r="C710" s="28">
        <v>51603.39</v>
      </c>
      <c r="D710" s="31">
        <v>67488.77</v>
      </c>
      <c r="E710" s="31">
        <v>-33177.85</v>
      </c>
    </row>
    <row r="711">
      <c r="A711" s="28">
        <v>40934.47</v>
      </c>
      <c r="B711" s="28">
        <v>-40375.67</v>
      </c>
      <c r="C711" s="28">
        <v>-78523.56</v>
      </c>
      <c r="D711" s="31">
        <v>63055.05</v>
      </c>
      <c r="E711" s="31">
        <v>-87679.96</v>
      </c>
    </row>
    <row r="712">
      <c r="A712" s="28">
        <v>27534.95</v>
      </c>
      <c r="B712" s="28">
        <v>-15510.72</v>
      </c>
      <c r="C712" s="28">
        <v>-7734.2</v>
      </c>
      <c r="D712" s="31">
        <v>-12262.53</v>
      </c>
      <c r="E712" s="31">
        <v>-36899.19</v>
      </c>
    </row>
    <row r="713">
      <c r="A713" s="28">
        <v>19511.76</v>
      </c>
      <c r="B713" s="28">
        <v>92104.32</v>
      </c>
      <c r="C713" s="28">
        <v>68319.57</v>
      </c>
      <c r="D713" s="31">
        <v>-77515.39</v>
      </c>
      <c r="E713" s="31">
        <v>-20860.16</v>
      </c>
    </row>
    <row r="714">
      <c r="A714" s="28">
        <v>-72353.97</v>
      </c>
      <c r="B714" s="28">
        <v>66445.79</v>
      </c>
      <c r="C714" s="28">
        <v>85455.52</v>
      </c>
      <c r="D714" s="31">
        <v>-15313.42</v>
      </c>
      <c r="E714" s="31">
        <v>-90997.31</v>
      </c>
    </row>
    <row r="715">
      <c r="A715" s="28">
        <v>82402.68</v>
      </c>
      <c r="B715" s="28">
        <v>-32223.84</v>
      </c>
      <c r="C715" s="28">
        <v>77764.53</v>
      </c>
      <c r="D715" s="31">
        <v>41642.29</v>
      </c>
      <c r="E715" s="31">
        <v>1737.61</v>
      </c>
    </row>
    <row r="716">
      <c r="A716" s="28">
        <v>-14221.97</v>
      </c>
      <c r="B716" s="28">
        <v>-27075.7</v>
      </c>
      <c r="C716" s="28">
        <v>87595.33</v>
      </c>
      <c r="D716" s="31">
        <v>73820.65</v>
      </c>
      <c r="E716" s="31">
        <v>59088.22</v>
      </c>
    </row>
    <row r="717">
      <c r="A717" s="28">
        <v>99586.25</v>
      </c>
      <c r="B717" s="28">
        <v>-38491.28</v>
      </c>
      <c r="C717" s="28">
        <v>78044.55</v>
      </c>
      <c r="D717" s="31">
        <v>77682.36</v>
      </c>
      <c r="E717" s="31">
        <v>88720.98</v>
      </c>
    </row>
    <row r="718">
      <c r="A718" s="28">
        <v>44921.65</v>
      </c>
      <c r="B718" s="28">
        <v>-38976.55</v>
      </c>
      <c r="C718" s="28">
        <v>50170.55</v>
      </c>
      <c r="D718" s="31">
        <v>80774.33</v>
      </c>
      <c r="E718" s="31">
        <v>46666.72</v>
      </c>
    </row>
    <row r="719">
      <c r="A719" s="28">
        <v>-89996.67</v>
      </c>
      <c r="B719" s="28">
        <v>61936.88</v>
      </c>
      <c r="C719" s="28">
        <v>-89384.46</v>
      </c>
      <c r="D719" s="31">
        <v>19685.34</v>
      </c>
      <c r="E719" s="31">
        <v>-53848.95</v>
      </c>
    </row>
    <row r="720">
      <c r="A720" s="28">
        <v>93999.32</v>
      </c>
      <c r="B720" s="28">
        <v>-16534.99</v>
      </c>
      <c r="C720" s="28">
        <v>-48755.62</v>
      </c>
      <c r="D720" s="31">
        <v>-91213.69</v>
      </c>
      <c r="E720" s="31">
        <v>-70619.37</v>
      </c>
    </row>
    <row r="721">
      <c r="A721" s="28">
        <v>-73917.67</v>
      </c>
      <c r="B721" s="28">
        <v>71187.27</v>
      </c>
      <c r="C721" s="28">
        <v>73860.57</v>
      </c>
      <c r="D721" s="31">
        <v>-97691.06</v>
      </c>
      <c r="E721" s="31">
        <v>74943.69</v>
      </c>
    </row>
    <row r="722">
      <c r="A722" s="28">
        <v>65927.48</v>
      </c>
      <c r="B722" s="28">
        <v>-79328.58</v>
      </c>
      <c r="C722" s="28">
        <v>86125.86</v>
      </c>
      <c r="D722" s="31">
        <v>-90372.77</v>
      </c>
      <c r="E722" s="31">
        <v>-80315.37</v>
      </c>
    </row>
    <row r="723">
      <c r="A723" s="28">
        <v>46629.94</v>
      </c>
      <c r="B723" s="28">
        <v>11027.38</v>
      </c>
      <c r="C723" s="28">
        <v>62414.82</v>
      </c>
      <c r="D723" s="31">
        <v>83170.11</v>
      </c>
      <c r="E723" s="31">
        <v>-16382.79</v>
      </c>
    </row>
    <row r="724">
      <c r="A724" s="28">
        <v>37764.4</v>
      </c>
      <c r="B724" s="28">
        <v>56258.73</v>
      </c>
      <c r="C724" s="28">
        <v>98055.03</v>
      </c>
      <c r="D724" s="31">
        <v>-56801.87</v>
      </c>
      <c r="E724" s="31">
        <v>-60990.71</v>
      </c>
    </row>
    <row r="725">
      <c r="A725" s="28">
        <v>4765.16</v>
      </c>
      <c r="B725" s="28">
        <v>83730.5</v>
      </c>
      <c r="C725" s="28">
        <v>92533.66</v>
      </c>
      <c r="D725" s="31">
        <v>-96355.96</v>
      </c>
      <c r="E725" s="31">
        <v>8411.29</v>
      </c>
    </row>
    <row r="726">
      <c r="A726" s="28">
        <v>49036.21</v>
      </c>
      <c r="B726" s="28">
        <v>-41804.32</v>
      </c>
      <c r="C726" s="28">
        <v>68594.44</v>
      </c>
      <c r="D726" s="31">
        <v>-40973.19</v>
      </c>
      <c r="E726" s="31">
        <v>-94180.67</v>
      </c>
    </row>
    <row r="727">
      <c r="A727" s="28">
        <v>65774.41</v>
      </c>
      <c r="B727" s="28">
        <v>93781.89</v>
      </c>
      <c r="C727" s="28">
        <v>-93786.15</v>
      </c>
      <c r="D727" s="31">
        <v>-2770.2</v>
      </c>
      <c r="E727" s="31">
        <v>-7435.75</v>
      </c>
    </row>
    <row r="728">
      <c r="A728" s="28">
        <v>-22718.9</v>
      </c>
      <c r="B728" s="28">
        <v>-76931.27</v>
      </c>
      <c r="C728" s="28">
        <v>65670.16</v>
      </c>
      <c r="D728" s="31">
        <v>-20173.58</v>
      </c>
      <c r="E728" s="31">
        <v>-2161.32</v>
      </c>
    </row>
    <row r="729">
      <c r="A729" s="28">
        <v>-23776.03</v>
      </c>
      <c r="B729" s="28">
        <v>79122.02</v>
      </c>
      <c r="C729" s="28">
        <v>-79656.79</v>
      </c>
      <c r="D729" s="31">
        <v>-48821.17</v>
      </c>
      <c r="E729" s="31">
        <v>95801.26</v>
      </c>
    </row>
    <row r="730">
      <c r="A730" s="28">
        <v>-16383.67</v>
      </c>
      <c r="B730" s="28">
        <v>82166.56</v>
      </c>
      <c r="C730" s="28">
        <v>-45190.01</v>
      </c>
      <c r="D730" s="31">
        <v>-56676.8</v>
      </c>
      <c r="E730" s="31">
        <v>85680.75</v>
      </c>
    </row>
    <row r="731">
      <c r="A731" s="28">
        <v>1371.89</v>
      </c>
      <c r="B731" s="28">
        <v>-89741.13</v>
      </c>
      <c r="C731" s="28">
        <v>-99243.62</v>
      </c>
      <c r="D731" s="31">
        <v>59821.77</v>
      </c>
      <c r="E731" s="31">
        <v>-44591.41</v>
      </c>
    </row>
    <row r="732">
      <c r="A732" s="28">
        <v>-46767.94</v>
      </c>
      <c r="B732" s="28">
        <v>-30928.45</v>
      </c>
      <c r="C732" s="28">
        <v>66690.21</v>
      </c>
      <c r="D732" s="31">
        <v>-10735.37</v>
      </c>
      <c r="E732" s="31">
        <v>-83056.24</v>
      </c>
    </row>
    <row r="733">
      <c r="A733" s="28">
        <v>97677.46</v>
      </c>
      <c r="B733" s="28">
        <v>-26746.69</v>
      </c>
      <c r="C733" s="28">
        <v>-29953.96</v>
      </c>
      <c r="D733" s="31">
        <v>79981.77</v>
      </c>
      <c r="E733" s="31">
        <v>-77156.75</v>
      </c>
    </row>
    <row r="734">
      <c r="A734" s="28">
        <v>62794.13</v>
      </c>
      <c r="B734" s="28">
        <v>-49280.1</v>
      </c>
      <c r="C734" s="28">
        <v>-78887.71</v>
      </c>
      <c r="D734" s="31">
        <v>93252.92</v>
      </c>
      <c r="E734" s="31">
        <v>-38113.78</v>
      </c>
    </row>
    <row r="735">
      <c r="A735" s="28">
        <v>-18046.3</v>
      </c>
      <c r="B735" s="28">
        <v>41662.38</v>
      </c>
      <c r="C735" s="28">
        <v>-3267.02</v>
      </c>
      <c r="D735" s="31">
        <v>72348.22</v>
      </c>
      <c r="E735" s="31">
        <v>-89730.54</v>
      </c>
    </row>
    <row r="736">
      <c r="A736" s="28">
        <v>51054.41</v>
      </c>
      <c r="B736" s="28">
        <v>-3881.91</v>
      </c>
      <c r="C736" s="28">
        <v>-78409.14</v>
      </c>
      <c r="D736" s="31">
        <v>32371.85</v>
      </c>
      <c r="E736" s="31">
        <v>-7364.69</v>
      </c>
    </row>
    <row r="737">
      <c r="A737" s="28">
        <v>-9479.83</v>
      </c>
      <c r="B737" s="28">
        <v>-67998.63</v>
      </c>
      <c r="C737" s="28">
        <v>35359.47</v>
      </c>
      <c r="D737" s="31">
        <v>91930.85</v>
      </c>
      <c r="E737" s="31">
        <v>67241.4</v>
      </c>
    </row>
    <row r="738">
      <c r="A738" s="28">
        <v>83122.54</v>
      </c>
      <c r="B738" s="28">
        <v>-63780.72</v>
      </c>
      <c r="C738" s="28">
        <v>26268.56</v>
      </c>
      <c r="D738" s="31">
        <v>92115.56</v>
      </c>
      <c r="E738" s="31">
        <v>-66548.66</v>
      </c>
    </row>
    <row r="739">
      <c r="A739" s="28">
        <v>62665.5</v>
      </c>
      <c r="B739" s="28">
        <v>-27180.49</v>
      </c>
      <c r="C739" s="28">
        <v>-27128.07</v>
      </c>
      <c r="D739" s="31">
        <v>-15180.87</v>
      </c>
      <c r="E739" s="31">
        <v>59243.67</v>
      </c>
    </row>
    <row r="740">
      <c r="A740" s="28">
        <v>24252.13</v>
      </c>
      <c r="B740" s="28">
        <v>-68766.76</v>
      </c>
      <c r="C740" s="28">
        <v>29005.0</v>
      </c>
      <c r="D740" s="31">
        <v>96122.24</v>
      </c>
      <c r="E740" s="31">
        <v>-69656.75</v>
      </c>
    </row>
    <row r="741">
      <c r="A741" s="28">
        <v>17993.37</v>
      </c>
      <c r="B741" s="28">
        <v>46913.35</v>
      </c>
      <c r="C741" s="28">
        <v>-86287.44</v>
      </c>
      <c r="D741" s="31">
        <v>-1040.38</v>
      </c>
      <c r="E741" s="31">
        <v>-55044.81</v>
      </c>
    </row>
    <row r="742">
      <c r="A742" s="28">
        <v>-58661.99</v>
      </c>
      <c r="B742" s="28">
        <v>-89288.45</v>
      </c>
      <c r="C742" s="28">
        <v>33840.66</v>
      </c>
      <c r="D742" s="31">
        <v>-47716.76</v>
      </c>
      <c r="E742" s="31">
        <v>-30779.72</v>
      </c>
    </row>
    <row r="743">
      <c r="A743" s="28">
        <v>17734.34</v>
      </c>
      <c r="B743" s="28">
        <v>-84731.64</v>
      </c>
      <c r="C743" s="28">
        <v>-74178.37</v>
      </c>
      <c r="D743" s="31">
        <v>81080.59</v>
      </c>
      <c r="E743" s="31">
        <v>50025.94</v>
      </c>
    </row>
    <row r="744">
      <c r="A744" s="28">
        <v>91932.95</v>
      </c>
      <c r="B744" s="28">
        <v>-69251.17</v>
      </c>
      <c r="C744" s="28">
        <v>36128.52</v>
      </c>
      <c r="D744" s="31">
        <v>62315.16</v>
      </c>
      <c r="E744" s="31">
        <v>11552.38</v>
      </c>
    </row>
    <row r="745">
      <c r="A745" s="28">
        <v>-35896.28</v>
      </c>
      <c r="B745" s="28">
        <v>1095.09</v>
      </c>
      <c r="C745" s="28">
        <v>-40952.86</v>
      </c>
      <c r="D745" s="31">
        <v>-19291.32</v>
      </c>
      <c r="E745" s="31">
        <v>62551.28</v>
      </c>
    </row>
    <row r="746">
      <c r="A746" s="28">
        <v>13786.19</v>
      </c>
      <c r="B746" s="28">
        <v>-14611.09</v>
      </c>
      <c r="C746" s="28">
        <v>-69529.01</v>
      </c>
      <c r="D746" s="31">
        <v>1856.3</v>
      </c>
      <c r="E746" s="31">
        <v>50834.96</v>
      </c>
    </row>
    <row r="747">
      <c r="A747" s="28">
        <v>-71038.43</v>
      </c>
      <c r="B747" s="28">
        <v>-3456.53</v>
      </c>
      <c r="C747" s="28">
        <v>-88845.53</v>
      </c>
      <c r="D747" s="31">
        <v>85572.73</v>
      </c>
      <c r="E747" s="31">
        <v>10522.93</v>
      </c>
    </row>
    <row r="748">
      <c r="A748" s="28">
        <v>80750.76</v>
      </c>
      <c r="B748" s="28">
        <v>-88917.5</v>
      </c>
      <c r="C748" s="28">
        <v>22499.1</v>
      </c>
      <c r="D748" s="31">
        <v>37999.45</v>
      </c>
      <c r="E748" s="31">
        <v>7697.1</v>
      </c>
    </row>
    <row r="749">
      <c r="A749" s="28">
        <v>-22548.31</v>
      </c>
      <c r="B749" s="28">
        <v>33779.53</v>
      </c>
      <c r="C749" s="28">
        <v>-2167.9</v>
      </c>
      <c r="D749" s="31">
        <v>81348.26</v>
      </c>
      <c r="E749" s="31">
        <v>6256.28</v>
      </c>
    </row>
    <row r="750">
      <c r="A750" s="28">
        <v>63541.25</v>
      </c>
      <c r="B750" s="28">
        <v>-22507.19</v>
      </c>
      <c r="C750" s="28">
        <v>17140.45</v>
      </c>
      <c r="D750" s="31">
        <v>13931.01</v>
      </c>
      <c r="E750" s="31">
        <v>-3485.29</v>
      </c>
    </row>
    <row r="751">
      <c r="A751" s="28">
        <v>4274.47</v>
      </c>
      <c r="B751" s="28">
        <v>24273.08</v>
      </c>
      <c r="C751" s="28">
        <v>-35819.22</v>
      </c>
      <c r="D751" s="31">
        <v>74838.67</v>
      </c>
      <c r="E751" s="31">
        <v>-20572.89</v>
      </c>
    </row>
    <row r="752">
      <c r="A752" s="28">
        <v>53454.08</v>
      </c>
      <c r="B752" s="28">
        <v>75954.61</v>
      </c>
      <c r="C752" s="28">
        <v>73496.92</v>
      </c>
      <c r="D752" s="31">
        <v>74002.93</v>
      </c>
      <c r="E752" s="31">
        <v>-89785.94</v>
      </c>
    </row>
    <row r="753">
      <c r="A753" s="28">
        <v>98748.23</v>
      </c>
      <c r="B753" s="28">
        <v>28073.52</v>
      </c>
      <c r="C753" s="28">
        <v>40703.22</v>
      </c>
      <c r="D753" s="31">
        <v>-54401.45</v>
      </c>
      <c r="E753" s="31">
        <v>-55784.55</v>
      </c>
    </row>
    <row r="754">
      <c r="A754" s="28">
        <v>21079.63</v>
      </c>
      <c r="B754" s="28">
        <v>-88437.11</v>
      </c>
      <c r="C754" s="28">
        <v>88089.96</v>
      </c>
      <c r="D754" s="31">
        <v>3268.19</v>
      </c>
      <c r="E754" s="31">
        <v>-25819.83</v>
      </c>
    </row>
    <row r="755">
      <c r="A755" s="28">
        <v>-78344.43</v>
      </c>
      <c r="B755" s="28">
        <v>-82908.33</v>
      </c>
      <c r="C755" s="28">
        <v>64475.56</v>
      </c>
      <c r="D755" s="31">
        <v>25582.62</v>
      </c>
      <c r="E755" s="31">
        <v>-35957.63</v>
      </c>
    </row>
    <row r="756">
      <c r="A756" s="28">
        <v>32659.21</v>
      </c>
      <c r="B756" s="28">
        <v>74889.25</v>
      </c>
      <c r="C756" s="28">
        <v>47165.37</v>
      </c>
      <c r="D756" s="31">
        <v>36342.21</v>
      </c>
      <c r="E756" s="31">
        <v>-43774.45</v>
      </c>
    </row>
    <row r="757">
      <c r="A757" s="28">
        <v>46494.46</v>
      </c>
      <c r="B757" s="28">
        <v>65714.78</v>
      </c>
      <c r="C757" s="28">
        <v>30249.71</v>
      </c>
      <c r="D757" s="31">
        <v>2812.1</v>
      </c>
      <c r="E757" s="31">
        <v>-10132.74</v>
      </c>
    </row>
    <row r="758">
      <c r="A758" s="28">
        <v>41301.95</v>
      </c>
      <c r="B758" s="28">
        <v>74246.14</v>
      </c>
      <c r="C758" s="28">
        <v>-43701.85</v>
      </c>
      <c r="D758" s="31">
        <v>43981.3</v>
      </c>
      <c r="E758" s="31">
        <v>66704.91</v>
      </c>
    </row>
    <row r="759">
      <c r="A759" s="28">
        <v>917.65</v>
      </c>
      <c r="B759" s="28">
        <v>82969.04</v>
      </c>
      <c r="C759" s="28">
        <v>-78388.95</v>
      </c>
      <c r="D759" s="31">
        <v>70868.94</v>
      </c>
      <c r="E759" s="31">
        <v>18180.38</v>
      </c>
    </row>
    <row r="760">
      <c r="A760" s="28">
        <v>39281.39</v>
      </c>
      <c r="B760" s="28">
        <v>9821.02</v>
      </c>
      <c r="C760" s="28">
        <v>-71717.84</v>
      </c>
      <c r="D760" s="31">
        <v>58020.73</v>
      </c>
      <c r="E760" s="31">
        <v>-52525.73</v>
      </c>
    </row>
    <row r="761">
      <c r="A761" s="28">
        <v>-7790.41</v>
      </c>
      <c r="B761" s="28">
        <v>70506.97</v>
      </c>
      <c r="C761" s="28">
        <v>21702.91</v>
      </c>
      <c r="D761" s="31">
        <v>-97613.76</v>
      </c>
      <c r="E761" s="31">
        <v>-4686.44</v>
      </c>
    </row>
    <row r="762">
      <c r="A762" s="28">
        <v>-50248.4</v>
      </c>
      <c r="B762" s="28">
        <v>-47496.37</v>
      </c>
      <c r="C762" s="28">
        <v>70182.35</v>
      </c>
      <c r="D762" s="31">
        <v>66374.01</v>
      </c>
      <c r="E762" s="31">
        <v>59841.01</v>
      </c>
    </row>
    <row r="763">
      <c r="A763" s="28">
        <v>-40537.19</v>
      </c>
      <c r="B763" s="28">
        <v>-8535.65</v>
      </c>
      <c r="C763" s="28">
        <v>-87057.97</v>
      </c>
      <c r="D763" s="31">
        <v>22957.75</v>
      </c>
      <c r="E763" s="31">
        <v>56267.25</v>
      </c>
    </row>
    <row r="764">
      <c r="A764" s="28">
        <v>-40481.95</v>
      </c>
      <c r="B764" s="28">
        <v>43960.2</v>
      </c>
      <c r="C764" s="28">
        <v>-81308.87</v>
      </c>
      <c r="D764" s="31">
        <v>-96487.94</v>
      </c>
      <c r="E764" s="31">
        <v>92276.73</v>
      </c>
    </row>
    <row r="765">
      <c r="A765" s="28">
        <v>41931.86</v>
      </c>
      <c r="B765" s="28">
        <v>-17041.89</v>
      </c>
      <c r="C765" s="28">
        <v>51082.45</v>
      </c>
      <c r="D765" s="31">
        <v>-962.97</v>
      </c>
      <c r="E765" s="31">
        <v>60636.6</v>
      </c>
    </row>
    <row r="766">
      <c r="A766" s="28">
        <v>-97409.14</v>
      </c>
      <c r="B766" s="28">
        <v>34933.77</v>
      </c>
      <c r="C766" s="28">
        <v>-63344.01</v>
      </c>
      <c r="D766" s="31">
        <v>-69921.39</v>
      </c>
      <c r="E766" s="31">
        <v>75219.52</v>
      </c>
    </row>
    <row r="767">
      <c r="A767" s="28">
        <v>77367.94</v>
      </c>
      <c r="B767" s="28">
        <v>78150.57</v>
      </c>
      <c r="C767" s="28">
        <v>79553.29</v>
      </c>
      <c r="D767" s="31">
        <v>62601.57</v>
      </c>
      <c r="E767" s="31">
        <v>-67638.44</v>
      </c>
    </row>
    <row r="768">
      <c r="A768" s="28">
        <v>-75558.43</v>
      </c>
      <c r="B768" s="28">
        <v>-73904.76</v>
      </c>
      <c r="C768" s="28">
        <v>91482.77</v>
      </c>
      <c r="D768" s="31">
        <v>-73396.17</v>
      </c>
      <c r="E768" s="31">
        <v>-45923.45</v>
      </c>
    </row>
    <row r="769">
      <c r="A769" s="28">
        <v>42051.03</v>
      </c>
      <c r="B769" s="28">
        <v>46323.41</v>
      </c>
      <c r="C769" s="28">
        <v>77738.43</v>
      </c>
      <c r="D769" s="31">
        <v>-6988.53</v>
      </c>
      <c r="E769" s="31">
        <v>87903.43</v>
      </c>
    </row>
    <row r="770">
      <c r="A770" s="28">
        <v>-38938.95</v>
      </c>
      <c r="B770" s="28">
        <v>14321.39</v>
      </c>
      <c r="C770" s="28">
        <v>-57536.62</v>
      </c>
      <c r="D770" s="31">
        <v>-66658.7</v>
      </c>
      <c r="E770" s="31">
        <v>-48387.76</v>
      </c>
    </row>
    <row r="771">
      <c r="A771" s="28">
        <v>94985.72</v>
      </c>
      <c r="B771" s="28">
        <v>-74692.45</v>
      </c>
      <c r="C771" s="28">
        <v>87851.46</v>
      </c>
      <c r="D771" s="31">
        <v>18401.08</v>
      </c>
      <c r="E771" s="31">
        <v>78660.68</v>
      </c>
    </row>
    <row r="772">
      <c r="A772" s="28">
        <v>9728.98</v>
      </c>
      <c r="B772" s="28">
        <v>-29880.39</v>
      </c>
      <c r="C772" s="28">
        <v>1478.66</v>
      </c>
      <c r="D772" s="31">
        <v>69209.26</v>
      </c>
      <c r="E772" s="31">
        <v>-80168.07</v>
      </c>
    </row>
    <row r="773">
      <c r="A773" s="28">
        <v>38816.53</v>
      </c>
      <c r="B773" s="28">
        <v>-74809.42</v>
      </c>
      <c r="C773" s="28">
        <v>-44501.64</v>
      </c>
      <c r="D773" s="31">
        <v>25453.3</v>
      </c>
      <c r="E773" s="31">
        <v>26149.53</v>
      </c>
    </row>
    <row r="774">
      <c r="A774" s="28">
        <v>35647.72</v>
      </c>
      <c r="B774" s="28">
        <v>-35319.06</v>
      </c>
      <c r="C774" s="28">
        <v>-3926.52</v>
      </c>
      <c r="D774" s="31">
        <v>-61242.06</v>
      </c>
      <c r="E774" s="31">
        <v>81696.57</v>
      </c>
    </row>
    <row r="775">
      <c r="A775" s="28">
        <v>-89584.25</v>
      </c>
      <c r="B775" s="28">
        <v>-22581.71</v>
      </c>
      <c r="C775" s="28">
        <v>42463.51</v>
      </c>
      <c r="D775" s="31">
        <v>-36078.53</v>
      </c>
      <c r="E775" s="31">
        <v>-74986.29</v>
      </c>
    </row>
    <row r="776">
      <c r="A776" s="28">
        <v>79526.89</v>
      </c>
      <c r="B776" s="28">
        <v>8440.79</v>
      </c>
      <c r="C776" s="28">
        <v>-3906.5</v>
      </c>
      <c r="D776" s="31">
        <v>-69640.05</v>
      </c>
      <c r="E776" s="31">
        <v>-89124.9</v>
      </c>
    </row>
    <row r="777">
      <c r="A777" s="28">
        <v>-15576.69</v>
      </c>
      <c r="B777" s="28">
        <v>31378.28</v>
      </c>
      <c r="C777" s="28">
        <v>-4855.02</v>
      </c>
      <c r="D777" s="31">
        <v>-2421.26</v>
      </c>
      <c r="E777" s="31">
        <v>-49516.31</v>
      </c>
    </row>
    <row r="778">
      <c r="A778" s="28">
        <v>62863.22</v>
      </c>
      <c r="B778" s="28">
        <v>-85889.74</v>
      </c>
      <c r="C778" s="28">
        <v>-28966.77</v>
      </c>
      <c r="D778" s="31">
        <v>-69544.22</v>
      </c>
      <c r="E778" s="31">
        <v>-66207.52</v>
      </c>
    </row>
    <row r="779">
      <c r="A779" s="28">
        <v>-13101.04</v>
      </c>
      <c r="B779" s="28">
        <v>-55897.97</v>
      </c>
      <c r="C779" s="28">
        <v>54038.97</v>
      </c>
      <c r="D779" s="31">
        <v>-10797.23</v>
      </c>
      <c r="E779" s="31">
        <v>-27021.18</v>
      </c>
    </row>
    <row r="780">
      <c r="A780" s="28">
        <v>-18722.19</v>
      </c>
      <c r="B780" s="28">
        <v>-27702.39</v>
      </c>
      <c r="C780" s="28">
        <v>96457.59</v>
      </c>
      <c r="D780" s="31">
        <v>28654.27</v>
      </c>
      <c r="E780" s="31">
        <v>17151.99</v>
      </c>
    </row>
    <row r="781">
      <c r="A781" s="28">
        <v>16003.26</v>
      </c>
      <c r="B781" s="28">
        <v>14647.75</v>
      </c>
      <c r="C781" s="28">
        <v>-35716.36</v>
      </c>
      <c r="D781" s="31">
        <v>-36952.52</v>
      </c>
      <c r="E781" s="31">
        <v>22551.33</v>
      </c>
    </row>
    <row r="782">
      <c r="A782" s="28">
        <v>700.23</v>
      </c>
      <c r="B782" s="28">
        <v>39511.31</v>
      </c>
      <c r="C782" s="28">
        <v>97621.42</v>
      </c>
      <c r="D782" s="31">
        <v>-26474.76</v>
      </c>
      <c r="E782" s="31">
        <v>-74430.82</v>
      </c>
    </row>
    <row r="783">
      <c r="A783" s="28">
        <v>69373.14</v>
      </c>
      <c r="B783" s="28">
        <v>-13516.3</v>
      </c>
      <c r="C783" s="28">
        <v>-55839.28</v>
      </c>
      <c r="D783" s="31">
        <v>18322.32</v>
      </c>
      <c r="E783" s="31">
        <v>7310.46</v>
      </c>
    </row>
    <row r="784">
      <c r="A784" s="28">
        <v>-45602.83</v>
      </c>
      <c r="B784" s="28">
        <v>-25870.36</v>
      </c>
      <c r="C784" s="28">
        <v>3575.97</v>
      </c>
      <c r="D784" s="31">
        <v>-82536.61</v>
      </c>
      <c r="E784" s="31">
        <v>11589.63</v>
      </c>
    </row>
    <row r="785">
      <c r="A785" s="28">
        <v>-13949.51</v>
      </c>
      <c r="B785" s="28">
        <v>34052.22</v>
      </c>
      <c r="C785" s="28">
        <v>-42867.78</v>
      </c>
      <c r="D785" s="31">
        <v>40283.31</v>
      </c>
      <c r="E785" s="31">
        <v>-78098.1</v>
      </c>
    </row>
    <row r="786">
      <c r="A786" s="28">
        <v>61830.71</v>
      </c>
      <c r="B786" s="28">
        <v>-1673.5</v>
      </c>
      <c r="C786" s="28">
        <v>22968.69</v>
      </c>
      <c r="D786" s="31">
        <v>-63429.04</v>
      </c>
      <c r="E786" s="31">
        <v>-10174.87</v>
      </c>
    </row>
    <row r="787">
      <c r="A787" s="28">
        <v>42339.06</v>
      </c>
      <c r="B787" s="28">
        <v>34825.27</v>
      </c>
      <c r="C787" s="28">
        <v>70341.52</v>
      </c>
      <c r="D787" s="31">
        <v>55286.61</v>
      </c>
      <c r="E787" s="31">
        <v>9723.57</v>
      </c>
    </row>
    <row r="788">
      <c r="A788" s="28">
        <v>45171.16</v>
      </c>
      <c r="B788" s="28">
        <v>-49526.08</v>
      </c>
      <c r="C788" s="28">
        <v>-77682.01</v>
      </c>
      <c r="D788" s="31">
        <v>-53184.54</v>
      </c>
      <c r="E788" s="31">
        <v>54353.56</v>
      </c>
    </row>
    <row r="789">
      <c r="A789" s="28">
        <v>55693.61</v>
      </c>
      <c r="B789" s="28">
        <v>-57467.24</v>
      </c>
      <c r="C789" s="28">
        <v>90485.55</v>
      </c>
      <c r="D789" s="31">
        <v>-80519.95</v>
      </c>
      <c r="E789" s="31">
        <v>-20253.27</v>
      </c>
    </row>
    <row r="790">
      <c r="A790" s="28">
        <v>47486.16</v>
      </c>
      <c r="B790" s="28">
        <v>24466.77</v>
      </c>
      <c r="C790" s="28">
        <v>31804.55</v>
      </c>
      <c r="D790" s="31">
        <v>-41981.68</v>
      </c>
      <c r="E790" s="31">
        <v>48219.08</v>
      </c>
    </row>
    <row r="791">
      <c r="A791" s="28">
        <v>3197.1</v>
      </c>
      <c r="B791" s="28">
        <v>-29571.31</v>
      </c>
      <c r="C791" s="28">
        <v>-22576.66</v>
      </c>
      <c r="D791" s="31">
        <v>-93143.67</v>
      </c>
      <c r="E791" s="31">
        <v>-8466.24</v>
      </c>
    </row>
    <row r="792">
      <c r="A792" s="28">
        <v>-3735.71</v>
      </c>
      <c r="B792" s="28">
        <v>-84592.25</v>
      </c>
      <c r="C792" s="28">
        <v>-50245.4</v>
      </c>
      <c r="D792" s="31">
        <v>53112.25</v>
      </c>
      <c r="E792" s="31">
        <v>3086.4</v>
      </c>
    </row>
    <row r="793">
      <c r="A793" s="28">
        <v>44660.27</v>
      </c>
      <c r="B793" s="28">
        <v>-44729.22</v>
      </c>
      <c r="C793" s="28">
        <v>-32145.0</v>
      </c>
      <c r="D793" s="31">
        <v>-69156.42</v>
      </c>
      <c r="E793" s="31">
        <v>70575.99</v>
      </c>
    </row>
    <row r="794">
      <c r="A794" s="28">
        <v>-71002.2</v>
      </c>
      <c r="B794" s="28">
        <v>-63534.46</v>
      </c>
      <c r="C794" s="28">
        <v>-80246.48</v>
      </c>
      <c r="D794" s="31">
        <v>37214.96</v>
      </c>
      <c r="E794" s="31">
        <v>-58090.6</v>
      </c>
    </row>
    <row r="795">
      <c r="A795" s="28">
        <v>7462.94</v>
      </c>
      <c r="B795" s="28">
        <v>15342.61</v>
      </c>
      <c r="C795" s="28">
        <v>39732.84</v>
      </c>
      <c r="D795" s="31">
        <v>88371.28</v>
      </c>
      <c r="E795" s="31">
        <v>-2058.02</v>
      </c>
    </row>
    <row r="796">
      <c r="A796" s="28">
        <v>-61908.03</v>
      </c>
      <c r="B796" s="28">
        <v>-43510.58</v>
      </c>
      <c r="C796" s="28">
        <v>-14120.43</v>
      </c>
      <c r="D796" s="31">
        <v>45808.22</v>
      </c>
      <c r="E796" s="31">
        <v>89529.61</v>
      </c>
    </row>
    <row r="797">
      <c r="A797" s="28">
        <v>85193.05</v>
      </c>
      <c r="B797" s="28">
        <v>72263.61</v>
      </c>
      <c r="C797" s="28">
        <v>-95960.33</v>
      </c>
      <c r="D797" s="31">
        <v>95423.96</v>
      </c>
      <c r="E797" s="31">
        <v>13229.05</v>
      </c>
    </row>
    <row r="798">
      <c r="A798" s="28">
        <v>-32392.97</v>
      </c>
      <c r="B798" s="28">
        <v>82193.47</v>
      </c>
      <c r="C798" s="28">
        <v>-15817.41</v>
      </c>
      <c r="D798" s="31">
        <v>90149.45</v>
      </c>
      <c r="E798" s="31">
        <v>13640.59</v>
      </c>
    </row>
    <row r="799">
      <c r="A799" s="28">
        <v>13511.78</v>
      </c>
      <c r="B799" s="28">
        <v>-77530.2</v>
      </c>
      <c r="C799" s="28">
        <v>-70789.21</v>
      </c>
      <c r="D799" s="31">
        <v>-20435.13</v>
      </c>
      <c r="E799" s="31">
        <v>-80955.79</v>
      </c>
    </row>
    <row r="800">
      <c r="A800" s="28">
        <v>-79572.23</v>
      </c>
      <c r="B800" s="28">
        <v>9574.96</v>
      </c>
      <c r="C800" s="28">
        <v>-78802.91</v>
      </c>
      <c r="D800" s="31">
        <v>-97794.81</v>
      </c>
      <c r="E800" s="31">
        <v>-90654.59</v>
      </c>
    </row>
    <row r="801">
      <c r="A801" s="28">
        <v>-95655.75</v>
      </c>
      <c r="B801" s="28">
        <v>21612.85</v>
      </c>
      <c r="C801" s="28">
        <v>-11035.77</v>
      </c>
      <c r="D801" s="31">
        <v>-80721.56</v>
      </c>
      <c r="E801" s="31">
        <v>4012.11</v>
      </c>
    </row>
    <row r="802">
      <c r="A802" s="28">
        <v>-34549.74</v>
      </c>
      <c r="B802" s="28">
        <v>-79405.67</v>
      </c>
      <c r="C802" s="28">
        <v>-93212.47</v>
      </c>
      <c r="D802" s="31">
        <v>-6017.31</v>
      </c>
      <c r="E802" s="31">
        <v>-34525.86</v>
      </c>
    </row>
    <row r="803">
      <c r="A803" s="28">
        <v>-69090.77</v>
      </c>
      <c r="B803" s="28">
        <v>-53806.85</v>
      </c>
      <c r="C803" s="28">
        <v>53282.23</v>
      </c>
      <c r="D803" s="31">
        <v>21517.27</v>
      </c>
      <c r="E803" s="31">
        <v>71338.64</v>
      </c>
    </row>
    <row r="804">
      <c r="A804" s="28">
        <v>-35936.53</v>
      </c>
      <c r="B804" s="28">
        <v>78349.98</v>
      </c>
      <c r="C804" s="28">
        <v>98934.75</v>
      </c>
      <c r="D804" s="31">
        <v>73294.76</v>
      </c>
      <c r="E804" s="31">
        <v>17825.4</v>
      </c>
    </row>
    <row r="805">
      <c r="A805" s="28">
        <v>-94967.58</v>
      </c>
      <c r="B805" s="28">
        <v>-35270.49</v>
      </c>
      <c r="C805" s="28">
        <v>82462.31</v>
      </c>
      <c r="D805" s="31">
        <v>-59815.36</v>
      </c>
      <c r="E805" s="31">
        <v>17876.47</v>
      </c>
    </row>
    <row r="806">
      <c r="A806" s="28">
        <v>11617.57</v>
      </c>
      <c r="B806" s="28">
        <v>-58543.21</v>
      </c>
      <c r="C806" s="28">
        <v>3221.74</v>
      </c>
      <c r="D806" s="31">
        <v>-81193.69</v>
      </c>
      <c r="E806" s="31">
        <v>95661.34</v>
      </c>
    </row>
    <row r="807">
      <c r="A807" s="28">
        <v>56821.92</v>
      </c>
      <c r="B807" s="28">
        <v>28806.98</v>
      </c>
      <c r="C807" s="28">
        <v>-76619.84</v>
      </c>
      <c r="D807" s="31">
        <v>-85484.57</v>
      </c>
      <c r="E807" s="31">
        <v>47723.49</v>
      </c>
    </row>
    <row r="808">
      <c r="A808" s="28">
        <v>-61672.27</v>
      </c>
      <c r="B808" s="28">
        <v>21802.17</v>
      </c>
      <c r="C808" s="28">
        <v>47854.91</v>
      </c>
      <c r="D808" s="31">
        <v>82759.37</v>
      </c>
      <c r="E808" s="31">
        <v>-50288.28</v>
      </c>
    </row>
    <row r="809">
      <c r="A809" s="28">
        <v>-83616.22</v>
      </c>
      <c r="B809" s="28">
        <v>31070.24</v>
      </c>
      <c r="C809" s="28">
        <v>-14380.06</v>
      </c>
      <c r="D809" s="31">
        <v>14849.41</v>
      </c>
      <c r="E809" s="31">
        <v>20400.49</v>
      </c>
    </row>
    <row r="810">
      <c r="A810" s="28">
        <v>96585.53</v>
      </c>
      <c r="B810" s="28">
        <v>-23199.85</v>
      </c>
      <c r="C810" s="28">
        <v>-99604.69</v>
      </c>
      <c r="D810" s="31">
        <v>16307.49</v>
      </c>
      <c r="E810" s="31">
        <v>6865.7</v>
      </c>
    </row>
    <row r="811">
      <c r="A811" s="28">
        <v>-90024.37</v>
      </c>
      <c r="B811" s="28">
        <v>-31383.76</v>
      </c>
      <c r="C811" s="28">
        <v>-5485.55</v>
      </c>
      <c r="D811" s="31">
        <v>78551.94</v>
      </c>
      <c r="E811" s="31">
        <v>-23376.44</v>
      </c>
    </row>
    <row r="812">
      <c r="A812" s="28">
        <v>60342.76</v>
      </c>
      <c r="B812" s="28">
        <v>-52986.15</v>
      </c>
      <c r="C812" s="28">
        <v>19296.05</v>
      </c>
      <c r="D812" s="31">
        <v>-95600.19</v>
      </c>
      <c r="E812" s="31">
        <v>48198.15</v>
      </c>
    </row>
    <row r="813">
      <c r="A813" s="28">
        <v>48773.4</v>
      </c>
      <c r="B813" s="28">
        <v>-18965.91</v>
      </c>
      <c r="C813" s="28">
        <v>70814.95</v>
      </c>
      <c r="D813" s="31">
        <v>-46568.09</v>
      </c>
      <c r="E813" s="31">
        <v>-59015.23</v>
      </c>
    </row>
    <row r="814">
      <c r="A814" s="28">
        <v>76587.94</v>
      </c>
      <c r="B814" s="28">
        <v>-81814.65</v>
      </c>
      <c r="C814" s="28">
        <v>66195.49</v>
      </c>
      <c r="D814" s="31">
        <v>52633.29</v>
      </c>
      <c r="E814" s="31">
        <v>-78531.17</v>
      </c>
    </row>
    <row r="815">
      <c r="A815" s="28">
        <v>72856.83</v>
      </c>
      <c r="B815" s="28">
        <v>83644.3</v>
      </c>
      <c r="C815" s="28">
        <v>-70413.37</v>
      </c>
      <c r="D815" s="31">
        <v>-49420.63</v>
      </c>
      <c r="E815" s="31">
        <v>-3398.96</v>
      </c>
    </row>
    <row r="816">
      <c r="A816" s="28">
        <v>-85328.27</v>
      </c>
      <c r="B816" s="28">
        <v>69057.35</v>
      </c>
      <c r="C816" s="28">
        <v>7976.67</v>
      </c>
      <c r="D816" s="31">
        <v>-31930.23</v>
      </c>
      <c r="E816" s="31">
        <v>57279.99</v>
      </c>
    </row>
    <row r="817">
      <c r="A817" s="28">
        <v>63616.04</v>
      </c>
      <c r="B817" s="28">
        <v>-71038.09</v>
      </c>
      <c r="C817" s="28">
        <v>33159.28</v>
      </c>
      <c r="D817" s="31">
        <v>-89513.93</v>
      </c>
      <c r="E817" s="31">
        <v>67843.88</v>
      </c>
    </row>
    <row r="818">
      <c r="A818" s="28">
        <v>89451.6</v>
      </c>
      <c r="B818" s="28">
        <v>48982.33</v>
      </c>
      <c r="C818" s="28">
        <v>-9142.23</v>
      </c>
      <c r="D818" s="31">
        <v>42057.24</v>
      </c>
      <c r="E818" s="31">
        <v>-95950.69</v>
      </c>
    </row>
    <row r="819">
      <c r="A819" s="28">
        <v>-89416.76</v>
      </c>
      <c r="B819" s="28">
        <v>9628.84</v>
      </c>
      <c r="C819" s="28">
        <v>-9853.46</v>
      </c>
      <c r="D819" s="31">
        <v>75373.09</v>
      </c>
      <c r="E819" s="31">
        <v>-2951.0</v>
      </c>
    </row>
    <row r="820">
      <c r="A820" s="28">
        <v>6089.19</v>
      </c>
      <c r="B820" s="28">
        <v>59749.63</v>
      </c>
      <c r="C820" s="28">
        <v>26276.28</v>
      </c>
      <c r="D820" s="31">
        <v>90510.22</v>
      </c>
      <c r="E820" s="31">
        <v>-49504.21</v>
      </c>
    </row>
    <row r="821">
      <c r="A821" s="28">
        <v>-33705.11</v>
      </c>
      <c r="B821" s="28">
        <v>-82671.98</v>
      </c>
      <c r="C821" s="28">
        <v>-53106.3</v>
      </c>
      <c r="D821" s="31">
        <v>-84940.68</v>
      </c>
      <c r="E821" s="31">
        <v>-348.09</v>
      </c>
    </row>
    <row r="822">
      <c r="A822" s="28">
        <v>-70674.42</v>
      </c>
      <c r="B822" s="28">
        <v>-73522.21</v>
      </c>
      <c r="C822" s="28">
        <v>-63478.72</v>
      </c>
      <c r="D822" s="31">
        <v>60345.42</v>
      </c>
      <c r="E822" s="31">
        <v>-33588.28</v>
      </c>
    </row>
    <row r="823">
      <c r="A823" s="28">
        <v>-72138.99</v>
      </c>
      <c r="B823" s="28">
        <v>-37111.12</v>
      </c>
      <c r="C823" s="28">
        <v>86000.73</v>
      </c>
      <c r="D823" s="31">
        <v>13646.23</v>
      </c>
      <c r="E823" s="31">
        <v>-77353.07</v>
      </c>
    </row>
    <row r="824">
      <c r="A824" s="28">
        <v>-27841.39</v>
      </c>
      <c r="B824" s="28">
        <v>-67926.04</v>
      </c>
      <c r="C824" s="28">
        <v>-71035.12</v>
      </c>
      <c r="D824" s="31">
        <v>69833.12</v>
      </c>
      <c r="E824" s="31">
        <v>80659.18</v>
      </c>
    </row>
    <row r="825">
      <c r="A825" s="28">
        <v>-32964.87</v>
      </c>
      <c r="B825" s="28">
        <v>-61007.21</v>
      </c>
      <c r="C825" s="28">
        <v>-98025.33</v>
      </c>
      <c r="D825" s="31">
        <v>90683.25</v>
      </c>
      <c r="E825" s="31">
        <v>53516.33</v>
      </c>
    </row>
    <row r="826">
      <c r="A826" s="28">
        <v>53508.38</v>
      </c>
      <c r="B826" s="28">
        <v>-30797.32</v>
      </c>
      <c r="C826" s="28">
        <v>-90977.55</v>
      </c>
      <c r="D826" s="31">
        <v>29931.04</v>
      </c>
      <c r="E826" s="31">
        <v>76538.91</v>
      </c>
    </row>
    <row r="827">
      <c r="A827" s="28">
        <v>54780.43</v>
      </c>
      <c r="B827" s="28">
        <v>-99837.38</v>
      </c>
      <c r="C827" s="28">
        <v>17309.51</v>
      </c>
      <c r="D827" s="31">
        <v>97016.83</v>
      </c>
      <c r="E827" s="31">
        <v>10901.82</v>
      </c>
    </row>
    <row r="828">
      <c r="A828" s="28">
        <v>39696.28</v>
      </c>
      <c r="B828" s="28">
        <v>91528.27</v>
      </c>
      <c r="C828" s="28">
        <v>-69801.67</v>
      </c>
      <c r="D828" s="31">
        <v>86655.57</v>
      </c>
      <c r="E828" s="31">
        <v>27416.42</v>
      </c>
    </row>
    <row r="829">
      <c r="A829" s="28">
        <v>-56861.81</v>
      </c>
      <c r="B829" s="28">
        <v>-42281.27</v>
      </c>
      <c r="C829" s="28">
        <v>-12454.88</v>
      </c>
      <c r="D829" s="31">
        <v>-10461.65</v>
      </c>
      <c r="E829" s="31">
        <v>-49231.43</v>
      </c>
    </row>
    <row r="830">
      <c r="A830" s="28">
        <v>42769.07</v>
      </c>
      <c r="B830" s="28">
        <v>-45963.3</v>
      </c>
      <c r="C830" s="28">
        <v>29710.68</v>
      </c>
      <c r="D830" s="31">
        <v>-34119.58</v>
      </c>
      <c r="E830" s="31">
        <v>-23505.75</v>
      </c>
    </row>
    <row r="831">
      <c r="A831" s="28">
        <v>78303.17</v>
      </c>
      <c r="B831" s="28">
        <v>-23708.77</v>
      </c>
      <c r="C831" s="28">
        <v>11084.97</v>
      </c>
      <c r="D831" s="31">
        <v>-81071.76</v>
      </c>
      <c r="E831" s="31">
        <v>-79143.03</v>
      </c>
    </row>
    <row r="832">
      <c r="A832" s="28">
        <v>-79261.71</v>
      </c>
      <c r="B832" s="28">
        <v>34572.56</v>
      </c>
      <c r="C832" s="28">
        <v>-38918.23</v>
      </c>
      <c r="D832" s="31">
        <v>84434.91</v>
      </c>
      <c r="E832" s="31">
        <v>35480.32</v>
      </c>
    </row>
    <row r="833">
      <c r="A833" s="28">
        <v>11254.97</v>
      </c>
      <c r="B833" s="28">
        <v>-85744.09</v>
      </c>
      <c r="C833" s="28">
        <v>64847.56</v>
      </c>
      <c r="D833" s="31">
        <v>33748.86</v>
      </c>
      <c r="E833" s="31">
        <v>43349.43</v>
      </c>
    </row>
    <row r="834">
      <c r="A834" s="28">
        <v>-84906.66</v>
      </c>
      <c r="B834" s="28">
        <v>-24826.08</v>
      </c>
      <c r="C834" s="28">
        <v>28726.73</v>
      </c>
      <c r="D834" s="31">
        <v>86033.5</v>
      </c>
      <c r="E834" s="31">
        <v>37196.56</v>
      </c>
    </row>
    <row r="835">
      <c r="A835" s="28">
        <v>-38470.08</v>
      </c>
      <c r="B835" s="28">
        <v>-96257.36</v>
      </c>
      <c r="C835" s="28">
        <v>79757.91</v>
      </c>
      <c r="D835" s="31">
        <v>61813.33</v>
      </c>
      <c r="E835" s="31">
        <v>-61583.42</v>
      </c>
    </row>
    <row r="836">
      <c r="A836" s="28">
        <v>-22905.47</v>
      </c>
      <c r="B836" s="28">
        <v>56323.83</v>
      </c>
      <c r="C836" s="28">
        <v>18696.51</v>
      </c>
      <c r="D836" s="31">
        <v>64575.64</v>
      </c>
      <c r="E836" s="31">
        <v>26344.44</v>
      </c>
    </row>
    <row r="837">
      <c r="A837" s="28">
        <v>-90028.86</v>
      </c>
      <c r="B837" s="28">
        <v>52051.72</v>
      </c>
      <c r="C837" s="28">
        <v>40604.96</v>
      </c>
      <c r="D837" s="31">
        <v>31464.61</v>
      </c>
      <c r="E837" s="31">
        <v>-91812.03</v>
      </c>
    </row>
    <row r="838">
      <c r="A838" s="28">
        <v>57449.7</v>
      </c>
      <c r="B838" s="28">
        <v>-47774.66</v>
      </c>
      <c r="C838" s="28">
        <v>-22192.3</v>
      </c>
      <c r="D838" s="31">
        <v>-29597.55</v>
      </c>
      <c r="E838" s="31">
        <v>-70545.9</v>
      </c>
    </row>
    <row r="839">
      <c r="A839" s="28">
        <v>99067.26</v>
      </c>
      <c r="B839" s="28">
        <v>17256.86</v>
      </c>
      <c r="C839" s="28">
        <v>53060.61</v>
      </c>
      <c r="D839" s="31">
        <v>59337.78</v>
      </c>
      <c r="E839" s="31">
        <v>-88948.1</v>
      </c>
    </row>
    <row r="840">
      <c r="A840" s="28">
        <v>-24965.12</v>
      </c>
      <c r="B840" s="28">
        <v>-8946.09</v>
      </c>
      <c r="C840" s="28">
        <v>-26439.58</v>
      </c>
      <c r="D840" s="31">
        <v>-6969.02</v>
      </c>
      <c r="E840" s="31">
        <v>-82014.83</v>
      </c>
    </row>
    <row r="841">
      <c r="A841" s="28">
        <v>20563.5</v>
      </c>
      <c r="B841" s="28">
        <v>30772.9</v>
      </c>
      <c r="C841" s="28">
        <v>27474.69</v>
      </c>
      <c r="D841" s="31">
        <v>-36214.69</v>
      </c>
      <c r="E841" s="31">
        <v>-4748.48</v>
      </c>
    </row>
    <row r="842">
      <c r="A842" s="28">
        <v>-67603.83</v>
      </c>
      <c r="B842" s="28">
        <v>-15613.12</v>
      </c>
      <c r="C842" s="28">
        <v>48682.37</v>
      </c>
      <c r="D842" s="31">
        <v>78697.83</v>
      </c>
      <c r="E842" s="31">
        <v>-34520.13</v>
      </c>
    </row>
    <row r="843">
      <c r="A843" s="28">
        <v>-29456.22</v>
      </c>
      <c r="B843" s="28">
        <v>59873.74</v>
      </c>
      <c r="C843" s="28">
        <v>-953.9</v>
      </c>
      <c r="D843" s="31">
        <v>-13839.61</v>
      </c>
      <c r="E843" s="31">
        <v>-17908.78</v>
      </c>
    </row>
    <row r="844">
      <c r="A844" s="28">
        <v>-50802.38</v>
      </c>
      <c r="B844" s="28">
        <v>-72697.93</v>
      </c>
      <c r="C844" s="28">
        <v>-66955.65</v>
      </c>
      <c r="D844" s="31">
        <v>-30095.44</v>
      </c>
      <c r="E844" s="31">
        <v>81874.98</v>
      </c>
    </row>
    <row r="845">
      <c r="A845" s="28">
        <v>29011.55</v>
      </c>
      <c r="B845" s="28">
        <v>-20029.31</v>
      </c>
      <c r="C845" s="28">
        <v>69755.72</v>
      </c>
      <c r="D845" s="31">
        <v>-91318.92</v>
      </c>
      <c r="E845" s="31">
        <v>35870.34</v>
      </c>
    </row>
    <row r="846">
      <c r="A846" s="28">
        <v>96996.25</v>
      </c>
      <c r="B846" s="28">
        <v>-19905.08</v>
      </c>
      <c r="C846" s="28">
        <v>7466.58</v>
      </c>
      <c r="D846" s="31">
        <v>-43915.67</v>
      </c>
      <c r="E846" s="31">
        <v>-97323.31</v>
      </c>
    </row>
    <row r="847">
      <c r="A847" s="28">
        <v>-1521.36</v>
      </c>
      <c r="B847" s="28">
        <v>-83322.76</v>
      </c>
      <c r="C847" s="28">
        <v>5178.76</v>
      </c>
      <c r="D847" s="31">
        <v>-51909.58</v>
      </c>
      <c r="E847" s="31">
        <v>-827.05</v>
      </c>
    </row>
    <row r="848">
      <c r="A848" s="28">
        <v>17139.98</v>
      </c>
      <c r="B848" s="28">
        <v>98965.04</v>
      </c>
      <c r="C848" s="28">
        <v>-58331.41</v>
      </c>
      <c r="D848" s="31">
        <v>-7281.36</v>
      </c>
      <c r="E848" s="31">
        <v>94365.2</v>
      </c>
    </row>
    <row r="849">
      <c r="A849" s="28">
        <v>-69721.08</v>
      </c>
      <c r="B849" s="28">
        <v>38476.81</v>
      </c>
      <c r="C849" s="28">
        <v>87686.8</v>
      </c>
      <c r="D849" s="31">
        <v>-73193.54</v>
      </c>
      <c r="E849" s="31">
        <v>28226.74</v>
      </c>
    </row>
    <row r="850">
      <c r="A850" s="28">
        <v>-78783.09</v>
      </c>
      <c r="B850" s="28">
        <v>13058.68</v>
      </c>
      <c r="C850" s="28">
        <v>-12611.04</v>
      </c>
      <c r="D850" s="31">
        <v>-31374.05</v>
      </c>
      <c r="E850" s="31">
        <v>-77727.57</v>
      </c>
    </row>
    <row r="851">
      <c r="A851" s="28">
        <v>6065.53</v>
      </c>
      <c r="B851" s="28">
        <v>-78746.15</v>
      </c>
      <c r="C851" s="28">
        <v>-36577.22</v>
      </c>
      <c r="D851" s="31">
        <v>74118.76</v>
      </c>
      <c r="E851" s="31">
        <v>72770.52</v>
      </c>
    </row>
    <row r="852">
      <c r="A852" s="28">
        <v>90200.71</v>
      </c>
      <c r="B852" s="28">
        <v>28744.86</v>
      </c>
      <c r="C852" s="28">
        <v>86396.37</v>
      </c>
      <c r="D852" s="31">
        <v>-77509.18</v>
      </c>
      <c r="E852" s="31">
        <v>12653.61</v>
      </c>
    </row>
    <row r="853">
      <c r="A853" s="28">
        <v>-62718.35</v>
      </c>
      <c r="B853" s="28">
        <v>-21332.86</v>
      </c>
      <c r="C853" s="28">
        <v>-17050.49</v>
      </c>
      <c r="D853" s="31">
        <v>-68410.68</v>
      </c>
      <c r="E853" s="31">
        <v>66127.01</v>
      </c>
    </row>
    <row r="854">
      <c r="A854" s="28">
        <v>-28736.54</v>
      </c>
      <c r="B854" s="28">
        <v>-7301.17</v>
      </c>
      <c r="C854" s="28">
        <v>-17835.72</v>
      </c>
      <c r="D854" s="31">
        <v>-28224.43</v>
      </c>
      <c r="E854" s="31">
        <v>-32325.04</v>
      </c>
    </row>
    <row r="855">
      <c r="A855" s="28">
        <v>56288.27</v>
      </c>
      <c r="B855" s="28">
        <v>29436.41</v>
      </c>
      <c r="C855" s="28">
        <v>-16809.18</v>
      </c>
      <c r="D855" s="31">
        <v>-93548.15</v>
      </c>
      <c r="E855" s="31">
        <v>-19986.18</v>
      </c>
    </row>
    <row r="856">
      <c r="A856" s="28">
        <v>92096.08</v>
      </c>
      <c r="B856" s="28">
        <v>5306.34</v>
      </c>
      <c r="C856" s="28">
        <v>-72254.24</v>
      </c>
      <c r="D856" s="31">
        <v>-69039.56</v>
      </c>
      <c r="E856" s="31">
        <v>80933.71</v>
      </c>
    </row>
    <row r="857">
      <c r="A857" s="28">
        <v>69643.66</v>
      </c>
      <c r="B857" s="28">
        <v>61773.94</v>
      </c>
      <c r="C857" s="28">
        <v>92649.82</v>
      </c>
      <c r="D857" s="31">
        <v>-93723.48</v>
      </c>
      <c r="E857" s="31">
        <v>-40013.32</v>
      </c>
    </row>
    <row r="858">
      <c r="A858" s="28">
        <v>42485.51</v>
      </c>
      <c r="B858" s="28">
        <v>51146.92</v>
      </c>
      <c r="C858" s="28">
        <v>83409.56</v>
      </c>
      <c r="D858" s="31">
        <v>-76370.57</v>
      </c>
      <c r="E858" s="31">
        <v>-32253.26</v>
      </c>
    </row>
    <row r="859">
      <c r="A859" s="28">
        <v>-32448.42</v>
      </c>
      <c r="B859" s="28">
        <v>51414.15</v>
      </c>
      <c r="C859" s="28">
        <v>14688.54</v>
      </c>
      <c r="D859" s="31">
        <v>96218.87</v>
      </c>
      <c r="E859" s="31">
        <v>-57749.68</v>
      </c>
    </row>
    <row r="860">
      <c r="A860" s="28">
        <v>53616.49</v>
      </c>
      <c r="B860" s="28">
        <v>93124.31</v>
      </c>
      <c r="C860" s="28">
        <v>35762.01</v>
      </c>
      <c r="D860" s="31">
        <v>-35569.21</v>
      </c>
      <c r="E860" s="31">
        <v>-42103.5</v>
      </c>
    </row>
    <row r="861">
      <c r="A861" s="28">
        <v>60271.27</v>
      </c>
      <c r="B861" s="28">
        <v>81255.07</v>
      </c>
      <c r="C861" s="28">
        <v>97999.51</v>
      </c>
      <c r="D861" s="31">
        <v>-88156.11</v>
      </c>
      <c r="E861" s="31">
        <v>50196.92</v>
      </c>
    </row>
    <row r="862">
      <c r="A862" s="28">
        <v>89771.49</v>
      </c>
      <c r="B862" s="28">
        <v>24467.0</v>
      </c>
      <c r="C862" s="28">
        <v>73080.29</v>
      </c>
      <c r="D862" s="31">
        <v>-298.08</v>
      </c>
      <c r="E862" s="31">
        <v>-29732.64</v>
      </c>
    </row>
    <row r="863">
      <c r="A863" s="28">
        <v>94972.13</v>
      </c>
      <c r="B863" s="28">
        <v>35983.92</v>
      </c>
      <c r="C863" s="28">
        <v>19278.19</v>
      </c>
      <c r="D863" s="31">
        <v>-69467.99</v>
      </c>
      <c r="E863" s="31">
        <v>41362.55</v>
      </c>
    </row>
    <row r="864">
      <c r="A864" s="28">
        <v>83394.57</v>
      </c>
      <c r="B864" s="28">
        <v>19859.67</v>
      </c>
      <c r="C864" s="28">
        <v>-75273.1</v>
      </c>
      <c r="D864" s="31">
        <v>73104.02</v>
      </c>
      <c r="E864" s="31">
        <v>-3189.57</v>
      </c>
    </row>
    <row r="865">
      <c r="A865" s="28">
        <v>-27566.96</v>
      </c>
      <c r="B865" s="28">
        <v>-8339.26</v>
      </c>
      <c r="C865" s="28">
        <v>23249.25</v>
      </c>
      <c r="D865" s="31">
        <v>-44843.41</v>
      </c>
      <c r="E865" s="31">
        <v>68168.57</v>
      </c>
    </row>
    <row r="866">
      <c r="A866" s="28">
        <v>6656.25</v>
      </c>
      <c r="B866" s="28">
        <v>72236.89</v>
      </c>
      <c r="C866" s="28">
        <v>-55933.94</v>
      </c>
      <c r="D866" s="31">
        <v>-75882.63</v>
      </c>
      <c r="E866" s="31">
        <v>8228.87</v>
      </c>
    </row>
    <row r="867">
      <c r="A867" s="28">
        <v>99486.47</v>
      </c>
      <c r="B867" s="28">
        <v>90532.65</v>
      </c>
      <c r="C867" s="28">
        <v>-17882.04</v>
      </c>
      <c r="D867" s="31">
        <v>53574.67</v>
      </c>
      <c r="E867" s="31">
        <v>-85245.54</v>
      </c>
    </row>
    <row r="868">
      <c r="A868" s="28">
        <v>96129.25</v>
      </c>
      <c r="B868" s="28">
        <v>68989.0</v>
      </c>
      <c r="C868" s="28">
        <v>-6815.0</v>
      </c>
      <c r="D868" s="31">
        <v>-59249.17</v>
      </c>
      <c r="E868" s="31">
        <v>32536.25</v>
      </c>
    </row>
    <row r="869">
      <c r="A869" s="28">
        <v>28501.83</v>
      </c>
      <c r="B869" s="28">
        <v>-98912.12</v>
      </c>
      <c r="C869" s="28">
        <v>-66235.82</v>
      </c>
      <c r="D869" s="31">
        <v>-87426.59</v>
      </c>
      <c r="E869" s="31">
        <v>-57799.87</v>
      </c>
    </row>
    <row r="870">
      <c r="A870" s="28">
        <v>-25767.28</v>
      </c>
      <c r="B870" s="28">
        <v>-23142.5</v>
      </c>
      <c r="C870" s="28">
        <v>78780.53</v>
      </c>
      <c r="D870" s="31">
        <v>-76013.4</v>
      </c>
      <c r="E870" s="31">
        <v>-46288.03</v>
      </c>
    </row>
    <row r="871">
      <c r="A871" s="28">
        <v>87431.81</v>
      </c>
      <c r="B871" s="28">
        <v>84099.61</v>
      </c>
      <c r="C871" s="28">
        <v>-22325.28</v>
      </c>
      <c r="D871" s="31">
        <v>55776.97</v>
      </c>
      <c r="E871" s="31">
        <v>-80988.46</v>
      </c>
    </row>
    <row r="872">
      <c r="A872" s="28">
        <v>-9545.44</v>
      </c>
      <c r="B872" s="28">
        <v>-90695.07</v>
      </c>
      <c r="C872" s="28">
        <v>24501.56</v>
      </c>
      <c r="D872" s="31">
        <v>-65121.42</v>
      </c>
      <c r="E872" s="31">
        <v>40717.53</v>
      </c>
    </row>
    <row r="873">
      <c r="A873" s="28">
        <v>31637.8</v>
      </c>
      <c r="B873" s="28">
        <v>11468.8</v>
      </c>
      <c r="C873" s="28">
        <v>71261.84</v>
      </c>
      <c r="D873" s="31">
        <v>19952.8</v>
      </c>
      <c r="E873" s="31">
        <v>-44400.98</v>
      </c>
    </row>
    <row r="874">
      <c r="A874" s="28">
        <v>29823.14</v>
      </c>
      <c r="B874" s="28">
        <v>88616.24</v>
      </c>
      <c r="C874" s="28">
        <v>24061.59</v>
      </c>
      <c r="D874" s="31">
        <v>-50366.37</v>
      </c>
      <c r="E874" s="31">
        <v>-89191.81</v>
      </c>
    </row>
    <row r="875">
      <c r="A875" s="28">
        <v>6369.37</v>
      </c>
      <c r="B875" s="28">
        <v>99858.58</v>
      </c>
      <c r="C875" s="28">
        <v>97253.95</v>
      </c>
      <c r="D875" s="31">
        <v>53088.51</v>
      </c>
      <c r="E875" s="31">
        <v>28760.45</v>
      </c>
    </row>
    <row r="876">
      <c r="A876" s="28">
        <v>-28314.95</v>
      </c>
      <c r="B876" s="28">
        <v>-52400.58</v>
      </c>
      <c r="C876" s="28">
        <v>14523.54</v>
      </c>
      <c r="D876" s="31">
        <v>-39610.66</v>
      </c>
      <c r="E876" s="31">
        <v>86100.89</v>
      </c>
    </row>
    <row r="877">
      <c r="A877" s="28">
        <v>-51553.36</v>
      </c>
      <c r="B877" s="28">
        <v>-82674.67</v>
      </c>
      <c r="C877" s="28">
        <v>34806.0</v>
      </c>
      <c r="D877" s="31">
        <v>-42880.7</v>
      </c>
      <c r="E877" s="31">
        <v>47066.57</v>
      </c>
    </row>
    <row r="878">
      <c r="A878" s="28">
        <v>1357.25</v>
      </c>
      <c r="B878" s="28">
        <v>-88420.46</v>
      </c>
      <c r="C878" s="28">
        <v>42362.78</v>
      </c>
      <c r="D878" s="31">
        <v>-37741.34</v>
      </c>
      <c r="E878" s="31">
        <v>62941.6</v>
      </c>
    </row>
    <row r="879">
      <c r="A879" s="28">
        <v>9680.66</v>
      </c>
      <c r="B879" s="28">
        <v>22106.63</v>
      </c>
      <c r="C879" s="28">
        <v>52433.52</v>
      </c>
      <c r="D879" s="31">
        <v>24365.89</v>
      </c>
      <c r="E879" s="31">
        <v>94052.42</v>
      </c>
    </row>
    <row r="880">
      <c r="A880" s="28">
        <v>-22696.53</v>
      </c>
      <c r="B880" s="28">
        <v>12223.63</v>
      </c>
      <c r="C880" s="28">
        <v>17810.71</v>
      </c>
      <c r="D880" s="31">
        <v>19244.69</v>
      </c>
      <c r="E880" s="31">
        <v>28802.22</v>
      </c>
    </row>
    <row r="881">
      <c r="A881" s="28">
        <v>-8404.75</v>
      </c>
      <c r="B881" s="28">
        <v>71339.84</v>
      </c>
      <c r="C881" s="28">
        <v>94296.86</v>
      </c>
      <c r="D881" s="31">
        <v>-33139.83</v>
      </c>
      <c r="E881" s="31">
        <v>37916.54</v>
      </c>
    </row>
    <row r="882">
      <c r="A882" s="28">
        <v>42413.62</v>
      </c>
      <c r="B882" s="28">
        <v>-56060.5</v>
      </c>
      <c r="C882" s="28">
        <v>91427.3</v>
      </c>
      <c r="D882" s="31">
        <v>19935.74</v>
      </c>
      <c r="E882" s="31">
        <v>-72179.7</v>
      </c>
    </row>
    <row r="883">
      <c r="A883" s="28">
        <v>-87213.67</v>
      </c>
      <c r="B883" s="28">
        <v>47003.56</v>
      </c>
      <c r="C883" s="28">
        <v>-69256.2</v>
      </c>
      <c r="D883" s="31">
        <v>-34369.92</v>
      </c>
      <c r="E883" s="31">
        <v>-35818.96</v>
      </c>
    </row>
    <row r="884">
      <c r="A884" s="28">
        <v>-55286.07</v>
      </c>
      <c r="B884" s="28">
        <v>-73170.2</v>
      </c>
      <c r="C884" s="28">
        <v>-62538.8</v>
      </c>
      <c r="D884" s="31">
        <v>-34052.08</v>
      </c>
      <c r="E884" s="31">
        <v>51624.64</v>
      </c>
    </row>
    <row r="885">
      <c r="A885" s="28">
        <v>26203.54</v>
      </c>
      <c r="B885" s="28">
        <v>80761.1</v>
      </c>
      <c r="C885" s="28">
        <v>-72161.67</v>
      </c>
      <c r="D885" s="31">
        <v>94148.14</v>
      </c>
      <c r="E885" s="31">
        <v>90680.06</v>
      </c>
    </row>
    <row r="886">
      <c r="A886" s="28">
        <v>30461.58</v>
      </c>
      <c r="B886" s="28">
        <v>-2331.02</v>
      </c>
      <c r="C886" s="28">
        <v>27739.88</v>
      </c>
      <c r="D886" s="31">
        <v>-84282.74</v>
      </c>
      <c r="E886" s="31">
        <v>41701.58</v>
      </c>
    </row>
    <row r="887">
      <c r="A887" s="28">
        <v>73974.96</v>
      </c>
      <c r="B887" s="28">
        <v>-60555.83</v>
      </c>
      <c r="C887" s="28">
        <v>-63428.27</v>
      </c>
      <c r="D887" s="31">
        <v>-32021.04</v>
      </c>
      <c r="E887" s="31">
        <v>-91849.54</v>
      </c>
    </row>
    <row r="888">
      <c r="A888" s="28">
        <v>-4874.41</v>
      </c>
      <c r="B888" s="28">
        <v>39487.55</v>
      </c>
      <c r="C888" s="28">
        <v>95142.74</v>
      </c>
      <c r="D888" s="31">
        <v>-90117.15</v>
      </c>
      <c r="E888" s="31">
        <v>4804.88</v>
      </c>
    </row>
    <row r="889">
      <c r="A889" s="28">
        <v>64475.57</v>
      </c>
      <c r="B889" s="28">
        <v>89041.25</v>
      </c>
      <c r="C889" s="28">
        <v>324.04</v>
      </c>
      <c r="D889" s="31">
        <v>19317.81</v>
      </c>
      <c r="E889" s="31">
        <v>-41691.65</v>
      </c>
    </row>
    <row r="890">
      <c r="A890" s="28">
        <v>-31627.85</v>
      </c>
      <c r="B890" s="28">
        <v>-49241.31</v>
      </c>
      <c r="C890" s="28">
        <v>-80707.67</v>
      </c>
      <c r="D890" s="31">
        <v>41696.63</v>
      </c>
      <c r="E890" s="31">
        <v>-50744.83</v>
      </c>
    </row>
    <row r="891">
      <c r="A891" s="28">
        <v>-10049.33</v>
      </c>
      <c r="B891" s="28">
        <v>84109.62</v>
      </c>
      <c r="C891" s="28">
        <v>55735.99</v>
      </c>
      <c r="D891" s="31">
        <v>-31310.34</v>
      </c>
      <c r="E891" s="31">
        <v>47245.18</v>
      </c>
    </row>
    <row r="892">
      <c r="A892" s="28">
        <v>27403.16</v>
      </c>
      <c r="B892" s="28">
        <v>-1724.39</v>
      </c>
      <c r="C892" s="28">
        <v>-26232.58</v>
      </c>
      <c r="D892" s="31">
        <v>-21193.55</v>
      </c>
      <c r="E892" s="31">
        <v>-40821.82</v>
      </c>
    </row>
    <row r="893">
      <c r="A893" s="28">
        <v>-14573.71</v>
      </c>
      <c r="B893" s="28">
        <v>-17647.88</v>
      </c>
      <c r="C893" s="28">
        <v>65975.99</v>
      </c>
      <c r="D893" s="31">
        <v>-3161.97</v>
      </c>
      <c r="E893" s="31">
        <v>-8896.36</v>
      </c>
    </row>
    <row r="894">
      <c r="A894" s="28">
        <v>-22203.93</v>
      </c>
      <c r="B894" s="28">
        <v>8207.5</v>
      </c>
      <c r="C894" s="28">
        <v>37706.35</v>
      </c>
      <c r="D894" s="31">
        <v>52218.02</v>
      </c>
      <c r="E894" s="31">
        <v>-99781.89</v>
      </c>
    </row>
    <row r="895">
      <c r="A895" s="28">
        <v>-11067.68</v>
      </c>
      <c r="B895" s="28">
        <v>-87601.19</v>
      </c>
      <c r="C895" s="28">
        <v>-45185.63</v>
      </c>
      <c r="D895" s="31">
        <v>-22018.39</v>
      </c>
      <c r="E895" s="31">
        <v>12546.64</v>
      </c>
    </row>
    <row r="896">
      <c r="A896" s="28">
        <v>39343.7</v>
      </c>
      <c r="B896" s="28">
        <v>16742.95</v>
      </c>
      <c r="C896" s="28">
        <v>63669.22</v>
      </c>
      <c r="D896" s="31">
        <v>21093.23</v>
      </c>
      <c r="E896" s="31">
        <v>96553.59</v>
      </c>
    </row>
    <row r="897">
      <c r="A897" s="28">
        <v>14286.02</v>
      </c>
      <c r="B897" s="28">
        <v>2753.32</v>
      </c>
      <c r="C897" s="28">
        <v>15515.36</v>
      </c>
      <c r="D897" s="31">
        <v>20407.2</v>
      </c>
      <c r="E897" s="31">
        <v>-70089.45</v>
      </c>
    </row>
    <row r="898">
      <c r="A898" s="28">
        <v>-52314.82</v>
      </c>
      <c r="B898" s="28">
        <v>-81519.62</v>
      </c>
      <c r="C898" s="28">
        <v>13366.45</v>
      </c>
      <c r="D898" s="31">
        <v>97403.24</v>
      </c>
      <c r="E898" s="31">
        <v>-49424.29</v>
      </c>
    </row>
    <row r="899">
      <c r="A899" s="28">
        <v>-61768.4</v>
      </c>
      <c r="B899" s="28">
        <v>-6303.51</v>
      </c>
      <c r="C899" s="28">
        <v>8292.49</v>
      </c>
      <c r="D899" s="31">
        <v>-80694.36</v>
      </c>
      <c r="E899" s="31">
        <v>60903.36</v>
      </c>
    </row>
    <row r="900">
      <c r="A900" s="28">
        <v>42616.65</v>
      </c>
      <c r="B900" s="28">
        <v>-7228.15</v>
      </c>
      <c r="C900" s="28">
        <v>80255.28</v>
      </c>
      <c r="D900" s="31">
        <v>78728.77</v>
      </c>
      <c r="E900" s="31">
        <v>-12816.56</v>
      </c>
    </row>
    <row r="901">
      <c r="A901" s="28">
        <v>59444.69</v>
      </c>
      <c r="B901" s="28">
        <v>-72114.7</v>
      </c>
      <c r="C901" s="28">
        <v>1781.04</v>
      </c>
      <c r="D901" s="31">
        <v>39164.45</v>
      </c>
      <c r="E901" s="31">
        <v>97708.44</v>
      </c>
    </row>
    <row r="902">
      <c r="A902" s="28">
        <v>4764.05</v>
      </c>
      <c r="B902" s="28">
        <v>-59504.89</v>
      </c>
      <c r="C902" s="28">
        <v>-13842.04</v>
      </c>
      <c r="D902" s="31">
        <v>-85482.67</v>
      </c>
      <c r="E902" s="31">
        <v>90008.96</v>
      </c>
    </row>
    <row r="903">
      <c r="A903" s="28">
        <v>-57940.99</v>
      </c>
      <c r="B903" s="28">
        <v>-93429.15</v>
      </c>
      <c r="C903" s="28">
        <v>30785.28</v>
      </c>
      <c r="D903" s="31">
        <v>-99057.41</v>
      </c>
      <c r="E903" s="31">
        <v>48776.24</v>
      </c>
    </row>
    <row r="904">
      <c r="A904" s="28">
        <v>-76734.61</v>
      </c>
      <c r="B904" s="28">
        <v>-71030.66</v>
      </c>
      <c r="C904" s="28">
        <v>-80010.63</v>
      </c>
      <c r="D904" s="31">
        <v>-23688.26</v>
      </c>
      <c r="E904" s="31">
        <v>76251.32</v>
      </c>
    </row>
    <row r="905">
      <c r="A905" s="28">
        <v>62888.02</v>
      </c>
      <c r="B905" s="28">
        <v>-24737.29</v>
      </c>
      <c r="C905" s="28">
        <v>-83746.56</v>
      </c>
      <c r="D905" s="31">
        <v>12940.74</v>
      </c>
      <c r="E905" s="31">
        <v>34489.81</v>
      </c>
    </row>
    <row r="906">
      <c r="A906" s="28">
        <v>44718.51</v>
      </c>
      <c r="B906" s="28">
        <v>-23119.42</v>
      </c>
      <c r="C906" s="28">
        <v>57899.04</v>
      </c>
      <c r="D906" s="31">
        <v>-34024.25</v>
      </c>
      <c r="E906" s="31">
        <v>11241.99</v>
      </c>
    </row>
    <row r="907">
      <c r="A907" s="28">
        <v>-1416.77</v>
      </c>
      <c r="B907" s="28">
        <v>40360.67</v>
      </c>
      <c r="C907" s="28">
        <v>35137.25</v>
      </c>
      <c r="D907" s="31">
        <v>85323.05</v>
      </c>
      <c r="E907" s="31">
        <v>-73998.33</v>
      </c>
    </row>
    <row r="908">
      <c r="A908" s="28">
        <v>36771.6</v>
      </c>
      <c r="B908" s="28">
        <v>-73062.12</v>
      </c>
      <c r="C908" s="28">
        <v>-26276.29</v>
      </c>
      <c r="D908" s="31">
        <v>-85905.35</v>
      </c>
      <c r="E908" s="31">
        <v>39273.27</v>
      </c>
    </row>
    <row r="909">
      <c r="A909" s="28">
        <v>73661.7</v>
      </c>
      <c r="B909" s="28">
        <v>-55248.8</v>
      </c>
      <c r="C909" s="28">
        <v>24478.06</v>
      </c>
      <c r="D909" s="31">
        <v>12028.76</v>
      </c>
      <c r="E909" s="31">
        <v>5019.01</v>
      </c>
    </row>
    <row r="910">
      <c r="A910" s="28">
        <v>45412.15</v>
      </c>
      <c r="B910" s="28">
        <v>-34323.77</v>
      </c>
      <c r="C910" s="28">
        <v>36641.4</v>
      </c>
      <c r="D910" s="31">
        <v>-9790.27</v>
      </c>
      <c r="E910" s="31">
        <v>95877.9</v>
      </c>
    </row>
    <row r="911">
      <c r="A911" s="28">
        <v>51636.63</v>
      </c>
      <c r="B911" s="28">
        <v>-23434.45</v>
      </c>
      <c r="C911" s="28">
        <v>71047.68</v>
      </c>
      <c r="D911" s="31">
        <v>-55495.66</v>
      </c>
      <c r="E911" s="31">
        <v>-3171.63</v>
      </c>
    </row>
    <row r="912">
      <c r="A912" s="28">
        <v>6544.86</v>
      </c>
      <c r="B912" s="28">
        <v>-12426.75</v>
      </c>
      <c r="C912" s="28">
        <v>-90981.53</v>
      </c>
      <c r="D912" s="31">
        <v>-25208.08</v>
      </c>
      <c r="E912" s="31">
        <v>70465.92</v>
      </c>
    </row>
    <row r="913">
      <c r="A913" s="28">
        <v>91881.15</v>
      </c>
      <c r="B913" s="28">
        <v>27056.96</v>
      </c>
      <c r="C913" s="28">
        <v>-9121.27</v>
      </c>
      <c r="D913" s="31">
        <v>57189.61</v>
      </c>
      <c r="E913" s="31">
        <v>75819.19</v>
      </c>
    </row>
    <row r="914">
      <c r="A914" s="28">
        <v>2210.97</v>
      </c>
      <c r="B914" s="28">
        <v>46416.63</v>
      </c>
      <c r="C914" s="28">
        <v>64867.77</v>
      </c>
      <c r="D914" s="31">
        <v>6231.27</v>
      </c>
      <c r="E914" s="31">
        <v>80892.09</v>
      </c>
    </row>
    <row r="915">
      <c r="A915" s="28">
        <v>-12764.69</v>
      </c>
      <c r="B915" s="28">
        <v>94078.01</v>
      </c>
      <c r="C915" s="28">
        <v>58794.09</v>
      </c>
      <c r="D915" s="31">
        <v>29612.75</v>
      </c>
      <c r="E915" s="31">
        <v>-93704.66</v>
      </c>
    </row>
    <row r="916">
      <c r="A916" s="28">
        <v>48149.53</v>
      </c>
      <c r="B916" s="28">
        <v>37609.36</v>
      </c>
      <c r="C916" s="28">
        <v>8171.33</v>
      </c>
      <c r="D916" s="31">
        <v>31906.13</v>
      </c>
      <c r="E916" s="31">
        <v>28825.14</v>
      </c>
    </row>
    <row r="917">
      <c r="A917" s="28">
        <v>22014.6</v>
      </c>
      <c r="B917" s="28">
        <v>56788.19</v>
      </c>
      <c r="C917" s="28">
        <v>-52762.69</v>
      </c>
      <c r="D917" s="31">
        <v>11141.33</v>
      </c>
      <c r="E917" s="31">
        <v>97200.78</v>
      </c>
    </row>
    <row r="918">
      <c r="A918" s="28">
        <v>-27597.2</v>
      </c>
      <c r="B918" s="28">
        <v>64092.22</v>
      </c>
      <c r="C918" s="28">
        <v>-95974.47</v>
      </c>
      <c r="D918" s="31">
        <v>92810.43</v>
      </c>
      <c r="E918" s="31">
        <v>-21110.07</v>
      </c>
    </row>
    <row r="919">
      <c r="A919" s="28">
        <v>-17593.94</v>
      </c>
      <c r="B919" s="28">
        <v>-52742.29</v>
      </c>
      <c r="C919" s="28">
        <v>-74803.8</v>
      </c>
      <c r="D919" s="31">
        <v>88976.85</v>
      </c>
      <c r="E919" s="31">
        <v>56634.64</v>
      </c>
    </row>
    <row r="920">
      <c r="A920" s="28">
        <v>42253.91</v>
      </c>
      <c r="B920" s="28">
        <v>94097.32</v>
      </c>
      <c r="C920" s="28">
        <v>6366.29</v>
      </c>
      <c r="D920" s="31">
        <v>85005.14</v>
      </c>
      <c r="E920" s="31">
        <v>-92895.13</v>
      </c>
    </row>
    <row r="921">
      <c r="A921" s="28">
        <v>11874.57</v>
      </c>
      <c r="B921" s="28">
        <v>-61820.48</v>
      </c>
      <c r="C921" s="28">
        <v>-58551.45</v>
      </c>
      <c r="D921" s="31">
        <v>-42604.34</v>
      </c>
      <c r="E921" s="31">
        <v>-79824.64</v>
      </c>
    </row>
    <row r="922">
      <c r="A922" s="28">
        <v>-74811.14</v>
      </c>
      <c r="B922" s="28">
        <v>57805.13</v>
      </c>
      <c r="C922" s="28">
        <v>-7509.04</v>
      </c>
      <c r="D922" s="31">
        <v>-82759.52</v>
      </c>
      <c r="E922" s="31">
        <v>-46559.75</v>
      </c>
    </row>
    <row r="923">
      <c r="A923" s="28">
        <v>38839.49</v>
      </c>
      <c r="B923" s="28">
        <v>40597.13</v>
      </c>
      <c r="C923" s="28">
        <v>-88660.49</v>
      </c>
      <c r="D923" s="31">
        <v>13364.85</v>
      </c>
      <c r="E923" s="31">
        <v>55007.86</v>
      </c>
    </row>
    <row r="924">
      <c r="A924" s="28">
        <v>67990.82</v>
      </c>
      <c r="B924" s="28">
        <v>-38345.5</v>
      </c>
      <c r="C924" s="28">
        <v>-24858.89</v>
      </c>
      <c r="D924" s="31">
        <v>-26044.42</v>
      </c>
      <c r="E924" s="31">
        <v>-10888.21</v>
      </c>
    </row>
    <row r="925">
      <c r="A925" s="28">
        <v>40999.19</v>
      </c>
      <c r="B925" s="28">
        <v>-53502.01</v>
      </c>
      <c r="C925" s="28">
        <v>-36792.7</v>
      </c>
      <c r="D925" s="31">
        <v>34527.11</v>
      </c>
      <c r="E925" s="31">
        <v>85881.65</v>
      </c>
    </row>
    <row r="926">
      <c r="A926" s="28">
        <v>-76725.82</v>
      </c>
      <c r="B926" s="28">
        <v>-15641.01</v>
      </c>
      <c r="C926" s="28">
        <v>-39902.47</v>
      </c>
      <c r="D926" s="31">
        <v>-87261.22</v>
      </c>
      <c r="E926" s="31">
        <v>-23800.75</v>
      </c>
    </row>
    <row r="927">
      <c r="A927" s="28">
        <v>90943.6</v>
      </c>
      <c r="B927" s="28">
        <v>53471.51</v>
      </c>
      <c r="C927" s="28">
        <v>-17952.38</v>
      </c>
      <c r="D927" s="31">
        <v>31542.33</v>
      </c>
      <c r="E927" s="31">
        <v>-36093.16</v>
      </c>
    </row>
    <row r="928">
      <c r="A928" s="28">
        <v>-86691.52</v>
      </c>
      <c r="B928" s="28">
        <v>2237.6</v>
      </c>
      <c r="C928" s="28">
        <v>62009.0</v>
      </c>
      <c r="D928" s="31">
        <v>-13732.65</v>
      </c>
      <c r="E928" s="31">
        <v>-11606.94</v>
      </c>
    </row>
    <row r="929">
      <c r="A929" s="28">
        <v>-29817.79</v>
      </c>
      <c r="B929" s="28">
        <v>-94764.16</v>
      </c>
      <c r="C929" s="28">
        <v>-94544.16</v>
      </c>
      <c r="D929" s="31">
        <v>-72130.82</v>
      </c>
      <c r="E929" s="31">
        <v>51451.08</v>
      </c>
    </row>
    <row r="930">
      <c r="A930" s="28">
        <v>32956.81</v>
      </c>
      <c r="B930" s="28">
        <v>49308.72</v>
      </c>
      <c r="C930" s="28">
        <v>89492.93</v>
      </c>
      <c r="D930" s="31">
        <v>93546.1</v>
      </c>
      <c r="E930" s="31">
        <v>-1938.92</v>
      </c>
    </row>
    <row r="931">
      <c r="A931" s="28">
        <v>-6767.36</v>
      </c>
      <c r="B931" s="28">
        <v>72598.34</v>
      </c>
      <c r="C931" s="28">
        <v>-17964.61</v>
      </c>
      <c r="D931" s="31">
        <v>91991.13</v>
      </c>
      <c r="E931" s="31">
        <v>97342.93</v>
      </c>
    </row>
    <row r="932">
      <c r="A932" s="28">
        <v>92212.66</v>
      </c>
      <c r="B932" s="28">
        <v>-73994.4</v>
      </c>
      <c r="C932" s="28">
        <v>-11725.51</v>
      </c>
      <c r="D932" s="31">
        <v>-76830.27</v>
      </c>
      <c r="E932" s="31">
        <v>405.53</v>
      </c>
    </row>
    <row r="933">
      <c r="A933" s="28">
        <v>86376.23</v>
      </c>
      <c r="B933" s="28">
        <v>-85348.25</v>
      </c>
      <c r="C933" s="28">
        <v>-17827.3</v>
      </c>
      <c r="D933" s="31">
        <v>75595.81</v>
      </c>
      <c r="E933" s="31">
        <v>90671.73</v>
      </c>
    </row>
    <row r="934">
      <c r="A934" s="28">
        <v>-45412.29</v>
      </c>
      <c r="B934" s="28">
        <v>3023.17</v>
      </c>
      <c r="C934" s="28">
        <v>49535.67</v>
      </c>
      <c r="D934" s="31">
        <v>-22803.97</v>
      </c>
      <c r="E934" s="31">
        <v>-88470.72</v>
      </c>
    </row>
    <row r="935">
      <c r="A935" s="28">
        <v>78786.88</v>
      </c>
      <c r="B935" s="28">
        <v>-67803.36</v>
      </c>
      <c r="C935" s="28">
        <v>-92725.43</v>
      </c>
      <c r="D935" s="31">
        <v>-92765.08</v>
      </c>
      <c r="E935" s="31">
        <v>59239.18</v>
      </c>
    </row>
    <row r="936">
      <c r="A936" s="28">
        <v>-94303.98</v>
      </c>
      <c r="B936" s="28">
        <v>-52779.62</v>
      </c>
      <c r="C936" s="28">
        <v>6114.92</v>
      </c>
      <c r="D936" s="31">
        <v>77716.41</v>
      </c>
      <c r="E936" s="31">
        <v>42836.28</v>
      </c>
    </row>
    <row r="937">
      <c r="A937" s="28">
        <v>42518.01</v>
      </c>
      <c r="B937" s="28">
        <v>-18103.92</v>
      </c>
      <c r="C937" s="28">
        <v>-54188.94</v>
      </c>
      <c r="D937" s="31">
        <v>5391.3</v>
      </c>
      <c r="E937" s="31">
        <v>30597.84</v>
      </c>
    </row>
    <row r="938">
      <c r="A938" s="28">
        <v>-74386.59</v>
      </c>
      <c r="B938" s="28">
        <v>66818.41</v>
      </c>
      <c r="C938" s="28">
        <v>85265.63</v>
      </c>
      <c r="D938" s="31">
        <v>-39377.06</v>
      </c>
      <c r="E938" s="31">
        <v>78405.18</v>
      </c>
    </row>
    <row r="939">
      <c r="A939" s="28">
        <v>-21907.2</v>
      </c>
      <c r="B939" s="28">
        <v>-24088.86</v>
      </c>
      <c r="C939" s="28">
        <v>-98528.99</v>
      </c>
      <c r="D939" s="31">
        <v>-30383.84</v>
      </c>
      <c r="E939" s="31">
        <v>-16802.33</v>
      </c>
    </row>
    <row r="940">
      <c r="A940" s="28">
        <v>66407.17</v>
      </c>
      <c r="B940" s="28">
        <v>89678.07</v>
      </c>
      <c r="C940" s="28">
        <v>-93460.05</v>
      </c>
      <c r="D940" s="31">
        <v>4783.18</v>
      </c>
      <c r="E940" s="31">
        <v>81418.34</v>
      </c>
    </row>
    <row r="941">
      <c r="A941" s="28">
        <v>43588.96</v>
      </c>
      <c r="B941" s="28">
        <v>-93611.35</v>
      </c>
      <c r="C941" s="28">
        <v>-60761.83</v>
      </c>
      <c r="D941" s="31">
        <v>58418.23</v>
      </c>
      <c r="E941" s="31">
        <v>68707.89</v>
      </c>
    </row>
    <row r="942">
      <c r="A942" s="28">
        <v>83131.28</v>
      </c>
      <c r="B942" s="28">
        <v>-69442.55</v>
      </c>
      <c r="C942" s="28">
        <v>32190.7</v>
      </c>
      <c r="D942" s="31">
        <v>85833.77</v>
      </c>
      <c r="E942" s="31">
        <v>74014.89</v>
      </c>
    </row>
    <row r="943">
      <c r="A943" s="28">
        <v>-63034.2</v>
      </c>
      <c r="B943" s="28">
        <v>12698.15</v>
      </c>
      <c r="C943" s="28">
        <v>-29919.75</v>
      </c>
      <c r="D943" s="31">
        <v>86214.84</v>
      </c>
      <c r="E943" s="31">
        <v>-38507.87</v>
      </c>
    </row>
    <row r="944">
      <c r="A944" s="28">
        <v>43074.77</v>
      </c>
      <c r="B944" s="28">
        <v>-35110.17</v>
      </c>
      <c r="C944" s="28">
        <v>-71015.59</v>
      </c>
      <c r="D944" s="31">
        <v>56877.22</v>
      </c>
      <c r="E944" s="31">
        <v>-53331.83</v>
      </c>
    </row>
    <row r="945">
      <c r="A945" s="28">
        <v>-78991.95</v>
      </c>
      <c r="B945" s="28">
        <v>-78808.93</v>
      </c>
      <c r="C945" s="28">
        <v>37106.93</v>
      </c>
      <c r="D945" s="31">
        <v>-96405.4</v>
      </c>
      <c r="E945" s="31">
        <v>-90611.96</v>
      </c>
    </row>
    <row r="946">
      <c r="A946" s="28">
        <v>-22781.88</v>
      </c>
      <c r="B946" s="28">
        <v>59286.51</v>
      </c>
      <c r="C946" s="28">
        <v>-84605.14</v>
      </c>
      <c r="D946" s="31">
        <v>74153.56</v>
      </c>
      <c r="E946" s="31">
        <v>-46876.74</v>
      </c>
    </row>
    <row r="947">
      <c r="A947" s="28">
        <v>80159.75</v>
      </c>
      <c r="B947" s="28">
        <v>53206.65</v>
      </c>
      <c r="C947" s="28">
        <v>-78787.44</v>
      </c>
      <c r="D947" s="31">
        <v>69770.0</v>
      </c>
      <c r="E947" s="31">
        <v>-64160.27</v>
      </c>
    </row>
    <row r="948">
      <c r="A948" s="28">
        <v>-96986.17</v>
      </c>
      <c r="B948" s="28">
        <v>-23131.15</v>
      </c>
      <c r="C948" s="28">
        <v>38988.53</v>
      </c>
      <c r="D948" s="31">
        <v>-71469.99</v>
      </c>
      <c r="E948" s="31">
        <v>76238.68</v>
      </c>
    </row>
    <row r="949">
      <c r="A949" s="28">
        <v>6043.14</v>
      </c>
      <c r="B949" s="28">
        <v>11718.81</v>
      </c>
      <c r="C949" s="28">
        <v>-79775.8</v>
      </c>
      <c r="D949" s="31">
        <v>-1495.42</v>
      </c>
      <c r="E949" s="31">
        <v>6357.1</v>
      </c>
    </row>
    <row r="950">
      <c r="A950" s="28">
        <v>-58232.08</v>
      </c>
      <c r="B950" s="28">
        <v>-28026.31</v>
      </c>
      <c r="C950" s="28">
        <v>-37543.12</v>
      </c>
      <c r="D950" s="31">
        <v>40353.64</v>
      </c>
      <c r="E950" s="31">
        <v>11935.37</v>
      </c>
    </row>
    <row r="951">
      <c r="A951" s="28">
        <v>-96496.44</v>
      </c>
      <c r="B951" s="28">
        <v>71225.68</v>
      </c>
      <c r="C951" s="28">
        <v>1169.17</v>
      </c>
      <c r="D951" s="31">
        <v>-39106.14</v>
      </c>
      <c r="E951" s="31">
        <v>-21098.82</v>
      </c>
    </row>
    <row r="952">
      <c r="A952" s="28">
        <v>-98985.86</v>
      </c>
      <c r="B952" s="28">
        <v>-24417.24</v>
      </c>
      <c r="C952" s="28">
        <v>-1023.91</v>
      </c>
      <c r="D952" s="31">
        <v>91623.4</v>
      </c>
      <c r="E952" s="31">
        <v>33617.96</v>
      </c>
    </row>
    <row r="953">
      <c r="A953" s="28">
        <v>-16857.33</v>
      </c>
      <c r="B953" s="28">
        <v>-19971.07</v>
      </c>
      <c r="C953" s="28">
        <v>-38319.62</v>
      </c>
      <c r="D953" s="31">
        <v>-95060.95</v>
      </c>
      <c r="E953" s="31">
        <v>17624.47</v>
      </c>
    </row>
    <row r="954">
      <c r="A954" s="28">
        <v>-21827.65</v>
      </c>
      <c r="B954" s="28">
        <v>-90530.83</v>
      </c>
      <c r="C954" s="28">
        <v>64516.06</v>
      </c>
      <c r="D954" s="31">
        <v>-65555.1</v>
      </c>
      <c r="E954" s="31">
        <v>-72309.8</v>
      </c>
    </row>
    <row r="955">
      <c r="A955" s="28">
        <v>26525.75</v>
      </c>
      <c r="B955" s="28">
        <v>63260.08</v>
      </c>
      <c r="C955" s="28">
        <v>28033.97</v>
      </c>
      <c r="D955" s="31">
        <v>-40607.63</v>
      </c>
      <c r="E955" s="31">
        <v>25604.51</v>
      </c>
    </row>
    <row r="956">
      <c r="A956" s="28">
        <v>-63125.39</v>
      </c>
      <c r="B956" s="28">
        <v>-74223.28</v>
      </c>
      <c r="C956" s="28">
        <v>23635.94</v>
      </c>
      <c r="D956" s="31">
        <v>1575.64</v>
      </c>
      <c r="E956" s="31">
        <v>4022.39</v>
      </c>
    </row>
    <row r="957">
      <c r="A957" s="28">
        <v>33392.24</v>
      </c>
      <c r="B957" s="28">
        <v>11889.16</v>
      </c>
      <c r="C957" s="28">
        <v>-3593.08</v>
      </c>
      <c r="D957" s="31">
        <v>-53721.37</v>
      </c>
      <c r="E957" s="31">
        <v>-88111.64</v>
      </c>
    </row>
    <row r="958">
      <c r="A958" s="28">
        <v>-88232.53</v>
      </c>
      <c r="B958" s="28">
        <v>-955.34</v>
      </c>
      <c r="C958" s="28">
        <v>-32384.81</v>
      </c>
      <c r="D958" s="31">
        <v>-61248.34</v>
      </c>
      <c r="E958" s="31">
        <v>8171.35</v>
      </c>
    </row>
    <row r="959">
      <c r="A959" s="28">
        <v>92615.45</v>
      </c>
      <c r="B959" s="28">
        <v>-7370.95</v>
      </c>
      <c r="C959" s="28">
        <v>71472.83</v>
      </c>
      <c r="D959" s="31">
        <v>-42023.54</v>
      </c>
      <c r="E959" s="31">
        <v>26627.87</v>
      </c>
    </row>
    <row r="960">
      <c r="A960" s="28">
        <v>78417.09</v>
      </c>
      <c r="B960" s="28">
        <v>-13514.56</v>
      </c>
      <c r="C960" s="28">
        <v>-15807.65</v>
      </c>
      <c r="D960" s="31">
        <v>-42870.17</v>
      </c>
      <c r="E960" s="31">
        <v>-5378.6</v>
      </c>
    </row>
    <row r="961">
      <c r="A961" s="28">
        <v>-69216.59</v>
      </c>
      <c r="B961" s="28">
        <v>-506.66</v>
      </c>
      <c r="C961" s="28">
        <v>46649.78</v>
      </c>
      <c r="D961" s="31">
        <v>60053.08</v>
      </c>
      <c r="E961" s="31">
        <v>50858.87</v>
      </c>
    </row>
    <row r="962">
      <c r="A962" s="28">
        <v>3102.36</v>
      </c>
      <c r="B962" s="28">
        <v>51980.37</v>
      </c>
      <c r="C962" s="28">
        <v>-11361.05</v>
      </c>
      <c r="D962" s="31">
        <v>-33471.2</v>
      </c>
      <c r="E962" s="31">
        <v>-97883.74</v>
      </c>
    </row>
    <row r="963">
      <c r="A963" s="28">
        <v>11792.42</v>
      </c>
      <c r="B963" s="28">
        <v>64326.62</v>
      </c>
      <c r="C963" s="28">
        <v>72148.11</v>
      </c>
      <c r="D963" s="31">
        <v>87573.02</v>
      </c>
      <c r="E963" s="31">
        <v>-20738.48</v>
      </c>
    </row>
    <row r="964">
      <c r="A964" s="28">
        <v>-33564.33</v>
      </c>
      <c r="B964" s="28">
        <v>32950.71</v>
      </c>
      <c r="C964" s="28">
        <v>30275.14</v>
      </c>
      <c r="D964" s="31">
        <v>31939.88</v>
      </c>
      <c r="E964" s="31">
        <v>-54391.31</v>
      </c>
    </row>
    <row r="965">
      <c r="A965" s="28">
        <v>-79032.72</v>
      </c>
      <c r="B965" s="28">
        <v>66822.75</v>
      </c>
      <c r="C965" s="28">
        <v>44244.64</v>
      </c>
      <c r="D965" s="31">
        <v>95895.98</v>
      </c>
      <c r="E965" s="31">
        <v>75056.04</v>
      </c>
    </row>
    <row r="966">
      <c r="A966" s="28">
        <v>-5130.54</v>
      </c>
      <c r="B966" s="28">
        <v>92924.02</v>
      </c>
      <c r="C966" s="28">
        <v>57343.02</v>
      </c>
      <c r="D966" s="31">
        <v>57447.45</v>
      </c>
      <c r="E966" s="31">
        <v>-50259.18</v>
      </c>
    </row>
    <row r="967">
      <c r="A967" s="28">
        <v>87223.95</v>
      </c>
      <c r="B967" s="28">
        <v>-60989.74</v>
      </c>
      <c r="C967" s="28">
        <v>-41711.12</v>
      </c>
      <c r="D967" s="31">
        <v>88514.14</v>
      </c>
      <c r="E967" s="31">
        <v>17116.45</v>
      </c>
    </row>
    <row r="968">
      <c r="A968" s="28">
        <v>71835.01</v>
      </c>
      <c r="B968" s="28">
        <v>59787.73</v>
      </c>
      <c r="C968" s="28">
        <v>-100.79</v>
      </c>
      <c r="D968" s="31">
        <v>88937.25</v>
      </c>
      <c r="E968" s="31">
        <v>-84654.69</v>
      </c>
    </row>
    <row r="969">
      <c r="A969" s="28">
        <v>-59812.04</v>
      </c>
      <c r="B969" s="28">
        <v>59498.4</v>
      </c>
      <c r="C969" s="28">
        <v>26270.72</v>
      </c>
      <c r="D969" s="31">
        <v>-53920.76</v>
      </c>
      <c r="E969" s="31">
        <v>1609.77</v>
      </c>
    </row>
    <row r="970">
      <c r="A970" s="28">
        <v>43873.38</v>
      </c>
      <c r="B970" s="28">
        <v>65911.26</v>
      </c>
      <c r="C970" s="28">
        <v>-84036.64</v>
      </c>
      <c r="D970" s="31">
        <v>67169.73</v>
      </c>
      <c r="E970" s="31">
        <v>17093.6</v>
      </c>
    </row>
    <row r="971">
      <c r="A971" s="28">
        <v>13439.29</v>
      </c>
      <c r="B971" s="28">
        <v>66551.56</v>
      </c>
      <c r="C971" s="28">
        <v>-59266.81</v>
      </c>
      <c r="D971" s="31">
        <v>566.7</v>
      </c>
      <c r="E971" s="31">
        <v>82459.97</v>
      </c>
    </row>
    <row r="972">
      <c r="A972" s="28">
        <v>50366.41</v>
      </c>
      <c r="B972" s="28">
        <v>-67041.69</v>
      </c>
      <c r="C972" s="28">
        <v>34569.07</v>
      </c>
      <c r="D972" s="31">
        <v>58399.42</v>
      </c>
      <c r="E972" s="31">
        <v>-51479.4</v>
      </c>
    </row>
    <row r="973">
      <c r="A973" s="28">
        <v>-60043.73</v>
      </c>
      <c r="B973" s="28">
        <v>38281.5</v>
      </c>
      <c r="C973" s="28">
        <v>-77020.58</v>
      </c>
      <c r="D973" s="31">
        <v>-27175.73</v>
      </c>
      <c r="E973" s="31">
        <v>-4655.68</v>
      </c>
    </row>
    <row r="974">
      <c r="A974" s="28">
        <v>40883.5</v>
      </c>
      <c r="B974" s="28">
        <v>-93571.07</v>
      </c>
      <c r="C974" s="28">
        <v>36650.77</v>
      </c>
      <c r="D974" s="31">
        <v>25541.77</v>
      </c>
      <c r="E974" s="31">
        <v>-34410.37</v>
      </c>
    </row>
    <row r="975">
      <c r="A975" s="28">
        <v>-49276.62</v>
      </c>
      <c r="B975" s="28">
        <v>-85385.86</v>
      </c>
      <c r="C975" s="28">
        <v>-50055.36</v>
      </c>
      <c r="D975" s="31">
        <v>-88426.22</v>
      </c>
      <c r="E975" s="31">
        <v>-28644.77</v>
      </c>
    </row>
    <row r="976">
      <c r="A976" s="28">
        <v>-52150.19</v>
      </c>
      <c r="B976" s="28">
        <v>-53626.56</v>
      </c>
      <c r="C976" s="28">
        <v>50456.84</v>
      </c>
      <c r="D976" s="31">
        <v>-69419.27</v>
      </c>
      <c r="E976" s="31">
        <v>-73892.58</v>
      </c>
    </row>
    <row r="977">
      <c r="A977" s="28">
        <v>-21329.46</v>
      </c>
      <c r="B977" s="28">
        <v>-74493.06</v>
      </c>
      <c r="C977" s="28">
        <v>37178.5</v>
      </c>
      <c r="D977" s="31">
        <v>17185.93</v>
      </c>
      <c r="E977" s="31">
        <v>-40361.67</v>
      </c>
    </row>
    <row r="978">
      <c r="A978" s="28">
        <v>84212.45</v>
      </c>
      <c r="B978" s="28">
        <v>-41573.09</v>
      </c>
      <c r="C978" s="28">
        <v>1622.61</v>
      </c>
      <c r="D978" s="31">
        <v>-30128.52</v>
      </c>
      <c r="E978" s="31">
        <v>41783.69</v>
      </c>
    </row>
    <row r="979">
      <c r="A979" s="28">
        <v>-35470.83</v>
      </c>
      <c r="B979" s="28">
        <v>94992.11</v>
      </c>
      <c r="C979" s="28">
        <v>86408.38</v>
      </c>
      <c r="D979" s="31">
        <v>12445.51</v>
      </c>
      <c r="E979" s="31">
        <v>-58186.19</v>
      </c>
    </row>
    <row r="980">
      <c r="A980" s="28">
        <v>-56731.47</v>
      </c>
      <c r="B980" s="28">
        <v>69792.44</v>
      </c>
      <c r="C980" s="28">
        <v>59886.33</v>
      </c>
      <c r="D980" s="31">
        <v>-28328.86</v>
      </c>
      <c r="E980" s="31">
        <v>-46137.68</v>
      </c>
    </row>
    <row r="981">
      <c r="A981" s="28">
        <v>-46521.86</v>
      </c>
      <c r="B981" s="28">
        <v>20756.98</v>
      </c>
      <c r="C981" s="28">
        <v>-29461.02</v>
      </c>
      <c r="D981" s="31">
        <v>-38486.29</v>
      </c>
      <c r="E981" s="31">
        <v>71946.0</v>
      </c>
    </row>
    <row r="982">
      <c r="A982" s="28">
        <v>71794.99</v>
      </c>
      <c r="B982" s="28">
        <v>-48437.28</v>
      </c>
      <c r="C982" s="28">
        <v>25168.98</v>
      </c>
      <c r="D982" s="31">
        <v>-29361.15</v>
      </c>
      <c r="E982" s="31">
        <v>16938.72</v>
      </c>
    </row>
    <row r="983">
      <c r="A983" s="28">
        <v>-99419.01</v>
      </c>
      <c r="B983" s="28">
        <v>20016.92</v>
      </c>
      <c r="C983" s="28">
        <v>-15244.48</v>
      </c>
      <c r="D983" s="31">
        <v>49690.35</v>
      </c>
      <c r="E983" s="31">
        <v>80799.0</v>
      </c>
    </row>
    <row r="984">
      <c r="A984" s="28">
        <v>-50079.42</v>
      </c>
      <c r="B984" s="28">
        <v>-60862.13</v>
      </c>
      <c r="C984" s="28">
        <v>-7102.14</v>
      </c>
      <c r="D984" s="31">
        <v>51433.14</v>
      </c>
      <c r="E984" s="31">
        <v>-63105.85</v>
      </c>
    </row>
    <row r="985">
      <c r="A985" s="28">
        <v>9511.58</v>
      </c>
      <c r="B985" s="28">
        <v>20372.86</v>
      </c>
      <c r="C985" s="28">
        <v>18474.63</v>
      </c>
      <c r="D985" s="31">
        <v>80608.73</v>
      </c>
      <c r="E985" s="31">
        <v>-94658.04</v>
      </c>
    </row>
    <row r="986">
      <c r="A986" s="28">
        <v>-53340.17</v>
      </c>
      <c r="B986" s="28">
        <v>-81840.88</v>
      </c>
      <c r="C986" s="28">
        <v>57601.19</v>
      </c>
      <c r="D986" s="31">
        <v>-95822.96</v>
      </c>
      <c r="E986" s="31">
        <v>70906.28</v>
      </c>
    </row>
    <row r="987">
      <c r="A987" s="28">
        <v>91121.35</v>
      </c>
      <c r="B987" s="28">
        <v>-70438.9</v>
      </c>
      <c r="C987" s="28">
        <v>-38460.22</v>
      </c>
      <c r="D987" s="31">
        <v>-38804.44</v>
      </c>
      <c r="E987" s="31">
        <v>77871.7</v>
      </c>
    </row>
    <row r="988">
      <c r="A988" s="28">
        <v>-8717.24</v>
      </c>
      <c r="B988" s="28">
        <v>-23325.48</v>
      </c>
      <c r="C988" s="28">
        <v>93571.29</v>
      </c>
      <c r="D988" s="31">
        <v>-69188.6</v>
      </c>
      <c r="E988" s="31">
        <v>24276.2</v>
      </c>
    </row>
    <row r="989">
      <c r="A989" s="28">
        <v>-37380.88</v>
      </c>
      <c r="B989" s="28">
        <v>-43697.24</v>
      </c>
      <c r="C989" s="28">
        <v>-22877.99</v>
      </c>
      <c r="D989" s="31">
        <v>-6038.99</v>
      </c>
      <c r="E989" s="31">
        <v>-28983.07</v>
      </c>
    </row>
    <row r="990">
      <c r="A990" s="28">
        <v>94837.9</v>
      </c>
      <c r="B990" s="28">
        <v>48762.63</v>
      </c>
      <c r="C990" s="28">
        <v>31519.44</v>
      </c>
      <c r="D990" s="31">
        <v>-54793.49</v>
      </c>
      <c r="E990" s="31">
        <v>-3821.09</v>
      </c>
    </row>
    <row r="991">
      <c r="A991" s="28">
        <v>65917.91</v>
      </c>
      <c r="B991" s="28">
        <v>21602.76</v>
      </c>
      <c r="C991" s="28">
        <v>41934.73</v>
      </c>
      <c r="D991" s="31">
        <v>56561.67</v>
      </c>
      <c r="E991" s="31">
        <v>96626.79</v>
      </c>
    </row>
    <row r="992">
      <c r="A992" s="28">
        <v>-78385.96</v>
      </c>
      <c r="B992" s="28">
        <v>-37701.71</v>
      </c>
      <c r="C992" s="28">
        <v>16588.81</v>
      </c>
      <c r="D992" s="31">
        <v>-97607.19</v>
      </c>
      <c r="E992" s="31">
        <v>78616.5</v>
      </c>
    </row>
    <row r="993">
      <c r="A993" s="28">
        <v>80741.64</v>
      </c>
      <c r="B993" s="28">
        <v>-58462.1</v>
      </c>
      <c r="C993" s="28">
        <v>-81370.51</v>
      </c>
      <c r="D993" s="31">
        <v>-18505.62</v>
      </c>
      <c r="E993" s="31">
        <v>-90147.22</v>
      </c>
    </row>
    <row r="994">
      <c r="A994" s="28">
        <v>52680.77</v>
      </c>
      <c r="B994" s="28">
        <v>-53530.13</v>
      </c>
      <c r="C994" s="28">
        <v>33781.53</v>
      </c>
      <c r="D994" s="31">
        <v>-39784.45</v>
      </c>
      <c r="E994" s="31">
        <v>-72059.73</v>
      </c>
    </row>
    <row r="995">
      <c r="A995" s="28">
        <v>47084.55</v>
      </c>
      <c r="B995" s="28">
        <v>87051.94</v>
      </c>
      <c r="C995" s="28">
        <v>46857.46</v>
      </c>
      <c r="D995" s="31">
        <v>-31782.94</v>
      </c>
      <c r="E995" s="31">
        <v>-18880.24</v>
      </c>
    </row>
    <row r="996">
      <c r="A996" s="28">
        <v>-75877.69</v>
      </c>
      <c r="B996" s="28">
        <v>70462.04</v>
      </c>
      <c r="C996" s="28">
        <v>75636.48</v>
      </c>
      <c r="D996" s="31">
        <v>9012.36</v>
      </c>
      <c r="E996" s="31">
        <v>2299.88</v>
      </c>
    </row>
    <row r="997">
      <c r="A997" s="28">
        <v>-22257.28</v>
      </c>
      <c r="B997" s="28">
        <v>50923.18</v>
      </c>
      <c r="C997" s="28">
        <v>-8883.17</v>
      </c>
      <c r="D997" s="31">
        <v>-41388.79</v>
      </c>
      <c r="E997" s="31">
        <v>39625.36</v>
      </c>
    </row>
    <row r="998">
      <c r="A998" s="28">
        <v>56731.46</v>
      </c>
      <c r="B998" s="28">
        <v>-97413.89</v>
      </c>
      <c r="C998" s="28">
        <v>64462.22</v>
      </c>
      <c r="D998" s="31">
        <v>81178.46</v>
      </c>
      <c r="E998" s="31">
        <v>-77607.1</v>
      </c>
    </row>
    <row r="999">
      <c r="A999" s="28">
        <v>-65131.42</v>
      </c>
      <c r="B999" s="28">
        <v>66882.23</v>
      </c>
      <c r="C999" s="28">
        <v>-81435.27</v>
      </c>
      <c r="D999" s="31">
        <v>-41933.39</v>
      </c>
      <c r="E999" s="31">
        <v>-68026.88</v>
      </c>
    </row>
    <row r="1000">
      <c r="A1000" s="28">
        <v>74056.98</v>
      </c>
      <c r="B1000" s="28">
        <v>-27869.51</v>
      </c>
      <c r="C1000" s="28">
        <v>-17070.69</v>
      </c>
      <c r="D1000" s="31">
        <v>55128.67</v>
      </c>
      <c r="E1000" s="31">
        <v>61542.28</v>
      </c>
    </row>
    <row r="1001">
      <c r="A1001" s="28">
        <v>47903.71</v>
      </c>
      <c r="B1001" s="28">
        <v>-50734.16</v>
      </c>
      <c r="C1001" s="28">
        <v>-38122.84</v>
      </c>
      <c r="D1001" s="31">
        <v>-28124.06</v>
      </c>
      <c r="E1001" s="31">
        <v>-48818.14</v>
      </c>
    </row>
    <row r="1002">
      <c r="A1002" s="28">
        <v>-30024.1</v>
      </c>
      <c r="B1002" s="28">
        <v>-31390.96</v>
      </c>
      <c r="C1002" s="28">
        <v>-84547.37</v>
      </c>
      <c r="D1002" s="31">
        <v>-2419.8</v>
      </c>
      <c r="E1002" s="31">
        <v>-68548.63</v>
      </c>
    </row>
    <row r="1003">
      <c r="A1003" s="28">
        <v>-37380.88</v>
      </c>
      <c r="B1003" s="28">
        <v>68150.85</v>
      </c>
      <c r="C1003" s="28">
        <v>-85814.06</v>
      </c>
      <c r="D1003" s="31">
        <v>-57138.0</v>
      </c>
      <c r="E1003" s="31">
        <v>70906.28</v>
      </c>
    </row>
    <row r="1004">
      <c r="A1004" s="28">
        <v>91121.35</v>
      </c>
      <c r="B1004" s="28">
        <v>-84627.74</v>
      </c>
      <c r="C1004" s="28">
        <v>31519.44</v>
      </c>
      <c r="D1004" s="31">
        <v>-26211.26</v>
      </c>
      <c r="E1004" s="31">
        <v>-18880.24</v>
      </c>
    </row>
    <row r="1005">
      <c r="A1005" s="32"/>
      <c r="B1005" s="32"/>
      <c r="C1005" s="32"/>
      <c r="D1005" s="33"/>
      <c r="E1005" s="33"/>
    </row>
    <row r="1006">
      <c r="A1006" s="32"/>
      <c r="B1006" s="32"/>
      <c r="C1006" s="32"/>
      <c r="D1006" s="33"/>
      <c r="E1006" s="33"/>
    </row>
    <row r="1007">
      <c r="A1007" s="32"/>
      <c r="B1007" s="32"/>
      <c r="C1007" s="32"/>
      <c r="D1007" s="33"/>
      <c r="E1007" s="33"/>
    </row>
    <row r="1008">
      <c r="A1008" s="32"/>
      <c r="B1008" s="32"/>
      <c r="C1008" s="32"/>
      <c r="D1008" s="33"/>
      <c r="E1008" s="33"/>
    </row>
    <row r="1009">
      <c r="A1009" s="32"/>
      <c r="B1009" s="32"/>
      <c r="C1009" s="32"/>
      <c r="D1009" s="33"/>
      <c r="E1009" s="33"/>
    </row>
    <row r="1010">
      <c r="A1010" s="32"/>
      <c r="B1010" s="32"/>
      <c r="C1010" s="32"/>
      <c r="D1010" s="33"/>
      <c r="E1010" s="33"/>
    </row>
    <row r="1011">
      <c r="A1011" s="32"/>
      <c r="B1011" s="32"/>
      <c r="C1011" s="32"/>
      <c r="D1011" s="33"/>
      <c r="E1011" s="33"/>
    </row>
    <row r="1012">
      <c r="A1012" s="32"/>
      <c r="B1012" s="32"/>
      <c r="C1012" s="32"/>
      <c r="D1012" s="33"/>
      <c r="E1012" s="33"/>
    </row>
    <row r="1013">
      <c r="A1013" s="32"/>
      <c r="B1013" s="32"/>
      <c r="C1013" s="32"/>
      <c r="D1013" s="33"/>
      <c r="E1013" s="33"/>
    </row>
    <row r="1014">
      <c r="A1014" s="32"/>
      <c r="B1014" s="32"/>
      <c r="C1014" s="32"/>
      <c r="D1014" s="33"/>
      <c r="E1014" s="33"/>
    </row>
    <row r="1015">
      <c r="A1015" s="32"/>
      <c r="B1015" s="32"/>
      <c r="C1015" s="32"/>
      <c r="D1015" s="33"/>
      <c r="E1015" s="33"/>
    </row>
    <row r="1016">
      <c r="A1016" s="32"/>
      <c r="B1016" s="32"/>
      <c r="C1016" s="32"/>
      <c r="D1016" s="33"/>
      <c r="E1016" s="33"/>
    </row>
    <row r="1017">
      <c r="A1017" s="32"/>
      <c r="B1017" s="32"/>
      <c r="C1017" s="32"/>
      <c r="D1017" s="33"/>
      <c r="E1017" s="33"/>
    </row>
    <row r="1018">
      <c r="A1018" s="32"/>
      <c r="B1018" s="32"/>
      <c r="C1018" s="32"/>
      <c r="D1018" s="33"/>
      <c r="E1018" s="33"/>
    </row>
    <row r="1019">
      <c r="A1019" s="32"/>
      <c r="B1019" s="32"/>
      <c r="C1019" s="32"/>
      <c r="D1019" s="33"/>
      <c r="E1019" s="33"/>
    </row>
    <row r="1020">
      <c r="A1020" s="32"/>
      <c r="B1020" s="32"/>
      <c r="C1020" s="32"/>
      <c r="D1020" s="33"/>
      <c r="E1020" s="33"/>
    </row>
    <row r="1021">
      <c r="A1021" s="32"/>
      <c r="B1021" s="32"/>
      <c r="C1021" s="32"/>
      <c r="D1021" s="33"/>
      <c r="E1021" s="33"/>
    </row>
    <row r="1022">
      <c r="A1022" s="32"/>
      <c r="B1022" s="32"/>
      <c r="C1022" s="32"/>
      <c r="D1022" s="33"/>
      <c r="E1022" s="33"/>
    </row>
    <row r="1023">
      <c r="A1023" s="32"/>
      <c r="B1023" s="32"/>
      <c r="C1023" s="32"/>
      <c r="D1023" s="33"/>
      <c r="E1023" s="33"/>
    </row>
    <row r="1024">
      <c r="A1024" s="32"/>
      <c r="B1024" s="32"/>
      <c r="C1024" s="32"/>
      <c r="D1024" s="33"/>
      <c r="E1024" s="33"/>
    </row>
    <row r="1025">
      <c r="A1025" s="32"/>
      <c r="B1025" s="32"/>
      <c r="C1025" s="32"/>
      <c r="D1025" s="33"/>
      <c r="E1025" s="33"/>
    </row>
    <row r="1026">
      <c r="A1026" s="32"/>
      <c r="B1026" s="32"/>
      <c r="C1026" s="32"/>
      <c r="D1026" s="33"/>
      <c r="E1026" s="33"/>
    </row>
    <row r="1027">
      <c r="A1027" s="32"/>
      <c r="B1027" s="32"/>
      <c r="C1027" s="32"/>
      <c r="D1027" s="33"/>
      <c r="E1027" s="33"/>
    </row>
    <row r="1028">
      <c r="A1028" s="32"/>
      <c r="B1028" s="32"/>
      <c r="C1028" s="32"/>
      <c r="D1028" s="33"/>
      <c r="E1028" s="33"/>
    </row>
    <row r="1029">
      <c r="A1029" s="32"/>
      <c r="B1029" s="32"/>
      <c r="C1029" s="32"/>
      <c r="D1029" s="33"/>
      <c r="E1029" s="33"/>
    </row>
    <row r="1030">
      <c r="A1030" s="32"/>
      <c r="B1030" s="32"/>
      <c r="C1030" s="32"/>
      <c r="D1030" s="33"/>
      <c r="E1030" s="33"/>
    </row>
    <row r="1031">
      <c r="A1031" s="32"/>
      <c r="B1031" s="32"/>
      <c r="C1031" s="32"/>
      <c r="D1031" s="33"/>
      <c r="E1031" s="33"/>
    </row>
    <row r="1032">
      <c r="A1032" s="32"/>
      <c r="B1032" s="32"/>
      <c r="C1032" s="32"/>
      <c r="D1032" s="33"/>
      <c r="E1032" s="33"/>
    </row>
    <row r="1033">
      <c r="A1033" s="32"/>
      <c r="B1033" s="32"/>
      <c r="C1033" s="32"/>
      <c r="D1033" s="33"/>
      <c r="E1033" s="33"/>
    </row>
    <row r="1034">
      <c r="A1034" s="32"/>
      <c r="B1034" s="32"/>
      <c r="C1034" s="32"/>
      <c r="D1034" s="33"/>
      <c r="E1034" s="33"/>
    </row>
    <row r="1035">
      <c r="A1035" s="32"/>
      <c r="B1035" s="32"/>
      <c r="C1035" s="32"/>
      <c r="D1035" s="33"/>
      <c r="E1035" s="33"/>
    </row>
    <row r="1036">
      <c r="A1036" s="32"/>
      <c r="B1036" s="32"/>
      <c r="C1036" s="32"/>
      <c r="D1036" s="33"/>
      <c r="E1036" s="33"/>
    </row>
    <row r="1037">
      <c r="A1037" s="32"/>
      <c r="B1037" s="32"/>
      <c r="C1037" s="32"/>
      <c r="D1037" s="33"/>
      <c r="E1037" s="33"/>
    </row>
    <row r="1038">
      <c r="A1038" s="32"/>
      <c r="B1038" s="32"/>
      <c r="C1038" s="32"/>
      <c r="D1038" s="33"/>
      <c r="E1038" s="33"/>
    </row>
    <row r="1039">
      <c r="A1039" s="32"/>
      <c r="B1039" s="32"/>
      <c r="C1039" s="32"/>
      <c r="D1039" s="33"/>
      <c r="E1039" s="33"/>
    </row>
    <row r="1040">
      <c r="A1040" s="32"/>
      <c r="B1040" s="32"/>
      <c r="C1040" s="32"/>
      <c r="D1040" s="33"/>
      <c r="E1040" s="33"/>
    </row>
    <row r="1041">
      <c r="A1041" s="32"/>
      <c r="B1041" s="32"/>
      <c r="C1041" s="32"/>
      <c r="D1041" s="33"/>
      <c r="E1041" s="33"/>
    </row>
    <row r="1042">
      <c r="A1042" s="32"/>
      <c r="B1042" s="32"/>
      <c r="C1042" s="32"/>
      <c r="D1042" s="33"/>
      <c r="E1042" s="33"/>
    </row>
    <row r="1043">
      <c r="A1043" s="32"/>
      <c r="B1043" s="32"/>
      <c r="C1043" s="32"/>
      <c r="D1043" s="33"/>
      <c r="E1043" s="33"/>
    </row>
    <row r="1044">
      <c r="A1044" s="32"/>
      <c r="B1044" s="32"/>
      <c r="C1044" s="32"/>
      <c r="D1044" s="33"/>
      <c r="E1044" s="33"/>
    </row>
    <row r="1045">
      <c r="A1045" s="32"/>
      <c r="B1045" s="32"/>
      <c r="C1045" s="32"/>
      <c r="D1045" s="33"/>
      <c r="E1045" s="33"/>
    </row>
    <row r="1046">
      <c r="A1046" s="32"/>
      <c r="B1046" s="32"/>
      <c r="C1046" s="32"/>
      <c r="D1046" s="33"/>
      <c r="E1046" s="33"/>
    </row>
    <row r="1047">
      <c r="A1047" s="32"/>
      <c r="B1047" s="32"/>
      <c r="C1047" s="32"/>
      <c r="D1047" s="33"/>
      <c r="E1047" s="33"/>
    </row>
    <row r="1048">
      <c r="A1048" s="32"/>
      <c r="B1048" s="32"/>
      <c r="C1048" s="32"/>
      <c r="D1048" s="33"/>
      <c r="E1048" s="33"/>
    </row>
    <row r="1049">
      <c r="A1049" s="32"/>
      <c r="B1049" s="32"/>
      <c r="C1049" s="32"/>
      <c r="D1049" s="33"/>
      <c r="E1049" s="33"/>
    </row>
    <row r="1050">
      <c r="A1050" s="32"/>
      <c r="B1050" s="32"/>
      <c r="C1050" s="32"/>
      <c r="D1050" s="33"/>
      <c r="E1050" s="33"/>
    </row>
    <row r="1051">
      <c r="A1051" s="32"/>
      <c r="B1051" s="32"/>
      <c r="C1051" s="32"/>
      <c r="D1051" s="33"/>
      <c r="E1051" s="33"/>
    </row>
    <row r="1052">
      <c r="A1052" s="32"/>
      <c r="B1052" s="32"/>
      <c r="C1052" s="32"/>
      <c r="D1052" s="33"/>
      <c r="E1052" s="33"/>
    </row>
    <row r="1053">
      <c r="A1053" s="32"/>
      <c r="B1053" s="32"/>
      <c r="C1053" s="32"/>
      <c r="D1053" s="33"/>
      <c r="E1053" s="33"/>
    </row>
    <row r="1054">
      <c r="A1054" s="32"/>
      <c r="B1054" s="32"/>
      <c r="C1054" s="32"/>
      <c r="D1054" s="33"/>
      <c r="E1054" s="33"/>
    </row>
    <row r="1055">
      <c r="A1055" s="32"/>
      <c r="B1055" s="32"/>
      <c r="C1055" s="32"/>
      <c r="D1055" s="33"/>
      <c r="E1055" s="33"/>
    </row>
    <row r="1056">
      <c r="A1056" s="32"/>
      <c r="B1056" s="32"/>
      <c r="C1056" s="32"/>
      <c r="D1056" s="33"/>
      <c r="E1056" s="33"/>
    </row>
    <row r="1057">
      <c r="A1057" s="32"/>
      <c r="B1057" s="32"/>
      <c r="C1057" s="32"/>
      <c r="D1057" s="33"/>
      <c r="E1057" s="33"/>
    </row>
    <row r="1058">
      <c r="A1058" s="32"/>
      <c r="B1058" s="32"/>
      <c r="C1058" s="32"/>
      <c r="D1058" s="33"/>
      <c r="E1058" s="33"/>
    </row>
    <row r="1059">
      <c r="A1059" s="32"/>
      <c r="B1059" s="32"/>
      <c r="C1059" s="32"/>
      <c r="D1059" s="33"/>
      <c r="E1059" s="33"/>
    </row>
    <row r="1060">
      <c r="A1060" s="32"/>
      <c r="B1060" s="32"/>
      <c r="C1060" s="32"/>
      <c r="D1060" s="33"/>
      <c r="E1060" s="33"/>
    </row>
    <row r="1061">
      <c r="A1061" s="32"/>
      <c r="B1061" s="32"/>
      <c r="C1061" s="32"/>
      <c r="D1061" s="33"/>
      <c r="E1061" s="33"/>
    </row>
    <row r="1062">
      <c r="A1062" s="32"/>
      <c r="B1062" s="32"/>
      <c r="C1062" s="32"/>
      <c r="D1062" s="33"/>
      <c r="E1062" s="33"/>
    </row>
    <row r="1063">
      <c r="A1063" s="32"/>
      <c r="B1063" s="32"/>
      <c r="C1063" s="32"/>
      <c r="D1063" s="33"/>
      <c r="E1063" s="33"/>
    </row>
    <row r="1064">
      <c r="A1064" s="32"/>
      <c r="B1064" s="32"/>
      <c r="C1064" s="32"/>
      <c r="D1064" s="33"/>
      <c r="E1064" s="33"/>
    </row>
    <row r="1065">
      <c r="A1065" s="32"/>
      <c r="B1065" s="32"/>
      <c r="C1065" s="32"/>
      <c r="D1065" s="33"/>
      <c r="E1065" s="33"/>
    </row>
    <row r="1066">
      <c r="A1066" s="32"/>
      <c r="B1066" s="32"/>
      <c r="C1066" s="32"/>
      <c r="D1066" s="33"/>
      <c r="E1066" s="33"/>
    </row>
    <row r="1067">
      <c r="A1067" s="32"/>
      <c r="B1067" s="32"/>
      <c r="C1067" s="32"/>
      <c r="D1067" s="33"/>
      <c r="E1067" s="33"/>
    </row>
    <row r="1068">
      <c r="A1068" s="32"/>
      <c r="B1068" s="32"/>
      <c r="C1068" s="32"/>
      <c r="D1068" s="33"/>
      <c r="E1068" s="33"/>
    </row>
    <row r="1069">
      <c r="A1069" s="32"/>
      <c r="B1069" s="32"/>
      <c r="C1069" s="32"/>
      <c r="D1069" s="33"/>
      <c r="E1069" s="33"/>
    </row>
    <row r="1070">
      <c r="A1070" s="32"/>
      <c r="B1070" s="32"/>
      <c r="C1070" s="32"/>
      <c r="D1070" s="33"/>
      <c r="E1070" s="33"/>
    </row>
    <row r="1071">
      <c r="A1071" s="32"/>
      <c r="B1071" s="32"/>
      <c r="C1071" s="32"/>
      <c r="D1071" s="33"/>
      <c r="E1071" s="33"/>
    </row>
    <row r="1072">
      <c r="A1072" s="32"/>
      <c r="B1072" s="32"/>
      <c r="C1072" s="32"/>
      <c r="D1072" s="33"/>
      <c r="E1072" s="33"/>
    </row>
    <row r="1073">
      <c r="A1073" s="32"/>
      <c r="B1073" s="32"/>
      <c r="C1073" s="32"/>
      <c r="D1073" s="33"/>
      <c r="E1073" s="33"/>
    </row>
    <row r="1074">
      <c r="A1074" s="32"/>
      <c r="B1074" s="32"/>
      <c r="C1074" s="32"/>
      <c r="D1074" s="33"/>
      <c r="E1074" s="33"/>
    </row>
    <row r="1075">
      <c r="A1075" s="32"/>
      <c r="B1075" s="32"/>
      <c r="C1075" s="32"/>
      <c r="D1075" s="33"/>
      <c r="E1075" s="33"/>
    </row>
    <row r="1076">
      <c r="A1076" s="32"/>
      <c r="B1076" s="32"/>
      <c r="C1076" s="32"/>
      <c r="D1076" s="33"/>
      <c r="E1076" s="33"/>
    </row>
    <row r="1077">
      <c r="A1077" s="32"/>
      <c r="B1077" s="32"/>
      <c r="C1077" s="32"/>
      <c r="D1077" s="33"/>
      <c r="E1077" s="33"/>
    </row>
    <row r="1078">
      <c r="A1078" s="32"/>
      <c r="B1078" s="32"/>
      <c r="C1078" s="32"/>
      <c r="D1078" s="33"/>
      <c r="E1078" s="33"/>
    </row>
    <row r="1079">
      <c r="A1079" s="32"/>
      <c r="B1079" s="32"/>
      <c r="C1079" s="32"/>
      <c r="D1079" s="33"/>
      <c r="E1079" s="33"/>
    </row>
    <row r="1080">
      <c r="A1080" s="32"/>
      <c r="B1080" s="32"/>
      <c r="C1080" s="32"/>
      <c r="D1080" s="33"/>
      <c r="E1080" s="33"/>
    </row>
    <row r="1081">
      <c r="A1081" s="32"/>
      <c r="B1081" s="32"/>
      <c r="C1081" s="32"/>
      <c r="D1081" s="33"/>
      <c r="E1081" s="33"/>
    </row>
    <row r="1082">
      <c r="A1082" s="32"/>
      <c r="B1082" s="32"/>
      <c r="C1082" s="32"/>
      <c r="D1082" s="33"/>
      <c r="E1082" s="33"/>
    </row>
    <row r="1083">
      <c r="A1083" s="32"/>
      <c r="B1083" s="32"/>
      <c r="C1083" s="32"/>
      <c r="D1083" s="33"/>
      <c r="E1083" s="33"/>
    </row>
    <row r="1084">
      <c r="A1084" s="32"/>
      <c r="B1084" s="32"/>
      <c r="C1084" s="32"/>
      <c r="D1084" s="33"/>
      <c r="E1084" s="33"/>
    </row>
    <row r="1085">
      <c r="A1085" s="32"/>
      <c r="B1085" s="32"/>
      <c r="C1085" s="32"/>
      <c r="D1085" s="33"/>
      <c r="E1085" s="33"/>
    </row>
    <row r="1086">
      <c r="A1086" s="32"/>
      <c r="B1086" s="32"/>
      <c r="C1086" s="32"/>
      <c r="D1086" s="33"/>
      <c r="E1086" s="33"/>
    </row>
    <row r="1087">
      <c r="A1087" s="32"/>
      <c r="B1087" s="32"/>
      <c r="C1087" s="32"/>
      <c r="D1087" s="33"/>
      <c r="E1087" s="33"/>
    </row>
    <row r="1088">
      <c r="A1088" s="32"/>
      <c r="B1088" s="32"/>
      <c r="C1088" s="32"/>
      <c r="D1088" s="33"/>
      <c r="E1088" s="33"/>
    </row>
    <row r="1089">
      <c r="A1089" s="32"/>
      <c r="B1089" s="32"/>
      <c r="C1089" s="32"/>
      <c r="D1089" s="33"/>
      <c r="E1089" s="33"/>
    </row>
    <row r="1090">
      <c r="A1090" s="32"/>
      <c r="B1090" s="32"/>
      <c r="C1090" s="32"/>
      <c r="D1090" s="33"/>
      <c r="E1090" s="33"/>
    </row>
    <row r="1091">
      <c r="A1091" s="32"/>
      <c r="B1091" s="32"/>
      <c r="C1091" s="32"/>
      <c r="D1091" s="33"/>
      <c r="E1091" s="33"/>
    </row>
    <row r="1092">
      <c r="A1092" s="32"/>
      <c r="B1092" s="32"/>
      <c r="C1092" s="32"/>
      <c r="D1092" s="33"/>
      <c r="E1092" s="33"/>
    </row>
    <row r="1093">
      <c r="A1093" s="32"/>
      <c r="B1093" s="32"/>
      <c r="C1093" s="32"/>
      <c r="D1093" s="33"/>
      <c r="E1093" s="33"/>
    </row>
    <row r="1094">
      <c r="A1094" s="32"/>
      <c r="B1094" s="32"/>
      <c r="C1094" s="32"/>
      <c r="D1094" s="33"/>
      <c r="E1094" s="33"/>
    </row>
    <row r="1095">
      <c r="A1095" s="32"/>
      <c r="B1095" s="32"/>
      <c r="C1095" s="32"/>
      <c r="D1095" s="33"/>
      <c r="E1095" s="33"/>
    </row>
    <row r="1096">
      <c r="A1096" s="32"/>
      <c r="B1096" s="32"/>
      <c r="C1096" s="32"/>
      <c r="D1096" s="33"/>
      <c r="E1096" s="33"/>
    </row>
    <row r="1097">
      <c r="A1097" s="32"/>
      <c r="B1097" s="32"/>
      <c r="C1097" s="32"/>
      <c r="D1097" s="33"/>
      <c r="E1097" s="33"/>
    </row>
    <row r="1098">
      <c r="A1098" s="32"/>
      <c r="B1098" s="32"/>
      <c r="C1098" s="32"/>
      <c r="D1098" s="33"/>
      <c r="E1098" s="33"/>
    </row>
    <row r="1099">
      <c r="A1099" s="32"/>
      <c r="B1099" s="32"/>
      <c r="C1099" s="32"/>
      <c r="D1099" s="33"/>
      <c r="E1099" s="33"/>
    </row>
    <row r="1100">
      <c r="A1100" s="32"/>
      <c r="B1100" s="32"/>
      <c r="C1100" s="32"/>
      <c r="D1100" s="33"/>
      <c r="E1100" s="33"/>
    </row>
    <row r="1101">
      <c r="A1101" s="32"/>
      <c r="B1101" s="32"/>
      <c r="C1101" s="32"/>
      <c r="D1101" s="33"/>
      <c r="E1101" s="33"/>
    </row>
    <row r="1102">
      <c r="A1102" s="32"/>
      <c r="B1102" s="32"/>
      <c r="C1102" s="32"/>
      <c r="D1102" s="33"/>
      <c r="E1102" s="33"/>
    </row>
    <row r="1103">
      <c r="A1103" s="32"/>
      <c r="B1103" s="32"/>
      <c r="C1103" s="32"/>
      <c r="D1103" s="33"/>
      <c r="E1103" s="33"/>
    </row>
    <row r="1104">
      <c r="A1104" s="32"/>
      <c r="B1104" s="32"/>
      <c r="C1104" s="32"/>
      <c r="D1104" s="33"/>
      <c r="E1104" s="33"/>
    </row>
    <row r="1105">
      <c r="A1105" s="32"/>
      <c r="B1105" s="32"/>
      <c r="C1105" s="32"/>
      <c r="D1105" s="33"/>
      <c r="E1105" s="33"/>
    </row>
    <row r="1106">
      <c r="A1106" s="32"/>
      <c r="B1106" s="32"/>
      <c r="C1106" s="32"/>
      <c r="D1106" s="33"/>
      <c r="E1106" s="33"/>
    </row>
    <row r="1107">
      <c r="A1107" s="32"/>
      <c r="B1107" s="32"/>
      <c r="C1107" s="32"/>
      <c r="D1107" s="33"/>
      <c r="E1107" s="33"/>
    </row>
    <row r="1108">
      <c r="A1108" s="32"/>
      <c r="B1108" s="32"/>
      <c r="C1108" s="32"/>
      <c r="D1108" s="33"/>
      <c r="E1108" s="33"/>
    </row>
    <row r="1109">
      <c r="A1109" s="32"/>
      <c r="B1109" s="32"/>
      <c r="C1109" s="32"/>
      <c r="D1109" s="33"/>
      <c r="E1109" s="33"/>
    </row>
    <row r="1110">
      <c r="A1110" s="32"/>
      <c r="B1110" s="32"/>
      <c r="C1110" s="32"/>
      <c r="D1110" s="33"/>
      <c r="E1110" s="33"/>
    </row>
    <row r="1111">
      <c r="A1111" s="32"/>
      <c r="B1111" s="32"/>
      <c r="C1111" s="32"/>
      <c r="D1111" s="33"/>
      <c r="E1111" s="33"/>
    </row>
    <row r="1112">
      <c r="A1112" s="32"/>
      <c r="B1112" s="32"/>
      <c r="C1112" s="32"/>
      <c r="D1112" s="33"/>
      <c r="E1112" s="33"/>
    </row>
    <row r="1113">
      <c r="A1113" s="32"/>
      <c r="B1113" s="32"/>
      <c r="C1113" s="32"/>
      <c r="D1113" s="33"/>
      <c r="E1113" s="33"/>
    </row>
    <row r="1114">
      <c r="A1114" s="32"/>
      <c r="B1114" s="32"/>
      <c r="C1114" s="32"/>
      <c r="D1114" s="33"/>
      <c r="E1114" s="33"/>
    </row>
    <row r="1115">
      <c r="A1115" s="32"/>
      <c r="B1115" s="32"/>
      <c r="C1115" s="32"/>
      <c r="D1115" s="33"/>
      <c r="E1115" s="33"/>
    </row>
    <row r="1116">
      <c r="A1116" s="32"/>
      <c r="B1116" s="32"/>
      <c r="C1116" s="32"/>
      <c r="D1116" s="33"/>
      <c r="E1116" s="33"/>
    </row>
    <row r="1117">
      <c r="A1117" s="32"/>
      <c r="B1117" s="32"/>
      <c r="C1117" s="32"/>
      <c r="D1117" s="33"/>
      <c r="E1117" s="33"/>
    </row>
    <row r="1118">
      <c r="A1118" s="32"/>
      <c r="B1118" s="32"/>
      <c r="C1118" s="32"/>
      <c r="D1118" s="33"/>
      <c r="E1118" s="33"/>
    </row>
    <row r="1119">
      <c r="A1119" s="32"/>
      <c r="B1119" s="32"/>
      <c r="C1119" s="32"/>
      <c r="D1119" s="33"/>
      <c r="E1119" s="33"/>
    </row>
    <row r="1120">
      <c r="A1120" s="32"/>
      <c r="B1120" s="32"/>
      <c r="C1120" s="32"/>
      <c r="D1120" s="33"/>
      <c r="E1120" s="33"/>
    </row>
    <row r="1121">
      <c r="A1121" s="32"/>
      <c r="B1121" s="32"/>
      <c r="C1121" s="32"/>
      <c r="D1121" s="33"/>
      <c r="E1121" s="33"/>
    </row>
    <row r="1122">
      <c r="A1122" s="32"/>
      <c r="B1122" s="32"/>
      <c r="C1122" s="32"/>
      <c r="D1122" s="33"/>
      <c r="E1122" s="33"/>
    </row>
    <row r="1123">
      <c r="A1123" s="32"/>
      <c r="B1123" s="32"/>
      <c r="C1123" s="32"/>
      <c r="D1123" s="33"/>
      <c r="E1123" s="33"/>
    </row>
    <row r="1124">
      <c r="A1124" s="32"/>
      <c r="B1124" s="32"/>
      <c r="C1124" s="32"/>
      <c r="D1124" s="33"/>
      <c r="E1124" s="33"/>
    </row>
    <row r="1125">
      <c r="A1125" s="32"/>
      <c r="B1125" s="32"/>
      <c r="C1125" s="32"/>
      <c r="D1125" s="33"/>
      <c r="E1125" s="33"/>
    </row>
    <row r="1126">
      <c r="A1126" s="32"/>
      <c r="B1126" s="32"/>
      <c r="C1126" s="32"/>
      <c r="D1126" s="33"/>
      <c r="E1126" s="33"/>
    </row>
    <row r="1127">
      <c r="A1127" s="32"/>
      <c r="B1127" s="32"/>
      <c r="C1127" s="32"/>
      <c r="D1127" s="33"/>
      <c r="E1127" s="33"/>
    </row>
    <row r="1128">
      <c r="A1128" s="32"/>
      <c r="B1128" s="32"/>
      <c r="C1128" s="32"/>
      <c r="D1128" s="33"/>
      <c r="E1128" s="33"/>
    </row>
    <row r="1129">
      <c r="A1129" s="32"/>
      <c r="B1129" s="32"/>
      <c r="C1129" s="32"/>
      <c r="D1129" s="33"/>
      <c r="E1129" s="33"/>
    </row>
    <row r="1130">
      <c r="A1130" s="32"/>
      <c r="B1130" s="32"/>
      <c r="C1130" s="32"/>
      <c r="D1130" s="33"/>
      <c r="E1130" s="33"/>
    </row>
    <row r="1131">
      <c r="A1131" s="32"/>
      <c r="B1131" s="32"/>
      <c r="C1131" s="32"/>
      <c r="D1131" s="33"/>
      <c r="E1131" s="33"/>
    </row>
    <row r="1132">
      <c r="A1132" s="32"/>
      <c r="B1132" s="32"/>
      <c r="C1132" s="32"/>
      <c r="D1132" s="33"/>
      <c r="E1132" s="33"/>
    </row>
    <row r="1133">
      <c r="A1133" s="32"/>
      <c r="B1133" s="32"/>
      <c r="C1133" s="32"/>
      <c r="D1133" s="33"/>
      <c r="E1133" s="33"/>
    </row>
    <row r="1134">
      <c r="A1134" s="32"/>
      <c r="B1134" s="32"/>
      <c r="C1134" s="32"/>
      <c r="D1134" s="33"/>
      <c r="E1134" s="33"/>
    </row>
    <row r="1135">
      <c r="A1135" s="32"/>
      <c r="B1135" s="32"/>
      <c r="C1135" s="32"/>
      <c r="D1135" s="33"/>
      <c r="E1135" s="33"/>
    </row>
    <row r="1136">
      <c r="A1136" s="32"/>
      <c r="B1136" s="32"/>
      <c r="C1136" s="32"/>
      <c r="D1136" s="33"/>
      <c r="E1136" s="33"/>
    </row>
    <row r="1137">
      <c r="A1137" s="32"/>
      <c r="B1137" s="32"/>
      <c r="C1137" s="32"/>
      <c r="D1137" s="33"/>
      <c r="E1137" s="33"/>
    </row>
    <row r="1138">
      <c r="A1138" s="32"/>
      <c r="B1138" s="32"/>
      <c r="C1138" s="32"/>
      <c r="D1138" s="33"/>
      <c r="E1138" s="33"/>
    </row>
    <row r="1139">
      <c r="A1139" s="32"/>
      <c r="B1139" s="32"/>
      <c r="C1139" s="32"/>
      <c r="D1139" s="33"/>
      <c r="E1139" s="33"/>
    </row>
    <row r="1140">
      <c r="A1140" s="32"/>
      <c r="B1140" s="32"/>
      <c r="C1140" s="32"/>
      <c r="D1140" s="33"/>
      <c r="E1140" s="33"/>
    </row>
    <row r="1141">
      <c r="A1141" s="32"/>
      <c r="B1141" s="32"/>
      <c r="C1141" s="32"/>
      <c r="D1141" s="33"/>
      <c r="E1141" s="33"/>
    </row>
    <row r="1142">
      <c r="A1142" s="32"/>
      <c r="B1142" s="32"/>
      <c r="C1142" s="32"/>
      <c r="D1142" s="33"/>
      <c r="E1142" s="33"/>
    </row>
    <row r="1143">
      <c r="A1143" s="32"/>
      <c r="B1143" s="32"/>
      <c r="C1143" s="32"/>
      <c r="D1143" s="33"/>
      <c r="E1143" s="33"/>
    </row>
    <row r="1144">
      <c r="A1144" s="32"/>
      <c r="B1144" s="32"/>
      <c r="C1144" s="32"/>
      <c r="D1144" s="33"/>
      <c r="E1144" s="33"/>
    </row>
    <row r="1145">
      <c r="A1145" s="32"/>
      <c r="B1145" s="32"/>
      <c r="C1145" s="32"/>
      <c r="D1145" s="33"/>
      <c r="E1145" s="33"/>
    </row>
    <row r="1146">
      <c r="A1146" s="32"/>
      <c r="B1146" s="32"/>
      <c r="C1146" s="32"/>
      <c r="D1146" s="33"/>
      <c r="E1146" s="33"/>
    </row>
    <row r="1147">
      <c r="A1147" s="32"/>
      <c r="B1147" s="32"/>
      <c r="C1147" s="32"/>
      <c r="D1147" s="33"/>
      <c r="E1147" s="33"/>
    </row>
    <row r="1148">
      <c r="A1148" s="32"/>
      <c r="B1148" s="32"/>
      <c r="C1148" s="32"/>
      <c r="D1148" s="33"/>
      <c r="E1148" s="33"/>
    </row>
    <row r="1149">
      <c r="A1149" s="32"/>
      <c r="B1149" s="32"/>
      <c r="C1149" s="32"/>
      <c r="D1149" s="33"/>
      <c r="E1149" s="33"/>
    </row>
    <row r="1150">
      <c r="A1150" s="32"/>
      <c r="B1150" s="32"/>
      <c r="C1150" s="32"/>
      <c r="D1150" s="33"/>
      <c r="E1150" s="33"/>
    </row>
    <row r="1151">
      <c r="A1151" s="32"/>
      <c r="B1151" s="32"/>
      <c r="C1151" s="32"/>
      <c r="D1151" s="33"/>
      <c r="E1151" s="33"/>
    </row>
    <row r="1152">
      <c r="A1152" s="32"/>
      <c r="B1152" s="32"/>
      <c r="C1152" s="32"/>
      <c r="D1152" s="33"/>
      <c r="E1152" s="33"/>
    </row>
    <row r="1153">
      <c r="A1153" s="32"/>
      <c r="B1153" s="32"/>
      <c r="C1153" s="32"/>
      <c r="D1153" s="33"/>
      <c r="E1153" s="33"/>
    </row>
    <row r="1154">
      <c r="A1154" s="32"/>
      <c r="B1154" s="32"/>
      <c r="C1154" s="32"/>
      <c r="D1154" s="33"/>
      <c r="E1154" s="33"/>
    </row>
    <row r="1155">
      <c r="A1155" s="32"/>
      <c r="B1155" s="32"/>
      <c r="C1155" s="32"/>
      <c r="D1155" s="33"/>
      <c r="E1155" s="33"/>
    </row>
    <row r="1156">
      <c r="A1156" s="32"/>
      <c r="B1156" s="32"/>
      <c r="C1156" s="32"/>
      <c r="D1156" s="33"/>
      <c r="E1156" s="33"/>
    </row>
    <row r="1157">
      <c r="A1157" s="32"/>
      <c r="B1157" s="32"/>
      <c r="C1157" s="32"/>
      <c r="D1157" s="33"/>
      <c r="E1157" s="33"/>
    </row>
    <row r="1158">
      <c r="A1158" s="32"/>
      <c r="B1158" s="32"/>
      <c r="C1158" s="32"/>
      <c r="D1158" s="33"/>
      <c r="E1158" s="33"/>
    </row>
    <row r="1159">
      <c r="A1159" s="32"/>
      <c r="B1159" s="32"/>
      <c r="C1159" s="32"/>
      <c r="D1159" s="33"/>
      <c r="E1159" s="33"/>
    </row>
    <row r="1160">
      <c r="A1160" s="32"/>
      <c r="B1160" s="32"/>
      <c r="C1160" s="32"/>
      <c r="D1160" s="33"/>
      <c r="E1160" s="33"/>
    </row>
    <row r="1161">
      <c r="A1161" s="32"/>
      <c r="B1161" s="32"/>
      <c r="C1161" s="32"/>
      <c r="D1161" s="33"/>
      <c r="E1161" s="33"/>
    </row>
    <row r="1162">
      <c r="A1162" s="32"/>
      <c r="B1162" s="32"/>
      <c r="C1162" s="32"/>
      <c r="D1162" s="33"/>
      <c r="E1162" s="33"/>
    </row>
    <row r="1163">
      <c r="A1163" s="32"/>
      <c r="B1163" s="32"/>
      <c r="C1163" s="32"/>
      <c r="D1163" s="33"/>
      <c r="E1163" s="33"/>
    </row>
    <row r="1164">
      <c r="A1164" s="32"/>
      <c r="B1164" s="32"/>
      <c r="C1164" s="32"/>
      <c r="D1164" s="33"/>
      <c r="E1164" s="33"/>
    </row>
    <row r="1165">
      <c r="A1165" s="32"/>
      <c r="B1165" s="32"/>
      <c r="C1165" s="32"/>
      <c r="D1165" s="33"/>
      <c r="E1165" s="33"/>
    </row>
    <row r="1166">
      <c r="A1166" s="32"/>
      <c r="B1166" s="32"/>
      <c r="C1166" s="32"/>
      <c r="D1166" s="33"/>
      <c r="E1166" s="33"/>
    </row>
    <row r="1167">
      <c r="A1167" s="32"/>
      <c r="B1167" s="32"/>
      <c r="C1167" s="32"/>
      <c r="D1167" s="33"/>
      <c r="E1167" s="33"/>
    </row>
    <row r="1168">
      <c r="A1168" s="32"/>
      <c r="B1168" s="32"/>
      <c r="C1168" s="32"/>
      <c r="D1168" s="33"/>
      <c r="E1168" s="33"/>
    </row>
    <row r="1169">
      <c r="A1169" s="32"/>
      <c r="B1169" s="32"/>
      <c r="C1169" s="32"/>
      <c r="D1169" s="33"/>
      <c r="E1169" s="33"/>
    </row>
    <row r="1170">
      <c r="A1170" s="32"/>
      <c r="B1170" s="32"/>
      <c r="C1170" s="32"/>
      <c r="D1170" s="33"/>
      <c r="E1170" s="33"/>
    </row>
    <row r="1171">
      <c r="A1171" s="32"/>
      <c r="B1171" s="32"/>
      <c r="C1171" s="32"/>
      <c r="D1171" s="33"/>
      <c r="E1171" s="33"/>
    </row>
    <row r="1172">
      <c r="A1172" s="32"/>
      <c r="B1172" s="32"/>
      <c r="C1172" s="32"/>
      <c r="D1172" s="33"/>
      <c r="E1172" s="33"/>
    </row>
    <row r="1173">
      <c r="A1173" s="32"/>
      <c r="B1173" s="32"/>
      <c r="C1173" s="32"/>
      <c r="D1173" s="33"/>
      <c r="E1173" s="33"/>
    </row>
    <row r="1174">
      <c r="A1174" s="32"/>
      <c r="B1174" s="32"/>
      <c r="C1174" s="32"/>
      <c r="D1174" s="33"/>
      <c r="E1174" s="33"/>
    </row>
    <row r="1175">
      <c r="A1175" s="32"/>
      <c r="B1175" s="32"/>
      <c r="C1175" s="32"/>
      <c r="D1175" s="33"/>
      <c r="E1175" s="33"/>
    </row>
    <row r="1176">
      <c r="A1176" s="32"/>
      <c r="B1176" s="32"/>
      <c r="C1176" s="32"/>
      <c r="D1176" s="33"/>
      <c r="E1176" s="33"/>
    </row>
    <row r="1177">
      <c r="A1177" s="32"/>
      <c r="B1177" s="32"/>
      <c r="C1177" s="32"/>
      <c r="D1177" s="33"/>
      <c r="E1177" s="33"/>
    </row>
    <row r="1178">
      <c r="A1178" s="32"/>
      <c r="B1178" s="32"/>
      <c r="C1178" s="32"/>
      <c r="D1178" s="33"/>
      <c r="E1178" s="33"/>
    </row>
    <row r="1179">
      <c r="A1179" s="32"/>
      <c r="B1179" s="32"/>
      <c r="C1179" s="32"/>
      <c r="D1179" s="33"/>
      <c r="E1179" s="33"/>
    </row>
    <row r="1180">
      <c r="A1180" s="32"/>
      <c r="B1180" s="32"/>
      <c r="C1180" s="32"/>
      <c r="D1180" s="33"/>
      <c r="E1180" s="33"/>
    </row>
    <row r="1181">
      <c r="A1181" s="32"/>
      <c r="B1181" s="32"/>
      <c r="C1181" s="32"/>
      <c r="D1181" s="33"/>
      <c r="E1181" s="33"/>
    </row>
    <row r="1182">
      <c r="A1182" s="32"/>
      <c r="B1182" s="32"/>
      <c r="C1182" s="32"/>
      <c r="D1182" s="33"/>
      <c r="E1182" s="33"/>
    </row>
    <row r="1183">
      <c r="A1183" s="32"/>
      <c r="B1183" s="32"/>
      <c r="C1183" s="32"/>
      <c r="D1183" s="33"/>
      <c r="E1183" s="33"/>
    </row>
    <row r="1184">
      <c r="A1184" s="32"/>
      <c r="B1184" s="32"/>
      <c r="C1184" s="32"/>
      <c r="D1184" s="33"/>
      <c r="E1184" s="33"/>
    </row>
    <row r="1185">
      <c r="A1185" s="32"/>
      <c r="B1185" s="32"/>
      <c r="C1185" s="32"/>
      <c r="D1185" s="33"/>
      <c r="E1185" s="33"/>
    </row>
    <row r="1186">
      <c r="A1186" s="32"/>
      <c r="B1186" s="32"/>
      <c r="C1186" s="32"/>
      <c r="D1186" s="33"/>
      <c r="E1186" s="33"/>
    </row>
    <row r="1187">
      <c r="A1187" s="32"/>
      <c r="B1187" s="32"/>
      <c r="C1187" s="32"/>
      <c r="D1187" s="33"/>
      <c r="E1187" s="33"/>
    </row>
    <row r="1188">
      <c r="A1188" s="32"/>
      <c r="B1188" s="32"/>
      <c r="C1188" s="32"/>
      <c r="D1188" s="33"/>
      <c r="E1188" s="33"/>
    </row>
    <row r="1189">
      <c r="A1189" s="32"/>
      <c r="B1189" s="32"/>
      <c r="C1189" s="32"/>
      <c r="D1189" s="33"/>
      <c r="E1189" s="33"/>
    </row>
    <row r="1190">
      <c r="A1190" s="32"/>
      <c r="B1190" s="32"/>
      <c r="C1190" s="32"/>
      <c r="D1190" s="33"/>
      <c r="E1190" s="33"/>
    </row>
    <row r="1191">
      <c r="A1191" s="32"/>
      <c r="B1191" s="32"/>
      <c r="C1191" s="32"/>
      <c r="D1191" s="33"/>
      <c r="E1191" s="33"/>
    </row>
    <row r="1192">
      <c r="A1192" s="32"/>
      <c r="B1192" s="32"/>
      <c r="C1192" s="32"/>
      <c r="D1192" s="33"/>
      <c r="E1192" s="33"/>
    </row>
    <row r="1193">
      <c r="A1193" s="32"/>
      <c r="B1193" s="32"/>
      <c r="C1193" s="32"/>
      <c r="D1193" s="33"/>
      <c r="E1193" s="33"/>
    </row>
    <row r="1194">
      <c r="A1194" s="32"/>
      <c r="B1194" s="32"/>
      <c r="C1194" s="32"/>
      <c r="D1194" s="33"/>
      <c r="E1194" s="33"/>
    </row>
    <row r="1195">
      <c r="A1195" s="32"/>
      <c r="B1195" s="32"/>
      <c r="C1195" s="32"/>
      <c r="D1195" s="33"/>
      <c r="E1195" s="33"/>
    </row>
    <row r="1196">
      <c r="A1196" s="32"/>
      <c r="B1196" s="32"/>
      <c r="C1196" s="32"/>
      <c r="D1196" s="33"/>
      <c r="E1196" s="33"/>
    </row>
    <row r="1197">
      <c r="A1197" s="32"/>
      <c r="B1197" s="32"/>
      <c r="C1197" s="32"/>
      <c r="D1197" s="33"/>
      <c r="E1197" s="33"/>
    </row>
    <row r="1198">
      <c r="A1198" s="32"/>
      <c r="B1198" s="32"/>
      <c r="C1198" s="32"/>
      <c r="D1198" s="33"/>
      <c r="E1198" s="33"/>
    </row>
    <row r="1199">
      <c r="A1199" s="32"/>
      <c r="B1199" s="32"/>
      <c r="C1199" s="32"/>
      <c r="D1199" s="33"/>
      <c r="E1199" s="33"/>
    </row>
    <row r="1200">
      <c r="A1200" s="32"/>
      <c r="B1200" s="32"/>
      <c r="C1200" s="32"/>
      <c r="D1200" s="33"/>
      <c r="E1200" s="33"/>
    </row>
    <row r="1201">
      <c r="A1201" s="32"/>
      <c r="B1201" s="32"/>
      <c r="C1201" s="32"/>
      <c r="D1201" s="33"/>
      <c r="E1201" s="33"/>
    </row>
    <row r="1202">
      <c r="A1202" s="32"/>
      <c r="B1202" s="32"/>
      <c r="C1202" s="32"/>
      <c r="D1202" s="33"/>
      <c r="E1202" s="33"/>
    </row>
    <row r="1203">
      <c r="A1203" s="32"/>
      <c r="B1203" s="32"/>
      <c r="C1203" s="32"/>
      <c r="D1203" s="33"/>
      <c r="E1203" s="33"/>
    </row>
    <row r="1204">
      <c r="A1204" s="32"/>
      <c r="B1204" s="32"/>
      <c r="C1204" s="32"/>
      <c r="D1204" s="33"/>
      <c r="E1204" s="33"/>
    </row>
    <row r="1205">
      <c r="A1205" s="32"/>
      <c r="B1205" s="32"/>
      <c r="C1205" s="32"/>
      <c r="D1205" s="33"/>
      <c r="E1205" s="33"/>
    </row>
    <row r="1206">
      <c r="A1206" s="32"/>
      <c r="B1206" s="32"/>
      <c r="C1206" s="32"/>
      <c r="D1206" s="33"/>
      <c r="E1206" s="33"/>
    </row>
    <row r="1207">
      <c r="A1207" s="32"/>
      <c r="B1207" s="32"/>
      <c r="C1207" s="32"/>
      <c r="D1207" s="33"/>
      <c r="E1207" s="33"/>
    </row>
    <row r="1208">
      <c r="A1208" s="32"/>
      <c r="B1208" s="32"/>
      <c r="C1208" s="32"/>
      <c r="D1208" s="33"/>
      <c r="E1208" s="33"/>
    </row>
    <row r="1209">
      <c r="A1209" s="32"/>
      <c r="B1209" s="32"/>
      <c r="C1209" s="32"/>
      <c r="D1209" s="33"/>
      <c r="E1209" s="33"/>
    </row>
    <row r="1210">
      <c r="A1210" s="32"/>
      <c r="B1210" s="32"/>
      <c r="C1210" s="32"/>
      <c r="D1210" s="33"/>
      <c r="E1210" s="33"/>
    </row>
    <row r="1211">
      <c r="A1211" s="32"/>
      <c r="B1211" s="32"/>
      <c r="C1211" s="32"/>
      <c r="D1211" s="33"/>
      <c r="E1211" s="33"/>
    </row>
    <row r="1212">
      <c r="A1212" s="32"/>
      <c r="B1212" s="32"/>
      <c r="C1212" s="32"/>
      <c r="D1212" s="33"/>
      <c r="E1212" s="33"/>
    </row>
    <row r="1213">
      <c r="A1213" s="32"/>
      <c r="B1213" s="32"/>
      <c r="C1213" s="32"/>
      <c r="D1213" s="33"/>
      <c r="E1213" s="33"/>
    </row>
    <row r="1214">
      <c r="A1214" s="32"/>
      <c r="B1214" s="32"/>
      <c r="C1214" s="32"/>
      <c r="D1214" s="33"/>
      <c r="E1214" s="33"/>
    </row>
    <row r="1215">
      <c r="A1215" s="32"/>
      <c r="B1215" s="32"/>
      <c r="C1215" s="32"/>
      <c r="D1215" s="33"/>
      <c r="E1215" s="33"/>
    </row>
    <row r="1216">
      <c r="A1216" s="32"/>
      <c r="B1216" s="32"/>
      <c r="C1216" s="32"/>
      <c r="D1216" s="33"/>
      <c r="E1216" s="33"/>
    </row>
    <row r="1217">
      <c r="A1217" s="32"/>
      <c r="B1217" s="32"/>
      <c r="C1217" s="32"/>
      <c r="D1217" s="33"/>
      <c r="E1217" s="33"/>
    </row>
    <row r="1218">
      <c r="A1218" s="32"/>
      <c r="B1218" s="32"/>
      <c r="C1218" s="32"/>
      <c r="D1218" s="33"/>
      <c r="E1218" s="33"/>
    </row>
    <row r="1219">
      <c r="A1219" s="32"/>
      <c r="B1219" s="32"/>
      <c r="C1219" s="32"/>
      <c r="D1219" s="33"/>
      <c r="E1219" s="33"/>
    </row>
    <row r="1220">
      <c r="A1220" s="32"/>
      <c r="B1220" s="32"/>
      <c r="C1220" s="32"/>
      <c r="D1220" s="33"/>
      <c r="E1220" s="33"/>
    </row>
    <row r="1221">
      <c r="A1221" s="32"/>
      <c r="B1221" s="32"/>
      <c r="C1221" s="32"/>
      <c r="D1221" s="33"/>
      <c r="E1221" s="33"/>
    </row>
    <row r="1222">
      <c r="A1222" s="32"/>
      <c r="B1222" s="32"/>
      <c r="C1222" s="32"/>
      <c r="D1222" s="33"/>
      <c r="E1222" s="33"/>
    </row>
    <row r="1223">
      <c r="A1223" s="32"/>
      <c r="B1223" s="32"/>
      <c r="C1223" s="32"/>
      <c r="D1223" s="33"/>
      <c r="E1223" s="33"/>
    </row>
    <row r="1224">
      <c r="A1224" s="32"/>
      <c r="B1224" s="32"/>
      <c r="C1224" s="32"/>
      <c r="D1224" s="33"/>
      <c r="E1224" s="33"/>
    </row>
    <row r="1225">
      <c r="A1225" s="32"/>
      <c r="B1225" s="32"/>
      <c r="C1225" s="32"/>
      <c r="D1225" s="33"/>
      <c r="E1225" s="33"/>
    </row>
    <row r="1226">
      <c r="A1226" s="32"/>
      <c r="B1226" s="32"/>
      <c r="C1226" s="32"/>
      <c r="D1226" s="33"/>
      <c r="E1226" s="33"/>
    </row>
    <row r="1227">
      <c r="A1227" s="32"/>
      <c r="B1227" s="32"/>
      <c r="C1227" s="32"/>
      <c r="D1227" s="33"/>
      <c r="E1227" s="33"/>
    </row>
    <row r="1228">
      <c r="A1228" s="32"/>
      <c r="B1228" s="32"/>
      <c r="C1228" s="32"/>
      <c r="D1228" s="33"/>
      <c r="E1228" s="33"/>
    </row>
    <row r="1229">
      <c r="A1229" s="32"/>
      <c r="B1229" s="32"/>
      <c r="C1229" s="32"/>
      <c r="D1229" s="33"/>
      <c r="E1229" s="33"/>
    </row>
    <row r="1230">
      <c r="A1230" s="32"/>
      <c r="B1230" s="32"/>
      <c r="C1230" s="32"/>
      <c r="D1230" s="33"/>
      <c r="E1230" s="33"/>
    </row>
    <row r="1231">
      <c r="A1231" s="32"/>
      <c r="B1231" s="32"/>
      <c r="C1231" s="32"/>
      <c r="D1231" s="33"/>
      <c r="E1231" s="33"/>
    </row>
    <row r="1232">
      <c r="A1232" s="32"/>
      <c r="B1232" s="32"/>
      <c r="C1232" s="32"/>
      <c r="D1232" s="33"/>
      <c r="E1232" s="33"/>
    </row>
    <row r="1233">
      <c r="A1233" s="32"/>
      <c r="B1233" s="32"/>
      <c r="C1233" s="32"/>
      <c r="D1233" s="33"/>
      <c r="E1233" s="33"/>
    </row>
    <row r="1234">
      <c r="A1234" s="32"/>
      <c r="B1234" s="32"/>
      <c r="C1234" s="32"/>
      <c r="D1234" s="33"/>
      <c r="E1234" s="33"/>
    </row>
    <row r="1235">
      <c r="A1235" s="32"/>
      <c r="B1235" s="32"/>
      <c r="C1235" s="32"/>
      <c r="D1235" s="33"/>
      <c r="E1235" s="33"/>
    </row>
    <row r="1236">
      <c r="A1236" s="32"/>
      <c r="B1236" s="32"/>
      <c r="C1236" s="32"/>
      <c r="D1236" s="33"/>
      <c r="E1236" s="33"/>
    </row>
    <row r="1237">
      <c r="A1237" s="32"/>
      <c r="B1237" s="32"/>
      <c r="C1237" s="32"/>
      <c r="D1237" s="33"/>
      <c r="E1237" s="33"/>
    </row>
    <row r="1238">
      <c r="A1238" s="32"/>
      <c r="B1238" s="32"/>
      <c r="C1238" s="32"/>
      <c r="D1238" s="33"/>
      <c r="E1238" s="33"/>
    </row>
    <row r="1239">
      <c r="A1239" s="32"/>
      <c r="B1239" s="32"/>
      <c r="C1239" s="32"/>
      <c r="D1239" s="33"/>
      <c r="E1239" s="33"/>
    </row>
    <row r="1240">
      <c r="A1240" s="32"/>
      <c r="B1240" s="32"/>
      <c r="C1240" s="32"/>
      <c r="D1240" s="33"/>
      <c r="E1240" s="33"/>
    </row>
    <row r="1241">
      <c r="A1241" s="32"/>
      <c r="B1241" s="32"/>
      <c r="C1241" s="32"/>
      <c r="D1241" s="33"/>
      <c r="E1241" s="33"/>
    </row>
    <row r="1242">
      <c r="A1242" s="32"/>
      <c r="B1242" s="32"/>
      <c r="C1242" s="32"/>
      <c r="D1242" s="33"/>
      <c r="E1242" s="33"/>
    </row>
    <row r="1243">
      <c r="A1243" s="32"/>
      <c r="B1243" s="32"/>
      <c r="C1243" s="32"/>
      <c r="D1243" s="33"/>
      <c r="E1243" s="33"/>
    </row>
    <row r="1244">
      <c r="A1244" s="32"/>
      <c r="B1244" s="32"/>
      <c r="C1244" s="32"/>
      <c r="D1244" s="33"/>
      <c r="E1244" s="33"/>
    </row>
    <row r="1245">
      <c r="A1245" s="32"/>
      <c r="B1245" s="32"/>
      <c r="C1245" s="32"/>
      <c r="D1245" s="33"/>
      <c r="E1245" s="33"/>
    </row>
    <row r="1246">
      <c r="A1246" s="32"/>
      <c r="B1246" s="32"/>
      <c r="C1246" s="32"/>
      <c r="D1246" s="33"/>
      <c r="E1246" s="33"/>
    </row>
    <row r="1247">
      <c r="A1247" s="32"/>
      <c r="B1247" s="32"/>
      <c r="C1247" s="32"/>
      <c r="D1247" s="33"/>
      <c r="E1247" s="33"/>
    </row>
    <row r="1248">
      <c r="A1248" s="32"/>
      <c r="B1248" s="32"/>
      <c r="C1248" s="32"/>
      <c r="D1248" s="33"/>
      <c r="E1248" s="33"/>
    </row>
    <row r="1249">
      <c r="A1249" s="32"/>
      <c r="B1249" s="32"/>
      <c r="C1249" s="32"/>
      <c r="D1249" s="33"/>
      <c r="E1249" s="33"/>
    </row>
    <row r="1250">
      <c r="A1250" s="32"/>
      <c r="B1250" s="32"/>
      <c r="C1250" s="32"/>
      <c r="D1250" s="33"/>
      <c r="E1250" s="33"/>
    </row>
    <row r="1251">
      <c r="A1251" s="32"/>
      <c r="B1251" s="32"/>
      <c r="C1251" s="32"/>
      <c r="D1251" s="33"/>
      <c r="E1251" s="33"/>
    </row>
    <row r="1252">
      <c r="A1252" s="32"/>
      <c r="B1252" s="32"/>
      <c r="C1252" s="32"/>
      <c r="D1252" s="33"/>
      <c r="E1252" s="33"/>
    </row>
    <row r="1253">
      <c r="A1253" s="32"/>
      <c r="B1253" s="32"/>
      <c r="C1253" s="32"/>
      <c r="D1253" s="33"/>
      <c r="E1253" s="33"/>
    </row>
    <row r="1254">
      <c r="A1254" s="32"/>
      <c r="B1254" s="32"/>
      <c r="C1254" s="32"/>
      <c r="D1254" s="33"/>
      <c r="E1254" s="33"/>
    </row>
    <row r="1255">
      <c r="A1255" s="32"/>
      <c r="B1255" s="32"/>
      <c r="C1255" s="32"/>
      <c r="D1255" s="33"/>
      <c r="E1255" s="33"/>
    </row>
    <row r="1256">
      <c r="A1256" s="32"/>
      <c r="B1256" s="32"/>
      <c r="C1256" s="32"/>
      <c r="D1256" s="33"/>
      <c r="E1256" s="33"/>
    </row>
    <row r="1257">
      <c r="A1257" s="32"/>
      <c r="B1257" s="32"/>
      <c r="C1257" s="32"/>
      <c r="D1257" s="33"/>
      <c r="E1257" s="33"/>
    </row>
    <row r="1258">
      <c r="A1258" s="32"/>
      <c r="B1258" s="32"/>
      <c r="C1258" s="32"/>
      <c r="D1258" s="33"/>
      <c r="E1258" s="33"/>
    </row>
    <row r="1259">
      <c r="A1259" s="32"/>
      <c r="B1259" s="32"/>
      <c r="C1259" s="32"/>
      <c r="D1259" s="33"/>
      <c r="E1259" s="33"/>
    </row>
    <row r="1260">
      <c r="A1260" s="32"/>
      <c r="B1260" s="32"/>
      <c r="C1260" s="32"/>
      <c r="D1260" s="33"/>
      <c r="E1260" s="33"/>
    </row>
    <row r="1261">
      <c r="A1261" s="32"/>
      <c r="B1261" s="32"/>
      <c r="C1261" s="32"/>
      <c r="D1261" s="33"/>
      <c r="E1261" s="33"/>
    </row>
    <row r="1262">
      <c r="A1262" s="32"/>
      <c r="B1262" s="32"/>
      <c r="C1262" s="32"/>
      <c r="D1262" s="33"/>
      <c r="E1262" s="33"/>
    </row>
    <row r="1263">
      <c r="A1263" s="32"/>
      <c r="B1263" s="32"/>
      <c r="C1263" s="32"/>
      <c r="D1263" s="33"/>
      <c r="E1263" s="33"/>
    </row>
    <row r="1264">
      <c r="A1264" s="32"/>
      <c r="B1264" s="32"/>
      <c r="C1264" s="32"/>
      <c r="D1264" s="33"/>
      <c r="E1264" s="33"/>
    </row>
    <row r="1265">
      <c r="A1265" s="32"/>
      <c r="B1265" s="32"/>
      <c r="C1265" s="32"/>
      <c r="D1265" s="33"/>
      <c r="E1265" s="33"/>
    </row>
    <row r="1266">
      <c r="A1266" s="32"/>
      <c r="B1266" s="32"/>
      <c r="C1266" s="32"/>
      <c r="D1266" s="33"/>
      <c r="E1266" s="33"/>
    </row>
    <row r="1267">
      <c r="A1267" s="32"/>
      <c r="B1267" s="32"/>
      <c r="C1267" s="32"/>
      <c r="D1267" s="33"/>
      <c r="E1267" s="33"/>
    </row>
    <row r="1268">
      <c r="A1268" s="32"/>
      <c r="B1268" s="32"/>
      <c r="C1268" s="32"/>
      <c r="D1268" s="33"/>
      <c r="E1268" s="33"/>
    </row>
    <row r="1269">
      <c r="A1269" s="32"/>
      <c r="B1269" s="32"/>
      <c r="C1269" s="32"/>
      <c r="D1269" s="33"/>
      <c r="E1269" s="33"/>
    </row>
    <row r="1270">
      <c r="A1270" s="32"/>
      <c r="B1270" s="32"/>
      <c r="C1270" s="32"/>
      <c r="D1270" s="33"/>
      <c r="E1270" s="33"/>
    </row>
    <row r="1271">
      <c r="A1271" s="32"/>
      <c r="B1271" s="32"/>
      <c r="C1271" s="32"/>
      <c r="D1271" s="33"/>
      <c r="E1271" s="33"/>
    </row>
    <row r="1272">
      <c r="A1272" s="32"/>
      <c r="B1272" s="32"/>
      <c r="C1272" s="32"/>
      <c r="D1272" s="33"/>
      <c r="E1272" s="33"/>
    </row>
    <row r="1273">
      <c r="A1273" s="32"/>
      <c r="B1273" s="32"/>
      <c r="C1273" s="32"/>
      <c r="D1273" s="33"/>
      <c r="E1273" s="33"/>
    </row>
    <row r="1274">
      <c r="A1274" s="32"/>
      <c r="B1274" s="32"/>
      <c r="C1274" s="32"/>
      <c r="D1274" s="33"/>
      <c r="E1274" s="33"/>
    </row>
    <row r="1275">
      <c r="A1275" s="32"/>
      <c r="B1275" s="32"/>
      <c r="C1275" s="32"/>
      <c r="D1275" s="33"/>
      <c r="E1275" s="33"/>
    </row>
    <row r="1276">
      <c r="A1276" s="32"/>
      <c r="B1276" s="32"/>
      <c r="C1276" s="32"/>
      <c r="D1276" s="33"/>
      <c r="E1276" s="33"/>
    </row>
    <row r="1277">
      <c r="A1277" s="32"/>
      <c r="B1277" s="32"/>
      <c r="C1277" s="32"/>
      <c r="D1277" s="33"/>
      <c r="E1277" s="33"/>
    </row>
    <row r="1278">
      <c r="A1278" s="32"/>
      <c r="B1278" s="32"/>
      <c r="C1278" s="32"/>
      <c r="D1278" s="33"/>
      <c r="E1278" s="33"/>
    </row>
    <row r="1279">
      <c r="A1279" s="32"/>
      <c r="B1279" s="32"/>
      <c r="C1279" s="32"/>
      <c r="D1279" s="33"/>
      <c r="E1279" s="33"/>
    </row>
    <row r="1280">
      <c r="A1280" s="32"/>
      <c r="B1280" s="32"/>
      <c r="C1280" s="32"/>
      <c r="D1280" s="33"/>
      <c r="E1280" s="33"/>
    </row>
    <row r="1281">
      <c r="A1281" s="32"/>
      <c r="B1281" s="32"/>
      <c r="C1281" s="32"/>
      <c r="D1281" s="33"/>
      <c r="E1281" s="33"/>
    </row>
    <row r="1282">
      <c r="A1282" s="32"/>
      <c r="B1282" s="32"/>
      <c r="C1282" s="32"/>
      <c r="D1282" s="33"/>
      <c r="E1282" s="33"/>
    </row>
    <row r="1283">
      <c r="A1283" s="32"/>
      <c r="B1283" s="32"/>
      <c r="C1283" s="32"/>
      <c r="D1283" s="33"/>
      <c r="E1283" s="33"/>
    </row>
    <row r="1284">
      <c r="A1284" s="32"/>
      <c r="B1284" s="32"/>
      <c r="C1284" s="32"/>
      <c r="D1284" s="33"/>
      <c r="E1284" s="33"/>
    </row>
    <row r="1285">
      <c r="A1285" s="32"/>
      <c r="B1285" s="32"/>
      <c r="C1285" s="32"/>
      <c r="D1285" s="33"/>
      <c r="E1285" s="33"/>
    </row>
    <row r="1286">
      <c r="A1286" s="32"/>
      <c r="B1286" s="32"/>
      <c r="C1286" s="32"/>
      <c r="D1286" s="33"/>
      <c r="E1286" s="33"/>
    </row>
    <row r="1287">
      <c r="A1287" s="32"/>
      <c r="B1287" s="32"/>
      <c r="C1287" s="32"/>
      <c r="D1287" s="33"/>
      <c r="E1287" s="33"/>
    </row>
    <row r="1288">
      <c r="A1288" s="32"/>
      <c r="B1288" s="32"/>
      <c r="C1288" s="32"/>
      <c r="D1288" s="33"/>
      <c r="E1288" s="33"/>
    </row>
    <row r="1289">
      <c r="A1289" s="32"/>
      <c r="B1289" s="32"/>
      <c r="C1289" s="32"/>
      <c r="D1289" s="33"/>
      <c r="E1289" s="33"/>
    </row>
    <row r="1290">
      <c r="A1290" s="32"/>
      <c r="B1290" s="32"/>
      <c r="C1290" s="32"/>
      <c r="D1290" s="33"/>
      <c r="E1290" s="33"/>
    </row>
    <row r="1291">
      <c r="A1291" s="32"/>
      <c r="B1291" s="32"/>
      <c r="C1291" s="32"/>
      <c r="D1291" s="33"/>
      <c r="E1291" s="33"/>
    </row>
    <row r="1292">
      <c r="A1292" s="32"/>
      <c r="B1292" s="32"/>
      <c r="C1292" s="32"/>
      <c r="D1292" s="33"/>
      <c r="E1292" s="33"/>
    </row>
    <row r="1293">
      <c r="A1293" s="32"/>
      <c r="B1293" s="32"/>
      <c r="C1293" s="32"/>
      <c r="D1293" s="33"/>
      <c r="E1293" s="33"/>
    </row>
    <row r="1294">
      <c r="A1294" s="32"/>
      <c r="B1294" s="32"/>
      <c r="C1294" s="32"/>
      <c r="D1294" s="33"/>
      <c r="E1294" s="33"/>
    </row>
    <row r="1295">
      <c r="A1295" s="32"/>
      <c r="B1295" s="32"/>
      <c r="C1295" s="32"/>
      <c r="D1295" s="33"/>
      <c r="E1295" s="33"/>
    </row>
    <row r="1296">
      <c r="A1296" s="32"/>
      <c r="B1296" s="32"/>
      <c r="C1296" s="32"/>
      <c r="D1296" s="33"/>
      <c r="E1296" s="33"/>
    </row>
    <row r="1297">
      <c r="A1297" s="32"/>
      <c r="B1297" s="32"/>
      <c r="C1297" s="32"/>
      <c r="D1297" s="33"/>
      <c r="E1297" s="33"/>
    </row>
    <row r="1298">
      <c r="A1298" s="32"/>
      <c r="B1298" s="32"/>
      <c r="C1298" s="32"/>
      <c r="D1298" s="33"/>
      <c r="E1298" s="33"/>
    </row>
    <row r="1299">
      <c r="A1299" s="32"/>
      <c r="B1299" s="32"/>
      <c r="C1299" s="32"/>
      <c r="D1299" s="33"/>
      <c r="E1299" s="33"/>
    </row>
    <row r="1300">
      <c r="A1300" s="32"/>
      <c r="B1300" s="32"/>
      <c r="C1300" s="32"/>
      <c r="D1300" s="33"/>
      <c r="E1300" s="33"/>
    </row>
    <row r="1301">
      <c r="A1301" s="32"/>
      <c r="B1301" s="32"/>
      <c r="C1301" s="32"/>
      <c r="D1301" s="33"/>
      <c r="E1301" s="33"/>
    </row>
    <row r="1302">
      <c r="A1302" s="32"/>
      <c r="B1302" s="32"/>
      <c r="C1302" s="32"/>
      <c r="D1302" s="33"/>
      <c r="E1302" s="33"/>
    </row>
    <row r="1303">
      <c r="A1303" s="32"/>
      <c r="B1303" s="32"/>
      <c r="C1303" s="32"/>
      <c r="D1303" s="33"/>
      <c r="E1303" s="33"/>
    </row>
    <row r="1304">
      <c r="A1304" s="32"/>
      <c r="B1304" s="32"/>
      <c r="C1304" s="32"/>
      <c r="D1304" s="33"/>
      <c r="E1304" s="33"/>
    </row>
    <row r="1305">
      <c r="A1305" s="32"/>
      <c r="B1305" s="32"/>
      <c r="C1305" s="32"/>
      <c r="D1305" s="33"/>
      <c r="E1305" s="33"/>
    </row>
    <row r="1306">
      <c r="A1306" s="32"/>
      <c r="B1306" s="32"/>
      <c r="C1306" s="32"/>
      <c r="D1306" s="33"/>
      <c r="E1306" s="33"/>
    </row>
    <row r="1307">
      <c r="A1307" s="32"/>
      <c r="B1307" s="32"/>
      <c r="C1307" s="32"/>
      <c r="D1307" s="33"/>
      <c r="E1307" s="33"/>
    </row>
    <row r="1308">
      <c r="A1308" s="32"/>
      <c r="B1308" s="32"/>
      <c r="C1308" s="32"/>
      <c r="D1308" s="33"/>
      <c r="E1308" s="33"/>
    </row>
    <row r="1309">
      <c r="A1309" s="32"/>
      <c r="B1309" s="32"/>
      <c r="C1309" s="32"/>
      <c r="D1309" s="33"/>
      <c r="E1309" s="33"/>
    </row>
    <row r="1310">
      <c r="A1310" s="32"/>
      <c r="B1310" s="32"/>
      <c r="C1310" s="32"/>
      <c r="D1310" s="33"/>
      <c r="E1310" s="33"/>
    </row>
    <row r="1311">
      <c r="A1311" s="32"/>
      <c r="B1311" s="32"/>
      <c r="C1311" s="32"/>
      <c r="D1311" s="33"/>
      <c r="E1311" s="33"/>
    </row>
    <row r="1312">
      <c r="A1312" s="32"/>
      <c r="B1312" s="32"/>
      <c r="C1312" s="32"/>
      <c r="D1312" s="33"/>
      <c r="E1312" s="33"/>
    </row>
    <row r="1313">
      <c r="A1313" s="32"/>
      <c r="B1313" s="32"/>
      <c r="C1313" s="32"/>
      <c r="D1313" s="33"/>
      <c r="E1313" s="33"/>
    </row>
    <row r="1314">
      <c r="A1314" s="32"/>
      <c r="B1314" s="32"/>
      <c r="C1314" s="32"/>
      <c r="D1314" s="33"/>
      <c r="E1314" s="33"/>
    </row>
    <row r="1315">
      <c r="A1315" s="32"/>
      <c r="B1315" s="32"/>
      <c r="C1315" s="32"/>
      <c r="D1315" s="33"/>
      <c r="E1315" s="33"/>
    </row>
    <row r="1316">
      <c r="A1316" s="32"/>
      <c r="B1316" s="32"/>
      <c r="C1316" s="32"/>
      <c r="D1316" s="33"/>
      <c r="E1316" s="33"/>
    </row>
    <row r="1317">
      <c r="A1317" s="32"/>
      <c r="B1317" s="32"/>
      <c r="C1317" s="32"/>
      <c r="D1317" s="33"/>
      <c r="E1317" s="33"/>
    </row>
    <row r="1318">
      <c r="A1318" s="32"/>
      <c r="B1318" s="32"/>
      <c r="C1318" s="32"/>
      <c r="D1318" s="33"/>
      <c r="E1318" s="33"/>
    </row>
    <row r="1319">
      <c r="A1319" s="32"/>
      <c r="B1319" s="32"/>
      <c r="C1319" s="32"/>
      <c r="D1319" s="33"/>
      <c r="E1319" s="33"/>
    </row>
    <row r="1320">
      <c r="A1320" s="32"/>
      <c r="B1320" s="32"/>
      <c r="C1320" s="32"/>
      <c r="D1320" s="33"/>
      <c r="E1320" s="33"/>
    </row>
    <row r="1321">
      <c r="A1321" s="32"/>
      <c r="B1321" s="32"/>
      <c r="C1321" s="32"/>
      <c r="D1321" s="33"/>
      <c r="E1321" s="33"/>
    </row>
    <row r="1322">
      <c r="A1322" s="32"/>
      <c r="B1322" s="32"/>
      <c r="C1322" s="32"/>
      <c r="D1322" s="33"/>
      <c r="E1322" s="33"/>
    </row>
    <row r="1323">
      <c r="A1323" s="32"/>
      <c r="B1323" s="32"/>
      <c r="C1323" s="32"/>
      <c r="D1323" s="33"/>
      <c r="E1323" s="33"/>
    </row>
    <row r="1324">
      <c r="A1324" s="32"/>
      <c r="B1324" s="32"/>
      <c r="C1324" s="32"/>
      <c r="D1324" s="33"/>
      <c r="E1324" s="33"/>
    </row>
    <row r="1325">
      <c r="A1325" s="32"/>
      <c r="B1325" s="32"/>
      <c r="C1325" s="32"/>
      <c r="D1325" s="33"/>
      <c r="E1325" s="33"/>
    </row>
    <row r="1326">
      <c r="A1326" s="32"/>
      <c r="B1326" s="32"/>
      <c r="C1326" s="32"/>
      <c r="D1326" s="33"/>
      <c r="E1326" s="33"/>
    </row>
    <row r="1327">
      <c r="A1327" s="32"/>
      <c r="B1327" s="32"/>
      <c r="C1327" s="32"/>
      <c r="D1327" s="33"/>
      <c r="E1327" s="33"/>
    </row>
    <row r="1328">
      <c r="A1328" s="32"/>
      <c r="B1328" s="32"/>
      <c r="C1328" s="32"/>
      <c r="D1328" s="33"/>
      <c r="E1328" s="33"/>
    </row>
    <row r="1329">
      <c r="A1329" s="32"/>
      <c r="B1329" s="32"/>
      <c r="C1329" s="32"/>
      <c r="D1329" s="33"/>
      <c r="E1329" s="33"/>
    </row>
    <row r="1330">
      <c r="A1330" s="32"/>
      <c r="B1330" s="32"/>
      <c r="C1330" s="32"/>
      <c r="D1330" s="33"/>
      <c r="E1330" s="33"/>
    </row>
    <row r="1331">
      <c r="A1331" s="32"/>
      <c r="B1331" s="32"/>
      <c r="C1331" s="32"/>
      <c r="D1331" s="33"/>
      <c r="E1331" s="33"/>
    </row>
    <row r="1332">
      <c r="A1332" s="32"/>
      <c r="B1332" s="32"/>
      <c r="C1332" s="32"/>
      <c r="D1332" s="33"/>
      <c r="E1332" s="33"/>
    </row>
    <row r="1333">
      <c r="A1333" s="32"/>
      <c r="B1333" s="32"/>
      <c r="C1333" s="32"/>
      <c r="D1333" s="33"/>
      <c r="E1333" s="33"/>
    </row>
    <row r="1334">
      <c r="A1334" s="32"/>
      <c r="B1334" s="32"/>
      <c r="C1334" s="32"/>
      <c r="D1334" s="33"/>
      <c r="E1334" s="33"/>
    </row>
    <row r="1335">
      <c r="A1335" s="32"/>
      <c r="B1335" s="32"/>
      <c r="C1335" s="32"/>
      <c r="D1335" s="33"/>
      <c r="E1335" s="33"/>
    </row>
    <row r="1336">
      <c r="A1336" s="32"/>
      <c r="B1336" s="32"/>
      <c r="C1336" s="32"/>
      <c r="D1336" s="33"/>
      <c r="E1336" s="33"/>
    </row>
    <row r="1337">
      <c r="A1337" s="32"/>
      <c r="B1337" s="32"/>
      <c r="C1337" s="32"/>
      <c r="D1337" s="33"/>
      <c r="E1337" s="33"/>
    </row>
    <row r="1338">
      <c r="A1338" s="32"/>
      <c r="B1338" s="32"/>
      <c r="C1338" s="32"/>
      <c r="D1338" s="33"/>
      <c r="E1338" s="33"/>
    </row>
    <row r="1339">
      <c r="A1339" s="32"/>
      <c r="B1339" s="32"/>
      <c r="C1339" s="32"/>
      <c r="D1339" s="33"/>
      <c r="E1339" s="33"/>
    </row>
    <row r="1340">
      <c r="A1340" s="32"/>
      <c r="B1340" s="32"/>
      <c r="C1340" s="32"/>
      <c r="D1340" s="33"/>
      <c r="E1340" s="33"/>
    </row>
    <row r="1341">
      <c r="A1341" s="32"/>
      <c r="B1341" s="32"/>
      <c r="C1341" s="32"/>
      <c r="D1341" s="33"/>
      <c r="E1341" s="33"/>
    </row>
    <row r="1342">
      <c r="A1342" s="32"/>
      <c r="B1342" s="32"/>
      <c r="C1342" s="32"/>
      <c r="D1342" s="33"/>
      <c r="E1342" s="33"/>
    </row>
    <row r="1343">
      <c r="A1343" s="32"/>
      <c r="B1343" s="32"/>
      <c r="C1343" s="32"/>
      <c r="D1343" s="33"/>
      <c r="E1343" s="33"/>
    </row>
    <row r="1344">
      <c r="A1344" s="32"/>
      <c r="B1344" s="32"/>
      <c r="C1344" s="32"/>
      <c r="D1344" s="33"/>
      <c r="E1344" s="33"/>
    </row>
    <row r="1345">
      <c r="A1345" s="32"/>
      <c r="B1345" s="32"/>
      <c r="C1345" s="32"/>
      <c r="D1345" s="33"/>
      <c r="E1345" s="33"/>
    </row>
    <row r="1346">
      <c r="A1346" s="32"/>
      <c r="B1346" s="32"/>
      <c r="C1346" s="32"/>
      <c r="D1346" s="33"/>
      <c r="E1346" s="33"/>
    </row>
    <row r="1347">
      <c r="A1347" s="32"/>
      <c r="B1347" s="32"/>
      <c r="C1347" s="32"/>
      <c r="D1347" s="33"/>
      <c r="E1347" s="33"/>
    </row>
    <row r="1348">
      <c r="A1348" s="32"/>
      <c r="B1348" s="32"/>
      <c r="C1348" s="32"/>
      <c r="D1348" s="33"/>
      <c r="E1348" s="33"/>
    </row>
    <row r="1349">
      <c r="A1349" s="32"/>
      <c r="B1349" s="32"/>
      <c r="C1349" s="32"/>
      <c r="D1349" s="33"/>
      <c r="E1349" s="33"/>
    </row>
    <row r="1350">
      <c r="A1350" s="32"/>
      <c r="B1350" s="32"/>
      <c r="C1350" s="32"/>
      <c r="D1350" s="33"/>
      <c r="E1350" s="33"/>
    </row>
    <row r="1351">
      <c r="A1351" s="32"/>
      <c r="B1351" s="32"/>
      <c r="C1351" s="32"/>
      <c r="D1351" s="33"/>
      <c r="E1351" s="33"/>
    </row>
    <row r="1352">
      <c r="A1352" s="32"/>
      <c r="B1352" s="32"/>
      <c r="C1352" s="32"/>
      <c r="D1352" s="33"/>
      <c r="E1352" s="33"/>
    </row>
    <row r="1353">
      <c r="A1353" s="32"/>
      <c r="B1353" s="32"/>
      <c r="C1353" s="32"/>
      <c r="D1353" s="33"/>
      <c r="E1353" s="33"/>
    </row>
    <row r="1354">
      <c r="A1354" s="32"/>
      <c r="B1354" s="32"/>
      <c r="C1354" s="32"/>
      <c r="D1354" s="33"/>
      <c r="E1354" s="33"/>
    </row>
    <row r="1355">
      <c r="A1355" s="32"/>
      <c r="B1355" s="32"/>
      <c r="C1355" s="32"/>
      <c r="D1355" s="33"/>
      <c r="E1355" s="33"/>
    </row>
    <row r="1356">
      <c r="A1356" s="32"/>
      <c r="B1356" s="32"/>
      <c r="C1356" s="32"/>
      <c r="D1356" s="33"/>
      <c r="E1356" s="33"/>
    </row>
    <row r="1357">
      <c r="A1357" s="32"/>
      <c r="B1357" s="32"/>
      <c r="C1357" s="32"/>
      <c r="D1357" s="33"/>
      <c r="E1357" s="33"/>
    </row>
    <row r="1358">
      <c r="A1358" s="32"/>
      <c r="B1358" s="32"/>
      <c r="C1358" s="32"/>
      <c r="D1358" s="33"/>
      <c r="E1358" s="33"/>
    </row>
    <row r="1359">
      <c r="A1359" s="32"/>
      <c r="B1359" s="32"/>
      <c r="C1359" s="32"/>
      <c r="D1359" s="33"/>
      <c r="E1359" s="33"/>
    </row>
    <row r="1360">
      <c r="A1360" s="32"/>
      <c r="B1360" s="32"/>
      <c r="C1360" s="32"/>
      <c r="D1360" s="33"/>
      <c r="E1360" s="33"/>
    </row>
    <row r="1361">
      <c r="A1361" s="32"/>
      <c r="B1361" s="32"/>
      <c r="C1361" s="32"/>
      <c r="D1361" s="33"/>
      <c r="E1361" s="33"/>
    </row>
    <row r="1362">
      <c r="A1362" s="32"/>
      <c r="B1362" s="32"/>
      <c r="C1362" s="32"/>
      <c r="D1362" s="33"/>
      <c r="E1362" s="33"/>
    </row>
    <row r="1363">
      <c r="A1363" s="32"/>
      <c r="B1363" s="32"/>
      <c r="C1363" s="32"/>
      <c r="D1363" s="33"/>
      <c r="E1363" s="33"/>
    </row>
    <row r="1364">
      <c r="A1364" s="32"/>
      <c r="B1364" s="32"/>
      <c r="C1364" s="32"/>
      <c r="D1364" s="33"/>
      <c r="E1364" s="33"/>
    </row>
    <row r="1365">
      <c r="A1365" s="32"/>
      <c r="B1365" s="32"/>
      <c r="C1365" s="32"/>
      <c r="D1365" s="33"/>
      <c r="E1365" s="33"/>
    </row>
    <row r="1366">
      <c r="A1366" s="32"/>
      <c r="B1366" s="32"/>
      <c r="C1366" s="32"/>
      <c r="D1366" s="33"/>
      <c r="E1366" s="33"/>
    </row>
    <row r="1367">
      <c r="A1367" s="32"/>
      <c r="B1367" s="32"/>
      <c r="C1367" s="32"/>
      <c r="D1367" s="33"/>
      <c r="E1367" s="33"/>
    </row>
    <row r="1368">
      <c r="A1368" s="32"/>
      <c r="B1368" s="32"/>
      <c r="C1368" s="32"/>
      <c r="D1368" s="33"/>
      <c r="E1368" s="33"/>
    </row>
    <row r="1369">
      <c r="A1369" s="32"/>
      <c r="B1369" s="32"/>
      <c r="C1369" s="32"/>
      <c r="D1369" s="33"/>
      <c r="E1369" s="33"/>
    </row>
    <row r="1370">
      <c r="A1370" s="32"/>
      <c r="B1370" s="32"/>
      <c r="C1370" s="32"/>
      <c r="D1370" s="33"/>
      <c r="E1370" s="33"/>
    </row>
    <row r="1371">
      <c r="A1371" s="32"/>
      <c r="B1371" s="32"/>
      <c r="C1371" s="32"/>
      <c r="D1371" s="33"/>
      <c r="E1371" s="33"/>
    </row>
    <row r="1372">
      <c r="A1372" s="32"/>
      <c r="B1372" s="32"/>
      <c r="C1372" s="32"/>
      <c r="D1372" s="33"/>
      <c r="E1372" s="33"/>
    </row>
    <row r="1373">
      <c r="A1373" s="32"/>
      <c r="B1373" s="32"/>
      <c r="C1373" s="32"/>
      <c r="D1373" s="33"/>
      <c r="E1373" s="33"/>
    </row>
    <row r="1374">
      <c r="A1374" s="32"/>
      <c r="B1374" s="32"/>
      <c r="C1374" s="32"/>
      <c r="D1374" s="33"/>
      <c r="E1374" s="33"/>
    </row>
    <row r="1375">
      <c r="A1375" s="32"/>
      <c r="B1375" s="32"/>
      <c r="C1375" s="32"/>
      <c r="D1375" s="33"/>
      <c r="E1375" s="33"/>
    </row>
    <row r="1376">
      <c r="A1376" s="32"/>
      <c r="B1376" s="32"/>
      <c r="C1376" s="32"/>
      <c r="D1376" s="33"/>
      <c r="E1376" s="33"/>
    </row>
    <row r="1377">
      <c r="A1377" s="32"/>
      <c r="B1377" s="32"/>
      <c r="C1377" s="32"/>
      <c r="D1377" s="33"/>
      <c r="E1377" s="33"/>
    </row>
    <row r="1378">
      <c r="A1378" s="32"/>
      <c r="B1378" s="32"/>
      <c r="C1378" s="32"/>
      <c r="D1378" s="33"/>
      <c r="E1378" s="33"/>
    </row>
    <row r="1379">
      <c r="A1379" s="32"/>
      <c r="B1379" s="32"/>
      <c r="C1379" s="32"/>
      <c r="D1379" s="33"/>
      <c r="E1379" s="33"/>
    </row>
    <row r="1380">
      <c r="A1380" s="32"/>
      <c r="B1380" s="32"/>
      <c r="C1380" s="32"/>
      <c r="D1380" s="33"/>
      <c r="E1380" s="33"/>
    </row>
    <row r="1381">
      <c r="A1381" s="32"/>
      <c r="B1381" s="32"/>
      <c r="C1381" s="32"/>
      <c r="D1381" s="33"/>
      <c r="E1381" s="33"/>
    </row>
    <row r="1382">
      <c r="A1382" s="32"/>
      <c r="B1382" s="32"/>
      <c r="C1382" s="32"/>
      <c r="D1382" s="33"/>
      <c r="E1382" s="33"/>
    </row>
    <row r="1383">
      <c r="A1383" s="32"/>
      <c r="B1383" s="32"/>
      <c r="C1383" s="32"/>
      <c r="D1383" s="33"/>
      <c r="E1383" s="33"/>
    </row>
    <row r="1384">
      <c r="A1384" s="32"/>
      <c r="B1384" s="32"/>
      <c r="C1384" s="32"/>
      <c r="D1384" s="33"/>
      <c r="E1384" s="33"/>
    </row>
    <row r="1385">
      <c r="A1385" s="32"/>
      <c r="B1385" s="32"/>
      <c r="C1385" s="32"/>
      <c r="D1385" s="33"/>
      <c r="E1385" s="33"/>
    </row>
    <row r="1386">
      <c r="A1386" s="32"/>
      <c r="B1386" s="32"/>
      <c r="C1386" s="32"/>
      <c r="D1386" s="33"/>
      <c r="E1386" s="33"/>
    </row>
    <row r="1387">
      <c r="A1387" s="32"/>
      <c r="B1387" s="32"/>
      <c r="C1387" s="32"/>
      <c r="D1387" s="33"/>
      <c r="E1387" s="33"/>
    </row>
    <row r="1388">
      <c r="A1388" s="32"/>
      <c r="B1388" s="32"/>
      <c r="C1388" s="32"/>
      <c r="D1388" s="33"/>
      <c r="E1388" s="33"/>
    </row>
    <row r="1389">
      <c r="A1389" s="32"/>
      <c r="B1389" s="32"/>
      <c r="C1389" s="32"/>
      <c r="D1389" s="33"/>
      <c r="E1389" s="33"/>
    </row>
    <row r="1390">
      <c r="A1390" s="32"/>
      <c r="B1390" s="32"/>
      <c r="C1390" s="32"/>
      <c r="D1390" s="33"/>
      <c r="E1390" s="33"/>
    </row>
    <row r="1391">
      <c r="A1391" s="32"/>
      <c r="B1391" s="32"/>
      <c r="C1391" s="32"/>
      <c r="D1391" s="33"/>
      <c r="E1391" s="33"/>
    </row>
    <row r="1392">
      <c r="A1392" s="32"/>
      <c r="B1392" s="32"/>
      <c r="C1392" s="32"/>
      <c r="D1392" s="33"/>
      <c r="E1392" s="33"/>
    </row>
    <row r="1393">
      <c r="A1393" s="32"/>
      <c r="B1393" s="32"/>
      <c r="C1393" s="32"/>
      <c r="D1393" s="33"/>
      <c r="E1393" s="33"/>
    </row>
    <row r="1394">
      <c r="A1394" s="32"/>
      <c r="B1394" s="32"/>
      <c r="C1394" s="32"/>
      <c r="D1394" s="33"/>
      <c r="E1394" s="33"/>
    </row>
    <row r="1395">
      <c r="A1395" s="32"/>
      <c r="B1395" s="32"/>
      <c r="C1395" s="32"/>
      <c r="D1395" s="33"/>
      <c r="E1395" s="33"/>
    </row>
    <row r="1396">
      <c r="A1396" s="32"/>
      <c r="B1396" s="32"/>
      <c r="C1396" s="32"/>
      <c r="D1396" s="33"/>
      <c r="E1396" s="33"/>
    </row>
    <row r="1397">
      <c r="A1397" s="32"/>
      <c r="B1397" s="32"/>
      <c r="C1397" s="32"/>
      <c r="D1397" s="33"/>
      <c r="E1397" s="33"/>
    </row>
    <row r="1398">
      <c r="A1398" s="32"/>
      <c r="B1398" s="32"/>
      <c r="C1398" s="32"/>
      <c r="D1398" s="33"/>
      <c r="E1398" s="33"/>
    </row>
    <row r="1399">
      <c r="A1399" s="32"/>
      <c r="B1399" s="32"/>
      <c r="C1399" s="32"/>
      <c r="D1399" s="33"/>
      <c r="E1399" s="33"/>
    </row>
    <row r="1400">
      <c r="A1400" s="32"/>
      <c r="B1400" s="32"/>
      <c r="C1400" s="32"/>
      <c r="D1400" s="33"/>
      <c r="E1400" s="33"/>
    </row>
    <row r="1401">
      <c r="A1401" s="32"/>
      <c r="B1401" s="32"/>
      <c r="C1401" s="32"/>
      <c r="D1401" s="33"/>
      <c r="E1401" s="33"/>
    </row>
    <row r="1402">
      <c r="A1402" s="32"/>
      <c r="B1402" s="32"/>
      <c r="C1402" s="32"/>
      <c r="D1402" s="33"/>
      <c r="E1402" s="33"/>
    </row>
    <row r="1403">
      <c r="A1403" s="32"/>
      <c r="B1403" s="32"/>
      <c r="C1403" s="32"/>
      <c r="D1403" s="33"/>
      <c r="E1403" s="33"/>
    </row>
    <row r="1404">
      <c r="A1404" s="32"/>
      <c r="B1404" s="32"/>
      <c r="C1404" s="32"/>
      <c r="D1404" s="33"/>
      <c r="E1404" s="33"/>
    </row>
    <row r="1405">
      <c r="A1405" s="32"/>
      <c r="B1405" s="32"/>
      <c r="C1405" s="32"/>
      <c r="D1405" s="33"/>
      <c r="E1405" s="33"/>
    </row>
    <row r="1406">
      <c r="A1406" s="32"/>
      <c r="B1406" s="32"/>
      <c r="C1406" s="32"/>
      <c r="D1406" s="33"/>
      <c r="E1406" s="33"/>
    </row>
    <row r="1407">
      <c r="A1407" s="32"/>
      <c r="B1407" s="32"/>
      <c r="C1407" s="32"/>
      <c r="D1407" s="33"/>
      <c r="E1407" s="33"/>
    </row>
    <row r="1408">
      <c r="A1408" s="32"/>
      <c r="B1408" s="32"/>
      <c r="C1408" s="32"/>
      <c r="D1408" s="33"/>
      <c r="E1408" s="33"/>
    </row>
    <row r="1409">
      <c r="A1409" s="32"/>
      <c r="B1409" s="32"/>
      <c r="C1409" s="32"/>
      <c r="D1409" s="33"/>
      <c r="E1409" s="33"/>
    </row>
    <row r="1410">
      <c r="A1410" s="32"/>
      <c r="B1410" s="32"/>
      <c r="C1410" s="32"/>
      <c r="D1410" s="33"/>
      <c r="E1410" s="33"/>
    </row>
    <row r="1411">
      <c r="A1411" s="32"/>
      <c r="B1411" s="32"/>
      <c r="C1411" s="32"/>
      <c r="D1411" s="33"/>
      <c r="E1411" s="33"/>
    </row>
    <row r="1412">
      <c r="A1412" s="32"/>
      <c r="B1412" s="32"/>
      <c r="C1412" s="32"/>
      <c r="D1412" s="33"/>
      <c r="E1412" s="33"/>
    </row>
    <row r="1413">
      <c r="A1413" s="32"/>
      <c r="B1413" s="32"/>
      <c r="C1413" s="32"/>
      <c r="D1413" s="33"/>
      <c r="E1413" s="33"/>
    </row>
    <row r="1414">
      <c r="A1414" s="32"/>
      <c r="B1414" s="32"/>
      <c r="C1414" s="32"/>
      <c r="D1414" s="33"/>
      <c r="E1414" s="33"/>
    </row>
    <row r="1415">
      <c r="A1415" s="32"/>
      <c r="B1415" s="32"/>
      <c r="C1415" s="32"/>
      <c r="D1415" s="33"/>
      <c r="E1415" s="33"/>
    </row>
    <row r="1416">
      <c r="A1416" s="32"/>
      <c r="B1416" s="32"/>
      <c r="C1416" s="32"/>
      <c r="D1416" s="33"/>
      <c r="E1416" s="33"/>
    </row>
    <row r="1417">
      <c r="A1417" s="32"/>
      <c r="B1417" s="32"/>
      <c r="C1417" s="32"/>
      <c r="D1417" s="33"/>
      <c r="E1417" s="33"/>
    </row>
    <row r="1418">
      <c r="A1418" s="32"/>
      <c r="B1418" s="32"/>
      <c r="C1418" s="32"/>
      <c r="D1418" s="33"/>
      <c r="E1418" s="33"/>
    </row>
    <row r="1419">
      <c r="A1419" s="32"/>
      <c r="B1419" s="32"/>
      <c r="C1419" s="32"/>
      <c r="D1419" s="33"/>
      <c r="E1419" s="33"/>
    </row>
    <row r="1420">
      <c r="A1420" s="32"/>
      <c r="B1420" s="32"/>
      <c r="C1420" s="32"/>
      <c r="D1420" s="33"/>
      <c r="E1420" s="33"/>
    </row>
    <row r="1421">
      <c r="A1421" s="32"/>
      <c r="B1421" s="32"/>
      <c r="C1421" s="32"/>
      <c r="D1421" s="33"/>
      <c r="E1421" s="33"/>
    </row>
    <row r="1422">
      <c r="A1422" s="32"/>
      <c r="B1422" s="32"/>
      <c r="C1422" s="32"/>
      <c r="D1422" s="33"/>
      <c r="E1422" s="33"/>
    </row>
    <row r="1423">
      <c r="A1423" s="32"/>
      <c r="B1423" s="32"/>
      <c r="C1423" s="32"/>
      <c r="D1423" s="33"/>
      <c r="E1423" s="33"/>
    </row>
    <row r="1424">
      <c r="A1424" s="32"/>
      <c r="B1424" s="32"/>
      <c r="C1424" s="32"/>
      <c r="D1424" s="33"/>
      <c r="E1424" s="33"/>
    </row>
    <row r="1425">
      <c r="A1425" s="32"/>
      <c r="B1425" s="32"/>
      <c r="C1425" s="32"/>
      <c r="D1425" s="33"/>
      <c r="E1425" s="33"/>
    </row>
    <row r="1426">
      <c r="A1426" s="32"/>
      <c r="B1426" s="32"/>
      <c r="C1426" s="32"/>
      <c r="D1426" s="33"/>
      <c r="E1426" s="33"/>
    </row>
    <row r="1427">
      <c r="A1427" s="32"/>
      <c r="B1427" s="32"/>
      <c r="C1427" s="32"/>
      <c r="D1427" s="33"/>
      <c r="E1427" s="33"/>
    </row>
    <row r="1428">
      <c r="A1428" s="32"/>
      <c r="B1428" s="32"/>
      <c r="C1428" s="32"/>
      <c r="D1428" s="33"/>
      <c r="E1428" s="33"/>
    </row>
    <row r="1429">
      <c r="A1429" s="32"/>
      <c r="B1429" s="32"/>
      <c r="C1429" s="32"/>
      <c r="D1429" s="33"/>
      <c r="E1429" s="33"/>
    </row>
    <row r="1430">
      <c r="A1430" s="32"/>
      <c r="B1430" s="32"/>
      <c r="C1430" s="32"/>
      <c r="D1430" s="33"/>
      <c r="E1430" s="33"/>
    </row>
    <row r="1431">
      <c r="A1431" s="32"/>
      <c r="B1431" s="32"/>
      <c r="C1431" s="32"/>
      <c r="D1431" s="33"/>
      <c r="E1431" s="33"/>
    </row>
    <row r="1432">
      <c r="A1432" s="32"/>
      <c r="B1432" s="32"/>
      <c r="C1432" s="32"/>
      <c r="D1432" s="33"/>
      <c r="E1432" s="33"/>
    </row>
    <row r="1433">
      <c r="A1433" s="32"/>
      <c r="B1433" s="32"/>
      <c r="C1433" s="32"/>
      <c r="D1433" s="33"/>
      <c r="E1433" s="33"/>
    </row>
    <row r="1434">
      <c r="A1434" s="32"/>
      <c r="B1434" s="32"/>
      <c r="C1434" s="32"/>
      <c r="D1434" s="33"/>
      <c r="E1434" s="33"/>
    </row>
    <row r="1435">
      <c r="A1435" s="32"/>
      <c r="B1435" s="32"/>
      <c r="C1435" s="32"/>
      <c r="D1435" s="33"/>
      <c r="E1435" s="33"/>
    </row>
    <row r="1436">
      <c r="A1436" s="32"/>
      <c r="B1436" s="32"/>
      <c r="C1436" s="32"/>
      <c r="D1436" s="33"/>
      <c r="E1436" s="33"/>
    </row>
    <row r="1437">
      <c r="A1437" s="32"/>
      <c r="B1437" s="32"/>
      <c r="C1437" s="32"/>
      <c r="D1437" s="33"/>
      <c r="E1437" s="33"/>
    </row>
    <row r="1438">
      <c r="A1438" s="32"/>
      <c r="B1438" s="32"/>
      <c r="C1438" s="32"/>
      <c r="D1438" s="33"/>
      <c r="E1438" s="33"/>
    </row>
    <row r="1439">
      <c r="A1439" s="32"/>
      <c r="B1439" s="32"/>
      <c r="C1439" s="32"/>
      <c r="D1439" s="33"/>
      <c r="E1439" s="33"/>
    </row>
    <row r="1440">
      <c r="A1440" s="32"/>
      <c r="B1440" s="32"/>
      <c r="C1440" s="32"/>
      <c r="D1440" s="33"/>
      <c r="E1440" s="33"/>
    </row>
    <row r="1441">
      <c r="A1441" s="32"/>
      <c r="B1441" s="32"/>
      <c r="C1441" s="32"/>
      <c r="D1441" s="33"/>
      <c r="E1441" s="33"/>
    </row>
    <row r="1442">
      <c r="A1442" s="32"/>
      <c r="B1442" s="32"/>
      <c r="C1442" s="32"/>
      <c r="D1442" s="33"/>
      <c r="E1442" s="33"/>
    </row>
    <row r="1443">
      <c r="A1443" s="32"/>
      <c r="B1443" s="32"/>
      <c r="C1443" s="32"/>
      <c r="D1443" s="33"/>
      <c r="E1443" s="33"/>
    </row>
    <row r="1444">
      <c r="A1444" s="32"/>
      <c r="B1444" s="32"/>
      <c r="C1444" s="32"/>
      <c r="D1444" s="33"/>
      <c r="E1444" s="33"/>
    </row>
    <row r="1445">
      <c r="A1445" s="32"/>
      <c r="B1445" s="32"/>
      <c r="C1445" s="32"/>
      <c r="D1445" s="33"/>
      <c r="E1445" s="33"/>
    </row>
    <row r="1446">
      <c r="A1446" s="32"/>
      <c r="B1446" s="32"/>
      <c r="C1446" s="32"/>
      <c r="D1446" s="33"/>
      <c r="E1446" s="33"/>
    </row>
    <row r="1447">
      <c r="A1447" s="32"/>
      <c r="B1447" s="32"/>
      <c r="C1447" s="32"/>
      <c r="D1447" s="33"/>
      <c r="E1447" s="33"/>
    </row>
    <row r="1448">
      <c r="A1448" s="32"/>
      <c r="B1448" s="32"/>
      <c r="C1448" s="32"/>
      <c r="D1448" s="33"/>
      <c r="E1448" s="33"/>
    </row>
    <row r="1449">
      <c r="A1449" s="32"/>
      <c r="B1449" s="32"/>
      <c r="C1449" s="32"/>
      <c r="D1449" s="33"/>
      <c r="E1449" s="33"/>
    </row>
    <row r="1450">
      <c r="A1450" s="32"/>
      <c r="B1450" s="32"/>
      <c r="C1450" s="32"/>
      <c r="D1450" s="33"/>
      <c r="E1450" s="33"/>
    </row>
    <row r="1451">
      <c r="A1451" s="32"/>
      <c r="B1451" s="32"/>
      <c r="C1451" s="32"/>
      <c r="D1451" s="33"/>
      <c r="E1451" s="33"/>
    </row>
    <row r="1452">
      <c r="A1452" s="32"/>
      <c r="B1452" s="32"/>
      <c r="C1452" s="32"/>
      <c r="D1452" s="33"/>
      <c r="E1452" s="33"/>
    </row>
    <row r="1453">
      <c r="A1453" s="32"/>
      <c r="B1453" s="32"/>
      <c r="C1453" s="32"/>
      <c r="D1453" s="33"/>
      <c r="E1453" s="33"/>
    </row>
    <row r="1454">
      <c r="A1454" s="32"/>
      <c r="B1454" s="32"/>
      <c r="C1454" s="32"/>
      <c r="D1454" s="33"/>
      <c r="E1454" s="33"/>
    </row>
    <row r="1455">
      <c r="A1455" s="32"/>
      <c r="B1455" s="32"/>
      <c r="C1455" s="32"/>
      <c r="D1455" s="33"/>
      <c r="E1455" s="33"/>
    </row>
    <row r="1456">
      <c r="A1456" s="32"/>
      <c r="B1456" s="32"/>
      <c r="C1456" s="32"/>
      <c r="D1456" s="33"/>
      <c r="E1456" s="33"/>
    </row>
    <row r="1457">
      <c r="A1457" s="32"/>
      <c r="B1457" s="32"/>
      <c r="C1457" s="32"/>
      <c r="D1457" s="33"/>
      <c r="E1457" s="33"/>
    </row>
    <row r="1458">
      <c r="A1458" s="32"/>
      <c r="B1458" s="32"/>
      <c r="C1458" s="32"/>
      <c r="D1458" s="33"/>
      <c r="E1458" s="33"/>
    </row>
    <row r="1459">
      <c r="A1459" s="32"/>
      <c r="B1459" s="32"/>
      <c r="C1459" s="32"/>
      <c r="D1459" s="33"/>
      <c r="E1459" s="33"/>
    </row>
    <row r="1460">
      <c r="A1460" s="32"/>
      <c r="B1460" s="32"/>
      <c r="C1460" s="32"/>
      <c r="D1460" s="33"/>
      <c r="E1460" s="33"/>
    </row>
    <row r="1461">
      <c r="A1461" s="32"/>
      <c r="B1461" s="32"/>
      <c r="C1461" s="32"/>
      <c r="D1461" s="33"/>
      <c r="E1461" s="33"/>
    </row>
    <row r="1462">
      <c r="A1462" s="32"/>
      <c r="B1462" s="32"/>
      <c r="C1462" s="32"/>
      <c r="D1462" s="33"/>
      <c r="E1462" s="33"/>
    </row>
    <row r="1463">
      <c r="A1463" s="32"/>
      <c r="B1463" s="32"/>
      <c r="C1463" s="32"/>
      <c r="D1463" s="33"/>
      <c r="E1463" s="33"/>
    </row>
    <row r="1464">
      <c r="A1464" s="32"/>
      <c r="B1464" s="32"/>
      <c r="C1464" s="32"/>
      <c r="D1464" s="33"/>
      <c r="E1464" s="33"/>
    </row>
    <row r="1465">
      <c r="A1465" s="32"/>
      <c r="B1465" s="32"/>
      <c r="C1465" s="32"/>
      <c r="D1465" s="33"/>
      <c r="E1465" s="33"/>
    </row>
    <row r="1466">
      <c r="A1466" s="32"/>
      <c r="B1466" s="32"/>
      <c r="C1466" s="32"/>
      <c r="D1466" s="33"/>
      <c r="E1466" s="33"/>
    </row>
    <row r="1467">
      <c r="A1467" s="32"/>
      <c r="B1467" s="32"/>
      <c r="C1467" s="32"/>
      <c r="D1467" s="33"/>
      <c r="E1467" s="33"/>
    </row>
    <row r="1468">
      <c r="A1468" s="32"/>
      <c r="B1468" s="32"/>
      <c r="C1468" s="32"/>
      <c r="D1468" s="33"/>
      <c r="E1468" s="33"/>
    </row>
    <row r="1469">
      <c r="A1469" s="32"/>
      <c r="B1469" s="32"/>
      <c r="C1469" s="32"/>
      <c r="D1469" s="33"/>
      <c r="E1469" s="33"/>
    </row>
    <row r="1470">
      <c r="A1470" s="32"/>
      <c r="B1470" s="32"/>
      <c r="C1470" s="32"/>
      <c r="D1470" s="33"/>
      <c r="E1470" s="33"/>
    </row>
    <row r="1471">
      <c r="A1471" s="32"/>
      <c r="B1471" s="32"/>
      <c r="C1471" s="32"/>
      <c r="D1471" s="33"/>
      <c r="E1471" s="33"/>
    </row>
    <row r="1472">
      <c r="A1472" s="32"/>
      <c r="B1472" s="32"/>
      <c r="C1472" s="32"/>
      <c r="D1472" s="33"/>
      <c r="E1472" s="33"/>
    </row>
    <row r="1473">
      <c r="A1473" s="32"/>
      <c r="B1473" s="32"/>
      <c r="C1473" s="32"/>
      <c r="D1473" s="33"/>
      <c r="E1473" s="33"/>
    </row>
    <row r="1474">
      <c r="A1474" s="32"/>
      <c r="B1474" s="32"/>
      <c r="C1474" s="32"/>
      <c r="D1474" s="33"/>
      <c r="E1474" s="33"/>
    </row>
    <row r="1475">
      <c r="A1475" s="32"/>
      <c r="B1475" s="32"/>
      <c r="C1475" s="32"/>
      <c r="D1475" s="33"/>
      <c r="E1475" s="33"/>
    </row>
    <row r="1476">
      <c r="A1476" s="32"/>
      <c r="B1476" s="32"/>
      <c r="C1476" s="32"/>
      <c r="D1476" s="33"/>
      <c r="E1476" s="33"/>
    </row>
    <row r="1477">
      <c r="A1477" s="32"/>
      <c r="B1477" s="32"/>
      <c r="C1477" s="32"/>
      <c r="D1477" s="33"/>
      <c r="E1477" s="33"/>
    </row>
    <row r="1478">
      <c r="A1478" s="32"/>
      <c r="B1478" s="32"/>
      <c r="C1478" s="32"/>
      <c r="D1478" s="33"/>
      <c r="E1478" s="33"/>
    </row>
    <row r="1479">
      <c r="A1479" s="32"/>
      <c r="B1479" s="32"/>
      <c r="C1479" s="32"/>
      <c r="D1479" s="33"/>
      <c r="E1479" s="33"/>
    </row>
    <row r="1480">
      <c r="A1480" s="32"/>
      <c r="B1480" s="32"/>
      <c r="C1480" s="32"/>
      <c r="D1480" s="33"/>
      <c r="E1480" s="33"/>
    </row>
    <row r="1481">
      <c r="A1481" s="32"/>
      <c r="B1481" s="32"/>
      <c r="C1481" s="32"/>
      <c r="D1481" s="33"/>
      <c r="E1481" s="33"/>
    </row>
    <row r="1482">
      <c r="A1482" s="32"/>
      <c r="B1482" s="32"/>
      <c r="C1482" s="32"/>
      <c r="D1482" s="33"/>
      <c r="E1482" s="33"/>
    </row>
    <row r="1483">
      <c r="A1483" s="32"/>
      <c r="B1483" s="32"/>
      <c r="C1483" s="32"/>
      <c r="D1483" s="33"/>
      <c r="E1483" s="33"/>
    </row>
    <row r="1484">
      <c r="A1484" s="32"/>
      <c r="B1484" s="32"/>
      <c r="C1484" s="32"/>
      <c r="D1484" s="33"/>
      <c r="E1484" s="33"/>
    </row>
    <row r="1485">
      <c r="A1485" s="32"/>
      <c r="B1485" s="32"/>
      <c r="C1485" s="32"/>
      <c r="D1485" s="33"/>
      <c r="E1485" s="33"/>
    </row>
    <row r="1486">
      <c r="A1486" s="32"/>
      <c r="B1486" s="32"/>
      <c r="C1486" s="32"/>
      <c r="D1486" s="33"/>
      <c r="E1486" s="33"/>
    </row>
    <row r="1487">
      <c r="A1487" s="32"/>
      <c r="B1487" s="32"/>
      <c r="C1487" s="32"/>
      <c r="D1487" s="33"/>
      <c r="E1487" s="33"/>
    </row>
    <row r="1488">
      <c r="A1488" s="32"/>
      <c r="B1488" s="32"/>
      <c r="C1488" s="32"/>
      <c r="D1488" s="33"/>
      <c r="E1488" s="33"/>
    </row>
    <row r="1489">
      <c r="A1489" s="32"/>
      <c r="B1489" s="32"/>
      <c r="C1489" s="32"/>
      <c r="D1489" s="33"/>
      <c r="E1489" s="33"/>
    </row>
    <row r="1490">
      <c r="A1490" s="32"/>
      <c r="B1490" s="32"/>
      <c r="C1490" s="32"/>
      <c r="D1490" s="33"/>
      <c r="E1490" s="33"/>
    </row>
    <row r="1491">
      <c r="A1491" s="32"/>
      <c r="B1491" s="32"/>
      <c r="C1491" s="32"/>
      <c r="D1491" s="33"/>
      <c r="E1491" s="33"/>
    </row>
    <row r="1492">
      <c r="A1492" s="32"/>
      <c r="B1492" s="32"/>
      <c r="C1492" s="32"/>
      <c r="D1492" s="33"/>
      <c r="E1492" s="33"/>
    </row>
    <row r="1493">
      <c r="A1493" s="32"/>
      <c r="B1493" s="32"/>
      <c r="C1493" s="32"/>
      <c r="D1493" s="33"/>
      <c r="E1493" s="33"/>
    </row>
    <row r="1494">
      <c r="A1494" s="32"/>
      <c r="B1494" s="32"/>
      <c r="C1494" s="32"/>
      <c r="D1494" s="33"/>
      <c r="E1494" s="33"/>
    </row>
    <row r="1495">
      <c r="A1495" s="32"/>
      <c r="B1495" s="32"/>
      <c r="C1495" s="32"/>
      <c r="D1495" s="33"/>
      <c r="E1495" s="33"/>
    </row>
    <row r="1496">
      <c r="A1496" s="32"/>
      <c r="B1496" s="32"/>
      <c r="C1496" s="32"/>
      <c r="D1496" s="33"/>
      <c r="E1496" s="33"/>
    </row>
    <row r="1497">
      <c r="A1497" s="32"/>
      <c r="B1497" s="32"/>
      <c r="C1497" s="32"/>
      <c r="D1497" s="33"/>
      <c r="E1497" s="33"/>
    </row>
    <row r="1498">
      <c r="A1498" s="32"/>
      <c r="B1498" s="32"/>
      <c r="C1498" s="32"/>
      <c r="D1498" s="33"/>
      <c r="E1498" s="33"/>
    </row>
    <row r="1499">
      <c r="A1499" s="32"/>
      <c r="B1499" s="32"/>
      <c r="C1499" s="32"/>
      <c r="D1499" s="33"/>
      <c r="E1499" s="33"/>
    </row>
    <row r="1500">
      <c r="A1500" s="32"/>
      <c r="B1500" s="32"/>
      <c r="C1500" s="32"/>
      <c r="D1500" s="33"/>
      <c r="E1500" s="33"/>
    </row>
    <row r="1501">
      <c r="A1501" s="32"/>
      <c r="B1501" s="32"/>
      <c r="C1501" s="32"/>
      <c r="D1501" s="33"/>
      <c r="E1501" s="33"/>
    </row>
    <row r="1502">
      <c r="A1502" s="32"/>
      <c r="B1502" s="32"/>
      <c r="C1502" s="32"/>
      <c r="D1502" s="33"/>
      <c r="E1502" s="33"/>
    </row>
    <row r="1503">
      <c r="A1503" s="32"/>
      <c r="B1503" s="32"/>
      <c r="C1503" s="32"/>
      <c r="D1503" s="33"/>
      <c r="E1503" s="33"/>
    </row>
    <row r="1504">
      <c r="A1504" s="32"/>
      <c r="B1504" s="32"/>
      <c r="C1504" s="32"/>
      <c r="D1504" s="33"/>
      <c r="E1504" s="33"/>
    </row>
    <row r="1505">
      <c r="A1505" s="32"/>
      <c r="B1505" s="32"/>
      <c r="C1505" s="32"/>
      <c r="D1505" s="33"/>
      <c r="E1505" s="33"/>
    </row>
    <row r="1506">
      <c r="A1506" s="32"/>
      <c r="B1506" s="32"/>
      <c r="C1506" s="32"/>
      <c r="D1506" s="33"/>
      <c r="E1506" s="33"/>
    </row>
    <row r="1507">
      <c r="A1507" s="32"/>
      <c r="B1507" s="32"/>
      <c r="C1507" s="32"/>
      <c r="D1507" s="33"/>
      <c r="E1507" s="33"/>
    </row>
    <row r="1508">
      <c r="A1508" s="32"/>
      <c r="B1508" s="32"/>
      <c r="C1508" s="32"/>
      <c r="D1508" s="33"/>
      <c r="E1508" s="33"/>
    </row>
    <row r="1509">
      <c r="A1509" s="32"/>
      <c r="B1509" s="32"/>
      <c r="C1509" s="32"/>
      <c r="D1509" s="33"/>
      <c r="E1509" s="33"/>
    </row>
    <row r="1510">
      <c r="A1510" s="32"/>
      <c r="B1510" s="32"/>
      <c r="C1510" s="32"/>
      <c r="D1510" s="33"/>
      <c r="E1510" s="33"/>
    </row>
    <row r="1511">
      <c r="A1511" s="32"/>
      <c r="B1511" s="32"/>
      <c r="C1511" s="32"/>
      <c r="D1511" s="33"/>
      <c r="E1511" s="33"/>
    </row>
    <row r="1512">
      <c r="A1512" s="32"/>
      <c r="B1512" s="32"/>
      <c r="C1512" s="32"/>
      <c r="D1512" s="33"/>
      <c r="E1512" s="33"/>
    </row>
    <row r="1513">
      <c r="A1513" s="32"/>
      <c r="B1513" s="32"/>
      <c r="C1513" s="32"/>
      <c r="D1513" s="33"/>
      <c r="E1513" s="33"/>
    </row>
    <row r="1514">
      <c r="A1514" s="32"/>
      <c r="B1514" s="32"/>
      <c r="C1514" s="32"/>
      <c r="D1514" s="33"/>
      <c r="E1514" s="33"/>
    </row>
    <row r="1515">
      <c r="A1515" s="32"/>
      <c r="B1515" s="32"/>
      <c r="C1515" s="32"/>
      <c r="D1515" s="33"/>
      <c r="E1515" s="33"/>
    </row>
    <row r="1516">
      <c r="A1516" s="32"/>
      <c r="B1516" s="32"/>
      <c r="C1516" s="32"/>
      <c r="D1516" s="33"/>
      <c r="E1516" s="33"/>
    </row>
    <row r="1517">
      <c r="A1517" s="32"/>
      <c r="B1517" s="32"/>
      <c r="C1517" s="32"/>
      <c r="D1517" s="33"/>
      <c r="E1517" s="33"/>
    </row>
    <row r="1518">
      <c r="A1518" s="32"/>
      <c r="B1518" s="32"/>
      <c r="C1518" s="32"/>
      <c r="D1518" s="33"/>
      <c r="E1518" s="33"/>
    </row>
    <row r="1519">
      <c r="A1519" s="32"/>
      <c r="B1519" s="32"/>
      <c r="C1519" s="32"/>
      <c r="D1519" s="33"/>
      <c r="E1519" s="33"/>
    </row>
    <row r="1520">
      <c r="A1520" s="32"/>
      <c r="B1520" s="32"/>
      <c r="C1520" s="32"/>
      <c r="D1520" s="33"/>
      <c r="E1520" s="33"/>
    </row>
    <row r="1521">
      <c r="A1521" s="32"/>
      <c r="B1521" s="32"/>
      <c r="C1521" s="32"/>
      <c r="D1521" s="33"/>
      <c r="E1521" s="33"/>
    </row>
    <row r="1522">
      <c r="A1522" s="32"/>
      <c r="B1522" s="32"/>
      <c r="C1522" s="32"/>
      <c r="D1522" s="33"/>
      <c r="E1522" s="33"/>
    </row>
    <row r="1523">
      <c r="A1523" s="32"/>
      <c r="B1523" s="32"/>
      <c r="C1523" s="32"/>
      <c r="D1523" s="33"/>
      <c r="E1523" s="33"/>
    </row>
    <row r="1524">
      <c r="A1524" s="32"/>
      <c r="B1524" s="32"/>
      <c r="C1524" s="32"/>
      <c r="D1524" s="33"/>
      <c r="E1524" s="33"/>
    </row>
    <row r="1525">
      <c r="A1525" s="32"/>
      <c r="B1525" s="32"/>
      <c r="C1525" s="32"/>
      <c r="D1525" s="33"/>
      <c r="E1525" s="33"/>
    </row>
    <row r="1526">
      <c r="A1526" s="32"/>
      <c r="B1526" s="32"/>
      <c r="C1526" s="32"/>
      <c r="D1526" s="33"/>
      <c r="E1526" s="33"/>
    </row>
    <row r="1527">
      <c r="A1527" s="32"/>
      <c r="B1527" s="32"/>
      <c r="C1527" s="32"/>
      <c r="D1527" s="33"/>
      <c r="E1527" s="33"/>
    </row>
    <row r="1528">
      <c r="A1528" s="32"/>
      <c r="B1528" s="32"/>
      <c r="C1528" s="32"/>
      <c r="D1528" s="33"/>
      <c r="E1528" s="33"/>
    </row>
    <row r="1529">
      <c r="A1529" s="32"/>
      <c r="B1529" s="32"/>
      <c r="C1529" s="32"/>
      <c r="D1529" s="33"/>
      <c r="E1529" s="33"/>
    </row>
    <row r="1530">
      <c r="A1530" s="32"/>
      <c r="B1530" s="32"/>
      <c r="C1530" s="32"/>
      <c r="D1530" s="33"/>
      <c r="E1530" s="33"/>
    </row>
    <row r="1531">
      <c r="A1531" s="32"/>
      <c r="B1531" s="32"/>
      <c r="C1531" s="32"/>
      <c r="D1531" s="33"/>
      <c r="E1531" s="33"/>
    </row>
    <row r="1532">
      <c r="A1532" s="32"/>
      <c r="B1532" s="32"/>
      <c r="C1532" s="32"/>
      <c r="D1532" s="33"/>
      <c r="E1532" s="33"/>
    </row>
    <row r="1533">
      <c r="A1533" s="32"/>
      <c r="B1533" s="32"/>
      <c r="C1533" s="32"/>
      <c r="D1533" s="33"/>
      <c r="E1533" s="33"/>
    </row>
    <row r="1534">
      <c r="A1534" s="32"/>
      <c r="B1534" s="32"/>
      <c r="C1534" s="32"/>
      <c r="D1534" s="33"/>
      <c r="E1534" s="33"/>
    </row>
    <row r="1535">
      <c r="A1535" s="32"/>
      <c r="B1535" s="32"/>
      <c r="C1535" s="32"/>
      <c r="D1535" s="33"/>
      <c r="E1535" s="33"/>
    </row>
    <row r="1536">
      <c r="A1536" s="32"/>
      <c r="B1536" s="32"/>
      <c r="C1536" s="32"/>
      <c r="D1536" s="33"/>
      <c r="E1536" s="33"/>
    </row>
    <row r="1537">
      <c r="A1537" s="32"/>
      <c r="B1537" s="32"/>
      <c r="C1537" s="32"/>
      <c r="D1537" s="33"/>
      <c r="E1537" s="33"/>
    </row>
    <row r="1538">
      <c r="A1538" s="32"/>
      <c r="B1538" s="32"/>
      <c r="C1538" s="32"/>
      <c r="D1538" s="33"/>
      <c r="E1538" s="33"/>
    </row>
    <row r="1539">
      <c r="A1539" s="32"/>
      <c r="B1539" s="32"/>
      <c r="C1539" s="32"/>
      <c r="D1539" s="33"/>
      <c r="E1539" s="33"/>
    </row>
    <row r="1540">
      <c r="A1540" s="32"/>
      <c r="B1540" s="32"/>
      <c r="C1540" s="32"/>
      <c r="D1540" s="33"/>
      <c r="E1540" s="33"/>
    </row>
    <row r="1541">
      <c r="A1541" s="32"/>
      <c r="B1541" s="32"/>
      <c r="C1541" s="32"/>
      <c r="D1541" s="33"/>
      <c r="E1541" s="33"/>
    </row>
    <row r="1542">
      <c r="A1542" s="32"/>
      <c r="B1542" s="32"/>
      <c r="C1542" s="32"/>
      <c r="D1542" s="33"/>
      <c r="E1542" s="33"/>
    </row>
    <row r="1543">
      <c r="A1543" s="32"/>
      <c r="B1543" s="32"/>
      <c r="C1543" s="32"/>
      <c r="D1543" s="33"/>
      <c r="E1543" s="33"/>
    </row>
    <row r="1544">
      <c r="A1544" s="32"/>
      <c r="B1544" s="32"/>
      <c r="C1544" s="32"/>
      <c r="D1544" s="33"/>
      <c r="E1544" s="33"/>
    </row>
    <row r="1545">
      <c r="A1545" s="32"/>
      <c r="B1545" s="32"/>
      <c r="C1545" s="32"/>
      <c r="D1545" s="33"/>
      <c r="E1545" s="33"/>
    </row>
    <row r="1546">
      <c r="A1546" s="32"/>
      <c r="B1546" s="32"/>
      <c r="C1546" s="32"/>
      <c r="D1546" s="33"/>
      <c r="E1546" s="33"/>
    </row>
    <row r="1547">
      <c r="A1547" s="32"/>
      <c r="B1547" s="32"/>
      <c r="C1547" s="32"/>
      <c r="D1547" s="33"/>
      <c r="E1547" s="33"/>
    </row>
    <row r="1548">
      <c r="A1548" s="32"/>
      <c r="B1548" s="32"/>
      <c r="C1548" s="32"/>
      <c r="D1548" s="33"/>
      <c r="E1548" s="33"/>
    </row>
    <row r="1549">
      <c r="A1549" s="32"/>
      <c r="B1549" s="32"/>
      <c r="C1549" s="32"/>
      <c r="D1549" s="33"/>
      <c r="E1549" s="33"/>
    </row>
    <row r="1550">
      <c r="A1550" s="32"/>
      <c r="B1550" s="32"/>
      <c r="C1550" s="32"/>
      <c r="D1550" s="33"/>
      <c r="E1550" s="33"/>
    </row>
    <row r="1551">
      <c r="A1551" s="32"/>
      <c r="B1551" s="32"/>
      <c r="C1551" s="32"/>
      <c r="D1551" s="33"/>
      <c r="E1551" s="33"/>
    </row>
    <row r="1552">
      <c r="A1552" s="32"/>
      <c r="B1552" s="32"/>
      <c r="C1552" s="32"/>
      <c r="D1552" s="33"/>
      <c r="E1552" s="33"/>
    </row>
    <row r="1553">
      <c r="A1553" s="32"/>
      <c r="B1553" s="32"/>
      <c r="C1553" s="32"/>
      <c r="D1553" s="33"/>
      <c r="E1553" s="33"/>
    </row>
    <row r="1554">
      <c r="A1554" s="32"/>
      <c r="B1554" s="32"/>
      <c r="C1554" s="32"/>
      <c r="D1554" s="33"/>
      <c r="E1554" s="33"/>
    </row>
    <row r="1555">
      <c r="A1555" s="32"/>
      <c r="B1555" s="32"/>
      <c r="C1555" s="32"/>
      <c r="D1555" s="33"/>
      <c r="E1555" s="33"/>
    </row>
    <row r="1556">
      <c r="A1556" s="32"/>
      <c r="B1556" s="32"/>
      <c r="C1556" s="32"/>
      <c r="D1556" s="33"/>
      <c r="E1556" s="33"/>
    </row>
    <row r="1557">
      <c r="A1557" s="32"/>
      <c r="B1557" s="32"/>
      <c r="C1557" s="32"/>
      <c r="D1557" s="33"/>
      <c r="E1557" s="33"/>
    </row>
    <row r="1558">
      <c r="A1558" s="32"/>
      <c r="B1558" s="32"/>
      <c r="C1558" s="32"/>
      <c r="D1558" s="33"/>
      <c r="E1558" s="33"/>
    </row>
    <row r="1559">
      <c r="A1559" s="32"/>
      <c r="B1559" s="32"/>
      <c r="C1559" s="32"/>
      <c r="D1559" s="33"/>
      <c r="E1559" s="33"/>
    </row>
    <row r="1560">
      <c r="A1560" s="32"/>
      <c r="B1560" s="32"/>
      <c r="C1560" s="32"/>
      <c r="D1560" s="33"/>
      <c r="E1560" s="33"/>
    </row>
    <row r="1561">
      <c r="A1561" s="32"/>
      <c r="B1561" s="32"/>
      <c r="C1561" s="32"/>
      <c r="D1561" s="33"/>
      <c r="E1561" s="33"/>
    </row>
    <row r="1562">
      <c r="A1562" s="32"/>
      <c r="B1562" s="32"/>
      <c r="C1562" s="32"/>
      <c r="D1562" s="33"/>
      <c r="E1562" s="33"/>
    </row>
    <row r="1563">
      <c r="A1563" s="32"/>
      <c r="B1563" s="32"/>
      <c r="C1563" s="32"/>
      <c r="D1563" s="33"/>
      <c r="E1563" s="33"/>
    </row>
    <row r="1564">
      <c r="A1564" s="32"/>
      <c r="B1564" s="32"/>
      <c r="C1564" s="32"/>
      <c r="D1564" s="33"/>
      <c r="E1564" s="33"/>
    </row>
    <row r="1565">
      <c r="A1565" s="32"/>
      <c r="B1565" s="32"/>
      <c r="C1565" s="32"/>
      <c r="D1565" s="33"/>
      <c r="E1565" s="33"/>
    </row>
    <row r="1566">
      <c r="A1566" s="32"/>
      <c r="B1566" s="32"/>
      <c r="C1566" s="32"/>
      <c r="D1566" s="33"/>
      <c r="E1566" s="33"/>
    </row>
    <row r="1567">
      <c r="A1567" s="32"/>
      <c r="B1567" s="32"/>
      <c r="C1567" s="32"/>
      <c r="D1567" s="33"/>
      <c r="E1567" s="33"/>
    </row>
    <row r="1568">
      <c r="A1568" s="32"/>
      <c r="B1568" s="32"/>
      <c r="C1568" s="32"/>
      <c r="D1568" s="33"/>
      <c r="E1568" s="33"/>
    </row>
    <row r="1569">
      <c r="A1569" s="32"/>
      <c r="B1569" s="32"/>
      <c r="C1569" s="32"/>
      <c r="D1569" s="33"/>
      <c r="E1569" s="33"/>
    </row>
    <row r="1570">
      <c r="A1570" s="32"/>
      <c r="B1570" s="32"/>
      <c r="C1570" s="32"/>
      <c r="D1570" s="33"/>
      <c r="E1570" s="33"/>
    </row>
    <row r="1571">
      <c r="A1571" s="32"/>
      <c r="B1571" s="32"/>
      <c r="C1571" s="32"/>
      <c r="D1571" s="33"/>
      <c r="E1571" s="33"/>
    </row>
    <row r="1572">
      <c r="A1572" s="32"/>
      <c r="B1572" s="32"/>
      <c r="C1572" s="32"/>
      <c r="D1572" s="33"/>
      <c r="E1572" s="33"/>
    </row>
    <row r="1573">
      <c r="A1573" s="32"/>
      <c r="B1573" s="32"/>
      <c r="C1573" s="32"/>
      <c r="D1573" s="33"/>
      <c r="E1573" s="33"/>
    </row>
    <row r="1574">
      <c r="A1574" s="32"/>
      <c r="B1574" s="32"/>
      <c r="C1574" s="32"/>
      <c r="D1574" s="33"/>
      <c r="E1574" s="33"/>
    </row>
    <row r="1575">
      <c r="A1575" s="32"/>
      <c r="B1575" s="32"/>
      <c r="C1575" s="32"/>
      <c r="D1575" s="33"/>
      <c r="E1575" s="33"/>
    </row>
    <row r="1576">
      <c r="A1576" s="32"/>
      <c r="B1576" s="32"/>
      <c r="C1576" s="32"/>
      <c r="D1576" s="33"/>
      <c r="E1576" s="33"/>
    </row>
    <row r="1577">
      <c r="A1577" s="32"/>
      <c r="B1577" s="32"/>
      <c r="C1577" s="32"/>
      <c r="D1577" s="33"/>
      <c r="E1577" s="33"/>
    </row>
    <row r="1578">
      <c r="A1578" s="32"/>
      <c r="B1578" s="32"/>
      <c r="C1578" s="32"/>
      <c r="D1578" s="33"/>
      <c r="E1578" s="33"/>
    </row>
    <row r="1579">
      <c r="A1579" s="32"/>
      <c r="B1579" s="32"/>
      <c r="C1579" s="32"/>
      <c r="D1579" s="33"/>
      <c r="E1579" s="33"/>
    </row>
    <row r="1580">
      <c r="A1580" s="32"/>
      <c r="B1580" s="32"/>
      <c r="C1580" s="32"/>
      <c r="D1580" s="33"/>
      <c r="E1580" s="33"/>
    </row>
    <row r="1581">
      <c r="A1581" s="32"/>
      <c r="B1581" s="32"/>
      <c r="C1581" s="32"/>
      <c r="D1581" s="33"/>
      <c r="E1581" s="33"/>
    </row>
    <row r="1582">
      <c r="A1582" s="32"/>
      <c r="B1582" s="32"/>
      <c r="C1582" s="32"/>
      <c r="D1582" s="33"/>
      <c r="E1582" s="33"/>
    </row>
    <row r="1583">
      <c r="A1583" s="32"/>
      <c r="B1583" s="32"/>
      <c r="C1583" s="32"/>
      <c r="D1583" s="33"/>
      <c r="E1583" s="33"/>
    </row>
    <row r="1584">
      <c r="A1584" s="32"/>
      <c r="B1584" s="32"/>
      <c r="C1584" s="32"/>
      <c r="D1584" s="33"/>
      <c r="E1584" s="33"/>
    </row>
    <row r="1585">
      <c r="A1585" s="32"/>
      <c r="B1585" s="32"/>
      <c r="C1585" s="32"/>
      <c r="D1585" s="33"/>
      <c r="E1585" s="33"/>
    </row>
    <row r="1586">
      <c r="A1586" s="32"/>
      <c r="B1586" s="32"/>
      <c r="C1586" s="32"/>
      <c r="D1586" s="33"/>
      <c r="E1586" s="33"/>
    </row>
    <row r="1587">
      <c r="A1587" s="32"/>
      <c r="B1587" s="32"/>
      <c r="C1587" s="32"/>
      <c r="D1587" s="33"/>
      <c r="E1587" s="33"/>
    </row>
    <row r="1588">
      <c r="A1588" s="32"/>
      <c r="B1588" s="32"/>
      <c r="C1588" s="32"/>
      <c r="D1588" s="33"/>
      <c r="E1588" s="33"/>
    </row>
    <row r="1589">
      <c r="A1589" s="32"/>
      <c r="B1589" s="32"/>
      <c r="C1589" s="32"/>
      <c r="D1589" s="33"/>
      <c r="E1589" s="33"/>
    </row>
    <row r="1590">
      <c r="A1590" s="32"/>
      <c r="B1590" s="32"/>
      <c r="C1590" s="32"/>
      <c r="D1590" s="33"/>
      <c r="E1590" s="33"/>
    </row>
    <row r="1591">
      <c r="A1591" s="32"/>
      <c r="B1591" s="32"/>
      <c r="C1591" s="32"/>
      <c r="D1591" s="33"/>
      <c r="E1591" s="33"/>
    </row>
    <row r="1592">
      <c r="A1592" s="32"/>
      <c r="B1592" s="32"/>
      <c r="C1592" s="32"/>
      <c r="D1592" s="33"/>
      <c r="E1592" s="33"/>
    </row>
    <row r="1593">
      <c r="A1593" s="32"/>
      <c r="B1593" s="32"/>
      <c r="C1593" s="32"/>
      <c r="D1593" s="33"/>
      <c r="E1593" s="33"/>
    </row>
    <row r="1594">
      <c r="A1594" s="32"/>
      <c r="B1594" s="32"/>
      <c r="C1594" s="32"/>
      <c r="D1594" s="33"/>
      <c r="E1594" s="33"/>
    </row>
    <row r="1595">
      <c r="A1595" s="32"/>
      <c r="B1595" s="32"/>
      <c r="C1595" s="32"/>
      <c r="D1595" s="33"/>
      <c r="E1595" s="33"/>
    </row>
    <row r="1596">
      <c r="A1596" s="32"/>
      <c r="B1596" s="32"/>
      <c r="C1596" s="32"/>
      <c r="D1596" s="33"/>
      <c r="E1596" s="33"/>
    </row>
    <row r="1597">
      <c r="A1597" s="32"/>
      <c r="B1597" s="32"/>
      <c r="C1597" s="32"/>
      <c r="D1597" s="33"/>
      <c r="E1597" s="33"/>
    </row>
    <row r="1598">
      <c r="A1598" s="32"/>
      <c r="B1598" s="32"/>
      <c r="C1598" s="32"/>
      <c r="D1598" s="33"/>
      <c r="E1598" s="33"/>
    </row>
    <row r="1599">
      <c r="A1599" s="32"/>
      <c r="B1599" s="32"/>
      <c r="C1599" s="32"/>
      <c r="D1599" s="33"/>
      <c r="E1599" s="33"/>
    </row>
    <row r="1600">
      <c r="A1600" s="32"/>
      <c r="B1600" s="32"/>
      <c r="C1600" s="32"/>
      <c r="D1600" s="33"/>
      <c r="E1600" s="33"/>
    </row>
    <row r="1601">
      <c r="A1601" s="32"/>
      <c r="B1601" s="32"/>
      <c r="C1601" s="32"/>
      <c r="D1601" s="33"/>
      <c r="E1601" s="33"/>
    </row>
    <row r="1602">
      <c r="A1602" s="32"/>
      <c r="B1602" s="32"/>
      <c r="C1602" s="32"/>
      <c r="D1602" s="33"/>
      <c r="E1602" s="33"/>
    </row>
    <row r="1603">
      <c r="A1603" s="32"/>
      <c r="B1603" s="32"/>
      <c r="C1603" s="32"/>
      <c r="D1603" s="33"/>
      <c r="E1603" s="33"/>
    </row>
    <row r="1604">
      <c r="A1604" s="32"/>
      <c r="B1604" s="32"/>
      <c r="C1604" s="32"/>
      <c r="D1604" s="33"/>
      <c r="E1604" s="33"/>
    </row>
    <row r="1605">
      <c r="A1605" s="32"/>
      <c r="B1605" s="32"/>
      <c r="C1605" s="32"/>
      <c r="D1605" s="33"/>
      <c r="E1605" s="33"/>
    </row>
    <row r="1606">
      <c r="A1606" s="32"/>
      <c r="B1606" s="32"/>
      <c r="C1606" s="32"/>
      <c r="D1606" s="33"/>
      <c r="E1606" s="33"/>
    </row>
    <row r="1607">
      <c r="A1607" s="32"/>
      <c r="B1607" s="32"/>
      <c r="C1607" s="32"/>
      <c r="D1607" s="33"/>
      <c r="E1607" s="33"/>
    </row>
    <row r="1608">
      <c r="A1608" s="32"/>
      <c r="B1608" s="32"/>
      <c r="C1608" s="32"/>
      <c r="D1608" s="33"/>
      <c r="E1608" s="33"/>
    </row>
    <row r="1609">
      <c r="A1609" s="32"/>
      <c r="B1609" s="32"/>
      <c r="C1609" s="32"/>
      <c r="D1609" s="33"/>
      <c r="E1609" s="33"/>
    </row>
    <row r="1610">
      <c r="A1610" s="32"/>
      <c r="B1610" s="32"/>
      <c r="C1610" s="32"/>
      <c r="D1610" s="33"/>
      <c r="E1610" s="33"/>
    </row>
    <row r="1611">
      <c r="A1611" s="32"/>
      <c r="B1611" s="32"/>
      <c r="C1611" s="32"/>
      <c r="D1611" s="33"/>
      <c r="E1611" s="33"/>
    </row>
    <row r="1612">
      <c r="A1612" s="32"/>
      <c r="B1612" s="32"/>
      <c r="C1612" s="32"/>
      <c r="D1612" s="33"/>
      <c r="E1612" s="33"/>
    </row>
    <row r="1613">
      <c r="A1613" s="32"/>
      <c r="B1613" s="32"/>
      <c r="C1613" s="32"/>
      <c r="D1613" s="33"/>
      <c r="E1613" s="33"/>
    </row>
    <row r="1614">
      <c r="A1614" s="32"/>
      <c r="B1614" s="32"/>
      <c r="C1614" s="32"/>
      <c r="D1614" s="33"/>
      <c r="E1614" s="33"/>
    </row>
    <row r="1615">
      <c r="A1615" s="32"/>
      <c r="B1615" s="32"/>
      <c r="C1615" s="32"/>
      <c r="D1615" s="33"/>
      <c r="E1615" s="33"/>
    </row>
    <row r="1616">
      <c r="A1616" s="32"/>
      <c r="B1616" s="32"/>
      <c r="C1616" s="32"/>
      <c r="D1616" s="33"/>
      <c r="E1616" s="33"/>
    </row>
    <row r="1617">
      <c r="A1617" s="32"/>
      <c r="B1617" s="32"/>
      <c r="C1617" s="32"/>
      <c r="D1617" s="33"/>
      <c r="E1617" s="33"/>
    </row>
    <row r="1618">
      <c r="A1618" s="32"/>
      <c r="B1618" s="32"/>
      <c r="C1618" s="32"/>
      <c r="D1618" s="33"/>
      <c r="E1618" s="33"/>
    </row>
    <row r="1619">
      <c r="A1619" s="32"/>
      <c r="B1619" s="32"/>
      <c r="C1619" s="32"/>
      <c r="D1619" s="33"/>
      <c r="E1619" s="33"/>
    </row>
    <row r="1620">
      <c r="A1620" s="32"/>
      <c r="B1620" s="32"/>
      <c r="C1620" s="32"/>
      <c r="D1620" s="33"/>
      <c r="E1620" s="33"/>
    </row>
    <row r="1621">
      <c r="A1621" s="32"/>
      <c r="B1621" s="32"/>
      <c r="C1621" s="32"/>
      <c r="D1621" s="33"/>
      <c r="E1621" s="33"/>
    </row>
    <row r="1622">
      <c r="A1622" s="32"/>
      <c r="B1622" s="32"/>
      <c r="C1622" s="32"/>
      <c r="D1622" s="33"/>
      <c r="E1622" s="33"/>
    </row>
    <row r="1623">
      <c r="A1623" s="32"/>
      <c r="B1623" s="32"/>
      <c r="C1623" s="32"/>
      <c r="D1623" s="33"/>
      <c r="E1623" s="33"/>
    </row>
    <row r="1624">
      <c r="A1624" s="32"/>
      <c r="B1624" s="32"/>
      <c r="C1624" s="32"/>
      <c r="D1624" s="33"/>
      <c r="E1624" s="33"/>
    </row>
    <row r="1625">
      <c r="A1625" s="32"/>
      <c r="B1625" s="32"/>
      <c r="C1625" s="32"/>
      <c r="D1625" s="33"/>
      <c r="E1625" s="33"/>
    </row>
    <row r="1626">
      <c r="A1626" s="32"/>
      <c r="B1626" s="32"/>
      <c r="C1626" s="32"/>
      <c r="D1626" s="33"/>
      <c r="E1626" s="33"/>
    </row>
    <row r="1627">
      <c r="A1627" s="32"/>
      <c r="B1627" s="32"/>
      <c r="C1627" s="32"/>
      <c r="D1627" s="33"/>
      <c r="E1627" s="33"/>
    </row>
    <row r="1628">
      <c r="A1628" s="32"/>
      <c r="B1628" s="32"/>
      <c r="C1628" s="32"/>
      <c r="D1628" s="33"/>
      <c r="E1628" s="33"/>
    </row>
    <row r="1629">
      <c r="A1629" s="32"/>
      <c r="B1629" s="32"/>
      <c r="C1629" s="32"/>
      <c r="D1629" s="33"/>
      <c r="E1629" s="33"/>
    </row>
    <row r="1630">
      <c r="A1630" s="32"/>
      <c r="B1630" s="32"/>
      <c r="C1630" s="32"/>
      <c r="D1630" s="33"/>
      <c r="E1630" s="33"/>
    </row>
    <row r="1631">
      <c r="A1631" s="32"/>
      <c r="B1631" s="32"/>
      <c r="C1631" s="32"/>
      <c r="D1631" s="33"/>
      <c r="E1631" s="33"/>
    </row>
    <row r="1632">
      <c r="A1632" s="32"/>
      <c r="B1632" s="32"/>
      <c r="C1632" s="32"/>
      <c r="D1632" s="33"/>
      <c r="E1632" s="33"/>
    </row>
    <row r="1633">
      <c r="A1633" s="32"/>
      <c r="B1633" s="32"/>
      <c r="C1633" s="32"/>
      <c r="D1633" s="33"/>
      <c r="E1633" s="33"/>
    </row>
    <row r="1634">
      <c r="A1634" s="32"/>
      <c r="B1634" s="32"/>
      <c r="C1634" s="32"/>
      <c r="D1634" s="33"/>
      <c r="E1634" s="33"/>
    </row>
    <row r="1635">
      <c r="A1635" s="32"/>
      <c r="B1635" s="32"/>
      <c r="C1635" s="32"/>
      <c r="D1635" s="33"/>
      <c r="E1635" s="33"/>
    </row>
    <row r="1636">
      <c r="A1636" s="32"/>
      <c r="B1636" s="32"/>
      <c r="C1636" s="32"/>
      <c r="D1636" s="33"/>
      <c r="E1636" s="33"/>
    </row>
    <row r="1637">
      <c r="A1637" s="32"/>
      <c r="B1637" s="32"/>
      <c r="C1637" s="32"/>
      <c r="D1637" s="33"/>
      <c r="E1637" s="33"/>
    </row>
    <row r="1638">
      <c r="A1638" s="32"/>
      <c r="B1638" s="32"/>
      <c r="C1638" s="32"/>
      <c r="D1638" s="33"/>
      <c r="E1638" s="33"/>
    </row>
    <row r="1639">
      <c r="A1639" s="32"/>
      <c r="B1639" s="32"/>
      <c r="C1639" s="32"/>
      <c r="D1639" s="33"/>
      <c r="E1639" s="33"/>
    </row>
    <row r="1640">
      <c r="A1640" s="32"/>
      <c r="B1640" s="32"/>
      <c r="C1640" s="32"/>
      <c r="D1640" s="33"/>
      <c r="E1640" s="33"/>
    </row>
    <row r="1641">
      <c r="A1641" s="32"/>
      <c r="B1641" s="32"/>
      <c r="C1641" s="32"/>
      <c r="D1641" s="33"/>
      <c r="E1641" s="33"/>
    </row>
    <row r="1642">
      <c r="A1642" s="32"/>
      <c r="B1642" s="32"/>
      <c r="C1642" s="32"/>
      <c r="D1642" s="33"/>
      <c r="E1642" s="33"/>
    </row>
    <row r="1643">
      <c r="A1643" s="32"/>
      <c r="B1643" s="32"/>
      <c r="C1643" s="32"/>
      <c r="D1643" s="33"/>
      <c r="E1643" s="33"/>
    </row>
    <row r="1644">
      <c r="A1644" s="32"/>
      <c r="B1644" s="32"/>
      <c r="C1644" s="32"/>
      <c r="D1644" s="33"/>
      <c r="E1644" s="33"/>
    </row>
    <row r="1645">
      <c r="A1645" s="32"/>
      <c r="B1645" s="32"/>
      <c r="C1645" s="32"/>
      <c r="D1645" s="33"/>
      <c r="E1645" s="33"/>
    </row>
    <row r="1646">
      <c r="A1646" s="32"/>
      <c r="B1646" s="32"/>
      <c r="C1646" s="32"/>
      <c r="D1646" s="33"/>
      <c r="E1646" s="33"/>
    </row>
    <row r="1647">
      <c r="A1647" s="32"/>
      <c r="B1647" s="32"/>
      <c r="C1647" s="32"/>
      <c r="D1647" s="33"/>
      <c r="E1647" s="33"/>
    </row>
    <row r="1648">
      <c r="A1648" s="32"/>
      <c r="B1648" s="32"/>
      <c r="C1648" s="32"/>
      <c r="D1648" s="33"/>
      <c r="E1648" s="33"/>
    </row>
    <row r="1649">
      <c r="A1649" s="32"/>
      <c r="B1649" s="32"/>
      <c r="C1649" s="32"/>
      <c r="D1649" s="33"/>
      <c r="E1649" s="33"/>
    </row>
    <row r="1650">
      <c r="A1650" s="32"/>
      <c r="B1650" s="32"/>
      <c r="C1650" s="32"/>
      <c r="D1650" s="33"/>
      <c r="E1650" s="33"/>
    </row>
    <row r="1651">
      <c r="A1651" s="32"/>
      <c r="B1651" s="32"/>
      <c r="C1651" s="32"/>
      <c r="D1651" s="33"/>
      <c r="E1651" s="33"/>
    </row>
    <row r="1652">
      <c r="A1652" s="32"/>
      <c r="B1652" s="32"/>
      <c r="C1652" s="32"/>
      <c r="D1652" s="33"/>
      <c r="E1652" s="33"/>
    </row>
    <row r="1653">
      <c r="A1653" s="32"/>
      <c r="B1653" s="32"/>
      <c r="C1653" s="32"/>
      <c r="D1653" s="33"/>
      <c r="E1653" s="33"/>
    </row>
    <row r="1654">
      <c r="A1654" s="32"/>
      <c r="B1654" s="32"/>
      <c r="C1654" s="32"/>
      <c r="D1654" s="33"/>
      <c r="E1654" s="33"/>
    </row>
    <row r="1655">
      <c r="A1655" s="32"/>
      <c r="B1655" s="32"/>
      <c r="C1655" s="32"/>
      <c r="D1655" s="33"/>
      <c r="E1655" s="33"/>
    </row>
    <row r="1656">
      <c r="A1656" s="32"/>
      <c r="B1656" s="32"/>
      <c r="C1656" s="32"/>
      <c r="D1656" s="33"/>
      <c r="E1656" s="33"/>
    </row>
    <row r="1657">
      <c r="A1657" s="32"/>
      <c r="B1657" s="32"/>
      <c r="C1657" s="32"/>
      <c r="D1657" s="33"/>
      <c r="E1657" s="33"/>
    </row>
    <row r="1658">
      <c r="A1658" s="32"/>
      <c r="B1658" s="32"/>
      <c r="C1658" s="32"/>
      <c r="D1658" s="33"/>
      <c r="E1658" s="33"/>
    </row>
    <row r="1659">
      <c r="A1659" s="32"/>
      <c r="B1659" s="32"/>
      <c r="C1659" s="32"/>
      <c r="D1659" s="33"/>
      <c r="E1659" s="33"/>
    </row>
    <row r="1660">
      <c r="A1660" s="32"/>
      <c r="B1660" s="32"/>
      <c r="C1660" s="32"/>
      <c r="D1660" s="33"/>
      <c r="E1660" s="33"/>
    </row>
    <row r="1661">
      <c r="A1661" s="32"/>
      <c r="B1661" s="32"/>
      <c r="C1661" s="32"/>
      <c r="D1661" s="33"/>
      <c r="E1661" s="33"/>
    </row>
    <row r="1662">
      <c r="A1662" s="32"/>
      <c r="B1662" s="32"/>
      <c r="C1662" s="32"/>
      <c r="D1662" s="33"/>
      <c r="E1662" s="33"/>
    </row>
    <row r="1663">
      <c r="A1663" s="32"/>
      <c r="B1663" s="32"/>
      <c r="C1663" s="32"/>
      <c r="D1663" s="33"/>
      <c r="E1663" s="33"/>
    </row>
    <row r="1664">
      <c r="A1664" s="32"/>
      <c r="B1664" s="32"/>
      <c r="C1664" s="32"/>
      <c r="D1664" s="33"/>
      <c r="E1664" s="33"/>
    </row>
    <row r="1665">
      <c r="A1665" s="32"/>
      <c r="B1665" s="32"/>
      <c r="C1665" s="32"/>
      <c r="D1665" s="33"/>
      <c r="E1665" s="33"/>
    </row>
    <row r="1666">
      <c r="A1666" s="32"/>
      <c r="B1666" s="32"/>
      <c r="C1666" s="32"/>
      <c r="D1666" s="33"/>
      <c r="E1666" s="33"/>
    </row>
    <row r="1667">
      <c r="A1667" s="32"/>
      <c r="B1667" s="32"/>
      <c r="C1667" s="32"/>
      <c r="D1667" s="33"/>
      <c r="E1667" s="33"/>
    </row>
    <row r="1668">
      <c r="A1668" s="32"/>
      <c r="B1668" s="32"/>
      <c r="C1668" s="32"/>
      <c r="D1668" s="33"/>
      <c r="E1668" s="33"/>
    </row>
    <row r="1669">
      <c r="A1669" s="32"/>
      <c r="B1669" s="32"/>
      <c r="C1669" s="32"/>
      <c r="D1669" s="33"/>
      <c r="E1669" s="33"/>
    </row>
    <row r="1670">
      <c r="A1670" s="32"/>
      <c r="B1670" s="32"/>
      <c r="C1670" s="32"/>
      <c r="D1670" s="33"/>
      <c r="E1670" s="33"/>
    </row>
    <row r="1671">
      <c r="A1671" s="32"/>
      <c r="B1671" s="32"/>
      <c r="C1671" s="32"/>
      <c r="D1671" s="33"/>
      <c r="E1671" s="33"/>
    </row>
    <row r="1672">
      <c r="A1672" s="32"/>
      <c r="B1672" s="32"/>
      <c r="C1672" s="32"/>
      <c r="D1672" s="33"/>
      <c r="E1672" s="33"/>
    </row>
    <row r="1673">
      <c r="A1673" s="32"/>
      <c r="B1673" s="32"/>
      <c r="C1673" s="32"/>
      <c r="D1673" s="33"/>
      <c r="E1673" s="33"/>
    </row>
    <row r="1674">
      <c r="A1674" s="32"/>
      <c r="B1674" s="32"/>
      <c r="C1674" s="32"/>
      <c r="D1674" s="33"/>
      <c r="E1674" s="33"/>
    </row>
    <row r="1675">
      <c r="A1675" s="32"/>
      <c r="B1675" s="32"/>
      <c r="C1675" s="32"/>
      <c r="D1675" s="33"/>
      <c r="E1675" s="33"/>
    </row>
    <row r="1676">
      <c r="A1676" s="32"/>
      <c r="B1676" s="32"/>
      <c r="C1676" s="32"/>
      <c r="D1676" s="33"/>
      <c r="E1676" s="33"/>
    </row>
    <row r="1677">
      <c r="A1677" s="32"/>
      <c r="B1677" s="32"/>
      <c r="C1677" s="32"/>
      <c r="D1677" s="33"/>
      <c r="E1677" s="33"/>
    </row>
    <row r="1678">
      <c r="A1678" s="32"/>
      <c r="B1678" s="32"/>
      <c r="C1678" s="32"/>
      <c r="D1678" s="33"/>
      <c r="E1678" s="33"/>
    </row>
    <row r="1679">
      <c r="A1679" s="32"/>
      <c r="B1679" s="32"/>
      <c r="C1679" s="32"/>
      <c r="D1679" s="33"/>
      <c r="E1679" s="33"/>
    </row>
    <row r="1680">
      <c r="A1680" s="32"/>
      <c r="B1680" s="32"/>
      <c r="C1680" s="32"/>
      <c r="D1680" s="33"/>
      <c r="E1680" s="33"/>
    </row>
    <row r="1681">
      <c r="A1681" s="32"/>
      <c r="B1681" s="32"/>
      <c r="C1681" s="32"/>
      <c r="D1681" s="33"/>
      <c r="E1681" s="33"/>
    </row>
    <row r="1682">
      <c r="A1682" s="32"/>
      <c r="B1682" s="32"/>
      <c r="C1682" s="32"/>
      <c r="D1682" s="33"/>
      <c r="E1682" s="33"/>
    </row>
    <row r="1683">
      <c r="A1683" s="32"/>
      <c r="B1683" s="32"/>
      <c r="C1683" s="32"/>
      <c r="D1683" s="33"/>
      <c r="E1683" s="33"/>
    </row>
    <row r="1684">
      <c r="A1684" s="32"/>
      <c r="B1684" s="32"/>
      <c r="C1684" s="32"/>
      <c r="D1684" s="33"/>
      <c r="E1684" s="33"/>
    </row>
    <row r="1685">
      <c r="A1685" s="32"/>
      <c r="B1685" s="32"/>
      <c r="C1685" s="32"/>
      <c r="D1685" s="33"/>
      <c r="E1685" s="33"/>
    </row>
    <row r="1686">
      <c r="A1686" s="32"/>
      <c r="B1686" s="32"/>
      <c r="C1686" s="32"/>
      <c r="D1686" s="33"/>
      <c r="E1686" s="33"/>
    </row>
    <row r="1687">
      <c r="A1687" s="32"/>
      <c r="B1687" s="32"/>
      <c r="C1687" s="32"/>
      <c r="D1687" s="33"/>
      <c r="E1687" s="33"/>
    </row>
    <row r="1688">
      <c r="A1688" s="32"/>
      <c r="B1688" s="32"/>
      <c r="C1688" s="32"/>
      <c r="D1688" s="33"/>
      <c r="E1688" s="33"/>
    </row>
    <row r="1689">
      <c r="A1689" s="32"/>
      <c r="B1689" s="32"/>
      <c r="C1689" s="32"/>
      <c r="D1689" s="33"/>
      <c r="E1689" s="33"/>
    </row>
    <row r="1690">
      <c r="A1690" s="32"/>
      <c r="B1690" s="32"/>
      <c r="C1690" s="32"/>
      <c r="D1690" s="33"/>
      <c r="E1690" s="33"/>
    </row>
    <row r="1691">
      <c r="A1691" s="32"/>
      <c r="B1691" s="32"/>
      <c r="C1691" s="32"/>
      <c r="D1691" s="33"/>
      <c r="E1691" s="33"/>
    </row>
    <row r="1692">
      <c r="A1692" s="32"/>
      <c r="B1692" s="32"/>
      <c r="C1692" s="32"/>
      <c r="D1692" s="33"/>
      <c r="E1692" s="33"/>
    </row>
    <row r="1693">
      <c r="A1693" s="32"/>
      <c r="B1693" s="32"/>
      <c r="C1693" s="32"/>
      <c r="D1693" s="33"/>
      <c r="E1693" s="33"/>
    </row>
    <row r="1694">
      <c r="A1694" s="32"/>
      <c r="B1694" s="32"/>
      <c r="C1694" s="32"/>
      <c r="D1694" s="33"/>
      <c r="E1694" s="33"/>
    </row>
    <row r="1695">
      <c r="A1695" s="32"/>
      <c r="B1695" s="32"/>
      <c r="C1695" s="32"/>
      <c r="D1695" s="33"/>
      <c r="E1695" s="33"/>
    </row>
    <row r="1696">
      <c r="A1696" s="32"/>
      <c r="B1696" s="32"/>
      <c r="C1696" s="32"/>
      <c r="D1696" s="33"/>
      <c r="E1696" s="33"/>
    </row>
    <row r="1697">
      <c r="A1697" s="32"/>
      <c r="B1697" s="32"/>
      <c r="C1697" s="32"/>
      <c r="D1697" s="33"/>
      <c r="E1697" s="33"/>
    </row>
    <row r="1698">
      <c r="A1698" s="32"/>
      <c r="B1698" s="32"/>
      <c r="C1698" s="32"/>
      <c r="D1698" s="33"/>
      <c r="E1698" s="33"/>
    </row>
    <row r="1699">
      <c r="A1699" s="32"/>
      <c r="B1699" s="32"/>
      <c r="C1699" s="32"/>
      <c r="D1699" s="33"/>
      <c r="E1699" s="33"/>
    </row>
    <row r="1700">
      <c r="A1700" s="32"/>
      <c r="B1700" s="32"/>
      <c r="C1700" s="32"/>
      <c r="D1700" s="33"/>
      <c r="E1700" s="33"/>
    </row>
    <row r="1701">
      <c r="A1701" s="32"/>
      <c r="B1701" s="32"/>
      <c r="C1701" s="32"/>
      <c r="D1701" s="33"/>
      <c r="E1701" s="33"/>
    </row>
    <row r="1702">
      <c r="A1702" s="32"/>
      <c r="B1702" s="32"/>
      <c r="C1702" s="32"/>
      <c r="D1702" s="33"/>
      <c r="E1702" s="33"/>
    </row>
    <row r="1703">
      <c r="A1703" s="32"/>
      <c r="B1703" s="32"/>
      <c r="C1703" s="32"/>
      <c r="D1703" s="33"/>
      <c r="E1703" s="33"/>
    </row>
    <row r="1704">
      <c r="A1704" s="32"/>
      <c r="B1704" s="32"/>
      <c r="C1704" s="32"/>
      <c r="D1704" s="33"/>
      <c r="E1704" s="33"/>
    </row>
    <row r="1705">
      <c r="A1705" s="32"/>
      <c r="B1705" s="32"/>
      <c r="C1705" s="32"/>
      <c r="D1705" s="33"/>
      <c r="E1705" s="33"/>
    </row>
    <row r="1706">
      <c r="A1706" s="32"/>
      <c r="B1706" s="32"/>
      <c r="C1706" s="32"/>
      <c r="D1706" s="33"/>
      <c r="E1706" s="33"/>
    </row>
    <row r="1707">
      <c r="A1707" s="32"/>
      <c r="B1707" s="32"/>
      <c r="C1707" s="32"/>
      <c r="D1707" s="33"/>
      <c r="E1707" s="33"/>
    </row>
    <row r="1708">
      <c r="A1708" s="32"/>
      <c r="B1708" s="32"/>
      <c r="C1708" s="32"/>
      <c r="D1708" s="33"/>
      <c r="E1708" s="33"/>
    </row>
    <row r="1709">
      <c r="A1709" s="32"/>
      <c r="B1709" s="32"/>
      <c r="C1709" s="32"/>
      <c r="D1709" s="33"/>
      <c r="E1709" s="33"/>
    </row>
    <row r="1710">
      <c r="A1710" s="32"/>
      <c r="B1710" s="32"/>
      <c r="C1710" s="32"/>
      <c r="D1710" s="33"/>
      <c r="E1710" s="33"/>
    </row>
    <row r="1711">
      <c r="A1711" s="32"/>
      <c r="B1711" s="32"/>
      <c r="C1711" s="32"/>
      <c r="D1711" s="33"/>
      <c r="E1711" s="33"/>
    </row>
    <row r="1712">
      <c r="A1712" s="32"/>
      <c r="B1712" s="32"/>
      <c r="C1712" s="32"/>
      <c r="D1712" s="33"/>
      <c r="E1712" s="33"/>
    </row>
    <row r="1713">
      <c r="A1713" s="32"/>
      <c r="B1713" s="32"/>
      <c r="C1713" s="32"/>
      <c r="D1713" s="33"/>
      <c r="E1713" s="33"/>
    </row>
    <row r="1714">
      <c r="A1714" s="32"/>
      <c r="B1714" s="32"/>
      <c r="C1714" s="32"/>
      <c r="D1714" s="33"/>
      <c r="E1714" s="33"/>
    </row>
    <row r="1715">
      <c r="A1715" s="32"/>
      <c r="B1715" s="32"/>
      <c r="C1715" s="32"/>
      <c r="D1715" s="33"/>
      <c r="E1715" s="33"/>
    </row>
    <row r="1716">
      <c r="A1716" s="32"/>
      <c r="B1716" s="32"/>
      <c r="C1716" s="32"/>
      <c r="D1716" s="33"/>
      <c r="E1716" s="33"/>
    </row>
    <row r="1717">
      <c r="A1717" s="32"/>
      <c r="B1717" s="32"/>
      <c r="C1717" s="32"/>
      <c r="D1717" s="33"/>
      <c r="E1717" s="33"/>
    </row>
    <row r="1718">
      <c r="A1718" s="32"/>
      <c r="B1718" s="32"/>
      <c r="C1718" s="32"/>
      <c r="D1718" s="33"/>
      <c r="E1718" s="33"/>
    </row>
    <row r="1719">
      <c r="A1719" s="32"/>
      <c r="B1719" s="32"/>
      <c r="C1719" s="32"/>
      <c r="D1719" s="33"/>
      <c r="E1719" s="33"/>
    </row>
    <row r="1720">
      <c r="A1720" s="32"/>
      <c r="B1720" s="32"/>
      <c r="C1720" s="32"/>
      <c r="D1720" s="33"/>
      <c r="E1720" s="33"/>
    </row>
    <row r="1721">
      <c r="A1721" s="32"/>
      <c r="B1721" s="32"/>
      <c r="C1721" s="32"/>
      <c r="D1721" s="33"/>
      <c r="E1721" s="33"/>
    </row>
    <row r="1722">
      <c r="A1722" s="32"/>
      <c r="B1722" s="32"/>
      <c r="C1722" s="32"/>
      <c r="D1722" s="33"/>
      <c r="E1722" s="33"/>
    </row>
    <row r="1723">
      <c r="A1723" s="32"/>
      <c r="B1723" s="32"/>
      <c r="C1723" s="32"/>
      <c r="D1723" s="33"/>
      <c r="E1723" s="33"/>
    </row>
    <row r="1724">
      <c r="A1724" s="32"/>
      <c r="B1724" s="32"/>
      <c r="C1724" s="32"/>
      <c r="D1724" s="33"/>
      <c r="E1724" s="33"/>
    </row>
    <row r="1725">
      <c r="A1725" s="32"/>
      <c r="B1725" s="32"/>
      <c r="C1725" s="32"/>
      <c r="D1725" s="33"/>
      <c r="E1725" s="33"/>
    </row>
    <row r="1726">
      <c r="A1726" s="32"/>
      <c r="B1726" s="32"/>
      <c r="C1726" s="32"/>
      <c r="D1726" s="33"/>
      <c r="E1726" s="33"/>
    </row>
    <row r="1727">
      <c r="A1727" s="32"/>
      <c r="B1727" s="32"/>
      <c r="C1727" s="32"/>
      <c r="D1727" s="33"/>
      <c r="E1727" s="33"/>
    </row>
    <row r="1728">
      <c r="A1728" s="32"/>
      <c r="B1728" s="32"/>
      <c r="C1728" s="32"/>
      <c r="D1728" s="33"/>
      <c r="E1728" s="33"/>
    </row>
    <row r="1729">
      <c r="A1729" s="32"/>
      <c r="B1729" s="32"/>
      <c r="C1729" s="32"/>
      <c r="D1729" s="33"/>
      <c r="E1729" s="33"/>
    </row>
    <row r="1730">
      <c r="A1730" s="32"/>
      <c r="B1730" s="32"/>
      <c r="C1730" s="32"/>
      <c r="D1730" s="33"/>
      <c r="E1730" s="33"/>
    </row>
    <row r="1731">
      <c r="A1731" s="32"/>
      <c r="B1731" s="32"/>
      <c r="C1731" s="32"/>
      <c r="D1731" s="33"/>
      <c r="E1731" s="33"/>
    </row>
    <row r="1732">
      <c r="A1732" s="32"/>
      <c r="B1732" s="32"/>
      <c r="C1732" s="32"/>
      <c r="D1732" s="33"/>
      <c r="E1732" s="33"/>
    </row>
    <row r="1733">
      <c r="A1733" s="32"/>
      <c r="B1733" s="32"/>
      <c r="C1733" s="32"/>
      <c r="D1733" s="33"/>
      <c r="E1733" s="33"/>
    </row>
    <row r="1734">
      <c r="A1734" s="32"/>
      <c r="B1734" s="32"/>
      <c r="C1734" s="32"/>
      <c r="D1734" s="33"/>
      <c r="E1734" s="33"/>
    </row>
    <row r="1735">
      <c r="A1735" s="32"/>
      <c r="B1735" s="32"/>
      <c r="C1735" s="32"/>
      <c r="D1735" s="33"/>
      <c r="E1735" s="33"/>
    </row>
    <row r="1736">
      <c r="A1736" s="32"/>
      <c r="B1736" s="32"/>
      <c r="C1736" s="32"/>
      <c r="D1736" s="33"/>
      <c r="E1736" s="33"/>
    </row>
    <row r="1737">
      <c r="A1737" s="32"/>
      <c r="B1737" s="32"/>
      <c r="C1737" s="32"/>
      <c r="D1737" s="33"/>
      <c r="E1737" s="33"/>
    </row>
    <row r="1738">
      <c r="A1738" s="32"/>
      <c r="B1738" s="32"/>
      <c r="C1738" s="32"/>
      <c r="D1738" s="33"/>
      <c r="E1738" s="33"/>
    </row>
    <row r="1739">
      <c r="A1739" s="32"/>
      <c r="B1739" s="32"/>
      <c r="C1739" s="32"/>
      <c r="D1739" s="33"/>
      <c r="E1739" s="33"/>
    </row>
    <row r="1740">
      <c r="A1740" s="32"/>
      <c r="B1740" s="32"/>
      <c r="C1740" s="32"/>
      <c r="D1740" s="33"/>
      <c r="E1740" s="33"/>
    </row>
    <row r="1741">
      <c r="A1741" s="32"/>
      <c r="B1741" s="32"/>
      <c r="C1741" s="32"/>
      <c r="D1741" s="33"/>
      <c r="E1741" s="33"/>
    </row>
    <row r="1742">
      <c r="A1742" s="32"/>
      <c r="B1742" s="32"/>
      <c r="C1742" s="32"/>
      <c r="D1742" s="33"/>
      <c r="E1742" s="33"/>
    </row>
    <row r="1743">
      <c r="A1743" s="32"/>
      <c r="B1743" s="32"/>
      <c r="C1743" s="32"/>
      <c r="D1743" s="33"/>
      <c r="E1743" s="33"/>
    </row>
    <row r="1744">
      <c r="A1744" s="32"/>
      <c r="B1744" s="32"/>
      <c r="C1744" s="32"/>
      <c r="D1744" s="33"/>
      <c r="E1744" s="33"/>
    </row>
    <row r="1745">
      <c r="A1745" s="32"/>
      <c r="B1745" s="32"/>
      <c r="C1745" s="32"/>
      <c r="D1745" s="33"/>
      <c r="E1745" s="33"/>
    </row>
    <row r="1746">
      <c r="A1746" s="32"/>
      <c r="B1746" s="32"/>
      <c r="C1746" s="32"/>
      <c r="D1746" s="33"/>
      <c r="E1746" s="33"/>
    </row>
    <row r="1747">
      <c r="A1747" s="32"/>
      <c r="B1747" s="32"/>
      <c r="C1747" s="32"/>
      <c r="D1747" s="33"/>
      <c r="E1747" s="33"/>
    </row>
    <row r="1748">
      <c r="A1748" s="32"/>
      <c r="B1748" s="32"/>
      <c r="C1748" s="32"/>
      <c r="D1748" s="33"/>
      <c r="E1748" s="33"/>
    </row>
    <row r="1749">
      <c r="A1749" s="32"/>
      <c r="B1749" s="32"/>
      <c r="C1749" s="32"/>
      <c r="D1749" s="33"/>
      <c r="E1749" s="33"/>
    </row>
    <row r="1750">
      <c r="A1750" s="32"/>
      <c r="B1750" s="32"/>
      <c r="C1750" s="32"/>
      <c r="D1750" s="33"/>
      <c r="E1750" s="33"/>
    </row>
    <row r="1751">
      <c r="A1751" s="32"/>
      <c r="B1751" s="32"/>
      <c r="C1751" s="32"/>
      <c r="D1751" s="33"/>
      <c r="E1751" s="33"/>
    </row>
    <row r="1752">
      <c r="A1752" s="32"/>
      <c r="B1752" s="32"/>
      <c r="C1752" s="32"/>
      <c r="D1752" s="33"/>
      <c r="E1752" s="33"/>
    </row>
    <row r="1753">
      <c r="A1753" s="32"/>
      <c r="B1753" s="32"/>
      <c r="C1753" s="32"/>
      <c r="D1753" s="33"/>
      <c r="E1753" s="33"/>
    </row>
    <row r="1754">
      <c r="A1754" s="32"/>
      <c r="B1754" s="32"/>
      <c r="C1754" s="32"/>
      <c r="D1754" s="33"/>
      <c r="E1754" s="33"/>
    </row>
    <row r="1755">
      <c r="A1755" s="32"/>
      <c r="B1755" s="32"/>
      <c r="C1755" s="32"/>
      <c r="D1755" s="33"/>
      <c r="E1755" s="33"/>
    </row>
    <row r="1756">
      <c r="A1756" s="32"/>
      <c r="B1756" s="32"/>
      <c r="C1756" s="32"/>
      <c r="D1756" s="33"/>
      <c r="E1756" s="33"/>
    </row>
    <row r="1757">
      <c r="A1757" s="32"/>
      <c r="B1757" s="32"/>
      <c r="C1757" s="32"/>
      <c r="D1757" s="33"/>
      <c r="E1757" s="33"/>
    </row>
    <row r="1758">
      <c r="A1758" s="32"/>
      <c r="B1758" s="32"/>
      <c r="C1758" s="32"/>
      <c r="D1758" s="33"/>
      <c r="E1758" s="33"/>
    </row>
    <row r="1759">
      <c r="A1759" s="32"/>
      <c r="B1759" s="32"/>
      <c r="C1759" s="32"/>
      <c r="D1759" s="33"/>
      <c r="E1759" s="33"/>
    </row>
    <row r="1760">
      <c r="A1760" s="32"/>
      <c r="B1760" s="32"/>
      <c r="C1760" s="32"/>
      <c r="D1760" s="33"/>
      <c r="E1760" s="33"/>
    </row>
    <row r="1761">
      <c r="A1761" s="32"/>
      <c r="B1761" s="32"/>
      <c r="C1761" s="32"/>
      <c r="D1761" s="33"/>
      <c r="E1761" s="33"/>
    </row>
    <row r="1762">
      <c r="A1762" s="32"/>
      <c r="B1762" s="32"/>
      <c r="C1762" s="32"/>
      <c r="D1762" s="33"/>
      <c r="E1762" s="33"/>
    </row>
    <row r="1763">
      <c r="A1763" s="32"/>
      <c r="B1763" s="32"/>
      <c r="C1763" s="32"/>
      <c r="D1763" s="33"/>
      <c r="E1763" s="33"/>
    </row>
    <row r="1764">
      <c r="A1764" s="32"/>
      <c r="B1764" s="32"/>
      <c r="C1764" s="32"/>
      <c r="D1764" s="33"/>
      <c r="E1764" s="33"/>
    </row>
    <row r="1765">
      <c r="A1765" s="32"/>
      <c r="B1765" s="32"/>
      <c r="C1765" s="32"/>
      <c r="D1765" s="33"/>
      <c r="E1765" s="33"/>
    </row>
    <row r="1766">
      <c r="A1766" s="32"/>
      <c r="B1766" s="32"/>
      <c r="C1766" s="32"/>
      <c r="D1766" s="33"/>
      <c r="E1766" s="33"/>
    </row>
    <row r="1767">
      <c r="A1767" s="32"/>
      <c r="B1767" s="32"/>
      <c r="C1767" s="32"/>
      <c r="D1767" s="33"/>
      <c r="E1767" s="33"/>
    </row>
    <row r="1768">
      <c r="A1768" s="32"/>
      <c r="B1768" s="32"/>
      <c r="C1768" s="32"/>
      <c r="D1768" s="33"/>
      <c r="E1768" s="33"/>
    </row>
    <row r="1769">
      <c r="A1769" s="32"/>
      <c r="B1769" s="32"/>
      <c r="C1769" s="32"/>
      <c r="D1769" s="33"/>
      <c r="E1769" s="33"/>
    </row>
    <row r="1770">
      <c r="A1770" s="32"/>
      <c r="B1770" s="32"/>
      <c r="C1770" s="32"/>
      <c r="D1770" s="33"/>
      <c r="E1770" s="33"/>
    </row>
    <row r="1771">
      <c r="A1771" s="32"/>
      <c r="B1771" s="32"/>
      <c r="C1771" s="32"/>
      <c r="D1771" s="33"/>
      <c r="E1771" s="33"/>
    </row>
    <row r="1772">
      <c r="A1772" s="32"/>
      <c r="B1772" s="32"/>
      <c r="C1772" s="32"/>
      <c r="D1772" s="33"/>
      <c r="E1772" s="33"/>
    </row>
    <row r="1773">
      <c r="A1773" s="32"/>
      <c r="B1773" s="32"/>
      <c r="C1773" s="32"/>
      <c r="D1773" s="33"/>
      <c r="E1773" s="33"/>
    </row>
    <row r="1774">
      <c r="A1774" s="32"/>
      <c r="B1774" s="32"/>
      <c r="C1774" s="32"/>
      <c r="D1774" s="33"/>
      <c r="E1774" s="33"/>
    </row>
    <row r="1775">
      <c r="A1775" s="32"/>
      <c r="B1775" s="32"/>
      <c r="C1775" s="32"/>
      <c r="D1775" s="33"/>
      <c r="E1775" s="33"/>
    </row>
    <row r="1776">
      <c r="A1776" s="32"/>
      <c r="B1776" s="32"/>
      <c r="C1776" s="32"/>
      <c r="D1776" s="33"/>
      <c r="E1776" s="33"/>
    </row>
    <row r="1777">
      <c r="A1777" s="32"/>
      <c r="B1777" s="32"/>
      <c r="C1777" s="32"/>
      <c r="D1777" s="33"/>
      <c r="E1777" s="33"/>
    </row>
    <row r="1778">
      <c r="A1778" s="32"/>
      <c r="B1778" s="32"/>
      <c r="C1778" s="32"/>
      <c r="D1778" s="33"/>
      <c r="E1778" s="33"/>
    </row>
    <row r="1779">
      <c r="A1779" s="32"/>
      <c r="B1779" s="32"/>
      <c r="C1779" s="32"/>
      <c r="D1779" s="33"/>
      <c r="E1779" s="33"/>
    </row>
    <row r="1780">
      <c r="A1780" s="32"/>
      <c r="B1780" s="32"/>
      <c r="C1780" s="32"/>
      <c r="D1780" s="33"/>
      <c r="E1780" s="33"/>
    </row>
    <row r="1781">
      <c r="A1781" s="32"/>
      <c r="B1781" s="32"/>
      <c r="C1781" s="32"/>
      <c r="D1781" s="33"/>
      <c r="E1781" s="33"/>
    </row>
    <row r="1782">
      <c r="A1782" s="32"/>
      <c r="B1782" s="32"/>
      <c r="C1782" s="32"/>
      <c r="D1782" s="33"/>
      <c r="E1782" s="33"/>
    </row>
    <row r="1783">
      <c r="A1783" s="32"/>
      <c r="B1783" s="32"/>
      <c r="C1783" s="32"/>
      <c r="D1783" s="33"/>
      <c r="E1783" s="33"/>
    </row>
    <row r="1784">
      <c r="A1784" s="32"/>
      <c r="B1784" s="32"/>
      <c r="C1784" s="32"/>
      <c r="D1784" s="33"/>
      <c r="E1784" s="33"/>
    </row>
    <row r="1785">
      <c r="A1785" s="32"/>
      <c r="B1785" s="32"/>
      <c r="C1785" s="32"/>
      <c r="D1785" s="33"/>
      <c r="E1785" s="33"/>
    </row>
    <row r="1786">
      <c r="A1786" s="32"/>
      <c r="B1786" s="32"/>
      <c r="C1786" s="32"/>
      <c r="D1786" s="33"/>
      <c r="E1786" s="33"/>
    </row>
    <row r="1787">
      <c r="A1787" s="32"/>
      <c r="B1787" s="32"/>
      <c r="C1787" s="32"/>
      <c r="D1787" s="33"/>
      <c r="E1787" s="33"/>
    </row>
    <row r="1788">
      <c r="A1788" s="32"/>
      <c r="B1788" s="32"/>
      <c r="C1788" s="32"/>
      <c r="D1788" s="33"/>
      <c r="E1788" s="33"/>
    </row>
    <row r="1789">
      <c r="A1789" s="32"/>
      <c r="B1789" s="32"/>
      <c r="C1789" s="32"/>
      <c r="D1789" s="33"/>
      <c r="E1789" s="33"/>
    </row>
    <row r="1790">
      <c r="A1790" s="32"/>
      <c r="B1790" s="32"/>
      <c r="C1790" s="32"/>
      <c r="D1790" s="33"/>
      <c r="E1790" s="33"/>
    </row>
    <row r="1791">
      <c r="A1791" s="32"/>
      <c r="B1791" s="32"/>
      <c r="C1791" s="32"/>
      <c r="D1791" s="33"/>
      <c r="E1791" s="33"/>
    </row>
    <row r="1792">
      <c r="A1792" s="32"/>
      <c r="B1792" s="32"/>
      <c r="C1792" s="32"/>
      <c r="D1792" s="33"/>
      <c r="E1792" s="33"/>
    </row>
    <row r="1793">
      <c r="A1793" s="32"/>
      <c r="B1793" s="32"/>
      <c r="C1793" s="32"/>
      <c r="D1793" s="33"/>
      <c r="E1793" s="33"/>
    </row>
    <row r="1794">
      <c r="A1794" s="32"/>
      <c r="B1794" s="32"/>
      <c r="C1794" s="32"/>
      <c r="D1794" s="33"/>
      <c r="E1794" s="33"/>
    </row>
    <row r="1795">
      <c r="A1795" s="32"/>
      <c r="B1795" s="32"/>
      <c r="C1795" s="32"/>
      <c r="D1795" s="33"/>
      <c r="E1795" s="33"/>
    </row>
    <row r="1796">
      <c r="A1796" s="32"/>
      <c r="B1796" s="32"/>
      <c r="C1796" s="32"/>
      <c r="D1796" s="33"/>
      <c r="E1796" s="33"/>
    </row>
    <row r="1797">
      <c r="A1797" s="32"/>
      <c r="B1797" s="32"/>
      <c r="C1797" s="32"/>
      <c r="D1797" s="33"/>
      <c r="E1797" s="33"/>
    </row>
    <row r="1798">
      <c r="A1798" s="32"/>
      <c r="B1798" s="32"/>
      <c r="C1798" s="32"/>
      <c r="D1798" s="33"/>
      <c r="E1798" s="33"/>
    </row>
    <row r="1799">
      <c r="A1799" s="32"/>
      <c r="B1799" s="32"/>
      <c r="C1799" s="32"/>
      <c r="D1799" s="33"/>
      <c r="E1799" s="33"/>
    </row>
    <row r="1800">
      <c r="A1800" s="32"/>
      <c r="B1800" s="32"/>
      <c r="C1800" s="32"/>
      <c r="D1800" s="33"/>
      <c r="E1800" s="33"/>
    </row>
    <row r="1801">
      <c r="A1801" s="32"/>
      <c r="B1801" s="32"/>
      <c r="C1801" s="32"/>
      <c r="D1801" s="33"/>
      <c r="E1801" s="33"/>
    </row>
    <row r="1802">
      <c r="A1802" s="32"/>
      <c r="B1802" s="32"/>
      <c r="C1802" s="32"/>
      <c r="D1802" s="33"/>
      <c r="E1802" s="33"/>
    </row>
    <row r="1803">
      <c r="A1803" s="32"/>
      <c r="B1803" s="32"/>
      <c r="C1803" s="32"/>
      <c r="D1803" s="33"/>
      <c r="E1803" s="33"/>
    </row>
    <row r="1804">
      <c r="A1804" s="32"/>
      <c r="B1804" s="32"/>
      <c r="C1804" s="32"/>
      <c r="D1804" s="33"/>
      <c r="E1804" s="33"/>
    </row>
    <row r="1805">
      <c r="A1805" s="32"/>
      <c r="B1805" s="32"/>
      <c r="C1805" s="32"/>
      <c r="D1805" s="33"/>
      <c r="E1805" s="33"/>
    </row>
    <row r="1806">
      <c r="A1806" s="32"/>
      <c r="B1806" s="32"/>
      <c r="C1806" s="32"/>
      <c r="D1806" s="33"/>
      <c r="E1806" s="33"/>
    </row>
    <row r="1807">
      <c r="A1807" s="32"/>
      <c r="B1807" s="32"/>
      <c r="C1807" s="32"/>
      <c r="D1807" s="33"/>
      <c r="E1807" s="33"/>
    </row>
    <row r="1808">
      <c r="A1808" s="32"/>
      <c r="B1808" s="32"/>
      <c r="C1808" s="32"/>
      <c r="D1808" s="33"/>
      <c r="E1808" s="33"/>
    </row>
    <row r="1809">
      <c r="A1809" s="32"/>
      <c r="B1809" s="32"/>
      <c r="C1809" s="32"/>
      <c r="D1809" s="33"/>
      <c r="E1809" s="33"/>
    </row>
    <row r="1810">
      <c r="A1810" s="32"/>
      <c r="B1810" s="32"/>
      <c r="C1810" s="32"/>
      <c r="D1810" s="33"/>
      <c r="E1810" s="33"/>
    </row>
    <row r="1811">
      <c r="A1811" s="32"/>
      <c r="B1811" s="32"/>
      <c r="C1811" s="32"/>
      <c r="D1811" s="33"/>
      <c r="E1811" s="33"/>
    </row>
    <row r="1812">
      <c r="A1812" s="32"/>
      <c r="B1812" s="32"/>
      <c r="C1812" s="32"/>
      <c r="D1812" s="33"/>
      <c r="E1812" s="33"/>
    </row>
    <row r="1813">
      <c r="A1813" s="32"/>
      <c r="B1813" s="32"/>
      <c r="C1813" s="32"/>
      <c r="D1813" s="33"/>
      <c r="E1813" s="33"/>
    </row>
    <row r="1814">
      <c r="A1814" s="32"/>
      <c r="B1814" s="32"/>
      <c r="C1814" s="32"/>
      <c r="D1814" s="33"/>
      <c r="E1814" s="33"/>
    </row>
    <row r="1815">
      <c r="A1815" s="32"/>
      <c r="B1815" s="32"/>
      <c r="C1815" s="32"/>
      <c r="D1815" s="33"/>
      <c r="E1815" s="33"/>
    </row>
    <row r="1816">
      <c r="A1816" s="32"/>
      <c r="B1816" s="32"/>
      <c r="C1816" s="32"/>
      <c r="D1816" s="33"/>
      <c r="E1816" s="33"/>
    </row>
    <row r="1817">
      <c r="A1817" s="32"/>
      <c r="B1817" s="32"/>
      <c r="C1817" s="32"/>
      <c r="D1817" s="33"/>
      <c r="E1817" s="33"/>
    </row>
    <row r="1818">
      <c r="A1818" s="32"/>
      <c r="B1818" s="32"/>
      <c r="C1818" s="32"/>
      <c r="D1818" s="33"/>
      <c r="E1818" s="33"/>
    </row>
    <row r="1819">
      <c r="A1819" s="32"/>
      <c r="B1819" s="32"/>
      <c r="C1819" s="32"/>
      <c r="D1819" s="33"/>
      <c r="E1819" s="33"/>
    </row>
    <row r="1820">
      <c r="A1820" s="32"/>
      <c r="B1820" s="32"/>
      <c r="C1820" s="32"/>
      <c r="D1820" s="33"/>
      <c r="E1820" s="33"/>
    </row>
    <row r="1821">
      <c r="A1821" s="32"/>
      <c r="B1821" s="32"/>
      <c r="C1821" s="32"/>
      <c r="D1821" s="33"/>
      <c r="E1821" s="33"/>
    </row>
    <row r="1822">
      <c r="A1822" s="32"/>
      <c r="B1822" s="32"/>
      <c r="C1822" s="32"/>
      <c r="D1822" s="33"/>
      <c r="E1822" s="33"/>
    </row>
    <row r="1823">
      <c r="A1823" s="32"/>
      <c r="B1823" s="32"/>
      <c r="C1823" s="32"/>
      <c r="D1823" s="33"/>
      <c r="E1823" s="33"/>
    </row>
    <row r="1824">
      <c r="A1824" s="32"/>
      <c r="B1824" s="32"/>
      <c r="C1824" s="32"/>
      <c r="D1824" s="33"/>
      <c r="E1824" s="33"/>
    </row>
    <row r="1825">
      <c r="A1825" s="32"/>
      <c r="B1825" s="32"/>
      <c r="C1825" s="32"/>
      <c r="D1825" s="33"/>
      <c r="E1825" s="33"/>
    </row>
    <row r="1826">
      <c r="A1826" s="32"/>
      <c r="B1826" s="32"/>
      <c r="C1826" s="32"/>
      <c r="D1826" s="33"/>
      <c r="E1826" s="33"/>
    </row>
    <row r="1827">
      <c r="A1827" s="32"/>
      <c r="B1827" s="32"/>
      <c r="C1827" s="32"/>
      <c r="D1827" s="33"/>
      <c r="E1827" s="33"/>
    </row>
    <row r="1828">
      <c r="A1828" s="32"/>
      <c r="B1828" s="32"/>
      <c r="C1828" s="32"/>
      <c r="D1828" s="33"/>
      <c r="E1828" s="33"/>
    </row>
    <row r="1829">
      <c r="A1829" s="32"/>
      <c r="B1829" s="32"/>
      <c r="C1829" s="32"/>
      <c r="D1829" s="33"/>
      <c r="E1829" s="33"/>
    </row>
    <row r="1830">
      <c r="A1830" s="32"/>
      <c r="B1830" s="32"/>
      <c r="C1830" s="32"/>
      <c r="D1830" s="33"/>
      <c r="E1830" s="33"/>
    </row>
    <row r="1831">
      <c r="A1831" s="32"/>
      <c r="B1831" s="32"/>
      <c r="C1831" s="32"/>
      <c r="D1831" s="33"/>
      <c r="E1831" s="33"/>
    </row>
    <row r="1832">
      <c r="A1832" s="32"/>
      <c r="B1832" s="32"/>
      <c r="C1832" s="32"/>
      <c r="D1832" s="33"/>
      <c r="E1832" s="33"/>
    </row>
    <row r="1833">
      <c r="A1833" s="32"/>
      <c r="B1833" s="32"/>
      <c r="C1833" s="32"/>
      <c r="D1833" s="33"/>
      <c r="E1833" s="33"/>
    </row>
    <row r="1834">
      <c r="A1834" s="32"/>
      <c r="B1834" s="32"/>
      <c r="C1834" s="32"/>
      <c r="D1834" s="33"/>
      <c r="E1834" s="33"/>
    </row>
    <row r="1835">
      <c r="A1835" s="32"/>
      <c r="B1835" s="32"/>
      <c r="C1835" s="32"/>
      <c r="D1835" s="33"/>
      <c r="E1835" s="33"/>
    </row>
    <row r="1836">
      <c r="A1836" s="32"/>
      <c r="B1836" s="32"/>
      <c r="C1836" s="32"/>
      <c r="D1836" s="33"/>
      <c r="E1836" s="33"/>
    </row>
    <row r="1837">
      <c r="A1837" s="32"/>
      <c r="B1837" s="32"/>
      <c r="C1837" s="32"/>
      <c r="D1837" s="33"/>
      <c r="E1837" s="33"/>
    </row>
    <row r="1838">
      <c r="A1838" s="32"/>
      <c r="B1838" s="32"/>
      <c r="C1838" s="32"/>
      <c r="D1838" s="33"/>
      <c r="E1838" s="33"/>
    </row>
    <row r="1839">
      <c r="A1839" s="32"/>
      <c r="B1839" s="32"/>
      <c r="C1839" s="32"/>
      <c r="D1839" s="33"/>
      <c r="E1839" s="33"/>
    </row>
    <row r="1840">
      <c r="A1840" s="32"/>
      <c r="B1840" s="32"/>
      <c r="C1840" s="32"/>
      <c r="D1840" s="33"/>
      <c r="E1840" s="33"/>
    </row>
    <row r="1841">
      <c r="A1841" s="32"/>
      <c r="B1841" s="32"/>
      <c r="C1841" s="32"/>
      <c r="D1841" s="33"/>
      <c r="E1841" s="33"/>
    </row>
    <row r="1842">
      <c r="A1842" s="32"/>
      <c r="B1842" s="32"/>
      <c r="C1842" s="32"/>
      <c r="D1842" s="33"/>
      <c r="E1842" s="33"/>
    </row>
    <row r="1843">
      <c r="A1843" s="32"/>
      <c r="B1843" s="32"/>
      <c r="C1843" s="32"/>
      <c r="D1843" s="33"/>
      <c r="E1843" s="33"/>
    </row>
    <row r="1844">
      <c r="A1844" s="32"/>
      <c r="B1844" s="32"/>
      <c r="C1844" s="32"/>
      <c r="D1844" s="33"/>
      <c r="E1844" s="33"/>
    </row>
    <row r="1845">
      <c r="A1845" s="32"/>
      <c r="B1845" s="32"/>
      <c r="C1845" s="32"/>
      <c r="D1845" s="33"/>
      <c r="E1845" s="33"/>
    </row>
    <row r="1846">
      <c r="A1846" s="32"/>
      <c r="B1846" s="32"/>
      <c r="C1846" s="32"/>
      <c r="D1846" s="33"/>
      <c r="E1846" s="33"/>
    </row>
    <row r="1847">
      <c r="A1847" s="32"/>
      <c r="B1847" s="32"/>
      <c r="C1847" s="32"/>
      <c r="D1847" s="33"/>
      <c r="E1847" s="33"/>
    </row>
    <row r="1848">
      <c r="A1848" s="32"/>
      <c r="B1848" s="32"/>
      <c r="C1848" s="32"/>
      <c r="D1848" s="33"/>
      <c r="E1848" s="33"/>
    </row>
    <row r="1849">
      <c r="A1849" s="32"/>
      <c r="B1849" s="32"/>
      <c r="C1849" s="32"/>
      <c r="D1849" s="33"/>
      <c r="E1849" s="33"/>
    </row>
    <row r="1850">
      <c r="A1850" s="32"/>
      <c r="B1850" s="32"/>
      <c r="C1850" s="32"/>
      <c r="D1850" s="33"/>
      <c r="E1850" s="33"/>
    </row>
    <row r="1851">
      <c r="A1851" s="32"/>
      <c r="B1851" s="32"/>
      <c r="C1851" s="32"/>
      <c r="D1851" s="33"/>
      <c r="E1851" s="33"/>
    </row>
    <row r="1852">
      <c r="A1852" s="32"/>
      <c r="B1852" s="32"/>
      <c r="C1852" s="32"/>
      <c r="D1852" s="33"/>
      <c r="E1852" s="33"/>
    </row>
    <row r="1853">
      <c r="A1853" s="32"/>
      <c r="B1853" s="32"/>
      <c r="C1853" s="32"/>
      <c r="D1853" s="33"/>
      <c r="E1853" s="33"/>
    </row>
    <row r="1854">
      <c r="A1854" s="32"/>
      <c r="B1854" s="32"/>
      <c r="C1854" s="32"/>
      <c r="D1854" s="33"/>
      <c r="E1854" s="33"/>
    </row>
    <row r="1855">
      <c r="A1855" s="32"/>
      <c r="B1855" s="32"/>
      <c r="C1855" s="32"/>
      <c r="D1855" s="33"/>
      <c r="E1855" s="33"/>
    </row>
    <row r="1856">
      <c r="A1856" s="32"/>
      <c r="B1856" s="32"/>
      <c r="C1856" s="32"/>
      <c r="D1856" s="33"/>
      <c r="E1856" s="33"/>
    </row>
    <row r="1857">
      <c r="A1857" s="32"/>
      <c r="B1857" s="32"/>
      <c r="C1857" s="32"/>
      <c r="D1857" s="33"/>
      <c r="E1857" s="33"/>
    </row>
    <row r="1858">
      <c r="A1858" s="32"/>
      <c r="B1858" s="32"/>
      <c r="C1858" s="32"/>
      <c r="D1858" s="33"/>
      <c r="E1858" s="33"/>
    </row>
    <row r="1859">
      <c r="A1859" s="32"/>
      <c r="B1859" s="32"/>
      <c r="C1859" s="32"/>
      <c r="D1859" s="33"/>
      <c r="E1859" s="33"/>
    </row>
    <row r="1860">
      <c r="A1860" s="32"/>
      <c r="B1860" s="32"/>
      <c r="C1860" s="32"/>
      <c r="D1860" s="33"/>
      <c r="E1860" s="33"/>
    </row>
    <row r="1861">
      <c r="A1861" s="32"/>
      <c r="B1861" s="32"/>
      <c r="C1861" s="32"/>
      <c r="D1861" s="33"/>
      <c r="E1861" s="33"/>
    </row>
    <row r="1862">
      <c r="A1862" s="32"/>
      <c r="B1862" s="32"/>
      <c r="C1862" s="32"/>
      <c r="D1862" s="33"/>
      <c r="E1862" s="33"/>
    </row>
    <row r="1863">
      <c r="A1863" s="32"/>
      <c r="B1863" s="32"/>
      <c r="C1863" s="32"/>
      <c r="D1863" s="33"/>
      <c r="E1863" s="33"/>
    </row>
    <row r="1864">
      <c r="A1864" s="32"/>
      <c r="B1864" s="32"/>
      <c r="C1864" s="32"/>
      <c r="D1864" s="33"/>
      <c r="E1864" s="33"/>
    </row>
    <row r="1865">
      <c r="A1865" s="32"/>
      <c r="B1865" s="32"/>
      <c r="C1865" s="32"/>
      <c r="D1865" s="33"/>
      <c r="E1865" s="33"/>
    </row>
    <row r="1866">
      <c r="A1866" s="32"/>
      <c r="B1866" s="32"/>
      <c r="C1866" s="32"/>
      <c r="D1866" s="33"/>
      <c r="E1866" s="33"/>
    </row>
    <row r="1867">
      <c r="A1867" s="32"/>
      <c r="B1867" s="32"/>
      <c r="C1867" s="32"/>
      <c r="D1867" s="33"/>
      <c r="E1867" s="33"/>
    </row>
    <row r="1868">
      <c r="A1868" s="32"/>
      <c r="B1868" s="32"/>
      <c r="C1868" s="32"/>
      <c r="D1868" s="33"/>
      <c r="E1868" s="33"/>
    </row>
    <row r="1869">
      <c r="A1869" s="32"/>
      <c r="B1869" s="32"/>
      <c r="C1869" s="32"/>
      <c r="D1869" s="33"/>
      <c r="E1869" s="33"/>
    </row>
    <row r="1870">
      <c r="A1870" s="32"/>
      <c r="B1870" s="32"/>
      <c r="C1870" s="32"/>
      <c r="D1870" s="33"/>
      <c r="E1870" s="33"/>
    </row>
    <row r="1871">
      <c r="A1871" s="32"/>
      <c r="B1871" s="32"/>
      <c r="C1871" s="32"/>
      <c r="D1871" s="33"/>
      <c r="E1871" s="33"/>
    </row>
    <row r="1872">
      <c r="A1872" s="32"/>
      <c r="B1872" s="32"/>
      <c r="C1872" s="32"/>
      <c r="D1872" s="33"/>
      <c r="E1872" s="33"/>
    </row>
    <row r="1873">
      <c r="A1873" s="32"/>
      <c r="B1873" s="32"/>
      <c r="C1873" s="32"/>
      <c r="D1873" s="33"/>
      <c r="E1873" s="33"/>
    </row>
    <row r="1874">
      <c r="A1874" s="32"/>
      <c r="B1874" s="32"/>
      <c r="C1874" s="32"/>
      <c r="D1874" s="33"/>
      <c r="E1874" s="33"/>
    </row>
    <row r="1875">
      <c r="A1875" s="32"/>
      <c r="B1875" s="32"/>
      <c r="C1875" s="32"/>
      <c r="D1875" s="33"/>
      <c r="E1875" s="33"/>
    </row>
    <row r="1876">
      <c r="A1876" s="32"/>
      <c r="B1876" s="32"/>
      <c r="C1876" s="32"/>
      <c r="D1876" s="33"/>
      <c r="E1876" s="33"/>
    </row>
    <row r="1877">
      <c r="A1877" s="32"/>
      <c r="B1877" s="32"/>
      <c r="C1877" s="32"/>
      <c r="D1877" s="33"/>
      <c r="E1877" s="33"/>
    </row>
    <row r="1878">
      <c r="A1878" s="32"/>
      <c r="B1878" s="32"/>
      <c r="C1878" s="32"/>
      <c r="D1878" s="33"/>
      <c r="E1878" s="33"/>
    </row>
    <row r="1879">
      <c r="A1879" s="32"/>
      <c r="B1879" s="32"/>
      <c r="C1879" s="32"/>
      <c r="D1879" s="33"/>
      <c r="E1879" s="33"/>
    </row>
    <row r="1880">
      <c r="A1880" s="32"/>
      <c r="B1880" s="32"/>
      <c r="C1880" s="32"/>
      <c r="D1880" s="33"/>
      <c r="E1880" s="33"/>
    </row>
    <row r="1881">
      <c r="A1881" s="32"/>
      <c r="B1881" s="32"/>
      <c r="C1881" s="32"/>
      <c r="D1881" s="33"/>
      <c r="E1881" s="33"/>
    </row>
    <row r="1882">
      <c r="A1882" s="32"/>
      <c r="B1882" s="32"/>
      <c r="C1882" s="32"/>
      <c r="D1882" s="33"/>
      <c r="E1882" s="33"/>
    </row>
    <row r="1883">
      <c r="A1883" s="32"/>
      <c r="B1883" s="32"/>
      <c r="C1883" s="32"/>
      <c r="D1883" s="33"/>
      <c r="E1883" s="33"/>
    </row>
    <row r="1884">
      <c r="A1884" s="32"/>
      <c r="B1884" s="32"/>
      <c r="C1884" s="32"/>
      <c r="D1884" s="33"/>
      <c r="E1884" s="33"/>
    </row>
    <row r="1885">
      <c r="A1885" s="32"/>
      <c r="B1885" s="32"/>
      <c r="C1885" s="32"/>
      <c r="D1885" s="33"/>
      <c r="E1885" s="33"/>
    </row>
    <row r="1886">
      <c r="A1886" s="32"/>
      <c r="B1886" s="32"/>
      <c r="C1886" s="32"/>
      <c r="D1886" s="33"/>
      <c r="E1886" s="33"/>
    </row>
    <row r="1887">
      <c r="A1887" s="32"/>
      <c r="B1887" s="32"/>
      <c r="C1887" s="32"/>
      <c r="D1887" s="33"/>
      <c r="E1887" s="33"/>
    </row>
    <row r="1888">
      <c r="A1888" s="32"/>
      <c r="B1888" s="32"/>
      <c r="C1888" s="32"/>
      <c r="D1888" s="33"/>
      <c r="E1888" s="33"/>
    </row>
    <row r="1889">
      <c r="A1889" s="32"/>
      <c r="B1889" s="32"/>
      <c r="C1889" s="32"/>
      <c r="D1889" s="33"/>
      <c r="E1889" s="33"/>
    </row>
    <row r="1890">
      <c r="A1890" s="32"/>
      <c r="B1890" s="32"/>
      <c r="C1890" s="32"/>
      <c r="D1890" s="33"/>
      <c r="E1890" s="33"/>
    </row>
    <row r="1891">
      <c r="A1891" s="32"/>
      <c r="B1891" s="32"/>
      <c r="C1891" s="32"/>
      <c r="D1891" s="33"/>
      <c r="E1891" s="33"/>
    </row>
    <row r="1892">
      <c r="A1892" s="32"/>
      <c r="B1892" s="32"/>
      <c r="C1892" s="32"/>
      <c r="D1892" s="33"/>
      <c r="E1892" s="33"/>
    </row>
    <row r="1893">
      <c r="A1893" s="32"/>
      <c r="B1893" s="32"/>
      <c r="C1893" s="32"/>
      <c r="D1893" s="33"/>
      <c r="E1893" s="33"/>
    </row>
    <row r="1894">
      <c r="A1894" s="32"/>
      <c r="B1894" s="32"/>
      <c r="C1894" s="32"/>
      <c r="D1894" s="33"/>
      <c r="E1894" s="33"/>
    </row>
    <row r="1895">
      <c r="A1895" s="32"/>
      <c r="B1895" s="32"/>
      <c r="C1895" s="32"/>
      <c r="D1895" s="33"/>
      <c r="E1895" s="33"/>
    </row>
    <row r="1896">
      <c r="A1896" s="32"/>
      <c r="B1896" s="32"/>
      <c r="C1896" s="32"/>
      <c r="D1896" s="33"/>
      <c r="E1896" s="33"/>
    </row>
    <row r="1897">
      <c r="A1897" s="32"/>
      <c r="B1897" s="32"/>
      <c r="C1897" s="32"/>
      <c r="D1897" s="33"/>
      <c r="E1897" s="33"/>
    </row>
    <row r="1898">
      <c r="A1898" s="32"/>
      <c r="B1898" s="32"/>
      <c r="C1898" s="32"/>
      <c r="D1898" s="33"/>
      <c r="E1898" s="33"/>
    </row>
    <row r="1899">
      <c r="A1899" s="32"/>
      <c r="B1899" s="32"/>
      <c r="C1899" s="32"/>
      <c r="D1899" s="33"/>
      <c r="E1899" s="33"/>
    </row>
    <row r="1900">
      <c r="A1900" s="32"/>
      <c r="B1900" s="32"/>
      <c r="C1900" s="32"/>
      <c r="D1900" s="33"/>
      <c r="E1900" s="33"/>
    </row>
    <row r="1901">
      <c r="A1901" s="32"/>
      <c r="B1901" s="32"/>
      <c r="C1901" s="32"/>
      <c r="D1901" s="33"/>
      <c r="E1901" s="33"/>
    </row>
    <row r="1902">
      <c r="A1902" s="32"/>
      <c r="B1902" s="32"/>
      <c r="C1902" s="32"/>
      <c r="D1902" s="33"/>
      <c r="E1902" s="33"/>
    </row>
    <row r="1903">
      <c r="A1903" s="32"/>
      <c r="B1903" s="32"/>
      <c r="C1903" s="32"/>
      <c r="D1903" s="33"/>
      <c r="E1903" s="33"/>
    </row>
    <row r="1904">
      <c r="A1904" s="32"/>
      <c r="B1904" s="32"/>
      <c r="C1904" s="32"/>
      <c r="D1904" s="33"/>
      <c r="E1904" s="33"/>
    </row>
    <row r="1905">
      <c r="A1905" s="32"/>
      <c r="B1905" s="32"/>
      <c r="C1905" s="32"/>
      <c r="D1905" s="33"/>
      <c r="E1905" s="33"/>
    </row>
    <row r="1906">
      <c r="A1906" s="32"/>
      <c r="B1906" s="32"/>
      <c r="C1906" s="32"/>
      <c r="D1906" s="33"/>
      <c r="E1906" s="33"/>
    </row>
    <row r="1907">
      <c r="A1907" s="32"/>
      <c r="B1907" s="32"/>
      <c r="C1907" s="32"/>
      <c r="D1907" s="33"/>
      <c r="E1907" s="33"/>
    </row>
    <row r="1908">
      <c r="A1908" s="32"/>
      <c r="B1908" s="32"/>
      <c r="C1908" s="32"/>
      <c r="D1908" s="33"/>
      <c r="E1908" s="33"/>
    </row>
    <row r="1909">
      <c r="A1909" s="32"/>
      <c r="B1909" s="32"/>
      <c r="C1909" s="32"/>
      <c r="D1909" s="33"/>
      <c r="E1909" s="33"/>
    </row>
    <row r="1910">
      <c r="A1910" s="32"/>
      <c r="B1910" s="32"/>
      <c r="C1910" s="32"/>
      <c r="D1910" s="33"/>
      <c r="E1910" s="33"/>
    </row>
    <row r="1911">
      <c r="A1911" s="32"/>
      <c r="B1911" s="32"/>
      <c r="C1911" s="32"/>
      <c r="D1911" s="33"/>
      <c r="E1911" s="33"/>
    </row>
    <row r="1912">
      <c r="A1912" s="32"/>
      <c r="B1912" s="32"/>
      <c r="C1912" s="32"/>
      <c r="D1912" s="33"/>
      <c r="E1912" s="33"/>
    </row>
    <row r="1913">
      <c r="A1913" s="32"/>
      <c r="B1913" s="32"/>
      <c r="C1913" s="32"/>
      <c r="D1913" s="33"/>
      <c r="E1913" s="33"/>
    </row>
    <row r="1914">
      <c r="A1914" s="32"/>
      <c r="B1914" s="32"/>
      <c r="C1914" s="32"/>
      <c r="D1914" s="33"/>
      <c r="E1914" s="33"/>
    </row>
    <row r="1915">
      <c r="A1915" s="32"/>
      <c r="B1915" s="32"/>
      <c r="C1915" s="32"/>
      <c r="D1915" s="33"/>
      <c r="E1915" s="33"/>
    </row>
    <row r="1916">
      <c r="A1916" s="32"/>
      <c r="B1916" s="32"/>
      <c r="C1916" s="32"/>
      <c r="D1916" s="33"/>
      <c r="E1916" s="33"/>
    </row>
    <row r="1917">
      <c r="A1917" s="32"/>
      <c r="B1917" s="32"/>
      <c r="C1917" s="32"/>
      <c r="D1917" s="33"/>
      <c r="E1917" s="33"/>
    </row>
    <row r="1918">
      <c r="A1918" s="32"/>
      <c r="B1918" s="32"/>
      <c r="C1918" s="32"/>
      <c r="D1918" s="33"/>
      <c r="E1918" s="33"/>
    </row>
    <row r="1919">
      <c r="A1919" s="32"/>
      <c r="B1919" s="32"/>
      <c r="C1919" s="32"/>
      <c r="D1919" s="33"/>
      <c r="E1919" s="33"/>
    </row>
    <row r="1920">
      <c r="A1920" s="32"/>
      <c r="B1920" s="32"/>
      <c r="C1920" s="32"/>
      <c r="D1920" s="33"/>
      <c r="E1920" s="33"/>
    </row>
    <row r="1921">
      <c r="A1921" s="32"/>
      <c r="B1921" s="32"/>
      <c r="C1921" s="32"/>
      <c r="D1921" s="33"/>
      <c r="E1921" s="33"/>
    </row>
    <row r="1922">
      <c r="A1922" s="32"/>
      <c r="B1922" s="32"/>
      <c r="C1922" s="32"/>
      <c r="D1922" s="33"/>
      <c r="E1922" s="33"/>
    </row>
    <row r="1923">
      <c r="A1923" s="32"/>
      <c r="B1923" s="32"/>
      <c r="C1923" s="32"/>
      <c r="D1923" s="33"/>
      <c r="E1923" s="33"/>
    </row>
    <row r="1924">
      <c r="A1924" s="32"/>
      <c r="B1924" s="32"/>
      <c r="C1924" s="32"/>
      <c r="D1924" s="33"/>
      <c r="E1924" s="33"/>
    </row>
    <row r="1925">
      <c r="A1925" s="32"/>
      <c r="B1925" s="32"/>
      <c r="C1925" s="32"/>
      <c r="D1925" s="33"/>
      <c r="E1925" s="33"/>
    </row>
    <row r="1926">
      <c r="A1926" s="32"/>
      <c r="B1926" s="32"/>
      <c r="C1926" s="32"/>
      <c r="D1926" s="33"/>
      <c r="E1926" s="33"/>
    </row>
    <row r="1927">
      <c r="A1927" s="32"/>
      <c r="B1927" s="32"/>
      <c r="C1927" s="32"/>
      <c r="D1927" s="33"/>
      <c r="E1927" s="33"/>
    </row>
    <row r="1928">
      <c r="A1928" s="32"/>
      <c r="B1928" s="32"/>
      <c r="C1928" s="32"/>
      <c r="D1928" s="33"/>
      <c r="E1928" s="33"/>
    </row>
    <row r="1929">
      <c r="A1929" s="32"/>
      <c r="B1929" s="32"/>
      <c r="C1929" s="32"/>
      <c r="D1929" s="33"/>
      <c r="E1929" s="33"/>
    </row>
    <row r="1930">
      <c r="A1930" s="32"/>
      <c r="B1930" s="32"/>
      <c r="C1930" s="32"/>
      <c r="D1930" s="33"/>
      <c r="E1930" s="33"/>
    </row>
    <row r="1931">
      <c r="A1931" s="32"/>
      <c r="B1931" s="32"/>
      <c r="C1931" s="32"/>
      <c r="D1931" s="33"/>
      <c r="E1931" s="33"/>
    </row>
    <row r="1932">
      <c r="A1932" s="32"/>
      <c r="B1932" s="32"/>
      <c r="C1932" s="32"/>
      <c r="D1932" s="33"/>
      <c r="E1932" s="33"/>
    </row>
    <row r="1933">
      <c r="A1933" s="32"/>
      <c r="B1933" s="32"/>
      <c r="C1933" s="32"/>
      <c r="D1933" s="33"/>
      <c r="E1933" s="33"/>
    </row>
    <row r="1934">
      <c r="A1934" s="32"/>
      <c r="B1934" s="32"/>
      <c r="C1934" s="32"/>
      <c r="D1934" s="33"/>
      <c r="E1934" s="33"/>
    </row>
    <row r="1935">
      <c r="A1935" s="32"/>
      <c r="B1935" s="32"/>
      <c r="C1935" s="32"/>
      <c r="D1935" s="33"/>
      <c r="E1935" s="33"/>
    </row>
    <row r="1936">
      <c r="A1936" s="32"/>
      <c r="B1936" s="32"/>
      <c r="C1936" s="32"/>
      <c r="D1936" s="33"/>
      <c r="E1936" s="33"/>
    </row>
    <row r="1937">
      <c r="A1937" s="32"/>
      <c r="B1937" s="32"/>
      <c r="C1937" s="32"/>
      <c r="D1937" s="33"/>
      <c r="E1937" s="33"/>
    </row>
    <row r="1938">
      <c r="A1938" s="32"/>
      <c r="B1938" s="32"/>
      <c r="C1938" s="32"/>
      <c r="D1938" s="33"/>
      <c r="E1938" s="33"/>
    </row>
    <row r="1939">
      <c r="A1939" s="32"/>
      <c r="B1939" s="32"/>
      <c r="C1939" s="32"/>
      <c r="D1939" s="33"/>
      <c r="E1939" s="33"/>
    </row>
    <row r="1940">
      <c r="A1940" s="32"/>
      <c r="B1940" s="32"/>
      <c r="C1940" s="32"/>
      <c r="D1940" s="33"/>
      <c r="E1940" s="33"/>
    </row>
    <row r="1941">
      <c r="A1941" s="32"/>
      <c r="B1941" s="32"/>
      <c r="C1941" s="32"/>
      <c r="D1941" s="33"/>
      <c r="E1941" s="33"/>
    </row>
    <row r="1942">
      <c r="A1942" s="32"/>
      <c r="B1942" s="32"/>
      <c r="C1942" s="32"/>
      <c r="D1942" s="33"/>
      <c r="E1942" s="33"/>
    </row>
    <row r="1943">
      <c r="A1943" s="32"/>
      <c r="B1943" s="32"/>
      <c r="C1943" s="32"/>
      <c r="D1943" s="33"/>
      <c r="E1943" s="33"/>
    </row>
    <row r="1944">
      <c r="A1944" s="32"/>
      <c r="B1944" s="32"/>
      <c r="C1944" s="32"/>
      <c r="D1944" s="33"/>
      <c r="E1944" s="33"/>
    </row>
    <row r="1945">
      <c r="A1945" s="32"/>
      <c r="B1945" s="32"/>
      <c r="C1945" s="32"/>
      <c r="D1945" s="33"/>
      <c r="E1945" s="33"/>
    </row>
    <row r="1946">
      <c r="A1946" s="32"/>
      <c r="B1946" s="32"/>
      <c r="C1946" s="32"/>
      <c r="D1946" s="33"/>
      <c r="E1946" s="33"/>
    </row>
    <row r="1947">
      <c r="A1947" s="32"/>
      <c r="B1947" s="32"/>
      <c r="C1947" s="32"/>
      <c r="D1947" s="33"/>
      <c r="E1947" s="33"/>
    </row>
    <row r="1948">
      <c r="A1948" s="32"/>
      <c r="B1948" s="32"/>
      <c r="C1948" s="32"/>
      <c r="D1948" s="33"/>
      <c r="E1948" s="33"/>
    </row>
    <row r="1949">
      <c r="A1949" s="32"/>
      <c r="B1949" s="32"/>
      <c r="C1949" s="32"/>
      <c r="D1949" s="33"/>
      <c r="E1949" s="33"/>
    </row>
    <row r="1950">
      <c r="A1950" s="32"/>
      <c r="B1950" s="32"/>
      <c r="C1950" s="32"/>
      <c r="D1950" s="33"/>
      <c r="E1950" s="33"/>
    </row>
    <row r="1951">
      <c r="A1951" s="32"/>
      <c r="B1951" s="32"/>
      <c r="C1951" s="32"/>
      <c r="D1951" s="33"/>
      <c r="E1951" s="33"/>
    </row>
    <row r="1952">
      <c r="A1952" s="32"/>
      <c r="B1952" s="32"/>
      <c r="C1952" s="32"/>
      <c r="D1952" s="33"/>
      <c r="E1952" s="33"/>
    </row>
    <row r="1953">
      <c r="A1953" s="32"/>
      <c r="B1953" s="32"/>
      <c r="C1953" s="32"/>
      <c r="D1953" s="33"/>
      <c r="E1953" s="33"/>
    </row>
    <row r="1954">
      <c r="A1954" s="32"/>
      <c r="B1954" s="32"/>
      <c r="C1954" s="32"/>
      <c r="D1954" s="33"/>
      <c r="E1954" s="33"/>
    </row>
    <row r="1955">
      <c r="A1955" s="32"/>
      <c r="B1955" s="32"/>
      <c r="C1955" s="32"/>
      <c r="D1955" s="33"/>
      <c r="E1955" s="33"/>
    </row>
    <row r="1956">
      <c r="A1956" s="32"/>
      <c r="B1956" s="32"/>
      <c r="C1956" s="32"/>
      <c r="D1956" s="33"/>
      <c r="E1956" s="33"/>
    </row>
    <row r="1957">
      <c r="A1957" s="32"/>
      <c r="B1957" s="32"/>
      <c r="C1957" s="32"/>
      <c r="D1957" s="33"/>
      <c r="E1957" s="33"/>
    </row>
    <row r="1958">
      <c r="A1958" s="32"/>
      <c r="B1958" s="32"/>
      <c r="C1958" s="32"/>
      <c r="D1958" s="33"/>
      <c r="E1958" s="33"/>
    </row>
    <row r="1959">
      <c r="A1959" s="32"/>
      <c r="B1959" s="32"/>
      <c r="C1959" s="32"/>
      <c r="D1959" s="33"/>
      <c r="E1959" s="33"/>
    </row>
    <row r="1960">
      <c r="A1960" s="32"/>
      <c r="B1960" s="32"/>
      <c r="C1960" s="32"/>
      <c r="D1960" s="33"/>
      <c r="E1960" s="33"/>
    </row>
    <row r="1961">
      <c r="A1961" s="32"/>
      <c r="B1961" s="32"/>
      <c r="C1961" s="32"/>
      <c r="D1961" s="33"/>
      <c r="E1961" s="33"/>
    </row>
    <row r="1962">
      <c r="A1962" s="32"/>
      <c r="B1962" s="32"/>
      <c r="C1962" s="32"/>
      <c r="D1962" s="33"/>
      <c r="E1962" s="33"/>
    </row>
    <row r="1963">
      <c r="A1963" s="32"/>
      <c r="B1963" s="32"/>
      <c r="C1963" s="32"/>
      <c r="D1963" s="33"/>
      <c r="E1963" s="33"/>
    </row>
    <row r="1964">
      <c r="A1964" s="32"/>
      <c r="B1964" s="32"/>
      <c r="C1964" s="32"/>
      <c r="D1964" s="33"/>
      <c r="E1964" s="33"/>
    </row>
    <row r="1965">
      <c r="A1965" s="32"/>
      <c r="B1965" s="32"/>
      <c r="C1965" s="32"/>
      <c r="D1965" s="33"/>
      <c r="E1965" s="33"/>
    </row>
    <row r="1966">
      <c r="A1966" s="32"/>
      <c r="B1966" s="32"/>
      <c r="C1966" s="32"/>
      <c r="D1966" s="33"/>
      <c r="E1966" s="33"/>
    </row>
    <row r="1967">
      <c r="A1967" s="32"/>
      <c r="B1967" s="32"/>
      <c r="C1967" s="32"/>
      <c r="D1967" s="33"/>
      <c r="E1967" s="33"/>
    </row>
    <row r="1968">
      <c r="A1968" s="32"/>
      <c r="B1968" s="32"/>
      <c r="C1968" s="32"/>
      <c r="D1968" s="33"/>
      <c r="E1968" s="33"/>
    </row>
    <row r="1969">
      <c r="A1969" s="32"/>
      <c r="B1969" s="32"/>
      <c r="C1969" s="32"/>
      <c r="D1969" s="33"/>
      <c r="E1969" s="33"/>
    </row>
    <row r="1970">
      <c r="A1970" s="32"/>
      <c r="B1970" s="32"/>
      <c r="C1970" s="32"/>
      <c r="D1970" s="33"/>
      <c r="E1970" s="33"/>
    </row>
    <row r="1971">
      <c r="A1971" s="32"/>
      <c r="B1971" s="32"/>
      <c r="C1971" s="32"/>
      <c r="D1971" s="33"/>
      <c r="E1971" s="33"/>
    </row>
    <row r="1972">
      <c r="A1972" s="32"/>
      <c r="B1972" s="32"/>
      <c r="C1972" s="32"/>
      <c r="D1972" s="33"/>
      <c r="E1972" s="33"/>
    </row>
    <row r="1973">
      <c r="A1973" s="32"/>
      <c r="B1973" s="32"/>
      <c r="C1973" s="32"/>
      <c r="D1973" s="33"/>
      <c r="E1973" s="33"/>
    </row>
    <row r="1974">
      <c r="A1974" s="32"/>
      <c r="B1974" s="32"/>
      <c r="C1974" s="32"/>
      <c r="D1974" s="33"/>
      <c r="E1974" s="33"/>
    </row>
    <row r="1975">
      <c r="A1975" s="32"/>
      <c r="B1975" s="32"/>
      <c r="C1975" s="32"/>
      <c r="D1975" s="33"/>
      <c r="E1975" s="33"/>
    </row>
    <row r="1976">
      <c r="A1976" s="32"/>
      <c r="B1976" s="32"/>
      <c r="C1976" s="32"/>
      <c r="D1976" s="33"/>
      <c r="E1976" s="33"/>
    </row>
    <row r="1977">
      <c r="A1977" s="32"/>
      <c r="B1977" s="32"/>
      <c r="C1977" s="32"/>
      <c r="D1977" s="33"/>
      <c r="E1977" s="33"/>
    </row>
    <row r="1978">
      <c r="A1978" s="32"/>
      <c r="B1978" s="32"/>
      <c r="C1978" s="32"/>
      <c r="D1978" s="33"/>
      <c r="E1978" s="33"/>
    </row>
    <row r="1979">
      <c r="A1979" s="32"/>
      <c r="B1979" s="32"/>
      <c r="C1979" s="32"/>
      <c r="D1979" s="33"/>
      <c r="E1979" s="33"/>
    </row>
    <row r="1980">
      <c r="A1980" s="32"/>
      <c r="B1980" s="32"/>
      <c r="C1980" s="32"/>
      <c r="D1980" s="33"/>
      <c r="E1980" s="33"/>
    </row>
    <row r="1981">
      <c r="A1981" s="32"/>
      <c r="B1981" s="32"/>
      <c r="C1981" s="32"/>
      <c r="D1981" s="33"/>
      <c r="E1981" s="33"/>
    </row>
    <row r="1982">
      <c r="A1982" s="32"/>
      <c r="B1982" s="32"/>
      <c r="C1982" s="32"/>
      <c r="D1982" s="33"/>
      <c r="E1982" s="33"/>
    </row>
    <row r="1983">
      <c r="A1983" s="32"/>
      <c r="B1983" s="32"/>
      <c r="C1983" s="32"/>
      <c r="D1983" s="33"/>
      <c r="E1983" s="33"/>
    </row>
    <row r="1984">
      <c r="A1984" s="32"/>
      <c r="B1984" s="32"/>
      <c r="C1984" s="32"/>
      <c r="D1984" s="33"/>
      <c r="E1984" s="33"/>
    </row>
    <row r="1985">
      <c r="A1985" s="32"/>
      <c r="B1985" s="32"/>
      <c r="C1985" s="32"/>
      <c r="D1985" s="33"/>
      <c r="E1985" s="33"/>
    </row>
    <row r="1986">
      <c r="A1986" s="32"/>
      <c r="B1986" s="32"/>
      <c r="C1986" s="32"/>
      <c r="D1986" s="33"/>
      <c r="E1986" s="33"/>
    </row>
    <row r="1987">
      <c r="A1987" s="32"/>
      <c r="B1987" s="32"/>
      <c r="C1987" s="32"/>
      <c r="D1987" s="33"/>
      <c r="E1987" s="33"/>
    </row>
    <row r="1988">
      <c r="A1988" s="32"/>
      <c r="B1988" s="32"/>
      <c r="C1988" s="32"/>
      <c r="D1988" s="33"/>
      <c r="E1988" s="33"/>
    </row>
    <row r="1989">
      <c r="A1989" s="32"/>
      <c r="B1989" s="32"/>
      <c r="C1989" s="32"/>
      <c r="D1989" s="33"/>
      <c r="E1989" s="33"/>
    </row>
    <row r="1990">
      <c r="A1990" s="32"/>
      <c r="B1990" s="32"/>
      <c r="C1990" s="32"/>
      <c r="D1990" s="33"/>
      <c r="E1990" s="33"/>
    </row>
    <row r="1991">
      <c r="A1991" s="32"/>
      <c r="B1991" s="32"/>
      <c r="C1991" s="32"/>
      <c r="D1991" s="33"/>
      <c r="E1991" s="33"/>
    </row>
    <row r="1992">
      <c r="A1992" s="32"/>
      <c r="B1992" s="32"/>
      <c r="C1992" s="32"/>
      <c r="D1992" s="33"/>
      <c r="E1992" s="33"/>
    </row>
    <row r="1993">
      <c r="A1993" s="32"/>
      <c r="B1993" s="32"/>
      <c r="C1993" s="32"/>
      <c r="D1993" s="33"/>
      <c r="E1993" s="33"/>
    </row>
    <row r="1994">
      <c r="A1994" s="32"/>
      <c r="B1994" s="32"/>
      <c r="C1994" s="32"/>
      <c r="D1994" s="33"/>
      <c r="E1994" s="33"/>
    </row>
    <row r="1995">
      <c r="A1995" s="32"/>
      <c r="B1995" s="32"/>
      <c r="C1995" s="32"/>
      <c r="D1995" s="33"/>
      <c r="E1995" s="33"/>
    </row>
    <row r="1996">
      <c r="A1996" s="32"/>
      <c r="B1996" s="32"/>
      <c r="C1996" s="32"/>
      <c r="D1996" s="33"/>
      <c r="E1996" s="33"/>
    </row>
    <row r="1997">
      <c r="A1997" s="32"/>
      <c r="B1997" s="32"/>
      <c r="C1997" s="32"/>
      <c r="D1997" s="33"/>
      <c r="E1997" s="33"/>
    </row>
    <row r="1998">
      <c r="A1998" s="32"/>
      <c r="B1998" s="32"/>
      <c r="C1998" s="32"/>
      <c r="D1998" s="33"/>
      <c r="E1998" s="33"/>
    </row>
    <row r="1999">
      <c r="A1999" s="32"/>
      <c r="B1999" s="32"/>
      <c r="C1999" s="32"/>
      <c r="D1999" s="33"/>
      <c r="E1999" s="33"/>
    </row>
    <row r="2000">
      <c r="A2000" s="32"/>
      <c r="B2000" s="32"/>
      <c r="C2000" s="32"/>
      <c r="D2000" s="33"/>
      <c r="E2000" s="33"/>
    </row>
    <row r="2001">
      <c r="A2001" s="32"/>
      <c r="B2001" s="32"/>
      <c r="C2001" s="32"/>
      <c r="D2001" s="33"/>
      <c r="E2001" s="33"/>
    </row>
    <row r="2002">
      <c r="A2002" s="32"/>
      <c r="B2002" s="32"/>
      <c r="C2002" s="32"/>
      <c r="D2002" s="33"/>
      <c r="E2002" s="33"/>
    </row>
    <row r="2003">
      <c r="A2003" s="32"/>
      <c r="B2003" s="32"/>
      <c r="C2003" s="32"/>
      <c r="D2003" s="33"/>
      <c r="E2003" s="33"/>
    </row>
    <row r="2004">
      <c r="A2004" s="32"/>
      <c r="B2004" s="32"/>
      <c r="C2004" s="32"/>
      <c r="D2004" s="33"/>
      <c r="E2004" s="33"/>
    </row>
    <row r="2005">
      <c r="A2005" s="32"/>
      <c r="B2005" s="32"/>
      <c r="C2005" s="32"/>
      <c r="D2005" s="33"/>
      <c r="E2005" s="33"/>
    </row>
    <row r="2006">
      <c r="A2006" s="32"/>
      <c r="B2006" s="32"/>
      <c r="C2006" s="32"/>
      <c r="D2006" s="33"/>
      <c r="E2006" s="33"/>
    </row>
    <row r="2007">
      <c r="A2007" s="32"/>
      <c r="B2007" s="32"/>
      <c r="C2007" s="32"/>
      <c r="D2007" s="33"/>
      <c r="E2007" s="33"/>
    </row>
    <row r="2008">
      <c r="A2008" s="32"/>
      <c r="B2008" s="32"/>
      <c r="C2008" s="32"/>
      <c r="D2008" s="33"/>
      <c r="E2008" s="33"/>
    </row>
    <row r="2009">
      <c r="A2009" s="32"/>
      <c r="B2009" s="32"/>
      <c r="C2009" s="32"/>
      <c r="D2009" s="33"/>
      <c r="E2009" s="33"/>
    </row>
    <row r="2010">
      <c r="A2010" s="32"/>
      <c r="B2010" s="32"/>
      <c r="C2010" s="32"/>
      <c r="D2010" s="33"/>
      <c r="E2010" s="33"/>
    </row>
    <row r="2011">
      <c r="A2011" s="32"/>
      <c r="B2011" s="32"/>
      <c r="C2011" s="32"/>
      <c r="D2011" s="33"/>
      <c r="E2011" s="33"/>
    </row>
    <row r="2012">
      <c r="A2012" s="32"/>
      <c r="B2012" s="32"/>
      <c r="C2012" s="32"/>
      <c r="D2012" s="33"/>
      <c r="E2012" s="33"/>
    </row>
    <row r="2013">
      <c r="A2013" s="32"/>
      <c r="B2013" s="32"/>
      <c r="C2013" s="32"/>
      <c r="D2013" s="33"/>
      <c r="E2013" s="33"/>
    </row>
    <row r="2014">
      <c r="A2014" s="32"/>
      <c r="B2014" s="32"/>
      <c r="C2014" s="32"/>
      <c r="D2014" s="33"/>
      <c r="E2014" s="33"/>
    </row>
    <row r="2015">
      <c r="A2015" s="32"/>
      <c r="B2015" s="32"/>
      <c r="C2015" s="32"/>
      <c r="D2015" s="33"/>
      <c r="E2015" s="33"/>
    </row>
    <row r="2016">
      <c r="A2016" s="32"/>
      <c r="B2016" s="32"/>
      <c r="C2016" s="32"/>
      <c r="D2016" s="33"/>
      <c r="E2016" s="33"/>
    </row>
    <row r="2017">
      <c r="A2017" s="32"/>
      <c r="B2017" s="32"/>
      <c r="C2017" s="32"/>
      <c r="D2017" s="33"/>
      <c r="E2017" s="33"/>
    </row>
    <row r="2018">
      <c r="A2018" s="32"/>
      <c r="B2018" s="32"/>
      <c r="C2018" s="32"/>
      <c r="D2018" s="33"/>
      <c r="E2018" s="33"/>
    </row>
    <row r="2019">
      <c r="A2019" s="32"/>
      <c r="B2019" s="32"/>
      <c r="C2019" s="32"/>
      <c r="D2019" s="33"/>
      <c r="E2019" s="33"/>
    </row>
    <row r="2020">
      <c r="A2020" s="32"/>
      <c r="B2020" s="32"/>
      <c r="C2020" s="32"/>
      <c r="D2020" s="33"/>
      <c r="E2020" s="33"/>
    </row>
    <row r="2021">
      <c r="A2021" s="32"/>
      <c r="B2021" s="32"/>
      <c r="C2021" s="32"/>
      <c r="D2021" s="33"/>
      <c r="E2021" s="33"/>
    </row>
    <row r="2022">
      <c r="A2022" s="32"/>
      <c r="B2022" s="32"/>
      <c r="C2022" s="32"/>
      <c r="D2022" s="33"/>
      <c r="E2022" s="33"/>
    </row>
    <row r="2023">
      <c r="A2023" s="32"/>
      <c r="B2023" s="32"/>
      <c r="C2023" s="32"/>
      <c r="D2023" s="33"/>
      <c r="E2023" s="33"/>
    </row>
    <row r="2024">
      <c r="A2024" s="32"/>
      <c r="B2024" s="32"/>
      <c r="C2024" s="32"/>
      <c r="D2024" s="33"/>
      <c r="E2024" s="33"/>
    </row>
    <row r="2025">
      <c r="A2025" s="32"/>
      <c r="B2025" s="32"/>
      <c r="C2025" s="32"/>
      <c r="D2025" s="33"/>
      <c r="E2025" s="33"/>
    </row>
    <row r="2026">
      <c r="A2026" s="32"/>
      <c r="B2026" s="32"/>
      <c r="C2026" s="32"/>
      <c r="D2026" s="33"/>
      <c r="E2026" s="33"/>
    </row>
    <row r="2027">
      <c r="A2027" s="32"/>
      <c r="B2027" s="32"/>
      <c r="C2027" s="32"/>
      <c r="D2027" s="33"/>
      <c r="E2027" s="33"/>
    </row>
    <row r="2028">
      <c r="A2028" s="32"/>
      <c r="B2028" s="32"/>
      <c r="C2028" s="32"/>
      <c r="D2028" s="33"/>
      <c r="E2028" s="33"/>
    </row>
    <row r="2029">
      <c r="A2029" s="32"/>
      <c r="B2029" s="32"/>
      <c r="C2029" s="32"/>
      <c r="D2029" s="33"/>
      <c r="E2029" s="33"/>
    </row>
    <row r="2030">
      <c r="A2030" s="32"/>
      <c r="B2030" s="32"/>
      <c r="C2030" s="32"/>
      <c r="D2030" s="33"/>
      <c r="E2030" s="33"/>
    </row>
    <row r="2031">
      <c r="A2031" s="32"/>
      <c r="B2031" s="32"/>
      <c r="C2031" s="32"/>
      <c r="D2031" s="33"/>
      <c r="E2031" s="33"/>
    </row>
    <row r="2032">
      <c r="A2032" s="32"/>
      <c r="B2032" s="32"/>
      <c r="C2032" s="32"/>
      <c r="D2032" s="33"/>
      <c r="E2032" s="33"/>
    </row>
    <row r="2033">
      <c r="A2033" s="32"/>
      <c r="B2033" s="32"/>
      <c r="C2033" s="32"/>
      <c r="D2033" s="33"/>
      <c r="E2033" s="33"/>
    </row>
    <row r="2034">
      <c r="A2034" s="32"/>
      <c r="B2034" s="32"/>
      <c r="C2034" s="32"/>
      <c r="D2034" s="33"/>
      <c r="E2034" s="33"/>
    </row>
    <row r="2035">
      <c r="A2035" s="32"/>
      <c r="B2035" s="32"/>
      <c r="C2035" s="32"/>
      <c r="D2035" s="33"/>
      <c r="E2035" s="33"/>
    </row>
    <row r="2036">
      <c r="A2036" s="32"/>
      <c r="B2036" s="32"/>
      <c r="C2036" s="32"/>
      <c r="D2036" s="33"/>
      <c r="E2036" s="33"/>
    </row>
    <row r="2037">
      <c r="A2037" s="32"/>
      <c r="B2037" s="32"/>
      <c r="C2037" s="32"/>
      <c r="D2037" s="33"/>
      <c r="E2037" s="33"/>
    </row>
    <row r="2038">
      <c r="A2038" s="32"/>
      <c r="B2038" s="32"/>
      <c r="C2038" s="32"/>
      <c r="D2038" s="33"/>
      <c r="E2038" s="33"/>
    </row>
    <row r="2039">
      <c r="A2039" s="32"/>
      <c r="B2039" s="32"/>
      <c r="C2039" s="32"/>
      <c r="D2039" s="33"/>
      <c r="E2039" s="33"/>
    </row>
    <row r="2040">
      <c r="A2040" s="32"/>
      <c r="B2040" s="32"/>
      <c r="C2040" s="32"/>
      <c r="D2040" s="33"/>
      <c r="E2040" s="33"/>
    </row>
    <row r="2041">
      <c r="A2041" s="32"/>
      <c r="B2041" s="32"/>
      <c r="C2041" s="32"/>
      <c r="D2041" s="33"/>
      <c r="E2041" s="33"/>
    </row>
    <row r="2042">
      <c r="A2042" s="32"/>
      <c r="B2042" s="32"/>
      <c r="C2042" s="32"/>
      <c r="D2042" s="33"/>
      <c r="E2042" s="33"/>
    </row>
    <row r="2043">
      <c r="A2043" s="32"/>
      <c r="B2043" s="32"/>
      <c r="C2043" s="32"/>
      <c r="D2043" s="33"/>
      <c r="E2043" s="33"/>
    </row>
    <row r="2044">
      <c r="A2044" s="32"/>
      <c r="B2044" s="32"/>
      <c r="C2044" s="32"/>
      <c r="D2044" s="33"/>
      <c r="E2044" s="33"/>
    </row>
    <row r="2045">
      <c r="A2045" s="32"/>
      <c r="B2045" s="32"/>
      <c r="C2045" s="32"/>
      <c r="D2045" s="33"/>
      <c r="E2045" s="33"/>
    </row>
    <row r="2046">
      <c r="A2046" s="32"/>
      <c r="B2046" s="32"/>
      <c r="C2046" s="32"/>
      <c r="D2046" s="33"/>
      <c r="E2046" s="33"/>
    </row>
    <row r="2047">
      <c r="A2047" s="32"/>
      <c r="B2047" s="32"/>
      <c r="C2047" s="32"/>
      <c r="D2047" s="33"/>
      <c r="E2047" s="33"/>
    </row>
    <row r="2048">
      <c r="A2048" s="32"/>
      <c r="B2048" s="32"/>
      <c r="C2048" s="32"/>
      <c r="D2048" s="33"/>
      <c r="E2048" s="33"/>
    </row>
    <row r="2049">
      <c r="A2049" s="32"/>
      <c r="B2049" s="32"/>
      <c r="C2049" s="32"/>
      <c r="D2049" s="33"/>
      <c r="E2049" s="33"/>
    </row>
    <row r="2050">
      <c r="A2050" s="32"/>
      <c r="B2050" s="32"/>
      <c r="C2050" s="32"/>
      <c r="D2050" s="33"/>
      <c r="E2050" s="33"/>
    </row>
    <row r="2051">
      <c r="A2051" s="32"/>
      <c r="B2051" s="32"/>
      <c r="C2051" s="32"/>
      <c r="D2051" s="33"/>
      <c r="E2051" s="33"/>
    </row>
    <row r="2052">
      <c r="A2052" s="32"/>
      <c r="B2052" s="32"/>
      <c r="C2052" s="32"/>
      <c r="D2052" s="33"/>
      <c r="E2052" s="33"/>
    </row>
    <row r="2053">
      <c r="A2053" s="32"/>
      <c r="B2053" s="32"/>
      <c r="C2053" s="32"/>
      <c r="D2053" s="33"/>
      <c r="E2053" s="33"/>
    </row>
    <row r="2054">
      <c r="A2054" s="32"/>
      <c r="B2054" s="32"/>
      <c r="C2054" s="32"/>
      <c r="D2054" s="33"/>
      <c r="E2054" s="33"/>
    </row>
    <row r="2055">
      <c r="A2055" s="32"/>
      <c r="B2055" s="32"/>
      <c r="C2055" s="32"/>
      <c r="D2055" s="33"/>
      <c r="E2055" s="33"/>
    </row>
    <row r="2056">
      <c r="A2056" s="32"/>
      <c r="B2056" s="32"/>
      <c r="C2056" s="32"/>
      <c r="D2056" s="33"/>
      <c r="E2056" s="33"/>
    </row>
    <row r="2057">
      <c r="A2057" s="32"/>
      <c r="B2057" s="32"/>
      <c r="C2057" s="32"/>
      <c r="D2057" s="33"/>
      <c r="E2057" s="33"/>
    </row>
    <row r="2058">
      <c r="A2058" s="32"/>
      <c r="B2058" s="32"/>
      <c r="C2058" s="32"/>
      <c r="D2058" s="33"/>
      <c r="E2058" s="33"/>
    </row>
    <row r="2059">
      <c r="A2059" s="32"/>
      <c r="B2059" s="32"/>
      <c r="C2059" s="32"/>
      <c r="D2059" s="33"/>
      <c r="E2059" s="33"/>
    </row>
    <row r="2060">
      <c r="A2060" s="32"/>
      <c r="B2060" s="32"/>
      <c r="C2060" s="32"/>
      <c r="D2060" s="33"/>
      <c r="E2060" s="33"/>
    </row>
    <row r="2061">
      <c r="A2061" s="32"/>
      <c r="B2061" s="32"/>
      <c r="C2061" s="32"/>
      <c r="D2061" s="33"/>
      <c r="E2061" s="33"/>
    </row>
    <row r="2062">
      <c r="A2062" s="32"/>
      <c r="B2062" s="32"/>
      <c r="C2062" s="32"/>
      <c r="D2062" s="33"/>
      <c r="E2062" s="33"/>
    </row>
    <row r="2063">
      <c r="A2063" s="32"/>
      <c r="B2063" s="32"/>
      <c r="C2063" s="32"/>
      <c r="D2063" s="33"/>
      <c r="E2063" s="33"/>
    </row>
    <row r="2064">
      <c r="A2064" s="32"/>
      <c r="B2064" s="32"/>
      <c r="C2064" s="32"/>
      <c r="D2064" s="33"/>
      <c r="E2064" s="33"/>
    </row>
    <row r="2065">
      <c r="A2065" s="32"/>
      <c r="B2065" s="32"/>
      <c r="C2065" s="32"/>
      <c r="D2065" s="33"/>
      <c r="E2065" s="33"/>
    </row>
    <row r="2066">
      <c r="A2066" s="32"/>
      <c r="B2066" s="32"/>
      <c r="C2066" s="32"/>
      <c r="D2066" s="33"/>
      <c r="E2066" s="33"/>
    </row>
    <row r="2067">
      <c r="A2067" s="32"/>
      <c r="B2067" s="32"/>
      <c r="C2067" s="32"/>
      <c r="D2067" s="33"/>
      <c r="E2067" s="33"/>
    </row>
    <row r="2068">
      <c r="A2068" s="32"/>
      <c r="B2068" s="32"/>
      <c r="C2068" s="32"/>
      <c r="D2068" s="33"/>
      <c r="E2068" s="33"/>
    </row>
    <row r="2069">
      <c r="A2069" s="32"/>
      <c r="B2069" s="32"/>
      <c r="C2069" s="32"/>
      <c r="D2069" s="33"/>
      <c r="E2069" s="33"/>
    </row>
    <row r="2070">
      <c r="A2070" s="32"/>
      <c r="B2070" s="32"/>
      <c r="C2070" s="32"/>
      <c r="D2070" s="33"/>
      <c r="E2070" s="33"/>
    </row>
    <row r="2071">
      <c r="A2071" s="32"/>
      <c r="B2071" s="32"/>
      <c r="C2071" s="32"/>
      <c r="D2071" s="33"/>
      <c r="E2071" s="33"/>
    </row>
    <row r="2072">
      <c r="A2072" s="32"/>
      <c r="B2072" s="32"/>
      <c r="C2072" s="32"/>
      <c r="D2072" s="33"/>
      <c r="E2072" s="33"/>
    </row>
    <row r="2073">
      <c r="A2073" s="32"/>
      <c r="B2073" s="32"/>
      <c r="C2073" s="32"/>
      <c r="D2073" s="33"/>
      <c r="E2073" s="33"/>
    </row>
    <row r="2074">
      <c r="A2074" s="32"/>
      <c r="B2074" s="32"/>
      <c r="C2074" s="32"/>
      <c r="D2074" s="33"/>
      <c r="E2074" s="33"/>
    </row>
    <row r="2075">
      <c r="A2075" s="32"/>
      <c r="B2075" s="32"/>
      <c r="C2075" s="32"/>
      <c r="D2075" s="33"/>
      <c r="E2075" s="33"/>
    </row>
    <row r="2076">
      <c r="A2076" s="32"/>
      <c r="B2076" s="32"/>
      <c r="C2076" s="32"/>
      <c r="D2076" s="33"/>
      <c r="E2076" s="33"/>
    </row>
    <row r="2077">
      <c r="A2077" s="32"/>
      <c r="B2077" s="32"/>
      <c r="C2077" s="32"/>
      <c r="D2077" s="33"/>
      <c r="E2077" s="33"/>
    </row>
    <row r="2078">
      <c r="A2078" s="32"/>
      <c r="B2078" s="32"/>
      <c r="C2078" s="32"/>
      <c r="D2078" s="33"/>
      <c r="E2078" s="33"/>
    </row>
    <row r="2079">
      <c r="A2079" s="32"/>
      <c r="B2079" s="32"/>
      <c r="C2079" s="32"/>
      <c r="D2079" s="33"/>
      <c r="E2079" s="33"/>
    </row>
    <row r="2080">
      <c r="A2080" s="32"/>
      <c r="B2080" s="32"/>
      <c r="C2080" s="32"/>
      <c r="D2080" s="33"/>
      <c r="E2080" s="33"/>
    </row>
    <row r="2081">
      <c r="A2081" s="32"/>
      <c r="B2081" s="32"/>
      <c r="C2081" s="32"/>
      <c r="D2081" s="33"/>
      <c r="E2081" s="33"/>
    </row>
    <row r="2082">
      <c r="A2082" s="32"/>
      <c r="B2082" s="32"/>
      <c r="C2082" s="32"/>
      <c r="D2082" s="33"/>
      <c r="E2082" s="33"/>
    </row>
    <row r="2083">
      <c r="A2083" s="32"/>
      <c r="B2083" s="32"/>
      <c r="C2083" s="32"/>
      <c r="D2083" s="33"/>
      <c r="E2083" s="33"/>
    </row>
    <row r="2084">
      <c r="A2084" s="32"/>
      <c r="B2084" s="32"/>
      <c r="C2084" s="32"/>
      <c r="D2084" s="33"/>
      <c r="E2084" s="33"/>
    </row>
    <row r="2085">
      <c r="A2085" s="32"/>
      <c r="B2085" s="32"/>
      <c r="C2085" s="32"/>
      <c r="D2085" s="33"/>
      <c r="E2085" s="33"/>
    </row>
    <row r="2086">
      <c r="A2086" s="32"/>
      <c r="B2086" s="32"/>
      <c r="C2086" s="32"/>
      <c r="D2086" s="33"/>
      <c r="E2086" s="33"/>
    </row>
    <row r="2087">
      <c r="A2087" s="32"/>
      <c r="B2087" s="32"/>
      <c r="C2087" s="32"/>
      <c r="D2087" s="33"/>
      <c r="E2087" s="33"/>
    </row>
    <row r="2088">
      <c r="A2088" s="32"/>
      <c r="B2088" s="32"/>
      <c r="C2088" s="32"/>
      <c r="D2088" s="33"/>
      <c r="E2088" s="33"/>
    </row>
    <row r="2089">
      <c r="A2089" s="32"/>
      <c r="B2089" s="32"/>
      <c r="C2089" s="32"/>
      <c r="D2089" s="33"/>
      <c r="E2089" s="33"/>
    </row>
    <row r="2090">
      <c r="A2090" s="32"/>
      <c r="B2090" s="32"/>
      <c r="C2090" s="32"/>
      <c r="D2090" s="33"/>
      <c r="E2090" s="33"/>
    </row>
    <row r="2091">
      <c r="A2091" s="32"/>
      <c r="B2091" s="32"/>
      <c r="C2091" s="32"/>
      <c r="D2091" s="33"/>
      <c r="E2091" s="33"/>
    </row>
    <row r="2092">
      <c r="A2092" s="32"/>
      <c r="B2092" s="32"/>
      <c r="C2092" s="32"/>
      <c r="D2092" s="33"/>
      <c r="E2092" s="33"/>
    </row>
    <row r="2093">
      <c r="A2093" s="32"/>
      <c r="B2093" s="32"/>
      <c r="C2093" s="32"/>
      <c r="D2093" s="33"/>
      <c r="E2093" s="33"/>
    </row>
    <row r="2094">
      <c r="A2094" s="32"/>
      <c r="B2094" s="32"/>
      <c r="C2094" s="32"/>
      <c r="D2094" s="33"/>
      <c r="E2094" s="33"/>
    </row>
    <row r="2095">
      <c r="A2095" s="32"/>
      <c r="B2095" s="32"/>
      <c r="C2095" s="32"/>
      <c r="D2095" s="33"/>
      <c r="E2095" s="33"/>
    </row>
    <row r="2096">
      <c r="A2096" s="32"/>
      <c r="B2096" s="32"/>
      <c r="C2096" s="32"/>
      <c r="D2096" s="33"/>
      <c r="E2096" s="33"/>
    </row>
    <row r="2097">
      <c r="A2097" s="32"/>
      <c r="B2097" s="32"/>
      <c r="C2097" s="32"/>
      <c r="D2097" s="33"/>
      <c r="E2097" s="33"/>
    </row>
    <row r="2098">
      <c r="A2098" s="32"/>
      <c r="B2098" s="32"/>
      <c r="C2098" s="32"/>
      <c r="D2098" s="33"/>
      <c r="E2098" s="33"/>
    </row>
    <row r="2099">
      <c r="A2099" s="32"/>
      <c r="B2099" s="32"/>
      <c r="C2099" s="32"/>
      <c r="D2099" s="33"/>
      <c r="E2099" s="33"/>
    </row>
    <row r="2100">
      <c r="A2100" s="32"/>
      <c r="B2100" s="32"/>
      <c r="C2100" s="32"/>
      <c r="D2100" s="33"/>
      <c r="E2100" s="33"/>
    </row>
    <row r="2101">
      <c r="A2101" s="32"/>
      <c r="B2101" s="32"/>
      <c r="C2101" s="32"/>
      <c r="D2101" s="33"/>
      <c r="E2101" s="33"/>
    </row>
    <row r="2102">
      <c r="A2102" s="32"/>
      <c r="B2102" s="32"/>
      <c r="C2102" s="32"/>
      <c r="D2102" s="33"/>
      <c r="E2102" s="33"/>
    </row>
    <row r="2103">
      <c r="A2103" s="32"/>
      <c r="B2103" s="32"/>
      <c r="C2103" s="32"/>
      <c r="D2103" s="33"/>
      <c r="E2103" s="33"/>
    </row>
    <row r="2104">
      <c r="A2104" s="32"/>
      <c r="B2104" s="32"/>
      <c r="C2104" s="32"/>
      <c r="D2104" s="33"/>
      <c r="E2104" s="33"/>
    </row>
    <row r="2105">
      <c r="A2105" s="32"/>
      <c r="B2105" s="32"/>
      <c r="C2105" s="32"/>
      <c r="D2105" s="33"/>
      <c r="E2105" s="33"/>
    </row>
    <row r="2106">
      <c r="A2106" s="32"/>
      <c r="B2106" s="32"/>
      <c r="C2106" s="32"/>
      <c r="D2106" s="33"/>
      <c r="E2106" s="33"/>
    </row>
    <row r="2107">
      <c r="A2107" s="32"/>
      <c r="B2107" s="32"/>
      <c r="C2107" s="32"/>
      <c r="D2107" s="33"/>
      <c r="E2107" s="33"/>
    </row>
    <row r="2108">
      <c r="A2108" s="32"/>
      <c r="B2108" s="32"/>
      <c r="C2108" s="32"/>
      <c r="D2108" s="33"/>
      <c r="E2108" s="33"/>
    </row>
    <row r="2109">
      <c r="A2109" s="32"/>
      <c r="B2109" s="32"/>
      <c r="C2109" s="32"/>
      <c r="D2109" s="33"/>
      <c r="E2109" s="33"/>
    </row>
    <row r="2110">
      <c r="A2110" s="32"/>
      <c r="B2110" s="32"/>
      <c r="C2110" s="32"/>
      <c r="D2110" s="33"/>
      <c r="E2110" s="33"/>
    </row>
    <row r="2111">
      <c r="A2111" s="32"/>
      <c r="B2111" s="32"/>
      <c r="C2111" s="32"/>
      <c r="D2111" s="33"/>
      <c r="E2111" s="33"/>
    </row>
    <row r="2112">
      <c r="A2112" s="32"/>
      <c r="B2112" s="32"/>
      <c r="C2112" s="32"/>
      <c r="D2112" s="33"/>
      <c r="E2112" s="33"/>
    </row>
    <row r="2113">
      <c r="A2113" s="32"/>
      <c r="B2113" s="32"/>
      <c r="C2113" s="32"/>
      <c r="D2113" s="33"/>
      <c r="E2113" s="33"/>
    </row>
    <row r="2114">
      <c r="A2114" s="32"/>
      <c r="B2114" s="32"/>
      <c r="C2114" s="32"/>
      <c r="D2114" s="33"/>
      <c r="E2114" s="33"/>
    </row>
    <row r="2115">
      <c r="A2115" s="32"/>
      <c r="B2115" s="32"/>
      <c r="C2115" s="32"/>
      <c r="D2115" s="33"/>
      <c r="E2115" s="33"/>
    </row>
    <row r="2116">
      <c r="A2116" s="32"/>
      <c r="B2116" s="32"/>
      <c r="C2116" s="32"/>
      <c r="D2116" s="33"/>
      <c r="E2116" s="33"/>
    </row>
    <row r="2117">
      <c r="A2117" s="32"/>
      <c r="B2117" s="32"/>
      <c r="C2117" s="32"/>
      <c r="D2117" s="33"/>
      <c r="E2117" s="33"/>
    </row>
    <row r="2118">
      <c r="A2118" s="32"/>
      <c r="B2118" s="32"/>
      <c r="C2118" s="32"/>
      <c r="D2118" s="33"/>
      <c r="E2118" s="33"/>
    </row>
    <row r="2119">
      <c r="A2119" s="32"/>
      <c r="B2119" s="32"/>
      <c r="C2119" s="32"/>
      <c r="D2119" s="33"/>
      <c r="E2119" s="33"/>
    </row>
    <row r="2120">
      <c r="A2120" s="32"/>
      <c r="B2120" s="32"/>
      <c r="C2120" s="32"/>
      <c r="D2120" s="33"/>
      <c r="E2120" s="33"/>
    </row>
    <row r="2121">
      <c r="A2121" s="32"/>
      <c r="B2121" s="32"/>
      <c r="C2121" s="32"/>
      <c r="D2121" s="33"/>
      <c r="E2121" s="33"/>
    </row>
    <row r="2122">
      <c r="A2122" s="32"/>
      <c r="B2122" s="32"/>
      <c r="C2122" s="32"/>
      <c r="D2122" s="33"/>
      <c r="E2122" s="33"/>
    </row>
    <row r="2123">
      <c r="A2123" s="32"/>
      <c r="B2123" s="32"/>
      <c r="C2123" s="32"/>
      <c r="D2123" s="33"/>
      <c r="E2123" s="33"/>
    </row>
    <row r="2124">
      <c r="A2124" s="32"/>
      <c r="B2124" s="32"/>
      <c r="C2124" s="32"/>
      <c r="D2124" s="33"/>
      <c r="E2124" s="33"/>
    </row>
    <row r="2125">
      <c r="A2125" s="32"/>
      <c r="B2125" s="32"/>
      <c r="C2125" s="32"/>
      <c r="D2125" s="33"/>
      <c r="E2125" s="33"/>
    </row>
    <row r="2126">
      <c r="A2126" s="32"/>
      <c r="B2126" s="32"/>
      <c r="C2126" s="32"/>
      <c r="D2126" s="33"/>
      <c r="E2126" s="33"/>
    </row>
    <row r="2127">
      <c r="A2127" s="32"/>
      <c r="B2127" s="32"/>
      <c r="C2127" s="32"/>
      <c r="D2127" s="33"/>
      <c r="E2127" s="33"/>
    </row>
    <row r="2128">
      <c r="A2128" s="32"/>
      <c r="B2128" s="32"/>
      <c r="C2128" s="32"/>
      <c r="D2128" s="33"/>
      <c r="E2128" s="33"/>
    </row>
    <row r="2129">
      <c r="A2129" s="32"/>
      <c r="B2129" s="32"/>
      <c r="C2129" s="32"/>
      <c r="D2129" s="33"/>
      <c r="E2129" s="33"/>
    </row>
    <row r="2130">
      <c r="A2130" s="32"/>
      <c r="B2130" s="32"/>
      <c r="C2130" s="32"/>
      <c r="D2130" s="33"/>
      <c r="E2130" s="33"/>
    </row>
    <row r="2131">
      <c r="A2131" s="32"/>
      <c r="B2131" s="32"/>
      <c r="C2131" s="32"/>
      <c r="D2131" s="33"/>
      <c r="E2131" s="33"/>
    </row>
    <row r="2132">
      <c r="A2132" s="32"/>
      <c r="B2132" s="32"/>
      <c r="C2132" s="32"/>
      <c r="D2132" s="33"/>
      <c r="E2132" s="33"/>
    </row>
    <row r="2133">
      <c r="A2133" s="32"/>
      <c r="B2133" s="32"/>
      <c r="C2133" s="32"/>
      <c r="D2133" s="33"/>
      <c r="E2133" s="33"/>
    </row>
    <row r="2134">
      <c r="A2134" s="32"/>
      <c r="B2134" s="32"/>
      <c r="C2134" s="32"/>
      <c r="D2134" s="33"/>
      <c r="E2134" s="33"/>
    </row>
    <row r="2135">
      <c r="A2135" s="32"/>
      <c r="B2135" s="32"/>
      <c r="C2135" s="32"/>
      <c r="D2135" s="33"/>
      <c r="E2135" s="33"/>
    </row>
    <row r="2136">
      <c r="A2136" s="32"/>
      <c r="B2136" s="32"/>
      <c r="C2136" s="32"/>
      <c r="D2136" s="33"/>
      <c r="E2136" s="33"/>
    </row>
    <row r="2137">
      <c r="A2137" s="32"/>
      <c r="B2137" s="32"/>
      <c r="C2137" s="32"/>
      <c r="D2137" s="33"/>
      <c r="E2137" s="33"/>
    </row>
    <row r="2138">
      <c r="A2138" s="32"/>
      <c r="B2138" s="32"/>
      <c r="C2138" s="32"/>
      <c r="D2138" s="33"/>
      <c r="E2138" s="33"/>
    </row>
    <row r="2139">
      <c r="A2139" s="32"/>
      <c r="B2139" s="32"/>
      <c r="C2139" s="32"/>
      <c r="D2139" s="33"/>
      <c r="E2139" s="33"/>
    </row>
    <row r="2140">
      <c r="A2140" s="32"/>
      <c r="B2140" s="32"/>
      <c r="C2140" s="32"/>
      <c r="D2140" s="33"/>
      <c r="E2140" s="33"/>
    </row>
    <row r="2141">
      <c r="A2141" s="32"/>
      <c r="B2141" s="32"/>
      <c r="C2141" s="32"/>
      <c r="D2141" s="33"/>
      <c r="E2141" s="33"/>
    </row>
    <row r="2142">
      <c r="A2142" s="32"/>
      <c r="B2142" s="32"/>
      <c r="C2142" s="32"/>
      <c r="D2142" s="33"/>
      <c r="E2142" s="33"/>
    </row>
    <row r="2143">
      <c r="A2143" s="32"/>
      <c r="B2143" s="32"/>
      <c r="C2143" s="32"/>
      <c r="D2143" s="33"/>
      <c r="E2143" s="33"/>
    </row>
    <row r="2144">
      <c r="A2144" s="32"/>
      <c r="B2144" s="32"/>
      <c r="C2144" s="32"/>
      <c r="D2144" s="33"/>
      <c r="E2144" s="33"/>
    </row>
    <row r="2145">
      <c r="A2145" s="32"/>
      <c r="B2145" s="32"/>
      <c r="C2145" s="32"/>
      <c r="D2145" s="33"/>
      <c r="E2145" s="33"/>
    </row>
    <row r="2146">
      <c r="A2146" s="32"/>
      <c r="B2146" s="32"/>
      <c r="C2146" s="32"/>
      <c r="D2146" s="33"/>
      <c r="E2146" s="33"/>
    </row>
    <row r="2147">
      <c r="A2147" s="32"/>
      <c r="B2147" s="32"/>
      <c r="C2147" s="32"/>
      <c r="D2147" s="33"/>
      <c r="E2147" s="33"/>
    </row>
    <row r="2148">
      <c r="A2148" s="32"/>
      <c r="B2148" s="32"/>
      <c r="C2148" s="32"/>
      <c r="D2148" s="33"/>
      <c r="E2148" s="33"/>
    </row>
    <row r="2149">
      <c r="A2149" s="32"/>
      <c r="B2149" s="32"/>
      <c r="C2149" s="32"/>
      <c r="D2149" s="33"/>
      <c r="E2149" s="33"/>
    </row>
    <row r="2150">
      <c r="A2150" s="32"/>
      <c r="B2150" s="32"/>
      <c r="C2150" s="32"/>
      <c r="D2150" s="33"/>
      <c r="E2150" s="33"/>
    </row>
    <row r="2151">
      <c r="A2151" s="32"/>
      <c r="B2151" s="32"/>
      <c r="C2151" s="32"/>
      <c r="D2151" s="33"/>
      <c r="E2151" s="33"/>
    </row>
    <row r="2152">
      <c r="A2152" s="32"/>
      <c r="B2152" s="32"/>
      <c r="C2152" s="32"/>
      <c r="D2152" s="33"/>
      <c r="E2152" s="33"/>
    </row>
    <row r="2153">
      <c r="A2153" s="32"/>
      <c r="B2153" s="32"/>
      <c r="C2153" s="32"/>
      <c r="D2153" s="33"/>
      <c r="E2153" s="33"/>
    </row>
    <row r="2154">
      <c r="A2154" s="32"/>
      <c r="B2154" s="32"/>
      <c r="C2154" s="32"/>
      <c r="D2154" s="33"/>
      <c r="E2154" s="33"/>
    </row>
    <row r="2155">
      <c r="A2155" s="32"/>
      <c r="B2155" s="32"/>
      <c r="C2155" s="32"/>
      <c r="D2155" s="33"/>
      <c r="E2155" s="33"/>
    </row>
    <row r="2156">
      <c r="A2156" s="32"/>
      <c r="B2156" s="32"/>
      <c r="C2156" s="32"/>
      <c r="D2156" s="33"/>
      <c r="E2156" s="33"/>
    </row>
    <row r="2157">
      <c r="A2157" s="32"/>
      <c r="B2157" s="32"/>
      <c r="C2157" s="32"/>
      <c r="D2157" s="33"/>
      <c r="E2157" s="33"/>
    </row>
    <row r="2158">
      <c r="A2158" s="32"/>
      <c r="B2158" s="32"/>
      <c r="C2158" s="32"/>
      <c r="D2158" s="33"/>
      <c r="E2158" s="33"/>
    </row>
    <row r="2159">
      <c r="A2159" s="32"/>
      <c r="B2159" s="32"/>
      <c r="C2159" s="32"/>
      <c r="D2159" s="33"/>
      <c r="E2159" s="33"/>
    </row>
    <row r="2160">
      <c r="A2160" s="32"/>
      <c r="B2160" s="32"/>
      <c r="C2160" s="32"/>
      <c r="D2160" s="33"/>
      <c r="E2160" s="33"/>
    </row>
    <row r="2161">
      <c r="A2161" s="32"/>
      <c r="B2161" s="32"/>
      <c r="C2161" s="32"/>
      <c r="D2161" s="33"/>
      <c r="E2161" s="33"/>
    </row>
    <row r="2162">
      <c r="A2162" s="32"/>
      <c r="B2162" s="32"/>
      <c r="C2162" s="32"/>
      <c r="D2162" s="33"/>
      <c r="E2162" s="33"/>
    </row>
    <row r="2163">
      <c r="A2163" s="32"/>
      <c r="B2163" s="32"/>
      <c r="C2163" s="32"/>
      <c r="D2163" s="33"/>
      <c r="E2163" s="33"/>
    </row>
    <row r="2164">
      <c r="A2164" s="32"/>
      <c r="B2164" s="32"/>
      <c r="C2164" s="32"/>
      <c r="D2164" s="33"/>
      <c r="E2164" s="33"/>
    </row>
    <row r="2165">
      <c r="A2165" s="32"/>
      <c r="B2165" s="32"/>
      <c r="C2165" s="32"/>
      <c r="D2165" s="33"/>
      <c r="E2165" s="33"/>
    </row>
    <row r="2166">
      <c r="A2166" s="32"/>
      <c r="B2166" s="32"/>
      <c r="C2166" s="32"/>
      <c r="D2166" s="33"/>
      <c r="E2166" s="33"/>
    </row>
    <row r="2167">
      <c r="A2167" s="32"/>
      <c r="B2167" s="32"/>
      <c r="C2167" s="32"/>
      <c r="D2167" s="33"/>
      <c r="E2167" s="33"/>
    </row>
    <row r="2168">
      <c r="A2168" s="32"/>
      <c r="B2168" s="32"/>
      <c r="C2168" s="32"/>
      <c r="D2168" s="33"/>
      <c r="E2168" s="33"/>
    </row>
    <row r="2169">
      <c r="A2169" s="32"/>
      <c r="B2169" s="32"/>
      <c r="C2169" s="32"/>
      <c r="D2169" s="33"/>
      <c r="E2169" s="33"/>
    </row>
    <row r="2170">
      <c r="A2170" s="32"/>
      <c r="B2170" s="32"/>
      <c r="C2170" s="32"/>
      <c r="D2170" s="33"/>
      <c r="E2170" s="33"/>
    </row>
    <row r="2171">
      <c r="A2171" s="32"/>
      <c r="B2171" s="32"/>
      <c r="C2171" s="32"/>
      <c r="D2171" s="33"/>
      <c r="E2171" s="33"/>
    </row>
    <row r="2172">
      <c r="A2172" s="32"/>
      <c r="B2172" s="32"/>
      <c r="C2172" s="32"/>
      <c r="D2172" s="33"/>
      <c r="E2172" s="33"/>
    </row>
    <row r="2173">
      <c r="A2173" s="32"/>
      <c r="B2173" s="32"/>
      <c r="C2173" s="32"/>
      <c r="D2173" s="33"/>
      <c r="E2173" s="33"/>
    </row>
    <row r="2174">
      <c r="A2174" s="32"/>
      <c r="B2174" s="32"/>
      <c r="C2174" s="32"/>
      <c r="D2174" s="33"/>
      <c r="E2174" s="33"/>
    </row>
    <row r="2175">
      <c r="A2175" s="32"/>
      <c r="B2175" s="32"/>
      <c r="C2175" s="32"/>
      <c r="D2175" s="33"/>
      <c r="E2175" s="33"/>
    </row>
    <row r="2176">
      <c r="A2176" s="32"/>
      <c r="B2176" s="32"/>
      <c r="C2176" s="32"/>
      <c r="D2176" s="33"/>
      <c r="E2176" s="33"/>
    </row>
    <row r="2177">
      <c r="A2177" s="32"/>
      <c r="B2177" s="32"/>
      <c r="C2177" s="32"/>
      <c r="D2177" s="33"/>
      <c r="E2177" s="33"/>
    </row>
    <row r="2178">
      <c r="A2178" s="32"/>
      <c r="B2178" s="32"/>
      <c r="C2178" s="32"/>
      <c r="D2178" s="33"/>
      <c r="E2178" s="33"/>
    </row>
    <row r="2179">
      <c r="A2179" s="32"/>
      <c r="B2179" s="32"/>
      <c r="C2179" s="32"/>
      <c r="D2179" s="33"/>
      <c r="E2179" s="33"/>
    </row>
    <row r="2180">
      <c r="A2180" s="32"/>
      <c r="B2180" s="32"/>
      <c r="C2180" s="32"/>
      <c r="D2180" s="33"/>
      <c r="E2180" s="33"/>
    </row>
    <row r="2181">
      <c r="A2181" s="32"/>
      <c r="B2181" s="32"/>
      <c r="C2181" s="32"/>
      <c r="D2181" s="33"/>
      <c r="E2181" s="33"/>
    </row>
    <row r="2182">
      <c r="A2182" s="32"/>
      <c r="B2182" s="32"/>
      <c r="C2182" s="32"/>
      <c r="D2182" s="33"/>
      <c r="E2182" s="33"/>
    </row>
    <row r="2183">
      <c r="A2183" s="32"/>
      <c r="B2183" s="32"/>
      <c r="C2183" s="32"/>
      <c r="D2183" s="33"/>
      <c r="E2183" s="33"/>
    </row>
    <row r="2184">
      <c r="A2184" s="32"/>
      <c r="B2184" s="32"/>
      <c r="C2184" s="32"/>
      <c r="D2184" s="33"/>
      <c r="E2184" s="33"/>
    </row>
    <row r="2185">
      <c r="A2185" s="32"/>
      <c r="B2185" s="32"/>
      <c r="C2185" s="32"/>
      <c r="D2185" s="33"/>
      <c r="E2185" s="33"/>
    </row>
    <row r="2186">
      <c r="A2186" s="32"/>
      <c r="B2186" s="32"/>
      <c r="C2186" s="32"/>
      <c r="D2186" s="33"/>
      <c r="E2186" s="33"/>
    </row>
    <row r="2187">
      <c r="A2187" s="32"/>
      <c r="B2187" s="32"/>
      <c r="C2187" s="32"/>
      <c r="D2187" s="33"/>
      <c r="E2187" s="33"/>
    </row>
    <row r="2188">
      <c r="A2188" s="32"/>
      <c r="B2188" s="32"/>
      <c r="C2188" s="32"/>
      <c r="D2188" s="33"/>
      <c r="E2188" s="33"/>
    </row>
    <row r="2189">
      <c r="A2189" s="32"/>
      <c r="B2189" s="32"/>
      <c r="C2189" s="32"/>
      <c r="D2189" s="33"/>
      <c r="E2189" s="33"/>
    </row>
    <row r="2190">
      <c r="A2190" s="32"/>
      <c r="B2190" s="32"/>
      <c r="C2190" s="32"/>
      <c r="D2190" s="33"/>
      <c r="E2190" s="33"/>
    </row>
    <row r="2191">
      <c r="A2191" s="32"/>
      <c r="B2191" s="32"/>
      <c r="C2191" s="32"/>
      <c r="D2191" s="33"/>
      <c r="E2191" s="33"/>
    </row>
    <row r="2192">
      <c r="A2192" s="32"/>
      <c r="B2192" s="32"/>
      <c r="C2192" s="32"/>
      <c r="D2192" s="33"/>
      <c r="E2192" s="33"/>
    </row>
    <row r="2193">
      <c r="A2193" s="32"/>
      <c r="B2193" s="32"/>
      <c r="C2193" s="32"/>
      <c r="D2193" s="33"/>
      <c r="E2193" s="33"/>
    </row>
    <row r="2194">
      <c r="A2194" s="32"/>
      <c r="B2194" s="32"/>
      <c r="C2194" s="32"/>
      <c r="D2194" s="33"/>
      <c r="E2194" s="33"/>
    </row>
    <row r="2195">
      <c r="A2195" s="32"/>
      <c r="B2195" s="32"/>
      <c r="C2195" s="32"/>
      <c r="D2195" s="33"/>
      <c r="E2195" s="33"/>
    </row>
    <row r="2196">
      <c r="A2196" s="32"/>
      <c r="B2196" s="32"/>
      <c r="C2196" s="32"/>
      <c r="D2196" s="33"/>
      <c r="E2196" s="33"/>
    </row>
    <row r="2197">
      <c r="A2197" s="32"/>
      <c r="B2197" s="32"/>
      <c r="C2197" s="32"/>
      <c r="D2197" s="33"/>
      <c r="E2197" s="33"/>
    </row>
    <row r="2198">
      <c r="A2198" s="32"/>
      <c r="B2198" s="32"/>
      <c r="C2198" s="32"/>
      <c r="D2198" s="33"/>
      <c r="E2198" s="33"/>
    </row>
    <row r="2199">
      <c r="A2199" s="32"/>
      <c r="B2199" s="32"/>
      <c r="C2199" s="32"/>
      <c r="D2199" s="33"/>
      <c r="E2199" s="33"/>
    </row>
    <row r="2200">
      <c r="A2200" s="32"/>
      <c r="B2200" s="32"/>
      <c r="C2200" s="32"/>
      <c r="D2200" s="33"/>
      <c r="E2200" s="33"/>
    </row>
    <row r="2201">
      <c r="A2201" s="32"/>
      <c r="B2201" s="32"/>
      <c r="C2201" s="32"/>
      <c r="D2201" s="33"/>
      <c r="E2201" s="33"/>
    </row>
    <row r="2202">
      <c r="A2202" s="32"/>
      <c r="B2202" s="32"/>
      <c r="C2202" s="32"/>
      <c r="D2202" s="33"/>
      <c r="E2202" s="33"/>
    </row>
    <row r="2203">
      <c r="A2203" s="32"/>
      <c r="B2203" s="32"/>
      <c r="C2203" s="32"/>
      <c r="D2203" s="33"/>
      <c r="E2203" s="33"/>
    </row>
    <row r="2204">
      <c r="A2204" s="32"/>
      <c r="B2204" s="32"/>
      <c r="C2204" s="32"/>
      <c r="D2204" s="33"/>
      <c r="E2204" s="33"/>
    </row>
    <row r="2205">
      <c r="A2205" s="32"/>
      <c r="B2205" s="32"/>
      <c r="C2205" s="32"/>
      <c r="D2205" s="33"/>
      <c r="E2205" s="33"/>
    </row>
    <row r="2206">
      <c r="A2206" s="32"/>
      <c r="B2206" s="32"/>
      <c r="C2206" s="32"/>
      <c r="D2206" s="33"/>
      <c r="E2206" s="33"/>
    </row>
    <row r="2207">
      <c r="A2207" s="32"/>
      <c r="B2207" s="32"/>
      <c r="C2207" s="32"/>
      <c r="D2207" s="33"/>
      <c r="E2207" s="33"/>
    </row>
    <row r="2208">
      <c r="A2208" s="32"/>
      <c r="B2208" s="32"/>
      <c r="C2208" s="32"/>
      <c r="D2208" s="33"/>
      <c r="E2208" s="33"/>
    </row>
    <row r="2209">
      <c r="A2209" s="32"/>
      <c r="B2209" s="32"/>
      <c r="C2209" s="32"/>
      <c r="D2209" s="33"/>
      <c r="E2209" s="33"/>
    </row>
    <row r="2210">
      <c r="A2210" s="32"/>
      <c r="B2210" s="32"/>
      <c r="C2210" s="32"/>
      <c r="D2210" s="33"/>
      <c r="E2210" s="33"/>
    </row>
    <row r="2211">
      <c r="A2211" s="32"/>
      <c r="B2211" s="32"/>
      <c r="C2211" s="32"/>
      <c r="D2211" s="33"/>
      <c r="E2211" s="33"/>
    </row>
    <row r="2212">
      <c r="A2212" s="32"/>
      <c r="B2212" s="32"/>
      <c r="C2212" s="32"/>
      <c r="D2212" s="33"/>
      <c r="E2212" s="33"/>
    </row>
    <row r="2213">
      <c r="A2213" s="32"/>
      <c r="B2213" s="32"/>
      <c r="C2213" s="32"/>
      <c r="D2213" s="33"/>
      <c r="E2213" s="33"/>
    </row>
    <row r="2214">
      <c r="A2214" s="32"/>
      <c r="B2214" s="32"/>
      <c r="C2214" s="32"/>
      <c r="D2214" s="33"/>
      <c r="E2214" s="33"/>
    </row>
    <row r="2215">
      <c r="A2215" s="32"/>
      <c r="B2215" s="32"/>
      <c r="C2215" s="32"/>
      <c r="D2215" s="33"/>
      <c r="E2215" s="33"/>
    </row>
    <row r="2216">
      <c r="A2216" s="32"/>
      <c r="B2216" s="32"/>
      <c r="C2216" s="32"/>
      <c r="D2216" s="33"/>
      <c r="E2216" s="33"/>
    </row>
    <row r="2217">
      <c r="A2217" s="32"/>
      <c r="B2217" s="32"/>
      <c r="C2217" s="32"/>
      <c r="D2217" s="33"/>
      <c r="E2217" s="33"/>
    </row>
    <row r="2218">
      <c r="A2218" s="32"/>
      <c r="B2218" s="32"/>
      <c r="C2218" s="32"/>
      <c r="D2218" s="33"/>
      <c r="E2218" s="33"/>
    </row>
    <row r="2219">
      <c r="A2219" s="32"/>
      <c r="B2219" s="32"/>
      <c r="C2219" s="32"/>
      <c r="D2219" s="33"/>
      <c r="E2219" s="33"/>
    </row>
    <row r="2220">
      <c r="A2220" s="32"/>
      <c r="B2220" s="32"/>
      <c r="C2220" s="32"/>
      <c r="D2220" s="33"/>
      <c r="E2220" s="33"/>
    </row>
    <row r="2221">
      <c r="A2221" s="32"/>
      <c r="B2221" s="32"/>
      <c r="C2221" s="32"/>
      <c r="D2221" s="33"/>
      <c r="E2221" s="33"/>
    </row>
    <row r="2222">
      <c r="A2222" s="32"/>
      <c r="B2222" s="32"/>
      <c r="C2222" s="32"/>
      <c r="D2222" s="33"/>
      <c r="E2222" s="33"/>
    </row>
    <row r="2223">
      <c r="A2223" s="32"/>
      <c r="B2223" s="32"/>
      <c r="C2223" s="32"/>
      <c r="D2223" s="33"/>
      <c r="E2223" s="33"/>
    </row>
    <row r="2224">
      <c r="A2224" s="32"/>
      <c r="B2224" s="32"/>
      <c r="C2224" s="32"/>
      <c r="D2224" s="33"/>
      <c r="E2224" s="33"/>
    </row>
    <row r="2225">
      <c r="A2225" s="32"/>
      <c r="B2225" s="32"/>
      <c r="C2225" s="32"/>
      <c r="D2225" s="33"/>
      <c r="E2225" s="33"/>
    </row>
    <row r="2226">
      <c r="A2226" s="32"/>
      <c r="B2226" s="32"/>
      <c r="C2226" s="32"/>
      <c r="D2226" s="33"/>
      <c r="E2226" s="33"/>
    </row>
    <row r="2227">
      <c r="A2227" s="32"/>
      <c r="B2227" s="32"/>
      <c r="C2227" s="32"/>
      <c r="D2227" s="33"/>
      <c r="E2227" s="33"/>
    </row>
    <row r="2228">
      <c r="A2228" s="32"/>
      <c r="B2228" s="32"/>
      <c r="C2228" s="32"/>
      <c r="D2228" s="33"/>
      <c r="E2228" s="33"/>
    </row>
    <row r="2229">
      <c r="A2229" s="32"/>
      <c r="B2229" s="32"/>
      <c r="C2229" s="32"/>
      <c r="D2229" s="33"/>
      <c r="E2229" s="33"/>
    </row>
    <row r="2230">
      <c r="A2230" s="32"/>
      <c r="B2230" s="32"/>
      <c r="C2230" s="32"/>
      <c r="D2230" s="33"/>
      <c r="E2230" s="33"/>
    </row>
    <row r="2231">
      <c r="A2231" s="32"/>
      <c r="B2231" s="32"/>
      <c r="C2231" s="32"/>
      <c r="D2231" s="33"/>
      <c r="E2231" s="33"/>
    </row>
    <row r="2232">
      <c r="A2232" s="32"/>
      <c r="B2232" s="32"/>
      <c r="C2232" s="32"/>
      <c r="D2232" s="33"/>
      <c r="E2232" s="33"/>
    </row>
    <row r="2233">
      <c r="A2233" s="32"/>
      <c r="B2233" s="32"/>
      <c r="C2233" s="32"/>
      <c r="D2233" s="33"/>
      <c r="E2233" s="33"/>
    </row>
    <row r="2234">
      <c r="A2234" s="32"/>
      <c r="B2234" s="32"/>
      <c r="C2234" s="32"/>
      <c r="D2234" s="33"/>
      <c r="E2234" s="33"/>
    </row>
    <row r="2235">
      <c r="A2235" s="32"/>
      <c r="B2235" s="32"/>
      <c r="C2235" s="32"/>
      <c r="D2235" s="33"/>
      <c r="E2235" s="33"/>
    </row>
    <row r="2236">
      <c r="A2236" s="32"/>
      <c r="B2236" s="32"/>
      <c r="C2236" s="32"/>
      <c r="D2236" s="33"/>
      <c r="E2236" s="33"/>
    </row>
    <row r="2237">
      <c r="A2237" s="32"/>
      <c r="B2237" s="32"/>
      <c r="C2237" s="32"/>
      <c r="D2237" s="33"/>
      <c r="E2237" s="33"/>
    </row>
    <row r="2238">
      <c r="A2238" s="32"/>
      <c r="B2238" s="32"/>
      <c r="C2238" s="32"/>
      <c r="D2238" s="33"/>
      <c r="E2238" s="33"/>
    </row>
    <row r="2239">
      <c r="A2239" s="32"/>
      <c r="B2239" s="32"/>
      <c r="C2239" s="32"/>
      <c r="D2239" s="33"/>
      <c r="E2239" s="33"/>
    </row>
    <row r="2240">
      <c r="A2240" s="32"/>
      <c r="B2240" s="32"/>
      <c r="C2240" s="32"/>
      <c r="D2240" s="33"/>
      <c r="E2240" s="33"/>
    </row>
    <row r="2241">
      <c r="A2241" s="32"/>
      <c r="B2241" s="32"/>
      <c r="C2241" s="32"/>
      <c r="D2241" s="33"/>
      <c r="E2241" s="33"/>
    </row>
    <row r="2242">
      <c r="A2242" s="32"/>
      <c r="B2242" s="32"/>
      <c r="C2242" s="32"/>
      <c r="D2242" s="33"/>
      <c r="E2242" s="33"/>
    </row>
    <row r="2243">
      <c r="A2243" s="32"/>
      <c r="B2243" s="32"/>
      <c r="C2243" s="32"/>
      <c r="D2243" s="33"/>
      <c r="E2243" s="33"/>
    </row>
    <row r="2244">
      <c r="A2244" s="32"/>
      <c r="B2244" s="32"/>
      <c r="C2244" s="32"/>
      <c r="D2244" s="33"/>
      <c r="E2244" s="33"/>
    </row>
    <row r="2245">
      <c r="A2245" s="32"/>
      <c r="B2245" s="32"/>
      <c r="C2245" s="32"/>
      <c r="D2245" s="33"/>
      <c r="E2245" s="33"/>
    </row>
    <row r="2246">
      <c r="A2246" s="32"/>
      <c r="B2246" s="32"/>
      <c r="C2246" s="32"/>
      <c r="D2246" s="33"/>
      <c r="E2246" s="33"/>
    </row>
    <row r="2247">
      <c r="A2247" s="32"/>
      <c r="B2247" s="32"/>
      <c r="C2247" s="32"/>
      <c r="D2247" s="33"/>
      <c r="E2247" s="33"/>
    </row>
    <row r="2248">
      <c r="A2248" s="32"/>
      <c r="B2248" s="32"/>
      <c r="C2248" s="32"/>
      <c r="D2248" s="33"/>
      <c r="E2248" s="33"/>
    </row>
    <row r="2249">
      <c r="A2249" s="32"/>
      <c r="B2249" s="32"/>
      <c r="C2249" s="32"/>
      <c r="D2249" s="33"/>
      <c r="E2249" s="33"/>
    </row>
    <row r="2250">
      <c r="A2250" s="32"/>
      <c r="B2250" s="32"/>
      <c r="C2250" s="32"/>
      <c r="D2250" s="33"/>
      <c r="E2250" s="33"/>
    </row>
    <row r="2251">
      <c r="A2251" s="32"/>
      <c r="B2251" s="32"/>
      <c r="C2251" s="32"/>
      <c r="D2251" s="33"/>
      <c r="E2251" s="33"/>
    </row>
    <row r="2252">
      <c r="A2252" s="32"/>
      <c r="B2252" s="32"/>
      <c r="C2252" s="32"/>
      <c r="D2252" s="33"/>
      <c r="E2252" s="33"/>
    </row>
    <row r="2253">
      <c r="A2253" s="32"/>
      <c r="B2253" s="32"/>
      <c r="C2253" s="32"/>
      <c r="D2253" s="33"/>
      <c r="E2253" s="33"/>
    </row>
    <row r="2254">
      <c r="A2254" s="32"/>
      <c r="B2254" s="32"/>
      <c r="C2254" s="32"/>
      <c r="D2254" s="33"/>
      <c r="E2254" s="33"/>
    </row>
    <row r="2255">
      <c r="A2255" s="32"/>
      <c r="B2255" s="32"/>
      <c r="C2255" s="32"/>
      <c r="D2255" s="33"/>
      <c r="E2255" s="33"/>
    </row>
    <row r="2256">
      <c r="A2256" s="32"/>
      <c r="B2256" s="32"/>
      <c r="C2256" s="32"/>
      <c r="D2256" s="33"/>
      <c r="E2256" s="33"/>
    </row>
    <row r="2257">
      <c r="A2257" s="32"/>
      <c r="B2257" s="32"/>
      <c r="C2257" s="32"/>
      <c r="D2257" s="33"/>
      <c r="E2257" s="33"/>
    </row>
    <row r="2258">
      <c r="A2258" s="32"/>
      <c r="B2258" s="32"/>
      <c r="C2258" s="32"/>
      <c r="D2258" s="33"/>
      <c r="E2258" s="33"/>
    </row>
    <row r="2259">
      <c r="A2259" s="32"/>
      <c r="B2259" s="32"/>
      <c r="C2259" s="32"/>
      <c r="D2259" s="33"/>
      <c r="E2259" s="33"/>
    </row>
    <row r="2260">
      <c r="A2260" s="32"/>
      <c r="B2260" s="32"/>
      <c r="C2260" s="32"/>
      <c r="D2260" s="33"/>
      <c r="E2260" s="33"/>
    </row>
    <row r="2261">
      <c r="A2261" s="32"/>
      <c r="B2261" s="32"/>
      <c r="C2261" s="32"/>
      <c r="D2261" s="33"/>
      <c r="E2261" s="33"/>
    </row>
    <row r="2262">
      <c r="A2262" s="32"/>
      <c r="B2262" s="32"/>
      <c r="C2262" s="32"/>
      <c r="D2262" s="33"/>
      <c r="E2262" s="33"/>
    </row>
    <row r="2263">
      <c r="A2263" s="32"/>
      <c r="B2263" s="32"/>
      <c r="C2263" s="32"/>
      <c r="D2263" s="33"/>
      <c r="E2263" s="33"/>
    </row>
    <row r="2264">
      <c r="A2264" s="32"/>
      <c r="B2264" s="32"/>
      <c r="C2264" s="32"/>
      <c r="D2264" s="33"/>
      <c r="E2264" s="33"/>
    </row>
    <row r="2265">
      <c r="A2265" s="32"/>
      <c r="B2265" s="32"/>
      <c r="C2265" s="32"/>
      <c r="D2265" s="33"/>
      <c r="E2265" s="33"/>
    </row>
    <row r="2266">
      <c r="A2266" s="32"/>
      <c r="B2266" s="32"/>
      <c r="C2266" s="32"/>
      <c r="D2266" s="33"/>
      <c r="E2266" s="33"/>
    </row>
    <row r="2267">
      <c r="A2267" s="32"/>
      <c r="B2267" s="32"/>
      <c r="C2267" s="32"/>
      <c r="D2267" s="33"/>
      <c r="E2267" s="33"/>
    </row>
    <row r="2268">
      <c r="A2268" s="32"/>
      <c r="B2268" s="32"/>
      <c r="C2268" s="32"/>
      <c r="D2268" s="33"/>
      <c r="E2268" s="33"/>
    </row>
    <row r="2269">
      <c r="A2269" s="32"/>
      <c r="B2269" s="32"/>
      <c r="C2269" s="32"/>
      <c r="D2269" s="33"/>
      <c r="E2269" s="33"/>
    </row>
    <row r="2270">
      <c r="A2270" s="32"/>
      <c r="B2270" s="32"/>
      <c r="C2270" s="32"/>
      <c r="D2270" s="33"/>
      <c r="E2270" s="33"/>
    </row>
    <row r="2271">
      <c r="A2271" s="32"/>
      <c r="B2271" s="32"/>
      <c r="C2271" s="32"/>
      <c r="D2271" s="33"/>
      <c r="E2271" s="33"/>
    </row>
    <row r="2272">
      <c r="A2272" s="32"/>
      <c r="B2272" s="32"/>
      <c r="C2272" s="32"/>
      <c r="D2272" s="33"/>
      <c r="E2272" s="33"/>
    </row>
    <row r="2273">
      <c r="A2273" s="32"/>
      <c r="B2273" s="32"/>
      <c r="C2273" s="32"/>
      <c r="D2273" s="33"/>
      <c r="E2273" s="33"/>
    </row>
    <row r="2274">
      <c r="A2274" s="32"/>
      <c r="B2274" s="32"/>
      <c r="C2274" s="32"/>
      <c r="D2274" s="33"/>
      <c r="E2274" s="33"/>
    </row>
    <row r="2275">
      <c r="A2275" s="32"/>
      <c r="B2275" s="32"/>
      <c r="C2275" s="32"/>
      <c r="D2275" s="33"/>
      <c r="E2275" s="33"/>
    </row>
    <row r="2276">
      <c r="A2276" s="32"/>
      <c r="B2276" s="32"/>
      <c r="C2276" s="32"/>
      <c r="D2276" s="33"/>
      <c r="E2276" s="33"/>
    </row>
    <row r="2277">
      <c r="A2277" s="32"/>
      <c r="B2277" s="32"/>
      <c r="C2277" s="32"/>
      <c r="D2277" s="33"/>
      <c r="E2277" s="33"/>
    </row>
    <row r="2278">
      <c r="A2278" s="32"/>
      <c r="B2278" s="32"/>
      <c r="C2278" s="32"/>
      <c r="D2278" s="33"/>
      <c r="E2278" s="33"/>
    </row>
    <row r="2279">
      <c r="A2279" s="32"/>
      <c r="B2279" s="32"/>
      <c r="C2279" s="32"/>
      <c r="D2279" s="33"/>
      <c r="E2279" s="33"/>
    </row>
    <row r="2280">
      <c r="A2280" s="32"/>
      <c r="B2280" s="32"/>
      <c r="C2280" s="32"/>
      <c r="D2280" s="33"/>
      <c r="E2280" s="33"/>
    </row>
    <row r="2281">
      <c r="A2281" s="32"/>
      <c r="B2281" s="32"/>
      <c r="C2281" s="32"/>
      <c r="D2281" s="33"/>
      <c r="E2281" s="33"/>
    </row>
    <row r="2282">
      <c r="A2282" s="32"/>
      <c r="B2282" s="32"/>
      <c r="C2282" s="32"/>
      <c r="D2282" s="33"/>
      <c r="E2282" s="33"/>
    </row>
    <row r="2283">
      <c r="A2283" s="32"/>
      <c r="B2283" s="32"/>
      <c r="C2283" s="32"/>
      <c r="D2283" s="33"/>
      <c r="E2283" s="33"/>
    </row>
    <row r="2284">
      <c r="A2284" s="32"/>
      <c r="B2284" s="32"/>
      <c r="C2284" s="32"/>
      <c r="D2284" s="33"/>
      <c r="E2284" s="33"/>
    </row>
    <row r="2285">
      <c r="A2285" s="32"/>
      <c r="B2285" s="32"/>
      <c r="C2285" s="32"/>
      <c r="D2285" s="33"/>
      <c r="E2285" s="33"/>
    </row>
    <row r="2286">
      <c r="A2286" s="32"/>
      <c r="B2286" s="32"/>
      <c r="C2286" s="32"/>
      <c r="D2286" s="33"/>
      <c r="E2286" s="33"/>
    </row>
    <row r="2287">
      <c r="A2287" s="32"/>
      <c r="B2287" s="32"/>
      <c r="C2287" s="32"/>
      <c r="D2287" s="33"/>
      <c r="E2287" s="33"/>
    </row>
    <row r="2288">
      <c r="A2288" s="32"/>
      <c r="B2288" s="32"/>
      <c r="C2288" s="32"/>
      <c r="D2288" s="33"/>
      <c r="E2288" s="33"/>
    </row>
    <row r="2289">
      <c r="A2289" s="32"/>
      <c r="B2289" s="32"/>
      <c r="C2289" s="32"/>
      <c r="D2289" s="33"/>
      <c r="E2289" s="33"/>
    </row>
    <row r="2290">
      <c r="A2290" s="32"/>
      <c r="B2290" s="32"/>
      <c r="C2290" s="32"/>
      <c r="D2290" s="33"/>
      <c r="E2290" s="33"/>
    </row>
    <row r="2291">
      <c r="A2291" s="32"/>
      <c r="B2291" s="32"/>
      <c r="C2291" s="32"/>
      <c r="D2291" s="33"/>
      <c r="E2291" s="33"/>
    </row>
    <row r="2292">
      <c r="A2292" s="32"/>
      <c r="B2292" s="32"/>
      <c r="C2292" s="32"/>
      <c r="D2292" s="33"/>
      <c r="E2292" s="33"/>
    </row>
    <row r="2293">
      <c r="A2293" s="32"/>
      <c r="B2293" s="32"/>
      <c r="C2293" s="32"/>
      <c r="D2293" s="33"/>
      <c r="E2293" s="33"/>
    </row>
    <row r="2294">
      <c r="A2294" s="32"/>
      <c r="B2294" s="32"/>
      <c r="C2294" s="32"/>
      <c r="D2294" s="33"/>
      <c r="E2294" s="33"/>
    </row>
    <row r="2295">
      <c r="A2295" s="32"/>
      <c r="B2295" s="32"/>
      <c r="C2295" s="32"/>
      <c r="D2295" s="33"/>
      <c r="E2295" s="33"/>
    </row>
    <row r="2296">
      <c r="A2296" s="32"/>
      <c r="B2296" s="32"/>
      <c r="C2296" s="32"/>
      <c r="D2296" s="33"/>
      <c r="E2296" s="33"/>
    </row>
    <row r="2297">
      <c r="A2297" s="32"/>
      <c r="B2297" s="32"/>
      <c r="C2297" s="32"/>
      <c r="D2297" s="33"/>
      <c r="E2297" s="33"/>
    </row>
    <row r="2298">
      <c r="A2298" s="32"/>
      <c r="B2298" s="32"/>
      <c r="C2298" s="32"/>
      <c r="D2298" s="33"/>
      <c r="E2298" s="33"/>
    </row>
    <row r="2299">
      <c r="A2299" s="32"/>
      <c r="B2299" s="32"/>
      <c r="C2299" s="32"/>
      <c r="D2299" s="33"/>
      <c r="E2299" s="33"/>
    </row>
    <row r="2300">
      <c r="A2300" s="32"/>
      <c r="B2300" s="32"/>
      <c r="C2300" s="32"/>
      <c r="D2300" s="33"/>
      <c r="E2300" s="33"/>
    </row>
    <row r="2301">
      <c r="A2301" s="32"/>
      <c r="B2301" s="32"/>
      <c r="C2301" s="32"/>
      <c r="D2301" s="33"/>
      <c r="E2301" s="33"/>
    </row>
    <row r="2302">
      <c r="A2302" s="32"/>
      <c r="B2302" s="32"/>
      <c r="C2302" s="32"/>
      <c r="D2302" s="33"/>
      <c r="E2302" s="33"/>
    </row>
    <row r="2303">
      <c r="A2303" s="32"/>
      <c r="B2303" s="32"/>
      <c r="C2303" s="32"/>
      <c r="D2303" s="33"/>
      <c r="E2303" s="33"/>
    </row>
    <row r="2304">
      <c r="A2304" s="32"/>
      <c r="B2304" s="32"/>
      <c r="C2304" s="32"/>
      <c r="D2304" s="33"/>
      <c r="E2304" s="33"/>
    </row>
    <row r="2305">
      <c r="A2305" s="32"/>
      <c r="B2305" s="32"/>
      <c r="C2305" s="32"/>
      <c r="D2305" s="33"/>
      <c r="E2305" s="33"/>
    </row>
    <row r="2306">
      <c r="A2306" s="32"/>
      <c r="B2306" s="32"/>
      <c r="C2306" s="32"/>
      <c r="D2306" s="33"/>
      <c r="E2306" s="33"/>
    </row>
    <row r="2307">
      <c r="A2307" s="32"/>
      <c r="B2307" s="32"/>
      <c r="C2307" s="32"/>
      <c r="D2307" s="33"/>
      <c r="E2307" s="33"/>
    </row>
    <row r="2308">
      <c r="A2308" s="32"/>
      <c r="B2308" s="32"/>
      <c r="C2308" s="32"/>
      <c r="D2308" s="33"/>
      <c r="E2308" s="33"/>
    </row>
    <row r="2309">
      <c r="A2309" s="32"/>
      <c r="B2309" s="32"/>
      <c r="C2309" s="32"/>
      <c r="D2309" s="33"/>
      <c r="E2309" s="33"/>
    </row>
    <row r="2310">
      <c r="A2310" s="32"/>
      <c r="B2310" s="32"/>
      <c r="C2310" s="32"/>
      <c r="D2310" s="33"/>
      <c r="E2310" s="33"/>
    </row>
    <row r="2311">
      <c r="A2311" s="32"/>
      <c r="B2311" s="32"/>
      <c r="C2311" s="32"/>
      <c r="D2311" s="33"/>
      <c r="E2311" s="33"/>
    </row>
    <row r="2312">
      <c r="A2312" s="32"/>
      <c r="B2312" s="32"/>
      <c r="C2312" s="32"/>
      <c r="D2312" s="33"/>
      <c r="E2312" s="33"/>
    </row>
    <row r="2313">
      <c r="A2313" s="32"/>
      <c r="B2313" s="32"/>
      <c r="C2313" s="32"/>
      <c r="D2313" s="33"/>
      <c r="E2313" s="33"/>
    </row>
    <row r="2314">
      <c r="A2314" s="32"/>
      <c r="B2314" s="32"/>
      <c r="C2314" s="32"/>
      <c r="D2314" s="33"/>
      <c r="E2314" s="33"/>
    </row>
    <row r="2315">
      <c r="A2315" s="32"/>
      <c r="B2315" s="32"/>
      <c r="C2315" s="32"/>
      <c r="D2315" s="33"/>
      <c r="E2315" s="33"/>
    </row>
    <row r="2316">
      <c r="A2316" s="32"/>
      <c r="B2316" s="32"/>
      <c r="C2316" s="32"/>
      <c r="D2316" s="33"/>
      <c r="E2316" s="33"/>
    </row>
    <row r="2317">
      <c r="A2317" s="32"/>
      <c r="B2317" s="32"/>
      <c r="C2317" s="32"/>
      <c r="D2317" s="33"/>
      <c r="E2317" s="33"/>
    </row>
    <row r="2318">
      <c r="A2318" s="32"/>
      <c r="B2318" s="32"/>
      <c r="C2318" s="32"/>
      <c r="D2318" s="33"/>
      <c r="E2318" s="33"/>
    </row>
    <row r="2319">
      <c r="A2319" s="32"/>
      <c r="B2319" s="32"/>
      <c r="C2319" s="32"/>
      <c r="D2319" s="33"/>
      <c r="E2319" s="33"/>
    </row>
    <row r="2320">
      <c r="A2320" s="32"/>
      <c r="B2320" s="32"/>
      <c r="C2320" s="32"/>
      <c r="D2320" s="33"/>
      <c r="E2320" s="33"/>
    </row>
    <row r="2321">
      <c r="A2321" s="32"/>
      <c r="B2321" s="32"/>
      <c r="C2321" s="32"/>
      <c r="D2321" s="33"/>
      <c r="E2321" s="33"/>
    </row>
    <row r="2322">
      <c r="A2322" s="32"/>
      <c r="B2322" s="32"/>
      <c r="C2322" s="32"/>
      <c r="D2322" s="33"/>
      <c r="E2322" s="33"/>
    </row>
    <row r="2323">
      <c r="A2323" s="32"/>
      <c r="B2323" s="32"/>
      <c r="C2323" s="32"/>
      <c r="D2323" s="33"/>
      <c r="E2323" s="33"/>
    </row>
    <row r="2324">
      <c r="A2324" s="32"/>
      <c r="B2324" s="32"/>
      <c r="C2324" s="32"/>
      <c r="D2324" s="33"/>
      <c r="E2324" s="33"/>
    </row>
    <row r="2325">
      <c r="A2325" s="32"/>
      <c r="B2325" s="32"/>
      <c r="C2325" s="32"/>
      <c r="D2325" s="33"/>
      <c r="E2325" s="33"/>
    </row>
    <row r="2326">
      <c r="A2326" s="32"/>
      <c r="B2326" s="32"/>
      <c r="C2326" s="32"/>
      <c r="D2326" s="33"/>
      <c r="E2326" s="33"/>
    </row>
    <row r="2327">
      <c r="A2327" s="32"/>
      <c r="B2327" s="32"/>
      <c r="C2327" s="32"/>
      <c r="D2327" s="33"/>
      <c r="E2327" s="33"/>
    </row>
    <row r="2328">
      <c r="A2328" s="32"/>
      <c r="B2328" s="32"/>
      <c r="C2328" s="32"/>
      <c r="D2328" s="33"/>
      <c r="E2328" s="33"/>
    </row>
    <row r="2329">
      <c r="A2329" s="32"/>
      <c r="B2329" s="32"/>
      <c r="C2329" s="32"/>
      <c r="D2329" s="33"/>
      <c r="E2329" s="33"/>
    </row>
    <row r="2330">
      <c r="A2330" s="32"/>
      <c r="B2330" s="32"/>
      <c r="C2330" s="32"/>
      <c r="D2330" s="33"/>
      <c r="E2330" s="33"/>
    </row>
    <row r="2331">
      <c r="A2331" s="32"/>
      <c r="B2331" s="32"/>
      <c r="C2331" s="32"/>
      <c r="D2331" s="33"/>
      <c r="E2331" s="33"/>
    </row>
    <row r="2332">
      <c r="A2332" s="32"/>
      <c r="B2332" s="32"/>
      <c r="C2332" s="32"/>
      <c r="D2332" s="33"/>
      <c r="E2332" s="33"/>
    </row>
    <row r="2333">
      <c r="A2333" s="32"/>
      <c r="B2333" s="32"/>
      <c r="C2333" s="32"/>
      <c r="D2333" s="33"/>
      <c r="E2333" s="33"/>
    </row>
    <row r="2334">
      <c r="A2334" s="32"/>
      <c r="B2334" s="32"/>
      <c r="C2334" s="32"/>
      <c r="D2334" s="33"/>
      <c r="E2334" s="33"/>
    </row>
    <row r="2335">
      <c r="A2335" s="32"/>
      <c r="B2335" s="32"/>
      <c r="C2335" s="32"/>
      <c r="D2335" s="33"/>
      <c r="E2335" s="33"/>
    </row>
    <row r="2336">
      <c r="A2336" s="32"/>
      <c r="B2336" s="32"/>
      <c r="C2336" s="32"/>
      <c r="D2336" s="33"/>
      <c r="E2336" s="33"/>
    </row>
    <row r="2337">
      <c r="A2337" s="32"/>
      <c r="B2337" s="32"/>
      <c r="C2337" s="32"/>
      <c r="D2337" s="33"/>
      <c r="E2337" s="33"/>
    </row>
    <row r="2338">
      <c r="A2338" s="32"/>
      <c r="B2338" s="32"/>
      <c r="C2338" s="32"/>
      <c r="D2338" s="33"/>
      <c r="E2338" s="33"/>
    </row>
    <row r="2339">
      <c r="A2339" s="32"/>
      <c r="B2339" s="32"/>
      <c r="C2339" s="32"/>
      <c r="D2339" s="33"/>
      <c r="E2339" s="33"/>
    </row>
    <row r="2340">
      <c r="A2340" s="32"/>
      <c r="B2340" s="32"/>
      <c r="C2340" s="32"/>
      <c r="D2340" s="33"/>
      <c r="E2340" s="33"/>
    </row>
    <row r="2341">
      <c r="A2341" s="32"/>
      <c r="B2341" s="32"/>
      <c r="C2341" s="32"/>
      <c r="D2341" s="33"/>
      <c r="E2341" s="33"/>
    </row>
    <row r="2342">
      <c r="A2342" s="32"/>
      <c r="B2342" s="32"/>
      <c r="C2342" s="32"/>
      <c r="D2342" s="33"/>
      <c r="E2342" s="33"/>
    </row>
    <row r="2343">
      <c r="A2343" s="32"/>
      <c r="B2343" s="32"/>
      <c r="C2343" s="32"/>
      <c r="D2343" s="33"/>
      <c r="E2343" s="33"/>
    </row>
    <row r="2344">
      <c r="A2344" s="32"/>
      <c r="B2344" s="32"/>
      <c r="C2344" s="32"/>
      <c r="D2344" s="33"/>
      <c r="E2344" s="33"/>
    </row>
    <row r="2345">
      <c r="A2345" s="32"/>
      <c r="B2345" s="32"/>
      <c r="C2345" s="32"/>
      <c r="D2345" s="33"/>
      <c r="E2345" s="33"/>
    </row>
    <row r="2346">
      <c r="A2346" s="32"/>
      <c r="B2346" s="32"/>
      <c r="C2346" s="32"/>
      <c r="D2346" s="33"/>
      <c r="E2346" s="33"/>
    </row>
    <row r="2347">
      <c r="A2347" s="32"/>
      <c r="B2347" s="32"/>
      <c r="C2347" s="32"/>
      <c r="D2347" s="33"/>
      <c r="E2347" s="33"/>
    </row>
    <row r="2348">
      <c r="A2348" s="32"/>
      <c r="B2348" s="32"/>
      <c r="C2348" s="32"/>
      <c r="D2348" s="33"/>
      <c r="E2348" s="33"/>
    </row>
    <row r="2349">
      <c r="A2349" s="32"/>
      <c r="B2349" s="32"/>
      <c r="C2349" s="32"/>
      <c r="D2349" s="33"/>
      <c r="E2349" s="33"/>
    </row>
    <row r="2350">
      <c r="A2350" s="32"/>
      <c r="B2350" s="32"/>
      <c r="C2350" s="32"/>
      <c r="D2350" s="33"/>
      <c r="E2350" s="33"/>
    </row>
    <row r="2351">
      <c r="A2351" s="32"/>
      <c r="B2351" s="32"/>
      <c r="C2351" s="32"/>
      <c r="D2351" s="33"/>
      <c r="E2351" s="33"/>
    </row>
    <row r="2352">
      <c r="A2352" s="32"/>
      <c r="B2352" s="32"/>
      <c r="C2352" s="32"/>
      <c r="D2352" s="33"/>
      <c r="E2352" s="33"/>
    </row>
    <row r="2353">
      <c r="A2353" s="32"/>
      <c r="B2353" s="32"/>
      <c r="C2353" s="32"/>
      <c r="D2353" s="33"/>
      <c r="E2353" s="33"/>
    </row>
    <row r="2354">
      <c r="A2354" s="32"/>
      <c r="B2354" s="32"/>
      <c r="C2354" s="32"/>
      <c r="D2354" s="33"/>
      <c r="E2354" s="33"/>
    </row>
    <row r="2355">
      <c r="A2355" s="32"/>
      <c r="B2355" s="32"/>
      <c r="C2355" s="32"/>
      <c r="D2355" s="33"/>
      <c r="E2355" s="33"/>
    </row>
    <row r="2356">
      <c r="A2356" s="32"/>
      <c r="B2356" s="32"/>
      <c r="C2356" s="32"/>
      <c r="D2356" s="33"/>
      <c r="E2356" s="33"/>
    </row>
    <row r="2357">
      <c r="A2357" s="32"/>
      <c r="B2357" s="32"/>
      <c r="C2357" s="32"/>
      <c r="D2357" s="33"/>
      <c r="E2357" s="33"/>
    </row>
    <row r="2358">
      <c r="A2358" s="32"/>
      <c r="B2358" s="32"/>
      <c r="C2358" s="32"/>
      <c r="D2358" s="33"/>
      <c r="E2358" s="33"/>
    </row>
    <row r="2359">
      <c r="A2359" s="32"/>
      <c r="B2359" s="32"/>
      <c r="C2359" s="32"/>
      <c r="D2359" s="33"/>
      <c r="E2359" s="33"/>
    </row>
    <row r="2360">
      <c r="A2360" s="32"/>
      <c r="B2360" s="32"/>
      <c r="C2360" s="32"/>
      <c r="D2360" s="33"/>
      <c r="E2360" s="33"/>
    </row>
    <row r="2361">
      <c r="A2361" s="32"/>
      <c r="B2361" s="32"/>
      <c r="C2361" s="32"/>
      <c r="D2361" s="33"/>
      <c r="E2361" s="33"/>
    </row>
    <row r="2362">
      <c r="A2362" s="32"/>
      <c r="B2362" s="32"/>
      <c r="C2362" s="32"/>
      <c r="D2362" s="33"/>
      <c r="E2362" s="33"/>
    </row>
    <row r="2363">
      <c r="A2363" s="32"/>
      <c r="B2363" s="32"/>
      <c r="C2363" s="32"/>
      <c r="D2363" s="33"/>
      <c r="E2363" s="33"/>
    </row>
    <row r="2364">
      <c r="A2364" s="32"/>
      <c r="B2364" s="32"/>
      <c r="C2364" s="32"/>
      <c r="D2364" s="33"/>
      <c r="E2364" s="33"/>
    </row>
    <row r="2365">
      <c r="A2365" s="32"/>
      <c r="B2365" s="32"/>
      <c r="C2365" s="32"/>
      <c r="D2365" s="33"/>
      <c r="E2365" s="33"/>
    </row>
    <row r="2366">
      <c r="A2366" s="32"/>
      <c r="B2366" s="32"/>
      <c r="C2366" s="32"/>
      <c r="D2366" s="33"/>
      <c r="E2366" s="33"/>
    </row>
    <row r="2367">
      <c r="A2367" s="32"/>
      <c r="B2367" s="32"/>
      <c r="C2367" s="32"/>
      <c r="D2367" s="33"/>
      <c r="E2367" s="33"/>
    </row>
    <row r="2368">
      <c r="A2368" s="32"/>
      <c r="B2368" s="32"/>
      <c r="C2368" s="32"/>
      <c r="D2368" s="33"/>
      <c r="E2368" s="33"/>
    </row>
    <row r="2369">
      <c r="A2369" s="32"/>
      <c r="B2369" s="32"/>
      <c r="C2369" s="32"/>
      <c r="D2369" s="33"/>
      <c r="E2369" s="33"/>
    </row>
    <row r="2370">
      <c r="A2370" s="32"/>
      <c r="B2370" s="32"/>
      <c r="C2370" s="32"/>
      <c r="D2370" s="33"/>
      <c r="E2370" s="33"/>
    </row>
    <row r="2371">
      <c r="A2371" s="32"/>
      <c r="B2371" s="32"/>
      <c r="C2371" s="32"/>
      <c r="D2371" s="33"/>
      <c r="E2371" s="33"/>
    </row>
    <row r="2372">
      <c r="A2372" s="32"/>
      <c r="B2372" s="32"/>
      <c r="C2372" s="32"/>
      <c r="D2372" s="33"/>
      <c r="E2372" s="33"/>
    </row>
    <row r="2373">
      <c r="A2373" s="32"/>
      <c r="B2373" s="32"/>
      <c r="C2373" s="32"/>
      <c r="D2373" s="33"/>
      <c r="E2373" s="33"/>
    </row>
    <row r="2374">
      <c r="A2374" s="32"/>
      <c r="B2374" s="32"/>
      <c r="C2374" s="32"/>
      <c r="D2374" s="33"/>
      <c r="E2374" s="33"/>
    </row>
    <row r="2375">
      <c r="A2375" s="32"/>
      <c r="B2375" s="32"/>
      <c r="C2375" s="32"/>
      <c r="D2375" s="33"/>
      <c r="E2375" s="33"/>
    </row>
    <row r="2376">
      <c r="A2376" s="32"/>
      <c r="B2376" s="32"/>
      <c r="C2376" s="32"/>
      <c r="D2376" s="33"/>
      <c r="E2376" s="33"/>
    </row>
    <row r="2377">
      <c r="A2377" s="32"/>
      <c r="B2377" s="32"/>
      <c r="C2377" s="32"/>
      <c r="D2377" s="33"/>
      <c r="E2377" s="33"/>
    </row>
    <row r="2378">
      <c r="A2378" s="32"/>
      <c r="B2378" s="32"/>
      <c r="C2378" s="32"/>
      <c r="D2378" s="33"/>
      <c r="E2378" s="33"/>
    </row>
    <row r="2379">
      <c r="A2379" s="32"/>
      <c r="B2379" s="32"/>
      <c r="C2379" s="32"/>
      <c r="D2379" s="33"/>
      <c r="E2379" s="33"/>
    </row>
    <row r="2380">
      <c r="A2380" s="32"/>
      <c r="B2380" s="32"/>
      <c r="C2380" s="32"/>
      <c r="D2380" s="33"/>
      <c r="E2380" s="33"/>
    </row>
    <row r="2381">
      <c r="A2381" s="32"/>
      <c r="B2381" s="32"/>
      <c r="C2381" s="32"/>
      <c r="D2381" s="33"/>
      <c r="E2381" s="33"/>
    </row>
    <row r="2382">
      <c r="A2382" s="32"/>
      <c r="B2382" s="32"/>
      <c r="C2382" s="32"/>
      <c r="D2382" s="33"/>
      <c r="E2382" s="33"/>
    </row>
    <row r="2383">
      <c r="A2383" s="32"/>
      <c r="B2383" s="32"/>
      <c r="C2383" s="32"/>
      <c r="D2383" s="33"/>
      <c r="E2383" s="33"/>
    </row>
    <row r="2384">
      <c r="A2384" s="32"/>
      <c r="B2384" s="32"/>
      <c r="C2384" s="32"/>
      <c r="D2384" s="33"/>
      <c r="E2384" s="33"/>
    </row>
    <row r="2385">
      <c r="A2385" s="32"/>
      <c r="B2385" s="32"/>
      <c r="C2385" s="32"/>
      <c r="D2385" s="33"/>
      <c r="E2385" s="33"/>
    </row>
    <row r="2386">
      <c r="A2386" s="32"/>
      <c r="B2386" s="32"/>
      <c r="C2386" s="32"/>
      <c r="D2386" s="33"/>
      <c r="E2386" s="33"/>
    </row>
    <row r="2387">
      <c r="A2387" s="32"/>
      <c r="B2387" s="32"/>
      <c r="C2387" s="32"/>
      <c r="D2387" s="33"/>
      <c r="E2387" s="33"/>
    </row>
    <row r="2388">
      <c r="A2388" s="32"/>
      <c r="B2388" s="32"/>
      <c r="C2388" s="32"/>
      <c r="D2388" s="33"/>
      <c r="E2388" s="33"/>
    </row>
    <row r="2389">
      <c r="A2389" s="32"/>
      <c r="B2389" s="32"/>
      <c r="C2389" s="32"/>
      <c r="D2389" s="33"/>
      <c r="E2389" s="33"/>
    </row>
    <row r="2390">
      <c r="A2390" s="32"/>
      <c r="B2390" s="32"/>
      <c r="C2390" s="32"/>
      <c r="D2390" s="33"/>
      <c r="E2390" s="33"/>
    </row>
    <row r="2391">
      <c r="A2391" s="32"/>
      <c r="B2391" s="32"/>
      <c r="C2391" s="32"/>
      <c r="D2391" s="33"/>
      <c r="E2391" s="33"/>
    </row>
    <row r="2392">
      <c r="A2392" s="32"/>
      <c r="B2392" s="32"/>
      <c r="C2392" s="32"/>
      <c r="D2392" s="33"/>
      <c r="E2392" s="33"/>
    </row>
    <row r="2393">
      <c r="A2393" s="32"/>
      <c r="B2393" s="32"/>
      <c r="C2393" s="32"/>
      <c r="D2393" s="33"/>
      <c r="E2393" s="33"/>
    </row>
    <row r="2394">
      <c r="A2394" s="32"/>
      <c r="B2394" s="32"/>
      <c r="C2394" s="32"/>
      <c r="D2394" s="33"/>
      <c r="E2394" s="33"/>
    </row>
    <row r="2395">
      <c r="A2395" s="32"/>
      <c r="B2395" s="32"/>
      <c r="C2395" s="32"/>
      <c r="D2395" s="33"/>
      <c r="E2395" s="33"/>
    </row>
    <row r="2396">
      <c r="A2396" s="32"/>
      <c r="B2396" s="32"/>
      <c r="C2396" s="32"/>
      <c r="D2396" s="33"/>
      <c r="E2396" s="33"/>
    </row>
    <row r="2397">
      <c r="A2397" s="32"/>
      <c r="B2397" s="32"/>
      <c r="C2397" s="32"/>
      <c r="D2397" s="33"/>
      <c r="E2397" s="33"/>
    </row>
    <row r="2398">
      <c r="A2398" s="32"/>
      <c r="B2398" s="32"/>
      <c r="C2398" s="32"/>
      <c r="D2398" s="33"/>
      <c r="E2398" s="33"/>
    </row>
    <row r="2399">
      <c r="A2399" s="32"/>
      <c r="B2399" s="32"/>
      <c r="C2399" s="32"/>
      <c r="D2399" s="33"/>
      <c r="E2399" s="33"/>
    </row>
    <row r="2400">
      <c r="A2400" s="32"/>
      <c r="B2400" s="32"/>
      <c r="C2400" s="32"/>
      <c r="D2400" s="33"/>
      <c r="E2400" s="33"/>
    </row>
    <row r="2401">
      <c r="A2401" s="32"/>
      <c r="B2401" s="32"/>
      <c r="C2401" s="32"/>
      <c r="D2401" s="33"/>
      <c r="E2401" s="33"/>
    </row>
    <row r="2402">
      <c r="A2402" s="32"/>
      <c r="B2402" s="32"/>
      <c r="C2402" s="32"/>
      <c r="D2402" s="33"/>
      <c r="E2402" s="33"/>
    </row>
    <row r="2403">
      <c r="A2403" s="32"/>
      <c r="B2403" s="32"/>
      <c r="C2403" s="32"/>
      <c r="D2403" s="33"/>
      <c r="E2403" s="33"/>
    </row>
    <row r="2404">
      <c r="A2404" s="32"/>
      <c r="B2404" s="32"/>
      <c r="C2404" s="32"/>
      <c r="D2404" s="33"/>
      <c r="E2404" s="33"/>
    </row>
    <row r="2405">
      <c r="A2405" s="32"/>
      <c r="B2405" s="32"/>
      <c r="C2405" s="32"/>
      <c r="D2405" s="33"/>
      <c r="E2405" s="33"/>
    </row>
    <row r="2406">
      <c r="A2406" s="32"/>
      <c r="B2406" s="32"/>
      <c r="C2406" s="32"/>
      <c r="D2406" s="33"/>
      <c r="E2406" s="33"/>
    </row>
    <row r="2407">
      <c r="A2407" s="32"/>
      <c r="B2407" s="32"/>
      <c r="C2407" s="32"/>
      <c r="D2407" s="33"/>
      <c r="E2407" s="33"/>
    </row>
    <row r="2408">
      <c r="A2408" s="32"/>
      <c r="B2408" s="32"/>
      <c r="C2408" s="32"/>
      <c r="D2408" s="33"/>
      <c r="E2408" s="33"/>
    </row>
    <row r="2409">
      <c r="A2409" s="32"/>
      <c r="B2409" s="32"/>
      <c r="C2409" s="32"/>
      <c r="D2409" s="33"/>
      <c r="E2409" s="33"/>
    </row>
    <row r="2410">
      <c r="A2410" s="32"/>
      <c r="B2410" s="32"/>
      <c r="C2410" s="32"/>
      <c r="D2410" s="33"/>
      <c r="E2410" s="33"/>
    </row>
    <row r="2411">
      <c r="A2411" s="32"/>
      <c r="B2411" s="32"/>
      <c r="C2411" s="32"/>
      <c r="D2411" s="33"/>
      <c r="E2411" s="33"/>
    </row>
    <row r="2412">
      <c r="A2412" s="32"/>
      <c r="B2412" s="32"/>
      <c r="C2412" s="32"/>
      <c r="D2412" s="33"/>
      <c r="E2412" s="33"/>
    </row>
    <row r="2413">
      <c r="A2413" s="32"/>
      <c r="B2413" s="32"/>
      <c r="C2413" s="32"/>
      <c r="D2413" s="33"/>
      <c r="E2413" s="33"/>
    </row>
    <row r="2414">
      <c r="A2414" s="32"/>
      <c r="B2414" s="32"/>
      <c r="C2414" s="32"/>
      <c r="D2414" s="33"/>
      <c r="E2414" s="33"/>
    </row>
    <row r="2415">
      <c r="A2415" s="32"/>
      <c r="B2415" s="32"/>
      <c r="C2415" s="32"/>
      <c r="D2415" s="33"/>
      <c r="E2415" s="33"/>
    </row>
    <row r="2416">
      <c r="A2416" s="32"/>
      <c r="B2416" s="32"/>
      <c r="C2416" s="32"/>
      <c r="D2416" s="33"/>
      <c r="E2416" s="33"/>
    </row>
    <row r="2417">
      <c r="A2417" s="32"/>
      <c r="B2417" s="32"/>
      <c r="C2417" s="32"/>
      <c r="D2417" s="33"/>
      <c r="E2417" s="33"/>
    </row>
    <row r="2418">
      <c r="A2418" s="32"/>
      <c r="B2418" s="32"/>
      <c r="C2418" s="32"/>
      <c r="D2418" s="33"/>
      <c r="E2418" s="33"/>
    </row>
    <row r="2419">
      <c r="A2419" s="32"/>
      <c r="B2419" s="32"/>
      <c r="C2419" s="32"/>
      <c r="D2419" s="33"/>
      <c r="E2419" s="33"/>
    </row>
    <row r="2420">
      <c r="A2420" s="32"/>
      <c r="B2420" s="32"/>
      <c r="C2420" s="32"/>
      <c r="D2420" s="33"/>
      <c r="E2420" s="33"/>
    </row>
    <row r="2421">
      <c r="A2421" s="32"/>
      <c r="B2421" s="32"/>
      <c r="C2421" s="32"/>
      <c r="D2421" s="33"/>
      <c r="E2421" s="33"/>
    </row>
    <row r="2422">
      <c r="A2422" s="32"/>
      <c r="B2422" s="32"/>
      <c r="C2422" s="32"/>
      <c r="D2422" s="33"/>
      <c r="E2422" s="33"/>
    </row>
    <row r="2423">
      <c r="A2423" s="32"/>
      <c r="B2423" s="32"/>
      <c r="C2423" s="32"/>
      <c r="D2423" s="33"/>
      <c r="E2423" s="33"/>
    </row>
    <row r="2424">
      <c r="A2424" s="32"/>
      <c r="B2424" s="32"/>
      <c r="C2424" s="32"/>
      <c r="D2424" s="33"/>
      <c r="E2424" s="33"/>
    </row>
    <row r="2425">
      <c r="A2425" s="32"/>
      <c r="B2425" s="32"/>
      <c r="C2425" s="32"/>
      <c r="D2425" s="33"/>
      <c r="E2425" s="33"/>
    </row>
    <row r="2426">
      <c r="A2426" s="32"/>
      <c r="B2426" s="32"/>
      <c r="C2426" s="32"/>
      <c r="D2426" s="33"/>
      <c r="E2426" s="33"/>
    </row>
    <row r="2427">
      <c r="A2427" s="32"/>
      <c r="B2427" s="32"/>
      <c r="C2427" s="32"/>
      <c r="D2427" s="33"/>
      <c r="E2427" s="33"/>
    </row>
    <row r="2428">
      <c r="A2428" s="32"/>
      <c r="B2428" s="32"/>
      <c r="C2428" s="32"/>
      <c r="D2428" s="33"/>
      <c r="E2428" s="33"/>
    </row>
    <row r="2429">
      <c r="A2429" s="32"/>
      <c r="B2429" s="32"/>
      <c r="C2429" s="32"/>
      <c r="D2429" s="33"/>
      <c r="E2429" s="33"/>
    </row>
    <row r="2430">
      <c r="A2430" s="32"/>
      <c r="B2430" s="32"/>
      <c r="C2430" s="32"/>
      <c r="D2430" s="33"/>
      <c r="E2430" s="33"/>
    </row>
    <row r="2431">
      <c r="A2431" s="32"/>
      <c r="B2431" s="32"/>
      <c r="C2431" s="32"/>
      <c r="D2431" s="33"/>
      <c r="E2431" s="33"/>
    </row>
    <row r="2432">
      <c r="A2432" s="32"/>
      <c r="B2432" s="32"/>
      <c r="C2432" s="32"/>
      <c r="D2432" s="33"/>
      <c r="E2432" s="33"/>
    </row>
    <row r="2433">
      <c r="A2433" s="32"/>
      <c r="B2433" s="32"/>
      <c r="C2433" s="32"/>
      <c r="D2433" s="33"/>
      <c r="E2433" s="33"/>
    </row>
    <row r="2434">
      <c r="A2434" s="32"/>
      <c r="B2434" s="32"/>
      <c r="C2434" s="32"/>
      <c r="D2434" s="33"/>
      <c r="E2434" s="33"/>
    </row>
    <row r="2435">
      <c r="A2435" s="32"/>
      <c r="B2435" s="32"/>
      <c r="C2435" s="32"/>
      <c r="D2435" s="33"/>
      <c r="E2435" s="33"/>
    </row>
    <row r="2436">
      <c r="A2436" s="32"/>
      <c r="B2436" s="32"/>
      <c r="C2436" s="32"/>
      <c r="D2436" s="33"/>
      <c r="E2436" s="33"/>
    </row>
    <row r="2437">
      <c r="A2437" s="32"/>
      <c r="B2437" s="32"/>
      <c r="C2437" s="32"/>
      <c r="D2437" s="33"/>
      <c r="E2437" s="33"/>
    </row>
    <row r="2438">
      <c r="A2438" s="32"/>
      <c r="B2438" s="32"/>
      <c r="C2438" s="32"/>
      <c r="D2438" s="33"/>
      <c r="E2438" s="33"/>
    </row>
    <row r="2439">
      <c r="A2439" s="32"/>
      <c r="B2439" s="32"/>
      <c r="C2439" s="32"/>
      <c r="D2439" s="33"/>
      <c r="E2439" s="33"/>
    </row>
    <row r="2440">
      <c r="A2440" s="32"/>
      <c r="B2440" s="32"/>
      <c r="C2440" s="32"/>
      <c r="D2440" s="33"/>
      <c r="E2440" s="33"/>
    </row>
    <row r="2441">
      <c r="A2441" s="32"/>
      <c r="B2441" s="32"/>
      <c r="C2441" s="32"/>
      <c r="D2441" s="33"/>
      <c r="E2441" s="33"/>
    </row>
    <row r="2442">
      <c r="A2442" s="32"/>
      <c r="B2442" s="32"/>
      <c r="C2442" s="32"/>
      <c r="D2442" s="33"/>
      <c r="E2442" s="33"/>
    </row>
    <row r="2443">
      <c r="A2443" s="32"/>
      <c r="B2443" s="32"/>
      <c r="C2443" s="32"/>
      <c r="D2443" s="33"/>
      <c r="E2443" s="33"/>
    </row>
    <row r="2444">
      <c r="A2444" s="32"/>
      <c r="B2444" s="32"/>
      <c r="C2444" s="32"/>
      <c r="D2444" s="33"/>
      <c r="E2444" s="33"/>
    </row>
    <row r="2445">
      <c r="A2445" s="32"/>
      <c r="B2445" s="32"/>
      <c r="C2445" s="32"/>
      <c r="D2445" s="33"/>
      <c r="E2445" s="33"/>
    </row>
    <row r="2446">
      <c r="A2446" s="32"/>
      <c r="B2446" s="32"/>
      <c r="C2446" s="32"/>
      <c r="D2446" s="33"/>
      <c r="E2446" s="33"/>
    </row>
    <row r="2447">
      <c r="A2447" s="32"/>
      <c r="B2447" s="32"/>
      <c r="C2447" s="32"/>
      <c r="D2447" s="33"/>
      <c r="E2447" s="33"/>
    </row>
    <row r="2448">
      <c r="A2448" s="32"/>
      <c r="B2448" s="32"/>
      <c r="C2448" s="32"/>
      <c r="D2448" s="33"/>
      <c r="E2448" s="33"/>
    </row>
    <row r="2449">
      <c r="A2449" s="32"/>
      <c r="B2449" s="32"/>
      <c r="C2449" s="32"/>
      <c r="D2449" s="33"/>
      <c r="E2449" s="33"/>
    </row>
    <row r="2450">
      <c r="A2450" s="32"/>
      <c r="B2450" s="32"/>
      <c r="C2450" s="32"/>
      <c r="D2450" s="33"/>
      <c r="E2450" s="33"/>
    </row>
    <row r="2451">
      <c r="A2451" s="32"/>
      <c r="B2451" s="32"/>
      <c r="C2451" s="32"/>
      <c r="D2451" s="33"/>
      <c r="E2451" s="33"/>
    </row>
    <row r="2452">
      <c r="A2452" s="32"/>
      <c r="B2452" s="32"/>
      <c r="C2452" s="32"/>
      <c r="D2452" s="33"/>
      <c r="E2452" s="33"/>
    </row>
    <row r="2453">
      <c r="A2453" s="32"/>
      <c r="B2453" s="32"/>
      <c r="C2453" s="32"/>
      <c r="D2453" s="33"/>
      <c r="E2453" s="33"/>
    </row>
    <row r="2454">
      <c r="A2454" s="32"/>
      <c r="B2454" s="32"/>
      <c r="C2454" s="32"/>
      <c r="D2454" s="33"/>
      <c r="E2454" s="33"/>
    </row>
    <row r="2455">
      <c r="A2455" s="32"/>
      <c r="B2455" s="32"/>
      <c r="C2455" s="32"/>
      <c r="D2455" s="33"/>
      <c r="E2455" s="33"/>
    </row>
    <row r="2456">
      <c r="A2456" s="32"/>
      <c r="B2456" s="32"/>
      <c r="C2456" s="32"/>
      <c r="D2456" s="33"/>
      <c r="E2456" s="33"/>
    </row>
    <row r="2457">
      <c r="A2457" s="32"/>
      <c r="B2457" s="32"/>
      <c r="C2457" s="32"/>
      <c r="D2457" s="33"/>
      <c r="E2457" s="33"/>
    </row>
    <row r="2458">
      <c r="A2458" s="32"/>
      <c r="B2458" s="32"/>
      <c r="C2458" s="32"/>
      <c r="D2458" s="33"/>
      <c r="E2458" s="33"/>
    </row>
    <row r="2459">
      <c r="A2459" s="32"/>
      <c r="B2459" s="32"/>
      <c r="C2459" s="32"/>
      <c r="D2459" s="33"/>
      <c r="E2459" s="33"/>
    </row>
    <row r="2460">
      <c r="A2460" s="32"/>
      <c r="B2460" s="32"/>
      <c r="C2460" s="32"/>
      <c r="D2460" s="33"/>
      <c r="E2460" s="33"/>
    </row>
    <row r="2461">
      <c r="A2461" s="32"/>
      <c r="B2461" s="32"/>
      <c r="C2461" s="32"/>
      <c r="D2461" s="33"/>
      <c r="E2461" s="33"/>
    </row>
    <row r="2462">
      <c r="A2462" s="32"/>
      <c r="B2462" s="32"/>
      <c r="C2462" s="32"/>
      <c r="D2462" s="33"/>
      <c r="E2462" s="33"/>
    </row>
    <row r="2463">
      <c r="A2463" s="32"/>
      <c r="B2463" s="32"/>
      <c r="C2463" s="32"/>
      <c r="D2463" s="33"/>
      <c r="E2463" s="33"/>
    </row>
    <row r="2464">
      <c r="A2464" s="32"/>
      <c r="B2464" s="32"/>
      <c r="C2464" s="32"/>
      <c r="D2464" s="33"/>
      <c r="E2464" s="33"/>
    </row>
    <row r="2465">
      <c r="A2465" s="32"/>
      <c r="B2465" s="32"/>
      <c r="C2465" s="32"/>
      <c r="D2465" s="33"/>
      <c r="E2465" s="33"/>
    </row>
    <row r="2466">
      <c r="A2466" s="32"/>
      <c r="B2466" s="32"/>
      <c r="C2466" s="32"/>
      <c r="D2466" s="33"/>
      <c r="E2466" s="33"/>
    </row>
    <row r="2467">
      <c r="A2467" s="32"/>
      <c r="B2467" s="32"/>
      <c r="C2467" s="32"/>
      <c r="D2467" s="33"/>
      <c r="E2467" s="33"/>
    </row>
    <row r="2468">
      <c r="A2468" s="32"/>
      <c r="B2468" s="32"/>
      <c r="C2468" s="32"/>
      <c r="D2468" s="33"/>
      <c r="E2468" s="33"/>
    </row>
    <row r="2469">
      <c r="A2469" s="32"/>
      <c r="B2469" s="32"/>
      <c r="C2469" s="32"/>
      <c r="D2469" s="33"/>
      <c r="E2469" s="33"/>
    </row>
    <row r="2470">
      <c r="A2470" s="32"/>
      <c r="B2470" s="32"/>
      <c r="C2470" s="32"/>
      <c r="D2470" s="33"/>
      <c r="E2470" s="33"/>
    </row>
    <row r="2471">
      <c r="A2471" s="32"/>
      <c r="B2471" s="32"/>
      <c r="C2471" s="32"/>
      <c r="D2471" s="33"/>
      <c r="E2471" s="33"/>
    </row>
    <row r="2472">
      <c r="A2472" s="32"/>
      <c r="B2472" s="32"/>
      <c r="C2472" s="32"/>
      <c r="D2472" s="33"/>
      <c r="E2472" s="33"/>
    </row>
    <row r="2473">
      <c r="A2473" s="32"/>
      <c r="B2473" s="32"/>
      <c r="C2473" s="32"/>
      <c r="D2473" s="33"/>
      <c r="E2473" s="33"/>
    </row>
    <row r="2474">
      <c r="A2474" s="32"/>
      <c r="B2474" s="32"/>
      <c r="C2474" s="32"/>
      <c r="D2474" s="33"/>
      <c r="E2474" s="33"/>
    </row>
    <row r="2475">
      <c r="A2475" s="32"/>
      <c r="B2475" s="32"/>
      <c r="C2475" s="32"/>
      <c r="D2475" s="33"/>
      <c r="E2475" s="33"/>
    </row>
    <row r="2476">
      <c r="A2476" s="32"/>
      <c r="B2476" s="32"/>
      <c r="C2476" s="32"/>
      <c r="D2476" s="33"/>
      <c r="E2476" s="33"/>
    </row>
    <row r="2477">
      <c r="A2477" s="32"/>
      <c r="B2477" s="32"/>
      <c r="C2477" s="32"/>
      <c r="D2477" s="33"/>
      <c r="E2477" s="33"/>
    </row>
    <row r="2478">
      <c r="A2478" s="32"/>
      <c r="B2478" s="32"/>
      <c r="C2478" s="32"/>
      <c r="D2478" s="33"/>
      <c r="E2478" s="33"/>
    </row>
    <row r="2479">
      <c r="A2479" s="32"/>
      <c r="B2479" s="32"/>
      <c r="C2479" s="32"/>
      <c r="D2479" s="33"/>
      <c r="E2479" s="33"/>
    </row>
    <row r="2480">
      <c r="A2480" s="32"/>
      <c r="B2480" s="32"/>
      <c r="C2480" s="32"/>
      <c r="D2480" s="33"/>
      <c r="E2480" s="33"/>
    </row>
    <row r="2481">
      <c r="A2481" s="32"/>
      <c r="B2481" s="32"/>
      <c r="C2481" s="32"/>
      <c r="D2481" s="33"/>
      <c r="E2481" s="33"/>
    </row>
    <row r="2482">
      <c r="A2482" s="32"/>
      <c r="B2482" s="32"/>
      <c r="C2482" s="32"/>
      <c r="D2482" s="33"/>
      <c r="E2482" s="33"/>
    </row>
    <row r="2483">
      <c r="A2483" s="32"/>
      <c r="B2483" s="32"/>
      <c r="C2483" s="32"/>
      <c r="D2483" s="33"/>
      <c r="E2483" s="33"/>
    </row>
    <row r="2484">
      <c r="A2484" s="32"/>
      <c r="B2484" s="32"/>
      <c r="C2484" s="32"/>
      <c r="D2484" s="33"/>
      <c r="E2484" s="33"/>
    </row>
    <row r="2485">
      <c r="A2485" s="32"/>
      <c r="B2485" s="32"/>
      <c r="C2485" s="32"/>
      <c r="D2485" s="33"/>
      <c r="E2485" s="33"/>
    </row>
    <row r="2486">
      <c r="A2486" s="32"/>
      <c r="B2486" s="32"/>
      <c r="C2486" s="32"/>
      <c r="D2486" s="33"/>
      <c r="E2486" s="33"/>
    </row>
    <row r="2487">
      <c r="A2487" s="32"/>
      <c r="B2487" s="32"/>
      <c r="C2487" s="32"/>
      <c r="D2487" s="33"/>
      <c r="E2487" s="33"/>
    </row>
    <row r="2488">
      <c r="A2488" s="32"/>
      <c r="B2488" s="32"/>
      <c r="C2488" s="32"/>
      <c r="D2488" s="33"/>
      <c r="E2488" s="33"/>
    </row>
    <row r="2489">
      <c r="A2489" s="32"/>
      <c r="B2489" s="32"/>
      <c r="C2489" s="32"/>
      <c r="D2489" s="33"/>
      <c r="E2489" s="33"/>
    </row>
    <row r="2490">
      <c r="A2490" s="32"/>
      <c r="B2490" s="32"/>
      <c r="C2490" s="32"/>
      <c r="D2490" s="33"/>
      <c r="E2490" s="33"/>
    </row>
    <row r="2491">
      <c r="A2491" s="32"/>
      <c r="B2491" s="32"/>
      <c r="C2491" s="32"/>
      <c r="D2491" s="33"/>
      <c r="E2491" s="33"/>
    </row>
    <row r="2492">
      <c r="A2492" s="32"/>
      <c r="B2492" s="32"/>
      <c r="C2492" s="32"/>
      <c r="D2492" s="33"/>
      <c r="E2492" s="33"/>
    </row>
    <row r="2493">
      <c r="A2493" s="32"/>
      <c r="B2493" s="32"/>
      <c r="C2493" s="32"/>
      <c r="D2493" s="33"/>
      <c r="E2493" s="33"/>
    </row>
    <row r="2494">
      <c r="A2494" s="32"/>
      <c r="B2494" s="32"/>
      <c r="C2494" s="32"/>
      <c r="D2494" s="33"/>
      <c r="E2494" s="33"/>
    </row>
    <row r="2495">
      <c r="A2495" s="32"/>
      <c r="B2495" s="32"/>
      <c r="C2495" s="32"/>
      <c r="D2495" s="33"/>
      <c r="E2495" s="33"/>
    </row>
    <row r="2496">
      <c r="A2496" s="32"/>
      <c r="B2496" s="32"/>
      <c r="C2496" s="32"/>
      <c r="D2496" s="33"/>
      <c r="E2496" s="33"/>
    </row>
    <row r="2497">
      <c r="A2497" s="32"/>
      <c r="B2497" s="32"/>
      <c r="C2497" s="32"/>
      <c r="D2497" s="33"/>
      <c r="E2497" s="33"/>
    </row>
    <row r="2498">
      <c r="A2498" s="32"/>
      <c r="B2498" s="32"/>
      <c r="C2498" s="32"/>
      <c r="D2498" s="33"/>
      <c r="E2498" s="33"/>
    </row>
    <row r="2499">
      <c r="A2499" s="32"/>
      <c r="B2499" s="32"/>
      <c r="C2499" s="32"/>
      <c r="D2499" s="33"/>
      <c r="E2499" s="33"/>
    </row>
    <row r="2500">
      <c r="A2500" s="32"/>
      <c r="B2500" s="32"/>
      <c r="C2500" s="32"/>
      <c r="D2500" s="33"/>
      <c r="E2500" s="33"/>
    </row>
    <row r="2501">
      <c r="A2501" s="32"/>
      <c r="B2501" s="32"/>
      <c r="C2501" s="32"/>
      <c r="D2501" s="33"/>
      <c r="E2501" s="33"/>
    </row>
    <row r="2502">
      <c r="A2502" s="32"/>
      <c r="B2502" s="32"/>
      <c r="C2502" s="32"/>
      <c r="D2502" s="33"/>
      <c r="E2502" s="33"/>
    </row>
    <row r="2503">
      <c r="A2503" s="32"/>
      <c r="B2503" s="32"/>
      <c r="C2503" s="32"/>
      <c r="D2503" s="33"/>
      <c r="E2503" s="33"/>
    </row>
    <row r="2504">
      <c r="A2504" s="32"/>
      <c r="B2504" s="32"/>
      <c r="C2504" s="32"/>
      <c r="D2504" s="33"/>
      <c r="E2504" s="33"/>
    </row>
    <row r="2505">
      <c r="A2505" s="32"/>
      <c r="B2505" s="32"/>
      <c r="C2505" s="32"/>
      <c r="D2505" s="33"/>
      <c r="E2505" s="33"/>
    </row>
    <row r="2506">
      <c r="A2506" s="32"/>
      <c r="B2506" s="32"/>
      <c r="C2506" s="32"/>
      <c r="D2506" s="33"/>
      <c r="E2506" s="33"/>
    </row>
    <row r="2507">
      <c r="A2507" s="32"/>
      <c r="B2507" s="32"/>
      <c r="C2507" s="32"/>
      <c r="D2507" s="33"/>
      <c r="E2507" s="33"/>
    </row>
    <row r="2508">
      <c r="A2508" s="32"/>
      <c r="B2508" s="32"/>
      <c r="C2508" s="32"/>
      <c r="D2508" s="33"/>
      <c r="E2508" s="33"/>
    </row>
    <row r="2509">
      <c r="A2509" s="32"/>
      <c r="B2509" s="32"/>
      <c r="C2509" s="32"/>
      <c r="D2509" s="33"/>
      <c r="E2509" s="33"/>
    </row>
    <row r="2510">
      <c r="A2510" s="32"/>
      <c r="B2510" s="32"/>
      <c r="C2510" s="32"/>
      <c r="D2510" s="33"/>
      <c r="E2510" s="33"/>
    </row>
    <row r="2511">
      <c r="A2511" s="32"/>
      <c r="B2511" s="32"/>
      <c r="C2511" s="32"/>
      <c r="D2511" s="33"/>
      <c r="E2511" s="33"/>
    </row>
    <row r="2512">
      <c r="A2512" s="32"/>
      <c r="B2512" s="32"/>
      <c r="C2512" s="32"/>
      <c r="D2512" s="33"/>
      <c r="E2512" s="33"/>
    </row>
    <row r="2513">
      <c r="A2513" s="32"/>
      <c r="B2513" s="32"/>
      <c r="C2513" s="32"/>
      <c r="D2513" s="33"/>
      <c r="E2513" s="33"/>
    </row>
    <row r="2514">
      <c r="A2514" s="32"/>
      <c r="B2514" s="32"/>
      <c r="C2514" s="32"/>
      <c r="D2514" s="33"/>
      <c r="E2514" s="33"/>
    </row>
    <row r="2515">
      <c r="A2515" s="32"/>
      <c r="B2515" s="32"/>
      <c r="C2515" s="32"/>
      <c r="D2515" s="33"/>
      <c r="E2515" s="33"/>
    </row>
    <row r="2516">
      <c r="A2516" s="32"/>
      <c r="B2516" s="32"/>
      <c r="C2516" s="32"/>
      <c r="D2516" s="33"/>
      <c r="E2516" s="33"/>
    </row>
    <row r="2517">
      <c r="A2517" s="32"/>
      <c r="B2517" s="32"/>
      <c r="C2517" s="32"/>
      <c r="D2517" s="33"/>
      <c r="E2517" s="33"/>
    </row>
    <row r="2518">
      <c r="A2518" s="32"/>
      <c r="B2518" s="32"/>
      <c r="C2518" s="32"/>
      <c r="D2518" s="33"/>
      <c r="E2518" s="33"/>
    </row>
    <row r="2519">
      <c r="A2519" s="32"/>
      <c r="B2519" s="32"/>
      <c r="C2519" s="32"/>
      <c r="D2519" s="33"/>
      <c r="E2519" s="33"/>
    </row>
    <row r="2520">
      <c r="A2520" s="32"/>
      <c r="B2520" s="32"/>
      <c r="C2520" s="32"/>
      <c r="D2520" s="33"/>
      <c r="E2520" s="33"/>
    </row>
    <row r="2521">
      <c r="A2521" s="32"/>
      <c r="B2521" s="32"/>
      <c r="C2521" s="32"/>
      <c r="D2521" s="33"/>
      <c r="E2521" s="33"/>
    </row>
    <row r="2522">
      <c r="A2522" s="32"/>
      <c r="B2522" s="32"/>
      <c r="C2522" s="32"/>
      <c r="D2522" s="33"/>
      <c r="E2522" s="33"/>
    </row>
    <row r="2523">
      <c r="A2523" s="32"/>
      <c r="B2523" s="32"/>
      <c r="C2523" s="32"/>
      <c r="D2523" s="33"/>
      <c r="E2523" s="33"/>
    </row>
    <row r="2524">
      <c r="A2524" s="32"/>
      <c r="B2524" s="32"/>
      <c r="C2524" s="32"/>
      <c r="D2524" s="33"/>
      <c r="E2524" s="33"/>
    </row>
    <row r="2525">
      <c r="A2525" s="32"/>
      <c r="B2525" s="32"/>
      <c r="C2525" s="32"/>
      <c r="D2525" s="33"/>
      <c r="E2525" s="33"/>
    </row>
    <row r="2526">
      <c r="A2526" s="32"/>
      <c r="B2526" s="32"/>
      <c r="C2526" s="32"/>
      <c r="D2526" s="33"/>
      <c r="E2526" s="33"/>
    </row>
    <row r="2527">
      <c r="A2527" s="32"/>
      <c r="B2527" s="32"/>
      <c r="C2527" s="32"/>
      <c r="D2527" s="33"/>
      <c r="E2527" s="33"/>
    </row>
    <row r="2528">
      <c r="A2528" s="32"/>
      <c r="B2528" s="32"/>
      <c r="C2528" s="32"/>
      <c r="D2528" s="33"/>
      <c r="E2528" s="33"/>
    </row>
    <row r="2529">
      <c r="A2529" s="32"/>
      <c r="B2529" s="32"/>
      <c r="C2529" s="32"/>
      <c r="D2529" s="33"/>
      <c r="E2529" s="33"/>
    </row>
    <row r="2530">
      <c r="A2530" s="32"/>
      <c r="B2530" s="32"/>
      <c r="C2530" s="32"/>
      <c r="D2530" s="33"/>
      <c r="E2530" s="33"/>
    </row>
    <row r="2531">
      <c r="A2531" s="32"/>
      <c r="B2531" s="32"/>
      <c r="C2531" s="32"/>
      <c r="D2531" s="33"/>
      <c r="E2531" s="33"/>
    </row>
    <row r="2532">
      <c r="A2532" s="32"/>
      <c r="B2532" s="32"/>
      <c r="C2532" s="32"/>
      <c r="D2532" s="33"/>
      <c r="E2532" s="33"/>
    </row>
    <row r="2533">
      <c r="A2533" s="32"/>
      <c r="B2533" s="32"/>
      <c r="C2533" s="32"/>
      <c r="D2533" s="33"/>
      <c r="E2533" s="33"/>
    </row>
    <row r="2534">
      <c r="A2534" s="32"/>
      <c r="B2534" s="32"/>
      <c r="C2534" s="32"/>
      <c r="D2534" s="33"/>
      <c r="E2534" s="33"/>
    </row>
    <row r="2535">
      <c r="A2535" s="32"/>
      <c r="B2535" s="32"/>
      <c r="C2535" s="32"/>
      <c r="D2535" s="33"/>
      <c r="E2535" s="33"/>
    </row>
    <row r="2536">
      <c r="A2536" s="32"/>
      <c r="B2536" s="32"/>
      <c r="C2536" s="32"/>
      <c r="D2536" s="33"/>
      <c r="E2536" s="33"/>
    </row>
    <row r="2537">
      <c r="A2537" s="32"/>
      <c r="B2537" s="32"/>
      <c r="C2537" s="32"/>
      <c r="D2537" s="33"/>
      <c r="E2537" s="33"/>
    </row>
    <row r="2538">
      <c r="A2538" s="32"/>
      <c r="B2538" s="32"/>
      <c r="C2538" s="32"/>
      <c r="D2538" s="33"/>
      <c r="E2538" s="33"/>
    </row>
    <row r="2539">
      <c r="A2539" s="32"/>
      <c r="B2539" s="32"/>
      <c r="C2539" s="32"/>
      <c r="D2539" s="33"/>
      <c r="E2539" s="33"/>
    </row>
    <row r="2540">
      <c r="A2540" s="32"/>
      <c r="B2540" s="32"/>
      <c r="C2540" s="32"/>
      <c r="D2540" s="33"/>
      <c r="E2540" s="33"/>
    </row>
    <row r="2541">
      <c r="A2541" s="32"/>
      <c r="B2541" s="32"/>
      <c r="C2541" s="32"/>
      <c r="D2541" s="33"/>
      <c r="E2541" s="33"/>
    </row>
    <row r="2542">
      <c r="A2542" s="32"/>
      <c r="B2542" s="32"/>
      <c r="C2542" s="32"/>
      <c r="D2542" s="33"/>
      <c r="E2542" s="33"/>
    </row>
    <row r="2543">
      <c r="A2543" s="32"/>
      <c r="B2543" s="32"/>
      <c r="C2543" s="32"/>
      <c r="D2543" s="33"/>
      <c r="E2543" s="33"/>
    </row>
    <row r="2544">
      <c r="A2544" s="32"/>
      <c r="B2544" s="32"/>
      <c r="C2544" s="32"/>
      <c r="D2544" s="33"/>
      <c r="E2544" s="33"/>
    </row>
    <row r="2545">
      <c r="A2545" s="32"/>
      <c r="B2545" s="32"/>
      <c r="C2545" s="32"/>
      <c r="D2545" s="33"/>
      <c r="E2545" s="33"/>
    </row>
    <row r="2546">
      <c r="A2546" s="32"/>
      <c r="B2546" s="32"/>
      <c r="C2546" s="32"/>
      <c r="D2546" s="33"/>
      <c r="E2546" s="33"/>
    </row>
    <row r="2547">
      <c r="A2547" s="32"/>
      <c r="B2547" s="32"/>
      <c r="C2547" s="32"/>
      <c r="D2547" s="33"/>
      <c r="E2547" s="33"/>
    </row>
    <row r="2548">
      <c r="A2548" s="32"/>
      <c r="B2548" s="32"/>
      <c r="C2548" s="32"/>
      <c r="D2548" s="33"/>
      <c r="E2548" s="33"/>
    </row>
    <row r="2549">
      <c r="A2549" s="32"/>
      <c r="B2549" s="32"/>
      <c r="C2549" s="32"/>
      <c r="D2549" s="33"/>
      <c r="E2549" s="33"/>
    </row>
    <row r="2550">
      <c r="A2550" s="32"/>
      <c r="B2550" s="32"/>
      <c r="C2550" s="32"/>
      <c r="D2550" s="33"/>
      <c r="E2550" s="33"/>
    </row>
    <row r="2551">
      <c r="A2551" s="32"/>
      <c r="B2551" s="32"/>
      <c r="C2551" s="32"/>
      <c r="D2551" s="33"/>
      <c r="E2551" s="33"/>
    </row>
    <row r="2552">
      <c r="A2552" s="32"/>
      <c r="B2552" s="32"/>
      <c r="C2552" s="32"/>
      <c r="D2552" s="33"/>
      <c r="E2552" s="33"/>
    </row>
    <row r="2553">
      <c r="A2553" s="32"/>
      <c r="B2553" s="32"/>
      <c r="C2553" s="32"/>
      <c r="D2553" s="33"/>
      <c r="E2553" s="33"/>
    </row>
    <row r="2554">
      <c r="A2554" s="32"/>
      <c r="B2554" s="32"/>
      <c r="C2554" s="32"/>
      <c r="D2554" s="33"/>
      <c r="E2554" s="33"/>
    </row>
    <row r="2555">
      <c r="A2555" s="32"/>
      <c r="B2555" s="32"/>
      <c r="C2555" s="32"/>
      <c r="D2555" s="33"/>
      <c r="E2555" s="33"/>
    </row>
    <row r="2556">
      <c r="A2556" s="32"/>
      <c r="B2556" s="32"/>
      <c r="C2556" s="32"/>
      <c r="D2556" s="33"/>
      <c r="E2556" s="33"/>
    </row>
    <row r="2557">
      <c r="A2557" s="32"/>
      <c r="B2557" s="32"/>
      <c r="C2557" s="32"/>
      <c r="D2557" s="33"/>
      <c r="E2557" s="33"/>
    </row>
    <row r="2558">
      <c r="A2558" s="32"/>
      <c r="B2558" s="32"/>
      <c r="C2558" s="32"/>
      <c r="D2558" s="33"/>
      <c r="E2558" s="33"/>
    </row>
    <row r="2559">
      <c r="A2559" s="32"/>
      <c r="B2559" s="32"/>
      <c r="C2559" s="32"/>
      <c r="D2559" s="33"/>
      <c r="E2559" s="33"/>
    </row>
    <row r="2560">
      <c r="A2560" s="32"/>
      <c r="B2560" s="32"/>
      <c r="C2560" s="32"/>
      <c r="D2560" s="33"/>
      <c r="E2560" s="33"/>
    </row>
    <row r="2561">
      <c r="A2561" s="32"/>
      <c r="B2561" s="32"/>
      <c r="C2561" s="32"/>
      <c r="D2561" s="33"/>
      <c r="E2561" s="33"/>
    </row>
    <row r="2562">
      <c r="A2562" s="32"/>
      <c r="B2562" s="32"/>
      <c r="C2562" s="32"/>
      <c r="D2562" s="33"/>
      <c r="E2562" s="33"/>
    </row>
    <row r="2563">
      <c r="A2563" s="32"/>
      <c r="B2563" s="32"/>
      <c r="C2563" s="32"/>
      <c r="D2563" s="33"/>
      <c r="E2563" s="33"/>
    </row>
    <row r="2564">
      <c r="A2564" s="32"/>
      <c r="B2564" s="32"/>
      <c r="C2564" s="32"/>
      <c r="D2564" s="33"/>
      <c r="E2564" s="33"/>
    </row>
    <row r="2565">
      <c r="A2565" s="32"/>
      <c r="B2565" s="32"/>
      <c r="C2565" s="32"/>
      <c r="D2565" s="33"/>
      <c r="E2565" s="33"/>
    </row>
    <row r="2566">
      <c r="A2566" s="32"/>
      <c r="B2566" s="32"/>
      <c r="C2566" s="32"/>
      <c r="D2566" s="33"/>
      <c r="E2566" s="33"/>
    </row>
    <row r="2567">
      <c r="A2567" s="32"/>
      <c r="B2567" s="32"/>
      <c r="C2567" s="32"/>
      <c r="D2567" s="33"/>
      <c r="E2567" s="33"/>
    </row>
    <row r="2568">
      <c r="A2568" s="32"/>
      <c r="B2568" s="32"/>
      <c r="C2568" s="32"/>
      <c r="D2568" s="33"/>
      <c r="E2568" s="33"/>
    </row>
    <row r="2569">
      <c r="A2569" s="32"/>
      <c r="B2569" s="32"/>
      <c r="C2569" s="32"/>
      <c r="D2569" s="33"/>
      <c r="E2569" s="33"/>
    </row>
    <row r="2570">
      <c r="A2570" s="32"/>
      <c r="B2570" s="32"/>
      <c r="C2570" s="32"/>
      <c r="D2570" s="33"/>
      <c r="E2570" s="33"/>
    </row>
    <row r="2571">
      <c r="A2571" s="32"/>
      <c r="B2571" s="32"/>
      <c r="C2571" s="32"/>
      <c r="D2571" s="33"/>
      <c r="E2571" s="33"/>
    </row>
    <row r="2572">
      <c r="A2572" s="32"/>
      <c r="B2572" s="32"/>
      <c r="C2572" s="32"/>
      <c r="D2572" s="33"/>
      <c r="E2572" s="33"/>
    </row>
    <row r="2573">
      <c r="A2573" s="32"/>
      <c r="B2573" s="32"/>
      <c r="C2573" s="32"/>
      <c r="D2573" s="33"/>
      <c r="E2573" s="33"/>
    </row>
    <row r="2574">
      <c r="A2574" s="32"/>
      <c r="B2574" s="32"/>
      <c r="C2574" s="32"/>
      <c r="D2574" s="33"/>
      <c r="E2574" s="33"/>
    </row>
    <row r="2575">
      <c r="A2575" s="32"/>
      <c r="B2575" s="32"/>
      <c r="C2575" s="32"/>
      <c r="D2575" s="33"/>
      <c r="E2575" s="33"/>
    </row>
    <row r="2576">
      <c r="A2576" s="32"/>
      <c r="B2576" s="32"/>
      <c r="C2576" s="32"/>
      <c r="D2576" s="33"/>
      <c r="E2576" s="33"/>
    </row>
    <row r="2577">
      <c r="A2577" s="32"/>
      <c r="B2577" s="32"/>
      <c r="C2577" s="32"/>
      <c r="D2577" s="33"/>
      <c r="E2577" s="33"/>
    </row>
    <row r="2578">
      <c r="A2578" s="32"/>
      <c r="B2578" s="32"/>
      <c r="C2578" s="32"/>
      <c r="D2578" s="33"/>
      <c r="E2578" s="33"/>
    </row>
    <row r="2579">
      <c r="A2579" s="32"/>
      <c r="B2579" s="32"/>
      <c r="C2579" s="32"/>
      <c r="D2579" s="33"/>
      <c r="E2579" s="33"/>
    </row>
    <row r="2580">
      <c r="A2580" s="32"/>
      <c r="B2580" s="32"/>
      <c r="C2580" s="32"/>
      <c r="D2580" s="33"/>
      <c r="E2580" s="33"/>
    </row>
    <row r="2581">
      <c r="A2581" s="32"/>
      <c r="B2581" s="32"/>
      <c r="C2581" s="32"/>
      <c r="D2581" s="33"/>
      <c r="E2581" s="33"/>
    </row>
    <row r="2582">
      <c r="A2582" s="32"/>
      <c r="B2582" s="32"/>
      <c r="C2582" s="32"/>
      <c r="D2582" s="33"/>
      <c r="E2582" s="33"/>
    </row>
    <row r="2583">
      <c r="A2583" s="32"/>
      <c r="B2583" s="32"/>
      <c r="C2583" s="32"/>
      <c r="D2583" s="33"/>
      <c r="E2583" s="33"/>
    </row>
    <row r="2584">
      <c r="A2584" s="32"/>
      <c r="B2584" s="32"/>
      <c r="C2584" s="32"/>
      <c r="D2584" s="33"/>
      <c r="E2584" s="33"/>
    </row>
    <row r="2585">
      <c r="A2585" s="32"/>
      <c r="B2585" s="32"/>
      <c r="C2585" s="32"/>
      <c r="D2585" s="33"/>
      <c r="E2585" s="33"/>
    </row>
    <row r="2586">
      <c r="A2586" s="32"/>
      <c r="B2586" s="32"/>
      <c r="C2586" s="32"/>
      <c r="D2586" s="33"/>
      <c r="E2586" s="33"/>
    </row>
    <row r="2587">
      <c r="A2587" s="32"/>
      <c r="B2587" s="32"/>
      <c r="C2587" s="32"/>
      <c r="D2587" s="33"/>
      <c r="E2587" s="33"/>
    </row>
    <row r="2588">
      <c r="A2588" s="32"/>
      <c r="B2588" s="32"/>
      <c r="C2588" s="32"/>
      <c r="D2588" s="33"/>
      <c r="E2588" s="33"/>
    </row>
    <row r="2589">
      <c r="A2589" s="32"/>
      <c r="B2589" s="32"/>
      <c r="C2589" s="32"/>
      <c r="D2589" s="33"/>
      <c r="E2589" s="33"/>
    </row>
    <row r="2590">
      <c r="A2590" s="32"/>
      <c r="B2590" s="32"/>
      <c r="C2590" s="32"/>
      <c r="D2590" s="33"/>
      <c r="E2590" s="33"/>
    </row>
    <row r="2591">
      <c r="A2591" s="32"/>
      <c r="B2591" s="32"/>
      <c r="C2591" s="32"/>
      <c r="D2591" s="33"/>
      <c r="E2591" s="33"/>
    </row>
    <row r="2592">
      <c r="A2592" s="32"/>
      <c r="B2592" s="32"/>
      <c r="C2592" s="32"/>
      <c r="D2592" s="33"/>
      <c r="E2592" s="33"/>
    </row>
    <row r="2593">
      <c r="A2593" s="32"/>
      <c r="B2593" s="32"/>
      <c r="C2593" s="32"/>
      <c r="D2593" s="33"/>
      <c r="E2593" s="33"/>
    </row>
    <row r="2594">
      <c r="A2594" s="32"/>
      <c r="B2594" s="32"/>
      <c r="C2594" s="32"/>
      <c r="D2594" s="33"/>
      <c r="E2594" s="33"/>
    </row>
    <row r="2595">
      <c r="A2595" s="32"/>
      <c r="B2595" s="32"/>
      <c r="C2595" s="32"/>
      <c r="D2595" s="33"/>
      <c r="E2595" s="33"/>
    </row>
    <row r="2596">
      <c r="A2596" s="32"/>
      <c r="B2596" s="32"/>
      <c r="C2596" s="32"/>
      <c r="D2596" s="33"/>
      <c r="E2596" s="33"/>
    </row>
    <row r="2597">
      <c r="A2597" s="32"/>
      <c r="B2597" s="32"/>
      <c r="C2597" s="32"/>
      <c r="D2597" s="33"/>
      <c r="E2597" s="33"/>
    </row>
    <row r="2598">
      <c r="A2598" s="32"/>
      <c r="B2598" s="32"/>
      <c r="C2598" s="32"/>
      <c r="D2598" s="33"/>
      <c r="E2598" s="33"/>
    </row>
    <row r="2599">
      <c r="A2599" s="32"/>
      <c r="B2599" s="32"/>
      <c r="C2599" s="32"/>
      <c r="D2599" s="33"/>
      <c r="E2599" s="33"/>
    </row>
    <row r="2600">
      <c r="A2600" s="32"/>
      <c r="B2600" s="32"/>
      <c r="C2600" s="32"/>
      <c r="D2600" s="33"/>
      <c r="E2600" s="33"/>
    </row>
    <row r="2601">
      <c r="A2601" s="32"/>
      <c r="B2601" s="32"/>
      <c r="C2601" s="32"/>
      <c r="D2601" s="33"/>
      <c r="E2601" s="33"/>
    </row>
    <row r="2602">
      <c r="A2602" s="32"/>
      <c r="B2602" s="32"/>
      <c r="C2602" s="32"/>
      <c r="D2602" s="33"/>
      <c r="E2602" s="33"/>
    </row>
    <row r="2603">
      <c r="A2603" s="32"/>
      <c r="B2603" s="32"/>
      <c r="C2603" s="32"/>
      <c r="D2603" s="33"/>
      <c r="E2603" s="33"/>
    </row>
    <row r="2604">
      <c r="A2604" s="32"/>
      <c r="B2604" s="32"/>
      <c r="C2604" s="32"/>
      <c r="D2604" s="33"/>
      <c r="E2604" s="33"/>
    </row>
    <row r="2605">
      <c r="A2605" s="32"/>
      <c r="B2605" s="32"/>
      <c r="C2605" s="32"/>
      <c r="D2605" s="33"/>
      <c r="E2605" s="33"/>
    </row>
    <row r="2606">
      <c r="A2606" s="32"/>
      <c r="B2606" s="32"/>
      <c r="C2606" s="32"/>
      <c r="D2606" s="33"/>
      <c r="E2606" s="33"/>
    </row>
    <row r="2607">
      <c r="A2607" s="32"/>
      <c r="B2607" s="32"/>
      <c r="C2607" s="32"/>
      <c r="D2607" s="33"/>
      <c r="E2607" s="33"/>
    </row>
    <row r="2608">
      <c r="A2608" s="32"/>
      <c r="B2608" s="32"/>
      <c r="C2608" s="32"/>
      <c r="D2608" s="33"/>
      <c r="E2608" s="33"/>
    </row>
    <row r="2609">
      <c r="A2609" s="32"/>
      <c r="B2609" s="32"/>
      <c r="C2609" s="32"/>
      <c r="D2609" s="33"/>
      <c r="E2609" s="33"/>
    </row>
    <row r="2610">
      <c r="A2610" s="32"/>
      <c r="B2610" s="32"/>
      <c r="C2610" s="32"/>
      <c r="D2610" s="33"/>
      <c r="E2610" s="33"/>
    </row>
    <row r="2611">
      <c r="A2611" s="32"/>
      <c r="B2611" s="32"/>
      <c r="C2611" s="32"/>
      <c r="D2611" s="33"/>
      <c r="E2611" s="33"/>
    </row>
    <row r="2612">
      <c r="A2612" s="32"/>
      <c r="B2612" s="32"/>
      <c r="C2612" s="32"/>
      <c r="D2612" s="33"/>
      <c r="E2612" s="33"/>
    </row>
    <row r="2613">
      <c r="A2613" s="32"/>
      <c r="B2613" s="32"/>
      <c r="C2613" s="32"/>
      <c r="D2613" s="33"/>
      <c r="E2613" s="33"/>
    </row>
    <row r="2614">
      <c r="A2614" s="32"/>
      <c r="B2614" s="32"/>
      <c r="C2614" s="32"/>
      <c r="D2614" s="33"/>
      <c r="E2614" s="33"/>
    </row>
    <row r="2615">
      <c r="A2615" s="32"/>
      <c r="B2615" s="32"/>
      <c r="C2615" s="32"/>
      <c r="D2615" s="33"/>
      <c r="E2615" s="33"/>
    </row>
    <row r="2616">
      <c r="A2616" s="32"/>
      <c r="B2616" s="32"/>
      <c r="C2616" s="32"/>
      <c r="D2616" s="33"/>
      <c r="E2616" s="33"/>
    </row>
    <row r="2617">
      <c r="A2617" s="32"/>
      <c r="B2617" s="32"/>
      <c r="C2617" s="32"/>
      <c r="D2617" s="33"/>
      <c r="E2617" s="33"/>
    </row>
    <row r="2618">
      <c r="A2618" s="32"/>
      <c r="B2618" s="32"/>
      <c r="C2618" s="32"/>
      <c r="D2618" s="33"/>
      <c r="E2618" s="33"/>
    </row>
    <row r="2619">
      <c r="A2619" s="32"/>
      <c r="B2619" s="32"/>
      <c r="C2619" s="32"/>
      <c r="D2619" s="33"/>
      <c r="E2619" s="33"/>
    </row>
    <row r="2620">
      <c r="A2620" s="32"/>
      <c r="B2620" s="32"/>
      <c r="C2620" s="32"/>
      <c r="D2620" s="33"/>
      <c r="E2620" s="33"/>
    </row>
    <row r="2621">
      <c r="A2621" s="32"/>
      <c r="B2621" s="32"/>
      <c r="C2621" s="32"/>
      <c r="D2621" s="33"/>
      <c r="E2621" s="33"/>
    </row>
    <row r="2622">
      <c r="A2622" s="32"/>
      <c r="B2622" s="32"/>
      <c r="C2622" s="32"/>
      <c r="D2622" s="33"/>
      <c r="E2622" s="33"/>
    </row>
    <row r="2623">
      <c r="A2623" s="32"/>
      <c r="B2623" s="32"/>
      <c r="C2623" s="32"/>
      <c r="D2623" s="33"/>
      <c r="E2623" s="33"/>
    </row>
    <row r="2624">
      <c r="A2624" s="32"/>
      <c r="B2624" s="32"/>
      <c r="C2624" s="32"/>
      <c r="D2624" s="33"/>
      <c r="E2624" s="33"/>
    </row>
    <row r="2625">
      <c r="A2625" s="32"/>
      <c r="B2625" s="32"/>
      <c r="C2625" s="32"/>
      <c r="D2625" s="33"/>
      <c r="E2625" s="33"/>
    </row>
    <row r="2626">
      <c r="A2626" s="32"/>
      <c r="B2626" s="32"/>
      <c r="C2626" s="32"/>
      <c r="D2626" s="33"/>
      <c r="E2626" s="33"/>
    </row>
    <row r="2627">
      <c r="A2627" s="32"/>
      <c r="B2627" s="32"/>
      <c r="C2627" s="32"/>
      <c r="D2627" s="33"/>
      <c r="E2627" s="33"/>
    </row>
    <row r="2628">
      <c r="A2628" s="32"/>
      <c r="B2628" s="32"/>
      <c r="C2628" s="32"/>
      <c r="D2628" s="33"/>
      <c r="E2628" s="33"/>
    </row>
    <row r="2629">
      <c r="A2629" s="32"/>
      <c r="B2629" s="32"/>
      <c r="C2629" s="32"/>
      <c r="D2629" s="33"/>
      <c r="E2629" s="33"/>
    </row>
    <row r="2630">
      <c r="A2630" s="32"/>
      <c r="B2630" s="32"/>
      <c r="C2630" s="32"/>
      <c r="D2630" s="33"/>
      <c r="E2630" s="33"/>
    </row>
    <row r="2631">
      <c r="A2631" s="32"/>
      <c r="B2631" s="32"/>
      <c r="C2631" s="32"/>
      <c r="D2631" s="33"/>
      <c r="E2631" s="33"/>
    </row>
    <row r="2632">
      <c r="A2632" s="32"/>
      <c r="B2632" s="32"/>
      <c r="C2632" s="32"/>
      <c r="D2632" s="33"/>
      <c r="E2632" s="33"/>
    </row>
    <row r="2633">
      <c r="A2633" s="32"/>
      <c r="B2633" s="32"/>
      <c r="C2633" s="32"/>
      <c r="D2633" s="33"/>
      <c r="E2633" s="33"/>
    </row>
    <row r="2634">
      <c r="A2634" s="32"/>
      <c r="B2634" s="32"/>
      <c r="C2634" s="32"/>
      <c r="D2634" s="33"/>
      <c r="E2634" s="33"/>
    </row>
    <row r="2635">
      <c r="A2635" s="32"/>
      <c r="B2635" s="32"/>
      <c r="C2635" s="32"/>
      <c r="D2635" s="33"/>
      <c r="E2635" s="33"/>
    </row>
    <row r="2636">
      <c r="A2636" s="32"/>
      <c r="B2636" s="32"/>
      <c r="C2636" s="32"/>
      <c r="D2636" s="33"/>
      <c r="E2636" s="33"/>
    </row>
    <row r="2637">
      <c r="A2637" s="32"/>
      <c r="B2637" s="32"/>
      <c r="C2637" s="32"/>
      <c r="D2637" s="33"/>
      <c r="E2637" s="33"/>
    </row>
    <row r="2638">
      <c r="A2638" s="32"/>
      <c r="B2638" s="32"/>
      <c r="C2638" s="32"/>
      <c r="D2638" s="33"/>
      <c r="E2638" s="33"/>
    </row>
    <row r="2639">
      <c r="A2639" s="32"/>
      <c r="B2639" s="32"/>
      <c r="C2639" s="32"/>
      <c r="D2639" s="33"/>
      <c r="E2639" s="33"/>
    </row>
    <row r="2640">
      <c r="A2640" s="32"/>
      <c r="B2640" s="32"/>
      <c r="C2640" s="32"/>
      <c r="D2640" s="33"/>
      <c r="E2640" s="33"/>
    </row>
    <row r="2641">
      <c r="A2641" s="32"/>
      <c r="B2641" s="32"/>
      <c r="C2641" s="32"/>
      <c r="D2641" s="33"/>
      <c r="E2641" s="33"/>
    </row>
    <row r="2642">
      <c r="A2642" s="32"/>
      <c r="B2642" s="32"/>
      <c r="C2642" s="32"/>
      <c r="D2642" s="33"/>
      <c r="E2642" s="33"/>
    </row>
    <row r="2643">
      <c r="A2643" s="32"/>
      <c r="B2643" s="32"/>
      <c r="C2643" s="32"/>
      <c r="D2643" s="33"/>
      <c r="E2643" s="33"/>
    </row>
    <row r="2644">
      <c r="A2644" s="32"/>
      <c r="B2644" s="32"/>
      <c r="C2644" s="32"/>
      <c r="D2644" s="33"/>
      <c r="E2644" s="33"/>
    </row>
    <row r="2645">
      <c r="A2645" s="32"/>
      <c r="B2645" s="32"/>
      <c r="C2645" s="32"/>
      <c r="D2645" s="33"/>
      <c r="E2645" s="33"/>
    </row>
    <row r="2646">
      <c r="A2646" s="32"/>
      <c r="B2646" s="32"/>
      <c r="C2646" s="32"/>
      <c r="D2646" s="33"/>
      <c r="E2646" s="33"/>
    </row>
    <row r="2647">
      <c r="A2647" s="32"/>
      <c r="B2647" s="32"/>
      <c r="C2647" s="32"/>
      <c r="D2647" s="33"/>
      <c r="E2647" s="33"/>
    </row>
    <row r="2648">
      <c r="A2648" s="32"/>
      <c r="B2648" s="32"/>
      <c r="C2648" s="32"/>
      <c r="D2648" s="33"/>
      <c r="E2648" s="33"/>
    </row>
    <row r="2649">
      <c r="A2649" s="32"/>
      <c r="B2649" s="32"/>
      <c r="C2649" s="32"/>
      <c r="D2649" s="33"/>
      <c r="E2649" s="33"/>
    </row>
    <row r="2650">
      <c r="A2650" s="32"/>
      <c r="B2650" s="32"/>
      <c r="C2650" s="32"/>
      <c r="D2650" s="33"/>
      <c r="E2650" s="33"/>
    </row>
    <row r="2651">
      <c r="A2651" s="32"/>
      <c r="B2651" s="32"/>
      <c r="C2651" s="32"/>
      <c r="D2651" s="33"/>
      <c r="E2651" s="33"/>
    </row>
    <row r="2652">
      <c r="A2652" s="32"/>
      <c r="B2652" s="32"/>
      <c r="C2652" s="32"/>
      <c r="D2652" s="33"/>
      <c r="E2652" s="33"/>
    </row>
    <row r="2653">
      <c r="A2653" s="32"/>
      <c r="B2653" s="32"/>
      <c r="C2653" s="32"/>
      <c r="D2653" s="33"/>
      <c r="E2653" s="33"/>
    </row>
    <row r="2654">
      <c r="A2654" s="32"/>
      <c r="B2654" s="32"/>
      <c r="C2654" s="32"/>
      <c r="D2654" s="33"/>
      <c r="E2654" s="33"/>
    </row>
    <row r="2655">
      <c r="A2655" s="32"/>
      <c r="B2655" s="32"/>
      <c r="C2655" s="32"/>
      <c r="D2655" s="33"/>
      <c r="E2655" s="33"/>
    </row>
    <row r="2656">
      <c r="A2656" s="32"/>
      <c r="B2656" s="32"/>
      <c r="C2656" s="32"/>
      <c r="D2656" s="33"/>
      <c r="E2656" s="33"/>
    </row>
    <row r="2657">
      <c r="A2657" s="32"/>
      <c r="B2657" s="32"/>
      <c r="C2657" s="32"/>
      <c r="D2657" s="33"/>
      <c r="E2657" s="33"/>
    </row>
    <row r="2658">
      <c r="A2658" s="32"/>
      <c r="B2658" s="32"/>
      <c r="C2658" s="32"/>
      <c r="D2658" s="33"/>
      <c r="E2658" s="33"/>
    </row>
    <row r="2659">
      <c r="A2659" s="32"/>
      <c r="B2659" s="32"/>
      <c r="C2659" s="32"/>
      <c r="D2659" s="33"/>
      <c r="E2659" s="33"/>
    </row>
    <row r="2660">
      <c r="A2660" s="32"/>
      <c r="B2660" s="32"/>
      <c r="C2660" s="32"/>
      <c r="D2660" s="33"/>
      <c r="E2660" s="33"/>
    </row>
    <row r="2661">
      <c r="A2661" s="32"/>
      <c r="B2661" s="32"/>
      <c r="C2661" s="32"/>
      <c r="D2661" s="33"/>
      <c r="E2661" s="33"/>
    </row>
    <row r="2662">
      <c r="A2662" s="32"/>
      <c r="B2662" s="32"/>
      <c r="C2662" s="32"/>
      <c r="D2662" s="33"/>
      <c r="E2662" s="33"/>
    </row>
    <row r="2663">
      <c r="A2663" s="32"/>
      <c r="B2663" s="32"/>
      <c r="C2663" s="32"/>
      <c r="D2663" s="33"/>
      <c r="E2663" s="33"/>
    </row>
    <row r="2664">
      <c r="A2664" s="32"/>
      <c r="B2664" s="32"/>
      <c r="C2664" s="32"/>
      <c r="D2664" s="33"/>
      <c r="E2664" s="33"/>
    </row>
    <row r="2665">
      <c r="A2665" s="32"/>
      <c r="B2665" s="32"/>
      <c r="C2665" s="32"/>
      <c r="D2665" s="33"/>
      <c r="E2665" s="33"/>
    </row>
    <row r="2666">
      <c r="A2666" s="32"/>
      <c r="B2666" s="32"/>
      <c r="C2666" s="32"/>
      <c r="D2666" s="33"/>
      <c r="E2666" s="33"/>
    </row>
    <row r="2667">
      <c r="A2667" s="32"/>
      <c r="B2667" s="32"/>
      <c r="C2667" s="32"/>
      <c r="D2667" s="33"/>
      <c r="E2667" s="33"/>
    </row>
    <row r="2668">
      <c r="A2668" s="32"/>
      <c r="B2668" s="32"/>
      <c r="C2668" s="32"/>
      <c r="D2668" s="33"/>
      <c r="E2668" s="33"/>
    </row>
    <row r="2669">
      <c r="A2669" s="32"/>
      <c r="B2669" s="32"/>
      <c r="C2669" s="32"/>
      <c r="D2669" s="33"/>
      <c r="E2669" s="33"/>
    </row>
    <row r="2670">
      <c r="A2670" s="32"/>
      <c r="B2670" s="32"/>
      <c r="C2670" s="32"/>
      <c r="D2670" s="33"/>
      <c r="E2670" s="33"/>
    </row>
    <row r="2671">
      <c r="A2671" s="32"/>
      <c r="B2671" s="32"/>
      <c r="C2671" s="32"/>
      <c r="D2671" s="33"/>
      <c r="E2671" s="33"/>
    </row>
    <row r="2672">
      <c r="A2672" s="32"/>
      <c r="B2672" s="32"/>
      <c r="C2672" s="32"/>
      <c r="D2672" s="33"/>
      <c r="E2672" s="33"/>
    </row>
    <row r="2673">
      <c r="A2673" s="32"/>
      <c r="B2673" s="32"/>
      <c r="C2673" s="32"/>
      <c r="D2673" s="33"/>
      <c r="E2673" s="33"/>
    </row>
    <row r="2674">
      <c r="A2674" s="32"/>
      <c r="B2674" s="32"/>
      <c r="C2674" s="32"/>
      <c r="D2674" s="33"/>
      <c r="E2674" s="33"/>
    </row>
    <row r="2675">
      <c r="A2675" s="32"/>
      <c r="B2675" s="32"/>
      <c r="C2675" s="32"/>
      <c r="D2675" s="33"/>
      <c r="E2675" s="33"/>
    </row>
    <row r="2676">
      <c r="A2676" s="32"/>
      <c r="B2676" s="32"/>
      <c r="C2676" s="32"/>
      <c r="D2676" s="33"/>
      <c r="E2676" s="33"/>
    </row>
    <row r="2677">
      <c r="A2677" s="32"/>
      <c r="B2677" s="32"/>
      <c r="C2677" s="32"/>
      <c r="D2677" s="33"/>
      <c r="E2677" s="33"/>
    </row>
    <row r="2678">
      <c r="A2678" s="32"/>
      <c r="B2678" s="32"/>
      <c r="C2678" s="32"/>
      <c r="D2678" s="33"/>
      <c r="E2678" s="33"/>
    </row>
    <row r="2679">
      <c r="A2679" s="32"/>
      <c r="B2679" s="32"/>
      <c r="C2679" s="32"/>
      <c r="D2679" s="33"/>
      <c r="E2679" s="33"/>
    </row>
    <row r="2680">
      <c r="A2680" s="32"/>
      <c r="B2680" s="32"/>
      <c r="C2680" s="32"/>
      <c r="D2680" s="33"/>
      <c r="E2680" s="33"/>
    </row>
    <row r="2681">
      <c r="A2681" s="32"/>
      <c r="B2681" s="32"/>
      <c r="C2681" s="32"/>
      <c r="D2681" s="33"/>
      <c r="E2681" s="33"/>
    </row>
    <row r="2682">
      <c r="A2682" s="32"/>
      <c r="B2682" s="32"/>
      <c r="C2682" s="32"/>
      <c r="D2682" s="33"/>
      <c r="E2682" s="33"/>
    </row>
    <row r="2683">
      <c r="A2683" s="32"/>
      <c r="B2683" s="32"/>
      <c r="C2683" s="32"/>
      <c r="D2683" s="33"/>
      <c r="E2683" s="33"/>
    </row>
    <row r="2684">
      <c r="A2684" s="32"/>
      <c r="B2684" s="32"/>
      <c r="C2684" s="32"/>
      <c r="D2684" s="33"/>
      <c r="E2684" s="33"/>
    </row>
    <row r="2685">
      <c r="A2685" s="32"/>
      <c r="B2685" s="32"/>
      <c r="C2685" s="32"/>
      <c r="D2685" s="33"/>
      <c r="E2685" s="33"/>
    </row>
    <row r="2686">
      <c r="A2686" s="32"/>
      <c r="B2686" s="32"/>
      <c r="C2686" s="32"/>
      <c r="D2686" s="33"/>
      <c r="E2686" s="33"/>
    </row>
    <row r="2687">
      <c r="A2687" s="32"/>
      <c r="B2687" s="32"/>
      <c r="C2687" s="32"/>
      <c r="D2687" s="33"/>
      <c r="E2687" s="33"/>
    </row>
    <row r="2688">
      <c r="A2688" s="32"/>
      <c r="B2688" s="32"/>
      <c r="C2688" s="32"/>
      <c r="D2688" s="33"/>
      <c r="E2688" s="33"/>
    </row>
    <row r="2689">
      <c r="A2689" s="32"/>
      <c r="B2689" s="32"/>
      <c r="C2689" s="32"/>
      <c r="D2689" s="33"/>
      <c r="E2689" s="33"/>
    </row>
    <row r="2690">
      <c r="A2690" s="32"/>
      <c r="B2690" s="32"/>
      <c r="C2690" s="32"/>
      <c r="D2690" s="33"/>
      <c r="E2690" s="33"/>
    </row>
    <row r="2691">
      <c r="A2691" s="32"/>
      <c r="B2691" s="32"/>
      <c r="C2691" s="32"/>
      <c r="D2691" s="33"/>
      <c r="E2691" s="33"/>
    </row>
    <row r="2692">
      <c r="A2692" s="32"/>
      <c r="B2692" s="32"/>
      <c r="C2692" s="32"/>
      <c r="D2692" s="33"/>
      <c r="E2692" s="33"/>
    </row>
    <row r="2693">
      <c r="A2693" s="32"/>
      <c r="B2693" s="32"/>
      <c r="C2693" s="32"/>
      <c r="D2693" s="33"/>
      <c r="E2693" s="33"/>
    </row>
    <row r="2694">
      <c r="A2694" s="32"/>
      <c r="B2694" s="32"/>
      <c r="C2694" s="32"/>
      <c r="D2694" s="33"/>
      <c r="E2694" s="33"/>
    </row>
    <row r="2695">
      <c r="A2695" s="32"/>
      <c r="B2695" s="32"/>
      <c r="C2695" s="32"/>
      <c r="D2695" s="33"/>
      <c r="E2695" s="33"/>
    </row>
    <row r="2696">
      <c r="A2696" s="32"/>
      <c r="B2696" s="32"/>
      <c r="C2696" s="32"/>
      <c r="D2696" s="33"/>
      <c r="E2696" s="33"/>
    </row>
    <row r="2697">
      <c r="A2697" s="32"/>
      <c r="B2697" s="32"/>
      <c r="C2697" s="32"/>
      <c r="D2697" s="33"/>
      <c r="E2697" s="33"/>
    </row>
    <row r="2698">
      <c r="A2698" s="32"/>
      <c r="B2698" s="32"/>
      <c r="C2698" s="32"/>
      <c r="D2698" s="33"/>
      <c r="E2698" s="33"/>
    </row>
    <row r="2699">
      <c r="A2699" s="32"/>
      <c r="B2699" s="32"/>
      <c r="C2699" s="32"/>
      <c r="D2699" s="33"/>
      <c r="E2699" s="33"/>
    </row>
    <row r="2700">
      <c r="A2700" s="32"/>
      <c r="B2700" s="32"/>
      <c r="C2700" s="32"/>
      <c r="D2700" s="33"/>
      <c r="E2700" s="33"/>
    </row>
    <row r="2701">
      <c r="A2701" s="32"/>
      <c r="B2701" s="32"/>
      <c r="C2701" s="32"/>
      <c r="D2701" s="33"/>
      <c r="E2701" s="33"/>
    </row>
    <row r="2702">
      <c r="A2702" s="32"/>
      <c r="B2702" s="32"/>
      <c r="C2702" s="32"/>
      <c r="D2702" s="33"/>
      <c r="E2702" s="33"/>
    </row>
    <row r="2703">
      <c r="A2703" s="32"/>
      <c r="B2703" s="32"/>
      <c r="C2703" s="32"/>
      <c r="D2703" s="33"/>
      <c r="E2703" s="33"/>
    </row>
    <row r="2704">
      <c r="A2704" s="32"/>
      <c r="B2704" s="32"/>
      <c r="C2704" s="32"/>
      <c r="D2704" s="33"/>
      <c r="E2704" s="33"/>
    </row>
    <row r="2705">
      <c r="A2705" s="32"/>
      <c r="B2705" s="32"/>
      <c r="C2705" s="32"/>
      <c r="D2705" s="33"/>
      <c r="E2705" s="33"/>
    </row>
    <row r="2706">
      <c r="A2706" s="32"/>
      <c r="B2706" s="32"/>
      <c r="C2706" s="32"/>
      <c r="D2706" s="33"/>
      <c r="E2706" s="33"/>
    </row>
    <row r="2707">
      <c r="A2707" s="32"/>
      <c r="B2707" s="32"/>
      <c r="C2707" s="32"/>
      <c r="D2707" s="33"/>
      <c r="E2707" s="33"/>
    </row>
    <row r="2708">
      <c r="A2708" s="32"/>
      <c r="B2708" s="32"/>
      <c r="C2708" s="32"/>
      <c r="D2708" s="33"/>
      <c r="E2708" s="33"/>
    </row>
    <row r="2709">
      <c r="A2709" s="32"/>
      <c r="B2709" s="32"/>
      <c r="C2709" s="32"/>
      <c r="D2709" s="33"/>
      <c r="E2709" s="33"/>
    </row>
    <row r="2710">
      <c r="A2710" s="32"/>
      <c r="B2710" s="32"/>
      <c r="C2710" s="32"/>
      <c r="D2710" s="33"/>
      <c r="E2710" s="33"/>
    </row>
    <row r="2711">
      <c r="A2711" s="32"/>
      <c r="B2711" s="32"/>
      <c r="C2711" s="32"/>
      <c r="D2711" s="33"/>
      <c r="E2711" s="33"/>
    </row>
    <row r="2712">
      <c r="A2712" s="32"/>
      <c r="B2712" s="32"/>
      <c r="C2712" s="32"/>
      <c r="D2712" s="33"/>
      <c r="E2712" s="33"/>
    </row>
    <row r="2713">
      <c r="A2713" s="32"/>
      <c r="B2713" s="32"/>
      <c r="C2713" s="32"/>
      <c r="D2713" s="33"/>
      <c r="E2713" s="33"/>
    </row>
    <row r="2714">
      <c r="A2714" s="32"/>
      <c r="B2714" s="32"/>
      <c r="C2714" s="32"/>
      <c r="D2714" s="33"/>
      <c r="E2714" s="33"/>
    </row>
    <row r="2715">
      <c r="A2715" s="32"/>
      <c r="B2715" s="32"/>
      <c r="C2715" s="32"/>
      <c r="D2715" s="33"/>
      <c r="E2715" s="33"/>
    </row>
    <row r="2716">
      <c r="A2716" s="32"/>
      <c r="B2716" s="32"/>
      <c r="C2716" s="32"/>
      <c r="D2716" s="33"/>
      <c r="E2716" s="33"/>
    </row>
    <row r="2717">
      <c r="A2717" s="32"/>
      <c r="B2717" s="32"/>
      <c r="C2717" s="32"/>
      <c r="D2717" s="33"/>
      <c r="E2717" s="33"/>
    </row>
    <row r="2718">
      <c r="A2718" s="32"/>
      <c r="B2718" s="32"/>
      <c r="C2718" s="32"/>
      <c r="D2718" s="33"/>
      <c r="E2718" s="33"/>
    </row>
    <row r="2719">
      <c r="A2719" s="32"/>
      <c r="B2719" s="32"/>
      <c r="C2719" s="32"/>
      <c r="D2719" s="33"/>
      <c r="E2719" s="33"/>
    </row>
    <row r="2720">
      <c r="A2720" s="32"/>
      <c r="B2720" s="32"/>
      <c r="C2720" s="32"/>
      <c r="D2720" s="33"/>
      <c r="E2720" s="33"/>
    </row>
    <row r="2721">
      <c r="A2721" s="32"/>
      <c r="B2721" s="32"/>
      <c r="C2721" s="32"/>
      <c r="D2721" s="33"/>
      <c r="E2721" s="33"/>
    </row>
    <row r="2722">
      <c r="A2722" s="32"/>
      <c r="B2722" s="32"/>
      <c r="C2722" s="32"/>
      <c r="D2722" s="33"/>
      <c r="E2722" s="33"/>
    </row>
    <row r="2723">
      <c r="A2723" s="32"/>
      <c r="B2723" s="32"/>
      <c r="C2723" s="32"/>
      <c r="D2723" s="33"/>
      <c r="E2723" s="33"/>
    </row>
    <row r="2724">
      <c r="A2724" s="32"/>
      <c r="B2724" s="32"/>
      <c r="C2724" s="32"/>
      <c r="D2724" s="33"/>
      <c r="E2724" s="33"/>
    </row>
    <row r="2725">
      <c r="A2725" s="32"/>
      <c r="B2725" s="32"/>
      <c r="C2725" s="32"/>
      <c r="D2725" s="33"/>
      <c r="E2725" s="33"/>
    </row>
    <row r="2726">
      <c r="A2726" s="32"/>
      <c r="B2726" s="32"/>
      <c r="C2726" s="32"/>
      <c r="D2726" s="33"/>
      <c r="E2726" s="33"/>
    </row>
    <row r="2727">
      <c r="A2727" s="32"/>
      <c r="B2727" s="32"/>
      <c r="C2727" s="32"/>
      <c r="D2727" s="33"/>
      <c r="E2727" s="33"/>
    </row>
    <row r="2728">
      <c r="A2728" s="32"/>
      <c r="B2728" s="32"/>
      <c r="C2728" s="32"/>
      <c r="D2728" s="33"/>
      <c r="E2728" s="33"/>
    </row>
    <row r="2729">
      <c r="A2729" s="32"/>
      <c r="B2729" s="32"/>
      <c r="C2729" s="32"/>
      <c r="D2729" s="33"/>
      <c r="E2729" s="33"/>
    </row>
    <row r="2730">
      <c r="A2730" s="32"/>
      <c r="B2730" s="32"/>
      <c r="C2730" s="32"/>
      <c r="D2730" s="33"/>
      <c r="E2730" s="33"/>
    </row>
    <row r="2731">
      <c r="A2731" s="32"/>
      <c r="B2731" s="32"/>
      <c r="C2731" s="32"/>
      <c r="D2731" s="33"/>
      <c r="E2731" s="33"/>
    </row>
    <row r="2732">
      <c r="A2732" s="32"/>
      <c r="B2732" s="32"/>
      <c r="C2732" s="32"/>
      <c r="D2732" s="33"/>
      <c r="E2732" s="33"/>
    </row>
    <row r="2733">
      <c r="A2733" s="32"/>
      <c r="B2733" s="32"/>
      <c r="C2733" s="32"/>
      <c r="D2733" s="33"/>
      <c r="E2733" s="33"/>
    </row>
    <row r="2734">
      <c r="A2734" s="32"/>
      <c r="B2734" s="32"/>
      <c r="C2734" s="32"/>
      <c r="D2734" s="33"/>
      <c r="E2734" s="33"/>
    </row>
    <row r="2735">
      <c r="A2735" s="32"/>
      <c r="B2735" s="32"/>
      <c r="C2735" s="32"/>
      <c r="D2735" s="33"/>
      <c r="E2735" s="33"/>
    </row>
    <row r="2736">
      <c r="A2736" s="32"/>
      <c r="B2736" s="32"/>
      <c r="C2736" s="32"/>
      <c r="D2736" s="33"/>
      <c r="E2736" s="33"/>
    </row>
    <row r="2737">
      <c r="A2737" s="32"/>
      <c r="B2737" s="32"/>
      <c r="C2737" s="32"/>
      <c r="D2737" s="33"/>
      <c r="E2737" s="33"/>
    </row>
    <row r="2738">
      <c r="A2738" s="32"/>
      <c r="B2738" s="32"/>
      <c r="C2738" s="32"/>
      <c r="D2738" s="33"/>
      <c r="E2738" s="33"/>
    </row>
    <row r="2739">
      <c r="A2739" s="32"/>
      <c r="B2739" s="32"/>
      <c r="C2739" s="32"/>
      <c r="D2739" s="33"/>
      <c r="E2739" s="33"/>
    </row>
    <row r="2740">
      <c r="A2740" s="32"/>
      <c r="B2740" s="32"/>
      <c r="C2740" s="32"/>
      <c r="D2740" s="33"/>
      <c r="E2740" s="33"/>
    </row>
    <row r="2741">
      <c r="A2741" s="32"/>
      <c r="B2741" s="32"/>
      <c r="C2741" s="32"/>
      <c r="D2741" s="33"/>
      <c r="E2741" s="33"/>
    </row>
    <row r="2742">
      <c r="A2742" s="32"/>
      <c r="B2742" s="32"/>
      <c r="C2742" s="32"/>
      <c r="D2742" s="33"/>
      <c r="E2742" s="33"/>
    </row>
    <row r="2743">
      <c r="A2743" s="32"/>
      <c r="B2743" s="32"/>
      <c r="C2743" s="32"/>
      <c r="D2743" s="33"/>
      <c r="E2743" s="33"/>
    </row>
    <row r="2744">
      <c r="A2744" s="32"/>
      <c r="B2744" s="32"/>
      <c r="C2744" s="32"/>
      <c r="D2744" s="33"/>
      <c r="E2744" s="33"/>
    </row>
    <row r="2745">
      <c r="A2745" s="32"/>
      <c r="B2745" s="32"/>
      <c r="C2745" s="32"/>
      <c r="D2745" s="33"/>
      <c r="E2745" s="33"/>
    </row>
    <row r="2746">
      <c r="A2746" s="32"/>
      <c r="B2746" s="32"/>
      <c r="C2746" s="32"/>
      <c r="D2746" s="33"/>
      <c r="E2746" s="33"/>
    </row>
    <row r="2747">
      <c r="A2747" s="32"/>
      <c r="B2747" s="32"/>
      <c r="C2747" s="32"/>
      <c r="D2747" s="33"/>
      <c r="E2747" s="33"/>
    </row>
    <row r="2748">
      <c r="A2748" s="32"/>
      <c r="B2748" s="32"/>
      <c r="C2748" s="32"/>
      <c r="D2748" s="33"/>
      <c r="E2748" s="33"/>
    </row>
    <row r="2749">
      <c r="A2749" s="32"/>
      <c r="B2749" s="32"/>
      <c r="C2749" s="32"/>
      <c r="D2749" s="33"/>
      <c r="E2749" s="33"/>
    </row>
    <row r="2750">
      <c r="A2750" s="32"/>
      <c r="B2750" s="32"/>
      <c r="C2750" s="32"/>
      <c r="D2750" s="33"/>
      <c r="E2750" s="33"/>
    </row>
    <row r="2751">
      <c r="A2751" s="32"/>
      <c r="B2751" s="32"/>
      <c r="C2751" s="32"/>
      <c r="D2751" s="33"/>
      <c r="E2751" s="33"/>
    </row>
    <row r="2752">
      <c r="A2752" s="32"/>
      <c r="B2752" s="32"/>
      <c r="C2752" s="32"/>
      <c r="D2752" s="33"/>
      <c r="E2752" s="33"/>
    </row>
    <row r="2753">
      <c r="A2753" s="32"/>
      <c r="B2753" s="32"/>
      <c r="C2753" s="32"/>
      <c r="D2753" s="33"/>
      <c r="E2753" s="33"/>
    </row>
    <row r="2754">
      <c r="A2754" s="32"/>
      <c r="B2754" s="32"/>
      <c r="C2754" s="32"/>
      <c r="D2754" s="33"/>
      <c r="E2754" s="33"/>
    </row>
    <row r="2755">
      <c r="A2755" s="32"/>
      <c r="B2755" s="32"/>
      <c r="C2755" s="32"/>
      <c r="D2755" s="33"/>
      <c r="E2755" s="33"/>
    </row>
    <row r="2756">
      <c r="A2756" s="32"/>
      <c r="B2756" s="32"/>
      <c r="C2756" s="32"/>
      <c r="D2756" s="33"/>
      <c r="E2756" s="33"/>
    </row>
    <row r="2757">
      <c r="A2757" s="32"/>
      <c r="B2757" s="32"/>
      <c r="C2757" s="32"/>
      <c r="D2757" s="33"/>
      <c r="E2757" s="33"/>
    </row>
    <row r="2758">
      <c r="A2758" s="32"/>
      <c r="B2758" s="32"/>
      <c r="C2758" s="32"/>
      <c r="D2758" s="33"/>
      <c r="E2758" s="33"/>
    </row>
    <row r="2759">
      <c r="A2759" s="32"/>
      <c r="B2759" s="32"/>
      <c r="C2759" s="32"/>
      <c r="D2759" s="33"/>
      <c r="E2759" s="33"/>
    </row>
    <row r="2760">
      <c r="A2760" s="32"/>
      <c r="B2760" s="32"/>
      <c r="C2760" s="32"/>
      <c r="D2760" s="33"/>
      <c r="E2760" s="33"/>
    </row>
    <row r="2761">
      <c r="A2761" s="32"/>
      <c r="B2761" s="32"/>
      <c r="C2761" s="32"/>
      <c r="D2761" s="33"/>
      <c r="E2761" s="33"/>
    </row>
    <row r="2762">
      <c r="A2762" s="32"/>
      <c r="B2762" s="32"/>
      <c r="C2762" s="32"/>
      <c r="D2762" s="33"/>
      <c r="E2762" s="33"/>
    </row>
    <row r="2763">
      <c r="A2763" s="32"/>
      <c r="B2763" s="32"/>
      <c r="C2763" s="32"/>
      <c r="D2763" s="33"/>
      <c r="E2763" s="33"/>
    </row>
    <row r="2764">
      <c r="A2764" s="32"/>
      <c r="B2764" s="32"/>
      <c r="C2764" s="32"/>
      <c r="D2764" s="33"/>
      <c r="E2764" s="33"/>
    </row>
    <row r="2765">
      <c r="A2765" s="32"/>
      <c r="B2765" s="32"/>
      <c r="C2765" s="32"/>
      <c r="D2765" s="33"/>
      <c r="E2765" s="33"/>
    </row>
    <row r="2766">
      <c r="A2766" s="32"/>
      <c r="B2766" s="32"/>
      <c r="C2766" s="32"/>
      <c r="D2766" s="33"/>
      <c r="E2766" s="33"/>
    </row>
    <row r="2767">
      <c r="A2767" s="32"/>
      <c r="B2767" s="32"/>
      <c r="C2767" s="32"/>
      <c r="D2767" s="33"/>
      <c r="E2767" s="33"/>
    </row>
    <row r="2768">
      <c r="A2768" s="32"/>
      <c r="B2768" s="32"/>
      <c r="C2768" s="32"/>
      <c r="D2768" s="33"/>
      <c r="E2768" s="33"/>
    </row>
    <row r="2769">
      <c r="A2769" s="32"/>
      <c r="B2769" s="32"/>
      <c r="C2769" s="32"/>
      <c r="D2769" s="33"/>
      <c r="E2769" s="33"/>
    </row>
    <row r="2770">
      <c r="A2770" s="32"/>
      <c r="B2770" s="32"/>
      <c r="C2770" s="32"/>
      <c r="D2770" s="33"/>
      <c r="E2770" s="33"/>
    </row>
    <row r="2771">
      <c r="A2771" s="32"/>
      <c r="B2771" s="32"/>
      <c r="C2771" s="32"/>
      <c r="D2771" s="33"/>
      <c r="E2771" s="33"/>
    </row>
    <row r="2772">
      <c r="A2772" s="32"/>
      <c r="B2772" s="32"/>
      <c r="C2772" s="32"/>
      <c r="D2772" s="33"/>
      <c r="E2772" s="33"/>
    </row>
    <row r="2773">
      <c r="A2773" s="32"/>
      <c r="B2773" s="32"/>
      <c r="C2773" s="32"/>
      <c r="D2773" s="33"/>
      <c r="E2773" s="33"/>
    </row>
    <row r="2774">
      <c r="A2774" s="32"/>
      <c r="B2774" s="32"/>
      <c r="C2774" s="32"/>
      <c r="D2774" s="33"/>
      <c r="E2774" s="33"/>
    </row>
    <row r="2775">
      <c r="A2775" s="32"/>
      <c r="B2775" s="32"/>
      <c r="C2775" s="32"/>
      <c r="D2775" s="33"/>
      <c r="E2775" s="33"/>
    </row>
    <row r="2776">
      <c r="A2776" s="32"/>
      <c r="B2776" s="32"/>
      <c r="C2776" s="32"/>
      <c r="D2776" s="33"/>
      <c r="E2776" s="33"/>
    </row>
    <row r="2777">
      <c r="A2777" s="32"/>
      <c r="B2777" s="32"/>
      <c r="C2777" s="32"/>
      <c r="D2777" s="33"/>
      <c r="E2777" s="33"/>
    </row>
    <row r="2778">
      <c r="A2778" s="32"/>
      <c r="B2778" s="32"/>
      <c r="C2778" s="32"/>
      <c r="D2778" s="33"/>
      <c r="E2778" s="33"/>
    </row>
    <row r="2779">
      <c r="A2779" s="32"/>
      <c r="B2779" s="32"/>
      <c r="C2779" s="32"/>
      <c r="D2779" s="33"/>
      <c r="E2779" s="33"/>
    </row>
    <row r="2780">
      <c r="A2780" s="32"/>
      <c r="B2780" s="32"/>
      <c r="C2780" s="32"/>
      <c r="D2780" s="33"/>
      <c r="E2780" s="33"/>
    </row>
    <row r="2781">
      <c r="A2781" s="32"/>
      <c r="B2781" s="32"/>
      <c r="C2781" s="32"/>
      <c r="D2781" s="33"/>
      <c r="E2781" s="33"/>
    </row>
    <row r="2782">
      <c r="A2782" s="32"/>
      <c r="B2782" s="32"/>
      <c r="C2782" s="32"/>
      <c r="D2782" s="33"/>
      <c r="E2782" s="33"/>
    </row>
    <row r="2783">
      <c r="A2783" s="32"/>
      <c r="B2783" s="32"/>
      <c r="C2783" s="32"/>
      <c r="D2783" s="33"/>
      <c r="E2783" s="33"/>
    </row>
    <row r="2784">
      <c r="A2784" s="32"/>
      <c r="B2784" s="32"/>
      <c r="C2784" s="32"/>
      <c r="D2784" s="33"/>
      <c r="E2784" s="33"/>
    </row>
    <row r="2785">
      <c r="A2785" s="32"/>
      <c r="B2785" s="32"/>
      <c r="C2785" s="32"/>
      <c r="D2785" s="33"/>
      <c r="E2785" s="33"/>
    </row>
    <row r="2786">
      <c r="A2786" s="32"/>
      <c r="B2786" s="32"/>
      <c r="C2786" s="32"/>
      <c r="D2786" s="33"/>
      <c r="E2786" s="33"/>
    </row>
    <row r="2787">
      <c r="A2787" s="32"/>
      <c r="B2787" s="32"/>
      <c r="C2787" s="32"/>
      <c r="D2787" s="33"/>
      <c r="E2787" s="33"/>
    </row>
    <row r="2788">
      <c r="A2788" s="32"/>
      <c r="B2788" s="32"/>
      <c r="C2788" s="32"/>
      <c r="D2788" s="33"/>
      <c r="E2788" s="33"/>
    </row>
    <row r="2789">
      <c r="A2789" s="32"/>
      <c r="B2789" s="32"/>
      <c r="C2789" s="32"/>
      <c r="D2789" s="33"/>
      <c r="E2789" s="33"/>
    </row>
    <row r="2790">
      <c r="A2790" s="32"/>
      <c r="B2790" s="32"/>
      <c r="C2790" s="32"/>
      <c r="D2790" s="33"/>
      <c r="E2790" s="33"/>
    </row>
    <row r="2791">
      <c r="A2791" s="32"/>
      <c r="B2791" s="32"/>
      <c r="C2791" s="32"/>
      <c r="D2791" s="33"/>
      <c r="E2791" s="33"/>
    </row>
    <row r="2792">
      <c r="A2792" s="32"/>
      <c r="B2792" s="32"/>
      <c r="C2792" s="32"/>
      <c r="D2792" s="33"/>
      <c r="E2792" s="33"/>
    </row>
    <row r="2793">
      <c r="A2793" s="32"/>
      <c r="B2793" s="32"/>
      <c r="C2793" s="32"/>
      <c r="D2793" s="33"/>
      <c r="E2793" s="33"/>
    </row>
    <row r="2794">
      <c r="A2794" s="32"/>
      <c r="B2794" s="32"/>
      <c r="C2794" s="32"/>
      <c r="D2794" s="33"/>
      <c r="E2794" s="33"/>
    </row>
    <row r="2795">
      <c r="A2795" s="32"/>
      <c r="B2795" s="32"/>
      <c r="C2795" s="32"/>
      <c r="D2795" s="33"/>
      <c r="E2795" s="33"/>
    </row>
    <row r="2796">
      <c r="A2796" s="32"/>
      <c r="B2796" s="32"/>
      <c r="C2796" s="32"/>
      <c r="D2796" s="33"/>
      <c r="E2796" s="33"/>
    </row>
    <row r="2797">
      <c r="A2797" s="32"/>
      <c r="B2797" s="32"/>
      <c r="C2797" s="32"/>
      <c r="D2797" s="33"/>
      <c r="E2797" s="33"/>
    </row>
    <row r="2798">
      <c r="A2798" s="32"/>
      <c r="B2798" s="32"/>
      <c r="C2798" s="32"/>
      <c r="D2798" s="33"/>
      <c r="E2798" s="33"/>
    </row>
    <row r="2799">
      <c r="A2799" s="32"/>
      <c r="B2799" s="32"/>
      <c r="C2799" s="32"/>
      <c r="D2799" s="33"/>
      <c r="E2799" s="33"/>
    </row>
    <row r="2800">
      <c r="A2800" s="32"/>
      <c r="B2800" s="32"/>
      <c r="C2800" s="32"/>
      <c r="D2800" s="33"/>
      <c r="E2800" s="33"/>
    </row>
    <row r="2801">
      <c r="A2801" s="32"/>
      <c r="B2801" s="32"/>
      <c r="C2801" s="32"/>
      <c r="D2801" s="33"/>
      <c r="E2801" s="33"/>
    </row>
    <row r="2802">
      <c r="A2802" s="32"/>
      <c r="B2802" s="32"/>
      <c r="C2802" s="32"/>
      <c r="D2802" s="33"/>
      <c r="E2802" s="33"/>
    </row>
    <row r="2803">
      <c r="A2803" s="32"/>
      <c r="B2803" s="32"/>
      <c r="C2803" s="32"/>
      <c r="D2803" s="33"/>
      <c r="E2803" s="33"/>
    </row>
    <row r="2804">
      <c r="A2804" s="32"/>
      <c r="B2804" s="32"/>
      <c r="C2804" s="32"/>
      <c r="D2804" s="33"/>
      <c r="E2804" s="33"/>
    </row>
    <row r="2805">
      <c r="A2805" s="32"/>
      <c r="B2805" s="32"/>
      <c r="C2805" s="32"/>
      <c r="D2805" s="33"/>
      <c r="E2805" s="33"/>
    </row>
    <row r="2806">
      <c r="A2806" s="32"/>
      <c r="B2806" s="32"/>
      <c r="C2806" s="32"/>
      <c r="D2806" s="33"/>
      <c r="E2806" s="33"/>
    </row>
    <row r="2807">
      <c r="A2807" s="32"/>
      <c r="B2807" s="32"/>
      <c r="C2807" s="32"/>
      <c r="D2807" s="33"/>
      <c r="E2807" s="33"/>
    </row>
    <row r="2808">
      <c r="A2808" s="32"/>
      <c r="B2808" s="32"/>
      <c r="C2808" s="32"/>
      <c r="D2808" s="33"/>
      <c r="E2808" s="33"/>
    </row>
    <row r="2809">
      <c r="A2809" s="32"/>
      <c r="B2809" s="32"/>
      <c r="C2809" s="32"/>
      <c r="D2809" s="33"/>
      <c r="E2809" s="33"/>
    </row>
    <row r="2810">
      <c r="A2810" s="32"/>
      <c r="B2810" s="32"/>
      <c r="C2810" s="32"/>
      <c r="D2810" s="33"/>
      <c r="E2810" s="33"/>
    </row>
    <row r="2811">
      <c r="A2811" s="32"/>
      <c r="B2811" s="32"/>
      <c r="C2811" s="32"/>
      <c r="D2811" s="33"/>
      <c r="E2811" s="33"/>
    </row>
    <row r="2812">
      <c r="A2812" s="32"/>
      <c r="B2812" s="32"/>
      <c r="C2812" s="32"/>
      <c r="D2812" s="33"/>
      <c r="E2812" s="33"/>
    </row>
    <row r="2813">
      <c r="A2813" s="32"/>
      <c r="B2813" s="32"/>
      <c r="C2813" s="32"/>
      <c r="D2813" s="33"/>
      <c r="E2813" s="33"/>
    </row>
    <row r="2814">
      <c r="A2814" s="32"/>
      <c r="B2814" s="32"/>
      <c r="C2814" s="32"/>
      <c r="D2814" s="33"/>
      <c r="E2814" s="33"/>
    </row>
    <row r="2815">
      <c r="A2815" s="32"/>
      <c r="B2815" s="32"/>
      <c r="C2815" s="32"/>
      <c r="D2815" s="33"/>
      <c r="E2815" s="33"/>
    </row>
    <row r="2816">
      <c r="A2816" s="32"/>
      <c r="B2816" s="32"/>
      <c r="C2816" s="32"/>
      <c r="D2816" s="33"/>
      <c r="E2816" s="33"/>
    </row>
    <row r="2817">
      <c r="A2817" s="32"/>
      <c r="B2817" s="32"/>
      <c r="C2817" s="32"/>
      <c r="D2817" s="33"/>
      <c r="E2817" s="33"/>
    </row>
    <row r="2818">
      <c r="A2818" s="32"/>
      <c r="B2818" s="32"/>
      <c r="C2818" s="32"/>
      <c r="D2818" s="33"/>
      <c r="E2818" s="33"/>
    </row>
    <row r="2819">
      <c r="A2819" s="32"/>
      <c r="B2819" s="32"/>
      <c r="C2819" s="32"/>
      <c r="D2819" s="33"/>
      <c r="E2819" s="33"/>
    </row>
    <row r="2820">
      <c r="A2820" s="32"/>
      <c r="B2820" s="32"/>
      <c r="C2820" s="32"/>
      <c r="D2820" s="33"/>
      <c r="E2820" s="33"/>
    </row>
    <row r="2821">
      <c r="A2821" s="32"/>
      <c r="B2821" s="32"/>
      <c r="C2821" s="32"/>
      <c r="D2821" s="33"/>
      <c r="E2821" s="33"/>
    </row>
    <row r="2822">
      <c r="A2822" s="32"/>
      <c r="B2822" s="32"/>
      <c r="C2822" s="32"/>
      <c r="D2822" s="33"/>
      <c r="E2822" s="33"/>
    </row>
    <row r="2823">
      <c r="A2823" s="32"/>
      <c r="B2823" s="32"/>
      <c r="C2823" s="32"/>
      <c r="D2823" s="33"/>
      <c r="E2823" s="33"/>
    </row>
    <row r="2824">
      <c r="A2824" s="32"/>
      <c r="B2824" s="32"/>
      <c r="C2824" s="32"/>
      <c r="D2824" s="33"/>
      <c r="E2824" s="33"/>
    </row>
    <row r="2825">
      <c r="A2825" s="32"/>
      <c r="B2825" s="32"/>
      <c r="C2825" s="32"/>
      <c r="D2825" s="33"/>
      <c r="E2825" s="33"/>
    </row>
    <row r="2826">
      <c r="A2826" s="32"/>
      <c r="B2826" s="32"/>
      <c r="C2826" s="32"/>
      <c r="D2826" s="33"/>
      <c r="E2826" s="33"/>
    </row>
    <row r="2827">
      <c r="A2827" s="32"/>
      <c r="B2827" s="32"/>
      <c r="C2827" s="32"/>
      <c r="D2827" s="33"/>
      <c r="E2827" s="33"/>
    </row>
    <row r="2828">
      <c r="A2828" s="32"/>
      <c r="B2828" s="32"/>
      <c r="C2828" s="32"/>
      <c r="D2828" s="33"/>
      <c r="E2828" s="33"/>
    </row>
    <row r="2829">
      <c r="A2829" s="32"/>
      <c r="B2829" s="32"/>
      <c r="C2829" s="32"/>
      <c r="D2829" s="33"/>
      <c r="E2829" s="33"/>
    </row>
    <row r="2830">
      <c r="A2830" s="32"/>
      <c r="B2830" s="32"/>
      <c r="C2830" s="32"/>
      <c r="D2830" s="33"/>
      <c r="E2830" s="33"/>
    </row>
    <row r="2831">
      <c r="A2831" s="32"/>
      <c r="B2831" s="32"/>
      <c r="C2831" s="32"/>
      <c r="D2831" s="33"/>
      <c r="E2831" s="33"/>
    </row>
    <row r="2832">
      <c r="A2832" s="32"/>
      <c r="B2832" s="32"/>
      <c r="C2832" s="32"/>
      <c r="D2832" s="33"/>
      <c r="E2832" s="33"/>
    </row>
    <row r="2833">
      <c r="A2833" s="32"/>
      <c r="B2833" s="32"/>
      <c r="C2833" s="32"/>
      <c r="D2833" s="33"/>
      <c r="E2833" s="33"/>
    </row>
    <row r="2834">
      <c r="A2834" s="32"/>
      <c r="B2834" s="32"/>
      <c r="C2834" s="32"/>
      <c r="D2834" s="33"/>
      <c r="E2834" s="33"/>
    </row>
    <row r="2835">
      <c r="A2835" s="32"/>
      <c r="B2835" s="32"/>
      <c r="C2835" s="32"/>
      <c r="D2835" s="33"/>
      <c r="E2835" s="33"/>
    </row>
    <row r="2836">
      <c r="A2836" s="32"/>
      <c r="B2836" s="32"/>
      <c r="C2836" s="32"/>
      <c r="D2836" s="33"/>
      <c r="E2836" s="33"/>
    </row>
    <row r="2837">
      <c r="A2837" s="32"/>
      <c r="B2837" s="32"/>
      <c r="C2837" s="32"/>
      <c r="D2837" s="33"/>
      <c r="E2837" s="33"/>
    </row>
    <row r="2838">
      <c r="A2838" s="32"/>
      <c r="B2838" s="32"/>
      <c r="C2838" s="32"/>
      <c r="D2838" s="33"/>
      <c r="E2838" s="33"/>
    </row>
    <row r="2839">
      <c r="A2839" s="32"/>
      <c r="B2839" s="32"/>
      <c r="C2839" s="32"/>
      <c r="D2839" s="33"/>
      <c r="E2839" s="33"/>
    </row>
    <row r="2840">
      <c r="A2840" s="32"/>
      <c r="B2840" s="32"/>
      <c r="C2840" s="32"/>
      <c r="D2840" s="33"/>
      <c r="E2840" s="33"/>
    </row>
    <row r="2841">
      <c r="A2841" s="32"/>
      <c r="B2841" s="32"/>
      <c r="C2841" s="32"/>
      <c r="D2841" s="33"/>
      <c r="E2841" s="33"/>
    </row>
    <row r="2842">
      <c r="A2842" s="32"/>
      <c r="B2842" s="32"/>
      <c r="C2842" s="32"/>
      <c r="D2842" s="33"/>
      <c r="E2842" s="33"/>
    </row>
    <row r="2843">
      <c r="A2843" s="32"/>
      <c r="B2843" s="32"/>
      <c r="C2843" s="32"/>
      <c r="D2843" s="33"/>
      <c r="E2843" s="33"/>
    </row>
    <row r="2844">
      <c r="A2844" s="32"/>
      <c r="B2844" s="32"/>
      <c r="C2844" s="32"/>
      <c r="D2844" s="33"/>
      <c r="E2844" s="33"/>
    </row>
    <row r="2845">
      <c r="A2845" s="32"/>
      <c r="B2845" s="32"/>
      <c r="C2845" s="32"/>
      <c r="D2845" s="33"/>
      <c r="E2845" s="33"/>
    </row>
    <row r="2846">
      <c r="A2846" s="32"/>
      <c r="B2846" s="32"/>
      <c r="C2846" s="32"/>
      <c r="D2846" s="33"/>
      <c r="E2846" s="33"/>
    </row>
    <row r="2847">
      <c r="A2847" s="32"/>
      <c r="B2847" s="32"/>
      <c r="C2847" s="32"/>
      <c r="D2847" s="33"/>
      <c r="E2847" s="33"/>
    </row>
    <row r="2848">
      <c r="A2848" s="32"/>
      <c r="B2848" s="32"/>
      <c r="C2848" s="32"/>
      <c r="D2848" s="33"/>
      <c r="E2848" s="33"/>
    </row>
    <row r="2849">
      <c r="A2849" s="32"/>
      <c r="B2849" s="32"/>
      <c r="C2849" s="32"/>
      <c r="D2849" s="33"/>
      <c r="E2849" s="33"/>
    </row>
    <row r="2850">
      <c r="A2850" s="32"/>
      <c r="B2850" s="32"/>
      <c r="C2850" s="32"/>
      <c r="D2850" s="33"/>
      <c r="E2850" s="33"/>
    </row>
    <row r="2851">
      <c r="A2851" s="32"/>
      <c r="B2851" s="32"/>
      <c r="C2851" s="32"/>
      <c r="D2851" s="33"/>
      <c r="E2851" s="33"/>
    </row>
    <row r="2852">
      <c r="A2852" s="32"/>
      <c r="B2852" s="32"/>
      <c r="C2852" s="32"/>
      <c r="D2852" s="33"/>
      <c r="E2852" s="33"/>
    </row>
    <row r="2853">
      <c r="A2853" s="32"/>
      <c r="B2853" s="32"/>
      <c r="C2853" s="32"/>
      <c r="D2853" s="33"/>
      <c r="E2853" s="33"/>
    </row>
    <row r="2854">
      <c r="A2854" s="32"/>
      <c r="B2854" s="32"/>
      <c r="C2854" s="32"/>
      <c r="D2854" s="33"/>
      <c r="E2854" s="33"/>
    </row>
    <row r="2855">
      <c r="A2855" s="32"/>
      <c r="B2855" s="32"/>
      <c r="C2855" s="32"/>
      <c r="D2855" s="33"/>
      <c r="E2855" s="33"/>
    </row>
    <row r="2856">
      <c r="A2856" s="32"/>
      <c r="B2856" s="32"/>
      <c r="C2856" s="32"/>
      <c r="D2856" s="33"/>
      <c r="E2856" s="33"/>
    </row>
    <row r="2857">
      <c r="A2857" s="32"/>
      <c r="B2857" s="32"/>
      <c r="C2857" s="32"/>
      <c r="D2857" s="33"/>
      <c r="E2857" s="33"/>
    </row>
    <row r="2858">
      <c r="A2858" s="32"/>
      <c r="B2858" s="32"/>
      <c r="C2858" s="32"/>
      <c r="D2858" s="33"/>
      <c r="E2858" s="33"/>
    </row>
    <row r="2859">
      <c r="A2859" s="32"/>
      <c r="B2859" s="32"/>
      <c r="C2859" s="32"/>
      <c r="D2859" s="33"/>
      <c r="E2859" s="33"/>
    </row>
    <row r="2860">
      <c r="A2860" s="32"/>
      <c r="B2860" s="32"/>
      <c r="C2860" s="32"/>
      <c r="D2860" s="33"/>
      <c r="E2860" s="33"/>
    </row>
    <row r="2861">
      <c r="A2861" s="32"/>
      <c r="B2861" s="32"/>
      <c r="C2861" s="32"/>
      <c r="D2861" s="33"/>
      <c r="E2861" s="33"/>
    </row>
    <row r="2862">
      <c r="A2862" s="32"/>
      <c r="B2862" s="32"/>
      <c r="C2862" s="32"/>
      <c r="D2862" s="33"/>
      <c r="E2862" s="33"/>
    </row>
    <row r="2863">
      <c r="A2863" s="32"/>
      <c r="B2863" s="32"/>
      <c r="C2863" s="32"/>
      <c r="D2863" s="33"/>
      <c r="E2863" s="33"/>
    </row>
    <row r="2864">
      <c r="A2864" s="32"/>
      <c r="B2864" s="32"/>
      <c r="C2864" s="32"/>
      <c r="D2864" s="33"/>
      <c r="E2864" s="33"/>
    </row>
    <row r="2865">
      <c r="A2865" s="32"/>
      <c r="B2865" s="32"/>
      <c r="C2865" s="32"/>
      <c r="D2865" s="33"/>
      <c r="E2865" s="33"/>
    </row>
    <row r="2866">
      <c r="A2866" s="32"/>
      <c r="B2866" s="32"/>
      <c r="C2866" s="32"/>
      <c r="D2866" s="33"/>
      <c r="E2866" s="33"/>
    </row>
    <row r="2867">
      <c r="A2867" s="32"/>
      <c r="B2867" s="32"/>
      <c r="C2867" s="32"/>
      <c r="D2867" s="33"/>
      <c r="E2867" s="33"/>
    </row>
    <row r="2868">
      <c r="A2868" s="32"/>
      <c r="B2868" s="32"/>
      <c r="C2868" s="32"/>
      <c r="D2868" s="33"/>
      <c r="E2868" s="33"/>
    </row>
    <row r="2869">
      <c r="A2869" s="32"/>
      <c r="B2869" s="32"/>
      <c r="C2869" s="32"/>
      <c r="D2869" s="33"/>
      <c r="E2869" s="33"/>
    </row>
    <row r="2870">
      <c r="A2870" s="32"/>
      <c r="B2870" s="32"/>
      <c r="C2870" s="32"/>
      <c r="D2870" s="33"/>
      <c r="E2870" s="33"/>
    </row>
    <row r="2871">
      <c r="A2871" s="32"/>
      <c r="B2871" s="32"/>
      <c r="C2871" s="32"/>
      <c r="D2871" s="33"/>
      <c r="E2871" s="33"/>
    </row>
    <row r="2872">
      <c r="A2872" s="32"/>
      <c r="B2872" s="32"/>
      <c r="C2872" s="32"/>
      <c r="D2872" s="33"/>
      <c r="E2872" s="33"/>
    </row>
    <row r="2873">
      <c r="A2873" s="32"/>
      <c r="B2873" s="32"/>
      <c r="C2873" s="32"/>
      <c r="D2873" s="33"/>
      <c r="E2873" s="33"/>
    </row>
    <row r="2874">
      <c r="A2874" s="32"/>
      <c r="B2874" s="32"/>
      <c r="C2874" s="32"/>
      <c r="D2874" s="33"/>
      <c r="E2874" s="33"/>
    </row>
    <row r="2875">
      <c r="A2875" s="32"/>
      <c r="B2875" s="32"/>
      <c r="C2875" s="32"/>
      <c r="D2875" s="33"/>
      <c r="E2875" s="33"/>
    </row>
    <row r="2876">
      <c r="A2876" s="32"/>
      <c r="B2876" s="32"/>
      <c r="C2876" s="32"/>
      <c r="D2876" s="33"/>
      <c r="E2876" s="33"/>
    </row>
    <row r="2877">
      <c r="A2877" s="32"/>
      <c r="B2877" s="32"/>
      <c r="C2877" s="32"/>
      <c r="D2877" s="33"/>
      <c r="E2877" s="33"/>
    </row>
    <row r="2878">
      <c r="A2878" s="32"/>
      <c r="B2878" s="32"/>
      <c r="C2878" s="32"/>
      <c r="D2878" s="33"/>
      <c r="E2878" s="33"/>
    </row>
    <row r="2879">
      <c r="A2879" s="32"/>
      <c r="B2879" s="32"/>
      <c r="C2879" s="32"/>
      <c r="D2879" s="33"/>
      <c r="E2879" s="33"/>
    </row>
    <row r="2880">
      <c r="A2880" s="32"/>
      <c r="B2880" s="32"/>
      <c r="C2880" s="32"/>
      <c r="D2880" s="33"/>
      <c r="E2880" s="33"/>
    </row>
    <row r="2881">
      <c r="A2881" s="32"/>
      <c r="B2881" s="32"/>
      <c r="C2881" s="32"/>
      <c r="D2881" s="33"/>
      <c r="E2881" s="33"/>
    </row>
    <row r="2882">
      <c r="A2882" s="32"/>
      <c r="B2882" s="32"/>
      <c r="C2882" s="32"/>
      <c r="D2882" s="33"/>
      <c r="E2882" s="33"/>
    </row>
    <row r="2883">
      <c r="A2883" s="32"/>
      <c r="B2883" s="32"/>
      <c r="C2883" s="32"/>
      <c r="D2883" s="33"/>
      <c r="E2883" s="33"/>
    </row>
    <row r="2884">
      <c r="A2884" s="32"/>
      <c r="B2884" s="32"/>
      <c r="C2884" s="32"/>
      <c r="D2884" s="33"/>
      <c r="E2884" s="33"/>
    </row>
    <row r="2885">
      <c r="A2885" s="32"/>
      <c r="B2885" s="32"/>
      <c r="C2885" s="32"/>
      <c r="D2885" s="33"/>
      <c r="E2885" s="33"/>
    </row>
    <row r="2886">
      <c r="A2886" s="32"/>
      <c r="B2886" s="32"/>
      <c r="C2886" s="32"/>
      <c r="D2886" s="33"/>
      <c r="E2886" s="33"/>
    </row>
    <row r="2887">
      <c r="A2887" s="32"/>
      <c r="B2887" s="32"/>
      <c r="C2887" s="32"/>
      <c r="D2887" s="33"/>
      <c r="E2887" s="33"/>
    </row>
    <row r="2888">
      <c r="A2888" s="32"/>
      <c r="B2888" s="32"/>
      <c r="C2888" s="32"/>
      <c r="D2888" s="33"/>
      <c r="E2888" s="33"/>
    </row>
    <row r="2889">
      <c r="A2889" s="32"/>
      <c r="B2889" s="32"/>
      <c r="C2889" s="32"/>
      <c r="D2889" s="33"/>
      <c r="E2889" s="33"/>
    </row>
    <row r="2890">
      <c r="A2890" s="32"/>
      <c r="B2890" s="32"/>
      <c r="C2890" s="32"/>
      <c r="D2890" s="33"/>
      <c r="E2890" s="33"/>
    </row>
    <row r="2891">
      <c r="A2891" s="32"/>
      <c r="B2891" s="32"/>
      <c r="C2891" s="32"/>
      <c r="D2891" s="33"/>
      <c r="E2891" s="33"/>
    </row>
    <row r="2892">
      <c r="A2892" s="32"/>
      <c r="B2892" s="32"/>
      <c r="C2892" s="32"/>
      <c r="D2892" s="33"/>
      <c r="E2892" s="33"/>
    </row>
    <row r="2893">
      <c r="A2893" s="32"/>
      <c r="B2893" s="32"/>
      <c r="C2893" s="32"/>
      <c r="D2893" s="33"/>
      <c r="E2893" s="33"/>
    </row>
    <row r="2894">
      <c r="A2894" s="32"/>
      <c r="B2894" s="32"/>
      <c r="C2894" s="32"/>
      <c r="D2894" s="33"/>
      <c r="E2894" s="33"/>
    </row>
    <row r="2895">
      <c r="A2895" s="32"/>
      <c r="B2895" s="32"/>
      <c r="C2895" s="32"/>
      <c r="D2895" s="33"/>
      <c r="E2895" s="33"/>
    </row>
    <row r="2896">
      <c r="A2896" s="32"/>
      <c r="B2896" s="32"/>
      <c r="C2896" s="32"/>
      <c r="D2896" s="33"/>
      <c r="E2896" s="33"/>
    </row>
    <row r="2897">
      <c r="A2897" s="32"/>
      <c r="B2897" s="32"/>
      <c r="C2897" s="32"/>
      <c r="D2897" s="33"/>
      <c r="E2897" s="33"/>
    </row>
    <row r="2898">
      <c r="A2898" s="32"/>
      <c r="B2898" s="32"/>
      <c r="C2898" s="32"/>
      <c r="D2898" s="33"/>
      <c r="E2898" s="33"/>
    </row>
    <row r="2899">
      <c r="A2899" s="32"/>
      <c r="B2899" s="32"/>
      <c r="C2899" s="32"/>
      <c r="D2899" s="33"/>
      <c r="E2899" s="33"/>
    </row>
    <row r="2900">
      <c r="A2900" s="32"/>
      <c r="B2900" s="32"/>
      <c r="C2900" s="32"/>
      <c r="D2900" s="33"/>
      <c r="E2900" s="33"/>
    </row>
    <row r="2901">
      <c r="A2901" s="32"/>
      <c r="B2901" s="32"/>
      <c r="C2901" s="32"/>
      <c r="D2901" s="33"/>
      <c r="E2901" s="33"/>
    </row>
    <row r="2902">
      <c r="A2902" s="32"/>
      <c r="B2902" s="32"/>
      <c r="C2902" s="32"/>
      <c r="D2902" s="33"/>
      <c r="E2902" s="33"/>
    </row>
    <row r="2903">
      <c r="A2903" s="32"/>
      <c r="B2903" s="32"/>
      <c r="C2903" s="32"/>
      <c r="D2903" s="33"/>
      <c r="E2903" s="33"/>
    </row>
    <row r="2904">
      <c r="A2904" s="32"/>
      <c r="B2904" s="32"/>
      <c r="C2904" s="32"/>
      <c r="D2904" s="33"/>
      <c r="E2904" s="33"/>
    </row>
    <row r="2905">
      <c r="A2905" s="32"/>
      <c r="B2905" s="32"/>
      <c r="C2905" s="32"/>
      <c r="D2905" s="33"/>
      <c r="E2905" s="33"/>
    </row>
    <row r="2906">
      <c r="A2906" s="32"/>
      <c r="B2906" s="32"/>
      <c r="C2906" s="32"/>
      <c r="D2906" s="33"/>
      <c r="E2906" s="33"/>
    </row>
    <row r="2907">
      <c r="A2907" s="32"/>
      <c r="B2907" s="32"/>
      <c r="C2907" s="32"/>
      <c r="D2907" s="33"/>
      <c r="E2907" s="33"/>
    </row>
    <row r="2908">
      <c r="A2908" s="32"/>
      <c r="B2908" s="32"/>
      <c r="C2908" s="32"/>
      <c r="D2908" s="33"/>
      <c r="E2908" s="33"/>
    </row>
    <row r="2909">
      <c r="A2909" s="32"/>
      <c r="B2909" s="32"/>
      <c r="C2909" s="32"/>
      <c r="D2909" s="33"/>
      <c r="E2909" s="33"/>
    </row>
    <row r="2910">
      <c r="A2910" s="32"/>
      <c r="B2910" s="32"/>
      <c r="C2910" s="32"/>
      <c r="D2910" s="33"/>
      <c r="E2910" s="33"/>
    </row>
    <row r="2911">
      <c r="A2911" s="32"/>
      <c r="B2911" s="32"/>
      <c r="C2911" s="32"/>
      <c r="D2911" s="33"/>
      <c r="E2911" s="33"/>
    </row>
    <row r="2912">
      <c r="A2912" s="32"/>
      <c r="B2912" s="32"/>
      <c r="C2912" s="32"/>
      <c r="D2912" s="33"/>
      <c r="E2912" s="33"/>
    </row>
    <row r="2913">
      <c r="A2913" s="32"/>
      <c r="B2913" s="32"/>
      <c r="C2913" s="32"/>
      <c r="D2913" s="33"/>
      <c r="E2913" s="33"/>
    </row>
    <row r="2914">
      <c r="A2914" s="32"/>
      <c r="B2914" s="32"/>
      <c r="C2914" s="32"/>
      <c r="D2914" s="33"/>
      <c r="E2914" s="33"/>
    </row>
    <row r="2915">
      <c r="A2915" s="32"/>
      <c r="B2915" s="32"/>
      <c r="C2915" s="32"/>
      <c r="D2915" s="33"/>
      <c r="E2915" s="33"/>
    </row>
    <row r="2916">
      <c r="A2916" s="32"/>
      <c r="B2916" s="32"/>
      <c r="C2916" s="32"/>
      <c r="D2916" s="33"/>
      <c r="E2916" s="33"/>
    </row>
    <row r="2917">
      <c r="A2917" s="32"/>
      <c r="B2917" s="32"/>
      <c r="C2917" s="32"/>
      <c r="D2917" s="33"/>
      <c r="E2917" s="33"/>
    </row>
    <row r="2918">
      <c r="A2918" s="32"/>
      <c r="B2918" s="32"/>
      <c r="C2918" s="32"/>
      <c r="D2918" s="33"/>
      <c r="E2918" s="33"/>
    </row>
    <row r="2919">
      <c r="A2919" s="32"/>
      <c r="B2919" s="32"/>
      <c r="C2919" s="32"/>
      <c r="D2919" s="33"/>
      <c r="E2919" s="33"/>
    </row>
    <row r="2920">
      <c r="A2920" s="32"/>
      <c r="B2920" s="32"/>
      <c r="C2920" s="32"/>
      <c r="D2920" s="33"/>
      <c r="E2920" s="33"/>
    </row>
    <row r="2921">
      <c r="A2921" s="32"/>
      <c r="B2921" s="32"/>
      <c r="C2921" s="32"/>
      <c r="D2921" s="33"/>
      <c r="E2921" s="33"/>
    </row>
    <row r="2922">
      <c r="A2922" s="32"/>
      <c r="B2922" s="32"/>
      <c r="C2922" s="32"/>
      <c r="D2922" s="33"/>
      <c r="E2922" s="33"/>
    </row>
    <row r="2923">
      <c r="A2923" s="32"/>
      <c r="B2923" s="32"/>
      <c r="C2923" s="32"/>
      <c r="D2923" s="33"/>
      <c r="E2923" s="33"/>
    </row>
    <row r="2924">
      <c r="A2924" s="32"/>
      <c r="B2924" s="32"/>
      <c r="C2924" s="32"/>
      <c r="D2924" s="33"/>
      <c r="E2924" s="33"/>
    </row>
    <row r="2925">
      <c r="A2925" s="32"/>
      <c r="B2925" s="32"/>
      <c r="C2925" s="32"/>
      <c r="D2925" s="33"/>
      <c r="E2925" s="33"/>
    </row>
    <row r="2926">
      <c r="A2926" s="32"/>
      <c r="B2926" s="32"/>
      <c r="C2926" s="32"/>
      <c r="D2926" s="33"/>
      <c r="E2926" s="33"/>
    </row>
    <row r="2927">
      <c r="A2927" s="32"/>
      <c r="B2927" s="32"/>
      <c r="C2927" s="32"/>
      <c r="D2927" s="33"/>
      <c r="E2927" s="33"/>
    </row>
    <row r="2928">
      <c r="A2928" s="32"/>
      <c r="B2928" s="32"/>
      <c r="C2928" s="32"/>
      <c r="D2928" s="33"/>
      <c r="E2928" s="33"/>
    </row>
    <row r="2929">
      <c r="A2929" s="32"/>
      <c r="B2929" s="32"/>
      <c r="C2929" s="32"/>
      <c r="D2929" s="33"/>
      <c r="E2929" s="33"/>
    </row>
    <row r="2930">
      <c r="A2930" s="32"/>
      <c r="B2930" s="32"/>
      <c r="C2930" s="32"/>
      <c r="D2930" s="33"/>
      <c r="E2930" s="33"/>
    </row>
    <row r="2931">
      <c r="A2931" s="32"/>
      <c r="B2931" s="32"/>
      <c r="C2931" s="32"/>
      <c r="D2931" s="33"/>
      <c r="E2931" s="33"/>
    </row>
    <row r="2932">
      <c r="A2932" s="32"/>
      <c r="B2932" s="32"/>
      <c r="C2932" s="32"/>
      <c r="D2932" s="33"/>
      <c r="E2932" s="33"/>
    </row>
    <row r="2933">
      <c r="A2933" s="32"/>
      <c r="B2933" s="32"/>
      <c r="C2933" s="32"/>
      <c r="D2933" s="33"/>
      <c r="E2933" s="33"/>
    </row>
    <row r="2934">
      <c r="A2934" s="32"/>
      <c r="B2934" s="32"/>
      <c r="C2934" s="32"/>
      <c r="D2934" s="33"/>
      <c r="E2934" s="33"/>
    </row>
    <row r="2935">
      <c r="A2935" s="32"/>
      <c r="B2935" s="32"/>
      <c r="C2935" s="32"/>
      <c r="D2935" s="33"/>
      <c r="E2935" s="33"/>
    </row>
    <row r="2936">
      <c r="A2936" s="32"/>
      <c r="B2936" s="32"/>
      <c r="C2936" s="32"/>
      <c r="D2936" s="33"/>
      <c r="E2936" s="33"/>
    </row>
    <row r="2937">
      <c r="A2937" s="32"/>
      <c r="B2937" s="32"/>
      <c r="C2937" s="32"/>
      <c r="D2937" s="33"/>
      <c r="E2937" s="33"/>
    </row>
    <row r="2938">
      <c r="A2938" s="32"/>
      <c r="B2938" s="32"/>
      <c r="C2938" s="32"/>
      <c r="D2938" s="33"/>
      <c r="E2938" s="33"/>
    </row>
    <row r="2939">
      <c r="A2939" s="32"/>
      <c r="B2939" s="32"/>
      <c r="C2939" s="32"/>
      <c r="D2939" s="33"/>
      <c r="E2939" s="33"/>
    </row>
    <row r="2940">
      <c r="A2940" s="32"/>
      <c r="B2940" s="32"/>
      <c r="C2940" s="32"/>
      <c r="D2940" s="33"/>
      <c r="E2940" s="33"/>
    </row>
    <row r="2941">
      <c r="A2941" s="32"/>
      <c r="B2941" s="32"/>
      <c r="C2941" s="32"/>
      <c r="D2941" s="33"/>
      <c r="E2941" s="33"/>
    </row>
    <row r="2942">
      <c r="A2942" s="32"/>
      <c r="B2942" s="32"/>
      <c r="C2942" s="32"/>
      <c r="D2942" s="33"/>
      <c r="E2942" s="33"/>
    </row>
    <row r="2943">
      <c r="A2943" s="32"/>
      <c r="B2943" s="32"/>
      <c r="C2943" s="32"/>
      <c r="D2943" s="33"/>
      <c r="E2943" s="33"/>
    </row>
    <row r="2944">
      <c r="A2944" s="32"/>
      <c r="B2944" s="32"/>
      <c r="C2944" s="32"/>
      <c r="D2944" s="33"/>
      <c r="E2944" s="33"/>
    </row>
    <row r="2945">
      <c r="A2945" s="32"/>
      <c r="B2945" s="32"/>
      <c r="C2945" s="32"/>
      <c r="D2945" s="33"/>
      <c r="E2945" s="33"/>
    </row>
    <row r="2946">
      <c r="A2946" s="32"/>
      <c r="B2946" s="32"/>
      <c r="C2946" s="32"/>
      <c r="D2946" s="33"/>
      <c r="E2946" s="33"/>
    </row>
    <row r="2947">
      <c r="A2947" s="32"/>
      <c r="B2947" s="32"/>
      <c r="C2947" s="32"/>
      <c r="D2947" s="33"/>
      <c r="E2947" s="33"/>
    </row>
    <row r="2948">
      <c r="A2948" s="32"/>
      <c r="B2948" s="32"/>
      <c r="C2948" s="32"/>
      <c r="D2948" s="33"/>
      <c r="E2948" s="33"/>
    </row>
    <row r="2949">
      <c r="A2949" s="32"/>
      <c r="B2949" s="32"/>
      <c r="C2949" s="32"/>
      <c r="D2949" s="33"/>
      <c r="E2949" s="33"/>
    </row>
    <row r="2950">
      <c r="A2950" s="32"/>
      <c r="B2950" s="32"/>
      <c r="C2950" s="32"/>
      <c r="D2950" s="33"/>
      <c r="E2950" s="33"/>
    </row>
    <row r="2951">
      <c r="A2951" s="32"/>
      <c r="B2951" s="32"/>
      <c r="C2951" s="32"/>
      <c r="D2951" s="33"/>
      <c r="E2951" s="33"/>
    </row>
    <row r="2952">
      <c r="A2952" s="32"/>
      <c r="B2952" s="32"/>
      <c r="C2952" s="32"/>
      <c r="D2952" s="33"/>
      <c r="E2952" s="33"/>
    </row>
    <row r="2953">
      <c r="A2953" s="32"/>
      <c r="B2953" s="32"/>
      <c r="C2953" s="32"/>
      <c r="D2953" s="33"/>
      <c r="E2953" s="33"/>
    </row>
    <row r="2954">
      <c r="A2954" s="32"/>
      <c r="B2954" s="32"/>
      <c r="C2954" s="32"/>
      <c r="D2954" s="33"/>
      <c r="E2954" s="33"/>
    </row>
    <row r="2955">
      <c r="A2955" s="32"/>
      <c r="B2955" s="32"/>
      <c r="C2955" s="32"/>
      <c r="D2955" s="33"/>
      <c r="E2955" s="33"/>
    </row>
    <row r="2956">
      <c r="A2956" s="32"/>
      <c r="B2956" s="32"/>
      <c r="C2956" s="32"/>
      <c r="D2956" s="33"/>
      <c r="E2956" s="33"/>
    </row>
    <row r="2957">
      <c r="A2957" s="32"/>
      <c r="B2957" s="32"/>
      <c r="C2957" s="32"/>
      <c r="D2957" s="33"/>
      <c r="E2957" s="33"/>
    </row>
    <row r="2958">
      <c r="A2958" s="32"/>
      <c r="B2958" s="32"/>
      <c r="C2958" s="32"/>
      <c r="D2958" s="33"/>
      <c r="E2958" s="33"/>
    </row>
    <row r="2959">
      <c r="A2959" s="32"/>
      <c r="B2959" s="32"/>
      <c r="C2959" s="32"/>
      <c r="D2959" s="33"/>
      <c r="E2959" s="33"/>
    </row>
    <row r="2960">
      <c r="A2960" s="32"/>
      <c r="B2960" s="32"/>
      <c r="C2960" s="32"/>
      <c r="D2960" s="33"/>
      <c r="E2960" s="33"/>
    </row>
    <row r="2961">
      <c r="A2961" s="32"/>
      <c r="B2961" s="32"/>
      <c r="C2961" s="32"/>
      <c r="D2961" s="33"/>
      <c r="E2961" s="33"/>
    </row>
    <row r="2962">
      <c r="A2962" s="32"/>
      <c r="B2962" s="32"/>
      <c r="C2962" s="32"/>
      <c r="D2962" s="33"/>
      <c r="E2962" s="33"/>
    </row>
    <row r="2963">
      <c r="A2963" s="32"/>
      <c r="B2963" s="32"/>
      <c r="C2963" s="32"/>
      <c r="D2963" s="33"/>
      <c r="E2963" s="33"/>
    </row>
    <row r="2964">
      <c r="A2964" s="32"/>
      <c r="B2964" s="32"/>
      <c r="C2964" s="32"/>
      <c r="D2964" s="33"/>
      <c r="E2964" s="33"/>
    </row>
    <row r="2965">
      <c r="A2965" s="32"/>
      <c r="B2965" s="32"/>
      <c r="C2965" s="32"/>
      <c r="D2965" s="33"/>
      <c r="E2965" s="33"/>
    </row>
    <row r="2966">
      <c r="A2966" s="32"/>
      <c r="B2966" s="32"/>
      <c r="C2966" s="32"/>
      <c r="D2966" s="33"/>
      <c r="E2966" s="33"/>
    </row>
    <row r="2967">
      <c r="A2967" s="32"/>
      <c r="B2967" s="32"/>
      <c r="C2967" s="32"/>
      <c r="D2967" s="33"/>
      <c r="E2967" s="33"/>
    </row>
    <row r="2968">
      <c r="A2968" s="32"/>
      <c r="B2968" s="32"/>
      <c r="C2968" s="32"/>
      <c r="D2968" s="33"/>
      <c r="E2968" s="33"/>
    </row>
    <row r="2969">
      <c r="A2969" s="32"/>
      <c r="B2969" s="32"/>
      <c r="C2969" s="32"/>
      <c r="D2969" s="33"/>
      <c r="E2969" s="33"/>
    </row>
    <row r="2970">
      <c r="A2970" s="32"/>
      <c r="B2970" s="32"/>
      <c r="C2970" s="32"/>
      <c r="D2970" s="33"/>
      <c r="E2970" s="33"/>
    </row>
    <row r="2971">
      <c r="A2971" s="32"/>
      <c r="B2971" s="32"/>
      <c r="C2971" s="32"/>
      <c r="D2971" s="33"/>
      <c r="E2971" s="33"/>
    </row>
    <row r="2972">
      <c r="A2972" s="32"/>
      <c r="B2972" s="32"/>
      <c r="C2972" s="32"/>
      <c r="D2972" s="33"/>
      <c r="E2972" s="33"/>
    </row>
    <row r="2973">
      <c r="A2973" s="32"/>
      <c r="B2973" s="32"/>
      <c r="C2973" s="32"/>
      <c r="D2973" s="33"/>
      <c r="E2973" s="33"/>
    </row>
    <row r="2974">
      <c r="A2974" s="32"/>
      <c r="B2974" s="32"/>
      <c r="C2974" s="32"/>
      <c r="D2974" s="33"/>
      <c r="E2974" s="33"/>
    </row>
    <row r="2975">
      <c r="A2975" s="32"/>
      <c r="B2975" s="32"/>
      <c r="C2975" s="32"/>
      <c r="D2975" s="33"/>
      <c r="E2975" s="33"/>
    </row>
    <row r="2976">
      <c r="A2976" s="32"/>
      <c r="B2976" s="32"/>
      <c r="C2976" s="32"/>
      <c r="D2976" s="33"/>
      <c r="E2976" s="33"/>
    </row>
    <row r="2977">
      <c r="A2977" s="32"/>
      <c r="B2977" s="32"/>
      <c r="C2977" s="32"/>
      <c r="D2977" s="33"/>
      <c r="E2977" s="33"/>
    </row>
    <row r="2978">
      <c r="A2978" s="32"/>
      <c r="B2978" s="32"/>
      <c r="C2978" s="32"/>
      <c r="D2978" s="33"/>
      <c r="E2978" s="33"/>
    </row>
    <row r="2979">
      <c r="A2979" s="32"/>
      <c r="B2979" s="32"/>
      <c r="C2979" s="32"/>
      <c r="D2979" s="33"/>
      <c r="E2979" s="33"/>
    </row>
    <row r="2980">
      <c r="A2980" s="32"/>
      <c r="B2980" s="32"/>
      <c r="C2980" s="32"/>
      <c r="D2980" s="33"/>
      <c r="E2980" s="33"/>
    </row>
    <row r="2981">
      <c r="A2981" s="32"/>
      <c r="B2981" s="32"/>
      <c r="C2981" s="32"/>
      <c r="D2981" s="33"/>
      <c r="E2981" s="33"/>
    </row>
    <row r="2982">
      <c r="A2982" s="32"/>
      <c r="B2982" s="32"/>
      <c r="C2982" s="32"/>
      <c r="D2982" s="33"/>
      <c r="E2982" s="33"/>
    </row>
    <row r="2983">
      <c r="A2983" s="32"/>
      <c r="B2983" s="32"/>
      <c r="C2983" s="32"/>
      <c r="D2983" s="33"/>
      <c r="E2983" s="33"/>
    </row>
    <row r="2984">
      <c r="A2984" s="32"/>
      <c r="B2984" s="32"/>
      <c r="C2984" s="32"/>
      <c r="D2984" s="33"/>
      <c r="E2984" s="33"/>
    </row>
    <row r="2985">
      <c r="A2985" s="32"/>
      <c r="B2985" s="32"/>
      <c r="C2985" s="32"/>
      <c r="D2985" s="33"/>
      <c r="E2985" s="33"/>
    </row>
    <row r="2986">
      <c r="A2986" s="32"/>
      <c r="B2986" s="32"/>
      <c r="C2986" s="32"/>
      <c r="D2986" s="33"/>
      <c r="E2986" s="33"/>
    </row>
    <row r="2987">
      <c r="A2987" s="32"/>
      <c r="B2987" s="32"/>
      <c r="C2987" s="32"/>
      <c r="D2987" s="33"/>
      <c r="E2987" s="33"/>
    </row>
    <row r="2988">
      <c r="A2988" s="32"/>
      <c r="B2988" s="32"/>
      <c r="C2988" s="32"/>
      <c r="D2988" s="33"/>
      <c r="E2988" s="33"/>
    </row>
    <row r="2989">
      <c r="A2989" s="32"/>
      <c r="B2989" s="32"/>
      <c r="C2989" s="32"/>
      <c r="D2989" s="33"/>
      <c r="E2989" s="33"/>
    </row>
    <row r="2990">
      <c r="A2990" s="32"/>
      <c r="B2990" s="32"/>
      <c r="C2990" s="32"/>
      <c r="D2990" s="33"/>
      <c r="E2990" s="33"/>
    </row>
    <row r="2991">
      <c r="A2991" s="32"/>
      <c r="B2991" s="32"/>
      <c r="C2991" s="32"/>
      <c r="D2991" s="33"/>
      <c r="E2991" s="33"/>
    </row>
    <row r="2992">
      <c r="A2992" s="32"/>
      <c r="B2992" s="32"/>
      <c r="C2992" s="32"/>
      <c r="D2992" s="33"/>
      <c r="E2992" s="33"/>
    </row>
    <row r="2993">
      <c r="A2993" s="32"/>
      <c r="B2993" s="32"/>
      <c r="C2993" s="32"/>
      <c r="D2993" s="33"/>
      <c r="E2993" s="33"/>
    </row>
    <row r="2994">
      <c r="A2994" s="32"/>
      <c r="B2994" s="32"/>
      <c r="C2994" s="32"/>
      <c r="D2994" s="33"/>
      <c r="E2994" s="33"/>
    </row>
    <row r="2995">
      <c r="A2995" s="32"/>
      <c r="B2995" s="32"/>
      <c r="C2995" s="32"/>
      <c r="D2995" s="33"/>
      <c r="E2995" s="33"/>
    </row>
    <row r="2996">
      <c r="A2996" s="32"/>
      <c r="B2996" s="32"/>
      <c r="C2996" s="32"/>
      <c r="D2996" s="33"/>
      <c r="E2996" s="33"/>
    </row>
    <row r="2997">
      <c r="A2997" s="32"/>
      <c r="B2997" s="32"/>
      <c r="C2997" s="32"/>
      <c r="D2997" s="33"/>
      <c r="E2997" s="33"/>
    </row>
    <row r="2998">
      <c r="A2998" s="32"/>
      <c r="B2998" s="32"/>
      <c r="C2998" s="32"/>
      <c r="D2998" s="33"/>
      <c r="E2998" s="33"/>
    </row>
    <row r="2999">
      <c r="A2999" s="32"/>
      <c r="B2999" s="32"/>
      <c r="C2999" s="32"/>
      <c r="D2999" s="33"/>
      <c r="E2999" s="33"/>
    </row>
    <row r="3000">
      <c r="A3000" s="32"/>
      <c r="B3000" s="32"/>
      <c r="C3000" s="32"/>
      <c r="D3000" s="33"/>
      <c r="E3000" s="33"/>
    </row>
    <row r="3001">
      <c r="A3001" s="32"/>
      <c r="B3001" s="32"/>
      <c r="C3001" s="32"/>
      <c r="D3001" s="33"/>
      <c r="E3001" s="33"/>
    </row>
    <row r="3002">
      <c r="A3002" s="32"/>
      <c r="B3002" s="32"/>
      <c r="C3002" s="32"/>
      <c r="D3002" s="33"/>
      <c r="E3002" s="33"/>
    </row>
    <row r="3003">
      <c r="A3003" s="32"/>
      <c r="B3003" s="32"/>
      <c r="C3003" s="32"/>
      <c r="D3003" s="33"/>
      <c r="E3003" s="3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7.63"/>
    <col customWidth="1" min="6" max="6" width="16.63"/>
    <col customWidth="1" min="7" max="7" width="20.13"/>
    <col customWidth="1" min="8" max="8" width="15.75"/>
    <col customWidth="1" min="9" max="9" width="15.63"/>
    <col customWidth="1" min="10" max="10" width="19.63"/>
    <col customWidth="1" min="11" max="11" width="14.63"/>
    <col customWidth="1" min="12" max="12" width="15.63"/>
    <col customWidth="1" min="13" max="13" width="19.88"/>
    <col customWidth="1" min="15" max="15" width="16.25"/>
    <col customWidth="1" min="16" max="16" width="15.13"/>
    <col customWidth="1" min="17" max="17" width="17.38"/>
    <col customWidth="1" min="18" max="18" width="25.25"/>
    <col customWidth="1" min="19" max="19" width="25.88"/>
    <col customWidth="1" min="20" max="20" width="14.5"/>
    <col customWidth="1" min="21" max="21" width="18.13"/>
    <col customWidth="1" min="22" max="22" width="21.5"/>
    <col customWidth="1" min="23" max="23" width="24.5"/>
    <col customWidth="1" min="24" max="24" width="21.38"/>
    <col customWidth="1" min="25" max="25" width="25.0"/>
  </cols>
  <sheetData>
    <row r="1">
      <c r="A1" s="34" t="s">
        <v>551</v>
      </c>
      <c r="B1" s="34" t="s">
        <v>551</v>
      </c>
      <c r="C1" s="35" t="s">
        <v>552</v>
      </c>
      <c r="D1" s="35" t="s">
        <v>552</v>
      </c>
      <c r="E1" s="35" t="s">
        <v>551</v>
      </c>
      <c r="F1" s="35" t="s">
        <v>553</v>
      </c>
      <c r="G1" s="36" t="s">
        <v>554</v>
      </c>
      <c r="H1" s="35" t="s">
        <v>552</v>
      </c>
      <c r="I1" s="35" t="s">
        <v>552</v>
      </c>
      <c r="J1" s="35" t="s">
        <v>555</v>
      </c>
      <c r="K1" s="35" t="s">
        <v>552</v>
      </c>
      <c r="L1" s="35" t="s">
        <v>552</v>
      </c>
      <c r="M1" s="35" t="s">
        <v>556</v>
      </c>
      <c r="N1" s="35" t="s">
        <v>551</v>
      </c>
      <c r="O1" s="35" t="s">
        <v>557</v>
      </c>
      <c r="P1" s="35" t="s">
        <v>555</v>
      </c>
      <c r="Q1" s="35" t="s">
        <v>556</v>
      </c>
      <c r="R1" s="35" t="s">
        <v>558</v>
      </c>
      <c r="S1" s="35" t="s">
        <v>559</v>
      </c>
      <c r="T1" s="35" t="s">
        <v>552</v>
      </c>
      <c r="U1" s="37" t="s">
        <v>560</v>
      </c>
      <c r="V1" s="35" t="s">
        <v>561</v>
      </c>
      <c r="W1" s="35" t="s">
        <v>552</v>
      </c>
      <c r="X1" s="38" t="s">
        <v>553</v>
      </c>
      <c r="Y1" s="35" t="s">
        <v>554</v>
      </c>
    </row>
    <row r="2" ht="101.25" customHeight="1">
      <c r="A2" s="17" t="s">
        <v>562</v>
      </c>
      <c r="B2" s="39" t="s">
        <v>563</v>
      </c>
      <c r="C2" s="39" t="s">
        <v>563</v>
      </c>
      <c r="D2" s="39" t="s">
        <v>563</v>
      </c>
      <c r="E2" s="17" t="s">
        <v>564</v>
      </c>
      <c r="F2" s="40" t="s">
        <v>565</v>
      </c>
      <c r="G2" s="41" t="s">
        <v>566</v>
      </c>
      <c r="H2" s="17" t="s">
        <v>567</v>
      </c>
      <c r="I2" s="17" t="s">
        <v>567</v>
      </c>
      <c r="J2" s="17" t="s">
        <v>568</v>
      </c>
      <c r="K2" s="17" t="s">
        <v>567</v>
      </c>
      <c r="L2" s="17" t="s">
        <v>567</v>
      </c>
      <c r="M2" s="17" t="s">
        <v>569</v>
      </c>
      <c r="N2" s="17" t="s">
        <v>562</v>
      </c>
      <c r="O2" s="11" t="s">
        <v>570</v>
      </c>
      <c r="P2" s="17" t="s">
        <v>568</v>
      </c>
      <c r="Q2" s="17" t="s">
        <v>569</v>
      </c>
      <c r="R2" s="42" t="s">
        <v>571</v>
      </c>
      <c r="S2" s="11" t="s">
        <v>572</v>
      </c>
      <c r="T2" s="17" t="s">
        <v>567</v>
      </c>
      <c r="U2" s="17" t="s">
        <v>568</v>
      </c>
      <c r="V2" s="17" t="s">
        <v>567</v>
      </c>
      <c r="W2" s="17" t="s">
        <v>567</v>
      </c>
      <c r="X2" s="40" t="s">
        <v>573</v>
      </c>
      <c r="Y2" s="42" t="s">
        <v>574</v>
      </c>
    </row>
    <row r="3">
      <c r="A3" s="43" t="s">
        <v>575</v>
      </c>
      <c r="B3" s="44" t="s">
        <v>576</v>
      </c>
      <c r="C3" s="44" t="s">
        <v>577</v>
      </c>
      <c r="D3" s="44" t="s">
        <v>578</v>
      </c>
      <c r="E3" s="44" t="s">
        <v>579</v>
      </c>
      <c r="F3" s="44" t="s">
        <v>580</v>
      </c>
      <c r="G3" s="45" t="s">
        <v>581</v>
      </c>
      <c r="H3" s="44" t="s">
        <v>582</v>
      </c>
      <c r="I3" s="44" t="s">
        <v>583</v>
      </c>
      <c r="J3" s="44" t="s">
        <v>584</v>
      </c>
      <c r="K3" s="44" t="s">
        <v>585</v>
      </c>
      <c r="L3" s="44" t="s">
        <v>586</v>
      </c>
      <c r="M3" s="44" t="s">
        <v>587</v>
      </c>
      <c r="N3" s="44" t="s">
        <v>588</v>
      </c>
      <c r="O3" s="44" t="s">
        <v>589</v>
      </c>
      <c r="P3" s="44" t="s">
        <v>590</v>
      </c>
      <c r="Q3" s="44" t="s">
        <v>591</v>
      </c>
      <c r="R3" s="44" t="s">
        <v>592</v>
      </c>
      <c r="S3" s="44" t="s">
        <v>593</v>
      </c>
      <c r="T3" s="44" t="s">
        <v>594</v>
      </c>
      <c r="U3" s="46" t="s">
        <v>595</v>
      </c>
      <c r="V3" s="44" t="s">
        <v>596</v>
      </c>
      <c r="W3" s="44" t="s">
        <v>597</v>
      </c>
      <c r="X3" s="47" t="s">
        <v>598</v>
      </c>
      <c r="Y3" s="44" t="s">
        <v>599</v>
      </c>
    </row>
    <row r="4">
      <c r="A4" s="17">
        <v>34.0</v>
      </c>
      <c r="B4" s="24">
        <v>61.0</v>
      </c>
      <c r="C4" s="24">
        <v>4.0</v>
      </c>
      <c r="D4" s="24">
        <v>8.0</v>
      </c>
      <c r="E4" s="24">
        <v>67.0</v>
      </c>
      <c r="F4" s="48">
        <v>1.2559</v>
      </c>
      <c r="G4" s="49">
        <f t="shared" ref="G4:G1003" si="1">F4/100</f>
        <v>0.012559</v>
      </c>
      <c r="H4" s="11">
        <v>8.0</v>
      </c>
      <c r="I4" s="11">
        <v>3.0</v>
      </c>
      <c r="J4" s="50">
        <v>30414.0</v>
      </c>
      <c r="K4" s="11">
        <v>2.0</v>
      </c>
      <c r="L4" s="11">
        <v>9.0</v>
      </c>
      <c r="M4" s="51">
        <v>853.0</v>
      </c>
      <c r="N4" s="17">
        <v>8.0</v>
      </c>
      <c r="O4" s="24" t="s">
        <v>48</v>
      </c>
      <c r="P4" s="52">
        <v>82714.0</v>
      </c>
      <c r="Q4" s="51">
        <v>959.0</v>
      </c>
      <c r="R4" s="53">
        <v>-792441.73</v>
      </c>
      <c r="S4" s="24" t="s">
        <v>600</v>
      </c>
      <c r="T4" s="11">
        <v>2.0</v>
      </c>
      <c r="U4" s="52">
        <v>101918.0</v>
      </c>
      <c r="V4" s="11">
        <v>8.0</v>
      </c>
      <c r="W4" s="11">
        <v>7.0</v>
      </c>
      <c r="X4" s="48">
        <v>3.6558</v>
      </c>
      <c r="Y4" s="11">
        <f t="shared" ref="Y4:Y1003" si="2">X4/100</f>
        <v>0.036558</v>
      </c>
    </row>
    <row r="5">
      <c r="A5" s="17">
        <v>10.0</v>
      </c>
      <c r="B5" s="24">
        <v>81.0</v>
      </c>
      <c r="C5" s="24">
        <v>9.0</v>
      </c>
      <c r="D5" s="24">
        <v>7.0</v>
      </c>
      <c r="E5" s="24">
        <v>63.0</v>
      </c>
      <c r="F5" s="48">
        <v>9.9637</v>
      </c>
      <c r="G5" s="49">
        <f t="shared" si="1"/>
        <v>0.099637</v>
      </c>
      <c r="H5" s="11">
        <v>3.0</v>
      </c>
      <c r="I5" s="11">
        <v>0.0</v>
      </c>
      <c r="J5" s="50">
        <v>111315.0</v>
      </c>
      <c r="K5" s="11">
        <v>1.0</v>
      </c>
      <c r="L5" s="11">
        <v>2.0</v>
      </c>
      <c r="M5" s="51">
        <v>686.0</v>
      </c>
      <c r="N5" s="17">
        <v>7.0</v>
      </c>
      <c r="O5" s="24" t="s">
        <v>601</v>
      </c>
      <c r="P5" s="52">
        <v>32614.0</v>
      </c>
      <c r="Q5" s="51">
        <v>256.0</v>
      </c>
      <c r="R5" s="53">
        <v>2964.69</v>
      </c>
      <c r="S5" s="24" t="s">
        <v>602</v>
      </c>
      <c r="T5" s="11">
        <v>6.0</v>
      </c>
      <c r="U5" s="52">
        <v>91422.0</v>
      </c>
      <c r="V5" s="11">
        <v>6.0</v>
      </c>
      <c r="W5" s="11">
        <v>2.0</v>
      </c>
      <c r="X5" s="48">
        <v>5.8001</v>
      </c>
      <c r="Y5" s="11">
        <f t="shared" si="2"/>
        <v>0.058001</v>
      </c>
    </row>
    <row r="6">
      <c r="A6" s="17">
        <v>80.0</v>
      </c>
      <c r="B6" s="24">
        <v>81.0</v>
      </c>
      <c r="C6" s="24">
        <v>9.0</v>
      </c>
      <c r="D6" s="24">
        <v>6.0</v>
      </c>
      <c r="E6" s="24">
        <v>60.0</v>
      </c>
      <c r="F6" s="48">
        <v>6.5256</v>
      </c>
      <c r="G6" s="49">
        <f t="shared" si="1"/>
        <v>0.065256</v>
      </c>
      <c r="H6" s="11">
        <v>3.0</v>
      </c>
      <c r="I6" s="11">
        <v>9.0</v>
      </c>
      <c r="J6" s="50">
        <v>123015.0</v>
      </c>
      <c r="K6" s="11">
        <v>9.0</v>
      </c>
      <c r="L6" s="11">
        <v>1.0</v>
      </c>
      <c r="M6" s="51">
        <v>947.0</v>
      </c>
      <c r="N6" s="17">
        <v>74.0</v>
      </c>
      <c r="O6" s="24" t="s">
        <v>39</v>
      </c>
      <c r="P6" s="52">
        <v>61517.0</v>
      </c>
      <c r="Q6" s="51">
        <v>135.0</v>
      </c>
      <c r="R6" s="53">
        <v>8055.27</v>
      </c>
      <c r="S6" s="24" t="s">
        <v>602</v>
      </c>
      <c r="T6" s="11">
        <v>5.0</v>
      </c>
      <c r="U6" s="52">
        <v>92121.0</v>
      </c>
      <c r="V6" s="11">
        <v>8.0</v>
      </c>
      <c r="W6" s="11">
        <v>4.0</v>
      </c>
      <c r="X6" s="48">
        <v>1.5195</v>
      </c>
      <c r="Y6" s="11">
        <f t="shared" si="2"/>
        <v>0.015195</v>
      </c>
    </row>
    <row r="7">
      <c r="A7" s="17">
        <v>75.0</v>
      </c>
      <c r="B7" s="24">
        <v>61.0</v>
      </c>
      <c r="C7" s="24">
        <v>5.0</v>
      </c>
      <c r="D7" s="24">
        <v>3.0</v>
      </c>
      <c r="E7" s="24">
        <v>60.0</v>
      </c>
      <c r="F7" s="48">
        <v>9.2843</v>
      </c>
      <c r="G7" s="49">
        <f t="shared" si="1"/>
        <v>0.092843</v>
      </c>
      <c r="H7" s="11">
        <v>8.0</v>
      </c>
      <c r="I7" s="11">
        <v>3.0</v>
      </c>
      <c r="J7" s="50">
        <v>61619.0</v>
      </c>
      <c r="K7" s="11">
        <v>2.0</v>
      </c>
      <c r="L7" s="11">
        <v>0.0</v>
      </c>
      <c r="M7" s="51">
        <v>511.0</v>
      </c>
      <c r="N7" s="17">
        <v>95.0</v>
      </c>
      <c r="O7" s="24" t="s">
        <v>603</v>
      </c>
      <c r="P7" s="52">
        <v>111117.0</v>
      </c>
      <c r="Q7" s="51">
        <v>610.0</v>
      </c>
      <c r="R7" s="53">
        <v>-38535.39</v>
      </c>
      <c r="S7" s="24" t="s">
        <v>604</v>
      </c>
      <c r="T7" s="11">
        <v>4.0</v>
      </c>
      <c r="U7" s="52">
        <v>101221.0</v>
      </c>
      <c r="V7" s="11">
        <v>4.0</v>
      </c>
      <c r="W7" s="11">
        <v>6.0</v>
      </c>
      <c r="X7" s="48">
        <v>5.9664</v>
      </c>
      <c r="Y7" s="11">
        <f t="shared" si="2"/>
        <v>0.059664</v>
      </c>
    </row>
    <row r="8">
      <c r="A8" s="17">
        <v>25.0</v>
      </c>
      <c r="B8" s="24">
        <v>61.0</v>
      </c>
      <c r="C8" s="24">
        <v>5.0</v>
      </c>
      <c r="D8" s="24">
        <v>4.0</v>
      </c>
      <c r="E8" s="24">
        <v>66.0</v>
      </c>
      <c r="F8" s="48">
        <v>5.784</v>
      </c>
      <c r="G8" s="49">
        <f t="shared" si="1"/>
        <v>0.05784</v>
      </c>
      <c r="H8" s="11">
        <v>4.0</v>
      </c>
      <c r="I8" s="11">
        <v>5.0</v>
      </c>
      <c r="J8" s="50">
        <v>101419.0</v>
      </c>
      <c r="K8" s="11">
        <v>6.0</v>
      </c>
      <c r="L8" s="11">
        <v>1.0</v>
      </c>
      <c r="M8" s="51">
        <v>911.0</v>
      </c>
      <c r="N8" s="17">
        <v>69.0</v>
      </c>
      <c r="O8" s="24" t="s">
        <v>600</v>
      </c>
      <c r="P8" s="52">
        <v>80615.0</v>
      </c>
      <c r="Q8" s="51">
        <v>623.0</v>
      </c>
      <c r="R8" s="53">
        <v>72910.26</v>
      </c>
      <c r="S8" s="24" t="s">
        <v>604</v>
      </c>
      <c r="T8" s="11">
        <v>5.0</v>
      </c>
      <c r="U8" s="52">
        <v>120819.0</v>
      </c>
      <c r="V8" s="11">
        <v>0.0</v>
      </c>
      <c r="W8" s="11">
        <v>7.0</v>
      </c>
      <c r="X8" s="48">
        <v>1.5115</v>
      </c>
      <c r="Y8" s="11">
        <f t="shared" si="2"/>
        <v>0.015115</v>
      </c>
    </row>
    <row r="9">
      <c r="A9" s="17">
        <v>64.0</v>
      </c>
      <c r="B9" s="24">
        <v>61.0</v>
      </c>
      <c r="C9" s="24">
        <v>5.0</v>
      </c>
      <c r="D9" s="24">
        <v>6.0</v>
      </c>
      <c r="E9" s="24">
        <v>61.0</v>
      </c>
      <c r="F9" s="48">
        <v>2.8444</v>
      </c>
      <c r="G9" s="49">
        <f t="shared" si="1"/>
        <v>0.028444</v>
      </c>
      <c r="H9" s="11">
        <v>0.0</v>
      </c>
      <c r="I9" s="11">
        <v>8.0</v>
      </c>
      <c r="J9" s="50">
        <v>92016.0</v>
      </c>
      <c r="K9" s="11">
        <v>7.0</v>
      </c>
      <c r="L9" s="11">
        <v>4.0</v>
      </c>
      <c r="M9" s="51">
        <v>416.0</v>
      </c>
      <c r="N9" s="17">
        <v>12.0</v>
      </c>
      <c r="O9" s="24" t="s">
        <v>601</v>
      </c>
      <c r="P9" s="52">
        <v>11021.0</v>
      </c>
      <c r="Q9" s="51">
        <v>788.0</v>
      </c>
      <c r="R9" s="53">
        <v>-889217.66</v>
      </c>
      <c r="S9" s="24" t="s">
        <v>605</v>
      </c>
      <c r="T9" s="11">
        <v>2.0</v>
      </c>
      <c r="U9" s="52">
        <v>31721.0</v>
      </c>
      <c r="V9" s="11">
        <v>6.0</v>
      </c>
      <c r="W9" s="11">
        <v>1.0</v>
      </c>
      <c r="X9" s="48">
        <v>9.4778</v>
      </c>
      <c r="Y9" s="11">
        <f t="shared" si="2"/>
        <v>0.094778</v>
      </c>
    </row>
    <row r="10">
      <c r="A10" s="17">
        <v>7.0</v>
      </c>
      <c r="B10" s="24">
        <v>61.0</v>
      </c>
      <c r="C10" s="24">
        <v>6.0</v>
      </c>
      <c r="D10" s="24">
        <v>3.0</v>
      </c>
      <c r="E10" s="24">
        <v>63.0</v>
      </c>
      <c r="F10" s="48">
        <v>4.356</v>
      </c>
      <c r="G10" s="49">
        <f t="shared" si="1"/>
        <v>0.04356</v>
      </c>
      <c r="H10" s="11">
        <v>0.0</v>
      </c>
      <c r="I10" s="11">
        <v>6.0</v>
      </c>
      <c r="J10" s="50">
        <v>22521.0</v>
      </c>
      <c r="K10" s="11">
        <v>1.0</v>
      </c>
      <c r="L10" s="11">
        <v>5.0</v>
      </c>
      <c r="M10" s="51">
        <v>836.0</v>
      </c>
      <c r="N10" s="17">
        <v>62.0</v>
      </c>
      <c r="O10" s="24" t="s">
        <v>601</v>
      </c>
      <c r="P10" s="52">
        <v>72020.0</v>
      </c>
      <c r="Q10" s="51">
        <v>43.0</v>
      </c>
      <c r="R10" s="53">
        <v>7545.76</v>
      </c>
      <c r="S10" s="24" t="s">
        <v>605</v>
      </c>
      <c r="T10" s="11">
        <v>3.0</v>
      </c>
      <c r="U10" s="52">
        <v>11120.0</v>
      </c>
      <c r="V10" s="11">
        <v>6.0</v>
      </c>
      <c r="W10" s="11">
        <v>9.0</v>
      </c>
      <c r="X10" s="48">
        <v>1.984</v>
      </c>
      <c r="Y10" s="11">
        <f t="shared" si="2"/>
        <v>0.01984</v>
      </c>
    </row>
    <row r="11">
      <c r="A11" s="17">
        <v>68.0</v>
      </c>
      <c r="B11" s="24">
        <v>41.0</v>
      </c>
      <c r="C11" s="24">
        <v>1.0</v>
      </c>
      <c r="D11" s="24">
        <v>6.0</v>
      </c>
      <c r="E11" s="24">
        <v>60.0</v>
      </c>
      <c r="F11" s="48">
        <v>5.8603</v>
      </c>
      <c r="G11" s="49">
        <f t="shared" si="1"/>
        <v>0.058603</v>
      </c>
      <c r="H11" s="11">
        <v>2.0</v>
      </c>
      <c r="I11" s="11">
        <v>9.0</v>
      </c>
      <c r="J11" s="50">
        <v>81923.0</v>
      </c>
      <c r="K11" s="11">
        <v>0.0</v>
      </c>
      <c r="L11" s="11">
        <v>3.0</v>
      </c>
      <c r="M11" s="51">
        <v>161.0</v>
      </c>
      <c r="N11" s="17">
        <v>50.0</v>
      </c>
      <c r="O11" s="24" t="s">
        <v>31</v>
      </c>
      <c r="P11" s="52">
        <v>91818.0</v>
      </c>
      <c r="Q11" s="51">
        <v>716.0</v>
      </c>
      <c r="R11" s="53">
        <v>-586.62</v>
      </c>
      <c r="S11" s="24" t="s">
        <v>600</v>
      </c>
      <c r="T11" s="11">
        <v>5.0</v>
      </c>
      <c r="U11" s="52">
        <v>72320.0</v>
      </c>
      <c r="V11" s="11">
        <v>0.0</v>
      </c>
      <c r="W11" s="11">
        <v>7.0</v>
      </c>
      <c r="X11" s="48">
        <v>7.6316</v>
      </c>
      <c r="Y11" s="11">
        <f t="shared" si="2"/>
        <v>0.076316</v>
      </c>
    </row>
    <row r="12">
      <c r="A12" s="17">
        <v>76.0</v>
      </c>
      <c r="B12" s="24">
        <v>61.0</v>
      </c>
      <c r="C12" s="24">
        <v>6.0</v>
      </c>
      <c r="D12" s="24">
        <v>4.0</v>
      </c>
      <c r="E12" s="24">
        <v>62.0</v>
      </c>
      <c r="F12" s="48">
        <v>7.5161</v>
      </c>
      <c r="G12" s="49">
        <f t="shared" si="1"/>
        <v>0.075161</v>
      </c>
      <c r="H12" s="11">
        <v>5.0</v>
      </c>
      <c r="I12" s="11">
        <v>4.0</v>
      </c>
      <c r="J12" s="50">
        <v>121913.0</v>
      </c>
      <c r="K12" s="11">
        <v>4.0</v>
      </c>
      <c r="L12" s="11">
        <v>5.0</v>
      </c>
      <c r="M12" s="51">
        <v>502.0</v>
      </c>
      <c r="N12" s="17">
        <v>88.0</v>
      </c>
      <c r="O12" s="24" t="s">
        <v>600</v>
      </c>
      <c r="P12" s="52">
        <v>100516.0</v>
      </c>
      <c r="Q12" s="51">
        <v>582.0</v>
      </c>
      <c r="R12" s="53">
        <v>71163.79</v>
      </c>
      <c r="S12" s="24" t="s">
        <v>604</v>
      </c>
      <c r="T12" s="11">
        <v>0.0</v>
      </c>
      <c r="U12" s="52">
        <v>33116.0</v>
      </c>
      <c r="V12" s="11">
        <v>5.0</v>
      </c>
      <c r="W12" s="11">
        <v>4.0</v>
      </c>
      <c r="X12" s="48">
        <v>8.7626</v>
      </c>
      <c r="Y12" s="11">
        <f t="shared" si="2"/>
        <v>0.087626</v>
      </c>
    </row>
    <row r="13">
      <c r="A13" s="17">
        <v>49.0</v>
      </c>
      <c r="B13" s="24">
        <v>41.0</v>
      </c>
      <c r="C13" s="24">
        <v>2.0</v>
      </c>
      <c r="D13" s="24">
        <v>3.0</v>
      </c>
      <c r="E13" s="24">
        <v>60.0</v>
      </c>
      <c r="F13" s="48">
        <v>1.108</v>
      </c>
      <c r="G13" s="49">
        <f t="shared" si="1"/>
        <v>0.01108</v>
      </c>
      <c r="H13" s="11">
        <v>5.0</v>
      </c>
      <c r="I13" s="11">
        <v>2.0</v>
      </c>
      <c r="J13" s="50">
        <v>91018.0</v>
      </c>
      <c r="K13" s="11">
        <v>7.0</v>
      </c>
      <c r="L13" s="11">
        <v>8.0</v>
      </c>
      <c r="M13" s="51">
        <v>734.0</v>
      </c>
      <c r="N13" s="17">
        <v>31.0</v>
      </c>
      <c r="O13" s="24" t="s">
        <v>31</v>
      </c>
      <c r="P13" s="52">
        <v>22019.0</v>
      </c>
      <c r="Q13" s="51">
        <v>171.0</v>
      </c>
      <c r="R13" s="53">
        <v>45135.89</v>
      </c>
      <c r="S13" s="24" t="s">
        <v>605</v>
      </c>
      <c r="T13" s="11">
        <v>0.0</v>
      </c>
      <c r="U13" s="52">
        <v>121320.0</v>
      </c>
      <c r="V13" s="11">
        <v>7.0</v>
      </c>
      <c r="W13" s="11">
        <v>1.0</v>
      </c>
      <c r="X13" s="48">
        <v>9.1221</v>
      </c>
      <c r="Y13" s="11">
        <f t="shared" si="2"/>
        <v>0.091221</v>
      </c>
    </row>
    <row r="14">
      <c r="A14" s="17">
        <v>58.0</v>
      </c>
      <c r="B14" s="24">
        <v>61.0</v>
      </c>
      <c r="C14" s="24">
        <v>7.0</v>
      </c>
      <c r="D14" s="24">
        <v>2.0</v>
      </c>
      <c r="E14" s="24">
        <v>67.0</v>
      </c>
      <c r="F14" s="48">
        <v>7.2892</v>
      </c>
      <c r="G14" s="49">
        <f t="shared" si="1"/>
        <v>0.072892</v>
      </c>
      <c r="H14" s="11">
        <v>5.0</v>
      </c>
      <c r="I14" s="11">
        <v>8.0</v>
      </c>
      <c r="J14" s="50">
        <v>51722.0</v>
      </c>
      <c r="K14" s="11">
        <v>0.0</v>
      </c>
      <c r="L14" s="11">
        <v>0.0</v>
      </c>
      <c r="M14" s="51">
        <v>602.0</v>
      </c>
      <c r="N14" s="17">
        <v>38.0</v>
      </c>
      <c r="O14" s="24" t="s">
        <v>603</v>
      </c>
      <c r="P14" s="52">
        <v>21815.0</v>
      </c>
      <c r="Q14" s="51">
        <v>220.0</v>
      </c>
      <c r="R14" s="53">
        <v>-9549.22</v>
      </c>
      <c r="S14" s="24" t="s">
        <v>604</v>
      </c>
      <c r="T14" s="11">
        <v>8.0</v>
      </c>
      <c r="U14" s="52">
        <v>81116.0</v>
      </c>
      <c r="V14" s="11">
        <v>3.0</v>
      </c>
      <c r="W14" s="11">
        <v>6.0</v>
      </c>
      <c r="X14" s="48">
        <v>9.4544</v>
      </c>
      <c r="Y14" s="11">
        <f t="shared" si="2"/>
        <v>0.094544</v>
      </c>
    </row>
    <row r="15">
      <c r="A15" s="17">
        <v>89.0</v>
      </c>
      <c r="B15" s="24">
        <v>82.0</v>
      </c>
      <c r="C15" s="24">
        <v>2.0</v>
      </c>
      <c r="D15" s="24">
        <v>4.0</v>
      </c>
      <c r="E15" s="24">
        <v>64.0</v>
      </c>
      <c r="F15" s="48">
        <v>4.2606</v>
      </c>
      <c r="G15" s="49">
        <f t="shared" si="1"/>
        <v>0.042606</v>
      </c>
      <c r="H15" s="11">
        <v>7.0</v>
      </c>
      <c r="I15" s="11">
        <v>4.0</v>
      </c>
      <c r="J15" s="50">
        <v>82620.0</v>
      </c>
      <c r="K15" s="11">
        <v>9.0</v>
      </c>
      <c r="L15" s="11">
        <v>8.0</v>
      </c>
      <c r="M15" s="51">
        <v>273.0</v>
      </c>
      <c r="N15" s="17">
        <v>71.0</v>
      </c>
      <c r="O15" s="24" t="s">
        <v>31</v>
      </c>
      <c r="P15" s="52">
        <v>62019.0</v>
      </c>
      <c r="Q15" s="51">
        <v>538.0</v>
      </c>
      <c r="R15" s="53">
        <v>-8894.32</v>
      </c>
      <c r="S15" s="24" t="s">
        <v>600</v>
      </c>
      <c r="T15" s="11">
        <v>4.0</v>
      </c>
      <c r="U15" s="52">
        <v>22013.0</v>
      </c>
      <c r="V15" s="11">
        <v>8.0</v>
      </c>
      <c r="W15" s="11">
        <v>9.0</v>
      </c>
      <c r="X15" s="48">
        <v>9.517</v>
      </c>
      <c r="Y15" s="11">
        <f t="shared" si="2"/>
        <v>0.09517</v>
      </c>
    </row>
    <row r="16">
      <c r="A16" s="17">
        <v>73.0</v>
      </c>
      <c r="B16" s="24">
        <v>61.0</v>
      </c>
      <c r="C16" s="24">
        <v>7.0</v>
      </c>
      <c r="D16" s="24">
        <v>9.0</v>
      </c>
      <c r="E16" s="24">
        <v>65.0</v>
      </c>
      <c r="F16" s="48">
        <v>2.9786</v>
      </c>
      <c r="G16" s="49">
        <f t="shared" si="1"/>
        <v>0.029786</v>
      </c>
      <c r="H16" s="11">
        <v>9.0</v>
      </c>
      <c r="I16" s="11">
        <v>5.0</v>
      </c>
      <c r="J16" s="50">
        <v>20520.0</v>
      </c>
      <c r="K16" s="11">
        <v>1.0</v>
      </c>
      <c r="L16" s="11">
        <v>9.0</v>
      </c>
      <c r="M16" s="51">
        <v>987.0</v>
      </c>
      <c r="N16" s="17">
        <v>65.0</v>
      </c>
      <c r="O16" s="24" t="s">
        <v>606</v>
      </c>
      <c r="P16" s="52">
        <v>101716.0</v>
      </c>
      <c r="Q16" s="51">
        <v>825.0</v>
      </c>
      <c r="R16" s="53">
        <v>748.51</v>
      </c>
      <c r="S16" s="24" t="s">
        <v>605</v>
      </c>
      <c r="T16" s="11">
        <v>2.0</v>
      </c>
      <c r="U16" s="52">
        <v>112515.0</v>
      </c>
      <c r="V16" s="11">
        <v>3.0</v>
      </c>
      <c r="W16" s="11">
        <v>3.0</v>
      </c>
      <c r="X16" s="48">
        <v>9.7153</v>
      </c>
      <c r="Y16" s="11">
        <f t="shared" si="2"/>
        <v>0.097153</v>
      </c>
    </row>
    <row r="17">
      <c r="A17" s="17">
        <v>59.0</v>
      </c>
      <c r="B17" s="24">
        <v>41.0</v>
      </c>
      <c r="C17" s="24">
        <v>3.0</v>
      </c>
      <c r="D17" s="24">
        <v>1.0</v>
      </c>
      <c r="E17" s="24">
        <v>60.0</v>
      </c>
      <c r="F17" s="48">
        <v>5.8559</v>
      </c>
      <c r="G17" s="49">
        <f t="shared" si="1"/>
        <v>0.058559</v>
      </c>
      <c r="H17" s="11">
        <v>3.0</v>
      </c>
      <c r="I17" s="11">
        <v>7.0</v>
      </c>
      <c r="J17" s="50">
        <v>40916.0</v>
      </c>
      <c r="K17" s="11">
        <v>9.0</v>
      </c>
      <c r="L17" s="11">
        <v>9.0</v>
      </c>
      <c r="M17" s="51">
        <v>379.0</v>
      </c>
      <c r="N17" s="17">
        <v>37.0</v>
      </c>
      <c r="O17" s="24" t="s">
        <v>48</v>
      </c>
      <c r="P17" s="52">
        <v>43018.0</v>
      </c>
      <c r="Q17" s="51">
        <v>558.0</v>
      </c>
      <c r="R17" s="53">
        <v>-67478.49</v>
      </c>
      <c r="S17" s="24" t="s">
        <v>604</v>
      </c>
      <c r="T17" s="11">
        <v>8.0</v>
      </c>
      <c r="U17" s="52">
        <v>71220.0</v>
      </c>
      <c r="V17" s="11">
        <v>7.0</v>
      </c>
      <c r="W17" s="11">
        <v>9.0</v>
      </c>
      <c r="X17" s="48">
        <v>6.4297</v>
      </c>
      <c r="Y17" s="11">
        <f t="shared" si="2"/>
        <v>0.064297</v>
      </c>
    </row>
    <row r="18">
      <c r="A18" s="17">
        <v>47.0</v>
      </c>
      <c r="B18" s="24">
        <v>41.0</v>
      </c>
      <c r="C18" s="24">
        <v>3.0</v>
      </c>
      <c r="D18" s="24">
        <v>5.0</v>
      </c>
      <c r="E18" s="24">
        <v>63.0</v>
      </c>
      <c r="F18" s="48">
        <v>7.659</v>
      </c>
      <c r="G18" s="49">
        <f t="shared" si="1"/>
        <v>0.07659</v>
      </c>
      <c r="H18" s="11">
        <v>7.0</v>
      </c>
      <c r="I18" s="11">
        <v>1.0</v>
      </c>
      <c r="J18" s="50">
        <v>70215.0</v>
      </c>
      <c r="K18" s="11">
        <v>0.0</v>
      </c>
      <c r="L18" s="11">
        <v>2.0</v>
      </c>
      <c r="M18" s="51">
        <v>836.0</v>
      </c>
      <c r="N18" s="17">
        <v>86.0</v>
      </c>
      <c r="O18" s="24" t="s">
        <v>600</v>
      </c>
      <c r="P18" s="52">
        <v>82620.0</v>
      </c>
      <c r="Q18" s="51">
        <v>241.0</v>
      </c>
      <c r="R18" s="53">
        <v>798456.1</v>
      </c>
      <c r="S18" s="24" t="s">
        <v>604</v>
      </c>
      <c r="T18" s="11">
        <v>0.0</v>
      </c>
      <c r="U18" s="52">
        <v>52919.0</v>
      </c>
      <c r="V18" s="11">
        <v>5.0</v>
      </c>
      <c r="W18" s="11">
        <v>3.0</v>
      </c>
      <c r="X18" s="48">
        <v>6.495</v>
      </c>
      <c r="Y18" s="11">
        <f t="shared" si="2"/>
        <v>0.06495</v>
      </c>
    </row>
    <row r="19">
      <c r="A19" s="17">
        <v>64.0</v>
      </c>
      <c r="B19" s="24">
        <v>82.0</v>
      </c>
      <c r="C19" s="24">
        <v>3.0</v>
      </c>
      <c r="D19" s="24">
        <v>1.0</v>
      </c>
      <c r="E19" s="24">
        <v>67.0</v>
      </c>
      <c r="F19" s="48">
        <v>6.34</v>
      </c>
      <c r="G19" s="49">
        <f t="shared" si="1"/>
        <v>0.0634</v>
      </c>
      <c r="H19" s="11">
        <v>5.0</v>
      </c>
      <c r="I19" s="11">
        <v>3.0</v>
      </c>
      <c r="J19" s="50">
        <v>21921.0</v>
      </c>
      <c r="K19" s="11">
        <v>5.0</v>
      </c>
      <c r="L19" s="11">
        <v>8.0</v>
      </c>
      <c r="M19" s="51">
        <v>468.0</v>
      </c>
      <c r="N19" s="17">
        <v>45.0</v>
      </c>
      <c r="O19" s="24" t="s">
        <v>31</v>
      </c>
      <c r="P19" s="52">
        <v>122719.0</v>
      </c>
      <c r="Q19" s="51">
        <v>629.0</v>
      </c>
      <c r="R19" s="53">
        <v>6528.64</v>
      </c>
      <c r="S19" s="24" t="s">
        <v>602</v>
      </c>
      <c r="T19" s="11">
        <v>5.0</v>
      </c>
      <c r="U19" s="52">
        <v>31323.0</v>
      </c>
      <c r="V19" s="11">
        <v>7.0</v>
      </c>
      <c r="W19" s="11">
        <v>8.0</v>
      </c>
      <c r="X19" s="48">
        <v>7.4378</v>
      </c>
      <c r="Y19" s="11">
        <f t="shared" si="2"/>
        <v>0.074378</v>
      </c>
    </row>
    <row r="20">
      <c r="A20" s="17">
        <v>68.0</v>
      </c>
      <c r="B20" s="24">
        <v>41.0</v>
      </c>
      <c r="C20" s="24">
        <v>3.0</v>
      </c>
      <c r="D20" s="24">
        <v>8.0</v>
      </c>
      <c r="E20" s="24">
        <v>61.0</v>
      </c>
      <c r="F20" s="48">
        <v>6.6421</v>
      </c>
      <c r="G20" s="49">
        <f t="shared" si="1"/>
        <v>0.066421</v>
      </c>
      <c r="H20" s="11">
        <v>8.0</v>
      </c>
      <c r="I20" s="11">
        <v>1.0</v>
      </c>
      <c r="J20" s="50">
        <v>41918.0</v>
      </c>
      <c r="K20" s="11">
        <v>6.0</v>
      </c>
      <c r="L20" s="11">
        <v>4.0</v>
      </c>
      <c r="M20" s="51">
        <v>225.0</v>
      </c>
      <c r="N20" s="17">
        <v>6.0</v>
      </c>
      <c r="O20" s="24" t="s">
        <v>601</v>
      </c>
      <c r="P20" s="52">
        <v>102420.0</v>
      </c>
      <c r="Q20" s="51">
        <v>32.0</v>
      </c>
      <c r="R20" s="53">
        <v>-20808.34</v>
      </c>
      <c r="S20" s="24" t="s">
        <v>605</v>
      </c>
      <c r="T20" s="11">
        <v>9.0</v>
      </c>
      <c r="U20" s="52">
        <v>60813.0</v>
      </c>
      <c r="V20" s="11">
        <v>8.0</v>
      </c>
      <c r="W20" s="11">
        <v>4.0</v>
      </c>
      <c r="X20" s="48">
        <v>4.4656</v>
      </c>
      <c r="Y20" s="11">
        <f t="shared" si="2"/>
        <v>0.044656</v>
      </c>
    </row>
    <row r="21">
      <c r="A21" s="17">
        <v>47.0</v>
      </c>
      <c r="B21" s="24">
        <v>41.0</v>
      </c>
      <c r="C21" s="24">
        <v>3.0</v>
      </c>
      <c r="D21" s="24">
        <v>9.0</v>
      </c>
      <c r="E21" s="24">
        <v>67.0</v>
      </c>
      <c r="F21" s="48">
        <v>4.6416</v>
      </c>
      <c r="G21" s="49">
        <f t="shared" si="1"/>
        <v>0.046416</v>
      </c>
      <c r="H21" s="11">
        <v>5.0</v>
      </c>
      <c r="I21" s="11">
        <v>5.0</v>
      </c>
      <c r="J21" s="50">
        <v>52715.0</v>
      </c>
      <c r="K21" s="11">
        <v>0.0</v>
      </c>
      <c r="L21" s="11">
        <v>3.0</v>
      </c>
      <c r="M21" s="51">
        <v>312.0</v>
      </c>
      <c r="N21" s="17">
        <v>67.0</v>
      </c>
      <c r="O21" s="24" t="s">
        <v>600</v>
      </c>
      <c r="P21" s="52">
        <v>41117.0</v>
      </c>
      <c r="Q21" s="51">
        <v>527.0</v>
      </c>
      <c r="R21" s="53">
        <v>-60864.49</v>
      </c>
      <c r="S21" s="24" t="s">
        <v>605</v>
      </c>
      <c r="T21" s="11">
        <v>3.0</v>
      </c>
      <c r="U21" s="52">
        <v>112013.0</v>
      </c>
      <c r="V21" s="11">
        <v>0.0</v>
      </c>
      <c r="W21" s="11">
        <v>0.0</v>
      </c>
      <c r="X21" s="48">
        <v>9.3235</v>
      </c>
      <c r="Y21" s="11">
        <f t="shared" si="2"/>
        <v>0.093235</v>
      </c>
    </row>
    <row r="22">
      <c r="A22" s="17">
        <v>28.0</v>
      </c>
      <c r="B22" s="24">
        <v>61.0</v>
      </c>
      <c r="C22" s="24">
        <v>9.0</v>
      </c>
      <c r="D22" s="24">
        <v>3.0</v>
      </c>
      <c r="E22" s="24">
        <v>61.0</v>
      </c>
      <c r="F22" s="48">
        <v>3.3813</v>
      </c>
      <c r="G22" s="49">
        <f t="shared" si="1"/>
        <v>0.033813</v>
      </c>
      <c r="H22" s="11">
        <v>9.0</v>
      </c>
      <c r="I22" s="11">
        <v>8.0</v>
      </c>
      <c r="J22" s="50">
        <v>111422.0</v>
      </c>
      <c r="K22" s="11">
        <v>8.0</v>
      </c>
      <c r="L22" s="11">
        <v>9.0</v>
      </c>
      <c r="M22" s="51">
        <v>71.0</v>
      </c>
      <c r="N22" s="17">
        <v>91.0</v>
      </c>
      <c r="O22" s="24" t="s">
        <v>600</v>
      </c>
      <c r="P22" s="52">
        <v>51919.0</v>
      </c>
      <c r="Q22" s="51">
        <v>247.0</v>
      </c>
      <c r="R22" s="53">
        <v>620196.88</v>
      </c>
      <c r="S22" s="24" t="s">
        <v>602</v>
      </c>
      <c r="T22" s="11">
        <v>5.0</v>
      </c>
      <c r="U22" s="52">
        <v>100218.0</v>
      </c>
      <c r="V22" s="11">
        <v>9.0</v>
      </c>
      <c r="W22" s="11">
        <v>8.0</v>
      </c>
      <c r="X22" s="48">
        <v>5.8398</v>
      </c>
      <c r="Y22" s="11">
        <f t="shared" si="2"/>
        <v>0.058398</v>
      </c>
    </row>
    <row r="23">
      <c r="A23" s="17">
        <v>20.0</v>
      </c>
      <c r="B23" s="24">
        <v>41.0</v>
      </c>
      <c r="C23" s="24">
        <v>4.0</v>
      </c>
      <c r="D23" s="24">
        <v>6.0</v>
      </c>
      <c r="E23" s="24">
        <v>63.0</v>
      </c>
      <c r="F23" s="48">
        <v>4.6093</v>
      </c>
      <c r="G23" s="49">
        <f t="shared" si="1"/>
        <v>0.046093</v>
      </c>
      <c r="H23" s="11">
        <v>0.0</v>
      </c>
      <c r="I23" s="11">
        <v>5.0</v>
      </c>
      <c r="J23" s="50">
        <v>21423.0</v>
      </c>
      <c r="K23" s="11">
        <v>4.0</v>
      </c>
      <c r="L23" s="11">
        <v>3.0</v>
      </c>
      <c r="M23" s="51">
        <v>691.0</v>
      </c>
      <c r="N23" s="17">
        <v>88.0</v>
      </c>
      <c r="O23" s="24" t="s">
        <v>48</v>
      </c>
      <c r="P23" s="52">
        <v>80223.0</v>
      </c>
      <c r="Q23" s="51">
        <v>486.0</v>
      </c>
      <c r="R23" s="53">
        <v>-608.2</v>
      </c>
      <c r="S23" s="24" t="s">
        <v>602</v>
      </c>
      <c r="T23" s="11">
        <v>4.0</v>
      </c>
      <c r="U23" s="52">
        <v>22220.0</v>
      </c>
      <c r="V23" s="11">
        <v>0.0</v>
      </c>
      <c r="W23" s="11">
        <v>0.0</v>
      </c>
      <c r="X23" s="48">
        <v>7.3308</v>
      </c>
      <c r="Y23" s="11">
        <f t="shared" si="2"/>
        <v>0.073308</v>
      </c>
    </row>
    <row r="24">
      <c r="A24" s="17">
        <v>16.0</v>
      </c>
      <c r="B24" s="24">
        <v>82.0</v>
      </c>
      <c r="C24" s="24">
        <v>4.0</v>
      </c>
      <c r="D24" s="24">
        <v>5.0</v>
      </c>
      <c r="E24" s="24">
        <v>67.0</v>
      </c>
      <c r="F24" s="48">
        <v>3.3083</v>
      </c>
      <c r="G24" s="49">
        <f t="shared" si="1"/>
        <v>0.033083</v>
      </c>
      <c r="H24" s="11">
        <v>7.0</v>
      </c>
      <c r="I24" s="11">
        <v>6.0</v>
      </c>
      <c r="J24" s="50">
        <v>21419.0</v>
      </c>
      <c r="K24" s="11">
        <v>8.0</v>
      </c>
      <c r="L24" s="11">
        <v>9.0</v>
      </c>
      <c r="M24" s="51">
        <v>862.0</v>
      </c>
      <c r="N24" s="17">
        <v>37.0</v>
      </c>
      <c r="O24" s="24" t="s">
        <v>606</v>
      </c>
      <c r="P24" s="52">
        <v>20721.0</v>
      </c>
      <c r="Q24" s="51">
        <v>300.0</v>
      </c>
      <c r="R24" s="53">
        <v>293861.44</v>
      </c>
      <c r="S24" s="24" t="s">
        <v>604</v>
      </c>
      <c r="T24" s="11">
        <v>0.0</v>
      </c>
      <c r="U24" s="52">
        <v>10421.0</v>
      </c>
      <c r="V24" s="11">
        <v>6.0</v>
      </c>
      <c r="W24" s="11">
        <v>4.0</v>
      </c>
      <c r="X24" s="48">
        <v>1.403</v>
      </c>
      <c r="Y24" s="11">
        <f t="shared" si="2"/>
        <v>0.01403</v>
      </c>
    </row>
    <row r="25">
      <c r="A25" s="17">
        <v>18.0</v>
      </c>
      <c r="B25" s="24">
        <v>82.0</v>
      </c>
      <c r="C25" s="24">
        <v>4.0</v>
      </c>
      <c r="D25" s="24">
        <v>7.0</v>
      </c>
      <c r="E25" s="24">
        <v>60.0</v>
      </c>
      <c r="F25" s="48">
        <v>7.9579</v>
      </c>
      <c r="G25" s="49">
        <f t="shared" si="1"/>
        <v>0.079579</v>
      </c>
      <c r="H25" s="11">
        <v>9.0</v>
      </c>
      <c r="I25" s="11">
        <v>1.0</v>
      </c>
      <c r="J25" s="50">
        <v>112420.0</v>
      </c>
      <c r="K25" s="11">
        <v>8.0</v>
      </c>
      <c r="L25" s="11">
        <v>6.0</v>
      </c>
      <c r="M25" s="51">
        <v>582.0</v>
      </c>
      <c r="N25" s="17">
        <v>82.0</v>
      </c>
      <c r="O25" s="24" t="s">
        <v>31</v>
      </c>
      <c r="P25" s="52">
        <v>82616.0</v>
      </c>
      <c r="Q25" s="51">
        <v>586.0</v>
      </c>
      <c r="R25" s="53">
        <v>99060.31</v>
      </c>
      <c r="S25" s="24" t="s">
        <v>604</v>
      </c>
      <c r="T25" s="11">
        <v>9.0</v>
      </c>
      <c r="U25" s="52">
        <v>31718.0</v>
      </c>
      <c r="V25" s="11">
        <v>5.0</v>
      </c>
      <c r="W25" s="11">
        <v>8.0</v>
      </c>
      <c r="X25" s="48">
        <v>2.4464</v>
      </c>
      <c r="Y25" s="11">
        <f t="shared" si="2"/>
        <v>0.024464</v>
      </c>
    </row>
    <row r="26">
      <c r="A26" s="17">
        <v>30.0</v>
      </c>
      <c r="B26" s="24">
        <v>41.0</v>
      </c>
      <c r="C26" s="24">
        <v>5.0</v>
      </c>
      <c r="D26" s="24">
        <v>3.0</v>
      </c>
      <c r="E26" s="24">
        <v>61.0</v>
      </c>
      <c r="F26" s="48">
        <v>2.768</v>
      </c>
      <c r="G26" s="49">
        <f t="shared" si="1"/>
        <v>0.02768</v>
      </c>
      <c r="H26" s="11">
        <v>1.0</v>
      </c>
      <c r="I26" s="11">
        <v>1.0</v>
      </c>
      <c r="J26" s="50">
        <v>122723.0</v>
      </c>
      <c r="K26" s="11">
        <v>1.0</v>
      </c>
      <c r="L26" s="11">
        <v>2.0</v>
      </c>
      <c r="M26" s="51">
        <v>510.0</v>
      </c>
      <c r="N26" s="17">
        <v>31.0</v>
      </c>
      <c r="O26" s="24" t="s">
        <v>31</v>
      </c>
      <c r="P26" s="52">
        <v>90122.0</v>
      </c>
      <c r="Q26" s="51">
        <v>817.0</v>
      </c>
      <c r="R26" s="53">
        <v>985.44</v>
      </c>
      <c r="S26" s="24" t="s">
        <v>600</v>
      </c>
      <c r="T26" s="11">
        <v>8.0</v>
      </c>
      <c r="U26" s="52">
        <v>123115.0</v>
      </c>
      <c r="V26" s="11">
        <v>4.0</v>
      </c>
      <c r="W26" s="11">
        <v>1.0</v>
      </c>
      <c r="X26" s="48">
        <v>2.9789</v>
      </c>
      <c r="Y26" s="11">
        <f t="shared" si="2"/>
        <v>0.029789</v>
      </c>
    </row>
    <row r="27">
      <c r="A27" s="17">
        <v>40.0</v>
      </c>
      <c r="B27" s="24">
        <v>82.0</v>
      </c>
      <c r="C27" s="24">
        <v>5.0</v>
      </c>
      <c r="D27" s="24">
        <v>7.0</v>
      </c>
      <c r="E27" s="24">
        <v>61.0</v>
      </c>
      <c r="F27" s="48">
        <v>9.4926</v>
      </c>
      <c r="G27" s="49">
        <f t="shared" si="1"/>
        <v>0.094926</v>
      </c>
      <c r="H27" s="11">
        <v>8.0</v>
      </c>
      <c r="I27" s="11">
        <v>4.0</v>
      </c>
      <c r="J27" s="50">
        <v>102816.0</v>
      </c>
      <c r="K27" s="11">
        <v>2.0</v>
      </c>
      <c r="L27" s="11">
        <v>8.0</v>
      </c>
      <c r="M27" s="51">
        <v>201.0</v>
      </c>
      <c r="N27" s="17">
        <v>67.0</v>
      </c>
      <c r="O27" s="24" t="s">
        <v>603</v>
      </c>
      <c r="P27" s="52">
        <v>10219.0</v>
      </c>
      <c r="Q27" s="51">
        <v>782.0</v>
      </c>
      <c r="R27" s="53">
        <v>813.41</v>
      </c>
      <c r="S27" s="24" t="s">
        <v>605</v>
      </c>
      <c r="T27" s="11">
        <v>3.0</v>
      </c>
      <c r="U27" s="52">
        <v>62723.0</v>
      </c>
      <c r="V27" s="11">
        <v>1.0</v>
      </c>
      <c r="W27" s="11">
        <v>9.0</v>
      </c>
      <c r="X27" s="48">
        <v>9.299</v>
      </c>
      <c r="Y27" s="11">
        <f t="shared" si="2"/>
        <v>0.09299</v>
      </c>
    </row>
    <row r="28">
      <c r="A28" s="17">
        <v>47.0</v>
      </c>
      <c r="B28" s="24">
        <v>41.0</v>
      </c>
      <c r="C28" s="24">
        <v>6.0</v>
      </c>
      <c r="D28" s="24">
        <v>1.0</v>
      </c>
      <c r="E28" s="24">
        <v>66.0</v>
      </c>
      <c r="F28" s="48">
        <v>2.6415</v>
      </c>
      <c r="G28" s="49">
        <f t="shared" si="1"/>
        <v>0.026415</v>
      </c>
      <c r="H28" s="11">
        <v>7.0</v>
      </c>
      <c r="I28" s="11">
        <v>4.0</v>
      </c>
      <c r="J28" s="50">
        <v>72822.0</v>
      </c>
      <c r="K28" s="11">
        <v>9.0</v>
      </c>
      <c r="L28" s="11">
        <v>1.0</v>
      </c>
      <c r="M28" s="51">
        <v>700.0</v>
      </c>
      <c r="N28" s="17">
        <v>43.0</v>
      </c>
      <c r="O28" s="24" t="s">
        <v>601</v>
      </c>
      <c r="P28" s="52">
        <v>60417.0</v>
      </c>
      <c r="Q28" s="51">
        <v>20.0</v>
      </c>
      <c r="R28" s="53">
        <v>-1229.66</v>
      </c>
      <c r="S28" s="24" t="s">
        <v>604</v>
      </c>
      <c r="T28" s="11">
        <v>2.0</v>
      </c>
      <c r="U28" s="52">
        <v>112717.0</v>
      </c>
      <c r="V28" s="11">
        <v>6.0</v>
      </c>
      <c r="W28" s="11">
        <v>8.0</v>
      </c>
      <c r="X28" s="48">
        <v>7.2535</v>
      </c>
      <c r="Y28" s="11">
        <f t="shared" si="2"/>
        <v>0.072535</v>
      </c>
    </row>
    <row r="29">
      <c r="A29" s="17">
        <v>26.0</v>
      </c>
      <c r="B29" s="24">
        <v>82.0</v>
      </c>
      <c r="C29" s="24">
        <v>6.0</v>
      </c>
      <c r="D29" s="24">
        <v>4.0</v>
      </c>
      <c r="E29" s="24">
        <v>65.0</v>
      </c>
      <c r="F29" s="48">
        <v>7.478</v>
      </c>
      <c r="G29" s="49">
        <f t="shared" si="1"/>
        <v>0.07478</v>
      </c>
      <c r="H29" s="11">
        <v>0.0</v>
      </c>
      <c r="I29" s="11">
        <v>4.0</v>
      </c>
      <c r="J29" s="50">
        <v>62718.0</v>
      </c>
      <c r="K29" s="11">
        <v>0.0</v>
      </c>
      <c r="L29" s="11">
        <v>6.0</v>
      </c>
      <c r="M29" s="51">
        <v>762.0</v>
      </c>
      <c r="N29" s="17">
        <v>67.0</v>
      </c>
      <c r="O29" s="24" t="s">
        <v>31</v>
      </c>
      <c r="P29" s="52">
        <v>83015.0</v>
      </c>
      <c r="Q29" s="51">
        <v>445.0</v>
      </c>
      <c r="R29" s="53">
        <v>8601.28</v>
      </c>
      <c r="S29" s="24" t="s">
        <v>602</v>
      </c>
      <c r="T29" s="11">
        <v>4.0</v>
      </c>
      <c r="U29" s="52">
        <v>31819.0</v>
      </c>
      <c r="V29" s="11">
        <v>1.0</v>
      </c>
      <c r="W29" s="11">
        <v>9.0</v>
      </c>
      <c r="X29" s="48">
        <v>5.1104</v>
      </c>
      <c r="Y29" s="11">
        <f t="shared" si="2"/>
        <v>0.051104</v>
      </c>
    </row>
    <row r="30">
      <c r="A30" s="17">
        <v>24.0</v>
      </c>
      <c r="B30" s="24">
        <v>21.0</v>
      </c>
      <c r="C30" s="24">
        <v>2.0</v>
      </c>
      <c r="D30" s="24">
        <v>1.0</v>
      </c>
      <c r="E30" s="24">
        <v>68.0</v>
      </c>
      <c r="F30" s="48">
        <v>3.8039</v>
      </c>
      <c r="G30" s="49">
        <f t="shared" si="1"/>
        <v>0.038039</v>
      </c>
      <c r="H30" s="11">
        <v>5.0</v>
      </c>
      <c r="I30" s="11">
        <v>3.0</v>
      </c>
      <c r="J30" s="50">
        <v>112117.0</v>
      </c>
      <c r="K30" s="11">
        <v>2.0</v>
      </c>
      <c r="L30" s="11">
        <v>4.0</v>
      </c>
      <c r="M30" s="51">
        <v>149.0</v>
      </c>
      <c r="N30" s="17">
        <v>25.0</v>
      </c>
      <c r="O30" s="24" t="s">
        <v>39</v>
      </c>
      <c r="P30" s="52">
        <v>82117.0</v>
      </c>
      <c r="Q30" s="51">
        <v>350.0</v>
      </c>
      <c r="R30" s="53">
        <v>-3349.14</v>
      </c>
      <c r="S30" s="24" t="s">
        <v>602</v>
      </c>
      <c r="T30" s="11">
        <v>4.0</v>
      </c>
      <c r="U30" s="52">
        <v>101014.0</v>
      </c>
      <c r="V30" s="11">
        <v>9.0</v>
      </c>
      <c r="W30" s="11">
        <v>4.0</v>
      </c>
      <c r="X30" s="48">
        <v>6.4305</v>
      </c>
      <c r="Y30" s="11">
        <f t="shared" si="2"/>
        <v>0.064305</v>
      </c>
    </row>
    <row r="31">
      <c r="A31" s="17">
        <v>52.0</v>
      </c>
      <c r="B31" s="24">
        <v>62.0</v>
      </c>
      <c r="C31" s="24">
        <v>1.0</v>
      </c>
      <c r="D31" s="24">
        <v>9.0</v>
      </c>
      <c r="E31" s="24">
        <v>66.0</v>
      </c>
      <c r="F31" s="48">
        <v>3.689</v>
      </c>
      <c r="G31" s="49">
        <f t="shared" si="1"/>
        <v>0.03689</v>
      </c>
      <c r="H31" s="11">
        <v>5.0</v>
      </c>
      <c r="I31" s="11">
        <v>8.0</v>
      </c>
      <c r="J31" s="50">
        <v>72113.0</v>
      </c>
      <c r="K31" s="11">
        <v>4.0</v>
      </c>
      <c r="L31" s="11">
        <v>0.0</v>
      </c>
      <c r="M31" s="51">
        <v>278.0</v>
      </c>
      <c r="N31" s="17">
        <v>53.0</v>
      </c>
      <c r="O31" s="24" t="s">
        <v>600</v>
      </c>
      <c r="P31" s="52">
        <v>40314.0</v>
      </c>
      <c r="Q31" s="51">
        <v>223.0</v>
      </c>
      <c r="R31" s="53">
        <v>-632.84</v>
      </c>
      <c r="S31" s="24" t="s">
        <v>604</v>
      </c>
      <c r="T31" s="11">
        <v>3.0</v>
      </c>
      <c r="U31" s="52">
        <v>72023.0</v>
      </c>
      <c r="V31" s="11">
        <v>9.0</v>
      </c>
      <c r="W31" s="11">
        <v>0.0</v>
      </c>
      <c r="X31" s="48">
        <v>6.842</v>
      </c>
      <c r="Y31" s="11">
        <f t="shared" si="2"/>
        <v>0.06842</v>
      </c>
    </row>
    <row r="32">
      <c r="A32" s="17">
        <v>23.0</v>
      </c>
      <c r="B32" s="24">
        <v>21.0</v>
      </c>
      <c r="C32" s="24">
        <v>2.0</v>
      </c>
      <c r="D32" s="24">
        <v>5.0</v>
      </c>
      <c r="E32" s="24">
        <v>61.0</v>
      </c>
      <c r="F32" s="48">
        <v>2.2088</v>
      </c>
      <c r="G32" s="49">
        <f t="shared" si="1"/>
        <v>0.022088</v>
      </c>
      <c r="H32" s="11">
        <v>7.0</v>
      </c>
      <c r="I32" s="11">
        <v>7.0</v>
      </c>
      <c r="J32" s="50">
        <v>40119.0</v>
      </c>
      <c r="K32" s="11">
        <v>0.0</v>
      </c>
      <c r="L32" s="11">
        <v>4.0</v>
      </c>
      <c r="M32" s="51">
        <v>795.0</v>
      </c>
      <c r="N32" s="17">
        <v>86.0</v>
      </c>
      <c r="O32" s="24" t="s">
        <v>600</v>
      </c>
      <c r="P32" s="52">
        <v>42922.0</v>
      </c>
      <c r="Q32" s="51">
        <v>642.0</v>
      </c>
      <c r="R32" s="53">
        <v>-5262.76</v>
      </c>
      <c r="S32" s="24" t="s">
        <v>600</v>
      </c>
      <c r="T32" s="11">
        <v>0.0</v>
      </c>
      <c r="U32" s="52">
        <v>42418.0</v>
      </c>
      <c r="V32" s="11">
        <v>4.0</v>
      </c>
      <c r="W32" s="11">
        <v>8.0</v>
      </c>
      <c r="X32" s="48">
        <v>5.7611</v>
      </c>
      <c r="Y32" s="11">
        <f t="shared" si="2"/>
        <v>0.057611</v>
      </c>
    </row>
    <row r="33">
      <c r="A33" s="17">
        <v>40.0</v>
      </c>
      <c r="B33" s="24">
        <v>41.0</v>
      </c>
      <c r="C33" s="24">
        <v>7.0</v>
      </c>
      <c r="D33" s="24">
        <v>4.0</v>
      </c>
      <c r="E33" s="24">
        <v>60.0</v>
      </c>
      <c r="F33" s="48">
        <v>9.8099</v>
      </c>
      <c r="G33" s="49">
        <f t="shared" si="1"/>
        <v>0.098099</v>
      </c>
      <c r="H33" s="11">
        <v>9.0</v>
      </c>
      <c r="I33" s="11">
        <v>3.0</v>
      </c>
      <c r="J33" s="50">
        <v>40614.0</v>
      </c>
      <c r="K33" s="11">
        <v>9.0</v>
      </c>
      <c r="L33" s="11">
        <v>2.0</v>
      </c>
      <c r="M33" s="51">
        <v>95.0</v>
      </c>
      <c r="N33" s="17">
        <v>78.0</v>
      </c>
      <c r="O33" s="24" t="s">
        <v>606</v>
      </c>
      <c r="P33" s="52">
        <v>92817.0</v>
      </c>
      <c r="Q33" s="51">
        <v>972.0</v>
      </c>
      <c r="R33" s="53">
        <v>-884.86</v>
      </c>
      <c r="S33" s="24" t="s">
        <v>604</v>
      </c>
      <c r="T33" s="11">
        <v>2.0</v>
      </c>
      <c r="U33" s="52">
        <v>82413.0</v>
      </c>
      <c r="V33" s="11">
        <v>0.0</v>
      </c>
      <c r="W33" s="11">
        <v>4.0</v>
      </c>
      <c r="X33" s="48">
        <v>7.479</v>
      </c>
      <c r="Y33" s="11">
        <f t="shared" si="2"/>
        <v>0.07479</v>
      </c>
    </row>
    <row r="34">
      <c r="A34" s="17">
        <v>66.0</v>
      </c>
      <c r="B34" s="24">
        <v>62.0</v>
      </c>
      <c r="C34" s="24">
        <v>2.0</v>
      </c>
      <c r="D34" s="24">
        <v>1.0</v>
      </c>
      <c r="E34" s="24">
        <v>61.0</v>
      </c>
      <c r="F34" s="48">
        <v>3.9216</v>
      </c>
      <c r="G34" s="49">
        <f t="shared" si="1"/>
        <v>0.039216</v>
      </c>
      <c r="H34" s="11">
        <v>8.0</v>
      </c>
      <c r="I34" s="11">
        <v>6.0</v>
      </c>
      <c r="J34" s="50">
        <v>20816.0</v>
      </c>
      <c r="K34" s="11">
        <v>0.0</v>
      </c>
      <c r="L34" s="11">
        <v>6.0</v>
      </c>
      <c r="M34" s="51">
        <v>75.0</v>
      </c>
      <c r="N34" s="17">
        <v>62.0</v>
      </c>
      <c r="O34" s="24" t="s">
        <v>600</v>
      </c>
      <c r="P34" s="52">
        <v>80515.0</v>
      </c>
      <c r="Q34" s="51">
        <v>358.0</v>
      </c>
      <c r="R34" s="53">
        <v>7669.96</v>
      </c>
      <c r="S34" s="24" t="s">
        <v>602</v>
      </c>
      <c r="T34" s="11">
        <v>8.0</v>
      </c>
      <c r="U34" s="52">
        <v>12616.0</v>
      </c>
      <c r="V34" s="11">
        <v>2.0</v>
      </c>
      <c r="W34" s="11">
        <v>5.0</v>
      </c>
      <c r="X34" s="48">
        <v>5.1056</v>
      </c>
      <c r="Y34" s="11">
        <f t="shared" si="2"/>
        <v>0.051056</v>
      </c>
    </row>
    <row r="35">
      <c r="A35" s="17">
        <v>69.0</v>
      </c>
      <c r="B35" s="24">
        <v>62.0</v>
      </c>
      <c r="C35" s="24">
        <v>2.0</v>
      </c>
      <c r="D35" s="24">
        <v>2.0</v>
      </c>
      <c r="E35" s="24">
        <v>63.0</v>
      </c>
      <c r="F35" s="48">
        <v>6.695</v>
      </c>
      <c r="G35" s="49">
        <f t="shared" si="1"/>
        <v>0.06695</v>
      </c>
      <c r="H35" s="11">
        <v>7.0</v>
      </c>
      <c r="I35" s="11">
        <v>8.0</v>
      </c>
      <c r="J35" s="50">
        <v>51119.0</v>
      </c>
      <c r="K35" s="11">
        <v>3.0</v>
      </c>
      <c r="L35" s="11">
        <v>6.0</v>
      </c>
      <c r="M35" s="51">
        <v>389.0</v>
      </c>
      <c r="N35" s="17">
        <v>37.0</v>
      </c>
      <c r="O35" s="24" t="s">
        <v>39</v>
      </c>
      <c r="P35" s="52">
        <v>33022.0</v>
      </c>
      <c r="Q35" s="51">
        <v>959.0</v>
      </c>
      <c r="R35" s="53">
        <v>63100.73</v>
      </c>
      <c r="S35" s="24" t="s">
        <v>600</v>
      </c>
      <c r="T35" s="11">
        <v>2.0</v>
      </c>
      <c r="U35" s="52">
        <v>110915.0</v>
      </c>
      <c r="V35" s="11">
        <v>1.0</v>
      </c>
      <c r="W35" s="11">
        <v>1.0</v>
      </c>
      <c r="X35" s="48">
        <v>6.5141</v>
      </c>
      <c r="Y35" s="11">
        <f t="shared" si="2"/>
        <v>0.065141</v>
      </c>
    </row>
    <row r="36">
      <c r="A36" s="17">
        <v>96.0</v>
      </c>
      <c r="B36" s="24">
        <v>41.0</v>
      </c>
      <c r="C36" s="24">
        <v>7.0</v>
      </c>
      <c r="D36" s="24">
        <v>7.0</v>
      </c>
      <c r="E36" s="24">
        <v>60.0</v>
      </c>
      <c r="F36" s="48">
        <v>9.9297</v>
      </c>
      <c r="G36" s="49">
        <f t="shared" si="1"/>
        <v>0.099297</v>
      </c>
      <c r="H36" s="11">
        <v>4.0</v>
      </c>
      <c r="I36" s="11">
        <v>9.0</v>
      </c>
      <c r="J36" s="50">
        <v>11323.0</v>
      </c>
      <c r="K36" s="11">
        <v>6.0</v>
      </c>
      <c r="L36" s="11">
        <v>8.0</v>
      </c>
      <c r="M36" s="51">
        <v>177.0</v>
      </c>
      <c r="N36" s="17">
        <v>79.0</v>
      </c>
      <c r="O36" s="24" t="s">
        <v>39</v>
      </c>
      <c r="P36" s="52">
        <v>101723.0</v>
      </c>
      <c r="Q36" s="51">
        <v>166.0</v>
      </c>
      <c r="R36" s="53">
        <v>-6300.9</v>
      </c>
      <c r="S36" s="24" t="s">
        <v>600</v>
      </c>
      <c r="T36" s="11">
        <v>0.0</v>
      </c>
      <c r="U36" s="52">
        <v>71513.0</v>
      </c>
      <c r="V36" s="11">
        <v>8.0</v>
      </c>
      <c r="W36" s="11">
        <v>3.0</v>
      </c>
      <c r="X36" s="48">
        <v>8.3173</v>
      </c>
      <c r="Y36" s="11">
        <f t="shared" si="2"/>
        <v>0.083173</v>
      </c>
    </row>
    <row r="37">
      <c r="A37" s="17">
        <v>83.0</v>
      </c>
      <c r="B37" s="24">
        <v>62.0</v>
      </c>
      <c r="C37" s="24">
        <v>2.0</v>
      </c>
      <c r="D37" s="24">
        <v>5.0</v>
      </c>
      <c r="E37" s="24">
        <v>61.0</v>
      </c>
      <c r="F37" s="48">
        <v>7.5424</v>
      </c>
      <c r="G37" s="49">
        <f t="shared" si="1"/>
        <v>0.075424</v>
      </c>
      <c r="H37" s="11">
        <v>4.0</v>
      </c>
      <c r="I37" s="11">
        <v>2.0</v>
      </c>
      <c r="J37" s="50">
        <v>12715.0</v>
      </c>
      <c r="K37" s="11">
        <v>3.0</v>
      </c>
      <c r="L37" s="11">
        <v>1.0</v>
      </c>
      <c r="M37" s="51">
        <v>203.0</v>
      </c>
      <c r="N37" s="17">
        <v>34.0</v>
      </c>
      <c r="O37" s="24" t="s">
        <v>600</v>
      </c>
      <c r="P37" s="52">
        <v>31121.0</v>
      </c>
      <c r="Q37" s="51">
        <v>377.0</v>
      </c>
      <c r="R37" s="53">
        <v>78165.41</v>
      </c>
      <c r="S37" s="24" t="s">
        <v>605</v>
      </c>
      <c r="T37" s="11">
        <v>0.0</v>
      </c>
      <c r="U37" s="52">
        <v>82123.0</v>
      </c>
      <c r="V37" s="11">
        <v>3.0</v>
      </c>
      <c r="W37" s="11">
        <v>6.0</v>
      </c>
      <c r="X37" s="48">
        <v>5.2736</v>
      </c>
      <c r="Y37" s="11">
        <f t="shared" si="2"/>
        <v>0.052736</v>
      </c>
    </row>
    <row r="38">
      <c r="A38" s="17">
        <v>66.0</v>
      </c>
      <c r="B38" s="24">
        <v>21.0</v>
      </c>
      <c r="C38" s="24">
        <v>3.0</v>
      </c>
      <c r="D38" s="24">
        <v>1.0</v>
      </c>
      <c r="E38" s="24">
        <v>63.0</v>
      </c>
      <c r="F38" s="48">
        <v>8.3809</v>
      </c>
      <c r="G38" s="49">
        <f t="shared" si="1"/>
        <v>0.083809</v>
      </c>
      <c r="H38" s="11">
        <v>5.0</v>
      </c>
      <c r="I38" s="11">
        <v>6.0</v>
      </c>
      <c r="J38" s="50">
        <v>52321.0</v>
      </c>
      <c r="K38" s="11">
        <v>8.0</v>
      </c>
      <c r="L38" s="11">
        <v>7.0</v>
      </c>
      <c r="M38" s="51">
        <v>154.0</v>
      </c>
      <c r="N38" s="17">
        <v>58.0</v>
      </c>
      <c r="O38" s="24" t="s">
        <v>603</v>
      </c>
      <c r="P38" s="52">
        <v>92317.0</v>
      </c>
      <c r="Q38" s="51">
        <v>111.0</v>
      </c>
      <c r="R38" s="53">
        <v>472191.44</v>
      </c>
      <c r="S38" s="24" t="s">
        <v>605</v>
      </c>
      <c r="T38" s="11">
        <v>5.0</v>
      </c>
      <c r="U38" s="52">
        <v>10616.0</v>
      </c>
      <c r="V38" s="11">
        <v>9.0</v>
      </c>
      <c r="W38" s="11">
        <v>4.0</v>
      </c>
      <c r="X38" s="48">
        <v>3.5953</v>
      </c>
      <c r="Y38" s="11">
        <f t="shared" si="2"/>
        <v>0.035953</v>
      </c>
    </row>
    <row r="39">
      <c r="A39" s="17">
        <v>82.0</v>
      </c>
      <c r="B39" s="24">
        <v>82.0</v>
      </c>
      <c r="C39" s="24">
        <v>7.0</v>
      </c>
      <c r="D39" s="24">
        <v>5.0</v>
      </c>
      <c r="E39" s="24">
        <v>64.0</v>
      </c>
      <c r="F39" s="48">
        <v>2.6665</v>
      </c>
      <c r="G39" s="49">
        <f t="shared" si="1"/>
        <v>0.026665</v>
      </c>
      <c r="H39" s="11">
        <v>8.0</v>
      </c>
      <c r="I39" s="11">
        <v>2.0</v>
      </c>
      <c r="J39" s="50">
        <v>10921.0</v>
      </c>
      <c r="K39" s="11">
        <v>5.0</v>
      </c>
      <c r="L39" s="11">
        <v>7.0</v>
      </c>
      <c r="M39" s="51">
        <v>548.0</v>
      </c>
      <c r="N39" s="17">
        <v>23.0</v>
      </c>
      <c r="O39" s="24" t="s">
        <v>600</v>
      </c>
      <c r="P39" s="52">
        <v>32315.0</v>
      </c>
      <c r="Q39" s="51">
        <v>900.0</v>
      </c>
      <c r="R39" s="53">
        <v>-733916.28</v>
      </c>
      <c r="S39" s="24" t="s">
        <v>600</v>
      </c>
      <c r="T39" s="11">
        <v>9.0</v>
      </c>
      <c r="U39" s="52">
        <v>51017.0</v>
      </c>
      <c r="V39" s="11">
        <v>1.0</v>
      </c>
      <c r="W39" s="11">
        <v>9.0</v>
      </c>
      <c r="X39" s="48">
        <v>9.5735</v>
      </c>
      <c r="Y39" s="11">
        <f t="shared" si="2"/>
        <v>0.095735</v>
      </c>
    </row>
    <row r="40">
      <c r="A40" s="17">
        <v>24.0</v>
      </c>
      <c r="B40" s="24">
        <v>21.0</v>
      </c>
      <c r="C40" s="24">
        <v>2.0</v>
      </c>
      <c r="D40" s="24">
        <v>6.0</v>
      </c>
      <c r="E40" s="24">
        <v>60.0</v>
      </c>
      <c r="F40" s="48">
        <v>1.3352</v>
      </c>
      <c r="G40" s="49">
        <f t="shared" si="1"/>
        <v>0.013352</v>
      </c>
      <c r="H40" s="11">
        <v>3.0</v>
      </c>
      <c r="I40" s="11">
        <v>1.0</v>
      </c>
      <c r="J40" s="50">
        <v>110123.0</v>
      </c>
      <c r="K40" s="11">
        <v>2.0</v>
      </c>
      <c r="L40" s="11">
        <v>5.0</v>
      </c>
      <c r="M40" s="51">
        <v>344.0</v>
      </c>
      <c r="N40" s="17">
        <v>16.0</v>
      </c>
      <c r="O40" s="24" t="s">
        <v>606</v>
      </c>
      <c r="P40" s="52">
        <v>32520.0</v>
      </c>
      <c r="Q40" s="51">
        <v>923.0</v>
      </c>
      <c r="R40" s="53">
        <v>13471.52</v>
      </c>
      <c r="S40" s="24" t="s">
        <v>605</v>
      </c>
      <c r="T40" s="11">
        <v>7.0</v>
      </c>
      <c r="U40" s="52">
        <v>61616.0</v>
      </c>
      <c r="V40" s="11">
        <v>9.0</v>
      </c>
      <c r="W40" s="11">
        <v>0.0</v>
      </c>
      <c r="X40" s="48">
        <v>8.7463</v>
      </c>
      <c r="Y40" s="11">
        <f t="shared" si="2"/>
        <v>0.087463</v>
      </c>
    </row>
    <row r="41">
      <c r="A41" s="17">
        <v>61.0</v>
      </c>
      <c r="B41" s="24">
        <v>82.0</v>
      </c>
      <c r="C41" s="24">
        <v>7.0</v>
      </c>
      <c r="D41" s="24">
        <v>8.0</v>
      </c>
      <c r="E41" s="24">
        <v>60.0</v>
      </c>
      <c r="F41" s="48">
        <v>8.2047</v>
      </c>
      <c r="G41" s="49">
        <f t="shared" si="1"/>
        <v>0.082047</v>
      </c>
      <c r="H41" s="11">
        <v>4.0</v>
      </c>
      <c r="I41" s="11">
        <v>3.0</v>
      </c>
      <c r="J41" s="50">
        <v>111020.0</v>
      </c>
      <c r="K41" s="11">
        <v>6.0</v>
      </c>
      <c r="L41" s="11">
        <v>0.0</v>
      </c>
      <c r="M41" s="51">
        <v>712.0</v>
      </c>
      <c r="N41" s="17">
        <v>37.0</v>
      </c>
      <c r="O41" s="24" t="s">
        <v>31</v>
      </c>
      <c r="P41" s="52">
        <v>21616.0</v>
      </c>
      <c r="Q41" s="51">
        <v>937.0</v>
      </c>
      <c r="R41" s="53">
        <v>-79112.74</v>
      </c>
      <c r="S41" s="24" t="s">
        <v>604</v>
      </c>
      <c r="T41" s="11">
        <v>0.0</v>
      </c>
      <c r="U41" s="52">
        <v>60919.0</v>
      </c>
      <c r="V41" s="11">
        <v>3.0</v>
      </c>
      <c r="W41" s="11">
        <v>4.0</v>
      </c>
      <c r="X41" s="48">
        <v>4.6677</v>
      </c>
      <c r="Y41" s="11">
        <f t="shared" si="2"/>
        <v>0.046677</v>
      </c>
    </row>
    <row r="42">
      <c r="A42" s="17">
        <v>18.0</v>
      </c>
      <c r="B42" s="24">
        <v>41.0</v>
      </c>
      <c r="C42" s="24">
        <v>8.0</v>
      </c>
      <c r="D42" s="24">
        <v>3.0</v>
      </c>
      <c r="E42" s="24">
        <v>63.0</v>
      </c>
      <c r="F42" s="48">
        <v>3.951</v>
      </c>
      <c r="G42" s="49">
        <f t="shared" si="1"/>
        <v>0.03951</v>
      </c>
      <c r="H42" s="11">
        <v>7.0</v>
      </c>
      <c r="I42" s="11">
        <v>1.0</v>
      </c>
      <c r="J42" s="50">
        <v>32223.0</v>
      </c>
      <c r="K42" s="11">
        <v>8.0</v>
      </c>
      <c r="L42" s="11">
        <v>5.0</v>
      </c>
      <c r="M42" s="51">
        <v>825.0</v>
      </c>
      <c r="N42" s="17">
        <v>88.0</v>
      </c>
      <c r="O42" s="24" t="s">
        <v>606</v>
      </c>
      <c r="P42" s="52">
        <v>32520.0</v>
      </c>
      <c r="Q42" s="51">
        <v>38.0</v>
      </c>
      <c r="R42" s="53">
        <v>-4456.63</v>
      </c>
      <c r="S42" s="24" t="s">
        <v>600</v>
      </c>
      <c r="T42" s="11">
        <v>6.0</v>
      </c>
      <c r="U42" s="52">
        <v>102618.0</v>
      </c>
      <c r="V42" s="11">
        <v>4.0</v>
      </c>
      <c r="W42" s="11">
        <v>6.0</v>
      </c>
      <c r="X42" s="48">
        <v>7.3261</v>
      </c>
      <c r="Y42" s="11">
        <f t="shared" si="2"/>
        <v>0.073261</v>
      </c>
    </row>
    <row r="43">
      <c r="A43" s="17">
        <v>69.0</v>
      </c>
      <c r="B43" s="24">
        <v>21.0</v>
      </c>
      <c r="C43" s="24">
        <v>3.0</v>
      </c>
      <c r="D43" s="24">
        <v>5.0</v>
      </c>
      <c r="E43" s="24">
        <v>68.0</v>
      </c>
      <c r="F43" s="48">
        <v>8.4141</v>
      </c>
      <c r="G43" s="49">
        <f t="shared" si="1"/>
        <v>0.084141</v>
      </c>
      <c r="H43" s="11">
        <v>5.0</v>
      </c>
      <c r="I43" s="11">
        <v>0.0</v>
      </c>
      <c r="J43" s="50">
        <v>21020.0</v>
      </c>
      <c r="K43" s="11">
        <v>7.0</v>
      </c>
      <c r="L43" s="11">
        <v>0.0</v>
      </c>
      <c r="M43" s="51">
        <v>344.0</v>
      </c>
      <c r="N43" s="17">
        <v>77.0</v>
      </c>
      <c r="O43" s="24" t="s">
        <v>39</v>
      </c>
      <c r="P43" s="52">
        <v>41013.0</v>
      </c>
      <c r="Q43" s="51">
        <v>857.0</v>
      </c>
      <c r="R43" s="53">
        <v>15392.37</v>
      </c>
      <c r="S43" s="24" t="s">
        <v>604</v>
      </c>
      <c r="T43" s="11">
        <v>3.0</v>
      </c>
      <c r="U43" s="52">
        <v>12620.0</v>
      </c>
      <c r="V43" s="11">
        <v>3.0</v>
      </c>
      <c r="W43" s="11">
        <v>4.0</v>
      </c>
      <c r="X43" s="48">
        <v>1.2156</v>
      </c>
      <c r="Y43" s="11">
        <f t="shared" si="2"/>
        <v>0.012156</v>
      </c>
    </row>
    <row r="44">
      <c r="A44" s="17">
        <v>71.0</v>
      </c>
      <c r="B44" s="24">
        <v>41.0</v>
      </c>
      <c r="C44" s="24">
        <v>8.0</v>
      </c>
      <c r="D44" s="24">
        <v>5.0</v>
      </c>
      <c r="E44" s="24">
        <v>64.0</v>
      </c>
      <c r="F44" s="48">
        <v>3.6805</v>
      </c>
      <c r="G44" s="49">
        <f t="shared" si="1"/>
        <v>0.036805</v>
      </c>
      <c r="H44" s="11">
        <v>3.0</v>
      </c>
      <c r="I44" s="11">
        <v>4.0</v>
      </c>
      <c r="J44" s="50">
        <v>111215.0</v>
      </c>
      <c r="K44" s="11">
        <v>2.0</v>
      </c>
      <c r="L44" s="11">
        <v>6.0</v>
      </c>
      <c r="M44" s="51">
        <v>242.0</v>
      </c>
      <c r="N44" s="17">
        <v>52.0</v>
      </c>
      <c r="O44" s="24" t="s">
        <v>31</v>
      </c>
      <c r="P44" s="52">
        <v>41514.0</v>
      </c>
      <c r="Q44" s="51">
        <v>980.0</v>
      </c>
      <c r="R44" s="53">
        <v>-92552.12</v>
      </c>
      <c r="S44" s="24" t="s">
        <v>604</v>
      </c>
      <c r="T44" s="11">
        <v>4.0</v>
      </c>
      <c r="U44" s="52">
        <v>61619.0</v>
      </c>
      <c r="V44" s="11">
        <v>1.0</v>
      </c>
      <c r="W44" s="11">
        <v>6.0</v>
      </c>
      <c r="X44" s="48">
        <v>5.1036</v>
      </c>
      <c r="Y44" s="11">
        <f t="shared" si="2"/>
        <v>0.051036</v>
      </c>
    </row>
    <row r="45">
      <c r="A45" s="17">
        <v>29.0</v>
      </c>
      <c r="B45" s="24">
        <v>82.0</v>
      </c>
      <c r="C45" s="24">
        <v>7.0</v>
      </c>
      <c r="D45" s="24">
        <v>6.0</v>
      </c>
      <c r="E45" s="24">
        <v>67.0</v>
      </c>
      <c r="F45" s="48">
        <v>2.1044</v>
      </c>
      <c r="G45" s="49">
        <f t="shared" si="1"/>
        <v>0.021044</v>
      </c>
      <c r="H45" s="11">
        <v>5.0</v>
      </c>
      <c r="I45" s="11">
        <v>1.0</v>
      </c>
      <c r="J45" s="50">
        <v>30614.0</v>
      </c>
      <c r="K45" s="11">
        <v>8.0</v>
      </c>
      <c r="L45" s="11">
        <v>6.0</v>
      </c>
      <c r="M45" s="51">
        <v>350.0</v>
      </c>
      <c r="N45" s="17">
        <v>22.0</v>
      </c>
      <c r="O45" s="24" t="s">
        <v>601</v>
      </c>
      <c r="P45" s="52">
        <v>42713.0</v>
      </c>
      <c r="Q45" s="51">
        <v>372.0</v>
      </c>
      <c r="R45" s="53">
        <v>-9267.25</v>
      </c>
      <c r="S45" s="24" t="s">
        <v>600</v>
      </c>
      <c r="T45" s="11">
        <v>7.0</v>
      </c>
      <c r="U45" s="52">
        <v>11114.0</v>
      </c>
      <c r="V45" s="11">
        <v>6.0</v>
      </c>
      <c r="W45" s="11">
        <v>2.0</v>
      </c>
      <c r="X45" s="48">
        <v>7.4161</v>
      </c>
      <c r="Y45" s="11">
        <f t="shared" si="2"/>
        <v>0.074161</v>
      </c>
    </row>
    <row r="46">
      <c r="A46" s="17">
        <v>92.0</v>
      </c>
      <c r="B46" s="24">
        <v>62.0</v>
      </c>
      <c r="C46" s="24">
        <v>3.0</v>
      </c>
      <c r="D46" s="24">
        <v>5.0</v>
      </c>
      <c r="E46" s="24">
        <v>68.0</v>
      </c>
      <c r="F46" s="48">
        <v>3.2403</v>
      </c>
      <c r="G46" s="49">
        <f t="shared" si="1"/>
        <v>0.032403</v>
      </c>
      <c r="H46" s="11">
        <v>6.0</v>
      </c>
      <c r="I46" s="11">
        <v>8.0</v>
      </c>
      <c r="J46" s="50">
        <v>101418.0</v>
      </c>
      <c r="K46" s="11">
        <v>8.0</v>
      </c>
      <c r="L46" s="11">
        <v>8.0</v>
      </c>
      <c r="M46" s="51">
        <v>946.0</v>
      </c>
      <c r="N46" s="17">
        <v>44.0</v>
      </c>
      <c r="O46" s="24" t="s">
        <v>601</v>
      </c>
      <c r="P46" s="52">
        <v>10721.0</v>
      </c>
      <c r="Q46" s="51">
        <v>163.0</v>
      </c>
      <c r="R46" s="53">
        <v>87613.99</v>
      </c>
      <c r="S46" s="24" t="s">
        <v>600</v>
      </c>
      <c r="T46" s="11">
        <v>0.0</v>
      </c>
      <c r="U46" s="52">
        <v>12122.0</v>
      </c>
      <c r="V46" s="11">
        <v>9.0</v>
      </c>
      <c r="W46" s="11">
        <v>7.0</v>
      </c>
      <c r="X46" s="48">
        <v>6.3255</v>
      </c>
      <c r="Y46" s="11">
        <f t="shared" si="2"/>
        <v>0.063255</v>
      </c>
    </row>
    <row r="47">
      <c r="A47" s="17">
        <v>42.0</v>
      </c>
      <c r="B47" s="24">
        <v>41.0</v>
      </c>
      <c r="C47" s="24">
        <v>8.0</v>
      </c>
      <c r="D47" s="24">
        <v>8.0</v>
      </c>
      <c r="E47" s="24">
        <v>65.0</v>
      </c>
      <c r="F47" s="48">
        <v>6.575</v>
      </c>
      <c r="G47" s="49">
        <f t="shared" si="1"/>
        <v>0.06575</v>
      </c>
      <c r="H47" s="11">
        <v>9.0</v>
      </c>
      <c r="I47" s="11">
        <v>2.0</v>
      </c>
      <c r="J47" s="50">
        <v>52614.0</v>
      </c>
      <c r="K47" s="11">
        <v>1.0</v>
      </c>
      <c r="L47" s="11">
        <v>9.0</v>
      </c>
      <c r="M47" s="51">
        <v>7.0</v>
      </c>
      <c r="N47" s="17">
        <v>84.0</v>
      </c>
      <c r="O47" s="24" t="s">
        <v>600</v>
      </c>
      <c r="P47" s="52">
        <v>71315.0</v>
      </c>
      <c r="Q47" s="51">
        <v>144.0</v>
      </c>
      <c r="R47" s="53">
        <v>817.88</v>
      </c>
      <c r="S47" s="24" t="s">
        <v>604</v>
      </c>
      <c r="T47" s="11">
        <v>5.0</v>
      </c>
      <c r="U47" s="52">
        <v>40913.0</v>
      </c>
      <c r="V47" s="11">
        <v>5.0</v>
      </c>
      <c r="W47" s="11">
        <v>4.0</v>
      </c>
      <c r="X47" s="48">
        <v>8.437</v>
      </c>
      <c r="Y47" s="11">
        <f t="shared" si="2"/>
        <v>0.08437</v>
      </c>
    </row>
    <row r="48">
      <c r="A48" s="17">
        <v>42.0</v>
      </c>
      <c r="B48" s="24">
        <v>21.0</v>
      </c>
      <c r="C48" s="24">
        <v>4.0</v>
      </c>
      <c r="D48" s="24">
        <v>1.0</v>
      </c>
      <c r="E48" s="24">
        <v>64.0</v>
      </c>
      <c r="F48" s="48">
        <v>5.4142</v>
      </c>
      <c r="G48" s="49">
        <f t="shared" si="1"/>
        <v>0.054142</v>
      </c>
      <c r="H48" s="11">
        <v>8.0</v>
      </c>
      <c r="I48" s="11">
        <v>6.0</v>
      </c>
      <c r="J48" s="50">
        <v>112714.0</v>
      </c>
      <c r="K48" s="11">
        <v>1.0</v>
      </c>
      <c r="L48" s="11">
        <v>8.0</v>
      </c>
      <c r="M48" s="51">
        <v>592.0</v>
      </c>
      <c r="N48" s="17">
        <v>74.0</v>
      </c>
      <c r="O48" s="24" t="s">
        <v>39</v>
      </c>
      <c r="P48" s="52">
        <v>60516.0</v>
      </c>
      <c r="Q48" s="51">
        <v>751.0</v>
      </c>
      <c r="R48" s="53">
        <v>-7913.57</v>
      </c>
      <c r="S48" s="24" t="s">
        <v>605</v>
      </c>
      <c r="T48" s="11">
        <v>2.0</v>
      </c>
      <c r="U48" s="52">
        <v>72320.0</v>
      </c>
      <c r="V48" s="11">
        <v>4.0</v>
      </c>
      <c r="W48" s="11">
        <v>5.0</v>
      </c>
      <c r="X48" s="48">
        <v>7.8792</v>
      </c>
      <c r="Y48" s="11">
        <f t="shared" si="2"/>
        <v>0.078792</v>
      </c>
    </row>
    <row r="49">
      <c r="A49" s="17">
        <v>72.0</v>
      </c>
      <c r="B49" s="24">
        <v>62.0</v>
      </c>
      <c r="C49" s="24">
        <v>3.0</v>
      </c>
      <c r="D49" s="24">
        <v>6.0</v>
      </c>
      <c r="E49" s="24">
        <v>63.0</v>
      </c>
      <c r="F49" s="48">
        <v>3.4435</v>
      </c>
      <c r="G49" s="49">
        <f t="shared" si="1"/>
        <v>0.034435</v>
      </c>
      <c r="H49" s="11">
        <v>6.0</v>
      </c>
      <c r="I49" s="11">
        <v>1.0</v>
      </c>
      <c r="J49" s="50">
        <v>60923.0</v>
      </c>
      <c r="K49" s="11">
        <v>1.0</v>
      </c>
      <c r="L49" s="11">
        <v>2.0</v>
      </c>
      <c r="M49" s="51">
        <v>746.0</v>
      </c>
      <c r="N49" s="17">
        <v>68.0</v>
      </c>
      <c r="O49" s="24" t="s">
        <v>48</v>
      </c>
      <c r="P49" s="52">
        <v>51021.0</v>
      </c>
      <c r="Q49" s="51">
        <v>994.0</v>
      </c>
      <c r="R49" s="53">
        <v>55840.44</v>
      </c>
      <c r="S49" s="24" t="s">
        <v>605</v>
      </c>
      <c r="T49" s="11">
        <v>3.0</v>
      </c>
      <c r="U49" s="52">
        <v>120321.0</v>
      </c>
      <c r="V49" s="11">
        <v>0.0</v>
      </c>
      <c r="W49" s="11">
        <v>2.0</v>
      </c>
      <c r="X49" s="48">
        <v>9.4966</v>
      </c>
      <c r="Y49" s="11">
        <f t="shared" si="2"/>
        <v>0.094966</v>
      </c>
    </row>
    <row r="50">
      <c r="A50" s="17">
        <v>91.0</v>
      </c>
      <c r="B50" s="24">
        <v>41.0</v>
      </c>
      <c r="C50" s="24">
        <v>9.0</v>
      </c>
      <c r="D50" s="24">
        <v>1.0</v>
      </c>
      <c r="E50" s="24">
        <v>63.0</v>
      </c>
      <c r="F50" s="48">
        <v>9.3411</v>
      </c>
      <c r="G50" s="49">
        <f t="shared" si="1"/>
        <v>0.093411</v>
      </c>
      <c r="H50" s="11">
        <v>6.0</v>
      </c>
      <c r="I50" s="11">
        <v>5.0</v>
      </c>
      <c r="J50" s="50">
        <v>123122.0</v>
      </c>
      <c r="K50" s="11">
        <v>9.0</v>
      </c>
      <c r="L50" s="11">
        <v>5.0</v>
      </c>
      <c r="M50" s="51">
        <v>133.0</v>
      </c>
      <c r="N50" s="17">
        <v>13.0</v>
      </c>
      <c r="O50" s="24" t="s">
        <v>600</v>
      </c>
      <c r="P50" s="52">
        <v>21323.0</v>
      </c>
      <c r="Q50" s="51">
        <v>388.0</v>
      </c>
      <c r="R50" s="53">
        <v>-1492.4</v>
      </c>
      <c r="S50" s="24" t="s">
        <v>602</v>
      </c>
      <c r="T50" s="11">
        <v>9.0</v>
      </c>
      <c r="U50" s="52">
        <v>70920.0</v>
      </c>
      <c r="V50" s="11">
        <v>4.0</v>
      </c>
      <c r="W50" s="11">
        <v>2.0</v>
      </c>
      <c r="X50" s="48">
        <v>9.2951</v>
      </c>
      <c r="Y50" s="11">
        <f t="shared" si="2"/>
        <v>0.092951</v>
      </c>
    </row>
    <row r="51">
      <c r="A51" s="17">
        <v>17.0</v>
      </c>
      <c r="B51" s="24">
        <v>41.0</v>
      </c>
      <c r="C51" s="24">
        <v>9.0</v>
      </c>
      <c r="D51" s="24">
        <v>3.0</v>
      </c>
      <c r="E51" s="24">
        <v>62.0</v>
      </c>
      <c r="F51" s="48">
        <v>1.7913</v>
      </c>
      <c r="G51" s="49">
        <f t="shared" si="1"/>
        <v>0.017913</v>
      </c>
      <c r="H51" s="11">
        <v>9.0</v>
      </c>
      <c r="I51" s="11">
        <v>5.0</v>
      </c>
      <c r="J51" s="50">
        <v>42621.0</v>
      </c>
      <c r="K51" s="11">
        <v>7.0</v>
      </c>
      <c r="L51" s="11">
        <v>3.0</v>
      </c>
      <c r="M51" s="51">
        <v>950.0</v>
      </c>
      <c r="N51" s="17">
        <v>74.0</v>
      </c>
      <c r="O51" s="24" t="s">
        <v>31</v>
      </c>
      <c r="P51" s="52">
        <v>120421.0</v>
      </c>
      <c r="Q51" s="51">
        <v>1.0</v>
      </c>
      <c r="R51" s="53">
        <v>-6095.78</v>
      </c>
      <c r="S51" s="24" t="s">
        <v>600</v>
      </c>
      <c r="T51" s="11">
        <v>5.0</v>
      </c>
      <c r="U51" s="52">
        <v>101614.0</v>
      </c>
      <c r="V51" s="11">
        <v>5.0</v>
      </c>
      <c r="W51" s="11">
        <v>2.0</v>
      </c>
      <c r="X51" s="48">
        <v>4.9033</v>
      </c>
      <c r="Y51" s="11">
        <f t="shared" si="2"/>
        <v>0.049033</v>
      </c>
    </row>
    <row r="52">
      <c r="A52" s="17">
        <v>98.0</v>
      </c>
      <c r="B52" s="24">
        <v>62.0</v>
      </c>
      <c r="C52" s="24">
        <v>4.0</v>
      </c>
      <c r="D52" s="24">
        <v>1.0</v>
      </c>
      <c r="E52" s="24">
        <v>66.0</v>
      </c>
      <c r="F52" s="48">
        <v>8.815</v>
      </c>
      <c r="G52" s="49">
        <f t="shared" si="1"/>
        <v>0.08815</v>
      </c>
      <c r="H52" s="11">
        <v>4.0</v>
      </c>
      <c r="I52" s="11">
        <v>5.0</v>
      </c>
      <c r="J52" s="50">
        <v>81320.0</v>
      </c>
      <c r="K52" s="11">
        <v>2.0</v>
      </c>
      <c r="L52" s="11">
        <v>5.0</v>
      </c>
      <c r="M52" s="51">
        <v>90.0</v>
      </c>
      <c r="N52" s="17">
        <v>52.0</v>
      </c>
      <c r="O52" s="24" t="s">
        <v>606</v>
      </c>
      <c r="P52" s="52">
        <v>91313.0</v>
      </c>
      <c r="Q52" s="51">
        <v>672.0</v>
      </c>
      <c r="R52" s="53">
        <v>-865677.83</v>
      </c>
      <c r="S52" s="24" t="s">
        <v>604</v>
      </c>
      <c r="T52" s="11">
        <v>1.0</v>
      </c>
      <c r="U52" s="52">
        <v>111821.0</v>
      </c>
      <c r="V52" s="11">
        <v>9.0</v>
      </c>
      <c r="W52" s="11">
        <v>0.0</v>
      </c>
      <c r="X52" s="48">
        <v>4.846</v>
      </c>
      <c r="Y52" s="11">
        <f t="shared" si="2"/>
        <v>0.04846</v>
      </c>
    </row>
    <row r="53">
      <c r="A53" s="17">
        <v>33.0</v>
      </c>
      <c r="B53" s="24">
        <v>62.0</v>
      </c>
      <c r="C53" s="24">
        <v>4.0</v>
      </c>
      <c r="D53" s="24">
        <v>3.0</v>
      </c>
      <c r="E53" s="24">
        <v>67.0</v>
      </c>
      <c r="F53" s="48">
        <v>9.283</v>
      </c>
      <c r="G53" s="49">
        <f t="shared" si="1"/>
        <v>0.09283</v>
      </c>
      <c r="H53" s="11">
        <v>0.0</v>
      </c>
      <c r="I53" s="11">
        <v>1.0</v>
      </c>
      <c r="J53" s="50">
        <v>112118.0</v>
      </c>
      <c r="K53" s="11">
        <v>5.0</v>
      </c>
      <c r="L53" s="11">
        <v>0.0</v>
      </c>
      <c r="M53" s="51">
        <v>659.0</v>
      </c>
      <c r="N53" s="17">
        <v>83.0</v>
      </c>
      <c r="O53" s="24" t="s">
        <v>606</v>
      </c>
      <c r="P53" s="52">
        <v>110622.0</v>
      </c>
      <c r="Q53" s="51">
        <v>742.0</v>
      </c>
      <c r="R53" s="53">
        <v>-75340.9</v>
      </c>
      <c r="S53" s="24" t="s">
        <v>602</v>
      </c>
      <c r="T53" s="11">
        <v>7.0</v>
      </c>
      <c r="U53" s="52">
        <v>121217.0</v>
      </c>
      <c r="V53" s="11">
        <v>6.0</v>
      </c>
      <c r="W53" s="11">
        <v>3.0</v>
      </c>
      <c r="X53" s="48">
        <v>8.6027</v>
      </c>
      <c r="Y53" s="11">
        <f t="shared" si="2"/>
        <v>0.086027</v>
      </c>
    </row>
    <row r="54">
      <c r="A54" s="17">
        <v>36.0</v>
      </c>
      <c r="B54" s="24">
        <v>82.0</v>
      </c>
      <c r="C54" s="24">
        <v>9.0</v>
      </c>
      <c r="D54" s="24">
        <v>2.0</v>
      </c>
      <c r="E54" s="24">
        <v>64.0</v>
      </c>
      <c r="F54" s="48">
        <v>6.3029</v>
      </c>
      <c r="G54" s="49">
        <f t="shared" si="1"/>
        <v>0.063029</v>
      </c>
      <c r="H54" s="11">
        <v>3.0</v>
      </c>
      <c r="I54" s="11">
        <v>6.0</v>
      </c>
      <c r="J54" s="50">
        <v>32622.0</v>
      </c>
      <c r="K54" s="11">
        <v>5.0</v>
      </c>
      <c r="L54" s="11">
        <v>5.0</v>
      </c>
      <c r="M54" s="51">
        <v>801.0</v>
      </c>
      <c r="N54" s="17">
        <v>22.0</v>
      </c>
      <c r="O54" s="24" t="s">
        <v>606</v>
      </c>
      <c r="P54" s="52">
        <v>122018.0</v>
      </c>
      <c r="Q54" s="51">
        <v>370.0</v>
      </c>
      <c r="R54" s="53">
        <v>770374.25</v>
      </c>
      <c r="S54" s="24" t="s">
        <v>605</v>
      </c>
      <c r="T54" s="11">
        <v>0.0</v>
      </c>
      <c r="U54" s="52">
        <v>122314.0</v>
      </c>
      <c r="V54" s="11">
        <v>2.0</v>
      </c>
      <c r="W54" s="11">
        <v>9.0</v>
      </c>
      <c r="X54" s="48">
        <v>3.1123</v>
      </c>
      <c r="Y54" s="11">
        <f t="shared" si="2"/>
        <v>0.031123</v>
      </c>
    </row>
    <row r="55">
      <c r="A55" s="17">
        <v>26.0</v>
      </c>
      <c r="B55" s="24">
        <v>62.0</v>
      </c>
      <c r="C55" s="24">
        <v>4.0</v>
      </c>
      <c r="D55" s="24">
        <v>7.0</v>
      </c>
      <c r="E55" s="24">
        <v>60.0</v>
      </c>
      <c r="F55" s="48">
        <v>3.8782</v>
      </c>
      <c r="G55" s="49">
        <f t="shared" si="1"/>
        <v>0.038782</v>
      </c>
      <c r="H55" s="11">
        <v>0.0</v>
      </c>
      <c r="I55" s="11">
        <v>3.0</v>
      </c>
      <c r="J55" s="50">
        <v>82614.0</v>
      </c>
      <c r="K55" s="11">
        <v>4.0</v>
      </c>
      <c r="L55" s="11">
        <v>3.0</v>
      </c>
      <c r="M55" s="51">
        <v>570.0</v>
      </c>
      <c r="N55" s="17">
        <v>82.0</v>
      </c>
      <c r="O55" s="24" t="s">
        <v>31</v>
      </c>
      <c r="P55" s="52">
        <v>33013.0</v>
      </c>
      <c r="Q55" s="51">
        <v>210.0</v>
      </c>
      <c r="R55" s="53">
        <v>35181.8</v>
      </c>
      <c r="S55" s="24" t="s">
        <v>602</v>
      </c>
      <c r="T55" s="11">
        <v>3.0</v>
      </c>
      <c r="U55" s="52">
        <v>92921.0</v>
      </c>
      <c r="V55" s="11">
        <v>5.0</v>
      </c>
      <c r="W55" s="11">
        <v>9.0</v>
      </c>
      <c r="X55" s="48">
        <v>1.146</v>
      </c>
      <c r="Y55" s="11">
        <f t="shared" si="2"/>
        <v>0.01146</v>
      </c>
    </row>
    <row r="56">
      <c r="A56" s="17">
        <v>96.0</v>
      </c>
      <c r="B56" s="24">
        <v>62.0</v>
      </c>
      <c r="C56" s="24">
        <v>5.0</v>
      </c>
      <c r="D56" s="24">
        <v>1.0</v>
      </c>
      <c r="E56" s="24">
        <v>60.0</v>
      </c>
      <c r="F56" s="48">
        <v>2.43</v>
      </c>
      <c r="G56" s="49">
        <f t="shared" si="1"/>
        <v>0.0243</v>
      </c>
      <c r="H56" s="11">
        <v>7.0</v>
      </c>
      <c r="I56" s="11">
        <v>5.0</v>
      </c>
      <c r="J56" s="50">
        <v>52219.0</v>
      </c>
      <c r="K56" s="11">
        <v>7.0</v>
      </c>
      <c r="L56" s="11">
        <v>4.0</v>
      </c>
      <c r="M56" s="51">
        <v>151.0</v>
      </c>
      <c r="N56" s="17">
        <v>25.0</v>
      </c>
      <c r="O56" s="24" t="s">
        <v>39</v>
      </c>
      <c r="P56" s="52">
        <v>10321.0</v>
      </c>
      <c r="Q56" s="51">
        <v>831.0</v>
      </c>
      <c r="R56" s="53">
        <v>658.29</v>
      </c>
      <c r="S56" s="24" t="s">
        <v>602</v>
      </c>
      <c r="T56" s="11">
        <v>0.0</v>
      </c>
      <c r="U56" s="52">
        <v>11213.0</v>
      </c>
      <c r="V56" s="11">
        <v>2.0</v>
      </c>
      <c r="W56" s="11">
        <v>8.0</v>
      </c>
      <c r="X56" s="48">
        <v>9.3701</v>
      </c>
      <c r="Y56" s="11">
        <f t="shared" si="2"/>
        <v>0.093701</v>
      </c>
    </row>
    <row r="57">
      <c r="A57" s="17">
        <v>24.0</v>
      </c>
      <c r="B57" s="24">
        <v>21.0</v>
      </c>
      <c r="C57" s="24">
        <v>5.0</v>
      </c>
      <c r="D57" s="24">
        <v>9.0</v>
      </c>
      <c r="E57" s="24">
        <v>64.0</v>
      </c>
      <c r="F57" s="48">
        <v>6.1287</v>
      </c>
      <c r="G57" s="49">
        <f t="shared" si="1"/>
        <v>0.061287</v>
      </c>
      <c r="H57" s="11">
        <v>0.0</v>
      </c>
      <c r="I57" s="11">
        <v>8.0</v>
      </c>
      <c r="J57" s="50">
        <v>12919.0</v>
      </c>
      <c r="K57" s="11">
        <v>2.0</v>
      </c>
      <c r="L57" s="11">
        <v>4.0</v>
      </c>
      <c r="M57" s="51">
        <v>691.0</v>
      </c>
      <c r="N57" s="17">
        <v>36.0</v>
      </c>
      <c r="O57" s="24" t="s">
        <v>606</v>
      </c>
      <c r="P57" s="52">
        <v>52321.0</v>
      </c>
      <c r="Q57" s="51">
        <v>770.0</v>
      </c>
      <c r="R57" s="53">
        <v>9506.15</v>
      </c>
      <c r="S57" s="24" t="s">
        <v>605</v>
      </c>
      <c r="T57" s="11">
        <v>7.0</v>
      </c>
      <c r="U57" s="52">
        <v>111213.0</v>
      </c>
      <c r="V57" s="11">
        <v>5.0</v>
      </c>
      <c r="W57" s="11">
        <v>2.0</v>
      </c>
      <c r="X57" s="48">
        <v>2.3767</v>
      </c>
      <c r="Y57" s="11">
        <f t="shared" si="2"/>
        <v>0.023767</v>
      </c>
    </row>
    <row r="58">
      <c r="A58" s="17">
        <v>40.0</v>
      </c>
      <c r="B58" s="24">
        <v>62.0</v>
      </c>
      <c r="C58" s="24">
        <v>5.0</v>
      </c>
      <c r="D58" s="24">
        <v>6.0</v>
      </c>
      <c r="E58" s="24">
        <v>67.0</v>
      </c>
      <c r="F58" s="48">
        <v>3.1234</v>
      </c>
      <c r="G58" s="49">
        <f t="shared" si="1"/>
        <v>0.031234</v>
      </c>
      <c r="H58" s="11">
        <v>6.0</v>
      </c>
      <c r="I58" s="11">
        <v>3.0</v>
      </c>
      <c r="J58" s="50">
        <v>112223.0</v>
      </c>
      <c r="K58" s="11">
        <v>8.0</v>
      </c>
      <c r="L58" s="11">
        <v>7.0</v>
      </c>
      <c r="M58" s="51">
        <v>507.0</v>
      </c>
      <c r="N58" s="17">
        <v>25.0</v>
      </c>
      <c r="O58" s="24" t="s">
        <v>39</v>
      </c>
      <c r="P58" s="52">
        <v>123123.0</v>
      </c>
      <c r="Q58" s="51">
        <v>934.0</v>
      </c>
      <c r="R58" s="53">
        <v>-55982.78</v>
      </c>
      <c r="S58" s="24" t="s">
        <v>602</v>
      </c>
      <c r="T58" s="11">
        <v>5.0</v>
      </c>
      <c r="U58" s="52">
        <v>61517.0</v>
      </c>
      <c r="V58" s="11">
        <v>9.0</v>
      </c>
      <c r="W58" s="11">
        <v>3.0</v>
      </c>
      <c r="X58" s="48">
        <v>5.8505</v>
      </c>
      <c r="Y58" s="11">
        <f t="shared" si="2"/>
        <v>0.058505</v>
      </c>
    </row>
    <row r="59">
      <c r="A59" s="17">
        <v>28.0</v>
      </c>
      <c r="B59" s="24">
        <v>42.0</v>
      </c>
      <c r="C59" s="24">
        <v>1.0</v>
      </c>
      <c r="D59" s="24">
        <v>3.0</v>
      </c>
      <c r="E59" s="24">
        <v>68.0</v>
      </c>
      <c r="F59" s="48">
        <v>2.4949</v>
      </c>
      <c r="G59" s="49">
        <f t="shared" si="1"/>
        <v>0.024949</v>
      </c>
      <c r="H59" s="11">
        <v>4.0</v>
      </c>
      <c r="I59" s="11">
        <v>1.0</v>
      </c>
      <c r="J59" s="50">
        <v>42818.0</v>
      </c>
      <c r="K59" s="11">
        <v>5.0</v>
      </c>
      <c r="L59" s="11">
        <v>6.0</v>
      </c>
      <c r="M59" s="51">
        <v>235.0</v>
      </c>
      <c r="N59" s="17">
        <v>3.0</v>
      </c>
      <c r="O59" s="24" t="s">
        <v>39</v>
      </c>
      <c r="P59" s="52">
        <v>31416.0</v>
      </c>
      <c r="Q59" s="51">
        <v>135.0</v>
      </c>
      <c r="R59" s="53">
        <v>-73644.47</v>
      </c>
      <c r="S59" s="24" t="s">
        <v>602</v>
      </c>
      <c r="T59" s="11">
        <v>5.0</v>
      </c>
      <c r="U59" s="52">
        <v>81116.0</v>
      </c>
      <c r="V59" s="11">
        <v>5.0</v>
      </c>
      <c r="W59" s="11">
        <v>8.0</v>
      </c>
      <c r="X59" s="48">
        <v>4.7168</v>
      </c>
      <c r="Y59" s="11">
        <f t="shared" si="2"/>
        <v>0.047168</v>
      </c>
    </row>
    <row r="60">
      <c r="A60" s="17">
        <v>89.0</v>
      </c>
      <c r="B60" s="24">
        <v>62.0</v>
      </c>
      <c r="C60" s="24">
        <v>6.0</v>
      </c>
      <c r="D60" s="24">
        <v>2.0</v>
      </c>
      <c r="E60" s="24">
        <v>68.0</v>
      </c>
      <c r="F60" s="48">
        <v>8.638</v>
      </c>
      <c r="G60" s="49">
        <f t="shared" si="1"/>
        <v>0.08638</v>
      </c>
      <c r="H60" s="11">
        <v>5.0</v>
      </c>
      <c r="I60" s="11">
        <v>8.0</v>
      </c>
      <c r="J60" s="50">
        <v>51217.0</v>
      </c>
      <c r="K60" s="11">
        <v>5.0</v>
      </c>
      <c r="L60" s="11">
        <v>9.0</v>
      </c>
      <c r="M60" s="51">
        <v>703.0</v>
      </c>
      <c r="N60" s="17">
        <v>52.0</v>
      </c>
      <c r="O60" s="24" t="s">
        <v>48</v>
      </c>
      <c r="P60" s="52">
        <v>92416.0</v>
      </c>
      <c r="Q60" s="51">
        <v>781.0</v>
      </c>
      <c r="R60" s="53">
        <v>-209.4</v>
      </c>
      <c r="S60" s="24" t="s">
        <v>600</v>
      </c>
      <c r="T60" s="11">
        <v>6.0</v>
      </c>
      <c r="U60" s="52">
        <v>61322.0</v>
      </c>
      <c r="V60" s="11">
        <v>3.0</v>
      </c>
      <c r="W60" s="11">
        <v>8.0</v>
      </c>
      <c r="X60" s="48">
        <v>8.428</v>
      </c>
      <c r="Y60" s="11">
        <f t="shared" si="2"/>
        <v>0.08428</v>
      </c>
    </row>
    <row r="61">
      <c r="A61" s="17">
        <v>89.0</v>
      </c>
      <c r="B61" s="24">
        <v>62.0</v>
      </c>
      <c r="C61" s="24">
        <v>6.0</v>
      </c>
      <c r="D61" s="24">
        <v>4.0</v>
      </c>
      <c r="E61" s="24">
        <v>62.0</v>
      </c>
      <c r="F61" s="48">
        <v>3.608</v>
      </c>
      <c r="G61" s="49">
        <f t="shared" si="1"/>
        <v>0.03608</v>
      </c>
      <c r="H61" s="11">
        <v>6.0</v>
      </c>
      <c r="I61" s="11">
        <v>9.0</v>
      </c>
      <c r="J61" s="50">
        <v>60415.0</v>
      </c>
      <c r="K61" s="11">
        <v>6.0</v>
      </c>
      <c r="L61" s="11">
        <v>5.0</v>
      </c>
      <c r="M61" s="51">
        <v>689.0</v>
      </c>
      <c r="N61" s="17">
        <v>72.0</v>
      </c>
      <c r="O61" s="24" t="s">
        <v>601</v>
      </c>
      <c r="P61" s="52">
        <v>120317.0</v>
      </c>
      <c r="Q61" s="51">
        <v>382.0</v>
      </c>
      <c r="R61" s="53">
        <v>-7647.32</v>
      </c>
      <c r="S61" s="24" t="s">
        <v>604</v>
      </c>
      <c r="T61" s="11">
        <v>4.0</v>
      </c>
      <c r="U61" s="52">
        <v>42523.0</v>
      </c>
      <c r="V61" s="11">
        <v>0.0</v>
      </c>
      <c r="W61" s="11">
        <v>5.0</v>
      </c>
      <c r="X61" s="48">
        <v>4.7242</v>
      </c>
      <c r="Y61" s="11">
        <f t="shared" si="2"/>
        <v>0.047242</v>
      </c>
    </row>
    <row r="62">
      <c r="A62" s="17">
        <v>32.0</v>
      </c>
      <c r="B62" s="24">
        <v>21.0</v>
      </c>
      <c r="C62" s="24">
        <v>6.0</v>
      </c>
      <c r="D62" s="24">
        <v>8.0</v>
      </c>
      <c r="E62" s="24">
        <v>66.0</v>
      </c>
      <c r="F62" s="48">
        <v>5.9169</v>
      </c>
      <c r="G62" s="49">
        <f t="shared" si="1"/>
        <v>0.059169</v>
      </c>
      <c r="H62" s="11">
        <v>4.0</v>
      </c>
      <c r="I62" s="11">
        <v>5.0</v>
      </c>
      <c r="J62" s="50">
        <v>31319.0</v>
      </c>
      <c r="K62" s="11">
        <v>1.0</v>
      </c>
      <c r="L62" s="11">
        <v>4.0</v>
      </c>
      <c r="M62" s="51">
        <v>984.0</v>
      </c>
      <c r="N62" s="17">
        <v>76.0</v>
      </c>
      <c r="O62" s="24" t="s">
        <v>31</v>
      </c>
      <c r="P62" s="52">
        <v>122517.0</v>
      </c>
      <c r="Q62" s="51">
        <v>950.0</v>
      </c>
      <c r="R62" s="53">
        <v>-16355.79</v>
      </c>
      <c r="S62" s="24" t="s">
        <v>600</v>
      </c>
      <c r="T62" s="11">
        <v>1.0</v>
      </c>
      <c r="U62" s="52">
        <v>92316.0</v>
      </c>
      <c r="V62" s="11">
        <v>1.0</v>
      </c>
      <c r="W62" s="11">
        <v>4.0</v>
      </c>
      <c r="X62" s="48">
        <v>6.1279</v>
      </c>
      <c r="Y62" s="11">
        <f t="shared" si="2"/>
        <v>0.061279</v>
      </c>
    </row>
    <row r="63">
      <c r="A63" s="17">
        <v>43.0</v>
      </c>
      <c r="B63" s="24">
        <v>42.0</v>
      </c>
      <c r="C63" s="24">
        <v>1.0</v>
      </c>
      <c r="D63" s="24">
        <v>7.0</v>
      </c>
      <c r="E63" s="24">
        <v>65.0</v>
      </c>
      <c r="F63" s="48">
        <v>8.169</v>
      </c>
      <c r="G63" s="49">
        <f t="shared" si="1"/>
        <v>0.08169</v>
      </c>
      <c r="H63" s="11">
        <v>7.0</v>
      </c>
      <c r="I63" s="11">
        <v>5.0</v>
      </c>
      <c r="J63" s="50">
        <v>92315.0</v>
      </c>
      <c r="K63" s="11">
        <v>4.0</v>
      </c>
      <c r="L63" s="11">
        <v>5.0</v>
      </c>
      <c r="M63" s="51">
        <v>705.0</v>
      </c>
      <c r="N63" s="17">
        <v>74.0</v>
      </c>
      <c r="O63" s="24" t="s">
        <v>600</v>
      </c>
      <c r="P63" s="52">
        <v>80621.0</v>
      </c>
      <c r="Q63" s="51">
        <v>669.0</v>
      </c>
      <c r="R63" s="53">
        <v>-79930.22</v>
      </c>
      <c r="S63" s="24" t="s">
        <v>602</v>
      </c>
      <c r="T63" s="11">
        <v>8.0</v>
      </c>
      <c r="U63" s="52">
        <v>73013.0</v>
      </c>
      <c r="V63" s="11">
        <v>8.0</v>
      </c>
      <c r="W63" s="11">
        <v>7.0</v>
      </c>
      <c r="X63" s="48">
        <v>6.6379</v>
      </c>
      <c r="Y63" s="11">
        <f t="shared" si="2"/>
        <v>0.066379</v>
      </c>
    </row>
    <row r="64">
      <c r="A64" s="17">
        <v>17.0</v>
      </c>
      <c r="B64" s="24">
        <v>83.0</v>
      </c>
      <c r="C64" s="24">
        <v>1.0</v>
      </c>
      <c r="D64" s="24">
        <v>5.0</v>
      </c>
      <c r="E64" s="24">
        <v>64.0</v>
      </c>
      <c r="F64" s="48">
        <v>1.2525</v>
      </c>
      <c r="G64" s="49">
        <f t="shared" si="1"/>
        <v>0.012525</v>
      </c>
      <c r="H64" s="11">
        <v>2.0</v>
      </c>
      <c r="I64" s="11">
        <v>1.0</v>
      </c>
      <c r="J64" s="50">
        <v>50723.0</v>
      </c>
      <c r="K64" s="11">
        <v>6.0</v>
      </c>
      <c r="L64" s="11">
        <v>5.0</v>
      </c>
      <c r="M64" s="51">
        <v>724.0</v>
      </c>
      <c r="N64" s="17">
        <v>59.0</v>
      </c>
      <c r="O64" s="24" t="s">
        <v>48</v>
      </c>
      <c r="P64" s="52">
        <v>92420.0</v>
      </c>
      <c r="Q64" s="51">
        <v>607.0</v>
      </c>
      <c r="R64" s="53">
        <v>24543.75</v>
      </c>
      <c r="S64" s="24" t="s">
        <v>605</v>
      </c>
      <c r="T64" s="11">
        <v>6.0</v>
      </c>
      <c r="U64" s="52">
        <v>102020.0</v>
      </c>
      <c r="V64" s="11">
        <v>0.0</v>
      </c>
      <c r="W64" s="11">
        <v>6.0</v>
      </c>
      <c r="X64" s="48">
        <v>1.9741</v>
      </c>
      <c r="Y64" s="11">
        <f t="shared" si="2"/>
        <v>0.019741</v>
      </c>
    </row>
    <row r="65">
      <c r="A65" s="17">
        <v>66.0</v>
      </c>
      <c r="B65" s="24">
        <v>21.0</v>
      </c>
      <c r="C65" s="24">
        <v>7.0</v>
      </c>
      <c r="D65" s="24">
        <v>1.0</v>
      </c>
      <c r="E65" s="24">
        <v>64.0</v>
      </c>
      <c r="F65" s="48">
        <v>7.254</v>
      </c>
      <c r="G65" s="49">
        <f t="shared" si="1"/>
        <v>0.07254</v>
      </c>
      <c r="H65" s="11">
        <v>3.0</v>
      </c>
      <c r="I65" s="11">
        <v>8.0</v>
      </c>
      <c r="J65" s="50">
        <v>112213.0</v>
      </c>
      <c r="K65" s="11">
        <v>3.0</v>
      </c>
      <c r="L65" s="11">
        <v>9.0</v>
      </c>
      <c r="M65" s="51">
        <v>976.0</v>
      </c>
      <c r="N65" s="17">
        <v>44.0</v>
      </c>
      <c r="O65" s="24" t="s">
        <v>606</v>
      </c>
      <c r="P65" s="52">
        <v>51515.0</v>
      </c>
      <c r="Q65" s="51">
        <v>155.0</v>
      </c>
      <c r="R65" s="53">
        <v>1096.9</v>
      </c>
      <c r="S65" s="24" t="s">
        <v>602</v>
      </c>
      <c r="T65" s="11">
        <v>1.0</v>
      </c>
      <c r="U65" s="52">
        <v>60614.0</v>
      </c>
      <c r="V65" s="11">
        <v>6.0</v>
      </c>
      <c r="W65" s="11">
        <v>8.0</v>
      </c>
      <c r="X65" s="48">
        <v>9.6114</v>
      </c>
      <c r="Y65" s="11">
        <f t="shared" si="2"/>
        <v>0.096114</v>
      </c>
    </row>
    <row r="66">
      <c r="A66" s="17">
        <v>71.0</v>
      </c>
      <c r="B66" s="24">
        <v>83.0</v>
      </c>
      <c r="C66" s="24">
        <v>1.0</v>
      </c>
      <c r="D66" s="24">
        <v>7.0</v>
      </c>
      <c r="E66" s="24">
        <v>68.0</v>
      </c>
      <c r="F66" s="48">
        <v>8.4496</v>
      </c>
      <c r="G66" s="49">
        <f t="shared" si="1"/>
        <v>0.084496</v>
      </c>
      <c r="H66" s="11">
        <v>1.0</v>
      </c>
      <c r="I66" s="11">
        <v>9.0</v>
      </c>
      <c r="J66" s="50">
        <v>51121.0</v>
      </c>
      <c r="K66" s="11">
        <v>0.0</v>
      </c>
      <c r="L66" s="11">
        <v>3.0</v>
      </c>
      <c r="M66" s="51">
        <v>820.0</v>
      </c>
      <c r="N66" s="17">
        <v>4.0</v>
      </c>
      <c r="O66" s="24" t="s">
        <v>39</v>
      </c>
      <c r="P66" s="52">
        <v>82114.0</v>
      </c>
      <c r="Q66" s="51">
        <v>610.0</v>
      </c>
      <c r="R66" s="53">
        <v>-8099.6</v>
      </c>
      <c r="S66" s="24" t="s">
        <v>602</v>
      </c>
      <c r="T66" s="11">
        <v>5.0</v>
      </c>
      <c r="U66" s="52">
        <v>111022.0</v>
      </c>
      <c r="V66" s="11">
        <v>3.0</v>
      </c>
      <c r="W66" s="11">
        <v>2.0</v>
      </c>
      <c r="X66" s="48">
        <v>4.9006</v>
      </c>
      <c r="Y66" s="11">
        <f t="shared" si="2"/>
        <v>0.049006</v>
      </c>
    </row>
    <row r="67">
      <c r="A67" s="17">
        <v>66.0</v>
      </c>
      <c r="B67" s="24">
        <v>62.0</v>
      </c>
      <c r="C67" s="24">
        <v>7.0</v>
      </c>
      <c r="D67" s="24">
        <v>6.0</v>
      </c>
      <c r="E67" s="24">
        <v>63.0</v>
      </c>
      <c r="F67" s="48">
        <v>4.7518</v>
      </c>
      <c r="G67" s="49">
        <f t="shared" si="1"/>
        <v>0.047518</v>
      </c>
      <c r="H67" s="11">
        <v>3.0</v>
      </c>
      <c r="I67" s="11">
        <v>6.0</v>
      </c>
      <c r="J67" s="50">
        <v>30515.0</v>
      </c>
      <c r="K67" s="11">
        <v>6.0</v>
      </c>
      <c r="L67" s="11">
        <v>9.0</v>
      </c>
      <c r="M67" s="51">
        <v>520.0</v>
      </c>
      <c r="N67" s="17">
        <v>6.0</v>
      </c>
      <c r="O67" s="24" t="s">
        <v>606</v>
      </c>
      <c r="P67" s="52">
        <v>20820.0</v>
      </c>
      <c r="Q67" s="51">
        <v>533.0</v>
      </c>
      <c r="R67" s="53">
        <v>2678.61</v>
      </c>
      <c r="S67" s="24" t="s">
        <v>604</v>
      </c>
      <c r="T67" s="11">
        <v>6.0</v>
      </c>
      <c r="U67" s="52">
        <v>102923.0</v>
      </c>
      <c r="V67" s="11">
        <v>9.0</v>
      </c>
      <c r="W67" s="11">
        <v>2.0</v>
      </c>
      <c r="X67" s="48">
        <v>3.7779</v>
      </c>
      <c r="Y67" s="11">
        <f t="shared" si="2"/>
        <v>0.037779</v>
      </c>
    </row>
    <row r="68">
      <c r="A68" s="17">
        <v>38.0</v>
      </c>
      <c r="B68" s="24">
        <v>83.0</v>
      </c>
      <c r="C68" s="24">
        <v>2.0</v>
      </c>
      <c r="D68" s="24">
        <v>4.0</v>
      </c>
      <c r="E68" s="24">
        <v>65.0</v>
      </c>
      <c r="F68" s="48">
        <v>2.9562</v>
      </c>
      <c r="G68" s="49">
        <f t="shared" si="1"/>
        <v>0.029562</v>
      </c>
      <c r="H68" s="11">
        <v>6.0</v>
      </c>
      <c r="I68" s="11">
        <v>2.0</v>
      </c>
      <c r="J68" s="50">
        <v>121420.0</v>
      </c>
      <c r="K68" s="11">
        <v>7.0</v>
      </c>
      <c r="L68" s="11">
        <v>4.0</v>
      </c>
      <c r="M68" s="51">
        <v>413.0</v>
      </c>
      <c r="N68" s="17">
        <v>79.0</v>
      </c>
      <c r="O68" s="24" t="s">
        <v>48</v>
      </c>
      <c r="P68" s="52">
        <v>102320.0</v>
      </c>
      <c r="Q68" s="51">
        <v>217.0</v>
      </c>
      <c r="R68" s="53">
        <v>74987.98</v>
      </c>
      <c r="S68" s="24" t="s">
        <v>600</v>
      </c>
      <c r="T68" s="11">
        <v>7.0</v>
      </c>
      <c r="U68" s="52">
        <v>32921.0</v>
      </c>
      <c r="V68" s="11">
        <v>5.0</v>
      </c>
      <c r="W68" s="11">
        <v>6.0</v>
      </c>
      <c r="X68" s="48">
        <v>3.7813</v>
      </c>
      <c r="Y68" s="11">
        <f t="shared" si="2"/>
        <v>0.037813</v>
      </c>
    </row>
    <row r="69">
      <c r="A69" s="17">
        <v>52.0</v>
      </c>
      <c r="B69" s="24">
        <v>42.0</v>
      </c>
      <c r="C69" s="24">
        <v>2.0</v>
      </c>
      <c r="D69" s="24">
        <v>8.0</v>
      </c>
      <c r="E69" s="24">
        <v>68.0</v>
      </c>
      <c r="F69" s="48">
        <v>3.1088</v>
      </c>
      <c r="G69" s="49">
        <f t="shared" si="1"/>
        <v>0.031088</v>
      </c>
      <c r="H69" s="11">
        <v>1.0</v>
      </c>
      <c r="I69" s="11">
        <v>1.0</v>
      </c>
      <c r="J69" s="50">
        <v>20619.0</v>
      </c>
      <c r="K69" s="11">
        <v>5.0</v>
      </c>
      <c r="L69" s="11">
        <v>6.0</v>
      </c>
      <c r="M69" s="51">
        <v>768.0</v>
      </c>
      <c r="N69" s="17">
        <v>42.0</v>
      </c>
      <c r="O69" s="24" t="s">
        <v>603</v>
      </c>
      <c r="P69" s="52">
        <v>91017.0</v>
      </c>
      <c r="Q69" s="51">
        <v>342.0</v>
      </c>
      <c r="R69" s="53">
        <v>-663183.72</v>
      </c>
      <c r="S69" s="24" t="s">
        <v>602</v>
      </c>
      <c r="T69" s="11">
        <v>0.0</v>
      </c>
      <c r="U69" s="52">
        <v>61421.0</v>
      </c>
      <c r="V69" s="11">
        <v>1.0</v>
      </c>
      <c r="W69" s="11">
        <v>1.0</v>
      </c>
      <c r="X69" s="48">
        <v>1.5232</v>
      </c>
      <c r="Y69" s="11">
        <f t="shared" si="2"/>
        <v>0.015232</v>
      </c>
    </row>
    <row r="70">
      <c r="A70" s="17">
        <v>60.0</v>
      </c>
      <c r="B70" s="24">
        <v>21.0</v>
      </c>
      <c r="C70" s="24">
        <v>8.0</v>
      </c>
      <c r="D70" s="24">
        <v>4.0</v>
      </c>
      <c r="E70" s="24">
        <v>62.0</v>
      </c>
      <c r="F70" s="48">
        <v>7.374</v>
      </c>
      <c r="G70" s="49">
        <f t="shared" si="1"/>
        <v>0.07374</v>
      </c>
      <c r="H70" s="11">
        <v>3.0</v>
      </c>
      <c r="I70" s="11">
        <v>5.0</v>
      </c>
      <c r="J70" s="50">
        <v>72617.0</v>
      </c>
      <c r="K70" s="11">
        <v>1.0</v>
      </c>
      <c r="L70" s="11">
        <v>4.0</v>
      </c>
      <c r="M70" s="51">
        <v>525.0</v>
      </c>
      <c r="N70" s="17">
        <v>80.0</v>
      </c>
      <c r="O70" s="24" t="s">
        <v>603</v>
      </c>
      <c r="P70" s="52">
        <v>111122.0</v>
      </c>
      <c r="Q70" s="51">
        <v>340.0</v>
      </c>
      <c r="R70" s="53">
        <v>-2121.46</v>
      </c>
      <c r="S70" s="24" t="s">
        <v>604</v>
      </c>
      <c r="T70" s="11">
        <v>3.0</v>
      </c>
      <c r="U70" s="52">
        <v>122922.0</v>
      </c>
      <c r="V70" s="11">
        <v>0.0</v>
      </c>
      <c r="W70" s="11">
        <v>7.0</v>
      </c>
      <c r="X70" s="48">
        <v>3.8125</v>
      </c>
      <c r="Y70" s="11">
        <f t="shared" si="2"/>
        <v>0.038125</v>
      </c>
    </row>
    <row r="71">
      <c r="A71" s="17">
        <v>77.0</v>
      </c>
      <c r="B71" s="24">
        <v>62.0</v>
      </c>
      <c r="C71" s="24">
        <v>8.0</v>
      </c>
      <c r="D71" s="24">
        <v>1.0</v>
      </c>
      <c r="E71" s="24">
        <v>64.0</v>
      </c>
      <c r="F71" s="48">
        <v>2.4224</v>
      </c>
      <c r="G71" s="49">
        <f t="shared" si="1"/>
        <v>0.024224</v>
      </c>
      <c r="H71" s="11">
        <v>0.0</v>
      </c>
      <c r="I71" s="11">
        <v>9.0</v>
      </c>
      <c r="J71" s="50">
        <v>111617.0</v>
      </c>
      <c r="K71" s="11">
        <v>6.0</v>
      </c>
      <c r="L71" s="11">
        <v>2.0</v>
      </c>
      <c r="M71" s="51">
        <v>589.0</v>
      </c>
      <c r="N71" s="17">
        <v>65.0</v>
      </c>
      <c r="O71" s="24" t="s">
        <v>600</v>
      </c>
      <c r="P71" s="52">
        <v>112015.0</v>
      </c>
      <c r="Q71" s="51">
        <v>376.0</v>
      </c>
      <c r="R71" s="53">
        <v>703374.85</v>
      </c>
      <c r="S71" s="24" t="s">
        <v>604</v>
      </c>
      <c r="T71" s="11">
        <v>9.0</v>
      </c>
      <c r="U71" s="52">
        <v>82020.0</v>
      </c>
      <c r="V71" s="11">
        <v>1.0</v>
      </c>
      <c r="W71" s="11">
        <v>7.0</v>
      </c>
      <c r="X71" s="48">
        <v>5.3597</v>
      </c>
      <c r="Y71" s="11">
        <f t="shared" si="2"/>
        <v>0.053597</v>
      </c>
    </row>
    <row r="72">
      <c r="A72" s="17">
        <v>99.0</v>
      </c>
      <c r="B72" s="24">
        <v>62.0</v>
      </c>
      <c r="C72" s="24">
        <v>8.0</v>
      </c>
      <c r="D72" s="24">
        <v>2.0</v>
      </c>
      <c r="E72" s="24">
        <v>65.0</v>
      </c>
      <c r="F72" s="48">
        <v>2.5171</v>
      </c>
      <c r="G72" s="49">
        <f t="shared" si="1"/>
        <v>0.025171</v>
      </c>
      <c r="H72" s="11">
        <v>2.0</v>
      </c>
      <c r="I72" s="11">
        <v>6.0</v>
      </c>
      <c r="J72" s="50">
        <v>100415.0</v>
      </c>
      <c r="K72" s="11">
        <v>5.0</v>
      </c>
      <c r="L72" s="11">
        <v>8.0</v>
      </c>
      <c r="M72" s="51">
        <v>556.0</v>
      </c>
      <c r="N72" s="17">
        <v>85.0</v>
      </c>
      <c r="O72" s="24" t="s">
        <v>39</v>
      </c>
      <c r="P72" s="52">
        <v>42318.0</v>
      </c>
      <c r="Q72" s="51">
        <v>163.0</v>
      </c>
      <c r="R72" s="53">
        <v>89633.1</v>
      </c>
      <c r="S72" s="24" t="s">
        <v>605</v>
      </c>
      <c r="T72" s="11">
        <v>0.0</v>
      </c>
      <c r="U72" s="52">
        <v>112219.0</v>
      </c>
      <c r="V72" s="11">
        <v>3.0</v>
      </c>
      <c r="W72" s="11">
        <v>1.0</v>
      </c>
      <c r="X72" s="48">
        <v>1.3142</v>
      </c>
      <c r="Y72" s="11">
        <f t="shared" si="2"/>
        <v>0.013142</v>
      </c>
    </row>
    <row r="73">
      <c r="A73" s="17">
        <v>0.0</v>
      </c>
      <c r="B73" s="24">
        <v>42.0</v>
      </c>
      <c r="C73" s="24">
        <v>3.0</v>
      </c>
      <c r="D73" s="24">
        <v>4.0</v>
      </c>
      <c r="E73" s="24">
        <v>62.0</v>
      </c>
      <c r="F73" s="48">
        <v>1.508</v>
      </c>
      <c r="G73" s="49">
        <f t="shared" si="1"/>
        <v>0.01508</v>
      </c>
      <c r="H73" s="11">
        <v>6.0</v>
      </c>
      <c r="I73" s="11">
        <v>1.0</v>
      </c>
      <c r="J73" s="50">
        <v>90414.0</v>
      </c>
      <c r="K73" s="11">
        <v>8.0</v>
      </c>
      <c r="L73" s="11">
        <v>0.0</v>
      </c>
      <c r="M73" s="51">
        <v>346.0</v>
      </c>
      <c r="N73" s="17">
        <v>14.0</v>
      </c>
      <c r="O73" s="24" t="s">
        <v>606</v>
      </c>
      <c r="P73" s="52">
        <v>90816.0</v>
      </c>
      <c r="Q73" s="51">
        <v>100.0</v>
      </c>
      <c r="R73" s="53">
        <v>50833.81</v>
      </c>
      <c r="S73" s="24" t="s">
        <v>602</v>
      </c>
      <c r="T73" s="11">
        <v>1.0</v>
      </c>
      <c r="U73" s="52">
        <v>121515.0</v>
      </c>
      <c r="V73" s="11">
        <v>3.0</v>
      </c>
      <c r="W73" s="11">
        <v>8.0</v>
      </c>
      <c r="X73" s="48">
        <v>8.3712</v>
      </c>
      <c r="Y73" s="11">
        <f t="shared" si="2"/>
        <v>0.083712</v>
      </c>
    </row>
    <row r="74">
      <c r="A74" s="17">
        <v>46.0</v>
      </c>
      <c r="B74" s="24">
        <v>42.0</v>
      </c>
      <c r="C74" s="24">
        <v>3.0</v>
      </c>
      <c r="D74" s="24">
        <v>5.0</v>
      </c>
      <c r="E74" s="24">
        <v>68.0</v>
      </c>
      <c r="F74" s="48">
        <v>8.9826</v>
      </c>
      <c r="G74" s="49">
        <f t="shared" si="1"/>
        <v>0.089826</v>
      </c>
      <c r="H74" s="11">
        <v>0.0</v>
      </c>
      <c r="I74" s="11">
        <v>5.0</v>
      </c>
      <c r="J74" s="50">
        <v>72622.0</v>
      </c>
      <c r="K74" s="11">
        <v>3.0</v>
      </c>
      <c r="L74" s="11">
        <v>8.0</v>
      </c>
      <c r="M74" s="51">
        <v>672.0</v>
      </c>
      <c r="N74" s="17">
        <v>18.0</v>
      </c>
      <c r="O74" s="24" t="s">
        <v>601</v>
      </c>
      <c r="P74" s="52">
        <v>90816.0</v>
      </c>
      <c r="Q74" s="51">
        <v>708.0</v>
      </c>
      <c r="R74" s="53">
        <v>542441.23</v>
      </c>
      <c r="S74" s="24" t="s">
        <v>605</v>
      </c>
      <c r="T74" s="11">
        <v>1.0</v>
      </c>
      <c r="U74" s="52">
        <v>30513.0</v>
      </c>
      <c r="V74" s="11">
        <v>9.0</v>
      </c>
      <c r="W74" s="11">
        <v>4.0</v>
      </c>
      <c r="X74" s="48">
        <v>5.1659</v>
      </c>
      <c r="Y74" s="11">
        <f t="shared" si="2"/>
        <v>0.051659</v>
      </c>
    </row>
    <row r="75">
      <c r="A75" s="17">
        <v>13.0</v>
      </c>
      <c r="B75" s="24">
        <v>42.0</v>
      </c>
      <c r="C75" s="24">
        <v>3.0</v>
      </c>
      <c r="D75" s="24">
        <v>9.0</v>
      </c>
      <c r="E75" s="24">
        <v>67.0</v>
      </c>
      <c r="F75" s="48">
        <v>6.5921</v>
      </c>
      <c r="G75" s="49">
        <f t="shared" si="1"/>
        <v>0.065921</v>
      </c>
      <c r="H75" s="11">
        <v>6.0</v>
      </c>
      <c r="I75" s="11">
        <v>4.0</v>
      </c>
      <c r="J75" s="50">
        <v>51514.0</v>
      </c>
      <c r="K75" s="11">
        <v>4.0</v>
      </c>
      <c r="L75" s="11">
        <v>9.0</v>
      </c>
      <c r="M75" s="51">
        <v>948.0</v>
      </c>
      <c r="N75" s="17">
        <v>60.0</v>
      </c>
      <c r="O75" s="24" t="s">
        <v>600</v>
      </c>
      <c r="P75" s="52">
        <v>71415.0</v>
      </c>
      <c r="Q75" s="51">
        <v>328.0</v>
      </c>
      <c r="R75" s="53">
        <v>933.8</v>
      </c>
      <c r="S75" s="24" t="s">
        <v>600</v>
      </c>
      <c r="T75" s="11">
        <v>1.0</v>
      </c>
      <c r="U75" s="52">
        <v>123120.0</v>
      </c>
      <c r="V75" s="11">
        <v>2.0</v>
      </c>
      <c r="W75" s="11">
        <v>6.0</v>
      </c>
      <c r="X75" s="48">
        <v>7.1275</v>
      </c>
      <c r="Y75" s="11">
        <f t="shared" si="2"/>
        <v>0.071275</v>
      </c>
    </row>
    <row r="76">
      <c r="A76" s="17">
        <v>47.0</v>
      </c>
      <c r="B76" s="24">
        <v>62.0</v>
      </c>
      <c r="C76" s="24">
        <v>8.0</v>
      </c>
      <c r="D76" s="24">
        <v>9.0</v>
      </c>
      <c r="E76" s="24">
        <v>63.0</v>
      </c>
      <c r="F76" s="48">
        <v>5.8258</v>
      </c>
      <c r="G76" s="49">
        <f t="shared" si="1"/>
        <v>0.058258</v>
      </c>
      <c r="H76" s="11">
        <v>8.0</v>
      </c>
      <c r="I76" s="11">
        <v>6.0</v>
      </c>
      <c r="J76" s="50">
        <v>42113.0</v>
      </c>
      <c r="K76" s="11">
        <v>9.0</v>
      </c>
      <c r="L76" s="11">
        <v>4.0</v>
      </c>
      <c r="M76" s="51">
        <v>999.0</v>
      </c>
      <c r="N76" s="17">
        <v>76.0</v>
      </c>
      <c r="O76" s="24" t="s">
        <v>31</v>
      </c>
      <c r="P76" s="52">
        <v>30515.0</v>
      </c>
      <c r="Q76" s="51">
        <v>648.0</v>
      </c>
      <c r="R76" s="53">
        <v>68280.84</v>
      </c>
      <c r="S76" s="24" t="s">
        <v>604</v>
      </c>
      <c r="T76" s="11">
        <v>1.0</v>
      </c>
      <c r="U76" s="52">
        <v>40320.0</v>
      </c>
      <c r="V76" s="11">
        <v>4.0</v>
      </c>
      <c r="W76" s="11">
        <v>5.0</v>
      </c>
      <c r="X76" s="48">
        <v>2.7273</v>
      </c>
      <c r="Y76" s="11">
        <f t="shared" si="2"/>
        <v>0.027273</v>
      </c>
    </row>
    <row r="77">
      <c r="A77" s="17">
        <v>89.0</v>
      </c>
      <c r="B77" s="24">
        <v>83.0</v>
      </c>
      <c r="C77" s="24">
        <v>3.0</v>
      </c>
      <c r="D77" s="24">
        <v>8.0</v>
      </c>
      <c r="E77" s="24">
        <v>61.0</v>
      </c>
      <c r="F77" s="48">
        <v>9.9107</v>
      </c>
      <c r="G77" s="49">
        <f t="shared" si="1"/>
        <v>0.099107</v>
      </c>
      <c r="H77" s="11">
        <v>0.0</v>
      </c>
      <c r="I77" s="11">
        <v>0.0</v>
      </c>
      <c r="J77" s="50">
        <v>92021.0</v>
      </c>
      <c r="K77" s="11">
        <v>6.0</v>
      </c>
      <c r="L77" s="11">
        <v>5.0</v>
      </c>
      <c r="M77" s="51">
        <v>879.0</v>
      </c>
      <c r="N77" s="17">
        <v>25.0</v>
      </c>
      <c r="O77" s="24" t="s">
        <v>600</v>
      </c>
      <c r="P77" s="52">
        <v>12418.0</v>
      </c>
      <c r="Q77" s="51">
        <v>901.0</v>
      </c>
      <c r="R77" s="53">
        <v>-684332.38</v>
      </c>
      <c r="S77" s="24" t="s">
        <v>605</v>
      </c>
      <c r="T77" s="11">
        <v>9.0</v>
      </c>
      <c r="U77" s="52">
        <v>91823.0</v>
      </c>
      <c r="V77" s="11">
        <v>6.0</v>
      </c>
      <c r="W77" s="11">
        <v>9.0</v>
      </c>
      <c r="X77" s="48">
        <v>8.3207</v>
      </c>
      <c r="Y77" s="11">
        <f t="shared" si="2"/>
        <v>0.083207</v>
      </c>
    </row>
    <row r="78">
      <c r="A78" s="17">
        <v>85.0</v>
      </c>
      <c r="B78" s="24">
        <v>42.0</v>
      </c>
      <c r="C78" s="24">
        <v>4.0</v>
      </c>
      <c r="D78" s="24">
        <v>3.0</v>
      </c>
      <c r="E78" s="24">
        <v>65.0</v>
      </c>
      <c r="F78" s="48">
        <v>4.2104</v>
      </c>
      <c r="G78" s="49">
        <f t="shared" si="1"/>
        <v>0.042104</v>
      </c>
      <c r="H78" s="11">
        <v>2.0</v>
      </c>
      <c r="I78" s="11">
        <v>8.0</v>
      </c>
      <c r="J78" s="50">
        <v>10622.0</v>
      </c>
      <c r="K78" s="11">
        <v>2.0</v>
      </c>
      <c r="L78" s="11">
        <v>2.0</v>
      </c>
      <c r="M78" s="51">
        <v>639.0</v>
      </c>
      <c r="N78" s="17">
        <v>78.0</v>
      </c>
      <c r="O78" s="24" t="s">
        <v>39</v>
      </c>
      <c r="P78" s="52">
        <v>111014.0</v>
      </c>
      <c r="Q78" s="51">
        <v>262.0</v>
      </c>
      <c r="R78" s="53">
        <v>-94688.29</v>
      </c>
      <c r="S78" s="24" t="s">
        <v>604</v>
      </c>
      <c r="T78" s="11">
        <v>3.0</v>
      </c>
      <c r="U78" s="52">
        <v>110117.0</v>
      </c>
      <c r="V78" s="11">
        <v>2.0</v>
      </c>
      <c r="W78" s="11">
        <v>0.0</v>
      </c>
      <c r="X78" s="48">
        <v>6.6185</v>
      </c>
      <c r="Y78" s="11">
        <f t="shared" si="2"/>
        <v>0.066185</v>
      </c>
    </row>
    <row r="79">
      <c r="A79" s="17">
        <v>86.0</v>
      </c>
      <c r="B79" s="24">
        <v>21.0</v>
      </c>
      <c r="C79" s="24">
        <v>9.0</v>
      </c>
      <c r="D79" s="24">
        <v>6.0</v>
      </c>
      <c r="E79" s="24">
        <v>63.0</v>
      </c>
      <c r="F79" s="48">
        <v>6.518</v>
      </c>
      <c r="G79" s="49">
        <f t="shared" si="1"/>
        <v>0.06518</v>
      </c>
      <c r="H79" s="11">
        <v>8.0</v>
      </c>
      <c r="I79" s="11">
        <v>7.0</v>
      </c>
      <c r="J79" s="50">
        <v>30915.0</v>
      </c>
      <c r="K79" s="11">
        <v>2.0</v>
      </c>
      <c r="L79" s="11">
        <v>3.0</v>
      </c>
      <c r="M79" s="51">
        <v>207.0</v>
      </c>
      <c r="N79" s="17">
        <v>42.0</v>
      </c>
      <c r="O79" s="24" t="s">
        <v>600</v>
      </c>
      <c r="P79" s="52">
        <v>91919.0</v>
      </c>
      <c r="Q79" s="51">
        <v>506.0</v>
      </c>
      <c r="R79" s="53">
        <v>-3027.17</v>
      </c>
      <c r="S79" s="24" t="s">
        <v>602</v>
      </c>
      <c r="T79" s="11">
        <v>2.0</v>
      </c>
      <c r="U79" s="52">
        <v>51622.0</v>
      </c>
      <c r="V79" s="11">
        <v>7.0</v>
      </c>
      <c r="W79" s="11">
        <v>1.0</v>
      </c>
      <c r="X79" s="48">
        <v>7.6116</v>
      </c>
      <c r="Y79" s="11">
        <f t="shared" si="2"/>
        <v>0.076116</v>
      </c>
    </row>
    <row r="80">
      <c r="A80" s="17">
        <v>52.0</v>
      </c>
      <c r="B80" s="24">
        <v>62.0</v>
      </c>
      <c r="C80" s="24">
        <v>9.0</v>
      </c>
      <c r="D80" s="24">
        <v>3.0</v>
      </c>
      <c r="E80" s="24">
        <v>64.0</v>
      </c>
      <c r="F80" s="48">
        <v>6.1344</v>
      </c>
      <c r="G80" s="49">
        <f t="shared" si="1"/>
        <v>0.061344</v>
      </c>
      <c r="H80" s="11">
        <v>6.0</v>
      </c>
      <c r="I80" s="11">
        <v>3.0</v>
      </c>
      <c r="J80" s="50">
        <v>70714.0</v>
      </c>
      <c r="K80" s="11">
        <v>9.0</v>
      </c>
      <c r="L80" s="11">
        <v>8.0</v>
      </c>
      <c r="M80" s="51">
        <v>734.0</v>
      </c>
      <c r="N80" s="17">
        <v>85.0</v>
      </c>
      <c r="O80" s="24" t="s">
        <v>601</v>
      </c>
      <c r="P80" s="52">
        <v>122320.0</v>
      </c>
      <c r="Q80" s="51">
        <v>140.0</v>
      </c>
      <c r="R80" s="53">
        <v>-84132.44</v>
      </c>
      <c r="S80" s="24" t="s">
        <v>604</v>
      </c>
      <c r="T80" s="11">
        <v>1.0</v>
      </c>
      <c r="U80" s="52">
        <v>81117.0</v>
      </c>
      <c r="V80" s="11">
        <v>4.0</v>
      </c>
      <c r="W80" s="11">
        <v>2.0</v>
      </c>
      <c r="X80" s="48">
        <v>8.2344</v>
      </c>
      <c r="Y80" s="11">
        <f t="shared" si="2"/>
        <v>0.082344</v>
      </c>
    </row>
    <row r="81">
      <c r="A81" s="17">
        <v>51.0</v>
      </c>
      <c r="B81" s="24">
        <v>42.0</v>
      </c>
      <c r="C81" s="24">
        <v>4.0</v>
      </c>
      <c r="D81" s="24">
        <v>5.0</v>
      </c>
      <c r="E81" s="24">
        <v>63.0</v>
      </c>
      <c r="F81" s="48">
        <v>8.1788</v>
      </c>
      <c r="G81" s="49">
        <f t="shared" si="1"/>
        <v>0.081788</v>
      </c>
      <c r="H81" s="11">
        <v>7.0</v>
      </c>
      <c r="I81" s="11">
        <v>7.0</v>
      </c>
      <c r="J81" s="50">
        <v>81617.0</v>
      </c>
      <c r="K81" s="11">
        <v>3.0</v>
      </c>
      <c r="L81" s="11">
        <v>7.0</v>
      </c>
      <c r="M81" s="51">
        <v>303.0</v>
      </c>
      <c r="N81" s="17">
        <v>6.0</v>
      </c>
      <c r="O81" s="24" t="s">
        <v>603</v>
      </c>
      <c r="P81" s="52">
        <v>70721.0</v>
      </c>
      <c r="Q81" s="51">
        <v>116.0</v>
      </c>
      <c r="R81" s="53">
        <v>-311728.19</v>
      </c>
      <c r="S81" s="24" t="s">
        <v>602</v>
      </c>
      <c r="T81" s="11">
        <v>7.0</v>
      </c>
      <c r="U81" s="52">
        <v>111817.0</v>
      </c>
      <c r="V81" s="11">
        <v>8.0</v>
      </c>
      <c r="W81" s="11">
        <v>6.0</v>
      </c>
      <c r="X81" s="48">
        <v>5.2469</v>
      </c>
      <c r="Y81" s="11">
        <f t="shared" si="2"/>
        <v>0.052469</v>
      </c>
    </row>
    <row r="82">
      <c r="A82" s="17">
        <v>95.0</v>
      </c>
      <c r="B82" s="24">
        <v>21.0</v>
      </c>
      <c r="C82" s="24">
        <v>9.0</v>
      </c>
      <c r="D82" s="24">
        <v>3.0</v>
      </c>
      <c r="E82" s="24">
        <v>65.0</v>
      </c>
      <c r="F82" s="48">
        <v>8.5325</v>
      </c>
      <c r="G82" s="49">
        <f t="shared" si="1"/>
        <v>0.085325</v>
      </c>
      <c r="H82" s="11">
        <v>6.0</v>
      </c>
      <c r="I82" s="11">
        <v>0.0</v>
      </c>
      <c r="J82" s="50">
        <v>92320.0</v>
      </c>
      <c r="K82" s="11">
        <v>0.0</v>
      </c>
      <c r="L82" s="11">
        <v>0.0</v>
      </c>
      <c r="M82" s="51">
        <v>494.0</v>
      </c>
      <c r="N82" s="17">
        <v>90.0</v>
      </c>
      <c r="O82" s="24" t="s">
        <v>603</v>
      </c>
      <c r="P82" s="52">
        <v>102615.0</v>
      </c>
      <c r="Q82" s="51">
        <v>846.0</v>
      </c>
      <c r="R82" s="53">
        <v>156.22</v>
      </c>
      <c r="S82" s="24" t="s">
        <v>602</v>
      </c>
      <c r="T82" s="11">
        <v>9.0</v>
      </c>
      <c r="U82" s="52">
        <v>40917.0</v>
      </c>
      <c r="V82" s="11">
        <v>4.0</v>
      </c>
      <c r="W82" s="11">
        <v>9.0</v>
      </c>
      <c r="X82" s="48">
        <v>4.5328</v>
      </c>
      <c r="Y82" s="11">
        <f t="shared" si="2"/>
        <v>0.045328</v>
      </c>
    </row>
    <row r="83">
      <c r="A83" s="17">
        <v>58.0</v>
      </c>
      <c r="B83" s="24">
        <v>83.0</v>
      </c>
      <c r="C83" s="24">
        <v>4.0</v>
      </c>
      <c r="D83" s="24">
        <v>4.0</v>
      </c>
      <c r="E83" s="24">
        <v>60.0</v>
      </c>
      <c r="F83" s="48">
        <v>4.8901</v>
      </c>
      <c r="G83" s="49">
        <f t="shared" si="1"/>
        <v>0.048901</v>
      </c>
      <c r="H83" s="11">
        <v>9.0</v>
      </c>
      <c r="I83" s="11">
        <v>5.0</v>
      </c>
      <c r="J83" s="50">
        <v>112718.0</v>
      </c>
      <c r="K83" s="11">
        <v>6.0</v>
      </c>
      <c r="L83" s="11">
        <v>4.0</v>
      </c>
      <c r="M83" s="51">
        <v>2.0</v>
      </c>
      <c r="N83" s="17">
        <v>46.0</v>
      </c>
      <c r="O83" s="24" t="s">
        <v>600</v>
      </c>
      <c r="P83" s="52">
        <v>91614.0</v>
      </c>
      <c r="Q83" s="51">
        <v>327.0</v>
      </c>
      <c r="R83" s="53">
        <v>724.65</v>
      </c>
      <c r="S83" s="24" t="s">
        <v>605</v>
      </c>
      <c r="T83" s="11">
        <v>2.0</v>
      </c>
      <c r="U83" s="52">
        <v>121417.0</v>
      </c>
      <c r="V83" s="11">
        <v>3.0</v>
      </c>
      <c r="W83" s="11">
        <v>1.0</v>
      </c>
      <c r="X83" s="48">
        <v>2.4847</v>
      </c>
      <c r="Y83" s="11">
        <f t="shared" si="2"/>
        <v>0.024847</v>
      </c>
    </row>
    <row r="84">
      <c r="A84" s="17">
        <v>53.0</v>
      </c>
      <c r="B84" s="24">
        <v>42.0</v>
      </c>
      <c r="C84" s="24">
        <v>4.0</v>
      </c>
      <c r="D84" s="24">
        <v>9.0</v>
      </c>
      <c r="E84" s="24">
        <v>65.0</v>
      </c>
      <c r="F84" s="48">
        <v>8.6804</v>
      </c>
      <c r="G84" s="49">
        <f t="shared" si="1"/>
        <v>0.086804</v>
      </c>
      <c r="H84" s="11">
        <v>2.0</v>
      </c>
      <c r="I84" s="11">
        <v>4.0</v>
      </c>
      <c r="J84" s="50">
        <v>103117.0</v>
      </c>
      <c r="K84" s="11">
        <v>2.0</v>
      </c>
      <c r="L84" s="11">
        <v>2.0</v>
      </c>
      <c r="M84" s="51">
        <v>477.0</v>
      </c>
      <c r="N84" s="17">
        <v>29.0</v>
      </c>
      <c r="O84" s="24" t="s">
        <v>39</v>
      </c>
      <c r="P84" s="52">
        <v>73022.0</v>
      </c>
      <c r="Q84" s="51">
        <v>836.0</v>
      </c>
      <c r="R84" s="53">
        <v>-64605.4</v>
      </c>
      <c r="S84" s="24" t="s">
        <v>600</v>
      </c>
      <c r="T84" s="11">
        <v>7.0</v>
      </c>
      <c r="U84" s="52">
        <v>121316.0</v>
      </c>
      <c r="V84" s="11">
        <v>6.0</v>
      </c>
      <c r="W84" s="11">
        <v>2.0</v>
      </c>
      <c r="X84" s="48">
        <v>5.6529</v>
      </c>
      <c r="Y84" s="11">
        <f t="shared" si="2"/>
        <v>0.056529</v>
      </c>
    </row>
    <row r="85">
      <c r="A85" s="17">
        <v>21.0</v>
      </c>
      <c r="B85" s="24">
        <v>42.0</v>
      </c>
      <c r="C85" s="24">
        <v>5.0</v>
      </c>
      <c r="D85" s="24">
        <v>1.0</v>
      </c>
      <c r="E85" s="24">
        <v>66.0</v>
      </c>
      <c r="F85" s="48">
        <v>3.6968</v>
      </c>
      <c r="G85" s="49">
        <f t="shared" si="1"/>
        <v>0.036968</v>
      </c>
      <c r="H85" s="11">
        <v>3.0</v>
      </c>
      <c r="I85" s="11">
        <v>9.0</v>
      </c>
      <c r="J85" s="50">
        <v>21123.0</v>
      </c>
      <c r="K85" s="11">
        <v>6.0</v>
      </c>
      <c r="L85" s="11">
        <v>3.0</v>
      </c>
      <c r="M85" s="51">
        <v>100.0</v>
      </c>
      <c r="N85" s="17">
        <v>21.0</v>
      </c>
      <c r="O85" s="24" t="s">
        <v>603</v>
      </c>
      <c r="P85" s="52">
        <v>11918.0</v>
      </c>
      <c r="Q85" s="51">
        <v>206.0</v>
      </c>
      <c r="R85" s="53">
        <v>735032.98</v>
      </c>
      <c r="S85" s="24" t="s">
        <v>605</v>
      </c>
      <c r="T85" s="11">
        <v>5.0</v>
      </c>
      <c r="U85" s="52">
        <v>123113.0</v>
      </c>
      <c r="V85" s="11">
        <v>5.0</v>
      </c>
      <c r="W85" s="11">
        <v>7.0</v>
      </c>
      <c r="X85" s="48">
        <v>3.8598</v>
      </c>
      <c r="Y85" s="11">
        <f t="shared" si="2"/>
        <v>0.038598</v>
      </c>
    </row>
    <row r="86">
      <c r="A86" s="17">
        <v>70.0</v>
      </c>
      <c r="B86" s="24">
        <v>83.0</v>
      </c>
      <c r="C86" s="24">
        <v>4.0</v>
      </c>
      <c r="D86" s="24">
        <v>9.0</v>
      </c>
      <c r="E86" s="24">
        <v>62.0</v>
      </c>
      <c r="F86" s="48">
        <v>7.5048</v>
      </c>
      <c r="G86" s="49">
        <f t="shared" si="1"/>
        <v>0.075048</v>
      </c>
      <c r="H86" s="11">
        <v>1.0</v>
      </c>
      <c r="I86" s="11">
        <v>9.0</v>
      </c>
      <c r="J86" s="50">
        <v>121918.0</v>
      </c>
      <c r="K86" s="11">
        <v>6.0</v>
      </c>
      <c r="L86" s="11">
        <v>8.0</v>
      </c>
      <c r="M86" s="51">
        <v>45.0</v>
      </c>
      <c r="N86" s="17">
        <v>36.0</v>
      </c>
      <c r="O86" s="24" t="s">
        <v>48</v>
      </c>
      <c r="P86" s="52">
        <v>32119.0</v>
      </c>
      <c r="Q86" s="51">
        <v>516.0</v>
      </c>
      <c r="R86" s="53">
        <v>97511.5</v>
      </c>
      <c r="S86" s="24" t="s">
        <v>600</v>
      </c>
      <c r="T86" s="11">
        <v>2.0</v>
      </c>
      <c r="U86" s="52">
        <v>22614.0</v>
      </c>
      <c r="V86" s="11">
        <v>1.0</v>
      </c>
      <c r="W86" s="11">
        <v>2.0</v>
      </c>
      <c r="X86" s="48">
        <v>1.886</v>
      </c>
      <c r="Y86" s="11">
        <f t="shared" si="2"/>
        <v>0.01886</v>
      </c>
    </row>
    <row r="87">
      <c r="A87" s="17">
        <v>23.0</v>
      </c>
      <c r="B87" s="24">
        <v>83.0</v>
      </c>
      <c r="C87" s="24">
        <v>5.0</v>
      </c>
      <c r="D87" s="24">
        <v>3.0</v>
      </c>
      <c r="E87" s="24">
        <v>64.0</v>
      </c>
      <c r="F87" s="48">
        <v>1.6616</v>
      </c>
      <c r="G87" s="49">
        <f t="shared" si="1"/>
        <v>0.016616</v>
      </c>
      <c r="H87" s="11">
        <v>7.0</v>
      </c>
      <c r="I87" s="11">
        <v>8.0</v>
      </c>
      <c r="J87" s="50">
        <v>121813.0</v>
      </c>
      <c r="K87" s="11">
        <v>4.0</v>
      </c>
      <c r="L87" s="11">
        <v>4.0</v>
      </c>
      <c r="M87" s="51">
        <v>138.0</v>
      </c>
      <c r="N87" s="17">
        <v>6.0</v>
      </c>
      <c r="O87" s="24" t="s">
        <v>39</v>
      </c>
      <c r="P87" s="52">
        <v>32813.0</v>
      </c>
      <c r="Q87" s="51">
        <v>463.0</v>
      </c>
      <c r="R87" s="53">
        <v>-846.28</v>
      </c>
      <c r="S87" s="24" t="s">
        <v>604</v>
      </c>
      <c r="T87" s="11">
        <v>5.0</v>
      </c>
      <c r="U87" s="52">
        <v>81621.0</v>
      </c>
      <c r="V87" s="11">
        <v>3.0</v>
      </c>
      <c r="W87" s="11">
        <v>4.0</v>
      </c>
      <c r="X87" s="48">
        <v>9.397</v>
      </c>
      <c r="Y87" s="11">
        <f t="shared" si="2"/>
        <v>0.09397</v>
      </c>
    </row>
    <row r="88">
      <c r="A88" s="17">
        <v>2.0</v>
      </c>
      <c r="B88" s="24">
        <v>22.0</v>
      </c>
      <c r="C88" s="24">
        <v>1.0</v>
      </c>
      <c r="D88" s="24">
        <v>9.0</v>
      </c>
      <c r="E88" s="24">
        <v>68.0</v>
      </c>
      <c r="F88" s="48">
        <v>2.3305</v>
      </c>
      <c r="G88" s="49">
        <f t="shared" si="1"/>
        <v>0.023305</v>
      </c>
      <c r="H88" s="11">
        <v>8.0</v>
      </c>
      <c r="I88" s="11">
        <v>6.0</v>
      </c>
      <c r="J88" s="50">
        <v>111813.0</v>
      </c>
      <c r="K88" s="11">
        <v>7.0</v>
      </c>
      <c r="L88" s="11">
        <v>6.0</v>
      </c>
      <c r="M88" s="51">
        <v>311.0</v>
      </c>
      <c r="N88" s="17">
        <v>63.0</v>
      </c>
      <c r="O88" s="24" t="s">
        <v>48</v>
      </c>
      <c r="P88" s="52">
        <v>53016.0</v>
      </c>
      <c r="Q88" s="51">
        <v>498.0</v>
      </c>
      <c r="R88" s="53">
        <v>65673.49</v>
      </c>
      <c r="S88" s="24" t="s">
        <v>605</v>
      </c>
      <c r="T88" s="11">
        <v>7.0</v>
      </c>
      <c r="U88" s="52">
        <v>71919.0</v>
      </c>
      <c r="V88" s="11">
        <v>3.0</v>
      </c>
      <c r="W88" s="11">
        <v>4.0</v>
      </c>
      <c r="X88" s="48">
        <v>8.7569</v>
      </c>
      <c r="Y88" s="11">
        <f t="shared" si="2"/>
        <v>0.087569</v>
      </c>
    </row>
    <row r="89">
      <c r="A89" s="17">
        <v>93.0</v>
      </c>
      <c r="B89" s="24">
        <v>42.0</v>
      </c>
      <c r="C89" s="24">
        <v>6.0</v>
      </c>
      <c r="D89" s="24">
        <v>7.0</v>
      </c>
      <c r="E89" s="24">
        <v>66.0</v>
      </c>
      <c r="F89" s="48">
        <v>3.8635</v>
      </c>
      <c r="G89" s="49">
        <f t="shared" si="1"/>
        <v>0.038635</v>
      </c>
      <c r="H89" s="11">
        <v>7.0</v>
      </c>
      <c r="I89" s="11">
        <v>3.0</v>
      </c>
      <c r="J89" s="50">
        <v>121423.0</v>
      </c>
      <c r="K89" s="11">
        <v>5.0</v>
      </c>
      <c r="L89" s="11">
        <v>9.0</v>
      </c>
      <c r="M89" s="51">
        <v>87.0</v>
      </c>
      <c r="N89" s="17">
        <v>72.0</v>
      </c>
      <c r="O89" s="24" t="s">
        <v>606</v>
      </c>
      <c r="P89" s="52">
        <v>71121.0</v>
      </c>
      <c r="Q89" s="51">
        <v>920.0</v>
      </c>
      <c r="R89" s="53">
        <v>515199.61</v>
      </c>
      <c r="S89" s="24" t="s">
        <v>605</v>
      </c>
      <c r="T89" s="11">
        <v>5.0</v>
      </c>
      <c r="U89" s="52">
        <v>101319.0</v>
      </c>
      <c r="V89" s="11">
        <v>1.0</v>
      </c>
      <c r="W89" s="11">
        <v>0.0</v>
      </c>
      <c r="X89" s="48">
        <v>8.684</v>
      </c>
      <c r="Y89" s="11">
        <f t="shared" si="2"/>
        <v>0.08684</v>
      </c>
    </row>
    <row r="90">
      <c r="A90" s="17">
        <v>20.0</v>
      </c>
      <c r="B90" s="24">
        <v>83.0</v>
      </c>
      <c r="C90" s="24">
        <v>6.0</v>
      </c>
      <c r="D90" s="24">
        <v>5.0</v>
      </c>
      <c r="E90" s="24">
        <v>61.0</v>
      </c>
      <c r="F90" s="48">
        <v>9.4183</v>
      </c>
      <c r="G90" s="49">
        <f t="shared" si="1"/>
        <v>0.094183</v>
      </c>
      <c r="H90" s="11">
        <v>9.0</v>
      </c>
      <c r="I90" s="11">
        <v>2.0</v>
      </c>
      <c r="J90" s="50">
        <v>120619.0</v>
      </c>
      <c r="K90" s="11">
        <v>6.0</v>
      </c>
      <c r="L90" s="11">
        <v>3.0</v>
      </c>
      <c r="M90" s="51">
        <v>857.0</v>
      </c>
      <c r="N90" s="17">
        <v>91.0</v>
      </c>
      <c r="O90" s="24" t="s">
        <v>606</v>
      </c>
      <c r="P90" s="52">
        <v>12414.0</v>
      </c>
      <c r="Q90" s="51">
        <v>877.0</v>
      </c>
      <c r="R90" s="53">
        <v>9279.27</v>
      </c>
      <c r="S90" s="24" t="s">
        <v>605</v>
      </c>
      <c r="T90" s="11">
        <v>8.0</v>
      </c>
      <c r="U90" s="52">
        <v>42519.0</v>
      </c>
      <c r="V90" s="11">
        <v>7.0</v>
      </c>
      <c r="W90" s="11">
        <v>2.0</v>
      </c>
      <c r="X90" s="48">
        <v>7.1706</v>
      </c>
      <c r="Y90" s="11">
        <f t="shared" si="2"/>
        <v>0.071706</v>
      </c>
    </row>
    <row r="91">
      <c r="A91" s="17">
        <v>31.0</v>
      </c>
      <c r="B91" s="24">
        <v>22.0</v>
      </c>
      <c r="C91" s="24">
        <v>2.0</v>
      </c>
      <c r="D91" s="24">
        <v>2.0</v>
      </c>
      <c r="E91" s="24">
        <v>68.0</v>
      </c>
      <c r="F91" s="48">
        <v>7.3062</v>
      </c>
      <c r="G91" s="49">
        <f t="shared" si="1"/>
        <v>0.073062</v>
      </c>
      <c r="H91" s="11">
        <v>7.0</v>
      </c>
      <c r="I91" s="11">
        <v>2.0</v>
      </c>
      <c r="J91" s="50">
        <v>41218.0</v>
      </c>
      <c r="K91" s="11">
        <v>8.0</v>
      </c>
      <c r="L91" s="11">
        <v>5.0</v>
      </c>
      <c r="M91" s="51">
        <v>396.0</v>
      </c>
      <c r="N91" s="17">
        <v>26.0</v>
      </c>
      <c r="O91" s="24" t="s">
        <v>601</v>
      </c>
      <c r="P91" s="52">
        <v>21323.0</v>
      </c>
      <c r="Q91" s="51">
        <v>32.0</v>
      </c>
      <c r="R91" s="53">
        <v>9777.11</v>
      </c>
      <c r="S91" s="24" t="s">
        <v>600</v>
      </c>
      <c r="T91" s="11">
        <v>2.0</v>
      </c>
      <c r="U91" s="52">
        <v>120913.0</v>
      </c>
      <c r="V91" s="11">
        <v>4.0</v>
      </c>
      <c r="W91" s="11">
        <v>2.0</v>
      </c>
      <c r="X91" s="48">
        <v>1.3044</v>
      </c>
      <c r="Y91" s="11">
        <f t="shared" si="2"/>
        <v>0.013044</v>
      </c>
    </row>
    <row r="92">
      <c r="A92" s="17">
        <v>98.0</v>
      </c>
      <c r="B92" s="24">
        <v>63.0</v>
      </c>
      <c r="C92" s="24">
        <v>2.0</v>
      </c>
      <c r="D92" s="24">
        <v>1.0</v>
      </c>
      <c r="E92" s="24">
        <v>66.0</v>
      </c>
      <c r="F92" s="48">
        <v>2.516</v>
      </c>
      <c r="G92" s="49">
        <f t="shared" si="1"/>
        <v>0.02516</v>
      </c>
      <c r="H92" s="11">
        <v>4.0</v>
      </c>
      <c r="I92" s="11">
        <v>8.0</v>
      </c>
      <c r="J92" s="50">
        <v>81916.0</v>
      </c>
      <c r="K92" s="11">
        <v>3.0</v>
      </c>
      <c r="L92" s="11">
        <v>3.0</v>
      </c>
      <c r="M92" s="51">
        <v>593.0</v>
      </c>
      <c r="N92" s="17">
        <v>73.0</v>
      </c>
      <c r="O92" s="24" t="s">
        <v>48</v>
      </c>
      <c r="P92" s="52">
        <v>61517.0</v>
      </c>
      <c r="Q92" s="51">
        <v>780.0</v>
      </c>
      <c r="R92" s="53">
        <v>754338.47</v>
      </c>
      <c r="S92" s="24" t="s">
        <v>602</v>
      </c>
      <c r="T92" s="11">
        <v>6.0</v>
      </c>
      <c r="U92" s="52">
        <v>110219.0</v>
      </c>
      <c r="V92" s="11">
        <v>2.0</v>
      </c>
      <c r="W92" s="11">
        <v>2.0</v>
      </c>
      <c r="X92" s="48">
        <v>1.6683</v>
      </c>
      <c r="Y92" s="11">
        <f t="shared" si="2"/>
        <v>0.016683</v>
      </c>
    </row>
    <row r="93">
      <c r="A93" s="17">
        <v>14.0</v>
      </c>
      <c r="B93" s="24">
        <v>22.0</v>
      </c>
      <c r="C93" s="24">
        <v>2.0</v>
      </c>
      <c r="D93" s="24">
        <v>6.0</v>
      </c>
      <c r="E93" s="24">
        <v>64.0</v>
      </c>
      <c r="F93" s="48">
        <v>4.1956</v>
      </c>
      <c r="G93" s="49">
        <f t="shared" si="1"/>
        <v>0.041956</v>
      </c>
      <c r="H93" s="11">
        <v>2.0</v>
      </c>
      <c r="I93" s="11">
        <v>7.0</v>
      </c>
      <c r="J93" s="50">
        <v>110321.0</v>
      </c>
      <c r="K93" s="11">
        <v>5.0</v>
      </c>
      <c r="L93" s="11">
        <v>2.0</v>
      </c>
      <c r="M93" s="51">
        <v>146.0</v>
      </c>
      <c r="N93" s="17">
        <v>88.0</v>
      </c>
      <c r="O93" s="24" t="s">
        <v>606</v>
      </c>
      <c r="P93" s="52">
        <v>53020.0</v>
      </c>
      <c r="Q93" s="51">
        <v>410.0</v>
      </c>
      <c r="R93" s="53">
        <v>5486.56</v>
      </c>
      <c r="S93" s="24" t="s">
        <v>604</v>
      </c>
      <c r="T93" s="11">
        <v>5.0</v>
      </c>
      <c r="U93" s="52">
        <v>72415.0</v>
      </c>
      <c r="V93" s="11">
        <v>3.0</v>
      </c>
      <c r="W93" s="11">
        <v>5.0</v>
      </c>
      <c r="X93" s="48">
        <v>3.7668</v>
      </c>
      <c r="Y93" s="11">
        <f t="shared" si="2"/>
        <v>0.037668</v>
      </c>
    </row>
    <row r="94">
      <c r="A94" s="17">
        <v>39.0</v>
      </c>
      <c r="B94" s="24">
        <v>42.0</v>
      </c>
      <c r="C94" s="24">
        <v>7.0</v>
      </c>
      <c r="D94" s="24">
        <v>5.0</v>
      </c>
      <c r="E94" s="24">
        <v>65.0</v>
      </c>
      <c r="F94" s="48">
        <v>7.8593</v>
      </c>
      <c r="G94" s="49">
        <f t="shared" si="1"/>
        <v>0.078593</v>
      </c>
      <c r="H94" s="11">
        <v>5.0</v>
      </c>
      <c r="I94" s="11">
        <v>9.0</v>
      </c>
      <c r="J94" s="50">
        <v>21615.0</v>
      </c>
      <c r="K94" s="11">
        <v>9.0</v>
      </c>
      <c r="L94" s="11">
        <v>7.0</v>
      </c>
      <c r="M94" s="51">
        <v>753.0</v>
      </c>
      <c r="N94" s="17">
        <v>18.0</v>
      </c>
      <c r="O94" s="24" t="s">
        <v>48</v>
      </c>
      <c r="P94" s="52">
        <v>72119.0</v>
      </c>
      <c r="Q94" s="51">
        <v>567.0</v>
      </c>
      <c r="R94" s="53">
        <v>13366.34</v>
      </c>
      <c r="S94" s="24" t="s">
        <v>600</v>
      </c>
      <c r="T94" s="11">
        <v>9.0</v>
      </c>
      <c r="U94" s="52">
        <v>111614.0</v>
      </c>
      <c r="V94" s="11">
        <v>7.0</v>
      </c>
      <c r="W94" s="11">
        <v>6.0</v>
      </c>
      <c r="X94" s="48">
        <v>4.8272</v>
      </c>
      <c r="Y94" s="11">
        <f t="shared" si="2"/>
        <v>0.048272</v>
      </c>
    </row>
    <row r="95">
      <c r="A95" s="17">
        <v>13.0</v>
      </c>
      <c r="B95" s="24">
        <v>63.0</v>
      </c>
      <c r="C95" s="24">
        <v>2.0</v>
      </c>
      <c r="D95" s="24">
        <v>2.0</v>
      </c>
      <c r="E95" s="24">
        <v>68.0</v>
      </c>
      <c r="F95" s="48">
        <v>4.611</v>
      </c>
      <c r="G95" s="49">
        <f t="shared" si="1"/>
        <v>0.04611</v>
      </c>
      <c r="H95" s="11">
        <v>0.0</v>
      </c>
      <c r="I95" s="11">
        <v>8.0</v>
      </c>
      <c r="J95" s="50">
        <v>91122.0</v>
      </c>
      <c r="K95" s="11">
        <v>8.0</v>
      </c>
      <c r="L95" s="11">
        <v>4.0</v>
      </c>
      <c r="M95" s="51">
        <v>611.0</v>
      </c>
      <c r="N95" s="17">
        <v>59.0</v>
      </c>
      <c r="O95" s="24" t="s">
        <v>603</v>
      </c>
      <c r="P95" s="52">
        <v>80215.0</v>
      </c>
      <c r="Q95" s="51">
        <v>904.0</v>
      </c>
      <c r="R95" s="53">
        <v>711412.61</v>
      </c>
      <c r="S95" s="24" t="s">
        <v>602</v>
      </c>
      <c r="T95" s="11">
        <v>8.0</v>
      </c>
      <c r="U95" s="52">
        <v>111021.0</v>
      </c>
      <c r="V95" s="11">
        <v>6.0</v>
      </c>
      <c r="W95" s="11">
        <v>5.0</v>
      </c>
      <c r="X95" s="48">
        <v>9.5995</v>
      </c>
      <c r="Y95" s="11">
        <f t="shared" si="2"/>
        <v>0.095995</v>
      </c>
    </row>
    <row r="96">
      <c r="A96" s="17">
        <v>6.0</v>
      </c>
      <c r="B96" s="24">
        <v>22.0</v>
      </c>
      <c r="C96" s="24">
        <v>2.0</v>
      </c>
      <c r="D96" s="24">
        <v>9.0</v>
      </c>
      <c r="E96" s="24">
        <v>62.0</v>
      </c>
      <c r="F96" s="48">
        <v>1.3078</v>
      </c>
      <c r="G96" s="49">
        <f t="shared" si="1"/>
        <v>0.013078</v>
      </c>
      <c r="H96" s="11">
        <v>3.0</v>
      </c>
      <c r="I96" s="11">
        <v>9.0</v>
      </c>
      <c r="J96" s="50">
        <v>80621.0</v>
      </c>
      <c r="K96" s="11">
        <v>7.0</v>
      </c>
      <c r="L96" s="11">
        <v>1.0</v>
      </c>
      <c r="M96" s="51">
        <v>582.0</v>
      </c>
      <c r="N96" s="17">
        <v>47.0</v>
      </c>
      <c r="O96" s="24" t="s">
        <v>600</v>
      </c>
      <c r="P96" s="52">
        <v>120223.0</v>
      </c>
      <c r="Q96" s="51">
        <v>706.0</v>
      </c>
      <c r="R96" s="53">
        <v>9047.69</v>
      </c>
      <c r="S96" s="24" t="s">
        <v>605</v>
      </c>
      <c r="T96" s="11">
        <v>6.0</v>
      </c>
      <c r="U96" s="52">
        <v>62914.0</v>
      </c>
      <c r="V96" s="11">
        <v>2.0</v>
      </c>
      <c r="W96" s="11">
        <v>7.0</v>
      </c>
      <c r="X96" s="48">
        <v>1.5229</v>
      </c>
      <c r="Y96" s="11">
        <f t="shared" si="2"/>
        <v>0.015229</v>
      </c>
    </row>
    <row r="97">
      <c r="A97" s="17">
        <v>88.0</v>
      </c>
      <c r="B97" s="24">
        <v>63.0</v>
      </c>
      <c r="C97" s="24">
        <v>2.0</v>
      </c>
      <c r="D97" s="24">
        <v>6.0</v>
      </c>
      <c r="E97" s="24">
        <v>62.0</v>
      </c>
      <c r="F97" s="48">
        <v>4.9147</v>
      </c>
      <c r="G97" s="49">
        <f t="shared" si="1"/>
        <v>0.049147</v>
      </c>
      <c r="H97" s="11">
        <v>2.0</v>
      </c>
      <c r="I97" s="11">
        <v>8.0</v>
      </c>
      <c r="J97" s="50">
        <v>92515.0</v>
      </c>
      <c r="K97" s="11">
        <v>8.0</v>
      </c>
      <c r="L97" s="11">
        <v>3.0</v>
      </c>
      <c r="M97" s="51">
        <v>642.0</v>
      </c>
      <c r="N97" s="17">
        <v>73.0</v>
      </c>
      <c r="O97" s="24" t="s">
        <v>601</v>
      </c>
      <c r="P97" s="52">
        <v>51322.0</v>
      </c>
      <c r="Q97" s="51">
        <v>812.0</v>
      </c>
      <c r="R97" s="53">
        <v>757819.42</v>
      </c>
      <c r="S97" s="24" t="s">
        <v>602</v>
      </c>
      <c r="T97" s="11">
        <v>7.0</v>
      </c>
      <c r="U97" s="52">
        <v>123023.0</v>
      </c>
      <c r="V97" s="11">
        <v>2.0</v>
      </c>
      <c r="W97" s="11">
        <v>3.0</v>
      </c>
      <c r="X97" s="48">
        <v>8.5097</v>
      </c>
      <c r="Y97" s="11">
        <f t="shared" si="2"/>
        <v>0.085097</v>
      </c>
    </row>
    <row r="98">
      <c r="A98" s="17">
        <v>6.0</v>
      </c>
      <c r="B98" s="24">
        <v>42.0</v>
      </c>
      <c r="C98" s="24">
        <v>7.0</v>
      </c>
      <c r="D98" s="24">
        <v>8.0</v>
      </c>
      <c r="E98" s="24">
        <v>60.0</v>
      </c>
      <c r="F98" s="48">
        <v>9.5713</v>
      </c>
      <c r="G98" s="49">
        <f t="shared" si="1"/>
        <v>0.095713</v>
      </c>
      <c r="H98" s="11">
        <v>7.0</v>
      </c>
      <c r="I98" s="11">
        <v>8.0</v>
      </c>
      <c r="J98" s="50">
        <v>60623.0</v>
      </c>
      <c r="K98" s="11">
        <v>9.0</v>
      </c>
      <c r="L98" s="11">
        <v>1.0</v>
      </c>
      <c r="M98" s="51">
        <v>590.0</v>
      </c>
      <c r="N98" s="17">
        <v>2.0</v>
      </c>
      <c r="O98" s="24" t="s">
        <v>601</v>
      </c>
      <c r="P98" s="52">
        <v>53119.0</v>
      </c>
      <c r="Q98" s="51">
        <v>801.0</v>
      </c>
      <c r="R98" s="53">
        <v>718.55</v>
      </c>
      <c r="S98" s="24" t="s">
        <v>602</v>
      </c>
      <c r="T98" s="11">
        <v>5.0</v>
      </c>
      <c r="U98" s="52">
        <v>110418.0</v>
      </c>
      <c r="V98" s="11">
        <v>8.0</v>
      </c>
      <c r="W98" s="11">
        <v>2.0</v>
      </c>
      <c r="X98" s="48">
        <v>6.7217</v>
      </c>
      <c r="Y98" s="11">
        <f t="shared" si="2"/>
        <v>0.067217</v>
      </c>
    </row>
    <row r="99">
      <c r="A99" s="17">
        <v>6.0</v>
      </c>
      <c r="B99" s="24">
        <v>63.0</v>
      </c>
      <c r="C99" s="24">
        <v>2.0</v>
      </c>
      <c r="D99" s="24">
        <v>9.0</v>
      </c>
      <c r="E99" s="24">
        <v>63.0</v>
      </c>
      <c r="F99" s="48">
        <v>4.322</v>
      </c>
      <c r="G99" s="49">
        <f t="shared" si="1"/>
        <v>0.04322</v>
      </c>
      <c r="H99" s="11">
        <v>7.0</v>
      </c>
      <c r="I99" s="11">
        <v>8.0</v>
      </c>
      <c r="J99" s="50">
        <v>121823.0</v>
      </c>
      <c r="K99" s="11">
        <v>0.0</v>
      </c>
      <c r="L99" s="11">
        <v>0.0</v>
      </c>
      <c r="M99" s="51">
        <v>675.0</v>
      </c>
      <c r="N99" s="17">
        <v>0.0</v>
      </c>
      <c r="O99" s="24" t="s">
        <v>600</v>
      </c>
      <c r="P99" s="52">
        <v>21520.0</v>
      </c>
      <c r="Q99" s="51">
        <v>194.0</v>
      </c>
      <c r="R99" s="53">
        <v>16547.26</v>
      </c>
      <c r="S99" s="24" t="s">
        <v>604</v>
      </c>
      <c r="T99" s="11">
        <v>7.0</v>
      </c>
      <c r="U99" s="52">
        <v>80514.0</v>
      </c>
      <c r="V99" s="11">
        <v>4.0</v>
      </c>
      <c r="W99" s="11">
        <v>6.0</v>
      </c>
      <c r="X99" s="48">
        <v>9.7236</v>
      </c>
      <c r="Y99" s="11">
        <f t="shared" si="2"/>
        <v>0.097236</v>
      </c>
    </row>
    <row r="100">
      <c r="A100" s="17">
        <v>11.0</v>
      </c>
      <c r="B100" s="24">
        <v>83.0</v>
      </c>
      <c r="C100" s="24">
        <v>7.0</v>
      </c>
      <c r="D100" s="24">
        <v>9.0</v>
      </c>
      <c r="E100" s="24">
        <v>65.0</v>
      </c>
      <c r="F100" s="48">
        <v>6.3944</v>
      </c>
      <c r="G100" s="49">
        <f t="shared" si="1"/>
        <v>0.063944</v>
      </c>
      <c r="H100" s="11">
        <v>1.0</v>
      </c>
      <c r="I100" s="11">
        <v>7.0</v>
      </c>
      <c r="J100" s="50">
        <v>71017.0</v>
      </c>
      <c r="K100" s="11">
        <v>9.0</v>
      </c>
      <c r="L100" s="11">
        <v>1.0</v>
      </c>
      <c r="M100" s="51">
        <v>861.0</v>
      </c>
      <c r="N100" s="17">
        <v>24.0</v>
      </c>
      <c r="O100" s="24" t="s">
        <v>601</v>
      </c>
      <c r="P100" s="52">
        <v>31917.0</v>
      </c>
      <c r="Q100" s="51">
        <v>491.0</v>
      </c>
      <c r="R100" s="53">
        <v>-4511.22</v>
      </c>
      <c r="S100" s="24" t="s">
        <v>604</v>
      </c>
      <c r="T100" s="11">
        <v>4.0</v>
      </c>
      <c r="U100" s="52">
        <v>111417.0</v>
      </c>
      <c r="V100" s="11">
        <v>1.0</v>
      </c>
      <c r="W100" s="11">
        <v>3.0</v>
      </c>
      <c r="X100" s="48">
        <v>6.997</v>
      </c>
      <c r="Y100" s="11">
        <f t="shared" si="2"/>
        <v>0.06997</v>
      </c>
    </row>
    <row r="101">
      <c r="A101" s="17">
        <v>92.0</v>
      </c>
      <c r="B101" s="24">
        <v>63.0</v>
      </c>
      <c r="C101" s="24">
        <v>3.0</v>
      </c>
      <c r="D101" s="24">
        <v>5.0</v>
      </c>
      <c r="E101" s="24">
        <v>62.0</v>
      </c>
      <c r="F101" s="48">
        <v>8.137</v>
      </c>
      <c r="G101" s="49">
        <f t="shared" si="1"/>
        <v>0.08137</v>
      </c>
      <c r="H101" s="11">
        <v>1.0</v>
      </c>
      <c r="I101" s="11">
        <v>5.0</v>
      </c>
      <c r="J101" s="50">
        <v>113022.0</v>
      </c>
      <c r="K101" s="11">
        <v>3.0</v>
      </c>
      <c r="L101" s="11">
        <v>3.0</v>
      </c>
      <c r="M101" s="51">
        <v>669.0</v>
      </c>
      <c r="N101" s="17">
        <v>28.0</v>
      </c>
      <c r="O101" s="24" t="s">
        <v>48</v>
      </c>
      <c r="P101" s="52">
        <v>52418.0</v>
      </c>
      <c r="Q101" s="51">
        <v>701.0</v>
      </c>
      <c r="R101" s="53">
        <v>355.16</v>
      </c>
      <c r="S101" s="24" t="s">
        <v>604</v>
      </c>
      <c r="T101" s="11">
        <v>5.0</v>
      </c>
      <c r="U101" s="52">
        <v>81520.0</v>
      </c>
      <c r="V101" s="11">
        <v>9.0</v>
      </c>
      <c r="W101" s="11">
        <v>8.0</v>
      </c>
      <c r="X101" s="48">
        <v>6.397</v>
      </c>
      <c r="Y101" s="11">
        <f t="shared" si="2"/>
        <v>0.06397</v>
      </c>
    </row>
    <row r="102">
      <c r="A102" s="17">
        <v>27.0</v>
      </c>
      <c r="B102" s="24">
        <v>42.0</v>
      </c>
      <c r="C102" s="24">
        <v>8.0</v>
      </c>
      <c r="D102" s="24">
        <v>8.0</v>
      </c>
      <c r="E102" s="24">
        <v>60.0</v>
      </c>
      <c r="F102" s="48">
        <v>6.7285</v>
      </c>
      <c r="G102" s="49">
        <f t="shared" si="1"/>
        <v>0.067285</v>
      </c>
      <c r="H102" s="11">
        <v>0.0</v>
      </c>
      <c r="I102" s="11">
        <v>6.0</v>
      </c>
      <c r="J102" s="50">
        <v>11823.0</v>
      </c>
      <c r="K102" s="11">
        <v>2.0</v>
      </c>
      <c r="L102" s="11">
        <v>0.0</v>
      </c>
      <c r="M102" s="51">
        <v>842.0</v>
      </c>
      <c r="N102" s="17">
        <v>65.0</v>
      </c>
      <c r="O102" s="24" t="s">
        <v>601</v>
      </c>
      <c r="P102" s="52">
        <v>102021.0</v>
      </c>
      <c r="Q102" s="51">
        <v>915.0</v>
      </c>
      <c r="R102" s="53">
        <v>858.35</v>
      </c>
      <c r="S102" s="24" t="s">
        <v>605</v>
      </c>
      <c r="T102" s="11">
        <v>5.0</v>
      </c>
      <c r="U102" s="52">
        <v>80116.0</v>
      </c>
      <c r="V102" s="11">
        <v>1.0</v>
      </c>
      <c r="W102" s="11">
        <v>1.0</v>
      </c>
      <c r="X102" s="48">
        <v>1.5291</v>
      </c>
      <c r="Y102" s="11">
        <f t="shared" si="2"/>
        <v>0.015291</v>
      </c>
    </row>
    <row r="103">
      <c r="A103" s="17">
        <v>80.0</v>
      </c>
      <c r="B103" s="24">
        <v>22.0</v>
      </c>
      <c r="C103" s="24">
        <v>4.0</v>
      </c>
      <c r="D103" s="24">
        <v>1.0</v>
      </c>
      <c r="E103" s="24">
        <v>63.0</v>
      </c>
      <c r="F103" s="48">
        <v>5.8233</v>
      </c>
      <c r="G103" s="49">
        <f t="shared" si="1"/>
        <v>0.058233</v>
      </c>
      <c r="H103" s="11">
        <v>3.0</v>
      </c>
      <c r="I103" s="11">
        <v>2.0</v>
      </c>
      <c r="J103" s="50">
        <v>11215.0</v>
      </c>
      <c r="K103" s="11">
        <v>7.0</v>
      </c>
      <c r="L103" s="11">
        <v>7.0</v>
      </c>
      <c r="M103" s="51">
        <v>882.0</v>
      </c>
      <c r="N103" s="17">
        <v>35.0</v>
      </c>
      <c r="O103" s="24" t="s">
        <v>600</v>
      </c>
      <c r="P103" s="52">
        <v>61716.0</v>
      </c>
      <c r="Q103" s="51">
        <v>660.0</v>
      </c>
      <c r="R103" s="53">
        <v>922.24</v>
      </c>
      <c r="S103" s="24" t="s">
        <v>605</v>
      </c>
      <c r="T103" s="11">
        <v>4.0</v>
      </c>
      <c r="U103" s="52">
        <v>62213.0</v>
      </c>
      <c r="V103" s="11">
        <v>7.0</v>
      </c>
      <c r="W103" s="11">
        <v>8.0</v>
      </c>
      <c r="X103" s="48">
        <v>8.3204</v>
      </c>
      <c r="Y103" s="11">
        <f t="shared" si="2"/>
        <v>0.083204</v>
      </c>
    </row>
    <row r="104">
      <c r="A104" s="17">
        <v>79.0</v>
      </c>
      <c r="B104" s="24">
        <v>63.0</v>
      </c>
      <c r="C104" s="24">
        <v>3.0</v>
      </c>
      <c r="D104" s="24">
        <v>9.0</v>
      </c>
      <c r="E104" s="24">
        <v>62.0</v>
      </c>
      <c r="F104" s="48">
        <v>8.7994</v>
      </c>
      <c r="G104" s="49">
        <f t="shared" si="1"/>
        <v>0.087994</v>
      </c>
      <c r="H104" s="11">
        <v>4.0</v>
      </c>
      <c r="I104" s="11">
        <v>4.0</v>
      </c>
      <c r="J104" s="50">
        <v>100914.0</v>
      </c>
      <c r="K104" s="11">
        <v>6.0</v>
      </c>
      <c r="L104" s="11">
        <v>4.0</v>
      </c>
      <c r="M104" s="51">
        <v>514.0</v>
      </c>
      <c r="N104" s="17">
        <v>19.0</v>
      </c>
      <c r="O104" s="24" t="s">
        <v>31</v>
      </c>
      <c r="P104" s="52">
        <v>11521.0</v>
      </c>
      <c r="Q104" s="51">
        <v>408.0</v>
      </c>
      <c r="R104" s="53">
        <v>-4418.74</v>
      </c>
      <c r="S104" s="24" t="s">
        <v>604</v>
      </c>
      <c r="T104" s="11">
        <v>1.0</v>
      </c>
      <c r="U104" s="52">
        <v>60120.0</v>
      </c>
      <c r="V104" s="11">
        <v>5.0</v>
      </c>
      <c r="W104" s="11">
        <v>4.0</v>
      </c>
      <c r="X104" s="48">
        <v>5.6687</v>
      </c>
      <c r="Y104" s="11">
        <f t="shared" si="2"/>
        <v>0.056687</v>
      </c>
    </row>
    <row r="105">
      <c r="A105" s="17">
        <v>52.0</v>
      </c>
      <c r="B105" s="24">
        <v>42.0</v>
      </c>
      <c r="C105" s="24">
        <v>9.0</v>
      </c>
      <c r="D105" s="24">
        <v>2.0</v>
      </c>
      <c r="E105" s="24">
        <v>61.0</v>
      </c>
      <c r="F105" s="48">
        <v>7.5275</v>
      </c>
      <c r="G105" s="49">
        <f t="shared" si="1"/>
        <v>0.075275</v>
      </c>
      <c r="H105" s="11">
        <v>8.0</v>
      </c>
      <c r="I105" s="11">
        <v>5.0</v>
      </c>
      <c r="J105" s="50">
        <v>80720.0</v>
      </c>
      <c r="K105" s="11">
        <v>8.0</v>
      </c>
      <c r="L105" s="11">
        <v>4.0</v>
      </c>
      <c r="M105" s="51">
        <v>813.0</v>
      </c>
      <c r="N105" s="17">
        <v>95.0</v>
      </c>
      <c r="O105" s="24" t="s">
        <v>601</v>
      </c>
      <c r="P105" s="52">
        <v>101317.0</v>
      </c>
      <c r="Q105" s="51">
        <v>853.0</v>
      </c>
      <c r="R105" s="53">
        <v>231.76</v>
      </c>
      <c r="S105" s="24" t="s">
        <v>604</v>
      </c>
      <c r="T105" s="11">
        <v>3.0</v>
      </c>
      <c r="U105" s="52">
        <v>71018.0</v>
      </c>
      <c r="V105" s="11">
        <v>7.0</v>
      </c>
      <c r="W105" s="11">
        <v>8.0</v>
      </c>
      <c r="X105" s="48">
        <v>7.252</v>
      </c>
      <c r="Y105" s="11">
        <f t="shared" si="2"/>
        <v>0.07252</v>
      </c>
    </row>
    <row r="106">
      <c r="A106" s="17">
        <v>52.0</v>
      </c>
      <c r="B106" s="24">
        <v>63.0</v>
      </c>
      <c r="C106" s="24">
        <v>4.0</v>
      </c>
      <c r="D106" s="24">
        <v>1.0</v>
      </c>
      <c r="E106" s="24">
        <v>60.0</v>
      </c>
      <c r="F106" s="48">
        <v>1.3335</v>
      </c>
      <c r="G106" s="49">
        <f t="shared" si="1"/>
        <v>0.013335</v>
      </c>
      <c r="H106" s="11">
        <v>5.0</v>
      </c>
      <c r="I106" s="11">
        <v>1.0</v>
      </c>
      <c r="J106" s="50">
        <v>71218.0</v>
      </c>
      <c r="K106" s="11">
        <v>7.0</v>
      </c>
      <c r="L106" s="11">
        <v>5.0</v>
      </c>
      <c r="M106" s="51">
        <v>2.0</v>
      </c>
      <c r="N106" s="17">
        <v>94.0</v>
      </c>
      <c r="O106" s="24" t="s">
        <v>601</v>
      </c>
      <c r="P106" s="52">
        <v>71417.0</v>
      </c>
      <c r="Q106" s="51">
        <v>277.0</v>
      </c>
      <c r="R106" s="53">
        <v>-1185.23</v>
      </c>
      <c r="S106" s="24" t="s">
        <v>605</v>
      </c>
      <c r="T106" s="11">
        <v>9.0</v>
      </c>
      <c r="U106" s="52">
        <v>121521.0</v>
      </c>
      <c r="V106" s="11">
        <v>5.0</v>
      </c>
      <c r="W106" s="11">
        <v>7.0</v>
      </c>
      <c r="X106" s="48">
        <v>3.4502</v>
      </c>
      <c r="Y106" s="11">
        <f t="shared" si="2"/>
        <v>0.034502</v>
      </c>
    </row>
    <row r="107">
      <c r="A107" s="17">
        <v>52.0</v>
      </c>
      <c r="B107" s="24">
        <v>42.0</v>
      </c>
      <c r="C107" s="24">
        <v>9.0</v>
      </c>
      <c r="D107" s="24">
        <v>3.0</v>
      </c>
      <c r="E107" s="24">
        <v>60.0</v>
      </c>
      <c r="F107" s="48">
        <v>8.3796</v>
      </c>
      <c r="G107" s="49">
        <f t="shared" si="1"/>
        <v>0.083796</v>
      </c>
      <c r="H107" s="11">
        <v>0.0</v>
      </c>
      <c r="I107" s="11">
        <v>6.0</v>
      </c>
      <c r="J107" s="50">
        <v>52420.0</v>
      </c>
      <c r="K107" s="11">
        <v>6.0</v>
      </c>
      <c r="L107" s="11">
        <v>2.0</v>
      </c>
      <c r="M107" s="51">
        <v>622.0</v>
      </c>
      <c r="N107" s="17">
        <v>24.0</v>
      </c>
      <c r="O107" s="24" t="s">
        <v>31</v>
      </c>
      <c r="P107" s="52">
        <v>61317.0</v>
      </c>
      <c r="Q107" s="51">
        <v>909.0</v>
      </c>
      <c r="R107" s="53">
        <v>108897.82</v>
      </c>
      <c r="S107" s="24" t="s">
        <v>604</v>
      </c>
      <c r="T107" s="11">
        <v>8.0</v>
      </c>
      <c r="U107" s="52">
        <v>30818.0</v>
      </c>
      <c r="V107" s="11">
        <v>1.0</v>
      </c>
      <c r="W107" s="11">
        <v>0.0</v>
      </c>
      <c r="X107" s="48">
        <v>9.5247</v>
      </c>
      <c r="Y107" s="11">
        <f t="shared" si="2"/>
        <v>0.095247</v>
      </c>
    </row>
    <row r="108">
      <c r="A108" s="17">
        <v>44.0</v>
      </c>
      <c r="B108" s="24">
        <v>22.0</v>
      </c>
      <c r="C108" s="24">
        <v>4.0</v>
      </c>
      <c r="D108" s="24">
        <v>6.0</v>
      </c>
      <c r="E108" s="24">
        <v>64.0</v>
      </c>
      <c r="F108" s="48">
        <v>4.5034</v>
      </c>
      <c r="G108" s="49">
        <f t="shared" si="1"/>
        <v>0.045034</v>
      </c>
      <c r="H108" s="11">
        <v>5.0</v>
      </c>
      <c r="I108" s="11">
        <v>1.0</v>
      </c>
      <c r="J108" s="50">
        <v>31717.0</v>
      </c>
      <c r="K108" s="11">
        <v>3.0</v>
      </c>
      <c r="L108" s="11">
        <v>5.0</v>
      </c>
      <c r="M108" s="51">
        <v>952.0</v>
      </c>
      <c r="N108" s="17">
        <v>71.0</v>
      </c>
      <c r="O108" s="24" t="s">
        <v>601</v>
      </c>
      <c r="P108" s="52">
        <v>30219.0</v>
      </c>
      <c r="Q108" s="51">
        <v>141.0</v>
      </c>
      <c r="R108" s="53">
        <v>9768.14</v>
      </c>
      <c r="S108" s="24" t="s">
        <v>602</v>
      </c>
      <c r="T108" s="11">
        <v>7.0</v>
      </c>
      <c r="U108" s="52">
        <v>82114.0</v>
      </c>
      <c r="V108" s="11">
        <v>9.0</v>
      </c>
      <c r="W108" s="11">
        <v>3.0</v>
      </c>
      <c r="X108" s="48">
        <v>8.2173</v>
      </c>
      <c r="Y108" s="11">
        <f t="shared" si="2"/>
        <v>0.082173</v>
      </c>
    </row>
    <row r="109">
      <c r="A109" s="17">
        <v>21.0</v>
      </c>
      <c r="B109" s="24">
        <v>22.0</v>
      </c>
      <c r="C109" s="24">
        <v>4.0</v>
      </c>
      <c r="D109" s="24">
        <v>9.0</v>
      </c>
      <c r="E109" s="24">
        <v>64.0</v>
      </c>
      <c r="F109" s="48">
        <v>8.1466</v>
      </c>
      <c r="G109" s="49">
        <f t="shared" si="1"/>
        <v>0.081466</v>
      </c>
      <c r="H109" s="11">
        <v>3.0</v>
      </c>
      <c r="I109" s="11">
        <v>4.0</v>
      </c>
      <c r="J109" s="50">
        <v>30314.0</v>
      </c>
      <c r="K109" s="11">
        <v>7.0</v>
      </c>
      <c r="L109" s="11">
        <v>3.0</v>
      </c>
      <c r="M109" s="51">
        <v>606.0</v>
      </c>
      <c r="N109" s="17">
        <v>75.0</v>
      </c>
      <c r="O109" s="24" t="s">
        <v>606</v>
      </c>
      <c r="P109" s="52">
        <v>41323.0</v>
      </c>
      <c r="Q109" s="51">
        <v>964.0</v>
      </c>
      <c r="R109" s="53">
        <v>-762.46</v>
      </c>
      <c r="S109" s="24" t="s">
        <v>604</v>
      </c>
      <c r="T109" s="11">
        <v>7.0</v>
      </c>
      <c r="U109" s="52">
        <v>122719.0</v>
      </c>
      <c r="V109" s="11">
        <v>4.0</v>
      </c>
      <c r="W109" s="11">
        <v>9.0</v>
      </c>
      <c r="X109" s="48">
        <v>6.7135</v>
      </c>
      <c r="Y109" s="11">
        <f t="shared" si="2"/>
        <v>0.067135</v>
      </c>
    </row>
    <row r="110">
      <c r="A110" s="17">
        <v>44.0</v>
      </c>
      <c r="B110" s="24">
        <v>22.0</v>
      </c>
      <c r="C110" s="24">
        <v>5.0</v>
      </c>
      <c r="D110" s="24">
        <v>2.0</v>
      </c>
      <c r="E110" s="24">
        <v>64.0</v>
      </c>
      <c r="F110" s="48">
        <v>4.4192</v>
      </c>
      <c r="G110" s="49">
        <f t="shared" si="1"/>
        <v>0.044192</v>
      </c>
      <c r="H110" s="11">
        <v>8.0</v>
      </c>
      <c r="I110" s="11">
        <v>5.0</v>
      </c>
      <c r="J110" s="50">
        <v>71113.0</v>
      </c>
      <c r="K110" s="11">
        <v>3.0</v>
      </c>
      <c r="L110" s="11">
        <v>3.0</v>
      </c>
      <c r="M110" s="51">
        <v>981.0</v>
      </c>
      <c r="N110" s="17">
        <v>99.0</v>
      </c>
      <c r="O110" s="24" t="s">
        <v>601</v>
      </c>
      <c r="P110" s="52">
        <v>62622.0</v>
      </c>
      <c r="Q110" s="51">
        <v>284.0</v>
      </c>
      <c r="R110" s="53">
        <v>-788.51</v>
      </c>
      <c r="S110" s="24" t="s">
        <v>600</v>
      </c>
      <c r="T110" s="11">
        <v>7.0</v>
      </c>
      <c r="U110" s="52">
        <v>20922.0</v>
      </c>
      <c r="V110" s="11">
        <v>8.0</v>
      </c>
      <c r="W110" s="11">
        <v>7.0</v>
      </c>
      <c r="X110" s="48">
        <v>7.9767</v>
      </c>
      <c r="Y110" s="11">
        <f t="shared" si="2"/>
        <v>0.079767</v>
      </c>
    </row>
    <row r="111">
      <c r="A111" s="17">
        <v>24.0</v>
      </c>
      <c r="B111" s="24">
        <v>63.0</v>
      </c>
      <c r="C111" s="24">
        <v>5.0</v>
      </c>
      <c r="D111" s="24">
        <v>1.0</v>
      </c>
      <c r="E111" s="24">
        <v>60.0</v>
      </c>
      <c r="F111" s="48">
        <v>5.1641</v>
      </c>
      <c r="G111" s="49">
        <f t="shared" si="1"/>
        <v>0.051641</v>
      </c>
      <c r="H111" s="11">
        <v>0.0</v>
      </c>
      <c r="I111" s="11">
        <v>4.0</v>
      </c>
      <c r="J111" s="50">
        <v>60714.0</v>
      </c>
      <c r="K111" s="11">
        <v>2.0</v>
      </c>
      <c r="L111" s="11">
        <v>8.0</v>
      </c>
      <c r="M111" s="51">
        <v>770.0</v>
      </c>
      <c r="N111" s="17">
        <v>20.0</v>
      </c>
      <c r="O111" s="24" t="s">
        <v>48</v>
      </c>
      <c r="P111" s="52">
        <v>90219.0</v>
      </c>
      <c r="Q111" s="51">
        <v>78.0</v>
      </c>
      <c r="R111" s="53">
        <v>-23121.99</v>
      </c>
      <c r="S111" s="24" t="s">
        <v>604</v>
      </c>
      <c r="T111" s="11">
        <v>4.0</v>
      </c>
      <c r="U111" s="52">
        <v>90218.0</v>
      </c>
      <c r="V111" s="11">
        <v>3.0</v>
      </c>
      <c r="W111" s="11">
        <v>4.0</v>
      </c>
      <c r="X111" s="48">
        <v>3.2501</v>
      </c>
      <c r="Y111" s="11">
        <f t="shared" si="2"/>
        <v>0.032501</v>
      </c>
    </row>
    <row r="112">
      <c r="A112" s="17">
        <v>45.0</v>
      </c>
      <c r="B112" s="24">
        <v>22.0</v>
      </c>
      <c r="C112" s="24">
        <v>6.0</v>
      </c>
      <c r="D112" s="24">
        <v>4.0</v>
      </c>
      <c r="E112" s="24">
        <v>67.0</v>
      </c>
      <c r="F112" s="48">
        <v>2.2442</v>
      </c>
      <c r="G112" s="49">
        <f t="shared" si="1"/>
        <v>0.022442</v>
      </c>
      <c r="H112" s="11">
        <v>0.0</v>
      </c>
      <c r="I112" s="11">
        <v>7.0</v>
      </c>
      <c r="J112" s="50">
        <v>82715.0</v>
      </c>
      <c r="K112" s="11">
        <v>5.0</v>
      </c>
      <c r="L112" s="11">
        <v>8.0</v>
      </c>
      <c r="M112" s="51">
        <v>234.0</v>
      </c>
      <c r="N112" s="17">
        <v>94.0</v>
      </c>
      <c r="O112" s="24" t="s">
        <v>603</v>
      </c>
      <c r="P112" s="52">
        <v>22514.0</v>
      </c>
      <c r="Q112" s="51">
        <v>69.0</v>
      </c>
      <c r="R112" s="53">
        <v>957.21</v>
      </c>
      <c r="S112" s="24" t="s">
        <v>605</v>
      </c>
      <c r="T112" s="11">
        <v>2.0</v>
      </c>
      <c r="U112" s="52">
        <v>72419.0</v>
      </c>
      <c r="V112" s="11">
        <v>7.0</v>
      </c>
      <c r="W112" s="11">
        <v>4.0</v>
      </c>
      <c r="X112" s="48">
        <v>4.3234</v>
      </c>
      <c r="Y112" s="11">
        <f t="shared" si="2"/>
        <v>0.043234</v>
      </c>
    </row>
    <row r="113">
      <c r="A113" s="17">
        <v>19.0</v>
      </c>
      <c r="B113" s="24">
        <v>63.0</v>
      </c>
      <c r="C113" s="24">
        <v>6.0</v>
      </c>
      <c r="D113" s="24">
        <v>1.0</v>
      </c>
      <c r="E113" s="24">
        <v>64.0</v>
      </c>
      <c r="F113" s="48">
        <v>1.4949</v>
      </c>
      <c r="G113" s="49">
        <f t="shared" si="1"/>
        <v>0.014949</v>
      </c>
      <c r="H113" s="11">
        <v>1.0</v>
      </c>
      <c r="I113" s="11">
        <v>1.0</v>
      </c>
      <c r="J113" s="50">
        <v>80421.0</v>
      </c>
      <c r="K113" s="11">
        <v>0.0</v>
      </c>
      <c r="L113" s="11">
        <v>3.0</v>
      </c>
      <c r="M113" s="51">
        <v>546.0</v>
      </c>
      <c r="N113" s="17">
        <v>34.0</v>
      </c>
      <c r="O113" s="24" t="s">
        <v>601</v>
      </c>
      <c r="P113" s="52">
        <v>60715.0</v>
      </c>
      <c r="Q113" s="51">
        <v>966.0</v>
      </c>
      <c r="R113" s="53">
        <v>-8171.73</v>
      </c>
      <c r="S113" s="24" t="s">
        <v>604</v>
      </c>
      <c r="T113" s="11">
        <v>1.0</v>
      </c>
      <c r="U113" s="52">
        <v>111818.0</v>
      </c>
      <c r="V113" s="11">
        <v>7.0</v>
      </c>
      <c r="W113" s="11">
        <v>8.0</v>
      </c>
      <c r="X113" s="48">
        <v>1.6772</v>
      </c>
      <c r="Y113" s="11">
        <f t="shared" si="2"/>
        <v>0.016772</v>
      </c>
    </row>
    <row r="114">
      <c r="A114" s="17">
        <v>66.0</v>
      </c>
      <c r="B114" s="24">
        <v>63.0</v>
      </c>
      <c r="C114" s="24">
        <v>6.0</v>
      </c>
      <c r="D114" s="24">
        <v>6.0</v>
      </c>
      <c r="E114" s="24">
        <v>60.0</v>
      </c>
      <c r="F114" s="48">
        <v>6.5923</v>
      </c>
      <c r="G114" s="49">
        <f t="shared" si="1"/>
        <v>0.065923</v>
      </c>
      <c r="H114" s="11">
        <v>5.0</v>
      </c>
      <c r="I114" s="11">
        <v>7.0</v>
      </c>
      <c r="J114" s="50">
        <v>40814.0</v>
      </c>
      <c r="K114" s="11">
        <v>9.0</v>
      </c>
      <c r="L114" s="11">
        <v>4.0</v>
      </c>
      <c r="M114" s="51">
        <v>571.0</v>
      </c>
      <c r="N114" s="17">
        <v>92.0</v>
      </c>
      <c r="O114" s="24" t="s">
        <v>48</v>
      </c>
      <c r="P114" s="52">
        <v>42714.0</v>
      </c>
      <c r="Q114" s="51">
        <v>916.0</v>
      </c>
      <c r="R114" s="53">
        <v>524.88</v>
      </c>
      <c r="S114" s="24" t="s">
        <v>600</v>
      </c>
      <c r="T114" s="11">
        <v>9.0</v>
      </c>
      <c r="U114" s="52">
        <v>102718.0</v>
      </c>
      <c r="V114" s="11">
        <v>9.0</v>
      </c>
      <c r="W114" s="11">
        <v>6.0</v>
      </c>
      <c r="X114" s="48">
        <v>8.538</v>
      </c>
      <c r="Y114" s="11">
        <f t="shared" si="2"/>
        <v>0.08538</v>
      </c>
    </row>
    <row r="115">
      <c r="A115" s="17">
        <v>18.0</v>
      </c>
      <c r="B115" s="24">
        <v>43.0</v>
      </c>
      <c r="C115" s="24">
        <v>1.0</v>
      </c>
      <c r="D115" s="24">
        <v>8.0</v>
      </c>
      <c r="E115" s="24">
        <v>67.0</v>
      </c>
      <c r="F115" s="48">
        <v>9.6758</v>
      </c>
      <c r="G115" s="49">
        <f t="shared" si="1"/>
        <v>0.096758</v>
      </c>
      <c r="H115" s="11">
        <v>6.0</v>
      </c>
      <c r="I115" s="11">
        <v>7.0</v>
      </c>
      <c r="J115" s="50">
        <v>120613.0</v>
      </c>
      <c r="K115" s="11">
        <v>5.0</v>
      </c>
      <c r="L115" s="11">
        <v>3.0</v>
      </c>
      <c r="M115" s="51">
        <v>972.0</v>
      </c>
      <c r="N115" s="17">
        <v>54.0</v>
      </c>
      <c r="O115" s="24" t="s">
        <v>31</v>
      </c>
      <c r="P115" s="52">
        <v>50214.0</v>
      </c>
      <c r="Q115" s="51">
        <v>475.0</v>
      </c>
      <c r="R115" s="53">
        <v>-504.57</v>
      </c>
      <c r="S115" s="24" t="s">
        <v>600</v>
      </c>
      <c r="T115" s="11">
        <v>4.0</v>
      </c>
      <c r="U115" s="52">
        <v>91717.0</v>
      </c>
      <c r="V115" s="11">
        <v>4.0</v>
      </c>
      <c r="W115" s="11">
        <v>1.0</v>
      </c>
      <c r="X115" s="48">
        <v>1.6261</v>
      </c>
      <c r="Y115" s="11">
        <f t="shared" si="2"/>
        <v>0.016261</v>
      </c>
    </row>
    <row r="116">
      <c r="A116" s="17">
        <v>87.0</v>
      </c>
      <c r="B116" s="24">
        <v>84.0</v>
      </c>
      <c r="C116" s="24">
        <v>1.0</v>
      </c>
      <c r="D116" s="24">
        <v>7.0</v>
      </c>
      <c r="E116" s="24">
        <v>62.0</v>
      </c>
      <c r="F116" s="48">
        <v>5.6623</v>
      </c>
      <c r="G116" s="49">
        <f t="shared" si="1"/>
        <v>0.056623</v>
      </c>
      <c r="H116" s="11">
        <v>5.0</v>
      </c>
      <c r="I116" s="11">
        <v>6.0</v>
      </c>
      <c r="J116" s="50">
        <v>12021.0</v>
      </c>
      <c r="K116" s="11">
        <v>5.0</v>
      </c>
      <c r="L116" s="11">
        <v>6.0</v>
      </c>
      <c r="M116" s="51">
        <v>552.0</v>
      </c>
      <c r="N116" s="17">
        <v>94.0</v>
      </c>
      <c r="O116" s="24" t="s">
        <v>600</v>
      </c>
      <c r="P116" s="52">
        <v>72415.0</v>
      </c>
      <c r="Q116" s="51">
        <v>947.0</v>
      </c>
      <c r="R116" s="53">
        <v>-7082.23</v>
      </c>
      <c r="S116" s="24" t="s">
        <v>602</v>
      </c>
      <c r="T116" s="11">
        <v>3.0</v>
      </c>
      <c r="U116" s="52">
        <v>91022.0</v>
      </c>
      <c r="V116" s="11">
        <v>2.0</v>
      </c>
      <c r="W116" s="11">
        <v>3.0</v>
      </c>
      <c r="X116" s="48">
        <v>8.7612</v>
      </c>
      <c r="Y116" s="11">
        <f t="shared" si="2"/>
        <v>0.087612</v>
      </c>
    </row>
    <row r="117">
      <c r="A117" s="17">
        <v>82.0</v>
      </c>
      <c r="B117" s="24">
        <v>84.0</v>
      </c>
      <c r="C117" s="24">
        <v>1.0</v>
      </c>
      <c r="D117" s="24">
        <v>8.0</v>
      </c>
      <c r="E117" s="24">
        <v>61.0</v>
      </c>
      <c r="F117" s="48">
        <v>6.7098</v>
      </c>
      <c r="G117" s="49">
        <f t="shared" si="1"/>
        <v>0.067098</v>
      </c>
      <c r="H117" s="11">
        <v>1.0</v>
      </c>
      <c r="I117" s="11">
        <v>5.0</v>
      </c>
      <c r="J117" s="50">
        <v>71915.0</v>
      </c>
      <c r="K117" s="11">
        <v>2.0</v>
      </c>
      <c r="L117" s="11">
        <v>4.0</v>
      </c>
      <c r="M117" s="51">
        <v>397.0</v>
      </c>
      <c r="N117" s="17">
        <v>64.0</v>
      </c>
      <c r="O117" s="24" t="s">
        <v>48</v>
      </c>
      <c r="P117" s="52">
        <v>90917.0</v>
      </c>
      <c r="Q117" s="51">
        <v>599.0</v>
      </c>
      <c r="R117" s="53">
        <v>-1358.38</v>
      </c>
      <c r="S117" s="24" t="s">
        <v>604</v>
      </c>
      <c r="T117" s="11">
        <v>6.0</v>
      </c>
      <c r="U117" s="52">
        <v>91720.0</v>
      </c>
      <c r="V117" s="11">
        <v>2.0</v>
      </c>
      <c r="W117" s="11">
        <v>0.0</v>
      </c>
      <c r="X117" s="48">
        <v>7.6293</v>
      </c>
      <c r="Y117" s="11">
        <f t="shared" si="2"/>
        <v>0.076293</v>
      </c>
    </row>
    <row r="118">
      <c r="A118" s="17">
        <v>91.0</v>
      </c>
      <c r="B118" s="24">
        <v>84.0</v>
      </c>
      <c r="C118" s="24">
        <v>1.0</v>
      </c>
      <c r="D118" s="24">
        <v>9.0</v>
      </c>
      <c r="E118" s="24">
        <v>62.0</v>
      </c>
      <c r="F118" s="48">
        <v>7.1137</v>
      </c>
      <c r="G118" s="49">
        <f t="shared" si="1"/>
        <v>0.071137</v>
      </c>
      <c r="H118" s="11">
        <v>7.0</v>
      </c>
      <c r="I118" s="11">
        <v>9.0</v>
      </c>
      <c r="J118" s="50">
        <v>90815.0</v>
      </c>
      <c r="K118" s="11">
        <v>4.0</v>
      </c>
      <c r="L118" s="11">
        <v>6.0</v>
      </c>
      <c r="M118" s="51">
        <v>604.0</v>
      </c>
      <c r="N118" s="17">
        <v>44.0</v>
      </c>
      <c r="O118" s="24" t="s">
        <v>31</v>
      </c>
      <c r="P118" s="52">
        <v>83015.0</v>
      </c>
      <c r="Q118" s="51">
        <v>365.0</v>
      </c>
      <c r="R118" s="53">
        <v>-467498.45</v>
      </c>
      <c r="S118" s="24" t="s">
        <v>600</v>
      </c>
      <c r="T118" s="11">
        <v>8.0</v>
      </c>
      <c r="U118" s="52">
        <v>12821.0</v>
      </c>
      <c r="V118" s="11">
        <v>3.0</v>
      </c>
      <c r="W118" s="11">
        <v>3.0</v>
      </c>
      <c r="X118" s="48">
        <v>1.5089</v>
      </c>
      <c r="Y118" s="11">
        <f t="shared" si="2"/>
        <v>0.015089</v>
      </c>
    </row>
    <row r="119">
      <c r="A119" s="17">
        <v>41.0</v>
      </c>
      <c r="B119" s="24">
        <v>22.0</v>
      </c>
      <c r="C119" s="24">
        <v>7.0</v>
      </c>
      <c r="D119" s="24">
        <v>6.0</v>
      </c>
      <c r="E119" s="24">
        <v>61.0</v>
      </c>
      <c r="F119" s="48">
        <v>9.57</v>
      </c>
      <c r="G119" s="49">
        <f t="shared" si="1"/>
        <v>0.0957</v>
      </c>
      <c r="H119" s="11">
        <v>9.0</v>
      </c>
      <c r="I119" s="11">
        <v>8.0</v>
      </c>
      <c r="J119" s="50">
        <v>92517.0</v>
      </c>
      <c r="K119" s="11">
        <v>2.0</v>
      </c>
      <c r="L119" s="11">
        <v>2.0</v>
      </c>
      <c r="M119" s="51">
        <v>482.0</v>
      </c>
      <c r="N119" s="17">
        <v>93.0</v>
      </c>
      <c r="O119" s="24" t="s">
        <v>601</v>
      </c>
      <c r="P119" s="52">
        <v>22720.0</v>
      </c>
      <c r="Q119" s="51">
        <v>581.0</v>
      </c>
      <c r="R119" s="53">
        <v>-4803.1</v>
      </c>
      <c r="S119" s="24" t="s">
        <v>604</v>
      </c>
      <c r="T119" s="11">
        <v>2.0</v>
      </c>
      <c r="U119" s="52">
        <v>102821.0</v>
      </c>
      <c r="V119" s="11">
        <v>2.0</v>
      </c>
      <c r="W119" s="11">
        <v>2.0</v>
      </c>
      <c r="X119" s="48">
        <v>1.9229</v>
      </c>
      <c r="Y119" s="11">
        <f t="shared" si="2"/>
        <v>0.019229</v>
      </c>
    </row>
    <row r="120">
      <c r="A120" s="17">
        <v>27.0</v>
      </c>
      <c r="B120" s="24">
        <v>22.0</v>
      </c>
      <c r="C120" s="24">
        <v>7.0</v>
      </c>
      <c r="D120" s="24">
        <v>7.0</v>
      </c>
      <c r="E120" s="24">
        <v>66.0</v>
      </c>
      <c r="F120" s="48">
        <v>3.6352</v>
      </c>
      <c r="G120" s="49">
        <f t="shared" si="1"/>
        <v>0.036352</v>
      </c>
      <c r="H120" s="11">
        <v>2.0</v>
      </c>
      <c r="I120" s="11">
        <v>4.0</v>
      </c>
      <c r="J120" s="50">
        <v>82017.0</v>
      </c>
      <c r="K120" s="11">
        <v>5.0</v>
      </c>
      <c r="L120" s="11">
        <v>5.0</v>
      </c>
      <c r="M120" s="51">
        <v>360.0</v>
      </c>
      <c r="N120" s="17">
        <v>61.0</v>
      </c>
      <c r="O120" s="24" t="s">
        <v>606</v>
      </c>
      <c r="P120" s="52">
        <v>32416.0</v>
      </c>
      <c r="Q120" s="51">
        <v>886.0</v>
      </c>
      <c r="R120" s="53">
        <v>176.51</v>
      </c>
      <c r="S120" s="24" t="s">
        <v>605</v>
      </c>
      <c r="T120" s="11">
        <v>6.0</v>
      </c>
      <c r="U120" s="52">
        <v>80923.0</v>
      </c>
      <c r="V120" s="11">
        <v>2.0</v>
      </c>
      <c r="W120" s="11">
        <v>7.0</v>
      </c>
      <c r="X120" s="48">
        <v>6.1203</v>
      </c>
      <c r="Y120" s="11">
        <f t="shared" si="2"/>
        <v>0.061203</v>
      </c>
    </row>
    <row r="121">
      <c r="A121" s="17">
        <v>10.0</v>
      </c>
      <c r="B121" s="24">
        <v>43.0</v>
      </c>
      <c r="C121" s="24">
        <v>2.0</v>
      </c>
      <c r="D121" s="24">
        <v>3.0</v>
      </c>
      <c r="E121" s="24">
        <v>65.0</v>
      </c>
      <c r="F121" s="48">
        <v>2.7149</v>
      </c>
      <c r="G121" s="49">
        <f t="shared" si="1"/>
        <v>0.027149</v>
      </c>
      <c r="H121" s="11">
        <v>2.0</v>
      </c>
      <c r="I121" s="11">
        <v>5.0</v>
      </c>
      <c r="J121" s="50">
        <v>22617.0</v>
      </c>
      <c r="K121" s="11">
        <v>9.0</v>
      </c>
      <c r="L121" s="11">
        <v>7.0</v>
      </c>
      <c r="M121" s="51">
        <v>138.0</v>
      </c>
      <c r="N121" s="17">
        <v>90.0</v>
      </c>
      <c r="O121" s="24" t="s">
        <v>31</v>
      </c>
      <c r="P121" s="52">
        <v>12322.0</v>
      </c>
      <c r="Q121" s="51">
        <v>875.0</v>
      </c>
      <c r="R121" s="53">
        <v>-18886.59</v>
      </c>
      <c r="S121" s="24" t="s">
        <v>604</v>
      </c>
      <c r="T121" s="11">
        <v>7.0</v>
      </c>
      <c r="U121" s="52">
        <v>50514.0</v>
      </c>
      <c r="V121" s="11">
        <v>5.0</v>
      </c>
      <c r="W121" s="11">
        <v>3.0</v>
      </c>
      <c r="X121" s="48">
        <v>4.8895</v>
      </c>
      <c r="Y121" s="11">
        <f t="shared" si="2"/>
        <v>0.048895</v>
      </c>
    </row>
    <row r="122">
      <c r="A122" s="17">
        <v>52.0</v>
      </c>
      <c r="B122" s="24">
        <v>81.0</v>
      </c>
      <c r="C122" s="24">
        <v>8.0</v>
      </c>
      <c r="D122" s="24">
        <v>7.0</v>
      </c>
      <c r="E122" s="24">
        <v>67.0</v>
      </c>
      <c r="F122" s="48">
        <v>2.4734</v>
      </c>
      <c r="G122" s="49">
        <f t="shared" si="1"/>
        <v>0.024734</v>
      </c>
      <c r="H122" s="11">
        <v>2.0</v>
      </c>
      <c r="I122" s="11">
        <v>8.0</v>
      </c>
      <c r="J122" s="50">
        <v>92714.0</v>
      </c>
      <c r="K122" s="11">
        <v>6.0</v>
      </c>
      <c r="L122" s="11">
        <v>7.0</v>
      </c>
      <c r="M122" s="51">
        <v>572.0</v>
      </c>
      <c r="N122" s="17">
        <v>82.0</v>
      </c>
      <c r="O122" s="24" t="s">
        <v>31</v>
      </c>
      <c r="P122" s="52">
        <v>11515.0</v>
      </c>
      <c r="Q122" s="51">
        <v>848.0</v>
      </c>
      <c r="R122" s="53">
        <v>-3859.76</v>
      </c>
      <c r="S122" s="24" t="s">
        <v>602</v>
      </c>
      <c r="T122" s="11">
        <v>1.0</v>
      </c>
      <c r="U122" s="52">
        <v>10119.0</v>
      </c>
      <c r="V122" s="11">
        <v>6.0</v>
      </c>
      <c r="W122" s="11">
        <v>1.0</v>
      </c>
      <c r="X122" s="48">
        <v>7.2416</v>
      </c>
      <c r="Y122" s="11">
        <f t="shared" si="2"/>
        <v>0.072416</v>
      </c>
    </row>
    <row r="123">
      <c r="A123" s="17">
        <v>1.0</v>
      </c>
      <c r="B123" s="24">
        <v>63.0</v>
      </c>
      <c r="C123" s="24">
        <v>8.0</v>
      </c>
      <c r="D123" s="24">
        <v>2.0</v>
      </c>
      <c r="E123" s="24">
        <v>60.0</v>
      </c>
      <c r="F123" s="48">
        <v>3.456</v>
      </c>
      <c r="G123" s="49">
        <f t="shared" si="1"/>
        <v>0.03456</v>
      </c>
      <c r="H123" s="11">
        <v>4.0</v>
      </c>
      <c r="I123" s="11">
        <v>3.0</v>
      </c>
      <c r="J123" s="50">
        <v>81120.0</v>
      </c>
      <c r="K123" s="11">
        <v>6.0</v>
      </c>
      <c r="L123" s="11">
        <v>8.0</v>
      </c>
      <c r="M123" s="51">
        <v>367.0</v>
      </c>
      <c r="N123" s="17">
        <v>56.0</v>
      </c>
      <c r="O123" s="24" t="s">
        <v>600</v>
      </c>
      <c r="P123" s="52">
        <v>32016.0</v>
      </c>
      <c r="Q123" s="51">
        <v>500.0</v>
      </c>
      <c r="R123" s="53">
        <v>-3000.77</v>
      </c>
      <c r="S123" s="24" t="s">
        <v>602</v>
      </c>
      <c r="T123" s="11">
        <v>2.0</v>
      </c>
      <c r="U123" s="52">
        <v>71416.0</v>
      </c>
      <c r="V123" s="11">
        <v>4.0</v>
      </c>
      <c r="W123" s="11">
        <v>8.0</v>
      </c>
      <c r="X123" s="48">
        <v>3.1464</v>
      </c>
      <c r="Y123" s="11">
        <f t="shared" si="2"/>
        <v>0.031464</v>
      </c>
    </row>
    <row r="124">
      <c r="A124" s="17">
        <v>73.0</v>
      </c>
      <c r="B124" s="24">
        <v>43.0</v>
      </c>
      <c r="C124" s="24">
        <v>3.0</v>
      </c>
      <c r="D124" s="24">
        <v>6.0</v>
      </c>
      <c r="E124" s="24">
        <v>66.0</v>
      </c>
      <c r="F124" s="48">
        <v>3.4681</v>
      </c>
      <c r="G124" s="49">
        <f t="shared" si="1"/>
        <v>0.034681</v>
      </c>
      <c r="H124" s="11">
        <v>9.0</v>
      </c>
      <c r="I124" s="11">
        <v>9.0</v>
      </c>
      <c r="J124" s="50">
        <v>82822.0</v>
      </c>
      <c r="K124" s="11">
        <v>2.0</v>
      </c>
      <c r="L124" s="11">
        <v>0.0</v>
      </c>
      <c r="M124" s="51">
        <v>38.0</v>
      </c>
      <c r="N124" s="17">
        <v>99.0</v>
      </c>
      <c r="O124" s="24" t="s">
        <v>601</v>
      </c>
      <c r="P124" s="52">
        <v>81522.0</v>
      </c>
      <c r="Q124" s="51">
        <v>933.0</v>
      </c>
      <c r="R124" s="53">
        <v>-379.48</v>
      </c>
      <c r="S124" s="24" t="s">
        <v>604</v>
      </c>
      <c r="T124" s="11">
        <v>0.0</v>
      </c>
      <c r="U124" s="52">
        <v>40521.0</v>
      </c>
      <c r="V124" s="11">
        <v>7.0</v>
      </c>
      <c r="W124" s="11">
        <v>6.0</v>
      </c>
      <c r="X124" s="48">
        <v>1.1802</v>
      </c>
      <c r="Y124" s="11">
        <f t="shared" si="2"/>
        <v>0.011802</v>
      </c>
    </row>
    <row r="125">
      <c r="A125" s="17">
        <v>27.0</v>
      </c>
      <c r="B125" s="24">
        <v>22.0</v>
      </c>
      <c r="C125" s="24">
        <v>9.0</v>
      </c>
      <c r="D125" s="24">
        <v>2.0</v>
      </c>
      <c r="E125" s="24">
        <v>65.0</v>
      </c>
      <c r="F125" s="48">
        <v>1.5341</v>
      </c>
      <c r="G125" s="49">
        <f t="shared" si="1"/>
        <v>0.015341</v>
      </c>
      <c r="H125" s="11">
        <v>4.0</v>
      </c>
      <c r="I125" s="11">
        <v>4.0</v>
      </c>
      <c r="J125" s="50">
        <v>122922.0</v>
      </c>
      <c r="K125" s="11">
        <v>0.0</v>
      </c>
      <c r="L125" s="11">
        <v>4.0</v>
      </c>
      <c r="M125" s="51">
        <v>640.0</v>
      </c>
      <c r="N125" s="17">
        <v>38.0</v>
      </c>
      <c r="O125" s="24" t="s">
        <v>606</v>
      </c>
      <c r="P125" s="52">
        <v>12223.0</v>
      </c>
      <c r="Q125" s="51">
        <v>343.0</v>
      </c>
      <c r="R125" s="53">
        <v>-15824.54</v>
      </c>
      <c r="S125" s="24" t="s">
        <v>605</v>
      </c>
      <c r="T125" s="11">
        <v>6.0</v>
      </c>
      <c r="U125" s="52">
        <v>102219.0</v>
      </c>
      <c r="V125" s="11">
        <v>1.0</v>
      </c>
      <c r="W125" s="11">
        <v>5.0</v>
      </c>
      <c r="X125" s="48">
        <v>4.9051</v>
      </c>
      <c r="Y125" s="11">
        <f t="shared" si="2"/>
        <v>0.049051</v>
      </c>
    </row>
    <row r="126">
      <c r="A126" s="17">
        <v>79.0</v>
      </c>
      <c r="B126" s="24">
        <v>43.0</v>
      </c>
      <c r="C126" s="24">
        <v>4.0</v>
      </c>
      <c r="D126" s="24">
        <v>2.0</v>
      </c>
      <c r="E126" s="24">
        <v>66.0</v>
      </c>
      <c r="F126" s="48">
        <v>6.1339</v>
      </c>
      <c r="G126" s="49">
        <f t="shared" si="1"/>
        <v>0.061339</v>
      </c>
      <c r="H126" s="11">
        <v>3.0</v>
      </c>
      <c r="I126" s="11">
        <v>6.0</v>
      </c>
      <c r="J126" s="50">
        <v>73116.0</v>
      </c>
      <c r="K126" s="11">
        <v>6.0</v>
      </c>
      <c r="L126" s="11">
        <v>2.0</v>
      </c>
      <c r="M126" s="51">
        <v>444.0</v>
      </c>
      <c r="N126" s="17">
        <v>50.0</v>
      </c>
      <c r="O126" s="24" t="s">
        <v>48</v>
      </c>
      <c r="P126" s="52">
        <v>50520.0</v>
      </c>
      <c r="Q126" s="51">
        <v>862.0</v>
      </c>
      <c r="R126" s="53">
        <v>-80636.42</v>
      </c>
      <c r="S126" s="24" t="s">
        <v>605</v>
      </c>
      <c r="T126" s="11">
        <v>5.0</v>
      </c>
      <c r="U126" s="52">
        <v>51823.0</v>
      </c>
      <c r="V126" s="11">
        <v>6.0</v>
      </c>
      <c r="W126" s="11">
        <v>7.0</v>
      </c>
      <c r="X126" s="48">
        <v>1.835</v>
      </c>
      <c r="Y126" s="11">
        <f t="shared" si="2"/>
        <v>0.01835</v>
      </c>
    </row>
    <row r="127">
      <c r="A127" s="17">
        <v>98.0</v>
      </c>
      <c r="B127" s="24">
        <v>84.0</v>
      </c>
      <c r="C127" s="24">
        <v>4.0</v>
      </c>
      <c r="D127" s="24">
        <v>1.0</v>
      </c>
      <c r="E127" s="24">
        <v>67.0</v>
      </c>
      <c r="F127" s="48">
        <v>4.1217</v>
      </c>
      <c r="G127" s="49">
        <f t="shared" si="1"/>
        <v>0.041217</v>
      </c>
      <c r="H127" s="11">
        <v>9.0</v>
      </c>
      <c r="I127" s="11">
        <v>0.0</v>
      </c>
      <c r="J127" s="50">
        <v>20119.0</v>
      </c>
      <c r="K127" s="11">
        <v>6.0</v>
      </c>
      <c r="L127" s="11">
        <v>5.0</v>
      </c>
      <c r="M127" s="51">
        <v>64.0</v>
      </c>
      <c r="N127" s="17">
        <v>20.0</v>
      </c>
      <c r="O127" s="24" t="s">
        <v>39</v>
      </c>
      <c r="P127" s="52">
        <v>61820.0</v>
      </c>
      <c r="Q127" s="51">
        <v>74.0</v>
      </c>
      <c r="R127" s="53">
        <v>627.54</v>
      </c>
      <c r="S127" s="24" t="s">
        <v>602</v>
      </c>
      <c r="T127" s="11">
        <v>0.0</v>
      </c>
      <c r="U127" s="52">
        <v>81217.0</v>
      </c>
      <c r="V127" s="11">
        <v>8.0</v>
      </c>
      <c r="W127" s="11">
        <v>4.0</v>
      </c>
      <c r="X127" s="48">
        <v>3.54</v>
      </c>
      <c r="Y127" s="11">
        <f t="shared" si="2"/>
        <v>0.0354</v>
      </c>
    </row>
    <row r="128">
      <c r="A128" s="17">
        <v>13.0</v>
      </c>
      <c r="B128" s="24">
        <v>63.0</v>
      </c>
      <c r="C128" s="24">
        <v>9.0</v>
      </c>
      <c r="D128" s="24">
        <v>5.0</v>
      </c>
      <c r="E128" s="24">
        <v>63.0</v>
      </c>
      <c r="F128" s="48">
        <v>5.1777</v>
      </c>
      <c r="G128" s="49">
        <f t="shared" si="1"/>
        <v>0.051777</v>
      </c>
      <c r="H128" s="11">
        <v>0.0</v>
      </c>
      <c r="I128" s="11">
        <v>8.0</v>
      </c>
      <c r="J128" s="50">
        <v>70119.0</v>
      </c>
      <c r="K128" s="11">
        <v>0.0</v>
      </c>
      <c r="L128" s="11">
        <v>3.0</v>
      </c>
      <c r="M128" s="51">
        <v>926.0</v>
      </c>
      <c r="N128" s="17">
        <v>63.0</v>
      </c>
      <c r="O128" s="24" t="s">
        <v>31</v>
      </c>
      <c r="P128" s="52">
        <v>30214.0</v>
      </c>
      <c r="Q128" s="51">
        <v>173.0</v>
      </c>
      <c r="R128" s="53">
        <v>2415.86</v>
      </c>
      <c r="S128" s="24" t="s">
        <v>605</v>
      </c>
      <c r="T128" s="11">
        <v>3.0</v>
      </c>
      <c r="U128" s="52">
        <v>11017.0</v>
      </c>
      <c r="V128" s="11">
        <v>5.0</v>
      </c>
      <c r="W128" s="11">
        <v>4.0</v>
      </c>
      <c r="X128" s="48">
        <v>9.669</v>
      </c>
      <c r="Y128" s="11">
        <f t="shared" si="2"/>
        <v>0.09669</v>
      </c>
    </row>
    <row r="129">
      <c r="A129" s="17">
        <v>77.0</v>
      </c>
      <c r="B129" s="24">
        <v>43.0</v>
      </c>
      <c r="C129" s="24">
        <v>4.0</v>
      </c>
      <c r="D129" s="24">
        <v>8.0</v>
      </c>
      <c r="E129" s="24">
        <v>60.0</v>
      </c>
      <c r="F129" s="48">
        <v>6.749</v>
      </c>
      <c r="G129" s="49">
        <f t="shared" si="1"/>
        <v>0.06749</v>
      </c>
      <c r="H129" s="11">
        <v>9.0</v>
      </c>
      <c r="I129" s="11">
        <v>9.0</v>
      </c>
      <c r="J129" s="50">
        <v>50813.0</v>
      </c>
      <c r="K129" s="11">
        <v>4.0</v>
      </c>
      <c r="L129" s="11">
        <v>4.0</v>
      </c>
      <c r="M129" s="51">
        <v>181.0</v>
      </c>
      <c r="N129" s="17">
        <v>72.0</v>
      </c>
      <c r="O129" s="24" t="s">
        <v>31</v>
      </c>
      <c r="P129" s="52">
        <v>60319.0</v>
      </c>
      <c r="Q129" s="51">
        <v>692.0</v>
      </c>
      <c r="R129" s="53">
        <v>-14838.22</v>
      </c>
      <c r="S129" s="24" t="s">
        <v>602</v>
      </c>
      <c r="T129" s="11">
        <v>8.0</v>
      </c>
      <c r="U129" s="52">
        <v>31516.0</v>
      </c>
      <c r="V129" s="11">
        <v>3.0</v>
      </c>
      <c r="W129" s="11">
        <v>1.0</v>
      </c>
      <c r="X129" s="48">
        <v>9.234</v>
      </c>
      <c r="Y129" s="11">
        <f t="shared" si="2"/>
        <v>0.09234</v>
      </c>
    </row>
    <row r="130">
      <c r="A130" s="17">
        <v>60.0</v>
      </c>
      <c r="B130" s="24">
        <v>43.0</v>
      </c>
      <c r="C130" s="24">
        <v>4.0</v>
      </c>
      <c r="D130" s="24">
        <v>9.0</v>
      </c>
      <c r="E130" s="24">
        <v>67.0</v>
      </c>
      <c r="F130" s="48">
        <v>2.3256</v>
      </c>
      <c r="G130" s="49">
        <f t="shared" si="1"/>
        <v>0.023256</v>
      </c>
      <c r="H130" s="11">
        <v>0.0</v>
      </c>
      <c r="I130" s="11">
        <v>4.0</v>
      </c>
      <c r="J130" s="50">
        <v>11116.0</v>
      </c>
      <c r="K130" s="11">
        <v>3.0</v>
      </c>
      <c r="L130" s="11">
        <v>6.0</v>
      </c>
      <c r="M130" s="51">
        <v>322.0</v>
      </c>
      <c r="N130" s="17">
        <v>58.0</v>
      </c>
      <c r="O130" s="24" t="s">
        <v>39</v>
      </c>
      <c r="P130" s="52">
        <v>120920.0</v>
      </c>
      <c r="Q130" s="51">
        <v>20.0</v>
      </c>
      <c r="R130" s="53">
        <v>-406884.84</v>
      </c>
      <c r="S130" s="24" t="s">
        <v>602</v>
      </c>
      <c r="T130" s="11">
        <v>9.0</v>
      </c>
      <c r="U130" s="52">
        <v>40818.0</v>
      </c>
      <c r="V130" s="11">
        <v>4.0</v>
      </c>
      <c r="W130" s="11">
        <v>0.0</v>
      </c>
      <c r="X130" s="48">
        <v>8.2401</v>
      </c>
      <c r="Y130" s="11">
        <f t="shared" si="2"/>
        <v>0.082401</v>
      </c>
    </row>
    <row r="131">
      <c r="A131" s="17">
        <v>27.0</v>
      </c>
      <c r="B131" s="24">
        <v>84.0</v>
      </c>
      <c r="C131" s="24">
        <v>4.0</v>
      </c>
      <c r="D131" s="24">
        <v>5.0</v>
      </c>
      <c r="E131" s="24">
        <v>67.0</v>
      </c>
      <c r="F131" s="48">
        <v>4.1602</v>
      </c>
      <c r="G131" s="49">
        <f t="shared" si="1"/>
        <v>0.041602</v>
      </c>
      <c r="H131" s="11">
        <v>3.0</v>
      </c>
      <c r="I131" s="11">
        <v>1.0</v>
      </c>
      <c r="J131" s="50">
        <v>91015.0</v>
      </c>
      <c r="K131" s="11">
        <v>0.0</v>
      </c>
      <c r="L131" s="11">
        <v>0.0</v>
      </c>
      <c r="M131" s="51">
        <v>710.0</v>
      </c>
      <c r="N131" s="17">
        <v>41.0</v>
      </c>
      <c r="O131" s="24" t="s">
        <v>606</v>
      </c>
      <c r="P131" s="52">
        <v>30313.0</v>
      </c>
      <c r="Q131" s="51">
        <v>609.0</v>
      </c>
      <c r="R131" s="53">
        <v>261.29</v>
      </c>
      <c r="S131" s="24" t="s">
        <v>602</v>
      </c>
      <c r="T131" s="11">
        <v>2.0</v>
      </c>
      <c r="U131" s="52">
        <v>53119.0</v>
      </c>
      <c r="V131" s="11">
        <v>5.0</v>
      </c>
      <c r="W131" s="11">
        <v>8.0</v>
      </c>
      <c r="X131" s="48">
        <v>7.3443</v>
      </c>
      <c r="Y131" s="11">
        <f t="shared" si="2"/>
        <v>0.073443</v>
      </c>
    </row>
    <row r="132">
      <c r="A132" s="17">
        <v>31.0</v>
      </c>
      <c r="B132" s="24">
        <v>63.0</v>
      </c>
      <c r="C132" s="24">
        <v>9.0</v>
      </c>
      <c r="D132" s="24">
        <v>8.0</v>
      </c>
      <c r="E132" s="24">
        <v>60.0</v>
      </c>
      <c r="F132" s="48">
        <v>5.6938</v>
      </c>
      <c r="G132" s="49">
        <f t="shared" si="1"/>
        <v>0.056938</v>
      </c>
      <c r="H132" s="11">
        <v>0.0</v>
      </c>
      <c r="I132" s="11">
        <v>1.0</v>
      </c>
      <c r="J132" s="50">
        <v>50323.0</v>
      </c>
      <c r="K132" s="11">
        <v>4.0</v>
      </c>
      <c r="L132" s="11">
        <v>8.0</v>
      </c>
      <c r="M132" s="51">
        <v>206.0</v>
      </c>
      <c r="N132" s="17">
        <v>68.0</v>
      </c>
      <c r="O132" s="24" t="s">
        <v>39</v>
      </c>
      <c r="P132" s="52">
        <v>40314.0</v>
      </c>
      <c r="Q132" s="51">
        <v>1.0</v>
      </c>
      <c r="R132" s="53">
        <v>-1721.9</v>
      </c>
      <c r="S132" s="24" t="s">
        <v>602</v>
      </c>
      <c r="T132" s="11">
        <v>9.0</v>
      </c>
      <c r="U132" s="52">
        <v>71520.0</v>
      </c>
      <c r="V132" s="11">
        <v>7.0</v>
      </c>
      <c r="W132" s="11">
        <v>8.0</v>
      </c>
      <c r="X132" s="48">
        <v>6.2623</v>
      </c>
      <c r="Y132" s="11">
        <f t="shared" si="2"/>
        <v>0.062623</v>
      </c>
    </row>
    <row r="133">
      <c r="A133" s="17">
        <v>9.0</v>
      </c>
      <c r="B133" s="24">
        <v>43.0</v>
      </c>
      <c r="C133" s="24">
        <v>5.0</v>
      </c>
      <c r="D133" s="24">
        <v>1.0</v>
      </c>
      <c r="E133" s="24">
        <v>65.0</v>
      </c>
      <c r="F133" s="48">
        <v>2.9926</v>
      </c>
      <c r="G133" s="49">
        <f t="shared" si="1"/>
        <v>0.029926</v>
      </c>
      <c r="H133" s="11">
        <v>2.0</v>
      </c>
      <c r="I133" s="11">
        <v>0.0</v>
      </c>
      <c r="J133" s="50">
        <v>11022.0</v>
      </c>
      <c r="K133" s="11">
        <v>9.0</v>
      </c>
      <c r="L133" s="11">
        <v>0.0</v>
      </c>
      <c r="M133" s="51">
        <v>706.0</v>
      </c>
      <c r="N133" s="17">
        <v>8.0</v>
      </c>
      <c r="O133" s="24" t="s">
        <v>601</v>
      </c>
      <c r="P133" s="52">
        <v>51916.0</v>
      </c>
      <c r="Q133" s="51">
        <v>577.0</v>
      </c>
      <c r="R133" s="53">
        <v>80721.73</v>
      </c>
      <c r="S133" s="24" t="s">
        <v>602</v>
      </c>
      <c r="T133" s="11">
        <v>5.0</v>
      </c>
      <c r="U133" s="52">
        <v>82317.0</v>
      </c>
      <c r="V133" s="11">
        <v>0.0</v>
      </c>
      <c r="W133" s="11">
        <v>7.0</v>
      </c>
      <c r="X133" s="48">
        <v>9.8843</v>
      </c>
      <c r="Y133" s="11">
        <f t="shared" si="2"/>
        <v>0.098843</v>
      </c>
    </row>
    <row r="134">
      <c r="A134" s="17">
        <v>38.0</v>
      </c>
      <c r="B134" s="24">
        <v>63.0</v>
      </c>
      <c r="C134" s="24">
        <v>9.0</v>
      </c>
      <c r="D134" s="24">
        <v>6.0</v>
      </c>
      <c r="E134" s="24">
        <v>65.0</v>
      </c>
      <c r="F134" s="48">
        <v>6.608</v>
      </c>
      <c r="G134" s="49">
        <f t="shared" si="1"/>
        <v>0.06608</v>
      </c>
      <c r="H134" s="11">
        <v>5.0</v>
      </c>
      <c r="I134" s="11">
        <v>5.0</v>
      </c>
      <c r="J134" s="50">
        <v>40121.0</v>
      </c>
      <c r="K134" s="11">
        <v>0.0</v>
      </c>
      <c r="L134" s="11">
        <v>9.0</v>
      </c>
      <c r="M134" s="51">
        <v>430.0</v>
      </c>
      <c r="N134" s="17">
        <v>27.0</v>
      </c>
      <c r="O134" s="24" t="s">
        <v>603</v>
      </c>
      <c r="P134" s="52">
        <v>80123.0</v>
      </c>
      <c r="Q134" s="51">
        <v>880.0</v>
      </c>
      <c r="R134" s="53">
        <v>205406.8</v>
      </c>
      <c r="S134" s="24" t="s">
        <v>604</v>
      </c>
      <c r="T134" s="11">
        <v>6.0</v>
      </c>
      <c r="U134" s="52">
        <v>41814.0</v>
      </c>
      <c r="V134" s="11">
        <v>9.0</v>
      </c>
      <c r="W134" s="11">
        <v>7.0</v>
      </c>
      <c r="X134" s="48">
        <v>5.9608</v>
      </c>
      <c r="Y134" s="11">
        <f t="shared" si="2"/>
        <v>0.059608</v>
      </c>
    </row>
    <row r="135">
      <c r="A135" s="17">
        <v>6.0</v>
      </c>
      <c r="B135" s="24">
        <v>84.0</v>
      </c>
      <c r="C135" s="24">
        <v>4.0</v>
      </c>
      <c r="D135" s="24">
        <v>9.0</v>
      </c>
      <c r="E135" s="24">
        <v>67.0</v>
      </c>
      <c r="F135" s="48">
        <v>9.4327</v>
      </c>
      <c r="G135" s="49">
        <f t="shared" si="1"/>
        <v>0.094327</v>
      </c>
      <c r="H135" s="11">
        <v>0.0</v>
      </c>
      <c r="I135" s="11">
        <v>8.0</v>
      </c>
      <c r="J135" s="50">
        <v>90616.0</v>
      </c>
      <c r="K135" s="11">
        <v>7.0</v>
      </c>
      <c r="L135" s="11">
        <v>2.0</v>
      </c>
      <c r="M135" s="51">
        <v>936.0</v>
      </c>
      <c r="N135" s="17">
        <v>95.0</v>
      </c>
      <c r="O135" s="24" t="s">
        <v>48</v>
      </c>
      <c r="P135" s="52">
        <v>101615.0</v>
      </c>
      <c r="Q135" s="51">
        <v>219.0</v>
      </c>
      <c r="R135" s="53">
        <v>802.11</v>
      </c>
      <c r="S135" s="24" t="s">
        <v>600</v>
      </c>
      <c r="T135" s="11">
        <v>2.0</v>
      </c>
      <c r="U135" s="52">
        <v>103121.0</v>
      </c>
      <c r="V135" s="11">
        <v>4.0</v>
      </c>
      <c r="W135" s="11">
        <v>3.0</v>
      </c>
      <c r="X135" s="48">
        <v>3.805</v>
      </c>
      <c r="Y135" s="11">
        <f t="shared" si="2"/>
        <v>0.03805</v>
      </c>
    </row>
    <row r="136">
      <c r="A136" s="17">
        <v>97.0</v>
      </c>
      <c r="B136" s="24">
        <v>84.0</v>
      </c>
      <c r="C136" s="24">
        <v>5.0</v>
      </c>
      <c r="D136" s="24">
        <v>3.0</v>
      </c>
      <c r="E136" s="24">
        <v>62.0</v>
      </c>
      <c r="F136" s="48">
        <v>9.2153</v>
      </c>
      <c r="G136" s="49">
        <f t="shared" si="1"/>
        <v>0.092153</v>
      </c>
      <c r="H136" s="11">
        <v>2.0</v>
      </c>
      <c r="I136" s="11">
        <v>7.0</v>
      </c>
      <c r="J136" s="50">
        <v>81213.0</v>
      </c>
      <c r="K136" s="11">
        <v>9.0</v>
      </c>
      <c r="L136" s="11">
        <v>8.0</v>
      </c>
      <c r="M136" s="51">
        <v>368.0</v>
      </c>
      <c r="N136" s="17">
        <v>24.0</v>
      </c>
      <c r="O136" s="24" t="s">
        <v>31</v>
      </c>
      <c r="P136" s="52">
        <v>11621.0</v>
      </c>
      <c r="Q136" s="51">
        <v>974.0</v>
      </c>
      <c r="R136" s="53">
        <v>-39792.13</v>
      </c>
      <c r="S136" s="24" t="s">
        <v>600</v>
      </c>
      <c r="T136" s="11">
        <v>1.0</v>
      </c>
      <c r="U136" s="52">
        <v>60723.0</v>
      </c>
      <c r="V136" s="11">
        <v>7.0</v>
      </c>
      <c r="W136" s="11">
        <v>5.0</v>
      </c>
      <c r="X136" s="48">
        <v>1.4889</v>
      </c>
      <c r="Y136" s="11">
        <f t="shared" si="2"/>
        <v>0.014889</v>
      </c>
    </row>
    <row r="137">
      <c r="A137" s="17">
        <v>58.0</v>
      </c>
      <c r="B137" s="24">
        <v>23.0</v>
      </c>
      <c r="C137" s="24">
        <v>1.0</v>
      </c>
      <c r="D137" s="24">
        <v>3.0</v>
      </c>
      <c r="E137" s="24">
        <v>62.0</v>
      </c>
      <c r="F137" s="48">
        <v>5.937</v>
      </c>
      <c r="G137" s="49">
        <f t="shared" si="1"/>
        <v>0.05937</v>
      </c>
      <c r="H137" s="11">
        <v>7.0</v>
      </c>
      <c r="I137" s="11">
        <v>2.0</v>
      </c>
      <c r="J137" s="50">
        <v>110422.0</v>
      </c>
      <c r="K137" s="11">
        <v>0.0</v>
      </c>
      <c r="L137" s="11">
        <v>1.0</v>
      </c>
      <c r="M137" s="51">
        <v>591.0</v>
      </c>
      <c r="N137" s="17">
        <v>46.0</v>
      </c>
      <c r="O137" s="24" t="s">
        <v>606</v>
      </c>
      <c r="P137" s="52">
        <v>22415.0</v>
      </c>
      <c r="Q137" s="51">
        <v>958.0</v>
      </c>
      <c r="R137" s="53">
        <v>-674.81</v>
      </c>
      <c r="S137" s="24" t="s">
        <v>600</v>
      </c>
      <c r="T137" s="11">
        <v>5.0</v>
      </c>
      <c r="U137" s="52">
        <v>60522.0</v>
      </c>
      <c r="V137" s="11">
        <v>8.0</v>
      </c>
      <c r="W137" s="11">
        <v>5.0</v>
      </c>
      <c r="X137" s="48">
        <v>8.3664</v>
      </c>
      <c r="Y137" s="11">
        <f t="shared" si="2"/>
        <v>0.083664</v>
      </c>
    </row>
    <row r="138">
      <c r="A138" s="17">
        <v>76.0</v>
      </c>
      <c r="B138" s="24">
        <v>84.0</v>
      </c>
      <c r="C138" s="24">
        <v>5.0</v>
      </c>
      <c r="D138" s="24">
        <v>8.0</v>
      </c>
      <c r="E138" s="24">
        <v>60.0</v>
      </c>
      <c r="F138" s="48">
        <v>6.8036</v>
      </c>
      <c r="G138" s="49">
        <f t="shared" si="1"/>
        <v>0.068036</v>
      </c>
      <c r="H138" s="11">
        <v>1.0</v>
      </c>
      <c r="I138" s="11">
        <v>6.0</v>
      </c>
      <c r="J138" s="50">
        <v>31220.0</v>
      </c>
      <c r="K138" s="11">
        <v>4.0</v>
      </c>
      <c r="L138" s="11">
        <v>9.0</v>
      </c>
      <c r="M138" s="51">
        <v>734.0</v>
      </c>
      <c r="N138" s="17">
        <v>28.0</v>
      </c>
      <c r="O138" s="24" t="s">
        <v>39</v>
      </c>
      <c r="P138" s="52">
        <v>122618.0</v>
      </c>
      <c r="Q138" s="51">
        <v>736.0</v>
      </c>
      <c r="R138" s="53">
        <v>-2235.35</v>
      </c>
      <c r="S138" s="24" t="s">
        <v>602</v>
      </c>
      <c r="T138" s="11">
        <v>8.0</v>
      </c>
      <c r="U138" s="52">
        <v>61713.0</v>
      </c>
      <c r="V138" s="11">
        <v>5.0</v>
      </c>
      <c r="W138" s="11">
        <v>3.0</v>
      </c>
      <c r="X138" s="48">
        <v>5.9017</v>
      </c>
      <c r="Y138" s="11">
        <f t="shared" si="2"/>
        <v>0.059017</v>
      </c>
    </row>
    <row r="139">
      <c r="A139" s="17">
        <v>89.0</v>
      </c>
      <c r="B139" s="24">
        <v>23.0</v>
      </c>
      <c r="C139" s="24">
        <v>1.0</v>
      </c>
      <c r="D139" s="24">
        <v>5.0</v>
      </c>
      <c r="E139" s="24">
        <v>64.0</v>
      </c>
      <c r="F139" s="48">
        <v>1.8839</v>
      </c>
      <c r="G139" s="49">
        <f t="shared" si="1"/>
        <v>0.018839</v>
      </c>
      <c r="H139" s="11">
        <v>2.0</v>
      </c>
      <c r="I139" s="11">
        <v>6.0</v>
      </c>
      <c r="J139" s="50">
        <v>62222.0</v>
      </c>
      <c r="K139" s="11">
        <v>9.0</v>
      </c>
      <c r="L139" s="11">
        <v>2.0</v>
      </c>
      <c r="M139" s="51">
        <v>351.0</v>
      </c>
      <c r="N139" s="17">
        <v>17.0</v>
      </c>
      <c r="O139" s="24" t="s">
        <v>601</v>
      </c>
      <c r="P139" s="52">
        <v>110921.0</v>
      </c>
      <c r="Q139" s="51">
        <v>799.0</v>
      </c>
      <c r="R139" s="53">
        <v>3508.26</v>
      </c>
      <c r="S139" s="24" t="s">
        <v>600</v>
      </c>
      <c r="T139" s="11">
        <v>3.0</v>
      </c>
      <c r="U139" s="52">
        <v>110723.0</v>
      </c>
      <c r="V139" s="11">
        <v>9.0</v>
      </c>
      <c r="W139" s="11">
        <v>7.0</v>
      </c>
      <c r="X139" s="48">
        <v>1.7003</v>
      </c>
      <c r="Y139" s="11">
        <f t="shared" si="2"/>
        <v>0.017003</v>
      </c>
    </row>
    <row r="140">
      <c r="A140" s="17">
        <v>40.0</v>
      </c>
      <c r="B140" s="24">
        <v>43.0</v>
      </c>
      <c r="C140" s="24">
        <v>6.0</v>
      </c>
      <c r="D140" s="24">
        <v>4.0</v>
      </c>
      <c r="E140" s="24">
        <v>64.0</v>
      </c>
      <c r="F140" s="48">
        <v>4.9067</v>
      </c>
      <c r="G140" s="49">
        <f t="shared" si="1"/>
        <v>0.049067</v>
      </c>
      <c r="H140" s="11">
        <v>0.0</v>
      </c>
      <c r="I140" s="11">
        <v>9.0</v>
      </c>
      <c r="J140" s="50">
        <v>61316.0</v>
      </c>
      <c r="K140" s="11">
        <v>0.0</v>
      </c>
      <c r="L140" s="11">
        <v>6.0</v>
      </c>
      <c r="M140" s="51">
        <v>901.0</v>
      </c>
      <c r="N140" s="17">
        <v>64.0</v>
      </c>
      <c r="O140" s="24" t="s">
        <v>601</v>
      </c>
      <c r="P140" s="52">
        <v>111916.0</v>
      </c>
      <c r="Q140" s="51">
        <v>72.0</v>
      </c>
      <c r="R140" s="53">
        <v>-902606.99</v>
      </c>
      <c r="S140" s="24" t="s">
        <v>600</v>
      </c>
      <c r="T140" s="11">
        <v>8.0</v>
      </c>
      <c r="U140" s="52">
        <v>90917.0</v>
      </c>
      <c r="V140" s="11">
        <v>7.0</v>
      </c>
      <c r="W140" s="11">
        <v>0.0</v>
      </c>
      <c r="X140" s="48">
        <v>9.332</v>
      </c>
      <c r="Y140" s="11">
        <f t="shared" si="2"/>
        <v>0.09332</v>
      </c>
    </row>
    <row r="141">
      <c r="A141" s="17">
        <v>37.0</v>
      </c>
      <c r="B141" s="24">
        <v>64.0</v>
      </c>
      <c r="C141" s="24">
        <v>1.0</v>
      </c>
      <c r="D141" s="24">
        <v>4.0</v>
      </c>
      <c r="E141" s="24">
        <v>66.0</v>
      </c>
      <c r="F141" s="48">
        <v>2.7795</v>
      </c>
      <c r="G141" s="49">
        <f t="shared" si="1"/>
        <v>0.027795</v>
      </c>
      <c r="H141" s="11">
        <v>3.0</v>
      </c>
      <c r="I141" s="11">
        <v>3.0</v>
      </c>
      <c r="J141" s="50">
        <v>90822.0</v>
      </c>
      <c r="K141" s="11">
        <v>8.0</v>
      </c>
      <c r="L141" s="11">
        <v>8.0</v>
      </c>
      <c r="M141" s="51">
        <v>747.0</v>
      </c>
      <c r="N141" s="17">
        <v>64.0</v>
      </c>
      <c r="O141" s="24" t="s">
        <v>606</v>
      </c>
      <c r="P141" s="52">
        <v>111421.0</v>
      </c>
      <c r="Q141" s="51">
        <v>914.0</v>
      </c>
      <c r="R141" s="53">
        <v>-503.4</v>
      </c>
      <c r="S141" s="24" t="s">
        <v>605</v>
      </c>
      <c r="T141" s="11">
        <v>0.0</v>
      </c>
      <c r="U141" s="52">
        <v>91623.0</v>
      </c>
      <c r="V141" s="11">
        <v>4.0</v>
      </c>
      <c r="W141" s="11">
        <v>0.0</v>
      </c>
      <c r="X141" s="48">
        <v>6.6205</v>
      </c>
      <c r="Y141" s="11">
        <f t="shared" si="2"/>
        <v>0.066205</v>
      </c>
    </row>
    <row r="142">
      <c r="A142" s="17">
        <v>90.0</v>
      </c>
      <c r="B142" s="24">
        <v>64.0</v>
      </c>
      <c r="C142" s="24">
        <v>1.0</v>
      </c>
      <c r="D142" s="24">
        <v>5.0</v>
      </c>
      <c r="E142" s="24">
        <v>63.0</v>
      </c>
      <c r="F142" s="48">
        <v>5.2701</v>
      </c>
      <c r="G142" s="49">
        <f t="shared" si="1"/>
        <v>0.052701</v>
      </c>
      <c r="H142" s="11">
        <v>3.0</v>
      </c>
      <c r="I142" s="11">
        <v>0.0</v>
      </c>
      <c r="J142" s="50">
        <v>52720.0</v>
      </c>
      <c r="K142" s="11">
        <v>2.0</v>
      </c>
      <c r="L142" s="11">
        <v>6.0</v>
      </c>
      <c r="M142" s="51">
        <v>377.0</v>
      </c>
      <c r="N142" s="17">
        <v>63.0</v>
      </c>
      <c r="O142" s="24" t="s">
        <v>31</v>
      </c>
      <c r="P142" s="52">
        <v>31319.0</v>
      </c>
      <c r="Q142" s="51">
        <v>658.0</v>
      </c>
      <c r="R142" s="53">
        <v>-80853.72</v>
      </c>
      <c r="S142" s="24" t="s">
        <v>604</v>
      </c>
      <c r="T142" s="11">
        <v>0.0</v>
      </c>
      <c r="U142" s="52">
        <v>52215.0</v>
      </c>
      <c r="V142" s="11">
        <v>9.0</v>
      </c>
      <c r="W142" s="11">
        <v>8.0</v>
      </c>
      <c r="X142" s="48">
        <v>3.8647</v>
      </c>
      <c r="Y142" s="11">
        <f t="shared" si="2"/>
        <v>0.038647</v>
      </c>
    </row>
    <row r="143">
      <c r="A143" s="17">
        <v>49.0</v>
      </c>
      <c r="B143" s="24">
        <v>64.0</v>
      </c>
      <c r="C143" s="24">
        <v>1.0</v>
      </c>
      <c r="D143" s="24">
        <v>7.0</v>
      </c>
      <c r="E143" s="24">
        <v>67.0</v>
      </c>
      <c r="F143" s="48">
        <v>9.72</v>
      </c>
      <c r="G143" s="49">
        <f t="shared" si="1"/>
        <v>0.0972</v>
      </c>
      <c r="H143" s="11">
        <v>1.0</v>
      </c>
      <c r="I143" s="11">
        <v>2.0</v>
      </c>
      <c r="J143" s="50">
        <v>22014.0</v>
      </c>
      <c r="K143" s="11">
        <v>5.0</v>
      </c>
      <c r="L143" s="11">
        <v>1.0</v>
      </c>
      <c r="M143" s="51">
        <v>994.0</v>
      </c>
      <c r="N143" s="17">
        <v>76.0</v>
      </c>
      <c r="O143" s="24" t="s">
        <v>600</v>
      </c>
      <c r="P143" s="52">
        <v>11221.0</v>
      </c>
      <c r="Q143" s="51">
        <v>610.0</v>
      </c>
      <c r="R143" s="53">
        <v>-215.97</v>
      </c>
      <c r="S143" s="24" t="s">
        <v>604</v>
      </c>
      <c r="T143" s="11">
        <v>4.0</v>
      </c>
      <c r="U143" s="52">
        <v>22822.0</v>
      </c>
      <c r="V143" s="11">
        <v>1.0</v>
      </c>
      <c r="W143" s="11">
        <v>2.0</v>
      </c>
      <c r="X143" s="48">
        <v>6.5801</v>
      </c>
      <c r="Y143" s="11">
        <f t="shared" si="2"/>
        <v>0.065801</v>
      </c>
    </row>
    <row r="144">
      <c r="A144" s="17">
        <v>67.0</v>
      </c>
      <c r="B144" s="24">
        <v>43.0</v>
      </c>
      <c r="C144" s="24">
        <v>7.0</v>
      </c>
      <c r="D144" s="24">
        <v>1.0</v>
      </c>
      <c r="E144" s="24">
        <v>65.0</v>
      </c>
      <c r="F144" s="48">
        <v>7.8958</v>
      </c>
      <c r="G144" s="49">
        <f t="shared" si="1"/>
        <v>0.078958</v>
      </c>
      <c r="H144" s="11">
        <v>3.0</v>
      </c>
      <c r="I144" s="11">
        <v>5.0</v>
      </c>
      <c r="J144" s="50">
        <v>12223.0</v>
      </c>
      <c r="K144" s="11">
        <v>9.0</v>
      </c>
      <c r="L144" s="11">
        <v>6.0</v>
      </c>
      <c r="M144" s="51">
        <v>864.0</v>
      </c>
      <c r="N144" s="17">
        <v>13.0</v>
      </c>
      <c r="O144" s="24" t="s">
        <v>603</v>
      </c>
      <c r="P144" s="52">
        <v>50413.0</v>
      </c>
      <c r="Q144" s="51">
        <v>870.0</v>
      </c>
      <c r="R144" s="53">
        <v>2187.3</v>
      </c>
      <c r="S144" s="24" t="s">
        <v>600</v>
      </c>
      <c r="T144" s="11">
        <v>3.0</v>
      </c>
      <c r="U144" s="52">
        <v>30413.0</v>
      </c>
      <c r="V144" s="11">
        <v>9.0</v>
      </c>
      <c r="W144" s="11">
        <v>0.0</v>
      </c>
      <c r="X144" s="48">
        <v>8.8754</v>
      </c>
      <c r="Y144" s="11">
        <f t="shared" si="2"/>
        <v>0.088754</v>
      </c>
    </row>
    <row r="145">
      <c r="A145" s="17">
        <v>10.0</v>
      </c>
      <c r="B145" s="24">
        <v>64.0</v>
      </c>
      <c r="C145" s="24">
        <v>2.0</v>
      </c>
      <c r="D145" s="24">
        <v>1.0</v>
      </c>
      <c r="E145" s="24">
        <v>64.0</v>
      </c>
      <c r="F145" s="48">
        <v>7.3229</v>
      </c>
      <c r="G145" s="49">
        <f t="shared" si="1"/>
        <v>0.073229</v>
      </c>
      <c r="H145" s="11">
        <v>6.0</v>
      </c>
      <c r="I145" s="11">
        <v>7.0</v>
      </c>
      <c r="J145" s="50">
        <v>61423.0</v>
      </c>
      <c r="K145" s="11">
        <v>7.0</v>
      </c>
      <c r="L145" s="11">
        <v>8.0</v>
      </c>
      <c r="M145" s="51">
        <v>889.0</v>
      </c>
      <c r="N145" s="17">
        <v>20.0</v>
      </c>
      <c r="O145" s="24" t="s">
        <v>31</v>
      </c>
      <c r="P145" s="52">
        <v>100815.0</v>
      </c>
      <c r="Q145" s="51">
        <v>670.0</v>
      </c>
      <c r="R145" s="53">
        <v>73761.26</v>
      </c>
      <c r="S145" s="24" t="s">
        <v>604</v>
      </c>
      <c r="T145" s="11">
        <v>8.0</v>
      </c>
      <c r="U145" s="52">
        <v>62818.0</v>
      </c>
      <c r="V145" s="11">
        <v>2.0</v>
      </c>
      <c r="W145" s="11">
        <v>2.0</v>
      </c>
      <c r="X145" s="48">
        <v>3.1845</v>
      </c>
      <c r="Y145" s="11">
        <f t="shared" si="2"/>
        <v>0.031845</v>
      </c>
    </row>
    <row r="146">
      <c r="A146" s="17">
        <v>16.0</v>
      </c>
      <c r="B146" s="24">
        <v>64.0</v>
      </c>
      <c r="C146" s="24">
        <v>2.0</v>
      </c>
      <c r="D146" s="24">
        <v>2.0</v>
      </c>
      <c r="E146" s="24">
        <v>63.0</v>
      </c>
      <c r="F146" s="48">
        <v>2.8709</v>
      </c>
      <c r="G146" s="49">
        <f t="shared" si="1"/>
        <v>0.028709</v>
      </c>
      <c r="H146" s="11">
        <v>6.0</v>
      </c>
      <c r="I146" s="11">
        <v>0.0</v>
      </c>
      <c r="J146" s="50">
        <v>110318.0</v>
      </c>
      <c r="K146" s="11">
        <v>6.0</v>
      </c>
      <c r="L146" s="11">
        <v>1.0</v>
      </c>
      <c r="M146" s="51">
        <v>597.0</v>
      </c>
      <c r="N146" s="17">
        <v>81.0</v>
      </c>
      <c r="O146" s="24" t="s">
        <v>606</v>
      </c>
      <c r="P146" s="52">
        <v>61513.0</v>
      </c>
      <c r="Q146" s="51">
        <v>452.0</v>
      </c>
      <c r="R146" s="53">
        <v>-2833.54</v>
      </c>
      <c r="S146" s="24" t="s">
        <v>605</v>
      </c>
      <c r="T146" s="11">
        <v>5.0</v>
      </c>
      <c r="U146" s="52">
        <v>50121.0</v>
      </c>
      <c r="V146" s="11">
        <v>9.0</v>
      </c>
      <c r="W146" s="11">
        <v>1.0</v>
      </c>
      <c r="X146" s="48">
        <v>1.7973</v>
      </c>
      <c r="Y146" s="11">
        <f t="shared" si="2"/>
        <v>0.017973</v>
      </c>
    </row>
    <row r="147">
      <c r="A147" s="17">
        <v>22.0</v>
      </c>
      <c r="B147" s="24">
        <v>43.0</v>
      </c>
      <c r="C147" s="24">
        <v>7.0</v>
      </c>
      <c r="D147" s="24">
        <v>5.0</v>
      </c>
      <c r="E147" s="24">
        <v>66.0</v>
      </c>
      <c r="F147" s="48">
        <v>6.3157</v>
      </c>
      <c r="G147" s="49">
        <f t="shared" si="1"/>
        <v>0.063157</v>
      </c>
      <c r="H147" s="11">
        <v>6.0</v>
      </c>
      <c r="I147" s="11">
        <v>5.0</v>
      </c>
      <c r="J147" s="50">
        <v>61119.0</v>
      </c>
      <c r="K147" s="11">
        <v>7.0</v>
      </c>
      <c r="L147" s="11">
        <v>9.0</v>
      </c>
      <c r="M147" s="51">
        <v>737.0</v>
      </c>
      <c r="N147" s="17">
        <v>41.0</v>
      </c>
      <c r="O147" s="24" t="s">
        <v>48</v>
      </c>
      <c r="P147" s="52">
        <v>41323.0</v>
      </c>
      <c r="Q147" s="51">
        <v>91.0</v>
      </c>
      <c r="R147" s="53">
        <v>785030.21</v>
      </c>
      <c r="S147" s="24" t="s">
        <v>604</v>
      </c>
      <c r="T147" s="11">
        <v>4.0</v>
      </c>
      <c r="U147" s="52">
        <v>71715.0</v>
      </c>
      <c r="V147" s="11">
        <v>6.0</v>
      </c>
      <c r="W147" s="11">
        <v>9.0</v>
      </c>
      <c r="X147" s="48">
        <v>5.2495</v>
      </c>
      <c r="Y147" s="11">
        <f t="shared" si="2"/>
        <v>0.052495</v>
      </c>
    </row>
    <row r="148">
      <c r="A148" s="17">
        <v>87.0</v>
      </c>
      <c r="B148" s="24">
        <v>64.0</v>
      </c>
      <c r="C148" s="24">
        <v>2.0</v>
      </c>
      <c r="D148" s="24">
        <v>6.0</v>
      </c>
      <c r="E148" s="24">
        <v>61.0</v>
      </c>
      <c r="F148" s="48">
        <v>5.6805</v>
      </c>
      <c r="G148" s="49">
        <f t="shared" si="1"/>
        <v>0.056805</v>
      </c>
      <c r="H148" s="11">
        <v>7.0</v>
      </c>
      <c r="I148" s="11">
        <v>6.0</v>
      </c>
      <c r="J148" s="50">
        <v>51215.0</v>
      </c>
      <c r="K148" s="11">
        <v>6.0</v>
      </c>
      <c r="L148" s="11">
        <v>7.0</v>
      </c>
      <c r="M148" s="51">
        <v>945.0</v>
      </c>
      <c r="N148" s="17">
        <v>82.0</v>
      </c>
      <c r="O148" s="24" t="s">
        <v>600</v>
      </c>
      <c r="P148" s="52">
        <v>110515.0</v>
      </c>
      <c r="Q148" s="51">
        <v>614.0</v>
      </c>
      <c r="R148" s="53">
        <v>21463.42</v>
      </c>
      <c r="S148" s="24" t="s">
        <v>600</v>
      </c>
      <c r="T148" s="11">
        <v>9.0</v>
      </c>
      <c r="U148" s="52">
        <v>43016.0</v>
      </c>
      <c r="V148" s="11">
        <v>3.0</v>
      </c>
      <c r="W148" s="11">
        <v>1.0</v>
      </c>
      <c r="X148" s="48">
        <v>7.3029</v>
      </c>
      <c r="Y148" s="11">
        <f t="shared" si="2"/>
        <v>0.073029</v>
      </c>
    </row>
    <row r="149">
      <c r="A149" s="17">
        <v>80.0</v>
      </c>
      <c r="B149" s="24">
        <v>23.0</v>
      </c>
      <c r="C149" s="24">
        <v>3.0</v>
      </c>
      <c r="D149" s="24">
        <v>2.0</v>
      </c>
      <c r="E149" s="24">
        <v>61.0</v>
      </c>
      <c r="F149" s="48">
        <v>6.3662</v>
      </c>
      <c r="G149" s="49">
        <f t="shared" si="1"/>
        <v>0.063662</v>
      </c>
      <c r="H149" s="11">
        <v>6.0</v>
      </c>
      <c r="I149" s="11">
        <v>0.0</v>
      </c>
      <c r="J149" s="50">
        <v>92521.0</v>
      </c>
      <c r="K149" s="11">
        <v>6.0</v>
      </c>
      <c r="L149" s="11">
        <v>9.0</v>
      </c>
      <c r="M149" s="51">
        <v>993.0</v>
      </c>
      <c r="N149" s="17">
        <v>76.0</v>
      </c>
      <c r="O149" s="24" t="s">
        <v>603</v>
      </c>
      <c r="P149" s="52">
        <v>71420.0</v>
      </c>
      <c r="Q149" s="51">
        <v>385.0</v>
      </c>
      <c r="R149" s="53">
        <v>29795.46</v>
      </c>
      <c r="S149" s="24" t="s">
        <v>604</v>
      </c>
      <c r="T149" s="11">
        <v>6.0</v>
      </c>
      <c r="U149" s="52">
        <v>120521.0</v>
      </c>
      <c r="V149" s="11">
        <v>0.0</v>
      </c>
      <c r="W149" s="11">
        <v>0.0</v>
      </c>
      <c r="X149" s="48">
        <v>6.2832</v>
      </c>
      <c r="Y149" s="11">
        <f t="shared" si="2"/>
        <v>0.062832</v>
      </c>
    </row>
    <row r="150">
      <c r="A150" s="17">
        <v>32.0</v>
      </c>
      <c r="B150" s="24">
        <v>84.0</v>
      </c>
      <c r="C150" s="24">
        <v>7.0</v>
      </c>
      <c r="D150" s="24">
        <v>7.0</v>
      </c>
      <c r="E150" s="24">
        <v>67.0</v>
      </c>
      <c r="F150" s="48">
        <v>1.5233</v>
      </c>
      <c r="G150" s="49">
        <f t="shared" si="1"/>
        <v>0.015233</v>
      </c>
      <c r="H150" s="11">
        <v>3.0</v>
      </c>
      <c r="I150" s="11">
        <v>1.0</v>
      </c>
      <c r="J150" s="50">
        <v>30517.0</v>
      </c>
      <c r="K150" s="11">
        <v>8.0</v>
      </c>
      <c r="L150" s="11">
        <v>1.0</v>
      </c>
      <c r="M150" s="51">
        <v>491.0</v>
      </c>
      <c r="N150" s="17">
        <v>67.0</v>
      </c>
      <c r="O150" s="24" t="s">
        <v>601</v>
      </c>
      <c r="P150" s="52">
        <v>10216.0</v>
      </c>
      <c r="Q150" s="51">
        <v>32.0</v>
      </c>
      <c r="R150" s="53">
        <v>92961.8</v>
      </c>
      <c r="S150" s="24" t="s">
        <v>600</v>
      </c>
      <c r="T150" s="11">
        <v>2.0</v>
      </c>
      <c r="U150" s="52">
        <v>22817.0</v>
      </c>
      <c r="V150" s="11">
        <v>6.0</v>
      </c>
      <c r="W150" s="11">
        <v>6.0</v>
      </c>
      <c r="X150" s="48">
        <v>3.8349</v>
      </c>
      <c r="Y150" s="11">
        <f t="shared" si="2"/>
        <v>0.038349</v>
      </c>
    </row>
    <row r="151">
      <c r="A151" s="17">
        <v>52.0</v>
      </c>
      <c r="B151" s="24">
        <v>23.0</v>
      </c>
      <c r="C151" s="24">
        <v>3.0</v>
      </c>
      <c r="D151" s="24">
        <v>6.0</v>
      </c>
      <c r="E151" s="24">
        <v>67.0</v>
      </c>
      <c r="F151" s="48">
        <v>8.9018</v>
      </c>
      <c r="G151" s="49">
        <f t="shared" si="1"/>
        <v>0.089018</v>
      </c>
      <c r="H151" s="11">
        <v>5.0</v>
      </c>
      <c r="I151" s="11">
        <v>2.0</v>
      </c>
      <c r="J151" s="50">
        <v>71619.0</v>
      </c>
      <c r="K151" s="11">
        <v>2.0</v>
      </c>
      <c r="L151" s="11">
        <v>5.0</v>
      </c>
      <c r="M151" s="51">
        <v>345.0</v>
      </c>
      <c r="N151" s="17">
        <v>34.0</v>
      </c>
      <c r="O151" s="24" t="s">
        <v>600</v>
      </c>
      <c r="P151" s="52">
        <v>42123.0</v>
      </c>
      <c r="Q151" s="51">
        <v>683.0</v>
      </c>
      <c r="R151" s="53">
        <v>3571.17</v>
      </c>
      <c r="S151" s="24" t="s">
        <v>602</v>
      </c>
      <c r="T151" s="11">
        <v>4.0</v>
      </c>
      <c r="U151" s="52">
        <v>120123.0</v>
      </c>
      <c r="V151" s="11">
        <v>1.0</v>
      </c>
      <c r="W151" s="11">
        <v>2.0</v>
      </c>
      <c r="X151" s="48">
        <v>1.6653</v>
      </c>
      <c r="Y151" s="11">
        <f t="shared" si="2"/>
        <v>0.016653</v>
      </c>
    </row>
    <row r="152">
      <c r="A152" s="17">
        <v>9.0</v>
      </c>
      <c r="B152" s="24">
        <v>43.0</v>
      </c>
      <c r="C152" s="24">
        <v>8.0</v>
      </c>
      <c r="D152" s="24">
        <v>6.0</v>
      </c>
      <c r="E152" s="24">
        <v>67.0</v>
      </c>
      <c r="F152" s="48">
        <v>2.1051</v>
      </c>
      <c r="G152" s="49">
        <f t="shared" si="1"/>
        <v>0.021051</v>
      </c>
      <c r="H152" s="11">
        <v>4.0</v>
      </c>
      <c r="I152" s="11">
        <v>5.0</v>
      </c>
      <c r="J152" s="50">
        <v>40213.0</v>
      </c>
      <c r="K152" s="11">
        <v>9.0</v>
      </c>
      <c r="L152" s="11">
        <v>8.0</v>
      </c>
      <c r="M152" s="51">
        <v>448.0</v>
      </c>
      <c r="N152" s="17">
        <v>60.0</v>
      </c>
      <c r="O152" s="24" t="s">
        <v>603</v>
      </c>
      <c r="P152" s="52">
        <v>102117.0</v>
      </c>
      <c r="Q152" s="51">
        <v>512.0</v>
      </c>
      <c r="R152" s="53">
        <v>-7051.62</v>
      </c>
      <c r="S152" s="24" t="s">
        <v>604</v>
      </c>
      <c r="T152" s="11">
        <v>1.0</v>
      </c>
      <c r="U152" s="52">
        <v>62021.0</v>
      </c>
      <c r="V152" s="11">
        <v>0.0</v>
      </c>
      <c r="W152" s="11">
        <v>4.0</v>
      </c>
      <c r="X152" s="48">
        <v>3.6788</v>
      </c>
      <c r="Y152" s="11">
        <f t="shared" si="2"/>
        <v>0.036788</v>
      </c>
    </row>
    <row r="153">
      <c r="A153" s="17">
        <v>87.0</v>
      </c>
      <c r="B153" s="24">
        <v>23.0</v>
      </c>
      <c r="C153" s="24">
        <v>3.0</v>
      </c>
      <c r="D153" s="24">
        <v>9.0</v>
      </c>
      <c r="E153" s="24">
        <v>63.0</v>
      </c>
      <c r="F153" s="48">
        <v>4.767</v>
      </c>
      <c r="G153" s="49">
        <f t="shared" si="1"/>
        <v>0.04767</v>
      </c>
      <c r="H153" s="11">
        <v>4.0</v>
      </c>
      <c r="I153" s="11">
        <v>4.0</v>
      </c>
      <c r="J153" s="50">
        <v>31221.0</v>
      </c>
      <c r="K153" s="11">
        <v>9.0</v>
      </c>
      <c r="L153" s="11">
        <v>2.0</v>
      </c>
      <c r="M153" s="51">
        <v>174.0</v>
      </c>
      <c r="N153" s="17">
        <v>60.0</v>
      </c>
      <c r="O153" s="24" t="s">
        <v>606</v>
      </c>
      <c r="P153" s="52">
        <v>21019.0</v>
      </c>
      <c r="Q153" s="51">
        <v>310.0</v>
      </c>
      <c r="R153" s="53">
        <v>-893.89</v>
      </c>
      <c r="S153" s="24" t="s">
        <v>605</v>
      </c>
      <c r="T153" s="11">
        <v>7.0</v>
      </c>
      <c r="U153" s="52">
        <v>22813.0</v>
      </c>
      <c r="V153" s="11">
        <v>0.0</v>
      </c>
      <c r="W153" s="11">
        <v>0.0</v>
      </c>
      <c r="X153" s="48">
        <v>1.9784</v>
      </c>
      <c r="Y153" s="11">
        <f t="shared" si="2"/>
        <v>0.019784</v>
      </c>
    </row>
    <row r="154">
      <c r="A154" s="17">
        <v>54.0</v>
      </c>
      <c r="B154" s="24">
        <v>64.0</v>
      </c>
      <c r="C154" s="24">
        <v>3.0</v>
      </c>
      <c r="D154" s="24">
        <v>6.0</v>
      </c>
      <c r="E154" s="24">
        <v>64.0</v>
      </c>
      <c r="F154" s="48">
        <v>6.4613</v>
      </c>
      <c r="G154" s="49">
        <f t="shared" si="1"/>
        <v>0.064613</v>
      </c>
      <c r="H154" s="11">
        <v>3.0</v>
      </c>
      <c r="I154" s="11">
        <v>7.0</v>
      </c>
      <c r="J154" s="50">
        <v>61116.0</v>
      </c>
      <c r="K154" s="11">
        <v>5.0</v>
      </c>
      <c r="L154" s="11">
        <v>3.0</v>
      </c>
      <c r="M154" s="51">
        <v>644.0</v>
      </c>
      <c r="N154" s="17">
        <v>55.0</v>
      </c>
      <c r="O154" s="24" t="s">
        <v>39</v>
      </c>
      <c r="P154" s="52">
        <v>72613.0</v>
      </c>
      <c r="Q154" s="51">
        <v>696.0</v>
      </c>
      <c r="R154" s="53">
        <v>173.12</v>
      </c>
      <c r="S154" s="24" t="s">
        <v>600</v>
      </c>
      <c r="T154" s="11">
        <v>9.0</v>
      </c>
      <c r="U154" s="52">
        <v>20316.0</v>
      </c>
      <c r="V154" s="11">
        <v>6.0</v>
      </c>
      <c r="W154" s="11">
        <v>7.0</v>
      </c>
      <c r="X154" s="48">
        <v>7.3473</v>
      </c>
      <c r="Y154" s="11">
        <f t="shared" si="2"/>
        <v>0.073473</v>
      </c>
    </row>
    <row r="155">
      <c r="A155" s="17">
        <v>11.0</v>
      </c>
      <c r="B155" s="24">
        <v>84.0</v>
      </c>
      <c r="C155" s="24">
        <v>8.0</v>
      </c>
      <c r="D155" s="24">
        <v>3.0</v>
      </c>
      <c r="E155" s="24">
        <v>64.0</v>
      </c>
      <c r="F155" s="48">
        <v>3.4873</v>
      </c>
      <c r="G155" s="49">
        <f t="shared" si="1"/>
        <v>0.034873</v>
      </c>
      <c r="H155" s="11">
        <v>6.0</v>
      </c>
      <c r="I155" s="11">
        <v>4.0</v>
      </c>
      <c r="J155" s="50">
        <v>72614.0</v>
      </c>
      <c r="K155" s="11">
        <v>6.0</v>
      </c>
      <c r="L155" s="11">
        <v>6.0</v>
      </c>
      <c r="M155" s="51">
        <v>16.0</v>
      </c>
      <c r="N155" s="17">
        <v>59.0</v>
      </c>
      <c r="O155" s="24" t="s">
        <v>31</v>
      </c>
      <c r="P155" s="52">
        <v>13013.0</v>
      </c>
      <c r="Q155" s="51">
        <v>269.0</v>
      </c>
      <c r="R155" s="53">
        <v>406.17</v>
      </c>
      <c r="S155" s="24" t="s">
        <v>600</v>
      </c>
      <c r="T155" s="11">
        <v>8.0</v>
      </c>
      <c r="U155" s="52">
        <v>91422.0</v>
      </c>
      <c r="V155" s="11">
        <v>8.0</v>
      </c>
      <c r="W155" s="11">
        <v>9.0</v>
      </c>
      <c r="X155" s="48">
        <v>5.9258</v>
      </c>
      <c r="Y155" s="11">
        <f t="shared" si="2"/>
        <v>0.059258</v>
      </c>
    </row>
    <row r="156">
      <c r="A156" s="17">
        <v>19.0</v>
      </c>
      <c r="B156" s="24">
        <v>43.0</v>
      </c>
      <c r="C156" s="24">
        <v>8.0</v>
      </c>
      <c r="D156" s="24">
        <v>8.0</v>
      </c>
      <c r="E156" s="24">
        <v>64.0</v>
      </c>
      <c r="F156" s="48">
        <v>4.5046</v>
      </c>
      <c r="G156" s="49">
        <f t="shared" si="1"/>
        <v>0.045046</v>
      </c>
      <c r="H156" s="11">
        <v>2.0</v>
      </c>
      <c r="I156" s="11">
        <v>2.0</v>
      </c>
      <c r="J156" s="50">
        <v>10818.0</v>
      </c>
      <c r="K156" s="11">
        <v>1.0</v>
      </c>
      <c r="L156" s="11">
        <v>1.0</v>
      </c>
      <c r="M156" s="51">
        <v>788.0</v>
      </c>
      <c r="N156" s="17">
        <v>84.0</v>
      </c>
      <c r="O156" s="24" t="s">
        <v>601</v>
      </c>
      <c r="P156" s="52">
        <v>80913.0</v>
      </c>
      <c r="Q156" s="51">
        <v>695.0</v>
      </c>
      <c r="R156" s="53">
        <v>282218.35</v>
      </c>
      <c r="S156" s="24" t="s">
        <v>602</v>
      </c>
      <c r="T156" s="11">
        <v>2.0</v>
      </c>
      <c r="U156" s="52">
        <v>42423.0</v>
      </c>
      <c r="V156" s="11">
        <v>1.0</v>
      </c>
      <c r="W156" s="11">
        <v>5.0</v>
      </c>
      <c r="X156" s="48">
        <v>5.7141</v>
      </c>
      <c r="Y156" s="11">
        <f t="shared" si="2"/>
        <v>0.057141</v>
      </c>
    </row>
    <row r="157">
      <c r="A157" s="17">
        <v>63.0</v>
      </c>
      <c r="B157" s="24">
        <v>43.0</v>
      </c>
      <c r="C157" s="24">
        <v>8.0</v>
      </c>
      <c r="D157" s="24">
        <v>9.0</v>
      </c>
      <c r="E157" s="24">
        <v>61.0</v>
      </c>
      <c r="F157" s="48">
        <v>1.9211</v>
      </c>
      <c r="G157" s="49">
        <f t="shared" si="1"/>
        <v>0.019211</v>
      </c>
      <c r="H157" s="11">
        <v>2.0</v>
      </c>
      <c r="I157" s="11">
        <v>5.0</v>
      </c>
      <c r="J157" s="50">
        <v>51419.0</v>
      </c>
      <c r="K157" s="11">
        <v>8.0</v>
      </c>
      <c r="L157" s="11">
        <v>0.0</v>
      </c>
      <c r="M157" s="51">
        <v>998.0</v>
      </c>
      <c r="N157" s="17">
        <v>5.0</v>
      </c>
      <c r="O157" s="24" t="s">
        <v>31</v>
      </c>
      <c r="P157" s="52">
        <v>122415.0</v>
      </c>
      <c r="Q157" s="51">
        <v>399.0</v>
      </c>
      <c r="R157" s="53">
        <v>-3969.74</v>
      </c>
      <c r="S157" s="24" t="s">
        <v>600</v>
      </c>
      <c r="T157" s="11">
        <v>1.0</v>
      </c>
      <c r="U157" s="52">
        <v>32821.0</v>
      </c>
      <c r="V157" s="11">
        <v>0.0</v>
      </c>
      <c r="W157" s="11">
        <v>7.0</v>
      </c>
      <c r="X157" s="48">
        <v>4.6625</v>
      </c>
      <c r="Y157" s="11">
        <f t="shared" si="2"/>
        <v>0.046625</v>
      </c>
    </row>
    <row r="158">
      <c r="A158" s="17">
        <v>14.0</v>
      </c>
      <c r="B158" s="24">
        <v>84.0</v>
      </c>
      <c r="C158" s="24">
        <v>8.0</v>
      </c>
      <c r="D158" s="24">
        <v>2.0</v>
      </c>
      <c r="E158" s="24">
        <v>61.0</v>
      </c>
      <c r="F158" s="48">
        <v>8.342</v>
      </c>
      <c r="G158" s="49">
        <f t="shared" si="1"/>
        <v>0.08342</v>
      </c>
      <c r="H158" s="11">
        <v>7.0</v>
      </c>
      <c r="I158" s="11">
        <v>7.0</v>
      </c>
      <c r="J158" s="50">
        <v>82217.0</v>
      </c>
      <c r="K158" s="11">
        <v>3.0</v>
      </c>
      <c r="L158" s="11">
        <v>3.0</v>
      </c>
      <c r="M158" s="51">
        <v>913.0</v>
      </c>
      <c r="N158" s="17">
        <v>24.0</v>
      </c>
      <c r="O158" s="24" t="s">
        <v>603</v>
      </c>
      <c r="P158" s="52">
        <v>73121.0</v>
      </c>
      <c r="Q158" s="51">
        <v>661.0</v>
      </c>
      <c r="R158" s="53">
        <v>84915.55</v>
      </c>
      <c r="S158" s="24" t="s">
        <v>604</v>
      </c>
      <c r="T158" s="11">
        <v>8.0</v>
      </c>
      <c r="U158" s="52">
        <v>110614.0</v>
      </c>
      <c r="V158" s="11">
        <v>1.0</v>
      </c>
      <c r="W158" s="11">
        <v>8.0</v>
      </c>
      <c r="X158" s="48">
        <v>4.9245</v>
      </c>
      <c r="Y158" s="11">
        <f t="shared" si="2"/>
        <v>0.049245</v>
      </c>
    </row>
    <row r="159">
      <c r="A159" s="17">
        <v>85.0</v>
      </c>
      <c r="B159" s="24">
        <v>23.0</v>
      </c>
      <c r="C159" s="24">
        <v>4.0</v>
      </c>
      <c r="D159" s="24">
        <v>6.0</v>
      </c>
      <c r="E159" s="24">
        <v>63.0</v>
      </c>
      <c r="F159" s="48">
        <v>1.3482</v>
      </c>
      <c r="G159" s="49">
        <f t="shared" si="1"/>
        <v>0.013482</v>
      </c>
      <c r="H159" s="11">
        <v>8.0</v>
      </c>
      <c r="I159" s="11">
        <v>5.0</v>
      </c>
      <c r="J159" s="50">
        <v>42814.0</v>
      </c>
      <c r="K159" s="11">
        <v>3.0</v>
      </c>
      <c r="L159" s="11">
        <v>8.0</v>
      </c>
      <c r="M159" s="51">
        <v>126.0</v>
      </c>
      <c r="N159" s="17">
        <v>75.0</v>
      </c>
      <c r="O159" s="24" t="s">
        <v>31</v>
      </c>
      <c r="P159" s="52">
        <v>51914.0</v>
      </c>
      <c r="Q159" s="51">
        <v>534.0</v>
      </c>
      <c r="R159" s="53">
        <v>7611.23</v>
      </c>
      <c r="S159" s="24" t="s">
        <v>604</v>
      </c>
      <c r="T159" s="11">
        <v>4.0</v>
      </c>
      <c r="U159" s="52">
        <v>123118.0</v>
      </c>
      <c r="V159" s="11">
        <v>7.0</v>
      </c>
      <c r="W159" s="11">
        <v>6.0</v>
      </c>
      <c r="X159" s="48">
        <v>5.9199</v>
      </c>
      <c r="Y159" s="11">
        <f t="shared" si="2"/>
        <v>0.059199</v>
      </c>
    </row>
    <row r="160">
      <c r="A160" s="17">
        <v>32.0</v>
      </c>
      <c r="B160" s="24">
        <v>23.0</v>
      </c>
      <c r="C160" s="24">
        <v>4.0</v>
      </c>
      <c r="D160" s="24">
        <v>7.0</v>
      </c>
      <c r="E160" s="24">
        <v>68.0</v>
      </c>
      <c r="F160" s="48">
        <v>8.6582</v>
      </c>
      <c r="G160" s="49">
        <f t="shared" si="1"/>
        <v>0.086582</v>
      </c>
      <c r="H160" s="11">
        <v>2.0</v>
      </c>
      <c r="I160" s="11">
        <v>4.0</v>
      </c>
      <c r="J160" s="50">
        <v>30814.0</v>
      </c>
      <c r="K160" s="11">
        <v>2.0</v>
      </c>
      <c r="L160" s="11">
        <v>3.0</v>
      </c>
      <c r="M160" s="51">
        <v>12.0</v>
      </c>
      <c r="N160" s="17">
        <v>71.0</v>
      </c>
      <c r="O160" s="24" t="s">
        <v>601</v>
      </c>
      <c r="P160" s="52">
        <v>41213.0</v>
      </c>
      <c r="Q160" s="51">
        <v>554.0</v>
      </c>
      <c r="R160" s="53">
        <v>2310.2</v>
      </c>
      <c r="S160" s="24" t="s">
        <v>602</v>
      </c>
      <c r="T160" s="11">
        <v>8.0</v>
      </c>
      <c r="U160" s="52">
        <v>102420.0</v>
      </c>
      <c r="V160" s="11">
        <v>1.0</v>
      </c>
      <c r="W160" s="11">
        <v>3.0</v>
      </c>
      <c r="X160" s="48">
        <v>6.6903</v>
      </c>
      <c r="Y160" s="11">
        <f t="shared" si="2"/>
        <v>0.066903</v>
      </c>
    </row>
    <row r="161">
      <c r="A161" s="17">
        <v>79.0</v>
      </c>
      <c r="B161" s="24">
        <v>64.0</v>
      </c>
      <c r="C161" s="24">
        <v>4.0</v>
      </c>
      <c r="D161" s="24">
        <v>4.0</v>
      </c>
      <c r="E161" s="24">
        <v>64.0</v>
      </c>
      <c r="F161" s="48">
        <v>1.2748</v>
      </c>
      <c r="G161" s="49">
        <f t="shared" si="1"/>
        <v>0.012748</v>
      </c>
      <c r="H161" s="11">
        <v>3.0</v>
      </c>
      <c r="I161" s="11">
        <v>4.0</v>
      </c>
      <c r="J161" s="50">
        <v>82514.0</v>
      </c>
      <c r="K161" s="11">
        <v>0.0</v>
      </c>
      <c r="L161" s="11">
        <v>2.0</v>
      </c>
      <c r="M161" s="51">
        <v>945.0</v>
      </c>
      <c r="N161" s="17">
        <v>56.0</v>
      </c>
      <c r="O161" s="24" t="s">
        <v>600</v>
      </c>
      <c r="P161" s="52">
        <v>30119.0</v>
      </c>
      <c r="Q161" s="51">
        <v>173.0</v>
      </c>
      <c r="R161" s="53">
        <v>-556278.6</v>
      </c>
      <c r="S161" s="24" t="s">
        <v>604</v>
      </c>
      <c r="T161" s="11">
        <v>2.0</v>
      </c>
      <c r="U161" s="52">
        <v>10321.0</v>
      </c>
      <c r="V161" s="11">
        <v>5.0</v>
      </c>
      <c r="W161" s="11">
        <v>4.0</v>
      </c>
      <c r="X161" s="48">
        <v>3.7187</v>
      </c>
      <c r="Y161" s="11">
        <f t="shared" si="2"/>
        <v>0.037187</v>
      </c>
    </row>
    <row r="162">
      <c r="A162" s="17">
        <v>7.0</v>
      </c>
      <c r="B162" s="24">
        <v>23.0</v>
      </c>
      <c r="C162" s="24">
        <v>5.0</v>
      </c>
      <c r="D162" s="24">
        <v>3.0</v>
      </c>
      <c r="E162" s="24">
        <v>64.0</v>
      </c>
      <c r="F162" s="48">
        <v>8.8044</v>
      </c>
      <c r="G162" s="49">
        <f t="shared" si="1"/>
        <v>0.088044</v>
      </c>
      <c r="H162" s="11">
        <v>7.0</v>
      </c>
      <c r="I162" s="11">
        <v>8.0</v>
      </c>
      <c r="J162" s="50">
        <v>92218.0</v>
      </c>
      <c r="K162" s="11">
        <v>2.0</v>
      </c>
      <c r="L162" s="11">
        <v>8.0</v>
      </c>
      <c r="M162" s="51">
        <v>542.0</v>
      </c>
      <c r="N162" s="17">
        <v>96.0</v>
      </c>
      <c r="O162" s="24" t="s">
        <v>603</v>
      </c>
      <c r="P162" s="52">
        <v>21813.0</v>
      </c>
      <c r="Q162" s="51">
        <v>78.0</v>
      </c>
      <c r="R162" s="53">
        <v>9427.45</v>
      </c>
      <c r="S162" s="24" t="s">
        <v>602</v>
      </c>
      <c r="T162" s="11">
        <v>7.0</v>
      </c>
      <c r="U162" s="52">
        <v>120414.0</v>
      </c>
      <c r="V162" s="11">
        <v>4.0</v>
      </c>
      <c r="W162" s="11">
        <v>7.0</v>
      </c>
      <c r="X162" s="48">
        <v>6.3395</v>
      </c>
      <c r="Y162" s="11">
        <f t="shared" si="2"/>
        <v>0.063395</v>
      </c>
    </row>
    <row r="163">
      <c r="A163" s="17">
        <v>98.0</v>
      </c>
      <c r="B163" s="24">
        <v>84.0</v>
      </c>
      <c r="C163" s="24">
        <v>9.0</v>
      </c>
      <c r="D163" s="24">
        <v>9.0</v>
      </c>
      <c r="E163" s="24">
        <v>68.0</v>
      </c>
      <c r="F163" s="48">
        <v>6.293</v>
      </c>
      <c r="G163" s="49">
        <f t="shared" si="1"/>
        <v>0.06293</v>
      </c>
      <c r="H163" s="11">
        <v>9.0</v>
      </c>
      <c r="I163" s="11">
        <v>2.0</v>
      </c>
      <c r="J163" s="50">
        <v>71619.0</v>
      </c>
      <c r="K163" s="11">
        <v>2.0</v>
      </c>
      <c r="L163" s="11">
        <v>5.0</v>
      </c>
      <c r="M163" s="51">
        <v>271.0</v>
      </c>
      <c r="N163" s="17">
        <v>6.0</v>
      </c>
      <c r="O163" s="24" t="s">
        <v>600</v>
      </c>
      <c r="P163" s="52">
        <v>72715.0</v>
      </c>
      <c r="Q163" s="51">
        <v>918.0</v>
      </c>
      <c r="R163" s="53">
        <v>-651356.1</v>
      </c>
      <c r="S163" s="24" t="s">
        <v>602</v>
      </c>
      <c r="T163" s="11">
        <v>5.0</v>
      </c>
      <c r="U163" s="52">
        <v>80621.0</v>
      </c>
      <c r="V163" s="11">
        <v>0.0</v>
      </c>
      <c r="W163" s="11">
        <v>5.0</v>
      </c>
      <c r="X163" s="48">
        <v>6.2096</v>
      </c>
      <c r="Y163" s="11">
        <f t="shared" si="2"/>
        <v>0.062096</v>
      </c>
    </row>
    <row r="164">
      <c r="A164" s="17">
        <v>94.0</v>
      </c>
      <c r="B164" s="24">
        <v>64.0</v>
      </c>
      <c r="C164" s="24">
        <v>5.0</v>
      </c>
      <c r="D164" s="24">
        <v>2.0</v>
      </c>
      <c r="E164" s="24">
        <v>60.0</v>
      </c>
      <c r="F164" s="48">
        <v>3.4485</v>
      </c>
      <c r="G164" s="49">
        <f t="shared" si="1"/>
        <v>0.034485</v>
      </c>
      <c r="H164" s="11">
        <v>5.0</v>
      </c>
      <c r="I164" s="11">
        <v>6.0</v>
      </c>
      <c r="J164" s="50">
        <v>121219.0</v>
      </c>
      <c r="K164" s="11">
        <v>2.0</v>
      </c>
      <c r="L164" s="11">
        <v>9.0</v>
      </c>
      <c r="M164" s="51">
        <v>948.0</v>
      </c>
      <c r="N164" s="17">
        <v>5.0</v>
      </c>
      <c r="O164" s="24" t="s">
        <v>48</v>
      </c>
      <c r="P164" s="52">
        <v>122823.0</v>
      </c>
      <c r="Q164" s="51">
        <v>589.0</v>
      </c>
      <c r="R164" s="53">
        <v>-607.72</v>
      </c>
      <c r="S164" s="24" t="s">
        <v>605</v>
      </c>
      <c r="T164" s="11">
        <v>7.0</v>
      </c>
      <c r="U164" s="52">
        <v>80718.0</v>
      </c>
      <c r="V164" s="11">
        <v>4.0</v>
      </c>
      <c r="W164" s="11">
        <v>9.0</v>
      </c>
      <c r="X164" s="48">
        <v>5.2341</v>
      </c>
      <c r="Y164" s="11">
        <f t="shared" si="2"/>
        <v>0.052341</v>
      </c>
    </row>
    <row r="165">
      <c r="A165" s="17">
        <v>8.0</v>
      </c>
      <c r="B165" s="24">
        <v>23.0</v>
      </c>
      <c r="C165" s="24">
        <v>5.0</v>
      </c>
      <c r="D165" s="24">
        <v>9.0</v>
      </c>
      <c r="E165" s="24">
        <v>62.0</v>
      </c>
      <c r="F165" s="48">
        <v>7.662</v>
      </c>
      <c r="G165" s="49">
        <f t="shared" si="1"/>
        <v>0.07662</v>
      </c>
      <c r="H165" s="11">
        <v>7.0</v>
      </c>
      <c r="I165" s="11">
        <v>2.0</v>
      </c>
      <c r="J165" s="50">
        <v>122516.0</v>
      </c>
      <c r="K165" s="11">
        <v>9.0</v>
      </c>
      <c r="L165" s="11">
        <v>9.0</v>
      </c>
      <c r="M165" s="51">
        <v>919.0</v>
      </c>
      <c r="N165" s="17">
        <v>61.0</v>
      </c>
      <c r="O165" s="24" t="s">
        <v>31</v>
      </c>
      <c r="P165" s="52">
        <v>92514.0</v>
      </c>
      <c r="Q165" s="51">
        <v>579.0</v>
      </c>
      <c r="R165" s="53">
        <v>-518.3</v>
      </c>
      <c r="S165" s="24" t="s">
        <v>602</v>
      </c>
      <c r="T165" s="11">
        <v>9.0</v>
      </c>
      <c r="U165" s="52">
        <v>111418.0</v>
      </c>
      <c r="V165" s="11">
        <v>5.0</v>
      </c>
      <c r="W165" s="11">
        <v>6.0</v>
      </c>
      <c r="X165" s="48">
        <v>6.631</v>
      </c>
      <c r="Y165" s="11">
        <f t="shared" si="2"/>
        <v>0.06631</v>
      </c>
    </row>
    <row r="166">
      <c r="A166" s="17">
        <v>15.0</v>
      </c>
      <c r="B166" s="24">
        <v>64.0</v>
      </c>
      <c r="C166" s="24">
        <v>5.0</v>
      </c>
      <c r="D166" s="24">
        <v>8.0</v>
      </c>
      <c r="E166" s="24">
        <v>61.0</v>
      </c>
      <c r="F166" s="48">
        <v>2.8756</v>
      </c>
      <c r="G166" s="49">
        <f t="shared" si="1"/>
        <v>0.028756</v>
      </c>
      <c r="H166" s="11">
        <v>0.0</v>
      </c>
      <c r="I166" s="11">
        <v>1.0</v>
      </c>
      <c r="J166" s="50">
        <v>80416.0</v>
      </c>
      <c r="K166" s="11">
        <v>2.0</v>
      </c>
      <c r="L166" s="11">
        <v>2.0</v>
      </c>
      <c r="M166" s="51">
        <v>373.0</v>
      </c>
      <c r="N166" s="17">
        <v>15.0</v>
      </c>
      <c r="O166" s="24" t="s">
        <v>39</v>
      </c>
      <c r="P166" s="52">
        <v>81219.0</v>
      </c>
      <c r="Q166" s="51">
        <v>600.0</v>
      </c>
      <c r="R166" s="53">
        <v>-560.11</v>
      </c>
      <c r="S166" s="24" t="s">
        <v>600</v>
      </c>
      <c r="T166" s="11">
        <v>8.0</v>
      </c>
      <c r="U166" s="52">
        <v>92819.0</v>
      </c>
      <c r="V166" s="11">
        <v>1.0</v>
      </c>
      <c r="W166" s="11">
        <v>3.0</v>
      </c>
      <c r="X166" s="48">
        <v>3.6337</v>
      </c>
      <c r="Y166" s="11">
        <f t="shared" si="2"/>
        <v>0.036337</v>
      </c>
    </row>
    <row r="167">
      <c r="A167" s="17">
        <v>54.0</v>
      </c>
      <c r="B167" s="24">
        <v>44.0</v>
      </c>
      <c r="C167" s="24">
        <v>1.0</v>
      </c>
      <c r="D167" s="24">
        <v>2.0</v>
      </c>
      <c r="E167" s="24">
        <v>61.0</v>
      </c>
      <c r="F167" s="48">
        <v>3.85</v>
      </c>
      <c r="G167" s="49">
        <f t="shared" si="1"/>
        <v>0.0385</v>
      </c>
      <c r="H167" s="11">
        <v>9.0</v>
      </c>
      <c r="I167" s="11">
        <v>0.0</v>
      </c>
      <c r="J167" s="50">
        <v>92919.0</v>
      </c>
      <c r="K167" s="11">
        <v>8.0</v>
      </c>
      <c r="L167" s="11">
        <v>5.0</v>
      </c>
      <c r="M167" s="51">
        <v>16.0</v>
      </c>
      <c r="N167" s="17">
        <v>10.0</v>
      </c>
      <c r="O167" s="24" t="s">
        <v>600</v>
      </c>
      <c r="P167" s="52">
        <v>103017.0</v>
      </c>
      <c r="Q167" s="51">
        <v>314.0</v>
      </c>
      <c r="R167" s="53">
        <v>-18748.81</v>
      </c>
      <c r="S167" s="24" t="s">
        <v>604</v>
      </c>
      <c r="T167" s="11">
        <v>8.0</v>
      </c>
      <c r="U167" s="52">
        <v>91323.0</v>
      </c>
      <c r="V167" s="11">
        <v>2.0</v>
      </c>
      <c r="W167" s="11">
        <v>1.0</v>
      </c>
      <c r="X167" s="48">
        <v>8.614</v>
      </c>
      <c r="Y167" s="11">
        <f t="shared" si="2"/>
        <v>0.08614</v>
      </c>
    </row>
    <row r="168">
      <c r="A168" s="17">
        <v>18.0</v>
      </c>
      <c r="B168" s="24">
        <v>64.0</v>
      </c>
      <c r="C168" s="24">
        <v>6.0</v>
      </c>
      <c r="D168" s="24">
        <v>3.0</v>
      </c>
      <c r="E168" s="24">
        <v>65.0</v>
      </c>
      <c r="F168" s="48">
        <v>3.559</v>
      </c>
      <c r="G168" s="49">
        <f t="shared" si="1"/>
        <v>0.03559</v>
      </c>
      <c r="H168" s="11">
        <v>2.0</v>
      </c>
      <c r="I168" s="11">
        <v>9.0</v>
      </c>
      <c r="J168" s="50">
        <v>71120.0</v>
      </c>
      <c r="K168" s="11">
        <v>3.0</v>
      </c>
      <c r="L168" s="11">
        <v>0.0</v>
      </c>
      <c r="M168" s="51">
        <v>30.0</v>
      </c>
      <c r="N168" s="17">
        <v>12.0</v>
      </c>
      <c r="O168" s="24" t="s">
        <v>601</v>
      </c>
      <c r="P168" s="52">
        <v>53022.0</v>
      </c>
      <c r="Q168" s="51">
        <v>617.0</v>
      </c>
      <c r="R168" s="53">
        <v>495.77</v>
      </c>
      <c r="S168" s="24" t="s">
        <v>604</v>
      </c>
      <c r="T168" s="11">
        <v>9.0</v>
      </c>
      <c r="U168" s="52">
        <v>40314.0</v>
      </c>
      <c r="V168" s="11">
        <v>0.0</v>
      </c>
      <c r="W168" s="11">
        <v>6.0</v>
      </c>
      <c r="X168" s="48">
        <v>1.157</v>
      </c>
      <c r="Y168" s="11">
        <f t="shared" si="2"/>
        <v>0.01157</v>
      </c>
    </row>
    <row r="169">
      <c r="A169" s="17">
        <v>85.0</v>
      </c>
      <c r="B169" s="24">
        <v>23.0</v>
      </c>
      <c r="C169" s="24">
        <v>7.0</v>
      </c>
      <c r="D169" s="24">
        <v>1.0</v>
      </c>
      <c r="E169" s="24">
        <v>60.0</v>
      </c>
      <c r="F169" s="48">
        <v>2.586</v>
      </c>
      <c r="G169" s="49">
        <f t="shared" si="1"/>
        <v>0.02586</v>
      </c>
      <c r="H169" s="11">
        <v>7.0</v>
      </c>
      <c r="I169" s="11">
        <v>6.0</v>
      </c>
      <c r="J169" s="50">
        <v>20819.0</v>
      </c>
      <c r="K169" s="11">
        <v>5.0</v>
      </c>
      <c r="L169" s="11">
        <v>4.0</v>
      </c>
      <c r="M169" s="51">
        <v>417.0</v>
      </c>
      <c r="N169" s="17">
        <v>86.0</v>
      </c>
      <c r="O169" s="24" t="s">
        <v>48</v>
      </c>
      <c r="P169" s="52">
        <v>52617.0</v>
      </c>
      <c r="Q169" s="51">
        <v>331.0</v>
      </c>
      <c r="R169" s="53">
        <v>-420311.83</v>
      </c>
      <c r="S169" s="24" t="s">
        <v>605</v>
      </c>
      <c r="T169" s="11">
        <v>3.0</v>
      </c>
      <c r="U169" s="52">
        <v>22323.0</v>
      </c>
      <c r="V169" s="11">
        <v>2.0</v>
      </c>
      <c r="W169" s="11">
        <v>1.0</v>
      </c>
      <c r="X169" s="48">
        <v>2.4915</v>
      </c>
      <c r="Y169" s="11">
        <f t="shared" si="2"/>
        <v>0.024915</v>
      </c>
    </row>
    <row r="170">
      <c r="A170" s="17">
        <v>31.0</v>
      </c>
      <c r="B170" s="24">
        <v>23.0</v>
      </c>
      <c r="C170" s="24">
        <v>7.0</v>
      </c>
      <c r="D170" s="24">
        <v>3.0</v>
      </c>
      <c r="E170" s="24">
        <v>67.0</v>
      </c>
      <c r="F170" s="48">
        <v>9.5083</v>
      </c>
      <c r="G170" s="49">
        <f t="shared" si="1"/>
        <v>0.095083</v>
      </c>
      <c r="H170" s="11">
        <v>7.0</v>
      </c>
      <c r="I170" s="11">
        <v>9.0</v>
      </c>
      <c r="J170" s="50">
        <v>71618.0</v>
      </c>
      <c r="K170" s="11">
        <v>6.0</v>
      </c>
      <c r="L170" s="11">
        <v>9.0</v>
      </c>
      <c r="M170" s="51">
        <v>625.0</v>
      </c>
      <c r="N170" s="17">
        <v>43.0</v>
      </c>
      <c r="O170" s="24" t="s">
        <v>31</v>
      </c>
      <c r="P170" s="52">
        <v>102216.0</v>
      </c>
      <c r="Q170" s="51">
        <v>743.0</v>
      </c>
      <c r="R170" s="53">
        <v>853.99</v>
      </c>
      <c r="S170" s="24" t="s">
        <v>602</v>
      </c>
      <c r="T170" s="11">
        <v>4.0</v>
      </c>
      <c r="U170" s="52">
        <v>20616.0</v>
      </c>
      <c r="V170" s="11">
        <v>1.0</v>
      </c>
      <c r="W170" s="11">
        <v>5.0</v>
      </c>
      <c r="X170" s="48">
        <v>9.3465</v>
      </c>
      <c r="Y170" s="11">
        <f t="shared" si="2"/>
        <v>0.093465</v>
      </c>
    </row>
    <row r="171">
      <c r="A171" s="17">
        <v>6.0</v>
      </c>
      <c r="B171" s="24">
        <v>64.0</v>
      </c>
      <c r="C171" s="24">
        <v>6.0</v>
      </c>
      <c r="D171" s="24">
        <v>9.0</v>
      </c>
      <c r="E171" s="24">
        <v>66.0</v>
      </c>
      <c r="F171" s="48">
        <v>1.3658</v>
      </c>
      <c r="G171" s="49">
        <f t="shared" si="1"/>
        <v>0.013658</v>
      </c>
      <c r="H171" s="11">
        <v>2.0</v>
      </c>
      <c r="I171" s="11">
        <v>4.0</v>
      </c>
      <c r="J171" s="50">
        <v>92618.0</v>
      </c>
      <c r="K171" s="11">
        <v>3.0</v>
      </c>
      <c r="L171" s="11">
        <v>2.0</v>
      </c>
      <c r="M171" s="51">
        <v>474.0</v>
      </c>
      <c r="N171" s="17">
        <v>54.0</v>
      </c>
      <c r="O171" s="24" t="s">
        <v>31</v>
      </c>
      <c r="P171" s="52">
        <v>20120.0</v>
      </c>
      <c r="Q171" s="51">
        <v>681.0</v>
      </c>
      <c r="R171" s="53">
        <v>221.94</v>
      </c>
      <c r="S171" s="24" t="s">
        <v>600</v>
      </c>
      <c r="T171" s="11">
        <v>4.0</v>
      </c>
      <c r="U171" s="52">
        <v>22115.0</v>
      </c>
      <c r="V171" s="11">
        <v>1.0</v>
      </c>
      <c r="W171" s="11">
        <v>5.0</v>
      </c>
      <c r="X171" s="48">
        <v>7.7559</v>
      </c>
      <c r="Y171" s="11">
        <f t="shared" si="2"/>
        <v>0.077559</v>
      </c>
    </row>
    <row r="172">
      <c r="A172" s="17">
        <v>71.0</v>
      </c>
      <c r="B172" s="24">
        <v>85.0</v>
      </c>
      <c r="C172" s="24">
        <v>1.0</v>
      </c>
      <c r="D172" s="24">
        <v>9.0</v>
      </c>
      <c r="E172" s="24">
        <v>64.0</v>
      </c>
      <c r="F172" s="48">
        <v>2.5816</v>
      </c>
      <c r="G172" s="49">
        <f t="shared" si="1"/>
        <v>0.025816</v>
      </c>
      <c r="H172" s="11">
        <v>4.0</v>
      </c>
      <c r="I172" s="11">
        <v>1.0</v>
      </c>
      <c r="J172" s="50">
        <v>122722.0</v>
      </c>
      <c r="K172" s="11">
        <v>3.0</v>
      </c>
      <c r="L172" s="11">
        <v>9.0</v>
      </c>
      <c r="M172" s="51">
        <v>76.0</v>
      </c>
      <c r="N172" s="17">
        <v>72.0</v>
      </c>
      <c r="O172" s="24" t="s">
        <v>600</v>
      </c>
      <c r="P172" s="52">
        <v>21215.0</v>
      </c>
      <c r="Q172" s="51">
        <v>622.0</v>
      </c>
      <c r="R172" s="53">
        <v>9809.31</v>
      </c>
      <c r="S172" s="24" t="s">
        <v>604</v>
      </c>
      <c r="T172" s="11">
        <v>1.0</v>
      </c>
      <c r="U172" s="52">
        <v>90715.0</v>
      </c>
      <c r="V172" s="11">
        <v>5.0</v>
      </c>
      <c r="W172" s="11">
        <v>8.0</v>
      </c>
      <c r="X172" s="48">
        <v>5.704</v>
      </c>
      <c r="Y172" s="11">
        <f t="shared" si="2"/>
        <v>0.05704</v>
      </c>
    </row>
    <row r="173">
      <c r="A173" s="17">
        <v>25.0</v>
      </c>
      <c r="B173" s="24">
        <v>44.0</v>
      </c>
      <c r="C173" s="24">
        <v>2.0</v>
      </c>
      <c r="D173" s="24">
        <v>5.0</v>
      </c>
      <c r="E173" s="24">
        <v>67.0</v>
      </c>
      <c r="F173" s="48">
        <v>3.6837</v>
      </c>
      <c r="G173" s="49">
        <f t="shared" si="1"/>
        <v>0.036837</v>
      </c>
      <c r="H173" s="11">
        <v>4.0</v>
      </c>
      <c r="I173" s="11">
        <v>1.0</v>
      </c>
      <c r="J173" s="50">
        <v>121818.0</v>
      </c>
      <c r="K173" s="11">
        <v>0.0</v>
      </c>
      <c r="L173" s="11">
        <v>3.0</v>
      </c>
      <c r="M173" s="51">
        <v>938.0</v>
      </c>
      <c r="N173" s="17">
        <v>74.0</v>
      </c>
      <c r="O173" s="24" t="s">
        <v>31</v>
      </c>
      <c r="P173" s="52">
        <v>41723.0</v>
      </c>
      <c r="Q173" s="51">
        <v>707.0</v>
      </c>
      <c r="R173" s="53">
        <v>-277.42</v>
      </c>
      <c r="S173" s="24" t="s">
        <v>605</v>
      </c>
      <c r="T173" s="11">
        <v>9.0</v>
      </c>
      <c r="U173" s="52">
        <v>62819.0</v>
      </c>
      <c r="V173" s="11">
        <v>4.0</v>
      </c>
      <c r="W173" s="11">
        <v>2.0</v>
      </c>
      <c r="X173" s="48">
        <v>5.5415</v>
      </c>
      <c r="Y173" s="11">
        <f t="shared" si="2"/>
        <v>0.055415</v>
      </c>
    </row>
    <row r="174">
      <c r="A174" s="17">
        <v>33.0</v>
      </c>
      <c r="B174" s="24">
        <v>85.0</v>
      </c>
      <c r="C174" s="24">
        <v>2.0</v>
      </c>
      <c r="D174" s="24">
        <v>2.0</v>
      </c>
      <c r="E174" s="24">
        <v>67.0</v>
      </c>
      <c r="F174" s="48">
        <v>9.3644</v>
      </c>
      <c r="G174" s="49">
        <f t="shared" si="1"/>
        <v>0.093644</v>
      </c>
      <c r="H174" s="11">
        <v>5.0</v>
      </c>
      <c r="I174" s="11">
        <v>4.0</v>
      </c>
      <c r="J174" s="50">
        <v>10616.0</v>
      </c>
      <c r="K174" s="11">
        <v>9.0</v>
      </c>
      <c r="L174" s="11">
        <v>5.0</v>
      </c>
      <c r="M174" s="51">
        <v>780.0</v>
      </c>
      <c r="N174" s="17">
        <v>50.0</v>
      </c>
      <c r="O174" s="24" t="s">
        <v>31</v>
      </c>
      <c r="P174" s="52">
        <v>110223.0</v>
      </c>
      <c r="Q174" s="51">
        <v>727.0</v>
      </c>
      <c r="R174" s="53">
        <v>28550.53</v>
      </c>
      <c r="S174" s="24" t="s">
        <v>605</v>
      </c>
      <c r="T174" s="11">
        <v>4.0</v>
      </c>
      <c r="U174" s="52">
        <v>20614.0</v>
      </c>
      <c r="V174" s="11">
        <v>5.0</v>
      </c>
      <c r="W174" s="11">
        <v>7.0</v>
      </c>
      <c r="X174" s="48">
        <v>1.8553</v>
      </c>
      <c r="Y174" s="11">
        <f t="shared" si="2"/>
        <v>0.018553</v>
      </c>
    </row>
    <row r="175">
      <c r="A175" s="17">
        <v>37.0</v>
      </c>
      <c r="B175" s="24">
        <v>23.0</v>
      </c>
      <c r="C175" s="24">
        <v>7.0</v>
      </c>
      <c r="D175" s="24">
        <v>7.0</v>
      </c>
      <c r="E175" s="24">
        <v>61.0</v>
      </c>
      <c r="F175" s="48">
        <v>4.562</v>
      </c>
      <c r="G175" s="49">
        <f t="shared" si="1"/>
        <v>0.04562</v>
      </c>
      <c r="H175" s="11">
        <v>9.0</v>
      </c>
      <c r="I175" s="11">
        <v>8.0</v>
      </c>
      <c r="J175" s="50">
        <v>52214.0</v>
      </c>
      <c r="K175" s="11">
        <v>1.0</v>
      </c>
      <c r="L175" s="11">
        <v>5.0</v>
      </c>
      <c r="M175" s="51">
        <v>794.0</v>
      </c>
      <c r="N175" s="17">
        <v>43.0</v>
      </c>
      <c r="O175" s="24" t="s">
        <v>48</v>
      </c>
      <c r="P175" s="52">
        <v>101315.0</v>
      </c>
      <c r="Q175" s="51">
        <v>884.0</v>
      </c>
      <c r="R175" s="53">
        <v>-20598.62</v>
      </c>
      <c r="S175" s="24" t="s">
        <v>604</v>
      </c>
      <c r="T175" s="11">
        <v>7.0</v>
      </c>
      <c r="U175" s="52">
        <v>62422.0</v>
      </c>
      <c r="V175" s="11">
        <v>7.0</v>
      </c>
      <c r="W175" s="11">
        <v>5.0</v>
      </c>
      <c r="X175" s="48">
        <v>1.436</v>
      </c>
      <c r="Y175" s="11">
        <f t="shared" si="2"/>
        <v>0.01436</v>
      </c>
    </row>
    <row r="176">
      <c r="A176" s="17">
        <v>64.0</v>
      </c>
      <c r="B176" s="24">
        <v>64.0</v>
      </c>
      <c r="C176" s="24">
        <v>7.0</v>
      </c>
      <c r="D176" s="24">
        <v>6.0</v>
      </c>
      <c r="E176" s="24">
        <v>66.0</v>
      </c>
      <c r="F176" s="48">
        <v>1.5191</v>
      </c>
      <c r="G176" s="49">
        <f t="shared" si="1"/>
        <v>0.015191</v>
      </c>
      <c r="H176" s="11">
        <v>9.0</v>
      </c>
      <c r="I176" s="11">
        <v>1.0</v>
      </c>
      <c r="J176" s="50">
        <v>111823.0</v>
      </c>
      <c r="K176" s="11">
        <v>9.0</v>
      </c>
      <c r="L176" s="11">
        <v>3.0</v>
      </c>
      <c r="M176" s="51">
        <v>277.0</v>
      </c>
      <c r="N176" s="17">
        <v>91.0</v>
      </c>
      <c r="O176" s="24" t="s">
        <v>31</v>
      </c>
      <c r="P176" s="52">
        <v>122316.0</v>
      </c>
      <c r="Q176" s="51">
        <v>749.0</v>
      </c>
      <c r="R176" s="53">
        <v>390.2</v>
      </c>
      <c r="S176" s="24" t="s">
        <v>602</v>
      </c>
      <c r="T176" s="11">
        <v>3.0</v>
      </c>
      <c r="U176" s="52">
        <v>82723.0</v>
      </c>
      <c r="V176" s="11">
        <v>9.0</v>
      </c>
      <c r="W176" s="11">
        <v>1.0</v>
      </c>
      <c r="X176" s="48">
        <v>4.5559</v>
      </c>
      <c r="Y176" s="11">
        <f t="shared" si="2"/>
        <v>0.045559</v>
      </c>
    </row>
    <row r="177">
      <c r="A177" s="17">
        <v>69.0</v>
      </c>
      <c r="B177" s="24">
        <v>44.0</v>
      </c>
      <c r="C177" s="24">
        <v>2.0</v>
      </c>
      <c r="D177" s="24">
        <v>9.0</v>
      </c>
      <c r="E177" s="24">
        <v>67.0</v>
      </c>
      <c r="F177" s="48">
        <v>8.9383</v>
      </c>
      <c r="G177" s="49">
        <f t="shared" si="1"/>
        <v>0.089383</v>
      </c>
      <c r="H177" s="11">
        <v>3.0</v>
      </c>
      <c r="I177" s="11">
        <v>1.0</v>
      </c>
      <c r="J177" s="50">
        <v>110519.0</v>
      </c>
      <c r="K177" s="11">
        <v>7.0</v>
      </c>
      <c r="L177" s="11">
        <v>1.0</v>
      </c>
      <c r="M177" s="51">
        <v>689.0</v>
      </c>
      <c r="N177" s="17">
        <v>35.0</v>
      </c>
      <c r="O177" s="24" t="s">
        <v>606</v>
      </c>
      <c r="P177" s="52">
        <v>111015.0</v>
      </c>
      <c r="Q177" s="51">
        <v>614.0</v>
      </c>
      <c r="R177" s="53">
        <v>778.72</v>
      </c>
      <c r="S177" s="24" t="s">
        <v>604</v>
      </c>
      <c r="T177" s="11">
        <v>2.0</v>
      </c>
      <c r="U177" s="52">
        <v>91722.0</v>
      </c>
      <c r="V177" s="11">
        <v>3.0</v>
      </c>
      <c r="W177" s="11">
        <v>4.0</v>
      </c>
      <c r="X177" s="48">
        <v>3.7786</v>
      </c>
      <c r="Y177" s="11">
        <f t="shared" si="2"/>
        <v>0.037786</v>
      </c>
    </row>
    <row r="178">
      <c r="A178" s="17">
        <v>21.0</v>
      </c>
      <c r="B178" s="24">
        <v>44.0</v>
      </c>
      <c r="C178" s="24">
        <v>3.0</v>
      </c>
      <c r="D178" s="24">
        <v>1.0</v>
      </c>
      <c r="E178" s="24">
        <v>65.0</v>
      </c>
      <c r="F178" s="48">
        <v>2.467</v>
      </c>
      <c r="G178" s="49">
        <f t="shared" si="1"/>
        <v>0.02467</v>
      </c>
      <c r="H178" s="11">
        <v>9.0</v>
      </c>
      <c r="I178" s="11">
        <v>0.0</v>
      </c>
      <c r="J178" s="50">
        <v>81317.0</v>
      </c>
      <c r="K178" s="11">
        <v>2.0</v>
      </c>
      <c r="L178" s="11">
        <v>9.0</v>
      </c>
      <c r="M178" s="51">
        <v>608.0</v>
      </c>
      <c r="N178" s="17">
        <v>68.0</v>
      </c>
      <c r="O178" s="24" t="s">
        <v>39</v>
      </c>
      <c r="P178" s="52">
        <v>80616.0</v>
      </c>
      <c r="Q178" s="51">
        <v>392.0</v>
      </c>
      <c r="R178" s="53">
        <v>59586.47</v>
      </c>
      <c r="S178" s="24" t="s">
        <v>604</v>
      </c>
      <c r="T178" s="11">
        <v>3.0</v>
      </c>
      <c r="U178" s="52">
        <v>42520.0</v>
      </c>
      <c r="V178" s="11">
        <v>7.0</v>
      </c>
      <c r="W178" s="11">
        <v>6.0</v>
      </c>
      <c r="X178" s="48">
        <v>1.8354</v>
      </c>
      <c r="Y178" s="11">
        <f t="shared" si="2"/>
        <v>0.018354</v>
      </c>
    </row>
    <row r="179">
      <c r="A179" s="17">
        <v>39.0</v>
      </c>
      <c r="B179" s="24">
        <v>64.0</v>
      </c>
      <c r="C179" s="24">
        <v>8.0</v>
      </c>
      <c r="D179" s="24">
        <v>3.0</v>
      </c>
      <c r="E179" s="24">
        <v>66.0</v>
      </c>
      <c r="F179" s="48">
        <v>8.3879</v>
      </c>
      <c r="G179" s="49">
        <f t="shared" si="1"/>
        <v>0.083879</v>
      </c>
      <c r="H179" s="11">
        <v>5.0</v>
      </c>
      <c r="I179" s="11">
        <v>2.0</v>
      </c>
      <c r="J179" s="50">
        <v>20517.0</v>
      </c>
      <c r="K179" s="11">
        <v>5.0</v>
      </c>
      <c r="L179" s="11">
        <v>4.0</v>
      </c>
      <c r="M179" s="51">
        <v>367.0</v>
      </c>
      <c r="N179" s="17">
        <v>43.0</v>
      </c>
      <c r="O179" s="24" t="s">
        <v>606</v>
      </c>
      <c r="P179" s="52">
        <v>41118.0</v>
      </c>
      <c r="Q179" s="51">
        <v>564.0</v>
      </c>
      <c r="R179" s="53">
        <v>-31150.7</v>
      </c>
      <c r="S179" s="24" t="s">
        <v>605</v>
      </c>
      <c r="T179" s="11">
        <v>5.0</v>
      </c>
      <c r="U179" s="52">
        <v>30822.0</v>
      </c>
      <c r="V179" s="11">
        <v>4.0</v>
      </c>
      <c r="W179" s="11">
        <v>5.0</v>
      </c>
      <c r="X179" s="48">
        <v>4.4343</v>
      </c>
      <c r="Y179" s="11">
        <f t="shared" si="2"/>
        <v>0.044343</v>
      </c>
    </row>
    <row r="180">
      <c r="A180" s="17">
        <v>84.0</v>
      </c>
      <c r="B180" s="24">
        <v>44.0</v>
      </c>
      <c r="C180" s="24">
        <v>3.0</v>
      </c>
      <c r="D180" s="24">
        <v>8.0</v>
      </c>
      <c r="E180" s="24">
        <v>65.0</v>
      </c>
      <c r="F180" s="48">
        <v>5.4359</v>
      </c>
      <c r="G180" s="49">
        <f t="shared" si="1"/>
        <v>0.054359</v>
      </c>
      <c r="H180" s="11">
        <v>4.0</v>
      </c>
      <c r="I180" s="11">
        <v>3.0</v>
      </c>
      <c r="J180" s="50">
        <v>113013.0</v>
      </c>
      <c r="K180" s="11">
        <v>3.0</v>
      </c>
      <c r="L180" s="11">
        <v>7.0</v>
      </c>
      <c r="M180" s="51">
        <v>0.0</v>
      </c>
      <c r="N180" s="17">
        <v>15.0</v>
      </c>
      <c r="O180" s="24" t="s">
        <v>48</v>
      </c>
      <c r="P180" s="52">
        <v>122820.0</v>
      </c>
      <c r="Q180" s="51">
        <v>999.0</v>
      </c>
      <c r="R180" s="53">
        <v>-148.7</v>
      </c>
      <c r="S180" s="24" t="s">
        <v>602</v>
      </c>
      <c r="T180" s="11">
        <v>9.0</v>
      </c>
      <c r="U180" s="52">
        <v>60817.0</v>
      </c>
      <c r="V180" s="11">
        <v>3.0</v>
      </c>
      <c r="W180" s="11">
        <v>4.0</v>
      </c>
      <c r="X180" s="48">
        <v>6.6446</v>
      </c>
      <c r="Y180" s="11">
        <f t="shared" si="2"/>
        <v>0.066446</v>
      </c>
    </row>
    <row r="181">
      <c r="A181" s="17">
        <v>70.0</v>
      </c>
      <c r="B181" s="24">
        <v>44.0</v>
      </c>
      <c r="C181" s="24">
        <v>3.0</v>
      </c>
      <c r="D181" s="24">
        <v>9.0</v>
      </c>
      <c r="E181" s="24">
        <v>68.0</v>
      </c>
      <c r="F181" s="48">
        <v>9.5062</v>
      </c>
      <c r="G181" s="49">
        <f t="shared" si="1"/>
        <v>0.095062</v>
      </c>
      <c r="H181" s="11">
        <v>3.0</v>
      </c>
      <c r="I181" s="11">
        <v>5.0</v>
      </c>
      <c r="J181" s="50">
        <v>41422.0</v>
      </c>
      <c r="K181" s="11">
        <v>2.0</v>
      </c>
      <c r="L181" s="11">
        <v>9.0</v>
      </c>
      <c r="M181" s="51">
        <v>625.0</v>
      </c>
      <c r="N181" s="17">
        <v>49.0</v>
      </c>
      <c r="O181" s="24" t="s">
        <v>601</v>
      </c>
      <c r="P181" s="52">
        <v>122615.0</v>
      </c>
      <c r="Q181" s="51">
        <v>298.0</v>
      </c>
      <c r="R181" s="53">
        <v>474072.44</v>
      </c>
      <c r="S181" s="24" t="s">
        <v>605</v>
      </c>
      <c r="T181" s="11">
        <v>1.0</v>
      </c>
      <c r="U181" s="52">
        <v>102117.0</v>
      </c>
      <c r="V181" s="11">
        <v>8.0</v>
      </c>
      <c r="W181" s="11">
        <v>3.0</v>
      </c>
      <c r="X181" s="48">
        <v>4.309</v>
      </c>
      <c r="Y181" s="11">
        <f t="shared" si="2"/>
        <v>0.04309</v>
      </c>
    </row>
    <row r="182">
      <c r="A182" s="17">
        <v>10.0</v>
      </c>
      <c r="B182" s="24">
        <v>85.0</v>
      </c>
      <c r="C182" s="24">
        <v>3.0</v>
      </c>
      <c r="D182" s="24">
        <v>6.0</v>
      </c>
      <c r="E182" s="24">
        <v>61.0</v>
      </c>
      <c r="F182" s="48">
        <v>1.466</v>
      </c>
      <c r="G182" s="49">
        <f t="shared" si="1"/>
        <v>0.01466</v>
      </c>
      <c r="H182" s="11">
        <v>1.0</v>
      </c>
      <c r="I182" s="11">
        <v>9.0</v>
      </c>
      <c r="J182" s="50">
        <v>22121.0</v>
      </c>
      <c r="K182" s="11">
        <v>8.0</v>
      </c>
      <c r="L182" s="11">
        <v>7.0</v>
      </c>
      <c r="M182" s="51">
        <v>758.0</v>
      </c>
      <c r="N182" s="17">
        <v>87.0</v>
      </c>
      <c r="O182" s="24" t="s">
        <v>48</v>
      </c>
      <c r="P182" s="52">
        <v>93021.0</v>
      </c>
      <c r="Q182" s="51">
        <v>356.0</v>
      </c>
      <c r="R182" s="53">
        <v>-9268.62</v>
      </c>
      <c r="S182" s="24" t="s">
        <v>602</v>
      </c>
      <c r="T182" s="11">
        <v>9.0</v>
      </c>
      <c r="U182" s="52">
        <v>80118.0</v>
      </c>
      <c r="V182" s="11">
        <v>6.0</v>
      </c>
      <c r="W182" s="11">
        <v>2.0</v>
      </c>
      <c r="X182" s="48">
        <v>9.9963</v>
      </c>
      <c r="Y182" s="11">
        <f t="shared" si="2"/>
        <v>0.099963</v>
      </c>
    </row>
    <row r="183">
      <c r="A183" s="17">
        <v>85.0</v>
      </c>
      <c r="B183" s="24">
        <v>23.0</v>
      </c>
      <c r="C183" s="24">
        <v>9.0</v>
      </c>
      <c r="D183" s="24">
        <v>2.0</v>
      </c>
      <c r="E183" s="24">
        <v>64.0</v>
      </c>
      <c r="F183" s="48">
        <v>5.8656</v>
      </c>
      <c r="G183" s="49">
        <f t="shared" si="1"/>
        <v>0.058656</v>
      </c>
      <c r="H183" s="11">
        <v>6.0</v>
      </c>
      <c r="I183" s="11">
        <v>3.0</v>
      </c>
      <c r="J183" s="50">
        <v>40916.0</v>
      </c>
      <c r="K183" s="11">
        <v>5.0</v>
      </c>
      <c r="L183" s="11">
        <v>3.0</v>
      </c>
      <c r="M183" s="51">
        <v>622.0</v>
      </c>
      <c r="N183" s="17">
        <v>59.0</v>
      </c>
      <c r="O183" s="24" t="s">
        <v>601</v>
      </c>
      <c r="P183" s="52">
        <v>81219.0</v>
      </c>
      <c r="Q183" s="51">
        <v>885.0</v>
      </c>
      <c r="R183" s="53">
        <v>800.3</v>
      </c>
      <c r="S183" s="24" t="s">
        <v>605</v>
      </c>
      <c r="T183" s="11">
        <v>3.0</v>
      </c>
      <c r="U183" s="52">
        <v>121516.0</v>
      </c>
      <c r="V183" s="11">
        <v>9.0</v>
      </c>
      <c r="W183" s="11">
        <v>8.0</v>
      </c>
      <c r="X183" s="48">
        <v>6.3928</v>
      </c>
      <c r="Y183" s="11">
        <f t="shared" si="2"/>
        <v>0.063928</v>
      </c>
    </row>
    <row r="184">
      <c r="A184" s="17">
        <v>30.0</v>
      </c>
      <c r="B184" s="24">
        <v>85.0</v>
      </c>
      <c r="C184" s="24">
        <v>3.0</v>
      </c>
      <c r="D184" s="24">
        <v>8.0</v>
      </c>
      <c r="E184" s="24">
        <v>63.0</v>
      </c>
      <c r="F184" s="48">
        <v>2.4344</v>
      </c>
      <c r="G184" s="49">
        <f t="shared" si="1"/>
        <v>0.024344</v>
      </c>
      <c r="H184" s="11">
        <v>2.0</v>
      </c>
      <c r="I184" s="11">
        <v>9.0</v>
      </c>
      <c r="J184" s="50">
        <v>90620.0</v>
      </c>
      <c r="K184" s="11">
        <v>2.0</v>
      </c>
      <c r="L184" s="11">
        <v>6.0</v>
      </c>
      <c r="M184" s="51">
        <v>602.0</v>
      </c>
      <c r="N184" s="17">
        <v>93.0</v>
      </c>
      <c r="O184" s="24" t="s">
        <v>601</v>
      </c>
      <c r="P184" s="52">
        <v>22822.0</v>
      </c>
      <c r="Q184" s="51">
        <v>359.0</v>
      </c>
      <c r="R184" s="53">
        <v>23520.62</v>
      </c>
      <c r="S184" s="24" t="s">
        <v>602</v>
      </c>
      <c r="T184" s="11">
        <v>1.0</v>
      </c>
      <c r="U184" s="52">
        <v>42823.0</v>
      </c>
      <c r="V184" s="11">
        <v>6.0</v>
      </c>
      <c r="W184" s="11">
        <v>7.0</v>
      </c>
      <c r="X184" s="48">
        <v>8.6956</v>
      </c>
      <c r="Y184" s="11">
        <f t="shared" si="2"/>
        <v>0.086956</v>
      </c>
    </row>
    <row r="185">
      <c r="A185" s="17">
        <v>24.0</v>
      </c>
      <c r="B185" s="24">
        <v>64.0</v>
      </c>
      <c r="C185" s="24">
        <v>9.0</v>
      </c>
      <c r="D185" s="24">
        <v>3.0</v>
      </c>
      <c r="E185" s="24">
        <v>61.0</v>
      </c>
      <c r="F185" s="48">
        <v>5.782</v>
      </c>
      <c r="G185" s="49">
        <f t="shared" si="1"/>
        <v>0.05782</v>
      </c>
      <c r="H185" s="11">
        <v>8.0</v>
      </c>
      <c r="I185" s="11">
        <v>6.0</v>
      </c>
      <c r="J185" s="50">
        <v>12819.0</v>
      </c>
      <c r="K185" s="11">
        <v>5.0</v>
      </c>
      <c r="L185" s="11">
        <v>4.0</v>
      </c>
      <c r="M185" s="51">
        <v>920.0</v>
      </c>
      <c r="N185" s="17">
        <v>60.0</v>
      </c>
      <c r="O185" s="24" t="s">
        <v>39</v>
      </c>
      <c r="P185" s="52">
        <v>30113.0</v>
      </c>
      <c r="Q185" s="51">
        <v>374.0</v>
      </c>
      <c r="R185" s="53">
        <v>170.85</v>
      </c>
      <c r="S185" s="24" t="s">
        <v>602</v>
      </c>
      <c r="T185" s="11">
        <v>5.0</v>
      </c>
      <c r="U185" s="52">
        <v>41022.0</v>
      </c>
      <c r="V185" s="11">
        <v>0.0</v>
      </c>
      <c r="W185" s="11">
        <v>1.0</v>
      </c>
      <c r="X185" s="48">
        <v>8.867</v>
      </c>
      <c r="Y185" s="11">
        <f t="shared" si="2"/>
        <v>0.08867</v>
      </c>
    </row>
    <row r="186">
      <c r="A186" s="17">
        <v>88.0</v>
      </c>
      <c r="B186" s="24">
        <v>85.0</v>
      </c>
      <c r="C186" s="24">
        <v>4.0</v>
      </c>
      <c r="D186" s="24">
        <v>2.0</v>
      </c>
      <c r="E186" s="24">
        <v>61.0</v>
      </c>
      <c r="F186" s="48">
        <v>3.551</v>
      </c>
      <c r="G186" s="49">
        <f t="shared" si="1"/>
        <v>0.03551</v>
      </c>
      <c r="H186" s="11">
        <v>5.0</v>
      </c>
      <c r="I186" s="11">
        <v>9.0</v>
      </c>
      <c r="J186" s="50">
        <v>32616.0</v>
      </c>
      <c r="K186" s="11">
        <v>4.0</v>
      </c>
      <c r="L186" s="11">
        <v>1.0</v>
      </c>
      <c r="M186" s="51">
        <v>592.0</v>
      </c>
      <c r="N186" s="17">
        <v>64.0</v>
      </c>
      <c r="O186" s="24" t="s">
        <v>31</v>
      </c>
      <c r="P186" s="52">
        <v>80121.0</v>
      </c>
      <c r="Q186" s="51">
        <v>49.0</v>
      </c>
      <c r="R186" s="53">
        <v>482.67</v>
      </c>
      <c r="S186" s="24" t="s">
        <v>602</v>
      </c>
      <c r="T186" s="11">
        <v>1.0</v>
      </c>
      <c r="U186" s="52">
        <v>42420.0</v>
      </c>
      <c r="V186" s="11">
        <v>8.0</v>
      </c>
      <c r="W186" s="11">
        <v>1.0</v>
      </c>
      <c r="X186" s="48">
        <v>7.2619</v>
      </c>
      <c r="Y186" s="11">
        <f t="shared" si="2"/>
        <v>0.072619</v>
      </c>
    </row>
    <row r="187">
      <c r="A187" s="17">
        <v>83.0</v>
      </c>
      <c r="B187" s="24">
        <v>85.0</v>
      </c>
      <c r="C187" s="24">
        <v>4.0</v>
      </c>
      <c r="D187" s="24">
        <v>9.0</v>
      </c>
      <c r="E187" s="24">
        <v>64.0</v>
      </c>
      <c r="F187" s="48">
        <v>9.1363</v>
      </c>
      <c r="G187" s="49">
        <f t="shared" si="1"/>
        <v>0.091363</v>
      </c>
      <c r="H187" s="11">
        <v>1.0</v>
      </c>
      <c r="I187" s="11">
        <v>7.0</v>
      </c>
      <c r="J187" s="50">
        <v>21914.0</v>
      </c>
      <c r="K187" s="11">
        <v>0.0</v>
      </c>
      <c r="L187" s="11">
        <v>5.0</v>
      </c>
      <c r="M187" s="51">
        <v>799.0</v>
      </c>
      <c r="N187" s="17">
        <v>16.0</v>
      </c>
      <c r="O187" s="24" t="s">
        <v>601</v>
      </c>
      <c r="P187" s="52">
        <v>70118.0</v>
      </c>
      <c r="Q187" s="51">
        <v>340.0</v>
      </c>
      <c r="R187" s="53">
        <v>-824.45</v>
      </c>
      <c r="S187" s="24" t="s">
        <v>602</v>
      </c>
      <c r="T187" s="11">
        <v>7.0</v>
      </c>
      <c r="U187" s="52">
        <v>61316.0</v>
      </c>
      <c r="V187" s="11">
        <v>8.0</v>
      </c>
      <c r="W187" s="11">
        <v>7.0</v>
      </c>
      <c r="X187" s="48">
        <v>8.3602</v>
      </c>
      <c r="Y187" s="11">
        <f t="shared" si="2"/>
        <v>0.083602</v>
      </c>
    </row>
    <row r="188">
      <c r="A188" s="17">
        <v>73.0</v>
      </c>
      <c r="B188" s="24">
        <v>24.0</v>
      </c>
      <c r="C188" s="24">
        <v>1.0</v>
      </c>
      <c r="D188" s="24">
        <v>2.0</v>
      </c>
      <c r="E188" s="24">
        <v>62.0</v>
      </c>
      <c r="F188" s="48">
        <v>2.5954</v>
      </c>
      <c r="G188" s="49">
        <f t="shared" si="1"/>
        <v>0.025954</v>
      </c>
      <c r="H188" s="11">
        <v>9.0</v>
      </c>
      <c r="I188" s="11">
        <v>6.0</v>
      </c>
      <c r="J188" s="50">
        <v>123121.0</v>
      </c>
      <c r="K188" s="11">
        <v>9.0</v>
      </c>
      <c r="L188" s="11">
        <v>2.0</v>
      </c>
      <c r="M188" s="51">
        <v>660.0</v>
      </c>
      <c r="N188" s="17">
        <v>12.0</v>
      </c>
      <c r="O188" s="24" t="s">
        <v>31</v>
      </c>
      <c r="P188" s="52">
        <v>50318.0</v>
      </c>
      <c r="Q188" s="51">
        <v>694.0</v>
      </c>
      <c r="R188" s="53">
        <v>-874.4</v>
      </c>
      <c r="S188" s="24" t="s">
        <v>604</v>
      </c>
      <c r="T188" s="11">
        <v>7.0</v>
      </c>
      <c r="U188" s="52">
        <v>31714.0</v>
      </c>
      <c r="V188" s="11">
        <v>7.0</v>
      </c>
      <c r="W188" s="11">
        <v>4.0</v>
      </c>
      <c r="X188" s="48">
        <v>6.9971</v>
      </c>
      <c r="Y188" s="11">
        <f t="shared" si="2"/>
        <v>0.069971</v>
      </c>
    </row>
    <row r="189">
      <c r="A189" s="17">
        <v>59.0</v>
      </c>
      <c r="B189" s="24">
        <v>65.0</v>
      </c>
      <c r="C189" s="24">
        <v>1.0</v>
      </c>
      <c r="D189" s="24">
        <v>1.0</v>
      </c>
      <c r="E189" s="24">
        <v>63.0</v>
      </c>
      <c r="F189" s="48">
        <v>9.8681</v>
      </c>
      <c r="G189" s="49">
        <f t="shared" si="1"/>
        <v>0.098681</v>
      </c>
      <c r="H189" s="11">
        <v>2.0</v>
      </c>
      <c r="I189" s="11">
        <v>3.0</v>
      </c>
      <c r="J189" s="50">
        <v>12913.0</v>
      </c>
      <c r="K189" s="11">
        <v>3.0</v>
      </c>
      <c r="L189" s="11">
        <v>2.0</v>
      </c>
      <c r="M189" s="51">
        <v>885.0</v>
      </c>
      <c r="N189" s="17">
        <v>90.0</v>
      </c>
      <c r="O189" s="24" t="s">
        <v>603</v>
      </c>
      <c r="P189" s="52">
        <v>61420.0</v>
      </c>
      <c r="Q189" s="51">
        <v>969.0</v>
      </c>
      <c r="R189" s="53">
        <v>926627.3</v>
      </c>
      <c r="S189" s="24" t="s">
        <v>605</v>
      </c>
      <c r="T189" s="11">
        <v>3.0</v>
      </c>
      <c r="U189" s="52">
        <v>90415.0</v>
      </c>
      <c r="V189" s="11">
        <v>8.0</v>
      </c>
      <c r="W189" s="11">
        <v>5.0</v>
      </c>
      <c r="X189" s="48">
        <v>8.5479</v>
      </c>
      <c r="Y189" s="11">
        <f t="shared" si="2"/>
        <v>0.085479</v>
      </c>
    </row>
    <row r="190">
      <c r="A190" s="17">
        <v>83.0</v>
      </c>
      <c r="B190" s="24">
        <v>44.0</v>
      </c>
      <c r="C190" s="24">
        <v>6.0</v>
      </c>
      <c r="D190" s="24">
        <v>4.0</v>
      </c>
      <c r="E190" s="24">
        <v>68.0</v>
      </c>
      <c r="F190" s="48">
        <v>8.8714</v>
      </c>
      <c r="G190" s="49">
        <f t="shared" si="1"/>
        <v>0.088714</v>
      </c>
      <c r="H190" s="11">
        <v>6.0</v>
      </c>
      <c r="I190" s="11">
        <v>5.0</v>
      </c>
      <c r="J190" s="50">
        <v>70914.0</v>
      </c>
      <c r="K190" s="11">
        <v>1.0</v>
      </c>
      <c r="L190" s="11">
        <v>8.0</v>
      </c>
      <c r="M190" s="51">
        <v>599.0</v>
      </c>
      <c r="N190" s="17">
        <v>71.0</v>
      </c>
      <c r="O190" s="24" t="s">
        <v>39</v>
      </c>
      <c r="P190" s="52">
        <v>20522.0</v>
      </c>
      <c r="Q190" s="51">
        <v>531.0</v>
      </c>
      <c r="R190" s="53">
        <v>52983.42</v>
      </c>
      <c r="S190" s="24" t="s">
        <v>605</v>
      </c>
      <c r="T190" s="11">
        <v>8.0</v>
      </c>
      <c r="U190" s="52">
        <v>32617.0</v>
      </c>
      <c r="V190" s="11">
        <v>4.0</v>
      </c>
      <c r="W190" s="11">
        <v>9.0</v>
      </c>
      <c r="X190" s="48">
        <v>2.2583</v>
      </c>
      <c r="Y190" s="11">
        <f t="shared" si="2"/>
        <v>0.022583</v>
      </c>
    </row>
    <row r="191">
      <c r="A191" s="17">
        <v>39.0</v>
      </c>
      <c r="B191" s="24">
        <v>85.0</v>
      </c>
      <c r="C191" s="24">
        <v>6.0</v>
      </c>
      <c r="D191" s="24">
        <v>1.0</v>
      </c>
      <c r="E191" s="24">
        <v>65.0</v>
      </c>
      <c r="F191" s="48">
        <v>9.7251</v>
      </c>
      <c r="G191" s="49">
        <f t="shared" si="1"/>
        <v>0.097251</v>
      </c>
      <c r="H191" s="11">
        <v>2.0</v>
      </c>
      <c r="I191" s="11">
        <v>2.0</v>
      </c>
      <c r="J191" s="50">
        <v>111213.0</v>
      </c>
      <c r="K191" s="11">
        <v>3.0</v>
      </c>
      <c r="L191" s="11">
        <v>8.0</v>
      </c>
      <c r="M191" s="51">
        <v>894.0</v>
      </c>
      <c r="N191" s="17">
        <v>21.0</v>
      </c>
      <c r="O191" s="24" t="s">
        <v>606</v>
      </c>
      <c r="P191" s="52">
        <v>42018.0</v>
      </c>
      <c r="Q191" s="51">
        <v>980.0</v>
      </c>
      <c r="R191" s="53">
        <v>-870.1</v>
      </c>
      <c r="S191" s="24" t="s">
        <v>600</v>
      </c>
      <c r="T191" s="11">
        <v>4.0</v>
      </c>
      <c r="U191" s="52">
        <v>52422.0</v>
      </c>
      <c r="V191" s="11">
        <v>2.0</v>
      </c>
      <c r="W191" s="11">
        <v>9.0</v>
      </c>
      <c r="X191" s="48">
        <v>5.2029</v>
      </c>
      <c r="Y191" s="11">
        <f t="shared" si="2"/>
        <v>0.052029</v>
      </c>
    </row>
    <row r="192">
      <c r="A192" s="17">
        <v>71.0</v>
      </c>
      <c r="B192" s="24">
        <v>44.0</v>
      </c>
      <c r="C192" s="24">
        <v>6.0</v>
      </c>
      <c r="D192" s="24">
        <v>6.0</v>
      </c>
      <c r="E192" s="24">
        <v>60.0</v>
      </c>
      <c r="F192" s="48">
        <v>5.1106</v>
      </c>
      <c r="G192" s="49">
        <f t="shared" si="1"/>
        <v>0.051106</v>
      </c>
      <c r="H192" s="11">
        <v>5.0</v>
      </c>
      <c r="I192" s="11">
        <v>8.0</v>
      </c>
      <c r="J192" s="50">
        <v>70215.0</v>
      </c>
      <c r="K192" s="11">
        <v>4.0</v>
      </c>
      <c r="L192" s="11">
        <v>1.0</v>
      </c>
      <c r="M192" s="51">
        <v>173.0</v>
      </c>
      <c r="N192" s="17">
        <v>98.0</v>
      </c>
      <c r="O192" s="24" t="s">
        <v>31</v>
      </c>
      <c r="P192" s="52">
        <v>20919.0</v>
      </c>
      <c r="Q192" s="51">
        <v>702.0</v>
      </c>
      <c r="R192" s="53">
        <v>3558.39</v>
      </c>
      <c r="S192" s="24" t="s">
        <v>600</v>
      </c>
      <c r="T192" s="11">
        <v>0.0</v>
      </c>
      <c r="U192" s="52">
        <v>61315.0</v>
      </c>
      <c r="V192" s="11">
        <v>1.0</v>
      </c>
      <c r="W192" s="11">
        <v>1.0</v>
      </c>
      <c r="X192" s="48">
        <v>2.7461</v>
      </c>
      <c r="Y192" s="11">
        <f t="shared" si="2"/>
        <v>0.027461</v>
      </c>
    </row>
    <row r="193">
      <c r="A193" s="17">
        <v>32.0</v>
      </c>
      <c r="B193" s="24">
        <v>85.0</v>
      </c>
      <c r="C193" s="24">
        <v>6.0</v>
      </c>
      <c r="D193" s="24">
        <v>5.0</v>
      </c>
      <c r="E193" s="24">
        <v>64.0</v>
      </c>
      <c r="F193" s="48">
        <v>3.1864</v>
      </c>
      <c r="G193" s="49">
        <f t="shared" si="1"/>
        <v>0.031864</v>
      </c>
      <c r="H193" s="11">
        <v>6.0</v>
      </c>
      <c r="I193" s="11">
        <v>0.0</v>
      </c>
      <c r="J193" s="50">
        <v>90521.0</v>
      </c>
      <c r="K193" s="11">
        <v>3.0</v>
      </c>
      <c r="L193" s="11">
        <v>4.0</v>
      </c>
      <c r="M193" s="51">
        <v>645.0</v>
      </c>
      <c r="N193" s="17">
        <v>43.0</v>
      </c>
      <c r="O193" s="24" t="s">
        <v>606</v>
      </c>
      <c r="P193" s="52">
        <v>10213.0</v>
      </c>
      <c r="Q193" s="51">
        <v>951.0</v>
      </c>
      <c r="R193" s="53">
        <v>-871580.3</v>
      </c>
      <c r="S193" s="24" t="s">
        <v>604</v>
      </c>
      <c r="T193" s="11">
        <v>5.0</v>
      </c>
      <c r="U193" s="52">
        <v>42213.0</v>
      </c>
      <c r="V193" s="11">
        <v>7.0</v>
      </c>
      <c r="W193" s="11">
        <v>8.0</v>
      </c>
      <c r="X193" s="48">
        <v>5.401</v>
      </c>
      <c r="Y193" s="11">
        <f t="shared" si="2"/>
        <v>0.05401</v>
      </c>
    </row>
    <row r="194">
      <c r="A194" s="17">
        <v>0.0</v>
      </c>
      <c r="B194" s="24">
        <v>65.0</v>
      </c>
      <c r="C194" s="24">
        <v>1.0</v>
      </c>
      <c r="D194" s="24">
        <v>7.0</v>
      </c>
      <c r="E194" s="24">
        <v>68.0</v>
      </c>
      <c r="F194" s="48">
        <v>4.5782</v>
      </c>
      <c r="G194" s="49">
        <f t="shared" si="1"/>
        <v>0.045782</v>
      </c>
      <c r="H194" s="11">
        <v>6.0</v>
      </c>
      <c r="I194" s="11">
        <v>0.0</v>
      </c>
      <c r="J194" s="50">
        <v>30721.0</v>
      </c>
      <c r="K194" s="11">
        <v>9.0</v>
      </c>
      <c r="L194" s="11">
        <v>4.0</v>
      </c>
      <c r="M194" s="51">
        <v>90.0</v>
      </c>
      <c r="N194" s="17">
        <v>29.0</v>
      </c>
      <c r="O194" s="24" t="s">
        <v>48</v>
      </c>
      <c r="P194" s="52">
        <v>110917.0</v>
      </c>
      <c r="Q194" s="51">
        <v>685.0</v>
      </c>
      <c r="R194" s="53">
        <v>-28106.73</v>
      </c>
      <c r="S194" s="24" t="s">
        <v>604</v>
      </c>
      <c r="T194" s="11">
        <v>3.0</v>
      </c>
      <c r="U194" s="52">
        <v>112720.0</v>
      </c>
      <c r="V194" s="11">
        <v>0.0</v>
      </c>
      <c r="W194" s="11">
        <v>3.0</v>
      </c>
      <c r="X194" s="48">
        <v>1.3092</v>
      </c>
      <c r="Y194" s="11">
        <f t="shared" si="2"/>
        <v>0.013092</v>
      </c>
    </row>
    <row r="195">
      <c r="A195" s="17">
        <v>27.0</v>
      </c>
      <c r="B195" s="24">
        <v>24.0</v>
      </c>
      <c r="C195" s="24">
        <v>2.0</v>
      </c>
      <c r="D195" s="24">
        <v>7.0</v>
      </c>
      <c r="E195" s="24">
        <v>65.0</v>
      </c>
      <c r="F195" s="48">
        <v>9.983</v>
      </c>
      <c r="G195" s="49">
        <f t="shared" si="1"/>
        <v>0.09983</v>
      </c>
      <c r="H195" s="11">
        <v>9.0</v>
      </c>
      <c r="I195" s="11">
        <v>6.0</v>
      </c>
      <c r="J195" s="50">
        <v>40321.0</v>
      </c>
      <c r="K195" s="11">
        <v>4.0</v>
      </c>
      <c r="L195" s="11">
        <v>5.0</v>
      </c>
      <c r="M195" s="51">
        <v>186.0</v>
      </c>
      <c r="N195" s="17">
        <v>95.0</v>
      </c>
      <c r="O195" s="24" t="s">
        <v>600</v>
      </c>
      <c r="P195" s="52">
        <v>52119.0</v>
      </c>
      <c r="Q195" s="51">
        <v>151.0</v>
      </c>
      <c r="R195" s="53">
        <v>380.85</v>
      </c>
      <c r="S195" s="24" t="s">
        <v>602</v>
      </c>
      <c r="T195" s="11">
        <v>9.0</v>
      </c>
      <c r="U195" s="52">
        <v>51020.0</v>
      </c>
      <c r="V195" s="11">
        <v>8.0</v>
      </c>
      <c r="W195" s="11">
        <v>9.0</v>
      </c>
      <c r="X195" s="48">
        <v>3.7154</v>
      </c>
      <c r="Y195" s="11">
        <f t="shared" si="2"/>
        <v>0.037154</v>
      </c>
    </row>
    <row r="196">
      <c r="A196" s="17">
        <v>25.0</v>
      </c>
      <c r="B196" s="24">
        <v>24.0</v>
      </c>
      <c r="C196" s="24">
        <v>2.0</v>
      </c>
      <c r="D196" s="24">
        <v>9.0</v>
      </c>
      <c r="E196" s="24">
        <v>68.0</v>
      </c>
      <c r="F196" s="48">
        <v>5.2812</v>
      </c>
      <c r="G196" s="49">
        <f t="shared" si="1"/>
        <v>0.052812</v>
      </c>
      <c r="H196" s="11">
        <v>3.0</v>
      </c>
      <c r="I196" s="11">
        <v>7.0</v>
      </c>
      <c r="J196" s="50">
        <v>101215.0</v>
      </c>
      <c r="K196" s="11">
        <v>5.0</v>
      </c>
      <c r="L196" s="11">
        <v>6.0</v>
      </c>
      <c r="M196" s="51">
        <v>614.0</v>
      </c>
      <c r="N196" s="17">
        <v>42.0</v>
      </c>
      <c r="O196" s="24" t="s">
        <v>603</v>
      </c>
      <c r="P196" s="52">
        <v>82314.0</v>
      </c>
      <c r="Q196" s="51">
        <v>900.0</v>
      </c>
      <c r="R196" s="53">
        <v>12995.65</v>
      </c>
      <c r="S196" s="24" t="s">
        <v>600</v>
      </c>
      <c r="T196" s="11">
        <v>0.0</v>
      </c>
      <c r="U196" s="52">
        <v>93014.0</v>
      </c>
      <c r="V196" s="11">
        <v>4.0</v>
      </c>
      <c r="W196" s="11">
        <v>1.0</v>
      </c>
      <c r="X196" s="48">
        <v>2.6927</v>
      </c>
      <c r="Y196" s="11">
        <f t="shared" si="2"/>
        <v>0.026927</v>
      </c>
    </row>
    <row r="197">
      <c r="A197" s="17">
        <v>16.0</v>
      </c>
      <c r="B197" s="24">
        <v>85.0</v>
      </c>
      <c r="C197" s="24">
        <v>7.0</v>
      </c>
      <c r="D197" s="24">
        <v>3.0</v>
      </c>
      <c r="E197" s="24">
        <v>62.0</v>
      </c>
      <c r="F197" s="48">
        <v>8.3956</v>
      </c>
      <c r="G197" s="49">
        <f t="shared" si="1"/>
        <v>0.083956</v>
      </c>
      <c r="H197" s="11">
        <v>6.0</v>
      </c>
      <c r="I197" s="11">
        <v>1.0</v>
      </c>
      <c r="J197" s="50">
        <v>72421.0</v>
      </c>
      <c r="K197" s="11">
        <v>0.0</v>
      </c>
      <c r="L197" s="11">
        <v>5.0</v>
      </c>
      <c r="M197" s="51">
        <v>531.0</v>
      </c>
      <c r="N197" s="17">
        <v>30.0</v>
      </c>
      <c r="O197" s="24" t="s">
        <v>601</v>
      </c>
      <c r="P197" s="52">
        <v>101720.0</v>
      </c>
      <c r="Q197" s="51">
        <v>505.0</v>
      </c>
      <c r="R197" s="53">
        <v>274020.92</v>
      </c>
      <c r="S197" s="24" t="s">
        <v>602</v>
      </c>
      <c r="T197" s="11">
        <v>5.0</v>
      </c>
      <c r="U197" s="52">
        <v>42816.0</v>
      </c>
      <c r="V197" s="11">
        <v>7.0</v>
      </c>
      <c r="W197" s="11">
        <v>1.0</v>
      </c>
      <c r="X197" s="48">
        <v>2.5928</v>
      </c>
      <c r="Y197" s="11">
        <f t="shared" si="2"/>
        <v>0.025928</v>
      </c>
    </row>
    <row r="198">
      <c r="A198" s="17">
        <v>71.0</v>
      </c>
      <c r="B198" s="24">
        <v>44.0</v>
      </c>
      <c r="C198" s="24">
        <v>8.0</v>
      </c>
      <c r="D198" s="24">
        <v>1.0</v>
      </c>
      <c r="E198" s="24">
        <v>61.0</v>
      </c>
      <c r="F198" s="48">
        <v>3.5158</v>
      </c>
      <c r="G198" s="49">
        <f t="shared" si="1"/>
        <v>0.035158</v>
      </c>
      <c r="H198" s="11">
        <v>6.0</v>
      </c>
      <c r="I198" s="11">
        <v>9.0</v>
      </c>
      <c r="J198" s="50">
        <v>122013.0</v>
      </c>
      <c r="K198" s="11">
        <v>3.0</v>
      </c>
      <c r="L198" s="11">
        <v>3.0</v>
      </c>
      <c r="M198" s="51">
        <v>704.0</v>
      </c>
      <c r="N198" s="17">
        <v>28.0</v>
      </c>
      <c r="O198" s="24" t="s">
        <v>48</v>
      </c>
      <c r="P198" s="52">
        <v>30317.0</v>
      </c>
      <c r="Q198" s="51">
        <v>234.0</v>
      </c>
      <c r="R198" s="53">
        <v>92189.4</v>
      </c>
      <c r="S198" s="24" t="s">
        <v>604</v>
      </c>
      <c r="T198" s="11">
        <v>5.0</v>
      </c>
      <c r="U198" s="52">
        <v>121317.0</v>
      </c>
      <c r="V198" s="11">
        <v>4.0</v>
      </c>
      <c r="W198" s="11">
        <v>1.0</v>
      </c>
      <c r="X198" s="48">
        <v>7.8636</v>
      </c>
      <c r="Y198" s="11">
        <f t="shared" si="2"/>
        <v>0.078636</v>
      </c>
    </row>
    <row r="199">
      <c r="A199" s="17">
        <v>5.0</v>
      </c>
      <c r="B199" s="24">
        <v>85.0</v>
      </c>
      <c r="C199" s="24">
        <v>7.0</v>
      </c>
      <c r="D199" s="24">
        <v>9.0</v>
      </c>
      <c r="E199" s="24">
        <v>61.0</v>
      </c>
      <c r="F199" s="48">
        <v>6.696</v>
      </c>
      <c r="G199" s="49">
        <f t="shared" si="1"/>
        <v>0.06696</v>
      </c>
      <c r="H199" s="11">
        <v>0.0</v>
      </c>
      <c r="I199" s="11">
        <v>1.0</v>
      </c>
      <c r="J199" s="50">
        <v>103019.0</v>
      </c>
      <c r="K199" s="11">
        <v>5.0</v>
      </c>
      <c r="L199" s="11">
        <v>6.0</v>
      </c>
      <c r="M199" s="51">
        <v>562.0</v>
      </c>
      <c r="N199" s="17">
        <v>24.0</v>
      </c>
      <c r="O199" s="24" t="s">
        <v>600</v>
      </c>
      <c r="P199" s="52">
        <v>61913.0</v>
      </c>
      <c r="Q199" s="51">
        <v>337.0</v>
      </c>
      <c r="R199" s="53">
        <v>349618.3</v>
      </c>
      <c r="S199" s="24" t="s">
        <v>602</v>
      </c>
      <c r="T199" s="11">
        <v>8.0</v>
      </c>
      <c r="U199" s="52">
        <v>11216.0</v>
      </c>
      <c r="V199" s="11">
        <v>8.0</v>
      </c>
      <c r="W199" s="11">
        <v>0.0</v>
      </c>
      <c r="X199" s="48">
        <v>9.7154</v>
      </c>
      <c r="Y199" s="11">
        <f t="shared" si="2"/>
        <v>0.097154</v>
      </c>
    </row>
    <row r="200">
      <c r="A200" s="17">
        <v>8.0</v>
      </c>
      <c r="B200" s="24">
        <v>85.0</v>
      </c>
      <c r="C200" s="24">
        <v>8.0</v>
      </c>
      <c r="D200" s="24">
        <v>2.0</v>
      </c>
      <c r="E200" s="24">
        <v>68.0</v>
      </c>
      <c r="F200" s="48">
        <v>7.3421</v>
      </c>
      <c r="G200" s="49">
        <f t="shared" si="1"/>
        <v>0.073421</v>
      </c>
      <c r="H200" s="11">
        <v>9.0</v>
      </c>
      <c r="I200" s="11">
        <v>6.0</v>
      </c>
      <c r="J200" s="50">
        <v>21019.0</v>
      </c>
      <c r="K200" s="11">
        <v>8.0</v>
      </c>
      <c r="L200" s="11">
        <v>5.0</v>
      </c>
      <c r="M200" s="51">
        <v>580.0</v>
      </c>
      <c r="N200" s="17">
        <v>36.0</v>
      </c>
      <c r="O200" s="24" t="s">
        <v>39</v>
      </c>
      <c r="P200" s="52">
        <v>30420.0</v>
      </c>
      <c r="Q200" s="51">
        <v>337.0</v>
      </c>
      <c r="R200" s="53">
        <v>955716.98</v>
      </c>
      <c r="S200" s="24" t="s">
        <v>605</v>
      </c>
      <c r="T200" s="11">
        <v>1.0</v>
      </c>
      <c r="U200" s="52">
        <v>72716.0</v>
      </c>
      <c r="V200" s="11">
        <v>6.0</v>
      </c>
      <c r="W200" s="11">
        <v>2.0</v>
      </c>
      <c r="X200" s="48">
        <v>7.1225</v>
      </c>
      <c r="Y200" s="11">
        <f t="shared" si="2"/>
        <v>0.071225</v>
      </c>
    </row>
    <row r="201">
      <c r="A201" s="17">
        <v>58.0</v>
      </c>
      <c r="B201" s="24">
        <v>85.0</v>
      </c>
      <c r="C201" s="24">
        <v>8.0</v>
      </c>
      <c r="D201" s="24">
        <v>4.0</v>
      </c>
      <c r="E201" s="24">
        <v>66.0</v>
      </c>
      <c r="F201" s="48">
        <v>9.9952</v>
      </c>
      <c r="G201" s="49">
        <f t="shared" si="1"/>
        <v>0.099952</v>
      </c>
      <c r="H201" s="11">
        <v>8.0</v>
      </c>
      <c r="I201" s="11">
        <v>8.0</v>
      </c>
      <c r="J201" s="50">
        <v>70416.0</v>
      </c>
      <c r="K201" s="11">
        <v>8.0</v>
      </c>
      <c r="L201" s="11">
        <v>0.0</v>
      </c>
      <c r="M201" s="51">
        <v>874.0</v>
      </c>
      <c r="N201" s="17">
        <v>2.0</v>
      </c>
      <c r="O201" s="24" t="s">
        <v>603</v>
      </c>
      <c r="P201" s="52">
        <v>80319.0</v>
      </c>
      <c r="Q201" s="51">
        <v>993.0</v>
      </c>
      <c r="R201" s="53">
        <v>-953.23</v>
      </c>
      <c r="S201" s="24" t="s">
        <v>602</v>
      </c>
      <c r="T201" s="11">
        <v>1.0</v>
      </c>
      <c r="U201" s="52">
        <v>81823.0</v>
      </c>
      <c r="V201" s="11">
        <v>4.0</v>
      </c>
      <c r="W201" s="11">
        <v>4.0</v>
      </c>
      <c r="X201" s="48">
        <v>1.345</v>
      </c>
      <c r="Y201" s="11">
        <f t="shared" si="2"/>
        <v>0.01345</v>
      </c>
    </row>
    <row r="202">
      <c r="A202" s="17">
        <v>69.0</v>
      </c>
      <c r="B202" s="24">
        <v>85.0</v>
      </c>
      <c r="C202" s="24">
        <v>8.0</v>
      </c>
      <c r="D202" s="24">
        <v>9.0</v>
      </c>
      <c r="E202" s="24">
        <v>62.0</v>
      </c>
      <c r="F202" s="48">
        <v>1.1239</v>
      </c>
      <c r="G202" s="49">
        <f t="shared" si="1"/>
        <v>0.011239</v>
      </c>
      <c r="H202" s="11">
        <v>3.0</v>
      </c>
      <c r="I202" s="11">
        <v>0.0</v>
      </c>
      <c r="J202" s="50">
        <v>31222.0</v>
      </c>
      <c r="K202" s="11">
        <v>5.0</v>
      </c>
      <c r="L202" s="11">
        <v>1.0</v>
      </c>
      <c r="M202" s="51">
        <v>707.0</v>
      </c>
      <c r="N202" s="17">
        <v>40.0</v>
      </c>
      <c r="O202" s="24" t="s">
        <v>603</v>
      </c>
      <c r="P202" s="52">
        <v>31520.0</v>
      </c>
      <c r="Q202" s="51">
        <v>546.0</v>
      </c>
      <c r="R202" s="53">
        <v>856.56</v>
      </c>
      <c r="S202" s="24" t="s">
        <v>604</v>
      </c>
      <c r="T202" s="11">
        <v>0.0</v>
      </c>
      <c r="U202" s="52">
        <v>50121.0</v>
      </c>
      <c r="V202" s="11">
        <v>6.0</v>
      </c>
      <c r="W202" s="11">
        <v>4.0</v>
      </c>
      <c r="X202" s="48">
        <v>1.9992</v>
      </c>
      <c r="Y202" s="11">
        <f t="shared" si="2"/>
        <v>0.019992</v>
      </c>
    </row>
    <row r="203">
      <c r="A203" s="17">
        <v>6.0</v>
      </c>
      <c r="B203" s="24">
        <v>65.0</v>
      </c>
      <c r="C203" s="24">
        <v>4.0</v>
      </c>
      <c r="D203" s="24">
        <v>2.0</v>
      </c>
      <c r="E203" s="24">
        <v>66.0</v>
      </c>
      <c r="F203" s="48">
        <v>9.4076</v>
      </c>
      <c r="G203" s="49">
        <f t="shared" si="1"/>
        <v>0.094076</v>
      </c>
      <c r="H203" s="11">
        <v>1.0</v>
      </c>
      <c r="I203" s="11">
        <v>3.0</v>
      </c>
      <c r="J203" s="50">
        <v>92618.0</v>
      </c>
      <c r="K203" s="11">
        <v>0.0</v>
      </c>
      <c r="L203" s="11">
        <v>9.0</v>
      </c>
      <c r="M203" s="51">
        <v>210.0</v>
      </c>
      <c r="N203" s="17">
        <v>7.0</v>
      </c>
      <c r="O203" s="24" t="s">
        <v>48</v>
      </c>
      <c r="P203" s="52">
        <v>120417.0</v>
      </c>
      <c r="Q203" s="51">
        <v>720.0</v>
      </c>
      <c r="R203" s="53">
        <v>78598.48</v>
      </c>
      <c r="S203" s="24" t="s">
        <v>600</v>
      </c>
      <c r="T203" s="11">
        <v>8.0</v>
      </c>
      <c r="U203" s="52">
        <v>20117.0</v>
      </c>
      <c r="V203" s="11">
        <v>7.0</v>
      </c>
      <c r="W203" s="11">
        <v>1.0</v>
      </c>
      <c r="X203" s="48">
        <v>9.9069</v>
      </c>
      <c r="Y203" s="11">
        <f t="shared" si="2"/>
        <v>0.099069</v>
      </c>
    </row>
    <row r="204">
      <c r="A204" s="17">
        <v>86.0</v>
      </c>
      <c r="B204" s="24">
        <v>44.0</v>
      </c>
      <c r="C204" s="24">
        <v>9.0</v>
      </c>
      <c r="D204" s="24">
        <v>4.0</v>
      </c>
      <c r="E204" s="24">
        <v>62.0</v>
      </c>
      <c r="F204" s="48">
        <v>3.453</v>
      </c>
      <c r="G204" s="49">
        <f t="shared" si="1"/>
        <v>0.03453</v>
      </c>
      <c r="H204" s="11">
        <v>0.0</v>
      </c>
      <c r="I204" s="11">
        <v>9.0</v>
      </c>
      <c r="J204" s="50">
        <v>52919.0</v>
      </c>
      <c r="K204" s="11">
        <v>5.0</v>
      </c>
      <c r="L204" s="11">
        <v>2.0</v>
      </c>
      <c r="M204" s="51">
        <v>228.0</v>
      </c>
      <c r="N204" s="17">
        <v>53.0</v>
      </c>
      <c r="O204" s="24" t="s">
        <v>39</v>
      </c>
      <c r="P204" s="52">
        <v>101817.0</v>
      </c>
      <c r="Q204" s="51">
        <v>694.0</v>
      </c>
      <c r="R204" s="53">
        <v>791.17</v>
      </c>
      <c r="S204" s="24" t="s">
        <v>602</v>
      </c>
      <c r="T204" s="11">
        <v>1.0</v>
      </c>
      <c r="U204" s="52">
        <v>31121.0</v>
      </c>
      <c r="V204" s="11">
        <v>8.0</v>
      </c>
      <c r="W204" s="11">
        <v>0.0</v>
      </c>
      <c r="X204" s="48">
        <v>9.3436</v>
      </c>
      <c r="Y204" s="11">
        <f t="shared" si="2"/>
        <v>0.093436</v>
      </c>
    </row>
    <row r="205">
      <c r="A205" s="17">
        <v>43.0</v>
      </c>
      <c r="B205" s="24">
        <v>65.0</v>
      </c>
      <c r="C205" s="24">
        <v>4.0</v>
      </c>
      <c r="D205" s="24">
        <v>4.0</v>
      </c>
      <c r="E205" s="24">
        <v>64.0</v>
      </c>
      <c r="F205" s="48">
        <v>1.354</v>
      </c>
      <c r="G205" s="49">
        <f t="shared" si="1"/>
        <v>0.01354</v>
      </c>
      <c r="H205" s="11">
        <v>0.0</v>
      </c>
      <c r="I205" s="11">
        <v>8.0</v>
      </c>
      <c r="J205" s="50">
        <v>120616.0</v>
      </c>
      <c r="K205" s="11">
        <v>6.0</v>
      </c>
      <c r="L205" s="11">
        <v>3.0</v>
      </c>
      <c r="M205" s="51">
        <v>376.0</v>
      </c>
      <c r="N205" s="17">
        <v>98.0</v>
      </c>
      <c r="O205" s="24" t="s">
        <v>48</v>
      </c>
      <c r="P205" s="52">
        <v>62820.0</v>
      </c>
      <c r="Q205" s="51">
        <v>320.0</v>
      </c>
      <c r="R205" s="53">
        <v>-7288.63</v>
      </c>
      <c r="S205" s="24" t="s">
        <v>604</v>
      </c>
      <c r="T205" s="11">
        <v>2.0</v>
      </c>
      <c r="U205" s="52">
        <v>121517.0</v>
      </c>
      <c r="V205" s="11">
        <v>5.0</v>
      </c>
      <c r="W205" s="11">
        <v>3.0</v>
      </c>
      <c r="X205" s="48">
        <v>2.8144</v>
      </c>
      <c r="Y205" s="11">
        <f t="shared" si="2"/>
        <v>0.028144</v>
      </c>
    </row>
    <row r="206">
      <c r="A206" s="17">
        <v>77.0</v>
      </c>
      <c r="B206" s="24">
        <v>85.0</v>
      </c>
      <c r="C206" s="24">
        <v>9.0</v>
      </c>
      <c r="D206" s="24">
        <v>3.0</v>
      </c>
      <c r="E206" s="24">
        <v>68.0</v>
      </c>
      <c r="F206" s="48">
        <v>8.84</v>
      </c>
      <c r="G206" s="49">
        <f t="shared" si="1"/>
        <v>0.0884</v>
      </c>
      <c r="H206" s="11">
        <v>2.0</v>
      </c>
      <c r="I206" s="11">
        <v>8.0</v>
      </c>
      <c r="J206" s="50">
        <v>40120.0</v>
      </c>
      <c r="K206" s="11">
        <v>0.0</v>
      </c>
      <c r="L206" s="11">
        <v>5.0</v>
      </c>
      <c r="M206" s="51">
        <v>877.0</v>
      </c>
      <c r="N206" s="17">
        <v>69.0</v>
      </c>
      <c r="O206" s="24" t="s">
        <v>600</v>
      </c>
      <c r="P206" s="52">
        <v>110616.0</v>
      </c>
      <c r="Q206" s="51">
        <v>522.0</v>
      </c>
      <c r="R206" s="53">
        <v>753.45</v>
      </c>
      <c r="S206" s="24" t="s">
        <v>602</v>
      </c>
      <c r="T206" s="11">
        <v>8.0</v>
      </c>
      <c r="U206" s="52">
        <v>22713.0</v>
      </c>
      <c r="V206" s="11">
        <v>3.0</v>
      </c>
      <c r="W206" s="11">
        <v>2.0</v>
      </c>
      <c r="X206" s="48">
        <v>5.5694</v>
      </c>
      <c r="Y206" s="11">
        <f t="shared" si="2"/>
        <v>0.055694</v>
      </c>
    </row>
    <row r="207">
      <c r="A207" s="17">
        <v>94.0</v>
      </c>
      <c r="B207" s="24">
        <v>44.0</v>
      </c>
      <c r="C207" s="24">
        <v>9.0</v>
      </c>
      <c r="D207" s="24">
        <v>7.0</v>
      </c>
      <c r="E207" s="24">
        <v>60.0</v>
      </c>
      <c r="F207" s="48">
        <v>5.8911</v>
      </c>
      <c r="G207" s="49">
        <f t="shared" si="1"/>
        <v>0.058911</v>
      </c>
      <c r="H207" s="11">
        <v>9.0</v>
      </c>
      <c r="I207" s="11">
        <v>0.0</v>
      </c>
      <c r="J207" s="50">
        <v>111621.0</v>
      </c>
      <c r="K207" s="11">
        <v>3.0</v>
      </c>
      <c r="L207" s="11">
        <v>3.0</v>
      </c>
      <c r="M207" s="51">
        <v>660.0</v>
      </c>
      <c r="N207" s="17">
        <v>36.0</v>
      </c>
      <c r="O207" s="24" t="s">
        <v>603</v>
      </c>
      <c r="P207" s="52">
        <v>72419.0</v>
      </c>
      <c r="Q207" s="51">
        <v>898.0</v>
      </c>
      <c r="R207" s="53">
        <v>853643.89</v>
      </c>
      <c r="S207" s="24" t="s">
        <v>604</v>
      </c>
      <c r="T207" s="11">
        <v>4.0</v>
      </c>
      <c r="U207" s="52">
        <v>122422.0</v>
      </c>
      <c r="V207" s="11">
        <v>9.0</v>
      </c>
      <c r="W207" s="11">
        <v>5.0</v>
      </c>
      <c r="X207" s="48">
        <v>8.2632</v>
      </c>
      <c r="Y207" s="11">
        <f t="shared" si="2"/>
        <v>0.082632</v>
      </c>
    </row>
    <row r="208">
      <c r="A208" s="17">
        <v>64.0</v>
      </c>
      <c r="B208" s="24">
        <v>85.0</v>
      </c>
      <c r="C208" s="24">
        <v>9.0</v>
      </c>
      <c r="D208" s="24">
        <v>4.0</v>
      </c>
      <c r="E208" s="24">
        <v>66.0</v>
      </c>
      <c r="F208" s="48">
        <v>4.6824</v>
      </c>
      <c r="G208" s="49">
        <f t="shared" si="1"/>
        <v>0.046824</v>
      </c>
      <c r="H208" s="11">
        <v>9.0</v>
      </c>
      <c r="I208" s="11">
        <v>9.0</v>
      </c>
      <c r="J208" s="50">
        <v>80414.0</v>
      </c>
      <c r="K208" s="11">
        <v>6.0</v>
      </c>
      <c r="L208" s="11">
        <v>1.0</v>
      </c>
      <c r="M208" s="51">
        <v>436.0</v>
      </c>
      <c r="N208" s="17">
        <v>90.0</v>
      </c>
      <c r="O208" s="24" t="s">
        <v>601</v>
      </c>
      <c r="P208" s="52">
        <v>110119.0</v>
      </c>
      <c r="Q208" s="51">
        <v>56.0</v>
      </c>
      <c r="R208" s="53">
        <v>84032.6</v>
      </c>
      <c r="S208" s="24" t="s">
        <v>604</v>
      </c>
      <c r="T208" s="11">
        <v>1.0</v>
      </c>
      <c r="U208" s="52">
        <v>122119.0</v>
      </c>
      <c r="V208" s="11">
        <v>2.0</v>
      </c>
      <c r="W208" s="11">
        <v>6.0</v>
      </c>
      <c r="X208" s="48">
        <v>5.5994</v>
      </c>
      <c r="Y208" s="11">
        <f t="shared" si="2"/>
        <v>0.055994</v>
      </c>
    </row>
    <row r="209">
      <c r="A209" s="17">
        <v>8.0</v>
      </c>
      <c r="B209" s="24">
        <v>85.0</v>
      </c>
      <c r="C209" s="24">
        <v>9.0</v>
      </c>
      <c r="D209" s="24">
        <v>7.0</v>
      </c>
      <c r="E209" s="24">
        <v>60.0</v>
      </c>
      <c r="F209" s="48">
        <v>2.4063</v>
      </c>
      <c r="G209" s="49">
        <f t="shared" si="1"/>
        <v>0.024063</v>
      </c>
      <c r="H209" s="11">
        <v>9.0</v>
      </c>
      <c r="I209" s="11">
        <v>2.0</v>
      </c>
      <c r="J209" s="50">
        <v>90814.0</v>
      </c>
      <c r="K209" s="11">
        <v>4.0</v>
      </c>
      <c r="L209" s="11">
        <v>5.0</v>
      </c>
      <c r="M209" s="51">
        <v>885.0</v>
      </c>
      <c r="N209" s="17">
        <v>24.0</v>
      </c>
      <c r="O209" s="24" t="s">
        <v>606</v>
      </c>
      <c r="P209" s="52">
        <v>51019.0</v>
      </c>
      <c r="Q209" s="51">
        <v>13.0</v>
      </c>
      <c r="R209" s="53">
        <v>-255.9</v>
      </c>
      <c r="S209" s="24" t="s">
        <v>602</v>
      </c>
      <c r="T209" s="11">
        <v>2.0</v>
      </c>
      <c r="U209" s="52">
        <v>31016.0</v>
      </c>
      <c r="V209" s="11">
        <v>6.0</v>
      </c>
      <c r="W209" s="11">
        <v>0.0</v>
      </c>
      <c r="X209" s="48">
        <v>9.7289</v>
      </c>
      <c r="Y209" s="11">
        <f t="shared" si="2"/>
        <v>0.097289</v>
      </c>
    </row>
    <row r="210">
      <c r="A210" s="17">
        <v>54.0</v>
      </c>
      <c r="B210" s="24">
        <v>65.0</v>
      </c>
      <c r="C210" s="24">
        <v>4.0</v>
      </c>
      <c r="D210" s="24">
        <v>9.0</v>
      </c>
      <c r="E210" s="24">
        <v>68.0</v>
      </c>
      <c r="F210" s="48">
        <v>4.1763</v>
      </c>
      <c r="G210" s="49">
        <f t="shared" si="1"/>
        <v>0.041763</v>
      </c>
      <c r="H210" s="11">
        <v>2.0</v>
      </c>
      <c r="I210" s="11">
        <v>5.0</v>
      </c>
      <c r="J210" s="50">
        <v>10713.0</v>
      </c>
      <c r="K210" s="11">
        <v>7.0</v>
      </c>
      <c r="L210" s="11">
        <v>7.0</v>
      </c>
      <c r="M210" s="51">
        <v>896.0</v>
      </c>
      <c r="N210" s="17">
        <v>78.0</v>
      </c>
      <c r="O210" s="24" t="s">
        <v>601</v>
      </c>
      <c r="P210" s="52">
        <v>121615.0</v>
      </c>
      <c r="Q210" s="51">
        <v>138.0</v>
      </c>
      <c r="R210" s="53">
        <v>8481.52</v>
      </c>
      <c r="S210" s="24" t="s">
        <v>602</v>
      </c>
      <c r="T210" s="11">
        <v>3.0</v>
      </c>
      <c r="U210" s="52">
        <v>71314.0</v>
      </c>
      <c r="V210" s="11">
        <v>9.0</v>
      </c>
      <c r="W210" s="11">
        <v>9.0</v>
      </c>
      <c r="X210" s="48">
        <v>8.3748</v>
      </c>
      <c r="Y210" s="11">
        <f t="shared" si="2"/>
        <v>0.083748</v>
      </c>
    </row>
    <row r="211">
      <c r="A211" s="17">
        <v>42.0</v>
      </c>
      <c r="B211" s="24">
        <v>24.0</v>
      </c>
      <c r="C211" s="24">
        <v>5.0</v>
      </c>
      <c r="D211" s="24">
        <v>6.0</v>
      </c>
      <c r="E211" s="24">
        <v>67.0</v>
      </c>
      <c r="F211" s="48">
        <v>7.382</v>
      </c>
      <c r="G211" s="49">
        <f t="shared" si="1"/>
        <v>0.07382</v>
      </c>
      <c r="H211" s="11">
        <v>5.0</v>
      </c>
      <c r="I211" s="11">
        <v>0.0</v>
      </c>
      <c r="J211" s="50">
        <v>10814.0</v>
      </c>
      <c r="K211" s="11">
        <v>0.0</v>
      </c>
      <c r="L211" s="11">
        <v>8.0</v>
      </c>
      <c r="M211" s="51">
        <v>272.0</v>
      </c>
      <c r="N211" s="17">
        <v>73.0</v>
      </c>
      <c r="O211" s="24" t="s">
        <v>606</v>
      </c>
      <c r="P211" s="52">
        <v>120118.0</v>
      </c>
      <c r="Q211" s="51">
        <v>823.0</v>
      </c>
      <c r="R211" s="53">
        <v>42870.22</v>
      </c>
      <c r="S211" s="24" t="s">
        <v>600</v>
      </c>
      <c r="T211" s="11">
        <v>4.0</v>
      </c>
      <c r="U211" s="52">
        <v>102415.0</v>
      </c>
      <c r="V211" s="11">
        <v>8.0</v>
      </c>
      <c r="W211" s="11">
        <v>0.0</v>
      </c>
      <c r="X211" s="48">
        <v>7.1983</v>
      </c>
      <c r="Y211" s="11">
        <f t="shared" si="2"/>
        <v>0.071983</v>
      </c>
    </row>
    <row r="212">
      <c r="A212" s="17">
        <v>22.0</v>
      </c>
      <c r="B212" s="24">
        <v>65.0</v>
      </c>
      <c r="C212" s="24">
        <v>5.0</v>
      </c>
      <c r="D212" s="24">
        <v>4.0</v>
      </c>
      <c r="E212" s="24">
        <v>65.0</v>
      </c>
      <c r="F212" s="48">
        <v>1.3525</v>
      </c>
      <c r="G212" s="49">
        <f t="shared" si="1"/>
        <v>0.013525</v>
      </c>
      <c r="H212" s="11">
        <v>2.0</v>
      </c>
      <c r="I212" s="11">
        <v>7.0</v>
      </c>
      <c r="J212" s="50">
        <v>10913.0</v>
      </c>
      <c r="K212" s="11">
        <v>5.0</v>
      </c>
      <c r="L212" s="11">
        <v>5.0</v>
      </c>
      <c r="M212" s="51">
        <v>432.0</v>
      </c>
      <c r="N212" s="17">
        <v>30.0</v>
      </c>
      <c r="O212" s="24" t="s">
        <v>39</v>
      </c>
      <c r="P212" s="52">
        <v>21621.0</v>
      </c>
      <c r="Q212" s="51">
        <v>325.0</v>
      </c>
      <c r="R212" s="53">
        <v>6918.31</v>
      </c>
      <c r="S212" s="24" t="s">
        <v>604</v>
      </c>
      <c r="T212" s="11">
        <v>0.0</v>
      </c>
      <c r="U212" s="52">
        <v>50913.0</v>
      </c>
      <c r="V212" s="11">
        <v>5.0</v>
      </c>
      <c r="W212" s="11">
        <v>9.0</v>
      </c>
      <c r="X212" s="48">
        <v>2.5342</v>
      </c>
      <c r="Y212" s="11">
        <f t="shared" si="2"/>
        <v>0.025342</v>
      </c>
    </row>
    <row r="213">
      <c r="A213" s="17">
        <v>50.0</v>
      </c>
      <c r="B213" s="24">
        <v>65.0</v>
      </c>
      <c r="C213" s="24">
        <v>5.0</v>
      </c>
      <c r="D213" s="24">
        <v>5.0</v>
      </c>
      <c r="E213" s="24">
        <v>66.0</v>
      </c>
      <c r="F213" s="48">
        <v>6.902</v>
      </c>
      <c r="G213" s="49">
        <f t="shared" si="1"/>
        <v>0.06902</v>
      </c>
      <c r="H213" s="11">
        <v>1.0</v>
      </c>
      <c r="I213" s="11">
        <v>6.0</v>
      </c>
      <c r="J213" s="50">
        <v>91415.0</v>
      </c>
      <c r="K213" s="11">
        <v>7.0</v>
      </c>
      <c r="L213" s="11">
        <v>5.0</v>
      </c>
      <c r="M213" s="51">
        <v>456.0</v>
      </c>
      <c r="N213" s="17">
        <v>73.0</v>
      </c>
      <c r="O213" s="24" t="s">
        <v>603</v>
      </c>
      <c r="P213" s="52">
        <v>32913.0</v>
      </c>
      <c r="Q213" s="51">
        <v>707.0</v>
      </c>
      <c r="R213" s="53">
        <v>27381.86</v>
      </c>
      <c r="S213" s="24" t="s">
        <v>605</v>
      </c>
      <c r="T213" s="11">
        <v>8.0</v>
      </c>
      <c r="U213" s="52">
        <v>62516.0</v>
      </c>
      <c r="V213" s="11">
        <v>6.0</v>
      </c>
      <c r="W213" s="11">
        <v>1.0</v>
      </c>
      <c r="X213" s="48">
        <v>4.6283</v>
      </c>
      <c r="Y213" s="11">
        <f t="shared" si="2"/>
        <v>0.046283</v>
      </c>
    </row>
    <row r="214">
      <c r="A214" s="17">
        <v>16.0</v>
      </c>
      <c r="B214" s="24">
        <v>65.0</v>
      </c>
      <c r="C214" s="24">
        <v>5.0</v>
      </c>
      <c r="D214" s="24">
        <v>7.0</v>
      </c>
      <c r="E214" s="24">
        <v>66.0</v>
      </c>
      <c r="F214" s="48">
        <v>4.8804</v>
      </c>
      <c r="G214" s="49">
        <f t="shared" si="1"/>
        <v>0.048804</v>
      </c>
      <c r="H214" s="11">
        <v>7.0</v>
      </c>
      <c r="I214" s="11">
        <v>5.0</v>
      </c>
      <c r="J214" s="50">
        <v>121918.0</v>
      </c>
      <c r="K214" s="11">
        <v>4.0</v>
      </c>
      <c r="L214" s="11">
        <v>5.0</v>
      </c>
      <c r="M214" s="51">
        <v>491.0</v>
      </c>
      <c r="N214" s="17">
        <v>64.0</v>
      </c>
      <c r="O214" s="24" t="s">
        <v>31</v>
      </c>
      <c r="P214" s="52">
        <v>40416.0</v>
      </c>
      <c r="Q214" s="51">
        <v>543.0</v>
      </c>
      <c r="R214" s="53">
        <v>338.0</v>
      </c>
      <c r="S214" s="24" t="s">
        <v>600</v>
      </c>
      <c r="T214" s="11">
        <v>3.0</v>
      </c>
      <c r="U214" s="52">
        <v>21217.0</v>
      </c>
      <c r="V214" s="11">
        <v>3.0</v>
      </c>
      <c r="W214" s="11">
        <v>2.0</v>
      </c>
      <c r="X214" s="48">
        <v>2.1959</v>
      </c>
      <c r="Y214" s="11">
        <f t="shared" si="2"/>
        <v>0.021959</v>
      </c>
    </row>
    <row r="215">
      <c r="A215" s="17">
        <v>14.0</v>
      </c>
      <c r="B215" s="24">
        <v>24.0</v>
      </c>
      <c r="C215" s="24">
        <v>6.0</v>
      </c>
      <c r="D215" s="24">
        <v>2.0</v>
      </c>
      <c r="E215" s="24">
        <v>63.0</v>
      </c>
      <c r="F215" s="48">
        <v>7.272</v>
      </c>
      <c r="G215" s="49">
        <f t="shared" si="1"/>
        <v>0.07272</v>
      </c>
      <c r="H215" s="11">
        <v>9.0</v>
      </c>
      <c r="I215" s="11">
        <v>1.0</v>
      </c>
      <c r="J215" s="50">
        <v>22619.0</v>
      </c>
      <c r="K215" s="11">
        <v>9.0</v>
      </c>
      <c r="L215" s="11">
        <v>2.0</v>
      </c>
      <c r="M215" s="51">
        <v>983.0</v>
      </c>
      <c r="N215" s="17">
        <v>67.0</v>
      </c>
      <c r="O215" s="24" t="s">
        <v>601</v>
      </c>
      <c r="P215" s="52">
        <v>70322.0</v>
      </c>
      <c r="Q215" s="51">
        <v>341.0</v>
      </c>
      <c r="R215" s="53">
        <v>-141.0</v>
      </c>
      <c r="S215" s="24" t="s">
        <v>602</v>
      </c>
      <c r="T215" s="11">
        <v>3.0</v>
      </c>
      <c r="U215" s="52">
        <v>92616.0</v>
      </c>
      <c r="V215" s="11">
        <v>7.0</v>
      </c>
      <c r="W215" s="11">
        <v>0.0</v>
      </c>
      <c r="X215" s="48">
        <v>5.8431</v>
      </c>
      <c r="Y215" s="11">
        <f t="shared" si="2"/>
        <v>0.058431</v>
      </c>
    </row>
    <row r="216">
      <c r="A216" s="17">
        <v>83.0</v>
      </c>
      <c r="B216" s="24">
        <v>24.0</v>
      </c>
      <c r="C216" s="24">
        <v>6.0</v>
      </c>
      <c r="D216" s="24">
        <v>5.0</v>
      </c>
      <c r="E216" s="24">
        <v>63.0</v>
      </c>
      <c r="F216" s="48">
        <v>5.826</v>
      </c>
      <c r="G216" s="49">
        <f t="shared" si="1"/>
        <v>0.05826</v>
      </c>
      <c r="H216" s="11">
        <v>1.0</v>
      </c>
      <c r="I216" s="11">
        <v>1.0</v>
      </c>
      <c r="J216" s="50">
        <v>62620.0</v>
      </c>
      <c r="K216" s="11">
        <v>7.0</v>
      </c>
      <c r="L216" s="11">
        <v>5.0</v>
      </c>
      <c r="M216" s="51">
        <v>246.0</v>
      </c>
      <c r="N216" s="17">
        <v>45.0</v>
      </c>
      <c r="O216" s="24" t="s">
        <v>603</v>
      </c>
      <c r="P216" s="52">
        <v>10820.0</v>
      </c>
      <c r="Q216" s="51">
        <v>934.0</v>
      </c>
      <c r="R216" s="53">
        <v>4376.97</v>
      </c>
      <c r="S216" s="24" t="s">
        <v>604</v>
      </c>
      <c r="T216" s="11">
        <v>7.0</v>
      </c>
      <c r="U216" s="52">
        <v>11522.0</v>
      </c>
      <c r="V216" s="11">
        <v>5.0</v>
      </c>
      <c r="W216" s="11">
        <v>0.0</v>
      </c>
      <c r="X216" s="48">
        <v>8.6063</v>
      </c>
      <c r="Y216" s="11">
        <f t="shared" si="2"/>
        <v>0.086063</v>
      </c>
    </row>
    <row r="217">
      <c r="A217" s="17">
        <v>55.0</v>
      </c>
      <c r="B217" s="24">
        <v>24.0</v>
      </c>
      <c r="C217" s="24">
        <v>6.0</v>
      </c>
      <c r="D217" s="24">
        <v>8.0</v>
      </c>
      <c r="E217" s="24">
        <v>63.0</v>
      </c>
      <c r="F217" s="48">
        <v>5.2398</v>
      </c>
      <c r="G217" s="49">
        <f t="shared" si="1"/>
        <v>0.052398</v>
      </c>
      <c r="H217" s="11">
        <v>4.0</v>
      </c>
      <c r="I217" s="11">
        <v>5.0</v>
      </c>
      <c r="J217" s="50">
        <v>101713.0</v>
      </c>
      <c r="K217" s="11">
        <v>2.0</v>
      </c>
      <c r="L217" s="11">
        <v>2.0</v>
      </c>
      <c r="M217" s="51">
        <v>419.0</v>
      </c>
      <c r="N217" s="17">
        <v>34.0</v>
      </c>
      <c r="O217" s="24" t="s">
        <v>48</v>
      </c>
      <c r="P217" s="52">
        <v>110415.0</v>
      </c>
      <c r="Q217" s="51">
        <v>777.0</v>
      </c>
      <c r="R217" s="53">
        <v>875422.74</v>
      </c>
      <c r="S217" s="24" t="s">
        <v>604</v>
      </c>
      <c r="T217" s="11">
        <v>8.0</v>
      </c>
      <c r="U217" s="52">
        <v>113020.0</v>
      </c>
      <c r="V217" s="11">
        <v>4.0</v>
      </c>
      <c r="W217" s="11">
        <v>3.0</v>
      </c>
      <c r="X217" s="48">
        <v>1.2751</v>
      </c>
      <c r="Y217" s="11">
        <f t="shared" si="2"/>
        <v>0.012751</v>
      </c>
    </row>
    <row r="218">
      <c r="A218" s="17">
        <v>59.0</v>
      </c>
      <c r="B218" s="24">
        <v>86.0</v>
      </c>
      <c r="C218" s="24">
        <v>1.0</v>
      </c>
      <c r="D218" s="24">
        <v>2.0</v>
      </c>
      <c r="E218" s="24">
        <v>65.0</v>
      </c>
      <c r="F218" s="48">
        <v>7.7428</v>
      </c>
      <c r="G218" s="49">
        <f t="shared" si="1"/>
        <v>0.077428</v>
      </c>
      <c r="H218" s="11">
        <v>0.0</v>
      </c>
      <c r="I218" s="11">
        <v>2.0</v>
      </c>
      <c r="J218" s="50">
        <v>121223.0</v>
      </c>
      <c r="K218" s="11">
        <v>2.0</v>
      </c>
      <c r="L218" s="11">
        <v>2.0</v>
      </c>
      <c r="M218" s="51">
        <v>154.0</v>
      </c>
      <c r="N218" s="17">
        <v>76.0</v>
      </c>
      <c r="O218" s="24" t="s">
        <v>31</v>
      </c>
      <c r="P218" s="52">
        <v>112916.0</v>
      </c>
      <c r="Q218" s="51">
        <v>118.0</v>
      </c>
      <c r="R218" s="53">
        <v>-32484.26</v>
      </c>
      <c r="S218" s="24" t="s">
        <v>602</v>
      </c>
      <c r="T218" s="11">
        <v>7.0</v>
      </c>
      <c r="U218" s="52">
        <v>60223.0</v>
      </c>
      <c r="V218" s="11">
        <v>8.0</v>
      </c>
      <c r="W218" s="11">
        <v>0.0</v>
      </c>
      <c r="X218" s="48">
        <v>9.7688</v>
      </c>
      <c r="Y218" s="11">
        <f t="shared" si="2"/>
        <v>0.097688</v>
      </c>
    </row>
    <row r="219">
      <c r="A219" s="17">
        <v>20.0</v>
      </c>
      <c r="B219" s="24">
        <v>65.0</v>
      </c>
      <c r="C219" s="24">
        <v>6.0</v>
      </c>
      <c r="D219" s="24">
        <v>6.0</v>
      </c>
      <c r="E219" s="24">
        <v>66.0</v>
      </c>
      <c r="F219" s="48">
        <v>1.7647</v>
      </c>
      <c r="G219" s="49">
        <f t="shared" si="1"/>
        <v>0.017647</v>
      </c>
      <c r="H219" s="11">
        <v>0.0</v>
      </c>
      <c r="I219" s="11">
        <v>3.0</v>
      </c>
      <c r="J219" s="50">
        <v>12918.0</v>
      </c>
      <c r="K219" s="11">
        <v>5.0</v>
      </c>
      <c r="L219" s="11">
        <v>2.0</v>
      </c>
      <c r="M219" s="51">
        <v>48.0</v>
      </c>
      <c r="N219" s="17">
        <v>21.0</v>
      </c>
      <c r="O219" s="24" t="s">
        <v>31</v>
      </c>
      <c r="P219" s="52">
        <v>70721.0</v>
      </c>
      <c r="Q219" s="51">
        <v>498.0</v>
      </c>
      <c r="R219" s="53">
        <v>-9894.75</v>
      </c>
      <c r="S219" s="24" t="s">
        <v>602</v>
      </c>
      <c r="T219" s="11">
        <v>6.0</v>
      </c>
      <c r="U219" s="52">
        <v>70817.0</v>
      </c>
      <c r="V219" s="11">
        <v>8.0</v>
      </c>
      <c r="W219" s="11">
        <v>9.0</v>
      </c>
      <c r="X219" s="48">
        <v>4.9668</v>
      </c>
      <c r="Y219" s="11">
        <f t="shared" si="2"/>
        <v>0.049668</v>
      </c>
    </row>
    <row r="220">
      <c r="A220" s="17">
        <v>54.0</v>
      </c>
      <c r="B220" s="24">
        <v>65.0</v>
      </c>
      <c r="C220" s="24">
        <v>6.0</v>
      </c>
      <c r="D220" s="24">
        <v>7.0</v>
      </c>
      <c r="E220" s="24">
        <v>67.0</v>
      </c>
      <c r="F220" s="48">
        <v>2.9058</v>
      </c>
      <c r="G220" s="49">
        <f t="shared" si="1"/>
        <v>0.029058</v>
      </c>
      <c r="H220" s="11">
        <v>1.0</v>
      </c>
      <c r="I220" s="11">
        <v>5.0</v>
      </c>
      <c r="J220" s="50">
        <v>30623.0</v>
      </c>
      <c r="K220" s="11">
        <v>3.0</v>
      </c>
      <c r="L220" s="11">
        <v>6.0</v>
      </c>
      <c r="M220" s="51">
        <v>651.0</v>
      </c>
      <c r="N220" s="17">
        <v>34.0</v>
      </c>
      <c r="O220" s="24" t="s">
        <v>39</v>
      </c>
      <c r="P220" s="52">
        <v>100520.0</v>
      </c>
      <c r="Q220" s="51">
        <v>582.0</v>
      </c>
      <c r="R220" s="53">
        <v>535.36</v>
      </c>
      <c r="S220" s="24" t="s">
        <v>604</v>
      </c>
      <c r="T220" s="11">
        <v>8.0</v>
      </c>
      <c r="U220" s="52">
        <v>11517.0</v>
      </c>
      <c r="V220" s="11">
        <v>1.0</v>
      </c>
      <c r="W220" s="11">
        <v>8.0</v>
      </c>
      <c r="X220" s="48">
        <v>8.5348</v>
      </c>
      <c r="Y220" s="11">
        <f t="shared" si="2"/>
        <v>0.085348</v>
      </c>
    </row>
    <row r="221">
      <c r="A221" s="17">
        <v>59.0</v>
      </c>
      <c r="B221" s="24">
        <v>24.0</v>
      </c>
      <c r="C221" s="24">
        <v>7.0</v>
      </c>
      <c r="D221" s="24">
        <v>3.0</v>
      </c>
      <c r="E221" s="24">
        <v>61.0</v>
      </c>
      <c r="F221" s="48">
        <v>8.2126</v>
      </c>
      <c r="G221" s="49">
        <f t="shared" si="1"/>
        <v>0.082126</v>
      </c>
      <c r="H221" s="11">
        <v>3.0</v>
      </c>
      <c r="I221" s="11">
        <v>2.0</v>
      </c>
      <c r="J221" s="50">
        <v>71613.0</v>
      </c>
      <c r="K221" s="11">
        <v>7.0</v>
      </c>
      <c r="L221" s="11">
        <v>0.0</v>
      </c>
      <c r="M221" s="51">
        <v>59.0</v>
      </c>
      <c r="N221" s="17">
        <v>73.0</v>
      </c>
      <c r="O221" s="24" t="s">
        <v>39</v>
      </c>
      <c r="P221" s="52">
        <v>92822.0</v>
      </c>
      <c r="Q221" s="51">
        <v>151.0</v>
      </c>
      <c r="R221" s="53">
        <v>-2157.84</v>
      </c>
      <c r="S221" s="24" t="s">
        <v>604</v>
      </c>
      <c r="T221" s="11">
        <v>3.0</v>
      </c>
      <c r="U221" s="52">
        <v>122719.0</v>
      </c>
      <c r="V221" s="11">
        <v>4.0</v>
      </c>
      <c r="W221" s="11">
        <v>6.0</v>
      </c>
      <c r="X221" s="48">
        <v>5.8716</v>
      </c>
      <c r="Y221" s="11">
        <f t="shared" si="2"/>
        <v>0.058716</v>
      </c>
    </row>
    <row r="222">
      <c r="A222" s="17">
        <v>26.0</v>
      </c>
      <c r="B222" s="24">
        <v>24.0</v>
      </c>
      <c r="C222" s="24">
        <v>7.0</v>
      </c>
      <c r="D222" s="24">
        <v>4.0</v>
      </c>
      <c r="E222" s="24">
        <v>62.0</v>
      </c>
      <c r="F222" s="48">
        <v>2.2236</v>
      </c>
      <c r="G222" s="49">
        <f t="shared" si="1"/>
        <v>0.022236</v>
      </c>
      <c r="H222" s="11">
        <v>0.0</v>
      </c>
      <c r="I222" s="11">
        <v>9.0</v>
      </c>
      <c r="J222" s="50">
        <v>22823.0</v>
      </c>
      <c r="K222" s="11">
        <v>5.0</v>
      </c>
      <c r="L222" s="11">
        <v>8.0</v>
      </c>
      <c r="M222" s="51">
        <v>996.0</v>
      </c>
      <c r="N222" s="17">
        <v>83.0</v>
      </c>
      <c r="O222" s="24" t="s">
        <v>48</v>
      </c>
      <c r="P222" s="52">
        <v>50717.0</v>
      </c>
      <c r="Q222" s="51">
        <v>234.0</v>
      </c>
      <c r="R222" s="53">
        <v>280492.15</v>
      </c>
      <c r="S222" s="24" t="s">
        <v>605</v>
      </c>
      <c r="T222" s="11">
        <v>7.0</v>
      </c>
      <c r="U222" s="52">
        <v>20322.0</v>
      </c>
      <c r="V222" s="11">
        <v>7.0</v>
      </c>
      <c r="W222" s="11">
        <v>7.0</v>
      </c>
      <c r="X222" s="48">
        <v>5.3366</v>
      </c>
      <c r="Y222" s="11">
        <f t="shared" si="2"/>
        <v>0.053366</v>
      </c>
    </row>
    <row r="223">
      <c r="A223" s="17">
        <v>56.0</v>
      </c>
      <c r="B223" s="24">
        <v>86.0</v>
      </c>
      <c r="C223" s="24">
        <v>1.0</v>
      </c>
      <c r="D223" s="24">
        <v>7.0</v>
      </c>
      <c r="E223" s="24">
        <v>61.0</v>
      </c>
      <c r="F223" s="48">
        <v>2.44</v>
      </c>
      <c r="G223" s="49">
        <f t="shared" si="1"/>
        <v>0.0244</v>
      </c>
      <c r="H223" s="11">
        <v>8.0</v>
      </c>
      <c r="I223" s="11">
        <v>7.0</v>
      </c>
      <c r="J223" s="50">
        <v>62814.0</v>
      </c>
      <c r="K223" s="11">
        <v>3.0</v>
      </c>
      <c r="L223" s="11">
        <v>7.0</v>
      </c>
      <c r="M223" s="51">
        <v>89.0</v>
      </c>
      <c r="N223" s="17">
        <v>12.0</v>
      </c>
      <c r="O223" s="24" t="s">
        <v>600</v>
      </c>
      <c r="P223" s="52">
        <v>92018.0</v>
      </c>
      <c r="Q223" s="51">
        <v>762.0</v>
      </c>
      <c r="R223" s="53">
        <v>-981.42</v>
      </c>
      <c r="S223" s="24" t="s">
        <v>604</v>
      </c>
      <c r="T223" s="11">
        <v>7.0</v>
      </c>
      <c r="U223" s="52">
        <v>30315.0</v>
      </c>
      <c r="V223" s="11">
        <v>9.0</v>
      </c>
      <c r="W223" s="11">
        <v>9.0</v>
      </c>
      <c r="X223" s="48">
        <v>3.9845</v>
      </c>
      <c r="Y223" s="11">
        <f t="shared" si="2"/>
        <v>0.039845</v>
      </c>
    </row>
    <row r="224">
      <c r="A224" s="17">
        <v>53.0</v>
      </c>
      <c r="B224" s="24">
        <v>65.0</v>
      </c>
      <c r="C224" s="24">
        <v>7.0</v>
      </c>
      <c r="D224" s="24">
        <v>2.0</v>
      </c>
      <c r="E224" s="24">
        <v>62.0</v>
      </c>
      <c r="F224" s="48">
        <v>7.6783</v>
      </c>
      <c r="G224" s="49">
        <f t="shared" si="1"/>
        <v>0.076783</v>
      </c>
      <c r="H224" s="11">
        <v>4.0</v>
      </c>
      <c r="I224" s="11">
        <v>5.0</v>
      </c>
      <c r="J224" s="50">
        <v>31019.0</v>
      </c>
      <c r="K224" s="11">
        <v>3.0</v>
      </c>
      <c r="L224" s="11">
        <v>4.0</v>
      </c>
      <c r="M224" s="51">
        <v>75.0</v>
      </c>
      <c r="N224" s="17">
        <v>38.0</v>
      </c>
      <c r="O224" s="24" t="s">
        <v>606</v>
      </c>
      <c r="P224" s="52">
        <v>60121.0</v>
      </c>
      <c r="Q224" s="51">
        <v>742.0</v>
      </c>
      <c r="R224" s="53">
        <v>656.51</v>
      </c>
      <c r="S224" s="24" t="s">
        <v>604</v>
      </c>
      <c r="T224" s="11">
        <v>9.0</v>
      </c>
      <c r="U224" s="52">
        <v>82220.0</v>
      </c>
      <c r="V224" s="11">
        <v>1.0</v>
      </c>
      <c r="W224" s="11">
        <v>7.0</v>
      </c>
      <c r="X224" s="48">
        <v>7.1186</v>
      </c>
      <c r="Y224" s="11">
        <f t="shared" si="2"/>
        <v>0.071186</v>
      </c>
    </row>
    <row r="225">
      <c r="A225" s="17">
        <v>93.0</v>
      </c>
      <c r="B225" s="24">
        <v>45.0</v>
      </c>
      <c r="C225" s="24">
        <v>2.0</v>
      </c>
      <c r="D225" s="24">
        <v>6.0</v>
      </c>
      <c r="E225" s="24">
        <v>64.0</v>
      </c>
      <c r="F225" s="48">
        <v>4.5035</v>
      </c>
      <c r="G225" s="49">
        <f t="shared" si="1"/>
        <v>0.045035</v>
      </c>
      <c r="H225" s="11">
        <v>2.0</v>
      </c>
      <c r="I225" s="11">
        <v>2.0</v>
      </c>
      <c r="J225" s="50">
        <v>123117.0</v>
      </c>
      <c r="K225" s="11">
        <v>8.0</v>
      </c>
      <c r="L225" s="11">
        <v>6.0</v>
      </c>
      <c r="M225" s="51">
        <v>951.0</v>
      </c>
      <c r="N225" s="17">
        <v>86.0</v>
      </c>
      <c r="O225" s="24" t="s">
        <v>600</v>
      </c>
      <c r="P225" s="52">
        <v>30920.0</v>
      </c>
      <c r="Q225" s="51">
        <v>512.0</v>
      </c>
      <c r="R225" s="53">
        <v>6615.71</v>
      </c>
      <c r="S225" s="24" t="s">
        <v>605</v>
      </c>
      <c r="T225" s="11">
        <v>4.0</v>
      </c>
      <c r="U225" s="52">
        <v>102523.0</v>
      </c>
      <c r="V225" s="11">
        <v>8.0</v>
      </c>
      <c r="W225" s="11">
        <v>7.0</v>
      </c>
      <c r="X225" s="48">
        <v>5.3254</v>
      </c>
      <c r="Y225" s="11">
        <f t="shared" si="2"/>
        <v>0.053254</v>
      </c>
    </row>
    <row r="226">
      <c r="A226" s="17">
        <v>55.0</v>
      </c>
      <c r="B226" s="24">
        <v>45.0</v>
      </c>
      <c r="C226" s="24">
        <v>3.0</v>
      </c>
      <c r="D226" s="24">
        <v>3.0</v>
      </c>
      <c r="E226" s="24">
        <v>65.0</v>
      </c>
      <c r="F226" s="48">
        <v>9.517</v>
      </c>
      <c r="G226" s="49">
        <f t="shared" si="1"/>
        <v>0.09517</v>
      </c>
      <c r="H226" s="11">
        <v>3.0</v>
      </c>
      <c r="I226" s="11">
        <v>4.0</v>
      </c>
      <c r="J226" s="50">
        <v>62320.0</v>
      </c>
      <c r="K226" s="11">
        <v>7.0</v>
      </c>
      <c r="L226" s="11">
        <v>8.0</v>
      </c>
      <c r="M226" s="51">
        <v>100.0</v>
      </c>
      <c r="N226" s="17">
        <v>84.0</v>
      </c>
      <c r="O226" s="24" t="s">
        <v>600</v>
      </c>
      <c r="P226" s="52">
        <v>120619.0</v>
      </c>
      <c r="Q226" s="51">
        <v>160.0</v>
      </c>
      <c r="R226" s="53">
        <v>55322.59</v>
      </c>
      <c r="S226" s="24" t="s">
        <v>605</v>
      </c>
      <c r="T226" s="11">
        <v>2.0</v>
      </c>
      <c r="U226" s="52">
        <v>120622.0</v>
      </c>
      <c r="V226" s="11">
        <v>5.0</v>
      </c>
      <c r="W226" s="11">
        <v>9.0</v>
      </c>
      <c r="X226" s="48">
        <v>2.347</v>
      </c>
      <c r="Y226" s="11">
        <f t="shared" si="2"/>
        <v>0.02347</v>
      </c>
    </row>
    <row r="227">
      <c r="A227" s="17">
        <v>42.0</v>
      </c>
      <c r="B227" s="24">
        <v>65.0</v>
      </c>
      <c r="C227" s="24">
        <v>8.0</v>
      </c>
      <c r="D227" s="24">
        <v>2.0</v>
      </c>
      <c r="E227" s="24">
        <v>65.0</v>
      </c>
      <c r="F227" s="48">
        <v>7.9353</v>
      </c>
      <c r="G227" s="49">
        <f t="shared" si="1"/>
        <v>0.079353</v>
      </c>
      <c r="H227" s="11">
        <v>0.0</v>
      </c>
      <c r="I227" s="11">
        <v>8.0</v>
      </c>
      <c r="J227" s="50">
        <v>72719.0</v>
      </c>
      <c r="K227" s="11">
        <v>6.0</v>
      </c>
      <c r="L227" s="11">
        <v>2.0</v>
      </c>
      <c r="M227" s="51">
        <v>993.0</v>
      </c>
      <c r="N227" s="17">
        <v>24.0</v>
      </c>
      <c r="O227" s="24" t="s">
        <v>600</v>
      </c>
      <c r="P227" s="52">
        <v>40720.0</v>
      </c>
      <c r="Q227" s="51">
        <v>617.0</v>
      </c>
      <c r="R227" s="53">
        <v>-920615.28</v>
      </c>
      <c r="S227" s="24" t="s">
        <v>600</v>
      </c>
      <c r="T227" s="11">
        <v>2.0</v>
      </c>
      <c r="U227" s="52">
        <v>82414.0</v>
      </c>
      <c r="V227" s="11">
        <v>2.0</v>
      </c>
      <c r="W227" s="11">
        <v>1.0</v>
      </c>
      <c r="X227" s="48">
        <v>2.3637</v>
      </c>
      <c r="Y227" s="11">
        <f t="shared" si="2"/>
        <v>0.023637</v>
      </c>
    </row>
    <row r="228">
      <c r="A228" s="17">
        <v>49.0</v>
      </c>
      <c r="B228" s="24">
        <v>24.0</v>
      </c>
      <c r="C228" s="24">
        <v>8.0</v>
      </c>
      <c r="D228" s="24">
        <v>5.0</v>
      </c>
      <c r="E228" s="24">
        <v>64.0</v>
      </c>
      <c r="F228" s="48">
        <v>6.3071</v>
      </c>
      <c r="G228" s="49">
        <f t="shared" si="1"/>
        <v>0.063071</v>
      </c>
      <c r="H228" s="11">
        <v>1.0</v>
      </c>
      <c r="I228" s="11">
        <v>5.0</v>
      </c>
      <c r="J228" s="50">
        <v>12222.0</v>
      </c>
      <c r="K228" s="11">
        <v>4.0</v>
      </c>
      <c r="L228" s="11">
        <v>5.0</v>
      </c>
      <c r="M228" s="51">
        <v>12.0</v>
      </c>
      <c r="N228" s="17">
        <v>46.0</v>
      </c>
      <c r="O228" s="24" t="s">
        <v>601</v>
      </c>
      <c r="P228" s="52">
        <v>112117.0</v>
      </c>
      <c r="Q228" s="51">
        <v>611.0</v>
      </c>
      <c r="R228" s="53">
        <v>349197.6</v>
      </c>
      <c r="S228" s="24" t="s">
        <v>600</v>
      </c>
      <c r="T228" s="11">
        <v>6.0</v>
      </c>
      <c r="U228" s="52">
        <v>112323.0</v>
      </c>
      <c r="V228" s="11">
        <v>6.0</v>
      </c>
      <c r="W228" s="11">
        <v>6.0</v>
      </c>
      <c r="X228" s="48">
        <v>7.9262</v>
      </c>
      <c r="Y228" s="11">
        <f t="shared" si="2"/>
        <v>0.079262</v>
      </c>
    </row>
    <row r="229">
      <c r="A229" s="17">
        <v>77.0</v>
      </c>
      <c r="B229" s="24">
        <v>86.0</v>
      </c>
      <c r="C229" s="24">
        <v>3.0</v>
      </c>
      <c r="D229" s="24">
        <v>2.0</v>
      </c>
      <c r="E229" s="24">
        <v>68.0</v>
      </c>
      <c r="F229" s="48">
        <v>1.3479</v>
      </c>
      <c r="G229" s="49">
        <f t="shared" si="1"/>
        <v>0.013479</v>
      </c>
      <c r="H229" s="11">
        <v>1.0</v>
      </c>
      <c r="I229" s="11">
        <v>5.0</v>
      </c>
      <c r="J229" s="50">
        <v>123020.0</v>
      </c>
      <c r="K229" s="11">
        <v>8.0</v>
      </c>
      <c r="L229" s="11">
        <v>4.0</v>
      </c>
      <c r="M229" s="51">
        <v>332.0</v>
      </c>
      <c r="N229" s="17">
        <v>35.0</v>
      </c>
      <c r="O229" s="24" t="s">
        <v>48</v>
      </c>
      <c r="P229" s="52">
        <v>101814.0</v>
      </c>
      <c r="Q229" s="51">
        <v>109.0</v>
      </c>
      <c r="R229" s="53">
        <v>-4166.32</v>
      </c>
      <c r="S229" s="24" t="s">
        <v>605</v>
      </c>
      <c r="T229" s="11">
        <v>0.0</v>
      </c>
      <c r="U229" s="52">
        <v>33018.0</v>
      </c>
      <c r="V229" s="11">
        <v>1.0</v>
      </c>
      <c r="W229" s="11">
        <v>5.0</v>
      </c>
      <c r="X229" s="48">
        <v>9.897</v>
      </c>
      <c r="Y229" s="11">
        <f t="shared" si="2"/>
        <v>0.09897</v>
      </c>
    </row>
    <row r="230">
      <c r="A230" s="17">
        <v>45.0</v>
      </c>
      <c r="B230" s="24">
        <v>45.0</v>
      </c>
      <c r="C230" s="24">
        <v>3.0</v>
      </c>
      <c r="D230" s="24">
        <v>7.0</v>
      </c>
      <c r="E230" s="24">
        <v>62.0</v>
      </c>
      <c r="F230" s="48">
        <v>4.327</v>
      </c>
      <c r="G230" s="49">
        <f t="shared" si="1"/>
        <v>0.04327</v>
      </c>
      <c r="H230" s="11">
        <v>4.0</v>
      </c>
      <c r="I230" s="11">
        <v>6.0</v>
      </c>
      <c r="J230" s="50">
        <v>91720.0</v>
      </c>
      <c r="K230" s="11">
        <v>9.0</v>
      </c>
      <c r="L230" s="11">
        <v>3.0</v>
      </c>
      <c r="M230" s="51">
        <v>355.0</v>
      </c>
      <c r="N230" s="17">
        <v>51.0</v>
      </c>
      <c r="O230" s="24" t="s">
        <v>31</v>
      </c>
      <c r="P230" s="52">
        <v>52513.0</v>
      </c>
      <c r="Q230" s="51">
        <v>961.0</v>
      </c>
      <c r="R230" s="53">
        <v>9716.57</v>
      </c>
      <c r="S230" s="24" t="s">
        <v>602</v>
      </c>
      <c r="T230" s="11">
        <v>8.0</v>
      </c>
      <c r="U230" s="52">
        <v>42922.0</v>
      </c>
      <c r="V230" s="11">
        <v>2.0</v>
      </c>
      <c r="W230" s="11">
        <v>0.0</v>
      </c>
      <c r="X230" s="48">
        <v>3.9622</v>
      </c>
      <c r="Y230" s="11">
        <f t="shared" si="2"/>
        <v>0.039622</v>
      </c>
    </row>
    <row r="231">
      <c r="A231" s="17">
        <v>77.0</v>
      </c>
      <c r="B231" s="24">
        <v>86.0</v>
      </c>
      <c r="C231" s="24">
        <v>3.0</v>
      </c>
      <c r="D231" s="24">
        <v>4.0</v>
      </c>
      <c r="E231" s="24">
        <v>66.0</v>
      </c>
      <c r="F231" s="48">
        <v>3.1256</v>
      </c>
      <c r="G231" s="49">
        <f t="shared" si="1"/>
        <v>0.031256</v>
      </c>
      <c r="H231" s="11">
        <v>7.0</v>
      </c>
      <c r="I231" s="11">
        <v>6.0</v>
      </c>
      <c r="J231" s="50">
        <v>62016.0</v>
      </c>
      <c r="K231" s="11">
        <v>3.0</v>
      </c>
      <c r="L231" s="11">
        <v>1.0</v>
      </c>
      <c r="M231" s="51">
        <v>522.0</v>
      </c>
      <c r="N231" s="17">
        <v>86.0</v>
      </c>
      <c r="O231" s="24" t="s">
        <v>606</v>
      </c>
      <c r="P231" s="52">
        <v>120723.0</v>
      </c>
      <c r="Q231" s="51">
        <v>683.0</v>
      </c>
      <c r="R231" s="53">
        <v>-1453.29</v>
      </c>
      <c r="S231" s="24" t="s">
        <v>602</v>
      </c>
      <c r="T231" s="11">
        <v>9.0</v>
      </c>
      <c r="U231" s="52">
        <v>32920.0</v>
      </c>
      <c r="V231" s="11">
        <v>0.0</v>
      </c>
      <c r="W231" s="11">
        <v>9.0</v>
      </c>
      <c r="X231" s="48">
        <v>3.543</v>
      </c>
      <c r="Y231" s="11">
        <f t="shared" si="2"/>
        <v>0.03543</v>
      </c>
    </row>
    <row r="232">
      <c r="A232" s="17">
        <v>74.0</v>
      </c>
      <c r="B232" s="24">
        <v>65.0</v>
      </c>
      <c r="C232" s="24">
        <v>8.0</v>
      </c>
      <c r="D232" s="24">
        <v>6.0</v>
      </c>
      <c r="E232" s="24">
        <v>65.0</v>
      </c>
      <c r="F232" s="48">
        <v>7.45</v>
      </c>
      <c r="G232" s="49">
        <f t="shared" si="1"/>
        <v>0.0745</v>
      </c>
      <c r="H232" s="11">
        <v>4.0</v>
      </c>
      <c r="I232" s="11">
        <v>6.0</v>
      </c>
      <c r="J232" s="50">
        <v>110323.0</v>
      </c>
      <c r="K232" s="11">
        <v>6.0</v>
      </c>
      <c r="L232" s="11">
        <v>6.0</v>
      </c>
      <c r="M232" s="51">
        <v>775.0</v>
      </c>
      <c r="N232" s="17">
        <v>55.0</v>
      </c>
      <c r="O232" s="24" t="s">
        <v>600</v>
      </c>
      <c r="P232" s="52">
        <v>12116.0</v>
      </c>
      <c r="Q232" s="51">
        <v>981.0</v>
      </c>
      <c r="R232" s="53">
        <v>-335958.33</v>
      </c>
      <c r="S232" s="24" t="s">
        <v>602</v>
      </c>
      <c r="T232" s="11">
        <v>5.0</v>
      </c>
      <c r="U232" s="52">
        <v>90314.0</v>
      </c>
      <c r="V232" s="11">
        <v>9.0</v>
      </c>
      <c r="W232" s="11">
        <v>6.0</v>
      </c>
      <c r="X232" s="48">
        <v>7.5717</v>
      </c>
      <c r="Y232" s="11">
        <f t="shared" si="2"/>
        <v>0.075717</v>
      </c>
    </row>
    <row r="233">
      <c r="A233" s="17">
        <v>53.0</v>
      </c>
      <c r="B233" s="24">
        <v>45.0</v>
      </c>
      <c r="C233" s="24">
        <v>4.0</v>
      </c>
      <c r="D233" s="24">
        <v>1.0</v>
      </c>
      <c r="E233" s="24">
        <v>64.0</v>
      </c>
      <c r="F233" s="48">
        <v>6.8667</v>
      </c>
      <c r="G233" s="49">
        <f t="shared" si="1"/>
        <v>0.068667</v>
      </c>
      <c r="H233" s="11">
        <v>1.0</v>
      </c>
      <c r="I233" s="11">
        <v>8.0</v>
      </c>
      <c r="J233" s="50">
        <v>82622.0</v>
      </c>
      <c r="K233" s="11">
        <v>1.0</v>
      </c>
      <c r="L233" s="11">
        <v>2.0</v>
      </c>
      <c r="M233" s="51">
        <v>126.0</v>
      </c>
      <c r="N233" s="17">
        <v>57.0</v>
      </c>
      <c r="O233" s="24" t="s">
        <v>31</v>
      </c>
      <c r="P233" s="52">
        <v>30413.0</v>
      </c>
      <c r="Q233" s="51">
        <v>296.0</v>
      </c>
      <c r="R233" s="53">
        <v>-76093.38</v>
      </c>
      <c r="S233" s="24" t="s">
        <v>605</v>
      </c>
      <c r="T233" s="11">
        <v>0.0</v>
      </c>
      <c r="U233" s="52">
        <v>70423.0</v>
      </c>
      <c r="V233" s="11">
        <v>8.0</v>
      </c>
      <c r="W233" s="11">
        <v>8.0</v>
      </c>
      <c r="X233" s="48">
        <v>7.6958</v>
      </c>
      <c r="Y233" s="11">
        <f t="shared" si="2"/>
        <v>0.076958</v>
      </c>
    </row>
    <row r="234">
      <c r="A234" s="17">
        <v>75.0</v>
      </c>
      <c r="B234" s="24">
        <v>24.0</v>
      </c>
      <c r="C234" s="24">
        <v>9.0</v>
      </c>
      <c r="D234" s="24">
        <v>5.0</v>
      </c>
      <c r="E234" s="24">
        <v>60.0</v>
      </c>
      <c r="F234" s="48">
        <v>2.8227</v>
      </c>
      <c r="G234" s="49">
        <f t="shared" si="1"/>
        <v>0.028227</v>
      </c>
      <c r="H234" s="11">
        <v>6.0</v>
      </c>
      <c r="I234" s="11">
        <v>8.0</v>
      </c>
      <c r="J234" s="50">
        <v>50523.0</v>
      </c>
      <c r="K234" s="11">
        <v>7.0</v>
      </c>
      <c r="L234" s="11">
        <v>3.0</v>
      </c>
      <c r="M234" s="51">
        <v>66.0</v>
      </c>
      <c r="N234" s="17">
        <v>19.0</v>
      </c>
      <c r="O234" s="24" t="s">
        <v>31</v>
      </c>
      <c r="P234" s="52">
        <v>100923.0</v>
      </c>
      <c r="Q234" s="51">
        <v>618.0</v>
      </c>
      <c r="R234" s="53">
        <v>-938.61</v>
      </c>
      <c r="S234" s="24" t="s">
        <v>602</v>
      </c>
      <c r="T234" s="11">
        <v>4.0</v>
      </c>
      <c r="U234" s="52">
        <v>70921.0</v>
      </c>
      <c r="V234" s="11">
        <v>3.0</v>
      </c>
      <c r="W234" s="11">
        <v>9.0</v>
      </c>
      <c r="X234" s="48">
        <v>2.4508</v>
      </c>
      <c r="Y234" s="11">
        <f t="shared" si="2"/>
        <v>0.024508</v>
      </c>
    </row>
    <row r="235">
      <c r="A235" s="17">
        <v>23.0</v>
      </c>
      <c r="B235" s="24">
        <v>24.0</v>
      </c>
      <c r="C235" s="24">
        <v>9.0</v>
      </c>
      <c r="D235" s="24">
        <v>6.0</v>
      </c>
      <c r="E235" s="24">
        <v>60.0</v>
      </c>
      <c r="F235" s="48">
        <v>9.4298</v>
      </c>
      <c r="G235" s="49">
        <f t="shared" si="1"/>
        <v>0.094298</v>
      </c>
      <c r="H235" s="11">
        <v>5.0</v>
      </c>
      <c r="I235" s="11">
        <v>7.0</v>
      </c>
      <c r="J235" s="50">
        <v>40322.0</v>
      </c>
      <c r="K235" s="11">
        <v>1.0</v>
      </c>
      <c r="L235" s="11">
        <v>1.0</v>
      </c>
      <c r="M235" s="51">
        <v>987.0</v>
      </c>
      <c r="N235" s="17">
        <v>13.0</v>
      </c>
      <c r="O235" s="24" t="s">
        <v>48</v>
      </c>
      <c r="P235" s="52">
        <v>62219.0</v>
      </c>
      <c r="Q235" s="51">
        <v>150.0</v>
      </c>
      <c r="R235" s="53">
        <v>-97993.89</v>
      </c>
      <c r="S235" s="24" t="s">
        <v>600</v>
      </c>
      <c r="T235" s="11">
        <v>6.0</v>
      </c>
      <c r="U235" s="52">
        <v>82618.0</v>
      </c>
      <c r="V235" s="11">
        <v>1.0</v>
      </c>
      <c r="W235" s="11">
        <v>5.0</v>
      </c>
      <c r="X235" s="48">
        <v>8.5459</v>
      </c>
      <c r="Y235" s="11">
        <f t="shared" si="2"/>
        <v>0.085459</v>
      </c>
    </row>
    <row r="236">
      <c r="A236" s="17">
        <v>28.0</v>
      </c>
      <c r="B236" s="24">
        <v>45.0</v>
      </c>
      <c r="C236" s="24">
        <v>4.0</v>
      </c>
      <c r="D236" s="24">
        <v>5.0</v>
      </c>
      <c r="E236" s="24">
        <v>66.0</v>
      </c>
      <c r="F236" s="48">
        <v>7.6212</v>
      </c>
      <c r="G236" s="49">
        <f t="shared" si="1"/>
        <v>0.076212</v>
      </c>
      <c r="H236" s="11">
        <v>7.0</v>
      </c>
      <c r="I236" s="11">
        <v>1.0</v>
      </c>
      <c r="J236" s="50">
        <v>21013.0</v>
      </c>
      <c r="K236" s="11">
        <v>5.0</v>
      </c>
      <c r="L236" s="11">
        <v>5.0</v>
      </c>
      <c r="M236" s="51">
        <v>471.0</v>
      </c>
      <c r="N236" s="17">
        <v>95.0</v>
      </c>
      <c r="O236" s="24" t="s">
        <v>39</v>
      </c>
      <c r="P236" s="52">
        <v>120523.0</v>
      </c>
      <c r="Q236" s="51">
        <v>405.0</v>
      </c>
      <c r="R236" s="53">
        <v>211.1</v>
      </c>
      <c r="S236" s="24" t="s">
        <v>605</v>
      </c>
      <c r="T236" s="11">
        <v>9.0</v>
      </c>
      <c r="U236" s="52">
        <v>90617.0</v>
      </c>
      <c r="V236" s="11">
        <v>7.0</v>
      </c>
      <c r="W236" s="11">
        <v>2.0</v>
      </c>
      <c r="X236" s="48">
        <v>8.6606</v>
      </c>
      <c r="Y236" s="11">
        <f t="shared" si="2"/>
        <v>0.086606</v>
      </c>
    </row>
    <row r="237">
      <c r="A237" s="17">
        <v>40.0</v>
      </c>
      <c r="B237" s="24">
        <v>45.0</v>
      </c>
      <c r="C237" s="24">
        <v>4.0</v>
      </c>
      <c r="D237" s="24">
        <v>4.0</v>
      </c>
      <c r="E237" s="24">
        <v>60.0</v>
      </c>
      <c r="F237" s="48">
        <v>1.4491</v>
      </c>
      <c r="G237" s="49">
        <f t="shared" si="1"/>
        <v>0.014491</v>
      </c>
      <c r="H237" s="11">
        <v>4.0</v>
      </c>
      <c r="I237" s="11">
        <v>0.0</v>
      </c>
      <c r="J237" s="50">
        <v>111721.0</v>
      </c>
      <c r="K237" s="11">
        <v>8.0</v>
      </c>
      <c r="L237" s="11">
        <v>2.0</v>
      </c>
      <c r="M237" s="51">
        <v>645.0</v>
      </c>
      <c r="N237" s="17">
        <v>52.0</v>
      </c>
      <c r="O237" s="24" t="s">
        <v>601</v>
      </c>
      <c r="P237" s="52">
        <v>122720.0</v>
      </c>
      <c r="Q237" s="51">
        <v>223.0</v>
      </c>
      <c r="R237" s="53">
        <v>9069.74</v>
      </c>
      <c r="S237" s="24" t="s">
        <v>602</v>
      </c>
      <c r="T237" s="11">
        <v>8.0</v>
      </c>
      <c r="U237" s="52">
        <v>40223.0</v>
      </c>
      <c r="V237" s="11">
        <v>4.0</v>
      </c>
      <c r="W237" s="11">
        <v>6.0</v>
      </c>
      <c r="X237" s="48">
        <v>6.1978</v>
      </c>
      <c r="Y237" s="11">
        <f t="shared" si="2"/>
        <v>0.061978</v>
      </c>
    </row>
    <row r="238">
      <c r="A238" s="17">
        <v>30.0</v>
      </c>
      <c r="B238" s="24">
        <v>45.0</v>
      </c>
      <c r="C238" s="24">
        <v>4.0</v>
      </c>
      <c r="D238" s="24">
        <v>9.0</v>
      </c>
      <c r="E238" s="24">
        <v>66.0</v>
      </c>
      <c r="F238" s="48">
        <v>5.8355</v>
      </c>
      <c r="G238" s="49">
        <f t="shared" si="1"/>
        <v>0.058355</v>
      </c>
      <c r="H238" s="11">
        <v>0.0</v>
      </c>
      <c r="I238" s="11">
        <v>8.0</v>
      </c>
      <c r="J238" s="50">
        <v>41019.0</v>
      </c>
      <c r="K238" s="11">
        <v>0.0</v>
      </c>
      <c r="L238" s="11">
        <v>0.0</v>
      </c>
      <c r="M238" s="51">
        <v>361.0</v>
      </c>
      <c r="N238" s="17">
        <v>58.0</v>
      </c>
      <c r="O238" s="24" t="s">
        <v>600</v>
      </c>
      <c r="P238" s="52">
        <v>12613.0</v>
      </c>
      <c r="Q238" s="51">
        <v>237.0</v>
      </c>
      <c r="R238" s="53">
        <v>996112.3</v>
      </c>
      <c r="S238" s="24" t="s">
        <v>602</v>
      </c>
      <c r="T238" s="11">
        <v>3.0</v>
      </c>
      <c r="U238" s="52">
        <v>120620.0</v>
      </c>
      <c r="V238" s="11">
        <v>9.0</v>
      </c>
      <c r="W238" s="11">
        <v>1.0</v>
      </c>
      <c r="X238" s="48">
        <v>9.2442</v>
      </c>
      <c r="Y238" s="11">
        <f t="shared" si="2"/>
        <v>0.092442</v>
      </c>
    </row>
    <row r="239">
      <c r="A239" s="17">
        <v>74.0</v>
      </c>
      <c r="B239" s="24">
        <v>86.0</v>
      </c>
      <c r="C239" s="24">
        <v>4.0</v>
      </c>
      <c r="D239" s="24">
        <v>6.0</v>
      </c>
      <c r="E239" s="24">
        <v>68.0</v>
      </c>
      <c r="F239" s="48">
        <v>1.948</v>
      </c>
      <c r="G239" s="49">
        <f t="shared" si="1"/>
        <v>0.01948</v>
      </c>
      <c r="H239" s="11">
        <v>2.0</v>
      </c>
      <c r="I239" s="11">
        <v>1.0</v>
      </c>
      <c r="J239" s="50">
        <v>83017.0</v>
      </c>
      <c r="K239" s="11">
        <v>8.0</v>
      </c>
      <c r="L239" s="11">
        <v>8.0</v>
      </c>
      <c r="M239" s="51">
        <v>267.0</v>
      </c>
      <c r="N239" s="17">
        <v>8.0</v>
      </c>
      <c r="O239" s="24" t="s">
        <v>31</v>
      </c>
      <c r="P239" s="52">
        <v>122622.0</v>
      </c>
      <c r="Q239" s="51">
        <v>560.0</v>
      </c>
      <c r="R239" s="53">
        <v>-268019.6</v>
      </c>
      <c r="S239" s="24" t="s">
        <v>602</v>
      </c>
      <c r="T239" s="11">
        <v>5.0</v>
      </c>
      <c r="U239" s="52">
        <v>91714.0</v>
      </c>
      <c r="V239" s="11">
        <v>0.0</v>
      </c>
      <c r="W239" s="11">
        <v>1.0</v>
      </c>
      <c r="X239" s="48">
        <v>1.83</v>
      </c>
      <c r="Y239" s="11">
        <f t="shared" si="2"/>
        <v>0.0183</v>
      </c>
    </row>
    <row r="240">
      <c r="A240" s="17">
        <v>86.0</v>
      </c>
      <c r="B240" s="24">
        <v>86.0</v>
      </c>
      <c r="C240" s="24">
        <v>4.0</v>
      </c>
      <c r="D240" s="24">
        <v>8.0</v>
      </c>
      <c r="E240" s="24">
        <v>66.0</v>
      </c>
      <c r="F240" s="48">
        <v>3.878</v>
      </c>
      <c r="G240" s="49">
        <f t="shared" si="1"/>
        <v>0.03878</v>
      </c>
      <c r="H240" s="11">
        <v>8.0</v>
      </c>
      <c r="I240" s="11">
        <v>0.0</v>
      </c>
      <c r="J240" s="50">
        <v>70415.0</v>
      </c>
      <c r="K240" s="11">
        <v>2.0</v>
      </c>
      <c r="L240" s="11">
        <v>9.0</v>
      </c>
      <c r="M240" s="51">
        <v>7.0</v>
      </c>
      <c r="N240" s="17">
        <v>19.0</v>
      </c>
      <c r="O240" s="24" t="s">
        <v>603</v>
      </c>
      <c r="P240" s="52">
        <v>10418.0</v>
      </c>
      <c r="Q240" s="51">
        <v>372.0</v>
      </c>
      <c r="R240" s="53">
        <v>-838746.17</v>
      </c>
      <c r="S240" s="24" t="s">
        <v>605</v>
      </c>
      <c r="T240" s="11">
        <v>1.0</v>
      </c>
      <c r="U240" s="52">
        <v>110314.0</v>
      </c>
      <c r="V240" s="11">
        <v>9.0</v>
      </c>
      <c r="W240" s="11">
        <v>3.0</v>
      </c>
      <c r="X240" s="48">
        <v>8.3151</v>
      </c>
      <c r="Y240" s="11">
        <f t="shared" si="2"/>
        <v>0.083151</v>
      </c>
    </row>
    <row r="241">
      <c r="A241" s="17">
        <v>23.0</v>
      </c>
      <c r="B241" s="24">
        <v>45.0</v>
      </c>
      <c r="C241" s="24">
        <v>5.0</v>
      </c>
      <c r="D241" s="24">
        <v>2.0</v>
      </c>
      <c r="E241" s="24">
        <v>64.0</v>
      </c>
      <c r="F241" s="48">
        <v>3.1523</v>
      </c>
      <c r="G241" s="49">
        <f t="shared" si="1"/>
        <v>0.031523</v>
      </c>
      <c r="H241" s="11">
        <v>0.0</v>
      </c>
      <c r="I241" s="11">
        <v>3.0</v>
      </c>
      <c r="J241" s="50">
        <v>12122.0</v>
      </c>
      <c r="K241" s="11">
        <v>5.0</v>
      </c>
      <c r="L241" s="11">
        <v>8.0</v>
      </c>
      <c r="M241" s="51">
        <v>725.0</v>
      </c>
      <c r="N241" s="17">
        <v>48.0</v>
      </c>
      <c r="O241" s="24" t="s">
        <v>48</v>
      </c>
      <c r="P241" s="52">
        <v>22013.0</v>
      </c>
      <c r="Q241" s="51">
        <v>14.0</v>
      </c>
      <c r="R241" s="53">
        <v>-441670.56</v>
      </c>
      <c r="S241" s="24" t="s">
        <v>602</v>
      </c>
      <c r="T241" s="11">
        <v>5.0</v>
      </c>
      <c r="U241" s="52">
        <v>120519.0</v>
      </c>
      <c r="V241" s="11">
        <v>5.0</v>
      </c>
      <c r="W241" s="11">
        <v>8.0</v>
      </c>
      <c r="X241" s="48">
        <v>4.4368</v>
      </c>
      <c r="Y241" s="11">
        <f t="shared" si="2"/>
        <v>0.044368</v>
      </c>
    </row>
    <row r="242">
      <c r="A242" s="17">
        <v>16.0</v>
      </c>
      <c r="B242" s="24">
        <v>25.0</v>
      </c>
      <c r="C242" s="24">
        <v>1.0</v>
      </c>
      <c r="D242" s="24">
        <v>1.0</v>
      </c>
      <c r="E242" s="24">
        <v>63.0</v>
      </c>
      <c r="F242" s="48">
        <v>8.3035</v>
      </c>
      <c r="G242" s="49">
        <f t="shared" si="1"/>
        <v>0.083035</v>
      </c>
      <c r="H242" s="11">
        <v>5.0</v>
      </c>
      <c r="I242" s="11">
        <v>4.0</v>
      </c>
      <c r="J242" s="50">
        <v>121422.0</v>
      </c>
      <c r="K242" s="11">
        <v>7.0</v>
      </c>
      <c r="L242" s="11">
        <v>3.0</v>
      </c>
      <c r="M242" s="51">
        <v>644.0</v>
      </c>
      <c r="N242" s="17">
        <v>32.0</v>
      </c>
      <c r="O242" s="24" t="s">
        <v>48</v>
      </c>
      <c r="P242" s="52">
        <v>32214.0</v>
      </c>
      <c r="Q242" s="51">
        <v>292.0</v>
      </c>
      <c r="R242" s="53">
        <v>2277.7</v>
      </c>
      <c r="S242" s="24" t="s">
        <v>602</v>
      </c>
      <c r="T242" s="11">
        <v>8.0</v>
      </c>
      <c r="U242" s="52">
        <v>111323.0</v>
      </c>
      <c r="V242" s="11">
        <v>2.0</v>
      </c>
      <c r="W242" s="11">
        <v>5.0</v>
      </c>
      <c r="X242" s="48">
        <v>7.6397</v>
      </c>
      <c r="Y242" s="11">
        <f t="shared" si="2"/>
        <v>0.076397</v>
      </c>
    </row>
    <row r="243">
      <c r="A243" s="17">
        <v>83.0</v>
      </c>
      <c r="B243" s="24">
        <v>86.0</v>
      </c>
      <c r="C243" s="24">
        <v>5.0</v>
      </c>
      <c r="D243" s="24">
        <v>9.0</v>
      </c>
      <c r="E243" s="24">
        <v>60.0</v>
      </c>
      <c r="F243" s="48">
        <v>1.8295</v>
      </c>
      <c r="G243" s="49">
        <f t="shared" si="1"/>
        <v>0.018295</v>
      </c>
      <c r="H243" s="11">
        <v>3.0</v>
      </c>
      <c r="I243" s="11">
        <v>3.0</v>
      </c>
      <c r="J243" s="50">
        <v>71919.0</v>
      </c>
      <c r="K243" s="11">
        <v>2.0</v>
      </c>
      <c r="L243" s="11">
        <v>6.0</v>
      </c>
      <c r="M243" s="51">
        <v>505.0</v>
      </c>
      <c r="N243" s="17">
        <v>57.0</v>
      </c>
      <c r="O243" s="24" t="s">
        <v>48</v>
      </c>
      <c r="P243" s="52">
        <v>22322.0</v>
      </c>
      <c r="Q243" s="51">
        <v>242.0</v>
      </c>
      <c r="R243" s="53">
        <v>278.13</v>
      </c>
      <c r="S243" s="24" t="s">
        <v>600</v>
      </c>
      <c r="T243" s="11">
        <v>8.0</v>
      </c>
      <c r="U243" s="52">
        <v>31623.0</v>
      </c>
      <c r="V243" s="11">
        <v>8.0</v>
      </c>
      <c r="W243" s="11">
        <v>5.0</v>
      </c>
      <c r="X243" s="48">
        <v>7.7331</v>
      </c>
      <c r="Y243" s="11">
        <f t="shared" si="2"/>
        <v>0.077331</v>
      </c>
    </row>
    <row r="244">
      <c r="A244" s="17">
        <v>32.0</v>
      </c>
      <c r="B244" s="24">
        <v>66.0</v>
      </c>
      <c r="C244" s="24">
        <v>1.0</v>
      </c>
      <c r="D244" s="24">
        <v>2.0</v>
      </c>
      <c r="E244" s="24">
        <v>67.0</v>
      </c>
      <c r="F244" s="48">
        <v>2.9596</v>
      </c>
      <c r="G244" s="49">
        <f t="shared" si="1"/>
        <v>0.029596</v>
      </c>
      <c r="H244" s="11">
        <v>6.0</v>
      </c>
      <c r="I244" s="11">
        <v>2.0</v>
      </c>
      <c r="J244" s="50">
        <v>21018.0</v>
      </c>
      <c r="K244" s="11">
        <v>1.0</v>
      </c>
      <c r="L244" s="11">
        <v>6.0</v>
      </c>
      <c r="M244" s="51">
        <v>455.0</v>
      </c>
      <c r="N244" s="17">
        <v>89.0</v>
      </c>
      <c r="O244" s="24" t="s">
        <v>39</v>
      </c>
      <c r="P244" s="52">
        <v>70219.0</v>
      </c>
      <c r="Q244" s="51">
        <v>612.0</v>
      </c>
      <c r="R244" s="53">
        <v>-13149.75</v>
      </c>
      <c r="S244" s="24" t="s">
        <v>602</v>
      </c>
      <c r="T244" s="11">
        <v>3.0</v>
      </c>
      <c r="U244" s="52">
        <v>121123.0</v>
      </c>
      <c r="V244" s="11">
        <v>9.0</v>
      </c>
      <c r="W244" s="11">
        <v>0.0</v>
      </c>
      <c r="X244" s="48">
        <v>5.4359</v>
      </c>
      <c r="Y244" s="11">
        <f t="shared" si="2"/>
        <v>0.054359</v>
      </c>
    </row>
    <row r="245">
      <c r="A245" s="17">
        <v>8.0</v>
      </c>
      <c r="B245" s="24">
        <v>66.0</v>
      </c>
      <c r="C245" s="24">
        <v>1.0</v>
      </c>
      <c r="D245" s="24">
        <v>1.0</v>
      </c>
      <c r="E245" s="24">
        <v>62.0</v>
      </c>
      <c r="F245" s="48">
        <v>6.2208</v>
      </c>
      <c r="G245" s="49">
        <f t="shared" si="1"/>
        <v>0.062208</v>
      </c>
      <c r="H245" s="11">
        <v>6.0</v>
      </c>
      <c r="I245" s="11">
        <v>3.0</v>
      </c>
      <c r="J245" s="50">
        <v>101814.0</v>
      </c>
      <c r="K245" s="11">
        <v>3.0</v>
      </c>
      <c r="L245" s="11">
        <v>8.0</v>
      </c>
      <c r="M245" s="51">
        <v>531.0</v>
      </c>
      <c r="N245" s="17">
        <v>67.0</v>
      </c>
      <c r="O245" s="24" t="s">
        <v>31</v>
      </c>
      <c r="P245" s="52">
        <v>42419.0</v>
      </c>
      <c r="Q245" s="51">
        <v>448.0</v>
      </c>
      <c r="R245" s="53">
        <v>386.99</v>
      </c>
      <c r="S245" s="24" t="s">
        <v>605</v>
      </c>
      <c r="T245" s="11">
        <v>6.0</v>
      </c>
      <c r="U245" s="52">
        <v>21417.0</v>
      </c>
      <c r="V245" s="11">
        <v>7.0</v>
      </c>
      <c r="W245" s="11">
        <v>8.0</v>
      </c>
      <c r="X245" s="48">
        <v>7.2009</v>
      </c>
      <c r="Y245" s="11">
        <f t="shared" si="2"/>
        <v>0.072009</v>
      </c>
    </row>
    <row r="246">
      <c r="A246" s="17">
        <v>82.0</v>
      </c>
      <c r="B246" s="24">
        <v>45.0</v>
      </c>
      <c r="C246" s="24">
        <v>6.0</v>
      </c>
      <c r="D246" s="24">
        <v>6.0</v>
      </c>
      <c r="E246" s="24">
        <v>60.0</v>
      </c>
      <c r="F246" s="48">
        <v>4.8408</v>
      </c>
      <c r="G246" s="49">
        <f t="shared" si="1"/>
        <v>0.048408</v>
      </c>
      <c r="H246" s="11">
        <v>9.0</v>
      </c>
      <c r="I246" s="11">
        <v>3.0</v>
      </c>
      <c r="J246" s="50">
        <v>83021.0</v>
      </c>
      <c r="K246" s="11">
        <v>2.0</v>
      </c>
      <c r="L246" s="11">
        <v>1.0</v>
      </c>
      <c r="M246" s="51">
        <v>769.0</v>
      </c>
      <c r="N246" s="17">
        <v>82.0</v>
      </c>
      <c r="O246" s="24" t="s">
        <v>606</v>
      </c>
      <c r="P246" s="52">
        <v>71716.0</v>
      </c>
      <c r="Q246" s="51">
        <v>810.0</v>
      </c>
      <c r="R246" s="53">
        <v>-562726.71</v>
      </c>
      <c r="S246" s="24" t="s">
        <v>605</v>
      </c>
      <c r="T246" s="11">
        <v>6.0</v>
      </c>
      <c r="U246" s="52">
        <v>50521.0</v>
      </c>
      <c r="V246" s="11">
        <v>6.0</v>
      </c>
      <c r="W246" s="11">
        <v>6.0</v>
      </c>
      <c r="X246" s="48">
        <v>4.9606</v>
      </c>
      <c r="Y246" s="11">
        <f t="shared" si="2"/>
        <v>0.049606</v>
      </c>
    </row>
    <row r="247">
      <c r="A247" s="17">
        <v>49.0</v>
      </c>
      <c r="B247" s="24">
        <v>25.0</v>
      </c>
      <c r="C247" s="24">
        <v>1.0</v>
      </c>
      <c r="D247" s="24">
        <v>9.0</v>
      </c>
      <c r="E247" s="24">
        <v>68.0</v>
      </c>
      <c r="F247" s="48">
        <v>3.9506</v>
      </c>
      <c r="G247" s="49">
        <f t="shared" si="1"/>
        <v>0.039506</v>
      </c>
      <c r="H247" s="11">
        <v>9.0</v>
      </c>
      <c r="I247" s="11">
        <v>8.0</v>
      </c>
      <c r="J247" s="50">
        <v>102122.0</v>
      </c>
      <c r="K247" s="11">
        <v>7.0</v>
      </c>
      <c r="L247" s="11">
        <v>9.0</v>
      </c>
      <c r="M247" s="51">
        <v>798.0</v>
      </c>
      <c r="N247" s="17">
        <v>1.0</v>
      </c>
      <c r="O247" s="24" t="s">
        <v>600</v>
      </c>
      <c r="P247" s="52">
        <v>43022.0</v>
      </c>
      <c r="Q247" s="51">
        <v>246.0</v>
      </c>
      <c r="R247" s="53">
        <v>-77833.94</v>
      </c>
      <c r="S247" s="24" t="s">
        <v>602</v>
      </c>
      <c r="T247" s="11">
        <v>5.0</v>
      </c>
      <c r="U247" s="52">
        <v>52416.0</v>
      </c>
      <c r="V247" s="11">
        <v>2.0</v>
      </c>
      <c r="W247" s="11">
        <v>7.0</v>
      </c>
      <c r="X247" s="48">
        <v>7.94</v>
      </c>
      <c r="Y247" s="11">
        <f t="shared" si="2"/>
        <v>0.0794</v>
      </c>
    </row>
    <row r="248">
      <c r="A248" s="17">
        <v>85.0</v>
      </c>
      <c r="B248" s="24">
        <v>66.0</v>
      </c>
      <c r="C248" s="24">
        <v>1.0</v>
      </c>
      <c r="D248" s="24">
        <v>7.0</v>
      </c>
      <c r="E248" s="24">
        <v>66.0</v>
      </c>
      <c r="F248" s="48">
        <v>1.4956</v>
      </c>
      <c r="G248" s="49">
        <f t="shared" si="1"/>
        <v>0.014956</v>
      </c>
      <c r="H248" s="11">
        <v>9.0</v>
      </c>
      <c r="I248" s="11">
        <v>9.0</v>
      </c>
      <c r="J248" s="50">
        <v>30619.0</v>
      </c>
      <c r="K248" s="11">
        <v>7.0</v>
      </c>
      <c r="L248" s="11">
        <v>7.0</v>
      </c>
      <c r="M248" s="51">
        <v>14.0</v>
      </c>
      <c r="N248" s="17">
        <v>58.0</v>
      </c>
      <c r="O248" s="24" t="s">
        <v>31</v>
      </c>
      <c r="P248" s="52">
        <v>92219.0</v>
      </c>
      <c r="Q248" s="51">
        <v>865.0</v>
      </c>
      <c r="R248" s="53">
        <v>-6223.52</v>
      </c>
      <c r="S248" s="24" t="s">
        <v>602</v>
      </c>
      <c r="T248" s="11">
        <v>6.0</v>
      </c>
      <c r="U248" s="52">
        <v>122021.0</v>
      </c>
      <c r="V248" s="11">
        <v>0.0</v>
      </c>
      <c r="W248" s="11">
        <v>0.0</v>
      </c>
      <c r="X248" s="48">
        <v>1.1943</v>
      </c>
      <c r="Y248" s="11">
        <f t="shared" si="2"/>
        <v>0.011943</v>
      </c>
    </row>
    <row r="249">
      <c r="A249" s="17">
        <v>55.0</v>
      </c>
      <c r="B249" s="24">
        <v>25.0</v>
      </c>
      <c r="C249" s="24">
        <v>2.0</v>
      </c>
      <c r="D249" s="24">
        <v>1.0</v>
      </c>
      <c r="E249" s="24">
        <v>67.0</v>
      </c>
      <c r="F249" s="48">
        <v>6.9837</v>
      </c>
      <c r="G249" s="49">
        <f t="shared" si="1"/>
        <v>0.069837</v>
      </c>
      <c r="H249" s="11">
        <v>5.0</v>
      </c>
      <c r="I249" s="11">
        <v>9.0</v>
      </c>
      <c r="J249" s="50">
        <v>102115.0</v>
      </c>
      <c r="K249" s="11">
        <v>6.0</v>
      </c>
      <c r="L249" s="11">
        <v>8.0</v>
      </c>
      <c r="M249" s="51">
        <v>126.0</v>
      </c>
      <c r="N249" s="17">
        <v>68.0</v>
      </c>
      <c r="O249" s="24" t="s">
        <v>601</v>
      </c>
      <c r="P249" s="52">
        <v>121220.0</v>
      </c>
      <c r="Q249" s="51">
        <v>768.0</v>
      </c>
      <c r="R249" s="53">
        <v>36592.15</v>
      </c>
      <c r="S249" s="24" t="s">
        <v>602</v>
      </c>
      <c r="T249" s="11">
        <v>7.0</v>
      </c>
      <c r="U249" s="52">
        <v>12021.0</v>
      </c>
      <c r="V249" s="11">
        <v>5.0</v>
      </c>
      <c r="W249" s="11">
        <v>3.0</v>
      </c>
      <c r="X249" s="48">
        <v>4.2059</v>
      </c>
      <c r="Y249" s="11">
        <f t="shared" si="2"/>
        <v>0.042059</v>
      </c>
    </row>
    <row r="250">
      <c r="A250" s="17">
        <v>37.0</v>
      </c>
      <c r="B250" s="24">
        <v>86.0</v>
      </c>
      <c r="C250" s="24">
        <v>6.0</v>
      </c>
      <c r="D250" s="24">
        <v>8.0</v>
      </c>
      <c r="E250" s="24">
        <v>66.0</v>
      </c>
      <c r="F250" s="48">
        <v>4.3069</v>
      </c>
      <c r="G250" s="49">
        <f t="shared" si="1"/>
        <v>0.043069</v>
      </c>
      <c r="H250" s="11">
        <v>7.0</v>
      </c>
      <c r="I250" s="11">
        <v>2.0</v>
      </c>
      <c r="J250" s="50">
        <v>42621.0</v>
      </c>
      <c r="K250" s="11">
        <v>7.0</v>
      </c>
      <c r="L250" s="11">
        <v>4.0</v>
      </c>
      <c r="M250" s="51">
        <v>598.0</v>
      </c>
      <c r="N250" s="17">
        <v>47.0</v>
      </c>
      <c r="O250" s="24" t="s">
        <v>600</v>
      </c>
      <c r="P250" s="52">
        <v>42121.0</v>
      </c>
      <c r="Q250" s="51">
        <v>494.0</v>
      </c>
      <c r="R250" s="53">
        <v>941689.33</v>
      </c>
      <c r="S250" s="24" t="s">
        <v>605</v>
      </c>
      <c r="T250" s="11">
        <v>7.0</v>
      </c>
      <c r="U250" s="52">
        <v>71613.0</v>
      </c>
      <c r="V250" s="11">
        <v>3.0</v>
      </c>
      <c r="W250" s="11">
        <v>1.0</v>
      </c>
      <c r="X250" s="48">
        <v>7.559</v>
      </c>
      <c r="Y250" s="11">
        <f t="shared" si="2"/>
        <v>0.07559</v>
      </c>
    </row>
    <row r="251">
      <c r="A251" s="17">
        <v>84.0</v>
      </c>
      <c r="B251" s="24">
        <v>45.0</v>
      </c>
      <c r="C251" s="24">
        <v>7.0</v>
      </c>
      <c r="D251" s="24">
        <v>6.0</v>
      </c>
      <c r="E251" s="24">
        <v>62.0</v>
      </c>
      <c r="F251" s="48">
        <v>7.2238</v>
      </c>
      <c r="G251" s="49">
        <f t="shared" si="1"/>
        <v>0.072238</v>
      </c>
      <c r="H251" s="11">
        <v>7.0</v>
      </c>
      <c r="I251" s="11">
        <v>6.0</v>
      </c>
      <c r="J251" s="50">
        <v>22013.0</v>
      </c>
      <c r="K251" s="11">
        <v>5.0</v>
      </c>
      <c r="L251" s="11">
        <v>8.0</v>
      </c>
      <c r="M251" s="51">
        <v>370.0</v>
      </c>
      <c r="N251" s="17">
        <v>89.0</v>
      </c>
      <c r="O251" s="24" t="s">
        <v>48</v>
      </c>
      <c r="P251" s="52">
        <v>100423.0</v>
      </c>
      <c r="Q251" s="51">
        <v>630.0</v>
      </c>
      <c r="R251" s="53">
        <v>-653.54</v>
      </c>
      <c r="S251" s="24" t="s">
        <v>605</v>
      </c>
      <c r="T251" s="11">
        <v>4.0</v>
      </c>
      <c r="U251" s="52">
        <v>102322.0</v>
      </c>
      <c r="V251" s="11">
        <v>0.0</v>
      </c>
      <c r="W251" s="11">
        <v>3.0</v>
      </c>
      <c r="X251" s="48">
        <v>7.9727</v>
      </c>
      <c r="Y251" s="11">
        <f t="shared" si="2"/>
        <v>0.079727</v>
      </c>
    </row>
    <row r="252">
      <c r="A252" s="17">
        <v>54.0</v>
      </c>
      <c r="B252" s="24">
        <v>66.0</v>
      </c>
      <c r="C252" s="24">
        <v>2.0</v>
      </c>
      <c r="D252" s="24">
        <v>5.0</v>
      </c>
      <c r="E252" s="24">
        <v>61.0</v>
      </c>
      <c r="F252" s="48">
        <v>2.2404</v>
      </c>
      <c r="G252" s="49">
        <f t="shared" si="1"/>
        <v>0.022404</v>
      </c>
      <c r="H252" s="11">
        <v>2.0</v>
      </c>
      <c r="I252" s="11">
        <v>4.0</v>
      </c>
      <c r="J252" s="50">
        <v>102114.0</v>
      </c>
      <c r="K252" s="11">
        <v>6.0</v>
      </c>
      <c r="L252" s="11">
        <v>8.0</v>
      </c>
      <c r="M252" s="51">
        <v>713.0</v>
      </c>
      <c r="N252" s="17">
        <v>98.0</v>
      </c>
      <c r="O252" s="24" t="s">
        <v>39</v>
      </c>
      <c r="P252" s="52">
        <v>20522.0</v>
      </c>
      <c r="Q252" s="51">
        <v>280.0</v>
      </c>
      <c r="R252" s="53">
        <v>785.13</v>
      </c>
      <c r="S252" s="24" t="s">
        <v>605</v>
      </c>
      <c r="T252" s="11">
        <v>2.0</v>
      </c>
      <c r="U252" s="52">
        <v>10314.0</v>
      </c>
      <c r="V252" s="11">
        <v>2.0</v>
      </c>
      <c r="W252" s="11">
        <v>0.0</v>
      </c>
      <c r="X252" s="48">
        <v>5.3905</v>
      </c>
      <c r="Y252" s="11">
        <f t="shared" si="2"/>
        <v>0.053905</v>
      </c>
    </row>
    <row r="253">
      <c r="A253" s="17">
        <v>32.0</v>
      </c>
      <c r="B253" s="24">
        <v>86.0</v>
      </c>
      <c r="C253" s="24">
        <v>7.0</v>
      </c>
      <c r="D253" s="24">
        <v>2.0</v>
      </c>
      <c r="E253" s="24">
        <v>63.0</v>
      </c>
      <c r="F253" s="48">
        <v>7.975</v>
      </c>
      <c r="G253" s="49">
        <f t="shared" si="1"/>
        <v>0.07975</v>
      </c>
      <c r="H253" s="11">
        <v>8.0</v>
      </c>
      <c r="I253" s="11">
        <v>1.0</v>
      </c>
      <c r="J253" s="50">
        <v>122716.0</v>
      </c>
      <c r="K253" s="11">
        <v>1.0</v>
      </c>
      <c r="L253" s="11">
        <v>6.0</v>
      </c>
      <c r="M253" s="51">
        <v>898.0</v>
      </c>
      <c r="N253" s="17">
        <v>65.0</v>
      </c>
      <c r="O253" s="24" t="s">
        <v>600</v>
      </c>
      <c r="P253" s="52">
        <v>111421.0</v>
      </c>
      <c r="Q253" s="51">
        <v>98.0</v>
      </c>
      <c r="R253" s="53">
        <v>-704.32</v>
      </c>
      <c r="S253" s="24" t="s">
        <v>604</v>
      </c>
      <c r="T253" s="11">
        <v>3.0</v>
      </c>
      <c r="U253" s="52">
        <v>50519.0</v>
      </c>
      <c r="V253" s="11">
        <v>5.0</v>
      </c>
      <c r="W253" s="11">
        <v>9.0</v>
      </c>
      <c r="X253" s="48">
        <v>6.9448</v>
      </c>
      <c r="Y253" s="11">
        <f t="shared" si="2"/>
        <v>0.069448</v>
      </c>
    </row>
    <row r="254">
      <c r="A254" s="17">
        <v>94.0</v>
      </c>
      <c r="B254" s="24">
        <v>45.0</v>
      </c>
      <c r="C254" s="24">
        <v>7.0</v>
      </c>
      <c r="D254" s="24">
        <v>9.0</v>
      </c>
      <c r="E254" s="24">
        <v>64.0</v>
      </c>
      <c r="F254" s="48">
        <v>2.5794</v>
      </c>
      <c r="G254" s="49">
        <f t="shared" si="1"/>
        <v>0.025794</v>
      </c>
      <c r="H254" s="11">
        <v>0.0</v>
      </c>
      <c r="I254" s="11">
        <v>2.0</v>
      </c>
      <c r="J254" s="50">
        <v>72820.0</v>
      </c>
      <c r="K254" s="11">
        <v>1.0</v>
      </c>
      <c r="L254" s="11">
        <v>7.0</v>
      </c>
      <c r="M254" s="51">
        <v>70.0</v>
      </c>
      <c r="N254" s="17">
        <v>13.0</v>
      </c>
      <c r="O254" s="24" t="s">
        <v>31</v>
      </c>
      <c r="P254" s="52">
        <v>10622.0</v>
      </c>
      <c r="Q254" s="51">
        <v>990.0</v>
      </c>
      <c r="R254" s="53">
        <v>633.87</v>
      </c>
      <c r="S254" s="24" t="s">
        <v>605</v>
      </c>
      <c r="T254" s="11">
        <v>4.0</v>
      </c>
      <c r="U254" s="52">
        <v>80619.0</v>
      </c>
      <c r="V254" s="11">
        <v>1.0</v>
      </c>
      <c r="W254" s="11">
        <v>3.0</v>
      </c>
      <c r="X254" s="48">
        <v>7.7047</v>
      </c>
      <c r="Y254" s="11">
        <f t="shared" si="2"/>
        <v>0.077047</v>
      </c>
    </row>
    <row r="255">
      <c r="A255" s="17">
        <v>11.0</v>
      </c>
      <c r="B255" s="24">
        <v>25.0</v>
      </c>
      <c r="C255" s="24">
        <v>3.0</v>
      </c>
      <c r="D255" s="24">
        <v>2.0</v>
      </c>
      <c r="E255" s="24">
        <v>64.0</v>
      </c>
      <c r="F255" s="48">
        <v>4.5269</v>
      </c>
      <c r="G255" s="49">
        <f t="shared" si="1"/>
        <v>0.045269</v>
      </c>
      <c r="H255" s="11">
        <v>6.0</v>
      </c>
      <c r="I255" s="11">
        <v>3.0</v>
      </c>
      <c r="J255" s="50">
        <v>112917.0</v>
      </c>
      <c r="K255" s="11">
        <v>2.0</v>
      </c>
      <c r="L255" s="11">
        <v>2.0</v>
      </c>
      <c r="M255" s="51">
        <v>486.0</v>
      </c>
      <c r="N255" s="17">
        <v>2.0</v>
      </c>
      <c r="O255" s="24" t="s">
        <v>31</v>
      </c>
      <c r="P255" s="52">
        <v>101118.0</v>
      </c>
      <c r="Q255" s="51">
        <v>596.0</v>
      </c>
      <c r="R255" s="53">
        <v>-951.73</v>
      </c>
      <c r="S255" s="24" t="s">
        <v>604</v>
      </c>
      <c r="T255" s="11">
        <v>8.0</v>
      </c>
      <c r="U255" s="52">
        <v>101415.0</v>
      </c>
      <c r="V255" s="11">
        <v>5.0</v>
      </c>
      <c r="W255" s="11">
        <v>3.0</v>
      </c>
      <c r="X255" s="48">
        <v>6.752</v>
      </c>
      <c r="Y255" s="11">
        <f t="shared" si="2"/>
        <v>0.06752</v>
      </c>
    </row>
    <row r="256">
      <c r="A256" s="17">
        <v>85.0</v>
      </c>
      <c r="B256" s="24">
        <v>25.0</v>
      </c>
      <c r="C256" s="24">
        <v>3.0</v>
      </c>
      <c r="D256" s="24">
        <v>3.0</v>
      </c>
      <c r="E256" s="24">
        <v>65.0</v>
      </c>
      <c r="F256" s="48">
        <v>2.871</v>
      </c>
      <c r="G256" s="49">
        <f t="shared" si="1"/>
        <v>0.02871</v>
      </c>
      <c r="H256" s="11">
        <v>8.0</v>
      </c>
      <c r="I256" s="11">
        <v>4.0</v>
      </c>
      <c r="J256" s="50">
        <v>20118.0</v>
      </c>
      <c r="K256" s="11">
        <v>5.0</v>
      </c>
      <c r="L256" s="11">
        <v>9.0</v>
      </c>
      <c r="M256" s="51">
        <v>57.0</v>
      </c>
      <c r="N256" s="17">
        <v>29.0</v>
      </c>
      <c r="O256" s="24" t="s">
        <v>603</v>
      </c>
      <c r="P256" s="52">
        <v>111020.0</v>
      </c>
      <c r="Q256" s="51">
        <v>108.0</v>
      </c>
      <c r="R256" s="53">
        <v>-511296.49</v>
      </c>
      <c r="S256" s="24" t="s">
        <v>600</v>
      </c>
      <c r="T256" s="11">
        <v>2.0</v>
      </c>
      <c r="U256" s="52">
        <v>12815.0</v>
      </c>
      <c r="V256" s="11">
        <v>7.0</v>
      </c>
      <c r="W256" s="11">
        <v>2.0</v>
      </c>
      <c r="X256" s="48">
        <v>6.6079</v>
      </c>
      <c r="Y256" s="11">
        <f t="shared" si="2"/>
        <v>0.066079</v>
      </c>
    </row>
    <row r="257">
      <c r="A257" s="17">
        <v>24.0</v>
      </c>
      <c r="B257" s="24">
        <v>45.0</v>
      </c>
      <c r="C257" s="24">
        <v>8.0</v>
      </c>
      <c r="D257" s="24">
        <v>2.0</v>
      </c>
      <c r="E257" s="24">
        <v>60.0</v>
      </c>
      <c r="F257" s="48">
        <v>6.7274</v>
      </c>
      <c r="G257" s="49">
        <f t="shared" si="1"/>
        <v>0.067274</v>
      </c>
      <c r="H257" s="11">
        <v>4.0</v>
      </c>
      <c r="I257" s="11">
        <v>5.0</v>
      </c>
      <c r="J257" s="50">
        <v>72716.0</v>
      </c>
      <c r="K257" s="11">
        <v>5.0</v>
      </c>
      <c r="L257" s="11">
        <v>1.0</v>
      </c>
      <c r="M257" s="51">
        <v>509.0</v>
      </c>
      <c r="N257" s="17">
        <v>11.0</v>
      </c>
      <c r="O257" s="24" t="s">
        <v>603</v>
      </c>
      <c r="P257" s="52">
        <v>12613.0</v>
      </c>
      <c r="Q257" s="51">
        <v>818.0</v>
      </c>
      <c r="R257" s="53">
        <v>33343.62</v>
      </c>
      <c r="S257" s="24" t="s">
        <v>604</v>
      </c>
      <c r="T257" s="11">
        <v>1.0</v>
      </c>
      <c r="U257" s="52">
        <v>100116.0</v>
      </c>
      <c r="V257" s="11">
        <v>3.0</v>
      </c>
      <c r="W257" s="11">
        <v>2.0</v>
      </c>
      <c r="X257" s="48">
        <v>2.7228</v>
      </c>
      <c r="Y257" s="11">
        <f t="shared" si="2"/>
        <v>0.027228</v>
      </c>
    </row>
    <row r="258">
      <c r="A258" s="17">
        <v>13.0</v>
      </c>
      <c r="B258" s="24">
        <v>86.0</v>
      </c>
      <c r="C258" s="24">
        <v>7.0</v>
      </c>
      <c r="D258" s="24">
        <v>9.0</v>
      </c>
      <c r="E258" s="24">
        <v>64.0</v>
      </c>
      <c r="F258" s="48">
        <v>6.9167</v>
      </c>
      <c r="G258" s="49">
        <f t="shared" si="1"/>
        <v>0.069167</v>
      </c>
      <c r="H258" s="11">
        <v>0.0</v>
      </c>
      <c r="I258" s="11">
        <v>3.0</v>
      </c>
      <c r="J258" s="50">
        <v>92222.0</v>
      </c>
      <c r="K258" s="11">
        <v>7.0</v>
      </c>
      <c r="L258" s="11">
        <v>0.0</v>
      </c>
      <c r="M258" s="51">
        <v>772.0</v>
      </c>
      <c r="N258" s="17">
        <v>64.0</v>
      </c>
      <c r="O258" s="24" t="s">
        <v>39</v>
      </c>
      <c r="P258" s="52">
        <v>41618.0</v>
      </c>
      <c r="Q258" s="51">
        <v>496.0</v>
      </c>
      <c r="R258" s="53">
        <v>640644.72</v>
      </c>
      <c r="S258" s="24" t="s">
        <v>605</v>
      </c>
      <c r="T258" s="11">
        <v>9.0</v>
      </c>
      <c r="U258" s="52">
        <v>52723.0</v>
      </c>
      <c r="V258" s="11">
        <v>5.0</v>
      </c>
      <c r="W258" s="11">
        <v>7.0</v>
      </c>
      <c r="X258" s="48">
        <v>8.49</v>
      </c>
      <c r="Y258" s="11">
        <f t="shared" si="2"/>
        <v>0.0849</v>
      </c>
    </row>
    <row r="259">
      <c r="A259" s="17">
        <v>84.0</v>
      </c>
      <c r="B259" s="24">
        <v>45.0</v>
      </c>
      <c r="C259" s="24">
        <v>8.0</v>
      </c>
      <c r="D259" s="24">
        <v>4.0</v>
      </c>
      <c r="E259" s="24">
        <v>61.0</v>
      </c>
      <c r="F259" s="48">
        <v>1.5466</v>
      </c>
      <c r="G259" s="49">
        <f t="shared" si="1"/>
        <v>0.015466</v>
      </c>
      <c r="H259" s="11">
        <v>7.0</v>
      </c>
      <c r="I259" s="11">
        <v>7.0</v>
      </c>
      <c r="J259" s="50">
        <v>92518.0</v>
      </c>
      <c r="K259" s="11">
        <v>8.0</v>
      </c>
      <c r="L259" s="11">
        <v>5.0</v>
      </c>
      <c r="M259" s="51">
        <v>343.0</v>
      </c>
      <c r="N259" s="17">
        <v>19.0</v>
      </c>
      <c r="O259" s="24" t="s">
        <v>601</v>
      </c>
      <c r="P259" s="52">
        <v>112616.0</v>
      </c>
      <c r="Q259" s="51">
        <v>161.0</v>
      </c>
      <c r="R259" s="53">
        <v>502.6</v>
      </c>
      <c r="S259" s="24" t="s">
        <v>602</v>
      </c>
      <c r="T259" s="11">
        <v>3.0</v>
      </c>
      <c r="U259" s="52">
        <v>11620.0</v>
      </c>
      <c r="V259" s="11">
        <v>4.0</v>
      </c>
      <c r="W259" s="11">
        <v>5.0</v>
      </c>
      <c r="X259" s="48">
        <v>9.7159</v>
      </c>
      <c r="Y259" s="11">
        <f t="shared" si="2"/>
        <v>0.097159</v>
      </c>
    </row>
    <row r="260">
      <c r="A260" s="17">
        <v>64.0</v>
      </c>
      <c r="B260" s="24">
        <v>45.0</v>
      </c>
      <c r="C260" s="24">
        <v>8.0</v>
      </c>
      <c r="D260" s="24">
        <v>5.0</v>
      </c>
      <c r="E260" s="24">
        <v>64.0</v>
      </c>
      <c r="F260" s="48">
        <v>4.121</v>
      </c>
      <c r="G260" s="49">
        <f t="shared" si="1"/>
        <v>0.04121</v>
      </c>
      <c r="H260" s="11">
        <v>8.0</v>
      </c>
      <c r="I260" s="11">
        <v>2.0</v>
      </c>
      <c r="J260" s="50">
        <v>11718.0</v>
      </c>
      <c r="K260" s="11">
        <v>6.0</v>
      </c>
      <c r="L260" s="11">
        <v>9.0</v>
      </c>
      <c r="M260" s="51">
        <v>864.0</v>
      </c>
      <c r="N260" s="17">
        <v>87.0</v>
      </c>
      <c r="O260" s="24" t="s">
        <v>606</v>
      </c>
      <c r="P260" s="52">
        <v>11517.0</v>
      </c>
      <c r="Q260" s="51">
        <v>102.0</v>
      </c>
      <c r="R260" s="53">
        <v>237440.5</v>
      </c>
      <c r="S260" s="24" t="s">
        <v>602</v>
      </c>
      <c r="T260" s="11">
        <v>4.0</v>
      </c>
      <c r="U260" s="52">
        <v>62315.0</v>
      </c>
      <c r="V260" s="11">
        <v>6.0</v>
      </c>
      <c r="W260" s="11">
        <v>2.0</v>
      </c>
      <c r="X260" s="48">
        <v>9.524</v>
      </c>
      <c r="Y260" s="11">
        <f t="shared" si="2"/>
        <v>0.09524</v>
      </c>
    </row>
    <row r="261">
      <c r="A261" s="17">
        <v>56.0</v>
      </c>
      <c r="B261" s="24">
        <v>66.0</v>
      </c>
      <c r="C261" s="24">
        <v>3.0</v>
      </c>
      <c r="D261" s="24">
        <v>4.0</v>
      </c>
      <c r="E261" s="24">
        <v>61.0</v>
      </c>
      <c r="F261" s="48">
        <v>9.7892</v>
      </c>
      <c r="G261" s="49">
        <f t="shared" si="1"/>
        <v>0.097892</v>
      </c>
      <c r="H261" s="11">
        <v>7.0</v>
      </c>
      <c r="I261" s="11">
        <v>1.0</v>
      </c>
      <c r="J261" s="50">
        <v>123021.0</v>
      </c>
      <c r="K261" s="11">
        <v>1.0</v>
      </c>
      <c r="L261" s="11">
        <v>8.0</v>
      </c>
      <c r="M261" s="51">
        <v>878.0</v>
      </c>
      <c r="N261" s="17">
        <v>72.0</v>
      </c>
      <c r="O261" s="24" t="s">
        <v>606</v>
      </c>
      <c r="P261" s="52">
        <v>52715.0</v>
      </c>
      <c r="Q261" s="51">
        <v>986.0</v>
      </c>
      <c r="R261" s="53">
        <v>885154.86</v>
      </c>
      <c r="S261" s="24" t="s">
        <v>604</v>
      </c>
      <c r="T261" s="11">
        <v>6.0</v>
      </c>
      <c r="U261" s="52">
        <v>60422.0</v>
      </c>
      <c r="V261" s="11">
        <v>8.0</v>
      </c>
      <c r="W261" s="11">
        <v>3.0</v>
      </c>
      <c r="X261" s="48">
        <v>3.6982</v>
      </c>
      <c r="Y261" s="11">
        <f t="shared" si="2"/>
        <v>0.036982</v>
      </c>
    </row>
    <row r="262">
      <c r="A262" s="17">
        <v>42.0</v>
      </c>
      <c r="B262" s="24">
        <v>21.0</v>
      </c>
      <c r="C262" s="24">
        <v>3.0</v>
      </c>
      <c r="D262" s="24">
        <v>2.0</v>
      </c>
      <c r="E262" s="24">
        <v>67.0</v>
      </c>
      <c r="F262" s="48">
        <v>7.2008</v>
      </c>
      <c r="G262" s="49">
        <f t="shared" si="1"/>
        <v>0.072008</v>
      </c>
      <c r="H262" s="11">
        <v>7.0</v>
      </c>
      <c r="I262" s="11">
        <v>9.0</v>
      </c>
      <c r="J262" s="50">
        <v>22518.0</v>
      </c>
      <c r="K262" s="11">
        <v>9.0</v>
      </c>
      <c r="L262" s="11">
        <v>2.0</v>
      </c>
      <c r="M262" s="51">
        <v>441.0</v>
      </c>
      <c r="N262" s="17">
        <v>16.0</v>
      </c>
      <c r="O262" s="24" t="s">
        <v>31</v>
      </c>
      <c r="P262" s="52">
        <v>52619.0</v>
      </c>
      <c r="Q262" s="51">
        <v>596.0</v>
      </c>
      <c r="R262" s="53">
        <v>209420.17</v>
      </c>
      <c r="S262" s="24" t="s">
        <v>604</v>
      </c>
      <c r="T262" s="11">
        <v>7.0</v>
      </c>
      <c r="U262" s="52">
        <v>13014.0</v>
      </c>
      <c r="V262" s="11">
        <v>6.0</v>
      </c>
      <c r="W262" s="11">
        <v>7.0</v>
      </c>
      <c r="X262" s="48">
        <v>6.5726</v>
      </c>
      <c r="Y262" s="11">
        <f t="shared" si="2"/>
        <v>0.065726</v>
      </c>
    </row>
    <row r="263">
      <c r="A263" s="17">
        <v>3.0</v>
      </c>
      <c r="B263" s="24">
        <v>45.0</v>
      </c>
      <c r="C263" s="24">
        <v>8.0</v>
      </c>
      <c r="D263" s="24">
        <v>6.0</v>
      </c>
      <c r="E263" s="24">
        <v>66.0</v>
      </c>
      <c r="F263" s="48">
        <v>2.3844</v>
      </c>
      <c r="G263" s="49">
        <f t="shared" si="1"/>
        <v>0.023844</v>
      </c>
      <c r="H263" s="11">
        <v>2.0</v>
      </c>
      <c r="I263" s="11">
        <v>4.0</v>
      </c>
      <c r="J263" s="50">
        <v>80313.0</v>
      </c>
      <c r="K263" s="11">
        <v>3.0</v>
      </c>
      <c r="L263" s="11">
        <v>6.0</v>
      </c>
      <c r="M263" s="51">
        <v>120.0</v>
      </c>
      <c r="N263" s="17">
        <v>87.0</v>
      </c>
      <c r="O263" s="24" t="s">
        <v>606</v>
      </c>
      <c r="P263" s="52">
        <v>50518.0</v>
      </c>
      <c r="Q263" s="51">
        <v>126.0</v>
      </c>
      <c r="R263" s="53">
        <v>-518.91</v>
      </c>
      <c r="S263" s="24" t="s">
        <v>604</v>
      </c>
      <c r="T263" s="11">
        <v>8.0</v>
      </c>
      <c r="U263" s="52">
        <v>102314.0</v>
      </c>
      <c r="V263" s="11">
        <v>5.0</v>
      </c>
      <c r="W263" s="11">
        <v>4.0</v>
      </c>
      <c r="X263" s="48">
        <v>6.9404</v>
      </c>
      <c r="Y263" s="11">
        <f t="shared" si="2"/>
        <v>0.069404</v>
      </c>
    </row>
    <row r="264">
      <c r="A264" s="17">
        <v>15.0</v>
      </c>
      <c r="B264" s="24">
        <v>45.0</v>
      </c>
      <c r="C264" s="24">
        <v>8.0</v>
      </c>
      <c r="D264" s="24">
        <v>9.0</v>
      </c>
      <c r="E264" s="24">
        <v>67.0</v>
      </c>
      <c r="F264" s="48">
        <v>4.332</v>
      </c>
      <c r="G264" s="49">
        <f t="shared" si="1"/>
        <v>0.04332</v>
      </c>
      <c r="H264" s="11">
        <v>6.0</v>
      </c>
      <c r="I264" s="11">
        <v>8.0</v>
      </c>
      <c r="J264" s="50">
        <v>72621.0</v>
      </c>
      <c r="K264" s="11">
        <v>0.0</v>
      </c>
      <c r="L264" s="11">
        <v>3.0</v>
      </c>
      <c r="M264" s="51">
        <v>437.0</v>
      </c>
      <c r="N264" s="17">
        <v>74.0</v>
      </c>
      <c r="O264" s="24" t="s">
        <v>603</v>
      </c>
      <c r="P264" s="52">
        <v>110821.0</v>
      </c>
      <c r="Q264" s="51">
        <v>61.0</v>
      </c>
      <c r="R264" s="53">
        <v>-6975.85</v>
      </c>
      <c r="S264" s="24" t="s">
        <v>604</v>
      </c>
      <c r="T264" s="11">
        <v>1.0</v>
      </c>
      <c r="U264" s="52">
        <v>122517.0</v>
      </c>
      <c r="V264" s="11">
        <v>4.0</v>
      </c>
      <c r="W264" s="11">
        <v>0.0</v>
      </c>
      <c r="X264" s="48">
        <v>8.3508</v>
      </c>
      <c r="Y264" s="11">
        <f t="shared" si="2"/>
        <v>0.083508</v>
      </c>
    </row>
    <row r="265">
      <c r="A265" s="17">
        <v>26.0</v>
      </c>
      <c r="B265" s="24">
        <v>86.0</v>
      </c>
      <c r="C265" s="24">
        <v>9.0</v>
      </c>
      <c r="D265" s="24">
        <v>7.0</v>
      </c>
      <c r="E265" s="24">
        <v>62.0</v>
      </c>
      <c r="F265" s="48">
        <v>3.5402</v>
      </c>
      <c r="G265" s="49">
        <f t="shared" si="1"/>
        <v>0.035402</v>
      </c>
      <c r="H265" s="11">
        <v>8.0</v>
      </c>
      <c r="I265" s="11">
        <v>9.0</v>
      </c>
      <c r="J265" s="50">
        <v>61416.0</v>
      </c>
      <c r="K265" s="11">
        <v>6.0</v>
      </c>
      <c r="L265" s="11">
        <v>9.0</v>
      </c>
      <c r="M265" s="51">
        <v>812.0</v>
      </c>
      <c r="N265" s="17">
        <v>21.0</v>
      </c>
      <c r="O265" s="24" t="s">
        <v>600</v>
      </c>
      <c r="P265" s="52">
        <v>71320.0</v>
      </c>
      <c r="Q265" s="51">
        <v>104.0</v>
      </c>
      <c r="R265" s="53">
        <v>884.6</v>
      </c>
      <c r="S265" s="24" t="s">
        <v>602</v>
      </c>
      <c r="T265" s="11">
        <v>3.0</v>
      </c>
      <c r="U265" s="52">
        <v>20618.0</v>
      </c>
      <c r="V265" s="11">
        <v>4.0</v>
      </c>
      <c r="W265" s="11">
        <v>0.0</v>
      </c>
      <c r="X265" s="48">
        <v>2.9837</v>
      </c>
      <c r="Y265" s="11">
        <f t="shared" si="2"/>
        <v>0.029837</v>
      </c>
    </row>
    <row r="266">
      <c r="A266" s="17">
        <v>72.0</v>
      </c>
      <c r="B266" s="24">
        <v>86.0</v>
      </c>
      <c r="C266" s="24">
        <v>9.0</v>
      </c>
      <c r="D266" s="24">
        <v>8.0</v>
      </c>
      <c r="E266" s="24">
        <v>66.0</v>
      </c>
      <c r="F266" s="48">
        <v>6.3302</v>
      </c>
      <c r="G266" s="49">
        <f t="shared" si="1"/>
        <v>0.063302</v>
      </c>
      <c r="H266" s="11">
        <v>5.0</v>
      </c>
      <c r="I266" s="11">
        <v>7.0</v>
      </c>
      <c r="J266" s="50">
        <v>32720.0</v>
      </c>
      <c r="K266" s="11">
        <v>8.0</v>
      </c>
      <c r="L266" s="11">
        <v>9.0</v>
      </c>
      <c r="M266" s="51">
        <v>234.0</v>
      </c>
      <c r="N266" s="17">
        <v>72.0</v>
      </c>
      <c r="O266" s="24" t="s">
        <v>603</v>
      </c>
      <c r="P266" s="52">
        <v>42323.0</v>
      </c>
      <c r="Q266" s="51">
        <v>634.0</v>
      </c>
      <c r="R266" s="53">
        <v>599.2</v>
      </c>
      <c r="S266" s="24" t="s">
        <v>600</v>
      </c>
      <c r="T266" s="11">
        <v>0.0</v>
      </c>
      <c r="U266" s="52">
        <v>71515.0</v>
      </c>
      <c r="V266" s="11">
        <v>0.0</v>
      </c>
      <c r="W266" s="11">
        <v>9.0</v>
      </c>
      <c r="X266" s="48">
        <v>8.2347</v>
      </c>
      <c r="Y266" s="11">
        <f t="shared" si="2"/>
        <v>0.082347</v>
      </c>
    </row>
    <row r="267">
      <c r="A267" s="17">
        <v>13.0</v>
      </c>
      <c r="B267" s="24">
        <v>25.0</v>
      </c>
      <c r="C267" s="24">
        <v>5.0</v>
      </c>
      <c r="D267" s="24">
        <v>5.0</v>
      </c>
      <c r="E267" s="24">
        <v>67.0</v>
      </c>
      <c r="F267" s="48">
        <v>8.3068</v>
      </c>
      <c r="G267" s="49">
        <f t="shared" si="1"/>
        <v>0.083068</v>
      </c>
      <c r="H267" s="11">
        <v>7.0</v>
      </c>
      <c r="I267" s="11">
        <v>9.0</v>
      </c>
      <c r="J267" s="50">
        <v>62119.0</v>
      </c>
      <c r="K267" s="11">
        <v>5.0</v>
      </c>
      <c r="L267" s="11">
        <v>3.0</v>
      </c>
      <c r="M267" s="51">
        <v>607.0</v>
      </c>
      <c r="N267" s="17">
        <v>9.0</v>
      </c>
      <c r="O267" s="24" t="s">
        <v>31</v>
      </c>
      <c r="P267" s="52">
        <v>22420.0</v>
      </c>
      <c r="Q267" s="51">
        <v>631.0</v>
      </c>
      <c r="R267" s="53">
        <v>-6156.6</v>
      </c>
      <c r="S267" s="24" t="s">
        <v>605</v>
      </c>
      <c r="T267" s="11">
        <v>8.0</v>
      </c>
      <c r="U267" s="52">
        <v>91023.0</v>
      </c>
      <c r="V267" s="11">
        <v>9.0</v>
      </c>
      <c r="W267" s="11">
        <v>3.0</v>
      </c>
      <c r="X267" s="48">
        <v>2.545</v>
      </c>
      <c r="Y267" s="11">
        <f t="shared" si="2"/>
        <v>0.02545</v>
      </c>
    </row>
    <row r="268">
      <c r="A268" s="17">
        <v>80.0</v>
      </c>
      <c r="B268" s="24">
        <v>25.0</v>
      </c>
      <c r="C268" s="24">
        <v>5.0</v>
      </c>
      <c r="D268" s="24">
        <v>8.0</v>
      </c>
      <c r="E268" s="24">
        <v>62.0</v>
      </c>
      <c r="F268" s="48">
        <v>4.9779</v>
      </c>
      <c r="G268" s="49">
        <f t="shared" si="1"/>
        <v>0.049779</v>
      </c>
      <c r="H268" s="11">
        <v>6.0</v>
      </c>
      <c r="I268" s="11">
        <v>4.0</v>
      </c>
      <c r="J268" s="50">
        <v>60219.0</v>
      </c>
      <c r="K268" s="11">
        <v>9.0</v>
      </c>
      <c r="L268" s="11">
        <v>4.0</v>
      </c>
      <c r="M268" s="51">
        <v>455.0</v>
      </c>
      <c r="N268" s="17">
        <v>9.0</v>
      </c>
      <c r="O268" s="24" t="s">
        <v>31</v>
      </c>
      <c r="P268" s="52">
        <v>10919.0</v>
      </c>
      <c r="Q268" s="51">
        <v>491.0</v>
      </c>
      <c r="R268" s="53">
        <v>-3622.5</v>
      </c>
      <c r="S268" s="24" t="s">
        <v>602</v>
      </c>
      <c r="T268" s="11">
        <v>6.0</v>
      </c>
      <c r="U268" s="52">
        <v>40916.0</v>
      </c>
      <c r="V268" s="11">
        <v>3.0</v>
      </c>
      <c r="W268" s="11">
        <v>1.0</v>
      </c>
      <c r="X268" s="48">
        <v>5.2118</v>
      </c>
      <c r="Y268" s="11">
        <f t="shared" si="2"/>
        <v>0.052118</v>
      </c>
    </row>
    <row r="269">
      <c r="A269" s="17">
        <v>19.0</v>
      </c>
      <c r="B269" s="24">
        <v>25.0</v>
      </c>
      <c r="C269" s="24">
        <v>6.0</v>
      </c>
      <c r="D269" s="24">
        <v>5.0</v>
      </c>
      <c r="E269" s="24">
        <v>68.0</v>
      </c>
      <c r="F269" s="48">
        <v>7.531</v>
      </c>
      <c r="G269" s="49">
        <f t="shared" si="1"/>
        <v>0.07531</v>
      </c>
      <c r="H269" s="11">
        <v>9.0</v>
      </c>
      <c r="I269" s="11">
        <v>5.0</v>
      </c>
      <c r="J269" s="50">
        <v>122615.0</v>
      </c>
      <c r="K269" s="11">
        <v>8.0</v>
      </c>
      <c r="L269" s="11">
        <v>1.0</v>
      </c>
      <c r="M269" s="51">
        <v>789.0</v>
      </c>
      <c r="N269" s="17">
        <v>76.0</v>
      </c>
      <c r="O269" s="24" t="s">
        <v>601</v>
      </c>
      <c r="P269" s="52">
        <v>90422.0</v>
      </c>
      <c r="Q269" s="51">
        <v>431.0</v>
      </c>
      <c r="R269" s="53">
        <v>-40573.8</v>
      </c>
      <c r="S269" s="24" t="s">
        <v>604</v>
      </c>
      <c r="T269" s="11">
        <v>0.0</v>
      </c>
      <c r="U269" s="52">
        <v>91018.0</v>
      </c>
      <c r="V269" s="11">
        <v>2.0</v>
      </c>
      <c r="W269" s="11">
        <v>3.0</v>
      </c>
      <c r="X269" s="48">
        <v>4.8043</v>
      </c>
      <c r="Y269" s="11">
        <f t="shared" si="2"/>
        <v>0.048043</v>
      </c>
    </row>
    <row r="270">
      <c r="A270" s="17">
        <v>32.0</v>
      </c>
      <c r="B270" s="24">
        <v>87.0</v>
      </c>
      <c r="C270" s="24">
        <v>1.0</v>
      </c>
      <c r="D270" s="24">
        <v>3.0</v>
      </c>
      <c r="E270" s="24">
        <v>68.0</v>
      </c>
      <c r="F270" s="48">
        <v>8.8687</v>
      </c>
      <c r="G270" s="49">
        <f t="shared" si="1"/>
        <v>0.088687</v>
      </c>
      <c r="H270" s="11">
        <v>9.0</v>
      </c>
      <c r="I270" s="11">
        <v>3.0</v>
      </c>
      <c r="J270" s="50">
        <v>90921.0</v>
      </c>
      <c r="K270" s="11">
        <v>5.0</v>
      </c>
      <c r="L270" s="11">
        <v>3.0</v>
      </c>
      <c r="M270" s="51">
        <v>375.0</v>
      </c>
      <c r="N270" s="17">
        <v>79.0</v>
      </c>
      <c r="O270" s="24" t="s">
        <v>48</v>
      </c>
      <c r="P270" s="52">
        <v>101816.0</v>
      </c>
      <c r="Q270" s="51">
        <v>660.0</v>
      </c>
      <c r="R270" s="53">
        <v>271.63</v>
      </c>
      <c r="S270" s="24" t="s">
        <v>605</v>
      </c>
      <c r="T270" s="11">
        <v>1.0</v>
      </c>
      <c r="U270" s="52">
        <v>121720.0</v>
      </c>
      <c r="V270" s="11">
        <v>8.0</v>
      </c>
      <c r="W270" s="11">
        <v>3.0</v>
      </c>
      <c r="X270" s="48">
        <v>3.4369</v>
      </c>
      <c r="Y270" s="11">
        <f t="shared" si="2"/>
        <v>0.034369</v>
      </c>
    </row>
    <row r="271">
      <c r="A271" s="17">
        <v>63.0</v>
      </c>
      <c r="B271" s="24">
        <v>66.0</v>
      </c>
      <c r="C271" s="24">
        <v>6.0</v>
      </c>
      <c r="D271" s="24">
        <v>8.0</v>
      </c>
      <c r="E271" s="24">
        <v>67.0</v>
      </c>
      <c r="F271" s="48">
        <v>5.415</v>
      </c>
      <c r="G271" s="49">
        <f t="shared" si="1"/>
        <v>0.05415</v>
      </c>
      <c r="H271" s="11">
        <v>6.0</v>
      </c>
      <c r="I271" s="11">
        <v>9.0</v>
      </c>
      <c r="J271" s="50">
        <v>42314.0</v>
      </c>
      <c r="K271" s="11">
        <v>9.0</v>
      </c>
      <c r="L271" s="11">
        <v>2.0</v>
      </c>
      <c r="M271" s="51">
        <v>482.0</v>
      </c>
      <c r="N271" s="17">
        <v>31.0</v>
      </c>
      <c r="O271" s="24" t="s">
        <v>39</v>
      </c>
      <c r="P271" s="52">
        <v>71920.0</v>
      </c>
      <c r="Q271" s="51">
        <v>490.0</v>
      </c>
      <c r="R271" s="53">
        <v>303.6</v>
      </c>
      <c r="S271" s="24" t="s">
        <v>604</v>
      </c>
      <c r="T271" s="11">
        <v>5.0</v>
      </c>
      <c r="U271" s="52">
        <v>72214.0</v>
      </c>
      <c r="V271" s="11">
        <v>3.0</v>
      </c>
      <c r="W271" s="11">
        <v>3.0</v>
      </c>
      <c r="X271" s="48">
        <v>2.5514</v>
      </c>
      <c r="Y271" s="11">
        <f t="shared" si="2"/>
        <v>0.025514</v>
      </c>
    </row>
    <row r="272">
      <c r="A272" s="17">
        <v>44.0</v>
      </c>
      <c r="B272" s="24">
        <v>66.0</v>
      </c>
      <c r="C272" s="24">
        <v>6.0</v>
      </c>
      <c r="D272" s="24">
        <v>9.0</v>
      </c>
      <c r="E272" s="24">
        <v>68.0</v>
      </c>
      <c r="F272" s="48">
        <v>3.7891</v>
      </c>
      <c r="G272" s="49">
        <f t="shared" si="1"/>
        <v>0.037891</v>
      </c>
      <c r="H272" s="11">
        <v>0.0</v>
      </c>
      <c r="I272" s="11">
        <v>9.0</v>
      </c>
      <c r="J272" s="50">
        <v>10313.0</v>
      </c>
      <c r="K272" s="11">
        <v>4.0</v>
      </c>
      <c r="L272" s="11">
        <v>2.0</v>
      </c>
      <c r="M272" s="51">
        <v>197.0</v>
      </c>
      <c r="N272" s="17">
        <v>40.0</v>
      </c>
      <c r="O272" s="24" t="s">
        <v>600</v>
      </c>
      <c r="P272" s="52">
        <v>101214.0</v>
      </c>
      <c r="Q272" s="51">
        <v>163.0</v>
      </c>
      <c r="R272" s="53">
        <v>-9695.42</v>
      </c>
      <c r="S272" s="24" t="s">
        <v>605</v>
      </c>
      <c r="T272" s="11">
        <v>3.0</v>
      </c>
      <c r="U272" s="52">
        <v>90813.0</v>
      </c>
      <c r="V272" s="11">
        <v>6.0</v>
      </c>
      <c r="W272" s="11">
        <v>4.0</v>
      </c>
      <c r="X272" s="48">
        <v>9.211</v>
      </c>
      <c r="Y272" s="11">
        <f t="shared" si="2"/>
        <v>0.09211</v>
      </c>
    </row>
    <row r="273">
      <c r="A273" s="17">
        <v>34.0</v>
      </c>
      <c r="B273" s="24">
        <v>25.0</v>
      </c>
      <c r="C273" s="24">
        <v>7.0</v>
      </c>
      <c r="D273" s="24">
        <v>3.0</v>
      </c>
      <c r="E273" s="24">
        <v>66.0</v>
      </c>
      <c r="F273" s="48">
        <v>6.694</v>
      </c>
      <c r="G273" s="49">
        <f t="shared" si="1"/>
        <v>0.06694</v>
      </c>
      <c r="H273" s="11">
        <v>1.0</v>
      </c>
      <c r="I273" s="11">
        <v>2.0</v>
      </c>
      <c r="J273" s="50">
        <v>70120.0</v>
      </c>
      <c r="K273" s="11">
        <v>8.0</v>
      </c>
      <c r="L273" s="11">
        <v>8.0</v>
      </c>
      <c r="M273" s="51">
        <v>738.0</v>
      </c>
      <c r="N273" s="17">
        <v>1.0</v>
      </c>
      <c r="O273" s="24" t="s">
        <v>603</v>
      </c>
      <c r="P273" s="52">
        <v>80314.0</v>
      </c>
      <c r="Q273" s="51">
        <v>203.0</v>
      </c>
      <c r="R273" s="53">
        <v>-24786.88</v>
      </c>
      <c r="S273" s="24" t="s">
        <v>600</v>
      </c>
      <c r="T273" s="11">
        <v>9.0</v>
      </c>
      <c r="U273" s="52">
        <v>121423.0</v>
      </c>
      <c r="V273" s="11">
        <v>0.0</v>
      </c>
      <c r="W273" s="11">
        <v>0.0</v>
      </c>
      <c r="X273" s="48">
        <v>4.855</v>
      </c>
      <c r="Y273" s="11">
        <f t="shared" si="2"/>
        <v>0.04855</v>
      </c>
    </row>
    <row r="274">
      <c r="A274" s="17">
        <v>55.0</v>
      </c>
      <c r="B274" s="24">
        <v>87.0</v>
      </c>
      <c r="C274" s="24">
        <v>1.0</v>
      </c>
      <c r="D274" s="24">
        <v>9.0</v>
      </c>
      <c r="E274" s="24">
        <v>61.0</v>
      </c>
      <c r="F274" s="48">
        <v>8.3007</v>
      </c>
      <c r="G274" s="49">
        <f t="shared" si="1"/>
        <v>0.083007</v>
      </c>
      <c r="H274" s="11">
        <v>9.0</v>
      </c>
      <c r="I274" s="11">
        <v>7.0</v>
      </c>
      <c r="J274" s="50">
        <v>121123.0</v>
      </c>
      <c r="K274" s="11">
        <v>2.0</v>
      </c>
      <c r="L274" s="11">
        <v>8.0</v>
      </c>
      <c r="M274" s="51">
        <v>974.0</v>
      </c>
      <c r="N274" s="17">
        <v>54.0</v>
      </c>
      <c r="O274" s="24" t="s">
        <v>31</v>
      </c>
      <c r="P274" s="52">
        <v>11518.0</v>
      </c>
      <c r="Q274" s="51">
        <v>363.0</v>
      </c>
      <c r="R274" s="53">
        <v>-996540.31</v>
      </c>
      <c r="S274" s="24" t="s">
        <v>604</v>
      </c>
      <c r="T274" s="11">
        <v>5.0</v>
      </c>
      <c r="U274" s="52">
        <v>62020.0</v>
      </c>
      <c r="V274" s="11">
        <v>8.0</v>
      </c>
      <c r="W274" s="11">
        <v>7.0</v>
      </c>
      <c r="X274" s="48">
        <v>9.1919</v>
      </c>
      <c r="Y274" s="11">
        <f t="shared" si="2"/>
        <v>0.091919</v>
      </c>
    </row>
    <row r="275">
      <c r="A275" s="17">
        <v>85.0</v>
      </c>
      <c r="B275" s="24">
        <v>46.0</v>
      </c>
      <c r="C275" s="24">
        <v>2.0</v>
      </c>
      <c r="D275" s="24">
        <v>4.0</v>
      </c>
      <c r="E275" s="24">
        <v>64.0</v>
      </c>
      <c r="F275" s="48">
        <v>2.2674</v>
      </c>
      <c r="G275" s="49">
        <f t="shared" si="1"/>
        <v>0.022674</v>
      </c>
      <c r="H275" s="11">
        <v>0.0</v>
      </c>
      <c r="I275" s="11">
        <v>1.0</v>
      </c>
      <c r="J275" s="50">
        <v>52121.0</v>
      </c>
      <c r="K275" s="11">
        <v>0.0</v>
      </c>
      <c r="L275" s="11">
        <v>6.0</v>
      </c>
      <c r="M275" s="51">
        <v>710.0</v>
      </c>
      <c r="N275" s="17">
        <v>32.0</v>
      </c>
      <c r="O275" s="24" t="s">
        <v>603</v>
      </c>
      <c r="P275" s="52">
        <v>120522.0</v>
      </c>
      <c r="Q275" s="51">
        <v>346.0</v>
      </c>
      <c r="R275" s="53">
        <v>-2940.77</v>
      </c>
      <c r="S275" s="24" t="s">
        <v>600</v>
      </c>
      <c r="T275" s="11">
        <v>6.0</v>
      </c>
      <c r="U275" s="52">
        <v>121121.0</v>
      </c>
      <c r="V275" s="11">
        <v>0.0</v>
      </c>
      <c r="W275" s="11">
        <v>6.0</v>
      </c>
      <c r="X275" s="48">
        <v>1.4312</v>
      </c>
      <c r="Y275" s="11">
        <f t="shared" si="2"/>
        <v>0.014312</v>
      </c>
    </row>
    <row r="276">
      <c r="A276" s="17">
        <v>99.0</v>
      </c>
      <c r="B276" s="24">
        <v>25.0</v>
      </c>
      <c r="C276" s="24">
        <v>8.0</v>
      </c>
      <c r="D276" s="24">
        <v>2.0</v>
      </c>
      <c r="E276" s="24">
        <v>67.0</v>
      </c>
      <c r="F276" s="48">
        <v>6.1821</v>
      </c>
      <c r="G276" s="49">
        <f t="shared" si="1"/>
        <v>0.061821</v>
      </c>
      <c r="H276" s="11">
        <v>9.0</v>
      </c>
      <c r="I276" s="11">
        <v>3.0</v>
      </c>
      <c r="J276" s="50">
        <v>93023.0</v>
      </c>
      <c r="K276" s="11">
        <v>0.0</v>
      </c>
      <c r="L276" s="11">
        <v>9.0</v>
      </c>
      <c r="M276" s="51">
        <v>409.0</v>
      </c>
      <c r="N276" s="17">
        <v>80.0</v>
      </c>
      <c r="O276" s="24" t="s">
        <v>48</v>
      </c>
      <c r="P276" s="52">
        <v>92822.0</v>
      </c>
      <c r="Q276" s="51">
        <v>734.0</v>
      </c>
      <c r="R276" s="53">
        <v>38962.7</v>
      </c>
      <c r="S276" s="24" t="s">
        <v>600</v>
      </c>
      <c r="T276" s="11">
        <v>7.0</v>
      </c>
      <c r="U276" s="52">
        <v>31722.0</v>
      </c>
      <c r="V276" s="11">
        <v>3.0</v>
      </c>
      <c r="W276" s="11">
        <v>8.0</v>
      </c>
      <c r="X276" s="48">
        <v>4.2909</v>
      </c>
      <c r="Y276" s="11">
        <f t="shared" si="2"/>
        <v>0.042909</v>
      </c>
    </row>
    <row r="277">
      <c r="A277" s="17">
        <v>8.0</v>
      </c>
      <c r="B277" s="24">
        <v>25.0</v>
      </c>
      <c r="C277" s="24">
        <v>8.0</v>
      </c>
      <c r="D277" s="24">
        <v>3.0</v>
      </c>
      <c r="E277" s="24">
        <v>61.0</v>
      </c>
      <c r="F277" s="48">
        <v>5.7028</v>
      </c>
      <c r="G277" s="49">
        <f t="shared" si="1"/>
        <v>0.057028</v>
      </c>
      <c r="H277" s="11">
        <v>2.0</v>
      </c>
      <c r="I277" s="11">
        <v>7.0</v>
      </c>
      <c r="J277" s="50">
        <v>52215.0</v>
      </c>
      <c r="K277" s="11">
        <v>7.0</v>
      </c>
      <c r="L277" s="11">
        <v>0.0</v>
      </c>
      <c r="M277" s="51">
        <v>381.0</v>
      </c>
      <c r="N277" s="17">
        <v>71.0</v>
      </c>
      <c r="O277" s="24" t="s">
        <v>39</v>
      </c>
      <c r="P277" s="52">
        <v>51815.0</v>
      </c>
      <c r="Q277" s="51">
        <v>546.0</v>
      </c>
      <c r="R277" s="53">
        <v>-6383.34</v>
      </c>
      <c r="S277" s="24" t="s">
        <v>602</v>
      </c>
      <c r="T277" s="11">
        <v>3.0</v>
      </c>
      <c r="U277" s="52">
        <v>50220.0</v>
      </c>
      <c r="V277" s="11">
        <v>9.0</v>
      </c>
      <c r="W277" s="11">
        <v>0.0</v>
      </c>
      <c r="X277" s="48">
        <v>1.1392</v>
      </c>
      <c r="Y277" s="11">
        <f t="shared" si="2"/>
        <v>0.011392</v>
      </c>
    </row>
    <row r="278">
      <c r="A278" s="17">
        <v>32.0</v>
      </c>
      <c r="B278" s="24">
        <v>46.0</v>
      </c>
      <c r="C278" s="24">
        <v>3.0</v>
      </c>
      <c r="D278" s="24">
        <v>3.0</v>
      </c>
      <c r="E278" s="24">
        <v>63.0</v>
      </c>
      <c r="F278" s="48">
        <v>3.7686</v>
      </c>
      <c r="G278" s="49">
        <f t="shared" si="1"/>
        <v>0.037686</v>
      </c>
      <c r="H278" s="11">
        <v>5.0</v>
      </c>
      <c r="I278" s="11">
        <v>3.0</v>
      </c>
      <c r="J278" s="50">
        <v>52117.0</v>
      </c>
      <c r="K278" s="11">
        <v>8.0</v>
      </c>
      <c r="L278" s="11">
        <v>4.0</v>
      </c>
      <c r="M278" s="51">
        <v>230.0</v>
      </c>
      <c r="N278" s="17">
        <v>71.0</v>
      </c>
      <c r="O278" s="24" t="s">
        <v>603</v>
      </c>
      <c r="P278" s="52">
        <v>32016.0</v>
      </c>
      <c r="Q278" s="51">
        <v>611.0</v>
      </c>
      <c r="R278" s="53">
        <v>36882.18</v>
      </c>
      <c r="S278" s="24" t="s">
        <v>605</v>
      </c>
      <c r="T278" s="11">
        <v>1.0</v>
      </c>
      <c r="U278" s="52">
        <v>101520.0</v>
      </c>
      <c r="V278" s="11">
        <v>9.0</v>
      </c>
      <c r="W278" s="11">
        <v>9.0</v>
      </c>
      <c r="X278" s="48">
        <v>5.862</v>
      </c>
      <c r="Y278" s="11">
        <f t="shared" si="2"/>
        <v>0.05862</v>
      </c>
    </row>
    <row r="279">
      <c r="A279" s="17">
        <v>55.0</v>
      </c>
      <c r="B279" s="24">
        <v>25.0</v>
      </c>
      <c r="C279" s="24">
        <v>8.0</v>
      </c>
      <c r="D279" s="24">
        <v>6.0</v>
      </c>
      <c r="E279" s="24">
        <v>66.0</v>
      </c>
      <c r="F279" s="48">
        <v>3.6383</v>
      </c>
      <c r="G279" s="49">
        <f t="shared" si="1"/>
        <v>0.036383</v>
      </c>
      <c r="H279" s="11">
        <v>3.0</v>
      </c>
      <c r="I279" s="11">
        <v>2.0</v>
      </c>
      <c r="J279" s="50">
        <v>81221.0</v>
      </c>
      <c r="K279" s="11">
        <v>9.0</v>
      </c>
      <c r="L279" s="11">
        <v>4.0</v>
      </c>
      <c r="M279" s="51">
        <v>313.0</v>
      </c>
      <c r="N279" s="17">
        <v>4.0</v>
      </c>
      <c r="O279" s="24" t="s">
        <v>39</v>
      </c>
      <c r="P279" s="52">
        <v>82721.0</v>
      </c>
      <c r="Q279" s="51">
        <v>865.0</v>
      </c>
      <c r="R279" s="53">
        <v>-4210.39</v>
      </c>
      <c r="S279" s="24" t="s">
        <v>602</v>
      </c>
      <c r="T279" s="11">
        <v>3.0</v>
      </c>
      <c r="U279" s="52">
        <v>12122.0</v>
      </c>
      <c r="V279" s="11">
        <v>0.0</v>
      </c>
      <c r="W279" s="11">
        <v>5.0</v>
      </c>
      <c r="X279" s="48">
        <v>4.5483</v>
      </c>
      <c r="Y279" s="11">
        <f t="shared" si="2"/>
        <v>0.045483</v>
      </c>
    </row>
    <row r="280">
      <c r="A280" s="17">
        <v>80.0</v>
      </c>
      <c r="B280" s="24">
        <v>87.0</v>
      </c>
      <c r="C280" s="24">
        <v>3.0</v>
      </c>
      <c r="D280" s="24">
        <v>2.0</v>
      </c>
      <c r="E280" s="24">
        <v>63.0</v>
      </c>
      <c r="F280" s="48">
        <v>5.134</v>
      </c>
      <c r="G280" s="49">
        <f t="shared" si="1"/>
        <v>0.05134</v>
      </c>
      <c r="H280" s="11">
        <v>0.0</v>
      </c>
      <c r="I280" s="11">
        <v>3.0</v>
      </c>
      <c r="J280" s="50">
        <v>61916.0</v>
      </c>
      <c r="K280" s="11">
        <v>1.0</v>
      </c>
      <c r="L280" s="11">
        <v>8.0</v>
      </c>
      <c r="M280" s="51">
        <v>722.0</v>
      </c>
      <c r="N280" s="17">
        <v>32.0</v>
      </c>
      <c r="O280" s="24" t="s">
        <v>603</v>
      </c>
      <c r="P280" s="52">
        <v>82120.0</v>
      </c>
      <c r="Q280" s="51">
        <v>316.0</v>
      </c>
      <c r="R280" s="53">
        <v>-1107.86</v>
      </c>
      <c r="S280" s="24" t="s">
        <v>605</v>
      </c>
      <c r="T280" s="11">
        <v>2.0</v>
      </c>
      <c r="U280" s="52">
        <v>52616.0</v>
      </c>
      <c r="V280" s="11">
        <v>1.0</v>
      </c>
      <c r="W280" s="11">
        <v>5.0</v>
      </c>
      <c r="X280" s="48">
        <v>5.6716</v>
      </c>
      <c r="Y280" s="11">
        <f t="shared" si="2"/>
        <v>0.056716</v>
      </c>
    </row>
    <row r="281">
      <c r="A281" s="17">
        <v>9.0</v>
      </c>
      <c r="B281" s="24">
        <v>46.0</v>
      </c>
      <c r="C281" s="24">
        <v>3.0</v>
      </c>
      <c r="D281" s="24">
        <v>6.0</v>
      </c>
      <c r="E281" s="24">
        <v>67.0</v>
      </c>
      <c r="F281" s="48">
        <v>2.6573</v>
      </c>
      <c r="G281" s="49">
        <f t="shared" si="1"/>
        <v>0.026573</v>
      </c>
      <c r="H281" s="11">
        <v>8.0</v>
      </c>
      <c r="I281" s="11">
        <v>7.0</v>
      </c>
      <c r="J281" s="50">
        <v>110215.0</v>
      </c>
      <c r="K281" s="11">
        <v>6.0</v>
      </c>
      <c r="L281" s="11">
        <v>4.0</v>
      </c>
      <c r="M281" s="51">
        <v>315.0</v>
      </c>
      <c r="N281" s="17">
        <v>6.0</v>
      </c>
      <c r="O281" s="24" t="s">
        <v>600</v>
      </c>
      <c r="P281" s="52">
        <v>80520.0</v>
      </c>
      <c r="Q281" s="51">
        <v>476.0</v>
      </c>
      <c r="R281" s="53">
        <v>946.6</v>
      </c>
      <c r="S281" s="24" t="s">
        <v>605</v>
      </c>
      <c r="T281" s="11">
        <v>7.0</v>
      </c>
      <c r="U281" s="52">
        <v>30520.0</v>
      </c>
      <c r="V281" s="11">
        <v>8.0</v>
      </c>
      <c r="W281" s="11">
        <v>9.0</v>
      </c>
      <c r="X281" s="48">
        <v>2.229</v>
      </c>
      <c r="Y281" s="11">
        <f t="shared" si="2"/>
        <v>0.02229</v>
      </c>
    </row>
    <row r="282">
      <c r="A282" s="17">
        <v>16.0</v>
      </c>
      <c r="B282" s="24">
        <v>46.0</v>
      </c>
      <c r="C282" s="24">
        <v>3.0</v>
      </c>
      <c r="D282" s="24">
        <v>8.0</v>
      </c>
      <c r="E282" s="24">
        <v>67.0</v>
      </c>
      <c r="F282" s="48">
        <v>9.7113</v>
      </c>
      <c r="G282" s="49">
        <f t="shared" si="1"/>
        <v>0.097113</v>
      </c>
      <c r="H282" s="11">
        <v>5.0</v>
      </c>
      <c r="I282" s="11">
        <v>1.0</v>
      </c>
      <c r="J282" s="50">
        <v>52513.0</v>
      </c>
      <c r="K282" s="11">
        <v>3.0</v>
      </c>
      <c r="L282" s="11">
        <v>8.0</v>
      </c>
      <c r="M282" s="51">
        <v>476.0</v>
      </c>
      <c r="N282" s="17">
        <v>37.0</v>
      </c>
      <c r="O282" s="24" t="s">
        <v>600</v>
      </c>
      <c r="P282" s="52">
        <v>103019.0</v>
      </c>
      <c r="Q282" s="51">
        <v>610.0</v>
      </c>
      <c r="R282" s="53">
        <v>-53368.48</v>
      </c>
      <c r="S282" s="24" t="s">
        <v>602</v>
      </c>
      <c r="T282" s="11">
        <v>2.0</v>
      </c>
      <c r="U282" s="52">
        <v>41117.0</v>
      </c>
      <c r="V282" s="11">
        <v>7.0</v>
      </c>
      <c r="W282" s="11">
        <v>6.0</v>
      </c>
      <c r="X282" s="48">
        <v>4.581</v>
      </c>
      <c r="Y282" s="11">
        <f t="shared" si="2"/>
        <v>0.04581</v>
      </c>
    </row>
    <row r="283">
      <c r="A283" s="17">
        <v>20.0</v>
      </c>
      <c r="B283" s="24">
        <v>66.0</v>
      </c>
      <c r="C283" s="24">
        <v>8.0</v>
      </c>
      <c r="D283" s="24">
        <v>6.0</v>
      </c>
      <c r="E283" s="24">
        <v>61.0</v>
      </c>
      <c r="F283" s="48">
        <v>4.4019</v>
      </c>
      <c r="G283" s="49">
        <f t="shared" si="1"/>
        <v>0.044019</v>
      </c>
      <c r="H283" s="11">
        <v>3.0</v>
      </c>
      <c r="I283" s="11">
        <v>8.0</v>
      </c>
      <c r="J283" s="50">
        <v>71317.0</v>
      </c>
      <c r="K283" s="11">
        <v>1.0</v>
      </c>
      <c r="L283" s="11">
        <v>3.0</v>
      </c>
      <c r="M283" s="51">
        <v>599.0</v>
      </c>
      <c r="N283" s="17">
        <v>76.0</v>
      </c>
      <c r="O283" s="24" t="s">
        <v>39</v>
      </c>
      <c r="P283" s="52">
        <v>71921.0</v>
      </c>
      <c r="Q283" s="51">
        <v>855.0</v>
      </c>
      <c r="R283" s="53">
        <v>456.35</v>
      </c>
      <c r="S283" s="24" t="s">
        <v>604</v>
      </c>
      <c r="T283" s="11">
        <v>8.0</v>
      </c>
      <c r="U283" s="52">
        <v>52818.0</v>
      </c>
      <c r="V283" s="11">
        <v>0.0</v>
      </c>
      <c r="W283" s="11">
        <v>4.0</v>
      </c>
      <c r="X283" s="48">
        <v>9.4286</v>
      </c>
      <c r="Y283" s="11">
        <f t="shared" si="2"/>
        <v>0.094286</v>
      </c>
    </row>
    <row r="284">
      <c r="A284" s="17">
        <v>12.0</v>
      </c>
      <c r="B284" s="24">
        <v>87.0</v>
      </c>
      <c r="C284" s="24">
        <v>3.0</v>
      </c>
      <c r="D284" s="24">
        <v>6.0</v>
      </c>
      <c r="E284" s="24">
        <v>61.0</v>
      </c>
      <c r="F284" s="48">
        <v>7.7424</v>
      </c>
      <c r="G284" s="49">
        <f t="shared" si="1"/>
        <v>0.077424</v>
      </c>
      <c r="H284" s="11">
        <v>2.0</v>
      </c>
      <c r="I284" s="11">
        <v>1.0</v>
      </c>
      <c r="J284" s="50">
        <v>72118.0</v>
      </c>
      <c r="K284" s="11">
        <v>3.0</v>
      </c>
      <c r="L284" s="11">
        <v>4.0</v>
      </c>
      <c r="M284" s="51">
        <v>414.0</v>
      </c>
      <c r="N284" s="17">
        <v>73.0</v>
      </c>
      <c r="O284" s="24" t="s">
        <v>39</v>
      </c>
      <c r="P284" s="52">
        <v>90413.0</v>
      </c>
      <c r="Q284" s="51">
        <v>797.0</v>
      </c>
      <c r="R284" s="53">
        <v>-2738.95</v>
      </c>
      <c r="S284" s="24" t="s">
        <v>605</v>
      </c>
      <c r="T284" s="11">
        <v>7.0</v>
      </c>
      <c r="U284" s="52">
        <v>51218.0</v>
      </c>
      <c r="V284" s="11">
        <v>7.0</v>
      </c>
      <c r="W284" s="11">
        <v>3.0</v>
      </c>
      <c r="X284" s="48">
        <v>7.1464</v>
      </c>
      <c r="Y284" s="11">
        <f t="shared" si="2"/>
        <v>0.071464</v>
      </c>
    </row>
    <row r="285">
      <c r="A285" s="17">
        <v>82.0</v>
      </c>
      <c r="B285" s="24">
        <v>87.0</v>
      </c>
      <c r="C285" s="24">
        <v>3.0</v>
      </c>
      <c r="D285" s="24">
        <v>7.0</v>
      </c>
      <c r="E285" s="24">
        <v>63.0</v>
      </c>
      <c r="F285" s="48">
        <v>4.2833</v>
      </c>
      <c r="G285" s="49">
        <f t="shared" si="1"/>
        <v>0.042833</v>
      </c>
      <c r="H285" s="11">
        <v>2.0</v>
      </c>
      <c r="I285" s="11">
        <v>4.0</v>
      </c>
      <c r="J285" s="50">
        <v>90316.0</v>
      </c>
      <c r="K285" s="11">
        <v>8.0</v>
      </c>
      <c r="L285" s="11">
        <v>6.0</v>
      </c>
      <c r="M285" s="51">
        <v>948.0</v>
      </c>
      <c r="N285" s="17">
        <v>74.0</v>
      </c>
      <c r="O285" s="24" t="s">
        <v>603</v>
      </c>
      <c r="P285" s="52">
        <v>40519.0</v>
      </c>
      <c r="Q285" s="51">
        <v>658.0</v>
      </c>
      <c r="R285" s="53">
        <v>-442.33</v>
      </c>
      <c r="S285" s="24" t="s">
        <v>600</v>
      </c>
      <c r="T285" s="11">
        <v>1.0</v>
      </c>
      <c r="U285" s="52">
        <v>90517.0</v>
      </c>
      <c r="V285" s="11">
        <v>4.0</v>
      </c>
      <c r="W285" s="11">
        <v>4.0</v>
      </c>
      <c r="X285" s="48">
        <v>6.2218</v>
      </c>
      <c r="Y285" s="11">
        <f t="shared" si="2"/>
        <v>0.062218</v>
      </c>
    </row>
    <row r="286">
      <c r="A286" s="17">
        <v>14.0</v>
      </c>
      <c r="B286" s="24">
        <v>66.0</v>
      </c>
      <c r="C286" s="24">
        <v>8.0</v>
      </c>
      <c r="D286" s="24">
        <v>9.0</v>
      </c>
      <c r="E286" s="24">
        <v>68.0</v>
      </c>
      <c r="F286" s="48">
        <v>2.6045</v>
      </c>
      <c r="G286" s="49">
        <f t="shared" si="1"/>
        <v>0.026045</v>
      </c>
      <c r="H286" s="11">
        <v>1.0</v>
      </c>
      <c r="I286" s="11">
        <v>6.0</v>
      </c>
      <c r="J286" s="50">
        <v>100415.0</v>
      </c>
      <c r="K286" s="11">
        <v>5.0</v>
      </c>
      <c r="L286" s="11">
        <v>3.0</v>
      </c>
      <c r="M286" s="51">
        <v>746.0</v>
      </c>
      <c r="N286" s="17">
        <v>72.0</v>
      </c>
      <c r="O286" s="24" t="s">
        <v>603</v>
      </c>
      <c r="P286" s="52">
        <v>40122.0</v>
      </c>
      <c r="Q286" s="51">
        <v>256.0</v>
      </c>
      <c r="R286" s="53">
        <v>-813351.8</v>
      </c>
      <c r="S286" s="24" t="s">
        <v>604</v>
      </c>
      <c r="T286" s="11">
        <v>4.0</v>
      </c>
      <c r="U286" s="52">
        <v>22315.0</v>
      </c>
      <c r="V286" s="11">
        <v>4.0</v>
      </c>
      <c r="W286" s="11">
        <v>8.0</v>
      </c>
      <c r="X286" s="48">
        <v>1.2588</v>
      </c>
      <c r="Y286" s="11">
        <f t="shared" si="2"/>
        <v>0.012588</v>
      </c>
    </row>
    <row r="287">
      <c r="A287" s="17">
        <v>67.0</v>
      </c>
      <c r="B287" s="24">
        <v>66.0</v>
      </c>
      <c r="C287" s="24">
        <v>8.0</v>
      </c>
      <c r="D287" s="24">
        <v>5.0</v>
      </c>
      <c r="E287" s="24">
        <v>66.0</v>
      </c>
      <c r="F287" s="48">
        <v>8.6843</v>
      </c>
      <c r="G287" s="49">
        <f t="shared" si="1"/>
        <v>0.086843</v>
      </c>
      <c r="H287" s="11">
        <v>4.0</v>
      </c>
      <c r="I287" s="11">
        <v>5.0</v>
      </c>
      <c r="J287" s="50">
        <v>91923.0</v>
      </c>
      <c r="K287" s="11">
        <v>5.0</v>
      </c>
      <c r="L287" s="11">
        <v>2.0</v>
      </c>
      <c r="M287" s="51">
        <v>731.0</v>
      </c>
      <c r="N287" s="17">
        <v>44.0</v>
      </c>
      <c r="O287" s="24" t="s">
        <v>606</v>
      </c>
      <c r="P287" s="52">
        <v>21113.0</v>
      </c>
      <c r="Q287" s="51">
        <v>393.0</v>
      </c>
      <c r="R287" s="53">
        <v>-3282.37</v>
      </c>
      <c r="S287" s="24" t="s">
        <v>600</v>
      </c>
      <c r="T287" s="11">
        <v>2.0</v>
      </c>
      <c r="U287" s="52">
        <v>60820.0</v>
      </c>
      <c r="V287" s="11">
        <v>4.0</v>
      </c>
      <c r="W287" s="11">
        <v>1.0</v>
      </c>
      <c r="X287" s="48">
        <v>7.2223</v>
      </c>
      <c r="Y287" s="11">
        <f t="shared" si="2"/>
        <v>0.072223</v>
      </c>
    </row>
    <row r="288">
      <c r="A288" s="17">
        <v>44.0</v>
      </c>
      <c r="B288" s="24">
        <v>66.0</v>
      </c>
      <c r="C288" s="24">
        <v>9.0</v>
      </c>
      <c r="D288" s="24">
        <v>3.0</v>
      </c>
      <c r="E288" s="24">
        <v>60.0</v>
      </c>
      <c r="F288" s="48">
        <v>1.3741</v>
      </c>
      <c r="G288" s="49">
        <f t="shared" si="1"/>
        <v>0.013741</v>
      </c>
      <c r="H288" s="11">
        <v>4.0</v>
      </c>
      <c r="I288" s="11">
        <v>1.0</v>
      </c>
      <c r="J288" s="50">
        <v>81522.0</v>
      </c>
      <c r="K288" s="11">
        <v>0.0</v>
      </c>
      <c r="L288" s="11">
        <v>2.0</v>
      </c>
      <c r="M288" s="51">
        <v>49.0</v>
      </c>
      <c r="N288" s="17">
        <v>48.0</v>
      </c>
      <c r="O288" s="24" t="s">
        <v>48</v>
      </c>
      <c r="P288" s="52">
        <v>10622.0</v>
      </c>
      <c r="Q288" s="51">
        <v>714.0</v>
      </c>
      <c r="R288" s="53">
        <v>-770828.91</v>
      </c>
      <c r="S288" s="24" t="s">
        <v>605</v>
      </c>
      <c r="T288" s="11">
        <v>2.0</v>
      </c>
      <c r="U288" s="52">
        <v>22418.0</v>
      </c>
      <c r="V288" s="11">
        <v>6.0</v>
      </c>
      <c r="W288" s="11">
        <v>3.0</v>
      </c>
      <c r="X288" s="48">
        <v>5.1439</v>
      </c>
      <c r="Y288" s="11">
        <f t="shared" si="2"/>
        <v>0.051439</v>
      </c>
    </row>
    <row r="289">
      <c r="A289" s="17">
        <v>43.0</v>
      </c>
      <c r="B289" s="24">
        <v>66.0</v>
      </c>
      <c r="C289" s="24">
        <v>9.0</v>
      </c>
      <c r="D289" s="24">
        <v>4.0</v>
      </c>
      <c r="E289" s="24">
        <v>64.0</v>
      </c>
      <c r="F289" s="48">
        <v>1.3511</v>
      </c>
      <c r="G289" s="49">
        <f t="shared" si="1"/>
        <v>0.013511</v>
      </c>
      <c r="H289" s="11">
        <v>6.0</v>
      </c>
      <c r="I289" s="11">
        <v>7.0</v>
      </c>
      <c r="J289" s="50">
        <v>101122.0</v>
      </c>
      <c r="K289" s="11">
        <v>5.0</v>
      </c>
      <c r="L289" s="11">
        <v>6.0</v>
      </c>
      <c r="M289" s="51">
        <v>160.0</v>
      </c>
      <c r="N289" s="17">
        <v>26.0</v>
      </c>
      <c r="O289" s="24" t="s">
        <v>600</v>
      </c>
      <c r="P289" s="52">
        <v>120722.0</v>
      </c>
      <c r="Q289" s="51">
        <v>698.0</v>
      </c>
      <c r="R289" s="53">
        <v>-918996.19</v>
      </c>
      <c r="S289" s="24" t="s">
        <v>604</v>
      </c>
      <c r="T289" s="11">
        <v>8.0</v>
      </c>
      <c r="U289" s="52">
        <v>81714.0</v>
      </c>
      <c r="V289" s="11">
        <v>5.0</v>
      </c>
      <c r="W289" s="11">
        <v>2.0</v>
      </c>
      <c r="X289" s="48">
        <v>2.4493</v>
      </c>
      <c r="Y289" s="11">
        <f t="shared" si="2"/>
        <v>0.024493</v>
      </c>
    </row>
    <row r="290">
      <c r="A290" s="17">
        <v>60.0</v>
      </c>
      <c r="B290" s="24">
        <v>87.0</v>
      </c>
      <c r="C290" s="24">
        <v>4.0</v>
      </c>
      <c r="D290" s="24">
        <v>2.0</v>
      </c>
      <c r="E290" s="24">
        <v>63.0</v>
      </c>
      <c r="F290" s="48">
        <v>6.9841</v>
      </c>
      <c r="G290" s="49">
        <f t="shared" si="1"/>
        <v>0.069841</v>
      </c>
      <c r="H290" s="11">
        <v>3.0</v>
      </c>
      <c r="I290" s="11">
        <v>7.0</v>
      </c>
      <c r="J290" s="50">
        <v>101413.0</v>
      </c>
      <c r="K290" s="11">
        <v>8.0</v>
      </c>
      <c r="L290" s="11">
        <v>6.0</v>
      </c>
      <c r="M290" s="51">
        <v>207.0</v>
      </c>
      <c r="N290" s="17">
        <v>70.0</v>
      </c>
      <c r="O290" s="24" t="s">
        <v>600</v>
      </c>
      <c r="P290" s="52">
        <v>50113.0</v>
      </c>
      <c r="Q290" s="51">
        <v>890.0</v>
      </c>
      <c r="R290" s="53">
        <v>-454.22</v>
      </c>
      <c r="S290" s="24" t="s">
        <v>600</v>
      </c>
      <c r="T290" s="11">
        <v>3.0</v>
      </c>
      <c r="U290" s="52">
        <v>32616.0</v>
      </c>
      <c r="V290" s="11">
        <v>6.0</v>
      </c>
      <c r="W290" s="11">
        <v>0.0</v>
      </c>
      <c r="X290" s="48">
        <v>8.8114</v>
      </c>
      <c r="Y290" s="11">
        <f t="shared" si="2"/>
        <v>0.088114</v>
      </c>
    </row>
    <row r="291">
      <c r="A291" s="17">
        <v>32.0</v>
      </c>
      <c r="B291" s="24">
        <v>87.0</v>
      </c>
      <c r="C291" s="24">
        <v>4.0</v>
      </c>
      <c r="D291" s="24">
        <v>4.0</v>
      </c>
      <c r="E291" s="24">
        <v>62.0</v>
      </c>
      <c r="F291" s="48">
        <v>3.9197</v>
      </c>
      <c r="G291" s="49">
        <f t="shared" si="1"/>
        <v>0.039197</v>
      </c>
      <c r="H291" s="11">
        <v>7.0</v>
      </c>
      <c r="I291" s="11">
        <v>7.0</v>
      </c>
      <c r="J291" s="50">
        <v>110523.0</v>
      </c>
      <c r="K291" s="11">
        <v>0.0</v>
      </c>
      <c r="L291" s="11">
        <v>2.0</v>
      </c>
      <c r="M291" s="51">
        <v>242.0</v>
      </c>
      <c r="N291" s="17">
        <v>76.0</v>
      </c>
      <c r="O291" s="24" t="s">
        <v>31</v>
      </c>
      <c r="P291" s="52">
        <v>32223.0</v>
      </c>
      <c r="Q291" s="51">
        <v>493.0</v>
      </c>
      <c r="R291" s="53">
        <v>21266.72</v>
      </c>
      <c r="S291" s="24" t="s">
        <v>600</v>
      </c>
      <c r="T291" s="11">
        <v>6.0</v>
      </c>
      <c r="U291" s="52">
        <v>121813.0</v>
      </c>
      <c r="V291" s="11">
        <v>5.0</v>
      </c>
      <c r="W291" s="11">
        <v>4.0</v>
      </c>
      <c r="X291" s="48">
        <v>6.3093</v>
      </c>
      <c r="Y291" s="11">
        <f t="shared" si="2"/>
        <v>0.063093</v>
      </c>
    </row>
    <row r="292">
      <c r="A292" s="17">
        <v>32.0</v>
      </c>
      <c r="B292" s="24">
        <v>25.0</v>
      </c>
      <c r="C292" s="24">
        <v>9.0</v>
      </c>
      <c r="D292" s="24">
        <v>9.0</v>
      </c>
      <c r="E292" s="24">
        <v>68.0</v>
      </c>
      <c r="F292" s="48">
        <v>9.6829</v>
      </c>
      <c r="G292" s="49">
        <f t="shared" si="1"/>
        <v>0.096829</v>
      </c>
      <c r="H292" s="11">
        <v>0.0</v>
      </c>
      <c r="I292" s="11">
        <v>1.0</v>
      </c>
      <c r="J292" s="50">
        <v>11715.0</v>
      </c>
      <c r="K292" s="11">
        <v>2.0</v>
      </c>
      <c r="L292" s="11">
        <v>9.0</v>
      </c>
      <c r="M292" s="51">
        <v>89.0</v>
      </c>
      <c r="N292" s="17">
        <v>74.0</v>
      </c>
      <c r="O292" s="24" t="s">
        <v>603</v>
      </c>
      <c r="P292" s="52">
        <v>52517.0</v>
      </c>
      <c r="Q292" s="51">
        <v>586.0</v>
      </c>
      <c r="R292" s="53">
        <v>685214.5</v>
      </c>
      <c r="S292" s="24" t="s">
        <v>605</v>
      </c>
      <c r="T292" s="11">
        <v>6.0</v>
      </c>
      <c r="U292" s="52">
        <v>82019.0</v>
      </c>
      <c r="V292" s="11">
        <v>6.0</v>
      </c>
      <c r="W292" s="11">
        <v>8.0</v>
      </c>
      <c r="X292" s="48">
        <v>9.136</v>
      </c>
      <c r="Y292" s="11">
        <f t="shared" si="2"/>
        <v>0.09136</v>
      </c>
    </row>
    <row r="293">
      <c r="A293" s="17">
        <v>24.0</v>
      </c>
      <c r="B293" s="24">
        <v>87.0</v>
      </c>
      <c r="C293" s="24">
        <v>4.0</v>
      </c>
      <c r="D293" s="24">
        <v>7.0</v>
      </c>
      <c r="E293" s="24">
        <v>64.0</v>
      </c>
      <c r="F293" s="48">
        <v>7.747</v>
      </c>
      <c r="G293" s="49">
        <f t="shared" si="1"/>
        <v>0.07747</v>
      </c>
      <c r="H293" s="11">
        <v>0.0</v>
      </c>
      <c r="I293" s="11">
        <v>2.0</v>
      </c>
      <c r="J293" s="50">
        <v>81822.0</v>
      </c>
      <c r="K293" s="11">
        <v>7.0</v>
      </c>
      <c r="L293" s="11">
        <v>8.0</v>
      </c>
      <c r="M293" s="51">
        <v>522.0</v>
      </c>
      <c r="N293" s="17">
        <v>32.0</v>
      </c>
      <c r="O293" s="24" t="s">
        <v>600</v>
      </c>
      <c r="P293" s="52">
        <v>12113.0</v>
      </c>
      <c r="Q293" s="51">
        <v>461.0</v>
      </c>
      <c r="R293" s="53">
        <v>-84230.0</v>
      </c>
      <c r="S293" s="24" t="s">
        <v>602</v>
      </c>
      <c r="T293" s="11">
        <v>5.0</v>
      </c>
      <c r="U293" s="52">
        <v>111116.0</v>
      </c>
      <c r="V293" s="11">
        <v>5.0</v>
      </c>
      <c r="W293" s="11">
        <v>8.0</v>
      </c>
      <c r="X293" s="48">
        <v>5.2744</v>
      </c>
      <c r="Y293" s="11">
        <f t="shared" si="2"/>
        <v>0.052744</v>
      </c>
    </row>
    <row r="294">
      <c r="A294" s="17">
        <v>41.0</v>
      </c>
      <c r="B294" s="24">
        <v>46.0</v>
      </c>
      <c r="C294" s="24">
        <v>5.0</v>
      </c>
      <c r="D294" s="24">
        <v>3.0</v>
      </c>
      <c r="E294" s="24">
        <v>62.0</v>
      </c>
      <c r="F294" s="48">
        <v>8.9727</v>
      </c>
      <c r="G294" s="49">
        <f t="shared" si="1"/>
        <v>0.089727</v>
      </c>
      <c r="H294" s="11">
        <v>5.0</v>
      </c>
      <c r="I294" s="11">
        <v>6.0</v>
      </c>
      <c r="J294" s="50">
        <v>101618.0</v>
      </c>
      <c r="K294" s="11">
        <v>3.0</v>
      </c>
      <c r="L294" s="11">
        <v>6.0</v>
      </c>
      <c r="M294" s="51">
        <v>172.0</v>
      </c>
      <c r="N294" s="17">
        <v>15.0</v>
      </c>
      <c r="O294" s="24" t="s">
        <v>48</v>
      </c>
      <c r="P294" s="52">
        <v>11922.0</v>
      </c>
      <c r="Q294" s="51">
        <v>360.0</v>
      </c>
      <c r="R294" s="53">
        <v>3167.81</v>
      </c>
      <c r="S294" s="24" t="s">
        <v>605</v>
      </c>
      <c r="T294" s="11">
        <v>4.0</v>
      </c>
      <c r="U294" s="52">
        <v>80817.0</v>
      </c>
      <c r="V294" s="11">
        <v>1.0</v>
      </c>
      <c r="W294" s="11">
        <v>3.0</v>
      </c>
      <c r="X294" s="48">
        <v>2.51</v>
      </c>
      <c r="Y294" s="11">
        <f t="shared" si="2"/>
        <v>0.0251</v>
      </c>
    </row>
    <row r="295">
      <c r="A295" s="17">
        <v>57.0</v>
      </c>
      <c r="B295" s="24">
        <v>26.0</v>
      </c>
      <c r="C295" s="24">
        <v>1.0</v>
      </c>
      <c r="D295" s="24">
        <v>2.0</v>
      </c>
      <c r="E295" s="24">
        <v>64.0</v>
      </c>
      <c r="F295" s="48">
        <v>9.7016</v>
      </c>
      <c r="G295" s="49">
        <f t="shared" si="1"/>
        <v>0.097016</v>
      </c>
      <c r="H295" s="11">
        <v>7.0</v>
      </c>
      <c r="I295" s="11">
        <v>4.0</v>
      </c>
      <c r="J295" s="50">
        <v>71917.0</v>
      </c>
      <c r="K295" s="11">
        <v>2.0</v>
      </c>
      <c r="L295" s="11">
        <v>4.0</v>
      </c>
      <c r="M295" s="51">
        <v>8.0</v>
      </c>
      <c r="N295" s="17">
        <v>94.0</v>
      </c>
      <c r="O295" s="24" t="s">
        <v>31</v>
      </c>
      <c r="P295" s="52">
        <v>31522.0</v>
      </c>
      <c r="Q295" s="51">
        <v>182.0</v>
      </c>
      <c r="R295" s="53">
        <v>-91088.78</v>
      </c>
      <c r="S295" s="24" t="s">
        <v>605</v>
      </c>
      <c r="T295" s="11">
        <v>2.0</v>
      </c>
      <c r="U295" s="52">
        <v>30614.0</v>
      </c>
      <c r="V295" s="11">
        <v>2.0</v>
      </c>
      <c r="W295" s="11">
        <v>0.0</v>
      </c>
      <c r="X295" s="48">
        <v>1.9481</v>
      </c>
      <c r="Y295" s="11">
        <f t="shared" si="2"/>
        <v>0.019481</v>
      </c>
    </row>
    <row r="296">
      <c r="A296" s="17">
        <v>77.0</v>
      </c>
      <c r="B296" s="24">
        <v>46.0</v>
      </c>
      <c r="C296" s="24">
        <v>6.0</v>
      </c>
      <c r="D296" s="24">
        <v>1.0</v>
      </c>
      <c r="E296" s="24">
        <v>65.0</v>
      </c>
      <c r="F296" s="48">
        <v>4.903</v>
      </c>
      <c r="G296" s="49">
        <f t="shared" si="1"/>
        <v>0.04903</v>
      </c>
      <c r="H296" s="11">
        <v>9.0</v>
      </c>
      <c r="I296" s="11">
        <v>9.0</v>
      </c>
      <c r="J296" s="50">
        <v>121117.0</v>
      </c>
      <c r="K296" s="11">
        <v>2.0</v>
      </c>
      <c r="L296" s="11">
        <v>3.0</v>
      </c>
      <c r="M296" s="51">
        <v>379.0</v>
      </c>
      <c r="N296" s="17">
        <v>31.0</v>
      </c>
      <c r="O296" s="24" t="s">
        <v>603</v>
      </c>
      <c r="P296" s="52">
        <v>121719.0</v>
      </c>
      <c r="Q296" s="51">
        <v>266.0</v>
      </c>
      <c r="R296" s="53">
        <v>911195.54</v>
      </c>
      <c r="S296" s="24" t="s">
        <v>602</v>
      </c>
      <c r="T296" s="11">
        <v>5.0</v>
      </c>
      <c r="U296" s="52">
        <v>32518.0</v>
      </c>
      <c r="V296" s="11">
        <v>5.0</v>
      </c>
      <c r="W296" s="11">
        <v>4.0</v>
      </c>
      <c r="X296" s="48">
        <v>3.4861</v>
      </c>
      <c r="Y296" s="11">
        <f t="shared" si="2"/>
        <v>0.034861</v>
      </c>
    </row>
    <row r="297">
      <c r="A297" s="17">
        <v>79.0</v>
      </c>
      <c r="B297" s="24">
        <v>26.0</v>
      </c>
      <c r="C297" s="24">
        <v>1.0</v>
      </c>
      <c r="D297" s="24">
        <v>4.0</v>
      </c>
      <c r="E297" s="24">
        <v>67.0</v>
      </c>
      <c r="F297" s="48">
        <v>3.7753</v>
      </c>
      <c r="G297" s="49">
        <f t="shared" si="1"/>
        <v>0.037753</v>
      </c>
      <c r="H297" s="11">
        <v>3.0</v>
      </c>
      <c r="I297" s="11">
        <v>7.0</v>
      </c>
      <c r="J297" s="50">
        <v>73023.0</v>
      </c>
      <c r="K297" s="11">
        <v>5.0</v>
      </c>
      <c r="L297" s="11">
        <v>6.0</v>
      </c>
      <c r="M297" s="51">
        <v>143.0</v>
      </c>
      <c r="N297" s="17">
        <v>78.0</v>
      </c>
      <c r="O297" s="24" t="s">
        <v>600</v>
      </c>
      <c r="P297" s="52">
        <v>10714.0</v>
      </c>
      <c r="Q297" s="51">
        <v>488.0</v>
      </c>
      <c r="R297" s="53">
        <v>-34323.43</v>
      </c>
      <c r="S297" s="24" t="s">
        <v>600</v>
      </c>
      <c r="T297" s="11">
        <v>2.0</v>
      </c>
      <c r="U297" s="52">
        <v>42923.0</v>
      </c>
      <c r="V297" s="11">
        <v>0.0</v>
      </c>
      <c r="W297" s="11">
        <v>2.0</v>
      </c>
      <c r="X297" s="48">
        <v>6.677</v>
      </c>
      <c r="Y297" s="11">
        <f t="shared" si="2"/>
        <v>0.06677</v>
      </c>
    </row>
    <row r="298">
      <c r="A298" s="17">
        <v>64.0</v>
      </c>
      <c r="B298" s="24">
        <v>26.0</v>
      </c>
      <c r="C298" s="24">
        <v>1.0</v>
      </c>
      <c r="D298" s="24">
        <v>5.0</v>
      </c>
      <c r="E298" s="24">
        <v>68.0</v>
      </c>
      <c r="F298" s="48">
        <v>8.3272</v>
      </c>
      <c r="G298" s="49">
        <f t="shared" si="1"/>
        <v>0.083272</v>
      </c>
      <c r="H298" s="11">
        <v>1.0</v>
      </c>
      <c r="I298" s="11">
        <v>8.0</v>
      </c>
      <c r="J298" s="50">
        <v>41419.0</v>
      </c>
      <c r="K298" s="11">
        <v>5.0</v>
      </c>
      <c r="L298" s="11">
        <v>4.0</v>
      </c>
      <c r="M298" s="51">
        <v>765.0</v>
      </c>
      <c r="N298" s="17">
        <v>97.0</v>
      </c>
      <c r="O298" s="24" t="s">
        <v>39</v>
      </c>
      <c r="P298" s="52">
        <v>92521.0</v>
      </c>
      <c r="Q298" s="51">
        <v>318.0</v>
      </c>
      <c r="R298" s="53">
        <v>998.0</v>
      </c>
      <c r="S298" s="24" t="s">
        <v>602</v>
      </c>
      <c r="T298" s="11">
        <v>8.0</v>
      </c>
      <c r="U298" s="52">
        <v>50418.0</v>
      </c>
      <c r="V298" s="11">
        <v>1.0</v>
      </c>
      <c r="W298" s="11">
        <v>0.0</v>
      </c>
      <c r="X298" s="48">
        <v>6.366</v>
      </c>
      <c r="Y298" s="11">
        <f t="shared" si="2"/>
        <v>0.06366</v>
      </c>
    </row>
    <row r="299">
      <c r="A299" s="17">
        <v>72.0</v>
      </c>
      <c r="B299" s="24">
        <v>26.0</v>
      </c>
      <c r="C299" s="24">
        <v>1.0</v>
      </c>
      <c r="D299" s="24">
        <v>6.0</v>
      </c>
      <c r="E299" s="24">
        <v>60.0</v>
      </c>
      <c r="F299" s="48">
        <v>1.7371</v>
      </c>
      <c r="G299" s="49">
        <f t="shared" si="1"/>
        <v>0.017371</v>
      </c>
      <c r="H299" s="11">
        <v>5.0</v>
      </c>
      <c r="I299" s="11">
        <v>0.0</v>
      </c>
      <c r="J299" s="50">
        <v>70423.0</v>
      </c>
      <c r="K299" s="11">
        <v>7.0</v>
      </c>
      <c r="L299" s="11">
        <v>3.0</v>
      </c>
      <c r="M299" s="51">
        <v>407.0</v>
      </c>
      <c r="N299" s="17">
        <v>65.0</v>
      </c>
      <c r="O299" s="24" t="s">
        <v>39</v>
      </c>
      <c r="P299" s="52">
        <v>60815.0</v>
      </c>
      <c r="Q299" s="51">
        <v>407.0</v>
      </c>
      <c r="R299" s="53">
        <v>773.53</v>
      </c>
      <c r="S299" s="24" t="s">
        <v>600</v>
      </c>
      <c r="T299" s="11">
        <v>9.0</v>
      </c>
      <c r="U299" s="52">
        <v>122618.0</v>
      </c>
      <c r="V299" s="11">
        <v>0.0</v>
      </c>
      <c r="W299" s="11">
        <v>6.0</v>
      </c>
      <c r="X299" s="48">
        <v>4.3504</v>
      </c>
      <c r="Y299" s="11">
        <f t="shared" si="2"/>
        <v>0.043504</v>
      </c>
    </row>
    <row r="300">
      <c r="A300" s="17">
        <v>97.0</v>
      </c>
      <c r="B300" s="24">
        <v>87.0</v>
      </c>
      <c r="C300" s="24">
        <v>6.0</v>
      </c>
      <c r="D300" s="24">
        <v>1.0</v>
      </c>
      <c r="E300" s="24">
        <v>66.0</v>
      </c>
      <c r="F300" s="48">
        <v>9.9165</v>
      </c>
      <c r="G300" s="49">
        <f t="shared" si="1"/>
        <v>0.099165</v>
      </c>
      <c r="H300" s="11">
        <v>7.0</v>
      </c>
      <c r="I300" s="11">
        <v>9.0</v>
      </c>
      <c r="J300" s="50">
        <v>31821.0</v>
      </c>
      <c r="K300" s="11">
        <v>7.0</v>
      </c>
      <c r="L300" s="11">
        <v>9.0</v>
      </c>
      <c r="M300" s="51">
        <v>481.0</v>
      </c>
      <c r="N300" s="17">
        <v>49.0</v>
      </c>
      <c r="O300" s="24" t="s">
        <v>601</v>
      </c>
      <c r="P300" s="52">
        <v>71217.0</v>
      </c>
      <c r="Q300" s="51">
        <v>286.0</v>
      </c>
      <c r="R300" s="53">
        <v>-59878.1</v>
      </c>
      <c r="S300" s="24" t="s">
        <v>602</v>
      </c>
      <c r="T300" s="11">
        <v>4.0</v>
      </c>
      <c r="U300" s="52">
        <v>121213.0</v>
      </c>
      <c r="V300" s="11">
        <v>3.0</v>
      </c>
      <c r="W300" s="11">
        <v>7.0</v>
      </c>
      <c r="X300" s="48">
        <v>5.7075</v>
      </c>
      <c r="Y300" s="11">
        <f t="shared" si="2"/>
        <v>0.057075</v>
      </c>
    </row>
    <row r="301">
      <c r="A301" s="17">
        <v>35.0</v>
      </c>
      <c r="B301" s="24">
        <v>46.0</v>
      </c>
      <c r="C301" s="24">
        <v>6.0</v>
      </c>
      <c r="D301" s="24">
        <v>5.0</v>
      </c>
      <c r="E301" s="24">
        <v>63.0</v>
      </c>
      <c r="F301" s="48">
        <v>9.4491</v>
      </c>
      <c r="G301" s="49">
        <f t="shared" si="1"/>
        <v>0.094491</v>
      </c>
      <c r="H301" s="11">
        <v>1.0</v>
      </c>
      <c r="I301" s="11">
        <v>5.0</v>
      </c>
      <c r="J301" s="50">
        <v>122415.0</v>
      </c>
      <c r="K301" s="11">
        <v>8.0</v>
      </c>
      <c r="L301" s="11">
        <v>3.0</v>
      </c>
      <c r="M301" s="51">
        <v>788.0</v>
      </c>
      <c r="N301" s="17">
        <v>2.0</v>
      </c>
      <c r="O301" s="24" t="s">
        <v>603</v>
      </c>
      <c r="P301" s="52">
        <v>113018.0</v>
      </c>
      <c r="Q301" s="51">
        <v>131.0</v>
      </c>
      <c r="R301" s="53">
        <v>658681.27</v>
      </c>
      <c r="S301" s="24" t="s">
        <v>604</v>
      </c>
      <c r="T301" s="11">
        <v>5.0</v>
      </c>
      <c r="U301" s="52">
        <v>102720.0</v>
      </c>
      <c r="V301" s="11">
        <v>5.0</v>
      </c>
      <c r="W301" s="11">
        <v>2.0</v>
      </c>
      <c r="X301" s="48">
        <v>9.1075</v>
      </c>
      <c r="Y301" s="11">
        <f t="shared" si="2"/>
        <v>0.091075</v>
      </c>
    </row>
    <row r="302">
      <c r="A302" s="17">
        <v>0.0</v>
      </c>
      <c r="B302" s="24">
        <v>26.0</v>
      </c>
      <c r="C302" s="24">
        <v>1.0</v>
      </c>
      <c r="D302" s="24">
        <v>7.0</v>
      </c>
      <c r="E302" s="24">
        <v>61.0</v>
      </c>
      <c r="F302" s="48">
        <v>3.903</v>
      </c>
      <c r="G302" s="49">
        <f t="shared" si="1"/>
        <v>0.03903</v>
      </c>
      <c r="H302" s="11">
        <v>7.0</v>
      </c>
      <c r="I302" s="11">
        <v>3.0</v>
      </c>
      <c r="J302" s="50">
        <v>52321.0</v>
      </c>
      <c r="K302" s="11">
        <v>5.0</v>
      </c>
      <c r="L302" s="11">
        <v>9.0</v>
      </c>
      <c r="M302" s="51">
        <v>364.0</v>
      </c>
      <c r="N302" s="17">
        <v>61.0</v>
      </c>
      <c r="O302" s="24" t="s">
        <v>600</v>
      </c>
      <c r="P302" s="52">
        <v>21423.0</v>
      </c>
      <c r="Q302" s="51">
        <v>973.0</v>
      </c>
      <c r="R302" s="53">
        <v>330427.46</v>
      </c>
      <c r="S302" s="24" t="s">
        <v>604</v>
      </c>
      <c r="T302" s="11">
        <v>4.0</v>
      </c>
      <c r="U302" s="52">
        <v>120220.0</v>
      </c>
      <c r="V302" s="11">
        <v>5.0</v>
      </c>
      <c r="W302" s="11">
        <v>5.0</v>
      </c>
      <c r="X302" s="48">
        <v>3.4785</v>
      </c>
      <c r="Y302" s="11">
        <f t="shared" si="2"/>
        <v>0.034785</v>
      </c>
    </row>
    <row r="303">
      <c r="A303" s="17">
        <v>69.0</v>
      </c>
      <c r="B303" s="24">
        <v>46.0</v>
      </c>
      <c r="C303" s="24">
        <v>6.0</v>
      </c>
      <c r="D303" s="24">
        <v>8.0</v>
      </c>
      <c r="E303" s="24">
        <v>68.0</v>
      </c>
      <c r="F303" s="48">
        <v>9.4738</v>
      </c>
      <c r="G303" s="49">
        <f t="shared" si="1"/>
        <v>0.094738</v>
      </c>
      <c r="H303" s="11">
        <v>5.0</v>
      </c>
      <c r="I303" s="11">
        <v>5.0</v>
      </c>
      <c r="J303" s="50">
        <v>90918.0</v>
      </c>
      <c r="K303" s="11">
        <v>6.0</v>
      </c>
      <c r="L303" s="11">
        <v>6.0</v>
      </c>
      <c r="M303" s="51">
        <v>616.0</v>
      </c>
      <c r="N303" s="17">
        <v>71.0</v>
      </c>
      <c r="O303" s="24" t="s">
        <v>606</v>
      </c>
      <c r="P303" s="52">
        <v>111115.0</v>
      </c>
      <c r="Q303" s="51">
        <v>115.0</v>
      </c>
      <c r="R303" s="53">
        <v>78574.53</v>
      </c>
      <c r="S303" s="24" t="s">
        <v>604</v>
      </c>
      <c r="T303" s="11">
        <v>6.0</v>
      </c>
      <c r="U303" s="52">
        <v>42613.0</v>
      </c>
      <c r="V303" s="11">
        <v>8.0</v>
      </c>
      <c r="W303" s="11">
        <v>3.0</v>
      </c>
      <c r="X303" s="48">
        <v>3.5863</v>
      </c>
      <c r="Y303" s="11">
        <f t="shared" si="2"/>
        <v>0.035863</v>
      </c>
    </row>
    <row r="304">
      <c r="A304" s="17">
        <v>44.0</v>
      </c>
      <c r="B304" s="24">
        <v>26.0</v>
      </c>
      <c r="C304" s="24">
        <v>2.0</v>
      </c>
      <c r="D304" s="24">
        <v>2.0</v>
      </c>
      <c r="E304" s="24">
        <v>67.0</v>
      </c>
      <c r="F304" s="48">
        <v>4.9026</v>
      </c>
      <c r="G304" s="49">
        <f t="shared" si="1"/>
        <v>0.049026</v>
      </c>
      <c r="H304" s="11">
        <v>6.0</v>
      </c>
      <c r="I304" s="11">
        <v>5.0</v>
      </c>
      <c r="J304" s="50">
        <v>102017.0</v>
      </c>
      <c r="K304" s="11">
        <v>1.0</v>
      </c>
      <c r="L304" s="11">
        <v>1.0</v>
      </c>
      <c r="M304" s="51">
        <v>366.0</v>
      </c>
      <c r="N304" s="17">
        <v>56.0</v>
      </c>
      <c r="O304" s="24" t="s">
        <v>603</v>
      </c>
      <c r="P304" s="52">
        <v>111721.0</v>
      </c>
      <c r="Q304" s="51">
        <v>278.0</v>
      </c>
      <c r="R304" s="53">
        <v>4081.43</v>
      </c>
      <c r="S304" s="24" t="s">
        <v>602</v>
      </c>
      <c r="T304" s="11">
        <v>1.0</v>
      </c>
      <c r="U304" s="52">
        <v>101613.0</v>
      </c>
      <c r="V304" s="11">
        <v>6.0</v>
      </c>
      <c r="W304" s="11">
        <v>7.0</v>
      </c>
      <c r="X304" s="48">
        <v>8.5261</v>
      </c>
      <c r="Y304" s="11">
        <f t="shared" si="2"/>
        <v>0.085261</v>
      </c>
    </row>
    <row r="305">
      <c r="A305" s="17">
        <v>18.0</v>
      </c>
      <c r="B305" s="24">
        <v>46.0</v>
      </c>
      <c r="C305" s="24">
        <v>7.0</v>
      </c>
      <c r="D305" s="24">
        <v>3.0</v>
      </c>
      <c r="E305" s="24">
        <v>68.0</v>
      </c>
      <c r="F305" s="48">
        <v>3.8456</v>
      </c>
      <c r="G305" s="49">
        <f t="shared" si="1"/>
        <v>0.038456</v>
      </c>
      <c r="H305" s="11">
        <v>1.0</v>
      </c>
      <c r="I305" s="11">
        <v>6.0</v>
      </c>
      <c r="J305" s="50">
        <v>42521.0</v>
      </c>
      <c r="K305" s="11">
        <v>5.0</v>
      </c>
      <c r="L305" s="11">
        <v>7.0</v>
      </c>
      <c r="M305" s="51">
        <v>221.0</v>
      </c>
      <c r="N305" s="17">
        <v>36.0</v>
      </c>
      <c r="O305" s="24" t="s">
        <v>48</v>
      </c>
      <c r="P305" s="52">
        <v>10816.0</v>
      </c>
      <c r="Q305" s="51">
        <v>581.0</v>
      </c>
      <c r="R305" s="53">
        <v>5293.72</v>
      </c>
      <c r="S305" s="24" t="s">
        <v>602</v>
      </c>
      <c r="T305" s="11">
        <v>9.0</v>
      </c>
      <c r="U305" s="52">
        <v>12717.0</v>
      </c>
      <c r="V305" s="11">
        <v>2.0</v>
      </c>
      <c r="W305" s="11">
        <v>7.0</v>
      </c>
      <c r="X305" s="48">
        <v>5.2689</v>
      </c>
      <c r="Y305" s="11">
        <f t="shared" si="2"/>
        <v>0.052689</v>
      </c>
    </row>
    <row r="306">
      <c r="A306" s="17">
        <v>80.0</v>
      </c>
      <c r="B306" s="24">
        <v>67.0</v>
      </c>
      <c r="C306" s="24">
        <v>2.0</v>
      </c>
      <c r="D306" s="24">
        <v>2.0</v>
      </c>
      <c r="E306" s="24">
        <v>63.0</v>
      </c>
      <c r="F306" s="48">
        <v>3.9705</v>
      </c>
      <c r="G306" s="49">
        <f t="shared" si="1"/>
        <v>0.039705</v>
      </c>
      <c r="H306" s="11">
        <v>1.0</v>
      </c>
      <c r="I306" s="11">
        <v>7.0</v>
      </c>
      <c r="J306" s="50">
        <v>40920.0</v>
      </c>
      <c r="K306" s="11">
        <v>4.0</v>
      </c>
      <c r="L306" s="11">
        <v>3.0</v>
      </c>
      <c r="M306" s="51">
        <v>996.0</v>
      </c>
      <c r="N306" s="17">
        <v>78.0</v>
      </c>
      <c r="O306" s="24" t="s">
        <v>39</v>
      </c>
      <c r="P306" s="52">
        <v>72920.0</v>
      </c>
      <c r="Q306" s="51">
        <v>831.0</v>
      </c>
      <c r="R306" s="53">
        <v>6989.32</v>
      </c>
      <c r="S306" s="24" t="s">
        <v>605</v>
      </c>
      <c r="T306" s="11">
        <v>5.0</v>
      </c>
      <c r="U306" s="52">
        <v>82519.0</v>
      </c>
      <c r="V306" s="11">
        <v>8.0</v>
      </c>
      <c r="W306" s="11">
        <v>9.0</v>
      </c>
      <c r="X306" s="48">
        <v>6.2259</v>
      </c>
      <c r="Y306" s="11">
        <f t="shared" si="2"/>
        <v>0.062259</v>
      </c>
    </row>
    <row r="307">
      <c r="A307" s="17">
        <v>99.0</v>
      </c>
      <c r="B307" s="24">
        <v>67.0</v>
      </c>
      <c r="C307" s="24">
        <v>2.0</v>
      </c>
      <c r="D307" s="24">
        <v>4.0</v>
      </c>
      <c r="E307" s="24">
        <v>63.0</v>
      </c>
      <c r="F307" s="48">
        <v>8.6259</v>
      </c>
      <c r="G307" s="49">
        <f t="shared" si="1"/>
        <v>0.086259</v>
      </c>
      <c r="H307" s="11">
        <v>2.0</v>
      </c>
      <c r="I307" s="11">
        <v>5.0</v>
      </c>
      <c r="J307" s="50">
        <v>71114.0</v>
      </c>
      <c r="K307" s="11">
        <v>1.0</v>
      </c>
      <c r="L307" s="11">
        <v>6.0</v>
      </c>
      <c r="M307" s="51">
        <v>627.0</v>
      </c>
      <c r="N307" s="17">
        <v>59.0</v>
      </c>
      <c r="O307" s="24" t="s">
        <v>31</v>
      </c>
      <c r="P307" s="52">
        <v>112818.0</v>
      </c>
      <c r="Q307" s="51">
        <v>447.0</v>
      </c>
      <c r="R307" s="53">
        <v>-173.35</v>
      </c>
      <c r="S307" s="24" t="s">
        <v>602</v>
      </c>
      <c r="T307" s="11">
        <v>1.0</v>
      </c>
      <c r="U307" s="52">
        <v>40221.0</v>
      </c>
      <c r="V307" s="11">
        <v>8.0</v>
      </c>
      <c r="W307" s="11">
        <v>7.0</v>
      </c>
      <c r="X307" s="48">
        <v>7.4142</v>
      </c>
      <c r="Y307" s="11">
        <f t="shared" si="2"/>
        <v>0.074142</v>
      </c>
    </row>
    <row r="308">
      <c r="A308" s="17">
        <v>5.0</v>
      </c>
      <c r="B308" s="24">
        <v>87.0</v>
      </c>
      <c r="C308" s="24">
        <v>7.0</v>
      </c>
      <c r="D308" s="24">
        <v>3.0</v>
      </c>
      <c r="E308" s="24">
        <v>63.0</v>
      </c>
      <c r="F308" s="48">
        <v>9.151</v>
      </c>
      <c r="G308" s="49">
        <f t="shared" si="1"/>
        <v>0.09151</v>
      </c>
      <c r="H308" s="11">
        <v>6.0</v>
      </c>
      <c r="I308" s="11">
        <v>1.0</v>
      </c>
      <c r="J308" s="50">
        <v>10814.0</v>
      </c>
      <c r="K308" s="11">
        <v>6.0</v>
      </c>
      <c r="L308" s="11">
        <v>8.0</v>
      </c>
      <c r="M308" s="51">
        <v>589.0</v>
      </c>
      <c r="N308" s="17">
        <v>18.0</v>
      </c>
      <c r="O308" s="24" t="s">
        <v>601</v>
      </c>
      <c r="P308" s="52">
        <v>31022.0</v>
      </c>
      <c r="Q308" s="51">
        <v>534.0</v>
      </c>
      <c r="R308" s="53">
        <v>42575.86</v>
      </c>
      <c r="S308" s="24" t="s">
        <v>602</v>
      </c>
      <c r="T308" s="11">
        <v>0.0</v>
      </c>
      <c r="U308" s="52">
        <v>93021.0</v>
      </c>
      <c r="V308" s="11">
        <v>5.0</v>
      </c>
      <c r="W308" s="11">
        <v>7.0</v>
      </c>
      <c r="X308" s="48">
        <v>5.5228</v>
      </c>
      <c r="Y308" s="11">
        <f t="shared" si="2"/>
        <v>0.055228</v>
      </c>
    </row>
    <row r="309">
      <c r="A309" s="17">
        <v>63.0</v>
      </c>
      <c r="B309" s="24">
        <v>87.0</v>
      </c>
      <c r="C309" s="24">
        <v>7.0</v>
      </c>
      <c r="D309" s="24">
        <v>4.0</v>
      </c>
      <c r="E309" s="24">
        <v>60.0</v>
      </c>
      <c r="F309" s="48">
        <v>6.7532</v>
      </c>
      <c r="G309" s="49">
        <f t="shared" si="1"/>
        <v>0.067532</v>
      </c>
      <c r="H309" s="11">
        <v>5.0</v>
      </c>
      <c r="I309" s="11">
        <v>6.0</v>
      </c>
      <c r="J309" s="50">
        <v>42913.0</v>
      </c>
      <c r="K309" s="11">
        <v>8.0</v>
      </c>
      <c r="L309" s="11">
        <v>3.0</v>
      </c>
      <c r="M309" s="51">
        <v>725.0</v>
      </c>
      <c r="N309" s="17">
        <v>88.0</v>
      </c>
      <c r="O309" s="24" t="s">
        <v>31</v>
      </c>
      <c r="P309" s="52">
        <v>61123.0</v>
      </c>
      <c r="Q309" s="51">
        <v>258.0</v>
      </c>
      <c r="R309" s="53">
        <v>-7571.21</v>
      </c>
      <c r="S309" s="24" t="s">
        <v>602</v>
      </c>
      <c r="T309" s="11">
        <v>3.0</v>
      </c>
      <c r="U309" s="52">
        <v>72323.0</v>
      </c>
      <c r="V309" s="11">
        <v>9.0</v>
      </c>
      <c r="W309" s="11">
        <v>1.0</v>
      </c>
      <c r="X309" s="48">
        <v>4.8011</v>
      </c>
      <c r="Y309" s="11">
        <f t="shared" si="2"/>
        <v>0.048011</v>
      </c>
    </row>
    <row r="310">
      <c r="A310" s="17">
        <v>62.0</v>
      </c>
      <c r="B310" s="24">
        <v>26.0</v>
      </c>
      <c r="C310" s="24">
        <v>3.0</v>
      </c>
      <c r="D310" s="24">
        <v>1.0</v>
      </c>
      <c r="E310" s="24">
        <v>62.0</v>
      </c>
      <c r="F310" s="48">
        <v>4.3124</v>
      </c>
      <c r="G310" s="49">
        <f t="shared" si="1"/>
        <v>0.043124</v>
      </c>
      <c r="H310" s="11">
        <v>9.0</v>
      </c>
      <c r="I310" s="11">
        <v>3.0</v>
      </c>
      <c r="J310" s="50">
        <v>81922.0</v>
      </c>
      <c r="K310" s="11">
        <v>7.0</v>
      </c>
      <c r="L310" s="11">
        <v>0.0</v>
      </c>
      <c r="M310" s="51">
        <v>341.0</v>
      </c>
      <c r="N310" s="17">
        <v>12.0</v>
      </c>
      <c r="O310" s="24" t="s">
        <v>31</v>
      </c>
      <c r="P310" s="52">
        <v>101220.0</v>
      </c>
      <c r="Q310" s="51">
        <v>497.0</v>
      </c>
      <c r="R310" s="53">
        <v>2427.61</v>
      </c>
      <c r="S310" s="24" t="s">
        <v>604</v>
      </c>
      <c r="T310" s="11">
        <v>0.0</v>
      </c>
      <c r="U310" s="52">
        <v>60221.0</v>
      </c>
      <c r="V310" s="11">
        <v>2.0</v>
      </c>
      <c r="W310" s="11">
        <v>7.0</v>
      </c>
      <c r="X310" s="48">
        <v>7.9261</v>
      </c>
      <c r="Y310" s="11">
        <f t="shared" si="2"/>
        <v>0.079261</v>
      </c>
    </row>
    <row r="311">
      <c r="A311" s="17">
        <v>70.0</v>
      </c>
      <c r="B311" s="24">
        <v>67.0</v>
      </c>
      <c r="C311" s="24">
        <v>2.0</v>
      </c>
      <c r="D311" s="24">
        <v>6.0</v>
      </c>
      <c r="E311" s="24">
        <v>64.0</v>
      </c>
      <c r="F311" s="48">
        <v>8.857</v>
      </c>
      <c r="G311" s="49">
        <f t="shared" si="1"/>
        <v>0.08857</v>
      </c>
      <c r="H311" s="11">
        <v>0.0</v>
      </c>
      <c r="I311" s="11">
        <v>6.0</v>
      </c>
      <c r="J311" s="50">
        <v>90617.0</v>
      </c>
      <c r="K311" s="11">
        <v>6.0</v>
      </c>
      <c r="L311" s="11">
        <v>2.0</v>
      </c>
      <c r="M311" s="51">
        <v>233.0</v>
      </c>
      <c r="N311" s="17">
        <v>4.0</v>
      </c>
      <c r="O311" s="24" t="s">
        <v>31</v>
      </c>
      <c r="P311" s="52">
        <v>82119.0</v>
      </c>
      <c r="Q311" s="51">
        <v>800.0</v>
      </c>
      <c r="R311" s="53">
        <v>-976975.79</v>
      </c>
      <c r="S311" s="24" t="s">
        <v>600</v>
      </c>
      <c r="T311" s="11">
        <v>0.0</v>
      </c>
      <c r="U311" s="52">
        <v>70222.0</v>
      </c>
      <c r="V311" s="11">
        <v>2.0</v>
      </c>
      <c r="W311" s="11">
        <v>4.0</v>
      </c>
      <c r="X311" s="48">
        <v>3.9074</v>
      </c>
      <c r="Y311" s="11">
        <f t="shared" si="2"/>
        <v>0.039074</v>
      </c>
    </row>
    <row r="312">
      <c r="A312" s="17">
        <v>69.0</v>
      </c>
      <c r="B312" s="24">
        <v>26.0</v>
      </c>
      <c r="C312" s="24">
        <v>3.0</v>
      </c>
      <c r="D312" s="24">
        <v>2.0</v>
      </c>
      <c r="E312" s="24">
        <v>64.0</v>
      </c>
      <c r="F312" s="48">
        <v>3.4584</v>
      </c>
      <c r="G312" s="49">
        <f t="shared" si="1"/>
        <v>0.034584</v>
      </c>
      <c r="H312" s="11">
        <v>9.0</v>
      </c>
      <c r="I312" s="11">
        <v>6.0</v>
      </c>
      <c r="J312" s="50">
        <v>91319.0</v>
      </c>
      <c r="K312" s="11">
        <v>1.0</v>
      </c>
      <c r="L312" s="11">
        <v>3.0</v>
      </c>
      <c r="M312" s="51">
        <v>584.0</v>
      </c>
      <c r="N312" s="17">
        <v>80.0</v>
      </c>
      <c r="O312" s="24" t="s">
        <v>601</v>
      </c>
      <c r="P312" s="52">
        <v>102216.0</v>
      </c>
      <c r="Q312" s="51">
        <v>41.0</v>
      </c>
      <c r="R312" s="53">
        <v>73392.72</v>
      </c>
      <c r="S312" s="24" t="s">
        <v>604</v>
      </c>
      <c r="T312" s="11">
        <v>1.0</v>
      </c>
      <c r="U312" s="52">
        <v>41417.0</v>
      </c>
      <c r="V312" s="11">
        <v>5.0</v>
      </c>
      <c r="W312" s="11">
        <v>8.0</v>
      </c>
      <c r="X312" s="48">
        <v>9.5462</v>
      </c>
      <c r="Y312" s="11">
        <f t="shared" si="2"/>
        <v>0.095462</v>
      </c>
    </row>
    <row r="313">
      <c r="A313" s="17">
        <v>17.0</v>
      </c>
      <c r="B313" s="24">
        <v>46.0</v>
      </c>
      <c r="C313" s="24">
        <v>7.0</v>
      </c>
      <c r="D313" s="24">
        <v>6.0</v>
      </c>
      <c r="E313" s="24">
        <v>63.0</v>
      </c>
      <c r="F313" s="48">
        <v>1.6322</v>
      </c>
      <c r="G313" s="49">
        <f t="shared" si="1"/>
        <v>0.016322</v>
      </c>
      <c r="H313" s="11">
        <v>8.0</v>
      </c>
      <c r="I313" s="11">
        <v>7.0</v>
      </c>
      <c r="J313" s="50">
        <v>60116.0</v>
      </c>
      <c r="K313" s="11">
        <v>2.0</v>
      </c>
      <c r="L313" s="11">
        <v>6.0</v>
      </c>
      <c r="M313" s="51">
        <v>747.0</v>
      </c>
      <c r="N313" s="17">
        <v>36.0</v>
      </c>
      <c r="O313" s="24" t="s">
        <v>600</v>
      </c>
      <c r="P313" s="52">
        <v>92616.0</v>
      </c>
      <c r="Q313" s="51">
        <v>366.0</v>
      </c>
      <c r="R313" s="53">
        <v>-206.46</v>
      </c>
      <c r="S313" s="24" t="s">
        <v>604</v>
      </c>
      <c r="T313" s="11">
        <v>9.0</v>
      </c>
      <c r="U313" s="52">
        <v>91121.0</v>
      </c>
      <c r="V313" s="11">
        <v>7.0</v>
      </c>
      <c r="W313" s="11">
        <v>3.0</v>
      </c>
      <c r="X313" s="48">
        <v>7.4475</v>
      </c>
      <c r="Y313" s="11">
        <f t="shared" si="2"/>
        <v>0.074475</v>
      </c>
    </row>
    <row r="314">
      <c r="A314" s="17">
        <v>84.0</v>
      </c>
      <c r="B314" s="24">
        <v>67.0</v>
      </c>
      <c r="C314" s="24">
        <v>3.0</v>
      </c>
      <c r="D314" s="24">
        <v>3.0</v>
      </c>
      <c r="E314" s="24">
        <v>68.0</v>
      </c>
      <c r="F314" s="48">
        <v>3.5075</v>
      </c>
      <c r="G314" s="49">
        <f t="shared" si="1"/>
        <v>0.035075</v>
      </c>
      <c r="H314" s="11">
        <v>4.0</v>
      </c>
      <c r="I314" s="11">
        <v>5.0</v>
      </c>
      <c r="J314" s="50">
        <v>112915.0</v>
      </c>
      <c r="K314" s="11">
        <v>1.0</v>
      </c>
      <c r="L314" s="11">
        <v>9.0</v>
      </c>
      <c r="M314" s="51">
        <v>97.0</v>
      </c>
      <c r="N314" s="17">
        <v>25.0</v>
      </c>
      <c r="O314" s="24" t="s">
        <v>601</v>
      </c>
      <c r="P314" s="52">
        <v>11914.0</v>
      </c>
      <c r="Q314" s="51">
        <v>169.0</v>
      </c>
      <c r="R314" s="53">
        <v>57167.1</v>
      </c>
      <c r="S314" s="24" t="s">
        <v>600</v>
      </c>
      <c r="T314" s="11">
        <v>7.0</v>
      </c>
      <c r="U314" s="52">
        <v>50621.0</v>
      </c>
      <c r="V314" s="11">
        <v>3.0</v>
      </c>
      <c r="W314" s="11">
        <v>1.0</v>
      </c>
      <c r="X314" s="48">
        <v>6.6482</v>
      </c>
      <c r="Y314" s="11">
        <f t="shared" si="2"/>
        <v>0.066482</v>
      </c>
    </row>
    <row r="315">
      <c r="A315" s="17">
        <v>68.0</v>
      </c>
      <c r="B315" s="24">
        <v>87.0</v>
      </c>
      <c r="C315" s="24">
        <v>8.0</v>
      </c>
      <c r="D315" s="24">
        <v>2.0</v>
      </c>
      <c r="E315" s="24">
        <v>62.0</v>
      </c>
      <c r="F315" s="48">
        <v>3.2022</v>
      </c>
      <c r="G315" s="49">
        <f t="shared" si="1"/>
        <v>0.032022</v>
      </c>
      <c r="H315" s="11">
        <v>1.0</v>
      </c>
      <c r="I315" s="11">
        <v>4.0</v>
      </c>
      <c r="J315" s="50">
        <v>31813.0</v>
      </c>
      <c r="K315" s="11">
        <v>6.0</v>
      </c>
      <c r="L315" s="11">
        <v>6.0</v>
      </c>
      <c r="M315" s="51">
        <v>99.0</v>
      </c>
      <c r="N315" s="17">
        <v>22.0</v>
      </c>
      <c r="O315" s="24" t="s">
        <v>601</v>
      </c>
      <c r="P315" s="52">
        <v>121516.0</v>
      </c>
      <c r="Q315" s="51">
        <v>637.0</v>
      </c>
      <c r="R315" s="53">
        <v>3537.49</v>
      </c>
      <c r="S315" s="24" t="s">
        <v>600</v>
      </c>
      <c r="T315" s="11">
        <v>6.0</v>
      </c>
      <c r="U315" s="52">
        <v>121817.0</v>
      </c>
      <c r="V315" s="11">
        <v>9.0</v>
      </c>
      <c r="W315" s="11">
        <v>8.0</v>
      </c>
      <c r="X315" s="48">
        <v>8.359</v>
      </c>
      <c r="Y315" s="11">
        <f t="shared" si="2"/>
        <v>0.08359</v>
      </c>
    </row>
    <row r="316">
      <c r="A316" s="17">
        <v>35.0</v>
      </c>
      <c r="B316" s="24">
        <v>26.0</v>
      </c>
      <c r="C316" s="24">
        <v>3.0</v>
      </c>
      <c r="D316" s="24">
        <v>9.0</v>
      </c>
      <c r="E316" s="24">
        <v>66.0</v>
      </c>
      <c r="F316" s="48">
        <v>8.6154</v>
      </c>
      <c r="G316" s="49">
        <f t="shared" si="1"/>
        <v>0.086154</v>
      </c>
      <c r="H316" s="11">
        <v>1.0</v>
      </c>
      <c r="I316" s="11">
        <v>0.0</v>
      </c>
      <c r="J316" s="50">
        <v>120915.0</v>
      </c>
      <c r="K316" s="11">
        <v>1.0</v>
      </c>
      <c r="L316" s="11">
        <v>4.0</v>
      </c>
      <c r="M316" s="51">
        <v>971.0</v>
      </c>
      <c r="N316" s="17">
        <v>69.0</v>
      </c>
      <c r="O316" s="24" t="s">
        <v>601</v>
      </c>
      <c r="P316" s="52">
        <v>12113.0</v>
      </c>
      <c r="Q316" s="51">
        <v>172.0</v>
      </c>
      <c r="R316" s="53">
        <v>-2840.35</v>
      </c>
      <c r="S316" s="24" t="s">
        <v>600</v>
      </c>
      <c r="T316" s="11">
        <v>3.0</v>
      </c>
      <c r="U316" s="52">
        <v>40822.0</v>
      </c>
      <c r="V316" s="11">
        <v>9.0</v>
      </c>
      <c r="W316" s="11">
        <v>4.0</v>
      </c>
      <c r="X316" s="48">
        <v>1.9874</v>
      </c>
      <c r="Y316" s="11">
        <f t="shared" si="2"/>
        <v>0.019874</v>
      </c>
    </row>
    <row r="317">
      <c r="A317" s="17">
        <v>22.0</v>
      </c>
      <c r="B317" s="24">
        <v>46.0</v>
      </c>
      <c r="C317" s="24">
        <v>8.0</v>
      </c>
      <c r="D317" s="24">
        <v>6.0</v>
      </c>
      <c r="E317" s="24">
        <v>64.0</v>
      </c>
      <c r="F317" s="48">
        <v>7.9496</v>
      </c>
      <c r="G317" s="49">
        <f t="shared" si="1"/>
        <v>0.079496</v>
      </c>
      <c r="H317" s="11">
        <v>4.0</v>
      </c>
      <c r="I317" s="11">
        <v>7.0</v>
      </c>
      <c r="J317" s="50">
        <v>90120.0</v>
      </c>
      <c r="K317" s="11">
        <v>4.0</v>
      </c>
      <c r="L317" s="11">
        <v>4.0</v>
      </c>
      <c r="M317" s="51">
        <v>369.0</v>
      </c>
      <c r="N317" s="17">
        <v>91.0</v>
      </c>
      <c r="O317" s="24" t="s">
        <v>606</v>
      </c>
      <c r="P317" s="52">
        <v>101623.0</v>
      </c>
      <c r="Q317" s="51">
        <v>89.0</v>
      </c>
      <c r="R317" s="53">
        <v>4593.11</v>
      </c>
      <c r="S317" s="24" t="s">
        <v>604</v>
      </c>
      <c r="T317" s="11">
        <v>1.0</v>
      </c>
      <c r="U317" s="52">
        <v>122421.0</v>
      </c>
      <c r="V317" s="11">
        <v>4.0</v>
      </c>
      <c r="W317" s="11">
        <v>1.0</v>
      </c>
      <c r="X317" s="48">
        <v>6.6155</v>
      </c>
      <c r="Y317" s="11">
        <f t="shared" si="2"/>
        <v>0.066155</v>
      </c>
    </row>
    <row r="318">
      <c r="A318" s="17">
        <v>90.0</v>
      </c>
      <c r="B318" s="24">
        <v>26.0</v>
      </c>
      <c r="C318" s="24">
        <v>4.0</v>
      </c>
      <c r="D318" s="24">
        <v>2.0</v>
      </c>
      <c r="E318" s="24">
        <v>63.0</v>
      </c>
      <c r="F318" s="48">
        <v>7.4395</v>
      </c>
      <c r="G318" s="49">
        <f t="shared" si="1"/>
        <v>0.074395</v>
      </c>
      <c r="H318" s="11">
        <v>7.0</v>
      </c>
      <c r="I318" s="11">
        <v>2.0</v>
      </c>
      <c r="J318" s="50">
        <v>103017.0</v>
      </c>
      <c r="K318" s="11">
        <v>5.0</v>
      </c>
      <c r="L318" s="11">
        <v>5.0</v>
      </c>
      <c r="M318" s="51">
        <v>998.0</v>
      </c>
      <c r="N318" s="17">
        <v>32.0</v>
      </c>
      <c r="O318" s="24" t="s">
        <v>601</v>
      </c>
      <c r="P318" s="52">
        <v>90219.0</v>
      </c>
      <c r="Q318" s="51">
        <v>467.0</v>
      </c>
      <c r="R318" s="53">
        <v>8700.21</v>
      </c>
      <c r="S318" s="24" t="s">
        <v>600</v>
      </c>
      <c r="T318" s="11">
        <v>5.0</v>
      </c>
      <c r="U318" s="52">
        <v>112920.0</v>
      </c>
      <c r="V318" s="11">
        <v>2.0</v>
      </c>
      <c r="W318" s="11">
        <v>2.0</v>
      </c>
      <c r="X318" s="48">
        <v>5.4391</v>
      </c>
      <c r="Y318" s="11">
        <f t="shared" si="2"/>
        <v>0.054391</v>
      </c>
    </row>
    <row r="319">
      <c r="A319" s="17">
        <v>89.0</v>
      </c>
      <c r="B319" s="24">
        <v>67.0</v>
      </c>
      <c r="C319" s="24">
        <v>3.0</v>
      </c>
      <c r="D319" s="24">
        <v>9.0</v>
      </c>
      <c r="E319" s="24">
        <v>67.0</v>
      </c>
      <c r="F319" s="48">
        <v>4.6563</v>
      </c>
      <c r="G319" s="49">
        <f t="shared" si="1"/>
        <v>0.046563</v>
      </c>
      <c r="H319" s="11">
        <v>8.0</v>
      </c>
      <c r="I319" s="11">
        <v>8.0</v>
      </c>
      <c r="J319" s="50">
        <v>61121.0</v>
      </c>
      <c r="K319" s="11">
        <v>4.0</v>
      </c>
      <c r="L319" s="11">
        <v>3.0</v>
      </c>
      <c r="M319" s="51">
        <v>753.0</v>
      </c>
      <c r="N319" s="17">
        <v>25.0</v>
      </c>
      <c r="O319" s="24" t="s">
        <v>48</v>
      </c>
      <c r="P319" s="52">
        <v>80614.0</v>
      </c>
      <c r="Q319" s="51">
        <v>764.0</v>
      </c>
      <c r="R319" s="53">
        <v>-7266.59</v>
      </c>
      <c r="S319" s="24" t="s">
        <v>605</v>
      </c>
      <c r="T319" s="11">
        <v>7.0</v>
      </c>
      <c r="U319" s="52">
        <v>71723.0</v>
      </c>
      <c r="V319" s="11">
        <v>3.0</v>
      </c>
      <c r="W319" s="11">
        <v>0.0</v>
      </c>
      <c r="X319" s="48">
        <v>9.8392</v>
      </c>
      <c r="Y319" s="11">
        <f t="shared" si="2"/>
        <v>0.098392</v>
      </c>
    </row>
    <row r="320">
      <c r="A320" s="17">
        <v>93.0</v>
      </c>
      <c r="B320" s="24">
        <v>26.0</v>
      </c>
      <c r="C320" s="24">
        <v>4.0</v>
      </c>
      <c r="D320" s="24">
        <v>4.0</v>
      </c>
      <c r="E320" s="24">
        <v>66.0</v>
      </c>
      <c r="F320" s="48">
        <v>4.7689</v>
      </c>
      <c r="G320" s="49">
        <f t="shared" si="1"/>
        <v>0.047689</v>
      </c>
      <c r="H320" s="11">
        <v>8.0</v>
      </c>
      <c r="I320" s="11">
        <v>7.0</v>
      </c>
      <c r="J320" s="50">
        <v>42319.0</v>
      </c>
      <c r="K320" s="11">
        <v>8.0</v>
      </c>
      <c r="L320" s="11">
        <v>0.0</v>
      </c>
      <c r="M320" s="51">
        <v>398.0</v>
      </c>
      <c r="N320" s="17">
        <v>30.0</v>
      </c>
      <c r="O320" s="24" t="s">
        <v>606</v>
      </c>
      <c r="P320" s="52">
        <v>102622.0</v>
      </c>
      <c r="Q320" s="51">
        <v>508.0</v>
      </c>
      <c r="R320" s="53">
        <v>1447.49</v>
      </c>
      <c r="S320" s="24" t="s">
        <v>604</v>
      </c>
      <c r="T320" s="11">
        <v>6.0</v>
      </c>
      <c r="U320" s="52">
        <v>52916.0</v>
      </c>
      <c r="V320" s="11">
        <v>7.0</v>
      </c>
      <c r="W320" s="11">
        <v>5.0</v>
      </c>
      <c r="X320" s="48">
        <v>3.1095</v>
      </c>
      <c r="Y320" s="11">
        <f t="shared" si="2"/>
        <v>0.031095</v>
      </c>
    </row>
    <row r="321">
      <c r="A321" s="17">
        <v>19.0</v>
      </c>
      <c r="B321" s="24">
        <v>46.0</v>
      </c>
      <c r="C321" s="24">
        <v>9.0</v>
      </c>
      <c r="D321" s="24">
        <v>7.0</v>
      </c>
      <c r="E321" s="24">
        <v>67.0</v>
      </c>
      <c r="F321" s="48">
        <v>5.1366</v>
      </c>
      <c r="G321" s="49">
        <f t="shared" si="1"/>
        <v>0.051366</v>
      </c>
      <c r="H321" s="11">
        <v>8.0</v>
      </c>
      <c r="I321" s="11">
        <v>3.0</v>
      </c>
      <c r="J321" s="50">
        <v>62314.0</v>
      </c>
      <c r="K321" s="11">
        <v>1.0</v>
      </c>
      <c r="L321" s="11">
        <v>4.0</v>
      </c>
      <c r="M321" s="51">
        <v>570.0</v>
      </c>
      <c r="N321" s="17">
        <v>26.0</v>
      </c>
      <c r="O321" s="24" t="s">
        <v>48</v>
      </c>
      <c r="P321" s="52">
        <v>60118.0</v>
      </c>
      <c r="Q321" s="51">
        <v>771.0</v>
      </c>
      <c r="R321" s="53">
        <v>614.9</v>
      </c>
      <c r="S321" s="24" t="s">
        <v>605</v>
      </c>
      <c r="T321" s="11">
        <v>3.0</v>
      </c>
      <c r="U321" s="52">
        <v>120219.0</v>
      </c>
      <c r="V321" s="11">
        <v>5.0</v>
      </c>
      <c r="W321" s="11">
        <v>8.0</v>
      </c>
      <c r="X321" s="48">
        <v>4.7696</v>
      </c>
      <c r="Y321" s="11">
        <f t="shared" si="2"/>
        <v>0.047696</v>
      </c>
    </row>
    <row r="322">
      <c r="A322" s="17">
        <v>56.0</v>
      </c>
      <c r="B322" s="24">
        <v>87.0</v>
      </c>
      <c r="C322" s="24">
        <v>9.0</v>
      </c>
      <c r="D322" s="24">
        <v>5.0</v>
      </c>
      <c r="E322" s="24">
        <v>65.0</v>
      </c>
      <c r="F322" s="48">
        <v>8.6359</v>
      </c>
      <c r="G322" s="49">
        <f t="shared" si="1"/>
        <v>0.086359</v>
      </c>
      <c r="H322" s="11">
        <v>5.0</v>
      </c>
      <c r="I322" s="11">
        <v>0.0</v>
      </c>
      <c r="J322" s="50">
        <v>81921.0</v>
      </c>
      <c r="K322" s="11">
        <v>1.0</v>
      </c>
      <c r="L322" s="11">
        <v>0.0</v>
      </c>
      <c r="M322" s="51">
        <v>802.0</v>
      </c>
      <c r="N322" s="17">
        <v>13.0</v>
      </c>
      <c r="O322" s="24" t="s">
        <v>48</v>
      </c>
      <c r="P322" s="52">
        <v>82919.0</v>
      </c>
      <c r="Q322" s="51">
        <v>626.0</v>
      </c>
      <c r="R322" s="53">
        <v>-518.74</v>
      </c>
      <c r="S322" s="24" t="s">
        <v>600</v>
      </c>
      <c r="T322" s="11">
        <v>8.0</v>
      </c>
      <c r="U322" s="52">
        <v>81821.0</v>
      </c>
      <c r="V322" s="11">
        <v>8.0</v>
      </c>
      <c r="W322" s="11">
        <v>3.0</v>
      </c>
      <c r="X322" s="48">
        <v>9.1342</v>
      </c>
      <c r="Y322" s="11">
        <f t="shared" si="2"/>
        <v>0.091342</v>
      </c>
    </row>
    <row r="323">
      <c r="A323" s="17">
        <v>65.0</v>
      </c>
      <c r="B323" s="24">
        <v>26.0</v>
      </c>
      <c r="C323" s="24">
        <v>5.0</v>
      </c>
      <c r="D323" s="24">
        <v>3.0</v>
      </c>
      <c r="E323" s="24">
        <v>65.0</v>
      </c>
      <c r="F323" s="48">
        <v>6.5313</v>
      </c>
      <c r="G323" s="49">
        <f t="shared" si="1"/>
        <v>0.065313</v>
      </c>
      <c r="H323" s="11">
        <v>4.0</v>
      </c>
      <c r="I323" s="11">
        <v>3.0</v>
      </c>
      <c r="J323" s="50">
        <v>81821.0</v>
      </c>
      <c r="K323" s="11">
        <v>8.0</v>
      </c>
      <c r="L323" s="11">
        <v>7.0</v>
      </c>
      <c r="M323" s="51">
        <v>703.0</v>
      </c>
      <c r="N323" s="17">
        <v>5.0</v>
      </c>
      <c r="O323" s="24" t="s">
        <v>606</v>
      </c>
      <c r="P323" s="52">
        <v>92014.0</v>
      </c>
      <c r="Q323" s="51">
        <v>36.0</v>
      </c>
      <c r="R323" s="53">
        <v>-318906.44</v>
      </c>
      <c r="S323" s="24" t="s">
        <v>602</v>
      </c>
      <c r="T323" s="11">
        <v>6.0</v>
      </c>
      <c r="U323" s="52">
        <v>32418.0</v>
      </c>
      <c r="V323" s="11">
        <v>8.0</v>
      </c>
      <c r="W323" s="11">
        <v>4.0</v>
      </c>
      <c r="X323" s="48">
        <v>4.1016</v>
      </c>
      <c r="Y323" s="11">
        <f t="shared" si="2"/>
        <v>0.041016</v>
      </c>
    </row>
    <row r="324">
      <c r="A324" s="17">
        <v>56.0</v>
      </c>
      <c r="B324" s="24">
        <v>67.0</v>
      </c>
      <c r="C324" s="24">
        <v>5.0</v>
      </c>
      <c r="D324" s="24">
        <v>6.0</v>
      </c>
      <c r="E324" s="24">
        <v>62.0</v>
      </c>
      <c r="F324" s="48">
        <v>9.5604</v>
      </c>
      <c r="G324" s="49">
        <f t="shared" si="1"/>
        <v>0.095604</v>
      </c>
      <c r="H324" s="11">
        <v>7.0</v>
      </c>
      <c r="I324" s="11">
        <v>4.0</v>
      </c>
      <c r="J324" s="50">
        <v>40617.0</v>
      </c>
      <c r="K324" s="11">
        <v>8.0</v>
      </c>
      <c r="L324" s="11">
        <v>3.0</v>
      </c>
      <c r="M324" s="51">
        <v>221.0</v>
      </c>
      <c r="N324" s="17">
        <v>98.0</v>
      </c>
      <c r="O324" s="24" t="s">
        <v>31</v>
      </c>
      <c r="P324" s="52">
        <v>10514.0</v>
      </c>
      <c r="Q324" s="51">
        <v>84.0</v>
      </c>
      <c r="R324" s="53">
        <v>-8892.9</v>
      </c>
      <c r="S324" s="24" t="s">
        <v>604</v>
      </c>
      <c r="T324" s="11">
        <v>6.0</v>
      </c>
      <c r="U324" s="52">
        <v>102715.0</v>
      </c>
      <c r="V324" s="11">
        <v>1.0</v>
      </c>
      <c r="W324" s="11">
        <v>2.0</v>
      </c>
      <c r="X324" s="48">
        <v>4.2287</v>
      </c>
      <c r="Y324" s="11">
        <f t="shared" si="2"/>
        <v>0.042287</v>
      </c>
    </row>
    <row r="325">
      <c r="A325" s="17">
        <v>95.0</v>
      </c>
      <c r="B325" s="24">
        <v>26.0</v>
      </c>
      <c r="C325" s="24">
        <v>6.0</v>
      </c>
      <c r="D325" s="24">
        <v>4.0</v>
      </c>
      <c r="E325" s="24">
        <v>60.0</v>
      </c>
      <c r="F325" s="48">
        <v>7.6035</v>
      </c>
      <c r="G325" s="49">
        <f t="shared" si="1"/>
        <v>0.076035</v>
      </c>
      <c r="H325" s="11">
        <v>6.0</v>
      </c>
      <c r="I325" s="11">
        <v>6.0</v>
      </c>
      <c r="J325" s="50">
        <v>110917.0</v>
      </c>
      <c r="K325" s="11">
        <v>2.0</v>
      </c>
      <c r="L325" s="11">
        <v>9.0</v>
      </c>
      <c r="M325" s="51">
        <v>690.0</v>
      </c>
      <c r="N325" s="17">
        <v>31.0</v>
      </c>
      <c r="O325" s="24" t="s">
        <v>39</v>
      </c>
      <c r="P325" s="52">
        <v>11118.0</v>
      </c>
      <c r="Q325" s="51">
        <v>84.0</v>
      </c>
      <c r="R325" s="53">
        <v>-532218.33</v>
      </c>
      <c r="S325" s="24" t="s">
        <v>602</v>
      </c>
      <c r="T325" s="11">
        <v>3.0</v>
      </c>
      <c r="U325" s="52">
        <v>60822.0</v>
      </c>
      <c r="V325" s="11">
        <v>2.0</v>
      </c>
      <c r="W325" s="11">
        <v>0.0</v>
      </c>
      <c r="X325" s="48">
        <v>5.833</v>
      </c>
      <c r="Y325" s="11">
        <f t="shared" si="2"/>
        <v>0.05833</v>
      </c>
    </row>
    <row r="326">
      <c r="A326" s="17">
        <v>3.0</v>
      </c>
      <c r="B326" s="24">
        <v>47.0</v>
      </c>
      <c r="C326" s="24">
        <v>1.0</v>
      </c>
      <c r="D326" s="24">
        <v>4.0</v>
      </c>
      <c r="E326" s="24">
        <v>61.0</v>
      </c>
      <c r="F326" s="48">
        <v>4.4538</v>
      </c>
      <c r="G326" s="49">
        <f t="shared" si="1"/>
        <v>0.044538</v>
      </c>
      <c r="H326" s="11">
        <v>0.0</v>
      </c>
      <c r="I326" s="11">
        <v>0.0</v>
      </c>
      <c r="J326" s="50">
        <v>13018.0</v>
      </c>
      <c r="K326" s="11">
        <v>0.0</v>
      </c>
      <c r="L326" s="11">
        <v>6.0</v>
      </c>
      <c r="M326" s="51">
        <v>927.0</v>
      </c>
      <c r="N326" s="17">
        <v>16.0</v>
      </c>
      <c r="O326" s="24" t="s">
        <v>603</v>
      </c>
      <c r="P326" s="52">
        <v>11218.0</v>
      </c>
      <c r="Q326" s="51">
        <v>437.0</v>
      </c>
      <c r="R326" s="53">
        <v>2944.7</v>
      </c>
      <c r="S326" s="24" t="s">
        <v>605</v>
      </c>
      <c r="T326" s="11">
        <v>9.0</v>
      </c>
      <c r="U326" s="52">
        <v>11713.0</v>
      </c>
      <c r="V326" s="11">
        <v>1.0</v>
      </c>
      <c r="W326" s="11">
        <v>5.0</v>
      </c>
      <c r="X326" s="48">
        <v>4.7596</v>
      </c>
      <c r="Y326" s="11">
        <f t="shared" si="2"/>
        <v>0.047596</v>
      </c>
    </row>
    <row r="327">
      <c r="A327" s="17">
        <v>1.0</v>
      </c>
      <c r="B327" s="24">
        <v>47.0</v>
      </c>
      <c r="C327" s="24">
        <v>1.0</v>
      </c>
      <c r="D327" s="24">
        <v>7.0</v>
      </c>
      <c r="E327" s="24">
        <v>62.0</v>
      </c>
      <c r="F327" s="48">
        <v>2.9365</v>
      </c>
      <c r="G327" s="49">
        <f t="shared" si="1"/>
        <v>0.029365</v>
      </c>
      <c r="H327" s="11">
        <v>2.0</v>
      </c>
      <c r="I327" s="11">
        <v>6.0</v>
      </c>
      <c r="J327" s="50">
        <v>22413.0</v>
      </c>
      <c r="K327" s="11">
        <v>5.0</v>
      </c>
      <c r="L327" s="11">
        <v>3.0</v>
      </c>
      <c r="M327" s="51">
        <v>818.0</v>
      </c>
      <c r="N327" s="17">
        <v>54.0</v>
      </c>
      <c r="O327" s="24" t="s">
        <v>39</v>
      </c>
      <c r="P327" s="52">
        <v>83017.0</v>
      </c>
      <c r="Q327" s="51">
        <v>910.0</v>
      </c>
      <c r="R327" s="53">
        <v>-1448.79</v>
      </c>
      <c r="S327" s="24" t="s">
        <v>605</v>
      </c>
      <c r="T327" s="11">
        <v>4.0</v>
      </c>
      <c r="U327" s="52">
        <v>102418.0</v>
      </c>
      <c r="V327" s="11">
        <v>1.0</v>
      </c>
      <c r="W327" s="11">
        <v>1.0</v>
      </c>
      <c r="X327" s="48">
        <v>2.6299</v>
      </c>
      <c r="Y327" s="11">
        <f t="shared" si="2"/>
        <v>0.026299</v>
      </c>
    </row>
    <row r="328">
      <c r="A328" s="17">
        <v>15.0</v>
      </c>
      <c r="B328" s="24">
        <v>67.0</v>
      </c>
      <c r="C328" s="24">
        <v>8.0</v>
      </c>
      <c r="D328" s="24">
        <v>1.0</v>
      </c>
      <c r="E328" s="24">
        <v>64.0</v>
      </c>
      <c r="F328" s="48">
        <v>4.51</v>
      </c>
      <c r="G328" s="49">
        <f t="shared" si="1"/>
        <v>0.0451</v>
      </c>
      <c r="H328" s="11">
        <v>4.0</v>
      </c>
      <c r="I328" s="11">
        <v>0.0</v>
      </c>
      <c r="J328" s="50">
        <v>80517.0</v>
      </c>
      <c r="K328" s="11">
        <v>2.0</v>
      </c>
      <c r="L328" s="11">
        <v>4.0</v>
      </c>
      <c r="M328" s="51">
        <v>720.0</v>
      </c>
      <c r="N328" s="17">
        <v>61.0</v>
      </c>
      <c r="O328" s="24" t="s">
        <v>39</v>
      </c>
      <c r="P328" s="52">
        <v>12022.0</v>
      </c>
      <c r="Q328" s="51">
        <v>938.0</v>
      </c>
      <c r="R328" s="53">
        <v>97015.71</v>
      </c>
      <c r="S328" s="24" t="s">
        <v>604</v>
      </c>
      <c r="T328" s="11">
        <v>1.0</v>
      </c>
      <c r="U328" s="52">
        <v>31623.0</v>
      </c>
      <c r="V328" s="11">
        <v>9.0</v>
      </c>
      <c r="W328" s="11">
        <v>2.0</v>
      </c>
      <c r="X328" s="48">
        <v>8.9436</v>
      </c>
      <c r="Y328" s="11">
        <f t="shared" si="2"/>
        <v>0.089436</v>
      </c>
    </row>
    <row r="329">
      <c r="A329" s="17">
        <v>90.0</v>
      </c>
      <c r="B329" s="24">
        <v>26.0</v>
      </c>
      <c r="C329" s="24">
        <v>8.0</v>
      </c>
      <c r="D329" s="24">
        <v>9.0</v>
      </c>
      <c r="E329" s="24">
        <v>64.0</v>
      </c>
      <c r="F329" s="48">
        <v>2.9981</v>
      </c>
      <c r="G329" s="49">
        <f t="shared" si="1"/>
        <v>0.029981</v>
      </c>
      <c r="H329" s="11">
        <v>2.0</v>
      </c>
      <c r="I329" s="11">
        <v>1.0</v>
      </c>
      <c r="J329" s="50">
        <v>30719.0</v>
      </c>
      <c r="K329" s="11">
        <v>4.0</v>
      </c>
      <c r="L329" s="11">
        <v>8.0</v>
      </c>
      <c r="M329" s="51">
        <v>286.0</v>
      </c>
      <c r="N329" s="17">
        <v>28.0</v>
      </c>
      <c r="O329" s="24" t="s">
        <v>31</v>
      </c>
      <c r="P329" s="52">
        <v>30522.0</v>
      </c>
      <c r="Q329" s="51">
        <v>670.0</v>
      </c>
      <c r="R329" s="53">
        <v>-431454.59</v>
      </c>
      <c r="S329" s="24" t="s">
        <v>605</v>
      </c>
      <c r="T329" s="11">
        <v>9.0</v>
      </c>
      <c r="U329" s="52">
        <v>20318.0</v>
      </c>
      <c r="V329" s="11">
        <v>4.0</v>
      </c>
      <c r="W329" s="11">
        <v>6.0</v>
      </c>
      <c r="X329" s="48">
        <v>7.5554</v>
      </c>
      <c r="Y329" s="11">
        <f t="shared" si="2"/>
        <v>0.075554</v>
      </c>
    </row>
    <row r="330">
      <c r="A330" s="17">
        <v>22.0</v>
      </c>
      <c r="B330" s="24">
        <v>67.0</v>
      </c>
      <c r="C330" s="24">
        <v>8.0</v>
      </c>
      <c r="D330" s="24">
        <v>7.0</v>
      </c>
      <c r="E330" s="24">
        <v>66.0</v>
      </c>
      <c r="F330" s="48">
        <v>9.2463</v>
      </c>
      <c r="G330" s="49">
        <f t="shared" si="1"/>
        <v>0.092463</v>
      </c>
      <c r="H330" s="11">
        <v>4.0</v>
      </c>
      <c r="I330" s="11">
        <v>2.0</v>
      </c>
      <c r="J330" s="50">
        <v>20313.0</v>
      </c>
      <c r="K330" s="11">
        <v>8.0</v>
      </c>
      <c r="L330" s="11">
        <v>9.0</v>
      </c>
      <c r="M330" s="51">
        <v>127.0</v>
      </c>
      <c r="N330" s="17">
        <v>3.0</v>
      </c>
      <c r="O330" s="24" t="s">
        <v>603</v>
      </c>
      <c r="P330" s="52">
        <v>51419.0</v>
      </c>
      <c r="Q330" s="51">
        <v>658.0</v>
      </c>
      <c r="R330" s="53">
        <v>-507.35</v>
      </c>
      <c r="S330" s="24" t="s">
        <v>602</v>
      </c>
      <c r="T330" s="11">
        <v>3.0</v>
      </c>
      <c r="U330" s="52">
        <v>31817.0</v>
      </c>
      <c r="V330" s="11">
        <v>2.0</v>
      </c>
      <c r="W330" s="11">
        <v>5.0</v>
      </c>
      <c r="X330" s="48">
        <v>8.771</v>
      </c>
      <c r="Y330" s="11">
        <f t="shared" si="2"/>
        <v>0.08771</v>
      </c>
    </row>
    <row r="331">
      <c r="A331" s="17">
        <v>45.0</v>
      </c>
      <c r="B331" s="24">
        <v>47.0</v>
      </c>
      <c r="C331" s="24">
        <v>3.0</v>
      </c>
      <c r="D331" s="24">
        <v>9.0</v>
      </c>
      <c r="E331" s="24">
        <v>68.0</v>
      </c>
      <c r="F331" s="48">
        <v>9.6789</v>
      </c>
      <c r="G331" s="49">
        <f t="shared" si="1"/>
        <v>0.096789</v>
      </c>
      <c r="H331" s="11">
        <v>9.0</v>
      </c>
      <c r="I331" s="11">
        <v>6.0</v>
      </c>
      <c r="J331" s="50">
        <v>60116.0</v>
      </c>
      <c r="K331" s="11">
        <v>8.0</v>
      </c>
      <c r="L331" s="11">
        <v>0.0</v>
      </c>
      <c r="M331" s="51">
        <v>66.0</v>
      </c>
      <c r="N331" s="17">
        <v>16.0</v>
      </c>
      <c r="O331" s="24" t="s">
        <v>601</v>
      </c>
      <c r="P331" s="52">
        <v>50520.0</v>
      </c>
      <c r="Q331" s="51">
        <v>751.0</v>
      </c>
      <c r="R331" s="53">
        <v>-474.73</v>
      </c>
      <c r="S331" s="24" t="s">
        <v>602</v>
      </c>
      <c r="T331" s="11">
        <v>0.0</v>
      </c>
      <c r="U331" s="52">
        <v>91213.0</v>
      </c>
      <c r="V331" s="11">
        <v>8.0</v>
      </c>
      <c r="W331" s="11">
        <v>7.0</v>
      </c>
      <c r="X331" s="48">
        <v>3.2523</v>
      </c>
      <c r="Y331" s="11">
        <f t="shared" si="2"/>
        <v>0.032523</v>
      </c>
    </row>
    <row r="332">
      <c r="A332" s="17">
        <v>69.0</v>
      </c>
      <c r="B332" s="24">
        <v>47.0</v>
      </c>
      <c r="C332" s="24">
        <v>4.0</v>
      </c>
      <c r="D332" s="24">
        <v>5.0</v>
      </c>
      <c r="E332" s="24">
        <v>61.0</v>
      </c>
      <c r="F332" s="48">
        <v>6.8085</v>
      </c>
      <c r="G332" s="49">
        <f t="shared" si="1"/>
        <v>0.068085</v>
      </c>
      <c r="H332" s="11">
        <v>4.0</v>
      </c>
      <c r="I332" s="11">
        <v>0.0</v>
      </c>
      <c r="J332" s="50">
        <v>70313.0</v>
      </c>
      <c r="K332" s="11">
        <v>2.0</v>
      </c>
      <c r="L332" s="11">
        <v>9.0</v>
      </c>
      <c r="M332" s="51">
        <v>101.0</v>
      </c>
      <c r="N332" s="17">
        <v>2.0</v>
      </c>
      <c r="O332" s="24" t="s">
        <v>39</v>
      </c>
      <c r="P332" s="52">
        <v>41323.0</v>
      </c>
      <c r="Q332" s="51">
        <v>27.0</v>
      </c>
      <c r="R332" s="53">
        <v>29769.33</v>
      </c>
      <c r="S332" s="24" t="s">
        <v>600</v>
      </c>
      <c r="T332" s="11">
        <v>6.0</v>
      </c>
      <c r="U332" s="52">
        <v>31214.0</v>
      </c>
      <c r="V332" s="11">
        <v>5.0</v>
      </c>
      <c r="W332" s="11">
        <v>9.0</v>
      </c>
      <c r="X332" s="48">
        <v>8.647</v>
      </c>
      <c r="Y332" s="11">
        <f t="shared" si="2"/>
        <v>0.08647</v>
      </c>
    </row>
    <row r="333">
      <c r="A333" s="17">
        <v>48.0</v>
      </c>
      <c r="B333" s="24">
        <v>67.0</v>
      </c>
      <c r="C333" s="24">
        <v>9.0</v>
      </c>
      <c r="D333" s="24">
        <v>3.0</v>
      </c>
      <c r="E333" s="24">
        <v>64.0</v>
      </c>
      <c r="F333" s="48">
        <v>1.2545</v>
      </c>
      <c r="G333" s="49">
        <f t="shared" si="1"/>
        <v>0.012545</v>
      </c>
      <c r="H333" s="11">
        <v>1.0</v>
      </c>
      <c r="I333" s="11">
        <v>5.0</v>
      </c>
      <c r="J333" s="50">
        <v>20721.0</v>
      </c>
      <c r="K333" s="11">
        <v>2.0</v>
      </c>
      <c r="L333" s="11">
        <v>9.0</v>
      </c>
      <c r="M333" s="51">
        <v>398.0</v>
      </c>
      <c r="N333" s="17">
        <v>95.0</v>
      </c>
      <c r="O333" s="24" t="s">
        <v>48</v>
      </c>
      <c r="P333" s="52">
        <v>42417.0</v>
      </c>
      <c r="Q333" s="51">
        <v>599.0</v>
      </c>
      <c r="R333" s="53">
        <v>-229.12</v>
      </c>
      <c r="S333" s="24" t="s">
        <v>605</v>
      </c>
      <c r="T333" s="11">
        <v>6.0</v>
      </c>
      <c r="U333" s="52">
        <v>100522.0</v>
      </c>
      <c r="V333" s="11">
        <v>6.0</v>
      </c>
      <c r="W333" s="11">
        <v>8.0</v>
      </c>
      <c r="X333" s="48">
        <v>3.994</v>
      </c>
      <c r="Y333" s="11">
        <f t="shared" si="2"/>
        <v>0.03994</v>
      </c>
    </row>
    <row r="334">
      <c r="A334" s="17">
        <v>63.0</v>
      </c>
      <c r="B334" s="24">
        <v>67.0</v>
      </c>
      <c r="C334" s="24">
        <v>9.0</v>
      </c>
      <c r="D334" s="24">
        <v>6.0</v>
      </c>
      <c r="E334" s="24">
        <v>65.0</v>
      </c>
      <c r="F334" s="48">
        <v>6.3312</v>
      </c>
      <c r="G334" s="49">
        <f t="shared" si="1"/>
        <v>0.063312</v>
      </c>
      <c r="H334" s="11">
        <v>5.0</v>
      </c>
      <c r="I334" s="11">
        <v>2.0</v>
      </c>
      <c r="J334" s="50">
        <v>70222.0</v>
      </c>
      <c r="K334" s="11">
        <v>8.0</v>
      </c>
      <c r="L334" s="11">
        <v>7.0</v>
      </c>
      <c r="M334" s="51">
        <v>95.0</v>
      </c>
      <c r="N334" s="17">
        <v>67.0</v>
      </c>
      <c r="O334" s="24" t="s">
        <v>601</v>
      </c>
      <c r="P334" s="52">
        <v>32121.0</v>
      </c>
      <c r="Q334" s="51">
        <v>418.0</v>
      </c>
      <c r="R334" s="53">
        <v>365702.87</v>
      </c>
      <c r="S334" s="24" t="s">
        <v>600</v>
      </c>
      <c r="T334" s="11">
        <v>5.0</v>
      </c>
      <c r="U334" s="52">
        <v>110121.0</v>
      </c>
      <c r="V334" s="11">
        <v>6.0</v>
      </c>
      <c r="W334" s="11">
        <v>4.0</v>
      </c>
      <c r="X334" s="48">
        <v>6.3599</v>
      </c>
      <c r="Y334" s="11">
        <f t="shared" si="2"/>
        <v>0.063599</v>
      </c>
    </row>
    <row r="335">
      <c r="A335" s="17">
        <v>52.0</v>
      </c>
      <c r="B335" s="24">
        <v>88.0</v>
      </c>
      <c r="C335" s="24">
        <v>4.0</v>
      </c>
      <c r="D335" s="24">
        <v>7.0</v>
      </c>
      <c r="E335" s="24">
        <v>64.0</v>
      </c>
      <c r="F335" s="48">
        <v>5.8445</v>
      </c>
      <c r="G335" s="49">
        <f t="shared" si="1"/>
        <v>0.058445</v>
      </c>
      <c r="H335" s="11">
        <v>2.0</v>
      </c>
      <c r="I335" s="11">
        <v>2.0</v>
      </c>
      <c r="J335" s="50">
        <v>22418.0</v>
      </c>
      <c r="K335" s="11">
        <v>0.0</v>
      </c>
      <c r="L335" s="11">
        <v>1.0</v>
      </c>
      <c r="M335" s="51">
        <v>342.0</v>
      </c>
      <c r="N335" s="17">
        <v>83.0</v>
      </c>
      <c r="O335" s="24" t="s">
        <v>31</v>
      </c>
      <c r="P335" s="52">
        <v>12722.0</v>
      </c>
      <c r="Q335" s="51">
        <v>309.0</v>
      </c>
      <c r="R335" s="53">
        <v>73148.38</v>
      </c>
      <c r="S335" s="24" t="s">
        <v>605</v>
      </c>
      <c r="T335" s="11">
        <v>6.0</v>
      </c>
      <c r="U335" s="52">
        <v>30323.0</v>
      </c>
      <c r="V335" s="11">
        <v>4.0</v>
      </c>
      <c r="W335" s="11">
        <v>1.0</v>
      </c>
      <c r="X335" s="48">
        <v>3.5671</v>
      </c>
      <c r="Y335" s="11">
        <f t="shared" si="2"/>
        <v>0.035671</v>
      </c>
    </row>
    <row r="336">
      <c r="A336" s="17">
        <v>84.0</v>
      </c>
      <c r="B336" s="24">
        <v>47.0</v>
      </c>
      <c r="C336" s="24">
        <v>5.0</v>
      </c>
      <c r="D336" s="24">
        <v>3.0</v>
      </c>
      <c r="E336" s="24">
        <v>66.0</v>
      </c>
      <c r="F336" s="48">
        <v>3.7613</v>
      </c>
      <c r="G336" s="49">
        <f t="shared" si="1"/>
        <v>0.037613</v>
      </c>
      <c r="H336" s="11">
        <v>4.0</v>
      </c>
      <c r="I336" s="11">
        <v>4.0</v>
      </c>
      <c r="J336" s="50">
        <v>80316.0</v>
      </c>
      <c r="K336" s="11">
        <v>4.0</v>
      </c>
      <c r="L336" s="11">
        <v>2.0</v>
      </c>
      <c r="M336" s="51">
        <v>196.0</v>
      </c>
      <c r="N336" s="17">
        <v>40.0</v>
      </c>
      <c r="O336" s="24" t="s">
        <v>48</v>
      </c>
      <c r="P336" s="52">
        <v>82618.0</v>
      </c>
      <c r="Q336" s="51">
        <v>532.0</v>
      </c>
      <c r="R336" s="53">
        <v>7870.78</v>
      </c>
      <c r="S336" s="24" t="s">
        <v>602</v>
      </c>
      <c r="T336" s="11">
        <v>6.0</v>
      </c>
      <c r="U336" s="52">
        <v>80115.0</v>
      </c>
      <c r="V336" s="11">
        <v>4.0</v>
      </c>
      <c r="W336" s="11">
        <v>1.0</v>
      </c>
      <c r="X336" s="48">
        <v>5.8386</v>
      </c>
      <c r="Y336" s="11">
        <f t="shared" si="2"/>
        <v>0.058386</v>
      </c>
    </row>
    <row r="337">
      <c r="A337" s="17">
        <v>62.0</v>
      </c>
      <c r="B337" s="24">
        <v>47.0</v>
      </c>
      <c r="C337" s="24">
        <v>5.0</v>
      </c>
      <c r="D337" s="24">
        <v>5.0</v>
      </c>
      <c r="E337" s="24">
        <v>65.0</v>
      </c>
      <c r="F337" s="48">
        <v>7.7044</v>
      </c>
      <c r="G337" s="49">
        <f t="shared" si="1"/>
        <v>0.077044</v>
      </c>
      <c r="H337" s="11">
        <v>3.0</v>
      </c>
      <c r="I337" s="11">
        <v>3.0</v>
      </c>
      <c r="J337" s="50">
        <v>31820.0</v>
      </c>
      <c r="K337" s="11">
        <v>5.0</v>
      </c>
      <c r="L337" s="11">
        <v>2.0</v>
      </c>
      <c r="M337" s="51">
        <v>320.0</v>
      </c>
      <c r="N337" s="17">
        <v>29.0</v>
      </c>
      <c r="O337" s="24" t="s">
        <v>603</v>
      </c>
      <c r="P337" s="52">
        <v>50319.0</v>
      </c>
      <c r="Q337" s="51">
        <v>345.0</v>
      </c>
      <c r="R337" s="53">
        <v>-1244.7</v>
      </c>
      <c r="S337" s="24" t="s">
        <v>605</v>
      </c>
      <c r="T337" s="11">
        <v>9.0</v>
      </c>
      <c r="U337" s="52">
        <v>22616.0</v>
      </c>
      <c r="V337" s="11">
        <v>7.0</v>
      </c>
      <c r="W337" s="11">
        <v>6.0</v>
      </c>
      <c r="X337" s="48">
        <v>8.3682</v>
      </c>
      <c r="Y337" s="11">
        <f t="shared" si="2"/>
        <v>0.083682</v>
      </c>
    </row>
    <row r="338">
      <c r="A338" s="17">
        <v>91.0</v>
      </c>
      <c r="B338" s="24">
        <v>47.0</v>
      </c>
      <c r="C338" s="24">
        <v>5.0</v>
      </c>
      <c r="D338" s="24">
        <v>7.0</v>
      </c>
      <c r="E338" s="24">
        <v>60.0</v>
      </c>
      <c r="F338" s="48">
        <v>8.4109</v>
      </c>
      <c r="G338" s="49">
        <f t="shared" si="1"/>
        <v>0.084109</v>
      </c>
      <c r="H338" s="11">
        <v>5.0</v>
      </c>
      <c r="I338" s="11">
        <v>7.0</v>
      </c>
      <c r="J338" s="50">
        <v>41920.0</v>
      </c>
      <c r="K338" s="11">
        <v>4.0</v>
      </c>
      <c r="L338" s="11">
        <v>9.0</v>
      </c>
      <c r="M338" s="51">
        <v>698.0</v>
      </c>
      <c r="N338" s="17">
        <v>41.0</v>
      </c>
      <c r="O338" s="24" t="s">
        <v>39</v>
      </c>
      <c r="P338" s="52">
        <v>90513.0</v>
      </c>
      <c r="Q338" s="51">
        <v>782.0</v>
      </c>
      <c r="R338" s="53">
        <v>523373.95</v>
      </c>
      <c r="S338" s="24" t="s">
        <v>604</v>
      </c>
      <c r="T338" s="11">
        <v>1.0</v>
      </c>
      <c r="U338" s="52">
        <v>80722.0</v>
      </c>
      <c r="V338" s="11">
        <v>0.0</v>
      </c>
      <c r="W338" s="11">
        <v>4.0</v>
      </c>
      <c r="X338" s="48">
        <v>6.928</v>
      </c>
      <c r="Y338" s="11">
        <f t="shared" si="2"/>
        <v>0.06928</v>
      </c>
    </row>
    <row r="339">
      <c r="A339" s="17">
        <v>85.0</v>
      </c>
      <c r="B339" s="24">
        <v>47.0</v>
      </c>
      <c r="C339" s="24">
        <v>5.0</v>
      </c>
      <c r="D339" s="24">
        <v>8.0</v>
      </c>
      <c r="E339" s="24">
        <v>64.0</v>
      </c>
      <c r="F339" s="48">
        <v>9.977</v>
      </c>
      <c r="G339" s="49">
        <f t="shared" si="1"/>
        <v>0.09977</v>
      </c>
      <c r="H339" s="11">
        <v>3.0</v>
      </c>
      <c r="I339" s="11">
        <v>6.0</v>
      </c>
      <c r="J339" s="50">
        <v>40616.0</v>
      </c>
      <c r="K339" s="11">
        <v>1.0</v>
      </c>
      <c r="L339" s="11">
        <v>0.0</v>
      </c>
      <c r="M339" s="51">
        <v>954.0</v>
      </c>
      <c r="N339" s="17">
        <v>59.0</v>
      </c>
      <c r="O339" s="24" t="s">
        <v>601</v>
      </c>
      <c r="P339" s="52">
        <v>102218.0</v>
      </c>
      <c r="Q339" s="51">
        <v>392.0</v>
      </c>
      <c r="R339" s="53">
        <v>776.69</v>
      </c>
      <c r="S339" s="24" t="s">
        <v>600</v>
      </c>
      <c r="T339" s="11">
        <v>8.0</v>
      </c>
      <c r="U339" s="52">
        <v>82618.0</v>
      </c>
      <c r="V339" s="11">
        <v>4.0</v>
      </c>
      <c r="W339" s="11">
        <v>1.0</v>
      </c>
      <c r="X339" s="48">
        <v>9.8543</v>
      </c>
      <c r="Y339" s="11">
        <f t="shared" si="2"/>
        <v>0.098543</v>
      </c>
    </row>
    <row r="340">
      <c r="A340" s="17">
        <v>76.0</v>
      </c>
      <c r="B340" s="24">
        <v>88.0</v>
      </c>
      <c r="C340" s="24">
        <v>5.0</v>
      </c>
      <c r="D340" s="24">
        <v>4.0</v>
      </c>
      <c r="E340" s="24">
        <v>63.0</v>
      </c>
      <c r="F340" s="48">
        <v>5.3005</v>
      </c>
      <c r="G340" s="49">
        <f t="shared" si="1"/>
        <v>0.053005</v>
      </c>
      <c r="H340" s="11">
        <v>2.0</v>
      </c>
      <c r="I340" s="11">
        <v>3.0</v>
      </c>
      <c r="J340" s="50">
        <v>112415.0</v>
      </c>
      <c r="K340" s="11">
        <v>2.0</v>
      </c>
      <c r="L340" s="11">
        <v>7.0</v>
      </c>
      <c r="M340" s="51">
        <v>542.0</v>
      </c>
      <c r="N340" s="17">
        <v>32.0</v>
      </c>
      <c r="O340" s="24" t="s">
        <v>603</v>
      </c>
      <c r="P340" s="52">
        <v>111015.0</v>
      </c>
      <c r="Q340" s="51">
        <v>452.0</v>
      </c>
      <c r="R340" s="53">
        <v>408.82</v>
      </c>
      <c r="S340" s="24" t="s">
        <v>600</v>
      </c>
      <c r="T340" s="11">
        <v>5.0</v>
      </c>
      <c r="U340" s="52">
        <v>61622.0</v>
      </c>
      <c r="V340" s="11">
        <v>4.0</v>
      </c>
      <c r="W340" s="11">
        <v>4.0</v>
      </c>
      <c r="X340" s="48">
        <v>6.6062</v>
      </c>
      <c r="Y340" s="11">
        <f t="shared" si="2"/>
        <v>0.066062</v>
      </c>
    </row>
    <row r="341">
      <c r="A341" s="17">
        <v>17.0</v>
      </c>
      <c r="B341" s="24">
        <v>27.0</v>
      </c>
      <c r="C341" s="24">
        <v>1.0</v>
      </c>
      <c r="D341" s="24">
        <v>3.0</v>
      </c>
      <c r="E341" s="24">
        <v>62.0</v>
      </c>
      <c r="F341" s="48">
        <v>9.5658</v>
      </c>
      <c r="G341" s="49">
        <f t="shared" si="1"/>
        <v>0.095658</v>
      </c>
      <c r="H341" s="11">
        <v>3.0</v>
      </c>
      <c r="I341" s="11">
        <v>0.0</v>
      </c>
      <c r="J341" s="50">
        <v>91919.0</v>
      </c>
      <c r="K341" s="11">
        <v>9.0</v>
      </c>
      <c r="L341" s="11">
        <v>3.0</v>
      </c>
      <c r="M341" s="51">
        <v>255.0</v>
      </c>
      <c r="N341" s="17">
        <v>41.0</v>
      </c>
      <c r="O341" s="24" t="s">
        <v>601</v>
      </c>
      <c r="P341" s="52">
        <v>100920.0</v>
      </c>
      <c r="Q341" s="51">
        <v>592.0</v>
      </c>
      <c r="R341" s="53">
        <v>-82437.4</v>
      </c>
      <c r="S341" s="24" t="s">
        <v>600</v>
      </c>
      <c r="T341" s="11">
        <v>1.0</v>
      </c>
      <c r="U341" s="52">
        <v>22416.0</v>
      </c>
      <c r="V341" s="11">
        <v>9.0</v>
      </c>
      <c r="W341" s="11">
        <v>5.0</v>
      </c>
      <c r="X341" s="48">
        <v>1.7946</v>
      </c>
      <c r="Y341" s="11">
        <f t="shared" si="2"/>
        <v>0.017946</v>
      </c>
    </row>
    <row r="342">
      <c r="A342" s="17">
        <v>67.0</v>
      </c>
      <c r="B342" s="24">
        <v>47.0</v>
      </c>
      <c r="C342" s="24">
        <v>6.0</v>
      </c>
      <c r="D342" s="24">
        <v>3.0</v>
      </c>
      <c r="E342" s="24">
        <v>64.0</v>
      </c>
      <c r="F342" s="48">
        <v>5.1058</v>
      </c>
      <c r="G342" s="49">
        <f t="shared" si="1"/>
        <v>0.051058</v>
      </c>
      <c r="H342" s="11">
        <v>8.0</v>
      </c>
      <c r="I342" s="11">
        <v>3.0</v>
      </c>
      <c r="J342" s="50">
        <v>21015.0</v>
      </c>
      <c r="K342" s="11">
        <v>7.0</v>
      </c>
      <c r="L342" s="11">
        <v>6.0</v>
      </c>
      <c r="M342" s="51">
        <v>962.0</v>
      </c>
      <c r="N342" s="17">
        <v>86.0</v>
      </c>
      <c r="O342" s="24" t="s">
        <v>600</v>
      </c>
      <c r="P342" s="52">
        <v>81218.0</v>
      </c>
      <c r="Q342" s="51">
        <v>870.0</v>
      </c>
      <c r="R342" s="53">
        <v>429731.64</v>
      </c>
      <c r="S342" s="24" t="s">
        <v>600</v>
      </c>
      <c r="T342" s="11">
        <v>0.0</v>
      </c>
      <c r="U342" s="52">
        <v>72222.0</v>
      </c>
      <c r="V342" s="11">
        <v>9.0</v>
      </c>
      <c r="W342" s="11">
        <v>7.0</v>
      </c>
      <c r="X342" s="48">
        <v>5.4804</v>
      </c>
      <c r="Y342" s="11">
        <f t="shared" si="2"/>
        <v>0.054804</v>
      </c>
    </row>
    <row r="343">
      <c r="A343" s="17">
        <v>0.0</v>
      </c>
      <c r="B343" s="24">
        <v>88.0</v>
      </c>
      <c r="C343" s="24">
        <v>6.0</v>
      </c>
      <c r="D343" s="24">
        <v>1.0</v>
      </c>
      <c r="E343" s="24">
        <v>61.0</v>
      </c>
      <c r="F343" s="48">
        <v>8.8641</v>
      </c>
      <c r="G343" s="49">
        <f t="shared" si="1"/>
        <v>0.088641</v>
      </c>
      <c r="H343" s="11">
        <v>3.0</v>
      </c>
      <c r="I343" s="11">
        <v>7.0</v>
      </c>
      <c r="J343" s="50">
        <v>22613.0</v>
      </c>
      <c r="K343" s="11">
        <v>2.0</v>
      </c>
      <c r="L343" s="11">
        <v>1.0</v>
      </c>
      <c r="M343" s="51">
        <v>670.0</v>
      </c>
      <c r="N343" s="17">
        <v>99.0</v>
      </c>
      <c r="O343" s="24" t="s">
        <v>31</v>
      </c>
      <c r="P343" s="52">
        <v>60315.0</v>
      </c>
      <c r="Q343" s="51">
        <v>111.0</v>
      </c>
      <c r="R343" s="53">
        <v>-729078.9</v>
      </c>
      <c r="S343" s="24" t="s">
        <v>605</v>
      </c>
      <c r="T343" s="11">
        <v>9.0</v>
      </c>
      <c r="U343" s="52">
        <v>10914.0</v>
      </c>
      <c r="V343" s="11">
        <v>5.0</v>
      </c>
      <c r="W343" s="11">
        <v>8.0</v>
      </c>
      <c r="X343" s="48">
        <v>3.1788</v>
      </c>
      <c r="Y343" s="11">
        <f t="shared" si="2"/>
        <v>0.031788</v>
      </c>
    </row>
    <row r="344">
      <c r="A344" s="17">
        <v>42.0</v>
      </c>
      <c r="B344" s="24">
        <v>27.0</v>
      </c>
      <c r="C344" s="24">
        <v>1.0</v>
      </c>
      <c r="D344" s="24">
        <v>8.0</v>
      </c>
      <c r="E344" s="24">
        <v>63.0</v>
      </c>
      <c r="F344" s="48">
        <v>7.494</v>
      </c>
      <c r="G344" s="49">
        <f t="shared" si="1"/>
        <v>0.07494</v>
      </c>
      <c r="H344" s="11">
        <v>5.0</v>
      </c>
      <c r="I344" s="11">
        <v>9.0</v>
      </c>
      <c r="J344" s="50">
        <v>20619.0</v>
      </c>
      <c r="K344" s="11">
        <v>2.0</v>
      </c>
      <c r="L344" s="11">
        <v>8.0</v>
      </c>
      <c r="M344" s="51">
        <v>955.0</v>
      </c>
      <c r="N344" s="17">
        <v>44.0</v>
      </c>
      <c r="O344" s="24" t="s">
        <v>601</v>
      </c>
      <c r="P344" s="52">
        <v>12321.0</v>
      </c>
      <c r="Q344" s="51">
        <v>760.0</v>
      </c>
      <c r="R344" s="53">
        <v>60152.11</v>
      </c>
      <c r="S344" s="24" t="s">
        <v>604</v>
      </c>
      <c r="T344" s="11">
        <v>0.0</v>
      </c>
      <c r="U344" s="52">
        <v>31721.0</v>
      </c>
      <c r="V344" s="11">
        <v>9.0</v>
      </c>
      <c r="W344" s="11">
        <v>5.0</v>
      </c>
      <c r="X344" s="48">
        <v>3.761</v>
      </c>
      <c r="Y344" s="11">
        <f t="shared" si="2"/>
        <v>0.03761</v>
      </c>
    </row>
    <row r="345">
      <c r="A345" s="17">
        <v>7.0</v>
      </c>
      <c r="B345" s="24">
        <v>68.0</v>
      </c>
      <c r="C345" s="24">
        <v>1.0</v>
      </c>
      <c r="D345" s="24">
        <v>8.0</v>
      </c>
      <c r="E345" s="24">
        <v>65.0</v>
      </c>
      <c r="F345" s="48">
        <v>2.836</v>
      </c>
      <c r="G345" s="49">
        <f t="shared" si="1"/>
        <v>0.02836</v>
      </c>
      <c r="H345" s="11">
        <v>6.0</v>
      </c>
      <c r="I345" s="11">
        <v>5.0</v>
      </c>
      <c r="J345" s="50">
        <v>80220.0</v>
      </c>
      <c r="K345" s="11">
        <v>8.0</v>
      </c>
      <c r="L345" s="11">
        <v>8.0</v>
      </c>
      <c r="M345" s="51">
        <v>27.0</v>
      </c>
      <c r="N345" s="17">
        <v>80.0</v>
      </c>
      <c r="O345" s="24" t="s">
        <v>600</v>
      </c>
      <c r="P345" s="52">
        <v>121521.0</v>
      </c>
      <c r="Q345" s="51">
        <v>546.0</v>
      </c>
      <c r="R345" s="53">
        <v>708265.12</v>
      </c>
      <c r="S345" s="24" t="s">
        <v>605</v>
      </c>
      <c r="T345" s="11">
        <v>2.0</v>
      </c>
      <c r="U345" s="52">
        <v>102413.0</v>
      </c>
      <c r="V345" s="11">
        <v>7.0</v>
      </c>
      <c r="W345" s="11">
        <v>5.0</v>
      </c>
      <c r="X345" s="48">
        <v>4.1421</v>
      </c>
      <c r="Y345" s="11">
        <f t="shared" si="2"/>
        <v>0.041421</v>
      </c>
    </row>
    <row r="346">
      <c r="A346" s="17">
        <v>59.0</v>
      </c>
      <c r="B346" s="24">
        <v>68.0</v>
      </c>
      <c r="C346" s="24">
        <v>2.0</v>
      </c>
      <c r="D346" s="24">
        <v>2.0</v>
      </c>
      <c r="E346" s="24">
        <v>66.0</v>
      </c>
      <c r="F346" s="48">
        <v>7.1388</v>
      </c>
      <c r="G346" s="49">
        <f t="shared" si="1"/>
        <v>0.071388</v>
      </c>
      <c r="H346" s="11">
        <v>8.0</v>
      </c>
      <c r="I346" s="11">
        <v>6.0</v>
      </c>
      <c r="J346" s="50">
        <v>101623.0</v>
      </c>
      <c r="K346" s="11">
        <v>9.0</v>
      </c>
      <c r="L346" s="11">
        <v>4.0</v>
      </c>
      <c r="M346" s="51">
        <v>155.0</v>
      </c>
      <c r="N346" s="17">
        <v>79.0</v>
      </c>
      <c r="O346" s="24" t="s">
        <v>601</v>
      </c>
      <c r="P346" s="52">
        <v>92916.0</v>
      </c>
      <c r="Q346" s="51">
        <v>723.0</v>
      </c>
      <c r="R346" s="53">
        <v>182.11</v>
      </c>
      <c r="S346" s="24" t="s">
        <v>605</v>
      </c>
      <c r="T346" s="11">
        <v>2.0</v>
      </c>
      <c r="U346" s="52">
        <v>83116.0</v>
      </c>
      <c r="V346" s="11">
        <v>0.0</v>
      </c>
      <c r="W346" s="11">
        <v>9.0</v>
      </c>
      <c r="X346" s="48">
        <v>5.4851</v>
      </c>
      <c r="Y346" s="11">
        <f t="shared" si="2"/>
        <v>0.054851</v>
      </c>
    </row>
    <row r="347">
      <c r="A347" s="17">
        <v>55.0</v>
      </c>
      <c r="B347" s="24">
        <v>27.0</v>
      </c>
      <c r="C347" s="24">
        <v>2.0</v>
      </c>
      <c r="D347" s="24">
        <v>8.0</v>
      </c>
      <c r="E347" s="24">
        <v>65.0</v>
      </c>
      <c r="F347" s="48">
        <v>3.6988</v>
      </c>
      <c r="G347" s="49">
        <f t="shared" si="1"/>
        <v>0.036988</v>
      </c>
      <c r="H347" s="11">
        <v>6.0</v>
      </c>
      <c r="I347" s="11">
        <v>5.0</v>
      </c>
      <c r="J347" s="50">
        <v>100718.0</v>
      </c>
      <c r="K347" s="11">
        <v>6.0</v>
      </c>
      <c r="L347" s="11">
        <v>0.0</v>
      </c>
      <c r="M347" s="51">
        <v>877.0</v>
      </c>
      <c r="N347" s="17">
        <v>19.0</v>
      </c>
      <c r="O347" s="24" t="s">
        <v>31</v>
      </c>
      <c r="P347" s="52">
        <v>122420.0</v>
      </c>
      <c r="Q347" s="51">
        <v>288.0</v>
      </c>
      <c r="R347" s="53">
        <v>-882.3</v>
      </c>
      <c r="S347" s="24" t="s">
        <v>604</v>
      </c>
      <c r="T347" s="11">
        <v>3.0</v>
      </c>
      <c r="U347" s="52">
        <v>12716.0</v>
      </c>
      <c r="V347" s="11">
        <v>9.0</v>
      </c>
      <c r="W347" s="11">
        <v>0.0</v>
      </c>
      <c r="X347" s="48">
        <v>9.1638</v>
      </c>
      <c r="Y347" s="11">
        <f t="shared" si="2"/>
        <v>0.091638</v>
      </c>
    </row>
    <row r="348">
      <c r="A348" s="17">
        <v>82.0</v>
      </c>
      <c r="B348" s="24">
        <v>68.0</v>
      </c>
      <c r="C348" s="24">
        <v>2.0</v>
      </c>
      <c r="D348" s="24">
        <v>7.0</v>
      </c>
      <c r="E348" s="24">
        <v>63.0</v>
      </c>
      <c r="F348" s="48">
        <v>1.2862</v>
      </c>
      <c r="G348" s="49">
        <f t="shared" si="1"/>
        <v>0.012862</v>
      </c>
      <c r="H348" s="11">
        <v>6.0</v>
      </c>
      <c r="I348" s="11">
        <v>8.0</v>
      </c>
      <c r="J348" s="50">
        <v>51221.0</v>
      </c>
      <c r="K348" s="11">
        <v>4.0</v>
      </c>
      <c r="L348" s="11">
        <v>0.0</v>
      </c>
      <c r="M348" s="51">
        <v>597.0</v>
      </c>
      <c r="N348" s="17">
        <v>70.0</v>
      </c>
      <c r="O348" s="24" t="s">
        <v>600</v>
      </c>
      <c r="P348" s="52">
        <v>90614.0</v>
      </c>
      <c r="Q348" s="51">
        <v>240.0</v>
      </c>
      <c r="R348" s="53">
        <v>-113625.28</v>
      </c>
      <c r="S348" s="24" t="s">
        <v>604</v>
      </c>
      <c r="T348" s="11">
        <v>8.0</v>
      </c>
      <c r="U348" s="52">
        <v>12017.0</v>
      </c>
      <c r="V348" s="11">
        <v>0.0</v>
      </c>
      <c r="W348" s="11">
        <v>8.0</v>
      </c>
      <c r="X348" s="48">
        <v>2.2148</v>
      </c>
      <c r="Y348" s="11">
        <f t="shared" si="2"/>
        <v>0.022148</v>
      </c>
    </row>
    <row r="349">
      <c r="A349" s="17">
        <v>35.0</v>
      </c>
      <c r="B349" s="24">
        <v>27.0</v>
      </c>
      <c r="C349" s="24">
        <v>3.0</v>
      </c>
      <c r="D349" s="24">
        <v>3.0</v>
      </c>
      <c r="E349" s="24">
        <v>61.0</v>
      </c>
      <c r="F349" s="48">
        <v>7.6963</v>
      </c>
      <c r="G349" s="49">
        <f t="shared" si="1"/>
        <v>0.076963</v>
      </c>
      <c r="H349" s="11">
        <v>6.0</v>
      </c>
      <c r="I349" s="11">
        <v>2.0</v>
      </c>
      <c r="J349" s="50">
        <v>72114.0</v>
      </c>
      <c r="K349" s="11">
        <v>5.0</v>
      </c>
      <c r="L349" s="11">
        <v>5.0</v>
      </c>
      <c r="M349" s="51">
        <v>740.0</v>
      </c>
      <c r="N349" s="17">
        <v>6.0</v>
      </c>
      <c r="O349" s="24" t="s">
        <v>601</v>
      </c>
      <c r="P349" s="52">
        <v>80717.0</v>
      </c>
      <c r="Q349" s="51">
        <v>585.0</v>
      </c>
      <c r="R349" s="53">
        <v>515.4</v>
      </c>
      <c r="S349" s="24" t="s">
        <v>604</v>
      </c>
      <c r="T349" s="11">
        <v>5.0</v>
      </c>
      <c r="U349" s="52">
        <v>62115.0</v>
      </c>
      <c r="V349" s="11">
        <v>8.0</v>
      </c>
      <c r="W349" s="11">
        <v>4.0</v>
      </c>
      <c r="X349" s="48">
        <v>9.9988</v>
      </c>
      <c r="Y349" s="11">
        <f t="shared" si="2"/>
        <v>0.099988</v>
      </c>
    </row>
    <row r="350">
      <c r="A350" s="17">
        <v>45.0</v>
      </c>
      <c r="B350" s="24">
        <v>88.0</v>
      </c>
      <c r="C350" s="24">
        <v>8.0</v>
      </c>
      <c r="D350" s="24">
        <v>3.0</v>
      </c>
      <c r="E350" s="24">
        <v>61.0</v>
      </c>
      <c r="F350" s="48">
        <v>1.902</v>
      </c>
      <c r="G350" s="49">
        <f t="shared" si="1"/>
        <v>0.01902</v>
      </c>
      <c r="H350" s="11">
        <v>1.0</v>
      </c>
      <c r="I350" s="11">
        <v>9.0</v>
      </c>
      <c r="J350" s="50">
        <v>11118.0</v>
      </c>
      <c r="K350" s="11">
        <v>3.0</v>
      </c>
      <c r="L350" s="11">
        <v>1.0</v>
      </c>
      <c r="M350" s="51">
        <v>954.0</v>
      </c>
      <c r="N350" s="17">
        <v>70.0</v>
      </c>
      <c r="O350" s="24" t="s">
        <v>600</v>
      </c>
      <c r="P350" s="52">
        <v>102320.0</v>
      </c>
      <c r="Q350" s="51">
        <v>553.0</v>
      </c>
      <c r="R350" s="53">
        <v>2452.81</v>
      </c>
      <c r="S350" s="24" t="s">
        <v>602</v>
      </c>
      <c r="T350" s="11">
        <v>6.0</v>
      </c>
      <c r="U350" s="52">
        <v>30120.0</v>
      </c>
      <c r="V350" s="11">
        <v>2.0</v>
      </c>
      <c r="W350" s="11">
        <v>7.0</v>
      </c>
      <c r="X350" s="48">
        <v>7.4377</v>
      </c>
      <c r="Y350" s="11">
        <f t="shared" si="2"/>
        <v>0.074377</v>
      </c>
    </row>
    <row r="351">
      <c r="A351" s="17">
        <v>83.0</v>
      </c>
      <c r="B351" s="24">
        <v>47.0</v>
      </c>
      <c r="C351" s="24">
        <v>8.0</v>
      </c>
      <c r="D351" s="24">
        <v>7.0</v>
      </c>
      <c r="E351" s="24">
        <v>62.0</v>
      </c>
      <c r="F351" s="48">
        <v>8.586</v>
      </c>
      <c r="G351" s="49">
        <f t="shared" si="1"/>
        <v>0.08586</v>
      </c>
      <c r="H351" s="11">
        <v>3.0</v>
      </c>
      <c r="I351" s="11">
        <v>2.0</v>
      </c>
      <c r="J351" s="50">
        <v>111419.0</v>
      </c>
      <c r="K351" s="11">
        <v>3.0</v>
      </c>
      <c r="L351" s="11">
        <v>8.0</v>
      </c>
      <c r="M351" s="51">
        <v>152.0</v>
      </c>
      <c r="N351" s="17">
        <v>97.0</v>
      </c>
      <c r="O351" s="24" t="s">
        <v>606</v>
      </c>
      <c r="P351" s="52">
        <v>61623.0</v>
      </c>
      <c r="Q351" s="51">
        <v>856.0</v>
      </c>
      <c r="R351" s="53">
        <v>70957.8</v>
      </c>
      <c r="S351" s="24" t="s">
        <v>602</v>
      </c>
      <c r="T351" s="11">
        <v>3.0</v>
      </c>
      <c r="U351" s="52">
        <v>112720.0</v>
      </c>
      <c r="V351" s="11">
        <v>4.0</v>
      </c>
      <c r="W351" s="11">
        <v>2.0</v>
      </c>
      <c r="X351" s="48">
        <v>1.533</v>
      </c>
      <c r="Y351" s="11">
        <f t="shared" si="2"/>
        <v>0.01533</v>
      </c>
    </row>
    <row r="352">
      <c r="A352" s="17">
        <v>71.0</v>
      </c>
      <c r="B352" s="24">
        <v>68.0</v>
      </c>
      <c r="C352" s="24">
        <v>3.0</v>
      </c>
      <c r="D352" s="24">
        <v>9.0</v>
      </c>
      <c r="E352" s="24">
        <v>63.0</v>
      </c>
      <c r="F352" s="48">
        <v>5.1262</v>
      </c>
      <c r="G352" s="49">
        <f t="shared" si="1"/>
        <v>0.051262</v>
      </c>
      <c r="H352" s="11">
        <v>4.0</v>
      </c>
      <c r="I352" s="11">
        <v>4.0</v>
      </c>
      <c r="J352" s="50">
        <v>30323.0</v>
      </c>
      <c r="K352" s="11">
        <v>5.0</v>
      </c>
      <c r="L352" s="11">
        <v>8.0</v>
      </c>
      <c r="M352" s="51">
        <v>408.0</v>
      </c>
      <c r="N352" s="17">
        <v>59.0</v>
      </c>
      <c r="O352" s="24" t="s">
        <v>603</v>
      </c>
      <c r="P352" s="52">
        <v>102118.0</v>
      </c>
      <c r="Q352" s="51">
        <v>419.0</v>
      </c>
      <c r="R352" s="53">
        <v>79581.65</v>
      </c>
      <c r="S352" s="24" t="s">
        <v>605</v>
      </c>
      <c r="T352" s="11">
        <v>7.0</v>
      </c>
      <c r="U352" s="52">
        <v>70419.0</v>
      </c>
      <c r="V352" s="11">
        <v>0.0</v>
      </c>
      <c r="W352" s="11">
        <v>8.0</v>
      </c>
      <c r="X352" s="48">
        <v>6.9116</v>
      </c>
      <c r="Y352" s="11">
        <f t="shared" si="2"/>
        <v>0.069116</v>
      </c>
    </row>
    <row r="353">
      <c r="A353" s="17">
        <v>69.0</v>
      </c>
      <c r="B353" s="24">
        <v>47.0</v>
      </c>
      <c r="C353" s="24">
        <v>9.0</v>
      </c>
      <c r="D353" s="24">
        <v>2.0</v>
      </c>
      <c r="E353" s="24">
        <v>66.0</v>
      </c>
      <c r="F353" s="48">
        <v>1.4239</v>
      </c>
      <c r="G353" s="49">
        <f t="shared" si="1"/>
        <v>0.014239</v>
      </c>
      <c r="H353" s="11">
        <v>9.0</v>
      </c>
      <c r="I353" s="11">
        <v>9.0</v>
      </c>
      <c r="J353" s="50">
        <v>12816.0</v>
      </c>
      <c r="K353" s="11">
        <v>6.0</v>
      </c>
      <c r="L353" s="11">
        <v>6.0</v>
      </c>
      <c r="M353" s="51">
        <v>557.0</v>
      </c>
      <c r="N353" s="17">
        <v>53.0</v>
      </c>
      <c r="O353" s="24" t="s">
        <v>603</v>
      </c>
      <c r="P353" s="52">
        <v>82418.0</v>
      </c>
      <c r="Q353" s="51">
        <v>151.0</v>
      </c>
      <c r="R353" s="53">
        <v>77232.4</v>
      </c>
      <c r="S353" s="24" t="s">
        <v>602</v>
      </c>
      <c r="T353" s="11">
        <v>3.0</v>
      </c>
      <c r="U353" s="52">
        <v>30917.0</v>
      </c>
      <c r="V353" s="11">
        <v>5.0</v>
      </c>
      <c r="W353" s="11">
        <v>6.0</v>
      </c>
      <c r="X353" s="48">
        <v>5.8769</v>
      </c>
      <c r="Y353" s="11">
        <f t="shared" si="2"/>
        <v>0.058769</v>
      </c>
    </row>
    <row r="354">
      <c r="A354" s="17">
        <v>69.0</v>
      </c>
      <c r="B354" s="24">
        <v>27.0</v>
      </c>
      <c r="C354" s="24">
        <v>4.0</v>
      </c>
      <c r="D354" s="24">
        <v>4.0</v>
      </c>
      <c r="E354" s="24">
        <v>63.0</v>
      </c>
      <c r="F354" s="48">
        <v>4.4734</v>
      </c>
      <c r="G354" s="49">
        <f t="shared" si="1"/>
        <v>0.044734</v>
      </c>
      <c r="H354" s="11">
        <v>9.0</v>
      </c>
      <c r="I354" s="11">
        <v>7.0</v>
      </c>
      <c r="J354" s="50">
        <v>32519.0</v>
      </c>
      <c r="K354" s="11">
        <v>9.0</v>
      </c>
      <c r="L354" s="11">
        <v>1.0</v>
      </c>
      <c r="M354" s="51">
        <v>461.0</v>
      </c>
      <c r="N354" s="17">
        <v>68.0</v>
      </c>
      <c r="O354" s="24" t="s">
        <v>600</v>
      </c>
      <c r="P354" s="52">
        <v>30620.0</v>
      </c>
      <c r="Q354" s="51">
        <v>114.0</v>
      </c>
      <c r="R354" s="53">
        <v>-74616.86</v>
      </c>
      <c r="S354" s="24" t="s">
        <v>600</v>
      </c>
      <c r="T354" s="11">
        <v>0.0</v>
      </c>
      <c r="U354" s="52">
        <v>10713.0</v>
      </c>
      <c r="V354" s="11">
        <v>1.0</v>
      </c>
      <c r="W354" s="11">
        <v>5.0</v>
      </c>
      <c r="X354" s="48">
        <v>2.1968</v>
      </c>
      <c r="Y354" s="11">
        <f t="shared" si="2"/>
        <v>0.021968</v>
      </c>
    </row>
    <row r="355">
      <c r="A355" s="17">
        <v>25.0</v>
      </c>
      <c r="B355" s="24">
        <v>27.0</v>
      </c>
      <c r="C355" s="24">
        <v>4.0</v>
      </c>
      <c r="D355" s="24">
        <v>7.0</v>
      </c>
      <c r="E355" s="24">
        <v>61.0</v>
      </c>
      <c r="F355" s="48">
        <v>3.1243</v>
      </c>
      <c r="G355" s="49">
        <f t="shared" si="1"/>
        <v>0.031243</v>
      </c>
      <c r="H355" s="11">
        <v>3.0</v>
      </c>
      <c r="I355" s="11">
        <v>7.0</v>
      </c>
      <c r="J355" s="50">
        <v>21916.0</v>
      </c>
      <c r="K355" s="11">
        <v>5.0</v>
      </c>
      <c r="L355" s="11">
        <v>7.0</v>
      </c>
      <c r="M355" s="51">
        <v>855.0</v>
      </c>
      <c r="N355" s="17">
        <v>79.0</v>
      </c>
      <c r="O355" s="24" t="s">
        <v>603</v>
      </c>
      <c r="P355" s="52">
        <v>102821.0</v>
      </c>
      <c r="Q355" s="51">
        <v>981.0</v>
      </c>
      <c r="R355" s="53">
        <v>434.41</v>
      </c>
      <c r="S355" s="24" t="s">
        <v>602</v>
      </c>
      <c r="T355" s="11">
        <v>5.0</v>
      </c>
      <c r="U355" s="52">
        <v>72513.0</v>
      </c>
      <c r="V355" s="11">
        <v>6.0</v>
      </c>
      <c r="W355" s="11">
        <v>9.0</v>
      </c>
      <c r="X355" s="48">
        <v>4.6574</v>
      </c>
      <c r="Y355" s="11">
        <f t="shared" si="2"/>
        <v>0.046574</v>
      </c>
    </row>
    <row r="356">
      <c r="A356" s="17">
        <v>90.0</v>
      </c>
      <c r="B356" s="24">
        <v>88.0</v>
      </c>
      <c r="C356" s="24">
        <v>9.0</v>
      </c>
      <c r="D356" s="24">
        <v>2.0</v>
      </c>
      <c r="E356" s="24">
        <v>67.0</v>
      </c>
      <c r="F356" s="48">
        <v>2.4151</v>
      </c>
      <c r="G356" s="49">
        <f t="shared" si="1"/>
        <v>0.024151</v>
      </c>
      <c r="H356" s="11">
        <v>9.0</v>
      </c>
      <c r="I356" s="11">
        <v>8.0</v>
      </c>
      <c r="J356" s="50">
        <v>62113.0</v>
      </c>
      <c r="K356" s="11">
        <v>4.0</v>
      </c>
      <c r="L356" s="11">
        <v>8.0</v>
      </c>
      <c r="M356" s="51">
        <v>300.0</v>
      </c>
      <c r="N356" s="17">
        <v>63.0</v>
      </c>
      <c r="O356" s="24" t="s">
        <v>48</v>
      </c>
      <c r="P356" s="52">
        <v>92721.0</v>
      </c>
      <c r="Q356" s="51">
        <v>98.0</v>
      </c>
      <c r="R356" s="53">
        <v>-1847.3</v>
      </c>
      <c r="S356" s="24" t="s">
        <v>602</v>
      </c>
      <c r="T356" s="11">
        <v>2.0</v>
      </c>
      <c r="U356" s="52">
        <v>121123.0</v>
      </c>
      <c r="V356" s="11">
        <v>5.0</v>
      </c>
      <c r="W356" s="11">
        <v>7.0</v>
      </c>
      <c r="X356" s="48">
        <v>4.5051</v>
      </c>
      <c r="Y356" s="11">
        <f t="shared" si="2"/>
        <v>0.045051</v>
      </c>
    </row>
    <row r="357">
      <c r="A357" s="17">
        <v>66.0</v>
      </c>
      <c r="B357" s="24">
        <v>68.0</v>
      </c>
      <c r="C357" s="24">
        <v>4.0</v>
      </c>
      <c r="D357" s="24">
        <v>6.0</v>
      </c>
      <c r="E357" s="24">
        <v>68.0</v>
      </c>
      <c r="F357" s="48">
        <v>3.818</v>
      </c>
      <c r="G357" s="49">
        <f t="shared" si="1"/>
        <v>0.03818</v>
      </c>
      <c r="H357" s="11">
        <v>3.0</v>
      </c>
      <c r="I357" s="11">
        <v>8.0</v>
      </c>
      <c r="J357" s="50">
        <v>112617.0</v>
      </c>
      <c r="K357" s="11">
        <v>2.0</v>
      </c>
      <c r="L357" s="11">
        <v>3.0</v>
      </c>
      <c r="M357" s="51">
        <v>413.0</v>
      </c>
      <c r="N357" s="17">
        <v>28.0</v>
      </c>
      <c r="O357" s="24" t="s">
        <v>39</v>
      </c>
      <c r="P357" s="52">
        <v>62422.0</v>
      </c>
      <c r="Q357" s="51">
        <v>230.0</v>
      </c>
      <c r="R357" s="53">
        <v>-3636.19</v>
      </c>
      <c r="S357" s="24" t="s">
        <v>600</v>
      </c>
      <c r="T357" s="11">
        <v>2.0</v>
      </c>
      <c r="U357" s="52">
        <v>81819.0</v>
      </c>
      <c r="V357" s="11">
        <v>7.0</v>
      </c>
      <c r="W357" s="11">
        <v>8.0</v>
      </c>
      <c r="X357" s="48">
        <v>4.8242</v>
      </c>
      <c r="Y357" s="11">
        <f t="shared" si="2"/>
        <v>0.048242</v>
      </c>
    </row>
    <row r="358">
      <c r="A358" s="17">
        <v>9.0</v>
      </c>
      <c r="B358" s="24">
        <v>88.0</v>
      </c>
      <c r="C358" s="24">
        <v>9.0</v>
      </c>
      <c r="D358" s="24">
        <v>6.0</v>
      </c>
      <c r="E358" s="24">
        <v>66.0</v>
      </c>
      <c r="F358" s="48">
        <v>7.6621</v>
      </c>
      <c r="G358" s="49">
        <f t="shared" si="1"/>
        <v>0.076621</v>
      </c>
      <c r="H358" s="11">
        <v>1.0</v>
      </c>
      <c r="I358" s="11">
        <v>7.0</v>
      </c>
      <c r="J358" s="50">
        <v>51019.0</v>
      </c>
      <c r="K358" s="11">
        <v>0.0</v>
      </c>
      <c r="L358" s="11">
        <v>8.0</v>
      </c>
      <c r="M358" s="51">
        <v>968.0</v>
      </c>
      <c r="N358" s="17">
        <v>91.0</v>
      </c>
      <c r="O358" s="24" t="s">
        <v>39</v>
      </c>
      <c r="P358" s="52">
        <v>32819.0</v>
      </c>
      <c r="Q358" s="51">
        <v>758.0</v>
      </c>
      <c r="R358" s="53">
        <v>2947.38</v>
      </c>
      <c r="S358" s="24" t="s">
        <v>600</v>
      </c>
      <c r="T358" s="11">
        <v>5.0</v>
      </c>
      <c r="U358" s="52">
        <v>91323.0</v>
      </c>
      <c r="V358" s="11">
        <v>3.0</v>
      </c>
      <c r="W358" s="11">
        <v>6.0</v>
      </c>
      <c r="X358" s="48">
        <v>9.1015</v>
      </c>
      <c r="Y358" s="11">
        <f t="shared" si="2"/>
        <v>0.091015</v>
      </c>
    </row>
    <row r="359">
      <c r="A359" s="17">
        <v>4.0</v>
      </c>
      <c r="B359" s="24">
        <v>27.0</v>
      </c>
      <c r="C359" s="24">
        <v>5.0</v>
      </c>
      <c r="D359" s="24">
        <v>3.0</v>
      </c>
      <c r="E359" s="24">
        <v>61.0</v>
      </c>
      <c r="F359" s="48">
        <v>9.2826</v>
      </c>
      <c r="G359" s="49">
        <f t="shared" si="1"/>
        <v>0.092826</v>
      </c>
      <c r="H359" s="11">
        <v>3.0</v>
      </c>
      <c r="I359" s="11">
        <v>7.0</v>
      </c>
      <c r="J359" s="50">
        <v>63016.0</v>
      </c>
      <c r="K359" s="11">
        <v>5.0</v>
      </c>
      <c r="L359" s="11">
        <v>4.0</v>
      </c>
      <c r="M359" s="51">
        <v>519.0</v>
      </c>
      <c r="N359" s="17">
        <v>88.0</v>
      </c>
      <c r="O359" s="24" t="s">
        <v>48</v>
      </c>
      <c r="P359" s="52">
        <v>80619.0</v>
      </c>
      <c r="Q359" s="51">
        <v>231.0</v>
      </c>
      <c r="R359" s="53">
        <v>-499812.76</v>
      </c>
      <c r="S359" s="24" t="s">
        <v>604</v>
      </c>
      <c r="T359" s="11">
        <v>0.0</v>
      </c>
      <c r="U359" s="52">
        <v>62623.0</v>
      </c>
      <c r="V359" s="11">
        <v>4.0</v>
      </c>
      <c r="W359" s="11">
        <v>9.0</v>
      </c>
      <c r="X359" s="48">
        <v>5.6218</v>
      </c>
      <c r="Y359" s="11">
        <f t="shared" si="2"/>
        <v>0.056218</v>
      </c>
    </row>
    <row r="360">
      <c r="A360" s="17">
        <v>74.0</v>
      </c>
      <c r="B360" s="24">
        <v>27.0</v>
      </c>
      <c r="C360" s="24">
        <v>5.0</v>
      </c>
      <c r="D360" s="24">
        <v>4.0</v>
      </c>
      <c r="E360" s="24">
        <v>65.0</v>
      </c>
      <c r="F360" s="48">
        <v>6.6488</v>
      </c>
      <c r="G360" s="49">
        <f t="shared" si="1"/>
        <v>0.066488</v>
      </c>
      <c r="H360" s="11">
        <v>3.0</v>
      </c>
      <c r="I360" s="11">
        <v>3.0</v>
      </c>
      <c r="J360" s="50">
        <v>112618.0</v>
      </c>
      <c r="K360" s="11">
        <v>4.0</v>
      </c>
      <c r="L360" s="11">
        <v>7.0</v>
      </c>
      <c r="M360" s="51">
        <v>292.0</v>
      </c>
      <c r="N360" s="17">
        <v>43.0</v>
      </c>
      <c r="O360" s="24" t="s">
        <v>600</v>
      </c>
      <c r="P360" s="52">
        <v>61918.0</v>
      </c>
      <c r="Q360" s="51">
        <v>615.0</v>
      </c>
      <c r="R360" s="53">
        <v>-2988.76</v>
      </c>
      <c r="S360" s="24" t="s">
        <v>604</v>
      </c>
      <c r="T360" s="11">
        <v>5.0</v>
      </c>
      <c r="U360" s="52">
        <v>111114.0</v>
      </c>
      <c r="V360" s="11">
        <v>4.0</v>
      </c>
      <c r="W360" s="11">
        <v>3.0</v>
      </c>
      <c r="X360" s="48">
        <v>6.234</v>
      </c>
      <c r="Y360" s="11">
        <f t="shared" si="2"/>
        <v>0.06234</v>
      </c>
    </row>
    <row r="361">
      <c r="A361" s="17">
        <v>58.0</v>
      </c>
      <c r="B361" s="24">
        <v>88.0</v>
      </c>
      <c r="C361" s="24">
        <v>9.0</v>
      </c>
      <c r="D361" s="24">
        <v>9.0</v>
      </c>
      <c r="E361" s="24">
        <v>68.0</v>
      </c>
      <c r="F361" s="48">
        <v>2.5289</v>
      </c>
      <c r="G361" s="49">
        <f t="shared" si="1"/>
        <v>0.025289</v>
      </c>
      <c r="H361" s="11">
        <v>7.0</v>
      </c>
      <c r="I361" s="11">
        <v>1.0</v>
      </c>
      <c r="J361" s="50">
        <v>52915.0</v>
      </c>
      <c r="K361" s="11">
        <v>3.0</v>
      </c>
      <c r="L361" s="11">
        <v>0.0</v>
      </c>
      <c r="M361" s="51">
        <v>148.0</v>
      </c>
      <c r="N361" s="17">
        <v>93.0</v>
      </c>
      <c r="O361" s="24" t="s">
        <v>39</v>
      </c>
      <c r="P361" s="52">
        <v>51021.0</v>
      </c>
      <c r="Q361" s="51">
        <v>465.0</v>
      </c>
      <c r="R361" s="53">
        <v>847.2</v>
      </c>
      <c r="S361" s="24" t="s">
        <v>605</v>
      </c>
      <c r="T361" s="11">
        <v>7.0</v>
      </c>
      <c r="U361" s="52">
        <v>112319.0</v>
      </c>
      <c r="V361" s="11">
        <v>5.0</v>
      </c>
      <c r="W361" s="11">
        <v>8.0</v>
      </c>
      <c r="X361" s="48">
        <v>2.2645</v>
      </c>
      <c r="Y361" s="11">
        <f t="shared" si="2"/>
        <v>0.022645</v>
      </c>
    </row>
    <row r="362">
      <c r="A362" s="17">
        <v>86.0</v>
      </c>
      <c r="B362" s="24">
        <v>27.0</v>
      </c>
      <c r="C362" s="24">
        <v>5.0</v>
      </c>
      <c r="D362" s="24">
        <v>8.0</v>
      </c>
      <c r="E362" s="24">
        <v>65.0</v>
      </c>
      <c r="F362" s="48">
        <v>9.2333</v>
      </c>
      <c r="G362" s="49">
        <f t="shared" si="1"/>
        <v>0.092333</v>
      </c>
      <c r="H362" s="11">
        <v>0.0</v>
      </c>
      <c r="I362" s="11">
        <v>0.0</v>
      </c>
      <c r="J362" s="50">
        <v>92419.0</v>
      </c>
      <c r="K362" s="11">
        <v>7.0</v>
      </c>
      <c r="L362" s="11">
        <v>7.0</v>
      </c>
      <c r="M362" s="51">
        <v>377.0</v>
      </c>
      <c r="N362" s="17">
        <v>95.0</v>
      </c>
      <c r="O362" s="24" t="s">
        <v>601</v>
      </c>
      <c r="P362" s="52">
        <v>32717.0</v>
      </c>
      <c r="Q362" s="51">
        <v>287.0</v>
      </c>
      <c r="R362" s="53">
        <v>645.91</v>
      </c>
      <c r="S362" s="24" t="s">
        <v>600</v>
      </c>
      <c r="T362" s="11">
        <v>8.0</v>
      </c>
      <c r="U362" s="52">
        <v>82723.0</v>
      </c>
      <c r="V362" s="11">
        <v>0.0</v>
      </c>
      <c r="W362" s="11">
        <v>2.0</v>
      </c>
      <c r="X362" s="48">
        <v>2.3293</v>
      </c>
      <c r="Y362" s="11">
        <f t="shared" si="2"/>
        <v>0.023293</v>
      </c>
    </row>
    <row r="363">
      <c r="A363" s="17">
        <v>33.0</v>
      </c>
      <c r="B363" s="24">
        <v>27.0</v>
      </c>
      <c r="C363" s="24">
        <v>6.0</v>
      </c>
      <c r="D363" s="24">
        <v>1.0</v>
      </c>
      <c r="E363" s="24">
        <v>64.0</v>
      </c>
      <c r="F363" s="48">
        <v>7.7077</v>
      </c>
      <c r="G363" s="49">
        <f t="shared" si="1"/>
        <v>0.077077</v>
      </c>
      <c r="H363" s="11">
        <v>8.0</v>
      </c>
      <c r="I363" s="11">
        <v>0.0</v>
      </c>
      <c r="J363" s="50">
        <v>82717.0</v>
      </c>
      <c r="K363" s="11">
        <v>0.0</v>
      </c>
      <c r="L363" s="11">
        <v>3.0</v>
      </c>
      <c r="M363" s="51">
        <v>318.0</v>
      </c>
      <c r="N363" s="17">
        <v>97.0</v>
      </c>
      <c r="O363" s="24" t="s">
        <v>601</v>
      </c>
      <c r="P363" s="52">
        <v>13115.0</v>
      </c>
      <c r="Q363" s="51">
        <v>631.0</v>
      </c>
      <c r="R363" s="53">
        <v>-9047.79</v>
      </c>
      <c r="S363" s="24" t="s">
        <v>600</v>
      </c>
      <c r="T363" s="11">
        <v>8.0</v>
      </c>
      <c r="U363" s="52">
        <v>40522.0</v>
      </c>
      <c r="V363" s="11">
        <v>8.0</v>
      </c>
      <c r="W363" s="11">
        <v>5.0</v>
      </c>
      <c r="X363" s="48">
        <v>9.581</v>
      </c>
      <c r="Y363" s="11">
        <f t="shared" si="2"/>
        <v>0.09581</v>
      </c>
    </row>
    <row r="364">
      <c r="A364" s="17">
        <v>96.0</v>
      </c>
      <c r="B364" s="24">
        <v>68.0</v>
      </c>
      <c r="C364" s="24">
        <v>5.0</v>
      </c>
      <c r="D364" s="24">
        <v>9.0</v>
      </c>
      <c r="E364" s="24">
        <v>64.0</v>
      </c>
      <c r="F364" s="48">
        <v>1.6487</v>
      </c>
      <c r="G364" s="49">
        <f t="shared" si="1"/>
        <v>0.016487</v>
      </c>
      <c r="H364" s="11">
        <v>4.0</v>
      </c>
      <c r="I364" s="11">
        <v>9.0</v>
      </c>
      <c r="J364" s="50">
        <v>102223.0</v>
      </c>
      <c r="K364" s="11">
        <v>9.0</v>
      </c>
      <c r="L364" s="11">
        <v>1.0</v>
      </c>
      <c r="M364" s="51">
        <v>174.0</v>
      </c>
      <c r="N364" s="17">
        <v>22.0</v>
      </c>
      <c r="O364" s="24" t="s">
        <v>31</v>
      </c>
      <c r="P364" s="52">
        <v>42213.0</v>
      </c>
      <c r="Q364" s="51">
        <v>572.0</v>
      </c>
      <c r="R364" s="53">
        <v>76305.49</v>
      </c>
      <c r="S364" s="24" t="s">
        <v>605</v>
      </c>
      <c r="T364" s="11">
        <v>1.0</v>
      </c>
      <c r="U364" s="52">
        <v>71319.0</v>
      </c>
      <c r="V364" s="11">
        <v>4.0</v>
      </c>
      <c r="W364" s="11">
        <v>5.0</v>
      </c>
      <c r="X364" s="48">
        <v>7.9677</v>
      </c>
      <c r="Y364" s="11">
        <f t="shared" si="2"/>
        <v>0.079677</v>
      </c>
    </row>
    <row r="365">
      <c r="A365" s="17">
        <v>89.0</v>
      </c>
      <c r="B365" s="24">
        <v>48.0</v>
      </c>
      <c r="C365" s="24">
        <v>1.0</v>
      </c>
      <c r="D365" s="24">
        <v>2.0</v>
      </c>
      <c r="E365" s="24">
        <v>61.0</v>
      </c>
      <c r="F365" s="48">
        <v>4.665</v>
      </c>
      <c r="G365" s="49">
        <f t="shared" si="1"/>
        <v>0.04665</v>
      </c>
      <c r="H365" s="11">
        <v>2.0</v>
      </c>
      <c r="I365" s="11">
        <v>7.0</v>
      </c>
      <c r="J365" s="50">
        <v>103016.0</v>
      </c>
      <c r="K365" s="11">
        <v>8.0</v>
      </c>
      <c r="L365" s="11">
        <v>2.0</v>
      </c>
      <c r="M365" s="51">
        <v>137.0</v>
      </c>
      <c r="N365" s="17">
        <v>81.0</v>
      </c>
      <c r="O365" s="24" t="s">
        <v>600</v>
      </c>
      <c r="P365" s="52">
        <v>72415.0</v>
      </c>
      <c r="Q365" s="51">
        <v>369.0</v>
      </c>
      <c r="R365" s="53">
        <v>9227.84</v>
      </c>
      <c r="S365" s="24" t="s">
        <v>604</v>
      </c>
      <c r="T365" s="11">
        <v>3.0</v>
      </c>
      <c r="U365" s="52">
        <v>111320.0</v>
      </c>
      <c r="V365" s="11">
        <v>6.0</v>
      </c>
      <c r="W365" s="11">
        <v>2.0</v>
      </c>
      <c r="X365" s="48">
        <v>2.3244</v>
      </c>
      <c r="Y365" s="11">
        <f t="shared" si="2"/>
        <v>0.023244</v>
      </c>
    </row>
    <row r="366">
      <c r="A366" s="17">
        <v>81.0</v>
      </c>
      <c r="B366" s="24">
        <v>27.0</v>
      </c>
      <c r="C366" s="24">
        <v>6.0</v>
      </c>
      <c r="D366" s="24">
        <v>4.0</v>
      </c>
      <c r="E366" s="24">
        <v>63.0</v>
      </c>
      <c r="F366" s="48">
        <v>4.9355</v>
      </c>
      <c r="G366" s="49">
        <f t="shared" si="1"/>
        <v>0.049355</v>
      </c>
      <c r="H366" s="11">
        <v>6.0</v>
      </c>
      <c r="I366" s="11">
        <v>9.0</v>
      </c>
      <c r="J366" s="50">
        <v>110718.0</v>
      </c>
      <c r="K366" s="11">
        <v>9.0</v>
      </c>
      <c r="L366" s="11">
        <v>7.0</v>
      </c>
      <c r="M366" s="51">
        <v>990.0</v>
      </c>
      <c r="N366" s="17">
        <v>83.0</v>
      </c>
      <c r="O366" s="24" t="s">
        <v>606</v>
      </c>
      <c r="P366" s="52">
        <v>42819.0</v>
      </c>
      <c r="Q366" s="51">
        <v>985.0</v>
      </c>
      <c r="R366" s="53">
        <v>4578.79</v>
      </c>
      <c r="S366" s="24" t="s">
        <v>600</v>
      </c>
      <c r="T366" s="11">
        <v>5.0</v>
      </c>
      <c r="U366" s="52">
        <v>51716.0</v>
      </c>
      <c r="V366" s="11">
        <v>2.0</v>
      </c>
      <c r="W366" s="11">
        <v>9.0</v>
      </c>
      <c r="X366" s="48">
        <v>6.2004</v>
      </c>
      <c r="Y366" s="11">
        <f t="shared" si="2"/>
        <v>0.062004</v>
      </c>
    </row>
    <row r="367">
      <c r="A367" s="17">
        <v>30.0</v>
      </c>
      <c r="B367" s="24">
        <v>68.0</v>
      </c>
      <c r="C367" s="24">
        <v>6.0</v>
      </c>
      <c r="D367" s="24">
        <v>3.0</v>
      </c>
      <c r="E367" s="24">
        <v>68.0</v>
      </c>
      <c r="F367" s="48">
        <v>7.7506</v>
      </c>
      <c r="G367" s="49">
        <f t="shared" si="1"/>
        <v>0.077506</v>
      </c>
      <c r="H367" s="11">
        <v>1.0</v>
      </c>
      <c r="I367" s="11">
        <v>2.0</v>
      </c>
      <c r="J367" s="50">
        <v>81120.0</v>
      </c>
      <c r="K367" s="11">
        <v>1.0</v>
      </c>
      <c r="L367" s="11">
        <v>2.0</v>
      </c>
      <c r="M367" s="51">
        <v>455.0</v>
      </c>
      <c r="N367" s="17">
        <v>32.0</v>
      </c>
      <c r="O367" s="24" t="s">
        <v>31</v>
      </c>
      <c r="P367" s="52">
        <v>51920.0</v>
      </c>
      <c r="Q367" s="51">
        <v>799.0</v>
      </c>
      <c r="R367" s="53">
        <v>71423.57</v>
      </c>
      <c r="S367" s="24" t="s">
        <v>604</v>
      </c>
      <c r="T367" s="11">
        <v>4.0</v>
      </c>
      <c r="U367" s="52">
        <v>41717.0</v>
      </c>
      <c r="V367" s="11">
        <v>0.0</v>
      </c>
      <c r="W367" s="11">
        <v>0.0</v>
      </c>
      <c r="X367" s="48">
        <v>3.8701</v>
      </c>
      <c r="Y367" s="11">
        <f t="shared" si="2"/>
        <v>0.038701</v>
      </c>
    </row>
    <row r="368">
      <c r="A368" s="17">
        <v>47.0</v>
      </c>
      <c r="B368" s="24">
        <v>89.0</v>
      </c>
      <c r="C368" s="24">
        <v>1.0</v>
      </c>
      <c r="D368" s="24">
        <v>3.0</v>
      </c>
      <c r="E368" s="24">
        <v>67.0</v>
      </c>
      <c r="F368" s="48">
        <v>2.6198</v>
      </c>
      <c r="G368" s="49">
        <f t="shared" si="1"/>
        <v>0.026198</v>
      </c>
      <c r="H368" s="11">
        <v>9.0</v>
      </c>
      <c r="I368" s="11">
        <v>7.0</v>
      </c>
      <c r="J368" s="50">
        <v>42222.0</v>
      </c>
      <c r="K368" s="11">
        <v>4.0</v>
      </c>
      <c r="L368" s="11">
        <v>5.0</v>
      </c>
      <c r="M368" s="51">
        <v>409.0</v>
      </c>
      <c r="N368" s="17">
        <v>48.0</v>
      </c>
      <c r="O368" s="24" t="s">
        <v>606</v>
      </c>
      <c r="P368" s="52">
        <v>120822.0</v>
      </c>
      <c r="Q368" s="51">
        <v>255.0</v>
      </c>
      <c r="R368" s="53">
        <v>-765966.56</v>
      </c>
      <c r="S368" s="24" t="s">
        <v>602</v>
      </c>
      <c r="T368" s="11">
        <v>9.0</v>
      </c>
      <c r="U368" s="52">
        <v>100522.0</v>
      </c>
      <c r="V368" s="11">
        <v>5.0</v>
      </c>
      <c r="W368" s="11">
        <v>7.0</v>
      </c>
      <c r="X368" s="48">
        <v>8.5362</v>
      </c>
      <c r="Y368" s="11">
        <f t="shared" si="2"/>
        <v>0.085362</v>
      </c>
    </row>
    <row r="369">
      <c r="A369" s="17">
        <v>8.0</v>
      </c>
      <c r="B369" s="24">
        <v>27.0</v>
      </c>
      <c r="C369" s="24">
        <v>7.0</v>
      </c>
      <c r="D369" s="24">
        <v>1.0</v>
      </c>
      <c r="E369" s="24">
        <v>68.0</v>
      </c>
      <c r="F369" s="48">
        <v>2.9558</v>
      </c>
      <c r="G369" s="49">
        <f t="shared" si="1"/>
        <v>0.029558</v>
      </c>
      <c r="H369" s="11">
        <v>3.0</v>
      </c>
      <c r="I369" s="11">
        <v>4.0</v>
      </c>
      <c r="J369" s="50">
        <v>122323.0</v>
      </c>
      <c r="K369" s="11">
        <v>3.0</v>
      </c>
      <c r="L369" s="11">
        <v>0.0</v>
      </c>
      <c r="M369" s="51">
        <v>86.0</v>
      </c>
      <c r="N369" s="17">
        <v>79.0</v>
      </c>
      <c r="O369" s="24" t="s">
        <v>606</v>
      </c>
      <c r="P369" s="52">
        <v>50616.0</v>
      </c>
      <c r="Q369" s="51">
        <v>732.0</v>
      </c>
      <c r="R369" s="53">
        <v>-7033.36</v>
      </c>
      <c r="S369" s="24" t="s">
        <v>604</v>
      </c>
      <c r="T369" s="11">
        <v>0.0</v>
      </c>
      <c r="U369" s="52">
        <v>80618.0</v>
      </c>
      <c r="V369" s="11">
        <v>3.0</v>
      </c>
      <c r="W369" s="11">
        <v>8.0</v>
      </c>
      <c r="X369" s="48">
        <v>3.6634</v>
      </c>
      <c r="Y369" s="11">
        <f t="shared" si="2"/>
        <v>0.036634</v>
      </c>
    </row>
    <row r="370">
      <c r="A370" s="17">
        <v>84.0</v>
      </c>
      <c r="B370" s="24">
        <v>68.0</v>
      </c>
      <c r="C370" s="24">
        <v>6.0</v>
      </c>
      <c r="D370" s="24">
        <v>7.0</v>
      </c>
      <c r="E370" s="24">
        <v>66.0</v>
      </c>
      <c r="F370" s="48">
        <v>5.4858</v>
      </c>
      <c r="G370" s="49">
        <f t="shared" si="1"/>
        <v>0.054858</v>
      </c>
      <c r="H370" s="11">
        <v>1.0</v>
      </c>
      <c r="I370" s="11">
        <v>6.0</v>
      </c>
      <c r="J370" s="50">
        <v>22320.0</v>
      </c>
      <c r="K370" s="11">
        <v>7.0</v>
      </c>
      <c r="L370" s="11">
        <v>3.0</v>
      </c>
      <c r="M370" s="51">
        <v>718.0</v>
      </c>
      <c r="N370" s="17">
        <v>79.0</v>
      </c>
      <c r="O370" s="24" t="s">
        <v>39</v>
      </c>
      <c r="P370" s="52">
        <v>111823.0</v>
      </c>
      <c r="Q370" s="51">
        <v>894.0</v>
      </c>
      <c r="R370" s="53">
        <v>-910.5</v>
      </c>
      <c r="S370" s="24" t="s">
        <v>604</v>
      </c>
      <c r="T370" s="11">
        <v>4.0</v>
      </c>
      <c r="U370" s="52">
        <v>111113.0</v>
      </c>
      <c r="V370" s="11">
        <v>2.0</v>
      </c>
      <c r="W370" s="11">
        <v>6.0</v>
      </c>
      <c r="X370" s="48">
        <v>9.3714</v>
      </c>
      <c r="Y370" s="11">
        <f t="shared" si="2"/>
        <v>0.093714</v>
      </c>
    </row>
    <row r="371">
      <c r="A371" s="17">
        <v>84.0</v>
      </c>
      <c r="B371" s="24">
        <v>68.0</v>
      </c>
      <c r="C371" s="24">
        <v>6.0</v>
      </c>
      <c r="D371" s="24">
        <v>9.0</v>
      </c>
      <c r="E371" s="24">
        <v>67.0</v>
      </c>
      <c r="F371" s="48">
        <v>4.9116</v>
      </c>
      <c r="G371" s="49">
        <f t="shared" si="1"/>
        <v>0.049116</v>
      </c>
      <c r="H371" s="11">
        <v>4.0</v>
      </c>
      <c r="I371" s="11">
        <v>6.0</v>
      </c>
      <c r="J371" s="50">
        <v>70320.0</v>
      </c>
      <c r="K371" s="11">
        <v>4.0</v>
      </c>
      <c r="L371" s="11">
        <v>7.0</v>
      </c>
      <c r="M371" s="51">
        <v>154.0</v>
      </c>
      <c r="N371" s="17">
        <v>92.0</v>
      </c>
      <c r="O371" s="24" t="s">
        <v>603</v>
      </c>
      <c r="P371" s="52">
        <v>82416.0</v>
      </c>
      <c r="Q371" s="51">
        <v>433.0</v>
      </c>
      <c r="R371" s="53">
        <v>-937558.87</v>
      </c>
      <c r="S371" s="24" t="s">
        <v>600</v>
      </c>
      <c r="T371" s="11">
        <v>6.0</v>
      </c>
      <c r="U371" s="52">
        <v>40122.0</v>
      </c>
      <c r="V371" s="11">
        <v>2.0</v>
      </c>
      <c r="W371" s="11">
        <v>4.0</v>
      </c>
      <c r="X371" s="48">
        <v>8.991</v>
      </c>
      <c r="Y371" s="11">
        <f t="shared" si="2"/>
        <v>0.08991</v>
      </c>
    </row>
    <row r="372">
      <c r="A372" s="17">
        <v>62.0</v>
      </c>
      <c r="B372" s="24">
        <v>68.0</v>
      </c>
      <c r="C372" s="24">
        <v>6.0</v>
      </c>
      <c r="D372" s="24">
        <v>8.0</v>
      </c>
      <c r="E372" s="24">
        <v>62.0</v>
      </c>
      <c r="F372" s="48">
        <v>3.8886</v>
      </c>
      <c r="G372" s="49">
        <f t="shared" si="1"/>
        <v>0.038886</v>
      </c>
      <c r="H372" s="11">
        <v>7.0</v>
      </c>
      <c r="I372" s="11">
        <v>2.0</v>
      </c>
      <c r="J372" s="50">
        <v>122220.0</v>
      </c>
      <c r="K372" s="11">
        <v>2.0</v>
      </c>
      <c r="L372" s="11">
        <v>1.0</v>
      </c>
      <c r="M372" s="51">
        <v>105.0</v>
      </c>
      <c r="N372" s="17">
        <v>56.0</v>
      </c>
      <c r="O372" s="24" t="s">
        <v>603</v>
      </c>
      <c r="P372" s="52">
        <v>92120.0</v>
      </c>
      <c r="Q372" s="51">
        <v>127.0</v>
      </c>
      <c r="R372" s="53">
        <v>-2850.88</v>
      </c>
      <c r="S372" s="24" t="s">
        <v>605</v>
      </c>
      <c r="T372" s="11">
        <v>9.0</v>
      </c>
      <c r="U372" s="52">
        <v>61920.0</v>
      </c>
      <c r="V372" s="11">
        <v>6.0</v>
      </c>
      <c r="W372" s="11">
        <v>0.0</v>
      </c>
      <c r="X372" s="48">
        <v>2.3868</v>
      </c>
      <c r="Y372" s="11">
        <f t="shared" si="2"/>
        <v>0.023868</v>
      </c>
    </row>
    <row r="373">
      <c r="A373" s="17">
        <v>74.0</v>
      </c>
      <c r="B373" s="24">
        <v>27.0</v>
      </c>
      <c r="C373" s="24">
        <v>7.0</v>
      </c>
      <c r="D373" s="24">
        <v>5.0</v>
      </c>
      <c r="E373" s="24">
        <v>60.0</v>
      </c>
      <c r="F373" s="48">
        <v>3.798</v>
      </c>
      <c r="G373" s="49">
        <f t="shared" si="1"/>
        <v>0.03798</v>
      </c>
      <c r="H373" s="11">
        <v>2.0</v>
      </c>
      <c r="I373" s="11">
        <v>9.0</v>
      </c>
      <c r="J373" s="50">
        <v>120121.0</v>
      </c>
      <c r="K373" s="11">
        <v>7.0</v>
      </c>
      <c r="L373" s="11">
        <v>6.0</v>
      </c>
      <c r="M373" s="51">
        <v>284.0</v>
      </c>
      <c r="N373" s="17">
        <v>38.0</v>
      </c>
      <c r="O373" s="24" t="s">
        <v>606</v>
      </c>
      <c r="P373" s="52">
        <v>101221.0</v>
      </c>
      <c r="Q373" s="51">
        <v>569.0</v>
      </c>
      <c r="R373" s="53">
        <v>856.16</v>
      </c>
      <c r="S373" s="24" t="s">
        <v>604</v>
      </c>
      <c r="T373" s="11">
        <v>8.0</v>
      </c>
      <c r="U373" s="52">
        <v>110119.0</v>
      </c>
      <c r="V373" s="11">
        <v>0.0</v>
      </c>
      <c r="W373" s="11">
        <v>2.0</v>
      </c>
      <c r="X373" s="48">
        <v>7.5111</v>
      </c>
      <c r="Y373" s="11">
        <f t="shared" si="2"/>
        <v>0.075111</v>
      </c>
    </row>
    <row r="374">
      <c r="A374" s="17">
        <v>83.0</v>
      </c>
      <c r="B374" s="24">
        <v>48.0</v>
      </c>
      <c r="C374" s="24">
        <v>2.0</v>
      </c>
      <c r="D374" s="24">
        <v>5.0</v>
      </c>
      <c r="E374" s="24">
        <v>65.0</v>
      </c>
      <c r="F374" s="48">
        <v>8.461</v>
      </c>
      <c r="G374" s="49">
        <f t="shared" si="1"/>
        <v>0.08461</v>
      </c>
      <c r="H374" s="11">
        <v>1.0</v>
      </c>
      <c r="I374" s="11">
        <v>4.0</v>
      </c>
      <c r="J374" s="50">
        <v>81313.0</v>
      </c>
      <c r="K374" s="11">
        <v>2.0</v>
      </c>
      <c r="L374" s="11">
        <v>4.0</v>
      </c>
      <c r="M374" s="51">
        <v>847.0</v>
      </c>
      <c r="N374" s="17">
        <v>53.0</v>
      </c>
      <c r="O374" s="24" t="s">
        <v>601</v>
      </c>
      <c r="P374" s="52">
        <v>21823.0</v>
      </c>
      <c r="Q374" s="51">
        <v>396.0</v>
      </c>
      <c r="R374" s="53">
        <v>-99155.22</v>
      </c>
      <c r="S374" s="24" t="s">
        <v>604</v>
      </c>
      <c r="T374" s="11">
        <v>8.0</v>
      </c>
      <c r="U374" s="52">
        <v>122716.0</v>
      </c>
      <c r="V374" s="11">
        <v>0.0</v>
      </c>
      <c r="W374" s="11">
        <v>4.0</v>
      </c>
      <c r="X374" s="48">
        <v>5.9106</v>
      </c>
      <c r="Y374" s="11">
        <f t="shared" si="2"/>
        <v>0.059106</v>
      </c>
    </row>
    <row r="375">
      <c r="A375" s="17">
        <v>12.0</v>
      </c>
      <c r="B375" s="24">
        <v>27.0</v>
      </c>
      <c r="C375" s="24">
        <v>7.0</v>
      </c>
      <c r="D375" s="24">
        <v>9.0</v>
      </c>
      <c r="E375" s="24">
        <v>68.0</v>
      </c>
      <c r="F375" s="48">
        <v>5.969</v>
      </c>
      <c r="G375" s="49">
        <f t="shared" si="1"/>
        <v>0.05969</v>
      </c>
      <c r="H375" s="11">
        <v>1.0</v>
      </c>
      <c r="I375" s="11">
        <v>4.0</v>
      </c>
      <c r="J375" s="50">
        <v>42319.0</v>
      </c>
      <c r="K375" s="11">
        <v>8.0</v>
      </c>
      <c r="L375" s="11">
        <v>5.0</v>
      </c>
      <c r="M375" s="51">
        <v>870.0</v>
      </c>
      <c r="N375" s="17">
        <v>16.0</v>
      </c>
      <c r="O375" s="24" t="s">
        <v>603</v>
      </c>
      <c r="P375" s="52">
        <v>110316.0</v>
      </c>
      <c r="Q375" s="51">
        <v>380.0</v>
      </c>
      <c r="R375" s="53">
        <v>-5378.12</v>
      </c>
      <c r="S375" s="24" t="s">
        <v>600</v>
      </c>
      <c r="T375" s="11">
        <v>8.0</v>
      </c>
      <c r="U375" s="52">
        <v>113023.0</v>
      </c>
      <c r="V375" s="11">
        <v>1.0</v>
      </c>
      <c r="W375" s="11">
        <v>4.0</v>
      </c>
      <c r="X375" s="48">
        <v>4.7288</v>
      </c>
      <c r="Y375" s="11">
        <f t="shared" si="2"/>
        <v>0.047288</v>
      </c>
    </row>
    <row r="376">
      <c r="A376" s="17">
        <v>86.0</v>
      </c>
      <c r="B376" s="24">
        <v>48.0</v>
      </c>
      <c r="C376" s="24">
        <v>2.0</v>
      </c>
      <c r="D376" s="24">
        <v>9.0</v>
      </c>
      <c r="E376" s="24">
        <v>65.0</v>
      </c>
      <c r="F376" s="48">
        <v>5.1927</v>
      </c>
      <c r="G376" s="49">
        <f t="shared" si="1"/>
        <v>0.051927</v>
      </c>
      <c r="H376" s="11">
        <v>1.0</v>
      </c>
      <c r="I376" s="11">
        <v>0.0</v>
      </c>
      <c r="J376" s="50">
        <v>71014.0</v>
      </c>
      <c r="K376" s="11">
        <v>1.0</v>
      </c>
      <c r="L376" s="11">
        <v>3.0</v>
      </c>
      <c r="M376" s="51">
        <v>970.0</v>
      </c>
      <c r="N376" s="17">
        <v>95.0</v>
      </c>
      <c r="O376" s="24" t="s">
        <v>31</v>
      </c>
      <c r="P376" s="52">
        <v>91419.0</v>
      </c>
      <c r="Q376" s="51">
        <v>719.0</v>
      </c>
      <c r="R376" s="53">
        <v>-654935.0</v>
      </c>
      <c r="S376" s="24" t="s">
        <v>600</v>
      </c>
      <c r="T376" s="11">
        <v>4.0</v>
      </c>
      <c r="U376" s="52">
        <v>50715.0</v>
      </c>
      <c r="V376" s="11">
        <v>0.0</v>
      </c>
      <c r="W376" s="11">
        <v>3.0</v>
      </c>
      <c r="X376" s="48">
        <v>9.7761</v>
      </c>
      <c r="Y376" s="11">
        <f t="shared" si="2"/>
        <v>0.097761</v>
      </c>
    </row>
    <row r="377">
      <c r="A377" s="17">
        <v>34.0</v>
      </c>
      <c r="B377" s="24">
        <v>27.0</v>
      </c>
      <c r="C377" s="24">
        <v>8.0</v>
      </c>
      <c r="D377" s="24">
        <v>1.0</v>
      </c>
      <c r="E377" s="24">
        <v>68.0</v>
      </c>
      <c r="F377" s="48">
        <v>5.8832</v>
      </c>
      <c r="G377" s="49">
        <f t="shared" si="1"/>
        <v>0.058832</v>
      </c>
      <c r="H377" s="11">
        <v>9.0</v>
      </c>
      <c r="I377" s="11">
        <v>7.0</v>
      </c>
      <c r="J377" s="50">
        <v>52121.0</v>
      </c>
      <c r="K377" s="11">
        <v>6.0</v>
      </c>
      <c r="L377" s="11">
        <v>3.0</v>
      </c>
      <c r="M377" s="51">
        <v>615.0</v>
      </c>
      <c r="N377" s="17">
        <v>7.0</v>
      </c>
      <c r="O377" s="24" t="s">
        <v>603</v>
      </c>
      <c r="P377" s="52">
        <v>63018.0</v>
      </c>
      <c r="Q377" s="51">
        <v>748.0</v>
      </c>
      <c r="R377" s="53">
        <v>3252.51</v>
      </c>
      <c r="S377" s="24" t="s">
        <v>602</v>
      </c>
      <c r="T377" s="11">
        <v>3.0</v>
      </c>
      <c r="U377" s="52">
        <v>120116.0</v>
      </c>
      <c r="V377" s="11">
        <v>7.0</v>
      </c>
      <c r="W377" s="11">
        <v>2.0</v>
      </c>
      <c r="X377" s="48">
        <v>1.426</v>
      </c>
      <c r="Y377" s="11">
        <f t="shared" si="2"/>
        <v>0.01426</v>
      </c>
    </row>
    <row r="378">
      <c r="A378" s="17">
        <v>97.0</v>
      </c>
      <c r="B378" s="24">
        <v>89.0</v>
      </c>
      <c r="C378" s="24">
        <v>2.0</v>
      </c>
      <c r="D378" s="24">
        <v>8.0</v>
      </c>
      <c r="E378" s="24">
        <v>62.0</v>
      </c>
      <c r="F378" s="48">
        <v>7.1249</v>
      </c>
      <c r="G378" s="49">
        <f t="shared" si="1"/>
        <v>0.071249</v>
      </c>
      <c r="H378" s="11">
        <v>4.0</v>
      </c>
      <c r="I378" s="11">
        <v>9.0</v>
      </c>
      <c r="J378" s="50">
        <v>112617.0</v>
      </c>
      <c r="K378" s="11">
        <v>9.0</v>
      </c>
      <c r="L378" s="11">
        <v>1.0</v>
      </c>
      <c r="M378" s="51">
        <v>43.0</v>
      </c>
      <c r="N378" s="17">
        <v>31.0</v>
      </c>
      <c r="O378" s="24" t="s">
        <v>601</v>
      </c>
      <c r="P378" s="52">
        <v>70816.0</v>
      </c>
      <c r="Q378" s="51">
        <v>458.0</v>
      </c>
      <c r="R378" s="53">
        <v>98285.27</v>
      </c>
      <c r="S378" s="24" t="s">
        <v>602</v>
      </c>
      <c r="T378" s="11">
        <v>1.0</v>
      </c>
      <c r="U378" s="52">
        <v>112116.0</v>
      </c>
      <c r="V378" s="11">
        <v>4.0</v>
      </c>
      <c r="W378" s="11">
        <v>3.0</v>
      </c>
      <c r="X378" s="48">
        <v>2.651</v>
      </c>
      <c r="Y378" s="11">
        <f t="shared" si="2"/>
        <v>0.02651</v>
      </c>
    </row>
    <row r="379">
      <c r="A379" s="17">
        <v>89.0</v>
      </c>
      <c r="B379" s="24">
        <v>48.0</v>
      </c>
      <c r="C379" s="24">
        <v>3.0</v>
      </c>
      <c r="D379" s="24">
        <v>3.0</v>
      </c>
      <c r="E379" s="24">
        <v>62.0</v>
      </c>
      <c r="F379" s="48">
        <v>3.3904</v>
      </c>
      <c r="G379" s="49">
        <f t="shared" si="1"/>
        <v>0.033904</v>
      </c>
      <c r="H379" s="11">
        <v>9.0</v>
      </c>
      <c r="I379" s="11">
        <v>7.0</v>
      </c>
      <c r="J379" s="50">
        <v>62822.0</v>
      </c>
      <c r="K379" s="11">
        <v>3.0</v>
      </c>
      <c r="L379" s="11">
        <v>9.0</v>
      </c>
      <c r="M379" s="51">
        <v>205.0</v>
      </c>
      <c r="N379" s="17">
        <v>61.0</v>
      </c>
      <c r="O379" s="24" t="s">
        <v>601</v>
      </c>
      <c r="P379" s="52">
        <v>62723.0</v>
      </c>
      <c r="Q379" s="51">
        <v>406.0</v>
      </c>
      <c r="R379" s="53">
        <v>1358.99</v>
      </c>
      <c r="S379" s="24" t="s">
        <v>604</v>
      </c>
      <c r="T379" s="11">
        <v>0.0</v>
      </c>
      <c r="U379" s="52">
        <v>82422.0</v>
      </c>
      <c r="V379" s="11">
        <v>6.0</v>
      </c>
      <c r="W379" s="11">
        <v>2.0</v>
      </c>
      <c r="X379" s="48">
        <v>3.4037</v>
      </c>
      <c r="Y379" s="11">
        <f t="shared" si="2"/>
        <v>0.034037</v>
      </c>
    </row>
    <row r="380">
      <c r="A380" s="17">
        <v>83.0</v>
      </c>
      <c r="B380" s="24">
        <v>27.0</v>
      </c>
      <c r="C380" s="24">
        <v>8.0</v>
      </c>
      <c r="D380" s="24">
        <v>6.0</v>
      </c>
      <c r="E380" s="24">
        <v>63.0</v>
      </c>
      <c r="F380" s="48">
        <v>2.3499</v>
      </c>
      <c r="G380" s="49">
        <f t="shared" si="1"/>
        <v>0.023499</v>
      </c>
      <c r="H380" s="11">
        <v>3.0</v>
      </c>
      <c r="I380" s="11">
        <v>0.0</v>
      </c>
      <c r="J380" s="50">
        <v>122621.0</v>
      </c>
      <c r="K380" s="11">
        <v>7.0</v>
      </c>
      <c r="L380" s="11">
        <v>1.0</v>
      </c>
      <c r="M380" s="51">
        <v>871.0</v>
      </c>
      <c r="N380" s="17">
        <v>60.0</v>
      </c>
      <c r="O380" s="24" t="s">
        <v>601</v>
      </c>
      <c r="P380" s="52">
        <v>113021.0</v>
      </c>
      <c r="Q380" s="51">
        <v>851.0</v>
      </c>
      <c r="R380" s="53">
        <v>4415.14</v>
      </c>
      <c r="S380" s="24" t="s">
        <v>605</v>
      </c>
      <c r="T380" s="11">
        <v>6.0</v>
      </c>
      <c r="U380" s="52">
        <v>102513.0</v>
      </c>
      <c r="V380" s="11">
        <v>1.0</v>
      </c>
      <c r="W380" s="11">
        <v>2.0</v>
      </c>
      <c r="X380" s="48">
        <v>2.8043</v>
      </c>
      <c r="Y380" s="11">
        <f t="shared" si="2"/>
        <v>0.028043</v>
      </c>
    </row>
    <row r="381">
      <c r="A381" s="17">
        <v>63.0</v>
      </c>
      <c r="B381" s="24">
        <v>27.0</v>
      </c>
      <c r="C381" s="24">
        <v>8.0</v>
      </c>
      <c r="D381" s="24">
        <v>5.0</v>
      </c>
      <c r="E381" s="24">
        <v>62.0</v>
      </c>
      <c r="F381" s="48">
        <v>7.5915</v>
      </c>
      <c r="G381" s="49">
        <f t="shared" si="1"/>
        <v>0.075915</v>
      </c>
      <c r="H381" s="11">
        <v>3.0</v>
      </c>
      <c r="I381" s="11">
        <v>9.0</v>
      </c>
      <c r="J381" s="50">
        <v>12017.0</v>
      </c>
      <c r="K381" s="11">
        <v>8.0</v>
      </c>
      <c r="L381" s="11">
        <v>5.0</v>
      </c>
      <c r="M381" s="51">
        <v>983.0</v>
      </c>
      <c r="N381" s="17">
        <v>98.0</v>
      </c>
      <c r="O381" s="24" t="s">
        <v>600</v>
      </c>
      <c r="P381" s="52">
        <v>91014.0</v>
      </c>
      <c r="Q381" s="51">
        <v>963.0</v>
      </c>
      <c r="R381" s="53">
        <v>3867.63</v>
      </c>
      <c r="S381" s="24" t="s">
        <v>602</v>
      </c>
      <c r="T381" s="11">
        <v>1.0</v>
      </c>
      <c r="U381" s="52">
        <v>12918.0</v>
      </c>
      <c r="V381" s="11">
        <v>7.0</v>
      </c>
      <c r="W381" s="11">
        <v>0.0</v>
      </c>
      <c r="X381" s="48">
        <v>3.2154</v>
      </c>
      <c r="Y381" s="11">
        <f t="shared" si="2"/>
        <v>0.032154</v>
      </c>
    </row>
    <row r="382">
      <c r="A382" s="17">
        <v>75.0</v>
      </c>
      <c r="B382" s="24">
        <v>27.0</v>
      </c>
      <c r="C382" s="24">
        <v>8.0</v>
      </c>
      <c r="D382" s="24">
        <v>8.0</v>
      </c>
      <c r="E382" s="24">
        <v>63.0</v>
      </c>
      <c r="F382" s="48">
        <v>6.1697</v>
      </c>
      <c r="G382" s="49">
        <f t="shared" si="1"/>
        <v>0.061697</v>
      </c>
      <c r="H382" s="11">
        <v>4.0</v>
      </c>
      <c r="I382" s="11">
        <v>3.0</v>
      </c>
      <c r="J382" s="50">
        <v>122420.0</v>
      </c>
      <c r="K382" s="11">
        <v>1.0</v>
      </c>
      <c r="L382" s="11">
        <v>1.0</v>
      </c>
      <c r="M382" s="51">
        <v>287.0</v>
      </c>
      <c r="N382" s="17">
        <v>37.0</v>
      </c>
      <c r="O382" s="24" t="s">
        <v>31</v>
      </c>
      <c r="P382" s="52">
        <v>121323.0</v>
      </c>
      <c r="Q382" s="51">
        <v>679.0</v>
      </c>
      <c r="R382" s="53">
        <v>-448467.51</v>
      </c>
      <c r="S382" s="24" t="s">
        <v>604</v>
      </c>
      <c r="T382" s="11">
        <v>9.0</v>
      </c>
      <c r="U382" s="52">
        <v>92415.0</v>
      </c>
      <c r="V382" s="11">
        <v>4.0</v>
      </c>
      <c r="W382" s="11">
        <v>3.0</v>
      </c>
      <c r="X382" s="48">
        <v>7.1728</v>
      </c>
      <c r="Y382" s="11">
        <f t="shared" si="2"/>
        <v>0.071728</v>
      </c>
    </row>
    <row r="383">
      <c r="A383" s="17">
        <v>2.0</v>
      </c>
      <c r="B383" s="24">
        <v>68.0</v>
      </c>
      <c r="C383" s="24">
        <v>8.0</v>
      </c>
      <c r="D383" s="24">
        <v>6.0</v>
      </c>
      <c r="E383" s="24">
        <v>66.0</v>
      </c>
      <c r="F383" s="48">
        <v>4.34</v>
      </c>
      <c r="G383" s="49">
        <f t="shared" si="1"/>
        <v>0.0434</v>
      </c>
      <c r="H383" s="11">
        <v>1.0</v>
      </c>
      <c r="I383" s="11">
        <v>5.0</v>
      </c>
      <c r="J383" s="50">
        <v>40720.0</v>
      </c>
      <c r="K383" s="11">
        <v>9.0</v>
      </c>
      <c r="L383" s="11">
        <v>1.0</v>
      </c>
      <c r="M383" s="51">
        <v>523.0</v>
      </c>
      <c r="N383" s="17">
        <v>5.0</v>
      </c>
      <c r="O383" s="24" t="s">
        <v>600</v>
      </c>
      <c r="P383" s="52">
        <v>10119.0</v>
      </c>
      <c r="Q383" s="51">
        <v>653.0</v>
      </c>
      <c r="R383" s="53">
        <v>636.11</v>
      </c>
      <c r="S383" s="24" t="s">
        <v>600</v>
      </c>
      <c r="T383" s="11">
        <v>1.0</v>
      </c>
      <c r="U383" s="52">
        <v>32319.0</v>
      </c>
      <c r="V383" s="11">
        <v>5.0</v>
      </c>
      <c r="W383" s="11">
        <v>8.0</v>
      </c>
      <c r="X383" s="48">
        <v>6.2695</v>
      </c>
      <c r="Y383" s="11">
        <f t="shared" si="2"/>
        <v>0.062695</v>
      </c>
    </row>
    <row r="384">
      <c r="A384" s="17">
        <v>87.0</v>
      </c>
      <c r="B384" s="24">
        <v>27.0</v>
      </c>
      <c r="C384" s="24">
        <v>9.0</v>
      </c>
      <c r="D384" s="24">
        <v>2.0</v>
      </c>
      <c r="E384" s="24">
        <v>64.0</v>
      </c>
      <c r="F384" s="48">
        <v>3.9134</v>
      </c>
      <c r="G384" s="49">
        <f t="shared" si="1"/>
        <v>0.039134</v>
      </c>
      <c r="H384" s="11">
        <v>6.0</v>
      </c>
      <c r="I384" s="11">
        <v>3.0</v>
      </c>
      <c r="J384" s="50">
        <v>102021.0</v>
      </c>
      <c r="K384" s="11">
        <v>6.0</v>
      </c>
      <c r="L384" s="11">
        <v>5.0</v>
      </c>
      <c r="M384" s="51">
        <v>858.0</v>
      </c>
      <c r="N384" s="17">
        <v>69.0</v>
      </c>
      <c r="O384" s="24" t="s">
        <v>600</v>
      </c>
      <c r="P384" s="52">
        <v>12413.0</v>
      </c>
      <c r="Q384" s="51">
        <v>792.0</v>
      </c>
      <c r="R384" s="53">
        <v>-33242.98</v>
      </c>
      <c r="S384" s="24" t="s">
        <v>602</v>
      </c>
      <c r="T384" s="11">
        <v>2.0</v>
      </c>
      <c r="U384" s="52">
        <v>50914.0</v>
      </c>
      <c r="V384" s="11">
        <v>6.0</v>
      </c>
      <c r="W384" s="11">
        <v>2.0</v>
      </c>
      <c r="X384" s="48">
        <v>6.7306</v>
      </c>
      <c r="Y384" s="11">
        <f t="shared" si="2"/>
        <v>0.067306</v>
      </c>
    </row>
    <row r="385">
      <c r="A385" s="17">
        <v>8.0</v>
      </c>
      <c r="B385" s="24">
        <v>48.0</v>
      </c>
      <c r="C385" s="24">
        <v>4.0</v>
      </c>
      <c r="D385" s="24">
        <v>1.0</v>
      </c>
      <c r="E385" s="24">
        <v>62.0</v>
      </c>
      <c r="F385" s="48">
        <v>6.3709</v>
      </c>
      <c r="G385" s="49">
        <f t="shared" si="1"/>
        <v>0.063709</v>
      </c>
      <c r="H385" s="11">
        <v>2.0</v>
      </c>
      <c r="I385" s="11">
        <v>7.0</v>
      </c>
      <c r="J385" s="50">
        <v>112521.0</v>
      </c>
      <c r="K385" s="11">
        <v>6.0</v>
      </c>
      <c r="L385" s="11">
        <v>9.0</v>
      </c>
      <c r="M385" s="51">
        <v>43.0</v>
      </c>
      <c r="N385" s="17">
        <v>69.0</v>
      </c>
      <c r="O385" s="24" t="s">
        <v>48</v>
      </c>
      <c r="P385" s="52">
        <v>82121.0</v>
      </c>
      <c r="Q385" s="51">
        <v>982.0</v>
      </c>
      <c r="R385" s="53">
        <v>-435.88</v>
      </c>
      <c r="S385" s="24" t="s">
        <v>602</v>
      </c>
      <c r="T385" s="11">
        <v>5.0</v>
      </c>
      <c r="U385" s="52">
        <v>92814.0</v>
      </c>
      <c r="V385" s="11">
        <v>8.0</v>
      </c>
      <c r="W385" s="11">
        <v>8.0</v>
      </c>
      <c r="X385" s="48">
        <v>7.4276</v>
      </c>
      <c r="Y385" s="11">
        <f t="shared" si="2"/>
        <v>0.074276</v>
      </c>
    </row>
    <row r="386">
      <c r="A386" s="17">
        <v>34.0</v>
      </c>
      <c r="B386" s="24">
        <v>27.0</v>
      </c>
      <c r="C386" s="24">
        <v>9.0</v>
      </c>
      <c r="D386" s="24">
        <v>5.0</v>
      </c>
      <c r="E386" s="24">
        <v>62.0</v>
      </c>
      <c r="F386" s="48">
        <v>4.5832</v>
      </c>
      <c r="G386" s="49">
        <f t="shared" si="1"/>
        <v>0.045832</v>
      </c>
      <c r="H386" s="11">
        <v>6.0</v>
      </c>
      <c r="I386" s="11">
        <v>7.0</v>
      </c>
      <c r="J386" s="50">
        <v>31321.0</v>
      </c>
      <c r="K386" s="11">
        <v>7.0</v>
      </c>
      <c r="L386" s="11">
        <v>5.0</v>
      </c>
      <c r="M386" s="51">
        <v>325.0</v>
      </c>
      <c r="N386" s="17">
        <v>53.0</v>
      </c>
      <c r="O386" s="24" t="s">
        <v>31</v>
      </c>
      <c r="P386" s="52">
        <v>90819.0</v>
      </c>
      <c r="Q386" s="51">
        <v>644.0</v>
      </c>
      <c r="R386" s="53">
        <v>2770.96</v>
      </c>
      <c r="S386" s="24" t="s">
        <v>605</v>
      </c>
      <c r="T386" s="11">
        <v>0.0</v>
      </c>
      <c r="U386" s="52">
        <v>32617.0</v>
      </c>
      <c r="V386" s="11">
        <v>6.0</v>
      </c>
      <c r="W386" s="11">
        <v>5.0</v>
      </c>
      <c r="X386" s="48">
        <v>1.418</v>
      </c>
      <c r="Y386" s="11">
        <f t="shared" si="2"/>
        <v>0.01418</v>
      </c>
    </row>
    <row r="387">
      <c r="A387" s="17">
        <v>16.0</v>
      </c>
      <c r="B387" s="24">
        <v>27.0</v>
      </c>
      <c r="C387" s="24">
        <v>9.0</v>
      </c>
      <c r="D387" s="24">
        <v>6.0</v>
      </c>
      <c r="E387" s="24">
        <v>66.0</v>
      </c>
      <c r="F387" s="48">
        <v>2.1201</v>
      </c>
      <c r="G387" s="49">
        <f t="shared" si="1"/>
        <v>0.021201</v>
      </c>
      <c r="H387" s="11">
        <v>7.0</v>
      </c>
      <c r="I387" s="11">
        <v>3.0</v>
      </c>
      <c r="J387" s="50">
        <v>72019.0</v>
      </c>
      <c r="K387" s="11">
        <v>3.0</v>
      </c>
      <c r="L387" s="11">
        <v>5.0</v>
      </c>
      <c r="M387" s="51">
        <v>292.0</v>
      </c>
      <c r="N387" s="17">
        <v>58.0</v>
      </c>
      <c r="O387" s="24" t="s">
        <v>48</v>
      </c>
      <c r="P387" s="52">
        <v>52723.0</v>
      </c>
      <c r="Q387" s="51">
        <v>520.0</v>
      </c>
      <c r="R387" s="53">
        <v>-55695.24</v>
      </c>
      <c r="S387" s="24" t="s">
        <v>600</v>
      </c>
      <c r="T387" s="11">
        <v>4.0</v>
      </c>
      <c r="U387" s="52">
        <v>42618.0</v>
      </c>
      <c r="V387" s="11">
        <v>4.0</v>
      </c>
      <c r="W387" s="11">
        <v>6.0</v>
      </c>
      <c r="X387" s="48">
        <v>9.2235</v>
      </c>
      <c r="Y387" s="11">
        <f t="shared" si="2"/>
        <v>0.092235</v>
      </c>
    </row>
    <row r="388">
      <c r="A388" s="17">
        <v>44.0</v>
      </c>
      <c r="B388" s="24">
        <v>48.0</v>
      </c>
      <c r="C388" s="24">
        <v>4.0</v>
      </c>
      <c r="D388" s="24">
        <v>3.0</v>
      </c>
      <c r="E388" s="24">
        <v>65.0</v>
      </c>
      <c r="F388" s="48">
        <v>7.4239</v>
      </c>
      <c r="G388" s="49">
        <f t="shared" si="1"/>
        <v>0.074239</v>
      </c>
      <c r="H388" s="11">
        <v>7.0</v>
      </c>
      <c r="I388" s="11">
        <v>6.0</v>
      </c>
      <c r="J388" s="50">
        <v>62822.0</v>
      </c>
      <c r="K388" s="11">
        <v>3.0</v>
      </c>
      <c r="L388" s="11">
        <v>3.0</v>
      </c>
      <c r="M388" s="51">
        <v>656.0</v>
      </c>
      <c r="N388" s="17">
        <v>27.0</v>
      </c>
      <c r="O388" s="24" t="s">
        <v>39</v>
      </c>
      <c r="P388" s="52">
        <v>20115.0</v>
      </c>
      <c r="Q388" s="51">
        <v>69.0</v>
      </c>
      <c r="R388" s="53">
        <v>-641755.53</v>
      </c>
      <c r="S388" s="24" t="s">
        <v>605</v>
      </c>
      <c r="T388" s="11">
        <v>9.0</v>
      </c>
      <c r="U388" s="52">
        <v>61422.0</v>
      </c>
      <c r="V388" s="11">
        <v>9.0</v>
      </c>
      <c r="W388" s="11">
        <v>9.0</v>
      </c>
      <c r="X388" s="48">
        <v>7.9257</v>
      </c>
      <c r="Y388" s="11">
        <f t="shared" si="2"/>
        <v>0.079257</v>
      </c>
    </row>
    <row r="389">
      <c r="A389" s="17">
        <v>34.0</v>
      </c>
      <c r="B389" s="24">
        <v>68.0</v>
      </c>
      <c r="C389" s="24">
        <v>9.0</v>
      </c>
      <c r="D389" s="24">
        <v>1.0</v>
      </c>
      <c r="E389" s="24">
        <v>68.0</v>
      </c>
      <c r="F389" s="48">
        <v>2.6319</v>
      </c>
      <c r="G389" s="49">
        <f t="shared" si="1"/>
        <v>0.026319</v>
      </c>
      <c r="H389" s="11">
        <v>7.0</v>
      </c>
      <c r="I389" s="11">
        <v>2.0</v>
      </c>
      <c r="J389" s="50">
        <v>42617.0</v>
      </c>
      <c r="K389" s="11">
        <v>4.0</v>
      </c>
      <c r="L389" s="11">
        <v>9.0</v>
      </c>
      <c r="M389" s="51">
        <v>871.0</v>
      </c>
      <c r="N389" s="17">
        <v>60.0</v>
      </c>
      <c r="O389" s="24" t="s">
        <v>606</v>
      </c>
      <c r="P389" s="52">
        <v>40723.0</v>
      </c>
      <c r="Q389" s="51">
        <v>955.0</v>
      </c>
      <c r="R389" s="53">
        <v>-7665.56</v>
      </c>
      <c r="S389" s="24" t="s">
        <v>602</v>
      </c>
      <c r="T389" s="11">
        <v>3.0</v>
      </c>
      <c r="U389" s="52">
        <v>20213.0</v>
      </c>
      <c r="V389" s="11">
        <v>6.0</v>
      </c>
      <c r="W389" s="11">
        <v>4.0</v>
      </c>
      <c r="X389" s="48">
        <v>7.5954</v>
      </c>
      <c r="Y389" s="11">
        <f t="shared" si="2"/>
        <v>0.075954</v>
      </c>
    </row>
    <row r="390">
      <c r="A390" s="17">
        <v>46.0</v>
      </c>
      <c r="B390" s="24">
        <v>68.0</v>
      </c>
      <c r="C390" s="24">
        <v>9.0</v>
      </c>
      <c r="D390" s="24">
        <v>2.0</v>
      </c>
      <c r="E390" s="24">
        <v>65.0</v>
      </c>
      <c r="F390" s="48">
        <v>6.714</v>
      </c>
      <c r="G390" s="49">
        <f t="shared" si="1"/>
        <v>0.06714</v>
      </c>
      <c r="H390" s="11">
        <v>0.0</v>
      </c>
      <c r="I390" s="11">
        <v>0.0</v>
      </c>
      <c r="J390" s="50">
        <v>102814.0</v>
      </c>
      <c r="K390" s="11">
        <v>3.0</v>
      </c>
      <c r="L390" s="11">
        <v>3.0</v>
      </c>
      <c r="M390" s="51">
        <v>245.0</v>
      </c>
      <c r="N390" s="17">
        <v>10.0</v>
      </c>
      <c r="O390" s="24" t="s">
        <v>48</v>
      </c>
      <c r="P390" s="52">
        <v>121919.0</v>
      </c>
      <c r="Q390" s="51">
        <v>558.0</v>
      </c>
      <c r="R390" s="53">
        <v>-578.73</v>
      </c>
      <c r="S390" s="24" t="s">
        <v>602</v>
      </c>
      <c r="T390" s="11">
        <v>3.0</v>
      </c>
      <c r="U390" s="52">
        <v>60717.0</v>
      </c>
      <c r="V390" s="11">
        <v>3.0</v>
      </c>
      <c r="W390" s="11">
        <v>0.0</v>
      </c>
      <c r="X390" s="48">
        <v>5.1508</v>
      </c>
      <c r="Y390" s="11">
        <f t="shared" si="2"/>
        <v>0.051508</v>
      </c>
    </row>
    <row r="391">
      <c r="A391" s="17">
        <v>23.0</v>
      </c>
      <c r="B391" s="24">
        <v>48.0</v>
      </c>
      <c r="C391" s="24">
        <v>4.0</v>
      </c>
      <c r="D391" s="24">
        <v>5.0</v>
      </c>
      <c r="E391" s="24">
        <v>62.0</v>
      </c>
      <c r="F391" s="48">
        <v>4.2121</v>
      </c>
      <c r="G391" s="49">
        <f t="shared" si="1"/>
        <v>0.042121</v>
      </c>
      <c r="H391" s="11">
        <v>0.0</v>
      </c>
      <c r="I391" s="11">
        <v>3.0</v>
      </c>
      <c r="J391" s="50">
        <v>61318.0</v>
      </c>
      <c r="K391" s="11">
        <v>9.0</v>
      </c>
      <c r="L391" s="11">
        <v>5.0</v>
      </c>
      <c r="M391" s="51">
        <v>312.0</v>
      </c>
      <c r="N391" s="17">
        <v>97.0</v>
      </c>
      <c r="O391" s="24" t="s">
        <v>39</v>
      </c>
      <c r="P391" s="52">
        <v>30319.0</v>
      </c>
      <c r="Q391" s="51">
        <v>598.0</v>
      </c>
      <c r="R391" s="53">
        <v>-6182.6</v>
      </c>
      <c r="S391" s="24" t="s">
        <v>604</v>
      </c>
      <c r="T391" s="11">
        <v>5.0</v>
      </c>
      <c r="U391" s="52">
        <v>71213.0</v>
      </c>
      <c r="V391" s="11">
        <v>5.0</v>
      </c>
      <c r="W391" s="11">
        <v>5.0</v>
      </c>
      <c r="X391" s="48">
        <v>8.7403</v>
      </c>
      <c r="Y391" s="11">
        <f t="shared" si="2"/>
        <v>0.087403</v>
      </c>
    </row>
    <row r="392">
      <c r="A392" s="17">
        <v>43.0</v>
      </c>
      <c r="B392" s="24">
        <v>48.0</v>
      </c>
      <c r="C392" s="24">
        <v>4.0</v>
      </c>
      <c r="D392" s="24">
        <v>9.0</v>
      </c>
      <c r="E392" s="24">
        <v>68.0</v>
      </c>
      <c r="F392" s="48">
        <v>3.3526</v>
      </c>
      <c r="G392" s="49">
        <f t="shared" si="1"/>
        <v>0.033526</v>
      </c>
      <c r="H392" s="11">
        <v>5.0</v>
      </c>
      <c r="I392" s="11">
        <v>8.0</v>
      </c>
      <c r="J392" s="50">
        <v>82122.0</v>
      </c>
      <c r="K392" s="11">
        <v>2.0</v>
      </c>
      <c r="L392" s="11">
        <v>0.0</v>
      </c>
      <c r="M392" s="51">
        <v>52.0</v>
      </c>
      <c r="N392" s="17">
        <v>1.0</v>
      </c>
      <c r="O392" s="24" t="s">
        <v>31</v>
      </c>
      <c r="P392" s="52">
        <v>82023.0</v>
      </c>
      <c r="Q392" s="51">
        <v>675.0</v>
      </c>
      <c r="R392" s="53">
        <v>332.43</v>
      </c>
      <c r="S392" s="24" t="s">
        <v>602</v>
      </c>
      <c r="T392" s="11">
        <v>4.0</v>
      </c>
      <c r="U392" s="52">
        <v>10221.0</v>
      </c>
      <c r="V392" s="11">
        <v>0.0</v>
      </c>
      <c r="W392" s="11">
        <v>1.0</v>
      </c>
      <c r="X392" s="48">
        <v>9.4004</v>
      </c>
      <c r="Y392" s="11">
        <f t="shared" si="2"/>
        <v>0.094004</v>
      </c>
    </row>
    <row r="393">
      <c r="A393" s="17">
        <v>98.0</v>
      </c>
      <c r="B393" s="24">
        <v>68.0</v>
      </c>
      <c r="C393" s="24">
        <v>9.0</v>
      </c>
      <c r="D393" s="24">
        <v>6.0</v>
      </c>
      <c r="E393" s="24">
        <v>65.0</v>
      </c>
      <c r="F393" s="48">
        <v>2.7223</v>
      </c>
      <c r="G393" s="49">
        <f t="shared" si="1"/>
        <v>0.027223</v>
      </c>
      <c r="H393" s="11">
        <v>1.0</v>
      </c>
      <c r="I393" s="11">
        <v>9.0</v>
      </c>
      <c r="J393" s="50">
        <v>42214.0</v>
      </c>
      <c r="K393" s="11">
        <v>9.0</v>
      </c>
      <c r="L393" s="11">
        <v>0.0</v>
      </c>
      <c r="M393" s="51">
        <v>509.0</v>
      </c>
      <c r="N393" s="17">
        <v>32.0</v>
      </c>
      <c r="O393" s="24" t="s">
        <v>606</v>
      </c>
      <c r="P393" s="52">
        <v>92619.0</v>
      </c>
      <c r="Q393" s="51">
        <v>557.0</v>
      </c>
      <c r="R393" s="53">
        <v>-47922.38</v>
      </c>
      <c r="S393" s="24" t="s">
        <v>605</v>
      </c>
      <c r="T393" s="11">
        <v>4.0</v>
      </c>
      <c r="U393" s="52">
        <v>30820.0</v>
      </c>
      <c r="V393" s="11">
        <v>7.0</v>
      </c>
      <c r="W393" s="11">
        <v>6.0</v>
      </c>
      <c r="X393" s="48">
        <v>1.992</v>
      </c>
      <c r="Y393" s="11">
        <f t="shared" si="2"/>
        <v>0.01992</v>
      </c>
    </row>
    <row r="394">
      <c r="A394" s="17">
        <v>82.0</v>
      </c>
      <c r="B394" s="24">
        <v>48.0</v>
      </c>
      <c r="C394" s="24">
        <v>5.0</v>
      </c>
      <c r="D394" s="24">
        <v>4.0</v>
      </c>
      <c r="E394" s="24">
        <v>66.0</v>
      </c>
      <c r="F394" s="48">
        <v>5.649</v>
      </c>
      <c r="G394" s="49">
        <f t="shared" si="1"/>
        <v>0.05649</v>
      </c>
      <c r="H394" s="11">
        <v>7.0</v>
      </c>
      <c r="I394" s="11">
        <v>8.0</v>
      </c>
      <c r="J394" s="50">
        <v>32314.0</v>
      </c>
      <c r="K394" s="11">
        <v>1.0</v>
      </c>
      <c r="L394" s="11">
        <v>9.0</v>
      </c>
      <c r="M394" s="51">
        <v>740.0</v>
      </c>
      <c r="N394" s="17">
        <v>62.0</v>
      </c>
      <c r="O394" s="24" t="s">
        <v>39</v>
      </c>
      <c r="P394" s="52">
        <v>30822.0</v>
      </c>
      <c r="Q394" s="51">
        <v>266.0</v>
      </c>
      <c r="R394" s="53">
        <v>-319.49</v>
      </c>
      <c r="S394" s="24" t="s">
        <v>605</v>
      </c>
      <c r="T394" s="11">
        <v>8.0</v>
      </c>
      <c r="U394" s="52">
        <v>42717.0</v>
      </c>
      <c r="V394" s="11">
        <v>4.0</v>
      </c>
      <c r="W394" s="11">
        <v>6.0</v>
      </c>
      <c r="X394" s="48">
        <v>3.8784</v>
      </c>
      <c r="Y394" s="11">
        <f t="shared" si="2"/>
        <v>0.038784</v>
      </c>
    </row>
    <row r="395">
      <c r="A395" s="17">
        <v>24.0</v>
      </c>
      <c r="B395" s="24">
        <v>89.0</v>
      </c>
      <c r="C395" s="24">
        <v>5.0</v>
      </c>
      <c r="D395" s="24">
        <v>3.0</v>
      </c>
      <c r="E395" s="24">
        <v>68.0</v>
      </c>
      <c r="F395" s="48">
        <v>7.244</v>
      </c>
      <c r="G395" s="49">
        <f t="shared" si="1"/>
        <v>0.07244</v>
      </c>
      <c r="H395" s="11">
        <v>2.0</v>
      </c>
      <c r="I395" s="11">
        <v>4.0</v>
      </c>
      <c r="J395" s="50">
        <v>41217.0</v>
      </c>
      <c r="K395" s="11">
        <v>3.0</v>
      </c>
      <c r="L395" s="11">
        <v>6.0</v>
      </c>
      <c r="M395" s="51">
        <v>102.0</v>
      </c>
      <c r="N395" s="17">
        <v>73.0</v>
      </c>
      <c r="O395" s="24" t="s">
        <v>48</v>
      </c>
      <c r="P395" s="52">
        <v>31015.0</v>
      </c>
      <c r="Q395" s="51">
        <v>731.0</v>
      </c>
      <c r="R395" s="53">
        <v>900362.63</v>
      </c>
      <c r="S395" s="24" t="s">
        <v>605</v>
      </c>
      <c r="T395" s="11">
        <v>0.0</v>
      </c>
      <c r="U395" s="52">
        <v>11322.0</v>
      </c>
      <c r="V395" s="11">
        <v>3.0</v>
      </c>
      <c r="W395" s="11">
        <v>7.0</v>
      </c>
      <c r="X395" s="48">
        <v>2.8088</v>
      </c>
      <c r="Y395" s="11">
        <f t="shared" si="2"/>
        <v>0.028088</v>
      </c>
    </row>
    <row r="396">
      <c r="A396" s="17">
        <v>33.0</v>
      </c>
      <c r="B396" s="24">
        <v>48.0</v>
      </c>
      <c r="C396" s="24">
        <v>5.0</v>
      </c>
      <c r="D396" s="24">
        <v>9.0</v>
      </c>
      <c r="E396" s="24">
        <v>67.0</v>
      </c>
      <c r="F396" s="48">
        <v>3.2811</v>
      </c>
      <c r="G396" s="49">
        <f t="shared" si="1"/>
        <v>0.032811</v>
      </c>
      <c r="H396" s="11">
        <v>0.0</v>
      </c>
      <c r="I396" s="11">
        <v>1.0</v>
      </c>
      <c r="J396" s="50">
        <v>82317.0</v>
      </c>
      <c r="K396" s="11">
        <v>8.0</v>
      </c>
      <c r="L396" s="11">
        <v>8.0</v>
      </c>
      <c r="M396" s="51">
        <v>391.0</v>
      </c>
      <c r="N396" s="17">
        <v>21.0</v>
      </c>
      <c r="O396" s="24" t="s">
        <v>48</v>
      </c>
      <c r="P396" s="52">
        <v>10520.0</v>
      </c>
      <c r="Q396" s="51">
        <v>712.0</v>
      </c>
      <c r="R396" s="53">
        <v>2388.42</v>
      </c>
      <c r="S396" s="24" t="s">
        <v>600</v>
      </c>
      <c r="T396" s="11">
        <v>3.0</v>
      </c>
      <c r="U396" s="52">
        <v>92022.0</v>
      </c>
      <c r="V396" s="11">
        <v>8.0</v>
      </c>
      <c r="W396" s="11">
        <v>3.0</v>
      </c>
      <c r="X396" s="48">
        <v>4.9569</v>
      </c>
      <c r="Y396" s="11">
        <f t="shared" si="2"/>
        <v>0.049569</v>
      </c>
    </row>
    <row r="397">
      <c r="A397" s="17">
        <v>86.0</v>
      </c>
      <c r="B397" s="24">
        <v>89.0</v>
      </c>
      <c r="C397" s="24">
        <v>5.0</v>
      </c>
      <c r="D397" s="24">
        <v>5.0</v>
      </c>
      <c r="E397" s="24">
        <v>63.0</v>
      </c>
      <c r="F397" s="48">
        <v>9.6</v>
      </c>
      <c r="G397" s="49">
        <f t="shared" si="1"/>
        <v>0.096</v>
      </c>
      <c r="H397" s="11">
        <v>2.0</v>
      </c>
      <c r="I397" s="11">
        <v>6.0</v>
      </c>
      <c r="J397" s="50">
        <v>21220.0</v>
      </c>
      <c r="K397" s="11">
        <v>7.0</v>
      </c>
      <c r="L397" s="11">
        <v>7.0</v>
      </c>
      <c r="M397" s="51">
        <v>541.0</v>
      </c>
      <c r="N397" s="17">
        <v>41.0</v>
      </c>
      <c r="O397" s="24" t="s">
        <v>31</v>
      </c>
      <c r="P397" s="52">
        <v>82519.0</v>
      </c>
      <c r="Q397" s="51">
        <v>336.0</v>
      </c>
      <c r="R397" s="53">
        <v>57381.97</v>
      </c>
      <c r="S397" s="24" t="s">
        <v>602</v>
      </c>
      <c r="T397" s="11">
        <v>4.0</v>
      </c>
      <c r="U397" s="52">
        <v>91621.0</v>
      </c>
      <c r="V397" s="11">
        <v>6.0</v>
      </c>
      <c r="W397" s="11">
        <v>5.0</v>
      </c>
      <c r="X397" s="48">
        <v>7.4323</v>
      </c>
      <c r="Y397" s="11">
        <f t="shared" si="2"/>
        <v>0.074323</v>
      </c>
    </row>
    <row r="398">
      <c r="A398" s="17">
        <v>36.0</v>
      </c>
      <c r="B398" s="24">
        <v>69.0</v>
      </c>
      <c r="C398" s="24">
        <v>1.0</v>
      </c>
      <c r="D398" s="24">
        <v>1.0</v>
      </c>
      <c r="E398" s="24">
        <v>68.0</v>
      </c>
      <c r="F398" s="48">
        <v>7.4128</v>
      </c>
      <c r="G398" s="49">
        <f t="shared" si="1"/>
        <v>0.074128</v>
      </c>
      <c r="H398" s="11">
        <v>1.0</v>
      </c>
      <c r="I398" s="11">
        <v>6.0</v>
      </c>
      <c r="J398" s="50">
        <v>70415.0</v>
      </c>
      <c r="K398" s="11">
        <v>9.0</v>
      </c>
      <c r="L398" s="11">
        <v>9.0</v>
      </c>
      <c r="M398" s="51">
        <v>939.0</v>
      </c>
      <c r="N398" s="17">
        <v>17.0</v>
      </c>
      <c r="O398" s="24" t="s">
        <v>600</v>
      </c>
      <c r="P398" s="52">
        <v>71720.0</v>
      </c>
      <c r="Q398" s="51">
        <v>428.0</v>
      </c>
      <c r="R398" s="53">
        <v>-41650.4</v>
      </c>
      <c r="S398" s="24" t="s">
        <v>600</v>
      </c>
      <c r="T398" s="11">
        <v>6.0</v>
      </c>
      <c r="U398" s="52">
        <v>40718.0</v>
      </c>
      <c r="V398" s="11">
        <v>0.0</v>
      </c>
      <c r="W398" s="11">
        <v>4.0</v>
      </c>
      <c r="X398" s="48">
        <v>4.9816</v>
      </c>
      <c r="Y398" s="11">
        <f t="shared" si="2"/>
        <v>0.049816</v>
      </c>
    </row>
    <row r="399">
      <c r="A399" s="17">
        <v>66.0</v>
      </c>
      <c r="B399" s="24">
        <v>48.0</v>
      </c>
      <c r="C399" s="24">
        <v>6.0</v>
      </c>
      <c r="D399" s="24">
        <v>4.0</v>
      </c>
      <c r="E399" s="24">
        <v>62.0</v>
      </c>
      <c r="F399" s="48">
        <v>7.4894</v>
      </c>
      <c r="G399" s="49">
        <f t="shared" si="1"/>
        <v>0.074894</v>
      </c>
      <c r="H399" s="11">
        <v>0.0</v>
      </c>
      <c r="I399" s="11">
        <v>7.0</v>
      </c>
      <c r="J399" s="50">
        <v>31719.0</v>
      </c>
      <c r="K399" s="11">
        <v>1.0</v>
      </c>
      <c r="L399" s="11">
        <v>8.0</v>
      </c>
      <c r="M399" s="51">
        <v>335.0</v>
      </c>
      <c r="N399" s="17">
        <v>12.0</v>
      </c>
      <c r="O399" s="24" t="s">
        <v>601</v>
      </c>
      <c r="P399" s="52">
        <v>30622.0</v>
      </c>
      <c r="Q399" s="51">
        <v>686.0</v>
      </c>
      <c r="R399" s="53">
        <v>513533.13</v>
      </c>
      <c r="S399" s="24" t="s">
        <v>605</v>
      </c>
      <c r="T399" s="11">
        <v>8.0</v>
      </c>
      <c r="U399" s="52">
        <v>110719.0</v>
      </c>
      <c r="V399" s="11">
        <v>9.0</v>
      </c>
      <c r="W399" s="11">
        <v>1.0</v>
      </c>
      <c r="X399" s="48">
        <v>6.7109</v>
      </c>
      <c r="Y399" s="11">
        <f t="shared" si="2"/>
        <v>0.067109</v>
      </c>
    </row>
    <row r="400">
      <c r="A400" s="17">
        <v>2.0</v>
      </c>
      <c r="B400" s="24">
        <v>28.0</v>
      </c>
      <c r="C400" s="24">
        <v>1.0</v>
      </c>
      <c r="D400" s="24">
        <v>5.0</v>
      </c>
      <c r="E400" s="24">
        <v>61.0</v>
      </c>
      <c r="F400" s="48">
        <v>1.6758</v>
      </c>
      <c r="G400" s="49">
        <f t="shared" si="1"/>
        <v>0.016758</v>
      </c>
      <c r="H400" s="11">
        <v>7.0</v>
      </c>
      <c r="I400" s="11">
        <v>4.0</v>
      </c>
      <c r="J400" s="50">
        <v>80416.0</v>
      </c>
      <c r="K400" s="11">
        <v>2.0</v>
      </c>
      <c r="L400" s="11">
        <v>4.0</v>
      </c>
      <c r="M400" s="51">
        <v>865.0</v>
      </c>
      <c r="N400" s="17">
        <v>52.0</v>
      </c>
      <c r="O400" s="24" t="s">
        <v>606</v>
      </c>
      <c r="P400" s="52">
        <v>30316.0</v>
      </c>
      <c r="Q400" s="51">
        <v>563.0</v>
      </c>
      <c r="R400" s="53">
        <v>-709.7</v>
      </c>
      <c r="S400" s="24" t="s">
        <v>605</v>
      </c>
      <c r="T400" s="11">
        <v>1.0</v>
      </c>
      <c r="U400" s="52">
        <v>40819.0</v>
      </c>
      <c r="V400" s="11">
        <v>2.0</v>
      </c>
      <c r="W400" s="11">
        <v>7.0</v>
      </c>
      <c r="X400" s="48">
        <v>2.2422</v>
      </c>
      <c r="Y400" s="11">
        <f t="shared" si="2"/>
        <v>0.022422</v>
      </c>
    </row>
    <row r="401">
      <c r="A401" s="17">
        <v>87.0</v>
      </c>
      <c r="B401" s="24">
        <v>28.0</v>
      </c>
      <c r="C401" s="24">
        <v>1.0</v>
      </c>
      <c r="D401" s="24">
        <v>9.0</v>
      </c>
      <c r="E401" s="24">
        <v>60.0</v>
      </c>
      <c r="F401" s="48">
        <v>6.2539</v>
      </c>
      <c r="G401" s="49">
        <f t="shared" si="1"/>
        <v>0.062539</v>
      </c>
      <c r="H401" s="11">
        <v>4.0</v>
      </c>
      <c r="I401" s="11">
        <v>8.0</v>
      </c>
      <c r="J401" s="50">
        <v>121818.0</v>
      </c>
      <c r="K401" s="11">
        <v>5.0</v>
      </c>
      <c r="L401" s="11">
        <v>7.0</v>
      </c>
      <c r="M401" s="51">
        <v>641.0</v>
      </c>
      <c r="N401" s="17">
        <v>62.0</v>
      </c>
      <c r="O401" s="24" t="s">
        <v>48</v>
      </c>
      <c r="P401" s="52">
        <v>103116.0</v>
      </c>
      <c r="Q401" s="51">
        <v>41.0</v>
      </c>
      <c r="R401" s="53">
        <v>-6017.68</v>
      </c>
      <c r="S401" s="24" t="s">
        <v>604</v>
      </c>
      <c r="T401" s="11">
        <v>3.0</v>
      </c>
      <c r="U401" s="52">
        <v>22718.0</v>
      </c>
      <c r="V401" s="11">
        <v>0.0</v>
      </c>
      <c r="W401" s="11">
        <v>3.0</v>
      </c>
      <c r="X401" s="48">
        <v>5.3555</v>
      </c>
      <c r="Y401" s="11">
        <f t="shared" si="2"/>
        <v>0.053555</v>
      </c>
    </row>
    <row r="402">
      <c r="A402" s="17">
        <v>36.0</v>
      </c>
      <c r="B402" s="24">
        <v>28.0</v>
      </c>
      <c r="C402" s="24">
        <v>2.0</v>
      </c>
      <c r="D402" s="24">
        <v>2.0</v>
      </c>
      <c r="E402" s="24">
        <v>65.0</v>
      </c>
      <c r="F402" s="48">
        <v>6.649</v>
      </c>
      <c r="G402" s="49">
        <f t="shared" si="1"/>
        <v>0.06649</v>
      </c>
      <c r="H402" s="11">
        <v>0.0</v>
      </c>
      <c r="I402" s="11">
        <v>7.0</v>
      </c>
      <c r="J402" s="50">
        <v>32014.0</v>
      </c>
      <c r="K402" s="11">
        <v>8.0</v>
      </c>
      <c r="L402" s="11">
        <v>1.0</v>
      </c>
      <c r="M402" s="51">
        <v>871.0</v>
      </c>
      <c r="N402" s="17">
        <v>75.0</v>
      </c>
      <c r="O402" s="24" t="s">
        <v>603</v>
      </c>
      <c r="P402" s="52">
        <v>81518.0</v>
      </c>
      <c r="Q402" s="51">
        <v>290.0</v>
      </c>
      <c r="R402" s="53">
        <v>-105.78</v>
      </c>
      <c r="S402" s="24" t="s">
        <v>600</v>
      </c>
      <c r="T402" s="11">
        <v>3.0</v>
      </c>
      <c r="U402" s="52">
        <v>62420.0</v>
      </c>
      <c r="V402" s="11">
        <v>8.0</v>
      </c>
      <c r="W402" s="11">
        <v>9.0</v>
      </c>
      <c r="X402" s="48">
        <v>3.4303</v>
      </c>
      <c r="Y402" s="11">
        <f t="shared" si="2"/>
        <v>0.034303</v>
      </c>
    </row>
    <row r="403">
      <c r="A403" s="17">
        <v>11.0</v>
      </c>
      <c r="B403" s="24">
        <v>28.0</v>
      </c>
      <c r="C403" s="24">
        <v>2.0</v>
      </c>
      <c r="D403" s="24">
        <v>5.0</v>
      </c>
      <c r="E403" s="24">
        <v>60.0</v>
      </c>
      <c r="F403" s="48">
        <v>9.1518</v>
      </c>
      <c r="G403" s="49">
        <f t="shared" si="1"/>
        <v>0.091518</v>
      </c>
      <c r="H403" s="11">
        <v>7.0</v>
      </c>
      <c r="I403" s="11">
        <v>7.0</v>
      </c>
      <c r="J403" s="50">
        <v>82421.0</v>
      </c>
      <c r="K403" s="11">
        <v>6.0</v>
      </c>
      <c r="L403" s="11">
        <v>5.0</v>
      </c>
      <c r="M403" s="51">
        <v>784.0</v>
      </c>
      <c r="N403" s="17">
        <v>63.0</v>
      </c>
      <c r="O403" s="24" t="s">
        <v>600</v>
      </c>
      <c r="P403" s="52">
        <v>33114.0</v>
      </c>
      <c r="Q403" s="51">
        <v>768.0</v>
      </c>
      <c r="R403" s="53">
        <v>-9933.42</v>
      </c>
      <c r="S403" s="24" t="s">
        <v>600</v>
      </c>
      <c r="T403" s="11">
        <v>5.0</v>
      </c>
      <c r="U403" s="52">
        <v>110914.0</v>
      </c>
      <c r="V403" s="11">
        <v>4.0</v>
      </c>
      <c r="W403" s="11">
        <v>0.0</v>
      </c>
      <c r="X403" s="48">
        <v>8.7016</v>
      </c>
      <c r="Y403" s="11">
        <f t="shared" si="2"/>
        <v>0.087016</v>
      </c>
    </row>
    <row r="404">
      <c r="A404" s="17">
        <v>84.0</v>
      </c>
      <c r="B404" s="24">
        <v>28.0</v>
      </c>
      <c r="C404" s="24">
        <v>2.0</v>
      </c>
      <c r="D404" s="24">
        <v>8.0</v>
      </c>
      <c r="E404" s="24">
        <v>64.0</v>
      </c>
      <c r="F404" s="48">
        <v>7.6441</v>
      </c>
      <c r="G404" s="49">
        <f t="shared" si="1"/>
        <v>0.076441</v>
      </c>
      <c r="H404" s="11">
        <v>2.0</v>
      </c>
      <c r="I404" s="11">
        <v>1.0</v>
      </c>
      <c r="J404" s="50">
        <v>40521.0</v>
      </c>
      <c r="K404" s="11">
        <v>0.0</v>
      </c>
      <c r="L404" s="11">
        <v>9.0</v>
      </c>
      <c r="M404" s="51">
        <v>834.0</v>
      </c>
      <c r="N404" s="17">
        <v>54.0</v>
      </c>
      <c r="O404" s="24" t="s">
        <v>39</v>
      </c>
      <c r="P404" s="52">
        <v>62921.0</v>
      </c>
      <c r="Q404" s="51">
        <v>621.0</v>
      </c>
      <c r="R404" s="53">
        <v>-922589.35</v>
      </c>
      <c r="S404" s="24" t="s">
        <v>605</v>
      </c>
      <c r="T404" s="11">
        <v>8.0</v>
      </c>
      <c r="U404" s="52">
        <v>92318.0</v>
      </c>
      <c r="V404" s="11">
        <v>9.0</v>
      </c>
      <c r="W404" s="11">
        <v>8.0</v>
      </c>
      <c r="X404" s="48">
        <v>5.2383</v>
      </c>
      <c r="Y404" s="11">
        <f t="shared" si="2"/>
        <v>0.052383</v>
      </c>
    </row>
    <row r="405">
      <c r="A405" s="17">
        <v>35.0</v>
      </c>
      <c r="B405" s="24">
        <v>89.0</v>
      </c>
      <c r="C405" s="24">
        <v>7.0</v>
      </c>
      <c r="D405" s="24">
        <v>3.0</v>
      </c>
      <c r="E405" s="24">
        <v>67.0</v>
      </c>
      <c r="F405" s="48">
        <v>9.9958</v>
      </c>
      <c r="G405" s="49">
        <f t="shared" si="1"/>
        <v>0.099958</v>
      </c>
      <c r="H405" s="11">
        <v>7.0</v>
      </c>
      <c r="I405" s="11">
        <v>5.0</v>
      </c>
      <c r="J405" s="50">
        <v>62321.0</v>
      </c>
      <c r="K405" s="11">
        <v>9.0</v>
      </c>
      <c r="L405" s="11">
        <v>3.0</v>
      </c>
      <c r="M405" s="51">
        <v>744.0</v>
      </c>
      <c r="N405" s="17">
        <v>30.0</v>
      </c>
      <c r="O405" s="24" t="s">
        <v>603</v>
      </c>
      <c r="P405" s="52">
        <v>111122.0</v>
      </c>
      <c r="Q405" s="51">
        <v>117.0</v>
      </c>
      <c r="R405" s="53">
        <v>-5450.35</v>
      </c>
      <c r="S405" s="24" t="s">
        <v>604</v>
      </c>
      <c r="T405" s="11">
        <v>6.0</v>
      </c>
      <c r="U405" s="52">
        <v>90819.0</v>
      </c>
      <c r="V405" s="11">
        <v>4.0</v>
      </c>
      <c r="W405" s="11">
        <v>4.0</v>
      </c>
      <c r="X405" s="48">
        <v>2.8412</v>
      </c>
      <c r="Y405" s="11">
        <f t="shared" si="2"/>
        <v>0.028412</v>
      </c>
    </row>
    <row r="406">
      <c r="A406" s="17">
        <v>86.0</v>
      </c>
      <c r="B406" s="24">
        <v>48.0</v>
      </c>
      <c r="C406" s="24">
        <v>7.0</v>
      </c>
      <c r="D406" s="24">
        <v>9.0</v>
      </c>
      <c r="E406" s="24">
        <v>60.0</v>
      </c>
      <c r="F406" s="48">
        <v>2.5152</v>
      </c>
      <c r="G406" s="49">
        <f t="shared" si="1"/>
        <v>0.025152</v>
      </c>
      <c r="H406" s="11">
        <v>4.0</v>
      </c>
      <c r="I406" s="11">
        <v>3.0</v>
      </c>
      <c r="J406" s="50">
        <v>81520.0</v>
      </c>
      <c r="K406" s="11">
        <v>3.0</v>
      </c>
      <c r="L406" s="11">
        <v>8.0</v>
      </c>
      <c r="M406" s="51">
        <v>139.0</v>
      </c>
      <c r="N406" s="17">
        <v>93.0</v>
      </c>
      <c r="O406" s="24" t="s">
        <v>601</v>
      </c>
      <c r="P406" s="52">
        <v>122517.0</v>
      </c>
      <c r="Q406" s="51">
        <v>451.0</v>
      </c>
      <c r="R406" s="53">
        <v>-922.94</v>
      </c>
      <c r="S406" s="24" t="s">
        <v>602</v>
      </c>
      <c r="T406" s="11">
        <v>6.0</v>
      </c>
      <c r="U406" s="52">
        <v>41920.0</v>
      </c>
      <c r="V406" s="11">
        <v>7.0</v>
      </c>
      <c r="W406" s="11">
        <v>1.0</v>
      </c>
      <c r="X406" s="48">
        <v>6.2077</v>
      </c>
      <c r="Y406" s="11">
        <f t="shared" si="2"/>
        <v>0.062077</v>
      </c>
    </row>
    <row r="407">
      <c r="A407" s="17">
        <v>23.0</v>
      </c>
      <c r="B407" s="24">
        <v>89.0</v>
      </c>
      <c r="C407" s="24">
        <v>7.0</v>
      </c>
      <c r="D407" s="24">
        <v>6.0</v>
      </c>
      <c r="E407" s="24">
        <v>67.0</v>
      </c>
      <c r="F407" s="48">
        <v>5.2919</v>
      </c>
      <c r="G407" s="49">
        <f t="shared" si="1"/>
        <v>0.052919</v>
      </c>
      <c r="H407" s="11">
        <v>0.0</v>
      </c>
      <c r="I407" s="11">
        <v>3.0</v>
      </c>
      <c r="J407" s="50">
        <v>92613.0</v>
      </c>
      <c r="K407" s="11">
        <v>0.0</v>
      </c>
      <c r="L407" s="11">
        <v>1.0</v>
      </c>
      <c r="M407" s="51">
        <v>111.0</v>
      </c>
      <c r="N407" s="17">
        <v>80.0</v>
      </c>
      <c r="O407" s="24" t="s">
        <v>601</v>
      </c>
      <c r="P407" s="52">
        <v>71321.0</v>
      </c>
      <c r="Q407" s="51">
        <v>836.0</v>
      </c>
      <c r="R407" s="53">
        <v>3344.6</v>
      </c>
      <c r="S407" s="24" t="s">
        <v>605</v>
      </c>
      <c r="T407" s="11">
        <v>1.0</v>
      </c>
      <c r="U407" s="52">
        <v>32921.0</v>
      </c>
      <c r="V407" s="11">
        <v>0.0</v>
      </c>
      <c r="W407" s="11">
        <v>8.0</v>
      </c>
      <c r="X407" s="48">
        <v>1.3586</v>
      </c>
      <c r="Y407" s="11">
        <f t="shared" si="2"/>
        <v>0.013586</v>
      </c>
    </row>
    <row r="408">
      <c r="A408" s="17">
        <v>26.0</v>
      </c>
      <c r="B408" s="24">
        <v>28.0</v>
      </c>
      <c r="C408" s="24">
        <v>3.0</v>
      </c>
      <c r="D408" s="24">
        <v>5.0</v>
      </c>
      <c r="E408" s="24">
        <v>60.0</v>
      </c>
      <c r="F408" s="48">
        <v>9.5119</v>
      </c>
      <c r="G408" s="49">
        <f t="shared" si="1"/>
        <v>0.095119</v>
      </c>
      <c r="H408" s="11">
        <v>3.0</v>
      </c>
      <c r="I408" s="11">
        <v>4.0</v>
      </c>
      <c r="J408" s="50">
        <v>102618.0</v>
      </c>
      <c r="K408" s="11">
        <v>7.0</v>
      </c>
      <c r="L408" s="11">
        <v>1.0</v>
      </c>
      <c r="M408" s="51">
        <v>551.0</v>
      </c>
      <c r="N408" s="17">
        <v>65.0</v>
      </c>
      <c r="O408" s="24" t="s">
        <v>600</v>
      </c>
      <c r="P408" s="52">
        <v>111822.0</v>
      </c>
      <c r="Q408" s="51">
        <v>896.0</v>
      </c>
      <c r="R408" s="53">
        <v>-87811.39</v>
      </c>
      <c r="S408" s="24" t="s">
        <v>604</v>
      </c>
      <c r="T408" s="11">
        <v>0.0</v>
      </c>
      <c r="U408" s="52">
        <v>102615.0</v>
      </c>
      <c r="V408" s="11">
        <v>0.0</v>
      </c>
      <c r="W408" s="11">
        <v>5.0</v>
      </c>
      <c r="X408" s="48">
        <v>8.2533</v>
      </c>
      <c r="Y408" s="11">
        <f t="shared" si="2"/>
        <v>0.082533</v>
      </c>
    </row>
    <row r="409">
      <c r="A409" s="17">
        <v>99.0</v>
      </c>
      <c r="B409" s="24">
        <v>69.0</v>
      </c>
      <c r="C409" s="24">
        <v>3.0</v>
      </c>
      <c r="D409" s="24">
        <v>2.0</v>
      </c>
      <c r="E409" s="24">
        <v>60.0</v>
      </c>
      <c r="F409" s="48">
        <v>1.8869</v>
      </c>
      <c r="G409" s="49">
        <f t="shared" si="1"/>
        <v>0.018869</v>
      </c>
      <c r="H409" s="11">
        <v>1.0</v>
      </c>
      <c r="I409" s="11">
        <v>3.0</v>
      </c>
      <c r="J409" s="50">
        <v>101316.0</v>
      </c>
      <c r="K409" s="11">
        <v>7.0</v>
      </c>
      <c r="L409" s="11">
        <v>1.0</v>
      </c>
      <c r="M409" s="51">
        <v>256.0</v>
      </c>
      <c r="N409" s="17">
        <v>94.0</v>
      </c>
      <c r="O409" s="24" t="s">
        <v>601</v>
      </c>
      <c r="P409" s="52">
        <v>122720.0</v>
      </c>
      <c r="Q409" s="51">
        <v>297.0</v>
      </c>
      <c r="R409" s="53">
        <v>33581.26</v>
      </c>
      <c r="S409" s="24" t="s">
        <v>602</v>
      </c>
      <c r="T409" s="11">
        <v>3.0</v>
      </c>
      <c r="U409" s="52">
        <v>72013.0</v>
      </c>
      <c r="V409" s="11">
        <v>5.0</v>
      </c>
      <c r="W409" s="11">
        <v>6.0</v>
      </c>
      <c r="X409" s="48">
        <v>2.3097</v>
      </c>
      <c r="Y409" s="11">
        <f t="shared" si="2"/>
        <v>0.023097</v>
      </c>
    </row>
    <row r="410">
      <c r="A410" s="17">
        <v>19.0</v>
      </c>
      <c r="B410" s="24">
        <v>89.0</v>
      </c>
      <c r="C410" s="24">
        <v>8.0</v>
      </c>
      <c r="D410" s="24">
        <v>1.0</v>
      </c>
      <c r="E410" s="24">
        <v>68.0</v>
      </c>
      <c r="F410" s="48">
        <v>9.421</v>
      </c>
      <c r="G410" s="49">
        <f t="shared" si="1"/>
        <v>0.09421</v>
      </c>
      <c r="H410" s="11">
        <v>1.0</v>
      </c>
      <c r="I410" s="11">
        <v>7.0</v>
      </c>
      <c r="J410" s="50">
        <v>22418.0</v>
      </c>
      <c r="K410" s="11">
        <v>6.0</v>
      </c>
      <c r="L410" s="11">
        <v>2.0</v>
      </c>
      <c r="M410" s="51">
        <v>26.0</v>
      </c>
      <c r="N410" s="17">
        <v>38.0</v>
      </c>
      <c r="O410" s="24" t="s">
        <v>601</v>
      </c>
      <c r="P410" s="52">
        <v>70120.0</v>
      </c>
      <c r="Q410" s="51">
        <v>975.0</v>
      </c>
      <c r="R410" s="53">
        <v>4219.9</v>
      </c>
      <c r="S410" s="24" t="s">
        <v>600</v>
      </c>
      <c r="T410" s="11">
        <v>1.0</v>
      </c>
      <c r="U410" s="52">
        <v>60616.0</v>
      </c>
      <c r="V410" s="11">
        <v>3.0</v>
      </c>
      <c r="W410" s="11">
        <v>7.0</v>
      </c>
      <c r="X410" s="48">
        <v>7.8521</v>
      </c>
      <c r="Y410" s="11">
        <f t="shared" si="2"/>
        <v>0.078521</v>
      </c>
    </row>
    <row r="411">
      <c r="A411" s="17">
        <v>61.0</v>
      </c>
      <c r="B411" s="24">
        <v>48.0</v>
      </c>
      <c r="C411" s="24">
        <v>8.0</v>
      </c>
      <c r="D411" s="24">
        <v>7.0</v>
      </c>
      <c r="E411" s="24">
        <v>65.0</v>
      </c>
      <c r="F411" s="48">
        <v>6.4406</v>
      </c>
      <c r="G411" s="49">
        <f t="shared" si="1"/>
        <v>0.064406</v>
      </c>
      <c r="H411" s="11">
        <v>1.0</v>
      </c>
      <c r="I411" s="11">
        <v>1.0</v>
      </c>
      <c r="J411" s="50">
        <v>92517.0</v>
      </c>
      <c r="K411" s="11">
        <v>2.0</v>
      </c>
      <c r="L411" s="11">
        <v>6.0</v>
      </c>
      <c r="M411" s="51">
        <v>988.0</v>
      </c>
      <c r="N411" s="17">
        <v>51.0</v>
      </c>
      <c r="O411" s="24" t="s">
        <v>31</v>
      </c>
      <c r="P411" s="52">
        <v>61713.0</v>
      </c>
      <c r="Q411" s="51">
        <v>498.0</v>
      </c>
      <c r="R411" s="53">
        <v>965.49</v>
      </c>
      <c r="S411" s="24" t="s">
        <v>604</v>
      </c>
      <c r="T411" s="11">
        <v>2.0</v>
      </c>
      <c r="U411" s="52">
        <v>102719.0</v>
      </c>
      <c r="V411" s="11">
        <v>2.0</v>
      </c>
      <c r="W411" s="11">
        <v>5.0</v>
      </c>
      <c r="X411" s="48">
        <v>4.5909</v>
      </c>
      <c r="Y411" s="11">
        <f t="shared" si="2"/>
        <v>0.045909</v>
      </c>
    </row>
    <row r="412">
      <c r="A412" s="17">
        <v>40.0</v>
      </c>
      <c r="B412" s="24">
        <v>69.0</v>
      </c>
      <c r="C412" s="24">
        <v>3.0</v>
      </c>
      <c r="D412" s="24">
        <v>6.0</v>
      </c>
      <c r="E412" s="24">
        <v>65.0</v>
      </c>
      <c r="F412" s="48">
        <v>3.2524</v>
      </c>
      <c r="G412" s="49">
        <f t="shared" si="1"/>
        <v>0.032524</v>
      </c>
      <c r="H412" s="11">
        <v>7.0</v>
      </c>
      <c r="I412" s="11">
        <v>7.0</v>
      </c>
      <c r="J412" s="50">
        <v>100514.0</v>
      </c>
      <c r="K412" s="11">
        <v>1.0</v>
      </c>
      <c r="L412" s="11">
        <v>4.0</v>
      </c>
      <c r="M412" s="51">
        <v>806.0</v>
      </c>
      <c r="N412" s="17">
        <v>50.0</v>
      </c>
      <c r="O412" s="24" t="s">
        <v>31</v>
      </c>
      <c r="P412" s="52">
        <v>30914.0</v>
      </c>
      <c r="Q412" s="51">
        <v>171.0</v>
      </c>
      <c r="R412" s="53">
        <v>898.83</v>
      </c>
      <c r="S412" s="24" t="s">
        <v>602</v>
      </c>
      <c r="T412" s="11">
        <v>8.0</v>
      </c>
      <c r="U412" s="52">
        <v>41318.0</v>
      </c>
      <c r="V412" s="11">
        <v>9.0</v>
      </c>
      <c r="W412" s="11">
        <v>3.0</v>
      </c>
      <c r="X412" s="48">
        <v>3.8113</v>
      </c>
      <c r="Y412" s="11">
        <f t="shared" si="2"/>
        <v>0.038113</v>
      </c>
    </row>
    <row r="413">
      <c r="A413" s="17">
        <v>5.0</v>
      </c>
      <c r="B413" s="24">
        <v>89.0</v>
      </c>
      <c r="C413" s="24">
        <v>8.0</v>
      </c>
      <c r="D413" s="24">
        <v>6.0</v>
      </c>
      <c r="E413" s="24">
        <v>61.0</v>
      </c>
      <c r="F413" s="48">
        <v>9.9325</v>
      </c>
      <c r="G413" s="49">
        <f t="shared" si="1"/>
        <v>0.099325</v>
      </c>
      <c r="H413" s="11">
        <v>3.0</v>
      </c>
      <c r="I413" s="11">
        <v>1.0</v>
      </c>
      <c r="J413" s="50">
        <v>10721.0</v>
      </c>
      <c r="K413" s="11">
        <v>7.0</v>
      </c>
      <c r="L413" s="11">
        <v>1.0</v>
      </c>
      <c r="M413" s="51">
        <v>161.0</v>
      </c>
      <c r="N413" s="17">
        <v>15.0</v>
      </c>
      <c r="O413" s="24" t="s">
        <v>601</v>
      </c>
      <c r="P413" s="52">
        <v>61121.0</v>
      </c>
      <c r="Q413" s="51">
        <v>991.0</v>
      </c>
      <c r="R413" s="53">
        <v>-316504.33</v>
      </c>
      <c r="S413" s="24" t="s">
        <v>605</v>
      </c>
      <c r="T413" s="11">
        <v>2.0</v>
      </c>
      <c r="U413" s="52">
        <v>92314.0</v>
      </c>
      <c r="V413" s="11">
        <v>0.0</v>
      </c>
      <c r="W413" s="11">
        <v>2.0</v>
      </c>
      <c r="X413" s="48">
        <v>8.5542</v>
      </c>
      <c r="Y413" s="11">
        <f t="shared" si="2"/>
        <v>0.085542</v>
      </c>
    </row>
    <row r="414">
      <c r="A414" s="17">
        <v>67.0</v>
      </c>
      <c r="B414" s="24">
        <v>28.0</v>
      </c>
      <c r="C414" s="24">
        <v>4.0</v>
      </c>
      <c r="D414" s="24">
        <v>3.0</v>
      </c>
      <c r="E414" s="24">
        <v>65.0</v>
      </c>
      <c r="F414" s="48">
        <v>3.269</v>
      </c>
      <c r="G414" s="49">
        <f t="shared" si="1"/>
        <v>0.03269</v>
      </c>
      <c r="H414" s="11">
        <v>8.0</v>
      </c>
      <c r="I414" s="11">
        <v>2.0</v>
      </c>
      <c r="J414" s="50">
        <v>121614.0</v>
      </c>
      <c r="K414" s="11">
        <v>2.0</v>
      </c>
      <c r="L414" s="11">
        <v>4.0</v>
      </c>
      <c r="M414" s="51">
        <v>898.0</v>
      </c>
      <c r="N414" s="17">
        <v>47.0</v>
      </c>
      <c r="O414" s="24" t="s">
        <v>600</v>
      </c>
      <c r="P414" s="52">
        <v>42621.0</v>
      </c>
      <c r="Q414" s="51">
        <v>54.0</v>
      </c>
      <c r="R414" s="53">
        <v>373239.3</v>
      </c>
      <c r="S414" s="24" t="s">
        <v>605</v>
      </c>
      <c r="T414" s="11">
        <v>8.0</v>
      </c>
      <c r="U414" s="52">
        <v>101316.0</v>
      </c>
      <c r="V414" s="11">
        <v>3.0</v>
      </c>
      <c r="W414" s="11">
        <v>6.0</v>
      </c>
      <c r="X414" s="48">
        <v>2.3974</v>
      </c>
      <c r="Y414" s="11">
        <f t="shared" si="2"/>
        <v>0.023974</v>
      </c>
    </row>
    <row r="415">
      <c r="A415" s="17">
        <v>37.0</v>
      </c>
      <c r="B415" s="24">
        <v>48.0</v>
      </c>
      <c r="C415" s="24">
        <v>9.0</v>
      </c>
      <c r="D415" s="24">
        <v>1.0</v>
      </c>
      <c r="E415" s="24">
        <v>62.0</v>
      </c>
      <c r="F415" s="48">
        <v>8.6288</v>
      </c>
      <c r="G415" s="49">
        <f t="shared" si="1"/>
        <v>0.086288</v>
      </c>
      <c r="H415" s="11">
        <v>5.0</v>
      </c>
      <c r="I415" s="11">
        <v>6.0</v>
      </c>
      <c r="J415" s="50">
        <v>100216.0</v>
      </c>
      <c r="K415" s="11">
        <v>9.0</v>
      </c>
      <c r="L415" s="11">
        <v>7.0</v>
      </c>
      <c r="M415" s="51">
        <v>347.0</v>
      </c>
      <c r="N415" s="17">
        <v>98.0</v>
      </c>
      <c r="O415" s="24" t="s">
        <v>39</v>
      </c>
      <c r="P415" s="52">
        <v>61813.0</v>
      </c>
      <c r="Q415" s="51">
        <v>468.0</v>
      </c>
      <c r="R415" s="53">
        <v>-856.54</v>
      </c>
      <c r="S415" s="24" t="s">
        <v>605</v>
      </c>
      <c r="T415" s="11">
        <v>6.0</v>
      </c>
      <c r="U415" s="52">
        <v>92816.0</v>
      </c>
      <c r="V415" s="11">
        <v>6.0</v>
      </c>
      <c r="W415" s="11">
        <v>3.0</v>
      </c>
      <c r="X415" s="48">
        <v>1.1391</v>
      </c>
      <c r="Y415" s="11">
        <f t="shared" si="2"/>
        <v>0.011391</v>
      </c>
    </row>
    <row r="416">
      <c r="A416" s="17">
        <v>57.0</v>
      </c>
      <c r="B416" s="24">
        <v>89.0</v>
      </c>
      <c r="C416" s="24">
        <v>8.0</v>
      </c>
      <c r="D416" s="24">
        <v>9.0</v>
      </c>
      <c r="E416" s="24">
        <v>66.0</v>
      </c>
      <c r="F416" s="48">
        <v>7.8398</v>
      </c>
      <c r="G416" s="49">
        <f t="shared" si="1"/>
        <v>0.078398</v>
      </c>
      <c r="H416" s="11">
        <v>8.0</v>
      </c>
      <c r="I416" s="11">
        <v>9.0</v>
      </c>
      <c r="J416" s="50">
        <v>21718.0</v>
      </c>
      <c r="K416" s="11">
        <v>1.0</v>
      </c>
      <c r="L416" s="11">
        <v>3.0</v>
      </c>
      <c r="M416" s="51">
        <v>413.0</v>
      </c>
      <c r="N416" s="17">
        <v>40.0</v>
      </c>
      <c r="O416" s="24" t="s">
        <v>600</v>
      </c>
      <c r="P416" s="52">
        <v>41822.0</v>
      </c>
      <c r="Q416" s="51">
        <v>783.0</v>
      </c>
      <c r="R416" s="53">
        <v>361388.33</v>
      </c>
      <c r="S416" s="24" t="s">
        <v>600</v>
      </c>
      <c r="T416" s="11">
        <v>6.0</v>
      </c>
      <c r="U416" s="52">
        <v>50214.0</v>
      </c>
      <c r="V416" s="11">
        <v>0.0</v>
      </c>
      <c r="W416" s="11">
        <v>9.0</v>
      </c>
      <c r="X416" s="48">
        <v>1.7621</v>
      </c>
      <c r="Y416" s="11">
        <f t="shared" si="2"/>
        <v>0.017621</v>
      </c>
    </row>
    <row r="417">
      <c r="A417" s="17">
        <v>50.0</v>
      </c>
      <c r="B417" s="24">
        <v>69.0</v>
      </c>
      <c r="C417" s="24">
        <v>4.0</v>
      </c>
      <c r="D417" s="24">
        <v>1.0</v>
      </c>
      <c r="E417" s="24">
        <v>60.0</v>
      </c>
      <c r="F417" s="48">
        <v>8.3642</v>
      </c>
      <c r="G417" s="49">
        <f t="shared" si="1"/>
        <v>0.083642</v>
      </c>
      <c r="H417" s="11">
        <v>1.0</v>
      </c>
      <c r="I417" s="11">
        <v>3.0</v>
      </c>
      <c r="J417" s="50">
        <v>73113.0</v>
      </c>
      <c r="K417" s="11">
        <v>0.0</v>
      </c>
      <c r="L417" s="11">
        <v>2.0</v>
      </c>
      <c r="M417" s="51">
        <v>789.0</v>
      </c>
      <c r="N417" s="17">
        <v>64.0</v>
      </c>
      <c r="O417" s="24" t="s">
        <v>48</v>
      </c>
      <c r="P417" s="52">
        <v>91314.0</v>
      </c>
      <c r="Q417" s="51">
        <v>954.0</v>
      </c>
      <c r="R417" s="53">
        <v>-489.58</v>
      </c>
      <c r="S417" s="24" t="s">
        <v>605</v>
      </c>
      <c r="T417" s="11">
        <v>0.0</v>
      </c>
      <c r="U417" s="52">
        <v>123113.0</v>
      </c>
      <c r="V417" s="11">
        <v>3.0</v>
      </c>
      <c r="W417" s="11">
        <v>8.0</v>
      </c>
      <c r="X417" s="48">
        <v>8.6609</v>
      </c>
      <c r="Y417" s="11">
        <f t="shared" si="2"/>
        <v>0.086609</v>
      </c>
    </row>
    <row r="418">
      <c r="A418" s="17">
        <v>38.0</v>
      </c>
      <c r="B418" s="24">
        <v>28.0</v>
      </c>
      <c r="C418" s="24">
        <v>5.0</v>
      </c>
      <c r="D418" s="24">
        <v>5.0</v>
      </c>
      <c r="E418" s="24">
        <v>62.0</v>
      </c>
      <c r="F418" s="48">
        <v>6.9261</v>
      </c>
      <c r="G418" s="49">
        <f t="shared" si="1"/>
        <v>0.069261</v>
      </c>
      <c r="H418" s="11">
        <v>4.0</v>
      </c>
      <c r="I418" s="11">
        <v>9.0</v>
      </c>
      <c r="J418" s="50">
        <v>111216.0</v>
      </c>
      <c r="K418" s="11">
        <v>1.0</v>
      </c>
      <c r="L418" s="11">
        <v>9.0</v>
      </c>
      <c r="M418" s="51">
        <v>425.0</v>
      </c>
      <c r="N418" s="17">
        <v>68.0</v>
      </c>
      <c r="O418" s="24" t="s">
        <v>601</v>
      </c>
      <c r="P418" s="52">
        <v>12620.0</v>
      </c>
      <c r="Q418" s="51">
        <v>914.0</v>
      </c>
      <c r="R418" s="53">
        <v>-94294.38</v>
      </c>
      <c r="S418" s="24" t="s">
        <v>602</v>
      </c>
      <c r="T418" s="11">
        <v>5.0</v>
      </c>
      <c r="U418" s="52">
        <v>60319.0</v>
      </c>
      <c r="V418" s="11">
        <v>1.0</v>
      </c>
      <c r="W418" s="11">
        <v>6.0</v>
      </c>
      <c r="X418" s="48">
        <v>6.6021</v>
      </c>
      <c r="Y418" s="11">
        <f t="shared" si="2"/>
        <v>0.066021</v>
      </c>
    </row>
    <row r="419">
      <c r="A419" s="17">
        <v>91.0</v>
      </c>
      <c r="B419" s="24">
        <v>28.0</v>
      </c>
      <c r="C419" s="24">
        <v>5.0</v>
      </c>
      <c r="D419" s="24">
        <v>6.0</v>
      </c>
      <c r="E419" s="24">
        <v>61.0</v>
      </c>
      <c r="F419" s="48">
        <v>7.5547</v>
      </c>
      <c r="G419" s="49">
        <f t="shared" si="1"/>
        <v>0.075547</v>
      </c>
      <c r="H419" s="11">
        <v>4.0</v>
      </c>
      <c r="I419" s="11">
        <v>5.0</v>
      </c>
      <c r="J419" s="50">
        <v>62523.0</v>
      </c>
      <c r="K419" s="11">
        <v>9.0</v>
      </c>
      <c r="L419" s="11">
        <v>0.0</v>
      </c>
      <c r="M419" s="51">
        <v>29.0</v>
      </c>
      <c r="N419" s="17">
        <v>0.0</v>
      </c>
      <c r="O419" s="24" t="s">
        <v>601</v>
      </c>
      <c r="P419" s="52">
        <v>20119.0</v>
      </c>
      <c r="Q419" s="51">
        <v>250.0</v>
      </c>
      <c r="R419" s="53">
        <v>19222.4</v>
      </c>
      <c r="S419" s="24" t="s">
        <v>605</v>
      </c>
      <c r="T419" s="11">
        <v>4.0</v>
      </c>
      <c r="U419" s="52">
        <v>40422.0</v>
      </c>
      <c r="V419" s="11">
        <v>3.0</v>
      </c>
      <c r="W419" s="11">
        <v>9.0</v>
      </c>
      <c r="X419" s="48">
        <v>8.9957</v>
      </c>
      <c r="Y419" s="11">
        <f t="shared" si="2"/>
        <v>0.089957</v>
      </c>
    </row>
    <row r="420">
      <c r="A420" s="17">
        <v>50.0</v>
      </c>
      <c r="B420" s="24">
        <v>69.0</v>
      </c>
      <c r="C420" s="24">
        <v>5.0</v>
      </c>
      <c r="D420" s="24">
        <v>3.0</v>
      </c>
      <c r="E420" s="24">
        <v>65.0</v>
      </c>
      <c r="F420" s="48">
        <v>3.5111</v>
      </c>
      <c r="G420" s="49">
        <f t="shared" si="1"/>
        <v>0.035111</v>
      </c>
      <c r="H420" s="11">
        <v>6.0</v>
      </c>
      <c r="I420" s="11">
        <v>6.0</v>
      </c>
      <c r="J420" s="50">
        <v>101122.0</v>
      </c>
      <c r="K420" s="11">
        <v>9.0</v>
      </c>
      <c r="L420" s="11">
        <v>9.0</v>
      </c>
      <c r="M420" s="51">
        <v>34.0</v>
      </c>
      <c r="N420" s="17">
        <v>79.0</v>
      </c>
      <c r="O420" s="24" t="s">
        <v>39</v>
      </c>
      <c r="P420" s="52">
        <v>120923.0</v>
      </c>
      <c r="Q420" s="51">
        <v>256.0</v>
      </c>
      <c r="R420" s="53">
        <v>697.28</v>
      </c>
      <c r="S420" s="24" t="s">
        <v>605</v>
      </c>
      <c r="T420" s="11">
        <v>6.0</v>
      </c>
      <c r="U420" s="52">
        <v>11221.0</v>
      </c>
      <c r="V420" s="11">
        <v>3.0</v>
      </c>
      <c r="W420" s="11">
        <v>6.0</v>
      </c>
      <c r="X420" s="48">
        <v>2.1692</v>
      </c>
      <c r="Y420" s="11">
        <f t="shared" si="2"/>
        <v>0.021692</v>
      </c>
    </row>
    <row r="421">
      <c r="A421" s="17">
        <v>43.0</v>
      </c>
      <c r="B421" s="24">
        <v>28.0</v>
      </c>
      <c r="C421" s="24">
        <v>5.0</v>
      </c>
      <c r="D421" s="24">
        <v>9.0</v>
      </c>
      <c r="E421" s="24">
        <v>61.0</v>
      </c>
      <c r="F421" s="48">
        <v>1.4486</v>
      </c>
      <c r="G421" s="49">
        <f t="shared" si="1"/>
        <v>0.014486</v>
      </c>
      <c r="H421" s="11">
        <v>9.0</v>
      </c>
      <c r="I421" s="11">
        <v>5.0</v>
      </c>
      <c r="J421" s="50">
        <v>30115.0</v>
      </c>
      <c r="K421" s="11">
        <v>7.0</v>
      </c>
      <c r="L421" s="11">
        <v>6.0</v>
      </c>
      <c r="M421" s="51">
        <v>623.0</v>
      </c>
      <c r="N421" s="17">
        <v>52.0</v>
      </c>
      <c r="O421" s="24" t="s">
        <v>600</v>
      </c>
      <c r="P421" s="52">
        <v>31717.0</v>
      </c>
      <c r="Q421" s="51">
        <v>2.0</v>
      </c>
      <c r="R421" s="53">
        <v>-504011.4</v>
      </c>
      <c r="S421" s="24" t="s">
        <v>602</v>
      </c>
      <c r="T421" s="11">
        <v>2.0</v>
      </c>
      <c r="U421" s="52">
        <v>62823.0</v>
      </c>
      <c r="V421" s="11">
        <v>9.0</v>
      </c>
      <c r="W421" s="11">
        <v>5.0</v>
      </c>
      <c r="X421" s="48">
        <v>8.5333</v>
      </c>
      <c r="Y421" s="11">
        <f t="shared" si="2"/>
        <v>0.085333</v>
      </c>
    </row>
    <row r="422">
      <c r="A422" s="17">
        <v>9.0</v>
      </c>
      <c r="B422" s="24">
        <v>28.0</v>
      </c>
      <c r="C422" s="24">
        <v>6.0</v>
      </c>
      <c r="D422" s="24">
        <v>5.0</v>
      </c>
      <c r="E422" s="24">
        <v>62.0</v>
      </c>
      <c r="F422" s="48">
        <v>1.7615</v>
      </c>
      <c r="G422" s="49">
        <f t="shared" si="1"/>
        <v>0.017615</v>
      </c>
      <c r="H422" s="11">
        <v>6.0</v>
      </c>
      <c r="I422" s="11">
        <v>5.0</v>
      </c>
      <c r="J422" s="50">
        <v>83117.0</v>
      </c>
      <c r="K422" s="11">
        <v>2.0</v>
      </c>
      <c r="L422" s="11">
        <v>1.0</v>
      </c>
      <c r="M422" s="51">
        <v>161.0</v>
      </c>
      <c r="N422" s="17">
        <v>61.0</v>
      </c>
      <c r="O422" s="24" t="s">
        <v>39</v>
      </c>
      <c r="P422" s="52">
        <v>82918.0</v>
      </c>
      <c r="Q422" s="51">
        <v>399.0</v>
      </c>
      <c r="R422" s="53">
        <v>85724.13</v>
      </c>
      <c r="S422" s="24" t="s">
        <v>602</v>
      </c>
      <c r="T422" s="11">
        <v>1.0</v>
      </c>
      <c r="U422" s="52">
        <v>123017.0</v>
      </c>
      <c r="V422" s="11">
        <v>1.0</v>
      </c>
      <c r="W422" s="11">
        <v>4.0</v>
      </c>
      <c r="X422" s="48">
        <v>8.6906</v>
      </c>
      <c r="Y422" s="11">
        <f t="shared" si="2"/>
        <v>0.086906</v>
      </c>
    </row>
    <row r="423">
      <c r="A423" s="17">
        <v>96.0</v>
      </c>
      <c r="B423" s="24">
        <v>28.0</v>
      </c>
      <c r="C423" s="24">
        <v>6.0</v>
      </c>
      <c r="D423" s="24">
        <v>7.0</v>
      </c>
      <c r="E423" s="24">
        <v>63.0</v>
      </c>
      <c r="F423" s="48">
        <v>1.6682</v>
      </c>
      <c r="G423" s="49">
        <f t="shared" si="1"/>
        <v>0.016682</v>
      </c>
      <c r="H423" s="11">
        <v>1.0</v>
      </c>
      <c r="I423" s="11">
        <v>0.0</v>
      </c>
      <c r="J423" s="50">
        <v>92122.0</v>
      </c>
      <c r="K423" s="11">
        <v>0.0</v>
      </c>
      <c r="L423" s="11">
        <v>8.0</v>
      </c>
      <c r="M423" s="51">
        <v>178.0</v>
      </c>
      <c r="N423" s="17">
        <v>37.0</v>
      </c>
      <c r="O423" s="24" t="s">
        <v>600</v>
      </c>
      <c r="P423" s="52">
        <v>52921.0</v>
      </c>
      <c r="Q423" s="51">
        <v>734.0</v>
      </c>
      <c r="R423" s="53">
        <v>5971.0</v>
      </c>
      <c r="S423" s="24" t="s">
        <v>605</v>
      </c>
      <c r="T423" s="11">
        <v>2.0</v>
      </c>
      <c r="U423" s="52">
        <v>120517.0</v>
      </c>
      <c r="V423" s="11">
        <v>5.0</v>
      </c>
      <c r="W423" s="11">
        <v>8.0</v>
      </c>
      <c r="X423" s="48">
        <v>1.9161</v>
      </c>
      <c r="Y423" s="11">
        <f t="shared" si="2"/>
        <v>0.019161</v>
      </c>
    </row>
    <row r="424">
      <c r="A424" s="17">
        <v>93.0</v>
      </c>
      <c r="B424" s="24">
        <v>28.0</v>
      </c>
      <c r="C424" s="24">
        <v>6.0</v>
      </c>
      <c r="D424" s="24">
        <v>8.0</v>
      </c>
      <c r="E424" s="24">
        <v>64.0</v>
      </c>
      <c r="F424" s="48">
        <v>4.4332</v>
      </c>
      <c r="G424" s="49">
        <f t="shared" si="1"/>
        <v>0.044332</v>
      </c>
      <c r="H424" s="11">
        <v>8.0</v>
      </c>
      <c r="I424" s="11">
        <v>5.0</v>
      </c>
      <c r="J424" s="50">
        <v>21822.0</v>
      </c>
      <c r="K424" s="11">
        <v>8.0</v>
      </c>
      <c r="L424" s="11">
        <v>7.0</v>
      </c>
      <c r="M424" s="51">
        <v>711.0</v>
      </c>
      <c r="N424" s="17">
        <v>38.0</v>
      </c>
      <c r="O424" s="24" t="s">
        <v>39</v>
      </c>
      <c r="P424" s="52">
        <v>13023.0</v>
      </c>
      <c r="Q424" s="51">
        <v>627.0</v>
      </c>
      <c r="R424" s="53">
        <v>-486451.47</v>
      </c>
      <c r="S424" s="24" t="s">
        <v>605</v>
      </c>
      <c r="T424" s="11">
        <v>5.0</v>
      </c>
      <c r="U424" s="52">
        <v>112815.0</v>
      </c>
      <c r="V424" s="11">
        <v>1.0</v>
      </c>
      <c r="W424" s="11">
        <v>6.0</v>
      </c>
      <c r="X424" s="48">
        <v>3.981</v>
      </c>
      <c r="Y424" s="11">
        <f t="shared" si="2"/>
        <v>0.03981</v>
      </c>
    </row>
    <row r="425">
      <c r="A425" s="17">
        <v>36.0</v>
      </c>
      <c r="B425" s="24">
        <v>28.0</v>
      </c>
      <c r="C425" s="24">
        <v>6.0</v>
      </c>
      <c r="D425" s="24">
        <v>9.0</v>
      </c>
      <c r="E425" s="24">
        <v>65.0</v>
      </c>
      <c r="F425" s="48">
        <v>2.316</v>
      </c>
      <c r="G425" s="49">
        <f t="shared" si="1"/>
        <v>0.02316</v>
      </c>
      <c r="H425" s="11">
        <v>5.0</v>
      </c>
      <c r="I425" s="11">
        <v>2.0</v>
      </c>
      <c r="J425" s="50">
        <v>112220.0</v>
      </c>
      <c r="K425" s="11">
        <v>4.0</v>
      </c>
      <c r="L425" s="11">
        <v>9.0</v>
      </c>
      <c r="M425" s="51">
        <v>621.0</v>
      </c>
      <c r="N425" s="17">
        <v>27.0</v>
      </c>
      <c r="O425" s="24" t="s">
        <v>603</v>
      </c>
      <c r="P425" s="52">
        <v>32116.0</v>
      </c>
      <c r="Q425" s="51">
        <v>799.0</v>
      </c>
      <c r="R425" s="53">
        <v>-70545.72</v>
      </c>
      <c r="S425" s="24" t="s">
        <v>600</v>
      </c>
      <c r="T425" s="11">
        <v>5.0</v>
      </c>
      <c r="U425" s="52">
        <v>72713.0</v>
      </c>
      <c r="V425" s="11">
        <v>4.0</v>
      </c>
      <c r="W425" s="11">
        <v>2.0</v>
      </c>
      <c r="X425" s="48">
        <v>5.5223</v>
      </c>
      <c r="Y425" s="11">
        <f t="shared" si="2"/>
        <v>0.055223</v>
      </c>
    </row>
    <row r="426">
      <c r="A426" s="17">
        <v>17.0</v>
      </c>
      <c r="B426" s="24">
        <v>69.0</v>
      </c>
      <c r="C426" s="24">
        <v>6.0</v>
      </c>
      <c r="D426" s="24">
        <v>7.0</v>
      </c>
      <c r="E426" s="24">
        <v>67.0</v>
      </c>
      <c r="F426" s="48">
        <v>6.5686</v>
      </c>
      <c r="G426" s="49">
        <f t="shared" si="1"/>
        <v>0.065686</v>
      </c>
      <c r="H426" s="11">
        <v>7.0</v>
      </c>
      <c r="I426" s="11">
        <v>0.0</v>
      </c>
      <c r="J426" s="50">
        <v>50416.0</v>
      </c>
      <c r="K426" s="11">
        <v>7.0</v>
      </c>
      <c r="L426" s="11">
        <v>1.0</v>
      </c>
      <c r="M426" s="51">
        <v>598.0</v>
      </c>
      <c r="N426" s="17">
        <v>24.0</v>
      </c>
      <c r="O426" s="24" t="s">
        <v>31</v>
      </c>
      <c r="P426" s="52">
        <v>113019.0</v>
      </c>
      <c r="Q426" s="51">
        <v>650.0</v>
      </c>
      <c r="R426" s="53">
        <v>-55302.11</v>
      </c>
      <c r="S426" s="24" t="s">
        <v>604</v>
      </c>
      <c r="T426" s="11">
        <v>5.0</v>
      </c>
      <c r="U426" s="52">
        <v>121117.0</v>
      </c>
      <c r="V426" s="11">
        <v>5.0</v>
      </c>
      <c r="W426" s="11">
        <v>3.0</v>
      </c>
      <c r="X426" s="48">
        <v>7.8542</v>
      </c>
      <c r="Y426" s="11">
        <f t="shared" si="2"/>
        <v>0.078542</v>
      </c>
    </row>
    <row r="427">
      <c r="A427" s="17">
        <v>58.0</v>
      </c>
      <c r="B427" s="24">
        <v>49.0</v>
      </c>
      <c r="C427" s="24">
        <v>1.0</v>
      </c>
      <c r="D427" s="24">
        <v>9.0</v>
      </c>
      <c r="E427" s="24">
        <v>64.0</v>
      </c>
      <c r="F427" s="48">
        <v>8.3066</v>
      </c>
      <c r="G427" s="49">
        <f t="shared" si="1"/>
        <v>0.083066</v>
      </c>
      <c r="H427" s="11">
        <v>1.0</v>
      </c>
      <c r="I427" s="11">
        <v>2.0</v>
      </c>
      <c r="J427" s="50">
        <v>21915.0</v>
      </c>
      <c r="K427" s="11">
        <v>2.0</v>
      </c>
      <c r="L427" s="11">
        <v>2.0</v>
      </c>
      <c r="M427" s="51">
        <v>404.0</v>
      </c>
      <c r="N427" s="17">
        <v>18.0</v>
      </c>
      <c r="O427" s="24" t="s">
        <v>31</v>
      </c>
      <c r="P427" s="52">
        <v>32917.0</v>
      </c>
      <c r="Q427" s="51">
        <v>414.0</v>
      </c>
      <c r="R427" s="53">
        <v>225510.62</v>
      </c>
      <c r="S427" s="24" t="s">
        <v>600</v>
      </c>
      <c r="T427" s="11">
        <v>6.0</v>
      </c>
      <c r="U427" s="52">
        <v>12619.0</v>
      </c>
      <c r="V427" s="11">
        <v>0.0</v>
      </c>
      <c r="W427" s="11">
        <v>1.0</v>
      </c>
      <c r="X427" s="48">
        <v>7.8772</v>
      </c>
      <c r="Y427" s="11">
        <f t="shared" si="2"/>
        <v>0.078772</v>
      </c>
    </row>
    <row r="428">
      <c r="A428" s="17">
        <v>33.0</v>
      </c>
      <c r="B428" s="24">
        <v>28.0</v>
      </c>
      <c r="C428" s="24">
        <v>7.0</v>
      </c>
      <c r="D428" s="24">
        <v>4.0</v>
      </c>
      <c r="E428" s="24">
        <v>64.0</v>
      </c>
      <c r="F428" s="48">
        <v>4.675</v>
      </c>
      <c r="G428" s="49">
        <f t="shared" si="1"/>
        <v>0.04675</v>
      </c>
      <c r="H428" s="11">
        <v>8.0</v>
      </c>
      <c r="I428" s="11">
        <v>4.0</v>
      </c>
      <c r="J428" s="50">
        <v>101718.0</v>
      </c>
      <c r="K428" s="11">
        <v>6.0</v>
      </c>
      <c r="L428" s="11">
        <v>6.0</v>
      </c>
      <c r="M428" s="51">
        <v>692.0</v>
      </c>
      <c r="N428" s="17">
        <v>50.0</v>
      </c>
      <c r="O428" s="24" t="s">
        <v>39</v>
      </c>
      <c r="P428" s="52">
        <v>62017.0</v>
      </c>
      <c r="Q428" s="51">
        <v>419.0</v>
      </c>
      <c r="R428" s="53">
        <v>-456.3</v>
      </c>
      <c r="S428" s="24" t="s">
        <v>602</v>
      </c>
      <c r="T428" s="11">
        <v>6.0</v>
      </c>
      <c r="U428" s="52">
        <v>81022.0</v>
      </c>
      <c r="V428" s="11">
        <v>2.0</v>
      </c>
      <c r="W428" s="11">
        <v>0.0</v>
      </c>
      <c r="X428" s="48">
        <v>8.4597</v>
      </c>
      <c r="Y428" s="11">
        <f t="shared" si="2"/>
        <v>0.084597</v>
      </c>
    </row>
    <row r="429">
      <c r="A429" s="17">
        <v>58.0</v>
      </c>
      <c r="B429" s="24">
        <v>69.0</v>
      </c>
      <c r="C429" s="24">
        <v>7.0</v>
      </c>
      <c r="D429" s="24">
        <v>2.0</v>
      </c>
      <c r="E429" s="24">
        <v>64.0</v>
      </c>
      <c r="F429" s="48">
        <v>4.2847</v>
      </c>
      <c r="G429" s="49">
        <f t="shared" si="1"/>
        <v>0.042847</v>
      </c>
      <c r="H429" s="11">
        <v>0.0</v>
      </c>
      <c r="I429" s="11">
        <v>1.0</v>
      </c>
      <c r="J429" s="50">
        <v>20217.0</v>
      </c>
      <c r="K429" s="11">
        <v>5.0</v>
      </c>
      <c r="L429" s="11">
        <v>3.0</v>
      </c>
      <c r="M429" s="51">
        <v>342.0</v>
      </c>
      <c r="N429" s="17">
        <v>26.0</v>
      </c>
      <c r="O429" s="24" t="s">
        <v>600</v>
      </c>
      <c r="P429" s="52">
        <v>42013.0</v>
      </c>
      <c r="Q429" s="51">
        <v>146.0</v>
      </c>
      <c r="R429" s="53">
        <v>-92463.76</v>
      </c>
      <c r="S429" s="24" t="s">
        <v>602</v>
      </c>
      <c r="T429" s="11">
        <v>4.0</v>
      </c>
      <c r="U429" s="52">
        <v>30513.0</v>
      </c>
      <c r="V429" s="11">
        <v>7.0</v>
      </c>
      <c r="W429" s="11">
        <v>4.0</v>
      </c>
      <c r="X429" s="48">
        <v>5.554</v>
      </c>
      <c r="Y429" s="11">
        <f t="shared" si="2"/>
        <v>0.05554</v>
      </c>
    </row>
    <row r="430">
      <c r="A430" s="17">
        <v>93.0</v>
      </c>
      <c r="B430" s="24">
        <v>49.0</v>
      </c>
      <c r="C430" s="24">
        <v>2.0</v>
      </c>
      <c r="D430" s="24">
        <v>5.0</v>
      </c>
      <c r="E430" s="24">
        <v>65.0</v>
      </c>
      <c r="F430" s="48">
        <v>1.8316</v>
      </c>
      <c r="G430" s="49">
        <f t="shared" si="1"/>
        <v>0.018316</v>
      </c>
      <c r="H430" s="11">
        <v>4.0</v>
      </c>
      <c r="I430" s="11">
        <v>0.0</v>
      </c>
      <c r="J430" s="50">
        <v>21215.0</v>
      </c>
      <c r="K430" s="11">
        <v>4.0</v>
      </c>
      <c r="L430" s="11">
        <v>3.0</v>
      </c>
      <c r="M430" s="51">
        <v>856.0</v>
      </c>
      <c r="N430" s="17">
        <v>61.0</v>
      </c>
      <c r="O430" s="24" t="s">
        <v>603</v>
      </c>
      <c r="P430" s="52">
        <v>120221.0</v>
      </c>
      <c r="Q430" s="51">
        <v>273.0</v>
      </c>
      <c r="R430" s="53">
        <v>395.9</v>
      </c>
      <c r="S430" s="24" t="s">
        <v>604</v>
      </c>
      <c r="T430" s="11">
        <v>9.0</v>
      </c>
      <c r="U430" s="52">
        <v>22021.0</v>
      </c>
      <c r="V430" s="11">
        <v>2.0</v>
      </c>
      <c r="W430" s="11">
        <v>5.0</v>
      </c>
      <c r="X430" s="48">
        <v>8.514</v>
      </c>
      <c r="Y430" s="11">
        <f t="shared" si="2"/>
        <v>0.08514</v>
      </c>
    </row>
    <row r="431">
      <c r="A431" s="17">
        <v>45.0</v>
      </c>
      <c r="B431" s="24">
        <v>49.0</v>
      </c>
      <c r="C431" s="24">
        <v>2.0</v>
      </c>
      <c r="D431" s="24">
        <v>8.0</v>
      </c>
      <c r="E431" s="24">
        <v>67.0</v>
      </c>
      <c r="F431" s="48">
        <v>4.2603</v>
      </c>
      <c r="G431" s="49">
        <f t="shared" si="1"/>
        <v>0.042603</v>
      </c>
      <c r="H431" s="11">
        <v>0.0</v>
      </c>
      <c r="I431" s="11">
        <v>5.0</v>
      </c>
      <c r="J431" s="50">
        <v>61823.0</v>
      </c>
      <c r="K431" s="11">
        <v>1.0</v>
      </c>
      <c r="L431" s="11">
        <v>2.0</v>
      </c>
      <c r="M431" s="51">
        <v>514.0</v>
      </c>
      <c r="N431" s="17">
        <v>75.0</v>
      </c>
      <c r="O431" s="24" t="s">
        <v>39</v>
      </c>
      <c r="P431" s="52">
        <v>71617.0</v>
      </c>
      <c r="Q431" s="51">
        <v>369.0</v>
      </c>
      <c r="R431" s="53">
        <v>-976.6</v>
      </c>
      <c r="S431" s="24" t="s">
        <v>604</v>
      </c>
      <c r="T431" s="11">
        <v>1.0</v>
      </c>
      <c r="U431" s="52">
        <v>82118.0</v>
      </c>
      <c r="V431" s="11">
        <v>6.0</v>
      </c>
      <c r="W431" s="11">
        <v>3.0</v>
      </c>
      <c r="X431" s="48">
        <v>3.5374</v>
      </c>
      <c r="Y431" s="11">
        <f t="shared" si="2"/>
        <v>0.035374</v>
      </c>
    </row>
    <row r="432">
      <c r="A432" s="17">
        <v>5.0</v>
      </c>
      <c r="B432" s="24">
        <v>69.0</v>
      </c>
      <c r="C432" s="24">
        <v>7.0</v>
      </c>
      <c r="D432" s="24">
        <v>7.0</v>
      </c>
      <c r="E432" s="24">
        <v>66.0</v>
      </c>
      <c r="F432" s="48">
        <v>9.8288</v>
      </c>
      <c r="G432" s="49">
        <f t="shared" si="1"/>
        <v>0.098288</v>
      </c>
      <c r="H432" s="11">
        <v>3.0</v>
      </c>
      <c r="I432" s="11">
        <v>3.0</v>
      </c>
      <c r="J432" s="50">
        <v>31217.0</v>
      </c>
      <c r="K432" s="11">
        <v>9.0</v>
      </c>
      <c r="L432" s="11">
        <v>3.0</v>
      </c>
      <c r="M432" s="51">
        <v>602.0</v>
      </c>
      <c r="N432" s="17">
        <v>33.0</v>
      </c>
      <c r="O432" s="24" t="s">
        <v>31</v>
      </c>
      <c r="P432" s="52">
        <v>52314.0</v>
      </c>
      <c r="Q432" s="51">
        <v>220.0</v>
      </c>
      <c r="R432" s="53">
        <v>298235.37</v>
      </c>
      <c r="S432" s="24" t="s">
        <v>602</v>
      </c>
      <c r="T432" s="11">
        <v>6.0</v>
      </c>
      <c r="U432" s="52">
        <v>53020.0</v>
      </c>
      <c r="V432" s="11">
        <v>4.0</v>
      </c>
      <c r="W432" s="11">
        <v>3.0</v>
      </c>
      <c r="X432" s="48">
        <v>7.2701</v>
      </c>
      <c r="Y432" s="11">
        <f t="shared" si="2"/>
        <v>0.072701</v>
      </c>
    </row>
    <row r="433">
      <c r="A433" s="17">
        <v>92.0</v>
      </c>
      <c r="B433" s="24">
        <v>49.0</v>
      </c>
      <c r="C433" s="24">
        <v>2.0</v>
      </c>
      <c r="D433" s="24">
        <v>9.0</v>
      </c>
      <c r="E433" s="24">
        <v>61.0</v>
      </c>
      <c r="F433" s="48">
        <v>7.6865</v>
      </c>
      <c r="G433" s="49">
        <f t="shared" si="1"/>
        <v>0.076865</v>
      </c>
      <c r="H433" s="11">
        <v>6.0</v>
      </c>
      <c r="I433" s="11">
        <v>6.0</v>
      </c>
      <c r="J433" s="50">
        <v>41418.0</v>
      </c>
      <c r="K433" s="11">
        <v>9.0</v>
      </c>
      <c r="L433" s="11">
        <v>3.0</v>
      </c>
      <c r="M433" s="51">
        <v>184.0</v>
      </c>
      <c r="N433" s="17">
        <v>9.0</v>
      </c>
      <c r="O433" s="24" t="s">
        <v>603</v>
      </c>
      <c r="P433" s="52">
        <v>51016.0</v>
      </c>
      <c r="Q433" s="51">
        <v>559.0</v>
      </c>
      <c r="R433" s="53">
        <v>69159.14</v>
      </c>
      <c r="S433" s="24" t="s">
        <v>600</v>
      </c>
      <c r="T433" s="11">
        <v>5.0</v>
      </c>
      <c r="U433" s="52">
        <v>20314.0</v>
      </c>
      <c r="V433" s="11">
        <v>5.0</v>
      </c>
      <c r="W433" s="11">
        <v>8.0</v>
      </c>
      <c r="X433" s="48">
        <v>2.424</v>
      </c>
      <c r="Y433" s="11">
        <f t="shared" si="2"/>
        <v>0.02424</v>
      </c>
    </row>
    <row r="434">
      <c r="A434" s="17">
        <v>68.0</v>
      </c>
      <c r="B434" s="24">
        <v>49.0</v>
      </c>
      <c r="C434" s="24">
        <v>3.0</v>
      </c>
      <c r="D434" s="24">
        <v>8.0</v>
      </c>
      <c r="E434" s="24">
        <v>62.0</v>
      </c>
      <c r="F434" s="48">
        <v>2.6347</v>
      </c>
      <c r="G434" s="49">
        <f t="shared" si="1"/>
        <v>0.026347</v>
      </c>
      <c r="H434" s="11">
        <v>4.0</v>
      </c>
      <c r="I434" s="11">
        <v>9.0</v>
      </c>
      <c r="J434" s="50">
        <v>90917.0</v>
      </c>
      <c r="K434" s="11">
        <v>8.0</v>
      </c>
      <c r="L434" s="11">
        <v>7.0</v>
      </c>
      <c r="M434" s="51">
        <v>586.0</v>
      </c>
      <c r="N434" s="17">
        <v>57.0</v>
      </c>
      <c r="O434" s="24" t="s">
        <v>603</v>
      </c>
      <c r="P434" s="52">
        <v>103117.0</v>
      </c>
      <c r="Q434" s="51">
        <v>860.0</v>
      </c>
      <c r="R434" s="53">
        <v>599425.3</v>
      </c>
      <c r="S434" s="24" t="s">
        <v>602</v>
      </c>
      <c r="T434" s="11">
        <v>3.0</v>
      </c>
      <c r="U434" s="52">
        <v>60414.0</v>
      </c>
      <c r="V434" s="11">
        <v>8.0</v>
      </c>
      <c r="W434" s="11">
        <v>5.0</v>
      </c>
      <c r="X434" s="48">
        <v>2.9119</v>
      </c>
      <c r="Y434" s="11">
        <f t="shared" si="2"/>
        <v>0.029119</v>
      </c>
    </row>
    <row r="435">
      <c r="A435" s="17">
        <v>69.0</v>
      </c>
      <c r="B435" s="24">
        <v>49.0</v>
      </c>
      <c r="C435" s="24">
        <v>4.0</v>
      </c>
      <c r="D435" s="24">
        <v>1.0</v>
      </c>
      <c r="E435" s="24">
        <v>64.0</v>
      </c>
      <c r="F435" s="48">
        <v>5.6234</v>
      </c>
      <c r="G435" s="49">
        <f t="shared" si="1"/>
        <v>0.056234</v>
      </c>
      <c r="H435" s="11">
        <v>3.0</v>
      </c>
      <c r="I435" s="11">
        <v>4.0</v>
      </c>
      <c r="J435" s="50">
        <v>30113.0</v>
      </c>
      <c r="K435" s="11">
        <v>6.0</v>
      </c>
      <c r="L435" s="11">
        <v>3.0</v>
      </c>
      <c r="M435" s="51">
        <v>284.0</v>
      </c>
      <c r="N435" s="17">
        <v>62.0</v>
      </c>
      <c r="O435" s="24" t="s">
        <v>603</v>
      </c>
      <c r="P435" s="52">
        <v>11118.0</v>
      </c>
      <c r="Q435" s="51">
        <v>970.0</v>
      </c>
      <c r="R435" s="53">
        <v>-31574.97</v>
      </c>
      <c r="S435" s="24" t="s">
        <v>602</v>
      </c>
      <c r="T435" s="11">
        <v>1.0</v>
      </c>
      <c r="U435" s="52">
        <v>12416.0</v>
      </c>
      <c r="V435" s="11">
        <v>0.0</v>
      </c>
      <c r="W435" s="11">
        <v>4.0</v>
      </c>
      <c r="X435" s="48">
        <v>1.9467</v>
      </c>
      <c r="Y435" s="11">
        <f t="shared" si="2"/>
        <v>0.019467</v>
      </c>
    </row>
    <row r="436">
      <c r="A436" s="17">
        <v>84.0</v>
      </c>
      <c r="B436" s="24">
        <v>28.0</v>
      </c>
      <c r="C436" s="24">
        <v>9.0</v>
      </c>
      <c r="D436" s="24">
        <v>4.0</v>
      </c>
      <c r="E436" s="24">
        <v>63.0</v>
      </c>
      <c r="F436" s="48">
        <v>1.398</v>
      </c>
      <c r="G436" s="49">
        <f t="shared" si="1"/>
        <v>0.01398</v>
      </c>
      <c r="H436" s="11">
        <v>6.0</v>
      </c>
      <c r="I436" s="11">
        <v>9.0</v>
      </c>
      <c r="J436" s="50">
        <v>111613.0</v>
      </c>
      <c r="K436" s="11">
        <v>4.0</v>
      </c>
      <c r="L436" s="11">
        <v>5.0</v>
      </c>
      <c r="M436" s="51">
        <v>776.0</v>
      </c>
      <c r="N436" s="17">
        <v>45.0</v>
      </c>
      <c r="O436" s="24" t="s">
        <v>603</v>
      </c>
      <c r="P436" s="52">
        <v>120220.0</v>
      </c>
      <c r="Q436" s="51">
        <v>141.0</v>
      </c>
      <c r="R436" s="53">
        <v>386.68</v>
      </c>
      <c r="S436" s="24" t="s">
        <v>600</v>
      </c>
      <c r="T436" s="11">
        <v>1.0</v>
      </c>
      <c r="U436" s="52">
        <v>50921.0</v>
      </c>
      <c r="V436" s="11">
        <v>2.0</v>
      </c>
      <c r="W436" s="11">
        <v>3.0</v>
      </c>
      <c r="X436" s="48">
        <v>4.3147</v>
      </c>
      <c r="Y436" s="11">
        <f t="shared" si="2"/>
        <v>0.043147</v>
      </c>
    </row>
    <row r="437">
      <c r="A437" s="17">
        <v>10.0</v>
      </c>
      <c r="B437" s="24">
        <v>28.0</v>
      </c>
      <c r="C437" s="24">
        <v>9.0</v>
      </c>
      <c r="D437" s="24">
        <v>7.0</v>
      </c>
      <c r="E437" s="24">
        <v>65.0</v>
      </c>
      <c r="F437" s="48">
        <v>2.1666</v>
      </c>
      <c r="G437" s="49">
        <f t="shared" si="1"/>
        <v>0.021666</v>
      </c>
      <c r="H437" s="11">
        <v>0.0</v>
      </c>
      <c r="I437" s="11">
        <v>9.0</v>
      </c>
      <c r="J437" s="50">
        <v>50615.0</v>
      </c>
      <c r="K437" s="11">
        <v>6.0</v>
      </c>
      <c r="L437" s="11">
        <v>0.0</v>
      </c>
      <c r="M437" s="51">
        <v>32.0</v>
      </c>
      <c r="N437" s="17">
        <v>35.0</v>
      </c>
      <c r="O437" s="24" t="s">
        <v>606</v>
      </c>
      <c r="P437" s="52">
        <v>90815.0</v>
      </c>
      <c r="Q437" s="51">
        <v>158.0</v>
      </c>
      <c r="R437" s="53">
        <v>2575.8</v>
      </c>
      <c r="S437" s="24" t="s">
        <v>604</v>
      </c>
      <c r="T437" s="11">
        <v>6.0</v>
      </c>
      <c r="U437" s="52">
        <v>81817.0</v>
      </c>
      <c r="V437" s="11">
        <v>7.0</v>
      </c>
      <c r="W437" s="11">
        <v>7.0</v>
      </c>
      <c r="X437" s="48">
        <v>7.7096</v>
      </c>
      <c r="Y437" s="11">
        <f t="shared" si="2"/>
        <v>0.077096</v>
      </c>
    </row>
    <row r="438">
      <c r="A438" s="17">
        <v>69.0</v>
      </c>
      <c r="B438" s="24">
        <v>69.0</v>
      </c>
      <c r="C438" s="24">
        <v>9.0</v>
      </c>
      <c r="D438" s="24">
        <v>3.0</v>
      </c>
      <c r="E438" s="24">
        <v>60.0</v>
      </c>
      <c r="F438" s="48">
        <v>7.285</v>
      </c>
      <c r="G438" s="49">
        <f t="shared" si="1"/>
        <v>0.07285</v>
      </c>
      <c r="H438" s="11">
        <v>3.0</v>
      </c>
      <c r="I438" s="11">
        <v>8.0</v>
      </c>
      <c r="J438" s="50">
        <v>11716.0</v>
      </c>
      <c r="K438" s="11">
        <v>9.0</v>
      </c>
      <c r="L438" s="11">
        <v>5.0</v>
      </c>
      <c r="M438" s="51">
        <v>357.0</v>
      </c>
      <c r="N438" s="17">
        <v>81.0</v>
      </c>
      <c r="O438" s="24" t="s">
        <v>601</v>
      </c>
      <c r="P438" s="52">
        <v>101122.0</v>
      </c>
      <c r="Q438" s="51">
        <v>899.0</v>
      </c>
      <c r="R438" s="53">
        <v>308131.3</v>
      </c>
      <c r="S438" s="24" t="s">
        <v>600</v>
      </c>
      <c r="T438" s="11">
        <v>3.0</v>
      </c>
      <c r="U438" s="52">
        <v>32315.0</v>
      </c>
      <c r="V438" s="11">
        <v>7.0</v>
      </c>
      <c r="W438" s="11">
        <v>5.0</v>
      </c>
      <c r="X438" s="48">
        <v>5.2986</v>
      </c>
      <c r="Y438" s="11">
        <f t="shared" si="2"/>
        <v>0.052986</v>
      </c>
    </row>
    <row r="439">
      <c r="A439" s="17">
        <v>14.0</v>
      </c>
      <c r="B439" s="24">
        <v>69.0</v>
      </c>
      <c r="C439" s="24">
        <v>9.0</v>
      </c>
      <c r="D439" s="24">
        <v>5.0</v>
      </c>
      <c r="E439" s="24">
        <v>66.0</v>
      </c>
      <c r="F439" s="48">
        <v>5.5753</v>
      </c>
      <c r="G439" s="49">
        <f t="shared" si="1"/>
        <v>0.055753</v>
      </c>
      <c r="H439" s="11">
        <v>4.0</v>
      </c>
      <c r="I439" s="11">
        <v>1.0</v>
      </c>
      <c r="J439" s="50">
        <v>121815.0</v>
      </c>
      <c r="K439" s="11">
        <v>2.0</v>
      </c>
      <c r="L439" s="11">
        <v>7.0</v>
      </c>
      <c r="M439" s="51">
        <v>621.0</v>
      </c>
      <c r="N439" s="17">
        <v>0.0</v>
      </c>
      <c r="O439" s="24" t="s">
        <v>48</v>
      </c>
      <c r="P439" s="52">
        <v>21920.0</v>
      </c>
      <c r="Q439" s="51">
        <v>993.0</v>
      </c>
      <c r="R439" s="53">
        <v>328.3</v>
      </c>
      <c r="S439" s="24" t="s">
        <v>604</v>
      </c>
      <c r="T439" s="11">
        <v>8.0</v>
      </c>
      <c r="U439" s="52">
        <v>102016.0</v>
      </c>
      <c r="V439" s="11">
        <v>9.0</v>
      </c>
      <c r="W439" s="11">
        <v>3.0</v>
      </c>
      <c r="X439" s="48">
        <v>5.8855</v>
      </c>
      <c r="Y439" s="11">
        <f t="shared" si="2"/>
        <v>0.058855</v>
      </c>
    </row>
    <row r="440">
      <c r="A440" s="17">
        <v>28.0</v>
      </c>
      <c r="B440" s="24">
        <v>49.0</v>
      </c>
      <c r="C440" s="24">
        <v>4.0</v>
      </c>
      <c r="D440" s="24">
        <v>9.0</v>
      </c>
      <c r="E440" s="24">
        <v>62.0</v>
      </c>
      <c r="F440" s="48">
        <v>7.2614</v>
      </c>
      <c r="G440" s="49">
        <f t="shared" si="1"/>
        <v>0.072614</v>
      </c>
      <c r="H440" s="11">
        <v>7.0</v>
      </c>
      <c r="I440" s="11">
        <v>4.0</v>
      </c>
      <c r="J440" s="50">
        <v>61618.0</v>
      </c>
      <c r="K440" s="11">
        <v>3.0</v>
      </c>
      <c r="L440" s="11">
        <v>6.0</v>
      </c>
      <c r="M440" s="51">
        <v>972.0</v>
      </c>
      <c r="N440" s="17">
        <v>20.0</v>
      </c>
      <c r="O440" s="24" t="s">
        <v>48</v>
      </c>
      <c r="P440" s="52">
        <v>80818.0</v>
      </c>
      <c r="Q440" s="51">
        <v>872.0</v>
      </c>
      <c r="R440" s="53">
        <v>-184.64</v>
      </c>
      <c r="S440" s="24" t="s">
        <v>604</v>
      </c>
      <c r="T440" s="11">
        <v>4.0</v>
      </c>
      <c r="U440" s="52">
        <v>91813.0</v>
      </c>
      <c r="V440" s="11">
        <v>0.0</v>
      </c>
      <c r="W440" s="11">
        <v>9.0</v>
      </c>
      <c r="X440" s="48">
        <v>1.8168</v>
      </c>
      <c r="Y440" s="11">
        <f t="shared" si="2"/>
        <v>0.018168</v>
      </c>
    </row>
    <row r="441">
      <c r="A441" s="17">
        <v>55.0</v>
      </c>
      <c r="B441" s="24">
        <v>69.0</v>
      </c>
      <c r="C441" s="24">
        <v>9.0</v>
      </c>
      <c r="D441" s="24">
        <v>9.0</v>
      </c>
      <c r="E441" s="24">
        <v>61.0</v>
      </c>
      <c r="F441" s="48">
        <v>7.8119</v>
      </c>
      <c r="G441" s="49">
        <f t="shared" si="1"/>
        <v>0.078119</v>
      </c>
      <c r="H441" s="11">
        <v>4.0</v>
      </c>
      <c r="I441" s="11">
        <v>8.0</v>
      </c>
      <c r="J441" s="50">
        <v>122721.0</v>
      </c>
      <c r="K441" s="11">
        <v>8.0</v>
      </c>
      <c r="L441" s="11">
        <v>6.0</v>
      </c>
      <c r="M441" s="51">
        <v>167.0</v>
      </c>
      <c r="N441" s="17">
        <v>25.0</v>
      </c>
      <c r="O441" s="24" t="s">
        <v>48</v>
      </c>
      <c r="P441" s="52">
        <v>102016.0</v>
      </c>
      <c r="Q441" s="51">
        <v>254.0</v>
      </c>
      <c r="R441" s="53">
        <v>-8743.36</v>
      </c>
      <c r="S441" s="24" t="s">
        <v>600</v>
      </c>
      <c r="T441" s="11">
        <v>0.0</v>
      </c>
      <c r="U441" s="52">
        <v>62516.0</v>
      </c>
      <c r="V441" s="11">
        <v>6.0</v>
      </c>
      <c r="W441" s="11">
        <v>5.0</v>
      </c>
      <c r="X441" s="48">
        <v>6.5321</v>
      </c>
      <c r="Y441" s="11">
        <f t="shared" si="2"/>
        <v>0.065321</v>
      </c>
    </row>
    <row r="442">
      <c r="A442" s="17">
        <v>94.0</v>
      </c>
      <c r="B442" s="24">
        <v>49.0</v>
      </c>
      <c r="C442" s="24">
        <v>5.0</v>
      </c>
      <c r="D442" s="24">
        <v>8.0</v>
      </c>
      <c r="E442" s="24">
        <v>66.0</v>
      </c>
      <c r="F442" s="48">
        <v>2.6047</v>
      </c>
      <c r="G442" s="49">
        <f t="shared" si="1"/>
        <v>0.026047</v>
      </c>
      <c r="H442" s="11">
        <v>8.0</v>
      </c>
      <c r="I442" s="11">
        <v>3.0</v>
      </c>
      <c r="J442" s="50">
        <v>121123.0</v>
      </c>
      <c r="K442" s="11">
        <v>6.0</v>
      </c>
      <c r="L442" s="11">
        <v>7.0</v>
      </c>
      <c r="M442" s="51">
        <v>591.0</v>
      </c>
      <c r="N442" s="17">
        <v>30.0</v>
      </c>
      <c r="O442" s="24" t="s">
        <v>39</v>
      </c>
      <c r="P442" s="52">
        <v>100422.0</v>
      </c>
      <c r="Q442" s="51">
        <v>337.0</v>
      </c>
      <c r="R442" s="53">
        <v>-978587.34</v>
      </c>
      <c r="S442" s="24" t="s">
        <v>604</v>
      </c>
      <c r="T442" s="11">
        <v>9.0</v>
      </c>
      <c r="U442" s="52">
        <v>101115.0</v>
      </c>
      <c r="V442" s="11">
        <v>9.0</v>
      </c>
      <c r="W442" s="11">
        <v>4.0</v>
      </c>
      <c r="X442" s="48">
        <v>7.1517</v>
      </c>
      <c r="Y442" s="11">
        <f t="shared" si="2"/>
        <v>0.071517</v>
      </c>
    </row>
    <row r="443">
      <c r="A443" s="17">
        <v>32.0</v>
      </c>
      <c r="B443" s="24">
        <v>49.0</v>
      </c>
      <c r="C443" s="24">
        <v>6.0</v>
      </c>
      <c r="D443" s="24">
        <v>1.0</v>
      </c>
      <c r="E443" s="24">
        <v>66.0</v>
      </c>
      <c r="F443" s="48">
        <v>2.5924</v>
      </c>
      <c r="G443" s="49">
        <f t="shared" si="1"/>
        <v>0.025924</v>
      </c>
      <c r="H443" s="11">
        <v>2.0</v>
      </c>
      <c r="I443" s="11">
        <v>5.0</v>
      </c>
      <c r="J443" s="50">
        <v>111818.0</v>
      </c>
      <c r="K443" s="11">
        <v>7.0</v>
      </c>
      <c r="L443" s="11">
        <v>1.0</v>
      </c>
      <c r="M443" s="51">
        <v>992.0</v>
      </c>
      <c r="N443" s="17">
        <v>54.0</v>
      </c>
      <c r="O443" s="24" t="s">
        <v>603</v>
      </c>
      <c r="P443" s="52">
        <v>70514.0</v>
      </c>
      <c r="Q443" s="51">
        <v>841.0</v>
      </c>
      <c r="R443" s="53">
        <v>93960.3</v>
      </c>
      <c r="S443" s="24" t="s">
        <v>602</v>
      </c>
      <c r="T443" s="11">
        <v>9.0</v>
      </c>
      <c r="U443" s="52">
        <v>70823.0</v>
      </c>
      <c r="V443" s="11">
        <v>4.0</v>
      </c>
      <c r="W443" s="11">
        <v>7.0</v>
      </c>
      <c r="X443" s="48">
        <v>3.6128</v>
      </c>
      <c r="Y443" s="11">
        <f t="shared" si="2"/>
        <v>0.036128</v>
      </c>
    </row>
    <row r="444">
      <c r="A444" s="17">
        <v>60.0</v>
      </c>
      <c r="B444" s="24">
        <v>49.0</v>
      </c>
      <c r="C444" s="24">
        <v>6.0</v>
      </c>
      <c r="D444" s="24">
        <v>3.0</v>
      </c>
      <c r="E444" s="24">
        <v>61.0</v>
      </c>
      <c r="F444" s="48">
        <v>8.1126</v>
      </c>
      <c r="G444" s="49">
        <f t="shared" si="1"/>
        <v>0.081126</v>
      </c>
      <c r="H444" s="11">
        <v>8.0</v>
      </c>
      <c r="I444" s="11">
        <v>9.0</v>
      </c>
      <c r="J444" s="50">
        <v>12221.0</v>
      </c>
      <c r="K444" s="11">
        <v>0.0</v>
      </c>
      <c r="L444" s="11">
        <v>7.0</v>
      </c>
      <c r="M444" s="51">
        <v>287.0</v>
      </c>
      <c r="N444" s="17">
        <v>75.0</v>
      </c>
      <c r="O444" s="24" t="s">
        <v>601</v>
      </c>
      <c r="P444" s="52">
        <v>30213.0</v>
      </c>
      <c r="Q444" s="51">
        <v>575.0</v>
      </c>
      <c r="R444" s="53">
        <v>-9052.77</v>
      </c>
      <c r="S444" s="24" t="s">
        <v>604</v>
      </c>
      <c r="T444" s="11">
        <v>3.0</v>
      </c>
      <c r="U444" s="52">
        <v>51213.0</v>
      </c>
      <c r="V444" s="11">
        <v>9.0</v>
      </c>
      <c r="W444" s="11">
        <v>3.0</v>
      </c>
      <c r="X444" s="48">
        <v>8.3182</v>
      </c>
      <c r="Y444" s="11">
        <f t="shared" si="2"/>
        <v>0.083182</v>
      </c>
    </row>
    <row r="445">
      <c r="A445" s="17">
        <v>83.0</v>
      </c>
      <c r="B445" s="24">
        <v>29.0</v>
      </c>
      <c r="C445" s="24">
        <v>2.0</v>
      </c>
      <c r="D445" s="24">
        <v>1.0</v>
      </c>
      <c r="E445" s="24">
        <v>63.0</v>
      </c>
      <c r="F445" s="48">
        <v>2.7238</v>
      </c>
      <c r="G445" s="49">
        <f t="shared" si="1"/>
        <v>0.027238</v>
      </c>
      <c r="H445" s="11">
        <v>0.0</v>
      </c>
      <c r="I445" s="11">
        <v>7.0</v>
      </c>
      <c r="J445" s="50">
        <v>20522.0</v>
      </c>
      <c r="K445" s="11">
        <v>7.0</v>
      </c>
      <c r="L445" s="11">
        <v>9.0</v>
      </c>
      <c r="M445" s="51">
        <v>401.0</v>
      </c>
      <c r="N445" s="17">
        <v>79.0</v>
      </c>
      <c r="O445" s="24" t="s">
        <v>39</v>
      </c>
      <c r="P445" s="52">
        <v>32413.0</v>
      </c>
      <c r="Q445" s="51">
        <v>336.0</v>
      </c>
      <c r="R445" s="53">
        <v>-6104.15</v>
      </c>
      <c r="S445" s="24" t="s">
        <v>604</v>
      </c>
      <c r="T445" s="11">
        <v>6.0</v>
      </c>
      <c r="U445" s="52">
        <v>21021.0</v>
      </c>
      <c r="V445" s="11">
        <v>5.0</v>
      </c>
      <c r="W445" s="11">
        <v>7.0</v>
      </c>
      <c r="X445" s="48">
        <v>1.9077</v>
      </c>
      <c r="Y445" s="11">
        <f t="shared" si="2"/>
        <v>0.019077</v>
      </c>
    </row>
    <row r="446">
      <c r="A446" s="17">
        <v>56.0</v>
      </c>
      <c r="B446" s="24">
        <v>29.0</v>
      </c>
      <c r="C446" s="24">
        <v>2.0</v>
      </c>
      <c r="D446" s="24">
        <v>2.0</v>
      </c>
      <c r="E446" s="24">
        <v>68.0</v>
      </c>
      <c r="F446" s="48">
        <v>3.6707</v>
      </c>
      <c r="G446" s="49">
        <f t="shared" si="1"/>
        <v>0.036707</v>
      </c>
      <c r="H446" s="11">
        <v>9.0</v>
      </c>
      <c r="I446" s="11">
        <v>5.0</v>
      </c>
      <c r="J446" s="50">
        <v>80613.0</v>
      </c>
      <c r="K446" s="11">
        <v>0.0</v>
      </c>
      <c r="L446" s="11">
        <v>3.0</v>
      </c>
      <c r="M446" s="51">
        <v>84.0</v>
      </c>
      <c r="N446" s="17">
        <v>88.0</v>
      </c>
      <c r="O446" s="24" t="s">
        <v>601</v>
      </c>
      <c r="P446" s="52">
        <v>20719.0</v>
      </c>
      <c r="Q446" s="51">
        <v>112.0</v>
      </c>
      <c r="R446" s="53">
        <v>-7399.92</v>
      </c>
      <c r="S446" s="24" t="s">
        <v>605</v>
      </c>
      <c r="T446" s="11">
        <v>8.0</v>
      </c>
      <c r="U446" s="52">
        <v>90622.0</v>
      </c>
      <c r="V446" s="11">
        <v>1.0</v>
      </c>
      <c r="W446" s="11">
        <v>8.0</v>
      </c>
      <c r="X446" s="48">
        <v>4.3489</v>
      </c>
      <c r="Y446" s="11">
        <f t="shared" si="2"/>
        <v>0.043489</v>
      </c>
    </row>
    <row r="447">
      <c r="A447" s="17">
        <v>12.0</v>
      </c>
      <c r="B447" s="24">
        <v>29.0</v>
      </c>
      <c r="C447" s="24">
        <v>2.0</v>
      </c>
      <c r="D447" s="24">
        <v>6.0</v>
      </c>
      <c r="E447" s="24">
        <v>67.0</v>
      </c>
      <c r="F447" s="48">
        <v>1.863</v>
      </c>
      <c r="G447" s="49">
        <f t="shared" si="1"/>
        <v>0.01863</v>
      </c>
      <c r="H447" s="11">
        <v>7.0</v>
      </c>
      <c r="I447" s="11">
        <v>3.0</v>
      </c>
      <c r="J447" s="50">
        <v>62116.0</v>
      </c>
      <c r="K447" s="11">
        <v>4.0</v>
      </c>
      <c r="L447" s="11">
        <v>4.0</v>
      </c>
      <c r="M447" s="51">
        <v>256.0</v>
      </c>
      <c r="N447" s="17">
        <v>67.0</v>
      </c>
      <c r="O447" s="24" t="s">
        <v>601</v>
      </c>
      <c r="P447" s="52">
        <v>52618.0</v>
      </c>
      <c r="Q447" s="51">
        <v>745.0</v>
      </c>
      <c r="R447" s="53">
        <v>-21424.9</v>
      </c>
      <c r="S447" s="24" t="s">
        <v>602</v>
      </c>
      <c r="T447" s="11">
        <v>2.0</v>
      </c>
      <c r="U447" s="52">
        <v>32318.0</v>
      </c>
      <c r="V447" s="11">
        <v>2.0</v>
      </c>
      <c r="W447" s="11">
        <v>0.0</v>
      </c>
      <c r="X447" s="48">
        <v>4.5165</v>
      </c>
      <c r="Y447" s="11">
        <f t="shared" si="2"/>
        <v>0.045165</v>
      </c>
    </row>
    <row r="448">
      <c r="A448" s="17">
        <v>6.0</v>
      </c>
      <c r="B448" s="24">
        <v>49.0</v>
      </c>
      <c r="C448" s="24">
        <v>7.0</v>
      </c>
      <c r="D448" s="24">
        <v>5.0</v>
      </c>
      <c r="E448" s="24">
        <v>61.0</v>
      </c>
      <c r="F448" s="48">
        <v>7.1449</v>
      </c>
      <c r="G448" s="49">
        <f t="shared" si="1"/>
        <v>0.071449</v>
      </c>
      <c r="H448" s="11">
        <v>6.0</v>
      </c>
      <c r="I448" s="11">
        <v>7.0</v>
      </c>
      <c r="J448" s="50">
        <v>92913.0</v>
      </c>
      <c r="K448" s="11">
        <v>3.0</v>
      </c>
      <c r="L448" s="11">
        <v>5.0</v>
      </c>
      <c r="M448" s="51">
        <v>271.0</v>
      </c>
      <c r="N448" s="17">
        <v>13.0</v>
      </c>
      <c r="O448" s="24" t="s">
        <v>603</v>
      </c>
      <c r="P448" s="52">
        <v>120620.0</v>
      </c>
      <c r="Q448" s="51">
        <v>954.0</v>
      </c>
      <c r="R448" s="53">
        <v>-845494.64</v>
      </c>
      <c r="S448" s="24" t="s">
        <v>602</v>
      </c>
      <c r="T448" s="11">
        <v>5.0</v>
      </c>
      <c r="U448" s="52">
        <v>71523.0</v>
      </c>
      <c r="V448" s="11">
        <v>7.0</v>
      </c>
      <c r="W448" s="11">
        <v>2.0</v>
      </c>
      <c r="X448" s="48">
        <v>1.6497</v>
      </c>
      <c r="Y448" s="11">
        <f t="shared" si="2"/>
        <v>0.016497</v>
      </c>
    </row>
    <row r="449">
      <c r="A449" s="17">
        <v>91.0</v>
      </c>
      <c r="B449" s="24">
        <v>49.0</v>
      </c>
      <c r="C449" s="24">
        <v>8.0</v>
      </c>
      <c r="D449" s="24">
        <v>2.0</v>
      </c>
      <c r="E449" s="24">
        <v>60.0</v>
      </c>
      <c r="F449" s="48">
        <v>9.557</v>
      </c>
      <c r="G449" s="49">
        <f t="shared" si="1"/>
        <v>0.09557</v>
      </c>
      <c r="H449" s="11">
        <v>6.0</v>
      </c>
      <c r="I449" s="11">
        <v>7.0</v>
      </c>
      <c r="J449" s="50">
        <v>42713.0</v>
      </c>
      <c r="K449" s="11">
        <v>3.0</v>
      </c>
      <c r="L449" s="11">
        <v>3.0</v>
      </c>
      <c r="M449" s="51">
        <v>285.0</v>
      </c>
      <c r="N449" s="17">
        <v>18.0</v>
      </c>
      <c r="O449" s="24" t="s">
        <v>39</v>
      </c>
      <c r="P449" s="52">
        <v>12420.0</v>
      </c>
      <c r="Q449" s="51">
        <v>68.0</v>
      </c>
      <c r="R449" s="53">
        <v>579331.59</v>
      </c>
      <c r="S449" s="24" t="s">
        <v>605</v>
      </c>
      <c r="T449" s="11">
        <v>6.0</v>
      </c>
      <c r="U449" s="52">
        <v>71316.0</v>
      </c>
      <c r="V449" s="11">
        <v>4.0</v>
      </c>
      <c r="W449" s="11">
        <v>8.0</v>
      </c>
      <c r="X449" s="48">
        <v>2.5344</v>
      </c>
      <c r="Y449" s="11">
        <f t="shared" si="2"/>
        <v>0.025344</v>
      </c>
    </row>
    <row r="450">
      <c r="A450" s="17">
        <v>5.0</v>
      </c>
      <c r="B450" s="24">
        <v>49.0</v>
      </c>
      <c r="C450" s="24">
        <v>8.0</v>
      </c>
      <c r="D450" s="24">
        <v>5.0</v>
      </c>
      <c r="E450" s="24">
        <v>65.0</v>
      </c>
      <c r="F450" s="48">
        <v>4.5121</v>
      </c>
      <c r="G450" s="49">
        <f t="shared" si="1"/>
        <v>0.045121</v>
      </c>
      <c r="H450" s="11">
        <v>6.0</v>
      </c>
      <c r="I450" s="11">
        <v>2.0</v>
      </c>
      <c r="J450" s="50">
        <v>32317.0</v>
      </c>
      <c r="K450" s="11">
        <v>9.0</v>
      </c>
      <c r="L450" s="11">
        <v>6.0</v>
      </c>
      <c r="M450" s="51">
        <v>477.0</v>
      </c>
      <c r="N450" s="17">
        <v>35.0</v>
      </c>
      <c r="O450" s="24" t="s">
        <v>603</v>
      </c>
      <c r="P450" s="52">
        <v>11822.0</v>
      </c>
      <c r="Q450" s="51">
        <v>133.0</v>
      </c>
      <c r="R450" s="53">
        <v>307747.38</v>
      </c>
      <c r="S450" s="24" t="s">
        <v>600</v>
      </c>
      <c r="T450" s="11">
        <v>1.0</v>
      </c>
      <c r="U450" s="52">
        <v>110515.0</v>
      </c>
      <c r="V450" s="11">
        <v>3.0</v>
      </c>
      <c r="W450" s="11">
        <v>8.0</v>
      </c>
      <c r="X450" s="48">
        <v>9.6612</v>
      </c>
      <c r="Y450" s="11">
        <f t="shared" si="2"/>
        <v>0.096612</v>
      </c>
    </row>
    <row r="451">
      <c r="A451" s="17">
        <v>14.0</v>
      </c>
      <c r="B451" s="24">
        <v>29.0</v>
      </c>
      <c r="C451" s="24">
        <v>3.0</v>
      </c>
      <c r="D451" s="24">
        <v>7.0</v>
      </c>
      <c r="E451" s="24">
        <v>65.0</v>
      </c>
      <c r="F451" s="48">
        <v>7.8695</v>
      </c>
      <c r="G451" s="49">
        <f t="shared" si="1"/>
        <v>0.078695</v>
      </c>
      <c r="H451" s="11">
        <v>0.0</v>
      </c>
      <c r="I451" s="11">
        <v>2.0</v>
      </c>
      <c r="J451" s="50">
        <v>120723.0</v>
      </c>
      <c r="K451" s="11">
        <v>3.0</v>
      </c>
      <c r="L451" s="11">
        <v>0.0</v>
      </c>
      <c r="M451" s="51">
        <v>664.0</v>
      </c>
      <c r="N451" s="17">
        <v>77.0</v>
      </c>
      <c r="O451" s="24" t="s">
        <v>31</v>
      </c>
      <c r="P451" s="52">
        <v>101020.0</v>
      </c>
      <c r="Q451" s="51">
        <v>162.0</v>
      </c>
      <c r="R451" s="53">
        <v>23329.95</v>
      </c>
      <c r="S451" s="24" t="s">
        <v>604</v>
      </c>
      <c r="T451" s="11">
        <v>2.0</v>
      </c>
      <c r="U451" s="52">
        <v>100315.0</v>
      </c>
      <c r="V451" s="11">
        <v>2.0</v>
      </c>
      <c r="W451" s="11">
        <v>1.0</v>
      </c>
      <c r="X451" s="48">
        <v>8.9389</v>
      </c>
      <c r="Y451" s="11">
        <f t="shared" si="2"/>
        <v>0.089389</v>
      </c>
    </row>
    <row r="452">
      <c r="A452" s="17">
        <v>71.0</v>
      </c>
      <c r="B452" s="24">
        <v>49.0</v>
      </c>
      <c r="C452" s="24">
        <v>8.0</v>
      </c>
      <c r="D452" s="24">
        <v>6.0</v>
      </c>
      <c r="E452" s="24">
        <v>63.0</v>
      </c>
      <c r="F452" s="48">
        <v>6.6627</v>
      </c>
      <c r="G452" s="49">
        <f t="shared" si="1"/>
        <v>0.066627</v>
      </c>
      <c r="H452" s="11">
        <v>7.0</v>
      </c>
      <c r="I452" s="11">
        <v>2.0</v>
      </c>
      <c r="J452" s="50">
        <v>42922.0</v>
      </c>
      <c r="K452" s="11">
        <v>8.0</v>
      </c>
      <c r="L452" s="11">
        <v>3.0</v>
      </c>
      <c r="M452" s="51">
        <v>969.0</v>
      </c>
      <c r="N452" s="17">
        <v>26.0</v>
      </c>
      <c r="O452" s="24" t="s">
        <v>603</v>
      </c>
      <c r="P452" s="52">
        <v>62621.0</v>
      </c>
      <c r="Q452" s="51">
        <v>990.0</v>
      </c>
      <c r="R452" s="53">
        <v>16347.53</v>
      </c>
      <c r="S452" s="24" t="s">
        <v>602</v>
      </c>
      <c r="T452" s="11">
        <v>5.0</v>
      </c>
      <c r="U452" s="52">
        <v>20915.0</v>
      </c>
      <c r="V452" s="11">
        <v>3.0</v>
      </c>
      <c r="W452" s="11">
        <v>2.0</v>
      </c>
      <c r="X452" s="48">
        <v>8.3759</v>
      </c>
      <c r="Y452" s="11">
        <f t="shared" si="2"/>
        <v>0.083759</v>
      </c>
    </row>
    <row r="453">
      <c r="A453" s="17">
        <v>93.0</v>
      </c>
      <c r="B453" s="24">
        <v>49.0</v>
      </c>
      <c r="C453" s="24">
        <v>8.0</v>
      </c>
      <c r="D453" s="24">
        <v>8.0</v>
      </c>
      <c r="E453" s="24">
        <v>68.0</v>
      </c>
      <c r="F453" s="48">
        <v>8.219</v>
      </c>
      <c r="G453" s="49">
        <f t="shared" si="1"/>
        <v>0.08219</v>
      </c>
      <c r="H453" s="11">
        <v>0.0</v>
      </c>
      <c r="I453" s="11">
        <v>8.0</v>
      </c>
      <c r="J453" s="50">
        <v>122317.0</v>
      </c>
      <c r="K453" s="11">
        <v>1.0</v>
      </c>
      <c r="L453" s="11">
        <v>4.0</v>
      </c>
      <c r="M453" s="51">
        <v>843.0</v>
      </c>
      <c r="N453" s="17">
        <v>2.0</v>
      </c>
      <c r="O453" s="24" t="s">
        <v>39</v>
      </c>
      <c r="P453" s="52">
        <v>102221.0</v>
      </c>
      <c r="Q453" s="51">
        <v>708.0</v>
      </c>
      <c r="R453" s="53">
        <v>1305.85</v>
      </c>
      <c r="S453" s="24" t="s">
        <v>600</v>
      </c>
      <c r="T453" s="11">
        <v>4.0</v>
      </c>
      <c r="U453" s="52">
        <v>30714.0</v>
      </c>
      <c r="V453" s="11">
        <v>2.0</v>
      </c>
      <c r="W453" s="11">
        <v>4.0</v>
      </c>
      <c r="X453" s="48">
        <v>9.6424</v>
      </c>
      <c r="Y453" s="11">
        <f t="shared" si="2"/>
        <v>0.096424</v>
      </c>
    </row>
    <row r="454">
      <c r="A454" s="17">
        <v>60.0</v>
      </c>
      <c r="B454" s="24">
        <v>49.0</v>
      </c>
      <c r="C454" s="24">
        <v>9.0</v>
      </c>
      <c r="D454" s="24">
        <v>1.0</v>
      </c>
      <c r="E454" s="24">
        <v>63.0</v>
      </c>
      <c r="F454" s="48">
        <v>2.3615</v>
      </c>
      <c r="G454" s="49">
        <f t="shared" si="1"/>
        <v>0.023615</v>
      </c>
      <c r="H454" s="11">
        <v>8.0</v>
      </c>
      <c r="I454" s="11">
        <v>5.0</v>
      </c>
      <c r="J454" s="50">
        <v>122221.0</v>
      </c>
      <c r="K454" s="11">
        <v>7.0</v>
      </c>
      <c r="L454" s="11">
        <v>3.0</v>
      </c>
      <c r="M454" s="51">
        <v>268.0</v>
      </c>
      <c r="N454" s="17">
        <v>95.0</v>
      </c>
      <c r="O454" s="24" t="s">
        <v>603</v>
      </c>
      <c r="P454" s="52">
        <v>52522.0</v>
      </c>
      <c r="Q454" s="51">
        <v>819.0</v>
      </c>
      <c r="R454" s="53">
        <v>-45628.73</v>
      </c>
      <c r="S454" s="24" t="s">
        <v>605</v>
      </c>
      <c r="T454" s="11">
        <v>6.0</v>
      </c>
      <c r="U454" s="52">
        <v>72713.0</v>
      </c>
      <c r="V454" s="11">
        <v>6.0</v>
      </c>
      <c r="W454" s="11">
        <v>6.0</v>
      </c>
      <c r="X454" s="48">
        <v>8.2733</v>
      </c>
      <c r="Y454" s="11">
        <f t="shared" si="2"/>
        <v>0.082733</v>
      </c>
    </row>
    <row r="455">
      <c r="A455" s="17">
        <v>20.0</v>
      </c>
      <c r="B455" s="24">
        <v>49.0</v>
      </c>
      <c r="C455" s="24">
        <v>9.0</v>
      </c>
      <c r="D455" s="24">
        <v>2.0</v>
      </c>
      <c r="E455" s="24">
        <v>63.0</v>
      </c>
      <c r="F455" s="48">
        <v>8.932</v>
      </c>
      <c r="G455" s="49">
        <f t="shared" si="1"/>
        <v>0.08932</v>
      </c>
      <c r="H455" s="11">
        <v>5.0</v>
      </c>
      <c r="I455" s="11">
        <v>7.0</v>
      </c>
      <c r="J455" s="50">
        <v>52217.0</v>
      </c>
      <c r="K455" s="11">
        <v>7.0</v>
      </c>
      <c r="L455" s="11">
        <v>6.0</v>
      </c>
      <c r="M455" s="51">
        <v>519.0</v>
      </c>
      <c r="N455" s="17">
        <v>41.0</v>
      </c>
      <c r="O455" s="24" t="s">
        <v>601</v>
      </c>
      <c r="P455" s="52">
        <v>111319.0</v>
      </c>
      <c r="Q455" s="51">
        <v>179.0</v>
      </c>
      <c r="R455" s="53">
        <v>15870.17</v>
      </c>
      <c r="S455" s="24" t="s">
        <v>605</v>
      </c>
      <c r="T455" s="11">
        <v>3.0</v>
      </c>
      <c r="U455" s="52">
        <v>20616.0</v>
      </c>
      <c r="V455" s="11">
        <v>2.0</v>
      </c>
      <c r="W455" s="11">
        <v>4.0</v>
      </c>
      <c r="X455" s="48">
        <v>8.1155</v>
      </c>
      <c r="Y455" s="11">
        <f t="shared" si="2"/>
        <v>0.081155</v>
      </c>
    </row>
    <row r="456">
      <c r="A456" s="17">
        <v>60.0</v>
      </c>
      <c r="B456" s="24">
        <v>29.0</v>
      </c>
      <c r="C456" s="24">
        <v>6.0</v>
      </c>
      <c r="D456" s="24">
        <v>3.0</v>
      </c>
      <c r="E456" s="24">
        <v>67.0</v>
      </c>
      <c r="F456" s="48">
        <v>8.3825</v>
      </c>
      <c r="G456" s="49">
        <f t="shared" si="1"/>
        <v>0.083825</v>
      </c>
      <c r="H456" s="11">
        <v>2.0</v>
      </c>
      <c r="I456" s="11">
        <v>0.0</v>
      </c>
      <c r="J456" s="50">
        <v>102316.0</v>
      </c>
      <c r="K456" s="11">
        <v>8.0</v>
      </c>
      <c r="L456" s="11">
        <v>9.0</v>
      </c>
      <c r="M456" s="51">
        <v>624.0</v>
      </c>
      <c r="N456" s="17">
        <v>92.0</v>
      </c>
      <c r="O456" s="24" t="s">
        <v>48</v>
      </c>
      <c r="P456" s="52">
        <v>43021.0</v>
      </c>
      <c r="Q456" s="51">
        <v>411.0</v>
      </c>
      <c r="R456" s="53">
        <v>-699.27</v>
      </c>
      <c r="S456" s="24" t="s">
        <v>605</v>
      </c>
      <c r="T456" s="11">
        <v>4.0</v>
      </c>
      <c r="U456" s="52">
        <v>60618.0</v>
      </c>
      <c r="V456" s="11">
        <v>6.0</v>
      </c>
      <c r="W456" s="11">
        <v>0.0</v>
      </c>
      <c r="X456" s="48">
        <v>6.764</v>
      </c>
      <c r="Y456" s="11">
        <f t="shared" si="2"/>
        <v>0.06764</v>
      </c>
    </row>
    <row r="457">
      <c r="A457" s="17">
        <v>60.0</v>
      </c>
      <c r="B457" s="24">
        <v>29.0</v>
      </c>
      <c r="C457" s="24">
        <v>6.0</v>
      </c>
      <c r="D457" s="24">
        <v>6.0</v>
      </c>
      <c r="E457" s="24">
        <v>63.0</v>
      </c>
      <c r="F457" s="48">
        <v>7.7528</v>
      </c>
      <c r="G457" s="49">
        <f t="shared" si="1"/>
        <v>0.077528</v>
      </c>
      <c r="H457" s="11">
        <v>3.0</v>
      </c>
      <c r="I457" s="11">
        <v>0.0</v>
      </c>
      <c r="J457" s="50">
        <v>120420.0</v>
      </c>
      <c r="K457" s="11">
        <v>3.0</v>
      </c>
      <c r="L457" s="11">
        <v>6.0</v>
      </c>
      <c r="M457" s="51">
        <v>471.0</v>
      </c>
      <c r="N457" s="17">
        <v>75.0</v>
      </c>
      <c r="O457" s="24" t="s">
        <v>606</v>
      </c>
      <c r="P457" s="52">
        <v>22714.0</v>
      </c>
      <c r="Q457" s="51">
        <v>212.0</v>
      </c>
      <c r="R457" s="53">
        <v>1231.6</v>
      </c>
      <c r="S457" s="24" t="s">
        <v>604</v>
      </c>
      <c r="T457" s="11">
        <v>2.0</v>
      </c>
      <c r="U457" s="52">
        <v>42814.0</v>
      </c>
      <c r="V457" s="11">
        <v>7.0</v>
      </c>
      <c r="W457" s="11">
        <v>1.0</v>
      </c>
      <c r="X457" s="48">
        <v>2.9359</v>
      </c>
      <c r="Y457" s="11">
        <f t="shared" si="2"/>
        <v>0.029359</v>
      </c>
    </row>
    <row r="458">
      <c r="A458" s="17">
        <v>65.0</v>
      </c>
      <c r="B458" s="24">
        <v>29.0</v>
      </c>
      <c r="C458" s="24">
        <v>6.0</v>
      </c>
      <c r="D458" s="24">
        <v>7.0</v>
      </c>
      <c r="E458" s="24">
        <v>67.0</v>
      </c>
      <c r="F458" s="48">
        <v>7.2787</v>
      </c>
      <c r="G458" s="49">
        <f t="shared" si="1"/>
        <v>0.072787</v>
      </c>
      <c r="H458" s="11">
        <v>4.0</v>
      </c>
      <c r="I458" s="11">
        <v>7.0</v>
      </c>
      <c r="J458" s="50">
        <v>80322.0</v>
      </c>
      <c r="K458" s="11">
        <v>1.0</v>
      </c>
      <c r="L458" s="11">
        <v>3.0</v>
      </c>
      <c r="M458" s="51">
        <v>695.0</v>
      </c>
      <c r="N458" s="17">
        <v>33.0</v>
      </c>
      <c r="O458" s="24" t="s">
        <v>603</v>
      </c>
      <c r="P458" s="52">
        <v>62615.0</v>
      </c>
      <c r="Q458" s="51">
        <v>154.0</v>
      </c>
      <c r="R458" s="53">
        <v>-954981.65</v>
      </c>
      <c r="S458" s="24" t="s">
        <v>602</v>
      </c>
      <c r="T458" s="11">
        <v>3.0</v>
      </c>
      <c r="U458" s="52">
        <v>10815.0</v>
      </c>
      <c r="V458" s="11">
        <v>8.0</v>
      </c>
      <c r="W458" s="11">
        <v>8.0</v>
      </c>
      <c r="X458" s="48">
        <v>7.5093</v>
      </c>
      <c r="Y458" s="11">
        <f t="shared" si="2"/>
        <v>0.075093</v>
      </c>
    </row>
    <row r="459">
      <c r="A459" s="17">
        <v>27.0</v>
      </c>
      <c r="B459" s="24">
        <v>91.0</v>
      </c>
      <c r="C459" s="24">
        <v>1.0</v>
      </c>
      <c r="D459" s="24">
        <v>2.0</v>
      </c>
      <c r="E459" s="24">
        <v>60.0</v>
      </c>
      <c r="F459" s="48">
        <v>7.2545</v>
      </c>
      <c r="G459" s="49">
        <f t="shared" si="1"/>
        <v>0.072545</v>
      </c>
      <c r="H459" s="11">
        <v>0.0</v>
      </c>
      <c r="I459" s="11">
        <v>0.0</v>
      </c>
      <c r="J459" s="50">
        <v>41513.0</v>
      </c>
      <c r="K459" s="11">
        <v>8.0</v>
      </c>
      <c r="L459" s="11">
        <v>0.0</v>
      </c>
      <c r="M459" s="51">
        <v>680.0</v>
      </c>
      <c r="N459" s="17">
        <v>89.0</v>
      </c>
      <c r="O459" s="24" t="s">
        <v>603</v>
      </c>
      <c r="P459" s="52">
        <v>110521.0</v>
      </c>
      <c r="Q459" s="51">
        <v>561.0</v>
      </c>
      <c r="R459" s="53">
        <v>-17242.36</v>
      </c>
      <c r="S459" s="24" t="s">
        <v>600</v>
      </c>
      <c r="T459" s="11">
        <v>7.0</v>
      </c>
      <c r="U459" s="52">
        <v>20218.0</v>
      </c>
      <c r="V459" s="11">
        <v>8.0</v>
      </c>
      <c r="W459" s="11">
        <v>1.0</v>
      </c>
      <c r="X459" s="48">
        <v>2.8856</v>
      </c>
      <c r="Y459" s="11">
        <f t="shared" si="2"/>
        <v>0.028856</v>
      </c>
    </row>
    <row r="460">
      <c r="A460" s="17">
        <v>22.0</v>
      </c>
      <c r="B460" s="24">
        <v>29.0</v>
      </c>
      <c r="C460" s="24">
        <v>6.0</v>
      </c>
      <c r="D460" s="24">
        <v>9.0</v>
      </c>
      <c r="E460" s="24">
        <v>63.0</v>
      </c>
      <c r="F460" s="48">
        <v>5.3248</v>
      </c>
      <c r="G460" s="49">
        <f t="shared" si="1"/>
        <v>0.053248</v>
      </c>
      <c r="H460" s="11">
        <v>7.0</v>
      </c>
      <c r="I460" s="11">
        <v>6.0</v>
      </c>
      <c r="J460" s="50">
        <v>31216.0</v>
      </c>
      <c r="K460" s="11">
        <v>7.0</v>
      </c>
      <c r="L460" s="11">
        <v>2.0</v>
      </c>
      <c r="M460" s="51">
        <v>987.0</v>
      </c>
      <c r="N460" s="17">
        <v>11.0</v>
      </c>
      <c r="O460" s="24" t="s">
        <v>603</v>
      </c>
      <c r="P460" s="52">
        <v>90423.0</v>
      </c>
      <c r="Q460" s="51">
        <v>474.0</v>
      </c>
      <c r="R460" s="53">
        <v>6057.78</v>
      </c>
      <c r="S460" s="24" t="s">
        <v>604</v>
      </c>
      <c r="T460" s="11">
        <v>1.0</v>
      </c>
      <c r="U460" s="52">
        <v>50222.0</v>
      </c>
      <c r="V460" s="11">
        <v>2.0</v>
      </c>
      <c r="W460" s="11">
        <v>4.0</v>
      </c>
      <c r="X460" s="48">
        <v>4.73</v>
      </c>
      <c r="Y460" s="11">
        <f t="shared" si="2"/>
        <v>0.0473</v>
      </c>
    </row>
    <row r="461">
      <c r="A461" s="17">
        <v>21.0</v>
      </c>
      <c r="B461" s="24">
        <v>91.0</v>
      </c>
      <c r="C461" s="24">
        <v>2.0</v>
      </c>
      <c r="D461" s="24">
        <v>2.0</v>
      </c>
      <c r="E461" s="24">
        <v>64.0</v>
      </c>
      <c r="F461" s="48">
        <v>3.62</v>
      </c>
      <c r="G461" s="49">
        <f t="shared" si="1"/>
        <v>0.0362</v>
      </c>
      <c r="H461" s="11">
        <v>5.0</v>
      </c>
      <c r="I461" s="11">
        <v>9.0</v>
      </c>
      <c r="J461" s="50">
        <v>80916.0</v>
      </c>
      <c r="K461" s="11">
        <v>2.0</v>
      </c>
      <c r="L461" s="11">
        <v>5.0</v>
      </c>
      <c r="M461" s="51">
        <v>52.0</v>
      </c>
      <c r="N461" s="17">
        <v>42.0</v>
      </c>
      <c r="O461" s="24" t="s">
        <v>600</v>
      </c>
      <c r="P461" s="52">
        <v>120218.0</v>
      </c>
      <c r="Q461" s="51">
        <v>646.0</v>
      </c>
      <c r="R461" s="53">
        <v>2328.15</v>
      </c>
      <c r="S461" s="24" t="s">
        <v>604</v>
      </c>
      <c r="T461" s="11">
        <v>2.0</v>
      </c>
      <c r="U461" s="52">
        <v>80618.0</v>
      </c>
      <c r="V461" s="11">
        <v>7.0</v>
      </c>
      <c r="W461" s="11">
        <v>4.0</v>
      </c>
      <c r="X461" s="48">
        <v>6.1118</v>
      </c>
      <c r="Y461" s="11">
        <f t="shared" si="2"/>
        <v>0.061118</v>
      </c>
    </row>
    <row r="462">
      <c r="A462" s="17">
        <v>28.0</v>
      </c>
      <c r="B462" s="24">
        <v>29.0</v>
      </c>
      <c r="C462" s="24">
        <v>7.0</v>
      </c>
      <c r="D462" s="24">
        <v>9.0</v>
      </c>
      <c r="E462" s="24">
        <v>64.0</v>
      </c>
      <c r="F462" s="48">
        <v>9.8465</v>
      </c>
      <c r="G462" s="49">
        <f t="shared" si="1"/>
        <v>0.098465</v>
      </c>
      <c r="H462" s="11">
        <v>2.0</v>
      </c>
      <c r="I462" s="11">
        <v>9.0</v>
      </c>
      <c r="J462" s="50">
        <v>12713.0</v>
      </c>
      <c r="K462" s="11">
        <v>2.0</v>
      </c>
      <c r="L462" s="11">
        <v>5.0</v>
      </c>
      <c r="M462" s="51">
        <v>254.0</v>
      </c>
      <c r="N462" s="17">
        <v>61.0</v>
      </c>
      <c r="O462" s="24" t="s">
        <v>603</v>
      </c>
      <c r="P462" s="52">
        <v>51316.0</v>
      </c>
      <c r="Q462" s="51">
        <v>586.0</v>
      </c>
      <c r="R462" s="53">
        <v>-630890.84</v>
      </c>
      <c r="S462" s="24" t="s">
        <v>602</v>
      </c>
      <c r="T462" s="11">
        <v>2.0</v>
      </c>
      <c r="U462" s="52">
        <v>121621.0</v>
      </c>
      <c r="V462" s="11">
        <v>0.0</v>
      </c>
      <c r="W462" s="11">
        <v>6.0</v>
      </c>
      <c r="X462" s="48">
        <v>6.255</v>
      </c>
      <c r="Y462" s="11">
        <f t="shared" si="2"/>
        <v>0.06255</v>
      </c>
    </row>
    <row r="463">
      <c r="A463" s="17">
        <v>63.0</v>
      </c>
      <c r="B463" s="24">
        <v>29.0</v>
      </c>
      <c r="C463" s="24">
        <v>8.0</v>
      </c>
      <c r="D463" s="24">
        <v>3.0</v>
      </c>
      <c r="E463" s="24">
        <v>63.0</v>
      </c>
      <c r="F463" s="48">
        <v>4.6413</v>
      </c>
      <c r="G463" s="49">
        <f t="shared" si="1"/>
        <v>0.046413</v>
      </c>
      <c r="H463" s="11">
        <v>4.0</v>
      </c>
      <c r="I463" s="11">
        <v>9.0</v>
      </c>
      <c r="J463" s="50">
        <v>91621.0</v>
      </c>
      <c r="K463" s="11">
        <v>9.0</v>
      </c>
      <c r="L463" s="11">
        <v>1.0</v>
      </c>
      <c r="M463" s="51">
        <v>176.0</v>
      </c>
      <c r="N463" s="17">
        <v>97.0</v>
      </c>
      <c r="O463" s="24" t="s">
        <v>603</v>
      </c>
      <c r="P463" s="52">
        <v>41414.0</v>
      </c>
      <c r="Q463" s="51">
        <v>284.0</v>
      </c>
      <c r="R463" s="53">
        <v>73470.3</v>
      </c>
      <c r="S463" s="24" t="s">
        <v>605</v>
      </c>
      <c r="T463" s="11">
        <v>2.0</v>
      </c>
      <c r="U463" s="52">
        <v>41423.0</v>
      </c>
      <c r="V463" s="11">
        <v>5.0</v>
      </c>
      <c r="W463" s="11">
        <v>8.0</v>
      </c>
      <c r="X463" s="48">
        <v>4.419</v>
      </c>
      <c r="Y463" s="11">
        <f t="shared" si="2"/>
        <v>0.04419</v>
      </c>
    </row>
    <row r="464">
      <c r="A464" s="17">
        <v>88.0</v>
      </c>
      <c r="B464" s="24">
        <v>91.0</v>
      </c>
      <c r="C464" s="24">
        <v>3.0</v>
      </c>
      <c r="D464" s="24">
        <v>1.0</v>
      </c>
      <c r="E464" s="24">
        <v>66.0</v>
      </c>
      <c r="F464" s="48">
        <v>7.6837</v>
      </c>
      <c r="G464" s="49">
        <f t="shared" si="1"/>
        <v>0.076837</v>
      </c>
      <c r="H464" s="11">
        <v>2.0</v>
      </c>
      <c r="I464" s="11">
        <v>1.0</v>
      </c>
      <c r="J464" s="50">
        <v>81514.0</v>
      </c>
      <c r="K464" s="11">
        <v>2.0</v>
      </c>
      <c r="L464" s="11">
        <v>3.0</v>
      </c>
      <c r="M464" s="51">
        <v>806.0</v>
      </c>
      <c r="N464" s="17">
        <v>22.0</v>
      </c>
      <c r="O464" s="24" t="s">
        <v>601</v>
      </c>
      <c r="P464" s="52">
        <v>90923.0</v>
      </c>
      <c r="Q464" s="51">
        <v>944.0</v>
      </c>
      <c r="R464" s="53">
        <v>716603.39</v>
      </c>
      <c r="S464" s="24" t="s">
        <v>604</v>
      </c>
      <c r="T464" s="11">
        <v>0.0</v>
      </c>
      <c r="U464" s="52">
        <v>42722.0</v>
      </c>
      <c r="V464" s="11">
        <v>3.0</v>
      </c>
      <c r="W464" s="11">
        <v>2.0</v>
      </c>
      <c r="X464" s="48">
        <v>3.5238</v>
      </c>
      <c r="Y464" s="11">
        <f t="shared" si="2"/>
        <v>0.035238</v>
      </c>
    </row>
    <row r="465">
      <c r="A465" s="17">
        <v>44.0</v>
      </c>
      <c r="B465" s="24">
        <v>91.0</v>
      </c>
      <c r="C465" s="24">
        <v>4.0</v>
      </c>
      <c r="D465" s="24">
        <v>2.0</v>
      </c>
      <c r="E465" s="24">
        <v>63.0</v>
      </c>
      <c r="F465" s="48">
        <v>9.8217</v>
      </c>
      <c r="G465" s="49">
        <f t="shared" si="1"/>
        <v>0.098217</v>
      </c>
      <c r="H465" s="11">
        <v>4.0</v>
      </c>
      <c r="I465" s="11">
        <v>3.0</v>
      </c>
      <c r="J465" s="50">
        <v>12620.0</v>
      </c>
      <c r="K465" s="11">
        <v>6.0</v>
      </c>
      <c r="L465" s="11">
        <v>9.0</v>
      </c>
      <c r="M465" s="51">
        <v>962.0</v>
      </c>
      <c r="N465" s="17">
        <v>38.0</v>
      </c>
      <c r="O465" s="24" t="s">
        <v>31</v>
      </c>
      <c r="P465" s="52">
        <v>71216.0</v>
      </c>
      <c r="Q465" s="51">
        <v>388.0</v>
      </c>
      <c r="R465" s="53">
        <v>98807.52</v>
      </c>
      <c r="S465" s="24" t="s">
        <v>605</v>
      </c>
      <c r="T465" s="11">
        <v>4.0</v>
      </c>
      <c r="U465" s="52">
        <v>62322.0</v>
      </c>
      <c r="V465" s="11">
        <v>0.0</v>
      </c>
      <c r="W465" s="11">
        <v>2.0</v>
      </c>
      <c r="X465" s="48">
        <v>2.39</v>
      </c>
      <c r="Y465" s="11">
        <f t="shared" si="2"/>
        <v>0.0239</v>
      </c>
    </row>
    <row r="466">
      <c r="A466" s="17">
        <v>35.0</v>
      </c>
      <c r="B466" s="24">
        <v>91.0</v>
      </c>
      <c r="C466" s="24">
        <v>4.0</v>
      </c>
      <c r="D466" s="24">
        <v>6.0</v>
      </c>
      <c r="E466" s="24">
        <v>63.0</v>
      </c>
      <c r="F466" s="48">
        <v>5.9269</v>
      </c>
      <c r="G466" s="49">
        <f t="shared" si="1"/>
        <v>0.059269</v>
      </c>
      <c r="H466" s="11">
        <v>2.0</v>
      </c>
      <c r="I466" s="11">
        <v>7.0</v>
      </c>
      <c r="J466" s="50">
        <v>42116.0</v>
      </c>
      <c r="K466" s="11">
        <v>9.0</v>
      </c>
      <c r="L466" s="11">
        <v>1.0</v>
      </c>
      <c r="M466" s="51">
        <v>806.0</v>
      </c>
      <c r="N466" s="17">
        <v>9.0</v>
      </c>
      <c r="O466" s="24" t="s">
        <v>603</v>
      </c>
      <c r="P466" s="52">
        <v>30515.0</v>
      </c>
      <c r="Q466" s="51">
        <v>512.0</v>
      </c>
      <c r="R466" s="53">
        <v>-804.63</v>
      </c>
      <c r="S466" s="24" t="s">
        <v>604</v>
      </c>
      <c r="T466" s="11">
        <v>8.0</v>
      </c>
      <c r="U466" s="52">
        <v>61319.0</v>
      </c>
      <c r="V466" s="11">
        <v>2.0</v>
      </c>
      <c r="W466" s="11">
        <v>1.0</v>
      </c>
      <c r="X466" s="48">
        <v>2.2094</v>
      </c>
      <c r="Y466" s="11">
        <f t="shared" si="2"/>
        <v>0.022094</v>
      </c>
    </row>
    <row r="467">
      <c r="A467" s="17">
        <v>71.0</v>
      </c>
      <c r="B467" s="24">
        <v>91.0</v>
      </c>
      <c r="C467" s="24">
        <v>4.0</v>
      </c>
      <c r="D467" s="24">
        <v>9.0</v>
      </c>
      <c r="E467" s="24">
        <v>68.0</v>
      </c>
      <c r="F467" s="48">
        <v>3.21</v>
      </c>
      <c r="G467" s="49">
        <f t="shared" si="1"/>
        <v>0.0321</v>
      </c>
      <c r="H467" s="11">
        <v>0.0</v>
      </c>
      <c r="I467" s="11">
        <v>9.0</v>
      </c>
      <c r="J467" s="50">
        <v>72918.0</v>
      </c>
      <c r="K467" s="11">
        <v>9.0</v>
      </c>
      <c r="L467" s="11">
        <v>6.0</v>
      </c>
      <c r="M467" s="51">
        <v>143.0</v>
      </c>
      <c r="N467" s="17">
        <v>77.0</v>
      </c>
      <c r="O467" s="24" t="s">
        <v>606</v>
      </c>
      <c r="P467" s="52">
        <v>112515.0</v>
      </c>
      <c r="Q467" s="51">
        <v>273.0</v>
      </c>
      <c r="R467" s="53">
        <v>18624.66</v>
      </c>
      <c r="S467" s="24" t="s">
        <v>604</v>
      </c>
      <c r="T467" s="11">
        <v>3.0</v>
      </c>
      <c r="U467" s="52">
        <v>101315.0</v>
      </c>
      <c r="V467" s="11">
        <v>3.0</v>
      </c>
      <c r="W467" s="11">
        <v>3.0</v>
      </c>
      <c r="X467" s="48">
        <v>8.7571</v>
      </c>
      <c r="Y467" s="11">
        <f t="shared" si="2"/>
        <v>0.087571</v>
      </c>
    </row>
    <row r="468">
      <c r="A468" s="17">
        <v>67.0</v>
      </c>
      <c r="B468" s="24">
        <v>91.0</v>
      </c>
      <c r="C468" s="24">
        <v>5.0</v>
      </c>
      <c r="D468" s="24">
        <v>5.0</v>
      </c>
      <c r="E468" s="24">
        <v>61.0</v>
      </c>
      <c r="F468" s="48">
        <v>7.2418</v>
      </c>
      <c r="G468" s="49">
        <f t="shared" si="1"/>
        <v>0.072418</v>
      </c>
      <c r="H468" s="11">
        <v>8.0</v>
      </c>
      <c r="I468" s="11">
        <v>3.0</v>
      </c>
      <c r="J468" s="50">
        <v>42216.0</v>
      </c>
      <c r="K468" s="11">
        <v>2.0</v>
      </c>
      <c r="L468" s="11">
        <v>7.0</v>
      </c>
      <c r="M468" s="51">
        <v>671.0</v>
      </c>
      <c r="N468" s="17">
        <v>73.0</v>
      </c>
      <c r="O468" s="24" t="s">
        <v>603</v>
      </c>
      <c r="P468" s="52">
        <v>91413.0</v>
      </c>
      <c r="Q468" s="51">
        <v>21.0</v>
      </c>
      <c r="R468" s="53">
        <v>-295.47</v>
      </c>
      <c r="S468" s="24" t="s">
        <v>600</v>
      </c>
      <c r="T468" s="11">
        <v>7.0</v>
      </c>
      <c r="U468" s="52">
        <v>71217.0</v>
      </c>
      <c r="V468" s="11">
        <v>3.0</v>
      </c>
      <c r="W468" s="11">
        <v>3.0</v>
      </c>
      <c r="X468" s="48">
        <v>8.705</v>
      </c>
      <c r="Y468" s="11">
        <f t="shared" si="2"/>
        <v>0.08705</v>
      </c>
    </row>
    <row r="469">
      <c r="A469" s="17">
        <v>22.0</v>
      </c>
      <c r="B469" s="24">
        <v>91.0</v>
      </c>
      <c r="C469" s="24">
        <v>5.0</v>
      </c>
      <c r="D469" s="24">
        <v>8.0</v>
      </c>
      <c r="E469" s="24">
        <v>65.0</v>
      </c>
      <c r="F469" s="48">
        <v>1.3321</v>
      </c>
      <c r="G469" s="49">
        <f t="shared" si="1"/>
        <v>0.013321</v>
      </c>
      <c r="H469" s="11">
        <v>1.0</v>
      </c>
      <c r="I469" s="11">
        <v>7.0</v>
      </c>
      <c r="J469" s="50">
        <v>122714.0</v>
      </c>
      <c r="K469" s="11">
        <v>2.0</v>
      </c>
      <c r="L469" s="11">
        <v>2.0</v>
      </c>
      <c r="M469" s="51">
        <v>172.0</v>
      </c>
      <c r="N469" s="17">
        <v>71.0</v>
      </c>
      <c r="O469" s="24" t="s">
        <v>600</v>
      </c>
      <c r="P469" s="52">
        <v>52422.0</v>
      </c>
      <c r="Q469" s="51">
        <v>607.0</v>
      </c>
      <c r="R469" s="53">
        <v>-6993.34</v>
      </c>
      <c r="S469" s="24" t="s">
        <v>604</v>
      </c>
      <c r="T469" s="11">
        <v>7.0</v>
      </c>
      <c r="U469" s="52">
        <v>102618.0</v>
      </c>
      <c r="V469" s="11">
        <v>6.0</v>
      </c>
      <c r="W469" s="11">
        <v>5.0</v>
      </c>
      <c r="X469" s="48">
        <v>3.983</v>
      </c>
      <c r="Y469" s="11">
        <f t="shared" si="2"/>
        <v>0.03983</v>
      </c>
    </row>
    <row r="470">
      <c r="A470" s="17">
        <v>49.0</v>
      </c>
      <c r="B470" s="24">
        <v>91.0</v>
      </c>
      <c r="C470" s="24">
        <v>6.0</v>
      </c>
      <c r="D470" s="24">
        <v>3.0</v>
      </c>
      <c r="E470" s="24">
        <v>61.0</v>
      </c>
      <c r="F470" s="48">
        <v>6.4561</v>
      </c>
      <c r="G470" s="49">
        <f t="shared" si="1"/>
        <v>0.064561</v>
      </c>
      <c r="H470" s="11">
        <v>6.0</v>
      </c>
      <c r="I470" s="11">
        <v>7.0</v>
      </c>
      <c r="J470" s="50">
        <v>22820.0</v>
      </c>
      <c r="K470" s="11">
        <v>2.0</v>
      </c>
      <c r="L470" s="11">
        <v>1.0</v>
      </c>
      <c r="M470" s="51">
        <v>550.0</v>
      </c>
      <c r="N470" s="17">
        <v>53.0</v>
      </c>
      <c r="O470" s="24" t="s">
        <v>48</v>
      </c>
      <c r="P470" s="52">
        <v>52920.0</v>
      </c>
      <c r="Q470" s="51">
        <v>423.0</v>
      </c>
      <c r="R470" s="53">
        <v>162758.13</v>
      </c>
      <c r="S470" s="24" t="s">
        <v>605</v>
      </c>
      <c r="T470" s="11">
        <v>5.0</v>
      </c>
      <c r="U470" s="52">
        <v>70122.0</v>
      </c>
      <c r="V470" s="11">
        <v>8.0</v>
      </c>
      <c r="W470" s="11">
        <v>3.0</v>
      </c>
      <c r="X470" s="48">
        <v>6.3641</v>
      </c>
      <c r="Y470" s="11">
        <f t="shared" si="2"/>
        <v>0.063641</v>
      </c>
    </row>
    <row r="471">
      <c r="A471" s="17">
        <v>22.0</v>
      </c>
      <c r="B471" s="24">
        <v>91.0</v>
      </c>
      <c r="C471" s="24">
        <v>7.0</v>
      </c>
      <c r="D471" s="24">
        <v>5.0</v>
      </c>
      <c r="E471" s="24">
        <v>63.0</v>
      </c>
      <c r="F471" s="48">
        <v>3.671</v>
      </c>
      <c r="G471" s="49">
        <f t="shared" si="1"/>
        <v>0.03671</v>
      </c>
      <c r="H471" s="11">
        <v>2.0</v>
      </c>
      <c r="I471" s="11">
        <v>5.0</v>
      </c>
      <c r="J471" s="50">
        <v>32513.0</v>
      </c>
      <c r="K471" s="11">
        <v>5.0</v>
      </c>
      <c r="L471" s="11">
        <v>4.0</v>
      </c>
      <c r="M471" s="51">
        <v>632.0</v>
      </c>
      <c r="N471" s="17">
        <v>37.0</v>
      </c>
      <c r="O471" s="24" t="s">
        <v>600</v>
      </c>
      <c r="P471" s="52">
        <v>80717.0</v>
      </c>
      <c r="Q471" s="51">
        <v>197.0</v>
      </c>
      <c r="R471" s="53">
        <v>3379.61</v>
      </c>
      <c r="S471" s="24" t="s">
        <v>605</v>
      </c>
      <c r="T471" s="11">
        <v>5.0</v>
      </c>
      <c r="U471" s="52">
        <v>42522.0</v>
      </c>
      <c r="V471" s="11">
        <v>6.0</v>
      </c>
      <c r="W471" s="11">
        <v>3.0</v>
      </c>
      <c r="X471" s="48">
        <v>2.8986</v>
      </c>
      <c r="Y471" s="11">
        <f t="shared" si="2"/>
        <v>0.028986</v>
      </c>
    </row>
    <row r="472">
      <c r="A472" s="17">
        <v>43.0</v>
      </c>
      <c r="B472" s="24">
        <v>91.0</v>
      </c>
      <c r="C472" s="24">
        <v>7.0</v>
      </c>
      <c r="D472" s="24">
        <v>9.0</v>
      </c>
      <c r="E472" s="24">
        <v>67.0</v>
      </c>
      <c r="F472" s="48">
        <v>7.7697</v>
      </c>
      <c r="G472" s="49">
        <f t="shared" si="1"/>
        <v>0.077697</v>
      </c>
      <c r="H472" s="11">
        <v>5.0</v>
      </c>
      <c r="I472" s="11">
        <v>0.0</v>
      </c>
      <c r="J472" s="50">
        <v>112314.0</v>
      </c>
      <c r="K472" s="11">
        <v>7.0</v>
      </c>
      <c r="L472" s="11">
        <v>2.0</v>
      </c>
      <c r="M472" s="51">
        <v>290.0</v>
      </c>
      <c r="N472" s="17">
        <v>87.0</v>
      </c>
      <c r="O472" s="24" t="s">
        <v>601</v>
      </c>
      <c r="P472" s="52">
        <v>100823.0</v>
      </c>
      <c r="Q472" s="51">
        <v>793.0</v>
      </c>
      <c r="R472" s="53">
        <v>-61537.52</v>
      </c>
      <c r="S472" s="24" t="s">
        <v>600</v>
      </c>
      <c r="T472" s="11">
        <v>2.0</v>
      </c>
      <c r="U472" s="52">
        <v>112315.0</v>
      </c>
      <c r="V472" s="11">
        <v>4.0</v>
      </c>
      <c r="W472" s="11">
        <v>9.0</v>
      </c>
      <c r="X472" s="48">
        <v>3.9763</v>
      </c>
      <c r="Y472" s="11">
        <f t="shared" si="2"/>
        <v>0.039763</v>
      </c>
    </row>
    <row r="473">
      <c r="A473" s="17">
        <v>1.0</v>
      </c>
      <c r="B473" s="24">
        <v>71.0</v>
      </c>
      <c r="C473" s="24">
        <v>3.0</v>
      </c>
      <c r="D473" s="24">
        <v>6.0</v>
      </c>
      <c r="E473" s="24">
        <v>64.0</v>
      </c>
      <c r="F473" s="48">
        <v>8.9878</v>
      </c>
      <c r="G473" s="49">
        <f t="shared" si="1"/>
        <v>0.089878</v>
      </c>
      <c r="H473" s="11">
        <v>3.0</v>
      </c>
      <c r="I473" s="11">
        <v>6.0</v>
      </c>
      <c r="J473" s="50">
        <v>100517.0</v>
      </c>
      <c r="K473" s="11">
        <v>1.0</v>
      </c>
      <c r="L473" s="11">
        <v>4.0</v>
      </c>
      <c r="M473" s="51">
        <v>490.0</v>
      </c>
      <c r="N473" s="17">
        <v>34.0</v>
      </c>
      <c r="O473" s="24" t="s">
        <v>606</v>
      </c>
      <c r="P473" s="52">
        <v>52614.0</v>
      </c>
      <c r="Q473" s="51">
        <v>344.0</v>
      </c>
      <c r="R473" s="53">
        <v>-82374.2</v>
      </c>
      <c r="S473" s="24" t="s">
        <v>600</v>
      </c>
      <c r="T473" s="11">
        <v>0.0</v>
      </c>
      <c r="U473" s="52">
        <v>50420.0</v>
      </c>
      <c r="V473" s="11">
        <v>0.0</v>
      </c>
      <c r="W473" s="11">
        <v>5.0</v>
      </c>
      <c r="X473" s="48">
        <v>2.3865</v>
      </c>
      <c r="Y473" s="11">
        <f t="shared" si="2"/>
        <v>0.023865</v>
      </c>
    </row>
    <row r="474">
      <c r="A474" s="17">
        <v>30.0</v>
      </c>
      <c r="B474" s="24">
        <v>71.0</v>
      </c>
      <c r="C474" s="24">
        <v>3.0</v>
      </c>
      <c r="D474" s="24">
        <v>7.0</v>
      </c>
      <c r="E474" s="24">
        <v>64.0</v>
      </c>
      <c r="F474" s="48">
        <v>8.2078</v>
      </c>
      <c r="G474" s="49">
        <f t="shared" si="1"/>
        <v>0.082078</v>
      </c>
      <c r="H474" s="11">
        <v>3.0</v>
      </c>
      <c r="I474" s="11">
        <v>3.0</v>
      </c>
      <c r="J474" s="50">
        <v>42819.0</v>
      </c>
      <c r="K474" s="11">
        <v>9.0</v>
      </c>
      <c r="L474" s="11">
        <v>6.0</v>
      </c>
      <c r="M474" s="51">
        <v>293.0</v>
      </c>
      <c r="N474" s="17">
        <v>47.0</v>
      </c>
      <c r="O474" s="24" t="s">
        <v>39</v>
      </c>
      <c r="P474" s="52">
        <v>122115.0</v>
      </c>
      <c r="Q474" s="51">
        <v>166.0</v>
      </c>
      <c r="R474" s="53">
        <v>-787.69</v>
      </c>
      <c r="S474" s="24" t="s">
        <v>604</v>
      </c>
      <c r="T474" s="11">
        <v>1.0</v>
      </c>
      <c r="U474" s="52">
        <v>71917.0</v>
      </c>
      <c r="V474" s="11">
        <v>9.0</v>
      </c>
      <c r="W474" s="11">
        <v>1.0</v>
      </c>
      <c r="X474" s="48">
        <v>1.6645</v>
      </c>
      <c r="Y474" s="11">
        <f t="shared" si="2"/>
        <v>0.016645</v>
      </c>
    </row>
    <row r="475">
      <c r="A475" s="17">
        <v>78.0</v>
      </c>
      <c r="B475" s="24">
        <v>91.0</v>
      </c>
      <c r="C475" s="24">
        <v>9.0</v>
      </c>
      <c r="D475" s="24">
        <v>3.0</v>
      </c>
      <c r="E475" s="24">
        <v>63.0</v>
      </c>
      <c r="F475" s="48">
        <v>2.269</v>
      </c>
      <c r="G475" s="49">
        <f t="shared" si="1"/>
        <v>0.02269</v>
      </c>
      <c r="H475" s="11">
        <v>3.0</v>
      </c>
      <c r="I475" s="11">
        <v>8.0</v>
      </c>
      <c r="J475" s="50">
        <v>52816.0</v>
      </c>
      <c r="K475" s="11">
        <v>2.0</v>
      </c>
      <c r="L475" s="11">
        <v>4.0</v>
      </c>
      <c r="M475" s="51">
        <v>240.0</v>
      </c>
      <c r="N475" s="17">
        <v>44.0</v>
      </c>
      <c r="O475" s="24" t="s">
        <v>39</v>
      </c>
      <c r="P475" s="52">
        <v>60120.0</v>
      </c>
      <c r="Q475" s="51">
        <v>360.0</v>
      </c>
      <c r="R475" s="53">
        <v>38823.7</v>
      </c>
      <c r="S475" s="24" t="s">
        <v>602</v>
      </c>
      <c r="T475" s="11">
        <v>3.0</v>
      </c>
      <c r="U475" s="52">
        <v>71523.0</v>
      </c>
      <c r="V475" s="11">
        <v>0.0</v>
      </c>
      <c r="W475" s="11">
        <v>4.0</v>
      </c>
      <c r="X475" s="48">
        <v>9.8126</v>
      </c>
      <c r="Y475" s="11">
        <f t="shared" si="2"/>
        <v>0.098126</v>
      </c>
    </row>
    <row r="476">
      <c r="A476" s="17">
        <v>71.0</v>
      </c>
      <c r="B476" s="24">
        <v>71.0</v>
      </c>
      <c r="C476" s="24">
        <v>4.0</v>
      </c>
      <c r="D476" s="24">
        <v>9.0</v>
      </c>
      <c r="E476" s="24">
        <v>68.0</v>
      </c>
      <c r="F476" s="48">
        <v>2.2948</v>
      </c>
      <c r="G476" s="49">
        <f t="shared" si="1"/>
        <v>0.022948</v>
      </c>
      <c r="H476" s="11">
        <v>1.0</v>
      </c>
      <c r="I476" s="11">
        <v>6.0</v>
      </c>
      <c r="J476" s="50">
        <v>80121.0</v>
      </c>
      <c r="K476" s="11">
        <v>6.0</v>
      </c>
      <c r="L476" s="11">
        <v>8.0</v>
      </c>
      <c r="M476" s="51">
        <v>37.0</v>
      </c>
      <c r="N476" s="17">
        <v>55.0</v>
      </c>
      <c r="O476" s="24" t="s">
        <v>48</v>
      </c>
      <c r="P476" s="52">
        <v>41819.0</v>
      </c>
      <c r="Q476" s="51">
        <v>697.0</v>
      </c>
      <c r="R476" s="53">
        <v>-60077.67</v>
      </c>
      <c r="S476" s="24" t="s">
        <v>600</v>
      </c>
      <c r="T476" s="11">
        <v>4.0</v>
      </c>
      <c r="U476" s="52">
        <v>81021.0</v>
      </c>
      <c r="V476" s="11">
        <v>1.0</v>
      </c>
      <c r="W476" s="11">
        <v>0.0</v>
      </c>
      <c r="X476" s="48">
        <v>7.2606</v>
      </c>
      <c r="Y476" s="11">
        <f t="shared" si="2"/>
        <v>0.072606</v>
      </c>
    </row>
    <row r="477">
      <c r="A477" s="17">
        <v>26.0</v>
      </c>
      <c r="B477" s="24">
        <v>71.0</v>
      </c>
      <c r="C477" s="24">
        <v>5.0</v>
      </c>
      <c r="D477" s="24">
        <v>5.0</v>
      </c>
      <c r="E477" s="24">
        <v>66.0</v>
      </c>
      <c r="F477" s="48">
        <v>4.6513</v>
      </c>
      <c r="G477" s="49">
        <f t="shared" si="1"/>
        <v>0.046513</v>
      </c>
      <c r="H477" s="11">
        <v>6.0</v>
      </c>
      <c r="I477" s="11">
        <v>6.0</v>
      </c>
      <c r="J477" s="50">
        <v>121022.0</v>
      </c>
      <c r="K477" s="11">
        <v>4.0</v>
      </c>
      <c r="L477" s="11">
        <v>1.0</v>
      </c>
      <c r="M477" s="51">
        <v>909.0</v>
      </c>
      <c r="N477" s="17">
        <v>14.0</v>
      </c>
      <c r="O477" s="24" t="s">
        <v>601</v>
      </c>
      <c r="P477" s="52">
        <v>41023.0</v>
      </c>
      <c r="Q477" s="51">
        <v>473.0</v>
      </c>
      <c r="R477" s="53">
        <v>686.49</v>
      </c>
      <c r="S477" s="24" t="s">
        <v>602</v>
      </c>
      <c r="T477" s="11">
        <v>7.0</v>
      </c>
      <c r="U477" s="52">
        <v>91915.0</v>
      </c>
      <c r="V477" s="11">
        <v>5.0</v>
      </c>
      <c r="W477" s="11">
        <v>3.0</v>
      </c>
      <c r="X477" s="48">
        <v>8.3242</v>
      </c>
      <c r="Y477" s="11">
        <f t="shared" si="2"/>
        <v>0.083242</v>
      </c>
    </row>
    <row r="478">
      <c r="A478" s="17">
        <v>87.0</v>
      </c>
      <c r="B478" s="24">
        <v>71.0</v>
      </c>
      <c r="C478" s="24">
        <v>5.0</v>
      </c>
      <c r="D478" s="24">
        <v>9.0</v>
      </c>
      <c r="E478" s="24">
        <v>64.0</v>
      </c>
      <c r="F478" s="48">
        <v>7.6996</v>
      </c>
      <c r="G478" s="49">
        <f t="shared" si="1"/>
        <v>0.076996</v>
      </c>
      <c r="H478" s="11">
        <v>7.0</v>
      </c>
      <c r="I478" s="11">
        <v>5.0</v>
      </c>
      <c r="J478" s="50">
        <v>50722.0</v>
      </c>
      <c r="K478" s="11">
        <v>7.0</v>
      </c>
      <c r="L478" s="11">
        <v>0.0</v>
      </c>
      <c r="M478" s="51">
        <v>102.0</v>
      </c>
      <c r="N478" s="17">
        <v>17.0</v>
      </c>
      <c r="O478" s="24" t="s">
        <v>39</v>
      </c>
      <c r="P478" s="52">
        <v>52613.0</v>
      </c>
      <c r="Q478" s="51">
        <v>867.0</v>
      </c>
      <c r="R478" s="53">
        <v>-4591.91</v>
      </c>
      <c r="S478" s="24" t="s">
        <v>602</v>
      </c>
      <c r="T478" s="11">
        <v>8.0</v>
      </c>
      <c r="U478" s="52">
        <v>90816.0</v>
      </c>
      <c r="V478" s="11">
        <v>4.0</v>
      </c>
      <c r="W478" s="11">
        <v>7.0</v>
      </c>
      <c r="X478" s="48">
        <v>9.5658</v>
      </c>
      <c r="Y478" s="11">
        <f t="shared" si="2"/>
        <v>0.095658</v>
      </c>
    </row>
    <row r="479">
      <c r="A479" s="17">
        <v>10.0</v>
      </c>
      <c r="B479" s="24">
        <v>51.0</v>
      </c>
      <c r="C479" s="24">
        <v>1.0</v>
      </c>
      <c r="D479" s="24">
        <v>6.0</v>
      </c>
      <c r="E479" s="24">
        <v>63.0</v>
      </c>
      <c r="F479" s="48">
        <v>1.4081</v>
      </c>
      <c r="G479" s="49">
        <f t="shared" si="1"/>
        <v>0.014081</v>
      </c>
      <c r="H479" s="11">
        <v>8.0</v>
      </c>
      <c r="I479" s="11">
        <v>5.0</v>
      </c>
      <c r="J479" s="50">
        <v>82923.0</v>
      </c>
      <c r="K479" s="11">
        <v>6.0</v>
      </c>
      <c r="L479" s="11">
        <v>8.0</v>
      </c>
      <c r="M479" s="51">
        <v>408.0</v>
      </c>
      <c r="N479" s="17">
        <v>52.0</v>
      </c>
      <c r="O479" s="24" t="s">
        <v>31</v>
      </c>
      <c r="P479" s="52">
        <v>72719.0</v>
      </c>
      <c r="Q479" s="51">
        <v>149.0</v>
      </c>
      <c r="R479" s="53">
        <v>-6717.36</v>
      </c>
      <c r="S479" s="24" t="s">
        <v>604</v>
      </c>
      <c r="T479" s="11">
        <v>7.0</v>
      </c>
      <c r="U479" s="52">
        <v>80920.0</v>
      </c>
      <c r="V479" s="11">
        <v>6.0</v>
      </c>
      <c r="W479" s="11">
        <v>0.0</v>
      </c>
      <c r="X479" s="48">
        <v>5.644</v>
      </c>
      <c r="Y479" s="11">
        <f t="shared" si="2"/>
        <v>0.05644</v>
      </c>
    </row>
    <row r="480">
      <c r="A480" s="17">
        <v>57.0</v>
      </c>
      <c r="B480" s="24">
        <v>71.0</v>
      </c>
      <c r="C480" s="24">
        <v>6.0</v>
      </c>
      <c r="D480" s="24">
        <v>4.0</v>
      </c>
      <c r="E480" s="24">
        <v>64.0</v>
      </c>
      <c r="F480" s="48">
        <v>5.2115</v>
      </c>
      <c r="G480" s="49">
        <f t="shared" si="1"/>
        <v>0.052115</v>
      </c>
      <c r="H480" s="11">
        <v>0.0</v>
      </c>
      <c r="I480" s="11">
        <v>3.0</v>
      </c>
      <c r="J480" s="50">
        <v>52918.0</v>
      </c>
      <c r="K480" s="11">
        <v>4.0</v>
      </c>
      <c r="L480" s="11">
        <v>6.0</v>
      </c>
      <c r="M480" s="51">
        <v>42.0</v>
      </c>
      <c r="N480" s="17">
        <v>77.0</v>
      </c>
      <c r="O480" s="24" t="s">
        <v>606</v>
      </c>
      <c r="P480" s="52">
        <v>52722.0</v>
      </c>
      <c r="Q480" s="51">
        <v>972.0</v>
      </c>
      <c r="R480" s="53">
        <v>77028.76</v>
      </c>
      <c r="S480" s="24" t="s">
        <v>602</v>
      </c>
      <c r="T480" s="11">
        <v>8.0</v>
      </c>
      <c r="U480" s="52">
        <v>42121.0</v>
      </c>
      <c r="V480" s="11">
        <v>9.0</v>
      </c>
      <c r="W480" s="11">
        <v>3.0</v>
      </c>
      <c r="X480" s="48">
        <v>2.8829</v>
      </c>
      <c r="Y480" s="11">
        <f t="shared" si="2"/>
        <v>0.028829</v>
      </c>
    </row>
    <row r="481">
      <c r="A481" s="17">
        <v>40.0</v>
      </c>
      <c r="B481" s="24">
        <v>71.0</v>
      </c>
      <c r="C481" s="24">
        <v>7.0</v>
      </c>
      <c r="D481" s="24">
        <v>5.0</v>
      </c>
      <c r="E481" s="24">
        <v>65.0</v>
      </c>
      <c r="F481" s="48">
        <v>9.4643</v>
      </c>
      <c r="G481" s="49">
        <f t="shared" si="1"/>
        <v>0.094643</v>
      </c>
      <c r="H481" s="11">
        <v>2.0</v>
      </c>
      <c r="I481" s="11">
        <v>7.0</v>
      </c>
      <c r="J481" s="50">
        <v>12720.0</v>
      </c>
      <c r="K481" s="11">
        <v>3.0</v>
      </c>
      <c r="L481" s="11">
        <v>3.0</v>
      </c>
      <c r="M481" s="51">
        <v>70.0</v>
      </c>
      <c r="N481" s="17">
        <v>54.0</v>
      </c>
      <c r="O481" s="24" t="s">
        <v>31</v>
      </c>
      <c r="P481" s="52">
        <v>122913.0</v>
      </c>
      <c r="Q481" s="51">
        <v>776.0</v>
      </c>
      <c r="R481" s="53">
        <v>-68854.13</v>
      </c>
      <c r="S481" s="24" t="s">
        <v>605</v>
      </c>
      <c r="T481" s="11">
        <v>8.0</v>
      </c>
      <c r="U481" s="52">
        <v>82918.0</v>
      </c>
      <c r="V481" s="11">
        <v>6.0</v>
      </c>
      <c r="W481" s="11">
        <v>4.0</v>
      </c>
      <c r="X481" s="48">
        <v>8.5936</v>
      </c>
      <c r="Y481" s="11">
        <f t="shared" si="2"/>
        <v>0.085936</v>
      </c>
    </row>
    <row r="482">
      <c r="A482" s="17">
        <v>94.0</v>
      </c>
      <c r="B482" s="24">
        <v>92.0</v>
      </c>
      <c r="C482" s="24">
        <v>2.0</v>
      </c>
      <c r="D482" s="24">
        <v>9.0</v>
      </c>
      <c r="E482" s="24">
        <v>60.0</v>
      </c>
      <c r="F482" s="48">
        <v>2.7488</v>
      </c>
      <c r="G482" s="49">
        <f t="shared" si="1"/>
        <v>0.027488</v>
      </c>
      <c r="H482" s="11">
        <v>8.0</v>
      </c>
      <c r="I482" s="11">
        <v>2.0</v>
      </c>
      <c r="J482" s="50">
        <v>52723.0</v>
      </c>
      <c r="K482" s="11">
        <v>4.0</v>
      </c>
      <c r="L482" s="11">
        <v>4.0</v>
      </c>
      <c r="M482" s="51">
        <v>214.0</v>
      </c>
      <c r="N482" s="17">
        <v>55.0</v>
      </c>
      <c r="O482" s="24" t="s">
        <v>31</v>
      </c>
      <c r="P482" s="52">
        <v>21719.0</v>
      </c>
      <c r="Q482" s="51">
        <v>204.0</v>
      </c>
      <c r="R482" s="53">
        <v>701372.59</v>
      </c>
      <c r="S482" s="24" t="s">
        <v>602</v>
      </c>
      <c r="T482" s="11">
        <v>5.0</v>
      </c>
      <c r="U482" s="52">
        <v>30821.0</v>
      </c>
      <c r="V482" s="11">
        <v>1.0</v>
      </c>
      <c r="W482" s="11">
        <v>7.0</v>
      </c>
      <c r="X482" s="48">
        <v>6.8278</v>
      </c>
      <c r="Y482" s="11">
        <f t="shared" si="2"/>
        <v>0.068278</v>
      </c>
    </row>
    <row r="483">
      <c r="A483" s="17">
        <v>54.0</v>
      </c>
      <c r="B483" s="24">
        <v>71.0</v>
      </c>
      <c r="C483" s="24">
        <v>8.0</v>
      </c>
      <c r="D483" s="24">
        <v>1.0</v>
      </c>
      <c r="E483" s="24">
        <v>62.0</v>
      </c>
      <c r="F483" s="48">
        <v>5.639</v>
      </c>
      <c r="G483" s="49">
        <f t="shared" si="1"/>
        <v>0.05639</v>
      </c>
      <c r="H483" s="11">
        <v>4.0</v>
      </c>
      <c r="I483" s="11">
        <v>7.0</v>
      </c>
      <c r="J483" s="50">
        <v>91816.0</v>
      </c>
      <c r="K483" s="11">
        <v>7.0</v>
      </c>
      <c r="L483" s="11">
        <v>8.0</v>
      </c>
      <c r="M483" s="51">
        <v>919.0</v>
      </c>
      <c r="N483" s="17">
        <v>38.0</v>
      </c>
      <c r="O483" s="24" t="s">
        <v>600</v>
      </c>
      <c r="P483" s="52">
        <v>110115.0</v>
      </c>
      <c r="Q483" s="51">
        <v>660.0</v>
      </c>
      <c r="R483" s="53">
        <v>9282.0</v>
      </c>
      <c r="S483" s="24" t="s">
        <v>604</v>
      </c>
      <c r="T483" s="11">
        <v>5.0</v>
      </c>
      <c r="U483" s="52">
        <v>92315.0</v>
      </c>
      <c r="V483" s="11">
        <v>9.0</v>
      </c>
      <c r="W483" s="11">
        <v>4.0</v>
      </c>
      <c r="X483" s="48">
        <v>9.3457</v>
      </c>
      <c r="Y483" s="11">
        <f t="shared" si="2"/>
        <v>0.093457</v>
      </c>
    </row>
    <row r="484">
      <c r="A484" s="17">
        <v>48.0</v>
      </c>
      <c r="B484" s="24">
        <v>71.0</v>
      </c>
      <c r="C484" s="24">
        <v>8.0</v>
      </c>
      <c r="D484" s="24">
        <v>5.0</v>
      </c>
      <c r="E484" s="24">
        <v>65.0</v>
      </c>
      <c r="F484" s="48">
        <v>6.9826</v>
      </c>
      <c r="G484" s="49">
        <f t="shared" si="1"/>
        <v>0.069826</v>
      </c>
      <c r="H484" s="11">
        <v>6.0</v>
      </c>
      <c r="I484" s="11">
        <v>1.0</v>
      </c>
      <c r="J484" s="50">
        <v>90213.0</v>
      </c>
      <c r="K484" s="11">
        <v>0.0</v>
      </c>
      <c r="L484" s="11">
        <v>2.0</v>
      </c>
      <c r="M484" s="51">
        <v>523.0</v>
      </c>
      <c r="N484" s="17">
        <v>87.0</v>
      </c>
      <c r="O484" s="24" t="s">
        <v>39</v>
      </c>
      <c r="P484" s="52">
        <v>90821.0</v>
      </c>
      <c r="Q484" s="51">
        <v>345.0</v>
      </c>
      <c r="R484" s="53">
        <v>-5085.95</v>
      </c>
      <c r="S484" s="24" t="s">
        <v>602</v>
      </c>
      <c r="T484" s="11">
        <v>6.0</v>
      </c>
      <c r="U484" s="52">
        <v>52318.0</v>
      </c>
      <c r="V484" s="11">
        <v>5.0</v>
      </c>
      <c r="W484" s="11">
        <v>0.0</v>
      </c>
      <c r="X484" s="48">
        <v>4.1887</v>
      </c>
      <c r="Y484" s="11">
        <f t="shared" si="2"/>
        <v>0.041887</v>
      </c>
    </row>
    <row r="485">
      <c r="A485" s="17">
        <v>13.0</v>
      </c>
      <c r="B485" s="24">
        <v>71.0</v>
      </c>
      <c r="C485" s="24">
        <v>8.0</v>
      </c>
      <c r="D485" s="24">
        <v>9.0</v>
      </c>
      <c r="E485" s="24">
        <v>61.0</v>
      </c>
      <c r="F485" s="48">
        <v>4.8709</v>
      </c>
      <c r="G485" s="49">
        <f t="shared" si="1"/>
        <v>0.048709</v>
      </c>
      <c r="H485" s="11">
        <v>2.0</v>
      </c>
      <c r="I485" s="11">
        <v>5.0</v>
      </c>
      <c r="J485" s="50">
        <v>80522.0</v>
      </c>
      <c r="K485" s="11">
        <v>2.0</v>
      </c>
      <c r="L485" s="11">
        <v>5.0</v>
      </c>
      <c r="M485" s="51">
        <v>253.0</v>
      </c>
      <c r="N485" s="17">
        <v>49.0</v>
      </c>
      <c r="O485" s="24" t="s">
        <v>39</v>
      </c>
      <c r="P485" s="52">
        <v>50216.0</v>
      </c>
      <c r="Q485" s="51">
        <v>617.0</v>
      </c>
      <c r="R485" s="53">
        <v>-766337.5</v>
      </c>
      <c r="S485" s="24" t="s">
        <v>605</v>
      </c>
      <c r="T485" s="11">
        <v>9.0</v>
      </c>
      <c r="U485" s="52">
        <v>61916.0</v>
      </c>
      <c r="V485" s="11">
        <v>6.0</v>
      </c>
      <c r="W485" s="11">
        <v>8.0</v>
      </c>
      <c r="X485" s="48">
        <v>4.1716</v>
      </c>
      <c r="Y485" s="11">
        <f t="shared" si="2"/>
        <v>0.041716</v>
      </c>
    </row>
    <row r="486">
      <c r="A486" s="17">
        <v>7.0</v>
      </c>
      <c r="B486" s="24">
        <v>51.0</v>
      </c>
      <c r="C486" s="24">
        <v>4.0</v>
      </c>
      <c r="D486" s="24">
        <v>3.0</v>
      </c>
      <c r="E486" s="24">
        <v>64.0</v>
      </c>
      <c r="F486" s="48">
        <v>7.9831</v>
      </c>
      <c r="G486" s="49">
        <f t="shared" si="1"/>
        <v>0.079831</v>
      </c>
      <c r="H486" s="11">
        <v>4.0</v>
      </c>
      <c r="I486" s="11">
        <v>9.0</v>
      </c>
      <c r="J486" s="50">
        <v>10214.0</v>
      </c>
      <c r="K486" s="11">
        <v>1.0</v>
      </c>
      <c r="L486" s="11">
        <v>5.0</v>
      </c>
      <c r="M486" s="51">
        <v>233.0</v>
      </c>
      <c r="N486" s="17">
        <v>4.0</v>
      </c>
      <c r="O486" s="24" t="s">
        <v>606</v>
      </c>
      <c r="P486" s="52">
        <v>11814.0</v>
      </c>
      <c r="Q486" s="51">
        <v>983.0</v>
      </c>
      <c r="R486" s="53">
        <v>-73323.11</v>
      </c>
      <c r="S486" s="24" t="s">
        <v>605</v>
      </c>
      <c r="T486" s="11">
        <v>5.0</v>
      </c>
      <c r="U486" s="52">
        <v>21016.0</v>
      </c>
      <c r="V486" s="11">
        <v>5.0</v>
      </c>
      <c r="W486" s="11">
        <v>9.0</v>
      </c>
      <c r="X486" s="48">
        <v>1.6353</v>
      </c>
      <c r="Y486" s="11">
        <f t="shared" si="2"/>
        <v>0.016353</v>
      </c>
    </row>
    <row r="487">
      <c r="A487" s="17">
        <v>8.0</v>
      </c>
      <c r="B487" s="24">
        <v>51.0</v>
      </c>
      <c r="C487" s="24">
        <v>5.0</v>
      </c>
      <c r="D487" s="24">
        <v>4.0</v>
      </c>
      <c r="E487" s="24">
        <v>61.0</v>
      </c>
      <c r="F487" s="48">
        <v>4.5169</v>
      </c>
      <c r="G487" s="49">
        <f t="shared" si="1"/>
        <v>0.045169</v>
      </c>
      <c r="H487" s="11">
        <v>0.0</v>
      </c>
      <c r="I487" s="11">
        <v>7.0</v>
      </c>
      <c r="J487" s="50">
        <v>31122.0</v>
      </c>
      <c r="K487" s="11">
        <v>4.0</v>
      </c>
      <c r="L487" s="11">
        <v>3.0</v>
      </c>
      <c r="M487" s="51">
        <v>785.0</v>
      </c>
      <c r="N487" s="17">
        <v>56.0</v>
      </c>
      <c r="O487" s="24" t="s">
        <v>48</v>
      </c>
      <c r="P487" s="52">
        <v>122823.0</v>
      </c>
      <c r="Q487" s="51">
        <v>571.0</v>
      </c>
      <c r="R487" s="53">
        <v>749594.3</v>
      </c>
      <c r="S487" s="24" t="s">
        <v>605</v>
      </c>
      <c r="T487" s="11">
        <v>2.0</v>
      </c>
      <c r="U487" s="52">
        <v>61023.0</v>
      </c>
      <c r="V487" s="11">
        <v>7.0</v>
      </c>
      <c r="W487" s="11">
        <v>4.0</v>
      </c>
      <c r="X487" s="48">
        <v>6.2671</v>
      </c>
      <c r="Y487" s="11">
        <f t="shared" si="2"/>
        <v>0.062671</v>
      </c>
    </row>
    <row r="488">
      <c r="A488" s="17">
        <v>9.0</v>
      </c>
      <c r="B488" s="24">
        <v>51.0</v>
      </c>
      <c r="C488" s="24">
        <v>6.0</v>
      </c>
      <c r="D488" s="24">
        <v>4.0</v>
      </c>
      <c r="E488" s="24">
        <v>61.0</v>
      </c>
      <c r="F488" s="48">
        <v>5.1942</v>
      </c>
      <c r="G488" s="49">
        <f t="shared" si="1"/>
        <v>0.051942</v>
      </c>
      <c r="H488" s="11">
        <v>8.0</v>
      </c>
      <c r="I488" s="11">
        <v>2.0</v>
      </c>
      <c r="J488" s="50">
        <v>42215.0</v>
      </c>
      <c r="K488" s="11">
        <v>3.0</v>
      </c>
      <c r="L488" s="11">
        <v>2.0</v>
      </c>
      <c r="M488" s="51">
        <v>585.0</v>
      </c>
      <c r="N488" s="17">
        <v>8.0</v>
      </c>
      <c r="O488" s="24" t="s">
        <v>603</v>
      </c>
      <c r="P488" s="52">
        <v>80420.0</v>
      </c>
      <c r="Q488" s="51">
        <v>320.0</v>
      </c>
      <c r="R488" s="53">
        <v>-765297.37</v>
      </c>
      <c r="S488" s="24" t="s">
        <v>604</v>
      </c>
      <c r="T488" s="11">
        <v>7.0</v>
      </c>
      <c r="U488" s="52">
        <v>52817.0</v>
      </c>
      <c r="V488" s="11">
        <v>8.0</v>
      </c>
      <c r="W488" s="11">
        <v>3.0</v>
      </c>
      <c r="X488" s="48">
        <v>9.86</v>
      </c>
      <c r="Y488" s="11">
        <f t="shared" si="2"/>
        <v>0.0986</v>
      </c>
    </row>
    <row r="489">
      <c r="A489" s="17">
        <v>8.0</v>
      </c>
      <c r="B489" s="24">
        <v>51.0</v>
      </c>
      <c r="C489" s="24">
        <v>6.0</v>
      </c>
      <c r="D489" s="24">
        <v>6.0</v>
      </c>
      <c r="E489" s="24">
        <v>67.0</v>
      </c>
      <c r="F489" s="48">
        <v>6.3663</v>
      </c>
      <c r="G489" s="49">
        <f t="shared" si="1"/>
        <v>0.063663</v>
      </c>
      <c r="H489" s="11">
        <v>3.0</v>
      </c>
      <c r="I489" s="11">
        <v>6.0</v>
      </c>
      <c r="J489" s="50">
        <v>12016.0</v>
      </c>
      <c r="K489" s="11">
        <v>4.0</v>
      </c>
      <c r="L489" s="11">
        <v>9.0</v>
      </c>
      <c r="M489" s="51">
        <v>207.0</v>
      </c>
      <c r="N489" s="17">
        <v>93.0</v>
      </c>
      <c r="O489" s="24" t="s">
        <v>31</v>
      </c>
      <c r="P489" s="52">
        <v>21223.0</v>
      </c>
      <c r="Q489" s="51">
        <v>269.0</v>
      </c>
      <c r="R489" s="53">
        <v>5725.0</v>
      </c>
      <c r="S489" s="24" t="s">
        <v>604</v>
      </c>
      <c r="T489" s="11">
        <v>5.0</v>
      </c>
      <c r="U489" s="52">
        <v>60516.0</v>
      </c>
      <c r="V489" s="11">
        <v>7.0</v>
      </c>
      <c r="W489" s="11">
        <v>4.0</v>
      </c>
      <c r="X489" s="48">
        <v>8.4105</v>
      </c>
      <c r="Y489" s="11">
        <f t="shared" si="2"/>
        <v>0.084105</v>
      </c>
    </row>
    <row r="490">
      <c r="A490" s="17">
        <v>63.0</v>
      </c>
      <c r="B490" s="24">
        <v>92.0</v>
      </c>
      <c r="C490" s="24">
        <v>6.0</v>
      </c>
      <c r="D490" s="24">
        <v>3.0</v>
      </c>
      <c r="E490" s="24">
        <v>68.0</v>
      </c>
      <c r="F490" s="48">
        <v>2.6522</v>
      </c>
      <c r="G490" s="49">
        <f t="shared" si="1"/>
        <v>0.026522</v>
      </c>
      <c r="H490" s="11">
        <v>5.0</v>
      </c>
      <c r="I490" s="11">
        <v>3.0</v>
      </c>
      <c r="J490" s="50">
        <v>60317.0</v>
      </c>
      <c r="K490" s="11">
        <v>2.0</v>
      </c>
      <c r="L490" s="11">
        <v>4.0</v>
      </c>
      <c r="M490" s="51">
        <v>447.0</v>
      </c>
      <c r="N490" s="17">
        <v>3.0</v>
      </c>
      <c r="O490" s="24" t="s">
        <v>603</v>
      </c>
      <c r="P490" s="52">
        <v>62023.0</v>
      </c>
      <c r="Q490" s="51">
        <v>852.0</v>
      </c>
      <c r="R490" s="53">
        <v>6221.53</v>
      </c>
      <c r="S490" s="24" t="s">
        <v>605</v>
      </c>
      <c r="T490" s="11">
        <v>3.0</v>
      </c>
      <c r="U490" s="52">
        <v>100718.0</v>
      </c>
      <c r="V490" s="11">
        <v>0.0</v>
      </c>
      <c r="W490" s="11">
        <v>0.0</v>
      </c>
      <c r="X490" s="48">
        <v>6.2464</v>
      </c>
      <c r="Y490" s="11">
        <f t="shared" si="2"/>
        <v>0.062464</v>
      </c>
    </row>
    <row r="491">
      <c r="A491" s="17">
        <v>8.0</v>
      </c>
      <c r="B491" s="24">
        <v>72.0</v>
      </c>
      <c r="C491" s="24">
        <v>1.0</v>
      </c>
      <c r="D491" s="24">
        <v>4.0</v>
      </c>
      <c r="E491" s="24">
        <v>65.0</v>
      </c>
      <c r="F491" s="48">
        <v>9.5002</v>
      </c>
      <c r="G491" s="49">
        <f t="shared" si="1"/>
        <v>0.095002</v>
      </c>
      <c r="H491" s="11">
        <v>3.0</v>
      </c>
      <c r="I491" s="11">
        <v>4.0</v>
      </c>
      <c r="J491" s="50">
        <v>21118.0</v>
      </c>
      <c r="K491" s="11">
        <v>6.0</v>
      </c>
      <c r="L491" s="11">
        <v>2.0</v>
      </c>
      <c r="M491" s="51">
        <v>161.0</v>
      </c>
      <c r="N491" s="17">
        <v>26.0</v>
      </c>
      <c r="O491" s="24" t="s">
        <v>31</v>
      </c>
      <c r="P491" s="52">
        <v>91521.0</v>
      </c>
      <c r="Q491" s="51">
        <v>252.0</v>
      </c>
      <c r="R491" s="53">
        <v>185806.91</v>
      </c>
      <c r="S491" s="24" t="s">
        <v>605</v>
      </c>
      <c r="T491" s="11">
        <v>1.0</v>
      </c>
      <c r="U491" s="52">
        <v>11322.0</v>
      </c>
      <c r="V491" s="11">
        <v>3.0</v>
      </c>
      <c r="W491" s="11">
        <v>3.0</v>
      </c>
      <c r="X491" s="48">
        <v>8.5624</v>
      </c>
      <c r="Y491" s="11">
        <f t="shared" si="2"/>
        <v>0.085624</v>
      </c>
    </row>
    <row r="492">
      <c r="A492" s="17">
        <v>22.0</v>
      </c>
      <c r="B492" s="24">
        <v>31.0</v>
      </c>
      <c r="C492" s="24">
        <v>2.0</v>
      </c>
      <c r="D492" s="24">
        <v>1.0</v>
      </c>
      <c r="E492" s="24">
        <v>67.0</v>
      </c>
      <c r="F492" s="48">
        <v>6.836</v>
      </c>
      <c r="G492" s="49">
        <f t="shared" si="1"/>
        <v>0.06836</v>
      </c>
      <c r="H492" s="11">
        <v>7.0</v>
      </c>
      <c r="I492" s="11">
        <v>3.0</v>
      </c>
      <c r="J492" s="50">
        <v>121615.0</v>
      </c>
      <c r="K492" s="11">
        <v>4.0</v>
      </c>
      <c r="L492" s="11">
        <v>7.0</v>
      </c>
      <c r="M492" s="51">
        <v>188.0</v>
      </c>
      <c r="N492" s="17">
        <v>69.0</v>
      </c>
      <c r="O492" s="24" t="s">
        <v>601</v>
      </c>
      <c r="P492" s="52">
        <v>82923.0</v>
      </c>
      <c r="Q492" s="51">
        <v>954.0</v>
      </c>
      <c r="R492" s="53">
        <v>-8303.83</v>
      </c>
      <c r="S492" s="24" t="s">
        <v>602</v>
      </c>
      <c r="T492" s="11">
        <v>6.0</v>
      </c>
      <c r="U492" s="52">
        <v>52813.0</v>
      </c>
      <c r="V492" s="11">
        <v>1.0</v>
      </c>
      <c r="W492" s="11">
        <v>5.0</v>
      </c>
      <c r="X492" s="48">
        <v>3.8154</v>
      </c>
      <c r="Y492" s="11">
        <f t="shared" si="2"/>
        <v>0.038154</v>
      </c>
    </row>
    <row r="493">
      <c r="A493" s="17">
        <v>73.0</v>
      </c>
      <c r="B493" s="24">
        <v>51.0</v>
      </c>
      <c r="C493" s="24">
        <v>7.0</v>
      </c>
      <c r="D493" s="24">
        <v>1.0</v>
      </c>
      <c r="E493" s="24">
        <v>67.0</v>
      </c>
      <c r="F493" s="48">
        <v>6.8249</v>
      </c>
      <c r="G493" s="49">
        <f t="shared" si="1"/>
        <v>0.068249</v>
      </c>
      <c r="H493" s="11">
        <v>0.0</v>
      </c>
      <c r="I493" s="11">
        <v>9.0</v>
      </c>
      <c r="J493" s="50">
        <v>100817.0</v>
      </c>
      <c r="K493" s="11">
        <v>4.0</v>
      </c>
      <c r="L493" s="11">
        <v>0.0</v>
      </c>
      <c r="M493" s="51">
        <v>295.0</v>
      </c>
      <c r="N493" s="17">
        <v>86.0</v>
      </c>
      <c r="O493" s="24" t="s">
        <v>39</v>
      </c>
      <c r="P493" s="52">
        <v>112020.0</v>
      </c>
      <c r="Q493" s="51">
        <v>384.0</v>
      </c>
      <c r="R493" s="53">
        <v>-730.33</v>
      </c>
      <c r="S493" s="24" t="s">
        <v>604</v>
      </c>
      <c r="T493" s="11">
        <v>9.0</v>
      </c>
      <c r="U493" s="52">
        <v>50517.0</v>
      </c>
      <c r="V493" s="11">
        <v>7.0</v>
      </c>
      <c r="W493" s="11">
        <v>5.0</v>
      </c>
      <c r="X493" s="48">
        <v>3.7124</v>
      </c>
      <c r="Y493" s="11">
        <f t="shared" si="2"/>
        <v>0.037124</v>
      </c>
    </row>
    <row r="494">
      <c r="A494" s="17">
        <v>40.0</v>
      </c>
      <c r="B494" s="24">
        <v>72.0</v>
      </c>
      <c r="C494" s="24">
        <v>2.0</v>
      </c>
      <c r="D494" s="24">
        <v>8.0</v>
      </c>
      <c r="E494" s="24">
        <v>64.0</v>
      </c>
      <c r="F494" s="48">
        <v>5.6077</v>
      </c>
      <c r="G494" s="49">
        <f t="shared" si="1"/>
        <v>0.056077</v>
      </c>
      <c r="H494" s="11">
        <v>1.0</v>
      </c>
      <c r="I494" s="11">
        <v>4.0</v>
      </c>
      <c r="J494" s="50">
        <v>62722.0</v>
      </c>
      <c r="K494" s="11">
        <v>8.0</v>
      </c>
      <c r="L494" s="11">
        <v>4.0</v>
      </c>
      <c r="M494" s="51">
        <v>868.0</v>
      </c>
      <c r="N494" s="17">
        <v>55.0</v>
      </c>
      <c r="O494" s="24" t="s">
        <v>31</v>
      </c>
      <c r="P494" s="52">
        <v>111123.0</v>
      </c>
      <c r="Q494" s="51">
        <v>504.0</v>
      </c>
      <c r="R494" s="53">
        <v>-349207.66</v>
      </c>
      <c r="S494" s="24" t="s">
        <v>602</v>
      </c>
      <c r="T494" s="11">
        <v>9.0</v>
      </c>
      <c r="U494" s="52">
        <v>62523.0</v>
      </c>
      <c r="V494" s="11">
        <v>9.0</v>
      </c>
      <c r="W494" s="11">
        <v>2.0</v>
      </c>
      <c r="X494" s="48">
        <v>9.328</v>
      </c>
      <c r="Y494" s="11">
        <f t="shared" si="2"/>
        <v>0.09328</v>
      </c>
    </row>
    <row r="495">
      <c r="A495" s="17">
        <v>61.0</v>
      </c>
      <c r="B495" s="24">
        <v>51.0</v>
      </c>
      <c r="C495" s="24">
        <v>8.0</v>
      </c>
      <c r="D495" s="24">
        <v>2.0</v>
      </c>
      <c r="E495" s="24">
        <v>64.0</v>
      </c>
      <c r="F495" s="48">
        <v>8.8367</v>
      </c>
      <c r="G495" s="49">
        <f t="shared" si="1"/>
        <v>0.088367</v>
      </c>
      <c r="H495" s="11">
        <v>1.0</v>
      </c>
      <c r="I495" s="11">
        <v>3.0</v>
      </c>
      <c r="J495" s="50">
        <v>121113.0</v>
      </c>
      <c r="K495" s="11">
        <v>6.0</v>
      </c>
      <c r="L495" s="11">
        <v>8.0</v>
      </c>
      <c r="M495" s="51">
        <v>471.0</v>
      </c>
      <c r="N495" s="17">
        <v>23.0</v>
      </c>
      <c r="O495" s="24" t="s">
        <v>601</v>
      </c>
      <c r="P495" s="52">
        <v>71913.0</v>
      </c>
      <c r="Q495" s="51">
        <v>405.0</v>
      </c>
      <c r="R495" s="53">
        <v>-616003.14</v>
      </c>
      <c r="S495" s="24" t="s">
        <v>605</v>
      </c>
      <c r="T495" s="11">
        <v>7.0</v>
      </c>
      <c r="U495" s="52">
        <v>123019.0</v>
      </c>
      <c r="V495" s="11">
        <v>3.0</v>
      </c>
      <c r="W495" s="11">
        <v>3.0</v>
      </c>
      <c r="X495" s="48">
        <v>1.4859</v>
      </c>
      <c r="Y495" s="11">
        <f t="shared" si="2"/>
        <v>0.014859</v>
      </c>
    </row>
    <row r="496">
      <c r="A496" s="17">
        <v>66.0</v>
      </c>
      <c r="B496" s="24">
        <v>92.0</v>
      </c>
      <c r="C496" s="24">
        <v>7.0</v>
      </c>
      <c r="D496" s="24">
        <v>9.0</v>
      </c>
      <c r="E496" s="24">
        <v>66.0</v>
      </c>
      <c r="F496" s="48">
        <v>8.3081</v>
      </c>
      <c r="G496" s="49">
        <f t="shared" si="1"/>
        <v>0.083081</v>
      </c>
      <c r="H496" s="11">
        <v>8.0</v>
      </c>
      <c r="I496" s="11">
        <v>1.0</v>
      </c>
      <c r="J496" s="50">
        <v>31018.0</v>
      </c>
      <c r="K496" s="11">
        <v>2.0</v>
      </c>
      <c r="L496" s="11">
        <v>3.0</v>
      </c>
      <c r="M496" s="51">
        <v>309.0</v>
      </c>
      <c r="N496" s="17">
        <v>50.0</v>
      </c>
      <c r="O496" s="24" t="s">
        <v>600</v>
      </c>
      <c r="P496" s="52">
        <v>102922.0</v>
      </c>
      <c r="Q496" s="51">
        <v>251.0</v>
      </c>
      <c r="R496" s="53">
        <v>997.78</v>
      </c>
      <c r="S496" s="24" t="s">
        <v>600</v>
      </c>
      <c r="T496" s="11">
        <v>5.0</v>
      </c>
      <c r="U496" s="52">
        <v>72213.0</v>
      </c>
      <c r="V496" s="11">
        <v>5.0</v>
      </c>
      <c r="W496" s="11">
        <v>9.0</v>
      </c>
      <c r="X496" s="48">
        <v>9.5561</v>
      </c>
      <c r="Y496" s="11">
        <f t="shared" si="2"/>
        <v>0.095561</v>
      </c>
    </row>
    <row r="497">
      <c r="A497" s="17">
        <v>15.0</v>
      </c>
      <c r="B497" s="24">
        <v>51.0</v>
      </c>
      <c r="C497" s="24">
        <v>8.0</v>
      </c>
      <c r="D497" s="24">
        <v>4.0</v>
      </c>
      <c r="E497" s="24">
        <v>61.0</v>
      </c>
      <c r="F497" s="48">
        <v>8.9477</v>
      </c>
      <c r="G497" s="49">
        <f t="shared" si="1"/>
        <v>0.089477</v>
      </c>
      <c r="H497" s="11">
        <v>8.0</v>
      </c>
      <c r="I497" s="11">
        <v>0.0</v>
      </c>
      <c r="J497" s="50">
        <v>11815.0</v>
      </c>
      <c r="K497" s="11">
        <v>4.0</v>
      </c>
      <c r="L497" s="11">
        <v>8.0</v>
      </c>
      <c r="M497" s="51">
        <v>529.0</v>
      </c>
      <c r="N497" s="17">
        <v>94.0</v>
      </c>
      <c r="O497" s="24" t="s">
        <v>39</v>
      </c>
      <c r="P497" s="52">
        <v>42614.0</v>
      </c>
      <c r="Q497" s="51">
        <v>889.0</v>
      </c>
      <c r="R497" s="53">
        <v>246487.76</v>
      </c>
      <c r="S497" s="24" t="s">
        <v>605</v>
      </c>
      <c r="T497" s="11">
        <v>4.0</v>
      </c>
      <c r="U497" s="52">
        <v>41121.0</v>
      </c>
      <c r="V497" s="11">
        <v>5.0</v>
      </c>
      <c r="W497" s="11">
        <v>7.0</v>
      </c>
      <c r="X497" s="48">
        <v>8.637</v>
      </c>
      <c r="Y497" s="11">
        <f t="shared" si="2"/>
        <v>0.08637</v>
      </c>
    </row>
    <row r="498">
      <c r="A498" s="17">
        <v>94.0</v>
      </c>
      <c r="B498" s="24">
        <v>92.0</v>
      </c>
      <c r="C498" s="24">
        <v>8.0</v>
      </c>
      <c r="D498" s="24">
        <v>1.0</v>
      </c>
      <c r="E498" s="24">
        <v>68.0</v>
      </c>
      <c r="F498" s="48">
        <v>2.2371</v>
      </c>
      <c r="G498" s="49">
        <f t="shared" si="1"/>
        <v>0.022371</v>
      </c>
      <c r="H498" s="11">
        <v>5.0</v>
      </c>
      <c r="I498" s="11">
        <v>5.0</v>
      </c>
      <c r="J498" s="50">
        <v>102423.0</v>
      </c>
      <c r="K498" s="11">
        <v>5.0</v>
      </c>
      <c r="L498" s="11">
        <v>8.0</v>
      </c>
      <c r="M498" s="51">
        <v>777.0</v>
      </c>
      <c r="N498" s="17">
        <v>73.0</v>
      </c>
      <c r="O498" s="24" t="s">
        <v>600</v>
      </c>
      <c r="P498" s="52">
        <v>50213.0</v>
      </c>
      <c r="Q498" s="51">
        <v>482.0</v>
      </c>
      <c r="R498" s="53">
        <v>-56448.11</v>
      </c>
      <c r="S498" s="24" t="s">
        <v>600</v>
      </c>
      <c r="T498" s="11">
        <v>7.0</v>
      </c>
      <c r="U498" s="52">
        <v>71922.0</v>
      </c>
      <c r="V498" s="11">
        <v>8.0</v>
      </c>
      <c r="W498" s="11">
        <v>9.0</v>
      </c>
      <c r="X498" s="48">
        <v>9.8081</v>
      </c>
      <c r="Y498" s="11">
        <f t="shared" si="2"/>
        <v>0.098081</v>
      </c>
    </row>
    <row r="499">
      <c r="A499" s="17">
        <v>69.0</v>
      </c>
      <c r="B499" s="24">
        <v>51.0</v>
      </c>
      <c r="C499" s="24">
        <v>8.0</v>
      </c>
      <c r="D499" s="24">
        <v>5.0</v>
      </c>
      <c r="E499" s="24">
        <v>65.0</v>
      </c>
      <c r="F499" s="48">
        <v>3.4847</v>
      </c>
      <c r="G499" s="49">
        <f t="shared" si="1"/>
        <v>0.034847</v>
      </c>
      <c r="H499" s="11">
        <v>0.0</v>
      </c>
      <c r="I499" s="11">
        <v>8.0</v>
      </c>
      <c r="J499" s="50">
        <v>21020.0</v>
      </c>
      <c r="K499" s="11">
        <v>4.0</v>
      </c>
      <c r="L499" s="11">
        <v>1.0</v>
      </c>
      <c r="M499" s="51">
        <v>742.0</v>
      </c>
      <c r="N499" s="17">
        <v>68.0</v>
      </c>
      <c r="O499" s="24" t="s">
        <v>39</v>
      </c>
      <c r="P499" s="52">
        <v>70221.0</v>
      </c>
      <c r="Q499" s="51">
        <v>668.0</v>
      </c>
      <c r="R499" s="53">
        <v>172.52</v>
      </c>
      <c r="S499" s="24" t="s">
        <v>605</v>
      </c>
      <c r="T499" s="11">
        <v>0.0</v>
      </c>
      <c r="U499" s="52">
        <v>111520.0</v>
      </c>
      <c r="V499" s="11">
        <v>1.0</v>
      </c>
      <c r="W499" s="11">
        <v>3.0</v>
      </c>
      <c r="X499" s="48">
        <v>6.7615</v>
      </c>
      <c r="Y499" s="11">
        <f t="shared" si="2"/>
        <v>0.067615</v>
      </c>
    </row>
    <row r="500">
      <c r="A500" s="17">
        <v>31.0</v>
      </c>
      <c r="B500" s="24">
        <v>51.0</v>
      </c>
      <c r="C500" s="24">
        <v>8.0</v>
      </c>
      <c r="D500" s="24">
        <v>7.0</v>
      </c>
      <c r="E500" s="24">
        <v>64.0</v>
      </c>
      <c r="F500" s="48">
        <v>5.2402</v>
      </c>
      <c r="G500" s="49">
        <f t="shared" si="1"/>
        <v>0.052402</v>
      </c>
      <c r="H500" s="11">
        <v>3.0</v>
      </c>
      <c r="I500" s="11">
        <v>0.0</v>
      </c>
      <c r="J500" s="50">
        <v>121123.0</v>
      </c>
      <c r="K500" s="11">
        <v>4.0</v>
      </c>
      <c r="L500" s="11">
        <v>7.0</v>
      </c>
      <c r="M500" s="51">
        <v>23.0</v>
      </c>
      <c r="N500" s="17">
        <v>97.0</v>
      </c>
      <c r="O500" s="24" t="s">
        <v>601</v>
      </c>
      <c r="P500" s="52">
        <v>80815.0</v>
      </c>
      <c r="Q500" s="51">
        <v>189.0</v>
      </c>
      <c r="R500" s="53">
        <v>54395.41</v>
      </c>
      <c r="S500" s="24" t="s">
        <v>604</v>
      </c>
      <c r="T500" s="11">
        <v>7.0</v>
      </c>
      <c r="U500" s="52">
        <v>112014.0</v>
      </c>
      <c r="V500" s="11">
        <v>1.0</v>
      </c>
      <c r="W500" s="11">
        <v>9.0</v>
      </c>
      <c r="X500" s="48">
        <v>5.2691</v>
      </c>
      <c r="Y500" s="11">
        <f t="shared" si="2"/>
        <v>0.052691</v>
      </c>
    </row>
    <row r="501">
      <c r="A501" s="17">
        <v>6.0</v>
      </c>
      <c r="B501" s="24">
        <v>92.0</v>
      </c>
      <c r="C501" s="24">
        <v>8.0</v>
      </c>
      <c r="D501" s="24">
        <v>3.0</v>
      </c>
      <c r="E501" s="24">
        <v>61.0</v>
      </c>
      <c r="F501" s="48">
        <v>9.7812</v>
      </c>
      <c r="G501" s="49">
        <f t="shared" si="1"/>
        <v>0.097812</v>
      </c>
      <c r="H501" s="11">
        <v>2.0</v>
      </c>
      <c r="I501" s="11">
        <v>8.0</v>
      </c>
      <c r="J501" s="50">
        <v>20523.0</v>
      </c>
      <c r="K501" s="11">
        <v>3.0</v>
      </c>
      <c r="L501" s="11">
        <v>5.0</v>
      </c>
      <c r="M501" s="51">
        <v>52.0</v>
      </c>
      <c r="N501" s="17">
        <v>70.0</v>
      </c>
      <c r="O501" s="24" t="s">
        <v>600</v>
      </c>
      <c r="P501" s="52">
        <v>101816.0</v>
      </c>
      <c r="Q501" s="51">
        <v>415.0</v>
      </c>
      <c r="R501" s="53">
        <v>8443.78</v>
      </c>
      <c r="S501" s="24" t="s">
        <v>604</v>
      </c>
      <c r="T501" s="11">
        <v>4.0</v>
      </c>
      <c r="U501" s="52">
        <v>112823.0</v>
      </c>
      <c r="V501" s="11">
        <v>9.0</v>
      </c>
      <c r="W501" s="11">
        <v>8.0</v>
      </c>
      <c r="X501" s="48">
        <v>9.5195</v>
      </c>
      <c r="Y501" s="11">
        <f t="shared" si="2"/>
        <v>0.095195</v>
      </c>
    </row>
    <row r="502">
      <c r="A502" s="17">
        <v>27.0</v>
      </c>
      <c r="B502" s="24">
        <v>72.0</v>
      </c>
      <c r="C502" s="24">
        <v>3.0</v>
      </c>
      <c r="D502" s="24">
        <v>6.0</v>
      </c>
      <c r="E502" s="24">
        <v>63.0</v>
      </c>
      <c r="F502" s="48">
        <v>2.465</v>
      </c>
      <c r="G502" s="49">
        <f t="shared" si="1"/>
        <v>0.02465</v>
      </c>
      <c r="H502" s="11">
        <v>1.0</v>
      </c>
      <c r="I502" s="11">
        <v>6.0</v>
      </c>
      <c r="J502" s="50">
        <v>32417.0</v>
      </c>
      <c r="K502" s="11">
        <v>8.0</v>
      </c>
      <c r="L502" s="11">
        <v>7.0</v>
      </c>
      <c r="M502" s="51">
        <v>190.0</v>
      </c>
      <c r="N502" s="17">
        <v>36.0</v>
      </c>
      <c r="O502" s="24" t="s">
        <v>603</v>
      </c>
      <c r="P502" s="52">
        <v>22616.0</v>
      </c>
      <c r="Q502" s="51">
        <v>255.0</v>
      </c>
      <c r="R502" s="53">
        <v>-269606.1</v>
      </c>
      <c r="S502" s="24" t="s">
        <v>602</v>
      </c>
      <c r="T502" s="11">
        <v>3.0</v>
      </c>
      <c r="U502" s="52">
        <v>20823.0</v>
      </c>
      <c r="V502" s="11">
        <v>9.0</v>
      </c>
      <c r="W502" s="11">
        <v>5.0</v>
      </c>
      <c r="X502" s="48">
        <v>3.6263</v>
      </c>
      <c r="Y502" s="11">
        <f t="shared" si="2"/>
        <v>0.036263</v>
      </c>
    </row>
    <row r="503">
      <c r="A503" s="17">
        <v>36.0</v>
      </c>
      <c r="B503" s="24">
        <v>92.0</v>
      </c>
      <c r="C503" s="24">
        <v>8.0</v>
      </c>
      <c r="D503" s="24">
        <v>2.0</v>
      </c>
      <c r="E503" s="24">
        <v>64.0</v>
      </c>
      <c r="F503" s="48">
        <v>8.857</v>
      </c>
      <c r="G503" s="49">
        <f t="shared" si="1"/>
        <v>0.08857</v>
      </c>
      <c r="H503" s="11">
        <v>2.0</v>
      </c>
      <c r="I503" s="11">
        <v>4.0</v>
      </c>
      <c r="J503" s="50">
        <v>62919.0</v>
      </c>
      <c r="K503" s="11">
        <v>7.0</v>
      </c>
      <c r="L503" s="11">
        <v>0.0</v>
      </c>
      <c r="M503" s="51">
        <v>521.0</v>
      </c>
      <c r="N503" s="17">
        <v>26.0</v>
      </c>
      <c r="O503" s="24" t="s">
        <v>601</v>
      </c>
      <c r="P503" s="52">
        <v>12617.0</v>
      </c>
      <c r="Q503" s="51">
        <v>633.0</v>
      </c>
      <c r="R503" s="53">
        <v>9716.99</v>
      </c>
      <c r="S503" s="24" t="s">
        <v>602</v>
      </c>
      <c r="T503" s="11">
        <v>0.0</v>
      </c>
      <c r="U503" s="52">
        <v>52618.0</v>
      </c>
      <c r="V503" s="11">
        <v>9.0</v>
      </c>
      <c r="W503" s="11">
        <v>5.0</v>
      </c>
      <c r="X503" s="48">
        <v>8.9078</v>
      </c>
      <c r="Y503" s="11">
        <f t="shared" si="2"/>
        <v>0.089078</v>
      </c>
    </row>
    <row r="504">
      <c r="A504" s="17">
        <v>85.0</v>
      </c>
      <c r="B504" s="24">
        <v>72.0</v>
      </c>
      <c r="C504" s="24">
        <v>4.0</v>
      </c>
      <c r="D504" s="24">
        <v>1.0</v>
      </c>
      <c r="E504" s="24">
        <v>66.0</v>
      </c>
      <c r="F504" s="48">
        <v>4.7532</v>
      </c>
      <c r="G504" s="49">
        <f t="shared" si="1"/>
        <v>0.047532</v>
      </c>
      <c r="H504" s="11">
        <v>1.0</v>
      </c>
      <c r="I504" s="11">
        <v>0.0</v>
      </c>
      <c r="J504" s="50">
        <v>70419.0</v>
      </c>
      <c r="K504" s="11">
        <v>0.0</v>
      </c>
      <c r="L504" s="11">
        <v>5.0</v>
      </c>
      <c r="M504" s="51">
        <v>734.0</v>
      </c>
      <c r="N504" s="17">
        <v>89.0</v>
      </c>
      <c r="O504" s="24" t="s">
        <v>603</v>
      </c>
      <c r="P504" s="52">
        <v>31223.0</v>
      </c>
      <c r="Q504" s="51">
        <v>110.0</v>
      </c>
      <c r="R504" s="53">
        <v>-572.4</v>
      </c>
      <c r="S504" s="24" t="s">
        <v>604</v>
      </c>
      <c r="T504" s="11">
        <v>0.0</v>
      </c>
      <c r="U504" s="52">
        <v>90214.0</v>
      </c>
      <c r="V504" s="11">
        <v>4.0</v>
      </c>
      <c r="W504" s="11">
        <v>0.0</v>
      </c>
      <c r="X504" s="48">
        <v>6.6402</v>
      </c>
      <c r="Y504" s="11">
        <f t="shared" si="2"/>
        <v>0.066402</v>
      </c>
    </row>
    <row r="505">
      <c r="A505" s="17">
        <v>35.0</v>
      </c>
      <c r="B505" s="24">
        <v>51.0</v>
      </c>
      <c r="C505" s="24">
        <v>9.0</v>
      </c>
      <c r="D505" s="24">
        <v>3.0</v>
      </c>
      <c r="E505" s="24">
        <v>66.0</v>
      </c>
      <c r="F505" s="48">
        <v>5.1763</v>
      </c>
      <c r="G505" s="49">
        <f t="shared" si="1"/>
        <v>0.051763</v>
      </c>
      <c r="H505" s="11">
        <v>0.0</v>
      </c>
      <c r="I505" s="11">
        <v>9.0</v>
      </c>
      <c r="J505" s="50">
        <v>110920.0</v>
      </c>
      <c r="K505" s="11">
        <v>3.0</v>
      </c>
      <c r="L505" s="11">
        <v>4.0</v>
      </c>
      <c r="M505" s="51">
        <v>157.0</v>
      </c>
      <c r="N505" s="17">
        <v>33.0</v>
      </c>
      <c r="O505" s="24" t="s">
        <v>601</v>
      </c>
      <c r="P505" s="52">
        <v>51921.0</v>
      </c>
      <c r="Q505" s="51">
        <v>466.0</v>
      </c>
      <c r="R505" s="53">
        <v>766.76</v>
      </c>
      <c r="S505" s="24" t="s">
        <v>605</v>
      </c>
      <c r="T505" s="11">
        <v>5.0</v>
      </c>
      <c r="U505" s="52">
        <v>100219.0</v>
      </c>
      <c r="V505" s="11">
        <v>3.0</v>
      </c>
      <c r="W505" s="11">
        <v>8.0</v>
      </c>
      <c r="X505" s="48">
        <v>2.2001</v>
      </c>
      <c r="Y505" s="11">
        <f t="shared" si="2"/>
        <v>0.022001</v>
      </c>
    </row>
    <row r="506">
      <c r="A506" s="17">
        <v>81.0</v>
      </c>
      <c r="B506" s="24">
        <v>92.0</v>
      </c>
      <c r="C506" s="24">
        <v>8.0</v>
      </c>
      <c r="D506" s="24">
        <v>9.0</v>
      </c>
      <c r="E506" s="24">
        <v>63.0</v>
      </c>
      <c r="F506" s="48">
        <v>6.2831</v>
      </c>
      <c r="G506" s="49">
        <f t="shared" si="1"/>
        <v>0.062831</v>
      </c>
      <c r="H506" s="11">
        <v>9.0</v>
      </c>
      <c r="I506" s="11">
        <v>6.0</v>
      </c>
      <c r="J506" s="50">
        <v>100119.0</v>
      </c>
      <c r="K506" s="11">
        <v>5.0</v>
      </c>
      <c r="L506" s="11">
        <v>5.0</v>
      </c>
      <c r="M506" s="51">
        <v>24.0</v>
      </c>
      <c r="N506" s="17">
        <v>45.0</v>
      </c>
      <c r="O506" s="24" t="s">
        <v>600</v>
      </c>
      <c r="P506" s="52">
        <v>90119.0</v>
      </c>
      <c r="Q506" s="51">
        <v>464.0</v>
      </c>
      <c r="R506" s="53">
        <v>-70496.15</v>
      </c>
      <c r="S506" s="24" t="s">
        <v>605</v>
      </c>
      <c r="T506" s="11">
        <v>7.0</v>
      </c>
      <c r="U506" s="52">
        <v>91615.0</v>
      </c>
      <c r="V506" s="11">
        <v>3.0</v>
      </c>
      <c r="W506" s="11">
        <v>0.0</v>
      </c>
      <c r="X506" s="48">
        <v>5.4104</v>
      </c>
      <c r="Y506" s="11">
        <f t="shared" si="2"/>
        <v>0.054104</v>
      </c>
    </row>
    <row r="507">
      <c r="A507" s="17">
        <v>9.0</v>
      </c>
      <c r="B507" s="24">
        <v>92.0</v>
      </c>
      <c r="C507" s="24">
        <v>9.0</v>
      </c>
      <c r="D507" s="24">
        <v>2.0</v>
      </c>
      <c r="E507" s="24">
        <v>68.0</v>
      </c>
      <c r="F507" s="48">
        <v>2.1861</v>
      </c>
      <c r="G507" s="49">
        <f t="shared" si="1"/>
        <v>0.021861</v>
      </c>
      <c r="H507" s="11">
        <v>3.0</v>
      </c>
      <c r="I507" s="11">
        <v>8.0</v>
      </c>
      <c r="J507" s="50">
        <v>60619.0</v>
      </c>
      <c r="K507" s="11">
        <v>6.0</v>
      </c>
      <c r="L507" s="11">
        <v>0.0</v>
      </c>
      <c r="M507" s="51">
        <v>252.0</v>
      </c>
      <c r="N507" s="17">
        <v>52.0</v>
      </c>
      <c r="O507" s="24" t="s">
        <v>600</v>
      </c>
      <c r="P507" s="52">
        <v>60816.0</v>
      </c>
      <c r="Q507" s="51">
        <v>211.0</v>
      </c>
      <c r="R507" s="53">
        <v>902.47</v>
      </c>
      <c r="S507" s="24" t="s">
        <v>602</v>
      </c>
      <c r="T507" s="11">
        <v>9.0</v>
      </c>
      <c r="U507" s="52">
        <v>123123.0</v>
      </c>
      <c r="V507" s="11">
        <v>0.0</v>
      </c>
      <c r="W507" s="11">
        <v>3.0</v>
      </c>
      <c r="X507" s="48">
        <v>6.9572</v>
      </c>
      <c r="Y507" s="11">
        <f t="shared" si="2"/>
        <v>0.069572</v>
      </c>
    </row>
    <row r="508">
      <c r="A508" s="17">
        <v>52.0</v>
      </c>
      <c r="B508" s="24">
        <v>92.0</v>
      </c>
      <c r="C508" s="24">
        <v>9.0</v>
      </c>
      <c r="D508" s="24">
        <v>3.0</v>
      </c>
      <c r="E508" s="24">
        <v>67.0</v>
      </c>
      <c r="F508" s="48">
        <v>8.1457</v>
      </c>
      <c r="G508" s="49">
        <f t="shared" si="1"/>
        <v>0.081457</v>
      </c>
      <c r="H508" s="11">
        <v>4.0</v>
      </c>
      <c r="I508" s="11">
        <v>1.0</v>
      </c>
      <c r="J508" s="50">
        <v>32116.0</v>
      </c>
      <c r="K508" s="11">
        <v>0.0</v>
      </c>
      <c r="L508" s="11">
        <v>3.0</v>
      </c>
      <c r="M508" s="51">
        <v>452.0</v>
      </c>
      <c r="N508" s="17">
        <v>98.0</v>
      </c>
      <c r="O508" s="24" t="s">
        <v>39</v>
      </c>
      <c r="P508" s="52">
        <v>22523.0</v>
      </c>
      <c r="Q508" s="51">
        <v>714.0</v>
      </c>
      <c r="R508" s="53">
        <v>-621.35</v>
      </c>
      <c r="S508" s="24" t="s">
        <v>602</v>
      </c>
      <c r="T508" s="11">
        <v>0.0</v>
      </c>
      <c r="U508" s="52">
        <v>71113.0</v>
      </c>
      <c r="V508" s="11">
        <v>7.0</v>
      </c>
      <c r="W508" s="11">
        <v>6.0</v>
      </c>
      <c r="X508" s="48">
        <v>2.1245</v>
      </c>
      <c r="Y508" s="11">
        <f t="shared" si="2"/>
        <v>0.021245</v>
      </c>
    </row>
    <row r="509">
      <c r="A509" s="17">
        <v>81.0</v>
      </c>
      <c r="B509" s="24">
        <v>51.0</v>
      </c>
      <c r="C509" s="24">
        <v>9.0</v>
      </c>
      <c r="D509" s="24">
        <v>5.0</v>
      </c>
      <c r="E509" s="24">
        <v>66.0</v>
      </c>
      <c r="F509" s="48">
        <v>8.3195</v>
      </c>
      <c r="G509" s="49">
        <f t="shared" si="1"/>
        <v>0.083195</v>
      </c>
      <c r="H509" s="11">
        <v>5.0</v>
      </c>
      <c r="I509" s="11">
        <v>1.0</v>
      </c>
      <c r="J509" s="50">
        <v>101821.0</v>
      </c>
      <c r="K509" s="11">
        <v>0.0</v>
      </c>
      <c r="L509" s="11">
        <v>3.0</v>
      </c>
      <c r="M509" s="51">
        <v>170.0</v>
      </c>
      <c r="N509" s="17">
        <v>77.0</v>
      </c>
      <c r="O509" s="24" t="s">
        <v>48</v>
      </c>
      <c r="P509" s="52">
        <v>80315.0</v>
      </c>
      <c r="Q509" s="51">
        <v>440.0</v>
      </c>
      <c r="R509" s="53">
        <v>378780.95</v>
      </c>
      <c r="S509" s="24" t="s">
        <v>605</v>
      </c>
      <c r="T509" s="11">
        <v>2.0</v>
      </c>
      <c r="U509" s="52">
        <v>102519.0</v>
      </c>
      <c r="V509" s="11">
        <v>1.0</v>
      </c>
      <c r="W509" s="11">
        <v>1.0</v>
      </c>
      <c r="X509" s="48">
        <v>9.2866</v>
      </c>
      <c r="Y509" s="11">
        <f t="shared" si="2"/>
        <v>0.092866</v>
      </c>
    </row>
    <row r="510">
      <c r="A510" s="17">
        <v>1.0</v>
      </c>
      <c r="B510" s="24">
        <v>72.0</v>
      </c>
      <c r="C510" s="24">
        <v>5.0</v>
      </c>
      <c r="D510" s="24">
        <v>1.0</v>
      </c>
      <c r="E510" s="24">
        <v>61.0</v>
      </c>
      <c r="F510" s="48">
        <v>8.4703</v>
      </c>
      <c r="G510" s="49">
        <f t="shared" si="1"/>
        <v>0.084703</v>
      </c>
      <c r="H510" s="11">
        <v>4.0</v>
      </c>
      <c r="I510" s="11">
        <v>5.0</v>
      </c>
      <c r="J510" s="50">
        <v>112023.0</v>
      </c>
      <c r="K510" s="11">
        <v>6.0</v>
      </c>
      <c r="L510" s="11">
        <v>7.0</v>
      </c>
      <c r="M510" s="51">
        <v>268.0</v>
      </c>
      <c r="N510" s="17">
        <v>95.0</v>
      </c>
      <c r="O510" s="24" t="s">
        <v>31</v>
      </c>
      <c r="P510" s="52">
        <v>103123.0</v>
      </c>
      <c r="Q510" s="51">
        <v>719.0</v>
      </c>
      <c r="R510" s="53">
        <v>4863.67</v>
      </c>
      <c r="S510" s="24" t="s">
        <v>600</v>
      </c>
      <c r="T510" s="11">
        <v>6.0</v>
      </c>
      <c r="U510" s="52">
        <v>30920.0</v>
      </c>
      <c r="V510" s="11">
        <v>9.0</v>
      </c>
      <c r="W510" s="11">
        <v>8.0</v>
      </c>
      <c r="X510" s="48">
        <v>8.1161</v>
      </c>
      <c r="Y510" s="11">
        <f t="shared" si="2"/>
        <v>0.081161</v>
      </c>
    </row>
    <row r="511">
      <c r="A511" s="17">
        <v>30.0</v>
      </c>
      <c r="B511" s="24">
        <v>92.0</v>
      </c>
      <c r="C511" s="24">
        <v>9.0</v>
      </c>
      <c r="D511" s="24">
        <v>9.0</v>
      </c>
      <c r="E511" s="24">
        <v>61.0</v>
      </c>
      <c r="F511" s="48">
        <v>3.384</v>
      </c>
      <c r="G511" s="49">
        <f t="shared" si="1"/>
        <v>0.03384</v>
      </c>
      <c r="H511" s="11">
        <v>6.0</v>
      </c>
      <c r="I511" s="11">
        <v>4.0</v>
      </c>
      <c r="J511" s="50">
        <v>91113.0</v>
      </c>
      <c r="K511" s="11">
        <v>5.0</v>
      </c>
      <c r="L511" s="11">
        <v>9.0</v>
      </c>
      <c r="M511" s="51">
        <v>84.0</v>
      </c>
      <c r="N511" s="17">
        <v>48.0</v>
      </c>
      <c r="O511" s="24" t="s">
        <v>48</v>
      </c>
      <c r="P511" s="52">
        <v>92319.0</v>
      </c>
      <c r="Q511" s="51">
        <v>619.0</v>
      </c>
      <c r="R511" s="53">
        <v>375.41</v>
      </c>
      <c r="S511" s="24" t="s">
        <v>604</v>
      </c>
      <c r="T511" s="11">
        <v>5.0</v>
      </c>
      <c r="U511" s="52">
        <v>91918.0</v>
      </c>
      <c r="V511" s="11">
        <v>6.0</v>
      </c>
      <c r="W511" s="11">
        <v>3.0</v>
      </c>
      <c r="X511" s="48">
        <v>1.8096</v>
      </c>
      <c r="Y511" s="11">
        <f t="shared" si="2"/>
        <v>0.018096</v>
      </c>
    </row>
    <row r="512">
      <c r="A512" s="17">
        <v>66.0</v>
      </c>
      <c r="B512" s="24">
        <v>31.0</v>
      </c>
      <c r="C512" s="24">
        <v>5.0</v>
      </c>
      <c r="D512" s="24">
        <v>7.0</v>
      </c>
      <c r="E512" s="24">
        <v>64.0</v>
      </c>
      <c r="F512" s="48">
        <v>8.3566</v>
      </c>
      <c r="G512" s="49">
        <f t="shared" si="1"/>
        <v>0.083566</v>
      </c>
      <c r="H512" s="11">
        <v>9.0</v>
      </c>
      <c r="I512" s="11">
        <v>6.0</v>
      </c>
      <c r="J512" s="50">
        <v>71614.0</v>
      </c>
      <c r="K512" s="11">
        <v>1.0</v>
      </c>
      <c r="L512" s="11">
        <v>0.0</v>
      </c>
      <c r="M512" s="51">
        <v>609.0</v>
      </c>
      <c r="N512" s="17">
        <v>73.0</v>
      </c>
      <c r="O512" s="24" t="s">
        <v>601</v>
      </c>
      <c r="P512" s="52">
        <v>121822.0</v>
      </c>
      <c r="Q512" s="51">
        <v>245.0</v>
      </c>
      <c r="R512" s="53">
        <v>43785.12</v>
      </c>
      <c r="S512" s="24" t="s">
        <v>605</v>
      </c>
      <c r="T512" s="11">
        <v>7.0</v>
      </c>
      <c r="U512" s="52">
        <v>120122.0</v>
      </c>
      <c r="V512" s="11">
        <v>2.0</v>
      </c>
      <c r="W512" s="11">
        <v>7.0</v>
      </c>
      <c r="X512" s="48">
        <v>3.5275</v>
      </c>
      <c r="Y512" s="11">
        <f t="shared" si="2"/>
        <v>0.035275</v>
      </c>
    </row>
    <row r="513">
      <c r="A513" s="17">
        <v>59.0</v>
      </c>
      <c r="B513" s="24">
        <v>31.0</v>
      </c>
      <c r="C513" s="24">
        <v>6.0</v>
      </c>
      <c r="D513" s="24">
        <v>2.0</v>
      </c>
      <c r="E513" s="24">
        <v>64.0</v>
      </c>
      <c r="F513" s="48">
        <v>3.93</v>
      </c>
      <c r="G513" s="49">
        <f t="shared" si="1"/>
        <v>0.0393</v>
      </c>
      <c r="H513" s="11">
        <v>9.0</v>
      </c>
      <c r="I513" s="11">
        <v>9.0</v>
      </c>
      <c r="J513" s="50">
        <v>122421.0</v>
      </c>
      <c r="K513" s="11">
        <v>4.0</v>
      </c>
      <c r="L513" s="11">
        <v>0.0</v>
      </c>
      <c r="M513" s="51">
        <v>574.0</v>
      </c>
      <c r="N513" s="17">
        <v>60.0</v>
      </c>
      <c r="O513" s="24" t="s">
        <v>601</v>
      </c>
      <c r="P513" s="52">
        <v>122314.0</v>
      </c>
      <c r="Q513" s="51">
        <v>918.0</v>
      </c>
      <c r="R513" s="53">
        <v>7682.76</v>
      </c>
      <c r="S513" s="24" t="s">
        <v>602</v>
      </c>
      <c r="T513" s="11">
        <v>6.0</v>
      </c>
      <c r="U513" s="52">
        <v>71413.0</v>
      </c>
      <c r="V513" s="11">
        <v>0.0</v>
      </c>
      <c r="W513" s="11">
        <v>2.0</v>
      </c>
      <c r="X513" s="48">
        <v>3.2325</v>
      </c>
      <c r="Y513" s="11">
        <f t="shared" si="2"/>
        <v>0.032325</v>
      </c>
    </row>
    <row r="514">
      <c r="A514" s="17">
        <v>90.0</v>
      </c>
      <c r="B514" s="24">
        <v>31.0</v>
      </c>
      <c r="C514" s="24">
        <v>6.0</v>
      </c>
      <c r="D514" s="24">
        <v>3.0</v>
      </c>
      <c r="E514" s="24">
        <v>65.0</v>
      </c>
      <c r="F514" s="48">
        <v>4.842</v>
      </c>
      <c r="G514" s="49">
        <f t="shared" si="1"/>
        <v>0.04842</v>
      </c>
      <c r="H514" s="11">
        <v>5.0</v>
      </c>
      <c r="I514" s="11">
        <v>1.0</v>
      </c>
      <c r="J514" s="50">
        <v>100420.0</v>
      </c>
      <c r="K514" s="11">
        <v>7.0</v>
      </c>
      <c r="L514" s="11">
        <v>7.0</v>
      </c>
      <c r="M514" s="51">
        <v>782.0</v>
      </c>
      <c r="N514" s="17">
        <v>78.0</v>
      </c>
      <c r="O514" s="24" t="s">
        <v>48</v>
      </c>
      <c r="P514" s="52">
        <v>32014.0</v>
      </c>
      <c r="Q514" s="51">
        <v>412.0</v>
      </c>
      <c r="R514" s="53">
        <v>867.52</v>
      </c>
      <c r="S514" s="24" t="s">
        <v>602</v>
      </c>
      <c r="T514" s="11">
        <v>8.0</v>
      </c>
      <c r="U514" s="52">
        <v>31216.0</v>
      </c>
      <c r="V514" s="11">
        <v>6.0</v>
      </c>
      <c r="W514" s="11">
        <v>8.0</v>
      </c>
      <c r="X514" s="48">
        <v>4.6119</v>
      </c>
      <c r="Y514" s="11">
        <f t="shared" si="2"/>
        <v>0.046119</v>
      </c>
    </row>
    <row r="515">
      <c r="A515" s="17">
        <v>60.0</v>
      </c>
      <c r="B515" s="24">
        <v>52.0</v>
      </c>
      <c r="C515" s="24">
        <v>1.0</v>
      </c>
      <c r="D515" s="24">
        <v>2.0</v>
      </c>
      <c r="E515" s="24">
        <v>66.0</v>
      </c>
      <c r="F515" s="48">
        <v>7.1169</v>
      </c>
      <c r="G515" s="49">
        <f t="shared" si="1"/>
        <v>0.071169</v>
      </c>
      <c r="H515" s="11">
        <v>6.0</v>
      </c>
      <c r="I515" s="11">
        <v>9.0</v>
      </c>
      <c r="J515" s="50">
        <v>42021.0</v>
      </c>
      <c r="K515" s="11">
        <v>3.0</v>
      </c>
      <c r="L515" s="11">
        <v>2.0</v>
      </c>
      <c r="M515" s="51">
        <v>262.0</v>
      </c>
      <c r="N515" s="17">
        <v>6.0</v>
      </c>
      <c r="O515" s="24" t="s">
        <v>48</v>
      </c>
      <c r="P515" s="52">
        <v>62722.0</v>
      </c>
      <c r="Q515" s="51">
        <v>939.0</v>
      </c>
      <c r="R515" s="53">
        <v>-6860.39</v>
      </c>
      <c r="S515" s="24" t="s">
        <v>600</v>
      </c>
      <c r="T515" s="11">
        <v>8.0</v>
      </c>
      <c r="U515" s="52">
        <v>31320.0</v>
      </c>
      <c r="V515" s="11">
        <v>7.0</v>
      </c>
      <c r="W515" s="11">
        <v>0.0</v>
      </c>
      <c r="X515" s="48">
        <v>1.5555</v>
      </c>
      <c r="Y515" s="11">
        <f t="shared" si="2"/>
        <v>0.015555</v>
      </c>
    </row>
    <row r="516">
      <c r="A516" s="17">
        <v>10.0</v>
      </c>
      <c r="B516" s="24">
        <v>52.0</v>
      </c>
      <c r="C516" s="24">
        <v>1.0</v>
      </c>
      <c r="D516" s="24">
        <v>3.0</v>
      </c>
      <c r="E516" s="24">
        <v>62.0</v>
      </c>
      <c r="F516" s="48">
        <v>7.6234</v>
      </c>
      <c r="G516" s="49">
        <f t="shared" si="1"/>
        <v>0.076234</v>
      </c>
      <c r="H516" s="11">
        <v>6.0</v>
      </c>
      <c r="I516" s="11">
        <v>1.0</v>
      </c>
      <c r="J516" s="50">
        <v>32819.0</v>
      </c>
      <c r="K516" s="11">
        <v>7.0</v>
      </c>
      <c r="L516" s="11">
        <v>1.0</v>
      </c>
      <c r="M516" s="51">
        <v>717.0</v>
      </c>
      <c r="N516" s="17">
        <v>13.0</v>
      </c>
      <c r="O516" s="24" t="s">
        <v>48</v>
      </c>
      <c r="P516" s="52">
        <v>72417.0</v>
      </c>
      <c r="Q516" s="51">
        <v>396.0</v>
      </c>
      <c r="R516" s="53">
        <v>-640.12</v>
      </c>
      <c r="S516" s="24" t="s">
        <v>600</v>
      </c>
      <c r="T516" s="11">
        <v>3.0</v>
      </c>
      <c r="U516" s="52">
        <v>112718.0</v>
      </c>
      <c r="V516" s="11">
        <v>4.0</v>
      </c>
      <c r="W516" s="11">
        <v>8.0</v>
      </c>
      <c r="X516" s="48">
        <v>6.8848</v>
      </c>
      <c r="Y516" s="11">
        <f t="shared" si="2"/>
        <v>0.068848</v>
      </c>
    </row>
    <row r="517">
      <c r="A517" s="17">
        <v>17.0</v>
      </c>
      <c r="B517" s="24">
        <v>72.0</v>
      </c>
      <c r="C517" s="24">
        <v>6.0</v>
      </c>
      <c r="D517" s="24">
        <v>3.0</v>
      </c>
      <c r="E517" s="24">
        <v>63.0</v>
      </c>
      <c r="F517" s="48">
        <v>3.687</v>
      </c>
      <c r="G517" s="49">
        <f t="shared" si="1"/>
        <v>0.03687</v>
      </c>
      <c r="H517" s="11">
        <v>5.0</v>
      </c>
      <c r="I517" s="11">
        <v>6.0</v>
      </c>
      <c r="J517" s="50">
        <v>122113.0</v>
      </c>
      <c r="K517" s="11">
        <v>0.0</v>
      </c>
      <c r="L517" s="11">
        <v>8.0</v>
      </c>
      <c r="M517" s="51">
        <v>869.0</v>
      </c>
      <c r="N517" s="17">
        <v>59.0</v>
      </c>
      <c r="O517" s="24" t="s">
        <v>31</v>
      </c>
      <c r="P517" s="52">
        <v>90920.0</v>
      </c>
      <c r="Q517" s="51">
        <v>748.0</v>
      </c>
      <c r="R517" s="53">
        <v>485291.5</v>
      </c>
      <c r="S517" s="24" t="s">
        <v>604</v>
      </c>
      <c r="T517" s="11">
        <v>9.0</v>
      </c>
      <c r="U517" s="52">
        <v>111719.0</v>
      </c>
      <c r="V517" s="11">
        <v>5.0</v>
      </c>
      <c r="W517" s="11">
        <v>6.0</v>
      </c>
      <c r="X517" s="48">
        <v>7.8287</v>
      </c>
      <c r="Y517" s="11">
        <f t="shared" si="2"/>
        <v>0.078287</v>
      </c>
    </row>
    <row r="518">
      <c r="A518" s="17">
        <v>95.0</v>
      </c>
      <c r="B518" s="24">
        <v>11.0</v>
      </c>
      <c r="C518" s="24">
        <v>2.0</v>
      </c>
      <c r="D518" s="24">
        <v>1.0</v>
      </c>
      <c r="E518" s="24">
        <v>66.0</v>
      </c>
      <c r="F518" s="48">
        <v>1.6443</v>
      </c>
      <c r="G518" s="49">
        <f t="shared" si="1"/>
        <v>0.016443</v>
      </c>
      <c r="H518" s="11">
        <v>2.0</v>
      </c>
      <c r="I518" s="11">
        <v>2.0</v>
      </c>
      <c r="J518" s="50">
        <v>51717.0</v>
      </c>
      <c r="K518" s="11">
        <v>3.0</v>
      </c>
      <c r="L518" s="11">
        <v>1.0</v>
      </c>
      <c r="M518" s="51">
        <v>601.0</v>
      </c>
      <c r="N518" s="17">
        <v>5.0</v>
      </c>
      <c r="O518" s="24" t="s">
        <v>31</v>
      </c>
      <c r="P518" s="52">
        <v>101317.0</v>
      </c>
      <c r="Q518" s="51">
        <v>111.0</v>
      </c>
      <c r="R518" s="53">
        <v>-7454.53</v>
      </c>
      <c r="S518" s="24" t="s">
        <v>600</v>
      </c>
      <c r="T518" s="11">
        <v>3.0</v>
      </c>
      <c r="U518" s="52">
        <v>100616.0</v>
      </c>
      <c r="V518" s="11">
        <v>0.0</v>
      </c>
      <c r="W518" s="11">
        <v>6.0</v>
      </c>
      <c r="X518" s="48">
        <v>6.9397</v>
      </c>
      <c r="Y518" s="11">
        <f t="shared" si="2"/>
        <v>0.069397</v>
      </c>
    </row>
    <row r="519">
      <c r="A519" s="17">
        <v>80.0</v>
      </c>
      <c r="B519" s="24">
        <v>52.0</v>
      </c>
      <c r="C519" s="24">
        <v>1.0</v>
      </c>
      <c r="D519" s="24">
        <v>7.0</v>
      </c>
      <c r="E519" s="24">
        <v>67.0</v>
      </c>
      <c r="F519" s="48">
        <v>9.9416</v>
      </c>
      <c r="G519" s="49">
        <f t="shared" si="1"/>
        <v>0.099416</v>
      </c>
      <c r="H519" s="11">
        <v>4.0</v>
      </c>
      <c r="I519" s="11">
        <v>8.0</v>
      </c>
      <c r="J519" s="50">
        <v>31522.0</v>
      </c>
      <c r="K519" s="11">
        <v>5.0</v>
      </c>
      <c r="L519" s="11">
        <v>5.0</v>
      </c>
      <c r="M519" s="51">
        <v>369.0</v>
      </c>
      <c r="N519" s="17">
        <v>98.0</v>
      </c>
      <c r="O519" s="24" t="s">
        <v>31</v>
      </c>
      <c r="P519" s="52">
        <v>62920.0</v>
      </c>
      <c r="Q519" s="51">
        <v>948.0</v>
      </c>
      <c r="R519" s="53">
        <v>-6112.85</v>
      </c>
      <c r="S519" s="24" t="s">
        <v>602</v>
      </c>
      <c r="T519" s="11">
        <v>0.0</v>
      </c>
      <c r="U519" s="52">
        <v>81316.0</v>
      </c>
      <c r="V519" s="11">
        <v>6.0</v>
      </c>
      <c r="W519" s="11">
        <v>2.0</v>
      </c>
      <c r="X519" s="48">
        <v>2.2982</v>
      </c>
      <c r="Y519" s="11">
        <f t="shared" si="2"/>
        <v>0.022982</v>
      </c>
    </row>
    <row r="520">
      <c r="A520" s="17">
        <v>67.0</v>
      </c>
      <c r="B520" s="24">
        <v>93.0</v>
      </c>
      <c r="C520" s="24">
        <v>1.0</v>
      </c>
      <c r="D520" s="24">
        <v>6.0</v>
      </c>
      <c r="E520" s="24">
        <v>60.0</v>
      </c>
      <c r="F520" s="48">
        <v>7.7908</v>
      </c>
      <c r="G520" s="49">
        <f t="shared" si="1"/>
        <v>0.077908</v>
      </c>
      <c r="H520" s="11">
        <v>2.0</v>
      </c>
      <c r="I520" s="11">
        <v>5.0</v>
      </c>
      <c r="J520" s="50">
        <v>72318.0</v>
      </c>
      <c r="K520" s="11">
        <v>0.0</v>
      </c>
      <c r="L520" s="11">
        <v>9.0</v>
      </c>
      <c r="M520" s="51">
        <v>522.0</v>
      </c>
      <c r="N520" s="17">
        <v>37.0</v>
      </c>
      <c r="O520" s="24" t="s">
        <v>48</v>
      </c>
      <c r="P520" s="52">
        <v>121322.0</v>
      </c>
      <c r="Q520" s="51">
        <v>944.0</v>
      </c>
      <c r="R520" s="53">
        <v>44174.78</v>
      </c>
      <c r="S520" s="24" t="s">
        <v>605</v>
      </c>
      <c r="T520" s="11">
        <v>6.0</v>
      </c>
      <c r="U520" s="52">
        <v>30116.0</v>
      </c>
      <c r="V520" s="11">
        <v>8.0</v>
      </c>
      <c r="W520" s="11">
        <v>3.0</v>
      </c>
      <c r="X520" s="48">
        <v>4.9947</v>
      </c>
      <c r="Y520" s="11">
        <f t="shared" si="2"/>
        <v>0.049947</v>
      </c>
    </row>
    <row r="521">
      <c r="A521" s="17">
        <v>15.0</v>
      </c>
      <c r="B521" s="24">
        <v>11.0</v>
      </c>
      <c r="C521" s="24">
        <v>2.0</v>
      </c>
      <c r="D521" s="24">
        <v>4.0</v>
      </c>
      <c r="E521" s="24">
        <v>66.0</v>
      </c>
      <c r="F521" s="48">
        <v>5.766</v>
      </c>
      <c r="G521" s="49">
        <f t="shared" si="1"/>
        <v>0.05766</v>
      </c>
      <c r="H521" s="11">
        <v>0.0</v>
      </c>
      <c r="I521" s="11">
        <v>9.0</v>
      </c>
      <c r="J521" s="50">
        <v>71320.0</v>
      </c>
      <c r="K521" s="11">
        <v>2.0</v>
      </c>
      <c r="L521" s="11">
        <v>3.0</v>
      </c>
      <c r="M521" s="51">
        <v>522.0</v>
      </c>
      <c r="N521" s="17">
        <v>8.0</v>
      </c>
      <c r="O521" s="24" t="s">
        <v>600</v>
      </c>
      <c r="P521" s="52">
        <v>102217.0</v>
      </c>
      <c r="Q521" s="51">
        <v>201.0</v>
      </c>
      <c r="R521" s="53">
        <v>-184867.31</v>
      </c>
      <c r="S521" s="24" t="s">
        <v>604</v>
      </c>
      <c r="T521" s="11">
        <v>3.0</v>
      </c>
      <c r="U521" s="52">
        <v>51823.0</v>
      </c>
      <c r="V521" s="11">
        <v>9.0</v>
      </c>
      <c r="W521" s="11">
        <v>8.0</v>
      </c>
      <c r="X521" s="48">
        <v>9.5904</v>
      </c>
      <c r="Y521" s="11">
        <f t="shared" si="2"/>
        <v>0.095904</v>
      </c>
    </row>
    <row r="522">
      <c r="A522" s="17">
        <v>24.0</v>
      </c>
      <c r="B522" s="24">
        <v>52.0</v>
      </c>
      <c r="C522" s="24">
        <v>2.0</v>
      </c>
      <c r="D522" s="24">
        <v>1.0</v>
      </c>
      <c r="E522" s="24">
        <v>66.0</v>
      </c>
      <c r="F522" s="48">
        <v>9.7709</v>
      </c>
      <c r="G522" s="49">
        <f t="shared" si="1"/>
        <v>0.097709</v>
      </c>
      <c r="H522" s="11">
        <v>2.0</v>
      </c>
      <c r="I522" s="11">
        <v>3.0</v>
      </c>
      <c r="J522" s="50">
        <v>72717.0</v>
      </c>
      <c r="K522" s="11">
        <v>5.0</v>
      </c>
      <c r="L522" s="11">
        <v>6.0</v>
      </c>
      <c r="M522" s="51">
        <v>158.0</v>
      </c>
      <c r="N522" s="17">
        <v>18.0</v>
      </c>
      <c r="O522" s="24" t="s">
        <v>600</v>
      </c>
      <c r="P522" s="52">
        <v>100319.0</v>
      </c>
      <c r="Q522" s="51">
        <v>317.0</v>
      </c>
      <c r="R522" s="53">
        <v>-8180.63</v>
      </c>
      <c r="S522" s="24" t="s">
        <v>602</v>
      </c>
      <c r="T522" s="11">
        <v>9.0</v>
      </c>
      <c r="U522" s="52">
        <v>110319.0</v>
      </c>
      <c r="V522" s="11">
        <v>5.0</v>
      </c>
      <c r="W522" s="11">
        <v>6.0</v>
      </c>
      <c r="X522" s="48">
        <v>8.1026</v>
      </c>
      <c r="Y522" s="11">
        <f t="shared" si="2"/>
        <v>0.081026</v>
      </c>
    </row>
    <row r="523">
      <c r="A523" s="17">
        <v>12.0</v>
      </c>
      <c r="B523" s="24">
        <v>93.0</v>
      </c>
      <c r="C523" s="24">
        <v>1.0</v>
      </c>
      <c r="D523" s="24">
        <v>8.0</v>
      </c>
      <c r="E523" s="24">
        <v>62.0</v>
      </c>
      <c r="F523" s="48">
        <v>5.6046</v>
      </c>
      <c r="G523" s="49">
        <f t="shared" si="1"/>
        <v>0.056046</v>
      </c>
      <c r="H523" s="11">
        <v>4.0</v>
      </c>
      <c r="I523" s="11">
        <v>9.0</v>
      </c>
      <c r="J523" s="50">
        <v>51520.0</v>
      </c>
      <c r="K523" s="11">
        <v>3.0</v>
      </c>
      <c r="L523" s="11">
        <v>3.0</v>
      </c>
      <c r="M523" s="51">
        <v>673.0</v>
      </c>
      <c r="N523" s="17">
        <v>36.0</v>
      </c>
      <c r="O523" s="24" t="s">
        <v>601</v>
      </c>
      <c r="P523" s="52">
        <v>10614.0</v>
      </c>
      <c r="Q523" s="51">
        <v>13.0</v>
      </c>
      <c r="R523" s="53">
        <v>-6627.78</v>
      </c>
      <c r="S523" s="24" t="s">
        <v>605</v>
      </c>
      <c r="T523" s="11">
        <v>0.0</v>
      </c>
      <c r="U523" s="52">
        <v>101713.0</v>
      </c>
      <c r="V523" s="11">
        <v>0.0</v>
      </c>
      <c r="W523" s="11">
        <v>8.0</v>
      </c>
      <c r="X523" s="48">
        <v>5.1545</v>
      </c>
      <c r="Y523" s="11">
        <f t="shared" si="2"/>
        <v>0.051545</v>
      </c>
    </row>
    <row r="524">
      <c r="A524" s="17">
        <v>54.0</v>
      </c>
      <c r="B524" s="24">
        <v>31.0</v>
      </c>
      <c r="C524" s="24">
        <v>7.0</v>
      </c>
      <c r="D524" s="24">
        <v>6.0</v>
      </c>
      <c r="E524" s="24">
        <v>63.0</v>
      </c>
      <c r="F524" s="48">
        <v>2.1478</v>
      </c>
      <c r="G524" s="49">
        <f t="shared" si="1"/>
        <v>0.021478</v>
      </c>
      <c r="H524" s="11">
        <v>2.0</v>
      </c>
      <c r="I524" s="11">
        <v>9.0</v>
      </c>
      <c r="J524" s="50">
        <v>22422.0</v>
      </c>
      <c r="K524" s="11">
        <v>6.0</v>
      </c>
      <c r="L524" s="11">
        <v>6.0</v>
      </c>
      <c r="M524" s="51">
        <v>502.0</v>
      </c>
      <c r="N524" s="17">
        <v>54.0</v>
      </c>
      <c r="O524" s="24" t="s">
        <v>600</v>
      </c>
      <c r="P524" s="52">
        <v>102720.0</v>
      </c>
      <c r="Q524" s="51">
        <v>389.0</v>
      </c>
      <c r="R524" s="53">
        <v>-631.35</v>
      </c>
      <c r="S524" s="24" t="s">
        <v>602</v>
      </c>
      <c r="T524" s="11">
        <v>1.0</v>
      </c>
      <c r="U524" s="52">
        <v>112715.0</v>
      </c>
      <c r="V524" s="11">
        <v>2.0</v>
      </c>
      <c r="W524" s="11">
        <v>6.0</v>
      </c>
      <c r="X524" s="48">
        <v>2.8919</v>
      </c>
      <c r="Y524" s="11">
        <f t="shared" si="2"/>
        <v>0.028919</v>
      </c>
    </row>
    <row r="525">
      <c r="A525" s="17">
        <v>59.0</v>
      </c>
      <c r="B525" s="24">
        <v>93.0</v>
      </c>
      <c r="C525" s="24">
        <v>2.0</v>
      </c>
      <c r="D525" s="24">
        <v>5.0</v>
      </c>
      <c r="E525" s="24">
        <v>66.0</v>
      </c>
      <c r="F525" s="48">
        <v>9.4308</v>
      </c>
      <c r="G525" s="49">
        <f t="shared" si="1"/>
        <v>0.094308</v>
      </c>
      <c r="H525" s="11">
        <v>4.0</v>
      </c>
      <c r="I525" s="11">
        <v>5.0</v>
      </c>
      <c r="J525" s="50">
        <v>70214.0</v>
      </c>
      <c r="K525" s="11">
        <v>8.0</v>
      </c>
      <c r="L525" s="11">
        <v>9.0</v>
      </c>
      <c r="M525" s="51">
        <v>830.0</v>
      </c>
      <c r="N525" s="17">
        <v>8.0</v>
      </c>
      <c r="O525" s="24" t="s">
        <v>39</v>
      </c>
      <c r="P525" s="52">
        <v>22819.0</v>
      </c>
      <c r="Q525" s="51">
        <v>89.0</v>
      </c>
      <c r="R525" s="53">
        <v>-647284.72</v>
      </c>
      <c r="S525" s="24" t="s">
        <v>604</v>
      </c>
      <c r="T525" s="11">
        <v>2.0</v>
      </c>
      <c r="U525" s="52">
        <v>62815.0</v>
      </c>
      <c r="V525" s="11">
        <v>6.0</v>
      </c>
      <c r="W525" s="11">
        <v>0.0</v>
      </c>
      <c r="X525" s="48">
        <v>1.3939</v>
      </c>
      <c r="Y525" s="11">
        <f t="shared" si="2"/>
        <v>0.013939</v>
      </c>
    </row>
    <row r="526">
      <c r="A526" s="17">
        <v>62.0</v>
      </c>
      <c r="B526" s="24">
        <v>72.0</v>
      </c>
      <c r="C526" s="24">
        <v>7.0</v>
      </c>
      <c r="D526" s="24">
        <v>8.0</v>
      </c>
      <c r="E526" s="24">
        <v>64.0</v>
      </c>
      <c r="F526" s="48">
        <v>4.5605</v>
      </c>
      <c r="G526" s="49">
        <f t="shared" si="1"/>
        <v>0.045605</v>
      </c>
      <c r="H526" s="11">
        <v>1.0</v>
      </c>
      <c r="I526" s="11">
        <v>4.0</v>
      </c>
      <c r="J526" s="50">
        <v>40713.0</v>
      </c>
      <c r="K526" s="11">
        <v>4.0</v>
      </c>
      <c r="L526" s="11">
        <v>3.0</v>
      </c>
      <c r="M526" s="51">
        <v>987.0</v>
      </c>
      <c r="N526" s="17">
        <v>41.0</v>
      </c>
      <c r="O526" s="24" t="s">
        <v>48</v>
      </c>
      <c r="P526" s="52">
        <v>120922.0</v>
      </c>
      <c r="Q526" s="51">
        <v>478.0</v>
      </c>
      <c r="R526" s="53">
        <v>945.58</v>
      </c>
      <c r="S526" s="24" t="s">
        <v>605</v>
      </c>
      <c r="T526" s="11">
        <v>1.0</v>
      </c>
      <c r="U526" s="52">
        <v>110616.0</v>
      </c>
      <c r="V526" s="11">
        <v>1.0</v>
      </c>
      <c r="W526" s="11">
        <v>1.0</v>
      </c>
      <c r="X526" s="48">
        <v>4.7658</v>
      </c>
      <c r="Y526" s="11">
        <f t="shared" si="2"/>
        <v>0.047658</v>
      </c>
    </row>
    <row r="527">
      <c r="A527" s="17">
        <v>93.0</v>
      </c>
      <c r="B527" s="24">
        <v>52.0</v>
      </c>
      <c r="C527" s="24">
        <v>2.0</v>
      </c>
      <c r="D527" s="24">
        <v>9.0</v>
      </c>
      <c r="E527" s="24">
        <v>66.0</v>
      </c>
      <c r="F527" s="48">
        <v>8.9417</v>
      </c>
      <c r="G527" s="49">
        <f t="shared" si="1"/>
        <v>0.089417</v>
      </c>
      <c r="H527" s="11">
        <v>4.0</v>
      </c>
      <c r="I527" s="11">
        <v>9.0</v>
      </c>
      <c r="J527" s="50">
        <v>31919.0</v>
      </c>
      <c r="K527" s="11">
        <v>1.0</v>
      </c>
      <c r="L527" s="11">
        <v>0.0</v>
      </c>
      <c r="M527" s="51">
        <v>426.0</v>
      </c>
      <c r="N527" s="17">
        <v>50.0</v>
      </c>
      <c r="O527" s="24" t="s">
        <v>31</v>
      </c>
      <c r="P527" s="52">
        <v>101816.0</v>
      </c>
      <c r="Q527" s="51">
        <v>671.0</v>
      </c>
      <c r="R527" s="53">
        <v>-36904.4</v>
      </c>
      <c r="S527" s="24" t="s">
        <v>605</v>
      </c>
      <c r="T527" s="11">
        <v>8.0</v>
      </c>
      <c r="U527" s="52">
        <v>101418.0</v>
      </c>
      <c r="V527" s="11">
        <v>2.0</v>
      </c>
      <c r="W527" s="11">
        <v>7.0</v>
      </c>
      <c r="X527" s="48">
        <v>4.3495</v>
      </c>
      <c r="Y527" s="11">
        <f t="shared" si="2"/>
        <v>0.043495</v>
      </c>
    </row>
    <row r="528">
      <c r="A528" s="17">
        <v>39.0</v>
      </c>
      <c r="B528" s="24">
        <v>11.0</v>
      </c>
      <c r="C528" s="24">
        <v>3.0</v>
      </c>
      <c r="D528" s="24">
        <v>6.0</v>
      </c>
      <c r="E528" s="24">
        <v>67.0</v>
      </c>
      <c r="F528" s="48">
        <v>8.27</v>
      </c>
      <c r="G528" s="49">
        <f t="shared" si="1"/>
        <v>0.0827</v>
      </c>
      <c r="H528" s="11">
        <v>9.0</v>
      </c>
      <c r="I528" s="11">
        <v>3.0</v>
      </c>
      <c r="J528" s="50">
        <v>110422.0</v>
      </c>
      <c r="K528" s="11">
        <v>0.0</v>
      </c>
      <c r="L528" s="11">
        <v>1.0</v>
      </c>
      <c r="M528" s="51">
        <v>517.0</v>
      </c>
      <c r="N528" s="17">
        <v>18.0</v>
      </c>
      <c r="O528" s="24" t="s">
        <v>606</v>
      </c>
      <c r="P528" s="52">
        <v>102822.0</v>
      </c>
      <c r="Q528" s="51">
        <v>979.0</v>
      </c>
      <c r="R528" s="53">
        <v>-908307.26</v>
      </c>
      <c r="S528" s="24" t="s">
        <v>602</v>
      </c>
      <c r="T528" s="11">
        <v>7.0</v>
      </c>
      <c r="U528" s="52">
        <v>82416.0</v>
      </c>
      <c r="V528" s="11">
        <v>8.0</v>
      </c>
      <c r="W528" s="11">
        <v>8.0</v>
      </c>
      <c r="X528" s="48">
        <v>7.191</v>
      </c>
      <c r="Y528" s="11">
        <f t="shared" si="2"/>
        <v>0.07191</v>
      </c>
    </row>
    <row r="529">
      <c r="A529" s="17">
        <v>16.0</v>
      </c>
      <c r="B529" s="24">
        <v>72.0</v>
      </c>
      <c r="C529" s="24">
        <v>8.0</v>
      </c>
      <c r="D529" s="24">
        <v>1.0</v>
      </c>
      <c r="E529" s="24">
        <v>67.0</v>
      </c>
      <c r="F529" s="48">
        <v>7.3386</v>
      </c>
      <c r="G529" s="49">
        <f t="shared" si="1"/>
        <v>0.073386</v>
      </c>
      <c r="H529" s="11">
        <v>5.0</v>
      </c>
      <c r="I529" s="11">
        <v>4.0</v>
      </c>
      <c r="J529" s="50">
        <v>32118.0</v>
      </c>
      <c r="K529" s="11">
        <v>2.0</v>
      </c>
      <c r="L529" s="11">
        <v>4.0</v>
      </c>
      <c r="M529" s="51">
        <v>275.0</v>
      </c>
      <c r="N529" s="17">
        <v>23.0</v>
      </c>
      <c r="O529" s="24" t="s">
        <v>601</v>
      </c>
      <c r="P529" s="52">
        <v>20916.0</v>
      </c>
      <c r="Q529" s="51">
        <v>720.0</v>
      </c>
      <c r="R529" s="53">
        <v>883378.59</v>
      </c>
      <c r="S529" s="24" t="s">
        <v>604</v>
      </c>
      <c r="T529" s="11">
        <v>2.0</v>
      </c>
      <c r="U529" s="52">
        <v>92313.0</v>
      </c>
      <c r="V529" s="11">
        <v>3.0</v>
      </c>
      <c r="W529" s="11">
        <v>0.0</v>
      </c>
      <c r="X529" s="48">
        <v>4.1552</v>
      </c>
      <c r="Y529" s="11">
        <f t="shared" si="2"/>
        <v>0.041552</v>
      </c>
    </row>
    <row r="530">
      <c r="A530" s="17">
        <v>97.0</v>
      </c>
      <c r="B530" s="24">
        <v>11.0</v>
      </c>
      <c r="C530" s="24">
        <v>3.0</v>
      </c>
      <c r="D530" s="24">
        <v>9.0</v>
      </c>
      <c r="E530" s="24">
        <v>63.0</v>
      </c>
      <c r="F530" s="48">
        <v>7.1172</v>
      </c>
      <c r="G530" s="49">
        <f t="shared" si="1"/>
        <v>0.071172</v>
      </c>
      <c r="H530" s="11">
        <v>3.0</v>
      </c>
      <c r="I530" s="11">
        <v>5.0</v>
      </c>
      <c r="J530" s="50">
        <v>52914.0</v>
      </c>
      <c r="K530" s="11">
        <v>4.0</v>
      </c>
      <c r="L530" s="11">
        <v>9.0</v>
      </c>
      <c r="M530" s="51">
        <v>765.0</v>
      </c>
      <c r="N530" s="17">
        <v>35.0</v>
      </c>
      <c r="O530" s="24" t="s">
        <v>606</v>
      </c>
      <c r="P530" s="52">
        <v>42518.0</v>
      </c>
      <c r="Q530" s="51">
        <v>629.0</v>
      </c>
      <c r="R530" s="53">
        <v>458.18</v>
      </c>
      <c r="S530" s="24" t="s">
        <v>602</v>
      </c>
      <c r="T530" s="11">
        <v>3.0</v>
      </c>
      <c r="U530" s="52">
        <v>11422.0</v>
      </c>
      <c r="V530" s="11">
        <v>5.0</v>
      </c>
      <c r="W530" s="11">
        <v>9.0</v>
      </c>
      <c r="X530" s="48">
        <v>3.72</v>
      </c>
      <c r="Y530" s="11">
        <f t="shared" si="2"/>
        <v>0.0372</v>
      </c>
    </row>
    <row r="531">
      <c r="A531" s="17">
        <v>48.0</v>
      </c>
      <c r="B531" s="24">
        <v>11.0</v>
      </c>
      <c r="C531" s="24">
        <v>4.0</v>
      </c>
      <c r="D531" s="24">
        <v>3.0</v>
      </c>
      <c r="E531" s="24">
        <v>63.0</v>
      </c>
      <c r="F531" s="48">
        <v>9.4523</v>
      </c>
      <c r="G531" s="49">
        <f t="shared" si="1"/>
        <v>0.094523</v>
      </c>
      <c r="H531" s="11">
        <v>6.0</v>
      </c>
      <c r="I531" s="11">
        <v>7.0</v>
      </c>
      <c r="J531" s="50">
        <v>21919.0</v>
      </c>
      <c r="K531" s="11">
        <v>2.0</v>
      </c>
      <c r="L531" s="11">
        <v>4.0</v>
      </c>
      <c r="M531" s="51">
        <v>330.0</v>
      </c>
      <c r="N531" s="17">
        <v>18.0</v>
      </c>
      <c r="O531" s="24" t="s">
        <v>603</v>
      </c>
      <c r="P531" s="52">
        <v>12713.0</v>
      </c>
      <c r="Q531" s="51">
        <v>119.0</v>
      </c>
      <c r="R531" s="53">
        <v>852.15</v>
      </c>
      <c r="S531" s="24" t="s">
        <v>604</v>
      </c>
      <c r="T531" s="11">
        <v>5.0</v>
      </c>
      <c r="U531" s="52">
        <v>111716.0</v>
      </c>
      <c r="V531" s="11">
        <v>8.0</v>
      </c>
      <c r="W531" s="11">
        <v>6.0</v>
      </c>
      <c r="X531" s="48">
        <v>4.8739</v>
      </c>
      <c r="Y531" s="11">
        <f t="shared" si="2"/>
        <v>0.048739</v>
      </c>
    </row>
    <row r="532">
      <c r="A532" s="17">
        <v>11.0</v>
      </c>
      <c r="B532" s="24">
        <v>31.0</v>
      </c>
      <c r="C532" s="24">
        <v>9.0</v>
      </c>
      <c r="D532" s="24">
        <v>2.0</v>
      </c>
      <c r="E532" s="24">
        <v>67.0</v>
      </c>
      <c r="F532" s="48">
        <v>1.4828</v>
      </c>
      <c r="G532" s="49">
        <f t="shared" si="1"/>
        <v>0.014828</v>
      </c>
      <c r="H532" s="11">
        <v>5.0</v>
      </c>
      <c r="I532" s="11">
        <v>4.0</v>
      </c>
      <c r="J532" s="50">
        <v>42714.0</v>
      </c>
      <c r="K532" s="11">
        <v>8.0</v>
      </c>
      <c r="L532" s="11">
        <v>1.0</v>
      </c>
      <c r="M532" s="51">
        <v>527.0</v>
      </c>
      <c r="N532" s="17">
        <v>11.0</v>
      </c>
      <c r="O532" s="24" t="s">
        <v>48</v>
      </c>
      <c r="P532" s="52">
        <v>102218.0</v>
      </c>
      <c r="Q532" s="51">
        <v>65.0</v>
      </c>
      <c r="R532" s="53">
        <v>76707.57</v>
      </c>
      <c r="S532" s="24" t="s">
        <v>602</v>
      </c>
      <c r="T532" s="11">
        <v>4.0</v>
      </c>
      <c r="U532" s="52">
        <v>92623.0</v>
      </c>
      <c r="V532" s="11">
        <v>2.0</v>
      </c>
      <c r="W532" s="11">
        <v>5.0</v>
      </c>
      <c r="X532" s="48">
        <v>9.6423</v>
      </c>
      <c r="Y532" s="11">
        <f t="shared" si="2"/>
        <v>0.096423</v>
      </c>
    </row>
    <row r="533">
      <c r="A533" s="17">
        <v>5.0</v>
      </c>
      <c r="B533" s="24">
        <v>72.0</v>
      </c>
      <c r="C533" s="24">
        <v>9.0</v>
      </c>
      <c r="D533" s="24">
        <v>2.0</v>
      </c>
      <c r="E533" s="24">
        <v>68.0</v>
      </c>
      <c r="F533" s="48">
        <v>3.8033</v>
      </c>
      <c r="G533" s="49">
        <f t="shared" si="1"/>
        <v>0.038033</v>
      </c>
      <c r="H533" s="11">
        <v>8.0</v>
      </c>
      <c r="I533" s="11">
        <v>3.0</v>
      </c>
      <c r="J533" s="50">
        <v>102318.0</v>
      </c>
      <c r="K533" s="11">
        <v>6.0</v>
      </c>
      <c r="L533" s="11">
        <v>7.0</v>
      </c>
      <c r="M533" s="51">
        <v>911.0</v>
      </c>
      <c r="N533" s="17">
        <v>57.0</v>
      </c>
      <c r="O533" s="24" t="s">
        <v>31</v>
      </c>
      <c r="P533" s="52">
        <v>42413.0</v>
      </c>
      <c r="Q533" s="51">
        <v>220.0</v>
      </c>
      <c r="R533" s="53">
        <v>-785689.12</v>
      </c>
      <c r="S533" s="24" t="s">
        <v>602</v>
      </c>
      <c r="T533" s="11">
        <v>2.0</v>
      </c>
      <c r="U533" s="52">
        <v>10519.0</v>
      </c>
      <c r="V533" s="11">
        <v>8.0</v>
      </c>
      <c r="W533" s="11">
        <v>8.0</v>
      </c>
      <c r="X533" s="48">
        <v>4.2974</v>
      </c>
      <c r="Y533" s="11">
        <f t="shared" si="2"/>
        <v>0.042974</v>
      </c>
    </row>
    <row r="534">
      <c r="A534" s="17">
        <v>43.0</v>
      </c>
      <c r="B534" s="24">
        <v>31.0</v>
      </c>
      <c r="C534" s="24">
        <v>9.0</v>
      </c>
      <c r="D534" s="24">
        <v>8.0</v>
      </c>
      <c r="E534" s="24">
        <v>61.0</v>
      </c>
      <c r="F534" s="48">
        <v>8.4397</v>
      </c>
      <c r="G534" s="49">
        <f t="shared" si="1"/>
        <v>0.084397</v>
      </c>
      <c r="H534" s="11">
        <v>7.0</v>
      </c>
      <c r="I534" s="11">
        <v>4.0</v>
      </c>
      <c r="J534" s="50">
        <v>21416.0</v>
      </c>
      <c r="K534" s="11">
        <v>5.0</v>
      </c>
      <c r="L534" s="11">
        <v>1.0</v>
      </c>
      <c r="M534" s="51">
        <v>783.0</v>
      </c>
      <c r="N534" s="17">
        <v>85.0</v>
      </c>
      <c r="O534" s="24" t="s">
        <v>606</v>
      </c>
      <c r="P534" s="52">
        <v>11920.0</v>
      </c>
      <c r="Q534" s="51">
        <v>130.0</v>
      </c>
      <c r="R534" s="53">
        <v>-790930.34</v>
      </c>
      <c r="S534" s="24" t="s">
        <v>602</v>
      </c>
      <c r="T534" s="11">
        <v>4.0</v>
      </c>
      <c r="U534" s="52">
        <v>41416.0</v>
      </c>
      <c r="V534" s="11">
        <v>2.0</v>
      </c>
      <c r="W534" s="11">
        <v>4.0</v>
      </c>
      <c r="X534" s="48">
        <v>8.7519</v>
      </c>
      <c r="Y534" s="11">
        <f t="shared" si="2"/>
        <v>0.087519</v>
      </c>
    </row>
    <row r="535">
      <c r="A535" s="17">
        <v>54.0</v>
      </c>
      <c r="B535" s="24">
        <v>72.0</v>
      </c>
      <c r="C535" s="24">
        <v>9.0</v>
      </c>
      <c r="D535" s="24">
        <v>5.0</v>
      </c>
      <c r="E535" s="24">
        <v>68.0</v>
      </c>
      <c r="F535" s="48">
        <v>7.556</v>
      </c>
      <c r="G535" s="49">
        <f t="shared" si="1"/>
        <v>0.07556</v>
      </c>
      <c r="H535" s="11">
        <v>7.0</v>
      </c>
      <c r="I535" s="11">
        <v>7.0</v>
      </c>
      <c r="J535" s="50">
        <v>103020.0</v>
      </c>
      <c r="K535" s="11">
        <v>0.0</v>
      </c>
      <c r="L535" s="11">
        <v>5.0</v>
      </c>
      <c r="M535" s="51">
        <v>659.0</v>
      </c>
      <c r="N535" s="17">
        <v>5.0</v>
      </c>
      <c r="O535" s="24" t="s">
        <v>606</v>
      </c>
      <c r="P535" s="52">
        <v>42921.0</v>
      </c>
      <c r="Q535" s="51">
        <v>416.0</v>
      </c>
      <c r="R535" s="53">
        <v>-843.1</v>
      </c>
      <c r="S535" s="24" t="s">
        <v>604</v>
      </c>
      <c r="T535" s="11">
        <v>2.0</v>
      </c>
      <c r="U535" s="52">
        <v>100614.0</v>
      </c>
      <c r="V535" s="11">
        <v>6.0</v>
      </c>
      <c r="W535" s="11">
        <v>2.0</v>
      </c>
      <c r="X535" s="48">
        <v>2.1363</v>
      </c>
      <c r="Y535" s="11">
        <f t="shared" si="2"/>
        <v>0.021363</v>
      </c>
    </row>
    <row r="536">
      <c r="A536" s="17">
        <v>20.0</v>
      </c>
      <c r="B536" s="24">
        <v>11.0</v>
      </c>
      <c r="C536" s="24">
        <v>5.0</v>
      </c>
      <c r="D536" s="24">
        <v>2.0</v>
      </c>
      <c r="E536" s="24">
        <v>65.0</v>
      </c>
      <c r="F536" s="48">
        <v>7.2555</v>
      </c>
      <c r="G536" s="49">
        <f t="shared" si="1"/>
        <v>0.072555</v>
      </c>
      <c r="H536" s="11">
        <v>6.0</v>
      </c>
      <c r="I536" s="11">
        <v>1.0</v>
      </c>
      <c r="J536" s="50">
        <v>52917.0</v>
      </c>
      <c r="K536" s="11">
        <v>6.0</v>
      </c>
      <c r="L536" s="11">
        <v>1.0</v>
      </c>
      <c r="M536" s="51">
        <v>12.0</v>
      </c>
      <c r="N536" s="17">
        <v>26.0</v>
      </c>
      <c r="O536" s="24" t="s">
        <v>600</v>
      </c>
      <c r="P536" s="52">
        <v>11513.0</v>
      </c>
      <c r="Q536" s="51">
        <v>299.0</v>
      </c>
      <c r="R536" s="53">
        <v>-623662.65</v>
      </c>
      <c r="S536" s="24" t="s">
        <v>605</v>
      </c>
      <c r="T536" s="11">
        <v>2.0</v>
      </c>
      <c r="U536" s="52">
        <v>72921.0</v>
      </c>
      <c r="V536" s="11">
        <v>6.0</v>
      </c>
      <c r="W536" s="11">
        <v>5.0</v>
      </c>
      <c r="X536" s="48">
        <v>6.9147</v>
      </c>
      <c r="Y536" s="11">
        <f t="shared" si="2"/>
        <v>0.069147</v>
      </c>
    </row>
    <row r="537">
      <c r="A537" s="17">
        <v>47.0</v>
      </c>
      <c r="B537" s="24">
        <v>11.0</v>
      </c>
      <c r="C537" s="24">
        <v>5.0</v>
      </c>
      <c r="D537" s="24">
        <v>7.0</v>
      </c>
      <c r="E537" s="24">
        <v>65.0</v>
      </c>
      <c r="F537" s="48">
        <v>8.569</v>
      </c>
      <c r="G537" s="49">
        <f t="shared" si="1"/>
        <v>0.08569</v>
      </c>
      <c r="H537" s="11">
        <v>8.0</v>
      </c>
      <c r="I537" s="11">
        <v>5.0</v>
      </c>
      <c r="J537" s="50">
        <v>52916.0</v>
      </c>
      <c r="K537" s="11">
        <v>2.0</v>
      </c>
      <c r="L537" s="11">
        <v>2.0</v>
      </c>
      <c r="M537" s="51">
        <v>33.0</v>
      </c>
      <c r="N537" s="17">
        <v>66.0</v>
      </c>
      <c r="O537" s="24" t="s">
        <v>600</v>
      </c>
      <c r="P537" s="52">
        <v>53118.0</v>
      </c>
      <c r="Q537" s="51">
        <v>5.0</v>
      </c>
      <c r="R537" s="53">
        <v>-1314.69</v>
      </c>
      <c r="S537" s="24" t="s">
        <v>605</v>
      </c>
      <c r="T537" s="11">
        <v>8.0</v>
      </c>
      <c r="U537" s="52">
        <v>40120.0</v>
      </c>
      <c r="V537" s="11">
        <v>1.0</v>
      </c>
      <c r="W537" s="11">
        <v>6.0</v>
      </c>
      <c r="X537" s="48">
        <v>4.2407</v>
      </c>
      <c r="Y537" s="11">
        <f t="shared" si="2"/>
        <v>0.042407</v>
      </c>
    </row>
    <row r="538">
      <c r="A538" s="17">
        <v>35.0</v>
      </c>
      <c r="B538" s="24">
        <v>93.0</v>
      </c>
      <c r="C538" s="24">
        <v>5.0</v>
      </c>
      <c r="D538" s="24">
        <v>3.0</v>
      </c>
      <c r="E538" s="24">
        <v>68.0</v>
      </c>
      <c r="F538" s="48">
        <v>6.4946</v>
      </c>
      <c r="G538" s="49">
        <f t="shared" si="1"/>
        <v>0.064946</v>
      </c>
      <c r="H538" s="11">
        <v>4.0</v>
      </c>
      <c r="I538" s="11">
        <v>1.0</v>
      </c>
      <c r="J538" s="50">
        <v>120522.0</v>
      </c>
      <c r="K538" s="11">
        <v>9.0</v>
      </c>
      <c r="L538" s="11">
        <v>0.0</v>
      </c>
      <c r="M538" s="51">
        <v>349.0</v>
      </c>
      <c r="N538" s="17">
        <v>77.0</v>
      </c>
      <c r="O538" s="24" t="s">
        <v>606</v>
      </c>
      <c r="P538" s="52">
        <v>112523.0</v>
      </c>
      <c r="Q538" s="51">
        <v>441.0</v>
      </c>
      <c r="R538" s="53">
        <v>-290076.47</v>
      </c>
      <c r="S538" s="24" t="s">
        <v>605</v>
      </c>
      <c r="T538" s="11">
        <v>6.0</v>
      </c>
      <c r="U538" s="52">
        <v>102914.0</v>
      </c>
      <c r="V538" s="11">
        <v>8.0</v>
      </c>
      <c r="W538" s="11">
        <v>9.0</v>
      </c>
      <c r="X538" s="48">
        <v>7.182</v>
      </c>
      <c r="Y538" s="11">
        <f t="shared" si="2"/>
        <v>0.07182</v>
      </c>
    </row>
    <row r="539">
      <c r="A539" s="17">
        <v>78.0</v>
      </c>
      <c r="B539" s="24">
        <v>93.0</v>
      </c>
      <c r="C539" s="24">
        <v>5.0</v>
      </c>
      <c r="D539" s="24">
        <v>4.0</v>
      </c>
      <c r="E539" s="24">
        <v>63.0</v>
      </c>
      <c r="F539" s="48">
        <v>8.1213</v>
      </c>
      <c r="G539" s="49">
        <f t="shared" si="1"/>
        <v>0.081213</v>
      </c>
      <c r="H539" s="11">
        <v>6.0</v>
      </c>
      <c r="I539" s="11">
        <v>2.0</v>
      </c>
      <c r="J539" s="50">
        <v>61016.0</v>
      </c>
      <c r="K539" s="11">
        <v>9.0</v>
      </c>
      <c r="L539" s="11">
        <v>1.0</v>
      </c>
      <c r="M539" s="51">
        <v>896.0</v>
      </c>
      <c r="N539" s="17">
        <v>37.0</v>
      </c>
      <c r="O539" s="24" t="s">
        <v>601</v>
      </c>
      <c r="P539" s="52">
        <v>121614.0</v>
      </c>
      <c r="Q539" s="51">
        <v>6.0</v>
      </c>
      <c r="R539" s="53">
        <v>99063.1</v>
      </c>
      <c r="S539" s="24" t="s">
        <v>602</v>
      </c>
      <c r="T539" s="11">
        <v>8.0</v>
      </c>
      <c r="U539" s="52">
        <v>82315.0</v>
      </c>
      <c r="V539" s="11">
        <v>7.0</v>
      </c>
      <c r="W539" s="11">
        <v>3.0</v>
      </c>
      <c r="X539" s="48">
        <v>1.2241</v>
      </c>
      <c r="Y539" s="11">
        <f t="shared" si="2"/>
        <v>0.012241</v>
      </c>
    </row>
    <row r="540">
      <c r="A540" s="17">
        <v>10.0</v>
      </c>
      <c r="B540" s="24">
        <v>32.0</v>
      </c>
      <c r="C540" s="24">
        <v>1.0</v>
      </c>
      <c r="D540" s="24">
        <v>1.0</v>
      </c>
      <c r="E540" s="24">
        <v>62.0</v>
      </c>
      <c r="F540" s="48">
        <v>9.185</v>
      </c>
      <c r="G540" s="49">
        <f t="shared" si="1"/>
        <v>0.09185</v>
      </c>
      <c r="H540" s="11">
        <v>8.0</v>
      </c>
      <c r="I540" s="11">
        <v>1.0</v>
      </c>
      <c r="J540" s="50">
        <v>40316.0</v>
      </c>
      <c r="K540" s="11">
        <v>3.0</v>
      </c>
      <c r="L540" s="11">
        <v>9.0</v>
      </c>
      <c r="M540" s="51">
        <v>836.0</v>
      </c>
      <c r="N540" s="17">
        <v>27.0</v>
      </c>
      <c r="O540" s="24" t="s">
        <v>31</v>
      </c>
      <c r="P540" s="52">
        <v>72620.0</v>
      </c>
      <c r="Q540" s="51">
        <v>595.0</v>
      </c>
      <c r="R540" s="53">
        <v>1040.44</v>
      </c>
      <c r="S540" s="24" t="s">
        <v>605</v>
      </c>
      <c r="T540" s="11">
        <v>3.0</v>
      </c>
      <c r="U540" s="52">
        <v>121713.0</v>
      </c>
      <c r="V540" s="11">
        <v>8.0</v>
      </c>
      <c r="W540" s="11">
        <v>1.0</v>
      </c>
      <c r="X540" s="48">
        <v>2.2212</v>
      </c>
      <c r="Y540" s="11">
        <f t="shared" si="2"/>
        <v>0.022212</v>
      </c>
    </row>
    <row r="541">
      <c r="A541" s="17">
        <v>19.0</v>
      </c>
      <c r="B541" s="24">
        <v>11.0</v>
      </c>
      <c r="C541" s="24">
        <v>6.0</v>
      </c>
      <c r="D541" s="24">
        <v>4.0</v>
      </c>
      <c r="E541" s="24">
        <v>63.0</v>
      </c>
      <c r="F541" s="48">
        <v>6.6075</v>
      </c>
      <c r="G541" s="49">
        <f t="shared" si="1"/>
        <v>0.066075</v>
      </c>
      <c r="H541" s="11">
        <v>3.0</v>
      </c>
      <c r="I541" s="11">
        <v>3.0</v>
      </c>
      <c r="J541" s="50">
        <v>91820.0</v>
      </c>
      <c r="K541" s="11">
        <v>2.0</v>
      </c>
      <c r="L541" s="11">
        <v>6.0</v>
      </c>
      <c r="M541" s="51">
        <v>193.0</v>
      </c>
      <c r="N541" s="17">
        <v>46.0</v>
      </c>
      <c r="O541" s="24" t="s">
        <v>39</v>
      </c>
      <c r="P541" s="52">
        <v>22615.0</v>
      </c>
      <c r="Q541" s="51">
        <v>457.0</v>
      </c>
      <c r="R541" s="53">
        <v>-826.92</v>
      </c>
      <c r="S541" s="24" t="s">
        <v>605</v>
      </c>
      <c r="T541" s="11">
        <v>0.0</v>
      </c>
      <c r="U541" s="52">
        <v>30421.0</v>
      </c>
      <c r="V541" s="11">
        <v>2.0</v>
      </c>
      <c r="W541" s="11">
        <v>8.0</v>
      </c>
      <c r="X541" s="48">
        <v>5.8683</v>
      </c>
      <c r="Y541" s="11">
        <f t="shared" si="2"/>
        <v>0.058683</v>
      </c>
    </row>
    <row r="542">
      <c r="A542" s="17">
        <v>11.0</v>
      </c>
      <c r="B542" s="24">
        <v>93.0</v>
      </c>
      <c r="C542" s="24">
        <v>6.0</v>
      </c>
      <c r="D542" s="24">
        <v>1.0</v>
      </c>
      <c r="E542" s="24">
        <v>67.0</v>
      </c>
      <c r="F542" s="48">
        <v>8.389</v>
      </c>
      <c r="G542" s="49">
        <f t="shared" si="1"/>
        <v>0.08389</v>
      </c>
      <c r="H542" s="11">
        <v>5.0</v>
      </c>
      <c r="I542" s="11">
        <v>4.0</v>
      </c>
      <c r="J542" s="50">
        <v>70715.0</v>
      </c>
      <c r="K542" s="11">
        <v>3.0</v>
      </c>
      <c r="L542" s="11">
        <v>7.0</v>
      </c>
      <c r="M542" s="51">
        <v>276.0</v>
      </c>
      <c r="N542" s="17">
        <v>50.0</v>
      </c>
      <c r="O542" s="24" t="s">
        <v>600</v>
      </c>
      <c r="P542" s="52">
        <v>20721.0</v>
      </c>
      <c r="Q542" s="51">
        <v>111.0</v>
      </c>
      <c r="R542" s="53">
        <v>344.47</v>
      </c>
      <c r="S542" s="24" t="s">
        <v>605</v>
      </c>
      <c r="T542" s="11">
        <v>8.0</v>
      </c>
      <c r="U542" s="52">
        <v>11916.0</v>
      </c>
      <c r="V542" s="11">
        <v>5.0</v>
      </c>
      <c r="W542" s="11">
        <v>8.0</v>
      </c>
      <c r="X542" s="48">
        <v>2.493</v>
      </c>
      <c r="Y542" s="11">
        <f t="shared" si="2"/>
        <v>0.02493</v>
      </c>
    </row>
    <row r="543">
      <c r="A543" s="17">
        <v>36.0</v>
      </c>
      <c r="B543" s="24">
        <v>73.0</v>
      </c>
      <c r="C543" s="24">
        <v>1.0</v>
      </c>
      <c r="D543" s="24">
        <v>8.0</v>
      </c>
      <c r="E543" s="24">
        <v>68.0</v>
      </c>
      <c r="F543" s="48">
        <v>3.307</v>
      </c>
      <c r="G543" s="49">
        <f t="shared" si="1"/>
        <v>0.03307</v>
      </c>
      <c r="H543" s="11">
        <v>0.0</v>
      </c>
      <c r="I543" s="11">
        <v>7.0</v>
      </c>
      <c r="J543" s="50">
        <v>51822.0</v>
      </c>
      <c r="K543" s="11">
        <v>7.0</v>
      </c>
      <c r="L543" s="11">
        <v>5.0</v>
      </c>
      <c r="M543" s="51">
        <v>606.0</v>
      </c>
      <c r="N543" s="17">
        <v>82.0</v>
      </c>
      <c r="O543" s="24" t="s">
        <v>31</v>
      </c>
      <c r="P543" s="52">
        <v>51016.0</v>
      </c>
      <c r="Q543" s="51">
        <v>777.0</v>
      </c>
      <c r="R543" s="53">
        <v>591.44</v>
      </c>
      <c r="S543" s="24" t="s">
        <v>600</v>
      </c>
      <c r="T543" s="11">
        <v>9.0</v>
      </c>
      <c r="U543" s="52">
        <v>91719.0</v>
      </c>
      <c r="V543" s="11">
        <v>4.0</v>
      </c>
      <c r="W543" s="11">
        <v>7.0</v>
      </c>
      <c r="X543" s="48">
        <v>1.1966</v>
      </c>
      <c r="Y543" s="11">
        <f t="shared" si="2"/>
        <v>0.011966</v>
      </c>
    </row>
    <row r="544">
      <c r="A544" s="17">
        <v>68.0</v>
      </c>
      <c r="B544" s="24">
        <v>93.0</v>
      </c>
      <c r="C544" s="24">
        <v>6.0</v>
      </c>
      <c r="D544" s="24">
        <v>7.0</v>
      </c>
      <c r="E544" s="24">
        <v>65.0</v>
      </c>
      <c r="F544" s="48">
        <v>2.9455</v>
      </c>
      <c r="G544" s="49">
        <f t="shared" si="1"/>
        <v>0.029455</v>
      </c>
      <c r="H544" s="11">
        <v>7.0</v>
      </c>
      <c r="I544" s="11">
        <v>0.0</v>
      </c>
      <c r="J544" s="50">
        <v>91121.0</v>
      </c>
      <c r="K544" s="11">
        <v>3.0</v>
      </c>
      <c r="L544" s="11">
        <v>7.0</v>
      </c>
      <c r="M544" s="51">
        <v>835.0</v>
      </c>
      <c r="N544" s="17">
        <v>76.0</v>
      </c>
      <c r="O544" s="24" t="s">
        <v>600</v>
      </c>
      <c r="P544" s="52">
        <v>42520.0</v>
      </c>
      <c r="Q544" s="51">
        <v>435.0</v>
      </c>
      <c r="R544" s="53">
        <v>22997.87</v>
      </c>
      <c r="S544" s="24" t="s">
        <v>605</v>
      </c>
      <c r="T544" s="11">
        <v>8.0</v>
      </c>
      <c r="U544" s="52">
        <v>40817.0</v>
      </c>
      <c r="V544" s="11">
        <v>0.0</v>
      </c>
      <c r="W544" s="11">
        <v>2.0</v>
      </c>
      <c r="X544" s="48">
        <v>5.7871</v>
      </c>
      <c r="Y544" s="11">
        <f t="shared" si="2"/>
        <v>0.057871</v>
      </c>
    </row>
    <row r="545">
      <c r="A545" s="17">
        <v>72.0</v>
      </c>
      <c r="B545" s="24">
        <v>93.0</v>
      </c>
      <c r="C545" s="24">
        <v>6.0</v>
      </c>
      <c r="D545" s="24">
        <v>8.0</v>
      </c>
      <c r="E545" s="24">
        <v>66.0</v>
      </c>
      <c r="F545" s="48">
        <v>3.1445</v>
      </c>
      <c r="G545" s="49">
        <f t="shared" si="1"/>
        <v>0.031445</v>
      </c>
      <c r="H545" s="11">
        <v>3.0</v>
      </c>
      <c r="I545" s="11">
        <v>7.0</v>
      </c>
      <c r="J545" s="50">
        <v>82217.0</v>
      </c>
      <c r="K545" s="11">
        <v>5.0</v>
      </c>
      <c r="L545" s="11">
        <v>4.0</v>
      </c>
      <c r="M545" s="51">
        <v>39.0</v>
      </c>
      <c r="N545" s="17">
        <v>60.0</v>
      </c>
      <c r="O545" s="24" t="s">
        <v>603</v>
      </c>
      <c r="P545" s="52">
        <v>30214.0</v>
      </c>
      <c r="Q545" s="51">
        <v>16.0</v>
      </c>
      <c r="R545" s="53">
        <v>-116.12</v>
      </c>
      <c r="S545" s="24" t="s">
        <v>604</v>
      </c>
      <c r="T545" s="11">
        <v>5.0</v>
      </c>
      <c r="U545" s="52">
        <v>81514.0</v>
      </c>
      <c r="V545" s="11">
        <v>2.0</v>
      </c>
      <c r="W545" s="11">
        <v>5.0</v>
      </c>
      <c r="X545" s="48">
        <v>1.5914</v>
      </c>
      <c r="Y545" s="11">
        <f t="shared" si="2"/>
        <v>0.015914</v>
      </c>
    </row>
    <row r="546">
      <c r="A546" s="17">
        <v>86.0</v>
      </c>
      <c r="B546" s="24">
        <v>32.0</v>
      </c>
      <c r="C546" s="24">
        <v>2.0</v>
      </c>
      <c r="D546" s="24">
        <v>6.0</v>
      </c>
      <c r="E546" s="24">
        <v>63.0</v>
      </c>
      <c r="F546" s="48">
        <v>7.2171</v>
      </c>
      <c r="G546" s="49">
        <f t="shared" si="1"/>
        <v>0.072171</v>
      </c>
      <c r="H546" s="11">
        <v>1.0</v>
      </c>
      <c r="I546" s="11">
        <v>1.0</v>
      </c>
      <c r="J546" s="50">
        <v>10222.0</v>
      </c>
      <c r="K546" s="11">
        <v>9.0</v>
      </c>
      <c r="L546" s="11">
        <v>5.0</v>
      </c>
      <c r="M546" s="51">
        <v>720.0</v>
      </c>
      <c r="N546" s="17">
        <v>84.0</v>
      </c>
      <c r="O546" s="24" t="s">
        <v>601</v>
      </c>
      <c r="P546" s="52">
        <v>92718.0</v>
      </c>
      <c r="Q546" s="51">
        <v>702.0</v>
      </c>
      <c r="R546" s="53">
        <v>-24840.73</v>
      </c>
      <c r="S546" s="24" t="s">
        <v>600</v>
      </c>
      <c r="T546" s="11">
        <v>2.0</v>
      </c>
      <c r="U546" s="52">
        <v>10915.0</v>
      </c>
      <c r="V546" s="11">
        <v>6.0</v>
      </c>
      <c r="W546" s="11">
        <v>5.0</v>
      </c>
      <c r="X546" s="48">
        <v>4.5464</v>
      </c>
      <c r="Y546" s="11">
        <f t="shared" si="2"/>
        <v>0.045464</v>
      </c>
    </row>
    <row r="547">
      <c r="A547" s="17">
        <v>52.0</v>
      </c>
      <c r="B547" s="24">
        <v>32.0</v>
      </c>
      <c r="C547" s="24">
        <v>3.0</v>
      </c>
      <c r="D547" s="24">
        <v>2.0</v>
      </c>
      <c r="E547" s="24">
        <v>63.0</v>
      </c>
      <c r="F547" s="48">
        <v>3.9998</v>
      </c>
      <c r="G547" s="49">
        <f t="shared" si="1"/>
        <v>0.039998</v>
      </c>
      <c r="H547" s="11">
        <v>1.0</v>
      </c>
      <c r="I547" s="11">
        <v>2.0</v>
      </c>
      <c r="J547" s="50">
        <v>62422.0</v>
      </c>
      <c r="K547" s="11">
        <v>1.0</v>
      </c>
      <c r="L547" s="11">
        <v>3.0</v>
      </c>
      <c r="M547" s="51">
        <v>195.0</v>
      </c>
      <c r="N547" s="17">
        <v>58.0</v>
      </c>
      <c r="O547" s="24" t="s">
        <v>600</v>
      </c>
      <c r="P547" s="52">
        <v>51416.0</v>
      </c>
      <c r="Q547" s="51">
        <v>768.0</v>
      </c>
      <c r="R547" s="53">
        <v>288987.0</v>
      </c>
      <c r="S547" s="24" t="s">
        <v>605</v>
      </c>
      <c r="T547" s="11">
        <v>9.0</v>
      </c>
      <c r="U547" s="52">
        <v>42720.0</v>
      </c>
      <c r="V547" s="11">
        <v>4.0</v>
      </c>
      <c r="W547" s="11">
        <v>6.0</v>
      </c>
      <c r="X547" s="48">
        <v>7.8337</v>
      </c>
      <c r="Y547" s="11">
        <f t="shared" si="2"/>
        <v>0.078337</v>
      </c>
    </row>
    <row r="548">
      <c r="A548" s="17">
        <v>3.0</v>
      </c>
      <c r="B548" s="24">
        <v>11.0</v>
      </c>
      <c r="C548" s="24">
        <v>8.0</v>
      </c>
      <c r="D548" s="24">
        <v>5.0</v>
      </c>
      <c r="E548" s="24">
        <v>66.0</v>
      </c>
      <c r="F548" s="48">
        <v>2.2341</v>
      </c>
      <c r="G548" s="49">
        <f t="shared" si="1"/>
        <v>0.022341</v>
      </c>
      <c r="H548" s="11">
        <v>1.0</v>
      </c>
      <c r="I548" s="11">
        <v>1.0</v>
      </c>
      <c r="J548" s="50">
        <v>52914.0</v>
      </c>
      <c r="K548" s="11">
        <v>7.0</v>
      </c>
      <c r="L548" s="11">
        <v>3.0</v>
      </c>
      <c r="M548" s="51">
        <v>674.0</v>
      </c>
      <c r="N548" s="17">
        <v>47.0</v>
      </c>
      <c r="O548" s="24" t="s">
        <v>601</v>
      </c>
      <c r="P548" s="52">
        <v>102414.0</v>
      </c>
      <c r="Q548" s="51">
        <v>554.0</v>
      </c>
      <c r="R548" s="53">
        <v>-78330.73</v>
      </c>
      <c r="S548" s="24" t="s">
        <v>605</v>
      </c>
      <c r="T548" s="11">
        <v>4.0</v>
      </c>
      <c r="U548" s="52">
        <v>12913.0</v>
      </c>
      <c r="V548" s="11">
        <v>5.0</v>
      </c>
      <c r="W548" s="11">
        <v>2.0</v>
      </c>
      <c r="X548" s="48">
        <v>8.6857</v>
      </c>
      <c r="Y548" s="11">
        <f t="shared" si="2"/>
        <v>0.086857</v>
      </c>
    </row>
    <row r="549">
      <c r="A549" s="17">
        <v>47.0</v>
      </c>
      <c r="B549" s="24">
        <v>32.0</v>
      </c>
      <c r="C549" s="24">
        <v>3.0</v>
      </c>
      <c r="D549" s="24">
        <v>5.0</v>
      </c>
      <c r="E549" s="24">
        <v>63.0</v>
      </c>
      <c r="F549" s="48">
        <v>3.8374</v>
      </c>
      <c r="G549" s="49">
        <f t="shared" si="1"/>
        <v>0.038374</v>
      </c>
      <c r="H549" s="11">
        <v>4.0</v>
      </c>
      <c r="I549" s="11">
        <v>3.0</v>
      </c>
      <c r="J549" s="50">
        <v>121920.0</v>
      </c>
      <c r="K549" s="11">
        <v>3.0</v>
      </c>
      <c r="L549" s="11">
        <v>7.0</v>
      </c>
      <c r="M549" s="51">
        <v>268.0</v>
      </c>
      <c r="N549" s="17">
        <v>45.0</v>
      </c>
      <c r="O549" s="24" t="s">
        <v>39</v>
      </c>
      <c r="P549" s="52">
        <v>11214.0</v>
      </c>
      <c r="Q549" s="51">
        <v>13.0</v>
      </c>
      <c r="R549" s="53">
        <v>-86901.68</v>
      </c>
      <c r="S549" s="24" t="s">
        <v>604</v>
      </c>
      <c r="T549" s="11">
        <v>8.0</v>
      </c>
      <c r="U549" s="52">
        <v>122517.0</v>
      </c>
      <c r="V549" s="11">
        <v>7.0</v>
      </c>
      <c r="W549" s="11">
        <v>5.0</v>
      </c>
      <c r="X549" s="48">
        <v>2.9494</v>
      </c>
      <c r="Y549" s="11">
        <f t="shared" si="2"/>
        <v>0.029494</v>
      </c>
    </row>
    <row r="550">
      <c r="A550" s="17">
        <v>81.0</v>
      </c>
      <c r="B550" s="24">
        <v>73.0</v>
      </c>
      <c r="C550" s="24">
        <v>3.0</v>
      </c>
      <c r="D550" s="24">
        <v>3.0</v>
      </c>
      <c r="E550" s="24">
        <v>62.0</v>
      </c>
      <c r="F550" s="48">
        <v>4.554</v>
      </c>
      <c r="G550" s="49">
        <f t="shared" si="1"/>
        <v>0.04554</v>
      </c>
      <c r="H550" s="11">
        <v>2.0</v>
      </c>
      <c r="I550" s="11">
        <v>8.0</v>
      </c>
      <c r="J550" s="50">
        <v>52215.0</v>
      </c>
      <c r="K550" s="11">
        <v>2.0</v>
      </c>
      <c r="L550" s="11">
        <v>9.0</v>
      </c>
      <c r="M550" s="51">
        <v>567.0</v>
      </c>
      <c r="N550" s="17">
        <v>64.0</v>
      </c>
      <c r="O550" s="24" t="s">
        <v>606</v>
      </c>
      <c r="P550" s="52">
        <v>41821.0</v>
      </c>
      <c r="Q550" s="51">
        <v>382.0</v>
      </c>
      <c r="R550" s="53">
        <v>588.69</v>
      </c>
      <c r="S550" s="24" t="s">
        <v>602</v>
      </c>
      <c r="T550" s="11">
        <v>2.0</v>
      </c>
      <c r="U550" s="52">
        <v>22214.0</v>
      </c>
      <c r="V550" s="11">
        <v>8.0</v>
      </c>
      <c r="W550" s="11">
        <v>9.0</v>
      </c>
      <c r="X550" s="48">
        <v>9.7817</v>
      </c>
      <c r="Y550" s="11">
        <f t="shared" si="2"/>
        <v>0.097817</v>
      </c>
    </row>
    <row r="551">
      <c r="A551" s="17">
        <v>11.0</v>
      </c>
      <c r="B551" s="24">
        <v>11.0</v>
      </c>
      <c r="C551" s="24">
        <v>8.0</v>
      </c>
      <c r="D551" s="24">
        <v>9.0</v>
      </c>
      <c r="E551" s="24">
        <v>62.0</v>
      </c>
      <c r="F551" s="48">
        <v>5.153</v>
      </c>
      <c r="G551" s="49">
        <f t="shared" si="1"/>
        <v>0.05153</v>
      </c>
      <c r="H551" s="11">
        <v>6.0</v>
      </c>
      <c r="I551" s="11">
        <v>8.0</v>
      </c>
      <c r="J551" s="50">
        <v>91017.0</v>
      </c>
      <c r="K551" s="11">
        <v>7.0</v>
      </c>
      <c r="L551" s="11">
        <v>4.0</v>
      </c>
      <c r="M551" s="51">
        <v>549.0</v>
      </c>
      <c r="N551" s="17">
        <v>78.0</v>
      </c>
      <c r="O551" s="24" t="s">
        <v>603</v>
      </c>
      <c r="P551" s="52">
        <v>51420.0</v>
      </c>
      <c r="Q551" s="51">
        <v>241.0</v>
      </c>
      <c r="R551" s="53">
        <v>1592.61</v>
      </c>
      <c r="S551" s="24" t="s">
        <v>604</v>
      </c>
      <c r="T551" s="11">
        <v>9.0</v>
      </c>
      <c r="U551" s="52">
        <v>42214.0</v>
      </c>
      <c r="V551" s="11">
        <v>9.0</v>
      </c>
      <c r="W551" s="11">
        <v>3.0</v>
      </c>
      <c r="X551" s="48">
        <v>8.5382</v>
      </c>
      <c r="Y551" s="11">
        <f t="shared" si="2"/>
        <v>0.085382</v>
      </c>
    </row>
    <row r="552">
      <c r="A552" s="17">
        <v>83.0</v>
      </c>
      <c r="B552" s="24">
        <v>52.0</v>
      </c>
      <c r="C552" s="24">
        <v>8.0</v>
      </c>
      <c r="D552" s="24">
        <v>9.0</v>
      </c>
      <c r="E552" s="24">
        <v>62.0</v>
      </c>
      <c r="F552" s="48">
        <v>2.4582</v>
      </c>
      <c r="G552" s="49">
        <f t="shared" si="1"/>
        <v>0.024582</v>
      </c>
      <c r="H552" s="11">
        <v>3.0</v>
      </c>
      <c r="I552" s="11">
        <v>7.0</v>
      </c>
      <c r="J552" s="50">
        <v>20320.0</v>
      </c>
      <c r="K552" s="11">
        <v>5.0</v>
      </c>
      <c r="L552" s="11">
        <v>9.0</v>
      </c>
      <c r="M552" s="51">
        <v>689.0</v>
      </c>
      <c r="N552" s="17">
        <v>91.0</v>
      </c>
      <c r="O552" s="24" t="s">
        <v>601</v>
      </c>
      <c r="P552" s="52">
        <v>91418.0</v>
      </c>
      <c r="Q552" s="51">
        <v>113.0</v>
      </c>
      <c r="R552" s="53">
        <v>-403215.85</v>
      </c>
      <c r="S552" s="24" t="s">
        <v>604</v>
      </c>
      <c r="T552" s="11">
        <v>5.0</v>
      </c>
      <c r="U552" s="52">
        <v>122122.0</v>
      </c>
      <c r="V552" s="11">
        <v>7.0</v>
      </c>
      <c r="W552" s="11">
        <v>0.0</v>
      </c>
      <c r="X552" s="48">
        <v>8.985</v>
      </c>
      <c r="Y552" s="11">
        <f t="shared" si="2"/>
        <v>0.08985</v>
      </c>
    </row>
    <row r="553">
      <c r="A553" s="17">
        <v>40.0</v>
      </c>
      <c r="B553" s="24">
        <v>11.0</v>
      </c>
      <c r="C553" s="24">
        <v>9.0</v>
      </c>
      <c r="D553" s="24">
        <v>4.0</v>
      </c>
      <c r="E553" s="24">
        <v>61.0</v>
      </c>
      <c r="F553" s="48">
        <v>6.2769</v>
      </c>
      <c r="G553" s="49">
        <f t="shared" si="1"/>
        <v>0.062769</v>
      </c>
      <c r="H553" s="11">
        <v>9.0</v>
      </c>
      <c r="I553" s="11">
        <v>9.0</v>
      </c>
      <c r="J553" s="50">
        <v>41620.0</v>
      </c>
      <c r="K553" s="11">
        <v>3.0</v>
      </c>
      <c r="L553" s="11">
        <v>3.0</v>
      </c>
      <c r="M553" s="51">
        <v>535.0</v>
      </c>
      <c r="N553" s="17">
        <v>37.0</v>
      </c>
      <c r="O553" s="24" t="s">
        <v>606</v>
      </c>
      <c r="P553" s="52">
        <v>41816.0</v>
      </c>
      <c r="Q553" s="51">
        <v>413.0</v>
      </c>
      <c r="R553" s="53">
        <v>6652.65</v>
      </c>
      <c r="S553" s="24" t="s">
        <v>605</v>
      </c>
      <c r="T553" s="11">
        <v>5.0</v>
      </c>
      <c r="U553" s="52">
        <v>62519.0</v>
      </c>
      <c r="V553" s="11">
        <v>0.0</v>
      </c>
      <c r="W553" s="11">
        <v>0.0</v>
      </c>
      <c r="X553" s="48">
        <v>6.6756</v>
      </c>
      <c r="Y553" s="11">
        <f t="shared" si="2"/>
        <v>0.066756</v>
      </c>
    </row>
    <row r="554">
      <c r="A554" s="17">
        <v>21.0</v>
      </c>
      <c r="B554" s="24">
        <v>32.0</v>
      </c>
      <c r="C554" s="24">
        <v>4.0</v>
      </c>
      <c r="D554" s="24">
        <v>3.0</v>
      </c>
      <c r="E554" s="24">
        <v>61.0</v>
      </c>
      <c r="F554" s="48">
        <v>4.6135</v>
      </c>
      <c r="G554" s="49">
        <f t="shared" si="1"/>
        <v>0.046135</v>
      </c>
      <c r="H554" s="11">
        <v>2.0</v>
      </c>
      <c r="I554" s="11">
        <v>1.0</v>
      </c>
      <c r="J554" s="50">
        <v>10513.0</v>
      </c>
      <c r="K554" s="11">
        <v>0.0</v>
      </c>
      <c r="L554" s="11">
        <v>1.0</v>
      </c>
      <c r="M554" s="51">
        <v>963.0</v>
      </c>
      <c r="N554" s="17">
        <v>23.0</v>
      </c>
      <c r="O554" s="24" t="s">
        <v>603</v>
      </c>
      <c r="P554" s="52">
        <v>72021.0</v>
      </c>
      <c r="Q554" s="51">
        <v>886.0</v>
      </c>
      <c r="R554" s="53">
        <v>310187.4</v>
      </c>
      <c r="S554" s="24" t="s">
        <v>605</v>
      </c>
      <c r="T554" s="11">
        <v>6.0</v>
      </c>
      <c r="U554" s="52">
        <v>91813.0</v>
      </c>
      <c r="V554" s="11">
        <v>9.0</v>
      </c>
      <c r="W554" s="11">
        <v>9.0</v>
      </c>
      <c r="X554" s="48">
        <v>2.5993</v>
      </c>
      <c r="Y554" s="11">
        <f t="shared" si="2"/>
        <v>0.025993</v>
      </c>
    </row>
    <row r="555">
      <c r="A555" s="17">
        <v>59.0</v>
      </c>
      <c r="B555" s="24">
        <v>93.0</v>
      </c>
      <c r="C555" s="24">
        <v>8.0</v>
      </c>
      <c r="D555" s="24">
        <v>8.0</v>
      </c>
      <c r="E555" s="24">
        <v>64.0</v>
      </c>
      <c r="F555" s="48">
        <v>6.3056</v>
      </c>
      <c r="G555" s="49">
        <f t="shared" si="1"/>
        <v>0.063056</v>
      </c>
      <c r="H555" s="11">
        <v>4.0</v>
      </c>
      <c r="I555" s="11">
        <v>1.0</v>
      </c>
      <c r="J555" s="50">
        <v>30220.0</v>
      </c>
      <c r="K555" s="11">
        <v>8.0</v>
      </c>
      <c r="L555" s="11">
        <v>9.0</v>
      </c>
      <c r="M555" s="51">
        <v>345.0</v>
      </c>
      <c r="N555" s="17">
        <v>50.0</v>
      </c>
      <c r="O555" s="24" t="s">
        <v>606</v>
      </c>
      <c r="P555" s="52">
        <v>92019.0</v>
      </c>
      <c r="Q555" s="51">
        <v>255.0</v>
      </c>
      <c r="R555" s="53">
        <v>199031.91</v>
      </c>
      <c r="S555" s="24" t="s">
        <v>602</v>
      </c>
      <c r="T555" s="11">
        <v>2.0</v>
      </c>
      <c r="U555" s="52">
        <v>61313.0</v>
      </c>
      <c r="V555" s="11">
        <v>4.0</v>
      </c>
      <c r="W555" s="11">
        <v>9.0</v>
      </c>
      <c r="X555" s="48">
        <v>6.7892</v>
      </c>
      <c r="Y555" s="11">
        <f t="shared" si="2"/>
        <v>0.067892</v>
      </c>
    </row>
    <row r="556">
      <c r="A556" s="17">
        <v>59.0</v>
      </c>
      <c r="B556" s="24">
        <v>32.0</v>
      </c>
      <c r="C556" s="24">
        <v>4.0</v>
      </c>
      <c r="D556" s="24">
        <v>6.0</v>
      </c>
      <c r="E556" s="24">
        <v>65.0</v>
      </c>
      <c r="F556" s="48">
        <v>9.3041</v>
      </c>
      <c r="G556" s="49">
        <f t="shared" si="1"/>
        <v>0.093041</v>
      </c>
      <c r="H556" s="11">
        <v>3.0</v>
      </c>
      <c r="I556" s="11">
        <v>2.0</v>
      </c>
      <c r="J556" s="50">
        <v>112319.0</v>
      </c>
      <c r="K556" s="11">
        <v>1.0</v>
      </c>
      <c r="L556" s="11">
        <v>4.0</v>
      </c>
      <c r="M556" s="51">
        <v>900.0</v>
      </c>
      <c r="N556" s="17">
        <v>60.0</v>
      </c>
      <c r="O556" s="24" t="s">
        <v>600</v>
      </c>
      <c r="P556" s="52">
        <v>102120.0</v>
      </c>
      <c r="Q556" s="51">
        <v>296.0</v>
      </c>
      <c r="R556" s="53">
        <v>-9893.83</v>
      </c>
      <c r="S556" s="24" t="s">
        <v>605</v>
      </c>
      <c r="T556" s="11">
        <v>5.0</v>
      </c>
      <c r="U556" s="52">
        <v>92622.0</v>
      </c>
      <c r="V556" s="11">
        <v>6.0</v>
      </c>
      <c r="W556" s="11">
        <v>8.0</v>
      </c>
      <c r="X556" s="48">
        <v>6.1176</v>
      </c>
      <c r="Y556" s="11">
        <f t="shared" si="2"/>
        <v>0.061176</v>
      </c>
    </row>
    <row r="557">
      <c r="A557" s="17">
        <v>26.0</v>
      </c>
      <c r="B557" s="24">
        <v>32.0</v>
      </c>
      <c r="C557" s="24">
        <v>4.0</v>
      </c>
      <c r="D557" s="24">
        <v>7.0</v>
      </c>
      <c r="E557" s="24">
        <v>63.0</v>
      </c>
      <c r="F557" s="48">
        <v>6.6201</v>
      </c>
      <c r="G557" s="49">
        <f t="shared" si="1"/>
        <v>0.066201</v>
      </c>
      <c r="H557" s="11">
        <v>1.0</v>
      </c>
      <c r="I557" s="11">
        <v>6.0</v>
      </c>
      <c r="J557" s="50">
        <v>53023.0</v>
      </c>
      <c r="K557" s="11">
        <v>1.0</v>
      </c>
      <c r="L557" s="11">
        <v>0.0</v>
      </c>
      <c r="M557" s="51">
        <v>136.0</v>
      </c>
      <c r="N557" s="17">
        <v>66.0</v>
      </c>
      <c r="O557" s="24" t="s">
        <v>600</v>
      </c>
      <c r="P557" s="52">
        <v>41214.0</v>
      </c>
      <c r="Q557" s="51">
        <v>582.0</v>
      </c>
      <c r="R557" s="53">
        <v>-5998.3</v>
      </c>
      <c r="S557" s="24" t="s">
        <v>604</v>
      </c>
      <c r="T557" s="11">
        <v>4.0</v>
      </c>
      <c r="U557" s="52">
        <v>82222.0</v>
      </c>
      <c r="V557" s="11">
        <v>0.0</v>
      </c>
      <c r="W557" s="11">
        <v>6.0</v>
      </c>
      <c r="X557" s="48">
        <v>3.6683</v>
      </c>
      <c r="Y557" s="11">
        <f t="shared" si="2"/>
        <v>0.036683</v>
      </c>
    </row>
    <row r="558">
      <c r="A558" s="17">
        <v>6.0</v>
      </c>
      <c r="B558" s="24">
        <v>73.0</v>
      </c>
      <c r="C558" s="24">
        <v>4.0</v>
      </c>
      <c r="D558" s="24">
        <v>5.0</v>
      </c>
      <c r="E558" s="24">
        <v>68.0</v>
      </c>
      <c r="F558" s="48">
        <v>5.8138</v>
      </c>
      <c r="G558" s="49">
        <f t="shared" si="1"/>
        <v>0.058138</v>
      </c>
      <c r="H558" s="11">
        <v>0.0</v>
      </c>
      <c r="I558" s="11">
        <v>7.0</v>
      </c>
      <c r="J558" s="50">
        <v>50920.0</v>
      </c>
      <c r="K558" s="11">
        <v>8.0</v>
      </c>
      <c r="L558" s="11">
        <v>6.0</v>
      </c>
      <c r="M558" s="51">
        <v>570.0</v>
      </c>
      <c r="N558" s="17">
        <v>11.0</v>
      </c>
      <c r="O558" s="24" t="s">
        <v>39</v>
      </c>
      <c r="P558" s="52">
        <v>30113.0</v>
      </c>
      <c r="Q558" s="51">
        <v>79.0</v>
      </c>
      <c r="R558" s="53">
        <v>-102494.2</v>
      </c>
      <c r="S558" s="24" t="s">
        <v>602</v>
      </c>
      <c r="T558" s="11">
        <v>0.0</v>
      </c>
      <c r="U558" s="52">
        <v>32916.0</v>
      </c>
      <c r="V558" s="11">
        <v>0.0</v>
      </c>
      <c r="W558" s="11">
        <v>1.0</v>
      </c>
      <c r="X558" s="48">
        <v>8.9511</v>
      </c>
      <c r="Y558" s="11">
        <f t="shared" si="2"/>
        <v>0.089511</v>
      </c>
    </row>
    <row r="559">
      <c r="A559" s="17">
        <v>67.0</v>
      </c>
      <c r="B559" s="24">
        <v>93.0</v>
      </c>
      <c r="C559" s="24">
        <v>9.0</v>
      </c>
      <c r="D559" s="24">
        <v>4.0</v>
      </c>
      <c r="E559" s="24">
        <v>62.0</v>
      </c>
      <c r="F559" s="48">
        <v>8.9117</v>
      </c>
      <c r="G559" s="49">
        <f t="shared" si="1"/>
        <v>0.089117</v>
      </c>
      <c r="H559" s="11">
        <v>0.0</v>
      </c>
      <c r="I559" s="11">
        <v>0.0</v>
      </c>
      <c r="J559" s="50">
        <v>121920.0</v>
      </c>
      <c r="K559" s="11">
        <v>5.0</v>
      </c>
      <c r="L559" s="11">
        <v>3.0</v>
      </c>
      <c r="M559" s="51">
        <v>189.0</v>
      </c>
      <c r="N559" s="17">
        <v>96.0</v>
      </c>
      <c r="O559" s="24" t="s">
        <v>31</v>
      </c>
      <c r="P559" s="52">
        <v>103116.0</v>
      </c>
      <c r="Q559" s="51">
        <v>305.0</v>
      </c>
      <c r="R559" s="53">
        <v>8473.58</v>
      </c>
      <c r="S559" s="24" t="s">
        <v>604</v>
      </c>
      <c r="T559" s="11">
        <v>3.0</v>
      </c>
      <c r="U559" s="52">
        <v>71920.0</v>
      </c>
      <c r="V559" s="11">
        <v>4.0</v>
      </c>
      <c r="W559" s="11">
        <v>1.0</v>
      </c>
      <c r="X559" s="48">
        <v>1.7732</v>
      </c>
      <c r="Y559" s="11">
        <f t="shared" si="2"/>
        <v>0.017732</v>
      </c>
    </row>
    <row r="560">
      <c r="A560" s="17">
        <v>69.0</v>
      </c>
      <c r="B560" s="24">
        <v>73.0</v>
      </c>
      <c r="C560" s="24">
        <v>4.0</v>
      </c>
      <c r="D560" s="24">
        <v>6.0</v>
      </c>
      <c r="E560" s="24">
        <v>61.0</v>
      </c>
      <c r="F560" s="48">
        <v>6.579</v>
      </c>
      <c r="G560" s="49">
        <f t="shared" si="1"/>
        <v>0.06579</v>
      </c>
      <c r="H560" s="11">
        <v>6.0</v>
      </c>
      <c r="I560" s="11">
        <v>0.0</v>
      </c>
      <c r="J560" s="50">
        <v>52720.0</v>
      </c>
      <c r="K560" s="11">
        <v>6.0</v>
      </c>
      <c r="L560" s="11">
        <v>3.0</v>
      </c>
      <c r="M560" s="51">
        <v>814.0</v>
      </c>
      <c r="N560" s="17">
        <v>9.0</v>
      </c>
      <c r="O560" s="24" t="s">
        <v>603</v>
      </c>
      <c r="P560" s="52">
        <v>40323.0</v>
      </c>
      <c r="Q560" s="51">
        <v>131.0</v>
      </c>
      <c r="R560" s="53">
        <v>-8964.37</v>
      </c>
      <c r="S560" s="24" t="s">
        <v>604</v>
      </c>
      <c r="T560" s="11">
        <v>2.0</v>
      </c>
      <c r="U560" s="52">
        <v>61813.0</v>
      </c>
      <c r="V560" s="11">
        <v>9.0</v>
      </c>
      <c r="W560" s="11">
        <v>3.0</v>
      </c>
      <c r="X560" s="48">
        <v>3.3298</v>
      </c>
      <c r="Y560" s="11">
        <f t="shared" si="2"/>
        <v>0.033298</v>
      </c>
    </row>
    <row r="561">
      <c r="A561" s="17">
        <v>14.0</v>
      </c>
      <c r="B561" s="24">
        <v>93.0</v>
      </c>
      <c r="C561" s="24">
        <v>9.0</v>
      </c>
      <c r="D561" s="24">
        <v>8.0</v>
      </c>
      <c r="E561" s="24">
        <v>65.0</v>
      </c>
      <c r="F561" s="48">
        <v>6.1994</v>
      </c>
      <c r="G561" s="49">
        <f t="shared" si="1"/>
        <v>0.061994</v>
      </c>
      <c r="H561" s="11">
        <v>4.0</v>
      </c>
      <c r="I561" s="11">
        <v>4.0</v>
      </c>
      <c r="J561" s="50">
        <v>40622.0</v>
      </c>
      <c r="K561" s="11">
        <v>7.0</v>
      </c>
      <c r="L561" s="11">
        <v>6.0</v>
      </c>
      <c r="M561" s="51">
        <v>359.0</v>
      </c>
      <c r="N561" s="17">
        <v>3.0</v>
      </c>
      <c r="O561" s="24" t="s">
        <v>48</v>
      </c>
      <c r="P561" s="52">
        <v>50417.0</v>
      </c>
      <c r="Q561" s="51">
        <v>933.0</v>
      </c>
      <c r="R561" s="53">
        <v>122190.78</v>
      </c>
      <c r="S561" s="24" t="s">
        <v>605</v>
      </c>
      <c r="T561" s="11">
        <v>6.0</v>
      </c>
      <c r="U561" s="52">
        <v>60220.0</v>
      </c>
      <c r="V561" s="11">
        <v>4.0</v>
      </c>
      <c r="W561" s="11">
        <v>1.0</v>
      </c>
      <c r="X561" s="48">
        <v>1.1704</v>
      </c>
      <c r="Y561" s="11">
        <f t="shared" si="2"/>
        <v>0.011704</v>
      </c>
    </row>
    <row r="562">
      <c r="A562" s="17">
        <v>42.0</v>
      </c>
      <c r="B562" s="24">
        <v>32.0</v>
      </c>
      <c r="C562" s="24">
        <v>5.0</v>
      </c>
      <c r="D562" s="24">
        <v>4.0</v>
      </c>
      <c r="E562" s="24">
        <v>64.0</v>
      </c>
      <c r="F562" s="48">
        <v>7.4073</v>
      </c>
      <c r="G562" s="49">
        <f t="shared" si="1"/>
        <v>0.074073</v>
      </c>
      <c r="H562" s="11">
        <v>7.0</v>
      </c>
      <c r="I562" s="11">
        <v>1.0</v>
      </c>
      <c r="J562" s="50">
        <v>70314.0</v>
      </c>
      <c r="K562" s="11">
        <v>3.0</v>
      </c>
      <c r="L562" s="11">
        <v>7.0</v>
      </c>
      <c r="M562" s="51">
        <v>527.0</v>
      </c>
      <c r="N562" s="17">
        <v>58.0</v>
      </c>
      <c r="O562" s="24" t="s">
        <v>606</v>
      </c>
      <c r="P562" s="52">
        <v>20919.0</v>
      </c>
      <c r="Q562" s="51">
        <v>399.0</v>
      </c>
      <c r="R562" s="53">
        <v>9238.8</v>
      </c>
      <c r="S562" s="24" t="s">
        <v>605</v>
      </c>
      <c r="T562" s="11">
        <v>3.0</v>
      </c>
      <c r="U562" s="52">
        <v>71521.0</v>
      </c>
      <c r="V562" s="11">
        <v>6.0</v>
      </c>
      <c r="W562" s="11">
        <v>7.0</v>
      </c>
      <c r="X562" s="48">
        <v>7.6414</v>
      </c>
      <c r="Y562" s="11">
        <f t="shared" si="2"/>
        <v>0.076414</v>
      </c>
    </row>
    <row r="563">
      <c r="A563" s="17">
        <v>17.0</v>
      </c>
      <c r="B563" s="24">
        <v>32.0</v>
      </c>
      <c r="C563" s="24">
        <v>5.0</v>
      </c>
      <c r="D563" s="24">
        <v>5.0</v>
      </c>
      <c r="E563" s="24">
        <v>63.0</v>
      </c>
      <c r="F563" s="48">
        <v>1.4587</v>
      </c>
      <c r="G563" s="49">
        <f t="shared" si="1"/>
        <v>0.014587</v>
      </c>
      <c r="H563" s="11">
        <v>4.0</v>
      </c>
      <c r="I563" s="11">
        <v>3.0</v>
      </c>
      <c r="J563" s="50">
        <v>42819.0</v>
      </c>
      <c r="K563" s="11">
        <v>8.0</v>
      </c>
      <c r="L563" s="11">
        <v>0.0</v>
      </c>
      <c r="M563" s="51">
        <v>127.0</v>
      </c>
      <c r="N563" s="17">
        <v>6.0</v>
      </c>
      <c r="O563" s="24" t="s">
        <v>48</v>
      </c>
      <c r="P563" s="52">
        <v>12418.0</v>
      </c>
      <c r="Q563" s="51">
        <v>293.0</v>
      </c>
      <c r="R563" s="53">
        <v>-564.47</v>
      </c>
      <c r="S563" s="24" t="s">
        <v>604</v>
      </c>
      <c r="T563" s="11">
        <v>6.0</v>
      </c>
      <c r="U563" s="52">
        <v>90822.0</v>
      </c>
      <c r="V563" s="11">
        <v>3.0</v>
      </c>
      <c r="W563" s="11">
        <v>0.0</v>
      </c>
      <c r="X563" s="48">
        <v>7.6961</v>
      </c>
      <c r="Y563" s="11">
        <f t="shared" si="2"/>
        <v>0.076961</v>
      </c>
    </row>
    <row r="564">
      <c r="A564" s="17">
        <v>39.0</v>
      </c>
      <c r="B564" s="24">
        <v>73.0</v>
      </c>
      <c r="C564" s="24">
        <v>5.0</v>
      </c>
      <c r="D564" s="24">
        <v>4.0</v>
      </c>
      <c r="E564" s="24">
        <v>60.0</v>
      </c>
      <c r="F564" s="48">
        <v>2.4498</v>
      </c>
      <c r="G564" s="49">
        <f t="shared" si="1"/>
        <v>0.024498</v>
      </c>
      <c r="H564" s="11">
        <v>5.0</v>
      </c>
      <c r="I564" s="11">
        <v>2.0</v>
      </c>
      <c r="J564" s="50">
        <v>90214.0</v>
      </c>
      <c r="K564" s="11">
        <v>0.0</v>
      </c>
      <c r="L564" s="11">
        <v>5.0</v>
      </c>
      <c r="M564" s="51">
        <v>282.0</v>
      </c>
      <c r="N564" s="17">
        <v>74.0</v>
      </c>
      <c r="O564" s="24" t="s">
        <v>39</v>
      </c>
      <c r="P564" s="52">
        <v>102119.0</v>
      </c>
      <c r="Q564" s="51">
        <v>872.0</v>
      </c>
      <c r="R564" s="53">
        <v>619.26</v>
      </c>
      <c r="S564" s="24" t="s">
        <v>602</v>
      </c>
      <c r="T564" s="11">
        <v>8.0</v>
      </c>
      <c r="U564" s="52">
        <v>21118.0</v>
      </c>
      <c r="V564" s="11">
        <v>1.0</v>
      </c>
      <c r="W564" s="11">
        <v>5.0</v>
      </c>
      <c r="X564" s="48">
        <v>6.543</v>
      </c>
      <c r="Y564" s="11">
        <f t="shared" si="2"/>
        <v>0.06543</v>
      </c>
    </row>
    <row r="565">
      <c r="A565" s="17">
        <v>59.0</v>
      </c>
      <c r="B565" s="24">
        <v>73.0</v>
      </c>
      <c r="C565" s="24">
        <v>5.0</v>
      </c>
      <c r="D565" s="24">
        <v>6.0</v>
      </c>
      <c r="E565" s="24">
        <v>66.0</v>
      </c>
      <c r="F565" s="48">
        <v>4.8037</v>
      </c>
      <c r="G565" s="49">
        <f t="shared" si="1"/>
        <v>0.048037</v>
      </c>
      <c r="H565" s="11">
        <v>4.0</v>
      </c>
      <c r="I565" s="11">
        <v>8.0</v>
      </c>
      <c r="J565" s="50">
        <v>91713.0</v>
      </c>
      <c r="K565" s="11">
        <v>8.0</v>
      </c>
      <c r="L565" s="11">
        <v>2.0</v>
      </c>
      <c r="M565" s="51">
        <v>237.0</v>
      </c>
      <c r="N565" s="17">
        <v>41.0</v>
      </c>
      <c r="O565" s="24" t="s">
        <v>39</v>
      </c>
      <c r="P565" s="52">
        <v>60815.0</v>
      </c>
      <c r="Q565" s="51">
        <v>516.0</v>
      </c>
      <c r="R565" s="53">
        <v>19638.55</v>
      </c>
      <c r="S565" s="24" t="s">
        <v>600</v>
      </c>
      <c r="T565" s="11">
        <v>1.0</v>
      </c>
      <c r="U565" s="52">
        <v>20923.0</v>
      </c>
      <c r="V565" s="11">
        <v>5.0</v>
      </c>
      <c r="W565" s="11">
        <v>3.0</v>
      </c>
      <c r="X565" s="48">
        <v>9.685</v>
      </c>
      <c r="Y565" s="11">
        <f t="shared" si="2"/>
        <v>0.09685</v>
      </c>
    </row>
    <row r="566">
      <c r="A566" s="17">
        <v>67.0</v>
      </c>
      <c r="B566" s="24">
        <v>12.0</v>
      </c>
      <c r="C566" s="24">
        <v>1.0</v>
      </c>
      <c r="D566" s="24">
        <v>3.0</v>
      </c>
      <c r="E566" s="24">
        <v>61.0</v>
      </c>
      <c r="F566" s="48">
        <v>5.7921</v>
      </c>
      <c r="G566" s="49">
        <f t="shared" si="1"/>
        <v>0.057921</v>
      </c>
      <c r="H566" s="11">
        <v>0.0</v>
      </c>
      <c r="I566" s="11">
        <v>7.0</v>
      </c>
      <c r="J566" s="50">
        <v>90613.0</v>
      </c>
      <c r="K566" s="11">
        <v>9.0</v>
      </c>
      <c r="L566" s="11">
        <v>2.0</v>
      </c>
      <c r="M566" s="51">
        <v>304.0</v>
      </c>
      <c r="N566" s="17">
        <v>65.0</v>
      </c>
      <c r="O566" s="24" t="s">
        <v>606</v>
      </c>
      <c r="P566" s="52">
        <v>61820.0</v>
      </c>
      <c r="Q566" s="51">
        <v>308.0</v>
      </c>
      <c r="R566" s="53">
        <v>-681.71</v>
      </c>
      <c r="S566" s="24" t="s">
        <v>600</v>
      </c>
      <c r="T566" s="11">
        <v>2.0</v>
      </c>
      <c r="U566" s="52">
        <v>11519.0</v>
      </c>
      <c r="V566" s="11">
        <v>6.0</v>
      </c>
      <c r="W566" s="11">
        <v>8.0</v>
      </c>
      <c r="X566" s="48">
        <v>6.4331</v>
      </c>
      <c r="Y566" s="11">
        <f t="shared" si="2"/>
        <v>0.064331</v>
      </c>
    </row>
    <row r="567">
      <c r="A567" s="17">
        <v>13.0</v>
      </c>
      <c r="B567" s="24">
        <v>73.0</v>
      </c>
      <c r="C567" s="24">
        <v>5.0</v>
      </c>
      <c r="D567" s="24">
        <v>7.0</v>
      </c>
      <c r="E567" s="24">
        <v>66.0</v>
      </c>
      <c r="F567" s="48">
        <v>1.2364</v>
      </c>
      <c r="G567" s="49">
        <f t="shared" si="1"/>
        <v>0.012364</v>
      </c>
      <c r="H567" s="11">
        <v>5.0</v>
      </c>
      <c r="I567" s="11">
        <v>8.0</v>
      </c>
      <c r="J567" s="50">
        <v>91217.0</v>
      </c>
      <c r="K567" s="11">
        <v>3.0</v>
      </c>
      <c r="L567" s="11">
        <v>1.0</v>
      </c>
      <c r="M567" s="51">
        <v>88.0</v>
      </c>
      <c r="N567" s="17">
        <v>5.0</v>
      </c>
      <c r="O567" s="24" t="s">
        <v>606</v>
      </c>
      <c r="P567" s="52">
        <v>31316.0</v>
      </c>
      <c r="Q567" s="51">
        <v>296.0</v>
      </c>
      <c r="R567" s="53">
        <v>-879.25</v>
      </c>
      <c r="S567" s="24" t="s">
        <v>605</v>
      </c>
      <c r="T567" s="11">
        <v>3.0</v>
      </c>
      <c r="U567" s="52">
        <v>121820.0</v>
      </c>
      <c r="V567" s="11">
        <v>0.0</v>
      </c>
      <c r="W567" s="11">
        <v>4.0</v>
      </c>
      <c r="X567" s="48">
        <v>8.8687</v>
      </c>
      <c r="Y567" s="11">
        <f t="shared" si="2"/>
        <v>0.088687</v>
      </c>
    </row>
    <row r="568">
      <c r="A568" s="17">
        <v>96.0</v>
      </c>
      <c r="B568" s="24">
        <v>32.0</v>
      </c>
      <c r="C568" s="24">
        <v>6.0</v>
      </c>
      <c r="D568" s="24">
        <v>3.0</v>
      </c>
      <c r="E568" s="24">
        <v>60.0</v>
      </c>
      <c r="F568" s="48">
        <v>3.3337</v>
      </c>
      <c r="G568" s="49">
        <f t="shared" si="1"/>
        <v>0.033337</v>
      </c>
      <c r="H568" s="11">
        <v>5.0</v>
      </c>
      <c r="I568" s="11">
        <v>2.0</v>
      </c>
      <c r="J568" s="50">
        <v>20623.0</v>
      </c>
      <c r="K568" s="11">
        <v>2.0</v>
      </c>
      <c r="L568" s="11">
        <v>2.0</v>
      </c>
      <c r="M568" s="51">
        <v>758.0</v>
      </c>
      <c r="N568" s="17">
        <v>80.0</v>
      </c>
      <c r="O568" s="24" t="s">
        <v>31</v>
      </c>
      <c r="P568" s="52">
        <v>30718.0</v>
      </c>
      <c r="Q568" s="51">
        <v>900.0</v>
      </c>
      <c r="R568" s="53">
        <v>-8337.28</v>
      </c>
      <c r="S568" s="24" t="s">
        <v>602</v>
      </c>
      <c r="T568" s="11">
        <v>2.0</v>
      </c>
      <c r="U568" s="52">
        <v>81717.0</v>
      </c>
      <c r="V568" s="11">
        <v>9.0</v>
      </c>
      <c r="W568" s="11">
        <v>8.0</v>
      </c>
      <c r="X568" s="48">
        <v>9.6496</v>
      </c>
      <c r="Y568" s="11">
        <f t="shared" si="2"/>
        <v>0.096496</v>
      </c>
    </row>
    <row r="569">
      <c r="A569" s="17">
        <v>53.0</v>
      </c>
      <c r="B569" s="24">
        <v>12.0</v>
      </c>
      <c r="C569" s="24">
        <v>1.0</v>
      </c>
      <c r="D569" s="24">
        <v>7.0</v>
      </c>
      <c r="E569" s="24">
        <v>61.0</v>
      </c>
      <c r="F569" s="48">
        <v>6.1156</v>
      </c>
      <c r="G569" s="49">
        <f t="shared" si="1"/>
        <v>0.061156</v>
      </c>
      <c r="H569" s="11">
        <v>8.0</v>
      </c>
      <c r="I569" s="11">
        <v>6.0</v>
      </c>
      <c r="J569" s="50">
        <v>61414.0</v>
      </c>
      <c r="K569" s="11">
        <v>6.0</v>
      </c>
      <c r="L569" s="11">
        <v>2.0</v>
      </c>
      <c r="M569" s="51">
        <v>886.0</v>
      </c>
      <c r="N569" s="17">
        <v>1.0</v>
      </c>
      <c r="O569" s="24" t="s">
        <v>48</v>
      </c>
      <c r="P569" s="52">
        <v>11522.0</v>
      </c>
      <c r="Q569" s="51">
        <v>36.0</v>
      </c>
      <c r="R569" s="53">
        <v>979.4</v>
      </c>
      <c r="S569" s="24" t="s">
        <v>605</v>
      </c>
      <c r="T569" s="11">
        <v>9.0</v>
      </c>
      <c r="U569" s="52">
        <v>52419.0</v>
      </c>
      <c r="V569" s="11">
        <v>7.0</v>
      </c>
      <c r="W569" s="11">
        <v>9.0</v>
      </c>
      <c r="X569" s="48">
        <v>2.2176</v>
      </c>
      <c r="Y569" s="11">
        <f t="shared" si="2"/>
        <v>0.022176</v>
      </c>
    </row>
    <row r="570">
      <c r="A570" s="17">
        <v>5.0</v>
      </c>
      <c r="B570" s="24">
        <v>32.0</v>
      </c>
      <c r="C570" s="24">
        <v>6.0</v>
      </c>
      <c r="D570" s="24">
        <v>6.0</v>
      </c>
      <c r="E570" s="24">
        <v>68.0</v>
      </c>
      <c r="F570" s="48">
        <v>9.1889</v>
      </c>
      <c r="G570" s="49">
        <f t="shared" si="1"/>
        <v>0.091889</v>
      </c>
      <c r="H570" s="11">
        <v>6.0</v>
      </c>
      <c r="I570" s="11">
        <v>5.0</v>
      </c>
      <c r="J570" s="50">
        <v>121113.0</v>
      </c>
      <c r="K570" s="11">
        <v>6.0</v>
      </c>
      <c r="L570" s="11">
        <v>8.0</v>
      </c>
      <c r="M570" s="51">
        <v>574.0</v>
      </c>
      <c r="N570" s="17">
        <v>41.0</v>
      </c>
      <c r="O570" s="24" t="s">
        <v>603</v>
      </c>
      <c r="P570" s="52">
        <v>52023.0</v>
      </c>
      <c r="Q570" s="51">
        <v>853.0</v>
      </c>
      <c r="R570" s="53">
        <v>401021.63</v>
      </c>
      <c r="S570" s="24" t="s">
        <v>602</v>
      </c>
      <c r="T570" s="11">
        <v>3.0</v>
      </c>
      <c r="U570" s="52">
        <v>12315.0</v>
      </c>
      <c r="V570" s="11">
        <v>6.0</v>
      </c>
      <c r="W570" s="11">
        <v>3.0</v>
      </c>
      <c r="X570" s="48">
        <v>8.374</v>
      </c>
      <c r="Y570" s="11">
        <f t="shared" si="2"/>
        <v>0.08374</v>
      </c>
    </row>
    <row r="571">
      <c r="A571" s="17">
        <v>83.0</v>
      </c>
      <c r="B571" s="24">
        <v>12.0</v>
      </c>
      <c r="C571" s="24">
        <v>1.0</v>
      </c>
      <c r="D571" s="24">
        <v>9.0</v>
      </c>
      <c r="E571" s="24">
        <v>66.0</v>
      </c>
      <c r="F571" s="48">
        <v>1.8981</v>
      </c>
      <c r="G571" s="49">
        <f t="shared" si="1"/>
        <v>0.018981</v>
      </c>
      <c r="H571" s="11">
        <v>9.0</v>
      </c>
      <c r="I571" s="11">
        <v>4.0</v>
      </c>
      <c r="J571" s="50">
        <v>92622.0</v>
      </c>
      <c r="K571" s="11">
        <v>8.0</v>
      </c>
      <c r="L571" s="11">
        <v>9.0</v>
      </c>
      <c r="M571" s="51">
        <v>775.0</v>
      </c>
      <c r="N571" s="17">
        <v>91.0</v>
      </c>
      <c r="O571" s="24" t="s">
        <v>39</v>
      </c>
      <c r="P571" s="52">
        <v>101517.0</v>
      </c>
      <c r="Q571" s="51">
        <v>45.0</v>
      </c>
      <c r="R571" s="53">
        <v>-141.3</v>
      </c>
      <c r="S571" s="24" t="s">
        <v>605</v>
      </c>
      <c r="T571" s="11">
        <v>9.0</v>
      </c>
      <c r="U571" s="52">
        <v>51322.0</v>
      </c>
      <c r="V571" s="11">
        <v>6.0</v>
      </c>
      <c r="W571" s="11">
        <v>8.0</v>
      </c>
      <c r="X571" s="48">
        <v>1.5884</v>
      </c>
      <c r="Y571" s="11">
        <f t="shared" si="2"/>
        <v>0.015884</v>
      </c>
    </row>
    <row r="572">
      <c r="A572" s="17">
        <v>33.0</v>
      </c>
      <c r="B572" s="24">
        <v>94.0</v>
      </c>
      <c r="C572" s="24">
        <v>1.0</v>
      </c>
      <c r="D572" s="24">
        <v>2.0</v>
      </c>
      <c r="E572" s="24">
        <v>62.0</v>
      </c>
      <c r="F572" s="48">
        <v>6.7787</v>
      </c>
      <c r="G572" s="49">
        <f t="shared" si="1"/>
        <v>0.067787</v>
      </c>
      <c r="H572" s="11">
        <v>8.0</v>
      </c>
      <c r="I572" s="11">
        <v>4.0</v>
      </c>
      <c r="J572" s="50">
        <v>82017.0</v>
      </c>
      <c r="K572" s="11">
        <v>8.0</v>
      </c>
      <c r="L572" s="11">
        <v>8.0</v>
      </c>
      <c r="M572" s="51">
        <v>214.0</v>
      </c>
      <c r="N572" s="17">
        <v>3.0</v>
      </c>
      <c r="O572" s="24" t="s">
        <v>606</v>
      </c>
      <c r="P572" s="52">
        <v>11216.0</v>
      </c>
      <c r="Q572" s="51">
        <v>606.0</v>
      </c>
      <c r="R572" s="53">
        <v>77483.75</v>
      </c>
      <c r="S572" s="24" t="s">
        <v>604</v>
      </c>
      <c r="T572" s="11">
        <v>2.0</v>
      </c>
      <c r="U572" s="52">
        <v>71921.0</v>
      </c>
      <c r="V572" s="11">
        <v>2.0</v>
      </c>
      <c r="W572" s="11">
        <v>0.0</v>
      </c>
      <c r="X572" s="48">
        <v>3.3767</v>
      </c>
      <c r="Y572" s="11">
        <f t="shared" si="2"/>
        <v>0.033767</v>
      </c>
    </row>
    <row r="573">
      <c r="A573" s="17">
        <v>49.0</v>
      </c>
      <c r="B573" s="24">
        <v>32.0</v>
      </c>
      <c r="C573" s="24">
        <v>6.0</v>
      </c>
      <c r="D573" s="24">
        <v>9.0</v>
      </c>
      <c r="E573" s="24">
        <v>61.0</v>
      </c>
      <c r="F573" s="48">
        <v>4.3883</v>
      </c>
      <c r="G573" s="49">
        <f t="shared" si="1"/>
        <v>0.043883</v>
      </c>
      <c r="H573" s="11">
        <v>3.0</v>
      </c>
      <c r="I573" s="11">
        <v>3.0</v>
      </c>
      <c r="J573" s="50">
        <v>92415.0</v>
      </c>
      <c r="K573" s="11">
        <v>2.0</v>
      </c>
      <c r="L573" s="11">
        <v>2.0</v>
      </c>
      <c r="M573" s="51">
        <v>207.0</v>
      </c>
      <c r="N573" s="17">
        <v>1.0</v>
      </c>
      <c r="O573" s="24" t="s">
        <v>48</v>
      </c>
      <c r="P573" s="52">
        <v>110421.0</v>
      </c>
      <c r="Q573" s="51">
        <v>706.0</v>
      </c>
      <c r="R573" s="53">
        <v>688.5</v>
      </c>
      <c r="S573" s="24" t="s">
        <v>605</v>
      </c>
      <c r="T573" s="11">
        <v>7.0</v>
      </c>
      <c r="U573" s="52">
        <v>41223.0</v>
      </c>
      <c r="V573" s="11">
        <v>9.0</v>
      </c>
      <c r="W573" s="11">
        <v>7.0</v>
      </c>
      <c r="X573" s="48">
        <v>2.4727</v>
      </c>
      <c r="Y573" s="11">
        <f t="shared" si="2"/>
        <v>0.024727</v>
      </c>
    </row>
    <row r="574">
      <c r="A574" s="17">
        <v>3.0</v>
      </c>
      <c r="B574" s="24">
        <v>73.0</v>
      </c>
      <c r="C574" s="24">
        <v>6.0</v>
      </c>
      <c r="D574" s="24">
        <v>6.0</v>
      </c>
      <c r="E574" s="24">
        <v>62.0</v>
      </c>
      <c r="F574" s="48">
        <v>9.2839</v>
      </c>
      <c r="G574" s="49">
        <f t="shared" si="1"/>
        <v>0.092839</v>
      </c>
      <c r="H574" s="11">
        <v>3.0</v>
      </c>
      <c r="I574" s="11">
        <v>0.0</v>
      </c>
      <c r="J574" s="50">
        <v>100920.0</v>
      </c>
      <c r="K574" s="11">
        <v>4.0</v>
      </c>
      <c r="L574" s="11">
        <v>1.0</v>
      </c>
      <c r="M574" s="51">
        <v>854.0</v>
      </c>
      <c r="N574" s="17">
        <v>82.0</v>
      </c>
      <c r="O574" s="24" t="s">
        <v>31</v>
      </c>
      <c r="P574" s="52">
        <v>62122.0</v>
      </c>
      <c r="Q574" s="51">
        <v>898.0</v>
      </c>
      <c r="R574" s="53">
        <v>89152.9</v>
      </c>
      <c r="S574" s="24" t="s">
        <v>600</v>
      </c>
      <c r="T574" s="11">
        <v>2.0</v>
      </c>
      <c r="U574" s="52">
        <v>123116.0</v>
      </c>
      <c r="V574" s="11">
        <v>9.0</v>
      </c>
      <c r="W574" s="11">
        <v>2.0</v>
      </c>
      <c r="X574" s="48">
        <v>1.8662</v>
      </c>
      <c r="Y574" s="11">
        <f t="shared" si="2"/>
        <v>0.018662</v>
      </c>
    </row>
    <row r="575">
      <c r="A575" s="17">
        <v>19.0</v>
      </c>
      <c r="B575" s="24">
        <v>94.0</v>
      </c>
      <c r="C575" s="24">
        <v>1.0</v>
      </c>
      <c r="D575" s="24">
        <v>1.0</v>
      </c>
      <c r="E575" s="24">
        <v>63.0</v>
      </c>
      <c r="F575" s="48">
        <v>8.2793</v>
      </c>
      <c r="G575" s="49">
        <f t="shared" si="1"/>
        <v>0.082793</v>
      </c>
      <c r="H575" s="11">
        <v>3.0</v>
      </c>
      <c r="I575" s="11">
        <v>7.0</v>
      </c>
      <c r="J575" s="50">
        <v>112316.0</v>
      </c>
      <c r="K575" s="11">
        <v>0.0</v>
      </c>
      <c r="L575" s="11">
        <v>8.0</v>
      </c>
      <c r="M575" s="51">
        <v>374.0</v>
      </c>
      <c r="N575" s="17">
        <v>98.0</v>
      </c>
      <c r="O575" s="24" t="s">
        <v>39</v>
      </c>
      <c r="P575" s="52">
        <v>122519.0</v>
      </c>
      <c r="Q575" s="51">
        <v>150.0</v>
      </c>
      <c r="R575" s="53">
        <v>974739.2</v>
      </c>
      <c r="S575" s="24" t="s">
        <v>605</v>
      </c>
      <c r="T575" s="11">
        <v>7.0</v>
      </c>
      <c r="U575" s="52">
        <v>71013.0</v>
      </c>
      <c r="V575" s="11">
        <v>7.0</v>
      </c>
      <c r="W575" s="11">
        <v>8.0</v>
      </c>
      <c r="X575" s="48">
        <v>3.624</v>
      </c>
      <c r="Y575" s="11">
        <f t="shared" si="2"/>
        <v>0.03624</v>
      </c>
    </row>
    <row r="576">
      <c r="A576" s="17">
        <v>64.0</v>
      </c>
      <c r="B576" s="24">
        <v>73.0</v>
      </c>
      <c r="C576" s="24">
        <v>6.0</v>
      </c>
      <c r="D576" s="24">
        <v>8.0</v>
      </c>
      <c r="E576" s="24">
        <v>67.0</v>
      </c>
      <c r="F576" s="48">
        <v>7.4896</v>
      </c>
      <c r="G576" s="49">
        <f t="shared" si="1"/>
        <v>0.074896</v>
      </c>
      <c r="H576" s="11">
        <v>1.0</v>
      </c>
      <c r="I576" s="11">
        <v>4.0</v>
      </c>
      <c r="J576" s="50">
        <v>40419.0</v>
      </c>
      <c r="K576" s="11">
        <v>0.0</v>
      </c>
      <c r="L576" s="11">
        <v>4.0</v>
      </c>
      <c r="M576" s="51">
        <v>948.0</v>
      </c>
      <c r="N576" s="17">
        <v>81.0</v>
      </c>
      <c r="O576" s="24" t="s">
        <v>600</v>
      </c>
      <c r="P576" s="52">
        <v>62317.0</v>
      </c>
      <c r="Q576" s="51">
        <v>654.0</v>
      </c>
      <c r="R576" s="53">
        <v>-835.57</v>
      </c>
      <c r="S576" s="24" t="s">
        <v>605</v>
      </c>
      <c r="T576" s="11">
        <v>6.0</v>
      </c>
      <c r="U576" s="52">
        <v>10219.0</v>
      </c>
      <c r="V576" s="11">
        <v>4.0</v>
      </c>
      <c r="W576" s="11">
        <v>9.0</v>
      </c>
      <c r="X576" s="48">
        <v>6.6453</v>
      </c>
      <c r="Y576" s="11">
        <f t="shared" si="2"/>
        <v>0.066453</v>
      </c>
    </row>
    <row r="577">
      <c r="A577" s="17">
        <v>96.0</v>
      </c>
      <c r="B577" s="24">
        <v>32.0</v>
      </c>
      <c r="C577" s="24">
        <v>7.0</v>
      </c>
      <c r="D577" s="24">
        <v>2.0</v>
      </c>
      <c r="E577" s="24">
        <v>60.0</v>
      </c>
      <c r="F577" s="48">
        <v>9.934</v>
      </c>
      <c r="G577" s="49">
        <f t="shared" si="1"/>
        <v>0.09934</v>
      </c>
      <c r="H577" s="11">
        <v>0.0</v>
      </c>
      <c r="I577" s="11">
        <v>9.0</v>
      </c>
      <c r="J577" s="50">
        <v>80317.0</v>
      </c>
      <c r="K577" s="11">
        <v>4.0</v>
      </c>
      <c r="L577" s="11">
        <v>8.0</v>
      </c>
      <c r="M577" s="51">
        <v>696.0</v>
      </c>
      <c r="N577" s="17">
        <v>25.0</v>
      </c>
      <c r="O577" s="24" t="s">
        <v>48</v>
      </c>
      <c r="P577" s="52">
        <v>22619.0</v>
      </c>
      <c r="Q577" s="51">
        <v>394.0</v>
      </c>
      <c r="R577" s="53">
        <v>6407.61</v>
      </c>
      <c r="S577" s="24" t="s">
        <v>605</v>
      </c>
      <c r="T577" s="11">
        <v>3.0</v>
      </c>
      <c r="U577" s="52">
        <v>73022.0</v>
      </c>
      <c r="V577" s="11">
        <v>7.0</v>
      </c>
      <c r="W577" s="11">
        <v>9.0</v>
      </c>
      <c r="X577" s="48">
        <v>4.974</v>
      </c>
      <c r="Y577" s="11">
        <f t="shared" si="2"/>
        <v>0.04974</v>
      </c>
    </row>
    <row r="578">
      <c r="A578" s="17">
        <v>23.0</v>
      </c>
      <c r="B578" s="24">
        <v>94.0</v>
      </c>
      <c r="C578" s="24">
        <v>1.0</v>
      </c>
      <c r="D578" s="24">
        <v>4.0</v>
      </c>
      <c r="E578" s="24">
        <v>65.0</v>
      </c>
      <c r="F578" s="48">
        <v>7.2835</v>
      </c>
      <c r="G578" s="49">
        <f t="shared" si="1"/>
        <v>0.072835</v>
      </c>
      <c r="H578" s="11">
        <v>5.0</v>
      </c>
      <c r="I578" s="11">
        <v>7.0</v>
      </c>
      <c r="J578" s="50">
        <v>62515.0</v>
      </c>
      <c r="K578" s="11">
        <v>1.0</v>
      </c>
      <c r="L578" s="11">
        <v>7.0</v>
      </c>
      <c r="M578" s="51">
        <v>354.0</v>
      </c>
      <c r="N578" s="17">
        <v>88.0</v>
      </c>
      <c r="O578" s="24" t="s">
        <v>48</v>
      </c>
      <c r="P578" s="52">
        <v>31715.0</v>
      </c>
      <c r="Q578" s="51">
        <v>838.0</v>
      </c>
      <c r="R578" s="53">
        <v>5161.7</v>
      </c>
      <c r="S578" s="24" t="s">
        <v>604</v>
      </c>
      <c r="T578" s="11">
        <v>6.0</v>
      </c>
      <c r="U578" s="52">
        <v>32216.0</v>
      </c>
      <c r="V578" s="11">
        <v>9.0</v>
      </c>
      <c r="W578" s="11">
        <v>5.0</v>
      </c>
      <c r="X578" s="48">
        <v>1.8247</v>
      </c>
      <c r="Y578" s="11">
        <f t="shared" si="2"/>
        <v>0.018247</v>
      </c>
    </row>
    <row r="579">
      <c r="A579" s="17">
        <v>62.0</v>
      </c>
      <c r="B579" s="24">
        <v>73.0</v>
      </c>
      <c r="C579" s="24">
        <v>7.0</v>
      </c>
      <c r="D579" s="24">
        <v>1.0</v>
      </c>
      <c r="E579" s="24">
        <v>62.0</v>
      </c>
      <c r="F579" s="48">
        <v>6.7273</v>
      </c>
      <c r="G579" s="49">
        <f t="shared" si="1"/>
        <v>0.067273</v>
      </c>
      <c r="H579" s="11">
        <v>4.0</v>
      </c>
      <c r="I579" s="11">
        <v>4.0</v>
      </c>
      <c r="J579" s="50">
        <v>90322.0</v>
      </c>
      <c r="K579" s="11">
        <v>0.0</v>
      </c>
      <c r="L579" s="11">
        <v>5.0</v>
      </c>
      <c r="M579" s="51">
        <v>471.0</v>
      </c>
      <c r="N579" s="17">
        <v>46.0</v>
      </c>
      <c r="O579" s="24" t="s">
        <v>31</v>
      </c>
      <c r="P579" s="52">
        <v>42718.0</v>
      </c>
      <c r="Q579" s="51">
        <v>674.0</v>
      </c>
      <c r="R579" s="53">
        <v>-827813.29</v>
      </c>
      <c r="S579" s="24" t="s">
        <v>600</v>
      </c>
      <c r="T579" s="11">
        <v>8.0</v>
      </c>
      <c r="U579" s="52">
        <v>102120.0</v>
      </c>
      <c r="V579" s="11">
        <v>8.0</v>
      </c>
      <c r="W579" s="11">
        <v>8.0</v>
      </c>
      <c r="X579" s="48">
        <v>2.106</v>
      </c>
      <c r="Y579" s="11">
        <f t="shared" si="2"/>
        <v>0.02106</v>
      </c>
    </row>
    <row r="580">
      <c r="A580" s="17">
        <v>82.0</v>
      </c>
      <c r="B580" s="24">
        <v>94.0</v>
      </c>
      <c r="C580" s="24">
        <v>2.0</v>
      </c>
      <c r="D580" s="24">
        <v>1.0</v>
      </c>
      <c r="E580" s="24">
        <v>68.0</v>
      </c>
      <c r="F580" s="48">
        <v>1.7134</v>
      </c>
      <c r="G580" s="49">
        <f t="shared" si="1"/>
        <v>0.017134</v>
      </c>
      <c r="H580" s="11">
        <v>4.0</v>
      </c>
      <c r="I580" s="11">
        <v>7.0</v>
      </c>
      <c r="J580" s="50">
        <v>122418.0</v>
      </c>
      <c r="K580" s="11">
        <v>1.0</v>
      </c>
      <c r="L580" s="11">
        <v>3.0</v>
      </c>
      <c r="M580" s="51">
        <v>338.0</v>
      </c>
      <c r="N580" s="17">
        <v>13.0</v>
      </c>
      <c r="O580" s="24" t="s">
        <v>48</v>
      </c>
      <c r="P580" s="52">
        <v>72221.0</v>
      </c>
      <c r="Q580" s="51">
        <v>72.0</v>
      </c>
      <c r="R580" s="53">
        <v>-82998.6</v>
      </c>
      <c r="S580" s="24" t="s">
        <v>605</v>
      </c>
      <c r="T580" s="11">
        <v>2.0</v>
      </c>
      <c r="U580" s="52">
        <v>121419.0</v>
      </c>
      <c r="V580" s="11">
        <v>7.0</v>
      </c>
      <c r="W580" s="11">
        <v>6.0</v>
      </c>
      <c r="X580" s="48">
        <v>9.582</v>
      </c>
      <c r="Y580" s="11">
        <f t="shared" si="2"/>
        <v>0.09582</v>
      </c>
    </row>
    <row r="581">
      <c r="A581" s="17">
        <v>25.0</v>
      </c>
      <c r="B581" s="24">
        <v>73.0</v>
      </c>
      <c r="C581" s="24">
        <v>7.0</v>
      </c>
      <c r="D581" s="24">
        <v>5.0</v>
      </c>
      <c r="E581" s="24">
        <v>63.0</v>
      </c>
      <c r="F581" s="48">
        <v>6.1747</v>
      </c>
      <c r="G581" s="49">
        <f t="shared" si="1"/>
        <v>0.061747</v>
      </c>
      <c r="H581" s="11">
        <v>6.0</v>
      </c>
      <c r="I581" s="11">
        <v>2.0</v>
      </c>
      <c r="J581" s="50">
        <v>42514.0</v>
      </c>
      <c r="K581" s="11">
        <v>7.0</v>
      </c>
      <c r="L581" s="11">
        <v>6.0</v>
      </c>
      <c r="M581" s="51">
        <v>136.0</v>
      </c>
      <c r="N581" s="17">
        <v>17.0</v>
      </c>
      <c r="O581" s="24" t="s">
        <v>39</v>
      </c>
      <c r="P581" s="52">
        <v>120523.0</v>
      </c>
      <c r="Q581" s="51">
        <v>954.0</v>
      </c>
      <c r="R581" s="53">
        <v>5368.38</v>
      </c>
      <c r="S581" s="24" t="s">
        <v>600</v>
      </c>
      <c r="T581" s="11">
        <v>4.0</v>
      </c>
      <c r="U581" s="52">
        <v>111416.0</v>
      </c>
      <c r="V581" s="11">
        <v>4.0</v>
      </c>
      <c r="W581" s="11">
        <v>0.0</v>
      </c>
      <c r="X581" s="48">
        <v>6.7214</v>
      </c>
      <c r="Y581" s="11">
        <f t="shared" si="2"/>
        <v>0.067214</v>
      </c>
    </row>
    <row r="582">
      <c r="A582" s="17">
        <v>27.0</v>
      </c>
      <c r="B582" s="24">
        <v>12.0</v>
      </c>
      <c r="C582" s="24">
        <v>3.0</v>
      </c>
      <c r="D582" s="24">
        <v>1.0</v>
      </c>
      <c r="E582" s="24">
        <v>65.0</v>
      </c>
      <c r="F582" s="48">
        <v>4.8899</v>
      </c>
      <c r="G582" s="49">
        <f t="shared" si="1"/>
        <v>0.048899</v>
      </c>
      <c r="H582" s="11">
        <v>1.0</v>
      </c>
      <c r="I582" s="11">
        <v>8.0</v>
      </c>
      <c r="J582" s="50">
        <v>60413.0</v>
      </c>
      <c r="K582" s="11">
        <v>1.0</v>
      </c>
      <c r="L582" s="11">
        <v>9.0</v>
      </c>
      <c r="M582" s="51">
        <v>141.0</v>
      </c>
      <c r="N582" s="17">
        <v>80.0</v>
      </c>
      <c r="O582" s="24" t="s">
        <v>48</v>
      </c>
      <c r="P582" s="52">
        <v>100219.0</v>
      </c>
      <c r="Q582" s="51">
        <v>410.0</v>
      </c>
      <c r="R582" s="53">
        <v>-70075.45</v>
      </c>
      <c r="S582" s="24" t="s">
        <v>600</v>
      </c>
      <c r="T582" s="11">
        <v>2.0</v>
      </c>
      <c r="U582" s="52">
        <v>41320.0</v>
      </c>
      <c r="V582" s="11">
        <v>4.0</v>
      </c>
      <c r="W582" s="11">
        <v>8.0</v>
      </c>
      <c r="X582" s="48">
        <v>2.4862</v>
      </c>
      <c r="Y582" s="11">
        <f t="shared" si="2"/>
        <v>0.024862</v>
      </c>
    </row>
    <row r="583">
      <c r="A583" s="17">
        <v>35.0</v>
      </c>
      <c r="B583" s="24">
        <v>32.0</v>
      </c>
      <c r="C583" s="24">
        <v>8.0</v>
      </c>
      <c r="D583" s="24">
        <v>1.0</v>
      </c>
      <c r="E583" s="24">
        <v>62.0</v>
      </c>
      <c r="F583" s="48">
        <v>3.1236</v>
      </c>
      <c r="G583" s="49">
        <f t="shared" si="1"/>
        <v>0.031236</v>
      </c>
      <c r="H583" s="11">
        <v>9.0</v>
      </c>
      <c r="I583" s="11">
        <v>1.0</v>
      </c>
      <c r="J583" s="50">
        <v>111618.0</v>
      </c>
      <c r="K583" s="11">
        <v>4.0</v>
      </c>
      <c r="L583" s="11">
        <v>3.0</v>
      </c>
      <c r="M583" s="51">
        <v>57.0</v>
      </c>
      <c r="N583" s="17">
        <v>4.0</v>
      </c>
      <c r="O583" s="24" t="s">
        <v>601</v>
      </c>
      <c r="P583" s="52">
        <v>22215.0</v>
      </c>
      <c r="Q583" s="51">
        <v>637.0</v>
      </c>
      <c r="R583" s="53">
        <v>-851.4</v>
      </c>
      <c r="S583" s="24" t="s">
        <v>605</v>
      </c>
      <c r="T583" s="11">
        <v>5.0</v>
      </c>
      <c r="U583" s="52">
        <v>70917.0</v>
      </c>
      <c r="V583" s="11">
        <v>4.0</v>
      </c>
      <c r="W583" s="11">
        <v>0.0</v>
      </c>
      <c r="X583" s="48">
        <v>6.7149</v>
      </c>
      <c r="Y583" s="11">
        <f t="shared" si="2"/>
        <v>0.067149</v>
      </c>
    </row>
    <row r="584">
      <c r="A584" s="17">
        <v>3.0</v>
      </c>
      <c r="B584" s="24">
        <v>94.0</v>
      </c>
      <c r="C584" s="24">
        <v>2.0</v>
      </c>
      <c r="D584" s="24">
        <v>6.0</v>
      </c>
      <c r="E584" s="24">
        <v>65.0</v>
      </c>
      <c r="F584" s="48">
        <v>6.8916</v>
      </c>
      <c r="G584" s="49">
        <f t="shared" si="1"/>
        <v>0.068916</v>
      </c>
      <c r="H584" s="11">
        <v>0.0</v>
      </c>
      <c r="I584" s="11">
        <v>6.0</v>
      </c>
      <c r="J584" s="50">
        <v>72014.0</v>
      </c>
      <c r="K584" s="11">
        <v>2.0</v>
      </c>
      <c r="L584" s="11">
        <v>5.0</v>
      </c>
      <c r="M584" s="51">
        <v>530.0</v>
      </c>
      <c r="N584" s="17">
        <v>6.0</v>
      </c>
      <c r="O584" s="24" t="s">
        <v>39</v>
      </c>
      <c r="P584" s="52">
        <v>71813.0</v>
      </c>
      <c r="Q584" s="51">
        <v>580.0</v>
      </c>
      <c r="R584" s="53">
        <v>-664074.99</v>
      </c>
      <c r="S584" s="24" t="s">
        <v>602</v>
      </c>
      <c r="T584" s="11">
        <v>1.0</v>
      </c>
      <c r="U584" s="52">
        <v>40717.0</v>
      </c>
      <c r="V584" s="11">
        <v>2.0</v>
      </c>
      <c r="W584" s="11">
        <v>3.0</v>
      </c>
      <c r="X584" s="48">
        <v>9.7522</v>
      </c>
      <c r="Y584" s="11">
        <f t="shared" si="2"/>
        <v>0.097522</v>
      </c>
    </row>
    <row r="585">
      <c r="A585" s="17">
        <v>71.0</v>
      </c>
      <c r="B585" s="24">
        <v>12.0</v>
      </c>
      <c r="C585" s="24">
        <v>3.0</v>
      </c>
      <c r="D585" s="24">
        <v>4.0</v>
      </c>
      <c r="E585" s="24">
        <v>65.0</v>
      </c>
      <c r="F585" s="48">
        <v>3.3963</v>
      </c>
      <c r="G585" s="49">
        <f t="shared" si="1"/>
        <v>0.033963</v>
      </c>
      <c r="H585" s="11">
        <v>1.0</v>
      </c>
      <c r="I585" s="11">
        <v>4.0</v>
      </c>
      <c r="J585" s="50">
        <v>93021.0</v>
      </c>
      <c r="K585" s="11">
        <v>5.0</v>
      </c>
      <c r="L585" s="11">
        <v>4.0</v>
      </c>
      <c r="M585" s="51">
        <v>485.0</v>
      </c>
      <c r="N585" s="17">
        <v>7.0</v>
      </c>
      <c r="O585" s="24" t="s">
        <v>39</v>
      </c>
      <c r="P585" s="52">
        <v>72116.0</v>
      </c>
      <c r="Q585" s="51">
        <v>226.0</v>
      </c>
      <c r="R585" s="53">
        <v>-154373.14</v>
      </c>
      <c r="S585" s="24" t="s">
        <v>605</v>
      </c>
      <c r="T585" s="11">
        <v>9.0</v>
      </c>
      <c r="U585" s="52">
        <v>51215.0</v>
      </c>
      <c r="V585" s="11">
        <v>5.0</v>
      </c>
      <c r="W585" s="11">
        <v>3.0</v>
      </c>
      <c r="X585" s="48">
        <v>6.1627</v>
      </c>
      <c r="Y585" s="11">
        <f t="shared" si="2"/>
        <v>0.061627</v>
      </c>
    </row>
    <row r="586">
      <c r="A586" s="17">
        <v>84.0</v>
      </c>
      <c r="B586" s="24">
        <v>32.0</v>
      </c>
      <c r="C586" s="24">
        <v>8.0</v>
      </c>
      <c r="D586" s="24">
        <v>4.0</v>
      </c>
      <c r="E586" s="24">
        <v>61.0</v>
      </c>
      <c r="F586" s="48">
        <v>5.4728</v>
      </c>
      <c r="G586" s="49">
        <f t="shared" si="1"/>
        <v>0.054728</v>
      </c>
      <c r="H586" s="11">
        <v>2.0</v>
      </c>
      <c r="I586" s="11">
        <v>2.0</v>
      </c>
      <c r="J586" s="50">
        <v>80115.0</v>
      </c>
      <c r="K586" s="11">
        <v>1.0</v>
      </c>
      <c r="L586" s="11">
        <v>0.0</v>
      </c>
      <c r="M586" s="51">
        <v>922.0</v>
      </c>
      <c r="N586" s="17">
        <v>30.0</v>
      </c>
      <c r="O586" s="24" t="s">
        <v>600</v>
      </c>
      <c r="P586" s="52">
        <v>112913.0</v>
      </c>
      <c r="Q586" s="51">
        <v>367.0</v>
      </c>
      <c r="R586" s="53">
        <v>1183.34</v>
      </c>
      <c r="S586" s="24" t="s">
        <v>602</v>
      </c>
      <c r="T586" s="11">
        <v>1.0</v>
      </c>
      <c r="U586" s="52">
        <v>102414.0</v>
      </c>
      <c r="V586" s="11">
        <v>7.0</v>
      </c>
      <c r="W586" s="11">
        <v>9.0</v>
      </c>
      <c r="X586" s="48">
        <v>9.6249</v>
      </c>
      <c r="Y586" s="11">
        <f t="shared" si="2"/>
        <v>0.096249</v>
      </c>
    </row>
    <row r="587">
      <c r="A587" s="17">
        <v>44.0</v>
      </c>
      <c r="B587" s="24">
        <v>12.0</v>
      </c>
      <c r="C587" s="24">
        <v>3.0</v>
      </c>
      <c r="D587" s="24">
        <v>6.0</v>
      </c>
      <c r="E587" s="24">
        <v>62.0</v>
      </c>
      <c r="F587" s="48">
        <v>3.8919</v>
      </c>
      <c r="G587" s="49">
        <f t="shared" si="1"/>
        <v>0.038919</v>
      </c>
      <c r="H587" s="11">
        <v>3.0</v>
      </c>
      <c r="I587" s="11">
        <v>6.0</v>
      </c>
      <c r="J587" s="50">
        <v>40622.0</v>
      </c>
      <c r="K587" s="11">
        <v>8.0</v>
      </c>
      <c r="L587" s="11">
        <v>2.0</v>
      </c>
      <c r="M587" s="51">
        <v>35.0</v>
      </c>
      <c r="N587" s="17">
        <v>2.0</v>
      </c>
      <c r="O587" s="24" t="s">
        <v>31</v>
      </c>
      <c r="P587" s="52">
        <v>111616.0</v>
      </c>
      <c r="Q587" s="51">
        <v>146.0</v>
      </c>
      <c r="R587" s="53">
        <v>-70876.69</v>
      </c>
      <c r="S587" s="24" t="s">
        <v>600</v>
      </c>
      <c r="T587" s="11">
        <v>5.0</v>
      </c>
      <c r="U587" s="52">
        <v>110913.0</v>
      </c>
      <c r="V587" s="11">
        <v>1.0</v>
      </c>
      <c r="W587" s="11">
        <v>5.0</v>
      </c>
      <c r="X587" s="48">
        <v>4.8834</v>
      </c>
      <c r="Y587" s="11">
        <f t="shared" si="2"/>
        <v>0.048834</v>
      </c>
    </row>
    <row r="588">
      <c r="A588" s="17">
        <v>6.0</v>
      </c>
      <c r="B588" s="24">
        <v>32.0</v>
      </c>
      <c r="C588" s="24">
        <v>8.0</v>
      </c>
      <c r="D588" s="24">
        <v>8.0</v>
      </c>
      <c r="E588" s="24">
        <v>61.0</v>
      </c>
      <c r="F588" s="48">
        <v>5.128</v>
      </c>
      <c r="G588" s="49">
        <f t="shared" si="1"/>
        <v>0.05128</v>
      </c>
      <c r="H588" s="11">
        <v>2.0</v>
      </c>
      <c r="I588" s="11">
        <v>2.0</v>
      </c>
      <c r="J588" s="50">
        <v>60415.0</v>
      </c>
      <c r="K588" s="11">
        <v>8.0</v>
      </c>
      <c r="L588" s="11">
        <v>5.0</v>
      </c>
      <c r="M588" s="51">
        <v>497.0</v>
      </c>
      <c r="N588" s="17">
        <v>63.0</v>
      </c>
      <c r="O588" s="24" t="s">
        <v>601</v>
      </c>
      <c r="P588" s="52">
        <v>82123.0</v>
      </c>
      <c r="Q588" s="51">
        <v>912.0</v>
      </c>
      <c r="R588" s="53">
        <v>-87719.54</v>
      </c>
      <c r="S588" s="24" t="s">
        <v>600</v>
      </c>
      <c r="T588" s="11">
        <v>0.0</v>
      </c>
      <c r="U588" s="52">
        <v>120815.0</v>
      </c>
      <c r="V588" s="11">
        <v>2.0</v>
      </c>
      <c r="W588" s="11">
        <v>1.0</v>
      </c>
      <c r="X588" s="48">
        <v>1.05</v>
      </c>
      <c r="Y588" s="11">
        <f t="shared" si="2"/>
        <v>0.0105</v>
      </c>
    </row>
    <row r="589">
      <c r="A589" s="17">
        <v>76.0</v>
      </c>
      <c r="B589" s="24">
        <v>32.0</v>
      </c>
      <c r="C589" s="24">
        <v>8.0</v>
      </c>
      <c r="D589" s="24">
        <v>9.0</v>
      </c>
      <c r="E589" s="24">
        <v>68.0</v>
      </c>
      <c r="F589" s="48">
        <v>8.2704</v>
      </c>
      <c r="G589" s="49">
        <f t="shared" si="1"/>
        <v>0.082704</v>
      </c>
      <c r="H589" s="11">
        <v>6.0</v>
      </c>
      <c r="I589" s="11">
        <v>5.0</v>
      </c>
      <c r="J589" s="50">
        <v>61623.0</v>
      </c>
      <c r="K589" s="11">
        <v>4.0</v>
      </c>
      <c r="L589" s="11">
        <v>6.0</v>
      </c>
      <c r="M589" s="51">
        <v>428.0</v>
      </c>
      <c r="N589" s="17">
        <v>77.0</v>
      </c>
      <c r="O589" s="24" t="s">
        <v>39</v>
      </c>
      <c r="P589" s="52">
        <v>101616.0</v>
      </c>
      <c r="Q589" s="51">
        <v>974.0</v>
      </c>
      <c r="R589" s="53">
        <v>6001.86</v>
      </c>
      <c r="S589" s="24" t="s">
        <v>600</v>
      </c>
      <c r="T589" s="11">
        <v>5.0</v>
      </c>
      <c r="U589" s="52">
        <v>92918.0</v>
      </c>
      <c r="V589" s="11">
        <v>0.0</v>
      </c>
      <c r="W589" s="11">
        <v>2.0</v>
      </c>
      <c r="X589" s="48">
        <v>6.1393</v>
      </c>
      <c r="Y589" s="11">
        <f t="shared" si="2"/>
        <v>0.061393</v>
      </c>
    </row>
    <row r="590">
      <c r="A590" s="17">
        <v>29.0</v>
      </c>
      <c r="B590" s="24">
        <v>12.0</v>
      </c>
      <c r="C590" s="24">
        <v>4.0</v>
      </c>
      <c r="D590" s="24">
        <v>3.0</v>
      </c>
      <c r="E590" s="24">
        <v>67.0</v>
      </c>
      <c r="F590" s="48">
        <v>5.3462</v>
      </c>
      <c r="G590" s="49">
        <f t="shared" si="1"/>
        <v>0.053462</v>
      </c>
      <c r="H590" s="11">
        <v>5.0</v>
      </c>
      <c r="I590" s="11">
        <v>3.0</v>
      </c>
      <c r="J590" s="50">
        <v>52117.0</v>
      </c>
      <c r="K590" s="11">
        <v>3.0</v>
      </c>
      <c r="L590" s="11">
        <v>0.0</v>
      </c>
      <c r="M590" s="51">
        <v>748.0</v>
      </c>
      <c r="N590" s="17">
        <v>50.0</v>
      </c>
      <c r="O590" s="24" t="s">
        <v>48</v>
      </c>
      <c r="P590" s="52">
        <v>92019.0</v>
      </c>
      <c r="Q590" s="51">
        <v>33.0</v>
      </c>
      <c r="R590" s="53">
        <v>-3010.96</v>
      </c>
      <c r="S590" s="24" t="s">
        <v>605</v>
      </c>
      <c r="T590" s="11">
        <v>3.0</v>
      </c>
      <c r="U590" s="52">
        <v>70723.0</v>
      </c>
      <c r="V590" s="11">
        <v>1.0</v>
      </c>
      <c r="W590" s="11">
        <v>0.0</v>
      </c>
      <c r="X590" s="48">
        <v>9.478</v>
      </c>
      <c r="Y590" s="11">
        <f t="shared" si="2"/>
        <v>0.09478</v>
      </c>
    </row>
    <row r="591">
      <c r="A591" s="17">
        <v>14.0</v>
      </c>
      <c r="B591" s="24">
        <v>73.0</v>
      </c>
      <c r="C591" s="24">
        <v>8.0</v>
      </c>
      <c r="D591" s="24">
        <v>9.0</v>
      </c>
      <c r="E591" s="24">
        <v>68.0</v>
      </c>
      <c r="F591" s="48">
        <v>6.1504</v>
      </c>
      <c r="G591" s="49">
        <f t="shared" si="1"/>
        <v>0.061504</v>
      </c>
      <c r="H591" s="11">
        <v>4.0</v>
      </c>
      <c r="I591" s="11">
        <v>4.0</v>
      </c>
      <c r="J591" s="50">
        <v>20216.0</v>
      </c>
      <c r="K591" s="11">
        <v>7.0</v>
      </c>
      <c r="L591" s="11">
        <v>2.0</v>
      </c>
      <c r="M591" s="51">
        <v>857.0</v>
      </c>
      <c r="N591" s="17">
        <v>55.0</v>
      </c>
      <c r="O591" s="24" t="s">
        <v>600</v>
      </c>
      <c r="P591" s="52">
        <v>92313.0</v>
      </c>
      <c r="Q591" s="51">
        <v>66.0</v>
      </c>
      <c r="R591" s="53">
        <v>8551.63</v>
      </c>
      <c r="S591" s="24" t="s">
        <v>605</v>
      </c>
      <c r="T591" s="11">
        <v>6.0</v>
      </c>
      <c r="U591" s="52">
        <v>41613.0</v>
      </c>
      <c r="V591" s="11">
        <v>8.0</v>
      </c>
      <c r="W591" s="11">
        <v>1.0</v>
      </c>
      <c r="X591" s="48">
        <v>2.556</v>
      </c>
      <c r="Y591" s="11">
        <f t="shared" si="2"/>
        <v>0.02556</v>
      </c>
    </row>
    <row r="592">
      <c r="A592" s="17">
        <v>50.0</v>
      </c>
      <c r="B592" s="24">
        <v>73.0</v>
      </c>
      <c r="C592" s="24">
        <v>9.0</v>
      </c>
      <c r="D592" s="24">
        <v>3.0</v>
      </c>
      <c r="E592" s="24">
        <v>64.0</v>
      </c>
      <c r="F592" s="48">
        <v>7.6469</v>
      </c>
      <c r="G592" s="49">
        <f t="shared" si="1"/>
        <v>0.076469</v>
      </c>
      <c r="H592" s="11">
        <v>5.0</v>
      </c>
      <c r="I592" s="11">
        <v>2.0</v>
      </c>
      <c r="J592" s="50">
        <v>70219.0</v>
      </c>
      <c r="K592" s="11">
        <v>7.0</v>
      </c>
      <c r="L592" s="11">
        <v>4.0</v>
      </c>
      <c r="M592" s="51">
        <v>478.0</v>
      </c>
      <c r="N592" s="17">
        <v>49.0</v>
      </c>
      <c r="O592" s="24" t="s">
        <v>39</v>
      </c>
      <c r="P592" s="52">
        <v>61422.0</v>
      </c>
      <c r="Q592" s="51">
        <v>145.0</v>
      </c>
      <c r="R592" s="53">
        <v>-50187.21</v>
      </c>
      <c r="S592" s="24" t="s">
        <v>602</v>
      </c>
      <c r="T592" s="11">
        <v>0.0</v>
      </c>
      <c r="U592" s="52">
        <v>81223.0</v>
      </c>
      <c r="V592" s="11">
        <v>8.0</v>
      </c>
      <c r="W592" s="11">
        <v>4.0</v>
      </c>
      <c r="X592" s="48">
        <v>8.273</v>
      </c>
      <c r="Y592" s="11">
        <f t="shared" si="2"/>
        <v>0.08273</v>
      </c>
    </row>
    <row r="593">
      <c r="A593" s="17">
        <v>67.0</v>
      </c>
      <c r="B593" s="24">
        <v>94.0</v>
      </c>
      <c r="C593" s="24">
        <v>4.0</v>
      </c>
      <c r="D593" s="24">
        <v>2.0</v>
      </c>
      <c r="E593" s="24">
        <v>66.0</v>
      </c>
      <c r="F593" s="48">
        <v>6.7197</v>
      </c>
      <c r="G593" s="49">
        <f t="shared" si="1"/>
        <v>0.067197</v>
      </c>
      <c r="H593" s="11">
        <v>2.0</v>
      </c>
      <c r="I593" s="11">
        <v>9.0</v>
      </c>
      <c r="J593" s="50">
        <v>30620.0</v>
      </c>
      <c r="K593" s="11">
        <v>9.0</v>
      </c>
      <c r="L593" s="11">
        <v>5.0</v>
      </c>
      <c r="M593" s="51">
        <v>800.0</v>
      </c>
      <c r="N593" s="17">
        <v>39.0</v>
      </c>
      <c r="O593" s="24" t="s">
        <v>606</v>
      </c>
      <c r="P593" s="52">
        <v>111819.0</v>
      </c>
      <c r="Q593" s="51">
        <v>635.0</v>
      </c>
      <c r="R593" s="53">
        <v>22504.89</v>
      </c>
      <c r="S593" s="24" t="s">
        <v>604</v>
      </c>
      <c r="T593" s="11">
        <v>1.0</v>
      </c>
      <c r="U593" s="52">
        <v>40515.0</v>
      </c>
      <c r="V593" s="11">
        <v>9.0</v>
      </c>
      <c r="W593" s="11">
        <v>0.0</v>
      </c>
      <c r="X593" s="48">
        <v>4.7956</v>
      </c>
      <c r="Y593" s="11">
        <f t="shared" si="2"/>
        <v>0.047956</v>
      </c>
    </row>
    <row r="594">
      <c r="A594" s="17">
        <v>47.0</v>
      </c>
      <c r="B594" s="24">
        <v>53.0</v>
      </c>
      <c r="C594" s="24">
        <v>4.0</v>
      </c>
      <c r="D594" s="24">
        <v>7.0</v>
      </c>
      <c r="E594" s="24">
        <v>67.0</v>
      </c>
      <c r="F594" s="48">
        <v>2.901</v>
      </c>
      <c r="G594" s="49">
        <f t="shared" si="1"/>
        <v>0.02901</v>
      </c>
      <c r="H594" s="11">
        <v>6.0</v>
      </c>
      <c r="I594" s="11">
        <v>0.0</v>
      </c>
      <c r="J594" s="50">
        <v>80922.0</v>
      </c>
      <c r="K594" s="11">
        <v>2.0</v>
      </c>
      <c r="L594" s="11">
        <v>8.0</v>
      </c>
      <c r="M594" s="51">
        <v>440.0</v>
      </c>
      <c r="N594" s="17">
        <v>72.0</v>
      </c>
      <c r="O594" s="24" t="s">
        <v>600</v>
      </c>
      <c r="P594" s="52">
        <v>81314.0</v>
      </c>
      <c r="Q594" s="51">
        <v>87.0</v>
      </c>
      <c r="R594" s="53">
        <v>916.62</v>
      </c>
      <c r="S594" s="24" t="s">
        <v>605</v>
      </c>
      <c r="T594" s="11">
        <v>2.0</v>
      </c>
      <c r="U594" s="52">
        <v>51218.0</v>
      </c>
      <c r="V594" s="11">
        <v>4.0</v>
      </c>
      <c r="W594" s="11">
        <v>9.0</v>
      </c>
      <c r="X594" s="48">
        <v>8.72</v>
      </c>
      <c r="Y594" s="11">
        <f t="shared" si="2"/>
        <v>0.0872</v>
      </c>
    </row>
    <row r="595">
      <c r="A595" s="17">
        <v>90.0</v>
      </c>
      <c r="B595" s="24">
        <v>53.0</v>
      </c>
      <c r="C595" s="24">
        <v>4.0</v>
      </c>
      <c r="D595" s="24">
        <v>5.0</v>
      </c>
      <c r="E595" s="24">
        <v>64.0</v>
      </c>
      <c r="F595" s="48">
        <v>9.4322</v>
      </c>
      <c r="G595" s="49">
        <f t="shared" si="1"/>
        <v>0.094322</v>
      </c>
      <c r="H595" s="11">
        <v>6.0</v>
      </c>
      <c r="I595" s="11">
        <v>2.0</v>
      </c>
      <c r="J595" s="50">
        <v>11917.0</v>
      </c>
      <c r="K595" s="11">
        <v>5.0</v>
      </c>
      <c r="L595" s="11">
        <v>8.0</v>
      </c>
      <c r="M595" s="51">
        <v>990.0</v>
      </c>
      <c r="N595" s="17">
        <v>29.0</v>
      </c>
      <c r="O595" s="24" t="s">
        <v>31</v>
      </c>
      <c r="P595" s="52">
        <v>11621.0</v>
      </c>
      <c r="Q595" s="51">
        <v>527.0</v>
      </c>
      <c r="R595" s="53">
        <v>32329.31</v>
      </c>
      <c r="S595" s="24" t="s">
        <v>602</v>
      </c>
      <c r="T595" s="11">
        <v>4.0</v>
      </c>
      <c r="U595" s="52">
        <v>122715.0</v>
      </c>
      <c r="V595" s="11">
        <v>4.0</v>
      </c>
      <c r="W595" s="11">
        <v>3.0</v>
      </c>
      <c r="X595" s="48">
        <v>7.9011</v>
      </c>
      <c r="Y595" s="11">
        <f t="shared" si="2"/>
        <v>0.079011</v>
      </c>
    </row>
    <row r="596">
      <c r="A596" s="17">
        <v>37.0</v>
      </c>
      <c r="B596" s="24">
        <v>32.0</v>
      </c>
      <c r="C596" s="24">
        <v>9.0</v>
      </c>
      <c r="D596" s="24">
        <v>8.0</v>
      </c>
      <c r="E596" s="24">
        <v>62.0</v>
      </c>
      <c r="F596" s="48">
        <v>6.6395</v>
      </c>
      <c r="G596" s="49">
        <f t="shared" si="1"/>
        <v>0.066395</v>
      </c>
      <c r="H596" s="11">
        <v>5.0</v>
      </c>
      <c r="I596" s="11">
        <v>8.0</v>
      </c>
      <c r="J596" s="50">
        <v>112019.0</v>
      </c>
      <c r="K596" s="11">
        <v>8.0</v>
      </c>
      <c r="L596" s="11">
        <v>9.0</v>
      </c>
      <c r="M596" s="51">
        <v>441.0</v>
      </c>
      <c r="N596" s="17">
        <v>22.0</v>
      </c>
      <c r="O596" s="24" t="s">
        <v>601</v>
      </c>
      <c r="P596" s="52">
        <v>92914.0</v>
      </c>
      <c r="Q596" s="51">
        <v>517.0</v>
      </c>
      <c r="R596" s="53">
        <v>651.59</v>
      </c>
      <c r="S596" s="24" t="s">
        <v>602</v>
      </c>
      <c r="T596" s="11">
        <v>8.0</v>
      </c>
      <c r="U596" s="52">
        <v>50414.0</v>
      </c>
      <c r="V596" s="11">
        <v>1.0</v>
      </c>
      <c r="W596" s="11">
        <v>5.0</v>
      </c>
      <c r="X596" s="48">
        <v>9.6078</v>
      </c>
      <c r="Y596" s="11">
        <f t="shared" si="2"/>
        <v>0.096078</v>
      </c>
    </row>
    <row r="597">
      <c r="A597" s="17">
        <v>50.0</v>
      </c>
      <c r="B597" s="24">
        <v>53.0</v>
      </c>
      <c r="C597" s="24">
        <v>5.0</v>
      </c>
      <c r="D597" s="24">
        <v>4.0</v>
      </c>
      <c r="E597" s="24">
        <v>63.0</v>
      </c>
      <c r="F597" s="48">
        <v>7.303</v>
      </c>
      <c r="G597" s="49">
        <f t="shared" si="1"/>
        <v>0.07303</v>
      </c>
      <c r="H597" s="11">
        <v>9.0</v>
      </c>
      <c r="I597" s="11">
        <v>4.0</v>
      </c>
      <c r="J597" s="50">
        <v>82515.0</v>
      </c>
      <c r="K597" s="11">
        <v>4.0</v>
      </c>
      <c r="L597" s="11">
        <v>4.0</v>
      </c>
      <c r="M597" s="51">
        <v>891.0</v>
      </c>
      <c r="N597" s="17">
        <v>80.0</v>
      </c>
      <c r="O597" s="24" t="s">
        <v>48</v>
      </c>
      <c r="P597" s="52">
        <v>121920.0</v>
      </c>
      <c r="Q597" s="51">
        <v>910.0</v>
      </c>
      <c r="R597" s="53">
        <v>23097.97</v>
      </c>
      <c r="S597" s="24" t="s">
        <v>605</v>
      </c>
      <c r="T597" s="11">
        <v>5.0</v>
      </c>
      <c r="U597" s="52">
        <v>41820.0</v>
      </c>
      <c r="V597" s="11">
        <v>3.0</v>
      </c>
      <c r="W597" s="11">
        <v>2.0</v>
      </c>
      <c r="X597" s="48">
        <v>5.1335</v>
      </c>
      <c r="Y597" s="11">
        <f t="shared" si="2"/>
        <v>0.051335</v>
      </c>
    </row>
    <row r="598">
      <c r="A598" s="17">
        <v>54.0</v>
      </c>
      <c r="B598" s="24">
        <v>12.0</v>
      </c>
      <c r="C598" s="24">
        <v>5.0</v>
      </c>
      <c r="D598" s="24">
        <v>9.0</v>
      </c>
      <c r="E598" s="24">
        <v>64.0</v>
      </c>
      <c r="F598" s="48">
        <v>6.8497</v>
      </c>
      <c r="G598" s="49">
        <f t="shared" si="1"/>
        <v>0.068497</v>
      </c>
      <c r="H598" s="11">
        <v>2.0</v>
      </c>
      <c r="I598" s="11">
        <v>1.0</v>
      </c>
      <c r="J598" s="50">
        <v>42819.0</v>
      </c>
      <c r="K598" s="11">
        <v>8.0</v>
      </c>
      <c r="L598" s="11">
        <v>8.0</v>
      </c>
      <c r="M598" s="51">
        <v>91.0</v>
      </c>
      <c r="N598" s="17">
        <v>29.0</v>
      </c>
      <c r="O598" s="24" t="s">
        <v>31</v>
      </c>
      <c r="P598" s="52">
        <v>61321.0</v>
      </c>
      <c r="Q598" s="51">
        <v>816.0</v>
      </c>
      <c r="R598" s="53">
        <v>-91054.15</v>
      </c>
      <c r="S598" s="24" t="s">
        <v>600</v>
      </c>
      <c r="T598" s="11">
        <v>8.0</v>
      </c>
      <c r="U598" s="52">
        <v>51919.0</v>
      </c>
      <c r="V598" s="11">
        <v>1.0</v>
      </c>
      <c r="W598" s="11">
        <v>2.0</v>
      </c>
      <c r="X598" s="48">
        <v>5.5637</v>
      </c>
      <c r="Y598" s="11">
        <f t="shared" si="2"/>
        <v>0.055637</v>
      </c>
    </row>
    <row r="599">
      <c r="A599" s="17">
        <v>71.0</v>
      </c>
      <c r="B599" s="24">
        <v>12.0</v>
      </c>
      <c r="C599" s="24">
        <v>6.0</v>
      </c>
      <c r="D599" s="24">
        <v>3.0</v>
      </c>
      <c r="E599" s="24">
        <v>60.0</v>
      </c>
      <c r="F599" s="48">
        <v>1.4425</v>
      </c>
      <c r="G599" s="49">
        <f t="shared" si="1"/>
        <v>0.014425</v>
      </c>
      <c r="H599" s="11">
        <v>6.0</v>
      </c>
      <c r="I599" s="11">
        <v>4.0</v>
      </c>
      <c r="J599" s="50">
        <v>102419.0</v>
      </c>
      <c r="K599" s="11">
        <v>5.0</v>
      </c>
      <c r="L599" s="11">
        <v>7.0</v>
      </c>
      <c r="M599" s="51">
        <v>434.0</v>
      </c>
      <c r="N599" s="17">
        <v>45.0</v>
      </c>
      <c r="O599" s="24" t="s">
        <v>600</v>
      </c>
      <c r="P599" s="52">
        <v>30217.0</v>
      </c>
      <c r="Q599" s="51">
        <v>872.0</v>
      </c>
      <c r="R599" s="53">
        <v>720563.0</v>
      </c>
      <c r="S599" s="24" t="s">
        <v>600</v>
      </c>
      <c r="T599" s="11">
        <v>3.0</v>
      </c>
      <c r="U599" s="52">
        <v>110223.0</v>
      </c>
      <c r="V599" s="11">
        <v>3.0</v>
      </c>
      <c r="W599" s="11">
        <v>3.0</v>
      </c>
      <c r="X599" s="48">
        <v>3.5063</v>
      </c>
      <c r="Y599" s="11">
        <f t="shared" si="2"/>
        <v>0.035063</v>
      </c>
    </row>
    <row r="600">
      <c r="A600" s="17">
        <v>98.0</v>
      </c>
      <c r="B600" s="24">
        <v>12.0</v>
      </c>
      <c r="C600" s="24">
        <v>6.0</v>
      </c>
      <c r="D600" s="24">
        <v>7.0</v>
      </c>
      <c r="E600" s="24">
        <v>60.0</v>
      </c>
      <c r="F600" s="48">
        <v>2.5192</v>
      </c>
      <c r="G600" s="49">
        <f t="shared" si="1"/>
        <v>0.025192</v>
      </c>
      <c r="H600" s="11">
        <v>0.0</v>
      </c>
      <c r="I600" s="11">
        <v>2.0</v>
      </c>
      <c r="J600" s="50">
        <v>101816.0</v>
      </c>
      <c r="K600" s="11">
        <v>1.0</v>
      </c>
      <c r="L600" s="11">
        <v>5.0</v>
      </c>
      <c r="M600" s="51">
        <v>164.0</v>
      </c>
      <c r="N600" s="17">
        <v>51.0</v>
      </c>
      <c r="O600" s="24" t="s">
        <v>606</v>
      </c>
      <c r="P600" s="52">
        <v>20323.0</v>
      </c>
      <c r="Q600" s="51">
        <v>979.0</v>
      </c>
      <c r="R600" s="53">
        <v>-138398.41</v>
      </c>
      <c r="S600" s="24" t="s">
        <v>602</v>
      </c>
      <c r="T600" s="11">
        <v>9.0</v>
      </c>
      <c r="U600" s="52">
        <v>50823.0</v>
      </c>
      <c r="V600" s="11">
        <v>8.0</v>
      </c>
      <c r="W600" s="11">
        <v>4.0</v>
      </c>
      <c r="X600" s="48">
        <v>8.3726</v>
      </c>
      <c r="Y600" s="11">
        <f t="shared" si="2"/>
        <v>0.083726</v>
      </c>
    </row>
    <row r="601">
      <c r="A601" s="17">
        <v>68.0</v>
      </c>
      <c r="B601" s="24">
        <v>33.0</v>
      </c>
      <c r="C601" s="24">
        <v>1.0</v>
      </c>
      <c r="D601" s="24">
        <v>5.0</v>
      </c>
      <c r="E601" s="24">
        <v>60.0</v>
      </c>
      <c r="F601" s="48">
        <v>7.1913</v>
      </c>
      <c r="G601" s="49">
        <f t="shared" si="1"/>
        <v>0.071913</v>
      </c>
      <c r="H601" s="11">
        <v>4.0</v>
      </c>
      <c r="I601" s="11">
        <v>2.0</v>
      </c>
      <c r="J601" s="50">
        <v>110415.0</v>
      </c>
      <c r="K601" s="11">
        <v>7.0</v>
      </c>
      <c r="L601" s="11">
        <v>8.0</v>
      </c>
      <c r="M601" s="51">
        <v>713.0</v>
      </c>
      <c r="N601" s="17">
        <v>22.0</v>
      </c>
      <c r="O601" s="24" t="s">
        <v>31</v>
      </c>
      <c r="P601" s="52">
        <v>11919.0</v>
      </c>
      <c r="Q601" s="51">
        <v>989.0</v>
      </c>
      <c r="R601" s="53">
        <v>-88682.37</v>
      </c>
      <c r="S601" s="24" t="s">
        <v>602</v>
      </c>
      <c r="T601" s="11">
        <v>2.0</v>
      </c>
      <c r="U601" s="52">
        <v>111419.0</v>
      </c>
      <c r="V601" s="11">
        <v>6.0</v>
      </c>
      <c r="W601" s="11">
        <v>7.0</v>
      </c>
      <c r="X601" s="48">
        <v>2.2411</v>
      </c>
      <c r="Y601" s="11">
        <f t="shared" si="2"/>
        <v>0.022411</v>
      </c>
    </row>
    <row r="602">
      <c r="A602" s="17">
        <v>56.0</v>
      </c>
      <c r="B602" s="24">
        <v>12.0</v>
      </c>
      <c r="C602" s="24">
        <v>6.0</v>
      </c>
      <c r="D602" s="24">
        <v>9.0</v>
      </c>
      <c r="E602" s="24">
        <v>60.0</v>
      </c>
      <c r="F602" s="48">
        <v>7.9343</v>
      </c>
      <c r="G602" s="49">
        <f t="shared" si="1"/>
        <v>0.079343</v>
      </c>
      <c r="H602" s="11">
        <v>5.0</v>
      </c>
      <c r="I602" s="11">
        <v>9.0</v>
      </c>
      <c r="J602" s="50">
        <v>30713.0</v>
      </c>
      <c r="K602" s="11">
        <v>6.0</v>
      </c>
      <c r="L602" s="11">
        <v>9.0</v>
      </c>
      <c r="M602" s="51">
        <v>263.0</v>
      </c>
      <c r="N602" s="17">
        <v>63.0</v>
      </c>
      <c r="O602" s="24" t="s">
        <v>603</v>
      </c>
      <c r="P602" s="52">
        <v>71117.0</v>
      </c>
      <c r="Q602" s="51">
        <v>793.0</v>
      </c>
      <c r="R602" s="53">
        <v>5663.17</v>
      </c>
      <c r="S602" s="24" t="s">
        <v>600</v>
      </c>
      <c r="T602" s="11">
        <v>7.0</v>
      </c>
      <c r="U602" s="52">
        <v>22214.0</v>
      </c>
      <c r="V602" s="11">
        <v>4.0</v>
      </c>
      <c r="W602" s="11">
        <v>6.0</v>
      </c>
      <c r="X602" s="48">
        <v>2.9274</v>
      </c>
      <c r="Y602" s="11">
        <f t="shared" si="2"/>
        <v>0.029274</v>
      </c>
    </row>
    <row r="603">
      <c r="A603" s="17">
        <v>30.0</v>
      </c>
      <c r="B603" s="24">
        <v>74.0</v>
      </c>
      <c r="C603" s="24">
        <v>1.0</v>
      </c>
      <c r="D603" s="24">
        <v>6.0</v>
      </c>
      <c r="E603" s="24">
        <v>67.0</v>
      </c>
      <c r="F603" s="48">
        <v>6.3837</v>
      </c>
      <c r="G603" s="49">
        <f t="shared" si="1"/>
        <v>0.063837</v>
      </c>
      <c r="H603" s="11">
        <v>0.0</v>
      </c>
      <c r="I603" s="11">
        <v>5.0</v>
      </c>
      <c r="J603" s="50">
        <v>110922.0</v>
      </c>
      <c r="K603" s="11">
        <v>8.0</v>
      </c>
      <c r="L603" s="11">
        <v>4.0</v>
      </c>
      <c r="M603" s="51">
        <v>549.0</v>
      </c>
      <c r="N603" s="17">
        <v>1.0</v>
      </c>
      <c r="O603" s="24" t="s">
        <v>48</v>
      </c>
      <c r="P603" s="52">
        <v>92423.0</v>
      </c>
      <c r="Q603" s="51">
        <v>138.0</v>
      </c>
      <c r="R603" s="53">
        <v>2533.17</v>
      </c>
      <c r="S603" s="24" t="s">
        <v>605</v>
      </c>
      <c r="T603" s="11">
        <v>9.0</v>
      </c>
      <c r="U603" s="52">
        <v>102116.0</v>
      </c>
      <c r="V603" s="11">
        <v>5.0</v>
      </c>
      <c r="W603" s="11">
        <v>1.0</v>
      </c>
      <c r="X603" s="48">
        <v>8.257</v>
      </c>
      <c r="Y603" s="11">
        <f t="shared" si="2"/>
        <v>0.08257</v>
      </c>
    </row>
    <row r="604">
      <c r="A604" s="17">
        <v>1.0</v>
      </c>
      <c r="B604" s="24">
        <v>53.0</v>
      </c>
      <c r="C604" s="24">
        <v>7.0</v>
      </c>
      <c r="D604" s="24">
        <v>2.0</v>
      </c>
      <c r="E604" s="24">
        <v>64.0</v>
      </c>
      <c r="F604" s="48">
        <v>3.2364</v>
      </c>
      <c r="G604" s="49">
        <f t="shared" si="1"/>
        <v>0.032364</v>
      </c>
      <c r="H604" s="11">
        <v>1.0</v>
      </c>
      <c r="I604" s="11">
        <v>2.0</v>
      </c>
      <c r="J604" s="50">
        <v>121816.0</v>
      </c>
      <c r="K604" s="11">
        <v>4.0</v>
      </c>
      <c r="L604" s="11">
        <v>7.0</v>
      </c>
      <c r="M604" s="51">
        <v>186.0</v>
      </c>
      <c r="N604" s="17">
        <v>72.0</v>
      </c>
      <c r="O604" s="24" t="s">
        <v>600</v>
      </c>
      <c r="P604" s="52">
        <v>30515.0</v>
      </c>
      <c r="Q604" s="51">
        <v>16.0</v>
      </c>
      <c r="R604" s="53">
        <v>9514.67</v>
      </c>
      <c r="S604" s="24" t="s">
        <v>605</v>
      </c>
      <c r="T604" s="11">
        <v>3.0</v>
      </c>
      <c r="U604" s="52">
        <v>32016.0</v>
      </c>
      <c r="V604" s="11">
        <v>9.0</v>
      </c>
      <c r="W604" s="11">
        <v>7.0</v>
      </c>
      <c r="X604" s="48">
        <v>3.93</v>
      </c>
      <c r="Y604" s="11">
        <f t="shared" si="2"/>
        <v>0.0393</v>
      </c>
    </row>
    <row r="605">
      <c r="A605" s="17">
        <v>23.0</v>
      </c>
      <c r="B605" s="24">
        <v>94.0</v>
      </c>
      <c r="C605" s="24">
        <v>6.0</v>
      </c>
      <c r="D605" s="24">
        <v>8.0</v>
      </c>
      <c r="E605" s="24">
        <v>67.0</v>
      </c>
      <c r="F605" s="48">
        <v>4.6691</v>
      </c>
      <c r="G605" s="49">
        <f t="shared" si="1"/>
        <v>0.046691</v>
      </c>
      <c r="H605" s="11">
        <v>5.0</v>
      </c>
      <c r="I605" s="11">
        <v>4.0</v>
      </c>
      <c r="J605" s="50">
        <v>62513.0</v>
      </c>
      <c r="K605" s="11">
        <v>3.0</v>
      </c>
      <c r="L605" s="11">
        <v>5.0</v>
      </c>
      <c r="M605" s="51">
        <v>521.0</v>
      </c>
      <c r="N605" s="17">
        <v>69.0</v>
      </c>
      <c r="O605" s="24" t="s">
        <v>606</v>
      </c>
      <c r="P605" s="52">
        <v>10816.0</v>
      </c>
      <c r="Q605" s="51">
        <v>500.0</v>
      </c>
      <c r="R605" s="53">
        <v>-44300.47</v>
      </c>
      <c r="S605" s="24" t="s">
        <v>602</v>
      </c>
      <c r="T605" s="11">
        <v>7.0</v>
      </c>
      <c r="U605" s="52">
        <v>91420.0</v>
      </c>
      <c r="V605" s="11">
        <v>0.0</v>
      </c>
      <c r="W605" s="11">
        <v>6.0</v>
      </c>
      <c r="X605" s="48">
        <v>5.935</v>
      </c>
      <c r="Y605" s="11">
        <f t="shared" si="2"/>
        <v>0.05935</v>
      </c>
    </row>
    <row r="606">
      <c r="A606" s="17">
        <v>75.0</v>
      </c>
      <c r="B606" s="24">
        <v>12.0</v>
      </c>
      <c r="C606" s="24">
        <v>7.0</v>
      </c>
      <c r="D606" s="24">
        <v>8.0</v>
      </c>
      <c r="E606" s="24">
        <v>62.0</v>
      </c>
      <c r="F606" s="48">
        <v>4.2927</v>
      </c>
      <c r="G606" s="49">
        <f t="shared" si="1"/>
        <v>0.042927</v>
      </c>
      <c r="H606" s="11">
        <v>9.0</v>
      </c>
      <c r="I606" s="11">
        <v>7.0</v>
      </c>
      <c r="J606" s="50">
        <v>70418.0</v>
      </c>
      <c r="K606" s="11">
        <v>7.0</v>
      </c>
      <c r="L606" s="11">
        <v>3.0</v>
      </c>
      <c r="M606" s="51">
        <v>629.0</v>
      </c>
      <c r="N606" s="17">
        <v>61.0</v>
      </c>
      <c r="O606" s="24" t="s">
        <v>600</v>
      </c>
      <c r="P606" s="52">
        <v>80613.0</v>
      </c>
      <c r="Q606" s="51">
        <v>966.0</v>
      </c>
      <c r="R606" s="53">
        <v>525585.55</v>
      </c>
      <c r="S606" s="24" t="s">
        <v>600</v>
      </c>
      <c r="T606" s="11">
        <v>5.0</v>
      </c>
      <c r="U606" s="52">
        <v>70320.0</v>
      </c>
      <c r="V606" s="11">
        <v>7.0</v>
      </c>
      <c r="W606" s="11">
        <v>1.0</v>
      </c>
      <c r="X606" s="48">
        <v>9.3691</v>
      </c>
      <c r="Y606" s="11">
        <f t="shared" si="2"/>
        <v>0.093691</v>
      </c>
    </row>
    <row r="607">
      <c r="A607" s="17">
        <v>79.0</v>
      </c>
      <c r="B607" s="24">
        <v>53.0</v>
      </c>
      <c r="C607" s="24">
        <v>7.0</v>
      </c>
      <c r="D607" s="24">
        <v>3.0</v>
      </c>
      <c r="E607" s="24">
        <v>68.0</v>
      </c>
      <c r="F607" s="48">
        <v>6.4622</v>
      </c>
      <c r="G607" s="49">
        <f t="shared" si="1"/>
        <v>0.064622</v>
      </c>
      <c r="H607" s="11">
        <v>9.0</v>
      </c>
      <c r="I607" s="11">
        <v>3.0</v>
      </c>
      <c r="J607" s="50">
        <v>30119.0</v>
      </c>
      <c r="K607" s="11">
        <v>1.0</v>
      </c>
      <c r="L607" s="11">
        <v>7.0</v>
      </c>
      <c r="M607" s="51">
        <v>636.0</v>
      </c>
      <c r="N607" s="17">
        <v>91.0</v>
      </c>
      <c r="O607" s="24" t="s">
        <v>600</v>
      </c>
      <c r="P607" s="52">
        <v>10620.0</v>
      </c>
      <c r="Q607" s="51">
        <v>513.0</v>
      </c>
      <c r="R607" s="53">
        <v>-788985.96</v>
      </c>
      <c r="S607" s="24" t="s">
        <v>600</v>
      </c>
      <c r="T607" s="11">
        <v>6.0</v>
      </c>
      <c r="U607" s="52">
        <v>72318.0</v>
      </c>
      <c r="V607" s="11">
        <v>5.0</v>
      </c>
      <c r="W607" s="11">
        <v>5.0</v>
      </c>
      <c r="X607" s="48">
        <v>6.9306</v>
      </c>
      <c r="Y607" s="11">
        <f t="shared" si="2"/>
        <v>0.069306</v>
      </c>
    </row>
    <row r="608">
      <c r="A608" s="17">
        <v>69.0</v>
      </c>
      <c r="B608" s="24">
        <v>33.0</v>
      </c>
      <c r="C608" s="24">
        <v>2.0</v>
      </c>
      <c r="D608" s="24">
        <v>9.0</v>
      </c>
      <c r="E608" s="24">
        <v>66.0</v>
      </c>
      <c r="F608" s="48">
        <v>3.8737</v>
      </c>
      <c r="G608" s="49">
        <f t="shared" si="1"/>
        <v>0.038737</v>
      </c>
      <c r="H608" s="11">
        <v>6.0</v>
      </c>
      <c r="I608" s="11">
        <v>1.0</v>
      </c>
      <c r="J608" s="50">
        <v>90623.0</v>
      </c>
      <c r="K608" s="11">
        <v>7.0</v>
      </c>
      <c r="L608" s="11">
        <v>9.0</v>
      </c>
      <c r="M608" s="51">
        <v>907.0</v>
      </c>
      <c r="N608" s="17">
        <v>29.0</v>
      </c>
      <c r="O608" s="24" t="s">
        <v>31</v>
      </c>
      <c r="P608" s="52">
        <v>31123.0</v>
      </c>
      <c r="Q608" s="51">
        <v>273.0</v>
      </c>
      <c r="R608" s="53">
        <v>9711.57</v>
      </c>
      <c r="S608" s="24" t="s">
        <v>600</v>
      </c>
      <c r="T608" s="11">
        <v>3.0</v>
      </c>
      <c r="U608" s="52">
        <v>21323.0</v>
      </c>
      <c r="V608" s="11">
        <v>0.0</v>
      </c>
      <c r="W608" s="11">
        <v>1.0</v>
      </c>
      <c r="X608" s="48">
        <v>1.724</v>
      </c>
      <c r="Y608" s="11">
        <f t="shared" si="2"/>
        <v>0.01724</v>
      </c>
    </row>
    <row r="609">
      <c r="A609" s="17">
        <v>80.0</v>
      </c>
      <c r="B609" s="24">
        <v>74.0</v>
      </c>
      <c r="C609" s="24">
        <v>2.0</v>
      </c>
      <c r="D609" s="24">
        <v>7.0</v>
      </c>
      <c r="E609" s="24">
        <v>66.0</v>
      </c>
      <c r="F609" s="48">
        <v>8.8974</v>
      </c>
      <c r="G609" s="49">
        <f t="shared" si="1"/>
        <v>0.088974</v>
      </c>
      <c r="H609" s="11">
        <v>4.0</v>
      </c>
      <c r="I609" s="11">
        <v>8.0</v>
      </c>
      <c r="J609" s="50">
        <v>22516.0</v>
      </c>
      <c r="K609" s="11">
        <v>1.0</v>
      </c>
      <c r="L609" s="11">
        <v>7.0</v>
      </c>
      <c r="M609" s="51">
        <v>477.0</v>
      </c>
      <c r="N609" s="17">
        <v>97.0</v>
      </c>
      <c r="O609" s="24" t="s">
        <v>603</v>
      </c>
      <c r="P609" s="52">
        <v>81514.0</v>
      </c>
      <c r="Q609" s="51">
        <v>744.0</v>
      </c>
      <c r="R609" s="53">
        <v>-44669.85</v>
      </c>
      <c r="S609" s="24" t="s">
        <v>602</v>
      </c>
      <c r="T609" s="11">
        <v>0.0</v>
      </c>
      <c r="U609" s="52">
        <v>60415.0</v>
      </c>
      <c r="V609" s="11">
        <v>8.0</v>
      </c>
      <c r="W609" s="11">
        <v>7.0</v>
      </c>
      <c r="X609" s="48">
        <v>7.9762</v>
      </c>
      <c r="Y609" s="11">
        <f t="shared" si="2"/>
        <v>0.079762</v>
      </c>
    </row>
    <row r="610">
      <c r="A610" s="17">
        <v>36.0</v>
      </c>
      <c r="B610" s="24">
        <v>33.0</v>
      </c>
      <c r="C610" s="24">
        <v>3.0</v>
      </c>
      <c r="D610" s="24">
        <v>3.0</v>
      </c>
      <c r="E610" s="24">
        <v>65.0</v>
      </c>
      <c r="F610" s="48">
        <v>8.6355</v>
      </c>
      <c r="G610" s="49">
        <f t="shared" si="1"/>
        <v>0.086355</v>
      </c>
      <c r="H610" s="11">
        <v>8.0</v>
      </c>
      <c r="I610" s="11">
        <v>8.0</v>
      </c>
      <c r="J610" s="50">
        <v>30919.0</v>
      </c>
      <c r="K610" s="11">
        <v>2.0</v>
      </c>
      <c r="L610" s="11">
        <v>6.0</v>
      </c>
      <c r="M610" s="51">
        <v>580.0</v>
      </c>
      <c r="N610" s="17">
        <v>30.0</v>
      </c>
      <c r="O610" s="24" t="s">
        <v>39</v>
      </c>
      <c r="P610" s="52">
        <v>91516.0</v>
      </c>
      <c r="Q610" s="51">
        <v>738.0</v>
      </c>
      <c r="R610" s="53">
        <v>-28741.3</v>
      </c>
      <c r="S610" s="24" t="s">
        <v>605</v>
      </c>
      <c r="T610" s="11">
        <v>1.0</v>
      </c>
      <c r="U610" s="52">
        <v>62718.0</v>
      </c>
      <c r="V610" s="11">
        <v>3.0</v>
      </c>
      <c r="W610" s="11">
        <v>3.0</v>
      </c>
      <c r="X610" s="48">
        <v>8.113</v>
      </c>
      <c r="Y610" s="11">
        <f t="shared" si="2"/>
        <v>0.08113</v>
      </c>
    </row>
    <row r="611">
      <c r="A611" s="17">
        <v>42.0</v>
      </c>
      <c r="B611" s="24">
        <v>94.0</v>
      </c>
      <c r="C611" s="24">
        <v>7.0</v>
      </c>
      <c r="D611" s="24">
        <v>7.0</v>
      </c>
      <c r="E611" s="24">
        <v>68.0</v>
      </c>
      <c r="F611" s="48">
        <v>8.279</v>
      </c>
      <c r="G611" s="49">
        <f t="shared" si="1"/>
        <v>0.08279</v>
      </c>
      <c r="H611" s="11">
        <v>7.0</v>
      </c>
      <c r="I611" s="11">
        <v>7.0</v>
      </c>
      <c r="J611" s="50">
        <v>60520.0</v>
      </c>
      <c r="K611" s="11">
        <v>0.0</v>
      </c>
      <c r="L611" s="11">
        <v>4.0</v>
      </c>
      <c r="M611" s="51">
        <v>414.0</v>
      </c>
      <c r="N611" s="17">
        <v>13.0</v>
      </c>
      <c r="O611" s="24" t="s">
        <v>39</v>
      </c>
      <c r="P611" s="52">
        <v>110618.0</v>
      </c>
      <c r="Q611" s="51">
        <v>59.0</v>
      </c>
      <c r="R611" s="53">
        <v>-55561.61</v>
      </c>
      <c r="S611" s="24" t="s">
        <v>605</v>
      </c>
      <c r="T611" s="11">
        <v>4.0</v>
      </c>
      <c r="U611" s="52">
        <v>90517.0</v>
      </c>
      <c r="V611" s="11">
        <v>6.0</v>
      </c>
      <c r="W611" s="11">
        <v>0.0</v>
      </c>
      <c r="X611" s="48">
        <v>8.363</v>
      </c>
      <c r="Y611" s="11">
        <f t="shared" si="2"/>
        <v>0.08363</v>
      </c>
    </row>
    <row r="612">
      <c r="A612" s="17">
        <v>77.0</v>
      </c>
      <c r="B612" s="24">
        <v>53.0</v>
      </c>
      <c r="C612" s="24">
        <v>8.0</v>
      </c>
      <c r="D612" s="24">
        <v>3.0</v>
      </c>
      <c r="E612" s="24">
        <v>63.0</v>
      </c>
      <c r="F612" s="48">
        <v>7.4938</v>
      </c>
      <c r="G612" s="49">
        <f t="shared" si="1"/>
        <v>0.074938</v>
      </c>
      <c r="H612" s="11">
        <v>5.0</v>
      </c>
      <c r="I612" s="11">
        <v>1.0</v>
      </c>
      <c r="J612" s="50">
        <v>72015.0</v>
      </c>
      <c r="K612" s="11">
        <v>6.0</v>
      </c>
      <c r="L612" s="11">
        <v>3.0</v>
      </c>
      <c r="M612" s="51">
        <v>130.0</v>
      </c>
      <c r="N612" s="17">
        <v>60.0</v>
      </c>
      <c r="O612" s="24" t="s">
        <v>606</v>
      </c>
      <c r="P612" s="52">
        <v>21723.0</v>
      </c>
      <c r="Q612" s="51">
        <v>925.0</v>
      </c>
      <c r="R612" s="53">
        <v>599450.55</v>
      </c>
      <c r="S612" s="24" t="s">
        <v>605</v>
      </c>
      <c r="T612" s="11">
        <v>0.0</v>
      </c>
      <c r="U612" s="52">
        <v>21519.0</v>
      </c>
      <c r="V612" s="11">
        <v>2.0</v>
      </c>
      <c r="W612" s="11">
        <v>6.0</v>
      </c>
      <c r="X612" s="48">
        <v>1.5469</v>
      </c>
      <c r="Y612" s="11">
        <f t="shared" si="2"/>
        <v>0.015469</v>
      </c>
    </row>
    <row r="613">
      <c r="A613" s="17">
        <v>5.0</v>
      </c>
      <c r="B613" s="24">
        <v>74.0</v>
      </c>
      <c r="C613" s="24">
        <v>3.0</v>
      </c>
      <c r="D613" s="24">
        <v>2.0</v>
      </c>
      <c r="E613" s="24">
        <v>66.0</v>
      </c>
      <c r="F613" s="48">
        <v>3.6752</v>
      </c>
      <c r="G613" s="49">
        <f t="shared" si="1"/>
        <v>0.036752</v>
      </c>
      <c r="H613" s="11">
        <v>1.0</v>
      </c>
      <c r="I613" s="11">
        <v>9.0</v>
      </c>
      <c r="J613" s="50">
        <v>91921.0</v>
      </c>
      <c r="K613" s="11">
        <v>5.0</v>
      </c>
      <c r="L613" s="11">
        <v>4.0</v>
      </c>
      <c r="M613" s="51">
        <v>884.0</v>
      </c>
      <c r="N613" s="17">
        <v>9.0</v>
      </c>
      <c r="O613" s="24" t="s">
        <v>48</v>
      </c>
      <c r="P613" s="52">
        <v>91618.0</v>
      </c>
      <c r="Q613" s="51">
        <v>589.0</v>
      </c>
      <c r="R613" s="53">
        <v>-35301.66</v>
      </c>
      <c r="S613" s="24" t="s">
        <v>604</v>
      </c>
      <c r="T613" s="11">
        <v>1.0</v>
      </c>
      <c r="U613" s="52">
        <v>111021.0</v>
      </c>
      <c r="V613" s="11">
        <v>7.0</v>
      </c>
      <c r="W613" s="11">
        <v>2.0</v>
      </c>
      <c r="X613" s="48">
        <v>3.5322</v>
      </c>
      <c r="Y613" s="11">
        <f t="shared" si="2"/>
        <v>0.035322</v>
      </c>
    </row>
    <row r="614">
      <c r="A614" s="17">
        <v>29.0</v>
      </c>
      <c r="B614" s="24">
        <v>33.0</v>
      </c>
      <c r="C614" s="24">
        <v>3.0</v>
      </c>
      <c r="D614" s="24">
        <v>7.0</v>
      </c>
      <c r="E614" s="24">
        <v>61.0</v>
      </c>
      <c r="F614" s="48">
        <v>7.352</v>
      </c>
      <c r="G614" s="49">
        <f t="shared" si="1"/>
        <v>0.07352</v>
      </c>
      <c r="H614" s="11">
        <v>3.0</v>
      </c>
      <c r="I614" s="11">
        <v>1.0</v>
      </c>
      <c r="J614" s="50">
        <v>71921.0</v>
      </c>
      <c r="K614" s="11">
        <v>8.0</v>
      </c>
      <c r="L614" s="11">
        <v>4.0</v>
      </c>
      <c r="M614" s="51">
        <v>731.0</v>
      </c>
      <c r="N614" s="17">
        <v>61.0</v>
      </c>
      <c r="O614" s="24" t="s">
        <v>31</v>
      </c>
      <c r="P614" s="52">
        <v>101713.0</v>
      </c>
      <c r="Q614" s="51">
        <v>299.0</v>
      </c>
      <c r="R614" s="53">
        <v>-831922.76</v>
      </c>
      <c r="S614" s="24" t="s">
        <v>602</v>
      </c>
      <c r="T614" s="11">
        <v>0.0</v>
      </c>
      <c r="U614" s="52">
        <v>60114.0</v>
      </c>
      <c r="V614" s="11">
        <v>4.0</v>
      </c>
      <c r="W614" s="11">
        <v>3.0</v>
      </c>
      <c r="X614" s="48">
        <v>2.735</v>
      </c>
      <c r="Y614" s="11">
        <f t="shared" si="2"/>
        <v>0.02735</v>
      </c>
    </row>
    <row r="615">
      <c r="A615" s="17">
        <v>92.0</v>
      </c>
      <c r="B615" s="24">
        <v>94.0</v>
      </c>
      <c r="C615" s="24">
        <v>8.0</v>
      </c>
      <c r="D615" s="24">
        <v>3.0</v>
      </c>
      <c r="E615" s="24">
        <v>68.0</v>
      </c>
      <c r="F615" s="48">
        <v>7.6988</v>
      </c>
      <c r="G615" s="49">
        <f t="shared" si="1"/>
        <v>0.076988</v>
      </c>
      <c r="H615" s="11">
        <v>1.0</v>
      </c>
      <c r="I615" s="11">
        <v>8.0</v>
      </c>
      <c r="J615" s="50">
        <v>31416.0</v>
      </c>
      <c r="K615" s="11">
        <v>5.0</v>
      </c>
      <c r="L615" s="11">
        <v>1.0</v>
      </c>
      <c r="M615" s="51">
        <v>278.0</v>
      </c>
      <c r="N615" s="17">
        <v>11.0</v>
      </c>
      <c r="O615" s="24" t="s">
        <v>603</v>
      </c>
      <c r="P615" s="52">
        <v>62921.0</v>
      </c>
      <c r="Q615" s="51">
        <v>242.0</v>
      </c>
      <c r="R615" s="53">
        <v>-2133.51</v>
      </c>
      <c r="S615" s="24" t="s">
        <v>602</v>
      </c>
      <c r="T615" s="11">
        <v>0.0</v>
      </c>
      <c r="U615" s="52">
        <v>110615.0</v>
      </c>
      <c r="V615" s="11">
        <v>6.0</v>
      </c>
      <c r="W615" s="11">
        <v>3.0</v>
      </c>
      <c r="X615" s="48">
        <v>1.3408</v>
      </c>
      <c r="Y615" s="11">
        <f t="shared" si="2"/>
        <v>0.013408</v>
      </c>
    </row>
    <row r="616">
      <c r="A616" s="17">
        <v>50.0</v>
      </c>
      <c r="B616" s="24">
        <v>53.0</v>
      </c>
      <c r="C616" s="24">
        <v>8.0</v>
      </c>
      <c r="D616" s="24">
        <v>8.0</v>
      </c>
      <c r="E616" s="24">
        <v>60.0</v>
      </c>
      <c r="F616" s="48">
        <v>1.3414</v>
      </c>
      <c r="G616" s="49">
        <f t="shared" si="1"/>
        <v>0.013414</v>
      </c>
      <c r="H616" s="11">
        <v>6.0</v>
      </c>
      <c r="I616" s="11">
        <v>5.0</v>
      </c>
      <c r="J616" s="50">
        <v>51615.0</v>
      </c>
      <c r="K616" s="11">
        <v>5.0</v>
      </c>
      <c r="L616" s="11">
        <v>4.0</v>
      </c>
      <c r="M616" s="51">
        <v>639.0</v>
      </c>
      <c r="N616" s="17">
        <v>6.0</v>
      </c>
      <c r="O616" s="24" t="s">
        <v>601</v>
      </c>
      <c r="P616" s="52">
        <v>81914.0</v>
      </c>
      <c r="Q616" s="51">
        <v>342.0</v>
      </c>
      <c r="R616" s="53">
        <v>126.96</v>
      </c>
      <c r="S616" s="24" t="s">
        <v>605</v>
      </c>
      <c r="T616" s="11">
        <v>2.0</v>
      </c>
      <c r="U616" s="52">
        <v>81114.0</v>
      </c>
      <c r="V616" s="11">
        <v>5.0</v>
      </c>
      <c r="W616" s="11">
        <v>8.0</v>
      </c>
      <c r="X616" s="48">
        <v>3.6652</v>
      </c>
      <c r="Y616" s="11">
        <f t="shared" si="2"/>
        <v>0.036652</v>
      </c>
    </row>
    <row r="617">
      <c r="A617" s="17">
        <v>25.0</v>
      </c>
      <c r="B617" s="24">
        <v>12.0</v>
      </c>
      <c r="C617" s="24">
        <v>9.0</v>
      </c>
      <c r="D617" s="24">
        <v>4.0</v>
      </c>
      <c r="E617" s="24">
        <v>62.0</v>
      </c>
      <c r="F617" s="48">
        <v>7.8238</v>
      </c>
      <c r="G617" s="49">
        <f t="shared" si="1"/>
        <v>0.078238</v>
      </c>
      <c r="H617" s="11">
        <v>6.0</v>
      </c>
      <c r="I617" s="11">
        <v>6.0</v>
      </c>
      <c r="J617" s="50">
        <v>82719.0</v>
      </c>
      <c r="K617" s="11">
        <v>4.0</v>
      </c>
      <c r="L617" s="11">
        <v>6.0</v>
      </c>
      <c r="M617" s="51">
        <v>738.0</v>
      </c>
      <c r="N617" s="17">
        <v>15.0</v>
      </c>
      <c r="O617" s="24" t="s">
        <v>48</v>
      </c>
      <c r="P617" s="52">
        <v>41313.0</v>
      </c>
      <c r="Q617" s="51">
        <v>205.0</v>
      </c>
      <c r="R617" s="53">
        <v>53046.99</v>
      </c>
      <c r="S617" s="24" t="s">
        <v>602</v>
      </c>
      <c r="T617" s="11">
        <v>2.0</v>
      </c>
      <c r="U617" s="52">
        <v>71714.0</v>
      </c>
      <c r="V617" s="11">
        <v>0.0</v>
      </c>
      <c r="W617" s="11">
        <v>4.0</v>
      </c>
      <c r="X617" s="48">
        <v>3.5398</v>
      </c>
      <c r="Y617" s="11">
        <f t="shared" si="2"/>
        <v>0.035398</v>
      </c>
    </row>
    <row r="618">
      <c r="A618" s="17">
        <v>22.0</v>
      </c>
      <c r="B618" s="24">
        <v>53.0</v>
      </c>
      <c r="C618" s="24">
        <v>9.0</v>
      </c>
      <c r="D618" s="24">
        <v>3.0</v>
      </c>
      <c r="E618" s="24">
        <v>66.0</v>
      </c>
      <c r="F618" s="48">
        <v>4.231</v>
      </c>
      <c r="G618" s="49">
        <f t="shared" si="1"/>
        <v>0.04231</v>
      </c>
      <c r="H618" s="11">
        <v>9.0</v>
      </c>
      <c r="I618" s="11">
        <v>3.0</v>
      </c>
      <c r="J618" s="50">
        <v>90418.0</v>
      </c>
      <c r="K618" s="11">
        <v>0.0</v>
      </c>
      <c r="L618" s="11">
        <v>3.0</v>
      </c>
      <c r="M618" s="51">
        <v>989.0</v>
      </c>
      <c r="N618" s="17">
        <v>22.0</v>
      </c>
      <c r="O618" s="24" t="s">
        <v>31</v>
      </c>
      <c r="P618" s="52">
        <v>40820.0</v>
      </c>
      <c r="Q618" s="51">
        <v>669.0</v>
      </c>
      <c r="R618" s="53">
        <v>209.23</v>
      </c>
      <c r="S618" s="24" t="s">
        <v>605</v>
      </c>
      <c r="T618" s="11">
        <v>7.0</v>
      </c>
      <c r="U618" s="52">
        <v>10622.0</v>
      </c>
      <c r="V618" s="11">
        <v>0.0</v>
      </c>
      <c r="W618" s="11">
        <v>6.0</v>
      </c>
      <c r="X618" s="48">
        <v>1.2343</v>
      </c>
      <c r="Y618" s="11">
        <f t="shared" si="2"/>
        <v>0.012343</v>
      </c>
    </row>
    <row r="619">
      <c r="A619" s="17">
        <v>95.0</v>
      </c>
      <c r="B619" s="24">
        <v>94.0</v>
      </c>
      <c r="C619" s="24">
        <v>8.0</v>
      </c>
      <c r="D619" s="24">
        <v>9.0</v>
      </c>
      <c r="E619" s="24">
        <v>60.0</v>
      </c>
      <c r="F619" s="48">
        <v>8.7958</v>
      </c>
      <c r="G619" s="49">
        <f t="shared" si="1"/>
        <v>0.087958</v>
      </c>
      <c r="H619" s="11">
        <v>9.0</v>
      </c>
      <c r="I619" s="11">
        <v>7.0</v>
      </c>
      <c r="J619" s="50">
        <v>10217.0</v>
      </c>
      <c r="K619" s="11">
        <v>3.0</v>
      </c>
      <c r="L619" s="11">
        <v>9.0</v>
      </c>
      <c r="M619" s="51">
        <v>39.0</v>
      </c>
      <c r="N619" s="17">
        <v>45.0</v>
      </c>
      <c r="O619" s="24" t="s">
        <v>39</v>
      </c>
      <c r="P619" s="52">
        <v>21121.0</v>
      </c>
      <c r="Q619" s="51">
        <v>631.0</v>
      </c>
      <c r="R619" s="53">
        <v>-442401.43</v>
      </c>
      <c r="S619" s="24" t="s">
        <v>605</v>
      </c>
      <c r="T619" s="11">
        <v>5.0</v>
      </c>
      <c r="U619" s="52">
        <v>81116.0</v>
      </c>
      <c r="V619" s="11">
        <v>1.0</v>
      </c>
      <c r="W619" s="11">
        <v>8.0</v>
      </c>
      <c r="X619" s="48">
        <v>2.849</v>
      </c>
      <c r="Y619" s="11">
        <f t="shared" si="2"/>
        <v>0.02849</v>
      </c>
    </row>
    <row r="620">
      <c r="A620" s="17">
        <v>0.0</v>
      </c>
      <c r="B620" s="24">
        <v>33.0</v>
      </c>
      <c r="C620" s="24">
        <v>4.0</v>
      </c>
      <c r="D620" s="24">
        <v>9.0</v>
      </c>
      <c r="E620" s="24">
        <v>67.0</v>
      </c>
      <c r="F620" s="48">
        <v>7.7739</v>
      </c>
      <c r="G620" s="49">
        <f t="shared" si="1"/>
        <v>0.077739</v>
      </c>
      <c r="H620" s="11">
        <v>4.0</v>
      </c>
      <c r="I620" s="11">
        <v>9.0</v>
      </c>
      <c r="J620" s="50">
        <v>81619.0</v>
      </c>
      <c r="K620" s="11">
        <v>3.0</v>
      </c>
      <c r="L620" s="11">
        <v>4.0</v>
      </c>
      <c r="M620" s="51">
        <v>963.0</v>
      </c>
      <c r="N620" s="17">
        <v>5.0</v>
      </c>
      <c r="O620" s="24" t="s">
        <v>603</v>
      </c>
      <c r="P620" s="52">
        <v>121223.0</v>
      </c>
      <c r="Q620" s="51">
        <v>639.0</v>
      </c>
      <c r="R620" s="53">
        <v>9914.6</v>
      </c>
      <c r="S620" s="24" t="s">
        <v>605</v>
      </c>
      <c r="T620" s="11">
        <v>1.0</v>
      </c>
      <c r="U620" s="52">
        <v>41121.0</v>
      </c>
      <c r="V620" s="11">
        <v>4.0</v>
      </c>
      <c r="W620" s="11">
        <v>0.0</v>
      </c>
      <c r="X620" s="48">
        <v>5.211</v>
      </c>
      <c r="Y620" s="11">
        <f t="shared" si="2"/>
        <v>0.05211</v>
      </c>
    </row>
    <row r="621">
      <c r="A621" s="17">
        <v>6.0</v>
      </c>
      <c r="B621" s="24">
        <v>94.0</v>
      </c>
      <c r="C621" s="24">
        <v>9.0</v>
      </c>
      <c r="D621" s="24">
        <v>4.0</v>
      </c>
      <c r="E621" s="24">
        <v>65.0</v>
      </c>
      <c r="F621" s="48">
        <v>9.974</v>
      </c>
      <c r="G621" s="49">
        <f t="shared" si="1"/>
        <v>0.09974</v>
      </c>
      <c r="H621" s="11">
        <v>1.0</v>
      </c>
      <c r="I621" s="11">
        <v>2.0</v>
      </c>
      <c r="J621" s="50">
        <v>32321.0</v>
      </c>
      <c r="K621" s="11">
        <v>2.0</v>
      </c>
      <c r="L621" s="11">
        <v>3.0</v>
      </c>
      <c r="M621" s="51">
        <v>775.0</v>
      </c>
      <c r="N621" s="17">
        <v>48.0</v>
      </c>
      <c r="O621" s="24" t="s">
        <v>603</v>
      </c>
      <c r="P621" s="52">
        <v>80513.0</v>
      </c>
      <c r="Q621" s="51">
        <v>767.0</v>
      </c>
      <c r="R621" s="53">
        <v>-589.98</v>
      </c>
      <c r="S621" s="24" t="s">
        <v>604</v>
      </c>
      <c r="T621" s="11">
        <v>8.0</v>
      </c>
      <c r="U621" s="52">
        <v>92814.0</v>
      </c>
      <c r="V621" s="11">
        <v>3.0</v>
      </c>
      <c r="W621" s="11">
        <v>8.0</v>
      </c>
      <c r="X621" s="48">
        <v>5.558</v>
      </c>
      <c r="Y621" s="11">
        <f t="shared" si="2"/>
        <v>0.05558</v>
      </c>
    </row>
    <row r="622">
      <c r="A622" s="17">
        <v>19.0</v>
      </c>
      <c r="B622" s="24">
        <v>74.0</v>
      </c>
      <c r="C622" s="24">
        <v>4.0</v>
      </c>
      <c r="D622" s="24">
        <v>8.0</v>
      </c>
      <c r="E622" s="24">
        <v>62.0</v>
      </c>
      <c r="F622" s="48">
        <v>1.6035</v>
      </c>
      <c r="G622" s="49">
        <f t="shared" si="1"/>
        <v>0.016035</v>
      </c>
      <c r="H622" s="11">
        <v>3.0</v>
      </c>
      <c r="I622" s="11">
        <v>1.0</v>
      </c>
      <c r="J622" s="50">
        <v>92219.0</v>
      </c>
      <c r="K622" s="11">
        <v>0.0</v>
      </c>
      <c r="L622" s="11">
        <v>6.0</v>
      </c>
      <c r="M622" s="51">
        <v>23.0</v>
      </c>
      <c r="N622" s="17">
        <v>7.0</v>
      </c>
      <c r="O622" s="24" t="s">
        <v>31</v>
      </c>
      <c r="P622" s="52">
        <v>80214.0</v>
      </c>
      <c r="Q622" s="51">
        <v>873.0</v>
      </c>
      <c r="R622" s="53">
        <v>572357.24</v>
      </c>
      <c r="S622" s="24" t="s">
        <v>602</v>
      </c>
      <c r="T622" s="11">
        <v>2.0</v>
      </c>
      <c r="U622" s="52">
        <v>13022.0</v>
      </c>
      <c r="V622" s="11">
        <v>2.0</v>
      </c>
      <c r="W622" s="11">
        <v>7.0</v>
      </c>
      <c r="X622" s="48">
        <v>7.9578</v>
      </c>
      <c r="Y622" s="11">
        <f t="shared" si="2"/>
        <v>0.079578</v>
      </c>
    </row>
    <row r="623">
      <c r="A623" s="17">
        <v>69.0</v>
      </c>
      <c r="B623" s="24">
        <v>74.0</v>
      </c>
      <c r="C623" s="24">
        <v>4.0</v>
      </c>
      <c r="D623" s="24">
        <v>9.0</v>
      </c>
      <c r="E623" s="24">
        <v>60.0</v>
      </c>
      <c r="F623" s="48">
        <v>5.2092</v>
      </c>
      <c r="G623" s="49">
        <f t="shared" si="1"/>
        <v>0.052092</v>
      </c>
      <c r="H623" s="11">
        <v>8.0</v>
      </c>
      <c r="I623" s="11">
        <v>7.0</v>
      </c>
      <c r="J623" s="50">
        <v>12321.0</v>
      </c>
      <c r="K623" s="11">
        <v>6.0</v>
      </c>
      <c r="L623" s="11">
        <v>0.0</v>
      </c>
      <c r="M623" s="51">
        <v>527.0</v>
      </c>
      <c r="N623" s="17">
        <v>89.0</v>
      </c>
      <c r="O623" s="24" t="s">
        <v>601</v>
      </c>
      <c r="P623" s="52">
        <v>61016.0</v>
      </c>
      <c r="Q623" s="51">
        <v>314.0</v>
      </c>
      <c r="R623" s="53">
        <v>-911839.39</v>
      </c>
      <c r="S623" s="24" t="s">
        <v>600</v>
      </c>
      <c r="T623" s="11">
        <v>9.0</v>
      </c>
      <c r="U623" s="52">
        <v>12723.0</v>
      </c>
      <c r="V623" s="11">
        <v>2.0</v>
      </c>
      <c r="W623" s="11">
        <v>2.0</v>
      </c>
      <c r="X623" s="48">
        <v>5.3126</v>
      </c>
      <c r="Y623" s="11">
        <f t="shared" si="2"/>
        <v>0.053126</v>
      </c>
    </row>
    <row r="624">
      <c r="A624" s="17">
        <v>70.0</v>
      </c>
      <c r="B624" s="24">
        <v>33.0</v>
      </c>
      <c r="C624" s="24">
        <v>5.0</v>
      </c>
      <c r="D624" s="24">
        <v>3.0</v>
      </c>
      <c r="E624" s="24">
        <v>65.0</v>
      </c>
      <c r="F624" s="48">
        <v>9.8526</v>
      </c>
      <c r="G624" s="49">
        <f t="shared" si="1"/>
        <v>0.098526</v>
      </c>
      <c r="H624" s="11">
        <v>3.0</v>
      </c>
      <c r="I624" s="11">
        <v>9.0</v>
      </c>
      <c r="J624" s="50">
        <v>70515.0</v>
      </c>
      <c r="K624" s="11">
        <v>9.0</v>
      </c>
      <c r="L624" s="11">
        <v>8.0</v>
      </c>
      <c r="M624" s="51">
        <v>828.0</v>
      </c>
      <c r="N624" s="17">
        <v>82.0</v>
      </c>
      <c r="O624" s="24" t="s">
        <v>600</v>
      </c>
      <c r="P624" s="52">
        <v>51917.0</v>
      </c>
      <c r="Q624" s="51">
        <v>849.0</v>
      </c>
      <c r="R624" s="53">
        <v>138.15</v>
      </c>
      <c r="S624" s="24" t="s">
        <v>604</v>
      </c>
      <c r="T624" s="11">
        <v>1.0</v>
      </c>
      <c r="U624" s="52">
        <v>32415.0</v>
      </c>
      <c r="V624" s="11">
        <v>5.0</v>
      </c>
      <c r="W624" s="11">
        <v>1.0</v>
      </c>
      <c r="X624" s="48">
        <v>3.3183</v>
      </c>
      <c r="Y624" s="11">
        <f t="shared" si="2"/>
        <v>0.033183</v>
      </c>
    </row>
    <row r="625">
      <c r="A625" s="17">
        <v>30.0</v>
      </c>
      <c r="B625" s="24">
        <v>94.0</v>
      </c>
      <c r="C625" s="24">
        <v>9.0</v>
      </c>
      <c r="D625" s="24">
        <v>8.0</v>
      </c>
      <c r="E625" s="24">
        <v>61.0</v>
      </c>
      <c r="F625" s="48">
        <v>2.2653</v>
      </c>
      <c r="G625" s="49">
        <f t="shared" si="1"/>
        <v>0.022653</v>
      </c>
      <c r="H625" s="11">
        <v>7.0</v>
      </c>
      <c r="I625" s="11">
        <v>4.0</v>
      </c>
      <c r="J625" s="50">
        <v>120321.0</v>
      </c>
      <c r="K625" s="11">
        <v>0.0</v>
      </c>
      <c r="L625" s="11">
        <v>6.0</v>
      </c>
      <c r="M625" s="51">
        <v>810.0</v>
      </c>
      <c r="N625" s="17">
        <v>8.0</v>
      </c>
      <c r="O625" s="24" t="s">
        <v>31</v>
      </c>
      <c r="P625" s="52">
        <v>21117.0</v>
      </c>
      <c r="Q625" s="51">
        <v>244.0</v>
      </c>
      <c r="R625" s="53">
        <v>280.14</v>
      </c>
      <c r="S625" s="24" t="s">
        <v>602</v>
      </c>
      <c r="T625" s="11">
        <v>1.0</v>
      </c>
      <c r="U625" s="52">
        <v>51414.0</v>
      </c>
      <c r="V625" s="11">
        <v>9.0</v>
      </c>
      <c r="W625" s="11">
        <v>2.0</v>
      </c>
      <c r="X625" s="48">
        <v>5.843</v>
      </c>
      <c r="Y625" s="11">
        <f t="shared" si="2"/>
        <v>0.05843</v>
      </c>
    </row>
    <row r="626">
      <c r="A626" s="17">
        <v>0.0</v>
      </c>
      <c r="B626" s="24">
        <v>74.0</v>
      </c>
      <c r="C626" s="24">
        <v>5.0</v>
      </c>
      <c r="D626" s="24">
        <v>4.0</v>
      </c>
      <c r="E626" s="24">
        <v>64.0</v>
      </c>
      <c r="F626" s="48">
        <v>4.5009</v>
      </c>
      <c r="G626" s="49">
        <f t="shared" si="1"/>
        <v>0.045009</v>
      </c>
      <c r="H626" s="11">
        <v>2.0</v>
      </c>
      <c r="I626" s="11">
        <v>6.0</v>
      </c>
      <c r="J626" s="50">
        <v>122621.0</v>
      </c>
      <c r="K626" s="11">
        <v>1.0</v>
      </c>
      <c r="L626" s="11">
        <v>8.0</v>
      </c>
      <c r="M626" s="51">
        <v>771.0</v>
      </c>
      <c r="N626" s="17">
        <v>2.0</v>
      </c>
      <c r="O626" s="24" t="s">
        <v>39</v>
      </c>
      <c r="P626" s="52">
        <v>20821.0</v>
      </c>
      <c r="Q626" s="51">
        <v>280.0</v>
      </c>
      <c r="R626" s="53">
        <v>-160.52</v>
      </c>
      <c r="S626" s="24" t="s">
        <v>604</v>
      </c>
      <c r="T626" s="11">
        <v>7.0</v>
      </c>
      <c r="U626" s="52">
        <v>90419.0</v>
      </c>
      <c r="V626" s="11">
        <v>0.0</v>
      </c>
      <c r="W626" s="11">
        <v>5.0</v>
      </c>
      <c r="X626" s="48">
        <v>6.8675</v>
      </c>
      <c r="Y626" s="11">
        <f t="shared" si="2"/>
        <v>0.068675</v>
      </c>
    </row>
    <row r="627">
      <c r="A627" s="17">
        <v>80.0</v>
      </c>
      <c r="B627" s="24">
        <v>13.0</v>
      </c>
      <c r="C627" s="24">
        <v>1.0</v>
      </c>
      <c r="D627" s="24">
        <v>1.0</v>
      </c>
      <c r="E627" s="24">
        <v>61.0</v>
      </c>
      <c r="F627" s="48">
        <v>2.8666</v>
      </c>
      <c r="G627" s="49">
        <f t="shared" si="1"/>
        <v>0.028666</v>
      </c>
      <c r="H627" s="11">
        <v>6.0</v>
      </c>
      <c r="I627" s="11">
        <v>8.0</v>
      </c>
      <c r="J627" s="50">
        <v>110720.0</v>
      </c>
      <c r="K627" s="11">
        <v>8.0</v>
      </c>
      <c r="L627" s="11">
        <v>8.0</v>
      </c>
      <c r="M627" s="51">
        <v>597.0</v>
      </c>
      <c r="N627" s="17">
        <v>64.0</v>
      </c>
      <c r="O627" s="24" t="s">
        <v>48</v>
      </c>
      <c r="P627" s="52">
        <v>121914.0</v>
      </c>
      <c r="Q627" s="51">
        <v>547.0</v>
      </c>
      <c r="R627" s="53">
        <v>-201.4</v>
      </c>
      <c r="S627" s="24" t="s">
        <v>600</v>
      </c>
      <c r="T627" s="11">
        <v>2.0</v>
      </c>
      <c r="U627" s="52">
        <v>21222.0</v>
      </c>
      <c r="V627" s="11">
        <v>8.0</v>
      </c>
      <c r="W627" s="11">
        <v>1.0</v>
      </c>
      <c r="X627" s="48">
        <v>7.36</v>
      </c>
      <c r="Y627" s="11">
        <f t="shared" si="2"/>
        <v>0.0736</v>
      </c>
    </row>
    <row r="628">
      <c r="A628" s="17">
        <v>10.0</v>
      </c>
      <c r="B628" s="24">
        <v>74.0</v>
      </c>
      <c r="C628" s="24">
        <v>5.0</v>
      </c>
      <c r="D628" s="24">
        <v>7.0</v>
      </c>
      <c r="E628" s="24">
        <v>67.0</v>
      </c>
      <c r="F628" s="48">
        <v>6.507</v>
      </c>
      <c r="G628" s="49">
        <f t="shared" si="1"/>
        <v>0.06507</v>
      </c>
      <c r="H628" s="11">
        <v>8.0</v>
      </c>
      <c r="I628" s="11">
        <v>3.0</v>
      </c>
      <c r="J628" s="50">
        <v>20315.0</v>
      </c>
      <c r="K628" s="11">
        <v>3.0</v>
      </c>
      <c r="L628" s="11">
        <v>0.0</v>
      </c>
      <c r="M628" s="51">
        <v>157.0</v>
      </c>
      <c r="N628" s="17">
        <v>23.0</v>
      </c>
      <c r="O628" s="24" t="s">
        <v>601</v>
      </c>
      <c r="P628" s="52">
        <v>51317.0</v>
      </c>
      <c r="Q628" s="51">
        <v>921.0</v>
      </c>
      <c r="R628" s="53">
        <v>-375721.66</v>
      </c>
      <c r="S628" s="24" t="s">
        <v>605</v>
      </c>
      <c r="T628" s="11">
        <v>7.0</v>
      </c>
      <c r="U628" s="52">
        <v>60813.0</v>
      </c>
      <c r="V628" s="11">
        <v>1.0</v>
      </c>
      <c r="W628" s="11">
        <v>3.0</v>
      </c>
      <c r="X628" s="48">
        <v>4.352</v>
      </c>
      <c r="Y628" s="11">
        <f t="shared" si="2"/>
        <v>0.04352</v>
      </c>
    </row>
    <row r="629">
      <c r="A629" s="17">
        <v>91.0</v>
      </c>
      <c r="B629" s="24">
        <v>13.0</v>
      </c>
      <c r="C629" s="24">
        <v>1.0</v>
      </c>
      <c r="D629" s="24">
        <v>4.0</v>
      </c>
      <c r="E629" s="24">
        <v>64.0</v>
      </c>
      <c r="F629" s="48">
        <v>9.6338</v>
      </c>
      <c r="G629" s="49">
        <f t="shared" si="1"/>
        <v>0.096338</v>
      </c>
      <c r="H629" s="11">
        <v>8.0</v>
      </c>
      <c r="I629" s="11">
        <v>3.0</v>
      </c>
      <c r="J629" s="50">
        <v>83020.0</v>
      </c>
      <c r="K629" s="11">
        <v>5.0</v>
      </c>
      <c r="L629" s="11">
        <v>7.0</v>
      </c>
      <c r="M629" s="51">
        <v>350.0</v>
      </c>
      <c r="N629" s="17">
        <v>14.0</v>
      </c>
      <c r="O629" s="24" t="s">
        <v>606</v>
      </c>
      <c r="P629" s="52">
        <v>113014.0</v>
      </c>
      <c r="Q629" s="51">
        <v>465.0</v>
      </c>
      <c r="R629" s="53">
        <v>569413.48</v>
      </c>
      <c r="S629" s="24" t="s">
        <v>602</v>
      </c>
      <c r="T629" s="11">
        <v>7.0</v>
      </c>
      <c r="U629" s="52">
        <v>123020.0</v>
      </c>
      <c r="V629" s="11">
        <v>6.0</v>
      </c>
      <c r="W629" s="11">
        <v>5.0</v>
      </c>
      <c r="X629" s="48">
        <v>5.3363</v>
      </c>
      <c r="Y629" s="11">
        <f t="shared" si="2"/>
        <v>0.053363</v>
      </c>
    </row>
    <row r="630">
      <c r="A630" s="17">
        <v>67.0</v>
      </c>
      <c r="B630" s="24">
        <v>33.0</v>
      </c>
      <c r="C630" s="24">
        <v>6.0</v>
      </c>
      <c r="D630" s="24">
        <v>3.0</v>
      </c>
      <c r="E630" s="24">
        <v>60.0</v>
      </c>
      <c r="F630" s="48">
        <v>7.903</v>
      </c>
      <c r="G630" s="49">
        <f t="shared" si="1"/>
        <v>0.07903</v>
      </c>
      <c r="H630" s="11">
        <v>8.0</v>
      </c>
      <c r="I630" s="11">
        <v>9.0</v>
      </c>
      <c r="J630" s="50">
        <v>71314.0</v>
      </c>
      <c r="K630" s="11">
        <v>0.0</v>
      </c>
      <c r="L630" s="11">
        <v>8.0</v>
      </c>
      <c r="M630" s="51">
        <v>720.0</v>
      </c>
      <c r="N630" s="17">
        <v>60.0</v>
      </c>
      <c r="O630" s="24" t="s">
        <v>603</v>
      </c>
      <c r="P630" s="52">
        <v>91015.0</v>
      </c>
      <c r="Q630" s="51">
        <v>113.0</v>
      </c>
      <c r="R630" s="53">
        <v>2881.73</v>
      </c>
      <c r="S630" s="24" t="s">
        <v>600</v>
      </c>
      <c r="T630" s="11">
        <v>0.0</v>
      </c>
      <c r="U630" s="52">
        <v>80418.0</v>
      </c>
      <c r="V630" s="11">
        <v>8.0</v>
      </c>
      <c r="W630" s="11">
        <v>8.0</v>
      </c>
      <c r="X630" s="48">
        <v>9.3925</v>
      </c>
      <c r="Y630" s="11">
        <f t="shared" si="2"/>
        <v>0.093925</v>
      </c>
    </row>
    <row r="631">
      <c r="A631" s="17">
        <v>17.0</v>
      </c>
      <c r="B631" s="24">
        <v>33.0</v>
      </c>
      <c r="C631" s="24">
        <v>6.0</v>
      </c>
      <c r="D631" s="24">
        <v>4.0</v>
      </c>
      <c r="E631" s="24">
        <v>64.0</v>
      </c>
      <c r="F631" s="48">
        <v>9.1073</v>
      </c>
      <c r="G631" s="49">
        <f t="shared" si="1"/>
        <v>0.091073</v>
      </c>
      <c r="H631" s="11">
        <v>0.0</v>
      </c>
      <c r="I631" s="11">
        <v>9.0</v>
      </c>
      <c r="J631" s="50">
        <v>22421.0</v>
      </c>
      <c r="K631" s="11">
        <v>0.0</v>
      </c>
      <c r="L631" s="11">
        <v>6.0</v>
      </c>
      <c r="M631" s="51">
        <v>535.0</v>
      </c>
      <c r="N631" s="17">
        <v>37.0</v>
      </c>
      <c r="O631" s="24" t="s">
        <v>601</v>
      </c>
      <c r="P631" s="52">
        <v>41423.0</v>
      </c>
      <c r="Q631" s="51">
        <v>77.0</v>
      </c>
      <c r="R631" s="53">
        <v>207589.52</v>
      </c>
      <c r="S631" s="24" t="s">
        <v>602</v>
      </c>
      <c r="T631" s="11">
        <v>9.0</v>
      </c>
      <c r="U631" s="52">
        <v>50213.0</v>
      </c>
      <c r="V631" s="11">
        <v>6.0</v>
      </c>
      <c r="W631" s="11">
        <v>1.0</v>
      </c>
      <c r="X631" s="48">
        <v>7.3482</v>
      </c>
      <c r="Y631" s="11">
        <f t="shared" si="2"/>
        <v>0.073482</v>
      </c>
    </row>
    <row r="632">
      <c r="A632" s="17">
        <v>51.0</v>
      </c>
      <c r="B632" s="24">
        <v>54.0</v>
      </c>
      <c r="C632" s="24">
        <v>1.0</v>
      </c>
      <c r="D632" s="24">
        <v>3.0</v>
      </c>
      <c r="E632" s="24">
        <v>64.0</v>
      </c>
      <c r="F632" s="48">
        <v>4.7674</v>
      </c>
      <c r="G632" s="49">
        <f t="shared" si="1"/>
        <v>0.047674</v>
      </c>
      <c r="H632" s="11">
        <v>4.0</v>
      </c>
      <c r="I632" s="11">
        <v>6.0</v>
      </c>
      <c r="J632" s="50">
        <v>112822.0</v>
      </c>
      <c r="K632" s="11">
        <v>4.0</v>
      </c>
      <c r="L632" s="11">
        <v>8.0</v>
      </c>
      <c r="M632" s="51">
        <v>481.0</v>
      </c>
      <c r="N632" s="17">
        <v>62.0</v>
      </c>
      <c r="O632" s="24" t="s">
        <v>48</v>
      </c>
      <c r="P632" s="52">
        <v>80620.0</v>
      </c>
      <c r="Q632" s="51">
        <v>72.0</v>
      </c>
      <c r="R632" s="53">
        <v>-407436.32</v>
      </c>
      <c r="S632" s="24" t="s">
        <v>600</v>
      </c>
      <c r="T632" s="11">
        <v>6.0</v>
      </c>
      <c r="U632" s="52">
        <v>80521.0</v>
      </c>
      <c r="V632" s="11">
        <v>0.0</v>
      </c>
      <c r="W632" s="11">
        <v>6.0</v>
      </c>
      <c r="X632" s="48">
        <v>2.3857</v>
      </c>
      <c r="Y632" s="11">
        <f t="shared" si="2"/>
        <v>0.023857</v>
      </c>
    </row>
    <row r="633">
      <c r="A633" s="17">
        <v>86.0</v>
      </c>
      <c r="B633" s="24">
        <v>13.0</v>
      </c>
      <c r="C633" s="24">
        <v>1.0</v>
      </c>
      <c r="D633" s="24">
        <v>9.0</v>
      </c>
      <c r="E633" s="24">
        <v>66.0</v>
      </c>
      <c r="F633" s="48">
        <v>5.1337</v>
      </c>
      <c r="G633" s="49">
        <f t="shared" si="1"/>
        <v>0.051337</v>
      </c>
      <c r="H633" s="11">
        <v>4.0</v>
      </c>
      <c r="I633" s="11">
        <v>1.0</v>
      </c>
      <c r="J633" s="50">
        <v>32523.0</v>
      </c>
      <c r="K633" s="11">
        <v>4.0</v>
      </c>
      <c r="L633" s="11">
        <v>4.0</v>
      </c>
      <c r="M633" s="51">
        <v>716.0</v>
      </c>
      <c r="N633" s="17">
        <v>61.0</v>
      </c>
      <c r="O633" s="24" t="s">
        <v>606</v>
      </c>
      <c r="P633" s="52">
        <v>110821.0</v>
      </c>
      <c r="Q633" s="51">
        <v>750.0</v>
      </c>
      <c r="R633" s="53">
        <v>1376.3</v>
      </c>
      <c r="S633" s="24" t="s">
        <v>604</v>
      </c>
      <c r="T633" s="11">
        <v>8.0</v>
      </c>
      <c r="U633" s="52">
        <v>103020.0</v>
      </c>
      <c r="V633" s="11">
        <v>5.0</v>
      </c>
      <c r="W633" s="11">
        <v>1.0</v>
      </c>
      <c r="X633" s="48">
        <v>4.952</v>
      </c>
      <c r="Y633" s="11">
        <f t="shared" si="2"/>
        <v>0.04952</v>
      </c>
    </row>
    <row r="634">
      <c r="A634" s="17">
        <v>89.0</v>
      </c>
      <c r="B634" s="24">
        <v>54.0</v>
      </c>
      <c r="C634" s="24">
        <v>1.0</v>
      </c>
      <c r="D634" s="24">
        <v>5.0</v>
      </c>
      <c r="E634" s="24">
        <v>61.0</v>
      </c>
      <c r="F634" s="48">
        <v>5.8035</v>
      </c>
      <c r="G634" s="49">
        <f t="shared" si="1"/>
        <v>0.058035</v>
      </c>
      <c r="H634" s="11">
        <v>5.0</v>
      </c>
      <c r="I634" s="11">
        <v>7.0</v>
      </c>
      <c r="J634" s="50">
        <v>111220.0</v>
      </c>
      <c r="K634" s="11">
        <v>1.0</v>
      </c>
      <c r="L634" s="11">
        <v>1.0</v>
      </c>
      <c r="M634" s="51">
        <v>95.0</v>
      </c>
      <c r="N634" s="17">
        <v>10.0</v>
      </c>
      <c r="O634" s="24" t="s">
        <v>31</v>
      </c>
      <c r="P634" s="52">
        <v>122720.0</v>
      </c>
      <c r="Q634" s="51">
        <v>707.0</v>
      </c>
      <c r="R634" s="53">
        <v>-653663.21</v>
      </c>
      <c r="S634" s="24" t="s">
        <v>605</v>
      </c>
      <c r="T634" s="11">
        <v>1.0</v>
      </c>
      <c r="U634" s="52">
        <v>71914.0</v>
      </c>
      <c r="V634" s="11">
        <v>0.0</v>
      </c>
      <c r="W634" s="11">
        <v>8.0</v>
      </c>
      <c r="X634" s="48">
        <v>2.7937</v>
      </c>
      <c r="Y634" s="11">
        <f t="shared" si="2"/>
        <v>0.027937</v>
      </c>
    </row>
    <row r="635">
      <c r="A635" s="17">
        <v>2.0</v>
      </c>
      <c r="B635" s="24">
        <v>95.0</v>
      </c>
      <c r="C635" s="24">
        <v>1.0</v>
      </c>
      <c r="D635" s="24">
        <v>3.0</v>
      </c>
      <c r="E635" s="24">
        <v>65.0</v>
      </c>
      <c r="F635" s="48">
        <v>4.3708</v>
      </c>
      <c r="G635" s="49">
        <f t="shared" si="1"/>
        <v>0.043708</v>
      </c>
      <c r="H635" s="11">
        <v>0.0</v>
      </c>
      <c r="I635" s="11">
        <v>4.0</v>
      </c>
      <c r="J635" s="50">
        <v>51713.0</v>
      </c>
      <c r="K635" s="11">
        <v>7.0</v>
      </c>
      <c r="L635" s="11">
        <v>0.0</v>
      </c>
      <c r="M635" s="51">
        <v>340.0</v>
      </c>
      <c r="N635" s="17">
        <v>49.0</v>
      </c>
      <c r="O635" s="24" t="s">
        <v>48</v>
      </c>
      <c r="P635" s="52">
        <v>62614.0</v>
      </c>
      <c r="Q635" s="51">
        <v>970.0</v>
      </c>
      <c r="R635" s="53">
        <v>443918.96</v>
      </c>
      <c r="S635" s="24" t="s">
        <v>605</v>
      </c>
      <c r="T635" s="11">
        <v>1.0</v>
      </c>
      <c r="U635" s="52">
        <v>72416.0</v>
      </c>
      <c r="V635" s="11">
        <v>9.0</v>
      </c>
      <c r="W635" s="11">
        <v>9.0</v>
      </c>
      <c r="X635" s="48">
        <v>2.8017</v>
      </c>
      <c r="Y635" s="11">
        <f t="shared" si="2"/>
        <v>0.028017</v>
      </c>
    </row>
    <row r="636">
      <c r="A636" s="17">
        <v>93.0</v>
      </c>
      <c r="B636" s="24">
        <v>54.0</v>
      </c>
      <c r="C636" s="24">
        <v>1.0</v>
      </c>
      <c r="D636" s="24">
        <v>8.0</v>
      </c>
      <c r="E636" s="24">
        <v>65.0</v>
      </c>
      <c r="F636" s="48">
        <v>6.8708</v>
      </c>
      <c r="G636" s="49">
        <f t="shared" si="1"/>
        <v>0.068708</v>
      </c>
      <c r="H636" s="11">
        <v>5.0</v>
      </c>
      <c r="I636" s="11">
        <v>6.0</v>
      </c>
      <c r="J636" s="50">
        <v>112521.0</v>
      </c>
      <c r="K636" s="11">
        <v>6.0</v>
      </c>
      <c r="L636" s="11">
        <v>3.0</v>
      </c>
      <c r="M636" s="51">
        <v>300.0</v>
      </c>
      <c r="N636" s="17">
        <v>46.0</v>
      </c>
      <c r="O636" s="24" t="s">
        <v>39</v>
      </c>
      <c r="P636" s="52">
        <v>92521.0</v>
      </c>
      <c r="Q636" s="51">
        <v>767.0</v>
      </c>
      <c r="R636" s="53">
        <v>977.7</v>
      </c>
      <c r="S636" s="24" t="s">
        <v>605</v>
      </c>
      <c r="T636" s="11">
        <v>1.0</v>
      </c>
      <c r="U636" s="52">
        <v>11219.0</v>
      </c>
      <c r="V636" s="11">
        <v>1.0</v>
      </c>
      <c r="W636" s="11">
        <v>0.0</v>
      </c>
      <c r="X636" s="48">
        <v>2.6532</v>
      </c>
      <c r="Y636" s="11">
        <f t="shared" si="2"/>
        <v>0.026532</v>
      </c>
    </row>
    <row r="637">
      <c r="A637" s="17">
        <v>88.0</v>
      </c>
      <c r="B637" s="24">
        <v>95.0</v>
      </c>
      <c r="C637" s="24">
        <v>1.0</v>
      </c>
      <c r="D637" s="24">
        <v>4.0</v>
      </c>
      <c r="E637" s="24">
        <v>66.0</v>
      </c>
      <c r="F637" s="48">
        <v>3.426</v>
      </c>
      <c r="G637" s="49">
        <f t="shared" si="1"/>
        <v>0.03426</v>
      </c>
      <c r="H637" s="11">
        <v>2.0</v>
      </c>
      <c r="I637" s="11">
        <v>9.0</v>
      </c>
      <c r="J637" s="50">
        <v>120716.0</v>
      </c>
      <c r="K637" s="11">
        <v>2.0</v>
      </c>
      <c r="L637" s="11">
        <v>2.0</v>
      </c>
      <c r="M637" s="51">
        <v>33.0</v>
      </c>
      <c r="N637" s="17">
        <v>34.0</v>
      </c>
      <c r="O637" s="24" t="s">
        <v>603</v>
      </c>
      <c r="P637" s="52">
        <v>22022.0</v>
      </c>
      <c r="Q637" s="51">
        <v>951.0</v>
      </c>
      <c r="R637" s="53">
        <v>-398780.78</v>
      </c>
      <c r="S637" s="24" t="s">
        <v>602</v>
      </c>
      <c r="T637" s="11">
        <v>8.0</v>
      </c>
      <c r="U637" s="52">
        <v>70814.0</v>
      </c>
      <c r="V637" s="11">
        <v>8.0</v>
      </c>
      <c r="W637" s="11">
        <v>3.0</v>
      </c>
      <c r="X637" s="48">
        <v>8.929</v>
      </c>
      <c r="Y637" s="11">
        <f t="shared" si="2"/>
        <v>0.08929</v>
      </c>
    </row>
    <row r="638">
      <c r="A638" s="17">
        <v>19.0</v>
      </c>
      <c r="B638" s="24">
        <v>74.0</v>
      </c>
      <c r="C638" s="24">
        <v>6.0</v>
      </c>
      <c r="D638" s="24">
        <v>8.0</v>
      </c>
      <c r="E638" s="24">
        <v>63.0</v>
      </c>
      <c r="F638" s="48">
        <v>2.6291</v>
      </c>
      <c r="G638" s="49">
        <f t="shared" si="1"/>
        <v>0.026291</v>
      </c>
      <c r="H638" s="11">
        <v>6.0</v>
      </c>
      <c r="I638" s="11">
        <v>7.0</v>
      </c>
      <c r="J638" s="50">
        <v>112514.0</v>
      </c>
      <c r="K638" s="11">
        <v>8.0</v>
      </c>
      <c r="L638" s="11">
        <v>8.0</v>
      </c>
      <c r="M638" s="51">
        <v>306.0</v>
      </c>
      <c r="N638" s="17">
        <v>72.0</v>
      </c>
      <c r="O638" s="24" t="s">
        <v>603</v>
      </c>
      <c r="P638" s="52">
        <v>81821.0</v>
      </c>
      <c r="Q638" s="51">
        <v>709.0</v>
      </c>
      <c r="R638" s="53">
        <v>-734005.17</v>
      </c>
      <c r="S638" s="24" t="s">
        <v>602</v>
      </c>
      <c r="T638" s="11">
        <v>0.0</v>
      </c>
      <c r="U638" s="52">
        <v>41522.0</v>
      </c>
      <c r="V638" s="11">
        <v>8.0</v>
      </c>
      <c r="W638" s="11">
        <v>3.0</v>
      </c>
      <c r="X638" s="48">
        <v>5.5654</v>
      </c>
      <c r="Y638" s="11">
        <f t="shared" si="2"/>
        <v>0.055654</v>
      </c>
    </row>
    <row r="639">
      <c r="A639" s="17">
        <v>3.0</v>
      </c>
      <c r="B639" s="24">
        <v>74.0</v>
      </c>
      <c r="C639" s="24">
        <v>6.0</v>
      </c>
      <c r="D639" s="24">
        <v>9.0</v>
      </c>
      <c r="E639" s="24">
        <v>68.0</v>
      </c>
      <c r="F639" s="48">
        <v>7.5467</v>
      </c>
      <c r="G639" s="49">
        <f t="shared" si="1"/>
        <v>0.075467</v>
      </c>
      <c r="H639" s="11">
        <v>2.0</v>
      </c>
      <c r="I639" s="11">
        <v>8.0</v>
      </c>
      <c r="J639" s="50">
        <v>42013.0</v>
      </c>
      <c r="K639" s="11">
        <v>4.0</v>
      </c>
      <c r="L639" s="11">
        <v>2.0</v>
      </c>
      <c r="M639" s="51">
        <v>785.0</v>
      </c>
      <c r="N639" s="17">
        <v>83.0</v>
      </c>
      <c r="O639" s="24" t="s">
        <v>39</v>
      </c>
      <c r="P639" s="52">
        <v>32618.0</v>
      </c>
      <c r="Q639" s="51">
        <v>258.0</v>
      </c>
      <c r="R639" s="53">
        <v>-16891.77</v>
      </c>
      <c r="S639" s="24" t="s">
        <v>604</v>
      </c>
      <c r="T639" s="11">
        <v>3.0</v>
      </c>
      <c r="U639" s="52">
        <v>22818.0</v>
      </c>
      <c r="V639" s="11">
        <v>7.0</v>
      </c>
      <c r="W639" s="11">
        <v>2.0</v>
      </c>
      <c r="X639" s="48">
        <v>4.1617</v>
      </c>
      <c r="Y639" s="11">
        <f t="shared" si="2"/>
        <v>0.041617</v>
      </c>
    </row>
    <row r="640">
      <c r="A640" s="17">
        <v>1.0</v>
      </c>
      <c r="B640" s="24">
        <v>13.0</v>
      </c>
      <c r="C640" s="24">
        <v>2.0</v>
      </c>
      <c r="D640" s="24">
        <v>6.0</v>
      </c>
      <c r="E640" s="24">
        <v>60.0</v>
      </c>
      <c r="F640" s="48">
        <v>8.689</v>
      </c>
      <c r="G640" s="49">
        <f t="shared" si="1"/>
        <v>0.08689</v>
      </c>
      <c r="H640" s="11">
        <v>5.0</v>
      </c>
      <c r="I640" s="11">
        <v>4.0</v>
      </c>
      <c r="J640" s="50">
        <v>101822.0</v>
      </c>
      <c r="K640" s="11">
        <v>7.0</v>
      </c>
      <c r="L640" s="11">
        <v>6.0</v>
      </c>
      <c r="M640" s="51">
        <v>149.0</v>
      </c>
      <c r="N640" s="17">
        <v>46.0</v>
      </c>
      <c r="O640" s="24" t="s">
        <v>601</v>
      </c>
      <c r="P640" s="52">
        <v>83118.0</v>
      </c>
      <c r="Q640" s="51">
        <v>52.0</v>
      </c>
      <c r="R640" s="53">
        <v>-318.46</v>
      </c>
      <c r="S640" s="24" t="s">
        <v>600</v>
      </c>
      <c r="T640" s="11">
        <v>3.0</v>
      </c>
      <c r="U640" s="52">
        <v>11014.0</v>
      </c>
      <c r="V640" s="11">
        <v>8.0</v>
      </c>
      <c r="W640" s="11">
        <v>4.0</v>
      </c>
      <c r="X640" s="48">
        <v>3.4484</v>
      </c>
      <c r="Y640" s="11">
        <f t="shared" si="2"/>
        <v>0.034484</v>
      </c>
    </row>
    <row r="641">
      <c r="A641" s="17">
        <v>82.0</v>
      </c>
      <c r="B641" s="24">
        <v>54.0</v>
      </c>
      <c r="C641" s="24">
        <v>2.0</v>
      </c>
      <c r="D641" s="24">
        <v>4.0</v>
      </c>
      <c r="E641" s="24">
        <v>68.0</v>
      </c>
      <c r="F641" s="48">
        <v>1.1248</v>
      </c>
      <c r="G641" s="49">
        <f t="shared" si="1"/>
        <v>0.011248</v>
      </c>
      <c r="H641" s="11">
        <v>3.0</v>
      </c>
      <c r="I641" s="11">
        <v>9.0</v>
      </c>
      <c r="J641" s="50">
        <v>60417.0</v>
      </c>
      <c r="K641" s="11">
        <v>1.0</v>
      </c>
      <c r="L641" s="11">
        <v>9.0</v>
      </c>
      <c r="M641" s="51">
        <v>961.0</v>
      </c>
      <c r="N641" s="17">
        <v>94.0</v>
      </c>
      <c r="O641" s="24" t="s">
        <v>48</v>
      </c>
      <c r="P641" s="52">
        <v>32015.0</v>
      </c>
      <c r="Q641" s="51">
        <v>818.0</v>
      </c>
      <c r="R641" s="53">
        <v>-73141.23</v>
      </c>
      <c r="S641" s="24" t="s">
        <v>605</v>
      </c>
      <c r="T641" s="11">
        <v>5.0</v>
      </c>
      <c r="U641" s="52">
        <v>22621.0</v>
      </c>
      <c r="V641" s="11">
        <v>0.0</v>
      </c>
      <c r="W641" s="11">
        <v>1.0</v>
      </c>
      <c r="X641" s="48">
        <v>2.4317</v>
      </c>
      <c r="Y641" s="11">
        <f t="shared" si="2"/>
        <v>0.024317</v>
      </c>
    </row>
    <row r="642">
      <c r="A642" s="17">
        <v>89.0</v>
      </c>
      <c r="B642" s="24">
        <v>74.0</v>
      </c>
      <c r="C642" s="24">
        <v>7.0</v>
      </c>
      <c r="D642" s="24">
        <v>2.0</v>
      </c>
      <c r="E642" s="24">
        <v>68.0</v>
      </c>
      <c r="F642" s="48">
        <v>8.4901</v>
      </c>
      <c r="G642" s="49">
        <f t="shared" si="1"/>
        <v>0.084901</v>
      </c>
      <c r="H642" s="11">
        <v>3.0</v>
      </c>
      <c r="I642" s="11">
        <v>4.0</v>
      </c>
      <c r="J642" s="50">
        <v>42319.0</v>
      </c>
      <c r="K642" s="11">
        <v>8.0</v>
      </c>
      <c r="L642" s="11">
        <v>1.0</v>
      </c>
      <c r="M642" s="51">
        <v>288.0</v>
      </c>
      <c r="N642" s="17">
        <v>42.0</v>
      </c>
      <c r="O642" s="24" t="s">
        <v>600</v>
      </c>
      <c r="P642" s="52">
        <v>52817.0</v>
      </c>
      <c r="Q642" s="51">
        <v>605.0</v>
      </c>
      <c r="R642" s="53">
        <v>-6561.96</v>
      </c>
      <c r="S642" s="24" t="s">
        <v>604</v>
      </c>
      <c r="T642" s="11">
        <v>3.0</v>
      </c>
      <c r="U642" s="52">
        <v>112317.0</v>
      </c>
      <c r="V642" s="11">
        <v>7.0</v>
      </c>
      <c r="W642" s="11">
        <v>9.0</v>
      </c>
      <c r="X642" s="48">
        <v>5.2553</v>
      </c>
      <c r="Y642" s="11">
        <f t="shared" si="2"/>
        <v>0.052553</v>
      </c>
    </row>
    <row r="643">
      <c r="A643" s="17">
        <v>7.0</v>
      </c>
      <c r="B643" s="24">
        <v>95.0</v>
      </c>
      <c r="C643" s="24">
        <v>2.0</v>
      </c>
      <c r="D643" s="24">
        <v>2.0</v>
      </c>
      <c r="E643" s="24">
        <v>65.0</v>
      </c>
      <c r="F643" s="48">
        <v>9.2522</v>
      </c>
      <c r="G643" s="49">
        <f t="shared" si="1"/>
        <v>0.092522</v>
      </c>
      <c r="H643" s="11">
        <v>7.0</v>
      </c>
      <c r="I643" s="11">
        <v>9.0</v>
      </c>
      <c r="J643" s="50">
        <v>122714.0</v>
      </c>
      <c r="K643" s="11">
        <v>9.0</v>
      </c>
      <c r="L643" s="11">
        <v>7.0</v>
      </c>
      <c r="M643" s="51">
        <v>819.0</v>
      </c>
      <c r="N643" s="17">
        <v>78.0</v>
      </c>
      <c r="O643" s="24" t="s">
        <v>600</v>
      </c>
      <c r="P643" s="52">
        <v>11014.0</v>
      </c>
      <c r="Q643" s="51">
        <v>112.0</v>
      </c>
      <c r="R643" s="53">
        <v>-224.32</v>
      </c>
      <c r="S643" s="24" t="s">
        <v>600</v>
      </c>
      <c r="T643" s="11">
        <v>3.0</v>
      </c>
      <c r="U643" s="52">
        <v>52316.0</v>
      </c>
      <c r="V643" s="11">
        <v>6.0</v>
      </c>
      <c r="W643" s="11">
        <v>9.0</v>
      </c>
      <c r="X643" s="48">
        <v>3.5427</v>
      </c>
      <c r="Y643" s="11">
        <f t="shared" si="2"/>
        <v>0.035427</v>
      </c>
    </row>
    <row r="644">
      <c r="A644" s="17">
        <v>34.0</v>
      </c>
      <c r="B644" s="24">
        <v>95.0</v>
      </c>
      <c r="C644" s="24">
        <v>2.0</v>
      </c>
      <c r="D644" s="24">
        <v>3.0</v>
      </c>
      <c r="E644" s="24">
        <v>61.0</v>
      </c>
      <c r="F644" s="48">
        <v>7.4817</v>
      </c>
      <c r="G644" s="49">
        <f t="shared" si="1"/>
        <v>0.074817</v>
      </c>
      <c r="H644" s="11">
        <v>7.0</v>
      </c>
      <c r="I644" s="11">
        <v>5.0</v>
      </c>
      <c r="J644" s="50">
        <v>10122.0</v>
      </c>
      <c r="K644" s="11">
        <v>0.0</v>
      </c>
      <c r="L644" s="11">
        <v>5.0</v>
      </c>
      <c r="M644" s="51">
        <v>584.0</v>
      </c>
      <c r="N644" s="17">
        <v>72.0</v>
      </c>
      <c r="O644" s="24" t="s">
        <v>48</v>
      </c>
      <c r="P644" s="52">
        <v>20815.0</v>
      </c>
      <c r="Q644" s="51">
        <v>554.0</v>
      </c>
      <c r="R644" s="53">
        <v>618.7</v>
      </c>
      <c r="S644" s="24" t="s">
        <v>605</v>
      </c>
      <c r="T644" s="11">
        <v>0.0</v>
      </c>
      <c r="U644" s="52">
        <v>120123.0</v>
      </c>
      <c r="V644" s="11">
        <v>2.0</v>
      </c>
      <c r="W644" s="11">
        <v>2.0</v>
      </c>
      <c r="X644" s="48">
        <v>2.343</v>
      </c>
      <c r="Y644" s="11">
        <f t="shared" si="2"/>
        <v>0.02343</v>
      </c>
    </row>
    <row r="645">
      <c r="A645" s="17">
        <v>75.0</v>
      </c>
      <c r="B645" s="24">
        <v>95.0</v>
      </c>
      <c r="C645" s="24">
        <v>2.0</v>
      </c>
      <c r="D645" s="24">
        <v>5.0</v>
      </c>
      <c r="E645" s="24">
        <v>63.0</v>
      </c>
      <c r="F645" s="48">
        <v>4.405</v>
      </c>
      <c r="G645" s="49">
        <f t="shared" si="1"/>
        <v>0.04405</v>
      </c>
      <c r="H645" s="11">
        <v>1.0</v>
      </c>
      <c r="I645" s="11">
        <v>3.0</v>
      </c>
      <c r="J645" s="50">
        <v>111522.0</v>
      </c>
      <c r="K645" s="11">
        <v>0.0</v>
      </c>
      <c r="L645" s="11">
        <v>2.0</v>
      </c>
      <c r="M645" s="51">
        <v>297.0</v>
      </c>
      <c r="N645" s="17">
        <v>17.0</v>
      </c>
      <c r="O645" s="24" t="s">
        <v>600</v>
      </c>
      <c r="P645" s="52">
        <v>10615.0</v>
      </c>
      <c r="Q645" s="51">
        <v>868.0</v>
      </c>
      <c r="R645" s="53">
        <v>-792.51</v>
      </c>
      <c r="S645" s="24" t="s">
        <v>604</v>
      </c>
      <c r="T645" s="11">
        <v>7.0</v>
      </c>
      <c r="U645" s="52">
        <v>52117.0</v>
      </c>
      <c r="V645" s="11">
        <v>4.0</v>
      </c>
      <c r="W645" s="11">
        <v>9.0</v>
      </c>
      <c r="X645" s="48">
        <v>3.7172</v>
      </c>
      <c r="Y645" s="11">
        <f t="shared" si="2"/>
        <v>0.037172</v>
      </c>
    </row>
    <row r="646">
      <c r="A646" s="17">
        <v>50.0</v>
      </c>
      <c r="B646" s="24">
        <v>33.0</v>
      </c>
      <c r="C646" s="24">
        <v>8.0</v>
      </c>
      <c r="D646" s="24">
        <v>5.0</v>
      </c>
      <c r="E646" s="24">
        <v>60.0</v>
      </c>
      <c r="F646" s="48">
        <v>6.9604</v>
      </c>
      <c r="G646" s="49">
        <f t="shared" si="1"/>
        <v>0.069604</v>
      </c>
      <c r="H646" s="11">
        <v>6.0</v>
      </c>
      <c r="I646" s="11">
        <v>1.0</v>
      </c>
      <c r="J646" s="50">
        <v>50514.0</v>
      </c>
      <c r="K646" s="11">
        <v>3.0</v>
      </c>
      <c r="L646" s="11">
        <v>6.0</v>
      </c>
      <c r="M646" s="51">
        <v>867.0</v>
      </c>
      <c r="N646" s="17">
        <v>92.0</v>
      </c>
      <c r="O646" s="24" t="s">
        <v>39</v>
      </c>
      <c r="P646" s="52">
        <v>62314.0</v>
      </c>
      <c r="Q646" s="51">
        <v>808.0</v>
      </c>
      <c r="R646" s="53">
        <v>-843.16</v>
      </c>
      <c r="S646" s="24" t="s">
        <v>605</v>
      </c>
      <c r="T646" s="11">
        <v>2.0</v>
      </c>
      <c r="U646" s="52">
        <v>100118.0</v>
      </c>
      <c r="V646" s="11">
        <v>9.0</v>
      </c>
      <c r="W646" s="11">
        <v>9.0</v>
      </c>
      <c r="X646" s="48">
        <v>4.155</v>
      </c>
      <c r="Y646" s="11">
        <f t="shared" si="2"/>
        <v>0.04155</v>
      </c>
    </row>
    <row r="647">
      <c r="A647" s="17">
        <v>66.0</v>
      </c>
      <c r="B647" s="24">
        <v>13.0</v>
      </c>
      <c r="C647" s="24">
        <v>3.0</v>
      </c>
      <c r="D647" s="24">
        <v>8.0</v>
      </c>
      <c r="E647" s="24">
        <v>61.0</v>
      </c>
      <c r="F647" s="48">
        <v>1.376</v>
      </c>
      <c r="G647" s="49">
        <f t="shared" si="1"/>
        <v>0.01376</v>
      </c>
      <c r="H647" s="11">
        <v>8.0</v>
      </c>
      <c r="I647" s="11">
        <v>7.0</v>
      </c>
      <c r="J647" s="50">
        <v>50513.0</v>
      </c>
      <c r="K647" s="11">
        <v>2.0</v>
      </c>
      <c r="L647" s="11">
        <v>8.0</v>
      </c>
      <c r="M647" s="51">
        <v>94.0</v>
      </c>
      <c r="N647" s="17">
        <v>10.0</v>
      </c>
      <c r="O647" s="24" t="s">
        <v>603</v>
      </c>
      <c r="P647" s="52">
        <v>111113.0</v>
      </c>
      <c r="Q647" s="51">
        <v>872.0</v>
      </c>
      <c r="R647" s="53">
        <v>421866.78</v>
      </c>
      <c r="S647" s="24" t="s">
        <v>602</v>
      </c>
      <c r="T647" s="11">
        <v>9.0</v>
      </c>
      <c r="U647" s="52">
        <v>81716.0</v>
      </c>
      <c r="V647" s="11">
        <v>0.0</v>
      </c>
      <c r="W647" s="11">
        <v>0.0</v>
      </c>
      <c r="X647" s="48">
        <v>1.7518</v>
      </c>
      <c r="Y647" s="11">
        <f t="shared" si="2"/>
        <v>0.017518</v>
      </c>
    </row>
    <row r="648">
      <c r="A648" s="17">
        <v>20.0</v>
      </c>
      <c r="B648" s="24">
        <v>74.0</v>
      </c>
      <c r="C648" s="24">
        <v>8.0</v>
      </c>
      <c r="D648" s="24">
        <v>3.0</v>
      </c>
      <c r="E648" s="24">
        <v>62.0</v>
      </c>
      <c r="F648" s="48">
        <v>9.5186</v>
      </c>
      <c r="G648" s="49">
        <f t="shared" si="1"/>
        <v>0.095186</v>
      </c>
      <c r="H648" s="11">
        <v>5.0</v>
      </c>
      <c r="I648" s="11">
        <v>7.0</v>
      </c>
      <c r="J648" s="50">
        <v>41821.0</v>
      </c>
      <c r="K648" s="11">
        <v>0.0</v>
      </c>
      <c r="L648" s="11">
        <v>5.0</v>
      </c>
      <c r="M648" s="51">
        <v>648.0</v>
      </c>
      <c r="N648" s="17">
        <v>97.0</v>
      </c>
      <c r="O648" s="24" t="s">
        <v>603</v>
      </c>
      <c r="P648" s="52">
        <v>101813.0</v>
      </c>
      <c r="Q648" s="51">
        <v>342.0</v>
      </c>
      <c r="R648" s="53">
        <v>-9305.6</v>
      </c>
      <c r="S648" s="24" t="s">
        <v>604</v>
      </c>
      <c r="T648" s="11">
        <v>3.0</v>
      </c>
      <c r="U648" s="52">
        <v>71615.0</v>
      </c>
      <c r="V648" s="11">
        <v>4.0</v>
      </c>
      <c r="W648" s="11">
        <v>9.0</v>
      </c>
      <c r="X648" s="48">
        <v>5.8103</v>
      </c>
      <c r="Y648" s="11">
        <f t="shared" si="2"/>
        <v>0.058103</v>
      </c>
    </row>
    <row r="649">
      <c r="A649" s="17">
        <v>92.0</v>
      </c>
      <c r="B649" s="24">
        <v>33.0</v>
      </c>
      <c r="C649" s="24">
        <v>9.0</v>
      </c>
      <c r="D649" s="24">
        <v>1.0</v>
      </c>
      <c r="E649" s="24">
        <v>66.0</v>
      </c>
      <c r="F649" s="48">
        <v>4.1497</v>
      </c>
      <c r="G649" s="49">
        <f t="shared" si="1"/>
        <v>0.041497</v>
      </c>
      <c r="H649" s="11">
        <v>1.0</v>
      </c>
      <c r="I649" s="11">
        <v>5.0</v>
      </c>
      <c r="J649" s="50">
        <v>100919.0</v>
      </c>
      <c r="K649" s="11">
        <v>8.0</v>
      </c>
      <c r="L649" s="11">
        <v>3.0</v>
      </c>
      <c r="M649" s="51">
        <v>882.0</v>
      </c>
      <c r="N649" s="17">
        <v>74.0</v>
      </c>
      <c r="O649" s="24" t="s">
        <v>39</v>
      </c>
      <c r="P649" s="52">
        <v>31715.0</v>
      </c>
      <c r="Q649" s="51">
        <v>983.0</v>
      </c>
      <c r="R649" s="53">
        <v>-1540.17</v>
      </c>
      <c r="S649" s="24" t="s">
        <v>602</v>
      </c>
      <c r="T649" s="11">
        <v>1.0</v>
      </c>
      <c r="U649" s="52">
        <v>70115.0</v>
      </c>
      <c r="V649" s="11">
        <v>0.0</v>
      </c>
      <c r="W649" s="11">
        <v>8.0</v>
      </c>
      <c r="X649" s="48">
        <v>2.9702</v>
      </c>
      <c r="Y649" s="11">
        <f t="shared" si="2"/>
        <v>0.029702</v>
      </c>
    </row>
    <row r="650">
      <c r="A650" s="17">
        <v>93.0</v>
      </c>
      <c r="B650" s="24">
        <v>33.0</v>
      </c>
      <c r="C650" s="24">
        <v>9.0</v>
      </c>
      <c r="D650" s="24">
        <v>2.0</v>
      </c>
      <c r="E650" s="24">
        <v>64.0</v>
      </c>
      <c r="F650" s="48">
        <v>5.2879</v>
      </c>
      <c r="G650" s="49">
        <f t="shared" si="1"/>
        <v>0.052879</v>
      </c>
      <c r="H650" s="11">
        <v>0.0</v>
      </c>
      <c r="I650" s="11">
        <v>6.0</v>
      </c>
      <c r="J650" s="50">
        <v>22419.0</v>
      </c>
      <c r="K650" s="11">
        <v>9.0</v>
      </c>
      <c r="L650" s="11">
        <v>1.0</v>
      </c>
      <c r="M650" s="51">
        <v>222.0</v>
      </c>
      <c r="N650" s="17">
        <v>35.0</v>
      </c>
      <c r="O650" s="24" t="s">
        <v>39</v>
      </c>
      <c r="P650" s="52">
        <v>52723.0</v>
      </c>
      <c r="Q650" s="51">
        <v>748.0</v>
      </c>
      <c r="R650" s="53">
        <v>23988.27</v>
      </c>
      <c r="S650" s="24" t="s">
        <v>602</v>
      </c>
      <c r="T650" s="11">
        <v>0.0</v>
      </c>
      <c r="U650" s="52">
        <v>71816.0</v>
      </c>
      <c r="V650" s="11">
        <v>0.0</v>
      </c>
      <c r="W650" s="11">
        <v>1.0</v>
      </c>
      <c r="X650" s="48">
        <v>6.7664</v>
      </c>
      <c r="Y650" s="11">
        <f t="shared" si="2"/>
        <v>0.067664</v>
      </c>
    </row>
    <row r="651">
      <c r="A651" s="17">
        <v>59.0</v>
      </c>
      <c r="B651" s="24">
        <v>54.0</v>
      </c>
      <c r="C651" s="24">
        <v>4.0</v>
      </c>
      <c r="D651" s="24">
        <v>4.0</v>
      </c>
      <c r="E651" s="24">
        <v>63.0</v>
      </c>
      <c r="F651" s="48">
        <v>3.3674</v>
      </c>
      <c r="G651" s="49">
        <f t="shared" si="1"/>
        <v>0.033674</v>
      </c>
      <c r="H651" s="11">
        <v>9.0</v>
      </c>
      <c r="I651" s="11">
        <v>4.0</v>
      </c>
      <c r="J651" s="50">
        <v>12717.0</v>
      </c>
      <c r="K651" s="11">
        <v>0.0</v>
      </c>
      <c r="L651" s="11">
        <v>3.0</v>
      </c>
      <c r="M651" s="51">
        <v>714.0</v>
      </c>
      <c r="N651" s="17">
        <v>82.0</v>
      </c>
      <c r="O651" s="24" t="s">
        <v>606</v>
      </c>
      <c r="P651" s="52">
        <v>101221.0</v>
      </c>
      <c r="Q651" s="51">
        <v>952.0</v>
      </c>
      <c r="R651" s="53">
        <v>403.56</v>
      </c>
      <c r="S651" s="24" t="s">
        <v>602</v>
      </c>
      <c r="T651" s="11">
        <v>8.0</v>
      </c>
      <c r="U651" s="52">
        <v>10322.0</v>
      </c>
      <c r="V651" s="11">
        <v>8.0</v>
      </c>
      <c r="W651" s="11">
        <v>3.0</v>
      </c>
      <c r="X651" s="48">
        <v>5.245</v>
      </c>
      <c r="Y651" s="11">
        <f t="shared" si="2"/>
        <v>0.05245</v>
      </c>
    </row>
    <row r="652">
      <c r="A652" s="17">
        <v>34.0</v>
      </c>
      <c r="B652" s="24">
        <v>54.0</v>
      </c>
      <c r="C652" s="24">
        <v>4.0</v>
      </c>
      <c r="D652" s="24">
        <v>6.0</v>
      </c>
      <c r="E652" s="24">
        <v>63.0</v>
      </c>
      <c r="F652" s="48">
        <v>8.4241</v>
      </c>
      <c r="G652" s="49">
        <f t="shared" si="1"/>
        <v>0.084241</v>
      </c>
      <c r="H652" s="11">
        <v>3.0</v>
      </c>
      <c r="I652" s="11">
        <v>0.0</v>
      </c>
      <c r="J652" s="50">
        <v>21523.0</v>
      </c>
      <c r="K652" s="11">
        <v>6.0</v>
      </c>
      <c r="L652" s="11">
        <v>8.0</v>
      </c>
      <c r="M652" s="51">
        <v>328.0</v>
      </c>
      <c r="N652" s="17">
        <v>63.0</v>
      </c>
      <c r="O652" s="24" t="s">
        <v>39</v>
      </c>
      <c r="P652" s="52">
        <v>40117.0</v>
      </c>
      <c r="Q652" s="51">
        <v>265.0</v>
      </c>
      <c r="R652" s="53">
        <v>657.0</v>
      </c>
      <c r="S652" s="24" t="s">
        <v>605</v>
      </c>
      <c r="T652" s="11">
        <v>3.0</v>
      </c>
      <c r="U652" s="52">
        <v>110720.0</v>
      </c>
      <c r="V652" s="11">
        <v>3.0</v>
      </c>
      <c r="W652" s="11">
        <v>9.0</v>
      </c>
      <c r="X652" s="48">
        <v>9.2403</v>
      </c>
      <c r="Y652" s="11">
        <f t="shared" si="2"/>
        <v>0.092403</v>
      </c>
    </row>
    <row r="653">
      <c r="A653" s="17">
        <v>63.0</v>
      </c>
      <c r="B653" s="24">
        <v>13.0</v>
      </c>
      <c r="C653" s="24">
        <v>5.0</v>
      </c>
      <c r="D653" s="24">
        <v>1.0</v>
      </c>
      <c r="E653" s="24">
        <v>66.0</v>
      </c>
      <c r="F653" s="48">
        <v>5.23</v>
      </c>
      <c r="G653" s="49">
        <f t="shared" si="1"/>
        <v>0.0523</v>
      </c>
      <c r="H653" s="11">
        <v>1.0</v>
      </c>
      <c r="I653" s="11">
        <v>8.0</v>
      </c>
      <c r="J653" s="50">
        <v>10718.0</v>
      </c>
      <c r="K653" s="11">
        <v>2.0</v>
      </c>
      <c r="L653" s="11">
        <v>8.0</v>
      </c>
      <c r="M653" s="51">
        <v>981.0</v>
      </c>
      <c r="N653" s="17">
        <v>99.0</v>
      </c>
      <c r="O653" s="24" t="s">
        <v>601</v>
      </c>
      <c r="P653" s="52">
        <v>90419.0</v>
      </c>
      <c r="Q653" s="51">
        <v>92.0</v>
      </c>
      <c r="R653" s="53">
        <v>856178.7</v>
      </c>
      <c r="S653" s="24" t="s">
        <v>600</v>
      </c>
      <c r="T653" s="11">
        <v>0.0</v>
      </c>
      <c r="U653" s="52">
        <v>31719.0</v>
      </c>
      <c r="V653" s="11">
        <v>8.0</v>
      </c>
      <c r="W653" s="11">
        <v>8.0</v>
      </c>
      <c r="X653" s="48">
        <v>4.3699</v>
      </c>
      <c r="Y653" s="11">
        <f t="shared" si="2"/>
        <v>0.043699</v>
      </c>
    </row>
    <row r="654">
      <c r="A654" s="17">
        <v>30.0</v>
      </c>
      <c r="B654" s="24">
        <v>95.0</v>
      </c>
      <c r="C654" s="24">
        <v>4.0</v>
      </c>
      <c r="D654" s="24">
        <v>4.0</v>
      </c>
      <c r="E654" s="24">
        <v>62.0</v>
      </c>
      <c r="F654" s="48">
        <v>6.5289</v>
      </c>
      <c r="G654" s="49">
        <f t="shared" si="1"/>
        <v>0.065289</v>
      </c>
      <c r="H654" s="11">
        <v>7.0</v>
      </c>
      <c r="I654" s="11">
        <v>8.0</v>
      </c>
      <c r="J654" s="50">
        <v>110321.0</v>
      </c>
      <c r="K654" s="11">
        <v>9.0</v>
      </c>
      <c r="L654" s="11">
        <v>7.0</v>
      </c>
      <c r="M654" s="51">
        <v>95.0</v>
      </c>
      <c r="N654" s="17">
        <v>54.0</v>
      </c>
      <c r="O654" s="24" t="s">
        <v>600</v>
      </c>
      <c r="P654" s="52">
        <v>80721.0</v>
      </c>
      <c r="Q654" s="51">
        <v>981.0</v>
      </c>
      <c r="R654" s="53">
        <v>-2482.89</v>
      </c>
      <c r="S654" s="24" t="s">
        <v>602</v>
      </c>
      <c r="T654" s="11">
        <v>5.0</v>
      </c>
      <c r="U654" s="52">
        <v>11623.0</v>
      </c>
      <c r="V654" s="11">
        <v>7.0</v>
      </c>
      <c r="W654" s="11">
        <v>3.0</v>
      </c>
      <c r="X654" s="48">
        <v>8.3971</v>
      </c>
      <c r="Y654" s="11">
        <f t="shared" si="2"/>
        <v>0.083971</v>
      </c>
    </row>
    <row r="655">
      <c r="A655" s="17">
        <v>68.0</v>
      </c>
      <c r="B655" s="24">
        <v>13.0</v>
      </c>
      <c r="C655" s="24">
        <v>5.0</v>
      </c>
      <c r="D655" s="24">
        <v>3.0</v>
      </c>
      <c r="E655" s="24">
        <v>66.0</v>
      </c>
      <c r="F655" s="48">
        <v>2.4004</v>
      </c>
      <c r="G655" s="49">
        <f t="shared" si="1"/>
        <v>0.024004</v>
      </c>
      <c r="H655" s="11">
        <v>4.0</v>
      </c>
      <c r="I655" s="11">
        <v>8.0</v>
      </c>
      <c r="J655" s="50">
        <v>30519.0</v>
      </c>
      <c r="K655" s="11">
        <v>6.0</v>
      </c>
      <c r="L655" s="11">
        <v>4.0</v>
      </c>
      <c r="M655" s="51">
        <v>169.0</v>
      </c>
      <c r="N655" s="17">
        <v>86.0</v>
      </c>
      <c r="O655" s="24" t="s">
        <v>600</v>
      </c>
      <c r="P655" s="52">
        <v>72713.0</v>
      </c>
      <c r="Q655" s="51">
        <v>759.0</v>
      </c>
      <c r="R655" s="53">
        <v>743.48</v>
      </c>
      <c r="S655" s="24" t="s">
        <v>602</v>
      </c>
      <c r="T655" s="11">
        <v>3.0</v>
      </c>
      <c r="U655" s="52">
        <v>102919.0</v>
      </c>
      <c r="V655" s="11">
        <v>3.0</v>
      </c>
      <c r="W655" s="11">
        <v>6.0</v>
      </c>
      <c r="X655" s="48">
        <v>5.8733</v>
      </c>
      <c r="Y655" s="11">
        <f t="shared" si="2"/>
        <v>0.058733</v>
      </c>
    </row>
    <row r="656">
      <c r="A656" s="17">
        <v>99.0</v>
      </c>
      <c r="B656" s="24">
        <v>74.0</v>
      </c>
      <c r="C656" s="24">
        <v>9.0</v>
      </c>
      <c r="D656" s="24">
        <v>6.0</v>
      </c>
      <c r="E656" s="24">
        <v>65.0</v>
      </c>
      <c r="F656" s="48">
        <v>7.5719</v>
      </c>
      <c r="G656" s="49">
        <f t="shared" si="1"/>
        <v>0.075719</v>
      </c>
      <c r="H656" s="11">
        <v>8.0</v>
      </c>
      <c r="I656" s="11">
        <v>4.0</v>
      </c>
      <c r="J656" s="50">
        <v>121221.0</v>
      </c>
      <c r="K656" s="11">
        <v>8.0</v>
      </c>
      <c r="L656" s="11">
        <v>8.0</v>
      </c>
      <c r="M656" s="51">
        <v>783.0</v>
      </c>
      <c r="N656" s="17">
        <v>74.0</v>
      </c>
      <c r="O656" s="24" t="s">
        <v>603</v>
      </c>
      <c r="P656" s="52">
        <v>52823.0</v>
      </c>
      <c r="Q656" s="51">
        <v>752.0</v>
      </c>
      <c r="R656" s="53">
        <v>-248.56</v>
      </c>
      <c r="S656" s="24" t="s">
        <v>602</v>
      </c>
      <c r="T656" s="11">
        <v>0.0</v>
      </c>
      <c r="U656" s="52">
        <v>70820.0</v>
      </c>
      <c r="V656" s="11">
        <v>4.0</v>
      </c>
      <c r="W656" s="11">
        <v>8.0</v>
      </c>
      <c r="X656" s="48">
        <v>6.9085</v>
      </c>
      <c r="Y656" s="11">
        <f t="shared" si="2"/>
        <v>0.069085</v>
      </c>
    </row>
    <row r="657">
      <c r="A657" s="17">
        <v>31.0</v>
      </c>
      <c r="B657" s="24">
        <v>74.0</v>
      </c>
      <c r="C657" s="24">
        <v>9.0</v>
      </c>
      <c r="D657" s="24">
        <v>8.0</v>
      </c>
      <c r="E657" s="24">
        <v>67.0</v>
      </c>
      <c r="F657" s="48">
        <v>9.8759</v>
      </c>
      <c r="G657" s="49">
        <f t="shared" si="1"/>
        <v>0.098759</v>
      </c>
      <c r="H657" s="11">
        <v>3.0</v>
      </c>
      <c r="I657" s="11">
        <v>6.0</v>
      </c>
      <c r="J657" s="50">
        <v>100821.0</v>
      </c>
      <c r="K657" s="11">
        <v>6.0</v>
      </c>
      <c r="L657" s="11">
        <v>0.0</v>
      </c>
      <c r="M657" s="51">
        <v>492.0</v>
      </c>
      <c r="N657" s="17">
        <v>26.0</v>
      </c>
      <c r="O657" s="24" t="s">
        <v>39</v>
      </c>
      <c r="P657" s="52">
        <v>122917.0</v>
      </c>
      <c r="Q657" s="51">
        <v>40.0</v>
      </c>
      <c r="R657" s="53">
        <v>-546.4</v>
      </c>
      <c r="S657" s="24" t="s">
        <v>600</v>
      </c>
      <c r="T657" s="11">
        <v>0.0</v>
      </c>
      <c r="U657" s="52">
        <v>11720.0</v>
      </c>
      <c r="V657" s="11">
        <v>7.0</v>
      </c>
      <c r="W657" s="11">
        <v>7.0</v>
      </c>
      <c r="X657" s="48">
        <v>9.3905</v>
      </c>
      <c r="Y657" s="11">
        <f t="shared" si="2"/>
        <v>0.093905</v>
      </c>
    </row>
    <row r="658">
      <c r="A658" s="17">
        <v>80.0</v>
      </c>
      <c r="B658" s="24">
        <v>13.0</v>
      </c>
      <c r="C658" s="24">
        <v>5.0</v>
      </c>
      <c r="D658" s="24">
        <v>6.0</v>
      </c>
      <c r="E658" s="24">
        <v>66.0</v>
      </c>
      <c r="F658" s="48">
        <v>8.3874</v>
      </c>
      <c r="G658" s="49">
        <f t="shared" si="1"/>
        <v>0.083874</v>
      </c>
      <c r="H658" s="11">
        <v>4.0</v>
      </c>
      <c r="I658" s="11">
        <v>0.0</v>
      </c>
      <c r="J658" s="50">
        <v>82613.0</v>
      </c>
      <c r="K658" s="11">
        <v>2.0</v>
      </c>
      <c r="L658" s="11">
        <v>4.0</v>
      </c>
      <c r="M658" s="51">
        <v>788.0</v>
      </c>
      <c r="N658" s="17">
        <v>2.0</v>
      </c>
      <c r="O658" s="24" t="s">
        <v>48</v>
      </c>
      <c r="P658" s="52">
        <v>60413.0</v>
      </c>
      <c r="Q658" s="51">
        <v>586.0</v>
      </c>
      <c r="R658" s="53">
        <v>-158.99</v>
      </c>
      <c r="S658" s="24" t="s">
        <v>600</v>
      </c>
      <c r="T658" s="11">
        <v>9.0</v>
      </c>
      <c r="U658" s="52">
        <v>92619.0</v>
      </c>
      <c r="V658" s="11">
        <v>4.0</v>
      </c>
      <c r="W658" s="11">
        <v>5.0</v>
      </c>
      <c r="X658" s="48">
        <v>4.8305</v>
      </c>
      <c r="Y658" s="11">
        <f t="shared" si="2"/>
        <v>0.048305</v>
      </c>
    </row>
    <row r="659">
      <c r="A659" s="17">
        <v>79.0</v>
      </c>
      <c r="B659" s="24">
        <v>13.0</v>
      </c>
      <c r="C659" s="24">
        <v>5.0</v>
      </c>
      <c r="D659" s="24">
        <v>7.0</v>
      </c>
      <c r="E659" s="24">
        <v>64.0</v>
      </c>
      <c r="F659" s="48">
        <v>3.7051</v>
      </c>
      <c r="G659" s="49">
        <f t="shared" si="1"/>
        <v>0.037051</v>
      </c>
      <c r="H659" s="11">
        <v>2.0</v>
      </c>
      <c r="I659" s="11">
        <v>9.0</v>
      </c>
      <c r="J659" s="50">
        <v>52214.0</v>
      </c>
      <c r="K659" s="11">
        <v>0.0</v>
      </c>
      <c r="L659" s="11">
        <v>2.0</v>
      </c>
      <c r="M659" s="51">
        <v>865.0</v>
      </c>
      <c r="N659" s="17">
        <v>56.0</v>
      </c>
      <c r="O659" s="24" t="s">
        <v>606</v>
      </c>
      <c r="P659" s="52">
        <v>11723.0</v>
      </c>
      <c r="Q659" s="51">
        <v>903.0</v>
      </c>
      <c r="R659" s="53">
        <v>-190712.54</v>
      </c>
      <c r="S659" s="24" t="s">
        <v>604</v>
      </c>
      <c r="T659" s="11">
        <v>2.0</v>
      </c>
      <c r="U659" s="52">
        <v>11015.0</v>
      </c>
      <c r="V659" s="11">
        <v>0.0</v>
      </c>
      <c r="W659" s="11">
        <v>2.0</v>
      </c>
      <c r="X659" s="48">
        <v>7.6073</v>
      </c>
      <c r="Y659" s="11">
        <f t="shared" si="2"/>
        <v>0.076073</v>
      </c>
    </row>
    <row r="660">
      <c r="A660" s="17">
        <v>25.0</v>
      </c>
      <c r="B660" s="24">
        <v>54.0</v>
      </c>
      <c r="C660" s="24">
        <v>5.0</v>
      </c>
      <c r="D660" s="24">
        <v>6.0</v>
      </c>
      <c r="E660" s="24">
        <v>62.0</v>
      </c>
      <c r="F660" s="48">
        <v>4.2106</v>
      </c>
      <c r="G660" s="49">
        <f t="shared" si="1"/>
        <v>0.042106</v>
      </c>
      <c r="H660" s="11">
        <v>7.0</v>
      </c>
      <c r="I660" s="11">
        <v>4.0</v>
      </c>
      <c r="J660" s="50">
        <v>51318.0</v>
      </c>
      <c r="K660" s="11">
        <v>3.0</v>
      </c>
      <c r="L660" s="11">
        <v>2.0</v>
      </c>
      <c r="M660" s="51">
        <v>150.0</v>
      </c>
      <c r="N660" s="17">
        <v>43.0</v>
      </c>
      <c r="O660" s="24" t="s">
        <v>606</v>
      </c>
      <c r="P660" s="52">
        <v>41322.0</v>
      </c>
      <c r="Q660" s="51">
        <v>649.0</v>
      </c>
      <c r="R660" s="53">
        <v>508224.44</v>
      </c>
      <c r="S660" s="24" t="s">
        <v>605</v>
      </c>
      <c r="T660" s="11">
        <v>1.0</v>
      </c>
      <c r="U660" s="52">
        <v>32514.0</v>
      </c>
      <c r="V660" s="11">
        <v>6.0</v>
      </c>
      <c r="W660" s="11">
        <v>7.0</v>
      </c>
      <c r="X660" s="48">
        <v>8.6006</v>
      </c>
      <c r="Y660" s="11">
        <f t="shared" si="2"/>
        <v>0.086006</v>
      </c>
    </row>
    <row r="661">
      <c r="A661" s="17">
        <v>76.0</v>
      </c>
      <c r="B661" s="24">
        <v>13.0</v>
      </c>
      <c r="C661" s="24">
        <v>6.0</v>
      </c>
      <c r="D661" s="24">
        <v>1.0</v>
      </c>
      <c r="E661" s="24">
        <v>64.0</v>
      </c>
      <c r="F661" s="48">
        <v>9.9424</v>
      </c>
      <c r="G661" s="49">
        <f t="shared" si="1"/>
        <v>0.099424</v>
      </c>
      <c r="H661" s="11">
        <v>6.0</v>
      </c>
      <c r="I661" s="11">
        <v>8.0</v>
      </c>
      <c r="J661" s="50">
        <v>92020.0</v>
      </c>
      <c r="K661" s="11">
        <v>7.0</v>
      </c>
      <c r="L661" s="11">
        <v>2.0</v>
      </c>
      <c r="M661" s="51">
        <v>602.0</v>
      </c>
      <c r="N661" s="17">
        <v>79.0</v>
      </c>
      <c r="O661" s="24" t="s">
        <v>603</v>
      </c>
      <c r="P661" s="52">
        <v>32423.0</v>
      </c>
      <c r="Q661" s="51">
        <v>842.0</v>
      </c>
      <c r="R661" s="53">
        <v>998.91</v>
      </c>
      <c r="S661" s="24" t="s">
        <v>604</v>
      </c>
      <c r="T661" s="11">
        <v>7.0</v>
      </c>
      <c r="U661" s="52">
        <v>90913.0</v>
      </c>
      <c r="V661" s="11">
        <v>5.0</v>
      </c>
      <c r="W661" s="11">
        <v>7.0</v>
      </c>
      <c r="X661" s="48">
        <v>2.542</v>
      </c>
      <c r="Y661" s="11">
        <f t="shared" si="2"/>
        <v>0.02542</v>
      </c>
    </row>
    <row r="662">
      <c r="A662" s="17">
        <v>65.0</v>
      </c>
      <c r="B662" s="24">
        <v>13.0</v>
      </c>
      <c r="C662" s="24">
        <v>6.0</v>
      </c>
      <c r="D662" s="24">
        <v>3.0</v>
      </c>
      <c r="E662" s="24">
        <v>61.0</v>
      </c>
      <c r="F662" s="48">
        <v>4.6781</v>
      </c>
      <c r="G662" s="49">
        <f t="shared" si="1"/>
        <v>0.046781</v>
      </c>
      <c r="H662" s="11">
        <v>0.0</v>
      </c>
      <c r="I662" s="11">
        <v>7.0</v>
      </c>
      <c r="J662" s="50">
        <v>110723.0</v>
      </c>
      <c r="K662" s="11">
        <v>6.0</v>
      </c>
      <c r="L662" s="11">
        <v>6.0</v>
      </c>
      <c r="M662" s="51">
        <v>899.0</v>
      </c>
      <c r="N662" s="17">
        <v>1.0</v>
      </c>
      <c r="O662" s="24" t="s">
        <v>601</v>
      </c>
      <c r="P662" s="52">
        <v>101013.0</v>
      </c>
      <c r="Q662" s="51">
        <v>992.0</v>
      </c>
      <c r="R662" s="53">
        <v>-57512.3</v>
      </c>
      <c r="S662" s="24" t="s">
        <v>602</v>
      </c>
      <c r="T662" s="11">
        <v>7.0</v>
      </c>
      <c r="U662" s="52">
        <v>120816.0</v>
      </c>
      <c r="V662" s="11">
        <v>0.0</v>
      </c>
      <c r="W662" s="11">
        <v>0.0</v>
      </c>
      <c r="X662" s="48">
        <v>9.8882</v>
      </c>
      <c r="Y662" s="11">
        <f t="shared" si="2"/>
        <v>0.098882</v>
      </c>
    </row>
    <row r="663">
      <c r="A663" s="17">
        <v>6.0</v>
      </c>
      <c r="B663" s="24">
        <v>34.0</v>
      </c>
      <c r="C663" s="24">
        <v>1.0</v>
      </c>
      <c r="D663" s="24">
        <v>2.0</v>
      </c>
      <c r="E663" s="24">
        <v>67.0</v>
      </c>
      <c r="F663" s="48">
        <v>6.5187</v>
      </c>
      <c r="G663" s="49">
        <f t="shared" si="1"/>
        <v>0.065187</v>
      </c>
      <c r="H663" s="11">
        <v>8.0</v>
      </c>
      <c r="I663" s="11">
        <v>0.0</v>
      </c>
      <c r="J663" s="50">
        <v>103014.0</v>
      </c>
      <c r="K663" s="11">
        <v>1.0</v>
      </c>
      <c r="L663" s="11">
        <v>0.0</v>
      </c>
      <c r="M663" s="51">
        <v>680.0</v>
      </c>
      <c r="N663" s="17">
        <v>10.0</v>
      </c>
      <c r="O663" s="24" t="s">
        <v>39</v>
      </c>
      <c r="P663" s="52">
        <v>50515.0</v>
      </c>
      <c r="Q663" s="51">
        <v>191.0</v>
      </c>
      <c r="R663" s="53">
        <v>-1687.12</v>
      </c>
      <c r="S663" s="24" t="s">
        <v>605</v>
      </c>
      <c r="T663" s="11">
        <v>6.0</v>
      </c>
      <c r="U663" s="52">
        <v>92914.0</v>
      </c>
      <c r="V663" s="11">
        <v>7.0</v>
      </c>
      <c r="W663" s="11">
        <v>0.0</v>
      </c>
      <c r="X663" s="48">
        <v>2.595</v>
      </c>
      <c r="Y663" s="11">
        <f t="shared" si="2"/>
        <v>0.02595</v>
      </c>
    </row>
    <row r="664">
      <c r="A664" s="17">
        <v>8.0</v>
      </c>
      <c r="B664" s="24">
        <v>34.0</v>
      </c>
      <c r="C664" s="24">
        <v>1.0</v>
      </c>
      <c r="D664" s="24">
        <v>1.0</v>
      </c>
      <c r="E664" s="24">
        <v>67.0</v>
      </c>
      <c r="F664" s="48">
        <v>3.5475</v>
      </c>
      <c r="G664" s="49">
        <f t="shared" si="1"/>
        <v>0.035475</v>
      </c>
      <c r="H664" s="11">
        <v>1.0</v>
      </c>
      <c r="I664" s="11">
        <v>4.0</v>
      </c>
      <c r="J664" s="50">
        <v>82113.0</v>
      </c>
      <c r="K664" s="11">
        <v>9.0</v>
      </c>
      <c r="L664" s="11">
        <v>1.0</v>
      </c>
      <c r="M664" s="51">
        <v>992.0</v>
      </c>
      <c r="N664" s="17">
        <v>92.0</v>
      </c>
      <c r="O664" s="24" t="s">
        <v>606</v>
      </c>
      <c r="P664" s="52">
        <v>21115.0</v>
      </c>
      <c r="Q664" s="51">
        <v>291.0</v>
      </c>
      <c r="R664" s="53">
        <v>542167.15</v>
      </c>
      <c r="S664" s="24" t="s">
        <v>604</v>
      </c>
      <c r="T664" s="11">
        <v>0.0</v>
      </c>
      <c r="U664" s="52">
        <v>83118.0</v>
      </c>
      <c r="V664" s="11">
        <v>9.0</v>
      </c>
      <c r="W664" s="11">
        <v>9.0</v>
      </c>
      <c r="X664" s="48">
        <v>8.4106</v>
      </c>
      <c r="Y664" s="11">
        <f t="shared" si="2"/>
        <v>0.084106</v>
      </c>
    </row>
    <row r="665">
      <c r="A665" s="17">
        <v>90.0</v>
      </c>
      <c r="B665" s="24">
        <v>95.0</v>
      </c>
      <c r="C665" s="24">
        <v>5.0</v>
      </c>
      <c r="D665" s="24">
        <v>5.0</v>
      </c>
      <c r="E665" s="24">
        <v>61.0</v>
      </c>
      <c r="F665" s="48">
        <v>5.8901</v>
      </c>
      <c r="G665" s="49">
        <f t="shared" si="1"/>
        <v>0.058901</v>
      </c>
      <c r="H665" s="11">
        <v>7.0</v>
      </c>
      <c r="I665" s="11">
        <v>3.0</v>
      </c>
      <c r="J665" s="50">
        <v>72823.0</v>
      </c>
      <c r="K665" s="11">
        <v>6.0</v>
      </c>
      <c r="L665" s="11">
        <v>3.0</v>
      </c>
      <c r="M665" s="51">
        <v>802.0</v>
      </c>
      <c r="N665" s="17">
        <v>5.0</v>
      </c>
      <c r="O665" s="24" t="s">
        <v>601</v>
      </c>
      <c r="P665" s="52">
        <v>80623.0</v>
      </c>
      <c r="Q665" s="51">
        <v>594.0</v>
      </c>
      <c r="R665" s="53">
        <v>71105.95</v>
      </c>
      <c r="S665" s="24" t="s">
        <v>605</v>
      </c>
      <c r="T665" s="11">
        <v>2.0</v>
      </c>
      <c r="U665" s="52">
        <v>102017.0</v>
      </c>
      <c r="V665" s="11">
        <v>2.0</v>
      </c>
      <c r="W665" s="11">
        <v>1.0</v>
      </c>
      <c r="X665" s="48">
        <v>8.29</v>
      </c>
      <c r="Y665" s="11">
        <f t="shared" si="2"/>
        <v>0.0829</v>
      </c>
    </row>
    <row r="666">
      <c r="A666" s="17">
        <v>63.0</v>
      </c>
      <c r="B666" s="24">
        <v>95.0</v>
      </c>
      <c r="C666" s="24">
        <v>5.0</v>
      </c>
      <c r="D666" s="24">
        <v>9.0</v>
      </c>
      <c r="E666" s="24">
        <v>61.0</v>
      </c>
      <c r="F666" s="48">
        <v>7.5968</v>
      </c>
      <c r="G666" s="49">
        <f t="shared" si="1"/>
        <v>0.075968</v>
      </c>
      <c r="H666" s="11">
        <v>3.0</v>
      </c>
      <c r="I666" s="11">
        <v>7.0</v>
      </c>
      <c r="J666" s="50">
        <v>60617.0</v>
      </c>
      <c r="K666" s="11">
        <v>1.0</v>
      </c>
      <c r="L666" s="11">
        <v>4.0</v>
      </c>
      <c r="M666" s="51">
        <v>858.0</v>
      </c>
      <c r="N666" s="17">
        <v>27.0</v>
      </c>
      <c r="O666" s="24" t="s">
        <v>603</v>
      </c>
      <c r="P666" s="52">
        <v>41814.0</v>
      </c>
      <c r="Q666" s="51">
        <v>351.0</v>
      </c>
      <c r="R666" s="53">
        <v>394612.26</v>
      </c>
      <c r="S666" s="24" t="s">
        <v>605</v>
      </c>
      <c r="T666" s="11">
        <v>6.0</v>
      </c>
      <c r="U666" s="52">
        <v>71122.0</v>
      </c>
      <c r="V666" s="11">
        <v>8.0</v>
      </c>
      <c r="W666" s="11">
        <v>1.0</v>
      </c>
      <c r="X666" s="48">
        <v>4.182</v>
      </c>
      <c r="Y666" s="11">
        <f t="shared" si="2"/>
        <v>0.04182</v>
      </c>
    </row>
    <row r="667">
      <c r="A667" s="17">
        <v>2.0</v>
      </c>
      <c r="B667" s="24">
        <v>13.0</v>
      </c>
      <c r="C667" s="24">
        <v>6.0</v>
      </c>
      <c r="D667" s="24">
        <v>4.0</v>
      </c>
      <c r="E667" s="24">
        <v>62.0</v>
      </c>
      <c r="F667" s="48">
        <v>4.4929</v>
      </c>
      <c r="G667" s="49">
        <f t="shared" si="1"/>
        <v>0.044929</v>
      </c>
      <c r="H667" s="11">
        <v>5.0</v>
      </c>
      <c r="I667" s="11">
        <v>0.0</v>
      </c>
      <c r="J667" s="50">
        <v>20616.0</v>
      </c>
      <c r="K667" s="11">
        <v>2.0</v>
      </c>
      <c r="L667" s="11">
        <v>7.0</v>
      </c>
      <c r="M667" s="51">
        <v>795.0</v>
      </c>
      <c r="N667" s="17">
        <v>49.0</v>
      </c>
      <c r="O667" s="24" t="s">
        <v>603</v>
      </c>
      <c r="P667" s="52">
        <v>80119.0</v>
      </c>
      <c r="Q667" s="51">
        <v>696.0</v>
      </c>
      <c r="R667" s="53">
        <v>2389.32</v>
      </c>
      <c r="S667" s="24" t="s">
        <v>600</v>
      </c>
      <c r="T667" s="11">
        <v>6.0</v>
      </c>
      <c r="U667" s="52">
        <v>62222.0</v>
      </c>
      <c r="V667" s="11">
        <v>8.0</v>
      </c>
      <c r="W667" s="11">
        <v>1.0</v>
      </c>
      <c r="X667" s="48">
        <v>9.5638</v>
      </c>
      <c r="Y667" s="11">
        <f t="shared" si="2"/>
        <v>0.095638</v>
      </c>
    </row>
    <row r="668">
      <c r="A668" s="17">
        <v>22.0</v>
      </c>
      <c r="B668" s="24">
        <v>95.0</v>
      </c>
      <c r="C668" s="24">
        <v>6.0</v>
      </c>
      <c r="D668" s="24">
        <v>1.0</v>
      </c>
      <c r="E668" s="24">
        <v>61.0</v>
      </c>
      <c r="F668" s="48">
        <v>8.3555</v>
      </c>
      <c r="G668" s="49">
        <f t="shared" si="1"/>
        <v>0.083555</v>
      </c>
      <c r="H668" s="11">
        <v>8.0</v>
      </c>
      <c r="I668" s="11">
        <v>6.0</v>
      </c>
      <c r="J668" s="50">
        <v>102817.0</v>
      </c>
      <c r="K668" s="11">
        <v>3.0</v>
      </c>
      <c r="L668" s="11">
        <v>1.0</v>
      </c>
      <c r="M668" s="51">
        <v>901.0</v>
      </c>
      <c r="N668" s="17">
        <v>26.0</v>
      </c>
      <c r="O668" s="24" t="s">
        <v>606</v>
      </c>
      <c r="P668" s="52">
        <v>42423.0</v>
      </c>
      <c r="Q668" s="51">
        <v>836.0</v>
      </c>
      <c r="R668" s="53">
        <v>-611.72</v>
      </c>
      <c r="S668" s="24" t="s">
        <v>604</v>
      </c>
      <c r="T668" s="11">
        <v>1.0</v>
      </c>
      <c r="U668" s="52">
        <v>111216.0</v>
      </c>
      <c r="V668" s="11">
        <v>5.0</v>
      </c>
      <c r="W668" s="11">
        <v>5.0</v>
      </c>
      <c r="X668" s="48">
        <v>2.557</v>
      </c>
      <c r="Y668" s="11">
        <f t="shared" si="2"/>
        <v>0.02557</v>
      </c>
    </row>
    <row r="669">
      <c r="A669" s="17">
        <v>85.0</v>
      </c>
      <c r="B669" s="24">
        <v>54.0</v>
      </c>
      <c r="C669" s="24">
        <v>6.0</v>
      </c>
      <c r="D669" s="24">
        <v>8.0</v>
      </c>
      <c r="E669" s="24">
        <v>66.0</v>
      </c>
      <c r="F669" s="48">
        <v>6.7556</v>
      </c>
      <c r="G669" s="49">
        <f t="shared" si="1"/>
        <v>0.067556</v>
      </c>
      <c r="H669" s="11">
        <v>6.0</v>
      </c>
      <c r="I669" s="11">
        <v>0.0</v>
      </c>
      <c r="J669" s="50">
        <v>32915.0</v>
      </c>
      <c r="K669" s="11">
        <v>8.0</v>
      </c>
      <c r="L669" s="11">
        <v>1.0</v>
      </c>
      <c r="M669" s="51">
        <v>571.0</v>
      </c>
      <c r="N669" s="17">
        <v>43.0</v>
      </c>
      <c r="O669" s="24" t="s">
        <v>606</v>
      </c>
      <c r="P669" s="52">
        <v>102819.0</v>
      </c>
      <c r="Q669" s="51">
        <v>414.0</v>
      </c>
      <c r="R669" s="53">
        <v>9026.67</v>
      </c>
      <c r="S669" s="24" t="s">
        <v>604</v>
      </c>
      <c r="T669" s="11">
        <v>2.0</v>
      </c>
      <c r="U669" s="52">
        <v>30516.0</v>
      </c>
      <c r="V669" s="11">
        <v>5.0</v>
      </c>
      <c r="W669" s="11">
        <v>9.0</v>
      </c>
      <c r="X669" s="48">
        <v>2.7694</v>
      </c>
      <c r="Y669" s="11">
        <f t="shared" si="2"/>
        <v>0.027694</v>
      </c>
    </row>
    <row r="670">
      <c r="A670" s="17">
        <v>33.0</v>
      </c>
      <c r="B670" s="24">
        <v>75.0</v>
      </c>
      <c r="C670" s="24">
        <v>1.0</v>
      </c>
      <c r="D670" s="24">
        <v>7.0</v>
      </c>
      <c r="E670" s="24">
        <v>62.0</v>
      </c>
      <c r="F670" s="48">
        <v>5.8103</v>
      </c>
      <c r="G670" s="49">
        <f t="shared" si="1"/>
        <v>0.058103</v>
      </c>
      <c r="H670" s="11">
        <v>2.0</v>
      </c>
      <c r="I670" s="11">
        <v>1.0</v>
      </c>
      <c r="J670" s="50">
        <v>81013.0</v>
      </c>
      <c r="K670" s="11">
        <v>8.0</v>
      </c>
      <c r="L670" s="11">
        <v>1.0</v>
      </c>
      <c r="M670" s="51">
        <v>166.0</v>
      </c>
      <c r="N670" s="17">
        <v>40.0</v>
      </c>
      <c r="O670" s="24" t="s">
        <v>606</v>
      </c>
      <c r="P670" s="52">
        <v>10221.0</v>
      </c>
      <c r="Q670" s="51">
        <v>961.0</v>
      </c>
      <c r="R670" s="53">
        <v>-6766.54</v>
      </c>
      <c r="S670" s="24" t="s">
        <v>602</v>
      </c>
      <c r="T670" s="11">
        <v>3.0</v>
      </c>
      <c r="U670" s="52">
        <v>82721.0</v>
      </c>
      <c r="V670" s="11">
        <v>3.0</v>
      </c>
      <c r="W670" s="11">
        <v>0.0</v>
      </c>
      <c r="X670" s="48">
        <v>3.2972</v>
      </c>
      <c r="Y670" s="11">
        <f t="shared" si="2"/>
        <v>0.032972</v>
      </c>
    </row>
    <row r="671">
      <c r="A671" s="17">
        <v>74.0</v>
      </c>
      <c r="B671" s="24">
        <v>13.0</v>
      </c>
      <c r="C671" s="24">
        <v>7.0</v>
      </c>
      <c r="D671" s="24">
        <v>4.0</v>
      </c>
      <c r="E671" s="24">
        <v>67.0</v>
      </c>
      <c r="F671" s="48">
        <v>4.1155</v>
      </c>
      <c r="G671" s="49">
        <f t="shared" si="1"/>
        <v>0.041155</v>
      </c>
      <c r="H671" s="11">
        <v>7.0</v>
      </c>
      <c r="I671" s="11">
        <v>9.0</v>
      </c>
      <c r="J671" s="50">
        <v>80123.0</v>
      </c>
      <c r="K671" s="11">
        <v>0.0</v>
      </c>
      <c r="L671" s="11">
        <v>8.0</v>
      </c>
      <c r="M671" s="51">
        <v>522.0</v>
      </c>
      <c r="N671" s="17">
        <v>18.0</v>
      </c>
      <c r="O671" s="24" t="s">
        <v>39</v>
      </c>
      <c r="P671" s="52">
        <v>112516.0</v>
      </c>
      <c r="Q671" s="51">
        <v>976.0</v>
      </c>
      <c r="R671" s="53">
        <v>719.35</v>
      </c>
      <c r="S671" s="24" t="s">
        <v>604</v>
      </c>
      <c r="T671" s="11">
        <v>7.0</v>
      </c>
      <c r="U671" s="52">
        <v>120119.0</v>
      </c>
      <c r="V671" s="11">
        <v>8.0</v>
      </c>
      <c r="W671" s="11">
        <v>1.0</v>
      </c>
      <c r="X671" s="48">
        <v>3.9584</v>
      </c>
      <c r="Y671" s="11">
        <f t="shared" si="2"/>
        <v>0.039584</v>
      </c>
    </row>
    <row r="672">
      <c r="A672" s="17">
        <v>82.0</v>
      </c>
      <c r="B672" s="24">
        <v>95.0</v>
      </c>
      <c r="C672" s="24">
        <v>6.0</v>
      </c>
      <c r="D672" s="24">
        <v>7.0</v>
      </c>
      <c r="E672" s="24">
        <v>63.0</v>
      </c>
      <c r="F672" s="48">
        <v>9.8623</v>
      </c>
      <c r="G672" s="49">
        <f t="shared" si="1"/>
        <v>0.098623</v>
      </c>
      <c r="H672" s="11">
        <v>1.0</v>
      </c>
      <c r="I672" s="11">
        <v>3.0</v>
      </c>
      <c r="J672" s="50">
        <v>62921.0</v>
      </c>
      <c r="K672" s="11">
        <v>8.0</v>
      </c>
      <c r="L672" s="11">
        <v>1.0</v>
      </c>
      <c r="M672" s="51">
        <v>71.0</v>
      </c>
      <c r="N672" s="17">
        <v>35.0</v>
      </c>
      <c r="O672" s="24" t="s">
        <v>600</v>
      </c>
      <c r="P672" s="52">
        <v>41715.0</v>
      </c>
      <c r="Q672" s="51">
        <v>394.0</v>
      </c>
      <c r="R672" s="53">
        <v>7778.34</v>
      </c>
      <c r="S672" s="24" t="s">
        <v>605</v>
      </c>
      <c r="T672" s="11">
        <v>1.0</v>
      </c>
      <c r="U672" s="52">
        <v>71016.0</v>
      </c>
      <c r="V672" s="11">
        <v>9.0</v>
      </c>
      <c r="W672" s="11">
        <v>6.0</v>
      </c>
      <c r="X672" s="48">
        <v>6.8811</v>
      </c>
      <c r="Y672" s="11">
        <f t="shared" si="2"/>
        <v>0.068811</v>
      </c>
    </row>
    <row r="673">
      <c r="A673" s="17">
        <v>46.0</v>
      </c>
      <c r="B673" s="24">
        <v>13.0</v>
      </c>
      <c r="C673" s="24">
        <v>7.0</v>
      </c>
      <c r="D673" s="24">
        <v>8.0</v>
      </c>
      <c r="E673" s="24">
        <v>63.0</v>
      </c>
      <c r="F673" s="48">
        <v>9.7646</v>
      </c>
      <c r="G673" s="49">
        <f t="shared" si="1"/>
        <v>0.097646</v>
      </c>
      <c r="H673" s="11">
        <v>0.0</v>
      </c>
      <c r="I673" s="11">
        <v>0.0</v>
      </c>
      <c r="J673" s="50">
        <v>92813.0</v>
      </c>
      <c r="K673" s="11">
        <v>1.0</v>
      </c>
      <c r="L673" s="11">
        <v>3.0</v>
      </c>
      <c r="M673" s="51">
        <v>478.0</v>
      </c>
      <c r="N673" s="17">
        <v>56.0</v>
      </c>
      <c r="O673" s="24" t="s">
        <v>31</v>
      </c>
      <c r="P673" s="52">
        <v>102314.0</v>
      </c>
      <c r="Q673" s="51">
        <v>91.0</v>
      </c>
      <c r="R673" s="53">
        <v>53271.68</v>
      </c>
      <c r="S673" s="24" t="s">
        <v>602</v>
      </c>
      <c r="T673" s="11">
        <v>3.0</v>
      </c>
      <c r="U673" s="52">
        <v>12514.0</v>
      </c>
      <c r="V673" s="11">
        <v>9.0</v>
      </c>
      <c r="W673" s="11">
        <v>3.0</v>
      </c>
      <c r="X673" s="48">
        <v>3.7287</v>
      </c>
      <c r="Y673" s="11">
        <f t="shared" si="2"/>
        <v>0.037287</v>
      </c>
    </row>
    <row r="674">
      <c r="A674" s="17">
        <v>35.0</v>
      </c>
      <c r="B674" s="24">
        <v>95.0</v>
      </c>
      <c r="C674" s="24">
        <v>7.0</v>
      </c>
      <c r="D674" s="24">
        <v>1.0</v>
      </c>
      <c r="E674" s="24">
        <v>62.0</v>
      </c>
      <c r="F674" s="48">
        <v>1.2812</v>
      </c>
      <c r="G674" s="49">
        <f t="shared" si="1"/>
        <v>0.012812</v>
      </c>
      <c r="H674" s="11">
        <v>4.0</v>
      </c>
      <c r="I674" s="11">
        <v>8.0</v>
      </c>
      <c r="J674" s="50">
        <v>22817.0</v>
      </c>
      <c r="K674" s="11">
        <v>9.0</v>
      </c>
      <c r="L674" s="11">
        <v>7.0</v>
      </c>
      <c r="M674" s="51">
        <v>225.0</v>
      </c>
      <c r="N674" s="17">
        <v>51.0</v>
      </c>
      <c r="O674" s="24" t="s">
        <v>31</v>
      </c>
      <c r="P674" s="52">
        <v>101916.0</v>
      </c>
      <c r="Q674" s="51">
        <v>983.0</v>
      </c>
      <c r="R674" s="53">
        <v>-522.3</v>
      </c>
      <c r="S674" s="24" t="s">
        <v>602</v>
      </c>
      <c r="T674" s="11">
        <v>8.0</v>
      </c>
      <c r="U674" s="52">
        <v>60519.0</v>
      </c>
      <c r="V674" s="11">
        <v>7.0</v>
      </c>
      <c r="W674" s="11">
        <v>4.0</v>
      </c>
      <c r="X674" s="48">
        <v>8.8909</v>
      </c>
      <c r="Y674" s="11">
        <f t="shared" si="2"/>
        <v>0.088909</v>
      </c>
    </row>
    <row r="675">
      <c r="A675" s="17">
        <v>77.0</v>
      </c>
      <c r="B675" s="24">
        <v>54.0</v>
      </c>
      <c r="C675" s="24">
        <v>7.0</v>
      </c>
      <c r="D675" s="24">
        <v>8.0</v>
      </c>
      <c r="E675" s="24">
        <v>61.0</v>
      </c>
      <c r="F675" s="48">
        <v>5.6595</v>
      </c>
      <c r="G675" s="49">
        <f t="shared" si="1"/>
        <v>0.056595</v>
      </c>
      <c r="H675" s="11">
        <v>0.0</v>
      </c>
      <c r="I675" s="11">
        <v>2.0</v>
      </c>
      <c r="J675" s="50">
        <v>11923.0</v>
      </c>
      <c r="K675" s="11">
        <v>6.0</v>
      </c>
      <c r="L675" s="11">
        <v>7.0</v>
      </c>
      <c r="M675" s="51">
        <v>880.0</v>
      </c>
      <c r="N675" s="17">
        <v>4.0</v>
      </c>
      <c r="O675" s="24" t="s">
        <v>601</v>
      </c>
      <c r="P675" s="52">
        <v>121314.0</v>
      </c>
      <c r="Q675" s="51">
        <v>367.0</v>
      </c>
      <c r="R675" s="53">
        <v>-258624.98</v>
      </c>
      <c r="S675" s="24" t="s">
        <v>602</v>
      </c>
      <c r="T675" s="11">
        <v>6.0</v>
      </c>
      <c r="U675" s="52">
        <v>11819.0</v>
      </c>
      <c r="V675" s="11">
        <v>6.0</v>
      </c>
      <c r="W675" s="11">
        <v>8.0</v>
      </c>
      <c r="X675" s="48">
        <v>8.3681</v>
      </c>
      <c r="Y675" s="11">
        <f t="shared" si="2"/>
        <v>0.083681</v>
      </c>
    </row>
    <row r="676">
      <c r="A676" s="17">
        <v>17.0</v>
      </c>
      <c r="B676" s="24">
        <v>13.0</v>
      </c>
      <c r="C676" s="24">
        <v>8.0</v>
      </c>
      <c r="D676" s="24">
        <v>2.0</v>
      </c>
      <c r="E676" s="24">
        <v>68.0</v>
      </c>
      <c r="F676" s="48">
        <v>5.9593</v>
      </c>
      <c r="G676" s="49">
        <f t="shared" si="1"/>
        <v>0.059593</v>
      </c>
      <c r="H676" s="11">
        <v>2.0</v>
      </c>
      <c r="I676" s="11">
        <v>5.0</v>
      </c>
      <c r="J676" s="50">
        <v>103119.0</v>
      </c>
      <c r="K676" s="11">
        <v>4.0</v>
      </c>
      <c r="L676" s="11">
        <v>4.0</v>
      </c>
      <c r="M676" s="51">
        <v>183.0</v>
      </c>
      <c r="N676" s="17">
        <v>33.0</v>
      </c>
      <c r="O676" s="24" t="s">
        <v>48</v>
      </c>
      <c r="P676" s="52">
        <v>61422.0</v>
      </c>
      <c r="Q676" s="51">
        <v>878.0</v>
      </c>
      <c r="R676" s="53">
        <v>-741.17</v>
      </c>
      <c r="S676" s="24" t="s">
        <v>604</v>
      </c>
      <c r="T676" s="11">
        <v>9.0</v>
      </c>
      <c r="U676" s="52">
        <v>31316.0</v>
      </c>
      <c r="V676" s="11">
        <v>8.0</v>
      </c>
      <c r="W676" s="11">
        <v>3.0</v>
      </c>
      <c r="X676" s="48">
        <v>2.2701</v>
      </c>
      <c r="Y676" s="11">
        <f t="shared" si="2"/>
        <v>0.022701</v>
      </c>
    </row>
    <row r="677">
      <c r="A677" s="17">
        <v>68.0</v>
      </c>
      <c r="B677" s="24">
        <v>34.0</v>
      </c>
      <c r="C677" s="24">
        <v>3.0</v>
      </c>
      <c r="D677" s="24">
        <v>1.0</v>
      </c>
      <c r="E677" s="24">
        <v>63.0</v>
      </c>
      <c r="F677" s="48">
        <v>3.4775</v>
      </c>
      <c r="G677" s="49">
        <f t="shared" si="1"/>
        <v>0.034775</v>
      </c>
      <c r="H677" s="11">
        <v>1.0</v>
      </c>
      <c r="I677" s="11">
        <v>5.0</v>
      </c>
      <c r="J677" s="50">
        <v>60414.0</v>
      </c>
      <c r="K677" s="11">
        <v>0.0</v>
      </c>
      <c r="L677" s="11">
        <v>5.0</v>
      </c>
      <c r="M677" s="51">
        <v>481.0</v>
      </c>
      <c r="N677" s="17">
        <v>55.0</v>
      </c>
      <c r="O677" s="24" t="s">
        <v>31</v>
      </c>
      <c r="P677" s="52">
        <v>80622.0</v>
      </c>
      <c r="Q677" s="51">
        <v>498.0</v>
      </c>
      <c r="R677" s="53">
        <v>-9840.78</v>
      </c>
      <c r="S677" s="24" t="s">
        <v>605</v>
      </c>
      <c r="T677" s="11">
        <v>9.0</v>
      </c>
      <c r="U677" s="52">
        <v>90322.0</v>
      </c>
      <c r="V677" s="11">
        <v>4.0</v>
      </c>
      <c r="W677" s="11">
        <v>1.0</v>
      </c>
      <c r="X677" s="48">
        <v>8.7615</v>
      </c>
      <c r="Y677" s="11">
        <f t="shared" si="2"/>
        <v>0.087615</v>
      </c>
    </row>
    <row r="678">
      <c r="A678" s="17">
        <v>18.0</v>
      </c>
      <c r="B678" s="24">
        <v>54.0</v>
      </c>
      <c r="C678" s="24">
        <v>8.0</v>
      </c>
      <c r="D678" s="24">
        <v>1.0</v>
      </c>
      <c r="E678" s="24">
        <v>68.0</v>
      </c>
      <c r="F678" s="48">
        <v>6.7347</v>
      </c>
      <c r="G678" s="49">
        <f t="shared" si="1"/>
        <v>0.067347</v>
      </c>
      <c r="H678" s="11">
        <v>3.0</v>
      </c>
      <c r="I678" s="11">
        <v>5.0</v>
      </c>
      <c r="J678" s="50">
        <v>81823.0</v>
      </c>
      <c r="K678" s="11">
        <v>7.0</v>
      </c>
      <c r="L678" s="11">
        <v>5.0</v>
      </c>
      <c r="M678" s="51">
        <v>489.0</v>
      </c>
      <c r="N678" s="17">
        <v>39.0</v>
      </c>
      <c r="O678" s="24" t="s">
        <v>31</v>
      </c>
      <c r="P678" s="52">
        <v>22715.0</v>
      </c>
      <c r="Q678" s="51">
        <v>934.0</v>
      </c>
      <c r="R678" s="53">
        <v>-70758.13</v>
      </c>
      <c r="S678" s="24" t="s">
        <v>604</v>
      </c>
      <c r="T678" s="11">
        <v>9.0</v>
      </c>
      <c r="U678" s="52">
        <v>51523.0</v>
      </c>
      <c r="V678" s="11">
        <v>7.0</v>
      </c>
      <c r="W678" s="11">
        <v>0.0</v>
      </c>
      <c r="X678" s="48">
        <v>1.2704</v>
      </c>
      <c r="Y678" s="11">
        <f t="shared" si="2"/>
        <v>0.012704</v>
      </c>
    </row>
    <row r="679">
      <c r="A679" s="17">
        <v>11.0</v>
      </c>
      <c r="B679" s="24">
        <v>13.0</v>
      </c>
      <c r="C679" s="24">
        <v>8.0</v>
      </c>
      <c r="D679" s="24">
        <v>3.0</v>
      </c>
      <c r="E679" s="24">
        <v>68.0</v>
      </c>
      <c r="F679" s="48">
        <v>7.4837</v>
      </c>
      <c r="G679" s="49">
        <f t="shared" si="1"/>
        <v>0.074837</v>
      </c>
      <c r="H679" s="11">
        <v>7.0</v>
      </c>
      <c r="I679" s="11">
        <v>3.0</v>
      </c>
      <c r="J679" s="50">
        <v>110617.0</v>
      </c>
      <c r="K679" s="11">
        <v>5.0</v>
      </c>
      <c r="L679" s="11">
        <v>6.0</v>
      </c>
      <c r="M679" s="51">
        <v>251.0</v>
      </c>
      <c r="N679" s="17">
        <v>75.0</v>
      </c>
      <c r="O679" s="24" t="s">
        <v>603</v>
      </c>
      <c r="P679" s="52">
        <v>100621.0</v>
      </c>
      <c r="Q679" s="51">
        <v>730.0</v>
      </c>
      <c r="R679" s="53">
        <v>-258.48</v>
      </c>
      <c r="S679" s="24" t="s">
        <v>605</v>
      </c>
      <c r="T679" s="11">
        <v>1.0</v>
      </c>
      <c r="U679" s="52">
        <v>12018.0</v>
      </c>
      <c r="V679" s="11">
        <v>8.0</v>
      </c>
      <c r="W679" s="11">
        <v>3.0</v>
      </c>
      <c r="X679" s="48">
        <v>8.8597</v>
      </c>
      <c r="Y679" s="11">
        <f t="shared" si="2"/>
        <v>0.088597</v>
      </c>
    </row>
    <row r="680">
      <c r="A680" s="17">
        <v>72.0</v>
      </c>
      <c r="B680" s="24">
        <v>95.0</v>
      </c>
      <c r="C680" s="24">
        <v>7.0</v>
      </c>
      <c r="D680" s="24">
        <v>4.0</v>
      </c>
      <c r="E680" s="24">
        <v>67.0</v>
      </c>
      <c r="F680" s="48">
        <v>8.5165</v>
      </c>
      <c r="G680" s="49">
        <f t="shared" si="1"/>
        <v>0.085165</v>
      </c>
      <c r="H680" s="11">
        <v>9.0</v>
      </c>
      <c r="I680" s="11">
        <v>1.0</v>
      </c>
      <c r="J680" s="50">
        <v>102518.0</v>
      </c>
      <c r="K680" s="11">
        <v>9.0</v>
      </c>
      <c r="L680" s="11">
        <v>6.0</v>
      </c>
      <c r="M680" s="51">
        <v>499.0</v>
      </c>
      <c r="N680" s="17">
        <v>67.0</v>
      </c>
      <c r="O680" s="24" t="s">
        <v>39</v>
      </c>
      <c r="P680" s="52">
        <v>40520.0</v>
      </c>
      <c r="Q680" s="51">
        <v>527.0</v>
      </c>
      <c r="R680" s="53">
        <v>7036.84</v>
      </c>
      <c r="S680" s="24" t="s">
        <v>604</v>
      </c>
      <c r="T680" s="11">
        <v>9.0</v>
      </c>
      <c r="U680" s="52">
        <v>71820.0</v>
      </c>
      <c r="V680" s="11">
        <v>4.0</v>
      </c>
      <c r="W680" s="11">
        <v>6.0</v>
      </c>
      <c r="X680" s="48">
        <v>5.6982</v>
      </c>
      <c r="Y680" s="11">
        <f t="shared" si="2"/>
        <v>0.056982</v>
      </c>
    </row>
    <row r="681">
      <c r="A681" s="17">
        <v>78.0</v>
      </c>
      <c r="B681" s="24">
        <v>34.0</v>
      </c>
      <c r="C681" s="24">
        <v>3.0</v>
      </c>
      <c r="D681" s="24">
        <v>6.0</v>
      </c>
      <c r="E681" s="24">
        <v>64.0</v>
      </c>
      <c r="F681" s="48">
        <v>8.7909</v>
      </c>
      <c r="G681" s="49">
        <f t="shared" si="1"/>
        <v>0.087909</v>
      </c>
      <c r="H681" s="11">
        <v>5.0</v>
      </c>
      <c r="I681" s="11">
        <v>8.0</v>
      </c>
      <c r="J681" s="50">
        <v>72322.0</v>
      </c>
      <c r="K681" s="11">
        <v>1.0</v>
      </c>
      <c r="L681" s="11">
        <v>0.0</v>
      </c>
      <c r="M681" s="51">
        <v>684.0</v>
      </c>
      <c r="N681" s="17">
        <v>33.0</v>
      </c>
      <c r="O681" s="24" t="s">
        <v>603</v>
      </c>
      <c r="P681" s="52">
        <v>31713.0</v>
      </c>
      <c r="Q681" s="51">
        <v>30.0</v>
      </c>
      <c r="R681" s="53">
        <v>383015.83</v>
      </c>
      <c r="S681" s="24" t="s">
        <v>605</v>
      </c>
      <c r="T681" s="11">
        <v>2.0</v>
      </c>
      <c r="U681" s="52">
        <v>10219.0</v>
      </c>
      <c r="V681" s="11">
        <v>9.0</v>
      </c>
      <c r="W681" s="11">
        <v>3.0</v>
      </c>
      <c r="X681" s="48">
        <v>6.2013</v>
      </c>
      <c r="Y681" s="11">
        <f t="shared" si="2"/>
        <v>0.062013</v>
      </c>
    </row>
    <row r="682">
      <c r="A682" s="17">
        <v>36.0</v>
      </c>
      <c r="B682" s="24">
        <v>54.0</v>
      </c>
      <c r="C682" s="24">
        <v>8.0</v>
      </c>
      <c r="D682" s="24">
        <v>5.0</v>
      </c>
      <c r="E682" s="24">
        <v>62.0</v>
      </c>
      <c r="F682" s="48">
        <v>1.3879</v>
      </c>
      <c r="G682" s="49">
        <f t="shared" si="1"/>
        <v>0.013879</v>
      </c>
      <c r="H682" s="11">
        <v>3.0</v>
      </c>
      <c r="I682" s="11">
        <v>4.0</v>
      </c>
      <c r="J682" s="50">
        <v>10917.0</v>
      </c>
      <c r="K682" s="11">
        <v>2.0</v>
      </c>
      <c r="L682" s="11">
        <v>3.0</v>
      </c>
      <c r="M682" s="51">
        <v>0.0</v>
      </c>
      <c r="N682" s="17">
        <v>15.0</v>
      </c>
      <c r="O682" s="24" t="s">
        <v>601</v>
      </c>
      <c r="P682" s="52">
        <v>120917.0</v>
      </c>
      <c r="Q682" s="51">
        <v>876.0</v>
      </c>
      <c r="R682" s="53">
        <v>613.78</v>
      </c>
      <c r="S682" s="24" t="s">
        <v>605</v>
      </c>
      <c r="T682" s="11">
        <v>4.0</v>
      </c>
      <c r="U682" s="52">
        <v>70217.0</v>
      </c>
      <c r="V682" s="11">
        <v>0.0</v>
      </c>
      <c r="W682" s="11">
        <v>7.0</v>
      </c>
      <c r="X682" s="48">
        <v>9.5887</v>
      </c>
      <c r="Y682" s="11">
        <f t="shared" si="2"/>
        <v>0.095887</v>
      </c>
    </row>
    <row r="683">
      <c r="A683" s="17">
        <v>52.0</v>
      </c>
      <c r="B683" s="24">
        <v>75.0</v>
      </c>
      <c r="C683" s="24">
        <v>3.0</v>
      </c>
      <c r="D683" s="24">
        <v>4.0</v>
      </c>
      <c r="E683" s="24">
        <v>62.0</v>
      </c>
      <c r="F683" s="48">
        <v>7.6484</v>
      </c>
      <c r="G683" s="49">
        <f t="shared" si="1"/>
        <v>0.076484</v>
      </c>
      <c r="H683" s="11">
        <v>3.0</v>
      </c>
      <c r="I683" s="11">
        <v>1.0</v>
      </c>
      <c r="J683" s="50">
        <v>112619.0</v>
      </c>
      <c r="K683" s="11">
        <v>7.0</v>
      </c>
      <c r="L683" s="11">
        <v>3.0</v>
      </c>
      <c r="M683" s="51">
        <v>547.0</v>
      </c>
      <c r="N683" s="17">
        <v>79.0</v>
      </c>
      <c r="O683" s="24" t="s">
        <v>600</v>
      </c>
      <c r="P683" s="52">
        <v>80816.0</v>
      </c>
      <c r="Q683" s="51">
        <v>955.0</v>
      </c>
      <c r="R683" s="53">
        <v>-1705.5</v>
      </c>
      <c r="S683" s="24" t="s">
        <v>600</v>
      </c>
      <c r="T683" s="11">
        <v>6.0</v>
      </c>
      <c r="U683" s="52">
        <v>21714.0</v>
      </c>
      <c r="V683" s="11">
        <v>4.0</v>
      </c>
      <c r="W683" s="11">
        <v>4.0</v>
      </c>
      <c r="X683" s="48">
        <v>5.5691</v>
      </c>
      <c r="Y683" s="11">
        <f t="shared" si="2"/>
        <v>0.055691</v>
      </c>
    </row>
    <row r="684">
      <c r="A684" s="17">
        <v>84.0</v>
      </c>
      <c r="B684" s="24">
        <v>75.0</v>
      </c>
      <c r="C684" s="24">
        <v>2.0</v>
      </c>
      <c r="D684" s="24">
        <v>9.0</v>
      </c>
      <c r="E684" s="24">
        <v>64.0</v>
      </c>
      <c r="F684" s="48">
        <v>4.641</v>
      </c>
      <c r="G684" s="49">
        <f t="shared" si="1"/>
        <v>0.04641</v>
      </c>
      <c r="H684" s="11">
        <v>3.0</v>
      </c>
      <c r="I684" s="11">
        <v>0.0</v>
      </c>
      <c r="J684" s="50">
        <v>120116.0</v>
      </c>
      <c r="K684" s="11">
        <v>7.0</v>
      </c>
      <c r="L684" s="11">
        <v>0.0</v>
      </c>
      <c r="M684" s="51">
        <v>175.0</v>
      </c>
      <c r="N684" s="17">
        <v>75.0</v>
      </c>
      <c r="O684" s="24" t="s">
        <v>601</v>
      </c>
      <c r="P684" s="52">
        <v>80114.0</v>
      </c>
      <c r="Q684" s="51">
        <v>63.0</v>
      </c>
      <c r="R684" s="53">
        <v>773898.58</v>
      </c>
      <c r="S684" s="24" t="s">
        <v>602</v>
      </c>
      <c r="T684" s="11">
        <v>4.0</v>
      </c>
      <c r="U684" s="52">
        <v>41318.0</v>
      </c>
      <c r="V684" s="11">
        <v>0.0</v>
      </c>
      <c r="W684" s="11">
        <v>6.0</v>
      </c>
      <c r="X684" s="48">
        <v>2.8274</v>
      </c>
      <c r="Y684" s="11">
        <f t="shared" si="2"/>
        <v>0.028274</v>
      </c>
    </row>
    <row r="685">
      <c r="A685" s="17">
        <v>2.0</v>
      </c>
      <c r="B685" s="24">
        <v>34.0</v>
      </c>
      <c r="C685" s="24">
        <v>3.0</v>
      </c>
      <c r="D685" s="24">
        <v>2.0</v>
      </c>
      <c r="E685" s="24">
        <v>60.0</v>
      </c>
      <c r="F685" s="48">
        <v>2.1362</v>
      </c>
      <c r="G685" s="49">
        <f t="shared" si="1"/>
        <v>0.021362</v>
      </c>
      <c r="H685" s="11">
        <v>4.0</v>
      </c>
      <c r="I685" s="11">
        <v>2.0</v>
      </c>
      <c r="J685" s="50">
        <v>101416.0</v>
      </c>
      <c r="K685" s="11">
        <v>4.0</v>
      </c>
      <c r="L685" s="11">
        <v>4.0</v>
      </c>
      <c r="M685" s="51">
        <v>833.0</v>
      </c>
      <c r="N685" s="17">
        <v>10.0</v>
      </c>
      <c r="O685" s="24" t="s">
        <v>603</v>
      </c>
      <c r="P685" s="52">
        <v>82120.0</v>
      </c>
      <c r="Q685" s="51">
        <v>361.0</v>
      </c>
      <c r="R685" s="53">
        <v>-551814.57</v>
      </c>
      <c r="S685" s="24" t="s">
        <v>605</v>
      </c>
      <c r="T685" s="11">
        <v>4.0</v>
      </c>
      <c r="U685" s="52">
        <v>121618.0</v>
      </c>
      <c r="V685" s="11">
        <v>2.0</v>
      </c>
      <c r="W685" s="11">
        <v>2.0</v>
      </c>
      <c r="X685" s="48">
        <v>4.798</v>
      </c>
      <c r="Y685" s="11">
        <f t="shared" si="2"/>
        <v>0.04798</v>
      </c>
    </row>
    <row r="686">
      <c r="A686" s="17">
        <v>6.0</v>
      </c>
      <c r="B686" s="24">
        <v>34.0</v>
      </c>
      <c r="C686" s="24">
        <v>4.0</v>
      </c>
      <c r="D686" s="24">
        <v>1.0</v>
      </c>
      <c r="E686" s="24">
        <v>67.0</v>
      </c>
      <c r="F686" s="48">
        <v>9.1403</v>
      </c>
      <c r="G686" s="49">
        <f t="shared" si="1"/>
        <v>0.091403</v>
      </c>
      <c r="H686" s="11">
        <v>5.0</v>
      </c>
      <c r="I686" s="11">
        <v>7.0</v>
      </c>
      <c r="J686" s="50">
        <v>71614.0</v>
      </c>
      <c r="K686" s="11">
        <v>7.0</v>
      </c>
      <c r="L686" s="11">
        <v>5.0</v>
      </c>
      <c r="M686" s="51">
        <v>282.0</v>
      </c>
      <c r="N686" s="17">
        <v>72.0</v>
      </c>
      <c r="O686" s="24" t="s">
        <v>603</v>
      </c>
      <c r="P686" s="52">
        <v>91522.0</v>
      </c>
      <c r="Q686" s="51">
        <v>315.0</v>
      </c>
      <c r="R686" s="53">
        <v>-610858.1</v>
      </c>
      <c r="S686" s="24" t="s">
        <v>600</v>
      </c>
      <c r="T686" s="11">
        <v>0.0</v>
      </c>
      <c r="U686" s="52">
        <v>42213.0</v>
      </c>
      <c r="V686" s="11">
        <v>7.0</v>
      </c>
      <c r="W686" s="11">
        <v>5.0</v>
      </c>
      <c r="X686" s="48">
        <v>4.4662</v>
      </c>
      <c r="Y686" s="11">
        <f t="shared" si="2"/>
        <v>0.044662</v>
      </c>
    </row>
    <row r="687">
      <c r="A687" s="17">
        <v>86.0</v>
      </c>
      <c r="B687" s="24">
        <v>34.0</v>
      </c>
      <c r="C687" s="24">
        <v>4.0</v>
      </c>
      <c r="D687" s="24">
        <v>3.0</v>
      </c>
      <c r="E687" s="24">
        <v>63.0</v>
      </c>
      <c r="F687" s="48">
        <v>9.5198</v>
      </c>
      <c r="G687" s="49">
        <f t="shared" si="1"/>
        <v>0.095198</v>
      </c>
      <c r="H687" s="11">
        <v>4.0</v>
      </c>
      <c r="I687" s="11">
        <v>7.0</v>
      </c>
      <c r="J687" s="50">
        <v>20114.0</v>
      </c>
      <c r="K687" s="11">
        <v>8.0</v>
      </c>
      <c r="L687" s="11">
        <v>8.0</v>
      </c>
      <c r="M687" s="51">
        <v>361.0</v>
      </c>
      <c r="N687" s="17">
        <v>99.0</v>
      </c>
      <c r="O687" s="24" t="s">
        <v>600</v>
      </c>
      <c r="P687" s="52">
        <v>40720.0</v>
      </c>
      <c r="Q687" s="51">
        <v>445.0</v>
      </c>
      <c r="R687" s="53">
        <v>7446.58</v>
      </c>
      <c r="S687" s="24" t="s">
        <v>602</v>
      </c>
      <c r="T687" s="11">
        <v>2.0</v>
      </c>
      <c r="U687" s="52">
        <v>91015.0</v>
      </c>
      <c r="V687" s="11">
        <v>4.0</v>
      </c>
      <c r="W687" s="11">
        <v>9.0</v>
      </c>
      <c r="X687" s="48">
        <v>3.8099</v>
      </c>
      <c r="Y687" s="11">
        <f t="shared" si="2"/>
        <v>0.038099</v>
      </c>
    </row>
    <row r="688">
      <c r="A688" s="17">
        <v>80.0</v>
      </c>
      <c r="B688" s="24">
        <v>13.0</v>
      </c>
      <c r="C688" s="24">
        <v>9.0</v>
      </c>
      <c r="D688" s="24">
        <v>7.0</v>
      </c>
      <c r="E688" s="24">
        <v>60.0</v>
      </c>
      <c r="F688" s="48">
        <v>8.2309</v>
      </c>
      <c r="G688" s="49">
        <f t="shared" si="1"/>
        <v>0.082309</v>
      </c>
      <c r="H688" s="11">
        <v>1.0</v>
      </c>
      <c r="I688" s="11">
        <v>2.0</v>
      </c>
      <c r="J688" s="50">
        <v>51318.0</v>
      </c>
      <c r="K688" s="11">
        <v>8.0</v>
      </c>
      <c r="L688" s="11">
        <v>7.0</v>
      </c>
      <c r="M688" s="51">
        <v>21.0</v>
      </c>
      <c r="N688" s="17">
        <v>12.0</v>
      </c>
      <c r="O688" s="24" t="s">
        <v>48</v>
      </c>
      <c r="P688" s="52">
        <v>90122.0</v>
      </c>
      <c r="Q688" s="51">
        <v>14.0</v>
      </c>
      <c r="R688" s="53">
        <v>869.27</v>
      </c>
      <c r="S688" s="24" t="s">
        <v>602</v>
      </c>
      <c r="T688" s="11">
        <v>8.0</v>
      </c>
      <c r="U688" s="52">
        <v>91421.0</v>
      </c>
      <c r="V688" s="11">
        <v>1.0</v>
      </c>
      <c r="W688" s="11">
        <v>1.0</v>
      </c>
      <c r="X688" s="48">
        <v>6.4617</v>
      </c>
      <c r="Y688" s="11">
        <f t="shared" si="2"/>
        <v>0.064617</v>
      </c>
    </row>
    <row r="689">
      <c r="A689" s="17">
        <v>71.0</v>
      </c>
      <c r="B689" s="24">
        <v>75.0</v>
      </c>
      <c r="C689" s="24">
        <v>4.0</v>
      </c>
      <c r="D689" s="24">
        <v>1.0</v>
      </c>
      <c r="E689" s="24">
        <v>63.0</v>
      </c>
      <c r="F689" s="48">
        <v>8.6683</v>
      </c>
      <c r="G689" s="49">
        <f t="shared" si="1"/>
        <v>0.086683</v>
      </c>
      <c r="H689" s="11">
        <v>7.0</v>
      </c>
      <c r="I689" s="11">
        <v>2.0</v>
      </c>
      <c r="J689" s="50">
        <v>70415.0</v>
      </c>
      <c r="K689" s="11">
        <v>7.0</v>
      </c>
      <c r="L689" s="11">
        <v>1.0</v>
      </c>
      <c r="M689" s="51">
        <v>501.0</v>
      </c>
      <c r="N689" s="17">
        <v>33.0</v>
      </c>
      <c r="O689" s="24" t="s">
        <v>48</v>
      </c>
      <c r="P689" s="52">
        <v>22423.0</v>
      </c>
      <c r="Q689" s="51">
        <v>520.0</v>
      </c>
      <c r="R689" s="53">
        <v>139.8</v>
      </c>
      <c r="S689" s="24" t="s">
        <v>600</v>
      </c>
      <c r="T689" s="11">
        <v>0.0</v>
      </c>
      <c r="U689" s="52">
        <v>121215.0</v>
      </c>
      <c r="V689" s="11">
        <v>8.0</v>
      </c>
      <c r="W689" s="11">
        <v>4.0</v>
      </c>
      <c r="X689" s="48">
        <v>8.6314</v>
      </c>
      <c r="Y689" s="11">
        <f t="shared" si="2"/>
        <v>0.086314</v>
      </c>
    </row>
    <row r="690">
      <c r="A690" s="17">
        <v>3.0</v>
      </c>
      <c r="B690" s="24">
        <v>75.0</v>
      </c>
      <c r="C690" s="24">
        <v>4.0</v>
      </c>
      <c r="D690" s="24">
        <v>2.0</v>
      </c>
      <c r="E690" s="24">
        <v>64.0</v>
      </c>
      <c r="F690" s="48">
        <v>1.3767</v>
      </c>
      <c r="G690" s="49">
        <f t="shared" si="1"/>
        <v>0.013767</v>
      </c>
      <c r="H690" s="11">
        <v>6.0</v>
      </c>
      <c r="I690" s="11">
        <v>0.0</v>
      </c>
      <c r="J690" s="50">
        <v>92621.0</v>
      </c>
      <c r="K690" s="11">
        <v>5.0</v>
      </c>
      <c r="L690" s="11">
        <v>1.0</v>
      </c>
      <c r="M690" s="51">
        <v>282.0</v>
      </c>
      <c r="N690" s="17">
        <v>73.0</v>
      </c>
      <c r="O690" s="24" t="s">
        <v>48</v>
      </c>
      <c r="P690" s="52">
        <v>121416.0</v>
      </c>
      <c r="Q690" s="51">
        <v>137.0</v>
      </c>
      <c r="R690" s="53">
        <v>-76404.5</v>
      </c>
      <c r="S690" s="24" t="s">
        <v>602</v>
      </c>
      <c r="T690" s="11">
        <v>0.0</v>
      </c>
      <c r="U690" s="52">
        <v>82916.0</v>
      </c>
      <c r="V690" s="11">
        <v>5.0</v>
      </c>
      <c r="W690" s="11">
        <v>5.0</v>
      </c>
      <c r="X690" s="48">
        <v>3.6979</v>
      </c>
      <c r="Y690" s="11">
        <f t="shared" si="2"/>
        <v>0.036979</v>
      </c>
    </row>
    <row r="691">
      <c r="A691" s="17">
        <v>56.0</v>
      </c>
      <c r="B691" s="24">
        <v>75.0</v>
      </c>
      <c r="C691" s="24">
        <v>4.0</v>
      </c>
      <c r="D691" s="24">
        <v>4.0</v>
      </c>
      <c r="E691" s="24">
        <v>61.0</v>
      </c>
      <c r="F691" s="48">
        <v>2.261</v>
      </c>
      <c r="G691" s="49">
        <f t="shared" si="1"/>
        <v>0.02261</v>
      </c>
      <c r="H691" s="11">
        <v>9.0</v>
      </c>
      <c r="I691" s="11">
        <v>1.0</v>
      </c>
      <c r="J691" s="50">
        <v>20522.0</v>
      </c>
      <c r="K691" s="11">
        <v>0.0</v>
      </c>
      <c r="L691" s="11">
        <v>7.0</v>
      </c>
      <c r="M691" s="51">
        <v>764.0</v>
      </c>
      <c r="N691" s="17">
        <v>99.0</v>
      </c>
      <c r="O691" s="24" t="s">
        <v>606</v>
      </c>
      <c r="P691" s="52">
        <v>80623.0</v>
      </c>
      <c r="Q691" s="51">
        <v>30.0</v>
      </c>
      <c r="R691" s="53">
        <v>45594.9</v>
      </c>
      <c r="S691" s="24" t="s">
        <v>602</v>
      </c>
      <c r="T691" s="11">
        <v>6.0</v>
      </c>
      <c r="U691" s="52">
        <v>11016.0</v>
      </c>
      <c r="V691" s="11">
        <v>8.0</v>
      </c>
      <c r="W691" s="11">
        <v>8.0</v>
      </c>
      <c r="X691" s="48">
        <v>7.5382</v>
      </c>
      <c r="Y691" s="11">
        <f t="shared" si="2"/>
        <v>0.075382</v>
      </c>
    </row>
    <row r="692">
      <c r="A692" s="17">
        <v>97.0</v>
      </c>
      <c r="B692" s="24">
        <v>34.0</v>
      </c>
      <c r="C692" s="24">
        <v>5.0</v>
      </c>
      <c r="D692" s="24">
        <v>1.0</v>
      </c>
      <c r="E692" s="24">
        <v>61.0</v>
      </c>
      <c r="F692" s="48">
        <v>7.1076</v>
      </c>
      <c r="G692" s="49">
        <f t="shared" si="1"/>
        <v>0.071076</v>
      </c>
      <c r="H692" s="11">
        <v>1.0</v>
      </c>
      <c r="I692" s="11">
        <v>9.0</v>
      </c>
      <c r="J692" s="50">
        <v>72115.0</v>
      </c>
      <c r="K692" s="11">
        <v>7.0</v>
      </c>
      <c r="L692" s="11">
        <v>2.0</v>
      </c>
      <c r="M692" s="51">
        <v>956.0</v>
      </c>
      <c r="N692" s="17">
        <v>71.0</v>
      </c>
      <c r="O692" s="24" t="s">
        <v>603</v>
      </c>
      <c r="P692" s="52">
        <v>40720.0</v>
      </c>
      <c r="Q692" s="51">
        <v>100.0</v>
      </c>
      <c r="R692" s="53">
        <v>896512.47</v>
      </c>
      <c r="S692" s="24" t="s">
        <v>604</v>
      </c>
      <c r="T692" s="11">
        <v>5.0</v>
      </c>
      <c r="U692" s="52">
        <v>71018.0</v>
      </c>
      <c r="V692" s="11">
        <v>3.0</v>
      </c>
      <c r="W692" s="11">
        <v>5.0</v>
      </c>
      <c r="X692" s="48">
        <v>4.5912</v>
      </c>
      <c r="Y692" s="11">
        <f t="shared" si="2"/>
        <v>0.045912</v>
      </c>
    </row>
    <row r="693">
      <c r="A693" s="17">
        <v>92.0</v>
      </c>
      <c r="B693" s="24">
        <v>34.0</v>
      </c>
      <c r="C693" s="24">
        <v>5.0</v>
      </c>
      <c r="D693" s="24">
        <v>4.0</v>
      </c>
      <c r="E693" s="24">
        <v>64.0</v>
      </c>
      <c r="F693" s="48">
        <v>7.3737</v>
      </c>
      <c r="G693" s="49">
        <f t="shared" si="1"/>
        <v>0.073737</v>
      </c>
      <c r="H693" s="11">
        <v>9.0</v>
      </c>
      <c r="I693" s="11">
        <v>2.0</v>
      </c>
      <c r="J693" s="50">
        <v>40418.0</v>
      </c>
      <c r="K693" s="11">
        <v>9.0</v>
      </c>
      <c r="L693" s="11">
        <v>9.0</v>
      </c>
      <c r="M693" s="51">
        <v>53.0</v>
      </c>
      <c r="N693" s="17">
        <v>59.0</v>
      </c>
      <c r="O693" s="24" t="s">
        <v>600</v>
      </c>
      <c r="P693" s="52">
        <v>10719.0</v>
      </c>
      <c r="Q693" s="51">
        <v>100.0</v>
      </c>
      <c r="R693" s="53">
        <v>-8652.38</v>
      </c>
      <c r="S693" s="24" t="s">
        <v>602</v>
      </c>
      <c r="T693" s="11">
        <v>3.0</v>
      </c>
      <c r="U693" s="52">
        <v>103123.0</v>
      </c>
      <c r="V693" s="11">
        <v>4.0</v>
      </c>
      <c r="W693" s="11">
        <v>1.0</v>
      </c>
      <c r="X693" s="48">
        <v>7.5526</v>
      </c>
      <c r="Y693" s="11">
        <f t="shared" si="2"/>
        <v>0.075526</v>
      </c>
    </row>
    <row r="694">
      <c r="A694" s="17">
        <v>3.0</v>
      </c>
      <c r="B694" s="24">
        <v>75.0</v>
      </c>
      <c r="C694" s="24">
        <v>5.0</v>
      </c>
      <c r="D694" s="24">
        <v>3.0</v>
      </c>
      <c r="E694" s="24">
        <v>64.0</v>
      </c>
      <c r="F694" s="48">
        <v>7.29</v>
      </c>
      <c r="G694" s="49">
        <f t="shared" si="1"/>
        <v>0.0729</v>
      </c>
      <c r="H694" s="11">
        <v>9.0</v>
      </c>
      <c r="I694" s="11">
        <v>6.0</v>
      </c>
      <c r="J694" s="50">
        <v>60121.0</v>
      </c>
      <c r="K694" s="11">
        <v>5.0</v>
      </c>
      <c r="L694" s="11">
        <v>8.0</v>
      </c>
      <c r="M694" s="51">
        <v>679.0</v>
      </c>
      <c r="N694" s="17">
        <v>30.0</v>
      </c>
      <c r="O694" s="24" t="s">
        <v>606</v>
      </c>
      <c r="P694" s="52">
        <v>50417.0</v>
      </c>
      <c r="Q694" s="51">
        <v>968.0</v>
      </c>
      <c r="R694" s="53">
        <v>-213.4</v>
      </c>
      <c r="S694" s="24" t="s">
        <v>604</v>
      </c>
      <c r="T694" s="11">
        <v>7.0</v>
      </c>
      <c r="U694" s="52">
        <v>22413.0</v>
      </c>
      <c r="V694" s="11">
        <v>3.0</v>
      </c>
      <c r="W694" s="11">
        <v>3.0</v>
      </c>
      <c r="X694" s="48">
        <v>5.9788</v>
      </c>
      <c r="Y694" s="11">
        <f t="shared" si="2"/>
        <v>0.059788</v>
      </c>
    </row>
    <row r="695">
      <c r="A695" s="17">
        <v>16.0</v>
      </c>
      <c r="B695" s="24">
        <v>14.0</v>
      </c>
      <c r="C695" s="24">
        <v>1.0</v>
      </c>
      <c r="D695" s="24">
        <v>2.0</v>
      </c>
      <c r="E695" s="24">
        <v>68.0</v>
      </c>
      <c r="F695" s="48">
        <v>3.6427</v>
      </c>
      <c r="G695" s="49">
        <f t="shared" si="1"/>
        <v>0.036427</v>
      </c>
      <c r="H695" s="11">
        <v>6.0</v>
      </c>
      <c r="I695" s="11">
        <v>7.0</v>
      </c>
      <c r="J695" s="50">
        <v>120113.0</v>
      </c>
      <c r="K695" s="11">
        <v>4.0</v>
      </c>
      <c r="L695" s="11">
        <v>1.0</v>
      </c>
      <c r="M695" s="51">
        <v>248.0</v>
      </c>
      <c r="N695" s="17">
        <v>90.0</v>
      </c>
      <c r="O695" s="24" t="s">
        <v>31</v>
      </c>
      <c r="P695" s="52">
        <v>50813.0</v>
      </c>
      <c r="Q695" s="51">
        <v>873.0</v>
      </c>
      <c r="R695" s="53">
        <v>744.58</v>
      </c>
      <c r="S695" s="24" t="s">
        <v>605</v>
      </c>
      <c r="T695" s="11">
        <v>8.0</v>
      </c>
      <c r="U695" s="52">
        <v>110920.0</v>
      </c>
      <c r="V695" s="11">
        <v>1.0</v>
      </c>
      <c r="W695" s="11">
        <v>3.0</v>
      </c>
      <c r="X695" s="48">
        <v>4.225</v>
      </c>
      <c r="Y695" s="11">
        <f t="shared" si="2"/>
        <v>0.04225</v>
      </c>
    </row>
    <row r="696">
      <c r="A696" s="17">
        <v>51.0</v>
      </c>
      <c r="B696" s="24">
        <v>75.0</v>
      </c>
      <c r="C696" s="24">
        <v>5.0</v>
      </c>
      <c r="D696" s="24">
        <v>8.0</v>
      </c>
      <c r="E696" s="24">
        <v>65.0</v>
      </c>
      <c r="F696" s="48">
        <v>3.6223</v>
      </c>
      <c r="G696" s="49">
        <f t="shared" si="1"/>
        <v>0.036223</v>
      </c>
      <c r="H696" s="11">
        <v>5.0</v>
      </c>
      <c r="I696" s="11">
        <v>9.0</v>
      </c>
      <c r="J696" s="50">
        <v>101415.0</v>
      </c>
      <c r="K696" s="11">
        <v>7.0</v>
      </c>
      <c r="L696" s="11">
        <v>1.0</v>
      </c>
      <c r="M696" s="51">
        <v>953.0</v>
      </c>
      <c r="N696" s="17">
        <v>8.0</v>
      </c>
      <c r="O696" s="24" t="s">
        <v>606</v>
      </c>
      <c r="P696" s="52">
        <v>62017.0</v>
      </c>
      <c r="Q696" s="51">
        <v>803.0</v>
      </c>
      <c r="R696" s="53">
        <v>1045.52</v>
      </c>
      <c r="S696" s="24" t="s">
        <v>602</v>
      </c>
      <c r="T696" s="11">
        <v>0.0</v>
      </c>
      <c r="U696" s="52">
        <v>81321.0</v>
      </c>
      <c r="V696" s="11">
        <v>2.0</v>
      </c>
      <c r="W696" s="11">
        <v>1.0</v>
      </c>
      <c r="X696" s="48">
        <v>4.7518</v>
      </c>
      <c r="Y696" s="11">
        <f t="shared" si="2"/>
        <v>0.047518</v>
      </c>
    </row>
    <row r="697">
      <c r="A697" s="17">
        <v>26.0</v>
      </c>
      <c r="B697" s="24">
        <v>34.0</v>
      </c>
      <c r="C697" s="24">
        <v>6.0</v>
      </c>
      <c r="D697" s="24">
        <v>3.0</v>
      </c>
      <c r="E697" s="24">
        <v>67.0</v>
      </c>
      <c r="F697" s="48">
        <v>9.559</v>
      </c>
      <c r="G697" s="49">
        <f t="shared" si="1"/>
        <v>0.09559</v>
      </c>
      <c r="H697" s="11">
        <v>6.0</v>
      </c>
      <c r="I697" s="11">
        <v>1.0</v>
      </c>
      <c r="J697" s="50">
        <v>121223.0</v>
      </c>
      <c r="K697" s="11">
        <v>4.0</v>
      </c>
      <c r="L697" s="11">
        <v>4.0</v>
      </c>
      <c r="M697" s="51">
        <v>511.0</v>
      </c>
      <c r="N697" s="17">
        <v>82.0</v>
      </c>
      <c r="O697" s="24" t="s">
        <v>31</v>
      </c>
      <c r="P697" s="52">
        <v>101015.0</v>
      </c>
      <c r="Q697" s="51">
        <v>693.0</v>
      </c>
      <c r="R697" s="53">
        <v>-67456.55</v>
      </c>
      <c r="S697" s="24" t="s">
        <v>605</v>
      </c>
      <c r="T697" s="11">
        <v>7.0</v>
      </c>
      <c r="U697" s="52">
        <v>21415.0</v>
      </c>
      <c r="V697" s="11">
        <v>0.0</v>
      </c>
      <c r="W697" s="11">
        <v>7.0</v>
      </c>
      <c r="X697" s="48">
        <v>3.8501</v>
      </c>
      <c r="Y697" s="11">
        <f t="shared" si="2"/>
        <v>0.038501</v>
      </c>
    </row>
    <row r="698">
      <c r="A698" s="17">
        <v>66.0</v>
      </c>
      <c r="B698" s="24">
        <v>55.0</v>
      </c>
      <c r="C698" s="24">
        <v>1.0</v>
      </c>
      <c r="D698" s="24">
        <v>4.0</v>
      </c>
      <c r="E698" s="24">
        <v>62.0</v>
      </c>
      <c r="F698" s="48">
        <v>6.8488</v>
      </c>
      <c r="G698" s="49">
        <f t="shared" si="1"/>
        <v>0.068488</v>
      </c>
      <c r="H698" s="11">
        <v>6.0</v>
      </c>
      <c r="I698" s="11">
        <v>3.0</v>
      </c>
      <c r="J698" s="50">
        <v>92923.0</v>
      </c>
      <c r="K698" s="11">
        <v>5.0</v>
      </c>
      <c r="L698" s="11">
        <v>3.0</v>
      </c>
      <c r="M698" s="51">
        <v>878.0</v>
      </c>
      <c r="N698" s="17">
        <v>12.0</v>
      </c>
      <c r="O698" s="24" t="s">
        <v>48</v>
      </c>
      <c r="P698" s="52">
        <v>101823.0</v>
      </c>
      <c r="Q698" s="51">
        <v>401.0</v>
      </c>
      <c r="R698" s="53">
        <v>604.8</v>
      </c>
      <c r="S698" s="24" t="s">
        <v>604</v>
      </c>
      <c r="T698" s="11">
        <v>3.0</v>
      </c>
      <c r="U698" s="52">
        <v>52219.0</v>
      </c>
      <c r="V698" s="11">
        <v>4.0</v>
      </c>
      <c r="W698" s="11">
        <v>2.0</v>
      </c>
      <c r="X698" s="48">
        <v>7.1588</v>
      </c>
      <c r="Y698" s="11">
        <f t="shared" si="2"/>
        <v>0.071588</v>
      </c>
    </row>
    <row r="699">
      <c r="A699" s="17">
        <v>5.0</v>
      </c>
      <c r="B699" s="24">
        <v>75.0</v>
      </c>
      <c r="C699" s="24">
        <v>6.0</v>
      </c>
      <c r="D699" s="24">
        <v>6.0</v>
      </c>
      <c r="E699" s="24">
        <v>60.0</v>
      </c>
      <c r="F699" s="48">
        <v>5.7867</v>
      </c>
      <c r="G699" s="49">
        <f t="shared" si="1"/>
        <v>0.057867</v>
      </c>
      <c r="H699" s="11">
        <v>6.0</v>
      </c>
      <c r="I699" s="11">
        <v>5.0</v>
      </c>
      <c r="J699" s="50">
        <v>122222.0</v>
      </c>
      <c r="K699" s="11">
        <v>4.0</v>
      </c>
      <c r="L699" s="11">
        <v>7.0</v>
      </c>
      <c r="M699" s="51">
        <v>876.0</v>
      </c>
      <c r="N699" s="17">
        <v>28.0</v>
      </c>
      <c r="O699" s="24" t="s">
        <v>603</v>
      </c>
      <c r="P699" s="52">
        <v>10920.0</v>
      </c>
      <c r="Q699" s="51">
        <v>872.0</v>
      </c>
      <c r="R699" s="53">
        <v>2604.94</v>
      </c>
      <c r="S699" s="24" t="s">
        <v>600</v>
      </c>
      <c r="T699" s="11">
        <v>8.0</v>
      </c>
      <c r="U699" s="52">
        <v>111618.0</v>
      </c>
      <c r="V699" s="11">
        <v>6.0</v>
      </c>
      <c r="W699" s="11">
        <v>4.0</v>
      </c>
      <c r="X699" s="48">
        <v>1.674</v>
      </c>
      <c r="Y699" s="11">
        <f t="shared" si="2"/>
        <v>0.01674</v>
      </c>
    </row>
    <row r="700">
      <c r="A700" s="17">
        <v>36.0</v>
      </c>
      <c r="B700" s="24">
        <v>14.0</v>
      </c>
      <c r="C700" s="24">
        <v>2.0</v>
      </c>
      <c r="D700" s="24">
        <v>3.0</v>
      </c>
      <c r="E700" s="24">
        <v>62.0</v>
      </c>
      <c r="F700" s="48">
        <v>4.3636</v>
      </c>
      <c r="G700" s="49">
        <f t="shared" si="1"/>
        <v>0.043636</v>
      </c>
      <c r="H700" s="11">
        <v>7.0</v>
      </c>
      <c r="I700" s="11">
        <v>0.0</v>
      </c>
      <c r="J700" s="50">
        <v>110818.0</v>
      </c>
      <c r="K700" s="11">
        <v>2.0</v>
      </c>
      <c r="L700" s="11">
        <v>2.0</v>
      </c>
      <c r="M700" s="51">
        <v>46.0</v>
      </c>
      <c r="N700" s="17">
        <v>21.0</v>
      </c>
      <c r="O700" s="24" t="s">
        <v>39</v>
      </c>
      <c r="P700" s="52">
        <v>62115.0</v>
      </c>
      <c r="Q700" s="51">
        <v>170.0</v>
      </c>
      <c r="R700" s="53">
        <v>-91657.22</v>
      </c>
      <c r="S700" s="24" t="s">
        <v>602</v>
      </c>
      <c r="T700" s="11">
        <v>1.0</v>
      </c>
      <c r="U700" s="52">
        <v>110321.0</v>
      </c>
      <c r="V700" s="11">
        <v>8.0</v>
      </c>
      <c r="W700" s="11">
        <v>5.0</v>
      </c>
      <c r="X700" s="48">
        <v>2.8661</v>
      </c>
      <c r="Y700" s="11">
        <f t="shared" si="2"/>
        <v>0.028661</v>
      </c>
    </row>
    <row r="701">
      <c r="A701" s="17">
        <v>59.0</v>
      </c>
      <c r="B701" s="24">
        <v>34.0</v>
      </c>
      <c r="C701" s="24">
        <v>7.0</v>
      </c>
      <c r="D701" s="24">
        <v>1.0</v>
      </c>
      <c r="E701" s="24">
        <v>61.0</v>
      </c>
      <c r="F701" s="48">
        <v>5.3924</v>
      </c>
      <c r="G701" s="49">
        <f t="shared" si="1"/>
        <v>0.053924</v>
      </c>
      <c r="H701" s="11">
        <v>1.0</v>
      </c>
      <c r="I701" s="11">
        <v>8.0</v>
      </c>
      <c r="J701" s="50">
        <v>81616.0</v>
      </c>
      <c r="K701" s="11">
        <v>6.0</v>
      </c>
      <c r="L701" s="11">
        <v>9.0</v>
      </c>
      <c r="M701" s="51">
        <v>645.0</v>
      </c>
      <c r="N701" s="17">
        <v>55.0</v>
      </c>
      <c r="O701" s="24" t="s">
        <v>39</v>
      </c>
      <c r="P701" s="52">
        <v>11613.0</v>
      </c>
      <c r="Q701" s="51">
        <v>770.0</v>
      </c>
      <c r="R701" s="53">
        <v>527.62</v>
      </c>
      <c r="S701" s="24" t="s">
        <v>605</v>
      </c>
      <c r="T701" s="11">
        <v>2.0</v>
      </c>
      <c r="U701" s="52">
        <v>93022.0</v>
      </c>
      <c r="V701" s="11">
        <v>4.0</v>
      </c>
      <c r="W701" s="11">
        <v>9.0</v>
      </c>
      <c r="X701" s="48">
        <v>4.6273</v>
      </c>
      <c r="Y701" s="11">
        <f t="shared" si="2"/>
        <v>0.046273</v>
      </c>
    </row>
    <row r="702">
      <c r="A702" s="17">
        <v>84.0</v>
      </c>
      <c r="B702" s="24">
        <v>96.0</v>
      </c>
      <c r="C702" s="24">
        <v>1.0</v>
      </c>
      <c r="D702" s="24">
        <v>4.0</v>
      </c>
      <c r="E702" s="24">
        <v>66.0</v>
      </c>
      <c r="F702" s="48">
        <v>4.3953</v>
      </c>
      <c r="G702" s="49">
        <f t="shared" si="1"/>
        <v>0.043953</v>
      </c>
      <c r="H702" s="11">
        <v>4.0</v>
      </c>
      <c r="I702" s="11">
        <v>0.0</v>
      </c>
      <c r="J702" s="50">
        <v>90514.0</v>
      </c>
      <c r="K702" s="11">
        <v>1.0</v>
      </c>
      <c r="L702" s="11">
        <v>7.0</v>
      </c>
      <c r="M702" s="51">
        <v>762.0</v>
      </c>
      <c r="N702" s="17">
        <v>81.0</v>
      </c>
      <c r="O702" s="24" t="s">
        <v>31</v>
      </c>
      <c r="P702" s="52">
        <v>102320.0</v>
      </c>
      <c r="Q702" s="51">
        <v>687.0</v>
      </c>
      <c r="R702" s="53">
        <v>-34419.22</v>
      </c>
      <c r="S702" s="24" t="s">
        <v>604</v>
      </c>
      <c r="T702" s="11">
        <v>4.0</v>
      </c>
      <c r="U702" s="52">
        <v>71919.0</v>
      </c>
      <c r="V702" s="11">
        <v>6.0</v>
      </c>
      <c r="W702" s="11">
        <v>4.0</v>
      </c>
      <c r="X702" s="48">
        <v>8.2</v>
      </c>
      <c r="Y702" s="11">
        <f t="shared" si="2"/>
        <v>0.082</v>
      </c>
    </row>
    <row r="703">
      <c r="A703" s="17">
        <v>74.0</v>
      </c>
      <c r="B703" s="24">
        <v>96.0</v>
      </c>
      <c r="C703" s="24">
        <v>1.0</v>
      </c>
      <c r="D703" s="24">
        <v>8.0</v>
      </c>
      <c r="E703" s="24">
        <v>63.0</v>
      </c>
      <c r="F703" s="48">
        <v>6.8264</v>
      </c>
      <c r="G703" s="49">
        <f t="shared" si="1"/>
        <v>0.068264</v>
      </c>
      <c r="H703" s="11">
        <v>8.0</v>
      </c>
      <c r="I703" s="11">
        <v>2.0</v>
      </c>
      <c r="J703" s="50">
        <v>20413.0</v>
      </c>
      <c r="K703" s="11">
        <v>8.0</v>
      </c>
      <c r="L703" s="11">
        <v>9.0</v>
      </c>
      <c r="M703" s="51">
        <v>370.0</v>
      </c>
      <c r="N703" s="17">
        <v>15.0</v>
      </c>
      <c r="O703" s="24" t="s">
        <v>606</v>
      </c>
      <c r="P703" s="52">
        <v>10823.0</v>
      </c>
      <c r="Q703" s="51">
        <v>830.0</v>
      </c>
      <c r="R703" s="53">
        <v>-87930.18</v>
      </c>
      <c r="S703" s="24" t="s">
        <v>604</v>
      </c>
      <c r="T703" s="11">
        <v>0.0</v>
      </c>
      <c r="U703" s="52">
        <v>40821.0</v>
      </c>
      <c r="V703" s="11">
        <v>0.0</v>
      </c>
      <c r="W703" s="11">
        <v>1.0</v>
      </c>
      <c r="X703" s="48">
        <v>8.4837</v>
      </c>
      <c r="Y703" s="11">
        <f t="shared" si="2"/>
        <v>0.084837</v>
      </c>
    </row>
    <row r="704">
      <c r="A704" s="17">
        <v>9.0</v>
      </c>
      <c r="B704" s="24">
        <v>75.0</v>
      </c>
      <c r="C704" s="24">
        <v>7.0</v>
      </c>
      <c r="D704" s="24">
        <v>3.0</v>
      </c>
      <c r="E704" s="24">
        <v>68.0</v>
      </c>
      <c r="F704" s="48">
        <v>8.29</v>
      </c>
      <c r="G704" s="49">
        <f t="shared" si="1"/>
        <v>0.0829</v>
      </c>
      <c r="H704" s="11">
        <v>0.0</v>
      </c>
      <c r="I704" s="11">
        <v>8.0</v>
      </c>
      <c r="J704" s="50">
        <v>61714.0</v>
      </c>
      <c r="K704" s="11">
        <v>5.0</v>
      </c>
      <c r="L704" s="11">
        <v>8.0</v>
      </c>
      <c r="M704" s="51">
        <v>450.0</v>
      </c>
      <c r="N704" s="17">
        <v>60.0</v>
      </c>
      <c r="O704" s="24" t="s">
        <v>601</v>
      </c>
      <c r="P704" s="52">
        <v>111922.0</v>
      </c>
      <c r="Q704" s="51">
        <v>710.0</v>
      </c>
      <c r="R704" s="53">
        <v>175.81</v>
      </c>
      <c r="S704" s="24" t="s">
        <v>602</v>
      </c>
      <c r="T704" s="11">
        <v>2.0</v>
      </c>
      <c r="U704" s="52">
        <v>120519.0</v>
      </c>
      <c r="V704" s="11">
        <v>4.0</v>
      </c>
      <c r="W704" s="11">
        <v>8.0</v>
      </c>
      <c r="X704" s="48">
        <v>4.424</v>
      </c>
      <c r="Y704" s="11">
        <f t="shared" si="2"/>
        <v>0.04424</v>
      </c>
    </row>
    <row r="705">
      <c r="A705" s="17">
        <v>82.0</v>
      </c>
      <c r="B705" s="24">
        <v>96.0</v>
      </c>
      <c r="C705" s="24">
        <v>2.0</v>
      </c>
      <c r="D705" s="24">
        <v>6.0</v>
      </c>
      <c r="E705" s="24">
        <v>65.0</v>
      </c>
      <c r="F705" s="48">
        <v>5.913</v>
      </c>
      <c r="G705" s="49">
        <f t="shared" si="1"/>
        <v>0.05913</v>
      </c>
      <c r="H705" s="11">
        <v>3.0</v>
      </c>
      <c r="I705" s="11">
        <v>4.0</v>
      </c>
      <c r="J705" s="50">
        <v>70313.0</v>
      </c>
      <c r="K705" s="11">
        <v>6.0</v>
      </c>
      <c r="L705" s="11">
        <v>4.0</v>
      </c>
      <c r="M705" s="51">
        <v>38.0</v>
      </c>
      <c r="N705" s="17">
        <v>69.0</v>
      </c>
      <c r="O705" s="24" t="s">
        <v>31</v>
      </c>
      <c r="P705" s="52">
        <v>72313.0</v>
      </c>
      <c r="Q705" s="51">
        <v>272.0</v>
      </c>
      <c r="R705" s="53">
        <v>-453536.46</v>
      </c>
      <c r="S705" s="24" t="s">
        <v>602</v>
      </c>
      <c r="T705" s="11">
        <v>1.0</v>
      </c>
      <c r="U705" s="52">
        <v>101517.0</v>
      </c>
      <c r="V705" s="11">
        <v>7.0</v>
      </c>
      <c r="W705" s="11">
        <v>1.0</v>
      </c>
      <c r="X705" s="48">
        <v>4.8768</v>
      </c>
      <c r="Y705" s="11">
        <f t="shared" si="2"/>
        <v>0.048768</v>
      </c>
    </row>
    <row r="706">
      <c r="A706" s="17">
        <v>58.0</v>
      </c>
      <c r="B706" s="24">
        <v>75.0</v>
      </c>
      <c r="C706" s="24">
        <v>7.0</v>
      </c>
      <c r="D706" s="24">
        <v>9.0</v>
      </c>
      <c r="E706" s="24">
        <v>62.0</v>
      </c>
      <c r="F706" s="48">
        <v>5.7126</v>
      </c>
      <c r="G706" s="49">
        <f t="shared" si="1"/>
        <v>0.057126</v>
      </c>
      <c r="H706" s="11">
        <v>9.0</v>
      </c>
      <c r="I706" s="11">
        <v>3.0</v>
      </c>
      <c r="J706" s="50">
        <v>90618.0</v>
      </c>
      <c r="K706" s="11">
        <v>4.0</v>
      </c>
      <c r="L706" s="11">
        <v>0.0</v>
      </c>
      <c r="M706" s="51">
        <v>149.0</v>
      </c>
      <c r="N706" s="17">
        <v>77.0</v>
      </c>
      <c r="O706" s="24" t="s">
        <v>48</v>
      </c>
      <c r="P706" s="52">
        <v>72714.0</v>
      </c>
      <c r="Q706" s="51">
        <v>924.0</v>
      </c>
      <c r="R706" s="53">
        <v>634920.59</v>
      </c>
      <c r="S706" s="24" t="s">
        <v>604</v>
      </c>
      <c r="T706" s="11">
        <v>9.0</v>
      </c>
      <c r="U706" s="52">
        <v>92715.0</v>
      </c>
      <c r="V706" s="11">
        <v>3.0</v>
      </c>
      <c r="W706" s="11">
        <v>5.0</v>
      </c>
      <c r="X706" s="48">
        <v>4.9336</v>
      </c>
      <c r="Y706" s="11">
        <f t="shared" si="2"/>
        <v>0.049336</v>
      </c>
    </row>
    <row r="707">
      <c r="A707" s="17">
        <v>1.0</v>
      </c>
      <c r="B707" s="24">
        <v>14.0</v>
      </c>
      <c r="C707" s="24">
        <v>3.0</v>
      </c>
      <c r="D707" s="24">
        <v>6.0</v>
      </c>
      <c r="E707" s="24">
        <v>66.0</v>
      </c>
      <c r="F707" s="48">
        <v>3.9885</v>
      </c>
      <c r="G707" s="49">
        <f t="shared" si="1"/>
        <v>0.039885</v>
      </c>
      <c r="H707" s="11">
        <v>5.0</v>
      </c>
      <c r="I707" s="11">
        <v>0.0</v>
      </c>
      <c r="J707" s="50">
        <v>21219.0</v>
      </c>
      <c r="K707" s="11">
        <v>9.0</v>
      </c>
      <c r="L707" s="11">
        <v>2.0</v>
      </c>
      <c r="M707" s="51">
        <v>0.0</v>
      </c>
      <c r="N707" s="17">
        <v>97.0</v>
      </c>
      <c r="O707" s="24" t="s">
        <v>603</v>
      </c>
      <c r="P707" s="52">
        <v>22618.0</v>
      </c>
      <c r="Q707" s="51">
        <v>733.0</v>
      </c>
      <c r="R707" s="53">
        <v>303.69</v>
      </c>
      <c r="S707" s="24" t="s">
        <v>602</v>
      </c>
      <c r="T707" s="11">
        <v>6.0</v>
      </c>
      <c r="U707" s="52">
        <v>22417.0</v>
      </c>
      <c r="V707" s="11">
        <v>9.0</v>
      </c>
      <c r="W707" s="11">
        <v>9.0</v>
      </c>
      <c r="X707" s="48">
        <v>7.568</v>
      </c>
      <c r="Y707" s="11">
        <f t="shared" si="2"/>
        <v>0.07568</v>
      </c>
    </row>
    <row r="708">
      <c r="A708" s="17">
        <v>28.0</v>
      </c>
      <c r="B708" s="24">
        <v>75.0</v>
      </c>
      <c r="C708" s="24">
        <v>8.0</v>
      </c>
      <c r="D708" s="24">
        <v>1.0</v>
      </c>
      <c r="E708" s="24">
        <v>61.0</v>
      </c>
      <c r="F708" s="48">
        <v>7.5777</v>
      </c>
      <c r="G708" s="49">
        <f t="shared" si="1"/>
        <v>0.075777</v>
      </c>
      <c r="H708" s="11">
        <v>2.0</v>
      </c>
      <c r="I708" s="11">
        <v>6.0</v>
      </c>
      <c r="J708" s="50">
        <v>121513.0</v>
      </c>
      <c r="K708" s="11">
        <v>3.0</v>
      </c>
      <c r="L708" s="11">
        <v>4.0</v>
      </c>
      <c r="M708" s="51">
        <v>512.0</v>
      </c>
      <c r="N708" s="17">
        <v>50.0</v>
      </c>
      <c r="O708" s="24" t="s">
        <v>31</v>
      </c>
      <c r="P708" s="52">
        <v>60521.0</v>
      </c>
      <c r="Q708" s="51">
        <v>434.0</v>
      </c>
      <c r="R708" s="53">
        <v>57956.3</v>
      </c>
      <c r="S708" s="24" t="s">
        <v>600</v>
      </c>
      <c r="T708" s="11">
        <v>9.0</v>
      </c>
      <c r="U708" s="52">
        <v>41617.0</v>
      </c>
      <c r="V708" s="11">
        <v>6.0</v>
      </c>
      <c r="W708" s="11">
        <v>0.0</v>
      </c>
      <c r="X708" s="48">
        <v>6.2638</v>
      </c>
      <c r="Y708" s="11">
        <f t="shared" si="2"/>
        <v>0.062638</v>
      </c>
    </row>
    <row r="709">
      <c r="A709" s="17">
        <v>38.0</v>
      </c>
      <c r="B709" s="24">
        <v>55.0</v>
      </c>
      <c r="C709" s="24">
        <v>3.0</v>
      </c>
      <c r="D709" s="24">
        <v>4.0</v>
      </c>
      <c r="E709" s="24">
        <v>68.0</v>
      </c>
      <c r="F709" s="48">
        <v>1.6976</v>
      </c>
      <c r="G709" s="49">
        <f t="shared" si="1"/>
        <v>0.016976</v>
      </c>
      <c r="H709" s="11">
        <v>7.0</v>
      </c>
      <c r="I709" s="11">
        <v>1.0</v>
      </c>
      <c r="J709" s="50">
        <v>50315.0</v>
      </c>
      <c r="K709" s="11">
        <v>0.0</v>
      </c>
      <c r="L709" s="11">
        <v>0.0</v>
      </c>
      <c r="M709" s="51">
        <v>520.0</v>
      </c>
      <c r="N709" s="17">
        <v>25.0</v>
      </c>
      <c r="O709" s="24" t="s">
        <v>600</v>
      </c>
      <c r="P709" s="52">
        <v>22213.0</v>
      </c>
      <c r="Q709" s="51">
        <v>470.0</v>
      </c>
      <c r="R709" s="53">
        <v>5858.35</v>
      </c>
      <c r="S709" s="24" t="s">
        <v>604</v>
      </c>
      <c r="T709" s="11">
        <v>6.0</v>
      </c>
      <c r="U709" s="52">
        <v>40418.0</v>
      </c>
      <c r="V709" s="11">
        <v>4.0</v>
      </c>
      <c r="W709" s="11">
        <v>2.0</v>
      </c>
      <c r="X709" s="48">
        <v>4.8761</v>
      </c>
      <c r="Y709" s="11">
        <f t="shared" si="2"/>
        <v>0.048761</v>
      </c>
    </row>
    <row r="710">
      <c r="A710" s="17">
        <v>28.0</v>
      </c>
      <c r="B710" s="24">
        <v>14.0</v>
      </c>
      <c r="C710" s="24">
        <v>3.0</v>
      </c>
      <c r="D710" s="24">
        <v>8.0</v>
      </c>
      <c r="E710" s="24">
        <v>67.0</v>
      </c>
      <c r="F710" s="48">
        <v>9.2233</v>
      </c>
      <c r="G710" s="49">
        <f t="shared" si="1"/>
        <v>0.092233</v>
      </c>
      <c r="H710" s="11">
        <v>8.0</v>
      </c>
      <c r="I710" s="11">
        <v>0.0</v>
      </c>
      <c r="J710" s="50">
        <v>102522.0</v>
      </c>
      <c r="K710" s="11">
        <v>6.0</v>
      </c>
      <c r="L710" s="11">
        <v>5.0</v>
      </c>
      <c r="M710" s="51">
        <v>793.0</v>
      </c>
      <c r="N710" s="17">
        <v>94.0</v>
      </c>
      <c r="O710" s="24" t="s">
        <v>603</v>
      </c>
      <c r="P710" s="52">
        <v>93019.0</v>
      </c>
      <c r="Q710" s="51">
        <v>565.0</v>
      </c>
      <c r="R710" s="53">
        <v>-2050.24</v>
      </c>
      <c r="S710" s="24" t="s">
        <v>604</v>
      </c>
      <c r="T710" s="11">
        <v>6.0</v>
      </c>
      <c r="U710" s="52">
        <v>52216.0</v>
      </c>
      <c r="V710" s="11">
        <v>7.0</v>
      </c>
      <c r="W710" s="11">
        <v>0.0</v>
      </c>
      <c r="X710" s="48">
        <v>5.716</v>
      </c>
      <c r="Y710" s="11">
        <f t="shared" si="2"/>
        <v>0.05716</v>
      </c>
    </row>
    <row r="711">
      <c r="A711" s="17">
        <v>86.0</v>
      </c>
      <c r="B711" s="24">
        <v>75.0</v>
      </c>
      <c r="C711" s="24">
        <v>8.0</v>
      </c>
      <c r="D711" s="24">
        <v>5.0</v>
      </c>
      <c r="E711" s="24">
        <v>65.0</v>
      </c>
      <c r="F711" s="48">
        <v>5.431</v>
      </c>
      <c r="G711" s="49">
        <f t="shared" si="1"/>
        <v>0.05431</v>
      </c>
      <c r="H711" s="11">
        <v>2.0</v>
      </c>
      <c r="I711" s="11">
        <v>2.0</v>
      </c>
      <c r="J711" s="50">
        <v>22013.0</v>
      </c>
      <c r="K711" s="11">
        <v>4.0</v>
      </c>
      <c r="L711" s="11">
        <v>4.0</v>
      </c>
      <c r="M711" s="51">
        <v>338.0</v>
      </c>
      <c r="N711" s="17">
        <v>2.0</v>
      </c>
      <c r="O711" s="24" t="s">
        <v>606</v>
      </c>
      <c r="P711" s="52">
        <v>92515.0</v>
      </c>
      <c r="Q711" s="51">
        <v>139.0</v>
      </c>
      <c r="R711" s="53">
        <v>476775.55</v>
      </c>
      <c r="S711" s="24" t="s">
        <v>602</v>
      </c>
      <c r="T711" s="11">
        <v>0.0</v>
      </c>
      <c r="U711" s="52">
        <v>32913.0</v>
      </c>
      <c r="V711" s="11">
        <v>0.0</v>
      </c>
      <c r="W711" s="11">
        <v>4.0</v>
      </c>
      <c r="X711" s="48">
        <v>9.9396</v>
      </c>
      <c r="Y711" s="11">
        <f t="shared" si="2"/>
        <v>0.099396</v>
      </c>
    </row>
    <row r="712">
      <c r="A712" s="17">
        <v>5.0</v>
      </c>
      <c r="B712" s="24">
        <v>14.0</v>
      </c>
      <c r="C712" s="24">
        <v>4.0</v>
      </c>
      <c r="D712" s="24">
        <v>3.0</v>
      </c>
      <c r="E712" s="24">
        <v>63.0</v>
      </c>
      <c r="F712" s="48">
        <v>5.1878</v>
      </c>
      <c r="G712" s="49">
        <f t="shared" si="1"/>
        <v>0.051878</v>
      </c>
      <c r="H712" s="11">
        <v>1.0</v>
      </c>
      <c r="I712" s="11">
        <v>8.0</v>
      </c>
      <c r="J712" s="50">
        <v>120119.0</v>
      </c>
      <c r="K712" s="11">
        <v>8.0</v>
      </c>
      <c r="L712" s="11">
        <v>4.0</v>
      </c>
      <c r="M712" s="51">
        <v>179.0</v>
      </c>
      <c r="N712" s="17">
        <v>44.0</v>
      </c>
      <c r="O712" s="24" t="s">
        <v>48</v>
      </c>
      <c r="P712" s="52">
        <v>101720.0</v>
      </c>
      <c r="Q712" s="51">
        <v>856.0</v>
      </c>
      <c r="R712" s="53">
        <v>-86015.68</v>
      </c>
      <c r="S712" s="24" t="s">
        <v>604</v>
      </c>
      <c r="T712" s="11">
        <v>4.0</v>
      </c>
      <c r="U712" s="52">
        <v>91315.0</v>
      </c>
      <c r="V712" s="11">
        <v>4.0</v>
      </c>
      <c r="W712" s="11">
        <v>4.0</v>
      </c>
      <c r="X712" s="48">
        <v>8.2929</v>
      </c>
      <c r="Y712" s="11">
        <f t="shared" si="2"/>
        <v>0.082929</v>
      </c>
    </row>
    <row r="713">
      <c r="A713" s="17">
        <v>82.0</v>
      </c>
      <c r="B713" s="24">
        <v>34.0</v>
      </c>
      <c r="C713" s="24">
        <v>9.0</v>
      </c>
      <c r="D713" s="24">
        <v>3.0</v>
      </c>
      <c r="E713" s="24">
        <v>62.0</v>
      </c>
      <c r="F713" s="48">
        <v>2.7845</v>
      </c>
      <c r="G713" s="49">
        <f t="shared" si="1"/>
        <v>0.027845</v>
      </c>
      <c r="H713" s="11">
        <v>4.0</v>
      </c>
      <c r="I713" s="11">
        <v>6.0</v>
      </c>
      <c r="J713" s="50">
        <v>121522.0</v>
      </c>
      <c r="K713" s="11">
        <v>9.0</v>
      </c>
      <c r="L713" s="11">
        <v>0.0</v>
      </c>
      <c r="M713" s="51">
        <v>790.0</v>
      </c>
      <c r="N713" s="17">
        <v>87.0</v>
      </c>
      <c r="O713" s="24" t="s">
        <v>606</v>
      </c>
      <c r="P713" s="52">
        <v>80923.0</v>
      </c>
      <c r="Q713" s="51">
        <v>636.0</v>
      </c>
      <c r="R713" s="53">
        <v>-20869.23</v>
      </c>
      <c r="S713" s="24" t="s">
        <v>605</v>
      </c>
      <c r="T713" s="11">
        <v>6.0</v>
      </c>
      <c r="U713" s="52">
        <v>22413.0</v>
      </c>
      <c r="V713" s="11">
        <v>5.0</v>
      </c>
      <c r="W713" s="11">
        <v>1.0</v>
      </c>
      <c r="X713" s="48">
        <v>3.8663</v>
      </c>
      <c r="Y713" s="11">
        <f t="shared" si="2"/>
        <v>0.038663</v>
      </c>
    </row>
    <row r="714">
      <c r="A714" s="17">
        <v>76.0</v>
      </c>
      <c r="B714" s="24">
        <v>75.0</v>
      </c>
      <c r="C714" s="24">
        <v>8.0</v>
      </c>
      <c r="D714" s="24">
        <v>9.0</v>
      </c>
      <c r="E714" s="24">
        <v>60.0</v>
      </c>
      <c r="F714" s="48">
        <v>1.748</v>
      </c>
      <c r="G714" s="49">
        <f t="shared" si="1"/>
        <v>0.01748</v>
      </c>
      <c r="H714" s="11">
        <v>5.0</v>
      </c>
      <c r="I714" s="11">
        <v>1.0</v>
      </c>
      <c r="J714" s="50">
        <v>71318.0</v>
      </c>
      <c r="K714" s="11">
        <v>4.0</v>
      </c>
      <c r="L714" s="11">
        <v>7.0</v>
      </c>
      <c r="M714" s="51">
        <v>422.0</v>
      </c>
      <c r="N714" s="17">
        <v>97.0</v>
      </c>
      <c r="O714" s="24" t="s">
        <v>31</v>
      </c>
      <c r="P714" s="52">
        <v>30516.0</v>
      </c>
      <c r="Q714" s="51">
        <v>335.0</v>
      </c>
      <c r="R714" s="53">
        <v>-192797.41</v>
      </c>
      <c r="S714" s="24" t="s">
        <v>605</v>
      </c>
      <c r="T714" s="11">
        <v>2.0</v>
      </c>
      <c r="U714" s="52">
        <v>50720.0</v>
      </c>
      <c r="V714" s="11">
        <v>8.0</v>
      </c>
      <c r="W714" s="11">
        <v>5.0</v>
      </c>
      <c r="X714" s="48">
        <v>5.9224</v>
      </c>
      <c r="Y714" s="11">
        <f t="shared" si="2"/>
        <v>0.059224</v>
      </c>
    </row>
    <row r="715">
      <c r="A715" s="17">
        <v>14.0</v>
      </c>
      <c r="B715" s="24">
        <v>75.0</v>
      </c>
      <c r="C715" s="24">
        <v>9.0</v>
      </c>
      <c r="D715" s="24">
        <v>3.0</v>
      </c>
      <c r="E715" s="24">
        <v>66.0</v>
      </c>
      <c r="F715" s="48">
        <v>3.2228</v>
      </c>
      <c r="G715" s="49">
        <f t="shared" si="1"/>
        <v>0.032228</v>
      </c>
      <c r="H715" s="11">
        <v>1.0</v>
      </c>
      <c r="I715" s="11">
        <v>8.0</v>
      </c>
      <c r="J715" s="50">
        <v>32216.0</v>
      </c>
      <c r="K715" s="11">
        <v>3.0</v>
      </c>
      <c r="L715" s="11">
        <v>5.0</v>
      </c>
      <c r="M715" s="51">
        <v>83.0</v>
      </c>
      <c r="N715" s="17">
        <v>64.0</v>
      </c>
      <c r="O715" s="24" t="s">
        <v>601</v>
      </c>
      <c r="P715" s="52">
        <v>90915.0</v>
      </c>
      <c r="Q715" s="51">
        <v>976.0</v>
      </c>
      <c r="R715" s="53">
        <v>-1599.41</v>
      </c>
      <c r="S715" s="24" t="s">
        <v>600</v>
      </c>
      <c r="T715" s="11">
        <v>1.0</v>
      </c>
      <c r="U715" s="52">
        <v>82022.0</v>
      </c>
      <c r="V715" s="11">
        <v>2.0</v>
      </c>
      <c r="W715" s="11">
        <v>1.0</v>
      </c>
      <c r="X715" s="48">
        <v>4.2173</v>
      </c>
      <c r="Y715" s="11">
        <f t="shared" si="2"/>
        <v>0.042173</v>
      </c>
    </row>
    <row r="716">
      <c r="A716" s="17">
        <v>71.0</v>
      </c>
      <c r="B716" s="24">
        <v>55.0</v>
      </c>
      <c r="C716" s="24">
        <v>4.0</v>
      </c>
      <c r="D716" s="24">
        <v>6.0</v>
      </c>
      <c r="E716" s="24">
        <v>66.0</v>
      </c>
      <c r="F716" s="48">
        <v>3.4044</v>
      </c>
      <c r="G716" s="49">
        <f t="shared" si="1"/>
        <v>0.034044</v>
      </c>
      <c r="H716" s="11">
        <v>8.0</v>
      </c>
      <c r="I716" s="11">
        <v>0.0</v>
      </c>
      <c r="J716" s="50">
        <v>72418.0</v>
      </c>
      <c r="K716" s="11">
        <v>4.0</v>
      </c>
      <c r="L716" s="11">
        <v>7.0</v>
      </c>
      <c r="M716" s="51">
        <v>267.0</v>
      </c>
      <c r="N716" s="17">
        <v>25.0</v>
      </c>
      <c r="O716" s="24" t="s">
        <v>31</v>
      </c>
      <c r="P716" s="52">
        <v>71716.0</v>
      </c>
      <c r="Q716" s="51">
        <v>959.0</v>
      </c>
      <c r="R716" s="53">
        <v>-632493.7</v>
      </c>
      <c r="S716" s="24" t="s">
        <v>602</v>
      </c>
      <c r="T716" s="11">
        <v>9.0</v>
      </c>
      <c r="U716" s="52">
        <v>12513.0</v>
      </c>
      <c r="V716" s="11">
        <v>3.0</v>
      </c>
      <c r="W716" s="11">
        <v>3.0</v>
      </c>
      <c r="X716" s="48">
        <v>1.5149</v>
      </c>
      <c r="Y716" s="11">
        <f t="shared" si="2"/>
        <v>0.015149</v>
      </c>
    </row>
    <row r="717">
      <c r="A717" s="17">
        <v>16.0</v>
      </c>
      <c r="B717" s="24">
        <v>75.0</v>
      </c>
      <c r="C717" s="24">
        <v>9.0</v>
      </c>
      <c r="D717" s="24">
        <v>4.0</v>
      </c>
      <c r="E717" s="24">
        <v>63.0</v>
      </c>
      <c r="F717" s="48">
        <v>1.1315</v>
      </c>
      <c r="G717" s="49">
        <f t="shared" si="1"/>
        <v>0.011315</v>
      </c>
      <c r="H717" s="11">
        <v>3.0</v>
      </c>
      <c r="I717" s="11">
        <v>8.0</v>
      </c>
      <c r="J717" s="50">
        <v>92223.0</v>
      </c>
      <c r="K717" s="11">
        <v>3.0</v>
      </c>
      <c r="L717" s="11">
        <v>4.0</v>
      </c>
      <c r="M717" s="51">
        <v>602.0</v>
      </c>
      <c r="N717" s="17">
        <v>93.0</v>
      </c>
      <c r="O717" s="24" t="s">
        <v>31</v>
      </c>
      <c r="P717" s="52">
        <v>112423.0</v>
      </c>
      <c r="Q717" s="51">
        <v>989.0</v>
      </c>
      <c r="R717" s="53">
        <v>749276.5</v>
      </c>
      <c r="S717" s="24" t="s">
        <v>605</v>
      </c>
      <c r="T717" s="11">
        <v>0.0</v>
      </c>
      <c r="U717" s="52">
        <v>112517.0</v>
      </c>
      <c r="V717" s="11">
        <v>1.0</v>
      </c>
      <c r="W717" s="11">
        <v>8.0</v>
      </c>
      <c r="X717" s="48">
        <v>5.775</v>
      </c>
      <c r="Y717" s="11">
        <f t="shared" si="2"/>
        <v>0.05775</v>
      </c>
    </row>
    <row r="718">
      <c r="A718" s="17">
        <v>99.0</v>
      </c>
      <c r="B718" s="24">
        <v>75.0</v>
      </c>
      <c r="C718" s="24">
        <v>9.0</v>
      </c>
      <c r="D718" s="24">
        <v>8.0</v>
      </c>
      <c r="E718" s="24">
        <v>68.0</v>
      </c>
      <c r="F718" s="48">
        <v>4.25</v>
      </c>
      <c r="G718" s="49">
        <f t="shared" si="1"/>
        <v>0.0425</v>
      </c>
      <c r="H718" s="11">
        <v>5.0</v>
      </c>
      <c r="I718" s="11">
        <v>6.0</v>
      </c>
      <c r="J718" s="50">
        <v>120418.0</v>
      </c>
      <c r="K718" s="11">
        <v>7.0</v>
      </c>
      <c r="L718" s="11">
        <v>2.0</v>
      </c>
      <c r="M718" s="51">
        <v>748.0</v>
      </c>
      <c r="N718" s="17">
        <v>66.0</v>
      </c>
      <c r="O718" s="24" t="s">
        <v>600</v>
      </c>
      <c r="P718" s="52">
        <v>102116.0</v>
      </c>
      <c r="Q718" s="51">
        <v>991.0</v>
      </c>
      <c r="R718" s="53">
        <v>-627190.68</v>
      </c>
      <c r="S718" s="24" t="s">
        <v>604</v>
      </c>
      <c r="T718" s="11">
        <v>8.0</v>
      </c>
      <c r="U718" s="52">
        <v>82217.0</v>
      </c>
      <c r="V718" s="11">
        <v>2.0</v>
      </c>
      <c r="W718" s="11">
        <v>8.0</v>
      </c>
      <c r="X718" s="48">
        <v>8.532</v>
      </c>
      <c r="Y718" s="11">
        <f t="shared" si="2"/>
        <v>0.08532</v>
      </c>
    </row>
    <row r="719">
      <c r="A719" s="17">
        <v>59.0</v>
      </c>
      <c r="B719" s="24">
        <v>96.0</v>
      </c>
      <c r="C719" s="24">
        <v>4.0</v>
      </c>
      <c r="D719" s="24">
        <v>9.0</v>
      </c>
      <c r="E719" s="24">
        <v>67.0</v>
      </c>
      <c r="F719" s="48">
        <v>9.174</v>
      </c>
      <c r="G719" s="49">
        <f t="shared" si="1"/>
        <v>0.09174</v>
      </c>
      <c r="H719" s="11">
        <v>5.0</v>
      </c>
      <c r="I719" s="11">
        <v>1.0</v>
      </c>
      <c r="J719" s="50">
        <v>81120.0</v>
      </c>
      <c r="K719" s="11">
        <v>9.0</v>
      </c>
      <c r="L719" s="11">
        <v>1.0</v>
      </c>
      <c r="M719" s="51">
        <v>696.0</v>
      </c>
      <c r="N719" s="17">
        <v>60.0</v>
      </c>
      <c r="O719" s="24" t="s">
        <v>39</v>
      </c>
      <c r="P719" s="52">
        <v>51215.0</v>
      </c>
      <c r="Q719" s="51">
        <v>760.0</v>
      </c>
      <c r="R719" s="53">
        <v>93435.49</v>
      </c>
      <c r="S719" s="24" t="s">
        <v>600</v>
      </c>
      <c r="T719" s="11">
        <v>2.0</v>
      </c>
      <c r="U719" s="52">
        <v>61320.0</v>
      </c>
      <c r="V719" s="11">
        <v>6.0</v>
      </c>
      <c r="W719" s="11">
        <v>9.0</v>
      </c>
      <c r="X719" s="48">
        <v>5.452</v>
      </c>
      <c r="Y719" s="11">
        <f t="shared" si="2"/>
        <v>0.05452</v>
      </c>
    </row>
    <row r="720">
      <c r="A720" s="17">
        <v>98.0</v>
      </c>
      <c r="B720" s="24">
        <v>96.0</v>
      </c>
      <c r="C720" s="24">
        <v>5.0</v>
      </c>
      <c r="D720" s="24">
        <v>2.0</v>
      </c>
      <c r="E720" s="24">
        <v>68.0</v>
      </c>
      <c r="F720" s="48">
        <v>2.1153</v>
      </c>
      <c r="G720" s="49">
        <f t="shared" si="1"/>
        <v>0.021153</v>
      </c>
      <c r="H720" s="11">
        <v>1.0</v>
      </c>
      <c r="I720" s="11">
        <v>2.0</v>
      </c>
      <c r="J720" s="50">
        <v>90820.0</v>
      </c>
      <c r="K720" s="11">
        <v>7.0</v>
      </c>
      <c r="L720" s="11">
        <v>6.0</v>
      </c>
      <c r="M720" s="51">
        <v>747.0</v>
      </c>
      <c r="N720" s="17">
        <v>95.0</v>
      </c>
      <c r="O720" s="24" t="s">
        <v>606</v>
      </c>
      <c r="P720" s="52">
        <v>112519.0</v>
      </c>
      <c r="Q720" s="51">
        <v>857.0</v>
      </c>
      <c r="R720" s="53">
        <v>-764.91</v>
      </c>
      <c r="S720" s="24" t="s">
        <v>602</v>
      </c>
      <c r="T720" s="11">
        <v>5.0</v>
      </c>
      <c r="U720" s="52">
        <v>112922.0</v>
      </c>
      <c r="V720" s="11">
        <v>5.0</v>
      </c>
      <c r="W720" s="11">
        <v>3.0</v>
      </c>
      <c r="X720" s="48">
        <v>7.6192</v>
      </c>
      <c r="Y720" s="11">
        <f t="shared" si="2"/>
        <v>0.076192</v>
      </c>
    </row>
    <row r="721">
      <c r="A721" s="17">
        <v>78.0</v>
      </c>
      <c r="B721" s="24">
        <v>14.0</v>
      </c>
      <c r="C721" s="24">
        <v>6.0</v>
      </c>
      <c r="D721" s="24">
        <v>1.0</v>
      </c>
      <c r="E721" s="24">
        <v>65.0</v>
      </c>
      <c r="F721" s="48">
        <v>2.6784</v>
      </c>
      <c r="G721" s="49">
        <f t="shared" si="1"/>
        <v>0.026784</v>
      </c>
      <c r="H721" s="11">
        <v>8.0</v>
      </c>
      <c r="I721" s="11">
        <v>4.0</v>
      </c>
      <c r="J721" s="50">
        <v>102820.0</v>
      </c>
      <c r="K721" s="11">
        <v>1.0</v>
      </c>
      <c r="L721" s="11">
        <v>4.0</v>
      </c>
      <c r="M721" s="51">
        <v>762.0</v>
      </c>
      <c r="N721" s="17">
        <v>9.0</v>
      </c>
      <c r="O721" s="24" t="s">
        <v>39</v>
      </c>
      <c r="P721" s="52">
        <v>102517.0</v>
      </c>
      <c r="Q721" s="51">
        <v>323.0</v>
      </c>
      <c r="R721" s="53">
        <v>944763.42</v>
      </c>
      <c r="S721" s="24" t="s">
        <v>600</v>
      </c>
      <c r="T721" s="11">
        <v>4.0</v>
      </c>
      <c r="U721" s="52">
        <v>111320.0</v>
      </c>
      <c r="V721" s="11">
        <v>9.0</v>
      </c>
      <c r="W721" s="11">
        <v>3.0</v>
      </c>
      <c r="X721" s="48">
        <v>3.1585</v>
      </c>
      <c r="Y721" s="11">
        <f t="shared" si="2"/>
        <v>0.031585</v>
      </c>
    </row>
    <row r="722">
      <c r="A722" s="17">
        <v>94.0</v>
      </c>
      <c r="B722" s="24">
        <v>96.0</v>
      </c>
      <c r="C722" s="24">
        <v>5.0</v>
      </c>
      <c r="D722" s="24">
        <v>3.0</v>
      </c>
      <c r="E722" s="24">
        <v>67.0</v>
      </c>
      <c r="F722" s="48">
        <v>9.5919</v>
      </c>
      <c r="G722" s="49">
        <f t="shared" si="1"/>
        <v>0.095919</v>
      </c>
      <c r="H722" s="11">
        <v>4.0</v>
      </c>
      <c r="I722" s="11">
        <v>1.0</v>
      </c>
      <c r="J722" s="50">
        <v>111521.0</v>
      </c>
      <c r="K722" s="11">
        <v>1.0</v>
      </c>
      <c r="L722" s="11">
        <v>1.0</v>
      </c>
      <c r="M722" s="51">
        <v>893.0</v>
      </c>
      <c r="N722" s="17">
        <v>4.0</v>
      </c>
      <c r="O722" s="24" t="s">
        <v>601</v>
      </c>
      <c r="P722" s="52">
        <v>32717.0</v>
      </c>
      <c r="Q722" s="51">
        <v>134.0</v>
      </c>
      <c r="R722" s="53">
        <v>437694.2</v>
      </c>
      <c r="S722" s="24" t="s">
        <v>605</v>
      </c>
      <c r="T722" s="11">
        <v>9.0</v>
      </c>
      <c r="U722" s="52">
        <v>80617.0</v>
      </c>
      <c r="V722" s="11">
        <v>3.0</v>
      </c>
      <c r="W722" s="11">
        <v>4.0</v>
      </c>
      <c r="X722" s="48">
        <v>5.3116</v>
      </c>
      <c r="Y722" s="11">
        <f t="shared" si="2"/>
        <v>0.053116</v>
      </c>
    </row>
    <row r="723">
      <c r="A723" s="17">
        <v>42.0</v>
      </c>
      <c r="B723" s="24">
        <v>55.0</v>
      </c>
      <c r="C723" s="24">
        <v>5.0</v>
      </c>
      <c r="D723" s="24">
        <v>9.0</v>
      </c>
      <c r="E723" s="24">
        <v>62.0</v>
      </c>
      <c r="F723" s="48">
        <v>2.3041</v>
      </c>
      <c r="G723" s="49">
        <f t="shared" si="1"/>
        <v>0.023041</v>
      </c>
      <c r="H723" s="11">
        <v>6.0</v>
      </c>
      <c r="I723" s="11">
        <v>1.0</v>
      </c>
      <c r="J723" s="50">
        <v>30719.0</v>
      </c>
      <c r="K723" s="11">
        <v>7.0</v>
      </c>
      <c r="L723" s="11">
        <v>0.0</v>
      </c>
      <c r="M723" s="51">
        <v>725.0</v>
      </c>
      <c r="N723" s="17">
        <v>69.0</v>
      </c>
      <c r="O723" s="24" t="s">
        <v>606</v>
      </c>
      <c r="P723" s="52">
        <v>60115.0</v>
      </c>
      <c r="Q723" s="51">
        <v>802.0</v>
      </c>
      <c r="R723" s="53">
        <v>-38468.1</v>
      </c>
      <c r="S723" s="24" t="s">
        <v>600</v>
      </c>
      <c r="T723" s="11">
        <v>8.0</v>
      </c>
      <c r="U723" s="52">
        <v>41018.0</v>
      </c>
      <c r="V723" s="11">
        <v>3.0</v>
      </c>
      <c r="W723" s="11">
        <v>7.0</v>
      </c>
      <c r="X723" s="48">
        <v>3.6977</v>
      </c>
      <c r="Y723" s="11">
        <f t="shared" si="2"/>
        <v>0.036977</v>
      </c>
    </row>
    <row r="724">
      <c r="A724" s="17">
        <v>61.0</v>
      </c>
      <c r="B724" s="24">
        <v>14.0</v>
      </c>
      <c r="C724" s="24">
        <v>6.0</v>
      </c>
      <c r="D724" s="24">
        <v>4.0</v>
      </c>
      <c r="E724" s="24">
        <v>64.0</v>
      </c>
      <c r="F724" s="48">
        <v>4.2825</v>
      </c>
      <c r="G724" s="49">
        <f t="shared" si="1"/>
        <v>0.042825</v>
      </c>
      <c r="H724" s="11">
        <v>7.0</v>
      </c>
      <c r="I724" s="11">
        <v>1.0</v>
      </c>
      <c r="J724" s="50">
        <v>110616.0</v>
      </c>
      <c r="K724" s="11">
        <v>1.0</v>
      </c>
      <c r="L724" s="11">
        <v>3.0</v>
      </c>
      <c r="M724" s="51">
        <v>228.0</v>
      </c>
      <c r="N724" s="17">
        <v>52.0</v>
      </c>
      <c r="O724" s="24" t="s">
        <v>31</v>
      </c>
      <c r="P724" s="52">
        <v>90919.0</v>
      </c>
      <c r="Q724" s="51">
        <v>400.0</v>
      </c>
      <c r="R724" s="53">
        <v>5620.85</v>
      </c>
      <c r="S724" s="24" t="s">
        <v>600</v>
      </c>
      <c r="T724" s="11">
        <v>4.0</v>
      </c>
      <c r="U724" s="52">
        <v>62317.0</v>
      </c>
      <c r="V724" s="11">
        <v>8.0</v>
      </c>
      <c r="W724" s="11">
        <v>9.0</v>
      </c>
      <c r="X724" s="48">
        <v>6.1498</v>
      </c>
      <c r="Y724" s="11">
        <f t="shared" si="2"/>
        <v>0.061498</v>
      </c>
    </row>
    <row r="725">
      <c r="A725" s="17">
        <v>14.0</v>
      </c>
      <c r="B725" s="24">
        <v>96.0</v>
      </c>
      <c r="C725" s="24">
        <v>5.0</v>
      </c>
      <c r="D725" s="24">
        <v>7.0</v>
      </c>
      <c r="E725" s="24">
        <v>65.0</v>
      </c>
      <c r="F725" s="48">
        <v>3.6615</v>
      </c>
      <c r="G725" s="49">
        <f t="shared" si="1"/>
        <v>0.036615</v>
      </c>
      <c r="H725" s="11">
        <v>4.0</v>
      </c>
      <c r="I725" s="11">
        <v>5.0</v>
      </c>
      <c r="J725" s="50">
        <v>92419.0</v>
      </c>
      <c r="K725" s="11">
        <v>7.0</v>
      </c>
      <c r="L725" s="11">
        <v>3.0</v>
      </c>
      <c r="M725" s="51">
        <v>237.0</v>
      </c>
      <c r="N725" s="17">
        <v>10.0</v>
      </c>
      <c r="O725" s="24" t="s">
        <v>31</v>
      </c>
      <c r="P725" s="52">
        <v>100316.0</v>
      </c>
      <c r="Q725" s="51">
        <v>565.0</v>
      </c>
      <c r="R725" s="53">
        <v>-480562.57</v>
      </c>
      <c r="S725" s="24" t="s">
        <v>600</v>
      </c>
      <c r="T725" s="11">
        <v>5.0</v>
      </c>
      <c r="U725" s="52">
        <v>20118.0</v>
      </c>
      <c r="V725" s="11">
        <v>7.0</v>
      </c>
      <c r="W725" s="11">
        <v>4.0</v>
      </c>
      <c r="X725" s="48">
        <v>6.366</v>
      </c>
      <c r="Y725" s="11">
        <f t="shared" si="2"/>
        <v>0.06366</v>
      </c>
    </row>
    <row r="726">
      <c r="A726" s="17">
        <v>26.0</v>
      </c>
      <c r="B726" s="24">
        <v>55.0</v>
      </c>
      <c r="C726" s="24">
        <v>6.0</v>
      </c>
      <c r="D726" s="24">
        <v>1.0</v>
      </c>
      <c r="E726" s="24">
        <v>67.0</v>
      </c>
      <c r="F726" s="48">
        <v>5.1644</v>
      </c>
      <c r="G726" s="49">
        <f t="shared" si="1"/>
        <v>0.051644</v>
      </c>
      <c r="H726" s="11">
        <v>7.0</v>
      </c>
      <c r="I726" s="11">
        <v>7.0</v>
      </c>
      <c r="J726" s="50">
        <v>13117.0</v>
      </c>
      <c r="K726" s="11">
        <v>5.0</v>
      </c>
      <c r="L726" s="11">
        <v>9.0</v>
      </c>
      <c r="M726" s="51">
        <v>584.0</v>
      </c>
      <c r="N726" s="17">
        <v>5.0</v>
      </c>
      <c r="O726" s="24" t="s">
        <v>39</v>
      </c>
      <c r="P726" s="52">
        <v>51021.0</v>
      </c>
      <c r="Q726" s="51">
        <v>508.0</v>
      </c>
      <c r="R726" s="53">
        <v>-7527.99</v>
      </c>
      <c r="S726" s="24" t="s">
        <v>605</v>
      </c>
      <c r="T726" s="11">
        <v>7.0</v>
      </c>
      <c r="U726" s="52">
        <v>50613.0</v>
      </c>
      <c r="V726" s="11">
        <v>9.0</v>
      </c>
      <c r="W726" s="11">
        <v>5.0</v>
      </c>
      <c r="X726" s="48">
        <v>9.942</v>
      </c>
      <c r="Y726" s="11">
        <f t="shared" si="2"/>
        <v>0.09942</v>
      </c>
    </row>
    <row r="727">
      <c r="A727" s="17">
        <v>91.0</v>
      </c>
      <c r="B727" s="24">
        <v>96.0</v>
      </c>
      <c r="C727" s="24">
        <v>5.0</v>
      </c>
      <c r="D727" s="24">
        <v>9.0</v>
      </c>
      <c r="E727" s="24">
        <v>64.0</v>
      </c>
      <c r="F727" s="48">
        <v>5.9793</v>
      </c>
      <c r="G727" s="49">
        <f t="shared" si="1"/>
        <v>0.059793</v>
      </c>
      <c r="H727" s="11">
        <v>0.0</v>
      </c>
      <c r="I727" s="11">
        <v>4.0</v>
      </c>
      <c r="J727" s="50">
        <v>82923.0</v>
      </c>
      <c r="K727" s="11">
        <v>7.0</v>
      </c>
      <c r="L727" s="11">
        <v>2.0</v>
      </c>
      <c r="M727" s="51">
        <v>763.0</v>
      </c>
      <c r="N727" s="17">
        <v>86.0</v>
      </c>
      <c r="O727" s="24" t="s">
        <v>606</v>
      </c>
      <c r="P727" s="52">
        <v>71313.0</v>
      </c>
      <c r="Q727" s="51">
        <v>119.0</v>
      </c>
      <c r="R727" s="53">
        <v>-431704.92</v>
      </c>
      <c r="S727" s="24" t="s">
        <v>604</v>
      </c>
      <c r="T727" s="11">
        <v>7.0</v>
      </c>
      <c r="U727" s="52">
        <v>33120.0</v>
      </c>
      <c r="V727" s="11">
        <v>8.0</v>
      </c>
      <c r="W727" s="11">
        <v>5.0</v>
      </c>
      <c r="X727" s="48">
        <v>4.593</v>
      </c>
      <c r="Y727" s="11">
        <f t="shared" si="2"/>
        <v>0.04593</v>
      </c>
    </row>
    <row r="728">
      <c r="A728" s="17">
        <v>61.0</v>
      </c>
      <c r="B728" s="24">
        <v>35.0</v>
      </c>
      <c r="C728" s="24">
        <v>1.0</v>
      </c>
      <c r="D728" s="24">
        <v>1.0</v>
      </c>
      <c r="E728" s="24">
        <v>67.0</v>
      </c>
      <c r="F728" s="48">
        <v>8.7782</v>
      </c>
      <c r="G728" s="49">
        <f t="shared" si="1"/>
        <v>0.087782</v>
      </c>
      <c r="H728" s="11">
        <v>3.0</v>
      </c>
      <c r="I728" s="11">
        <v>7.0</v>
      </c>
      <c r="J728" s="50">
        <v>72617.0</v>
      </c>
      <c r="K728" s="11">
        <v>2.0</v>
      </c>
      <c r="L728" s="11">
        <v>1.0</v>
      </c>
      <c r="M728" s="51">
        <v>59.0</v>
      </c>
      <c r="N728" s="17">
        <v>81.0</v>
      </c>
      <c r="O728" s="24" t="s">
        <v>39</v>
      </c>
      <c r="P728" s="52">
        <v>60323.0</v>
      </c>
      <c r="Q728" s="51">
        <v>550.0</v>
      </c>
      <c r="R728" s="53">
        <v>158.51</v>
      </c>
      <c r="S728" s="24" t="s">
        <v>605</v>
      </c>
      <c r="T728" s="11">
        <v>5.0</v>
      </c>
      <c r="U728" s="52">
        <v>22623.0</v>
      </c>
      <c r="V728" s="11">
        <v>2.0</v>
      </c>
      <c r="W728" s="11">
        <v>2.0</v>
      </c>
      <c r="X728" s="48">
        <v>5.4948</v>
      </c>
      <c r="Y728" s="11">
        <f t="shared" si="2"/>
        <v>0.054948</v>
      </c>
    </row>
    <row r="729">
      <c r="A729" s="17">
        <v>78.0</v>
      </c>
      <c r="B729" s="24">
        <v>35.0</v>
      </c>
      <c r="C729" s="24">
        <v>1.0</v>
      </c>
      <c r="D729" s="24">
        <v>7.0</v>
      </c>
      <c r="E729" s="24">
        <v>62.0</v>
      </c>
      <c r="F729" s="48">
        <v>5.212</v>
      </c>
      <c r="G729" s="49">
        <f t="shared" si="1"/>
        <v>0.05212</v>
      </c>
      <c r="H729" s="11">
        <v>4.0</v>
      </c>
      <c r="I729" s="11">
        <v>1.0</v>
      </c>
      <c r="J729" s="50">
        <v>61219.0</v>
      </c>
      <c r="K729" s="11">
        <v>0.0</v>
      </c>
      <c r="L729" s="11">
        <v>9.0</v>
      </c>
      <c r="M729" s="51">
        <v>709.0</v>
      </c>
      <c r="N729" s="17">
        <v>90.0</v>
      </c>
      <c r="O729" s="24" t="s">
        <v>606</v>
      </c>
      <c r="P729" s="52">
        <v>50818.0</v>
      </c>
      <c r="Q729" s="51">
        <v>854.0</v>
      </c>
      <c r="R729" s="53">
        <v>-845511.75</v>
      </c>
      <c r="S729" s="24" t="s">
        <v>604</v>
      </c>
      <c r="T729" s="11">
        <v>3.0</v>
      </c>
      <c r="U729" s="52">
        <v>81521.0</v>
      </c>
      <c r="V729" s="11">
        <v>8.0</v>
      </c>
      <c r="W729" s="11">
        <v>6.0</v>
      </c>
      <c r="X729" s="48">
        <v>2.972</v>
      </c>
      <c r="Y729" s="11">
        <f t="shared" si="2"/>
        <v>0.02972</v>
      </c>
    </row>
    <row r="730">
      <c r="A730" s="17">
        <v>61.0</v>
      </c>
      <c r="B730" s="24">
        <v>96.0</v>
      </c>
      <c r="C730" s="24">
        <v>6.0</v>
      </c>
      <c r="D730" s="24">
        <v>1.0</v>
      </c>
      <c r="E730" s="24">
        <v>62.0</v>
      </c>
      <c r="F730" s="48">
        <v>6.204</v>
      </c>
      <c r="G730" s="49">
        <f t="shared" si="1"/>
        <v>0.06204</v>
      </c>
      <c r="H730" s="11">
        <v>5.0</v>
      </c>
      <c r="I730" s="11">
        <v>2.0</v>
      </c>
      <c r="J730" s="50">
        <v>20719.0</v>
      </c>
      <c r="K730" s="11">
        <v>4.0</v>
      </c>
      <c r="L730" s="11">
        <v>6.0</v>
      </c>
      <c r="M730" s="51">
        <v>272.0</v>
      </c>
      <c r="N730" s="17">
        <v>13.0</v>
      </c>
      <c r="O730" s="24" t="s">
        <v>48</v>
      </c>
      <c r="P730" s="52">
        <v>82513.0</v>
      </c>
      <c r="Q730" s="51">
        <v>690.0</v>
      </c>
      <c r="R730" s="53">
        <v>756.65</v>
      </c>
      <c r="S730" s="24" t="s">
        <v>605</v>
      </c>
      <c r="T730" s="11">
        <v>8.0</v>
      </c>
      <c r="U730" s="52">
        <v>61413.0</v>
      </c>
      <c r="V730" s="11">
        <v>4.0</v>
      </c>
      <c r="W730" s="11">
        <v>1.0</v>
      </c>
      <c r="X730" s="48">
        <v>6.823</v>
      </c>
      <c r="Y730" s="11">
        <f t="shared" si="2"/>
        <v>0.06823</v>
      </c>
    </row>
    <row r="731">
      <c r="A731" s="17">
        <v>24.0</v>
      </c>
      <c r="B731" s="24">
        <v>76.0</v>
      </c>
      <c r="C731" s="24">
        <v>1.0</v>
      </c>
      <c r="D731" s="24">
        <v>3.0</v>
      </c>
      <c r="E731" s="24">
        <v>64.0</v>
      </c>
      <c r="F731" s="48">
        <v>6.4296</v>
      </c>
      <c r="G731" s="49">
        <f t="shared" si="1"/>
        <v>0.064296</v>
      </c>
      <c r="H731" s="11">
        <v>4.0</v>
      </c>
      <c r="I731" s="11">
        <v>8.0</v>
      </c>
      <c r="J731" s="50">
        <v>42122.0</v>
      </c>
      <c r="K731" s="11">
        <v>5.0</v>
      </c>
      <c r="L731" s="11">
        <v>1.0</v>
      </c>
      <c r="M731" s="51">
        <v>546.0</v>
      </c>
      <c r="N731" s="17">
        <v>97.0</v>
      </c>
      <c r="O731" s="24" t="s">
        <v>601</v>
      </c>
      <c r="P731" s="52">
        <v>22715.0</v>
      </c>
      <c r="Q731" s="51">
        <v>476.0</v>
      </c>
      <c r="R731" s="53">
        <v>266107.15</v>
      </c>
      <c r="S731" s="24" t="s">
        <v>600</v>
      </c>
      <c r="T731" s="11">
        <v>8.0</v>
      </c>
      <c r="U731" s="52">
        <v>42919.0</v>
      </c>
      <c r="V731" s="11">
        <v>6.0</v>
      </c>
      <c r="W731" s="11">
        <v>7.0</v>
      </c>
      <c r="X731" s="48">
        <v>7.9482</v>
      </c>
      <c r="Y731" s="11">
        <f t="shared" si="2"/>
        <v>0.079482</v>
      </c>
    </row>
    <row r="732">
      <c r="A732" s="17">
        <v>4.0</v>
      </c>
      <c r="B732" s="24">
        <v>55.0</v>
      </c>
      <c r="C732" s="24">
        <v>6.0</v>
      </c>
      <c r="D732" s="24">
        <v>7.0</v>
      </c>
      <c r="E732" s="24">
        <v>62.0</v>
      </c>
      <c r="F732" s="48">
        <v>5.184</v>
      </c>
      <c r="G732" s="49">
        <f t="shared" si="1"/>
        <v>0.05184</v>
      </c>
      <c r="H732" s="11">
        <v>3.0</v>
      </c>
      <c r="I732" s="11">
        <v>9.0</v>
      </c>
      <c r="J732" s="50">
        <v>102521.0</v>
      </c>
      <c r="K732" s="11">
        <v>0.0</v>
      </c>
      <c r="L732" s="11">
        <v>5.0</v>
      </c>
      <c r="M732" s="51">
        <v>564.0</v>
      </c>
      <c r="N732" s="17">
        <v>70.0</v>
      </c>
      <c r="O732" s="24" t="s">
        <v>600</v>
      </c>
      <c r="P732" s="52">
        <v>120920.0</v>
      </c>
      <c r="Q732" s="51">
        <v>540.0</v>
      </c>
      <c r="R732" s="53">
        <v>6429.69</v>
      </c>
      <c r="S732" s="24" t="s">
        <v>602</v>
      </c>
      <c r="T732" s="11">
        <v>3.0</v>
      </c>
      <c r="U732" s="52">
        <v>112017.0</v>
      </c>
      <c r="V732" s="11">
        <v>2.0</v>
      </c>
      <c r="W732" s="11">
        <v>1.0</v>
      </c>
      <c r="X732" s="48">
        <v>7.4709</v>
      </c>
      <c r="Y732" s="11">
        <f t="shared" si="2"/>
        <v>0.074709</v>
      </c>
    </row>
    <row r="733">
      <c r="A733" s="17">
        <v>45.0</v>
      </c>
      <c r="B733" s="24">
        <v>35.0</v>
      </c>
      <c r="C733" s="24">
        <v>2.0</v>
      </c>
      <c r="D733" s="24">
        <v>3.0</v>
      </c>
      <c r="E733" s="24">
        <v>66.0</v>
      </c>
      <c r="F733" s="48">
        <v>9.9</v>
      </c>
      <c r="G733" s="49">
        <f t="shared" si="1"/>
        <v>0.099</v>
      </c>
      <c r="H733" s="11">
        <v>5.0</v>
      </c>
      <c r="I733" s="11">
        <v>1.0</v>
      </c>
      <c r="J733" s="50">
        <v>122919.0</v>
      </c>
      <c r="K733" s="11">
        <v>3.0</v>
      </c>
      <c r="L733" s="11">
        <v>8.0</v>
      </c>
      <c r="M733" s="51">
        <v>172.0</v>
      </c>
      <c r="N733" s="17">
        <v>0.0</v>
      </c>
      <c r="O733" s="24" t="s">
        <v>606</v>
      </c>
      <c r="P733" s="52">
        <v>22115.0</v>
      </c>
      <c r="Q733" s="51">
        <v>659.0</v>
      </c>
      <c r="R733" s="53">
        <v>-947.78</v>
      </c>
      <c r="S733" s="24" t="s">
        <v>604</v>
      </c>
      <c r="T733" s="11">
        <v>6.0</v>
      </c>
      <c r="U733" s="52">
        <v>60419.0</v>
      </c>
      <c r="V733" s="11">
        <v>0.0</v>
      </c>
      <c r="W733" s="11">
        <v>5.0</v>
      </c>
      <c r="X733" s="48">
        <v>2.1225</v>
      </c>
      <c r="Y733" s="11">
        <f t="shared" si="2"/>
        <v>0.021225</v>
      </c>
    </row>
    <row r="734">
      <c r="A734" s="17">
        <v>13.0</v>
      </c>
      <c r="B734" s="24">
        <v>96.0</v>
      </c>
      <c r="C734" s="24">
        <v>6.0</v>
      </c>
      <c r="D734" s="24">
        <v>9.0</v>
      </c>
      <c r="E734" s="24">
        <v>65.0</v>
      </c>
      <c r="F734" s="48">
        <v>8.789</v>
      </c>
      <c r="G734" s="49">
        <f t="shared" si="1"/>
        <v>0.08789</v>
      </c>
      <c r="H734" s="11">
        <v>0.0</v>
      </c>
      <c r="I734" s="11">
        <v>5.0</v>
      </c>
      <c r="J734" s="50">
        <v>40318.0</v>
      </c>
      <c r="K734" s="11">
        <v>7.0</v>
      </c>
      <c r="L734" s="11">
        <v>0.0</v>
      </c>
      <c r="M734" s="51">
        <v>205.0</v>
      </c>
      <c r="N734" s="17">
        <v>35.0</v>
      </c>
      <c r="O734" s="24" t="s">
        <v>48</v>
      </c>
      <c r="P734" s="52">
        <v>32020.0</v>
      </c>
      <c r="Q734" s="51">
        <v>553.0</v>
      </c>
      <c r="R734" s="53">
        <v>362877.26</v>
      </c>
      <c r="S734" s="24" t="s">
        <v>600</v>
      </c>
      <c r="T734" s="11">
        <v>3.0</v>
      </c>
      <c r="U734" s="52">
        <v>62420.0</v>
      </c>
      <c r="V734" s="11">
        <v>2.0</v>
      </c>
      <c r="W734" s="11">
        <v>7.0</v>
      </c>
      <c r="X734" s="48">
        <v>8.454</v>
      </c>
      <c r="Y734" s="11">
        <f t="shared" si="2"/>
        <v>0.08454</v>
      </c>
    </row>
    <row r="735">
      <c r="A735" s="17">
        <v>81.0</v>
      </c>
      <c r="B735" s="24">
        <v>55.0</v>
      </c>
      <c r="C735" s="24">
        <v>7.0</v>
      </c>
      <c r="D735" s="24">
        <v>4.0</v>
      </c>
      <c r="E735" s="24">
        <v>63.0</v>
      </c>
      <c r="F735" s="48">
        <v>2.1971</v>
      </c>
      <c r="G735" s="49">
        <f t="shared" si="1"/>
        <v>0.021971</v>
      </c>
      <c r="H735" s="11">
        <v>9.0</v>
      </c>
      <c r="I735" s="11">
        <v>4.0</v>
      </c>
      <c r="J735" s="50">
        <v>92317.0</v>
      </c>
      <c r="K735" s="11">
        <v>2.0</v>
      </c>
      <c r="L735" s="11">
        <v>2.0</v>
      </c>
      <c r="M735" s="51">
        <v>681.0</v>
      </c>
      <c r="N735" s="17">
        <v>20.0</v>
      </c>
      <c r="O735" s="24" t="s">
        <v>48</v>
      </c>
      <c r="P735" s="52">
        <v>20523.0</v>
      </c>
      <c r="Q735" s="51">
        <v>537.0</v>
      </c>
      <c r="R735" s="53">
        <v>-889342.32</v>
      </c>
      <c r="S735" s="24" t="s">
        <v>602</v>
      </c>
      <c r="T735" s="11">
        <v>9.0</v>
      </c>
      <c r="U735" s="52">
        <v>101814.0</v>
      </c>
      <c r="V735" s="11">
        <v>3.0</v>
      </c>
      <c r="W735" s="11">
        <v>0.0</v>
      </c>
      <c r="X735" s="48">
        <v>2.7174</v>
      </c>
      <c r="Y735" s="11">
        <f t="shared" si="2"/>
        <v>0.027174</v>
      </c>
    </row>
    <row r="736">
      <c r="A736" s="17">
        <v>89.0</v>
      </c>
      <c r="B736" s="24">
        <v>55.0</v>
      </c>
      <c r="C736" s="24">
        <v>7.0</v>
      </c>
      <c r="D736" s="24">
        <v>5.0</v>
      </c>
      <c r="E736" s="24">
        <v>65.0</v>
      </c>
      <c r="F736" s="48">
        <v>8.365</v>
      </c>
      <c r="G736" s="49">
        <f t="shared" si="1"/>
        <v>0.08365</v>
      </c>
      <c r="H736" s="11">
        <v>2.0</v>
      </c>
      <c r="I736" s="11">
        <v>9.0</v>
      </c>
      <c r="J736" s="50">
        <v>10422.0</v>
      </c>
      <c r="K736" s="11">
        <v>5.0</v>
      </c>
      <c r="L736" s="11">
        <v>6.0</v>
      </c>
      <c r="M736" s="51">
        <v>548.0</v>
      </c>
      <c r="N736" s="17">
        <v>30.0</v>
      </c>
      <c r="O736" s="24" t="s">
        <v>603</v>
      </c>
      <c r="P736" s="52">
        <v>82114.0</v>
      </c>
      <c r="Q736" s="51">
        <v>728.0</v>
      </c>
      <c r="R736" s="53">
        <v>947.57</v>
      </c>
      <c r="S736" s="24" t="s">
        <v>605</v>
      </c>
      <c r="T736" s="11">
        <v>0.0</v>
      </c>
      <c r="U736" s="52">
        <v>72814.0</v>
      </c>
      <c r="V736" s="11">
        <v>9.0</v>
      </c>
      <c r="W736" s="11">
        <v>4.0</v>
      </c>
      <c r="X736" s="48">
        <v>1.9077</v>
      </c>
      <c r="Y736" s="11">
        <f t="shared" si="2"/>
        <v>0.019077</v>
      </c>
    </row>
    <row r="737">
      <c r="A737" s="17">
        <v>99.0</v>
      </c>
      <c r="B737" s="24">
        <v>35.0</v>
      </c>
      <c r="C737" s="24">
        <v>2.0</v>
      </c>
      <c r="D737" s="24">
        <v>8.0</v>
      </c>
      <c r="E737" s="24">
        <v>67.0</v>
      </c>
      <c r="F737" s="48">
        <v>9.8562</v>
      </c>
      <c r="G737" s="49">
        <f t="shared" si="1"/>
        <v>0.098562</v>
      </c>
      <c r="H737" s="11">
        <v>1.0</v>
      </c>
      <c r="I737" s="11">
        <v>4.0</v>
      </c>
      <c r="J737" s="50">
        <v>40318.0</v>
      </c>
      <c r="K737" s="11">
        <v>4.0</v>
      </c>
      <c r="L737" s="11">
        <v>8.0</v>
      </c>
      <c r="M737" s="51">
        <v>526.0</v>
      </c>
      <c r="N737" s="17">
        <v>8.0</v>
      </c>
      <c r="O737" s="24" t="s">
        <v>601</v>
      </c>
      <c r="P737" s="52">
        <v>91418.0</v>
      </c>
      <c r="Q737" s="51">
        <v>714.0</v>
      </c>
      <c r="R737" s="53">
        <v>445.21</v>
      </c>
      <c r="S737" s="24" t="s">
        <v>605</v>
      </c>
      <c r="T737" s="11">
        <v>5.0</v>
      </c>
      <c r="U737" s="52">
        <v>73021.0</v>
      </c>
      <c r="V737" s="11">
        <v>3.0</v>
      </c>
      <c r="W737" s="11">
        <v>5.0</v>
      </c>
      <c r="X737" s="48">
        <v>6.9149</v>
      </c>
      <c r="Y737" s="11">
        <f t="shared" si="2"/>
        <v>0.069149</v>
      </c>
    </row>
    <row r="738">
      <c r="A738" s="17">
        <v>90.0</v>
      </c>
      <c r="B738" s="24">
        <v>35.0</v>
      </c>
      <c r="C738" s="24">
        <v>2.0</v>
      </c>
      <c r="D738" s="24">
        <v>9.0</v>
      </c>
      <c r="E738" s="24">
        <v>64.0</v>
      </c>
      <c r="F738" s="48">
        <v>7.628</v>
      </c>
      <c r="G738" s="49">
        <f t="shared" si="1"/>
        <v>0.07628</v>
      </c>
      <c r="H738" s="11">
        <v>3.0</v>
      </c>
      <c r="I738" s="11">
        <v>3.0</v>
      </c>
      <c r="J738" s="50">
        <v>32320.0</v>
      </c>
      <c r="K738" s="11">
        <v>4.0</v>
      </c>
      <c r="L738" s="11">
        <v>5.0</v>
      </c>
      <c r="M738" s="51">
        <v>735.0</v>
      </c>
      <c r="N738" s="17">
        <v>9.0</v>
      </c>
      <c r="O738" s="24" t="s">
        <v>39</v>
      </c>
      <c r="P738" s="52">
        <v>30713.0</v>
      </c>
      <c r="Q738" s="51">
        <v>405.0</v>
      </c>
      <c r="R738" s="53">
        <v>-619.9</v>
      </c>
      <c r="S738" s="24" t="s">
        <v>602</v>
      </c>
      <c r="T738" s="11">
        <v>7.0</v>
      </c>
      <c r="U738" s="52">
        <v>101413.0</v>
      </c>
      <c r="V738" s="11">
        <v>3.0</v>
      </c>
      <c r="W738" s="11">
        <v>1.0</v>
      </c>
      <c r="X738" s="48">
        <v>1.4458</v>
      </c>
      <c r="Y738" s="11">
        <f t="shared" si="2"/>
        <v>0.014458</v>
      </c>
    </row>
    <row r="739">
      <c r="A739" s="17">
        <v>25.0</v>
      </c>
      <c r="B739" s="24">
        <v>76.0</v>
      </c>
      <c r="C739" s="24">
        <v>2.0</v>
      </c>
      <c r="D739" s="24">
        <v>6.0</v>
      </c>
      <c r="E739" s="24">
        <v>61.0</v>
      </c>
      <c r="F739" s="48">
        <v>7.797</v>
      </c>
      <c r="G739" s="49">
        <f t="shared" si="1"/>
        <v>0.07797</v>
      </c>
      <c r="H739" s="11">
        <v>4.0</v>
      </c>
      <c r="I739" s="11">
        <v>1.0</v>
      </c>
      <c r="J739" s="50">
        <v>112420.0</v>
      </c>
      <c r="K739" s="11">
        <v>5.0</v>
      </c>
      <c r="L739" s="11">
        <v>6.0</v>
      </c>
      <c r="M739" s="51">
        <v>460.0</v>
      </c>
      <c r="N739" s="17">
        <v>23.0</v>
      </c>
      <c r="O739" s="24" t="s">
        <v>48</v>
      </c>
      <c r="P739" s="52">
        <v>82621.0</v>
      </c>
      <c r="Q739" s="51">
        <v>24.0</v>
      </c>
      <c r="R739" s="53">
        <v>8059.6</v>
      </c>
      <c r="S739" s="24" t="s">
        <v>604</v>
      </c>
      <c r="T739" s="11">
        <v>8.0</v>
      </c>
      <c r="U739" s="52">
        <v>21022.0</v>
      </c>
      <c r="V739" s="11">
        <v>4.0</v>
      </c>
      <c r="W739" s="11">
        <v>9.0</v>
      </c>
      <c r="X739" s="48">
        <v>3.8452</v>
      </c>
      <c r="Y739" s="11">
        <f t="shared" si="2"/>
        <v>0.038452</v>
      </c>
    </row>
    <row r="740">
      <c r="A740" s="17">
        <v>40.0</v>
      </c>
      <c r="B740" s="24">
        <v>35.0</v>
      </c>
      <c r="C740" s="24">
        <v>3.0</v>
      </c>
      <c r="D740" s="24">
        <v>1.0</v>
      </c>
      <c r="E740" s="24">
        <v>61.0</v>
      </c>
      <c r="F740" s="48">
        <v>6.8738</v>
      </c>
      <c r="G740" s="49">
        <f t="shared" si="1"/>
        <v>0.068738</v>
      </c>
      <c r="H740" s="11">
        <v>7.0</v>
      </c>
      <c r="I740" s="11">
        <v>5.0</v>
      </c>
      <c r="J740" s="50">
        <v>20821.0</v>
      </c>
      <c r="K740" s="11">
        <v>9.0</v>
      </c>
      <c r="L740" s="11">
        <v>1.0</v>
      </c>
      <c r="M740" s="51">
        <v>84.0</v>
      </c>
      <c r="N740" s="17">
        <v>8.0</v>
      </c>
      <c r="O740" s="24" t="s">
        <v>31</v>
      </c>
      <c r="P740" s="52">
        <v>80922.0</v>
      </c>
      <c r="Q740" s="51">
        <v>996.0</v>
      </c>
      <c r="R740" s="53">
        <v>9365.2</v>
      </c>
      <c r="S740" s="24" t="s">
        <v>602</v>
      </c>
      <c r="T740" s="11">
        <v>3.0</v>
      </c>
      <c r="U740" s="52">
        <v>30523.0</v>
      </c>
      <c r="V740" s="11">
        <v>6.0</v>
      </c>
      <c r="W740" s="11">
        <v>9.0</v>
      </c>
      <c r="X740" s="48">
        <v>9.589</v>
      </c>
      <c r="Y740" s="11">
        <f t="shared" si="2"/>
        <v>0.09589</v>
      </c>
    </row>
    <row r="741">
      <c r="A741" s="17">
        <v>59.0</v>
      </c>
      <c r="B741" s="24">
        <v>14.0</v>
      </c>
      <c r="C741" s="24">
        <v>8.0</v>
      </c>
      <c r="D741" s="24">
        <v>4.0</v>
      </c>
      <c r="E741" s="24">
        <v>66.0</v>
      </c>
      <c r="F741" s="48">
        <v>3.4804</v>
      </c>
      <c r="G741" s="49">
        <f t="shared" si="1"/>
        <v>0.034804</v>
      </c>
      <c r="H741" s="11">
        <v>5.0</v>
      </c>
      <c r="I741" s="11">
        <v>1.0</v>
      </c>
      <c r="J741" s="50">
        <v>61321.0</v>
      </c>
      <c r="K741" s="11">
        <v>0.0</v>
      </c>
      <c r="L741" s="11">
        <v>0.0</v>
      </c>
      <c r="M741" s="51">
        <v>506.0</v>
      </c>
      <c r="N741" s="17">
        <v>48.0</v>
      </c>
      <c r="O741" s="24" t="s">
        <v>31</v>
      </c>
      <c r="P741" s="52">
        <v>120314.0</v>
      </c>
      <c r="Q741" s="51">
        <v>205.0</v>
      </c>
      <c r="R741" s="53">
        <v>-57335.92</v>
      </c>
      <c r="S741" s="24" t="s">
        <v>604</v>
      </c>
      <c r="T741" s="11">
        <v>4.0</v>
      </c>
      <c r="U741" s="52">
        <v>81214.0</v>
      </c>
      <c r="V741" s="11">
        <v>0.0</v>
      </c>
      <c r="W741" s="11">
        <v>7.0</v>
      </c>
      <c r="X741" s="48">
        <v>7.3341</v>
      </c>
      <c r="Y741" s="11">
        <f t="shared" si="2"/>
        <v>0.073341</v>
      </c>
    </row>
    <row r="742">
      <c r="A742" s="17">
        <v>87.0</v>
      </c>
      <c r="B742" s="24">
        <v>55.0</v>
      </c>
      <c r="C742" s="24">
        <v>8.0</v>
      </c>
      <c r="D742" s="24">
        <v>1.0</v>
      </c>
      <c r="E742" s="24">
        <v>63.0</v>
      </c>
      <c r="F742" s="48">
        <v>4.9163</v>
      </c>
      <c r="G742" s="49">
        <f t="shared" si="1"/>
        <v>0.049163</v>
      </c>
      <c r="H742" s="11">
        <v>6.0</v>
      </c>
      <c r="I742" s="11">
        <v>7.0</v>
      </c>
      <c r="J742" s="50">
        <v>82417.0</v>
      </c>
      <c r="K742" s="11">
        <v>3.0</v>
      </c>
      <c r="L742" s="11">
        <v>7.0</v>
      </c>
      <c r="M742" s="51">
        <v>464.0</v>
      </c>
      <c r="N742" s="17">
        <v>71.0</v>
      </c>
      <c r="O742" s="24" t="s">
        <v>31</v>
      </c>
      <c r="P742" s="52">
        <v>20615.0</v>
      </c>
      <c r="Q742" s="51">
        <v>392.0</v>
      </c>
      <c r="R742" s="53">
        <v>-7846.62</v>
      </c>
      <c r="S742" s="24" t="s">
        <v>602</v>
      </c>
      <c r="T742" s="11">
        <v>4.0</v>
      </c>
      <c r="U742" s="52">
        <v>91620.0</v>
      </c>
      <c r="V742" s="11">
        <v>1.0</v>
      </c>
      <c r="W742" s="11">
        <v>1.0</v>
      </c>
      <c r="X742" s="48">
        <v>7.7457</v>
      </c>
      <c r="Y742" s="11">
        <f t="shared" si="2"/>
        <v>0.077457</v>
      </c>
    </row>
    <row r="743">
      <c r="A743" s="17">
        <v>77.0</v>
      </c>
      <c r="B743" s="24">
        <v>76.0</v>
      </c>
      <c r="C743" s="24">
        <v>3.0</v>
      </c>
      <c r="D743" s="24">
        <v>2.0</v>
      </c>
      <c r="E743" s="24">
        <v>62.0</v>
      </c>
      <c r="F743" s="48">
        <v>1.5786</v>
      </c>
      <c r="G743" s="49">
        <f t="shared" si="1"/>
        <v>0.015786</v>
      </c>
      <c r="H743" s="11">
        <v>1.0</v>
      </c>
      <c r="I743" s="11">
        <v>2.0</v>
      </c>
      <c r="J743" s="50">
        <v>60418.0</v>
      </c>
      <c r="K743" s="11">
        <v>1.0</v>
      </c>
      <c r="L743" s="11">
        <v>1.0</v>
      </c>
      <c r="M743" s="51">
        <v>910.0</v>
      </c>
      <c r="N743" s="17">
        <v>95.0</v>
      </c>
      <c r="O743" s="24" t="s">
        <v>603</v>
      </c>
      <c r="P743" s="52">
        <v>41718.0</v>
      </c>
      <c r="Q743" s="51">
        <v>832.0</v>
      </c>
      <c r="R743" s="53">
        <v>-139411.81</v>
      </c>
      <c r="S743" s="24" t="s">
        <v>605</v>
      </c>
      <c r="T743" s="11">
        <v>2.0</v>
      </c>
      <c r="U743" s="52">
        <v>100415.0</v>
      </c>
      <c r="V743" s="11">
        <v>9.0</v>
      </c>
      <c r="W743" s="11">
        <v>4.0</v>
      </c>
      <c r="X743" s="48">
        <v>9.4068</v>
      </c>
      <c r="Y743" s="11">
        <f t="shared" si="2"/>
        <v>0.094068</v>
      </c>
    </row>
    <row r="744">
      <c r="A744" s="17">
        <v>86.0</v>
      </c>
      <c r="B744" s="24">
        <v>35.0</v>
      </c>
      <c r="C744" s="24">
        <v>3.0</v>
      </c>
      <c r="D744" s="24">
        <v>7.0</v>
      </c>
      <c r="E744" s="24">
        <v>63.0</v>
      </c>
      <c r="F744" s="48">
        <v>1.772</v>
      </c>
      <c r="G744" s="49">
        <f t="shared" si="1"/>
        <v>0.01772</v>
      </c>
      <c r="H744" s="11">
        <v>3.0</v>
      </c>
      <c r="I744" s="11">
        <v>3.0</v>
      </c>
      <c r="J744" s="50">
        <v>12716.0</v>
      </c>
      <c r="K744" s="11">
        <v>6.0</v>
      </c>
      <c r="L744" s="11">
        <v>3.0</v>
      </c>
      <c r="M744" s="51">
        <v>66.0</v>
      </c>
      <c r="N744" s="17">
        <v>0.0</v>
      </c>
      <c r="O744" s="24" t="s">
        <v>600</v>
      </c>
      <c r="P744" s="52">
        <v>90817.0</v>
      </c>
      <c r="Q744" s="51">
        <v>986.0</v>
      </c>
      <c r="R744" s="53">
        <v>-54287.9</v>
      </c>
      <c r="S744" s="24" t="s">
        <v>604</v>
      </c>
      <c r="T744" s="11">
        <v>0.0</v>
      </c>
      <c r="U744" s="52">
        <v>61122.0</v>
      </c>
      <c r="V744" s="11">
        <v>2.0</v>
      </c>
      <c r="W744" s="11">
        <v>4.0</v>
      </c>
      <c r="X744" s="48">
        <v>5.6399</v>
      </c>
      <c r="Y744" s="11">
        <f t="shared" si="2"/>
        <v>0.056399</v>
      </c>
    </row>
    <row r="745">
      <c r="A745" s="17">
        <v>89.0</v>
      </c>
      <c r="B745" s="24">
        <v>76.0</v>
      </c>
      <c r="C745" s="24">
        <v>3.0</v>
      </c>
      <c r="D745" s="24">
        <v>8.0</v>
      </c>
      <c r="E745" s="24">
        <v>65.0</v>
      </c>
      <c r="F745" s="48">
        <v>6.4053</v>
      </c>
      <c r="G745" s="49">
        <f t="shared" si="1"/>
        <v>0.064053</v>
      </c>
      <c r="H745" s="11">
        <v>8.0</v>
      </c>
      <c r="I745" s="11">
        <v>7.0</v>
      </c>
      <c r="J745" s="50">
        <v>41915.0</v>
      </c>
      <c r="K745" s="11">
        <v>0.0</v>
      </c>
      <c r="L745" s="11">
        <v>4.0</v>
      </c>
      <c r="M745" s="51">
        <v>81.0</v>
      </c>
      <c r="N745" s="17">
        <v>57.0</v>
      </c>
      <c r="O745" s="24" t="s">
        <v>600</v>
      </c>
      <c r="P745" s="52">
        <v>91221.0</v>
      </c>
      <c r="Q745" s="51">
        <v>366.0</v>
      </c>
      <c r="R745" s="53">
        <v>-6645.73</v>
      </c>
      <c r="S745" s="24" t="s">
        <v>604</v>
      </c>
      <c r="T745" s="11">
        <v>8.0</v>
      </c>
      <c r="U745" s="52">
        <v>30322.0</v>
      </c>
      <c r="V745" s="11">
        <v>7.0</v>
      </c>
      <c r="W745" s="11">
        <v>9.0</v>
      </c>
      <c r="X745" s="48">
        <v>6.6349</v>
      </c>
      <c r="Y745" s="11">
        <f t="shared" si="2"/>
        <v>0.066349</v>
      </c>
    </row>
    <row r="746">
      <c r="A746" s="17">
        <v>75.0</v>
      </c>
      <c r="B746" s="24">
        <v>35.0</v>
      </c>
      <c r="C746" s="24">
        <v>4.0</v>
      </c>
      <c r="D746" s="24">
        <v>3.0</v>
      </c>
      <c r="E746" s="24">
        <v>68.0</v>
      </c>
      <c r="F746" s="48">
        <v>8.2855</v>
      </c>
      <c r="G746" s="49">
        <f t="shared" si="1"/>
        <v>0.082855</v>
      </c>
      <c r="H746" s="11">
        <v>5.0</v>
      </c>
      <c r="I746" s="11">
        <v>4.0</v>
      </c>
      <c r="J746" s="50">
        <v>101213.0</v>
      </c>
      <c r="K746" s="11">
        <v>1.0</v>
      </c>
      <c r="L746" s="11">
        <v>8.0</v>
      </c>
      <c r="M746" s="51">
        <v>467.0</v>
      </c>
      <c r="N746" s="17">
        <v>23.0</v>
      </c>
      <c r="O746" s="24" t="s">
        <v>31</v>
      </c>
      <c r="P746" s="52">
        <v>61720.0</v>
      </c>
      <c r="Q746" s="51">
        <v>307.0</v>
      </c>
      <c r="R746" s="53">
        <v>-260.62</v>
      </c>
      <c r="S746" s="24" t="s">
        <v>605</v>
      </c>
      <c r="T746" s="11">
        <v>1.0</v>
      </c>
      <c r="U746" s="52">
        <v>123113.0</v>
      </c>
      <c r="V746" s="11">
        <v>3.0</v>
      </c>
      <c r="W746" s="11">
        <v>7.0</v>
      </c>
      <c r="X746" s="48">
        <v>5.2569</v>
      </c>
      <c r="Y746" s="11">
        <f t="shared" si="2"/>
        <v>0.052569</v>
      </c>
    </row>
    <row r="747">
      <c r="A747" s="17">
        <v>26.0</v>
      </c>
      <c r="B747" s="24">
        <v>55.0</v>
      </c>
      <c r="C747" s="24">
        <v>9.0</v>
      </c>
      <c r="D747" s="24">
        <v>3.0</v>
      </c>
      <c r="E747" s="24">
        <v>64.0</v>
      </c>
      <c r="F747" s="48">
        <v>3.846</v>
      </c>
      <c r="G747" s="49">
        <f t="shared" si="1"/>
        <v>0.03846</v>
      </c>
      <c r="H747" s="11">
        <v>1.0</v>
      </c>
      <c r="I747" s="11">
        <v>2.0</v>
      </c>
      <c r="J747" s="50">
        <v>103118.0</v>
      </c>
      <c r="K747" s="11">
        <v>4.0</v>
      </c>
      <c r="L747" s="11">
        <v>6.0</v>
      </c>
      <c r="M747" s="51">
        <v>80.0</v>
      </c>
      <c r="N747" s="17">
        <v>87.0</v>
      </c>
      <c r="O747" s="24" t="s">
        <v>31</v>
      </c>
      <c r="P747" s="52">
        <v>112523.0</v>
      </c>
      <c r="Q747" s="51">
        <v>694.0</v>
      </c>
      <c r="R747" s="53">
        <v>-76377.61</v>
      </c>
      <c r="S747" s="24" t="s">
        <v>602</v>
      </c>
      <c r="T747" s="11">
        <v>8.0</v>
      </c>
      <c r="U747" s="52">
        <v>60415.0</v>
      </c>
      <c r="V747" s="11">
        <v>4.0</v>
      </c>
      <c r="W747" s="11">
        <v>0.0</v>
      </c>
      <c r="X747" s="48">
        <v>2.596</v>
      </c>
      <c r="Y747" s="11">
        <f t="shared" si="2"/>
        <v>0.02596</v>
      </c>
    </row>
    <row r="748">
      <c r="A748" s="17">
        <v>74.0</v>
      </c>
      <c r="B748" s="24">
        <v>76.0</v>
      </c>
      <c r="C748" s="24">
        <v>4.0</v>
      </c>
      <c r="D748" s="24">
        <v>1.0</v>
      </c>
      <c r="E748" s="24">
        <v>60.0</v>
      </c>
      <c r="F748" s="48">
        <v>4.688</v>
      </c>
      <c r="G748" s="49">
        <f t="shared" si="1"/>
        <v>0.04688</v>
      </c>
      <c r="H748" s="11">
        <v>6.0</v>
      </c>
      <c r="I748" s="11">
        <v>1.0</v>
      </c>
      <c r="J748" s="50">
        <v>40916.0</v>
      </c>
      <c r="K748" s="11">
        <v>2.0</v>
      </c>
      <c r="L748" s="11">
        <v>8.0</v>
      </c>
      <c r="M748" s="51">
        <v>460.0</v>
      </c>
      <c r="N748" s="17">
        <v>1.0</v>
      </c>
      <c r="O748" s="24" t="s">
        <v>31</v>
      </c>
      <c r="P748" s="52">
        <v>102317.0</v>
      </c>
      <c r="Q748" s="51">
        <v>658.0</v>
      </c>
      <c r="R748" s="53">
        <v>346044.41</v>
      </c>
      <c r="S748" s="24" t="s">
        <v>600</v>
      </c>
      <c r="T748" s="11">
        <v>8.0</v>
      </c>
      <c r="U748" s="52">
        <v>32822.0</v>
      </c>
      <c r="V748" s="11">
        <v>5.0</v>
      </c>
      <c r="W748" s="11">
        <v>3.0</v>
      </c>
      <c r="X748" s="48">
        <v>4.5497</v>
      </c>
      <c r="Y748" s="11">
        <f t="shared" si="2"/>
        <v>0.045497</v>
      </c>
    </row>
    <row r="749">
      <c r="A749" s="17">
        <v>28.0</v>
      </c>
      <c r="B749" s="24">
        <v>14.0</v>
      </c>
      <c r="C749" s="24">
        <v>9.0</v>
      </c>
      <c r="D749" s="24">
        <v>8.0</v>
      </c>
      <c r="E749" s="24">
        <v>60.0</v>
      </c>
      <c r="F749" s="48">
        <v>7.6994</v>
      </c>
      <c r="G749" s="49">
        <f t="shared" si="1"/>
        <v>0.076994</v>
      </c>
      <c r="H749" s="11">
        <v>7.0</v>
      </c>
      <c r="I749" s="11">
        <v>9.0</v>
      </c>
      <c r="J749" s="50">
        <v>91913.0</v>
      </c>
      <c r="K749" s="11">
        <v>5.0</v>
      </c>
      <c r="L749" s="11">
        <v>7.0</v>
      </c>
      <c r="M749" s="51">
        <v>138.0</v>
      </c>
      <c r="N749" s="17">
        <v>92.0</v>
      </c>
      <c r="O749" s="24" t="s">
        <v>31</v>
      </c>
      <c r="P749" s="52">
        <v>30717.0</v>
      </c>
      <c r="Q749" s="51">
        <v>998.0</v>
      </c>
      <c r="R749" s="53">
        <v>-902732.62</v>
      </c>
      <c r="S749" s="24" t="s">
        <v>602</v>
      </c>
      <c r="T749" s="11">
        <v>9.0</v>
      </c>
      <c r="U749" s="52">
        <v>81620.0</v>
      </c>
      <c r="V749" s="11">
        <v>7.0</v>
      </c>
      <c r="W749" s="11">
        <v>2.0</v>
      </c>
      <c r="X749" s="48">
        <v>4.9124</v>
      </c>
      <c r="Y749" s="11">
        <f t="shared" si="2"/>
        <v>0.049124</v>
      </c>
    </row>
    <row r="750">
      <c r="A750" s="17">
        <v>42.0</v>
      </c>
      <c r="B750" s="24">
        <v>14.0</v>
      </c>
      <c r="C750" s="24">
        <v>9.0</v>
      </c>
      <c r="D750" s="24">
        <v>9.0</v>
      </c>
      <c r="E750" s="24">
        <v>60.0</v>
      </c>
      <c r="F750" s="48">
        <v>7.9677</v>
      </c>
      <c r="G750" s="49">
        <f t="shared" si="1"/>
        <v>0.079677</v>
      </c>
      <c r="H750" s="11">
        <v>9.0</v>
      </c>
      <c r="I750" s="11">
        <v>4.0</v>
      </c>
      <c r="J750" s="50">
        <v>31618.0</v>
      </c>
      <c r="K750" s="11">
        <v>8.0</v>
      </c>
      <c r="L750" s="11">
        <v>3.0</v>
      </c>
      <c r="M750" s="51">
        <v>898.0</v>
      </c>
      <c r="N750" s="17">
        <v>98.0</v>
      </c>
      <c r="O750" s="24" t="s">
        <v>606</v>
      </c>
      <c r="P750" s="52">
        <v>112813.0</v>
      </c>
      <c r="Q750" s="51">
        <v>23.0</v>
      </c>
      <c r="R750" s="53">
        <v>-7472.47</v>
      </c>
      <c r="S750" s="24" t="s">
        <v>600</v>
      </c>
      <c r="T750" s="11">
        <v>5.0</v>
      </c>
      <c r="U750" s="52">
        <v>101614.0</v>
      </c>
      <c r="V750" s="11">
        <v>7.0</v>
      </c>
      <c r="W750" s="11">
        <v>6.0</v>
      </c>
      <c r="X750" s="48">
        <v>3.2469</v>
      </c>
      <c r="Y750" s="11">
        <f t="shared" si="2"/>
        <v>0.032469</v>
      </c>
    </row>
    <row r="751">
      <c r="A751" s="17">
        <v>90.0</v>
      </c>
      <c r="B751" s="24">
        <v>55.0</v>
      </c>
      <c r="C751" s="24">
        <v>9.0</v>
      </c>
      <c r="D751" s="24">
        <v>9.0</v>
      </c>
      <c r="E751" s="24">
        <v>65.0</v>
      </c>
      <c r="F751" s="48">
        <v>1.2105</v>
      </c>
      <c r="G751" s="49">
        <f t="shared" si="1"/>
        <v>0.012105</v>
      </c>
      <c r="H751" s="11">
        <v>0.0</v>
      </c>
      <c r="I751" s="11">
        <v>8.0</v>
      </c>
      <c r="J751" s="50">
        <v>112517.0</v>
      </c>
      <c r="K751" s="11">
        <v>4.0</v>
      </c>
      <c r="L751" s="11">
        <v>3.0</v>
      </c>
      <c r="M751" s="51">
        <v>832.0</v>
      </c>
      <c r="N751" s="17">
        <v>21.0</v>
      </c>
      <c r="O751" s="24" t="s">
        <v>31</v>
      </c>
      <c r="P751" s="52">
        <v>30523.0</v>
      </c>
      <c r="Q751" s="51">
        <v>590.0</v>
      </c>
      <c r="R751" s="53">
        <v>290.4</v>
      </c>
      <c r="S751" s="24" t="s">
        <v>605</v>
      </c>
      <c r="T751" s="11">
        <v>0.0</v>
      </c>
      <c r="U751" s="52">
        <v>20218.0</v>
      </c>
      <c r="V751" s="11">
        <v>7.0</v>
      </c>
      <c r="W751" s="11">
        <v>9.0</v>
      </c>
      <c r="X751" s="48">
        <v>5.2119</v>
      </c>
      <c r="Y751" s="11">
        <f t="shared" si="2"/>
        <v>0.052119</v>
      </c>
    </row>
    <row r="752">
      <c r="A752" s="17">
        <v>39.0</v>
      </c>
      <c r="B752" s="24">
        <v>76.0</v>
      </c>
      <c r="C752" s="24">
        <v>4.0</v>
      </c>
      <c r="D752" s="24">
        <v>8.0</v>
      </c>
      <c r="E752" s="24">
        <v>68.0</v>
      </c>
      <c r="F752" s="48">
        <v>4.9</v>
      </c>
      <c r="G752" s="49">
        <f t="shared" si="1"/>
        <v>0.049</v>
      </c>
      <c r="H752" s="11">
        <v>5.0</v>
      </c>
      <c r="I752" s="11">
        <v>7.0</v>
      </c>
      <c r="J752" s="50">
        <v>13023.0</v>
      </c>
      <c r="K752" s="11">
        <v>0.0</v>
      </c>
      <c r="L752" s="11">
        <v>0.0</v>
      </c>
      <c r="M752" s="51">
        <v>964.0</v>
      </c>
      <c r="N752" s="17">
        <v>75.0</v>
      </c>
      <c r="O752" s="24" t="s">
        <v>606</v>
      </c>
      <c r="P752" s="52">
        <v>31220.0</v>
      </c>
      <c r="Q752" s="51">
        <v>22.0</v>
      </c>
      <c r="R752" s="53">
        <v>-592225.88</v>
      </c>
      <c r="S752" s="24" t="s">
        <v>600</v>
      </c>
      <c r="T752" s="11">
        <v>4.0</v>
      </c>
      <c r="U752" s="52">
        <v>102823.0</v>
      </c>
      <c r="V752" s="11">
        <v>7.0</v>
      </c>
      <c r="W752" s="11">
        <v>9.0</v>
      </c>
      <c r="X752" s="48">
        <v>8.323</v>
      </c>
      <c r="Y752" s="11">
        <f t="shared" si="2"/>
        <v>0.08323</v>
      </c>
    </row>
    <row r="753">
      <c r="A753" s="17">
        <v>88.0</v>
      </c>
      <c r="B753" s="24">
        <v>96.0</v>
      </c>
      <c r="C753" s="24">
        <v>9.0</v>
      </c>
      <c r="D753" s="24">
        <v>8.0</v>
      </c>
      <c r="E753" s="24">
        <v>60.0</v>
      </c>
      <c r="F753" s="48">
        <v>1.3173</v>
      </c>
      <c r="G753" s="49">
        <f t="shared" si="1"/>
        <v>0.013173</v>
      </c>
      <c r="H753" s="11">
        <v>9.0</v>
      </c>
      <c r="I753" s="11">
        <v>5.0</v>
      </c>
      <c r="J753" s="50">
        <v>11422.0</v>
      </c>
      <c r="K753" s="11">
        <v>9.0</v>
      </c>
      <c r="L753" s="11">
        <v>7.0</v>
      </c>
      <c r="M753" s="51">
        <v>670.0</v>
      </c>
      <c r="N753" s="17">
        <v>16.0</v>
      </c>
      <c r="O753" s="24" t="s">
        <v>48</v>
      </c>
      <c r="P753" s="52">
        <v>62421.0</v>
      </c>
      <c r="Q753" s="51">
        <v>859.0</v>
      </c>
      <c r="R753" s="53">
        <v>-737.88</v>
      </c>
      <c r="S753" s="24" t="s">
        <v>600</v>
      </c>
      <c r="T753" s="11">
        <v>5.0</v>
      </c>
      <c r="U753" s="52">
        <v>111323.0</v>
      </c>
      <c r="V753" s="11">
        <v>3.0</v>
      </c>
      <c r="W753" s="11">
        <v>9.0</v>
      </c>
      <c r="X753" s="48">
        <v>3.3352</v>
      </c>
      <c r="Y753" s="11">
        <f t="shared" si="2"/>
        <v>0.033352</v>
      </c>
    </row>
    <row r="754">
      <c r="A754" s="17">
        <v>68.0</v>
      </c>
      <c r="B754" s="24">
        <v>76.0</v>
      </c>
      <c r="C754" s="24">
        <v>5.0</v>
      </c>
      <c r="D754" s="24">
        <v>1.0</v>
      </c>
      <c r="E754" s="24">
        <v>63.0</v>
      </c>
      <c r="F754" s="48">
        <v>8.808</v>
      </c>
      <c r="G754" s="49">
        <f t="shared" si="1"/>
        <v>0.08808</v>
      </c>
      <c r="H754" s="11">
        <v>6.0</v>
      </c>
      <c r="I754" s="11">
        <v>3.0</v>
      </c>
      <c r="J754" s="50">
        <v>52523.0</v>
      </c>
      <c r="K754" s="11">
        <v>5.0</v>
      </c>
      <c r="L754" s="11">
        <v>6.0</v>
      </c>
      <c r="M754" s="51">
        <v>447.0</v>
      </c>
      <c r="N754" s="17">
        <v>85.0</v>
      </c>
      <c r="O754" s="24" t="s">
        <v>601</v>
      </c>
      <c r="P754" s="52">
        <v>41020.0</v>
      </c>
      <c r="Q754" s="51">
        <v>399.0</v>
      </c>
      <c r="R754" s="53">
        <v>-102.95</v>
      </c>
      <c r="S754" s="24" t="s">
        <v>604</v>
      </c>
      <c r="T754" s="11">
        <v>4.0</v>
      </c>
      <c r="U754" s="52">
        <v>51519.0</v>
      </c>
      <c r="V754" s="11">
        <v>4.0</v>
      </c>
      <c r="W754" s="11">
        <v>1.0</v>
      </c>
      <c r="X754" s="48">
        <v>6.92</v>
      </c>
      <c r="Y754" s="11">
        <f t="shared" si="2"/>
        <v>0.0692</v>
      </c>
    </row>
    <row r="755">
      <c r="A755" s="17">
        <v>73.0</v>
      </c>
      <c r="B755" s="24">
        <v>76.0</v>
      </c>
      <c r="C755" s="24">
        <v>5.0</v>
      </c>
      <c r="D755" s="24">
        <v>2.0</v>
      </c>
      <c r="E755" s="24">
        <v>62.0</v>
      </c>
      <c r="F755" s="48">
        <v>2.8456</v>
      </c>
      <c r="G755" s="49">
        <f t="shared" si="1"/>
        <v>0.028456</v>
      </c>
      <c r="H755" s="11">
        <v>5.0</v>
      </c>
      <c r="I755" s="11">
        <v>7.0</v>
      </c>
      <c r="J755" s="50">
        <v>100719.0</v>
      </c>
      <c r="K755" s="11">
        <v>8.0</v>
      </c>
      <c r="L755" s="11">
        <v>1.0</v>
      </c>
      <c r="M755" s="51">
        <v>556.0</v>
      </c>
      <c r="N755" s="17">
        <v>98.0</v>
      </c>
      <c r="O755" s="24" t="s">
        <v>600</v>
      </c>
      <c r="P755" s="52">
        <v>42022.0</v>
      </c>
      <c r="Q755" s="51">
        <v>903.0</v>
      </c>
      <c r="R755" s="53">
        <v>561925.81</v>
      </c>
      <c r="S755" s="24" t="s">
        <v>605</v>
      </c>
      <c r="T755" s="11">
        <v>1.0</v>
      </c>
      <c r="U755" s="52">
        <v>30419.0</v>
      </c>
      <c r="V755" s="11">
        <v>1.0</v>
      </c>
      <c r="W755" s="11">
        <v>8.0</v>
      </c>
      <c r="X755" s="48">
        <v>5.9297</v>
      </c>
      <c r="Y755" s="11">
        <f t="shared" si="2"/>
        <v>0.059297</v>
      </c>
    </row>
    <row r="756">
      <c r="A756" s="17">
        <v>22.0</v>
      </c>
      <c r="B756" s="24">
        <v>76.0</v>
      </c>
      <c r="C756" s="24">
        <v>5.0</v>
      </c>
      <c r="D756" s="24">
        <v>4.0</v>
      </c>
      <c r="E756" s="24">
        <v>63.0</v>
      </c>
      <c r="F756" s="48">
        <v>5.959</v>
      </c>
      <c r="G756" s="49">
        <f t="shared" si="1"/>
        <v>0.05959</v>
      </c>
      <c r="H756" s="11">
        <v>4.0</v>
      </c>
      <c r="I756" s="11">
        <v>6.0</v>
      </c>
      <c r="J756" s="50">
        <v>111913.0</v>
      </c>
      <c r="K756" s="11">
        <v>1.0</v>
      </c>
      <c r="L756" s="11">
        <v>5.0</v>
      </c>
      <c r="M756" s="51">
        <v>687.0</v>
      </c>
      <c r="N756" s="17">
        <v>89.0</v>
      </c>
      <c r="O756" s="24" t="s">
        <v>31</v>
      </c>
      <c r="P756" s="52">
        <v>71517.0</v>
      </c>
      <c r="Q756" s="51">
        <v>596.0</v>
      </c>
      <c r="R756" s="53">
        <v>92734.23</v>
      </c>
      <c r="S756" s="24" t="s">
        <v>605</v>
      </c>
      <c r="T756" s="11">
        <v>2.0</v>
      </c>
      <c r="U756" s="52">
        <v>62313.0</v>
      </c>
      <c r="V756" s="11">
        <v>6.0</v>
      </c>
      <c r="W756" s="11">
        <v>9.0</v>
      </c>
      <c r="X756" s="48">
        <v>6.1988</v>
      </c>
      <c r="Y756" s="11">
        <f t="shared" si="2"/>
        <v>0.061988</v>
      </c>
    </row>
    <row r="757">
      <c r="A757" s="17">
        <v>25.0</v>
      </c>
      <c r="B757" s="24">
        <v>35.0</v>
      </c>
      <c r="C757" s="24">
        <v>5.0</v>
      </c>
      <c r="D757" s="24">
        <v>8.0</v>
      </c>
      <c r="E757" s="24">
        <v>63.0</v>
      </c>
      <c r="F757" s="48">
        <v>8.4188</v>
      </c>
      <c r="G757" s="49">
        <f t="shared" si="1"/>
        <v>0.084188</v>
      </c>
      <c r="H757" s="11">
        <v>3.0</v>
      </c>
      <c r="I757" s="11">
        <v>8.0</v>
      </c>
      <c r="J757" s="50">
        <v>101813.0</v>
      </c>
      <c r="K757" s="11">
        <v>3.0</v>
      </c>
      <c r="L757" s="11">
        <v>6.0</v>
      </c>
      <c r="M757" s="51">
        <v>123.0</v>
      </c>
      <c r="N757" s="17">
        <v>6.0</v>
      </c>
      <c r="O757" s="24" t="s">
        <v>606</v>
      </c>
      <c r="P757" s="52">
        <v>12714.0</v>
      </c>
      <c r="Q757" s="51">
        <v>31.0</v>
      </c>
      <c r="R757" s="53">
        <v>3099.3</v>
      </c>
      <c r="S757" s="24" t="s">
        <v>600</v>
      </c>
      <c r="T757" s="11">
        <v>0.0</v>
      </c>
      <c r="U757" s="52">
        <v>102020.0</v>
      </c>
      <c r="V757" s="11">
        <v>8.0</v>
      </c>
      <c r="W757" s="11">
        <v>0.0</v>
      </c>
      <c r="X757" s="48">
        <v>7.1727</v>
      </c>
      <c r="Y757" s="11">
        <f t="shared" si="2"/>
        <v>0.071727</v>
      </c>
    </row>
    <row r="758">
      <c r="A758" s="17">
        <v>35.0</v>
      </c>
      <c r="B758" s="24">
        <v>15.0</v>
      </c>
      <c r="C758" s="24">
        <v>1.0</v>
      </c>
      <c r="D758" s="24">
        <v>4.0</v>
      </c>
      <c r="E758" s="24">
        <v>60.0</v>
      </c>
      <c r="F758" s="48">
        <v>1.485</v>
      </c>
      <c r="G758" s="49">
        <f t="shared" si="1"/>
        <v>0.01485</v>
      </c>
      <c r="H758" s="11">
        <v>7.0</v>
      </c>
      <c r="I758" s="11">
        <v>6.0</v>
      </c>
      <c r="J758" s="50">
        <v>92214.0</v>
      </c>
      <c r="K758" s="11">
        <v>8.0</v>
      </c>
      <c r="L758" s="11">
        <v>0.0</v>
      </c>
      <c r="M758" s="51">
        <v>195.0</v>
      </c>
      <c r="N758" s="17">
        <v>35.0</v>
      </c>
      <c r="O758" s="24" t="s">
        <v>48</v>
      </c>
      <c r="P758" s="52">
        <v>122421.0</v>
      </c>
      <c r="Q758" s="51">
        <v>853.0</v>
      </c>
      <c r="R758" s="53">
        <v>-2679.21</v>
      </c>
      <c r="S758" s="24" t="s">
        <v>602</v>
      </c>
      <c r="T758" s="11">
        <v>3.0</v>
      </c>
      <c r="U758" s="52">
        <v>80123.0</v>
      </c>
      <c r="V758" s="11">
        <v>4.0</v>
      </c>
      <c r="W758" s="11">
        <v>6.0</v>
      </c>
      <c r="X758" s="48">
        <v>5.937</v>
      </c>
      <c r="Y758" s="11">
        <f t="shared" si="2"/>
        <v>0.05937</v>
      </c>
    </row>
    <row r="759">
      <c r="A759" s="17">
        <v>57.0</v>
      </c>
      <c r="B759" s="24">
        <v>56.0</v>
      </c>
      <c r="C759" s="24">
        <v>1.0</v>
      </c>
      <c r="D759" s="24">
        <v>2.0</v>
      </c>
      <c r="E759" s="24">
        <v>66.0</v>
      </c>
      <c r="F759" s="48">
        <v>7.5029</v>
      </c>
      <c r="G759" s="49">
        <f t="shared" si="1"/>
        <v>0.075029</v>
      </c>
      <c r="H759" s="11">
        <v>8.0</v>
      </c>
      <c r="I759" s="11">
        <v>6.0</v>
      </c>
      <c r="J759" s="50">
        <v>60116.0</v>
      </c>
      <c r="K759" s="11">
        <v>0.0</v>
      </c>
      <c r="L759" s="11">
        <v>3.0</v>
      </c>
      <c r="M759" s="51">
        <v>472.0</v>
      </c>
      <c r="N759" s="17">
        <v>4.0</v>
      </c>
      <c r="O759" s="24" t="s">
        <v>600</v>
      </c>
      <c r="P759" s="52">
        <v>70917.0</v>
      </c>
      <c r="Q759" s="51">
        <v>647.0</v>
      </c>
      <c r="R759" s="53">
        <v>-882.1</v>
      </c>
      <c r="S759" s="24" t="s">
        <v>602</v>
      </c>
      <c r="T759" s="11">
        <v>6.0</v>
      </c>
      <c r="U759" s="52">
        <v>62419.0</v>
      </c>
      <c r="V759" s="11">
        <v>8.0</v>
      </c>
      <c r="W759" s="11">
        <v>6.0</v>
      </c>
      <c r="X759" s="48">
        <v>4.531</v>
      </c>
      <c r="Y759" s="11">
        <f t="shared" si="2"/>
        <v>0.04531</v>
      </c>
    </row>
    <row r="760">
      <c r="A760" s="17">
        <v>25.0</v>
      </c>
      <c r="B760" s="24">
        <v>76.0</v>
      </c>
      <c r="C760" s="24">
        <v>6.0</v>
      </c>
      <c r="D760" s="24">
        <v>2.0</v>
      </c>
      <c r="E760" s="24">
        <v>64.0</v>
      </c>
      <c r="F760" s="48">
        <v>4.2965</v>
      </c>
      <c r="G760" s="49">
        <f t="shared" si="1"/>
        <v>0.042965</v>
      </c>
      <c r="H760" s="11">
        <v>1.0</v>
      </c>
      <c r="I760" s="11">
        <v>4.0</v>
      </c>
      <c r="J760" s="50">
        <v>51415.0</v>
      </c>
      <c r="K760" s="11">
        <v>6.0</v>
      </c>
      <c r="L760" s="11">
        <v>5.0</v>
      </c>
      <c r="M760" s="51">
        <v>691.0</v>
      </c>
      <c r="N760" s="17">
        <v>83.0</v>
      </c>
      <c r="O760" s="24" t="s">
        <v>31</v>
      </c>
      <c r="P760" s="52">
        <v>52618.0</v>
      </c>
      <c r="Q760" s="51">
        <v>612.0</v>
      </c>
      <c r="R760" s="53">
        <v>407.2</v>
      </c>
      <c r="S760" s="24" t="s">
        <v>604</v>
      </c>
      <c r="T760" s="11">
        <v>7.0</v>
      </c>
      <c r="U760" s="52">
        <v>42022.0</v>
      </c>
      <c r="V760" s="11">
        <v>8.0</v>
      </c>
      <c r="W760" s="11">
        <v>5.0</v>
      </c>
      <c r="X760" s="48">
        <v>9.4206</v>
      </c>
      <c r="Y760" s="11">
        <f t="shared" si="2"/>
        <v>0.094206</v>
      </c>
    </row>
    <row r="761">
      <c r="A761" s="17">
        <v>90.0</v>
      </c>
      <c r="B761" s="24">
        <v>35.0</v>
      </c>
      <c r="C761" s="24">
        <v>6.0</v>
      </c>
      <c r="D761" s="24">
        <v>6.0</v>
      </c>
      <c r="E761" s="24">
        <v>68.0</v>
      </c>
      <c r="F761" s="48">
        <v>6.3134</v>
      </c>
      <c r="G761" s="49">
        <f t="shared" si="1"/>
        <v>0.063134</v>
      </c>
      <c r="H761" s="11">
        <v>6.0</v>
      </c>
      <c r="I761" s="11">
        <v>1.0</v>
      </c>
      <c r="J761" s="50">
        <v>102922.0</v>
      </c>
      <c r="K761" s="11">
        <v>8.0</v>
      </c>
      <c r="L761" s="11">
        <v>9.0</v>
      </c>
      <c r="M761" s="51">
        <v>173.0</v>
      </c>
      <c r="N761" s="17">
        <v>20.0</v>
      </c>
      <c r="O761" s="24" t="s">
        <v>601</v>
      </c>
      <c r="P761" s="52">
        <v>31416.0</v>
      </c>
      <c r="Q761" s="51">
        <v>547.0</v>
      </c>
      <c r="R761" s="53">
        <v>-530177.75</v>
      </c>
      <c r="S761" s="24" t="s">
        <v>604</v>
      </c>
      <c r="T761" s="11">
        <v>2.0</v>
      </c>
      <c r="U761" s="52">
        <v>20914.0</v>
      </c>
      <c r="V761" s="11">
        <v>2.0</v>
      </c>
      <c r="W761" s="11">
        <v>1.0</v>
      </c>
      <c r="X761" s="48">
        <v>8.833</v>
      </c>
      <c r="Y761" s="11">
        <f t="shared" si="2"/>
        <v>0.08833</v>
      </c>
    </row>
    <row r="762">
      <c r="A762" s="17">
        <v>14.0</v>
      </c>
      <c r="B762" s="24">
        <v>35.0</v>
      </c>
      <c r="C762" s="24">
        <v>6.0</v>
      </c>
      <c r="D762" s="24">
        <v>8.0</v>
      </c>
      <c r="E762" s="24">
        <v>62.0</v>
      </c>
      <c r="F762" s="48">
        <v>6.9577</v>
      </c>
      <c r="G762" s="49">
        <f t="shared" si="1"/>
        <v>0.069577</v>
      </c>
      <c r="H762" s="11">
        <v>6.0</v>
      </c>
      <c r="I762" s="11">
        <v>4.0</v>
      </c>
      <c r="J762" s="50">
        <v>62315.0</v>
      </c>
      <c r="K762" s="11">
        <v>4.0</v>
      </c>
      <c r="L762" s="11">
        <v>6.0</v>
      </c>
      <c r="M762" s="51">
        <v>438.0</v>
      </c>
      <c r="N762" s="17">
        <v>27.0</v>
      </c>
      <c r="O762" s="24" t="s">
        <v>603</v>
      </c>
      <c r="P762" s="52">
        <v>40516.0</v>
      </c>
      <c r="Q762" s="51">
        <v>599.0</v>
      </c>
      <c r="R762" s="53">
        <v>92206.87</v>
      </c>
      <c r="S762" s="24" t="s">
        <v>602</v>
      </c>
      <c r="T762" s="11">
        <v>0.0</v>
      </c>
      <c r="U762" s="52">
        <v>51421.0</v>
      </c>
      <c r="V762" s="11">
        <v>0.0</v>
      </c>
      <c r="W762" s="11">
        <v>2.0</v>
      </c>
      <c r="X762" s="48">
        <v>3.8551</v>
      </c>
      <c r="Y762" s="11">
        <f t="shared" si="2"/>
        <v>0.038551</v>
      </c>
    </row>
    <row r="763">
      <c r="A763" s="17">
        <v>93.0</v>
      </c>
      <c r="B763" s="24">
        <v>15.0</v>
      </c>
      <c r="C763" s="24">
        <v>2.0</v>
      </c>
      <c r="D763" s="24">
        <v>5.0</v>
      </c>
      <c r="E763" s="24">
        <v>60.0</v>
      </c>
      <c r="F763" s="48">
        <v>4.124</v>
      </c>
      <c r="G763" s="49">
        <f t="shared" si="1"/>
        <v>0.04124</v>
      </c>
      <c r="H763" s="11">
        <v>1.0</v>
      </c>
      <c r="I763" s="11">
        <v>8.0</v>
      </c>
      <c r="J763" s="50">
        <v>21720.0</v>
      </c>
      <c r="K763" s="11">
        <v>5.0</v>
      </c>
      <c r="L763" s="11">
        <v>2.0</v>
      </c>
      <c r="M763" s="51">
        <v>901.0</v>
      </c>
      <c r="N763" s="17">
        <v>54.0</v>
      </c>
      <c r="O763" s="24" t="s">
        <v>39</v>
      </c>
      <c r="P763" s="52">
        <v>101715.0</v>
      </c>
      <c r="Q763" s="51">
        <v>275.0</v>
      </c>
      <c r="R763" s="53">
        <v>-860783.41</v>
      </c>
      <c r="S763" s="24" t="s">
        <v>604</v>
      </c>
      <c r="T763" s="11">
        <v>6.0</v>
      </c>
      <c r="U763" s="52">
        <v>32813.0</v>
      </c>
      <c r="V763" s="11">
        <v>7.0</v>
      </c>
      <c r="W763" s="11">
        <v>4.0</v>
      </c>
      <c r="X763" s="48">
        <v>3.8637</v>
      </c>
      <c r="Y763" s="11">
        <f t="shared" si="2"/>
        <v>0.038637</v>
      </c>
    </row>
    <row r="764">
      <c r="A764" s="17">
        <v>16.0</v>
      </c>
      <c r="B764" s="24">
        <v>56.0</v>
      </c>
      <c r="C764" s="24">
        <v>2.0</v>
      </c>
      <c r="D764" s="24">
        <v>2.0</v>
      </c>
      <c r="E764" s="24">
        <v>68.0</v>
      </c>
      <c r="F764" s="48">
        <v>1.6118</v>
      </c>
      <c r="G764" s="49">
        <f t="shared" si="1"/>
        <v>0.016118</v>
      </c>
      <c r="H764" s="11">
        <v>5.0</v>
      </c>
      <c r="I764" s="11">
        <v>3.0</v>
      </c>
      <c r="J764" s="50">
        <v>33118.0</v>
      </c>
      <c r="K764" s="11">
        <v>9.0</v>
      </c>
      <c r="L764" s="11">
        <v>4.0</v>
      </c>
      <c r="M764" s="51">
        <v>85.0</v>
      </c>
      <c r="N764" s="17">
        <v>71.0</v>
      </c>
      <c r="O764" s="24" t="s">
        <v>600</v>
      </c>
      <c r="P764" s="52">
        <v>32118.0</v>
      </c>
      <c r="Q764" s="51">
        <v>354.0</v>
      </c>
      <c r="R764" s="53">
        <v>81144.88</v>
      </c>
      <c r="S764" s="24" t="s">
        <v>602</v>
      </c>
      <c r="T764" s="11">
        <v>2.0</v>
      </c>
      <c r="U764" s="52">
        <v>121621.0</v>
      </c>
      <c r="V764" s="11">
        <v>8.0</v>
      </c>
      <c r="W764" s="11">
        <v>4.0</v>
      </c>
      <c r="X764" s="48">
        <v>4.4627</v>
      </c>
      <c r="Y764" s="11">
        <f t="shared" si="2"/>
        <v>0.044627</v>
      </c>
    </row>
    <row r="765">
      <c r="A765" s="17">
        <v>23.0</v>
      </c>
      <c r="B765" s="24">
        <v>15.0</v>
      </c>
      <c r="C765" s="24">
        <v>2.0</v>
      </c>
      <c r="D765" s="24">
        <v>8.0</v>
      </c>
      <c r="E765" s="24">
        <v>63.0</v>
      </c>
      <c r="F765" s="48">
        <v>4.659</v>
      </c>
      <c r="G765" s="49">
        <f t="shared" si="1"/>
        <v>0.04659</v>
      </c>
      <c r="H765" s="11">
        <v>1.0</v>
      </c>
      <c r="I765" s="11">
        <v>0.0</v>
      </c>
      <c r="J765" s="50">
        <v>12213.0</v>
      </c>
      <c r="K765" s="11">
        <v>6.0</v>
      </c>
      <c r="L765" s="11">
        <v>6.0</v>
      </c>
      <c r="M765" s="51">
        <v>380.0</v>
      </c>
      <c r="N765" s="17">
        <v>25.0</v>
      </c>
      <c r="O765" s="24" t="s">
        <v>603</v>
      </c>
      <c r="P765" s="52">
        <v>121023.0</v>
      </c>
      <c r="Q765" s="51">
        <v>865.0</v>
      </c>
      <c r="R765" s="53">
        <v>-105.74</v>
      </c>
      <c r="S765" s="24" t="s">
        <v>602</v>
      </c>
      <c r="T765" s="11">
        <v>3.0</v>
      </c>
      <c r="U765" s="52">
        <v>81917.0</v>
      </c>
      <c r="V765" s="11">
        <v>4.0</v>
      </c>
      <c r="W765" s="11">
        <v>0.0</v>
      </c>
      <c r="X765" s="48">
        <v>4.5068</v>
      </c>
      <c r="Y765" s="11">
        <f t="shared" si="2"/>
        <v>0.045068</v>
      </c>
    </row>
    <row r="766">
      <c r="A766" s="17">
        <v>19.0</v>
      </c>
      <c r="B766" s="24">
        <v>56.0</v>
      </c>
      <c r="C766" s="24">
        <v>2.0</v>
      </c>
      <c r="D766" s="24">
        <v>4.0</v>
      </c>
      <c r="E766" s="24">
        <v>62.0</v>
      </c>
      <c r="F766" s="48">
        <v>8.6282</v>
      </c>
      <c r="G766" s="49">
        <f t="shared" si="1"/>
        <v>0.086282</v>
      </c>
      <c r="H766" s="11">
        <v>3.0</v>
      </c>
      <c r="I766" s="11">
        <v>7.0</v>
      </c>
      <c r="J766" s="50">
        <v>90619.0</v>
      </c>
      <c r="K766" s="11">
        <v>6.0</v>
      </c>
      <c r="L766" s="11">
        <v>7.0</v>
      </c>
      <c r="M766" s="51">
        <v>251.0</v>
      </c>
      <c r="N766" s="17">
        <v>16.0</v>
      </c>
      <c r="O766" s="24" t="s">
        <v>31</v>
      </c>
      <c r="P766" s="52">
        <v>61421.0</v>
      </c>
      <c r="Q766" s="51">
        <v>141.0</v>
      </c>
      <c r="R766" s="53">
        <v>-8855.44</v>
      </c>
      <c r="S766" s="24" t="s">
        <v>605</v>
      </c>
      <c r="T766" s="11">
        <v>3.0</v>
      </c>
      <c r="U766" s="52">
        <v>102319.0</v>
      </c>
      <c r="V766" s="11">
        <v>2.0</v>
      </c>
      <c r="W766" s="11">
        <v>8.0</v>
      </c>
      <c r="X766" s="48">
        <v>5.1792</v>
      </c>
      <c r="Y766" s="11">
        <f t="shared" si="2"/>
        <v>0.051792</v>
      </c>
    </row>
    <row r="767">
      <c r="A767" s="17">
        <v>76.0</v>
      </c>
      <c r="B767" s="24">
        <v>15.0</v>
      </c>
      <c r="C767" s="24">
        <v>3.0</v>
      </c>
      <c r="D767" s="24">
        <v>1.0</v>
      </c>
      <c r="E767" s="24">
        <v>66.0</v>
      </c>
      <c r="F767" s="48">
        <v>9.4982</v>
      </c>
      <c r="G767" s="49">
        <f t="shared" si="1"/>
        <v>0.094982</v>
      </c>
      <c r="H767" s="11">
        <v>2.0</v>
      </c>
      <c r="I767" s="11">
        <v>0.0</v>
      </c>
      <c r="J767" s="50">
        <v>112617.0</v>
      </c>
      <c r="K767" s="11">
        <v>4.0</v>
      </c>
      <c r="L767" s="11">
        <v>0.0</v>
      </c>
      <c r="M767" s="51">
        <v>484.0</v>
      </c>
      <c r="N767" s="17">
        <v>32.0</v>
      </c>
      <c r="O767" s="24" t="s">
        <v>606</v>
      </c>
      <c r="P767" s="52">
        <v>21621.0</v>
      </c>
      <c r="Q767" s="51">
        <v>31.0</v>
      </c>
      <c r="R767" s="53">
        <v>924689.33</v>
      </c>
      <c r="S767" s="24" t="s">
        <v>600</v>
      </c>
      <c r="T767" s="11">
        <v>7.0</v>
      </c>
      <c r="U767" s="52">
        <v>72519.0</v>
      </c>
      <c r="V767" s="11">
        <v>5.0</v>
      </c>
      <c r="W767" s="11">
        <v>7.0</v>
      </c>
      <c r="X767" s="48">
        <v>7.9233</v>
      </c>
      <c r="Y767" s="11">
        <f t="shared" si="2"/>
        <v>0.079233</v>
      </c>
    </row>
    <row r="768">
      <c r="A768" s="17">
        <v>37.0</v>
      </c>
      <c r="B768" s="24">
        <v>35.0</v>
      </c>
      <c r="C768" s="24">
        <v>7.0</v>
      </c>
      <c r="D768" s="24">
        <v>9.0</v>
      </c>
      <c r="E768" s="24">
        <v>64.0</v>
      </c>
      <c r="F768" s="48">
        <v>4.2489</v>
      </c>
      <c r="G768" s="49">
        <f t="shared" si="1"/>
        <v>0.042489</v>
      </c>
      <c r="H768" s="11">
        <v>1.0</v>
      </c>
      <c r="I768" s="11">
        <v>5.0</v>
      </c>
      <c r="J768" s="50">
        <v>21823.0</v>
      </c>
      <c r="K768" s="11">
        <v>6.0</v>
      </c>
      <c r="L768" s="11">
        <v>5.0</v>
      </c>
      <c r="M768" s="51">
        <v>734.0</v>
      </c>
      <c r="N768" s="17">
        <v>29.0</v>
      </c>
      <c r="O768" s="24" t="s">
        <v>601</v>
      </c>
      <c r="P768" s="52">
        <v>60416.0</v>
      </c>
      <c r="Q768" s="51">
        <v>132.0</v>
      </c>
      <c r="R768" s="53">
        <v>-91129.9</v>
      </c>
      <c r="S768" s="24" t="s">
        <v>605</v>
      </c>
      <c r="T768" s="11">
        <v>5.0</v>
      </c>
      <c r="U768" s="52">
        <v>42523.0</v>
      </c>
      <c r="V768" s="11">
        <v>4.0</v>
      </c>
      <c r="W768" s="11">
        <v>2.0</v>
      </c>
      <c r="X768" s="48">
        <v>7.4019</v>
      </c>
      <c r="Y768" s="11">
        <f t="shared" si="2"/>
        <v>0.074019</v>
      </c>
    </row>
    <row r="769">
      <c r="A769" s="17">
        <v>46.0</v>
      </c>
      <c r="B769" s="24">
        <v>56.0</v>
      </c>
      <c r="C769" s="24">
        <v>2.0</v>
      </c>
      <c r="D769" s="24">
        <v>7.0</v>
      </c>
      <c r="E769" s="24">
        <v>67.0</v>
      </c>
      <c r="F769" s="48">
        <v>7.268</v>
      </c>
      <c r="G769" s="49">
        <f t="shared" si="1"/>
        <v>0.07268</v>
      </c>
      <c r="H769" s="11">
        <v>5.0</v>
      </c>
      <c r="I769" s="11">
        <v>2.0</v>
      </c>
      <c r="J769" s="50">
        <v>113022.0</v>
      </c>
      <c r="K769" s="11">
        <v>5.0</v>
      </c>
      <c r="L769" s="11">
        <v>4.0</v>
      </c>
      <c r="M769" s="51">
        <v>325.0</v>
      </c>
      <c r="N769" s="17">
        <v>74.0</v>
      </c>
      <c r="O769" s="24" t="s">
        <v>606</v>
      </c>
      <c r="P769" s="52">
        <v>72521.0</v>
      </c>
      <c r="Q769" s="51">
        <v>524.0</v>
      </c>
      <c r="R769" s="53">
        <v>-797.34</v>
      </c>
      <c r="S769" s="24" t="s">
        <v>605</v>
      </c>
      <c r="T769" s="11">
        <v>7.0</v>
      </c>
      <c r="U769" s="52">
        <v>32019.0</v>
      </c>
      <c r="V769" s="11">
        <v>5.0</v>
      </c>
      <c r="W769" s="11">
        <v>0.0</v>
      </c>
      <c r="X769" s="48">
        <v>8.5677</v>
      </c>
      <c r="Y769" s="11">
        <f t="shared" si="2"/>
        <v>0.085677</v>
      </c>
    </row>
    <row r="770">
      <c r="A770" s="17">
        <v>73.0</v>
      </c>
      <c r="B770" s="24">
        <v>97.0</v>
      </c>
      <c r="C770" s="24">
        <v>2.0</v>
      </c>
      <c r="D770" s="24">
        <v>9.0</v>
      </c>
      <c r="E770" s="24">
        <v>60.0</v>
      </c>
      <c r="F770" s="48">
        <v>6.7451</v>
      </c>
      <c r="G770" s="49">
        <f t="shared" si="1"/>
        <v>0.067451</v>
      </c>
      <c r="H770" s="11">
        <v>5.0</v>
      </c>
      <c r="I770" s="11">
        <v>8.0</v>
      </c>
      <c r="J770" s="50">
        <v>62919.0</v>
      </c>
      <c r="K770" s="11">
        <v>1.0</v>
      </c>
      <c r="L770" s="11">
        <v>6.0</v>
      </c>
      <c r="M770" s="51">
        <v>472.0</v>
      </c>
      <c r="N770" s="17">
        <v>5.0</v>
      </c>
      <c r="O770" s="24" t="s">
        <v>31</v>
      </c>
      <c r="P770" s="52">
        <v>80215.0</v>
      </c>
      <c r="Q770" s="51">
        <v>286.0</v>
      </c>
      <c r="R770" s="53">
        <v>-90073.18</v>
      </c>
      <c r="S770" s="24" t="s">
        <v>604</v>
      </c>
      <c r="T770" s="11">
        <v>3.0</v>
      </c>
      <c r="U770" s="52">
        <v>120920.0</v>
      </c>
      <c r="V770" s="11">
        <v>5.0</v>
      </c>
      <c r="W770" s="11">
        <v>5.0</v>
      </c>
      <c r="X770" s="48">
        <v>2.8865</v>
      </c>
      <c r="Y770" s="11">
        <f t="shared" si="2"/>
        <v>0.028865</v>
      </c>
    </row>
    <row r="771">
      <c r="A771" s="17">
        <v>94.0</v>
      </c>
      <c r="B771" s="24">
        <v>56.0</v>
      </c>
      <c r="C771" s="24">
        <v>3.0</v>
      </c>
      <c r="D771" s="24">
        <v>5.0</v>
      </c>
      <c r="E771" s="24">
        <v>62.0</v>
      </c>
      <c r="F771" s="48">
        <v>1.8581</v>
      </c>
      <c r="G771" s="49">
        <f t="shared" si="1"/>
        <v>0.018581</v>
      </c>
      <c r="H771" s="11">
        <v>4.0</v>
      </c>
      <c r="I771" s="11">
        <v>0.0</v>
      </c>
      <c r="J771" s="50">
        <v>52015.0</v>
      </c>
      <c r="K771" s="11">
        <v>2.0</v>
      </c>
      <c r="L771" s="11">
        <v>6.0</v>
      </c>
      <c r="M771" s="51">
        <v>199.0</v>
      </c>
      <c r="N771" s="17">
        <v>4.0</v>
      </c>
      <c r="O771" s="24" t="s">
        <v>603</v>
      </c>
      <c r="P771" s="52">
        <v>22522.0</v>
      </c>
      <c r="Q771" s="51">
        <v>916.0</v>
      </c>
      <c r="R771" s="53">
        <v>935.5</v>
      </c>
      <c r="S771" s="24" t="s">
        <v>600</v>
      </c>
      <c r="T771" s="11">
        <v>5.0</v>
      </c>
      <c r="U771" s="52">
        <v>112214.0</v>
      </c>
      <c r="V771" s="11">
        <v>2.0</v>
      </c>
      <c r="W771" s="11">
        <v>5.0</v>
      </c>
      <c r="X771" s="48">
        <v>5.262</v>
      </c>
      <c r="Y771" s="11">
        <f t="shared" si="2"/>
        <v>0.05262</v>
      </c>
    </row>
    <row r="772">
      <c r="A772" s="17">
        <v>81.0</v>
      </c>
      <c r="B772" s="24">
        <v>76.0</v>
      </c>
      <c r="C772" s="24">
        <v>8.0</v>
      </c>
      <c r="D772" s="24">
        <v>4.0</v>
      </c>
      <c r="E772" s="24">
        <v>63.0</v>
      </c>
      <c r="F772" s="48">
        <v>5.4407</v>
      </c>
      <c r="G772" s="49">
        <f t="shared" si="1"/>
        <v>0.054407</v>
      </c>
      <c r="H772" s="11">
        <v>7.0</v>
      </c>
      <c r="I772" s="11">
        <v>9.0</v>
      </c>
      <c r="J772" s="50">
        <v>102713.0</v>
      </c>
      <c r="K772" s="11">
        <v>6.0</v>
      </c>
      <c r="L772" s="11">
        <v>9.0</v>
      </c>
      <c r="M772" s="51">
        <v>570.0</v>
      </c>
      <c r="N772" s="17">
        <v>34.0</v>
      </c>
      <c r="O772" s="24" t="s">
        <v>606</v>
      </c>
      <c r="P772" s="52">
        <v>62222.0</v>
      </c>
      <c r="Q772" s="51">
        <v>423.0</v>
      </c>
      <c r="R772" s="53">
        <v>816.94</v>
      </c>
      <c r="S772" s="24" t="s">
        <v>602</v>
      </c>
      <c r="T772" s="11">
        <v>2.0</v>
      </c>
      <c r="U772" s="52">
        <v>41019.0</v>
      </c>
      <c r="V772" s="11">
        <v>0.0</v>
      </c>
      <c r="W772" s="11">
        <v>5.0</v>
      </c>
      <c r="X772" s="48">
        <v>6.3151</v>
      </c>
      <c r="Y772" s="11">
        <f t="shared" si="2"/>
        <v>0.063151</v>
      </c>
    </row>
    <row r="773">
      <c r="A773" s="17">
        <v>61.0</v>
      </c>
      <c r="B773" s="24">
        <v>76.0</v>
      </c>
      <c r="C773" s="24">
        <v>8.0</v>
      </c>
      <c r="D773" s="24">
        <v>3.0</v>
      </c>
      <c r="E773" s="24">
        <v>66.0</v>
      </c>
      <c r="F773" s="48">
        <v>3.3157</v>
      </c>
      <c r="G773" s="49">
        <f t="shared" si="1"/>
        <v>0.033157</v>
      </c>
      <c r="H773" s="11">
        <v>1.0</v>
      </c>
      <c r="I773" s="11">
        <v>6.0</v>
      </c>
      <c r="J773" s="50">
        <v>22713.0</v>
      </c>
      <c r="K773" s="11">
        <v>9.0</v>
      </c>
      <c r="L773" s="11">
        <v>7.0</v>
      </c>
      <c r="M773" s="51">
        <v>456.0</v>
      </c>
      <c r="N773" s="17">
        <v>73.0</v>
      </c>
      <c r="O773" s="24" t="s">
        <v>48</v>
      </c>
      <c r="P773" s="52">
        <v>102523.0</v>
      </c>
      <c r="Q773" s="51">
        <v>201.0</v>
      </c>
      <c r="R773" s="53">
        <v>127964.95</v>
      </c>
      <c r="S773" s="24" t="s">
        <v>600</v>
      </c>
      <c r="T773" s="11">
        <v>3.0</v>
      </c>
      <c r="U773" s="52">
        <v>112619.0</v>
      </c>
      <c r="V773" s="11">
        <v>0.0</v>
      </c>
      <c r="W773" s="11">
        <v>7.0</v>
      </c>
      <c r="X773" s="48">
        <v>1.8189</v>
      </c>
      <c r="Y773" s="11">
        <f t="shared" si="2"/>
        <v>0.018189</v>
      </c>
    </row>
    <row r="774">
      <c r="A774" s="17">
        <v>97.0</v>
      </c>
      <c r="B774" s="24">
        <v>35.0</v>
      </c>
      <c r="C774" s="24">
        <v>8.0</v>
      </c>
      <c r="D774" s="24">
        <v>7.0</v>
      </c>
      <c r="E774" s="24">
        <v>64.0</v>
      </c>
      <c r="F774" s="48">
        <v>3.5262</v>
      </c>
      <c r="G774" s="49">
        <f t="shared" si="1"/>
        <v>0.035262</v>
      </c>
      <c r="H774" s="11">
        <v>6.0</v>
      </c>
      <c r="I774" s="11">
        <v>0.0</v>
      </c>
      <c r="J774" s="50">
        <v>40720.0</v>
      </c>
      <c r="K774" s="11">
        <v>9.0</v>
      </c>
      <c r="L774" s="11">
        <v>8.0</v>
      </c>
      <c r="M774" s="51">
        <v>878.0</v>
      </c>
      <c r="N774" s="17">
        <v>70.0</v>
      </c>
      <c r="O774" s="24" t="s">
        <v>600</v>
      </c>
      <c r="P774" s="52">
        <v>110216.0</v>
      </c>
      <c r="Q774" s="51">
        <v>336.0</v>
      </c>
      <c r="R774" s="53">
        <v>907.84</v>
      </c>
      <c r="S774" s="24" t="s">
        <v>600</v>
      </c>
      <c r="T774" s="11">
        <v>3.0</v>
      </c>
      <c r="U774" s="52">
        <v>70321.0</v>
      </c>
      <c r="V774" s="11">
        <v>1.0</v>
      </c>
      <c r="W774" s="11">
        <v>1.0</v>
      </c>
      <c r="X774" s="48">
        <v>4.4348</v>
      </c>
      <c r="Y774" s="11">
        <f t="shared" si="2"/>
        <v>0.044348</v>
      </c>
    </row>
    <row r="775">
      <c r="A775" s="17">
        <v>57.0</v>
      </c>
      <c r="B775" s="24">
        <v>15.0</v>
      </c>
      <c r="C775" s="24">
        <v>4.0</v>
      </c>
      <c r="D775" s="24">
        <v>4.0</v>
      </c>
      <c r="E775" s="24">
        <v>66.0</v>
      </c>
      <c r="F775" s="48">
        <v>8.4959</v>
      </c>
      <c r="G775" s="49">
        <f t="shared" si="1"/>
        <v>0.084959</v>
      </c>
      <c r="H775" s="11">
        <v>1.0</v>
      </c>
      <c r="I775" s="11">
        <v>8.0</v>
      </c>
      <c r="J775" s="50">
        <v>111321.0</v>
      </c>
      <c r="K775" s="11">
        <v>3.0</v>
      </c>
      <c r="L775" s="11">
        <v>7.0</v>
      </c>
      <c r="M775" s="51">
        <v>14.0</v>
      </c>
      <c r="N775" s="17">
        <v>73.0</v>
      </c>
      <c r="O775" s="24" t="s">
        <v>600</v>
      </c>
      <c r="P775" s="52">
        <v>72119.0</v>
      </c>
      <c r="Q775" s="51">
        <v>616.0</v>
      </c>
      <c r="R775" s="53">
        <v>-553970.66</v>
      </c>
      <c r="S775" s="24" t="s">
        <v>600</v>
      </c>
      <c r="T775" s="11">
        <v>7.0</v>
      </c>
      <c r="U775" s="52">
        <v>91422.0</v>
      </c>
      <c r="V775" s="11">
        <v>6.0</v>
      </c>
      <c r="W775" s="11">
        <v>8.0</v>
      </c>
      <c r="X775" s="48">
        <v>8.288</v>
      </c>
      <c r="Y775" s="11">
        <f t="shared" si="2"/>
        <v>0.08288</v>
      </c>
    </row>
    <row r="776">
      <c r="A776" s="17">
        <v>49.0</v>
      </c>
      <c r="B776" s="24">
        <v>35.0</v>
      </c>
      <c r="C776" s="24">
        <v>9.0</v>
      </c>
      <c r="D776" s="24">
        <v>4.0</v>
      </c>
      <c r="E776" s="24">
        <v>61.0</v>
      </c>
      <c r="F776" s="48">
        <v>6.2423</v>
      </c>
      <c r="G776" s="49">
        <f t="shared" si="1"/>
        <v>0.062423</v>
      </c>
      <c r="H776" s="11">
        <v>6.0</v>
      </c>
      <c r="I776" s="11">
        <v>8.0</v>
      </c>
      <c r="J776" s="50">
        <v>31319.0</v>
      </c>
      <c r="K776" s="11">
        <v>0.0</v>
      </c>
      <c r="L776" s="11">
        <v>3.0</v>
      </c>
      <c r="M776" s="51">
        <v>43.0</v>
      </c>
      <c r="N776" s="17">
        <v>55.0</v>
      </c>
      <c r="O776" s="24" t="s">
        <v>601</v>
      </c>
      <c r="P776" s="52">
        <v>71421.0</v>
      </c>
      <c r="Q776" s="51">
        <v>931.0</v>
      </c>
      <c r="R776" s="53">
        <v>610214.95</v>
      </c>
      <c r="S776" s="24" t="s">
        <v>605</v>
      </c>
      <c r="T776" s="11">
        <v>4.0</v>
      </c>
      <c r="U776" s="52">
        <v>120613.0</v>
      </c>
      <c r="V776" s="11">
        <v>3.0</v>
      </c>
      <c r="W776" s="11">
        <v>5.0</v>
      </c>
      <c r="X776" s="48">
        <v>5.8001</v>
      </c>
      <c r="Y776" s="11">
        <f t="shared" si="2"/>
        <v>0.058001</v>
      </c>
    </row>
    <row r="777">
      <c r="A777" s="17">
        <v>54.0</v>
      </c>
      <c r="B777" s="24">
        <v>15.0</v>
      </c>
      <c r="C777" s="24">
        <v>4.0</v>
      </c>
      <c r="D777" s="24">
        <v>9.0</v>
      </c>
      <c r="E777" s="24">
        <v>62.0</v>
      </c>
      <c r="F777" s="48">
        <v>4.3238</v>
      </c>
      <c r="G777" s="49">
        <f t="shared" si="1"/>
        <v>0.043238</v>
      </c>
      <c r="H777" s="11">
        <v>7.0</v>
      </c>
      <c r="I777" s="11">
        <v>8.0</v>
      </c>
      <c r="J777" s="50">
        <v>21716.0</v>
      </c>
      <c r="K777" s="11">
        <v>6.0</v>
      </c>
      <c r="L777" s="11">
        <v>4.0</v>
      </c>
      <c r="M777" s="51">
        <v>419.0</v>
      </c>
      <c r="N777" s="17">
        <v>63.0</v>
      </c>
      <c r="O777" s="24" t="s">
        <v>31</v>
      </c>
      <c r="P777" s="52">
        <v>81819.0</v>
      </c>
      <c r="Q777" s="51">
        <v>484.0</v>
      </c>
      <c r="R777" s="53">
        <v>-48621.46</v>
      </c>
      <c r="S777" s="24" t="s">
        <v>600</v>
      </c>
      <c r="T777" s="11">
        <v>0.0</v>
      </c>
      <c r="U777" s="52">
        <v>70716.0</v>
      </c>
      <c r="V777" s="11">
        <v>9.0</v>
      </c>
      <c r="W777" s="11">
        <v>3.0</v>
      </c>
      <c r="X777" s="48">
        <v>5.7865</v>
      </c>
      <c r="Y777" s="11">
        <f t="shared" si="2"/>
        <v>0.057865</v>
      </c>
    </row>
    <row r="778">
      <c r="A778" s="17">
        <v>79.0</v>
      </c>
      <c r="B778" s="24">
        <v>56.0</v>
      </c>
      <c r="C778" s="24">
        <v>4.0</v>
      </c>
      <c r="D778" s="24">
        <v>6.0</v>
      </c>
      <c r="E778" s="24">
        <v>63.0</v>
      </c>
      <c r="F778" s="48">
        <v>8.795</v>
      </c>
      <c r="G778" s="49">
        <f t="shared" si="1"/>
        <v>0.08795</v>
      </c>
      <c r="H778" s="11">
        <v>3.0</v>
      </c>
      <c r="I778" s="11">
        <v>5.0</v>
      </c>
      <c r="J778" s="50">
        <v>120717.0</v>
      </c>
      <c r="K778" s="11">
        <v>2.0</v>
      </c>
      <c r="L778" s="11">
        <v>9.0</v>
      </c>
      <c r="M778" s="51">
        <v>689.0</v>
      </c>
      <c r="N778" s="17">
        <v>76.0</v>
      </c>
      <c r="O778" s="24" t="s">
        <v>600</v>
      </c>
      <c r="P778" s="52">
        <v>52815.0</v>
      </c>
      <c r="Q778" s="51">
        <v>824.0</v>
      </c>
      <c r="R778" s="53">
        <v>-981.85</v>
      </c>
      <c r="S778" s="24" t="s">
        <v>600</v>
      </c>
      <c r="T778" s="11">
        <v>4.0</v>
      </c>
      <c r="U778" s="52">
        <v>30114.0</v>
      </c>
      <c r="V778" s="11">
        <v>4.0</v>
      </c>
      <c r="W778" s="11">
        <v>5.0</v>
      </c>
      <c r="X778" s="48">
        <v>1.2248</v>
      </c>
      <c r="Y778" s="11">
        <f t="shared" si="2"/>
        <v>0.012248</v>
      </c>
    </row>
    <row r="779">
      <c r="A779" s="17">
        <v>67.0</v>
      </c>
      <c r="B779" s="24">
        <v>56.0</v>
      </c>
      <c r="C779" s="24">
        <v>4.0</v>
      </c>
      <c r="D779" s="24">
        <v>7.0</v>
      </c>
      <c r="E779" s="24">
        <v>67.0</v>
      </c>
      <c r="F779" s="48">
        <v>9.1507</v>
      </c>
      <c r="G779" s="49">
        <f t="shared" si="1"/>
        <v>0.091507</v>
      </c>
      <c r="H779" s="11">
        <v>2.0</v>
      </c>
      <c r="I779" s="11">
        <v>8.0</v>
      </c>
      <c r="J779" s="50">
        <v>100523.0</v>
      </c>
      <c r="K779" s="11">
        <v>7.0</v>
      </c>
      <c r="L779" s="11">
        <v>6.0</v>
      </c>
      <c r="M779" s="51">
        <v>772.0</v>
      </c>
      <c r="N779" s="17">
        <v>8.0</v>
      </c>
      <c r="O779" s="24" t="s">
        <v>48</v>
      </c>
      <c r="P779" s="52">
        <v>92916.0</v>
      </c>
      <c r="Q779" s="51">
        <v>510.0</v>
      </c>
      <c r="R779" s="53">
        <v>64616.54</v>
      </c>
      <c r="S779" s="24" t="s">
        <v>600</v>
      </c>
      <c r="T779" s="11">
        <v>8.0</v>
      </c>
      <c r="U779" s="52">
        <v>42023.0</v>
      </c>
      <c r="V779" s="11">
        <v>0.0</v>
      </c>
      <c r="W779" s="11">
        <v>4.0</v>
      </c>
      <c r="X779" s="48">
        <v>5.8431</v>
      </c>
      <c r="Y779" s="11">
        <f t="shared" si="2"/>
        <v>0.058431</v>
      </c>
    </row>
    <row r="780">
      <c r="A780" s="17">
        <v>69.0</v>
      </c>
      <c r="B780" s="24">
        <v>97.0</v>
      </c>
      <c r="C780" s="24">
        <v>4.0</v>
      </c>
      <c r="D780" s="24">
        <v>4.0</v>
      </c>
      <c r="E780" s="24">
        <v>65.0</v>
      </c>
      <c r="F780" s="48">
        <v>5.1684</v>
      </c>
      <c r="G780" s="49">
        <f t="shared" si="1"/>
        <v>0.051684</v>
      </c>
      <c r="H780" s="11">
        <v>2.0</v>
      </c>
      <c r="I780" s="11">
        <v>9.0</v>
      </c>
      <c r="J780" s="50">
        <v>11814.0</v>
      </c>
      <c r="K780" s="11">
        <v>0.0</v>
      </c>
      <c r="L780" s="11">
        <v>2.0</v>
      </c>
      <c r="M780" s="51">
        <v>826.0</v>
      </c>
      <c r="N780" s="17">
        <v>14.0</v>
      </c>
      <c r="O780" s="24" t="s">
        <v>600</v>
      </c>
      <c r="P780" s="52">
        <v>32019.0</v>
      </c>
      <c r="Q780" s="51">
        <v>10.0</v>
      </c>
      <c r="R780" s="53">
        <v>995.8</v>
      </c>
      <c r="S780" s="24" t="s">
        <v>605</v>
      </c>
      <c r="T780" s="11">
        <v>1.0</v>
      </c>
      <c r="U780" s="52">
        <v>31715.0</v>
      </c>
      <c r="V780" s="11">
        <v>6.0</v>
      </c>
      <c r="W780" s="11">
        <v>2.0</v>
      </c>
      <c r="X780" s="48">
        <v>2.864</v>
      </c>
      <c r="Y780" s="11">
        <f t="shared" si="2"/>
        <v>0.02864</v>
      </c>
    </row>
    <row r="781">
      <c r="A781" s="17">
        <v>25.0</v>
      </c>
      <c r="B781" s="24">
        <v>15.0</v>
      </c>
      <c r="C781" s="24">
        <v>5.0</v>
      </c>
      <c r="D781" s="24">
        <v>5.0</v>
      </c>
      <c r="E781" s="24">
        <v>64.0</v>
      </c>
      <c r="F781" s="48">
        <v>9.4324</v>
      </c>
      <c r="G781" s="49">
        <f t="shared" si="1"/>
        <v>0.094324</v>
      </c>
      <c r="H781" s="11">
        <v>4.0</v>
      </c>
      <c r="I781" s="11">
        <v>9.0</v>
      </c>
      <c r="J781" s="50">
        <v>111919.0</v>
      </c>
      <c r="K781" s="11">
        <v>0.0</v>
      </c>
      <c r="L781" s="11">
        <v>0.0</v>
      </c>
      <c r="M781" s="51">
        <v>644.0</v>
      </c>
      <c r="N781" s="17">
        <v>65.0</v>
      </c>
      <c r="O781" s="24" t="s">
        <v>39</v>
      </c>
      <c r="P781" s="52">
        <v>30819.0</v>
      </c>
      <c r="Q781" s="51">
        <v>713.0</v>
      </c>
      <c r="R781" s="53">
        <v>6148.2</v>
      </c>
      <c r="S781" s="24" t="s">
        <v>604</v>
      </c>
      <c r="T781" s="11">
        <v>8.0</v>
      </c>
      <c r="U781" s="52">
        <v>52020.0</v>
      </c>
      <c r="V781" s="11">
        <v>5.0</v>
      </c>
      <c r="W781" s="11">
        <v>1.0</v>
      </c>
      <c r="X781" s="48">
        <v>2.9329</v>
      </c>
      <c r="Y781" s="11">
        <f t="shared" si="2"/>
        <v>0.029329</v>
      </c>
    </row>
    <row r="782">
      <c r="A782" s="17">
        <v>48.0</v>
      </c>
      <c r="B782" s="24">
        <v>56.0</v>
      </c>
      <c r="C782" s="24">
        <v>5.0</v>
      </c>
      <c r="D782" s="24">
        <v>5.0</v>
      </c>
      <c r="E782" s="24">
        <v>63.0</v>
      </c>
      <c r="F782" s="48">
        <v>7.3101</v>
      </c>
      <c r="G782" s="49">
        <f t="shared" si="1"/>
        <v>0.073101</v>
      </c>
      <c r="H782" s="11">
        <v>6.0</v>
      </c>
      <c r="I782" s="11">
        <v>2.0</v>
      </c>
      <c r="J782" s="50">
        <v>51219.0</v>
      </c>
      <c r="K782" s="11">
        <v>2.0</v>
      </c>
      <c r="L782" s="11">
        <v>6.0</v>
      </c>
      <c r="M782" s="51">
        <v>18.0</v>
      </c>
      <c r="N782" s="17">
        <v>84.0</v>
      </c>
      <c r="O782" s="24" t="s">
        <v>48</v>
      </c>
      <c r="P782" s="52">
        <v>111320.0</v>
      </c>
      <c r="Q782" s="51">
        <v>214.0</v>
      </c>
      <c r="R782" s="53">
        <v>722.51</v>
      </c>
      <c r="S782" s="24" t="s">
        <v>602</v>
      </c>
      <c r="T782" s="11">
        <v>5.0</v>
      </c>
      <c r="U782" s="52">
        <v>70220.0</v>
      </c>
      <c r="V782" s="11">
        <v>5.0</v>
      </c>
      <c r="W782" s="11">
        <v>9.0</v>
      </c>
      <c r="X782" s="48">
        <v>1.8586</v>
      </c>
      <c r="Y782" s="11">
        <f t="shared" si="2"/>
        <v>0.018586</v>
      </c>
    </row>
    <row r="783">
      <c r="A783" s="17">
        <v>42.0</v>
      </c>
      <c r="B783" s="24">
        <v>97.0</v>
      </c>
      <c r="C783" s="24">
        <v>5.0</v>
      </c>
      <c r="D783" s="24">
        <v>2.0</v>
      </c>
      <c r="E783" s="24">
        <v>67.0</v>
      </c>
      <c r="F783" s="48">
        <v>6.4651</v>
      </c>
      <c r="G783" s="49">
        <f t="shared" si="1"/>
        <v>0.064651</v>
      </c>
      <c r="H783" s="11">
        <v>5.0</v>
      </c>
      <c r="I783" s="11">
        <v>9.0</v>
      </c>
      <c r="J783" s="50">
        <v>31016.0</v>
      </c>
      <c r="K783" s="11">
        <v>7.0</v>
      </c>
      <c r="L783" s="11">
        <v>4.0</v>
      </c>
      <c r="M783" s="51">
        <v>348.0</v>
      </c>
      <c r="N783" s="17">
        <v>81.0</v>
      </c>
      <c r="O783" s="24" t="s">
        <v>39</v>
      </c>
      <c r="P783" s="52">
        <v>62213.0</v>
      </c>
      <c r="Q783" s="51">
        <v>542.0</v>
      </c>
      <c r="R783" s="53">
        <v>-6620.9</v>
      </c>
      <c r="S783" s="24" t="s">
        <v>600</v>
      </c>
      <c r="T783" s="11">
        <v>8.0</v>
      </c>
      <c r="U783" s="52">
        <v>41722.0</v>
      </c>
      <c r="V783" s="11">
        <v>4.0</v>
      </c>
      <c r="W783" s="11">
        <v>9.0</v>
      </c>
      <c r="X783" s="48">
        <v>3.262</v>
      </c>
      <c r="Y783" s="11">
        <f t="shared" si="2"/>
        <v>0.03262</v>
      </c>
    </row>
    <row r="784">
      <c r="A784" s="17">
        <v>52.0</v>
      </c>
      <c r="B784" s="24">
        <v>56.0</v>
      </c>
      <c r="C784" s="24">
        <v>5.0</v>
      </c>
      <c r="D784" s="24">
        <v>7.0</v>
      </c>
      <c r="E784" s="24">
        <v>65.0</v>
      </c>
      <c r="F784" s="48">
        <v>8.984</v>
      </c>
      <c r="G784" s="49">
        <f t="shared" si="1"/>
        <v>0.08984</v>
      </c>
      <c r="H784" s="11">
        <v>5.0</v>
      </c>
      <c r="I784" s="11">
        <v>0.0</v>
      </c>
      <c r="J784" s="50">
        <v>22819.0</v>
      </c>
      <c r="K784" s="11">
        <v>5.0</v>
      </c>
      <c r="L784" s="11">
        <v>4.0</v>
      </c>
      <c r="M784" s="51">
        <v>255.0</v>
      </c>
      <c r="N784" s="17">
        <v>67.0</v>
      </c>
      <c r="O784" s="24" t="s">
        <v>600</v>
      </c>
      <c r="P784" s="52">
        <v>113020.0</v>
      </c>
      <c r="Q784" s="51">
        <v>513.0</v>
      </c>
      <c r="R784" s="53">
        <v>-5736.63</v>
      </c>
      <c r="S784" s="24" t="s">
        <v>605</v>
      </c>
      <c r="T784" s="11">
        <v>5.0</v>
      </c>
      <c r="U784" s="52">
        <v>31623.0</v>
      </c>
      <c r="V784" s="11">
        <v>5.0</v>
      </c>
      <c r="W784" s="11">
        <v>9.0</v>
      </c>
      <c r="X784" s="48">
        <v>1.228</v>
      </c>
      <c r="Y784" s="11">
        <f t="shared" si="2"/>
        <v>0.01228</v>
      </c>
    </row>
    <row r="785">
      <c r="A785" s="17">
        <v>46.0</v>
      </c>
      <c r="B785" s="24">
        <v>97.0</v>
      </c>
      <c r="C785" s="24">
        <v>5.0</v>
      </c>
      <c r="D785" s="24">
        <v>4.0</v>
      </c>
      <c r="E785" s="24">
        <v>64.0</v>
      </c>
      <c r="F785" s="48">
        <v>3.4569</v>
      </c>
      <c r="G785" s="49">
        <f t="shared" si="1"/>
        <v>0.034569</v>
      </c>
      <c r="H785" s="11">
        <v>7.0</v>
      </c>
      <c r="I785" s="11">
        <v>2.0</v>
      </c>
      <c r="J785" s="50">
        <v>122815.0</v>
      </c>
      <c r="K785" s="11">
        <v>1.0</v>
      </c>
      <c r="L785" s="11">
        <v>1.0</v>
      </c>
      <c r="M785" s="51">
        <v>612.0</v>
      </c>
      <c r="N785" s="17">
        <v>88.0</v>
      </c>
      <c r="O785" s="24" t="s">
        <v>603</v>
      </c>
      <c r="P785" s="52">
        <v>41222.0</v>
      </c>
      <c r="Q785" s="51">
        <v>919.0</v>
      </c>
      <c r="R785" s="53">
        <v>7585.9</v>
      </c>
      <c r="S785" s="24" t="s">
        <v>602</v>
      </c>
      <c r="T785" s="11">
        <v>0.0</v>
      </c>
      <c r="U785" s="52">
        <v>80216.0</v>
      </c>
      <c r="V785" s="11">
        <v>2.0</v>
      </c>
      <c r="W785" s="11">
        <v>1.0</v>
      </c>
      <c r="X785" s="48">
        <v>1.5897</v>
      </c>
      <c r="Y785" s="11">
        <f t="shared" si="2"/>
        <v>0.015897</v>
      </c>
    </row>
    <row r="786">
      <c r="A786" s="17">
        <v>21.0</v>
      </c>
      <c r="B786" s="24">
        <v>97.0</v>
      </c>
      <c r="C786" s="24">
        <v>5.0</v>
      </c>
      <c r="D786" s="24">
        <v>5.0</v>
      </c>
      <c r="E786" s="24">
        <v>64.0</v>
      </c>
      <c r="F786" s="48">
        <v>9.9422</v>
      </c>
      <c r="G786" s="49">
        <f t="shared" si="1"/>
        <v>0.099422</v>
      </c>
      <c r="H786" s="11">
        <v>3.0</v>
      </c>
      <c r="I786" s="11">
        <v>8.0</v>
      </c>
      <c r="J786" s="50">
        <v>62414.0</v>
      </c>
      <c r="K786" s="11">
        <v>1.0</v>
      </c>
      <c r="L786" s="11">
        <v>8.0</v>
      </c>
      <c r="M786" s="51">
        <v>589.0</v>
      </c>
      <c r="N786" s="17">
        <v>80.0</v>
      </c>
      <c r="O786" s="24" t="s">
        <v>39</v>
      </c>
      <c r="P786" s="52">
        <v>52015.0</v>
      </c>
      <c r="Q786" s="51">
        <v>793.0</v>
      </c>
      <c r="R786" s="53">
        <v>864.73</v>
      </c>
      <c r="S786" s="24" t="s">
        <v>600</v>
      </c>
      <c r="T786" s="11">
        <v>0.0</v>
      </c>
      <c r="U786" s="52">
        <v>10921.0</v>
      </c>
      <c r="V786" s="11">
        <v>3.0</v>
      </c>
      <c r="W786" s="11">
        <v>5.0</v>
      </c>
      <c r="X786" s="48">
        <v>5.1245</v>
      </c>
      <c r="Y786" s="11">
        <f t="shared" si="2"/>
        <v>0.051245</v>
      </c>
    </row>
    <row r="787">
      <c r="A787" s="17">
        <v>18.0</v>
      </c>
      <c r="B787" s="24">
        <v>56.0</v>
      </c>
      <c r="C787" s="24">
        <v>5.0</v>
      </c>
      <c r="D787" s="24">
        <v>9.0</v>
      </c>
      <c r="E787" s="24">
        <v>62.0</v>
      </c>
      <c r="F787" s="48">
        <v>7.8846</v>
      </c>
      <c r="G787" s="49">
        <f t="shared" si="1"/>
        <v>0.078846</v>
      </c>
      <c r="H787" s="11">
        <v>0.0</v>
      </c>
      <c r="I787" s="11">
        <v>8.0</v>
      </c>
      <c r="J787" s="50">
        <v>53119.0</v>
      </c>
      <c r="K787" s="11">
        <v>0.0</v>
      </c>
      <c r="L787" s="11">
        <v>9.0</v>
      </c>
      <c r="M787" s="51">
        <v>684.0</v>
      </c>
      <c r="N787" s="17">
        <v>29.0</v>
      </c>
      <c r="O787" s="24" t="s">
        <v>600</v>
      </c>
      <c r="P787" s="52">
        <v>53018.0</v>
      </c>
      <c r="Q787" s="51">
        <v>80.0</v>
      </c>
      <c r="R787" s="53">
        <v>-501767.26</v>
      </c>
      <c r="S787" s="24" t="s">
        <v>602</v>
      </c>
      <c r="T787" s="11">
        <v>1.0</v>
      </c>
      <c r="U787" s="52">
        <v>21721.0</v>
      </c>
      <c r="V787" s="11">
        <v>1.0</v>
      </c>
      <c r="W787" s="11">
        <v>3.0</v>
      </c>
      <c r="X787" s="48">
        <v>5.9268</v>
      </c>
      <c r="Y787" s="11">
        <f t="shared" si="2"/>
        <v>0.059268</v>
      </c>
    </row>
    <row r="788">
      <c r="A788" s="17">
        <v>37.0</v>
      </c>
      <c r="B788" s="24">
        <v>15.0</v>
      </c>
      <c r="C788" s="24">
        <v>6.0</v>
      </c>
      <c r="D788" s="24">
        <v>5.0</v>
      </c>
      <c r="E788" s="24">
        <v>66.0</v>
      </c>
      <c r="F788" s="48">
        <v>5.5767</v>
      </c>
      <c r="G788" s="49">
        <f t="shared" si="1"/>
        <v>0.055767</v>
      </c>
      <c r="H788" s="11">
        <v>4.0</v>
      </c>
      <c r="I788" s="11">
        <v>9.0</v>
      </c>
      <c r="J788" s="50">
        <v>31622.0</v>
      </c>
      <c r="K788" s="11">
        <v>4.0</v>
      </c>
      <c r="L788" s="11">
        <v>3.0</v>
      </c>
      <c r="M788" s="51">
        <v>234.0</v>
      </c>
      <c r="N788" s="17">
        <v>87.0</v>
      </c>
      <c r="O788" s="24" t="s">
        <v>31</v>
      </c>
      <c r="P788" s="52">
        <v>30119.0</v>
      </c>
      <c r="Q788" s="51">
        <v>791.0</v>
      </c>
      <c r="R788" s="53">
        <v>-9255.84</v>
      </c>
      <c r="S788" s="24" t="s">
        <v>605</v>
      </c>
      <c r="T788" s="11">
        <v>0.0</v>
      </c>
      <c r="U788" s="52">
        <v>41717.0</v>
      </c>
      <c r="V788" s="11">
        <v>3.0</v>
      </c>
      <c r="W788" s="11">
        <v>9.0</v>
      </c>
      <c r="X788" s="48">
        <v>1.3173</v>
      </c>
      <c r="Y788" s="11">
        <f t="shared" si="2"/>
        <v>0.013173</v>
      </c>
    </row>
    <row r="789">
      <c r="A789" s="17">
        <v>26.0</v>
      </c>
      <c r="B789" s="24">
        <v>56.0</v>
      </c>
      <c r="C789" s="24">
        <v>6.0</v>
      </c>
      <c r="D789" s="24">
        <v>5.0</v>
      </c>
      <c r="E789" s="24">
        <v>66.0</v>
      </c>
      <c r="F789" s="48">
        <v>1.3835</v>
      </c>
      <c r="G789" s="49">
        <f t="shared" si="1"/>
        <v>0.013835</v>
      </c>
      <c r="H789" s="11">
        <v>6.0</v>
      </c>
      <c r="I789" s="11">
        <v>1.0</v>
      </c>
      <c r="J789" s="50">
        <v>42617.0</v>
      </c>
      <c r="K789" s="11">
        <v>8.0</v>
      </c>
      <c r="L789" s="11">
        <v>2.0</v>
      </c>
      <c r="M789" s="51">
        <v>845.0</v>
      </c>
      <c r="N789" s="17">
        <v>46.0</v>
      </c>
      <c r="O789" s="24" t="s">
        <v>606</v>
      </c>
      <c r="P789" s="52">
        <v>62617.0</v>
      </c>
      <c r="Q789" s="51">
        <v>654.0</v>
      </c>
      <c r="R789" s="53">
        <v>-581514.65</v>
      </c>
      <c r="S789" s="24" t="s">
        <v>600</v>
      </c>
      <c r="T789" s="11">
        <v>6.0</v>
      </c>
      <c r="U789" s="52">
        <v>11419.0</v>
      </c>
      <c r="V789" s="11">
        <v>6.0</v>
      </c>
      <c r="W789" s="11">
        <v>9.0</v>
      </c>
      <c r="X789" s="48">
        <v>8.6474</v>
      </c>
      <c r="Y789" s="11">
        <f t="shared" si="2"/>
        <v>0.086474</v>
      </c>
    </row>
    <row r="790">
      <c r="A790" s="17">
        <v>57.0</v>
      </c>
      <c r="B790" s="24">
        <v>36.0</v>
      </c>
      <c r="C790" s="24">
        <v>2.0</v>
      </c>
      <c r="D790" s="24">
        <v>1.0</v>
      </c>
      <c r="E790" s="24">
        <v>60.0</v>
      </c>
      <c r="F790" s="48">
        <v>1.6217</v>
      </c>
      <c r="G790" s="49">
        <f t="shared" si="1"/>
        <v>0.016217</v>
      </c>
      <c r="H790" s="11">
        <v>2.0</v>
      </c>
      <c r="I790" s="11">
        <v>1.0</v>
      </c>
      <c r="J790" s="50">
        <v>81222.0</v>
      </c>
      <c r="K790" s="11">
        <v>1.0</v>
      </c>
      <c r="L790" s="11">
        <v>9.0</v>
      </c>
      <c r="M790" s="51">
        <v>525.0</v>
      </c>
      <c r="N790" s="17">
        <v>28.0</v>
      </c>
      <c r="O790" s="24" t="s">
        <v>39</v>
      </c>
      <c r="P790" s="52">
        <v>122021.0</v>
      </c>
      <c r="Q790" s="51">
        <v>556.0</v>
      </c>
      <c r="R790" s="53">
        <v>-9399.54</v>
      </c>
      <c r="S790" s="24" t="s">
        <v>605</v>
      </c>
      <c r="T790" s="11">
        <v>5.0</v>
      </c>
      <c r="U790" s="52">
        <v>51616.0</v>
      </c>
      <c r="V790" s="11">
        <v>3.0</v>
      </c>
      <c r="W790" s="11">
        <v>0.0</v>
      </c>
      <c r="X790" s="48">
        <v>6.6445</v>
      </c>
      <c r="Y790" s="11">
        <f t="shared" si="2"/>
        <v>0.066445</v>
      </c>
    </row>
    <row r="791">
      <c r="A791" s="17">
        <v>30.0</v>
      </c>
      <c r="B791" s="24">
        <v>77.0</v>
      </c>
      <c r="C791" s="24">
        <v>1.0</v>
      </c>
      <c r="D791" s="24">
        <v>7.0</v>
      </c>
      <c r="E791" s="24">
        <v>66.0</v>
      </c>
      <c r="F791" s="48">
        <v>1.3157</v>
      </c>
      <c r="G791" s="49">
        <f t="shared" si="1"/>
        <v>0.013157</v>
      </c>
      <c r="H791" s="11">
        <v>2.0</v>
      </c>
      <c r="I791" s="11">
        <v>1.0</v>
      </c>
      <c r="J791" s="50">
        <v>121318.0</v>
      </c>
      <c r="K791" s="11">
        <v>0.0</v>
      </c>
      <c r="L791" s="11">
        <v>7.0</v>
      </c>
      <c r="M791" s="51">
        <v>553.0</v>
      </c>
      <c r="N791" s="17">
        <v>42.0</v>
      </c>
      <c r="O791" s="24" t="s">
        <v>39</v>
      </c>
      <c r="P791" s="52">
        <v>30317.0</v>
      </c>
      <c r="Q791" s="51">
        <v>669.0</v>
      </c>
      <c r="R791" s="53">
        <v>737.81</v>
      </c>
      <c r="S791" s="24" t="s">
        <v>600</v>
      </c>
      <c r="T791" s="11">
        <v>1.0</v>
      </c>
      <c r="U791" s="52">
        <v>33123.0</v>
      </c>
      <c r="V791" s="11">
        <v>6.0</v>
      </c>
      <c r="W791" s="11">
        <v>6.0</v>
      </c>
      <c r="X791" s="48">
        <v>2.5922</v>
      </c>
      <c r="Y791" s="11">
        <f t="shared" si="2"/>
        <v>0.025922</v>
      </c>
    </row>
    <row r="792">
      <c r="A792" s="17">
        <v>22.0</v>
      </c>
      <c r="B792" s="24">
        <v>36.0</v>
      </c>
      <c r="C792" s="24">
        <v>2.0</v>
      </c>
      <c r="D792" s="24">
        <v>3.0</v>
      </c>
      <c r="E792" s="24">
        <v>63.0</v>
      </c>
      <c r="F792" s="48">
        <v>6.176</v>
      </c>
      <c r="G792" s="49">
        <f t="shared" si="1"/>
        <v>0.06176</v>
      </c>
      <c r="H792" s="11">
        <v>2.0</v>
      </c>
      <c r="I792" s="11">
        <v>2.0</v>
      </c>
      <c r="J792" s="50">
        <v>82916.0</v>
      </c>
      <c r="K792" s="11">
        <v>8.0</v>
      </c>
      <c r="L792" s="11">
        <v>0.0</v>
      </c>
      <c r="M792" s="51">
        <v>386.0</v>
      </c>
      <c r="N792" s="17">
        <v>58.0</v>
      </c>
      <c r="O792" s="24" t="s">
        <v>601</v>
      </c>
      <c r="P792" s="52">
        <v>112516.0</v>
      </c>
      <c r="Q792" s="51">
        <v>235.0</v>
      </c>
      <c r="R792" s="53">
        <v>-672383.3</v>
      </c>
      <c r="S792" s="24" t="s">
        <v>604</v>
      </c>
      <c r="T792" s="11">
        <v>1.0</v>
      </c>
      <c r="U792" s="52">
        <v>20617.0</v>
      </c>
      <c r="V792" s="11">
        <v>8.0</v>
      </c>
      <c r="W792" s="11">
        <v>2.0</v>
      </c>
      <c r="X792" s="48">
        <v>3.5451</v>
      </c>
      <c r="Y792" s="11">
        <f t="shared" si="2"/>
        <v>0.035451</v>
      </c>
    </row>
    <row r="793">
      <c r="A793" s="17">
        <v>93.0</v>
      </c>
      <c r="B793" s="24">
        <v>97.0</v>
      </c>
      <c r="C793" s="24">
        <v>6.0</v>
      </c>
      <c r="D793" s="24">
        <v>5.0</v>
      </c>
      <c r="E793" s="24">
        <v>67.0</v>
      </c>
      <c r="F793" s="48">
        <v>7.4037</v>
      </c>
      <c r="G793" s="49">
        <f t="shared" si="1"/>
        <v>0.074037</v>
      </c>
      <c r="H793" s="11">
        <v>8.0</v>
      </c>
      <c r="I793" s="11">
        <v>0.0</v>
      </c>
      <c r="J793" s="50">
        <v>13018.0</v>
      </c>
      <c r="K793" s="11">
        <v>4.0</v>
      </c>
      <c r="L793" s="11">
        <v>6.0</v>
      </c>
      <c r="M793" s="51">
        <v>843.0</v>
      </c>
      <c r="N793" s="17">
        <v>25.0</v>
      </c>
      <c r="O793" s="24" t="s">
        <v>48</v>
      </c>
      <c r="P793" s="52">
        <v>50914.0</v>
      </c>
      <c r="Q793" s="51">
        <v>866.0</v>
      </c>
      <c r="R793" s="53">
        <v>7423.3</v>
      </c>
      <c r="S793" s="24" t="s">
        <v>605</v>
      </c>
      <c r="T793" s="11">
        <v>3.0</v>
      </c>
      <c r="U793" s="52">
        <v>90515.0</v>
      </c>
      <c r="V793" s="11">
        <v>1.0</v>
      </c>
      <c r="W793" s="11">
        <v>3.0</v>
      </c>
      <c r="X793" s="48">
        <v>6.8302</v>
      </c>
      <c r="Y793" s="11">
        <f t="shared" si="2"/>
        <v>0.068302</v>
      </c>
    </row>
    <row r="794">
      <c r="A794" s="17">
        <v>83.0</v>
      </c>
      <c r="B794" s="24">
        <v>97.0</v>
      </c>
      <c r="C794" s="24">
        <v>6.0</v>
      </c>
      <c r="D794" s="24">
        <v>9.0</v>
      </c>
      <c r="E794" s="24">
        <v>65.0</v>
      </c>
      <c r="F794" s="48">
        <v>1.5656</v>
      </c>
      <c r="G794" s="49">
        <f t="shared" si="1"/>
        <v>0.015656</v>
      </c>
      <c r="H794" s="11">
        <v>1.0</v>
      </c>
      <c r="I794" s="11">
        <v>5.0</v>
      </c>
      <c r="J794" s="50">
        <v>40517.0</v>
      </c>
      <c r="K794" s="11">
        <v>3.0</v>
      </c>
      <c r="L794" s="11">
        <v>8.0</v>
      </c>
      <c r="M794" s="51">
        <v>43.0</v>
      </c>
      <c r="N794" s="17">
        <v>33.0</v>
      </c>
      <c r="O794" s="24" t="s">
        <v>48</v>
      </c>
      <c r="P794" s="52">
        <v>50117.0</v>
      </c>
      <c r="Q794" s="51">
        <v>892.0</v>
      </c>
      <c r="R794" s="53">
        <v>-6140.67</v>
      </c>
      <c r="S794" s="24" t="s">
        <v>604</v>
      </c>
      <c r="T794" s="11">
        <v>0.0</v>
      </c>
      <c r="U794" s="52">
        <v>11718.0</v>
      </c>
      <c r="V794" s="11">
        <v>2.0</v>
      </c>
      <c r="W794" s="11">
        <v>7.0</v>
      </c>
      <c r="X794" s="48">
        <v>1.3283</v>
      </c>
      <c r="Y794" s="11">
        <f t="shared" si="2"/>
        <v>0.013283</v>
      </c>
    </row>
    <row r="795">
      <c r="A795" s="17">
        <v>5.0</v>
      </c>
      <c r="B795" s="24">
        <v>56.0</v>
      </c>
      <c r="C795" s="24">
        <v>7.0</v>
      </c>
      <c r="D795" s="24">
        <v>4.0</v>
      </c>
      <c r="E795" s="24">
        <v>65.0</v>
      </c>
      <c r="F795" s="48">
        <v>1.4116</v>
      </c>
      <c r="G795" s="49">
        <f t="shared" si="1"/>
        <v>0.014116</v>
      </c>
      <c r="H795" s="11">
        <v>5.0</v>
      </c>
      <c r="I795" s="11">
        <v>3.0</v>
      </c>
      <c r="J795" s="50">
        <v>121621.0</v>
      </c>
      <c r="K795" s="11">
        <v>5.0</v>
      </c>
      <c r="L795" s="11">
        <v>7.0</v>
      </c>
      <c r="M795" s="51">
        <v>381.0</v>
      </c>
      <c r="N795" s="17">
        <v>62.0</v>
      </c>
      <c r="O795" s="24" t="s">
        <v>600</v>
      </c>
      <c r="P795" s="52">
        <v>42820.0</v>
      </c>
      <c r="Q795" s="51">
        <v>460.0</v>
      </c>
      <c r="R795" s="53">
        <v>454776.6</v>
      </c>
      <c r="S795" s="24" t="s">
        <v>605</v>
      </c>
      <c r="T795" s="11">
        <v>2.0</v>
      </c>
      <c r="U795" s="52">
        <v>101818.0</v>
      </c>
      <c r="V795" s="11">
        <v>8.0</v>
      </c>
      <c r="W795" s="11">
        <v>6.0</v>
      </c>
      <c r="X795" s="48">
        <v>7.2717</v>
      </c>
      <c r="Y795" s="11">
        <f t="shared" si="2"/>
        <v>0.072717</v>
      </c>
    </row>
    <row r="796">
      <c r="A796" s="17">
        <v>82.0</v>
      </c>
      <c r="B796" s="24">
        <v>15.0</v>
      </c>
      <c r="C796" s="24">
        <v>7.0</v>
      </c>
      <c r="D796" s="24">
        <v>9.0</v>
      </c>
      <c r="E796" s="24">
        <v>63.0</v>
      </c>
      <c r="F796" s="48">
        <v>5.3208</v>
      </c>
      <c r="G796" s="49">
        <f t="shared" si="1"/>
        <v>0.053208</v>
      </c>
      <c r="H796" s="11">
        <v>0.0</v>
      </c>
      <c r="I796" s="11">
        <v>6.0</v>
      </c>
      <c r="J796" s="50">
        <v>122219.0</v>
      </c>
      <c r="K796" s="11">
        <v>8.0</v>
      </c>
      <c r="L796" s="11">
        <v>5.0</v>
      </c>
      <c r="M796" s="51">
        <v>587.0</v>
      </c>
      <c r="N796" s="17">
        <v>12.0</v>
      </c>
      <c r="O796" s="24" t="s">
        <v>606</v>
      </c>
      <c r="P796" s="52">
        <v>90717.0</v>
      </c>
      <c r="Q796" s="51">
        <v>686.0</v>
      </c>
      <c r="R796" s="53">
        <v>925.87</v>
      </c>
      <c r="S796" s="24" t="s">
        <v>605</v>
      </c>
      <c r="T796" s="11">
        <v>3.0</v>
      </c>
      <c r="U796" s="52">
        <v>100514.0</v>
      </c>
      <c r="V796" s="11">
        <v>6.0</v>
      </c>
      <c r="W796" s="11">
        <v>2.0</v>
      </c>
      <c r="X796" s="48">
        <v>7.8983</v>
      </c>
      <c r="Y796" s="11">
        <f t="shared" si="2"/>
        <v>0.078983</v>
      </c>
    </row>
    <row r="797">
      <c r="A797" s="17">
        <v>85.0</v>
      </c>
      <c r="B797" s="24">
        <v>97.0</v>
      </c>
      <c r="C797" s="24">
        <v>7.0</v>
      </c>
      <c r="D797" s="24">
        <v>2.0</v>
      </c>
      <c r="E797" s="24">
        <v>66.0</v>
      </c>
      <c r="F797" s="48">
        <v>1.5659</v>
      </c>
      <c r="G797" s="49">
        <f t="shared" si="1"/>
        <v>0.015659</v>
      </c>
      <c r="H797" s="11">
        <v>0.0</v>
      </c>
      <c r="I797" s="11">
        <v>9.0</v>
      </c>
      <c r="J797" s="50">
        <v>101918.0</v>
      </c>
      <c r="K797" s="11">
        <v>3.0</v>
      </c>
      <c r="L797" s="11">
        <v>2.0</v>
      </c>
      <c r="M797" s="51">
        <v>303.0</v>
      </c>
      <c r="N797" s="17">
        <v>63.0</v>
      </c>
      <c r="O797" s="24" t="s">
        <v>31</v>
      </c>
      <c r="P797" s="52">
        <v>102015.0</v>
      </c>
      <c r="Q797" s="51">
        <v>392.0</v>
      </c>
      <c r="R797" s="53">
        <v>925682.56</v>
      </c>
      <c r="S797" s="24" t="s">
        <v>602</v>
      </c>
      <c r="T797" s="11">
        <v>6.0</v>
      </c>
      <c r="U797" s="52">
        <v>13018.0</v>
      </c>
      <c r="V797" s="11">
        <v>1.0</v>
      </c>
      <c r="W797" s="11">
        <v>0.0</v>
      </c>
      <c r="X797" s="48">
        <v>6.293</v>
      </c>
      <c r="Y797" s="11">
        <f t="shared" si="2"/>
        <v>0.06293</v>
      </c>
    </row>
    <row r="798">
      <c r="A798" s="17">
        <v>1.0</v>
      </c>
      <c r="B798" s="24">
        <v>56.0</v>
      </c>
      <c r="C798" s="24">
        <v>7.0</v>
      </c>
      <c r="D798" s="24">
        <v>5.0</v>
      </c>
      <c r="E798" s="24">
        <v>60.0</v>
      </c>
      <c r="F798" s="48">
        <v>6.5585</v>
      </c>
      <c r="G798" s="49">
        <f t="shared" si="1"/>
        <v>0.065585</v>
      </c>
      <c r="H798" s="11">
        <v>4.0</v>
      </c>
      <c r="I798" s="11">
        <v>1.0</v>
      </c>
      <c r="J798" s="50">
        <v>90423.0</v>
      </c>
      <c r="K798" s="11">
        <v>3.0</v>
      </c>
      <c r="L798" s="11">
        <v>1.0</v>
      </c>
      <c r="M798" s="51">
        <v>420.0</v>
      </c>
      <c r="N798" s="17">
        <v>11.0</v>
      </c>
      <c r="O798" s="24" t="s">
        <v>39</v>
      </c>
      <c r="P798" s="52">
        <v>21720.0</v>
      </c>
      <c r="Q798" s="51">
        <v>994.0</v>
      </c>
      <c r="R798" s="53">
        <v>-96283.93</v>
      </c>
      <c r="S798" s="24" t="s">
        <v>605</v>
      </c>
      <c r="T798" s="11">
        <v>1.0</v>
      </c>
      <c r="U798" s="52">
        <v>102417.0</v>
      </c>
      <c r="V798" s="11">
        <v>2.0</v>
      </c>
      <c r="W798" s="11">
        <v>6.0</v>
      </c>
      <c r="X798" s="48">
        <v>1.442</v>
      </c>
      <c r="Y798" s="11">
        <f t="shared" si="2"/>
        <v>0.01442</v>
      </c>
    </row>
    <row r="799">
      <c r="A799" s="17">
        <v>34.0</v>
      </c>
      <c r="B799" s="24">
        <v>97.0</v>
      </c>
      <c r="C799" s="24">
        <v>7.0</v>
      </c>
      <c r="D799" s="24">
        <v>4.0</v>
      </c>
      <c r="E799" s="24">
        <v>61.0</v>
      </c>
      <c r="F799" s="48">
        <v>5.72</v>
      </c>
      <c r="G799" s="49">
        <f t="shared" si="1"/>
        <v>0.0572</v>
      </c>
      <c r="H799" s="11">
        <v>8.0</v>
      </c>
      <c r="I799" s="11">
        <v>5.0</v>
      </c>
      <c r="J799" s="50">
        <v>122715.0</v>
      </c>
      <c r="K799" s="11">
        <v>0.0</v>
      </c>
      <c r="L799" s="11">
        <v>2.0</v>
      </c>
      <c r="M799" s="51">
        <v>163.0</v>
      </c>
      <c r="N799" s="17">
        <v>92.0</v>
      </c>
      <c r="O799" s="24" t="s">
        <v>606</v>
      </c>
      <c r="P799" s="52">
        <v>20813.0</v>
      </c>
      <c r="Q799" s="51">
        <v>617.0</v>
      </c>
      <c r="R799" s="53">
        <v>-8906.15</v>
      </c>
      <c r="S799" s="24" t="s">
        <v>600</v>
      </c>
      <c r="T799" s="11">
        <v>4.0</v>
      </c>
      <c r="U799" s="52">
        <v>110923.0</v>
      </c>
      <c r="V799" s="11">
        <v>2.0</v>
      </c>
      <c r="W799" s="11">
        <v>2.0</v>
      </c>
      <c r="X799" s="48">
        <v>1.9044</v>
      </c>
      <c r="Y799" s="11">
        <f t="shared" si="2"/>
        <v>0.019044</v>
      </c>
    </row>
    <row r="800">
      <c r="A800" s="17">
        <v>17.0</v>
      </c>
      <c r="B800" s="24">
        <v>15.0</v>
      </c>
      <c r="C800" s="24">
        <v>8.0</v>
      </c>
      <c r="D800" s="24">
        <v>3.0</v>
      </c>
      <c r="E800" s="24">
        <v>63.0</v>
      </c>
      <c r="F800" s="48">
        <v>7.2852</v>
      </c>
      <c r="G800" s="49">
        <f t="shared" si="1"/>
        <v>0.072852</v>
      </c>
      <c r="H800" s="11">
        <v>5.0</v>
      </c>
      <c r="I800" s="11">
        <v>3.0</v>
      </c>
      <c r="J800" s="50">
        <v>41221.0</v>
      </c>
      <c r="K800" s="11">
        <v>3.0</v>
      </c>
      <c r="L800" s="11">
        <v>3.0</v>
      </c>
      <c r="M800" s="51">
        <v>66.0</v>
      </c>
      <c r="N800" s="17">
        <v>97.0</v>
      </c>
      <c r="O800" s="24" t="s">
        <v>603</v>
      </c>
      <c r="P800" s="52">
        <v>42116.0</v>
      </c>
      <c r="Q800" s="51">
        <v>374.0</v>
      </c>
      <c r="R800" s="53">
        <v>80945.21</v>
      </c>
      <c r="S800" s="24" t="s">
        <v>600</v>
      </c>
      <c r="T800" s="11">
        <v>2.0</v>
      </c>
      <c r="U800" s="52">
        <v>71317.0</v>
      </c>
      <c r="V800" s="11">
        <v>4.0</v>
      </c>
      <c r="W800" s="11">
        <v>9.0</v>
      </c>
      <c r="X800" s="48">
        <v>7.3428</v>
      </c>
      <c r="Y800" s="11">
        <f t="shared" si="2"/>
        <v>0.073428</v>
      </c>
    </row>
    <row r="801">
      <c r="A801" s="17">
        <v>26.0</v>
      </c>
      <c r="B801" s="24">
        <v>77.0</v>
      </c>
      <c r="C801" s="24">
        <v>2.0</v>
      </c>
      <c r="D801" s="24">
        <v>3.0</v>
      </c>
      <c r="E801" s="24">
        <v>66.0</v>
      </c>
      <c r="F801" s="48">
        <v>1.3675</v>
      </c>
      <c r="G801" s="49">
        <f t="shared" si="1"/>
        <v>0.013675</v>
      </c>
      <c r="H801" s="11">
        <v>6.0</v>
      </c>
      <c r="I801" s="11">
        <v>3.0</v>
      </c>
      <c r="J801" s="50">
        <v>70123.0</v>
      </c>
      <c r="K801" s="11">
        <v>3.0</v>
      </c>
      <c r="L801" s="11">
        <v>7.0</v>
      </c>
      <c r="M801" s="51">
        <v>215.0</v>
      </c>
      <c r="N801" s="17">
        <v>9.0</v>
      </c>
      <c r="O801" s="24" t="s">
        <v>603</v>
      </c>
      <c r="P801" s="52">
        <v>91723.0</v>
      </c>
      <c r="Q801" s="51">
        <v>316.0</v>
      </c>
      <c r="R801" s="53">
        <v>886.39</v>
      </c>
      <c r="S801" s="24" t="s">
        <v>604</v>
      </c>
      <c r="T801" s="11">
        <v>2.0</v>
      </c>
      <c r="U801" s="52">
        <v>111319.0</v>
      </c>
      <c r="V801" s="11">
        <v>8.0</v>
      </c>
      <c r="W801" s="11">
        <v>5.0</v>
      </c>
      <c r="X801" s="48">
        <v>4.702</v>
      </c>
      <c r="Y801" s="11">
        <f t="shared" si="2"/>
        <v>0.04702</v>
      </c>
    </row>
    <row r="802">
      <c r="A802" s="17">
        <v>36.0</v>
      </c>
      <c r="B802" s="24">
        <v>97.0</v>
      </c>
      <c r="C802" s="24">
        <v>7.0</v>
      </c>
      <c r="D802" s="24">
        <v>7.0</v>
      </c>
      <c r="E802" s="24">
        <v>63.0</v>
      </c>
      <c r="F802" s="48">
        <v>2.5835</v>
      </c>
      <c r="G802" s="49">
        <f t="shared" si="1"/>
        <v>0.025835</v>
      </c>
      <c r="H802" s="11">
        <v>7.0</v>
      </c>
      <c r="I802" s="11">
        <v>9.0</v>
      </c>
      <c r="J802" s="50">
        <v>102117.0</v>
      </c>
      <c r="K802" s="11">
        <v>1.0</v>
      </c>
      <c r="L802" s="11">
        <v>0.0</v>
      </c>
      <c r="M802" s="51">
        <v>754.0</v>
      </c>
      <c r="N802" s="17">
        <v>87.0</v>
      </c>
      <c r="O802" s="24" t="s">
        <v>48</v>
      </c>
      <c r="P802" s="52">
        <v>92014.0</v>
      </c>
      <c r="Q802" s="51">
        <v>438.0</v>
      </c>
      <c r="R802" s="53">
        <v>-430.44</v>
      </c>
      <c r="S802" s="24" t="s">
        <v>600</v>
      </c>
      <c r="T802" s="11">
        <v>7.0</v>
      </c>
      <c r="U802" s="52">
        <v>11713.0</v>
      </c>
      <c r="V802" s="11">
        <v>8.0</v>
      </c>
      <c r="W802" s="11">
        <v>5.0</v>
      </c>
      <c r="X802" s="48">
        <v>4.5803</v>
      </c>
      <c r="Y802" s="11">
        <f t="shared" si="2"/>
        <v>0.045803</v>
      </c>
    </row>
    <row r="803">
      <c r="A803" s="17">
        <v>3.0</v>
      </c>
      <c r="B803" s="24">
        <v>97.0</v>
      </c>
      <c r="C803" s="24">
        <v>7.0</v>
      </c>
      <c r="D803" s="24">
        <v>8.0</v>
      </c>
      <c r="E803" s="24">
        <v>62.0</v>
      </c>
      <c r="F803" s="48">
        <v>3.9605</v>
      </c>
      <c r="G803" s="49">
        <f t="shared" si="1"/>
        <v>0.039605</v>
      </c>
      <c r="H803" s="11">
        <v>7.0</v>
      </c>
      <c r="I803" s="11">
        <v>7.0</v>
      </c>
      <c r="J803" s="50">
        <v>42020.0</v>
      </c>
      <c r="K803" s="11">
        <v>3.0</v>
      </c>
      <c r="L803" s="11">
        <v>8.0</v>
      </c>
      <c r="M803" s="51">
        <v>13.0</v>
      </c>
      <c r="N803" s="17">
        <v>9.0</v>
      </c>
      <c r="O803" s="24" t="s">
        <v>603</v>
      </c>
      <c r="P803" s="52">
        <v>82021.0</v>
      </c>
      <c r="Q803" s="51">
        <v>850.0</v>
      </c>
      <c r="R803" s="53">
        <v>622.17</v>
      </c>
      <c r="S803" s="24" t="s">
        <v>604</v>
      </c>
      <c r="T803" s="11">
        <v>0.0</v>
      </c>
      <c r="U803" s="52">
        <v>120721.0</v>
      </c>
      <c r="V803" s="11">
        <v>2.0</v>
      </c>
      <c r="W803" s="11">
        <v>7.0</v>
      </c>
      <c r="X803" s="48">
        <v>6.6905</v>
      </c>
      <c r="Y803" s="11">
        <f t="shared" si="2"/>
        <v>0.066905</v>
      </c>
    </row>
    <row r="804">
      <c r="A804" s="17">
        <v>15.0</v>
      </c>
      <c r="B804" s="24">
        <v>77.0</v>
      </c>
      <c r="C804" s="24">
        <v>3.0</v>
      </c>
      <c r="D804" s="24">
        <v>3.0</v>
      </c>
      <c r="E804" s="24">
        <v>65.0</v>
      </c>
      <c r="F804" s="48">
        <v>8.7295</v>
      </c>
      <c r="G804" s="49">
        <f t="shared" si="1"/>
        <v>0.087295</v>
      </c>
      <c r="H804" s="11">
        <v>2.0</v>
      </c>
      <c r="I804" s="11">
        <v>4.0</v>
      </c>
      <c r="J804" s="50">
        <v>91814.0</v>
      </c>
      <c r="K804" s="11">
        <v>1.0</v>
      </c>
      <c r="L804" s="11">
        <v>9.0</v>
      </c>
      <c r="M804" s="51">
        <v>573.0</v>
      </c>
      <c r="N804" s="17">
        <v>27.0</v>
      </c>
      <c r="O804" s="24" t="s">
        <v>39</v>
      </c>
      <c r="P804" s="52">
        <v>122517.0</v>
      </c>
      <c r="Q804" s="51">
        <v>708.0</v>
      </c>
      <c r="R804" s="53">
        <v>97530.94</v>
      </c>
      <c r="S804" s="24" t="s">
        <v>600</v>
      </c>
      <c r="T804" s="11">
        <v>4.0</v>
      </c>
      <c r="U804" s="52">
        <v>41413.0</v>
      </c>
      <c r="V804" s="11">
        <v>8.0</v>
      </c>
      <c r="W804" s="11">
        <v>5.0</v>
      </c>
      <c r="X804" s="48">
        <v>2.2613</v>
      </c>
      <c r="Y804" s="11">
        <f t="shared" si="2"/>
        <v>0.022613</v>
      </c>
    </row>
    <row r="805">
      <c r="A805" s="17">
        <v>6.0</v>
      </c>
      <c r="B805" s="24">
        <v>97.0</v>
      </c>
      <c r="C805" s="24">
        <v>8.0</v>
      </c>
      <c r="D805" s="24">
        <v>1.0</v>
      </c>
      <c r="E805" s="24">
        <v>68.0</v>
      </c>
      <c r="F805" s="48">
        <v>5.9307</v>
      </c>
      <c r="G805" s="49">
        <f t="shared" si="1"/>
        <v>0.059307</v>
      </c>
      <c r="H805" s="11">
        <v>7.0</v>
      </c>
      <c r="I805" s="11">
        <v>1.0</v>
      </c>
      <c r="J805" s="50">
        <v>83017.0</v>
      </c>
      <c r="K805" s="11">
        <v>6.0</v>
      </c>
      <c r="L805" s="11">
        <v>3.0</v>
      </c>
      <c r="M805" s="51">
        <v>745.0</v>
      </c>
      <c r="N805" s="17">
        <v>78.0</v>
      </c>
      <c r="O805" s="24" t="s">
        <v>606</v>
      </c>
      <c r="P805" s="52">
        <v>12016.0</v>
      </c>
      <c r="Q805" s="51">
        <v>769.0</v>
      </c>
      <c r="R805" s="53">
        <v>-607053.48</v>
      </c>
      <c r="S805" s="24" t="s">
        <v>602</v>
      </c>
      <c r="T805" s="11">
        <v>0.0</v>
      </c>
      <c r="U805" s="52">
        <v>41422.0</v>
      </c>
      <c r="V805" s="11">
        <v>5.0</v>
      </c>
      <c r="W805" s="11">
        <v>7.0</v>
      </c>
      <c r="X805" s="48">
        <v>7.2174</v>
      </c>
      <c r="Y805" s="11">
        <f t="shared" si="2"/>
        <v>0.072174</v>
      </c>
    </row>
    <row r="806">
      <c r="A806" s="17">
        <v>90.0</v>
      </c>
      <c r="B806" s="24">
        <v>77.0</v>
      </c>
      <c r="C806" s="24">
        <v>3.0</v>
      </c>
      <c r="D806" s="24">
        <v>6.0</v>
      </c>
      <c r="E806" s="24">
        <v>66.0</v>
      </c>
      <c r="F806" s="48">
        <v>9.4058</v>
      </c>
      <c r="G806" s="49">
        <f t="shared" si="1"/>
        <v>0.094058</v>
      </c>
      <c r="H806" s="11">
        <v>6.0</v>
      </c>
      <c r="I806" s="11">
        <v>3.0</v>
      </c>
      <c r="J806" s="50">
        <v>111222.0</v>
      </c>
      <c r="K806" s="11">
        <v>7.0</v>
      </c>
      <c r="L806" s="11">
        <v>8.0</v>
      </c>
      <c r="M806" s="51">
        <v>830.0</v>
      </c>
      <c r="N806" s="17">
        <v>13.0</v>
      </c>
      <c r="O806" s="24" t="s">
        <v>603</v>
      </c>
      <c r="P806" s="52">
        <v>111615.0</v>
      </c>
      <c r="Q806" s="51">
        <v>521.0</v>
      </c>
      <c r="R806" s="53">
        <v>-50488.51</v>
      </c>
      <c r="S806" s="24" t="s">
        <v>600</v>
      </c>
      <c r="T806" s="11">
        <v>0.0</v>
      </c>
      <c r="U806" s="52">
        <v>51415.0</v>
      </c>
      <c r="V806" s="11">
        <v>4.0</v>
      </c>
      <c r="W806" s="11">
        <v>4.0</v>
      </c>
      <c r="X806" s="48">
        <v>7.8933</v>
      </c>
      <c r="Y806" s="11">
        <f t="shared" si="2"/>
        <v>0.078933</v>
      </c>
    </row>
    <row r="807">
      <c r="A807" s="17">
        <v>97.0</v>
      </c>
      <c r="B807" s="24">
        <v>97.0</v>
      </c>
      <c r="C807" s="24">
        <v>8.0</v>
      </c>
      <c r="D807" s="24">
        <v>6.0</v>
      </c>
      <c r="E807" s="24">
        <v>65.0</v>
      </c>
      <c r="F807" s="48">
        <v>7.359</v>
      </c>
      <c r="G807" s="49">
        <f t="shared" si="1"/>
        <v>0.07359</v>
      </c>
      <c r="H807" s="11">
        <v>3.0</v>
      </c>
      <c r="I807" s="11">
        <v>1.0</v>
      </c>
      <c r="J807" s="50">
        <v>120318.0</v>
      </c>
      <c r="K807" s="11">
        <v>4.0</v>
      </c>
      <c r="L807" s="11">
        <v>3.0</v>
      </c>
      <c r="M807" s="51">
        <v>687.0</v>
      </c>
      <c r="N807" s="17">
        <v>50.0</v>
      </c>
      <c r="O807" s="24" t="s">
        <v>606</v>
      </c>
      <c r="P807" s="52">
        <v>72320.0</v>
      </c>
      <c r="Q807" s="51">
        <v>334.0</v>
      </c>
      <c r="R807" s="53">
        <v>-35790.55</v>
      </c>
      <c r="S807" s="24" t="s">
        <v>605</v>
      </c>
      <c r="T807" s="11">
        <v>1.0</v>
      </c>
      <c r="U807" s="52">
        <v>111717.0</v>
      </c>
      <c r="V807" s="11">
        <v>9.0</v>
      </c>
      <c r="W807" s="11">
        <v>3.0</v>
      </c>
      <c r="X807" s="48">
        <v>8.1062</v>
      </c>
      <c r="Y807" s="11">
        <f t="shared" si="2"/>
        <v>0.081062</v>
      </c>
    </row>
    <row r="808">
      <c r="A808" s="17">
        <v>67.0</v>
      </c>
      <c r="B808" s="24">
        <v>15.0</v>
      </c>
      <c r="C808" s="24">
        <v>9.0</v>
      </c>
      <c r="D808" s="24">
        <v>5.0</v>
      </c>
      <c r="E808" s="24">
        <v>62.0</v>
      </c>
      <c r="F808" s="48">
        <v>3.2341</v>
      </c>
      <c r="G808" s="49">
        <f t="shared" si="1"/>
        <v>0.032341</v>
      </c>
      <c r="H808" s="11">
        <v>4.0</v>
      </c>
      <c r="I808" s="11">
        <v>2.0</v>
      </c>
      <c r="J808" s="50">
        <v>30115.0</v>
      </c>
      <c r="K808" s="11">
        <v>9.0</v>
      </c>
      <c r="L808" s="11">
        <v>5.0</v>
      </c>
      <c r="M808" s="51">
        <v>70.0</v>
      </c>
      <c r="N808" s="17">
        <v>92.0</v>
      </c>
      <c r="O808" s="24" t="s">
        <v>600</v>
      </c>
      <c r="P808" s="52">
        <v>10719.0</v>
      </c>
      <c r="Q808" s="51">
        <v>473.0</v>
      </c>
      <c r="R808" s="53">
        <v>-532.1</v>
      </c>
      <c r="S808" s="24" t="s">
        <v>605</v>
      </c>
      <c r="T808" s="11">
        <v>6.0</v>
      </c>
      <c r="U808" s="52">
        <v>52519.0</v>
      </c>
      <c r="V808" s="11">
        <v>8.0</v>
      </c>
      <c r="W808" s="11">
        <v>4.0</v>
      </c>
      <c r="X808" s="48">
        <v>1.677</v>
      </c>
      <c r="Y808" s="11">
        <f t="shared" si="2"/>
        <v>0.01677</v>
      </c>
    </row>
    <row r="809">
      <c r="A809" s="17">
        <v>92.0</v>
      </c>
      <c r="B809" s="24">
        <v>97.0</v>
      </c>
      <c r="C809" s="24">
        <v>8.0</v>
      </c>
      <c r="D809" s="24">
        <v>7.0</v>
      </c>
      <c r="E809" s="24">
        <v>63.0</v>
      </c>
      <c r="F809" s="48">
        <v>8.6684</v>
      </c>
      <c r="G809" s="49">
        <f t="shared" si="1"/>
        <v>0.086684</v>
      </c>
      <c r="H809" s="11">
        <v>8.0</v>
      </c>
      <c r="I809" s="11">
        <v>3.0</v>
      </c>
      <c r="J809" s="50">
        <v>121719.0</v>
      </c>
      <c r="K809" s="11">
        <v>0.0</v>
      </c>
      <c r="L809" s="11">
        <v>4.0</v>
      </c>
      <c r="M809" s="51">
        <v>521.0</v>
      </c>
      <c r="N809" s="17">
        <v>66.0</v>
      </c>
      <c r="O809" s="24" t="s">
        <v>601</v>
      </c>
      <c r="P809" s="52">
        <v>21713.0</v>
      </c>
      <c r="Q809" s="51">
        <v>72.0</v>
      </c>
      <c r="R809" s="53">
        <v>-256774.25</v>
      </c>
      <c r="S809" s="24" t="s">
        <v>605</v>
      </c>
      <c r="T809" s="11">
        <v>4.0</v>
      </c>
      <c r="U809" s="52">
        <v>31215.0</v>
      </c>
      <c r="V809" s="11">
        <v>0.0</v>
      </c>
      <c r="W809" s="11">
        <v>4.0</v>
      </c>
      <c r="X809" s="48">
        <v>4.1167</v>
      </c>
      <c r="Y809" s="11">
        <f t="shared" si="2"/>
        <v>0.041167</v>
      </c>
    </row>
    <row r="810">
      <c r="A810" s="17">
        <v>31.0</v>
      </c>
      <c r="B810" s="24">
        <v>15.0</v>
      </c>
      <c r="C810" s="24">
        <v>9.0</v>
      </c>
      <c r="D810" s="24">
        <v>8.0</v>
      </c>
      <c r="E810" s="24">
        <v>68.0</v>
      </c>
      <c r="F810" s="48">
        <v>5.7472</v>
      </c>
      <c r="G810" s="49">
        <f t="shared" si="1"/>
        <v>0.057472</v>
      </c>
      <c r="H810" s="11">
        <v>4.0</v>
      </c>
      <c r="I810" s="11">
        <v>4.0</v>
      </c>
      <c r="J810" s="50">
        <v>110316.0</v>
      </c>
      <c r="K810" s="11">
        <v>9.0</v>
      </c>
      <c r="L810" s="11">
        <v>8.0</v>
      </c>
      <c r="M810" s="51">
        <v>28.0</v>
      </c>
      <c r="N810" s="17">
        <v>5.0</v>
      </c>
      <c r="O810" s="24" t="s">
        <v>606</v>
      </c>
      <c r="P810" s="52">
        <v>62720.0</v>
      </c>
      <c r="Q810" s="51">
        <v>958.0</v>
      </c>
      <c r="R810" s="53">
        <v>-7907.47</v>
      </c>
      <c r="S810" s="24" t="s">
        <v>604</v>
      </c>
      <c r="T810" s="11">
        <v>6.0</v>
      </c>
      <c r="U810" s="52">
        <v>12920.0</v>
      </c>
      <c r="V810" s="11">
        <v>3.0</v>
      </c>
      <c r="W810" s="11">
        <v>6.0</v>
      </c>
      <c r="X810" s="48">
        <v>9.5049</v>
      </c>
      <c r="Y810" s="11">
        <f t="shared" si="2"/>
        <v>0.095049</v>
      </c>
    </row>
    <row r="811">
      <c r="A811" s="17">
        <v>34.0</v>
      </c>
      <c r="B811" s="24">
        <v>36.0</v>
      </c>
      <c r="C811" s="24">
        <v>4.0</v>
      </c>
      <c r="D811" s="24">
        <v>8.0</v>
      </c>
      <c r="E811" s="24">
        <v>66.0</v>
      </c>
      <c r="F811" s="48">
        <v>7.6911</v>
      </c>
      <c r="G811" s="49">
        <f t="shared" si="1"/>
        <v>0.076911</v>
      </c>
      <c r="H811" s="11">
        <v>4.0</v>
      </c>
      <c r="I811" s="11">
        <v>0.0</v>
      </c>
      <c r="J811" s="50">
        <v>71120.0</v>
      </c>
      <c r="K811" s="11">
        <v>8.0</v>
      </c>
      <c r="L811" s="11">
        <v>1.0</v>
      </c>
      <c r="M811" s="51">
        <v>938.0</v>
      </c>
      <c r="N811" s="17">
        <v>27.0</v>
      </c>
      <c r="O811" s="24" t="s">
        <v>48</v>
      </c>
      <c r="P811" s="52">
        <v>70919.0</v>
      </c>
      <c r="Q811" s="51">
        <v>161.0</v>
      </c>
      <c r="R811" s="53">
        <v>-6638.71</v>
      </c>
      <c r="S811" s="24" t="s">
        <v>605</v>
      </c>
      <c r="T811" s="11">
        <v>7.0</v>
      </c>
      <c r="U811" s="52">
        <v>60114.0</v>
      </c>
      <c r="V811" s="11">
        <v>4.0</v>
      </c>
      <c r="W811" s="11">
        <v>4.0</v>
      </c>
      <c r="X811" s="48">
        <v>8.314</v>
      </c>
      <c r="Y811" s="11">
        <f t="shared" si="2"/>
        <v>0.08314</v>
      </c>
    </row>
    <row r="812">
      <c r="A812" s="17">
        <v>84.0</v>
      </c>
      <c r="B812" s="24">
        <v>77.0</v>
      </c>
      <c r="C812" s="24">
        <v>4.0</v>
      </c>
      <c r="D812" s="24">
        <v>5.0</v>
      </c>
      <c r="E812" s="24">
        <v>66.0</v>
      </c>
      <c r="F812" s="48">
        <v>7.7653</v>
      </c>
      <c r="G812" s="49">
        <f t="shared" si="1"/>
        <v>0.077653</v>
      </c>
      <c r="H812" s="11">
        <v>0.0</v>
      </c>
      <c r="I812" s="11">
        <v>5.0</v>
      </c>
      <c r="J812" s="50">
        <v>12222.0</v>
      </c>
      <c r="K812" s="11">
        <v>9.0</v>
      </c>
      <c r="L812" s="11">
        <v>8.0</v>
      </c>
      <c r="M812" s="51">
        <v>619.0</v>
      </c>
      <c r="N812" s="17">
        <v>95.0</v>
      </c>
      <c r="O812" s="24" t="s">
        <v>600</v>
      </c>
      <c r="P812" s="52">
        <v>20113.0</v>
      </c>
      <c r="Q812" s="51">
        <v>30.0</v>
      </c>
      <c r="R812" s="53">
        <v>5200.54</v>
      </c>
      <c r="S812" s="24" t="s">
        <v>600</v>
      </c>
      <c r="T812" s="11">
        <v>4.0</v>
      </c>
      <c r="U812" s="52">
        <v>91718.0</v>
      </c>
      <c r="V812" s="11">
        <v>8.0</v>
      </c>
      <c r="W812" s="11">
        <v>7.0</v>
      </c>
      <c r="X812" s="48">
        <v>4.3189</v>
      </c>
      <c r="Y812" s="11">
        <f t="shared" si="2"/>
        <v>0.043189</v>
      </c>
    </row>
    <row r="813">
      <c r="A813" s="17">
        <v>36.0</v>
      </c>
      <c r="B813" s="24">
        <v>56.0</v>
      </c>
      <c r="C813" s="24">
        <v>9.0</v>
      </c>
      <c r="D813" s="24">
        <v>7.0</v>
      </c>
      <c r="E813" s="24">
        <v>61.0</v>
      </c>
      <c r="F813" s="48">
        <v>4.9389</v>
      </c>
      <c r="G813" s="49">
        <f t="shared" si="1"/>
        <v>0.049389</v>
      </c>
      <c r="H813" s="11">
        <v>8.0</v>
      </c>
      <c r="I813" s="11">
        <v>3.0</v>
      </c>
      <c r="J813" s="50">
        <v>41417.0</v>
      </c>
      <c r="K813" s="11">
        <v>8.0</v>
      </c>
      <c r="L813" s="11">
        <v>5.0</v>
      </c>
      <c r="M813" s="51">
        <v>317.0</v>
      </c>
      <c r="N813" s="17">
        <v>83.0</v>
      </c>
      <c r="O813" s="24" t="s">
        <v>600</v>
      </c>
      <c r="P813" s="52">
        <v>10316.0</v>
      </c>
      <c r="Q813" s="51">
        <v>957.0</v>
      </c>
      <c r="R813" s="53">
        <v>935.63</v>
      </c>
      <c r="S813" s="24" t="s">
        <v>604</v>
      </c>
      <c r="T813" s="11">
        <v>8.0</v>
      </c>
      <c r="U813" s="52">
        <v>61620.0</v>
      </c>
      <c r="V813" s="11">
        <v>5.0</v>
      </c>
      <c r="W813" s="11">
        <v>8.0</v>
      </c>
      <c r="X813" s="48">
        <v>7.5329</v>
      </c>
      <c r="Y813" s="11">
        <f t="shared" si="2"/>
        <v>0.075329</v>
      </c>
    </row>
    <row r="814">
      <c r="A814" s="17">
        <v>30.0</v>
      </c>
      <c r="B814" s="24">
        <v>97.0</v>
      </c>
      <c r="C814" s="24">
        <v>9.0</v>
      </c>
      <c r="D814" s="24">
        <v>3.0</v>
      </c>
      <c r="E814" s="24">
        <v>64.0</v>
      </c>
      <c r="F814" s="48">
        <v>8.8264</v>
      </c>
      <c r="G814" s="49">
        <f t="shared" si="1"/>
        <v>0.088264</v>
      </c>
      <c r="H814" s="11">
        <v>0.0</v>
      </c>
      <c r="I814" s="11">
        <v>3.0</v>
      </c>
      <c r="J814" s="50">
        <v>60218.0</v>
      </c>
      <c r="K814" s="11">
        <v>3.0</v>
      </c>
      <c r="L814" s="11">
        <v>9.0</v>
      </c>
      <c r="M814" s="51">
        <v>688.0</v>
      </c>
      <c r="N814" s="17">
        <v>7.0</v>
      </c>
      <c r="O814" s="24" t="s">
        <v>600</v>
      </c>
      <c r="P814" s="52">
        <v>60420.0</v>
      </c>
      <c r="Q814" s="51">
        <v>266.0</v>
      </c>
      <c r="R814" s="53">
        <v>-2833.37</v>
      </c>
      <c r="S814" s="24" t="s">
        <v>600</v>
      </c>
      <c r="T814" s="11">
        <v>3.0</v>
      </c>
      <c r="U814" s="52">
        <v>70321.0</v>
      </c>
      <c r="V814" s="11">
        <v>5.0</v>
      </c>
      <c r="W814" s="11">
        <v>6.0</v>
      </c>
      <c r="X814" s="48">
        <v>9.5608</v>
      </c>
      <c r="Y814" s="11">
        <f t="shared" si="2"/>
        <v>0.095608</v>
      </c>
    </row>
    <row r="815">
      <c r="A815" s="17">
        <v>22.0</v>
      </c>
      <c r="B815" s="24">
        <v>77.0</v>
      </c>
      <c r="C815" s="24">
        <v>4.0</v>
      </c>
      <c r="D815" s="24">
        <v>9.0</v>
      </c>
      <c r="E815" s="24">
        <v>63.0</v>
      </c>
      <c r="F815" s="48">
        <v>8.2811</v>
      </c>
      <c r="G815" s="49">
        <f t="shared" si="1"/>
        <v>0.082811</v>
      </c>
      <c r="H815" s="11">
        <v>2.0</v>
      </c>
      <c r="I815" s="11">
        <v>4.0</v>
      </c>
      <c r="J815" s="50">
        <v>51619.0</v>
      </c>
      <c r="K815" s="11">
        <v>4.0</v>
      </c>
      <c r="L815" s="11">
        <v>9.0</v>
      </c>
      <c r="M815" s="51">
        <v>882.0</v>
      </c>
      <c r="N815" s="17">
        <v>65.0</v>
      </c>
      <c r="O815" s="24" t="s">
        <v>39</v>
      </c>
      <c r="P815" s="52">
        <v>31619.0</v>
      </c>
      <c r="Q815" s="51">
        <v>189.0</v>
      </c>
      <c r="R815" s="53">
        <v>-70684.28</v>
      </c>
      <c r="S815" s="24" t="s">
        <v>602</v>
      </c>
      <c r="T815" s="11">
        <v>8.0</v>
      </c>
      <c r="U815" s="52">
        <v>20119.0</v>
      </c>
      <c r="V815" s="11">
        <v>7.0</v>
      </c>
      <c r="W815" s="11">
        <v>7.0</v>
      </c>
      <c r="X815" s="48">
        <v>9.7875</v>
      </c>
      <c r="Y815" s="11">
        <f t="shared" si="2"/>
        <v>0.097875</v>
      </c>
    </row>
    <row r="816">
      <c r="A816" s="17">
        <v>59.0</v>
      </c>
      <c r="B816" s="24">
        <v>36.0</v>
      </c>
      <c r="C816" s="24">
        <v>5.0</v>
      </c>
      <c r="D816" s="24">
        <v>5.0</v>
      </c>
      <c r="E816" s="24">
        <v>62.0</v>
      </c>
      <c r="F816" s="48">
        <v>2.4974</v>
      </c>
      <c r="G816" s="49">
        <f t="shared" si="1"/>
        <v>0.024974</v>
      </c>
      <c r="H816" s="11">
        <v>6.0</v>
      </c>
      <c r="I816" s="11">
        <v>7.0</v>
      </c>
      <c r="J816" s="50">
        <v>40719.0</v>
      </c>
      <c r="K816" s="11">
        <v>7.0</v>
      </c>
      <c r="L816" s="11">
        <v>3.0</v>
      </c>
      <c r="M816" s="51">
        <v>346.0</v>
      </c>
      <c r="N816" s="17">
        <v>17.0</v>
      </c>
      <c r="O816" s="24" t="s">
        <v>600</v>
      </c>
      <c r="P816" s="52">
        <v>22719.0</v>
      </c>
      <c r="Q816" s="51">
        <v>577.0</v>
      </c>
      <c r="R816" s="53">
        <v>50846.21</v>
      </c>
      <c r="S816" s="24" t="s">
        <v>605</v>
      </c>
      <c r="T816" s="11">
        <v>6.0</v>
      </c>
      <c r="U816" s="52">
        <v>41623.0</v>
      </c>
      <c r="V816" s="11">
        <v>4.0</v>
      </c>
      <c r="W816" s="11">
        <v>3.0</v>
      </c>
      <c r="X816" s="48">
        <v>7.9816</v>
      </c>
      <c r="Y816" s="11">
        <f t="shared" si="2"/>
        <v>0.079816</v>
      </c>
    </row>
    <row r="817">
      <c r="A817" s="17">
        <v>34.0</v>
      </c>
      <c r="B817" s="24">
        <v>77.0</v>
      </c>
      <c r="C817" s="24">
        <v>5.0</v>
      </c>
      <c r="D817" s="24">
        <v>2.0</v>
      </c>
      <c r="E817" s="24">
        <v>61.0</v>
      </c>
      <c r="F817" s="48">
        <v>7.7688</v>
      </c>
      <c r="G817" s="49">
        <f t="shared" si="1"/>
        <v>0.077688</v>
      </c>
      <c r="H817" s="11">
        <v>6.0</v>
      </c>
      <c r="I817" s="11">
        <v>0.0</v>
      </c>
      <c r="J817" s="50">
        <v>122223.0</v>
      </c>
      <c r="K817" s="11">
        <v>6.0</v>
      </c>
      <c r="L817" s="11">
        <v>4.0</v>
      </c>
      <c r="M817" s="51">
        <v>197.0</v>
      </c>
      <c r="N817" s="17">
        <v>52.0</v>
      </c>
      <c r="O817" s="24" t="s">
        <v>606</v>
      </c>
      <c r="P817" s="52">
        <v>60918.0</v>
      </c>
      <c r="Q817" s="51">
        <v>404.0</v>
      </c>
      <c r="R817" s="53">
        <v>315.2</v>
      </c>
      <c r="S817" s="24" t="s">
        <v>602</v>
      </c>
      <c r="T817" s="11">
        <v>8.0</v>
      </c>
      <c r="U817" s="52">
        <v>92015.0</v>
      </c>
      <c r="V817" s="11">
        <v>0.0</v>
      </c>
      <c r="W817" s="11">
        <v>3.0</v>
      </c>
      <c r="X817" s="48">
        <v>3.6</v>
      </c>
      <c r="Y817" s="11">
        <f t="shared" si="2"/>
        <v>0.036</v>
      </c>
    </row>
    <row r="818">
      <c r="A818" s="17">
        <v>34.0</v>
      </c>
      <c r="B818" s="24">
        <v>77.0</v>
      </c>
      <c r="C818" s="24">
        <v>5.0</v>
      </c>
      <c r="D818" s="24">
        <v>3.0</v>
      </c>
      <c r="E818" s="24">
        <v>63.0</v>
      </c>
      <c r="F818" s="48">
        <v>8.7945</v>
      </c>
      <c r="G818" s="49">
        <f t="shared" si="1"/>
        <v>0.087945</v>
      </c>
      <c r="H818" s="11">
        <v>2.0</v>
      </c>
      <c r="I818" s="11">
        <v>4.0</v>
      </c>
      <c r="J818" s="50">
        <v>91223.0</v>
      </c>
      <c r="K818" s="11">
        <v>3.0</v>
      </c>
      <c r="L818" s="11">
        <v>2.0</v>
      </c>
      <c r="M818" s="51">
        <v>880.0</v>
      </c>
      <c r="N818" s="17">
        <v>94.0</v>
      </c>
      <c r="O818" s="24" t="s">
        <v>48</v>
      </c>
      <c r="P818" s="52">
        <v>82119.0</v>
      </c>
      <c r="Q818" s="51">
        <v>157.0</v>
      </c>
      <c r="R818" s="53">
        <v>20640.31</v>
      </c>
      <c r="S818" s="24" t="s">
        <v>604</v>
      </c>
      <c r="T818" s="11">
        <v>8.0</v>
      </c>
      <c r="U818" s="52">
        <v>50521.0</v>
      </c>
      <c r="V818" s="11">
        <v>9.0</v>
      </c>
      <c r="W818" s="11">
        <v>4.0</v>
      </c>
      <c r="X818" s="48">
        <v>5.7847</v>
      </c>
      <c r="Y818" s="11">
        <f t="shared" si="2"/>
        <v>0.057847</v>
      </c>
    </row>
    <row r="819">
      <c r="A819" s="17">
        <v>66.0</v>
      </c>
      <c r="B819" s="24">
        <v>77.0</v>
      </c>
      <c r="C819" s="24">
        <v>5.0</v>
      </c>
      <c r="D819" s="24">
        <v>6.0</v>
      </c>
      <c r="E819" s="24">
        <v>68.0</v>
      </c>
      <c r="F819" s="48">
        <v>8.9865</v>
      </c>
      <c r="G819" s="49">
        <f t="shared" si="1"/>
        <v>0.089865</v>
      </c>
      <c r="H819" s="11">
        <v>7.0</v>
      </c>
      <c r="I819" s="11">
        <v>7.0</v>
      </c>
      <c r="J819" s="50">
        <v>61715.0</v>
      </c>
      <c r="K819" s="11">
        <v>5.0</v>
      </c>
      <c r="L819" s="11">
        <v>5.0</v>
      </c>
      <c r="M819" s="51">
        <v>225.0</v>
      </c>
      <c r="N819" s="17">
        <v>78.0</v>
      </c>
      <c r="O819" s="24" t="s">
        <v>601</v>
      </c>
      <c r="P819" s="52">
        <v>91022.0</v>
      </c>
      <c r="Q819" s="51">
        <v>405.0</v>
      </c>
      <c r="R819" s="53">
        <v>-243.44</v>
      </c>
      <c r="S819" s="24" t="s">
        <v>605</v>
      </c>
      <c r="T819" s="11">
        <v>6.0</v>
      </c>
      <c r="U819" s="52">
        <v>81722.0</v>
      </c>
      <c r="V819" s="11">
        <v>8.0</v>
      </c>
      <c r="W819" s="11">
        <v>5.0</v>
      </c>
      <c r="X819" s="48">
        <v>9.4824</v>
      </c>
      <c r="Y819" s="11">
        <f t="shared" si="2"/>
        <v>0.094824</v>
      </c>
    </row>
    <row r="820">
      <c r="A820" s="17">
        <v>3.0</v>
      </c>
      <c r="B820" s="24">
        <v>77.0</v>
      </c>
      <c r="C820" s="24">
        <v>6.0</v>
      </c>
      <c r="D820" s="24">
        <v>1.0</v>
      </c>
      <c r="E820" s="24">
        <v>64.0</v>
      </c>
      <c r="F820" s="48">
        <v>2.5861</v>
      </c>
      <c r="G820" s="49">
        <f t="shared" si="1"/>
        <v>0.025861</v>
      </c>
      <c r="H820" s="11">
        <v>0.0</v>
      </c>
      <c r="I820" s="11">
        <v>0.0</v>
      </c>
      <c r="J820" s="50">
        <v>70214.0</v>
      </c>
      <c r="K820" s="11">
        <v>1.0</v>
      </c>
      <c r="L820" s="11">
        <v>3.0</v>
      </c>
      <c r="M820" s="51">
        <v>501.0</v>
      </c>
      <c r="N820" s="17">
        <v>72.0</v>
      </c>
      <c r="O820" s="24" t="s">
        <v>606</v>
      </c>
      <c r="P820" s="52">
        <v>10622.0</v>
      </c>
      <c r="Q820" s="51">
        <v>720.0</v>
      </c>
      <c r="R820" s="53">
        <v>-155.6</v>
      </c>
      <c r="S820" s="24" t="s">
        <v>602</v>
      </c>
      <c r="T820" s="11">
        <v>3.0</v>
      </c>
      <c r="U820" s="52">
        <v>82118.0</v>
      </c>
      <c r="V820" s="11">
        <v>4.0</v>
      </c>
      <c r="W820" s="11">
        <v>8.0</v>
      </c>
      <c r="X820" s="48">
        <v>3.4556</v>
      </c>
      <c r="Y820" s="11">
        <f t="shared" si="2"/>
        <v>0.034556</v>
      </c>
    </row>
    <row r="821">
      <c r="A821" s="17">
        <v>68.0</v>
      </c>
      <c r="B821" s="24">
        <v>98.0</v>
      </c>
      <c r="C821" s="24">
        <v>1.0</v>
      </c>
      <c r="D821" s="24">
        <v>3.0</v>
      </c>
      <c r="E821" s="24">
        <v>63.0</v>
      </c>
      <c r="F821" s="48">
        <v>1.3639</v>
      </c>
      <c r="G821" s="49">
        <f t="shared" si="1"/>
        <v>0.013639</v>
      </c>
      <c r="H821" s="11">
        <v>5.0</v>
      </c>
      <c r="I821" s="11">
        <v>1.0</v>
      </c>
      <c r="J821" s="50">
        <v>112715.0</v>
      </c>
      <c r="K821" s="11">
        <v>7.0</v>
      </c>
      <c r="L821" s="11">
        <v>0.0</v>
      </c>
      <c r="M821" s="51">
        <v>806.0</v>
      </c>
      <c r="N821" s="17">
        <v>37.0</v>
      </c>
      <c r="O821" s="24" t="s">
        <v>601</v>
      </c>
      <c r="P821" s="52">
        <v>70317.0</v>
      </c>
      <c r="Q821" s="51">
        <v>228.0</v>
      </c>
      <c r="R821" s="53">
        <v>77543.3</v>
      </c>
      <c r="S821" s="24" t="s">
        <v>605</v>
      </c>
      <c r="T821" s="11">
        <v>9.0</v>
      </c>
      <c r="U821" s="52">
        <v>111220.0</v>
      </c>
      <c r="V821" s="11">
        <v>2.0</v>
      </c>
      <c r="W821" s="11">
        <v>7.0</v>
      </c>
      <c r="X821" s="48">
        <v>6.255</v>
      </c>
      <c r="Y821" s="11">
        <f t="shared" si="2"/>
        <v>0.06255</v>
      </c>
    </row>
    <row r="822">
      <c r="A822" s="17">
        <v>91.0</v>
      </c>
      <c r="B822" s="24">
        <v>77.0</v>
      </c>
      <c r="C822" s="24">
        <v>6.0</v>
      </c>
      <c r="D822" s="24">
        <v>8.0</v>
      </c>
      <c r="E822" s="24">
        <v>62.0</v>
      </c>
      <c r="F822" s="48">
        <v>6.2614</v>
      </c>
      <c r="G822" s="49">
        <f t="shared" si="1"/>
        <v>0.062614</v>
      </c>
      <c r="H822" s="11">
        <v>7.0</v>
      </c>
      <c r="I822" s="11">
        <v>4.0</v>
      </c>
      <c r="J822" s="50">
        <v>112317.0</v>
      </c>
      <c r="K822" s="11">
        <v>7.0</v>
      </c>
      <c r="L822" s="11">
        <v>0.0</v>
      </c>
      <c r="M822" s="51">
        <v>593.0</v>
      </c>
      <c r="N822" s="17">
        <v>63.0</v>
      </c>
      <c r="O822" s="24" t="s">
        <v>39</v>
      </c>
      <c r="P822" s="52">
        <v>52023.0</v>
      </c>
      <c r="Q822" s="51">
        <v>805.0</v>
      </c>
      <c r="R822" s="53">
        <v>-191044.14</v>
      </c>
      <c r="S822" s="24" t="s">
        <v>600</v>
      </c>
      <c r="T822" s="11">
        <v>9.0</v>
      </c>
      <c r="U822" s="52">
        <v>10716.0</v>
      </c>
      <c r="V822" s="11">
        <v>7.0</v>
      </c>
      <c r="W822" s="11">
        <v>4.0</v>
      </c>
      <c r="X822" s="48">
        <v>7.6952</v>
      </c>
      <c r="Y822" s="11">
        <f t="shared" si="2"/>
        <v>0.076952</v>
      </c>
    </row>
    <row r="823">
      <c r="A823" s="17">
        <v>65.0</v>
      </c>
      <c r="B823" s="24">
        <v>98.0</v>
      </c>
      <c r="C823" s="24">
        <v>1.0</v>
      </c>
      <c r="D823" s="24">
        <v>7.0</v>
      </c>
      <c r="E823" s="24">
        <v>66.0</v>
      </c>
      <c r="F823" s="48">
        <v>1.7699</v>
      </c>
      <c r="G823" s="49">
        <f t="shared" si="1"/>
        <v>0.017699</v>
      </c>
      <c r="H823" s="11">
        <v>1.0</v>
      </c>
      <c r="I823" s="11">
        <v>5.0</v>
      </c>
      <c r="J823" s="50">
        <v>62219.0</v>
      </c>
      <c r="K823" s="11">
        <v>5.0</v>
      </c>
      <c r="L823" s="11">
        <v>6.0</v>
      </c>
      <c r="M823" s="51">
        <v>43.0</v>
      </c>
      <c r="N823" s="17">
        <v>1.0</v>
      </c>
      <c r="O823" s="24" t="s">
        <v>31</v>
      </c>
      <c r="P823" s="52">
        <v>82016.0</v>
      </c>
      <c r="Q823" s="51">
        <v>853.0</v>
      </c>
      <c r="R823" s="53">
        <v>242176.62</v>
      </c>
      <c r="S823" s="24" t="s">
        <v>600</v>
      </c>
      <c r="T823" s="11">
        <v>2.0</v>
      </c>
      <c r="U823" s="52">
        <v>20520.0</v>
      </c>
      <c r="V823" s="11">
        <v>5.0</v>
      </c>
      <c r="W823" s="11">
        <v>9.0</v>
      </c>
      <c r="X823" s="48">
        <v>7.9855</v>
      </c>
      <c r="Y823" s="11">
        <f t="shared" si="2"/>
        <v>0.079855</v>
      </c>
    </row>
    <row r="824">
      <c r="A824" s="17">
        <v>13.0</v>
      </c>
      <c r="B824" s="24">
        <v>57.0</v>
      </c>
      <c r="C824" s="24">
        <v>2.0</v>
      </c>
      <c r="D824" s="24">
        <v>4.0</v>
      </c>
      <c r="E824" s="24">
        <v>64.0</v>
      </c>
      <c r="F824" s="48">
        <v>6.8396</v>
      </c>
      <c r="G824" s="49">
        <f t="shared" si="1"/>
        <v>0.068396</v>
      </c>
      <c r="H824" s="11">
        <v>0.0</v>
      </c>
      <c r="I824" s="11">
        <v>3.0</v>
      </c>
      <c r="J824" s="50">
        <v>112013.0</v>
      </c>
      <c r="K824" s="11">
        <v>1.0</v>
      </c>
      <c r="L824" s="11">
        <v>9.0</v>
      </c>
      <c r="M824" s="51">
        <v>887.0</v>
      </c>
      <c r="N824" s="17">
        <v>48.0</v>
      </c>
      <c r="O824" s="24" t="s">
        <v>39</v>
      </c>
      <c r="P824" s="52">
        <v>83013.0</v>
      </c>
      <c r="Q824" s="51">
        <v>491.0</v>
      </c>
      <c r="R824" s="53">
        <v>127.52</v>
      </c>
      <c r="S824" s="24" t="s">
        <v>600</v>
      </c>
      <c r="T824" s="11">
        <v>2.0</v>
      </c>
      <c r="U824" s="52">
        <v>31118.0</v>
      </c>
      <c r="V824" s="11">
        <v>7.0</v>
      </c>
      <c r="W824" s="11">
        <v>4.0</v>
      </c>
      <c r="X824" s="48">
        <v>6.1306</v>
      </c>
      <c r="Y824" s="11">
        <f t="shared" si="2"/>
        <v>0.061306</v>
      </c>
    </row>
    <row r="825">
      <c r="A825" s="17">
        <v>83.0</v>
      </c>
      <c r="B825" s="24">
        <v>77.0</v>
      </c>
      <c r="C825" s="24">
        <v>7.0</v>
      </c>
      <c r="D825" s="24">
        <v>3.0</v>
      </c>
      <c r="E825" s="24">
        <v>67.0</v>
      </c>
      <c r="F825" s="48">
        <v>1.7013</v>
      </c>
      <c r="G825" s="49">
        <f t="shared" si="1"/>
        <v>0.017013</v>
      </c>
      <c r="H825" s="11">
        <v>7.0</v>
      </c>
      <c r="I825" s="11">
        <v>3.0</v>
      </c>
      <c r="J825" s="50">
        <v>103018.0</v>
      </c>
      <c r="K825" s="11">
        <v>6.0</v>
      </c>
      <c r="L825" s="11">
        <v>0.0</v>
      </c>
      <c r="M825" s="51">
        <v>692.0</v>
      </c>
      <c r="N825" s="17">
        <v>94.0</v>
      </c>
      <c r="O825" s="24" t="s">
        <v>606</v>
      </c>
      <c r="P825" s="52">
        <v>42119.0</v>
      </c>
      <c r="Q825" s="51">
        <v>654.0</v>
      </c>
      <c r="R825" s="53">
        <v>-498.91</v>
      </c>
      <c r="S825" s="24" t="s">
        <v>604</v>
      </c>
      <c r="T825" s="11">
        <v>0.0</v>
      </c>
      <c r="U825" s="52">
        <v>81921.0</v>
      </c>
      <c r="V825" s="11">
        <v>3.0</v>
      </c>
      <c r="W825" s="11">
        <v>8.0</v>
      </c>
      <c r="X825" s="48">
        <v>4.7196</v>
      </c>
      <c r="Y825" s="11">
        <f t="shared" si="2"/>
        <v>0.047196</v>
      </c>
    </row>
    <row r="826">
      <c r="A826" s="17">
        <v>16.0</v>
      </c>
      <c r="B826" s="24">
        <v>77.0</v>
      </c>
      <c r="C826" s="24">
        <v>7.0</v>
      </c>
      <c r="D826" s="24">
        <v>4.0</v>
      </c>
      <c r="E826" s="24">
        <v>63.0</v>
      </c>
      <c r="F826" s="48">
        <v>4.4019</v>
      </c>
      <c r="G826" s="49">
        <f t="shared" si="1"/>
        <v>0.044019</v>
      </c>
      <c r="H826" s="11">
        <v>6.0</v>
      </c>
      <c r="I826" s="11">
        <v>5.0</v>
      </c>
      <c r="J826" s="50">
        <v>80214.0</v>
      </c>
      <c r="K826" s="11">
        <v>4.0</v>
      </c>
      <c r="L826" s="11">
        <v>1.0</v>
      </c>
      <c r="M826" s="51">
        <v>403.0</v>
      </c>
      <c r="N826" s="17">
        <v>63.0</v>
      </c>
      <c r="O826" s="24" t="s">
        <v>601</v>
      </c>
      <c r="P826" s="52">
        <v>92815.0</v>
      </c>
      <c r="Q826" s="51">
        <v>425.0</v>
      </c>
      <c r="R826" s="53">
        <v>27133.98</v>
      </c>
      <c r="S826" s="24" t="s">
        <v>602</v>
      </c>
      <c r="T826" s="11">
        <v>9.0</v>
      </c>
      <c r="U826" s="52">
        <v>122423.0</v>
      </c>
      <c r="V826" s="11">
        <v>8.0</v>
      </c>
      <c r="W826" s="11">
        <v>0.0</v>
      </c>
      <c r="X826" s="48">
        <v>3.8761</v>
      </c>
      <c r="Y826" s="11">
        <f t="shared" si="2"/>
        <v>0.038761</v>
      </c>
    </row>
    <row r="827">
      <c r="A827" s="17">
        <v>67.0</v>
      </c>
      <c r="B827" s="24">
        <v>16.0</v>
      </c>
      <c r="C827" s="24">
        <v>2.0</v>
      </c>
      <c r="D827" s="24">
        <v>9.0</v>
      </c>
      <c r="E827" s="24">
        <v>62.0</v>
      </c>
      <c r="F827" s="48">
        <v>6.5634</v>
      </c>
      <c r="G827" s="49">
        <f t="shared" si="1"/>
        <v>0.065634</v>
      </c>
      <c r="H827" s="11">
        <v>9.0</v>
      </c>
      <c r="I827" s="11">
        <v>4.0</v>
      </c>
      <c r="J827" s="50">
        <v>92319.0</v>
      </c>
      <c r="K827" s="11">
        <v>0.0</v>
      </c>
      <c r="L827" s="11">
        <v>3.0</v>
      </c>
      <c r="M827" s="51">
        <v>537.0</v>
      </c>
      <c r="N827" s="17">
        <v>67.0</v>
      </c>
      <c r="O827" s="24" t="s">
        <v>48</v>
      </c>
      <c r="P827" s="52">
        <v>61219.0</v>
      </c>
      <c r="Q827" s="51">
        <v>874.0</v>
      </c>
      <c r="R827" s="53">
        <v>-7797.7</v>
      </c>
      <c r="S827" s="24" t="s">
        <v>602</v>
      </c>
      <c r="T827" s="11">
        <v>4.0</v>
      </c>
      <c r="U827" s="52">
        <v>101020.0</v>
      </c>
      <c r="V827" s="11">
        <v>2.0</v>
      </c>
      <c r="W827" s="11">
        <v>2.0</v>
      </c>
      <c r="X827" s="48">
        <v>2.6717</v>
      </c>
      <c r="Y827" s="11">
        <f t="shared" si="2"/>
        <v>0.026717</v>
      </c>
    </row>
    <row r="828">
      <c r="A828" s="17">
        <v>15.0</v>
      </c>
      <c r="B828" s="24">
        <v>77.0</v>
      </c>
      <c r="C828" s="24">
        <v>7.0</v>
      </c>
      <c r="D828" s="24">
        <v>6.0</v>
      </c>
      <c r="E828" s="24">
        <v>67.0</v>
      </c>
      <c r="F828" s="48">
        <v>5.7722</v>
      </c>
      <c r="G828" s="49">
        <f t="shared" si="1"/>
        <v>0.057722</v>
      </c>
      <c r="H828" s="11">
        <v>2.0</v>
      </c>
      <c r="I828" s="11">
        <v>1.0</v>
      </c>
      <c r="J828" s="50">
        <v>80720.0</v>
      </c>
      <c r="K828" s="11">
        <v>1.0</v>
      </c>
      <c r="L828" s="11">
        <v>5.0</v>
      </c>
      <c r="M828" s="51">
        <v>764.0</v>
      </c>
      <c r="N828" s="17">
        <v>83.0</v>
      </c>
      <c r="O828" s="24" t="s">
        <v>48</v>
      </c>
      <c r="P828" s="52">
        <v>80614.0</v>
      </c>
      <c r="Q828" s="51">
        <v>957.0</v>
      </c>
      <c r="R828" s="53">
        <v>-9511.9</v>
      </c>
      <c r="S828" s="24" t="s">
        <v>604</v>
      </c>
      <c r="T828" s="11">
        <v>2.0</v>
      </c>
      <c r="U828" s="52">
        <v>122313.0</v>
      </c>
      <c r="V828" s="11">
        <v>4.0</v>
      </c>
      <c r="W828" s="11">
        <v>0.0</v>
      </c>
      <c r="X828" s="48">
        <v>1.1128</v>
      </c>
      <c r="Y828" s="11">
        <f t="shared" si="2"/>
        <v>0.011128</v>
      </c>
    </row>
    <row r="829">
      <c r="A829" s="17">
        <v>92.0</v>
      </c>
      <c r="B829" s="24">
        <v>98.0</v>
      </c>
      <c r="C829" s="24">
        <v>2.0</v>
      </c>
      <c r="D829" s="24">
        <v>2.0</v>
      </c>
      <c r="E829" s="24">
        <v>68.0</v>
      </c>
      <c r="F829" s="48">
        <v>4.9129</v>
      </c>
      <c r="G829" s="49">
        <f t="shared" si="1"/>
        <v>0.049129</v>
      </c>
      <c r="H829" s="11">
        <v>1.0</v>
      </c>
      <c r="I829" s="11">
        <v>2.0</v>
      </c>
      <c r="J829" s="50">
        <v>22320.0</v>
      </c>
      <c r="K829" s="11">
        <v>2.0</v>
      </c>
      <c r="L829" s="11">
        <v>8.0</v>
      </c>
      <c r="M829" s="51">
        <v>536.0</v>
      </c>
      <c r="N829" s="17">
        <v>44.0</v>
      </c>
      <c r="O829" s="24" t="s">
        <v>603</v>
      </c>
      <c r="P829" s="52">
        <v>22320.0</v>
      </c>
      <c r="Q829" s="51">
        <v>522.0</v>
      </c>
      <c r="R829" s="53">
        <v>-595.59</v>
      </c>
      <c r="S829" s="24" t="s">
        <v>604</v>
      </c>
      <c r="T829" s="11">
        <v>1.0</v>
      </c>
      <c r="U829" s="52">
        <v>91622.0</v>
      </c>
      <c r="V829" s="11">
        <v>4.0</v>
      </c>
      <c r="W829" s="11">
        <v>8.0</v>
      </c>
      <c r="X829" s="48">
        <v>3.9675</v>
      </c>
      <c r="Y829" s="11">
        <f t="shared" si="2"/>
        <v>0.039675</v>
      </c>
    </row>
    <row r="830">
      <c r="A830" s="17">
        <v>31.0</v>
      </c>
      <c r="B830" s="24">
        <v>36.0</v>
      </c>
      <c r="C830" s="24">
        <v>8.0</v>
      </c>
      <c r="D830" s="24">
        <v>2.0</v>
      </c>
      <c r="E830" s="24">
        <v>61.0</v>
      </c>
      <c r="F830" s="48">
        <v>9.8335</v>
      </c>
      <c r="G830" s="49">
        <f t="shared" si="1"/>
        <v>0.098335</v>
      </c>
      <c r="H830" s="11">
        <v>2.0</v>
      </c>
      <c r="I830" s="11">
        <v>9.0</v>
      </c>
      <c r="J830" s="50">
        <v>22315.0</v>
      </c>
      <c r="K830" s="11">
        <v>0.0</v>
      </c>
      <c r="L830" s="11">
        <v>1.0</v>
      </c>
      <c r="M830" s="51">
        <v>892.0</v>
      </c>
      <c r="N830" s="17">
        <v>97.0</v>
      </c>
      <c r="O830" s="24" t="s">
        <v>606</v>
      </c>
      <c r="P830" s="52">
        <v>30313.0</v>
      </c>
      <c r="Q830" s="51">
        <v>209.0</v>
      </c>
      <c r="R830" s="53">
        <v>1572.32</v>
      </c>
      <c r="S830" s="24" t="s">
        <v>600</v>
      </c>
      <c r="T830" s="11">
        <v>0.0</v>
      </c>
      <c r="U830" s="52">
        <v>123123.0</v>
      </c>
      <c r="V830" s="11">
        <v>0.0</v>
      </c>
      <c r="W830" s="11">
        <v>5.0</v>
      </c>
      <c r="X830" s="48">
        <v>3.163</v>
      </c>
      <c r="Y830" s="11">
        <f t="shared" si="2"/>
        <v>0.03163</v>
      </c>
    </row>
    <row r="831">
      <c r="A831" s="17">
        <v>4.0</v>
      </c>
      <c r="B831" s="24">
        <v>77.0</v>
      </c>
      <c r="C831" s="24">
        <v>7.0</v>
      </c>
      <c r="D831" s="24">
        <v>8.0</v>
      </c>
      <c r="E831" s="24">
        <v>67.0</v>
      </c>
      <c r="F831" s="48">
        <v>1.536</v>
      </c>
      <c r="G831" s="49">
        <f t="shared" si="1"/>
        <v>0.01536</v>
      </c>
      <c r="H831" s="11">
        <v>5.0</v>
      </c>
      <c r="I831" s="11">
        <v>1.0</v>
      </c>
      <c r="J831" s="50">
        <v>112614.0</v>
      </c>
      <c r="K831" s="11">
        <v>9.0</v>
      </c>
      <c r="L831" s="11">
        <v>3.0</v>
      </c>
      <c r="M831" s="51">
        <v>417.0</v>
      </c>
      <c r="N831" s="17">
        <v>20.0</v>
      </c>
      <c r="O831" s="24" t="s">
        <v>31</v>
      </c>
      <c r="P831" s="52">
        <v>32417.0</v>
      </c>
      <c r="Q831" s="51">
        <v>677.0</v>
      </c>
      <c r="R831" s="53">
        <v>-8115.82</v>
      </c>
      <c r="S831" s="24" t="s">
        <v>605</v>
      </c>
      <c r="T831" s="11">
        <v>9.0</v>
      </c>
      <c r="U831" s="52">
        <v>120316.0</v>
      </c>
      <c r="V831" s="11">
        <v>2.0</v>
      </c>
      <c r="W831" s="11">
        <v>0.0</v>
      </c>
      <c r="X831" s="48">
        <v>7.3753</v>
      </c>
      <c r="Y831" s="11">
        <f t="shared" si="2"/>
        <v>0.073753</v>
      </c>
    </row>
    <row r="832">
      <c r="A832" s="17">
        <v>92.0</v>
      </c>
      <c r="B832" s="24">
        <v>36.0</v>
      </c>
      <c r="C832" s="24">
        <v>8.0</v>
      </c>
      <c r="D832" s="24">
        <v>5.0</v>
      </c>
      <c r="E832" s="24">
        <v>68.0</v>
      </c>
      <c r="F832" s="48">
        <v>7.1704</v>
      </c>
      <c r="G832" s="49">
        <f t="shared" si="1"/>
        <v>0.071704</v>
      </c>
      <c r="H832" s="11">
        <v>6.0</v>
      </c>
      <c r="I832" s="11">
        <v>1.0</v>
      </c>
      <c r="J832" s="50">
        <v>42519.0</v>
      </c>
      <c r="K832" s="11">
        <v>0.0</v>
      </c>
      <c r="L832" s="11">
        <v>1.0</v>
      </c>
      <c r="M832" s="51">
        <v>399.0</v>
      </c>
      <c r="N832" s="17">
        <v>20.0</v>
      </c>
      <c r="O832" s="24" t="s">
        <v>603</v>
      </c>
      <c r="P832" s="52">
        <v>91019.0</v>
      </c>
      <c r="Q832" s="51">
        <v>985.0</v>
      </c>
      <c r="R832" s="53">
        <v>980.46</v>
      </c>
      <c r="S832" s="24" t="s">
        <v>605</v>
      </c>
      <c r="T832" s="11">
        <v>6.0</v>
      </c>
      <c r="U832" s="52">
        <v>60419.0</v>
      </c>
      <c r="V832" s="11">
        <v>3.0</v>
      </c>
      <c r="W832" s="11">
        <v>6.0</v>
      </c>
      <c r="X832" s="48">
        <v>2.609</v>
      </c>
      <c r="Y832" s="11">
        <f t="shared" si="2"/>
        <v>0.02609</v>
      </c>
    </row>
    <row r="833">
      <c r="A833" s="17">
        <v>32.0</v>
      </c>
      <c r="B833" s="24">
        <v>36.0</v>
      </c>
      <c r="C833" s="24">
        <v>8.0</v>
      </c>
      <c r="D833" s="24">
        <v>6.0</v>
      </c>
      <c r="E833" s="24">
        <v>65.0</v>
      </c>
      <c r="F833" s="48">
        <v>6.8319</v>
      </c>
      <c r="G833" s="49">
        <f t="shared" si="1"/>
        <v>0.068319</v>
      </c>
      <c r="H833" s="11">
        <v>2.0</v>
      </c>
      <c r="I833" s="11">
        <v>0.0</v>
      </c>
      <c r="J833" s="50">
        <v>20820.0</v>
      </c>
      <c r="K833" s="11">
        <v>0.0</v>
      </c>
      <c r="L833" s="11">
        <v>0.0</v>
      </c>
      <c r="M833" s="51">
        <v>594.0</v>
      </c>
      <c r="N833" s="17">
        <v>73.0</v>
      </c>
      <c r="O833" s="24" t="s">
        <v>39</v>
      </c>
      <c r="P833" s="52">
        <v>30914.0</v>
      </c>
      <c r="Q833" s="51">
        <v>507.0</v>
      </c>
      <c r="R833" s="53">
        <v>25397.22</v>
      </c>
      <c r="S833" s="24" t="s">
        <v>605</v>
      </c>
      <c r="T833" s="11">
        <v>7.0</v>
      </c>
      <c r="U833" s="52">
        <v>71923.0</v>
      </c>
      <c r="V833" s="11">
        <v>1.0</v>
      </c>
      <c r="W833" s="11">
        <v>5.0</v>
      </c>
      <c r="X833" s="48">
        <v>4.9075</v>
      </c>
      <c r="Y833" s="11">
        <f t="shared" si="2"/>
        <v>0.049075</v>
      </c>
    </row>
    <row r="834">
      <c r="A834" s="17">
        <v>60.0</v>
      </c>
      <c r="B834" s="24">
        <v>57.0</v>
      </c>
      <c r="C834" s="24">
        <v>3.0</v>
      </c>
      <c r="D834" s="24">
        <v>7.0</v>
      </c>
      <c r="E834" s="24">
        <v>65.0</v>
      </c>
      <c r="F834" s="48">
        <v>5.5633</v>
      </c>
      <c r="G834" s="49">
        <f t="shared" si="1"/>
        <v>0.055633</v>
      </c>
      <c r="H834" s="11">
        <v>0.0</v>
      </c>
      <c r="I834" s="11">
        <v>3.0</v>
      </c>
      <c r="J834" s="50">
        <v>82916.0</v>
      </c>
      <c r="K834" s="11">
        <v>1.0</v>
      </c>
      <c r="L834" s="11">
        <v>5.0</v>
      </c>
      <c r="M834" s="51">
        <v>583.0</v>
      </c>
      <c r="N834" s="17">
        <v>37.0</v>
      </c>
      <c r="O834" s="24" t="s">
        <v>600</v>
      </c>
      <c r="P834" s="52">
        <v>80220.0</v>
      </c>
      <c r="Q834" s="51">
        <v>960.0</v>
      </c>
      <c r="R834" s="53">
        <v>-7120.81</v>
      </c>
      <c r="S834" s="24" t="s">
        <v>605</v>
      </c>
      <c r="T834" s="11">
        <v>1.0</v>
      </c>
      <c r="U834" s="52">
        <v>50220.0</v>
      </c>
      <c r="V834" s="11">
        <v>2.0</v>
      </c>
      <c r="W834" s="11">
        <v>8.0</v>
      </c>
      <c r="X834" s="48">
        <v>8.2588</v>
      </c>
      <c r="Y834" s="11">
        <f t="shared" si="2"/>
        <v>0.082588</v>
      </c>
    </row>
    <row r="835">
      <c r="A835" s="17">
        <v>59.0</v>
      </c>
      <c r="B835" s="24">
        <v>57.0</v>
      </c>
      <c r="C835" s="24">
        <v>3.0</v>
      </c>
      <c r="D835" s="24">
        <v>8.0</v>
      </c>
      <c r="E835" s="24">
        <v>64.0</v>
      </c>
      <c r="F835" s="48">
        <v>6.8856</v>
      </c>
      <c r="G835" s="49">
        <f t="shared" si="1"/>
        <v>0.068856</v>
      </c>
      <c r="H835" s="11">
        <v>1.0</v>
      </c>
      <c r="I835" s="11">
        <v>0.0</v>
      </c>
      <c r="J835" s="50">
        <v>40213.0</v>
      </c>
      <c r="K835" s="11">
        <v>9.0</v>
      </c>
      <c r="L835" s="11">
        <v>3.0</v>
      </c>
      <c r="M835" s="51">
        <v>286.0</v>
      </c>
      <c r="N835" s="17">
        <v>22.0</v>
      </c>
      <c r="O835" s="24" t="s">
        <v>39</v>
      </c>
      <c r="P835" s="52">
        <v>82716.0</v>
      </c>
      <c r="Q835" s="51">
        <v>949.0</v>
      </c>
      <c r="R835" s="53">
        <v>5254.2</v>
      </c>
      <c r="S835" s="24" t="s">
        <v>604</v>
      </c>
      <c r="T835" s="11">
        <v>7.0</v>
      </c>
      <c r="U835" s="52">
        <v>41620.0</v>
      </c>
      <c r="V835" s="11">
        <v>3.0</v>
      </c>
      <c r="W835" s="11">
        <v>8.0</v>
      </c>
      <c r="X835" s="48">
        <v>8.4966</v>
      </c>
      <c r="Y835" s="11">
        <f t="shared" si="2"/>
        <v>0.084966</v>
      </c>
    </row>
    <row r="836">
      <c r="A836" s="17">
        <v>74.0</v>
      </c>
      <c r="B836" s="24">
        <v>36.0</v>
      </c>
      <c r="C836" s="24">
        <v>9.0</v>
      </c>
      <c r="D836" s="24">
        <v>3.0</v>
      </c>
      <c r="E836" s="24">
        <v>64.0</v>
      </c>
      <c r="F836" s="48">
        <v>3.7472</v>
      </c>
      <c r="G836" s="49">
        <f t="shared" si="1"/>
        <v>0.037472</v>
      </c>
      <c r="H836" s="11">
        <v>5.0</v>
      </c>
      <c r="I836" s="11">
        <v>7.0</v>
      </c>
      <c r="J836" s="50">
        <v>100518.0</v>
      </c>
      <c r="K836" s="11">
        <v>5.0</v>
      </c>
      <c r="L836" s="11">
        <v>4.0</v>
      </c>
      <c r="M836" s="51">
        <v>870.0</v>
      </c>
      <c r="N836" s="17">
        <v>97.0</v>
      </c>
      <c r="O836" s="24" t="s">
        <v>39</v>
      </c>
      <c r="P836" s="52">
        <v>101119.0</v>
      </c>
      <c r="Q836" s="51">
        <v>428.0</v>
      </c>
      <c r="R836" s="53">
        <v>-2660.31</v>
      </c>
      <c r="S836" s="24" t="s">
        <v>605</v>
      </c>
      <c r="T836" s="11">
        <v>3.0</v>
      </c>
      <c r="U836" s="52">
        <v>60218.0</v>
      </c>
      <c r="V836" s="11">
        <v>0.0</v>
      </c>
      <c r="W836" s="11">
        <v>5.0</v>
      </c>
      <c r="X836" s="48">
        <v>3.5073</v>
      </c>
      <c r="Y836" s="11">
        <f t="shared" si="2"/>
        <v>0.035073</v>
      </c>
    </row>
    <row r="837">
      <c r="A837" s="17">
        <v>51.0</v>
      </c>
      <c r="B837" s="24">
        <v>16.0</v>
      </c>
      <c r="C837" s="24">
        <v>4.0</v>
      </c>
      <c r="D837" s="24">
        <v>6.0</v>
      </c>
      <c r="E837" s="24">
        <v>60.0</v>
      </c>
      <c r="F837" s="48">
        <v>7.1703</v>
      </c>
      <c r="G837" s="49">
        <f t="shared" si="1"/>
        <v>0.071703</v>
      </c>
      <c r="H837" s="11">
        <v>7.0</v>
      </c>
      <c r="I837" s="11">
        <v>9.0</v>
      </c>
      <c r="J837" s="50">
        <v>30821.0</v>
      </c>
      <c r="K837" s="11">
        <v>2.0</v>
      </c>
      <c r="L837" s="11">
        <v>6.0</v>
      </c>
      <c r="M837" s="51">
        <v>295.0</v>
      </c>
      <c r="N837" s="17">
        <v>23.0</v>
      </c>
      <c r="O837" s="24" t="s">
        <v>606</v>
      </c>
      <c r="P837" s="52">
        <v>81014.0</v>
      </c>
      <c r="Q837" s="51">
        <v>778.0</v>
      </c>
      <c r="R837" s="53">
        <v>885.5</v>
      </c>
      <c r="S837" s="24" t="s">
        <v>602</v>
      </c>
      <c r="T837" s="11">
        <v>2.0</v>
      </c>
      <c r="U837" s="52">
        <v>61017.0</v>
      </c>
      <c r="V837" s="11">
        <v>8.0</v>
      </c>
      <c r="W837" s="11">
        <v>1.0</v>
      </c>
      <c r="X837" s="48">
        <v>1.8471</v>
      </c>
      <c r="Y837" s="11">
        <f t="shared" si="2"/>
        <v>0.018471</v>
      </c>
    </row>
    <row r="838">
      <c r="A838" s="17">
        <v>11.0</v>
      </c>
      <c r="B838" s="24">
        <v>57.0</v>
      </c>
      <c r="C838" s="24">
        <v>4.0</v>
      </c>
      <c r="D838" s="24">
        <v>3.0</v>
      </c>
      <c r="E838" s="24">
        <v>63.0</v>
      </c>
      <c r="F838" s="48">
        <v>4.9366</v>
      </c>
      <c r="G838" s="49">
        <f t="shared" si="1"/>
        <v>0.049366</v>
      </c>
      <c r="H838" s="11">
        <v>8.0</v>
      </c>
      <c r="I838" s="11">
        <v>7.0</v>
      </c>
      <c r="J838" s="50">
        <v>42118.0</v>
      </c>
      <c r="K838" s="11">
        <v>1.0</v>
      </c>
      <c r="L838" s="11">
        <v>8.0</v>
      </c>
      <c r="M838" s="51">
        <v>999.0</v>
      </c>
      <c r="N838" s="17">
        <v>98.0</v>
      </c>
      <c r="O838" s="24" t="s">
        <v>606</v>
      </c>
      <c r="P838" s="52">
        <v>91015.0</v>
      </c>
      <c r="Q838" s="51">
        <v>531.0</v>
      </c>
      <c r="R838" s="53">
        <v>-610111.68</v>
      </c>
      <c r="S838" s="24" t="s">
        <v>600</v>
      </c>
      <c r="T838" s="11">
        <v>3.0</v>
      </c>
      <c r="U838" s="52">
        <v>80321.0</v>
      </c>
      <c r="V838" s="11">
        <v>2.0</v>
      </c>
      <c r="W838" s="11">
        <v>0.0</v>
      </c>
      <c r="X838" s="48">
        <v>4.5403</v>
      </c>
      <c r="Y838" s="11">
        <f t="shared" si="2"/>
        <v>0.045403</v>
      </c>
    </row>
    <row r="839">
      <c r="A839" s="17">
        <v>64.0</v>
      </c>
      <c r="B839" s="24">
        <v>16.0</v>
      </c>
      <c r="C839" s="24">
        <v>4.0</v>
      </c>
      <c r="D839" s="24">
        <v>8.0</v>
      </c>
      <c r="E839" s="24">
        <v>62.0</v>
      </c>
      <c r="F839" s="48">
        <v>6.2169</v>
      </c>
      <c r="G839" s="49">
        <f t="shared" si="1"/>
        <v>0.062169</v>
      </c>
      <c r="H839" s="11">
        <v>8.0</v>
      </c>
      <c r="I839" s="11">
        <v>6.0</v>
      </c>
      <c r="J839" s="50">
        <v>10614.0</v>
      </c>
      <c r="K839" s="11">
        <v>0.0</v>
      </c>
      <c r="L839" s="11">
        <v>7.0</v>
      </c>
      <c r="M839" s="51">
        <v>411.0</v>
      </c>
      <c r="N839" s="17">
        <v>30.0</v>
      </c>
      <c r="O839" s="24" t="s">
        <v>601</v>
      </c>
      <c r="P839" s="52">
        <v>111114.0</v>
      </c>
      <c r="Q839" s="51">
        <v>778.0</v>
      </c>
      <c r="R839" s="53">
        <v>486.74</v>
      </c>
      <c r="S839" s="24" t="s">
        <v>604</v>
      </c>
      <c r="T839" s="11">
        <v>6.0</v>
      </c>
      <c r="U839" s="52">
        <v>40118.0</v>
      </c>
      <c r="V839" s="11">
        <v>9.0</v>
      </c>
      <c r="W839" s="11">
        <v>2.0</v>
      </c>
      <c r="X839" s="48">
        <v>2.6253</v>
      </c>
      <c r="Y839" s="11">
        <f t="shared" si="2"/>
        <v>0.026253</v>
      </c>
    </row>
    <row r="840">
      <c r="A840" s="17">
        <v>38.0</v>
      </c>
      <c r="B840" s="24">
        <v>98.0</v>
      </c>
      <c r="C840" s="24">
        <v>4.0</v>
      </c>
      <c r="D840" s="24">
        <v>2.0</v>
      </c>
      <c r="E840" s="24">
        <v>67.0</v>
      </c>
      <c r="F840" s="48">
        <v>3.7937</v>
      </c>
      <c r="G840" s="49">
        <f t="shared" si="1"/>
        <v>0.037937</v>
      </c>
      <c r="H840" s="11">
        <v>0.0</v>
      </c>
      <c r="I840" s="11">
        <v>7.0</v>
      </c>
      <c r="J840" s="50">
        <v>82117.0</v>
      </c>
      <c r="K840" s="11">
        <v>7.0</v>
      </c>
      <c r="L840" s="11">
        <v>8.0</v>
      </c>
      <c r="M840" s="51">
        <v>429.0</v>
      </c>
      <c r="N840" s="17">
        <v>31.0</v>
      </c>
      <c r="O840" s="24" t="s">
        <v>601</v>
      </c>
      <c r="P840" s="52">
        <v>92120.0</v>
      </c>
      <c r="Q840" s="51">
        <v>7.0</v>
      </c>
      <c r="R840" s="53">
        <v>-93350.58</v>
      </c>
      <c r="S840" s="24" t="s">
        <v>602</v>
      </c>
      <c r="T840" s="11">
        <v>2.0</v>
      </c>
      <c r="U840" s="52">
        <v>51321.0</v>
      </c>
      <c r="V840" s="11">
        <v>4.0</v>
      </c>
      <c r="W840" s="11">
        <v>9.0</v>
      </c>
      <c r="X840" s="48">
        <v>8.3953</v>
      </c>
      <c r="Y840" s="11">
        <f t="shared" si="2"/>
        <v>0.083953</v>
      </c>
    </row>
    <row r="841">
      <c r="A841" s="17">
        <v>67.0</v>
      </c>
      <c r="B841" s="24">
        <v>16.0</v>
      </c>
      <c r="C841" s="24">
        <v>5.0</v>
      </c>
      <c r="D841" s="24">
        <v>1.0</v>
      </c>
      <c r="E841" s="24">
        <v>67.0</v>
      </c>
      <c r="F841" s="48">
        <v>6.922</v>
      </c>
      <c r="G841" s="49">
        <f t="shared" si="1"/>
        <v>0.06922</v>
      </c>
      <c r="H841" s="11">
        <v>5.0</v>
      </c>
      <c r="I841" s="11">
        <v>8.0</v>
      </c>
      <c r="J841" s="50">
        <v>110119.0</v>
      </c>
      <c r="K841" s="11">
        <v>5.0</v>
      </c>
      <c r="L841" s="11">
        <v>2.0</v>
      </c>
      <c r="M841" s="51">
        <v>95.0</v>
      </c>
      <c r="N841" s="17">
        <v>54.0</v>
      </c>
      <c r="O841" s="24" t="s">
        <v>39</v>
      </c>
      <c r="P841" s="52">
        <v>11518.0</v>
      </c>
      <c r="Q841" s="51">
        <v>396.0</v>
      </c>
      <c r="R841" s="53">
        <v>-21688.65</v>
      </c>
      <c r="S841" s="24" t="s">
        <v>600</v>
      </c>
      <c r="T841" s="11">
        <v>9.0</v>
      </c>
      <c r="U841" s="52">
        <v>61320.0</v>
      </c>
      <c r="V841" s="11">
        <v>0.0</v>
      </c>
      <c r="W841" s="11">
        <v>1.0</v>
      </c>
      <c r="X841" s="48">
        <v>6.858</v>
      </c>
      <c r="Y841" s="11">
        <f t="shared" si="2"/>
        <v>0.06858</v>
      </c>
    </row>
    <row r="842">
      <c r="A842" s="17">
        <v>78.0</v>
      </c>
      <c r="B842" s="24">
        <v>77.0</v>
      </c>
      <c r="C842" s="24">
        <v>9.0</v>
      </c>
      <c r="D842" s="24">
        <v>6.0</v>
      </c>
      <c r="E842" s="24">
        <v>62.0</v>
      </c>
      <c r="F842" s="48">
        <v>8.1366</v>
      </c>
      <c r="G842" s="49">
        <f t="shared" si="1"/>
        <v>0.081366</v>
      </c>
      <c r="H842" s="11">
        <v>3.0</v>
      </c>
      <c r="I842" s="11">
        <v>4.0</v>
      </c>
      <c r="J842" s="50">
        <v>60818.0</v>
      </c>
      <c r="K842" s="11">
        <v>0.0</v>
      </c>
      <c r="L842" s="11">
        <v>2.0</v>
      </c>
      <c r="M842" s="51">
        <v>416.0</v>
      </c>
      <c r="N842" s="17">
        <v>61.0</v>
      </c>
      <c r="O842" s="24" t="s">
        <v>31</v>
      </c>
      <c r="P842" s="52">
        <v>62215.0</v>
      </c>
      <c r="Q842" s="51">
        <v>535.0</v>
      </c>
      <c r="R842" s="53">
        <v>6725.84</v>
      </c>
      <c r="S842" s="24" t="s">
        <v>600</v>
      </c>
      <c r="T842" s="11">
        <v>7.0</v>
      </c>
      <c r="U842" s="52">
        <v>41922.0</v>
      </c>
      <c r="V842" s="11">
        <v>1.0</v>
      </c>
      <c r="W842" s="11">
        <v>1.0</v>
      </c>
      <c r="X842" s="48">
        <v>6.5093</v>
      </c>
      <c r="Y842" s="11">
        <f t="shared" si="2"/>
        <v>0.065093</v>
      </c>
    </row>
    <row r="843">
      <c r="A843" s="17">
        <v>59.0</v>
      </c>
      <c r="B843" s="24">
        <v>16.0</v>
      </c>
      <c r="C843" s="24">
        <v>5.0</v>
      </c>
      <c r="D843" s="24">
        <v>3.0</v>
      </c>
      <c r="E843" s="24">
        <v>66.0</v>
      </c>
      <c r="F843" s="48">
        <v>2.1674</v>
      </c>
      <c r="G843" s="49">
        <f t="shared" si="1"/>
        <v>0.021674</v>
      </c>
      <c r="H843" s="11">
        <v>2.0</v>
      </c>
      <c r="I843" s="11">
        <v>0.0</v>
      </c>
      <c r="J843" s="50">
        <v>112613.0</v>
      </c>
      <c r="K843" s="11">
        <v>2.0</v>
      </c>
      <c r="L843" s="11">
        <v>7.0</v>
      </c>
      <c r="M843" s="51">
        <v>343.0</v>
      </c>
      <c r="N843" s="17">
        <v>81.0</v>
      </c>
      <c r="O843" s="24" t="s">
        <v>39</v>
      </c>
      <c r="P843" s="52">
        <v>52020.0</v>
      </c>
      <c r="Q843" s="51">
        <v>136.0</v>
      </c>
      <c r="R843" s="53">
        <v>-76415.95</v>
      </c>
      <c r="S843" s="24" t="s">
        <v>604</v>
      </c>
      <c r="T843" s="11">
        <v>3.0</v>
      </c>
      <c r="U843" s="52">
        <v>122218.0</v>
      </c>
      <c r="V843" s="11">
        <v>0.0</v>
      </c>
      <c r="W843" s="11">
        <v>2.0</v>
      </c>
      <c r="X843" s="48">
        <v>1.1988</v>
      </c>
      <c r="Y843" s="11">
        <f t="shared" si="2"/>
        <v>0.011988</v>
      </c>
    </row>
    <row r="844">
      <c r="A844" s="17">
        <v>13.0</v>
      </c>
      <c r="B844" s="24">
        <v>57.0</v>
      </c>
      <c r="C844" s="24">
        <v>4.0</v>
      </c>
      <c r="D844" s="24">
        <v>7.0</v>
      </c>
      <c r="E844" s="24">
        <v>61.0</v>
      </c>
      <c r="F844" s="48">
        <v>3.958</v>
      </c>
      <c r="G844" s="49">
        <f t="shared" si="1"/>
        <v>0.03958</v>
      </c>
      <c r="H844" s="11">
        <v>8.0</v>
      </c>
      <c r="I844" s="11">
        <v>1.0</v>
      </c>
      <c r="J844" s="50">
        <v>121817.0</v>
      </c>
      <c r="K844" s="11">
        <v>9.0</v>
      </c>
      <c r="L844" s="11">
        <v>4.0</v>
      </c>
      <c r="M844" s="51">
        <v>826.0</v>
      </c>
      <c r="N844" s="17">
        <v>44.0</v>
      </c>
      <c r="O844" s="24" t="s">
        <v>600</v>
      </c>
      <c r="P844" s="52">
        <v>12514.0</v>
      </c>
      <c r="Q844" s="51">
        <v>368.0</v>
      </c>
      <c r="R844" s="53">
        <v>-1554.64</v>
      </c>
      <c r="S844" s="24" t="s">
        <v>602</v>
      </c>
      <c r="T844" s="11">
        <v>2.0</v>
      </c>
      <c r="U844" s="52">
        <v>110316.0</v>
      </c>
      <c r="V844" s="11">
        <v>2.0</v>
      </c>
      <c r="W844" s="11">
        <v>8.0</v>
      </c>
      <c r="X844" s="48">
        <v>7.9531</v>
      </c>
      <c r="Y844" s="11">
        <f t="shared" si="2"/>
        <v>0.079531</v>
      </c>
    </row>
    <row r="845">
      <c r="A845" s="17">
        <v>12.0</v>
      </c>
      <c r="B845" s="24">
        <v>57.0</v>
      </c>
      <c r="C845" s="24">
        <v>5.0</v>
      </c>
      <c r="D845" s="24">
        <v>1.0</v>
      </c>
      <c r="E845" s="24">
        <v>65.0</v>
      </c>
      <c r="F845" s="48">
        <v>7.9194</v>
      </c>
      <c r="G845" s="49">
        <f t="shared" si="1"/>
        <v>0.079194</v>
      </c>
      <c r="H845" s="11">
        <v>4.0</v>
      </c>
      <c r="I845" s="11">
        <v>9.0</v>
      </c>
      <c r="J845" s="50">
        <v>12915.0</v>
      </c>
      <c r="K845" s="11">
        <v>8.0</v>
      </c>
      <c r="L845" s="11">
        <v>1.0</v>
      </c>
      <c r="M845" s="51">
        <v>962.0</v>
      </c>
      <c r="N845" s="17">
        <v>11.0</v>
      </c>
      <c r="O845" s="24" t="s">
        <v>39</v>
      </c>
      <c r="P845" s="52">
        <v>90723.0</v>
      </c>
      <c r="Q845" s="51">
        <v>972.0</v>
      </c>
      <c r="R845" s="53">
        <v>-8104.5</v>
      </c>
      <c r="S845" s="24" t="s">
        <v>600</v>
      </c>
      <c r="T845" s="11">
        <v>1.0</v>
      </c>
      <c r="U845" s="52">
        <v>120819.0</v>
      </c>
      <c r="V845" s="11">
        <v>4.0</v>
      </c>
      <c r="W845" s="11">
        <v>3.0</v>
      </c>
      <c r="X845" s="48">
        <v>3.305</v>
      </c>
      <c r="Y845" s="11">
        <f t="shared" si="2"/>
        <v>0.03305</v>
      </c>
    </row>
    <row r="846">
      <c r="A846" s="17">
        <v>19.0</v>
      </c>
      <c r="B846" s="24">
        <v>16.0</v>
      </c>
      <c r="C846" s="24">
        <v>6.0</v>
      </c>
      <c r="D846" s="24">
        <v>3.0</v>
      </c>
      <c r="E846" s="24">
        <v>61.0</v>
      </c>
      <c r="F846" s="48">
        <v>9.6712</v>
      </c>
      <c r="G846" s="49">
        <f t="shared" si="1"/>
        <v>0.096712</v>
      </c>
      <c r="H846" s="11">
        <v>0.0</v>
      </c>
      <c r="I846" s="11">
        <v>8.0</v>
      </c>
      <c r="J846" s="50">
        <v>21913.0</v>
      </c>
      <c r="K846" s="11">
        <v>1.0</v>
      </c>
      <c r="L846" s="11">
        <v>7.0</v>
      </c>
      <c r="M846" s="51">
        <v>946.0</v>
      </c>
      <c r="N846" s="17">
        <v>29.0</v>
      </c>
      <c r="O846" s="24" t="s">
        <v>606</v>
      </c>
      <c r="P846" s="52">
        <v>41818.0</v>
      </c>
      <c r="Q846" s="51">
        <v>553.0</v>
      </c>
      <c r="R846" s="53">
        <v>4317.65</v>
      </c>
      <c r="S846" s="24" t="s">
        <v>604</v>
      </c>
      <c r="T846" s="11">
        <v>3.0</v>
      </c>
      <c r="U846" s="52">
        <v>12321.0</v>
      </c>
      <c r="V846" s="11">
        <v>1.0</v>
      </c>
      <c r="W846" s="11">
        <v>2.0</v>
      </c>
      <c r="X846" s="48">
        <v>8.4858</v>
      </c>
      <c r="Y846" s="11">
        <f t="shared" si="2"/>
        <v>0.084858</v>
      </c>
    </row>
    <row r="847">
      <c r="A847" s="17">
        <v>60.0</v>
      </c>
      <c r="B847" s="24">
        <v>37.0</v>
      </c>
      <c r="C847" s="24">
        <v>1.0</v>
      </c>
      <c r="D847" s="24">
        <v>1.0</v>
      </c>
      <c r="E847" s="24">
        <v>61.0</v>
      </c>
      <c r="F847" s="48">
        <v>8.3521</v>
      </c>
      <c r="G847" s="49">
        <f t="shared" si="1"/>
        <v>0.083521</v>
      </c>
      <c r="H847" s="11">
        <v>4.0</v>
      </c>
      <c r="I847" s="11">
        <v>3.0</v>
      </c>
      <c r="J847" s="50">
        <v>50314.0</v>
      </c>
      <c r="K847" s="11">
        <v>6.0</v>
      </c>
      <c r="L847" s="11">
        <v>3.0</v>
      </c>
      <c r="M847" s="51">
        <v>269.0</v>
      </c>
      <c r="N847" s="17">
        <v>89.0</v>
      </c>
      <c r="O847" s="24" t="s">
        <v>48</v>
      </c>
      <c r="P847" s="52">
        <v>82320.0</v>
      </c>
      <c r="Q847" s="51">
        <v>166.0</v>
      </c>
      <c r="R847" s="53">
        <v>-962218.53</v>
      </c>
      <c r="S847" s="24" t="s">
        <v>600</v>
      </c>
      <c r="T847" s="11">
        <v>9.0</v>
      </c>
      <c r="U847" s="52">
        <v>111122.0</v>
      </c>
      <c r="V847" s="11">
        <v>2.0</v>
      </c>
      <c r="W847" s="11">
        <v>7.0</v>
      </c>
      <c r="X847" s="48">
        <v>9.6383</v>
      </c>
      <c r="Y847" s="11">
        <f t="shared" si="2"/>
        <v>0.096383</v>
      </c>
    </row>
    <row r="848">
      <c r="A848" s="17">
        <v>87.0</v>
      </c>
      <c r="B848" s="24">
        <v>16.0</v>
      </c>
      <c r="C848" s="24">
        <v>6.0</v>
      </c>
      <c r="D848" s="24">
        <v>5.0</v>
      </c>
      <c r="E848" s="24">
        <v>68.0</v>
      </c>
      <c r="F848" s="48">
        <v>3.8809</v>
      </c>
      <c r="G848" s="49">
        <f t="shared" si="1"/>
        <v>0.038809</v>
      </c>
      <c r="H848" s="11">
        <v>8.0</v>
      </c>
      <c r="I848" s="11">
        <v>8.0</v>
      </c>
      <c r="J848" s="50">
        <v>121116.0</v>
      </c>
      <c r="K848" s="11">
        <v>2.0</v>
      </c>
      <c r="L848" s="11">
        <v>9.0</v>
      </c>
      <c r="M848" s="51">
        <v>829.0</v>
      </c>
      <c r="N848" s="17">
        <v>14.0</v>
      </c>
      <c r="O848" s="24" t="s">
        <v>31</v>
      </c>
      <c r="P848" s="52">
        <v>110518.0</v>
      </c>
      <c r="Q848" s="51">
        <v>946.0</v>
      </c>
      <c r="R848" s="53">
        <v>-85149.64</v>
      </c>
      <c r="S848" s="24" t="s">
        <v>604</v>
      </c>
      <c r="T848" s="11">
        <v>4.0</v>
      </c>
      <c r="U848" s="52">
        <v>122323.0</v>
      </c>
      <c r="V848" s="11">
        <v>9.0</v>
      </c>
      <c r="W848" s="11">
        <v>0.0</v>
      </c>
      <c r="X848" s="48">
        <v>9.1541</v>
      </c>
      <c r="Y848" s="11">
        <f t="shared" si="2"/>
        <v>0.091541</v>
      </c>
    </row>
    <row r="849">
      <c r="A849" s="17">
        <v>19.0</v>
      </c>
      <c r="B849" s="24">
        <v>98.0</v>
      </c>
      <c r="C849" s="24">
        <v>5.0</v>
      </c>
      <c r="D849" s="24">
        <v>9.0</v>
      </c>
      <c r="E849" s="24">
        <v>63.0</v>
      </c>
      <c r="F849" s="48">
        <v>7.7579</v>
      </c>
      <c r="G849" s="49">
        <f t="shared" si="1"/>
        <v>0.077579</v>
      </c>
      <c r="H849" s="11">
        <v>8.0</v>
      </c>
      <c r="I849" s="11">
        <v>6.0</v>
      </c>
      <c r="J849" s="50">
        <v>122219.0</v>
      </c>
      <c r="K849" s="11">
        <v>1.0</v>
      </c>
      <c r="L849" s="11">
        <v>6.0</v>
      </c>
      <c r="M849" s="51">
        <v>435.0</v>
      </c>
      <c r="N849" s="17">
        <v>29.0</v>
      </c>
      <c r="O849" s="24" t="s">
        <v>600</v>
      </c>
      <c r="P849" s="52">
        <v>10815.0</v>
      </c>
      <c r="Q849" s="51">
        <v>240.0</v>
      </c>
      <c r="R849" s="53">
        <v>-730.59</v>
      </c>
      <c r="S849" s="24" t="s">
        <v>602</v>
      </c>
      <c r="T849" s="11">
        <v>8.0</v>
      </c>
      <c r="U849" s="52">
        <v>11521.0</v>
      </c>
      <c r="V849" s="11">
        <v>6.0</v>
      </c>
      <c r="W849" s="11">
        <v>6.0</v>
      </c>
      <c r="X849" s="48">
        <v>8.7913</v>
      </c>
      <c r="Y849" s="11">
        <f t="shared" si="2"/>
        <v>0.087913</v>
      </c>
    </row>
    <row r="850">
      <c r="A850" s="17">
        <v>10.0</v>
      </c>
      <c r="B850" s="24">
        <v>57.0</v>
      </c>
      <c r="C850" s="24">
        <v>6.0</v>
      </c>
      <c r="D850" s="24">
        <v>4.0</v>
      </c>
      <c r="E850" s="24">
        <v>64.0</v>
      </c>
      <c r="F850" s="48">
        <v>7.9061</v>
      </c>
      <c r="G850" s="49">
        <f t="shared" si="1"/>
        <v>0.079061</v>
      </c>
      <c r="H850" s="11">
        <v>6.0</v>
      </c>
      <c r="I850" s="11">
        <v>8.0</v>
      </c>
      <c r="J850" s="50">
        <v>70717.0</v>
      </c>
      <c r="K850" s="11">
        <v>3.0</v>
      </c>
      <c r="L850" s="11">
        <v>3.0</v>
      </c>
      <c r="M850" s="51">
        <v>692.0</v>
      </c>
      <c r="N850" s="17">
        <v>76.0</v>
      </c>
      <c r="O850" s="24" t="s">
        <v>48</v>
      </c>
      <c r="P850" s="52">
        <v>102213.0</v>
      </c>
      <c r="Q850" s="51">
        <v>33.0</v>
      </c>
      <c r="R850" s="53">
        <v>-155.2</v>
      </c>
      <c r="S850" s="24" t="s">
        <v>602</v>
      </c>
      <c r="T850" s="11">
        <v>5.0</v>
      </c>
      <c r="U850" s="52">
        <v>121119.0</v>
      </c>
      <c r="V850" s="11">
        <v>9.0</v>
      </c>
      <c r="W850" s="11">
        <v>1.0</v>
      </c>
      <c r="X850" s="48">
        <v>5.762</v>
      </c>
      <c r="Y850" s="11">
        <f t="shared" si="2"/>
        <v>0.05762</v>
      </c>
    </row>
    <row r="851">
      <c r="A851" s="17">
        <v>88.0</v>
      </c>
      <c r="B851" s="24">
        <v>98.0</v>
      </c>
      <c r="C851" s="24">
        <v>6.0</v>
      </c>
      <c r="D851" s="24">
        <v>1.0</v>
      </c>
      <c r="E851" s="24">
        <v>63.0</v>
      </c>
      <c r="F851" s="48">
        <v>1.7638</v>
      </c>
      <c r="G851" s="49">
        <f t="shared" si="1"/>
        <v>0.017638</v>
      </c>
      <c r="H851" s="11">
        <v>4.0</v>
      </c>
      <c r="I851" s="11">
        <v>7.0</v>
      </c>
      <c r="J851" s="50">
        <v>41422.0</v>
      </c>
      <c r="K851" s="11">
        <v>9.0</v>
      </c>
      <c r="L851" s="11">
        <v>0.0</v>
      </c>
      <c r="M851" s="51">
        <v>747.0</v>
      </c>
      <c r="N851" s="17">
        <v>80.0</v>
      </c>
      <c r="O851" s="24" t="s">
        <v>48</v>
      </c>
      <c r="P851" s="52">
        <v>20213.0</v>
      </c>
      <c r="Q851" s="51">
        <v>859.0</v>
      </c>
      <c r="R851" s="53">
        <v>-776.11</v>
      </c>
      <c r="S851" s="24" t="s">
        <v>602</v>
      </c>
      <c r="T851" s="11">
        <v>1.0</v>
      </c>
      <c r="U851" s="52">
        <v>10215.0</v>
      </c>
      <c r="V851" s="11">
        <v>3.0</v>
      </c>
      <c r="W851" s="11">
        <v>2.0</v>
      </c>
      <c r="X851" s="48">
        <v>8.712</v>
      </c>
      <c r="Y851" s="11">
        <f t="shared" si="2"/>
        <v>0.08712</v>
      </c>
    </row>
    <row r="852">
      <c r="A852" s="17">
        <v>62.0</v>
      </c>
      <c r="B852" s="24">
        <v>16.0</v>
      </c>
      <c r="C852" s="24">
        <v>6.0</v>
      </c>
      <c r="D852" s="24">
        <v>9.0</v>
      </c>
      <c r="E852" s="24">
        <v>61.0</v>
      </c>
      <c r="F852" s="48">
        <v>5.6747</v>
      </c>
      <c r="G852" s="49">
        <f t="shared" si="1"/>
        <v>0.056747</v>
      </c>
      <c r="H852" s="11">
        <v>8.0</v>
      </c>
      <c r="I852" s="11">
        <v>0.0</v>
      </c>
      <c r="J852" s="50">
        <v>121315.0</v>
      </c>
      <c r="K852" s="11">
        <v>7.0</v>
      </c>
      <c r="L852" s="11">
        <v>4.0</v>
      </c>
      <c r="M852" s="51">
        <v>753.0</v>
      </c>
      <c r="N852" s="17">
        <v>23.0</v>
      </c>
      <c r="O852" s="24" t="s">
        <v>39</v>
      </c>
      <c r="P852" s="52">
        <v>32320.0</v>
      </c>
      <c r="Q852" s="51">
        <v>252.0</v>
      </c>
      <c r="R852" s="53">
        <v>820469.31</v>
      </c>
      <c r="S852" s="24" t="s">
        <v>600</v>
      </c>
      <c r="T852" s="11">
        <v>3.0</v>
      </c>
      <c r="U852" s="52">
        <v>90713.0</v>
      </c>
      <c r="V852" s="11">
        <v>6.0</v>
      </c>
      <c r="W852" s="11">
        <v>1.0</v>
      </c>
      <c r="X852" s="48">
        <v>5.6923</v>
      </c>
      <c r="Y852" s="11">
        <f t="shared" si="2"/>
        <v>0.056923</v>
      </c>
    </row>
    <row r="853">
      <c r="A853" s="17">
        <v>22.0</v>
      </c>
      <c r="B853" s="24">
        <v>78.0</v>
      </c>
      <c r="C853" s="24">
        <v>1.0</v>
      </c>
      <c r="D853" s="24">
        <v>5.0</v>
      </c>
      <c r="E853" s="24">
        <v>63.0</v>
      </c>
      <c r="F853" s="48">
        <v>5.3296</v>
      </c>
      <c r="G853" s="49">
        <f t="shared" si="1"/>
        <v>0.053296</v>
      </c>
      <c r="H853" s="11">
        <v>7.0</v>
      </c>
      <c r="I853" s="11">
        <v>2.0</v>
      </c>
      <c r="J853" s="50">
        <v>60418.0</v>
      </c>
      <c r="K853" s="11">
        <v>7.0</v>
      </c>
      <c r="L853" s="11">
        <v>9.0</v>
      </c>
      <c r="M853" s="51">
        <v>226.0</v>
      </c>
      <c r="N853" s="17">
        <v>36.0</v>
      </c>
      <c r="O853" s="24" t="s">
        <v>48</v>
      </c>
      <c r="P853" s="52">
        <v>52215.0</v>
      </c>
      <c r="Q853" s="51">
        <v>528.0</v>
      </c>
      <c r="R853" s="53">
        <v>-252.93</v>
      </c>
      <c r="S853" s="24" t="s">
        <v>600</v>
      </c>
      <c r="T853" s="11">
        <v>3.0</v>
      </c>
      <c r="U853" s="52">
        <v>70716.0</v>
      </c>
      <c r="V853" s="11">
        <v>8.0</v>
      </c>
      <c r="W853" s="11">
        <v>7.0</v>
      </c>
      <c r="X853" s="48">
        <v>2.615</v>
      </c>
      <c r="Y853" s="11">
        <f t="shared" si="2"/>
        <v>0.02615</v>
      </c>
    </row>
    <row r="854">
      <c r="A854" s="17">
        <v>18.0</v>
      </c>
      <c r="B854" s="24">
        <v>37.0</v>
      </c>
      <c r="C854" s="24">
        <v>1.0</v>
      </c>
      <c r="D854" s="24">
        <v>9.0</v>
      </c>
      <c r="E854" s="24">
        <v>68.0</v>
      </c>
      <c r="F854" s="48">
        <v>9.8676</v>
      </c>
      <c r="G854" s="49">
        <f t="shared" si="1"/>
        <v>0.098676</v>
      </c>
      <c r="H854" s="11">
        <v>5.0</v>
      </c>
      <c r="I854" s="11">
        <v>7.0</v>
      </c>
      <c r="J854" s="50">
        <v>21514.0</v>
      </c>
      <c r="K854" s="11">
        <v>9.0</v>
      </c>
      <c r="L854" s="11">
        <v>2.0</v>
      </c>
      <c r="M854" s="51">
        <v>569.0</v>
      </c>
      <c r="N854" s="17">
        <v>20.0</v>
      </c>
      <c r="O854" s="24" t="s">
        <v>601</v>
      </c>
      <c r="P854" s="52">
        <v>50420.0</v>
      </c>
      <c r="Q854" s="51">
        <v>530.0</v>
      </c>
      <c r="R854" s="53">
        <v>434142.49</v>
      </c>
      <c r="S854" s="24" t="s">
        <v>605</v>
      </c>
      <c r="T854" s="11">
        <v>5.0</v>
      </c>
      <c r="U854" s="52">
        <v>121618.0</v>
      </c>
      <c r="V854" s="11">
        <v>2.0</v>
      </c>
      <c r="W854" s="11">
        <v>3.0</v>
      </c>
      <c r="X854" s="48">
        <v>8.1633</v>
      </c>
      <c r="Y854" s="11">
        <f t="shared" si="2"/>
        <v>0.081633</v>
      </c>
    </row>
    <row r="855">
      <c r="A855" s="17">
        <v>79.0</v>
      </c>
      <c r="B855" s="24">
        <v>37.0</v>
      </c>
      <c r="C855" s="24">
        <v>1.0</v>
      </c>
      <c r="D855" s="24">
        <v>5.0</v>
      </c>
      <c r="E855" s="24">
        <v>66.0</v>
      </c>
      <c r="F855" s="48">
        <v>5.8866</v>
      </c>
      <c r="G855" s="49">
        <f t="shared" si="1"/>
        <v>0.058866</v>
      </c>
      <c r="H855" s="11">
        <v>1.0</v>
      </c>
      <c r="I855" s="11">
        <v>0.0</v>
      </c>
      <c r="J855" s="50">
        <v>110920.0</v>
      </c>
      <c r="K855" s="11">
        <v>7.0</v>
      </c>
      <c r="L855" s="11">
        <v>5.0</v>
      </c>
      <c r="M855" s="51">
        <v>516.0</v>
      </c>
      <c r="N855" s="17">
        <v>25.0</v>
      </c>
      <c r="O855" s="24" t="s">
        <v>603</v>
      </c>
      <c r="P855" s="52">
        <v>61718.0</v>
      </c>
      <c r="Q855" s="51">
        <v>842.0</v>
      </c>
      <c r="R855" s="53">
        <v>-984219.42</v>
      </c>
      <c r="S855" s="24" t="s">
        <v>604</v>
      </c>
      <c r="T855" s="11">
        <v>8.0</v>
      </c>
      <c r="U855" s="52">
        <v>121521.0</v>
      </c>
      <c r="V855" s="11">
        <v>9.0</v>
      </c>
      <c r="W855" s="11">
        <v>0.0</v>
      </c>
      <c r="X855" s="48">
        <v>6.12</v>
      </c>
      <c r="Y855" s="11">
        <f t="shared" si="2"/>
        <v>0.0612</v>
      </c>
    </row>
    <row r="856">
      <c r="A856" s="17">
        <v>58.0</v>
      </c>
      <c r="B856" s="24">
        <v>57.0</v>
      </c>
      <c r="C856" s="24">
        <v>6.0</v>
      </c>
      <c r="D856" s="24">
        <v>3.0</v>
      </c>
      <c r="E856" s="24">
        <v>68.0</v>
      </c>
      <c r="F856" s="48">
        <v>9.4092</v>
      </c>
      <c r="G856" s="49">
        <f t="shared" si="1"/>
        <v>0.094092</v>
      </c>
      <c r="H856" s="11">
        <v>0.0</v>
      </c>
      <c r="I856" s="11">
        <v>3.0</v>
      </c>
      <c r="J856" s="50">
        <v>112622.0</v>
      </c>
      <c r="K856" s="11">
        <v>4.0</v>
      </c>
      <c r="L856" s="11">
        <v>3.0</v>
      </c>
      <c r="M856" s="51">
        <v>751.0</v>
      </c>
      <c r="N856" s="17">
        <v>89.0</v>
      </c>
      <c r="O856" s="24" t="s">
        <v>39</v>
      </c>
      <c r="P856" s="52">
        <v>60216.0</v>
      </c>
      <c r="Q856" s="51">
        <v>200.0</v>
      </c>
      <c r="R856" s="53">
        <v>-908.99</v>
      </c>
      <c r="S856" s="24" t="s">
        <v>602</v>
      </c>
      <c r="T856" s="11">
        <v>6.0</v>
      </c>
      <c r="U856" s="52">
        <v>83022.0</v>
      </c>
      <c r="V856" s="11">
        <v>8.0</v>
      </c>
      <c r="W856" s="11">
        <v>8.0</v>
      </c>
      <c r="X856" s="48">
        <v>3.3751</v>
      </c>
      <c r="Y856" s="11">
        <f t="shared" si="2"/>
        <v>0.033751</v>
      </c>
    </row>
    <row r="857">
      <c r="A857" s="17">
        <v>54.0</v>
      </c>
      <c r="B857" s="24">
        <v>78.0</v>
      </c>
      <c r="C857" s="24">
        <v>1.0</v>
      </c>
      <c r="D857" s="24">
        <v>2.0</v>
      </c>
      <c r="E857" s="24">
        <v>63.0</v>
      </c>
      <c r="F857" s="48">
        <v>4.4072</v>
      </c>
      <c r="G857" s="49">
        <f t="shared" si="1"/>
        <v>0.044072</v>
      </c>
      <c r="H857" s="11">
        <v>9.0</v>
      </c>
      <c r="I857" s="11">
        <v>0.0</v>
      </c>
      <c r="J857" s="50">
        <v>112117.0</v>
      </c>
      <c r="K857" s="11">
        <v>6.0</v>
      </c>
      <c r="L857" s="11">
        <v>5.0</v>
      </c>
      <c r="M857" s="51">
        <v>169.0</v>
      </c>
      <c r="N857" s="17">
        <v>10.0</v>
      </c>
      <c r="O857" s="24" t="s">
        <v>48</v>
      </c>
      <c r="P857" s="52">
        <v>120623.0</v>
      </c>
      <c r="Q857" s="51">
        <v>704.0</v>
      </c>
      <c r="R857" s="53">
        <v>-880.57</v>
      </c>
      <c r="S857" s="24" t="s">
        <v>602</v>
      </c>
      <c r="T857" s="11">
        <v>7.0</v>
      </c>
      <c r="U857" s="52">
        <v>60119.0</v>
      </c>
      <c r="V857" s="11">
        <v>5.0</v>
      </c>
      <c r="W857" s="11">
        <v>2.0</v>
      </c>
      <c r="X857" s="48">
        <v>2.8821</v>
      </c>
      <c r="Y857" s="11">
        <f t="shared" si="2"/>
        <v>0.028821</v>
      </c>
    </row>
    <row r="858">
      <c r="A858" s="17">
        <v>15.0</v>
      </c>
      <c r="B858" s="24">
        <v>78.0</v>
      </c>
      <c r="C858" s="24">
        <v>2.0</v>
      </c>
      <c r="D858" s="24">
        <v>2.0</v>
      </c>
      <c r="E858" s="24">
        <v>66.0</v>
      </c>
      <c r="F858" s="48">
        <v>5.4024</v>
      </c>
      <c r="G858" s="49">
        <f t="shared" si="1"/>
        <v>0.054024</v>
      </c>
      <c r="H858" s="11">
        <v>5.0</v>
      </c>
      <c r="I858" s="11">
        <v>9.0</v>
      </c>
      <c r="J858" s="50">
        <v>11117.0</v>
      </c>
      <c r="K858" s="11">
        <v>0.0</v>
      </c>
      <c r="L858" s="11">
        <v>9.0</v>
      </c>
      <c r="M858" s="51">
        <v>438.0</v>
      </c>
      <c r="N858" s="17">
        <v>38.0</v>
      </c>
      <c r="O858" s="24" t="s">
        <v>48</v>
      </c>
      <c r="P858" s="52">
        <v>100718.0</v>
      </c>
      <c r="Q858" s="51">
        <v>317.0</v>
      </c>
      <c r="R858" s="53">
        <v>918.99</v>
      </c>
      <c r="S858" s="24" t="s">
        <v>604</v>
      </c>
      <c r="T858" s="11">
        <v>7.0</v>
      </c>
      <c r="U858" s="52">
        <v>31618.0</v>
      </c>
      <c r="V858" s="11">
        <v>9.0</v>
      </c>
      <c r="W858" s="11">
        <v>5.0</v>
      </c>
      <c r="X858" s="48">
        <v>6.7617</v>
      </c>
      <c r="Y858" s="11">
        <f t="shared" si="2"/>
        <v>0.067617</v>
      </c>
    </row>
    <row r="859">
      <c r="A859" s="17">
        <v>25.0</v>
      </c>
      <c r="B859" s="24">
        <v>37.0</v>
      </c>
      <c r="C859" s="24">
        <v>2.0</v>
      </c>
      <c r="D859" s="24">
        <v>7.0</v>
      </c>
      <c r="E859" s="24">
        <v>66.0</v>
      </c>
      <c r="F859" s="48">
        <v>3.8041</v>
      </c>
      <c r="G859" s="49">
        <f t="shared" si="1"/>
        <v>0.038041</v>
      </c>
      <c r="H859" s="11">
        <v>7.0</v>
      </c>
      <c r="I859" s="11">
        <v>1.0</v>
      </c>
      <c r="J859" s="50">
        <v>21114.0</v>
      </c>
      <c r="K859" s="11">
        <v>3.0</v>
      </c>
      <c r="L859" s="11">
        <v>0.0</v>
      </c>
      <c r="M859" s="51">
        <v>859.0</v>
      </c>
      <c r="N859" s="17">
        <v>22.0</v>
      </c>
      <c r="O859" s="24" t="s">
        <v>603</v>
      </c>
      <c r="P859" s="52">
        <v>30116.0</v>
      </c>
      <c r="Q859" s="51">
        <v>329.0</v>
      </c>
      <c r="R859" s="53">
        <v>79825.45</v>
      </c>
      <c r="S859" s="24" t="s">
        <v>600</v>
      </c>
      <c r="T859" s="11">
        <v>2.0</v>
      </c>
      <c r="U859" s="52">
        <v>92716.0</v>
      </c>
      <c r="V859" s="11">
        <v>6.0</v>
      </c>
      <c r="W859" s="11">
        <v>6.0</v>
      </c>
      <c r="X859" s="48">
        <v>3.2403</v>
      </c>
      <c r="Y859" s="11">
        <f t="shared" si="2"/>
        <v>0.032403</v>
      </c>
    </row>
    <row r="860">
      <c r="A860" s="17">
        <v>32.0</v>
      </c>
      <c r="B860" s="24">
        <v>98.0</v>
      </c>
      <c r="C860" s="24">
        <v>7.0</v>
      </c>
      <c r="D860" s="24">
        <v>4.0</v>
      </c>
      <c r="E860" s="24">
        <v>66.0</v>
      </c>
      <c r="F860" s="48">
        <v>1.247</v>
      </c>
      <c r="G860" s="49">
        <f t="shared" si="1"/>
        <v>0.01247</v>
      </c>
      <c r="H860" s="11">
        <v>4.0</v>
      </c>
      <c r="I860" s="11">
        <v>5.0</v>
      </c>
      <c r="J860" s="50">
        <v>102117.0</v>
      </c>
      <c r="K860" s="11">
        <v>2.0</v>
      </c>
      <c r="L860" s="11">
        <v>5.0</v>
      </c>
      <c r="M860" s="51">
        <v>39.0</v>
      </c>
      <c r="N860" s="17">
        <v>15.0</v>
      </c>
      <c r="O860" s="24" t="s">
        <v>31</v>
      </c>
      <c r="P860" s="52">
        <v>21122.0</v>
      </c>
      <c r="Q860" s="51">
        <v>685.0</v>
      </c>
      <c r="R860" s="53">
        <v>849808.38</v>
      </c>
      <c r="S860" s="24" t="s">
        <v>604</v>
      </c>
      <c r="T860" s="11">
        <v>8.0</v>
      </c>
      <c r="U860" s="52">
        <v>111716.0</v>
      </c>
      <c r="V860" s="11">
        <v>8.0</v>
      </c>
      <c r="W860" s="11">
        <v>3.0</v>
      </c>
      <c r="X860" s="48">
        <v>6.1941</v>
      </c>
      <c r="Y860" s="11">
        <f t="shared" si="2"/>
        <v>0.061941</v>
      </c>
    </row>
    <row r="861">
      <c r="A861" s="17">
        <v>86.0</v>
      </c>
      <c r="B861" s="24">
        <v>16.0</v>
      </c>
      <c r="C861" s="24">
        <v>8.0</v>
      </c>
      <c r="D861" s="24">
        <v>5.0</v>
      </c>
      <c r="E861" s="24">
        <v>66.0</v>
      </c>
      <c r="F861" s="48">
        <v>2.4906</v>
      </c>
      <c r="G861" s="49">
        <f t="shared" si="1"/>
        <v>0.024906</v>
      </c>
      <c r="H861" s="11">
        <v>3.0</v>
      </c>
      <c r="I861" s="11">
        <v>3.0</v>
      </c>
      <c r="J861" s="50">
        <v>121823.0</v>
      </c>
      <c r="K861" s="11">
        <v>4.0</v>
      </c>
      <c r="L861" s="11">
        <v>7.0</v>
      </c>
      <c r="M861" s="51">
        <v>478.0</v>
      </c>
      <c r="N861" s="17">
        <v>97.0</v>
      </c>
      <c r="O861" s="24" t="s">
        <v>31</v>
      </c>
      <c r="P861" s="52">
        <v>92323.0</v>
      </c>
      <c r="Q861" s="51">
        <v>932.0</v>
      </c>
      <c r="R861" s="53">
        <v>-795.78</v>
      </c>
      <c r="S861" s="24" t="s">
        <v>605</v>
      </c>
      <c r="T861" s="11">
        <v>1.0</v>
      </c>
      <c r="U861" s="52">
        <v>61223.0</v>
      </c>
      <c r="V861" s="11">
        <v>3.0</v>
      </c>
      <c r="W861" s="11">
        <v>8.0</v>
      </c>
      <c r="X861" s="48">
        <v>9.7593</v>
      </c>
      <c r="Y861" s="11">
        <f t="shared" si="2"/>
        <v>0.097593</v>
      </c>
    </row>
    <row r="862">
      <c r="A862" s="17">
        <v>78.0</v>
      </c>
      <c r="B862" s="24">
        <v>16.0</v>
      </c>
      <c r="C862" s="24">
        <v>8.0</v>
      </c>
      <c r="D862" s="24">
        <v>6.0</v>
      </c>
      <c r="E862" s="24">
        <v>66.0</v>
      </c>
      <c r="F862" s="48">
        <v>2.2725</v>
      </c>
      <c r="G862" s="49">
        <f t="shared" si="1"/>
        <v>0.022725</v>
      </c>
      <c r="H862" s="11">
        <v>9.0</v>
      </c>
      <c r="I862" s="11">
        <v>3.0</v>
      </c>
      <c r="J862" s="50">
        <v>121216.0</v>
      </c>
      <c r="K862" s="11">
        <v>2.0</v>
      </c>
      <c r="L862" s="11">
        <v>0.0</v>
      </c>
      <c r="M862" s="51">
        <v>34.0</v>
      </c>
      <c r="N862" s="17">
        <v>23.0</v>
      </c>
      <c r="O862" s="24" t="s">
        <v>600</v>
      </c>
      <c r="P862" s="52">
        <v>52523.0</v>
      </c>
      <c r="Q862" s="51">
        <v>372.0</v>
      </c>
      <c r="R862" s="53">
        <v>-5624.84</v>
      </c>
      <c r="S862" s="24" t="s">
        <v>604</v>
      </c>
      <c r="T862" s="11">
        <v>6.0</v>
      </c>
      <c r="U862" s="52">
        <v>101116.0</v>
      </c>
      <c r="V862" s="11">
        <v>7.0</v>
      </c>
      <c r="W862" s="11">
        <v>3.0</v>
      </c>
      <c r="X862" s="48">
        <v>8.2933</v>
      </c>
      <c r="Y862" s="11">
        <f t="shared" si="2"/>
        <v>0.082933</v>
      </c>
    </row>
    <row r="863">
      <c r="A863" s="17">
        <v>85.0</v>
      </c>
      <c r="B863" s="24">
        <v>57.0</v>
      </c>
      <c r="C863" s="24">
        <v>8.0</v>
      </c>
      <c r="D863" s="24">
        <v>5.0</v>
      </c>
      <c r="E863" s="24">
        <v>62.0</v>
      </c>
      <c r="F863" s="48">
        <v>6.8492</v>
      </c>
      <c r="G863" s="49">
        <f t="shared" si="1"/>
        <v>0.068492</v>
      </c>
      <c r="H863" s="11">
        <v>1.0</v>
      </c>
      <c r="I863" s="11">
        <v>9.0</v>
      </c>
      <c r="J863" s="50">
        <v>31223.0</v>
      </c>
      <c r="K863" s="11">
        <v>9.0</v>
      </c>
      <c r="L863" s="11">
        <v>7.0</v>
      </c>
      <c r="M863" s="51">
        <v>369.0</v>
      </c>
      <c r="N863" s="17">
        <v>3.0</v>
      </c>
      <c r="O863" s="24" t="s">
        <v>31</v>
      </c>
      <c r="P863" s="52">
        <v>50120.0</v>
      </c>
      <c r="Q863" s="51">
        <v>201.0</v>
      </c>
      <c r="R863" s="53">
        <v>-99988.18</v>
      </c>
      <c r="S863" s="24" t="s">
        <v>604</v>
      </c>
      <c r="T863" s="11">
        <v>8.0</v>
      </c>
      <c r="U863" s="52">
        <v>51023.0</v>
      </c>
      <c r="V863" s="11">
        <v>2.0</v>
      </c>
      <c r="W863" s="11">
        <v>2.0</v>
      </c>
      <c r="X863" s="48">
        <v>4.1372</v>
      </c>
      <c r="Y863" s="11">
        <f t="shared" si="2"/>
        <v>0.041372</v>
      </c>
    </row>
    <row r="864">
      <c r="A864" s="17">
        <v>79.0</v>
      </c>
      <c r="B864" s="24">
        <v>37.0</v>
      </c>
      <c r="C864" s="24">
        <v>3.0</v>
      </c>
      <c r="D864" s="24">
        <v>7.0</v>
      </c>
      <c r="E864" s="24">
        <v>65.0</v>
      </c>
      <c r="F864" s="48">
        <v>6.7101</v>
      </c>
      <c r="G864" s="49">
        <f t="shared" si="1"/>
        <v>0.067101</v>
      </c>
      <c r="H864" s="11">
        <v>8.0</v>
      </c>
      <c r="I864" s="11">
        <v>8.0</v>
      </c>
      <c r="J864" s="50">
        <v>121817.0</v>
      </c>
      <c r="K864" s="11">
        <v>9.0</v>
      </c>
      <c r="L864" s="11">
        <v>6.0</v>
      </c>
      <c r="M864" s="51">
        <v>256.0</v>
      </c>
      <c r="N864" s="17">
        <v>96.0</v>
      </c>
      <c r="O864" s="24" t="s">
        <v>601</v>
      </c>
      <c r="P864" s="52">
        <v>52715.0</v>
      </c>
      <c r="Q864" s="51">
        <v>650.0</v>
      </c>
      <c r="R864" s="53">
        <v>350251.25</v>
      </c>
      <c r="S864" s="24" t="s">
        <v>602</v>
      </c>
      <c r="T864" s="11">
        <v>3.0</v>
      </c>
      <c r="U864" s="52">
        <v>123021.0</v>
      </c>
      <c r="V864" s="11">
        <v>0.0</v>
      </c>
      <c r="W864" s="11">
        <v>5.0</v>
      </c>
      <c r="X864" s="48">
        <v>6.459</v>
      </c>
      <c r="Y864" s="11">
        <f t="shared" si="2"/>
        <v>0.06459</v>
      </c>
    </row>
    <row r="865">
      <c r="A865" s="17">
        <v>82.0</v>
      </c>
      <c r="B865" s="24">
        <v>98.0</v>
      </c>
      <c r="C865" s="24">
        <v>8.0</v>
      </c>
      <c r="D865" s="24">
        <v>4.0</v>
      </c>
      <c r="E865" s="24">
        <v>62.0</v>
      </c>
      <c r="F865" s="48">
        <v>9.3714</v>
      </c>
      <c r="G865" s="49">
        <f t="shared" si="1"/>
        <v>0.093714</v>
      </c>
      <c r="H865" s="11">
        <v>7.0</v>
      </c>
      <c r="I865" s="11">
        <v>3.0</v>
      </c>
      <c r="J865" s="50">
        <v>21019.0</v>
      </c>
      <c r="K865" s="11">
        <v>8.0</v>
      </c>
      <c r="L865" s="11">
        <v>3.0</v>
      </c>
      <c r="M865" s="51">
        <v>882.0</v>
      </c>
      <c r="N865" s="17">
        <v>63.0</v>
      </c>
      <c r="O865" s="24" t="s">
        <v>606</v>
      </c>
      <c r="P865" s="52">
        <v>12813.0</v>
      </c>
      <c r="Q865" s="51">
        <v>274.0</v>
      </c>
      <c r="R865" s="53">
        <v>-457757.57</v>
      </c>
      <c r="S865" s="24" t="s">
        <v>602</v>
      </c>
      <c r="T865" s="11">
        <v>0.0</v>
      </c>
      <c r="U865" s="52">
        <v>112523.0</v>
      </c>
      <c r="V865" s="11">
        <v>8.0</v>
      </c>
      <c r="W865" s="11">
        <v>4.0</v>
      </c>
      <c r="X865" s="48">
        <v>2.39</v>
      </c>
      <c r="Y865" s="11">
        <f t="shared" si="2"/>
        <v>0.0239</v>
      </c>
    </row>
    <row r="866">
      <c r="A866" s="17">
        <v>26.0</v>
      </c>
      <c r="B866" s="24">
        <v>16.0</v>
      </c>
      <c r="C866" s="24">
        <v>9.0</v>
      </c>
      <c r="D866" s="24">
        <v>5.0</v>
      </c>
      <c r="E866" s="24">
        <v>60.0</v>
      </c>
      <c r="F866" s="48">
        <v>3.4085</v>
      </c>
      <c r="G866" s="49">
        <f t="shared" si="1"/>
        <v>0.034085</v>
      </c>
      <c r="H866" s="11">
        <v>6.0</v>
      </c>
      <c r="I866" s="11">
        <v>0.0</v>
      </c>
      <c r="J866" s="50">
        <v>72419.0</v>
      </c>
      <c r="K866" s="11">
        <v>0.0</v>
      </c>
      <c r="L866" s="11">
        <v>6.0</v>
      </c>
      <c r="M866" s="51">
        <v>304.0</v>
      </c>
      <c r="N866" s="17">
        <v>30.0</v>
      </c>
      <c r="O866" s="24" t="s">
        <v>48</v>
      </c>
      <c r="P866" s="52">
        <v>11016.0</v>
      </c>
      <c r="Q866" s="51">
        <v>635.0</v>
      </c>
      <c r="R866" s="53">
        <v>523729.78</v>
      </c>
      <c r="S866" s="24" t="s">
        <v>602</v>
      </c>
      <c r="T866" s="11">
        <v>3.0</v>
      </c>
      <c r="U866" s="52">
        <v>22513.0</v>
      </c>
      <c r="V866" s="11">
        <v>4.0</v>
      </c>
      <c r="W866" s="11">
        <v>9.0</v>
      </c>
      <c r="X866" s="48">
        <v>5.3636</v>
      </c>
      <c r="Y866" s="11">
        <f t="shared" si="2"/>
        <v>0.053636</v>
      </c>
    </row>
    <row r="867">
      <c r="A867" s="17">
        <v>8.0</v>
      </c>
      <c r="B867" s="24">
        <v>98.0</v>
      </c>
      <c r="C867" s="24">
        <v>8.0</v>
      </c>
      <c r="D867" s="24">
        <v>7.0</v>
      </c>
      <c r="E867" s="24">
        <v>68.0</v>
      </c>
      <c r="F867" s="48">
        <v>4.7136</v>
      </c>
      <c r="G867" s="49">
        <f t="shared" si="1"/>
        <v>0.047136</v>
      </c>
      <c r="H867" s="11">
        <v>0.0</v>
      </c>
      <c r="I867" s="11">
        <v>1.0</v>
      </c>
      <c r="J867" s="50">
        <v>110714.0</v>
      </c>
      <c r="K867" s="11">
        <v>6.0</v>
      </c>
      <c r="L867" s="11">
        <v>6.0</v>
      </c>
      <c r="M867" s="51">
        <v>119.0</v>
      </c>
      <c r="N867" s="17">
        <v>59.0</v>
      </c>
      <c r="O867" s="24" t="s">
        <v>48</v>
      </c>
      <c r="P867" s="52">
        <v>31615.0</v>
      </c>
      <c r="Q867" s="51">
        <v>245.0</v>
      </c>
      <c r="R867" s="53">
        <v>1771.77</v>
      </c>
      <c r="S867" s="24" t="s">
        <v>605</v>
      </c>
      <c r="T867" s="11">
        <v>3.0</v>
      </c>
      <c r="U867" s="52">
        <v>120320.0</v>
      </c>
      <c r="V867" s="11">
        <v>1.0</v>
      </c>
      <c r="W867" s="11">
        <v>7.0</v>
      </c>
      <c r="X867" s="48">
        <v>8.2468</v>
      </c>
      <c r="Y867" s="11">
        <f t="shared" si="2"/>
        <v>0.082468</v>
      </c>
    </row>
    <row r="868">
      <c r="A868" s="17">
        <v>41.0</v>
      </c>
      <c r="B868" s="24">
        <v>78.0</v>
      </c>
      <c r="C868" s="24">
        <v>4.0</v>
      </c>
      <c r="D868" s="24">
        <v>1.0</v>
      </c>
      <c r="E868" s="24">
        <v>65.0</v>
      </c>
      <c r="F868" s="48">
        <v>8.3562</v>
      </c>
      <c r="G868" s="49">
        <f t="shared" si="1"/>
        <v>0.083562</v>
      </c>
      <c r="H868" s="11">
        <v>1.0</v>
      </c>
      <c r="I868" s="11">
        <v>0.0</v>
      </c>
      <c r="J868" s="50">
        <v>21322.0</v>
      </c>
      <c r="K868" s="11">
        <v>3.0</v>
      </c>
      <c r="L868" s="11">
        <v>2.0</v>
      </c>
      <c r="M868" s="51">
        <v>711.0</v>
      </c>
      <c r="N868" s="17">
        <v>60.0</v>
      </c>
      <c r="O868" s="24" t="s">
        <v>606</v>
      </c>
      <c r="P868" s="52">
        <v>120222.0</v>
      </c>
      <c r="Q868" s="51">
        <v>187.0</v>
      </c>
      <c r="R868" s="53">
        <v>2878.81</v>
      </c>
      <c r="S868" s="24" t="s">
        <v>605</v>
      </c>
      <c r="T868" s="11">
        <v>5.0</v>
      </c>
      <c r="U868" s="52">
        <v>42621.0</v>
      </c>
      <c r="V868" s="11">
        <v>8.0</v>
      </c>
      <c r="W868" s="11">
        <v>2.0</v>
      </c>
      <c r="X868" s="48">
        <v>3.3588</v>
      </c>
      <c r="Y868" s="11">
        <f t="shared" si="2"/>
        <v>0.033588</v>
      </c>
    </row>
    <row r="869">
      <c r="A869" s="17">
        <v>50.0</v>
      </c>
      <c r="B869" s="24">
        <v>57.0</v>
      </c>
      <c r="C869" s="24">
        <v>9.0</v>
      </c>
      <c r="D869" s="24">
        <v>3.0</v>
      </c>
      <c r="E869" s="24">
        <v>68.0</v>
      </c>
      <c r="F869" s="48">
        <v>5.2109</v>
      </c>
      <c r="G869" s="49">
        <f t="shared" si="1"/>
        <v>0.052109</v>
      </c>
      <c r="H869" s="11">
        <v>3.0</v>
      </c>
      <c r="I869" s="11">
        <v>9.0</v>
      </c>
      <c r="J869" s="50">
        <v>72317.0</v>
      </c>
      <c r="K869" s="11">
        <v>8.0</v>
      </c>
      <c r="L869" s="11">
        <v>2.0</v>
      </c>
      <c r="M869" s="51">
        <v>227.0</v>
      </c>
      <c r="N869" s="17">
        <v>76.0</v>
      </c>
      <c r="O869" s="24" t="s">
        <v>600</v>
      </c>
      <c r="P869" s="52">
        <v>50720.0</v>
      </c>
      <c r="Q869" s="51">
        <v>150.0</v>
      </c>
      <c r="R869" s="53">
        <v>-497.81</v>
      </c>
      <c r="S869" s="24" t="s">
        <v>604</v>
      </c>
      <c r="T869" s="11">
        <v>5.0</v>
      </c>
      <c r="U869" s="52">
        <v>92915.0</v>
      </c>
      <c r="V869" s="11">
        <v>1.0</v>
      </c>
      <c r="W869" s="11">
        <v>6.0</v>
      </c>
      <c r="X869" s="48">
        <v>9.6996</v>
      </c>
      <c r="Y869" s="11">
        <f t="shared" si="2"/>
        <v>0.096996</v>
      </c>
    </row>
    <row r="870">
      <c r="A870" s="17">
        <v>58.0</v>
      </c>
      <c r="B870" s="24">
        <v>57.0</v>
      </c>
      <c r="C870" s="24">
        <v>9.0</v>
      </c>
      <c r="D870" s="24">
        <v>5.0</v>
      </c>
      <c r="E870" s="24">
        <v>63.0</v>
      </c>
      <c r="F870" s="48">
        <v>4.1439</v>
      </c>
      <c r="G870" s="49">
        <f t="shared" si="1"/>
        <v>0.041439</v>
      </c>
      <c r="H870" s="11">
        <v>0.0</v>
      </c>
      <c r="I870" s="11">
        <v>9.0</v>
      </c>
      <c r="J870" s="50">
        <v>61619.0</v>
      </c>
      <c r="K870" s="11">
        <v>6.0</v>
      </c>
      <c r="L870" s="11">
        <v>4.0</v>
      </c>
      <c r="M870" s="51">
        <v>543.0</v>
      </c>
      <c r="N870" s="17">
        <v>77.0</v>
      </c>
      <c r="O870" s="24" t="s">
        <v>31</v>
      </c>
      <c r="P870" s="52">
        <v>41617.0</v>
      </c>
      <c r="Q870" s="51">
        <v>881.0</v>
      </c>
      <c r="R870" s="53">
        <v>27229.7</v>
      </c>
      <c r="S870" s="24" t="s">
        <v>605</v>
      </c>
      <c r="T870" s="11">
        <v>4.0</v>
      </c>
      <c r="U870" s="52">
        <v>100822.0</v>
      </c>
      <c r="V870" s="11">
        <v>8.0</v>
      </c>
      <c r="W870" s="11">
        <v>1.0</v>
      </c>
      <c r="X870" s="48">
        <v>4.5761</v>
      </c>
      <c r="Y870" s="11">
        <f t="shared" si="2"/>
        <v>0.045761</v>
      </c>
    </row>
    <row r="871">
      <c r="A871" s="17">
        <v>39.0</v>
      </c>
      <c r="B871" s="24">
        <v>37.0</v>
      </c>
      <c r="C871" s="24">
        <v>4.0</v>
      </c>
      <c r="D871" s="24">
        <v>7.0</v>
      </c>
      <c r="E871" s="24">
        <v>61.0</v>
      </c>
      <c r="F871" s="48">
        <v>9.8134</v>
      </c>
      <c r="G871" s="49">
        <f t="shared" si="1"/>
        <v>0.098134</v>
      </c>
      <c r="H871" s="11">
        <v>7.0</v>
      </c>
      <c r="I871" s="11">
        <v>2.0</v>
      </c>
      <c r="J871" s="50">
        <v>123014.0</v>
      </c>
      <c r="K871" s="11">
        <v>1.0</v>
      </c>
      <c r="L871" s="11">
        <v>6.0</v>
      </c>
      <c r="M871" s="51">
        <v>238.0</v>
      </c>
      <c r="N871" s="17">
        <v>34.0</v>
      </c>
      <c r="O871" s="24" t="s">
        <v>601</v>
      </c>
      <c r="P871" s="52">
        <v>103022.0</v>
      </c>
      <c r="Q871" s="51">
        <v>316.0</v>
      </c>
      <c r="R871" s="53">
        <v>-58074.75</v>
      </c>
      <c r="S871" s="24" t="s">
        <v>600</v>
      </c>
      <c r="T871" s="11">
        <v>0.0</v>
      </c>
      <c r="U871" s="52">
        <v>41316.0</v>
      </c>
      <c r="V871" s="11">
        <v>0.0</v>
      </c>
      <c r="W871" s="11">
        <v>1.0</v>
      </c>
      <c r="X871" s="48">
        <v>3.4592</v>
      </c>
      <c r="Y871" s="11">
        <f t="shared" si="2"/>
        <v>0.034592</v>
      </c>
    </row>
    <row r="872">
      <c r="A872" s="17">
        <v>64.0</v>
      </c>
      <c r="B872" s="24">
        <v>37.0</v>
      </c>
      <c r="C872" s="24">
        <v>4.0</v>
      </c>
      <c r="D872" s="24">
        <v>5.0</v>
      </c>
      <c r="E872" s="24">
        <v>65.0</v>
      </c>
      <c r="F872" s="48">
        <v>2.781</v>
      </c>
      <c r="G872" s="49">
        <f t="shared" si="1"/>
        <v>0.02781</v>
      </c>
      <c r="H872" s="11">
        <v>7.0</v>
      </c>
      <c r="I872" s="11">
        <v>8.0</v>
      </c>
      <c r="J872" s="50">
        <v>32316.0</v>
      </c>
      <c r="K872" s="11">
        <v>9.0</v>
      </c>
      <c r="L872" s="11">
        <v>1.0</v>
      </c>
      <c r="M872" s="51">
        <v>965.0</v>
      </c>
      <c r="N872" s="17">
        <v>44.0</v>
      </c>
      <c r="O872" s="24" t="s">
        <v>48</v>
      </c>
      <c r="P872" s="52">
        <v>11319.0</v>
      </c>
      <c r="Q872" s="51">
        <v>339.0</v>
      </c>
      <c r="R872" s="53">
        <v>-33807.34</v>
      </c>
      <c r="S872" s="24" t="s">
        <v>600</v>
      </c>
      <c r="T872" s="11">
        <v>9.0</v>
      </c>
      <c r="U872" s="52">
        <v>42320.0</v>
      </c>
      <c r="V872" s="11">
        <v>3.0</v>
      </c>
      <c r="W872" s="11">
        <v>6.0</v>
      </c>
      <c r="X872" s="48">
        <v>1.5074</v>
      </c>
      <c r="Y872" s="11">
        <f t="shared" si="2"/>
        <v>0.015074</v>
      </c>
    </row>
    <row r="873">
      <c r="A873" s="17">
        <v>27.0</v>
      </c>
      <c r="B873" s="24">
        <v>78.0</v>
      </c>
      <c r="C873" s="24">
        <v>4.0</v>
      </c>
      <c r="D873" s="24">
        <v>6.0</v>
      </c>
      <c r="E873" s="24">
        <v>68.0</v>
      </c>
      <c r="F873" s="48">
        <v>7.6012</v>
      </c>
      <c r="G873" s="49">
        <f t="shared" si="1"/>
        <v>0.076012</v>
      </c>
      <c r="H873" s="11">
        <v>8.0</v>
      </c>
      <c r="I873" s="11">
        <v>8.0</v>
      </c>
      <c r="J873" s="50">
        <v>31313.0</v>
      </c>
      <c r="K873" s="11">
        <v>5.0</v>
      </c>
      <c r="L873" s="11">
        <v>5.0</v>
      </c>
      <c r="M873" s="51">
        <v>346.0</v>
      </c>
      <c r="N873" s="17">
        <v>32.0</v>
      </c>
      <c r="O873" s="24" t="s">
        <v>48</v>
      </c>
      <c r="P873" s="52">
        <v>40713.0</v>
      </c>
      <c r="Q873" s="51">
        <v>646.0</v>
      </c>
      <c r="R873" s="53">
        <v>264.8</v>
      </c>
      <c r="S873" s="24" t="s">
        <v>605</v>
      </c>
      <c r="T873" s="11">
        <v>2.0</v>
      </c>
      <c r="U873" s="52">
        <v>20317.0</v>
      </c>
      <c r="V873" s="11">
        <v>3.0</v>
      </c>
      <c r="W873" s="11">
        <v>7.0</v>
      </c>
      <c r="X873" s="48">
        <v>3.6833</v>
      </c>
      <c r="Y873" s="11">
        <f t="shared" si="2"/>
        <v>0.036833</v>
      </c>
    </row>
    <row r="874">
      <c r="A874" s="17">
        <v>4.0</v>
      </c>
      <c r="B874" s="24">
        <v>78.0</v>
      </c>
      <c r="C874" s="24">
        <v>4.0</v>
      </c>
      <c r="D874" s="24">
        <v>9.0</v>
      </c>
      <c r="E874" s="24">
        <v>65.0</v>
      </c>
      <c r="F874" s="48">
        <v>6.6575</v>
      </c>
      <c r="G874" s="49">
        <f t="shared" si="1"/>
        <v>0.066575</v>
      </c>
      <c r="H874" s="11">
        <v>8.0</v>
      </c>
      <c r="I874" s="11">
        <v>1.0</v>
      </c>
      <c r="J874" s="50">
        <v>101320.0</v>
      </c>
      <c r="K874" s="11">
        <v>4.0</v>
      </c>
      <c r="L874" s="11">
        <v>4.0</v>
      </c>
      <c r="M874" s="51">
        <v>705.0</v>
      </c>
      <c r="N874" s="17">
        <v>38.0</v>
      </c>
      <c r="O874" s="24" t="s">
        <v>48</v>
      </c>
      <c r="P874" s="52">
        <v>100715.0</v>
      </c>
      <c r="Q874" s="51">
        <v>195.0</v>
      </c>
      <c r="R874" s="53">
        <v>-393.67</v>
      </c>
      <c r="S874" s="24" t="s">
        <v>604</v>
      </c>
      <c r="T874" s="11">
        <v>4.0</v>
      </c>
      <c r="U874" s="52">
        <v>10615.0</v>
      </c>
      <c r="V874" s="11">
        <v>1.0</v>
      </c>
      <c r="W874" s="11">
        <v>0.0</v>
      </c>
      <c r="X874" s="48">
        <v>4.556</v>
      </c>
      <c r="Y874" s="11">
        <f t="shared" si="2"/>
        <v>0.04556</v>
      </c>
    </row>
    <row r="875">
      <c r="A875" s="17">
        <v>46.0</v>
      </c>
      <c r="B875" s="24">
        <v>37.0</v>
      </c>
      <c r="C875" s="24">
        <v>5.0</v>
      </c>
      <c r="D875" s="24">
        <v>6.0</v>
      </c>
      <c r="E875" s="24">
        <v>60.0</v>
      </c>
      <c r="F875" s="48">
        <v>5.1129</v>
      </c>
      <c r="G875" s="49">
        <f t="shared" si="1"/>
        <v>0.051129</v>
      </c>
      <c r="H875" s="11">
        <v>2.0</v>
      </c>
      <c r="I875" s="11">
        <v>5.0</v>
      </c>
      <c r="J875" s="50">
        <v>61920.0</v>
      </c>
      <c r="K875" s="11">
        <v>5.0</v>
      </c>
      <c r="L875" s="11">
        <v>6.0</v>
      </c>
      <c r="M875" s="51">
        <v>855.0</v>
      </c>
      <c r="N875" s="17">
        <v>7.0</v>
      </c>
      <c r="O875" s="24" t="s">
        <v>48</v>
      </c>
      <c r="P875" s="52">
        <v>41321.0</v>
      </c>
      <c r="Q875" s="51">
        <v>853.0</v>
      </c>
      <c r="R875" s="53">
        <v>766344.38</v>
      </c>
      <c r="S875" s="24" t="s">
        <v>604</v>
      </c>
      <c r="T875" s="11">
        <v>8.0</v>
      </c>
      <c r="U875" s="52">
        <v>60821.0</v>
      </c>
      <c r="V875" s="11">
        <v>3.0</v>
      </c>
      <c r="W875" s="11">
        <v>7.0</v>
      </c>
      <c r="X875" s="48">
        <v>8.984</v>
      </c>
      <c r="Y875" s="11">
        <f t="shared" si="2"/>
        <v>0.08984</v>
      </c>
    </row>
    <row r="876">
      <c r="A876" s="17">
        <v>65.0</v>
      </c>
      <c r="B876" s="24">
        <v>78.0</v>
      </c>
      <c r="C876" s="24">
        <v>5.0</v>
      </c>
      <c r="D876" s="24">
        <v>4.0</v>
      </c>
      <c r="E876" s="24">
        <v>68.0</v>
      </c>
      <c r="F876" s="48">
        <v>9.9164</v>
      </c>
      <c r="G876" s="49">
        <f t="shared" si="1"/>
        <v>0.099164</v>
      </c>
      <c r="H876" s="11">
        <v>5.0</v>
      </c>
      <c r="I876" s="11">
        <v>7.0</v>
      </c>
      <c r="J876" s="50">
        <v>100614.0</v>
      </c>
      <c r="K876" s="11">
        <v>8.0</v>
      </c>
      <c r="L876" s="11">
        <v>2.0</v>
      </c>
      <c r="M876" s="51">
        <v>212.0</v>
      </c>
      <c r="N876" s="17">
        <v>50.0</v>
      </c>
      <c r="O876" s="24" t="s">
        <v>39</v>
      </c>
      <c r="P876" s="52">
        <v>111318.0</v>
      </c>
      <c r="Q876" s="51">
        <v>973.0</v>
      </c>
      <c r="R876" s="53">
        <v>-688.76</v>
      </c>
      <c r="S876" s="24" t="s">
        <v>605</v>
      </c>
      <c r="T876" s="11">
        <v>1.0</v>
      </c>
      <c r="U876" s="52">
        <v>12014.0</v>
      </c>
      <c r="V876" s="11">
        <v>7.0</v>
      </c>
      <c r="W876" s="11">
        <v>8.0</v>
      </c>
      <c r="X876" s="48">
        <v>2.343</v>
      </c>
      <c r="Y876" s="11">
        <f t="shared" si="2"/>
        <v>0.02343</v>
      </c>
    </row>
    <row r="877">
      <c r="A877" s="17">
        <v>57.0</v>
      </c>
      <c r="B877" s="24">
        <v>37.0</v>
      </c>
      <c r="C877" s="24">
        <v>6.0</v>
      </c>
      <c r="D877" s="24">
        <v>1.0</v>
      </c>
      <c r="E877" s="24">
        <v>61.0</v>
      </c>
      <c r="F877" s="48">
        <v>6.7464</v>
      </c>
      <c r="G877" s="49">
        <f t="shared" si="1"/>
        <v>0.067464</v>
      </c>
      <c r="H877" s="11">
        <v>9.0</v>
      </c>
      <c r="I877" s="11">
        <v>9.0</v>
      </c>
      <c r="J877" s="50">
        <v>32620.0</v>
      </c>
      <c r="K877" s="11">
        <v>1.0</v>
      </c>
      <c r="L877" s="11">
        <v>5.0</v>
      </c>
      <c r="M877" s="51">
        <v>412.0</v>
      </c>
      <c r="N877" s="17">
        <v>62.0</v>
      </c>
      <c r="O877" s="24" t="s">
        <v>606</v>
      </c>
      <c r="P877" s="52">
        <v>42119.0</v>
      </c>
      <c r="Q877" s="51">
        <v>950.0</v>
      </c>
      <c r="R877" s="53">
        <v>4756.9</v>
      </c>
      <c r="S877" s="24" t="s">
        <v>602</v>
      </c>
      <c r="T877" s="11">
        <v>3.0</v>
      </c>
      <c r="U877" s="52">
        <v>93013.0</v>
      </c>
      <c r="V877" s="11">
        <v>9.0</v>
      </c>
      <c r="W877" s="11">
        <v>0.0</v>
      </c>
      <c r="X877" s="48">
        <v>3.4648</v>
      </c>
      <c r="Y877" s="11">
        <f t="shared" si="2"/>
        <v>0.034648</v>
      </c>
    </row>
    <row r="878">
      <c r="A878" s="17">
        <v>60.0</v>
      </c>
      <c r="B878" s="24">
        <v>17.0</v>
      </c>
      <c r="C878" s="24">
        <v>1.0</v>
      </c>
      <c r="D878" s="24">
        <v>5.0</v>
      </c>
      <c r="E878" s="24">
        <v>60.0</v>
      </c>
      <c r="F878" s="48">
        <v>6.6675</v>
      </c>
      <c r="G878" s="49">
        <f t="shared" si="1"/>
        <v>0.066675</v>
      </c>
      <c r="H878" s="11">
        <v>6.0</v>
      </c>
      <c r="I878" s="11">
        <v>4.0</v>
      </c>
      <c r="J878" s="50">
        <v>81316.0</v>
      </c>
      <c r="K878" s="11">
        <v>6.0</v>
      </c>
      <c r="L878" s="11">
        <v>9.0</v>
      </c>
      <c r="M878" s="51">
        <v>146.0</v>
      </c>
      <c r="N878" s="17">
        <v>72.0</v>
      </c>
      <c r="O878" s="24" t="s">
        <v>600</v>
      </c>
      <c r="P878" s="52">
        <v>92118.0</v>
      </c>
      <c r="Q878" s="51">
        <v>782.0</v>
      </c>
      <c r="R878" s="53">
        <v>-127987.25</v>
      </c>
      <c r="S878" s="24" t="s">
        <v>604</v>
      </c>
      <c r="T878" s="11">
        <v>8.0</v>
      </c>
      <c r="U878" s="52">
        <v>40414.0</v>
      </c>
      <c r="V878" s="11">
        <v>9.0</v>
      </c>
      <c r="W878" s="11">
        <v>7.0</v>
      </c>
      <c r="X878" s="48">
        <v>7.8999</v>
      </c>
      <c r="Y878" s="11">
        <f t="shared" si="2"/>
        <v>0.078999</v>
      </c>
    </row>
    <row r="879">
      <c r="A879" s="17">
        <v>13.0</v>
      </c>
      <c r="B879" s="24">
        <v>17.0</v>
      </c>
      <c r="C879" s="24">
        <v>1.0</v>
      </c>
      <c r="D879" s="24">
        <v>6.0</v>
      </c>
      <c r="E879" s="24">
        <v>61.0</v>
      </c>
      <c r="F879" s="48">
        <v>5.9832</v>
      </c>
      <c r="G879" s="49">
        <f t="shared" si="1"/>
        <v>0.059832</v>
      </c>
      <c r="H879" s="11">
        <v>3.0</v>
      </c>
      <c r="I879" s="11">
        <v>5.0</v>
      </c>
      <c r="J879" s="50">
        <v>122417.0</v>
      </c>
      <c r="K879" s="11">
        <v>0.0</v>
      </c>
      <c r="L879" s="11">
        <v>9.0</v>
      </c>
      <c r="M879" s="51">
        <v>149.0</v>
      </c>
      <c r="N879" s="17">
        <v>50.0</v>
      </c>
      <c r="O879" s="24" t="s">
        <v>603</v>
      </c>
      <c r="P879" s="52">
        <v>30217.0</v>
      </c>
      <c r="Q879" s="51">
        <v>654.0</v>
      </c>
      <c r="R879" s="53">
        <v>196760.84</v>
      </c>
      <c r="S879" s="24" t="s">
        <v>605</v>
      </c>
      <c r="T879" s="11">
        <v>3.0</v>
      </c>
      <c r="U879" s="52">
        <v>101019.0</v>
      </c>
      <c r="V879" s="11">
        <v>5.0</v>
      </c>
      <c r="W879" s="11">
        <v>7.0</v>
      </c>
      <c r="X879" s="48">
        <v>6.9358</v>
      </c>
      <c r="Y879" s="11">
        <f t="shared" si="2"/>
        <v>0.069358</v>
      </c>
    </row>
    <row r="880">
      <c r="A880" s="17">
        <v>63.0</v>
      </c>
      <c r="B880" s="24">
        <v>78.0</v>
      </c>
      <c r="C880" s="24">
        <v>6.0</v>
      </c>
      <c r="D880" s="24">
        <v>5.0</v>
      </c>
      <c r="E880" s="24">
        <v>60.0</v>
      </c>
      <c r="F880" s="48">
        <v>6.119</v>
      </c>
      <c r="G880" s="49">
        <f t="shared" si="1"/>
        <v>0.06119</v>
      </c>
      <c r="H880" s="11">
        <v>2.0</v>
      </c>
      <c r="I880" s="11">
        <v>0.0</v>
      </c>
      <c r="J880" s="50">
        <v>100113.0</v>
      </c>
      <c r="K880" s="11">
        <v>5.0</v>
      </c>
      <c r="L880" s="11">
        <v>8.0</v>
      </c>
      <c r="M880" s="51">
        <v>860.0</v>
      </c>
      <c r="N880" s="17">
        <v>79.0</v>
      </c>
      <c r="O880" s="24" t="s">
        <v>31</v>
      </c>
      <c r="P880" s="52">
        <v>72122.0</v>
      </c>
      <c r="Q880" s="51">
        <v>713.0</v>
      </c>
      <c r="R880" s="53">
        <v>-9946.74</v>
      </c>
      <c r="S880" s="24" t="s">
        <v>600</v>
      </c>
      <c r="T880" s="11">
        <v>7.0</v>
      </c>
      <c r="U880" s="52">
        <v>111921.0</v>
      </c>
      <c r="V880" s="11">
        <v>6.0</v>
      </c>
      <c r="W880" s="11">
        <v>6.0</v>
      </c>
      <c r="X880" s="48">
        <v>1.803</v>
      </c>
      <c r="Y880" s="11">
        <f t="shared" si="2"/>
        <v>0.01803</v>
      </c>
    </row>
    <row r="881">
      <c r="A881" s="17">
        <v>56.0</v>
      </c>
      <c r="B881" s="24">
        <v>99.0</v>
      </c>
      <c r="C881" s="24">
        <v>1.0</v>
      </c>
      <c r="D881" s="24">
        <v>4.0</v>
      </c>
      <c r="E881" s="24">
        <v>60.0</v>
      </c>
      <c r="F881" s="48">
        <v>2.8006</v>
      </c>
      <c r="G881" s="49">
        <f t="shared" si="1"/>
        <v>0.028006</v>
      </c>
      <c r="H881" s="11">
        <v>0.0</v>
      </c>
      <c r="I881" s="11">
        <v>8.0</v>
      </c>
      <c r="J881" s="50">
        <v>100415.0</v>
      </c>
      <c r="K881" s="11">
        <v>7.0</v>
      </c>
      <c r="L881" s="11">
        <v>9.0</v>
      </c>
      <c r="M881" s="51">
        <v>133.0</v>
      </c>
      <c r="N881" s="17">
        <v>4.0</v>
      </c>
      <c r="O881" s="24" t="s">
        <v>600</v>
      </c>
      <c r="P881" s="52">
        <v>50422.0</v>
      </c>
      <c r="Q881" s="51">
        <v>217.0</v>
      </c>
      <c r="R881" s="53">
        <v>-9538.96</v>
      </c>
      <c r="S881" s="24" t="s">
        <v>604</v>
      </c>
      <c r="T881" s="11">
        <v>1.0</v>
      </c>
      <c r="U881" s="52">
        <v>12516.0</v>
      </c>
      <c r="V881" s="11">
        <v>2.0</v>
      </c>
      <c r="W881" s="11">
        <v>0.0</v>
      </c>
      <c r="X881" s="48">
        <v>1.2225</v>
      </c>
      <c r="Y881" s="11">
        <f t="shared" si="2"/>
        <v>0.012225</v>
      </c>
    </row>
    <row r="882">
      <c r="A882" s="17">
        <v>43.0</v>
      </c>
      <c r="B882" s="24">
        <v>78.0</v>
      </c>
      <c r="C882" s="24">
        <v>6.0</v>
      </c>
      <c r="D882" s="24">
        <v>8.0</v>
      </c>
      <c r="E882" s="24">
        <v>63.0</v>
      </c>
      <c r="F882" s="48">
        <v>5.1119</v>
      </c>
      <c r="G882" s="49">
        <f t="shared" si="1"/>
        <v>0.051119</v>
      </c>
      <c r="H882" s="11">
        <v>7.0</v>
      </c>
      <c r="I882" s="11">
        <v>5.0</v>
      </c>
      <c r="J882" s="50">
        <v>81119.0</v>
      </c>
      <c r="K882" s="11">
        <v>1.0</v>
      </c>
      <c r="L882" s="11">
        <v>8.0</v>
      </c>
      <c r="M882" s="51">
        <v>583.0</v>
      </c>
      <c r="N882" s="17">
        <v>15.0</v>
      </c>
      <c r="O882" s="24" t="s">
        <v>48</v>
      </c>
      <c r="P882" s="52">
        <v>10116.0</v>
      </c>
      <c r="Q882" s="51">
        <v>536.0</v>
      </c>
      <c r="R882" s="53">
        <v>-3735.5</v>
      </c>
      <c r="S882" s="24" t="s">
        <v>604</v>
      </c>
      <c r="T882" s="11">
        <v>2.0</v>
      </c>
      <c r="U882" s="52">
        <v>61917.0</v>
      </c>
      <c r="V882" s="11">
        <v>1.0</v>
      </c>
      <c r="W882" s="11">
        <v>4.0</v>
      </c>
      <c r="X882" s="48">
        <v>2.8901</v>
      </c>
      <c r="Y882" s="11">
        <f t="shared" si="2"/>
        <v>0.028901</v>
      </c>
    </row>
    <row r="883">
      <c r="A883" s="17">
        <v>63.0</v>
      </c>
      <c r="B883" s="24">
        <v>58.0</v>
      </c>
      <c r="C883" s="24">
        <v>2.0</v>
      </c>
      <c r="D883" s="24">
        <v>2.0</v>
      </c>
      <c r="E883" s="24">
        <v>63.0</v>
      </c>
      <c r="F883" s="48">
        <v>6.8314</v>
      </c>
      <c r="G883" s="49">
        <f t="shared" si="1"/>
        <v>0.068314</v>
      </c>
      <c r="H883" s="11">
        <v>7.0</v>
      </c>
      <c r="I883" s="11">
        <v>1.0</v>
      </c>
      <c r="J883" s="50">
        <v>82913.0</v>
      </c>
      <c r="K883" s="11">
        <v>8.0</v>
      </c>
      <c r="L883" s="11">
        <v>8.0</v>
      </c>
      <c r="M883" s="51">
        <v>145.0</v>
      </c>
      <c r="N883" s="17">
        <v>49.0</v>
      </c>
      <c r="O883" s="24" t="s">
        <v>39</v>
      </c>
      <c r="P883" s="52">
        <v>122420.0</v>
      </c>
      <c r="Q883" s="51">
        <v>883.0</v>
      </c>
      <c r="R883" s="53">
        <v>38534.62</v>
      </c>
      <c r="S883" s="24" t="s">
        <v>605</v>
      </c>
      <c r="T883" s="11">
        <v>7.0</v>
      </c>
      <c r="U883" s="52">
        <v>101221.0</v>
      </c>
      <c r="V883" s="11">
        <v>0.0</v>
      </c>
      <c r="W883" s="11">
        <v>1.0</v>
      </c>
      <c r="X883" s="48">
        <v>4.704</v>
      </c>
      <c r="Y883" s="11">
        <f t="shared" si="2"/>
        <v>0.04704</v>
      </c>
    </row>
    <row r="884">
      <c r="A884" s="17">
        <v>57.0</v>
      </c>
      <c r="B884" s="24">
        <v>17.0</v>
      </c>
      <c r="C884" s="24">
        <v>2.0</v>
      </c>
      <c r="D884" s="24">
        <v>7.0</v>
      </c>
      <c r="E884" s="24">
        <v>65.0</v>
      </c>
      <c r="F884" s="48">
        <v>4.1971</v>
      </c>
      <c r="G884" s="49">
        <f t="shared" si="1"/>
        <v>0.041971</v>
      </c>
      <c r="H884" s="11">
        <v>7.0</v>
      </c>
      <c r="I884" s="11">
        <v>9.0</v>
      </c>
      <c r="J884" s="50">
        <v>80119.0</v>
      </c>
      <c r="K884" s="11">
        <v>1.0</v>
      </c>
      <c r="L884" s="11">
        <v>2.0</v>
      </c>
      <c r="M884" s="51">
        <v>785.0</v>
      </c>
      <c r="N884" s="17">
        <v>60.0</v>
      </c>
      <c r="O884" s="24" t="s">
        <v>31</v>
      </c>
      <c r="P884" s="52">
        <v>13019.0</v>
      </c>
      <c r="Q884" s="51">
        <v>320.0</v>
      </c>
      <c r="R884" s="53">
        <v>-190.46</v>
      </c>
      <c r="S884" s="24" t="s">
        <v>602</v>
      </c>
      <c r="T884" s="11">
        <v>1.0</v>
      </c>
      <c r="U884" s="52">
        <v>81714.0</v>
      </c>
      <c r="V884" s="11">
        <v>3.0</v>
      </c>
      <c r="W884" s="11">
        <v>7.0</v>
      </c>
      <c r="X884" s="48">
        <v>9.2151</v>
      </c>
      <c r="Y884" s="11">
        <f t="shared" si="2"/>
        <v>0.092151</v>
      </c>
    </row>
    <row r="885">
      <c r="A885" s="17">
        <v>95.0</v>
      </c>
      <c r="B885" s="24">
        <v>17.0</v>
      </c>
      <c r="C885" s="24">
        <v>2.0</v>
      </c>
      <c r="D885" s="24">
        <v>6.0</v>
      </c>
      <c r="E885" s="24">
        <v>62.0</v>
      </c>
      <c r="F885" s="48">
        <v>6.5452</v>
      </c>
      <c r="G885" s="49">
        <f t="shared" si="1"/>
        <v>0.065452</v>
      </c>
      <c r="H885" s="11">
        <v>7.0</v>
      </c>
      <c r="I885" s="11">
        <v>3.0</v>
      </c>
      <c r="J885" s="50">
        <v>72621.0</v>
      </c>
      <c r="K885" s="11">
        <v>2.0</v>
      </c>
      <c r="L885" s="11">
        <v>2.0</v>
      </c>
      <c r="M885" s="51">
        <v>737.0</v>
      </c>
      <c r="N885" s="17">
        <v>40.0</v>
      </c>
      <c r="O885" s="24" t="s">
        <v>600</v>
      </c>
      <c r="P885" s="52">
        <v>110321.0</v>
      </c>
      <c r="Q885" s="51">
        <v>669.0</v>
      </c>
      <c r="R885" s="53">
        <v>38131.93</v>
      </c>
      <c r="S885" s="24" t="s">
        <v>604</v>
      </c>
      <c r="T885" s="11">
        <v>5.0</v>
      </c>
      <c r="U885" s="52">
        <v>122521.0</v>
      </c>
      <c r="V885" s="11">
        <v>5.0</v>
      </c>
      <c r="W885" s="11">
        <v>0.0</v>
      </c>
      <c r="X885" s="48">
        <v>6.9295</v>
      </c>
      <c r="Y885" s="11">
        <f t="shared" si="2"/>
        <v>0.069295</v>
      </c>
    </row>
    <row r="886">
      <c r="A886" s="17">
        <v>48.0</v>
      </c>
      <c r="B886" s="24">
        <v>78.0</v>
      </c>
      <c r="C886" s="24">
        <v>7.0</v>
      </c>
      <c r="D886" s="24">
        <v>3.0</v>
      </c>
      <c r="E886" s="24">
        <v>68.0</v>
      </c>
      <c r="F886" s="48">
        <v>4.3</v>
      </c>
      <c r="G886" s="49">
        <f t="shared" si="1"/>
        <v>0.043</v>
      </c>
      <c r="H886" s="11">
        <v>2.0</v>
      </c>
      <c r="I886" s="11">
        <v>3.0</v>
      </c>
      <c r="J886" s="50">
        <v>80516.0</v>
      </c>
      <c r="K886" s="11">
        <v>4.0</v>
      </c>
      <c r="L886" s="11">
        <v>2.0</v>
      </c>
      <c r="M886" s="51">
        <v>948.0</v>
      </c>
      <c r="N886" s="17">
        <v>3.0</v>
      </c>
      <c r="O886" s="24" t="s">
        <v>601</v>
      </c>
      <c r="P886" s="52">
        <v>22916.0</v>
      </c>
      <c r="Q886" s="51">
        <v>172.0</v>
      </c>
      <c r="R886" s="53">
        <v>30687.72</v>
      </c>
      <c r="S886" s="24" t="s">
        <v>602</v>
      </c>
      <c r="T886" s="11">
        <v>5.0</v>
      </c>
      <c r="U886" s="52">
        <v>10313.0</v>
      </c>
      <c r="V886" s="11">
        <v>3.0</v>
      </c>
      <c r="W886" s="11">
        <v>3.0</v>
      </c>
      <c r="X886" s="48">
        <v>8.4222</v>
      </c>
      <c r="Y886" s="11">
        <f t="shared" si="2"/>
        <v>0.084222</v>
      </c>
    </row>
    <row r="887">
      <c r="A887" s="17">
        <v>37.0</v>
      </c>
      <c r="B887" s="24">
        <v>99.0</v>
      </c>
      <c r="C887" s="24">
        <v>2.0</v>
      </c>
      <c r="D887" s="24">
        <v>1.0</v>
      </c>
      <c r="E887" s="24">
        <v>65.0</v>
      </c>
      <c r="F887" s="48">
        <v>6.25</v>
      </c>
      <c r="G887" s="49">
        <f t="shared" si="1"/>
        <v>0.0625</v>
      </c>
      <c r="H887" s="11">
        <v>2.0</v>
      </c>
      <c r="I887" s="11">
        <v>1.0</v>
      </c>
      <c r="J887" s="50">
        <v>122121.0</v>
      </c>
      <c r="K887" s="11">
        <v>5.0</v>
      </c>
      <c r="L887" s="11">
        <v>8.0</v>
      </c>
      <c r="M887" s="51">
        <v>272.0</v>
      </c>
      <c r="N887" s="17">
        <v>73.0</v>
      </c>
      <c r="O887" s="24" t="s">
        <v>31</v>
      </c>
      <c r="P887" s="52">
        <v>112414.0</v>
      </c>
      <c r="Q887" s="51">
        <v>413.0</v>
      </c>
      <c r="R887" s="53">
        <v>479.26</v>
      </c>
      <c r="S887" s="24" t="s">
        <v>605</v>
      </c>
      <c r="T887" s="11">
        <v>0.0</v>
      </c>
      <c r="U887" s="52">
        <v>111321.0</v>
      </c>
      <c r="V887" s="11">
        <v>0.0</v>
      </c>
      <c r="W887" s="11">
        <v>9.0</v>
      </c>
      <c r="X887" s="48">
        <v>8.355</v>
      </c>
      <c r="Y887" s="11">
        <f t="shared" si="2"/>
        <v>0.08355</v>
      </c>
    </row>
    <row r="888">
      <c r="A888" s="17">
        <v>61.0</v>
      </c>
      <c r="B888" s="24">
        <v>99.0</v>
      </c>
      <c r="C888" s="24">
        <v>2.0</v>
      </c>
      <c r="D888" s="24">
        <v>7.0</v>
      </c>
      <c r="E888" s="24">
        <v>67.0</v>
      </c>
      <c r="F888" s="48">
        <v>6.1216</v>
      </c>
      <c r="G888" s="49">
        <f t="shared" si="1"/>
        <v>0.061216</v>
      </c>
      <c r="H888" s="11">
        <v>9.0</v>
      </c>
      <c r="I888" s="11">
        <v>9.0</v>
      </c>
      <c r="J888" s="50">
        <v>52218.0</v>
      </c>
      <c r="K888" s="11">
        <v>6.0</v>
      </c>
      <c r="L888" s="11">
        <v>6.0</v>
      </c>
      <c r="M888" s="51">
        <v>984.0</v>
      </c>
      <c r="N888" s="17">
        <v>69.0</v>
      </c>
      <c r="O888" s="24" t="s">
        <v>31</v>
      </c>
      <c r="P888" s="52">
        <v>32422.0</v>
      </c>
      <c r="Q888" s="51">
        <v>131.0</v>
      </c>
      <c r="R888" s="53">
        <v>57743.49</v>
      </c>
      <c r="S888" s="24" t="s">
        <v>602</v>
      </c>
      <c r="T888" s="11">
        <v>4.0</v>
      </c>
      <c r="U888" s="52">
        <v>81917.0</v>
      </c>
      <c r="V888" s="11">
        <v>8.0</v>
      </c>
      <c r="W888" s="11">
        <v>4.0</v>
      </c>
      <c r="X888" s="48">
        <v>6.1342</v>
      </c>
      <c r="Y888" s="11">
        <f t="shared" si="2"/>
        <v>0.061342</v>
      </c>
    </row>
    <row r="889">
      <c r="A889" s="17">
        <v>30.0</v>
      </c>
      <c r="B889" s="24">
        <v>99.0</v>
      </c>
      <c r="C889" s="24">
        <v>2.0</v>
      </c>
      <c r="D889" s="24">
        <v>8.0</v>
      </c>
      <c r="E889" s="24">
        <v>64.0</v>
      </c>
      <c r="F889" s="48">
        <v>4.738</v>
      </c>
      <c r="G889" s="49">
        <f t="shared" si="1"/>
        <v>0.04738</v>
      </c>
      <c r="H889" s="11">
        <v>7.0</v>
      </c>
      <c r="I889" s="11">
        <v>7.0</v>
      </c>
      <c r="J889" s="50">
        <v>20920.0</v>
      </c>
      <c r="K889" s="11">
        <v>3.0</v>
      </c>
      <c r="L889" s="11">
        <v>4.0</v>
      </c>
      <c r="M889" s="51">
        <v>729.0</v>
      </c>
      <c r="N889" s="17">
        <v>45.0</v>
      </c>
      <c r="O889" s="24" t="s">
        <v>601</v>
      </c>
      <c r="P889" s="52">
        <v>92013.0</v>
      </c>
      <c r="Q889" s="51">
        <v>179.0</v>
      </c>
      <c r="R889" s="53">
        <v>3706.29</v>
      </c>
      <c r="S889" s="24" t="s">
        <v>600</v>
      </c>
      <c r="T889" s="11">
        <v>5.0</v>
      </c>
      <c r="U889" s="52">
        <v>61819.0</v>
      </c>
      <c r="V889" s="11">
        <v>8.0</v>
      </c>
      <c r="W889" s="11">
        <v>9.0</v>
      </c>
      <c r="X889" s="48">
        <v>2.7051</v>
      </c>
      <c r="Y889" s="11">
        <f t="shared" si="2"/>
        <v>0.027051</v>
      </c>
    </row>
    <row r="890">
      <c r="A890" s="17">
        <v>24.0</v>
      </c>
      <c r="B890" s="24">
        <v>99.0</v>
      </c>
      <c r="C890" s="24">
        <v>2.0</v>
      </c>
      <c r="D890" s="24">
        <v>9.0</v>
      </c>
      <c r="E890" s="24">
        <v>64.0</v>
      </c>
      <c r="F890" s="48">
        <v>8.1883</v>
      </c>
      <c r="G890" s="49">
        <f t="shared" si="1"/>
        <v>0.081883</v>
      </c>
      <c r="H890" s="11">
        <v>3.0</v>
      </c>
      <c r="I890" s="11">
        <v>0.0</v>
      </c>
      <c r="J890" s="50">
        <v>31620.0</v>
      </c>
      <c r="K890" s="11">
        <v>0.0</v>
      </c>
      <c r="L890" s="11">
        <v>0.0</v>
      </c>
      <c r="M890" s="51">
        <v>720.0</v>
      </c>
      <c r="N890" s="17">
        <v>97.0</v>
      </c>
      <c r="O890" s="24" t="s">
        <v>601</v>
      </c>
      <c r="P890" s="52">
        <v>62922.0</v>
      </c>
      <c r="Q890" s="51">
        <v>238.0</v>
      </c>
      <c r="R890" s="53">
        <v>693.25</v>
      </c>
      <c r="S890" s="24" t="s">
        <v>602</v>
      </c>
      <c r="T890" s="11">
        <v>6.0</v>
      </c>
      <c r="U890" s="52">
        <v>112513.0</v>
      </c>
      <c r="V890" s="11">
        <v>3.0</v>
      </c>
      <c r="W890" s="11">
        <v>9.0</v>
      </c>
      <c r="X890" s="48">
        <v>4.4267</v>
      </c>
      <c r="Y890" s="11">
        <f t="shared" si="2"/>
        <v>0.044267</v>
      </c>
    </row>
    <row r="891">
      <c r="A891" s="17">
        <v>7.0</v>
      </c>
      <c r="B891" s="24">
        <v>37.0</v>
      </c>
      <c r="C891" s="24">
        <v>8.0</v>
      </c>
      <c r="D891" s="24">
        <v>6.0</v>
      </c>
      <c r="E891" s="24">
        <v>67.0</v>
      </c>
      <c r="F891" s="48">
        <v>3.1974</v>
      </c>
      <c r="G891" s="49">
        <f t="shared" si="1"/>
        <v>0.031974</v>
      </c>
      <c r="H891" s="11">
        <v>3.0</v>
      </c>
      <c r="I891" s="11">
        <v>8.0</v>
      </c>
      <c r="J891" s="50">
        <v>71015.0</v>
      </c>
      <c r="K891" s="11">
        <v>5.0</v>
      </c>
      <c r="L891" s="11">
        <v>1.0</v>
      </c>
      <c r="M891" s="51">
        <v>838.0</v>
      </c>
      <c r="N891" s="17">
        <v>84.0</v>
      </c>
      <c r="O891" s="24" t="s">
        <v>39</v>
      </c>
      <c r="P891" s="52">
        <v>22213.0</v>
      </c>
      <c r="Q891" s="51">
        <v>281.0</v>
      </c>
      <c r="R891" s="53">
        <v>86642.74</v>
      </c>
      <c r="S891" s="24" t="s">
        <v>602</v>
      </c>
      <c r="T891" s="11">
        <v>5.0</v>
      </c>
      <c r="U891" s="52">
        <v>92421.0</v>
      </c>
      <c r="V891" s="11">
        <v>6.0</v>
      </c>
      <c r="W891" s="11">
        <v>2.0</v>
      </c>
      <c r="X891" s="48">
        <v>7.3704</v>
      </c>
      <c r="Y891" s="11">
        <f t="shared" si="2"/>
        <v>0.073704</v>
      </c>
    </row>
    <row r="892">
      <c r="A892" s="17">
        <v>26.0</v>
      </c>
      <c r="B892" s="24">
        <v>78.0</v>
      </c>
      <c r="C892" s="24">
        <v>8.0</v>
      </c>
      <c r="D892" s="24">
        <v>3.0</v>
      </c>
      <c r="E892" s="24">
        <v>60.0</v>
      </c>
      <c r="F892" s="48">
        <v>9.1165</v>
      </c>
      <c r="G892" s="49">
        <f t="shared" si="1"/>
        <v>0.091165</v>
      </c>
      <c r="H892" s="11">
        <v>9.0</v>
      </c>
      <c r="I892" s="11">
        <v>8.0</v>
      </c>
      <c r="J892" s="50">
        <v>120215.0</v>
      </c>
      <c r="K892" s="11">
        <v>1.0</v>
      </c>
      <c r="L892" s="11">
        <v>7.0</v>
      </c>
      <c r="M892" s="51">
        <v>669.0</v>
      </c>
      <c r="N892" s="17">
        <v>82.0</v>
      </c>
      <c r="O892" s="24" t="s">
        <v>600</v>
      </c>
      <c r="P892" s="52">
        <v>91618.0</v>
      </c>
      <c r="Q892" s="51">
        <v>680.0</v>
      </c>
      <c r="R892" s="53">
        <v>-786716.5</v>
      </c>
      <c r="S892" s="24" t="s">
        <v>605</v>
      </c>
      <c r="T892" s="11">
        <v>2.0</v>
      </c>
      <c r="U892" s="52">
        <v>60713.0</v>
      </c>
      <c r="V892" s="11">
        <v>8.0</v>
      </c>
      <c r="W892" s="11">
        <v>7.0</v>
      </c>
      <c r="X892" s="48">
        <v>9.7872</v>
      </c>
      <c r="Y892" s="11">
        <f t="shared" si="2"/>
        <v>0.097872</v>
      </c>
    </row>
    <row r="893">
      <c r="A893" s="17">
        <v>38.0</v>
      </c>
      <c r="B893" s="24">
        <v>17.0</v>
      </c>
      <c r="C893" s="24">
        <v>3.0</v>
      </c>
      <c r="D893" s="24">
        <v>9.0</v>
      </c>
      <c r="E893" s="24">
        <v>63.0</v>
      </c>
      <c r="F893" s="48">
        <v>1.7022</v>
      </c>
      <c r="G893" s="49">
        <f t="shared" si="1"/>
        <v>0.017022</v>
      </c>
      <c r="H893" s="11">
        <v>7.0</v>
      </c>
      <c r="I893" s="11">
        <v>6.0</v>
      </c>
      <c r="J893" s="50">
        <v>100416.0</v>
      </c>
      <c r="K893" s="11">
        <v>4.0</v>
      </c>
      <c r="L893" s="11">
        <v>2.0</v>
      </c>
      <c r="M893" s="51">
        <v>816.0</v>
      </c>
      <c r="N893" s="17">
        <v>66.0</v>
      </c>
      <c r="O893" s="24" t="s">
        <v>39</v>
      </c>
      <c r="P893" s="52">
        <v>80316.0</v>
      </c>
      <c r="Q893" s="51">
        <v>536.0</v>
      </c>
      <c r="R893" s="53">
        <v>-8781.8</v>
      </c>
      <c r="S893" s="24" t="s">
        <v>600</v>
      </c>
      <c r="T893" s="11">
        <v>9.0</v>
      </c>
      <c r="U893" s="52">
        <v>121818.0</v>
      </c>
      <c r="V893" s="11">
        <v>6.0</v>
      </c>
      <c r="W893" s="11">
        <v>5.0</v>
      </c>
      <c r="X893" s="48">
        <v>7.9443</v>
      </c>
      <c r="Y893" s="11">
        <f t="shared" si="2"/>
        <v>0.079443</v>
      </c>
    </row>
    <row r="894">
      <c r="A894" s="17">
        <v>97.0</v>
      </c>
      <c r="B894" s="24">
        <v>37.0</v>
      </c>
      <c r="C894" s="24">
        <v>8.0</v>
      </c>
      <c r="D894" s="24">
        <v>9.0</v>
      </c>
      <c r="E894" s="24">
        <v>68.0</v>
      </c>
      <c r="F894" s="48">
        <v>6.9868</v>
      </c>
      <c r="G894" s="49">
        <f t="shared" si="1"/>
        <v>0.069868</v>
      </c>
      <c r="H894" s="11">
        <v>9.0</v>
      </c>
      <c r="I894" s="11">
        <v>8.0</v>
      </c>
      <c r="J894" s="50">
        <v>40716.0</v>
      </c>
      <c r="K894" s="11">
        <v>1.0</v>
      </c>
      <c r="L894" s="11">
        <v>5.0</v>
      </c>
      <c r="M894" s="51">
        <v>145.0</v>
      </c>
      <c r="N894" s="17">
        <v>39.0</v>
      </c>
      <c r="O894" s="24" t="s">
        <v>600</v>
      </c>
      <c r="P894" s="52">
        <v>102113.0</v>
      </c>
      <c r="Q894" s="51">
        <v>917.0</v>
      </c>
      <c r="R894" s="53">
        <v>-423.37</v>
      </c>
      <c r="S894" s="24" t="s">
        <v>600</v>
      </c>
      <c r="T894" s="11">
        <v>8.0</v>
      </c>
      <c r="U894" s="52">
        <v>121617.0</v>
      </c>
      <c r="V894" s="11">
        <v>3.0</v>
      </c>
      <c r="W894" s="11">
        <v>3.0</v>
      </c>
      <c r="X894" s="48">
        <v>7.5637</v>
      </c>
      <c r="Y894" s="11">
        <f t="shared" si="2"/>
        <v>0.075637</v>
      </c>
    </row>
    <row r="895">
      <c r="A895" s="17">
        <v>25.0</v>
      </c>
      <c r="B895" s="24">
        <v>58.0</v>
      </c>
      <c r="C895" s="24">
        <v>3.0</v>
      </c>
      <c r="D895" s="24">
        <v>8.0</v>
      </c>
      <c r="E895" s="24">
        <v>63.0</v>
      </c>
      <c r="F895" s="48">
        <v>5.9083</v>
      </c>
      <c r="G895" s="49">
        <f t="shared" si="1"/>
        <v>0.059083</v>
      </c>
      <c r="H895" s="11">
        <v>9.0</v>
      </c>
      <c r="I895" s="11">
        <v>4.0</v>
      </c>
      <c r="J895" s="50">
        <v>92117.0</v>
      </c>
      <c r="K895" s="11">
        <v>6.0</v>
      </c>
      <c r="L895" s="11">
        <v>2.0</v>
      </c>
      <c r="M895" s="51">
        <v>328.0</v>
      </c>
      <c r="N895" s="17">
        <v>10.0</v>
      </c>
      <c r="O895" s="24" t="s">
        <v>606</v>
      </c>
      <c r="P895" s="52">
        <v>20918.0</v>
      </c>
      <c r="Q895" s="51">
        <v>68.0</v>
      </c>
      <c r="R895" s="53">
        <v>98578.89</v>
      </c>
      <c r="S895" s="24" t="s">
        <v>604</v>
      </c>
      <c r="T895" s="11">
        <v>8.0</v>
      </c>
      <c r="U895" s="52">
        <v>110314.0</v>
      </c>
      <c r="V895" s="11">
        <v>6.0</v>
      </c>
      <c r="W895" s="11">
        <v>0.0</v>
      </c>
      <c r="X895" s="48">
        <v>1.1845</v>
      </c>
      <c r="Y895" s="11">
        <f t="shared" si="2"/>
        <v>0.011845</v>
      </c>
    </row>
    <row r="896">
      <c r="A896" s="17">
        <v>94.0</v>
      </c>
      <c r="B896" s="24">
        <v>17.0</v>
      </c>
      <c r="C896" s="24">
        <v>3.0</v>
      </c>
      <c r="D896" s="24">
        <v>6.0</v>
      </c>
      <c r="E896" s="24">
        <v>61.0</v>
      </c>
      <c r="F896" s="48">
        <v>9.2657</v>
      </c>
      <c r="G896" s="49">
        <f t="shared" si="1"/>
        <v>0.092657</v>
      </c>
      <c r="H896" s="11">
        <v>3.0</v>
      </c>
      <c r="I896" s="11">
        <v>6.0</v>
      </c>
      <c r="J896" s="50">
        <v>122621.0</v>
      </c>
      <c r="K896" s="11">
        <v>4.0</v>
      </c>
      <c r="L896" s="11">
        <v>2.0</v>
      </c>
      <c r="M896" s="51">
        <v>991.0</v>
      </c>
      <c r="N896" s="17">
        <v>96.0</v>
      </c>
      <c r="O896" s="24" t="s">
        <v>31</v>
      </c>
      <c r="P896" s="52">
        <v>60614.0</v>
      </c>
      <c r="Q896" s="51">
        <v>617.0</v>
      </c>
      <c r="R896" s="53">
        <v>7084.73</v>
      </c>
      <c r="S896" s="24" t="s">
        <v>600</v>
      </c>
      <c r="T896" s="11">
        <v>0.0</v>
      </c>
      <c r="U896" s="52">
        <v>111013.0</v>
      </c>
      <c r="V896" s="11">
        <v>9.0</v>
      </c>
      <c r="W896" s="11">
        <v>0.0</v>
      </c>
      <c r="X896" s="48">
        <v>4.8012</v>
      </c>
      <c r="Y896" s="11">
        <f t="shared" si="2"/>
        <v>0.048012</v>
      </c>
    </row>
    <row r="897">
      <c r="A897" s="17">
        <v>33.0</v>
      </c>
      <c r="B897" s="24">
        <v>37.0</v>
      </c>
      <c r="C897" s="24">
        <v>9.0</v>
      </c>
      <c r="D897" s="24">
        <v>2.0</v>
      </c>
      <c r="E897" s="24">
        <v>62.0</v>
      </c>
      <c r="F897" s="48">
        <v>9.4572</v>
      </c>
      <c r="G897" s="49">
        <f t="shared" si="1"/>
        <v>0.094572</v>
      </c>
      <c r="H897" s="11">
        <v>6.0</v>
      </c>
      <c r="I897" s="11">
        <v>9.0</v>
      </c>
      <c r="J897" s="50">
        <v>92817.0</v>
      </c>
      <c r="K897" s="11">
        <v>3.0</v>
      </c>
      <c r="L897" s="11">
        <v>3.0</v>
      </c>
      <c r="M897" s="51">
        <v>96.0</v>
      </c>
      <c r="N897" s="17">
        <v>24.0</v>
      </c>
      <c r="O897" s="24" t="s">
        <v>601</v>
      </c>
      <c r="P897" s="52">
        <v>111016.0</v>
      </c>
      <c r="Q897" s="51">
        <v>283.0</v>
      </c>
      <c r="R897" s="53">
        <v>554181.1</v>
      </c>
      <c r="S897" s="24" t="s">
        <v>605</v>
      </c>
      <c r="T897" s="11">
        <v>0.0</v>
      </c>
      <c r="U897" s="52">
        <v>21519.0</v>
      </c>
      <c r="V897" s="11">
        <v>5.0</v>
      </c>
      <c r="W897" s="11">
        <v>0.0</v>
      </c>
      <c r="X897" s="48">
        <v>2.7806</v>
      </c>
      <c r="Y897" s="11">
        <f t="shared" si="2"/>
        <v>0.027806</v>
      </c>
    </row>
    <row r="898">
      <c r="A898" s="17">
        <v>48.0</v>
      </c>
      <c r="B898" s="24">
        <v>78.0</v>
      </c>
      <c r="C898" s="24">
        <v>8.0</v>
      </c>
      <c r="D898" s="24">
        <v>8.0</v>
      </c>
      <c r="E898" s="24">
        <v>67.0</v>
      </c>
      <c r="F898" s="48">
        <v>8.2342</v>
      </c>
      <c r="G898" s="49">
        <f t="shared" si="1"/>
        <v>0.082342</v>
      </c>
      <c r="H898" s="11">
        <v>3.0</v>
      </c>
      <c r="I898" s="11">
        <v>8.0</v>
      </c>
      <c r="J898" s="50">
        <v>11019.0</v>
      </c>
      <c r="K898" s="11">
        <v>0.0</v>
      </c>
      <c r="L898" s="11">
        <v>6.0</v>
      </c>
      <c r="M898" s="51">
        <v>31.0</v>
      </c>
      <c r="N898" s="17">
        <v>72.0</v>
      </c>
      <c r="O898" s="24" t="s">
        <v>48</v>
      </c>
      <c r="P898" s="52">
        <v>20318.0</v>
      </c>
      <c r="Q898" s="51">
        <v>352.0</v>
      </c>
      <c r="R898" s="53">
        <v>-26101.71</v>
      </c>
      <c r="S898" s="24" t="s">
        <v>600</v>
      </c>
      <c r="T898" s="11">
        <v>5.0</v>
      </c>
      <c r="U898" s="52">
        <v>51015.0</v>
      </c>
      <c r="V898" s="11">
        <v>0.0</v>
      </c>
      <c r="W898" s="11">
        <v>2.0</v>
      </c>
      <c r="X898" s="48">
        <v>3.7124</v>
      </c>
      <c r="Y898" s="11">
        <f t="shared" si="2"/>
        <v>0.037124</v>
      </c>
    </row>
    <row r="899">
      <c r="A899" s="17">
        <v>60.0</v>
      </c>
      <c r="B899" s="24">
        <v>17.0</v>
      </c>
      <c r="C899" s="24">
        <v>4.0</v>
      </c>
      <c r="D899" s="24">
        <v>3.0</v>
      </c>
      <c r="E899" s="24">
        <v>67.0</v>
      </c>
      <c r="F899" s="48">
        <v>6.3452</v>
      </c>
      <c r="G899" s="49">
        <f t="shared" si="1"/>
        <v>0.063452</v>
      </c>
      <c r="H899" s="11">
        <v>0.0</v>
      </c>
      <c r="I899" s="11">
        <v>2.0</v>
      </c>
      <c r="J899" s="50">
        <v>92821.0</v>
      </c>
      <c r="K899" s="11">
        <v>8.0</v>
      </c>
      <c r="L899" s="11">
        <v>5.0</v>
      </c>
      <c r="M899" s="51">
        <v>544.0</v>
      </c>
      <c r="N899" s="17">
        <v>46.0</v>
      </c>
      <c r="O899" s="24" t="s">
        <v>39</v>
      </c>
      <c r="P899" s="52">
        <v>20316.0</v>
      </c>
      <c r="Q899" s="51">
        <v>904.0</v>
      </c>
      <c r="R899" s="53">
        <v>9547.28</v>
      </c>
      <c r="S899" s="24" t="s">
        <v>605</v>
      </c>
      <c r="T899" s="11">
        <v>2.0</v>
      </c>
      <c r="U899" s="52">
        <v>111623.0</v>
      </c>
      <c r="V899" s="11">
        <v>7.0</v>
      </c>
      <c r="W899" s="11">
        <v>8.0</v>
      </c>
      <c r="X899" s="48">
        <v>5.7658</v>
      </c>
      <c r="Y899" s="11">
        <f t="shared" si="2"/>
        <v>0.057658</v>
      </c>
    </row>
    <row r="900">
      <c r="A900" s="17">
        <v>87.0</v>
      </c>
      <c r="B900" s="24">
        <v>78.0</v>
      </c>
      <c r="C900" s="24">
        <v>8.0</v>
      </c>
      <c r="D900" s="24">
        <v>9.0</v>
      </c>
      <c r="E900" s="24">
        <v>68.0</v>
      </c>
      <c r="F900" s="48">
        <v>4.6956</v>
      </c>
      <c r="G900" s="49">
        <f t="shared" si="1"/>
        <v>0.046956</v>
      </c>
      <c r="H900" s="11">
        <v>8.0</v>
      </c>
      <c r="I900" s="11">
        <v>6.0</v>
      </c>
      <c r="J900" s="50">
        <v>82918.0</v>
      </c>
      <c r="K900" s="11">
        <v>4.0</v>
      </c>
      <c r="L900" s="11">
        <v>3.0</v>
      </c>
      <c r="M900" s="51">
        <v>383.0</v>
      </c>
      <c r="N900" s="17">
        <v>82.0</v>
      </c>
      <c r="O900" s="24" t="s">
        <v>601</v>
      </c>
      <c r="P900" s="52">
        <v>112121.0</v>
      </c>
      <c r="Q900" s="51">
        <v>583.0</v>
      </c>
      <c r="R900" s="53">
        <v>-821.5</v>
      </c>
      <c r="S900" s="24" t="s">
        <v>605</v>
      </c>
      <c r="T900" s="11">
        <v>2.0</v>
      </c>
      <c r="U900" s="52">
        <v>40519.0</v>
      </c>
      <c r="V900" s="11">
        <v>4.0</v>
      </c>
      <c r="W900" s="11">
        <v>7.0</v>
      </c>
      <c r="X900" s="48">
        <v>1.18</v>
      </c>
      <c r="Y900" s="11">
        <f t="shared" si="2"/>
        <v>0.0118</v>
      </c>
    </row>
    <row r="901">
      <c r="A901" s="17">
        <v>61.0</v>
      </c>
      <c r="B901" s="24">
        <v>17.0</v>
      </c>
      <c r="C901" s="24">
        <v>4.0</v>
      </c>
      <c r="D901" s="24">
        <v>8.0</v>
      </c>
      <c r="E901" s="24">
        <v>63.0</v>
      </c>
      <c r="F901" s="48">
        <v>4.2976</v>
      </c>
      <c r="G901" s="49">
        <f t="shared" si="1"/>
        <v>0.042976</v>
      </c>
      <c r="H901" s="11">
        <v>0.0</v>
      </c>
      <c r="I901" s="11">
        <v>1.0</v>
      </c>
      <c r="J901" s="50">
        <v>12121.0</v>
      </c>
      <c r="K901" s="11">
        <v>5.0</v>
      </c>
      <c r="L901" s="11">
        <v>2.0</v>
      </c>
      <c r="M901" s="51">
        <v>813.0</v>
      </c>
      <c r="N901" s="17">
        <v>27.0</v>
      </c>
      <c r="O901" s="24" t="s">
        <v>600</v>
      </c>
      <c r="P901" s="52">
        <v>51021.0</v>
      </c>
      <c r="Q901" s="51">
        <v>34.0</v>
      </c>
      <c r="R901" s="53">
        <v>529921.14</v>
      </c>
      <c r="S901" s="24" t="s">
        <v>604</v>
      </c>
      <c r="T901" s="11">
        <v>3.0</v>
      </c>
      <c r="U901" s="52">
        <v>103119.0</v>
      </c>
      <c r="V901" s="11">
        <v>5.0</v>
      </c>
      <c r="W901" s="11">
        <v>9.0</v>
      </c>
      <c r="X901" s="48">
        <v>5.6437</v>
      </c>
      <c r="Y901" s="11">
        <f t="shared" si="2"/>
        <v>0.056437</v>
      </c>
    </row>
    <row r="902">
      <c r="A902" s="17">
        <v>72.0</v>
      </c>
      <c r="B902" s="24">
        <v>17.0</v>
      </c>
      <c r="C902" s="24">
        <v>4.0</v>
      </c>
      <c r="D902" s="24">
        <v>1.0</v>
      </c>
      <c r="E902" s="24">
        <v>60.0</v>
      </c>
      <c r="F902" s="48">
        <v>4.678</v>
      </c>
      <c r="G902" s="49">
        <f t="shared" si="1"/>
        <v>0.04678</v>
      </c>
      <c r="H902" s="11">
        <v>7.0</v>
      </c>
      <c r="I902" s="11">
        <v>7.0</v>
      </c>
      <c r="J902" s="50">
        <v>40822.0</v>
      </c>
      <c r="K902" s="11">
        <v>6.0</v>
      </c>
      <c r="L902" s="11">
        <v>8.0</v>
      </c>
      <c r="M902" s="51">
        <v>151.0</v>
      </c>
      <c r="N902" s="17">
        <v>44.0</v>
      </c>
      <c r="O902" s="24" t="s">
        <v>39</v>
      </c>
      <c r="P902" s="52">
        <v>81814.0</v>
      </c>
      <c r="Q902" s="51">
        <v>448.0</v>
      </c>
      <c r="R902" s="53">
        <v>89869.22</v>
      </c>
      <c r="S902" s="24" t="s">
        <v>605</v>
      </c>
      <c r="T902" s="11">
        <v>0.0</v>
      </c>
      <c r="U902" s="52">
        <v>10416.0</v>
      </c>
      <c r="V902" s="11">
        <v>1.0</v>
      </c>
      <c r="W902" s="11">
        <v>7.0</v>
      </c>
      <c r="X902" s="48">
        <v>7.5761</v>
      </c>
      <c r="Y902" s="11">
        <f t="shared" si="2"/>
        <v>0.075761</v>
      </c>
    </row>
    <row r="903">
      <c r="A903" s="17">
        <v>94.0</v>
      </c>
      <c r="B903" s="24">
        <v>78.0</v>
      </c>
      <c r="C903" s="24">
        <v>9.0</v>
      </c>
      <c r="D903" s="24">
        <v>4.0</v>
      </c>
      <c r="E903" s="24">
        <v>67.0</v>
      </c>
      <c r="F903" s="48">
        <v>3.2596</v>
      </c>
      <c r="G903" s="49">
        <f t="shared" si="1"/>
        <v>0.032596</v>
      </c>
      <c r="H903" s="11">
        <v>0.0</v>
      </c>
      <c r="I903" s="11">
        <v>8.0</v>
      </c>
      <c r="J903" s="50">
        <v>102119.0</v>
      </c>
      <c r="K903" s="11">
        <v>5.0</v>
      </c>
      <c r="L903" s="11">
        <v>5.0</v>
      </c>
      <c r="M903" s="51">
        <v>137.0</v>
      </c>
      <c r="N903" s="17">
        <v>4.0</v>
      </c>
      <c r="O903" s="24" t="s">
        <v>39</v>
      </c>
      <c r="P903" s="52">
        <v>12318.0</v>
      </c>
      <c r="Q903" s="51">
        <v>132.0</v>
      </c>
      <c r="R903" s="53">
        <v>34507.27</v>
      </c>
      <c r="S903" s="24" t="s">
        <v>604</v>
      </c>
      <c r="T903" s="11">
        <v>3.0</v>
      </c>
      <c r="U903" s="52">
        <v>100521.0</v>
      </c>
      <c r="V903" s="11">
        <v>1.0</v>
      </c>
      <c r="W903" s="11">
        <v>1.0</v>
      </c>
      <c r="X903" s="48">
        <v>9.9504</v>
      </c>
      <c r="Y903" s="11">
        <f t="shared" si="2"/>
        <v>0.099504</v>
      </c>
    </row>
    <row r="904">
      <c r="A904" s="17">
        <v>81.0</v>
      </c>
      <c r="B904" s="24">
        <v>37.0</v>
      </c>
      <c r="C904" s="24">
        <v>9.0</v>
      </c>
      <c r="D904" s="24">
        <v>9.0</v>
      </c>
      <c r="E904" s="24">
        <v>66.0</v>
      </c>
      <c r="F904" s="48">
        <v>6.503</v>
      </c>
      <c r="G904" s="49">
        <f t="shared" si="1"/>
        <v>0.06503</v>
      </c>
      <c r="H904" s="11">
        <v>7.0</v>
      </c>
      <c r="I904" s="11">
        <v>9.0</v>
      </c>
      <c r="J904" s="50">
        <v>120422.0</v>
      </c>
      <c r="K904" s="11">
        <v>1.0</v>
      </c>
      <c r="L904" s="11">
        <v>9.0</v>
      </c>
      <c r="M904" s="51">
        <v>873.0</v>
      </c>
      <c r="N904" s="17">
        <v>38.0</v>
      </c>
      <c r="O904" s="24" t="s">
        <v>603</v>
      </c>
      <c r="P904" s="52">
        <v>101323.0</v>
      </c>
      <c r="Q904" s="51">
        <v>680.0</v>
      </c>
      <c r="R904" s="53">
        <v>-762699.68</v>
      </c>
      <c r="S904" s="24" t="s">
        <v>604</v>
      </c>
      <c r="T904" s="11">
        <v>1.0</v>
      </c>
      <c r="U904" s="52">
        <v>102115.0</v>
      </c>
      <c r="V904" s="11">
        <v>4.0</v>
      </c>
      <c r="W904" s="11">
        <v>7.0</v>
      </c>
      <c r="X904" s="48">
        <v>1.4421</v>
      </c>
      <c r="Y904" s="11">
        <f t="shared" si="2"/>
        <v>0.014421</v>
      </c>
    </row>
    <row r="905">
      <c r="A905" s="17">
        <v>23.0</v>
      </c>
      <c r="B905" s="24">
        <v>37.0</v>
      </c>
      <c r="C905" s="24">
        <v>9.0</v>
      </c>
      <c r="D905" s="24">
        <v>6.0</v>
      </c>
      <c r="E905" s="24">
        <v>66.0</v>
      </c>
      <c r="F905" s="48">
        <v>4.5626</v>
      </c>
      <c r="G905" s="49">
        <f t="shared" si="1"/>
        <v>0.045626</v>
      </c>
      <c r="H905" s="11">
        <v>7.0</v>
      </c>
      <c r="I905" s="11">
        <v>7.0</v>
      </c>
      <c r="J905" s="50">
        <v>111815.0</v>
      </c>
      <c r="K905" s="11">
        <v>3.0</v>
      </c>
      <c r="L905" s="11">
        <v>1.0</v>
      </c>
      <c r="M905" s="51">
        <v>146.0</v>
      </c>
      <c r="N905" s="17">
        <v>46.0</v>
      </c>
      <c r="O905" s="24" t="s">
        <v>603</v>
      </c>
      <c r="P905" s="52">
        <v>42113.0</v>
      </c>
      <c r="Q905" s="51">
        <v>774.0</v>
      </c>
      <c r="R905" s="53">
        <v>994584.21</v>
      </c>
      <c r="S905" s="24" t="s">
        <v>604</v>
      </c>
      <c r="T905" s="11">
        <v>6.0</v>
      </c>
      <c r="U905" s="52">
        <v>113014.0</v>
      </c>
      <c r="V905" s="11">
        <v>4.0</v>
      </c>
      <c r="W905" s="11">
        <v>4.0</v>
      </c>
      <c r="X905" s="48">
        <v>3.6512</v>
      </c>
      <c r="Y905" s="11">
        <f t="shared" si="2"/>
        <v>0.036512</v>
      </c>
    </row>
    <row r="906">
      <c r="A906" s="17">
        <v>94.0</v>
      </c>
      <c r="B906" s="24">
        <v>17.0</v>
      </c>
      <c r="C906" s="24">
        <v>5.0</v>
      </c>
      <c r="D906" s="24">
        <v>3.0</v>
      </c>
      <c r="E906" s="24">
        <v>64.0</v>
      </c>
      <c r="F906" s="48">
        <v>4.5926</v>
      </c>
      <c r="G906" s="49">
        <f t="shared" si="1"/>
        <v>0.045926</v>
      </c>
      <c r="H906" s="11">
        <v>8.0</v>
      </c>
      <c r="I906" s="11">
        <v>7.0</v>
      </c>
      <c r="J906" s="50">
        <v>90920.0</v>
      </c>
      <c r="K906" s="11">
        <v>5.0</v>
      </c>
      <c r="L906" s="11">
        <v>8.0</v>
      </c>
      <c r="M906" s="51">
        <v>364.0</v>
      </c>
      <c r="N906" s="17">
        <v>93.0</v>
      </c>
      <c r="O906" s="24" t="s">
        <v>48</v>
      </c>
      <c r="P906" s="52">
        <v>31120.0</v>
      </c>
      <c r="Q906" s="51">
        <v>575.0</v>
      </c>
      <c r="R906" s="53">
        <v>8006.38</v>
      </c>
      <c r="S906" s="24" t="s">
        <v>605</v>
      </c>
      <c r="T906" s="11">
        <v>8.0</v>
      </c>
      <c r="U906" s="52">
        <v>91215.0</v>
      </c>
      <c r="V906" s="11">
        <v>6.0</v>
      </c>
      <c r="W906" s="11">
        <v>3.0</v>
      </c>
      <c r="X906" s="48">
        <v>2.6564</v>
      </c>
      <c r="Y906" s="11">
        <f t="shared" si="2"/>
        <v>0.026564</v>
      </c>
    </row>
    <row r="907">
      <c r="A907" s="17">
        <v>86.0</v>
      </c>
      <c r="B907" s="24">
        <v>17.0</v>
      </c>
      <c r="C907" s="24">
        <v>5.0</v>
      </c>
      <c r="D907" s="24">
        <v>6.0</v>
      </c>
      <c r="E907" s="24">
        <v>68.0</v>
      </c>
      <c r="F907" s="48">
        <v>7.6043</v>
      </c>
      <c r="G907" s="49">
        <f t="shared" si="1"/>
        <v>0.076043</v>
      </c>
      <c r="H907" s="11">
        <v>8.0</v>
      </c>
      <c r="I907" s="11">
        <v>2.0</v>
      </c>
      <c r="J907" s="50">
        <v>91522.0</v>
      </c>
      <c r="K907" s="11">
        <v>4.0</v>
      </c>
      <c r="L907" s="11">
        <v>3.0</v>
      </c>
      <c r="M907" s="51">
        <v>182.0</v>
      </c>
      <c r="N907" s="17">
        <v>5.0</v>
      </c>
      <c r="O907" s="24" t="s">
        <v>606</v>
      </c>
      <c r="P907" s="52">
        <v>52514.0</v>
      </c>
      <c r="Q907" s="51">
        <v>77.0</v>
      </c>
      <c r="R907" s="53">
        <v>279326.94</v>
      </c>
      <c r="S907" s="24" t="s">
        <v>602</v>
      </c>
      <c r="T907" s="11">
        <v>6.0</v>
      </c>
      <c r="U907" s="52">
        <v>101519.0</v>
      </c>
      <c r="V907" s="11">
        <v>7.0</v>
      </c>
      <c r="W907" s="11">
        <v>6.0</v>
      </c>
      <c r="X907" s="48">
        <v>6.9661</v>
      </c>
      <c r="Y907" s="11">
        <f t="shared" si="2"/>
        <v>0.069661</v>
      </c>
    </row>
    <row r="908">
      <c r="A908" s="17">
        <v>64.0</v>
      </c>
      <c r="B908" s="24">
        <v>99.0</v>
      </c>
      <c r="C908" s="24">
        <v>5.0</v>
      </c>
      <c r="D908" s="24">
        <v>3.0</v>
      </c>
      <c r="E908" s="24">
        <v>60.0</v>
      </c>
      <c r="F908" s="48">
        <v>4.5718</v>
      </c>
      <c r="G908" s="49">
        <f t="shared" si="1"/>
        <v>0.045718</v>
      </c>
      <c r="H908" s="11">
        <v>5.0</v>
      </c>
      <c r="I908" s="11">
        <v>6.0</v>
      </c>
      <c r="J908" s="50">
        <v>81717.0</v>
      </c>
      <c r="K908" s="11">
        <v>6.0</v>
      </c>
      <c r="L908" s="11">
        <v>0.0</v>
      </c>
      <c r="M908" s="51">
        <v>522.0</v>
      </c>
      <c r="N908" s="17">
        <v>21.0</v>
      </c>
      <c r="O908" s="24" t="s">
        <v>31</v>
      </c>
      <c r="P908" s="52">
        <v>21018.0</v>
      </c>
      <c r="Q908" s="51">
        <v>770.0</v>
      </c>
      <c r="R908" s="53">
        <v>-937.3</v>
      </c>
      <c r="S908" s="24" t="s">
        <v>600</v>
      </c>
      <c r="T908" s="11">
        <v>2.0</v>
      </c>
      <c r="U908" s="52">
        <v>122015.0</v>
      </c>
      <c r="V908" s="11">
        <v>2.0</v>
      </c>
      <c r="W908" s="11">
        <v>6.0</v>
      </c>
      <c r="X908" s="48">
        <v>4.244</v>
      </c>
      <c r="Y908" s="11">
        <f t="shared" si="2"/>
        <v>0.04244</v>
      </c>
    </row>
    <row r="909">
      <c r="A909" s="17">
        <v>53.0</v>
      </c>
      <c r="B909" s="24">
        <v>58.0</v>
      </c>
      <c r="C909" s="24">
        <v>5.0</v>
      </c>
      <c r="D909" s="24">
        <v>7.0</v>
      </c>
      <c r="E909" s="24">
        <v>61.0</v>
      </c>
      <c r="F909" s="48">
        <v>4.9422</v>
      </c>
      <c r="G909" s="49">
        <f t="shared" si="1"/>
        <v>0.049422</v>
      </c>
      <c r="H909" s="11">
        <v>3.0</v>
      </c>
      <c r="I909" s="11">
        <v>6.0</v>
      </c>
      <c r="J909" s="50">
        <v>52323.0</v>
      </c>
      <c r="K909" s="11">
        <v>1.0</v>
      </c>
      <c r="L909" s="11">
        <v>4.0</v>
      </c>
      <c r="M909" s="51">
        <v>747.0</v>
      </c>
      <c r="N909" s="17">
        <v>91.0</v>
      </c>
      <c r="O909" s="24" t="s">
        <v>601</v>
      </c>
      <c r="P909" s="52">
        <v>82823.0</v>
      </c>
      <c r="Q909" s="51">
        <v>985.0</v>
      </c>
      <c r="R909" s="53">
        <v>713.41</v>
      </c>
      <c r="S909" s="24" t="s">
        <v>604</v>
      </c>
      <c r="T909" s="11">
        <v>7.0</v>
      </c>
      <c r="U909" s="52">
        <v>10316.0</v>
      </c>
      <c r="V909" s="11">
        <v>5.0</v>
      </c>
      <c r="W909" s="11">
        <v>0.0</v>
      </c>
      <c r="X909" s="48">
        <v>8.8553</v>
      </c>
      <c r="Y909" s="11">
        <f t="shared" si="2"/>
        <v>0.088553</v>
      </c>
    </row>
    <row r="910">
      <c r="A910" s="17">
        <v>74.0</v>
      </c>
      <c r="B910" s="24">
        <v>58.0</v>
      </c>
      <c r="C910" s="24">
        <v>5.0</v>
      </c>
      <c r="D910" s="24">
        <v>9.0</v>
      </c>
      <c r="E910" s="24">
        <v>63.0</v>
      </c>
      <c r="F910" s="48">
        <v>7.3684</v>
      </c>
      <c r="G910" s="49">
        <f t="shared" si="1"/>
        <v>0.073684</v>
      </c>
      <c r="H910" s="11">
        <v>8.0</v>
      </c>
      <c r="I910" s="11">
        <v>6.0</v>
      </c>
      <c r="J910" s="50">
        <v>110614.0</v>
      </c>
      <c r="K910" s="11">
        <v>1.0</v>
      </c>
      <c r="L910" s="11">
        <v>1.0</v>
      </c>
      <c r="M910" s="51">
        <v>470.0</v>
      </c>
      <c r="N910" s="17">
        <v>74.0</v>
      </c>
      <c r="O910" s="24" t="s">
        <v>600</v>
      </c>
      <c r="P910" s="52">
        <v>92522.0</v>
      </c>
      <c r="Q910" s="51">
        <v>584.0</v>
      </c>
      <c r="R910" s="53">
        <v>708.2</v>
      </c>
      <c r="S910" s="24" t="s">
        <v>600</v>
      </c>
      <c r="T910" s="11">
        <v>2.0</v>
      </c>
      <c r="U910" s="52">
        <v>112419.0</v>
      </c>
      <c r="V910" s="11">
        <v>2.0</v>
      </c>
      <c r="W910" s="11">
        <v>8.0</v>
      </c>
      <c r="X910" s="48">
        <v>7.9165</v>
      </c>
      <c r="Y910" s="11">
        <f t="shared" si="2"/>
        <v>0.079165</v>
      </c>
    </row>
    <row r="911">
      <c r="A911" s="17">
        <v>9.0</v>
      </c>
      <c r="B911" s="24">
        <v>38.0</v>
      </c>
      <c r="C911" s="24">
        <v>1.0</v>
      </c>
      <c r="D911" s="24">
        <v>3.0</v>
      </c>
      <c r="E911" s="24">
        <v>68.0</v>
      </c>
      <c r="F911" s="48">
        <v>8.5455</v>
      </c>
      <c r="G911" s="49">
        <f t="shared" si="1"/>
        <v>0.085455</v>
      </c>
      <c r="H911" s="11">
        <v>2.0</v>
      </c>
      <c r="I911" s="11">
        <v>1.0</v>
      </c>
      <c r="J911" s="50">
        <v>60713.0</v>
      </c>
      <c r="K911" s="11">
        <v>9.0</v>
      </c>
      <c r="L911" s="11">
        <v>6.0</v>
      </c>
      <c r="M911" s="51">
        <v>968.0</v>
      </c>
      <c r="N911" s="17">
        <v>15.0</v>
      </c>
      <c r="O911" s="24" t="s">
        <v>603</v>
      </c>
      <c r="P911" s="52">
        <v>110223.0</v>
      </c>
      <c r="Q911" s="51">
        <v>525.0</v>
      </c>
      <c r="R911" s="53">
        <v>-899.45</v>
      </c>
      <c r="S911" s="24" t="s">
        <v>604</v>
      </c>
      <c r="T911" s="11">
        <v>6.0</v>
      </c>
      <c r="U911" s="52">
        <v>102318.0</v>
      </c>
      <c r="V911" s="11">
        <v>4.0</v>
      </c>
      <c r="W911" s="11">
        <v>8.0</v>
      </c>
      <c r="X911" s="48">
        <v>3.6856</v>
      </c>
      <c r="Y911" s="11">
        <f t="shared" si="2"/>
        <v>0.036856</v>
      </c>
    </row>
    <row r="912">
      <c r="A912" s="17">
        <v>25.0</v>
      </c>
      <c r="B912" s="24">
        <v>99.0</v>
      </c>
      <c r="C912" s="24">
        <v>6.0</v>
      </c>
      <c r="D912" s="24">
        <v>2.0</v>
      </c>
      <c r="E912" s="24">
        <v>60.0</v>
      </c>
      <c r="F912" s="48">
        <v>1.1132</v>
      </c>
      <c r="G912" s="49">
        <f t="shared" si="1"/>
        <v>0.011132</v>
      </c>
      <c r="H912" s="11">
        <v>8.0</v>
      </c>
      <c r="I912" s="11">
        <v>5.0</v>
      </c>
      <c r="J912" s="50">
        <v>121016.0</v>
      </c>
      <c r="K912" s="11">
        <v>3.0</v>
      </c>
      <c r="L912" s="11">
        <v>3.0</v>
      </c>
      <c r="M912" s="51">
        <v>448.0</v>
      </c>
      <c r="N912" s="17">
        <v>21.0</v>
      </c>
      <c r="O912" s="24" t="s">
        <v>600</v>
      </c>
      <c r="P912" s="52">
        <v>90315.0</v>
      </c>
      <c r="Q912" s="51">
        <v>231.0</v>
      </c>
      <c r="R912" s="53">
        <v>-16145.76</v>
      </c>
      <c r="S912" s="24" t="s">
        <v>600</v>
      </c>
      <c r="T912" s="11">
        <v>5.0</v>
      </c>
      <c r="U912" s="52">
        <v>101313.0</v>
      </c>
      <c r="V912" s="11">
        <v>7.0</v>
      </c>
      <c r="W912" s="11">
        <v>8.0</v>
      </c>
      <c r="X912" s="48">
        <v>3.7037</v>
      </c>
      <c r="Y912" s="11">
        <f t="shared" si="2"/>
        <v>0.037037</v>
      </c>
    </row>
    <row r="913">
      <c r="A913" s="17">
        <v>62.0</v>
      </c>
      <c r="B913" s="24">
        <v>38.0</v>
      </c>
      <c r="C913" s="24">
        <v>1.0</v>
      </c>
      <c r="D913" s="24">
        <v>8.0</v>
      </c>
      <c r="E913" s="24">
        <v>68.0</v>
      </c>
      <c r="F913" s="48">
        <v>8.9784</v>
      </c>
      <c r="G913" s="49">
        <f t="shared" si="1"/>
        <v>0.089784</v>
      </c>
      <c r="H913" s="11">
        <v>8.0</v>
      </c>
      <c r="I913" s="11">
        <v>3.0</v>
      </c>
      <c r="J913" s="50">
        <v>72918.0</v>
      </c>
      <c r="K913" s="11">
        <v>4.0</v>
      </c>
      <c r="L913" s="11">
        <v>3.0</v>
      </c>
      <c r="M913" s="51">
        <v>749.0</v>
      </c>
      <c r="N913" s="17">
        <v>31.0</v>
      </c>
      <c r="O913" s="24" t="s">
        <v>603</v>
      </c>
      <c r="P913" s="52">
        <v>111215.0</v>
      </c>
      <c r="Q913" s="51">
        <v>834.0</v>
      </c>
      <c r="R913" s="53">
        <v>-19257.13</v>
      </c>
      <c r="S913" s="24" t="s">
        <v>604</v>
      </c>
      <c r="T913" s="11">
        <v>9.0</v>
      </c>
      <c r="U913" s="52">
        <v>82115.0</v>
      </c>
      <c r="V913" s="11">
        <v>9.0</v>
      </c>
      <c r="W913" s="11">
        <v>0.0</v>
      </c>
      <c r="X913" s="48">
        <v>9.5761</v>
      </c>
      <c r="Y913" s="11">
        <f t="shared" si="2"/>
        <v>0.095761</v>
      </c>
    </row>
    <row r="914">
      <c r="A914" s="17">
        <v>4.0</v>
      </c>
      <c r="B914" s="24">
        <v>58.0</v>
      </c>
      <c r="C914" s="24">
        <v>6.0</v>
      </c>
      <c r="D914" s="24">
        <v>6.0</v>
      </c>
      <c r="E914" s="24">
        <v>64.0</v>
      </c>
      <c r="F914" s="48">
        <v>1.353</v>
      </c>
      <c r="G914" s="49">
        <f t="shared" si="1"/>
        <v>0.01353</v>
      </c>
      <c r="H914" s="11">
        <v>6.0</v>
      </c>
      <c r="I914" s="11">
        <v>0.0</v>
      </c>
      <c r="J914" s="50">
        <v>111518.0</v>
      </c>
      <c r="K914" s="11">
        <v>0.0</v>
      </c>
      <c r="L914" s="11">
        <v>4.0</v>
      </c>
      <c r="M914" s="51">
        <v>16.0</v>
      </c>
      <c r="N914" s="17">
        <v>80.0</v>
      </c>
      <c r="O914" s="24" t="s">
        <v>39</v>
      </c>
      <c r="P914" s="52">
        <v>32621.0</v>
      </c>
      <c r="Q914" s="51">
        <v>993.0</v>
      </c>
      <c r="R914" s="53">
        <v>497.65</v>
      </c>
      <c r="S914" s="24" t="s">
        <v>605</v>
      </c>
      <c r="T914" s="11">
        <v>3.0</v>
      </c>
      <c r="U914" s="52">
        <v>61717.0</v>
      </c>
      <c r="V914" s="11">
        <v>9.0</v>
      </c>
      <c r="W914" s="11">
        <v>6.0</v>
      </c>
      <c r="X914" s="48">
        <v>4.4364</v>
      </c>
      <c r="Y914" s="11">
        <f t="shared" si="2"/>
        <v>0.044364</v>
      </c>
    </row>
    <row r="915">
      <c r="A915" s="17">
        <v>97.0</v>
      </c>
      <c r="B915" s="24">
        <v>38.0</v>
      </c>
      <c r="C915" s="24">
        <v>2.0</v>
      </c>
      <c r="D915" s="24">
        <v>2.0</v>
      </c>
      <c r="E915" s="24">
        <v>67.0</v>
      </c>
      <c r="F915" s="48">
        <v>9.9004</v>
      </c>
      <c r="G915" s="49">
        <f t="shared" si="1"/>
        <v>0.099004</v>
      </c>
      <c r="H915" s="11">
        <v>7.0</v>
      </c>
      <c r="I915" s="11">
        <v>2.0</v>
      </c>
      <c r="J915" s="50">
        <v>32622.0</v>
      </c>
      <c r="K915" s="11">
        <v>6.0</v>
      </c>
      <c r="L915" s="11">
        <v>0.0</v>
      </c>
      <c r="M915" s="51">
        <v>329.0</v>
      </c>
      <c r="N915" s="17">
        <v>21.0</v>
      </c>
      <c r="O915" s="24" t="s">
        <v>600</v>
      </c>
      <c r="P915" s="52">
        <v>90813.0</v>
      </c>
      <c r="Q915" s="51">
        <v>934.0</v>
      </c>
      <c r="R915" s="53">
        <v>-486155.77</v>
      </c>
      <c r="S915" s="24" t="s">
        <v>600</v>
      </c>
      <c r="T915" s="11">
        <v>9.0</v>
      </c>
      <c r="U915" s="52">
        <v>120317.0</v>
      </c>
      <c r="V915" s="11">
        <v>1.0</v>
      </c>
      <c r="W915" s="11">
        <v>6.0</v>
      </c>
      <c r="X915" s="48">
        <v>5.1662</v>
      </c>
      <c r="Y915" s="11">
        <f t="shared" si="2"/>
        <v>0.051662</v>
      </c>
    </row>
    <row r="916">
      <c r="A916" s="17">
        <v>54.0</v>
      </c>
      <c r="B916" s="24">
        <v>99.0</v>
      </c>
      <c r="C916" s="24">
        <v>7.0</v>
      </c>
      <c r="D916" s="24">
        <v>1.0</v>
      </c>
      <c r="E916" s="24">
        <v>67.0</v>
      </c>
      <c r="F916" s="48">
        <v>3.1952</v>
      </c>
      <c r="G916" s="49">
        <f t="shared" si="1"/>
        <v>0.031952</v>
      </c>
      <c r="H916" s="11">
        <v>7.0</v>
      </c>
      <c r="I916" s="11">
        <v>9.0</v>
      </c>
      <c r="J916" s="50">
        <v>121220.0</v>
      </c>
      <c r="K916" s="11">
        <v>5.0</v>
      </c>
      <c r="L916" s="11">
        <v>8.0</v>
      </c>
      <c r="M916" s="51">
        <v>206.0</v>
      </c>
      <c r="N916" s="17">
        <v>29.0</v>
      </c>
      <c r="O916" s="24" t="s">
        <v>31</v>
      </c>
      <c r="P916" s="52">
        <v>12413.0</v>
      </c>
      <c r="Q916" s="51">
        <v>436.0</v>
      </c>
      <c r="R916" s="53">
        <v>-941264.29</v>
      </c>
      <c r="S916" s="24" t="s">
        <v>604</v>
      </c>
      <c r="T916" s="11">
        <v>4.0</v>
      </c>
      <c r="U916" s="52">
        <v>122916.0</v>
      </c>
      <c r="V916" s="11">
        <v>1.0</v>
      </c>
      <c r="W916" s="11">
        <v>1.0</v>
      </c>
      <c r="X916" s="48">
        <v>1.8223</v>
      </c>
      <c r="Y916" s="11">
        <f t="shared" si="2"/>
        <v>0.018223</v>
      </c>
    </row>
    <row r="917">
      <c r="A917" s="17">
        <v>59.0</v>
      </c>
      <c r="B917" s="24">
        <v>99.0</v>
      </c>
      <c r="C917" s="24">
        <v>7.0</v>
      </c>
      <c r="D917" s="24">
        <v>4.0</v>
      </c>
      <c r="E917" s="24">
        <v>64.0</v>
      </c>
      <c r="F917" s="48">
        <v>8.8944</v>
      </c>
      <c r="G917" s="49">
        <f t="shared" si="1"/>
        <v>0.088944</v>
      </c>
      <c r="H917" s="11">
        <v>5.0</v>
      </c>
      <c r="I917" s="11">
        <v>3.0</v>
      </c>
      <c r="J917" s="50">
        <v>82821.0</v>
      </c>
      <c r="K917" s="11">
        <v>5.0</v>
      </c>
      <c r="L917" s="11">
        <v>6.0</v>
      </c>
      <c r="M917" s="51">
        <v>338.0</v>
      </c>
      <c r="N917" s="17">
        <v>46.0</v>
      </c>
      <c r="O917" s="24" t="s">
        <v>31</v>
      </c>
      <c r="P917" s="52">
        <v>70519.0</v>
      </c>
      <c r="Q917" s="51">
        <v>973.0</v>
      </c>
      <c r="R917" s="53">
        <v>179683.5</v>
      </c>
      <c r="S917" s="24" t="s">
        <v>600</v>
      </c>
      <c r="T917" s="11">
        <v>1.0</v>
      </c>
      <c r="U917" s="52">
        <v>70522.0</v>
      </c>
      <c r="V917" s="11">
        <v>2.0</v>
      </c>
      <c r="W917" s="11">
        <v>1.0</v>
      </c>
      <c r="X917" s="48">
        <v>5.3763</v>
      </c>
      <c r="Y917" s="11">
        <f t="shared" si="2"/>
        <v>0.053763</v>
      </c>
    </row>
    <row r="918">
      <c r="A918" s="17">
        <v>97.0</v>
      </c>
      <c r="B918" s="24">
        <v>58.0</v>
      </c>
      <c r="C918" s="24">
        <v>8.0</v>
      </c>
      <c r="D918" s="24">
        <v>1.0</v>
      </c>
      <c r="E918" s="24">
        <v>64.0</v>
      </c>
      <c r="F918" s="48">
        <v>7.9055</v>
      </c>
      <c r="G918" s="49">
        <f t="shared" si="1"/>
        <v>0.079055</v>
      </c>
      <c r="H918" s="11">
        <v>8.0</v>
      </c>
      <c r="I918" s="11">
        <v>1.0</v>
      </c>
      <c r="J918" s="50">
        <v>20717.0</v>
      </c>
      <c r="K918" s="11">
        <v>9.0</v>
      </c>
      <c r="L918" s="11">
        <v>4.0</v>
      </c>
      <c r="M918" s="51">
        <v>78.0</v>
      </c>
      <c r="N918" s="17">
        <v>16.0</v>
      </c>
      <c r="O918" s="24" t="s">
        <v>603</v>
      </c>
      <c r="P918" s="52">
        <v>92013.0</v>
      </c>
      <c r="Q918" s="51">
        <v>231.0</v>
      </c>
      <c r="R918" s="53">
        <v>-366396.38</v>
      </c>
      <c r="S918" s="24" t="s">
        <v>600</v>
      </c>
      <c r="T918" s="11">
        <v>0.0</v>
      </c>
      <c r="U918" s="52">
        <v>50214.0</v>
      </c>
      <c r="V918" s="11">
        <v>7.0</v>
      </c>
      <c r="W918" s="11">
        <v>5.0</v>
      </c>
      <c r="X918" s="48">
        <v>9.428</v>
      </c>
      <c r="Y918" s="11">
        <f t="shared" si="2"/>
        <v>0.09428</v>
      </c>
    </row>
    <row r="919">
      <c r="A919" s="17">
        <v>61.0</v>
      </c>
      <c r="B919" s="24">
        <v>17.0</v>
      </c>
      <c r="C919" s="24">
        <v>8.0</v>
      </c>
      <c r="D919" s="24">
        <v>6.0</v>
      </c>
      <c r="E919" s="24">
        <v>61.0</v>
      </c>
      <c r="F919" s="48">
        <v>1.6494</v>
      </c>
      <c r="G919" s="49">
        <f t="shared" si="1"/>
        <v>0.016494</v>
      </c>
      <c r="H919" s="11">
        <v>2.0</v>
      </c>
      <c r="I919" s="11">
        <v>9.0</v>
      </c>
      <c r="J919" s="50">
        <v>80517.0</v>
      </c>
      <c r="K919" s="11">
        <v>4.0</v>
      </c>
      <c r="L919" s="11">
        <v>7.0</v>
      </c>
      <c r="M919" s="51">
        <v>78.0</v>
      </c>
      <c r="N919" s="17">
        <v>21.0</v>
      </c>
      <c r="O919" s="24" t="s">
        <v>39</v>
      </c>
      <c r="P919" s="52">
        <v>120313.0</v>
      </c>
      <c r="Q919" s="51">
        <v>170.0</v>
      </c>
      <c r="R919" s="53">
        <v>-22897.38</v>
      </c>
      <c r="S919" s="24" t="s">
        <v>600</v>
      </c>
      <c r="T919" s="11">
        <v>5.0</v>
      </c>
      <c r="U919" s="52">
        <v>90923.0</v>
      </c>
      <c r="V919" s="11">
        <v>2.0</v>
      </c>
      <c r="W919" s="11">
        <v>4.0</v>
      </c>
      <c r="X919" s="48">
        <v>5.1905</v>
      </c>
      <c r="Y919" s="11">
        <f t="shared" si="2"/>
        <v>0.051905</v>
      </c>
    </row>
    <row r="920">
      <c r="A920" s="17">
        <v>77.0</v>
      </c>
      <c r="B920" s="24">
        <v>58.0</v>
      </c>
      <c r="C920" s="24">
        <v>8.0</v>
      </c>
      <c r="D920" s="24">
        <v>3.0</v>
      </c>
      <c r="E920" s="24">
        <v>68.0</v>
      </c>
      <c r="F920" s="48">
        <v>8.8346</v>
      </c>
      <c r="G920" s="49">
        <f t="shared" si="1"/>
        <v>0.088346</v>
      </c>
      <c r="H920" s="11">
        <v>0.0</v>
      </c>
      <c r="I920" s="11">
        <v>6.0</v>
      </c>
      <c r="J920" s="50">
        <v>12223.0</v>
      </c>
      <c r="K920" s="11">
        <v>8.0</v>
      </c>
      <c r="L920" s="11">
        <v>7.0</v>
      </c>
      <c r="M920" s="51">
        <v>475.0</v>
      </c>
      <c r="N920" s="17">
        <v>0.0</v>
      </c>
      <c r="O920" s="24" t="s">
        <v>601</v>
      </c>
      <c r="P920" s="52">
        <v>91313.0</v>
      </c>
      <c r="Q920" s="51">
        <v>457.0</v>
      </c>
      <c r="R920" s="53">
        <v>-7548.47</v>
      </c>
      <c r="S920" s="24" t="s">
        <v>602</v>
      </c>
      <c r="T920" s="11">
        <v>4.0</v>
      </c>
      <c r="U920" s="52">
        <v>112123.0</v>
      </c>
      <c r="V920" s="11">
        <v>5.0</v>
      </c>
      <c r="W920" s="11">
        <v>8.0</v>
      </c>
      <c r="X920" s="48">
        <v>8.2255</v>
      </c>
      <c r="Y920" s="11">
        <f t="shared" si="2"/>
        <v>0.082255</v>
      </c>
    </row>
    <row r="921">
      <c r="A921" s="17">
        <v>82.0</v>
      </c>
      <c r="B921" s="24">
        <v>58.0</v>
      </c>
      <c r="C921" s="24">
        <v>8.0</v>
      </c>
      <c r="D921" s="24">
        <v>4.0</v>
      </c>
      <c r="E921" s="24">
        <v>66.0</v>
      </c>
      <c r="F921" s="48">
        <v>1.2342</v>
      </c>
      <c r="G921" s="49">
        <f t="shared" si="1"/>
        <v>0.012342</v>
      </c>
      <c r="H921" s="11">
        <v>8.0</v>
      </c>
      <c r="I921" s="11">
        <v>4.0</v>
      </c>
      <c r="J921" s="50">
        <v>71019.0</v>
      </c>
      <c r="K921" s="11">
        <v>2.0</v>
      </c>
      <c r="L921" s="11">
        <v>7.0</v>
      </c>
      <c r="M921" s="51">
        <v>824.0</v>
      </c>
      <c r="N921" s="17">
        <v>75.0</v>
      </c>
      <c r="O921" s="24" t="s">
        <v>31</v>
      </c>
      <c r="P921" s="52">
        <v>70116.0</v>
      </c>
      <c r="Q921" s="51">
        <v>928.0</v>
      </c>
      <c r="R921" s="53">
        <v>20307.63</v>
      </c>
      <c r="S921" s="24" t="s">
        <v>600</v>
      </c>
      <c r="T921" s="11">
        <v>7.0</v>
      </c>
      <c r="U921" s="52">
        <v>70813.0</v>
      </c>
      <c r="V921" s="11">
        <v>1.0</v>
      </c>
      <c r="W921" s="11">
        <v>4.0</v>
      </c>
      <c r="X921" s="48">
        <v>9.3419</v>
      </c>
      <c r="Y921" s="11">
        <f t="shared" si="2"/>
        <v>0.093419</v>
      </c>
    </row>
    <row r="922">
      <c r="A922" s="17">
        <v>51.0</v>
      </c>
      <c r="B922" s="24">
        <v>79.0</v>
      </c>
      <c r="C922" s="24">
        <v>3.0</v>
      </c>
      <c r="D922" s="24">
        <v>4.0</v>
      </c>
      <c r="E922" s="24">
        <v>63.0</v>
      </c>
      <c r="F922" s="48">
        <v>1.3648</v>
      </c>
      <c r="G922" s="49">
        <f t="shared" si="1"/>
        <v>0.013648</v>
      </c>
      <c r="H922" s="11">
        <v>9.0</v>
      </c>
      <c r="I922" s="11">
        <v>4.0</v>
      </c>
      <c r="J922" s="50">
        <v>73017.0</v>
      </c>
      <c r="K922" s="11">
        <v>1.0</v>
      </c>
      <c r="L922" s="11">
        <v>9.0</v>
      </c>
      <c r="M922" s="51">
        <v>947.0</v>
      </c>
      <c r="N922" s="17">
        <v>63.0</v>
      </c>
      <c r="O922" s="24" t="s">
        <v>31</v>
      </c>
      <c r="P922" s="52">
        <v>20815.0</v>
      </c>
      <c r="Q922" s="51">
        <v>455.0</v>
      </c>
      <c r="R922" s="53">
        <v>79988.7</v>
      </c>
      <c r="S922" s="24" t="s">
        <v>602</v>
      </c>
      <c r="T922" s="11">
        <v>7.0</v>
      </c>
      <c r="U922" s="52">
        <v>50622.0</v>
      </c>
      <c r="V922" s="11">
        <v>1.0</v>
      </c>
      <c r="W922" s="11">
        <v>8.0</v>
      </c>
      <c r="X922" s="48">
        <v>9.1901</v>
      </c>
      <c r="Y922" s="11">
        <f t="shared" si="2"/>
        <v>0.091901</v>
      </c>
    </row>
    <row r="923">
      <c r="A923" s="17">
        <v>88.0</v>
      </c>
      <c r="B923" s="24">
        <v>17.0</v>
      </c>
      <c r="C923" s="24">
        <v>9.0</v>
      </c>
      <c r="D923" s="24">
        <v>2.0</v>
      </c>
      <c r="E923" s="24">
        <v>67.0</v>
      </c>
      <c r="F923" s="48">
        <v>9.4747</v>
      </c>
      <c r="G923" s="49">
        <f t="shared" si="1"/>
        <v>0.094747</v>
      </c>
      <c r="H923" s="11">
        <v>1.0</v>
      </c>
      <c r="I923" s="11">
        <v>5.0</v>
      </c>
      <c r="J923" s="50">
        <v>60214.0</v>
      </c>
      <c r="K923" s="11">
        <v>4.0</v>
      </c>
      <c r="L923" s="11">
        <v>3.0</v>
      </c>
      <c r="M923" s="51">
        <v>530.0</v>
      </c>
      <c r="N923" s="17">
        <v>42.0</v>
      </c>
      <c r="O923" s="24" t="s">
        <v>39</v>
      </c>
      <c r="P923" s="52">
        <v>72516.0</v>
      </c>
      <c r="Q923" s="51">
        <v>483.0</v>
      </c>
      <c r="R923" s="53">
        <v>6278.44</v>
      </c>
      <c r="S923" s="24" t="s">
        <v>600</v>
      </c>
      <c r="T923" s="11">
        <v>6.0</v>
      </c>
      <c r="U923" s="52">
        <v>120922.0</v>
      </c>
      <c r="V923" s="11">
        <v>1.0</v>
      </c>
      <c r="W923" s="11">
        <v>2.0</v>
      </c>
      <c r="X923" s="48">
        <v>9.7006</v>
      </c>
      <c r="Y923" s="11">
        <f t="shared" si="2"/>
        <v>0.097006</v>
      </c>
    </row>
    <row r="924">
      <c r="A924" s="17">
        <v>35.0</v>
      </c>
      <c r="B924" s="24">
        <v>38.0</v>
      </c>
      <c r="C924" s="24">
        <v>4.0</v>
      </c>
      <c r="D924" s="24">
        <v>2.0</v>
      </c>
      <c r="E924" s="24">
        <v>60.0</v>
      </c>
      <c r="F924" s="48">
        <v>1.9421</v>
      </c>
      <c r="G924" s="49">
        <f t="shared" si="1"/>
        <v>0.019421</v>
      </c>
      <c r="H924" s="11">
        <v>8.0</v>
      </c>
      <c r="I924" s="11">
        <v>9.0</v>
      </c>
      <c r="J924" s="50">
        <v>122115.0</v>
      </c>
      <c r="K924" s="11">
        <v>7.0</v>
      </c>
      <c r="L924" s="11">
        <v>5.0</v>
      </c>
      <c r="M924" s="51">
        <v>81.0</v>
      </c>
      <c r="N924" s="17">
        <v>60.0</v>
      </c>
      <c r="O924" s="24" t="s">
        <v>31</v>
      </c>
      <c r="P924" s="52">
        <v>110715.0</v>
      </c>
      <c r="Q924" s="51">
        <v>190.0</v>
      </c>
      <c r="R924" s="53">
        <v>2453.19</v>
      </c>
      <c r="S924" s="24" t="s">
        <v>602</v>
      </c>
      <c r="T924" s="11">
        <v>7.0</v>
      </c>
      <c r="U924" s="52">
        <v>21218.0</v>
      </c>
      <c r="V924" s="11">
        <v>3.0</v>
      </c>
      <c r="W924" s="11">
        <v>9.0</v>
      </c>
      <c r="X924" s="48">
        <v>7.2047</v>
      </c>
      <c r="Y924" s="11">
        <f t="shared" si="2"/>
        <v>0.072047</v>
      </c>
    </row>
    <row r="925">
      <c r="A925" s="17">
        <v>82.0</v>
      </c>
      <c r="B925" s="24">
        <v>79.0</v>
      </c>
      <c r="C925" s="24">
        <v>3.0</v>
      </c>
      <c r="D925" s="24">
        <v>9.0</v>
      </c>
      <c r="E925" s="24">
        <v>63.0</v>
      </c>
      <c r="F925" s="48">
        <v>6.766</v>
      </c>
      <c r="G925" s="49">
        <f t="shared" si="1"/>
        <v>0.06766</v>
      </c>
      <c r="H925" s="11">
        <v>9.0</v>
      </c>
      <c r="I925" s="11">
        <v>6.0</v>
      </c>
      <c r="J925" s="50">
        <v>102418.0</v>
      </c>
      <c r="K925" s="11">
        <v>9.0</v>
      </c>
      <c r="L925" s="11">
        <v>8.0</v>
      </c>
      <c r="M925" s="51">
        <v>690.0</v>
      </c>
      <c r="N925" s="17">
        <v>61.0</v>
      </c>
      <c r="O925" s="24" t="s">
        <v>48</v>
      </c>
      <c r="P925" s="52">
        <v>41222.0</v>
      </c>
      <c r="Q925" s="51">
        <v>700.0</v>
      </c>
      <c r="R925" s="53">
        <v>114.89</v>
      </c>
      <c r="S925" s="24" t="s">
        <v>605</v>
      </c>
      <c r="T925" s="11">
        <v>5.0</v>
      </c>
      <c r="U925" s="52">
        <v>111423.0</v>
      </c>
      <c r="V925" s="11">
        <v>1.0</v>
      </c>
      <c r="W925" s="11">
        <v>7.0</v>
      </c>
      <c r="X925" s="48">
        <v>1.371</v>
      </c>
      <c r="Y925" s="11">
        <f t="shared" si="2"/>
        <v>0.01371</v>
      </c>
    </row>
    <row r="926">
      <c r="A926" s="17">
        <v>57.0</v>
      </c>
      <c r="B926" s="24">
        <v>58.0</v>
      </c>
      <c r="C926" s="24">
        <v>9.0</v>
      </c>
      <c r="D926" s="24">
        <v>2.0</v>
      </c>
      <c r="E926" s="24">
        <v>62.0</v>
      </c>
      <c r="F926" s="48">
        <v>1.1321</v>
      </c>
      <c r="G926" s="49">
        <f t="shared" si="1"/>
        <v>0.011321</v>
      </c>
      <c r="H926" s="11">
        <v>8.0</v>
      </c>
      <c r="I926" s="11">
        <v>9.0</v>
      </c>
      <c r="J926" s="50">
        <v>102518.0</v>
      </c>
      <c r="K926" s="11">
        <v>9.0</v>
      </c>
      <c r="L926" s="11">
        <v>9.0</v>
      </c>
      <c r="M926" s="51">
        <v>914.0</v>
      </c>
      <c r="N926" s="17">
        <v>45.0</v>
      </c>
      <c r="O926" s="24" t="s">
        <v>601</v>
      </c>
      <c r="P926" s="52">
        <v>30719.0</v>
      </c>
      <c r="Q926" s="51">
        <v>799.0</v>
      </c>
      <c r="R926" s="53">
        <v>892713.46</v>
      </c>
      <c r="S926" s="24" t="s">
        <v>600</v>
      </c>
      <c r="T926" s="11">
        <v>8.0</v>
      </c>
      <c r="U926" s="52">
        <v>91221.0</v>
      </c>
      <c r="V926" s="11">
        <v>3.0</v>
      </c>
      <c r="W926" s="11">
        <v>3.0</v>
      </c>
      <c r="X926" s="48">
        <v>7.3585</v>
      </c>
      <c r="Y926" s="11">
        <f t="shared" si="2"/>
        <v>0.073585</v>
      </c>
    </row>
    <row r="927">
      <c r="A927" s="17">
        <v>52.0</v>
      </c>
      <c r="B927" s="24">
        <v>38.0</v>
      </c>
      <c r="C927" s="24">
        <v>4.0</v>
      </c>
      <c r="D927" s="24">
        <v>5.0</v>
      </c>
      <c r="E927" s="24">
        <v>63.0</v>
      </c>
      <c r="F927" s="48">
        <v>5.4789</v>
      </c>
      <c r="G927" s="49">
        <f t="shared" si="1"/>
        <v>0.054789</v>
      </c>
      <c r="H927" s="11">
        <v>6.0</v>
      </c>
      <c r="I927" s="11">
        <v>2.0</v>
      </c>
      <c r="J927" s="50">
        <v>51515.0</v>
      </c>
      <c r="K927" s="11">
        <v>9.0</v>
      </c>
      <c r="L927" s="11">
        <v>7.0</v>
      </c>
      <c r="M927" s="51">
        <v>77.0</v>
      </c>
      <c r="N927" s="17">
        <v>72.0</v>
      </c>
      <c r="O927" s="24" t="s">
        <v>600</v>
      </c>
      <c r="P927" s="52">
        <v>50322.0</v>
      </c>
      <c r="Q927" s="51">
        <v>791.0</v>
      </c>
      <c r="R927" s="53">
        <v>9340.2</v>
      </c>
      <c r="S927" s="24" t="s">
        <v>600</v>
      </c>
      <c r="T927" s="11">
        <v>1.0</v>
      </c>
      <c r="U927" s="52">
        <v>20616.0</v>
      </c>
      <c r="V927" s="11">
        <v>4.0</v>
      </c>
      <c r="W927" s="11">
        <v>3.0</v>
      </c>
      <c r="X927" s="48">
        <v>7.591</v>
      </c>
      <c r="Y927" s="11">
        <f t="shared" si="2"/>
        <v>0.07591</v>
      </c>
    </row>
    <row r="928">
      <c r="A928" s="17">
        <v>51.0</v>
      </c>
      <c r="B928" s="24">
        <v>79.0</v>
      </c>
      <c r="C928" s="24">
        <v>4.0</v>
      </c>
      <c r="D928" s="24">
        <v>1.0</v>
      </c>
      <c r="E928" s="24">
        <v>66.0</v>
      </c>
      <c r="F928" s="48">
        <v>2.332</v>
      </c>
      <c r="G928" s="49">
        <f t="shared" si="1"/>
        <v>0.02332</v>
      </c>
      <c r="H928" s="11">
        <v>3.0</v>
      </c>
      <c r="I928" s="11">
        <v>5.0</v>
      </c>
      <c r="J928" s="50">
        <v>31013.0</v>
      </c>
      <c r="K928" s="11">
        <v>4.0</v>
      </c>
      <c r="L928" s="11">
        <v>2.0</v>
      </c>
      <c r="M928" s="51">
        <v>643.0</v>
      </c>
      <c r="N928" s="17">
        <v>49.0</v>
      </c>
      <c r="O928" s="24" t="s">
        <v>600</v>
      </c>
      <c r="P928" s="52">
        <v>61121.0</v>
      </c>
      <c r="Q928" s="51">
        <v>381.0</v>
      </c>
      <c r="R928" s="53">
        <v>-49007.44</v>
      </c>
      <c r="S928" s="24" t="s">
        <v>600</v>
      </c>
      <c r="T928" s="11">
        <v>4.0</v>
      </c>
      <c r="U928" s="52">
        <v>122314.0</v>
      </c>
      <c r="V928" s="11">
        <v>2.0</v>
      </c>
      <c r="W928" s="11">
        <v>6.0</v>
      </c>
      <c r="X928" s="48">
        <v>4.403</v>
      </c>
      <c r="Y928" s="11">
        <f t="shared" si="2"/>
        <v>0.04403</v>
      </c>
    </row>
    <row r="929">
      <c r="A929" s="17">
        <v>4.0</v>
      </c>
      <c r="B929" s="24">
        <v>58.0</v>
      </c>
      <c r="C929" s="24">
        <v>9.0</v>
      </c>
      <c r="D929" s="24">
        <v>4.0</v>
      </c>
      <c r="E929" s="24">
        <v>68.0</v>
      </c>
      <c r="F929" s="48">
        <v>7.1249</v>
      </c>
      <c r="G929" s="49">
        <f t="shared" si="1"/>
        <v>0.071249</v>
      </c>
      <c r="H929" s="11">
        <v>7.0</v>
      </c>
      <c r="I929" s="11">
        <v>6.0</v>
      </c>
      <c r="J929" s="50">
        <v>80717.0</v>
      </c>
      <c r="K929" s="11">
        <v>3.0</v>
      </c>
      <c r="L929" s="11">
        <v>2.0</v>
      </c>
      <c r="M929" s="51">
        <v>185.0</v>
      </c>
      <c r="N929" s="17">
        <v>88.0</v>
      </c>
      <c r="O929" s="24" t="s">
        <v>601</v>
      </c>
      <c r="P929" s="52">
        <v>112514.0</v>
      </c>
      <c r="Q929" s="51">
        <v>538.0</v>
      </c>
      <c r="R929" s="53">
        <v>-773.85</v>
      </c>
      <c r="S929" s="24" t="s">
        <v>600</v>
      </c>
      <c r="T929" s="11">
        <v>2.0</v>
      </c>
      <c r="U929" s="52">
        <v>41020.0</v>
      </c>
      <c r="V929" s="11">
        <v>4.0</v>
      </c>
      <c r="W929" s="11">
        <v>6.0</v>
      </c>
      <c r="X929" s="48">
        <v>8.1661</v>
      </c>
      <c r="Y929" s="11">
        <f t="shared" si="2"/>
        <v>0.081661</v>
      </c>
    </row>
    <row r="930">
      <c r="A930" s="17">
        <v>49.0</v>
      </c>
      <c r="B930" s="24">
        <v>99.0</v>
      </c>
      <c r="C930" s="24">
        <v>9.0</v>
      </c>
      <c r="D930" s="24">
        <v>3.0</v>
      </c>
      <c r="E930" s="24">
        <v>66.0</v>
      </c>
      <c r="F930" s="48">
        <v>8.2076</v>
      </c>
      <c r="G930" s="49">
        <f t="shared" si="1"/>
        <v>0.082076</v>
      </c>
      <c r="H930" s="11">
        <v>7.0</v>
      </c>
      <c r="I930" s="11">
        <v>7.0</v>
      </c>
      <c r="J930" s="50">
        <v>101422.0</v>
      </c>
      <c r="K930" s="11">
        <v>6.0</v>
      </c>
      <c r="L930" s="11">
        <v>2.0</v>
      </c>
      <c r="M930" s="51">
        <v>764.0</v>
      </c>
      <c r="N930" s="17">
        <v>29.0</v>
      </c>
      <c r="O930" s="24" t="s">
        <v>48</v>
      </c>
      <c r="P930" s="52">
        <v>71217.0</v>
      </c>
      <c r="Q930" s="51">
        <v>956.0</v>
      </c>
      <c r="R930" s="53">
        <v>492.72</v>
      </c>
      <c r="S930" s="24" t="s">
        <v>602</v>
      </c>
      <c r="T930" s="11">
        <v>0.0</v>
      </c>
      <c r="U930" s="52">
        <v>30715.0</v>
      </c>
      <c r="V930" s="11">
        <v>2.0</v>
      </c>
      <c r="W930" s="11">
        <v>1.0</v>
      </c>
      <c r="X930" s="48">
        <v>2.4366</v>
      </c>
      <c r="Y930" s="11">
        <f t="shared" si="2"/>
        <v>0.024366</v>
      </c>
    </row>
    <row r="931">
      <c r="A931" s="17">
        <v>63.0</v>
      </c>
      <c r="B931" s="24">
        <v>58.0</v>
      </c>
      <c r="C931" s="24">
        <v>9.0</v>
      </c>
      <c r="D931" s="24">
        <v>8.0</v>
      </c>
      <c r="E931" s="24">
        <v>62.0</v>
      </c>
      <c r="F931" s="48">
        <v>7.1623</v>
      </c>
      <c r="G931" s="49">
        <f t="shared" si="1"/>
        <v>0.071623</v>
      </c>
      <c r="H931" s="11">
        <v>7.0</v>
      </c>
      <c r="I931" s="11">
        <v>5.0</v>
      </c>
      <c r="J931" s="50">
        <v>40815.0</v>
      </c>
      <c r="K931" s="11">
        <v>8.0</v>
      </c>
      <c r="L931" s="11">
        <v>9.0</v>
      </c>
      <c r="M931" s="51">
        <v>620.0</v>
      </c>
      <c r="N931" s="17">
        <v>40.0</v>
      </c>
      <c r="O931" s="24" t="s">
        <v>606</v>
      </c>
      <c r="P931" s="52">
        <v>10618.0</v>
      </c>
      <c r="Q931" s="51">
        <v>251.0</v>
      </c>
      <c r="R931" s="53">
        <v>-3422.27</v>
      </c>
      <c r="S931" s="24" t="s">
        <v>604</v>
      </c>
      <c r="T931" s="11">
        <v>8.0</v>
      </c>
      <c r="U931" s="52">
        <v>11414.0</v>
      </c>
      <c r="V931" s="11">
        <v>9.0</v>
      </c>
      <c r="W931" s="11">
        <v>8.0</v>
      </c>
      <c r="X931" s="48">
        <v>6.5232</v>
      </c>
      <c r="Y931" s="11">
        <f t="shared" si="2"/>
        <v>0.065232</v>
      </c>
    </row>
    <row r="932">
      <c r="A932" s="17">
        <v>9.0</v>
      </c>
      <c r="B932" s="24">
        <v>99.0</v>
      </c>
      <c r="C932" s="24">
        <v>9.0</v>
      </c>
      <c r="D932" s="24">
        <v>5.0</v>
      </c>
      <c r="E932" s="24">
        <v>62.0</v>
      </c>
      <c r="F932" s="48">
        <v>3.1701</v>
      </c>
      <c r="G932" s="49">
        <f t="shared" si="1"/>
        <v>0.031701</v>
      </c>
      <c r="H932" s="11">
        <v>0.0</v>
      </c>
      <c r="I932" s="11">
        <v>8.0</v>
      </c>
      <c r="J932" s="50">
        <v>102817.0</v>
      </c>
      <c r="K932" s="11">
        <v>9.0</v>
      </c>
      <c r="L932" s="11">
        <v>5.0</v>
      </c>
      <c r="M932" s="51">
        <v>606.0</v>
      </c>
      <c r="N932" s="17">
        <v>99.0</v>
      </c>
      <c r="O932" s="24" t="s">
        <v>600</v>
      </c>
      <c r="P932" s="52">
        <v>82421.0</v>
      </c>
      <c r="Q932" s="51">
        <v>724.0</v>
      </c>
      <c r="R932" s="53">
        <v>-2960.52</v>
      </c>
      <c r="S932" s="24" t="s">
        <v>604</v>
      </c>
      <c r="T932" s="11">
        <v>4.0</v>
      </c>
      <c r="U932" s="52">
        <v>122820.0</v>
      </c>
      <c r="V932" s="11">
        <v>0.0</v>
      </c>
      <c r="W932" s="11">
        <v>1.0</v>
      </c>
      <c r="X932" s="48">
        <v>7.3059</v>
      </c>
      <c r="Y932" s="11">
        <f t="shared" si="2"/>
        <v>0.073059</v>
      </c>
    </row>
    <row r="933">
      <c r="A933" s="17">
        <v>61.0</v>
      </c>
      <c r="B933" s="24">
        <v>38.0</v>
      </c>
      <c r="C933" s="24">
        <v>5.0</v>
      </c>
      <c r="D933" s="24">
        <v>6.0</v>
      </c>
      <c r="E933" s="24">
        <v>61.0</v>
      </c>
      <c r="F933" s="48">
        <v>2.5958</v>
      </c>
      <c r="G933" s="49">
        <f t="shared" si="1"/>
        <v>0.025958</v>
      </c>
      <c r="H933" s="11">
        <v>8.0</v>
      </c>
      <c r="I933" s="11">
        <v>4.0</v>
      </c>
      <c r="J933" s="50">
        <v>111823.0</v>
      </c>
      <c r="K933" s="11">
        <v>9.0</v>
      </c>
      <c r="L933" s="11">
        <v>4.0</v>
      </c>
      <c r="M933" s="51">
        <v>450.0</v>
      </c>
      <c r="N933" s="17">
        <v>68.0</v>
      </c>
      <c r="O933" s="24" t="s">
        <v>606</v>
      </c>
      <c r="P933" s="52">
        <v>71715.0</v>
      </c>
      <c r="Q933" s="51">
        <v>320.0</v>
      </c>
      <c r="R933" s="53">
        <v>-972283.1</v>
      </c>
      <c r="S933" s="24" t="s">
        <v>605</v>
      </c>
      <c r="T933" s="11">
        <v>9.0</v>
      </c>
      <c r="U933" s="52">
        <v>62914.0</v>
      </c>
      <c r="V933" s="11">
        <v>5.0</v>
      </c>
      <c r="W933" s="11">
        <v>4.0</v>
      </c>
      <c r="X933" s="48">
        <v>3.2158</v>
      </c>
      <c r="Y933" s="11">
        <f t="shared" si="2"/>
        <v>0.032158</v>
      </c>
    </row>
    <row r="934">
      <c r="A934" s="17">
        <v>2.0</v>
      </c>
      <c r="B934" s="24">
        <v>38.0</v>
      </c>
      <c r="C934" s="24">
        <v>5.0</v>
      </c>
      <c r="D934" s="24">
        <v>9.0</v>
      </c>
      <c r="E934" s="24">
        <v>66.0</v>
      </c>
      <c r="F934" s="48">
        <v>5.843</v>
      </c>
      <c r="G934" s="49">
        <f t="shared" si="1"/>
        <v>0.05843</v>
      </c>
      <c r="H934" s="11">
        <v>8.0</v>
      </c>
      <c r="I934" s="11">
        <v>9.0</v>
      </c>
      <c r="J934" s="50">
        <v>121020.0</v>
      </c>
      <c r="K934" s="11">
        <v>4.0</v>
      </c>
      <c r="L934" s="11">
        <v>5.0</v>
      </c>
      <c r="M934" s="51">
        <v>736.0</v>
      </c>
      <c r="N934" s="17">
        <v>52.0</v>
      </c>
      <c r="O934" s="24" t="s">
        <v>601</v>
      </c>
      <c r="P934" s="52">
        <v>51819.0</v>
      </c>
      <c r="Q934" s="51">
        <v>444.0</v>
      </c>
      <c r="R934" s="53">
        <v>3495.35</v>
      </c>
      <c r="S934" s="24" t="s">
        <v>604</v>
      </c>
      <c r="T934" s="11">
        <v>5.0</v>
      </c>
      <c r="U934" s="52">
        <v>92620.0</v>
      </c>
      <c r="V934" s="11">
        <v>8.0</v>
      </c>
      <c r="W934" s="11">
        <v>6.0</v>
      </c>
      <c r="X934" s="48">
        <v>6.5357</v>
      </c>
      <c r="Y934" s="11">
        <f t="shared" si="2"/>
        <v>0.065357</v>
      </c>
    </row>
    <row r="935">
      <c r="A935" s="17">
        <v>7.0</v>
      </c>
      <c r="B935" s="24">
        <v>18.0</v>
      </c>
      <c r="C935" s="24">
        <v>1.0</v>
      </c>
      <c r="D935" s="24">
        <v>2.0</v>
      </c>
      <c r="E935" s="24">
        <v>67.0</v>
      </c>
      <c r="F935" s="48">
        <v>5.3697</v>
      </c>
      <c r="G935" s="49">
        <f t="shared" si="1"/>
        <v>0.053697</v>
      </c>
      <c r="H935" s="11">
        <v>6.0</v>
      </c>
      <c r="I935" s="11">
        <v>3.0</v>
      </c>
      <c r="J935" s="50">
        <v>12914.0</v>
      </c>
      <c r="K935" s="11">
        <v>2.0</v>
      </c>
      <c r="L935" s="11">
        <v>0.0</v>
      </c>
      <c r="M935" s="51">
        <v>196.0</v>
      </c>
      <c r="N935" s="17">
        <v>89.0</v>
      </c>
      <c r="O935" s="24" t="s">
        <v>601</v>
      </c>
      <c r="P935" s="52">
        <v>91018.0</v>
      </c>
      <c r="Q935" s="51">
        <v>767.0</v>
      </c>
      <c r="R935" s="53">
        <v>-271622.44</v>
      </c>
      <c r="S935" s="24" t="s">
        <v>602</v>
      </c>
      <c r="T935" s="11">
        <v>3.0</v>
      </c>
      <c r="U935" s="52">
        <v>40420.0</v>
      </c>
      <c r="V935" s="11">
        <v>0.0</v>
      </c>
      <c r="W935" s="11">
        <v>8.0</v>
      </c>
      <c r="X935" s="48">
        <v>3.5878</v>
      </c>
      <c r="Y935" s="11">
        <f t="shared" si="2"/>
        <v>0.035878</v>
      </c>
    </row>
    <row r="936">
      <c r="A936" s="17">
        <v>31.0</v>
      </c>
      <c r="B936" s="24">
        <v>18.0</v>
      </c>
      <c r="C936" s="24">
        <v>1.0</v>
      </c>
      <c r="D936" s="24">
        <v>3.0</v>
      </c>
      <c r="E936" s="24">
        <v>62.0</v>
      </c>
      <c r="F936" s="48">
        <v>2.8307</v>
      </c>
      <c r="G936" s="49">
        <f t="shared" si="1"/>
        <v>0.028307</v>
      </c>
      <c r="H936" s="11">
        <v>5.0</v>
      </c>
      <c r="I936" s="11">
        <v>7.0</v>
      </c>
      <c r="J936" s="50">
        <v>71120.0</v>
      </c>
      <c r="K936" s="11">
        <v>9.0</v>
      </c>
      <c r="L936" s="11">
        <v>5.0</v>
      </c>
      <c r="M936" s="51">
        <v>376.0</v>
      </c>
      <c r="N936" s="17">
        <v>73.0</v>
      </c>
      <c r="O936" s="24" t="s">
        <v>31</v>
      </c>
      <c r="P936" s="52">
        <v>123020.0</v>
      </c>
      <c r="Q936" s="51">
        <v>875.0</v>
      </c>
      <c r="R936" s="53">
        <v>-49416.58</v>
      </c>
      <c r="S936" s="24" t="s">
        <v>600</v>
      </c>
      <c r="T936" s="11">
        <v>1.0</v>
      </c>
      <c r="U936" s="52">
        <v>120821.0</v>
      </c>
      <c r="V936" s="11">
        <v>1.0</v>
      </c>
      <c r="W936" s="11">
        <v>7.0</v>
      </c>
      <c r="X936" s="48">
        <v>4.47</v>
      </c>
      <c r="Y936" s="11">
        <f t="shared" si="2"/>
        <v>0.0447</v>
      </c>
    </row>
    <row r="937">
      <c r="A937" s="17">
        <v>48.0</v>
      </c>
      <c r="B937" s="24">
        <v>79.0</v>
      </c>
      <c r="C937" s="24">
        <v>5.0</v>
      </c>
      <c r="D937" s="24">
        <v>7.0</v>
      </c>
      <c r="E937" s="24">
        <v>61.0</v>
      </c>
      <c r="F937" s="48">
        <v>5.8667</v>
      </c>
      <c r="G937" s="49">
        <f t="shared" si="1"/>
        <v>0.058667</v>
      </c>
      <c r="H937" s="11">
        <v>3.0</v>
      </c>
      <c r="I937" s="11">
        <v>9.0</v>
      </c>
      <c r="J937" s="50">
        <v>11219.0</v>
      </c>
      <c r="K937" s="11">
        <v>8.0</v>
      </c>
      <c r="L937" s="11">
        <v>4.0</v>
      </c>
      <c r="M937" s="51">
        <v>670.0</v>
      </c>
      <c r="N937" s="17">
        <v>60.0</v>
      </c>
      <c r="O937" s="24" t="s">
        <v>600</v>
      </c>
      <c r="P937" s="52">
        <v>102213.0</v>
      </c>
      <c r="Q937" s="51">
        <v>956.0</v>
      </c>
      <c r="R937" s="53">
        <v>897906.39</v>
      </c>
      <c r="S937" s="24" t="s">
        <v>605</v>
      </c>
      <c r="T937" s="11">
        <v>0.0</v>
      </c>
      <c r="U937" s="52">
        <v>40313.0</v>
      </c>
      <c r="V937" s="11">
        <v>2.0</v>
      </c>
      <c r="W937" s="11">
        <v>4.0</v>
      </c>
      <c r="X937" s="48">
        <v>6.8306</v>
      </c>
      <c r="Y937" s="11">
        <f t="shared" si="2"/>
        <v>0.068306</v>
      </c>
    </row>
    <row r="938">
      <c r="A938" s="17">
        <v>59.0</v>
      </c>
      <c r="B938" s="24">
        <v>59.0</v>
      </c>
      <c r="C938" s="24">
        <v>1.0</v>
      </c>
      <c r="D938" s="24">
        <v>3.0</v>
      </c>
      <c r="E938" s="24">
        <v>62.0</v>
      </c>
      <c r="F938" s="48">
        <v>1.734</v>
      </c>
      <c r="G938" s="49">
        <f t="shared" si="1"/>
        <v>0.01734</v>
      </c>
      <c r="H938" s="11">
        <v>7.0</v>
      </c>
      <c r="I938" s="11">
        <v>2.0</v>
      </c>
      <c r="J938" s="50">
        <v>12323.0</v>
      </c>
      <c r="K938" s="11">
        <v>9.0</v>
      </c>
      <c r="L938" s="11">
        <v>4.0</v>
      </c>
      <c r="M938" s="51">
        <v>430.0</v>
      </c>
      <c r="N938" s="17">
        <v>96.0</v>
      </c>
      <c r="O938" s="24" t="s">
        <v>601</v>
      </c>
      <c r="P938" s="52">
        <v>72022.0</v>
      </c>
      <c r="Q938" s="51">
        <v>414.0</v>
      </c>
      <c r="R938" s="53">
        <v>-322615.35</v>
      </c>
      <c r="S938" s="24" t="s">
        <v>600</v>
      </c>
      <c r="T938" s="11">
        <v>6.0</v>
      </c>
      <c r="U938" s="52">
        <v>90913.0</v>
      </c>
      <c r="V938" s="11">
        <v>7.0</v>
      </c>
      <c r="W938" s="11">
        <v>7.0</v>
      </c>
      <c r="X938" s="48">
        <v>5.1046</v>
      </c>
      <c r="Y938" s="11">
        <f t="shared" si="2"/>
        <v>0.051046</v>
      </c>
    </row>
    <row r="939">
      <c r="A939" s="17">
        <v>84.0</v>
      </c>
      <c r="B939" s="24">
        <v>38.0</v>
      </c>
      <c r="C939" s="24">
        <v>6.0</v>
      </c>
      <c r="D939" s="24">
        <v>9.0</v>
      </c>
      <c r="E939" s="24">
        <v>61.0</v>
      </c>
      <c r="F939" s="48">
        <v>1.5508</v>
      </c>
      <c r="G939" s="49">
        <f t="shared" si="1"/>
        <v>0.015508</v>
      </c>
      <c r="H939" s="11">
        <v>3.0</v>
      </c>
      <c r="I939" s="11">
        <v>0.0</v>
      </c>
      <c r="J939" s="50">
        <v>82718.0</v>
      </c>
      <c r="K939" s="11">
        <v>8.0</v>
      </c>
      <c r="L939" s="11">
        <v>1.0</v>
      </c>
      <c r="M939" s="51">
        <v>345.0</v>
      </c>
      <c r="N939" s="17">
        <v>89.0</v>
      </c>
      <c r="O939" s="24" t="s">
        <v>39</v>
      </c>
      <c r="P939" s="52">
        <v>120619.0</v>
      </c>
      <c r="Q939" s="51">
        <v>562.0</v>
      </c>
      <c r="R939" s="53">
        <v>-80537.98</v>
      </c>
      <c r="S939" s="24" t="s">
        <v>602</v>
      </c>
      <c r="T939" s="11">
        <v>5.0</v>
      </c>
      <c r="U939" s="52">
        <v>61022.0</v>
      </c>
      <c r="V939" s="11">
        <v>1.0</v>
      </c>
      <c r="W939" s="11">
        <v>1.0</v>
      </c>
      <c r="X939" s="48">
        <v>4.7289</v>
      </c>
      <c r="Y939" s="11">
        <f t="shared" si="2"/>
        <v>0.047289</v>
      </c>
    </row>
    <row r="940">
      <c r="A940" s="17">
        <v>74.0</v>
      </c>
      <c r="B940" s="24">
        <v>38.0</v>
      </c>
      <c r="C940" s="24">
        <v>7.0</v>
      </c>
      <c r="D940" s="24">
        <v>2.0</v>
      </c>
      <c r="E940" s="24">
        <v>63.0</v>
      </c>
      <c r="F940" s="48">
        <v>5.683</v>
      </c>
      <c r="G940" s="49">
        <f t="shared" si="1"/>
        <v>0.05683</v>
      </c>
      <c r="H940" s="11">
        <v>0.0</v>
      </c>
      <c r="I940" s="11">
        <v>4.0</v>
      </c>
      <c r="J940" s="50">
        <v>50413.0</v>
      </c>
      <c r="K940" s="11">
        <v>7.0</v>
      </c>
      <c r="L940" s="11">
        <v>4.0</v>
      </c>
      <c r="M940" s="51">
        <v>548.0</v>
      </c>
      <c r="N940" s="17">
        <v>65.0</v>
      </c>
      <c r="O940" s="24" t="s">
        <v>600</v>
      </c>
      <c r="P940" s="52">
        <v>31621.0</v>
      </c>
      <c r="Q940" s="51">
        <v>697.0</v>
      </c>
      <c r="R940" s="53">
        <v>-3174.55</v>
      </c>
      <c r="S940" s="24" t="s">
        <v>600</v>
      </c>
      <c r="T940" s="11">
        <v>9.0</v>
      </c>
      <c r="U940" s="52">
        <v>122721.0</v>
      </c>
      <c r="V940" s="11">
        <v>8.0</v>
      </c>
      <c r="W940" s="11">
        <v>5.0</v>
      </c>
      <c r="X940" s="48">
        <v>9.5889</v>
      </c>
      <c r="Y940" s="11">
        <f t="shared" si="2"/>
        <v>0.095889</v>
      </c>
    </row>
    <row r="941">
      <c r="A941" s="17">
        <v>49.0</v>
      </c>
      <c r="B941" s="24">
        <v>79.0</v>
      </c>
      <c r="C941" s="24">
        <v>6.0</v>
      </c>
      <c r="D941" s="24">
        <v>8.0</v>
      </c>
      <c r="E941" s="24">
        <v>61.0</v>
      </c>
      <c r="F941" s="48">
        <v>6.9027</v>
      </c>
      <c r="G941" s="49">
        <f t="shared" si="1"/>
        <v>0.069027</v>
      </c>
      <c r="H941" s="11">
        <v>8.0</v>
      </c>
      <c r="I941" s="11">
        <v>1.0</v>
      </c>
      <c r="J941" s="50">
        <v>20313.0</v>
      </c>
      <c r="K941" s="11">
        <v>2.0</v>
      </c>
      <c r="L941" s="11">
        <v>7.0</v>
      </c>
      <c r="M941" s="51">
        <v>436.0</v>
      </c>
      <c r="N941" s="17">
        <v>32.0</v>
      </c>
      <c r="O941" s="24" t="s">
        <v>31</v>
      </c>
      <c r="P941" s="52">
        <v>90822.0</v>
      </c>
      <c r="Q941" s="51">
        <v>260.0</v>
      </c>
      <c r="R941" s="53">
        <v>274029.9</v>
      </c>
      <c r="S941" s="24" t="s">
        <v>602</v>
      </c>
      <c r="T941" s="11">
        <v>1.0</v>
      </c>
      <c r="U941" s="52">
        <v>82415.0</v>
      </c>
      <c r="V941" s="11">
        <v>3.0</v>
      </c>
      <c r="W941" s="11">
        <v>8.0</v>
      </c>
      <c r="X941" s="48">
        <v>4.5684</v>
      </c>
      <c r="Y941" s="11">
        <f t="shared" si="2"/>
        <v>0.045684</v>
      </c>
    </row>
    <row r="942">
      <c r="A942" s="17">
        <v>83.0</v>
      </c>
      <c r="B942" s="24">
        <v>59.0</v>
      </c>
      <c r="C942" s="24">
        <v>2.0</v>
      </c>
      <c r="D942" s="24">
        <v>2.0</v>
      </c>
      <c r="E942" s="24">
        <v>67.0</v>
      </c>
      <c r="F942" s="48">
        <v>5.4742</v>
      </c>
      <c r="G942" s="49">
        <f t="shared" si="1"/>
        <v>0.054742</v>
      </c>
      <c r="H942" s="11">
        <v>0.0</v>
      </c>
      <c r="I942" s="11">
        <v>7.0</v>
      </c>
      <c r="J942" s="50">
        <v>61114.0</v>
      </c>
      <c r="K942" s="11">
        <v>7.0</v>
      </c>
      <c r="L942" s="11">
        <v>7.0</v>
      </c>
      <c r="M942" s="51">
        <v>291.0</v>
      </c>
      <c r="N942" s="17">
        <v>46.0</v>
      </c>
      <c r="O942" s="24" t="s">
        <v>601</v>
      </c>
      <c r="P942" s="52">
        <v>100320.0</v>
      </c>
      <c r="Q942" s="51">
        <v>920.0</v>
      </c>
      <c r="R942" s="53">
        <v>20716.28</v>
      </c>
      <c r="S942" s="24" t="s">
        <v>602</v>
      </c>
      <c r="T942" s="11">
        <v>4.0</v>
      </c>
      <c r="U942" s="52">
        <v>102717.0</v>
      </c>
      <c r="V942" s="11">
        <v>3.0</v>
      </c>
      <c r="W942" s="11">
        <v>2.0</v>
      </c>
      <c r="X942" s="48">
        <v>3.4906</v>
      </c>
      <c r="Y942" s="11">
        <f t="shared" si="2"/>
        <v>0.034906</v>
      </c>
    </row>
    <row r="943">
      <c r="A943" s="17">
        <v>66.0</v>
      </c>
      <c r="B943" s="24">
        <v>59.0</v>
      </c>
      <c r="C943" s="24">
        <v>2.0</v>
      </c>
      <c r="D943" s="24">
        <v>5.0</v>
      </c>
      <c r="E943" s="24">
        <v>64.0</v>
      </c>
      <c r="F943" s="48">
        <v>7.578</v>
      </c>
      <c r="G943" s="49">
        <f t="shared" si="1"/>
        <v>0.07578</v>
      </c>
      <c r="H943" s="11">
        <v>0.0</v>
      </c>
      <c r="I943" s="11">
        <v>6.0</v>
      </c>
      <c r="J943" s="50">
        <v>41914.0</v>
      </c>
      <c r="K943" s="11">
        <v>9.0</v>
      </c>
      <c r="L943" s="11">
        <v>6.0</v>
      </c>
      <c r="M943" s="51">
        <v>338.0</v>
      </c>
      <c r="N943" s="17">
        <v>14.0</v>
      </c>
      <c r="O943" s="24" t="s">
        <v>601</v>
      </c>
      <c r="P943" s="52">
        <v>11922.0</v>
      </c>
      <c r="Q943" s="51">
        <v>923.0</v>
      </c>
      <c r="R943" s="53">
        <v>-3256.66</v>
      </c>
      <c r="S943" s="24" t="s">
        <v>602</v>
      </c>
      <c r="T943" s="11">
        <v>4.0</v>
      </c>
      <c r="U943" s="52">
        <v>51220.0</v>
      </c>
      <c r="V943" s="11">
        <v>3.0</v>
      </c>
      <c r="W943" s="11">
        <v>2.0</v>
      </c>
      <c r="X943" s="48">
        <v>3.1989</v>
      </c>
      <c r="Y943" s="11">
        <f t="shared" si="2"/>
        <v>0.031989</v>
      </c>
    </row>
    <row r="944">
      <c r="A944" s="17">
        <v>68.0</v>
      </c>
      <c r="B944" s="24">
        <v>38.0</v>
      </c>
      <c r="C944" s="24">
        <v>7.0</v>
      </c>
      <c r="D944" s="24">
        <v>7.0</v>
      </c>
      <c r="E944" s="24">
        <v>60.0</v>
      </c>
      <c r="F944" s="48">
        <v>4.5082</v>
      </c>
      <c r="G944" s="49">
        <f t="shared" si="1"/>
        <v>0.045082</v>
      </c>
      <c r="H944" s="11">
        <v>3.0</v>
      </c>
      <c r="I944" s="11">
        <v>0.0</v>
      </c>
      <c r="J944" s="50">
        <v>30320.0</v>
      </c>
      <c r="K944" s="11">
        <v>7.0</v>
      </c>
      <c r="L944" s="11">
        <v>4.0</v>
      </c>
      <c r="M944" s="51">
        <v>597.0</v>
      </c>
      <c r="N944" s="17">
        <v>52.0</v>
      </c>
      <c r="O944" s="24" t="s">
        <v>603</v>
      </c>
      <c r="P944" s="52">
        <v>10316.0</v>
      </c>
      <c r="Q944" s="51">
        <v>269.0</v>
      </c>
      <c r="R944" s="53">
        <v>-316.9</v>
      </c>
      <c r="S944" s="24" t="s">
        <v>604</v>
      </c>
      <c r="T944" s="11">
        <v>3.0</v>
      </c>
      <c r="U944" s="52">
        <v>30116.0</v>
      </c>
      <c r="V944" s="11">
        <v>0.0</v>
      </c>
      <c r="W944" s="11">
        <v>6.0</v>
      </c>
      <c r="X944" s="48">
        <v>4.1769</v>
      </c>
      <c r="Y944" s="11">
        <f t="shared" si="2"/>
        <v>0.041769</v>
      </c>
    </row>
    <row r="945">
      <c r="A945" s="17">
        <v>12.0</v>
      </c>
      <c r="B945" s="24">
        <v>79.0</v>
      </c>
      <c r="C945" s="24">
        <v>7.0</v>
      </c>
      <c r="D945" s="24">
        <v>6.0</v>
      </c>
      <c r="E945" s="24">
        <v>61.0</v>
      </c>
      <c r="F945" s="48">
        <v>8.3161</v>
      </c>
      <c r="G945" s="49">
        <f t="shared" si="1"/>
        <v>0.083161</v>
      </c>
      <c r="H945" s="11">
        <v>3.0</v>
      </c>
      <c r="I945" s="11">
        <v>8.0</v>
      </c>
      <c r="J945" s="50">
        <v>90318.0</v>
      </c>
      <c r="K945" s="11">
        <v>7.0</v>
      </c>
      <c r="L945" s="11">
        <v>2.0</v>
      </c>
      <c r="M945" s="51">
        <v>790.0</v>
      </c>
      <c r="N945" s="17">
        <v>25.0</v>
      </c>
      <c r="O945" s="24" t="s">
        <v>600</v>
      </c>
      <c r="P945" s="52">
        <v>60517.0</v>
      </c>
      <c r="Q945" s="51">
        <v>107.0</v>
      </c>
      <c r="R945" s="53">
        <v>30102.42</v>
      </c>
      <c r="S945" s="24" t="s">
        <v>605</v>
      </c>
      <c r="T945" s="11">
        <v>5.0</v>
      </c>
      <c r="U945" s="52">
        <v>102621.0</v>
      </c>
      <c r="V945" s="11">
        <v>9.0</v>
      </c>
      <c r="W945" s="11">
        <v>0.0</v>
      </c>
      <c r="X945" s="48">
        <v>6.4234</v>
      </c>
      <c r="Y945" s="11">
        <f t="shared" si="2"/>
        <v>0.064234</v>
      </c>
    </row>
    <row r="946">
      <c r="A946" s="17">
        <v>86.0</v>
      </c>
      <c r="B946" s="24">
        <v>59.0</v>
      </c>
      <c r="C946" s="24">
        <v>3.0</v>
      </c>
      <c r="D946" s="24">
        <v>2.0</v>
      </c>
      <c r="E946" s="24">
        <v>64.0</v>
      </c>
      <c r="F946" s="48">
        <v>4.1022</v>
      </c>
      <c r="G946" s="49">
        <f t="shared" si="1"/>
        <v>0.041022</v>
      </c>
      <c r="H946" s="11">
        <v>0.0</v>
      </c>
      <c r="I946" s="11">
        <v>9.0</v>
      </c>
      <c r="J946" s="50">
        <v>42323.0</v>
      </c>
      <c r="K946" s="11">
        <v>4.0</v>
      </c>
      <c r="L946" s="11">
        <v>4.0</v>
      </c>
      <c r="M946" s="51">
        <v>854.0</v>
      </c>
      <c r="N946" s="17">
        <v>38.0</v>
      </c>
      <c r="O946" s="24" t="s">
        <v>606</v>
      </c>
      <c r="P946" s="52">
        <v>100113.0</v>
      </c>
      <c r="Q946" s="51">
        <v>942.0</v>
      </c>
      <c r="R946" s="53">
        <v>-851124.25</v>
      </c>
      <c r="S946" s="24" t="s">
        <v>600</v>
      </c>
      <c r="T946" s="11">
        <v>5.0</v>
      </c>
      <c r="U946" s="52">
        <v>121517.0</v>
      </c>
      <c r="V946" s="11">
        <v>1.0</v>
      </c>
      <c r="W946" s="11">
        <v>3.0</v>
      </c>
      <c r="X946" s="48">
        <v>9.5747</v>
      </c>
      <c r="Y946" s="11">
        <f t="shared" si="2"/>
        <v>0.095747</v>
      </c>
    </row>
    <row r="947">
      <c r="A947" s="17">
        <v>58.0</v>
      </c>
      <c r="B947" s="24">
        <v>18.0</v>
      </c>
      <c r="C947" s="24">
        <v>3.0</v>
      </c>
      <c r="D947" s="24">
        <v>7.0</v>
      </c>
      <c r="E947" s="24">
        <v>64.0</v>
      </c>
      <c r="F947" s="48">
        <v>3.4833</v>
      </c>
      <c r="G947" s="49">
        <f t="shared" si="1"/>
        <v>0.034833</v>
      </c>
      <c r="H947" s="11">
        <v>7.0</v>
      </c>
      <c r="I947" s="11">
        <v>1.0</v>
      </c>
      <c r="J947" s="50">
        <v>80519.0</v>
      </c>
      <c r="K947" s="11">
        <v>5.0</v>
      </c>
      <c r="L947" s="11">
        <v>4.0</v>
      </c>
      <c r="M947" s="51">
        <v>437.0</v>
      </c>
      <c r="N947" s="17">
        <v>33.0</v>
      </c>
      <c r="O947" s="24" t="s">
        <v>606</v>
      </c>
      <c r="P947" s="52">
        <v>20823.0</v>
      </c>
      <c r="Q947" s="51">
        <v>797.0</v>
      </c>
      <c r="R947" s="53">
        <v>-989.97</v>
      </c>
      <c r="S947" s="24" t="s">
        <v>605</v>
      </c>
      <c r="T947" s="11">
        <v>6.0</v>
      </c>
      <c r="U947" s="52">
        <v>112920.0</v>
      </c>
      <c r="V947" s="11">
        <v>2.0</v>
      </c>
      <c r="W947" s="11">
        <v>2.0</v>
      </c>
      <c r="X947" s="48">
        <v>9.1386</v>
      </c>
      <c r="Y947" s="11">
        <f t="shared" si="2"/>
        <v>0.091386</v>
      </c>
    </row>
    <row r="948">
      <c r="A948" s="17">
        <v>98.0</v>
      </c>
      <c r="B948" s="24">
        <v>38.0</v>
      </c>
      <c r="C948" s="24">
        <v>8.0</v>
      </c>
      <c r="D948" s="24">
        <v>9.0</v>
      </c>
      <c r="E948" s="24">
        <v>61.0</v>
      </c>
      <c r="F948" s="48">
        <v>4.691</v>
      </c>
      <c r="G948" s="49">
        <f t="shared" si="1"/>
        <v>0.04691</v>
      </c>
      <c r="H948" s="11">
        <v>5.0</v>
      </c>
      <c r="I948" s="11">
        <v>1.0</v>
      </c>
      <c r="J948" s="50">
        <v>92913.0</v>
      </c>
      <c r="K948" s="11">
        <v>3.0</v>
      </c>
      <c r="L948" s="11">
        <v>8.0</v>
      </c>
      <c r="M948" s="51">
        <v>474.0</v>
      </c>
      <c r="N948" s="17">
        <v>96.0</v>
      </c>
      <c r="O948" s="24" t="s">
        <v>601</v>
      </c>
      <c r="P948" s="52">
        <v>122918.0</v>
      </c>
      <c r="Q948" s="51">
        <v>825.0</v>
      </c>
      <c r="R948" s="53">
        <v>1324.58</v>
      </c>
      <c r="S948" s="24" t="s">
        <v>600</v>
      </c>
      <c r="T948" s="11">
        <v>8.0</v>
      </c>
      <c r="U948" s="52">
        <v>90218.0</v>
      </c>
      <c r="V948" s="11">
        <v>9.0</v>
      </c>
      <c r="W948" s="11">
        <v>2.0</v>
      </c>
      <c r="X948" s="48">
        <v>1.911</v>
      </c>
      <c r="Y948" s="11">
        <f t="shared" si="2"/>
        <v>0.01911</v>
      </c>
    </row>
    <row r="949">
      <c r="A949" s="17">
        <v>69.0</v>
      </c>
      <c r="B949" s="24">
        <v>59.0</v>
      </c>
      <c r="C949" s="24">
        <v>3.0</v>
      </c>
      <c r="D949" s="24">
        <v>8.0</v>
      </c>
      <c r="E949" s="24">
        <v>62.0</v>
      </c>
      <c r="F949" s="48">
        <v>8.5848</v>
      </c>
      <c r="G949" s="49">
        <f t="shared" si="1"/>
        <v>0.085848</v>
      </c>
      <c r="H949" s="11">
        <v>4.0</v>
      </c>
      <c r="I949" s="11">
        <v>0.0</v>
      </c>
      <c r="J949" s="50">
        <v>71122.0</v>
      </c>
      <c r="K949" s="11">
        <v>6.0</v>
      </c>
      <c r="L949" s="11">
        <v>0.0</v>
      </c>
      <c r="M949" s="51">
        <v>704.0</v>
      </c>
      <c r="N949" s="17">
        <v>49.0</v>
      </c>
      <c r="O949" s="24" t="s">
        <v>48</v>
      </c>
      <c r="P949" s="52">
        <v>20317.0</v>
      </c>
      <c r="Q949" s="51">
        <v>175.0</v>
      </c>
      <c r="R949" s="53">
        <v>-548.57</v>
      </c>
      <c r="S949" s="24" t="s">
        <v>600</v>
      </c>
      <c r="T949" s="11">
        <v>4.0</v>
      </c>
      <c r="U949" s="52">
        <v>102215.0</v>
      </c>
      <c r="V949" s="11">
        <v>6.0</v>
      </c>
      <c r="W949" s="11">
        <v>8.0</v>
      </c>
      <c r="X949" s="48">
        <v>7.6831</v>
      </c>
      <c r="Y949" s="11">
        <f t="shared" si="2"/>
        <v>0.076831</v>
      </c>
    </row>
    <row r="950">
      <c r="A950" s="17">
        <v>78.0</v>
      </c>
      <c r="B950" s="24">
        <v>59.0</v>
      </c>
      <c r="C950" s="24">
        <v>3.0</v>
      </c>
      <c r="D950" s="24">
        <v>9.0</v>
      </c>
      <c r="E950" s="24">
        <v>66.0</v>
      </c>
      <c r="F950" s="48">
        <v>3.4901</v>
      </c>
      <c r="G950" s="49">
        <f t="shared" si="1"/>
        <v>0.034901</v>
      </c>
      <c r="H950" s="11">
        <v>9.0</v>
      </c>
      <c r="I950" s="11">
        <v>2.0</v>
      </c>
      <c r="J950" s="50">
        <v>61114.0</v>
      </c>
      <c r="K950" s="11">
        <v>2.0</v>
      </c>
      <c r="L950" s="11">
        <v>5.0</v>
      </c>
      <c r="M950" s="51">
        <v>153.0</v>
      </c>
      <c r="N950" s="17">
        <v>9.0</v>
      </c>
      <c r="O950" s="24" t="s">
        <v>601</v>
      </c>
      <c r="P950" s="52">
        <v>70215.0</v>
      </c>
      <c r="Q950" s="51">
        <v>984.0</v>
      </c>
      <c r="R950" s="53">
        <v>943752.53</v>
      </c>
      <c r="S950" s="24" t="s">
        <v>602</v>
      </c>
      <c r="T950" s="11">
        <v>0.0</v>
      </c>
      <c r="U950" s="52">
        <v>13018.0</v>
      </c>
      <c r="V950" s="11">
        <v>4.0</v>
      </c>
      <c r="W950" s="11">
        <v>3.0</v>
      </c>
      <c r="X950" s="48">
        <v>3.225</v>
      </c>
      <c r="Y950" s="11">
        <f t="shared" si="2"/>
        <v>0.03225</v>
      </c>
    </row>
    <row r="951">
      <c r="A951" s="17">
        <v>63.0</v>
      </c>
      <c r="B951" s="24">
        <v>59.0</v>
      </c>
      <c r="C951" s="24">
        <v>3.0</v>
      </c>
      <c r="D951" s="24">
        <v>7.0</v>
      </c>
      <c r="E951" s="24">
        <v>62.0</v>
      </c>
      <c r="F951" s="48">
        <v>8.5183</v>
      </c>
      <c r="G951" s="49">
        <f t="shared" si="1"/>
        <v>0.085183</v>
      </c>
      <c r="H951" s="11">
        <v>8.0</v>
      </c>
      <c r="I951" s="11">
        <v>9.0</v>
      </c>
      <c r="J951" s="50">
        <v>60414.0</v>
      </c>
      <c r="K951" s="11">
        <v>6.0</v>
      </c>
      <c r="L951" s="11">
        <v>9.0</v>
      </c>
      <c r="M951" s="51">
        <v>100.0</v>
      </c>
      <c r="N951" s="17">
        <v>40.0</v>
      </c>
      <c r="O951" s="24" t="s">
        <v>606</v>
      </c>
      <c r="P951" s="52">
        <v>21116.0</v>
      </c>
      <c r="Q951" s="51">
        <v>524.0</v>
      </c>
      <c r="R951" s="53">
        <v>386297.46</v>
      </c>
      <c r="S951" s="24" t="s">
        <v>602</v>
      </c>
      <c r="T951" s="11">
        <v>9.0</v>
      </c>
      <c r="U951" s="52">
        <v>53115.0</v>
      </c>
      <c r="V951" s="11">
        <v>7.0</v>
      </c>
      <c r="W951" s="11">
        <v>3.0</v>
      </c>
      <c r="X951" s="48">
        <v>3.1158</v>
      </c>
      <c r="Y951" s="11">
        <f t="shared" si="2"/>
        <v>0.031158</v>
      </c>
    </row>
    <row r="952">
      <c r="A952" s="17">
        <v>96.0</v>
      </c>
      <c r="B952" s="24">
        <v>79.0</v>
      </c>
      <c r="C952" s="24">
        <v>9.0</v>
      </c>
      <c r="D952" s="24">
        <v>1.0</v>
      </c>
      <c r="E952" s="24">
        <v>63.0</v>
      </c>
      <c r="F952" s="48">
        <v>2.1105</v>
      </c>
      <c r="G952" s="49">
        <f t="shared" si="1"/>
        <v>0.021105</v>
      </c>
      <c r="H952" s="11">
        <v>4.0</v>
      </c>
      <c r="I952" s="11">
        <v>8.0</v>
      </c>
      <c r="J952" s="50">
        <v>71116.0</v>
      </c>
      <c r="K952" s="11">
        <v>5.0</v>
      </c>
      <c r="L952" s="11">
        <v>6.0</v>
      </c>
      <c r="M952" s="51">
        <v>262.0</v>
      </c>
      <c r="N952" s="17">
        <v>38.0</v>
      </c>
      <c r="O952" s="24" t="s">
        <v>48</v>
      </c>
      <c r="P952" s="52">
        <v>90618.0</v>
      </c>
      <c r="Q952" s="51">
        <v>586.0</v>
      </c>
      <c r="R952" s="53">
        <v>-505.2</v>
      </c>
      <c r="S952" s="24" t="s">
        <v>602</v>
      </c>
      <c r="T952" s="11">
        <v>6.0</v>
      </c>
      <c r="U952" s="52">
        <v>21822.0</v>
      </c>
      <c r="V952" s="11">
        <v>6.0</v>
      </c>
      <c r="W952" s="11">
        <v>8.0</v>
      </c>
      <c r="X952" s="48">
        <v>6.959</v>
      </c>
      <c r="Y952" s="11">
        <f t="shared" si="2"/>
        <v>0.06959</v>
      </c>
    </row>
    <row r="953">
      <c r="A953" s="17">
        <v>37.0</v>
      </c>
      <c r="B953" s="24">
        <v>38.0</v>
      </c>
      <c r="C953" s="24">
        <v>9.0</v>
      </c>
      <c r="D953" s="24">
        <v>6.0</v>
      </c>
      <c r="E953" s="24">
        <v>64.0</v>
      </c>
      <c r="F953" s="48">
        <v>5.1711</v>
      </c>
      <c r="G953" s="49">
        <f t="shared" si="1"/>
        <v>0.051711</v>
      </c>
      <c r="H953" s="11">
        <v>1.0</v>
      </c>
      <c r="I953" s="11">
        <v>8.0</v>
      </c>
      <c r="J953" s="50">
        <v>33014.0</v>
      </c>
      <c r="K953" s="11">
        <v>6.0</v>
      </c>
      <c r="L953" s="11">
        <v>2.0</v>
      </c>
      <c r="M953" s="51">
        <v>535.0</v>
      </c>
      <c r="N953" s="17">
        <v>11.0</v>
      </c>
      <c r="O953" s="24" t="s">
        <v>601</v>
      </c>
      <c r="P953" s="52">
        <v>112523.0</v>
      </c>
      <c r="Q953" s="51">
        <v>31.0</v>
      </c>
      <c r="R953" s="53">
        <v>3888.84</v>
      </c>
      <c r="S953" s="24" t="s">
        <v>602</v>
      </c>
      <c r="T953" s="11">
        <v>0.0</v>
      </c>
      <c r="U953" s="52">
        <v>10113.0</v>
      </c>
      <c r="V953" s="11">
        <v>7.0</v>
      </c>
      <c r="W953" s="11">
        <v>2.0</v>
      </c>
      <c r="X953" s="48">
        <v>8.8571</v>
      </c>
      <c r="Y953" s="11">
        <f t="shared" si="2"/>
        <v>0.088571</v>
      </c>
    </row>
    <row r="954">
      <c r="A954" s="17">
        <v>4.0</v>
      </c>
      <c r="B954" s="24">
        <v>18.0</v>
      </c>
      <c r="C954" s="24">
        <v>5.0</v>
      </c>
      <c r="D954" s="24">
        <v>2.0</v>
      </c>
      <c r="E954" s="24">
        <v>68.0</v>
      </c>
      <c r="F954" s="48">
        <v>9.19</v>
      </c>
      <c r="G954" s="49">
        <f t="shared" si="1"/>
        <v>0.0919</v>
      </c>
      <c r="H954" s="11">
        <v>0.0</v>
      </c>
      <c r="I954" s="11">
        <v>1.0</v>
      </c>
      <c r="J954" s="50">
        <v>41013.0</v>
      </c>
      <c r="K954" s="11">
        <v>2.0</v>
      </c>
      <c r="L954" s="11">
        <v>1.0</v>
      </c>
      <c r="M954" s="51">
        <v>226.0</v>
      </c>
      <c r="N954" s="17">
        <v>78.0</v>
      </c>
      <c r="O954" s="24" t="s">
        <v>601</v>
      </c>
      <c r="P954" s="52">
        <v>91418.0</v>
      </c>
      <c r="Q954" s="51">
        <v>838.0</v>
      </c>
      <c r="R954" s="53">
        <v>-13627.52</v>
      </c>
      <c r="S954" s="24" t="s">
        <v>605</v>
      </c>
      <c r="T954" s="11">
        <v>8.0</v>
      </c>
      <c r="U954" s="52">
        <v>21222.0</v>
      </c>
      <c r="V954" s="11">
        <v>2.0</v>
      </c>
      <c r="W954" s="11">
        <v>0.0</v>
      </c>
      <c r="X954" s="48">
        <v>1.8111</v>
      </c>
      <c r="Y954" s="11">
        <f t="shared" si="2"/>
        <v>0.018111</v>
      </c>
    </row>
    <row r="955">
      <c r="A955" s="17">
        <v>9.0</v>
      </c>
      <c r="B955" s="24">
        <v>79.0</v>
      </c>
      <c r="C955" s="24">
        <v>9.0</v>
      </c>
      <c r="D955" s="24">
        <v>9.0</v>
      </c>
      <c r="E955" s="24">
        <v>64.0</v>
      </c>
      <c r="F955" s="48">
        <v>4.4848</v>
      </c>
      <c r="G955" s="49">
        <f t="shared" si="1"/>
        <v>0.044848</v>
      </c>
      <c r="H955" s="11">
        <v>6.0</v>
      </c>
      <c r="I955" s="11">
        <v>2.0</v>
      </c>
      <c r="J955" s="50">
        <v>92919.0</v>
      </c>
      <c r="K955" s="11">
        <v>8.0</v>
      </c>
      <c r="L955" s="11">
        <v>9.0</v>
      </c>
      <c r="M955" s="51">
        <v>367.0</v>
      </c>
      <c r="N955" s="17">
        <v>86.0</v>
      </c>
      <c r="O955" s="24" t="s">
        <v>31</v>
      </c>
      <c r="P955" s="52">
        <v>21323.0</v>
      </c>
      <c r="Q955" s="51">
        <v>456.0</v>
      </c>
      <c r="R955" s="53">
        <v>557495.15</v>
      </c>
      <c r="S955" s="24" t="s">
        <v>605</v>
      </c>
      <c r="T955" s="11">
        <v>7.0</v>
      </c>
      <c r="U955" s="52">
        <v>40822.0</v>
      </c>
      <c r="V955" s="11">
        <v>9.0</v>
      </c>
      <c r="W955" s="11">
        <v>8.0</v>
      </c>
      <c r="X955" s="48">
        <v>8.2662</v>
      </c>
      <c r="Y955" s="11">
        <f t="shared" si="2"/>
        <v>0.082662</v>
      </c>
    </row>
    <row r="956">
      <c r="A956" s="17">
        <v>5.0</v>
      </c>
      <c r="B956" s="24">
        <v>59.0</v>
      </c>
      <c r="C956" s="24">
        <v>5.0</v>
      </c>
      <c r="D956" s="24">
        <v>4.0</v>
      </c>
      <c r="E956" s="24">
        <v>68.0</v>
      </c>
      <c r="F956" s="48">
        <v>6.3724</v>
      </c>
      <c r="G956" s="49">
        <f t="shared" si="1"/>
        <v>0.063724</v>
      </c>
      <c r="H956" s="11">
        <v>0.0</v>
      </c>
      <c r="I956" s="11">
        <v>3.0</v>
      </c>
      <c r="J956" s="50">
        <v>121519.0</v>
      </c>
      <c r="K956" s="11">
        <v>9.0</v>
      </c>
      <c r="L956" s="11">
        <v>0.0</v>
      </c>
      <c r="M956" s="51">
        <v>234.0</v>
      </c>
      <c r="N956" s="17">
        <v>88.0</v>
      </c>
      <c r="O956" s="24" t="s">
        <v>601</v>
      </c>
      <c r="P956" s="52">
        <v>10123.0</v>
      </c>
      <c r="Q956" s="51">
        <v>303.0</v>
      </c>
      <c r="R956" s="53">
        <v>-18817.97</v>
      </c>
      <c r="S956" s="24" t="s">
        <v>605</v>
      </c>
      <c r="T956" s="11">
        <v>9.0</v>
      </c>
      <c r="U956" s="52">
        <v>81219.0</v>
      </c>
      <c r="V956" s="11">
        <v>4.0</v>
      </c>
      <c r="W956" s="11">
        <v>0.0</v>
      </c>
      <c r="X956" s="48">
        <v>4.1993</v>
      </c>
      <c r="Y956" s="11">
        <f t="shared" si="2"/>
        <v>0.041993</v>
      </c>
    </row>
    <row r="957">
      <c r="A957" s="17">
        <v>72.0</v>
      </c>
      <c r="B957" s="24">
        <v>18.0</v>
      </c>
      <c r="C957" s="24">
        <v>6.0</v>
      </c>
      <c r="D957" s="24">
        <v>1.0</v>
      </c>
      <c r="E957" s="24">
        <v>66.0</v>
      </c>
      <c r="F957" s="48">
        <v>9.7409</v>
      </c>
      <c r="G957" s="49">
        <f t="shared" si="1"/>
        <v>0.097409</v>
      </c>
      <c r="H957" s="11">
        <v>7.0</v>
      </c>
      <c r="I957" s="11">
        <v>4.0</v>
      </c>
      <c r="J957" s="50">
        <v>51818.0</v>
      </c>
      <c r="K957" s="11">
        <v>2.0</v>
      </c>
      <c r="L957" s="11">
        <v>9.0</v>
      </c>
      <c r="M957" s="51">
        <v>6.0</v>
      </c>
      <c r="N957" s="17">
        <v>90.0</v>
      </c>
      <c r="O957" s="24" t="s">
        <v>603</v>
      </c>
      <c r="P957" s="52">
        <v>52023.0</v>
      </c>
      <c r="Q957" s="51">
        <v>227.0</v>
      </c>
      <c r="R957" s="53">
        <v>478.67</v>
      </c>
      <c r="S957" s="24" t="s">
        <v>602</v>
      </c>
      <c r="T957" s="11">
        <v>7.0</v>
      </c>
      <c r="U957" s="52">
        <v>52416.0</v>
      </c>
      <c r="V957" s="11">
        <v>7.0</v>
      </c>
      <c r="W957" s="11">
        <v>7.0</v>
      </c>
      <c r="X957" s="48">
        <v>4.802</v>
      </c>
      <c r="Y957" s="11">
        <f t="shared" si="2"/>
        <v>0.04802</v>
      </c>
    </row>
    <row r="958">
      <c r="A958" s="17">
        <v>15.0</v>
      </c>
      <c r="B958" s="24">
        <v>18.0</v>
      </c>
      <c r="C958" s="24">
        <v>6.0</v>
      </c>
      <c r="D958" s="24">
        <v>3.0</v>
      </c>
      <c r="E958" s="24">
        <v>64.0</v>
      </c>
      <c r="F958" s="48">
        <v>7.1734</v>
      </c>
      <c r="G958" s="49">
        <f t="shared" si="1"/>
        <v>0.071734</v>
      </c>
      <c r="H958" s="11">
        <v>9.0</v>
      </c>
      <c r="I958" s="11">
        <v>0.0</v>
      </c>
      <c r="J958" s="50">
        <v>52019.0</v>
      </c>
      <c r="K958" s="11">
        <v>8.0</v>
      </c>
      <c r="L958" s="11">
        <v>0.0</v>
      </c>
      <c r="M958" s="51">
        <v>795.0</v>
      </c>
      <c r="N958" s="17">
        <v>86.0</v>
      </c>
      <c r="O958" s="24" t="s">
        <v>606</v>
      </c>
      <c r="P958" s="52">
        <v>81320.0</v>
      </c>
      <c r="Q958" s="51">
        <v>126.0</v>
      </c>
      <c r="R958" s="53">
        <v>-13176.85</v>
      </c>
      <c r="S958" s="24" t="s">
        <v>602</v>
      </c>
      <c r="T958" s="11">
        <v>8.0</v>
      </c>
      <c r="U958" s="52">
        <v>12018.0</v>
      </c>
      <c r="V958" s="11">
        <v>1.0</v>
      </c>
      <c r="W958" s="11">
        <v>5.0</v>
      </c>
      <c r="X958" s="48">
        <v>6.2601</v>
      </c>
      <c r="Y958" s="11">
        <f t="shared" si="2"/>
        <v>0.062601</v>
      </c>
    </row>
    <row r="959">
      <c r="A959" s="17">
        <v>96.0</v>
      </c>
      <c r="B959" s="24">
        <v>39.0</v>
      </c>
      <c r="C959" s="24">
        <v>1.0</v>
      </c>
      <c r="D959" s="24">
        <v>1.0</v>
      </c>
      <c r="E959" s="24">
        <v>60.0</v>
      </c>
      <c r="F959" s="48">
        <v>3.7526</v>
      </c>
      <c r="G959" s="49">
        <f t="shared" si="1"/>
        <v>0.037526</v>
      </c>
      <c r="H959" s="11">
        <v>9.0</v>
      </c>
      <c r="I959" s="11">
        <v>6.0</v>
      </c>
      <c r="J959" s="50">
        <v>22819.0</v>
      </c>
      <c r="K959" s="11">
        <v>6.0</v>
      </c>
      <c r="L959" s="11">
        <v>7.0</v>
      </c>
      <c r="M959" s="51">
        <v>33.0</v>
      </c>
      <c r="N959" s="17">
        <v>63.0</v>
      </c>
      <c r="O959" s="24" t="s">
        <v>31</v>
      </c>
      <c r="P959" s="52">
        <v>92122.0</v>
      </c>
      <c r="Q959" s="51">
        <v>913.0</v>
      </c>
      <c r="R959" s="53">
        <v>-864473.62</v>
      </c>
      <c r="S959" s="24" t="s">
        <v>604</v>
      </c>
      <c r="T959" s="11">
        <v>5.0</v>
      </c>
      <c r="U959" s="52">
        <v>51614.0</v>
      </c>
      <c r="V959" s="11">
        <v>5.0</v>
      </c>
      <c r="W959" s="11">
        <v>0.0</v>
      </c>
      <c r="X959" s="48">
        <v>2.3825</v>
      </c>
      <c r="Y959" s="11">
        <f t="shared" si="2"/>
        <v>0.023825</v>
      </c>
    </row>
    <row r="960">
      <c r="A960" s="17">
        <v>2.0</v>
      </c>
      <c r="B960" s="24">
        <v>18.0</v>
      </c>
      <c r="C960" s="24">
        <v>6.0</v>
      </c>
      <c r="D960" s="24">
        <v>8.0</v>
      </c>
      <c r="E960" s="24">
        <v>66.0</v>
      </c>
      <c r="F960" s="48">
        <v>8.7352</v>
      </c>
      <c r="G960" s="49">
        <f t="shared" si="1"/>
        <v>0.087352</v>
      </c>
      <c r="H960" s="11">
        <v>0.0</v>
      </c>
      <c r="I960" s="11">
        <v>1.0</v>
      </c>
      <c r="J960" s="50">
        <v>72222.0</v>
      </c>
      <c r="K960" s="11">
        <v>9.0</v>
      </c>
      <c r="L960" s="11">
        <v>5.0</v>
      </c>
      <c r="M960" s="51">
        <v>187.0</v>
      </c>
      <c r="N960" s="17">
        <v>98.0</v>
      </c>
      <c r="O960" s="24" t="s">
        <v>606</v>
      </c>
      <c r="P960" s="52">
        <v>21216.0</v>
      </c>
      <c r="Q960" s="51">
        <v>574.0</v>
      </c>
      <c r="R960" s="53">
        <v>-46492.5</v>
      </c>
      <c r="S960" s="24" t="s">
        <v>605</v>
      </c>
      <c r="T960" s="11">
        <v>8.0</v>
      </c>
      <c r="U960" s="52">
        <v>90515.0</v>
      </c>
      <c r="V960" s="11">
        <v>5.0</v>
      </c>
      <c r="W960" s="11">
        <v>1.0</v>
      </c>
      <c r="X960" s="48">
        <v>8.3486</v>
      </c>
      <c r="Y960" s="11">
        <f t="shared" si="2"/>
        <v>0.083486</v>
      </c>
    </row>
    <row r="961">
      <c r="A961" s="17">
        <v>12.0</v>
      </c>
      <c r="B961" s="24">
        <v>59.0</v>
      </c>
      <c r="C961" s="24">
        <v>7.0</v>
      </c>
      <c r="D961" s="24">
        <v>1.0</v>
      </c>
      <c r="E961" s="24">
        <v>63.0</v>
      </c>
      <c r="F961" s="48">
        <v>5.5422</v>
      </c>
      <c r="G961" s="49">
        <f t="shared" si="1"/>
        <v>0.055422</v>
      </c>
      <c r="H961" s="11">
        <v>6.0</v>
      </c>
      <c r="I961" s="11">
        <v>0.0</v>
      </c>
      <c r="J961" s="50">
        <v>80618.0</v>
      </c>
      <c r="K961" s="11">
        <v>1.0</v>
      </c>
      <c r="L961" s="11">
        <v>9.0</v>
      </c>
      <c r="M961" s="51">
        <v>176.0</v>
      </c>
      <c r="N961" s="17">
        <v>52.0</v>
      </c>
      <c r="O961" s="24" t="s">
        <v>600</v>
      </c>
      <c r="P961" s="52">
        <v>51123.0</v>
      </c>
      <c r="Q961" s="51">
        <v>35.0</v>
      </c>
      <c r="R961" s="53">
        <v>772803.82</v>
      </c>
      <c r="S961" s="24" t="s">
        <v>605</v>
      </c>
      <c r="T961" s="11">
        <v>0.0</v>
      </c>
      <c r="U961" s="52">
        <v>41413.0</v>
      </c>
      <c r="V961" s="11">
        <v>7.0</v>
      </c>
      <c r="W961" s="11">
        <v>1.0</v>
      </c>
      <c r="X961" s="48">
        <v>3.1265</v>
      </c>
      <c r="Y961" s="11">
        <f t="shared" si="2"/>
        <v>0.031265</v>
      </c>
    </row>
    <row r="962">
      <c r="A962" s="17">
        <v>89.0</v>
      </c>
      <c r="B962" s="24">
        <v>18.0</v>
      </c>
      <c r="C962" s="24">
        <v>7.0</v>
      </c>
      <c r="D962" s="24">
        <v>6.0</v>
      </c>
      <c r="E962" s="24">
        <v>65.0</v>
      </c>
      <c r="F962" s="48">
        <v>1.2742</v>
      </c>
      <c r="G962" s="49">
        <f t="shared" si="1"/>
        <v>0.012742</v>
      </c>
      <c r="H962" s="11">
        <v>8.0</v>
      </c>
      <c r="I962" s="11">
        <v>8.0</v>
      </c>
      <c r="J962" s="50">
        <v>70313.0</v>
      </c>
      <c r="K962" s="11">
        <v>0.0</v>
      </c>
      <c r="L962" s="11">
        <v>6.0</v>
      </c>
      <c r="M962" s="51">
        <v>103.0</v>
      </c>
      <c r="N962" s="17">
        <v>76.0</v>
      </c>
      <c r="O962" s="24" t="s">
        <v>603</v>
      </c>
      <c r="P962" s="52">
        <v>80413.0</v>
      </c>
      <c r="Q962" s="51">
        <v>883.0</v>
      </c>
      <c r="R962" s="53">
        <v>-30388.39</v>
      </c>
      <c r="S962" s="24" t="s">
        <v>602</v>
      </c>
      <c r="T962" s="11">
        <v>1.0</v>
      </c>
      <c r="U962" s="52">
        <v>22315.0</v>
      </c>
      <c r="V962" s="11">
        <v>7.0</v>
      </c>
      <c r="W962" s="11">
        <v>9.0</v>
      </c>
      <c r="X962" s="48">
        <v>5.5024</v>
      </c>
      <c r="Y962" s="11">
        <f t="shared" si="2"/>
        <v>0.055024</v>
      </c>
    </row>
    <row r="963">
      <c r="A963" s="17">
        <v>96.0</v>
      </c>
      <c r="B963" s="24">
        <v>18.0</v>
      </c>
      <c r="C963" s="24">
        <v>7.0</v>
      </c>
      <c r="D963" s="24">
        <v>9.0</v>
      </c>
      <c r="E963" s="24">
        <v>65.0</v>
      </c>
      <c r="F963" s="48">
        <v>1.3433</v>
      </c>
      <c r="G963" s="49">
        <f t="shared" si="1"/>
        <v>0.013433</v>
      </c>
      <c r="H963" s="11">
        <v>3.0</v>
      </c>
      <c r="I963" s="11">
        <v>3.0</v>
      </c>
      <c r="J963" s="50">
        <v>81617.0</v>
      </c>
      <c r="K963" s="11">
        <v>5.0</v>
      </c>
      <c r="L963" s="11">
        <v>3.0</v>
      </c>
      <c r="M963" s="51">
        <v>459.0</v>
      </c>
      <c r="N963" s="17">
        <v>18.0</v>
      </c>
      <c r="O963" s="24" t="s">
        <v>48</v>
      </c>
      <c r="P963" s="52">
        <v>60922.0</v>
      </c>
      <c r="Q963" s="51">
        <v>204.0</v>
      </c>
      <c r="R963" s="53">
        <v>-172334.63</v>
      </c>
      <c r="S963" s="24" t="s">
        <v>605</v>
      </c>
      <c r="T963" s="11">
        <v>8.0</v>
      </c>
      <c r="U963" s="52">
        <v>62516.0</v>
      </c>
      <c r="V963" s="11">
        <v>5.0</v>
      </c>
      <c r="W963" s="11">
        <v>9.0</v>
      </c>
      <c r="X963" s="48">
        <v>3.2406</v>
      </c>
      <c r="Y963" s="11">
        <f t="shared" si="2"/>
        <v>0.032406</v>
      </c>
    </row>
    <row r="964">
      <c r="A964" s="17">
        <v>97.0</v>
      </c>
      <c r="B964" s="24">
        <v>18.0</v>
      </c>
      <c r="C964" s="24">
        <v>8.0</v>
      </c>
      <c r="D964" s="24">
        <v>4.0</v>
      </c>
      <c r="E964" s="24">
        <v>67.0</v>
      </c>
      <c r="F964" s="48">
        <v>6.311</v>
      </c>
      <c r="G964" s="49">
        <f t="shared" si="1"/>
        <v>0.06311</v>
      </c>
      <c r="H964" s="11">
        <v>9.0</v>
      </c>
      <c r="I964" s="11">
        <v>6.0</v>
      </c>
      <c r="J964" s="50">
        <v>102021.0</v>
      </c>
      <c r="K964" s="11">
        <v>8.0</v>
      </c>
      <c r="L964" s="11">
        <v>6.0</v>
      </c>
      <c r="M964" s="51">
        <v>635.0</v>
      </c>
      <c r="N964" s="17">
        <v>62.0</v>
      </c>
      <c r="O964" s="24" t="s">
        <v>600</v>
      </c>
      <c r="P964" s="52">
        <v>91022.0</v>
      </c>
      <c r="Q964" s="51">
        <v>688.0</v>
      </c>
      <c r="R964" s="53">
        <v>-8416.64</v>
      </c>
      <c r="S964" s="24" t="s">
        <v>600</v>
      </c>
      <c r="T964" s="11">
        <v>6.0</v>
      </c>
      <c r="U964" s="52">
        <v>60313.0</v>
      </c>
      <c r="V964" s="11">
        <v>1.0</v>
      </c>
      <c r="W964" s="11">
        <v>3.0</v>
      </c>
      <c r="X964" s="48">
        <v>7.4555</v>
      </c>
      <c r="Y964" s="11">
        <f t="shared" si="2"/>
        <v>0.074555</v>
      </c>
    </row>
    <row r="965">
      <c r="A965" s="17">
        <v>51.0</v>
      </c>
      <c r="B965" s="24">
        <v>39.0</v>
      </c>
      <c r="C965" s="24">
        <v>3.0</v>
      </c>
      <c r="D965" s="24">
        <v>5.0</v>
      </c>
      <c r="E965" s="24">
        <v>62.0</v>
      </c>
      <c r="F965" s="48">
        <v>6.5709</v>
      </c>
      <c r="G965" s="49">
        <f t="shared" si="1"/>
        <v>0.065709</v>
      </c>
      <c r="H965" s="11">
        <v>9.0</v>
      </c>
      <c r="I965" s="11">
        <v>9.0</v>
      </c>
      <c r="J965" s="50">
        <v>31818.0</v>
      </c>
      <c r="K965" s="11">
        <v>2.0</v>
      </c>
      <c r="L965" s="11">
        <v>7.0</v>
      </c>
      <c r="M965" s="51">
        <v>517.0</v>
      </c>
      <c r="N965" s="17">
        <v>15.0</v>
      </c>
      <c r="O965" s="24" t="s">
        <v>39</v>
      </c>
      <c r="P965" s="52">
        <v>60414.0</v>
      </c>
      <c r="Q965" s="51">
        <v>495.0</v>
      </c>
      <c r="R965" s="53">
        <v>884701.38</v>
      </c>
      <c r="S965" s="24" t="s">
        <v>600</v>
      </c>
      <c r="T965" s="11">
        <v>4.0</v>
      </c>
      <c r="U965" s="52">
        <v>51714.0</v>
      </c>
      <c r="V965" s="11">
        <v>2.0</v>
      </c>
      <c r="W965" s="11">
        <v>3.0</v>
      </c>
      <c r="X965" s="48">
        <v>6.2096</v>
      </c>
      <c r="Y965" s="11">
        <f t="shared" si="2"/>
        <v>0.062096</v>
      </c>
    </row>
    <row r="966">
      <c r="A966" s="17">
        <v>88.0</v>
      </c>
      <c r="B966" s="24">
        <v>18.0</v>
      </c>
      <c r="C966" s="24">
        <v>8.0</v>
      </c>
      <c r="D966" s="24">
        <v>8.0</v>
      </c>
      <c r="E966" s="24">
        <v>68.0</v>
      </c>
      <c r="F966" s="48">
        <v>3.1281</v>
      </c>
      <c r="G966" s="49">
        <f t="shared" si="1"/>
        <v>0.031281</v>
      </c>
      <c r="H966" s="11">
        <v>0.0</v>
      </c>
      <c r="I966" s="11">
        <v>8.0</v>
      </c>
      <c r="J966" s="50">
        <v>72114.0</v>
      </c>
      <c r="K966" s="11">
        <v>4.0</v>
      </c>
      <c r="L966" s="11">
        <v>4.0</v>
      </c>
      <c r="M966" s="51">
        <v>713.0</v>
      </c>
      <c r="N966" s="17">
        <v>46.0</v>
      </c>
      <c r="O966" s="24" t="s">
        <v>606</v>
      </c>
      <c r="P966" s="52">
        <v>31919.0</v>
      </c>
      <c r="Q966" s="51">
        <v>11.0</v>
      </c>
      <c r="R966" s="53">
        <v>-20216.62</v>
      </c>
      <c r="S966" s="24" t="s">
        <v>605</v>
      </c>
      <c r="T966" s="11">
        <v>5.0</v>
      </c>
      <c r="U966" s="52">
        <v>22713.0</v>
      </c>
      <c r="V966" s="11">
        <v>0.0</v>
      </c>
      <c r="W966" s="11">
        <v>6.0</v>
      </c>
      <c r="X966" s="48">
        <v>5.5853</v>
      </c>
      <c r="Y966" s="11">
        <f t="shared" si="2"/>
        <v>0.055853</v>
      </c>
    </row>
    <row r="967">
      <c r="A967" s="17">
        <v>55.0</v>
      </c>
      <c r="B967" s="24">
        <v>39.0</v>
      </c>
      <c r="C967" s="24">
        <v>3.0</v>
      </c>
      <c r="D967" s="24">
        <v>6.0</v>
      </c>
      <c r="E967" s="24">
        <v>61.0</v>
      </c>
      <c r="F967" s="48">
        <v>1.58</v>
      </c>
      <c r="G967" s="49">
        <f t="shared" si="1"/>
        <v>0.0158</v>
      </c>
      <c r="H967" s="11">
        <v>8.0</v>
      </c>
      <c r="I967" s="11">
        <v>5.0</v>
      </c>
      <c r="J967" s="50">
        <v>111417.0</v>
      </c>
      <c r="K967" s="11">
        <v>9.0</v>
      </c>
      <c r="L967" s="11">
        <v>9.0</v>
      </c>
      <c r="M967" s="51">
        <v>789.0</v>
      </c>
      <c r="N967" s="17">
        <v>85.0</v>
      </c>
      <c r="O967" s="24" t="s">
        <v>48</v>
      </c>
      <c r="P967" s="52">
        <v>11516.0</v>
      </c>
      <c r="Q967" s="51">
        <v>977.0</v>
      </c>
      <c r="R967" s="53">
        <v>-338967.3</v>
      </c>
      <c r="S967" s="24" t="s">
        <v>602</v>
      </c>
      <c r="T967" s="11">
        <v>4.0</v>
      </c>
      <c r="U967" s="52">
        <v>102515.0</v>
      </c>
      <c r="V967" s="11">
        <v>4.0</v>
      </c>
      <c r="W967" s="11">
        <v>1.0</v>
      </c>
      <c r="X967" s="48">
        <v>2.6583</v>
      </c>
      <c r="Y967" s="11">
        <f t="shared" si="2"/>
        <v>0.026583</v>
      </c>
    </row>
    <row r="968">
      <c r="A968" s="17">
        <v>89.0</v>
      </c>
      <c r="B968" s="24">
        <v>59.0</v>
      </c>
      <c r="C968" s="24">
        <v>8.0</v>
      </c>
      <c r="D968" s="24">
        <v>9.0</v>
      </c>
      <c r="E968" s="24">
        <v>60.0</v>
      </c>
      <c r="F968" s="48">
        <v>4.6879</v>
      </c>
      <c r="G968" s="49">
        <f t="shared" si="1"/>
        <v>0.046879</v>
      </c>
      <c r="H968" s="11">
        <v>4.0</v>
      </c>
      <c r="I968" s="11">
        <v>1.0</v>
      </c>
      <c r="J968" s="50">
        <v>60519.0</v>
      </c>
      <c r="K968" s="11">
        <v>5.0</v>
      </c>
      <c r="L968" s="11">
        <v>7.0</v>
      </c>
      <c r="M968" s="51">
        <v>714.0</v>
      </c>
      <c r="N968" s="17">
        <v>37.0</v>
      </c>
      <c r="O968" s="24" t="s">
        <v>606</v>
      </c>
      <c r="P968" s="52">
        <v>10817.0</v>
      </c>
      <c r="Q968" s="51">
        <v>551.0</v>
      </c>
      <c r="R968" s="53">
        <v>-423.14</v>
      </c>
      <c r="S968" s="24" t="s">
        <v>604</v>
      </c>
      <c r="T968" s="11">
        <v>3.0</v>
      </c>
      <c r="U968" s="52">
        <v>50722.0</v>
      </c>
      <c r="V968" s="11">
        <v>5.0</v>
      </c>
      <c r="W968" s="11">
        <v>5.0</v>
      </c>
      <c r="X968" s="48">
        <v>5.4</v>
      </c>
      <c r="Y968" s="11">
        <f t="shared" si="2"/>
        <v>0.054</v>
      </c>
    </row>
    <row r="969">
      <c r="A969" s="17">
        <v>28.0</v>
      </c>
      <c r="B969" s="24">
        <v>39.0</v>
      </c>
      <c r="C969" s="24">
        <v>4.0</v>
      </c>
      <c r="D969" s="24">
        <v>5.0</v>
      </c>
      <c r="E969" s="24">
        <v>60.0</v>
      </c>
      <c r="F969" s="48">
        <v>9.8273</v>
      </c>
      <c r="G969" s="49">
        <f t="shared" si="1"/>
        <v>0.098273</v>
      </c>
      <c r="H969" s="11">
        <v>8.0</v>
      </c>
      <c r="I969" s="11">
        <v>8.0</v>
      </c>
      <c r="J969" s="50">
        <v>30123.0</v>
      </c>
      <c r="K969" s="11">
        <v>5.0</v>
      </c>
      <c r="L969" s="11">
        <v>8.0</v>
      </c>
      <c r="M969" s="51">
        <v>125.0</v>
      </c>
      <c r="N969" s="17">
        <v>53.0</v>
      </c>
      <c r="O969" s="24" t="s">
        <v>39</v>
      </c>
      <c r="P969" s="52">
        <v>102619.0</v>
      </c>
      <c r="Q969" s="51">
        <v>957.0</v>
      </c>
      <c r="R969" s="53">
        <v>-503887.91</v>
      </c>
      <c r="S969" s="24" t="s">
        <v>602</v>
      </c>
      <c r="T969" s="11">
        <v>6.0</v>
      </c>
      <c r="U969" s="52">
        <v>110414.0</v>
      </c>
      <c r="V969" s="11">
        <v>8.0</v>
      </c>
      <c r="W969" s="11">
        <v>5.0</v>
      </c>
      <c r="X969" s="48">
        <v>8.4472</v>
      </c>
      <c r="Y969" s="11">
        <f t="shared" si="2"/>
        <v>0.084472</v>
      </c>
    </row>
    <row r="970">
      <c r="A970" s="17">
        <v>93.0</v>
      </c>
      <c r="B970" s="24">
        <v>19.0</v>
      </c>
      <c r="C970" s="24">
        <v>1.0</v>
      </c>
      <c r="D970" s="24">
        <v>2.0</v>
      </c>
      <c r="E970" s="24">
        <v>67.0</v>
      </c>
      <c r="F970" s="48">
        <v>3.1775</v>
      </c>
      <c r="G970" s="49">
        <f t="shared" si="1"/>
        <v>0.031775</v>
      </c>
      <c r="H970" s="11">
        <v>3.0</v>
      </c>
      <c r="I970" s="11">
        <v>9.0</v>
      </c>
      <c r="J970" s="50">
        <v>20917.0</v>
      </c>
      <c r="K970" s="11">
        <v>1.0</v>
      </c>
      <c r="L970" s="11">
        <v>0.0</v>
      </c>
      <c r="M970" s="51">
        <v>73.0</v>
      </c>
      <c r="N970" s="17">
        <v>3.0</v>
      </c>
      <c r="O970" s="24" t="s">
        <v>600</v>
      </c>
      <c r="P970" s="52">
        <v>50317.0</v>
      </c>
      <c r="Q970" s="51">
        <v>809.0</v>
      </c>
      <c r="R970" s="53">
        <v>4484.8</v>
      </c>
      <c r="S970" s="24" t="s">
        <v>600</v>
      </c>
      <c r="T970" s="11">
        <v>7.0</v>
      </c>
      <c r="U970" s="52">
        <v>80721.0</v>
      </c>
      <c r="V970" s="11">
        <v>2.0</v>
      </c>
      <c r="W970" s="11">
        <v>7.0</v>
      </c>
      <c r="X970" s="48">
        <v>3.3</v>
      </c>
      <c r="Y970" s="11">
        <f t="shared" si="2"/>
        <v>0.033</v>
      </c>
    </row>
    <row r="971">
      <c r="A971" s="17">
        <v>37.0</v>
      </c>
      <c r="B971" s="24">
        <v>39.0</v>
      </c>
      <c r="C971" s="24">
        <v>6.0</v>
      </c>
      <c r="D971" s="24">
        <v>3.0</v>
      </c>
      <c r="E971" s="24">
        <v>68.0</v>
      </c>
      <c r="F971" s="48">
        <v>6.41</v>
      </c>
      <c r="G971" s="49">
        <f t="shared" si="1"/>
        <v>0.0641</v>
      </c>
      <c r="H971" s="11">
        <v>2.0</v>
      </c>
      <c r="I971" s="11">
        <v>3.0</v>
      </c>
      <c r="J971" s="50">
        <v>102522.0</v>
      </c>
      <c r="K971" s="11">
        <v>3.0</v>
      </c>
      <c r="L971" s="11">
        <v>5.0</v>
      </c>
      <c r="M971" s="51">
        <v>338.0</v>
      </c>
      <c r="N971" s="17">
        <v>68.0</v>
      </c>
      <c r="O971" s="24" t="s">
        <v>603</v>
      </c>
      <c r="P971" s="52">
        <v>42422.0</v>
      </c>
      <c r="Q971" s="51">
        <v>81.0</v>
      </c>
      <c r="R971" s="53">
        <v>-320587.25</v>
      </c>
      <c r="S971" s="24" t="s">
        <v>605</v>
      </c>
      <c r="T971" s="11">
        <v>8.0</v>
      </c>
      <c r="U971" s="52">
        <v>121522.0</v>
      </c>
      <c r="V971" s="11">
        <v>2.0</v>
      </c>
      <c r="W971" s="11">
        <v>3.0</v>
      </c>
      <c r="X971" s="48">
        <v>6.6257</v>
      </c>
      <c r="Y971" s="11">
        <f t="shared" si="2"/>
        <v>0.066257</v>
      </c>
    </row>
    <row r="972">
      <c r="A972" s="17">
        <v>78.0</v>
      </c>
      <c r="B972" s="24">
        <v>19.0</v>
      </c>
      <c r="C972" s="24">
        <v>1.0</v>
      </c>
      <c r="D972" s="24">
        <v>6.0</v>
      </c>
      <c r="E972" s="24">
        <v>66.0</v>
      </c>
      <c r="F972" s="48">
        <v>3.5246</v>
      </c>
      <c r="G972" s="49">
        <f t="shared" si="1"/>
        <v>0.035246</v>
      </c>
      <c r="H972" s="11">
        <v>7.0</v>
      </c>
      <c r="I972" s="11">
        <v>1.0</v>
      </c>
      <c r="J972" s="50">
        <v>71218.0</v>
      </c>
      <c r="K972" s="11">
        <v>3.0</v>
      </c>
      <c r="L972" s="11">
        <v>2.0</v>
      </c>
      <c r="M972" s="51">
        <v>504.0</v>
      </c>
      <c r="N972" s="17">
        <v>80.0</v>
      </c>
      <c r="O972" s="24" t="s">
        <v>603</v>
      </c>
      <c r="P972" s="52">
        <v>20220.0</v>
      </c>
      <c r="Q972" s="51">
        <v>202.0</v>
      </c>
      <c r="R972" s="53">
        <v>-983419.4</v>
      </c>
      <c r="S972" s="24" t="s">
        <v>604</v>
      </c>
      <c r="T972" s="11">
        <v>5.0</v>
      </c>
      <c r="U972" s="52">
        <v>41323.0</v>
      </c>
      <c r="V972" s="11">
        <v>3.0</v>
      </c>
      <c r="W972" s="11">
        <v>7.0</v>
      </c>
      <c r="X972" s="48">
        <v>7.8007</v>
      </c>
      <c r="Y972" s="11">
        <f t="shared" si="2"/>
        <v>0.078007</v>
      </c>
    </row>
    <row r="973">
      <c r="A973" s="17">
        <v>50.0</v>
      </c>
      <c r="B973" s="24">
        <v>56.0</v>
      </c>
      <c r="C973" s="24">
        <v>7.0</v>
      </c>
      <c r="D973" s="24">
        <v>3.0</v>
      </c>
      <c r="E973" s="24">
        <v>68.0</v>
      </c>
      <c r="F973" s="48">
        <v>7.8926</v>
      </c>
      <c r="G973" s="49">
        <f t="shared" si="1"/>
        <v>0.078926</v>
      </c>
      <c r="H973" s="11">
        <v>5.0</v>
      </c>
      <c r="I973" s="11">
        <v>8.0</v>
      </c>
      <c r="J973" s="50">
        <v>81822.0</v>
      </c>
      <c r="K973" s="11">
        <v>0.0</v>
      </c>
      <c r="L973" s="11">
        <v>2.0</v>
      </c>
      <c r="M973" s="51">
        <v>264.0</v>
      </c>
      <c r="N973" s="17">
        <v>2.0</v>
      </c>
      <c r="O973" s="24" t="s">
        <v>603</v>
      </c>
      <c r="P973" s="52">
        <v>100416.0</v>
      </c>
      <c r="Q973" s="51">
        <v>3.0</v>
      </c>
      <c r="R973" s="53">
        <v>21099.7</v>
      </c>
      <c r="S973" s="24" t="s">
        <v>604</v>
      </c>
      <c r="T973" s="11">
        <v>9.0</v>
      </c>
      <c r="U973" s="52">
        <v>50616.0</v>
      </c>
      <c r="V973" s="11">
        <v>1.0</v>
      </c>
      <c r="W973" s="11">
        <v>0.0</v>
      </c>
      <c r="X973" s="48">
        <v>4.1211</v>
      </c>
      <c r="Y973" s="11">
        <f t="shared" si="2"/>
        <v>0.041211</v>
      </c>
    </row>
    <row r="974">
      <c r="A974" s="17">
        <v>18.0</v>
      </c>
      <c r="B974" s="24">
        <v>39.0</v>
      </c>
      <c r="C974" s="24">
        <v>7.0</v>
      </c>
      <c r="D974" s="24">
        <v>4.0</v>
      </c>
      <c r="E974" s="24">
        <v>68.0</v>
      </c>
      <c r="F974" s="48">
        <v>5.8226</v>
      </c>
      <c r="G974" s="49">
        <f t="shared" si="1"/>
        <v>0.058226</v>
      </c>
      <c r="H974" s="11">
        <v>0.0</v>
      </c>
      <c r="I974" s="11">
        <v>9.0</v>
      </c>
      <c r="J974" s="50">
        <v>60118.0</v>
      </c>
      <c r="K974" s="11">
        <v>1.0</v>
      </c>
      <c r="L974" s="11">
        <v>9.0</v>
      </c>
      <c r="M974" s="51">
        <v>462.0</v>
      </c>
      <c r="N974" s="17">
        <v>89.0</v>
      </c>
      <c r="O974" s="24" t="s">
        <v>48</v>
      </c>
      <c r="P974" s="52">
        <v>100616.0</v>
      </c>
      <c r="Q974" s="51">
        <v>623.0</v>
      </c>
      <c r="R974" s="53">
        <v>-99156.2</v>
      </c>
      <c r="S974" s="24" t="s">
        <v>605</v>
      </c>
      <c r="T974" s="11">
        <v>9.0</v>
      </c>
      <c r="U974" s="52">
        <v>51322.0</v>
      </c>
      <c r="V974" s="11">
        <v>2.0</v>
      </c>
      <c r="W974" s="11">
        <v>5.0</v>
      </c>
      <c r="X974" s="48">
        <v>9.6269</v>
      </c>
      <c r="Y974" s="11">
        <f t="shared" si="2"/>
        <v>0.096269</v>
      </c>
    </row>
    <row r="975">
      <c r="A975" s="17">
        <v>41.0</v>
      </c>
      <c r="B975" s="24">
        <v>39.0</v>
      </c>
      <c r="C975" s="24">
        <v>8.0</v>
      </c>
      <c r="D975" s="24">
        <v>4.0</v>
      </c>
      <c r="E975" s="24">
        <v>65.0</v>
      </c>
      <c r="F975" s="48">
        <v>7.4289</v>
      </c>
      <c r="G975" s="49">
        <f t="shared" si="1"/>
        <v>0.074289</v>
      </c>
      <c r="H975" s="11">
        <v>5.0</v>
      </c>
      <c r="I975" s="11">
        <v>4.0</v>
      </c>
      <c r="J975" s="50">
        <v>20822.0</v>
      </c>
      <c r="K975" s="11">
        <v>2.0</v>
      </c>
      <c r="L975" s="11">
        <v>6.0</v>
      </c>
      <c r="M975" s="51">
        <v>317.0</v>
      </c>
      <c r="N975" s="17">
        <v>37.0</v>
      </c>
      <c r="O975" s="24" t="s">
        <v>600</v>
      </c>
      <c r="P975" s="52">
        <v>80415.0</v>
      </c>
      <c r="Q975" s="51">
        <v>879.0</v>
      </c>
      <c r="R975" s="53">
        <v>725426.54</v>
      </c>
      <c r="S975" s="24" t="s">
        <v>605</v>
      </c>
      <c r="T975" s="11">
        <v>5.0</v>
      </c>
      <c r="U975" s="52">
        <v>12013.0</v>
      </c>
      <c r="V975" s="11">
        <v>4.0</v>
      </c>
      <c r="W975" s="11">
        <v>5.0</v>
      </c>
      <c r="X975" s="48">
        <v>4.2463</v>
      </c>
      <c r="Y975" s="11">
        <f t="shared" si="2"/>
        <v>0.042463</v>
      </c>
    </row>
    <row r="976">
      <c r="A976" s="17">
        <v>85.0</v>
      </c>
      <c r="B976" s="24">
        <v>39.0</v>
      </c>
      <c r="C976" s="24">
        <v>8.0</v>
      </c>
      <c r="D976" s="24">
        <v>8.0</v>
      </c>
      <c r="E976" s="24">
        <v>64.0</v>
      </c>
      <c r="F976" s="48">
        <v>3.8803</v>
      </c>
      <c r="G976" s="49">
        <f t="shared" si="1"/>
        <v>0.038803</v>
      </c>
      <c r="H976" s="11">
        <v>9.0</v>
      </c>
      <c r="I976" s="11">
        <v>3.0</v>
      </c>
      <c r="J976" s="50">
        <v>22417.0</v>
      </c>
      <c r="K976" s="11">
        <v>2.0</v>
      </c>
      <c r="L976" s="11">
        <v>3.0</v>
      </c>
      <c r="M976" s="51">
        <v>206.0</v>
      </c>
      <c r="N976" s="17">
        <v>51.0</v>
      </c>
      <c r="O976" s="24" t="s">
        <v>39</v>
      </c>
      <c r="P976" s="52">
        <v>122819.0</v>
      </c>
      <c r="Q976" s="51">
        <v>733.0</v>
      </c>
      <c r="R976" s="53">
        <v>-963.77</v>
      </c>
      <c r="S976" s="24" t="s">
        <v>600</v>
      </c>
      <c r="T976" s="11">
        <v>0.0</v>
      </c>
      <c r="U976" s="52">
        <v>31821.0</v>
      </c>
      <c r="V976" s="11">
        <v>7.0</v>
      </c>
      <c r="W976" s="11">
        <v>0.0</v>
      </c>
      <c r="X976" s="48">
        <v>9.8503</v>
      </c>
      <c r="Y976" s="11">
        <f t="shared" si="2"/>
        <v>0.098503</v>
      </c>
    </row>
    <row r="977">
      <c r="A977" s="17">
        <v>64.0</v>
      </c>
      <c r="B977" s="24">
        <v>19.0</v>
      </c>
      <c r="C977" s="24">
        <v>4.0</v>
      </c>
      <c r="D977" s="24">
        <v>7.0</v>
      </c>
      <c r="E977" s="24">
        <v>66.0</v>
      </c>
      <c r="F977" s="48">
        <v>1.5799</v>
      </c>
      <c r="G977" s="49">
        <f t="shared" si="1"/>
        <v>0.015799</v>
      </c>
      <c r="H977" s="11">
        <v>7.0</v>
      </c>
      <c r="I977" s="11">
        <v>1.0</v>
      </c>
      <c r="J977" s="50">
        <v>42720.0</v>
      </c>
      <c r="K977" s="11">
        <v>9.0</v>
      </c>
      <c r="L977" s="11">
        <v>2.0</v>
      </c>
      <c r="M977" s="51">
        <v>244.0</v>
      </c>
      <c r="N977" s="17">
        <v>95.0</v>
      </c>
      <c r="O977" s="24" t="s">
        <v>601</v>
      </c>
      <c r="P977" s="52">
        <v>121320.0</v>
      </c>
      <c r="Q977" s="51">
        <v>437.0</v>
      </c>
      <c r="R977" s="53">
        <v>-545856.54</v>
      </c>
      <c r="S977" s="24" t="s">
        <v>600</v>
      </c>
      <c r="T977" s="11">
        <v>1.0</v>
      </c>
      <c r="U977" s="52">
        <v>60513.0</v>
      </c>
      <c r="V977" s="11">
        <v>4.0</v>
      </c>
      <c r="W977" s="11">
        <v>2.0</v>
      </c>
      <c r="X977" s="48">
        <v>1.625</v>
      </c>
      <c r="Y977" s="11">
        <f t="shared" si="2"/>
        <v>0.01625</v>
      </c>
    </row>
    <row r="978">
      <c r="A978" s="17">
        <v>71.0</v>
      </c>
      <c r="B978" s="24">
        <v>19.0</v>
      </c>
      <c r="C978" s="24">
        <v>4.0</v>
      </c>
      <c r="D978" s="24">
        <v>9.0</v>
      </c>
      <c r="E978" s="24">
        <v>68.0</v>
      </c>
      <c r="F978" s="48">
        <v>3.9374</v>
      </c>
      <c r="G978" s="49">
        <f t="shared" si="1"/>
        <v>0.039374</v>
      </c>
      <c r="H978" s="11">
        <v>7.0</v>
      </c>
      <c r="I978" s="11">
        <v>4.0</v>
      </c>
      <c r="J978" s="50">
        <v>71115.0</v>
      </c>
      <c r="K978" s="11">
        <v>8.0</v>
      </c>
      <c r="L978" s="11">
        <v>5.0</v>
      </c>
      <c r="M978" s="51">
        <v>680.0</v>
      </c>
      <c r="N978" s="17">
        <v>80.0</v>
      </c>
      <c r="O978" s="24" t="s">
        <v>39</v>
      </c>
      <c r="P978" s="52">
        <v>32720.0</v>
      </c>
      <c r="Q978" s="51">
        <v>58.0</v>
      </c>
      <c r="R978" s="53">
        <v>-51355.9</v>
      </c>
      <c r="S978" s="24" t="s">
        <v>600</v>
      </c>
      <c r="T978" s="11">
        <v>8.0</v>
      </c>
      <c r="U978" s="52">
        <v>91319.0</v>
      </c>
      <c r="V978" s="11">
        <v>9.0</v>
      </c>
      <c r="W978" s="11">
        <v>4.0</v>
      </c>
      <c r="X978" s="48">
        <v>9.2133</v>
      </c>
      <c r="Y978" s="11">
        <f t="shared" si="2"/>
        <v>0.092133</v>
      </c>
    </row>
    <row r="979">
      <c r="A979" s="17">
        <v>28.0</v>
      </c>
      <c r="B979" s="24">
        <v>19.0</v>
      </c>
      <c r="C979" s="24">
        <v>5.0</v>
      </c>
      <c r="D979" s="24">
        <v>1.0</v>
      </c>
      <c r="E979" s="24">
        <v>61.0</v>
      </c>
      <c r="F979" s="48">
        <v>9.1562</v>
      </c>
      <c r="G979" s="49">
        <f t="shared" si="1"/>
        <v>0.091562</v>
      </c>
      <c r="H979" s="11">
        <v>7.0</v>
      </c>
      <c r="I979" s="11">
        <v>7.0</v>
      </c>
      <c r="J979" s="50">
        <v>42417.0</v>
      </c>
      <c r="K979" s="11">
        <v>0.0</v>
      </c>
      <c r="L979" s="11">
        <v>5.0</v>
      </c>
      <c r="M979" s="51">
        <v>726.0</v>
      </c>
      <c r="N979" s="17">
        <v>63.0</v>
      </c>
      <c r="O979" s="24" t="s">
        <v>606</v>
      </c>
      <c r="P979" s="52">
        <v>102018.0</v>
      </c>
      <c r="Q979" s="51">
        <v>750.0</v>
      </c>
      <c r="R979" s="53">
        <v>8604.9</v>
      </c>
      <c r="S979" s="24" t="s">
        <v>600</v>
      </c>
      <c r="T979" s="11">
        <v>4.0</v>
      </c>
      <c r="U979" s="52">
        <v>41719.0</v>
      </c>
      <c r="V979" s="11">
        <v>3.0</v>
      </c>
      <c r="W979" s="11">
        <v>3.0</v>
      </c>
      <c r="X979" s="48">
        <v>7.5062</v>
      </c>
      <c r="Y979" s="11">
        <f t="shared" si="2"/>
        <v>0.075062</v>
      </c>
    </row>
    <row r="980">
      <c r="A980" s="17">
        <v>14.0</v>
      </c>
      <c r="B980" s="24">
        <v>39.0</v>
      </c>
      <c r="C980" s="24">
        <v>9.0</v>
      </c>
      <c r="D980" s="24">
        <v>9.0</v>
      </c>
      <c r="E980" s="24">
        <v>64.0</v>
      </c>
      <c r="F980" s="48">
        <v>3.9984</v>
      </c>
      <c r="G980" s="49">
        <f t="shared" si="1"/>
        <v>0.039984</v>
      </c>
      <c r="H980" s="11">
        <v>5.0</v>
      </c>
      <c r="I980" s="11">
        <v>0.0</v>
      </c>
      <c r="J980" s="50">
        <v>71413.0</v>
      </c>
      <c r="K980" s="11">
        <v>4.0</v>
      </c>
      <c r="L980" s="11">
        <v>5.0</v>
      </c>
      <c r="M980" s="51">
        <v>811.0</v>
      </c>
      <c r="N980" s="17">
        <v>43.0</v>
      </c>
      <c r="O980" s="24" t="s">
        <v>600</v>
      </c>
      <c r="P980" s="52">
        <v>70619.0</v>
      </c>
      <c r="Q980" s="51">
        <v>606.0</v>
      </c>
      <c r="R980" s="53">
        <v>-348.6</v>
      </c>
      <c r="S980" s="24" t="s">
        <v>604</v>
      </c>
      <c r="T980" s="11">
        <v>0.0</v>
      </c>
      <c r="U980" s="52">
        <v>93022.0</v>
      </c>
      <c r="V980" s="11">
        <v>3.0</v>
      </c>
      <c r="W980" s="11">
        <v>7.0</v>
      </c>
      <c r="X980" s="48">
        <v>6.6193</v>
      </c>
      <c r="Y980" s="11">
        <f t="shared" si="2"/>
        <v>0.066193</v>
      </c>
    </row>
    <row r="981">
      <c r="A981" s="17">
        <v>63.0</v>
      </c>
      <c r="B981" s="24">
        <v>19.0</v>
      </c>
      <c r="C981" s="24">
        <v>5.0</v>
      </c>
      <c r="D981" s="24">
        <v>3.0</v>
      </c>
      <c r="E981" s="24">
        <v>68.0</v>
      </c>
      <c r="F981" s="48">
        <v>5.3074</v>
      </c>
      <c r="G981" s="49">
        <f t="shared" si="1"/>
        <v>0.053074</v>
      </c>
      <c r="H981" s="11">
        <v>0.0</v>
      </c>
      <c r="I981" s="11">
        <v>0.0</v>
      </c>
      <c r="J981" s="50">
        <v>101119.0</v>
      </c>
      <c r="K981" s="11">
        <v>7.0</v>
      </c>
      <c r="L981" s="11">
        <v>8.0</v>
      </c>
      <c r="M981" s="51">
        <v>83.0</v>
      </c>
      <c r="N981" s="17">
        <v>84.0</v>
      </c>
      <c r="O981" s="24" t="s">
        <v>606</v>
      </c>
      <c r="P981" s="52">
        <v>122417.0</v>
      </c>
      <c r="Q981" s="51">
        <v>282.0</v>
      </c>
      <c r="R981" s="53">
        <v>918.11</v>
      </c>
      <c r="S981" s="24" t="s">
        <v>600</v>
      </c>
      <c r="T981" s="11">
        <v>3.0</v>
      </c>
      <c r="U981" s="52">
        <v>62414.0</v>
      </c>
      <c r="V981" s="11">
        <v>7.0</v>
      </c>
      <c r="W981" s="11">
        <v>7.0</v>
      </c>
      <c r="X981" s="48">
        <v>1.6216</v>
      </c>
      <c r="Y981" s="11">
        <f t="shared" si="2"/>
        <v>0.016216</v>
      </c>
    </row>
    <row r="982">
      <c r="A982" s="17">
        <v>68.0</v>
      </c>
      <c r="B982" s="24">
        <v>19.0</v>
      </c>
      <c r="C982" s="24">
        <v>5.0</v>
      </c>
      <c r="D982" s="24">
        <v>6.0</v>
      </c>
      <c r="E982" s="24">
        <v>62.0</v>
      </c>
      <c r="F982" s="48">
        <v>6.7652</v>
      </c>
      <c r="G982" s="49">
        <f t="shared" si="1"/>
        <v>0.067652</v>
      </c>
      <c r="H982" s="11">
        <v>6.0</v>
      </c>
      <c r="I982" s="11">
        <v>2.0</v>
      </c>
      <c r="J982" s="50">
        <v>122414.0</v>
      </c>
      <c r="K982" s="11">
        <v>6.0</v>
      </c>
      <c r="L982" s="11">
        <v>4.0</v>
      </c>
      <c r="M982" s="51">
        <v>784.0</v>
      </c>
      <c r="N982" s="17">
        <v>43.0</v>
      </c>
      <c r="O982" s="24" t="s">
        <v>601</v>
      </c>
      <c r="P982" s="52">
        <v>110314.0</v>
      </c>
      <c r="Q982" s="51">
        <v>511.0</v>
      </c>
      <c r="R982" s="53">
        <v>-45220.73</v>
      </c>
      <c r="S982" s="24" t="s">
        <v>602</v>
      </c>
      <c r="T982" s="11">
        <v>3.0</v>
      </c>
      <c r="U982" s="52">
        <v>121315.0</v>
      </c>
      <c r="V982" s="11">
        <v>2.0</v>
      </c>
      <c r="W982" s="11">
        <v>2.0</v>
      </c>
      <c r="X982" s="48">
        <v>7.8439</v>
      </c>
      <c r="Y982" s="11">
        <f t="shared" si="2"/>
        <v>0.078439</v>
      </c>
    </row>
    <row r="983">
      <c r="A983" s="17">
        <v>51.0</v>
      </c>
      <c r="B983" s="24">
        <v>19.0</v>
      </c>
      <c r="C983" s="24">
        <v>5.0</v>
      </c>
      <c r="D983" s="24">
        <v>8.0</v>
      </c>
      <c r="E983" s="24">
        <v>64.0</v>
      </c>
      <c r="F983" s="48">
        <v>2.103</v>
      </c>
      <c r="G983" s="49">
        <f t="shared" si="1"/>
        <v>0.02103</v>
      </c>
      <c r="H983" s="11">
        <v>7.0</v>
      </c>
      <c r="I983" s="11">
        <v>8.0</v>
      </c>
      <c r="J983" s="50">
        <v>30415.0</v>
      </c>
      <c r="K983" s="11">
        <v>2.0</v>
      </c>
      <c r="L983" s="11">
        <v>6.0</v>
      </c>
      <c r="M983" s="51">
        <v>912.0</v>
      </c>
      <c r="N983" s="17">
        <v>81.0</v>
      </c>
      <c r="O983" s="24" t="s">
        <v>31</v>
      </c>
      <c r="P983" s="52">
        <v>50222.0</v>
      </c>
      <c r="Q983" s="51">
        <v>320.0</v>
      </c>
      <c r="R983" s="53">
        <v>-221.17</v>
      </c>
      <c r="S983" s="24" t="s">
        <v>600</v>
      </c>
      <c r="T983" s="11">
        <v>7.0</v>
      </c>
      <c r="U983" s="52">
        <v>121719.0</v>
      </c>
      <c r="V983" s="11">
        <v>5.0</v>
      </c>
      <c r="W983" s="11">
        <v>1.0</v>
      </c>
      <c r="X983" s="48">
        <v>4.2927</v>
      </c>
      <c r="Y983" s="11">
        <f t="shared" si="2"/>
        <v>0.042927</v>
      </c>
    </row>
    <row r="984">
      <c r="A984" s="17">
        <v>82.0</v>
      </c>
      <c r="B984" s="24">
        <v>19.0</v>
      </c>
      <c r="C984" s="24">
        <v>6.0</v>
      </c>
      <c r="D984" s="24">
        <v>4.0</v>
      </c>
      <c r="E984" s="24">
        <v>62.0</v>
      </c>
      <c r="F984" s="48">
        <v>4.295</v>
      </c>
      <c r="G984" s="49">
        <f t="shared" si="1"/>
        <v>0.04295</v>
      </c>
      <c r="H984" s="11">
        <v>6.0</v>
      </c>
      <c r="I984" s="11">
        <v>1.0</v>
      </c>
      <c r="J984" s="50">
        <v>122021.0</v>
      </c>
      <c r="K984" s="11">
        <v>3.0</v>
      </c>
      <c r="L984" s="11">
        <v>9.0</v>
      </c>
      <c r="M984" s="51">
        <v>327.0</v>
      </c>
      <c r="N984" s="17">
        <v>67.0</v>
      </c>
      <c r="O984" s="24" t="s">
        <v>48</v>
      </c>
      <c r="P984" s="52">
        <v>71123.0</v>
      </c>
      <c r="Q984" s="51">
        <v>60.0</v>
      </c>
      <c r="R984" s="53">
        <v>-745.8</v>
      </c>
      <c r="S984" s="24" t="s">
        <v>604</v>
      </c>
      <c r="T984" s="11">
        <v>1.0</v>
      </c>
      <c r="U984" s="52">
        <v>62218.0</v>
      </c>
      <c r="V984" s="11">
        <v>7.0</v>
      </c>
      <c r="W984" s="11">
        <v>1.0</v>
      </c>
      <c r="X984" s="48">
        <v>4.3401</v>
      </c>
      <c r="Y984" s="11">
        <f t="shared" si="2"/>
        <v>0.043401</v>
      </c>
    </row>
    <row r="985">
      <c r="A985" s="17">
        <v>52.0</v>
      </c>
      <c r="B985" s="24">
        <v>19.0</v>
      </c>
      <c r="C985" s="24">
        <v>6.0</v>
      </c>
      <c r="D985" s="24">
        <v>7.0</v>
      </c>
      <c r="E985" s="24">
        <v>65.0</v>
      </c>
      <c r="F985" s="48">
        <v>5.6366</v>
      </c>
      <c r="G985" s="49">
        <f t="shared" si="1"/>
        <v>0.056366</v>
      </c>
      <c r="H985" s="11">
        <v>9.0</v>
      </c>
      <c r="I985" s="11">
        <v>8.0</v>
      </c>
      <c r="J985" s="50">
        <v>32414.0</v>
      </c>
      <c r="K985" s="11">
        <v>8.0</v>
      </c>
      <c r="L985" s="11">
        <v>1.0</v>
      </c>
      <c r="M985" s="51">
        <v>435.0</v>
      </c>
      <c r="N985" s="17">
        <v>59.0</v>
      </c>
      <c r="O985" s="24" t="s">
        <v>31</v>
      </c>
      <c r="P985" s="52">
        <v>12619.0</v>
      </c>
      <c r="Q985" s="51">
        <v>132.0</v>
      </c>
      <c r="R985" s="53">
        <v>-4948.51</v>
      </c>
      <c r="S985" s="24" t="s">
        <v>600</v>
      </c>
      <c r="T985" s="11">
        <v>1.0</v>
      </c>
      <c r="U985" s="52">
        <v>90217.0</v>
      </c>
      <c r="V985" s="11">
        <v>8.0</v>
      </c>
      <c r="W985" s="11">
        <v>5.0</v>
      </c>
      <c r="X985" s="48">
        <v>1.932</v>
      </c>
      <c r="Y985" s="11">
        <f t="shared" si="2"/>
        <v>0.01932</v>
      </c>
    </row>
    <row r="986">
      <c r="A986" s="17">
        <v>71.0</v>
      </c>
      <c r="B986" s="24">
        <v>81.0</v>
      </c>
      <c r="C986" s="24">
        <v>1.0</v>
      </c>
      <c r="D986" s="24">
        <v>5.0</v>
      </c>
      <c r="E986" s="24">
        <v>66.0</v>
      </c>
      <c r="F986" s="48">
        <v>1.1599</v>
      </c>
      <c r="G986" s="49">
        <f t="shared" si="1"/>
        <v>0.011599</v>
      </c>
      <c r="H986" s="11">
        <v>1.0</v>
      </c>
      <c r="I986" s="11">
        <v>4.0</v>
      </c>
      <c r="J986" s="50">
        <v>12420.0</v>
      </c>
      <c r="K986" s="11">
        <v>1.0</v>
      </c>
      <c r="L986" s="11">
        <v>4.0</v>
      </c>
      <c r="M986" s="51">
        <v>356.0</v>
      </c>
      <c r="N986" s="17">
        <v>37.0</v>
      </c>
      <c r="O986" s="24" t="s">
        <v>600</v>
      </c>
      <c r="P986" s="52">
        <v>13117.0</v>
      </c>
      <c r="Q986" s="51">
        <v>937.0</v>
      </c>
      <c r="R986" s="53">
        <v>7696.9</v>
      </c>
      <c r="S986" s="24" t="s">
        <v>600</v>
      </c>
      <c r="T986" s="11">
        <v>9.0</v>
      </c>
      <c r="U986" s="52">
        <v>120417.0</v>
      </c>
      <c r="V986" s="11">
        <v>3.0</v>
      </c>
      <c r="W986" s="11">
        <v>8.0</v>
      </c>
      <c r="X986" s="48">
        <v>3.1072</v>
      </c>
      <c r="Y986" s="11">
        <f t="shared" si="2"/>
        <v>0.031072</v>
      </c>
    </row>
    <row r="987">
      <c r="A987" s="17">
        <v>7.0</v>
      </c>
      <c r="B987" s="24">
        <v>81.0</v>
      </c>
      <c r="C987" s="24">
        <v>1.0</v>
      </c>
      <c r="D987" s="24">
        <v>9.0</v>
      </c>
      <c r="E987" s="24">
        <v>68.0</v>
      </c>
      <c r="F987" s="48">
        <v>8.75</v>
      </c>
      <c r="G987" s="49">
        <f t="shared" si="1"/>
        <v>0.0875</v>
      </c>
      <c r="H987" s="11">
        <v>9.0</v>
      </c>
      <c r="I987" s="11">
        <v>1.0</v>
      </c>
      <c r="J987" s="50">
        <v>11315.0</v>
      </c>
      <c r="K987" s="11">
        <v>5.0</v>
      </c>
      <c r="L987" s="11">
        <v>4.0</v>
      </c>
      <c r="M987" s="51">
        <v>198.0</v>
      </c>
      <c r="N987" s="17">
        <v>37.0</v>
      </c>
      <c r="O987" s="24" t="s">
        <v>603</v>
      </c>
      <c r="P987" s="52">
        <v>110519.0</v>
      </c>
      <c r="Q987" s="51">
        <v>891.0</v>
      </c>
      <c r="R987" s="53">
        <v>260.22</v>
      </c>
      <c r="S987" s="24" t="s">
        <v>605</v>
      </c>
      <c r="T987" s="11">
        <v>0.0</v>
      </c>
      <c r="U987" s="52">
        <v>80214.0</v>
      </c>
      <c r="V987" s="11">
        <v>5.0</v>
      </c>
      <c r="W987" s="11">
        <v>8.0</v>
      </c>
      <c r="X987" s="48">
        <v>5.6334</v>
      </c>
      <c r="Y987" s="11">
        <f t="shared" si="2"/>
        <v>0.056334</v>
      </c>
    </row>
    <row r="988">
      <c r="A988" s="17">
        <v>82.0</v>
      </c>
      <c r="B988" s="24">
        <v>19.0</v>
      </c>
      <c r="C988" s="24">
        <v>7.0</v>
      </c>
      <c r="D988" s="24">
        <v>6.0</v>
      </c>
      <c r="E988" s="24">
        <v>68.0</v>
      </c>
      <c r="F988" s="48">
        <v>7.2277</v>
      </c>
      <c r="G988" s="49">
        <f t="shared" si="1"/>
        <v>0.072277</v>
      </c>
      <c r="H988" s="11">
        <v>4.0</v>
      </c>
      <c r="I988" s="11">
        <v>4.0</v>
      </c>
      <c r="J988" s="50">
        <v>73114.0</v>
      </c>
      <c r="K988" s="11">
        <v>2.0</v>
      </c>
      <c r="L988" s="11">
        <v>4.0</v>
      </c>
      <c r="M988" s="51">
        <v>70.0</v>
      </c>
      <c r="N988" s="17">
        <v>6.0</v>
      </c>
      <c r="O988" s="24" t="s">
        <v>606</v>
      </c>
      <c r="P988" s="52">
        <v>102914.0</v>
      </c>
      <c r="Q988" s="51">
        <v>428.0</v>
      </c>
      <c r="R988" s="53">
        <v>-967.1</v>
      </c>
      <c r="S988" s="24" t="s">
        <v>600</v>
      </c>
      <c r="T988" s="11">
        <v>9.0</v>
      </c>
      <c r="U988" s="52">
        <v>122422.0</v>
      </c>
      <c r="V988" s="11">
        <v>4.0</v>
      </c>
      <c r="W988" s="11">
        <v>5.0</v>
      </c>
      <c r="X988" s="48">
        <v>4.8912</v>
      </c>
      <c r="Y988" s="11">
        <f t="shared" si="2"/>
        <v>0.048912</v>
      </c>
    </row>
    <row r="989">
      <c r="A989" s="17">
        <v>43.0</v>
      </c>
      <c r="B989" s="24">
        <v>19.0</v>
      </c>
      <c r="C989" s="24">
        <v>9.0</v>
      </c>
      <c r="D989" s="24">
        <v>1.0</v>
      </c>
      <c r="E989" s="24">
        <v>66.0</v>
      </c>
      <c r="F989" s="48">
        <v>8.3604</v>
      </c>
      <c r="G989" s="49">
        <f t="shared" si="1"/>
        <v>0.083604</v>
      </c>
      <c r="H989" s="11">
        <v>8.0</v>
      </c>
      <c r="I989" s="11">
        <v>6.0</v>
      </c>
      <c r="J989" s="50">
        <v>122723.0</v>
      </c>
      <c r="K989" s="11">
        <v>0.0</v>
      </c>
      <c r="L989" s="11">
        <v>6.0</v>
      </c>
      <c r="M989" s="51">
        <v>985.0</v>
      </c>
      <c r="N989" s="17">
        <v>37.0</v>
      </c>
      <c r="O989" s="24" t="s">
        <v>31</v>
      </c>
      <c r="P989" s="52">
        <v>100320.0</v>
      </c>
      <c r="Q989" s="51">
        <v>47.0</v>
      </c>
      <c r="R989" s="53">
        <v>279219.8</v>
      </c>
      <c r="S989" s="24" t="s">
        <v>600</v>
      </c>
      <c r="T989" s="11">
        <v>5.0</v>
      </c>
      <c r="U989" s="52">
        <v>41419.0</v>
      </c>
      <c r="V989" s="11">
        <v>5.0</v>
      </c>
      <c r="W989" s="11">
        <v>5.0</v>
      </c>
      <c r="X989" s="48">
        <v>5.7494</v>
      </c>
      <c r="Y989" s="11">
        <f t="shared" si="2"/>
        <v>0.057494</v>
      </c>
    </row>
    <row r="990">
      <c r="A990" s="17">
        <v>62.0</v>
      </c>
      <c r="B990" s="24">
        <v>81.0</v>
      </c>
      <c r="C990" s="24">
        <v>3.0</v>
      </c>
      <c r="D990" s="24">
        <v>6.0</v>
      </c>
      <c r="E990" s="24">
        <v>63.0</v>
      </c>
      <c r="F990" s="48">
        <v>3.1723</v>
      </c>
      <c r="G990" s="49">
        <f t="shared" si="1"/>
        <v>0.031723</v>
      </c>
      <c r="H990" s="11">
        <v>1.0</v>
      </c>
      <c r="I990" s="11">
        <v>3.0</v>
      </c>
      <c r="J990" s="50">
        <v>112320.0</v>
      </c>
      <c r="K990" s="11">
        <v>2.0</v>
      </c>
      <c r="L990" s="11">
        <v>1.0</v>
      </c>
      <c r="M990" s="51">
        <v>173.0</v>
      </c>
      <c r="N990" s="17">
        <v>58.0</v>
      </c>
      <c r="O990" s="24" t="s">
        <v>31</v>
      </c>
      <c r="P990" s="52">
        <v>111516.0</v>
      </c>
      <c r="Q990" s="51">
        <v>703.0</v>
      </c>
      <c r="R990" s="53">
        <v>373.29</v>
      </c>
      <c r="S990" s="24" t="s">
        <v>602</v>
      </c>
      <c r="T990" s="11">
        <v>7.0</v>
      </c>
      <c r="U990" s="52">
        <v>52015.0</v>
      </c>
      <c r="V990" s="11">
        <v>0.0</v>
      </c>
      <c r="W990" s="11">
        <v>6.0</v>
      </c>
      <c r="X990" s="48">
        <v>6.5602</v>
      </c>
      <c r="Y990" s="11">
        <f t="shared" si="2"/>
        <v>0.065602</v>
      </c>
    </row>
    <row r="991">
      <c r="A991" s="17">
        <v>76.0</v>
      </c>
      <c r="B991" s="24">
        <v>81.0</v>
      </c>
      <c r="C991" s="24">
        <v>3.0</v>
      </c>
      <c r="D991" s="24">
        <v>7.0</v>
      </c>
      <c r="E991" s="24">
        <v>62.0</v>
      </c>
      <c r="F991" s="48">
        <v>9.9015</v>
      </c>
      <c r="G991" s="49">
        <f t="shared" si="1"/>
        <v>0.099015</v>
      </c>
      <c r="H991" s="11">
        <v>0.0</v>
      </c>
      <c r="I991" s="11">
        <v>4.0</v>
      </c>
      <c r="J991" s="50">
        <v>102921.0</v>
      </c>
      <c r="K991" s="11">
        <v>8.0</v>
      </c>
      <c r="L991" s="11">
        <v>4.0</v>
      </c>
      <c r="M991" s="51">
        <v>36.0</v>
      </c>
      <c r="N991" s="17">
        <v>44.0</v>
      </c>
      <c r="O991" s="24" t="s">
        <v>603</v>
      </c>
      <c r="P991" s="52">
        <v>42617.0</v>
      </c>
      <c r="Q991" s="51">
        <v>367.0</v>
      </c>
      <c r="R991" s="53">
        <v>35186.65</v>
      </c>
      <c r="S991" s="24" t="s">
        <v>602</v>
      </c>
      <c r="T991" s="11">
        <v>5.0</v>
      </c>
      <c r="U991" s="52">
        <v>41013.0</v>
      </c>
      <c r="V991" s="11">
        <v>3.0</v>
      </c>
      <c r="W991" s="11">
        <v>4.0</v>
      </c>
      <c r="X991" s="48">
        <v>3.3933</v>
      </c>
      <c r="Y991" s="11">
        <f t="shared" si="2"/>
        <v>0.033933</v>
      </c>
    </row>
    <row r="992">
      <c r="A992" s="17">
        <v>21.0</v>
      </c>
      <c r="B992" s="24">
        <v>19.0</v>
      </c>
      <c r="C992" s="24">
        <v>9.0</v>
      </c>
      <c r="D992" s="24">
        <v>6.0</v>
      </c>
      <c r="E992" s="24">
        <v>68.0</v>
      </c>
      <c r="F992" s="48">
        <v>6.7055</v>
      </c>
      <c r="G992" s="49">
        <f t="shared" si="1"/>
        <v>0.067055</v>
      </c>
      <c r="H992" s="11">
        <v>9.0</v>
      </c>
      <c r="I992" s="11">
        <v>7.0</v>
      </c>
      <c r="J992" s="50">
        <v>81219.0</v>
      </c>
      <c r="K992" s="11">
        <v>2.0</v>
      </c>
      <c r="L992" s="11">
        <v>6.0</v>
      </c>
      <c r="M992" s="51">
        <v>641.0</v>
      </c>
      <c r="N992" s="17">
        <v>70.0</v>
      </c>
      <c r="O992" s="24" t="s">
        <v>606</v>
      </c>
      <c r="P992" s="52">
        <v>80315.0</v>
      </c>
      <c r="Q992" s="51">
        <v>930.0</v>
      </c>
      <c r="R992" s="53">
        <v>62185.57</v>
      </c>
      <c r="S992" s="24" t="s">
        <v>604</v>
      </c>
      <c r="T992" s="11">
        <v>9.0</v>
      </c>
      <c r="U992" s="52">
        <v>20816.0</v>
      </c>
      <c r="V992" s="11">
        <v>9.0</v>
      </c>
      <c r="W992" s="11">
        <v>8.0</v>
      </c>
      <c r="X992" s="48">
        <v>8.571</v>
      </c>
      <c r="Y992" s="11">
        <f t="shared" si="2"/>
        <v>0.08571</v>
      </c>
    </row>
    <row r="993">
      <c r="A993" s="17">
        <v>51.0</v>
      </c>
      <c r="B993" s="24">
        <v>81.0</v>
      </c>
      <c r="C993" s="24">
        <v>6.0</v>
      </c>
      <c r="D993" s="24">
        <v>5.0</v>
      </c>
      <c r="E993" s="24">
        <v>63.0</v>
      </c>
      <c r="F993" s="48">
        <v>1.2909</v>
      </c>
      <c r="G993" s="49">
        <f t="shared" si="1"/>
        <v>0.012909</v>
      </c>
      <c r="H993" s="11">
        <v>8.0</v>
      </c>
      <c r="I993" s="11">
        <v>2.0</v>
      </c>
      <c r="J993" s="50">
        <v>100317.0</v>
      </c>
      <c r="K993" s="11">
        <v>4.0</v>
      </c>
      <c r="L993" s="11">
        <v>3.0</v>
      </c>
      <c r="M993" s="51">
        <v>853.0</v>
      </c>
      <c r="N993" s="17">
        <v>83.0</v>
      </c>
      <c r="O993" s="24" t="s">
        <v>600</v>
      </c>
      <c r="P993" s="52">
        <v>52920.0</v>
      </c>
      <c r="Q993" s="51">
        <v>443.0</v>
      </c>
      <c r="R993" s="53">
        <v>-2728.56</v>
      </c>
      <c r="S993" s="24" t="s">
        <v>602</v>
      </c>
      <c r="T993" s="11">
        <v>4.0</v>
      </c>
      <c r="U993" s="52">
        <v>41520.0</v>
      </c>
      <c r="V993" s="11">
        <v>1.0</v>
      </c>
      <c r="W993" s="11">
        <v>8.0</v>
      </c>
      <c r="X993" s="48">
        <v>1.5852</v>
      </c>
      <c r="Y993" s="11">
        <f t="shared" si="2"/>
        <v>0.015852</v>
      </c>
    </row>
    <row r="994">
      <c r="A994" s="17">
        <v>21.0</v>
      </c>
      <c r="B994" s="24">
        <v>81.0</v>
      </c>
      <c r="C994" s="24">
        <v>6.0</v>
      </c>
      <c r="D994" s="24">
        <v>9.0</v>
      </c>
      <c r="E994" s="24">
        <v>60.0</v>
      </c>
      <c r="F994" s="48">
        <v>3.8256</v>
      </c>
      <c r="G994" s="49">
        <f t="shared" si="1"/>
        <v>0.038256</v>
      </c>
      <c r="H994" s="11">
        <v>2.0</v>
      </c>
      <c r="I994" s="11">
        <v>0.0</v>
      </c>
      <c r="J994" s="50">
        <v>50623.0</v>
      </c>
      <c r="K994" s="11">
        <v>6.0</v>
      </c>
      <c r="L994" s="11">
        <v>3.0</v>
      </c>
      <c r="M994" s="51">
        <v>401.0</v>
      </c>
      <c r="N994" s="17">
        <v>64.0</v>
      </c>
      <c r="O994" s="24" t="s">
        <v>606</v>
      </c>
      <c r="P994" s="52">
        <v>41120.0</v>
      </c>
      <c r="Q994" s="51">
        <v>943.0</v>
      </c>
      <c r="R994" s="53">
        <v>38189.56</v>
      </c>
      <c r="S994" s="24" t="s">
        <v>602</v>
      </c>
      <c r="T994" s="11">
        <v>0.0</v>
      </c>
      <c r="U994" s="52">
        <v>52222.0</v>
      </c>
      <c r="V994" s="11">
        <v>3.0</v>
      </c>
      <c r="W994" s="11">
        <v>7.0</v>
      </c>
      <c r="X994" s="48">
        <v>6.2159</v>
      </c>
      <c r="Y994" s="11">
        <f t="shared" si="2"/>
        <v>0.062159</v>
      </c>
    </row>
    <row r="995">
      <c r="A995" s="17">
        <v>22.0</v>
      </c>
      <c r="B995" s="24">
        <v>61.0</v>
      </c>
      <c r="C995" s="24">
        <v>2.0</v>
      </c>
      <c r="D995" s="24">
        <v>3.0</v>
      </c>
      <c r="E995" s="24">
        <v>62.0</v>
      </c>
      <c r="F995" s="48">
        <v>4.6326</v>
      </c>
      <c r="G995" s="49">
        <f t="shared" si="1"/>
        <v>0.046326</v>
      </c>
      <c r="H995" s="11">
        <v>2.0</v>
      </c>
      <c r="I995" s="11">
        <v>8.0</v>
      </c>
      <c r="J995" s="50">
        <v>42114.0</v>
      </c>
      <c r="K995" s="11">
        <v>1.0</v>
      </c>
      <c r="L995" s="11">
        <v>4.0</v>
      </c>
      <c r="M995" s="51">
        <v>617.0</v>
      </c>
      <c r="N995" s="17">
        <v>58.0</v>
      </c>
      <c r="O995" s="24" t="s">
        <v>31</v>
      </c>
      <c r="P995" s="52">
        <v>42023.0</v>
      </c>
      <c r="Q995" s="51">
        <v>37.0</v>
      </c>
      <c r="R995" s="53">
        <v>-3813.23</v>
      </c>
      <c r="S995" s="24" t="s">
        <v>605</v>
      </c>
      <c r="T995" s="11">
        <v>8.0</v>
      </c>
      <c r="U995" s="52">
        <v>40119.0</v>
      </c>
      <c r="V995" s="11">
        <v>5.0</v>
      </c>
      <c r="W995" s="11">
        <v>7.0</v>
      </c>
      <c r="X995" s="48">
        <v>6.6434</v>
      </c>
      <c r="Y995" s="11">
        <f t="shared" si="2"/>
        <v>0.066434</v>
      </c>
    </row>
    <row r="996">
      <c r="A996" s="17">
        <v>21.0</v>
      </c>
      <c r="B996" s="24">
        <v>61.0</v>
      </c>
      <c r="C996" s="24">
        <v>2.0</v>
      </c>
      <c r="D996" s="24">
        <v>4.0</v>
      </c>
      <c r="E996" s="24">
        <v>66.0</v>
      </c>
      <c r="F996" s="48">
        <v>1.7</v>
      </c>
      <c r="G996" s="49">
        <f t="shared" si="1"/>
        <v>0.017</v>
      </c>
      <c r="H996" s="11">
        <v>3.0</v>
      </c>
      <c r="I996" s="11">
        <v>4.0</v>
      </c>
      <c r="J996" s="50">
        <v>33119.0</v>
      </c>
      <c r="K996" s="11">
        <v>5.0</v>
      </c>
      <c r="L996" s="11">
        <v>4.0</v>
      </c>
      <c r="M996" s="51">
        <v>959.0</v>
      </c>
      <c r="N996" s="17">
        <v>58.0</v>
      </c>
      <c r="O996" s="24" t="s">
        <v>603</v>
      </c>
      <c r="P996" s="52">
        <v>32614.0</v>
      </c>
      <c r="Q996" s="51">
        <v>515.0</v>
      </c>
      <c r="R996" s="53">
        <v>-535532.27</v>
      </c>
      <c r="S996" s="24" t="s">
        <v>604</v>
      </c>
      <c r="T996" s="11">
        <v>7.0</v>
      </c>
      <c r="U996" s="52">
        <v>32319.0</v>
      </c>
      <c r="V996" s="11">
        <v>9.0</v>
      </c>
      <c r="W996" s="11">
        <v>5.0</v>
      </c>
      <c r="X996" s="48">
        <v>2.7947</v>
      </c>
      <c r="Y996" s="11">
        <f t="shared" si="2"/>
        <v>0.027947</v>
      </c>
    </row>
    <row r="997">
      <c r="A997" s="17">
        <v>37.0</v>
      </c>
      <c r="B997" s="24">
        <v>81.0</v>
      </c>
      <c r="C997" s="24">
        <v>7.0</v>
      </c>
      <c r="D997" s="24">
        <v>2.0</v>
      </c>
      <c r="E997" s="24">
        <v>68.0</v>
      </c>
      <c r="F997" s="48">
        <v>8.2389</v>
      </c>
      <c r="G997" s="49">
        <f t="shared" si="1"/>
        <v>0.082389</v>
      </c>
      <c r="H997" s="11">
        <v>3.0</v>
      </c>
      <c r="I997" s="11">
        <v>8.0</v>
      </c>
      <c r="J997" s="50">
        <v>100823.0</v>
      </c>
      <c r="K997" s="11">
        <v>8.0</v>
      </c>
      <c r="L997" s="11">
        <v>3.0</v>
      </c>
      <c r="M997" s="51">
        <v>311.0</v>
      </c>
      <c r="N997" s="17">
        <v>78.0</v>
      </c>
      <c r="O997" s="24" t="s">
        <v>39</v>
      </c>
      <c r="P997" s="52">
        <v>12320.0</v>
      </c>
      <c r="Q997" s="51">
        <v>227.0</v>
      </c>
      <c r="R997" s="53">
        <v>879711.8</v>
      </c>
      <c r="S997" s="24" t="s">
        <v>600</v>
      </c>
      <c r="T997" s="11">
        <v>2.0</v>
      </c>
      <c r="U997" s="52">
        <v>80718.0</v>
      </c>
      <c r="V997" s="11">
        <v>3.0</v>
      </c>
      <c r="W997" s="11">
        <v>1.0</v>
      </c>
      <c r="X997" s="48">
        <v>1.435</v>
      </c>
      <c r="Y997" s="11">
        <f t="shared" si="2"/>
        <v>0.01435</v>
      </c>
    </row>
    <row r="998">
      <c r="A998" s="17">
        <v>11.0</v>
      </c>
      <c r="B998" s="24">
        <v>61.0</v>
      </c>
      <c r="C998" s="24">
        <v>2.0</v>
      </c>
      <c r="D998" s="24">
        <v>7.0</v>
      </c>
      <c r="E998" s="24">
        <v>63.0</v>
      </c>
      <c r="F998" s="48">
        <v>1.1159</v>
      </c>
      <c r="G998" s="49">
        <f t="shared" si="1"/>
        <v>0.011159</v>
      </c>
      <c r="H998" s="11">
        <v>1.0</v>
      </c>
      <c r="I998" s="11">
        <v>5.0</v>
      </c>
      <c r="J998" s="50">
        <v>101923.0</v>
      </c>
      <c r="K998" s="11">
        <v>9.0</v>
      </c>
      <c r="L998" s="11">
        <v>4.0</v>
      </c>
      <c r="M998" s="51">
        <v>9.0</v>
      </c>
      <c r="N998" s="17">
        <v>21.0</v>
      </c>
      <c r="O998" s="24" t="s">
        <v>39</v>
      </c>
      <c r="P998" s="52">
        <v>70422.0</v>
      </c>
      <c r="Q998" s="51">
        <v>991.0</v>
      </c>
      <c r="R998" s="53">
        <v>-43484.22</v>
      </c>
      <c r="S998" s="24" t="s">
        <v>605</v>
      </c>
      <c r="T998" s="11">
        <v>5.0</v>
      </c>
      <c r="U998" s="52">
        <v>13117.0</v>
      </c>
      <c r="V998" s="11">
        <v>0.0</v>
      </c>
      <c r="W998" s="11">
        <v>5.0</v>
      </c>
      <c r="X998" s="48">
        <v>6.3231</v>
      </c>
      <c r="Y998" s="11">
        <f t="shared" si="2"/>
        <v>0.063231</v>
      </c>
    </row>
    <row r="999">
      <c r="A999" s="17">
        <v>93.0</v>
      </c>
      <c r="B999" s="24">
        <v>61.0</v>
      </c>
      <c r="C999" s="24">
        <v>2.0</v>
      </c>
      <c r="D999" s="24">
        <v>8.0</v>
      </c>
      <c r="E999" s="24">
        <v>61.0</v>
      </c>
      <c r="F999" s="48">
        <v>4.8877</v>
      </c>
      <c r="G999" s="49">
        <f t="shared" si="1"/>
        <v>0.048877</v>
      </c>
      <c r="H999" s="11">
        <v>3.0</v>
      </c>
      <c r="I999" s="11">
        <v>5.0</v>
      </c>
      <c r="J999" s="50">
        <v>71215.0</v>
      </c>
      <c r="K999" s="11">
        <v>4.0</v>
      </c>
      <c r="L999" s="11">
        <v>7.0</v>
      </c>
      <c r="M999" s="51">
        <v>253.0</v>
      </c>
      <c r="N999" s="17">
        <v>99.0</v>
      </c>
      <c r="O999" s="24" t="s">
        <v>39</v>
      </c>
      <c r="P999" s="52">
        <v>52621.0</v>
      </c>
      <c r="Q999" s="51">
        <v>508.0</v>
      </c>
      <c r="R999" s="53">
        <v>164919.53</v>
      </c>
      <c r="S999" s="24" t="s">
        <v>604</v>
      </c>
      <c r="T999" s="11">
        <v>9.0</v>
      </c>
      <c r="U999" s="52">
        <v>42923.0</v>
      </c>
      <c r="V999" s="11">
        <v>1.0</v>
      </c>
      <c r="W999" s="11">
        <v>0.0</v>
      </c>
      <c r="X999" s="48">
        <v>5.8738</v>
      </c>
      <c r="Y999" s="11">
        <f t="shared" si="2"/>
        <v>0.058738</v>
      </c>
    </row>
    <row r="1000">
      <c r="A1000" s="17">
        <v>2.0</v>
      </c>
      <c r="B1000" s="24">
        <v>81.0</v>
      </c>
      <c r="C1000" s="24">
        <v>7.0</v>
      </c>
      <c r="D1000" s="24">
        <v>6.0</v>
      </c>
      <c r="E1000" s="24">
        <v>63.0</v>
      </c>
      <c r="F1000" s="48">
        <v>3.957</v>
      </c>
      <c r="G1000" s="49">
        <f t="shared" si="1"/>
        <v>0.03957</v>
      </c>
      <c r="H1000" s="11">
        <v>5.0</v>
      </c>
      <c r="I1000" s="11">
        <v>9.0</v>
      </c>
      <c r="J1000" s="50">
        <v>20317.0</v>
      </c>
      <c r="K1000" s="11">
        <v>0.0</v>
      </c>
      <c r="L1000" s="11">
        <v>0.0</v>
      </c>
      <c r="M1000" s="51">
        <v>452.0</v>
      </c>
      <c r="N1000" s="17">
        <v>21.0</v>
      </c>
      <c r="O1000" s="24" t="s">
        <v>39</v>
      </c>
      <c r="P1000" s="52">
        <v>21218.0</v>
      </c>
      <c r="Q1000" s="51">
        <v>615.0</v>
      </c>
      <c r="R1000" s="53">
        <v>-681650.7</v>
      </c>
      <c r="S1000" s="24" t="s">
        <v>605</v>
      </c>
      <c r="T1000" s="11">
        <v>1.0</v>
      </c>
      <c r="U1000" s="52">
        <v>50915.0</v>
      </c>
      <c r="V1000" s="11">
        <v>6.0</v>
      </c>
      <c r="W1000" s="11">
        <v>1.0</v>
      </c>
      <c r="X1000" s="48">
        <v>2.42</v>
      </c>
      <c r="Y1000" s="11">
        <f t="shared" si="2"/>
        <v>0.0242</v>
      </c>
    </row>
    <row r="1001">
      <c r="A1001" s="17">
        <v>58.0</v>
      </c>
      <c r="B1001" s="24">
        <v>81.0</v>
      </c>
      <c r="C1001" s="24">
        <v>8.0</v>
      </c>
      <c r="D1001" s="24">
        <v>5.0</v>
      </c>
      <c r="E1001" s="24">
        <v>60.0</v>
      </c>
      <c r="F1001" s="48">
        <v>2.3025</v>
      </c>
      <c r="G1001" s="49">
        <f t="shared" si="1"/>
        <v>0.023025</v>
      </c>
      <c r="H1001" s="11">
        <v>4.0</v>
      </c>
      <c r="I1001" s="11">
        <v>8.0</v>
      </c>
      <c r="J1001" s="50">
        <v>91822.0</v>
      </c>
      <c r="K1001" s="11">
        <v>8.0</v>
      </c>
      <c r="L1001" s="11">
        <v>0.0</v>
      </c>
      <c r="M1001" s="51">
        <v>149.0</v>
      </c>
      <c r="N1001" s="17">
        <v>28.0</v>
      </c>
      <c r="O1001" s="24" t="s">
        <v>603</v>
      </c>
      <c r="P1001" s="52">
        <v>20714.0</v>
      </c>
      <c r="Q1001" s="51">
        <v>113.0</v>
      </c>
      <c r="R1001" s="53">
        <v>273036.32</v>
      </c>
      <c r="S1001" s="24" t="s">
        <v>604</v>
      </c>
      <c r="T1001" s="11">
        <v>4.0</v>
      </c>
      <c r="U1001" s="52">
        <v>11517.0</v>
      </c>
      <c r="V1001" s="11">
        <v>1.0</v>
      </c>
      <c r="W1001" s="11">
        <v>3.0</v>
      </c>
      <c r="X1001" s="48">
        <v>7.8427</v>
      </c>
      <c r="Y1001" s="11">
        <f t="shared" si="2"/>
        <v>0.078427</v>
      </c>
    </row>
    <row r="1002">
      <c r="A1002" s="17">
        <v>64.0</v>
      </c>
      <c r="B1002" s="24">
        <v>61.0</v>
      </c>
      <c r="C1002" s="24">
        <v>3.0</v>
      </c>
      <c r="D1002" s="24">
        <v>9.0</v>
      </c>
      <c r="E1002" s="24">
        <v>62.0</v>
      </c>
      <c r="F1002" s="48">
        <v>7.4017</v>
      </c>
      <c r="G1002" s="49">
        <f t="shared" si="1"/>
        <v>0.074017</v>
      </c>
      <c r="H1002" s="11">
        <v>5.0</v>
      </c>
      <c r="I1002" s="11">
        <v>2.0</v>
      </c>
      <c r="J1002" s="50">
        <v>52918.0</v>
      </c>
      <c r="K1002" s="11">
        <v>2.0</v>
      </c>
      <c r="L1002" s="11">
        <v>8.0</v>
      </c>
      <c r="M1002" s="51">
        <v>888.0</v>
      </c>
      <c r="N1002" s="17">
        <v>36.0</v>
      </c>
      <c r="O1002" s="24" t="s">
        <v>606</v>
      </c>
      <c r="P1002" s="52">
        <v>52920.0</v>
      </c>
      <c r="Q1002" s="51">
        <v>890.0</v>
      </c>
      <c r="R1002" s="53">
        <v>743365.36</v>
      </c>
      <c r="S1002" s="24" t="s">
        <v>602</v>
      </c>
      <c r="T1002" s="11">
        <v>8.0</v>
      </c>
      <c r="U1002" s="52">
        <v>81116.0</v>
      </c>
      <c r="V1002" s="11">
        <v>5.0</v>
      </c>
      <c r="W1002" s="11">
        <v>0.0</v>
      </c>
      <c r="X1002" s="48">
        <v>7.8903</v>
      </c>
      <c r="Y1002" s="11">
        <f t="shared" si="2"/>
        <v>0.078903</v>
      </c>
    </row>
    <row r="1003">
      <c r="A1003" s="17">
        <v>3.0</v>
      </c>
      <c r="B1003" s="24">
        <v>81.0</v>
      </c>
      <c r="C1003" s="24">
        <v>9.0</v>
      </c>
      <c r="D1003" s="24">
        <v>1.0</v>
      </c>
      <c r="E1003" s="24">
        <v>67.0</v>
      </c>
      <c r="F1003" s="48">
        <v>8.5011</v>
      </c>
      <c r="G1003" s="49">
        <f t="shared" si="1"/>
        <v>0.085011</v>
      </c>
      <c r="H1003" s="11">
        <v>1.0</v>
      </c>
      <c r="I1003" s="11">
        <v>3.0</v>
      </c>
      <c r="J1003" s="50">
        <v>22218.0</v>
      </c>
      <c r="K1003" s="11">
        <v>0.0</v>
      </c>
      <c r="L1003" s="11">
        <v>8.0</v>
      </c>
      <c r="M1003" s="11">
        <v>449.0</v>
      </c>
      <c r="N1003" s="17">
        <v>22.0</v>
      </c>
      <c r="O1003" s="24" t="s">
        <v>31</v>
      </c>
      <c r="P1003" s="52">
        <v>73123.0</v>
      </c>
      <c r="Q1003" s="51">
        <v>568.0</v>
      </c>
      <c r="R1003" s="53">
        <v>15457.3</v>
      </c>
      <c r="S1003" s="24" t="s">
        <v>602</v>
      </c>
      <c r="T1003" s="11">
        <v>0.0</v>
      </c>
      <c r="U1003" s="52">
        <v>10519.0</v>
      </c>
      <c r="V1003" s="11">
        <v>3.0</v>
      </c>
      <c r="W1003" s="11">
        <v>1.0</v>
      </c>
      <c r="X1003" s="48">
        <v>7.366</v>
      </c>
      <c r="Y1003" s="11">
        <f t="shared" si="2"/>
        <v>0.07366</v>
      </c>
    </row>
    <row r="1004">
      <c r="A1004" s="54"/>
      <c r="G1004" s="55"/>
      <c r="U1004" s="56"/>
      <c r="X1004" s="57"/>
    </row>
    <row r="1005">
      <c r="A1005" s="54"/>
      <c r="G1005" s="55"/>
      <c r="U1005" s="56"/>
      <c r="X1005" s="57"/>
    </row>
    <row r="1006">
      <c r="A1006" s="54"/>
      <c r="G1006" s="55"/>
      <c r="U1006" s="56"/>
      <c r="X1006" s="57"/>
    </row>
    <row r="1007">
      <c r="A1007" s="54"/>
      <c r="G1007" s="55"/>
      <c r="U1007" s="56"/>
      <c r="X1007" s="57"/>
    </row>
    <row r="1008">
      <c r="A1008" s="54"/>
      <c r="G1008" s="55"/>
      <c r="U1008" s="56"/>
      <c r="X1008" s="57"/>
    </row>
    <row r="1009">
      <c r="A1009" s="54"/>
      <c r="G1009" s="55"/>
      <c r="U1009" s="56"/>
      <c r="X1009" s="57"/>
    </row>
    <row r="1010">
      <c r="A1010" s="54"/>
      <c r="G1010" s="55"/>
      <c r="U1010" s="56"/>
      <c r="X1010" s="57"/>
    </row>
    <row r="1011">
      <c r="A1011" s="54"/>
      <c r="G1011" s="55"/>
      <c r="U1011" s="56"/>
      <c r="X1011" s="57"/>
    </row>
    <row r="1012">
      <c r="A1012" s="54"/>
      <c r="G1012" s="55"/>
      <c r="U1012" s="56"/>
      <c r="X1012" s="57"/>
    </row>
    <row r="1013">
      <c r="A1013" s="54"/>
      <c r="G1013" s="55"/>
      <c r="U1013" s="56"/>
      <c r="X1013" s="57"/>
    </row>
    <row r="1014">
      <c r="A1014" s="54"/>
      <c r="G1014" s="55"/>
      <c r="U1014" s="56"/>
      <c r="X1014" s="57"/>
    </row>
    <row r="1015">
      <c r="A1015" s="54"/>
      <c r="G1015" s="55"/>
      <c r="U1015" s="56"/>
      <c r="X1015" s="57"/>
    </row>
    <row r="1016">
      <c r="A1016" s="54"/>
      <c r="G1016" s="55"/>
      <c r="U1016" s="56"/>
      <c r="X1016" s="57"/>
    </row>
    <row r="1017">
      <c r="A1017" s="54"/>
      <c r="G1017" s="55"/>
      <c r="U1017" s="56"/>
      <c r="X1017" s="57"/>
    </row>
    <row r="1018">
      <c r="A1018" s="54"/>
      <c r="G1018" s="55"/>
      <c r="U1018" s="56"/>
      <c r="X1018" s="57"/>
    </row>
    <row r="1019">
      <c r="A1019" s="54"/>
      <c r="G1019" s="55"/>
      <c r="U1019" s="56"/>
      <c r="X1019" s="57"/>
    </row>
    <row r="1020">
      <c r="A1020" s="54"/>
      <c r="G1020" s="55"/>
      <c r="U1020" s="56"/>
      <c r="X1020" s="57"/>
    </row>
    <row r="1021">
      <c r="A1021" s="54"/>
      <c r="G1021" s="55"/>
      <c r="U1021" s="56"/>
      <c r="X1021" s="57"/>
    </row>
    <row r="1022">
      <c r="A1022" s="54"/>
      <c r="G1022" s="55"/>
      <c r="U1022" s="56"/>
      <c r="X1022" s="57"/>
    </row>
    <row r="1023">
      <c r="A1023" s="54"/>
      <c r="G1023" s="55"/>
      <c r="U1023" s="56"/>
      <c r="X1023" s="57"/>
    </row>
    <row r="1024">
      <c r="A1024" s="54"/>
      <c r="G1024" s="55"/>
      <c r="U1024" s="56"/>
      <c r="X1024" s="57"/>
    </row>
    <row r="1025">
      <c r="A1025" s="54"/>
      <c r="G1025" s="55"/>
      <c r="U1025" s="56"/>
      <c r="X1025" s="57"/>
    </row>
    <row r="1026">
      <c r="A1026" s="54"/>
      <c r="G1026" s="55"/>
      <c r="U1026" s="56"/>
      <c r="X1026" s="57"/>
    </row>
    <row r="1027">
      <c r="A1027" s="54"/>
      <c r="G1027" s="55"/>
      <c r="U1027" s="56"/>
      <c r="X1027" s="57"/>
    </row>
    <row r="1028">
      <c r="A1028" s="54"/>
      <c r="G1028" s="55"/>
      <c r="U1028" s="56"/>
      <c r="X1028" s="57"/>
    </row>
    <row r="1029">
      <c r="A1029" s="54"/>
      <c r="G1029" s="55"/>
      <c r="U1029" s="56"/>
      <c r="X1029" s="57"/>
    </row>
    <row r="1030">
      <c r="A1030" s="54"/>
      <c r="G1030" s="55"/>
      <c r="U1030" s="56"/>
      <c r="X1030" s="57"/>
    </row>
    <row r="1031">
      <c r="A1031" s="54"/>
      <c r="G1031" s="55"/>
      <c r="U1031" s="56"/>
      <c r="X1031" s="57"/>
    </row>
    <row r="1032">
      <c r="A1032" s="54"/>
      <c r="G1032" s="55"/>
      <c r="U1032" s="56"/>
      <c r="X1032" s="57"/>
    </row>
    <row r="1033">
      <c r="A1033" s="54"/>
      <c r="G1033" s="55"/>
      <c r="U1033" s="56"/>
      <c r="X1033" s="57"/>
    </row>
    <row r="1034">
      <c r="A1034" s="54"/>
      <c r="G1034" s="55"/>
      <c r="U1034" s="56"/>
      <c r="X1034" s="57"/>
    </row>
    <row r="1035">
      <c r="A1035" s="54"/>
      <c r="G1035" s="55"/>
      <c r="U1035" s="56"/>
      <c r="X1035" s="57"/>
    </row>
    <row r="1036">
      <c r="A1036" s="54"/>
      <c r="G1036" s="55"/>
      <c r="U1036" s="56"/>
      <c r="X1036" s="57"/>
    </row>
    <row r="1037">
      <c r="A1037" s="54"/>
      <c r="G1037" s="55"/>
      <c r="U1037" s="56"/>
      <c r="X1037" s="57"/>
    </row>
    <row r="1038">
      <c r="A1038" s="54"/>
      <c r="G1038" s="55"/>
      <c r="U1038" s="56"/>
      <c r="X1038" s="57"/>
    </row>
    <row r="1039">
      <c r="A1039" s="54"/>
      <c r="G1039" s="55"/>
      <c r="U1039" s="56"/>
      <c r="X1039" s="57"/>
    </row>
    <row r="1040">
      <c r="A1040" s="54"/>
      <c r="G1040" s="55"/>
      <c r="U1040" s="56"/>
      <c r="X1040" s="57"/>
    </row>
    <row r="1041">
      <c r="A1041" s="54"/>
      <c r="G1041" s="55"/>
      <c r="U1041" s="56"/>
      <c r="X1041" s="57"/>
    </row>
    <row r="1042">
      <c r="A1042" s="54"/>
      <c r="G1042" s="55"/>
      <c r="U1042" s="56"/>
      <c r="X1042" s="57"/>
    </row>
    <row r="1043">
      <c r="A1043" s="54"/>
      <c r="G1043" s="55"/>
      <c r="U1043" s="56"/>
      <c r="X1043" s="57"/>
    </row>
    <row r="1044">
      <c r="A1044" s="54"/>
      <c r="G1044" s="55"/>
      <c r="U1044" s="56"/>
      <c r="X1044" s="57"/>
    </row>
    <row r="1045">
      <c r="A1045" s="54"/>
      <c r="G1045" s="55"/>
      <c r="U1045" s="56"/>
      <c r="X1045" s="57"/>
    </row>
    <row r="1046">
      <c r="A1046" s="54"/>
      <c r="G1046" s="55"/>
      <c r="U1046" s="56"/>
      <c r="X1046" s="57"/>
    </row>
    <row r="1047">
      <c r="A1047" s="54"/>
      <c r="G1047" s="55"/>
      <c r="U1047" s="56"/>
      <c r="X1047" s="57"/>
    </row>
    <row r="1048">
      <c r="A1048" s="54"/>
      <c r="G1048" s="55"/>
      <c r="U1048" s="56"/>
      <c r="X1048" s="57"/>
    </row>
    <row r="1049">
      <c r="A1049" s="54"/>
      <c r="G1049" s="55"/>
      <c r="U1049" s="56"/>
      <c r="X1049" s="57"/>
    </row>
    <row r="1050">
      <c r="A1050" s="54"/>
      <c r="G1050" s="55"/>
      <c r="U1050" s="56"/>
      <c r="X1050" s="57"/>
    </row>
    <row r="1051">
      <c r="A1051" s="54"/>
      <c r="G1051" s="55"/>
      <c r="U1051" s="56"/>
      <c r="X1051" s="57"/>
    </row>
    <row r="1052">
      <c r="A1052" s="54"/>
      <c r="G1052" s="55"/>
      <c r="U1052" s="56"/>
      <c r="X1052" s="57"/>
    </row>
    <row r="1053">
      <c r="A1053" s="54"/>
      <c r="G1053" s="55"/>
      <c r="U1053" s="56"/>
      <c r="X1053" s="57"/>
    </row>
    <row r="1054">
      <c r="A1054" s="54"/>
      <c r="G1054" s="55"/>
      <c r="U1054" s="56"/>
      <c r="X1054" s="57"/>
    </row>
    <row r="1055">
      <c r="A1055" s="54"/>
      <c r="G1055" s="55"/>
      <c r="U1055" s="56"/>
      <c r="X1055" s="57"/>
    </row>
    <row r="1056">
      <c r="A1056" s="54"/>
      <c r="G1056" s="55"/>
      <c r="U1056" s="56"/>
      <c r="X1056" s="57"/>
    </row>
    <row r="1057">
      <c r="A1057" s="54"/>
      <c r="G1057" s="55"/>
      <c r="U1057" s="56"/>
      <c r="X1057" s="57"/>
    </row>
    <row r="1058">
      <c r="A1058" s="54"/>
      <c r="G1058" s="55"/>
      <c r="U1058" s="56"/>
      <c r="X1058" s="57"/>
    </row>
    <row r="1059">
      <c r="A1059" s="54"/>
      <c r="G1059" s="55"/>
      <c r="U1059" s="56"/>
      <c r="X1059" s="57"/>
    </row>
    <row r="1060">
      <c r="A1060" s="54"/>
      <c r="G1060" s="55"/>
      <c r="U1060" s="56"/>
      <c r="X1060" s="57"/>
    </row>
    <row r="1061">
      <c r="A1061" s="54"/>
      <c r="G1061" s="55"/>
      <c r="U1061" s="56"/>
      <c r="X1061" s="57"/>
    </row>
    <row r="1062">
      <c r="A1062" s="54"/>
      <c r="G1062" s="55"/>
      <c r="U1062" s="56"/>
      <c r="X1062" s="57"/>
    </row>
    <row r="1063">
      <c r="A1063" s="54"/>
      <c r="G1063" s="55"/>
      <c r="U1063" s="56"/>
      <c r="X1063" s="57"/>
    </row>
    <row r="1064">
      <c r="A1064" s="54"/>
      <c r="G1064" s="55"/>
      <c r="U1064" s="56"/>
      <c r="X1064" s="57"/>
    </row>
    <row r="1065">
      <c r="A1065" s="54"/>
      <c r="G1065" s="55"/>
      <c r="U1065" s="56"/>
      <c r="X1065" s="57"/>
    </row>
    <row r="1066">
      <c r="A1066" s="54"/>
      <c r="G1066" s="55"/>
      <c r="U1066" s="56"/>
      <c r="X1066" s="57"/>
    </row>
    <row r="1067">
      <c r="A1067" s="54"/>
      <c r="G1067" s="55"/>
      <c r="U1067" s="56"/>
      <c r="X1067" s="57"/>
    </row>
    <row r="1068">
      <c r="A1068" s="54"/>
      <c r="G1068" s="55"/>
      <c r="U1068" s="56"/>
      <c r="X1068" s="57"/>
    </row>
    <row r="1069">
      <c r="A1069" s="54"/>
      <c r="G1069" s="55"/>
      <c r="U1069" s="56"/>
      <c r="X1069" s="57"/>
    </row>
    <row r="1070">
      <c r="A1070" s="54"/>
      <c r="G1070" s="55"/>
      <c r="U1070" s="56"/>
      <c r="X1070" s="57"/>
    </row>
    <row r="1071">
      <c r="A1071" s="54"/>
      <c r="G1071" s="55"/>
      <c r="U1071" s="56"/>
      <c r="X1071" s="57"/>
    </row>
    <row r="1072">
      <c r="A1072" s="54"/>
      <c r="G1072" s="55"/>
      <c r="U1072" s="56"/>
      <c r="X1072" s="57"/>
    </row>
    <row r="1073">
      <c r="A1073" s="54"/>
      <c r="G1073" s="55"/>
      <c r="U1073" s="56"/>
      <c r="X1073" s="57"/>
    </row>
    <row r="1074">
      <c r="A1074" s="54"/>
      <c r="G1074" s="55"/>
      <c r="U1074" s="56"/>
      <c r="X1074" s="57"/>
    </row>
    <row r="1075">
      <c r="A1075" s="54"/>
      <c r="G1075" s="55"/>
      <c r="U1075" s="56"/>
      <c r="X1075" s="57"/>
    </row>
    <row r="1076">
      <c r="A1076" s="54"/>
      <c r="G1076" s="55"/>
      <c r="U1076" s="56"/>
      <c r="X1076" s="57"/>
    </row>
    <row r="1077">
      <c r="A1077" s="54"/>
      <c r="G1077" s="55"/>
      <c r="U1077" s="56"/>
      <c r="X1077" s="57"/>
    </row>
    <row r="1078">
      <c r="A1078" s="54"/>
      <c r="G1078" s="55"/>
      <c r="U1078" s="56"/>
      <c r="X1078" s="57"/>
    </row>
    <row r="1079">
      <c r="A1079" s="54"/>
      <c r="G1079" s="55"/>
      <c r="U1079" s="56"/>
      <c r="X1079" s="57"/>
    </row>
    <row r="1080">
      <c r="A1080" s="54"/>
      <c r="G1080" s="55"/>
      <c r="U1080" s="56"/>
      <c r="X1080" s="57"/>
    </row>
    <row r="1081">
      <c r="A1081" s="54"/>
      <c r="G1081" s="55"/>
      <c r="U1081" s="56"/>
      <c r="X1081" s="57"/>
    </row>
    <row r="1082">
      <c r="A1082" s="54"/>
      <c r="G1082" s="55"/>
      <c r="U1082" s="56"/>
      <c r="X1082" s="57"/>
    </row>
    <row r="1083">
      <c r="A1083" s="54"/>
      <c r="G1083" s="55"/>
      <c r="U1083" s="56"/>
      <c r="X1083" s="57"/>
    </row>
    <row r="1084">
      <c r="A1084" s="54"/>
      <c r="G1084" s="55"/>
      <c r="U1084" s="56"/>
      <c r="X1084" s="57"/>
    </row>
    <row r="1085">
      <c r="A1085" s="54"/>
      <c r="G1085" s="55"/>
      <c r="U1085" s="56"/>
      <c r="X1085" s="57"/>
    </row>
    <row r="1086">
      <c r="A1086" s="54"/>
      <c r="G1086" s="55"/>
      <c r="U1086" s="56"/>
      <c r="X1086" s="57"/>
    </row>
    <row r="1087">
      <c r="A1087" s="54"/>
      <c r="G1087" s="55"/>
      <c r="U1087" s="56"/>
      <c r="X1087" s="57"/>
    </row>
    <row r="1088">
      <c r="A1088" s="54"/>
      <c r="G1088" s="55"/>
      <c r="U1088" s="56"/>
      <c r="X1088" s="57"/>
    </row>
    <row r="1089">
      <c r="A1089" s="54"/>
      <c r="G1089" s="55"/>
      <c r="U1089" s="56"/>
      <c r="X1089" s="57"/>
    </row>
    <row r="1090">
      <c r="A1090" s="54"/>
      <c r="G1090" s="55"/>
      <c r="U1090" s="56"/>
      <c r="X1090" s="57"/>
    </row>
    <row r="1091">
      <c r="A1091" s="54"/>
      <c r="G1091" s="55"/>
      <c r="U1091" s="56"/>
      <c r="X1091" s="57"/>
    </row>
    <row r="1092">
      <c r="A1092" s="54"/>
      <c r="G1092" s="55"/>
      <c r="U1092" s="56"/>
      <c r="X1092" s="57"/>
    </row>
    <row r="1093">
      <c r="A1093" s="54"/>
      <c r="G1093" s="55"/>
      <c r="U1093" s="56"/>
      <c r="X1093" s="57"/>
    </row>
    <row r="1094">
      <c r="A1094" s="54"/>
      <c r="G1094" s="55"/>
      <c r="U1094" s="56"/>
      <c r="X1094" s="57"/>
    </row>
    <row r="1095">
      <c r="A1095" s="54"/>
      <c r="G1095" s="55"/>
      <c r="U1095" s="56"/>
      <c r="X1095" s="57"/>
    </row>
    <row r="1096">
      <c r="A1096" s="54"/>
      <c r="G1096" s="55"/>
      <c r="U1096" s="56"/>
      <c r="X1096" s="57"/>
    </row>
    <row r="1097">
      <c r="A1097" s="54"/>
      <c r="G1097" s="55"/>
      <c r="U1097" s="56"/>
      <c r="X1097" s="57"/>
    </row>
    <row r="1098">
      <c r="A1098" s="54"/>
      <c r="G1098" s="55"/>
      <c r="U1098" s="56"/>
      <c r="X1098" s="57"/>
    </row>
    <row r="1099">
      <c r="A1099" s="54"/>
      <c r="G1099" s="55"/>
      <c r="U1099" s="56"/>
      <c r="X1099" s="57"/>
    </row>
    <row r="1100">
      <c r="A1100" s="54"/>
      <c r="G1100" s="55"/>
      <c r="U1100" s="56"/>
      <c r="X1100" s="57"/>
    </row>
    <row r="1101">
      <c r="A1101" s="54"/>
      <c r="G1101" s="55"/>
      <c r="U1101" s="56"/>
      <c r="X1101" s="57"/>
    </row>
    <row r="1102">
      <c r="A1102" s="54"/>
      <c r="G1102" s="55"/>
      <c r="U1102" s="56"/>
      <c r="X1102" s="57"/>
    </row>
    <row r="1103">
      <c r="A1103" s="54"/>
      <c r="G1103" s="55"/>
      <c r="U1103" s="56"/>
      <c r="X1103" s="57"/>
    </row>
    <row r="1104">
      <c r="A1104" s="54"/>
      <c r="G1104" s="55"/>
      <c r="U1104" s="56"/>
      <c r="X1104" s="57"/>
    </row>
    <row r="1105">
      <c r="A1105" s="54"/>
      <c r="G1105" s="55"/>
      <c r="U1105" s="56"/>
      <c r="X1105" s="57"/>
    </row>
    <row r="1106">
      <c r="A1106" s="54"/>
      <c r="G1106" s="55"/>
      <c r="U1106" s="56"/>
      <c r="X1106" s="57"/>
    </row>
    <row r="1107">
      <c r="A1107" s="54"/>
      <c r="G1107" s="55"/>
      <c r="U1107" s="56"/>
      <c r="X1107" s="57"/>
    </row>
    <row r="1108">
      <c r="A1108" s="54"/>
      <c r="G1108" s="55"/>
      <c r="U1108" s="56"/>
      <c r="X1108" s="57"/>
    </row>
    <row r="1109">
      <c r="A1109" s="54"/>
      <c r="G1109" s="55"/>
      <c r="U1109" s="56"/>
      <c r="X1109" s="57"/>
    </row>
    <row r="1110">
      <c r="A1110" s="54"/>
      <c r="G1110" s="55"/>
      <c r="U1110" s="56"/>
      <c r="X1110" s="57"/>
    </row>
    <row r="1111">
      <c r="A1111" s="54"/>
      <c r="G1111" s="55"/>
      <c r="U1111" s="56"/>
      <c r="X1111" s="57"/>
    </row>
    <row r="1112">
      <c r="A1112" s="54"/>
      <c r="G1112" s="55"/>
      <c r="U1112" s="56"/>
      <c r="X1112" s="57"/>
    </row>
    <row r="1113">
      <c r="A1113" s="54"/>
      <c r="G1113" s="55"/>
      <c r="U1113" s="56"/>
      <c r="X1113" s="57"/>
    </row>
    <row r="1114">
      <c r="A1114" s="54"/>
      <c r="G1114" s="55"/>
      <c r="U1114" s="56"/>
      <c r="X1114" s="57"/>
    </row>
    <row r="1115">
      <c r="A1115" s="54"/>
      <c r="G1115" s="55"/>
      <c r="U1115" s="56"/>
      <c r="X1115" s="57"/>
    </row>
    <row r="1116">
      <c r="A1116" s="54"/>
      <c r="G1116" s="55"/>
      <c r="U1116" s="56"/>
      <c r="X1116" s="57"/>
    </row>
    <row r="1117">
      <c r="A1117" s="54"/>
      <c r="G1117" s="55"/>
      <c r="U1117" s="56"/>
      <c r="X1117" s="57"/>
    </row>
    <row r="1118">
      <c r="A1118" s="54"/>
      <c r="G1118" s="55"/>
      <c r="U1118" s="56"/>
      <c r="X1118" s="57"/>
    </row>
    <row r="1119">
      <c r="A1119" s="54"/>
      <c r="G1119" s="55"/>
      <c r="U1119" s="56"/>
      <c r="X1119" s="57"/>
    </row>
    <row r="1120">
      <c r="A1120" s="54"/>
      <c r="G1120" s="55"/>
      <c r="U1120" s="56"/>
      <c r="X1120" s="57"/>
    </row>
    <row r="1121">
      <c r="A1121" s="54"/>
      <c r="G1121" s="55"/>
      <c r="U1121" s="56"/>
      <c r="X1121" s="57"/>
    </row>
    <row r="1122">
      <c r="A1122" s="54"/>
      <c r="G1122" s="55"/>
      <c r="U1122" s="56"/>
      <c r="X1122" s="57"/>
    </row>
    <row r="1123">
      <c r="A1123" s="54"/>
      <c r="G1123" s="55"/>
      <c r="U1123" s="56"/>
      <c r="X1123" s="57"/>
    </row>
    <row r="1124">
      <c r="A1124" s="54"/>
      <c r="G1124" s="55"/>
      <c r="U1124" s="56"/>
      <c r="X1124" s="57"/>
    </row>
    <row r="1125">
      <c r="A1125" s="54"/>
      <c r="G1125" s="55"/>
      <c r="U1125" s="56"/>
      <c r="X1125" s="57"/>
    </row>
    <row r="1126">
      <c r="A1126" s="54"/>
      <c r="G1126" s="55"/>
      <c r="U1126" s="56"/>
      <c r="X1126" s="57"/>
    </row>
    <row r="1127">
      <c r="A1127" s="54"/>
      <c r="G1127" s="55"/>
      <c r="U1127" s="56"/>
      <c r="X1127" s="57"/>
    </row>
    <row r="1128">
      <c r="A1128" s="54"/>
      <c r="G1128" s="55"/>
      <c r="U1128" s="56"/>
      <c r="X1128" s="57"/>
    </row>
    <row r="1129">
      <c r="A1129" s="54"/>
      <c r="G1129" s="55"/>
      <c r="U1129" s="56"/>
      <c r="X1129" s="57"/>
    </row>
    <row r="1130">
      <c r="A1130" s="54"/>
      <c r="G1130" s="55"/>
      <c r="U1130" s="56"/>
      <c r="X1130" s="57"/>
    </row>
    <row r="1131">
      <c r="A1131" s="54"/>
      <c r="G1131" s="55"/>
      <c r="U1131" s="56"/>
      <c r="X1131" s="57"/>
    </row>
    <row r="1132">
      <c r="A1132" s="54"/>
      <c r="G1132" s="55"/>
      <c r="U1132" s="56"/>
      <c r="X1132" s="57"/>
    </row>
    <row r="1133">
      <c r="A1133" s="54"/>
      <c r="G1133" s="55"/>
      <c r="U1133" s="56"/>
      <c r="X1133" s="57"/>
    </row>
    <row r="1134">
      <c r="A1134" s="54"/>
      <c r="G1134" s="55"/>
      <c r="U1134" s="56"/>
      <c r="X1134" s="57"/>
    </row>
    <row r="1135">
      <c r="A1135" s="54"/>
      <c r="G1135" s="55"/>
      <c r="U1135" s="56"/>
      <c r="X1135" s="57"/>
    </row>
    <row r="1136">
      <c r="A1136" s="54"/>
      <c r="G1136" s="55"/>
      <c r="U1136" s="56"/>
      <c r="X1136" s="57"/>
    </row>
    <row r="1137">
      <c r="A1137" s="54"/>
      <c r="G1137" s="55"/>
      <c r="U1137" s="56"/>
      <c r="X1137" s="57"/>
    </row>
    <row r="1138">
      <c r="A1138" s="54"/>
      <c r="G1138" s="55"/>
      <c r="U1138" s="56"/>
      <c r="X1138" s="57"/>
    </row>
    <row r="1139">
      <c r="A1139" s="54"/>
      <c r="G1139" s="55"/>
      <c r="U1139" s="56"/>
      <c r="X1139" s="57"/>
    </row>
    <row r="1140">
      <c r="A1140" s="54"/>
      <c r="G1140" s="55"/>
      <c r="U1140" s="56"/>
      <c r="X1140" s="57"/>
    </row>
    <row r="1141">
      <c r="A1141" s="54"/>
      <c r="G1141" s="55"/>
      <c r="U1141" s="56"/>
      <c r="X1141" s="57"/>
    </row>
    <row r="1142">
      <c r="A1142" s="54"/>
      <c r="G1142" s="55"/>
      <c r="U1142" s="56"/>
      <c r="X1142" s="57"/>
    </row>
    <row r="1143">
      <c r="A1143" s="54"/>
      <c r="G1143" s="55"/>
      <c r="U1143" s="56"/>
      <c r="X1143" s="57"/>
    </row>
    <row r="1144">
      <c r="A1144" s="54"/>
      <c r="G1144" s="55"/>
      <c r="U1144" s="56"/>
      <c r="X1144" s="57"/>
    </row>
    <row r="1145">
      <c r="A1145" s="54"/>
      <c r="G1145" s="55"/>
      <c r="U1145" s="56"/>
      <c r="X1145" s="57"/>
    </row>
    <row r="1146">
      <c r="A1146" s="54"/>
      <c r="G1146" s="55"/>
      <c r="U1146" s="56"/>
      <c r="X1146" s="57"/>
    </row>
    <row r="1147">
      <c r="A1147" s="54"/>
      <c r="G1147" s="55"/>
      <c r="U1147" s="56"/>
      <c r="X1147" s="57"/>
    </row>
    <row r="1148">
      <c r="A1148" s="54"/>
      <c r="G1148" s="55"/>
      <c r="U1148" s="56"/>
      <c r="X1148" s="57"/>
    </row>
    <row r="1149">
      <c r="A1149" s="54"/>
      <c r="G1149" s="55"/>
      <c r="U1149" s="56"/>
      <c r="X1149" s="57"/>
    </row>
    <row r="1150">
      <c r="A1150" s="54"/>
      <c r="G1150" s="55"/>
      <c r="U1150" s="56"/>
      <c r="X1150" s="57"/>
    </row>
    <row r="1151">
      <c r="A1151" s="54"/>
      <c r="G1151" s="55"/>
      <c r="U1151" s="56"/>
      <c r="X1151" s="57"/>
    </row>
    <row r="1152">
      <c r="A1152" s="54"/>
      <c r="G1152" s="55"/>
      <c r="U1152" s="56"/>
      <c r="X1152" s="57"/>
    </row>
    <row r="1153">
      <c r="A1153" s="54"/>
      <c r="G1153" s="55"/>
      <c r="U1153" s="56"/>
      <c r="X1153" s="57"/>
    </row>
    <row r="1154">
      <c r="A1154" s="54"/>
      <c r="G1154" s="55"/>
      <c r="U1154" s="56"/>
      <c r="X1154" s="57"/>
    </row>
    <row r="1155">
      <c r="A1155" s="54"/>
      <c r="G1155" s="55"/>
      <c r="U1155" s="56"/>
      <c r="X1155" s="57"/>
    </row>
    <row r="1156">
      <c r="A1156" s="54"/>
      <c r="G1156" s="55"/>
      <c r="U1156" s="56"/>
      <c r="X1156" s="57"/>
    </row>
    <row r="1157">
      <c r="A1157" s="54"/>
      <c r="G1157" s="55"/>
      <c r="U1157" s="56"/>
      <c r="X1157" s="57"/>
    </row>
    <row r="1158">
      <c r="A1158" s="54"/>
      <c r="G1158" s="55"/>
      <c r="U1158" s="56"/>
      <c r="X1158" s="57"/>
    </row>
    <row r="1159">
      <c r="A1159" s="54"/>
      <c r="G1159" s="55"/>
      <c r="U1159" s="56"/>
      <c r="X1159" s="57"/>
    </row>
    <row r="1160">
      <c r="A1160" s="54"/>
      <c r="G1160" s="55"/>
      <c r="U1160" s="56"/>
      <c r="X1160" s="57"/>
    </row>
    <row r="1161">
      <c r="A1161" s="54"/>
      <c r="G1161" s="55"/>
      <c r="U1161" s="56"/>
      <c r="X1161" s="57"/>
    </row>
    <row r="1162">
      <c r="A1162" s="54"/>
      <c r="G1162" s="55"/>
      <c r="U1162" s="56"/>
      <c r="X1162" s="57"/>
    </row>
    <row r="1163">
      <c r="A1163" s="54"/>
      <c r="G1163" s="55"/>
      <c r="U1163" s="56"/>
      <c r="X1163" s="57"/>
    </row>
    <row r="1164">
      <c r="A1164" s="54"/>
      <c r="G1164" s="55"/>
      <c r="U1164" s="56"/>
      <c r="X1164" s="57"/>
    </row>
    <row r="1165">
      <c r="A1165" s="54"/>
      <c r="G1165" s="55"/>
      <c r="U1165" s="56"/>
      <c r="X1165" s="57"/>
    </row>
    <row r="1166">
      <c r="A1166" s="54"/>
      <c r="G1166" s="55"/>
      <c r="U1166" s="56"/>
      <c r="X1166" s="57"/>
    </row>
    <row r="1167">
      <c r="A1167" s="54"/>
      <c r="G1167" s="55"/>
      <c r="U1167" s="56"/>
      <c r="X1167" s="57"/>
    </row>
    <row r="1168">
      <c r="A1168" s="54"/>
      <c r="G1168" s="55"/>
      <c r="U1168" s="56"/>
      <c r="X1168" s="57"/>
    </row>
    <row r="1169">
      <c r="A1169" s="54"/>
      <c r="G1169" s="55"/>
      <c r="U1169" s="56"/>
      <c r="X1169" s="57"/>
    </row>
    <row r="1170">
      <c r="A1170" s="54"/>
      <c r="G1170" s="55"/>
      <c r="U1170" s="56"/>
      <c r="X1170" s="57"/>
    </row>
    <row r="1171">
      <c r="A1171" s="54"/>
      <c r="G1171" s="55"/>
      <c r="U1171" s="56"/>
      <c r="X1171" s="57"/>
    </row>
    <row r="1172">
      <c r="A1172" s="54"/>
      <c r="G1172" s="55"/>
      <c r="U1172" s="56"/>
      <c r="X1172" s="57"/>
    </row>
    <row r="1173">
      <c r="A1173" s="54"/>
      <c r="G1173" s="55"/>
      <c r="U1173" s="56"/>
      <c r="X1173" s="57"/>
    </row>
    <row r="1174">
      <c r="A1174" s="54"/>
      <c r="G1174" s="55"/>
      <c r="U1174" s="56"/>
      <c r="X1174" s="57"/>
    </row>
    <row r="1175">
      <c r="A1175" s="54"/>
      <c r="G1175" s="55"/>
      <c r="U1175" s="56"/>
      <c r="X1175" s="57"/>
    </row>
    <row r="1176">
      <c r="A1176" s="54"/>
      <c r="G1176" s="55"/>
      <c r="U1176" s="56"/>
      <c r="X1176" s="57"/>
    </row>
    <row r="1177">
      <c r="A1177" s="54"/>
      <c r="G1177" s="55"/>
      <c r="U1177" s="56"/>
      <c r="X1177" s="57"/>
    </row>
    <row r="1178">
      <c r="A1178" s="54"/>
      <c r="G1178" s="55"/>
      <c r="U1178" s="56"/>
      <c r="X1178" s="57"/>
    </row>
    <row r="1179">
      <c r="A1179" s="54"/>
      <c r="G1179" s="55"/>
      <c r="U1179" s="56"/>
      <c r="X1179" s="57"/>
    </row>
    <row r="1180">
      <c r="A1180" s="54"/>
      <c r="G1180" s="55"/>
      <c r="U1180" s="56"/>
      <c r="X1180" s="57"/>
    </row>
    <row r="1181">
      <c r="A1181" s="54"/>
      <c r="G1181" s="55"/>
      <c r="U1181" s="56"/>
      <c r="X1181" s="57"/>
    </row>
    <row r="1182">
      <c r="A1182" s="54"/>
      <c r="G1182" s="55"/>
      <c r="U1182" s="56"/>
      <c r="X1182" s="57"/>
    </row>
    <row r="1183">
      <c r="A1183" s="54"/>
      <c r="G1183" s="55"/>
      <c r="U1183" s="56"/>
      <c r="X1183" s="57"/>
    </row>
    <row r="1184">
      <c r="A1184" s="54"/>
      <c r="G1184" s="55"/>
      <c r="U1184" s="56"/>
      <c r="X1184" s="57"/>
    </row>
    <row r="1185">
      <c r="A1185" s="54"/>
      <c r="G1185" s="55"/>
      <c r="U1185" s="56"/>
      <c r="X1185" s="57"/>
    </row>
    <row r="1186">
      <c r="A1186" s="54"/>
      <c r="G1186" s="55"/>
      <c r="U1186" s="56"/>
      <c r="X1186" s="57"/>
    </row>
    <row r="1187">
      <c r="A1187" s="54"/>
      <c r="G1187" s="55"/>
      <c r="U1187" s="56"/>
      <c r="X1187" s="57"/>
    </row>
    <row r="1188">
      <c r="A1188" s="54"/>
      <c r="G1188" s="55"/>
      <c r="U1188" s="56"/>
      <c r="X1188" s="57"/>
    </row>
    <row r="1189">
      <c r="A1189" s="54"/>
      <c r="G1189" s="55"/>
      <c r="U1189" s="56"/>
      <c r="X1189" s="57"/>
    </row>
    <row r="1190">
      <c r="A1190" s="54"/>
      <c r="G1190" s="55"/>
      <c r="U1190" s="56"/>
      <c r="X1190" s="57"/>
    </row>
    <row r="1191">
      <c r="A1191" s="54"/>
      <c r="G1191" s="55"/>
      <c r="U1191" s="56"/>
      <c r="X1191" s="57"/>
    </row>
    <row r="1192">
      <c r="A1192" s="54"/>
      <c r="G1192" s="55"/>
      <c r="U1192" s="56"/>
      <c r="X1192" s="57"/>
    </row>
    <row r="1193">
      <c r="A1193" s="54"/>
      <c r="G1193" s="55"/>
      <c r="U1193" s="56"/>
      <c r="X1193" s="57"/>
    </row>
    <row r="1194">
      <c r="A1194" s="54"/>
      <c r="G1194" s="55"/>
      <c r="U1194" s="56"/>
      <c r="X1194" s="57"/>
    </row>
    <row r="1195">
      <c r="A1195" s="54"/>
      <c r="G1195" s="55"/>
      <c r="U1195" s="56"/>
      <c r="X1195" s="57"/>
    </row>
    <row r="1196">
      <c r="A1196" s="54"/>
      <c r="G1196" s="55"/>
      <c r="U1196" s="56"/>
      <c r="X1196" s="57"/>
    </row>
    <row r="1197">
      <c r="A1197" s="54"/>
      <c r="G1197" s="55"/>
      <c r="U1197" s="56"/>
      <c r="X1197" s="57"/>
    </row>
    <row r="1198">
      <c r="A1198" s="54"/>
      <c r="G1198" s="55"/>
      <c r="U1198" s="56"/>
      <c r="X1198" s="57"/>
    </row>
    <row r="1199">
      <c r="A1199" s="54"/>
      <c r="G1199" s="55"/>
      <c r="U1199" s="56"/>
      <c r="X1199" s="57"/>
    </row>
    <row r="1200">
      <c r="A1200" s="54"/>
      <c r="G1200" s="55"/>
      <c r="U1200" s="56"/>
      <c r="X1200" s="57"/>
    </row>
    <row r="1201">
      <c r="A1201" s="54"/>
      <c r="G1201" s="55"/>
      <c r="U1201" s="56"/>
      <c r="X1201" s="57"/>
    </row>
    <row r="1202">
      <c r="A1202" s="54"/>
      <c r="G1202" s="55"/>
      <c r="U1202" s="56"/>
      <c r="X1202" s="57"/>
    </row>
    <row r="1203">
      <c r="A1203" s="54"/>
      <c r="G1203" s="55"/>
      <c r="U1203" s="56"/>
      <c r="X1203" s="57"/>
    </row>
    <row r="1204">
      <c r="A1204" s="54"/>
      <c r="G1204" s="55"/>
      <c r="U1204" s="56"/>
      <c r="X1204" s="57"/>
    </row>
    <row r="1205">
      <c r="A1205" s="54"/>
      <c r="G1205" s="55"/>
      <c r="U1205" s="56"/>
      <c r="X1205" s="57"/>
    </row>
    <row r="1206">
      <c r="A1206" s="54"/>
      <c r="G1206" s="55"/>
      <c r="U1206" s="56"/>
      <c r="X1206" s="57"/>
    </row>
    <row r="1207">
      <c r="A1207" s="54"/>
      <c r="G1207" s="55"/>
      <c r="U1207" s="56"/>
      <c r="X1207" s="57"/>
    </row>
    <row r="1208">
      <c r="A1208" s="54"/>
      <c r="G1208" s="55"/>
      <c r="U1208" s="56"/>
      <c r="X1208" s="57"/>
    </row>
    <row r="1209">
      <c r="A1209" s="54"/>
      <c r="G1209" s="55"/>
      <c r="U1209" s="56"/>
      <c r="X1209" s="57"/>
    </row>
    <row r="1210">
      <c r="A1210" s="54"/>
      <c r="G1210" s="55"/>
      <c r="U1210" s="56"/>
      <c r="X1210" s="57"/>
    </row>
    <row r="1211">
      <c r="A1211" s="54"/>
      <c r="G1211" s="55"/>
      <c r="U1211" s="56"/>
      <c r="X1211" s="57"/>
    </row>
    <row r="1212">
      <c r="A1212" s="54"/>
      <c r="G1212" s="55"/>
      <c r="U1212" s="56"/>
      <c r="X1212" s="57"/>
    </row>
    <row r="1213">
      <c r="A1213" s="54"/>
      <c r="G1213" s="55"/>
      <c r="U1213" s="56"/>
      <c r="X1213" s="57"/>
    </row>
    <row r="1214">
      <c r="A1214" s="54"/>
      <c r="G1214" s="55"/>
      <c r="U1214" s="56"/>
      <c r="X1214" s="57"/>
    </row>
    <row r="1215">
      <c r="A1215" s="54"/>
      <c r="G1215" s="55"/>
      <c r="U1215" s="56"/>
      <c r="X1215" s="57"/>
    </row>
    <row r="1216">
      <c r="A1216" s="54"/>
      <c r="G1216" s="55"/>
      <c r="U1216" s="56"/>
      <c r="X1216" s="57"/>
    </row>
    <row r="1217">
      <c r="A1217" s="54"/>
      <c r="G1217" s="55"/>
      <c r="U1217" s="56"/>
      <c r="X1217" s="57"/>
    </row>
    <row r="1218">
      <c r="A1218" s="54"/>
      <c r="G1218" s="55"/>
      <c r="U1218" s="56"/>
      <c r="X1218" s="57"/>
    </row>
    <row r="1219">
      <c r="A1219" s="54"/>
      <c r="G1219" s="55"/>
      <c r="U1219" s="56"/>
      <c r="X1219" s="57"/>
    </row>
    <row r="1220">
      <c r="A1220" s="54"/>
      <c r="G1220" s="55"/>
      <c r="U1220" s="56"/>
      <c r="X1220" s="57"/>
    </row>
    <row r="1221">
      <c r="A1221" s="54"/>
      <c r="G1221" s="55"/>
      <c r="U1221" s="56"/>
      <c r="X1221" s="57"/>
    </row>
    <row r="1222">
      <c r="A1222" s="54"/>
      <c r="G1222" s="55"/>
      <c r="U1222" s="56"/>
      <c r="X1222" s="57"/>
    </row>
    <row r="1223">
      <c r="A1223" s="54"/>
      <c r="G1223" s="55"/>
      <c r="U1223" s="56"/>
      <c r="X1223" s="57"/>
    </row>
    <row r="1224">
      <c r="A1224" s="54"/>
      <c r="G1224" s="55"/>
      <c r="U1224" s="56"/>
      <c r="X1224" s="57"/>
    </row>
    <row r="1225">
      <c r="A1225" s="54"/>
      <c r="G1225" s="55"/>
      <c r="U1225" s="56"/>
      <c r="X1225" s="57"/>
    </row>
    <row r="1226">
      <c r="A1226" s="54"/>
      <c r="G1226" s="55"/>
      <c r="U1226" s="56"/>
      <c r="X1226" s="57"/>
    </row>
    <row r="1227">
      <c r="A1227" s="54"/>
      <c r="G1227" s="55"/>
      <c r="U1227" s="56"/>
      <c r="X1227" s="57"/>
    </row>
    <row r="1228">
      <c r="A1228" s="54"/>
      <c r="G1228" s="55"/>
      <c r="U1228" s="56"/>
      <c r="X1228" s="57"/>
    </row>
    <row r="1229">
      <c r="A1229" s="54"/>
      <c r="G1229" s="55"/>
      <c r="U1229" s="56"/>
      <c r="X1229" s="57"/>
    </row>
    <row r="1230">
      <c r="A1230" s="54"/>
      <c r="G1230" s="55"/>
      <c r="U1230" s="56"/>
      <c r="X1230" s="57"/>
    </row>
    <row r="1231">
      <c r="A1231" s="54"/>
      <c r="G1231" s="55"/>
      <c r="U1231" s="56"/>
      <c r="X1231" s="57"/>
    </row>
    <row r="1232">
      <c r="A1232" s="54"/>
      <c r="G1232" s="55"/>
      <c r="U1232" s="56"/>
      <c r="X1232" s="57"/>
    </row>
    <row r="1233">
      <c r="A1233" s="54"/>
      <c r="G1233" s="55"/>
      <c r="U1233" s="56"/>
      <c r="X1233" s="57"/>
    </row>
    <row r="1234">
      <c r="A1234" s="54"/>
      <c r="G1234" s="55"/>
      <c r="U1234" s="56"/>
      <c r="X1234" s="57"/>
    </row>
    <row r="1235">
      <c r="A1235" s="54"/>
      <c r="G1235" s="55"/>
      <c r="U1235" s="56"/>
      <c r="X1235" s="57"/>
    </row>
    <row r="1236">
      <c r="A1236" s="54"/>
      <c r="G1236" s="55"/>
      <c r="U1236" s="56"/>
      <c r="X1236" s="57"/>
    </row>
    <row r="1237">
      <c r="A1237" s="54"/>
      <c r="G1237" s="55"/>
      <c r="U1237" s="56"/>
      <c r="X1237" s="57"/>
    </row>
    <row r="1238">
      <c r="A1238" s="54"/>
      <c r="G1238" s="55"/>
      <c r="U1238" s="56"/>
      <c r="X1238" s="57"/>
    </row>
    <row r="1239">
      <c r="A1239" s="54"/>
      <c r="G1239" s="55"/>
      <c r="U1239" s="56"/>
      <c r="X1239" s="57"/>
    </row>
    <row r="1240">
      <c r="A1240" s="54"/>
      <c r="G1240" s="55"/>
      <c r="U1240" s="56"/>
      <c r="X1240" s="57"/>
    </row>
    <row r="1241">
      <c r="A1241" s="54"/>
      <c r="G1241" s="55"/>
      <c r="U1241" s="56"/>
      <c r="X1241" s="57"/>
    </row>
    <row r="1242">
      <c r="A1242" s="54"/>
      <c r="G1242" s="55"/>
      <c r="U1242" s="56"/>
      <c r="X1242" s="57"/>
    </row>
    <row r="1243">
      <c r="A1243" s="54"/>
      <c r="G1243" s="55"/>
      <c r="U1243" s="56"/>
      <c r="X1243" s="57"/>
    </row>
    <row r="1244">
      <c r="A1244" s="54"/>
      <c r="G1244" s="55"/>
      <c r="U1244" s="56"/>
      <c r="X1244" s="57"/>
    </row>
    <row r="1245">
      <c r="A1245" s="54"/>
      <c r="G1245" s="55"/>
      <c r="U1245" s="56"/>
      <c r="X1245" s="57"/>
    </row>
    <row r="1246">
      <c r="A1246" s="54"/>
      <c r="G1246" s="55"/>
      <c r="U1246" s="56"/>
      <c r="X1246" s="57"/>
    </row>
    <row r="1247">
      <c r="A1247" s="54"/>
      <c r="G1247" s="55"/>
      <c r="U1247" s="56"/>
      <c r="X1247" s="57"/>
    </row>
    <row r="1248">
      <c r="A1248" s="54"/>
      <c r="G1248" s="55"/>
      <c r="U1248" s="56"/>
      <c r="X1248" s="57"/>
    </row>
    <row r="1249">
      <c r="A1249" s="54"/>
      <c r="G1249" s="55"/>
      <c r="U1249" s="56"/>
      <c r="X1249" s="57"/>
    </row>
    <row r="1250">
      <c r="A1250" s="54"/>
      <c r="G1250" s="55"/>
      <c r="U1250" s="56"/>
      <c r="X1250" s="57"/>
    </row>
    <row r="1251">
      <c r="A1251" s="54"/>
      <c r="G1251" s="55"/>
      <c r="U1251" s="56"/>
      <c r="X1251" s="57"/>
    </row>
    <row r="1252">
      <c r="A1252" s="54"/>
      <c r="G1252" s="55"/>
      <c r="U1252" s="56"/>
      <c r="X1252" s="57"/>
    </row>
    <row r="1253">
      <c r="A1253" s="54"/>
      <c r="G1253" s="55"/>
      <c r="U1253" s="56"/>
      <c r="X1253" s="57"/>
    </row>
    <row r="1254">
      <c r="A1254" s="54"/>
      <c r="G1254" s="55"/>
      <c r="U1254" s="56"/>
      <c r="X1254" s="57"/>
    </row>
    <row r="1255">
      <c r="A1255" s="54"/>
      <c r="G1255" s="55"/>
      <c r="U1255" s="56"/>
      <c r="X1255" s="57"/>
    </row>
    <row r="1256">
      <c r="A1256" s="54"/>
      <c r="G1256" s="55"/>
      <c r="U1256" s="56"/>
      <c r="X1256" s="57"/>
    </row>
    <row r="1257">
      <c r="A1257" s="54"/>
      <c r="G1257" s="55"/>
      <c r="U1257" s="56"/>
      <c r="X1257" s="57"/>
    </row>
    <row r="1258">
      <c r="A1258" s="54"/>
      <c r="G1258" s="55"/>
      <c r="U1258" s="56"/>
      <c r="X1258" s="57"/>
    </row>
    <row r="1259">
      <c r="A1259" s="54"/>
      <c r="G1259" s="55"/>
      <c r="U1259" s="56"/>
      <c r="X1259" s="57"/>
    </row>
    <row r="1260">
      <c r="A1260" s="54"/>
      <c r="G1260" s="55"/>
      <c r="U1260" s="56"/>
      <c r="X1260" s="57"/>
    </row>
    <row r="1261">
      <c r="A1261" s="54"/>
      <c r="G1261" s="55"/>
      <c r="U1261" s="56"/>
      <c r="X1261" s="57"/>
    </row>
    <row r="1262">
      <c r="A1262" s="54"/>
      <c r="G1262" s="55"/>
      <c r="U1262" s="56"/>
      <c r="X1262" s="57"/>
    </row>
    <row r="1263">
      <c r="A1263" s="54"/>
      <c r="G1263" s="55"/>
      <c r="U1263" s="56"/>
      <c r="X1263" s="57"/>
    </row>
    <row r="1264">
      <c r="A1264" s="54"/>
      <c r="G1264" s="55"/>
      <c r="U1264" s="56"/>
      <c r="X1264" s="57"/>
    </row>
    <row r="1265">
      <c r="A1265" s="54"/>
      <c r="G1265" s="55"/>
      <c r="U1265" s="56"/>
      <c r="X1265" s="57"/>
    </row>
    <row r="1266">
      <c r="A1266" s="54"/>
      <c r="G1266" s="55"/>
      <c r="U1266" s="56"/>
      <c r="X1266" s="57"/>
    </row>
    <row r="1267">
      <c r="A1267" s="54"/>
      <c r="G1267" s="55"/>
      <c r="U1267" s="56"/>
      <c r="X1267" s="57"/>
    </row>
    <row r="1268">
      <c r="A1268" s="54"/>
      <c r="G1268" s="55"/>
      <c r="U1268" s="56"/>
      <c r="X1268" s="57"/>
    </row>
    <row r="1269">
      <c r="A1269" s="54"/>
      <c r="G1269" s="55"/>
      <c r="U1269" s="56"/>
      <c r="X1269" s="57"/>
    </row>
    <row r="1270">
      <c r="A1270" s="54"/>
      <c r="G1270" s="55"/>
      <c r="U1270" s="56"/>
      <c r="X1270" s="57"/>
    </row>
    <row r="1271">
      <c r="A1271" s="54"/>
      <c r="G1271" s="55"/>
      <c r="U1271" s="56"/>
      <c r="X1271" s="57"/>
    </row>
    <row r="1272">
      <c r="A1272" s="54"/>
      <c r="G1272" s="55"/>
      <c r="U1272" s="56"/>
      <c r="X1272" s="57"/>
    </row>
    <row r="1273">
      <c r="A1273" s="54"/>
      <c r="G1273" s="55"/>
      <c r="U1273" s="56"/>
      <c r="X1273" s="57"/>
    </row>
    <row r="1274">
      <c r="A1274" s="54"/>
      <c r="G1274" s="55"/>
      <c r="U1274" s="56"/>
      <c r="X1274" s="57"/>
    </row>
    <row r="1275">
      <c r="A1275" s="54"/>
      <c r="G1275" s="55"/>
      <c r="U1275" s="56"/>
      <c r="X1275" s="57"/>
    </row>
    <row r="1276">
      <c r="A1276" s="54"/>
      <c r="G1276" s="55"/>
      <c r="U1276" s="56"/>
      <c r="X1276" s="57"/>
    </row>
    <row r="1277">
      <c r="A1277" s="54"/>
      <c r="G1277" s="55"/>
      <c r="U1277" s="56"/>
      <c r="X1277" s="57"/>
    </row>
    <row r="1278">
      <c r="A1278" s="54"/>
      <c r="G1278" s="55"/>
      <c r="U1278" s="56"/>
      <c r="X1278" s="57"/>
    </row>
    <row r="1279">
      <c r="A1279" s="54"/>
      <c r="G1279" s="55"/>
      <c r="U1279" s="56"/>
      <c r="X1279" s="57"/>
    </row>
    <row r="1280">
      <c r="A1280" s="54"/>
      <c r="G1280" s="55"/>
      <c r="U1280" s="56"/>
      <c r="X1280" s="57"/>
    </row>
    <row r="1281">
      <c r="A1281" s="54"/>
      <c r="G1281" s="55"/>
      <c r="U1281" s="56"/>
      <c r="X1281" s="57"/>
    </row>
    <row r="1282">
      <c r="A1282" s="54"/>
      <c r="G1282" s="55"/>
      <c r="U1282" s="56"/>
      <c r="X1282" s="57"/>
    </row>
    <row r="1283">
      <c r="A1283" s="54"/>
      <c r="G1283" s="55"/>
      <c r="U1283" s="56"/>
      <c r="X1283" s="57"/>
    </row>
    <row r="1284">
      <c r="A1284" s="54"/>
      <c r="G1284" s="55"/>
      <c r="U1284" s="56"/>
      <c r="X1284" s="57"/>
    </row>
    <row r="1285">
      <c r="A1285" s="54"/>
      <c r="G1285" s="55"/>
      <c r="U1285" s="56"/>
      <c r="X1285" s="57"/>
    </row>
    <row r="1286">
      <c r="A1286" s="54"/>
      <c r="G1286" s="55"/>
      <c r="U1286" s="56"/>
      <c r="X1286" s="57"/>
    </row>
    <row r="1287">
      <c r="A1287" s="54"/>
      <c r="G1287" s="55"/>
      <c r="U1287" s="56"/>
      <c r="X1287" s="57"/>
    </row>
    <row r="1288">
      <c r="A1288" s="54"/>
      <c r="G1288" s="55"/>
      <c r="U1288" s="56"/>
      <c r="X1288" s="57"/>
    </row>
    <row r="1289">
      <c r="A1289" s="54"/>
      <c r="G1289" s="55"/>
      <c r="U1289" s="56"/>
      <c r="X1289" s="57"/>
    </row>
    <row r="1290">
      <c r="A1290" s="54"/>
      <c r="G1290" s="55"/>
      <c r="U1290" s="56"/>
      <c r="X1290" s="57"/>
    </row>
    <row r="1291">
      <c r="A1291" s="54"/>
      <c r="G1291" s="55"/>
      <c r="U1291" s="56"/>
      <c r="X1291" s="57"/>
    </row>
    <row r="1292">
      <c r="A1292" s="54"/>
      <c r="G1292" s="55"/>
      <c r="U1292" s="56"/>
      <c r="X1292" s="57"/>
    </row>
    <row r="1293">
      <c r="A1293" s="54"/>
      <c r="G1293" s="55"/>
      <c r="U1293" s="56"/>
      <c r="X1293" s="57"/>
    </row>
    <row r="1294">
      <c r="A1294" s="54"/>
      <c r="G1294" s="55"/>
      <c r="U1294" s="56"/>
      <c r="X1294" s="57"/>
    </row>
    <row r="1295">
      <c r="A1295" s="54"/>
      <c r="G1295" s="55"/>
      <c r="U1295" s="56"/>
      <c r="X1295" s="57"/>
    </row>
    <row r="1296">
      <c r="A1296" s="54"/>
      <c r="G1296" s="55"/>
      <c r="U1296" s="56"/>
      <c r="X1296" s="57"/>
    </row>
    <row r="1297">
      <c r="A1297" s="54"/>
      <c r="G1297" s="55"/>
      <c r="U1297" s="56"/>
      <c r="X1297" s="57"/>
    </row>
    <row r="1298">
      <c r="A1298" s="54"/>
      <c r="G1298" s="55"/>
      <c r="U1298" s="56"/>
      <c r="X1298" s="57"/>
    </row>
    <row r="1299">
      <c r="A1299" s="54"/>
      <c r="G1299" s="55"/>
      <c r="U1299" s="56"/>
      <c r="X1299" s="57"/>
    </row>
    <row r="1300">
      <c r="A1300" s="54"/>
      <c r="G1300" s="55"/>
      <c r="U1300" s="56"/>
      <c r="X1300" s="57"/>
    </row>
    <row r="1301">
      <c r="A1301" s="54"/>
      <c r="G1301" s="55"/>
      <c r="U1301" s="56"/>
      <c r="X1301" s="57"/>
    </row>
    <row r="1302">
      <c r="A1302" s="54"/>
      <c r="G1302" s="55"/>
      <c r="U1302" s="56"/>
      <c r="X1302" s="57"/>
    </row>
    <row r="1303">
      <c r="A1303" s="54"/>
      <c r="G1303" s="55"/>
      <c r="U1303" s="56"/>
      <c r="X1303" s="57"/>
    </row>
    <row r="1304">
      <c r="A1304" s="54"/>
      <c r="G1304" s="55"/>
      <c r="U1304" s="56"/>
      <c r="X1304" s="57"/>
    </row>
    <row r="1305">
      <c r="A1305" s="54"/>
      <c r="G1305" s="55"/>
      <c r="U1305" s="56"/>
      <c r="X1305" s="57"/>
    </row>
    <row r="1306">
      <c r="A1306" s="54"/>
      <c r="G1306" s="55"/>
      <c r="U1306" s="56"/>
      <c r="X1306" s="57"/>
    </row>
    <row r="1307">
      <c r="A1307" s="54"/>
      <c r="G1307" s="55"/>
      <c r="U1307" s="56"/>
      <c r="X1307" s="57"/>
    </row>
    <row r="1308">
      <c r="A1308" s="54"/>
      <c r="G1308" s="55"/>
      <c r="U1308" s="56"/>
      <c r="X1308" s="57"/>
    </row>
    <row r="1309">
      <c r="A1309" s="54"/>
      <c r="G1309" s="55"/>
      <c r="U1309" s="56"/>
      <c r="X1309" s="57"/>
    </row>
    <row r="1310">
      <c r="A1310" s="54"/>
      <c r="G1310" s="55"/>
      <c r="U1310" s="56"/>
      <c r="X1310" s="57"/>
    </row>
    <row r="1311">
      <c r="A1311" s="54"/>
      <c r="G1311" s="55"/>
      <c r="U1311" s="56"/>
      <c r="X1311" s="57"/>
    </row>
    <row r="1312">
      <c r="A1312" s="54"/>
      <c r="G1312" s="55"/>
      <c r="U1312" s="56"/>
      <c r="X1312" s="57"/>
    </row>
    <row r="1313">
      <c r="A1313" s="54"/>
      <c r="G1313" s="55"/>
      <c r="U1313" s="56"/>
      <c r="X1313" s="57"/>
    </row>
    <row r="1314">
      <c r="A1314" s="54"/>
      <c r="G1314" s="55"/>
      <c r="U1314" s="56"/>
      <c r="X1314" s="57"/>
    </row>
    <row r="1315">
      <c r="A1315" s="54"/>
      <c r="G1315" s="55"/>
      <c r="U1315" s="56"/>
      <c r="X1315" s="57"/>
    </row>
    <row r="1316">
      <c r="A1316" s="54"/>
      <c r="G1316" s="55"/>
      <c r="U1316" s="56"/>
      <c r="X1316" s="57"/>
    </row>
    <row r="1317">
      <c r="A1317" s="54"/>
      <c r="G1317" s="55"/>
      <c r="U1317" s="56"/>
      <c r="X1317" s="57"/>
    </row>
    <row r="1318">
      <c r="A1318" s="54"/>
      <c r="G1318" s="55"/>
      <c r="U1318" s="56"/>
      <c r="X1318" s="57"/>
    </row>
    <row r="1319">
      <c r="A1319" s="54"/>
      <c r="G1319" s="55"/>
      <c r="U1319" s="56"/>
      <c r="X1319" s="57"/>
    </row>
    <row r="1320">
      <c r="A1320" s="54"/>
      <c r="G1320" s="55"/>
      <c r="U1320" s="56"/>
      <c r="X1320" s="57"/>
    </row>
    <row r="1321">
      <c r="A1321" s="54"/>
      <c r="G1321" s="55"/>
      <c r="U1321" s="56"/>
      <c r="X1321" s="57"/>
    </row>
    <row r="1322">
      <c r="A1322" s="54"/>
      <c r="G1322" s="55"/>
      <c r="U1322" s="56"/>
      <c r="X1322" s="57"/>
    </row>
    <row r="1323">
      <c r="A1323" s="54"/>
      <c r="G1323" s="55"/>
      <c r="U1323" s="56"/>
      <c r="X1323" s="57"/>
    </row>
    <row r="1324">
      <c r="A1324" s="54"/>
      <c r="G1324" s="55"/>
      <c r="U1324" s="56"/>
      <c r="X1324" s="57"/>
    </row>
    <row r="1325">
      <c r="A1325" s="54"/>
      <c r="G1325" s="55"/>
      <c r="U1325" s="56"/>
      <c r="X1325" s="57"/>
    </row>
    <row r="1326">
      <c r="A1326" s="54"/>
      <c r="G1326" s="55"/>
      <c r="U1326" s="56"/>
      <c r="X1326" s="57"/>
    </row>
    <row r="1327">
      <c r="A1327" s="54"/>
      <c r="G1327" s="55"/>
      <c r="U1327" s="56"/>
      <c r="X1327" s="57"/>
    </row>
    <row r="1328">
      <c r="A1328" s="54"/>
      <c r="G1328" s="55"/>
      <c r="U1328" s="56"/>
      <c r="X1328" s="57"/>
    </row>
    <row r="1329">
      <c r="A1329" s="54"/>
      <c r="G1329" s="55"/>
      <c r="U1329" s="56"/>
      <c r="X1329" s="57"/>
    </row>
    <row r="1330">
      <c r="A1330" s="54"/>
      <c r="G1330" s="55"/>
      <c r="U1330" s="56"/>
      <c r="X1330" s="57"/>
    </row>
    <row r="1331">
      <c r="A1331" s="54"/>
      <c r="G1331" s="55"/>
      <c r="U1331" s="56"/>
      <c r="X1331" s="57"/>
    </row>
    <row r="1332">
      <c r="A1332" s="54"/>
      <c r="G1332" s="55"/>
      <c r="U1332" s="56"/>
      <c r="X1332" s="57"/>
    </row>
    <row r="1333">
      <c r="A1333" s="54"/>
      <c r="G1333" s="55"/>
      <c r="U1333" s="56"/>
      <c r="X1333" s="57"/>
    </row>
    <row r="1334">
      <c r="A1334" s="54"/>
      <c r="G1334" s="55"/>
      <c r="U1334" s="56"/>
      <c r="X1334" s="57"/>
    </row>
    <row r="1335">
      <c r="A1335" s="54"/>
      <c r="G1335" s="55"/>
      <c r="U1335" s="56"/>
      <c r="X1335" s="57"/>
    </row>
    <row r="1336">
      <c r="A1336" s="54"/>
      <c r="G1336" s="55"/>
      <c r="U1336" s="56"/>
      <c r="X1336" s="57"/>
    </row>
    <row r="1337">
      <c r="A1337" s="54"/>
      <c r="G1337" s="55"/>
      <c r="U1337" s="56"/>
      <c r="X1337" s="57"/>
    </row>
    <row r="1338">
      <c r="A1338" s="54"/>
      <c r="G1338" s="55"/>
      <c r="U1338" s="56"/>
      <c r="X1338" s="57"/>
    </row>
    <row r="1339">
      <c r="A1339" s="54"/>
      <c r="G1339" s="55"/>
      <c r="U1339" s="56"/>
      <c r="X1339" s="57"/>
    </row>
    <row r="1340">
      <c r="A1340" s="54"/>
      <c r="G1340" s="55"/>
      <c r="U1340" s="56"/>
      <c r="X1340" s="57"/>
    </row>
    <row r="1341">
      <c r="A1341" s="54"/>
      <c r="G1341" s="55"/>
      <c r="U1341" s="56"/>
      <c r="X1341" s="57"/>
    </row>
    <row r="1342">
      <c r="A1342" s="54"/>
      <c r="G1342" s="55"/>
      <c r="U1342" s="56"/>
      <c r="X1342" s="57"/>
    </row>
    <row r="1343">
      <c r="A1343" s="54"/>
      <c r="G1343" s="55"/>
      <c r="U1343" s="56"/>
      <c r="X1343" s="57"/>
    </row>
    <row r="1344">
      <c r="A1344" s="54"/>
      <c r="G1344" s="55"/>
      <c r="U1344" s="56"/>
      <c r="X1344" s="57"/>
    </row>
    <row r="1345">
      <c r="A1345" s="54"/>
      <c r="G1345" s="55"/>
      <c r="U1345" s="56"/>
      <c r="X1345" s="57"/>
    </row>
    <row r="1346">
      <c r="A1346" s="54"/>
      <c r="G1346" s="55"/>
      <c r="U1346" s="56"/>
      <c r="X1346" s="57"/>
    </row>
    <row r="1347">
      <c r="A1347" s="54"/>
      <c r="G1347" s="55"/>
      <c r="U1347" s="56"/>
      <c r="X1347" s="57"/>
    </row>
    <row r="1348">
      <c r="A1348" s="54"/>
      <c r="G1348" s="55"/>
      <c r="U1348" s="56"/>
      <c r="X1348" s="57"/>
    </row>
    <row r="1349">
      <c r="A1349" s="54"/>
      <c r="G1349" s="55"/>
      <c r="U1349" s="56"/>
      <c r="X1349" s="57"/>
    </row>
    <row r="1350">
      <c r="A1350" s="54"/>
      <c r="G1350" s="55"/>
      <c r="U1350" s="56"/>
      <c r="X1350" s="57"/>
    </row>
    <row r="1351">
      <c r="A1351" s="54"/>
      <c r="G1351" s="55"/>
      <c r="U1351" s="56"/>
      <c r="X1351" s="57"/>
    </row>
    <row r="1352">
      <c r="A1352" s="54"/>
      <c r="G1352" s="55"/>
      <c r="U1352" s="56"/>
      <c r="X1352" s="57"/>
    </row>
    <row r="1353">
      <c r="A1353" s="54"/>
      <c r="G1353" s="55"/>
      <c r="U1353" s="56"/>
      <c r="X1353" s="57"/>
    </row>
    <row r="1354">
      <c r="A1354" s="54"/>
      <c r="G1354" s="55"/>
      <c r="U1354" s="56"/>
      <c r="X1354" s="57"/>
    </row>
    <row r="1355">
      <c r="A1355" s="54"/>
      <c r="G1355" s="55"/>
      <c r="U1355" s="56"/>
      <c r="X1355" s="57"/>
    </row>
    <row r="1356">
      <c r="A1356" s="54"/>
      <c r="G1356" s="55"/>
      <c r="U1356" s="56"/>
      <c r="X1356" s="57"/>
    </row>
    <row r="1357">
      <c r="A1357" s="54"/>
      <c r="G1357" s="55"/>
      <c r="U1357" s="56"/>
      <c r="X1357" s="57"/>
    </row>
    <row r="1358">
      <c r="A1358" s="54"/>
      <c r="G1358" s="55"/>
      <c r="U1358" s="56"/>
      <c r="X1358" s="57"/>
    </row>
    <row r="1359">
      <c r="A1359" s="54"/>
      <c r="G1359" s="55"/>
      <c r="U1359" s="56"/>
      <c r="X1359" s="57"/>
    </row>
    <row r="1360">
      <c r="A1360" s="54"/>
      <c r="G1360" s="55"/>
      <c r="U1360" s="56"/>
      <c r="X1360" s="57"/>
    </row>
    <row r="1361">
      <c r="A1361" s="54"/>
      <c r="G1361" s="55"/>
      <c r="U1361" s="56"/>
      <c r="X1361" s="57"/>
    </row>
    <row r="1362">
      <c r="A1362" s="54"/>
      <c r="G1362" s="55"/>
      <c r="U1362" s="56"/>
      <c r="X1362" s="57"/>
    </row>
    <row r="1363">
      <c r="A1363" s="54"/>
      <c r="G1363" s="55"/>
      <c r="U1363" s="56"/>
      <c r="X1363" s="57"/>
    </row>
    <row r="1364">
      <c r="A1364" s="54"/>
      <c r="G1364" s="55"/>
      <c r="U1364" s="56"/>
      <c r="X1364" s="57"/>
    </row>
    <row r="1365">
      <c r="A1365" s="54"/>
      <c r="G1365" s="55"/>
      <c r="U1365" s="56"/>
      <c r="X1365" s="57"/>
    </row>
    <row r="1366">
      <c r="A1366" s="54"/>
      <c r="G1366" s="55"/>
      <c r="U1366" s="56"/>
      <c r="X1366" s="57"/>
    </row>
    <row r="1367">
      <c r="A1367" s="54"/>
      <c r="G1367" s="55"/>
      <c r="U1367" s="56"/>
      <c r="X1367" s="57"/>
    </row>
    <row r="1368">
      <c r="A1368" s="54"/>
      <c r="G1368" s="55"/>
      <c r="U1368" s="56"/>
      <c r="X1368" s="57"/>
    </row>
    <row r="1369">
      <c r="A1369" s="54"/>
      <c r="G1369" s="55"/>
      <c r="U1369" s="56"/>
      <c r="X1369" s="57"/>
    </row>
    <row r="1370">
      <c r="A1370" s="54"/>
      <c r="G1370" s="55"/>
      <c r="U1370" s="56"/>
      <c r="X1370" s="57"/>
    </row>
    <row r="1371">
      <c r="A1371" s="54"/>
      <c r="G1371" s="55"/>
      <c r="U1371" s="56"/>
      <c r="X1371" s="57"/>
    </row>
    <row r="1372">
      <c r="A1372" s="54"/>
      <c r="G1372" s="55"/>
      <c r="U1372" s="56"/>
      <c r="X1372" s="57"/>
    </row>
    <row r="1373">
      <c r="A1373" s="54"/>
      <c r="G1373" s="55"/>
      <c r="U1373" s="56"/>
      <c r="X1373" s="57"/>
    </row>
    <row r="1374">
      <c r="A1374" s="54"/>
      <c r="G1374" s="55"/>
      <c r="U1374" s="56"/>
      <c r="X1374" s="57"/>
    </row>
    <row r="1375">
      <c r="A1375" s="54"/>
      <c r="G1375" s="55"/>
      <c r="U1375" s="56"/>
      <c r="X1375" s="57"/>
    </row>
    <row r="1376">
      <c r="A1376" s="54"/>
      <c r="G1376" s="55"/>
      <c r="U1376" s="56"/>
      <c r="X1376" s="57"/>
    </row>
    <row r="1377">
      <c r="A1377" s="54"/>
      <c r="G1377" s="55"/>
      <c r="U1377" s="56"/>
      <c r="X1377" s="57"/>
    </row>
    <row r="1378">
      <c r="A1378" s="54"/>
      <c r="G1378" s="55"/>
      <c r="U1378" s="56"/>
      <c r="X1378" s="57"/>
    </row>
    <row r="1379">
      <c r="A1379" s="54"/>
      <c r="G1379" s="55"/>
      <c r="U1379" s="56"/>
      <c r="X1379" s="57"/>
    </row>
    <row r="1380">
      <c r="A1380" s="54"/>
      <c r="G1380" s="55"/>
      <c r="U1380" s="56"/>
      <c r="X1380" s="57"/>
    </row>
    <row r="1381">
      <c r="A1381" s="54"/>
      <c r="G1381" s="55"/>
      <c r="U1381" s="56"/>
      <c r="X1381" s="57"/>
    </row>
    <row r="1382">
      <c r="A1382" s="54"/>
      <c r="G1382" s="55"/>
      <c r="U1382" s="56"/>
      <c r="X1382" s="57"/>
    </row>
    <row r="1383">
      <c r="A1383" s="54"/>
      <c r="G1383" s="55"/>
      <c r="U1383" s="56"/>
      <c r="X1383" s="57"/>
    </row>
    <row r="1384">
      <c r="A1384" s="54"/>
      <c r="G1384" s="55"/>
      <c r="U1384" s="56"/>
      <c r="X1384" s="57"/>
    </row>
    <row r="1385">
      <c r="A1385" s="54"/>
      <c r="G1385" s="55"/>
      <c r="U1385" s="56"/>
      <c r="X1385" s="57"/>
    </row>
    <row r="1386">
      <c r="A1386" s="54"/>
      <c r="G1386" s="55"/>
      <c r="U1386" s="56"/>
      <c r="X1386" s="57"/>
    </row>
    <row r="1387">
      <c r="A1387" s="54"/>
      <c r="G1387" s="55"/>
      <c r="U1387" s="56"/>
      <c r="X1387" s="57"/>
    </row>
    <row r="1388">
      <c r="A1388" s="54"/>
      <c r="G1388" s="55"/>
      <c r="U1388" s="56"/>
      <c r="X1388" s="57"/>
    </row>
    <row r="1389">
      <c r="A1389" s="54"/>
      <c r="G1389" s="55"/>
      <c r="U1389" s="56"/>
      <c r="X1389" s="57"/>
    </row>
    <row r="1390">
      <c r="A1390" s="54"/>
      <c r="G1390" s="55"/>
      <c r="U1390" s="56"/>
      <c r="X1390" s="57"/>
    </row>
    <row r="1391">
      <c r="A1391" s="54"/>
      <c r="G1391" s="55"/>
      <c r="U1391" s="56"/>
      <c r="X1391" s="57"/>
    </row>
    <row r="1392">
      <c r="A1392" s="54"/>
      <c r="G1392" s="55"/>
      <c r="U1392" s="56"/>
      <c r="X1392" s="57"/>
    </row>
    <row r="1393">
      <c r="A1393" s="54"/>
      <c r="G1393" s="55"/>
      <c r="U1393" s="56"/>
      <c r="X1393" s="57"/>
    </row>
    <row r="1394">
      <c r="A1394" s="54"/>
      <c r="G1394" s="55"/>
      <c r="U1394" s="56"/>
      <c r="X1394" s="57"/>
    </row>
    <row r="1395">
      <c r="A1395" s="54"/>
      <c r="G1395" s="55"/>
      <c r="U1395" s="56"/>
      <c r="X1395" s="57"/>
    </row>
    <row r="1396">
      <c r="A1396" s="54"/>
      <c r="G1396" s="55"/>
      <c r="U1396" s="56"/>
      <c r="X1396" s="57"/>
    </row>
    <row r="1397">
      <c r="A1397" s="54"/>
      <c r="G1397" s="55"/>
      <c r="U1397" s="56"/>
      <c r="X1397" s="57"/>
    </row>
    <row r="1398">
      <c r="A1398" s="54"/>
      <c r="G1398" s="55"/>
      <c r="U1398" s="56"/>
      <c r="X1398" s="57"/>
    </row>
    <row r="1399">
      <c r="A1399" s="54"/>
      <c r="G1399" s="55"/>
      <c r="U1399" s="56"/>
      <c r="X1399" s="57"/>
    </row>
    <row r="1400">
      <c r="A1400" s="54"/>
      <c r="G1400" s="55"/>
      <c r="U1400" s="56"/>
      <c r="X1400" s="57"/>
    </row>
    <row r="1401">
      <c r="A1401" s="54"/>
      <c r="G1401" s="55"/>
      <c r="U1401" s="56"/>
      <c r="X1401" s="57"/>
    </row>
    <row r="1402">
      <c r="A1402" s="54"/>
      <c r="G1402" s="55"/>
      <c r="U1402" s="56"/>
      <c r="X1402" s="57"/>
    </row>
    <row r="1403">
      <c r="A1403" s="54"/>
      <c r="G1403" s="55"/>
      <c r="U1403" s="56"/>
      <c r="X1403" s="57"/>
    </row>
    <row r="1404">
      <c r="A1404" s="54"/>
      <c r="G1404" s="55"/>
      <c r="U1404" s="56"/>
      <c r="X1404" s="57"/>
    </row>
    <row r="1405">
      <c r="A1405" s="54"/>
      <c r="G1405" s="55"/>
      <c r="U1405" s="56"/>
      <c r="X1405" s="57"/>
    </row>
    <row r="1406">
      <c r="A1406" s="54"/>
      <c r="G1406" s="55"/>
      <c r="U1406" s="56"/>
      <c r="X1406" s="57"/>
    </row>
    <row r="1407">
      <c r="A1407" s="54"/>
      <c r="G1407" s="55"/>
      <c r="U1407" s="56"/>
      <c r="X1407" s="57"/>
    </row>
    <row r="1408">
      <c r="A1408" s="54"/>
      <c r="G1408" s="55"/>
      <c r="U1408" s="56"/>
      <c r="X1408" s="57"/>
    </row>
    <row r="1409">
      <c r="A1409" s="54"/>
      <c r="G1409" s="55"/>
      <c r="U1409" s="56"/>
      <c r="X1409" s="57"/>
    </row>
    <row r="1410">
      <c r="A1410" s="54"/>
      <c r="G1410" s="55"/>
      <c r="U1410" s="56"/>
      <c r="X1410" s="57"/>
    </row>
    <row r="1411">
      <c r="A1411" s="54"/>
      <c r="G1411" s="55"/>
      <c r="U1411" s="56"/>
      <c r="X1411" s="57"/>
    </row>
    <row r="1412">
      <c r="A1412" s="54"/>
      <c r="G1412" s="55"/>
      <c r="U1412" s="56"/>
      <c r="X1412" s="57"/>
    </row>
    <row r="1413">
      <c r="A1413" s="54"/>
      <c r="G1413" s="55"/>
      <c r="U1413" s="56"/>
      <c r="X1413" s="57"/>
    </row>
    <row r="1414">
      <c r="A1414" s="54"/>
      <c r="G1414" s="55"/>
      <c r="U1414" s="56"/>
      <c r="X1414" s="57"/>
    </row>
    <row r="1415">
      <c r="A1415" s="54"/>
      <c r="G1415" s="55"/>
      <c r="U1415" s="56"/>
      <c r="X1415" s="57"/>
    </row>
    <row r="1416">
      <c r="A1416" s="54"/>
      <c r="G1416" s="55"/>
      <c r="U1416" s="56"/>
      <c r="X1416" s="57"/>
    </row>
    <row r="1417">
      <c r="A1417" s="54"/>
      <c r="G1417" s="55"/>
      <c r="U1417" s="56"/>
      <c r="X1417" s="57"/>
    </row>
    <row r="1418">
      <c r="A1418" s="54"/>
      <c r="G1418" s="55"/>
      <c r="U1418" s="56"/>
      <c r="X1418" s="57"/>
    </row>
    <row r="1419">
      <c r="A1419" s="54"/>
      <c r="G1419" s="55"/>
      <c r="U1419" s="56"/>
      <c r="X1419" s="57"/>
    </row>
    <row r="1420">
      <c r="A1420" s="54"/>
      <c r="G1420" s="55"/>
      <c r="U1420" s="56"/>
      <c r="X1420" s="57"/>
    </row>
    <row r="1421">
      <c r="A1421" s="54"/>
      <c r="G1421" s="55"/>
      <c r="U1421" s="56"/>
      <c r="X1421" s="57"/>
    </row>
    <row r="1422">
      <c r="A1422" s="54"/>
      <c r="G1422" s="55"/>
      <c r="U1422" s="56"/>
      <c r="X1422" s="57"/>
    </row>
    <row r="1423">
      <c r="A1423" s="54"/>
      <c r="G1423" s="55"/>
      <c r="U1423" s="56"/>
      <c r="X1423" s="57"/>
    </row>
    <row r="1424">
      <c r="A1424" s="54"/>
      <c r="G1424" s="55"/>
      <c r="U1424" s="56"/>
      <c r="X1424" s="57"/>
    </row>
    <row r="1425">
      <c r="A1425" s="54"/>
      <c r="G1425" s="55"/>
      <c r="U1425" s="56"/>
      <c r="X1425" s="57"/>
    </row>
    <row r="1426">
      <c r="A1426" s="54"/>
      <c r="G1426" s="55"/>
      <c r="U1426" s="56"/>
      <c r="X1426" s="57"/>
    </row>
    <row r="1427">
      <c r="A1427" s="54"/>
      <c r="G1427" s="55"/>
      <c r="U1427" s="56"/>
      <c r="X1427" s="57"/>
    </row>
    <row r="1428">
      <c r="A1428" s="54"/>
      <c r="G1428" s="55"/>
      <c r="U1428" s="56"/>
      <c r="X1428" s="57"/>
    </row>
    <row r="1429">
      <c r="A1429" s="54"/>
      <c r="G1429" s="55"/>
      <c r="U1429" s="56"/>
      <c r="X1429" s="57"/>
    </row>
    <row r="1430">
      <c r="A1430" s="54"/>
      <c r="G1430" s="55"/>
      <c r="U1430" s="56"/>
      <c r="X1430" s="57"/>
    </row>
    <row r="1431">
      <c r="A1431" s="54"/>
      <c r="G1431" s="55"/>
      <c r="U1431" s="56"/>
      <c r="X1431" s="57"/>
    </row>
    <row r="1432">
      <c r="A1432" s="54"/>
      <c r="G1432" s="55"/>
      <c r="U1432" s="56"/>
      <c r="X1432" s="57"/>
    </row>
    <row r="1433">
      <c r="A1433" s="54"/>
      <c r="G1433" s="55"/>
      <c r="U1433" s="56"/>
      <c r="X1433" s="57"/>
    </row>
    <row r="1434">
      <c r="A1434" s="54"/>
      <c r="G1434" s="55"/>
      <c r="U1434" s="56"/>
      <c r="X1434" s="57"/>
    </row>
    <row r="1435">
      <c r="A1435" s="54"/>
      <c r="G1435" s="55"/>
      <c r="U1435" s="56"/>
      <c r="X1435" s="57"/>
    </row>
    <row r="1436">
      <c r="A1436" s="54"/>
      <c r="G1436" s="55"/>
      <c r="U1436" s="56"/>
      <c r="X1436" s="57"/>
    </row>
    <row r="1437">
      <c r="A1437" s="54"/>
      <c r="G1437" s="55"/>
      <c r="U1437" s="56"/>
      <c r="X1437" s="57"/>
    </row>
    <row r="1438">
      <c r="A1438" s="54"/>
      <c r="G1438" s="55"/>
      <c r="U1438" s="56"/>
      <c r="X1438" s="57"/>
    </row>
    <row r="1439">
      <c r="A1439" s="54"/>
      <c r="G1439" s="55"/>
      <c r="U1439" s="56"/>
      <c r="X1439" s="57"/>
    </row>
    <row r="1440">
      <c r="A1440" s="54"/>
      <c r="G1440" s="55"/>
      <c r="U1440" s="56"/>
      <c r="X1440" s="57"/>
    </row>
    <row r="1441">
      <c r="A1441" s="54"/>
      <c r="G1441" s="55"/>
      <c r="U1441" s="56"/>
      <c r="X1441" s="57"/>
    </row>
    <row r="1442">
      <c r="A1442" s="54"/>
      <c r="G1442" s="55"/>
      <c r="U1442" s="56"/>
      <c r="X1442" s="57"/>
    </row>
    <row r="1443">
      <c r="A1443" s="54"/>
      <c r="G1443" s="55"/>
      <c r="U1443" s="56"/>
      <c r="X1443" s="57"/>
    </row>
    <row r="1444">
      <c r="A1444" s="54"/>
      <c r="G1444" s="55"/>
      <c r="U1444" s="56"/>
      <c r="X1444" s="57"/>
    </row>
    <row r="1445">
      <c r="A1445" s="54"/>
      <c r="G1445" s="55"/>
      <c r="U1445" s="56"/>
      <c r="X1445" s="57"/>
    </row>
    <row r="1446">
      <c r="A1446" s="54"/>
      <c r="G1446" s="55"/>
      <c r="U1446" s="56"/>
      <c r="X1446" s="57"/>
    </row>
    <row r="1447">
      <c r="A1447" s="54"/>
      <c r="G1447" s="55"/>
      <c r="U1447" s="56"/>
      <c r="X1447" s="57"/>
    </row>
    <row r="1448">
      <c r="A1448" s="54"/>
      <c r="G1448" s="55"/>
      <c r="U1448" s="56"/>
      <c r="X1448" s="57"/>
    </row>
    <row r="1449">
      <c r="A1449" s="54"/>
      <c r="G1449" s="55"/>
      <c r="U1449" s="56"/>
      <c r="X1449" s="57"/>
    </row>
    <row r="1450">
      <c r="A1450" s="54"/>
      <c r="G1450" s="55"/>
      <c r="U1450" s="56"/>
      <c r="X1450" s="57"/>
    </row>
    <row r="1451">
      <c r="A1451" s="54"/>
      <c r="G1451" s="55"/>
      <c r="U1451" s="56"/>
      <c r="X1451" s="57"/>
    </row>
    <row r="1452">
      <c r="A1452" s="54"/>
      <c r="G1452" s="55"/>
      <c r="U1452" s="56"/>
      <c r="X1452" s="57"/>
    </row>
    <row r="1453">
      <c r="A1453" s="54"/>
      <c r="G1453" s="55"/>
      <c r="U1453" s="56"/>
      <c r="X1453" s="57"/>
    </row>
    <row r="1454">
      <c r="A1454" s="54"/>
      <c r="G1454" s="55"/>
      <c r="U1454" s="56"/>
      <c r="X1454" s="57"/>
    </row>
    <row r="1455">
      <c r="A1455" s="54"/>
      <c r="G1455" s="55"/>
      <c r="U1455" s="56"/>
      <c r="X1455" s="57"/>
    </row>
    <row r="1456">
      <c r="A1456" s="54"/>
      <c r="G1456" s="55"/>
      <c r="U1456" s="56"/>
      <c r="X1456" s="57"/>
    </row>
    <row r="1457">
      <c r="A1457" s="54"/>
      <c r="G1457" s="55"/>
      <c r="U1457" s="56"/>
      <c r="X1457" s="57"/>
    </row>
    <row r="1458">
      <c r="A1458" s="54"/>
      <c r="G1458" s="55"/>
      <c r="U1458" s="56"/>
      <c r="X1458" s="57"/>
    </row>
    <row r="1459">
      <c r="A1459" s="54"/>
      <c r="G1459" s="55"/>
      <c r="U1459" s="56"/>
      <c r="X1459" s="57"/>
    </row>
    <row r="1460">
      <c r="A1460" s="54"/>
      <c r="G1460" s="55"/>
      <c r="U1460" s="56"/>
      <c r="X1460" s="57"/>
    </row>
    <row r="1461">
      <c r="A1461" s="54"/>
      <c r="G1461" s="55"/>
      <c r="U1461" s="56"/>
      <c r="X1461" s="57"/>
    </row>
    <row r="1462">
      <c r="A1462" s="54"/>
      <c r="G1462" s="55"/>
      <c r="U1462" s="56"/>
      <c r="X1462" s="57"/>
    </row>
    <row r="1463">
      <c r="A1463" s="54"/>
      <c r="G1463" s="55"/>
      <c r="U1463" s="56"/>
      <c r="X1463" s="57"/>
    </row>
    <row r="1464">
      <c r="A1464" s="54"/>
      <c r="G1464" s="55"/>
      <c r="U1464" s="56"/>
      <c r="X1464" s="57"/>
    </row>
    <row r="1465">
      <c r="A1465" s="54"/>
      <c r="G1465" s="55"/>
      <c r="U1465" s="56"/>
      <c r="X1465" s="57"/>
    </row>
    <row r="1466">
      <c r="A1466" s="54"/>
      <c r="G1466" s="55"/>
      <c r="U1466" s="56"/>
      <c r="X1466" s="57"/>
    </row>
    <row r="1467">
      <c r="A1467" s="54"/>
      <c r="G1467" s="55"/>
      <c r="U1467" s="56"/>
      <c r="X1467" s="57"/>
    </row>
    <row r="1468">
      <c r="A1468" s="54"/>
      <c r="G1468" s="55"/>
      <c r="U1468" s="56"/>
      <c r="X1468" s="57"/>
    </row>
    <row r="1469">
      <c r="A1469" s="54"/>
      <c r="G1469" s="55"/>
      <c r="U1469" s="56"/>
      <c r="X1469" s="57"/>
    </row>
    <row r="1470">
      <c r="A1470" s="54"/>
      <c r="G1470" s="55"/>
      <c r="U1470" s="56"/>
      <c r="X1470" s="57"/>
    </row>
    <row r="1471">
      <c r="A1471" s="54"/>
      <c r="G1471" s="55"/>
      <c r="U1471" s="56"/>
      <c r="X1471" s="57"/>
    </row>
    <row r="1472">
      <c r="A1472" s="54"/>
      <c r="G1472" s="55"/>
      <c r="U1472" s="56"/>
      <c r="X1472" s="57"/>
    </row>
    <row r="1473">
      <c r="A1473" s="54"/>
      <c r="G1473" s="55"/>
      <c r="U1473" s="56"/>
      <c r="X1473" s="57"/>
    </row>
    <row r="1474">
      <c r="A1474" s="54"/>
      <c r="G1474" s="55"/>
      <c r="U1474" s="56"/>
      <c r="X1474" s="57"/>
    </row>
    <row r="1475">
      <c r="A1475" s="54"/>
      <c r="G1475" s="55"/>
      <c r="U1475" s="56"/>
      <c r="X1475" s="57"/>
    </row>
    <row r="1476">
      <c r="A1476" s="54"/>
      <c r="G1476" s="55"/>
      <c r="U1476" s="56"/>
      <c r="X1476" s="57"/>
    </row>
    <row r="1477">
      <c r="A1477" s="54"/>
      <c r="G1477" s="55"/>
      <c r="U1477" s="56"/>
      <c r="X1477" s="57"/>
    </row>
    <row r="1478">
      <c r="A1478" s="54"/>
      <c r="G1478" s="55"/>
      <c r="U1478" s="56"/>
      <c r="X1478" s="57"/>
    </row>
    <row r="1479">
      <c r="A1479" s="54"/>
      <c r="G1479" s="55"/>
      <c r="U1479" s="56"/>
      <c r="X1479" s="57"/>
    </row>
    <row r="1480">
      <c r="A1480" s="54"/>
      <c r="G1480" s="55"/>
      <c r="U1480" s="56"/>
      <c r="X1480" s="57"/>
    </row>
    <row r="1481">
      <c r="A1481" s="54"/>
      <c r="G1481" s="55"/>
      <c r="U1481" s="56"/>
      <c r="X1481" s="57"/>
    </row>
    <row r="1482">
      <c r="A1482" s="54"/>
      <c r="G1482" s="55"/>
      <c r="U1482" s="56"/>
      <c r="X1482" s="57"/>
    </row>
    <row r="1483">
      <c r="A1483" s="54"/>
      <c r="G1483" s="55"/>
      <c r="U1483" s="56"/>
      <c r="X1483" s="57"/>
    </row>
    <row r="1484">
      <c r="A1484" s="54"/>
      <c r="G1484" s="55"/>
      <c r="U1484" s="56"/>
      <c r="X1484" s="57"/>
    </row>
    <row r="1485">
      <c r="A1485" s="54"/>
      <c r="G1485" s="55"/>
      <c r="U1485" s="56"/>
      <c r="X1485" s="57"/>
    </row>
    <row r="1486">
      <c r="A1486" s="54"/>
      <c r="G1486" s="55"/>
      <c r="U1486" s="56"/>
      <c r="X1486" s="57"/>
    </row>
    <row r="1487">
      <c r="A1487" s="54"/>
      <c r="G1487" s="55"/>
      <c r="U1487" s="56"/>
      <c r="X1487" s="57"/>
    </row>
    <row r="1488">
      <c r="A1488" s="54"/>
      <c r="G1488" s="55"/>
      <c r="U1488" s="56"/>
      <c r="X1488" s="57"/>
    </row>
    <row r="1489">
      <c r="A1489" s="54"/>
      <c r="G1489" s="55"/>
      <c r="U1489" s="56"/>
      <c r="X1489" s="57"/>
    </row>
    <row r="1490">
      <c r="A1490" s="54"/>
      <c r="G1490" s="55"/>
      <c r="U1490" s="56"/>
      <c r="X1490" s="57"/>
    </row>
    <row r="1491">
      <c r="A1491" s="54"/>
      <c r="G1491" s="55"/>
      <c r="U1491" s="56"/>
      <c r="X1491" s="57"/>
    </row>
    <row r="1492">
      <c r="A1492" s="54"/>
      <c r="G1492" s="55"/>
      <c r="U1492" s="56"/>
      <c r="X1492" s="57"/>
    </row>
    <row r="1493">
      <c r="A1493" s="54"/>
      <c r="G1493" s="55"/>
      <c r="U1493" s="56"/>
      <c r="X1493" s="57"/>
    </row>
    <row r="1494">
      <c r="A1494" s="54"/>
      <c r="G1494" s="55"/>
      <c r="U1494" s="56"/>
      <c r="X1494" s="57"/>
    </row>
    <row r="1495">
      <c r="A1495" s="54"/>
      <c r="G1495" s="55"/>
      <c r="U1495" s="56"/>
      <c r="X1495" s="57"/>
    </row>
    <row r="1496">
      <c r="A1496" s="54"/>
      <c r="G1496" s="55"/>
      <c r="U1496" s="56"/>
      <c r="X1496" s="57"/>
    </row>
    <row r="1497">
      <c r="A1497" s="54"/>
      <c r="G1497" s="55"/>
      <c r="U1497" s="56"/>
      <c r="X1497" s="57"/>
    </row>
    <row r="1498">
      <c r="A1498" s="54"/>
      <c r="G1498" s="55"/>
      <c r="U1498" s="56"/>
      <c r="X1498" s="57"/>
    </row>
    <row r="1499">
      <c r="A1499" s="54"/>
      <c r="G1499" s="55"/>
      <c r="U1499" s="56"/>
      <c r="X1499" s="57"/>
    </row>
    <row r="1500">
      <c r="A1500" s="54"/>
      <c r="G1500" s="55"/>
      <c r="U1500" s="56"/>
      <c r="X1500" s="57"/>
    </row>
    <row r="1501">
      <c r="A1501" s="54"/>
      <c r="G1501" s="55"/>
      <c r="U1501" s="56"/>
      <c r="X1501" s="57"/>
    </row>
    <row r="1502">
      <c r="A1502" s="54"/>
      <c r="G1502" s="55"/>
      <c r="U1502" s="56"/>
      <c r="X1502" s="57"/>
    </row>
    <row r="1503">
      <c r="A1503" s="54"/>
      <c r="G1503" s="55"/>
      <c r="U1503" s="56"/>
      <c r="X1503" s="57"/>
    </row>
    <row r="1504">
      <c r="A1504" s="54"/>
      <c r="G1504" s="55"/>
      <c r="U1504" s="56"/>
      <c r="X1504" s="57"/>
    </row>
    <row r="1505">
      <c r="A1505" s="54"/>
      <c r="G1505" s="55"/>
      <c r="U1505" s="56"/>
      <c r="X1505" s="57"/>
    </row>
    <row r="1506">
      <c r="A1506" s="54"/>
      <c r="G1506" s="55"/>
      <c r="U1506" s="56"/>
      <c r="X1506" s="57"/>
    </row>
    <row r="1507">
      <c r="A1507" s="54"/>
      <c r="G1507" s="55"/>
      <c r="U1507" s="56"/>
      <c r="X1507" s="57"/>
    </row>
    <row r="1508">
      <c r="A1508" s="54"/>
      <c r="G1508" s="55"/>
      <c r="U1508" s="56"/>
      <c r="X1508" s="57"/>
    </row>
    <row r="1509">
      <c r="A1509" s="54"/>
      <c r="G1509" s="55"/>
      <c r="U1509" s="56"/>
      <c r="X1509" s="57"/>
    </row>
    <row r="1510">
      <c r="A1510" s="54"/>
      <c r="G1510" s="55"/>
      <c r="U1510" s="56"/>
      <c r="X1510" s="57"/>
    </row>
    <row r="1511">
      <c r="A1511" s="54"/>
      <c r="G1511" s="55"/>
      <c r="U1511" s="56"/>
      <c r="X1511" s="57"/>
    </row>
    <row r="1512">
      <c r="A1512" s="54"/>
      <c r="G1512" s="55"/>
      <c r="U1512" s="56"/>
      <c r="X1512" s="57"/>
    </row>
    <row r="1513">
      <c r="A1513" s="54"/>
      <c r="G1513" s="55"/>
      <c r="U1513" s="56"/>
      <c r="X1513" s="57"/>
    </row>
    <row r="1514">
      <c r="A1514" s="54"/>
      <c r="G1514" s="55"/>
      <c r="U1514" s="56"/>
      <c r="X1514" s="57"/>
    </row>
    <row r="1515">
      <c r="A1515" s="54"/>
      <c r="G1515" s="55"/>
      <c r="U1515" s="56"/>
      <c r="X1515" s="57"/>
    </row>
    <row r="1516">
      <c r="A1516" s="54"/>
      <c r="G1516" s="55"/>
      <c r="U1516" s="56"/>
      <c r="X1516" s="57"/>
    </row>
    <row r="1517">
      <c r="A1517" s="54"/>
      <c r="G1517" s="55"/>
      <c r="U1517" s="56"/>
      <c r="X1517" s="57"/>
    </row>
    <row r="1518">
      <c r="A1518" s="54"/>
      <c r="G1518" s="55"/>
      <c r="U1518" s="56"/>
      <c r="X1518" s="57"/>
    </row>
    <row r="1519">
      <c r="A1519" s="54"/>
      <c r="G1519" s="55"/>
      <c r="U1519" s="56"/>
      <c r="X1519" s="57"/>
    </row>
    <row r="1520">
      <c r="A1520" s="54"/>
      <c r="G1520" s="55"/>
      <c r="U1520" s="56"/>
      <c r="X1520" s="57"/>
    </row>
    <row r="1521">
      <c r="A1521" s="54"/>
      <c r="G1521" s="55"/>
      <c r="U1521" s="56"/>
      <c r="X1521" s="57"/>
    </row>
    <row r="1522">
      <c r="A1522" s="54"/>
      <c r="G1522" s="55"/>
      <c r="U1522" s="56"/>
      <c r="X1522" s="57"/>
    </row>
    <row r="1523">
      <c r="A1523" s="54"/>
      <c r="G1523" s="55"/>
      <c r="U1523" s="56"/>
      <c r="X1523" s="57"/>
    </row>
    <row r="1524">
      <c r="A1524" s="54"/>
      <c r="G1524" s="55"/>
      <c r="U1524" s="56"/>
      <c r="X1524" s="57"/>
    </row>
    <row r="1525">
      <c r="A1525" s="54"/>
      <c r="G1525" s="55"/>
      <c r="U1525" s="56"/>
      <c r="X1525" s="57"/>
    </row>
    <row r="1526">
      <c r="A1526" s="54"/>
      <c r="G1526" s="55"/>
      <c r="U1526" s="56"/>
      <c r="X1526" s="57"/>
    </row>
    <row r="1527">
      <c r="A1527" s="54"/>
      <c r="G1527" s="55"/>
      <c r="U1527" s="56"/>
      <c r="X1527" s="57"/>
    </row>
    <row r="1528">
      <c r="A1528" s="54"/>
      <c r="G1528" s="55"/>
      <c r="U1528" s="56"/>
      <c r="X1528" s="57"/>
    </row>
    <row r="1529">
      <c r="A1529" s="54"/>
      <c r="G1529" s="55"/>
      <c r="U1529" s="56"/>
      <c r="X1529" s="57"/>
    </row>
    <row r="1530">
      <c r="A1530" s="54"/>
      <c r="G1530" s="55"/>
      <c r="U1530" s="56"/>
      <c r="X1530" s="57"/>
    </row>
    <row r="1531">
      <c r="A1531" s="54"/>
      <c r="G1531" s="55"/>
      <c r="U1531" s="56"/>
      <c r="X1531" s="57"/>
    </row>
    <row r="1532">
      <c r="A1532" s="54"/>
      <c r="G1532" s="55"/>
      <c r="U1532" s="56"/>
      <c r="X1532" s="57"/>
    </row>
    <row r="1533">
      <c r="A1533" s="54"/>
      <c r="G1533" s="55"/>
      <c r="U1533" s="56"/>
      <c r="X1533" s="57"/>
    </row>
    <row r="1534">
      <c r="A1534" s="54"/>
      <c r="G1534" s="55"/>
      <c r="U1534" s="56"/>
      <c r="X1534" s="57"/>
    </row>
    <row r="1535">
      <c r="A1535" s="54"/>
      <c r="G1535" s="55"/>
      <c r="U1535" s="56"/>
      <c r="X1535" s="57"/>
    </row>
    <row r="1536">
      <c r="A1536" s="54"/>
      <c r="G1536" s="55"/>
      <c r="U1536" s="56"/>
      <c r="X1536" s="57"/>
    </row>
    <row r="1537">
      <c r="A1537" s="54"/>
      <c r="G1537" s="55"/>
      <c r="U1537" s="56"/>
      <c r="X1537" s="57"/>
    </row>
    <row r="1538">
      <c r="A1538" s="54"/>
      <c r="G1538" s="55"/>
      <c r="U1538" s="56"/>
      <c r="X1538" s="57"/>
    </row>
    <row r="1539">
      <c r="A1539" s="54"/>
      <c r="G1539" s="55"/>
      <c r="U1539" s="56"/>
      <c r="X1539" s="57"/>
    </row>
    <row r="1540">
      <c r="A1540" s="54"/>
      <c r="G1540" s="55"/>
      <c r="U1540" s="56"/>
      <c r="X1540" s="57"/>
    </row>
    <row r="1541">
      <c r="A1541" s="54"/>
      <c r="G1541" s="55"/>
      <c r="U1541" s="56"/>
      <c r="X1541" s="57"/>
    </row>
    <row r="1542">
      <c r="A1542" s="54"/>
      <c r="G1542" s="55"/>
      <c r="U1542" s="56"/>
      <c r="X1542" s="57"/>
    </row>
    <row r="1543">
      <c r="A1543" s="54"/>
      <c r="G1543" s="55"/>
      <c r="U1543" s="56"/>
      <c r="X1543" s="57"/>
    </row>
    <row r="1544">
      <c r="A1544" s="54"/>
      <c r="G1544" s="55"/>
      <c r="U1544" s="56"/>
      <c r="X1544" s="57"/>
    </row>
    <row r="1545">
      <c r="A1545" s="54"/>
      <c r="G1545" s="55"/>
      <c r="U1545" s="56"/>
      <c r="X1545" s="57"/>
    </row>
    <row r="1546">
      <c r="A1546" s="54"/>
      <c r="G1546" s="55"/>
      <c r="U1546" s="56"/>
      <c r="X1546" s="57"/>
    </row>
    <row r="1547">
      <c r="A1547" s="54"/>
      <c r="G1547" s="55"/>
      <c r="U1547" s="56"/>
      <c r="X1547" s="57"/>
    </row>
    <row r="1548">
      <c r="A1548" s="54"/>
      <c r="G1548" s="55"/>
      <c r="U1548" s="56"/>
      <c r="X1548" s="57"/>
    </row>
    <row r="1549">
      <c r="A1549" s="54"/>
      <c r="G1549" s="55"/>
      <c r="U1549" s="56"/>
      <c r="X1549" s="57"/>
    </row>
    <row r="1550">
      <c r="A1550" s="54"/>
      <c r="G1550" s="55"/>
      <c r="U1550" s="56"/>
      <c r="X1550" s="57"/>
    </row>
    <row r="1551">
      <c r="A1551" s="54"/>
      <c r="G1551" s="55"/>
      <c r="U1551" s="56"/>
      <c r="X1551" s="57"/>
    </row>
    <row r="1552">
      <c r="A1552" s="54"/>
      <c r="G1552" s="55"/>
      <c r="U1552" s="56"/>
      <c r="X1552" s="57"/>
    </row>
    <row r="1553">
      <c r="A1553" s="54"/>
      <c r="G1553" s="55"/>
      <c r="U1553" s="56"/>
      <c r="X1553" s="57"/>
    </row>
    <row r="1554">
      <c r="A1554" s="54"/>
      <c r="G1554" s="55"/>
      <c r="U1554" s="56"/>
      <c r="X1554" s="57"/>
    </row>
    <row r="1555">
      <c r="A1555" s="54"/>
      <c r="G1555" s="55"/>
      <c r="U1555" s="56"/>
      <c r="X1555" s="57"/>
    </row>
    <row r="1556">
      <c r="A1556" s="54"/>
      <c r="G1556" s="55"/>
      <c r="U1556" s="56"/>
      <c r="X1556" s="57"/>
    </row>
    <row r="1557">
      <c r="A1557" s="54"/>
      <c r="G1557" s="55"/>
      <c r="U1557" s="56"/>
      <c r="X1557" s="57"/>
    </row>
    <row r="1558">
      <c r="A1558" s="54"/>
      <c r="G1558" s="55"/>
      <c r="U1558" s="56"/>
      <c r="X1558" s="57"/>
    </row>
    <row r="1559">
      <c r="A1559" s="54"/>
      <c r="G1559" s="55"/>
      <c r="U1559" s="56"/>
      <c r="X1559" s="57"/>
    </row>
    <row r="1560">
      <c r="A1560" s="54"/>
      <c r="G1560" s="55"/>
      <c r="U1560" s="56"/>
      <c r="X1560" s="57"/>
    </row>
    <row r="1561">
      <c r="A1561" s="54"/>
      <c r="G1561" s="55"/>
      <c r="U1561" s="56"/>
      <c r="X1561" s="57"/>
    </row>
    <row r="1562">
      <c r="A1562" s="54"/>
      <c r="G1562" s="55"/>
      <c r="U1562" s="56"/>
      <c r="X1562" s="57"/>
    </row>
    <row r="1563">
      <c r="A1563" s="54"/>
      <c r="G1563" s="55"/>
      <c r="U1563" s="56"/>
      <c r="X1563" s="57"/>
    </row>
    <row r="1564">
      <c r="A1564" s="54"/>
      <c r="G1564" s="55"/>
      <c r="U1564" s="56"/>
      <c r="X1564" s="57"/>
    </row>
    <row r="1565">
      <c r="A1565" s="54"/>
      <c r="G1565" s="55"/>
      <c r="U1565" s="56"/>
      <c r="X1565" s="57"/>
    </row>
    <row r="1566">
      <c r="A1566" s="54"/>
      <c r="G1566" s="55"/>
      <c r="U1566" s="56"/>
      <c r="X1566" s="57"/>
    </row>
    <row r="1567">
      <c r="A1567" s="54"/>
      <c r="G1567" s="55"/>
      <c r="U1567" s="56"/>
      <c r="X1567" s="57"/>
    </row>
    <row r="1568">
      <c r="A1568" s="54"/>
      <c r="G1568" s="55"/>
      <c r="U1568" s="56"/>
      <c r="X1568" s="57"/>
    </row>
    <row r="1569">
      <c r="A1569" s="54"/>
      <c r="G1569" s="55"/>
      <c r="U1569" s="56"/>
      <c r="X1569" s="57"/>
    </row>
    <row r="1570">
      <c r="A1570" s="54"/>
      <c r="G1570" s="55"/>
      <c r="U1570" s="56"/>
      <c r="X1570" s="57"/>
    </row>
    <row r="1571">
      <c r="A1571" s="54"/>
      <c r="G1571" s="55"/>
      <c r="U1571" s="56"/>
      <c r="X1571" s="57"/>
    </row>
    <row r="1572">
      <c r="A1572" s="54"/>
      <c r="G1572" s="55"/>
      <c r="U1572" s="56"/>
      <c r="X1572" s="57"/>
    </row>
    <row r="1573">
      <c r="A1573" s="54"/>
      <c r="G1573" s="55"/>
      <c r="U1573" s="56"/>
      <c r="X1573" s="57"/>
    </row>
    <row r="1574">
      <c r="A1574" s="54"/>
      <c r="G1574" s="55"/>
      <c r="U1574" s="56"/>
      <c r="X1574" s="57"/>
    </row>
    <row r="1575">
      <c r="A1575" s="54"/>
      <c r="G1575" s="55"/>
      <c r="U1575" s="56"/>
      <c r="X1575" s="57"/>
    </row>
    <row r="1576">
      <c r="A1576" s="54"/>
      <c r="G1576" s="55"/>
      <c r="U1576" s="56"/>
      <c r="X1576" s="57"/>
    </row>
    <row r="1577">
      <c r="A1577" s="54"/>
      <c r="G1577" s="55"/>
      <c r="U1577" s="56"/>
      <c r="X1577" s="57"/>
    </row>
    <row r="1578">
      <c r="A1578" s="54"/>
      <c r="G1578" s="55"/>
      <c r="U1578" s="56"/>
      <c r="X1578" s="57"/>
    </row>
    <row r="1579">
      <c r="A1579" s="54"/>
      <c r="G1579" s="55"/>
      <c r="U1579" s="56"/>
      <c r="X1579" s="57"/>
    </row>
    <row r="1580">
      <c r="A1580" s="54"/>
      <c r="G1580" s="55"/>
      <c r="U1580" s="56"/>
      <c r="X1580" s="57"/>
    </row>
    <row r="1581">
      <c r="A1581" s="54"/>
      <c r="G1581" s="55"/>
      <c r="U1581" s="56"/>
      <c r="X1581" s="57"/>
    </row>
    <row r="1582">
      <c r="A1582" s="54"/>
      <c r="G1582" s="55"/>
      <c r="U1582" s="56"/>
      <c r="X1582" s="57"/>
    </row>
    <row r="1583">
      <c r="A1583" s="54"/>
      <c r="G1583" s="55"/>
      <c r="U1583" s="56"/>
      <c r="X1583" s="57"/>
    </row>
    <row r="1584">
      <c r="A1584" s="54"/>
      <c r="G1584" s="55"/>
      <c r="U1584" s="56"/>
      <c r="X1584" s="57"/>
    </row>
    <row r="1585">
      <c r="A1585" s="54"/>
      <c r="G1585" s="55"/>
      <c r="U1585" s="56"/>
      <c r="X1585" s="57"/>
    </row>
    <row r="1586">
      <c r="A1586" s="54"/>
      <c r="G1586" s="55"/>
      <c r="U1586" s="56"/>
      <c r="X1586" s="57"/>
    </row>
    <row r="1587">
      <c r="A1587" s="54"/>
      <c r="G1587" s="55"/>
      <c r="U1587" s="56"/>
      <c r="X1587" s="57"/>
    </row>
    <row r="1588">
      <c r="A1588" s="54"/>
      <c r="G1588" s="55"/>
      <c r="U1588" s="56"/>
      <c r="X1588" s="57"/>
    </row>
    <row r="1589">
      <c r="A1589" s="54"/>
      <c r="G1589" s="55"/>
      <c r="U1589" s="56"/>
      <c r="X1589" s="57"/>
    </row>
    <row r="1590">
      <c r="A1590" s="54"/>
      <c r="G1590" s="55"/>
      <c r="U1590" s="56"/>
      <c r="X1590" s="57"/>
    </row>
    <row r="1591">
      <c r="A1591" s="54"/>
      <c r="G1591" s="55"/>
      <c r="U1591" s="56"/>
      <c r="X1591" s="57"/>
    </row>
    <row r="1592">
      <c r="A1592" s="54"/>
      <c r="G1592" s="55"/>
      <c r="U1592" s="56"/>
      <c r="X1592" s="57"/>
    </row>
    <row r="1593">
      <c r="A1593" s="54"/>
      <c r="G1593" s="55"/>
      <c r="U1593" s="56"/>
      <c r="X1593" s="57"/>
    </row>
    <row r="1594">
      <c r="A1594" s="54"/>
      <c r="G1594" s="55"/>
      <c r="U1594" s="56"/>
      <c r="X1594" s="57"/>
    </row>
    <row r="1595">
      <c r="A1595" s="54"/>
      <c r="G1595" s="55"/>
      <c r="U1595" s="56"/>
      <c r="X1595" s="57"/>
    </row>
    <row r="1596">
      <c r="A1596" s="54"/>
      <c r="G1596" s="55"/>
      <c r="U1596" s="56"/>
      <c r="X1596" s="57"/>
    </row>
    <row r="1597">
      <c r="A1597" s="54"/>
      <c r="G1597" s="55"/>
      <c r="U1597" s="56"/>
      <c r="X1597" s="57"/>
    </row>
    <row r="1598">
      <c r="A1598" s="54"/>
      <c r="G1598" s="55"/>
      <c r="U1598" s="56"/>
      <c r="X1598" s="57"/>
    </row>
    <row r="1599">
      <c r="A1599" s="54"/>
      <c r="G1599" s="55"/>
      <c r="U1599" s="56"/>
      <c r="X1599" s="57"/>
    </row>
    <row r="1600">
      <c r="A1600" s="54"/>
      <c r="G1600" s="55"/>
      <c r="U1600" s="56"/>
      <c r="X1600" s="57"/>
    </row>
    <row r="1601">
      <c r="A1601" s="54"/>
      <c r="G1601" s="55"/>
      <c r="U1601" s="56"/>
      <c r="X1601" s="57"/>
    </row>
    <row r="1602">
      <c r="A1602" s="54"/>
      <c r="G1602" s="55"/>
      <c r="U1602" s="56"/>
      <c r="X1602" s="57"/>
    </row>
    <row r="1603">
      <c r="A1603" s="54"/>
      <c r="G1603" s="55"/>
      <c r="U1603" s="56"/>
      <c r="X1603" s="57"/>
    </row>
    <row r="1604">
      <c r="A1604" s="54"/>
      <c r="G1604" s="55"/>
      <c r="U1604" s="56"/>
      <c r="X1604" s="57"/>
    </row>
    <row r="1605">
      <c r="A1605" s="54"/>
      <c r="G1605" s="55"/>
      <c r="U1605" s="56"/>
      <c r="X1605" s="57"/>
    </row>
    <row r="1606">
      <c r="A1606" s="54"/>
      <c r="G1606" s="55"/>
      <c r="U1606" s="56"/>
      <c r="X1606" s="57"/>
    </row>
    <row r="1607">
      <c r="A1607" s="54"/>
      <c r="G1607" s="55"/>
      <c r="U1607" s="56"/>
      <c r="X1607" s="57"/>
    </row>
    <row r="1608">
      <c r="A1608" s="54"/>
      <c r="G1608" s="55"/>
      <c r="U1608" s="56"/>
      <c r="X1608" s="57"/>
    </row>
    <row r="1609">
      <c r="A1609" s="54"/>
      <c r="G1609" s="55"/>
      <c r="U1609" s="56"/>
      <c r="X1609" s="57"/>
    </row>
    <row r="1610">
      <c r="A1610" s="54"/>
      <c r="G1610" s="55"/>
      <c r="U1610" s="56"/>
      <c r="X1610" s="57"/>
    </row>
    <row r="1611">
      <c r="A1611" s="54"/>
      <c r="G1611" s="55"/>
      <c r="U1611" s="56"/>
      <c r="X1611" s="57"/>
    </row>
    <row r="1612">
      <c r="A1612" s="54"/>
      <c r="G1612" s="55"/>
      <c r="U1612" s="56"/>
      <c r="X1612" s="57"/>
    </row>
    <row r="1613">
      <c r="A1613" s="54"/>
      <c r="G1613" s="55"/>
      <c r="U1613" s="56"/>
      <c r="X1613" s="57"/>
    </row>
    <row r="1614">
      <c r="A1614" s="54"/>
      <c r="G1614" s="55"/>
      <c r="U1614" s="56"/>
      <c r="X1614" s="57"/>
    </row>
    <row r="1615">
      <c r="A1615" s="54"/>
      <c r="G1615" s="55"/>
      <c r="U1615" s="56"/>
      <c r="X1615" s="57"/>
    </row>
    <row r="1616">
      <c r="A1616" s="54"/>
      <c r="G1616" s="55"/>
      <c r="U1616" s="56"/>
      <c r="X1616" s="57"/>
    </row>
    <row r="1617">
      <c r="A1617" s="54"/>
      <c r="G1617" s="55"/>
      <c r="U1617" s="56"/>
      <c r="X1617" s="57"/>
    </row>
    <row r="1618">
      <c r="A1618" s="54"/>
      <c r="G1618" s="55"/>
      <c r="U1618" s="56"/>
      <c r="X1618" s="57"/>
    </row>
    <row r="1619">
      <c r="A1619" s="54"/>
      <c r="G1619" s="55"/>
      <c r="U1619" s="56"/>
      <c r="X1619" s="57"/>
    </row>
    <row r="1620">
      <c r="A1620" s="54"/>
      <c r="G1620" s="55"/>
      <c r="U1620" s="56"/>
      <c r="X1620" s="57"/>
    </row>
    <row r="1621">
      <c r="A1621" s="54"/>
      <c r="G1621" s="55"/>
      <c r="U1621" s="56"/>
      <c r="X1621" s="57"/>
    </row>
    <row r="1622">
      <c r="A1622" s="54"/>
      <c r="G1622" s="55"/>
      <c r="U1622" s="56"/>
      <c r="X1622" s="57"/>
    </row>
    <row r="1623">
      <c r="A1623" s="54"/>
      <c r="G1623" s="55"/>
      <c r="U1623" s="56"/>
      <c r="X1623" s="57"/>
    </row>
    <row r="1624">
      <c r="A1624" s="54"/>
      <c r="G1624" s="55"/>
      <c r="U1624" s="56"/>
      <c r="X1624" s="57"/>
    </row>
    <row r="1625">
      <c r="A1625" s="54"/>
      <c r="G1625" s="55"/>
      <c r="U1625" s="56"/>
      <c r="X1625" s="57"/>
    </row>
    <row r="1626">
      <c r="A1626" s="54"/>
      <c r="G1626" s="55"/>
      <c r="U1626" s="56"/>
      <c r="X1626" s="57"/>
    </row>
    <row r="1627">
      <c r="A1627" s="54"/>
      <c r="G1627" s="55"/>
      <c r="U1627" s="56"/>
      <c r="X1627" s="57"/>
    </row>
    <row r="1628">
      <c r="A1628" s="54"/>
      <c r="G1628" s="55"/>
      <c r="U1628" s="56"/>
      <c r="X1628" s="57"/>
    </row>
    <row r="1629">
      <c r="A1629" s="54"/>
      <c r="G1629" s="55"/>
      <c r="U1629" s="56"/>
      <c r="X1629" s="57"/>
    </row>
    <row r="1630">
      <c r="A1630" s="54"/>
      <c r="G1630" s="55"/>
      <c r="U1630" s="56"/>
      <c r="X1630" s="57"/>
    </row>
    <row r="1631">
      <c r="A1631" s="54"/>
      <c r="G1631" s="55"/>
      <c r="U1631" s="56"/>
      <c r="X1631" s="57"/>
    </row>
    <row r="1632">
      <c r="A1632" s="54"/>
      <c r="G1632" s="55"/>
      <c r="U1632" s="56"/>
      <c r="X1632" s="57"/>
    </row>
    <row r="1633">
      <c r="A1633" s="54"/>
      <c r="G1633" s="55"/>
      <c r="U1633" s="56"/>
      <c r="X1633" s="57"/>
    </row>
    <row r="1634">
      <c r="A1634" s="54"/>
      <c r="G1634" s="55"/>
      <c r="U1634" s="56"/>
      <c r="X1634" s="57"/>
    </row>
    <row r="1635">
      <c r="A1635" s="54"/>
      <c r="G1635" s="55"/>
      <c r="U1635" s="56"/>
      <c r="X1635" s="57"/>
    </row>
    <row r="1636">
      <c r="A1636" s="54"/>
      <c r="G1636" s="55"/>
      <c r="U1636" s="56"/>
      <c r="X1636" s="57"/>
    </row>
    <row r="1637">
      <c r="A1637" s="54"/>
      <c r="G1637" s="55"/>
      <c r="U1637" s="56"/>
      <c r="X1637" s="57"/>
    </row>
    <row r="1638">
      <c r="A1638" s="54"/>
      <c r="G1638" s="55"/>
      <c r="U1638" s="56"/>
      <c r="X1638" s="57"/>
    </row>
    <row r="1639">
      <c r="A1639" s="54"/>
      <c r="G1639" s="55"/>
      <c r="U1639" s="56"/>
      <c r="X1639" s="57"/>
    </row>
    <row r="1640">
      <c r="A1640" s="54"/>
      <c r="G1640" s="55"/>
      <c r="U1640" s="56"/>
      <c r="X1640" s="57"/>
    </row>
    <row r="1641">
      <c r="A1641" s="54"/>
      <c r="G1641" s="55"/>
      <c r="U1641" s="56"/>
      <c r="X1641" s="57"/>
    </row>
    <row r="1642">
      <c r="A1642" s="54"/>
      <c r="G1642" s="55"/>
      <c r="U1642" s="56"/>
      <c r="X1642" s="57"/>
    </row>
    <row r="1643">
      <c r="A1643" s="54"/>
      <c r="G1643" s="55"/>
      <c r="U1643" s="56"/>
      <c r="X1643" s="57"/>
    </row>
    <row r="1644">
      <c r="A1644" s="54"/>
      <c r="G1644" s="55"/>
      <c r="U1644" s="56"/>
      <c r="X1644" s="57"/>
    </row>
    <row r="1645">
      <c r="A1645" s="54"/>
      <c r="G1645" s="55"/>
      <c r="U1645" s="56"/>
      <c r="X1645" s="57"/>
    </row>
    <row r="1646">
      <c r="A1646" s="54"/>
      <c r="G1646" s="55"/>
      <c r="U1646" s="56"/>
      <c r="X1646" s="57"/>
    </row>
    <row r="1647">
      <c r="A1647" s="54"/>
      <c r="G1647" s="55"/>
      <c r="U1647" s="56"/>
      <c r="X1647" s="57"/>
    </row>
    <row r="1648">
      <c r="A1648" s="54"/>
      <c r="G1648" s="55"/>
      <c r="U1648" s="56"/>
      <c r="X1648" s="57"/>
    </row>
    <row r="1649">
      <c r="A1649" s="54"/>
      <c r="G1649" s="55"/>
      <c r="U1649" s="56"/>
      <c r="X1649" s="57"/>
    </row>
    <row r="1650">
      <c r="A1650" s="54"/>
      <c r="G1650" s="55"/>
      <c r="U1650" s="56"/>
      <c r="X1650" s="57"/>
    </row>
    <row r="1651">
      <c r="A1651" s="54"/>
      <c r="G1651" s="55"/>
      <c r="U1651" s="56"/>
      <c r="X1651" s="57"/>
    </row>
    <row r="1652">
      <c r="A1652" s="54"/>
      <c r="G1652" s="55"/>
      <c r="U1652" s="56"/>
      <c r="X1652" s="57"/>
    </row>
    <row r="1653">
      <c r="A1653" s="54"/>
      <c r="G1653" s="55"/>
      <c r="U1653" s="56"/>
      <c r="X1653" s="57"/>
    </row>
    <row r="1654">
      <c r="A1654" s="54"/>
      <c r="G1654" s="55"/>
      <c r="U1654" s="56"/>
      <c r="X1654" s="57"/>
    </row>
    <row r="1655">
      <c r="A1655" s="54"/>
      <c r="G1655" s="55"/>
      <c r="U1655" s="56"/>
      <c r="X1655" s="57"/>
    </row>
    <row r="1656">
      <c r="A1656" s="54"/>
      <c r="G1656" s="55"/>
      <c r="U1656" s="56"/>
      <c r="X1656" s="57"/>
    </row>
    <row r="1657">
      <c r="A1657" s="54"/>
      <c r="G1657" s="55"/>
      <c r="U1657" s="56"/>
      <c r="X1657" s="57"/>
    </row>
    <row r="1658">
      <c r="A1658" s="54"/>
      <c r="G1658" s="55"/>
      <c r="U1658" s="56"/>
      <c r="X1658" s="57"/>
    </row>
    <row r="1659">
      <c r="A1659" s="54"/>
      <c r="G1659" s="55"/>
      <c r="U1659" s="56"/>
      <c r="X1659" s="57"/>
    </row>
    <row r="1660">
      <c r="A1660" s="54"/>
      <c r="G1660" s="55"/>
      <c r="U1660" s="56"/>
      <c r="X1660" s="57"/>
    </row>
    <row r="1661">
      <c r="A1661" s="54"/>
      <c r="G1661" s="55"/>
      <c r="U1661" s="56"/>
      <c r="X1661" s="57"/>
    </row>
    <row r="1662">
      <c r="A1662" s="54"/>
      <c r="G1662" s="55"/>
      <c r="U1662" s="56"/>
      <c r="X1662" s="57"/>
    </row>
    <row r="1663">
      <c r="A1663" s="54"/>
      <c r="G1663" s="55"/>
      <c r="U1663" s="56"/>
      <c r="X1663" s="57"/>
    </row>
    <row r="1664">
      <c r="A1664" s="54"/>
      <c r="G1664" s="55"/>
      <c r="U1664" s="56"/>
      <c r="X1664" s="57"/>
    </row>
    <row r="1665">
      <c r="A1665" s="54"/>
      <c r="G1665" s="55"/>
      <c r="U1665" s="56"/>
      <c r="X1665" s="57"/>
    </row>
    <row r="1666">
      <c r="A1666" s="54"/>
      <c r="G1666" s="55"/>
      <c r="U1666" s="56"/>
      <c r="X1666" s="57"/>
    </row>
    <row r="1667">
      <c r="A1667" s="54"/>
      <c r="G1667" s="55"/>
      <c r="U1667" s="56"/>
      <c r="X1667" s="57"/>
    </row>
    <row r="1668">
      <c r="A1668" s="54"/>
      <c r="G1668" s="55"/>
      <c r="U1668" s="56"/>
      <c r="X1668" s="57"/>
    </row>
    <row r="1669">
      <c r="A1669" s="54"/>
      <c r="G1669" s="55"/>
      <c r="U1669" s="56"/>
      <c r="X1669" s="57"/>
    </row>
    <row r="1670">
      <c r="A1670" s="54"/>
      <c r="G1670" s="55"/>
      <c r="U1670" s="56"/>
      <c r="X1670" s="57"/>
    </row>
    <row r="1671">
      <c r="A1671" s="54"/>
      <c r="G1671" s="55"/>
      <c r="U1671" s="56"/>
      <c r="X1671" s="57"/>
    </row>
    <row r="1672">
      <c r="A1672" s="54"/>
      <c r="G1672" s="55"/>
      <c r="U1672" s="56"/>
      <c r="X1672" s="57"/>
    </row>
    <row r="1673">
      <c r="A1673" s="54"/>
      <c r="G1673" s="55"/>
      <c r="U1673" s="56"/>
      <c r="X1673" s="57"/>
    </row>
    <row r="1674">
      <c r="A1674" s="54"/>
      <c r="G1674" s="55"/>
      <c r="U1674" s="56"/>
      <c r="X1674" s="57"/>
    </row>
    <row r="1675">
      <c r="A1675" s="54"/>
      <c r="G1675" s="55"/>
      <c r="U1675" s="56"/>
      <c r="X1675" s="57"/>
    </row>
    <row r="1676">
      <c r="A1676" s="54"/>
      <c r="G1676" s="55"/>
      <c r="U1676" s="56"/>
      <c r="X1676" s="57"/>
    </row>
    <row r="1677">
      <c r="A1677" s="54"/>
      <c r="G1677" s="55"/>
      <c r="U1677" s="56"/>
      <c r="X1677" s="57"/>
    </row>
    <row r="1678">
      <c r="A1678" s="54"/>
      <c r="G1678" s="55"/>
      <c r="U1678" s="56"/>
      <c r="X1678" s="57"/>
    </row>
    <row r="1679">
      <c r="A1679" s="54"/>
      <c r="G1679" s="55"/>
      <c r="U1679" s="56"/>
      <c r="X1679" s="57"/>
    </row>
    <row r="1680">
      <c r="A1680" s="54"/>
      <c r="G1680" s="55"/>
      <c r="U1680" s="56"/>
      <c r="X1680" s="57"/>
    </row>
    <row r="1681">
      <c r="A1681" s="54"/>
      <c r="G1681" s="55"/>
      <c r="U1681" s="56"/>
      <c r="X1681" s="57"/>
    </row>
    <row r="1682">
      <c r="A1682" s="54"/>
      <c r="G1682" s="55"/>
      <c r="U1682" s="56"/>
      <c r="X1682" s="57"/>
    </row>
    <row r="1683">
      <c r="A1683" s="54"/>
      <c r="G1683" s="55"/>
      <c r="U1683" s="56"/>
      <c r="X1683" s="57"/>
    </row>
    <row r="1684">
      <c r="A1684" s="54"/>
      <c r="G1684" s="55"/>
      <c r="U1684" s="56"/>
      <c r="X1684" s="57"/>
    </row>
    <row r="1685">
      <c r="A1685" s="54"/>
      <c r="G1685" s="55"/>
      <c r="U1685" s="56"/>
      <c r="X1685" s="57"/>
    </row>
    <row r="1686">
      <c r="A1686" s="54"/>
      <c r="G1686" s="55"/>
      <c r="U1686" s="56"/>
      <c r="X1686" s="57"/>
    </row>
    <row r="1687">
      <c r="A1687" s="54"/>
      <c r="G1687" s="55"/>
      <c r="U1687" s="56"/>
      <c r="X1687" s="57"/>
    </row>
    <row r="1688">
      <c r="A1688" s="54"/>
      <c r="G1688" s="55"/>
      <c r="U1688" s="56"/>
      <c r="X1688" s="57"/>
    </row>
    <row r="1689">
      <c r="A1689" s="54"/>
      <c r="G1689" s="55"/>
      <c r="U1689" s="56"/>
      <c r="X1689" s="57"/>
    </row>
    <row r="1690">
      <c r="A1690" s="54"/>
      <c r="G1690" s="55"/>
      <c r="U1690" s="56"/>
      <c r="X1690" s="57"/>
    </row>
    <row r="1691">
      <c r="A1691" s="54"/>
      <c r="G1691" s="55"/>
      <c r="U1691" s="56"/>
      <c r="X1691" s="57"/>
    </row>
    <row r="1692">
      <c r="A1692" s="54"/>
      <c r="G1692" s="55"/>
      <c r="U1692" s="56"/>
      <c r="X1692" s="57"/>
    </row>
    <row r="1693">
      <c r="A1693" s="54"/>
      <c r="G1693" s="55"/>
      <c r="U1693" s="56"/>
      <c r="X1693" s="57"/>
    </row>
    <row r="1694">
      <c r="A1694" s="54"/>
      <c r="G1694" s="55"/>
      <c r="U1694" s="56"/>
      <c r="X1694" s="57"/>
    </row>
    <row r="1695">
      <c r="A1695" s="54"/>
      <c r="G1695" s="55"/>
      <c r="U1695" s="56"/>
      <c r="X1695" s="57"/>
    </row>
    <row r="1696">
      <c r="A1696" s="54"/>
      <c r="G1696" s="55"/>
      <c r="U1696" s="56"/>
      <c r="X1696" s="57"/>
    </row>
    <row r="1697">
      <c r="A1697" s="54"/>
      <c r="G1697" s="55"/>
      <c r="U1697" s="56"/>
      <c r="X1697" s="57"/>
    </row>
    <row r="1698">
      <c r="A1698" s="54"/>
      <c r="G1698" s="55"/>
      <c r="U1698" s="56"/>
      <c r="X1698" s="57"/>
    </row>
    <row r="1699">
      <c r="A1699" s="54"/>
      <c r="G1699" s="55"/>
      <c r="U1699" s="56"/>
      <c r="X1699" s="57"/>
    </row>
    <row r="1700">
      <c r="A1700" s="54"/>
      <c r="G1700" s="55"/>
      <c r="U1700" s="56"/>
      <c r="X1700" s="57"/>
    </row>
    <row r="1701">
      <c r="A1701" s="54"/>
      <c r="G1701" s="55"/>
      <c r="U1701" s="56"/>
      <c r="X1701" s="57"/>
    </row>
    <row r="1702">
      <c r="A1702" s="54"/>
      <c r="G1702" s="55"/>
      <c r="U1702" s="56"/>
      <c r="X1702" s="57"/>
    </row>
    <row r="1703">
      <c r="A1703" s="54"/>
      <c r="G1703" s="55"/>
      <c r="U1703" s="56"/>
      <c r="X1703" s="57"/>
    </row>
    <row r="1704">
      <c r="A1704" s="54"/>
      <c r="G1704" s="55"/>
      <c r="U1704" s="56"/>
      <c r="X1704" s="57"/>
    </row>
    <row r="1705">
      <c r="A1705" s="54"/>
      <c r="G1705" s="55"/>
      <c r="U1705" s="56"/>
      <c r="X1705" s="57"/>
    </row>
    <row r="1706">
      <c r="A1706" s="54"/>
      <c r="G1706" s="55"/>
      <c r="U1706" s="56"/>
      <c r="X1706" s="57"/>
    </row>
    <row r="1707">
      <c r="A1707" s="54"/>
      <c r="G1707" s="55"/>
      <c r="U1707" s="56"/>
      <c r="X1707" s="57"/>
    </row>
    <row r="1708">
      <c r="A1708" s="54"/>
      <c r="G1708" s="55"/>
      <c r="U1708" s="56"/>
      <c r="X1708" s="57"/>
    </row>
    <row r="1709">
      <c r="A1709" s="54"/>
      <c r="G1709" s="55"/>
      <c r="U1709" s="56"/>
      <c r="X1709" s="57"/>
    </row>
    <row r="1710">
      <c r="A1710" s="54"/>
      <c r="G1710" s="55"/>
      <c r="U1710" s="56"/>
      <c r="X1710" s="57"/>
    </row>
    <row r="1711">
      <c r="A1711" s="54"/>
      <c r="G1711" s="55"/>
      <c r="U1711" s="56"/>
      <c r="X1711" s="57"/>
    </row>
    <row r="1712">
      <c r="A1712" s="54"/>
      <c r="G1712" s="55"/>
      <c r="U1712" s="56"/>
      <c r="X1712" s="57"/>
    </row>
    <row r="1713">
      <c r="A1713" s="54"/>
      <c r="G1713" s="55"/>
      <c r="U1713" s="56"/>
      <c r="X1713" s="57"/>
    </row>
    <row r="1714">
      <c r="A1714" s="54"/>
      <c r="G1714" s="55"/>
      <c r="U1714" s="56"/>
      <c r="X1714" s="57"/>
    </row>
    <row r="1715">
      <c r="A1715" s="54"/>
      <c r="G1715" s="55"/>
      <c r="U1715" s="56"/>
      <c r="X1715" s="57"/>
    </row>
    <row r="1716">
      <c r="A1716" s="54"/>
      <c r="G1716" s="55"/>
      <c r="U1716" s="56"/>
      <c r="X1716" s="57"/>
    </row>
    <row r="1717">
      <c r="A1717" s="54"/>
      <c r="G1717" s="55"/>
      <c r="U1717" s="56"/>
      <c r="X1717" s="57"/>
    </row>
    <row r="1718">
      <c r="A1718" s="54"/>
      <c r="G1718" s="55"/>
      <c r="U1718" s="56"/>
      <c r="X1718" s="57"/>
    </row>
    <row r="1719">
      <c r="A1719" s="54"/>
      <c r="G1719" s="55"/>
      <c r="U1719" s="56"/>
      <c r="X1719" s="57"/>
    </row>
    <row r="1720">
      <c r="A1720" s="54"/>
      <c r="G1720" s="55"/>
      <c r="U1720" s="56"/>
      <c r="X1720" s="57"/>
    </row>
    <row r="1721">
      <c r="A1721" s="54"/>
      <c r="G1721" s="55"/>
      <c r="U1721" s="56"/>
      <c r="X1721" s="57"/>
    </row>
    <row r="1722">
      <c r="A1722" s="54"/>
      <c r="G1722" s="55"/>
      <c r="U1722" s="56"/>
      <c r="X1722" s="57"/>
    </row>
    <row r="1723">
      <c r="A1723" s="54"/>
      <c r="G1723" s="55"/>
      <c r="U1723" s="56"/>
      <c r="X1723" s="57"/>
    </row>
    <row r="1724">
      <c r="A1724" s="54"/>
      <c r="G1724" s="55"/>
      <c r="U1724" s="56"/>
      <c r="X1724" s="57"/>
    </row>
    <row r="1725">
      <c r="A1725" s="54"/>
      <c r="G1725" s="55"/>
      <c r="U1725" s="56"/>
      <c r="X1725" s="57"/>
    </row>
    <row r="1726">
      <c r="A1726" s="54"/>
      <c r="G1726" s="55"/>
      <c r="U1726" s="56"/>
      <c r="X1726" s="57"/>
    </row>
    <row r="1727">
      <c r="A1727" s="54"/>
      <c r="G1727" s="55"/>
      <c r="U1727" s="56"/>
      <c r="X1727" s="57"/>
    </row>
    <row r="1728">
      <c r="A1728" s="54"/>
      <c r="G1728" s="55"/>
      <c r="U1728" s="56"/>
      <c r="X1728" s="57"/>
    </row>
    <row r="1729">
      <c r="A1729" s="54"/>
      <c r="G1729" s="55"/>
      <c r="U1729" s="56"/>
      <c r="X1729" s="57"/>
    </row>
    <row r="1730">
      <c r="A1730" s="54"/>
      <c r="G1730" s="55"/>
      <c r="U1730" s="56"/>
      <c r="X1730" s="57"/>
    </row>
    <row r="1731">
      <c r="A1731" s="54"/>
      <c r="G1731" s="55"/>
      <c r="U1731" s="56"/>
      <c r="X1731" s="57"/>
    </row>
    <row r="1732">
      <c r="A1732" s="54"/>
      <c r="G1732" s="55"/>
      <c r="U1732" s="56"/>
      <c r="X1732" s="57"/>
    </row>
    <row r="1733">
      <c r="A1733" s="54"/>
      <c r="G1733" s="55"/>
      <c r="U1733" s="56"/>
      <c r="X1733" s="57"/>
    </row>
    <row r="1734">
      <c r="A1734" s="54"/>
      <c r="G1734" s="55"/>
      <c r="U1734" s="56"/>
      <c r="X1734" s="57"/>
    </row>
    <row r="1735">
      <c r="A1735" s="54"/>
      <c r="G1735" s="55"/>
      <c r="U1735" s="56"/>
      <c r="X1735" s="57"/>
    </row>
    <row r="1736">
      <c r="A1736" s="54"/>
      <c r="G1736" s="55"/>
      <c r="U1736" s="56"/>
      <c r="X1736" s="57"/>
    </row>
    <row r="1737">
      <c r="A1737" s="54"/>
      <c r="G1737" s="55"/>
      <c r="U1737" s="56"/>
      <c r="X1737" s="57"/>
    </row>
    <row r="1738">
      <c r="A1738" s="54"/>
      <c r="G1738" s="55"/>
      <c r="U1738" s="56"/>
      <c r="X1738" s="57"/>
    </row>
    <row r="1739">
      <c r="A1739" s="54"/>
      <c r="G1739" s="55"/>
      <c r="U1739" s="56"/>
      <c r="X1739" s="57"/>
    </row>
    <row r="1740">
      <c r="A1740" s="54"/>
      <c r="G1740" s="55"/>
      <c r="U1740" s="56"/>
      <c r="X1740" s="57"/>
    </row>
    <row r="1741">
      <c r="A1741" s="54"/>
      <c r="G1741" s="55"/>
      <c r="U1741" s="56"/>
      <c r="X1741" s="57"/>
    </row>
    <row r="1742">
      <c r="A1742" s="54"/>
      <c r="G1742" s="55"/>
      <c r="U1742" s="56"/>
      <c r="X1742" s="57"/>
    </row>
    <row r="1743">
      <c r="A1743" s="54"/>
      <c r="G1743" s="55"/>
      <c r="U1743" s="56"/>
      <c r="X1743" s="57"/>
    </row>
    <row r="1744">
      <c r="A1744" s="54"/>
      <c r="G1744" s="55"/>
      <c r="U1744" s="56"/>
      <c r="X1744" s="57"/>
    </row>
    <row r="1745">
      <c r="A1745" s="54"/>
      <c r="G1745" s="55"/>
      <c r="U1745" s="56"/>
      <c r="X1745" s="57"/>
    </row>
    <row r="1746">
      <c r="A1746" s="54"/>
      <c r="G1746" s="55"/>
      <c r="U1746" s="56"/>
      <c r="X1746" s="57"/>
    </row>
    <row r="1747">
      <c r="A1747" s="54"/>
      <c r="G1747" s="55"/>
      <c r="U1747" s="56"/>
      <c r="X1747" s="57"/>
    </row>
    <row r="1748">
      <c r="A1748" s="54"/>
      <c r="G1748" s="55"/>
      <c r="U1748" s="56"/>
      <c r="X1748" s="57"/>
    </row>
    <row r="1749">
      <c r="A1749" s="54"/>
      <c r="G1749" s="55"/>
      <c r="U1749" s="56"/>
      <c r="X1749" s="57"/>
    </row>
    <row r="1750">
      <c r="A1750" s="54"/>
      <c r="G1750" s="55"/>
      <c r="U1750" s="56"/>
      <c r="X1750" s="57"/>
    </row>
    <row r="1751">
      <c r="A1751" s="54"/>
      <c r="G1751" s="55"/>
      <c r="U1751" s="56"/>
      <c r="X1751" s="57"/>
    </row>
    <row r="1752">
      <c r="A1752" s="54"/>
      <c r="G1752" s="55"/>
      <c r="U1752" s="56"/>
      <c r="X1752" s="57"/>
    </row>
    <row r="1753">
      <c r="A1753" s="54"/>
      <c r="G1753" s="55"/>
      <c r="U1753" s="56"/>
      <c r="X1753" s="57"/>
    </row>
    <row r="1754">
      <c r="A1754" s="54"/>
      <c r="G1754" s="55"/>
      <c r="U1754" s="56"/>
      <c r="X1754" s="57"/>
    </row>
    <row r="1755">
      <c r="A1755" s="54"/>
      <c r="G1755" s="55"/>
      <c r="U1755" s="56"/>
      <c r="X1755" s="57"/>
    </row>
    <row r="1756">
      <c r="A1756" s="54"/>
      <c r="G1756" s="55"/>
      <c r="U1756" s="56"/>
      <c r="X1756" s="57"/>
    </row>
    <row r="1757">
      <c r="A1757" s="54"/>
      <c r="G1757" s="55"/>
      <c r="U1757" s="56"/>
      <c r="X1757" s="57"/>
    </row>
    <row r="1758">
      <c r="A1758" s="54"/>
      <c r="G1758" s="55"/>
      <c r="U1758" s="56"/>
      <c r="X1758" s="57"/>
    </row>
    <row r="1759">
      <c r="A1759" s="54"/>
      <c r="G1759" s="55"/>
      <c r="U1759" s="56"/>
      <c r="X1759" s="57"/>
    </row>
    <row r="1760">
      <c r="A1760" s="54"/>
      <c r="G1760" s="55"/>
      <c r="U1760" s="56"/>
      <c r="X1760" s="57"/>
    </row>
    <row r="1761">
      <c r="A1761" s="54"/>
      <c r="G1761" s="55"/>
      <c r="U1761" s="56"/>
      <c r="X1761" s="57"/>
    </row>
    <row r="1762">
      <c r="A1762" s="54"/>
      <c r="G1762" s="55"/>
      <c r="U1762" s="56"/>
      <c r="X1762" s="57"/>
    </row>
    <row r="1763">
      <c r="A1763" s="54"/>
      <c r="G1763" s="55"/>
      <c r="U1763" s="56"/>
      <c r="X1763" s="57"/>
    </row>
    <row r="1764">
      <c r="A1764" s="54"/>
      <c r="G1764" s="55"/>
      <c r="U1764" s="56"/>
      <c r="X1764" s="57"/>
    </row>
    <row r="1765">
      <c r="A1765" s="54"/>
      <c r="G1765" s="55"/>
      <c r="U1765" s="56"/>
      <c r="X1765" s="57"/>
    </row>
    <row r="1766">
      <c r="A1766" s="54"/>
      <c r="G1766" s="55"/>
      <c r="U1766" s="56"/>
      <c r="X1766" s="57"/>
    </row>
    <row r="1767">
      <c r="A1767" s="54"/>
      <c r="G1767" s="55"/>
      <c r="U1767" s="56"/>
      <c r="X1767" s="57"/>
    </row>
    <row r="1768">
      <c r="A1768" s="54"/>
      <c r="G1768" s="55"/>
      <c r="U1768" s="56"/>
      <c r="X1768" s="57"/>
    </row>
    <row r="1769">
      <c r="A1769" s="54"/>
      <c r="G1769" s="55"/>
      <c r="U1769" s="56"/>
      <c r="X1769" s="57"/>
    </row>
    <row r="1770">
      <c r="A1770" s="54"/>
      <c r="G1770" s="55"/>
      <c r="U1770" s="56"/>
      <c r="X1770" s="57"/>
    </row>
    <row r="1771">
      <c r="A1771" s="54"/>
      <c r="G1771" s="55"/>
      <c r="U1771" s="56"/>
      <c r="X1771" s="57"/>
    </row>
    <row r="1772">
      <c r="A1772" s="54"/>
      <c r="G1772" s="55"/>
      <c r="U1772" s="56"/>
      <c r="X1772" s="57"/>
    </row>
    <row r="1773">
      <c r="A1773" s="54"/>
      <c r="G1773" s="55"/>
      <c r="U1773" s="56"/>
      <c r="X1773" s="57"/>
    </row>
    <row r="1774">
      <c r="A1774" s="54"/>
      <c r="G1774" s="55"/>
      <c r="U1774" s="56"/>
      <c r="X1774" s="57"/>
    </row>
    <row r="1775">
      <c r="A1775" s="54"/>
      <c r="G1775" s="55"/>
      <c r="U1775" s="56"/>
      <c r="X1775" s="57"/>
    </row>
    <row r="1776">
      <c r="A1776" s="54"/>
      <c r="G1776" s="55"/>
      <c r="U1776" s="56"/>
      <c r="X1776" s="57"/>
    </row>
    <row r="1777">
      <c r="A1777" s="54"/>
      <c r="G1777" s="55"/>
      <c r="U1777" s="56"/>
      <c r="X1777" s="57"/>
    </row>
    <row r="1778">
      <c r="A1778" s="54"/>
      <c r="G1778" s="55"/>
      <c r="U1778" s="56"/>
      <c r="X1778" s="57"/>
    </row>
    <row r="1779">
      <c r="A1779" s="54"/>
      <c r="G1779" s="55"/>
      <c r="U1779" s="56"/>
      <c r="X1779" s="57"/>
    </row>
    <row r="1780">
      <c r="A1780" s="54"/>
      <c r="G1780" s="55"/>
      <c r="U1780" s="56"/>
      <c r="X1780" s="57"/>
    </row>
    <row r="1781">
      <c r="A1781" s="54"/>
      <c r="G1781" s="55"/>
      <c r="U1781" s="56"/>
      <c r="X1781" s="57"/>
    </row>
    <row r="1782">
      <c r="A1782" s="54"/>
      <c r="G1782" s="55"/>
      <c r="U1782" s="56"/>
      <c r="X1782" s="57"/>
    </row>
    <row r="1783">
      <c r="A1783" s="54"/>
      <c r="G1783" s="55"/>
      <c r="U1783" s="56"/>
      <c r="X1783" s="57"/>
    </row>
    <row r="1784">
      <c r="A1784" s="54"/>
      <c r="G1784" s="55"/>
      <c r="U1784" s="56"/>
      <c r="X1784" s="57"/>
    </row>
    <row r="1785">
      <c r="A1785" s="54"/>
      <c r="G1785" s="55"/>
      <c r="U1785" s="56"/>
      <c r="X1785" s="57"/>
    </row>
    <row r="1786">
      <c r="A1786" s="54"/>
      <c r="G1786" s="55"/>
      <c r="U1786" s="56"/>
      <c r="X1786" s="57"/>
    </row>
    <row r="1787">
      <c r="A1787" s="54"/>
      <c r="G1787" s="55"/>
      <c r="U1787" s="56"/>
      <c r="X1787" s="57"/>
    </row>
    <row r="1788">
      <c r="A1788" s="54"/>
      <c r="G1788" s="55"/>
      <c r="U1788" s="56"/>
      <c r="X1788" s="57"/>
    </row>
    <row r="1789">
      <c r="A1789" s="54"/>
      <c r="G1789" s="55"/>
      <c r="U1789" s="56"/>
      <c r="X1789" s="57"/>
    </row>
    <row r="1790">
      <c r="A1790" s="54"/>
      <c r="G1790" s="55"/>
      <c r="U1790" s="56"/>
      <c r="X1790" s="57"/>
    </row>
    <row r="1791">
      <c r="A1791" s="54"/>
      <c r="G1791" s="55"/>
      <c r="U1791" s="56"/>
      <c r="X1791" s="57"/>
    </row>
    <row r="1792">
      <c r="A1792" s="54"/>
      <c r="G1792" s="55"/>
      <c r="U1792" s="56"/>
      <c r="X1792" s="57"/>
    </row>
    <row r="1793">
      <c r="A1793" s="54"/>
      <c r="G1793" s="55"/>
      <c r="U1793" s="56"/>
      <c r="X1793" s="57"/>
    </row>
    <row r="1794">
      <c r="A1794" s="54"/>
      <c r="G1794" s="55"/>
      <c r="U1794" s="56"/>
      <c r="X1794" s="57"/>
    </row>
    <row r="1795">
      <c r="A1795" s="54"/>
      <c r="G1795" s="55"/>
      <c r="U1795" s="56"/>
      <c r="X1795" s="57"/>
    </row>
    <row r="1796">
      <c r="A1796" s="54"/>
      <c r="G1796" s="55"/>
      <c r="U1796" s="56"/>
      <c r="X1796" s="57"/>
    </row>
    <row r="1797">
      <c r="A1797" s="54"/>
      <c r="G1797" s="55"/>
      <c r="U1797" s="56"/>
      <c r="X1797" s="57"/>
    </row>
    <row r="1798">
      <c r="A1798" s="54"/>
      <c r="G1798" s="55"/>
      <c r="U1798" s="56"/>
      <c r="X1798" s="57"/>
    </row>
    <row r="1799">
      <c r="A1799" s="54"/>
      <c r="G1799" s="55"/>
      <c r="U1799" s="56"/>
      <c r="X1799" s="57"/>
    </row>
    <row r="1800">
      <c r="A1800" s="54"/>
      <c r="G1800" s="55"/>
      <c r="U1800" s="56"/>
      <c r="X1800" s="57"/>
    </row>
    <row r="1801">
      <c r="A1801" s="54"/>
      <c r="G1801" s="55"/>
      <c r="U1801" s="56"/>
      <c r="X1801" s="57"/>
    </row>
    <row r="1802">
      <c r="A1802" s="54"/>
      <c r="G1802" s="55"/>
      <c r="U1802" s="56"/>
      <c r="X1802" s="57"/>
    </row>
    <row r="1803">
      <c r="A1803" s="54"/>
      <c r="G1803" s="55"/>
      <c r="U1803" s="56"/>
      <c r="X1803" s="57"/>
    </row>
    <row r="1804">
      <c r="A1804" s="54"/>
      <c r="G1804" s="55"/>
      <c r="U1804" s="56"/>
      <c r="X1804" s="57"/>
    </row>
    <row r="1805">
      <c r="A1805" s="54"/>
      <c r="G1805" s="55"/>
      <c r="U1805" s="56"/>
      <c r="X1805" s="57"/>
    </row>
    <row r="1806">
      <c r="A1806" s="54"/>
      <c r="G1806" s="55"/>
      <c r="U1806" s="56"/>
      <c r="X1806" s="57"/>
    </row>
    <row r="1807">
      <c r="A1807" s="54"/>
      <c r="G1807" s="55"/>
      <c r="U1807" s="56"/>
      <c r="X1807" s="57"/>
    </row>
    <row r="1808">
      <c r="A1808" s="54"/>
      <c r="G1808" s="55"/>
      <c r="U1808" s="56"/>
      <c r="X1808" s="57"/>
    </row>
    <row r="1809">
      <c r="A1809" s="54"/>
      <c r="G1809" s="55"/>
      <c r="U1809" s="56"/>
      <c r="X1809" s="57"/>
    </row>
    <row r="1810">
      <c r="A1810" s="54"/>
      <c r="G1810" s="55"/>
      <c r="U1810" s="56"/>
      <c r="X1810" s="57"/>
    </row>
    <row r="1811">
      <c r="A1811" s="54"/>
      <c r="G1811" s="55"/>
      <c r="U1811" s="56"/>
      <c r="X1811" s="57"/>
    </row>
    <row r="1812">
      <c r="A1812" s="54"/>
      <c r="G1812" s="55"/>
      <c r="U1812" s="56"/>
      <c r="X1812" s="57"/>
    </row>
    <row r="1813">
      <c r="A1813" s="54"/>
      <c r="G1813" s="55"/>
      <c r="U1813" s="56"/>
      <c r="X1813" s="57"/>
    </row>
    <row r="1814">
      <c r="A1814" s="54"/>
      <c r="G1814" s="55"/>
      <c r="U1814" s="56"/>
      <c r="X1814" s="57"/>
    </row>
    <row r="1815">
      <c r="A1815" s="54"/>
      <c r="G1815" s="55"/>
      <c r="U1815" s="56"/>
      <c r="X1815" s="57"/>
    </row>
    <row r="1816">
      <c r="A1816" s="54"/>
      <c r="G1816" s="55"/>
      <c r="U1816" s="56"/>
      <c r="X1816" s="57"/>
    </row>
    <row r="1817">
      <c r="A1817" s="54"/>
      <c r="G1817" s="55"/>
      <c r="U1817" s="56"/>
      <c r="X1817" s="57"/>
    </row>
    <row r="1818">
      <c r="A1818" s="54"/>
      <c r="G1818" s="55"/>
      <c r="U1818" s="56"/>
      <c r="X1818" s="57"/>
    </row>
    <row r="1819">
      <c r="A1819" s="54"/>
      <c r="G1819" s="55"/>
      <c r="U1819" s="56"/>
      <c r="X1819" s="57"/>
    </row>
    <row r="1820">
      <c r="A1820" s="54"/>
      <c r="G1820" s="55"/>
      <c r="U1820" s="56"/>
      <c r="X1820" s="57"/>
    </row>
    <row r="1821">
      <c r="A1821" s="54"/>
      <c r="G1821" s="55"/>
      <c r="U1821" s="56"/>
      <c r="X1821" s="57"/>
    </row>
    <row r="1822">
      <c r="A1822" s="54"/>
      <c r="G1822" s="55"/>
      <c r="U1822" s="56"/>
      <c r="X1822" s="57"/>
    </row>
    <row r="1823">
      <c r="A1823" s="54"/>
      <c r="G1823" s="55"/>
      <c r="U1823" s="56"/>
      <c r="X1823" s="57"/>
    </row>
    <row r="1824">
      <c r="A1824" s="54"/>
      <c r="G1824" s="55"/>
      <c r="U1824" s="56"/>
      <c r="X1824" s="57"/>
    </row>
    <row r="1825">
      <c r="A1825" s="54"/>
      <c r="G1825" s="55"/>
      <c r="U1825" s="56"/>
      <c r="X1825" s="57"/>
    </row>
    <row r="1826">
      <c r="A1826" s="54"/>
      <c r="G1826" s="55"/>
      <c r="U1826" s="56"/>
      <c r="X1826" s="57"/>
    </row>
    <row r="1827">
      <c r="A1827" s="54"/>
      <c r="G1827" s="55"/>
      <c r="U1827" s="56"/>
      <c r="X1827" s="57"/>
    </row>
    <row r="1828">
      <c r="A1828" s="54"/>
      <c r="G1828" s="55"/>
      <c r="U1828" s="56"/>
      <c r="X1828" s="57"/>
    </row>
    <row r="1829">
      <c r="A1829" s="54"/>
      <c r="G1829" s="55"/>
      <c r="U1829" s="56"/>
      <c r="X1829" s="57"/>
    </row>
    <row r="1830">
      <c r="A1830" s="54"/>
      <c r="G1830" s="55"/>
      <c r="U1830" s="56"/>
      <c r="X1830" s="57"/>
    </row>
    <row r="1831">
      <c r="A1831" s="54"/>
      <c r="G1831" s="55"/>
      <c r="U1831" s="56"/>
      <c r="X1831" s="57"/>
    </row>
    <row r="1832">
      <c r="A1832" s="54"/>
      <c r="G1832" s="55"/>
      <c r="U1832" s="56"/>
      <c r="X1832" s="57"/>
    </row>
    <row r="1833">
      <c r="A1833" s="54"/>
      <c r="G1833" s="55"/>
      <c r="U1833" s="56"/>
      <c r="X1833" s="57"/>
    </row>
    <row r="1834">
      <c r="A1834" s="54"/>
      <c r="G1834" s="55"/>
      <c r="U1834" s="56"/>
      <c r="X1834" s="57"/>
    </row>
    <row r="1835">
      <c r="A1835" s="54"/>
      <c r="G1835" s="55"/>
      <c r="U1835" s="56"/>
      <c r="X1835" s="57"/>
    </row>
    <row r="1836">
      <c r="A1836" s="54"/>
      <c r="G1836" s="55"/>
      <c r="U1836" s="56"/>
      <c r="X1836" s="57"/>
    </row>
    <row r="1837">
      <c r="A1837" s="54"/>
      <c r="G1837" s="55"/>
      <c r="U1837" s="56"/>
      <c r="X1837" s="57"/>
    </row>
    <row r="1838">
      <c r="A1838" s="54"/>
      <c r="G1838" s="55"/>
      <c r="U1838" s="56"/>
      <c r="X1838" s="57"/>
    </row>
    <row r="1839">
      <c r="A1839" s="54"/>
      <c r="G1839" s="55"/>
      <c r="U1839" s="56"/>
      <c r="X1839" s="57"/>
    </row>
    <row r="1840">
      <c r="A1840" s="54"/>
      <c r="G1840" s="55"/>
      <c r="U1840" s="56"/>
      <c r="X1840" s="57"/>
    </row>
    <row r="1841">
      <c r="A1841" s="54"/>
      <c r="G1841" s="55"/>
      <c r="U1841" s="56"/>
      <c r="X1841" s="57"/>
    </row>
    <row r="1842">
      <c r="A1842" s="54"/>
      <c r="G1842" s="55"/>
      <c r="U1842" s="56"/>
      <c r="X1842" s="57"/>
    </row>
    <row r="1843">
      <c r="A1843" s="54"/>
      <c r="G1843" s="55"/>
      <c r="U1843" s="56"/>
      <c r="X1843" s="57"/>
    </row>
    <row r="1844">
      <c r="A1844" s="54"/>
      <c r="G1844" s="55"/>
      <c r="U1844" s="56"/>
      <c r="X1844" s="57"/>
    </row>
    <row r="1845">
      <c r="A1845" s="54"/>
      <c r="G1845" s="55"/>
      <c r="U1845" s="56"/>
      <c r="X1845" s="57"/>
    </row>
    <row r="1846">
      <c r="A1846" s="54"/>
      <c r="G1846" s="55"/>
      <c r="U1846" s="56"/>
      <c r="X1846" s="57"/>
    </row>
    <row r="1847">
      <c r="A1847" s="54"/>
      <c r="G1847" s="55"/>
      <c r="U1847" s="56"/>
      <c r="X1847" s="57"/>
    </row>
    <row r="1848">
      <c r="A1848" s="54"/>
      <c r="G1848" s="55"/>
      <c r="U1848" s="56"/>
      <c r="X1848" s="57"/>
    </row>
    <row r="1849">
      <c r="A1849" s="54"/>
      <c r="G1849" s="55"/>
      <c r="U1849" s="56"/>
      <c r="X1849" s="57"/>
    </row>
    <row r="1850">
      <c r="A1850" s="54"/>
      <c r="G1850" s="55"/>
      <c r="U1850" s="56"/>
      <c r="X1850" s="57"/>
    </row>
    <row r="1851">
      <c r="A1851" s="54"/>
      <c r="G1851" s="55"/>
      <c r="U1851" s="56"/>
      <c r="X1851" s="57"/>
    </row>
    <row r="1852">
      <c r="A1852" s="54"/>
      <c r="G1852" s="55"/>
      <c r="U1852" s="56"/>
      <c r="X1852" s="57"/>
    </row>
    <row r="1853">
      <c r="A1853" s="54"/>
      <c r="G1853" s="55"/>
      <c r="U1853" s="56"/>
      <c r="X1853" s="57"/>
    </row>
    <row r="1854">
      <c r="A1854" s="54"/>
      <c r="G1854" s="55"/>
      <c r="U1854" s="56"/>
      <c r="X1854" s="57"/>
    </row>
    <row r="1855">
      <c r="A1855" s="54"/>
      <c r="G1855" s="55"/>
      <c r="U1855" s="56"/>
      <c r="X1855" s="57"/>
    </row>
    <row r="1856">
      <c r="A1856" s="54"/>
      <c r="G1856" s="55"/>
      <c r="U1856" s="56"/>
      <c r="X1856" s="57"/>
    </row>
    <row r="1857">
      <c r="A1857" s="54"/>
      <c r="G1857" s="55"/>
      <c r="U1857" s="56"/>
      <c r="X1857" s="57"/>
    </row>
    <row r="1858">
      <c r="A1858" s="54"/>
      <c r="G1858" s="55"/>
      <c r="U1858" s="56"/>
      <c r="X1858" s="57"/>
    </row>
    <row r="1859">
      <c r="A1859" s="54"/>
      <c r="G1859" s="55"/>
      <c r="U1859" s="56"/>
      <c r="X1859" s="57"/>
    </row>
    <row r="1860">
      <c r="A1860" s="54"/>
      <c r="G1860" s="55"/>
      <c r="U1860" s="56"/>
      <c r="X1860" s="57"/>
    </row>
    <row r="1861">
      <c r="A1861" s="54"/>
      <c r="G1861" s="55"/>
      <c r="U1861" s="56"/>
      <c r="X1861" s="57"/>
    </row>
    <row r="1862">
      <c r="A1862" s="54"/>
      <c r="G1862" s="55"/>
      <c r="U1862" s="56"/>
      <c r="X1862" s="57"/>
    </row>
    <row r="1863">
      <c r="A1863" s="54"/>
      <c r="G1863" s="55"/>
      <c r="U1863" s="56"/>
      <c r="X1863" s="57"/>
    </row>
    <row r="1864">
      <c r="A1864" s="54"/>
      <c r="G1864" s="55"/>
      <c r="U1864" s="56"/>
      <c r="X1864" s="57"/>
    </row>
    <row r="1865">
      <c r="A1865" s="54"/>
      <c r="G1865" s="55"/>
      <c r="U1865" s="56"/>
      <c r="X1865" s="57"/>
    </row>
    <row r="1866">
      <c r="A1866" s="54"/>
      <c r="G1866" s="55"/>
      <c r="U1866" s="56"/>
      <c r="X1866" s="57"/>
    </row>
    <row r="1867">
      <c r="A1867" s="54"/>
      <c r="G1867" s="55"/>
      <c r="U1867" s="56"/>
      <c r="X1867" s="57"/>
    </row>
    <row r="1868">
      <c r="A1868" s="54"/>
      <c r="G1868" s="55"/>
      <c r="U1868" s="56"/>
      <c r="X1868" s="57"/>
    </row>
    <row r="1869">
      <c r="A1869" s="54"/>
      <c r="G1869" s="55"/>
      <c r="U1869" s="56"/>
      <c r="X1869" s="57"/>
    </row>
    <row r="1870">
      <c r="A1870" s="54"/>
      <c r="G1870" s="55"/>
      <c r="U1870" s="56"/>
      <c r="X1870" s="57"/>
    </row>
    <row r="1871">
      <c r="A1871" s="54"/>
      <c r="G1871" s="55"/>
      <c r="U1871" s="56"/>
      <c r="X1871" s="57"/>
    </row>
    <row r="1872">
      <c r="A1872" s="54"/>
      <c r="G1872" s="55"/>
      <c r="U1872" s="56"/>
      <c r="X1872" s="57"/>
    </row>
    <row r="1873">
      <c r="A1873" s="54"/>
      <c r="G1873" s="55"/>
      <c r="U1873" s="56"/>
      <c r="X1873" s="57"/>
    </row>
    <row r="1874">
      <c r="A1874" s="54"/>
      <c r="G1874" s="55"/>
      <c r="U1874" s="56"/>
      <c r="X1874" s="57"/>
    </row>
    <row r="1875">
      <c r="A1875" s="54"/>
      <c r="G1875" s="55"/>
      <c r="U1875" s="56"/>
      <c r="X1875" s="57"/>
    </row>
    <row r="1876">
      <c r="A1876" s="54"/>
      <c r="G1876" s="55"/>
      <c r="U1876" s="56"/>
      <c r="X1876" s="57"/>
    </row>
    <row r="1877">
      <c r="A1877" s="54"/>
      <c r="G1877" s="55"/>
      <c r="U1877" s="56"/>
      <c r="X1877" s="57"/>
    </row>
    <row r="1878">
      <c r="A1878" s="54"/>
      <c r="G1878" s="55"/>
      <c r="U1878" s="56"/>
      <c r="X1878" s="57"/>
    </row>
    <row r="1879">
      <c r="A1879" s="54"/>
      <c r="G1879" s="55"/>
      <c r="U1879" s="56"/>
      <c r="X1879" s="57"/>
    </row>
    <row r="1880">
      <c r="A1880" s="54"/>
      <c r="G1880" s="55"/>
      <c r="U1880" s="56"/>
      <c r="X1880" s="57"/>
    </row>
    <row r="1881">
      <c r="A1881" s="54"/>
      <c r="G1881" s="55"/>
      <c r="U1881" s="56"/>
      <c r="X1881" s="57"/>
    </row>
    <row r="1882">
      <c r="A1882" s="54"/>
      <c r="G1882" s="55"/>
      <c r="U1882" s="56"/>
      <c r="X1882" s="57"/>
    </row>
    <row r="1883">
      <c r="A1883" s="54"/>
      <c r="G1883" s="55"/>
      <c r="U1883" s="56"/>
      <c r="X1883" s="57"/>
    </row>
    <row r="1884">
      <c r="A1884" s="54"/>
      <c r="G1884" s="55"/>
      <c r="U1884" s="56"/>
      <c r="X1884" s="57"/>
    </row>
    <row r="1885">
      <c r="A1885" s="54"/>
      <c r="G1885" s="55"/>
      <c r="U1885" s="56"/>
      <c r="X1885" s="57"/>
    </row>
    <row r="1886">
      <c r="A1886" s="54"/>
      <c r="G1886" s="55"/>
      <c r="U1886" s="56"/>
      <c r="X1886" s="57"/>
    </row>
    <row r="1887">
      <c r="A1887" s="54"/>
      <c r="G1887" s="55"/>
      <c r="U1887" s="56"/>
      <c r="X1887" s="57"/>
    </row>
    <row r="1888">
      <c r="A1888" s="54"/>
      <c r="G1888" s="55"/>
      <c r="U1888" s="56"/>
      <c r="X1888" s="57"/>
    </row>
    <row r="1889">
      <c r="A1889" s="54"/>
      <c r="G1889" s="55"/>
      <c r="U1889" s="56"/>
      <c r="X1889" s="57"/>
    </row>
    <row r="1890">
      <c r="A1890" s="54"/>
      <c r="G1890" s="55"/>
      <c r="U1890" s="56"/>
      <c r="X1890" s="57"/>
    </row>
    <row r="1891">
      <c r="A1891" s="54"/>
      <c r="G1891" s="55"/>
      <c r="U1891" s="56"/>
      <c r="X1891" s="57"/>
    </row>
    <row r="1892">
      <c r="A1892" s="54"/>
      <c r="G1892" s="55"/>
      <c r="U1892" s="56"/>
      <c r="X1892" s="57"/>
    </row>
    <row r="1893">
      <c r="A1893" s="54"/>
      <c r="G1893" s="55"/>
      <c r="U1893" s="56"/>
      <c r="X1893" s="57"/>
    </row>
    <row r="1894">
      <c r="A1894" s="54"/>
      <c r="G1894" s="55"/>
      <c r="U1894" s="56"/>
      <c r="X1894" s="57"/>
    </row>
    <row r="1895">
      <c r="A1895" s="54"/>
      <c r="G1895" s="55"/>
      <c r="U1895" s="56"/>
      <c r="X1895" s="57"/>
    </row>
    <row r="1896">
      <c r="A1896" s="54"/>
      <c r="G1896" s="55"/>
      <c r="U1896" s="56"/>
      <c r="X1896" s="57"/>
    </row>
    <row r="1897">
      <c r="A1897" s="54"/>
      <c r="G1897" s="55"/>
      <c r="U1897" s="56"/>
      <c r="X1897" s="57"/>
    </row>
    <row r="1898">
      <c r="A1898" s="54"/>
      <c r="G1898" s="55"/>
      <c r="U1898" s="56"/>
      <c r="X1898" s="57"/>
    </row>
    <row r="1899">
      <c r="A1899" s="54"/>
      <c r="G1899" s="55"/>
      <c r="U1899" s="56"/>
      <c r="X1899" s="57"/>
    </row>
    <row r="1900">
      <c r="A1900" s="54"/>
      <c r="G1900" s="55"/>
      <c r="U1900" s="56"/>
      <c r="X1900" s="57"/>
    </row>
    <row r="1901">
      <c r="A1901" s="54"/>
      <c r="G1901" s="55"/>
      <c r="U1901" s="56"/>
      <c r="X1901" s="57"/>
    </row>
    <row r="1902">
      <c r="A1902" s="54"/>
      <c r="G1902" s="55"/>
      <c r="U1902" s="56"/>
      <c r="X1902" s="57"/>
    </row>
    <row r="1903">
      <c r="A1903" s="54"/>
      <c r="G1903" s="55"/>
      <c r="U1903" s="56"/>
      <c r="X1903" s="57"/>
    </row>
    <row r="1904">
      <c r="A1904" s="54"/>
      <c r="G1904" s="55"/>
      <c r="U1904" s="56"/>
      <c r="X1904" s="57"/>
    </row>
    <row r="1905">
      <c r="A1905" s="54"/>
      <c r="G1905" s="55"/>
      <c r="U1905" s="56"/>
      <c r="X1905" s="57"/>
    </row>
    <row r="1906">
      <c r="A1906" s="54"/>
      <c r="G1906" s="55"/>
      <c r="U1906" s="56"/>
      <c r="X1906" s="57"/>
    </row>
    <row r="1907">
      <c r="A1907" s="54"/>
      <c r="G1907" s="55"/>
      <c r="U1907" s="56"/>
      <c r="X1907" s="57"/>
    </row>
    <row r="1908">
      <c r="A1908" s="54"/>
      <c r="G1908" s="55"/>
      <c r="U1908" s="56"/>
      <c r="X1908" s="57"/>
    </row>
    <row r="1909">
      <c r="A1909" s="54"/>
      <c r="G1909" s="55"/>
      <c r="U1909" s="56"/>
      <c r="X1909" s="57"/>
    </row>
    <row r="1910">
      <c r="A1910" s="54"/>
      <c r="G1910" s="55"/>
      <c r="U1910" s="56"/>
      <c r="X1910" s="57"/>
    </row>
    <row r="1911">
      <c r="A1911" s="54"/>
      <c r="G1911" s="55"/>
      <c r="U1911" s="56"/>
      <c r="X1911" s="57"/>
    </row>
    <row r="1912">
      <c r="A1912" s="54"/>
      <c r="G1912" s="55"/>
      <c r="U1912" s="56"/>
      <c r="X1912" s="57"/>
    </row>
    <row r="1913">
      <c r="A1913" s="54"/>
      <c r="G1913" s="55"/>
      <c r="U1913" s="56"/>
      <c r="X1913" s="57"/>
    </row>
    <row r="1914">
      <c r="A1914" s="54"/>
      <c r="G1914" s="55"/>
      <c r="U1914" s="56"/>
      <c r="X1914" s="57"/>
    </row>
    <row r="1915">
      <c r="A1915" s="54"/>
      <c r="G1915" s="55"/>
      <c r="U1915" s="56"/>
      <c r="X1915" s="57"/>
    </row>
    <row r="1916">
      <c r="A1916" s="54"/>
      <c r="G1916" s="55"/>
      <c r="U1916" s="56"/>
      <c r="X1916" s="57"/>
    </row>
    <row r="1917">
      <c r="A1917" s="54"/>
      <c r="G1917" s="55"/>
      <c r="U1917" s="56"/>
      <c r="X1917" s="57"/>
    </row>
    <row r="1918">
      <c r="A1918" s="54"/>
      <c r="G1918" s="55"/>
      <c r="U1918" s="56"/>
      <c r="X1918" s="57"/>
    </row>
    <row r="1919">
      <c r="A1919" s="54"/>
      <c r="G1919" s="55"/>
      <c r="U1919" s="56"/>
      <c r="X1919" s="57"/>
    </row>
    <row r="1920">
      <c r="A1920" s="54"/>
      <c r="G1920" s="55"/>
      <c r="U1920" s="56"/>
      <c r="X1920" s="57"/>
    </row>
    <row r="1921">
      <c r="A1921" s="54"/>
      <c r="G1921" s="55"/>
      <c r="U1921" s="56"/>
      <c r="X1921" s="57"/>
    </row>
    <row r="1922">
      <c r="A1922" s="54"/>
      <c r="G1922" s="55"/>
      <c r="U1922" s="56"/>
      <c r="X1922" s="57"/>
    </row>
    <row r="1923">
      <c r="A1923" s="54"/>
      <c r="G1923" s="55"/>
      <c r="U1923" s="56"/>
      <c r="X1923" s="57"/>
    </row>
    <row r="1924">
      <c r="A1924" s="54"/>
      <c r="G1924" s="55"/>
      <c r="U1924" s="56"/>
      <c r="X1924" s="57"/>
    </row>
    <row r="1925">
      <c r="A1925" s="54"/>
      <c r="G1925" s="55"/>
      <c r="U1925" s="56"/>
      <c r="X1925" s="57"/>
    </row>
    <row r="1926">
      <c r="A1926" s="54"/>
      <c r="G1926" s="55"/>
      <c r="U1926" s="56"/>
      <c r="X1926" s="57"/>
    </row>
    <row r="1927">
      <c r="A1927" s="54"/>
      <c r="G1927" s="55"/>
      <c r="U1927" s="56"/>
      <c r="X1927" s="57"/>
    </row>
    <row r="1928">
      <c r="A1928" s="54"/>
      <c r="G1928" s="55"/>
      <c r="U1928" s="56"/>
      <c r="X1928" s="57"/>
    </row>
    <row r="1929">
      <c r="A1929" s="54"/>
      <c r="G1929" s="55"/>
      <c r="U1929" s="56"/>
      <c r="X1929" s="57"/>
    </row>
    <row r="1930">
      <c r="A1930" s="54"/>
      <c r="G1930" s="55"/>
      <c r="U1930" s="56"/>
      <c r="X1930" s="57"/>
    </row>
    <row r="1931">
      <c r="A1931" s="54"/>
      <c r="G1931" s="55"/>
      <c r="U1931" s="56"/>
      <c r="X1931" s="57"/>
    </row>
    <row r="1932">
      <c r="A1932" s="54"/>
      <c r="G1932" s="55"/>
      <c r="U1932" s="56"/>
      <c r="X1932" s="57"/>
    </row>
    <row r="1933">
      <c r="A1933" s="54"/>
      <c r="G1933" s="55"/>
      <c r="U1933" s="56"/>
      <c r="X1933" s="57"/>
    </row>
    <row r="1934">
      <c r="A1934" s="54"/>
      <c r="G1934" s="55"/>
      <c r="U1934" s="56"/>
      <c r="X1934" s="57"/>
    </row>
    <row r="1935">
      <c r="A1935" s="54"/>
      <c r="G1935" s="55"/>
      <c r="U1935" s="56"/>
      <c r="X1935" s="57"/>
    </row>
    <row r="1936">
      <c r="A1936" s="54"/>
      <c r="G1936" s="55"/>
      <c r="U1936" s="56"/>
      <c r="X1936" s="57"/>
    </row>
    <row r="1937">
      <c r="A1937" s="54"/>
      <c r="G1937" s="55"/>
      <c r="U1937" s="56"/>
      <c r="X1937" s="57"/>
    </row>
    <row r="1938">
      <c r="A1938" s="54"/>
      <c r="G1938" s="55"/>
      <c r="U1938" s="56"/>
      <c r="X1938" s="57"/>
    </row>
    <row r="1939">
      <c r="A1939" s="54"/>
      <c r="G1939" s="55"/>
      <c r="U1939" s="56"/>
      <c r="X1939" s="57"/>
    </row>
    <row r="1940">
      <c r="A1940" s="54"/>
      <c r="G1940" s="55"/>
      <c r="U1940" s="56"/>
      <c r="X1940" s="57"/>
    </row>
    <row r="1941">
      <c r="A1941" s="54"/>
      <c r="G1941" s="55"/>
      <c r="U1941" s="56"/>
      <c r="X1941" s="57"/>
    </row>
    <row r="1942">
      <c r="A1942" s="54"/>
      <c r="G1942" s="55"/>
      <c r="U1942" s="56"/>
      <c r="X1942" s="57"/>
    </row>
    <row r="1943">
      <c r="A1943" s="54"/>
      <c r="G1943" s="55"/>
      <c r="U1943" s="56"/>
      <c r="X1943" s="57"/>
    </row>
    <row r="1944">
      <c r="A1944" s="54"/>
      <c r="G1944" s="55"/>
      <c r="U1944" s="56"/>
      <c r="X1944" s="57"/>
    </row>
    <row r="1945">
      <c r="A1945" s="54"/>
      <c r="G1945" s="55"/>
      <c r="U1945" s="56"/>
      <c r="X1945" s="57"/>
    </row>
    <row r="1946">
      <c r="A1946" s="54"/>
      <c r="G1946" s="55"/>
      <c r="U1946" s="56"/>
      <c r="X1946" s="57"/>
    </row>
    <row r="1947">
      <c r="A1947" s="54"/>
      <c r="G1947" s="55"/>
      <c r="U1947" s="56"/>
      <c r="X1947" s="57"/>
    </row>
    <row r="1948">
      <c r="A1948" s="54"/>
      <c r="G1948" s="55"/>
      <c r="U1948" s="56"/>
      <c r="X1948" s="57"/>
    </row>
    <row r="1949">
      <c r="A1949" s="54"/>
      <c r="G1949" s="55"/>
      <c r="U1949" s="56"/>
      <c r="X1949" s="57"/>
    </row>
    <row r="1950">
      <c r="A1950" s="54"/>
      <c r="G1950" s="55"/>
      <c r="U1950" s="56"/>
      <c r="X1950" s="57"/>
    </row>
    <row r="1951">
      <c r="A1951" s="54"/>
      <c r="G1951" s="55"/>
      <c r="U1951" s="56"/>
      <c r="X1951" s="57"/>
    </row>
    <row r="1952">
      <c r="A1952" s="54"/>
      <c r="G1952" s="55"/>
      <c r="U1952" s="56"/>
      <c r="X1952" s="57"/>
    </row>
    <row r="1953">
      <c r="A1953" s="54"/>
      <c r="G1953" s="55"/>
      <c r="U1953" s="56"/>
      <c r="X1953" s="57"/>
    </row>
    <row r="1954">
      <c r="A1954" s="54"/>
      <c r="G1954" s="55"/>
      <c r="U1954" s="56"/>
      <c r="X1954" s="57"/>
    </row>
    <row r="1955">
      <c r="A1955" s="54"/>
      <c r="G1955" s="55"/>
      <c r="U1955" s="56"/>
      <c r="X1955" s="57"/>
    </row>
    <row r="1956">
      <c r="A1956" s="54"/>
      <c r="G1956" s="55"/>
      <c r="U1956" s="56"/>
      <c r="X1956" s="57"/>
    </row>
    <row r="1957">
      <c r="A1957" s="54"/>
      <c r="G1957" s="55"/>
      <c r="U1957" s="56"/>
      <c r="X1957" s="57"/>
    </row>
    <row r="1958">
      <c r="A1958" s="54"/>
      <c r="G1958" s="55"/>
      <c r="U1958" s="56"/>
      <c r="X1958" s="57"/>
    </row>
    <row r="1959">
      <c r="A1959" s="54"/>
      <c r="G1959" s="55"/>
      <c r="U1959" s="56"/>
      <c r="X1959" s="57"/>
    </row>
    <row r="1960">
      <c r="A1960" s="54"/>
      <c r="G1960" s="55"/>
      <c r="U1960" s="56"/>
      <c r="X1960" s="57"/>
    </row>
    <row r="1961">
      <c r="A1961" s="54"/>
      <c r="G1961" s="55"/>
      <c r="U1961" s="56"/>
      <c r="X1961" s="57"/>
    </row>
    <row r="1962">
      <c r="A1962" s="54"/>
      <c r="G1962" s="55"/>
      <c r="U1962" s="56"/>
      <c r="X1962" s="57"/>
    </row>
    <row r="1963">
      <c r="A1963" s="54"/>
      <c r="G1963" s="55"/>
      <c r="U1963" s="56"/>
      <c r="X1963" s="57"/>
    </row>
    <row r="1964">
      <c r="A1964" s="54"/>
      <c r="G1964" s="55"/>
      <c r="U1964" s="56"/>
      <c r="X1964" s="57"/>
    </row>
    <row r="1965">
      <c r="A1965" s="54"/>
      <c r="G1965" s="55"/>
      <c r="U1965" s="56"/>
      <c r="X1965" s="57"/>
    </row>
    <row r="1966">
      <c r="A1966" s="54"/>
      <c r="G1966" s="55"/>
      <c r="U1966" s="56"/>
      <c r="X1966" s="57"/>
    </row>
    <row r="1967">
      <c r="A1967" s="54"/>
      <c r="G1967" s="55"/>
      <c r="U1967" s="56"/>
      <c r="X1967" s="57"/>
    </row>
    <row r="1968">
      <c r="A1968" s="54"/>
      <c r="G1968" s="55"/>
      <c r="U1968" s="56"/>
      <c r="X1968" s="57"/>
    </row>
    <row r="1969">
      <c r="A1969" s="54"/>
      <c r="G1969" s="55"/>
      <c r="U1969" s="56"/>
      <c r="X1969" s="57"/>
    </row>
    <row r="1970">
      <c r="A1970" s="54"/>
      <c r="G1970" s="55"/>
      <c r="U1970" s="56"/>
      <c r="X1970" s="57"/>
    </row>
    <row r="1971">
      <c r="A1971" s="54"/>
      <c r="G1971" s="55"/>
      <c r="U1971" s="56"/>
      <c r="X1971" s="57"/>
    </row>
    <row r="1972">
      <c r="A1972" s="54"/>
      <c r="G1972" s="55"/>
      <c r="U1972" s="56"/>
      <c r="X1972" s="57"/>
    </row>
    <row r="1973">
      <c r="A1973" s="54"/>
      <c r="G1973" s="55"/>
      <c r="U1973" s="56"/>
      <c r="X1973" s="57"/>
    </row>
    <row r="1974">
      <c r="A1974" s="54"/>
      <c r="G1974" s="55"/>
      <c r="U1974" s="56"/>
      <c r="X1974" s="57"/>
    </row>
    <row r="1975">
      <c r="A1975" s="54"/>
      <c r="G1975" s="55"/>
      <c r="U1975" s="56"/>
      <c r="X1975" s="57"/>
    </row>
    <row r="1976">
      <c r="A1976" s="54"/>
      <c r="G1976" s="55"/>
      <c r="U1976" s="56"/>
      <c r="X1976" s="57"/>
    </row>
    <row r="1977">
      <c r="A1977" s="54"/>
      <c r="G1977" s="55"/>
      <c r="U1977" s="56"/>
      <c r="X1977" s="57"/>
    </row>
    <row r="1978">
      <c r="A1978" s="54"/>
      <c r="G1978" s="55"/>
      <c r="U1978" s="56"/>
      <c r="X1978" s="57"/>
    </row>
    <row r="1979">
      <c r="A1979" s="54"/>
      <c r="G1979" s="55"/>
      <c r="U1979" s="56"/>
      <c r="X1979" s="57"/>
    </row>
    <row r="1980">
      <c r="A1980" s="54"/>
      <c r="G1980" s="55"/>
      <c r="U1980" s="56"/>
      <c r="X1980" s="57"/>
    </row>
    <row r="1981">
      <c r="A1981" s="54"/>
      <c r="G1981" s="55"/>
      <c r="U1981" s="56"/>
      <c r="X1981" s="57"/>
    </row>
    <row r="1982">
      <c r="A1982" s="54"/>
      <c r="G1982" s="55"/>
      <c r="U1982" s="56"/>
      <c r="X1982" s="57"/>
    </row>
    <row r="1983">
      <c r="A1983" s="54"/>
      <c r="G1983" s="55"/>
      <c r="U1983" s="56"/>
      <c r="X1983" s="57"/>
    </row>
    <row r="1984">
      <c r="A1984" s="54"/>
      <c r="G1984" s="55"/>
      <c r="U1984" s="56"/>
      <c r="X1984" s="57"/>
    </row>
    <row r="1985">
      <c r="A1985" s="54"/>
      <c r="G1985" s="55"/>
      <c r="U1985" s="56"/>
      <c r="X1985" s="57"/>
    </row>
    <row r="1986">
      <c r="A1986" s="54"/>
      <c r="G1986" s="55"/>
      <c r="U1986" s="56"/>
      <c r="X1986" s="57"/>
    </row>
    <row r="1987">
      <c r="A1987" s="54"/>
      <c r="G1987" s="55"/>
      <c r="U1987" s="56"/>
      <c r="X1987" s="57"/>
    </row>
    <row r="1988">
      <c r="A1988" s="54"/>
      <c r="G1988" s="55"/>
      <c r="U1988" s="56"/>
      <c r="X1988" s="57"/>
    </row>
    <row r="1989">
      <c r="A1989" s="54"/>
      <c r="G1989" s="55"/>
      <c r="U1989" s="56"/>
      <c r="X1989" s="57"/>
    </row>
    <row r="1990">
      <c r="A1990" s="54"/>
      <c r="G1990" s="55"/>
      <c r="U1990" s="56"/>
      <c r="X1990" s="57"/>
    </row>
    <row r="1991">
      <c r="A1991" s="54"/>
      <c r="G1991" s="55"/>
      <c r="U1991" s="56"/>
      <c r="X1991" s="57"/>
    </row>
    <row r="1992">
      <c r="A1992" s="54"/>
      <c r="G1992" s="55"/>
      <c r="U1992" s="56"/>
      <c r="X1992" s="57"/>
    </row>
    <row r="1993">
      <c r="A1993" s="54"/>
      <c r="G1993" s="55"/>
      <c r="U1993" s="56"/>
      <c r="X1993" s="57"/>
    </row>
    <row r="1994">
      <c r="A1994" s="54"/>
      <c r="G1994" s="55"/>
      <c r="U1994" s="56"/>
      <c r="X1994" s="57"/>
    </row>
    <row r="1995">
      <c r="A1995" s="54"/>
      <c r="G1995" s="55"/>
      <c r="U1995" s="56"/>
      <c r="X1995" s="57"/>
    </row>
    <row r="1996">
      <c r="A1996" s="54"/>
      <c r="G1996" s="55"/>
      <c r="U1996" s="56"/>
      <c r="X1996" s="57"/>
    </row>
    <row r="1997">
      <c r="A1997" s="54"/>
      <c r="G1997" s="55"/>
      <c r="U1997" s="56"/>
      <c r="X1997" s="57"/>
    </row>
    <row r="1998">
      <c r="A1998" s="54"/>
      <c r="G1998" s="55"/>
      <c r="U1998" s="56"/>
      <c r="X1998" s="57"/>
    </row>
    <row r="1999">
      <c r="A1999" s="54"/>
      <c r="G1999" s="55"/>
      <c r="U1999" s="56"/>
      <c r="X1999" s="57"/>
    </row>
    <row r="2000">
      <c r="A2000" s="54"/>
      <c r="G2000" s="55"/>
      <c r="U2000" s="56"/>
      <c r="X2000" s="57"/>
    </row>
    <row r="2001">
      <c r="A2001" s="54"/>
      <c r="G2001" s="55"/>
      <c r="U2001" s="56"/>
      <c r="X2001" s="57"/>
    </row>
    <row r="2002">
      <c r="A2002" s="54"/>
      <c r="G2002" s="55"/>
      <c r="U2002" s="56"/>
      <c r="X2002" s="57"/>
    </row>
    <row r="2003">
      <c r="A2003" s="54"/>
      <c r="G2003" s="55"/>
      <c r="U2003" s="56"/>
      <c r="X2003" s="57"/>
    </row>
    <row r="2004">
      <c r="A2004" s="54"/>
      <c r="G2004" s="55"/>
      <c r="U2004" s="56"/>
      <c r="X2004" s="57"/>
    </row>
    <row r="2005">
      <c r="A2005" s="54"/>
      <c r="G2005" s="55"/>
      <c r="U2005" s="56"/>
      <c r="X2005" s="57"/>
    </row>
    <row r="2006">
      <c r="A2006" s="54"/>
      <c r="G2006" s="55"/>
      <c r="U2006" s="56"/>
      <c r="X2006" s="57"/>
    </row>
    <row r="2007">
      <c r="A2007" s="54"/>
      <c r="G2007" s="55"/>
      <c r="U2007" s="56"/>
      <c r="X2007" s="57"/>
    </row>
    <row r="2008">
      <c r="A2008" s="54"/>
      <c r="G2008" s="55"/>
      <c r="U2008" s="56"/>
      <c r="X2008" s="57"/>
    </row>
    <row r="2009">
      <c r="A2009" s="54"/>
      <c r="G2009" s="55"/>
      <c r="U2009" s="56"/>
      <c r="X2009" s="57"/>
    </row>
    <row r="2010">
      <c r="A2010" s="54"/>
      <c r="G2010" s="55"/>
      <c r="U2010" s="56"/>
      <c r="X2010" s="57"/>
    </row>
    <row r="2011">
      <c r="A2011" s="54"/>
      <c r="G2011" s="55"/>
      <c r="U2011" s="56"/>
      <c r="X2011" s="57"/>
    </row>
    <row r="2012">
      <c r="A2012" s="54"/>
      <c r="G2012" s="55"/>
      <c r="U2012" s="56"/>
      <c r="X2012" s="57"/>
    </row>
    <row r="2013">
      <c r="A2013" s="54"/>
      <c r="G2013" s="55"/>
      <c r="U2013" s="56"/>
      <c r="X2013" s="57"/>
    </row>
    <row r="2014">
      <c r="A2014" s="54"/>
      <c r="G2014" s="55"/>
      <c r="U2014" s="56"/>
      <c r="X2014" s="57"/>
    </row>
    <row r="2015">
      <c r="A2015" s="54"/>
      <c r="G2015" s="55"/>
      <c r="U2015" s="56"/>
      <c r="X2015" s="57"/>
    </row>
    <row r="2016">
      <c r="A2016" s="54"/>
      <c r="G2016" s="55"/>
      <c r="U2016" s="56"/>
      <c r="X2016" s="57"/>
    </row>
    <row r="2017">
      <c r="A2017" s="54"/>
      <c r="G2017" s="55"/>
      <c r="U2017" s="56"/>
      <c r="X2017" s="57"/>
    </row>
    <row r="2018">
      <c r="A2018" s="54"/>
      <c r="G2018" s="55"/>
      <c r="U2018" s="56"/>
      <c r="X2018" s="57"/>
    </row>
    <row r="2019">
      <c r="A2019" s="54"/>
      <c r="G2019" s="55"/>
      <c r="U2019" s="56"/>
      <c r="X2019" s="57"/>
    </row>
    <row r="2020">
      <c r="A2020" s="54"/>
      <c r="G2020" s="55"/>
      <c r="U2020" s="56"/>
      <c r="X2020" s="57"/>
    </row>
    <row r="2021">
      <c r="A2021" s="54"/>
      <c r="G2021" s="55"/>
      <c r="U2021" s="56"/>
      <c r="X2021" s="57"/>
    </row>
    <row r="2022">
      <c r="A2022" s="54"/>
      <c r="G2022" s="55"/>
      <c r="U2022" s="56"/>
      <c r="X2022" s="57"/>
    </row>
    <row r="2023">
      <c r="A2023" s="54"/>
      <c r="G2023" s="55"/>
      <c r="U2023" s="56"/>
      <c r="X2023" s="57"/>
    </row>
    <row r="2024">
      <c r="A2024" s="54"/>
      <c r="G2024" s="55"/>
      <c r="U2024" s="56"/>
      <c r="X2024" s="57"/>
    </row>
    <row r="2025">
      <c r="A2025" s="54"/>
      <c r="G2025" s="55"/>
      <c r="U2025" s="56"/>
      <c r="X2025" s="57"/>
    </row>
    <row r="2026">
      <c r="A2026" s="54"/>
      <c r="G2026" s="55"/>
      <c r="U2026" s="56"/>
      <c r="X2026" s="57"/>
    </row>
    <row r="2027">
      <c r="A2027" s="54"/>
      <c r="G2027" s="55"/>
      <c r="U2027" s="56"/>
      <c r="X2027" s="57"/>
    </row>
    <row r="2028">
      <c r="A2028" s="54"/>
      <c r="G2028" s="55"/>
      <c r="U2028" s="56"/>
      <c r="X2028" s="57"/>
    </row>
    <row r="2029">
      <c r="A2029" s="54"/>
      <c r="G2029" s="55"/>
      <c r="U2029" s="56"/>
      <c r="X2029" s="57"/>
    </row>
    <row r="2030">
      <c r="A2030" s="54"/>
      <c r="G2030" s="55"/>
      <c r="U2030" s="56"/>
      <c r="X2030" s="57"/>
    </row>
    <row r="2031">
      <c r="A2031" s="54"/>
      <c r="G2031" s="55"/>
      <c r="U2031" s="56"/>
      <c r="X2031" s="57"/>
    </row>
    <row r="2032">
      <c r="A2032" s="54"/>
      <c r="G2032" s="55"/>
      <c r="U2032" s="56"/>
      <c r="X2032" s="57"/>
    </row>
    <row r="2033">
      <c r="A2033" s="54"/>
      <c r="G2033" s="55"/>
      <c r="U2033" s="56"/>
      <c r="X2033" s="57"/>
    </row>
    <row r="2034">
      <c r="A2034" s="54"/>
      <c r="G2034" s="55"/>
      <c r="U2034" s="56"/>
      <c r="X2034" s="57"/>
    </row>
    <row r="2035">
      <c r="A2035" s="54"/>
      <c r="G2035" s="55"/>
      <c r="U2035" s="56"/>
      <c r="X2035" s="57"/>
    </row>
    <row r="2036">
      <c r="A2036" s="54"/>
      <c r="G2036" s="55"/>
      <c r="U2036" s="56"/>
      <c r="X2036" s="57"/>
    </row>
    <row r="2037">
      <c r="A2037" s="54"/>
      <c r="G2037" s="55"/>
      <c r="U2037" s="56"/>
      <c r="X2037" s="57"/>
    </row>
    <row r="2038">
      <c r="A2038" s="54"/>
      <c r="G2038" s="55"/>
      <c r="U2038" s="56"/>
      <c r="X2038" s="57"/>
    </row>
    <row r="2039">
      <c r="A2039" s="54"/>
      <c r="G2039" s="55"/>
      <c r="U2039" s="56"/>
      <c r="X2039" s="57"/>
    </row>
    <row r="2040">
      <c r="A2040" s="54"/>
      <c r="G2040" s="55"/>
      <c r="U2040" s="56"/>
      <c r="X2040" s="57"/>
    </row>
    <row r="2041">
      <c r="A2041" s="54"/>
      <c r="G2041" s="55"/>
      <c r="U2041" s="56"/>
      <c r="X2041" s="57"/>
    </row>
    <row r="2042">
      <c r="A2042" s="54"/>
      <c r="G2042" s="55"/>
      <c r="U2042" s="56"/>
      <c r="X2042" s="57"/>
    </row>
    <row r="2043">
      <c r="A2043" s="54"/>
      <c r="G2043" s="55"/>
      <c r="U2043" s="56"/>
      <c r="X2043" s="57"/>
    </row>
    <row r="2044">
      <c r="A2044" s="54"/>
      <c r="G2044" s="55"/>
      <c r="U2044" s="56"/>
      <c r="X2044" s="57"/>
    </row>
    <row r="2045">
      <c r="A2045" s="54"/>
      <c r="G2045" s="55"/>
      <c r="U2045" s="56"/>
      <c r="X2045" s="57"/>
    </row>
    <row r="2046">
      <c r="A2046" s="54"/>
      <c r="G2046" s="55"/>
      <c r="U2046" s="56"/>
      <c r="X2046" s="57"/>
    </row>
    <row r="2047">
      <c r="A2047" s="54"/>
      <c r="G2047" s="55"/>
      <c r="U2047" s="56"/>
      <c r="X2047" s="57"/>
    </row>
    <row r="2048">
      <c r="A2048" s="54"/>
      <c r="G2048" s="55"/>
      <c r="U2048" s="56"/>
      <c r="X2048" s="57"/>
    </row>
    <row r="2049">
      <c r="A2049" s="54"/>
      <c r="G2049" s="55"/>
      <c r="U2049" s="56"/>
      <c r="X2049" s="57"/>
    </row>
    <row r="2050">
      <c r="A2050" s="54"/>
      <c r="G2050" s="55"/>
      <c r="U2050" s="56"/>
      <c r="X2050" s="57"/>
    </row>
    <row r="2051">
      <c r="A2051" s="54"/>
      <c r="G2051" s="55"/>
      <c r="U2051" s="56"/>
      <c r="X2051" s="57"/>
    </row>
    <row r="2052">
      <c r="A2052" s="54"/>
      <c r="G2052" s="55"/>
      <c r="U2052" s="56"/>
      <c r="X2052" s="57"/>
    </row>
    <row r="2053">
      <c r="A2053" s="54"/>
      <c r="G2053" s="55"/>
      <c r="U2053" s="56"/>
      <c r="X2053" s="57"/>
    </row>
    <row r="2054">
      <c r="A2054" s="54"/>
      <c r="G2054" s="55"/>
      <c r="U2054" s="56"/>
      <c r="X2054" s="57"/>
    </row>
    <row r="2055">
      <c r="A2055" s="54"/>
      <c r="G2055" s="55"/>
      <c r="U2055" s="56"/>
      <c r="X2055" s="57"/>
    </row>
    <row r="2056">
      <c r="A2056" s="54"/>
      <c r="G2056" s="55"/>
      <c r="U2056" s="56"/>
      <c r="X2056" s="57"/>
    </row>
    <row r="2057">
      <c r="A2057" s="54"/>
      <c r="G2057" s="55"/>
      <c r="U2057" s="56"/>
      <c r="X2057" s="57"/>
    </row>
    <row r="2058">
      <c r="A2058" s="54"/>
      <c r="G2058" s="55"/>
      <c r="U2058" s="56"/>
      <c r="X2058" s="57"/>
    </row>
    <row r="2059">
      <c r="A2059" s="54"/>
      <c r="G2059" s="55"/>
      <c r="U2059" s="56"/>
      <c r="X2059" s="57"/>
    </row>
    <row r="2060">
      <c r="A2060" s="54"/>
      <c r="G2060" s="55"/>
      <c r="U2060" s="56"/>
      <c r="X2060" s="57"/>
    </row>
    <row r="2061">
      <c r="A2061" s="54"/>
      <c r="G2061" s="55"/>
      <c r="U2061" s="56"/>
      <c r="X2061" s="57"/>
    </row>
    <row r="2062">
      <c r="A2062" s="54"/>
      <c r="G2062" s="55"/>
      <c r="U2062" s="56"/>
      <c r="X2062" s="57"/>
    </row>
    <row r="2063">
      <c r="A2063" s="54"/>
      <c r="G2063" s="55"/>
      <c r="U2063" s="56"/>
      <c r="X2063" s="57"/>
    </row>
    <row r="2064">
      <c r="A2064" s="54"/>
      <c r="G2064" s="55"/>
      <c r="U2064" s="56"/>
      <c r="X2064" s="57"/>
    </row>
    <row r="2065">
      <c r="A2065" s="54"/>
      <c r="G2065" s="55"/>
      <c r="U2065" s="56"/>
      <c r="X2065" s="57"/>
    </row>
    <row r="2066">
      <c r="A2066" s="54"/>
      <c r="G2066" s="55"/>
      <c r="U2066" s="56"/>
      <c r="X2066" s="57"/>
    </row>
    <row r="2067">
      <c r="A2067" s="54"/>
      <c r="G2067" s="55"/>
      <c r="U2067" s="56"/>
      <c r="X2067" s="57"/>
    </row>
    <row r="2068">
      <c r="A2068" s="54"/>
      <c r="G2068" s="55"/>
      <c r="U2068" s="56"/>
      <c r="X2068" s="57"/>
    </row>
    <row r="2069">
      <c r="A2069" s="54"/>
      <c r="G2069" s="55"/>
      <c r="U2069" s="56"/>
      <c r="X2069" s="57"/>
    </row>
    <row r="2070">
      <c r="A2070" s="54"/>
      <c r="G2070" s="55"/>
      <c r="U2070" s="56"/>
      <c r="X2070" s="57"/>
    </row>
    <row r="2071">
      <c r="A2071" s="54"/>
      <c r="G2071" s="55"/>
      <c r="U2071" s="56"/>
      <c r="X2071" s="57"/>
    </row>
    <row r="2072">
      <c r="A2072" s="54"/>
      <c r="G2072" s="55"/>
      <c r="U2072" s="56"/>
      <c r="X2072" s="57"/>
    </row>
    <row r="2073">
      <c r="A2073" s="54"/>
      <c r="G2073" s="55"/>
      <c r="U2073" s="56"/>
      <c r="X2073" s="57"/>
    </row>
    <row r="2074">
      <c r="A2074" s="54"/>
      <c r="G2074" s="55"/>
      <c r="U2074" s="56"/>
      <c r="X2074" s="57"/>
    </row>
    <row r="2075">
      <c r="A2075" s="54"/>
      <c r="G2075" s="55"/>
      <c r="U2075" s="56"/>
      <c r="X2075" s="57"/>
    </row>
    <row r="2076">
      <c r="A2076" s="54"/>
      <c r="G2076" s="55"/>
      <c r="U2076" s="56"/>
      <c r="X2076" s="57"/>
    </row>
    <row r="2077">
      <c r="A2077" s="54"/>
      <c r="G2077" s="55"/>
      <c r="U2077" s="56"/>
      <c r="X2077" s="57"/>
    </row>
    <row r="2078">
      <c r="A2078" s="54"/>
      <c r="G2078" s="55"/>
      <c r="U2078" s="56"/>
      <c r="X2078" s="57"/>
    </row>
    <row r="2079">
      <c r="A2079" s="54"/>
      <c r="G2079" s="55"/>
      <c r="U2079" s="56"/>
      <c r="X2079" s="57"/>
    </row>
    <row r="2080">
      <c r="A2080" s="54"/>
      <c r="G2080" s="55"/>
      <c r="U2080" s="56"/>
      <c r="X2080" s="57"/>
    </row>
    <row r="2081">
      <c r="A2081" s="54"/>
      <c r="G2081" s="55"/>
      <c r="U2081" s="56"/>
      <c r="X2081" s="57"/>
    </row>
    <row r="2082">
      <c r="A2082" s="54"/>
      <c r="G2082" s="55"/>
      <c r="U2082" s="56"/>
      <c r="X2082" s="57"/>
    </row>
    <row r="2083">
      <c r="A2083" s="54"/>
      <c r="G2083" s="55"/>
      <c r="U2083" s="56"/>
      <c r="X2083" s="57"/>
    </row>
    <row r="2084">
      <c r="A2084" s="54"/>
      <c r="G2084" s="55"/>
      <c r="U2084" s="56"/>
      <c r="X2084" s="57"/>
    </row>
    <row r="2085">
      <c r="A2085" s="54"/>
      <c r="G2085" s="55"/>
      <c r="U2085" s="56"/>
      <c r="X2085" s="57"/>
    </row>
    <row r="2086">
      <c r="A2086" s="54"/>
      <c r="G2086" s="55"/>
      <c r="U2086" s="56"/>
      <c r="X2086" s="57"/>
    </row>
    <row r="2087">
      <c r="A2087" s="54"/>
      <c r="G2087" s="55"/>
      <c r="U2087" s="56"/>
      <c r="X2087" s="57"/>
    </row>
    <row r="2088">
      <c r="A2088" s="54"/>
      <c r="G2088" s="55"/>
      <c r="U2088" s="56"/>
      <c r="X2088" s="57"/>
    </row>
    <row r="2089">
      <c r="A2089" s="54"/>
      <c r="G2089" s="55"/>
      <c r="U2089" s="56"/>
      <c r="X2089" s="57"/>
    </row>
    <row r="2090">
      <c r="A2090" s="54"/>
      <c r="G2090" s="55"/>
      <c r="U2090" s="56"/>
      <c r="X2090" s="57"/>
    </row>
    <row r="2091">
      <c r="A2091" s="54"/>
      <c r="G2091" s="55"/>
      <c r="U2091" s="56"/>
      <c r="X2091" s="57"/>
    </row>
    <row r="2092">
      <c r="A2092" s="54"/>
      <c r="G2092" s="55"/>
      <c r="U2092" s="56"/>
      <c r="X2092" s="57"/>
    </row>
    <row r="2093">
      <c r="A2093" s="54"/>
      <c r="G2093" s="55"/>
      <c r="U2093" s="56"/>
      <c r="X2093" s="57"/>
    </row>
    <row r="2094">
      <c r="A2094" s="54"/>
      <c r="G2094" s="55"/>
      <c r="U2094" s="56"/>
      <c r="X2094" s="57"/>
    </row>
    <row r="2095">
      <c r="A2095" s="54"/>
      <c r="G2095" s="55"/>
      <c r="U2095" s="56"/>
      <c r="X2095" s="57"/>
    </row>
    <row r="2096">
      <c r="A2096" s="54"/>
      <c r="G2096" s="55"/>
      <c r="U2096" s="56"/>
      <c r="X2096" s="57"/>
    </row>
    <row r="2097">
      <c r="A2097" s="54"/>
      <c r="G2097" s="55"/>
      <c r="U2097" s="56"/>
      <c r="X2097" s="57"/>
    </row>
    <row r="2098">
      <c r="A2098" s="54"/>
      <c r="G2098" s="55"/>
      <c r="U2098" s="56"/>
      <c r="X2098" s="57"/>
    </row>
    <row r="2099">
      <c r="A2099" s="54"/>
      <c r="G2099" s="55"/>
      <c r="U2099" s="56"/>
      <c r="X2099" s="57"/>
    </row>
    <row r="2100">
      <c r="A2100" s="54"/>
      <c r="G2100" s="55"/>
      <c r="U2100" s="56"/>
      <c r="X2100" s="57"/>
    </row>
    <row r="2101">
      <c r="A2101" s="54"/>
      <c r="G2101" s="55"/>
      <c r="U2101" s="56"/>
      <c r="X2101" s="57"/>
    </row>
    <row r="2102">
      <c r="A2102" s="54"/>
      <c r="G2102" s="55"/>
      <c r="U2102" s="56"/>
      <c r="X2102" s="57"/>
    </row>
    <row r="2103">
      <c r="A2103" s="54"/>
      <c r="G2103" s="55"/>
      <c r="U2103" s="56"/>
      <c r="X2103" s="57"/>
    </row>
    <row r="2104">
      <c r="A2104" s="54"/>
      <c r="G2104" s="55"/>
      <c r="U2104" s="56"/>
      <c r="X2104" s="57"/>
    </row>
    <row r="2105">
      <c r="A2105" s="54"/>
      <c r="G2105" s="55"/>
      <c r="U2105" s="56"/>
      <c r="X2105" s="57"/>
    </row>
    <row r="2106">
      <c r="A2106" s="54"/>
      <c r="G2106" s="55"/>
      <c r="U2106" s="56"/>
      <c r="X2106" s="57"/>
    </row>
    <row r="2107">
      <c r="A2107" s="54"/>
      <c r="G2107" s="55"/>
      <c r="U2107" s="56"/>
      <c r="X2107" s="57"/>
    </row>
    <row r="2108">
      <c r="A2108" s="54"/>
      <c r="G2108" s="55"/>
      <c r="U2108" s="56"/>
      <c r="X2108" s="57"/>
    </row>
    <row r="2109">
      <c r="A2109" s="54"/>
      <c r="G2109" s="55"/>
      <c r="U2109" s="56"/>
      <c r="X2109" s="57"/>
    </row>
    <row r="2110">
      <c r="A2110" s="54"/>
      <c r="G2110" s="55"/>
      <c r="U2110" s="56"/>
      <c r="X2110" s="57"/>
    </row>
    <row r="2111">
      <c r="A2111" s="54"/>
      <c r="G2111" s="55"/>
      <c r="U2111" s="56"/>
      <c r="X2111" s="57"/>
    </row>
    <row r="2112">
      <c r="A2112" s="54"/>
      <c r="G2112" s="55"/>
      <c r="U2112" s="56"/>
      <c r="X2112" s="57"/>
    </row>
    <row r="2113">
      <c r="A2113" s="54"/>
      <c r="G2113" s="55"/>
      <c r="U2113" s="56"/>
      <c r="X2113" s="57"/>
    </row>
    <row r="2114">
      <c r="A2114" s="54"/>
      <c r="G2114" s="55"/>
      <c r="U2114" s="56"/>
      <c r="X2114" s="57"/>
    </row>
    <row r="2115">
      <c r="A2115" s="54"/>
      <c r="G2115" s="55"/>
      <c r="U2115" s="56"/>
      <c r="X2115" s="57"/>
    </row>
    <row r="2116">
      <c r="A2116" s="54"/>
      <c r="G2116" s="55"/>
      <c r="U2116" s="56"/>
      <c r="X2116" s="57"/>
    </row>
    <row r="2117">
      <c r="A2117" s="54"/>
      <c r="G2117" s="55"/>
      <c r="U2117" s="56"/>
      <c r="X2117" s="57"/>
    </row>
    <row r="2118">
      <c r="A2118" s="54"/>
      <c r="G2118" s="55"/>
      <c r="U2118" s="56"/>
      <c r="X2118" s="57"/>
    </row>
    <row r="2119">
      <c r="A2119" s="54"/>
      <c r="G2119" s="55"/>
      <c r="U2119" s="56"/>
      <c r="X2119" s="57"/>
    </row>
    <row r="2120">
      <c r="A2120" s="54"/>
      <c r="G2120" s="55"/>
      <c r="U2120" s="56"/>
      <c r="X2120" s="57"/>
    </row>
    <row r="2121">
      <c r="A2121" s="54"/>
      <c r="G2121" s="55"/>
      <c r="U2121" s="56"/>
      <c r="X2121" s="57"/>
    </row>
    <row r="2122">
      <c r="A2122" s="54"/>
      <c r="G2122" s="55"/>
      <c r="U2122" s="56"/>
      <c r="X2122" s="57"/>
    </row>
    <row r="2123">
      <c r="A2123" s="54"/>
      <c r="G2123" s="55"/>
      <c r="U2123" s="56"/>
      <c r="X2123" s="57"/>
    </row>
    <row r="2124">
      <c r="A2124" s="54"/>
      <c r="G2124" s="55"/>
      <c r="U2124" s="56"/>
      <c r="X2124" s="57"/>
    </row>
    <row r="2125">
      <c r="A2125" s="54"/>
      <c r="G2125" s="55"/>
      <c r="U2125" s="56"/>
      <c r="X2125" s="57"/>
    </row>
    <row r="2126">
      <c r="A2126" s="54"/>
      <c r="G2126" s="55"/>
      <c r="U2126" s="56"/>
      <c r="X2126" s="57"/>
    </row>
    <row r="2127">
      <c r="A2127" s="54"/>
      <c r="G2127" s="55"/>
      <c r="U2127" s="56"/>
      <c r="X2127" s="57"/>
    </row>
    <row r="2128">
      <c r="A2128" s="54"/>
      <c r="G2128" s="55"/>
      <c r="U2128" s="56"/>
      <c r="X2128" s="57"/>
    </row>
    <row r="2129">
      <c r="A2129" s="54"/>
      <c r="G2129" s="55"/>
      <c r="U2129" s="56"/>
      <c r="X2129" s="57"/>
    </row>
    <row r="2130">
      <c r="A2130" s="54"/>
      <c r="G2130" s="55"/>
      <c r="U2130" s="56"/>
      <c r="X2130" s="57"/>
    </row>
    <row r="2131">
      <c r="A2131" s="54"/>
      <c r="G2131" s="55"/>
      <c r="U2131" s="56"/>
      <c r="X2131" s="57"/>
    </row>
    <row r="2132">
      <c r="A2132" s="54"/>
      <c r="G2132" s="55"/>
      <c r="U2132" s="56"/>
      <c r="X2132" s="57"/>
    </row>
    <row r="2133">
      <c r="A2133" s="54"/>
      <c r="G2133" s="55"/>
      <c r="U2133" s="56"/>
      <c r="X2133" s="57"/>
    </row>
    <row r="2134">
      <c r="A2134" s="54"/>
      <c r="G2134" s="55"/>
      <c r="U2134" s="56"/>
      <c r="X2134" s="57"/>
    </row>
    <row r="2135">
      <c r="A2135" s="54"/>
      <c r="G2135" s="55"/>
      <c r="U2135" s="56"/>
      <c r="X2135" s="57"/>
    </row>
    <row r="2136">
      <c r="A2136" s="54"/>
      <c r="G2136" s="55"/>
      <c r="U2136" s="56"/>
      <c r="X2136" s="57"/>
    </row>
    <row r="2137">
      <c r="A2137" s="54"/>
      <c r="G2137" s="55"/>
      <c r="U2137" s="56"/>
      <c r="X2137" s="57"/>
    </row>
    <row r="2138">
      <c r="A2138" s="54"/>
      <c r="G2138" s="55"/>
      <c r="U2138" s="56"/>
      <c r="X2138" s="57"/>
    </row>
    <row r="2139">
      <c r="A2139" s="54"/>
      <c r="G2139" s="55"/>
      <c r="U2139" s="56"/>
      <c r="X2139" s="57"/>
    </row>
    <row r="2140">
      <c r="A2140" s="54"/>
      <c r="G2140" s="55"/>
      <c r="U2140" s="56"/>
      <c r="X2140" s="57"/>
    </row>
    <row r="2141">
      <c r="A2141" s="54"/>
      <c r="G2141" s="55"/>
      <c r="U2141" s="56"/>
      <c r="X2141" s="57"/>
    </row>
    <row r="2142">
      <c r="A2142" s="54"/>
      <c r="G2142" s="55"/>
      <c r="U2142" s="56"/>
      <c r="X2142" s="57"/>
    </row>
    <row r="2143">
      <c r="A2143" s="54"/>
      <c r="G2143" s="55"/>
      <c r="U2143" s="56"/>
      <c r="X2143" s="57"/>
    </row>
    <row r="2144">
      <c r="A2144" s="54"/>
      <c r="G2144" s="55"/>
      <c r="U2144" s="56"/>
      <c r="X2144" s="57"/>
    </row>
    <row r="2145">
      <c r="A2145" s="54"/>
      <c r="G2145" s="55"/>
      <c r="U2145" s="56"/>
      <c r="X2145" s="57"/>
    </row>
    <row r="2146">
      <c r="A2146" s="54"/>
      <c r="G2146" s="55"/>
      <c r="U2146" s="56"/>
      <c r="X2146" s="57"/>
    </row>
    <row r="2147">
      <c r="A2147" s="54"/>
      <c r="G2147" s="55"/>
      <c r="U2147" s="56"/>
      <c r="X2147" s="57"/>
    </row>
    <row r="2148">
      <c r="A2148" s="54"/>
      <c r="G2148" s="55"/>
      <c r="U2148" s="56"/>
      <c r="X2148" s="57"/>
    </row>
    <row r="2149">
      <c r="A2149" s="54"/>
      <c r="G2149" s="55"/>
      <c r="U2149" s="56"/>
      <c r="X2149" s="57"/>
    </row>
    <row r="2150">
      <c r="A2150" s="54"/>
      <c r="G2150" s="55"/>
      <c r="U2150" s="56"/>
      <c r="X2150" s="57"/>
    </row>
    <row r="2151">
      <c r="A2151" s="54"/>
      <c r="G2151" s="55"/>
      <c r="U2151" s="56"/>
      <c r="X2151" s="57"/>
    </row>
    <row r="2152">
      <c r="A2152" s="54"/>
      <c r="G2152" s="55"/>
      <c r="U2152" s="56"/>
      <c r="X2152" s="57"/>
    </row>
    <row r="2153">
      <c r="A2153" s="54"/>
      <c r="G2153" s="55"/>
      <c r="U2153" s="56"/>
      <c r="X2153" s="57"/>
    </row>
    <row r="2154">
      <c r="A2154" s="54"/>
      <c r="G2154" s="55"/>
      <c r="U2154" s="56"/>
      <c r="X2154" s="57"/>
    </row>
    <row r="2155">
      <c r="A2155" s="54"/>
      <c r="G2155" s="55"/>
      <c r="U2155" s="56"/>
      <c r="X2155" s="57"/>
    </row>
    <row r="2156">
      <c r="A2156" s="54"/>
      <c r="G2156" s="55"/>
      <c r="U2156" s="56"/>
      <c r="X2156" s="57"/>
    </row>
    <row r="2157">
      <c r="A2157" s="54"/>
      <c r="G2157" s="55"/>
      <c r="U2157" s="56"/>
      <c r="X2157" s="57"/>
    </row>
    <row r="2158">
      <c r="A2158" s="54"/>
      <c r="G2158" s="55"/>
      <c r="U2158" s="56"/>
      <c r="X2158" s="57"/>
    </row>
    <row r="2159">
      <c r="A2159" s="54"/>
      <c r="G2159" s="55"/>
      <c r="U2159" s="56"/>
      <c r="X2159" s="57"/>
    </row>
    <row r="2160">
      <c r="A2160" s="54"/>
      <c r="G2160" s="55"/>
      <c r="U2160" s="56"/>
      <c r="X2160" s="57"/>
    </row>
    <row r="2161">
      <c r="A2161" s="54"/>
      <c r="G2161" s="55"/>
      <c r="U2161" s="56"/>
      <c r="X2161" s="57"/>
    </row>
    <row r="2162">
      <c r="A2162" s="54"/>
      <c r="G2162" s="55"/>
      <c r="U2162" s="56"/>
      <c r="X2162" s="57"/>
    </row>
    <row r="2163">
      <c r="A2163" s="54"/>
      <c r="G2163" s="55"/>
      <c r="U2163" s="56"/>
      <c r="X2163" s="57"/>
    </row>
    <row r="2164">
      <c r="A2164" s="54"/>
      <c r="G2164" s="55"/>
      <c r="U2164" s="56"/>
      <c r="X2164" s="57"/>
    </row>
    <row r="2165">
      <c r="A2165" s="54"/>
      <c r="G2165" s="55"/>
      <c r="U2165" s="56"/>
      <c r="X2165" s="57"/>
    </row>
    <row r="2166">
      <c r="A2166" s="54"/>
      <c r="G2166" s="55"/>
      <c r="U2166" s="56"/>
      <c r="X2166" s="57"/>
    </row>
    <row r="2167">
      <c r="A2167" s="54"/>
      <c r="G2167" s="55"/>
      <c r="U2167" s="56"/>
      <c r="X2167" s="57"/>
    </row>
    <row r="2168">
      <c r="A2168" s="54"/>
      <c r="G2168" s="55"/>
      <c r="U2168" s="56"/>
      <c r="X2168" s="57"/>
    </row>
    <row r="2169">
      <c r="A2169" s="54"/>
      <c r="G2169" s="55"/>
      <c r="U2169" s="56"/>
      <c r="X2169" s="57"/>
    </row>
    <row r="2170">
      <c r="A2170" s="54"/>
      <c r="G2170" s="55"/>
      <c r="U2170" s="56"/>
      <c r="X2170" s="57"/>
    </row>
    <row r="2171">
      <c r="A2171" s="54"/>
      <c r="G2171" s="55"/>
      <c r="U2171" s="56"/>
      <c r="X2171" s="57"/>
    </row>
    <row r="2172">
      <c r="A2172" s="54"/>
      <c r="G2172" s="55"/>
      <c r="U2172" s="56"/>
      <c r="X2172" s="57"/>
    </row>
    <row r="2173">
      <c r="A2173" s="54"/>
      <c r="G2173" s="55"/>
      <c r="U2173" s="56"/>
      <c r="X2173" s="57"/>
    </row>
    <row r="2174">
      <c r="A2174" s="54"/>
      <c r="G2174" s="55"/>
      <c r="U2174" s="56"/>
      <c r="X2174" s="57"/>
    </row>
    <row r="2175">
      <c r="A2175" s="54"/>
      <c r="G2175" s="55"/>
      <c r="U2175" s="56"/>
      <c r="X2175" s="57"/>
    </row>
    <row r="2176">
      <c r="A2176" s="54"/>
      <c r="G2176" s="55"/>
      <c r="U2176" s="56"/>
      <c r="X2176" s="57"/>
    </row>
    <row r="2177">
      <c r="A2177" s="54"/>
      <c r="G2177" s="55"/>
      <c r="U2177" s="56"/>
      <c r="X2177" s="57"/>
    </row>
    <row r="2178">
      <c r="A2178" s="54"/>
      <c r="G2178" s="55"/>
      <c r="U2178" s="56"/>
      <c r="X2178" s="57"/>
    </row>
    <row r="2179">
      <c r="A2179" s="54"/>
      <c r="G2179" s="55"/>
      <c r="U2179" s="56"/>
      <c r="X2179" s="57"/>
    </row>
    <row r="2180">
      <c r="A2180" s="54"/>
      <c r="G2180" s="55"/>
      <c r="U2180" s="56"/>
      <c r="X2180" s="57"/>
    </row>
    <row r="2181">
      <c r="A2181" s="54"/>
      <c r="G2181" s="55"/>
      <c r="U2181" s="56"/>
      <c r="X2181" s="57"/>
    </row>
    <row r="2182">
      <c r="A2182" s="54"/>
      <c r="G2182" s="55"/>
      <c r="U2182" s="56"/>
      <c r="X2182" s="57"/>
    </row>
    <row r="2183">
      <c r="A2183" s="54"/>
      <c r="G2183" s="55"/>
      <c r="U2183" s="56"/>
      <c r="X2183" s="57"/>
    </row>
    <row r="2184">
      <c r="A2184" s="54"/>
      <c r="G2184" s="55"/>
      <c r="U2184" s="56"/>
      <c r="X2184" s="57"/>
    </row>
    <row r="2185">
      <c r="A2185" s="54"/>
      <c r="G2185" s="55"/>
      <c r="U2185" s="56"/>
      <c r="X2185" s="57"/>
    </row>
    <row r="2186">
      <c r="A2186" s="54"/>
      <c r="G2186" s="55"/>
      <c r="U2186" s="56"/>
      <c r="X2186" s="57"/>
    </row>
    <row r="2187">
      <c r="A2187" s="54"/>
      <c r="G2187" s="55"/>
      <c r="U2187" s="56"/>
      <c r="X2187" s="57"/>
    </row>
    <row r="2188">
      <c r="A2188" s="54"/>
      <c r="G2188" s="55"/>
      <c r="U2188" s="56"/>
      <c r="X2188" s="57"/>
    </row>
    <row r="2189">
      <c r="A2189" s="54"/>
      <c r="G2189" s="55"/>
      <c r="U2189" s="56"/>
      <c r="X2189" s="57"/>
    </row>
    <row r="2190">
      <c r="A2190" s="54"/>
      <c r="G2190" s="55"/>
      <c r="U2190" s="56"/>
      <c r="X2190" s="57"/>
    </row>
    <row r="2191">
      <c r="A2191" s="54"/>
      <c r="G2191" s="55"/>
      <c r="U2191" s="56"/>
      <c r="X2191" s="57"/>
    </row>
    <row r="2192">
      <c r="A2192" s="54"/>
      <c r="G2192" s="55"/>
      <c r="U2192" s="56"/>
      <c r="X2192" s="57"/>
    </row>
    <row r="2193">
      <c r="A2193" s="54"/>
      <c r="G2193" s="55"/>
      <c r="U2193" s="56"/>
      <c r="X2193" s="57"/>
    </row>
    <row r="2194">
      <c r="A2194" s="54"/>
      <c r="G2194" s="55"/>
      <c r="U2194" s="56"/>
      <c r="X2194" s="57"/>
    </row>
    <row r="2195">
      <c r="A2195" s="54"/>
      <c r="G2195" s="55"/>
      <c r="U2195" s="56"/>
      <c r="X2195" s="57"/>
    </row>
    <row r="2196">
      <c r="A2196" s="54"/>
      <c r="G2196" s="55"/>
      <c r="U2196" s="56"/>
      <c r="X2196" s="57"/>
    </row>
    <row r="2197">
      <c r="A2197" s="54"/>
      <c r="G2197" s="55"/>
      <c r="U2197" s="56"/>
      <c r="X2197" s="57"/>
    </row>
    <row r="2198">
      <c r="A2198" s="54"/>
      <c r="G2198" s="55"/>
      <c r="U2198" s="56"/>
      <c r="X2198" s="57"/>
    </row>
    <row r="2199">
      <c r="A2199" s="54"/>
      <c r="G2199" s="55"/>
      <c r="U2199" s="56"/>
      <c r="X2199" s="57"/>
    </row>
    <row r="2200">
      <c r="A2200" s="54"/>
      <c r="G2200" s="55"/>
      <c r="U2200" s="56"/>
      <c r="X2200" s="57"/>
    </row>
    <row r="2201">
      <c r="A2201" s="54"/>
      <c r="G2201" s="55"/>
      <c r="U2201" s="56"/>
      <c r="X2201" s="57"/>
    </row>
    <row r="2202">
      <c r="A2202" s="54"/>
      <c r="G2202" s="55"/>
      <c r="U2202" s="56"/>
      <c r="X2202" s="57"/>
    </row>
    <row r="2203">
      <c r="A2203" s="54"/>
      <c r="G2203" s="55"/>
      <c r="U2203" s="56"/>
      <c r="X2203" s="57"/>
    </row>
    <row r="2204">
      <c r="A2204" s="54"/>
      <c r="G2204" s="55"/>
      <c r="U2204" s="56"/>
      <c r="X2204" s="57"/>
    </row>
    <row r="2205">
      <c r="A2205" s="54"/>
      <c r="G2205" s="55"/>
      <c r="U2205" s="56"/>
      <c r="X2205" s="57"/>
    </row>
    <row r="2206">
      <c r="A2206" s="54"/>
      <c r="G2206" s="55"/>
      <c r="U2206" s="56"/>
      <c r="X2206" s="57"/>
    </row>
    <row r="2207">
      <c r="A2207" s="54"/>
      <c r="G2207" s="55"/>
      <c r="U2207" s="56"/>
      <c r="X2207" s="57"/>
    </row>
    <row r="2208">
      <c r="A2208" s="54"/>
      <c r="G2208" s="55"/>
      <c r="U2208" s="56"/>
      <c r="X2208" s="57"/>
    </row>
    <row r="2209">
      <c r="A2209" s="54"/>
      <c r="G2209" s="55"/>
      <c r="U2209" s="56"/>
      <c r="X2209" s="57"/>
    </row>
    <row r="2210">
      <c r="A2210" s="54"/>
      <c r="G2210" s="55"/>
      <c r="U2210" s="56"/>
      <c r="X2210" s="57"/>
    </row>
    <row r="2211">
      <c r="A2211" s="54"/>
      <c r="G2211" s="55"/>
      <c r="U2211" s="56"/>
      <c r="X2211" s="57"/>
    </row>
    <row r="2212">
      <c r="A2212" s="54"/>
      <c r="G2212" s="55"/>
      <c r="U2212" s="56"/>
      <c r="X2212" s="57"/>
    </row>
    <row r="2213">
      <c r="A2213" s="54"/>
      <c r="G2213" s="55"/>
      <c r="U2213" s="56"/>
      <c r="X2213" s="57"/>
    </row>
    <row r="2214">
      <c r="A2214" s="54"/>
      <c r="G2214" s="55"/>
      <c r="U2214" s="56"/>
      <c r="X2214" s="57"/>
    </row>
    <row r="2215">
      <c r="A2215" s="54"/>
      <c r="G2215" s="55"/>
      <c r="U2215" s="56"/>
      <c r="X2215" s="57"/>
    </row>
    <row r="2216">
      <c r="A2216" s="54"/>
      <c r="G2216" s="55"/>
      <c r="U2216" s="56"/>
      <c r="X2216" s="57"/>
    </row>
    <row r="2217">
      <c r="A2217" s="54"/>
      <c r="G2217" s="55"/>
      <c r="U2217" s="56"/>
      <c r="X2217" s="57"/>
    </row>
    <row r="2218">
      <c r="A2218" s="54"/>
      <c r="G2218" s="55"/>
      <c r="U2218" s="56"/>
      <c r="X2218" s="57"/>
    </row>
    <row r="2219">
      <c r="A2219" s="54"/>
      <c r="G2219" s="55"/>
      <c r="U2219" s="56"/>
      <c r="X2219" s="57"/>
    </row>
    <row r="2220">
      <c r="A2220" s="54"/>
      <c r="G2220" s="55"/>
      <c r="U2220" s="56"/>
      <c r="X2220" s="57"/>
    </row>
    <row r="2221">
      <c r="A2221" s="54"/>
      <c r="G2221" s="55"/>
      <c r="U2221" s="56"/>
      <c r="X2221" s="57"/>
    </row>
    <row r="2222">
      <c r="A2222" s="54"/>
      <c r="G2222" s="55"/>
      <c r="U2222" s="56"/>
      <c r="X2222" s="57"/>
    </row>
    <row r="2223">
      <c r="A2223" s="54"/>
      <c r="G2223" s="55"/>
      <c r="U2223" s="56"/>
      <c r="X2223" s="57"/>
    </row>
    <row r="2224">
      <c r="A2224" s="54"/>
      <c r="G2224" s="55"/>
      <c r="U2224" s="56"/>
      <c r="X2224" s="57"/>
    </row>
    <row r="2225">
      <c r="A2225" s="54"/>
      <c r="G2225" s="55"/>
      <c r="U2225" s="56"/>
      <c r="X2225" s="57"/>
    </row>
    <row r="2226">
      <c r="A2226" s="54"/>
      <c r="G2226" s="55"/>
      <c r="U2226" s="56"/>
      <c r="X2226" s="57"/>
    </row>
    <row r="2227">
      <c r="A2227" s="54"/>
      <c r="G2227" s="55"/>
      <c r="U2227" s="56"/>
      <c r="X2227" s="57"/>
    </row>
    <row r="2228">
      <c r="A2228" s="54"/>
      <c r="G2228" s="55"/>
      <c r="U2228" s="56"/>
      <c r="X2228" s="57"/>
    </row>
    <row r="2229">
      <c r="A2229" s="54"/>
      <c r="G2229" s="55"/>
      <c r="U2229" s="56"/>
      <c r="X2229" s="57"/>
    </row>
    <row r="2230">
      <c r="A2230" s="54"/>
      <c r="G2230" s="55"/>
      <c r="U2230" s="56"/>
      <c r="X2230" s="57"/>
    </row>
    <row r="2231">
      <c r="A2231" s="54"/>
      <c r="G2231" s="55"/>
      <c r="U2231" s="56"/>
      <c r="X2231" s="57"/>
    </row>
    <row r="2232">
      <c r="A2232" s="54"/>
      <c r="G2232" s="55"/>
      <c r="U2232" s="56"/>
      <c r="X2232" s="57"/>
    </row>
    <row r="2233">
      <c r="A2233" s="54"/>
      <c r="G2233" s="55"/>
      <c r="U2233" s="56"/>
      <c r="X2233" s="57"/>
    </row>
    <row r="2234">
      <c r="A2234" s="54"/>
      <c r="G2234" s="55"/>
      <c r="U2234" s="56"/>
      <c r="X2234" s="57"/>
    </row>
    <row r="2235">
      <c r="A2235" s="54"/>
      <c r="G2235" s="55"/>
      <c r="U2235" s="56"/>
      <c r="X2235" s="57"/>
    </row>
    <row r="2236">
      <c r="A2236" s="54"/>
      <c r="G2236" s="55"/>
      <c r="U2236" s="56"/>
      <c r="X2236" s="57"/>
    </row>
    <row r="2237">
      <c r="A2237" s="54"/>
      <c r="G2237" s="55"/>
      <c r="U2237" s="56"/>
      <c r="X2237" s="57"/>
    </row>
    <row r="2238">
      <c r="A2238" s="54"/>
      <c r="G2238" s="55"/>
      <c r="U2238" s="56"/>
      <c r="X2238" s="57"/>
    </row>
    <row r="2239">
      <c r="A2239" s="54"/>
      <c r="G2239" s="55"/>
      <c r="U2239" s="56"/>
      <c r="X2239" s="57"/>
    </row>
    <row r="2240">
      <c r="A2240" s="54"/>
      <c r="G2240" s="55"/>
      <c r="U2240" s="56"/>
      <c r="X2240" s="57"/>
    </row>
    <row r="2241">
      <c r="A2241" s="54"/>
      <c r="G2241" s="55"/>
      <c r="U2241" s="56"/>
      <c r="X2241" s="57"/>
    </row>
    <row r="2242">
      <c r="A2242" s="54"/>
      <c r="G2242" s="55"/>
      <c r="U2242" s="56"/>
      <c r="X2242" s="57"/>
    </row>
    <row r="2243">
      <c r="A2243" s="54"/>
      <c r="G2243" s="55"/>
      <c r="U2243" s="56"/>
      <c r="X2243" s="57"/>
    </row>
    <row r="2244">
      <c r="A2244" s="54"/>
      <c r="G2244" s="55"/>
      <c r="U2244" s="56"/>
      <c r="X2244" s="57"/>
    </row>
    <row r="2245">
      <c r="A2245" s="54"/>
      <c r="G2245" s="55"/>
      <c r="U2245" s="56"/>
      <c r="X2245" s="57"/>
    </row>
    <row r="2246">
      <c r="A2246" s="54"/>
      <c r="G2246" s="55"/>
      <c r="U2246" s="56"/>
      <c r="X2246" s="57"/>
    </row>
    <row r="2247">
      <c r="A2247" s="54"/>
      <c r="G2247" s="55"/>
      <c r="U2247" s="56"/>
      <c r="X2247" s="57"/>
    </row>
    <row r="2248">
      <c r="A2248" s="54"/>
      <c r="G2248" s="55"/>
      <c r="U2248" s="56"/>
      <c r="X2248" s="57"/>
    </row>
    <row r="2249">
      <c r="A2249" s="54"/>
      <c r="G2249" s="55"/>
      <c r="U2249" s="56"/>
      <c r="X2249" s="57"/>
    </row>
    <row r="2250">
      <c r="A2250" s="54"/>
      <c r="G2250" s="55"/>
      <c r="U2250" s="56"/>
      <c r="X2250" s="57"/>
    </row>
    <row r="2251">
      <c r="A2251" s="54"/>
      <c r="G2251" s="55"/>
      <c r="U2251" s="56"/>
      <c r="X2251" s="57"/>
    </row>
    <row r="2252">
      <c r="A2252" s="54"/>
      <c r="G2252" s="55"/>
      <c r="U2252" s="56"/>
      <c r="X2252" s="57"/>
    </row>
    <row r="2253">
      <c r="A2253" s="54"/>
      <c r="G2253" s="55"/>
      <c r="U2253" s="56"/>
      <c r="X2253" s="57"/>
    </row>
    <row r="2254">
      <c r="A2254" s="54"/>
      <c r="G2254" s="55"/>
      <c r="U2254" s="56"/>
      <c r="X2254" s="57"/>
    </row>
    <row r="2255">
      <c r="A2255" s="54"/>
      <c r="G2255" s="55"/>
      <c r="U2255" s="56"/>
      <c r="X2255" s="57"/>
    </row>
    <row r="2256">
      <c r="A2256" s="54"/>
      <c r="G2256" s="55"/>
      <c r="U2256" s="56"/>
      <c r="X2256" s="57"/>
    </row>
    <row r="2257">
      <c r="A2257" s="54"/>
      <c r="G2257" s="55"/>
      <c r="U2257" s="56"/>
      <c r="X2257" s="57"/>
    </row>
    <row r="2258">
      <c r="A2258" s="54"/>
      <c r="G2258" s="55"/>
      <c r="U2258" s="56"/>
      <c r="X2258" s="57"/>
    </row>
    <row r="2259">
      <c r="A2259" s="54"/>
      <c r="G2259" s="55"/>
      <c r="U2259" s="56"/>
      <c r="X2259" s="57"/>
    </row>
    <row r="2260">
      <c r="A2260" s="54"/>
      <c r="G2260" s="55"/>
      <c r="U2260" s="56"/>
      <c r="X2260" s="57"/>
    </row>
    <row r="2261">
      <c r="A2261" s="54"/>
      <c r="G2261" s="55"/>
      <c r="U2261" s="56"/>
      <c r="X2261" s="57"/>
    </row>
    <row r="2262">
      <c r="A2262" s="54"/>
      <c r="G2262" s="55"/>
      <c r="U2262" s="56"/>
      <c r="X2262" s="57"/>
    </row>
    <row r="2263">
      <c r="A2263" s="54"/>
      <c r="G2263" s="55"/>
      <c r="U2263" s="56"/>
      <c r="X2263" s="57"/>
    </row>
    <row r="2264">
      <c r="A2264" s="54"/>
      <c r="G2264" s="55"/>
      <c r="U2264" s="56"/>
      <c r="X2264" s="57"/>
    </row>
    <row r="2265">
      <c r="A2265" s="54"/>
      <c r="G2265" s="55"/>
      <c r="U2265" s="56"/>
      <c r="X2265" s="57"/>
    </row>
    <row r="2266">
      <c r="A2266" s="54"/>
      <c r="G2266" s="55"/>
      <c r="U2266" s="56"/>
      <c r="X2266" s="57"/>
    </row>
    <row r="2267">
      <c r="A2267" s="54"/>
      <c r="G2267" s="55"/>
      <c r="U2267" s="56"/>
      <c r="X2267" s="57"/>
    </row>
    <row r="2268">
      <c r="A2268" s="54"/>
      <c r="G2268" s="55"/>
      <c r="U2268" s="56"/>
      <c r="X2268" s="57"/>
    </row>
    <row r="2269">
      <c r="A2269" s="54"/>
      <c r="G2269" s="55"/>
      <c r="U2269" s="56"/>
      <c r="X2269" s="57"/>
    </row>
    <row r="2270">
      <c r="A2270" s="54"/>
      <c r="G2270" s="55"/>
      <c r="U2270" s="56"/>
      <c r="X2270" s="57"/>
    </row>
    <row r="2271">
      <c r="A2271" s="54"/>
      <c r="G2271" s="55"/>
      <c r="U2271" s="56"/>
      <c r="X2271" s="57"/>
    </row>
    <row r="2272">
      <c r="A2272" s="54"/>
      <c r="G2272" s="55"/>
      <c r="U2272" s="56"/>
      <c r="X2272" s="57"/>
    </row>
    <row r="2273">
      <c r="A2273" s="54"/>
      <c r="G2273" s="55"/>
      <c r="U2273" s="56"/>
      <c r="X2273" s="57"/>
    </row>
    <row r="2274">
      <c r="A2274" s="54"/>
      <c r="G2274" s="55"/>
      <c r="U2274" s="56"/>
      <c r="X2274" s="57"/>
    </row>
    <row r="2275">
      <c r="A2275" s="54"/>
      <c r="G2275" s="55"/>
      <c r="U2275" s="56"/>
      <c r="X2275" s="57"/>
    </row>
    <row r="2276">
      <c r="A2276" s="54"/>
      <c r="G2276" s="55"/>
      <c r="U2276" s="56"/>
      <c r="X2276" s="57"/>
    </row>
    <row r="2277">
      <c r="A2277" s="54"/>
      <c r="G2277" s="55"/>
      <c r="U2277" s="56"/>
      <c r="X2277" s="57"/>
    </row>
    <row r="2278">
      <c r="A2278" s="54"/>
      <c r="G2278" s="55"/>
      <c r="U2278" s="56"/>
      <c r="X2278" s="57"/>
    </row>
    <row r="2279">
      <c r="A2279" s="54"/>
      <c r="G2279" s="55"/>
      <c r="U2279" s="56"/>
      <c r="X2279" s="57"/>
    </row>
    <row r="2280">
      <c r="A2280" s="54"/>
      <c r="G2280" s="55"/>
      <c r="U2280" s="56"/>
      <c r="X2280" s="57"/>
    </row>
    <row r="2281">
      <c r="A2281" s="54"/>
      <c r="G2281" s="55"/>
      <c r="U2281" s="56"/>
      <c r="X2281" s="57"/>
    </row>
    <row r="2282">
      <c r="A2282" s="54"/>
      <c r="G2282" s="55"/>
      <c r="U2282" s="56"/>
      <c r="X2282" s="57"/>
    </row>
    <row r="2283">
      <c r="A2283" s="54"/>
      <c r="G2283" s="55"/>
      <c r="U2283" s="56"/>
      <c r="X2283" s="57"/>
    </row>
    <row r="2284">
      <c r="A2284" s="54"/>
      <c r="G2284" s="55"/>
      <c r="U2284" s="56"/>
      <c r="X2284" s="57"/>
    </row>
    <row r="2285">
      <c r="A2285" s="54"/>
      <c r="G2285" s="55"/>
      <c r="U2285" s="56"/>
      <c r="X2285" s="57"/>
    </row>
    <row r="2286">
      <c r="A2286" s="54"/>
      <c r="G2286" s="55"/>
      <c r="U2286" s="56"/>
      <c r="X2286" s="57"/>
    </row>
    <row r="2287">
      <c r="A2287" s="54"/>
      <c r="G2287" s="55"/>
      <c r="U2287" s="56"/>
      <c r="X2287" s="57"/>
    </row>
    <row r="2288">
      <c r="A2288" s="54"/>
      <c r="G2288" s="55"/>
      <c r="U2288" s="56"/>
      <c r="X2288" s="57"/>
    </row>
    <row r="2289">
      <c r="A2289" s="54"/>
      <c r="G2289" s="55"/>
      <c r="U2289" s="56"/>
      <c r="X2289" s="57"/>
    </row>
    <row r="2290">
      <c r="A2290" s="54"/>
      <c r="G2290" s="55"/>
      <c r="U2290" s="56"/>
      <c r="X2290" s="57"/>
    </row>
    <row r="2291">
      <c r="A2291" s="54"/>
      <c r="G2291" s="55"/>
      <c r="U2291" s="56"/>
      <c r="X2291" s="57"/>
    </row>
    <row r="2292">
      <c r="A2292" s="54"/>
      <c r="G2292" s="55"/>
      <c r="U2292" s="56"/>
      <c r="X2292" s="57"/>
    </row>
    <row r="2293">
      <c r="A2293" s="54"/>
      <c r="G2293" s="55"/>
      <c r="U2293" s="56"/>
      <c r="X2293" s="57"/>
    </row>
    <row r="2294">
      <c r="A2294" s="54"/>
      <c r="G2294" s="55"/>
      <c r="U2294" s="56"/>
      <c r="X2294" s="57"/>
    </row>
    <row r="2295">
      <c r="A2295" s="54"/>
      <c r="G2295" s="55"/>
      <c r="U2295" s="56"/>
      <c r="X2295" s="57"/>
    </row>
    <row r="2296">
      <c r="A2296" s="54"/>
      <c r="G2296" s="55"/>
      <c r="U2296" s="56"/>
      <c r="X2296" s="57"/>
    </row>
    <row r="2297">
      <c r="A2297" s="54"/>
      <c r="G2297" s="55"/>
      <c r="U2297" s="56"/>
      <c r="X2297" s="57"/>
    </row>
    <row r="2298">
      <c r="A2298" s="54"/>
      <c r="G2298" s="55"/>
      <c r="U2298" s="56"/>
      <c r="X2298" s="57"/>
    </row>
    <row r="2299">
      <c r="A2299" s="54"/>
      <c r="G2299" s="55"/>
      <c r="U2299" s="56"/>
      <c r="X2299" s="57"/>
    </row>
    <row r="2300">
      <c r="A2300" s="54"/>
      <c r="G2300" s="55"/>
      <c r="U2300" s="56"/>
      <c r="X2300" s="57"/>
    </row>
    <row r="2301">
      <c r="A2301" s="54"/>
      <c r="G2301" s="55"/>
      <c r="U2301" s="56"/>
      <c r="X2301" s="57"/>
    </row>
    <row r="2302">
      <c r="A2302" s="54"/>
      <c r="G2302" s="55"/>
      <c r="U2302" s="56"/>
      <c r="X2302" s="57"/>
    </row>
    <row r="2303">
      <c r="A2303" s="54"/>
      <c r="G2303" s="55"/>
      <c r="U2303" s="56"/>
      <c r="X2303" s="57"/>
    </row>
    <row r="2304">
      <c r="A2304" s="54"/>
      <c r="G2304" s="55"/>
      <c r="U2304" s="56"/>
      <c r="X2304" s="57"/>
    </row>
    <row r="2305">
      <c r="A2305" s="54"/>
      <c r="G2305" s="55"/>
      <c r="U2305" s="56"/>
      <c r="X2305" s="57"/>
    </row>
    <row r="2306">
      <c r="A2306" s="54"/>
      <c r="G2306" s="55"/>
      <c r="U2306" s="56"/>
      <c r="X2306" s="57"/>
    </row>
    <row r="2307">
      <c r="A2307" s="54"/>
      <c r="G2307" s="55"/>
      <c r="U2307" s="56"/>
      <c r="X2307" s="57"/>
    </row>
    <row r="2308">
      <c r="A2308" s="54"/>
      <c r="G2308" s="55"/>
      <c r="U2308" s="56"/>
      <c r="X2308" s="57"/>
    </row>
    <row r="2309">
      <c r="A2309" s="54"/>
      <c r="G2309" s="55"/>
      <c r="U2309" s="56"/>
      <c r="X2309" s="57"/>
    </row>
    <row r="2310">
      <c r="A2310" s="54"/>
      <c r="G2310" s="55"/>
      <c r="U2310" s="56"/>
      <c r="X2310" s="57"/>
    </row>
    <row r="2311">
      <c r="A2311" s="54"/>
      <c r="G2311" s="55"/>
      <c r="U2311" s="56"/>
      <c r="X2311" s="57"/>
    </row>
    <row r="2312">
      <c r="A2312" s="54"/>
      <c r="G2312" s="55"/>
      <c r="U2312" s="56"/>
      <c r="X2312" s="57"/>
    </row>
    <row r="2313">
      <c r="A2313" s="54"/>
      <c r="G2313" s="55"/>
      <c r="U2313" s="56"/>
      <c r="X2313" s="57"/>
    </row>
    <row r="2314">
      <c r="A2314" s="54"/>
      <c r="G2314" s="55"/>
      <c r="U2314" s="56"/>
      <c r="X2314" s="57"/>
    </row>
    <row r="2315">
      <c r="A2315" s="54"/>
      <c r="G2315" s="55"/>
      <c r="U2315" s="56"/>
      <c r="X2315" s="57"/>
    </row>
    <row r="2316">
      <c r="A2316" s="54"/>
      <c r="G2316" s="55"/>
      <c r="U2316" s="56"/>
      <c r="X2316" s="57"/>
    </row>
    <row r="2317">
      <c r="A2317" s="54"/>
      <c r="G2317" s="55"/>
      <c r="U2317" s="56"/>
      <c r="X2317" s="57"/>
    </row>
    <row r="2318">
      <c r="A2318" s="54"/>
      <c r="G2318" s="55"/>
      <c r="U2318" s="56"/>
      <c r="X2318" s="57"/>
    </row>
    <row r="2319">
      <c r="A2319" s="54"/>
      <c r="G2319" s="55"/>
      <c r="U2319" s="56"/>
      <c r="X2319" s="57"/>
    </row>
    <row r="2320">
      <c r="A2320" s="54"/>
      <c r="G2320" s="55"/>
      <c r="U2320" s="56"/>
      <c r="X2320" s="57"/>
    </row>
    <row r="2321">
      <c r="A2321" s="54"/>
      <c r="G2321" s="55"/>
      <c r="U2321" s="56"/>
      <c r="X2321" s="57"/>
    </row>
    <row r="2322">
      <c r="A2322" s="54"/>
      <c r="G2322" s="55"/>
      <c r="U2322" s="56"/>
      <c r="X2322" s="57"/>
    </row>
    <row r="2323">
      <c r="A2323" s="54"/>
      <c r="G2323" s="55"/>
      <c r="U2323" s="56"/>
      <c r="X2323" s="57"/>
    </row>
    <row r="2324">
      <c r="A2324" s="54"/>
      <c r="G2324" s="55"/>
      <c r="U2324" s="56"/>
      <c r="X2324" s="57"/>
    </row>
    <row r="2325">
      <c r="A2325" s="54"/>
      <c r="G2325" s="55"/>
      <c r="U2325" s="56"/>
      <c r="X2325" s="57"/>
    </row>
    <row r="2326">
      <c r="A2326" s="54"/>
      <c r="G2326" s="55"/>
      <c r="U2326" s="56"/>
      <c r="X2326" s="57"/>
    </row>
    <row r="2327">
      <c r="A2327" s="54"/>
      <c r="G2327" s="55"/>
      <c r="U2327" s="56"/>
      <c r="X2327" s="57"/>
    </row>
    <row r="2328">
      <c r="A2328" s="54"/>
      <c r="G2328" s="55"/>
      <c r="U2328" s="56"/>
      <c r="X2328" s="57"/>
    </row>
    <row r="2329">
      <c r="A2329" s="54"/>
      <c r="G2329" s="55"/>
      <c r="U2329" s="56"/>
      <c r="X2329" s="57"/>
    </row>
    <row r="2330">
      <c r="A2330" s="54"/>
      <c r="G2330" s="55"/>
      <c r="U2330" s="56"/>
      <c r="X2330" s="57"/>
    </row>
    <row r="2331">
      <c r="A2331" s="54"/>
      <c r="G2331" s="55"/>
      <c r="U2331" s="56"/>
      <c r="X2331" s="57"/>
    </row>
    <row r="2332">
      <c r="A2332" s="54"/>
      <c r="G2332" s="55"/>
      <c r="U2332" s="56"/>
      <c r="X2332" s="57"/>
    </row>
    <row r="2333">
      <c r="A2333" s="54"/>
      <c r="G2333" s="55"/>
      <c r="U2333" s="56"/>
      <c r="X2333" s="57"/>
    </row>
    <row r="2334">
      <c r="A2334" s="54"/>
      <c r="G2334" s="55"/>
      <c r="U2334" s="56"/>
      <c r="X2334" s="57"/>
    </row>
    <row r="2335">
      <c r="A2335" s="54"/>
      <c r="G2335" s="55"/>
      <c r="U2335" s="56"/>
      <c r="X2335" s="57"/>
    </row>
    <row r="2336">
      <c r="A2336" s="54"/>
      <c r="G2336" s="55"/>
      <c r="U2336" s="56"/>
      <c r="X2336" s="57"/>
    </row>
    <row r="2337">
      <c r="A2337" s="54"/>
      <c r="G2337" s="55"/>
      <c r="U2337" s="56"/>
      <c r="X2337" s="57"/>
    </row>
    <row r="2338">
      <c r="A2338" s="54"/>
      <c r="G2338" s="55"/>
      <c r="U2338" s="56"/>
      <c r="X2338" s="57"/>
    </row>
    <row r="2339">
      <c r="A2339" s="54"/>
      <c r="G2339" s="55"/>
      <c r="U2339" s="56"/>
      <c r="X2339" s="57"/>
    </row>
    <row r="2340">
      <c r="A2340" s="54"/>
      <c r="G2340" s="55"/>
      <c r="U2340" s="56"/>
      <c r="X2340" s="57"/>
    </row>
    <row r="2341">
      <c r="A2341" s="54"/>
      <c r="G2341" s="55"/>
      <c r="U2341" s="56"/>
      <c r="X2341" s="57"/>
    </row>
    <row r="2342">
      <c r="A2342" s="54"/>
      <c r="G2342" s="55"/>
      <c r="U2342" s="56"/>
      <c r="X2342" s="57"/>
    </row>
    <row r="2343">
      <c r="A2343" s="54"/>
      <c r="G2343" s="55"/>
      <c r="U2343" s="56"/>
      <c r="X2343" s="57"/>
    </row>
    <row r="2344">
      <c r="A2344" s="54"/>
      <c r="G2344" s="55"/>
      <c r="U2344" s="56"/>
      <c r="X2344" s="57"/>
    </row>
    <row r="2345">
      <c r="A2345" s="54"/>
      <c r="G2345" s="55"/>
      <c r="U2345" s="56"/>
      <c r="X2345" s="57"/>
    </row>
    <row r="2346">
      <c r="A2346" s="54"/>
      <c r="G2346" s="55"/>
      <c r="U2346" s="56"/>
      <c r="X2346" s="57"/>
    </row>
    <row r="2347">
      <c r="A2347" s="54"/>
      <c r="G2347" s="55"/>
      <c r="U2347" s="56"/>
      <c r="X2347" s="57"/>
    </row>
    <row r="2348">
      <c r="A2348" s="54"/>
      <c r="G2348" s="55"/>
      <c r="U2348" s="56"/>
      <c r="X2348" s="57"/>
    </row>
    <row r="2349">
      <c r="A2349" s="54"/>
      <c r="G2349" s="55"/>
      <c r="U2349" s="56"/>
      <c r="X2349" s="57"/>
    </row>
    <row r="2350">
      <c r="A2350" s="54"/>
      <c r="G2350" s="55"/>
      <c r="U2350" s="56"/>
      <c r="X2350" s="57"/>
    </row>
    <row r="2351">
      <c r="A2351" s="54"/>
      <c r="G2351" s="55"/>
      <c r="U2351" s="56"/>
      <c r="X2351" s="57"/>
    </row>
    <row r="2352">
      <c r="A2352" s="54"/>
      <c r="G2352" s="55"/>
      <c r="U2352" s="56"/>
      <c r="X2352" s="57"/>
    </row>
    <row r="2353">
      <c r="A2353" s="54"/>
      <c r="G2353" s="55"/>
      <c r="U2353" s="56"/>
      <c r="X2353" s="57"/>
    </row>
    <row r="2354">
      <c r="A2354" s="54"/>
      <c r="G2354" s="55"/>
      <c r="U2354" s="56"/>
      <c r="X2354" s="57"/>
    </row>
    <row r="2355">
      <c r="A2355" s="54"/>
      <c r="G2355" s="55"/>
      <c r="U2355" s="56"/>
      <c r="X2355" s="57"/>
    </row>
    <row r="2356">
      <c r="A2356" s="54"/>
      <c r="G2356" s="55"/>
      <c r="U2356" s="56"/>
      <c r="X2356" s="57"/>
    </row>
    <row r="2357">
      <c r="A2357" s="54"/>
      <c r="G2357" s="55"/>
      <c r="U2357" s="56"/>
      <c r="X2357" s="57"/>
    </row>
    <row r="2358">
      <c r="A2358" s="54"/>
      <c r="G2358" s="55"/>
      <c r="U2358" s="56"/>
      <c r="X2358" s="57"/>
    </row>
    <row r="2359">
      <c r="A2359" s="54"/>
      <c r="G2359" s="55"/>
      <c r="U2359" s="56"/>
      <c r="X2359" s="57"/>
    </row>
    <row r="2360">
      <c r="A2360" s="54"/>
      <c r="G2360" s="55"/>
      <c r="U2360" s="56"/>
      <c r="X2360" s="57"/>
    </row>
    <row r="2361">
      <c r="A2361" s="54"/>
      <c r="G2361" s="55"/>
      <c r="U2361" s="56"/>
      <c r="X2361" s="57"/>
    </row>
    <row r="2362">
      <c r="A2362" s="54"/>
      <c r="G2362" s="55"/>
      <c r="U2362" s="56"/>
      <c r="X2362" s="57"/>
    </row>
    <row r="2363">
      <c r="A2363" s="54"/>
      <c r="G2363" s="55"/>
      <c r="U2363" s="56"/>
      <c r="X2363" s="57"/>
    </row>
    <row r="2364">
      <c r="A2364" s="54"/>
      <c r="G2364" s="55"/>
      <c r="U2364" s="56"/>
      <c r="X2364" s="57"/>
    </row>
    <row r="2365">
      <c r="A2365" s="54"/>
      <c r="G2365" s="55"/>
      <c r="U2365" s="56"/>
      <c r="X2365" s="57"/>
    </row>
    <row r="2366">
      <c r="A2366" s="54"/>
      <c r="G2366" s="55"/>
      <c r="U2366" s="56"/>
      <c r="X2366" s="57"/>
    </row>
    <row r="2367">
      <c r="A2367" s="54"/>
      <c r="G2367" s="55"/>
      <c r="U2367" s="56"/>
      <c r="X2367" s="57"/>
    </row>
    <row r="2368">
      <c r="A2368" s="54"/>
      <c r="G2368" s="55"/>
      <c r="U2368" s="56"/>
      <c r="X2368" s="57"/>
    </row>
    <row r="2369">
      <c r="A2369" s="54"/>
      <c r="G2369" s="55"/>
      <c r="U2369" s="56"/>
      <c r="X2369" s="57"/>
    </row>
    <row r="2370">
      <c r="A2370" s="54"/>
      <c r="G2370" s="55"/>
      <c r="U2370" s="56"/>
      <c r="X2370" s="57"/>
    </row>
    <row r="2371">
      <c r="A2371" s="54"/>
      <c r="G2371" s="55"/>
      <c r="U2371" s="56"/>
      <c r="X2371" s="57"/>
    </row>
    <row r="2372">
      <c r="A2372" s="54"/>
      <c r="G2372" s="55"/>
      <c r="U2372" s="56"/>
      <c r="X2372" s="57"/>
    </row>
    <row r="2373">
      <c r="A2373" s="54"/>
      <c r="G2373" s="55"/>
      <c r="U2373" s="56"/>
      <c r="X2373" s="57"/>
    </row>
    <row r="2374">
      <c r="A2374" s="54"/>
      <c r="G2374" s="55"/>
      <c r="U2374" s="56"/>
      <c r="X2374" s="57"/>
    </row>
    <row r="2375">
      <c r="A2375" s="54"/>
      <c r="G2375" s="55"/>
      <c r="U2375" s="56"/>
      <c r="X2375" s="57"/>
    </row>
    <row r="2376">
      <c r="A2376" s="54"/>
      <c r="G2376" s="55"/>
      <c r="U2376" s="56"/>
      <c r="X2376" s="57"/>
    </row>
    <row r="2377">
      <c r="A2377" s="54"/>
      <c r="G2377" s="55"/>
      <c r="U2377" s="56"/>
      <c r="X2377" s="57"/>
    </row>
    <row r="2378">
      <c r="A2378" s="54"/>
      <c r="G2378" s="55"/>
      <c r="U2378" s="56"/>
      <c r="X2378" s="57"/>
    </row>
    <row r="2379">
      <c r="A2379" s="54"/>
      <c r="G2379" s="55"/>
      <c r="U2379" s="56"/>
      <c r="X2379" s="57"/>
    </row>
    <row r="2380">
      <c r="A2380" s="54"/>
      <c r="G2380" s="55"/>
      <c r="U2380" s="56"/>
      <c r="X2380" s="57"/>
    </row>
    <row r="2381">
      <c r="A2381" s="54"/>
      <c r="G2381" s="55"/>
      <c r="U2381" s="56"/>
      <c r="X2381" s="57"/>
    </row>
    <row r="2382">
      <c r="A2382" s="54"/>
      <c r="G2382" s="55"/>
      <c r="U2382" s="56"/>
      <c r="X2382" s="57"/>
    </row>
    <row r="2383">
      <c r="A2383" s="54"/>
      <c r="G2383" s="55"/>
      <c r="U2383" s="56"/>
      <c r="X2383" s="57"/>
    </row>
    <row r="2384">
      <c r="A2384" s="54"/>
      <c r="G2384" s="55"/>
      <c r="U2384" s="56"/>
      <c r="X2384" s="57"/>
    </row>
    <row r="2385">
      <c r="A2385" s="54"/>
      <c r="G2385" s="55"/>
      <c r="U2385" s="56"/>
      <c r="X2385" s="57"/>
    </row>
    <row r="2386">
      <c r="A2386" s="54"/>
      <c r="G2386" s="55"/>
      <c r="U2386" s="56"/>
      <c r="X2386" s="57"/>
    </row>
    <row r="2387">
      <c r="A2387" s="54"/>
      <c r="G2387" s="55"/>
      <c r="U2387" s="56"/>
      <c r="X2387" s="57"/>
    </row>
    <row r="2388">
      <c r="A2388" s="54"/>
      <c r="G2388" s="55"/>
      <c r="U2388" s="56"/>
      <c r="X2388" s="57"/>
    </row>
    <row r="2389">
      <c r="A2389" s="54"/>
      <c r="G2389" s="55"/>
      <c r="U2389" s="56"/>
      <c r="X2389" s="57"/>
    </row>
    <row r="2390">
      <c r="A2390" s="54"/>
      <c r="G2390" s="55"/>
      <c r="U2390" s="56"/>
      <c r="X2390" s="57"/>
    </row>
    <row r="2391">
      <c r="A2391" s="54"/>
      <c r="G2391" s="55"/>
      <c r="U2391" s="56"/>
      <c r="X2391" s="57"/>
    </row>
    <row r="2392">
      <c r="A2392" s="54"/>
      <c r="G2392" s="55"/>
      <c r="U2392" s="56"/>
      <c r="X2392" s="57"/>
    </row>
    <row r="2393">
      <c r="A2393" s="54"/>
      <c r="G2393" s="55"/>
      <c r="U2393" s="56"/>
      <c r="X2393" s="57"/>
    </row>
    <row r="2394">
      <c r="A2394" s="54"/>
      <c r="G2394" s="55"/>
      <c r="U2394" s="56"/>
      <c r="X2394" s="57"/>
    </row>
    <row r="2395">
      <c r="A2395" s="54"/>
      <c r="G2395" s="55"/>
      <c r="U2395" s="56"/>
      <c r="X2395" s="57"/>
    </row>
    <row r="2396">
      <c r="A2396" s="54"/>
      <c r="G2396" s="55"/>
      <c r="U2396" s="56"/>
      <c r="X2396" s="57"/>
    </row>
    <row r="2397">
      <c r="A2397" s="54"/>
      <c r="G2397" s="55"/>
      <c r="U2397" s="56"/>
      <c r="X2397" s="57"/>
    </row>
    <row r="2398">
      <c r="A2398" s="54"/>
      <c r="G2398" s="55"/>
      <c r="U2398" s="56"/>
      <c r="X2398" s="57"/>
    </row>
    <row r="2399">
      <c r="A2399" s="54"/>
      <c r="G2399" s="55"/>
      <c r="U2399" s="56"/>
      <c r="X2399" s="57"/>
    </row>
    <row r="2400">
      <c r="A2400" s="54"/>
      <c r="G2400" s="55"/>
      <c r="U2400" s="56"/>
      <c r="X2400" s="57"/>
    </row>
    <row r="2401">
      <c r="A2401" s="54"/>
      <c r="G2401" s="55"/>
      <c r="U2401" s="56"/>
      <c r="X2401" s="57"/>
    </row>
    <row r="2402">
      <c r="A2402" s="54"/>
      <c r="G2402" s="55"/>
      <c r="U2402" s="56"/>
      <c r="X2402" s="57"/>
    </row>
    <row r="2403">
      <c r="A2403" s="54"/>
      <c r="G2403" s="55"/>
      <c r="U2403" s="56"/>
      <c r="X2403" s="57"/>
    </row>
    <row r="2404">
      <c r="A2404" s="54"/>
      <c r="G2404" s="55"/>
      <c r="U2404" s="56"/>
      <c r="X2404" s="57"/>
    </row>
    <row r="2405">
      <c r="A2405" s="54"/>
      <c r="G2405" s="55"/>
      <c r="U2405" s="56"/>
      <c r="X2405" s="57"/>
    </row>
    <row r="2406">
      <c r="A2406" s="54"/>
      <c r="G2406" s="55"/>
      <c r="U2406" s="56"/>
      <c r="X2406" s="57"/>
    </row>
    <row r="2407">
      <c r="A2407" s="54"/>
      <c r="G2407" s="55"/>
      <c r="U2407" s="56"/>
      <c r="X2407" s="57"/>
    </row>
    <row r="2408">
      <c r="A2408" s="54"/>
      <c r="G2408" s="55"/>
      <c r="U2408" s="56"/>
      <c r="X2408" s="57"/>
    </row>
    <row r="2409">
      <c r="A2409" s="54"/>
      <c r="G2409" s="55"/>
      <c r="U2409" s="56"/>
      <c r="X2409" s="57"/>
    </row>
    <row r="2410">
      <c r="A2410" s="54"/>
      <c r="G2410" s="55"/>
      <c r="U2410" s="56"/>
      <c r="X2410" s="57"/>
    </row>
    <row r="2411">
      <c r="A2411" s="54"/>
      <c r="G2411" s="55"/>
      <c r="U2411" s="56"/>
      <c r="X2411" s="57"/>
    </row>
    <row r="2412">
      <c r="A2412" s="54"/>
      <c r="G2412" s="55"/>
      <c r="U2412" s="56"/>
      <c r="X2412" s="57"/>
    </row>
    <row r="2413">
      <c r="A2413" s="54"/>
      <c r="G2413" s="55"/>
      <c r="U2413" s="56"/>
      <c r="X2413" s="57"/>
    </row>
    <row r="2414">
      <c r="A2414" s="54"/>
      <c r="G2414" s="55"/>
      <c r="U2414" s="56"/>
      <c r="X2414" s="57"/>
    </row>
    <row r="2415">
      <c r="A2415" s="54"/>
      <c r="G2415" s="55"/>
      <c r="U2415" s="56"/>
      <c r="X2415" s="57"/>
    </row>
    <row r="2416">
      <c r="A2416" s="54"/>
      <c r="G2416" s="55"/>
      <c r="U2416" s="56"/>
      <c r="X2416" s="57"/>
    </row>
    <row r="2417">
      <c r="A2417" s="54"/>
      <c r="G2417" s="55"/>
      <c r="U2417" s="56"/>
      <c r="X2417" s="57"/>
    </row>
    <row r="2418">
      <c r="A2418" s="54"/>
      <c r="G2418" s="55"/>
      <c r="U2418" s="56"/>
      <c r="X2418" s="57"/>
    </row>
    <row r="2419">
      <c r="A2419" s="54"/>
      <c r="G2419" s="55"/>
      <c r="U2419" s="56"/>
      <c r="X2419" s="57"/>
    </row>
    <row r="2420">
      <c r="A2420" s="54"/>
      <c r="G2420" s="55"/>
      <c r="U2420" s="56"/>
      <c r="X2420" s="57"/>
    </row>
    <row r="2421">
      <c r="A2421" s="54"/>
      <c r="G2421" s="55"/>
      <c r="U2421" s="56"/>
      <c r="X2421" s="57"/>
    </row>
    <row r="2422">
      <c r="A2422" s="54"/>
      <c r="G2422" s="55"/>
      <c r="U2422" s="56"/>
      <c r="X2422" s="57"/>
    </row>
    <row r="2423">
      <c r="A2423" s="54"/>
      <c r="G2423" s="55"/>
      <c r="U2423" s="56"/>
      <c r="X2423" s="57"/>
    </row>
    <row r="2424">
      <c r="A2424" s="54"/>
      <c r="G2424" s="55"/>
      <c r="U2424" s="56"/>
      <c r="X2424" s="57"/>
    </row>
    <row r="2425">
      <c r="A2425" s="54"/>
      <c r="G2425" s="55"/>
      <c r="U2425" s="56"/>
      <c r="X2425" s="57"/>
    </row>
    <row r="2426">
      <c r="A2426" s="54"/>
      <c r="G2426" s="55"/>
      <c r="U2426" s="56"/>
      <c r="X2426" s="57"/>
    </row>
    <row r="2427">
      <c r="A2427" s="54"/>
      <c r="G2427" s="55"/>
      <c r="U2427" s="56"/>
      <c r="X2427" s="57"/>
    </row>
    <row r="2428">
      <c r="A2428" s="54"/>
      <c r="G2428" s="55"/>
      <c r="U2428" s="56"/>
      <c r="X2428" s="57"/>
    </row>
    <row r="2429">
      <c r="A2429" s="54"/>
      <c r="G2429" s="55"/>
      <c r="U2429" s="56"/>
      <c r="X2429" s="57"/>
    </row>
    <row r="2430">
      <c r="A2430" s="54"/>
      <c r="G2430" s="55"/>
      <c r="U2430" s="56"/>
      <c r="X2430" s="57"/>
    </row>
    <row r="2431">
      <c r="A2431" s="54"/>
      <c r="G2431" s="55"/>
      <c r="U2431" s="56"/>
      <c r="X2431" s="57"/>
    </row>
    <row r="2432">
      <c r="A2432" s="54"/>
      <c r="G2432" s="55"/>
      <c r="U2432" s="56"/>
      <c r="X2432" s="57"/>
    </row>
    <row r="2433">
      <c r="A2433" s="54"/>
      <c r="G2433" s="55"/>
      <c r="U2433" s="56"/>
      <c r="X2433" s="57"/>
    </row>
    <row r="2434">
      <c r="A2434" s="54"/>
      <c r="G2434" s="55"/>
      <c r="U2434" s="56"/>
      <c r="X2434" s="57"/>
    </row>
    <row r="2435">
      <c r="A2435" s="54"/>
      <c r="G2435" s="55"/>
      <c r="U2435" s="56"/>
      <c r="X2435" s="57"/>
    </row>
    <row r="2436">
      <c r="A2436" s="54"/>
      <c r="G2436" s="55"/>
      <c r="U2436" s="56"/>
      <c r="X2436" s="57"/>
    </row>
    <row r="2437">
      <c r="A2437" s="54"/>
      <c r="G2437" s="55"/>
      <c r="U2437" s="56"/>
      <c r="X2437" s="57"/>
    </row>
    <row r="2438">
      <c r="A2438" s="54"/>
      <c r="G2438" s="55"/>
      <c r="U2438" s="56"/>
      <c r="X2438" s="57"/>
    </row>
    <row r="2439">
      <c r="A2439" s="54"/>
      <c r="G2439" s="55"/>
      <c r="U2439" s="56"/>
      <c r="X2439" s="57"/>
    </row>
    <row r="2440">
      <c r="A2440" s="54"/>
      <c r="G2440" s="55"/>
      <c r="U2440" s="56"/>
      <c r="X2440" s="57"/>
    </row>
    <row r="2441">
      <c r="A2441" s="54"/>
      <c r="G2441" s="55"/>
      <c r="U2441" s="56"/>
      <c r="X2441" s="57"/>
    </row>
    <row r="2442">
      <c r="A2442" s="54"/>
      <c r="G2442" s="55"/>
      <c r="U2442" s="56"/>
      <c r="X2442" s="57"/>
    </row>
    <row r="2443">
      <c r="A2443" s="54"/>
      <c r="G2443" s="55"/>
      <c r="U2443" s="56"/>
      <c r="X2443" s="57"/>
    </row>
    <row r="2444">
      <c r="A2444" s="54"/>
      <c r="G2444" s="55"/>
      <c r="U2444" s="56"/>
      <c r="X2444" s="57"/>
    </row>
    <row r="2445">
      <c r="A2445" s="54"/>
      <c r="G2445" s="55"/>
      <c r="U2445" s="56"/>
      <c r="X2445" s="57"/>
    </row>
    <row r="2446">
      <c r="A2446" s="54"/>
      <c r="G2446" s="55"/>
      <c r="U2446" s="56"/>
      <c r="X2446" s="57"/>
    </row>
    <row r="2447">
      <c r="A2447" s="54"/>
      <c r="G2447" s="55"/>
      <c r="U2447" s="56"/>
      <c r="X2447" s="57"/>
    </row>
    <row r="2448">
      <c r="A2448" s="54"/>
      <c r="G2448" s="55"/>
      <c r="U2448" s="56"/>
      <c r="X2448" s="57"/>
    </row>
    <row r="2449">
      <c r="A2449" s="54"/>
      <c r="G2449" s="55"/>
      <c r="U2449" s="56"/>
      <c r="X2449" s="57"/>
    </row>
    <row r="2450">
      <c r="A2450" s="54"/>
      <c r="G2450" s="55"/>
      <c r="U2450" s="56"/>
      <c r="X2450" s="57"/>
    </row>
    <row r="2451">
      <c r="A2451" s="54"/>
      <c r="G2451" s="55"/>
      <c r="U2451" s="56"/>
      <c r="X2451" s="57"/>
    </row>
    <row r="2452">
      <c r="A2452" s="54"/>
      <c r="G2452" s="55"/>
      <c r="U2452" s="56"/>
      <c r="X2452" s="57"/>
    </row>
    <row r="2453">
      <c r="A2453" s="54"/>
      <c r="G2453" s="55"/>
      <c r="U2453" s="56"/>
      <c r="X2453" s="57"/>
    </row>
    <row r="2454">
      <c r="A2454" s="54"/>
      <c r="G2454" s="55"/>
      <c r="U2454" s="56"/>
      <c r="X2454" s="57"/>
    </row>
    <row r="2455">
      <c r="A2455" s="54"/>
      <c r="G2455" s="55"/>
      <c r="U2455" s="56"/>
      <c r="X2455" s="57"/>
    </row>
    <row r="2456">
      <c r="A2456" s="54"/>
      <c r="G2456" s="55"/>
      <c r="U2456" s="56"/>
      <c r="X2456" s="57"/>
    </row>
    <row r="2457">
      <c r="A2457" s="54"/>
      <c r="G2457" s="55"/>
      <c r="U2457" s="56"/>
      <c r="X2457" s="57"/>
    </row>
    <row r="2458">
      <c r="A2458" s="54"/>
      <c r="G2458" s="55"/>
      <c r="U2458" s="56"/>
      <c r="X2458" s="57"/>
    </row>
    <row r="2459">
      <c r="A2459" s="54"/>
      <c r="G2459" s="55"/>
      <c r="U2459" s="56"/>
      <c r="X2459" s="57"/>
    </row>
    <row r="2460">
      <c r="A2460" s="54"/>
      <c r="G2460" s="55"/>
      <c r="U2460" s="56"/>
      <c r="X2460" s="57"/>
    </row>
    <row r="2461">
      <c r="A2461" s="54"/>
      <c r="G2461" s="55"/>
      <c r="U2461" s="56"/>
      <c r="X2461" s="57"/>
    </row>
    <row r="2462">
      <c r="A2462" s="54"/>
      <c r="G2462" s="55"/>
      <c r="U2462" s="56"/>
      <c r="X2462" s="57"/>
    </row>
    <row r="2463">
      <c r="A2463" s="54"/>
      <c r="G2463" s="55"/>
      <c r="U2463" s="56"/>
      <c r="X2463" s="57"/>
    </row>
    <row r="2464">
      <c r="A2464" s="54"/>
      <c r="G2464" s="55"/>
      <c r="U2464" s="56"/>
      <c r="X2464" s="57"/>
    </row>
    <row r="2465">
      <c r="A2465" s="54"/>
      <c r="G2465" s="55"/>
      <c r="U2465" s="56"/>
      <c r="X2465" s="57"/>
    </row>
    <row r="2466">
      <c r="A2466" s="54"/>
      <c r="G2466" s="55"/>
      <c r="U2466" s="56"/>
      <c r="X2466" s="57"/>
    </row>
    <row r="2467">
      <c r="A2467" s="54"/>
      <c r="G2467" s="55"/>
      <c r="U2467" s="56"/>
      <c r="X2467" s="57"/>
    </row>
    <row r="2468">
      <c r="A2468" s="54"/>
      <c r="G2468" s="55"/>
      <c r="U2468" s="56"/>
      <c r="X2468" s="57"/>
    </row>
    <row r="2469">
      <c r="A2469" s="54"/>
      <c r="G2469" s="55"/>
      <c r="U2469" s="56"/>
      <c r="X2469" s="57"/>
    </row>
    <row r="2470">
      <c r="A2470" s="54"/>
      <c r="G2470" s="55"/>
      <c r="U2470" s="56"/>
      <c r="X2470" s="57"/>
    </row>
    <row r="2471">
      <c r="A2471" s="54"/>
      <c r="G2471" s="55"/>
      <c r="U2471" s="56"/>
      <c r="X2471" s="57"/>
    </row>
    <row r="2472">
      <c r="A2472" s="54"/>
      <c r="G2472" s="55"/>
      <c r="U2472" s="56"/>
      <c r="X2472" s="57"/>
    </row>
    <row r="2473">
      <c r="A2473" s="54"/>
      <c r="G2473" s="55"/>
      <c r="U2473" s="56"/>
      <c r="X2473" s="57"/>
    </row>
    <row r="2474">
      <c r="A2474" s="54"/>
      <c r="G2474" s="55"/>
      <c r="U2474" s="56"/>
      <c r="X2474" s="57"/>
    </row>
    <row r="2475">
      <c r="A2475" s="54"/>
      <c r="G2475" s="55"/>
      <c r="U2475" s="56"/>
      <c r="X2475" s="57"/>
    </row>
    <row r="2476">
      <c r="A2476" s="54"/>
      <c r="G2476" s="55"/>
      <c r="U2476" s="56"/>
      <c r="X2476" s="57"/>
    </row>
    <row r="2477">
      <c r="A2477" s="54"/>
      <c r="G2477" s="55"/>
      <c r="U2477" s="56"/>
      <c r="X2477" s="57"/>
    </row>
    <row r="2478">
      <c r="A2478" s="54"/>
      <c r="G2478" s="55"/>
      <c r="U2478" s="56"/>
      <c r="X2478" s="57"/>
    </row>
    <row r="2479">
      <c r="A2479" s="54"/>
      <c r="G2479" s="55"/>
      <c r="U2479" s="56"/>
      <c r="X2479" s="57"/>
    </row>
    <row r="2480">
      <c r="A2480" s="54"/>
      <c r="G2480" s="55"/>
      <c r="U2480" s="56"/>
      <c r="X2480" s="57"/>
    </row>
    <row r="2481">
      <c r="A2481" s="54"/>
      <c r="G2481" s="55"/>
      <c r="U2481" s="56"/>
      <c r="X2481" s="57"/>
    </row>
    <row r="2482">
      <c r="A2482" s="54"/>
      <c r="G2482" s="55"/>
      <c r="U2482" s="56"/>
      <c r="X2482" s="57"/>
    </row>
    <row r="2483">
      <c r="A2483" s="54"/>
      <c r="G2483" s="55"/>
      <c r="U2483" s="56"/>
      <c r="X2483" s="57"/>
    </row>
    <row r="2484">
      <c r="A2484" s="54"/>
      <c r="G2484" s="55"/>
      <c r="U2484" s="56"/>
      <c r="X2484" s="57"/>
    </row>
    <row r="2485">
      <c r="A2485" s="54"/>
      <c r="G2485" s="55"/>
      <c r="U2485" s="56"/>
      <c r="X2485" s="57"/>
    </row>
    <row r="2486">
      <c r="A2486" s="54"/>
      <c r="G2486" s="55"/>
      <c r="U2486" s="56"/>
      <c r="X2486" s="57"/>
    </row>
    <row r="2487">
      <c r="A2487" s="54"/>
      <c r="G2487" s="55"/>
      <c r="U2487" s="56"/>
      <c r="X2487" s="57"/>
    </row>
    <row r="2488">
      <c r="A2488" s="54"/>
      <c r="G2488" s="55"/>
      <c r="U2488" s="56"/>
      <c r="X2488" s="57"/>
    </row>
    <row r="2489">
      <c r="A2489" s="54"/>
      <c r="G2489" s="55"/>
      <c r="U2489" s="56"/>
      <c r="X2489" s="57"/>
    </row>
    <row r="2490">
      <c r="A2490" s="54"/>
      <c r="G2490" s="55"/>
      <c r="U2490" s="56"/>
      <c r="X2490" s="57"/>
    </row>
    <row r="2491">
      <c r="A2491" s="54"/>
      <c r="G2491" s="55"/>
      <c r="U2491" s="56"/>
      <c r="X2491" s="57"/>
    </row>
    <row r="2492">
      <c r="A2492" s="54"/>
      <c r="G2492" s="55"/>
      <c r="U2492" s="56"/>
      <c r="X2492" s="57"/>
    </row>
    <row r="2493">
      <c r="A2493" s="54"/>
      <c r="G2493" s="55"/>
      <c r="U2493" s="56"/>
      <c r="X2493" s="57"/>
    </row>
    <row r="2494">
      <c r="A2494" s="54"/>
      <c r="G2494" s="55"/>
      <c r="U2494" s="56"/>
      <c r="X2494" s="57"/>
    </row>
    <row r="2495">
      <c r="A2495" s="54"/>
      <c r="G2495" s="55"/>
      <c r="U2495" s="56"/>
      <c r="X2495" s="57"/>
    </row>
    <row r="2496">
      <c r="A2496" s="54"/>
      <c r="G2496" s="55"/>
      <c r="U2496" s="56"/>
      <c r="X2496" s="57"/>
    </row>
    <row r="2497">
      <c r="A2497" s="54"/>
      <c r="G2497" s="55"/>
      <c r="U2497" s="56"/>
      <c r="X2497" s="57"/>
    </row>
    <row r="2498">
      <c r="A2498" s="54"/>
      <c r="G2498" s="55"/>
      <c r="U2498" s="56"/>
      <c r="X2498" s="57"/>
    </row>
    <row r="2499">
      <c r="A2499" s="54"/>
      <c r="G2499" s="55"/>
      <c r="U2499" s="56"/>
      <c r="X2499" s="57"/>
    </row>
    <row r="2500">
      <c r="A2500" s="54"/>
      <c r="G2500" s="55"/>
      <c r="U2500" s="56"/>
      <c r="X2500" s="57"/>
    </row>
    <row r="2501">
      <c r="A2501" s="54"/>
      <c r="G2501" s="55"/>
      <c r="U2501" s="56"/>
      <c r="X2501" s="57"/>
    </row>
    <row r="2502">
      <c r="A2502" s="54"/>
      <c r="G2502" s="55"/>
      <c r="U2502" s="56"/>
      <c r="X2502" s="57"/>
    </row>
    <row r="2503">
      <c r="A2503" s="54"/>
      <c r="G2503" s="55"/>
      <c r="U2503" s="56"/>
      <c r="X2503" s="57"/>
    </row>
    <row r="2504">
      <c r="A2504" s="54"/>
      <c r="G2504" s="55"/>
      <c r="U2504" s="56"/>
      <c r="X2504" s="57"/>
    </row>
    <row r="2505">
      <c r="A2505" s="54"/>
      <c r="G2505" s="55"/>
      <c r="U2505" s="56"/>
      <c r="X2505" s="57"/>
    </row>
    <row r="2506">
      <c r="A2506" s="54"/>
      <c r="G2506" s="55"/>
      <c r="U2506" s="56"/>
      <c r="X2506" s="57"/>
    </row>
    <row r="2507">
      <c r="A2507" s="54"/>
      <c r="G2507" s="55"/>
      <c r="U2507" s="56"/>
      <c r="X2507" s="57"/>
    </row>
    <row r="2508">
      <c r="A2508" s="54"/>
      <c r="G2508" s="55"/>
      <c r="U2508" s="56"/>
      <c r="X2508" s="57"/>
    </row>
    <row r="2509">
      <c r="A2509" s="54"/>
      <c r="G2509" s="55"/>
      <c r="U2509" s="56"/>
      <c r="X2509" s="57"/>
    </row>
    <row r="2510">
      <c r="A2510" s="54"/>
      <c r="G2510" s="55"/>
      <c r="U2510" s="56"/>
      <c r="X2510" s="57"/>
    </row>
    <row r="2511">
      <c r="A2511" s="54"/>
      <c r="G2511" s="55"/>
      <c r="U2511" s="56"/>
      <c r="X2511" s="57"/>
    </row>
    <row r="2512">
      <c r="A2512" s="54"/>
      <c r="G2512" s="55"/>
      <c r="U2512" s="56"/>
      <c r="X2512" s="57"/>
    </row>
    <row r="2513">
      <c r="A2513" s="54"/>
      <c r="G2513" s="55"/>
      <c r="U2513" s="56"/>
      <c r="X2513" s="57"/>
    </row>
    <row r="2514">
      <c r="A2514" s="54"/>
      <c r="G2514" s="55"/>
      <c r="U2514" s="56"/>
      <c r="X2514" s="57"/>
    </row>
    <row r="2515">
      <c r="A2515" s="54"/>
      <c r="G2515" s="55"/>
      <c r="U2515" s="56"/>
      <c r="X2515" s="57"/>
    </row>
    <row r="2516">
      <c r="A2516" s="54"/>
      <c r="G2516" s="55"/>
      <c r="U2516" s="56"/>
      <c r="X2516" s="57"/>
    </row>
    <row r="2517">
      <c r="A2517" s="54"/>
      <c r="G2517" s="55"/>
      <c r="U2517" s="56"/>
      <c r="X2517" s="57"/>
    </row>
    <row r="2518">
      <c r="A2518" s="54"/>
      <c r="G2518" s="55"/>
      <c r="U2518" s="56"/>
      <c r="X2518" s="57"/>
    </row>
    <row r="2519">
      <c r="A2519" s="54"/>
      <c r="G2519" s="55"/>
      <c r="U2519" s="56"/>
      <c r="X2519" s="57"/>
    </row>
    <row r="2520">
      <c r="A2520" s="54"/>
      <c r="G2520" s="55"/>
      <c r="U2520" s="56"/>
      <c r="X2520" s="57"/>
    </row>
    <row r="2521">
      <c r="A2521" s="54"/>
      <c r="G2521" s="55"/>
      <c r="U2521" s="56"/>
      <c r="X2521" s="57"/>
    </row>
    <row r="2522">
      <c r="A2522" s="54"/>
      <c r="G2522" s="55"/>
      <c r="U2522" s="56"/>
      <c r="X2522" s="57"/>
    </row>
    <row r="2523">
      <c r="A2523" s="54"/>
      <c r="G2523" s="55"/>
      <c r="U2523" s="56"/>
      <c r="X2523" s="57"/>
    </row>
    <row r="2524">
      <c r="A2524" s="54"/>
      <c r="G2524" s="55"/>
      <c r="U2524" s="56"/>
      <c r="X2524" s="57"/>
    </row>
    <row r="2525">
      <c r="A2525" s="54"/>
      <c r="G2525" s="55"/>
      <c r="U2525" s="56"/>
      <c r="X2525" s="57"/>
    </row>
    <row r="2526">
      <c r="A2526" s="54"/>
      <c r="G2526" s="55"/>
      <c r="U2526" s="56"/>
      <c r="X2526" s="57"/>
    </row>
    <row r="2527">
      <c r="A2527" s="54"/>
      <c r="G2527" s="55"/>
      <c r="U2527" s="56"/>
      <c r="X2527" s="57"/>
    </row>
    <row r="2528">
      <c r="A2528" s="54"/>
      <c r="G2528" s="55"/>
      <c r="U2528" s="56"/>
      <c r="X2528" s="57"/>
    </row>
    <row r="2529">
      <c r="A2529" s="54"/>
      <c r="G2529" s="55"/>
      <c r="U2529" s="56"/>
      <c r="X2529" s="57"/>
    </row>
    <row r="2530">
      <c r="A2530" s="54"/>
      <c r="G2530" s="55"/>
      <c r="U2530" s="56"/>
      <c r="X2530" s="57"/>
    </row>
    <row r="2531">
      <c r="A2531" s="54"/>
      <c r="G2531" s="55"/>
      <c r="U2531" s="56"/>
      <c r="X2531" s="57"/>
    </row>
    <row r="2532">
      <c r="A2532" s="54"/>
      <c r="G2532" s="55"/>
      <c r="U2532" s="56"/>
      <c r="X2532" s="57"/>
    </row>
    <row r="2533">
      <c r="A2533" s="54"/>
      <c r="G2533" s="55"/>
      <c r="U2533" s="56"/>
      <c r="X2533" s="57"/>
    </row>
    <row r="2534">
      <c r="A2534" s="54"/>
      <c r="G2534" s="55"/>
      <c r="U2534" s="56"/>
      <c r="X2534" s="57"/>
    </row>
    <row r="2535">
      <c r="A2535" s="54"/>
      <c r="G2535" s="55"/>
      <c r="U2535" s="56"/>
      <c r="X2535" s="57"/>
    </row>
    <row r="2536">
      <c r="A2536" s="54"/>
      <c r="G2536" s="55"/>
      <c r="U2536" s="56"/>
      <c r="X2536" s="57"/>
    </row>
    <row r="2537">
      <c r="A2537" s="54"/>
      <c r="G2537" s="55"/>
      <c r="U2537" s="56"/>
      <c r="X2537" s="57"/>
    </row>
    <row r="2538">
      <c r="A2538" s="54"/>
      <c r="G2538" s="55"/>
      <c r="U2538" s="56"/>
      <c r="X2538" s="57"/>
    </row>
    <row r="2539">
      <c r="A2539" s="54"/>
      <c r="G2539" s="55"/>
      <c r="U2539" s="56"/>
      <c r="X2539" s="57"/>
    </row>
    <row r="2540">
      <c r="A2540" s="54"/>
      <c r="G2540" s="55"/>
      <c r="U2540" s="56"/>
      <c r="X2540" s="57"/>
    </row>
    <row r="2541">
      <c r="A2541" s="54"/>
      <c r="G2541" s="55"/>
      <c r="U2541" s="56"/>
      <c r="X2541" s="57"/>
    </row>
    <row r="2542">
      <c r="A2542" s="54"/>
      <c r="G2542" s="55"/>
      <c r="U2542" s="56"/>
      <c r="X2542" s="57"/>
    </row>
    <row r="2543">
      <c r="A2543" s="54"/>
      <c r="G2543" s="55"/>
      <c r="U2543" s="56"/>
      <c r="X2543" s="57"/>
    </row>
    <row r="2544">
      <c r="A2544" s="54"/>
      <c r="G2544" s="55"/>
      <c r="U2544" s="56"/>
      <c r="X2544" s="57"/>
    </row>
    <row r="2545">
      <c r="A2545" s="54"/>
      <c r="G2545" s="55"/>
      <c r="U2545" s="56"/>
      <c r="X2545" s="57"/>
    </row>
    <row r="2546">
      <c r="A2546" s="54"/>
      <c r="G2546" s="55"/>
      <c r="U2546" s="56"/>
      <c r="X2546" s="57"/>
    </row>
    <row r="2547">
      <c r="A2547" s="54"/>
      <c r="G2547" s="55"/>
      <c r="U2547" s="56"/>
      <c r="X2547" s="57"/>
    </row>
    <row r="2548">
      <c r="A2548" s="54"/>
      <c r="G2548" s="55"/>
      <c r="U2548" s="56"/>
      <c r="X2548" s="57"/>
    </row>
    <row r="2549">
      <c r="A2549" s="54"/>
      <c r="G2549" s="55"/>
      <c r="U2549" s="56"/>
      <c r="X2549" s="57"/>
    </row>
    <row r="2550">
      <c r="A2550" s="54"/>
      <c r="G2550" s="55"/>
      <c r="U2550" s="56"/>
      <c r="X2550" s="57"/>
    </row>
    <row r="2551">
      <c r="A2551" s="54"/>
      <c r="G2551" s="55"/>
      <c r="U2551" s="56"/>
      <c r="X2551" s="57"/>
    </row>
    <row r="2552">
      <c r="A2552" s="54"/>
      <c r="G2552" s="55"/>
      <c r="U2552" s="56"/>
      <c r="X2552" s="57"/>
    </row>
    <row r="2553">
      <c r="A2553" s="54"/>
      <c r="G2553" s="55"/>
      <c r="U2553" s="56"/>
      <c r="X2553" s="57"/>
    </row>
    <row r="2554">
      <c r="A2554" s="54"/>
      <c r="G2554" s="55"/>
      <c r="U2554" s="56"/>
      <c r="X2554" s="57"/>
    </row>
    <row r="2555">
      <c r="A2555" s="54"/>
      <c r="G2555" s="55"/>
      <c r="U2555" s="56"/>
      <c r="X2555" s="57"/>
    </row>
    <row r="2556">
      <c r="A2556" s="54"/>
      <c r="G2556" s="55"/>
      <c r="U2556" s="56"/>
      <c r="X2556" s="57"/>
    </row>
    <row r="2557">
      <c r="A2557" s="54"/>
      <c r="G2557" s="55"/>
      <c r="U2557" s="56"/>
      <c r="X2557" s="57"/>
    </row>
    <row r="2558">
      <c r="A2558" s="54"/>
      <c r="G2558" s="55"/>
      <c r="U2558" s="56"/>
      <c r="X2558" s="57"/>
    </row>
    <row r="2559">
      <c r="A2559" s="54"/>
      <c r="G2559" s="55"/>
      <c r="U2559" s="56"/>
      <c r="X2559" s="57"/>
    </row>
    <row r="2560">
      <c r="A2560" s="54"/>
      <c r="G2560" s="55"/>
      <c r="U2560" s="56"/>
      <c r="X2560" s="57"/>
    </row>
    <row r="2561">
      <c r="A2561" s="54"/>
      <c r="G2561" s="55"/>
      <c r="U2561" s="56"/>
      <c r="X2561" s="57"/>
    </row>
    <row r="2562">
      <c r="A2562" s="54"/>
      <c r="G2562" s="55"/>
      <c r="U2562" s="56"/>
      <c r="X2562" s="57"/>
    </row>
    <row r="2563">
      <c r="A2563" s="54"/>
      <c r="G2563" s="55"/>
      <c r="U2563" s="56"/>
      <c r="X2563" s="57"/>
    </row>
    <row r="2564">
      <c r="A2564" s="54"/>
      <c r="G2564" s="55"/>
      <c r="U2564" s="56"/>
      <c r="X2564" s="57"/>
    </row>
    <row r="2565">
      <c r="A2565" s="54"/>
      <c r="G2565" s="55"/>
      <c r="U2565" s="56"/>
      <c r="X2565" s="57"/>
    </row>
    <row r="2566">
      <c r="A2566" s="54"/>
      <c r="G2566" s="55"/>
      <c r="U2566" s="56"/>
      <c r="X2566" s="57"/>
    </row>
    <row r="2567">
      <c r="A2567" s="54"/>
      <c r="G2567" s="55"/>
      <c r="U2567" s="56"/>
      <c r="X2567" s="57"/>
    </row>
    <row r="2568">
      <c r="A2568" s="54"/>
      <c r="G2568" s="55"/>
      <c r="U2568" s="56"/>
      <c r="X2568" s="57"/>
    </row>
    <row r="2569">
      <c r="A2569" s="54"/>
      <c r="G2569" s="55"/>
      <c r="U2569" s="56"/>
      <c r="X2569" s="57"/>
    </row>
    <row r="2570">
      <c r="A2570" s="54"/>
      <c r="G2570" s="55"/>
      <c r="U2570" s="56"/>
      <c r="X2570" s="57"/>
    </row>
    <row r="2571">
      <c r="A2571" s="54"/>
      <c r="G2571" s="55"/>
      <c r="U2571" s="56"/>
      <c r="X2571" s="57"/>
    </row>
    <row r="2572">
      <c r="A2572" s="54"/>
      <c r="G2572" s="55"/>
      <c r="U2572" s="56"/>
      <c r="X2572" s="57"/>
    </row>
    <row r="2573">
      <c r="A2573" s="54"/>
      <c r="G2573" s="55"/>
      <c r="U2573" s="56"/>
      <c r="X2573" s="57"/>
    </row>
    <row r="2574">
      <c r="A2574" s="54"/>
      <c r="G2574" s="55"/>
      <c r="U2574" s="56"/>
      <c r="X2574" s="57"/>
    </row>
    <row r="2575">
      <c r="A2575" s="54"/>
      <c r="G2575" s="55"/>
      <c r="U2575" s="56"/>
      <c r="X2575" s="57"/>
    </row>
    <row r="2576">
      <c r="A2576" s="54"/>
      <c r="G2576" s="55"/>
      <c r="U2576" s="56"/>
      <c r="X2576" s="57"/>
    </row>
    <row r="2577">
      <c r="A2577" s="54"/>
      <c r="G2577" s="55"/>
      <c r="U2577" s="56"/>
      <c r="X2577" s="57"/>
    </row>
    <row r="2578">
      <c r="A2578" s="54"/>
      <c r="G2578" s="55"/>
      <c r="U2578" s="56"/>
      <c r="X2578" s="57"/>
    </row>
    <row r="2579">
      <c r="A2579" s="54"/>
      <c r="G2579" s="55"/>
      <c r="U2579" s="56"/>
      <c r="X2579" s="57"/>
    </row>
    <row r="2580">
      <c r="A2580" s="54"/>
      <c r="G2580" s="55"/>
      <c r="U2580" s="56"/>
      <c r="X2580" s="57"/>
    </row>
    <row r="2581">
      <c r="A2581" s="54"/>
      <c r="G2581" s="55"/>
      <c r="U2581" s="56"/>
      <c r="X2581" s="57"/>
    </row>
    <row r="2582">
      <c r="A2582" s="54"/>
      <c r="G2582" s="55"/>
      <c r="U2582" s="56"/>
      <c r="X2582" s="57"/>
    </row>
    <row r="2583">
      <c r="A2583" s="54"/>
      <c r="G2583" s="55"/>
      <c r="U2583" s="56"/>
      <c r="X2583" s="57"/>
    </row>
    <row r="2584">
      <c r="A2584" s="54"/>
      <c r="G2584" s="55"/>
      <c r="U2584" s="56"/>
      <c r="X2584" s="57"/>
    </row>
    <row r="2585">
      <c r="A2585" s="54"/>
      <c r="G2585" s="55"/>
      <c r="U2585" s="56"/>
      <c r="X2585" s="57"/>
    </row>
    <row r="2586">
      <c r="A2586" s="54"/>
      <c r="G2586" s="55"/>
      <c r="U2586" s="56"/>
      <c r="X2586" s="57"/>
    </row>
    <row r="2587">
      <c r="A2587" s="54"/>
      <c r="G2587" s="55"/>
      <c r="U2587" s="56"/>
      <c r="X2587" s="57"/>
    </row>
    <row r="2588">
      <c r="A2588" s="54"/>
      <c r="G2588" s="55"/>
      <c r="U2588" s="56"/>
      <c r="X2588" s="57"/>
    </row>
    <row r="2589">
      <c r="A2589" s="54"/>
      <c r="G2589" s="55"/>
      <c r="U2589" s="56"/>
      <c r="X2589" s="57"/>
    </row>
    <row r="2590">
      <c r="A2590" s="54"/>
      <c r="G2590" s="55"/>
      <c r="U2590" s="56"/>
      <c r="X2590" s="57"/>
    </row>
    <row r="2591">
      <c r="A2591" s="54"/>
      <c r="G2591" s="55"/>
      <c r="U2591" s="56"/>
      <c r="X2591" s="57"/>
    </row>
    <row r="2592">
      <c r="A2592" s="54"/>
      <c r="G2592" s="55"/>
      <c r="U2592" s="56"/>
      <c r="X2592" s="57"/>
    </row>
    <row r="2593">
      <c r="A2593" s="54"/>
      <c r="G2593" s="55"/>
      <c r="U2593" s="56"/>
      <c r="X2593" s="57"/>
    </row>
    <row r="2594">
      <c r="A2594" s="54"/>
      <c r="G2594" s="55"/>
      <c r="U2594" s="56"/>
      <c r="X2594" s="57"/>
    </row>
    <row r="2595">
      <c r="A2595" s="54"/>
      <c r="G2595" s="55"/>
      <c r="U2595" s="56"/>
      <c r="X2595" s="57"/>
    </row>
    <row r="2596">
      <c r="A2596" s="54"/>
      <c r="G2596" s="55"/>
      <c r="U2596" s="56"/>
      <c r="X2596" s="57"/>
    </row>
    <row r="2597">
      <c r="A2597" s="54"/>
      <c r="G2597" s="55"/>
      <c r="U2597" s="56"/>
      <c r="X2597" s="57"/>
    </row>
    <row r="2598">
      <c r="A2598" s="54"/>
      <c r="G2598" s="55"/>
      <c r="U2598" s="56"/>
      <c r="X2598" s="57"/>
    </row>
    <row r="2599">
      <c r="A2599" s="54"/>
      <c r="G2599" s="55"/>
      <c r="U2599" s="56"/>
      <c r="X2599" s="57"/>
    </row>
    <row r="2600">
      <c r="A2600" s="54"/>
      <c r="G2600" s="55"/>
      <c r="U2600" s="56"/>
      <c r="X2600" s="57"/>
    </row>
    <row r="2601">
      <c r="A2601" s="54"/>
      <c r="G2601" s="55"/>
      <c r="U2601" s="56"/>
      <c r="X2601" s="57"/>
    </row>
    <row r="2602">
      <c r="A2602" s="54"/>
      <c r="G2602" s="55"/>
      <c r="U2602" s="56"/>
      <c r="X2602" s="57"/>
    </row>
    <row r="2603">
      <c r="A2603" s="54"/>
      <c r="G2603" s="55"/>
      <c r="U2603" s="56"/>
      <c r="X2603" s="57"/>
    </row>
    <row r="2604">
      <c r="A2604" s="54"/>
      <c r="G2604" s="55"/>
      <c r="U2604" s="56"/>
      <c r="X2604" s="57"/>
    </row>
    <row r="2605">
      <c r="A2605" s="54"/>
      <c r="G2605" s="55"/>
      <c r="U2605" s="56"/>
      <c r="X2605" s="57"/>
    </row>
    <row r="2606">
      <c r="A2606" s="54"/>
      <c r="G2606" s="55"/>
      <c r="U2606" s="56"/>
      <c r="X2606" s="57"/>
    </row>
    <row r="2607">
      <c r="A2607" s="54"/>
      <c r="G2607" s="55"/>
      <c r="U2607" s="56"/>
      <c r="X2607" s="57"/>
    </row>
    <row r="2608">
      <c r="A2608" s="54"/>
      <c r="G2608" s="55"/>
      <c r="U2608" s="56"/>
      <c r="X2608" s="57"/>
    </row>
    <row r="2609">
      <c r="A2609" s="54"/>
      <c r="G2609" s="55"/>
      <c r="U2609" s="56"/>
      <c r="X2609" s="57"/>
    </row>
    <row r="2610">
      <c r="A2610" s="54"/>
      <c r="G2610" s="55"/>
      <c r="U2610" s="56"/>
      <c r="X2610" s="57"/>
    </row>
    <row r="2611">
      <c r="A2611" s="54"/>
      <c r="G2611" s="55"/>
      <c r="U2611" s="56"/>
      <c r="X2611" s="57"/>
    </row>
    <row r="2612">
      <c r="A2612" s="54"/>
      <c r="G2612" s="55"/>
      <c r="U2612" s="56"/>
      <c r="X2612" s="57"/>
    </row>
    <row r="2613">
      <c r="A2613" s="54"/>
      <c r="G2613" s="55"/>
      <c r="U2613" s="56"/>
      <c r="X2613" s="57"/>
    </row>
    <row r="2614">
      <c r="A2614" s="54"/>
      <c r="G2614" s="55"/>
      <c r="U2614" s="56"/>
      <c r="X2614" s="57"/>
    </row>
    <row r="2615">
      <c r="A2615" s="54"/>
      <c r="G2615" s="55"/>
      <c r="U2615" s="56"/>
      <c r="X2615" s="57"/>
    </row>
    <row r="2616">
      <c r="A2616" s="54"/>
      <c r="G2616" s="55"/>
      <c r="U2616" s="56"/>
      <c r="X2616" s="57"/>
    </row>
    <row r="2617">
      <c r="A2617" s="54"/>
      <c r="G2617" s="55"/>
      <c r="U2617" s="56"/>
      <c r="X2617" s="57"/>
    </row>
    <row r="2618">
      <c r="A2618" s="54"/>
      <c r="G2618" s="55"/>
      <c r="U2618" s="56"/>
      <c r="X2618" s="57"/>
    </row>
    <row r="2619">
      <c r="A2619" s="54"/>
      <c r="G2619" s="55"/>
      <c r="U2619" s="56"/>
      <c r="X2619" s="57"/>
    </row>
    <row r="2620">
      <c r="A2620" s="54"/>
      <c r="G2620" s="55"/>
      <c r="U2620" s="56"/>
      <c r="X2620" s="57"/>
    </row>
    <row r="2621">
      <c r="A2621" s="54"/>
      <c r="G2621" s="55"/>
      <c r="U2621" s="56"/>
      <c r="X2621" s="57"/>
    </row>
    <row r="2622">
      <c r="A2622" s="54"/>
      <c r="G2622" s="55"/>
      <c r="U2622" s="56"/>
      <c r="X2622" s="57"/>
    </row>
    <row r="2623">
      <c r="A2623" s="54"/>
      <c r="G2623" s="55"/>
      <c r="U2623" s="56"/>
      <c r="X2623" s="57"/>
    </row>
    <row r="2624">
      <c r="A2624" s="54"/>
      <c r="G2624" s="55"/>
      <c r="U2624" s="56"/>
      <c r="X2624" s="57"/>
    </row>
    <row r="2625">
      <c r="A2625" s="54"/>
      <c r="G2625" s="55"/>
      <c r="U2625" s="56"/>
      <c r="X2625" s="57"/>
    </row>
    <row r="2626">
      <c r="A2626" s="54"/>
      <c r="G2626" s="55"/>
      <c r="U2626" s="56"/>
      <c r="X2626" s="57"/>
    </row>
    <row r="2627">
      <c r="A2627" s="54"/>
      <c r="G2627" s="55"/>
      <c r="U2627" s="56"/>
      <c r="X2627" s="57"/>
    </row>
    <row r="2628">
      <c r="A2628" s="54"/>
      <c r="G2628" s="55"/>
      <c r="U2628" s="56"/>
      <c r="X2628" s="57"/>
    </row>
    <row r="2629">
      <c r="A2629" s="54"/>
      <c r="G2629" s="55"/>
      <c r="U2629" s="56"/>
      <c r="X2629" s="57"/>
    </row>
    <row r="2630">
      <c r="A2630" s="54"/>
      <c r="G2630" s="55"/>
      <c r="U2630" s="56"/>
      <c r="X2630" s="57"/>
    </row>
    <row r="2631">
      <c r="A2631" s="54"/>
      <c r="G2631" s="55"/>
      <c r="U2631" s="56"/>
      <c r="X2631" s="57"/>
    </row>
    <row r="2632">
      <c r="A2632" s="54"/>
      <c r="G2632" s="55"/>
      <c r="U2632" s="56"/>
      <c r="X2632" s="57"/>
    </row>
    <row r="2633">
      <c r="A2633" s="54"/>
      <c r="G2633" s="55"/>
      <c r="U2633" s="56"/>
      <c r="X2633" s="57"/>
    </row>
    <row r="2634">
      <c r="A2634" s="54"/>
      <c r="G2634" s="55"/>
      <c r="U2634" s="56"/>
      <c r="X2634" s="57"/>
    </row>
    <row r="2635">
      <c r="A2635" s="54"/>
      <c r="G2635" s="55"/>
      <c r="U2635" s="56"/>
      <c r="X2635" s="57"/>
    </row>
    <row r="2636">
      <c r="A2636" s="54"/>
      <c r="G2636" s="55"/>
      <c r="U2636" s="56"/>
      <c r="X2636" s="57"/>
    </row>
    <row r="2637">
      <c r="A2637" s="54"/>
      <c r="G2637" s="55"/>
      <c r="U2637" s="56"/>
      <c r="X2637" s="57"/>
    </row>
    <row r="2638">
      <c r="A2638" s="54"/>
      <c r="G2638" s="55"/>
      <c r="U2638" s="56"/>
      <c r="X2638" s="57"/>
    </row>
    <row r="2639">
      <c r="A2639" s="54"/>
      <c r="G2639" s="55"/>
      <c r="U2639" s="56"/>
      <c r="X2639" s="57"/>
    </row>
    <row r="2640">
      <c r="A2640" s="54"/>
      <c r="G2640" s="55"/>
      <c r="U2640" s="56"/>
      <c r="X2640" s="57"/>
    </row>
    <row r="2641">
      <c r="A2641" s="54"/>
      <c r="G2641" s="55"/>
      <c r="U2641" s="56"/>
      <c r="X2641" s="57"/>
    </row>
    <row r="2642">
      <c r="A2642" s="54"/>
      <c r="G2642" s="55"/>
      <c r="U2642" s="56"/>
      <c r="X2642" s="57"/>
    </row>
    <row r="2643">
      <c r="A2643" s="54"/>
      <c r="G2643" s="55"/>
      <c r="U2643" s="56"/>
      <c r="X2643" s="57"/>
    </row>
    <row r="2644">
      <c r="A2644" s="54"/>
      <c r="G2644" s="55"/>
      <c r="U2644" s="56"/>
      <c r="X2644" s="57"/>
    </row>
    <row r="2645">
      <c r="A2645" s="54"/>
      <c r="G2645" s="55"/>
      <c r="U2645" s="56"/>
      <c r="X2645" s="57"/>
    </row>
    <row r="2646">
      <c r="A2646" s="54"/>
      <c r="G2646" s="55"/>
      <c r="U2646" s="56"/>
      <c r="X2646" s="57"/>
    </row>
    <row r="2647">
      <c r="A2647" s="54"/>
      <c r="G2647" s="55"/>
      <c r="U2647" s="56"/>
      <c r="X2647" s="57"/>
    </row>
    <row r="2648">
      <c r="A2648" s="54"/>
      <c r="G2648" s="55"/>
      <c r="U2648" s="56"/>
      <c r="X2648" s="57"/>
    </row>
    <row r="2649">
      <c r="A2649" s="54"/>
      <c r="G2649" s="55"/>
      <c r="U2649" s="56"/>
      <c r="X2649" s="57"/>
    </row>
    <row r="2650">
      <c r="A2650" s="54"/>
      <c r="G2650" s="55"/>
      <c r="U2650" s="56"/>
      <c r="X2650" s="57"/>
    </row>
    <row r="2651">
      <c r="A2651" s="54"/>
      <c r="G2651" s="55"/>
      <c r="U2651" s="56"/>
      <c r="X2651" s="57"/>
    </row>
    <row r="2652">
      <c r="A2652" s="54"/>
      <c r="G2652" s="55"/>
      <c r="U2652" s="56"/>
      <c r="X2652" s="57"/>
    </row>
    <row r="2653">
      <c r="A2653" s="54"/>
      <c r="G2653" s="55"/>
      <c r="U2653" s="56"/>
      <c r="X2653" s="57"/>
    </row>
    <row r="2654">
      <c r="A2654" s="54"/>
      <c r="G2654" s="55"/>
      <c r="U2654" s="56"/>
      <c r="X2654" s="57"/>
    </row>
    <row r="2655">
      <c r="A2655" s="54"/>
      <c r="G2655" s="55"/>
      <c r="U2655" s="56"/>
      <c r="X2655" s="57"/>
    </row>
    <row r="2656">
      <c r="A2656" s="54"/>
      <c r="G2656" s="55"/>
      <c r="U2656" s="56"/>
      <c r="X2656" s="57"/>
    </row>
    <row r="2657">
      <c r="A2657" s="54"/>
      <c r="G2657" s="55"/>
      <c r="U2657" s="56"/>
      <c r="X2657" s="57"/>
    </row>
    <row r="2658">
      <c r="A2658" s="54"/>
      <c r="G2658" s="55"/>
      <c r="U2658" s="56"/>
      <c r="X2658" s="57"/>
    </row>
    <row r="2659">
      <c r="A2659" s="54"/>
      <c r="G2659" s="55"/>
      <c r="U2659" s="56"/>
      <c r="X2659" s="57"/>
    </row>
    <row r="2660">
      <c r="A2660" s="54"/>
      <c r="G2660" s="55"/>
      <c r="U2660" s="56"/>
      <c r="X2660" s="57"/>
    </row>
    <row r="2661">
      <c r="A2661" s="54"/>
      <c r="G2661" s="55"/>
      <c r="U2661" s="56"/>
      <c r="X2661" s="57"/>
    </row>
    <row r="2662">
      <c r="A2662" s="54"/>
      <c r="G2662" s="55"/>
      <c r="U2662" s="56"/>
      <c r="X2662" s="57"/>
    </row>
    <row r="2663">
      <c r="A2663" s="54"/>
      <c r="G2663" s="55"/>
      <c r="U2663" s="56"/>
      <c r="X2663" s="57"/>
    </row>
    <row r="2664">
      <c r="A2664" s="54"/>
      <c r="G2664" s="55"/>
      <c r="U2664" s="56"/>
      <c r="X2664" s="57"/>
    </row>
    <row r="2665">
      <c r="A2665" s="54"/>
      <c r="G2665" s="55"/>
      <c r="U2665" s="56"/>
      <c r="X2665" s="57"/>
    </row>
    <row r="2666">
      <c r="A2666" s="54"/>
      <c r="G2666" s="55"/>
      <c r="U2666" s="56"/>
      <c r="X2666" s="57"/>
    </row>
    <row r="2667">
      <c r="A2667" s="54"/>
      <c r="G2667" s="55"/>
      <c r="U2667" s="56"/>
      <c r="X2667" s="57"/>
    </row>
    <row r="2668">
      <c r="A2668" s="54"/>
      <c r="G2668" s="55"/>
      <c r="U2668" s="56"/>
      <c r="X2668" s="57"/>
    </row>
    <row r="2669">
      <c r="A2669" s="54"/>
      <c r="G2669" s="55"/>
      <c r="U2669" s="56"/>
      <c r="X2669" s="57"/>
    </row>
    <row r="2670">
      <c r="A2670" s="54"/>
      <c r="G2670" s="55"/>
      <c r="U2670" s="56"/>
      <c r="X2670" s="57"/>
    </row>
    <row r="2671">
      <c r="A2671" s="54"/>
      <c r="G2671" s="55"/>
      <c r="U2671" s="56"/>
      <c r="X2671" s="57"/>
    </row>
    <row r="2672">
      <c r="A2672" s="54"/>
      <c r="G2672" s="55"/>
      <c r="U2672" s="56"/>
      <c r="X2672" s="57"/>
    </row>
    <row r="2673">
      <c r="A2673" s="54"/>
      <c r="G2673" s="55"/>
      <c r="U2673" s="56"/>
      <c r="X2673" s="57"/>
    </row>
    <row r="2674">
      <c r="A2674" s="54"/>
      <c r="G2674" s="55"/>
      <c r="U2674" s="56"/>
      <c r="X2674" s="57"/>
    </row>
    <row r="2675">
      <c r="A2675" s="54"/>
      <c r="G2675" s="55"/>
      <c r="U2675" s="56"/>
      <c r="X2675" s="57"/>
    </row>
    <row r="2676">
      <c r="A2676" s="54"/>
      <c r="G2676" s="55"/>
      <c r="U2676" s="56"/>
      <c r="X2676" s="57"/>
    </row>
    <row r="2677">
      <c r="A2677" s="54"/>
      <c r="G2677" s="55"/>
      <c r="U2677" s="56"/>
      <c r="X2677" s="57"/>
    </row>
    <row r="2678">
      <c r="A2678" s="54"/>
      <c r="G2678" s="55"/>
      <c r="U2678" s="56"/>
      <c r="X2678" s="57"/>
    </row>
    <row r="2679">
      <c r="A2679" s="54"/>
      <c r="G2679" s="55"/>
      <c r="U2679" s="56"/>
      <c r="X2679" s="57"/>
    </row>
    <row r="2680">
      <c r="A2680" s="54"/>
      <c r="G2680" s="55"/>
      <c r="U2680" s="56"/>
      <c r="X2680" s="57"/>
    </row>
    <row r="2681">
      <c r="A2681" s="54"/>
      <c r="G2681" s="55"/>
      <c r="U2681" s="56"/>
      <c r="X2681" s="57"/>
    </row>
    <row r="2682">
      <c r="A2682" s="54"/>
      <c r="G2682" s="55"/>
      <c r="U2682" s="56"/>
      <c r="X2682" s="57"/>
    </row>
    <row r="2683">
      <c r="A2683" s="54"/>
      <c r="G2683" s="55"/>
      <c r="U2683" s="56"/>
      <c r="X2683" s="57"/>
    </row>
    <row r="2684">
      <c r="A2684" s="54"/>
      <c r="G2684" s="55"/>
      <c r="U2684" s="56"/>
      <c r="X2684" s="57"/>
    </row>
    <row r="2685">
      <c r="A2685" s="54"/>
      <c r="G2685" s="55"/>
      <c r="U2685" s="56"/>
      <c r="X2685" s="57"/>
    </row>
    <row r="2686">
      <c r="A2686" s="54"/>
      <c r="G2686" s="55"/>
      <c r="U2686" s="56"/>
      <c r="X2686" s="57"/>
    </row>
    <row r="2687">
      <c r="A2687" s="54"/>
      <c r="G2687" s="55"/>
      <c r="U2687" s="56"/>
      <c r="X2687" s="57"/>
    </row>
    <row r="2688">
      <c r="A2688" s="54"/>
      <c r="G2688" s="55"/>
      <c r="U2688" s="56"/>
      <c r="X2688" s="57"/>
    </row>
    <row r="2689">
      <c r="A2689" s="54"/>
      <c r="G2689" s="55"/>
      <c r="U2689" s="56"/>
      <c r="X2689" s="57"/>
    </row>
    <row r="2690">
      <c r="A2690" s="54"/>
      <c r="G2690" s="55"/>
      <c r="U2690" s="56"/>
      <c r="X2690" s="57"/>
    </row>
    <row r="2691">
      <c r="A2691" s="54"/>
      <c r="G2691" s="55"/>
      <c r="U2691" s="56"/>
      <c r="X2691" s="57"/>
    </row>
    <row r="2692">
      <c r="A2692" s="54"/>
      <c r="G2692" s="55"/>
      <c r="U2692" s="56"/>
      <c r="X2692" s="57"/>
    </row>
    <row r="2693">
      <c r="A2693" s="54"/>
      <c r="G2693" s="55"/>
      <c r="U2693" s="56"/>
      <c r="X2693" s="57"/>
    </row>
    <row r="2694">
      <c r="A2694" s="54"/>
      <c r="G2694" s="55"/>
      <c r="U2694" s="56"/>
      <c r="X2694" s="57"/>
    </row>
    <row r="2695">
      <c r="A2695" s="54"/>
      <c r="G2695" s="55"/>
      <c r="U2695" s="56"/>
      <c r="X2695" s="57"/>
    </row>
    <row r="2696">
      <c r="A2696" s="54"/>
      <c r="G2696" s="55"/>
      <c r="U2696" s="56"/>
      <c r="X2696" s="57"/>
    </row>
    <row r="2697">
      <c r="A2697" s="54"/>
      <c r="G2697" s="55"/>
      <c r="U2697" s="56"/>
      <c r="X2697" s="57"/>
    </row>
    <row r="2698">
      <c r="A2698" s="54"/>
      <c r="G2698" s="55"/>
      <c r="U2698" s="56"/>
      <c r="X2698" s="57"/>
    </row>
    <row r="2699">
      <c r="A2699" s="54"/>
      <c r="G2699" s="55"/>
      <c r="U2699" s="56"/>
      <c r="X2699" s="57"/>
    </row>
    <row r="2700">
      <c r="A2700" s="54"/>
      <c r="G2700" s="55"/>
      <c r="U2700" s="56"/>
      <c r="X2700" s="57"/>
    </row>
    <row r="2701">
      <c r="A2701" s="54"/>
      <c r="G2701" s="55"/>
      <c r="U2701" s="56"/>
      <c r="X2701" s="57"/>
    </row>
    <row r="2702">
      <c r="A2702" s="54"/>
      <c r="G2702" s="55"/>
      <c r="U2702" s="56"/>
      <c r="X2702" s="57"/>
    </row>
    <row r="2703">
      <c r="A2703" s="54"/>
      <c r="G2703" s="55"/>
      <c r="U2703" s="56"/>
      <c r="X2703" s="57"/>
    </row>
    <row r="2704">
      <c r="A2704" s="54"/>
      <c r="G2704" s="55"/>
      <c r="U2704" s="56"/>
      <c r="X2704" s="57"/>
    </row>
    <row r="2705">
      <c r="A2705" s="54"/>
      <c r="G2705" s="55"/>
      <c r="U2705" s="56"/>
      <c r="X2705" s="57"/>
    </row>
    <row r="2706">
      <c r="A2706" s="54"/>
      <c r="G2706" s="55"/>
      <c r="U2706" s="56"/>
      <c r="X2706" s="57"/>
    </row>
    <row r="2707">
      <c r="A2707" s="54"/>
      <c r="G2707" s="55"/>
      <c r="U2707" s="56"/>
      <c r="X2707" s="57"/>
    </row>
    <row r="2708">
      <c r="A2708" s="54"/>
      <c r="G2708" s="55"/>
      <c r="U2708" s="56"/>
      <c r="X2708" s="57"/>
    </row>
    <row r="2709">
      <c r="A2709" s="54"/>
      <c r="G2709" s="55"/>
      <c r="U2709" s="56"/>
      <c r="X2709" s="57"/>
    </row>
    <row r="2710">
      <c r="A2710" s="54"/>
      <c r="G2710" s="55"/>
      <c r="U2710" s="56"/>
      <c r="X2710" s="57"/>
    </row>
    <row r="2711">
      <c r="A2711" s="54"/>
      <c r="G2711" s="55"/>
      <c r="U2711" s="56"/>
      <c r="X2711" s="57"/>
    </row>
    <row r="2712">
      <c r="A2712" s="54"/>
      <c r="G2712" s="55"/>
      <c r="U2712" s="56"/>
      <c r="X2712" s="57"/>
    </row>
    <row r="2713">
      <c r="A2713" s="54"/>
      <c r="G2713" s="55"/>
      <c r="U2713" s="56"/>
      <c r="X2713" s="57"/>
    </row>
    <row r="2714">
      <c r="A2714" s="54"/>
      <c r="G2714" s="55"/>
      <c r="U2714" s="56"/>
      <c r="X2714" s="57"/>
    </row>
    <row r="2715">
      <c r="A2715" s="54"/>
      <c r="G2715" s="55"/>
      <c r="U2715" s="56"/>
      <c r="X2715" s="57"/>
    </row>
    <row r="2716">
      <c r="A2716" s="54"/>
      <c r="G2716" s="55"/>
      <c r="U2716" s="56"/>
      <c r="X2716" s="57"/>
    </row>
    <row r="2717">
      <c r="A2717" s="54"/>
      <c r="G2717" s="55"/>
      <c r="U2717" s="56"/>
      <c r="X2717" s="57"/>
    </row>
    <row r="2718">
      <c r="A2718" s="54"/>
      <c r="G2718" s="55"/>
      <c r="U2718" s="56"/>
      <c r="X2718" s="57"/>
    </row>
    <row r="2719">
      <c r="A2719" s="54"/>
      <c r="G2719" s="55"/>
      <c r="U2719" s="56"/>
      <c r="X2719" s="57"/>
    </row>
    <row r="2720">
      <c r="A2720" s="54"/>
      <c r="G2720" s="55"/>
      <c r="U2720" s="56"/>
      <c r="X2720" s="57"/>
    </row>
    <row r="2721">
      <c r="A2721" s="54"/>
      <c r="G2721" s="55"/>
      <c r="U2721" s="56"/>
      <c r="X2721" s="57"/>
    </row>
    <row r="2722">
      <c r="A2722" s="54"/>
      <c r="G2722" s="55"/>
      <c r="U2722" s="56"/>
      <c r="X2722" s="57"/>
    </row>
    <row r="2723">
      <c r="A2723" s="54"/>
      <c r="G2723" s="55"/>
      <c r="U2723" s="56"/>
      <c r="X2723" s="57"/>
    </row>
    <row r="2724">
      <c r="A2724" s="54"/>
      <c r="G2724" s="55"/>
      <c r="U2724" s="56"/>
      <c r="X2724" s="57"/>
    </row>
    <row r="2725">
      <c r="A2725" s="54"/>
      <c r="G2725" s="55"/>
      <c r="U2725" s="56"/>
      <c r="X2725" s="57"/>
    </row>
    <row r="2726">
      <c r="A2726" s="54"/>
      <c r="G2726" s="55"/>
      <c r="U2726" s="56"/>
      <c r="X2726" s="57"/>
    </row>
    <row r="2727">
      <c r="A2727" s="54"/>
      <c r="G2727" s="55"/>
      <c r="U2727" s="56"/>
      <c r="X2727" s="57"/>
    </row>
    <row r="2728">
      <c r="A2728" s="54"/>
      <c r="G2728" s="55"/>
      <c r="U2728" s="56"/>
      <c r="X2728" s="57"/>
    </row>
    <row r="2729">
      <c r="A2729" s="54"/>
      <c r="G2729" s="55"/>
      <c r="U2729" s="56"/>
      <c r="X2729" s="57"/>
    </row>
    <row r="2730">
      <c r="A2730" s="54"/>
      <c r="G2730" s="55"/>
      <c r="U2730" s="56"/>
      <c r="X2730" s="57"/>
    </row>
    <row r="2731">
      <c r="A2731" s="54"/>
      <c r="G2731" s="55"/>
      <c r="U2731" s="56"/>
      <c r="X2731" s="57"/>
    </row>
    <row r="2732">
      <c r="A2732" s="54"/>
      <c r="G2732" s="55"/>
      <c r="U2732" s="56"/>
      <c r="X2732" s="57"/>
    </row>
    <row r="2733">
      <c r="A2733" s="54"/>
      <c r="G2733" s="55"/>
      <c r="U2733" s="56"/>
      <c r="X2733" s="57"/>
    </row>
    <row r="2734">
      <c r="A2734" s="54"/>
      <c r="G2734" s="55"/>
      <c r="U2734" s="56"/>
      <c r="X2734" s="57"/>
    </row>
    <row r="2735">
      <c r="A2735" s="54"/>
      <c r="G2735" s="55"/>
      <c r="U2735" s="56"/>
      <c r="X2735" s="57"/>
    </row>
    <row r="2736">
      <c r="A2736" s="54"/>
      <c r="G2736" s="55"/>
      <c r="U2736" s="56"/>
      <c r="X2736" s="57"/>
    </row>
    <row r="2737">
      <c r="A2737" s="54"/>
      <c r="G2737" s="55"/>
      <c r="U2737" s="56"/>
      <c r="X2737" s="57"/>
    </row>
    <row r="2738">
      <c r="A2738" s="54"/>
      <c r="G2738" s="55"/>
      <c r="U2738" s="56"/>
      <c r="X2738" s="57"/>
    </row>
    <row r="2739">
      <c r="A2739" s="54"/>
      <c r="G2739" s="55"/>
      <c r="U2739" s="56"/>
      <c r="X2739" s="57"/>
    </row>
    <row r="2740">
      <c r="A2740" s="54"/>
      <c r="G2740" s="55"/>
      <c r="U2740" s="56"/>
      <c r="X2740" s="57"/>
    </row>
    <row r="2741">
      <c r="A2741" s="54"/>
      <c r="G2741" s="55"/>
      <c r="U2741" s="56"/>
      <c r="X2741" s="57"/>
    </row>
    <row r="2742">
      <c r="A2742" s="54"/>
      <c r="G2742" s="55"/>
      <c r="U2742" s="56"/>
      <c r="X2742" s="57"/>
    </row>
    <row r="2743">
      <c r="A2743" s="54"/>
      <c r="G2743" s="55"/>
      <c r="U2743" s="56"/>
      <c r="X2743" s="57"/>
    </row>
    <row r="2744">
      <c r="A2744" s="54"/>
      <c r="G2744" s="55"/>
      <c r="U2744" s="56"/>
      <c r="X2744" s="57"/>
    </row>
    <row r="2745">
      <c r="A2745" s="54"/>
      <c r="G2745" s="55"/>
      <c r="U2745" s="56"/>
      <c r="X2745" s="57"/>
    </row>
    <row r="2746">
      <c r="A2746" s="54"/>
      <c r="G2746" s="55"/>
      <c r="U2746" s="56"/>
      <c r="X2746" s="57"/>
    </row>
    <row r="2747">
      <c r="A2747" s="54"/>
      <c r="G2747" s="55"/>
      <c r="U2747" s="56"/>
      <c r="X2747" s="57"/>
    </row>
    <row r="2748">
      <c r="A2748" s="54"/>
      <c r="G2748" s="55"/>
      <c r="U2748" s="56"/>
      <c r="X2748" s="57"/>
    </row>
    <row r="2749">
      <c r="A2749" s="54"/>
      <c r="G2749" s="55"/>
      <c r="U2749" s="56"/>
      <c r="X2749" s="57"/>
    </row>
    <row r="2750">
      <c r="A2750" s="54"/>
      <c r="G2750" s="55"/>
      <c r="U2750" s="56"/>
      <c r="X2750" s="57"/>
    </row>
    <row r="2751">
      <c r="A2751" s="54"/>
      <c r="G2751" s="55"/>
      <c r="U2751" s="56"/>
      <c r="X2751" s="57"/>
    </row>
    <row r="2752">
      <c r="A2752" s="54"/>
      <c r="G2752" s="55"/>
      <c r="U2752" s="56"/>
      <c r="X2752" s="57"/>
    </row>
    <row r="2753">
      <c r="A2753" s="54"/>
      <c r="G2753" s="55"/>
      <c r="U2753" s="56"/>
      <c r="X2753" s="57"/>
    </row>
    <row r="2754">
      <c r="A2754" s="54"/>
      <c r="G2754" s="55"/>
      <c r="U2754" s="56"/>
      <c r="X2754" s="57"/>
    </row>
    <row r="2755">
      <c r="A2755" s="54"/>
      <c r="G2755" s="55"/>
      <c r="U2755" s="56"/>
      <c r="X2755" s="57"/>
    </row>
    <row r="2756">
      <c r="A2756" s="54"/>
      <c r="G2756" s="55"/>
      <c r="U2756" s="56"/>
      <c r="X2756" s="57"/>
    </row>
    <row r="2757">
      <c r="A2757" s="54"/>
      <c r="G2757" s="55"/>
      <c r="U2757" s="56"/>
      <c r="X2757" s="57"/>
    </row>
    <row r="2758">
      <c r="A2758" s="54"/>
      <c r="G2758" s="55"/>
      <c r="U2758" s="56"/>
      <c r="X2758" s="57"/>
    </row>
    <row r="2759">
      <c r="A2759" s="54"/>
      <c r="G2759" s="55"/>
      <c r="U2759" s="56"/>
      <c r="X2759" s="57"/>
    </row>
    <row r="2760">
      <c r="A2760" s="54"/>
      <c r="G2760" s="55"/>
      <c r="U2760" s="56"/>
      <c r="X2760" s="57"/>
    </row>
    <row r="2761">
      <c r="A2761" s="54"/>
      <c r="G2761" s="55"/>
      <c r="U2761" s="56"/>
      <c r="X2761" s="57"/>
    </row>
    <row r="2762">
      <c r="A2762" s="54"/>
      <c r="G2762" s="55"/>
      <c r="U2762" s="56"/>
      <c r="X2762" s="57"/>
    </row>
    <row r="2763">
      <c r="A2763" s="54"/>
      <c r="G2763" s="55"/>
      <c r="U2763" s="56"/>
      <c r="X2763" s="57"/>
    </row>
    <row r="2764">
      <c r="A2764" s="54"/>
      <c r="G2764" s="55"/>
      <c r="U2764" s="56"/>
      <c r="X2764" s="57"/>
    </row>
    <row r="2765">
      <c r="A2765" s="54"/>
      <c r="G2765" s="55"/>
      <c r="U2765" s="56"/>
      <c r="X2765" s="57"/>
    </row>
    <row r="2766">
      <c r="A2766" s="54"/>
      <c r="G2766" s="55"/>
      <c r="U2766" s="56"/>
      <c r="X2766" s="57"/>
    </row>
    <row r="2767">
      <c r="A2767" s="54"/>
      <c r="G2767" s="55"/>
      <c r="U2767" s="56"/>
      <c r="X2767" s="57"/>
    </row>
    <row r="2768">
      <c r="A2768" s="54"/>
      <c r="G2768" s="55"/>
      <c r="U2768" s="56"/>
      <c r="X2768" s="57"/>
    </row>
    <row r="2769">
      <c r="A2769" s="54"/>
      <c r="G2769" s="55"/>
      <c r="U2769" s="56"/>
      <c r="X2769" s="57"/>
    </row>
    <row r="2770">
      <c r="A2770" s="54"/>
      <c r="G2770" s="55"/>
      <c r="U2770" s="56"/>
      <c r="X2770" s="57"/>
    </row>
    <row r="2771">
      <c r="A2771" s="54"/>
      <c r="G2771" s="55"/>
      <c r="U2771" s="56"/>
      <c r="X2771" s="57"/>
    </row>
    <row r="2772">
      <c r="A2772" s="54"/>
      <c r="G2772" s="55"/>
      <c r="U2772" s="56"/>
      <c r="X2772" s="57"/>
    </row>
    <row r="2773">
      <c r="A2773" s="54"/>
      <c r="G2773" s="55"/>
      <c r="U2773" s="56"/>
      <c r="X2773" s="57"/>
    </row>
    <row r="2774">
      <c r="A2774" s="54"/>
      <c r="G2774" s="55"/>
      <c r="U2774" s="56"/>
      <c r="X2774" s="57"/>
    </row>
    <row r="2775">
      <c r="A2775" s="54"/>
      <c r="G2775" s="55"/>
      <c r="U2775" s="56"/>
      <c r="X2775" s="57"/>
    </row>
    <row r="2776">
      <c r="A2776" s="54"/>
      <c r="G2776" s="55"/>
      <c r="U2776" s="56"/>
      <c r="X2776" s="57"/>
    </row>
    <row r="2777">
      <c r="A2777" s="54"/>
      <c r="G2777" s="55"/>
      <c r="U2777" s="56"/>
      <c r="X2777" s="57"/>
    </row>
    <row r="2778">
      <c r="A2778" s="54"/>
      <c r="G2778" s="55"/>
      <c r="U2778" s="56"/>
      <c r="X2778" s="57"/>
    </row>
    <row r="2779">
      <c r="A2779" s="54"/>
      <c r="G2779" s="55"/>
      <c r="U2779" s="56"/>
      <c r="X2779" s="57"/>
    </row>
    <row r="2780">
      <c r="A2780" s="54"/>
      <c r="G2780" s="55"/>
      <c r="U2780" s="56"/>
      <c r="X2780" s="57"/>
    </row>
    <row r="2781">
      <c r="A2781" s="54"/>
      <c r="G2781" s="55"/>
      <c r="U2781" s="56"/>
      <c r="X2781" s="57"/>
    </row>
    <row r="2782">
      <c r="A2782" s="54"/>
      <c r="G2782" s="55"/>
      <c r="U2782" s="56"/>
      <c r="X2782" s="57"/>
    </row>
    <row r="2783">
      <c r="A2783" s="54"/>
      <c r="G2783" s="55"/>
      <c r="U2783" s="56"/>
      <c r="X2783" s="57"/>
    </row>
    <row r="2784">
      <c r="A2784" s="54"/>
      <c r="G2784" s="55"/>
      <c r="U2784" s="56"/>
      <c r="X2784" s="57"/>
    </row>
    <row r="2785">
      <c r="A2785" s="54"/>
      <c r="G2785" s="55"/>
      <c r="U2785" s="56"/>
      <c r="X2785" s="57"/>
    </row>
    <row r="2786">
      <c r="A2786" s="54"/>
      <c r="G2786" s="55"/>
      <c r="U2786" s="56"/>
      <c r="X2786" s="57"/>
    </row>
    <row r="2787">
      <c r="A2787" s="54"/>
      <c r="G2787" s="55"/>
      <c r="U2787" s="56"/>
      <c r="X2787" s="57"/>
    </row>
    <row r="2788">
      <c r="A2788" s="54"/>
      <c r="G2788" s="55"/>
      <c r="U2788" s="56"/>
      <c r="X2788" s="57"/>
    </row>
    <row r="2789">
      <c r="A2789" s="54"/>
      <c r="G2789" s="55"/>
      <c r="U2789" s="56"/>
      <c r="X2789" s="57"/>
    </row>
    <row r="2790">
      <c r="A2790" s="54"/>
      <c r="G2790" s="55"/>
      <c r="U2790" s="56"/>
      <c r="X2790" s="57"/>
    </row>
    <row r="2791">
      <c r="A2791" s="54"/>
      <c r="G2791" s="55"/>
      <c r="U2791" s="56"/>
      <c r="X2791" s="57"/>
    </row>
    <row r="2792">
      <c r="A2792" s="54"/>
      <c r="G2792" s="55"/>
      <c r="U2792" s="56"/>
      <c r="X2792" s="57"/>
    </row>
    <row r="2793">
      <c r="A2793" s="54"/>
      <c r="G2793" s="55"/>
      <c r="U2793" s="56"/>
      <c r="X2793" s="57"/>
    </row>
    <row r="2794">
      <c r="A2794" s="54"/>
      <c r="G2794" s="55"/>
      <c r="U2794" s="56"/>
      <c r="X2794" s="57"/>
    </row>
    <row r="2795">
      <c r="A2795" s="54"/>
      <c r="G2795" s="55"/>
      <c r="U2795" s="56"/>
      <c r="X2795" s="57"/>
    </row>
    <row r="2796">
      <c r="A2796" s="54"/>
      <c r="G2796" s="55"/>
      <c r="U2796" s="56"/>
      <c r="X2796" s="57"/>
    </row>
    <row r="2797">
      <c r="A2797" s="54"/>
      <c r="G2797" s="55"/>
      <c r="U2797" s="56"/>
      <c r="X2797" s="57"/>
    </row>
    <row r="2798">
      <c r="A2798" s="54"/>
      <c r="G2798" s="55"/>
      <c r="U2798" s="56"/>
      <c r="X2798" s="57"/>
    </row>
    <row r="2799">
      <c r="A2799" s="54"/>
      <c r="G2799" s="55"/>
      <c r="U2799" s="56"/>
      <c r="X2799" s="57"/>
    </row>
    <row r="2800">
      <c r="A2800" s="54"/>
      <c r="G2800" s="55"/>
      <c r="U2800" s="56"/>
      <c r="X2800" s="57"/>
    </row>
    <row r="2801">
      <c r="A2801" s="54"/>
      <c r="G2801" s="55"/>
      <c r="U2801" s="56"/>
      <c r="X2801" s="57"/>
    </row>
    <row r="2802">
      <c r="A2802" s="54"/>
      <c r="G2802" s="55"/>
      <c r="U2802" s="56"/>
      <c r="X2802" s="57"/>
    </row>
    <row r="2803">
      <c r="A2803" s="54"/>
      <c r="G2803" s="55"/>
      <c r="U2803" s="56"/>
      <c r="X2803" s="57"/>
    </row>
    <row r="2804">
      <c r="A2804" s="54"/>
      <c r="G2804" s="55"/>
      <c r="U2804" s="56"/>
      <c r="X2804" s="57"/>
    </row>
    <row r="2805">
      <c r="A2805" s="54"/>
      <c r="G2805" s="55"/>
      <c r="U2805" s="56"/>
      <c r="X2805" s="57"/>
    </row>
    <row r="2806">
      <c r="A2806" s="54"/>
      <c r="G2806" s="55"/>
      <c r="U2806" s="56"/>
      <c r="X2806" s="57"/>
    </row>
    <row r="2807">
      <c r="A2807" s="54"/>
      <c r="G2807" s="55"/>
      <c r="U2807" s="56"/>
      <c r="X2807" s="57"/>
    </row>
    <row r="2808">
      <c r="A2808" s="54"/>
      <c r="G2808" s="55"/>
      <c r="U2808" s="56"/>
      <c r="X2808" s="57"/>
    </row>
    <row r="2809">
      <c r="A2809" s="54"/>
      <c r="G2809" s="55"/>
      <c r="U2809" s="56"/>
      <c r="X2809" s="57"/>
    </row>
    <row r="2810">
      <c r="A2810" s="54"/>
      <c r="G2810" s="55"/>
      <c r="U2810" s="56"/>
      <c r="X2810" s="57"/>
    </row>
    <row r="2811">
      <c r="A2811" s="54"/>
      <c r="G2811" s="55"/>
      <c r="U2811" s="56"/>
      <c r="X2811" s="57"/>
    </row>
    <row r="2812">
      <c r="A2812" s="54"/>
      <c r="G2812" s="55"/>
      <c r="U2812" s="56"/>
      <c r="X2812" s="57"/>
    </row>
    <row r="2813">
      <c r="A2813" s="54"/>
      <c r="G2813" s="55"/>
      <c r="U2813" s="56"/>
      <c r="X2813" s="57"/>
    </row>
    <row r="2814">
      <c r="A2814" s="54"/>
      <c r="G2814" s="55"/>
      <c r="U2814" s="56"/>
      <c r="X2814" s="57"/>
    </row>
    <row r="2815">
      <c r="A2815" s="54"/>
      <c r="G2815" s="55"/>
      <c r="U2815" s="56"/>
      <c r="X2815" s="57"/>
    </row>
    <row r="2816">
      <c r="A2816" s="54"/>
      <c r="G2816" s="55"/>
      <c r="U2816" s="56"/>
      <c r="X2816" s="57"/>
    </row>
    <row r="2817">
      <c r="A2817" s="54"/>
      <c r="G2817" s="55"/>
      <c r="U2817" s="56"/>
      <c r="X2817" s="57"/>
    </row>
    <row r="2818">
      <c r="A2818" s="54"/>
      <c r="G2818" s="55"/>
      <c r="U2818" s="56"/>
      <c r="X2818" s="57"/>
    </row>
    <row r="2819">
      <c r="A2819" s="54"/>
      <c r="G2819" s="55"/>
      <c r="U2819" s="56"/>
      <c r="X2819" s="57"/>
    </row>
    <row r="2820">
      <c r="A2820" s="54"/>
      <c r="G2820" s="55"/>
      <c r="U2820" s="56"/>
      <c r="X2820" s="57"/>
    </row>
    <row r="2821">
      <c r="A2821" s="54"/>
      <c r="G2821" s="55"/>
      <c r="U2821" s="56"/>
      <c r="X2821" s="57"/>
    </row>
    <row r="2822">
      <c r="A2822" s="54"/>
      <c r="G2822" s="55"/>
      <c r="U2822" s="56"/>
      <c r="X2822" s="57"/>
    </row>
    <row r="2823">
      <c r="A2823" s="54"/>
      <c r="G2823" s="55"/>
      <c r="U2823" s="56"/>
      <c r="X2823" s="57"/>
    </row>
    <row r="2824">
      <c r="A2824" s="54"/>
      <c r="G2824" s="55"/>
      <c r="U2824" s="56"/>
      <c r="X2824" s="57"/>
    </row>
    <row r="2825">
      <c r="A2825" s="54"/>
      <c r="G2825" s="55"/>
      <c r="U2825" s="56"/>
      <c r="X2825" s="57"/>
    </row>
    <row r="2826">
      <c r="A2826" s="54"/>
      <c r="G2826" s="55"/>
      <c r="U2826" s="56"/>
      <c r="X2826" s="57"/>
    </row>
    <row r="2827">
      <c r="A2827" s="54"/>
      <c r="G2827" s="55"/>
      <c r="U2827" s="56"/>
      <c r="X2827" s="57"/>
    </row>
    <row r="2828">
      <c r="A2828" s="54"/>
      <c r="G2828" s="55"/>
      <c r="U2828" s="56"/>
      <c r="X2828" s="57"/>
    </row>
    <row r="2829">
      <c r="A2829" s="54"/>
      <c r="G2829" s="55"/>
      <c r="U2829" s="56"/>
      <c r="X2829" s="57"/>
    </row>
    <row r="2830">
      <c r="A2830" s="54"/>
      <c r="G2830" s="55"/>
      <c r="U2830" s="56"/>
      <c r="X2830" s="57"/>
    </row>
    <row r="2831">
      <c r="A2831" s="54"/>
      <c r="G2831" s="55"/>
      <c r="U2831" s="56"/>
      <c r="X2831" s="57"/>
    </row>
    <row r="2832">
      <c r="A2832" s="54"/>
      <c r="G2832" s="55"/>
      <c r="U2832" s="56"/>
      <c r="X2832" s="57"/>
    </row>
    <row r="2833">
      <c r="A2833" s="54"/>
      <c r="G2833" s="55"/>
      <c r="U2833" s="56"/>
      <c r="X2833" s="57"/>
    </row>
    <row r="2834">
      <c r="A2834" s="54"/>
      <c r="G2834" s="55"/>
      <c r="U2834" s="56"/>
      <c r="X2834" s="57"/>
    </row>
    <row r="2835">
      <c r="A2835" s="54"/>
      <c r="G2835" s="55"/>
      <c r="U2835" s="56"/>
      <c r="X2835" s="57"/>
    </row>
    <row r="2836">
      <c r="A2836" s="54"/>
      <c r="G2836" s="55"/>
      <c r="U2836" s="56"/>
      <c r="X2836" s="57"/>
    </row>
    <row r="2837">
      <c r="A2837" s="54"/>
      <c r="G2837" s="55"/>
      <c r="U2837" s="56"/>
      <c r="X2837" s="57"/>
    </row>
    <row r="2838">
      <c r="A2838" s="54"/>
      <c r="G2838" s="55"/>
      <c r="U2838" s="56"/>
      <c r="X2838" s="57"/>
    </row>
    <row r="2839">
      <c r="A2839" s="54"/>
      <c r="G2839" s="55"/>
      <c r="U2839" s="56"/>
      <c r="X2839" s="57"/>
    </row>
    <row r="2840">
      <c r="A2840" s="54"/>
      <c r="G2840" s="55"/>
      <c r="U2840" s="56"/>
      <c r="X2840" s="57"/>
    </row>
    <row r="2841">
      <c r="A2841" s="54"/>
      <c r="G2841" s="55"/>
      <c r="U2841" s="56"/>
      <c r="X2841" s="57"/>
    </row>
    <row r="2842">
      <c r="A2842" s="54"/>
      <c r="G2842" s="55"/>
      <c r="U2842" s="56"/>
      <c r="X2842" s="57"/>
    </row>
    <row r="2843">
      <c r="A2843" s="54"/>
      <c r="G2843" s="55"/>
      <c r="U2843" s="56"/>
      <c r="X2843" s="57"/>
    </row>
    <row r="2844">
      <c r="A2844" s="54"/>
      <c r="G2844" s="55"/>
      <c r="U2844" s="56"/>
      <c r="X2844" s="57"/>
    </row>
    <row r="2845">
      <c r="A2845" s="54"/>
      <c r="G2845" s="55"/>
      <c r="U2845" s="56"/>
      <c r="X2845" s="57"/>
    </row>
    <row r="2846">
      <c r="A2846" s="54"/>
      <c r="G2846" s="55"/>
      <c r="U2846" s="56"/>
      <c r="X2846" s="57"/>
    </row>
    <row r="2847">
      <c r="A2847" s="54"/>
      <c r="G2847" s="55"/>
      <c r="U2847" s="56"/>
      <c r="X2847" s="57"/>
    </row>
    <row r="2848">
      <c r="A2848" s="54"/>
      <c r="G2848" s="55"/>
      <c r="U2848" s="56"/>
      <c r="X2848" s="57"/>
    </row>
    <row r="2849">
      <c r="A2849" s="54"/>
      <c r="G2849" s="55"/>
      <c r="U2849" s="56"/>
      <c r="X2849" s="57"/>
    </row>
    <row r="2850">
      <c r="A2850" s="54"/>
      <c r="G2850" s="55"/>
      <c r="U2850" s="56"/>
      <c r="X2850" s="57"/>
    </row>
    <row r="2851">
      <c r="A2851" s="54"/>
      <c r="G2851" s="55"/>
      <c r="U2851" s="56"/>
      <c r="X2851" s="57"/>
    </row>
    <row r="2852">
      <c r="A2852" s="54"/>
      <c r="G2852" s="55"/>
      <c r="U2852" s="56"/>
      <c r="X2852" s="57"/>
    </row>
    <row r="2853">
      <c r="A2853" s="54"/>
      <c r="G2853" s="55"/>
      <c r="U2853" s="56"/>
      <c r="X2853" s="57"/>
    </row>
    <row r="2854">
      <c r="A2854" s="54"/>
      <c r="G2854" s="55"/>
      <c r="U2854" s="56"/>
      <c r="X2854" s="57"/>
    </row>
    <row r="2855">
      <c r="A2855" s="54"/>
      <c r="G2855" s="55"/>
      <c r="U2855" s="56"/>
      <c r="X2855" s="57"/>
    </row>
    <row r="2856">
      <c r="A2856" s="54"/>
      <c r="G2856" s="55"/>
      <c r="U2856" s="56"/>
      <c r="X2856" s="57"/>
    </row>
    <row r="2857">
      <c r="A2857" s="54"/>
      <c r="G2857" s="55"/>
      <c r="U2857" s="56"/>
      <c r="X2857" s="57"/>
    </row>
    <row r="2858">
      <c r="A2858" s="54"/>
      <c r="G2858" s="55"/>
      <c r="U2858" s="56"/>
      <c r="X2858" s="57"/>
    </row>
    <row r="2859">
      <c r="A2859" s="54"/>
      <c r="G2859" s="55"/>
      <c r="U2859" s="56"/>
      <c r="X2859" s="57"/>
    </row>
    <row r="2860">
      <c r="A2860" s="54"/>
      <c r="G2860" s="55"/>
      <c r="U2860" s="56"/>
      <c r="X2860" s="57"/>
    </row>
    <row r="2861">
      <c r="A2861" s="54"/>
      <c r="G2861" s="55"/>
      <c r="U2861" s="56"/>
      <c r="X2861" s="57"/>
    </row>
    <row r="2862">
      <c r="A2862" s="54"/>
      <c r="G2862" s="55"/>
      <c r="U2862" s="56"/>
      <c r="X2862" s="57"/>
    </row>
    <row r="2863">
      <c r="A2863" s="54"/>
      <c r="G2863" s="55"/>
      <c r="U2863" s="56"/>
      <c r="X2863" s="57"/>
    </row>
    <row r="2864">
      <c r="A2864" s="54"/>
      <c r="G2864" s="55"/>
      <c r="U2864" s="56"/>
      <c r="X2864" s="57"/>
    </row>
    <row r="2865">
      <c r="A2865" s="54"/>
      <c r="G2865" s="55"/>
      <c r="U2865" s="56"/>
      <c r="X2865" s="57"/>
    </row>
    <row r="2866">
      <c r="A2866" s="54"/>
      <c r="G2866" s="55"/>
      <c r="U2866" s="56"/>
      <c r="X2866" s="57"/>
    </row>
    <row r="2867">
      <c r="A2867" s="54"/>
      <c r="G2867" s="55"/>
      <c r="U2867" s="56"/>
      <c r="X2867" s="57"/>
    </row>
    <row r="2868">
      <c r="A2868" s="54"/>
      <c r="G2868" s="55"/>
      <c r="U2868" s="56"/>
      <c r="X2868" s="57"/>
    </row>
    <row r="2869">
      <c r="A2869" s="54"/>
      <c r="G2869" s="55"/>
      <c r="U2869" s="56"/>
      <c r="X2869" s="57"/>
    </row>
    <row r="2870">
      <c r="A2870" s="54"/>
      <c r="G2870" s="55"/>
      <c r="U2870" s="56"/>
      <c r="X2870" s="57"/>
    </row>
    <row r="2871">
      <c r="A2871" s="54"/>
      <c r="G2871" s="55"/>
      <c r="U2871" s="56"/>
      <c r="X2871" s="57"/>
    </row>
    <row r="2872">
      <c r="A2872" s="54"/>
      <c r="G2872" s="55"/>
      <c r="U2872" s="56"/>
      <c r="X2872" s="57"/>
    </row>
    <row r="2873">
      <c r="A2873" s="54"/>
      <c r="G2873" s="55"/>
      <c r="U2873" s="56"/>
      <c r="X2873" s="57"/>
    </row>
    <row r="2874">
      <c r="A2874" s="54"/>
      <c r="G2874" s="55"/>
      <c r="U2874" s="56"/>
      <c r="X2874" s="57"/>
    </row>
    <row r="2875">
      <c r="A2875" s="54"/>
      <c r="G2875" s="55"/>
      <c r="U2875" s="56"/>
      <c r="X2875" s="57"/>
    </row>
    <row r="2876">
      <c r="A2876" s="54"/>
      <c r="G2876" s="55"/>
      <c r="U2876" s="56"/>
      <c r="X2876" s="57"/>
    </row>
    <row r="2877">
      <c r="A2877" s="54"/>
      <c r="G2877" s="55"/>
      <c r="U2877" s="56"/>
      <c r="X2877" s="57"/>
    </row>
    <row r="2878">
      <c r="A2878" s="54"/>
      <c r="G2878" s="55"/>
      <c r="U2878" s="56"/>
      <c r="X2878" s="57"/>
    </row>
    <row r="2879">
      <c r="A2879" s="54"/>
      <c r="G2879" s="55"/>
      <c r="U2879" s="56"/>
      <c r="X2879" s="57"/>
    </row>
    <row r="2880">
      <c r="A2880" s="54"/>
      <c r="G2880" s="55"/>
      <c r="U2880" s="56"/>
      <c r="X2880" s="57"/>
    </row>
    <row r="2881">
      <c r="A2881" s="54"/>
      <c r="G2881" s="55"/>
      <c r="U2881" s="56"/>
      <c r="X2881" s="57"/>
    </row>
    <row r="2882">
      <c r="A2882" s="54"/>
      <c r="G2882" s="55"/>
      <c r="U2882" s="56"/>
      <c r="X2882" s="57"/>
    </row>
    <row r="2883">
      <c r="A2883" s="54"/>
      <c r="G2883" s="55"/>
      <c r="U2883" s="56"/>
      <c r="X2883" s="57"/>
    </row>
    <row r="2884">
      <c r="A2884" s="54"/>
      <c r="G2884" s="55"/>
      <c r="U2884" s="56"/>
      <c r="X2884" s="57"/>
    </row>
    <row r="2885">
      <c r="A2885" s="54"/>
      <c r="G2885" s="55"/>
      <c r="U2885" s="56"/>
      <c r="X2885" s="57"/>
    </row>
    <row r="2886">
      <c r="A2886" s="54"/>
      <c r="G2886" s="55"/>
      <c r="U2886" s="56"/>
      <c r="X2886" s="57"/>
    </row>
    <row r="2887">
      <c r="A2887" s="54"/>
      <c r="G2887" s="55"/>
      <c r="U2887" s="56"/>
      <c r="X2887" s="57"/>
    </row>
    <row r="2888">
      <c r="A2888" s="54"/>
      <c r="G2888" s="55"/>
      <c r="U2888" s="56"/>
      <c r="X2888" s="57"/>
    </row>
    <row r="2889">
      <c r="A2889" s="54"/>
      <c r="G2889" s="55"/>
      <c r="U2889" s="56"/>
      <c r="X2889" s="57"/>
    </row>
    <row r="2890">
      <c r="A2890" s="54"/>
      <c r="G2890" s="55"/>
      <c r="U2890" s="56"/>
      <c r="X2890" s="57"/>
    </row>
    <row r="2891">
      <c r="A2891" s="54"/>
      <c r="G2891" s="55"/>
      <c r="U2891" s="56"/>
      <c r="X2891" s="57"/>
    </row>
    <row r="2892">
      <c r="A2892" s="54"/>
      <c r="G2892" s="55"/>
      <c r="U2892" s="56"/>
      <c r="X2892" s="57"/>
    </row>
    <row r="2893">
      <c r="A2893" s="54"/>
      <c r="G2893" s="55"/>
      <c r="U2893" s="56"/>
      <c r="X2893" s="57"/>
    </row>
    <row r="2894">
      <c r="A2894" s="54"/>
      <c r="G2894" s="55"/>
      <c r="U2894" s="56"/>
      <c r="X2894" s="57"/>
    </row>
    <row r="2895">
      <c r="A2895" s="54"/>
      <c r="G2895" s="55"/>
      <c r="U2895" s="56"/>
      <c r="X2895" s="57"/>
    </row>
    <row r="2896">
      <c r="A2896" s="54"/>
      <c r="G2896" s="55"/>
      <c r="U2896" s="56"/>
      <c r="X2896" s="57"/>
    </row>
    <row r="2897">
      <c r="A2897" s="54"/>
      <c r="G2897" s="55"/>
      <c r="U2897" s="56"/>
      <c r="X2897" s="57"/>
    </row>
    <row r="2898">
      <c r="A2898" s="54"/>
      <c r="G2898" s="55"/>
      <c r="U2898" s="56"/>
      <c r="X2898" s="57"/>
    </row>
    <row r="2899">
      <c r="A2899" s="54"/>
      <c r="G2899" s="55"/>
      <c r="U2899" s="56"/>
      <c r="X2899" s="57"/>
    </row>
    <row r="2900">
      <c r="A2900" s="54"/>
      <c r="G2900" s="55"/>
      <c r="U2900" s="56"/>
      <c r="X2900" s="57"/>
    </row>
    <row r="2901">
      <c r="A2901" s="54"/>
      <c r="G2901" s="55"/>
      <c r="U2901" s="56"/>
      <c r="X2901" s="57"/>
    </row>
    <row r="2902">
      <c r="A2902" s="54"/>
      <c r="G2902" s="55"/>
      <c r="U2902" s="56"/>
      <c r="X2902" s="57"/>
    </row>
    <row r="2903">
      <c r="A2903" s="54"/>
      <c r="G2903" s="55"/>
      <c r="U2903" s="56"/>
      <c r="X2903" s="57"/>
    </row>
    <row r="2904">
      <c r="A2904" s="54"/>
      <c r="G2904" s="55"/>
      <c r="U2904" s="56"/>
      <c r="X2904" s="57"/>
    </row>
    <row r="2905">
      <c r="A2905" s="54"/>
      <c r="G2905" s="55"/>
      <c r="U2905" s="56"/>
      <c r="X2905" s="57"/>
    </row>
    <row r="2906">
      <c r="A2906" s="54"/>
      <c r="G2906" s="55"/>
      <c r="U2906" s="56"/>
      <c r="X2906" s="57"/>
    </row>
    <row r="2907">
      <c r="A2907" s="54"/>
      <c r="G2907" s="55"/>
      <c r="U2907" s="56"/>
      <c r="X2907" s="57"/>
    </row>
    <row r="2908">
      <c r="A2908" s="54"/>
      <c r="G2908" s="55"/>
      <c r="U2908" s="56"/>
      <c r="X2908" s="57"/>
    </row>
    <row r="2909">
      <c r="A2909" s="54"/>
      <c r="G2909" s="55"/>
      <c r="U2909" s="56"/>
      <c r="X2909" s="57"/>
    </row>
    <row r="2910">
      <c r="A2910" s="54"/>
      <c r="G2910" s="55"/>
      <c r="U2910" s="56"/>
      <c r="X2910" s="57"/>
    </row>
    <row r="2911">
      <c r="A2911" s="54"/>
      <c r="G2911" s="55"/>
      <c r="U2911" s="56"/>
      <c r="X2911" s="57"/>
    </row>
    <row r="2912">
      <c r="A2912" s="54"/>
      <c r="G2912" s="55"/>
      <c r="U2912" s="56"/>
      <c r="X2912" s="57"/>
    </row>
    <row r="2913">
      <c r="A2913" s="54"/>
      <c r="G2913" s="55"/>
      <c r="U2913" s="56"/>
      <c r="X2913" s="57"/>
    </row>
    <row r="2914">
      <c r="A2914" s="54"/>
      <c r="G2914" s="55"/>
      <c r="U2914" s="56"/>
      <c r="X2914" s="57"/>
    </row>
    <row r="2915">
      <c r="A2915" s="54"/>
      <c r="G2915" s="55"/>
      <c r="U2915" s="56"/>
      <c r="X2915" s="57"/>
    </row>
    <row r="2916">
      <c r="A2916" s="54"/>
      <c r="G2916" s="55"/>
      <c r="U2916" s="56"/>
      <c r="X2916" s="57"/>
    </row>
    <row r="2917">
      <c r="A2917" s="54"/>
      <c r="G2917" s="55"/>
      <c r="U2917" s="56"/>
      <c r="X2917" s="57"/>
    </row>
    <row r="2918">
      <c r="A2918" s="54"/>
      <c r="G2918" s="55"/>
      <c r="U2918" s="56"/>
      <c r="X2918" s="57"/>
    </row>
    <row r="2919">
      <c r="A2919" s="54"/>
      <c r="G2919" s="55"/>
      <c r="U2919" s="56"/>
      <c r="X2919" s="57"/>
    </row>
    <row r="2920">
      <c r="A2920" s="54"/>
      <c r="G2920" s="55"/>
      <c r="U2920" s="56"/>
      <c r="X2920" s="57"/>
    </row>
    <row r="2921">
      <c r="A2921" s="54"/>
      <c r="G2921" s="55"/>
      <c r="U2921" s="56"/>
      <c r="X2921" s="57"/>
    </row>
    <row r="2922">
      <c r="A2922" s="54"/>
      <c r="G2922" s="55"/>
      <c r="U2922" s="56"/>
      <c r="X2922" s="57"/>
    </row>
    <row r="2923">
      <c r="A2923" s="54"/>
      <c r="G2923" s="55"/>
      <c r="U2923" s="56"/>
      <c r="X2923" s="57"/>
    </row>
    <row r="2924">
      <c r="A2924" s="54"/>
      <c r="G2924" s="55"/>
      <c r="U2924" s="56"/>
      <c r="X2924" s="57"/>
    </row>
    <row r="2925">
      <c r="A2925" s="54"/>
      <c r="G2925" s="55"/>
      <c r="U2925" s="56"/>
      <c r="X2925" s="57"/>
    </row>
    <row r="2926">
      <c r="A2926" s="54"/>
      <c r="G2926" s="55"/>
      <c r="U2926" s="56"/>
      <c r="X2926" s="57"/>
    </row>
    <row r="2927">
      <c r="A2927" s="54"/>
      <c r="G2927" s="55"/>
      <c r="U2927" s="56"/>
      <c r="X2927" s="57"/>
    </row>
    <row r="2928">
      <c r="A2928" s="54"/>
      <c r="G2928" s="55"/>
      <c r="U2928" s="56"/>
      <c r="X2928" s="57"/>
    </row>
    <row r="2929">
      <c r="A2929" s="54"/>
      <c r="G2929" s="55"/>
      <c r="U2929" s="56"/>
      <c r="X2929" s="57"/>
    </row>
    <row r="2930">
      <c r="A2930" s="54"/>
      <c r="G2930" s="55"/>
      <c r="U2930" s="56"/>
      <c r="X2930" s="57"/>
    </row>
    <row r="2931">
      <c r="A2931" s="54"/>
      <c r="G2931" s="55"/>
      <c r="U2931" s="56"/>
      <c r="X2931" s="57"/>
    </row>
    <row r="2932">
      <c r="A2932" s="54"/>
      <c r="G2932" s="55"/>
      <c r="U2932" s="56"/>
      <c r="X2932" s="57"/>
    </row>
    <row r="2933">
      <c r="A2933" s="54"/>
      <c r="G2933" s="55"/>
      <c r="U2933" s="56"/>
      <c r="X2933" s="57"/>
    </row>
    <row r="2934">
      <c r="A2934" s="54"/>
      <c r="G2934" s="55"/>
      <c r="U2934" s="56"/>
      <c r="X2934" s="57"/>
    </row>
    <row r="2935">
      <c r="A2935" s="54"/>
      <c r="G2935" s="55"/>
      <c r="U2935" s="56"/>
      <c r="X2935" s="57"/>
    </row>
    <row r="2936">
      <c r="A2936" s="54"/>
      <c r="G2936" s="55"/>
      <c r="U2936" s="56"/>
      <c r="X2936" s="57"/>
    </row>
    <row r="2937">
      <c r="A2937" s="54"/>
      <c r="G2937" s="55"/>
      <c r="U2937" s="56"/>
      <c r="X2937" s="57"/>
    </row>
    <row r="2938">
      <c r="A2938" s="54"/>
      <c r="G2938" s="55"/>
      <c r="U2938" s="56"/>
      <c r="X2938" s="57"/>
    </row>
    <row r="2939">
      <c r="A2939" s="54"/>
      <c r="G2939" s="55"/>
      <c r="U2939" s="56"/>
      <c r="X2939" s="57"/>
    </row>
    <row r="2940">
      <c r="A2940" s="54"/>
      <c r="G2940" s="55"/>
      <c r="U2940" s="56"/>
      <c r="X2940" s="57"/>
    </row>
    <row r="2941">
      <c r="A2941" s="54"/>
      <c r="G2941" s="55"/>
      <c r="U2941" s="56"/>
      <c r="X2941" s="57"/>
    </row>
    <row r="2942">
      <c r="A2942" s="54"/>
      <c r="G2942" s="55"/>
      <c r="U2942" s="56"/>
      <c r="X2942" s="57"/>
    </row>
    <row r="2943">
      <c r="A2943" s="54"/>
      <c r="G2943" s="55"/>
      <c r="U2943" s="56"/>
      <c r="X2943" s="57"/>
    </row>
    <row r="2944">
      <c r="A2944" s="54"/>
      <c r="G2944" s="55"/>
      <c r="U2944" s="56"/>
      <c r="X2944" s="57"/>
    </row>
    <row r="2945">
      <c r="A2945" s="54"/>
      <c r="G2945" s="55"/>
      <c r="U2945" s="56"/>
      <c r="X2945" s="57"/>
    </row>
    <row r="2946">
      <c r="A2946" s="54"/>
      <c r="G2946" s="55"/>
      <c r="U2946" s="56"/>
      <c r="X2946" s="57"/>
    </row>
    <row r="2947">
      <c r="A2947" s="54"/>
      <c r="G2947" s="55"/>
      <c r="U2947" s="56"/>
      <c r="X2947" s="57"/>
    </row>
    <row r="2948">
      <c r="A2948" s="54"/>
      <c r="G2948" s="55"/>
      <c r="U2948" s="56"/>
      <c r="X2948" s="57"/>
    </row>
    <row r="2949">
      <c r="A2949" s="54"/>
      <c r="G2949" s="55"/>
      <c r="U2949" s="56"/>
      <c r="X2949" s="57"/>
    </row>
    <row r="2950">
      <c r="A2950" s="54"/>
      <c r="G2950" s="55"/>
      <c r="U2950" s="56"/>
      <c r="X2950" s="57"/>
    </row>
    <row r="2951">
      <c r="A2951" s="54"/>
      <c r="G2951" s="55"/>
      <c r="U2951" s="56"/>
      <c r="X2951" s="57"/>
    </row>
    <row r="2952">
      <c r="A2952" s="54"/>
      <c r="G2952" s="55"/>
      <c r="U2952" s="56"/>
      <c r="X2952" s="57"/>
    </row>
    <row r="2953">
      <c r="A2953" s="54"/>
      <c r="G2953" s="55"/>
      <c r="U2953" s="56"/>
      <c r="X2953" s="57"/>
    </row>
    <row r="2954">
      <c r="A2954" s="54"/>
      <c r="G2954" s="55"/>
      <c r="U2954" s="56"/>
      <c r="X2954" s="57"/>
    </row>
    <row r="2955">
      <c r="A2955" s="54"/>
      <c r="G2955" s="55"/>
      <c r="U2955" s="56"/>
      <c r="X2955" s="57"/>
    </row>
    <row r="2956">
      <c r="A2956" s="54"/>
      <c r="G2956" s="55"/>
      <c r="U2956" s="56"/>
      <c r="X2956" s="57"/>
    </row>
    <row r="2957">
      <c r="A2957" s="54"/>
      <c r="G2957" s="55"/>
      <c r="U2957" s="56"/>
      <c r="X2957" s="57"/>
    </row>
    <row r="2958">
      <c r="A2958" s="54"/>
      <c r="G2958" s="55"/>
      <c r="U2958" s="56"/>
      <c r="X2958" s="57"/>
    </row>
    <row r="2959">
      <c r="A2959" s="54"/>
      <c r="G2959" s="55"/>
      <c r="U2959" s="56"/>
      <c r="X2959" s="57"/>
    </row>
    <row r="2960">
      <c r="A2960" s="54"/>
      <c r="G2960" s="55"/>
      <c r="U2960" s="56"/>
      <c r="X2960" s="57"/>
    </row>
    <row r="2961">
      <c r="A2961" s="54"/>
      <c r="G2961" s="55"/>
      <c r="U2961" s="56"/>
      <c r="X2961" s="57"/>
    </row>
    <row r="2962">
      <c r="A2962" s="54"/>
      <c r="G2962" s="55"/>
      <c r="U2962" s="56"/>
      <c r="X2962" s="57"/>
    </row>
    <row r="2963">
      <c r="A2963" s="54"/>
      <c r="G2963" s="55"/>
      <c r="U2963" s="56"/>
      <c r="X2963" s="57"/>
    </row>
    <row r="2964">
      <c r="A2964" s="54"/>
      <c r="G2964" s="55"/>
      <c r="U2964" s="56"/>
      <c r="X2964" s="57"/>
    </row>
    <row r="2965">
      <c r="A2965" s="54"/>
      <c r="G2965" s="55"/>
      <c r="U2965" s="56"/>
      <c r="X2965" s="57"/>
    </row>
    <row r="2966">
      <c r="A2966" s="54"/>
      <c r="G2966" s="55"/>
      <c r="U2966" s="56"/>
      <c r="X2966" s="57"/>
    </row>
    <row r="2967">
      <c r="A2967" s="54"/>
      <c r="G2967" s="55"/>
      <c r="U2967" s="56"/>
      <c r="X2967" s="57"/>
    </row>
    <row r="2968">
      <c r="A2968" s="54"/>
      <c r="G2968" s="55"/>
      <c r="U2968" s="56"/>
      <c r="X2968" s="57"/>
    </row>
    <row r="2969">
      <c r="A2969" s="54"/>
      <c r="G2969" s="55"/>
      <c r="U2969" s="56"/>
      <c r="X2969" s="57"/>
    </row>
    <row r="2970">
      <c r="A2970" s="54"/>
      <c r="G2970" s="55"/>
      <c r="U2970" s="56"/>
      <c r="X2970" s="57"/>
    </row>
    <row r="2971">
      <c r="A2971" s="54"/>
      <c r="G2971" s="55"/>
      <c r="U2971" s="56"/>
      <c r="X2971" s="57"/>
    </row>
    <row r="2972">
      <c r="A2972" s="54"/>
      <c r="G2972" s="55"/>
      <c r="U2972" s="56"/>
      <c r="X2972" s="57"/>
    </row>
    <row r="2973">
      <c r="A2973" s="54"/>
      <c r="G2973" s="55"/>
      <c r="U2973" s="56"/>
      <c r="X2973" s="57"/>
    </row>
    <row r="2974">
      <c r="A2974" s="54"/>
      <c r="G2974" s="55"/>
      <c r="U2974" s="56"/>
      <c r="X2974" s="57"/>
    </row>
    <row r="2975">
      <c r="A2975" s="54"/>
      <c r="G2975" s="55"/>
      <c r="U2975" s="56"/>
      <c r="X2975" s="57"/>
    </row>
    <row r="2976">
      <c r="A2976" s="54"/>
      <c r="G2976" s="55"/>
      <c r="U2976" s="56"/>
      <c r="X2976" s="57"/>
    </row>
    <row r="2977">
      <c r="A2977" s="54"/>
      <c r="G2977" s="55"/>
      <c r="U2977" s="56"/>
      <c r="X2977" s="57"/>
    </row>
    <row r="2978">
      <c r="A2978" s="54"/>
      <c r="G2978" s="55"/>
      <c r="U2978" s="56"/>
      <c r="X2978" s="57"/>
    </row>
    <row r="2979">
      <c r="A2979" s="54"/>
      <c r="G2979" s="55"/>
      <c r="U2979" s="56"/>
      <c r="X2979" s="57"/>
    </row>
    <row r="2980">
      <c r="A2980" s="54"/>
      <c r="G2980" s="55"/>
      <c r="U2980" s="56"/>
      <c r="X2980" s="57"/>
    </row>
    <row r="2981">
      <c r="A2981" s="54"/>
      <c r="G2981" s="55"/>
      <c r="U2981" s="56"/>
      <c r="X2981" s="57"/>
    </row>
    <row r="2982">
      <c r="A2982" s="54"/>
      <c r="G2982" s="55"/>
      <c r="U2982" s="56"/>
      <c r="X2982" s="57"/>
    </row>
    <row r="2983">
      <c r="A2983" s="54"/>
      <c r="G2983" s="55"/>
      <c r="U2983" s="56"/>
      <c r="X2983" s="57"/>
    </row>
    <row r="2984">
      <c r="A2984" s="54"/>
      <c r="G2984" s="55"/>
      <c r="U2984" s="56"/>
      <c r="X2984" s="57"/>
    </row>
    <row r="2985">
      <c r="A2985" s="54"/>
      <c r="G2985" s="55"/>
      <c r="U2985" s="56"/>
      <c r="X2985" s="57"/>
    </row>
    <row r="2986">
      <c r="A2986" s="54"/>
      <c r="G2986" s="55"/>
      <c r="U2986" s="56"/>
      <c r="X2986" s="57"/>
    </row>
    <row r="2987">
      <c r="A2987" s="54"/>
      <c r="G2987" s="55"/>
      <c r="U2987" s="56"/>
      <c r="X2987" s="57"/>
    </row>
    <row r="2988">
      <c r="A2988" s="54"/>
      <c r="G2988" s="55"/>
      <c r="U2988" s="56"/>
      <c r="X2988" s="57"/>
    </row>
    <row r="2989">
      <c r="A2989" s="54"/>
      <c r="G2989" s="55"/>
      <c r="U2989" s="56"/>
      <c r="X2989" s="57"/>
    </row>
    <row r="2990">
      <c r="A2990" s="54"/>
      <c r="G2990" s="55"/>
      <c r="U2990" s="56"/>
      <c r="X2990" s="57"/>
    </row>
    <row r="2991">
      <c r="A2991" s="54"/>
      <c r="G2991" s="55"/>
      <c r="U2991" s="56"/>
      <c r="X2991" s="57"/>
    </row>
    <row r="2992">
      <c r="A2992" s="54"/>
      <c r="G2992" s="55"/>
      <c r="U2992" s="56"/>
      <c r="X2992" s="57"/>
    </row>
    <row r="2993">
      <c r="A2993" s="54"/>
      <c r="G2993" s="55"/>
      <c r="U2993" s="56"/>
      <c r="X2993" s="57"/>
    </row>
    <row r="2994">
      <c r="A2994" s="54"/>
      <c r="G2994" s="55"/>
      <c r="U2994" s="56"/>
      <c r="X2994" s="57"/>
    </row>
    <row r="2995">
      <c r="A2995" s="54"/>
      <c r="G2995" s="55"/>
      <c r="U2995" s="56"/>
      <c r="X2995" s="57"/>
    </row>
    <row r="2996">
      <c r="A2996" s="54"/>
      <c r="G2996" s="55"/>
      <c r="U2996" s="56"/>
      <c r="X2996" s="57"/>
    </row>
    <row r="2997">
      <c r="A2997" s="54"/>
      <c r="G2997" s="55"/>
      <c r="U2997" s="56"/>
      <c r="X2997" s="57"/>
    </row>
    <row r="2998">
      <c r="A2998" s="54"/>
      <c r="G2998" s="55"/>
      <c r="U2998" s="56"/>
      <c r="X2998" s="57"/>
    </row>
    <row r="2999">
      <c r="A2999" s="54"/>
      <c r="G2999" s="55"/>
      <c r="U2999" s="56"/>
      <c r="X2999" s="57"/>
    </row>
    <row r="3000">
      <c r="A3000" s="54"/>
      <c r="G3000" s="55"/>
      <c r="U3000" s="56"/>
      <c r="X3000" s="57"/>
    </row>
    <row r="3001">
      <c r="A3001" s="54"/>
      <c r="G3001" s="55"/>
      <c r="U3001" s="56"/>
      <c r="X3001" s="57"/>
    </row>
    <row r="3002">
      <c r="A3002" s="54"/>
      <c r="G3002" s="55"/>
      <c r="U3002" s="56"/>
      <c r="X3002" s="57"/>
    </row>
    <row r="3003">
      <c r="A3003" s="54"/>
      <c r="G3003" s="55"/>
      <c r="U3003" s="56"/>
      <c r="X3003" s="57"/>
    </row>
    <row r="3004">
      <c r="A3004" s="54"/>
      <c r="G3004" s="55"/>
      <c r="U3004" s="56"/>
      <c r="X3004" s="57"/>
    </row>
    <row r="3005">
      <c r="A3005" s="54"/>
      <c r="G3005" s="55"/>
      <c r="U3005" s="56"/>
      <c r="X3005" s="57"/>
    </row>
    <row r="3006">
      <c r="A3006" s="54"/>
      <c r="G3006" s="55"/>
      <c r="U3006" s="56"/>
      <c r="X3006" s="57"/>
    </row>
    <row r="3007">
      <c r="A3007" s="54"/>
      <c r="G3007" s="55"/>
      <c r="U3007" s="56"/>
      <c r="X3007" s="57"/>
    </row>
    <row r="3008">
      <c r="A3008" s="54"/>
      <c r="G3008" s="55"/>
      <c r="U3008" s="56"/>
      <c r="X3008" s="57"/>
    </row>
    <row r="3009">
      <c r="A3009" s="54"/>
      <c r="G3009" s="55"/>
      <c r="U3009" s="56"/>
      <c r="X3009" s="57"/>
    </row>
    <row r="3010">
      <c r="A3010" s="54"/>
      <c r="G3010" s="55"/>
      <c r="U3010" s="56"/>
      <c r="X3010" s="57"/>
    </row>
    <row r="3011">
      <c r="A3011" s="54"/>
      <c r="G3011" s="55"/>
      <c r="U3011" s="56"/>
      <c r="X3011" s="57"/>
    </row>
    <row r="3012">
      <c r="A3012" s="54"/>
      <c r="G3012" s="55"/>
      <c r="U3012" s="56"/>
      <c r="X3012" s="57"/>
    </row>
    <row r="3013">
      <c r="A3013" s="54"/>
      <c r="G3013" s="55"/>
      <c r="U3013" s="56"/>
      <c r="X3013" s="57"/>
    </row>
    <row r="3014">
      <c r="A3014" s="54"/>
      <c r="G3014" s="55"/>
      <c r="U3014" s="56"/>
      <c r="X3014" s="57"/>
    </row>
    <row r="3015">
      <c r="A3015" s="54"/>
      <c r="G3015" s="55"/>
      <c r="U3015" s="56"/>
      <c r="X3015" s="57"/>
    </row>
    <row r="3016">
      <c r="A3016" s="54"/>
      <c r="G3016" s="55"/>
      <c r="U3016" s="56"/>
      <c r="X3016" s="57"/>
    </row>
    <row r="3017">
      <c r="A3017" s="54"/>
      <c r="G3017" s="55"/>
      <c r="U3017" s="56"/>
      <c r="X3017" s="57"/>
    </row>
    <row r="3018">
      <c r="A3018" s="54"/>
      <c r="G3018" s="55"/>
      <c r="U3018" s="56"/>
      <c r="X3018" s="57"/>
    </row>
    <row r="3019">
      <c r="A3019" s="54"/>
      <c r="G3019" s="55"/>
      <c r="U3019" s="56"/>
      <c r="X3019" s="57"/>
    </row>
    <row r="3020">
      <c r="A3020" s="54"/>
      <c r="G3020" s="55"/>
      <c r="U3020" s="56"/>
      <c r="X3020" s="57"/>
    </row>
    <row r="3021">
      <c r="A3021" s="54"/>
      <c r="G3021" s="55"/>
      <c r="U3021" s="56"/>
      <c r="X3021" s="57"/>
    </row>
    <row r="3022">
      <c r="A3022" s="54"/>
      <c r="G3022" s="55"/>
      <c r="U3022" s="56"/>
      <c r="X3022" s="57"/>
    </row>
    <row r="3023">
      <c r="A3023" s="54"/>
      <c r="G3023" s="55"/>
      <c r="U3023" s="56"/>
      <c r="X3023" s="57"/>
    </row>
    <row r="3024">
      <c r="A3024" s="54"/>
      <c r="G3024" s="55"/>
      <c r="U3024" s="56"/>
      <c r="X3024" s="57"/>
    </row>
    <row r="3025">
      <c r="A3025" s="54"/>
      <c r="G3025" s="55"/>
      <c r="U3025" s="56"/>
      <c r="X3025" s="57"/>
    </row>
    <row r="3026">
      <c r="A3026" s="54"/>
      <c r="G3026" s="55"/>
      <c r="U3026" s="56"/>
      <c r="X3026" s="57"/>
    </row>
    <row r="3027">
      <c r="A3027" s="54"/>
      <c r="G3027" s="55"/>
      <c r="U3027" s="56"/>
      <c r="X3027" s="57"/>
    </row>
    <row r="3028">
      <c r="A3028" s="54"/>
      <c r="G3028" s="55"/>
      <c r="U3028" s="56"/>
      <c r="X3028" s="57"/>
    </row>
    <row r="3029">
      <c r="A3029" s="54"/>
      <c r="G3029" s="55"/>
      <c r="U3029" s="56"/>
      <c r="X3029" s="57"/>
    </row>
    <row r="3030">
      <c r="A3030" s="54"/>
      <c r="G3030" s="55"/>
      <c r="U3030" s="56"/>
      <c r="X3030" s="57"/>
    </row>
    <row r="3031">
      <c r="A3031" s="54"/>
      <c r="G3031" s="55"/>
      <c r="U3031" s="56"/>
      <c r="X3031" s="57"/>
    </row>
    <row r="3032">
      <c r="A3032" s="54"/>
      <c r="G3032" s="55"/>
      <c r="U3032" s="56"/>
      <c r="X3032" s="57"/>
    </row>
    <row r="3033">
      <c r="A3033" s="54"/>
      <c r="G3033" s="55"/>
      <c r="U3033" s="56"/>
      <c r="X3033" s="57"/>
    </row>
    <row r="3034">
      <c r="A3034" s="54"/>
      <c r="G3034" s="55"/>
      <c r="U3034" s="56"/>
      <c r="X3034" s="57"/>
    </row>
    <row r="3035">
      <c r="A3035" s="54"/>
      <c r="G3035" s="55"/>
      <c r="U3035" s="56"/>
      <c r="X3035" s="57"/>
    </row>
    <row r="3036">
      <c r="A3036" s="54"/>
      <c r="G3036" s="55"/>
      <c r="U3036" s="56"/>
      <c r="X3036" s="57"/>
    </row>
    <row r="3037">
      <c r="A3037" s="54"/>
      <c r="G3037" s="55"/>
      <c r="U3037" s="56"/>
      <c r="X3037" s="57"/>
    </row>
    <row r="3038">
      <c r="A3038" s="54"/>
      <c r="G3038" s="55"/>
      <c r="U3038" s="56"/>
      <c r="X3038" s="57"/>
    </row>
    <row r="3039">
      <c r="A3039" s="54"/>
      <c r="G3039" s="55"/>
      <c r="U3039" s="56"/>
      <c r="X3039" s="57"/>
    </row>
    <row r="3040">
      <c r="A3040" s="54"/>
      <c r="G3040" s="55"/>
      <c r="U3040" s="56"/>
      <c r="X3040" s="57"/>
    </row>
    <row r="3041">
      <c r="A3041" s="54"/>
      <c r="G3041" s="55"/>
      <c r="U3041" s="56"/>
      <c r="X3041" s="57"/>
    </row>
    <row r="3042">
      <c r="A3042" s="54"/>
      <c r="G3042" s="55"/>
      <c r="U3042" s="56"/>
      <c r="X3042" s="57"/>
    </row>
    <row r="3043">
      <c r="A3043" s="54"/>
      <c r="G3043" s="55"/>
      <c r="U3043" s="56"/>
      <c r="X3043" s="57"/>
    </row>
    <row r="3044">
      <c r="A3044" s="54"/>
      <c r="G3044" s="55"/>
      <c r="U3044" s="56"/>
      <c r="X3044" s="57"/>
    </row>
    <row r="3045">
      <c r="A3045" s="54"/>
      <c r="G3045" s="55"/>
      <c r="U3045" s="56"/>
      <c r="X3045" s="57"/>
    </row>
    <row r="3046">
      <c r="A3046" s="54"/>
      <c r="G3046" s="55"/>
      <c r="U3046" s="56"/>
      <c r="X3046" s="57"/>
    </row>
    <row r="3047">
      <c r="A3047" s="54"/>
      <c r="G3047" s="55"/>
      <c r="U3047" s="56"/>
      <c r="X3047" s="57"/>
    </row>
    <row r="3048">
      <c r="A3048" s="54"/>
      <c r="G3048" s="55"/>
      <c r="U3048" s="56"/>
      <c r="X3048" s="57"/>
    </row>
    <row r="3049">
      <c r="A3049" s="54"/>
      <c r="G3049" s="55"/>
      <c r="U3049" s="56"/>
      <c r="X3049" s="57"/>
    </row>
    <row r="3050">
      <c r="A3050" s="54"/>
      <c r="G3050" s="55"/>
      <c r="U3050" s="56"/>
      <c r="X3050" s="57"/>
    </row>
    <row r="3051">
      <c r="A3051" s="54"/>
      <c r="G3051" s="55"/>
      <c r="U3051" s="56"/>
      <c r="X3051" s="57"/>
    </row>
    <row r="3052">
      <c r="A3052" s="54"/>
      <c r="G3052" s="55"/>
      <c r="U3052" s="56"/>
      <c r="X3052" s="57"/>
    </row>
    <row r="3053">
      <c r="A3053" s="54"/>
      <c r="G3053" s="55"/>
      <c r="U3053" s="56"/>
      <c r="X3053" s="57"/>
    </row>
    <row r="3054">
      <c r="A3054" s="54"/>
      <c r="G3054" s="55"/>
      <c r="U3054" s="56"/>
      <c r="X3054" s="57"/>
    </row>
    <row r="3055">
      <c r="A3055" s="54"/>
      <c r="G3055" s="55"/>
      <c r="U3055" s="56"/>
      <c r="X3055" s="57"/>
    </row>
    <row r="3056">
      <c r="A3056" s="54"/>
      <c r="G3056" s="55"/>
      <c r="U3056" s="56"/>
      <c r="X3056" s="57"/>
    </row>
    <row r="3057">
      <c r="A3057" s="54"/>
      <c r="G3057" s="55"/>
      <c r="U3057" s="56"/>
      <c r="X3057" s="57"/>
    </row>
    <row r="3058">
      <c r="A3058" s="54"/>
      <c r="G3058" s="55"/>
      <c r="U3058" s="56"/>
      <c r="X3058" s="57"/>
    </row>
    <row r="3059">
      <c r="A3059" s="54"/>
      <c r="G3059" s="55"/>
      <c r="U3059" s="56"/>
      <c r="X3059" s="57"/>
    </row>
    <row r="3060">
      <c r="A3060" s="54"/>
      <c r="G3060" s="55"/>
      <c r="U3060" s="56"/>
      <c r="X3060" s="57"/>
    </row>
    <row r="3061">
      <c r="A3061" s="54"/>
      <c r="G3061" s="55"/>
      <c r="U3061" s="56"/>
      <c r="X3061" s="57"/>
    </row>
    <row r="3062">
      <c r="A3062" s="54"/>
      <c r="G3062" s="55"/>
      <c r="U3062" s="56"/>
      <c r="X3062" s="57"/>
    </row>
    <row r="3063">
      <c r="A3063" s="54"/>
      <c r="G3063" s="55"/>
      <c r="U3063" s="56"/>
      <c r="X3063" s="57"/>
    </row>
    <row r="3064">
      <c r="A3064" s="54"/>
      <c r="G3064" s="55"/>
      <c r="U3064" s="56"/>
      <c r="X3064" s="57"/>
    </row>
    <row r="3065">
      <c r="A3065" s="54"/>
      <c r="G3065" s="55"/>
      <c r="U3065" s="56"/>
      <c r="X3065" s="57"/>
    </row>
    <row r="3066">
      <c r="A3066" s="54"/>
      <c r="G3066" s="55"/>
      <c r="U3066" s="56"/>
      <c r="X3066" s="57"/>
    </row>
    <row r="3067">
      <c r="A3067" s="54"/>
      <c r="G3067" s="55"/>
      <c r="U3067" s="56"/>
      <c r="X3067" s="57"/>
    </row>
    <row r="3068">
      <c r="A3068" s="54"/>
      <c r="G3068" s="55"/>
      <c r="U3068" s="56"/>
      <c r="X3068" s="57"/>
    </row>
    <row r="3069">
      <c r="A3069" s="54"/>
      <c r="G3069" s="55"/>
      <c r="U3069" s="56"/>
      <c r="X3069" s="57"/>
    </row>
    <row r="3070">
      <c r="A3070" s="54"/>
      <c r="G3070" s="55"/>
      <c r="U3070" s="56"/>
      <c r="X3070" s="57"/>
    </row>
    <row r="3071">
      <c r="A3071" s="54"/>
      <c r="G3071" s="55"/>
      <c r="U3071" s="56"/>
      <c r="X3071" s="57"/>
    </row>
    <row r="3072">
      <c r="A3072" s="54"/>
      <c r="G3072" s="55"/>
      <c r="U3072" s="56"/>
      <c r="X3072" s="57"/>
    </row>
    <row r="3073">
      <c r="A3073" s="54"/>
      <c r="G3073" s="55"/>
      <c r="U3073" s="56"/>
      <c r="X3073" s="57"/>
    </row>
    <row r="3074">
      <c r="A3074" s="54"/>
      <c r="G3074" s="55"/>
      <c r="U3074" s="56"/>
      <c r="X3074" s="57"/>
    </row>
    <row r="3075">
      <c r="A3075" s="54"/>
      <c r="G3075" s="55"/>
      <c r="U3075" s="56"/>
      <c r="X3075" s="57"/>
    </row>
    <row r="3076">
      <c r="A3076" s="54"/>
      <c r="G3076" s="55"/>
      <c r="U3076" s="56"/>
      <c r="X3076" s="57"/>
    </row>
    <row r="3077">
      <c r="A3077" s="54"/>
      <c r="G3077" s="55"/>
      <c r="U3077" s="56"/>
      <c r="X3077" s="57"/>
    </row>
    <row r="3078">
      <c r="A3078" s="54"/>
      <c r="G3078" s="55"/>
      <c r="U3078" s="56"/>
      <c r="X3078" s="57"/>
    </row>
    <row r="3079">
      <c r="A3079" s="54"/>
      <c r="G3079" s="55"/>
      <c r="U3079" s="56"/>
      <c r="X3079" s="57"/>
    </row>
    <row r="3080">
      <c r="A3080" s="54"/>
      <c r="G3080" s="55"/>
      <c r="U3080" s="56"/>
      <c r="X3080" s="57"/>
    </row>
    <row r="3081">
      <c r="A3081" s="54"/>
      <c r="G3081" s="55"/>
      <c r="U3081" s="56"/>
      <c r="X3081" s="57"/>
    </row>
    <row r="3082">
      <c r="A3082" s="54"/>
      <c r="G3082" s="55"/>
      <c r="U3082" s="56"/>
      <c r="X3082" s="57"/>
    </row>
    <row r="3083">
      <c r="A3083" s="54"/>
      <c r="G3083" s="55"/>
      <c r="U3083" s="56"/>
      <c r="X3083" s="57"/>
    </row>
    <row r="3084">
      <c r="A3084" s="54"/>
      <c r="G3084" s="55"/>
      <c r="U3084" s="56"/>
      <c r="X3084" s="57"/>
    </row>
    <row r="3085">
      <c r="A3085" s="54"/>
      <c r="G3085" s="55"/>
      <c r="U3085" s="56"/>
      <c r="X3085" s="57"/>
    </row>
    <row r="3086">
      <c r="A3086" s="54"/>
      <c r="G3086" s="55"/>
      <c r="U3086" s="56"/>
      <c r="X3086" s="57"/>
    </row>
    <row r="3087">
      <c r="A3087" s="54"/>
      <c r="G3087" s="55"/>
      <c r="U3087" s="56"/>
      <c r="X3087" s="57"/>
    </row>
    <row r="3088">
      <c r="A3088" s="54"/>
      <c r="G3088" s="55"/>
      <c r="U3088" s="56"/>
      <c r="X3088" s="57"/>
    </row>
    <row r="3089">
      <c r="A3089" s="54"/>
      <c r="G3089" s="55"/>
      <c r="U3089" s="56"/>
      <c r="X3089" s="57"/>
    </row>
    <row r="3090">
      <c r="A3090" s="54"/>
      <c r="G3090" s="55"/>
      <c r="U3090" s="56"/>
      <c r="X3090" s="57"/>
    </row>
    <row r="3091">
      <c r="A3091" s="54"/>
      <c r="G3091" s="55"/>
      <c r="U3091" s="56"/>
      <c r="X3091" s="57"/>
    </row>
    <row r="3092">
      <c r="A3092" s="54"/>
      <c r="G3092" s="55"/>
      <c r="U3092" s="56"/>
      <c r="X3092" s="57"/>
    </row>
    <row r="3093">
      <c r="A3093" s="54"/>
      <c r="G3093" s="55"/>
      <c r="U3093" s="56"/>
      <c r="X3093" s="57"/>
    </row>
    <row r="3094">
      <c r="A3094" s="54"/>
      <c r="G3094" s="55"/>
      <c r="U3094" s="56"/>
      <c r="X3094" s="57"/>
    </row>
    <row r="3095">
      <c r="A3095" s="54"/>
      <c r="G3095" s="55"/>
      <c r="U3095" s="56"/>
      <c r="X3095" s="57"/>
    </row>
    <row r="3096">
      <c r="A3096" s="54"/>
      <c r="G3096" s="55"/>
      <c r="U3096" s="56"/>
      <c r="X3096" s="57"/>
    </row>
    <row r="3097">
      <c r="A3097" s="54"/>
      <c r="G3097" s="55"/>
      <c r="U3097" s="56"/>
      <c r="X3097" s="57"/>
    </row>
    <row r="3098">
      <c r="A3098" s="54"/>
      <c r="G3098" s="55"/>
      <c r="U3098" s="56"/>
      <c r="X3098" s="57"/>
    </row>
    <row r="3099">
      <c r="A3099" s="54"/>
      <c r="G3099" s="55"/>
      <c r="U3099" s="56"/>
      <c r="X3099" s="57"/>
    </row>
    <row r="3100">
      <c r="A3100" s="54"/>
      <c r="G3100" s="55"/>
      <c r="U3100" s="56"/>
      <c r="X3100" s="57"/>
    </row>
    <row r="3101">
      <c r="A3101" s="54"/>
      <c r="G3101" s="55"/>
      <c r="U3101" s="56"/>
      <c r="X3101" s="57"/>
    </row>
    <row r="3102">
      <c r="A3102" s="54"/>
      <c r="G3102" s="55"/>
      <c r="U3102" s="56"/>
      <c r="X3102" s="57"/>
    </row>
    <row r="3103">
      <c r="A3103" s="54"/>
      <c r="G3103" s="55"/>
      <c r="U3103" s="56"/>
      <c r="X3103" s="57"/>
    </row>
    <row r="3104">
      <c r="A3104" s="54"/>
      <c r="G3104" s="55"/>
      <c r="U3104" s="56"/>
      <c r="X3104" s="57"/>
    </row>
    <row r="3105">
      <c r="A3105" s="54"/>
      <c r="G3105" s="55"/>
      <c r="U3105" s="56"/>
      <c r="X3105" s="57"/>
    </row>
    <row r="3106">
      <c r="A3106" s="54"/>
      <c r="G3106" s="55"/>
      <c r="U3106" s="56"/>
      <c r="X3106" s="57"/>
    </row>
    <row r="3107">
      <c r="A3107" s="54"/>
      <c r="G3107" s="55"/>
      <c r="U3107" s="56"/>
      <c r="X3107" s="57"/>
    </row>
    <row r="3108">
      <c r="A3108" s="54"/>
      <c r="G3108" s="55"/>
      <c r="U3108" s="56"/>
      <c r="X3108" s="57"/>
    </row>
    <row r="3109">
      <c r="A3109" s="54"/>
      <c r="G3109" s="55"/>
      <c r="U3109" s="56"/>
      <c r="X3109" s="57"/>
    </row>
    <row r="3110">
      <c r="A3110" s="54"/>
      <c r="G3110" s="55"/>
      <c r="U3110" s="56"/>
      <c r="X3110" s="57"/>
    </row>
    <row r="3111">
      <c r="A3111" s="54"/>
      <c r="G3111" s="55"/>
      <c r="U3111" s="56"/>
      <c r="X3111" s="57"/>
    </row>
    <row r="3112">
      <c r="A3112" s="54"/>
      <c r="G3112" s="55"/>
      <c r="U3112" s="56"/>
      <c r="X3112" s="57"/>
    </row>
    <row r="3113">
      <c r="A3113" s="54"/>
      <c r="G3113" s="55"/>
      <c r="U3113" s="56"/>
      <c r="X3113" s="57"/>
    </row>
    <row r="3114">
      <c r="A3114" s="54"/>
      <c r="G3114" s="55"/>
      <c r="U3114" s="56"/>
      <c r="X3114" s="57"/>
    </row>
    <row r="3115">
      <c r="A3115" s="54"/>
      <c r="G3115" s="55"/>
      <c r="U3115" s="56"/>
      <c r="X3115" s="57"/>
    </row>
    <row r="3116">
      <c r="A3116" s="54"/>
      <c r="G3116" s="55"/>
      <c r="U3116" s="56"/>
      <c r="X3116" s="57"/>
    </row>
    <row r="3117">
      <c r="A3117" s="54"/>
      <c r="G3117" s="55"/>
      <c r="U3117" s="56"/>
      <c r="X3117" s="57"/>
    </row>
    <row r="3118">
      <c r="A3118" s="54"/>
      <c r="G3118" s="55"/>
      <c r="U3118" s="56"/>
      <c r="X3118" s="57"/>
    </row>
    <row r="3119">
      <c r="A3119" s="54"/>
      <c r="G3119" s="55"/>
      <c r="U3119" s="56"/>
      <c r="X3119" s="57"/>
    </row>
    <row r="3120">
      <c r="A3120" s="54"/>
      <c r="G3120" s="55"/>
      <c r="U3120" s="56"/>
      <c r="X3120" s="57"/>
    </row>
    <row r="3121">
      <c r="A3121" s="54"/>
      <c r="G3121" s="55"/>
      <c r="U3121" s="56"/>
      <c r="X3121" s="57"/>
    </row>
    <row r="3122">
      <c r="A3122" s="54"/>
      <c r="G3122" s="55"/>
      <c r="U3122" s="56"/>
      <c r="X3122" s="57"/>
    </row>
    <row r="3123">
      <c r="A3123" s="54"/>
      <c r="G3123" s="55"/>
      <c r="U3123" s="56"/>
      <c r="X3123" s="57"/>
    </row>
    <row r="3124">
      <c r="A3124" s="54"/>
      <c r="G3124" s="55"/>
      <c r="U3124" s="56"/>
      <c r="X3124" s="57"/>
    </row>
    <row r="3125">
      <c r="A3125" s="54"/>
      <c r="G3125" s="55"/>
      <c r="U3125" s="56"/>
      <c r="X3125" s="57"/>
    </row>
    <row r="3126">
      <c r="A3126" s="54"/>
      <c r="G3126" s="55"/>
      <c r="U3126" s="56"/>
      <c r="X3126" s="57"/>
    </row>
    <row r="3127">
      <c r="A3127" s="54"/>
      <c r="G3127" s="55"/>
      <c r="U3127" s="56"/>
      <c r="X3127" s="57"/>
    </row>
    <row r="3128">
      <c r="A3128" s="54"/>
      <c r="G3128" s="55"/>
      <c r="U3128" s="56"/>
      <c r="X3128" s="57"/>
    </row>
    <row r="3129">
      <c r="A3129" s="54"/>
      <c r="G3129" s="55"/>
      <c r="U3129" s="56"/>
      <c r="X3129" s="57"/>
    </row>
    <row r="3130">
      <c r="A3130" s="54"/>
      <c r="G3130" s="55"/>
      <c r="U3130" s="56"/>
      <c r="X3130" s="57"/>
    </row>
    <row r="3131">
      <c r="A3131" s="54"/>
      <c r="G3131" s="55"/>
      <c r="U3131" s="56"/>
      <c r="X3131" s="57"/>
    </row>
    <row r="3132">
      <c r="A3132" s="54"/>
      <c r="G3132" s="55"/>
      <c r="U3132" s="56"/>
      <c r="X3132" s="57"/>
    </row>
    <row r="3133">
      <c r="A3133" s="54"/>
      <c r="G3133" s="55"/>
      <c r="U3133" s="56"/>
      <c r="X3133" s="57"/>
    </row>
    <row r="3134">
      <c r="A3134" s="54"/>
      <c r="G3134" s="55"/>
      <c r="U3134" s="56"/>
      <c r="X3134" s="57"/>
    </row>
    <row r="3135">
      <c r="A3135" s="54"/>
      <c r="G3135" s="55"/>
      <c r="U3135" s="56"/>
      <c r="X3135" s="57"/>
    </row>
    <row r="3136">
      <c r="A3136" s="54"/>
      <c r="G3136" s="55"/>
      <c r="U3136" s="56"/>
      <c r="X3136" s="57"/>
    </row>
    <row r="3137">
      <c r="A3137" s="54"/>
      <c r="G3137" s="55"/>
      <c r="U3137" s="56"/>
      <c r="X3137" s="57"/>
    </row>
    <row r="3138">
      <c r="A3138" s="54"/>
      <c r="G3138" s="55"/>
      <c r="U3138" s="56"/>
      <c r="X3138" s="57"/>
    </row>
    <row r="3139">
      <c r="A3139" s="54"/>
      <c r="G3139" s="55"/>
      <c r="U3139" s="56"/>
      <c r="X3139" s="57"/>
    </row>
    <row r="3140">
      <c r="A3140" s="54"/>
      <c r="G3140" s="55"/>
      <c r="U3140" s="56"/>
      <c r="X3140" s="57"/>
    </row>
    <row r="3141">
      <c r="A3141" s="54"/>
      <c r="G3141" s="55"/>
      <c r="U3141" s="56"/>
      <c r="X3141" s="57"/>
    </row>
    <row r="3142">
      <c r="A3142" s="54"/>
      <c r="G3142" s="55"/>
      <c r="U3142" s="56"/>
      <c r="X3142" s="57"/>
    </row>
    <row r="3143">
      <c r="A3143" s="54"/>
      <c r="G3143" s="55"/>
      <c r="U3143" s="56"/>
      <c r="X3143" s="57"/>
    </row>
    <row r="3144">
      <c r="A3144" s="54"/>
      <c r="G3144" s="55"/>
      <c r="U3144" s="56"/>
      <c r="X3144" s="57"/>
    </row>
    <row r="3145">
      <c r="A3145" s="54"/>
      <c r="G3145" s="55"/>
      <c r="U3145" s="56"/>
      <c r="X3145" s="57"/>
    </row>
    <row r="3146">
      <c r="A3146" s="54"/>
      <c r="G3146" s="55"/>
      <c r="U3146" s="56"/>
      <c r="X3146" s="57"/>
    </row>
    <row r="3147">
      <c r="A3147" s="54"/>
      <c r="G3147" s="55"/>
      <c r="U3147" s="56"/>
      <c r="X3147" s="57"/>
    </row>
    <row r="3148">
      <c r="A3148" s="54"/>
      <c r="G3148" s="55"/>
      <c r="U3148" s="56"/>
      <c r="X3148" s="57"/>
    </row>
    <row r="3149">
      <c r="A3149" s="54"/>
      <c r="G3149" s="55"/>
      <c r="U3149" s="56"/>
      <c r="X3149" s="57"/>
    </row>
    <row r="3150">
      <c r="A3150" s="54"/>
      <c r="G3150" s="55"/>
      <c r="U3150" s="56"/>
      <c r="X3150" s="57"/>
    </row>
    <row r="3151">
      <c r="A3151" s="54"/>
      <c r="G3151" s="55"/>
      <c r="U3151" s="56"/>
      <c r="X3151" s="57"/>
    </row>
    <row r="3152">
      <c r="A3152" s="54"/>
      <c r="G3152" s="55"/>
      <c r="U3152" s="56"/>
      <c r="X3152" s="57"/>
    </row>
    <row r="3153">
      <c r="A3153" s="54"/>
      <c r="G3153" s="55"/>
      <c r="U3153" s="56"/>
      <c r="X3153" s="57"/>
    </row>
    <row r="3154">
      <c r="A3154" s="54"/>
      <c r="G3154" s="55"/>
      <c r="U3154" s="56"/>
      <c r="X3154" s="57"/>
    </row>
    <row r="3155">
      <c r="A3155" s="54"/>
      <c r="G3155" s="55"/>
      <c r="U3155" s="56"/>
      <c r="X3155" s="57"/>
    </row>
    <row r="3156">
      <c r="A3156" s="54"/>
      <c r="G3156" s="55"/>
      <c r="U3156" s="56"/>
      <c r="X3156" s="57"/>
    </row>
    <row r="3157">
      <c r="A3157" s="54"/>
      <c r="G3157" s="55"/>
      <c r="U3157" s="56"/>
      <c r="X3157" s="57"/>
    </row>
    <row r="3158">
      <c r="A3158" s="54"/>
      <c r="G3158" s="55"/>
      <c r="U3158" s="56"/>
      <c r="X3158" s="57"/>
    </row>
    <row r="3159">
      <c r="A3159" s="54"/>
      <c r="G3159" s="55"/>
      <c r="U3159" s="56"/>
      <c r="X3159" s="57"/>
    </row>
    <row r="3160">
      <c r="A3160" s="54"/>
      <c r="G3160" s="55"/>
      <c r="U3160" s="56"/>
      <c r="X3160" s="57"/>
    </row>
    <row r="3161">
      <c r="A3161" s="54"/>
      <c r="G3161" s="55"/>
      <c r="U3161" s="56"/>
      <c r="X3161" s="57"/>
    </row>
    <row r="3162">
      <c r="A3162" s="54"/>
      <c r="G3162" s="55"/>
      <c r="U3162" s="56"/>
      <c r="X3162" s="57"/>
    </row>
    <row r="3163">
      <c r="A3163" s="54"/>
      <c r="G3163" s="55"/>
      <c r="U3163" s="56"/>
      <c r="X3163" s="57"/>
    </row>
    <row r="3164">
      <c r="A3164" s="54"/>
      <c r="G3164" s="55"/>
      <c r="U3164" s="56"/>
      <c r="X3164" s="57"/>
    </row>
    <row r="3165">
      <c r="A3165" s="54"/>
      <c r="G3165" s="55"/>
      <c r="U3165" s="56"/>
      <c r="X3165" s="57"/>
    </row>
    <row r="3166">
      <c r="A3166" s="54"/>
      <c r="G3166" s="55"/>
      <c r="U3166" s="56"/>
      <c r="X3166" s="57"/>
    </row>
    <row r="3167">
      <c r="A3167" s="54"/>
      <c r="G3167" s="55"/>
      <c r="U3167" s="56"/>
      <c r="X3167" s="57"/>
    </row>
    <row r="3168">
      <c r="A3168" s="54"/>
      <c r="G3168" s="55"/>
      <c r="U3168" s="56"/>
      <c r="X3168" s="57"/>
    </row>
    <row r="3169">
      <c r="A3169" s="54"/>
      <c r="G3169" s="55"/>
      <c r="U3169" s="56"/>
      <c r="X3169" s="57"/>
    </row>
    <row r="3170">
      <c r="A3170" s="54"/>
      <c r="G3170" s="55"/>
      <c r="U3170" s="56"/>
      <c r="X3170" s="57"/>
    </row>
    <row r="3171">
      <c r="A3171" s="54"/>
      <c r="G3171" s="55"/>
      <c r="U3171" s="56"/>
      <c r="X3171" s="57"/>
    </row>
    <row r="3172">
      <c r="A3172" s="54"/>
      <c r="G3172" s="55"/>
      <c r="U3172" s="56"/>
      <c r="X3172" s="57"/>
    </row>
    <row r="3173">
      <c r="A3173" s="54"/>
      <c r="G3173" s="55"/>
      <c r="U3173" s="56"/>
      <c r="X3173" s="57"/>
    </row>
    <row r="3174">
      <c r="A3174" s="54"/>
      <c r="G3174" s="55"/>
      <c r="U3174" s="56"/>
      <c r="X3174" s="57"/>
    </row>
    <row r="3175">
      <c r="A3175" s="54"/>
      <c r="G3175" s="55"/>
      <c r="U3175" s="56"/>
      <c r="X3175" s="57"/>
    </row>
    <row r="3176">
      <c r="A3176" s="54"/>
      <c r="G3176" s="55"/>
      <c r="U3176" s="56"/>
      <c r="X3176" s="57"/>
    </row>
    <row r="3177">
      <c r="A3177" s="54"/>
      <c r="G3177" s="55"/>
      <c r="U3177" s="56"/>
      <c r="X3177" s="57"/>
    </row>
    <row r="3178">
      <c r="A3178" s="54"/>
      <c r="G3178" s="55"/>
      <c r="U3178" s="56"/>
      <c r="X3178" s="57"/>
    </row>
    <row r="3179">
      <c r="A3179" s="54"/>
      <c r="G3179" s="55"/>
      <c r="U3179" s="56"/>
      <c r="X3179" s="57"/>
    </row>
    <row r="3180">
      <c r="A3180" s="54"/>
      <c r="G3180" s="55"/>
      <c r="U3180" s="56"/>
      <c r="X3180" s="57"/>
    </row>
    <row r="3181">
      <c r="A3181" s="54"/>
      <c r="G3181" s="55"/>
      <c r="U3181" s="56"/>
      <c r="X3181" s="57"/>
    </row>
    <row r="3182">
      <c r="A3182" s="54"/>
      <c r="G3182" s="55"/>
      <c r="U3182" s="56"/>
      <c r="X3182" s="57"/>
    </row>
    <row r="3183">
      <c r="A3183" s="54"/>
      <c r="G3183" s="55"/>
      <c r="U3183" s="56"/>
      <c r="X3183" s="57"/>
    </row>
    <row r="3184">
      <c r="A3184" s="54"/>
      <c r="G3184" s="55"/>
      <c r="U3184" s="56"/>
      <c r="X3184" s="57"/>
    </row>
    <row r="3185">
      <c r="A3185" s="54"/>
      <c r="G3185" s="55"/>
      <c r="U3185" s="56"/>
      <c r="X3185" s="57"/>
    </row>
    <row r="3186">
      <c r="A3186" s="54"/>
      <c r="G3186" s="55"/>
      <c r="U3186" s="56"/>
      <c r="X3186" s="57"/>
    </row>
    <row r="3187">
      <c r="A3187" s="54"/>
      <c r="G3187" s="55"/>
      <c r="U3187" s="56"/>
      <c r="X3187" s="57"/>
    </row>
    <row r="3188">
      <c r="A3188" s="54"/>
      <c r="G3188" s="55"/>
      <c r="U3188" s="56"/>
      <c r="X3188" s="57"/>
    </row>
    <row r="3189">
      <c r="A3189" s="54"/>
      <c r="G3189" s="55"/>
      <c r="U3189" s="56"/>
      <c r="X3189" s="57"/>
    </row>
    <row r="3190">
      <c r="A3190" s="54"/>
      <c r="G3190" s="55"/>
      <c r="U3190" s="56"/>
      <c r="X3190" s="57"/>
    </row>
    <row r="3191">
      <c r="A3191" s="54"/>
      <c r="G3191" s="55"/>
      <c r="U3191" s="56"/>
      <c r="X3191" s="57"/>
    </row>
    <row r="3192">
      <c r="A3192" s="54"/>
      <c r="G3192" s="55"/>
      <c r="U3192" s="56"/>
      <c r="X3192" s="57"/>
    </row>
    <row r="3193">
      <c r="A3193" s="54"/>
      <c r="G3193" s="55"/>
      <c r="U3193" s="56"/>
      <c r="X3193" s="57"/>
    </row>
    <row r="3194">
      <c r="A3194" s="54"/>
      <c r="G3194" s="55"/>
      <c r="U3194" s="56"/>
      <c r="X3194" s="57"/>
    </row>
    <row r="3195">
      <c r="A3195" s="54"/>
      <c r="G3195" s="55"/>
      <c r="U3195" s="56"/>
      <c r="X3195" s="57"/>
    </row>
    <row r="3196">
      <c r="A3196" s="54"/>
      <c r="G3196" s="55"/>
      <c r="U3196" s="56"/>
      <c r="X3196" s="57"/>
    </row>
    <row r="3197">
      <c r="A3197" s="54"/>
      <c r="G3197" s="55"/>
      <c r="U3197" s="56"/>
      <c r="X3197" s="57"/>
    </row>
    <row r="3198">
      <c r="A3198" s="54"/>
      <c r="G3198" s="55"/>
      <c r="U3198" s="56"/>
      <c r="X3198" s="57"/>
    </row>
    <row r="3199">
      <c r="A3199" s="54"/>
      <c r="G3199" s="55"/>
      <c r="U3199" s="56"/>
      <c r="X3199" s="57"/>
    </row>
    <row r="3200">
      <c r="A3200" s="54"/>
      <c r="G3200" s="55"/>
      <c r="U3200" s="56"/>
      <c r="X3200" s="57"/>
    </row>
    <row r="3201">
      <c r="A3201" s="54"/>
      <c r="G3201" s="55"/>
      <c r="U3201" s="56"/>
      <c r="X3201" s="57"/>
    </row>
    <row r="3202">
      <c r="A3202" s="54"/>
      <c r="G3202" s="55"/>
      <c r="U3202" s="56"/>
      <c r="X3202" s="57"/>
    </row>
    <row r="3203">
      <c r="A3203" s="54"/>
      <c r="G3203" s="55"/>
      <c r="U3203" s="56"/>
      <c r="X3203" s="57"/>
    </row>
    <row r="3204">
      <c r="A3204" s="54"/>
      <c r="G3204" s="55"/>
      <c r="U3204" s="56"/>
      <c r="X3204" s="57"/>
    </row>
    <row r="3205">
      <c r="A3205" s="54"/>
      <c r="G3205" s="55"/>
      <c r="U3205" s="56"/>
      <c r="X3205" s="57"/>
    </row>
    <row r="3206">
      <c r="A3206" s="54"/>
      <c r="G3206" s="55"/>
      <c r="U3206" s="56"/>
      <c r="X3206" s="57"/>
    </row>
    <row r="3207">
      <c r="A3207" s="54"/>
      <c r="G3207" s="55"/>
      <c r="U3207" s="56"/>
      <c r="X3207" s="57"/>
    </row>
    <row r="3208">
      <c r="A3208" s="54"/>
      <c r="G3208" s="55"/>
      <c r="U3208" s="56"/>
      <c r="X3208" s="57"/>
    </row>
    <row r="3209">
      <c r="A3209" s="54"/>
      <c r="G3209" s="55"/>
      <c r="U3209" s="56"/>
      <c r="X3209" s="57"/>
    </row>
    <row r="3210">
      <c r="A3210" s="54"/>
      <c r="G3210" s="55"/>
      <c r="U3210" s="56"/>
      <c r="X3210" s="57"/>
    </row>
    <row r="3211">
      <c r="A3211" s="54"/>
      <c r="G3211" s="55"/>
      <c r="U3211" s="56"/>
      <c r="X3211" s="57"/>
    </row>
    <row r="3212">
      <c r="A3212" s="54"/>
      <c r="G3212" s="55"/>
      <c r="U3212" s="56"/>
      <c r="X3212" s="57"/>
    </row>
    <row r="3213">
      <c r="A3213" s="54"/>
      <c r="G3213" s="55"/>
      <c r="U3213" s="56"/>
      <c r="X3213" s="57"/>
    </row>
    <row r="3214">
      <c r="A3214" s="54"/>
      <c r="G3214" s="55"/>
      <c r="U3214" s="56"/>
      <c r="X3214" s="57"/>
    </row>
    <row r="3215">
      <c r="A3215" s="54"/>
      <c r="G3215" s="55"/>
      <c r="U3215" s="56"/>
      <c r="X3215" s="57"/>
    </row>
    <row r="3216">
      <c r="A3216" s="54"/>
      <c r="G3216" s="55"/>
      <c r="U3216" s="56"/>
      <c r="X3216" s="57"/>
    </row>
    <row r="3217">
      <c r="A3217" s="54"/>
      <c r="G3217" s="55"/>
      <c r="U3217" s="56"/>
      <c r="X3217" s="57"/>
    </row>
    <row r="3218">
      <c r="A3218" s="54"/>
      <c r="G3218" s="55"/>
      <c r="U3218" s="56"/>
      <c r="X3218" s="57"/>
    </row>
    <row r="3219">
      <c r="A3219" s="54"/>
      <c r="G3219" s="55"/>
      <c r="U3219" s="56"/>
      <c r="X3219" s="57"/>
    </row>
    <row r="3220">
      <c r="A3220" s="54"/>
      <c r="G3220" s="55"/>
      <c r="U3220" s="56"/>
      <c r="X3220" s="57"/>
    </row>
    <row r="3221">
      <c r="A3221" s="54"/>
      <c r="G3221" s="55"/>
      <c r="U3221" s="56"/>
      <c r="X3221" s="57"/>
    </row>
    <row r="3222">
      <c r="A3222" s="54"/>
      <c r="G3222" s="55"/>
      <c r="U3222" s="56"/>
      <c r="X3222" s="57"/>
    </row>
    <row r="3223">
      <c r="A3223" s="54"/>
      <c r="G3223" s="55"/>
      <c r="U3223" s="56"/>
      <c r="X3223" s="57"/>
    </row>
    <row r="3224">
      <c r="A3224" s="54"/>
      <c r="G3224" s="55"/>
      <c r="U3224" s="56"/>
      <c r="X3224" s="57"/>
    </row>
    <row r="3225">
      <c r="A3225" s="54"/>
      <c r="G3225" s="55"/>
      <c r="U3225" s="56"/>
      <c r="X3225" s="57"/>
    </row>
    <row r="3226">
      <c r="A3226" s="54"/>
      <c r="G3226" s="55"/>
      <c r="U3226" s="56"/>
      <c r="X3226" s="57"/>
    </row>
    <row r="3227">
      <c r="A3227" s="54"/>
      <c r="G3227" s="55"/>
      <c r="U3227" s="56"/>
      <c r="X3227" s="57"/>
    </row>
    <row r="3228">
      <c r="A3228" s="54"/>
      <c r="G3228" s="55"/>
      <c r="U3228" s="56"/>
      <c r="X3228" s="57"/>
    </row>
    <row r="3229">
      <c r="A3229" s="54"/>
      <c r="G3229" s="55"/>
      <c r="U3229" s="56"/>
      <c r="X3229" s="57"/>
    </row>
    <row r="3230">
      <c r="A3230" s="54"/>
      <c r="G3230" s="55"/>
      <c r="U3230" s="56"/>
      <c r="X3230" s="57"/>
    </row>
    <row r="3231">
      <c r="A3231" s="54"/>
      <c r="G3231" s="55"/>
      <c r="U3231" s="56"/>
      <c r="X3231" s="57"/>
    </row>
    <row r="3232">
      <c r="A3232" s="54"/>
      <c r="G3232" s="55"/>
      <c r="U3232" s="56"/>
      <c r="X3232" s="57"/>
    </row>
    <row r="3233">
      <c r="A3233" s="54"/>
      <c r="G3233" s="55"/>
      <c r="U3233" s="56"/>
      <c r="X3233" s="57"/>
    </row>
    <row r="3234">
      <c r="A3234" s="54"/>
      <c r="G3234" s="55"/>
      <c r="U3234" s="56"/>
      <c r="X3234" s="57"/>
    </row>
    <row r="3235">
      <c r="A3235" s="54"/>
      <c r="G3235" s="55"/>
      <c r="U3235" s="56"/>
      <c r="X3235" s="57"/>
    </row>
    <row r="3236">
      <c r="A3236" s="54"/>
      <c r="G3236" s="55"/>
      <c r="U3236" s="56"/>
      <c r="X3236" s="57"/>
    </row>
    <row r="3237">
      <c r="A3237" s="54"/>
      <c r="G3237" s="55"/>
      <c r="U3237" s="56"/>
      <c r="X3237" s="57"/>
    </row>
    <row r="3238">
      <c r="A3238" s="54"/>
      <c r="G3238" s="55"/>
      <c r="U3238" s="56"/>
      <c r="X3238" s="57"/>
    </row>
    <row r="3239">
      <c r="A3239" s="54"/>
      <c r="G3239" s="55"/>
      <c r="U3239" s="56"/>
      <c r="X3239" s="57"/>
    </row>
    <row r="3240">
      <c r="A3240" s="54"/>
      <c r="G3240" s="55"/>
      <c r="U3240" s="56"/>
      <c r="X3240" s="57"/>
    </row>
    <row r="3241">
      <c r="A3241" s="54"/>
      <c r="G3241" s="55"/>
      <c r="U3241" s="56"/>
      <c r="X3241" s="57"/>
    </row>
    <row r="3242">
      <c r="A3242" s="54"/>
      <c r="G3242" s="55"/>
      <c r="U3242" s="56"/>
      <c r="X3242" s="57"/>
    </row>
    <row r="3243">
      <c r="A3243" s="54"/>
      <c r="G3243" s="55"/>
      <c r="U3243" s="56"/>
      <c r="X3243" s="57"/>
    </row>
    <row r="3244">
      <c r="A3244" s="54"/>
      <c r="G3244" s="55"/>
      <c r="U3244" s="56"/>
      <c r="X3244" s="57"/>
    </row>
    <row r="3245">
      <c r="A3245" s="54"/>
      <c r="G3245" s="55"/>
      <c r="U3245" s="56"/>
      <c r="X3245" s="57"/>
    </row>
    <row r="3246">
      <c r="A3246" s="54"/>
      <c r="G3246" s="55"/>
      <c r="U3246" s="56"/>
      <c r="X3246" s="57"/>
    </row>
    <row r="3247">
      <c r="A3247" s="54"/>
      <c r="G3247" s="55"/>
      <c r="U3247" s="56"/>
      <c r="X3247" s="57"/>
    </row>
    <row r="3248">
      <c r="A3248" s="54"/>
      <c r="G3248" s="55"/>
      <c r="U3248" s="56"/>
      <c r="X3248" s="57"/>
    </row>
    <row r="3249">
      <c r="A3249" s="54"/>
      <c r="G3249" s="55"/>
      <c r="U3249" s="56"/>
      <c r="X3249" s="57"/>
    </row>
    <row r="3250">
      <c r="A3250" s="54"/>
      <c r="G3250" s="55"/>
      <c r="U3250" s="56"/>
      <c r="X3250" s="57"/>
    </row>
    <row r="3251">
      <c r="A3251" s="54"/>
      <c r="G3251" s="55"/>
      <c r="U3251" s="56"/>
      <c r="X3251" s="57"/>
    </row>
    <row r="3252">
      <c r="A3252" s="54"/>
      <c r="G3252" s="55"/>
      <c r="U3252" s="56"/>
      <c r="X3252" s="57"/>
    </row>
    <row r="3253">
      <c r="A3253" s="54"/>
      <c r="G3253" s="55"/>
      <c r="U3253" s="56"/>
      <c r="X3253" s="57"/>
    </row>
    <row r="3254">
      <c r="A3254" s="54"/>
      <c r="G3254" s="55"/>
      <c r="U3254" s="56"/>
      <c r="X3254" s="57"/>
    </row>
    <row r="3255">
      <c r="A3255" s="54"/>
      <c r="G3255" s="55"/>
      <c r="U3255" s="56"/>
      <c r="X3255" s="57"/>
    </row>
    <row r="3256">
      <c r="A3256" s="54"/>
      <c r="G3256" s="55"/>
      <c r="U3256" s="56"/>
      <c r="X3256" s="57"/>
    </row>
    <row r="3257">
      <c r="A3257" s="54"/>
      <c r="G3257" s="55"/>
      <c r="U3257" s="56"/>
      <c r="X3257" s="57"/>
    </row>
    <row r="3258">
      <c r="A3258" s="54"/>
      <c r="G3258" s="55"/>
      <c r="U3258" s="56"/>
      <c r="X3258" s="57"/>
    </row>
    <row r="3259">
      <c r="A3259" s="54"/>
      <c r="G3259" s="55"/>
      <c r="U3259" s="56"/>
      <c r="X3259" s="57"/>
    </row>
    <row r="3260">
      <c r="A3260" s="54"/>
      <c r="G3260" s="55"/>
      <c r="U3260" s="56"/>
      <c r="X3260" s="57"/>
    </row>
    <row r="3261">
      <c r="A3261" s="54"/>
      <c r="G3261" s="55"/>
      <c r="U3261" s="56"/>
      <c r="X3261" s="57"/>
    </row>
    <row r="3262">
      <c r="A3262" s="54"/>
      <c r="G3262" s="55"/>
      <c r="U3262" s="56"/>
      <c r="X3262" s="57"/>
    </row>
    <row r="3263">
      <c r="A3263" s="54"/>
      <c r="G3263" s="55"/>
      <c r="U3263" s="56"/>
      <c r="X3263" s="57"/>
    </row>
    <row r="3264">
      <c r="A3264" s="54"/>
      <c r="G3264" s="55"/>
      <c r="U3264" s="56"/>
      <c r="X3264" s="57"/>
    </row>
    <row r="3265">
      <c r="A3265" s="54"/>
      <c r="G3265" s="55"/>
      <c r="U3265" s="56"/>
      <c r="X3265" s="57"/>
    </row>
    <row r="3266">
      <c r="A3266" s="54"/>
      <c r="G3266" s="55"/>
      <c r="U3266" s="56"/>
      <c r="X3266" s="57"/>
    </row>
    <row r="3267">
      <c r="A3267" s="54"/>
      <c r="G3267" s="55"/>
      <c r="U3267" s="56"/>
      <c r="X3267" s="57"/>
    </row>
    <row r="3268">
      <c r="A3268" s="54"/>
      <c r="G3268" s="55"/>
      <c r="U3268" s="56"/>
      <c r="X3268" s="57"/>
    </row>
    <row r="3269">
      <c r="A3269" s="54"/>
      <c r="G3269" s="55"/>
      <c r="U3269" s="56"/>
      <c r="X3269" s="57"/>
    </row>
    <row r="3270">
      <c r="A3270" s="54"/>
      <c r="G3270" s="55"/>
      <c r="U3270" s="56"/>
      <c r="X3270" s="57"/>
    </row>
    <row r="3271">
      <c r="A3271" s="54"/>
      <c r="G3271" s="55"/>
      <c r="U3271" s="56"/>
      <c r="X3271" s="57"/>
    </row>
    <row r="3272">
      <c r="A3272" s="54"/>
      <c r="G3272" s="55"/>
      <c r="U3272" s="56"/>
      <c r="X3272" s="57"/>
    </row>
    <row r="3273">
      <c r="A3273" s="54"/>
      <c r="G3273" s="55"/>
      <c r="U3273" s="56"/>
      <c r="X3273" s="57"/>
    </row>
    <row r="3274">
      <c r="A3274" s="54"/>
      <c r="G3274" s="55"/>
      <c r="U3274" s="56"/>
      <c r="X3274" s="57"/>
    </row>
    <row r="3275">
      <c r="A3275" s="54"/>
      <c r="G3275" s="55"/>
      <c r="U3275" s="56"/>
      <c r="X3275" s="57"/>
    </row>
    <row r="3276">
      <c r="A3276" s="54"/>
      <c r="G3276" s="55"/>
      <c r="U3276" s="56"/>
      <c r="X3276" s="57"/>
    </row>
    <row r="3277">
      <c r="A3277" s="54"/>
      <c r="G3277" s="55"/>
      <c r="U3277" s="56"/>
      <c r="X3277" s="57"/>
    </row>
    <row r="3278">
      <c r="A3278" s="54"/>
      <c r="G3278" s="55"/>
      <c r="U3278" s="56"/>
      <c r="X3278" s="57"/>
    </row>
    <row r="3279">
      <c r="A3279" s="54"/>
      <c r="G3279" s="55"/>
      <c r="U3279" s="56"/>
      <c r="X3279" s="57"/>
    </row>
    <row r="3280">
      <c r="A3280" s="54"/>
      <c r="G3280" s="55"/>
      <c r="U3280" s="56"/>
      <c r="X3280" s="57"/>
    </row>
    <row r="3281">
      <c r="A3281" s="54"/>
      <c r="G3281" s="55"/>
      <c r="U3281" s="56"/>
      <c r="X3281" s="57"/>
    </row>
    <row r="3282">
      <c r="A3282" s="54"/>
      <c r="G3282" s="55"/>
      <c r="U3282" s="56"/>
      <c r="X3282" s="57"/>
    </row>
    <row r="3283">
      <c r="A3283" s="54"/>
      <c r="G3283" s="55"/>
      <c r="U3283" s="56"/>
      <c r="X3283" s="57"/>
    </row>
    <row r="3284">
      <c r="A3284" s="54"/>
      <c r="G3284" s="55"/>
      <c r="U3284" s="56"/>
      <c r="X3284" s="57"/>
    </row>
    <row r="3285">
      <c r="A3285" s="54"/>
      <c r="G3285" s="55"/>
      <c r="U3285" s="56"/>
      <c r="X3285" s="57"/>
    </row>
    <row r="3286">
      <c r="A3286" s="54"/>
      <c r="G3286" s="55"/>
      <c r="U3286" s="56"/>
      <c r="X3286" s="57"/>
    </row>
    <row r="3287">
      <c r="A3287" s="54"/>
      <c r="G3287" s="55"/>
      <c r="U3287" s="56"/>
      <c r="X3287" s="57"/>
    </row>
    <row r="3288">
      <c r="A3288" s="54"/>
      <c r="G3288" s="55"/>
      <c r="U3288" s="56"/>
      <c r="X3288" s="57"/>
    </row>
    <row r="3289">
      <c r="A3289" s="54"/>
      <c r="G3289" s="55"/>
      <c r="U3289" s="56"/>
      <c r="X3289" s="57"/>
    </row>
    <row r="3290">
      <c r="A3290" s="54"/>
      <c r="G3290" s="55"/>
      <c r="U3290" s="56"/>
      <c r="X3290" s="57"/>
    </row>
    <row r="3291">
      <c r="A3291" s="54"/>
      <c r="G3291" s="55"/>
      <c r="U3291" s="56"/>
      <c r="X3291" s="57"/>
    </row>
    <row r="3292">
      <c r="A3292" s="54"/>
      <c r="G3292" s="55"/>
      <c r="U3292" s="56"/>
      <c r="X3292" s="57"/>
    </row>
    <row r="3293">
      <c r="A3293" s="54"/>
      <c r="G3293" s="55"/>
      <c r="U3293" s="56"/>
      <c r="X3293" s="57"/>
    </row>
    <row r="3294">
      <c r="A3294" s="54"/>
      <c r="G3294" s="55"/>
      <c r="U3294" s="56"/>
      <c r="X3294" s="57"/>
    </row>
    <row r="3295">
      <c r="A3295" s="54"/>
      <c r="G3295" s="55"/>
      <c r="U3295" s="56"/>
      <c r="X3295" s="57"/>
    </row>
    <row r="3296">
      <c r="A3296" s="54"/>
      <c r="G3296" s="55"/>
      <c r="U3296" s="56"/>
      <c r="X3296" s="57"/>
    </row>
    <row r="3297">
      <c r="A3297" s="54"/>
      <c r="G3297" s="55"/>
      <c r="U3297" s="56"/>
      <c r="X3297" s="57"/>
    </row>
    <row r="3298">
      <c r="A3298" s="54"/>
      <c r="G3298" s="55"/>
      <c r="U3298" s="56"/>
      <c r="X3298" s="57"/>
    </row>
    <row r="3299">
      <c r="A3299" s="54"/>
      <c r="G3299" s="55"/>
      <c r="U3299" s="56"/>
      <c r="X3299" s="57"/>
    </row>
    <row r="3300">
      <c r="A3300" s="54"/>
      <c r="G3300" s="55"/>
      <c r="U3300" s="56"/>
      <c r="X3300" s="57"/>
    </row>
    <row r="3301">
      <c r="A3301" s="54"/>
      <c r="G3301" s="55"/>
      <c r="U3301" s="56"/>
      <c r="X3301" s="57"/>
    </row>
    <row r="3302">
      <c r="A3302" s="54"/>
      <c r="G3302" s="55"/>
      <c r="U3302" s="56"/>
      <c r="X3302" s="57"/>
    </row>
    <row r="3303">
      <c r="A3303" s="54"/>
      <c r="G3303" s="55"/>
      <c r="U3303" s="56"/>
      <c r="X3303" s="57"/>
    </row>
    <row r="3304">
      <c r="A3304" s="54"/>
      <c r="G3304" s="55"/>
      <c r="U3304" s="56"/>
      <c r="X3304" s="57"/>
    </row>
    <row r="3305">
      <c r="A3305" s="54"/>
      <c r="G3305" s="55"/>
      <c r="U3305" s="56"/>
      <c r="X3305" s="57"/>
    </row>
    <row r="3306">
      <c r="A3306" s="54"/>
      <c r="G3306" s="55"/>
      <c r="U3306" s="56"/>
      <c r="X3306" s="57"/>
    </row>
    <row r="3307">
      <c r="A3307" s="54"/>
      <c r="G3307" s="55"/>
      <c r="U3307" s="56"/>
      <c r="X3307" s="57"/>
    </row>
    <row r="3308">
      <c r="A3308" s="54"/>
      <c r="G3308" s="55"/>
      <c r="U3308" s="56"/>
      <c r="X3308" s="57"/>
    </row>
    <row r="3309">
      <c r="A3309" s="54"/>
      <c r="G3309" s="55"/>
      <c r="U3309" s="56"/>
      <c r="X3309" s="57"/>
    </row>
    <row r="3310">
      <c r="A3310" s="54"/>
      <c r="G3310" s="55"/>
      <c r="U3310" s="56"/>
      <c r="X3310" s="57"/>
    </row>
    <row r="3311">
      <c r="A3311" s="54"/>
      <c r="G3311" s="55"/>
      <c r="U3311" s="56"/>
      <c r="X3311" s="57"/>
    </row>
    <row r="3312">
      <c r="A3312" s="54"/>
      <c r="G3312" s="55"/>
      <c r="U3312" s="56"/>
      <c r="X3312" s="57"/>
    </row>
    <row r="3313">
      <c r="A3313" s="54"/>
      <c r="G3313" s="55"/>
      <c r="U3313" s="56"/>
      <c r="X3313" s="57"/>
    </row>
    <row r="3314">
      <c r="A3314" s="54"/>
      <c r="G3314" s="55"/>
      <c r="U3314" s="56"/>
      <c r="X3314" s="57"/>
    </row>
    <row r="3315">
      <c r="A3315" s="54"/>
      <c r="G3315" s="55"/>
      <c r="U3315" s="56"/>
      <c r="X3315" s="57"/>
    </row>
    <row r="3316">
      <c r="A3316" s="54"/>
      <c r="G3316" s="55"/>
      <c r="U3316" s="56"/>
      <c r="X3316" s="57"/>
    </row>
    <row r="3317">
      <c r="A3317" s="54"/>
      <c r="G3317" s="55"/>
      <c r="U3317" s="56"/>
      <c r="X3317" s="57"/>
    </row>
    <row r="3318">
      <c r="A3318" s="54"/>
      <c r="G3318" s="55"/>
      <c r="U3318" s="56"/>
      <c r="X3318" s="57"/>
    </row>
    <row r="3319">
      <c r="A3319" s="54"/>
      <c r="G3319" s="55"/>
      <c r="U3319" s="56"/>
      <c r="X3319" s="57"/>
    </row>
    <row r="3320">
      <c r="A3320" s="54"/>
      <c r="G3320" s="55"/>
      <c r="U3320" s="56"/>
      <c r="X3320" s="57"/>
    </row>
    <row r="3321">
      <c r="A3321" s="54"/>
      <c r="G3321" s="55"/>
      <c r="U3321" s="56"/>
      <c r="X3321" s="57"/>
    </row>
    <row r="3322">
      <c r="A3322" s="54"/>
      <c r="G3322" s="55"/>
      <c r="U3322" s="56"/>
      <c r="X3322" s="57"/>
    </row>
    <row r="3323">
      <c r="A3323" s="54"/>
      <c r="G3323" s="55"/>
      <c r="U3323" s="56"/>
      <c r="X3323" s="57"/>
    </row>
    <row r="3324">
      <c r="A3324" s="54"/>
      <c r="G3324" s="55"/>
      <c r="U3324" s="56"/>
      <c r="X3324" s="57"/>
    </row>
    <row r="3325">
      <c r="A3325" s="54"/>
      <c r="G3325" s="55"/>
      <c r="U3325" s="56"/>
      <c r="X3325" s="57"/>
    </row>
    <row r="3326">
      <c r="A3326" s="54"/>
      <c r="G3326" s="55"/>
      <c r="U3326" s="56"/>
      <c r="X3326" s="57"/>
    </row>
    <row r="3327">
      <c r="A3327" s="54"/>
      <c r="G3327" s="55"/>
      <c r="U3327" s="56"/>
      <c r="X3327" s="57"/>
    </row>
    <row r="3328">
      <c r="A3328" s="54"/>
      <c r="G3328" s="55"/>
      <c r="U3328" s="56"/>
      <c r="X3328" s="57"/>
    </row>
    <row r="3329">
      <c r="A3329" s="54"/>
      <c r="G3329" s="55"/>
      <c r="U3329" s="56"/>
      <c r="X3329" s="57"/>
    </row>
    <row r="3330">
      <c r="A3330" s="54"/>
      <c r="G3330" s="55"/>
      <c r="U3330" s="56"/>
      <c r="X3330" s="57"/>
    </row>
    <row r="3331">
      <c r="A3331" s="54"/>
      <c r="G3331" s="55"/>
      <c r="U3331" s="56"/>
      <c r="X3331" s="57"/>
    </row>
    <row r="3332">
      <c r="A3332" s="54"/>
      <c r="G3332" s="55"/>
      <c r="U3332" s="56"/>
      <c r="X3332" s="57"/>
    </row>
    <row r="3333">
      <c r="A3333" s="54"/>
      <c r="G3333" s="55"/>
      <c r="U3333" s="56"/>
      <c r="X3333" s="57"/>
    </row>
    <row r="3334">
      <c r="A3334" s="54"/>
      <c r="G3334" s="55"/>
      <c r="U3334" s="56"/>
      <c r="X3334" s="57"/>
    </row>
    <row r="3335">
      <c r="A3335" s="54"/>
      <c r="G3335" s="55"/>
      <c r="U3335" s="56"/>
      <c r="X3335" s="57"/>
    </row>
    <row r="3336">
      <c r="A3336" s="54"/>
      <c r="G3336" s="55"/>
      <c r="U3336" s="56"/>
      <c r="X3336" s="57"/>
    </row>
    <row r="3337">
      <c r="A3337" s="54"/>
      <c r="G3337" s="55"/>
      <c r="U3337" s="56"/>
      <c r="X3337" s="57"/>
    </row>
    <row r="3338">
      <c r="A3338" s="54"/>
      <c r="G3338" s="55"/>
      <c r="U3338" s="56"/>
      <c r="X3338" s="57"/>
    </row>
    <row r="3339">
      <c r="A3339" s="54"/>
      <c r="G3339" s="55"/>
      <c r="U3339" s="56"/>
      <c r="X3339" s="57"/>
    </row>
    <row r="3340">
      <c r="A3340" s="54"/>
      <c r="G3340" s="55"/>
      <c r="U3340" s="56"/>
      <c r="X3340" s="57"/>
    </row>
    <row r="3341">
      <c r="A3341" s="54"/>
      <c r="G3341" s="55"/>
      <c r="U3341" s="56"/>
      <c r="X3341" s="57"/>
    </row>
    <row r="3342">
      <c r="A3342" s="54"/>
      <c r="G3342" s="55"/>
      <c r="U3342" s="56"/>
      <c r="X3342" s="57"/>
    </row>
    <row r="3343">
      <c r="A3343" s="54"/>
      <c r="G3343" s="55"/>
      <c r="U3343" s="56"/>
      <c r="X3343" s="57"/>
    </row>
    <row r="3344">
      <c r="A3344" s="54"/>
      <c r="G3344" s="55"/>
      <c r="U3344" s="56"/>
      <c r="X3344" s="57"/>
    </row>
    <row r="3345">
      <c r="A3345" s="54"/>
      <c r="G3345" s="55"/>
      <c r="U3345" s="56"/>
      <c r="X3345" s="57"/>
    </row>
    <row r="3346">
      <c r="A3346" s="54"/>
      <c r="G3346" s="55"/>
      <c r="U3346" s="56"/>
      <c r="X3346" s="57"/>
    </row>
    <row r="3347">
      <c r="A3347" s="54"/>
      <c r="G3347" s="55"/>
      <c r="U3347" s="56"/>
      <c r="X3347" s="57"/>
    </row>
    <row r="3348">
      <c r="A3348" s="54"/>
      <c r="G3348" s="55"/>
      <c r="U3348" s="56"/>
      <c r="X3348" s="57"/>
    </row>
    <row r="3349">
      <c r="A3349" s="54"/>
      <c r="G3349" s="55"/>
      <c r="U3349" s="56"/>
      <c r="X3349" s="57"/>
    </row>
    <row r="3350">
      <c r="A3350" s="54"/>
      <c r="G3350" s="55"/>
      <c r="U3350" s="56"/>
      <c r="X3350" s="57"/>
    </row>
    <row r="3351">
      <c r="A3351" s="54"/>
      <c r="G3351" s="55"/>
      <c r="U3351" s="56"/>
      <c r="X3351" s="57"/>
    </row>
    <row r="3352">
      <c r="A3352" s="54"/>
      <c r="G3352" s="55"/>
      <c r="U3352" s="56"/>
      <c r="X3352" s="57"/>
    </row>
    <row r="3353">
      <c r="A3353" s="54"/>
      <c r="G3353" s="55"/>
      <c r="U3353" s="56"/>
      <c r="X3353" s="57"/>
    </row>
    <row r="3354">
      <c r="A3354" s="54"/>
      <c r="G3354" s="55"/>
      <c r="U3354" s="56"/>
      <c r="X3354" s="57"/>
    </row>
    <row r="3355">
      <c r="A3355" s="54"/>
      <c r="G3355" s="55"/>
      <c r="U3355" s="56"/>
      <c r="X3355" s="57"/>
    </row>
    <row r="3356">
      <c r="A3356" s="54"/>
      <c r="G3356" s="55"/>
      <c r="U3356" s="56"/>
      <c r="X3356" s="57"/>
    </row>
    <row r="3357">
      <c r="A3357" s="54"/>
      <c r="G3357" s="55"/>
      <c r="U3357" s="56"/>
      <c r="X3357" s="57"/>
    </row>
    <row r="3358">
      <c r="A3358" s="54"/>
      <c r="G3358" s="55"/>
      <c r="U3358" s="56"/>
      <c r="X3358" s="57"/>
    </row>
    <row r="3359">
      <c r="A3359" s="54"/>
      <c r="G3359" s="55"/>
      <c r="U3359" s="56"/>
      <c r="X3359" s="57"/>
    </row>
    <row r="3360">
      <c r="A3360" s="54"/>
      <c r="G3360" s="55"/>
      <c r="U3360" s="56"/>
      <c r="X3360" s="57"/>
    </row>
    <row r="3361">
      <c r="A3361" s="54"/>
      <c r="G3361" s="55"/>
      <c r="U3361" s="56"/>
      <c r="X3361" s="57"/>
    </row>
    <row r="3362">
      <c r="A3362" s="54"/>
      <c r="G3362" s="55"/>
      <c r="U3362" s="56"/>
      <c r="X3362" s="57"/>
    </row>
    <row r="3363">
      <c r="A3363" s="54"/>
      <c r="G3363" s="55"/>
      <c r="U3363" s="56"/>
      <c r="X3363" s="57"/>
    </row>
    <row r="3364">
      <c r="A3364" s="54"/>
      <c r="G3364" s="55"/>
      <c r="U3364" s="56"/>
      <c r="X3364" s="57"/>
    </row>
    <row r="3365">
      <c r="A3365" s="54"/>
      <c r="G3365" s="55"/>
      <c r="U3365" s="56"/>
      <c r="X3365" s="57"/>
    </row>
    <row r="3366">
      <c r="A3366" s="54"/>
      <c r="G3366" s="55"/>
      <c r="U3366" s="56"/>
      <c r="X3366" s="57"/>
    </row>
    <row r="3367">
      <c r="A3367" s="54"/>
      <c r="G3367" s="55"/>
      <c r="U3367" s="56"/>
      <c r="X3367" s="57"/>
    </row>
    <row r="3368">
      <c r="A3368" s="54"/>
      <c r="G3368" s="55"/>
      <c r="U3368" s="56"/>
      <c r="X3368" s="57"/>
    </row>
    <row r="3369">
      <c r="A3369" s="54"/>
      <c r="G3369" s="55"/>
      <c r="U3369" s="56"/>
      <c r="X3369" s="57"/>
    </row>
    <row r="3370">
      <c r="A3370" s="54"/>
      <c r="G3370" s="55"/>
      <c r="U3370" s="56"/>
      <c r="X3370" s="57"/>
    </row>
    <row r="3371">
      <c r="A3371" s="54"/>
      <c r="G3371" s="55"/>
      <c r="U3371" s="56"/>
      <c r="X3371" s="57"/>
    </row>
    <row r="3372">
      <c r="A3372" s="54"/>
      <c r="G3372" s="55"/>
      <c r="U3372" s="56"/>
      <c r="X3372" s="57"/>
    </row>
    <row r="3373">
      <c r="A3373" s="54"/>
      <c r="G3373" s="55"/>
      <c r="U3373" s="56"/>
      <c r="X3373" s="57"/>
    </row>
    <row r="3374">
      <c r="A3374" s="54"/>
      <c r="G3374" s="55"/>
      <c r="U3374" s="56"/>
      <c r="X3374" s="57"/>
    </row>
    <row r="3375">
      <c r="A3375" s="54"/>
      <c r="G3375" s="55"/>
      <c r="U3375" s="56"/>
      <c r="X3375" s="57"/>
    </row>
    <row r="3376">
      <c r="A3376" s="54"/>
      <c r="G3376" s="55"/>
      <c r="U3376" s="56"/>
      <c r="X3376" s="57"/>
    </row>
    <row r="3377">
      <c r="A3377" s="54"/>
      <c r="G3377" s="55"/>
      <c r="U3377" s="56"/>
      <c r="X3377" s="57"/>
    </row>
    <row r="3378">
      <c r="A3378" s="54"/>
      <c r="G3378" s="55"/>
      <c r="U3378" s="56"/>
      <c r="X3378" s="57"/>
    </row>
    <row r="3379">
      <c r="A3379" s="54"/>
      <c r="G3379" s="55"/>
      <c r="U3379" s="56"/>
      <c r="X3379" s="57"/>
    </row>
    <row r="3380">
      <c r="A3380" s="54"/>
      <c r="G3380" s="55"/>
      <c r="U3380" s="56"/>
      <c r="X3380" s="57"/>
    </row>
    <row r="3381">
      <c r="A3381" s="54"/>
      <c r="G3381" s="55"/>
      <c r="U3381" s="56"/>
      <c r="X3381" s="57"/>
    </row>
    <row r="3382">
      <c r="A3382" s="54"/>
      <c r="G3382" s="55"/>
      <c r="U3382" s="56"/>
      <c r="X3382" s="57"/>
    </row>
    <row r="3383">
      <c r="A3383" s="54"/>
      <c r="G3383" s="55"/>
      <c r="U3383" s="56"/>
      <c r="X3383" s="57"/>
    </row>
    <row r="3384">
      <c r="A3384" s="54"/>
      <c r="G3384" s="55"/>
      <c r="U3384" s="56"/>
      <c r="X3384" s="57"/>
    </row>
    <row r="3385">
      <c r="A3385" s="54"/>
      <c r="G3385" s="55"/>
      <c r="U3385" s="56"/>
      <c r="X3385" s="57"/>
    </row>
    <row r="3386">
      <c r="A3386" s="54"/>
      <c r="G3386" s="55"/>
      <c r="U3386" s="56"/>
      <c r="X3386" s="57"/>
    </row>
    <row r="3387">
      <c r="A3387" s="54"/>
      <c r="G3387" s="55"/>
      <c r="U3387" s="56"/>
      <c r="X3387" s="57"/>
    </row>
    <row r="3388">
      <c r="A3388" s="54"/>
      <c r="G3388" s="55"/>
      <c r="U3388" s="56"/>
      <c r="X3388" s="57"/>
    </row>
    <row r="3389">
      <c r="A3389" s="54"/>
      <c r="G3389" s="55"/>
      <c r="U3389" s="56"/>
      <c r="X3389" s="57"/>
    </row>
    <row r="3390">
      <c r="A3390" s="54"/>
      <c r="G3390" s="55"/>
      <c r="U3390" s="56"/>
      <c r="X3390" s="57"/>
    </row>
    <row r="3391">
      <c r="A3391" s="54"/>
      <c r="G3391" s="55"/>
      <c r="U3391" s="56"/>
      <c r="X3391" s="57"/>
    </row>
    <row r="3392">
      <c r="A3392" s="54"/>
      <c r="G3392" s="55"/>
      <c r="U3392" s="56"/>
      <c r="X3392" s="57"/>
    </row>
    <row r="3393">
      <c r="A3393" s="54"/>
      <c r="G3393" s="55"/>
      <c r="U3393" s="56"/>
      <c r="X3393" s="57"/>
    </row>
    <row r="3394">
      <c r="A3394" s="54"/>
      <c r="G3394" s="55"/>
      <c r="U3394" s="56"/>
      <c r="X3394" s="57"/>
    </row>
    <row r="3395">
      <c r="A3395" s="54"/>
      <c r="G3395" s="55"/>
      <c r="U3395" s="56"/>
      <c r="X3395" s="57"/>
    </row>
    <row r="3396">
      <c r="A3396" s="54"/>
      <c r="G3396" s="55"/>
      <c r="U3396" s="56"/>
      <c r="X3396" s="57"/>
    </row>
    <row r="3397">
      <c r="A3397" s="54"/>
      <c r="G3397" s="55"/>
      <c r="U3397" s="56"/>
      <c r="X3397" s="57"/>
    </row>
    <row r="3398">
      <c r="A3398" s="54"/>
      <c r="G3398" s="55"/>
      <c r="U3398" s="56"/>
      <c r="X3398" s="57"/>
    </row>
    <row r="3399">
      <c r="A3399" s="54"/>
      <c r="G3399" s="55"/>
      <c r="U3399" s="56"/>
      <c r="X3399" s="57"/>
    </row>
    <row r="3400">
      <c r="A3400" s="54"/>
      <c r="G3400" s="55"/>
      <c r="U3400" s="56"/>
      <c r="X3400" s="57"/>
    </row>
    <row r="3401">
      <c r="A3401" s="54"/>
      <c r="G3401" s="55"/>
      <c r="U3401" s="56"/>
      <c r="X3401" s="57"/>
    </row>
    <row r="3402">
      <c r="A3402" s="54"/>
      <c r="G3402" s="55"/>
      <c r="U3402" s="56"/>
      <c r="X3402" s="57"/>
    </row>
    <row r="3403">
      <c r="A3403" s="54"/>
      <c r="G3403" s="55"/>
      <c r="U3403" s="56"/>
      <c r="X3403" s="57"/>
    </row>
    <row r="3404">
      <c r="A3404" s="54"/>
      <c r="G3404" s="55"/>
      <c r="U3404" s="56"/>
      <c r="X3404" s="57"/>
    </row>
    <row r="3405">
      <c r="A3405" s="54"/>
      <c r="G3405" s="55"/>
      <c r="U3405" s="56"/>
      <c r="X3405" s="57"/>
    </row>
    <row r="3406">
      <c r="A3406" s="54"/>
      <c r="G3406" s="55"/>
      <c r="U3406" s="56"/>
      <c r="X3406" s="57"/>
    </row>
    <row r="3407">
      <c r="A3407" s="54"/>
      <c r="G3407" s="55"/>
      <c r="U3407" s="56"/>
      <c r="X3407" s="57"/>
    </row>
    <row r="3408">
      <c r="A3408" s="54"/>
      <c r="G3408" s="55"/>
      <c r="U3408" s="56"/>
      <c r="X3408" s="57"/>
    </row>
    <row r="3409">
      <c r="A3409" s="54"/>
      <c r="G3409" s="55"/>
      <c r="U3409" s="56"/>
      <c r="X3409" s="57"/>
    </row>
    <row r="3410">
      <c r="A3410" s="54"/>
      <c r="G3410" s="55"/>
      <c r="U3410" s="56"/>
      <c r="X3410" s="57"/>
    </row>
    <row r="3411">
      <c r="A3411" s="54"/>
      <c r="G3411" s="55"/>
      <c r="U3411" s="56"/>
      <c r="X3411" s="57"/>
    </row>
    <row r="3412">
      <c r="A3412" s="54"/>
      <c r="G3412" s="55"/>
      <c r="U3412" s="56"/>
      <c r="X3412" s="57"/>
    </row>
    <row r="3413">
      <c r="A3413" s="54"/>
      <c r="G3413" s="55"/>
      <c r="U3413" s="56"/>
      <c r="X3413" s="57"/>
    </row>
    <row r="3414">
      <c r="A3414" s="54"/>
      <c r="G3414" s="55"/>
      <c r="U3414" s="56"/>
      <c r="X3414" s="57"/>
    </row>
    <row r="3415">
      <c r="A3415" s="54"/>
      <c r="G3415" s="55"/>
      <c r="U3415" s="56"/>
      <c r="X3415" s="57"/>
    </row>
    <row r="3416">
      <c r="A3416" s="54"/>
      <c r="G3416" s="55"/>
      <c r="U3416" s="56"/>
      <c r="X3416" s="57"/>
    </row>
    <row r="3417">
      <c r="A3417" s="54"/>
      <c r="G3417" s="55"/>
      <c r="U3417" s="56"/>
      <c r="X3417" s="57"/>
    </row>
    <row r="3418">
      <c r="A3418" s="54"/>
      <c r="G3418" s="55"/>
      <c r="U3418" s="56"/>
      <c r="X3418" s="57"/>
    </row>
    <row r="3419">
      <c r="A3419" s="54"/>
      <c r="G3419" s="55"/>
      <c r="U3419" s="56"/>
      <c r="X3419" s="57"/>
    </row>
    <row r="3420">
      <c r="A3420" s="54"/>
      <c r="G3420" s="55"/>
      <c r="U3420" s="56"/>
      <c r="X3420" s="57"/>
    </row>
    <row r="3421">
      <c r="A3421" s="54"/>
      <c r="G3421" s="55"/>
      <c r="U3421" s="56"/>
      <c r="X3421" s="57"/>
    </row>
    <row r="3422">
      <c r="A3422" s="54"/>
      <c r="G3422" s="55"/>
      <c r="U3422" s="56"/>
      <c r="X3422" s="57"/>
    </row>
    <row r="3423">
      <c r="A3423" s="54"/>
      <c r="G3423" s="55"/>
      <c r="U3423" s="56"/>
      <c r="X3423" s="57"/>
    </row>
    <row r="3424">
      <c r="A3424" s="54"/>
      <c r="G3424" s="55"/>
      <c r="U3424" s="56"/>
      <c r="X3424" s="57"/>
    </row>
    <row r="3425">
      <c r="A3425" s="54"/>
      <c r="G3425" s="55"/>
      <c r="U3425" s="56"/>
      <c r="X3425" s="57"/>
    </row>
    <row r="3426">
      <c r="A3426" s="54"/>
      <c r="G3426" s="55"/>
      <c r="U3426" s="56"/>
      <c r="X3426" s="57"/>
    </row>
    <row r="3427">
      <c r="A3427" s="54"/>
      <c r="G3427" s="55"/>
      <c r="U3427" s="56"/>
      <c r="X3427" s="57"/>
    </row>
    <row r="3428">
      <c r="A3428" s="54"/>
      <c r="G3428" s="55"/>
      <c r="U3428" s="56"/>
      <c r="X3428" s="57"/>
    </row>
    <row r="3429">
      <c r="A3429" s="54"/>
      <c r="G3429" s="55"/>
      <c r="U3429" s="56"/>
      <c r="X3429" s="57"/>
    </row>
    <row r="3430">
      <c r="A3430" s="54"/>
      <c r="G3430" s="55"/>
      <c r="U3430" s="56"/>
      <c r="X3430" s="57"/>
    </row>
    <row r="3431">
      <c r="A3431" s="54"/>
      <c r="G3431" s="55"/>
      <c r="U3431" s="56"/>
      <c r="X3431" s="57"/>
    </row>
    <row r="3432">
      <c r="A3432" s="54"/>
      <c r="G3432" s="55"/>
      <c r="U3432" s="56"/>
      <c r="X3432" s="57"/>
    </row>
    <row r="3433">
      <c r="A3433" s="54"/>
      <c r="G3433" s="55"/>
      <c r="U3433" s="56"/>
      <c r="X3433" s="57"/>
    </row>
    <row r="3434">
      <c r="A3434" s="54"/>
      <c r="G3434" s="55"/>
      <c r="U3434" s="56"/>
      <c r="X3434" s="57"/>
    </row>
    <row r="3435">
      <c r="A3435" s="54"/>
      <c r="G3435" s="55"/>
      <c r="U3435" s="56"/>
      <c r="X3435" s="57"/>
    </row>
    <row r="3436">
      <c r="A3436" s="54"/>
      <c r="G3436" s="55"/>
      <c r="U3436" s="56"/>
      <c r="X3436" s="57"/>
    </row>
    <row r="3437">
      <c r="A3437" s="54"/>
      <c r="G3437" s="55"/>
      <c r="U3437" s="56"/>
      <c r="X3437" s="57"/>
    </row>
    <row r="3438">
      <c r="A3438" s="54"/>
      <c r="G3438" s="55"/>
      <c r="U3438" s="56"/>
      <c r="X3438" s="57"/>
    </row>
    <row r="3439">
      <c r="A3439" s="54"/>
      <c r="G3439" s="55"/>
      <c r="U3439" s="56"/>
      <c r="X3439" s="57"/>
    </row>
    <row r="3440">
      <c r="A3440" s="54"/>
      <c r="G3440" s="55"/>
      <c r="U3440" s="56"/>
      <c r="X3440" s="57"/>
    </row>
    <row r="3441">
      <c r="A3441" s="54"/>
      <c r="G3441" s="55"/>
      <c r="U3441" s="56"/>
      <c r="X3441" s="57"/>
    </row>
    <row r="3442">
      <c r="A3442" s="54"/>
      <c r="G3442" s="55"/>
      <c r="U3442" s="56"/>
      <c r="X3442" s="57"/>
    </row>
    <row r="3443">
      <c r="A3443" s="54"/>
      <c r="G3443" s="55"/>
      <c r="U3443" s="56"/>
      <c r="X3443" s="57"/>
    </row>
    <row r="3444">
      <c r="A3444" s="54"/>
      <c r="G3444" s="55"/>
      <c r="U3444" s="56"/>
      <c r="X3444" s="57"/>
    </row>
    <row r="3445">
      <c r="A3445" s="54"/>
      <c r="G3445" s="55"/>
      <c r="U3445" s="56"/>
      <c r="X3445" s="57"/>
    </row>
    <row r="3446">
      <c r="A3446" s="54"/>
      <c r="G3446" s="55"/>
      <c r="U3446" s="56"/>
      <c r="X3446" s="57"/>
    </row>
    <row r="3447">
      <c r="A3447" s="54"/>
      <c r="G3447" s="55"/>
      <c r="U3447" s="56"/>
      <c r="X3447" s="57"/>
    </row>
    <row r="3448">
      <c r="A3448" s="54"/>
      <c r="G3448" s="55"/>
      <c r="U3448" s="56"/>
      <c r="X3448" s="57"/>
    </row>
    <row r="3449">
      <c r="A3449" s="54"/>
      <c r="G3449" s="55"/>
      <c r="U3449" s="56"/>
      <c r="X3449" s="57"/>
    </row>
    <row r="3450">
      <c r="A3450" s="54"/>
      <c r="G3450" s="55"/>
      <c r="U3450" s="56"/>
      <c r="X3450" s="57"/>
    </row>
    <row r="3451">
      <c r="A3451" s="54"/>
      <c r="G3451" s="55"/>
      <c r="U3451" s="56"/>
      <c r="X3451" s="57"/>
    </row>
    <row r="3452">
      <c r="A3452" s="54"/>
      <c r="G3452" s="55"/>
      <c r="U3452" s="56"/>
      <c r="X3452" s="57"/>
    </row>
    <row r="3453">
      <c r="A3453" s="54"/>
      <c r="G3453" s="55"/>
      <c r="U3453" s="56"/>
      <c r="X3453" s="57"/>
    </row>
    <row r="3454">
      <c r="A3454" s="54"/>
      <c r="G3454" s="55"/>
      <c r="U3454" s="56"/>
      <c r="X3454" s="57"/>
    </row>
    <row r="3455">
      <c r="A3455" s="54"/>
      <c r="G3455" s="55"/>
      <c r="U3455" s="56"/>
      <c r="X3455" s="57"/>
    </row>
    <row r="3456">
      <c r="A3456" s="54"/>
      <c r="G3456" s="55"/>
      <c r="U3456" s="56"/>
      <c r="X3456" s="57"/>
    </row>
    <row r="3457">
      <c r="A3457" s="54"/>
      <c r="G3457" s="55"/>
      <c r="U3457" s="56"/>
      <c r="X3457" s="57"/>
    </row>
    <row r="3458">
      <c r="A3458" s="54"/>
      <c r="G3458" s="55"/>
      <c r="U3458" s="56"/>
      <c r="X3458" s="57"/>
    </row>
    <row r="3459">
      <c r="A3459" s="54"/>
      <c r="G3459" s="55"/>
      <c r="U3459" s="56"/>
      <c r="X3459" s="57"/>
    </row>
    <row r="3460">
      <c r="A3460" s="54"/>
      <c r="G3460" s="55"/>
      <c r="U3460" s="56"/>
      <c r="X3460" s="57"/>
    </row>
    <row r="3461">
      <c r="A3461" s="54"/>
      <c r="G3461" s="55"/>
      <c r="U3461" s="56"/>
      <c r="X3461" s="57"/>
    </row>
    <row r="3462">
      <c r="A3462" s="54"/>
      <c r="G3462" s="55"/>
      <c r="U3462" s="56"/>
      <c r="X3462" s="57"/>
    </row>
    <row r="3463">
      <c r="A3463" s="54"/>
      <c r="G3463" s="55"/>
      <c r="U3463" s="56"/>
      <c r="X3463" s="57"/>
    </row>
    <row r="3464">
      <c r="A3464" s="54"/>
      <c r="G3464" s="55"/>
      <c r="U3464" s="56"/>
      <c r="X3464" s="57"/>
    </row>
    <row r="3465">
      <c r="A3465" s="54"/>
      <c r="G3465" s="55"/>
      <c r="U3465" s="56"/>
      <c r="X3465" s="57"/>
    </row>
    <row r="3466">
      <c r="A3466" s="54"/>
      <c r="G3466" s="55"/>
      <c r="U3466" s="56"/>
      <c r="X3466" s="57"/>
    </row>
    <row r="3467">
      <c r="A3467" s="54"/>
      <c r="G3467" s="55"/>
      <c r="U3467" s="56"/>
      <c r="X3467" s="57"/>
    </row>
    <row r="3468">
      <c r="A3468" s="54"/>
      <c r="G3468" s="55"/>
      <c r="U3468" s="56"/>
      <c r="X3468" s="57"/>
    </row>
    <row r="3469">
      <c r="A3469" s="54"/>
      <c r="G3469" s="55"/>
      <c r="U3469" s="56"/>
      <c r="X3469" s="57"/>
    </row>
    <row r="3470">
      <c r="A3470" s="54"/>
      <c r="G3470" s="55"/>
      <c r="U3470" s="56"/>
      <c r="X3470" s="57"/>
    </row>
    <row r="3471">
      <c r="A3471" s="54"/>
      <c r="G3471" s="55"/>
      <c r="U3471" s="56"/>
      <c r="X3471" s="57"/>
    </row>
    <row r="3472">
      <c r="A3472" s="54"/>
      <c r="G3472" s="55"/>
      <c r="U3472" s="56"/>
      <c r="X3472" s="57"/>
    </row>
    <row r="3473">
      <c r="A3473" s="54"/>
      <c r="G3473" s="55"/>
      <c r="U3473" s="56"/>
      <c r="X3473" s="57"/>
    </row>
    <row r="3474">
      <c r="A3474" s="54"/>
      <c r="G3474" s="55"/>
      <c r="U3474" s="56"/>
      <c r="X3474" s="57"/>
    </row>
    <row r="3475">
      <c r="A3475" s="54"/>
      <c r="G3475" s="55"/>
      <c r="U3475" s="56"/>
      <c r="X3475" s="57"/>
    </row>
    <row r="3476">
      <c r="A3476" s="54"/>
      <c r="G3476" s="55"/>
      <c r="U3476" s="56"/>
      <c r="X3476" s="57"/>
    </row>
    <row r="3477">
      <c r="A3477" s="54"/>
      <c r="G3477" s="55"/>
      <c r="U3477" s="56"/>
      <c r="X3477" s="57"/>
    </row>
    <row r="3478">
      <c r="A3478" s="54"/>
      <c r="G3478" s="55"/>
      <c r="U3478" s="56"/>
      <c r="X3478" s="57"/>
    </row>
    <row r="3479">
      <c r="A3479" s="54"/>
      <c r="G3479" s="55"/>
      <c r="U3479" s="56"/>
      <c r="X3479" s="57"/>
    </row>
    <row r="3480">
      <c r="A3480" s="54"/>
      <c r="G3480" s="55"/>
      <c r="U3480" s="56"/>
      <c r="X3480" s="57"/>
    </row>
    <row r="3481">
      <c r="A3481" s="54"/>
      <c r="G3481" s="55"/>
      <c r="U3481" s="56"/>
      <c r="X3481" s="57"/>
    </row>
    <row r="3482">
      <c r="A3482" s="54"/>
      <c r="G3482" s="55"/>
      <c r="U3482" s="56"/>
      <c r="X3482" s="57"/>
    </row>
    <row r="3483">
      <c r="A3483" s="54"/>
      <c r="G3483" s="55"/>
      <c r="U3483" s="56"/>
      <c r="X3483" s="57"/>
    </row>
    <row r="3484">
      <c r="A3484" s="54"/>
      <c r="G3484" s="55"/>
      <c r="U3484" s="56"/>
      <c r="X3484" s="57"/>
    </row>
    <row r="3485">
      <c r="A3485" s="54"/>
      <c r="G3485" s="55"/>
      <c r="U3485" s="56"/>
      <c r="X3485" s="57"/>
    </row>
    <row r="3486">
      <c r="A3486" s="54"/>
      <c r="G3486" s="55"/>
      <c r="U3486" s="56"/>
      <c r="X3486" s="57"/>
    </row>
    <row r="3487">
      <c r="A3487" s="54"/>
      <c r="G3487" s="55"/>
      <c r="U3487" s="56"/>
      <c r="X3487" s="57"/>
    </row>
    <row r="3488">
      <c r="A3488" s="54"/>
      <c r="G3488" s="55"/>
      <c r="U3488" s="56"/>
      <c r="X3488" s="57"/>
    </row>
    <row r="3489">
      <c r="A3489" s="54"/>
      <c r="G3489" s="55"/>
      <c r="U3489" s="56"/>
      <c r="X3489" s="57"/>
    </row>
    <row r="3490">
      <c r="A3490" s="54"/>
      <c r="G3490" s="55"/>
      <c r="U3490" s="56"/>
      <c r="X3490" s="57"/>
    </row>
    <row r="3491">
      <c r="A3491" s="54"/>
      <c r="G3491" s="55"/>
      <c r="U3491" s="56"/>
      <c r="X3491" s="57"/>
    </row>
    <row r="3492">
      <c r="A3492" s="54"/>
      <c r="G3492" s="55"/>
      <c r="U3492" s="56"/>
      <c r="X3492" s="57"/>
    </row>
    <row r="3493">
      <c r="A3493" s="54"/>
      <c r="G3493" s="55"/>
      <c r="U3493" s="56"/>
      <c r="X3493" s="57"/>
    </row>
    <row r="3494">
      <c r="A3494" s="54"/>
      <c r="G3494" s="55"/>
      <c r="U3494" s="56"/>
      <c r="X3494" s="57"/>
    </row>
    <row r="3495">
      <c r="A3495" s="54"/>
      <c r="G3495" s="55"/>
      <c r="U3495" s="56"/>
      <c r="X3495" s="57"/>
    </row>
    <row r="3496">
      <c r="A3496" s="54"/>
      <c r="G3496" s="55"/>
      <c r="U3496" s="56"/>
      <c r="X3496" s="57"/>
    </row>
    <row r="3497">
      <c r="A3497" s="54"/>
      <c r="G3497" s="55"/>
      <c r="U3497" s="56"/>
      <c r="X3497" s="57"/>
    </row>
    <row r="3498">
      <c r="A3498" s="54"/>
      <c r="G3498" s="55"/>
      <c r="U3498" s="56"/>
      <c r="X3498" s="57"/>
    </row>
    <row r="3499">
      <c r="A3499" s="54"/>
      <c r="G3499" s="55"/>
      <c r="U3499" s="56"/>
      <c r="X3499" s="57"/>
    </row>
    <row r="3500">
      <c r="A3500" s="54"/>
      <c r="G3500" s="55"/>
      <c r="U3500" s="56"/>
      <c r="X3500" s="57"/>
    </row>
    <row r="3501">
      <c r="A3501" s="54"/>
      <c r="G3501" s="55"/>
      <c r="U3501" s="56"/>
      <c r="X3501" s="57"/>
    </row>
    <row r="3502">
      <c r="A3502" s="54"/>
      <c r="G3502" s="55"/>
      <c r="U3502" s="56"/>
      <c r="X3502" s="57"/>
    </row>
    <row r="3503">
      <c r="A3503" s="54"/>
      <c r="G3503" s="55"/>
      <c r="U3503" s="56"/>
      <c r="X3503" s="57"/>
    </row>
    <row r="3504">
      <c r="A3504" s="54"/>
      <c r="G3504" s="55"/>
      <c r="U3504" s="56"/>
      <c r="X3504" s="57"/>
    </row>
    <row r="3505">
      <c r="A3505" s="54"/>
      <c r="G3505" s="55"/>
      <c r="U3505" s="56"/>
      <c r="X3505" s="57"/>
    </row>
    <row r="3506">
      <c r="A3506" s="54"/>
      <c r="G3506" s="55"/>
      <c r="U3506" s="56"/>
      <c r="X3506" s="57"/>
    </row>
    <row r="3507">
      <c r="A3507" s="54"/>
      <c r="G3507" s="55"/>
      <c r="U3507" s="56"/>
      <c r="X3507" s="57"/>
    </row>
    <row r="3508">
      <c r="A3508" s="54"/>
      <c r="G3508" s="55"/>
      <c r="U3508" s="56"/>
      <c r="X3508" s="57"/>
    </row>
    <row r="3509">
      <c r="A3509" s="54"/>
      <c r="G3509" s="55"/>
      <c r="U3509" s="56"/>
      <c r="X3509" s="57"/>
    </row>
    <row r="3510">
      <c r="A3510" s="54"/>
      <c r="G3510" s="55"/>
      <c r="U3510" s="56"/>
      <c r="X3510" s="57"/>
    </row>
    <row r="3511">
      <c r="A3511" s="54"/>
      <c r="G3511" s="55"/>
      <c r="U3511" s="56"/>
      <c r="X3511" s="57"/>
    </row>
    <row r="3512">
      <c r="A3512" s="54"/>
      <c r="G3512" s="55"/>
      <c r="U3512" s="56"/>
      <c r="X3512" s="57"/>
    </row>
    <row r="3513">
      <c r="A3513" s="54"/>
      <c r="G3513" s="55"/>
      <c r="U3513" s="56"/>
      <c r="X3513" s="57"/>
    </row>
    <row r="3514">
      <c r="A3514" s="54"/>
      <c r="G3514" s="55"/>
      <c r="U3514" s="56"/>
      <c r="X3514" s="57"/>
    </row>
    <row r="3515">
      <c r="A3515" s="54"/>
      <c r="G3515" s="55"/>
      <c r="U3515" s="56"/>
      <c r="X3515" s="57"/>
    </row>
    <row r="3516">
      <c r="A3516" s="54"/>
      <c r="G3516" s="55"/>
      <c r="U3516" s="56"/>
      <c r="X3516" s="57"/>
    </row>
    <row r="3517">
      <c r="A3517" s="54"/>
      <c r="G3517" s="55"/>
      <c r="U3517" s="56"/>
      <c r="X3517" s="57"/>
    </row>
    <row r="3518">
      <c r="A3518" s="54"/>
      <c r="G3518" s="55"/>
      <c r="U3518" s="56"/>
      <c r="X3518" s="57"/>
    </row>
    <row r="3519">
      <c r="A3519" s="54"/>
      <c r="G3519" s="55"/>
      <c r="U3519" s="56"/>
      <c r="X3519" s="57"/>
    </row>
    <row r="3520">
      <c r="A3520" s="54"/>
      <c r="G3520" s="55"/>
      <c r="U3520" s="56"/>
      <c r="X3520" s="57"/>
    </row>
    <row r="3521">
      <c r="A3521" s="54"/>
      <c r="G3521" s="55"/>
      <c r="U3521" s="56"/>
      <c r="X3521" s="57"/>
    </row>
    <row r="3522">
      <c r="A3522" s="54"/>
      <c r="G3522" s="55"/>
      <c r="U3522" s="56"/>
      <c r="X3522" s="57"/>
    </row>
    <row r="3523">
      <c r="A3523" s="54"/>
      <c r="G3523" s="55"/>
      <c r="U3523" s="56"/>
      <c r="X3523" s="57"/>
    </row>
    <row r="3524">
      <c r="A3524" s="54"/>
      <c r="G3524" s="55"/>
      <c r="U3524" s="56"/>
      <c r="X3524" s="57"/>
    </row>
    <row r="3525">
      <c r="A3525" s="54"/>
      <c r="G3525" s="55"/>
      <c r="U3525" s="56"/>
      <c r="X3525" s="57"/>
    </row>
    <row r="3526">
      <c r="A3526" s="54"/>
      <c r="G3526" s="55"/>
      <c r="U3526" s="56"/>
      <c r="X3526" s="57"/>
    </row>
    <row r="3527">
      <c r="A3527" s="54"/>
      <c r="G3527" s="55"/>
      <c r="U3527" s="56"/>
      <c r="X3527" s="57"/>
    </row>
    <row r="3528">
      <c r="A3528" s="54"/>
      <c r="G3528" s="55"/>
      <c r="U3528" s="56"/>
      <c r="X3528" s="57"/>
    </row>
    <row r="3529">
      <c r="A3529" s="54"/>
      <c r="G3529" s="55"/>
      <c r="U3529" s="56"/>
      <c r="X3529" s="57"/>
    </row>
    <row r="3530">
      <c r="A3530" s="54"/>
      <c r="G3530" s="55"/>
      <c r="U3530" s="56"/>
      <c r="X3530" s="57"/>
    </row>
    <row r="3531">
      <c r="A3531" s="54"/>
      <c r="G3531" s="55"/>
      <c r="U3531" s="56"/>
      <c r="X3531" s="57"/>
    </row>
    <row r="3532">
      <c r="A3532" s="54"/>
      <c r="G3532" s="55"/>
      <c r="U3532" s="56"/>
      <c r="X3532" s="57"/>
    </row>
    <row r="3533">
      <c r="A3533" s="54"/>
      <c r="G3533" s="55"/>
      <c r="U3533" s="56"/>
      <c r="X3533" s="57"/>
    </row>
    <row r="3534">
      <c r="A3534" s="54"/>
      <c r="G3534" s="55"/>
      <c r="U3534" s="56"/>
      <c r="X3534" s="57"/>
    </row>
    <row r="3535">
      <c r="A3535" s="54"/>
      <c r="G3535" s="55"/>
      <c r="U3535" s="56"/>
      <c r="X3535" s="57"/>
    </row>
    <row r="3536">
      <c r="A3536" s="54"/>
      <c r="G3536" s="55"/>
      <c r="U3536" s="56"/>
      <c r="X3536" s="57"/>
    </row>
    <row r="3537">
      <c r="A3537" s="54"/>
      <c r="G3537" s="55"/>
      <c r="U3537" s="56"/>
      <c r="X3537" s="57"/>
    </row>
    <row r="3538">
      <c r="A3538" s="54"/>
      <c r="G3538" s="55"/>
      <c r="U3538" s="56"/>
      <c r="X3538" s="57"/>
    </row>
    <row r="3539">
      <c r="A3539" s="54"/>
      <c r="G3539" s="55"/>
      <c r="U3539" s="56"/>
      <c r="X3539" s="57"/>
    </row>
    <row r="3540">
      <c r="A3540" s="54"/>
      <c r="G3540" s="55"/>
      <c r="U3540" s="56"/>
      <c r="X3540" s="57"/>
    </row>
    <row r="3541">
      <c r="A3541" s="54"/>
      <c r="G3541" s="55"/>
      <c r="U3541" s="56"/>
      <c r="X3541" s="57"/>
    </row>
    <row r="3542">
      <c r="A3542" s="54"/>
      <c r="G3542" s="55"/>
      <c r="U3542" s="56"/>
      <c r="X3542" s="57"/>
    </row>
    <row r="3543">
      <c r="A3543" s="54"/>
      <c r="G3543" s="55"/>
      <c r="U3543" s="56"/>
      <c r="X3543" s="57"/>
    </row>
    <row r="3544">
      <c r="A3544" s="54"/>
      <c r="G3544" s="55"/>
      <c r="U3544" s="56"/>
      <c r="X3544" s="57"/>
    </row>
    <row r="3545">
      <c r="A3545" s="54"/>
      <c r="G3545" s="55"/>
      <c r="U3545" s="56"/>
      <c r="X3545" s="57"/>
    </row>
    <row r="3546">
      <c r="A3546" s="54"/>
      <c r="G3546" s="55"/>
      <c r="U3546" s="56"/>
      <c r="X3546" s="57"/>
    </row>
    <row r="3547">
      <c r="A3547" s="54"/>
      <c r="G3547" s="55"/>
      <c r="U3547" s="56"/>
      <c r="X3547" s="57"/>
    </row>
    <row r="3548">
      <c r="A3548" s="54"/>
      <c r="G3548" s="55"/>
      <c r="U3548" s="56"/>
      <c r="X3548" s="57"/>
    </row>
    <row r="3549">
      <c r="A3549" s="54"/>
      <c r="G3549" s="55"/>
      <c r="U3549" s="56"/>
      <c r="X3549" s="57"/>
    </row>
    <row r="3550">
      <c r="A3550" s="54"/>
      <c r="G3550" s="55"/>
      <c r="U3550" s="56"/>
      <c r="X3550" s="57"/>
    </row>
    <row r="3551">
      <c r="A3551" s="54"/>
      <c r="G3551" s="55"/>
      <c r="U3551" s="56"/>
      <c r="X3551" s="57"/>
    </row>
    <row r="3552">
      <c r="A3552" s="54"/>
      <c r="G3552" s="55"/>
      <c r="U3552" s="56"/>
      <c r="X3552" s="57"/>
    </row>
    <row r="3553">
      <c r="A3553" s="54"/>
      <c r="G3553" s="55"/>
      <c r="U3553" s="56"/>
      <c r="X3553" s="57"/>
    </row>
    <row r="3554">
      <c r="A3554" s="54"/>
      <c r="G3554" s="55"/>
      <c r="U3554" s="56"/>
      <c r="X3554" s="57"/>
    </row>
    <row r="3555">
      <c r="A3555" s="54"/>
      <c r="G3555" s="55"/>
      <c r="U3555" s="56"/>
      <c r="X3555" s="57"/>
    </row>
    <row r="3556">
      <c r="A3556" s="54"/>
      <c r="G3556" s="55"/>
      <c r="U3556" s="56"/>
      <c r="X3556" s="57"/>
    </row>
    <row r="3557">
      <c r="A3557" s="54"/>
      <c r="G3557" s="55"/>
      <c r="U3557" s="56"/>
      <c r="X3557" s="57"/>
    </row>
    <row r="3558">
      <c r="A3558" s="54"/>
      <c r="G3558" s="55"/>
      <c r="U3558" s="56"/>
      <c r="X3558" s="57"/>
    </row>
    <row r="3559">
      <c r="A3559" s="54"/>
      <c r="G3559" s="55"/>
      <c r="U3559" s="56"/>
      <c r="X3559" s="57"/>
    </row>
    <row r="3560">
      <c r="A3560" s="54"/>
      <c r="G3560" s="55"/>
      <c r="U3560" s="56"/>
      <c r="X3560" s="57"/>
    </row>
    <row r="3561">
      <c r="A3561" s="54"/>
      <c r="G3561" s="55"/>
      <c r="U3561" s="56"/>
      <c r="X3561" s="57"/>
    </row>
    <row r="3562">
      <c r="A3562" s="54"/>
      <c r="G3562" s="55"/>
      <c r="U3562" s="56"/>
      <c r="X3562" s="57"/>
    </row>
    <row r="3563">
      <c r="A3563" s="54"/>
      <c r="G3563" s="55"/>
      <c r="U3563" s="56"/>
      <c r="X3563" s="57"/>
    </row>
    <row r="3564">
      <c r="A3564" s="54"/>
      <c r="G3564" s="55"/>
      <c r="U3564" s="56"/>
      <c r="X3564" s="57"/>
    </row>
    <row r="3565">
      <c r="A3565" s="54"/>
      <c r="G3565" s="55"/>
      <c r="U3565" s="56"/>
      <c r="X3565" s="57"/>
    </row>
    <row r="3566">
      <c r="A3566" s="54"/>
      <c r="G3566" s="55"/>
      <c r="U3566" s="56"/>
      <c r="X3566" s="57"/>
    </row>
    <row r="3567">
      <c r="A3567" s="54"/>
      <c r="G3567" s="55"/>
      <c r="U3567" s="56"/>
      <c r="X3567" s="57"/>
    </row>
    <row r="3568">
      <c r="A3568" s="54"/>
      <c r="G3568" s="55"/>
      <c r="U3568" s="56"/>
      <c r="X3568" s="57"/>
    </row>
    <row r="3569">
      <c r="A3569" s="54"/>
      <c r="G3569" s="55"/>
      <c r="U3569" s="56"/>
      <c r="X3569" s="57"/>
    </row>
    <row r="3570">
      <c r="A3570" s="54"/>
      <c r="G3570" s="55"/>
      <c r="U3570" s="56"/>
      <c r="X3570" s="57"/>
    </row>
    <row r="3571">
      <c r="A3571" s="54"/>
      <c r="G3571" s="55"/>
      <c r="U3571" s="56"/>
      <c r="X3571" s="57"/>
    </row>
    <row r="3572">
      <c r="A3572" s="54"/>
      <c r="G3572" s="55"/>
      <c r="U3572" s="56"/>
      <c r="X3572" s="57"/>
    </row>
    <row r="3573">
      <c r="A3573" s="54"/>
      <c r="G3573" s="55"/>
      <c r="U3573" s="56"/>
      <c r="X3573" s="57"/>
    </row>
    <row r="3574">
      <c r="A3574" s="54"/>
      <c r="G3574" s="55"/>
      <c r="U3574" s="56"/>
      <c r="X3574" s="57"/>
    </row>
    <row r="3575">
      <c r="A3575" s="54"/>
      <c r="G3575" s="55"/>
      <c r="U3575" s="56"/>
      <c r="X3575" s="57"/>
    </row>
    <row r="3576">
      <c r="A3576" s="54"/>
      <c r="G3576" s="55"/>
      <c r="U3576" s="56"/>
      <c r="X3576" s="57"/>
    </row>
    <row r="3577">
      <c r="A3577" s="54"/>
      <c r="G3577" s="55"/>
      <c r="U3577" s="56"/>
      <c r="X3577" s="57"/>
    </row>
    <row r="3578">
      <c r="A3578" s="54"/>
      <c r="G3578" s="55"/>
      <c r="U3578" s="56"/>
      <c r="X3578" s="57"/>
    </row>
    <row r="3579">
      <c r="A3579" s="54"/>
      <c r="G3579" s="55"/>
      <c r="U3579" s="56"/>
      <c r="X3579" s="57"/>
    </row>
    <row r="3580">
      <c r="A3580" s="54"/>
      <c r="G3580" s="55"/>
      <c r="U3580" s="56"/>
      <c r="X3580" s="57"/>
    </row>
    <row r="3581">
      <c r="A3581" s="54"/>
      <c r="G3581" s="55"/>
      <c r="U3581" s="56"/>
      <c r="X3581" s="57"/>
    </row>
    <row r="3582">
      <c r="A3582" s="54"/>
      <c r="G3582" s="55"/>
      <c r="U3582" s="56"/>
      <c r="X3582" s="57"/>
    </row>
    <row r="3583">
      <c r="A3583" s="54"/>
      <c r="G3583" s="55"/>
      <c r="U3583" s="56"/>
      <c r="X3583" s="57"/>
    </row>
    <row r="3584">
      <c r="A3584" s="54"/>
      <c r="G3584" s="55"/>
      <c r="U3584" s="56"/>
      <c r="X3584" s="57"/>
    </row>
    <row r="3585">
      <c r="A3585" s="54"/>
      <c r="G3585" s="55"/>
      <c r="U3585" s="56"/>
      <c r="X3585" s="57"/>
    </row>
    <row r="3586">
      <c r="A3586" s="54"/>
      <c r="G3586" s="55"/>
      <c r="U3586" s="56"/>
      <c r="X3586" s="57"/>
    </row>
    <row r="3587">
      <c r="A3587" s="54"/>
      <c r="G3587" s="55"/>
      <c r="U3587" s="56"/>
      <c r="X3587" s="57"/>
    </row>
    <row r="3588">
      <c r="A3588" s="54"/>
      <c r="G3588" s="55"/>
      <c r="U3588" s="56"/>
      <c r="X3588" s="57"/>
    </row>
    <row r="3589">
      <c r="A3589" s="54"/>
      <c r="G3589" s="55"/>
      <c r="U3589" s="56"/>
      <c r="X3589" s="57"/>
    </row>
    <row r="3590">
      <c r="A3590" s="54"/>
      <c r="G3590" s="55"/>
      <c r="U3590" s="56"/>
      <c r="X3590" s="57"/>
    </row>
    <row r="3591">
      <c r="A3591" s="54"/>
      <c r="G3591" s="55"/>
      <c r="U3591" s="56"/>
      <c r="X3591" s="57"/>
    </row>
    <row r="3592">
      <c r="A3592" s="54"/>
      <c r="G3592" s="55"/>
      <c r="U3592" s="56"/>
      <c r="X3592" s="57"/>
    </row>
    <row r="3593">
      <c r="A3593" s="54"/>
      <c r="G3593" s="55"/>
      <c r="U3593" s="56"/>
      <c r="X3593" s="57"/>
    </row>
    <row r="3594">
      <c r="A3594" s="54"/>
      <c r="G3594" s="55"/>
      <c r="U3594" s="56"/>
      <c r="X3594" s="57"/>
    </row>
    <row r="3595">
      <c r="A3595" s="54"/>
      <c r="G3595" s="55"/>
      <c r="U3595" s="56"/>
      <c r="X3595" s="57"/>
    </row>
    <row r="3596">
      <c r="A3596" s="54"/>
      <c r="G3596" s="55"/>
      <c r="U3596" s="56"/>
      <c r="X3596" s="57"/>
    </row>
    <row r="3597">
      <c r="A3597" s="54"/>
      <c r="G3597" s="55"/>
      <c r="U3597" s="56"/>
      <c r="X3597" s="57"/>
    </row>
    <row r="3598">
      <c r="A3598" s="54"/>
      <c r="G3598" s="55"/>
      <c r="U3598" s="56"/>
      <c r="X3598" s="57"/>
    </row>
    <row r="3599">
      <c r="A3599" s="54"/>
      <c r="G3599" s="55"/>
      <c r="U3599" s="56"/>
      <c r="X3599" s="57"/>
    </row>
    <row r="3600">
      <c r="A3600" s="54"/>
      <c r="G3600" s="55"/>
      <c r="U3600" s="56"/>
      <c r="X3600" s="57"/>
    </row>
    <row r="3601">
      <c r="A3601" s="54"/>
      <c r="G3601" s="55"/>
      <c r="U3601" s="56"/>
      <c r="X3601" s="57"/>
    </row>
    <row r="3602">
      <c r="A3602" s="54"/>
      <c r="G3602" s="55"/>
      <c r="U3602" s="56"/>
      <c r="X3602" s="57"/>
    </row>
    <row r="3603">
      <c r="A3603" s="54"/>
      <c r="G3603" s="55"/>
      <c r="U3603" s="56"/>
      <c r="X3603" s="57"/>
    </row>
    <row r="3604">
      <c r="A3604" s="54"/>
      <c r="G3604" s="55"/>
      <c r="U3604" s="56"/>
      <c r="X3604" s="57"/>
    </row>
    <row r="3605">
      <c r="A3605" s="54"/>
      <c r="G3605" s="55"/>
      <c r="U3605" s="56"/>
      <c r="X3605" s="57"/>
    </row>
    <row r="3606">
      <c r="A3606" s="54"/>
      <c r="G3606" s="55"/>
      <c r="U3606" s="56"/>
      <c r="X3606" s="57"/>
    </row>
    <row r="3607">
      <c r="A3607" s="54"/>
      <c r="G3607" s="55"/>
      <c r="U3607" s="56"/>
      <c r="X3607" s="57"/>
    </row>
    <row r="3608">
      <c r="A3608" s="54"/>
      <c r="G3608" s="55"/>
      <c r="U3608" s="56"/>
      <c r="X3608" s="57"/>
    </row>
    <row r="3609">
      <c r="A3609" s="54"/>
      <c r="G3609" s="55"/>
      <c r="U3609" s="56"/>
      <c r="X3609" s="57"/>
    </row>
    <row r="3610">
      <c r="A3610" s="54"/>
      <c r="G3610" s="55"/>
      <c r="U3610" s="56"/>
      <c r="X3610" s="57"/>
    </row>
    <row r="3611">
      <c r="A3611" s="54"/>
      <c r="G3611" s="55"/>
      <c r="U3611" s="56"/>
      <c r="X3611" s="57"/>
    </row>
    <row r="3612">
      <c r="A3612" s="54"/>
      <c r="G3612" s="55"/>
      <c r="U3612" s="56"/>
      <c r="X3612" s="57"/>
    </row>
    <row r="3613">
      <c r="A3613" s="54"/>
      <c r="G3613" s="55"/>
      <c r="U3613" s="56"/>
      <c r="X3613" s="57"/>
    </row>
    <row r="3614">
      <c r="A3614" s="54"/>
      <c r="G3614" s="55"/>
      <c r="U3614" s="56"/>
      <c r="X3614" s="57"/>
    </row>
    <row r="3615">
      <c r="A3615" s="54"/>
      <c r="G3615" s="55"/>
      <c r="U3615" s="56"/>
      <c r="X3615" s="57"/>
    </row>
    <row r="3616">
      <c r="A3616" s="54"/>
      <c r="G3616" s="55"/>
      <c r="U3616" s="56"/>
      <c r="X3616" s="57"/>
    </row>
    <row r="3617">
      <c r="A3617" s="54"/>
      <c r="G3617" s="55"/>
      <c r="U3617" s="56"/>
      <c r="X3617" s="57"/>
    </row>
    <row r="3618">
      <c r="A3618" s="54"/>
      <c r="G3618" s="55"/>
      <c r="U3618" s="56"/>
      <c r="X3618" s="57"/>
    </row>
    <row r="3619">
      <c r="A3619" s="54"/>
      <c r="G3619" s="55"/>
      <c r="U3619" s="56"/>
      <c r="X3619" s="57"/>
    </row>
    <row r="3620">
      <c r="A3620" s="54"/>
      <c r="G3620" s="55"/>
      <c r="U3620" s="56"/>
      <c r="X3620" s="57"/>
    </row>
    <row r="3621">
      <c r="A3621" s="54"/>
      <c r="G3621" s="55"/>
      <c r="U3621" s="56"/>
      <c r="X3621" s="57"/>
    </row>
    <row r="3622">
      <c r="A3622" s="54"/>
      <c r="G3622" s="55"/>
      <c r="U3622" s="56"/>
      <c r="X3622" s="57"/>
    </row>
    <row r="3623">
      <c r="A3623" s="54"/>
      <c r="G3623" s="55"/>
      <c r="U3623" s="56"/>
      <c r="X3623" s="57"/>
    </row>
    <row r="3624">
      <c r="A3624" s="54"/>
      <c r="G3624" s="55"/>
      <c r="U3624" s="56"/>
      <c r="X3624" s="57"/>
    </row>
    <row r="3625">
      <c r="A3625" s="54"/>
      <c r="G3625" s="55"/>
      <c r="U3625" s="56"/>
      <c r="X3625" s="57"/>
    </row>
    <row r="3626">
      <c r="A3626" s="54"/>
      <c r="G3626" s="55"/>
      <c r="U3626" s="56"/>
      <c r="X3626" s="57"/>
    </row>
    <row r="3627">
      <c r="A3627" s="54"/>
      <c r="G3627" s="55"/>
      <c r="U3627" s="56"/>
      <c r="X3627" s="57"/>
    </row>
    <row r="3628">
      <c r="A3628" s="54"/>
      <c r="G3628" s="55"/>
      <c r="U3628" s="56"/>
      <c r="X3628" s="57"/>
    </row>
    <row r="3629">
      <c r="A3629" s="54"/>
      <c r="G3629" s="55"/>
      <c r="U3629" s="56"/>
      <c r="X3629" s="57"/>
    </row>
    <row r="3630">
      <c r="A3630" s="54"/>
      <c r="G3630" s="55"/>
      <c r="U3630" s="56"/>
      <c r="X3630" s="57"/>
    </row>
    <row r="3631">
      <c r="A3631" s="54"/>
      <c r="G3631" s="55"/>
      <c r="U3631" s="56"/>
      <c r="X3631" s="57"/>
    </row>
    <row r="3632">
      <c r="A3632" s="54"/>
      <c r="G3632" s="55"/>
      <c r="U3632" s="56"/>
      <c r="X3632" s="57"/>
    </row>
    <row r="3633">
      <c r="A3633" s="54"/>
      <c r="G3633" s="55"/>
      <c r="U3633" s="56"/>
      <c r="X3633" s="57"/>
    </row>
    <row r="3634">
      <c r="A3634" s="54"/>
      <c r="G3634" s="55"/>
      <c r="U3634" s="56"/>
      <c r="X3634" s="57"/>
    </row>
    <row r="3635">
      <c r="A3635" s="54"/>
      <c r="G3635" s="55"/>
      <c r="U3635" s="56"/>
      <c r="X3635" s="57"/>
    </row>
    <row r="3636">
      <c r="A3636" s="54"/>
      <c r="G3636" s="55"/>
      <c r="U3636" s="56"/>
      <c r="X3636" s="57"/>
    </row>
    <row r="3637">
      <c r="A3637" s="54"/>
      <c r="G3637" s="55"/>
      <c r="U3637" s="56"/>
      <c r="X3637" s="57"/>
    </row>
    <row r="3638">
      <c r="A3638" s="54"/>
      <c r="G3638" s="55"/>
      <c r="U3638" s="56"/>
      <c r="X3638" s="57"/>
    </row>
    <row r="3639">
      <c r="A3639" s="54"/>
      <c r="G3639" s="55"/>
      <c r="U3639" s="56"/>
      <c r="X3639" s="57"/>
    </row>
    <row r="3640">
      <c r="A3640" s="54"/>
      <c r="G3640" s="55"/>
      <c r="U3640" s="56"/>
      <c r="X3640" s="57"/>
    </row>
    <row r="3641">
      <c r="A3641" s="54"/>
      <c r="G3641" s="55"/>
      <c r="U3641" s="56"/>
      <c r="X3641" s="57"/>
    </row>
    <row r="3642">
      <c r="A3642" s="54"/>
      <c r="G3642" s="55"/>
      <c r="U3642" s="56"/>
      <c r="X3642" s="57"/>
    </row>
    <row r="3643">
      <c r="A3643" s="54"/>
      <c r="G3643" s="55"/>
      <c r="U3643" s="56"/>
      <c r="X3643" s="57"/>
    </row>
    <row r="3644">
      <c r="A3644" s="54"/>
      <c r="G3644" s="55"/>
      <c r="U3644" s="56"/>
      <c r="X3644" s="57"/>
    </row>
    <row r="3645">
      <c r="A3645" s="54"/>
      <c r="G3645" s="55"/>
      <c r="U3645" s="56"/>
      <c r="X3645" s="57"/>
    </row>
    <row r="3646">
      <c r="A3646" s="54"/>
      <c r="G3646" s="55"/>
      <c r="U3646" s="56"/>
      <c r="X3646" s="57"/>
    </row>
    <row r="3647">
      <c r="A3647" s="54"/>
      <c r="G3647" s="55"/>
      <c r="U3647" s="56"/>
      <c r="X3647" s="57"/>
    </row>
    <row r="3648">
      <c r="A3648" s="54"/>
      <c r="G3648" s="55"/>
      <c r="U3648" s="56"/>
      <c r="X3648" s="57"/>
    </row>
    <row r="3649">
      <c r="A3649" s="54"/>
      <c r="G3649" s="55"/>
      <c r="U3649" s="56"/>
      <c r="X3649" s="57"/>
    </row>
    <row r="3650">
      <c r="A3650" s="54"/>
      <c r="G3650" s="55"/>
      <c r="U3650" s="56"/>
      <c r="X3650" s="57"/>
    </row>
    <row r="3651">
      <c r="A3651" s="54"/>
      <c r="G3651" s="55"/>
      <c r="U3651" s="56"/>
      <c r="X3651" s="57"/>
    </row>
    <row r="3652">
      <c r="A3652" s="54"/>
      <c r="G3652" s="55"/>
      <c r="U3652" s="56"/>
      <c r="X3652" s="57"/>
    </row>
    <row r="3653">
      <c r="A3653" s="54"/>
      <c r="G3653" s="55"/>
      <c r="U3653" s="56"/>
      <c r="X3653" s="57"/>
    </row>
    <row r="3654">
      <c r="A3654" s="54"/>
      <c r="G3654" s="55"/>
      <c r="U3654" s="56"/>
      <c r="X3654" s="57"/>
    </row>
    <row r="3655">
      <c r="A3655" s="54"/>
      <c r="G3655" s="55"/>
      <c r="U3655" s="56"/>
      <c r="X3655" s="57"/>
    </row>
    <row r="3656">
      <c r="A3656" s="54"/>
      <c r="G3656" s="55"/>
      <c r="U3656" s="56"/>
      <c r="X3656" s="57"/>
    </row>
    <row r="3657">
      <c r="A3657" s="54"/>
      <c r="G3657" s="55"/>
      <c r="U3657" s="56"/>
      <c r="X3657" s="57"/>
    </row>
    <row r="3658">
      <c r="A3658" s="54"/>
      <c r="G3658" s="55"/>
      <c r="U3658" s="56"/>
      <c r="X3658" s="57"/>
    </row>
    <row r="3659">
      <c r="A3659" s="54"/>
      <c r="G3659" s="55"/>
      <c r="U3659" s="56"/>
      <c r="X3659" s="57"/>
    </row>
    <row r="3660">
      <c r="A3660" s="54"/>
      <c r="G3660" s="55"/>
      <c r="U3660" s="56"/>
      <c r="X3660" s="57"/>
    </row>
    <row r="3661">
      <c r="A3661" s="54"/>
      <c r="G3661" s="55"/>
      <c r="U3661" s="56"/>
      <c r="X3661" s="57"/>
    </row>
    <row r="3662">
      <c r="A3662" s="54"/>
      <c r="G3662" s="55"/>
      <c r="U3662" s="56"/>
      <c r="X3662" s="57"/>
    </row>
    <row r="3663">
      <c r="A3663" s="54"/>
      <c r="G3663" s="55"/>
      <c r="U3663" s="56"/>
      <c r="X3663" s="57"/>
    </row>
    <row r="3664">
      <c r="A3664" s="54"/>
      <c r="G3664" s="55"/>
      <c r="U3664" s="56"/>
      <c r="X3664" s="57"/>
    </row>
    <row r="3665">
      <c r="A3665" s="54"/>
      <c r="G3665" s="55"/>
      <c r="U3665" s="56"/>
      <c r="X3665" s="57"/>
    </row>
    <row r="3666">
      <c r="A3666" s="54"/>
      <c r="G3666" s="55"/>
      <c r="U3666" s="56"/>
      <c r="X3666" s="57"/>
    </row>
    <row r="3667">
      <c r="A3667" s="54"/>
      <c r="G3667" s="55"/>
      <c r="U3667" s="56"/>
      <c r="X3667" s="57"/>
    </row>
    <row r="3668">
      <c r="A3668" s="54"/>
      <c r="G3668" s="55"/>
      <c r="U3668" s="56"/>
      <c r="X3668" s="57"/>
    </row>
    <row r="3669">
      <c r="A3669" s="54"/>
      <c r="G3669" s="55"/>
      <c r="U3669" s="56"/>
      <c r="X3669" s="57"/>
    </row>
    <row r="3670">
      <c r="A3670" s="54"/>
      <c r="G3670" s="55"/>
      <c r="U3670" s="56"/>
      <c r="X3670" s="57"/>
    </row>
    <row r="3671">
      <c r="A3671" s="54"/>
      <c r="G3671" s="55"/>
      <c r="U3671" s="56"/>
      <c r="X3671" s="57"/>
    </row>
    <row r="3672">
      <c r="A3672" s="54"/>
      <c r="G3672" s="55"/>
      <c r="U3672" s="56"/>
      <c r="X3672" s="57"/>
    </row>
    <row r="3673">
      <c r="A3673" s="54"/>
      <c r="G3673" s="55"/>
      <c r="U3673" s="56"/>
      <c r="X3673" s="57"/>
    </row>
    <row r="3674">
      <c r="A3674" s="54"/>
      <c r="G3674" s="55"/>
      <c r="U3674" s="56"/>
      <c r="X3674" s="57"/>
    </row>
    <row r="3675">
      <c r="A3675" s="54"/>
      <c r="G3675" s="55"/>
      <c r="U3675" s="56"/>
      <c r="X3675" s="57"/>
    </row>
    <row r="3676">
      <c r="A3676" s="54"/>
      <c r="G3676" s="55"/>
      <c r="U3676" s="56"/>
      <c r="X3676" s="57"/>
    </row>
    <row r="3677">
      <c r="A3677" s="54"/>
      <c r="G3677" s="55"/>
      <c r="U3677" s="56"/>
      <c r="X3677" s="57"/>
    </row>
    <row r="3678">
      <c r="A3678" s="54"/>
      <c r="G3678" s="55"/>
      <c r="U3678" s="56"/>
      <c r="X3678" s="57"/>
    </row>
    <row r="3679">
      <c r="A3679" s="54"/>
      <c r="G3679" s="55"/>
      <c r="U3679" s="56"/>
      <c r="X3679" s="57"/>
    </row>
    <row r="3680">
      <c r="A3680" s="54"/>
      <c r="G3680" s="55"/>
      <c r="U3680" s="56"/>
      <c r="X3680" s="57"/>
    </row>
    <row r="3681">
      <c r="A3681" s="54"/>
      <c r="G3681" s="55"/>
      <c r="U3681" s="56"/>
      <c r="X3681" s="57"/>
    </row>
    <row r="3682">
      <c r="A3682" s="54"/>
      <c r="G3682" s="55"/>
      <c r="U3682" s="56"/>
      <c r="X3682" s="57"/>
    </row>
    <row r="3683">
      <c r="A3683" s="54"/>
      <c r="G3683" s="55"/>
      <c r="U3683" s="56"/>
      <c r="X3683" s="57"/>
    </row>
    <row r="3684">
      <c r="A3684" s="54"/>
      <c r="G3684" s="55"/>
      <c r="U3684" s="56"/>
      <c r="X3684" s="57"/>
    </row>
    <row r="3685">
      <c r="A3685" s="54"/>
      <c r="G3685" s="55"/>
      <c r="U3685" s="56"/>
      <c r="X3685" s="57"/>
    </row>
    <row r="3686">
      <c r="A3686" s="54"/>
      <c r="G3686" s="55"/>
      <c r="U3686" s="56"/>
      <c r="X3686" s="57"/>
    </row>
    <row r="3687">
      <c r="A3687" s="54"/>
      <c r="G3687" s="55"/>
      <c r="U3687" s="56"/>
      <c r="X3687" s="57"/>
    </row>
    <row r="3688">
      <c r="A3688" s="54"/>
      <c r="G3688" s="55"/>
      <c r="U3688" s="56"/>
      <c r="X3688" s="57"/>
    </row>
    <row r="3689">
      <c r="A3689" s="54"/>
      <c r="G3689" s="55"/>
      <c r="U3689" s="56"/>
      <c r="X3689" s="57"/>
    </row>
    <row r="3690">
      <c r="A3690" s="54"/>
      <c r="G3690" s="55"/>
      <c r="U3690" s="56"/>
      <c r="X3690" s="57"/>
    </row>
    <row r="3691">
      <c r="A3691" s="54"/>
      <c r="G3691" s="55"/>
      <c r="U3691" s="56"/>
      <c r="X3691" s="57"/>
    </row>
    <row r="3692">
      <c r="A3692" s="54"/>
      <c r="G3692" s="55"/>
      <c r="U3692" s="56"/>
      <c r="X3692" s="57"/>
    </row>
    <row r="3693">
      <c r="A3693" s="54"/>
      <c r="G3693" s="55"/>
      <c r="U3693" s="56"/>
      <c r="X3693" s="57"/>
    </row>
    <row r="3694">
      <c r="A3694" s="54"/>
      <c r="G3694" s="55"/>
      <c r="U3694" s="56"/>
      <c r="X3694" s="57"/>
    </row>
    <row r="3695">
      <c r="A3695" s="54"/>
      <c r="G3695" s="55"/>
      <c r="U3695" s="56"/>
      <c r="X3695" s="57"/>
    </row>
    <row r="3696">
      <c r="A3696" s="54"/>
      <c r="G3696" s="55"/>
      <c r="U3696" s="56"/>
      <c r="X3696" s="57"/>
    </row>
    <row r="3697">
      <c r="A3697" s="54"/>
      <c r="G3697" s="55"/>
      <c r="U3697" s="56"/>
      <c r="X3697" s="57"/>
    </row>
    <row r="3698">
      <c r="A3698" s="54"/>
      <c r="G3698" s="55"/>
      <c r="U3698" s="56"/>
      <c r="X3698" s="57"/>
    </row>
    <row r="3699">
      <c r="A3699" s="54"/>
      <c r="G3699" s="55"/>
      <c r="U3699" s="56"/>
      <c r="X3699" s="57"/>
    </row>
    <row r="3700">
      <c r="A3700" s="54"/>
      <c r="G3700" s="55"/>
      <c r="U3700" s="56"/>
      <c r="X3700" s="57"/>
    </row>
    <row r="3701">
      <c r="A3701" s="54"/>
      <c r="G3701" s="55"/>
      <c r="U3701" s="56"/>
      <c r="X3701" s="57"/>
    </row>
    <row r="3702">
      <c r="A3702" s="54"/>
      <c r="G3702" s="55"/>
      <c r="U3702" s="56"/>
      <c r="X3702" s="57"/>
    </row>
    <row r="3703">
      <c r="A3703" s="54"/>
      <c r="G3703" s="55"/>
      <c r="U3703" s="56"/>
      <c r="X3703" s="57"/>
    </row>
    <row r="3704">
      <c r="A3704" s="54"/>
      <c r="G3704" s="55"/>
      <c r="U3704" s="56"/>
      <c r="X3704" s="57"/>
    </row>
    <row r="3705">
      <c r="A3705" s="54"/>
      <c r="G3705" s="55"/>
      <c r="U3705" s="56"/>
      <c r="X3705" s="57"/>
    </row>
    <row r="3706">
      <c r="A3706" s="54"/>
      <c r="G3706" s="55"/>
      <c r="U3706" s="56"/>
      <c r="X3706" s="57"/>
    </row>
    <row r="3707">
      <c r="A3707" s="54"/>
      <c r="G3707" s="55"/>
      <c r="U3707" s="56"/>
      <c r="X3707" s="57"/>
    </row>
    <row r="3708">
      <c r="A3708" s="54"/>
      <c r="G3708" s="55"/>
      <c r="U3708" s="56"/>
      <c r="X3708" s="57"/>
    </row>
    <row r="3709">
      <c r="A3709" s="54"/>
      <c r="G3709" s="55"/>
      <c r="U3709" s="56"/>
      <c r="X3709" s="57"/>
    </row>
    <row r="3710">
      <c r="A3710" s="54"/>
      <c r="G3710" s="55"/>
      <c r="U3710" s="56"/>
      <c r="X3710" s="57"/>
    </row>
    <row r="3711">
      <c r="A3711" s="54"/>
      <c r="G3711" s="55"/>
      <c r="U3711" s="56"/>
      <c r="X3711" s="57"/>
    </row>
    <row r="3712">
      <c r="A3712" s="54"/>
      <c r="G3712" s="55"/>
      <c r="U3712" s="56"/>
      <c r="X3712" s="57"/>
    </row>
    <row r="3713">
      <c r="A3713" s="54"/>
      <c r="G3713" s="55"/>
      <c r="U3713" s="56"/>
      <c r="X3713" s="57"/>
    </row>
    <row r="3714">
      <c r="A3714" s="54"/>
      <c r="G3714" s="55"/>
      <c r="U3714" s="56"/>
      <c r="X3714" s="57"/>
    </row>
    <row r="3715">
      <c r="A3715" s="54"/>
      <c r="G3715" s="55"/>
      <c r="U3715" s="56"/>
      <c r="X3715" s="57"/>
    </row>
    <row r="3716">
      <c r="A3716" s="54"/>
      <c r="G3716" s="55"/>
      <c r="U3716" s="56"/>
      <c r="X3716" s="57"/>
    </row>
    <row r="3717">
      <c r="A3717" s="54"/>
      <c r="G3717" s="55"/>
      <c r="U3717" s="56"/>
      <c r="X3717" s="57"/>
    </row>
    <row r="3718">
      <c r="A3718" s="54"/>
      <c r="G3718" s="55"/>
      <c r="U3718" s="56"/>
      <c r="X3718" s="57"/>
    </row>
    <row r="3719">
      <c r="A3719" s="54"/>
      <c r="G3719" s="55"/>
      <c r="U3719" s="56"/>
      <c r="X3719" s="57"/>
    </row>
    <row r="3720">
      <c r="A3720" s="54"/>
      <c r="G3720" s="55"/>
      <c r="U3720" s="56"/>
      <c r="X3720" s="57"/>
    </row>
    <row r="3721">
      <c r="A3721" s="54"/>
      <c r="G3721" s="55"/>
      <c r="U3721" s="56"/>
      <c r="X3721" s="57"/>
    </row>
    <row r="3722">
      <c r="A3722" s="54"/>
      <c r="G3722" s="55"/>
      <c r="U3722" s="56"/>
      <c r="X3722" s="57"/>
    </row>
    <row r="3723">
      <c r="A3723" s="54"/>
      <c r="G3723" s="55"/>
      <c r="U3723" s="56"/>
      <c r="X3723" s="57"/>
    </row>
    <row r="3724">
      <c r="A3724" s="54"/>
      <c r="G3724" s="55"/>
      <c r="U3724" s="56"/>
      <c r="X3724" s="57"/>
    </row>
    <row r="3725">
      <c r="A3725" s="54"/>
      <c r="G3725" s="55"/>
      <c r="U3725" s="56"/>
      <c r="X3725" s="57"/>
    </row>
    <row r="3726">
      <c r="A3726" s="54"/>
      <c r="G3726" s="55"/>
      <c r="U3726" s="56"/>
      <c r="X3726" s="57"/>
    </row>
    <row r="3727">
      <c r="A3727" s="54"/>
      <c r="G3727" s="55"/>
      <c r="U3727" s="56"/>
      <c r="X3727" s="57"/>
    </row>
    <row r="3728">
      <c r="A3728" s="54"/>
      <c r="G3728" s="55"/>
      <c r="U3728" s="56"/>
      <c r="X3728" s="57"/>
    </row>
    <row r="3729">
      <c r="A3729" s="54"/>
      <c r="G3729" s="55"/>
      <c r="U3729" s="56"/>
      <c r="X3729" s="57"/>
    </row>
    <row r="3730">
      <c r="A3730" s="54"/>
      <c r="G3730" s="55"/>
      <c r="U3730" s="56"/>
      <c r="X3730" s="57"/>
    </row>
    <row r="3731">
      <c r="A3731" s="54"/>
      <c r="G3731" s="55"/>
      <c r="U3731" s="56"/>
      <c r="X3731" s="57"/>
    </row>
    <row r="3732">
      <c r="A3732" s="54"/>
      <c r="G3732" s="55"/>
      <c r="U3732" s="56"/>
      <c r="X3732" s="57"/>
    </row>
    <row r="3733">
      <c r="A3733" s="54"/>
      <c r="G3733" s="55"/>
      <c r="U3733" s="56"/>
      <c r="X3733" s="57"/>
    </row>
    <row r="3734">
      <c r="A3734" s="54"/>
      <c r="G3734" s="55"/>
      <c r="U3734" s="56"/>
      <c r="X3734" s="57"/>
    </row>
    <row r="3735">
      <c r="A3735" s="54"/>
      <c r="G3735" s="55"/>
      <c r="U3735" s="56"/>
      <c r="X3735" s="57"/>
    </row>
    <row r="3736">
      <c r="A3736" s="54"/>
      <c r="G3736" s="55"/>
      <c r="U3736" s="56"/>
      <c r="X3736" s="57"/>
    </row>
    <row r="3737">
      <c r="A3737" s="54"/>
      <c r="G3737" s="55"/>
      <c r="U3737" s="56"/>
      <c r="X3737" s="57"/>
    </row>
    <row r="3738">
      <c r="A3738" s="54"/>
      <c r="G3738" s="55"/>
      <c r="U3738" s="56"/>
      <c r="X3738" s="57"/>
    </row>
    <row r="3739">
      <c r="A3739" s="54"/>
      <c r="G3739" s="55"/>
      <c r="U3739" s="56"/>
      <c r="X3739" s="57"/>
    </row>
    <row r="3740">
      <c r="A3740" s="54"/>
      <c r="G3740" s="55"/>
      <c r="U3740" s="56"/>
      <c r="X3740" s="57"/>
    </row>
    <row r="3741">
      <c r="A3741" s="54"/>
      <c r="G3741" s="55"/>
      <c r="U3741" s="56"/>
      <c r="X3741" s="57"/>
    </row>
    <row r="3742">
      <c r="A3742" s="54"/>
      <c r="G3742" s="55"/>
      <c r="U3742" s="56"/>
      <c r="X3742" s="57"/>
    </row>
    <row r="3743">
      <c r="A3743" s="54"/>
      <c r="G3743" s="55"/>
      <c r="U3743" s="56"/>
      <c r="X3743" s="57"/>
    </row>
    <row r="3744">
      <c r="A3744" s="54"/>
      <c r="G3744" s="55"/>
      <c r="U3744" s="56"/>
      <c r="X3744" s="57"/>
    </row>
    <row r="3745">
      <c r="A3745" s="54"/>
      <c r="G3745" s="55"/>
      <c r="U3745" s="56"/>
      <c r="X3745" s="57"/>
    </row>
    <row r="3746">
      <c r="A3746" s="54"/>
      <c r="G3746" s="55"/>
      <c r="U3746" s="56"/>
      <c r="X3746" s="57"/>
    </row>
    <row r="3747">
      <c r="A3747" s="54"/>
      <c r="G3747" s="55"/>
      <c r="U3747" s="56"/>
      <c r="X3747" s="57"/>
    </row>
    <row r="3748">
      <c r="A3748" s="54"/>
      <c r="G3748" s="55"/>
      <c r="U3748" s="56"/>
      <c r="X3748" s="57"/>
    </row>
    <row r="3749">
      <c r="A3749" s="54"/>
      <c r="G3749" s="55"/>
      <c r="U3749" s="56"/>
      <c r="X3749" s="57"/>
    </row>
    <row r="3750">
      <c r="A3750" s="54"/>
      <c r="G3750" s="55"/>
      <c r="U3750" s="56"/>
      <c r="X3750" s="57"/>
    </row>
    <row r="3751">
      <c r="A3751" s="54"/>
      <c r="G3751" s="55"/>
      <c r="U3751" s="56"/>
      <c r="X3751" s="57"/>
    </row>
    <row r="3752">
      <c r="A3752" s="54"/>
      <c r="G3752" s="55"/>
      <c r="U3752" s="56"/>
      <c r="X3752" s="57"/>
    </row>
    <row r="3753">
      <c r="A3753" s="54"/>
      <c r="G3753" s="55"/>
      <c r="U3753" s="56"/>
      <c r="X3753" s="57"/>
    </row>
    <row r="3754">
      <c r="A3754" s="54"/>
      <c r="G3754" s="55"/>
      <c r="U3754" s="56"/>
      <c r="X3754" s="57"/>
    </row>
    <row r="3755">
      <c r="A3755" s="54"/>
      <c r="G3755" s="55"/>
      <c r="U3755" s="56"/>
      <c r="X3755" s="57"/>
    </row>
    <row r="3756">
      <c r="A3756" s="54"/>
      <c r="G3756" s="55"/>
      <c r="U3756" s="56"/>
      <c r="X3756" s="57"/>
    </row>
    <row r="3757">
      <c r="A3757" s="54"/>
      <c r="G3757" s="55"/>
      <c r="U3757" s="56"/>
      <c r="X3757" s="57"/>
    </row>
    <row r="3758">
      <c r="A3758" s="54"/>
      <c r="G3758" s="55"/>
      <c r="U3758" s="56"/>
      <c r="X3758" s="57"/>
    </row>
    <row r="3759">
      <c r="A3759" s="54"/>
      <c r="G3759" s="55"/>
      <c r="U3759" s="56"/>
      <c r="X3759" s="57"/>
    </row>
    <row r="3760">
      <c r="A3760" s="54"/>
      <c r="G3760" s="55"/>
      <c r="U3760" s="56"/>
      <c r="X3760" s="57"/>
    </row>
    <row r="3761">
      <c r="A3761" s="54"/>
      <c r="G3761" s="55"/>
      <c r="U3761" s="56"/>
      <c r="X3761" s="57"/>
    </row>
    <row r="3762">
      <c r="A3762" s="54"/>
      <c r="G3762" s="55"/>
      <c r="U3762" s="56"/>
      <c r="X3762" s="57"/>
    </row>
    <row r="3763">
      <c r="A3763" s="54"/>
      <c r="G3763" s="55"/>
      <c r="U3763" s="56"/>
      <c r="X3763" s="57"/>
    </row>
    <row r="3764">
      <c r="A3764" s="54"/>
      <c r="G3764" s="55"/>
      <c r="U3764" s="56"/>
      <c r="X3764" s="57"/>
    </row>
    <row r="3765">
      <c r="A3765" s="54"/>
      <c r="G3765" s="55"/>
      <c r="U3765" s="56"/>
      <c r="X3765" s="57"/>
    </row>
    <row r="3766">
      <c r="A3766" s="54"/>
      <c r="G3766" s="55"/>
      <c r="U3766" s="56"/>
      <c r="X3766" s="57"/>
    </row>
    <row r="3767">
      <c r="A3767" s="54"/>
      <c r="G3767" s="55"/>
      <c r="U3767" s="56"/>
      <c r="X3767" s="57"/>
    </row>
    <row r="3768">
      <c r="A3768" s="54"/>
      <c r="G3768" s="55"/>
      <c r="U3768" s="56"/>
      <c r="X3768" s="57"/>
    </row>
    <row r="3769">
      <c r="A3769" s="54"/>
      <c r="G3769" s="55"/>
      <c r="U3769" s="56"/>
      <c r="X3769" s="57"/>
    </row>
    <row r="3770">
      <c r="A3770" s="54"/>
      <c r="G3770" s="55"/>
      <c r="U3770" s="56"/>
      <c r="X3770" s="57"/>
    </row>
    <row r="3771">
      <c r="A3771" s="54"/>
      <c r="G3771" s="55"/>
      <c r="U3771" s="56"/>
      <c r="X3771" s="57"/>
    </row>
    <row r="3772">
      <c r="A3772" s="54"/>
      <c r="G3772" s="55"/>
      <c r="U3772" s="56"/>
      <c r="X3772" s="57"/>
    </row>
    <row r="3773">
      <c r="A3773" s="54"/>
      <c r="G3773" s="55"/>
      <c r="U3773" s="56"/>
      <c r="X3773" s="57"/>
    </row>
    <row r="3774">
      <c r="A3774" s="54"/>
      <c r="G3774" s="55"/>
      <c r="U3774" s="56"/>
      <c r="X3774" s="57"/>
    </row>
    <row r="3775">
      <c r="A3775" s="54"/>
      <c r="G3775" s="55"/>
      <c r="U3775" s="56"/>
      <c r="X3775" s="57"/>
    </row>
    <row r="3776">
      <c r="A3776" s="54"/>
      <c r="G3776" s="55"/>
      <c r="U3776" s="56"/>
      <c r="X3776" s="57"/>
    </row>
    <row r="3777">
      <c r="A3777" s="54"/>
      <c r="G3777" s="55"/>
      <c r="U3777" s="56"/>
      <c r="X3777" s="57"/>
    </row>
    <row r="3778">
      <c r="A3778" s="54"/>
      <c r="G3778" s="55"/>
      <c r="U3778" s="56"/>
      <c r="X3778" s="57"/>
    </row>
    <row r="3779">
      <c r="A3779" s="54"/>
      <c r="G3779" s="55"/>
      <c r="U3779" s="56"/>
      <c r="X3779" s="57"/>
    </row>
    <row r="3780">
      <c r="A3780" s="54"/>
      <c r="G3780" s="55"/>
      <c r="U3780" s="56"/>
      <c r="X3780" s="57"/>
    </row>
    <row r="3781">
      <c r="A3781" s="54"/>
      <c r="G3781" s="55"/>
      <c r="U3781" s="56"/>
      <c r="X3781" s="57"/>
    </row>
    <row r="3782">
      <c r="A3782" s="54"/>
      <c r="G3782" s="55"/>
      <c r="U3782" s="56"/>
      <c r="X3782" s="57"/>
    </row>
    <row r="3783">
      <c r="A3783" s="54"/>
      <c r="G3783" s="55"/>
      <c r="U3783" s="56"/>
      <c r="X3783" s="57"/>
    </row>
    <row r="3784">
      <c r="A3784" s="54"/>
      <c r="G3784" s="55"/>
      <c r="U3784" s="56"/>
      <c r="X3784" s="57"/>
    </row>
    <row r="3785">
      <c r="A3785" s="54"/>
      <c r="G3785" s="55"/>
      <c r="U3785" s="56"/>
      <c r="X3785" s="57"/>
    </row>
    <row r="3786">
      <c r="A3786" s="54"/>
      <c r="G3786" s="55"/>
      <c r="U3786" s="56"/>
      <c r="X3786" s="57"/>
    </row>
    <row r="3787">
      <c r="A3787" s="54"/>
      <c r="G3787" s="55"/>
      <c r="U3787" s="56"/>
      <c r="X3787" s="57"/>
    </row>
    <row r="3788">
      <c r="A3788" s="54"/>
      <c r="G3788" s="55"/>
      <c r="U3788" s="56"/>
      <c r="X3788" s="57"/>
    </row>
    <row r="3789">
      <c r="A3789" s="54"/>
      <c r="G3789" s="55"/>
      <c r="U3789" s="56"/>
      <c r="X3789" s="57"/>
    </row>
    <row r="3790">
      <c r="A3790" s="54"/>
      <c r="G3790" s="55"/>
      <c r="U3790" s="56"/>
      <c r="X3790" s="57"/>
    </row>
    <row r="3791">
      <c r="A3791" s="54"/>
      <c r="G3791" s="55"/>
      <c r="U3791" s="56"/>
      <c r="X3791" s="57"/>
    </row>
    <row r="3792">
      <c r="A3792" s="54"/>
      <c r="G3792" s="55"/>
      <c r="U3792" s="56"/>
      <c r="X3792" s="57"/>
    </row>
    <row r="3793">
      <c r="A3793" s="54"/>
      <c r="G3793" s="55"/>
      <c r="U3793" s="56"/>
      <c r="X3793" s="57"/>
    </row>
    <row r="3794">
      <c r="A3794" s="54"/>
      <c r="G3794" s="55"/>
      <c r="U3794" s="56"/>
      <c r="X3794" s="57"/>
    </row>
    <row r="3795">
      <c r="A3795" s="54"/>
      <c r="G3795" s="55"/>
      <c r="U3795" s="56"/>
      <c r="X3795" s="57"/>
    </row>
    <row r="3796">
      <c r="A3796" s="54"/>
      <c r="G3796" s="55"/>
      <c r="U3796" s="56"/>
      <c r="X3796" s="57"/>
    </row>
    <row r="3797">
      <c r="A3797" s="54"/>
      <c r="G3797" s="55"/>
      <c r="U3797" s="56"/>
      <c r="X3797" s="57"/>
    </row>
    <row r="3798">
      <c r="A3798" s="54"/>
      <c r="G3798" s="55"/>
      <c r="U3798" s="56"/>
      <c r="X3798" s="57"/>
    </row>
    <row r="3799">
      <c r="A3799" s="54"/>
      <c r="G3799" s="55"/>
      <c r="U3799" s="56"/>
      <c r="X3799" s="57"/>
    </row>
    <row r="3800">
      <c r="A3800" s="54"/>
      <c r="G3800" s="55"/>
      <c r="U3800" s="56"/>
      <c r="X3800" s="57"/>
    </row>
    <row r="3801">
      <c r="A3801" s="54"/>
      <c r="G3801" s="55"/>
      <c r="U3801" s="56"/>
      <c r="X3801" s="57"/>
    </row>
    <row r="3802">
      <c r="A3802" s="54"/>
      <c r="G3802" s="55"/>
      <c r="U3802" s="56"/>
      <c r="X3802" s="57"/>
    </row>
    <row r="3803">
      <c r="A3803" s="54"/>
      <c r="G3803" s="55"/>
      <c r="U3803" s="56"/>
      <c r="X3803" s="57"/>
    </row>
    <row r="3804">
      <c r="A3804" s="54"/>
      <c r="G3804" s="55"/>
      <c r="U3804" s="56"/>
      <c r="X3804" s="57"/>
    </row>
    <row r="3805">
      <c r="A3805" s="54"/>
      <c r="G3805" s="55"/>
      <c r="U3805" s="56"/>
      <c r="X3805" s="57"/>
    </row>
    <row r="3806">
      <c r="A3806" s="54"/>
      <c r="G3806" s="55"/>
      <c r="U3806" s="56"/>
      <c r="X3806" s="57"/>
    </row>
    <row r="3807">
      <c r="A3807" s="54"/>
      <c r="G3807" s="55"/>
      <c r="U3807" s="56"/>
      <c r="X3807" s="57"/>
    </row>
    <row r="3808">
      <c r="A3808" s="54"/>
      <c r="G3808" s="55"/>
      <c r="U3808" s="56"/>
      <c r="X3808" s="57"/>
    </row>
    <row r="3809">
      <c r="A3809" s="54"/>
      <c r="G3809" s="55"/>
      <c r="U3809" s="56"/>
      <c r="X3809" s="57"/>
    </row>
    <row r="3810">
      <c r="A3810" s="54"/>
      <c r="G3810" s="55"/>
      <c r="U3810" s="56"/>
      <c r="X3810" s="57"/>
    </row>
    <row r="3811">
      <c r="A3811" s="54"/>
      <c r="G3811" s="55"/>
      <c r="U3811" s="56"/>
      <c r="X3811" s="57"/>
    </row>
    <row r="3812">
      <c r="A3812" s="54"/>
      <c r="G3812" s="55"/>
      <c r="U3812" s="56"/>
      <c r="X3812" s="57"/>
    </row>
    <row r="3813">
      <c r="A3813" s="54"/>
      <c r="G3813" s="55"/>
      <c r="U3813" s="56"/>
      <c r="X3813" s="57"/>
    </row>
    <row r="3814">
      <c r="A3814" s="54"/>
      <c r="G3814" s="55"/>
      <c r="U3814" s="56"/>
      <c r="X3814" s="57"/>
    </row>
    <row r="3815">
      <c r="A3815" s="54"/>
      <c r="G3815" s="55"/>
      <c r="U3815" s="56"/>
      <c r="X3815" s="57"/>
    </row>
    <row r="3816">
      <c r="A3816" s="54"/>
      <c r="G3816" s="55"/>
      <c r="U3816" s="56"/>
      <c r="X3816" s="57"/>
    </row>
    <row r="3817">
      <c r="A3817" s="54"/>
      <c r="G3817" s="55"/>
      <c r="U3817" s="56"/>
      <c r="X3817" s="57"/>
    </row>
    <row r="3818">
      <c r="A3818" s="54"/>
      <c r="G3818" s="55"/>
      <c r="U3818" s="56"/>
      <c r="X3818" s="57"/>
    </row>
    <row r="3819">
      <c r="A3819" s="54"/>
      <c r="G3819" s="55"/>
      <c r="U3819" s="56"/>
      <c r="X3819" s="57"/>
    </row>
    <row r="3820">
      <c r="A3820" s="54"/>
      <c r="G3820" s="55"/>
      <c r="U3820" s="56"/>
      <c r="X3820" s="57"/>
    </row>
    <row r="3821">
      <c r="A3821" s="54"/>
      <c r="G3821" s="55"/>
      <c r="U3821" s="56"/>
      <c r="X3821" s="57"/>
    </row>
    <row r="3822">
      <c r="A3822" s="54"/>
      <c r="G3822" s="55"/>
      <c r="U3822" s="56"/>
      <c r="X3822" s="57"/>
    </row>
    <row r="3823">
      <c r="A3823" s="54"/>
      <c r="G3823" s="55"/>
      <c r="U3823" s="56"/>
      <c r="X3823" s="57"/>
    </row>
    <row r="3824">
      <c r="A3824" s="54"/>
      <c r="G3824" s="55"/>
      <c r="U3824" s="56"/>
      <c r="X3824" s="57"/>
    </row>
    <row r="3825">
      <c r="A3825" s="54"/>
      <c r="G3825" s="55"/>
      <c r="U3825" s="56"/>
      <c r="X3825" s="57"/>
    </row>
    <row r="3826">
      <c r="A3826" s="54"/>
      <c r="G3826" s="55"/>
      <c r="U3826" s="56"/>
      <c r="X3826" s="57"/>
    </row>
    <row r="3827">
      <c r="A3827" s="54"/>
      <c r="G3827" s="55"/>
      <c r="U3827" s="56"/>
      <c r="X3827" s="57"/>
    </row>
    <row r="3828">
      <c r="A3828" s="54"/>
      <c r="G3828" s="55"/>
      <c r="U3828" s="56"/>
      <c r="X3828" s="57"/>
    </row>
    <row r="3829">
      <c r="A3829" s="54"/>
      <c r="G3829" s="55"/>
      <c r="U3829" s="56"/>
      <c r="X3829" s="57"/>
    </row>
    <row r="3830">
      <c r="A3830" s="54"/>
      <c r="G3830" s="55"/>
      <c r="U3830" s="56"/>
      <c r="X3830" s="57"/>
    </row>
    <row r="3831">
      <c r="A3831" s="54"/>
      <c r="G3831" s="55"/>
      <c r="U3831" s="56"/>
      <c r="X3831" s="57"/>
    </row>
    <row r="3832">
      <c r="A3832" s="54"/>
      <c r="G3832" s="55"/>
      <c r="U3832" s="56"/>
      <c r="X3832" s="57"/>
    </row>
    <row r="3833">
      <c r="A3833" s="54"/>
      <c r="G3833" s="55"/>
      <c r="U3833" s="56"/>
      <c r="X3833" s="57"/>
    </row>
    <row r="3834">
      <c r="A3834" s="54"/>
      <c r="G3834" s="55"/>
      <c r="U3834" s="56"/>
      <c r="X3834" s="57"/>
    </row>
    <row r="3835">
      <c r="A3835" s="54"/>
      <c r="G3835" s="55"/>
      <c r="U3835" s="56"/>
      <c r="X3835" s="57"/>
    </row>
    <row r="3836">
      <c r="A3836" s="54"/>
      <c r="G3836" s="55"/>
      <c r="U3836" s="56"/>
      <c r="X3836" s="57"/>
    </row>
    <row r="3837">
      <c r="A3837" s="54"/>
      <c r="G3837" s="55"/>
      <c r="U3837" s="56"/>
      <c r="X3837" s="57"/>
    </row>
    <row r="3838">
      <c r="A3838" s="54"/>
      <c r="G3838" s="55"/>
      <c r="U3838" s="56"/>
      <c r="X3838" s="57"/>
    </row>
    <row r="3839">
      <c r="A3839" s="54"/>
      <c r="G3839" s="55"/>
      <c r="U3839" s="56"/>
      <c r="X3839" s="57"/>
    </row>
    <row r="3840">
      <c r="A3840" s="54"/>
      <c r="G3840" s="55"/>
      <c r="U3840" s="56"/>
      <c r="X3840" s="57"/>
    </row>
    <row r="3841">
      <c r="A3841" s="54"/>
      <c r="G3841" s="55"/>
      <c r="U3841" s="56"/>
      <c r="X3841" s="57"/>
    </row>
    <row r="3842">
      <c r="A3842" s="54"/>
      <c r="G3842" s="55"/>
      <c r="U3842" s="56"/>
      <c r="X3842" s="57"/>
    </row>
    <row r="3843">
      <c r="A3843" s="54"/>
      <c r="G3843" s="55"/>
      <c r="U3843" s="56"/>
      <c r="X3843" s="57"/>
    </row>
    <row r="3844">
      <c r="A3844" s="54"/>
      <c r="G3844" s="55"/>
      <c r="U3844" s="56"/>
      <c r="X3844" s="57"/>
    </row>
    <row r="3845">
      <c r="A3845" s="54"/>
      <c r="G3845" s="55"/>
      <c r="U3845" s="56"/>
      <c r="X3845" s="57"/>
    </row>
    <row r="3846">
      <c r="A3846" s="54"/>
      <c r="G3846" s="55"/>
      <c r="U3846" s="56"/>
      <c r="X3846" s="57"/>
    </row>
    <row r="3847">
      <c r="A3847" s="54"/>
      <c r="G3847" s="55"/>
      <c r="U3847" s="56"/>
      <c r="X3847" s="57"/>
    </row>
    <row r="3848">
      <c r="A3848" s="54"/>
      <c r="G3848" s="55"/>
      <c r="U3848" s="56"/>
      <c r="X3848" s="57"/>
    </row>
    <row r="3849">
      <c r="A3849" s="54"/>
      <c r="G3849" s="55"/>
      <c r="U3849" s="56"/>
      <c r="X3849" s="57"/>
    </row>
    <row r="3850">
      <c r="A3850" s="54"/>
      <c r="G3850" s="55"/>
      <c r="U3850" s="56"/>
      <c r="X3850" s="57"/>
    </row>
    <row r="3851">
      <c r="A3851" s="54"/>
      <c r="G3851" s="55"/>
      <c r="U3851" s="56"/>
      <c r="X3851" s="57"/>
    </row>
    <row r="3852">
      <c r="A3852" s="54"/>
      <c r="G3852" s="55"/>
      <c r="U3852" s="56"/>
      <c r="X3852" s="57"/>
    </row>
    <row r="3853">
      <c r="A3853" s="54"/>
      <c r="G3853" s="55"/>
      <c r="U3853" s="56"/>
      <c r="X3853" s="57"/>
    </row>
    <row r="3854">
      <c r="A3854" s="54"/>
      <c r="G3854" s="55"/>
      <c r="U3854" s="56"/>
      <c r="X3854" s="57"/>
    </row>
    <row r="3855">
      <c r="A3855" s="54"/>
      <c r="G3855" s="55"/>
      <c r="U3855" s="56"/>
      <c r="X3855" s="57"/>
    </row>
    <row r="3856">
      <c r="A3856" s="54"/>
      <c r="G3856" s="55"/>
      <c r="U3856" s="56"/>
      <c r="X3856" s="57"/>
    </row>
    <row r="3857">
      <c r="A3857" s="54"/>
      <c r="G3857" s="55"/>
      <c r="U3857" s="56"/>
      <c r="X3857" s="57"/>
    </row>
    <row r="3858">
      <c r="A3858" s="54"/>
      <c r="G3858" s="55"/>
      <c r="U3858" s="56"/>
      <c r="X3858" s="57"/>
    </row>
    <row r="3859">
      <c r="A3859" s="54"/>
      <c r="G3859" s="55"/>
      <c r="U3859" s="56"/>
      <c r="X3859" s="57"/>
    </row>
    <row r="3860">
      <c r="A3860" s="54"/>
      <c r="G3860" s="55"/>
      <c r="U3860" s="56"/>
      <c r="X3860" s="57"/>
    </row>
    <row r="3861">
      <c r="A3861" s="54"/>
      <c r="G3861" s="55"/>
      <c r="U3861" s="56"/>
      <c r="X3861" s="57"/>
    </row>
    <row r="3862">
      <c r="A3862" s="54"/>
      <c r="G3862" s="55"/>
      <c r="U3862" s="56"/>
      <c r="X3862" s="57"/>
    </row>
    <row r="3863">
      <c r="A3863" s="54"/>
      <c r="G3863" s="55"/>
      <c r="U3863" s="56"/>
      <c r="X3863" s="57"/>
    </row>
    <row r="3864">
      <c r="A3864" s="54"/>
      <c r="G3864" s="55"/>
      <c r="U3864" s="56"/>
      <c r="X3864" s="57"/>
    </row>
    <row r="3865">
      <c r="A3865" s="54"/>
      <c r="G3865" s="55"/>
      <c r="U3865" s="56"/>
      <c r="X3865" s="57"/>
    </row>
    <row r="3866">
      <c r="A3866" s="54"/>
      <c r="G3866" s="55"/>
      <c r="U3866" s="56"/>
      <c r="X3866" s="57"/>
    </row>
    <row r="3867">
      <c r="A3867" s="54"/>
      <c r="G3867" s="55"/>
      <c r="U3867" s="56"/>
      <c r="X3867" s="57"/>
    </row>
    <row r="3868">
      <c r="A3868" s="54"/>
      <c r="G3868" s="55"/>
      <c r="U3868" s="56"/>
      <c r="X3868" s="57"/>
    </row>
    <row r="3869">
      <c r="A3869" s="54"/>
      <c r="G3869" s="55"/>
      <c r="U3869" s="56"/>
      <c r="X3869" s="57"/>
    </row>
    <row r="3870">
      <c r="A3870" s="54"/>
      <c r="G3870" s="55"/>
      <c r="U3870" s="56"/>
      <c r="X3870" s="57"/>
    </row>
    <row r="3871">
      <c r="A3871" s="54"/>
      <c r="G3871" s="55"/>
      <c r="U3871" s="56"/>
      <c r="X3871" s="57"/>
    </row>
    <row r="3872">
      <c r="A3872" s="54"/>
      <c r="G3872" s="55"/>
      <c r="U3872" s="56"/>
      <c r="X3872" s="57"/>
    </row>
    <row r="3873">
      <c r="A3873" s="54"/>
      <c r="G3873" s="55"/>
      <c r="U3873" s="56"/>
      <c r="X3873" s="57"/>
    </row>
    <row r="3874">
      <c r="A3874" s="54"/>
      <c r="G3874" s="55"/>
      <c r="U3874" s="56"/>
      <c r="X3874" s="57"/>
    </row>
    <row r="3875">
      <c r="A3875" s="54"/>
      <c r="G3875" s="55"/>
      <c r="U3875" s="56"/>
      <c r="X3875" s="57"/>
    </row>
    <row r="3876">
      <c r="A3876" s="54"/>
      <c r="G3876" s="55"/>
      <c r="U3876" s="56"/>
      <c r="X3876" s="57"/>
    </row>
    <row r="3877">
      <c r="A3877" s="54"/>
      <c r="G3877" s="55"/>
      <c r="U3877" s="56"/>
      <c r="X3877" s="57"/>
    </row>
    <row r="3878">
      <c r="A3878" s="54"/>
      <c r="G3878" s="55"/>
      <c r="U3878" s="56"/>
      <c r="X3878" s="57"/>
    </row>
    <row r="3879">
      <c r="A3879" s="54"/>
      <c r="G3879" s="55"/>
      <c r="U3879" s="56"/>
      <c r="X3879" s="57"/>
    </row>
    <row r="3880">
      <c r="A3880" s="54"/>
      <c r="G3880" s="55"/>
      <c r="U3880" s="56"/>
      <c r="X3880" s="57"/>
    </row>
    <row r="3881">
      <c r="A3881" s="54"/>
      <c r="G3881" s="55"/>
      <c r="U3881" s="56"/>
      <c r="X3881" s="57"/>
    </row>
    <row r="3882">
      <c r="A3882" s="54"/>
      <c r="G3882" s="55"/>
      <c r="U3882" s="56"/>
      <c r="X3882" s="57"/>
    </row>
    <row r="3883">
      <c r="A3883" s="54"/>
      <c r="G3883" s="55"/>
      <c r="U3883" s="56"/>
      <c r="X3883" s="57"/>
    </row>
    <row r="3884">
      <c r="A3884" s="54"/>
      <c r="G3884" s="55"/>
      <c r="U3884" s="56"/>
      <c r="X3884" s="57"/>
    </row>
    <row r="3885">
      <c r="A3885" s="54"/>
      <c r="G3885" s="55"/>
      <c r="U3885" s="56"/>
      <c r="X3885" s="57"/>
    </row>
    <row r="3886">
      <c r="A3886" s="54"/>
      <c r="G3886" s="55"/>
      <c r="U3886" s="56"/>
      <c r="X3886" s="57"/>
    </row>
    <row r="3887">
      <c r="A3887" s="54"/>
      <c r="G3887" s="55"/>
      <c r="U3887" s="56"/>
      <c r="X3887" s="57"/>
    </row>
    <row r="3888">
      <c r="A3888" s="54"/>
      <c r="G3888" s="55"/>
      <c r="U3888" s="56"/>
      <c r="X3888" s="57"/>
    </row>
    <row r="3889">
      <c r="A3889" s="54"/>
      <c r="G3889" s="55"/>
      <c r="U3889" s="56"/>
      <c r="X3889" s="57"/>
    </row>
    <row r="3890">
      <c r="A3890" s="54"/>
      <c r="G3890" s="55"/>
      <c r="U3890" s="56"/>
      <c r="X3890" s="57"/>
    </row>
    <row r="3891">
      <c r="A3891" s="54"/>
      <c r="G3891" s="55"/>
      <c r="U3891" s="56"/>
      <c r="X3891" s="57"/>
    </row>
    <row r="3892">
      <c r="A3892" s="54"/>
      <c r="G3892" s="55"/>
      <c r="U3892" s="56"/>
      <c r="X3892" s="57"/>
    </row>
    <row r="3893">
      <c r="A3893" s="54"/>
      <c r="G3893" s="55"/>
      <c r="U3893" s="56"/>
      <c r="X3893" s="57"/>
    </row>
    <row r="3894">
      <c r="A3894" s="54"/>
      <c r="G3894" s="55"/>
      <c r="U3894" s="56"/>
      <c r="X3894" s="57"/>
    </row>
    <row r="3895">
      <c r="A3895" s="54"/>
      <c r="G3895" s="55"/>
      <c r="U3895" s="56"/>
      <c r="X3895" s="57"/>
    </row>
    <row r="3896">
      <c r="A3896" s="54"/>
      <c r="G3896" s="55"/>
      <c r="U3896" s="56"/>
      <c r="X3896" s="57"/>
    </row>
    <row r="3897">
      <c r="A3897" s="54"/>
      <c r="G3897" s="55"/>
      <c r="U3897" s="56"/>
      <c r="X3897" s="57"/>
    </row>
    <row r="3898">
      <c r="A3898" s="54"/>
      <c r="G3898" s="55"/>
      <c r="U3898" s="56"/>
      <c r="X3898" s="57"/>
    </row>
    <row r="3899">
      <c r="A3899" s="54"/>
      <c r="G3899" s="55"/>
      <c r="U3899" s="56"/>
      <c r="X3899" s="57"/>
    </row>
    <row r="3900">
      <c r="A3900" s="54"/>
      <c r="G3900" s="55"/>
      <c r="U3900" s="56"/>
      <c r="X3900" s="57"/>
    </row>
    <row r="3901">
      <c r="A3901" s="54"/>
      <c r="G3901" s="55"/>
      <c r="U3901" s="56"/>
      <c r="X3901" s="57"/>
    </row>
    <row r="3902">
      <c r="A3902" s="54"/>
      <c r="G3902" s="55"/>
      <c r="U3902" s="56"/>
      <c r="X3902" s="57"/>
    </row>
    <row r="3903">
      <c r="A3903" s="54"/>
      <c r="G3903" s="55"/>
      <c r="U3903" s="56"/>
      <c r="X3903" s="57"/>
    </row>
    <row r="3904">
      <c r="A3904" s="54"/>
      <c r="G3904" s="55"/>
      <c r="U3904" s="56"/>
      <c r="X3904" s="57"/>
    </row>
    <row r="3905">
      <c r="A3905" s="54"/>
      <c r="G3905" s="55"/>
      <c r="U3905" s="56"/>
      <c r="X3905" s="57"/>
    </row>
    <row r="3906">
      <c r="A3906" s="54"/>
      <c r="G3906" s="55"/>
      <c r="U3906" s="56"/>
      <c r="X3906" s="57"/>
    </row>
    <row r="3907">
      <c r="A3907" s="54"/>
      <c r="G3907" s="55"/>
      <c r="U3907" s="56"/>
      <c r="X3907" s="57"/>
    </row>
    <row r="3908">
      <c r="A3908" s="54"/>
      <c r="G3908" s="55"/>
      <c r="U3908" s="56"/>
      <c r="X3908" s="57"/>
    </row>
    <row r="3909">
      <c r="A3909" s="54"/>
      <c r="G3909" s="55"/>
      <c r="U3909" s="56"/>
      <c r="X3909" s="57"/>
    </row>
    <row r="3910">
      <c r="A3910" s="54"/>
      <c r="G3910" s="55"/>
      <c r="U3910" s="56"/>
      <c r="X3910" s="57"/>
    </row>
    <row r="3911">
      <c r="A3911" s="54"/>
      <c r="G3911" s="55"/>
      <c r="U3911" s="56"/>
      <c r="X3911" s="57"/>
    </row>
    <row r="3912">
      <c r="A3912" s="54"/>
      <c r="G3912" s="55"/>
      <c r="U3912" s="56"/>
      <c r="X3912" s="57"/>
    </row>
    <row r="3913">
      <c r="A3913" s="54"/>
      <c r="G3913" s="55"/>
      <c r="U3913" s="56"/>
      <c r="X3913" s="57"/>
    </row>
    <row r="3914">
      <c r="A3914" s="54"/>
      <c r="G3914" s="55"/>
      <c r="U3914" s="56"/>
      <c r="X3914" s="57"/>
    </row>
    <row r="3915">
      <c r="A3915" s="54"/>
      <c r="G3915" s="55"/>
      <c r="U3915" s="56"/>
      <c r="X3915" s="57"/>
    </row>
    <row r="3916">
      <c r="A3916" s="54"/>
      <c r="G3916" s="55"/>
      <c r="U3916" s="56"/>
      <c r="X3916" s="57"/>
    </row>
    <row r="3917">
      <c r="A3917" s="54"/>
      <c r="G3917" s="55"/>
      <c r="U3917" s="56"/>
      <c r="X3917" s="57"/>
    </row>
    <row r="3918">
      <c r="A3918" s="54"/>
      <c r="G3918" s="55"/>
      <c r="U3918" s="56"/>
      <c r="X3918" s="57"/>
    </row>
    <row r="3919">
      <c r="A3919" s="54"/>
      <c r="G3919" s="55"/>
      <c r="U3919" s="56"/>
      <c r="X3919" s="57"/>
    </row>
    <row r="3920">
      <c r="A3920" s="54"/>
      <c r="G3920" s="55"/>
      <c r="U3920" s="56"/>
      <c r="X3920" s="57"/>
    </row>
    <row r="3921">
      <c r="A3921" s="54"/>
      <c r="G3921" s="55"/>
      <c r="U3921" s="56"/>
      <c r="X3921" s="57"/>
    </row>
    <row r="3922">
      <c r="A3922" s="54"/>
      <c r="G3922" s="55"/>
      <c r="U3922" s="56"/>
      <c r="X3922" s="57"/>
    </row>
    <row r="3923">
      <c r="A3923" s="54"/>
      <c r="G3923" s="55"/>
      <c r="U3923" s="56"/>
      <c r="X3923" s="57"/>
    </row>
    <row r="3924">
      <c r="A3924" s="54"/>
      <c r="G3924" s="55"/>
      <c r="U3924" s="56"/>
      <c r="X3924" s="57"/>
    </row>
    <row r="3925">
      <c r="A3925" s="54"/>
      <c r="G3925" s="55"/>
      <c r="U3925" s="56"/>
      <c r="X3925" s="57"/>
    </row>
    <row r="3926">
      <c r="A3926" s="54"/>
      <c r="G3926" s="55"/>
      <c r="U3926" s="56"/>
      <c r="X3926" s="57"/>
    </row>
    <row r="3927">
      <c r="A3927" s="54"/>
      <c r="G3927" s="55"/>
      <c r="U3927" s="56"/>
      <c r="X3927" s="57"/>
    </row>
    <row r="3928">
      <c r="A3928" s="54"/>
      <c r="G3928" s="55"/>
      <c r="U3928" s="56"/>
      <c r="X3928" s="57"/>
    </row>
    <row r="3929">
      <c r="A3929" s="54"/>
      <c r="G3929" s="55"/>
      <c r="U3929" s="56"/>
      <c r="X3929" s="57"/>
    </row>
    <row r="3930">
      <c r="A3930" s="54"/>
      <c r="G3930" s="55"/>
      <c r="U3930" s="56"/>
      <c r="X3930" s="57"/>
    </row>
    <row r="3931">
      <c r="A3931" s="54"/>
      <c r="G3931" s="55"/>
      <c r="U3931" s="56"/>
      <c r="X3931" s="57"/>
    </row>
    <row r="3932">
      <c r="A3932" s="54"/>
      <c r="G3932" s="55"/>
      <c r="U3932" s="56"/>
      <c r="X3932" s="57"/>
    </row>
    <row r="3933">
      <c r="A3933" s="54"/>
      <c r="G3933" s="55"/>
      <c r="U3933" s="56"/>
      <c r="X3933" s="57"/>
    </row>
    <row r="3934">
      <c r="A3934" s="54"/>
      <c r="G3934" s="55"/>
      <c r="U3934" s="56"/>
      <c r="X3934" s="57"/>
    </row>
    <row r="3935">
      <c r="A3935" s="54"/>
      <c r="G3935" s="55"/>
      <c r="U3935" s="56"/>
      <c r="X3935" s="57"/>
    </row>
    <row r="3936">
      <c r="A3936" s="54"/>
      <c r="G3936" s="55"/>
      <c r="U3936" s="56"/>
      <c r="X3936" s="57"/>
    </row>
    <row r="3937">
      <c r="A3937" s="54"/>
      <c r="G3937" s="55"/>
      <c r="U3937" s="56"/>
      <c r="X3937" s="57"/>
    </row>
    <row r="3938">
      <c r="A3938" s="54"/>
      <c r="G3938" s="55"/>
      <c r="U3938" s="56"/>
      <c r="X3938" s="57"/>
    </row>
    <row r="3939">
      <c r="A3939" s="54"/>
      <c r="G3939" s="55"/>
      <c r="U3939" s="56"/>
      <c r="X3939" s="57"/>
    </row>
    <row r="3940">
      <c r="A3940" s="54"/>
      <c r="G3940" s="55"/>
      <c r="U3940" s="56"/>
      <c r="X3940" s="57"/>
    </row>
    <row r="3941">
      <c r="A3941" s="54"/>
      <c r="G3941" s="55"/>
      <c r="U3941" s="56"/>
      <c r="X3941" s="57"/>
    </row>
    <row r="3942">
      <c r="A3942" s="54"/>
      <c r="G3942" s="55"/>
      <c r="U3942" s="56"/>
      <c r="X3942" s="57"/>
    </row>
    <row r="3943">
      <c r="A3943" s="54"/>
      <c r="G3943" s="55"/>
      <c r="U3943" s="56"/>
      <c r="X3943" s="57"/>
    </row>
    <row r="3944">
      <c r="A3944" s="54"/>
      <c r="G3944" s="55"/>
      <c r="U3944" s="56"/>
      <c r="X3944" s="57"/>
    </row>
    <row r="3945">
      <c r="A3945" s="54"/>
      <c r="G3945" s="55"/>
      <c r="U3945" s="56"/>
      <c r="X3945" s="57"/>
    </row>
    <row r="3946">
      <c r="A3946" s="54"/>
      <c r="G3946" s="55"/>
      <c r="U3946" s="56"/>
      <c r="X3946" s="57"/>
    </row>
    <row r="3947">
      <c r="A3947" s="54"/>
      <c r="G3947" s="55"/>
      <c r="U3947" s="56"/>
      <c r="X3947" s="57"/>
    </row>
    <row r="3948">
      <c r="A3948" s="54"/>
      <c r="G3948" s="55"/>
      <c r="U3948" s="56"/>
      <c r="X3948" s="57"/>
    </row>
    <row r="3949">
      <c r="A3949" s="54"/>
      <c r="G3949" s="55"/>
      <c r="U3949" s="56"/>
      <c r="X3949" s="57"/>
    </row>
    <row r="3950">
      <c r="A3950" s="54"/>
      <c r="G3950" s="55"/>
      <c r="U3950" s="56"/>
      <c r="X3950" s="57"/>
    </row>
    <row r="3951">
      <c r="A3951" s="54"/>
      <c r="G3951" s="55"/>
      <c r="U3951" s="56"/>
      <c r="X3951" s="57"/>
    </row>
    <row r="3952">
      <c r="A3952" s="54"/>
      <c r="G3952" s="55"/>
      <c r="U3952" s="56"/>
      <c r="X3952" s="57"/>
    </row>
    <row r="3953">
      <c r="A3953" s="54"/>
      <c r="G3953" s="55"/>
      <c r="U3953" s="56"/>
      <c r="X3953" s="57"/>
    </row>
    <row r="3954">
      <c r="A3954" s="54"/>
      <c r="G3954" s="55"/>
      <c r="U3954" s="56"/>
      <c r="X3954" s="57"/>
    </row>
    <row r="3955">
      <c r="A3955" s="54"/>
      <c r="G3955" s="55"/>
      <c r="U3955" s="56"/>
      <c r="X3955" s="57"/>
    </row>
    <row r="3956">
      <c r="A3956" s="54"/>
      <c r="G3956" s="55"/>
      <c r="U3956" s="56"/>
      <c r="X3956" s="57"/>
    </row>
    <row r="3957">
      <c r="A3957" s="54"/>
      <c r="G3957" s="55"/>
      <c r="U3957" s="56"/>
      <c r="X3957" s="57"/>
    </row>
    <row r="3958">
      <c r="A3958" s="54"/>
      <c r="G3958" s="55"/>
      <c r="U3958" s="56"/>
      <c r="X3958" s="57"/>
    </row>
    <row r="3959">
      <c r="A3959" s="54"/>
      <c r="G3959" s="55"/>
      <c r="U3959" s="56"/>
      <c r="X3959" s="57"/>
    </row>
    <row r="3960">
      <c r="A3960" s="54"/>
      <c r="G3960" s="55"/>
      <c r="U3960" s="56"/>
      <c r="X3960" s="57"/>
    </row>
    <row r="3961">
      <c r="A3961" s="54"/>
      <c r="G3961" s="55"/>
      <c r="U3961" s="56"/>
      <c r="X3961" s="57"/>
    </row>
    <row r="3962">
      <c r="A3962" s="54"/>
      <c r="G3962" s="55"/>
      <c r="U3962" s="56"/>
      <c r="X3962" s="57"/>
    </row>
    <row r="3963">
      <c r="A3963" s="54"/>
      <c r="G3963" s="55"/>
      <c r="U3963" s="56"/>
      <c r="X3963" s="57"/>
    </row>
    <row r="3964">
      <c r="A3964" s="54"/>
      <c r="G3964" s="55"/>
      <c r="U3964" s="56"/>
      <c r="X3964" s="57"/>
    </row>
    <row r="3965">
      <c r="A3965" s="54"/>
      <c r="G3965" s="55"/>
      <c r="U3965" s="56"/>
      <c r="X3965" s="57"/>
    </row>
    <row r="3966">
      <c r="A3966" s="54"/>
      <c r="G3966" s="55"/>
      <c r="U3966" s="56"/>
      <c r="X3966" s="57"/>
    </row>
    <row r="3967">
      <c r="A3967" s="54"/>
      <c r="G3967" s="55"/>
      <c r="U3967" s="56"/>
      <c r="X3967" s="57"/>
    </row>
    <row r="3968">
      <c r="A3968" s="54"/>
      <c r="G3968" s="55"/>
      <c r="U3968" s="56"/>
      <c r="X3968" s="57"/>
    </row>
    <row r="3969">
      <c r="A3969" s="54"/>
      <c r="G3969" s="55"/>
      <c r="U3969" s="56"/>
      <c r="X3969" s="57"/>
    </row>
    <row r="3970">
      <c r="A3970" s="54"/>
      <c r="G3970" s="55"/>
      <c r="U3970" s="56"/>
      <c r="X3970" s="57"/>
    </row>
    <row r="3971">
      <c r="A3971" s="54"/>
      <c r="G3971" s="55"/>
      <c r="U3971" s="56"/>
      <c r="X3971" s="57"/>
    </row>
    <row r="3972">
      <c r="A3972" s="54"/>
      <c r="G3972" s="55"/>
      <c r="U3972" s="56"/>
      <c r="X3972" s="57"/>
    </row>
    <row r="3973">
      <c r="A3973" s="54"/>
      <c r="G3973" s="55"/>
      <c r="U3973" s="56"/>
      <c r="X3973" s="57"/>
    </row>
    <row r="3974">
      <c r="A3974" s="54"/>
      <c r="G3974" s="55"/>
      <c r="U3974" s="56"/>
      <c r="X3974" s="57"/>
    </row>
    <row r="3975">
      <c r="A3975" s="54"/>
      <c r="G3975" s="55"/>
      <c r="U3975" s="56"/>
      <c r="X3975" s="57"/>
    </row>
    <row r="3976">
      <c r="A3976" s="54"/>
      <c r="G3976" s="55"/>
      <c r="U3976" s="56"/>
      <c r="X3976" s="57"/>
    </row>
    <row r="3977">
      <c r="A3977" s="54"/>
      <c r="G3977" s="55"/>
      <c r="U3977" s="56"/>
      <c r="X3977" s="57"/>
    </row>
    <row r="3978">
      <c r="A3978" s="54"/>
      <c r="G3978" s="55"/>
      <c r="U3978" s="56"/>
      <c r="X3978" s="57"/>
    </row>
    <row r="3979">
      <c r="A3979" s="54"/>
      <c r="G3979" s="55"/>
      <c r="U3979" s="56"/>
      <c r="X3979" s="57"/>
    </row>
    <row r="3980">
      <c r="A3980" s="54"/>
      <c r="G3980" s="55"/>
      <c r="U3980" s="56"/>
      <c r="X3980" s="57"/>
    </row>
    <row r="3981">
      <c r="A3981" s="54"/>
      <c r="G3981" s="55"/>
      <c r="U3981" s="56"/>
      <c r="X3981" s="57"/>
    </row>
    <row r="3982">
      <c r="A3982" s="54"/>
      <c r="G3982" s="55"/>
      <c r="U3982" s="56"/>
      <c r="X3982" s="57"/>
    </row>
    <row r="3983">
      <c r="A3983" s="54"/>
      <c r="G3983" s="55"/>
      <c r="U3983" s="56"/>
      <c r="X3983" s="57"/>
    </row>
    <row r="3984">
      <c r="A3984" s="54"/>
      <c r="G3984" s="55"/>
      <c r="U3984" s="56"/>
      <c r="X3984" s="57"/>
    </row>
    <row r="3985">
      <c r="A3985" s="54"/>
      <c r="G3985" s="55"/>
      <c r="U3985" s="56"/>
      <c r="X3985" s="57"/>
    </row>
    <row r="3986">
      <c r="A3986" s="54"/>
      <c r="G3986" s="55"/>
      <c r="U3986" s="56"/>
      <c r="X3986" s="57"/>
    </row>
    <row r="3987">
      <c r="A3987" s="54"/>
      <c r="G3987" s="55"/>
      <c r="U3987" s="56"/>
      <c r="X3987" s="57"/>
    </row>
    <row r="3988">
      <c r="A3988" s="54"/>
      <c r="G3988" s="55"/>
      <c r="U3988" s="56"/>
      <c r="X3988" s="57"/>
    </row>
    <row r="3989">
      <c r="A3989" s="54"/>
      <c r="G3989" s="55"/>
      <c r="U3989" s="56"/>
      <c r="X3989" s="57"/>
    </row>
    <row r="3990">
      <c r="A3990" s="54"/>
      <c r="G3990" s="55"/>
      <c r="U3990" s="56"/>
      <c r="X3990" s="57"/>
    </row>
    <row r="3991">
      <c r="A3991" s="54"/>
      <c r="G3991" s="55"/>
      <c r="U3991" s="56"/>
      <c r="X3991" s="57"/>
    </row>
    <row r="3992">
      <c r="A3992" s="54"/>
      <c r="G3992" s="55"/>
      <c r="U3992" s="56"/>
      <c r="X3992" s="57"/>
    </row>
    <row r="3993">
      <c r="A3993" s="54"/>
      <c r="G3993" s="55"/>
      <c r="U3993" s="56"/>
      <c r="X3993" s="57"/>
    </row>
    <row r="3994">
      <c r="A3994" s="54"/>
      <c r="G3994" s="55"/>
      <c r="U3994" s="56"/>
      <c r="X3994" s="57"/>
    </row>
    <row r="3995">
      <c r="A3995" s="54"/>
      <c r="G3995" s="55"/>
      <c r="U3995" s="56"/>
      <c r="X3995" s="57"/>
    </row>
    <row r="3996">
      <c r="A3996" s="54"/>
      <c r="G3996" s="55"/>
      <c r="U3996" s="56"/>
      <c r="X3996" s="57"/>
    </row>
    <row r="3997">
      <c r="A3997" s="54"/>
      <c r="G3997" s="55"/>
      <c r="U3997" s="56"/>
      <c r="X3997" s="57"/>
    </row>
    <row r="3998">
      <c r="A3998" s="54"/>
      <c r="G3998" s="55"/>
      <c r="U3998" s="56"/>
      <c r="X3998" s="57"/>
    </row>
    <row r="3999">
      <c r="A3999" s="54"/>
      <c r="G3999" s="55"/>
      <c r="U3999" s="56"/>
      <c r="X3999" s="57"/>
    </row>
    <row r="4000">
      <c r="A4000" s="54"/>
      <c r="G4000" s="55"/>
      <c r="U4000" s="56"/>
      <c r="X4000" s="57"/>
    </row>
    <row r="4001">
      <c r="A4001" s="54"/>
      <c r="G4001" s="55"/>
      <c r="U4001" s="56"/>
      <c r="X4001" s="57"/>
    </row>
    <row r="4002">
      <c r="A4002" s="54"/>
      <c r="G4002" s="55"/>
      <c r="U4002" s="56"/>
      <c r="X4002" s="57"/>
    </row>
    <row r="4003">
      <c r="A4003" s="54"/>
      <c r="G4003" s="55"/>
      <c r="U4003" s="56"/>
      <c r="X4003" s="57"/>
    </row>
    <row r="4004">
      <c r="A4004" s="54"/>
      <c r="G4004" s="55"/>
      <c r="U4004" s="56"/>
      <c r="X4004" s="57"/>
    </row>
    <row r="4005">
      <c r="A4005" s="54"/>
      <c r="G4005" s="55"/>
      <c r="U4005" s="56"/>
      <c r="X4005" s="57"/>
    </row>
    <row r="4006">
      <c r="A4006" s="54"/>
      <c r="G4006" s="55"/>
      <c r="U4006" s="56"/>
      <c r="X4006" s="57"/>
    </row>
    <row r="4007">
      <c r="A4007" s="54"/>
      <c r="G4007" s="55"/>
      <c r="U4007" s="56"/>
      <c r="X4007" s="57"/>
    </row>
    <row r="4008">
      <c r="A4008" s="54"/>
      <c r="G4008" s="55"/>
      <c r="U4008" s="56"/>
      <c r="X4008" s="57"/>
    </row>
    <row r="4009">
      <c r="A4009" s="54"/>
      <c r="G4009" s="55"/>
      <c r="U4009" s="56"/>
      <c r="X4009" s="57"/>
    </row>
    <row r="4010">
      <c r="A4010" s="54"/>
      <c r="G4010" s="55"/>
      <c r="U4010" s="56"/>
      <c r="X4010" s="57"/>
    </row>
    <row r="4011">
      <c r="A4011" s="54"/>
      <c r="G4011" s="55"/>
      <c r="U4011" s="56"/>
      <c r="X4011" s="57"/>
    </row>
    <row r="4012">
      <c r="A4012" s="54"/>
      <c r="G4012" s="55"/>
      <c r="U4012" s="56"/>
      <c r="X4012" s="57"/>
    </row>
    <row r="4013">
      <c r="A4013" s="54"/>
      <c r="G4013" s="55"/>
      <c r="U4013" s="56"/>
      <c r="X4013" s="57"/>
    </row>
    <row r="4014">
      <c r="A4014" s="54"/>
      <c r="G4014" s="55"/>
      <c r="U4014" s="56"/>
      <c r="X4014" s="57"/>
    </row>
    <row r="4015">
      <c r="A4015" s="54"/>
      <c r="G4015" s="55"/>
      <c r="U4015" s="56"/>
      <c r="X4015" s="57"/>
    </row>
    <row r="4016">
      <c r="A4016" s="54"/>
      <c r="G4016" s="55"/>
      <c r="U4016" s="56"/>
      <c r="X4016" s="57"/>
    </row>
    <row r="4017">
      <c r="A4017" s="54"/>
      <c r="G4017" s="55"/>
      <c r="U4017" s="56"/>
      <c r="X4017" s="57"/>
    </row>
    <row r="4018">
      <c r="A4018" s="54"/>
      <c r="G4018" s="55"/>
      <c r="U4018" s="56"/>
      <c r="X4018" s="57"/>
    </row>
    <row r="4019">
      <c r="A4019" s="54"/>
      <c r="G4019" s="55"/>
      <c r="U4019" s="56"/>
      <c r="X4019" s="57"/>
    </row>
    <row r="4020">
      <c r="A4020" s="54"/>
      <c r="G4020" s="55"/>
      <c r="U4020" s="56"/>
      <c r="X4020" s="57"/>
    </row>
    <row r="4021">
      <c r="A4021" s="54"/>
      <c r="G4021" s="55"/>
      <c r="U4021" s="56"/>
      <c r="X4021" s="57"/>
    </row>
    <row r="4022">
      <c r="A4022" s="54"/>
      <c r="G4022" s="55"/>
      <c r="U4022" s="56"/>
      <c r="X4022" s="57"/>
    </row>
    <row r="4023">
      <c r="A4023" s="54"/>
      <c r="G4023" s="55"/>
      <c r="U4023" s="56"/>
      <c r="X4023" s="57"/>
    </row>
    <row r="4024">
      <c r="A4024" s="54"/>
      <c r="G4024" s="55"/>
      <c r="U4024" s="56"/>
      <c r="X4024" s="57"/>
    </row>
    <row r="4025">
      <c r="A4025" s="54"/>
      <c r="G4025" s="55"/>
      <c r="U4025" s="56"/>
      <c r="X4025" s="57"/>
    </row>
    <row r="4026">
      <c r="A4026" s="54"/>
      <c r="G4026" s="55"/>
      <c r="U4026" s="56"/>
      <c r="X4026" s="57"/>
    </row>
    <row r="4027">
      <c r="A4027" s="54"/>
      <c r="G4027" s="55"/>
      <c r="U4027" s="56"/>
      <c r="X4027" s="57"/>
    </row>
    <row r="4028">
      <c r="A4028" s="54"/>
      <c r="G4028" s="55"/>
      <c r="U4028" s="56"/>
      <c r="X4028" s="57"/>
    </row>
    <row r="4029">
      <c r="A4029" s="54"/>
      <c r="G4029" s="55"/>
      <c r="U4029" s="56"/>
      <c r="X4029" s="57"/>
    </row>
    <row r="4030">
      <c r="A4030" s="54"/>
      <c r="G4030" s="55"/>
      <c r="U4030" s="56"/>
      <c r="X4030" s="57"/>
    </row>
    <row r="4031">
      <c r="A4031" s="54"/>
      <c r="G4031" s="55"/>
      <c r="U4031" s="56"/>
      <c r="X4031" s="57"/>
    </row>
    <row r="4032">
      <c r="A4032" s="54"/>
      <c r="G4032" s="55"/>
      <c r="U4032" s="56"/>
      <c r="X4032" s="57"/>
    </row>
    <row r="4033">
      <c r="A4033" s="54"/>
      <c r="G4033" s="55"/>
      <c r="U4033" s="56"/>
      <c r="X4033" s="57"/>
    </row>
    <row r="4034">
      <c r="A4034" s="54"/>
      <c r="G4034" s="55"/>
      <c r="U4034" s="56"/>
      <c r="X4034" s="57"/>
    </row>
    <row r="4035">
      <c r="A4035" s="54"/>
      <c r="G4035" s="55"/>
      <c r="U4035" s="56"/>
      <c r="X4035" s="57"/>
    </row>
    <row r="4036">
      <c r="A4036" s="54"/>
      <c r="G4036" s="55"/>
      <c r="U4036" s="56"/>
      <c r="X4036" s="57"/>
    </row>
    <row r="4037">
      <c r="A4037" s="54"/>
      <c r="G4037" s="55"/>
      <c r="U4037" s="56"/>
      <c r="X4037" s="57"/>
    </row>
    <row r="4038">
      <c r="A4038" s="54"/>
      <c r="G4038" s="55"/>
      <c r="U4038" s="56"/>
      <c r="X4038" s="57"/>
    </row>
    <row r="4039">
      <c r="A4039" s="54"/>
      <c r="G4039" s="55"/>
      <c r="U4039" s="56"/>
      <c r="X4039" s="57"/>
    </row>
    <row r="4040">
      <c r="A4040" s="54"/>
      <c r="G4040" s="55"/>
      <c r="U4040" s="56"/>
      <c r="X4040" s="57"/>
    </row>
    <row r="4041">
      <c r="A4041" s="54"/>
      <c r="G4041" s="55"/>
      <c r="U4041" s="56"/>
      <c r="X4041" s="57"/>
    </row>
    <row r="4042">
      <c r="A4042" s="54"/>
      <c r="G4042" s="55"/>
      <c r="U4042" s="56"/>
      <c r="X4042" s="57"/>
    </row>
    <row r="4043">
      <c r="A4043" s="54"/>
      <c r="G4043" s="55"/>
      <c r="U4043" s="56"/>
      <c r="X4043" s="57"/>
    </row>
    <row r="4044">
      <c r="A4044" s="54"/>
      <c r="G4044" s="55"/>
      <c r="U4044" s="56"/>
      <c r="X4044" s="57"/>
    </row>
    <row r="4045">
      <c r="A4045" s="54"/>
      <c r="G4045" s="55"/>
      <c r="U4045" s="56"/>
      <c r="X4045" s="57"/>
    </row>
    <row r="4046">
      <c r="A4046" s="54"/>
      <c r="G4046" s="55"/>
      <c r="U4046" s="56"/>
      <c r="X4046" s="57"/>
    </row>
    <row r="4047">
      <c r="A4047" s="54"/>
      <c r="G4047" s="55"/>
      <c r="U4047" s="56"/>
      <c r="X4047" s="57"/>
    </row>
    <row r="4048">
      <c r="A4048" s="54"/>
      <c r="G4048" s="55"/>
      <c r="U4048" s="56"/>
      <c r="X4048" s="57"/>
    </row>
    <row r="4049">
      <c r="A4049" s="54"/>
      <c r="G4049" s="55"/>
      <c r="U4049" s="56"/>
      <c r="X4049" s="57"/>
    </row>
    <row r="4050">
      <c r="A4050" s="54"/>
      <c r="G4050" s="55"/>
      <c r="U4050" s="56"/>
      <c r="X4050" s="57"/>
    </row>
    <row r="4051">
      <c r="A4051" s="54"/>
      <c r="G4051" s="55"/>
      <c r="U4051" s="56"/>
      <c r="X4051" s="57"/>
    </row>
    <row r="4052">
      <c r="A4052" s="54"/>
      <c r="G4052" s="55"/>
      <c r="U4052" s="56"/>
      <c r="X4052" s="57"/>
    </row>
    <row r="4053">
      <c r="A4053" s="54"/>
      <c r="G4053" s="55"/>
      <c r="U4053" s="56"/>
      <c r="X4053" s="57"/>
    </row>
    <row r="4054">
      <c r="A4054" s="54"/>
      <c r="G4054" s="55"/>
      <c r="U4054" s="56"/>
      <c r="X4054" s="57"/>
    </row>
    <row r="4055">
      <c r="A4055" s="54"/>
      <c r="G4055" s="55"/>
      <c r="U4055" s="56"/>
      <c r="X4055" s="57"/>
    </row>
    <row r="4056">
      <c r="A4056" s="54"/>
      <c r="G4056" s="55"/>
      <c r="U4056" s="56"/>
      <c r="X4056" s="57"/>
    </row>
    <row r="4057">
      <c r="A4057" s="54"/>
      <c r="G4057" s="55"/>
      <c r="U4057" s="56"/>
      <c r="X4057" s="57"/>
    </row>
    <row r="4058">
      <c r="A4058" s="54"/>
      <c r="G4058" s="55"/>
      <c r="U4058" s="56"/>
      <c r="X4058" s="57"/>
    </row>
    <row r="4059">
      <c r="A4059" s="54"/>
      <c r="G4059" s="55"/>
      <c r="U4059" s="56"/>
      <c r="X4059" s="57"/>
    </row>
    <row r="4060">
      <c r="A4060" s="54"/>
      <c r="G4060" s="55"/>
      <c r="U4060" s="56"/>
      <c r="X4060" s="57"/>
    </row>
    <row r="4061">
      <c r="A4061" s="54"/>
      <c r="G4061" s="55"/>
      <c r="U4061" s="56"/>
      <c r="X4061" s="57"/>
    </row>
    <row r="4062">
      <c r="A4062" s="54"/>
      <c r="G4062" s="55"/>
      <c r="U4062" s="56"/>
      <c r="X4062" s="57"/>
    </row>
    <row r="4063">
      <c r="A4063" s="54"/>
      <c r="G4063" s="55"/>
      <c r="U4063" s="56"/>
      <c r="X4063" s="57"/>
    </row>
    <row r="4064">
      <c r="A4064" s="54"/>
      <c r="G4064" s="55"/>
      <c r="U4064" s="56"/>
      <c r="X4064" s="57"/>
    </row>
    <row r="4065">
      <c r="A4065" s="54"/>
      <c r="G4065" s="55"/>
      <c r="U4065" s="56"/>
      <c r="X4065" s="57"/>
    </row>
    <row r="4066">
      <c r="A4066" s="54"/>
      <c r="G4066" s="55"/>
      <c r="U4066" s="56"/>
      <c r="X4066" s="57"/>
    </row>
    <row r="4067">
      <c r="A4067" s="54"/>
      <c r="G4067" s="55"/>
      <c r="U4067" s="56"/>
      <c r="X4067" s="57"/>
    </row>
    <row r="4068">
      <c r="A4068" s="54"/>
      <c r="G4068" s="55"/>
      <c r="U4068" s="56"/>
      <c r="X4068" s="57"/>
    </row>
    <row r="4069">
      <c r="A4069" s="54"/>
      <c r="G4069" s="55"/>
      <c r="U4069" s="56"/>
      <c r="X4069" s="57"/>
    </row>
    <row r="4070">
      <c r="A4070" s="54"/>
      <c r="G4070" s="55"/>
      <c r="U4070" s="56"/>
      <c r="X4070" s="57"/>
    </row>
    <row r="4071">
      <c r="A4071" s="54"/>
      <c r="G4071" s="55"/>
      <c r="U4071" s="56"/>
      <c r="X4071" s="57"/>
    </row>
    <row r="4072">
      <c r="A4072" s="54"/>
      <c r="G4072" s="55"/>
      <c r="U4072" s="56"/>
      <c r="X4072" s="57"/>
    </row>
    <row r="4073">
      <c r="A4073" s="54"/>
      <c r="G4073" s="55"/>
      <c r="U4073" s="56"/>
      <c r="X4073" s="57"/>
    </row>
    <row r="4074">
      <c r="A4074" s="54"/>
      <c r="G4074" s="55"/>
      <c r="U4074" s="56"/>
      <c r="X4074" s="57"/>
    </row>
    <row r="4075">
      <c r="A4075" s="54"/>
      <c r="G4075" s="55"/>
      <c r="U4075" s="56"/>
      <c r="X4075" s="57"/>
    </row>
    <row r="4076">
      <c r="A4076" s="54"/>
      <c r="G4076" s="55"/>
      <c r="U4076" s="56"/>
      <c r="X4076" s="57"/>
    </row>
    <row r="4077">
      <c r="A4077" s="54"/>
      <c r="G4077" s="55"/>
      <c r="U4077" s="56"/>
      <c r="X4077" s="57"/>
    </row>
    <row r="4078">
      <c r="A4078" s="54"/>
      <c r="G4078" s="55"/>
      <c r="U4078" s="56"/>
      <c r="X4078" s="57"/>
    </row>
    <row r="4079">
      <c r="A4079" s="54"/>
      <c r="G4079" s="55"/>
      <c r="U4079" s="56"/>
      <c r="X4079" s="57"/>
    </row>
    <row r="4080">
      <c r="A4080" s="54"/>
      <c r="G4080" s="55"/>
      <c r="U4080" s="56"/>
      <c r="X4080" s="57"/>
    </row>
    <row r="4081">
      <c r="A4081" s="54"/>
      <c r="G4081" s="55"/>
      <c r="U4081" s="56"/>
      <c r="X4081" s="57"/>
    </row>
    <row r="4082">
      <c r="A4082" s="54"/>
      <c r="G4082" s="55"/>
      <c r="U4082" s="56"/>
      <c r="X4082" s="57"/>
    </row>
    <row r="4083">
      <c r="A4083" s="54"/>
      <c r="G4083" s="55"/>
      <c r="U4083" s="56"/>
      <c r="X4083" s="57"/>
    </row>
    <row r="4084">
      <c r="A4084" s="54"/>
      <c r="G4084" s="55"/>
      <c r="U4084" s="56"/>
      <c r="X4084" s="57"/>
    </row>
    <row r="4085">
      <c r="A4085" s="54"/>
      <c r="G4085" s="55"/>
      <c r="U4085" s="56"/>
      <c r="X4085" s="57"/>
    </row>
    <row r="4086">
      <c r="A4086" s="54"/>
      <c r="G4086" s="55"/>
      <c r="U4086" s="56"/>
      <c r="X4086" s="57"/>
    </row>
    <row r="4087">
      <c r="A4087" s="54"/>
      <c r="G4087" s="55"/>
      <c r="U4087" s="56"/>
      <c r="X4087" s="57"/>
    </row>
    <row r="4088">
      <c r="A4088" s="54"/>
      <c r="G4088" s="55"/>
      <c r="U4088" s="56"/>
      <c r="X4088" s="57"/>
    </row>
    <row r="4089">
      <c r="A4089" s="54"/>
      <c r="G4089" s="55"/>
      <c r="U4089" s="56"/>
      <c r="X4089" s="57"/>
    </row>
    <row r="4090">
      <c r="A4090" s="54"/>
      <c r="G4090" s="55"/>
      <c r="U4090" s="56"/>
      <c r="X4090" s="57"/>
    </row>
    <row r="4091">
      <c r="A4091" s="54"/>
      <c r="G4091" s="55"/>
      <c r="U4091" s="56"/>
      <c r="X4091" s="57"/>
    </row>
    <row r="4092">
      <c r="A4092" s="54"/>
      <c r="G4092" s="55"/>
      <c r="U4092" s="56"/>
      <c r="X4092" s="57"/>
    </row>
    <row r="4093">
      <c r="A4093" s="54"/>
      <c r="G4093" s="55"/>
      <c r="U4093" s="56"/>
      <c r="X4093" s="57"/>
    </row>
    <row r="4094">
      <c r="A4094" s="54"/>
      <c r="G4094" s="55"/>
      <c r="U4094" s="56"/>
      <c r="X4094" s="57"/>
    </row>
    <row r="4095">
      <c r="A4095" s="54"/>
      <c r="G4095" s="55"/>
      <c r="U4095" s="56"/>
      <c r="X4095" s="57"/>
    </row>
    <row r="4096">
      <c r="A4096" s="54"/>
      <c r="G4096" s="55"/>
      <c r="U4096" s="56"/>
      <c r="X4096" s="57"/>
    </row>
    <row r="4097">
      <c r="A4097" s="54"/>
      <c r="G4097" s="55"/>
      <c r="U4097" s="56"/>
      <c r="X4097" s="57"/>
    </row>
    <row r="4098">
      <c r="A4098" s="54"/>
      <c r="G4098" s="55"/>
      <c r="U4098" s="56"/>
      <c r="X4098" s="57"/>
    </row>
    <row r="4099">
      <c r="A4099" s="54"/>
      <c r="G4099" s="55"/>
      <c r="U4099" s="56"/>
      <c r="X4099" s="57"/>
    </row>
    <row r="4100">
      <c r="A4100" s="54"/>
      <c r="G4100" s="55"/>
      <c r="U4100" s="56"/>
      <c r="X4100" s="57"/>
    </row>
    <row r="4101">
      <c r="A4101" s="54"/>
      <c r="G4101" s="55"/>
      <c r="U4101" s="56"/>
      <c r="X4101" s="57"/>
    </row>
    <row r="4102">
      <c r="A4102" s="54"/>
      <c r="G4102" s="55"/>
      <c r="U4102" s="56"/>
      <c r="X4102" s="57"/>
    </row>
    <row r="4103">
      <c r="A4103" s="54"/>
      <c r="G4103" s="55"/>
      <c r="U4103" s="56"/>
      <c r="X4103" s="57"/>
    </row>
    <row r="4104">
      <c r="A4104" s="54"/>
      <c r="G4104" s="55"/>
      <c r="U4104" s="56"/>
      <c r="X4104" s="57"/>
    </row>
    <row r="4105">
      <c r="A4105" s="54"/>
      <c r="G4105" s="55"/>
      <c r="U4105" s="56"/>
      <c r="X4105" s="57"/>
    </row>
    <row r="4106">
      <c r="A4106" s="54"/>
      <c r="G4106" s="55"/>
      <c r="U4106" s="56"/>
      <c r="X4106" s="57"/>
    </row>
    <row r="4107">
      <c r="A4107" s="54"/>
      <c r="G4107" s="55"/>
      <c r="U4107" s="56"/>
      <c r="X4107" s="57"/>
    </row>
    <row r="4108">
      <c r="A4108" s="54"/>
      <c r="G4108" s="55"/>
      <c r="U4108" s="56"/>
      <c r="X4108" s="57"/>
    </row>
    <row r="4109">
      <c r="A4109" s="54"/>
      <c r="G4109" s="55"/>
      <c r="U4109" s="56"/>
      <c r="X4109" s="57"/>
    </row>
    <row r="4110">
      <c r="A4110" s="54"/>
      <c r="G4110" s="55"/>
      <c r="U4110" s="56"/>
      <c r="X4110" s="57"/>
    </row>
    <row r="4111">
      <c r="A4111" s="54"/>
      <c r="G4111" s="55"/>
      <c r="U4111" s="56"/>
      <c r="X4111" s="57"/>
    </row>
    <row r="4112">
      <c r="A4112" s="54"/>
      <c r="G4112" s="55"/>
      <c r="U4112" s="56"/>
      <c r="X4112" s="57"/>
    </row>
    <row r="4113">
      <c r="A4113" s="54"/>
      <c r="G4113" s="55"/>
      <c r="U4113" s="56"/>
      <c r="X4113" s="57"/>
    </row>
    <row r="4114">
      <c r="A4114" s="54"/>
      <c r="G4114" s="55"/>
      <c r="U4114" s="56"/>
      <c r="X4114" s="57"/>
    </row>
    <row r="4115">
      <c r="A4115" s="54"/>
      <c r="G4115" s="55"/>
      <c r="U4115" s="56"/>
      <c r="X4115" s="57"/>
    </row>
    <row r="4116">
      <c r="A4116" s="54"/>
      <c r="G4116" s="55"/>
      <c r="U4116" s="56"/>
      <c r="X4116" s="57"/>
    </row>
    <row r="4117">
      <c r="A4117" s="54"/>
      <c r="G4117" s="55"/>
      <c r="U4117" s="56"/>
      <c r="X4117" s="57"/>
    </row>
    <row r="4118">
      <c r="A4118" s="54"/>
      <c r="G4118" s="55"/>
      <c r="U4118" s="56"/>
      <c r="X4118" s="57"/>
    </row>
    <row r="4119">
      <c r="A4119" s="54"/>
      <c r="G4119" s="55"/>
      <c r="U4119" s="56"/>
      <c r="X4119" s="57"/>
    </row>
    <row r="4120">
      <c r="A4120" s="54"/>
      <c r="G4120" s="55"/>
      <c r="U4120" s="56"/>
      <c r="X4120" s="57"/>
    </row>
    <row r="4121">
      <c r="A4121" s="54"/>
      <c r="G4121" s="55"/>
      <c r="U4121" s="56"/>
      <c r="X4121" s="57"/>
    </row>
    <row r="4122">
      <c r="A4122" s="54"/>
      <c r="G4122" s="55"/>
      <c r="U4122" s="56"/>
      <c r="X4122" s="57"/>
    </row>
    <row r="4123">
      <c r="A4123" s="54"/>
      <c r="G4123" s="55"/>
      <c r="U4123" s="56"/>
      <c r="X4123" s="57"/>
    </row>
    <row r="4124">
      <c r="A4124" s="54"/>
      <c r="G4124" s="55"/>
      <c r="U4124" s="56"/>
      <c r="X4124" s="57"/>
    </row>
    <row r="4125">
      <c r="A4125" s="54"/>
      <c r="G4125" s="55"/>
      <c r="U4125" s="56"/>
      <c r="X4125" s="57"/>
    </row>
    <row r="4126">
      <c r="A4126" s="54"/>
      <c r="G4126" s="55"/>
      <c r="U4126" s="56"/>
      <c r="X4126" s="57"/>
    </row>
    <row r="4127">
      <c r="A4127" s="54"/>
      <c r="G4127" s="55"/>
      <c r="U4127" s="56"/>
      <c r="X4127" s="57"/>
    </row>
    <row r="4128">
      <c r="A4128" s="54"/>
      <c r="G4128" s="55"/>
      <c r="U4128" s="56"/>
      <c r="X4128" s="57"/>
    </row>
    <row r="4129">
      <c r="A4129" s="54"/>
      <c r="G4129" s="55"/>
      <c r="U4129" s="56"/>
      <c r="X4129" s="57"/>
    </row>
    <row r="4130">
      <c r="A4130" s="54"/>
      <c r="G4130" s="55"/>
      <c r="U4130" s="56"/>
      <c r="X4130" s="57"/>
    </row>
    <row r="4131">
      <c r="A4131" s="54"/>
      <c r="G4131" s="55"/>
      <c r="U4131" s="56"/>
      <c r="X4131" s="57"/>
    </row>
    <row r="4132">
      <c r="A4132" s="54"/>
      <c r="G4132" s="55"/>
      <c r="U4132" s="56"/>
      <c r="X4132" s="57"/>
    </row>
    <row r="4133">
      <c r="A4133" s="54"/>
      <c r="G4133" s="55"/>
      <c r="U4133" s="56"/>
      <c r="X4133" s="57"/>
    </row>
    <row r="4134">
      <c r="A4134" s="54"/>
      <c r="G4134" s="55"/>
      <c r="U4134" s="56"/>
      <c r="X4134" s="57"/>
    </row>
    <row r="4135">
      <c r="A4135" s="54"/>
      <c r="G4135" s="55"/>
      <c r="U4135" s="56"/>
      <c r="X4135" s="57"/>
    </row>
    <row r="4136">
      <c r="A4136" s="54"/>
      <c r="G4136" s="55"/>
      <c r="U4136" s="56"/>
      <c r="X4136" s="57"/>
    </row>
    <row r="4137">
      <c r="A4137" s="54"/>
      <c r="G4137" s="55"/>
      <c r="U4137" s="56"/>
      <c r="X4137" s="57"/>
    </row>
    <row r="4138">
      <c r="A4138" s="54"/>
      <c r="G4138" s="55"/>
      <c r="U4138" s="56"/>
      <c r="X4138" s="57"/>
    </row>
    <row r="4139">
      <c r="A4139" s="54"/>
      <c r="G4139" s="55"/>
      <c r="U4139" s="56"/>
      <c r="X4139" s="57"/>
    </row>
    <row r="4140">
      <c r="A4140" s="54"/>
      <c r="G4140" s="55"/>
      <c r="U4140" s="56"/>
      <c r="X4140" s="57"/>
    </row>
    <row r="4141">
      <c r="A4141" s="54"/>
      <c r="G4141" s="55"/>
      <c r="U4141" s="56"/>
      <c r="X4141" s="57"/>
    </row>
    <row r="4142">
      <c r="A4142" s="54"/>
      <c r="G4142" s="55"/>
      <c r="U4142" s="56"/>
      <c r="X4142" s="57"/>
    </row>
    <row r="4143">
      <c r="A4143" s="54"/>
      <c r="G4143" s="55"/>
      <c r="U4143" s="56"/>
      <c r="X4143" s="57"/>
    </row>
    <row r="4144">
      <c r="A4144" s="54"/>
      <c r="G4144" s="55"/>
      <c r="U4144" s="56"/>
      <c r="X4144" s="57"/>
    </row>
    <row r="4145">
      <c r="A4145" s="54"/>
      <c r="G4145" s="55"/>
      <c r="U4145" s="56"/>
      <c r="X4145" s="57"/>
    </row>
    <row r="4146">
      <c r="A4146" s="54"/>
      <c r="G4146" s="55"/>
      <c r="U4146" s="56"/>
      <c r="X4146" s="57"/>
    </row>
    <row r="4147">
      <c r="A4147" s="54"/>
      <c r="G4147" s="55"/>
      <c r="U4147" s="56"/>
      <c r="X4147" s="57"/>
    </row>
    <row r="4148">
      <c r="A4148" s="54"/>
      <c r="G4148" s="55"/>
      <c r="U4148" s="56"/>
      <c r="X4148" s="57"/>
    </row>
    <row r="4149">
      <c r="A4149" s="54"/>
      <c r="G4149" s="55"/>
      <c r="U4149" s="56"/>
      <c r="X4149" s="57"/>
    </row>
    <row r="4150">
      <c r="A4150" s="54"/>
      <c r="G4150" s="55"/>
      <c r="U4150" s="56"/>
      <c r="X4150" s="57"/>
    </row>
    <row r="4151">
      <c r="A4151" s="54"/>
      <c r="G4151" s="55"/>
      <c r="U4151" s="56"/>
      <c r="X4151" s="57"/>
    </row>
    <row r="4152">
      <c r="A4152" s="54"/>
      <c r="G4152" s="55"/>
      <c r="U4152" s="56"/>
      <c r="X4152" s="57"/>
    </row>
    <row r="4153">
      <c r="A4153" s="54"/>
      <c r="G4153" s="55"/>
      <c r="U4153" s="56"/>
      <c r="X4153" s="57"/>
    </row>
    <row r="4154">
      <c r="A4154" s="54"/>
      <c r="G4154" s="55"/>
      <c r="U4154" s="56"/>
      <c r="X4154" s="57"/>
    </row>
    <row r="4155">
      <c r="A4155" s="54"/>
      <c r="G4155" s="55"/>
      <c r="U4155" s="56"/>
      <c r="X4155" s="57"/>
    </row>
    <row r="4156">
      <c r="A4156" s="54"/>
      <c r="G4156" s="55"/>
      <c r="U4156" s="56"/>
      <c r="X4156" s="57"/>
    </row>
    <row r="4157">
      <c r="A4157" s="54"/>
      <c r="G4157" s="55"/>
      <c r="U4157" s="56"/>
      <c r="X4157" s="57"/>
    </row>
    <row r="4158">
      <c r="A4158" s="54"/>
      <c r="G4158" s="55"/>
      <c r="U4158" s="56"/>
      <c r="X4158" s="57"/>
    </row>
    <row r="4159">
      <c r="A4159" s="54"/>
      <c r="G4159" s="55"/>
      <c r="U4159" s="56"/>
      <c r="X4159" s="57"/>
    </row>
    <row r="4160">
      <c r="A4160" s="54"/>
      <c r="G4160" s="55"/>
      <c r="U4160" s="56"/>
      <c r="X4160" s="57"/>
    </row>
    <row r="4161">
      <c r="A4161" s="54"/>
      <c r="G4161" s="55"/>
      <c r="U4161" s="56"/>
      <c r="X4161" s="57"/>
    </row>
    <row r="4162">
      <c r="A4162" s="54"/>
      <c r="G4162" s="55"/>
      <c r="U4162" s="56"/>
      <c r="X4162" s="57"/>
    </row>
    <row r="4163">
      <c r="A4163" s="54"/>
      <c r="G4163" s="55"/>
      <c r="U4163" s="56"/>
      <c r="X4163" s="57"/>
    </row>
    <row r="4164">
      <c r="A4164" s="54"/>
      <c r="G4164" s="55"/>
      <c r="U4164" s="56"/>
      <c r="X4164" s="57"/>
    </row>
    <row r="4165">
      <c r="A4165" s="54"/>
      <c r="G4165" s="55"/>
      <c r="U4165" s="56"/>
      <c r="X4165" s="57"/>
    </row>
    <row r="4166">
      <c r="A4166" s="54"/>
      <c r="G4166" s="55"/>
      <c r="U4166" s="56"/>
      <c r="X4166" s="57"/>
    </row>
    <row r="4167">
      <c r="A4167" s="54"/>
      <c r="G4167" s="55"/>
      <c r="U4167" s="56"/>
      <c r="X4167" s="57"/>
    </row>
    <row r="4168">
      <c r="A4168" s="54"/>
      <c r="G4168" s="55"/>
      <c r="U4168" s="56"/>
      <c r="X4168" s="57"/>
    </row>
    <row r="4169">
      <c r="A4169" s="54"/>
      <c r="G4169" s="55"/>
      <c r="U4169" s="56"/>
      <c r="X4169" s="57"/>
    </row>
    <row r="4170">
      <c r="A4170" s="54"/>
      <c r="G4170" s="55"/>
      <c r="U4170" s="56"/>
      <c r="X4170" s="57"/>
    </row>
    <row r="4171">
      <c r="A4171" s="54"/>
      <c r="G4171" s="55"/>
      <c r="U4171" s="56"/>
      <c r="X4171" s="57"/>
    </row>
    <row r="4172">
      <c r="A4172" s="54"/>
      <c r="G4172" s="55"/>
      <c r="U4172" s="56"/>
      <c r="X4172" s="57"/>
    </row>
    <row r="4173">
      <c r="A4173" s="54"/>
      <c r="G4173" s="55"/>
      <c r="U4173" s="56"/>
      <c r="X4173" s="57"/>
    </row>
    <row r="4174">
      <c r="A4174" s="54"/>
      <c r="G4174" s="55"/>
      <c r="U4174" s="56"/>
      <c r="X4174" s="57"/>
    </row>
    <row r="4175">
      <c r="A4175" s="54"/>
      <c r="G4175" s="55"/>
      <c r="U4175" s="56"/>
      <c r="X4175" s="57"/>
    </row>
    <row r="4176">
      <c r="A4176" s="54"/>
      <c r="G4176" s="55"/>
      <c r="U4176" s="56"/>
      <c r="X4176" s="57"/>
    </row>
    <row r="4177">
      <c r="A4177" s="54"/>
      <c r="G4177" s="55"/>
      <c r="U4177" s="56"/>
      <c r="X4177" s="57"/>
    </row>
    <row r="4178">
      <c r="A4178" s="54"/>
      <c r="G4178" s="55"/>
      <c r="U4178" s="56"/>
      <c r="X4178" s="57"/>
    </row>
    <row r="4179">
      <c r="A4179" s="54"/>
      <c r="G4179" s="55"/>
      <c r="U4179" s="56"/>
      <c r="X4179" s="57"/>
    </row>
    <row r="4180">
      <c r="A4180" s="54"/>
      <c r="G4180" s="55"/>
      <c r="U4180" s="56"/>
      <c r="X4180" s="57"/>
    </row>
    <row r="4181">
      <c r="A4181" s="54"/>
      <c r="G4181" s="55"/>
      <c r="U4181" s="56"/>
      <c r="X4181" s="57"/>
    </row>
    <row r="4182">
      <c r="A4182" s="54"/>
      <c r="G4182" s="55"/>
      <c r="U4182" s="56"/>
      <c r="X4182" s="57"/>
    </row>
    <row r="4183">
      <c r="A4183" s="54"/>
      <c r="G4183" s="55"/>
      <c r="U4183" s="56"/>
      <c r="X4183" s="57"/>
    </row>
    <row r="4184">
      <c r="A4184" s="54"/>
      <c r="G4184" s="55"/>
      <c r="U4184" s="56"/>
      <c r="X4184" s="57"/>
    </row>
    <row r="4185">
      <c r="A4185" s="54"/>
      <c r="G4185" s="55"/>
      <c r="U4185" s="56"/>
      <c r="X4185" s="57"/>
    </row>
    <row r="4186">
      <c r="A4186" s="54"/>
      <c r="G4186" s="55"/>
      <c r="U4186" s="56"/>
      <c r="X4186" s="57"/>
    </row>
    <row r="4187">
      <c r="A4187" s="54"/>
      <c r="G4187" s="55"/>
      <c r="U4187" s="56"/>
      <c r="X4187" s="57"/>
    </row>
    <row r="4188">
      <c r="A4188" s="54"/>
      <c r="G4188" s="55"/>
      <c r="U4188" s="56"/>
      <c r="X4188" s="57"/>
    </row>
    <row r="4189">
      <c r="A4189" s="54"/>
      <c r="G4189" s="55"/>
      <c r="U4189" s="56"/>
      <c r="X4189" s="57"/>
    </row>
    <row r="4190">
      <c r="A4190" s="54"/>
      <c r="G4190" s="55"/>
      <c r="U4190" s="56"/>
      <c r="X4190" s="57"/>
    </row>
    <row r="4191">
      <c r="A4191" s="54"/>
      <c r="G4191" s="55"/>
      <c r="U4191" s="56"/>
      <c r="X4191" s="57"/>
    </row>
    <row r="4192">
      <c r="A4192" s="54"/>
      <c r="G4192" s="55"/>
      <c r="U4192" s="56"/>
      <c r="X4192" s="57"/>
    </row>
    <row r="4193">
      <c r="A4193" s="54"/>
      <c r="G4193" s="55"/>
      <c r="U4193" s="56"/>
      <c r="X4193" s="57"/>
    </row>
    <row r="4194">
      <c r="A4194" s="54"/>
      <c r="G4194" s="55"/>
      <c r="U4194" s="56"/>
      <c r="X4194" s="57"/>
    </row>
    <row r="4195">
      <c r="A4195" s="54"/>
      <c r="G4195" s="55"/>
      <c r="U4195" s="56"/>
      <c r="X4195" s="57"/>
    </row>
    <row r="4196">
      <c r="A4196" s="54"/>
      <c r="G4196" s="55"/>
      <c r="U4196" s="56"/>
      <c r="X4196" s="57"/>
    </row>
    <row r="4197">
      <c r="A4197" s="54"/>
      <c r="G4197" s="55"/>
      <c r="U4197" s="56"/>
      <c r="X4197" s="57"/>
    </row>
    <row r="4198">
      <c r="A4198" s="54"/>
      <c r="G4198" s="55"/>
      <c r="U4198" s="56"/>
      <c r="X4198" s="57"/>
    </row>
    <row r="4199">
      <c r="A4199" s="54"/>
      <c r="G4199" s="55"/>
      <c r="U4199" s="56"/>
      <c r="X4199" s="57"/>
    </row>
    <row r="4200">
      <c r="A4200" s="54"/>
      <c r="G4200" s="55"/>
      <c r="U4200" s="56"/>
      <c r="X4200" s="57"/>
    </row>
    <row r="4201">
      <c r="A4201" s="54"/>
      <c r="G4201" s="55"/>
      <c r="U4201" s="56"/>
      <c r="X4201" s="57"/>
    </row>
    <row r="4202">
      <c r="A4202" s="54"/>
      <c r="G4202" s="55"/>
      <c r="U4202" s="56"/>
      <c r="X4202" s="57"/>
    </row>
    <row r="4203">
      <c r="A4203" s="54"/>
      <c r="G4203" s="55"/>
      <c r="U4203" s="56"/>
      <c r="X4203" s="57"/>
    </row>
    <row r="4204">
      <c r="A4204" s="54"/>
      <c r="G4204" s="55"/>
      <c r="U4204" s="56"/>
      <c r="X4204" s="57"/>
    </row>
    <row r="4205">
      <c r="A4205" s="54"/>
      <c r="G4205" s="55"/>
      <c r="U4205" s="56"/>
      <c r="X4205" s="57"/>
    </row>
    <row r="4206">
      <c r="A4206" s="54"/>
      <c r="G4206" s="55"/>
      <c r="U4206" s="56"/>
      <c r="X4206" s="57"/>
    </row>
    <row r="4207">
      <c r="A4207" s="54"/>
      <c r="G4207" s="55"/>
      <c r="U4207" s="56"/>
      <c r="X4207" s="57"/>
    </row>
    <row r="4208">
      <c r="A4208" s="54"/>
      <c r="G4208" s="55"/>
      <c r="U4208" s="56"/>
      <c r="X4208" s="57"/>
    </row>
    <row r="4209">
      <c r="A4209" s="54"/>
      <c r="G4209" s="55"/>
      <c r="U4209" s="56"/>
      <c r="X4209" s="57"/>
    </row>
    <row r="4210">
      <c r="A4210" s="54"/>
      <c r="G4210" s="55"/>
      <c r="U4210" s="56"/>
      <c r="X4210" s="57"/>
    </row>
    <row r="4211">
      <c r="A4211" s="54"/>
      <c r="G4211" s="55"/>
      <c r="U4211" s="56"/>
      <c r="X4211" s="57"/>
    </row>
    <row r="4212">
      <c r="A4212" s="54"/>
      <c r="G4212" s="55"/>
      <c r="U4212" s="56"/>
      <c r="X4212" s="57"/>
    </row>
    <row r="4213">
      <c r="A4213" s="54"/>
      <c r="G4213" s="55"/>
      <c r="U4213" s="56"/>
      <c r="X4213" s="57"/>
    </row>
    <row r="4214">
      <c r="A4214" s="54"/>
      <c r="G4214" s="55"/>
      <c r="U4214" s="56"/>
      <c r="X4214" s="57"/>
    </row>
    <row r="4215">
      <c r="A4215" s="54"/>
      <c r="G4215" s="55"/>
      <c r="U4215" s="56"/>
      <c r="X4215" s="57"/>
    </row>
    <row r="4216">
      <c r="A4216" s="54"/>
      <c r="G4216" s="55"/>
      <c r="U4216" s="56"/>
      <c r="X4216" s="57"/>
    </row>
    <row r="4217">
      <c r="A4217" s="54"/>
      <c r="G4217" s="55"/>
      <c r="U4217" s="56"/>
      <c r="X4217" s="57"/>
    </row>
    <row r="4218">
      <c r="A4218" s="54"/>
      <c r="G4218" s="55"/>
      <c r="U4218" s="56"/>
      <c r="X4218" s="57"/>
    </row>
    <row r="4219">
      <c r="A4219" s="54"/>
      <c r="G4219" s="55"/>
      <c r="U4219" s="56"/>
      <c r="X4219" s="57"/>
    </row>
    <row r="4220">
      <c r="A4220" s="54"/>
      <c r="G4220" s="55"/>
      <c r="U4220" s="56"/>
      <c r="X4220" s="57"/>
    </row>
    <row r="4221">
      <c r="A4221" s="54"/>
      <c r="G4221" s="55"/>
      <c r="U4221" s="56"/>
      <c r="X4221" s="57"/>
    </row>
    <row r="4222">
      <c r="A4222" s="54"/>
      <c r="G4222" s="55"/>
      <c r="U4222" s="56"/>
      <c r="X4222" s="57"/>
    </row>
    <row r="4223">
      <c r="A4223" s="54"/>
      <c r="G4223" s="55"/>
      <c r="U4223" s="56"/>
      <c r="X4223" s="57"/>
    </row>
    <row r="4224">
      <c r="A4224" s="54"/>
      <c r="G4224" s="55"/>
      <c r="U4224" s="56"/>
      <c r="X4224" s="57"/>
    </row>
    <row r="4225">
      <c r="A4225" s="54"/>
      <c r="G4225" s="55"/>
      <c r="U4225" s="56"/>
      <c r="X4225" s="57"/>
    </row>
    <row r="4226">
      <c r="A4226" s="54"/>
      <c r="G4226" s="55"/>
      <c r="U4226" s="56"/>
      <c r="X4226" s="57"/>
    </row>
    <row r="4227">
      <c r="A4227" s="54"/>
      <c r="G4227" s="55"/>
      <c r="U4227" s="56"/>
      <c r="X4227" s="57"/>
    </row>
    <row r="4228">
      <c r="A4228" s="54"/>
      <c r="G4228" s="55"/>
      <c r="U4228" s="56"/>
      <c r="X4228" s="57"/>
    </row>
    <row r="4229">
      <c r="A4229" s="54"/>
      <c r="G4229" s="55"/>
      <c r="U4229" s="56"/>
      <c r="X4229" s="57"/>
    </row>
    <row r="4230">
      <c r="A4230" s="54"/>
      <c r="G4230" s="55"/>
      <c r="U4230" s="56"/>
      <c r="X4230" s="57"/>
    </row>
    <row r="4231">
      <c r="A4231" s="54"/>
      <c r="G4231" s="55"/>
      <c r="U4231" s="56"/>
      <c r="X4231" s="57"/>
    </row>
    <row r="4232">
      <c r="A4232" s="54"/>
      <c r="G4232" s="55"/>
      <c r="U4232" s="56"/>
      <c r="X4232" s="57"/>
    </row>
    <row r="4233">
      <c r="A4233" s="54"/>
      <c r="G4233" s="55"/>
      <c r="U4233" s="56"/>
      <c r="X4233" s="57"/>
    </row>
    <row r="4234">
      <c r="A4234" s="54"/>
      <c r="G4234" s="55"/>
      <c r="U4234" s="56"/>
      <c r="X4234" s="57"/>
    </row>
    <row r="4235">
      <c r="A4235" s="54"/>
      <c r="G4235" s="55"/>
      <c r="U4235" s="56"/>
      <c r="X4235" s="57"/>
    </row>
    <row r="4236">
      <c r="A4236" s="54"/>
      <c r="G4236" s="55"/>
      <c r="U4236" s="56"/>
      <c r="X4236" s="57"/>
    </row>
    <row r="4237">
      <c r="A4237" s="54"/>
      <c r="G4237" s="55"/>
      <c r="U4237" s="56"/>
      <c r="X4237" s="57"/>
    </row>
    <row r="4238">
      <c r="A4238" s="54"/>
      <c r="G4238" s="55"/>
      <c r="U4238" s="56"/>
      <c r="X4238" s="57"/>
    </row>
    <row r="4239">
      <c r="A4239" s="54"/>
      <c r="G4239" s="55"/>
      <c r="U4239" s="56"/>
      <c r="X4239" s="57"/>
    </row>
    <row r="4240">
      <c r="A4240" s="54"/>
      <c r="G4240" s="55"/>
      <c r="U4240" s="56"/>
      <c r="X4240" s="57"/>
    </row>
    <row r="4241">
      <c r="A4241" s="54"/>
      <c r="G4241" s="55"/>
      <c r="U4241" s="56"/>
      <c r="X4241" s="57"/>
    </row>
    <row r="4242">
      <c r="A4242" s="54"/>
      <c r="G4242" s="55"/>
      <c r="U4242" s="56"/>
      <c r="X4242" s="57"/>
    </row>
    <row r="4243">
      <c r="A4243" s="54"/>
      <c r="G4243" s="55"/>
      <c r="U4243" s="56"/>
      <c r="X4243" s="57"/>
    </row>
    <row r="4244">
      <c r="A4244" s="54"/>
      <c r="G4244" s="55"/>
      <c r="U4244" s="56"/>
      <c r="X4244" s="57"/>
    </row>
    <row r="4245">
      <c r="A4245" s="54"/>
      <c r="G4245" s="55"/>
      <c r="U4245" s="56"/>
      <c r="X4245" s="57"/>
    </row>
    <row r="4246">
      <c r="A4246" s="54"/>
      <c r="G4246" s="55"/>
      <c r="U4246" s="56"/>
      <c r="X4246" s="57"/>
    </row>
    <row r="4247">
      <c r="A4247" s="54"/>
      <c r="G4247" s="55"/>
      <c r="U4247" s="56"/>
      <c r="X4247" s="57"/>
    </row>
    <row r="4248">
      <c r="A4248" s="54"/>
      <c r="G4248" s="55"/>
      <c r="U4248" s="56"/>
      <c r="X4248" s="57"/>
    </row>
    <row r="4249">
      <c r="A4249" s="54"/>
      <c r="G4249" s="55"/>
      <c r="U4249" s="56"/>
      <c r="X4249" s="57"/>
    </row>
    <row r="4250">
      <c r="A4250" s="54"/>
      <c r="G4250" s="55"/>
      <c r="U4250" s="56"/>
      <c r="X4250" s="57"/>
    </row>
    <row r="4251">
      <c r="A4251" s="54"/>
      <c r="G4251" s="55"/>
      <c r="U4251" s="56"/>
      <c r="X4251" s="57"/>
    </row>
    <row r="4252">
      <c r="A4252" s="54"/>
      <c r="G4252" s="55"/>
      <c r="U4252" s="56"/>
      <c r="X4252" s="57"/>
    </row>
    <row r="4253">
      <c r="A4253" s="54"/>
      <c r="G4253" s="55"/>
      <c r="U4253" s="56"/>
      <c r="X4253" s="57"/>
    </row>
    <row r="4254">
      <c r="A4254" s="54"/>
      <c r="G4254" s="55"/>
      <c r="U4254" s="56"/>
      <c r="X4254" s="57"/>
    </row>
    <row r="4255">
      <c r="A4255" s="54"/>
      <c r="G4255" s="55"/>
      <c r="U4255" s="56"/>
      <c r="X4255" s="57"/>
    </row>
    <row r="4256">
      <c r="A4256" s="54"/>
      <c r="G4256" s="55"/>
      <c r="U4256" s="56"/>
      <c r="X4256" s="57"/>
    </row>
    <row r="4257">
      <c r="A4257" s="54"/>
      <c r="G4257" s="55"/>
      <c r="U4257" s="56"/>
      <c r="X4257" s="57"/>
    </row>
    <row r="4258">
      <c r="A4258" s="54"/>
      <c r="G4258" s="55"/>
      <c r="U4258" s="56"/>
      <c r="X4258" s="57"/>
    </row>
    <row r="4259">
      <c r="A4259" s="54"/>
      <c r="G4259" s="55"/>
      <c r="U4259" s="56"/>
      <c r="X4259" s="57"/>
    </row>
    <row r="4260">
      <c r="A4260" s="54"/>
      <c r="G4260" s="55"/>
      <c r="U4260" s="56"/>
      <c r="X4260" s="57"/>
    </row>
    <row r="4261">
      <c r="A4261" s="54"/>
      <c r="G4261" s="55"/>
      <c r="U4261" s="56"/>
      <c r="X4261" s="57"/>
    </row>
    <row r="4262">
      <c r="A4262" s="54"/>
      <c r="G4262" s="55"/>
      <c r="U4262" s="56"/>
      <c r="X4262" s="57"/>
    </row>
    <row r="4263">
      <c r="A4263" s="54"/>
      <c r="G4263" s="55"/>
      <c r="U4263" s="56"/>
      <c r="X4263" s="57"/>
    </row>
    <row r="4264">
      <c r="A4264" s="54"/>
      <c r="G4264" s="55"/>
      <c r="U4264" s="56"/>
      <c r="X4264" s="57"/>
    </row>
    <row r="4265">
      <c r="A4265" s="54"/>
      <c r="G4265" s="55"/>
      <c r="U4265" s="56"/>
      <c r="X4265" s="57"/>
    </row>
    <row r="4266">
      <c r="A4266" s="54"/>
      <c r="G4266" s="55"/>
      <c r="U4266" s="56"/>
      <c r="X4266" s="57"/>
    </row>
    <row r="4267">
      <c r="A4267" s="54"/>
      <c r="G4267" s="55"/>
      <c r="U4267" s="56"/>
      <c r="X4267" s="57"/>
    </row>
    <row r="4268">
      <c r="A4268" s="54"/>
      <c r="G4268" s="55"/>
      <c r="U4268" s="56"/>
      <c r="X4268" s="57"/>
    </row>
    <row r="4269">
      <c r="A4269" s="54"/>
      <c r="G4269" s="55"/>
      <c r="U4269" s="56"/>
      <c r="X4269" s="57"/>
    </row>
    <row r="4270">
      <c r="A4270" s="54"/>
      <c r="G4270" s="55"/>
      <c r="U4270" s="56"/>
      <c r="X4270" s="57"/>
    </row>
    <row r="4271">
      <c r="A4271" s="54"/>
      <c r="G4271" s="55"/>
      <c r="U4271" s="56"/>
      <c r="X4271" s="57"/>
    </row>
    <row r="4272">
      <c r="A4272" s="54"/>
      <c r="G4272" s="55"/>
      <c r="U4272" s="56"/>
      <c r="X4272" s="57"/>
    </row>
    <row r="4273">
      <c r="A4273" s="54"/>
      <c r="G4273" s="55"/>
      <c r="U4273" s="56"/>
      <c r="X4273" s="57"/>
    </row>
    <row r="4274">
      <c r="A4274" s="54"/>
      <c r="G4274" s="55"/>
      <c r="U4274" s="56"/>
      <c r="X4274" s="57"/>
    </row>
    <row r="4275">
      <c r="A4275" s="54"/>
      <c r="G4275" s="55"/>
      <c r="U4275" s="56"/>
      <c r="X4275" s="57"/>
    </row>
    <row r="4276">
      <c r="A4276" s="54"/>
      <c r="G4276" s="55"/>
      <c r="U4276" s="56"/>
      <c r="X4276" s="57"/>
    </row>
    <row r="4277">
      <c r="A4277" s="54"/>
      <c r="G4277" s="55"/>
      <c r="U4277" s="56"/>
      <c r="X4277" s="57"/>
    </row>
    <row r="4278">
      <c r="A4278" s="54"/>
      <c r="G4278" s="55"/>
      <c r="U4278" s="56"/>
      <c r="X4278" s="57"/>
    </row>
    <row r="4279">
      <c r="A4279" s="54"/>
      <c r="G4279" s="55"/>
      <c r="U4279" s="56"/>
      <c r="X4279" s="57"/>
    </row>
    <row r="4280">
      <c r="A4280" s="54"/>
      <c r="G4280" s="55"/>
      <c r="U4280" s="56"/>
      <c r="X4280" s="57"/>
    </row>
    <row r="4281">
      <c r="A4281" s="54"/>
      <c r="G4281" s="55"/>
      <c r="U4281" s="56"/>
      <c r="X4281" s="57"/>
    </row>
    <row r="4282">
      <c r="A4282" s="54"/>
      <c r="G4282" s="55"/>
      <c r="U4282" s="56"/>
      <c r="X4282" s="57"/>
    </row>
    <row r="4283">
      <c r="A4283" s="54"/>
      <c r="G4283" s="55"/>
      <c r="U4283" s="56"/>
      <c r="X4283" s="57"/>
    </row>
    <row r="4284">
      <c r="A4284" s="54"/>
      <c r="G4284" s="55"/>
      <c r="U4284" s="56"/>
      <c r="X4284" s="57"/>
    </row>
    <row r="4285">
      <c r="A4285" s="54"/>
      <c r="G4285" s="55"/>
      <c r="U4285" s="56"/>
      <c r="X4285" s="57"/>
    </row>
    <row r="4286">
      <c r="A4286" s="54"/>
      <c r="G4286" s="55"/>
      <c r="U4286" s="56"/>
      <c r="X4286" s="57"/>
    </row>
    <row r="4287">
      <c r="A4287" s="54"/>
      <c r="G4287" s="55"/>
      <c r="U4287" s="56"/>
      <c r="X4287" s="57"/>
    </row>
    <row r="4288">
      <c r="A4288" s="54"/>
      <c r="G4288" s="55"/>
      <c r="U4288" s="56"/>
      <c r="X4288" s="57"/>
    </row>
    <row r="4289">
      <c r="A4289" s="54"/>
      <c r="G4289" s="55"/>
      <c r="U4289" s="56"/>
      <c r="X4289" s="57"/>
    </row>
    <row r="4290">
      <c r="A4290" s="54"/>
      <c r="G4290" s="55"/>
      <c r="U4290" s="56"/>
      <c r="X4290" s="57"/>
    </row>
    <row r="4291">
      <c r="A4291" s="54"/>
      <c r="G4291" s="55"/>
      <c r="U4291" s="56"/>
      <c r="X4291" s="57"/>
    </row>
    <row r="4292">
      <c r="A4292" s="54"/>
      <c r="G4292" s="55"/>
      <c r="U4292" s="56"/>
      <c r="X4292" s="57"/>
    </row>
    <row r="4293">
      <c r="A4293" s="54"/>
      <c r="G4293" s="55"/>
      <c r="U4293" s="56"/>
      <c r="X4293" s="57"/>
    </row>
    <row r="4294">
      <c r="A4294" s="54"/>
      <c r="G4294" s="55"/>
      <c r="U4294" s="56"/>
      <c r="X4294" s="57"/>
    </row>
    <row r="4295">
      <c r="A4295" s="54"/>
      <c r="G4295" s="55"/>
      <c r="U4295" s="56"/>
      <c r="X4295" s="57"/>
    </row>
    <row r="4296">
      <c r="A4296" s="54"/>
      <c r="G4296" s="55"/>
      <c r="U4296" s="56"/>
      <c r="X4296" s="57"/>
    </row>
    <row r="4297">
      <c r="A4297" s="54"/>
      <c r="G4297" s="55"/>
      <c r="U4297" s="56"/>
      <c r="X4297" s="57"/>
    </row>
    <row r="4298">
      <c r="A4298" s="54"/>
      <c r="G4298" s="55"/>
      <c r="U4298" s="56"/>
      <c r="X4298" s="57"/>
    </row>
    <row r="4299">
      <c r="A4299" s="54"/>
      <c r="G4299" s="55"/>
      <c r="U4299" s="56"/>
      <c r="X4299" s="57"/>
    </row>
    <row r="4300">
      <c r="A4300" s="54"/>
      <c r="G4300" s="55"/>
      <c r="U4300" s="56"/>
      <c r="X4300" s="57"/>
    </row>
    <row r="4301">
      <c r="A4301" s="54"/>
      <c r="G4301" s="55"/>
      <c r="U4301" s="56"/>
      <c r="X4301" s="57"/>
    </row>
    <row r="4302">
      <c r="A4302" s="54"/>
      <c r="G4302" s="55"/>
      <c r="U4302" s="56"/>
      <c r="X4302" s="57"/>
    </row>
    <row r="4303">
      <c r="A4303" s="54"/>
      <c r="G4303" s="55"/>
      <c r="U4303" s="56"/>
      <c r="X4303" s="57"/>
    </row>
    <row r="4304">
      <c r="A4304" s="54"/>
      <c r="G4304" s="55"/>
      <c r="U4304" s="56"/>
      <c r="X4304" s="57"/>
    </row>
    <row r="4305">
      <c r="A4305" s="54"/>
      <c r="G4305" s="55"/>
      <c r="U4305" s="56"/>
      <c r="X4305" s="57"/>
    </row>
    <row r="4306">
      <c r="A4306" s="54"/>
      <c r="G4306" s="55"/>
      <c r="U4306" s="56"/>
      <c r="X4306" s="57"/>
    </row>
    <row r="4307">
      <c r="A4307" s="54"/>
      <c r="G4307" s="55"/>
      <c r="U4307" s="56"/>
      <c r="X4307" s="57"/>
    </row>
    <row r="4308">
      <c r="A4308" s="54"/>
      <c r="G4308" s="55"/>
      <c r="U4308" s="56"/>
      <c r="X4308" s="57"/>
    </row>
    <row r="4309">
      <c r="A4309" s="54"/>
      <c r="G4309" s="55"/>
      <c r="U4309" s="56"/>
      <c r="X4309" s="57"/>
    </row>
    <row r="4310">
      <c r="A4310" s="54"/>
      <c r="G4310" s="55"/>
      <c r="U4310" s="56"/>
      <c r="X4310" s="57"/>
    </row>
    <row r="4311">
      <c r="A4311" s="54"/>
      <c r="G4311" s="55"/>
      <c r="U4311" s="56"/>
      <c r="X4311" s="57"/>
    </row>
    <row r="4312">
      <c r="A4312" s="54"/>
      <c r="G4312" s="55"/>
      <c r="U4312" s="56"/>
      <c r="X4312" s="57"/>
    </row>
    <row r="4313">
      <c r="A4313" s="54"/>
      <c r="G4313" s="55"/>
      <c r="U4313" s="56"/>
      <c r="X4313" s="57"/>
    </row>
    <row r="4314">
      <c r="A4314" s="54"/>
      <c r="G4314" s="55"/>
      <c r="U4314" s="56"/>
      <c r="X4314" s="57"/>
    </row>
    <row r="4315">
      <c r="A4315" s="54"/>
      <c r="G4315" s="55"/>
      <c r="U4315" s="56"/>
      <c r="X4315" s="57"/>
    </row>
    <row r="4316">
      <c r="A4316" s="54"/>
      <c r="G4316" s="55"/>
      <c r="U4316" s="56"/>
      <c r="X4316" s="57"/>
    </row>
    <row r="4317">
      <c r="A4317" s="54"/>
      <c r="G4317" s="55"/>
      <c r="U4317" s="56"/>
      <c r="X4317" s="57"/>
    </row>
    <row r="4318">
      <c r="A4318" s="54"/>
      <c r="G4318" s="55"/>
      <c r="U4318" s="56"/>
      <c r="X4318" s="57"/>
    </row>
    <row r="4319">
      <c r="A4319" s="54"/>
      <c r="G4319" s="55"/>
      <c r="U4319" s="56"/>
      <c r="X4319" s="57"/>
    </row>
    <row r="4320">
      <c r="A4320" s="54"/>
      <c r="G4320" s="55"/>
      <c r="U4320" s="56"/>
      <c r="X4320" s="57"/>
    </row>
    <row r="4321">
      <c r="A4321" s="54"/>
      <c r="G4321" s="55"/>
      <c r="U4321" s="56"/>
      <c r="X4321" s="57"/>
    </row>
    <row r="4322">
      <c r="A4322" s="54"/>
      <c r="G4322" s="55"/>
      <c r="U4322" s="56"/>
      <c r="X4322" s="57"/>
    </row>
    <row r="4323">
      <c r="A4323" s="54"/>
      <c r="G4323" s="55"/>
      <c r="U4323" s="56"/>
      <c r="X4323" s="57"/>
    </row>
    <row r="4324">
      <c r="A4324" s="54"/>
      <c r="G4324" s="55"/>
      <c r="U4324" s="56"/>
      <c r="X4324" s="57"/>
    </row>
    <row r="4325">
      <c r="A4325" s="54"/>
      <c r="G4325" s="55"/>
      <c r="U4325" s="56"/>
      <c r="X4325" s="57"/>
    </row>
    <row r="4326">
      <c r="A4326" s="54"/>
      <c r="G4326" s="55"/>
      <c r="U4326" s="56"/>
      <c r="X4326" s="57"/>
    </row>
    <row r="4327">
      <c r="A4327" s="54"/>
      <c r="G4327" s="55"/>
      <c r="U4327" s="56"/>
      <c r="X4327" s="57"/>
    </row>
    <row r="4328">
      <c r="A4328" s="54"/>
      <c r="G4328" s="55"/>
      <c r="U4328" s="56"/>
      <c r="X4328" s="57"/>
    </row>
    <row r="4329">
      <c r="A4329" s="54"/>
      <c r="G4329" s="55"/>
      <c r="U4329" s="56"/>
      <c r="X4329" s="57"/>
    </row>
    <row r="4330">
      <c r="A4330" s="54"/>
      <c r="G4330" s="55"/>
      <c r="U4330" s="56"/>
      <c r="X4330" s="57"/>
    </row>
    <row r="4331">
      <c r="A4331" s="54"/>
      <c r="G4331" s="55"/>
      <c r="U4331" s="56"/>
      <c r="X4331" s="57"/>
    </row>
    <row r="4332">
      <c r="A4332" s="54"/>
      <c r="G4332" s="55"/>
      <c r="U4332" s="56"/>
      <c r="X4332" s="57"/>
    </row>
    <row r="4333">
      <c r="A4333" s="54"/>
      <c r="G4333" s="55"/>
      <c r="U4333" s="56"/>
      <c r="X4333" s="57"/>
    </row>
    <row r="4334">
      <c r="A4334" s="54"/>
      <c r="G4334" s="55"/>
      <c r="U4334" s="56"/>
      <c r="X4334" s="57"/>
    </row>
    <row r="4335">
      <c r="A4335" s="54"/>
      <c r="G4335" s="55"/>
      <c r="U4335" s="56"/>
      <c r="X4335" s="57"/>
    </row>
    <row r="4336">
      <c r="A4336" s="54"/>
      <c r="G4336" s="55"/>
      <c r="U4336" s="56"/>
      <c r="X4336" s="57"/>
    </row>
    <row r="4337">
      <c r="A4337" s="54"/>
      <c r="G4337" s="55"/>
      <c r="U4337" s="56"/>
      <c r="X4337" s="57"/>
    </row>
    <row r="4338">
      <c r="A4338" s="54"/>
      <c r="G4338" s="55"/>
      <c r="U4338" s="56"/>
      <c r="X4338" s="57"/>
    </row>
    <row r="4339">
      <c r="A4339" s="54"/>
      <c r="G4339" s="55"/>
      <c r="U4339" s="56"/>
      <c r="X4339" s="57"/>
    </row>
    <row r="4340">
      <c r="A4340" s="54"/>
      <c r="G4340" s="55"/>
      <c r="U4340" s="56"/>
      <c r="X4340" s="57"/>
    </row>
    <row r="4341">
      <c r="A4341" s="54"/>
      <c r="G4341" s="55"/>
      <c r="U4341" s="56"/>
      <c r="X4341" s="57"/>
    </row>
    <row r="4342">
      <c r="A4342" s="54"/>
      <c r="G4342" s="55"/>
      <c r="U4342" s="56"/>
      <c r="X4342" s="57"/>
    </row>
    <row r="4343">
      <c r="A4343" s="54"/>
      <c r="G4343" s="55"/>
      <c r="U4343" s="56"/>
      <c r="X4343" s="57"/>
    </row>
    <row r="4344">
      <c r="A4344" s="54"/>
      <c r="G4344" s="55"/>
      <c r="U4344" s="56"/>
      <c r="X4344" s="57"/>
    </row>
    <row r="4345">
      <c r="A4345" s="54"/>
      <c r="G4345" s="55"/>
      <c r="U4345" s="56"/>
      <c r="X4345" s="57"/>
    </row>
    <row r="4346">
      <c r="A4346" s="54"/>
      <c r="G4346" s="55"/>
      <c r="U4346" s="56"/>
      <c r="X4346" s="57"/>
    </row>
    <row r="4347">
      <c r="A4347" s="54"/>
      <c r="G4347" s="55"/>
      <c r="U4347" s="56"/>
      <c r="X4347" s="57"/>
    </row>
    <row r="4348">
      <c r="A4348" s="54"/>
      <c r="G4348" s="55"/>
      <c r="U4348" s="56"/>
      <c r="X4348" s="57"/>
    </row>
    <row r="4349">
      <c r="A4349" s="54"/>
      <c r="G4349" s="55"/>
      <c r="U4349" s="56"/>
      <c r="X4349" s="57"/>
    </row>
    <row r="4350">
      <c r="A4350" s="54"/>
      <c r="G4350" s="55"/>
      <c r="U4350" s="56"/>
      <c r="X4350" s="57"/>
    </row>
    <row r="4351">
      <c r="A4351" s="54"/>
      <c r="G4351" s="55"/>
      <c r="U4351" s="56"/>
      <c r="X4351" s="57"/>
    </row>
    <row r="4352">
      <c r="A4352" s="54"/>
      <c r="G4352" s="55"/>
      <c r="U4352" s="56"/>
      <c r="X4352" s="57"/>
    </row>
    <row r="4353">
      <c r="A4353" s="54"/>
      <c r="G4353" s="55"/>
      <c r="U4353" s="56"/>
      <c r="X4353" s="57"/>
    </row>
    <row r="4354">
      <c r="A4354" s="54"/>
      <c r="G4354" s="55"/>
      <c r="U4354" s="56"/>
      <c r="X4354" s="57"/>
    </row>
    <row r="4355">
      <c r="A4355" s="54"/>
      <c r="G4355" s="55"/>
      <c r="U4355" s="56"/>
      <c r="X4355" s="57"/>
    </row>
    <row r="4356">
      <c r="A4356" s="54"/>
      <c r="G4356" s="55"/>
      <c r="U4356" s="56"/>
      <c r="X4356" s="57"/>
    </row>
    <row r="4357">
      <c r="A4357" s="54"/>
      <c r="G4357" s="55"/>
      <c r="U4357" s="56"/>
      <c r="X4357" s="57"/>
    </row>
    <row r="4358">
      <c r="A4358" s="54"/>
      <c r="G4358" s="55"/>
      <c r="U4358" s="56"/>
      <c r="X4358" s="57"/>
    </row>
    <row r="4359">
      <c r="A4359" s="54"/>
      <c r="G4359" s="55"/>
      <c r="U4359" s="56"/>
      <c r="X4359" s="57"/>
    </row>
    <row r="4360">
      <c r="A4360" s="54"/>
      <c r="G4360" s="55"/>
      <c r="U4360" s="56"/>
      <c r="X4360" s="57"/>
    </row>
    <row r="4361">
      <c r="A4361" s="54"/>
      <c r="G4361" s="55"/>
      <c r="U4361" s="56"/>
      <c r="X4361" s="57"/>
    </row>
    <row r="4362">
      <c r="A4362" s="54"/>
      <c r="G4362" s="55"/>
      <c r="U4362" s="56"/>
      <c r="X4362" s="57"/>
    </row>
    <row r="4363">
      <c r="A4363" s="54"/>
      <c r="G4363" s="55"/>
      <c r="U4363" s="56"/>
      <c r="X4363" s="57"/>
    </row>
    <row r="4364">
      <c r="A4364" s="54"/>
      <c r="G4364" s="55"/>
      <c r="U4364" s="56"/>
      <c r="X4364" s="57"/>
    </row>
    <row r="4365">
      <c r="A4365" s="54"/>
      <c r="G4365" s="55"/>
      <c r="U4365" s="56"/>
      <c r="X4365" s="57"/>
    </row>
    <row r="4366">
      <c r="A4366" s="54"/>
      <c r="G4366" s="55"/>
      <c r="U4366" s="56"/>
      <c r="X4366" s="57"/>
    </row>
    <row r="4367">
      <c r="A4367" s="54"/>
      <c r="G4367" s="55"/>
      <c r="U4367" s="56"/>
      <c r="X4367" s="57"/>
    </row>
    <row r="4368">
      <c r="A4368" s="54"/>
      <c r="G4368" s="55"/>
      <c r="U4368" s="56"/>
      <c r="X4368" s="57"/>
    </row>
    <row r="4369">
      <c r="A4369" s="54"/>
      <c r="G4369" s="55"/>
      <c r="U4369" s="56"/>
      <c r="X4369" s="57"/>
    </row>
    <row r="4370">
      <c r="A4370" s="54"/>
      <c r="G4370" s="55"/>
      <c r="U4370" s="56"/>
      <c r="X4370" s="57"/>
    </row>
    <row r="4371">
      <c r="A4371" s="54"/>
      <c r="G4371" s="55"/>
      <c r="U4371" s="56"/>
      <c r="X4371" s="57"/>
    </row>
    <row r="4372">
      <c r="A4372" s="54"/>
      <c r="G4372" s="55"/>
      <c r="U4372" s="56"/>
      <c r="X4372" s="57"/>
    </row>
    <row r="4373">
      <c r="A4373" s="54"/>
      <c r="G4373" s="55"/>
      <c r="U4373" s="56"/>
      <c r="X4373" s="57"/>
    </row>
    <row r="4374">
      <c r="A4374" s="54"/>
      <c r="G4374" s="55"/>
      <c r="U4374" s="56"/>
      <c r="X4374" s="57"/>
    </row>
    <row r="4375">
      <c r="A4375" s="54"/>
      <c r="G4375" s="55"/>
      <c r="U4375" s="56"/>
      <c r="X4375" s="57"/>
    </row>
    <row r="4376">
      <c r="A4376" s="54"/>
      <c r="G4376" s="55"/>
      <c r="U4376" s="56"/>
      <c r="X4376" s="57"/>
    </row>
    <row r="4377">
      <c r="A4377" s="54"/>
      <c r="G4377" s="55"/>
      <c r="U4377" s="56"/>
      <c r="X4377" s="57"/>
    </row>
    <row r="4378">
      <c r="A4378" s="54"/>
      <c r="G4378" s="55"/>
      <c r="U4378" s="56"/>
      <c r="X4378" s="57"/>
    </row>
    <row r="4379">
      <c r="A4379" s="54"/>
      <c r="G4379" s="55"/>
      <c r="U4379" s="56"/>
      <c r="X4379" s="57"/>
    </row>
    <row r="4380">
      <c r="A4380" s="54"/>
      <c r="G4380" s="55"/>
      <c r="U4380" s="56"/>
      <c r="X4380" s="57"/>
    </row>
    <row r="4381">
      <c r="A4381" s="54"/>
      <c r="G4381" s="55"/>
      <c r="U4381" s="56"/>
      <c r="X4381" s="57"/>
    </row>
    <row r="4382">
      <c r="A4382" s="54"/>
      <c r="G4382" s="55"/>
      <c r="U4382" s="56"/>
      <c r="X4382" s="57"/>
    </row>
    <row r="4383">
      <c r="A4383" s="54"/>
      <c r="G4383" s="55"/>
      <c r="U4383" s="56"/>
      <c r="X4383" s="57"/>
    </row>
    <row r="4384">
      <c r="A4384" s="54"/>
      <c r="G4384" s="55"/>
      <c r="U4384" s="56"/>
      <c r="X4384" s="57"/>
    </row>
    <row r="4385">
      <c r="A4385" s="54"/>
      <c r="G4385" s="55"/>
      <c r="U4385" s="56"/>
      <c r="X4385" s="57"/>
    </row>
    <row r="4386">
      <c r="A4386" s="54"/>
      <c r="G4386" s="55"/>
      <c r="U4386" s="56"/>
      <c r="X4386" s="57"/>
    </row>
    <row r="4387">
      <c r="A4387" s="54"/>
      <c r="G4387" s="55"/>
      <c r="U4387" s="56"/>
      <c r="X4387" s="57"/>
    </row>
    <row r="4388">
      <c r="A4388" s="54"/>
      <c r="G4388" s="55"/>
      <c r="U4388" s="56"/>
      <c r="X4388" s="57"/>
    </row>
    <row r="4389">
      <c r="A4389" s="54"/>
      <c r="G4389" s="55"/>
      <c r="U4389" s="56"/>
      <c r="X4389" s="57"/>
    </row>
    <row r="4390">
      <c r="A4390" s="54"/>
      <c r="G4390" s="55"/>
      <c r="U4390" s="56"/>
      <c r="X4390" s="57"/>
    </row>
    <row r="4391">
      <c r="A4391" s="54"/>
      <c r="G4391" s="55"/>
      <c r="U4391" s="56"/>
      <c r="X4391" s="57"/>
    </row>
    <row r="4392">
      <c r="A4392" s="54"/>
      <c r="G4392" s="55"/>
      <c r="U4392" s="56"/>
      <c r="X4392" s="57"/>
    </row>
    <row r="4393">
      <c r="A4393" s="54"/>
      <c r="G4393" s="55"/>
      <c r="U4393" s="56"/>
      <c r="X4393" s="57"/>
    </row>
    <row r="4394">
      <c r="A4394" s="54"/>
      <c r="G4394" s="55"/>
      <c r="U4394" s="56"/>
      <c r="X4394" s="57"/>
    </row>
    <row r="4395">
      <c r="A4395" s="54"/>
      <c r="G4395" s="55"/>
      <c r="U4395" s="56"/>
      <c r="X4395" s="57"/>
    </row>
    <row r="4396">
      <c r="A4396" s="54"/>
      <c r="G4396" s="55"/>
      <c r="U4396" s="56"/>
      <c r="X4396" s="57"/>
    </row>
    <row r="4397">
      <c r="A4397" s="54"/>
      <c r="G4397" s="55"/>
      <c r="U4397" s="56"/>
      <c r="X4397" s="57"/>
    </row>
    <row r="4398">
      <c r="A4398" s="54"/>
      <c r="G4398" s="55"/>
      <c r="U4398" s="56"/>
      <c r="X4398" s="57"/>
    </row>
    <row r="4399">
      <c r="A4399" s="54"/>
      <c r="G4399" s="55"/>
      <c r="U4399" s="56"/>
      <c r="X4399" s="57"/>
    </row>
    <row r="4400">
      <c r="A4400" s="54"/>
      <c r="G4400" s="55"/>
      <c r="U4400" s="56"/>
      <c r="X4400" s="57"/>
    </row>
    <row r="4401">
      <c r="A4401" s="54"/>
      <c r="G4401" s="55"/>
      <c r="U4401" s="56"/>
      <c r="X4401" s="57"/>
    </row>
    <row r="4402">
      <c r="A4402" s="54"/>
      <c r="G4402" s="55"/>
      <c r="U4402" s="56"/>
      <c r="X4402" s="57"/>
    </row>
    <row r="4403">
      <c r="A4403" s="54"/>
      <c r="G4403" s="55"/>
      <c r="U4403" s="56"/>
      <c r="X4403" s="57"/>
    </row>
    <row r="4404">
      <c r="A4404" s="54"/>
      <c r="G4404" s="55"/>
      <c r="U4404" s="56"/>
      <c r="X4404" s="57"/>
    </row>
    <row r="4405">
      <c r="A4405" s="54"/>
      <c r="G4405" s="55"/>
      <c r="U4405" s="56"/>
      <c r="X4405" s="57"/>
    </row>
    <row r="4406">
      <c r="A4406" s="54"/>
      <c r="G4406" s="55"/>
      <c r="U4406" s="56"/>
      <c r="X4406" s="57"/>
    </row>
    <row r="4407">
      <c r="A4407" s="54"/>
      <c r="G4407" s="55"/>
      <c r="U4407" s="56"/>
      <c r="X4407" s="57"/>
    </row>
    <row r="4408">
      <c r="A4408" s="54"/>
      <c r="G4408" s="55"/>
      <c r="U4408" s="56"/>
      <c r="X4408" s="57"/>
    </row>
    <row r="4409">
      <c r="A4409" s="54"/>
      <c r="G4409" s="55"/>
      <c r="U4409" s="56"/>
      <c r="X4409" s="57"/>
    </row>
    <row r="4410">
      <c r="A4410" s="54"/>
      <c r="G4410" s="55"/>
      <c r="U4410" s="56"/>
      <c r="X4410" s="57"/>
    </row>
    <row r="4411">
      <c r="A4411" s="54"/>
      <c r="G4411" s="55"/>
      <c r="U4411" s="56"/>
      <c r="X4411" s="57"/>
    </row>
    <row r="4412">
      <c r="A4412" s="54"/>
      <c r="G4412" s="55"/>
      <c r="U4412" s="56"/>
      <c r="X4412" s="57"/>
    </row>
    <row r="4413">
      <c r="A4413" s="54"/>
      <c r="G4413" s="55"/>
      <c r="U4413" s="56"/>
      <c r="X4413" s="57"/>
    </row>
    <row r="4414">
      <c r="A4414" s="54"/>
      <c r="G4414" s="55"/>
      <c r="U4414" s="56"/>
      <c r="X4414" s="57"/>
    </row>
    <row r="4415">
      <c r="A4415" s="54"/>
      <c r="G4415" s="55"/>
      <c r="U4415" s="56"/>
      <c r="X4415" s="57"/>
    </row>
    <row r="4416">
      <c r="A4416" s="54"/>
      <c r="G4416" s="55"/>
      <c r="U4416" s="56"/>
      <c r="X4416" s="57"/>
    </row>
    <row r="4417">
      <c r="A4417" s="54"/>
      <c r="G4417" s="55"/>
      <c r="U4417" s="56"/>
      <c r="X4417" s="57"/>
    </row>
    <row r="4418">
      <c r="A4418" s="54"/>
      <c r="G4418" s="55"/>
      <c r="U4418" s="56"/>
      <c r="X4418" s="57"/>
    </row>
    <row r="4419">
      <c r="A4419" s="54"/>
      <c r="G4419" s="55"/>
      <c r="U4419" s="56"/>
      <c r="X4419" s="57"/>
    </row>
    <row r="4420">
      <c r="A4420" s="54"/>
      <c r="G4420" s="55"/>
      <c r="U4420" s="56"/>
      <c r="X4420" s="57"/>
    </row>
    <row r="4421">
      <c r="A4421" s="54"/>
      <c r="G4421" s="55"/>
      <c r="U4421" s="56"/>
      <c r="X4421" s="57"/>
    </row>
    <row r="4422">
      <c r="A4422" s="54"/>
      <c r="G4422" s="55"/>
      <c r="U4422" s="56"/>
      <c r="X4422" s="57"/>
    </row>
    <row r="4423">
      <c r="A4423" s="54"/>
      <c r="G4423" s="55"/>
      <c r="U4423" s="56"/>
      <c r="X4423" s="57"/>
    </row>
    <row r="4424">
      <c r="A4424" s="54"/>
      <c r="G4424" s="55"/>
      <c r="U4424" s="56"/>
      <c r="X4424" s="57"/>
    </row>
    <row r="4425">
      <c r="A4425" s="54"/>
      <c r="G4425" s="55"/>
      <c r="U4425" s="56"/>
      <c r="X4425" s="57"/>
    </row>
    <row r="4426">
      <c r="A4426" s="54"/>
      <c r="G4426" s="55"/>
      <c r="U4426" s="56"/>
      <c r="X4426" s="57"/>
    </row>
    <row r="4427">
      <c r="A4427" s="54"/>
      <c r="G4427" s="55"/>
      <c r="U4427" s="56"/>
      <c r="X4427" s="57"/>
    </row>
    <row r="4428">
      <c r="A4428" s="54"/>
      <c r="G4428" s="55"/>
      <c r="U4428" s="56"/>
      <c r="X4428" s="57"/>
    </row>
    <row r="4429">
      <c r="A4429" s="54"/>
      <c r="G4429" s="55"/>
      <c r="U4429" s="56"/>
      <c r="X4429" s="57"/>
    </row>
    <row r="4430">
      <c r="A4430" s="54"/>
      <c r="G4430" s="55"/>
      <c r="U4430" s="56"/>
      <c r="X4430" s="57"/>
    </row>
    <row r="4431">
      <c r="A4431" s="54"/>
      <c r="G4431" s="55"/>
      <c r="U4431" s="56"/>
      <c r="X4431" s="57"/>
    </row>
    <row r="4432">
      <c r="A4432" s="54"/>
      <c r="G4432" s="55"/>
      <c r="U4432" s="56"/>
      <c r="X4432" s="57"/>
    </row>
    <row r="4433">
      <c r="A4433" s="54"/>
      <c r="G4433" s="55"/>
      <c r="U4433" s="56"/>
      <c r="X4433" s="57"/>
    </row>
    <row r="4434">
      <c r="A4434" s="54"/>
      <c r="G4434" s="55"/>
      <c r="U4434" s="56"/>
      <c r="X4434" s="57"/>
    </row>
    <row r="4435">
      <c r="A4435" s="54"/>
      <c r="G4435" s="55"/>
      <c r="U4435" s="56"/>
      <c r="X4435" s="57"/>
    </row>
    <row r="4436">
      <c r="A4436" s="54"/>
      <c r="G4436" s="55"/>
      <c r="U4436" s="56"/>
      <c r="X4436" s="57"/>
    </row>
    <row r="4437">
      <c r="A4437" s="54"/>
      <c r="G4437" s="55"/>
      <c r="U4437" s="56"/>
      <c r="X4437" s="57"/>
    </row>
    <row r="4438">
      <c r="A4438" s="54"/>
      <c r="G4438" s="55"/>
      <c r="U4438" s="56"/>
      <c r="X4438" s="57"/>
    </row>
    <row r="4439">
      <c r="A4439" s="54"/>
      <c r="G4439" s="55"/>
      <c r="U4439" s="56"/>
      <c r="X4439" s="57"/>
    </row>
    <row r="4440">
      <c r="A4440" s="54"/>
      <c r="G4440" s="55"/>
      <c r="U4440" s="56"/>
      <c r="X4440" s="57"/>
    </row>
    <row r="4441">
      <c r="A4441" s="54"/>
      <c r="G4441" s="55"/>
      <c r="U4441" s="56"/>
      <c r="X4441" s="57"/>
    </row>
    <row r="4442">
      <c r="A4442" s="54"/>
      <c r="G4442" s="55"/>
      <c r="U4442" s="56"/>
      <c r="X4442" s="57"/>
    </row>
    <row r="4443">
      <c r="A4443" s="54"/>
      <c r="G4443" s="55"/>
      <c r="U4443" s="56"/>
      <c r="X4443" s="57"/>
    </row>
    <row r="4444">
      <c r="A4444" s="54"/>
      <c r="G4444" s="55"/>
      <c r="U4444" s="56"/>
      <c r="X4444" s="57"/>
    </row>
    <row r="4445">
      <c r="A4445" s="54"/>
      <c r="G4445" s="55"/>
      <c r="U4445" s="56"/>
      <c r="X4445" s="57"/>
    </row>
    <row r="4446">
      <c r="A4446" s="54"/>
      <c r="G4446" s="55"/>
      <c r="U4446" s="56"/>
      <c r="X4446" s="57"/>
    </row>
    <row r="4447">
      <c r="A4447" s="54"/>
      <c r="G4447" s="55"/>
      <c r="U4447" s="56"/>
      <c r="X4447" s="57"/>
    </row>
    <row r="4448">
      <c r="A4448" s="54"/>
      <c r="G4448" s="55"/>
      <c r="U4448" s="56"/>
      <c r="X4448" s="57"/>
    </row>
    <row r="4449">
      <c r="A4449" s="54"/>
      <c r="G4449" s="55"/>
      <c r="U4449" s="56"/>
      <c r="X4449" s="57"/>
    </row>
    <row r="4450">
      <c r="A4450" s="54"/>
      <c r="G4450" s="55"/>
      <c r="U4450" s="56"/>
      <c r="X4450" s="57"/>
    </row>
    <row r="4451">
      <c r="A4451" s="54"/>
      <c r="G4451" s="55"/>
      <c r="U4451" s="56"/>
      <c r="X4451" s="57"/>
    </row>
    <row r="4452">
      <c r="A4452" s="54"/>
      <c r="G4452" s="55"/>
      <c r="U4452" s="56"/>
      <c r="X4452" s="57"/>
    </row>
    <row r="4453">
      <c r="A4453" s="54"/>
      <c r="G4453" s="55"/>
      <c r="U4453" s="56"/>
      <c r="X4453" s="57"/>
    </row>
    <row r="4454">
      <c r="A4454" s="54"/>
      <c r="G4454" s="55"/>
      <c r="U4454" s="56"/>
      <c r="X4454" s="57"/>
    </row>
    <row r="4455">
      <c r="A4455" s="54"/>
      <c r="G4455" s="55"/>
      <c r="U4455" s="56"/>
      <c r="X4455" s="57"/>
    </row>
    <row r="4456">
      <c r="A4456" s="54"/>
      <c r="G4456" s="55"/>
      <c r="U4456" s="56"/>
      <c r="X4456" s="57"/>
    </row>
    <row r="4457">
      <c r="A4457" s="54"/>
      <c r="G4457" s="55"/>
      <c r="U4457" s="56"/>
      <c r="X4457" s="57"/>
    </row>
    <row r="4458">
      <c r="A4458" s="54"/>
      <c r="G4458" s="55"/>
      <c r="U4458" s="56"/>
      <c r="X4458" s="57"/>
    </row>
    <row r="4459">
      <c r="A4459" s="54"/>
      <c r="G4459" s="55"/>
      <c r="U4459" s="56"/>
      <c r="X4459" s="57"/>
    </row>
    <row r="4460">
      <c r="A4460" s="54"/>
      <c r="G4460" s="55"/>
      <c r="U4460" s="56"/>
      <c r="X4460" s="57"/>
    </row>
    <row r="4461">
      <c r="A4461" s="54"/>
      <c r="G4461" s="55"/>
      <c r="U4461" s="56"/>
      <c r="X4461" s="57"/>
    </row>
    <row r="4462">
      <c r="A4462" s="54"/>
      <c r="G4462" s="55"/>
      <c r="U4462" s="56"/>
      <c r="X4462" s="57"/>
    </row>
    <row r="4463">
      <c r="A4463" s="54"/>
      <c r="G4463" s="55"/>
      <c r="U4463" s="56"/>
      <c r="X4463" s="57"/>
    </row>
    <row r="4464">
      <c r="A4464" s="54"/>
      <c r="G4464" s="55"/>
      <c r="U4464" s="56"/>
      <c r="X4464" s="57"/>
    </row>
    <row r="4465">
      <c r="A4465" s="54"/>
      <c r="G4465" s="55"/>
      <c r="U4465" s="56"/>
      <c r="X4465" s="57"/>
    </row>
    <row r="4466">
      <c r="A4466" s="54"/>
      <c r="G4466" s="55"/>
      <c r="U4466" s="56"/>
      <c r="X4466" s="57"/>
    </row>
    <row r="4467">
      <c r="A4467" s="54"/>
      <c r="G4467" s="55"/>
      <c r="U4467" s="56"/>
      <c r="X4467" s="57"/>
    </row>
    <row r="4468">
      <c r="A4468" s="54"/>
      <c r="G4468" s="55"/>
      <c r="U4468" s="56"/>
      <c r="X4468" s="57"/>
    </row>
    <row r="4469">
      <c r="A4469" s="54"/>
      <c r="G4469" s="55"/>
      <c r="U4469" s="56"/>
      <c r="X4469" s="57"/>
    </row>
    <row r="4470">
      <c r="A4470" s="54"/>
      <c r="G4470" s="55"/>
      <c r="U4470" s="56"/>
      <c r="X4470" s="57"/>
    </row>
    <row r="4471">
      <c r="A4471" s="54"/>
      <c r="G4471" s="55"/>
      <c r="U4471" s="56"/>
      <c r="X4471" s="57"/>
    </row>
    <row r="4472">
      <c r="A4472" s="54"/>
      <c r="G4472" s="55"/>
      <c r="U4472" s="56"/>
      <c r="X4472" s="57"/>
    </row>
    <row r="4473">
      <c r="A4473" s="54"/>
      <c r="G4473" s="55"/>
      <c r="U4473" s="56"/>
      <c r="X4473" s="57"/>
    </row>
    <row r="4474">
      <c r="A4474" s="54"/>
      <c r="G4474" s="55"/>
      <c r="U4474" s="56"/>
      <c r="X4474" s="57"/>
    </row>
    <row r="4475">
      <c r="A4475" s="54"/>
      <c r="G4475" s="55"/>
      <c r="U4475" s="56"/>
      <c r="X4475" s="57"/>
    </row>
    <row r="4476">
      <c r="A4476" s="54"/>
      <c r="G4476" s="55"/>
      <c r="U4476" s="56"/>
      <c r="X4476" s="57"/>
    </row>
    <row r="4477">
      <c r="A4477" s="54"/>
      <c r="G4477" s="55"/>
      <c r="U4477" s="56"/>
      <c r="X4477" s="57"/>
    </row>
    <row r="4478">
      <c r="A4478" s="54"/>
      <c r="G4478" s="55"/>
      <c r="U4478" s="56"/>
      <c r="X4478" s="57"/>
    </row>
    <row r="4479">
      <c r="A4479" s="54"/>
      <c r="G4479" s="55"/>
      <c r="U4479" s="56"/>
      <c r="X4479" s="57"/>
    </row>
    <row r="4480">
      <c r="A4480" s="54"/>
      <c r="G4480" s="55"/>
      <c r="U4480" s="56"/>
      <c r="X4480" s="57"/>
    </row>
    <row r="4481">
      <c r="A4481" s="54"/>
      <c r="G4481" s="55"/>
      <c r="U4481" s="56"/>
      <c r="X4481" s="57"/>
    </row>
    <row r="4482">
      <c r="A4482" s="54"/>
      <c r="G4482" s="55"/>
      <c r="U4482" s="56"/>
      <c r="X4482" s="57"/>
    </row>
    <row r="4483">
      <c r="A4483" s="54"/>
      <c r="G4483" s="55"/>
      <c r="U4483" s="56"/>
      <c r="X4483" s="57"/>
    </row>
    <row r="4484">
      <c r="A4484" s="54"/>
      <c r="G4484" s="55"/>
      <c r="U4484" s="56"/>
      <c r="X4484" s="57"/>
    </row>
    <row r="4485">
      <c r="A4485" s="54"/>
      <c r="G4485" s="55"/>
      <c r="U4485" s="56"/>
      <c r="X4485" s="57"/>
    </row>
    <row r="4486">
      <c r="A4486" s="54"/>
      <c r="G4486" s="55"/>
      <c r="U4486" s="56"/>
      <c r="X4486" s="57"/>
    </row>
    <row r="4487">
      <c r="A4487" s="54"/>
      <c r="G4487" s="55"/>
      <c r="U4487" s="56"/>
      <c r="X4487" s="57"/>
    </row>
    <row r="4488">
      <c r="A4488" s="54"/>
      <c r="G4488" s="55"/>
      <c r="U4488" s="56"/>
      <c r="X4488" s="57"/>
    </row>
    <row r="4489">
      <c r="A4489" s="54"/>
      <c r="G4489" s="55"/>
      <c r="U4489" s="56"/>
      <c r="X4489" s="57"/>
    </row>
    <row r="4490">
      <c r="A4490" s="54"/>
      <c r="G4490" s="55"/>
      <c r="U4490" s="56"/>
      <c r="X4490" s="57"/>
    </row>
    <row r="4491">
      <c r="A4491" s="54"/>
      <c r="G4491" s="55"/>
      <c r="U4491" s="56"/>
      <c r="X4491" s="57"/>
    </row>
    <row r="4492">
      <c r="A4492" s="54"/>
      <c r="G4492" s="55"/>
      <c r="U4492" s="56"/>
      <c r="X4492" s="57"/>
    </row>
    <row r="4493">
      <c r="A4493" s="54"/>
      <c r="G4493" s="55"/>
      <c r="U4493" s="56"/>
      <c r="X4493" s="57"/>
    </row>
    <row r="4494">
      <c r="A4494" s="54"/>
      <c r="G4494" s="55"/>
      <c r="U4494" s="56"/>
      <c r="X4494" s="57"/>
    </row>
    <row r="4495">
      <c r="A4495" s="54"/>
      <c r="G4495" s="55"/>
      <c r="U4495" s="56"/>
      <c r="X4495" s="57"/>
    </row>
    <row r="4496">
      <c r="A4496" s="54"/>
      <c r="G4496" s="55"/>
      <c r="U4496" s="56"/>
      <c r="X4496" s="57"/>
    </row>
    <row r="4497">
      <c r="A4497" s="54"/>
      <c r="G4497" s="55"/>
      <c r="U4497" s="56"/>
      <c r="X4497" s="57"/>
    </row>
    <row r="4498">
      <c r="A4498" s="54"/>
      <c r="G4498" s="55"/>
      <c r="U4498" s="56"/>
      <c r="X4498" s="57"/>
    </row>
    <row r="4499">
      <c r="A4499" s="54"/>
      <c r="G4499" s="55"/>
      <c r="U4499" s="56"/>
      <c r="X4499" s="57"/>
    </row>
    <row r="4500">
      <c r="A4500" s="54"/>
      <c r="G4500" s="55"/>
      <c r="U4500" s="56"/>
      <c r="X4500" s="57"/>
    </row>
    <row r="4501">
      <c r="A4501" s="54"/>
      <c r="G4501" s="55"/>
      <c r="U4501" s="56"/>
      <c r="X4501" s="57"/>
    </row>
    <row r="4502">
      <c r="A4502" s="54"/>
      <c r="G4502" s="55"/>
      <c r="U4502" s="56"/>
      <c r="X4502" s="57"/>
    </row>
    <row r="4503">
      <c r="A4503" s="54"/>
      <c r="G4503" s="55"/>
      <c r="U4503" s="56"/>
      <c r="X4503" s="57"/>
    </row>
    <row r="4504">
      <c r="A4504" s="54"/>
      <c r="G4504" s="55"/>
      <c r="U4504" s="56"/>
      <c r="X4504" s="57"/>
    </row>
    <row r="4505">
      <c r="A4505" s="54"/>
      <c r="G4505" s="55"/>
      <c r="U4505" s="56"/>
      <c r="X4505" s="57"/>
    </row>
    <row r="4506">
      <c r="A4506" s="54"/>
      <c r="G4506" s="55"/>
      <c r="U4506" s="56"/>
      <c r="X4506" s="57"/>
    </row>
    <row r="4507">
      <c r="A4507" s="54"/>
      <c r="G4507" s="55"/>
      <c r="U4507" s="56"/>
      <c r="X4507" s="57"/>
    </row>
    <row r="4508">
      <c r="A4508" s="54"/>
      <c r="G4508" s="55"/>
      <c r="U4508" s="56"/>
      <c r="X4508" s="57"/>
    </row>
    <row r="4509">
      <c r="A4509" s="54"/>
      <c r="G4509" s="55"/>
      <c r="U4509" s="56"/>
      <c r="X4509" s="57"/>
    </row>
    <row r="4510">
      <c r="A4510" s="54"/>
      <c r="G4510" s="55"/>
      <c r="U4510" s="56"/>
      <c r="X4510" s="57"/>
    </row>
    <row r="4511">
      <c r="A4511" s="54"/>
      <c r="G4511" s="55"/>
      <c r="U4511" s="56"/>
      <c r="X4511" s="57"/>
    </row>
    <row r="4512">
      <c r="A4512" s="54"/>
      <c r="G4512" s="55"/>
      <c r="U4512" s="56"/>
      <c r="X4512" s="57"/>
    </row>
    <row r="4513">
      <c r="A4513" s="54"/>
      <c r="G4513" s="55"/>
      <c r="U4513" s="56"/>
      <c r="X4513" s="57"/>
    </row>
    <row r="4514">
      <c r="A4514" s="54"/>
      <c r="G4514" s="55"/>
      <c r="U4514" s="56"/>
      <c r="X4514" s="57"/>
    </row>
    <row r="4515">
      <c r="A4515" s="54"/>
      <c r="G4515" s="55"/>
      <c r="U4515" s="56"/>
      <c r="X4515" s="57"/>
    </row>
    <row r="4516">
      <c r="A4516" s="54"/>
      <c r="G4516" s="55"/>
      <c r="U4516" s="56"/>
      <c r="X4516" s="57"/>
    </row>
    <row r="4517">
      <c r="A4517" s="54"/>
      <c r="G4517" s="55"/>
      <c r="U4517" s="56"/>
      <c r="X4517" s="57"/>
    </row>
    <row r="4518">
      <c r="A4518" s="54"/>
      <c r="G4518" s="55"/>
      <c r="U4518" s="56"/>
      <c r="X4518" s="57"/>
    </row>
    <row r="4519">
      <c r="A4519" s="54"/>
      <c r="G4519" s="55"/>
      <c r="U4519" s="56"/>
      <c r="X4519" s="57"/>
    </row>
    <row r="4520">
      <c r="A4520" s="54"/>
      <c r="G4520" s="55"/>
      <c r="U4520" s="56"/>
      <c r="X4520" s="57"/>
    </row>
    <row r="4521">
      <c r="A4521" s="54"/>
      <c r="G4521" s="55"/>
      <c r="U4521" s="56"/>
      <c r="X4521" s="57"/>
    </row>
    <row r="4522">
      <c r="A4522" s="54"/>
      <c r="G4522" s="55"/>
      <c r="U4522" s="56"/>
      <c r="X4522" s="57"/>
    </row>
    <row r="4523">
      <c r="A4523" s="54"/>
      <c r="G4523" s="55"/>
      <c r="U4523" s="56"/>
      <c r="X4523" s="57"/>
    </row>
    <row r="4524">
      <c r="A4524" s="54"/>
      <c r="G4524" s="55"/>
      <c r="U4524" s="56"/>
      <c r="X4524" s="57"/>
    </row>
    <row r="4525">
      <c r="A4525" s="54"/>
      <c r="G4525" s="55"/>
      <c r="U4525" s="56"/>
      <c r="X4525" s="57"/>
    </row>
    <row r="4526">
      <c r="A4526" s="54"/>
      <c r="G4526" s="55"/>
      <c r="U4526" s="56"/>
      <c r="X4526" s="57"/>
    </row>
    <row r="4527">
      <c r="A4527" s="54"/>
      <c r="G4527" s="55"/>
      <c r="U4527" s="56"/>
      <c r="X4527" s="57"/>
    </row>
    <row r="4528">
      <c r="A4528" s="54"/>
      <c r="G4528" s="55"/>
      <c r="U4528" s="56"/>
      <c r="X4528" s="57"/>
    </row>
    <row r="4529">
      <c r="A4529" s="54"/>
      <c r="G4529" s="55"/>
      <c r="U4529" s="56"/>
      <c r="X4529" s="57"/>
    </row>
    <row r="4530">
      <c r="A4530" s="54"/>
      <c r="G4530" s="55"/>
      <c r="U4530" s="56"/>
      <c r="X4530" s="57"/>
    </row>
    <row r="4531">
      <c r="A4531" s="54"/>
      <c r="G4531" s="55"/>
      <c r="U4531" s="56"/>
      <c r="X4531" s="57"/>
    </row>
    <row r="4532">
      <c r="A4532" s="54"/>
      <c r="G4532" s="55"/>
      <c r="U4532" s="56"/>
      <c r="X4532" s="57"/>
    </row>
    <row r="4533">
      <c r="A4533" s="54"/>
      <c r="G4533" s="55"/>
      <c r="U4533" s="56"/>
      <c r="X4533" s="57"/>
    </row>
    <row r="4534">
      <c r="A4534" s="54"/>
      <c r="G4534" s="55"/>
      <c r="U4534" s="56"/>
      <c r="X4534" s="57"/>
    </row>
    <row r="4535">
      <c r="A4535" s="54"/>
      <c r="G4535" s="55"/>
      <c r="U4535" s="56"/>
      <c r="X4535" s="57"/>
    </row>
    <row r="4536">
      <c r="A4536" s="54"/>
      <c r="G4536" s="55"/>
      <c r="U4536" s="56"/>
      <c r="X4536" s="57"/>
    </row>
    <row r="4537">
      <c r="A4537" s="54"/>
      <c r="G4537" s="55"/>
      <c r="U4537" s="56"/>
      <c r="X4537" s="57"/>
    </row>
    <row r="4538">
      <c r="A4538" s="54"/>
      <c r="G4538" s="55"/>
      <c r="U4538" s="56"/>
      <c r="X4538" s="57"/>
    </row>
    <row r="4539">
      <c r="A4539" s="54"/>
      <c r="G4539" s="55"/>
      <c r="U4539" s="56"/>
      <c r="X4539" s="57"/>
    </row>
    <row r="4540">
      <c r="A4540" s="54"/>
      <c r="G4540" s="55"/>
      <c r="U4540" s="56"/>
      <c r="X4540" s="57"/>
    </row>
    <row r="4541">
      <c r="A4541" s="54"/>
      <c r="G4541" s="55"/>
      <c r="U4541" s="56"/>
      <c r="X4541" s="57"/>
    </row>
    <row r="4542">
      <c r="A4542" s="54"/>
      <c r="G4542" s="55"/>
      <c r="U4542" s="56"/>
      <c r="X4542" s="57"/>
    </row>
    <row r="4543">
      <c r="A4543" s="54"/>
      <c r="G4543" s="55"/>
      <c r="U4543" s="56"/>
      <c r="X4543" s="57"/>
    </row>
    <row r="4544">
      <c r="A4544" s="54"/>
      <c r="G4544" s="55"/>
      <c r="U4544" s="56"/>
      <c r="X4544" s="57"/>
    </row>
    <row r="4545">
      <c r="A4545" s="54"/>
      <c r="G4545" s="55"/>
      <c r="U4545" s="56"/>
      <c r="X4545" s="57"/>
    </row>
    <row r="4546">
      <c r="A4546" s="54"/>
      <c r="G4546" s="55"/>
      <c r="U4546" s="56"/>
      <c r="X4546" s="57"/>
    </row>
    <row r="4547">
      <c r="A4547" s="54"/>
      <c r="G4547" s="55"/>
      <c r="U4547" s="56"/>
      <c r="X4547" s="57"/>
    </row>
    <row r="4548">
      <c r="A4548" s="54"/>
      <c r="G4548" s="55"/>
      <c r="U4548" s="56"/>
      <c r="X4548" s="57"/>
    </row>
    <row r="4549">
      <c r="A4549" s="54"/>
      <c r="G4549" s="55"/>
      <c r="U4549" s="56"/>
      <c r="X4549" s="57"/>
    </row>
    <row r="4550">
      <c r="A4550" s="54"/>
      <c r="G4550" s="55"/>
      <c r="U4550" s="56"/>
      <c r="X4550" s="57"/>
    </row>
    <row r="4551">
      <c r="A4551" s="54"/>
      <c r="G4551" s="55"/>
      <c r="U4551" s="56"/>
      <c r="X4551" s="57"/>
    </row>
    <row r="4552">
      <c r="A4552" s="54"/>
      <c r="G4552" s="55"/>
      <c r="U4552" s="56"/>
      <c r="X4552" s="57"/>
    </row>
    <row r="4553">
      <c r="A4553" s="54"/>
      <c r="G4553" s="55"/>
      <c r="U4553" s="56"/>
      <c r="X4553" s="57"/>
    </row>
    <row r="4554">
      <c r="A4554" s="54"/>
      <c r="G4554" s="55"/>
      <c r="U4554" s="56"/>
      <c r="X4554" s="57"/>
    </row>
    <row r="4555">
      <c r="A4555" s="54"/>
      <c r="G4555" s="55"/>
      <c r="U4555" s="56"/>
      <c r="X4555" s="57"/>
    </row>
    <row r="4556">
      <c r="A4556" s="54"/>
      <c r="G4556" s="55"/>
      <c r="U4556" s="56"/>
      <c r="X4556" s="57"/>
    </row>
    <row r="4557">
      <c r="A4557" s="54"/>
      <c r="G4557" s="55"/>
      <c r="U4557" s="56"/>
      <c r="X4557" s="57"/>
    </row>
    <row r="4558">
      <c r="A4558" s="54"/>
      <c r="G4558" s="55"/>
      <c r="U4558" s="56"/>
      <c r="X4558" s="57"/>
    </row>
    <row r="4559">
      <c r="A4559" s="54"/>
      <c r="G4559" s="55"/>
      <c r="U4559" s="56"/>
      <c r="X4559" s="57"/>
    </row>
    <row r="4560">
      <c r="A4560" s="54"/>
      <c r="G4560" s="55"/>
      <c r="U4560" s="56"/>
      <c r="X4560" s="57"/>
    </row>
    <row r="4561">
      <c r="A4561" s="54"/>
      <c r="G4561" s="55"/>
      <c r="U4561" s="56"/>
      <c r="X4561" s="57"/>
    </row>
    <row r="4562">
      <c r="A4562" s="54"/>
      <c r="G4562" s="55"/>
      <c r="U4562" s="56"/>
      <c r="X4562" s="57"/>
    </row>
    <row r="4563">
      <c r="A4563" s="54"/>
      <c r="G4563" s="55"/>
      <c r="U4563" s="56"/>
      <c r="X4563" s="57"/>
    </row>
    <row r="4564">
      <c r="A4564" s="54"/>
      <c r="G4564" s="55"/>
      <c r="U4564" s="56"/>
      <c r="X4564" s="57"/>
    </row>
    <row r="4565">
      <c r="A4565" s="54"/>
      <c r="G4565" s="55"/>
      <c r="U4565" s="56"/>
      <c r="X4565" s="57"/>
    </row>
    <row r="4566">
      <c r="A4566" s="54"/>
      <c r="G4566" s="55"/>
      <c r="U4566" s="56"/>
      <c r="X4566" s="57"/>
    </row>
    <row r="4567">
      <c r="A4567" s="54"/>
      <c r="G4567" s="55"/>
      <c r="U4567" s="56"/>
      <c r="X4567" s="57"/>
    </row>
    <row r="4568">
      <c r="A4568" s="54"/>
      <c r="G4568" s="55"/>
      <c r="U4568" s="56"/>
      <c r="X4568" s="57"/>
    </row>
    <row r="4569">
      <c r="A4569" s="54"/>
      <c r="G4569" s="55"/>
      <c r="U4569" s="56"/>
      <c r="X4569" s="57"/>
    </row>
    <row r="4570">
      <c r="A4570" s="54"/>
      <c r="G4570" s="55"/>
      <c r="U4570" s="56"/>
      <c r="X4570" s="57"/>
    </row>
    <row r="4571">
      <c r="A4571" s="54"/>
      <c r="G4571" s="55"/>
      <c r="U4571" s="56"/>
      <c r="X4571" s="57"/>
    </row>
    <row r="4572">
      <c r="A4572" s="54"/>
      <c r="G4572" s="55"/>
      <c r="U4572" s="56"/>
      <c r="X4572" s="57"/>
    </row>
    <row r="4573">
      <c r="A4573" s="54"/>
      <c r="G4573" s="55"/>
      <c r="U4573" s="56"/>
      <c r="X4573" s="57"/>
    </row>
    <row r="4574">
      <c r="A4574" s="54"/>
      <c r="G4574" s="55"/>
      <c r="U4574" s="56"/>
      <c r="X4574" s="57"/>
    </row>
    <row r="4575">
      <c r="A4575" s="54"/>
      <c r="G4575" s="55"/>
      <c r="U4575" s="56"/>
      <c r="X4575" s="57"/>
    </row>
    <row r="4576">
      <c r="A4576" s="54"/>
      <c r="G4576" s="55"/>
      <c r="U4576" s="56"/>
      <c r="X4576" s="57"/>
    </row>
    <row r="4577">
      <c r="A4577" s="54"/>
      <c r="G4577" s="55"/>
      <c r="U4577" s="56"/>
      <c r="X4577" s="57"/>
    </row>
    <row r="4578">
      <c r="A4578" s="54"/>
      <c r="G4578" s="55"/>
      <c r="U4578" s="56"/>
      <c r="X4578" s="57"/>
    </row>
    <row r="4579">
      <c r="A4579" s="54"/>
      <c r="G4579" s="55"/>
      <c r="U4579" s="56"/>
      <c r="X4579" s="57"/>
    </row>
    <row r="4580">
      <c r="A4580" s="54"/>
      <c r="G4580" s="55"/>
      <c r="U4580" s="56"/>
      <c r="X4580" s="57"/>
    </row>
    <row r="4581">
      <c r="A4581" s="54"/>
      <c r="G4581" s="55"/>
      <c r="U4581" s="56"/>
      <c r="X4581" s="57"/>
    </row>
    <row r="4582">
      <c r="A4582" s="54"/>
      <c r="G4582" s="55"/>
      <c r="U4582" s="56"/>
      <c r="X4582" s="57"/>
    </row>
    <row r="4583">
      <c r="A4583" s="54"/>
      <c r="G4583" s="55"/>
      <c r="U4583" s="56"/>
      <c r="X4583" s="57"/>
    </row>
    <row r="4584">
      <c r="A4584" s="54"/>
      <c r="G4584" s="55"/>
      <c r="U4584" s="56"/>
      <c r="X4584" s="57"/>
    </row>
    <row r="4585">
      <c r="A4585" s="54"/>
      <c r="G4585" s="55"/>
      <c r="U4585" s="56"/>
      <c r="X4585" s="57"/>
    </row>
    <row r="4586">
      <c r="A4586" s="54"/>
      <c r="G4586" s="55"/>
      <c r="U4586" s="56"/>
      <c r="X4586" s="57"/>
    </row>
    <row r="4587">
      <c r="A4587" s="54"/>
      <c r="G4587" s="55"/>
      <c r="U4587" s="56"/>
      <c r="X4587" s="57"/>
    </row>
    <row r="4588">
      <c r="A4588" s="54"/>
      <c r="G4588" s="55"/>
      <c r="U4588" s="56"/>
      <c r="X4588" s="57"/>
    </row>
    <row r="4589">
      <c r="A4589" s="54"/>
      <c r="G4589" s="55"/>
      <c r="U4589" s="56"/>
      <c r="X4589" s="57"/>
    </row>
    <row r="4590">
      <c r="A4590" s="54"/>
      <c r="G4590" s="55"/>
      <c r="U4590" s="56"/>
      <c r="X4590" s="57"/>
    </row>
    <row r="4591">
      <c r="A4591" s="54"/>
      <c r="G4591" s="55"/>
      <c r="U4591" s="56"/>
      <c r="X4591" s="57"/>
    </row>
    <row r="4592">
      <c r="A4592" s="54"/>
      <c r="G4592" s="55"/>
      <c r="U4592" s="56"/>
      <c r="X4592" s="57"/>
    </row>
    <row r="4593">
      <c r="A4593" s="54"/>
      <c r="G4593" s="55"/>
      <c r="U4593" s="56"/>
      <c r="X4593" s="57"/>
    </row>
    <row r="4594">
      <c r="A4594" s="54"/>
      <c r="G4594" s="55"/>
      <c r="U4594" s="56"/>
      <c r="X4594" s="57"/>
    </row>
    <row r="4595">
      <c r="A4595" s="54"/>
      <c r="G4595" s="55"/>
      <c r="U4595" s="56"/>
      <c r="X4595" s="57"/>
    </row>
    <row r="4596">
      <c r="A4596" s="54"/>
      <c r="G4596" s="55"/>
      <c r="U4596" s="56"/>
      <c r="X4596" s="57"/>
    </row>
    <row r="4597">
      <c r="A4597" s="54"/>
      <c r="G4597" s="55"/>
      <c r="U4597" s="56"/>
      <c r="X4597" s="57"/>
    </row>
    <row r="4598">
      <c r="A4598" s="54"/>
      <c r="G4598" s="55"/>
      <c r="U4598" s="56"/>
      <c r="X4598" s="57"/>
    </row>
    <row r="4599">
      <c r="A4599" s="54"/>
      <c r="G4599" s="55"/>
      <c r="U4599" s="56"/>
      <c r="X4599" s="57"/>
    </row>
    <row r="4600">
      <c r="A4600" s="54"/>
      <c r="G4600" s="55"/>
      <c r="U4600" s="56"/>
      <c r="X4600" s="57"/>
    </row>
    <row r="4601">
      <c r="A4601" s="54"/>
      <c r="G4601" s="55"/>
      <c r="U4601" s="56"/>
      <c r="X4601" s="57"/>
    </row>
    <row r="4602">
      <c r="A4602" s="54"/>
      <c r="G4602" s="55"/>
      <c r="U4602" s="56"/>
      <c r="X4602" s="57"/>
    </row>
    <row r="4603">
      <c r="A4603" s="54"/>
      <c r="G4603" s="55"/>
      <c r="U4603" s="56"/>
      <c r="X4603" s="57"/>
    </row>
    <row r="4604">
      <c r="A4604" s="54"/>
      <c r="G4604" s="55"/>
      <c r="U4604" s="56"/>
      <c r="X4604" s="57"/>
    </row>
    <row r="4605">
      <c r="A4605" s="54"/>
      <c r="G4605" s="55"/>
      <c r="U4605" s="56"/>
      <c r="X4605" s="57"/>
    </row>
    <row r="4606">
      <c r="A4606" s="54"/>
      <c r="G4606" s="55"/>
      <c r="U4606" s="56"/>
      <c r="X4606" s="57"/>
    </row>
    <row r="4607">
      <c r="A4607" s="54"/>
      <c r="G4607" s="55"/>
      <c r="U4607" s="56"/>
      <c r="X4607" s="57"/>
    </row>
    <row r="4608">
      <c r="A4608" s="54"/>
      <c r="G4608" s="55"/>
      <c r="U4608" s="56"/>
      <c r="X4608" s="57"/>
    </row>
    <row r="4609">
      <c r="A4609" s="54"/>
      <c r="G4609" s="55"/>
      <c r="U4609" s="56"/>
      <c r="X4609" s="57"/>
    </row>
    <row r="4610">
      <c r="A4610" s="54"/>
      <c r="G4610" s="55"/>
      <c r="U4610" s="56"/>
      <c r="X4610" s="57"/>
    </row>
    <row r="4611">
      <c r="A4611" s="54"/>
      <c r="G4611" s="55"/>
      <c r="U4611" s="56"/>
      <c r="X4611" s="57"/>
    </row>
    <row r="4612">
      <c r="A4612" s="54"/>
      <c r="G4612" s="55"/>
      <c r="U4612" s="56"/>
      <c r="X4612" s="57"/>
    </row>
    <row r="4613">
      <c r="A4613" s="54"/>
      <c r="G4613" s="55"/>
      <c r="U4613" s="56"/>
      <c r="X4613" s="57"/>
    </row>
    <row r="4614">
      <c r="A4614" s="54"/>
      <c r="G4614" s="55"/>
      <c r="U4614" s="56"/>
      <c r="X4614" s="57"/>
    </row>
    <row r="4615">
      <c r="A4615" s="54"/>
      <c r="G4615" s="55"/>
      <c r="U4615" s="56"/>
      <c r="X4615" s="57"/>
    </row>
    <row r="4616">
      <c r="A4616" s="54"/>
      <c r="G4616" s="55"/>
      <c r="U4616" s="56"/>
      <c r="X4616" s="57"/>
    </row>
    <row r="4617">
      <c r="A4617" s="54"/>
      <c r="G4617" s="55"/>
      <c r="U4617" s="56"/>
      <c r="X4617" s="57"/>
    </row>
    <row r="4618">
      <c r="A4618" s="54"/>
      <c r="G4618" s="55"/>
      <c r="U4618" s="56"/>
      <c r="X4618" s="57"/>
    </row>
    <row r="4619">
      <c r="A4619" s="54"/>
      <c r="G4619" s="55"/>
      <c r="U4619" s="56"/>
      <c r="X4619" s="57"/>
    </row>
    <row r="4620">
      <c r="A4620" s="54"/>
      <c r="G4620" s="55"/>
      <c r="U4620" s="56"/>
      <c r="X4620" s="57"/>
    </row>
    <row r="4621">
      <c r="A4621" s="54"/>
      <c r="G4621" s="55"/>
      <c r="U4621" s="56"/>
      <c r="X4621" s="57"/>
    </row>
    <row r="4622">
      <c r="A4622" s="54"/>
      <c r="G4622" s="55"/>
      <c r="U4622" s="56"/>
      <c r="X4622" s="57"/>
    </row>
    <row r="4623">
      <c r="A4623" s="54"/>
      <c r="G4623" s="55"/>
      <c r="U4623" s="56"/>
      <c r="X4623" s="57"/>
    </row>
    <row r="4624">
      <c r="A4624" s="54"/>
      <c r="G4624" s="55"/>
      <c r="U4624" s="56"/>
      <c r="X4624" s="57"/>
    </row>
    <row r="4625">
      <c r="A4625" s="54"/>
      <c r="G4625" s="55"/>
      <c r="U4625" s="56"/>
      <c r="X4625" s="57"/>
    </row>
    <row r="4626">
      <c r="A4626" s="54"/>
      <c r="G4626" s="55"/>
      <c r="U4626" s="56"/>
      <c r="X4626" s="57"/>
    </row>
    <row r="4627">
      <c r="A4627" s="54"/>
      <c r="G4627" s="55"/>
      <c r="U4627" s="56"/>
      <c r="X4627" s="57"/>
    </row>
    <row r="4628">
      <c r="A4628" s="54"/>
      <c r="G4628" s="55"/>
      <c r="U4628" s="56"/>
      <c r="X4628" s="57"/>
    </row>
    <row r="4629">
      <c r="A4629" s="54"/>
      <c r="G4629" s="55"/>
      <c r="U4629" s="56"/>
      <c r="X4629" s="57"/>
    </row>
    <row r="4630">
      <c r="A4630" s="54"/>
      <c r="G4630" s="55"/>
      <c r="U4630" s="56"/>
      <c r="X4630" s="57"/>
    </row>
    <row r="4631">
      <c r="A4631" s="54"/>
      <c r="G4631" s="55"/>
      <c r="U4631" s="56"/>
      <c r="X4631" s="57"/>
    </row>
    <row r="4632">
      <c r="A4632" s="54"/>
      <c r="G4632" s="55"/>
      <c r="U4632" s="56"/>
      <c r="X4632" s="57"/>
    </row>
    <row r="4633">
      <c r="A4633" s="54"/>
      <c r="G4633" s="55"/>
      <c r="U4633" s="56"/>
      <c r="X4633" s="57"/>
    </row>
    <row r="4634">
      <c r="A4634" s="54"/>
      <c r="G4634" s="55"/>
      <c r="U4634" s="56"/>
      <c r="X4634" s="57"/>
    </row>
    <row r="4635">
      <c r="A4635" s="54"/>
      <c r="G4635" s="55"/>
      <c r="U4635" s="56"/>
      <c r="X4635" s="57"/>
    </row>
    <row r="4636">
      <c r="A4636" s="54"/>
      <c r="G4636" s="55"/>
      <c r="U4636" s="56"/>
      <c r="X4636" s="57"/>
    </row>
    <row r="4637">
      <c r="A4637" s="54"/>
      <c r="G4637" s="55"/>
      <c r="U4637" s="56"/>
      <c r="X4637" s="57"/>
    </row>
    <row r="4638">
      <c r="A4638" s="54"/>
      <c r="G4638" s="55"/>
      <c r="U4638" s="56"/>
      <c r="X4638" s="57"/>
    </row>
    <row r="4639">
      <c r="A4639" s="54"/>
      <c r="G4639" s="55"/>
      <c r="U4639" s="56"/>
      <c r="X4639" s="57"/>
    </row>
    <row r="4640">
      <c r="A4640" s="54"/>
      <c r="G4640" s="55"/>
      <c r="U4640" s="56"/>
      <c r="X4640" s="57"/>
    </row>
    <row r="4641">
      <c r="A4641" s="54"/>
      <c r="G4641" s="55"/>
      <c r="U4641" s="56"/>
      <c r="X4641" s="57"/>
    </row>
    <row r="4642">
      <c r="A4642" s="54"/>
      <c r="G4642" s="55"/>
      <c r="U4642" s="56"/>
      <c r="X4642" s="57"/>
    </row>
    <row r="4643">
      <c r="A4643" s="54"/>
      <c r="G4643" s="55"/>
      <c r="U4643" s="56"/>
      <c r="X4643" s="57"/>
    </row>
    <row r="4644">
      <c r="A4644" s="54"/>
      <c r="G4644" s="55"/>
      <c r="U4644" s="56"/>
      <c r="X4644" s="57"/>
    </row>
    <row r="4645">
      <c r="A4645" s="54"/>
      <c r="G4645" s="55"/>
      <c r="U4645" s="56"/>
      <c r="X4645" s="57"/>
    </row>
    <row r="4646">
      <c r="A4646" s="54"/>
      <c r="G4646" s="55"/>
      <c r="U4646" s="56"/>
      <c r="X4646" s="57"/>
    </row>
    <row r="4647">
      <c r="A4647" s="54"/>
      <c r="G4647" s="55"/>
      <c r="U4647" s="56"/>
      <c r="X4647" s="57"/>
    </row>
    <row r="4648">
      <c r="A4648" s="54"/>
      <c r="G4648" s="55"/>
      <c r="U4648" s="56"/>
      <c r="X4648" s="57"/>
    </row>
    <row r="4649">
      <c r="A4649" s="54"/>
      <c r="G4649" s="55"/>
      <c r="U4649" s="56"/>
      <c r="X4649" s="57"/>
    </row>
    <row r="4650">
      <c r="A4650" s="54"/>
      <c r="G4650" s="55"/>
      <c r="U4650" s="56"/>
      <c r="X4650" s="57"/>
    </row>
    <row r="4651">
      <c r="A4651" s="54"/>
      <c r="G4651" s="55"/>
      <c r="U4651" s="56"/>
      <c r="X4651" s="57"/>
    </row>
    <row r="4652">
      <c r="A4652" s="54"/>
      <c r="G4652" s="55"/>
      <c r="U4652" s="56"/>
      <c r="X4652" s="57"/>
    </row>
    <row r="4653">
      <c r="A4653" s="54"/>
      <c r="G4653" s="55"/>
      <c r="U4653" s="56"/>
      <c r="X4653" s="57"/>
    </row>
    <row r="4654">
      <c r="A4654" s="54"/>
      <c r="G4654" s="55"/>
      <c r="U4654" s="56"/>
      <c r="X4654" s="57"/>
    </row>
    <row r="4655">
      <c r="A4655" s="54"/>
      <c r="G4655" s="55"/>
      <c r="U4655" s="56"/>
      <c r="X4655" s="57"/>
    </row>
    <row r="4656">
      <c r="A4656" s="54"/>
      <c r="G4656" s="55"/>
      <c r="U4656" s="56"/>
      <c r="X4656" s="57"/>
    </row>
    <row r="4657">
      <c r="A4657" s="54"/>
      <c r="G4657" s="55"/>
      <c r="U4657" s="56"/>
      <c r="X4657" s="57"/>
    </row>
    <row r="4658">
      <c r="A4658" s="54"/>
      <c r="G4658" s="55"/>
      <c r="U4658" s="56"/>
      <c r="X4658" s="57"/>
    </row>
    <row r="4659">
      <c r="A4659" s="54"/>
      <c r="G4659" s="55"/>
      <c r="U4659" s="56"/>
      <c r="X4659" s="57"/>
    </row>
    <row r="4660">
      <c r="A4660" s="54"/>
      <c r="G4660" s="55"/>
      <c r="U4660" s="56"/>
      <c r="X4660" s="57"/>
    </row>
    <row r="4661">
      <c r="A4661" s="54"/>
      <c r="G4661" s="55"/>
      <c r="U4661" s="56"/>
      <c r="X4661" s="57"/>
    </row>
    <row r="4662">
      <c r="A4662" s="54"/>
      <c r="G4662" s="55"/>
      <c r="U4662" s="56"/>
      <c r="X4662" s="57"/>
    </row>
    <row r="4663">
      <c r="A4663" s="54"/>
      <c r="G4663" s="55"/>
      <c r="U4663" s="56"/>
      <c r="X4663" s="57"/>
    </row>
    <row r="4664">
      <c r="A4664" s="54"/>
      <c r="G4664" s="55"/>
      <c r="U4664" s="56"/>
      <c r="X4664" s="57"/>
    </row>
    <row r="4665">
      <c r="A4665" s="54"/>
      <c r="G4665" s="55"/>
      <c r="U4665" s="56"/>
      <c r="X4665" s="57"/>
    </row>
    <row r="4666">
      <c r="A4666" s="54"/>
      <c r="G4666" s="55"/>
      <c r="U4666" s="56"/>
      <c r="X4666" s="57"/>
    </row>
    <row r="4667">
      <c r="A4667" s="54"/>
      <c r="G4667" s="55"/>
      <c r="U4667" s="56"/>
      <c r="X4667" s="57"/>
    </row>
    <row r="4668">
      <c r="A4668" s="54"/>
      <c r="G4668" s="55"/>
      <c r="U4668" s="56"/>
      <c r="X4668" s="57"/>
    </row>
    <row r="4669">
      <c r="A4669" s="54"/>
      <c r="G4669" s="55"/>
      <c r="U4669" s="56"/>
      <c r="X4669" s="57"/>
    </row>
    <row r="4670">
      <c r="A4670" s="54"/>
      <c r="G4670" s="55"/>
      <c r="U4670" s="56"/>
      <c r="X4670" s="57"/>
    </row>
    <row r="4671">
      <c r="A4671" s="54"/>
      <c r="G4671" s="55"/>
      <c r="U4671" s="56"/>
      <c r="X4671" s="57"/>
    </row>
    <row r="4672">
      <c r="A4672" s="54"/>
      <c r="G4672" s="55"/>
      <c r="U4672" s="56"/>
      <c r="X4672" s="57"/>
    </row>
    <row r="4673">
      <c r="A4673" s="54"/>
      <c r="G4673" s="55"/>
      <c r="U4673" s="56"/>
      <c r="X4673" s="57"/>
    </row>
    <row r="4674">
      <c r="A4674" s="54"/>
      <c r="G4674" s="55"/>
      <c r="U4674" s="56"/>
      <c r="X4674" s="57"/>
    </row>
    <row r="4675">
      <c r="A4675" s="54"/>
      <c r="G4675" s="55"/>
      <c r="U4675" s="56"/>
      <c r="X4675" s="57"/>
    </row>
    <row r="4676">
      <c r="A4676" s="54"/>
      <c r="G4676" s="55"/>
      <c r="U4676" s="56"/>
      <c r="X4676" s="57"/>
    </row>
    <row r="4677">
      <c r="A4677" s="54"/>
      <c r="G4677" s="55"/>
      <c r="U4677" s="56"/>
      <c r="X4677" s="57"/>
    </row>
    <row r="4678">
      <c r="A4678" s="54"/>
      <c r="G4678" s="55"/>
      <c r="U4678" s="56"/>
      <c r="X4678" s="57"/>
    </row>
    <row r="4679">
      <c r="A4679" s="54"/>
      <c r="G4679" s="55"/>
      <c r="U4679" s="56"/>
      <c r="X4679" s="57"/>
    </row>
    <row r="4680">
      <c r="A4680" s="54"/>
      <c r="G4680" s="55"/>
      <c r="U4680" s="56"/>
      <c r="X4680" s="57"/>
    </row>
    <row r="4681">
      <c r="A4681" s="54"/>
      <c r="G4681" s="55"/>
      <c r="U4681" s="56"/>
      <c r="X4681" s="57"/>
    </row>
    <row r="4682">
      <c r="A4682" s="54"/>
      <c r="G4682" s="55"/>
      <c r="U4682" s="56"/>
      <c r="X4682" s="57"/>
    </row>
    <row r="4683">
      <c r="A4683" s="54"/>
      <c r="G4683" s="55"/>
      <c r="U4683" s="56"/>
      <c r="X4683" s="57"/>
    </row>
    <row r="4684">
      <c r="A4684" s="54"/>
      <c r="G4684" s="55"/>
      <c r="U4684" s="56"/>
      <c r="X4684" s="57"/>
    </row>
    <row r="4685">
      <c r="A4685" s="54"/>
      <c r="G4685" s="55"/>
      <c r="U4685" s="56"/>
      <c r="X4685" s="57"/>
    </row>
    <row r="4686">
      <c r="A4686" s="54"/>
      <c r="G4686" s="55"/>
      <c r="U4686" s="56"/>
      <c r="X4686" s="57"/>
    </row>
    <row r="4687">
      <c r="A4687" s="54"/>
      <c r="G4687" s="55"/>
      <c r="U4687" s="56"/>
      <c r="X4687" s="57"/>
    </row>
    <row r="4688">
      <c r="A4688" s="54"/>
      <c r="G4688" s="55"/>
      <c r="U4688" s="56"/>
      <c r="X4688" s="57"/>
    </row>
    <row r="4689">
      <c r="A4689" s="54"/>
      <c r="G4689" s="55"/>
      <c r="U4689" s="56"/>
      <c r="X4689" s="57"/>
    </row>
    <row r="4690">
      <c r="A4690" s="54"/>
      <c r="G4690" s="55"/>
      <c r="U4690" s="56"/>
      <c r="X4690" s="57"/>
    </row>
    <row r="4691">
      <c r="A4691" s="54"/>
      <c r="G4691" s="55"/>
      <c r="U4691" s="56"/>
      <c r="X4691" s="57"/>
    </row>
    <row r="4692">
      <c r="A4692" s="54"/>
      <c r="G4692" s="55"/>
      <c r="U4692" s="56"/>
      <c r="X4692" s="57"/>
    </row>
    <row r="4693">
      <c r="A4693" s="54"/>
      <c r="G4693" s="55"/>
      <c r="U4693" s="56"/>
      <c r="X4693" s="57"/>
    </row>
    <row r="4694">
      <c r="A4694" s="54"/>
      <c r="G4694" s="55"/>
      <c r="U4694" s="56"/>
      <c r="X4694" s="57"/>
    </row>
    <row r="4695">
      <c r="A4695" s="54"/>
      <c r="G4695" s="55"/>
      <c r="U4695" s="56"/>
      <c r="X4695" s="57"/>
    </row>
    <row r="4696">
      <c r="A4696" s="54"/>
      <c r="G4696" s="55"/>
      <c r="U4696" s="56"/>
      <c r="X4696" s="57"/>
    </row>
    <row r="4697">
      <c r="A4697" s="54"/>
      <c r="G4697" s="55"/>
      <c r="U4697" s="56"/>
      <c r="X4697" s="57"/>
    </row>
    <row r="4698">
      <c r="A4698" s="54"/>
      <c r="G4698" s="55"/>
      <c r="U4698" s="56"/>
      <c r="X4698" s="57"/>
    </row>
    <row r="4699">
      <c r="A4699" s="54"/>
      <c r="G4699" s="55"/>
      <c r="U4699" s="56"/>
      <c r="X4699" s="57"/>
    </row>
    <row r="4700">
      <c r="A4700" s="54"/>
      <c r="G4700" s="55"/>
      <c r="U4700" s="56"/>
      <c r="X4700" s="57"/>
    </row>
    <row r="4701">
      <c r="A4701" s="54"/>
      <c r="G4701" s="55"/>
      <c r="U4701" s="56"/>
      <c r="X4701" s="57"/>
    </row>
    <row r="4702">
      <c r="A4702" s="54"/>
      <c r="G4702" s="55"/>
      <c r="U4702" s="56"/>
      <c r="X4702" s="57"/>
    </row>
    <row r="4703">
      <c r="A4703" s="54"/>
      <c r="G4703" s="55"/>
      <c r="U4703" s="56"/>
      <c r="X4703" s="57"/>
    </row>
    <row r="4704">
      <c r="A4704" s="54"/>
      <c r="G4704" s="55"/>
      <c r="U4704" s="56"/>
      <c r="X4704" s="57"/>
    </row>
    <row r="4705">
      <c r="A4705" s="54"/>
      <c r="G4705" s="55"/>
      <c r="U4705" s="56"/>
      <c r="X4705" s="57"/>
    </row>
    <row r="4706">
      <c r="A4706" s="54"/>
      <c r="G4706" s="55"/>
      <c r="U4706" s="56"/>
      <c r="X4706" s="57"/>
    </row>
    <row r="4707">
      <c r="A4707" s="54"/>
      <c r="G4707" s="55"/>
      <c r="U4707" s="56"/>
      <c r="X4707" s="57"/>
    </row>
    <row r="4708">
      <c r="A4708" s="54"/>
      <c r="G4708" s="55"/>
      <c r="U4708" s="56"/>
      <c r="X4708" s="57"/>
    </row>
    <row r="4709">
      <c r="A4709" s="54"/>
      <c r="G4709" s="55"/>
      <c r="U4709" s="56"/>
      <c r="X4709" s="57"/>
    </row>
    <row r="4710">
      <c r="A4710" s="54"/>
      <c r="G4710" s="55"/>
      <c r="U4710" s="56"/>
      <c r="X4710" s="57"/>
    </row>
    <row r="4711">
      <c r="A4711" s="54"/>
      <c r="G4711" s="55"/>
      <c r="U4711" s="56"/>
      <c r="X4711" s="57"/>
    </row>
    <row r="4712">
      <c r="A4712" s="54"/>
      <c r="G4712" s="55"/>
      <c r="U4712" s="56"/>
      <c r="X4712" s="57"/>
    </row>
    <row r="4713">
      <c r="A4713" s="54"/>
      <c r="G4713" s="55"/>
      <c r="U4713" s="56"/>
      <c r="X4713" s="57"/>
    </row>
    <row r="4714">
      <c r="A4714" s="54"/>
      <c r="G4714" s="55"/>
      <c r="U4714" s="56"/>
      <c r="X4714" s="57"/>
    </row>
    <row r="4715">
      <c r="A4715" s="54"/>
      <c r="G4715" s="55"/>
      <c r="U4715" s="56"/>
      <c r="X4715" s="57"/>
    </row>
    <row r="4716">
      <c r="A4716" s="54"/>
      <c r="G4716" s="55"/>
      <c r="U4716" s="56"/>
      <c r="X4716" s="57"/>
    </row>
    <row r="4717">
      <c r="A4717" s="54"/>
      <c r="G4717" s="55"/>
      <c r="U4717" s="56"/>
      <c r="X4717" s="57"/>
    </row>
    <row r="4718">
      <c r="A4718" s="54"/>
      <c r="G4718" s="55"/>
      <c r="U4718" s="56"/>
      <c r="X4718" s="57"/>
    </row>
    <row r="4719">
      <c r="A4719" s="54"/>
      <c r="G4719" s="55"/>
      <c r="U4719" s="56"/>
      <c r="X4719" s="57"/>
    </row>
    <row r="4720">
      <c r="A4720" s="54"/>
      <c r="G4720" s="55"/>
      <c r="U4720" s="56"/>
      <c r="X4720" s="57"/>
    </row>
    <row r="4721">
      <c r="A4721" s="54"/>
      <c r="G4721" s="55"/>
      <c r="U4721" s="56"/>
      <c r="X4721" s="57"/>
    </row>
    <row r="4722">
      <c r="A4722" s="54"/>
      <c r="G4722" s="55"/>
      <c r="U4722" s="56"/>
      <c r="X4722" s="57"/>
    </row>
    <row r="4723">
      <c r="A4723" s="54"/>
      <c r="G4723" s="55"/>
      <c r="U4723" s="56"/>
      <c r="X4723" s="57"/>
    </row>
    <row r="4724">
      <c r="A4724" s="54"/>
      <c r="G4724" s="55"/>
      <c r="U4724" s="56"/>
      <c r="X4724" s="57"/>
    </row>
    <row r="4725">
      <c r="A4725" s="54"/>
      <c r="G4725" s="55"/>
      <c r="U4725" s="56"/>
      <c r="X4725" s="57"/>
    </row>
    <row r="4726">
      <c r="A4726" s="54"/>
      <c r="G4726" s="55"/>
      <c r="U4726" s="56"/>
      <c r="X4726" s="57"/>
    </row>
    <row r="4727">
      <c r="A4727" s="54"/>
      <c r="G4727" s="55"/>
      <c r="U4727" s="56"/>
      <c r="X4727" s="57"/>
    </row>
    <row r="4728">
      <c r="A4728" s="54"/>
      <c r="G4728" s="55"/>
      <c r="U4728" s="56"/>
      <c r="X4728" s="57"/>
    </row>
    <row r="4729">
      <c r="A4729" s="54"/>
      <c r="G4729" s="55"/>
      <c r="U4729" s="56"/>
      <c r="X4729" s="57"/>
    </row>
    <row r="4730">
      <c r="A4730" s="54"/>
      <c r="G4730" s="55"/>
      <c r="U4730" s="56"/>
      <c r="X4730" s="57"/>
    </row>
    <row r="4731">
      <c r="A4731" s="54"/>
      <c r="G4731" s="55"/>
      <c r="U4731" s="56"/>
      <c r="X4731" s="57"/>
    </row>
    <row r="4732">
      <c r="A4732" s="54"/>
      <c r="G4732" s="55"/>
      <c r="U4732" s="56"/>
      <c r="X4732" s="57"/>
    </row>
    <row r="4733">
      <c r="A4733" s="54"/>
      <c r="G4733" s="55"/>
      <c r="U4733" s="56"/>
      <c r="X4733" s="57"/>
    </row>
    <row r="4734">
      <c r="A4734" s="54"/>
      <c r="G4734" s="55"/>
      <c r="U4734" s="56"/>
      <c r="X4734" s="57"/>
    </row>
    <row r="4735">
      <c r="A4735" s="54"/>
      <c r="G4735" s="55"/>
      <c r="U4735" s="56"/>
      <c r="X4735" s="57"/>
    </row>
    <row r="4736">
      <c r="A4736" s="54"/>
      <c r="G4736" s="55"/>
      <c r="U4736" s="56"/>
      <c r="X4736" s="57"/>
    </row>
    <row r="4737">
      <c r="A4737" s="54"/>
      <c r="G4737" s="55"/>
      <c r="U4737" s="56"/>
      <c r="X4737" s="57"/>
    </row>
    <row r="4738">
      <c r="A4738" s="54"/>
      <c r="G4738" s="55"/>
      <c r="U4738" s="56"/>
      <c r="X4738" s="57"/>
    </row>
    <row r="4739">
      <c r="A4739" s="54"/>
      <c r="G4739" s="55"/>
      <c r="U4739" s="56"/>
      <c r="X4739" s="57"/>
    </row>
    <row r="4740">
      <c r="A4740" s="54"/>
      <c r="G4740" s="55"/>
      <c r="U4740" s="56"/>
      <c r="X4740" s="57"/>
    </row>
    <row r="4741">
      <c r="A4741" s="54"/>
      <c r="G4741" s="55"/>
      <c r="U4741" s="56"/>
      <c r="X4741" s="57"/>
    </row>
    <row r="4742">
      <c r="A4742" s="54"/>
      <c r="G4742" s="55"/>
      <c r="U4742" s="56"/>
      <c r="X4742" s="57"/>
    </row>
    <row r="4743">
      <c r="A4743" s="54"/>
      <c r="G4743" s="55"/>
      <c r="U4743" s="56"/>
      <c r="X4743" s="57"/>
    </row>
    <row r="4744">
      <c r="A4744" s="54"/>
      <c r="G4744" s="55"/>
      <c r="U4744" s="56"/>
      <c r="X4744" s="57"/>
    </row>
    <row r="4745">
      <c r="A4745" s="54"/>
      <c r="G4745" s="55"/>
      <c r="U4745" s="56"/>
      <c r="X4745" s="57"/>
    </row>
    <row r="4746">
      <c r="A4746" s="54"/>
      <c r="G4746" s="55"/>
      <c r="U4746" s="56"/>
      <c r="X4746" s="57"/>
    </row>
    <row r="4747">
      <c r="A4747" s="54"/>
      <c r="G4747" s="55"/>
      <c r="U4747" s="56"/>
      <c r="X4747" s="57"/>
    </row>
    <row r="4748">
      <c r="A4748" s="54"/>
      <c r="G4748" s="55"/>
      <c r="U4748" s="56"/>
      <c r="X4748" s="57"/>
    </row>
    <row r="4749">
      <c r="A4749" s="54"/>
      <c r="G4749" s="55"/>
      <c r="U4749" s="56"/>
      <c r="X4749" s="57"/>
    </row>
    <row r="4750">
      <c r="A4750" s="54"/>
      <c r="G4750" s="55"/>
      <c r="U4750" s="56"/>
      <c r="X4750" s="57"/>
    </row>
    <row r="4751">
      <c r="A4751" s="54"/>
      <c r="G4751" s="55"/>
      <c r="U4751" s="56"/>
      <c r="X4751" s="57"/>
    </row>
    <row r="4752">
      <c r="A4752" s="54"/>
      <c r="G4752" s="55"/>
      <c r="U4752" s="56"/>
      <c r="X4752" s="57"/>
    </row>
    <row r="4753">
      <c r="A4753" s="54"/>
      <c r="G4753" s="55"/>
      <c r="U4753" s="56"/>
      <c r="X4753" s="57"/>
    </row>
    <row r="4754">
      <c r="A4754" s="54"/>
      <c r="G4754" s="55"/>
      <c r="U4754" s="56"/>
      <c r="X4754" s="57"/>
    </row>
    <row r="4755">
      <c r="A4755" s="54"/>
      <c r="G4755" s="55"/>
      <c r="U4755" s="56"/>
      <c r="X4755" s="57"/>
    </row>
    <row r="4756">
      <c r="A4756" s="54"/>
      <c r="G4756" s="55"/>
      <c r="U4756" s="56"/>
      <c r="X4756" s="57"/>
    </row>
    <row r="4757">
      <c r="A4757" s="54"/>
      <c r="G4757" s="55"/>
      <c r="U4757" s="56"/>
      <c r="X4757" s="57"/>
    </row>
    <row r="4758">
      <c r="A4758" s="54"/>
      <c r="G4758" s="55"/>
      <c r="U4758" s="56"/>
      <c r="X4758" s="57"/>
    </row>
    <row r="4759">
      <c r="A4759" s="54"/>
      <c r="G4759" s="55"/>
      <c r="U4759" s="56"/>
      <c r="X4759" s="57"/>
    </row>
    <row r="4760">
      <c r="A4760" s="54"/>
      <c r="G4760" s="55"/>
      <c r="U4760" s="56"/>
      <c r="X4760" s="57"/>
    </row>
    <row r="4761">
      <c r="A4761" s="54"/>
      <c r="G4761" s="55"/>
      <c r="U4761" s="56"/>
      <c r="X4761" s="57"/>
    </row>
    <row r="4762">
      <c r="A4762" s="54"/>
      <c r="G4762" s="55"/>
      <c r="U4762" s="56"/>
      <c r="X4762" s="57"/>
    </row>
    <row r="4763">
      <c r="A4763" s="54"/>
      <c r="G4763" s="55"/>
      <c r="U4763" s="56"/>
      <c r="X4763" s="57"/>
    </row>
    <row r="4764">
      <c r="A4764" s="54"/>
      <c r="G4764" s="55"/>
      <c r="U4764" s="56"/>
      <c r="X4764" s="57"/>
    </row>
    <row r="4765">
      <c r="A4765" s="54"/>
      <c r="G4765" s="55"/>
      <c r="U4765" s="56"/>
      <c r="X4765" s="57"/>
    </row>
    <row r="4766">
      <c r="A4766" s="54"/>
      <c r="G4766" s="55"/>
      <c r="U4766" s="56"/>
      <c r="X4766" s="57"/>
    </row>
    <row r="4767">
      <c r="A4767" s="54"/>
      <c r="G4767" s="55"/>
      <c r="U4767" s="56"/>
      <c r="X4767" s="57"/>
    </row>
    <row r="4768">
      <c r="A4768" s="54"/>
      <c r="G4768" s="55"/>
      <c r="U4768" s="56"/>
      <c r="X4768" s="57"/>
    </row>
    <row r="4769">
      <c r="A4769" s="54"/>
      <c r="G4769" s="55"/>
      <c r="U4769" s="56"/>
      <c r="X4769" s="57"/>
    </row>
    <row r="4770">
      <c r="A4770" s="54"/>
      <c r="G4770" s="55"/>
      <c r="U4770" s="56"/>
      <c r="X4770" s="57"/>
    </row>
    <row r="4771">
      <c r="A4771" s="54"/>
      <c r="G4771" s="55"/>
      <c r="U4771" s="56"/>
      <c r="X4771" s="57"/>
    </row>
    <row r="4772">
      <c r="A4772" s="54"/>
      <c r="G4772" s="55"/>
      <c r="U4772" s="56"/>
      <c r="X4772" s="57"/>
    </row>
    <row r="4773">
      <c r="A4773" s="54"/>
      <c r="G4773" s="55"/>
      <c r="U4773" s="56"/>
      <c r="X4773" s="57"/>
    </row>
    <row r="4774">
      <c r="A4774" s="54"/>
      <c r="G4774" s="55"/>
      <c r="U4774" s="56"/>
      <c r="X4774" s="57"/>
    </row>
    <row r="4775">
      <c r="A4775" s="54"/>
      <c r="G4775" s="55"/>
      <c r="U4775" s="56"/>
      <c r="X4775" s="57"/>
    </row>
    <row r="4776">
      <c r="A4776" s="54"/>
      <c r="G4776" s="55"/>
      <c r="U4776" s="56"/>
      <c r="X4776" s="57"/>
    </row>
    <row r="4777">
      <c r="A4777" s="54"/>
      <c r="G4777" s="55"/>
      <c r="U4777" s="56"/>
      <c r="X4777" s="57"/>
    </row>
    <row r="4778">
      <c r="A4778" s="54"/>
      <c r="G4778" s="55"/>
      <c r="U4778" s="56"/>
      <c r="X4778" s="57"/>
    </row>
    <row r="4779">
      <c r="A4779" s="54"/>
      <c r="G4779" s="55"/>
      <c r="U4779" s="56"/>
      <c r="X4779" s="57"/>
    </row>
    <row r="4780">
      <c r="A4780" s="54"/>
      <c r="G4780" s="55"/>
      <c r="U4780" s="56"/>
      <c r="X4780" s="57"/>
    </row>
    <row r="4781">
      <c r="A4781" s="54"/>
      <c r="G4781" s="55"/>
      <c r="U4781" s="56"/>
      <c r="X4781" s="57"/>
    </row>
    <row r="4782">
      <c r="A4782" s="54"/>
      <c r="G4782" s="55"/>
      <c r="U4782" s="56"/>
      <c r="X4782" s="57"/>
    </row>
    <row r="4783">
      <c r="A4783" s="54"/>
      <c r="G4783" s="55"/>
      <c r="U4783" s="56"/>
      <c r="X4783" s="57"/>
    </row>
    <row r="4784">
      <c r="A4784" s="54"/>
      <c r="G4784" s="55"/>
      <c r="U4784" s="56"/>
      <c r="X4784" s="57"/>
    </row>
    <row r="4785">
      <c r="A4785" s="54"/>
      <c r="G4785" s="55"/>
      <c r="U4785" s="56"/>
      <c r="X4785" s="57"/>
    </row>
    <row r="4786">
      <c r="A4786" s="54"/>
      <c r="G4786" s="55"/>
      <c r="U4786" s="56"/>
      <c r="X4786" s="57"/>
    </row>
    <row r="4787">
      <c r="A4787" s="54"/>
      <c r="G4787" s="55"/>
      <c r="U4787" s="56"/>
      <c r="X4787" s="57"/>
    </row>
    <row r="4788">
      <c r="A4788" s="54"/>
      <c r="G4788" s="55"/>
      <c r="U4788" s="56"/>
      <c r="X4788" s="57"/>
    </row>
    <row r="4789">
      <c r="A4789" s="54"/>
      <c r="G4789" s="55"/>
      <c r="U4789" s="56"/>
      <c r="X4789" s="57"/>
    </row>
    <row r="4790">
      <c r="A4790" s="54"/>
      <c r="G4790" s="55"/>
      <c r="U4790" s="56"/>
      <c r="X4790" s="57"/>
    </row>
    <row r="4791">
      <c r="A4791" s="54"/>
      <c r="G4791" s="55"/>
      <c r="U4791" s="56"/>
      <c r="X4791" s="57"/>
    </row>
    <row r="4792">
      <c r="A4792" s="54"/>
      <c r="G4792" s="55"/>
      <c r="U4792" s="56"/>
      <c r="X4792" s="57"/>
    </row>
    <row r="4793">
      <c r="A4793" s="54"/>
      <c r="G4793" s="55"/>
      <c r="U4793" s="56"/>
      <c r="X4793" s="57"/>
    </row>
    <row r="4794">
      <c r="A4794" s="54"/>
      <c r="G4794" s="55"/>
      <c r="U4794" s="56"/>
      <c r="X4794" s="57"/>
    </row>
    <row r="4795">
      <c r="A4795" s="54"/>
      <c r="G4795" s="55"/>
      <c r="U4795" s="56"/>
      <c r="X4795" s="57"/>
    </row>
    <row r="4796">
      <c r="A4796" s="54"/>
      <c r="G4796" s="55"/>
      <c r="U4796" s="56"/>
      <c r="X4796" s="57"/>
    </row>
    <row r="4797">
      <c r="A4797" s="54"/>
      <c r="G4797" s="55"/>
      <c r="U4797" s="56"/>
      <c r="X4797" s="57"/>
    </row>
    <row r="4798">
      <c r="A4798" s="54"/>
      <c r="G4798" s="55"/>
      <c r="U4798" s="56"/>
      <c r="X4798" s="57"/>
    </row>
    <row r="4799">
      <c r="A4799" s="54"/>
      <c r="G4799" s="55"/>
      <c r="U4799" s="56"/>
      <c r="X4799" s="57"/>
    </row>
    <row r="4800">
      <c r="A4800" s="54"/>
      <c r="G4800" s="55"/>
      <c r="U4800" s="56"/>
      <c r="X4800" s="57"/>
    </row>
    <row r="4801">
      <c r="A4801" s="54"/>
      <c r="G4801" s="55"/>
      <c r="U4801" s="56"/>
      <c r="X4801" s="57"/>
    </row>
    <row r="4802">
      <c r="A4802" s="54"/>
      <c r="G4802" s="55"/>
      <c r="U4802" s="56"/>
      <c r="X4802" s="57"/>
    </row>
    <row r="4803">
      <c r="A4803" s="54"/>
      <c r="G4803" s="55"/>
      <c r="U4803" s="56"/>
      <c r="X4803" s="57"/>
    </row>
    <row r="4804">
      <c r="A4804" s="54"/>
      <c r="G4804" s="55"/>
      <c r="U4804" s="56"/>
      <c r="X4804" s="57"/>
    </row>
    <row r="4805">
      <c r="A4805" s="54"/>
      <c r="G4805" s="55"/>
      <c r="U4805" s="56"/>
      <c r="X4805" s="57"/>
    </row>
    <row r="4806">
      <c r="A4806" s="54"/>
      <c r="G4806" s="55"/>
      <c r="U4806" s="56"/>
      <c r="X4806" s="57"/>
    </row>
    <row r="4807">
      <c r="A4807" s="54"/>
      <c r="G4807" s="55"/>
      <c r="U4807" s="56"/>
      <c r="X4807" s="57"/>
    </row>
    <row r="4808">
      <c r="A4808" s="54"/>
      <c r="G4808" s="55"/>
      <c r="U4808" s="56"/>
      <c r="X4808" s="57"/>
    </row>
    <row r="4809">
      <c r="A4809" s="54"/>
      <c r="G4809" s="55"/>
      <c r="U4809" s="56"/>
      <c r="X4809" s="57"/>
    </row>
    <row r="4810">
      <c r="A4810" s="54"/>
      <c r="G4810" s="55"/>
      <c r="U4810" s="56"/>
      <c r="X4810" s="57"/>
    </row>
    <row r="4811">
      <c r="A4811" s="54"/>
      <c r="G4811" s="55"/>
      <c r="U4811" s="56"/>
      <c r="X4811" s="57"/>
    </row>
    <row r="4812">
      <c r="A4812" s="54"/>
      <c r="G4812" s="55"/>
      <c r="U4812" s="56"/>
      <c r="X4812" s="57"/>
    </row>
    <row r="4813">
      <c r="A4813" s="54"/>
      <c r="G4813" s="55"/>
      <c r="U4813" s="56"/>
      <c r="X4813" s="57"/>
    </row>
    <row r="4814">
      <c r="A4814" s="54"/>
      <c r="G4814" s="55"/>
      <c r="U4814" s="56"/>
      <c r="X4814" s="57"/>
    </row>
    <row r="4815">
      <c r="A4815" s="54"/>
      <c r="G4815" s="55"/>
      <c r="U4815" s="56"/>
      <c r="X4815" s="57"/>
    </row>
    <row r="4816">
      <c r="A4816" s="54"/>
      <c r="G4816" s="55"/>
      <c r="U4816" s="56"/>
      <c r="X4816" s="57"/>
    </row>
    <row r="4817">
      <c r="A4817" s="54"/>
      <c r="G4817" s="55"/>
      <c r="U4817" s="56"/>
      <c r="X4817" s="57"/>
    </row>
    <row r="4818">
      <c r="A4818" s="54"/>
      <c r="G4818" s="55"/>
      <c r="U4818" s="56"/>
      <c r="X4818" s="57"/>
    </row>
    <row r="4819">
      <c r="A4819" s="54"/>
      <c r="G4819" s="55"/>
      <c r="U4819" s="56"/>
      <c r="X4819" s="57"/>
    </row>
    <row r="4820">
      <c r="A4820" s="54"/>
      <c r="G4820" s="55"/>
      <c r="U4820" s="56"/>
      <c r="X4820" s="57"/>
    </row>
    <row r="4821">
      <c r="A4821" s="54"/>
      <c r="G4821" s="55"/>
      <c r="U4821" s="56"/>
      <c r="X4821" s="57"/>
    </row>
    <row r="4822">
      <c r="A4822" s="54"/>
      <c r="G4822" s="55"/>
      <c r="U4822" s="56"/>
      <c r="X4822" s="57"/>
    </row>
    <row r="4823">
      <c r="A4823" s="54"/>
      <c r="G4823" s="55"/>
      <c r="U4823" s="56"/>
      <c r="X4823" s="57"/>
    </row>
    <row r="4824">
      <c r="A4824" s="54"/>
      <c r="G4824" s="55"/>
      <c r="U4824" s="56"/>
      <c r="X4824" s="57"/>
    </row>
    <row r="4825">
      <c r="A4825" s="54"/>
      <c r="G4825" s="55"/>
      <c r="U4825" s="56"/>
      <c r="X4825" s="57"/>
    </row>
    <row r="4826">
      <c r="A4826" s="54"/>
      <c r="G4826" s="55"/>
      <c r="U4826" s="56"/>
      <c r="X4826" s="57"/>
    </row>
    <row r="4827">
      <c r="A4827" s="54"/>
      <c r="G4827" s="55"/>
      <c r="U4827" s="56"/>
      <c r="X4827" s="57"/>
    </row>
    <row r="4828">
      <c r="A4828" s="54"/>
      <c r="G4828" s="55"/>
      <c r="U4828" s="56"/>
      <c r="X4828" s="57"/>
    </row>
    <row r="4829">
      <c r="A4829" s="54"/>
      <c r="G4829" s="55"/>
      <c r="U4829" s="56"/>
      <c r="X4829" s="57"/>
    </row>
    <row r="4830">
      <c r="A4830" s="54"/>
      <c r="G4830" s="55"/>
      <c r="U4830" s="56"/>
      <c r="X4830" s="57"/>
    </row>
    <row r="4831">
      <c r="A4831" s="54"/>
      <c r="G4831" s="55"/>
      <c r="U4831" s="56"/>
      <c r="X4831" s="57"/>
    </row>
    <row r="4832">
      <c r="A4832" s="54"/>
      <c r="G4832" s="55"/>
      <c r="U4832" s="56"/>
      <c r="X4832" s="57"/>
    </row>
    <row r="4833">
      <c r="A4833" s="54"/>
      <c r="G4833" s="55"/>
      <c r="U4833" s="56"/>
      <c r="X4833" s="57"/>
    </row>
    <row r="4834">
      <c r="A4834" s="54"/>
      <c r="G4834" s="55"/>
      <c r="U4834" s="56"/>
      <c r="X4834" s="57"/>
    </row>
    <row r="4835">
      <c r="A4835" s="54"/>
      <c r="G4835" s="55"/>
      <c r="U4835" s="56"/>
      <c r="X4835" s="57"/>
    </row>
    <row r="4836">
      <c r="A4836" s="54"/>
      <c r="G4836" s="55"/>
      <c r="U4836" s="56"/>
      <c r="X4836" s="57"/>
    </row>
    <row r="4837">
      <c r="A4837" s="54"/>
      <c r="G4837" s="55"/>
      <c r="U4837" s="56"/>
      <c r="X4837" s="57"/>
    </row>
    <row r="4838">
      <c r="A4838" s="54"/>
      <c r="G4838" s="55"/>
      <c r="U4838" s="56"/>
      <c r="X4838" s="57"/>
    </row>
    <row r="4839">
      <c r="A4839" s="54"/>
      <c r="G4839" s="55"/>
      <c r="U4839" s="56"/>
      <c r="X4839" s="57"/>
    </row>
    <row r="4840">
      <c r="A4840" s="54"/>
      <c r="G4840" s="55"/>
      <c r="U4840" s="56"/>
      <c r="X4840" s="57"/>
    </row>
    <row r="4841">
      <c r="A4841" s="54"/>
      <c r="G4841" s="55"/>
      <c r="U4841" s="56"/>
      <c r="X4841" s="57"/>
    </row>
    <row r="4842">
      <c r="A4842" s="54"/>
      <c r="G4842" s="55"/>
      <c r="U4842" s="56"/>
      <c r="X4842" s="57"/>
    </row>
    <row r="4843">
      <c r="A4843" s="54"/>
      <c r="G4843" s="55"/>
      <c r="U4843" s="56"/>
      <c r="X4843" s="57"/>
    </row>
    <row r="4844">
      <c r="A4844" s="54"/>
      <c r="G4844" s="55"/>
      <c r="U4844" s="56"/>
      <c r="X4844" s="57"/>
    </row>
    <row r="4845">
      <c r="A4845" s="54"/>
      <c r="G4845" s="55"/>
      <c r="U4845" s="56"/>
      <c r="X4845" s="57"/>
    </row>
    <row r="4846">
      <c r="A4846" s="54"/>
      <c r="G4846" s="55"/>
      <c r="U4846" s="56"/>
      <c r="X4846" s="57"/>
    </row>
    <row r="4847">
      <c r="A4847" s="54"/>
      <c r="G4847" s="55"/>
      <c r="U4847" s="56"/>
      <c r="X4847" s="57"/>
    </row>
    <row r="4848">
      <c r="A4848" s="54"/>
      <c r="G4848" s="55"/>
      <c r="U4848" s="56"/>
      <c r="X4848" s="57"/>
    </row>
    <row r="4849">
      <c r="A4849" s="54"/>
      <c r="G4849" s="55"/>
      <c r="U4849" s="56"/>
      <c r="X4849" s="57"/>
    </row>
    <row r="4850">
      <c r="A4850" s="54"/>
      <c r="G4850" s="55"/>
      <c r="U4850" s="56"/>
      <c r="X4850" s="57"/>
    </row>
    <row r="4851">
      <c r="A4851" s="54"/>
      <c r="G4851" s="55"/>
      <c r="U4851" s="56"/>
      <c r="X4851" s="57"/>
    </row>
    <row r="4852">
      <c r="A4852" s="54"/>
      <c r="G4852" s="55"/>
      <c r="U4852" s="56"/>
      <c r="X4852" s="57"/>
    </row>
    <row r="4853">
      <c r="A4853" s="54"/>
      <c r="G4853" s="55"/>
      <c r="U4853" s="56"/>
      <c r="X4853" s="57"/>
    </row>
    <row r="4854">
      <c r="A4854" s="54"/>
      <c r="G4854" s="55"/>
      <c r="U4854" s="56"/>
      <c r="X4854" s="57"/>
    </row>
    <row r="4855">
      <c r="A4855" s="54"/>
      <c r="G4855" s="55"/>
      <c r="U4855" s="56"/>
      <c r="X4855" s="57"/>
    </row>
    <row r="4856">
      <c r="A4856" s="54"/>
      <c r="G4856" s="55"/>
      <c r="U4856" s="56"/>
      <c r="X4856" s="57"/>
    </row>
    <row r="4857">
      <c r="A4857" s="54"/>
      <c r="G4857" s="55"/>
      <c r="U4857" s="56"/>
      <c r="X4857" s="57"/>
    </row>
    <row r="4858">
      <c r="A4858" s="54"/>
      <c r="G4858" s="55"/>
      <c r="U4858" s="56"/>
      <c r="X4858" s="57"/>
    </row>
    <row r="4859">
      <c r="A4859" s="54"/>
      <c r="G4859" s="55"/>
      <c r="U4859" s="56"/>
      <c r="X4859" s="57"/>
    </row>
    <row r="4860">
      <c r="A4860" s="54"/>
      <c r="G4860" s="55"/>
      <c r="U4860" s="56"/>
      <c r="X4860" s="57"/>
    </row>
    <row r="4861">
      <c r="A4861" s="54"/>
      <c r="G4861" s="55"/>
      <c r="U4861" s="56"/>
      <c r="X4861" s="57"/>
    </row>
    <row r="4862">
      <c r="A4862" s="54"/>
      <c r="G4862" s="55"/>
      <c r="U4862" s="56"/>
      <c r="X4862" s="57"/>
    </row>
    <row r="4863">
      <c r="A4863" s="54"/>
      <c r="G4863" s="55"/>
      <c r="U4863" s="56"/>
      <c r="X4863" s="57"/>
    </row>
    <row r="4864">
      <c r="A4864" s="54"/>
      <c r="G4864" s="55"/>
      <c r="U4864" s="56"/>
      <c r="X4864" s="57"/>
    </row>
    <row r="4865">
      <c r="A4865" s="54"/>
      <c r="G4865" s="55"/>
      <c r="U4865" s="56"/>
      <c r="X4865" s="57"/>
    </row>
    <row r="4866">
      <c r="A4866" s="54"/>
      <c r="G4866" s="55"/>
      <c r="U4866" s="56"/>
      <c r="X4866" s="57"/>
    </row>
    <row r="4867">
      <c r="A4867" s="54"/>
      <c r="G4867" s="55"/>
      <c r="U4867" s="56"/>
      <c r="X4867" s="57"/>
    </row>
    <row r="4868">
      <c r="A4868" s="54"/>
      <c r="G4868" s="55"/>
      <c r="U4868" s="56"/>
      <c r="X4868" s="57"/>
    </row>
    <row r="4869">
      <c r="A4869" s="54"/>
      <c r="G4869" s="55"/>
      <c r="U4869" s="56"/>
      <c r="X4869" s="57"/>
    </row>
    <row r="4870">
      <c r="A4870" s="54"/>
      <c r="G4870" s="55"/>
      <c r="U4870" s="56"/>
      <c r="X4870" s="57"/>
    </row>
    <row r="4871">
      <c r="A4871" s="54"/>
      <c r="G4871" s="55"/>
      <c r="U4871" s="56"/>
      <c r="X4871" s="57"/>
    </row>
    <row r="4872">
      <c r="A4872" s="54"/>
      <c r="G4872" s="55"/>
      <c r="U4872" s="56"/>
      <c r="X4872" s="57"/>
    </row>
    <row r="4873">
      <c r="A4873" s="54"/>
      <c r="G4873" s="55"/>
      <c r="U4873" s="56"/>
      <c r="X4873" s="57"/>
    </row>
    <row r="4874">
      <c r="A4874" s="54"/>
      <c r="G4874" s="55"/>
      <c r="U4874" s="56"/>
      <c r="X4874" s="57"/>
    </row>
    <row r="4875">
      <c r="A4875" s="54"/>
      <c r="G4875" s="55"/>
      <c r="U4875" s="56"/>
      <c r="X4875" s="57"/>
    </row>
    <row r="4876">
      <c r="A4876" s="54"/>
      <c r="G4876" s="55"/>
      <c r="U4876" s="56"/>
      <c r="X4876" s="57"/>
    </row>
    <row r="4877">
      <c r="A4877" s="54"/>
      <c r="G4877" s="55"/>
      <c r="U4877" s="56"/>
      <c r="X4877" s="57"/>
    </row>
    <row r="4878">
      <c r="A4878" s="54"/>
      <c r="G4878" s="55"/>
      <c r="U4878" s="56"/>
      <c r="X4878" s="57"/>
    </row>
    <row r="4879">
      <c r="A4879" s="54"/>
      <c r="G4879" s="55"/>
      <c r="U4879" s="56"/>
      <c r="X4879" s="57"/>
    </row>
    <row r="4880">
      <c r="A4880" s="54"/>
      <c r="G4880" s="55"/>
      <c r="U4880" s="56"/>
      <c r="X4880" s="57"/>
    </row>
    <row r="4881">
      <c r="A4881" s="54"/>
      <c r="G4881" s="55"/>
      <c r="U4881" s="56"/>
      <c r="X4881" s="57"/>
    </row>
    <row r="4882">
      <c r="A4882" s="54"/>
      <c r="G4882" s="55"/>
      <c r="U4882" s="56"/>
      <c r="X4882" s="57"/>
    </row>
    <row r="4883">
      <c r="A4883" s="54"/>
      <c r="G4883" s="55"/>
      <c r="U4883" s="56"/>
      <c r="X4883" s="57"/>
    </row>
    <row r="4884">
      <c r="A4884" s="54"/>
      <c r="G4884" s="55"/>
      <c r="U4884" s="56"/>
      <c r="X4884" s="57"/>
    </row>
    <row r="4885">
      <c r="A4885" s="54"/>
      <c r="G4885" s="55"/>
      <c r="U4885" s="56"/>
      <c r="X4885" s="57"/>
    </row>
    <row r="4886">
      <c r="A4886" s="54"/>
      <c r="G4886" s="55"/>
      <c r="U4886" s="56"/>
      <c r="X4886" s="57"/>
    </row>
    <row r="4887">
      <c r="A4887" s="54"/>
      <c r="G4887" s="55"/>
      <c r="U4887" s="56"/>
      <c r="X4887" s="57"/>
    </row>
    <row r="4888">
      <c r="A4888" s="54"/>
      <c r="G4888" s="55"/>
      <c r="U4888" s="56"/>
      <c r="X4888" s="57"/>
    </row>
    <row r="4889">
      <c r="A4889" s="54"/>
      <c r="G4889" s="55"/>
      <c r="U4889" s="56"/>
      <c r="X4889" s="57"/>
    </row>
    <row r="4890">
      <c r="A4890" s="54"/>
      <c r="G4890" s="55"/>
      <c r="U4890" s="56"/>
      <c r="X4890" s="57"/>
    </row>
    <row r="4891">
      <c r="A4891" s="54"/>
      <c r="G4891" s="55"/>
      <c r="U4891" s="56"/>
      <c r="X4891" s="57"/>
    </row>
    <row r="4892">
      <c r="A4892" s="54"/>
      <c r="G4892" s="55"/>
      <c r="U4892" s="56"/>
      <c r="X4892" s="57"/>
    </row>
    <row r="4893">
      <c r="A4893" s="54"/>
      <c r="G4893" s="55"/>
      <c r="U4893" s="56"/>
      <c r="X4893" s="57"/>
    </row>
    <row r="4894">
      <c r="A4894" s="54"/>
      <c r="G4894" s="55"/>
      <c r="U4894" s="56"/>
      <c r="X4894" s="57"/>
    </row>
    <row r="4895">
      <c r="A4895" s="54"/>
      <c r="G4895" s="55"/>
      <c r="U4895" s="56"/>
      <c r="X4895" s="57"/>
    </row>
    <row r="4896">
      <c r="A4896" s="54"/>
      <c r="G4896" s="55"/>
      <c r="U4896" s="56"/>
      <c r="X4896" s="57"/>
    </row>
    <row r="4897">
      <c r="A4897" s="54"/>
      <c r="G4897" s="55"/>
      <c r="U4897" s="56"/>
      <c r="X4897" s="57"/>
    </row>
    <row r="4898">
      <c r="A4898" s="54"/>
      <c r="G4898" s="55"/>
      <c r="U4898" s="56"/>
      <c r="X4898" s="57"/>
    </row>
    <row r="4899">
      <c r="A4899" s="54"/>
      <c r="G4899" s="55"/>
      <c r="U4899" s="56"/>
      <c r="X4899" s="57"/>
    </row>
    <row r="4900">
      <c r="A4900" s="54"/>
      <c r="G4900" s="55"/>
      <c r="U4900" s="56"/>
      <c r="X4900" s="57"/>
    </row>
    <row r="4901">
      <c r="A4901" s="54"/>
      <c r="G4901" s="55"/>
      <c r="U4901" s="56"/>
      <c r="X4901" s="57"/>
    </row>
    <row r="4902">
      <c r="A4902" s="54"/>
      <c r="G4902" s="55"/>
      <c r="U4902" s="56"/>
      <c r="X4902" s="57"/>
    </row>
    <row r="4903">
      <c r="A4903" s="54"/>
      <c r="G4903" s="55"/>
      <c r="U4903" s="56"/>
      <c r="X4903" s="57"/>
    </row>
    <row r="4904">
      <c r="A4904" s="54"/>
      <c r="G4904" s="55"/>
      <c r="U4904" s="56"/>
      <c r="X4904" s="57"/>
    </row>
    <row r="4905">
      <c r="A4905" s="54"/>
      <c r="G4905" s="55"/>
      <c r="U4905" s="56"/>
      <c r="X4905" s="57"/>
    </row>
    <row r="4906">
      <c r="A4906" s="54"/>
      <c r="G4906" s="55"/>
      <c r="U4906" s="56"/>
      <c r="X4906" s="57"/>
    </row>
    <row r="4907">
      <c r="A4907" s="54"/>
      <c r="G4907" s="55"/>
      <c r="U4907" s="56"/>
      <c r="X4907" s="57"/>
    </row>
    <row r="4908">
      <c r="A4908" s="54"/>
      <c r="G4908" s="55"/>
      <c r="U4908" s="56"/>
      <c r="X4908" s="57"/>
    </row>
    <row r="4909">
      <c r="A4909" s="54"/>
      <c r="G4909" s="55"/>
      <c r="U4909" s="56"/>
      <c r="X4909" s="57"/>
    </row>
    <row r="4910">
      <c r="A4910" s="54"/>
      <c r="G4910" s="55"/>
      <c r="U4910" s="56"/>
      <c r="X4910" s="57"/>
    </row>
    <row r="4911">
      <c r="A4911" s="54"/>
      <c r="G4911" s="55"/>
      <c r="U4911" s="56"/>
      <c r="X4911" s="57"/>
    </row>
    <row r="4912">
      <c r="A4912" s="54"/>
      <c r="G4912" s="55"/>
      <c r="U4912" s="56"/>
      <c r="X4912" s="57"/>
    </row>
    <row r="4913">
      <c r="A4913" s="54"/>
      <c r="G4913" s="55"/>
      <c r="U4913" s="56"/>
      <c r="X4913" s="57"/>
    </row>
    <row r="4914">
      <c r="A4914" s="54"/>
      <c r="G4914" s="55"/>
      <c r="U4914" s="56"/>
      <c r="X4914" s="57"/>
    </row>
    <row r="4915">
      <c r="A4915" s="54"/>
      <c r="G4915" s="55"/>
      <c r="U4915" s="56"/>
      <c r="X4915" s="57"/>
    </row>
    <row r="4916">
      <c r="A4916" s="54"/>
      <c r="G4916" s="55"/>
      <c r="U4916" s="56"/>
      <c r="X4916" s="57"/>
    </row>
    <row r="4917">
      <c r="A4917" s="54"/>
      <c r="G4917" s="55"/>
      <c r="U4917" s="56"/>
      <c r="X4917" s="57"/>
    </row>
    <row r="4918">
      <c r="A4918" s="54"/>
      <c r="G4918" s="55"/>
      <c r="U4918" s="56"/>
      <c r="X4918" s="57"/>
    </row>
    <row r="4919">
      <c r="A4919" s="54"/>
      <c r="G4919" s="55"/>
      <c r="U4919" s="56"/>
      <c r="X4919" s="57"/>
    </row>
    <row r="4920">
      <c r="A4920" s="54"/>
      <c r="G4920" s="55"/>
      <c r="U4920" s="56"/>
      <c r="X4920" s="57"/>
    </row>
    <row r="4921">
      <c r="A4921" s="54"/>
      <c r="G4921" s="55"/>
      <c r="U4921" s="56"/>
      <c r="X4921" s="57"/>
    </row>
    <row r="4922">
      <c r="A4922" s="54"/>
      <c r="G4922" s="55"/>
      <c r="U4922" s="56"/>
      <c r="X4922" s="57"/>
    </row>
    <row r="4923">
      <c r="A4923" s="54"/>
      <c r="G4923" s="55"/>
      <c r="U4923" s="56"/>
      <c r="X4923" s="57"/>
    </row>
    <row r="4924">
      <c r="A4924" s="54"/>
      <c r="G4924" s="55"/>
      <c r="U4924" s="56"/>
      <c r="X4924" s="57"/>
    </row>
    <row r="4925">
      <c r="A4925" s="54"/>
      <c r="G4925" s="55"/>
      <c r="U4925" s="56"/>
      <c r="X4925" s="57"/>
    </row>
    <row r="4926">
      <c r="A4926" s="54"/>
      <c r="G4926" s="55"/>
      <c r="U4926" s="56"/>
      <c r="X4926" s="57"/>
    </row>
    <row r="4927">
      <c r="A4927" s="54"/>
      <c r="G4927" s="55"/>
      <c r="U4927" s="56"/>
      <c r="X4927" s="57"/>
    </row>
    <row r="4928">
      <c r="A4928" s="54"/>
      <c r="G4928" s="55"/>
      <c r="U4928" s="56"/>
      <c r="X4928" s="57"/>
    </row>
    <row r="4929">
      <c r="A4929" s="54"/>
      <c r="G4929" s="55"/>
      <c r="U4929" s="56"/>
      <c r="X4929" s="57"/>
    </row>
    <row r="4930">
      <c r="A4930" s="54"/>
      <c r="G4930" s="55"/>
      <c r="U4930" s="56"/>
      <c r="X4930" s="57"/>
    </row>
    <row r="4931">
      <c r="A4931" s="54"/>
      <c r="G4931" s="55"/>
      <c r="U4931" s="56"/>
      <c r="X4931" s="57"/>
    </row>
    <row r="4932">
      <c r="A4932" s="54"/>
      <c r="G4932" s="55"/>
      <c r="U4932" s="56"/>
      <c r="X4932" s="57"/>
    </row>
    <row r="4933">
      <c r="A4933" s="54"/>
      <c r="G4933" s="55"/>
      <c r="U4933" s="56"/>
      <c r="X4933" s="57"/>
    </row>
    <row r="4934">
      <c r="A4934" s="54"/>
      <c r="G4934" s="55"/>
      <c r="U4934" s="56"/>
      <c r="X4934" s="57"/>
    </row>
    <row r="4935">
      <c r="A4935" s="54"/>
      <c r="G4935" s="55"/>
      <c r="U4935" s="56"/>
      <c r="X4935" s="57"/>
    </row>
    <row r="4936">
      <c r="A4936" s="54"/>
      <c r="G4936" s="55"/>
      <c r="U4936" s="56"/>
      <c r="X4936" s="57"/>
    </row>
    <row r="4937">
      <c r="A4937" s="54"/>
      <c r="G4937" s="55"/>
      <c r="U4937" s="56"/>
      <c r="X4937" s="57"/>
    </row>
    <row r="4938">
      <c r="A4938" s="54"/>
      <c r="G4938" s="55"/>
      <c r="U4938" s="56"/>
      <c r="X4938" s="57"/>
    </row>
    <row r="4939">
      <c r="A4939" s="54"/>
      <c r="G4939" s="55"/>
      <c r="U4939" s="56"/>
      <c r="X4939" s="57"/>
    </row>
    <row r="4940">
      <c r="A4940" s="54"/>
      <c r="G4940" s="55"/>
      <c r="U4940" s="56"/>
      <c r="X4940" s="57"/>
    </row>
    <row r="4941">
      <c r="A4941" s="54"/>
      <c r="G4941" s="55"/>
      <c r="U4941" s="56"/>
      <c r="X4941" s="57"/>
    </row>
    <row r="4942">
      <c r="A4942" s="54"/>
      <c r="G4942" s="55"/>
      <c r="U4942" s="56"/>
      <c r="X4942" s="57"/>
    </row>
    <row r="4943">
      <c r="A4943" s="54"/>
      <c r="G4943" s="55"/>
      <c r="U4943" s="56"/>
      <c r="X4943" s="57"/>
    </row>
    <row r="4944">
      <c r="A4944" s="54"/>
      <c r="G4944" s="55"/>
      <c r="U4944" s="56"/>
      <c r="X4944" s="57"/>
    </row>
    <row r="4945">
      <c r="A4945" s="54"/>
      <c r="G4945" s="55"/>
      <c r="U4945" s="56"/>
      <c r="X4945" s="57"/>
    </row>
    <row r="4946">
      <c r="A4946" s="54"/>
      <c r="G4946" s="55"/>
      <c r="U4946" s="56"/>
      <c r="X4946" s="57"/>
    </row>
    <row r="4947">
      <c r="A4947" s="54"/>
      <c r="G4947" s="55"/>
      <c r="U4947" s="56"/>
      <c r="X4947" s="57"/>
    </row>
    <row r="4948">
      <c r="A4948" s="54"/>
      <c r="G4948" s="55"/>
      <c r="U4948" s="56"/>
      <c r="X4948" s="57"/>
    </row>
    <row r="4949">
      <c r="A4949" s="54"/>
      <c r="G4949" s="55"/>
      <c r="U4949" s="56"/>
      <c r="X4949" s="57"/>
    </row>
    <row r="4950">
      <c r="A4950" s="54"/>
      <c r="G4950" s="55"/>
      <c r="U4950" s="56"/>
      <c r="X4950" s="57"/>
    </row>
    <row r="4951">
      <c r="A4951" s="54"/>
      <c r="G4951" s="55"/>
      <c r="U4951" s="56"/>
      <c r="X4951" s="57"/>
    </row>
    <row r="4952">
      <c r="A4952" s="54"/>
      <c r="G4952" s="55"/>
      <c r="U4952" s="56"/>
      <c r="X4952" s="57"/>
    </row>
    <row r="4953">
      <c r="A4953" s="54"/>
      <c r="G4953" s="55"/>
      <c r="U4953" s="56"/>
      <c r="X4953" s="57"/>
    </row>
    <row r="4954">
      <c r="A4954" s="54"/>
      <c r="G4954" s="55"/>
      <c r="U4954" s="56"/>
      <c r="X4954" s="57"/>
    </row>
    <row r="4955">
      <c r="A4955" s="54"/>
      <c r="G4955" s="55"/>
      <c r="U4955" s="56"/>
      <c r="X4955" s="57"/>
    </row>
    <row r="4956">
      <c r="A4956" s="54"/>
      <c r="G4956" s="55"/>
      <c r="U4956" s="56"/>
      <c r="X4956" s="57"/>
    </row>
    <row r="4957">
      <c r="A4957" s="54"/>
      <c r="G4957" s="55"/>
      <c r="U4957" s="56"/>
      <c r="X4957" s="57"/>
    </row>
    <row r="4958">
      <c r="A4958" s="54"/>
      <c r="G4958" s="55"/>
      <c r="U4958" s="56"/>
      <c r="X4958" s="57"/>
    </row>
    <row r="4959">
      <c r="A4959" s="54"/>
      <c r="G4959" s="55"/>
      <c r="U4959" s="56"/>
      <c r="X4959" s="57"/>
    </row>
    <row r="4960">
      <c r="A4960" s="54"/>
      <c r="G4960" s="55"/>
      <c r="U4960" s="56"/>
      <c r="X4960" s="57"/>
    </row>
    <row r="4961">
      <c r="A4961" s="54"/>
      <c r="G4961" s="55"/>
      <c r="U4961" s="56"/>
      <c r="X4961" s="57"/>
    </row>
    <row r="4962">
      <c r="A4962" s="54"/>
      <c r="G4962" s="55"/>
      <c r="U4962" s="56"/>
      <c r="X4962" s="57"/>
    </row>
    <row r="4963">
      <c r="A4963" s="54"/>
      <c r="G4963" s="55"/>
      <c r="U4963" s="56"/>
      <c r="X4963" s="57"/>
    </row>
    <row r="4964">
      <c r="A4964" s="54"/>
      <c r="G4964" s="55"/>
      <c r="U4964" s="56"/>
      <c r="X4964" s="57"/>
    </row>
    <row r="4965">
      <c r="A4965" s="54"/>
      <c r="G4965" s="55"/>
      <c r="U4965" s="56"/>
      <c r="X4965" s="57"/>
    </row>
    <row r="4966">
      <c r="A4966" s="54"/>
      <c r="G4966" s="55"/>
      <c r="U4966" s="56"/>
      <c r="X4966" s="57"/>
    </row>
    <row r="4967">
      <c r="A4967" s="54"/>
      <c r="G4967" s="55"/>
      <c r="U4967" s="56"/>
      <c r="X4967" s="57"/>
    </row>
    <row r="4968">
      <c r="A4968" s="54"/>
      <c r="G4968" s="55"/>
      <c r="U4968" s="56"/>
      <c r="X4968" s="57"/>
    </row>
    <row r="4969">
      <c r="A4969" s="54"/>
      <c r="G4969" s="55"/>
      <c r="U4969" s="56"/>
      <c r="X4969" s="57"/>
    </row>
    <row r="4970">
      <c r="A4970" s="54"/>
      <c r="G4970" s="55"/>
      <c r="U4970" s="56"/>
      <c r="X4970" s="57"/>
    </row>
    <row r="4971">
      <c r="A4971" s="54"/>
      <c r="G4971" s="55"/>
      <c r="U4971" s="56"/>
      <c r="X4971" s="57"/>
    </row>
    <row r="4972">
      <c r="A4972" s="54"/>
      <c r="G4972" s="55"/>
      <c r="U4972" s="56"/>
      <c r="X4972" s="57"/>
    </row>
    <row r="4973">
      <c r="A4973" s="54"/>
      <c r="G4973" s="55"/>
      <c r="U4973" s="56"/>
      <c r="X4973" s="57"/>
    </row>
    <row r="4974">
      <c r="A4974" s="54"/>
      <c r="G4974" s="55"/>
      <c r="U4974" s="56"/>
      <c r="X4974" s="57"/>
    </row>
    <row r="4975">
      <c r="A4975" s="54"/>
      <c r="G4975" s="55"/>
      <c r="U4975" s="56"/>
      <c r="X4975" s="57"/>
    </row>
    <row r="4976">
      <c r="A4976" s="54"/>
      <c r="G4976" s="55"/>
      <c r="U4976" s="56"/>
      <c r="X4976" s="57"/>
    </row>
    <row r="4977">
      <c r="A4977" s="54"/>
      <c r="G4977" s="55"/>
      <c r="U4977" s="56"/>
      <c r="X4977" s="57"/>
    </row>
    <row r="4978">
      <c r="A4978" s="54"/>
      <c r="G4978" s="55"/>
      <c r="U4978" s="56"/>
      <c r="X4978" s="57"/>
    </row>
    <row r="4979">
      <c r="A4979" s="54"/>
      <c r="G4979" s="55"/>
      <c r="U4979" s="56"/>
      <c r="X4979" s="57"/>
    </row>
    <row r="4980">
      <c r="A4980" s="54"/>
      <c r="G4980" s="55"/>
      <c r="U4980" s="56"/>
      <c r="X4980" s="57"/>
    </row>
    <row r="4981">
      <c r="A4981" s="54"/>
      <c r="G4981" s="55"/>
      <c r="U4981" s="56"/>
      <c r="X4981" s="57"/>
    </row>
    <row r="4982">
      <c r="A4982" s="54"/>
      <c r="G4982" s="55"/>
      <c r="U4982" s="56"/>
      <c r="X4982" s="57"/>
    </row>
    <row r="4983">
      <c r="A4983" s="54"/>
      <c r="G4983" s="55"/>
      <c r="U4983" s="56"/>
      <c r="X4983" s="57"/>
    </row>
    <row r="4984">
      <c r="A4984" s="54"/>
      <c r="G4984" s="55"/>
      <c r="U4984" s="56"/>
      <c r="X4984" s="57"/>
    </row>
    <row r="4985">
      <c r="A4985" s="54"/>
      <c r="G4985" s="55"/>
      <c r="U4985" s="56"/>
      <c r="X4985" s="57"/>
    </row>
    <row r="4986">
      <c r="A4986" s="54"/>
      <c r="G4986" s="55"/>
      <c r="U4986" s="56"/>
      <c r="X4986" s="57"/>
    </row>
    <row r="4987">
      <c r="A4987" s="54"/>
      <c r="G4987" s="55"/>
      <c r="U4987" s="56"/>
      <c r="X4987" s="57"/>
    </row>
    <row r="4988">
      <c r="A4988" s="54"/>
      <c r="G4988" s="55"/>
      <c r="U4988" s="56"/>
      <c r="X4988" s="57"/>
    </row>
    <row r="4989">
      <c r="A4989" s="54"/>
      <c r="G4989" s="55"/>
      <c r="U4989" s="56"/>
      <c r="X4989" s="57"/>
    </row>
    <row r="4990">
      <c r="A4990" s="54"/>
      <c r="G4990" s="55"/>
      <c r="U4990" s="56"/>
      <c r="X4990" s="57"/>
    </row>
    <row r="4991">
      <c r="A4991" s="54"/>
      <c r="G4991" s="55"/>
      <c r="U4991" s="56"/>
      <c r="X4991" s="57"/>
    </row>
    <row r="4992">
      <c r="A4992" s="54"/>
      <c r="G4992" s="55"/>
      <c r="U4992" s="56"/>
      <c r="X4992" s="57"/>
    </row>
    <row r="4993">
      <c r="A4993" s="54"/>
      <c r="G4993" s="55"/>
      <c r="U4993" s="56"/>
      <c r="X4993" s="57"/>
    </row>
    <row r="4994">
      <c r="A4994" s="54"/>
      <c r="G4994" s="55"/>
      <c r="U4994" s="56"/>
      <c r="X4994" s="57"/>
    </row>
    <row r="4995">
      <c r="A4995" s="54"/>
      <c r="G4995" s="55"/>
      <c r="U4995" s="56"/>
      <c r="X4995" s="57"/>
    </row>
    <row r="4996">
      <c r="A4996" s="54"/>
      <c r="G4996" s="55"/>
      <c r="U4996" s="56"/>
      <c r="X4996" s="57"/>
    </row>
    <row r="4997">
      <c r="A4997" s="54"/>
      <c r="G4997" s="55"/>
      <c r="U4997" s="56"/>
      <c r="X4997" s="57"/>
    </row>
    <row r="4998">
      <c r="A4998" s="54"/>
      <c r="G4998" s="55"/>
      <c r="U4998" s="56"/>
      <c r="X4998" s="57"/>
    </row>
    <row r="4999">
      <c r="A4999" s="54"/>
      <c r="G4999" s="55"/>
      <c r="U4999" s="56"/>
      <c r="X4999" s="57"/>
    </row>
    <row r="5000">
      <c r="A5000" s="54"/>
      <c r="G5000" s="55"/>
      <c r="U5000" s="56"/>
      <c r="X5000" s="57"/>
    </row>
    <row r="5001">
      <c r="A5001" s="54"/>
      <c r="G5001" s="55"/>
      <c r="U5001" s="56"/>
      <c r="X5001" s="57"/>
    </row>
    <row r="5002">
      <c r="A5002" s="54"/>
      <c r="G5002" s="55"/>
      <c r="U5002" s="56"/>
      <c r="X5002" s="57"/>
    </row>
    <row r="5003">
      <c r="A5003" s="54"/>
      <c r="G5003" s="55"/>
      <c r="U5003" s="56"/>
      <c r="X5003" s="57"/>
    </row>
    <row r="5004">
      <c r="A5004" s="54"/>
      <c r="G5004" s="55"/>
      <c r="U5004" s="56"/>
      <c r="X5004" s="57"/>
    </row>
    <row r="5005">
      <c r="A5005" s="54"/>
      <c r="G5005" s="55"/>
      <c r="U5005" s="56"/>
      <c r="X5005" s="57"/>
    </row>
    <row r="5006">
      <c r="A5006" s="54"/>
      <c r="G5006" s="55"/>
      <c r="U5006" s="56"/>
      <c r="X5006" s="57"/>
    </row>
    <row r="5007">
      <c r="A5007" s="54"/>
      <c r="G5007" s="55"/>
      <c r="U5007" s="56"/>
      <c r="X5007" s="57"/>
    </row>
    <row r="5008">
      <c r="A5008" s="54"/>
      <c r="G5008" s="55"/>
      <c r="U5008" s="56"/>
      <c r="X5008" s="57"/>
    </row>
    <row r="5009">
      <c r="A5009" s="54"/>
      <c r="G5009" s="55"/>
      <c r="U5009" s="56"/>
      <c r="X5009" s="57"/>
    </row>
    <row r="5010">
      <c r="A5010" s="54"/>
      <c r="G5010" s="55"/>
      <c r="U5010" s="56"/>
      <c r="X5010" s="57"/>
    </row>
    <row r="5011">
      <c r="A5011" s="54"/>
      <c r="G5011" s="55"/>
      <c r="U5011" s="56"/>
      <c r="X5011" s="57"/>
    </row>
    <row r="5012">
      <c r="A5012" s="54"/>
      <c r="G5012" s="55"/>
      <c r="U5012" s="56"/>
      <c r="X5012" s="57"/>
    </row>
    <row r="5013">
      <c r="A5013" s="54"/>
      <c r="G5013" s="55"/>
      <c r="U5013" s="56"/>
      <c r="X5013" s="57"/>
    </row>
    <row r="5014">
      <c r="A5014" s="54"/>
      <c r="G5014" s="55"/>
      <c r="U5014" s="56"/>
      <c r="X5014" s="57"/>
    </row>
    <row r="5015">
      <c r="A5015" s="54"/>
      <c r="G5015" s="55"/>
      <c r="U5015" s="56"/>
      <c r="X5015" s="57"/>
    </row>
    <row r="5016">
      <c r="A5016" s="54"/>
      <c r="G5016" s="55"/>
      <c r="U5016" s="56"/>
      <c r="X5016" s="57"/>
    </row>
    <row r="5017">
      <c r="A5017" s="54"/>
      <c r="G5017" s="55"/>
      <c r="U5017" s="56"/>
      <c r="X5017" s="57"/>
    </row>
    <row r="5018">
      <c r="A5018" s="54"/>
      <c r="G5018" s="55"/>
      <c r="U5018" s="56"/>
      <c r="X5018" s="57"/>
    </row>
    <row r="5019">
      <c r="A5019" s="54"/>
      <c r="G5019" s="55"/>
      <c r="U5019" s="56"/>
      <c r="X5019" s="57"/>
    </row>
    <row r="5020">
      <c r="A5020" s="54"/>
      <c r="G5020" s="55"/>
      <c r="U5020" s="56"/>
      <c r="X5020" s="57"/>
    </row>
    <row r="5021">
      <c r="A5021" s="54"/>
      <c r="G5021" s="55"/>
      <c r="U5021" s="56"/>
      <c r="X5021" s="57"/>
    </row>
    <row r="5022">
      <c r="A5022" s="54"/>
      <c r="G5022" s="55"/>
      <c r="U5022" s="56"/>
      <c r="X5022" s="57"/>
    </row>
    <row r="5023">
      <c r="A5023" s="54"/>
      <c r="G5023" s="55"/>
      <c r="U5023" s="56"/>
      <c r="X5023" s="57"/>
    </row>
    <row r="5024">
      <c r="A5024" s="54"/>
      <c r="G5024" s="55"/>
      <c r="U5024" s="56"/>
      <c r="X5024" s="57"/>
    </row>
    <row r="5025">
      <c r="A5025" s="54"/>
      <c r="G5025" s="55"/>
      <c r="U5025" s="56"/>
      <c r="X5025" s="57"/>
    </row>
    <row r="5026">
      <c r="A5026" s="54"/>
      <c r="G5026" s="55"/>
      <c r="U5026" s="56"/>
      <c r="X5026" s="57"/>
    </row>
    <row r="5027">
      <c r="A5027" s="54"/>
      <c r="G5027" s="55"/>
      <c r="U5027" s="56"/>
      <c r="X5027" s="57"/>
    </row>
    <row r="5028">
      <c r="A5028" s="54"/>
      <c r="G5028" s="55"/>
      <c r="U5028" s="56"/>
      <c r="X5028" s="57"/>
    </row>
    <row r="5029">
      <c r="A5029" s="54"/>
      <c r="G5029" s="55"/>
      <c r="U5029" s="56"/>
      <c r="X5029" s="57"/>
    </row>
    <row r="5030">
      <c r="A5030" s="54"/>
      <c r="G5030" s="55"/>
      <c r="U5030" s="56"/>
      <c r="X5030" s="57"/>
    </row>
    <row r="5031">
      <c r="A5031" s="54"/>
      <c r="G5031" s="55"/>
      <c r="U5031" s="56"/>
      <c r="X5031" s="57"/>
    </row>
    <row r="5032">
      <c r="A5032" s="54"/>
      <c r="G5032" s="55"/>
      <c r="U5032" s="56"/>
      <c r="X5032" s="57"/>
    </row>
    <row r="5033">
      <c r="A5033" s="54"/>
      <c r="G5033" s="55"/>
      <c r="U5033" s="56"/>
      <c r="X5033" s="57"/>
    </row>
    <row r="5034">
      <c r="A5034" s="54"/>
      <c r="G5034" s="55"/>
      <c r="U5034" s="56"/>
      <c r="X5034" s="57"/>
    </row>
    <row r="5035">
      <c r="A5035" s="54"/>
      <c r="G5035" s="55"/>
      <c r="U5035" s="56"/>
      <c r="X5035" s="57"/>
    </row>
    <row r="5036">
      <c r="A5036" s="54"/>
      <c r="G5036" s="55"/>
      <c r="U5036" s="56"/>
      <c r="X5036" s="57"/>
    </row>
    <row r="5037">
      <c r="A5037" s="54"/>
      <c r="G5037" s="55"/>
      <c r="U5037" s="56"/>
      <c r="X5037" s="57"/>
    </row>
    <row r="5038">
      <c r="A5038" s="54"/>
      <c r="G5038" s="55"/>
      <c r="U5038" s="56"/>
      <c r="X5038" s="57"/>
    </row>
    <row r="5039">
      <c r="A5039" s="54"/>
      <c r="G5039" s="55"/>
      <c r="U5039" s="56"/>
      <c r="X5039" s="57"/>
    </row>
    <row r="5040">
      <c r="A5040" s="54"/>
      <c r="G5040" s="55"/>
      <c r="U5040" s="56"/>
      <c r="X5040" s="57"/>
    </row>
    <row r="5041">
      <c r="A5041" s="54"/>
      <c r="G5041" s="55"/>
      <c r="U5041" s="56"/>
      <c r="X5041" s="57"/>
    </row>
    <row r="5042">
      <c r="A5042" s="54"/>
      <c r="G5042" s="55"/>
      <c r="U5042" s="56"/>
      <c r="X5042" s="57"/>
    </row>
    <row r="5043">
      <c r="A5043" s="54"/>
      <c r="G5043" s="55"/>
      <c r="U5043" s="56"/>
      <c r="X5043" s="57"/>
    </row>
    <row r="5044">
      <c r="A5044" s="54"/>
      <c r="G5044" s="55"/>
      <c r="U5044" s="56"/>
      <c r="X5044" s="57"/>
    </row>
    <row r="5045">
      <c r="A5045" s="54"/>
      <c r="G5045" s="55"/>
      <c r="U5045" s="56"/>
      <c r="X5045" s="57"/>
    </row>
    <row r="5046">
      <c r="A5046" s="54"/>
      <c r="G5046" s="55"/>
      <c r="U5046" s="56"/>
      <c r="X5046" s="57"/>
    </row>
    <row r="5047">
      <c r="A5047" s="54"/>
      <c r="G5047" s="55"/>
      <c r="U5047" s="56"/>
      <c r="X5047" s="57"/>
    </row>
    <row r="5048">
      <c r="A5048" s="54"/>
      <c r="G5048" s="55"/>
      <c r="U5048" s="56"/>
      <c r="X5048" s="57"/>
    </row>
    <row r="5049">
      <c r="A5049" s="54"/>
      <c r="G5049" s="55"/>
      <c r="U5049" s="56"/>
      <c r="X5049" s="57"/>
    </row>
    <row r="5050">
      <c r="A5050" s="54"/>
      <c r="G5050" s="55"/>
      <c r="U5050" s="56"/>
      <c r="X5050" s="57"/>
    </row>
    <row r="5051">
      <c r="A5051" s="54"/>
      <c r="G5051" s="55"/>
      <c r="U5051" s="56"/>
      <c r="X5051" s="57"/>
    </row>
    <row r="5052">
      <c r="A5052" s="54"/>
      <c r="G5052" s="55"/>
      <c r="U5052" s="56"/>
      <c r="X5052" s="57"/>
    </row>
    <row r="5053">
      <c r="A5053" s="54"/>
      <c r="G5053" s="55"/>
      <c r="U5053" s="56"/>
      <c r="X5053" s="57"/>
    </row>
    <row r="5054">
      <c r="A5054" s="54"/>
      <c r="G5054" s="55"/>
      <c r="U5054" s="56"/>
      <c r="X5054" s="57"/>
    </row>
    <row r="5055">
      <c r="A5055" s="54"/>
      <c r="G5055" s="55"/>
      <c r="U5055" s="56"/>
      <c r="X5055" s="57"/>
    </row>
    <row r="5056">
      <c r="A5056" s="54"/>
      <c r="G5056" s="55"/>
      <c r="U5056" s="56"/>
      <c r="X5056" s="57"/>
    </row>
    <row r="5057">
      <c r="A5057" s="54"/>
      <c r="G5057" s="55"/>
      <c r="U5057" s="56"/>
      <c r="X5057" s="57"/>
    </row>
    <row r="5058">
      <c r="A5058" s="54"/>
      <c r="G5058" s="55"/>
      <c r="U5058" s="56"/>
      <c r="X5058" s="57"/>
    </row>
    <row r="5059">
      <c r="A5059" s="54"/>
      <c r="G5059" s="55"/>
      <c r="U5059" s="56"/>
      <c r="X5059" s="57"/>
    </row>
    <row r="5060">
      <c r="A5060" s="54"/>
      <c r="G5060" s="55"/>
      <c r="U5060" s="56"/>
      <c r="X5060" s="57"/>
    </row>
    <row r="5061">
      <c r="A5061" s="54"/>
      <c r="G5061" s="55"/>
      <c r="U5061" s="56"/>
      <c r="X5061" s="57"/>
    </row>
    <row r="5062">
      <c r="A5062" s="54"/>
      <c r="G5062" s="55"/>
      <c r="U5062" s="56"/>
      <c r="X5062" s="57"/>
    </row>
    <row r="5063">
      <c r="A5063" s="54"/>
      <c r="G5063" s="55"/>
      <c r="U5063" s="56"/>
      <c r="X5063" s="57"/>
    </row>
    <row r="5064">
      <c r="A5064" s="54"/>
      <c r="G5064" s="55"/>
      <c r="U5064" s="56"/>
      <c r="X5064" s="57"/>
    </row>
    <row r="5065">
      <c r="A5065" s="54"/>
      <c r="G5065" s="55"/>
      <c r="U5065" s="56"/>
      <c r="X5065" s="57"/>
    </row>
    <row r="5066">
      <c r="A5066" s="54"/>
      <c r="G5066" s="55"/>
      <c r="U5066" s="56"/>
      <c r="X5066" s="57"/>
    </row>
    <row r="5067">
      <c r="A5067" s="54"/>
      <c r="G5067" s="55"/>
      <c r="U5067" s="56"/>
      <c r="X5067" s="57"/>
    </row>
    <row r="5068">
      <c r="A5068" s="54"/>
      <c r="G5068" s="55"/>
      <c r="U5068" s="56"/>
      <c r="X5068" s="57"/>
    </row>
    <row r="5069">
      <c r="A5069" s="54"/>
      <c r="G5069" s="55"/>
      <c r="U5069" s="56"/>
      <c r="X5069" s="57"/>
    </row>
    <row r="5070">
      <c r="A5070" s="54"/>
      <c r="G5070" s="55"/>
      <c r="U5070" s="56"/>
      <c r="X5070" s="57"/>
    </row>
    <row r="5071">
      <c r="A5071" s="54"/>
      <c r="G5071" s="55"/>
      <c r="U5071" s="56"/>
      <c r="X5071" s="57"/>
    </row>
    <row r="5072">
      <c r="A5072" s="54"/>
      <c r="G5072" s="55"/>
      <c r="U5072" s="56"/>
      <c r="X5072" s="57"/>
    </row>
    <row r="5073">
      <c r="A5073" s="54"/>
      <c r="G5073" s="55"/>
      <c r="U5073" s="56"/>
      <c r="X5073" s="57"/>
    </row>
    <row r="5074">
      <c r="A5074" s="54"/>
      <c r="G5074" s="55"/>
      <c r="U5074" s="56"/>
      <c r="X5074" s="57"/>
    </row>
    <row r="5075">
      <c r="A5075" s="54"/>
      <c r="G5075" s="55"/>
      <c r="U5075" s="56"/>
      <c r="X5075" s="57"/>
    </row>
    <row r="5076">
      <c r="A5076" s="54"/>
      <c r="G5076" s="55"/>
      <c r="U5076" s="56"/>
      <c r="X5076" s="57"/>
    </row>
    <row r="5077">
      <c r="A5077" s="54"/>
      <c r="G5077" s="55"/>
      <c r="U5077" s="56"/>
      <c r="X5077" s="57"/>
    </row>
    <row r="5078">
      <c r="A5078" s="54"/>
      <c r="G5078" s="55"/>
      <c r="U5078" s="56"/>
      <c r="X5078" s="57"/>
    </row>
    <row r="5079">
      <c r="A5079" s="54"/>
      <c r="G5079" s="55"/>
      <c r="U5079" s="56"/>
      <c r="X5079" s="57"/>
    </row>
    <row r="5080">
      <c r="A5080" s="54"/>
      <c r="G5080" s="55"/>
      <c r="U5080" s="56"/>
      <c r="X5080" s="57"/>
    </row>
    <row r="5081">
      <c r="A5081" s="54"/>
      <c r="G5081" s="55"/>
      <c r="U5081" s="56"/>
      <c r="X5081" s="57"/>
    </row>
    <row r="5082">
      <c r="A5082" s="54"/>
      <c r="G5082" s="55"/>
      <c r="U5082" s="56"/>
      <c r="X5082" s="57"/>
    </row>
    <row r="5083">
      <c r="A5083" s="54"/>
      <c r="G5083" s="55"/>
      <c r="U5083" s="56"/>
      <c r="X5083" s="57"/>
    </row>
    <row r="5084">
      <c r="A5084" s="54"/>
      <c r="G5084" s="55"/>
      <c r="U5084" s="56"/>
      <c r="X5084" s="57"/>
    </row>
    <row r="5085">
      <c r="A5085" s="54"/>
      <c r="G5085" s="55"/>
      <c r="U5085" s="56"/>
      <c r="X5085" s="57"/>
    </row>
    <row r="5086">
      <c r="A5086" s="54"/>
      <c r="G5086" s="55"/>
      <c r="U5086" s="56"/>
      <c r="X5086" s="57"/>
    </row>
    <row r="5087">
      <c r="A5087" s="54"/>
      <c r="G5087" s="55"/>
      <c r="U5087" s="56"/>
      <c r="X5087" s="57"/>
    </row>
    <row r="5088">
      <c r="A5088" s="54"/>
      <c r="G5088" s="55"/>
      <c r="U5088" s="56"/>
      <c r="X5088" s="57"/>
    </row>
    <row r="5089">
      <c r="A5089" s="54"/>
      <c r="G5089" s="55"/>
      <c r="U5089" s="56"/>
      <c r="X5089" s="57"/>
    </row>
    <row r="5090">
      <c r="A5090" s="54"/>
      <c r="G5090" s="55"/>
      <c r="U5090" s="56"/>
      <c r="X5090" s="57"/>
    </row>
    <row r="5091">
      <c r="A5091" s="54"/>
      <c r="G5091" s="55"/>
      <c r="U5091" s="56"/>
      <c r="X5091" s="57"/>
    </row>
    <row r="5092">
      <c r="A5092" s="54"/>
      <c r="G5092" s="55"/>
      <c r="U5092" s="56"/>
      <c r="X5092" s="57"/>
    </row>
    <row r="5093">
      <c r="A5093" s="54"/>
      <c r="G5093" s="55"/>
      <c r="U5093" s="56"/>
      <c r="X5093" s="57"/>
    </row>
    <row r="5094">
      <c r="A5094" s="54"/>
      <c r="G5094" s="55"/>
      <c r="U5094" s="56"/>
      <c r="X5094" s="57"/>
    </row>
    <row r="5095">
      <c r="A5095" s="54"/>
      <c r="G5095" s="55"/>
      <c r="U5095" s="56"/>
      <c r="X5095" s="57"/>
    </row>
    <row r="5096">
      <c r="A5096" s="54"/>
      <c r="G5096" s="55"/>
      <c r="U5096" s="56"/>
      <c r="X5096" s="57"/>
    </row>
    <row r="5097">
      <c r="A5097" s="54"/>
      <c r="G5097" s="55"/>
      <c r="U5097" s="56"/>
      <c r="X5097" s="57"/>
    </row>
    <row r="5098">
      <c r="A5098" s="54"/>
      <c r="G5098" s="55"/>
      <c r="U5098" s="56"/>
      <c r="X5098" s="57"/>
    </row>
    <row r="5099">
      <c r="A5099" s="54"/>
      <c r="G5099" s="55"/>
      <c r="U5099" s="56"/>
      <c r="X5099" s="57"/>
    </row>
    <row r="5100">
      <c r="A5100" s="54"/>
      <c r="G5100" s="55"/>
      <c r="U5100" s="56"/>
      <c r="X5100" s="57"/>
    </row>
    <row r="5101">
      <c r="A5101" s="54"/>
      <c r="G5101" s="55"/>
      <c r="U5101" s="56"/>
      <c r="X5101" s="57"/>
    </row>
    <row r="5102">
      <c r="A5102" s="54"/>
      <c r="G5102" s="55"/>
      <c r="U5102" s="56"/>
      <c r="X5102" s="57"/>
    </row>
    <row r="5103">
      <c r="A5103" s="54"/>
      <c r="G5103" s="55"/>
      <c r="U5103" s="56"/>
      <c r="X5103" s="57"/>
    </row>
    <row r="5104">
      <c r="A5104" s="54"/>
      <c r="G5104" s="55"/>
      <c r="U5104" s="56"/>
      <c r="X5104" s="57"/>
    </row>
    <row r="5105">
      <c r="A5105" s="54"/>
      <c r="G5105" s="55"/>
      <c r="U5105" s="56"/>
      <c r="X5105" s="57"/>
    </row>
    <row r="5106">
      <c r="A5106" s="54"/>
      <c r="G5106" s="55"/>
      <c r="U5106" s="56"/>
      <c r="X5106" s="57"/>
    </row>
    <row r="5107">
      <c r="A5107" s="54"/>
      <c r="G5107" s="55"/>
      <c r="U5107" s="56"/>
      <c r="X5107" s="57"/>
    </row>
    <row r="5108">
      <c r="A5108" s="54"/>
      <c r="G5108" s="55"/>
      <c r="U5108" s="56"/>
      <c r="X5108" s="57"/>
    </row>
    <row r="5109">
      <c r="A5109" s="54"/>
      <c r="G5109" s="55"/>
      <c r="U5109" s="56"/>
      <c r="X5109" s="57"/>
    </row>
    <row r="5110">
      <c r="A5110" s="54"/>
      <c r="G5110" s="55"/>
      <c r="U5110" s="56"/>
      <c r="X5110" s="57"/>
    </row>
    <row r="5111">
      <c r="A5111" s="54"/>
      <c r="G5111" s="55"/>
      <c r="U5111" s="56"/>
      <c r="X5111" s="57"/>
    </row>
    <row r="5112">
      <c r="A5112" s="54"/>
      <c r="G5112" s="55"/>
      <c r="U5112" s="56"/>
      <c r="X5112" s="57"/>
    </row>
    <row r="5113">
      <c r="A5113" s="54"/>
      <c r="G5113" s="55"/>
      <c r="U5113" s="56"/>
      <c r="X5113" s="57"/>
    </row>
    <row r="5114">
      <c r="A5114" s="54"/>
      <c r="G5114" s="55"/>
      <c r="U5114" s="56"/>
      <c r="X5114" s="57"/>
    </row>
    <row r="5115">
      <c r="A5115" s="54"/>
      <c r="G5115" s="55"/>
      <c r="U5115" s="56"/>
      <c r="X5115" s="57"/>
    </row>
    <row r="5116">
      <c r="A5116" s="54"/>
      <c r="G5116" s="55"/>
      <c r="U5116" s="56"/>
      <c r="X5116" s="57"/>
    </row>
    <row r="5117">
      <c r="A5117" s="54"/>
      <c r="G5117" s="55"/>
      <c r="U5117" s="56"/>
      <c r="X5117" s="57"/>
    </row>
    <row r="5118">
      <c r="A5118" s="54"/>
      <c r="G5118" s="55"/>
      <c r="U5118" s="56"/>
      <c r="X5118" s="57"/>
    </row>
    <row r="5119">
      <c r="A5119" s="54"/>
      <c r="G5119" s="55"/>
      <c r="U5119" s="56"/>
      <c r="X5119" s="57"/>
    </row>
    <row r="5120">
      <c r="A5120" s="54"/>
      <c r="G5120" s="55"/>
      <c r="U5120" s="56"/>
      <c r="X5120" s="57"/>
    </row>
    <row r="5121">
      <c r="A5121" s="54"/>
      <c r="G5121" s="55"/>
      <c r="U5121" s="56"/>
      <c r="X5121" s="57"/>
    </row>
    <row r="5122">
      <c r="A5122" s="54"/>
      <c r="G5122" s="55"/>
      <c r="U5122" s="56"/>
      <c r="X5122" s="57"/>
    </row>
    <row r="5123">
      <c r="A5123" s="54"/>
      <c r="G5123" s="55"/>
      <c r="U5123" s="56"/>
      <c r="X5123" s="57"/>
    </row>
    <row r="5124">
      <c r="A5124" s="54"/>
      <c r="G5124" s="55"/>
      <c r="U5124" s="56"/>
      <c r="X5124" s="57"/>
    </row>
    <row r="5125">
      <c r="A5125" s="54"/>
      <c r="G5125" s="55"/>
      <c r="U5125" s="56"/>
      <c r="X5125" s="57"/>
    </row>
    <row r="5126">
      <c r="A5126" s="54"/>
      <c r="G5126" s="55"/>
      <c r="U5126" s="56"/>
      <c r="X5126" s="57"/>
    </row>
    <row r="5127">
      <c r="A5127" s="54"/>
      <c r="G5127" s="55"/>
      <c r="U5127" s="56"/>
      <c r="X5127" s="57"/>
    </row>
    <row r="5128">
      <c r="A5128" s="54"/>
      <c r="G5128" s="55"/>
      <c r="U5128" s="56"/>
      <c r="X5128" s="57"/>
    </row>
    <row r="5129">
      <c r="A5129" s="54"/>
      <c r="G5129" s="55"/>
      <c r="U5129" s="56"/>
      <c r="X5129" s="57"/>
    </row>
    <row r="5130">
      <c r="A5130" s="54"/>
      <c r="G5130" s="55"/>
      <c r="U5130" s="56"/>
      <c r="X5130" s="57"/>
    </row>
    <row r="5131">
      <c r="A5131" s="54"/>
      <c r="G5131" s="55"/>
      <c r="U5131" s="56"/>
      <c r="X5131" s="57"/>
    </row>
    <row r="5132">
      <c r="A5132" s="54"/>
      <c r="G5132" s="55"/>
      <c r="U5132" s="56"/>
      <c r="X5132" s="57"/>
    </row>
    <row r="5133">
      <c r="A5133" s="54"/>
      <c r="G5133" s="55"/>
      <c r="U5133" s="56"/>
      <c r="X5133" s="57"/>
    </row>
    <row r="5134">
      <c r="A5134" s="54"/>
      <c r="G5134" s="55"/>
      <c r="U5134" s="56"/>
      <c r="X5134" s="57"/>
    </row>
    <row r="5135">
      <c r="A5135" s="54"/>
      <c r="G5135" s="55"/>
      <c r="U5135" s="56"/>
      <c r="X5135" s="57"/>
    </row>
    <row r="5136">
      <c r="A5136" s="54"/>
      <c r="G5136" s="55"/>
      <c r="U5136" s="56"/>
      <c r="X5136" s="57"/>
    </row>
    <row r="5137">
      <c r="A5137" s="54"/>
      <c r="G5137" s="55"/>
      <c r="U5137" s="56"/>
      <c r="X5137" s="57"/>
    </row>
    <row r="5138">
      <c r="A5138" s="54"/>
      <c r="G5138" s="55"/>
      <c r="U5138" s="56"/>
      <c r="X5138" s="57"/>
    </row>
    <row r="5139">
      <c r="A5139" s="54"/>
      <c r="G5139" s="55"/>
      <c r="U5139" s="56"/>
      <c r="X5139" s="57"/>
    </row>
    <row r="5140">
      <c r="A5140" s="54"/>
      <c r="G5140" s="55"/>
      <c r="U5140" s="56"/>
      <c r="X5140" s="57"/>
    </row>
    <row r="5141">
      <c r="A5141" s="54"/>
      <c r="G5141" s="55"/>
      <c r="U5141" s="56"/>
      <c r="X5141" s="57"/>
    </row>
    <row r="5142">
      <c r="A5142" s="54"/>
      <c r="G5142" s="55"/>
      <c r="U5142" s="56"/>
      <c r="X5142" s="57"/>
    </row>
    <row r="5143">
      <c r="A5143" s="54"/>
      <c r="G5143" s="55"/>
      <c r="U5143" s="56"/>
      <c r="X5143" s="57"/>
    </row>
    <row r="5144">
      <c r="A5144" s="54"/>
      <c r="G5144" s="55"/>
      <c r="U5144" s="56"/>
      <c r="X5144" s="57"/>
    </row>
    <row r="5145">
      <c r="A5145" s="54"/>
      <c r="G5145" s="55"/>
      <c r="U5145" s="56"/>
      <c r="X5145" s="57"/>
    </row>
    <row r="5146">
      <c r="A5146" s="54"/>
      <c r="G5146" s="55"/>
      <c r="U5146" s="56"/>
      <c r="X5146" s="57"/>
    </row>
    <row r="5147">
      <c r="A5147" s="54"/>
      <c r="G5147" s="55"/>
      <c r="U5147" s="56"/>
      <c r="X5147" s="57"/>
    </row>
    <row r="5148">
      <c r="A5148" s="54"/>
      <c r="G5148" s="55"/>
      <c r="U5148" s="56"/>
      <c r="X5148" s="57"/>
    </row>
    <row r="5149">
      <c r="A5149" s="54"/>
      <c r="G5149" s="55"/>
      <c r="U5149" s="56"/>
      <c r="X5149" s="57"/>
    </row>
    <row r="5150">
      <c r="A5150" s="54"/>
      <c r="G5150" s="55"/>
      <c r="U5150" s="56"/>
      <c r="X5150" s="57"/>
    </row>
    <row r="5151">
      <c r="A5151" s="54"/>
      <c r="G5151" s="55"/>
      <c r="U5151" s="56"/>
      <c r="X5151" s="57"/>
    </row>
    <row r="5152">
      <c r="A5152" s="54"/>
      <c r="G5152" s="55"/>
      <c r="U5152" s="56"/>
      <c r="X5152" s="57"/>
    </row>
    <row r="5153">
      <c r="A5153" s="54"/>
      <c r="G5153" s="55"/>
      <c r="U5153" s="56"/>
      <c r="X5153" s="57"/>
    </row>
    <row r="5154">
      <c r="A5154" s="54"/>
      <c r="G5154" s="55"/>
      <c r="U5154" s="56"/>
      <c r="X5154" s="57"/>
    </row>
    <row r="5155">
      <c r="A5155" s="54"/>
      <c r="G5155" s="55"/>
      <c r="U5155" s="56"/>
      <c r="X5155" s="57"/>
    </row>
    <row r="5156">
      <c r="A5156" s="54"/>
      <c r="G5156" s="55"/>
      <c r="U5156" s="56"/>
      <c r="X5156" s="57"/>
    </row>
    <row r="5157">
      <c r="A5157" s="54"/>
      <c r="G5157" s="55"/>
      <c r="U5157" s="56"/>
      <c r="X5157" s="57"/>
    </row>
    <row r="5158">
      <c r="A5158" s="54"/>
      <c r="G5158" s="55"/>
      <c r="U5158" s="56"/>
      <c r="X5158" s="57"/>
    </row>
    <row r="5159">
      <c r="A5159" s="54"/>
      <c r="G5159" s="55"/>
      <c r="U5159" s="56"/>
      <c r="X5159" s="57"/>
    </row>
    <row r="5160">
      <c r="A5160" s="54"/>
      <c r="G5160" s="55"/>
      <c r="U5160" s="56"/>
      <c r="X5160" s="57"/>
    </row>
    <row r="5161">
      <c r="A5161" s="54"/>
      <c r="G5161" s="55"/>
      <c r="U5161" s="56"/>
      <c r="X5161" s="57"/>
    </row>
    <row r="5162">
      <c r="A5162" s="54"/>
      <c r="G5162" s="55"/>
      <c r="U5162" s="56"/>
      <c r="X5162" s="57"/>
    </row>
    <row r="5163">
      <c r="A5163" s="54"/>
      <c r="G5163" s="55"/>
      <c r="U5163" s="56"/>
      <c r="X5163" s="57"/>
    </row>
    <row r="5164">
      <c r="A5164" s="54"/>
      <c r="G5164" s="55"/>
      <c r="U5164" s="56"/>
      <c r="X5164" s="57"/>
    </row>
    <row r="5165">
      <c r="A5165" s="54"/>
      <c r="G5165" s="55"/>
      <c r="U5165" s="56"/>
      <c r="X5165" s="57"/>
    </row>
    <row r="5166">
      <c r="A5166" s="54"/>
      <c r="G5166" s="55"/>
      <c r="U5166" s="56"/>
      <c r="X5166" s="57"/>
    </row>
    <row r="5167">
      <c r="A5167" s="54"/>
      <c r="G5167" s="55"/>
      <c r="U5167" s="56"/>
      <c r="X5167" s="57"/>
    </row>
    <row r="5168">
      <c r="A5168" s="54"/>
      <c r="G5168" s="55"/>
      <c r="U5168" s="56"/>
      <c r="X5168" s="57"/>
    </row>
    <row r="5169">
      <c r="A5169" s="54"/>
      <c r="G5169" s="55"/>
      <c r="U5169" s="56"/>
      <c r="X5169" s="57"/>
    </row>
    <row r="5170">
      <c r="A5170" s="54"/>
      <c r="G5170" s="55"/>
      <c r="U5170" s="56"/>
      <c r="X5170" s="57"/>
    </row>
    <row r="5171">
      <c r="A5171" s="54"/>
      <c r="G5171" s="55"/>
      <c r="U5171" s="56"/>
      <c r="X5171" s="57"/>
    </row>
    <row r="5172">
      <c r="A5172" s="54"/>
      <c r="G5172" s="55"/>
      <c r="U5172" s="56"/>
      <c r="X5172" s="57"/>
    </row>
    <row r="5173">
      <c r="A5173" s="54"/>
      <c r="G5173" s="55"/>
      <c r="U5173" s="56"/>
      <c r="X5173" s="57"/>
    </row>
    <row r="5174">
      <c r="A5174" s="54"/>
      <c r="G5174" s="55"/>
      <c r="U5174" s="56"/>
      <c r="X5174" s="57"/>
    </row>
    <row r="5175">
      <c r="A5175" s="54"/>
      <c r="G5175" s="55"/>
      <c r="U5175" s="56"/>
      <c r="X5175" s="57"/>
    </row>
    <row r="5176">
      <c r="A5176" s="54"/>
      <c r="G5176" s="55"/>
      <c r="U5176" s="56"/>
      <c r="X5176" s="57"/>
    </row>
    <row r="5177">
      <c r="A5177" s="54"/>
      <c r="G5177" s="55"/>
      <c r="U5177" s="56"/>
      <c r="X5177" s="57"/>
    </row>
    <row r="5178">
      <c r="A5178" s="54"/>
      <c r="G5178" s="55"/>
      <c r="U5178" s="56"/>
      <c r="X5178" s="57"/>
    </row>
    <row r="5179">
      <c r="A5179" s="54"/>
      <c r="G5179" s="55"/>
      <c r="U5179" s="56"/>
      <c r="X5179" s="57"/>
    </row>
    <row r="5180">
      <c r="A5180" s="54"/>
      <c r="G5180" s="55"/>
      <c r="U5180" s="56"/>
      <c r="X5180" s="57"/>
    </row>
    <row r="5181">
      <c r="A5181" s="54"/>
      <c r="G5181" s="55"/>
      <c r="U5181" s="56"/>
      <c r="X5181" s="57"/>
    </row>
    <row r="5182">
      <c r="A5182" s="54"/>
      <c r="G5182" s="55"/>
      <c r="U5182" s="56"/>
      <c r="X5182" s="57"/>
    </row>
    <row r="5183">
      <c r="A5183" s="54"/>
      <c r="G5183" s="55"/>
      <c r="U5183" s="56"/>
      <c r="X5183" s="57"/>
    </row>
    <row r="5184">
      <c r="A5184" s="54"/>
      <c r="G5184" s="55"/>
      <c r="U5184" s="56"/>
      <c r="X5184" s="57"/>
    </row>
    <row r="5185">
      <c r="A5185" s="54"/>
      <c r="G5185" s="55"/>
      <c r="U5185" s="56"/>
      <c r="X5185" s="57"/>
    </row>
    <row r="5186">
      <c r="A5186" s="54"/>
      <c r="G5186" s="55"/>
      <c r="U5186" s="56"/>
      <c r="X5186" s="57"/>
    </row>
    <row r="5187">
      <c r="A5187" s="54"/>
      <c r="G5187" s="55"/>
      <c r="U5187" s="56"/>
      <c r="X5187" s="57"/>
    </row>
    <row r="5188">
      <c r="A5188" s="54"/>
      <c r="G5188" s="55"/>
      <c r="U5188" s="56"/>
      <c r="X5188" s="57"/>
    </row>
    <row r="5189">
      <c r="A5189" s="54"/>
      <c r="G5189" s="55"/>
      <c r="U5189" s="56"/>
      <c r="X5189" s="57"/>
    </row>
    <row r="5190">
      <c r="A5190" s="54"/>
      <c r="G5190" s="55"/>
      <c r="U5190" s="56"/>
      <c r="X5190" s="57"/>
    </row>
    <row r="5191">
      <c r="A5191" s="54"/>
      <c r="G5191" s="55"/>
      <c r="U5191" s="56"/>
      <c r="X5191" s="57"/>
    </row>
    <row r="5192">
      <c r="A5192" s="54"/>
      <c r="G5192" s="55"/>
      <c r="U5192" s="56"/>
      <c r="X5192" s="57"/>
    </row>
    <row r="5193">
      <c r="A5193" s="54"/>
      <c r="G5193" s="55"/>
      <c r="U5193" s="56"/>
      <c r="X5193" s="57"/>
    </row>
    <row r="5194">
      <c r="A5194" s="54"/>
      <c r="G5194" s="55"/>
      <c r="U5194" s="56"/>
      <c r="X5194" s="57"/>
    </row>
    <row r="5195">
      <c r="A5195" s="54"/>
      <c r="G5195" s="55"/>
      <c r="U5195" s="56"/>
      <c r="X5195" s="57"/>
    </row>
    <row r="5196">
      <c r="A5196" s="54"/>
      <c r="G5196" s="55"/>
      <c r="U5196" s="56"/>
      <c r="X5196" s="57"/>
    </row>
    <row r="5197">
      <c r="A5197" s="54"/>
      <c r="G5197" s="55"/>
      <c r="U5197" s="56"/>
      <c r="X5197" s="57"/>
    </row>
    <row r="5198">
      <c r="A5198" s="54"/>
      <c r="G5198" s="55"/>
      <c r="U5198" s="56"/>
      <c r="X5198" s="57"/>
    </row>
    <row r="5199">
      <c r="A5199" s="54"/>
      <c r="G5199" s="55"/>
      <c r="U5199" s="56"/>
      <c r="X5199" s="57"/>
    </row>
    <row r="5200">
      <c r="A5200" s="54"/>
      <c r="G5200" s="55"/>
      <c r="U5200" s="56"/>
      <c r="X5200" s="57"/>
    </row>
    <row r="5201">
      <c r="A5201" s="54"/>
      <c r="G5201" s="55"/>
      <c r="U5201" s="56"/>
      <c r="X5201" s="57"/>
    </row>
    <row r="5202">
      <c r="A5202" s="54"/>
      <c r="G5202" s="55"/>
      <c r="U5202" s="56"/>
      <c r="X5202" s="57"/>
    </row>
    <row r="5203">
      <c r="A5203" s="54"/>
      <c r="G5203" s="55"/>
      <c r="U5203" s="56"/>
      <c r="X5203" s="57"/>
    </row>
    <row r="5204">
      <c r="A5204" s="54"/>
      <c r="G5204" s="55"/>
      <c r="U5204" s="56"/>
      <c r="X5204" s="57"/>
    </row>
    <row r="5205">
      <c r="A5205" s="54"/>
      <c r="G5205" s="55"/>
      <c r="U5205" s="56"/>
      <c r="X5205" s="57"/>
    </row>
    <row r="5206">
      <c r="A5206" s="54"/>
      <c r="G5206" s="55"/>
      <c r="U5206" s="56"/>
      <c r="X5206" s="57"/>
    </row>
    <row r="5207">
      <c r="A5207" s="54"/>
      <c r="G5207" s="55"/>
      <c r="U5207" s="56"/>
      <c r="X5207" s="57"/>
    </row>
    <row r="5208">
      <c r="A5208" s="54"/>
      <c r="G5208" s="55"/>
      <c r="U5208" s="56"/>
      <c r="X5208" s="57"/>
    </row>
    <row r="5209">
      <c r="A5209" s="54"/>
      <c r="G5209" s="55"/>
      <c r="U5209" s="56"/>
      <c r="X5209" s="57"/>
    </row>
    <row r="5210">
      <c r="A5210" s="54"/>
      <c r="G5210" s="55"/>
      <c r="U5210" s="56"/>
      <c r="X5210" s="57"/>
    </row>
    <row r="5211">
      <c r="A5211" s="54"/>
      <c r="G5211" s="55"/>
      <c r="U5211" s="56"/>
      <c r="X5211" s="57"/>
    </row>
    <row r="5212">
      <c r="A5212" s="54"/>
      <c r="G5212" s="55"/>
      <c r="U5212" s="56"/>
      <c r="X5212" s="57"/>
    </row>
    <row r="5213">
      <c r="A5213" s="54"/>
      <c r="G5213" s="55"/>
      <c r="U5213" s="56"/>
      <c r="X5213" s="57"/>
    </row>
    <row r="5214">
      <c r="A5214" s="54"/>
      <c r="G5214" s="55"/>
      <c r="U5214" s="56"/>
      <c r="X5214" s="57"/>
    </row>
    <row r="5215">
      <c r="A5215" s="54"/>
      <c r="G5215" s="55"/>
      <c r="U5215" s="56"/>
      <c r="X5215" s="57"/>
    </row>
    <row r="5216">
      <c r="A5216" s="54"/>
      <c r="G5216" s="55"/>
      <c r="U5216" s="56"/>
      <c r="X5216" s="57"/>
    </row>
    <row r="5217">
      <c r="A5217" s="54"/>
      <c r="G5217" s="55"/>
      <c r="U5217" s="56"/>
      <c r="X5217" s="57"/>
    </row>
    <row r="5218">
      <c r="A5218" s="54"/>
      <c r="G5218" s="55"/>
      <c r="U5218" s="56"/>
      <c r="X5218" s="57"/>
    </row>
    <row r="5219">
      <c r="A5219" s="54"/>
      <c r="G5219" s="55"/>
      <c r="U5219" s="56"/>
      <c r="X5219" s="57"/>
    </row>
    <row r="5220">
      <c r="A5220" s="54"/>
      <c r="G5220" s="55"/>
      <c r="U5220" s="56"/>
      <c r="X5220" s="57"/>
    </row>
    <row r="5221">
      <c r="A5221" s="54"/>
      <c r="G5221" s="55"/>
      <c r="U5221" s="56"/>
      <c r="X5221" s="57"/>
    </row>
    <row r="5222">
      <c r="A5222" s="54"/>
      <c r="G5222" s="55"/>
      <c r="U5222" s="56"/>
      <c r="X5222" s="57"/>
    </row>
    <row r="5223">
      <c r="A5223" s="54"/>
      <c r="G5223" s="55"/>
      <c r="U5223" s="56"/>
      <c r="X5223" s="57"/>
    </row>
    <row r="5224">
      <c r="A5224" s="54"/>
      <c r="G5224" s="55"/>
      <c r="U5224" s="56"/>
      <c r="X5224" s="57"/>
    </row>
    <row r="5225">
      <c r="A5225" s="54"/>
      <c r="G5225" s="55"/>
      <c r="U5225" s="56"/>
      <c r="X5225" s="57"/>
    </row>
    <row r="5226">
      <c r="A5226" s="54"/>
      <c r="G5226" s="55"/>
      <c r="U5226" s="56"/>
      <c r="X5226" s="57"/>
    </row>
    <row r="5227">
      <c r="A5227" s="54"/>
      <c r="G5227" s="55"/>
      <c r="U5227" s="56"/>
      <c r="X5227" s="57"/>
    </row>
    <row r="5228">
      <c r="A5228" s="54"/>
      <c r="G5228" s="55"/>
      <c r="U5228" s="56"/>
      <c r="X5228" s="57"/>
    </row>
    <row r="5229">
      <c r="A5229" s="54"/>
      <c r="G5229" s="55"/>
      <c r="U5229" s="56"/>
      <c r="X5229" s="57"/>
    </row>
    <row r="5230">
      <c r="A5230" s="54"/>
      <c r="G5230" s="55"/>
      <c r="U5230" s="56"/>
      <c r="X5230" s="57"/>
    </row>
    <row r="5231">
      <c r="A5231" s="54"/>
      <c r="G5231" s="55"/>
      <c r="U5231" s="56"/>
      <c r="X5231" s="57"/>
    </row>
    <row r="5232">
      <c r="A5232" s="54"/>
      <c r="G5232" s="55"/>
      <c r="U5232" s="56"/>
      <c r="X5232" s="57"/>
    </row>
    <row r="5233">
      <c r="A5233" s="54"/>
      <c r="G5233" s="55"/>
      <c r="U5233" s="56"/>
      <c r="X5233" s="57"/>
    </row>
    <row r="5234">
      <c r="A5234" s="54"/>
      <c r="G5234" s="55"/>
      <c r="U5234" s="56"/>
      <c r="X5234" s="57"/>
    </row>
    <row r="5235">
      <c r="A5235" s="54"/>
      <c r="G5235" s="55"/>
      <c r="U5235" s="56"/>
      <c r="X5235" s="57"/>
    </row>
    <row r="5236">
      <c r="A5236" s="54"/>
      <c r="G5236" s="55"/>
      <c r="U5236" s="56"/>
      <c r="X5236" s="57"/>
    </row>
    <row r="5237">
      <c r="A5237" s="54"/>
      <c r="G5237" s="55"/>
      <c r="U5237" s="56"/>
      <c r="X5237" s="57"/>
    </row>
    <row r="5238">
      <c r="A5238" s="54"/>
      <c r="G5238" s="55"/>
      <c r="U5238" s="56"/>
      <c r="X5238" s="57"/>
    </row>
    <row r="5239">
      <c r="A5239" s="54"/>
      <c r="G5239" s="55"/>
      <c r="U5239" s="56"/>
      <c r="X5239" s="57"/>
    </row>
    <row r="5240">
      <c r="A5240" s="54"/>
      <c r="G5240" s="55"/>
      <c r="U5240" s="56"/>
      <c r="X5240" s="57"/>
    </row>
    <row r="5241">
      <c r="A5241" s="54"/>
      <c r="G5241" s="55"/>
      <c r="U5241" s="56"/>
      <c r="X5241" s="57"/>
    </row>
    <row r="5242">
      <c r="A5242" s="54"/>
      <c r="G5242" s="55"/>
      <c r="U5242" s="56"/>
      <c r="X5242" s="57"/>
    </row>
    <row r="5243">
      <c r="A5243" s="54"/>
      <c r="G5243" s="55"/>
      <c r="U5243" s="56"/>
      <c r="X5243" s="57"/>
    </row>
    <row r="5244">
      <c r="A5244" s="54"/>
      <c r="G5244" s="55"/>
      <c r="U5244" s="56"/>
      <c r="X5244" s="57"/>
    </row>
    <row r="5245">
      <c r="A5245" s="54"/>
      <c r="G5245" s="55"/>
      <c r="U5245" s="56"/>
      <c r="X5245" s="57"/>
    </row>
    <row r="5246">
      <c r="A5246" s="54"/>
      <c r="G5246" s="55"/>
      <c r="U5246" s="56"/>
      <c r="X5246" s="57"/>
    </row>
    <row r="5247">
      <c r="A5247" s="54"/>
      <c r="G5247" s="55"/>
      <c r="U5247" s="56"/>
      <c r="X5247" s="57"/>
    </row>
    <row r="5248">
      <c r="A5248" s="54"/>
      <c r="G5248" s="55"/>
      <c r="U5248" s="56"/>
      <c r="X5248" s="57"/>
    </row>
    <row r="5249">
      <c r="A5249" s="54"/>
      <c r="G5249" s="55"/>
      <c r="U5249" s="56"/>
      <c r="X5249" s="57"/>
    </row>
    <row r="5250">
      <c r="A5250" s="54"/>
      <c r="G5250" s="55"/>
      <c r="U5250" s="56"/>
      <c r="X5250" s="57"/>
    </row>
    <row r="5251">
      <c r="A5251" s="54"/>
      <c r="G5251" s="55"/>
      <c r="U5251" s="56"/>
      <c r="X5251" s="57"/>
    </row>
    <row r="5252">
      <c r="A5252" s="54"/>
      <c r="G5252" s="55"/>
      <c r="U5252" s="56"/>
      <c r="X5252" s="57"/>
    </row>
    <row r="5253">
      <c r="A5253" s="54"/>
      <c r="G5253" s="55"/>
      <c r="U5253" s="56"/>
      <c r="X5253" s="57"/>
    </row>
    <row r="5254">
      <c r="A5254" s="54"/>
      <c r="G5254" s="55"/>
      <c r="U5254" s="56"/>
      <c r="X5254" s="57"/>
    </row>
    <row r="5255">
      <c r="A5255" s="54"/>
      <c r="G5255" s="55"/>
      <c r="U5255" s="56"/>
      <c r="X5255" s="57"/>
    </row>
    <row r="5256">
      <c r="A5256" s="54"/>
      <c r="G5256" s="55"/>
      <c r="U5256" s="56"/>
      <c r="X5256" s="57"/>
    </row>
    <row r="5257">
      <c r="A5257" s="54"/>
      <c r="G5257" s="55"/>
      <c r="U5257" s="56"/>
      <c r="X5257" s="57"/>
    </row>
    <row r="5258">
      <c r="A5258" s="54"/>
      <c r="G5258" s="55"/>
      <c r="U5258" s="56"/>
      <c r="X5258" s="57"/>
    </row>
    <row r="5259">
      <c r="A5259" s="54"/>
      <c r="G5259" s="55"/>
      <c r="U5259" s="56"/>
      <c r="X5259" s="57"/>
    </row>
    <row r="5260">
      <c r="A5260" s="54"/>
      <c r="G5260" s="55"/>
      <c r="U5260" s="56"/>
      <c r="X5260" s="57"/>
    </row>
    <row r="5261">
      <c r="A5261" s="54"/>
      <c r="G5261" s="55"/>
      <c r="U5261" s="56"/>
      <c r="X5261" s="57"/>
    </row>
    <row r="5262">
      <c r="A5262" s="54"/>
      <c r="G5262" s="55"/>
      <c r="U5262" s="56"/>
      <c r="X5262" s="57"/>
    </row>
    <row r="5263">
      <c r="A5263" s="54"/>
      <c r="G5263" s="55"/>
      <c r="U5263" s="56"/>
      <c r="X5263" s="57"/>
    </row>
    <row r="5264">
      <c r="A5264" s="54"/>
      <c r="G5264" s="55"/>
      <c r="U5264" s="56"/>
      <c r="X5264" s="57"/>
    </row>
    <row r="5265">
      <c r="A5265" s="54"/>
      <c r="G5265" s="55"/>
      <c r="U5265" s="56"/>
      <c r="X5265" s="57"/>
    </row>
    <row r="5266">
      <c r="A5266" s="54"/>
      <c r="G5266" s="55"/>
      <c r="U5266" s="56"/>
      <c r="X5266" s="57"/>
    </row>
    <row r="5267">
      <c r="A5267" s="54"/>
      <c r="G5267" s="55"/>
      <c r="U5267" s="56"/>
      <c r="X5267" s="57"/>
    </row>
    <row r="5268">
      <c r="A5268" s="54"/>
      <c r="G5268" s="55"/>
      <c r="U5268" s="56"/>
      <c r="X5268" s="57"/>
    </row>
    <row r="5269">
      <c r="A5269" s="54"/>
      <c r="G5269" s="55"/>
      <c r="U5269" s="56"/>
      <c r="X5269" s="57"/>
    </row>
    <row r="5270">
      <c r="A5270" s="54"/>
      <c r="G5270" s="55"/>
      <c r="U5270" s="56"/>
      <c r="X5270" s="57"/>
    </row>
    <row r="5271">
      <c r="A5271" s="54"/>
      <c r="G5271" s="55"/>
      <c r="U5271" s="56"/>
      <c r="X5271" s="57"/>
    </row>
    <row r="5272">
      <c r="A5272" s="54"/>
      <c r="G5272" s="55"/>
      <c r="U5272" s="56"/>
      <c r="X5272" s="57"/>
    </row>
    <row r="5273">
      <c r="A5273" s="54"/>
      <c r="G5273" s="55"/>
      <c r="U5273" s="56"/>
      <c r="X5273" s="57"/>
    </row>
    <row r="5274">
      <c r="A5274" s="54"/>
      <c r="G5274" s="55"/>
      <c r="U5274" s="56"/>
      <c r="X5274" s="57"/>
    </row>
    <row r="5275">
      <c r="A5275" s="54"/>
      <c r="G5275" s="55"/>
      <c r="U5275" s="56"/>
      <c r="X5275" s="57"/>
    </row>
    <row r="5276">
      <c r="A5276" s="54"/>
      <c r="G5276" s="55"/>
      <c r="U5276" s="56"/>
      <c r="X5276" s="57"/>
    </row>
    <row r="5277">
      <c r="A5277" s="54"/>
      <c r="G5277" s="55"/>
      <c r="U5277" s="56"/>
      <c r="X5277" s="57"/>
    </row>
    <row r="5278">
      <c r="A5278" s="54"/>
      <c r="G5278" s="55"/>
      <c r="U5278" s="56"/>
      <c r="X5278" s="57"/>
    </row>
    <row r="5279">
      <c r="A5279" s="54"/>
      <c r="G5279" s="55"/>
      <c r="U5279" s="56"/>
      <c r="X5279" s="57"/>
    </row>
    <row r="5280">
      <c r="A5280" s="54"/>
      <c r="G5280" s="55"/>
      <c r="U5280" s="56"/>
      <c r="X5280" s="57"/>
    </row>
    <row r="5281">
      <c r="A5281" s="54"/>
      <c r="G5281" s="55"/>
      <c r="U5281" s="56"/>
      <c r="X5281" s="57"/>
    </row>
    <row r="5282">
      <c r="A5282" s="54"/>
      <c r="G5282" s="55"/>
      <c r="U5282" s="56"/>
      <c r="X5282" s="57"/>
    </row>
    <row r="5283">
      <c r="A5283" s="54"/>
      <c r="G5283" s="55"/>
      <c r="U5283" s="56"/>
      <c r="X5283" s="57"/>
    </row>
    <row r="5284">
      <c r="A5284" s="54"/>
      <c r="G5284" s="55"/>
      <c r="U5284" s="56"/>
      <c r="X5284" s="57"/>
    </row>
    <row r="5285">
      <c r="A5285" s="54"/>
      <c r="G5285" s="55"/>
      <c r="U5285" s="56"/>
      <c r="X5285" s="57"/>
    </row>
    <row r="5286">
      <c r="A5286" s="54"/>
      <c r="G5286" s="55"/>
      <c r="U5286" s="56"/>
      <c r="X5286" s="57"/>
    </row>
    <row r="5287">
      <c r="A5287" s="54"/>
      <c r="G5287" s="55"/>
      <c r="U5287" s="56"/>
      <c r="X5287" s="57"/>
    </row>
    <row r="5288">
      <c r="A5288" s="54"/>
      <c r="G5288" s="55"/>
      <c r="U5288" s="56"/>
      <c r="X5288" s="57"/>
    </row>
    <row r="5289">
      <c r="A5289" s="54"/>
      <c r="G5289" s="55"/>
      <c r="U5289" s="56"/>
      <c r="X5289" s="57"/>
    </row>
    <row r="5290">
      <c r="A5290" s="54"/>
      <c r="G5290" s="55"/>
      <c r="U5290" s="56"/>
      <c r="X5290" s="57"/>
    </row>
    <row r="5291">
      <c r="A5291" s="54"/>
      <c r="G5291" s="55"/>
      <c r="U5291" s="56"/>
      <c r="X5291" s="57"/>
    </row>
    <row r="5292">
      <c r="A5292" s="54"/>
      <c r="G5292" s="55"/>
      <c r="U5292" s="56"/>
      <c r="X5292" s="57"/>
    </row>
    <row r="5293">
      <c r="A5293" s="54"/>
      <c r="G5293" s="55"/>
      <c r="U5293" s="56"/>
      <c r="X5293" s="57"/>
    </row>
    <row r="5294">
      <c r="A5294" s="54"/>
      <c r="G5294" s="55"/>
      <c r="U5294" s="56"/>
      <c r="X5294" s="57"/>
    </row>
    <row r="5295">
      <c r="A5295" s="54"/>
      <c r="G5295" s="55"/>
      <c r="U5295" s="56"/>
      <c r="X5295" s="57"/>
    </row>
    <row r="5296">
      <c r="A5296" s="54"/>
      <c r="G5296" s="55"/>
      <c r="U5296" s="56"/>
      <c r="X5296" s="57"/>
    </row>
    <row r="5297">
      <c r="A5297" s="54"/>
      <c r="G5297" s="55"/>
      <c r="U5297" s="56"/>
      <c r="X5297" s="57"/>
    </row>
    <row r="5298">
      <c r="A5298" s="54"/>
      <c r="G5298" s="55"/>
      <c r="U5298" s="56"/>
      <c r="X5298" s="57"/>
    </row>
    <row r="5299">
      <c r="A5299" s="54"/>
      <c r="G5299" s="55"/>
      <c r="U5299" s="56"/>
      <c r="X5299" s="57"/>
    </row>
    <row r="5300">
      <c r="A5300" s="54"/>
      <c r="G5300" s="55"/>
      <c r="U5300" s="56"/>
      <c r="X5300" s="57"/>
    </row>
    <row r="5301">
      <c r="A5301" s="54"/>
      <c r="G5301" s="55"/>
      <c r="U5301" s="56"/>
      <c r="X5301" s="57"/>
    </row>
    <row r="5302">
      <c r="A5302" s="54"/>
      <c r="G5302" s="55"/>
      <c r="U5302" s="56"/>
      <c r="X5302" s="57"/>
    </row>
    <row r="5303">
      <c r="A5303" s="54"/>
      <c r="G5303" s="55"/>
      <c r="U5303" s="56"/>
      <c r="X5303" s="57"/>
    </row>
    <row r="5304">
      <c r="A5304" s="54"/>
      <c r="G5304" s="55"/>
      <c r="U5304" s="56"/>
      <c r="X5304" s="57"/>
    </row>
    <row r="5305">
      <c r="A5305" s="54"/>
      <c r="G5305" s="55"/>
      <c r="U5305" s="56"/>
      <c r="X5305" s="57"/>
    </row>
    <row r="5306">
      <c r="A5306" s="54"/>
      <c r="G5306" s="55"/>
      <c r="U5306" s="56"/>
      <c r="X5306" s="57"/>
    </row>
    <row r="5307">
      <c r="A5307" s="54"/>
      <c r="G5307" s="55"/>
      <c r="U5307" s="56"/>
      <c r="X5307" s="57"/>
    </row>
    <row r="5308">
      <c r="A5308" s="54"/>
      <c r="G5308" s="55"/>
      <c r="U5308" s="56"/>
      <c r="X5308" s="57"/>
    </row>
    <row r="5309">
      <c r="A5309" s="54"/>
      <c r="G5309" s="55"/>
      <c r="U5309" s="56"/>
      <c r="X5309" s="57"/>
    </row>
    <row r="5310">
      <c r="A5310" s="54"/>
      <c r="G5310" s="55"/>
      <c r="U5310" s="56"/>
      <c r="X5310" s="57"/>
    </row>
    <row r="5311">
      <c r="A5311" s="54"/>
      <c r="G5311" s="55"/>
      <c r="U5311" s="56"/>
      <c r="X5311" s="57"/>
    </row>
    <row r="5312">
      <c r="A5312" s="54"/>
      <c r="G5312" s="55"/>
      <c r="U5312" s="56"/>
      <c r="X5312" s="57"/>
    </row>
    <row r="5313">
      <c r="A5313" s="54"/>
      <c r="G5313" s="55"/>
      <c r="U5313" s="56"/>
      <c r="X5313" s="57"/>
    </row>
    <row r="5314">
      <c r="A5314" s="54"/>
      <c r="G5314" s="55"/>
      <c r="U5314" s="56"/>
      <c r="X5314" s="57"/>
    </row>
    <row r="5315">
      <c r="A5315" s="54"/>
      <c r="G5315" s="55"/>
      <c r="U5315" s="56"/>
      <c r="X5315" s="57"/>
    </row>
    <row r="5316">
      <c r="A5316" s="54"/>
      <c r="G5316" s="55"/>
      <c r="U5316" s="56"/>
      <c r="X5316" s="57"/>
    </row>
    <row r="5317">
      <c r="A5317" s="54"/>
      <c r="G5317" s="55"/>
      <c r="U5317" s="56"/>
      <c r="X5317" s="57"/>
    </row>
    <row r="5318">
      <c r="A5318" s="54"/>
      <c r="G5318" s="55"/>
      <c r="U5318" s="56"/>
      <c r="X5318" s="57"/>
    </row>
    <row r="5319">
      <c r="A5319" s="54"/>
      <c r="G5319" s="55"/>
      <c r="U5319" s="56"/>
      <c r="X5319" s="57"/>
    </row>
    <row r="5320">
      <c r="A5320" s="54"/>
      <c r="G5320" s="55"/>
      <c r="U5320" s="56"/>
      <c r="X5320" s="57"/>
    </row>
    <row r="5321">
      <c r="A5321" s="54"/>
      <c r="G5321" s="55"/>
      <c r="U5321" s="56"/>
      <c r="X5321" s="57"/>
    </row>
    <row r="5322">
      <c r="A5322" s="54"/>
      <c r="G5322" s="55"/>
      <c r="U5322" s="56"/>
      <c r="X5322" s="57"/>
    </row>
    <row r="5323">
      <c r="A5323" s="54"/>
      <c r="G5323" s="55"/>
      <c r="U5323" s="56"/>
      <c r="X5323" s="57"/>
    </row>
    <row r="5324">
      <c r="A5324" s="54"/>
      <c r="G5324" s="55"/>
      <c r="U5324" s="56"/>
      <c r="X5324" s="57"/>
    </row>
    <row r="5325">
      <c r="A5325" s="54"/>
      <c r="G5325" s="55"/>
      <c r="U5325" s="56"/>
      <c r="X5325" s="57"/>
    </row>
    <row r="5326">
      <c r="A5326" s="54"/>
      <c r="G5326" s="55"/>
      <c r="U5326" s="56"/>
      <c r="X5326" s="57"/>
    </row>
    <row r="5327">
      <c r="A5327" s="54"/>
      <c r="G5327" s="55"/>
      <c r="U5327" s="56"/>
      <c r="X5327" s="57"/>
    </row>
    <row r="5328">
      <c r="A5328" s="54"/>
      <c r="G5328" s="55"/>
      <c r="U5328" s="56"/>
      <c r="X5328" s="57"/>
    </row>
    <row r="5329">
      <c r="A5329" s="54"/>
      <c r="G5329" s="55"/>
      <c r="U5329" s="56"/>
      <c r="X5329" s="57"/>
    </row>
    <row r="5330">
      <c r="A5330" s="54"/>
      <c r="G5330" s="55"/>
      <c r="U5330" s="56"/>
      <c r="X5330" s="57"/>
    </row>
    <row r="5331">
      <c r="A5331" s="54"/>
      <c r="G5331" s="55"/>
      <c r="U5331" s="56"/>
      <c r="X5331" s="57"/>
    </row>
    <row r="5332">
      <c r="A5332" s="54"/>
      <c r="G5332" s="55"/>
      <c r="U5332" s="56"/>
      <c r="X5332" s="57"/>
    </row>
    <row r="5333">
      <c r="A5333" s="54"/>
      <c r="G5333" s="55"/>
      <c r="U5333" s="56"/>
      <c r="X5333" s="57"/>
    </row>
    <row r="5334">
      <c r="A5334" s="54"/>
      <c r="G5334" s="55"/>
      <c r="U5334" s="56"/>
      <c r="X5334" s="57"/>
    </row>
    <row r="5335">
      <c r="A5335" s="54"/>
      <c r="G5335" s="55"/>
      <c r="U5335" s="56"/>
      <c r="X5335" s="57"/>
    </row>
    <row r="5336">
      <c r="A5336" s="54"/>
      <c r="G5336" s="55"/>
      <c r="U5336" s="56"/>
      <c r="X5336" s="57"/>
    </row>
    <row r="5337">
      <c r="A5337" s="54"/>
      <c r="G5337" s="55"/>
      <c r="U5337" s="56"/>
      <c r="X5337" s="57"/>
    </row>
    <row r="5338">
      <c r="A5338" s="54"/>
      <c r="G5338" s="55"/>
      <c r="U5338" s="56"/>
      <c r="X5338" s="57"/>
    </row>
    <row r="5339">
      <c r="A5339" s="54"/>
      <c r="G5339" s="55"/>
      <c r="U5339" s="56"/>
      <c r="X5339" s="57"/>
    </row>
    <row r="5340">
      <c r="A5340" s="54"/>
      <c r="G5340" s="55"/>
      <c r="U5340" s="56"/>
      <c r="X5340" s="57"/>
    </row>
    <row r="5341">
      <c r="A5341" s="54"/>
      <c r="G5341" s="55"/>
      <c r="U5341" s="56"/>
      <c r="X5341" s="57"/>
    </row>
    <row r="5342">
      <c r="A5342" s="54"/>
      <c r="G5342" s="55"/>
      <c r="U5342" s="56"/>
      <c r="X5342" s="57"/>
    </row>
    <row r="5343">
      <c r="A5343" s="54"/>
      <c r="G5343" s="55"/>
      <c r="U5343" s="56"/>
      <c r="X5343" s="57"/>
    </row>
    <row r="5344">
      <c r="A5344" s="54"/>
      <c r="G5344" s="55"/>
      <c r="U5344" s="56"/>
      <c r="X5344" s="57"/>
    </row>
    <row r="5345">
      <c r="A5345" s="54"/>
      <c r="G5345" s="55"/>
      <c r="U5345" s="56"/>
      <c r="X5345" s="57"/>
    </row>
    <row r="5346">
      <c r="A5346" s="54"/>
      <c r="G5346" s="55"/>
      <c r="U5346" s="56"/>
      <c r="X5346" s="57"/>
    </row>
    <row r="5347">
      <c r="A5347" s="54"/>
      <c r="G5347" s="55"/>
      <c r="U5347" s="56"/>
      <c r="X5347" s="57"/>
    </row>
    <row r="5348">
      <c r="A5348" s="54"/>
      <c r="G5348" s="55"/>
      <c r="U5348" s="56"/>
      <c r="X5348" s="57"/>
    </row>
    <row r="5349">
      <c r="A5349" s="54"/>
      <c r="G5349" s="55"/>
      <c r="U5349" s="56"/>
      <c r="X5349" s="57"/>
    </row>
    <row r="5350">
      <c r="A5350" s="54"/>
      <c r="G5350" s="55"/>
      <c r="U5350" s="56"/>
      <c r="X5350" s="57"/>
    </row>
    <row r="5351">
      <c r="A5351" s="54"/>
      <c r="G5351" s="55"/>
      <c r="U5351" s="56"/>
      <c r="X5351" s="57"/>
    </row>
    <row r="5352">
      <c r="A5352" s="54"/>
      <c r="G5352" s="55"/>
      <c r="U5352" s="56"/>
      <c r="X5352" s="57"/>
    </row>
    <row r="5353">
      <c r="A5353" s="54"/>
      <c r="G5353" s="55"/>
      <c r="U5353" s="56"/>
      <c r="X5353" s="57"/>
    </row>
    <row r="5354">
      <c r="A5354" s="54"/>
      <c r="G5354" s="55"/>
      <c r="U5354" s="56"/>
      <c r="X5354" s="57"/>
    </row>
    <row r="5355">
      <c r="A5355" s="54"/>
      <c r="G5355" s="55"/>
      <c r="U5355" s="56"/>
      <c r="X5355" s="57"/>
    </row>
    <row r="5356">
      <c r="A5356" s="54"/>
      <c r="G5356" s="55"/>
      <c r="U5356" s="56"/>
      <c r="X5356" s="57"/>
    </row>
    <row r="5357">
      <c r="A5357" s="54"/>
      <c r="G5357" s="55"/>
      <c r="U5357" s="56"/>
      <c r="X5357" s="57"/>
    </row>
    <row r="5358">
      <c r="A5358" s="54"/>
      <c r="G5358" s="55"/>
      <c r="U5358" s="56"/>
      <c r="X5358" s="57"/>
    </row>
    <row r="5359">
      <c r="A5359" s="54"/>
      <c r="G5359" s="55"/>
      <c r="U5359" s="56"/>
      <c r="X5359" s="57"/>
    </row>
    <row r="5360">
      <c r="A5360" s="54"/>
      <c r="G5360" s="55"/>
      <c r="U5360" s="56"/>
      <c r="X5360" s="57"/>
    </row>
    <row r="5361">
      <c r="A5361" s="54"/>
      <c r="G5361" s="55"/>
      <c r="U5361" s="56"/>
      <c r="X5361" s="57"/>
    </row>
    <row r="5362">
      <c r="A5362" s="54"/>
      <c r="G5362" s="55"/>
      <c r="U5362" s="56"/>
      <c r="X5362" s="57"/>
    </row>
    <row r="5363">
      <c r="A5363" s="54"/>
      <c r="G5363" s="55"/>
      <c r="U5363" s="56"/>
      <c r="X5363" s="57"/>
    </row>
    <row r="5364">
      <c r="A5364" s="54"/>
      <c r="G5364" s="55"/>
      <c r="U5364" s="56"/>
      <c r="X5364" s="57"/>
    </row>
    <row r="5365">
      <c r="A5365" s="54"/>
      <c r="G5365" s="55"/>
      <c r="U5365" s="56"/>
      <c r="X5365" s="57"/>
    </row>
    <row r="5366">
      <c r="A5366" s="54"/>
      <c r="G5366" s="55"/>
      <c r="U5366" s="56"/>
      <c r="X5366" s="57"/>
    </row>
    <row r="5367">
      <c r="A5367" s="54"/>
      <c r="G5367" s="55"/>
      <c r="U5367" s="56"/>
      <c r="X5367" s="57"/>
    </row>
    <row r="5368">
      <c r="A5368" s="54"/>
      <c r="G5368" s="55"/>
      <c r="U5368" s="56"/>
      <c r="X5368" s="57"/>
    </row>
    <row r="5369">
      <c r="A5369" s="54"/>
      <c r="G5369" s="55"/>
      <c r="U5369" s="56"/>
      <c r="X5369" s="57"/>
    </row>
    <row r="5370">
      <c r="A5370" s="54"/>
      <c r="G5370" s="55"/>
      <c r="U5370" s="56"/>
      <c r="X5370" s="57"/>
    </row>
    <row r="5371">
      <c r="A5371" s="54"/>
      <c r="G5371" s="55"/>
      <c r="U5371" s="56"/>
      <c r="X5371" s="57"/>
    </row>
    <row r="5372">
      <c r="A5372" s="54"/>
      <c r="G5372" s="55"/>
      <c r="U5372" s="56"/>
      <c r="X5372" s="57"/>
    </row>
    <row r="5373">
      <c r="A5373" s="54"/>
      <c r="G5373" s="55"/>
      <c r="U5373" s="56"/>
      <c r="X5373" s="57"/>
    </row>
    <row r="5374">
      <c r="A5374" s="54"/>
      <c r="G5374" s="55"/>
      <c r="U5374" s="56"/>
      <c r="X5374" s="57"/>
    </row>
    <row r="5375">
      <c r="A5375" s="54"/>
      <c r="G5375" s="55"/>
      <c r="U5375" s="56"/>
      <c r="X5375" s="57"/>
    </row>
    <row r="5376">
      <c r="A5376" s="54"/>
      <c r="G5376" s="55"/>
      <c r="U5376" s="56"/>
      <c r="X5376" s="57"/>
    </row>
    <row r="5377">
      <c r="A5377" s="54"/>
      <c r="G5377" s="55"/>
      <c r="U5377" s="56"/>
      <c r="X5377" s="57"/>
    </row>
    <row r="5378">
      <c r="A5378" s="54"/>
      <c r="G5378" s="55"/>
      <c r="U5378" s="56"/>
      <c r="X5378" s="57"/>
    </row>
    <row r="5379">
      <c r="A5379" s="54"/>
      <c r="G5379" s="55"/>
      <c r="U5379" s="56"/>
      <c r="X5379" s="57"/>
    </row>
    <row r="5380">
      <c r="A5380" s="54"/>
      <c r="G5380" s="55"/>
      <c r="U5380" s="56"/>
      <c r="X5380" s="57"/>
    </row>
    <row r="5381">
      <c r="A5381" s="54"/>
      <c r="G5381" s="55"/>
      <c r="U5381" s="56"/>
      <c r="X5381" s="57"/>
    </row>
    <row r="5382">
      <c r="A5382" s="54"/>
      <c r="G5382" s="55"/>
      <c r="U5382" s="56"/>
      <c r="X5382" s="57"/>
    </row>
    <row r="5383">
      <c r="A5383" s="54"/>
      <c r="G5383" s="55"/>
      <c r="U5383" s="56"/>
      <c r="X5383" s="57"/>
    </row>
    <row r="5384">
      <c r="A5384" s="54"/>
      <c r="G5384" s="55"/>
      <c r="U5384" s="56"/>
      <c r="X5384" s="57"/>
    </row>
    <row r="5385">
      <c r="A5385" s="54"/>
      <c r="G5385" s="55"/>
      <c r="U5385" s="56"/>
      <c r="X5385" s="57"/>
    </row>
    <row r="5386">
      <c r="A5386" s="54"/>
      <c r="G5386" s="55"/>
      <c r="U5386" s="56"/>
      <c r="X5386" s="57"/>
    </row>
    <row r="5387">
      <c r="A5387" s="54"/>
      <c r="G5387" s="55"/>
      <c r="U5387" s="56"/>
      <c r="X5387" s="57"/>
    </row>
    <row r="5388">
      <c r="A5388" s="54"/>
      <c r="G5388" s="55"/>
      <c r="U5388" s="56"/>
      <c r="X5388" s="57"/>
    </row>
    <row r="5389">
      <c r="A5389" s="54"/>
      <c r="G5389" s="55"/>
      <c r="U5389" s="56"/>
      <c r="X5389" s="57"/>
    </row>
    <row r="5390">
      <c r="A5390" s="54"/>
      <c r="G5390" s="55"/>
      <c r="U5390" s="56"/>
      <c r="X5390" s="57"/>
    </row>
    <row r="5391">
      <c r="A5391" s="54"/>
      <c r="G5391" s="55"/>
      <c r="U5391" s="56"/>
      <c r="X5391" s="57"/>
    </row>
    <row r="5392">
      <c r="A5392" s="54"/>
      <c r="G5392" s="55"/>
      <c r="U5392" s="56"/>
      <c r="X5392" s="57"/>
    </row>
    <row r="5393">
      <c r="A5393" s="54"/>
      <c r="G5393" s="55"/>
      <c r="U5393" s="56"/>
      <c r="X5393" s="57"/>
    </row>
    <row r="5394">
      <c r="A5394" s="54"/>
      <c r="G5394" s="55"/>
      <c r="U5394" s="56"/>
      <c r="X5394" s="57"/>
    </row>
    <row r="5395">
      <c r="A5395" s="54"/>
      <c r="G5395" s="55"/>
      <c r="U5395" s="56"/>
      <c r="X5395" s="57"/>
    </row>
    <row r="5396">
      <c r="A5396" s="54"/>
      <c r="G5396" s="55"/>
      <c r="U5396" s="56"/>
      <c r="X5396" s="57"/>
    </row>
    <row r="5397">
      <c r="A5397" s="54"/>
      <c r="G5397" s="55"/>
      <c r="U5397" s="56"/>
      <c r="X5397" s="57"/>
    </row>
    <row r="5398">
      <c r="A5398" s="54"/>
      <c r="G5398" s="55"/>
      <c r="U5398" s="56"/>
      <c r="X5398" s="57"/>
    </row>
    <row r="5399">
      <c r="A5399" s="54"/>
      <c r="G5399" s="55"/>
      <c r="U5399" s="56"/>
      <c r="X5399" s="57"/>
    </row>
    <row r="5400">
      <c r="A5400" s="54"/>
      <c r="G5400" s="55"/>
      <c r="U5400" s="56"/>
      <c r="X5400" s="57"/>
    </row>
    <row r="5401">
      <c r="A5401" s="54"/>
      <c r="G5401" s="55"/>
      <c r="U5401" s="56"/>
      <c r="X5401" s="57"/>
    </row>
    <row r="5402">
      <c r="A5402" s="54"/>
      <c r="G5402" s="55"/>
      <c r="U5402" s="56"/>
      <c r="X5402" s="57"/>
    </row>
    <row r="5403">
      <c r="A5403" s="54"/>
      <c r="G5403" s="55"/>
      <c r="U5403" s="56"/>
      <c r="X5403" s="57"/>
    </row>
    <row r="5404">
      <c r="A5404" s="54"/>
      <c r="G5404" s="55"/>
      <c r="U5404" s="56"/>
      <c r="X5404" s="57"/>
    </row>
    <row r="5405">
      <c r="A5405" s="54"/>
      <c r="G5405" s="55"/>
      <c r="U5405" s="56"/>
      <c r="X5405" s="57"/>
    </row>
    <row r="5406">
      <c r="A5406" s="54"/>
      <c r="G5406" s="55"/>
      <c r="U5406" s="56"/>
      <c r="X5406" s="57"/>
    </row>
    <row r="5407">
      <c r="A5407" s="54"/>
      <c r="G5407" s="55"/>
      <c r="U5407" s="56"/>
      <c r="X5407" s="57"/>
    </row>
    <row r="5408">
      <c r="A5408" s="54"/>
      <c r="G5408" s="55"/>
      <c r="U5408" s="56"/>
      <c r="X5408" s="57"/>
    </row>
    <row r="5409">
      <c r="A5409" s="54"/>
      <c r="G5409" s="55"/>
      <c r="U5409" s="56"/>
      <c r="X5409" s="57"/>
    </row>
    <row r="5410">
      <c r="A5410" s="54"/>
      <c r="G5410" s="55"/>
      <c r="U5410" s="56"/>
      <c r="X5410" s="57"/>
    </row>
    <row r="5411">
      <c r="A5411" s="54"/>
      <c r="G5411" s="55"/>
      <c r="U5411" s="56"/>
      <c r="X5411" s="57"/>
    </row>
    <row r="5412">
      <c r="A5412" s="54"/>
      <c r="G5412" s="55"/>
      <c r="U5412" s="56"/>
      <c r="X5412" s="57"/>
    </row>
    <row r="5413">
      <c r="A5413" s="54"/>
      <c r="G5413" s="55"/>
      <c r="U5413" s="56"/>
      <c r="X5413" s="57"/>
    </row>
    <row r="5414">
      <c r="A5414" s="54"/>
      <c r="G5414" s="55"/>
      <c r="U5414" s="56"/>
      <c r="X5414" s="57"/>
    </row>
    <row r="5415">
      <c r="A5415" s="54"/>
      <c r="G5415" s="55"/>
      <c r="U5415" s="56"/>
      <c r="X5415" s="57"/>
    </row>
    <row r="5416">
      <c r="A5416" s="54"/>
      <c r="G5416" s="55"/>
      <c r="U5416" s="56"/>
      <c r="X5416" s="57"/>
    </row>
    <row r="5417">
      <c r="A5417" s="54"/>
      <c r="G5417" s="55"/>
      <c r="U5417" s="56"/>
      <c r="X5417" s="57"/>
    </row>
    <row r="5418">
      <c r="A5418" s="54"/>
      <c r="G5418" s="55"/>
      <c r="U5418" s="56"/>
      <c r="X5418" s="57"/>
    </row>
    <row r="5419">
      <c r="A5419" s="54"/>
      <c r="G5419" s="55"/>
      <c r="U5419" s="56"/>
      <c r="X5419" s="57"/>
    </row>
    <row r="5420">
      <c r="A5420" s="54"/>
      <c r="G5420" s="55"/>
      <c r="U5420" s="56"/>
      <c r="X5420" s="57"/>
    </row>
    <row r="5421">
      <c r="A5421" s="54"/>
      <c r="G5421" s="55"/>
      <c r="U5421" s="56"/>
      <c r="X5421" s="57"/>
    </row>
    <row r="5422">
      <c r="A5422" s="54"/>
      <c r="G5422" s="55"/>
      <c r="U5422" s="56"/>
      <c r="X5422" s="57"/>
    </row>
    <row r="5423">
      <c r="A5423" s="54"/>
      <c r="G5423" s="55"/>
      <c r="U5423" s="56"/>
      <c r="X5423" s="57"/>
    </row>
    <row r="5424">
      <c r="A5424" s="54"/>
      <c r="G5424" s="55"/>
      <c r="U5424" s="56"/>
      <c r="X5424" s="57"/>
    </row>
    <row r="5425">
      <c r="A5425" s="54"/>
      <c r="G5425" s="55"/>
      <c r="U5425" s="56"/>
      <c r="X5425" s="57"/>
    </row>
    <row r="5426">
      <c r="A5426" s="54"/>
      <c r="G5426" s="55"/>
      <c r="U5426" s="56"/>
      <c r="X5426" s="57"/>
    </row>
    <row r="5427">
      <c r="A5427" s="54"/>
      <c r="G5427" s="55"/>
      <c r="U5427" s="56"/>
      <c r="X5427" s="57"/>
    </row>
    <row r="5428">
      <c r="A5428" s="54"/>
      <c r="G5428" s="55"/>
      <c r="U5428" s="56"/>
      <c r="X5428" s="57"/>
    </row>
    <row r="5429">
      <c r="A5429" s="54"/>
      <c r="G5429" s="55"/>
      <c r="U5429" s="56"/>
      <c r="X5429" s="57"/>
    </row>
    <row r="5430">
      <c r="A5430" s="54"/>
      <c r="G5430" s="55"/>
      <c r="U5430" s="56"/>
      <c r="X5430" s="57"/>
    </row>
    <row r="5431">
      <c r="A5431" s="54"/>
      <c r="G5431" s="55"/>
      <c r="U5431" s="56"/>
      <c r="X5431" s="57"/>
    </row>
    <row r="5432">
      <c r="A5432" s="54"/>
      <c r="G5432" s="55"/>
      <c r="U5432" s="56"/>
      <c r="X5432" s="57"/>
    </row>
    <row r="5433">
      <c r="A5433" s="54"/>
      <c r="G5433" s="55"/>
      <c r="U5433" s="56"/>
      <c r="X5433" s="57"/>
    </row>
    <row r="5434">
      <c r="A5434" s="54"/>
      <c r="G5434" s="55"/>
      <c r="U5434" s="56"/>
      <c r="X5434" s="57"/>
    </row>
    <row r="5435">
      <c r="A5435" s="54"/>
      <c r="G5435" s="55"/>
      <c r="U5435" s="56"/>
      <c r="X5435" s="57"/>
    </row>
    <row r="5436">
      <c r="A5436" s="54"/>
      <c r="G5436" s="55"/>
      <c r="U5436" s="56"/>
      <c r="X5436" s="57"/>
    </row>
    <row r="5437">
      <c r="A5437" s="54"/>
      <c r="G5437" s="55"/>
      <c r="U5437" s="56"/>
      <c r="X5437" s="57"/>
    </row>
    <row r="5438">
      <c r="A5438" s="54"/>
      <c r="G5438" s="55"/>
      <c r="U5438" s="56"/>
      <c r="X5438" s="57"/>
    </row>
    <row r="5439">
      <c r="A5439" s="54"/>
      <c r="G5439" s="55"/>
      <c r="U5439" s="56"/>
      <c r="X5439" s="57"/>
    </row>
    <row r="5440">
      <c r="A5440" s="54"/>
      <c r="G5440" s="55"/>
      <c r="U5440" s="56"/>
      <c r="X5440" s="57"/>
    </row>
    <row r="5441">
      <c r="A5441" s="54"/>
      <c r="G5441" s="55"/>
      <c r="U5441" s="56"/>
      <c r="X5441" s="57"/>
    </row>
    <row r="5442">
      <c r="A5442" s="54"/>
      <c r="G5442" s="55"/>
      <c r="U5442" s="56"/>
      <c r="X5442" s="57"/>
    </row>
    <row r="5443">
      <c r="A5443" s="54"/>
      <c r="G5443" s="55"/>
      <c r="U5443" s="56"/>
      <c r="X5443" s="57"/>
    </row>
    <row r="5444">
      <c r="A5444" s="54"/>
      <c r="G5444" s="55"/>
      <c r="U5444" s="56"/>
      <c r="X5444" s="57"/>
    </row>
    <row r="5445">
      <c r="A5445" s="54"/>
      <c r="G5445" s="55"/>
      <c r="U5445" s="56"/>
      <c r="X5445" s="57"/>
    </row>
    <row r="5446">
      <c r="A5446" s="54"/>
      <c r="G5446" s="55"/>
      <c r="U5446" s="56"/>
      <c r="X5446" s="57"/>
    </row>
    <row r="5447">
      <c r="A5447" s="54"/>
      <c r="G5447" s="55"/>
      <c r="U5447" s="56"/>
      <c r="X5447" s="57"/>
    </row>
    <row r="5448">
      <c r="A5448" s="54"/>
      <c r="G5448" s="55"/>
      <c r="U5448" s="56"/>
      <c r="X5448" s="57"/>
    </row>
    <row r="5449">
      <c r="A5449" s="54"/>
      <c r="G5449" s="55"/>
      <c r="U5449" s="56"/>
      <c r="X5449" s="57"/>
    </row>
    <row r="5450">
      <c r="A5450" s="54"/>
      <c r="G5450" s="55"/>
      <c r="U5450" s="56"/>
      <c r="X5450" s="57"/>
    </row>
    <row r="5451">
      <c r="A5451" s="54"/>
      <c r="G5451" s="55"/>
      <c r="U5451" s="56"/>
      <c r="X5451" s="57"/>
    </row>
    <row r="5452">
      <c r="A5452" s="54"/>
      <c r="G5452" s="55"/>
      <c r="U5452" s="56"/>
      <c r="X5452" s="57"/>
    </row>
    <row r="5453">
      <c r="A5453" s="54"/>
      <c r="G5453" s="55"/>
      <c r="U5453" s="56"/>
      <c r="X5453" s="57"/>
    </row>
    <row r="5454">
      <c r="A5454" s="54"/>
      <c r="G5454" s="55"/>
      <c r="U5454" s="56"/>
      <c r="X5454" s="57"/>
    </row>
    <row r="5455">
      <c r="A5455" s="54"/>
      <c r="G5455" s="55"/>
      <c r="U5455" s="56"/>
      <c r="X5455" s="57"/>
    </row>
    <row r="5456">
      <c r="A5456" s="54"/>
      <c r="G5456" s="55"/>
      <c r="U5456" s="56"/>
      <c r="X5456" s="57"/>
    </row>
    <row r="5457">
      <c r="A5457" s="54"/>
      <c r="G5457" s="55"/>
      <c r="U5457" s="56"/>
      <c r="X5457" s="57"/>
    </row>
    <row r="5458">
      <c r="A5458" s="54"/>
      <c r="G5458" s="55"/>
      <c r="U5458" s="56"/>
      <c r="X5458" s="57"/>
    </row>
    <row r="5459">
      <c r="A5459" s="54"/>
      <c r="G5459" s="55"/>
      <c r="U5459" s="56"/>
      <c r="X5459" s="57"/>
    </row>
    <row r="5460">
      <c r="A5460" s="54"/>
      <c r="G5460" s="55"/>
      <c r="U5460" s="56"/>
      <c r="X5460" s="57"/>
    </row>
    <row r="5461">
      <c r="A5461" s="54"/>
      <c r="G5461" s="55"/>
      <c r="U5461" s="56"/>
      <c r="X5461" s="57"/>
    </row>
    <row r="5462">
      <c r="A5462" s="54"/>
      <c r="G5462" s="55"/>
      <c r="U5462" s="56"/>
      <c r="X5462" s="57"/>
    </row>
    <row r="5463">
      <c r="A5463" s="54"/>
      <c r="G5463" s="55"/>
      <c r="U5463" s="56"/>
      <c r="X5463" s="57"/>
    </row>
    <row r="5464">
      <c r="A5464" s="54"/>
      <c r="G5464" s="55"/>
      <c r="U5464" s="56"/>
      <c r="X5464" s="57"/>
    </row>
    <row r="5465">
      <c r="A5465" s="54"/>
      <c r="G5465" s="55"/>
      <c r="U5465" s="56"/>
      <c r="X5465" s="57"/>
    </row>
    <row r="5466">
      <c r="A5466" s="54"/>
      <c r="G5466" s="55"/>
      <c r="U5466" s="56"/>
      <c r="X5466" s="57"/>
    </row>
    <row r="5467">
      <c r="A5467" s="54"/>
      <c r="G5467" s="55"/>
      <c r="U5467" s="56"/>
      <c r="X5467" s="57"/>
    </row>
    <row r="5468">
      <c r="A5468" s="54"/>
      <c r="G5468" s="55"/>
      <c r="U5468" s="56"/>
      <c r="X5468" s="57"/>
    </row>
    <row r="5469">
      <c r="A5469" s="54"/>
      <c r="G5469" s="55"/>
      <c r="U5469" s="56"/>
      <c r="X5469" s="57"/>
    </row>
    <row r="5470">
      <c r="A5470" s="54"/>
      <c r="G5470" s="55"/>
      <c r="U5470" s="56"/>
      <c r="X5470" s="57"/>
    </row>
    <row r="5471">
      <c r="A5471" s="54"/>
      <c r="G5471" s="55"/>
      <c r="U5471" s="56"/>
      <c r="X5471" s="57"/>
    </row>
    <row r="5472">
      <c r="A5472" s="54"/>
      <c r="G5472" s="55"/>
      <c r="U5472" s="56"/>
      <c r="X5472" s="57"/>
    </row>
    <row r="5473">
      <c r="A5473" s="54"/>
      <c r="G5473" s="55"/>
      <c r="U5473" s="56"/>
      <c r="X5473" s="57"/>
    </row>
    <row r="5474">
      <c r="A5474" s="54"/>
      <c r="G5474" s="55"/>
      <c r="U5474" s="56"/>
      <c r="X5474" s="57"/>
    </row>
    <row r="5475">
      <c r="A5475" s="54"/>
      <c r="G5475" s="55"/>
      <c r="U5475" s="56"/>
      <c r="X5475" s="57"/>
    </row>
    <row r="5476">
      <c r="A5476" s="54"/>
      <c r="G5476" s="55"/>
      <c r="U5476" s="56"/>
      <c r="X5476" s="57"/>
    </row>
    <row r="5477">
      <c r="A5477" s="54"/>
      <c r="G5477" s="55"/>
      <c r="U5477" s="56"/>
      <c r="X5477" s="57"/>
    </row>
    <row r="5478">
      <c r="A5478" s="54"/>
      <c r="G5478" s="55"/>
      <c r="U5478" s="56"/>
      <c r="X5478" s="57"/>
    </row>
    <row r="5479">
      <c r="A5479" s="54"/>
      <c r="G5479" s="55"/>
      <c r="U5479" s="56"/>
      <c r="X5479" s="57"/>
    </row>
    <row r="5480">
      <c r="A5480" s="54"/>
      <c r="G5480" s="55"/>
      <c r="U5480" s="56"/>
      <c r="X5480" s="57"/>
    </row>
    <row r="5481">
      <c r="A5481" s="54"/>
      <c r="G5481" s="55"/>
      <c r="U5481" s="56"/>
      <c r="X5481" s="57"/>
    </row>
    <row r="5482">
      <c r="A5482" s="54"/>
      <c r="G5482" s="55"/>
      <c r="U5482" s="56"/>
      <c r="X5482" s="57"/>
    </row>
    <row r="5483">
      <c r="A5483" s="54"/>
      <c r="G5483" s="55"/>
      <c r="U5483" s="56"/>
      <c r="X5483" s="57"/>
    </row>
    <row r="5484">
      <c r="A5484" s="54"/>
      <c r="G5484" s="55"/>
      <c r="U5484" s="56"/>
      <c r="X5484" s="57"/>
    </row>
    <row r="5485">
      <c r="A5485" s="54"/>
      <c r="G5485" s="55"/>
      <c r="U5485" s="56"/>
      <c r="X5485" s="57"/>
    </row>
    <row r="5486">
      <c r="A5486" s="54"/>
      <c r="G5486" s="55"/>
      <c r="U5486" s="56"/>
      <c r="X5486" s="57"/>
    </row>
    <row r="5487">
      <c r="A5487" s="54"/>
      <c r="G5487" s="55"/>
      <c r="U5487" s="56"/>
      <c r="X5487" s="57"/>
    </row>
    <row r="5488">
      <c r="A5488" s="54"/>
      <c r="G5488" s="55"/>
      <c r="U5488" s="56"/>
      <c r="X5488" s="57"/>
    </row>
    <row r="5489">
      <c r="A5489" s="54"/>
      <c r="G5489" s="55"/>
      <c r="U5489" s="56"/>
      <c r="X5489" s="57"/>
    </row>
    <row r="5490">
      <c r="A5490" s="54"/>
      <c r="G5490" s="55"/>
      <c r="U5490" s="56"/>
      <c r="X5490" s="57"/>
    </row>
    <row r="5491">
      <c r="A5491" s="54"/>
      <c r="G5491" s="55"/>
      <c r="U5491" s="56"/>
      <c r="X5491" s="57"/>
    </row>
    <row r="5492">
      <c r="A5492" s="54"/>
      <c r="G5492" s="55"/>
      <c r="U5492" s="56"/>
      <c r="X5492" s="57"/>
    </row>
    <row r="5493">
      <c r="A5493" s="54"/>
      <c r="G5493" s="55"/>
      <c r="U5493" s="56"/>
      <c r="X5493" s="57"/>
    </row>
    <row r="5494">
      <c r="A5494" s="54"/>
      <c r="G5494" s="55"/>
      <c r="U5494" s="56"/>
      <c r="X5494" s="57"/>
    </row>
    <row r="5495">
      <c r="A5495" s="54"/>
      <c r="G5495" s="55"/>
      <c r="U5495" s="56"/>
      <c r="X5495" s="57"/>
    </row>
    <row r="5496">
      <c r="A5496" s="54"/>
      <c r="G5496" s="55"/>
      <c r="U5496" s="56"/>
      <c r="X5496" s="57"/>
    </row>
    <row r="5497">
      <c r="A5497" s="54"/>
      <c r="G5497" s="55"/>
      <c r="U5497" s="56"/>
      <c r="X5497" s="57"/>
    </row>
    <row r="5498">
      <c r="A5498" s="54"/>
      <c r="G5498" s="55"/>
      <c r="U5498" s="56"/>
      <c r="X5498" s="57"/>
    </row>
    <row r="5499">
      <c r="A5499" s="54"/>
      <c r="G5499" s="55"/>
      <c r="U5499" s="56"/>
      <c r="X5499" s="57"/>
    </row>
    <row r="5500">
      <c r="A5500" s="54"/>
      <c r="G5500" s="55"/>
      <c r="U5500" s="56"/>
      <c r="X5500" s="57"/>
    </row>
    <row r="5501">
      <c r="A5501" s="54"/>
      <c r="G5501" s="55"/>
      <c r="U5501" s="56"/>
      <c r="X5501" s="57"/>
    </row>
    <row r="5502">
      <c r="A5502" s="54"/>
      <c r="G5502" s="55"/>
      <c r="U5502" s="56"/>
      <c r="X5502" s="57"/>
    </row>
    <row r="5503">
      <c r="A5503" s="54"/>
      <c r="G5503" s="55"/>
      <c r="U5503" s="56"/>
      <c r="X5503" s="57"/>
    </row>
    <row r="5504">
      <c r="A5504" s="54"/>
      <c r="G5504" s="55"/>
      <c r="U5504" s="56"/>
      <c r="X5504" s="57"/>
    </row>
    <row r="5505">
      <c r="A5505" s="54"/>
      <c r="G5505" s="55"/>
      <c r="U5505" s="56"/>
      <c r="X5505" s="57"/>
    </row>
    <row r="5506">
      <c r="A5506" s="54"/>
      <c r="G5506" s="55"/>
      <c r="U5506" s="56"/>
      <c r="X5506" s="57"/>
    </row>
    <row r="5507">
      <c r="A5507" s="54"/>
      <c r="G5507" s="55"/>
      <c r="U5507" s="56"/>
      <c r="X5507" s="57"/>
    </row>
    <row r="5508">
      <c r="A5508" s="54"/>
      <c r="G5508" s="55"/>
      <c r="U5508" s="56"/>
      <c r="X5508" s="57"/>
    </row>
    <row r="5509">
      <c r="A5509" s="54"/>
      <c r="G5509" s="55"/>
      <c r="U5509" s="56"/>
      <c r="X5509" s="57"/>
    </row>
    <row r="5510">
      <c r="A5510" s="54"/>
      <c r="G5510" s="55"/>
      <c r="U5510" s="56"/>
      <c r="X5510" s="57"/>
    </row>
    <row r="5511">
      <c r="A5511" s="54"/>
      <c r="G5511" s="55"/>
      <c r="U5511" s="56"/>
      <c r="X5511" s="57"/>
    </row>
    <row r="5512">
      <c r="A5512" s="54"/>
      <c r="G5512" s="55"/>
      <c r="U5512" s="56"/>
      <c r="X5512" s="57"/>
    </row>
    <row r="5513">
      <c r="A5513" s="54"/>
      <c r="G5513" s="55"/>
      <c r="U5513" s="56"/>
      <c r="X5513" s="57"/>
    </row>
    <row r="5514">
      <c r="A5514" s="54"/>
      <c r="G5514" s="55"/>
      <c r="U5514" s="56"/>
      <c r="X5514" s="57"/>
    </row>
    <row r="5515">
      <c r="A5515" s="54"/>
      <c r="G5515" s="55"/>
      <c r="U5515" s="56"/>
      <c r="X5515" s="57"/>
    </row>
    <row r="5516">
      <c r="A5516" s="54"/>
      <c r="G5516" s="55"/>
      <c r="U5516" s="56"/>
      <c r="X5516" s="57"/>
    </row>
    <row r="5517">
      <c r="A5517" s="54"/>
      <c r="G5517" s="55"/>
      <c r="U5517" s="56"/>
      <c r="X5517" s="57"/>
    </row>
    <row r="5518">
      <c r="A5518" s="54"/>
      <c r="G5518" s="55"/>
      <c r="U5518" s="56"/>
      <c r="X5518" s="57"/>
    </row>
    <row r="5519">
      <c r="A5519" s="54"/>
      <c r="G5519" s="55"/>
      <c r="U5519" s="56"/>
      <c r="X5519" s="57"/>
    </row>
    <row r="5520">
      <c r="A5520" s="54"/>
      <c r="G5520" s="55"/>
      <c r="U5520" s="56"/>
      <c r="X5520" s="57"/>
    </row>
    <row r="5521">
      <c r="A5521" s="54"/>
      <c r="G5521" s="55"/>
      <c r="U5521" s="56"/>
      <c r="X5521" s="57"/>
    </row>
    <row r="5522">
      <c r="A5522" s="54"/>
      <c r="G5522" s="55"/>
      <c r="U5522" s="56"/>
      <c r="X5522" s="57"/>
    </row>
    <row r="5523">
      <c r="A5523" s="54"/>
      <c r="G5523" s="55"/>
      <c r="U5523" s="56"/>
      <c r="X5523" s="57"/>
    </row>
    <row r="5524">
      <c r="A5524" s="54"/>
      <c r="G5524" s="55"/>
      <c r="U5524" s="56"/>
      <c r="X5524" s="57"/>
    </row>
    <row r="5525">
      <c r="A5525" s="54"/>
      <c r="G5525" s="55"/>
      <c r="U5525" s="56"/>
      <c r="X5525" s="57"/>
    </row>
    <row r="5526">
      <c r="A5526" s="54"/>
      <c r="G5526" s="55"/>
      <c r="U5526" s="56"/>
      <c r="X5526" s="57"/>
    </row>
    <row r="5527">
      <c r="A5527" s="54"/>
      <c r="G5527" s="55"/>
      <c r="U5527" s="56"/>
      <c r="X5527" s="57"/>
    </row>
    <row r="5528">
      <c r="A5528" s="54"/>
      <c r="G5528" s="55"/>
      <c r="U5528" s="56"/>
      <c r="X5528" s="57"/>
    </row>
    <row r="5529">
      <c r="A5529" s="54"/>
      <c r="G5529" s="55"/>
      <c r="U5529" s="56"/>
      <c r="X5529" s="57"/>
    </row>
    <row r="5530">
      <c r="A5530" s="54"/>
      <c r="G5530" s="55"/>
      <c r="U5530" s="56"/>
      <c r="X5530" s="57"/>
    </row>
    <row r="5531">
      <c r="A5531" s="54"/>
      <c r="G5531" s="55"/>
      <c r="U5531" s="56"/>
      <c r="X5531" s="57"/>
    </row>
    <row r="5532">
      <c r="A5532" s="54"/>
      <c r="G5532" s="55"/>
      <c r="U5532" s="56"/>
      <c r="X5532" s="57"/>
    </row>
    <row r="5533">
      <c r="A5533" s="54"/>
      <c r="G5533" s="55"/>
      <c r="U5533" s="56"/>
      <c r="X5533" s="57"/>
    </row>
    <row r="5534">
      <c r="A5534" s="54"/>
      <c r="G5534" s="55"/>
      <c r="U5534" s="56"/>
      <c r="X5534" s="57"/>
    </row>
    <row r="5535">
      <c r="A5535" s="54"/>
      <c r="G5535" s="55"/>
      <c r="U5535" s="56"/>
      <c r="X5535" s="57"/>
    </row>
    <row r="5536">
      <c r="A5536" s="54"/>
      <c r="G5536" s="55"/>
      <c r="U5536" s="56"/>
      <c r="X5536" s="57"/>
    </row>
    <row r="5537">
      <c r="A5537" s="54"/>
      <c r="G5537" s="55"/>
      <c r="U5537" s="56"/>
      <c r="X5537" s="57"/>
    </row>
    <row r="5538">
      <c r="A5538" s="54"/>
      <c r="G5538" s="55"/>
      <c r="U5538" s="56"/>
      <c r="X5538" s="57"/>
    </row>
    <row r="5539">
      <c r="A5539" s="54"/>
      <c r="G5539" s="55"/>
      <c r="U5539" s="56"/>
      <c r="X5539" s="57"/>
    </row>
    <row r="5540">
      <c r="A5540" s="54"/>
      <c r="G5540" s="55"/>
      <c r="U5540" s="56"/>
      <c r="X5540" s="57"/>
    </row>
    <row r="5541">
      <c r="A5541" s="54"/>
      <c r="G5541" s="55"/>
      <c r="U5541" s="56"/>
      <c r="X5541" s="57"/>
    </row>
    <row r="5542">
      <c r="A5542" s="54"/>
      <c r="G5542" s="55"/>
      <c r="U5542" s="56"/>
      <c r="X5542" s="57"/>
    </row>
    <row r="5543">
      <c r="A5543" s="54"/>
      <c r="G5543" s="55"/>
      <c r="U5543" s="56"/>
      <c r="X5543" s="57"/>
    </row>
    <row r="5544">
      <c r="A5544" s="54"/>
      <c r="G5544" s="55"/>
      <c r="U5544" s="56"/>
      <c r="X5544" s="57"/>
    </row>
    <row r="5545">
      <c r="A5545" s="54"/>
      <c r="G5545" s="55"/>
      <c r="U5545" s="56"/>
      <c r="X5545" s="57"/>
    </row>
    <row r="5546">
      <c r="A5546" s="54"/>
      <c r="G5546" s="55"/>
      <c r="U5546" s="56"/>
      <c r="X5546" s="57"/>
    </row>
    <row r="5547">
      <c r="A5547" s="54"/>
      <c r="G5547" s="55"/>
      <c r="U5547" s="56"/>
      <c r="X5547" s="57"/>
    </row>
    <row r="5548">
      <c r="A5548" s="54"/>
      <c r="G5548" s="55"/>
      <c r="U5548" s="56"/>
      <c r="X5548" s="57"/>
    </row>
    <row r="5549">
      <c r="A5549" s="54"/>
      <c r="G5549" s="55"/>
      <c r="U5549" s="56"/>
      <c r="X5549" s="57"/>
    </row>
    <row r="5550">
      <c r="A5550" s="54"/>
      <c r="G5550" s="55"/>
      <c r="U5550" s="56"/>
      <c r="X5550" s="57"/>
    </row>
    <row r="5551">
      <c r="A5551" s="54"/>
      <c r="G5551" s="55"/>
      <c r="U5551" s="56"/>
      <c r="X5551" s="57"/>
    </row>
    <row r="5552">
      <c r="A5552" s="54"/>
      <c r="G5552" s="55"/>
      <c r="U5552" s="56"/>
      <c r="X5552" s="57"/>
    </row>
    <row r="5553">
      <c r="A5553" s="54"/>
      <c r="G5553" s="55"/>
      <c r="U5553" s="56"/>
      <c r="X5553" s="57"/>
    </row>
    <row r="5554">
      <c r="A5554" s="54"/>
      <c r="G5554" s="55"/>
      <c r="U5554" s="56"/>
      <c r="X5554" s="57"/>
    </row>
    <row r="5555">
      <c r="A5555" s="54"/>
      <c r="G5555" s="55"/>
      <c r="U5555" s="56"/>
      <c r="X5555" s="57"/>
    </row>
    <row r="5556">
      <c r="A5556" s="54"/>
      <c r="G5556" s="55"/>
      <c r="U5556" s="56"/>
      <c r="X5556" s="57"/>
    </row>
    <row r="5557">
      <c r="A5557" s="54"/>
      <c r="G5557" s="55"/>
      <c r="U5557" s="56"/>
      <c r="X5557" s="57"/>
    </row>
    <row r="5558">
      <c r="A5558" s="54"/>
      <c r="G5558" s="55"/>
      <c r="U5558" s="56"/>
      <c r="X5558" s="57"/>
    </row>
    <row r="5559">
      <c r="A5559" s="54"/>
      <c r="G5559" s="55"/>
      <c r="U5559" s="56"/>
      <c r="X5559" s="57"/>
    </row>
    <row r="5560">
      <c r="A5560" s="54"/>
      <c r="G5560" s="55"/>
      <c r="U5560" s="56"/>
      <c r="X5560" s="57"/>
    </row>
    <row r="5561">
      <c r="A5561" s="54"/>
      <c r="G5561" s="55"/>
      <c r="U5561" s="56"/>
      <c r="X5561" s="57"/>
    </row>
    <row r="5562">
      <c r="A5562" s="54"/>
      <c r="G5562" s="55"/>
      <c r="U5562" s="56"/>
      <c r="X5562" s="57"/>
    </row>
    <row r="5563">
      <c r="A5563" s="54"/>
      <c r="G5563" s="55"/>
      <c r="U5563" s="56"/>
      <c r="X5563" s="57"/>
    </row>
    <row r="5564">
      <c r="A5564" s="54"/>
      <c r="G5564" s="55"/>
      <c r="U5564" s="56"/>
      <c r="X5564" s="57"/>
    </row>
    <row r="5565">
      <c r="A5565" s="54"/>
      <c r="G5565" s="55"/>
      <c r="U5565" s="56"/>
      <c r="X5565" s="57"/>
    </row>
    <row r="5566">
      <c r="A5566" s="54"/>
      <c r="G5566" s="55"/>
      <c r="U5566" s="56"/>
      <c r="X5566" s="57"/>
    </row>
    <row r="5567">
      <c r="A5567" s="54"/>
      <c r="G5567" s="55"/>
      <c r="U5567" s="56"/>
      <c r="X5567" s="57"/>
    </row>
    <row r="5568">
      <c r="A5568" s="54"/>
      <c r="G5568" s="55"/>
      <c r="U5568" s="56"/>
      <c r="X5568" s="57"/>
    </row>
    <row r="5569">
      <c r="A5569" s="54"/>
      <c r="G5569" s="55"/>
      <c r="U5569" s="56"/>
      <c r="X5569" s="57"/>
    </row>
    <row r="5570">
      <c r="A5570" s="54"/>
      <c r="G5570" s="55"/>
      <c r="U5570" s="56"/>
      <c r="X5570" s="57"/>
    </row>
    <row r="5571">
      <c r="A5571" s="54"/>
      <c r="G5571" s="55"/>
      <c r="U5571" s="56"/>
      <c r="X5571" s="57"/>
    </row>
    <row r="5572">
      <c r="A5572" s="54"/>
      <c r="G5572" s="55"/>
      <c r="U5572" s="56"/>
      <c r="X5572" s="57"/>
    </row>
    <row r="5573">
      <c r="A5573" s="54"/>
      <c r="G5573" s="55"/>
      <c r="U5573" s="56"/>
      <c r="X5573" s="57"/>
    </row>
    <row r="5574">
      <c r="A5574" s="54"/>
      <c r="G5574" s="55"/>
      <c r="U5574" s="56"/>
      <c r="X5574" s="57"/>
    </row>
    <row r="5575">
      <c r="A5575" s="54"/>
      <c r="G5575" s="55"/>
      <c r="U5575" s="56"/>
      <c r="X5575" s="57"/>
    </row>
    <row r="5576">
      <c r="A5576" s="54"/>
      <c r="G5576" s="55"/>
      <c r="U5576" s="56"/>
      <c r="X5576" s="57"/>
    </row>
    <row r="5577">
      <c r="A5577" s="54"/>
      <c r="G5577" s="55"/>
      <c r="U5577" s="56"/>
      <c r="X5577" s="57"/>
    </row>
    <row r="5578">
      <c r="A5578" s="54"/>
      <c r="G5578" s="55"/>
      <c r="U5578" s="56"/>
      <c r="X5578" s="57"/>
    </row>
    <row r="5579">
      <c r="A5579" s="54"/>
      <c r="G5579" s="55"/>
      <c r="U5579" s="56"/>
      <c r="X5579" s="57"/>
    </row>
    <row r="5580">
      <c r="A5580" s="54"/>
      <c r="G5580" s="55"/>
      <c r="U5580" s="56"/>
      <c r="X5580" s="57"/>
    </row>
    <row r="5581">
      <c r="A5581" s="54"/>
      <c r="G5581" s="55"/>
      <c r="U5581" s="56"/>
      <c r="X5581" s="57"/>
    </row>
    <row r="5582">
      <c r="A5582" s="54"/>
      <c r="G5582" s="55"/>
      <c r="U5582" s="56"/>
      <c r="X5582" s="57"/>
    </row>
    <row r="5583">
      <c r="A5583" s="54"/>
      <c r="G5583" s="55"/>
      <c r="U5583" s="56"/>
      <c r="X5583" s="57"/>
    </row>
    <row r="5584">
      <c r="A5584" s="54"/>
      <c r="G5584" s="55"/>
      <c r="U5584" s="56"/>
      <c r="X5584" s="57"/>
    </row>
    <row r="5585">
      <c r="A5585" s="54"/>
      <c r="G5585" s="55"/>
      <c r="U5585" s="56"/>
      <c r="X5585" s="57"/>
    </row>
    <row r="5586">
      <c r="A5586" s="54"/>
      <c r="G5586" s="55"/>
      <c r="U5586" s="56"/>
      <c r="X5586" s="57"/>
    </row>
    <row r="5587">
      <c r="A5587" s="54"/>
      <c r="G5587" s="55"/>
      <c r="U5587" s="56"/>
      <c r="X5587" s="57"/>
    </row>
    <row r="5588">
      <c r="A5588" s="54"/>
      <c r="G5588" s="55"/>
      <c r="U5588" s="56"/>
      <c r="X5588" s="57"/>
    </row>
    <row r="5589">
      <c r="A5589" s="54"/>
      <c r="G5589" s="55"/>
      <c r="U5589" s="56"/>
      <c r="X5589" s="57"/>
    </row>
    <row r="5590">
      <c r="A5590" s="54"/>
      <c r="G5590" s="55"/>
      <c r="U5590" s="56"/>
      <c r="X5590" s="57"/>
    </row>
    <row r="5591">
      <c r="A5591" s="54"/>
      <c r="G5591" s="55"/>
      <c r="U5591" s="56"/>
      <c r="X5591" s="57"/>
    </row>
    <row r="5592">
      <c r="A5592" s="54"/>
      <c r="G5592" s="55"/>
      <c r="U5592" s="56"/>
      <c r="X5592" s="57"/>
    </row>
    <row r="5593">
      <c r="A5593" s="54"/>
      <c r="G5593" s="55"/>
      <c r="U5593" s="56"/>
      <c r="X5593" s="57"/>
    </row>
    <row r="5594">
      <c r="A5594" s="54"/>
      <c r="G5594" s="55"/>
      <c r="U5594" s="56"/>
      <c r="X5594" s="57"/>
    </row>
    <row r="5595">
      <c r="A5595" s="54"/>
      <c r="G5595" s="55"/>
      <c r="U5595" s="56"/>
      <c r="X5595" s="57"/>
    </row>
    <row r="5596">
      <c r="A5596" s="54"/>
      <c r="G5596" s="55"/>
      <c r="U5596" s="56"/>
      <c r="X5596" s="57"/>
    </row>
    <row r="5597">
      <c r="A5597" s="54"/>
      <c r="G5597" s="55"/>
      <c r="U5597" s="56"/>
      <c r="X5597" s="57"/>
    </row>
    <row r="5598">
      <c r="A5598" s="54"/>
      <c r="G5598" s="55"/>
      <c r="U5598" s="56"/>
      <c r="X5598" s="57"/>
    </row>
    <row r="5599">
      <c r="A5599" s="54"/>
      <c r="G5599" s="55"/>
      <c r="U5599" s="56"/>
      <c r="X5599" s="57"/>
    </row>
    <row r="5600">
      <c r="A5600" s="54"/>
      <c r="G5600" s="55"/>
      <c r="U5600" s="56"/>
      <c r="X5600" s="57"/>
    </row>
    <row r="5601">
      <c r="A5601" s="54"/>
      <c r="G5601" s="55"/>
      <c r="U5601" s="56"/>
      <c r="X5601" s="57"/>
    </row>
    <row r="5602">
      <c r="A5602" s="54"/>
      <c r="G5602" s="55"/>
      <c r="U5602" s="56"/>
      <c r="X5602" s="57"/>
    </row>
    <row r="5603">
      <c r="A5603" s="54"/>
      <c r="G5603" s="55"/>
      <c r="U5603" s="56"/>
      <c r="X5603" s="57"/>
    </row>
    <row r="5604">
      <c r="A5604" s="54"/>
      <c r="G5604" s="55"/>
      <c r="U5604" s="56"/>
      <c r="X5604" s="57"/>
    </row>
    <row r="5605">
      <c r="A5605" s="54"/>
      <c r="G5605" s="55"/>
      <c r="U5605" s="56"/>
      <c r="X5605" s="57"/>
    </row>
    <row r="5606">
      <c r="A5606" s="54"/>
      <c r="G5606" s="55"/>
      <c r="U5606" s="56"/>
      <c r="X5606" s="57"/>
    </row>
    <row r="5607">
      <c r="A5607" s="54"/>
      <c r="G5607" s="55"/>
      <c r="U5607" s="56"/>
      <c r="X5607" s="57"/>
    </row>
    <row r="5608">
      <c r="A5608" s="54"/>
      <c r="G5608" s="55"/>
      <c r="U5608" s="56"/>
      <c r="X5608" s="57"/>
    </row>
    <row r="5609">
      <c r="A5609" s="54"/>
      <c r="G5609" s="55"/>
      <c r="U5609" s="56"/>
      <c r="X5609" s="57"/>
    </row>
    <row r="5610">
      <c r="A5610" s="54"/>
      <c r="G5610" s="55"/>
      <c r="U5610" s="56"/>
      <c r="X5610" s="57"/>
    </row>
    <row r="5611">
      <c r="A5611" s="54"/>
      <c r="G5611" s="55"/>
      <c r="U5611" s="56"/>
      <c r="X5611" s="57"/>
    </row>
    <row r="5612">
      <c r="A5612" s="54"/>
      <c r="G5612" s="55"/>
      <c r="U5612" s="56"/>
      <c r="X5612" s="57"/>
    </row>
    <row r="5613">
      <c r="A5613" s="54"/>
      <c r="G5613" s="55"/>
      <c r="U5613" s="56"/>
      <c r="X5613" s="57"/>
    </row>
    <row r="5614">
      <c r="A5614" s="54"/>
      <c r="G5614" s="55"/>
      <c r="U5614" s="56"/>
      <c r="X5614" s="57"/>
    </row>
    <row r="5615">
      <c r="A5615" s="54"/>
      <c r="G5615" s="55"/>
      <c r="U5615" s="56"/>
      <c r="X5615" s="57"/>
    </row>
    <row r="5616">
      <c r="A5616" s="54"/>
      <c r="G5616" s="55"/>
      <c r="U5616" s="56"/>
      <c r="X5616" s="57"/>
    </row>
    <row r="5617">
      <c r="A5617" s="54"/>
      <c r="G5617" s="55"/>
      <c r="U5617" s="56"/>
      <c r="X5617" s="57"/>
    </row>
    <row r="5618">
      <c r="A5618" s="54"/>
      <c r="G5618" s="55"/>
      <c r="U5618" s="56"/>
      <c r="X5618" s="57"/>
    </row>
    <row r="5619">
      <c r="A5619" s="54"/>
      <c r="G5619" s="55"/>
      <c r="U5619" s="56"/>
      <c r="X5619" s="57"/>
    </row>
    <row r="5620">
      <c r="A5620" s="54"/>
      <c r="G5620" s="55"/>
      <c r="U5620" s="56"/>
      <c r="X5620" s="57"/>
    </row>
    <row r="5621">
      <c r="A5621" s="54"/>
      <c r="G5621" s="55"/>
      <c r="U5621" s="56"/>
      <c r="X5621" s="57"/>
    </row>
    <row r="5622">
      <c r="A5622" s="54"/>
      <c r="G5622" s="55"/>
      <c r="U5622" s="56"/>
      <c r="X5622" s="57"/>
    </row>
    <row r="5623">
      <c r="A5623" s="54"/>
      <c r="G5623" s="55"/>
      <c r="U5623" s="56"/>
      <c r="X5623" s="57"/>
    </row>
    <row r="5624">
      <c r="A5624" s="54"/>
      <c r="G5624" s="55"/>
      <c r="U5624" s="56"/>
      <c r="X5624" s="57"/>
    </row>
    <row r="5625">
      <c r="A5625" s="54"/>
      <c r="G5625" s="55"/>
      <c r="U5625" s="56"/>
      <c r="X5625" s="57"/>
    </row>
    <row r="5626">
      <c r="A5626" s="54"/>
      <c r="G5626" s="55"/>
      <c r="U5626" s="56"/>
      <c r="X5626" s="57"/>
    </row>
    <row r="5627">
      <c r="A5627" s="54"/>
      <c r="G5627" s="55"/>
      <c r="U5627" s="56"/>
      <c r="X5627" s="57"/>
    </row>
    <row r="5628">
      <c r="A5628" s="54"/>
      <c r="G5628" s="55"/>
      <c r="U5628" s="56"/>
      <c r="X5628" s="57"/>
    </row>
    <row r="5629">
      <c r="A5629" s="54"/>
      <c r="G5629" s="55"/>
      <c r="U5629" s="56"/>
      <c r="X5629" s="57"/>
    </row>
    <row r="5630">
      <c r="A5630" s="54"/>
      <c r="G5630" s="55"/>
      <c r="U5630" s="56"/>
      <c r="X5630" s="57"/>
    </row>
    <row r="5631">
      <c r="A5631" s="54"/>
      <c r="G5631" s="55"/>
      <c r="U5631" s="56"/>
      <c r="X5631" s="57"/>
    </row>
    <row r="5632">
      <c r="A5632" s="54"/>
      <c r="G5632" s="55"/>
      <c r="U5632" s="56"/>
      <c r="X5632" s="57"/>
    </row>
    <row r="5633">
      <c r="A5633" s="54"/>
      <c r="G5633" s="55"/>
      <c r="U5633" s="56"/>
      <c r="X5633" s="57"/>
    </row>
    <row r="5634">
      <c r="A5634" s="54"/>
      <c r="G5634" s="55"/>
      <c r="U5634" s="56"/>
      <c r="X5634" s="57"/>
    </row>
    <row r="5635">
      <c r="A5635" s="54"/>
      <c r="G5635" s="55"/>
      <c r="U5635" s="56"/>
      <c r="X5635" s="57"/>
    </row>
    <row r="5636">
      <c r="A5636" s="54"/>
      <c r="G5636" s="55"/>
      <c r="U5636" s="56"/>
      <c r="X5636" s="57"/>
    </row>
    <row r="5637">
      <c r="A5637" s="54"/>
      <c r="G5637" s="55"/>
      <c r="U5637" s="56"/>
      <c r="X5637" s="57"/>
    </row>
    <row r="5638">
      <c r="A5638" s="54"/>
      <c r="G5638" s="55"/>
      <c r="U5638" s="56"/>
      <c r="X5638" s="57"/>
    </row>
    <row r="5639">
      <c r="A5639" s="54"/>
      <c r="G5639" s="55"/>
      <c r="U5639" s="56"/>
      <c r="X5639" s="57"/>
    </row>
    <row r="5640">
      <c r="A5640" s="54"/>
      <c r="G5640" s="55"/>
      <c r="U5640" s="56"/>
      <c r="X5640" s="57"/>
    </row>
    <row r="5641">
      <c r="A5641" s="54"/>
      <c r="G5641" s="55"/>
      <c r="U5641" s="56"/>
      <c r="X5641" s="57"/>
    </row>
    <row r="5642">
      <c r="A5642" s="54"/>
      <c r="G5642" s="55"/>
      <c r="U5642" s="56"/>
      <c r="X5642" s="57"/>
    </row>
    <row r="5643">
      <c r="A5643" s="54"/>
      <c r="G5643" s="55"/>
      <c r="U5643" s="56"/>
      <c r="X5643" s="57"/>
    </row>
    <row r="5644">
      <c r="A5644" s="54"/>
      <c r="G5644" s="55"/>
      <c r="U5644" s="56"/>
      <c r="X5644" s="57"/>
    </row>
    <row r="5645">
      <c r="A5645" s="54"/>
      <c r="G5645" s="55"/>
      <c r="U5645" s="56"/>
      <c r="X5645" s="57"/>
    </row>
    <row r="5646">
      <c r="A5646" s="54"/>
      <c r="G5646" s="55"/>
      <c r="U5646" s="56"/>
      <c r="X5646" s="57"/>
    </row>
    <row r="5647">
      <c r="A5647" s="54"/>
      <c r="G5647" s="55"/>
      <c r="U5647" s="56"/>
      <c r="X5647" s="57"/>
    </row>
    <row r="5648">
      <c r="A5648" s="54"/>
      <c r="G5648" s="55"/>
      <c r="U5648" s="56"/>
      <c r="X5648" s="57"/>
    </row>
    <row r="5649">
      <c r="A5649" s="54"/>
      <c r="G5649" s="55"/>
      <c r="U5649" s="56"/>
      <c r="X5649" s="57"/>
    </row>
    <row r="5650">
      <c r="A5650" s="54"/>
      <c r="G5650" s="55"/>
      <c r="U5650" s="56"/>
      <c r="X5650" s="57"/>
    </row>
    <row r="5651">
      <c r="A5651" s="54"/>
      <c r="G5651" s="55"/>
      <c r="U5651" s="56"/>
      <c r="X5651" s="57"/>
    </row>
    <row r="5652">
      <c r="A5652" s="54"/>
      <c r="G5652" s="55"/>
      <c r="U5652" s="56"/>
      <c r="X5652" s="57"/>
    </row>
    <row r="5653">
      <c r="A5653" s="54"/>
      <c r="G5653" s="55"/>
      <c r="U5653" s="56"/>
      <c r="X5653" s="57"/>
    </row>
    <row r="5654">
      <c r="A5654" s="54"/>
      <c r="G5654" s="55"/>
      <c r="U5654" s="56"/>
      <c r="X5654" s="57"/>
    </row>
    <row r="5655">
      <c r="A5655" s="54"/>
      <c r="G5655" s="55"/>
      <c r="U5655" s="56"/>
      <c r="X5655" s="57"/>
    </row>
    <row r="5656">
      <c r="A5656" s="54"/>
      <c r="G5656" s="55"/>
      <c r="U5656" s="56"/>
      <c r="X5656" s="57"/>
    </row>
    <row r="5657">
      <c r="A5657" s="54"/>
      <c r="G5657" s="55"/>
      <c r="U5657" s="56"/>
      <c r="X5657" s="57"/>
    </row>
    <row r="5658">
      <c r="A5658" s="54"/>
      <c r="G5658" s="55"/>
      <c r="U5658" s="56"/>
      <c r="X5658" s="57"/>
    </row>
    <row r="5659">
      <c r="A5659" s="54"/>
      <c r="G5659" s="55"/>
      <c r="U5659" s="56"/>
      <c r="X5659" s="57"/>
    </row>
    <row r="5660">
      <c r="A5660" s="54"/>
      <c r="G5660" s="55"/>
      <c r="U5660" s="56"/>
      <c r="X5660" s="57"/>
    </row>
    <row r="5661">
      <c r="A5661" s="54"/>
      <c r="G5661" s="55"/>
      <c r="U5661" s="56"/>
      <c r="X5661" s="57"/>
    </row>
    <row r="5662">
      <c r="A5662" s="54"/>
      <c r="G5662" s="55"/>
      <c r="U5662" s="56"/>
      <c r="X5662" s="57"/>
    </row>
    <row r="5663">
      <c r="A5663" s="54"/>
      <c r="G5663" s="55"/>
      <c r="U5663" s="56"/>
      <c r="X5663" s="57"/>
    </row>
    <row r="5664">
      <c r="A5664" s="54"/>
      <c r="G5664" s="55"/>
      <c r="U5664" s="56"/>
      <c r="X5664" s="57"/>
    </row>
    <row r="5665">
      <c r="A5665" s="54"/>
      <c r="G5665" s="55"/>
      <c r="U5665" s="56"/>
      <c r="X5665" s="57"/>
    </row>
    <row r="5666">
      <c r="A5666" s="54"/>
      <c r="G5666" s="55"/>
      <c r="U5666" s="56"/>
      <c r="X5666" s="57"/>
    </row>
    <row r="5667">
      <c r="A5667" s="54"/>
      <c r="G5667" s="55"/>
      <c r="U5667" s="56"/>
      <c r="X5667" s="57"/>
    </row>
    <row r="5668">
      <c r="A5668" s="54"/>
      <c r="G5668" s="55"/>
      <c r="U5668" s="56"/>
      <c r="X5668" s="57"/>
    </row>
    <row r="5669">
      <c r="A5669" s="54"/>
      <c r="G5669" s="55"/>
      <c r="U5669" s="56"/>
      <c r="X5669" s="57"/>
    </row>
    <row r="5670">
      <c r="A5670" s="54"/>
      <c r="G5670" s="55"/>
      <c r="U5670" s="56"/>
      <c r="X5670" s="57"/>
    </row>
    <row r="5671">
      <c r="A5671" s="54"/>
      <c r="G5671" s="55"/>
      <c r="U5671" s="56"/>
      <c r="X5671" s="57"/>
    </row>
    <row r="5672">
      <c r="A5672" s="54"/>
      <c r="G5672" s="55"/>
      <c r="U5672" s="56"/>
      <c r="X5672" s="57"/>
    </row>
    <row r="5673">
      <c r="A5673" s="54"/>
      <c r="G5673" s="55"/>
      <c r="U5673" s="56"/>
      <c r="X5673" s="57"/>
    </row>
    <row r="5674">
      <c r="A5674" s="54"/>
      <c r="G5674" s="55"/>
      <c r="U5674" s="56"/>
      <c r="X5674" s="57"/>
    </row>
    <row r="5675">
      <c r="A5675" s="54"/>
      <c r="G5675" s="55"/>
      <c r="U5675" s="56"/>
      <c r="X5675" s="57"/>
    </row>
    <row r="5676">
      <c r="A5676" s="54"/>
      <c r="G5676" s="55"/>
      <c r="U5676" s="56"/>
      <c r="X5676" s="57"/>
    </row>
    <row r="5677">
      <c r="A5677" s="54"/>
      <c r="G5677" s="55"/>
      <c r="U5677" s="56"/>
      <c r="X5677" s="57"/>
    </row>
    <row r="5678">
      <c r="A5678" s="54"/>
      <c r="G5678" s="55"/>
      <c r="U5678" s="56"/>
      <c r="X5678" s="57"/>
    </row>
    <row r="5679">
      <c r="A5679" s="54"/>
      <c r="G5679" s="55"/>
      <c r="U5679" s="56"/>
      <c r="X5679" s="57"/>
    </row>
    <row r="5680">
      <c r="A5680" s="54"/>
      <c r="G5680" s="55"/>
      <c r="U5680" s="56"/>
      <c r="X5680" s="57"/>
    </row>
    <row r="5681">
      <c r="A5681" s="54"/>
      <c r="G5681" s="55"/>
      <c r="U5681" s="56"/>
      <c r="X5681" s="57"/>
    </row>
    <row r="5682">
      <c r="A5682" s="54"/>
      <c r="G5682" s="55"/>
      <c r="U5682" s="56"/>
      <c r="X5682" s="57"/>
    </row>
    <row r="5683">
      <c r="A5683" s="54"/>
      <c r="G5683" s="55"/>
      <c r="U5683" s="56"/>
      <c r="X5683" s="57"/>
    </row>
    <row r="5684">
      <c r="A5684" s="54"/>
      <c r="G5684" s="55"/>
      <c r="U5684" s="56"/>
      <c r="X5684" s="57"/>
    </row>
    <row r="5685">
      <c r="A5685" s="54"/>
      <c r="G5685" s="55"/>
      <c r="U5685" s="56"/>
      <c r="X5685" s="57"/>
    </row>
    <row r="5686">
      <c r="A5686" s="54"/>
      <c r="G5686" s="55"/>
      <c r="U5686" s="56"/>
      <c r="X5686" s="57"/>
    </row>
    <row r="5687">
      <c r="A5687" s="54"/>
      <c r="G5687" s="55"/>
      <c r="U5687" s="56"/>
      <c r="X5687" s="57"/>
    </row>
    <row r="5688">
      <c r="A5688" s="54"/>
      <c r="G5688" s="55"/>
      <c r="U5688" s="56"/>
      <c r="X5688" s="57"/>
    </row>
    <row r="5689">
      <c r="A5689" s="54"/>
      <c r="G5689" s="55"/>
      <c r="U5689" s="56"/>
      <c r="X5689" s="57"/>
    </row>
    <row r="5690">
      <c r="A5690" s="54"/>
      <c r="G5690" s="55"/>
      <c r="U5690" s="56"/>
      <c r="X5690" s="57"/>
    </row>
    <row r="5691">
      <c r="A5691" s="54"/>
      <c r="G5691" s="55"/>
      <c r="U5691" s="56"/>
      <c r="X5691" s="57"/>
    </row>
    <row r="5692">
      <c r="A5692" s="54"/>
      <c r="G5692" s="55"/>
      <c r="U5692" s="56"/>
      <c r="X5692" s="57"/>
    </row>
    <row r="5693">
      <c r="A5693" s="54"/>
      <c r="G5693" s="55"/>
      <c r="U5693" s="56"/>
      <c r="X5693" s="57"/>
    </row>
    <row r="5694">
      <c r="A5694" s="54"/>
      <c r="G5694" s="55"/>
      <c r="U5694" s="56"/>
      <c r="X5694" s="57"/>
    </row>
    <row r="5695">
      <c r="A5695" s="54"/>
      <c r="G5695" s="55"/>
      <c r="U5695" s="56"/>
      <c r="X5695" s="57"/>
    </row>
    <row r="5696">
      <c r="A5696" s="54"/>
      <c r="G5696" s="55"/>
      <c r="U5696" s="56"/>
      <c r="X5696" s="57"/>
    </row>
    <row r="5697">
      <c r="A5697" s="54"/>
      <c r="G5697" s="55"/>
      <c r="U5697" s="56"/>
      <c r="X5697" s="57"/>
    </row>
    <row r="5698">
      <c r="A5698" s="54"/>
      <c r="G5698" s="55"/>
      <c r="U5698" s="56"/>
      <c r="X5698" s="57"/>
    </row>
    <row r="5699">
      <c r="A5699" s="54"/>
      <c r="G5699" s="55"/>
      <c r="U5699" s="56"/>
      <c r="X5699" s="57"/>
    </row>
    <row r="5700">
      <c r="A5700" s="54"/>
      <c r="G5700" s="55"/>
      <c r="U5700" s="56"/>
      <c r="X5700" s="57"/>
    </row>
    <row r="5701">
      <c r="A5701" s="54"/>
      <c r="G5701" s="55"/>
      <c r="U5701" s="56"/>
      <c r="X5701" s="57"/>
    </row>
    <row r="5702">
      <c r="A5702" s="54"/>
      <c r="G5702" s="55"/>
      <c r="U5702" s="56"/>
      <c r="X5702" s="57"/>
    </row>
    <row r="5703">
      <c r="A5703" s="54"/>
      <c r="G5703" s="55"/>
      <c r="U5703" s="56"/>
      <c r="X5703" s="57"/>
    </row>
    <row r="5704">
      <c r="A5704" s="54"/>
      <c r="G5704" s="55"/>
      <c r="U5704" s="56"/>
      <c r="X5704" s="57"/>
    </row>
    <row r="5705">
      <c r="A5705" s="54"/>
      <c r="G5705" s="55"/>
      <c r="U5705" s="56"/>
      <c r="X5705" s="57"/>
    </row>
    <row r="5706">
      <c r="A5706" s="54"/>
      <c r="G5706" s="55"/>
      <c r="U5706" s="56"/>
      <c r="X5706" s="57"/>
    </row>
    <row r="5707">
      <c r="A5707" s="54"/>
      <c r="G5707" s="55"/>
      <c r="U5707" s="56"/>
      <c r="X5707" s="57"/>
    </row>
    <row r="5708">
      <c r="A5708" s="54"/>
      <c r="G5708" s="55"/>
      <c r="U5708" s="56"/>
      <c r="X5708" s="57"/>
    </row>
    <row r="5709">
      <c r="A5709" s="54"/>
      <c r="G5709" s="55"/>
      <c r="U5709" s="56"/>
      <c r="X5709" s="57"/>
    </row>
    <row r="5710">
      <c r="A5710" s="54"/>
      <c r="G5710" s="55"/>
      <c r="U5710" s="56"/>
      <c r="X5710" s="57"/>
    </row>
    <row r="5711">
      <c r="A5711" s="54"/>
      <c r="G5711" s="55"/>
      <c r="U5711" s="56"/>
      <c r="X5711" s="57"/>
    </row>
    <row r="5712">
      <c r="A5712" s="54"/>
      <c r="G5712" s="55"/>
      <c r="U5712" s="56"/>
      <c r="X5712" s="57"/>
    </row>
    <row r="5713">
      <c r="A5713" s="54"/>
      <c r="G5713" s="55"/>
      <c r="U5713" s="56"/>
      <c r="X5713" s="57"/>
    </row>
    <row r="5714">
      <c r="A5714" s="54"/>
      <c r="G5714" s="55"/>
      <c r="U5714" s="56"/>
      <c r="X5714" s="57"/>
    </row>
    <row r="5715">
      <c r="A5715" s="54"/>
      <c r="G5715" s="55"/>
      <c r="U5715" s="56"/>
      <c r="X5715" s="57"/>
    </row>
    <row r="5716">
      <c r="A5716" s="54"/>
      <c r="G5716" s="55"/>
      <c r="U5716" s="56"/>
      <c r="X5716" s="57"/>
    </row>
    <row r="5717">
      <c r="A5717" s="54"/>
      <c r="G5717" s="55"/>
      <c r="U5717" s="56"/>
      <c r="X5717" s="57"/>
    </row>
    <row r="5718">
      <c r="A5718" s="54"/>
      <c r="G5718" s="55"/>
      <c r="U5718" s="56"/>
      <c r="X5718" s="57"/>
    </row>
    <row r="5719">
      <c r="A5719" s="54"/>
      <c r="G5719" s="55"/>
      <c r="U5719" s="56"/>
      <c r="X5719" s="57"/>
    </row>
    <row r="5720">
      <c r="A5720" s="54"/>
      <c r="G5720" s="55"/>
      <c r="U5720" s="56"/>
      <c r="X5720" s="57"/>
    </row>
    <row r="5721">
      <c r="A5721" s="54"/>
      <c r="G5721" s="55"/>
      <c r="U5721" s="56"/>
      <c r="X5721" s="57"/>
    </row>
    <row r="5722">
      <c r="A5722" s="54"/>
      <c r="G5722" s="55"/>
      <c r="U5722" s="56"/>
      <c r="X5722" s="57"/>
    </row>
    <row r="5723">
      <c r="A5723" s="54"/>
      <c r="G5723" s="55"/>
      <c r="U5723" s="56"/>
      <c r="X5723" s="57"/>
    </row>
    <row r="5724">
      <c r="A5724" s="54"/>
      <c r="G5724" s="55"/>
      <c r="U5724" s="56"/>
      <c r="X5724" s="57"/>
    </row>
    <row r="5725">
      <c r="A5725" s="54"/>
      <c r="G5725" s="55"/>
      <c r="U5725" s="56"/>
      <c r="X5725" s="57"/>
    </row>
    <row r="5726">
      <c r="A5726" s="54"/>
      <c r="G5726" s="55"/>
      <c r="U5726" s="56"/>
      <c r="X5726" s="57"/>
    </row>
    <row r="5727">
      <c r="A5727" s="54"/>
      <c r="G5727" s="55"/>
      <c r="U5727" s="56"/>
      <c r="X5727" s="57"/>
    </row>
    <row r="5728">
      <c r="A5728" s="54"/>
      <c r="G5728" s="55"/>
      <c r="U5728" s="56"/>
      <c r="X5728" s="57"/>
    </row>
    <row r="5729">
      <c r="A5729" s="54"/>
      <c r="G5729" s="55"/>
      <c r="U5729" s="56"/>
      <c r="X5729" s="57"/>
    </row>
    <row r="5730">
      <c r="A5730" s="54"/>
      <c r="G5730" s="55"/>
      <c r="U5730" s="56"/>
      <c r="X5730" s="57"/>
    </row>
    <row r="5731">
      <c r="A5731" s="54"/>
      <c r="G5731" s="55"/>
      <c r="U5731" s="56"/>
      <c r="X5731" s="57"/>
    </row>
    <row r="5732">
      <c r="A5732" s="54"/>
      <c r="G5732" s="55"/>
      <c r="U5732" s="56"/>
      <c r="X5732" s="57"/>
    </row>
    <row r="5733">
      <c r="A5733" s="54"/>
      <c r="G5733" s="55"/>
      <c r="U5733" s="56"/>
      <c r="X5733" s="57"/>
    </row>
    <row r="5734">
      <c r="A5734" s="54"/>
      <c r="G5734" s="55"/>
      <c r="U5734" s="56"/>
      <c r="X5734" s="57"/>
    </row>
    <row r="5735">
      <c r="A5735" s="54"/>
      <c r="G5735" s="55"/>
      <c r="U5735" s="56"/>
      <c r="X5735" s="57"/>
    </row>
    <row r="5736">
      <c r="A5736" s="54"/>
      <c r="G5736" s="55"/>
      <c r="U5736" s="56"/>
      <c r="X5736" s="57"/>
    </row>
    <row r="5737">
      <c r="A5737" s="54"/>
      <c r="G5737" s="55"/>
      <c r="U5737" s="56"/>
      <c r="X5737" s="57"/>
    </row>
    <row r="5738">
      <c r="A5738" s="54"/>
      <c r="G5738" s="55"/>
      <c r="U5738" s="56"/>
      <c r="X5738" s="57"/>
    </row>
    <row r="5739">
      <c r="A5739" s="54"/>
      <c r="G5739" s="55"/>
      <c r="U5739" s="56"/>
      <c r="X5739" s="57"/>
    </row>
    <row r="5740">
      <c r="A5740" s="54"/>
      <c r="G5740" s="55"/>
      <c r="U5740" s="56"/>
      <c r="X5740" s="57"/>
    </row>
    <row r="5741">
      <c r="A5741" s="54"/>
      <c r="G5741" s="55"/>
      <c r="U5741" s="56"/>
      <c r="X5741" s="57"/>
    </row>
    <row r="5742">
      <c r="A5742" s="54"/>
      <c r="G5742" s="55"/>
      <c r="U5742" s="56"/>
      <c r="X5742" s="57"/>
    </row>
    <row r="5743">
      <c r="A5743" s="54"/>
      <c r="G5743" s="55"/>
      <c r="U5743" s="56"/>
      <c r="X5743" s="57"/>
    </row>
    <row r="5744">
      <c r="A5744" s="54"/>
      <c r="G5744" s="55"/>
      <c r="U5744" s="56"/>
      <c r="X5744" s="57"/>
    </row>
    <row r="5745">
      <c r="A5745" s="54"/>
      <c r="G5745" s="55"/>
      <c r="U5745" s="56"/>
      <c r="X5745" s="57"/>
    </row>
    <row r="5746">
      <c r="A5746" s="54"/>
      <c r="G5746" s="55"/>
      <c r="U5746" s="56"/>
      <c r="X5746" s="57"/>
    </row>
    <row r="5747">
      <c r="A5747" s="54"/>
      <c r="G5747" s="55"/>
      <c r="U5747" s="56"/>
      <c r="X5747" s="57"/>
    </row>
    <row r="5748">
      <c r="A5748" s="54"/>
      <c r="G5748" s="55"/>
      <c r="U5748" s="56"/>
      <c r="X5748" s="57"/>
    </row>
    <row r="5749">
      <c r="A5749" s="54"/>
      <c r="G5749" s="55"/>
      <c r="U5749" s="56"/>
      <c r="X5749" s="57"/>
    </row>
    <row r="5750">
      <c r="A5750" s="54"/>
      <c r="G5750" s="55"/>
      <c r="U5750" s="56"/>
      <c r="X5750" s="57"/>
    </row>
    <row r="5751">
      <c r="A5751" s="54"/>
      <c r="G5751" s="55"/>
      <c r="U5751" s="56"/>
      <c r="X5751" s="57"/>
    </row>
    <row r="5752">
      <c r="A5752" s="54"/>
      <c r="G5752" s="55"/>
      <c r="U5752" s="56"/>
      <c r="X5752" s="57"/>
    </row>
    <row r="5753">
      <c r="A5753" s="54"/>
      <c r="G5753" s="55"/>
      <c r="U5753" s="56"/>
      <c r="X5753" s="57"/>
    </row>
    <row r="5754">
      <c r="A5754" s="54"/>
      <c r="G5754" s="55"/>
      <c r="U5754" s="56"/>
      <c r="X5754" s="57"/>
    </row>
    <row r="5755">
      <c r="A5755" s="54"/>
      <c r="G5755" s="55"/>
      <c r="U5755" s="56"/>
      <c r="X5755" s="57"/>
    </row>
    <row r="5756">
      <c r="A5756" s="54"/>
      <c r="G5756" s="55"/>
      <c r="U5756" s="56"/>
      <c r="X5756" s="57"/>
    </row>
    <row r="5757">
      <c r="A5757" s="54"/>
      <c r="G5757" s="55"/>
      <c r="U5757" s="56"/>
      <c r="X5757" s="57"/>
    </row>
    <row r="5758">
      <c r="A5758" s="54"/>
      <c r="G5758" s="55"/>
      <c r="U5758" s="56"/>
      <c r="X5758" s="57"/>
    </row>
    <row r="5759">
      <c r="A5759" s="54"/>
      <c r="G5759" s="55"/>
      <c r="U5759" s="56"/>
      <c r="X5759" s="57"/>
    </row>
    <row r="5760">
      <c r="A5760" s="54"/>
      <c r="G5760" s="55"/>
      <c r="U5760" s="56"/>
      <c r="X5760" s="57"/>
    </row>
    <row r="5761">
      <c r="A5761" s="54"/>
      <c r="G5761" s="55"/>
      <c r="U5761" s="56"/>
      <c r="X5761" s="57"/>
    </row>
    <row r="5762">
      <c r="A5762" s="54"/>
      <c r="G5762" s="55"/>
      <c r="U5762" s="56"/>
      <c r="X5762" s="57"/>
    </row>
    <row r="5763">
      <c r="A5763" s="54"/>
      <c r="G5763" s="55"/>
      <c r="U5763" s="56"/>
      <c r="X5763" s="57"/>
    </row>
    <row r="5764">
      <c r="A5764" s="54"/>
      <c r="G5764" s="55"/>
      <c r="U5764" s="56"/>
      <c r="X5764" s="57"/>
    </row>
    <row r="5765">
      <c r="A5765" s="54"/>
      <c r="G5765" s="55"/>
      <c r="U5765" s="56"/>
      <c r="X5765" s="57"/>
    </row>
    <row r="5766">
      <c r="A5766" s="54"/>
      <c r="G5766" s="55"/>
      <c r="U5766" s="56"/>
      <c r="X5766" s="57"/>
    </row>
    <row r="5767">
      <c r="A5767" s="54"/>
      <c r="G5767" s="55"/>
      <c r="U5767" s="56"/>
      <c r="X5767" s="57"/>
    </row>
    <row r="5768">
      <c r="A5768" s="54"/>
      <c r="G5768" s="55"/>
      <c r="U5768" s="56"/>
      <c r="X5768" s="57"/>
    </row>
    <row r="5769">
      <c r="A5769" s="54"/>
      <c r="G5769" s="55"/>
      <c r="U5769" s="56"/>
      <c r="X5769" s="57"/>
    </row>
    <row r="5770">
      <c r="A5770" s="54"/>
      <c r="G5770" s="55"/>
      <c r="U5770" s="56"/>
      <c r="X5770" s="57"/>
    </row>
    <row r="5771">
      <c r="A5771" s="54"/>
      <c r="G5771" s="55"/>
      <c r="U5771" s="56"/>
      <c r="X5771" s="57"/>
    </row>
    <row r="5772">
      <c r="A5772" s="54"/>
      <c r="G5772" s="55"/>
      <c r="U5772" s="56"/>
      <c r="X5772" s="57"/>
    </row>
    <row r="5773">
      <c r="A5773" s="54"/>
      <c r="G5773" s="55"/>
      <c r="U5773" s="56"/>
      <c r="X5773" s="57"/>
    </row>
    <row r="5774">
      <c r="A5774" s="54"/>
      <c r="G5774" s="55"/>
      <c r="U5774" s="56"/>
      <c r="X5774" s="57"/>
    </row>
    <row r="5775">
      <c r="A5775" s="54"/>
      <c r="G5775" s="55"/>
      <c r="U5775" s="56"/>
      <c r="X5775" s="57"/>
    </row>
    <row r="5776">
      <c r="A5776" s="54"/>
      <c r="G5776" s="55"/>
      <c r="U5776" s="56"/>
      <c r="X5776" s="57"/>
    </row>
    <row r="5777">
      <c r="A5777" s="54"/>
      <c r="G5777" s="55"/>
      <c r="U5777" s="56"/>
      <c r="X5777" s="57"/>
    </row>
    <row r="5778">
      <c r="A5778" s="54"/>
      <c r="G5778" s="55"/>
      <c r="U5778" s="56"/>
      <c r="X5778" s="57"/>
    </row>
    <row r="5779">
      <c r="A5779" s="54"/>
      <c r="G5779" s="55"/>
      <c r="U5779" s="56"/>
      <c r="X5779" s="57"/>
    </row>
    <row r="5780">
      <c r="A5780" s="54"/>
      <c r="G5780" s="55"/>
      <c r="U5780" s="56"/>
      <c r="X5780" s="57"/>
    </row>
    <row r="5781">
      <c r="A5781" s="54"/>
      <c r="G5781" s="55"/>
      <c r="U5781" s="56"/>
      <c r="X5781" s="57"/>
    </row>
    <row r="5782">
      <c r="A5782" s="54"/>
      <c r="G5782" s="55"/>
      <c r="U5782" s="56"/>
      <c r="X5782" s="57"/>
    </row>
    <row r="5783">
      <c r="A5783" s="54"/>
      <c r="G5783" s="55"/>
      <c r="U5783" s="56"/>
      <c r="X5783" s="57"/>
    </row>
    <row r="5784">
      <c r="A5784" s="54"/>
      <c r="G5784" s="55"/>
      <c r="U5784" s="56"/>
      <c r="X5784" s="57"/>
    </row>
    <row r="5785">
      <c r="A5785" s="54"/>
      <c r="G5785" s="55"/>
      <c r="U5785" s="56"/>
      <c r="X5785" s="57"/>
    </row>
    <row r="5786">
      <c r="A5786" s="54"/>
      <c r="G5786" s="55"/>
      <c r="U5786" s="56"/>
      <c r="X5786" s="57"/>
    </row>
    <row r="5787">
      <c r="A5787" s="54"/>
      <c r="G5787" s="55"/>
      <c r="U5787" s="56"/>
      <c r="X5787" s="57"/>
    </row>
    <row r="5788">
      <c r="A5788" s="54"/>
      <c r="G5788" s="55"/>
      <c r="U5788" s="56"/>
      <c r="X5788" s="57"/>
    </row>
    <row r="5789">
      <c r="A5789" s="54"/>
      <c r="G5789" s="55"/>
      <c r="U5789" s="56"/>
      <c r="X5789" s="57"/>
    </row>
    <row r="5790">
      <c r="A5790" s="54"/>
      <c r="G5790" s="55"/>
      <c r="U5790" s="56"/>
      <c r="X5790" s="57"/>
    </row>
    <row r="5791">
      <c r="A5791" s="54"/>
      <c r="G5791" s="55"/>
      <c r="U5791" s="56"/>
      <c r="X5791" s="57"/>
    </row>
    <row r="5792">
      <c r="A5792" s="54"/>
      <c r="G5792" s="55"/>
      <c r="U5792" s="56"/>
      <c r="X5792" s="57"/>
    </row>
    <row r="5793">
      <c r="A5793" s="54"/>
      <c r="G5793" s="55"/>
      <c r="U5793" s="56"/>
      <c r="X5793" s="57"/>
    </row>
    <row r="5794">
      <c r="A5794" s="54"/>
      <c r="G5794" s="55"/>
      <c r="U5794" s="56"/>
      <c r="X5794" s="57"/>
    </row>
    <row r="5795">
      <c r="A5795" s="54"/>
      <c r="G5795" s="55"/>
      <c r="U5795" s="56"/>
      <c r="X5795" s="57"/>
    </row>
    <row r="5796">
      <c r="A5796" s="54"/>
      <c r="G5796" s="55"/>
      <c r="U5796" s="56"/>
      <c r="X5796" s="57"/>
    </row>
    <row r="5797">
      <c r="A5797" s="54"/>
      <c r="G5797" s="55"/>
      <c r="U5797" s="56"/>
      <c r="X5797" s="57"/>
    </row>
    <row r="5798">
      <c r="A5798" s="54"/>
      <c r="G5798" s="55"/>
      <c r="U5798" s="56"/>
      <c r="X5798" s="57"/>
    </row>
    <row r="5799">
      <c r="A5799" s="54"/>
      <c r="G5799" s="55"/>
      <c r="U5799" s="56"/>
      <c r="X5799" s="57"/>
    </row>
    <row r="5800">
      <c r="A5800" s="54"/>
      <c r="G5800" s="55"/>
      <c r="U5800" s="56"/>
      <c r="X5800" s="57"/>
    </row>
    <row r="5801">
      <c r="A5801" s="54"/>
      <c r="G5801" s="55"/>
      <c r="U5801" s="56"/>
      <c r="X5801" s="57"/>
    </row>
    <row r="5802">
      <c r="A5802" s="54"/>
      <c r="G5802" s="55"/>
      <c r="U5802" s="56"/>
      <c r="X5802" s="57"/>
    </row>
    <row r="5803">
      <c r="A5803" s="54"/>
      <c r="G5803" s="55"/>
      <c r="U5803" s="56"/>
      <c r="X5803" s="57"/>
    </row>
    <row r="5804">
      <c r="A5804" s="54"/>
      <c r="G5804" s="55"/>
      <c r="U5804" s="56"/>
      <c r="X5804" s="57"/>
    </row>
    <row r="5805">
      <c r="A5805" s="54"/>
      <c r="G5805" s="55"/>
      <c r="U5805" s="56"/>
      <c r="X5805" s="57"/>
    </row>
    <row r="5806">
      <c r="A5806" s="54"/>
      <c r="G5806" s="55"/>
      <c r="U5806" s="56"/>
      <c r="X5806" s="57"/>
    </row>
    <row r="5807">
      <c r="A5807" s="54"/>
      <c r="G5807" s="55"/>
      <c r="U5807" s="56"/>
      <c r="X5807" s="57"/>
    </row>
    <row r="5808">
      <c r="A5808" s="54"/>
      <c r="G5808" s="55"/>
      <c r="U5808" s="56"/>
      <c r="X5808" s="57"/>
    </row>
    <row r="5809">
      <c r="A5809" s="54"/>
      <c r="G5809" s="55"/>
      <c r="U5809" s="56"/>
      <c r="X5809" s="57"/>
    </row>
    <row r="5810">
      <c r="A5810" s="54"/>
      <c r="G5810" s="55"/>
      <c r="U5810" s="56"/>
      <c r="X5810" s="57"/>
    </row>
    <row r="5811">
      <c r="A5811" s="54"/>
      <c r="G5811" s="55"/>
      <c r="U5811" s="56"/>
      <c r="X5811" s="57"/>
    </row>
    <row r="5812">
      <c r="A5812" s="54"/>
      <c r="G5812" s="55"/>
      <c r="U5812" s="56"/>
      <c r="X5812" s="57"/>
    </row>
    <row r="5813">
      <c r="A5813" s="54"/>
      <c r="G5813" s="55"/>
      <c r="U5813" s="56"/>
      <c r="X5813" s="57"/>
    </row>
    <row r="5814">
      <c r="A5814" s="54"/>
      <c r="G5814" s="55"/>
      <c r="U5814" s="56"/>
      <c r="X5814" s="57"/>
    </row>
    <row r="5815">
      <c r="A5815" s="54"/>
      <c r="G5815" s="55"/>
      <c r="U5815" s="56"/>
      <c r="X5815" s="57"/>
    </row>
    <row r="5816">
      <c r="A5816" s="54"/>
      <c r="G5816" s="55"/>
      <c r="U5816" s="56"/>
      <c r="X5816" s="57"/>
    </row>
    <row r="5817">
      <c r="A5817" s="54"/>
      <c r="G5817" s="55"/>
      <c r="U5817" s="56"/>
      <c r="X5817" s="57"/>
    </row>
    <row r="5818">
      <c r="A5818" s="54"/>
      <c r="G5818" s="55"/>
      <c r="U5818" s="56"/>
      <c r="X5818" s="57"/>
    </row>
    <row r="5819">
      <c r="A5819" s="54"/>
      <c r="G5819" s="55"/>
      <c r="U5819" s="56"/>
      <c r="X5819" s="57"/>
    </row>
    <row r="5820">
      <c r="A5820" s="54"/>
      <c r="G5820" s="55"/>
      <c r="U5820" s="56"/>
      <c r="X5820" s="57"/>
    </row>
    <row r="5821">
      <c r="A5821" s="54"/>
      <c r="G5821" s="55"/>
      <c r="U5821" s="56"/>
      <c r="X5821" s="57"/>
    </row>
    <row r="5822">
      <c r="A5822" s="54"/>
      <c r="G5822" s="55"/>
      <c r="U5822" s="56"/>
      <c r="X5822" s="57"/>
    </row>
    <row r="5823">
      <c r="A5823" s="54"/>
      <c r="G5823" s="55"/>
      <c r="U5823" s="56"/>
      <c r="X5823" s="57"/>
    </row>
    <row r="5824">
      <c r="A5824" s="54"/>
      <c r="G5824" s="55"/>
      <c r="U5824" s="56"/>
      <c r="X5824" s="57"/>
    </row>
    <row r="5825">
      <c r="A5825" s="54"/>
      <c r="G5825" s="55"/>
      <c r="U5825" s="56"/>
      <c r="X5825" s="57"/>
    </row>
    <row r="5826">
      <c r="A5826" s="54"/>
      <c r="G5826" s="55"/>
      <c r="U5826" s="56"/>
      <c r="X5826" s="57"/>
    </row>
    <row r="5827">
      <c r="A5827" s="54"/>
      <c r="G5827" s="55"/>
      <c r="U5827" s="56"/>
      <c r="X5827" s="57"/>
    </row>
    <row r="5828">
      <c r="A5828" s="54"/>
      <c r="G5828" s="55"/>
      <c r="U5828" s="56"/>
      <c r="X5828" s="57"/>
    </row>
    <row r="5829">
      <c r="A5829" s="54"/>
      <c r="G5829" s="55"/>
      <c r="U5829" s="56"/>
      <c r="X5829" s="57"/>
    </row>
    <row r="5830">
      <c r="A5830" s="54"/>
      <c r="G5830" s="55"/>
      <c r="U5830" s="56"/>
      <c r="X5830" s="57"/>
    </row>
    <row r="5831">
      <c r="A5831" s="54"/>
      <c r="G5831" s="55"/>
      <c r="U5831" s="56"/>
      <c r="X5831" s="57"/>
    </row>
    <row r="5832">
      <c r="A5832" s="54"/>
      <c r="G5832" s="55"/>
      <c r="U5832" s="56"/>
      <c r="X5832" s="57"/>
    </row>
    <row r="5833">
      <c r="A5833" s="54"/>
      <c r="G5833" s="55"/>
      <c r="U5833" s="56"/>
      <c r="X5833" s="57"/>
    </row>
    <row r="5834">
      <c r="A5834" s="54"/>
      <c r="G5834" s="55"/>
      <c r="U5834" s="56"/>
      <c r="X5834" s="57"/>
    </row>
    <row r="5835">
      <c r="A5835" s="54"/>
      <c r="G5835" s="55"/>
      <c r="U5835" s="56"/>
      <c r="X5835" s="57"/>
    </row>
    <row r="5836">
      <c r="A5836" s="54"/>
      <c r="G5836" s="55"/>
      <c r="U5836" s="56"/>
      <c r="X5836" s="57"/>
    </row>
    <row r="5837">
      <c r="A5837" s="54"/>
      <c r="G5837" s="55"/>
      <c r="U5837" s="56"/>
      <c r="X5837" s="57"/>
    </row>
    <row r="5838">
      <c r="A5838" s="54"/>
      <c r="G5838" s="55"/>
      <c r="U5838" s="56"/>
      <c r="X5838" s="57"/>
    </row>
    <row r="5839">
      <c r="A5839" s="54"/>
      <c r="G5839" s="55"/>
      <c r="U5839" s="56"/>
      <c r="X5839" s="57"/>
    </row>
    <row r="5840">
      <c r="A5840" s="54"/>
      <c r="G5840" s="55"/>
      <c r="U5840" s="56"/>
      <c r="X5840" s="57"/>
    </row>
    <row r="5841">
      <c r="A5841" s="54"/>
      <c r="G5841" s="55"/>
      <c r="U5841" s="56"/>
      <c r="X5841" s="57"/>
    </row>
    <row r="5842">
      <c r="A5842" s="54"/>
      <c r="G5842" s="55"/>
      <c r="U5842" s="56"/>
      <c r="X5842" s="57"/>
    </row>
    <row r="5843">
      <c r="A5843" s="54"/>
      <c r="G5843" s="55"/>
      <c r="U5843" s="56"/>
      <c r="X5843" s="57"/>
    </row>
    <row r="5844">
      <c r="A5844" s="54"/>
      <c r="G5844" s="55"/>
      <c r="U5844" s="56"/>
      <c r="X5844" s="57"/>
    </row>
    <row r="5845">
      <c r="A5845" s="54"/>
      <c r="G5845" s="55"/>
      <c r="U5845" s="56"/>
      <c r="X5845" s="57"/>
    </row>
    <row r="5846">
      <c r="A5846" s="54"/>
      <c r="G5846" s="55"/>
      <c r="U5846" s="56"/>
      <c r="X5846" s="57"/>
    </row>
    <row r="5847">
      <c r="A5847" s="54"/>
      <c r="G5847" s="55"/>
      <c r="U5847" s="56"/>
      <c r="X5847" s="57"/>
    </row>
    <row r="5848">
      <c r="A5848" s="54"/>
      <c r="G5848" s="55"/>
      <c r="U5848" s="56"/>
      <c r="X5848" s="57"/>
    </row>
    <row r="5849">
      <c r="A5849" s="54"/>
      <c r="G5849" s="55"/>
      <c r="U5849" s="56"/>
      <c r="X5849" s="57"/>
    </row>
    <row r="5850">
      <c r="A5850" s="54"/>
      <c r="G5850" s="55"/>
      <c r="U5850" s="56"/>
      <c r="X5850" s="57"/>
    </row>
    <row r="5851">
      <c r="A5851" s="54"/>
      <c r="G5851" s="55"/>
      <c r="U5851" s="56"/>
      <c r="X5851" s="57"/>
    </row>
    <row r="5852">
      <c r="A5852" s="54"/>
      <c r="G5852" s="55"/>
      <c r="U5852" s="56"/>
      <c r="X5852" s="57"/>
    </row>
    <row r="5853">
      <c r="A5853" s="54"/>
      <c r="G5853" s="55"/>
      <c r="U5853" s="56"/>
      <c r="X5853" s="57"/>
    </row>
    <row r="5854">
      <c r="A5854" s="54"/>
      <c r="G5854" s="55"/>
      <c r="U5854" s="56"/>
      <c r="X5854" s="57"/>
    </row>
    <row r="5855">
      <c r="A5855" s="54"/>
      <c r="G5855" s="55"/>
      <c r="U5855" s="56"/>
      <c r="X5855" s="57"/>
    </row>
    <row r="5856">
      <c r="A5856" s="54"/>
      <c r="G5856" s="55"/>
      <c r="U5856" s="56"/>
      <c r="X5856" s="57"/>
    </row>
    <row r="5857">
      <c r="A5857" s="54"/>
      <c r="G5857" s="55"/>
      <c r="U5857" s="56"/>
      <c r="X5857" s="57"/>
    </row>
    <row r="5858">
      <c r="A5858" s="54"/>
      <c r="G5858" s="55"/>
      <c r="U5858" s="56"/>
      <c r="X5858" s="57"/>
    </row>
    <row r="5859">
      <c r="A5859" s="54"/>
      <c r="G5859" s="55"/>
      <c r="U5859" s="56"/>
      <c r="X5859" s="57"/>
    </row>
    <row r="5860">
      <c r="A5860" s="54"/>
      <c r="G5860" s="55"/>
      <c r="U5860" s="56"/>
      <c r="X5860" s="57"/>
    </row>
    <row r="5861">
      <c r="A5861" s="54"/>
      <c r="G5861" s="55"/>
      <c r="U5861" s="56"/>
      <c r="X5861" s="57"/>
    </row>
    <row r="5862">
      <c r="A5862" s="54"/>
      <c r="G5862" s="55"/>
      <c r="U5862" s="56"/>
      <c r="X5862" s="57"/>
    </row>
    <row r="5863">
      <c r="A5863" s="54"/>
      <c r="G5863" s="55"/>
      <c r="U5863" s="56"/>
      <c r="X5863" s="57"/>
    </row>
    <row r="5864">
      <c r="A5864" s="54"/>
      <c r="G5864" s="55"/>
      <c r="U5864" s="56"/>
      <c r="X5864" s="57"/>
    </row>
    <row r="5865">
      <c r="A5865" s="54"/>
      <c r="G5865" s="55"/>
      <c r="U5865" s="56"/>
      <c r="X5865" s="57"/>
    </row>
    <row r="5866">
      <c r="A5866" s="54"/>
      <c r="G5866" s="55"/>
      <c r="U5866" s="56"/>
      <c r="X5866" s="57"/>
    </row>
    <row r="5867">
      <c r="A5867" s="54"/>
      <c r="G5867" s="55"/>
      <c r="U5867" s="56"/>
      <c r="X5867" s="57"/>
    </row>
    <row r="5868">
      <c r="A5868" s="54"/>
      <c r="G5868" s="55"/>
      <c r="U5868" s="56"/>
      <c r="X5868" s="57"/>
    </row>
    <row r="5869">
      <c r="A5869" s="54"/>
      <c r="G5869" s="55"/>
      <c r="U5869" s="56"/>
      <c r="X5869" s="57"/>
    </row>
    <row r="5870">
      <c r="A5870" s="54"/>
      <c r="G5870" s="55"/>
      <c r="U5870" s="56"/>
      <c r="X5870" s="57"/>
    </row>
    <row r="5871">
      <c r="A5871" s="54"/>
      <c r="G5871" s="55"/>
      <c r="U5871" s="56"/>
      <c r="X5871" s="57"/>
    </row>
    <row r="5872">
      <c r="A5872" s="54"/>
      <c r="G5872" s="55"/>
      <c r="U5872" s="56"/>
      <c r="X5872" s="57"/>
    </row>
    <row r="5873">
      <c r="A5873" s="54"/>
      <c r="G5873" s="55"/>
      <c r="U5873" s="56"/>
      <c r="X5873" s="57"/>
    </row>
    <row r="5874">
      <c r="A5874" s="54"/>
      <c r="G5874" s="55"/>
      <c r="U5874" s="56"/>
      <c r="X5874" s="57"/>
    </row>
    <row r="5875">
      <c r="A5875" s="54"/>
      <c r="G5875" s="55"/>
      <c r="U5875" s="56"/>
      <c r="X5875" s="57"/>
    </row>
    <row r="5876">
      <c r="A5876" s="54"/>
      <c r="G5876" s="55"/>
      <c r="U5876" s="56"/>
      <c r="X5876" s="57"/>
    </row>
    <row r="5877">
      <c r="A5877" s="54"/>
      <c r="G5877" s="55"/>
      <c r="U5877" s="56"/>
      <c r="X5877" s="57"/>
    </row>
    <row r="5878">
      <c r="A5878" s="54"/>
      <c r="G5878" s="55"/>
      <c r="U5878" s="56"/>
      <c r="X5878" s="57"/>
    </row>
    <row r="5879">
      <c r="A5879" s="54"/>
      <c r="G5879" s="55"/>
      <c r="U5879" s="56"/>
      <c r="X5879" s="57"/>
    </row>
    <row r="5880">
      <c r="A5880" s="54"/>
      <c r="G5880" s="55"/>
      <c r="U5880" s="56"/>
      <c r="X5880" s="57"/>
    </row>
    <row r="5881">
      <c r="A5881" s="54"/>
      <c r="G5881" s="55"/>
      <c r="U5881" s="56"/>
      <c r="X5881" s="57"/>
    </row>
    <row r="5882">
      <c r="A5882" s="54"/>
      <c r="G5882" s="55"/>
      <c r="U5882" s="56"/>
      <c r="X5882" s="57"/>
    </row>
    <row r="5883">
      <c r="A5883" s="54"/>
      <c r="G5883" s="55"/>
      <c r="U5883" s="56"/>
      <c r="X5883" s="57"/>
    </row>
    <row r="5884">
      <c r="A5884" s="54"/>
      <c r="G5884" s="55"/>
      <c r="U5884" s="56"/>
      <c r="X5884" s="57"/>
    </row>
    <row r="5885">
      <c r="A5885" s="54"/>
      <c r="G5885" s="55"/>
      <c r="U5885" s="56"/>
      <c r="X5885" s="57"/>
    </row>
    <row r="5886">
      <c r="A5886" s="54"/>
      <c r="G5886" s="55"/>
      <c r="U5886" s="56"/>
      <c r="X5886" s="57"/>
    </row>
    <row r="5887">
      <c r="A5887" s="54"/>
      <c r="G5887" s="55"/>
      <c r="U5887" s="56"/>
      <c r="X5887" s="57"/>
    </row>
    <row r="5888">
      <c r="A5888" s="54"/>
      <c r="G5888" s="55"/>
      <c r="U5888" s="56"/>
      <c r="X5888" s="57"/>
    </row>
    <row r="5889">
      <c r="A5889" s="54"/>
      <c r="G5889" s="55"/>
      <c r="U5889" s="56"/>
      <c r="X5889" s="57"/>
    </row>
    <row r="5890">
      <c r="A5890" s="54"/>
      <c r="G5890" s="55"/>
      <c r="U5890" s="56"/>
      <c r="X5890" s="57"/>
    </row>
    <row r="5891">
      <c r="A5891" s="54"/>
      <c r="G5891" s="55"/>
      <c r="U5891" s="56"/>
      <c r="X5891" s="57"/>
    </row>
    <row r="5892">
      <c r="A5892" s="54"/>
      <c r="G5892" s="55"/>
      <c r="U5892" s="56"/>
      <c r="X5892" s="57"/>
    </row>
    <row r="5893">
      <c r="A5893" s="54"/>
      <c r="G5893" s="55"/>
      <c r="U5893" s="56"/>
      <c r="X5893" s="57"/>
    </row>
    <row r="5894">
      <c r="A5894" s="54"/>
      <c r="G5894" s="55"/>
      <c r="U5894" s="56"/>
      <c r="X5894" s="57"/>
    </row>
    <row r="5895">
      <c r="A5895" s="54"/>
      <c r="G5895" s="55"/>
      <c r="U5895" s="56"/>
      <c r="X5895" s="57"/>
    </row>
    <row r="5896">
      <c r="A5896" s="54"/>
      <c r="G5896" s="55"/>
      <c r="U5896" s="56"/>
      <c r="X5896" s="57"/>
    </row>
    <row r="5897">
      <c r="A5897" s="54"/>
      <c r="G5897" s="55"/>
      <c r="U5897" s="56"/>
      <c r="X5897" s="57"/>
    </row>
    <row r="5898">
      <c r="A5898" s="54"/>
      <c r="G5898" s="55"/>
      <c r="U5898" s="56"/>
      <c r="X5898" s="57"/>
    </row>
    <row r="5899">
      <c r="A5899" s="54"/>
      <c r="G5899" s="55"/>
      <c r="U5899" s="56"/>
      <c r="X5899" s="57"/>
    </row>
    <row r="5900">
      <c r="A5900" s="54"/>
      <c r="G5900" s="55"/>
      <c r="U5900" s="56"/>
      <c r="X5900" s="57"/>
    </row>
    <row r="5901">
      <c r="A5901" s="54"/>
      <c r="G5901" s="55"/>
      <c r="U5901" s="56"/>
      <c r="X5901" s="57"/>
    </row>
    <row r="5902">
      <c r="A5902" s="54"/>
      <c r="G5902" s="55"/>
      <c r="U5902" s="56"/>
      <c r="X5902" s="57"/>
    </row>
    <row r="5903">
      <c r="A5903" s="54"/>
      <c r="G5903" s="55"/>
      <c r="U5903" s="56"/>
      <c r="X5903" s="57"/>
    </row>
    <row r="5904">
      <c r="A5904" s="54"/>
      <c r="G5904" s="55"/>
      <c r="U5904" s="56"/>
      <c r="X5904" s="57"/>
    </row>
    <row r="5905">
      <c r="A5905" s="54"/>
      <c r="G5905" s="55"/>
      <c r="U5905" s="56"/>
      <c r="X5905" s="57"/>
    </row>
    <row r="5906">
      <c r="A5906" s="54"/>
      <c r="G5906" s="55"/>
      <c r="U5906" s="56"/>
      <c r="X5906" s="57"/>
    </row>
    <row r="5907">
      <c r="A5907" s="54"/>
      <c r="G5907" s="55"/>
      <c r="U5907" s="56"/>
      <c r="X5907" s="57"/>
    </row>
    <row r="5908">
      <c r="A5908" s="54"/>
      <c r="G5908" s="55"/>
      <c r="U5908" s="56"/>
      <c r="X5908" s="57"/>
    </row>
    <row r="5909">
      <c r="A5909" s="54"/>
      <c r="G5909" s="55"/>
      <c r="U5909" s="56"/>
      <c r="X5909" s="57"/>
    </row>
    <row r="5910">
      <c r="A5910" s="54"/>
      <c r="G5910" s="55"/>
      <c r="U5910" s="56"/>
      <c r="X5910" s="57"/>
    </row>
    <row r="5911">
      <c r="A5911" s="54"/>
      <c r="G5911" s="55"/>
      <c r="U5911" s="56"/>
      <c r="X5911" s="57"/>
    </row>
    <row r="5912">
      <c r="A5912" s="54"/>
      <c r="G5912" s="55"/>
      <c r="U5912" s="56"/>
      <c r="X5912" s="57"/>
    </row>
    <row r="5913">
      <c r="A5913" s="54"/>
      <c r="G5913" s="55"/>
      <c r="U5913" s="56"/>
      <c r="X5913" s="57"/>
    </row>
    <row r="5914">
      <c r="A5914" s="54"/>
      <c r="G5914" s="55"/>
      <c r="U5914" s="56"/>
      <c r="X5914" s="57"/>
    </row>
    <row r="5915">
      <c r="A5915" s="54"/>
      <c r="G5915" s="55"/>
      <c r="U5915" s="56"/>
      <c r="X5915" s="57"/>
    </row>
    <row r="5916">
      <c r="A5916" s="54"/>
      <c r="G5916" s="55"/>
      <c r="U5916" s="56"/>
      <c r="X5916" s="57"/>
    </row>
    <row r="5917">
      <c r="A5917" s="54"/>
      <c r="G5917" s="55"/>
      <c r="U5917" s="56"/>
      <c r="X5917" s="57"/>
    </row>
    <row r="5918">
      <c r="A5918" s="54"/>
      <c r="G5918" s="55"/>
      <c r="U5918" s="56"/>
      <c r="X5918" s="57"/>
    </row>
    <row r="5919">
      <c r="A5919" s="54"/>
      <c r="G5919" s="55"/>
      <c r="U5919" s="56"/>
      <c r="X5919" s="57"/>
    </row>
    <row r="5920">
      <c r="A5920" s="54"/>
      <c r="G5920" s="55"/>
      <c r="U5920" s="56"/>
      <c r="X5920" s="57"/>
    </row>
    <row r="5921">
      <c r="A5921" s="54"/>
      <c r="G5921" s="55"/>
      <c r="U5921" s="56"/>
      <c r="X5921" s="57"/>
    </row>
    <row r="5922">
      <c r="A5922" s="54"/>
      <c r="G5922" s="55"/>
      <c r="U5922" s="56"/>
      <c r="X5922" s="57"/>
    </row>
    <row r="5923">
      <c r="A5923" s="54"/>
      <c r="G5923" s="55"/>
      <c r="U5923" s="56"/>
      <c r="X5923" s="57"/>
    </row>
    <row r="5924">
      <c r="A5924" s="54"/>
      <c r="G5924" s="55"/>
      <c r="U5924" s="56"/>
      <c r="X5924" s="57"/>
    </row>
    <row r="5925">
      <c r="A5925" s="54"/>
      <c r="G5925" s="55"/>
      <c r="U5925" s="56"/>
      <c r="X5925" s="57"/>
    </row>
    <row r="5926">
      <c r="A5926" s="54"/>
      <c r="G5926" s="55"/>
      <c r="U5926" s="56"/>
      <c r="X5926" s="57"/>
    </row>
    <row r="5927">
      <c r="A5927" s="54"/>
      <c r="G5927" s="55"/>
      <c r="U5927" s="56"/>
      <c r="X5927" s="57"/>
    </row>
    <row r="5928">
      <c r="A5928" s="54"/>
      <c r="G5928" s="55"/>
      <c r="U5928" s="56"/>
      <c r="X5928" s="57"/>
    </row>
    <row r="5929">
      <c r="A5929" s="54"/>
      <c r="G5929" s="55"/>
      <c r="U5929" s="56"/>
      <c r="X5929" s="57"/>
    </row>
    <row r="5930">
      <c r="A5930" s="54"/>
      <c r="G5930" s="55"/>
      <c r="U5930" s="56"/>
      <c r="X5930" s="57"/>
    </row>
    <row r="5931">
      <c r="A5931" s="54"/>
      <c r="G5931" s="55"/>
      <c r="U5931" s="56"/>
      <c r="X5931" s="57"/>
    </row>
    <row r="5932">
      <c r="A5932" s="54"/>
      <c r="G5932" s="55"/>
      <c r="U5932" s="56"/>
      <c r="X5932" s="57"/>
    </row>
    <row r="5933">
      <c r="A5933" s="54"/>
      <c r="G5933" s="55"/>
      <c r="U5933" s="56"/>
      <c r="X5933" s="57"/>
    </row>
    <row r="5934">
      <c r="A5934" s="54"/>
      <c r="G5934" s="55"/>
      <c r="U5934" s="56"/>
      <c r="X5934" s="57"/>
    </row>
    <row r="5935">
      <c r="A5935" s="54"/>
      <c r="G5935" s="55"/>
      <c r="U5935" s="56"/>
      <c r="X5935" s="57"/>
    </row>
    <row r="5936">
      <c r="A5936" s="54"/>
      <c r="G5936" s="55"/>
      <c r="U5936" s="56"/>
      <c r="X5936" s="57"/>
    </row>
    <row r="5937">
      <c r="A5937" s="54"/>
      <c r="G5937" s="55"/>
      <c r="U5937" s="56"/>
      <c r="X5937" s="57"/>
    </row>
    <row r="5938">
      <c r="A5938" s="54"/>
      <c r="G5938" s="55"/>
      <c r="U5938" s="56"/>
      <c r="X5938" s="57"/>
    </row>
    <row r="5939">
      <c r="A5939" s="54"/>
      <c r="G5939" s="55"/>
      <c r="U5939" s="56"/>
      <c r="X5939" s="57"/>
    </row>
    <row r="5940">
      <c r="A5940" s="54"/>
      <c r="G5940" s="55"/>
      <c r="U5940" s="56"/>
      <c r="X5940" s="57"/>
    </row>
    <row r="5941">
      <c r="A5941" s="54"/>
      <c r="G5941" s="55"/>
      <c r="U5941" s="56"/>
      <c r="X5941" s="57"/>
    </row>
    <row r="5942">
      <c r="A5942" s="54"/>
      <c r="G5942" s="55"/>
      <c r="U5942" s="56"/>
      <c r="X5942" s="57"/>
    </row>
    <row r="5943">
      <c r="A5943" s="54"/>
      <c r="G5943" s="55"/>
      <c r="U5943" s="56"/>
      <c r="X5943" s="57"/>
    </row>
    <row r="5944">
      <c r="A5944" s="54"/>
      <c r="G5944" s="55"/>
      <c r="U5944" s="56"/>
      <c r="X5944" s="57"/>
    </row>
    <row r="5945">
      <c r="A5945" s="54"/>
      <c r="G5945" s="55"/>
      <c r="U5945" s="56"/>
      <c r="X5945" s="57"/>
    </row>
    <row r="5946">
      <c r="A5946" s="54"/>
      <c r="G5946" s="55"/>
      <c r="U5946" s="56"/>
      <c r="X5946" s="57"/>
    </row>
    <row r="5947">
      <c r="A5947" s="54"/>
      <c r="G5947" s="55"/>
      <c r="U5947" s="56"/>
      <c r="X5947" s="57"/>
    </row>
    <row r="5948">
      <c r="A5948" s="54"/>
      <c r="G5948" s="55"/>
      <c r="U5948" s="56"/>
      <c r="X5948" s="57"/>
    </row>
    <row r="5949">
      <c r="A5949" s="54"/>
      <c r="G5949" s="55"/>
      <c r="U5949" s="56"/>
      <c r="X5949" s="57"/>
    </row>
    <row r="5950">
      <c r="A5950" s="54"/>
      <c r="G5950" s="55"/>
      <c r="U5950" s="56"/>
      <c r="X5950" s="57"/>
    </row>
    <row r="5951">
      <c r="A5951" s="54"/>
      <c r="G5951" s="55"/>
      <c r="U5951" s="56"/>
      <c r="X5951" s="57"/>
    </row>
    <row r="5952">
      <c r="A5952" s="54"/>
      <c r="G5952" s="55"/>
      <c r="U5952" s="56"/>
      <c r="X5952" s="57"/>
    </row>
    <row r="5953">
      <c r="A5953" s="54"/>
      <c r="G5953" s="55"/>
      <c r="U5953" s="56"/>
      <c r="X5953" s="57"/>
    </row>
    <row r="5954">
      <c r="A5954" s="54"/>
      <c r="G5954" s="55"/>
      <c r="U5954" s="56"/>
      <c r="X5954" s="57"/>
    </row>
    <row r="5955">
      <c r="A5955" s="54"/>
      <c r="G5955" s="55"/>
      <c r="U5955" s="56"/>
      <c r="X5955" s="57"/>
    </row>
    <row r="5956">
      <c r="A5956" s="54"/>
      <c r="G5956" s="55"/>
      <c r="U5956" s="56"/>
      <c r="X5956" s="57"/>
    </row>
    <row r="5957">
      <c r="A5957" s="54"/>
      <c r="G5957" s="55"/>
      <c r="U5957" s="56"/>
      <c r="X5957" s="57"/>
    </row>
    <row r="5958">
      <c r="A5958" s="54"/>
      <c r="G5958" s="55"/>
      <c r="U5958" s="56"/>
      <c r="X5958" s="57"/>
    </row>
    <row r="5959">
      <c r="A5959" s="54"/>
      <c r="G5959" s="55"/>
      <c r="U5959" s="56"/>
      <c r="X5959" s="57"/>
    </row>
    <row r="5960">
      <c r="A5960" s="54"/>
      <c r="G5960" s="55"/>
      <c r="U5960" s="56"/>
      <c r="X5960" s="57"/>
    </row>
    <row r="5961">
      <c r="A5961" s="54"/>
      <c r="G5961" s="55"/>
      <c r="U5961" s="56"/>
      <c r="X5961" s="57"/>
    </row>
    <row r="5962">
      <c r="A5962" s="54"/>
      <c r="G5962" s="55"/>
      <c r="U5962" s="56"/>
      <c r="X5962" s="57"/>
    </row>
    <row r="5963">
      <c r="A5963" s="54"/>
      <c r="G5963" s="55"/>
      <c r="U5963" s="56"/>
      <c r="X5963" s="57"/>
    </row>
    <row r="5964">
      <c r="A5964" s="54"/>
      <c r="G5964" s="55"/>
      <c r="U5964" s="56"/>
      <c r="X5964" s="57"/>
    </row>
    <row r="5965">
      <c r="A5965" s="54"/>
      <c r="G5965" s="55"/>
      <c r="U5965" s="56"/>
      <c r="X5965" s="57"/>
    </row>
    <row r="5966">
      <c r="A5966" s="54"/>
      <c r="G5966" s="55"/>
      <c r="U5966" s="56"/>
      <c r="X5966" s="57"/>
    </row>
    <row r="5967">
      <c r="A5967" s="54"/>
      <c r="G5967" s="55"/>
      <c r="U5967" s="56"/>
      <c r="X5967" s="57"/>
    </row>
    <row r="5968">
      <c r="A5968" s="54"/>
      <c r="G5968" s="55"/>
      <c r="U5968" s="56"/>
      <c r="X5968" s="57"/>
    </row>
    <row r="5969">
      <c r="A5969" s="54"/>
      <c r="G5969" s="55"/>
      <c r="U5969" s="56"/>
      <c r="X5969" s="57"/>
    </row>
    <row r="5970">
      <c r="A5970" s="54"/>
      <c r="G5970" s="55"/>
      <c r="U5970" s="56"/>
      <c r="X5970" s="57"/>
    </row>
    <row r="5971">
      <c r="A5971" s="54"/>
      <c r="G5971" s="55"/>
      <c r="U5971" s="56"/>
      <c r="X5971" s="57"/>
    </row>
    <row r="5972">
      <c r="A5972" s="54"/>
      <c r="G5972" s="55"/>
      <c r="U5972" s="56"/>
      <c r="X5972" s="57"/>
    </row>
    <row r="5973">
      <c r="A5973" s="54"/>
      <c r="G5973" s="55"/>
      <c r="U5973" s="56"/>
      <c r="X5973" s="57"/>
    </row>
    <row r="5974">
      <c r="A5974" s="54"/>
      <c r="G5974" s="55"/>
      <c r="U5974" s="56"/>
      <c r="X5974" s="57"/>
    </row>
    <row r="5975">
      <c r="A5975" s="54"/>
      <c r="G5975" s="55"/>
      <c r="U5975" s="56"/>
      <c r="X5975" s="57"/>
    </row>
    <row r="5976">
      <c r="A5976" s="54"/>
      <c r="G5976" s="55"/>
      <c r="U5976" s="56"/>
      <c r="X5976" s="57"/>
    </row>
    <row r="5977">
      <c r="A5977" s="54"/>
      <c r="G5977" s="55"/>
      <c r="U5977" s="56"/>
      <c r="X5977" s="57"/>
    </row>
    <row r="5978">
      <c r="A5978" s="54"/>
      <c r="G5978" s="55"/>
      <c r="U5978" s="56"/>
      <c r="X5978" s="57"/>
    </row>
    <row r="5979">
      <c r="A5979" s="54"/>
      <c r="G5979" s="55"/>
      <c r="U5979" s="56"/>
      <c r="X5979" s="57"/>
    </row>
    <row r="5980">
      <c r="A5980" s="54"/>
      <c r="G5980" s="55"/>
      <c r="U5980" s="56"/>
      <c r="X5980" s="57"/>
    </row>
    <row r="5981">
      <c r="A5981" s="54"/>
      <c r="G5981" s="55"/>
      <c r="U5981" s="56"/>
      <c r="X5981" s="57"/>
    </row>
    <row r="5982">
      <c r="A5982" s="54"/>
      <c r="G5982" s="55"/>
      <c r="U5982" s="56"/>
      <c r="X5982" s="57"/>
    </row>
    <row r="5983">
      <c r="A5983" s="54"/>
      <c r="G5983" s="55"/>
      <c r="U5983" s="56"/>
      <c r="X5983" s="57"/>
    </row>
    <row r="5984">
      <c r="A5984" s="54"/>
      <c r="G5984" s="55"/>
      <c r="U5984" s="56"/>
      <c r="X5984" s="57"/>
    </row>
    <row r="5985">
      <c r="A5985" s="54"/>
      <c r="G5985" s="55"/>
      <c r="U5985" s="56"/>
      <c r="X5985" s="57"/>
    </row>
    <row r="5986">
      <c r="A5986" s="54"/>
      <c r="G5986" s="55"/>
      <c r="U5986" s="56"/>
      <c r="X5986" s="57"/>
    </row>
    <row r="5987">
      <c r="A5987" s="54"/>
      <c r="G5987" s="55"/>
      <c r="U5987" s="56"/>
      <c r="X5987" s="57"/>
    </row>
    <row r="5988">
      <c r="A5988" s="54"/>
      <c r="G5988" s="55"/>
      <c r="U5988" s="56"/>
      <c r="X5988" s="57"/>
    </row>
    <row r="5989">
      <c r="A5989" s="54"/>
      <c r="G5989" s="55"/>
      <c r="U5989" s="56"/>
      <c r="X5989" s="57"/>
    </row>
    <row r="5990">
      <c r="A5990" s="54"/>
      <c r="G5990" s="55"/>
      <c r="U5990" s="56"/>
      <c r="X5990" s="57"/>
    </row>
    <row r="5991">
      <c r="A5991" s="54"/>
      <c r="G5991" s="55"/>
      <c r="U5991" s="56"/>
      <c r="X5991" s="57"/>
    </row>
    <row r="5992">
      <c r="A5992" s="54"/>
      <c r="G5992" s="55"/>
      <c r="U5992" s="56"/>
      <c r="X5992" s="57"/>
    </row>
    <row r="5993">
      <c r="A5993" s="54"/>
      <c r="G5993" s="55"/>
      <c r="U5993" s="56"/>
      <c r="X5993" s="5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88"/>
    <col customWidth="1" min="7" max="7" width="15.38"/>
    <col customWidth="1" min="8" max="8" width="14.88"/>
    <col customWidth="1" min="9" max="9" width="15.0"/>
    <col customWidth="1" min="11" max="11" width="15.63"/>
  </cols>
  <sheetData>
    <row r="1">
      <c r="A1" s="58" t="s">
        <v>607</v>
      </c>
      <c r="B1" s="58">
        <v>99.0</v>
      </c>
      <c r="C1" s="58">
        <v>99.0</v>
      </c>
      <c r="D1" s="58" t="s">
        <v>15</v>
      </c>
      <c r="E1" s="58" t="s">
        <v>15</v>
      </c>
      <c r="F1" s="58" t="s">
        <v>608</v>
      </c>
      <c r="G1" s="58" t="s">
        <v>551</v>
      </c>
      <c r="H1" s="58" t="s">
        <v>552</v>
      </c>
      <c r="I1" s="58" t="s">
        <v>552</v>
      </c>
      <c r="J1" s="58" t="s">
        <v>17</v>
      </c>
      <c r="K1" s="58" t="s">
        <v>560</v>
      </c>
      <c r="L1" s="59"/>
      <c r="M1" s="59"/>
      <c r="N1" s="59"/>
      <c r="O1" s="59"/>
      <c r="P1" s="59"/>
      <c r="Q1" s="59"/>
      <c r="R1" s="59"/>
    </row>
    <row r="2">
      <c r="A2" s="60" t="s">
        <v>609</v>
      </c>
      <c r="B2" s="60" t="s">
        <v>610</v>
      </c>
      <c r="C2" s="61" t="s">
        <v>610</v>
      </c>
      <c r="D2" s="60" t="s">
        <v>611</v>
      </c>
      <c r="E2" s="60" t="s">
        <v>611</v>
      </c>
      <c r="F2" s="60" t="s">
        <v>612</v>
      </c>
      <c r="G2" s="60" t="s">
        <v>563</v>
      </c>
      <c r="H2" s="60" t="s">
        <v>563</v>
      </c>
      <c r="I2" s="60" t="s">
        <v>563</v>
      </c>
      <c r="J2" s="60" t="s">
        <v>613</v>
      </c>
      <c r="K2" s="62" t="s">
        <v>614</v>
      </c>
      <c r="L2" s="63"/>
      <c r="M2" s="63"/>
      <c r="N2" s="63"/>
      <c r="O2" s="63"/>
      <c r="P2" s="63"/>
      <c r="Q2" s="63"/>
      <c r="R2" s="63"/>
    </row>
    <row r="3">
      <c r="A3" s="64" t="s">
        <v>615</v>
      </c>
      <c r="B3" s="64" t="s">
        <v>616</v>
      </c>
      <c r="C3" s="64" t="s">
        <v>617</v>
      </c>
      <c r="D3" s="64" t="s">
        <v>618</v>
      </c>
      <c r="E3" s="64" t="s">
        <v>619</v>
      </c>
      <c r="F3" s="64" t="s">
        <v>620</v>
      </c>
      <c r="G3" s="64" t="s">
        <v>576</v>
      </c>
      <c r="H3" s="64" t="s">
        <v>577</v>
      </c>
      <c r="I3" s="64" t="s">
        <v>578</v>
      </c>
      <c r="J3" s="64" t="s">
        <v>621</v>
      </c>
      <c r="K3" s="64" t="s">
        <v>622</v>
      </c>
      <c r="L3" s="65"/>
      <c r="M3" s="65"/>
      <c r="N3" s="65"/>
      <c r="O3" s="65"/>
      <c r="P3" s="65"/>
      <c r="Q3" s="65"/>
      <c r="R3" s="65"/>
    </row>
    <row r="4">
      <c r="A4" s="66" t="s">
        <v>623</v>
      </c>
      <c r="B4" s="66">
        <v>87.0</v>
      </c>
      <c r="C4" s="66">
        <v>77.0</v>
      </c>
      <c r="D4" s="24" t="s">
        <v>624</v>
      </c>
      <c r="E4" s="24" t="s">
        <v>625</v>
      </c>
      <c r="F4" s="66" t="s">
        <v>626</v>
      </c>
      <c r="G4" s="66">
        <v>61.0</v>
      </c>
      <c r="H4" s="66">
        <v>4.0</v>
      </c>
      <c r="I4" s="66">
        <v>8.0</v>
      </c>
      <c r="J4" s="24" t="s">
        <v>48</v>
      </c>
      <c r="K4" s="67">
        <v>112016.0</v>
      </c>
      <c r="L4" s="59"/>
      <c r="M4" s="59"/>
      <c r="N4" s="59"/>
      <c r="O4" s="59"/>
      <c r="P4" s="59"/>
      <c r="Q4" s="59"/>
      <c r="R4" s="59"/>
    </row>
    <row r="5">
      <c r="A5" s="66" t="s">
        <v>627</v>
      </c>
      <c r="B5" s="66">
        <v>86.0</v>
      </c>
      <c r="C5" s="66">
        <v>36.0</v>
      </c>
      <c r="D5" s="24" t="s">
        <v>309</v>
      </c>
      <c r="E5" s="24" t="s">
        <v>86</v>
      </c>
      <c r="F5" s="66" t="s">
        <v>628</v>
      </c>
      <c r="G5" s="66">
        <v>81.0</v>
      </c>
      <c r="H5" s="66">
        <v>9.0</v>
      </c>
      <c r="I5" s="66">
        <v>7.0</v>
      </c>
      <c r="J5" s="24" t="s">
        <v>29</v>
      </c>
      <c r="K5" s="67">
        <v>112119.0</v>
      </c>
      <c r="L5" s="59"/>
      <c r="M5" s="59"/>
      <c r="N5" s="59"/>
      <c r="O5" s="59"/>
      <c r="P5" s="59"/>
      <c r="Q5" s="59"/>
      <c r="R5" s="59"/>
    </row>
    <row r="6">
      <c r="A6" s="66" t="s">
        <v>629</v>
      </c>
      <c r="B6" s="66">
        <v>97.0</v>
      </c>
      <c r="C6" s="66">
        <v>25.0</v>
      </c>
      <c r="D6" s="24" t="s">
        <v>630</v>
      </c>
      <c r="E6" s="24" t="s">
        <v>128</v>
      </c>
      <c r="F6" s="66" t="s">
        <v>631</v>
      </c>
      <c r="G6" s="66">
        <v>81.0</v>
      </c>
      <c r="H6" s="66">
        <v>9.0</v>
      </c>
      <c r="I6" s="66">
        <v>6.0</v>
      </c>
      <c r="J6" s="24" t="s">
        <v>29</v>
      </c>
      <c r="K6" s="67">
        <v>81620.0</v>
      </c>
      <c r="L6" s="59"/>
      <c r="M6" s="59"/>
      <c r="N6" s="59"/>
      <c r="O6" s="59"/>
      <c r="P6" s="59"/>
      <c r="Q6" s="59"/>
      <c r="R6" s="59"/>
    </row>
    <row r="7">
      <c r="A7" s="66" t="s">
        <v>632</v>
      </c>
      <c r="B7" s="66">
        <v>93.0</v>
      </c>
      <c r="C7" s="66">
        <v>98.0</v>
      </c>
      <c r="D7" s="24" t="s">
        <v>633</v>
      </c>
      <c r="E7" s="24" t="s">
        <v>172</v>
      </c>
      <c r="F7" s="66" t="s">
        <v>634</v>
      </c>
      <c r="G7" s="66">
        <v>61.0</v>
      </c>
      <c r="H7" s="66">
        <v>5.0</v>
      </c>
      <c r="I7" s="66">
        <v>3.0</v>
      </c>
      <c r="J7" s="24" t="s">
        <v>48</v>
      </c>
      <c r="K7" s="67">
        <v>41221.0</v>
      </c>
      <c r="L7" s="59"/>
      <c r="M7" s="59"/>
      <c r="N7" s="59"/>
      <c r="O7" s="59"/>
      <c r="P7" s="59"/>
      <c r="Q7" s="59"/>
      <c r="R7" s="59"/>
    </row>
    <row r="8">
      <c r="A8" s="66" t="s">
        <v>635</v>
      </c>
      <c r="B8" s="66">
        <v>70.0</v>
      </c>
      <c r="C8" s="66">
        <v>16.0</v>
      </c>
      <c r="D8" s="24" t="s">
        <v>351</v>
      </c>
      <c r="E8" s="24" t="s">
        <v>88</v>
      </c>
      <c r="F8" s="66" t="s">
        <v>636</v>
      </c>
      <c r="G8" s="66">
        <v>61.0</v>
      </c>
      <c r="H8" s="66">
        <v>5.0</v>
      </c>
      <c r="I8" s="66">
        <v>4.0</v>
      </c>
      <c r="J8" s="24" t="s">
        <v>33</v>
      </c>
      <c r="K8" s="67">
        <v>101616.0</v>
      </c>
      <c r="L8" s="59"/>
      <c r="M8" s="59"/>
      <c r="N8" s="59"/>
      <c r="O8" s="59"/>
      <c r="P8" s="59"/>
      <c r="Q8" s="59"/>
      <c r="R8" s="59"/>
    </row>
    <row r="9">
      <c r="A9" s="66" t="s">
        <v>637</v>
      </c>
      <c r="B9" s="66">
        <v>95.0</v>
      </c>
      <c r="C9" s="66">
        <v>77.0</v>
      </c>
      <c r="D9" s="24" t="s">
        <v>440</v>
      </c>
      <c r="E9" s="24" t="s">
        <v>60</v>
      </c>
      <c r="F9" s="66" t="s">
        <v>638</v>
      </c>
      <c r="G9" s="66">
        <v>61.0</v>
      </c>
      <c r="H9" s="66">
        <v>5.0</v>
      </c>
      <c r="I9" s="66">
        <v>6.0</v>
      </c>
      <c r="J9" s="24" t="s">
        <v>48</v>
      </c>
      <c r="K9" s="67">
        <v>111120.0</v>
      </c>
      <c r="L9" s="59"/>
      <c r="M9" s="59"/>
      <c r="N9" s="59"/>
      <c r="O9" s="59"/>
      <c r="P9" s="59"/>
      <c r="Q9" s="59"/>
      <c r="R9" s="59"/>
    </row>
    <row r="10">
      <c r="A10" s="66" t="s">
        <v>639</v>
      </c>
      <c r="B10" s="66">
        <v>95.0</v>
      </c>
      <c r="C10" s="66">
        <v>36.0</v>
      </c>
      <c r="D10" s="24" t="s">
        <v>419</v>
      </c>
      <c r="E10" s="24" t="s">
        <v>640</v>
      </c>
      <c r="F10" s="66" t="s">
        <v>641</v>
      </c>
      <c r="G10" s="66">
        <v>61.0</v>
      </c>
      <c r="H10" s="66">
        <v>6.0</v>
      </c>
      <c r="I10" s="66">
        <v>3.0</v>
      </c>
      <c r="J10" s="24" t="s">
        <v>29</v>
      </c>
      <c r="K10" s="67">
        <v>92714.0</v>
      </c>
      <c r="L10" s="59"/>
      <c r="M10" s="59"/>
      <c r="N10" s="59"/>
      <c r="O10" s="59"/>
      <c r="P10" s="59"/>
      <c r="Q10" s="59"/>
      <c r="R10" s="59"/>
    </row>
    <row r="11">
      <c r="A11" s="66" t="s">
        <v>642</v>
      </c>
      <c r="B11" s="66">
        <v>92.0</v>
      </c>
      <c r="C11" s="66">
        <v>88.0</v>
      </c>
      <c r="D11" s="24" t="s">
        <v>643</v>
      </c>
      <c r="E11" s="24" t="s">
        <v>291</v>
      </c>
      <c r="F11" s="66" t="s">
        <v>644</v>
      </c>
      <c r="G11" s="66">
        <v>41.0</v>
      </c>
      <c r="H11" s="66">
        <v>1.0</v>
      </c>
      <c r="I11" s="66">
        <v>6.0</v>
      </c>
      <c r="J11" s="24" t="s">
        <v>29</v>
      </c>
      <c r="K11" s="67">
        <v>21519.0</v>
      </c>
      <c r="L11" s="59"/>
      <c r="M11" s="59"/>
      <c r="N11" s="59"/>
      <c r="O11" s="59"/>
      <c r="P11" s="59"/>
      <c r="Q11" s="59"/>
      <c r="R11" s="59"/>
    </row>
    <row r="12">
      <c r="A12" s="66" t="s">
        <v>645</v>
      </c>
      <c r="B12" s="66">
        <v>54.0</v>
      </c>
      <c r="C12" s="66">
        <v>72.0</v>
      </c>
      <c r="D12" s="24" t="s">
        <v>368</v>
      </c>
      <c r="E12" s="24" t="s">
        <v>646</v>
      </c>
      <c r="F12" s="66" t="s">
        <v>647</v>
      </c>
      <c r="G12" s="66">
        <v>61.0</v>
      </c>
      <c r="H12" s="66">
        <v>6.0</v>
      </c>
      <c r="I12" s="66">
        <v>4.0</v>
      </c>
      <c r="J12" s="24" t="s">
        <v>29</v>
      </c>
      <c r="K12" s="67">
        <v>42823.0</v>
      </c>
      <c r="L12" s="59"/>
      <c r="M12" s="59"/>
      <c r="N12" s="59"/>
      <c r="O12" s="59"/>
      <c r="P12" s="59"/>
      <c r="Q12" s="59"/>
      <c r="R12" s="59"/>
    </row>
    <row r="13">
      <c r="A13" s="66" t="s">
        <v>648</v>
      </c>
      <c r="B13" s="66">
        <v>64.0</v>
      </c>
      <c r="C13" s="66">
        <v>23.0</v>
      </c>
      <c r="D13" s="24" t="s">
        <v>649</v>
      </c>
      <c r="E13" s="24" t="s">
        <v>210</v>
      </c>
      <c r="F13" s="66" t="s">
        <v>650</v>
      </c>
      <c r="G13" s="66">
        <v>41.0</v>
      </c>
      <c r="H13" s="66">
        <v>2.0</v>
      </c>
      <c r="I13" s="66">
        <v>3.0</v>
      </c>
      <c r="J13" s="24" t="s">
        <v>29</v>
      </c>
      <c r="K13" s="67">
        <v>21019.0</v>
      </c>
      <c r="L13" s="59"/>
      <c r="M13" s="59"/>
      <c r="N13" s="59"/>
      <c r="O13" s="59"/>
      <c r="P13" s="59"/>
      <c r="Q13" s="59"/>
      <c r="R13" s="59"/>
    </row>
    <row r="14">
      <c r="A14" s="66" t="s">
        <v>651</v>
      </c>
      <c r="B14" s="66">
        <v>31.0</v>
      </c>
      <c r="C14" s="66">
        <v>73.0</v>
      </c>
      <c r="D14" s="24" t="s">
        <v>533</v>
      </c>
      <c r="E14" s="24" t="s">
        <v>135</v>
      </c>
      <c r="F14" s="66" t="s">
        <v>652</v>
      </c>
      <c r="G14" s="66">
        <v>61.0</v>
      </c>
      <c r="H14" s="66">
        <v>7.0</v>
      </c>
      <c r="I14" s="66">
        <v>2.0</v>
      </c>
      <c r="J14" s="24" t="s">
        <v>33</v>
      </c>
      <c r="K14" s="67">
        <v>60517.0</v>
      </c>
      <c r="L14" s="59"/>
      <c r="M14" s="59"/>
      <c r="N14" s="59"/>
      <c r="O14" s="59"/>
      <c r="P14" s="59"/>
      <c r="Q14" s="59"/>
      <c r="R14" s="59"/>
    </row>
    <row r="15">
      <c r="A15" s="66" t="s">
        <v>653</v>
      </c>
      <c r="B15" s="66">
        <v>29.0</v>
      </c>
      <c r="C15" s="66">
        <v>72.0</v>
      </c>
      <c r="D15" s="24" t="s">
        <v>624</v>
      </c>
      <c r="E15" s="24" t="s">
        <v>630</v>
      </c>
      <c r="F15" s="66" t="s">
        <v>654</v>
      </c>
      <c r="G15" s="66">
        <v>82.0</v>
      </c>
      <c r="H15" s="66">
        <v>2.0</v>
      </c>
      <c r="I15" s="66">
        <v>4.0</v>
      </c>
      <c r="J15" s="24" t="s">
        <v>48</v>
      </c>
      <c r="K15" s="67">
        <v>32818.0</v>
      </c>
      <c r="L15" s="59"/>
      <c r="M15" s="59"/>
      <c r="N15" s="59"/>
      <c r="O15" s="59"/>
      <c r="P15" s="59"/>
      <c r="Q15" s="59"/>
      <c r="R15" s="59"/>
    </row>
    <row r="16">
      <c r="A16" s="66" t="s">
        <v>655</v>
      </c>
      <c r="B16" s="66">
        <v>11.0</v>
      </c>
      <c r="C16" s="66">
        <v>85.0</v>
      </c>
      <c r="D16" s="24" t="s">
        <v>414</v>
      </c>
      <c r="E16" s="24" t="s">
        <v>374</v>
      </c>
      <c r="F16" s="66" t="s">
        <v>656</v>
      </c>
      <c r="G16" s="66">
        <v>61.0</v>
      </c>
      <c r="H16" s="66">
        <v>7.0</v>
      </c>
      <c r="I16" s="66">
        <v>9.0</v>
      </c>
      <c r="J16" s="24" t="s">
        <v>31</v>
      </c>
      <c r="K16" s="67">
        <v>52423.0</v>
      </c>
      <c r="L16" s="59"/>
      <c r="M16" s="59"/>
      <c r="N16" s="59"/>
      <c r="O16" s="59"/>
      <c r="P16" s="59"/>
      <c r="Q16" s="59"/>
      <c r="R16" s="59"/>
    </row>
    <row r="17">
      <c r="A17" s="66" t="s">
        <v>657</v>
      </c>
      <c r="B17" s="66">
        <v>14.0</v>
      </c>
      <c r="C17" s="66">
        <v>19.0</v>
      </c>
      <c r="D17" s="24" t="s">
        <v>658</v>
      </c>
      <c r="E17" s="24" t="s">
        <v>659</v>
      </c>
      <c r="F17" s="66" t="s">
        <v>660</v>
      </c>
      <c r="G17" s="66">
        <v>41.0</v>
      </c>
      <c r="H17" s="66">
        <v>3.0</v>
      </c>
      <c r="I17" s="66">
        <v>1.0</v>
      </c>
      <c r="J17" s="24" t="s">
        <v>48</v>
      </c>
      <c r="K17" s="67">
        <v>112618.0</v>
      </c>
      <c r="L17" s="59"/>
      <c r="M17" s="59"/>
      <c r="N17" s="59"/>
      <c r="O17" s="59"/>
      <c r="P17" s="59"/>
      <c r="Q17" s="59"/>
      <c r="R17" s="59"/>
    </row>
    <row r="18">
      <c r="A18" s="66" t="s">
        <v>661</v>
      </c>
      <c r="B18" s="66">
        <v>48.0</v>
      </c>
      <c r="C18" s="66">
        <v>98.0</v>
      </c>
      <c r="D18" s="24" t="s">
        <v>57</v>
      </c>
      <c r="E18" s="24" t="s">
        <v>662</v>
      </c>
      <c r="F18" s="66" t="s">
        <v>663</v>
      </c>
      <c r="G18" s="66">
        <v>41.0</v>
      </c>
      <c r="H18" s="66">
        <v>3.0</v>
      </c>
      <c r="I18" s="66">
        <v>5.0</v>
      </c>
      <c r="J18" s="24" t="s">
        <v>29</v>
      </c>
      <c r="K18" s="67">
        <v>122914.0</v>
      </c>
      <c r="L18" s="59"/>
      <c r="M18" s="59"/>
      <c r="N18" s="59"/>
      <c r="O18" s="59"/>
      <c r="P18" s="59"/>
      <c r="Q18" s="59"/>
      <c r="R18" s="59"/>
    </row>
    <row r="19">
      <c r="A19" s="66" t="s">
        <v>664</v>
      </c>
      <c r="B19" s="66">
        <v>87.0</v>
      </c>
      <c r="C19" s="66">
        <v>46.0</v>
      </c>
      <c r="D19" s="24" t="s">
        <v>152</v>
      </c>
      <c r="E19" s="24" t="s">
        <v>35</v>
      </c>
      <c r="F19" s="66" t="s">
        <v>665</v>
      </c>
      <c r="G19" s="66">
        <v>82.0</v>
      </c>
      <c r="H19" s="66">
        <v>3.0</v>
      </c>
      <c r="I19" s="66">
        <v>1.0</v>
      </c>
      <c r="J19" s="24" t="s">
        <v>39</v>
      </c>
      <c r="K19" s="67">
        <v>50514.0</v>
      </c>
      <c r="L19" s="59"/>
      <c r="M19" s="59"/>
      <c r="N19" s="59"/>
      <c r="O19" s="59"/>
      <c r="P19" s="59"/>
      <c r="Q19" s="59"/>
      <c r="R19" s="59"/>
    </row>
    <row r="20">
      <c r="A20" s="66" t="s">
        <v>666</v>
      </c>
      <c r="B20" s="66">
        <v>28.0</v>
      </c>
      <c r="C20" s="66">
        <v>88.0</v>
      </c>
      <c r="D20" s="24" t="s">
        <v>309</v>
      </c>
      <c r="E20" s="24" t="s">
        <v>524</v>
      </c>
      <c r="F20" s="66" t="s">
        <v>667</v>
      </c>
      <c r="G20" s="66">
        <v>41.0</v>
      </c>
      <c r="H20" s="66">
        <v>3.0</v>
      </c>
      <c r="I20" s="66">
        <v>8.0</v>
      </c>
      <c r="J20" s="24" t="s">
        <v>33</v>
      </c>
      <c r="K20" s="67">
        <v>80821.0</v>
      </c>
      <c r="L20" s="59"/>
      <c r="M20" s="59"/>
      <c r="N20" s="59"/>
      <c r="O20" s="59"/>
      <c r="P20" s="59"/>
      <c r="Q20" s="59"/>
      <c r="R20" s="59"/>
    </row>
    <row r="21">
      <c r="A21" s="66" t="s">
        <v>668</v>
      </c>
      <c r="B21" s="66">
        <v>44.0</v>
      </c>
      <c r="C21" s="66">
        <v>30.0</v>
      </c>
      <c r="D21" s="24" t="s">
        <v>233</v>
      </c>
      <c r="E21" s="24" t="s">
        <v>669</v>
      </c>
      <c r="F21" s="66" t="s">
        <v>670</v>
      </c>
      <c r="G21" s="66">
        <v>41.0</v>
      </c>
      <c r="H21" s="66">
        <v>3.0</v>
      </c>
      <c r="I21" s="66">
        <v>9.0</v>
      </c>
      <c r="J21" s="24" t="s">
        <v>33</v>
      </c>
      <c r="K21" s="67">
        <v>71418.0</v>
      </c>
      <c r="L21" s="59"/>
      <c r="M21" s="59"/>
      <c r="N21" s="59"/>
      <c r="O21" s="59"/>
      <c r="P21" s="59"/>
      <c r="Q21" s="59"/>
      <c r="R21" s="59"/>
    </row>
    <row r="22">
      <c r="A22" s="66" t="s">
        <v>671</v>
      </c>
      <c r="B22" s="66">
        <v>84.0</v>
      </c>
      <c r="C22" s="66">
        <v>51.0</v>
      </c>
      <c r="D22" s="24" t="s">
        <v>118</v>
      </c>
      <c r="E22" s="24" t="s">
        <v>672</v>
      </c>
      <c r="F22" s="66" t="s">
        <v>673</v>
      </c>
      <c r="G22" s="66">
        <v>61.0</v>
      </c>
      <c r="H22" s="66">
        <v>9.0</v>
      </c>
      <c r="I22" s="66">
        <v>3.0</v>
      </c>
      <c r="J22" s="24" t="s">
        <v>33</v>
      </c>
      <c r="K22" s="67">
        <v>71719.0</v>
      </c>
      <c r="L22" s="59"/>
      <c r="M22" s="59"/>
      <c r="N22" s="59"/>
      <c r="O22" s="59"/>
      <c r="P22" s="59"/>
      <c r="Q22" s="59"/>
      <c r="R22" s="59"/>
    </row>
    <row r="23">
      <c r="A23" s="66" t="s">
        <v>674</v>
      </c>
      <c r="B23" s="66">
        <v>74.0</v>
      </c>
      <c r="C23" s="66">
        <v>52.0</v>
      </c>
      <c r="D23" s="24" t="s">
        <v>34</v>
      </c>
      <c r="E23" s="24" t="s">
        <v>675</v>
      </c>
      <c r="F23" s="66" t="s">
        <v>676</v>
      </c>
      <c r="G23" s="66">
        <v>41.0</v>
      </c>
      <c r="H23" s="66">
        <v>4.0</v>
      </c>
      <c r="I23" s="66">
        <v>6.0</v>
      </c>
      <c r="J23" s="24" t="s">
        <v>29</v>
      </c>
      <c r="K23" s="67">
        <v>20219.0</v>
      </c>
      <c r="L23" s="59"/>
      <c r="M23" s="59"/>
      <c r="N23" s="59"/>
      <c r="O23" s="59"/>
      <c r="P23" s="59"/>
      <c r="Q23" s="59"/>
      <c r="R23" s="59"/>
    </row>
    <row r="24">
      <c r="A24" s="66" t="s">
        <v>677</v>
      </c>
      <c r="B24" s="66">
        <v>17.0</v>
      </c>
      <c r="C24" s="66">
        <v>47.0</v>
      </c>
      <c r="D24" s="24" t="s">
        <v>533</v>
      </c>
      <c r="E24" s="24" t="s">
        <v>678</v>
      </c>
      <c r="F24" s="66" t="s">
        <v>679</v>
      </c>
      <c r="G24" s="66">
        <v>82.0</v>
      </c>
      <c r="H24" s="66">
        <v>4.0</v>
      </c>
      <c r="I24" s="66">
        <v>5.0</v>
      </c>
      <c r="J24" s="24" t="s">
        <v>33</v>
      </c>
      <c r="K24" s="67">
        <v>90423.0</v>
      </c>
      <c r="L24" s="59"/>
      <c r="M24" s="59"/>
      <c r="N24" s="59"/>
      <c r="O24" s="59"/>
      <c r="P24" s="59"/>
      <c r="Q24" s="59"/>
      <c r="R24" s="59"/>
    </row>
    <row r="25">
      <c r="A25" s="66" t="s">
        <v>680</v>
      </c>
      <c r="B25" s="66">
        <v>66.0</v>
      </c>
      <c r="C25" s="66">
        <v>54.0</v>
      </c>
      <c r="D25" s="24" t="s">
        <v>245</v>
      </c>
      <c r="E25" s="24" t="s">
        <v>55</v>
      </c>
      <c r="F25" s="66" t="s">
        <v>681</v>
      </c>
      <c r="G25" s="66">
        <v>82.0</v>
      </c>
      <c r="H25" s="66">
        <v>4.0</v>
      </c>
      <c r="I25" s="66">
        <v>7.0</v>
      </c>
      <c r="J25" s="24" t="s">
        <v>39</v>
      </c>
      <c r="K25" s="67">
        <v>73023.0</v>
      </c>
      <c r="L25" s="59"/>
      <c r="M25" s="59"/>
      <c r="N25" s="59"/>
      <c r="O25" s="59"/>
      <c r="P25" s="59"/>
      <c r="Q25" s="59"/>
      <c r="R25" s="59"/>
    </row>
    <row r="26">
      <c r="A26" s="66" t="s">
        <v>682</v>
      </c>
      <c r="B26" s="66">
        <v>39.0</v>
      </c>
      <c r="C26" s="66">
        <v>85.0</v>
      </c>
      <c r="D26" s="24" t="s">
        <v>167</v>
      </c>
      <c r="E26" s="24" t="s">
        <v>683</v>
      </c>
      <c r="F26" s="66" t="s">
        <v>684</v>
      </c>
      <c r="G26" s="66">
        <v>41.0</v>
      </c>
      <c r="H26" s="66">
        <v>5.0</v>
      </c>
      <c r="I26" s="66">
        <v>3.0</v>
      </c>
      <c r="J26" s="24" t="s">
        <v>31</v>
      </c>
      <c r="K26" s="67">
        <v>111416.0</v>
      </c>
      <c r="L26" s="59"/>
      <c r="M26" s="59"/>
      <c r="N26" s="59"/>
      <c r="O26" s="59"/>
      <c r="P26" s="59"/>
      <c r="Q26" s="59"/>
      <c r="R26" s="59"/>
    </row>
    <row r="27">
      <c r="A27" s="66" t="s">
        <v>685</v>
      </c>
      <c r="B27" s="66">
        <v>95.0</v>
      </c>
      <c r="C27" s="66">
        <v>85.0</v>
      </c>
      <c r="D27" s="24" t="s">
        <v>170</v>
      </c>
      <c r="E27" s="24" t="s">
        <v>686</v>
      </c>
      <c r="F27" s="66" t="s">
        <v>687</v>
      </c>
      <c r="G27" s="66">
        <v>82.0</v>
      </c>
      <c r="H27" s="66">
        <v>5.0</v>
      </c>
      <c r="I27" s="66">
        <v>7.0</v>
      </c>
      <c r="J27" s="24" t="s">
        <v>29</v>
      </c>
      <c r="K27" s="67">
        <v>103119.0</v>
      </c>
      <c r="L27" s="59"/>
      <c r="M27" s="59"/>
      <c r="N27" s="59"/>
      <c r="O27" s="59"/>
      <c r="P27" s="59"/>
      <c r="Q27" s="59"/>
      <c r="R27" s="59"/>
    </row>
    <row r="28">
      <c r="A28" s="66" t="s">
        <v>688</v>
      </c>
      <c r="B28" s="66">
        <v>14.0</v>
      </c>
      <c r="C28" s="66">
        <v>64.0</v>
      </c>
      <c r="D28" s="24" t="s">
        <v>689</v>
      </c>
      <c r="E28" s="24" t="s">
        <v>352</v>
      </c>
      <c r="F28" s="66" t="s">
        <v>690</v>
      </c>
      <c r="G28" s="66">
        <v>41.0</v>
      </c>
      <c r="H28" s="66">
        <v>6.0</v>
      </c>
      <c r="I28" s="66">
        <v>1.0</v>
      </c>
      <c r="J28" s="24" t="s">
        <v>39</v>
      </c>
      <c r="K28" s="67">
        <v>41418.0</v>
      </c>
      <c r="L28" s="59"/>
      <c r="M28" s="59"/>
      <c r="N28" s="59"/>
      <c r="O28" s="59"/>
      <c r="P28" s="59"/>
      <c r="Q28" s="59"/>
      <c r="R28" s="59"/>
    </row>
    <row r="29">
      <c r="A29" s="66" t="s">
        <v>691</v>
      </c>
      <c r="B29" s="66">
        <v>32.0</v>
      </c>
      <c r="C29" s="66">
        <v>13.0</v>
      </c>
      <c r="D29" s="24" t="s">
        <v>323</v>
      </c>
      <c r="E29" s="24" t="s">
        <v>70</v>
      </c>
      <c r="F29" s="66" t="s">
        <v>692</v>
      </c>
      <c r="G29" s="66">
        <v>82.0</v>
      </c>
      <c r="H29" s="66">
        <v>6.0</v>
      </c>
      <c r="I29" s="66">
        <v>4.0</v>
      </c>
      <c r="J29" s="24" t="s">
        <v>39</v>
      </c>
      <c r="K29" s="67">
        <v>10321.0</v>
      </c>
      <c r="L29" s="59"/>
      <c r="M29" s="59"/>
      <c r="N29" s="59"/>
      <c r="O29" s="59"/>
      <c r="P29" s="59"/>
      <c r="Q29" s="59"/>
      <c r="R29" s="59"/>
    </row>
    <row r="30">
      <c r="A30" s="66" t="s">
        <v>693</v>
      </c>
      <c r="B30" s="66">
        <v>92.0</v>
      </c>
      <c r="C30" s="66">
        <v>28.0</v>
      </c>
      <c r="D30" s="24" t="s">
        <v>116</v>
      </c>
      <c r="E30" s="24" t="s">
        <v>332</v>
      </c>
      <c r="F30" s="66" t="s">
        <v>694</v>
      </c>
      <c r="G30" s="66">
        <v>21.0</v>
      </c>
      <c r="H30" s="66">
        <v>2.0</v>
      </c>
      <c r="I30" s="66">
        <v>1.0</v>
      </c>
      <c r="J30" s="24" t="s">
        <v>48</v>
      </c>
      <c r="K30" s="67">
        <v>72418.0</v>
      </c>
      <c r="L30" s="59"/>
      <c r="M30" s="59"/>
      <c r="N30" s="59"/>
      <c r="O30" s="59"/>
      <c r="P30" s="59"/>
      <c r="Q30" s="59"/>
      <c r="R30" s="59"/>
    </row>
    <row r="31">
      <c r="A31" s="66" t="s">
        <v>695</v>
      </c>
      <c r="B31" s="66">
        <v>62.0</v>
      </c>
      <c r="C31" s="66">
        <v>52.0</v>
      </c>
      <c r="D31" s="24" t="s">
        <v>675</v>
      </c>
      <c r="E31" s="24" t="s">
        <v>531</v>
      </c>
      <c r="F31" s="66" t="s">
        <v>696</v>
      </c>
      <c r="G31" s="66">
        <v>62.0</v>
      </c>
      <c r="H31" s="66">
        <v>1.0</v>
      </c>
      <c r="I31" s="66">
        <v>9.0</v>
      </c>
      <c r="J31" s="24" t="s">
        <v>48</v>
      </c>
      <c r="K31" s="67">
        <v>10721.0</v>
      </c>
      <c r="L31" s="59"/>
      <c r="M31" s="59"/>
      <c r="N31" s="59"/>
      <c r="O31" s="59"/>
      <c r="P31" s="59"/>
      <c r="Q31" s="59"/>
      <c r="R31" s="59"/>
    </row>
    <row r="32">
      <c r="A32" s="66" t="s">
        <v>697</v>
      </c>
      <c r="B32" s="66">
        <v>63.0</v>
      </c>
      <c r="C32" s="66">
        <v>84.0</v>
      </c>
      <c r="D32" s="24" t="s">
        <v>394</v>
      </c>
      <c r="E32" s="24" t="s">
        <v>143</v>
      </c>
      <c r="F32" s="66" t="s">
        <v>698</v>
      </c>
      <c r="G32" s="66">
        <v>21.0</v>
      </c>
      <c r="H32" s="66">
        <v>2.0</v>
      </c>
      <c r="I32" s="66">
        <v>5.0</v>
      </c>
      <c r="J32" s="24" t="s">
        <v>48</v>
      </c>
      <c r="K32" s="67">
        <v>110313.0</v>
      </c>
      <c r="L32" s="59"/>
      <c r="M32" s="59"/>
      <c r="N32" s="59"/>
      <c r="O32" s="59"/>
      <c r="P32" s="59"/>
      <c r="Q32" s="59"/>
      <c r="R32" s="59"/>
    </row>
    <row r="33">
      <c r="A33" s="66" t="s">
        <v>699</v>
      </c>
      <c r="B33" s="66">
        <v>86.0</v>
      </c>
      <c r="C33" s="66">
        <v>50.0</v>
      </c>
      <c r="D33" s="24" t="s">
        <v>37</v>
      </c>
      <c r="E33" s="24" t="s">
        <v>36</v>
      </c>
      <c r="F33" s="66" t="s">
        <v>700</v>
      </c>
      <c r="G33" s="66">
        <v>41.0</v>
      </c>
      <c r="H33" s="66">
        <v>7.0</v>
      </c>
      <c r="I33" s="66">
        <v>4.0</v>
      </c>
      <c r="J33" s="24" t="s">
        <v>39</v>
      </c>
      <c r="K33" s="67">
        <v>72915.0</v>
      </c>
      <c r="L33" s="59"/>
      <c r="M33" s="59"/>
      <c r="N33" s="59"/>
      <c r="O33" s="59"/>
      <c r="P33" s="59"/>
      <c r="Q33" s="59"/>
      <c r="R33" s="59"/>
    </row>
    <row r="34">
      <c r="A34" s="66" t="s">
        <v>701</v>
      </c>
      <c r="B34" s="66">
        <v>52.0</v>
      </c>
      <c r="C34" s="66">
        <v>76.0</v>
      </c>
      <c r="D34" s="24" t="s">
        <v>412</v>
      </c>
      <c r="E34" s="24" t="s">
        <v>329</v>
      </c>
      <c r="F34" s="66" t="s">
        <v>702</v>
      </c>
      <c r="G34" s="66">
        <v>62.0</v>
      </c>
      <c r="H34" s="66">
        <v>2.0</v>
      </c>
      <c r="I34" s="66">
        <v>1.0</v>
      </c>
      <c r="J34" s="24" t="s">
        <v>48</v>
      </c>
      <c r="K34" s="67">
        <v>11513.0</v>
      </c>
      <c r="L34" s="59"/>
      <c r="M34" s="59"/>
      <c r="N34" s="59"/>
      <c r="O34" s="59"/>
      <c r="P34" s="59"/>
      <c r="Q34" s="59"/>
      <c r="R34" s="59"/>
    </row>
    <row r="35">
      <c r="A35" s="66" t="s">
        <v>703</v>
      </c>
      <c r="B35" s="66">
        <v>90.0</v>
      </c>
      <c r="C35" s="66">
        <v>94.0</v>
      </c>
      <c r="D35" s="24" t="s">
        <v>624</v>
      </c>
      <c r="E35" s="24" t="s">
        <v>516</v>
      </c>
      <c r="F35" s="66" t="s">
        <v>704</v>
      </c>
      <c r="G35" s="66">
        <v>62.0</v>
      </c>
      <c r="H35" s="66">
        <v>2.0</v>
      </c>
      <c r="I35" s="66">
        <v>2.0</v>
      </c>
      <c r="J35" s="24" t="s">
        <v>29</v>
      </c>
      <c r="K35" s="67">
        <v>102822.0</v>
      </c>
      <c r="L35" s="59"/>
      <c r="M35" s="59"/>
      <c r="N35" s="59"/>
      <c r="O35" s="59"/>
      <c r="P35" s="59"/>
      <c r="Q35" s="59"/>
      <c r="R35" s="59"/>
    </row>
    <row r="36">
      <c r="A36" s="66" t="s">
        <v>705</v>
      </c>
      <c r="B36" s="66">
        <v>79.0</v>
      </c>
      <c r="C36" s="66">
        <v>38.0</v>
      </c>
      <c r="D36" s="24" t="s">
        <v>375</v>
      </c>
      <c r="E36" s="24" t="s">
        <v>537</v>
      </c>
      <c r="F36" s="66" t="s">
        <v>706</v>
      </c>
      <c r="G36" s="66">
        <v>41.0</v>
      </c>
      <c r="H36" s="66">
        <v>7.0</v>
      </c>
      <c r="I36" s="66">
        <v>7.0</v>
      </c>
      <c r="J36" s="24" t="s">
        <v>48</v>
      </c>
      <c r="K36" s="67">
        <v>100514.0</v>
      </c>
      <c r="L36" s="59"/>
      <c r="M36" s="59"/>
      <c r="N36" s="59"/>
      <c r="O36" s="59"/>
      <c r="P36" s="59"/>
      <c r="Q36" s="59"/>
      <c r="R36" s="59"/>
    </row>
    <row r="37">
      <c r="A37" s="66" t="s">
        <v>707</v>
      </c>
      <c r="B37" s="66">
        <v>41.0</v>
      </c>
      <c r="C37" s="66">
        <v>76.0</v>
      </c>
      <c r="D37" s="24" t="s">
        <v>289</v>
      </c>
      <c r="E37" s="24" t="s">
        <v>475</v>
      </c>
      <c r="F37" s="66" t="s">
        <v>708</v>
      </c>
      <c r="G37" s="66">
        <v>62.0</v>
      </c>
      <c r="H37" s="66">
        <v>2.0</v>
      </c>
      <c r="I37" s="66">
        <v>5.0</v>
      </c>
      <c r="J37" s="24" t="s">
        <v>39</v>
      </c>
      <c r="K37" s="67">
        <v>100121.0</v>
      </c>
      <c r="L37" s="59"/>
      <c r="M37" s="59"/>
      <c r="N37" s="59"/>
      <c r="O37" s="59"/>
      <c r="P37" s="59"/>
      <c r="Q37" s="59"/>
      <c r="R37" s="59"/>
    </row>
    <row r="38">
      <c r="A38" s="66" t="s">
        <v>709</v>
      </c>
      <c r="B38" s="66">
        <v>73.0</v>
      </c>
      <c r="C38" s="66">
        <v>58.0</v>
      </c>
      <c r="D38" s="24" t="s">
        <v>99</v>
      </c>
      <c r="E38" s="24" t="s">
        <v>154</v>
      </c>
      <c r="F38" s="66" t="s">
        <v>710</v>
      </c>
      <c r="G38" s="66">
        <v>21.0</v>
      </c>
      <c r="H38" s="66">
        <v>3.0</v>
      </c>
      <c r="I38" s="66">
        <v>1.0</v>
      </c>
      <c r="J38" s="24" t="s">
        <v>29</v>
      </c>
      <c r="K38" s="67">
        <v>12322.0</v>
      </c>
      <c r="L38" s="59"/>
      <c r="M38" s="59"/>
      <c r="N38" s="59"/>
      <c r="O38" s="59"/>
      <c r="P38" s="59"/>
      <c r="Q38" s="59"/>
      <c r="R38" s="59"/>
    </row>
    <row r="39">
      <c r="A39" s="66" t="s">
        <v>711</v>
      </c>
      <c r="B39" s="66">
        <v>91.0</v>
      </c>
      <c r="C39" s="66">
        <v>38.0</v>
      </c>
      <c r="D39" s="24" t="s">
        <v>351</v>
      </c>
      <c r="E39" s="24" t="s">
        <v>461</v>
      </c>
      <c r="F39" s="66" t="s">
        <v>712</v>
      </c>
      <c r="G39" s="66">
        <v>82.0</v>
      </c>
      <c r="H39" s="66">
        <v>7.0</v>
      </c>
      <c r="I39" s="66">
        <v>5.0</v>
      </c>
      <c r="J39" s="24" t="s">
        <v>33</v>
      </c>
      <c r="K39" s="67">
        <v>42821.0</v>
      </c>
      <c r="L39" s="59"/>
      <c r="M39" s="59"/>
      <c r="N39" s="59"/>
      <c r="O39" s="59"/>
      <c r="P39" s="59"/>
      <c r="Q39" s="59"/>
      <c r="R39" s="59"/>
    </row>
    <row r="40">
      <c r="A40" s="66" t="s">
        <v>713</v>
      </c>
      <c r="B40" s="66">
        <v>21.0</v>
      </c>
      <c r="C40" s="66">
        <v>12.0</v>
      </c>
      <c r="D40" s="24" t="s">
        <v>310</v>
      </c>
      <c r="E40" s="24" t="s">
        <v>714</v>
      </c>
      <c r="F40" s="66" t="s">
        <v>715</v>
      </c>
      <c r="G40" s="66">
        <v>21.0</v>
      </c>
      <c r="H40" s="66">
        <v>2.0</v>
      </c>
      <c r="I40" s="66">
        <v>6.0</v>
      </c>
      <c r="J40" s="24" t="s">
        <v>39</v>
      </c>
      <c r="K40" s="67">
        <v>111119.0</v>
      </c>
      <c r="L40" s="59"/>
      <c r="M40" s="59"/>
      <c r="N40" s="59"/>
      <c r="O40" s="59"/>
      <c r="P40" s="59"/>
      <c r="Q40" s="59"/>
      <c r="R40" s="59"/>
    </row>
    <row r="41">
      <c r="A41" s="66" t="s">
        <v>716</v>
      </c>
      <c r="B41" s="66">
        <v>56.0</v>
      </c>
      <c r="C41" s="66">
        <v>47.0</v>
      </c>
      <c r="D41" s="24" t="s">
        <v>93</v>
      </c>
      <c r="E41" s="24" t="s">
        <v>479</v>
      </c>
      <c r="F41" s="66" t="s">
        <v>717</v>
      </c>
      <c r="G41" s="66">
        <v>82.0</v>
      </c>
      <c r="H41" s="66">
        <v>7.0</v>
      </c>
      <c r="I41" s="66">
        <v>8.0</v>
      </c>
      <c r="J41" s="24" t="s">
        <v>33</v>
      </c>
      <c r="K41" s="67">
        <v>61117.0</v>
      </c>
      <c r="L41" s="59"/>
      <c r="M41" s="59"/>
      <c r="N41" s="59"/>
      <c r="O41" s="59"/>
      <c r="P41" s="59"/>
      <c r="Q41" s="59"/>
      <c r="R41" s="59"/>
    </row>
    <row r="42">
      <c r="A42" s="66" t="s">
        <v>718</v>
      </c>
      <c r="B42" s="66">
        <v>56.0</v>
      </c>
      <c r="C42" s="66">
        <v>81.0</v>
      </c>
      <c r="D42" s="24" t="s">
        <v>180</v>
      </c>
      <c r="E42" s="24" t="s">
        <v>719</v>
      </c>
      <c r="F42" s="66" t="s">
        <v>720</v>
      </c>
      <c r="G42" s="66">
        <v>41.0</v>
      </c>
      <c r="H42" s="66">
        <v>8.0</v>
      </c>
      <c r="I42" s="66">
        <v>3.0</v>
      </c>
      <c r="J42" s="24" t="s">
        <v>31</v>
      </c>
      <c r="K42" s="67">
        <v>60518.0</v>
      </c>
      <c r="L42" s="59"/>
      <c r="M42" s="59"/>
      <c r="N42" s="59"/>
      <c r="O42" s="59"/>
      <c r="P42" s="59"/>
      <c r="Q42" s="59"/>
      <c r="R42" s="59"/>
    </row>
    <row r="43">
      <c r="A43" s="66" t="s">
        <v>721</v>
      </c>
      <c r="B43" s="66">
        <v>77.0</v>
      </c>
      <c r="C43" s="66">
        <v>13.0</v>
      </c>
      <c r="D43" s="24" t="s">
        <v>84</v>
      </c>
      <c r="E43" s="24" t="s">
        <v>227</v>
      </c>
      <c r="F43" s="66" t="s">
        <v>722</v>
      </c>
      <c r="G43" s="66">
        <v>21.0</v>
      </c>
      <c r="H43" s="66">
        <v>3.0</v>
      </c>
      <c r="I43" s="66">
        <v>5.0</v>
      </c>
      <c r="J43" s="24" t="s">
        <v>31</v>
      </c>
      <c r="K43" s="67">
        <v>102415.0</v>
      </c>
      <c r="L43" s="59"/>
      <c r="M43" s="59"/>
      <c r="N43" s="59"/>
      <c r="O43" s="59"/>
      <c r="P43" s="59"/>
      <c r="Q43" s="59"/>
      <c r="R43" s="59"/>
    </row>
    <row r="44">
      <c r="A44" s="66" t="s">
        <v>723</v>
      </c>
      <c r="B44" s="66">
        <v>18.0</v>
      </c>
      <c r="C44" s="66">
        <v>14.0</v>
      </c>
      <c r="D44" s="24" t="s">
        <v>222</v>
      </c>
      <c r="E44" s="24" t="s">
        <v>104</v>
      </c>
      <c r="F44" s="66" t="s">
        <v>724</v>
      </c>
      <c r="G44" s="66">
        <v>41.0</v>
      </c>
      <c r="H44" s="66">
        <v>8.0</v>
      </c>
      <c r="I44" s="66">
        <v>5.0</v>
      </c>
      <c r="J44" s="24" t="s">
        <v>29</v>
      </c>
      <c r="K44" s="67">
        <v>53015.0</v>
      </c>
      <c r="L44" s="59"/>
      <c r="M44" s="59"/>
      <c r="N44" s="59"/>
      <c r="O44" s="59"/>
      <c r="P44" s="59"/>
      <c r="Q44" s="59"/>
      <c r="R44" s="59"/>
    </row>
    <row r="45">
      <c r="A45" s="66" t="s">
        <v>725</v>
      </c>
      <c r="B45" s="66">
        <v>46.0</v>
      </c>
      <c r="C45" s="66">
        <v>44.0</v>
      </c>
      <c r="D45" s="24" t="s">
        <v>60</v>
      </c>
      <c r="E45" s="24" t="s">
        <v>282</v>
      </c>
      <c r="F45" s="66" t="s">
        <v>726</v>
      </c>
      <c r="G45" s="66">
        <v>82.0</v>
      </c>
      <c r="H45" s="66">
        <v>7.0</v>
      </c>
      <c r="I45" s="66">
        <v>6.0</v>
      </c>
      <c r="J45" s="24" t="s">
        <v>33</v>
      </c>
      <c r="K45" s="67">
        <v>72218.0</v>
      </c>
      <c r="L45" s="59"/>
      <c r="M45" s="59"/>
      <c r="N45" s="59"/>
      <c r="O45" s="59"/>
      <c r="P45" s="59"/>
      <c r="Q45" s="59"/>
      <c r="R45" s="59"/>
    </row>
    <row r="46">
      <c r="A46" s="66" t="s">
        <v>727</v>
      </c>
      <c r="B46" s="66">
        <v>21.0</v>
      </c>
      <c r="C46" s="66">
        <v>71.0</v>
      </c>
      <c r="D46" s="24" t="s">
        <v>161</v>
      </c>
      <c r="E46" s="24" t="s">
        <v>537</v>
      </c>
      <c r="F46" s="66" t="s">
        <v>728</v>
      </c>
      <c r="G46" s="66">
        <v>62.0</v>
      </c>
      <c r="H46" s="66">
        <v>3.0</v>
      </c>
      <c r="I46" s="66">
        <v>5.0</v>
      </c>
      <c r="J46" s="24" t="s">
        <v>31</v>
      </c>
      <c r="K46" s="67">
        <v>101720.0</v>
      </c>
      <c r="L46" s="59"/>
      <c r="M46" s="59"/>
      <c r="N46" s="59"/>
      <c r="O46" s="59"/>
      <c r="P46" s="59"/>
      <c r="Q46" s="59"/>
      <c r="R46" s="59"/>
    </row>
    <row r="47">
      <c r="A47" s="66" t="s">
        <v>729</v>
      </c>
      <c r="B47" s="66">
        <v>58.0</v>
      </c>
      <c r="C47" s="66">
        <v>46.0</v>
      </c>
      <c r="D47" s="24" t="s">
        <v>481</v>
      </c>
      <c r="E47" s="24" t="s">
        <v>393</v>
      </c>
      <c r="F47" s="66" t="s">
        <v>730</v>
      </c>
      <c r="G47" s="66">
        <v>41.0</v>
      </c>
      <c r="H47" s="66">
        <v>8.0</v>
      </c>
      <c r="I47" s="66">
        <v>8.0</v>
      </c>
      <c r="J47" s="24" t="s">
        <v>39</v>
      </c>
      <c r="K47" s="67">
        <v>100818.0</v>
      </c>
      <c r="L47" s="59"/>
      <c r="M47" s="59"/>
      <c r="N47" s="59"/>
      <c r="O47" s="59"/>
      <c r="P47" s="59"/>
      <c r="Q47" s="59"/>
      <c r="R47" s="59"/>
    </row>
    <row r="48">
      <c r="A48" s="66" t="s">
        <v>731</v>
      </c>
      <c r="B48" s="66">
        <v>42.0</v>
      </c>
      <c r="C48" s="66">
        <v>42.0</v>
      </c>
      <c r="D48" s="24" t="s">
        <v>353</v>
      </c>
      <c r="E48" s="24" t="s">
        <v>138</v>
      </c>
      <c r="F48" s="66" t="s">
        <v>732</v>
      </c>
      <c r="G48" s="66">
        <v>21.0</v>
      </c>
      <c r="H48" s="66">
        <v>4.0</v>
      </c>
      <c r="I48" s="66">
        <v>1.0</v>
      </c>
      <c r="J48" s="24" t="s">
        <v>31</v>
      </c>
      <c r="K48" s="67">
        <v>61813.0</v>
      </c>
      <c r="L48" s="59"/>
      <c r="M48" s="59"/>
      <c r="N48" s="59"/>
      <c r="O48" s="59"/>
      <c r="P48" s="59"/>
      <c r="Q48" s="59"/>
      <c r="R48" s="59"/>
    </row>
    <row r="49">
      <c r="A49" s="66" t="s">
        <v>733</v>
      </c>
      <c r="B49" s="66">
        <v>41.0</v>
      </c>
      <c r="C49" s="66">
        <v>86.0</v>
      </c>
      <c r="D49" s="24" t="s">
        <v>161</v>
      </c>
      <c r="E49" s="24" t="s">
        <v>734</v>
      </c>
      <c r="F49" s="66" t="s">
        <v>735</v>
      </c>
      <c r="G49" s="66">
        <v>62.0</v>
      </c>
      <c r="H49" s="66">
        <v>3.0</v>
      </c>
      <c r="I49" s="66">
        <v>6.0</v>
      </c>
      <c r="J49" s="24" t="s">
        <v>48</v>
      </c>
      <c r="K49" s="67">
        <v>21413.0</v>
      </c>
      <c r="L49" s="59"/>
      <c r="M49" s="59"/>
      <c r="N49" s="59"/>
      <c r="O49" s="59"/>
      <c r="P49" s="59"/>
      <c r="Q49" s="59"/>
      <c r="R49" s="59"/>
    </row>
    <row r="50">
      <c r="A50" s="66" t="s">
        <v>736</v>
      </c>
      <c r="B50" s="66">
        <v>12.0</v>
      </c>
      <c r="C50" s="66">
        <v>57.0</v>
      </c>
      <c r="D50" s="24" t="s">
        <v>374</v>
      </c>
      <c r="E50" s="24" t="s">
        <v>279</v>
      </c>
      <c r="F50" s="66" t="s">
        <v>737</v>
      </c>
      <c r="G50" s="66">
        <v>41.0</v>
      </c>
      <c r="H50" s="66">
        <v>9.0</v>
      </c>
      <c r="I50" s="66">
        <v>1.0</v>
      </c>
      <c r="J50" s="24" t="s">
        <v>39</v>
      </c>
      <c r="K50" s="67">
        <v>22418.0</v>
      </c>
      <c r="L50" s="59"/>
      <c r="M50" s="59"/>
      <c r="N50" s="59"/>
      <c r="O50" s="59"/>
      <c r="P50" s="59"/>
      <c r="Q50" s="59"/>
      <c r="R50" s="59"/>
    </row>
    <row r="51">
      <c r="A51" s="66" t="s">
        <v>738</v>
      </c>
      <c r="B51" s="66">
        <v>93.0</v>
      </c>
      <c r="C51" s="66">
        <v>27.0</v>
      </c>
      <c r="D51" s="24" t="s">
        <v>531</v>
      </c>
      <c r="E51" s="24" t="s">
        <v>271</v>
      </c>
      <c r="F51" s="66" t="s">
        <v>739</v>
      </c>
      <c r="G51" s="66">
        <v>41.0</v>
      </c>
      <c r="H51" s="66">
        <v>9.0</v>
      </c>
      <c r="I51" s="66">
        <v>3.0</v>
      </c>
      <c r="J51" s="24" t="s">
        <v>29</v>
      </c>
      <c r="K51" s="67">
        <v>10914.0</v>
      </c>
      <c r="L51" s="59"/>
      <c r="M51" s="59"/>
      <c r="N51" s="59"/>
      <c r="O51" s="59"/>
      <c r="P51" s="59"/>
      <c r="Q51" s="59"/>
      <c r="R51" s="59"/>
    </row>
    <row r="52">
      <c r="A52" s="66" t="s">
        <v>740</v>
      </c>
      <c r="B52" s="66">
        <v>32.0</v>
      </c>
      <c r="C52" s="66">
        <v>37.0</v>
      </c>
      <c r="D52" s="24" t="s">
        <v>675</v>
      </c>
      <c r="E52" s="24" t="s">
        <v>326</v>
      </c>
      <c r="F52" s="66" t="s">
        <v>741</v>
      </c>
      <c r="G52" s="66">
        <v>62.0</v>
      </c>
      <c r="H52" s="66">
        <v>4.0</v>
      </c>
      <c r="I52" s="66">
        <v>1.0</v>
      </c>
      <c r="J52" s="24" t="s">
        <v>39</v>
      </c>
      <c r="K52" s="67">
        <v>120916.0</v>
      </c>
      <c r="L52" s="59"/>
      <c r="M52" s="59"/>
      <c r="N52" s="59"/>
      <c r="O52" s="59"/>
      <c r="P52" s="59"/>
      <c r="Q52" s="59"/>
      <c r="R52" s="59"/>
    </row>
    <row r="53">
      <c r="A53" s="66" t="s">
        <v>742</v>
      </c>
      <c r="B53" s="66">
        <v>78.0</v>
      </c>
      <c r="C53" s="66">
        <v>69.0</v>
      </c>
      <c r="D53" s="24" t="s">
        <v>93</v>
      </c>
      <c r="E53" s="24" t="s">
        <v>743</v>
      </c>
      <c r="F53" s="66" t="s">
        <v>744</v>
      </c>
      <c r="G53" s="66">
        <v>62.0</v>
      </c>
      <c r="H53" s="66">
        <v>4.0</v>
      </c>
      <c r="I53" s="66">
        <v>3.0</v>
      </c>
      <c r="J53" s="24" t="s">
        <v>31</v>
      </c>
      <c r="K53" s="67">
        <v>52515.0</v>
      </c>
      <c r="L53" s="59"/>
      <c r="M53" s="59"/>
      <c r="N53" s="59"/>
      <c r="O53" s="59"/>
      <c r="P53" s="59"/>
      <c r="Q53" s="59"/>
      <c r="R53" s="59"/>
    </row>
    <row r="54">
      <c r="A54" s="66" t="s">
        <v>745</v>
      </c>
      <c r="B54" s="66">
        <v>29.0</v>
      </c>
      <c r="C54" s="66">
        <v>86.0</v>
      </c>
      <c r="D54" s="24" t="s">
        <v>214</v>
      </c>
      <c r="E54" s="24" t="s">
        <v>96</v>
      </c>
      <c r="F54" s="66" t="s">
        <v>746</v>
      </c>
      <c r="G54" s="66">
        <v>82.0</v>
      </c>
      <c r="H54" s="66">
        <v>9.0</v>
      </c>
      <c r="I54" s="66">
        <v>2.0</v>
      </c>
      <c r="J54" s="24" t="s">
        <v>39</v>
      </c>
      <c r="K54" s="67">
        <v>21018.0</v>
      </c>
      <c r="L54" s="59"/>
      <c r="M54" s="59"/>
      <c r="N54" s="59"/>
      <c r="O54" s="59"/>
      <c r="P54" s="59"/>
      <c r="Q54" s="59"/>
      <c r="R54" s="59"/>
    </row>
    <row r="55">
      <c r="A55" s="66" t="s">
        <v>747</v>
      </c>
      <c r="B55" s="66">
        <v>35.0</v>
      </c>
      <c r="C55" s="66">
        <v>84.0</v>
      </c>
      <c r="D55" s="24" t="s">
        <v>123</v>
      </c>
      <c r="E55" s="24" t="s">
        <v>640</v>
      </c>
      <c r="F55" s="66" t="s">
        <v>748</v>
      </c>
      <c r="G55" s="66">
        <v>62.0</v>
      </c>
      <c r="H55" s="66">
        <v>4.0</v>
      </c>
      <c r="I55" s="66">
        <v>7.0</v>
      </c>
      <c r="J55" s="24" t="s">
        <v>31</v>
      </c>
      <c r="K55" s="67">
        <v>21120.0</v>
      </c>
      <c r="L55" s="59"/>
      <c r="M55" s="59"/>
      <c r="N55" s="59"/>
      <c r="O55" s="59"/>
      <c r="P55" s="59"/>
      <c r="Q55" s="59"/>
      <c r="R55" s="59"/>
    </row>
    <row r="56">
      <c r="A56" s="66" t="s">
        <v>749</v>
      </c>
      <c r="B56" s="66">
        <v>49.0</v>
      </c>
      <c r="C56" s="66">
        <v>31.0</v>
      </c>
      <c r="D56" s="24" t="s">
        <v>124</v>
      </c>
      <c r="E56" s="24" t="s">
        <v>418</v>
      </c>
      <c r="F56" s="66" t="s">
        <v>750</v>
      </c>
      <c r="G56" s="66">
        <v>62.0</v>
      </c>
      <c r="H56" s="66">
        <v>5.0</v>
      </c>
      <c r="I56" s="66">
        <v>1.0</v>
      </c>
      <c r="J56" s="24" t="s">
        <v>48</v>
      </c>
      <c r="K56" s="67">
        <v>122316.0</v>
      </c>
      <c r="L56" s="59"/>
      <c r="M56" s="59"/>
      <c r="N56" s="59"/>
      <c r="O56" s="59"/>
      <c r="P56" s="59"/>
      <c r="Q56" s="59"/>
      <c r="R56" s="59"/>
    </row>
    <row r="57">
      <c r="A57" s="66" t="s">
        <v>751</v>
      </c>
      <c r="B57" s="66">
        <v>34.0</v>
      </c>
      <c r="C57" s="66">
        <v>89.0</v>
      </c>
      <c r="D57" s="24" t="s">
        <v>77</v>
      </c>
      <c r="E57" s="24" t="s">
        <v>752</v>
      </c>
      <c r="F57" s="66" t="s">
        <v>753</v>
      </c>
      <c r="G57" s="66">
        <v>21.0</v>
      </c>
      <c r="H57" s="66">
        <v>5.0</v>
      </c>
      <c r="I57" s="66">
        <v>9.0</v>
      </c>
      <c r="J57" s="24" t="s">
        <v>39</v>
      </c>
      <c r="K57" s="67">
        <v>71017.0</v>
      </c>
      <c r="L57" s="59"/>
      <c r="M57" s="59"/>
      <c r="N57" s="59"/>
      <c r="O57" s="59"/>
      <c r="P57" s="59"/>
      <c r="Q57" s="59"/>
      <c r="R57" s="59"/>
    </row>
    <row r="58">
      <c r="A58" s="66" t="s">
        <v>754</v>
      </c>
      <c r="B58" s="66">
        <v>94.0</v>
      </c>
      <c r="C58" s="66">
        <v>46.0</v>
      </c>
      <c r="D58" s="24" t="s">
        <v>220</v>
      </c>
      <c r="E58" s="24" t="s">
        <v>122</v>
      </c>
      <c r="F58" s="66" t="s">
        <v>755</v>
      </c>
      <c r="G58" s="66">
        <v>62.0</v>
      </c>
      <c r="H58" s="66">
        <v>5.0</v>
      </c>
      <c r="I58" s="66">
        <v>6.0</v>
      </c>
      <c r="J58" s="24" t="s">
        <v>39</v>
      </c>
      <c r="K58" s="67">
        <v>42315.0</v>
      </c>
      <c r="L58" s="59"/>
      <c r="M58" s="59"/>
      <c r="N58" s="59"/>
      <c r="O58" s="59"/>
      <c r="P58" s="59"/>
      <c r="Q58" s="59"/>
      <c r="R58" s="59"/>
    </row>
    <row r="59">
      <c r="A59" s="66" t="s">
        <v>756</v>
      </c>
      <c r="B59" s="66">
        <v>98.0</v>
      </c>
      <c r="C59" s="66">
        <v>59.0</v>
      </c>
      <c r="D59" s="24" t="s">
        <v>121</v>
      </c>
      <c r="E59" s="24" t="s">
        <v>757</v>
      </c>
      <c r="F59" s="66" t="s">
        <v>758</v>
      </c>
      <c r="G59" s="66">
        <v>42.0</v>
      </c>
      <c r="H59" s="66">
        <v>1.0</v>
      </c>
      <c r="I59" s="66">
        <v>3.0</v>
      </c>
      <c r="J59" s="24" t="s">
        <v>39</v>
      </c>
      <c r="K59" s="67">
        <v>61317.0</v>
      </c>
      <c r="L59" s="59"/>
      <c r="M59" s="59"/>
      <c r="N59" s="59"/>
      <c r="O59" s="59"/>
      <c r="P59" s="59"/>
      <c r="Q59" s="59"/>
      <c r="R59" s="59"/>
    </row>
    <row r="60">
      <c r="A60" s="66" t="s">
        <v>759</v>
      </c>
      <c r="B60" s="66">
        <v>70.0</v>
      </c>
      <c r="C60" s="66">
        <v>10.0</v>
      </c>
      <c r="D60" s="24" t="s">
        <v>520</v>
      </c>
      <c r="E60" s="24" t="s">
        <v>419</v>
      </c>
      <c r="F60" s="66" t="s">
        <v>760</v>
      </c>
      <c r="G60" s="66">
        <v>62.0</v>
      </c>
      <c r="H60" s="66">
        <v>6.0</v>
      </c>
      <c r="I60" s="66">
        <v>2.0</v>
      </c>
      <c r="J60" s="24" t="s">
        <v>29</v>
      </c>
      <c r="K60" s="67">
        <v>52414.0</v>
      </c>
      <c r="L60" s="59"/>
      <c r="M60" s="59"/>
      <c r="N60" s="59"/>
      <c r="O60" s="59"/>
      <c r="P60" s="59"/>
      <c r="Q60" s="59"/>
      <c r="R60" s="59"/>
    </row>
    <row r="61">
      <c r="A61" s="66" t="s">
        <v>761</v>
      </c>
      <c r="B61" s="66">
        <v>79.0</v>
      </c>
      <c r="C61" s="66">
        <v>92.0</v>
      </c>
      <c r="D61" s="24" t="s">
        <v>422</v>
      </c>
      <c r="E61" s="24" t="s">
        <v>37</v>
      </c>
      <c r="F61" s="66" t="s">
        <v>762</v>
      </c>
      <c r="G61" s="66">
        <v>62.0</v>
      </c>
      <c r="H61" s="66">
        <v>6.0</v>
      </c>
      <c r="I61" s="66">
        <v>4.0</v>
      </c>
      <c r="J61" s="24" t="s">
        <v>39</v>
      </c>
      <c r="K61" s="67">
        <v>20119.0</v>
      </c>
      <c r="L61" s="59"/>
      <c r="M61" s="59"/>
      <c r="N61" s="59"/>
      <c r="O61" s="59"/>
      <c r="P61" s="59"/>
      <c r="Q61" s="59"/>
      <c r="R61" s="59"/>
    </row>
    <row r="62">
      <c r="A62" s="66" t="s">
        <v>763</v>
      </c>
      <c r="B62" s="66">
        <v>66.0</v>
      </c>
      <c r="C62" s="66">
        <v>44.0</v>
      </c>
      <c r="D62" s="24" t="s">
        <v>41</v>
      </c>
      <c r="E62" s="24" t="s">
        <v>764</v>
      </c>
      <c r="F62" s="66" t="s">
        <v>765</v>
      </c>
      <c r="G62" s="66">
        <v>21.0</v>
      </c>
      <c r="H62" s="66">
        <v>6.0</v>
      </c>
      <c r="I62" s="66">
        <v>8.0</v>
      </c>
      <c r="J62" s="24" t="s">
        <v>29</v>
      </c>
      <c r="K62" s="67">
        <v>72218.0</v>
      </c>
      <c r="L62" s="59"/>
      <c r="M62" s="59"/>
      <c r="N62" s="59"/>
      <c r="O62" s="59"/>
      <c r="P62" s="59"/>
      <c r="Q62" s="59"/>
      <c r="R62" s="59"/>
    </row>
    <row r="63">
      <c r="A63" s="66" t="s">
        <v>766</v>
      </c>
      <c r="B63" s="66">
        <v>62.0</v>
      </c>
      <c r="C63" s="66">
        <v>87.0</v>
      </c>
      <c r="D63" s="24" t="s">
        <v>767</v>
      </c>
      <c r="E63" s="24" t="s">
        <v>99</v>
      </c>
      <c r="F63" s="66" t="s">
        <v>768</v>
      </c>
      <c r="G63" s="66">
        <v>42.0</v>
      </c>
      <c r="H63" s="66">
        <v>1.0</v>
      </c>
      <c r="I63" s="66">
        <v>7.0</v>
      </c>
      <c r="J63" s="24" t="s">
        <v>31</v>
      </c>
      <c r="K63" s="67">
        <v>21014.0</v>
      </c>
      <c r="L63" s="59"/>
      <c r="M63" s="59"/>
      <c r="N63" s="59"/>
      <c r="O63" s="59"/>
      <c r="P63" s="59"/>
      <c r="Q63" s="59"/>
      <c r="R63" s="59"/>
    </row>
    <row r="64">
      <c r="A64" s="66" t="s">
        <v>769</v>
      </c>
      <c r="B64" s="66">
        <v>83.0</v>
      </c>
      <c r="C64" s="66">
        <v>41.0</v>
      </c>
      <c r="D64" s="24" t="s">
        <v>770</v>
      </c>
      <c r="E64" s="24" t="s">
        <v>522</v>
      </c>
      <c r="F64" s="66" t="s">
        <v>771</v>
      </c>
      <c r="G64" s="66">
        <v>83.0</v>
      </c>
      <c r="H64" s="66">
        <v>1.0</v>
      </c>
      <c r="I64" s="66">
        <v>5.0</v>
      </c>
      <c r="J64" s="24" t="s">
        <v>48</v>
      </c>
      <c r="K64" s="67">
        <v>10823.0</v>
      </c>
      <c r="L64" s="59"/>
      <c r="M64" s="59"/>
      <c r="N64" s="59"/>
      <c r="O64" s="59"/>
      <c r="P64" s="59"/>
      <c r="Q64" s="59"/>
      <c r="R64" s="59"/>
    </row>
    <row r="65">
      <c r="A65" s="66" t="s">
        <v>772</v>
      </c>
      <c r="B65" s="66">
        <v>66.0</v>
      </c>
      <c r="C65" s="66">
        <v>57.0</v>
      </c>
      <c r="D65" s="24" t="s">
        <v>82</v>
      </c>
      <c r="E65" s="24" t="s">
        <v>274</v>
      </c>
      <c r="F65" s="66" t="s">
        <v>773</v>
      </c>
      <c r="G65" s="66">
        <v>21.0</v>
      </c>
      <c r="H65" s="66">
        <v>7.0</v>
      </c>
      <c r="I65" s="66">
        <v>1.0</v>
      </c>
      <c r="J65" s="24" t="s">
        <v>31</v>
      </c>
      <c r="K65" s="67">
        <v>100423.0</v>
      </c>
      <c r="L65" s="59"/>
      <c r="M65" s="59"/>
      <c r="N65" s="59"/>
      <c r="O65" s="59"/>
      <c r="P65" s="59"/>
      <c r="Q65" s="59"/>
      <c r="R65" s="59"/>
    </row>
    <row r="66">
      <c r="A66" s="66" t="s">
        <v>774</v>
      </c>
      <c r="B66" s="66">
        <v>31.0</v>
      </c>
      <c r="C66" s="66">
        <v>41.0</v>
      </c>
      <c r="D66" s="24" t="s">
        <v>135</v>
      </c>
      <c r="E66" s="24" t="s">
        <v>210</v>
      </c>
      <c r="F66" s="66" t="s">
        <v>775</v>
      </c>
      <c r="G66" s="66">
        <v>83.0</v>
      </c>
      <c r="H66" s="66">
        <v>1.0</v>
      </c>
      <c r="I66" s="66">
        <v>7.0</v>
      </c>
      <c r="J66" s="24" t="s">
        <v>39</v>
      </c>
      <c r="K66" s="67">
        <v>90515.0</v>
      </c>
      <c r="L66" s="59"/>
      <c r="M66" s="59"/>
      <c r="N66" s="59"/>
      <c r="O66" s="59"/>
      <c r="P66" s="59"/>
      <c r="Q66" s="59"/>
      <c r="R66" s="59"/>
    </row>
    <row r="67">
      <c r="A67" s="66" t="s">
        <v>776</v>
      </c>
      <c r="B67" s="66">
        <v>60.0</v>
      </c>
      <c r="C67" s="66">
        <v>41.0</v>
      </c>
      <c r="D67" s="24" t="s">
        <v>34</v>
      </c>
      <c r="E67" s="24" t="s">
        <v>349</v>
      </c>
      <c r="F67" s="66" t="s">
        <v>777</v>
      </c>
      <c r="G67" s="66">
        <v>62.0</v>
      </c>
      <c r="H67" s="66">
        <v>7.0</v>
      </c>
      <c r="I67" s="66">
        <v>6.0</v>
      </c>
      <c r="J67" s="24" t="s">
        <v>31</v>
      </c>
      <c r="K67" s="67">
        <v>103023.0</v>
      </c>
      <c r="L67" s="59"/>
      <c r="M67" s="59"/>
      <c r="N67" s="59"/>
      <c r="O67" s="59"/>
      <c r="P67" s="59"/>
      <c r="Q67" s="59"/>
      <c r="R67" s="59"/>
    </row>
    <row r="68">
      <c r="A68" s="66" t="s">
        <v>778</v>
      </c>
      <c r="B68" s="66">
        <v>86.0</v>
      </c>
      <c r="C68" s="66">
        <v>40.0</v>
      </c>
      <c r="D68" s="24" t="s">
        <v>779</v>
      </c>
      <c r="E68" s="24" t="s">
        <v>142</v>
      </c>
      <c r="F68" s="66" t="s">
        <v>780</v>
      </c>
      <c r="G68" s="66">
        <v>83.0</v>
      </c>
      <c r="H68" s="66">
        <v>2.0</v>
      </c>
      <c r="I68" s="66">
        <v>4.0</v>
      </c>
      <c r="J68" s="24" t="s">
        <v>39</v>
      </c>
      <c r="K68" s="67">
        <v>40917.0</v>
      </c>
      <c r="L68" s="59"/>
      <c r="M68" s="59"/>
      <c r="N68" s="59"/>
      <c r="O68" s="59"/>
      <c r="P68" s="59"/>
      <c r="Q68" s="59"/>
      <c r="R68" s="59"/>
    </row>
    <row r="69">
      <c r="A69" s="66" t="s">
        <v>781</v>
      </c>
      <c r="B69" s="66">
        <v>19.0</v>
      </c>
      <c r="C69" s="66">
        <v>19.0</v>
      </c>
      <c r="D69" s="24" t="s">
        <v>71</v>
      </c>
      <c r="E69" s="24" t="s">
        <v>782</v>
      </c>
      <c r="F69" s="66" t="s">
        <v>783</v>
      </c>
      <c r="G69" s="66">
        <v>42.0</v>
      </c>
      <c r="H69" s="66">
        <v>2.0</v>
      </c>
      <c r="I69" s="66">
        <v>8.0</v>
      </c>
      <c r="J69" s="24" t="s">
        <v>31</v>
      </c>
      <c r="K69" s="67">
        <v>11013.0</v>
      </c>
      <c r="L69" s="59"/>
      <c r="M69" s="59"/>
      <c r="N69" s="59"/>
      <c r="O69" s="59"/>
      <c r="P69" s="59"/>
      <c r="Q69" s="59"/>
      <c r="R69" s="59"/>
    </row>
    <row r="70">
      <c r="A70" s="66" t="s">
        <v>784</v>
      </c>
      <c r="B70" s="66">
        <v>21.0</v>
      </c>
      <c r="C70" s="66">
        <v>57.0</v>
      </c>
      <c r="D70" s="24" t="s">
        <v>785</v>
      </c>
      <c r="E70" s="24" t="s">
        <v>89</v>
      </c>
      <c r="F70" s="66" t="s">
        <v>786</v>
      </c>
      <c r="G70" s="66">
        <v>21.0</v>
      </c>
      <c r="H70" s="66">
        <v>8.0</v>
      </c>
      <c r="I70" s="66">
        <v>4.0</v>
      </c>
      <c r="J70" s="24" t="s">
        <v>48</v>
      </c>
      <c r="K70" s="67">
        <v>70620.0</v>
      </c>
      <c r="L70" s="59"/>
      <c r="M70" s="59"/>
      <c r="N70" s="59"/>
      <c r="O70" s="59"/>
      <c r="P70" s="59"/>
      <c r="Q70" s="59"/>
      <c r="R70" s="59"/>
    </row>
    <row r="71">
      <c r="A71" s="66" t="s">
        <v>787</v>
      </c>
      <c r="B71" s="66">
        <v>96.0</v>
      </c>
      <c r="C71" s="66">
        <v>10.0</v>
      </c>
      <c r="D71" s="24" t="s">
        <v>65</v>
      </c>
      <c r="E71" s="24" t="s">
        <v>271</v>
      </c>
      <c r="F71" s="66" t="s">
        <v>788</v>
      </c>
      <c r="G71" s="66">
        <v>62.0</v>
      </c>
      <c r="H71" s="66">
        <v>8.0</v>
      </c>
      <c r="I71" s="66">
        <v>1.0</v>
      </c>
      <c r="J71" s="24" t="s">
        <v>48</v>
      </c>
      <c r="K71" s="67">
        <v>70121.0</v>
      </c>
      <c r="L71" s="59"/>
      <c r="M71" s="59"/>
      <c r="N71" s="59"/>
      <c r="O71" s="59"/>
      <c r="P71" s="59"/>
      <c r="Q71" s="59"/>
      <c r="R71" s="59"/>
    </row>
    <row r="72">
      <c r="A72" s="66" t="s">
        <v>789</v>
      </c>
      <c r="B72" s="66">
        <v>58.0</v>
      </c>
      <c r="C72" s="66">
        <v>30.0</v>
      </c>
      <c r="D72" s="24" t="s">
        <v>477</v>
      </c>
      <c r="E72" s="24" t="s">
        <v>451</v>
      </c>
      <c r="F72" s="66" t="s">
        <v>790</v>
      </c>
      <c r="G72" s="66">
        <v>62.0</v>
      </c>
      <c r="H72" s="66">
        <v>8.0</v>
      </c>
      <c r="I72" s="66">
        <v>2.0</v>
      </c>
      <c r="J72" s="24" t="s">
        <v>33</v>
      </c>
      <c r="K72" s="67">
        <v>102820.0</v>
      </c>
      <c r="L72" s="59"/>
      <c r="M72" s="59"/>
      <c r="N72" s="59"/>
      <c r="O72" s="59"/>
      <c r="P72" s="59"/>
      <c r="Q72" s="59"/>
      <c r="R72" s="59"/>
    </row>
    <row r="73">
      <c r="A73" s="66" t="s">
        <v>791</v>
      </c>
      <c r="B73" s="66">
        <v>40.0</v>
      </c>
      <c r="C73" s="66">
        <v>11.0</v>
      </c>
      <c r="D73" s="24" t="s">
        <v>131</v>
      </c>
      <c r="E73" s="24" t="s">
        <v>429</v>
      </c>
      <c r="F73" s="66" t="s">
        <v>792</v>
      </c>
      <c r="G73" s="66">
        <v>42.0</v>
      </c>
      <c r="H73" s="66">
        <v>3.0</v>
      </c>
      <c r="I73" s="66">
        <v>4.0</v>
      </c>
      <c r="J73" s="24" t="s">
        <v>29</v>
      </c>
      <c r="K73" s="67">
        <v>40423.0</v>
      </c>
      <c r="L73" s="59"/>
      <c r="M73" s="59"/>
      <c r="N73" s="59"/>
      <c r="O73" s="59"/>
      <c r="P73" s="59"/>
      <c r="Q73" s="59"/>
      <c r="R73" s="59"/>
    </row>
    <row r="74">
      <c r="A74" s="66" t="s">
        <v>793</v>
      </c>
      <c r="B74" s="66">
        <v>87.0</v>
      </c>
      <c r="C74" s="66">
        <v>61.0</v>
      </c>
      <c r="D74" s="24" t="s">
        <v>794</v>
      </c>
      <c r="E74" s="24" t="s">
        <v>795</v>
      </c>
      <c r="F74" s="66" t="s">
        <v>796</v>
      </c>
      <c r="G74" s="66">
        <v>42.0</v>
      </c>
      <c r="H74" s="66">
        <v>3.0</v>
      </c>
      <c r="I74" s="66">
        <v>5.0</v>
      </c>
      <c r="J74" s="24" t="s">
        <v>29</v>
      </c>
      <c r="K74" s="67">
        <v>112513.0</v>
      </c>
      <c r="L74" s="59"/>
      <c r="M74" s="59"/>
      <c r="N74" s="59"/>
      <c r="O74" s="59"/>
      <c r="P74" s="59"/>
      <c r="Q74" s="59"/>
      <c r="R74" s="59"/>
    </row>
    <row r="75">
      <c r="A75" s="66" t="s">
        <v>797</v>
      </c>
      <c r="B75" s="66">
        <v>56.0</v>
      </c>
      <c r="C75" s="66">
        <v>98.0</v>
      </c>
      <c r="D75" s="24" t="s">
        <v>798</v>
      </c>
      <c r="E75" s="24" t="s">
        <v>373</v>
      </c>
      <c r="F75" s="66" t="s">
        <v>799</v>
      </c>
      <c r="G75" s="66">
        <v>42.0</v>
      </c>
      <c r="H75" s="66">
        <v>3.0</v>
      </c>
      <c r="I75" s="66">
        <v>9.0</v>
      </c>
      <c r="J75" s="24" t="s">
        <v>29</v>
      </c>
      <c r="K75" s="67">
        <v>101216.0</v>
      </c>
      <c r="L75" s="59"/>
      <c r="M75" s="59"/>
      <c r="N75" s="59"/>
      <c r="O75" s="59"/>
      <c r="P75" s="59"/>
      <c r="Q75" s="59"/>
      <c r="R75" s="59"/>
    </row>
    <row r="76">
      <c r="A76" s="66" t="s">
        <v>800</v>
      </c>
      <c r="B76" s="66">
        <v>88.0</v>
      </c>
      <c r="C76" s="66">
        <v>36.0</v>
      </c>
      <c r="D76" s="24" t="s">
        <v>513</v>
      </c>
      <c r="E76" s="24" t="s">
        <v>801</v>
      </c>
      <c r="F76" s="66" t="s">
        <v>802</v>
      </c>
      <c r="G76" s="66">
        <v>62.0</v>
      </c>
      <c r="H76" s="66">
        <v>8.0</v>
      </c>
      <c r="I76" s="66">
        <v>9.0</v>
      </c>
      <c r="J76" s="24" t="s">
        <v>29</v>
      </c>
      <c r="K76" s="67">
        <v>11817.0</v>
      </c>
      <c r="L76" s="59"/>
      <c r="M76" s="59"/>
      <c r="N76" s="59"/>
      <c r="O76" s="59"/>
      <c r="P76" s="59"/>
      <c r="Q76" s="59"/>
      <c r="R76" s="59"/>
    </row>
    <row r="77">
      <c r="A77" s="66" t="s">
        <v>803</v>
      </c>
      <c r="B77" s="66">
        <v>34.0</v>
      </c>
      <c r="C77" s="66">
        <v>99.0</v>
      </c>
      <c r="D77" s="24" t="s">
        <v>531</v>
      </c>
      <c r="E77" s="24" t="s">
        <v>330</v>
      </c>
      <c r="F77" s="66" t="s">
        <v>804</v>
      </c>
      <c r="G77" s="66">
        <v>83.0</v>
      </c>
      <c r="H77" s="66">
        <v>3.0</v>
      </c>
      <c r="I77" s="66">
        <v>8.0</v>
      </c>
      <c r="J77" s="24" t="s">
        <v>48</v>
      </c>
      <c r="K77" s="67">
        <v>10218.0</v>
      </c>
      <c r="L77" s="59"/>
      <c r="M77" s="59"/>
      <c r="N77" s="59"/>
      <c r="O77" s="59"/>
      <c r="P77" s="59"/>
      <c r="Q77" s="59"/>
      <c r="R77" s="59"/>
    </row>
    <row r="78">
      <c r="A78" s="66" t="s">
        <v>805</v>
      </c>
      <c r="B78" s="66">
        <v>62.0</v>
      </c>
      <c r="C78" s="66">
        <v>16.0</v>
      </c>
      <c r="D78" s="24" t="s">
        <v>257</v>
      </c>
      <c r="E78" s="24" t="s">
        <v>161</v>
      </c>
      <c r="F78" s="66" t="s">
        <v>806</v>
      </c>
      <c r="G78" s="66">
        <v>42.0</v>
      </c>
      <c r="H78" s="66">
        <v>4.0</v>
      </c>
      <c r="I78" s="66">
        <v>3.0</v>
      </c>
      <c r="J78" s="24" t="s">
        <v>39</v>
      </c>
      <c r="K78" s="67">
        <v>10120.0</v>
      </c>
      <c r="L78" s="59"/>
      <c r="M78" s="59"/>
      <c r="N78" s="59"/>
      <c r="O78" s="59"/>
      <c r="P78" s="59"/>
      <c r="Q78" s="59"/>
      <c r="R78" s="59"/>
    </row>
    <row r="79">
      <c r="A79" s="66" t="s">
        <v>807</v>
      </c>
      <c r="B79" s="66">
        <v>60.0</v>
      </c>
      <c r="C79" s="66">
        <v>59.0</v>
      </c>
      <c r="D79" s="24" t="s">
        <v>363</v>
      </c>
      <c r="E79" s="24" t="s">
        <v>473</v>
      </c>
      <c r="F79" s="66" t="s">
        <v>808</v>
      </c>
      <c r="G79" s="66">
        <v>21.0</v>
      </c>
      <c r="H79" s="66">
        <v>9.0</v>
      </c>
      <c r="I79" s="66">
        <v>6.0</v>
      </c>
      <c r="J79" s="24" t="s">
        <v>48</v>
      </c>
      <c r="K79" s="67">
        <v>81917.0</v>
      </c>
      <c r="L79" s="59"/>
      <c r="M79" s="59"/>
      <c r="N79" s="59"/>
      <c r="O79" s="59"/>
      <c r="P79" s="59"/>
      <c r="Q79" s="59"/>
      <c r="R79" s="59"/>
    </row>
    <row r="80">
      <c r="A80" s="66" t="s">
        <v>809</v>
      </c>
      <c r="B80" s="66">
        <v>41.0</v>
      </c>
      <c r="C80" s="66">
        <v>91.0</v>
      </c>
      <c r="D80" s="24" t="s">
        <v>326</v>
      </c>
      <c r="E80" s="24" t="s">
        <v>200</v>
      </c>
      <c r="F80" s="66" t="s">
        <v>810</v>
      </c>
      <c r="G80" s="66">
        <v>62.0</v>
      </c>
      <c r="H80" s="66">
        <v>9.0</v>
      </c>
      <c r="I80" s="66">
        <v>3.0</v>
      </c>
      <c r="J80" s="24" t="s">
        <v>33</v>
      </c>
      <c r="K80" s="67">
        <v>120416.0</v>
      </c>
      <c r="L80" s="59"/>
      <c r="M80" s="59"/>
      <c r="N80" s="59"/>
      <c r="O80" s="59"/>
      <c r="P80" s="59"/>
      <c r="Q80" s="59"/>
      <c r="R80" s="59"/>
    </row>
    <row r="81">
      <c r="A81" s="66" t="s">
        <v>811</v>
      </c>
      <c r="B81" s="66">
        <v>46.0</v>
      </c>
      <c r="C81" s="66">
        <v>88.0</v>
      </c>
      <c r="D81" s="24" t="s">
        <v>146</v>
      </c>
      <c r="E81" s="24" t="s">
        <v>217</v>
      </c>
      <c r="F81" s="66" t="s">
        <v>812</v>
      </c>
      <c r="G81" s="66">
        <v>42.0</v>
      </c>
      <c r="H81" s="66">
        <v>4.0</v>
      </c>
      <c r="I81" s="66">
        <v>5.0</v>
      </c>
      <c r="J81" s="24" t="s">
        <v>29</v>
      </c>
      <c r="K81" s="67">
        <v>110617.0</v>
      </c>
      <c r="L81" s="59"/>
      <c r="M81" s="59"/>
      <c r="N81" s="59"/>
      <c r="O81" s="59"/>
      <c r="P81" s="59"/>
      <c r="Q81" s="59"/>
      <c r="R81" s="59"/>
    </row>
    <row r="82">
      <c r="A82" s="66" t="s">
        <v>813</v>
      </c>
      <c r="B82" s="66">
        <v>74.0</v>
      </c>
      <c r="C82" s="66">
        <v>91.0</v>
      </c>
      <c r="D82" s="24" t="s">
        <v>476</v>
      </c>
      <c r="E82" s="24" t="s">
        <v>505</v>
      </c>
      <c r="F82" s="66" t="s">
        <v>814</v>
      </c>
      <c r="G82" s="66">
        <v>21.0</v>
      </c>
      <c r="H82" s="66">
        <v>9.0</v>
      </c>
      <c r="I82" s="66">
        <v>3.0</v>
      </c>
      <c r="J82" s="24" t="s">
        <v>48</v>
      </c>
      <c r="K82" s="67">
        <v>120716.0</v>
      </c>
      <c r="L82" s="59"/>
      <c r="M82" s="59"/>
      <c r="N82" s="59"/>
      <c r="O82" s="59"/>
      <c r="P82" s="59"/>
      <c r="Q82" s="59"/>
      <c r="R82" s="59"/>
    </row>
    <row r="83">
      <c r="A83" s="66" t="s">
        <v>815</v>
      </c>
      <c r="B83" s="66">
        <v>26.0</v>
      </c>
      <c r="C83" s="66">
        <v>31.0</v>
      </c>
      <c r="D83" s="24" t="s">
        <v>460</v>
      </c>
      <c r="E83" s="24" t="s">
        <v>816</v>
      </c>
      <c r="F83" s="66" t="s">
        <v>817</v>
      </c>
      <c r="G83" s="66">
        <v>83.0</v>
      </c>
      <c r="H83" s="66">
        <v>4.0</v>
      </c>
      <c r="I83" s="66">
        <v>4.0</v>
      </c>
      <c r="J83" s="24" t="s">
        <v>33</v>
      </c>
      <c r="K83" s="67">
        <v>12418.0</v>
      </c>
      <c r="L83" s="59"/>
      <c r="M83" s="59"/>
      <c r="N83" s="59"/>
      <c r="O83" s="59"/>
      <c r="P83" s="59"/>
      <c r="Q83" s="59"/>
      <c r="R83" s="59"/>
    </row>
    <row r="84">
      <c r="A84" s="66" t="s">
        <v>818</v>
      </c>
      <c r="B84" s="66">
        <v>73.0</v>
      </c>
      <c r="C84" s="66">
        <v>62.0</v>
      </c>
      <c r="D84" s="24" t="s">
        <v>94</v>
      </c>
      <c r="E84" s="24" t="s">
        <v>533</v>
      </c>
      <c r="F84" s="66" t="s">
        <v>819</v>
      </c>
      <c r="G84" s="66">
        <v>42.0</v>
      </c>
      <c r="H84" s="66">
        <v>4.0</v>
      </c>
      <c r="I84" s="66">
        <v>9.0</v>
      </c>
      <c r="J84" s="24" t="s">
        <v>31</v>
      </c>
      <c r="K84" s="67">
        <v>82119.0</v>
      </c>
      <c r="L84" s="59"/>
      <c r="M84" s="59"/>
      <c r="N84" s="59"/>
      <c r="O84" s="59"/>
      <c r="P84" s="59"/>
      <c r="Q84" s="59"/>
      <c r="R84" s="59"/>
    </row>
    <row r="85">
      <c r="A85" s="66" t="s">
        <v>820</v>
      </c>
      <c r="B85" s="66">
        <v>86.0</v>
      </c>
      <c r="C85" s="66">
        <v>73.0</v>
      </c>
      <c r="D85" s="24" t="s">
        <v>233</v>
      </c>
      <c r="E85" s="24" t="s">
        <v>821</v>
      </c>
      <c r="F85" s="66" t="s">
        <v>822</v>
      </c>
      <c r="G85" s="66">
        <v>42.0</v>
      </c>
      <c r="H85" s="66">
        <v>5.0</v>
      </c>
      <c r="I85" s="66">
        <v>1.0</v>
      </c>
      <c r="J85" s="24" t="s">
        <v>29</v>
      </c>
      <c r="K85" s="67">
        <v>42121.0</v>
      </c>
      <c r="L85" s="59"/>
      <c r="M85" s="59"/>
      <c r="N85" s="59"/>
      <c r="O85" s="59"/>
      <c r="P85" s="59"/>
      <c r="Q85" s="59"/>
      <c r="R85" s="59"/>
    </row>
    <row r="86">
      <c r="A86" s="66" t="s">
        <v>823</v>
      </c>
      <c r="B86" s="66">
        <v>57.0</v>
      </c>
      <c r="C86" s="66">
        <v>83.0</v>
      </c>
      <c r="D86" s="24" t="s">
        <v>320</v>
      </c>
      <c r="E86" s="24" t="s">
        <v>214</v>
      </c>
      <c r="F86" s="66" t="s">
        <v>824</v>
      </c>
      <c r="G86" s="66">
        <v>83.0</v>
      </c>
      <c r="H86" s="66">
        <v>4.0</v>
      </c>
      <c r="I86" s="66">
        <v>9.0</v>
      </c>
      <c r="J86" s="24" t="s">
        <v>31</v>
      </c>
      <c r="K86" s="67">
        <v>90717.0</v>
      </c>
      <c r="L86" s="59"/>
      <c r="M86" s="59"/>
      <c r="N86" s="59"/>
      <c r="O86" s="59"/>
      <c r="P86" s="59"/>
      <c r="Q86" s="59"/>
      <c r="R86" s="59"/>
    </row>
    <row r="87">
      <c r="A87" s="66" t="s">
        <v>825</v>
      </c>
      <c r="B87" s="66">
        <v>59.0</v>
      </c>
      <c r="C87" s="66">
        <v>84.0</v>
      </c>
      <c r="D87" s="24" t="s">
        <v>116</v>
      </c>
      <c r="E87" s="24" t="s">
        <v>211</v>
      </c>
      <c r="F87" s="66" t="s">
        <v>826</v>
      </c>
      <c r="G87" s="66">
        <v>83.0</v>
      </c>
      <c r="H87" s="66">
        <v>5.0</v>
      </c>
      <c r="I87" s="66">
        <v>3.0</v>
      </c>
      <c r="J87" s="24" t="s">
        <v>48</v>
      </c>
      <c r="K87" s="67">
        <v>30921.0</v>
      </c>
      <c r="L87" s="59"/>
      <c r="M87" s="59"/>
      <c r="N87" s="59"/>
      <c r="O87" s="59"/>
      <c r="P87" s="59"/>
      <c r="Q87" s="59"/>
      <c r="R87" s="59"/>
    </row>
    <row r="88">
      <c r="A88" s="66" t="s">
        <v>827</v>
      </c>
      <c r="B88" s="66">
        <v>54.0</v>
      </c>
      <c r="C88" s="66">
        <v>76.0</v>
      </c>
      <c r="D88" s="24" t="s">
        <v>828</v>
      </c>
      <c r="E88" s="24" t="s">
        <v>829</v>
      </c>
      <c r="F88" s="66" t="s">
        <v>830</v>
      </c>
      <c r="G88" s="66">
        <v>22.0</v>
      </c>
      <c r="H88" s="66">
        <v>1.0</v>
      </c>
      <c r="I88" s="66">
        <v>9.0</v>
      </c>
      <c r="J88" s="24" t="s">
        <v>33</v>
      </c>
      <c r="K88" s="67">
        <v>101721.0</v>
      </c>
      <c r="L88" s="59"/>
      <c r="M88" s="59"/>
      <c r="N88" s="59"/>
      <c r="O88" s="59"/>
      <c r="P88" s="59"/>
      <c r="Q88" s="59"/>
      <c r="R88" s="59"/>
    </row>
    <row r="89">
      <c r="A89" s="66" t="s">
        <v>831</v>
      </c>
      <c r="B89" s="66">
        <v>14.0</v>
      </c>
      <c r="C89" s="66">
        <v>77.0</v>
      </c>
      <c r="D89" s="24" t="s">
        <v>498</v>
      </c>
      <c r="E89" s="24" t="s">
        <v>543</v>
      </c>
      <c r="F89" s="66" t="s">
        <v>832</v>
      </c>
      <c r="G89" s="66">
        <v>42.0</v>
      </c>
      <c r="H89" s="66">
        <v>6.0</v>
      </c>
      <c r="I89" s="66">
        <v>7.0</v>
      </c>
      <c r="J89" s="24" t="s">
        <v>39</v>
      </c>
      <c r="K89" s="67">
        <v>102818.0</v>
      </c>
      <c r="L89" s="59"/>
      <c r="M89" s="59"/>
      <c r="N89" s="59"/>
      <c r="O89" s="59"/>
      <c r="P89" s="59"/>
      <c r="Q89" s="59"/>
      <c r="R89" s="59"/>
    </row>
    <row r="90">
      <c r="A90" s="66" t="s">
        <v>833</v>
      </c>
      <c r="B90" s="66">
        <v>66.0</v>
      </c>
      <c r="C90" s="66">
        <v>94.0</v>
      </c>
      <c r="D90" s="24" t="s">
        <v>344</v>
      </c>
      <c r="E90" s="24" t="s">
        <v>834</v>
      </c>
      <c r="F90" s="66" t="s">
        <v>835</v>
      </c>
      <c r="G90" s="66">
        <v>83.0</v>
      </c>
      <c r="H90" s="66">
        <v>6.0</v>
      </c>
      <c r="I90" s="66">
        <v>5.0</v>
      </c>
      <c r="J90" s="24" t="s">
        <v>39</v>
      </c>
      <c r="K90" s="67">
        <v>120415.0</v>
      </c>
      <c r="L90" s="59"/>
      <c r="M90" s="59"/>
      <c r="N90" s="59"/>
      <c r="O90" s="59"/>
      <c r="P90" s="59"/>
      <c r="Q90" s="59"/>
      <c r="R90" s="59"/>
    </row>
    <row r="91">
      <c r="A91" s="66" t="s">
        <v>836</v>
      </c>
      <c r="B91" s="66">
        <v>44.0</v>
      </c>
      <c r="C91" s="66">
        <v>53.0</v>
      </c>
      <c r="D91" s="24" t="s">
        <v>59</v>
      </c>
      <c r="E91" s="24" t="s">
        <v>837</v>
      </c>
      <c r="F91" s="66" t="s">
        <v>838</v>
      </c>
      <c r="G91" s="66">
        <v>22.0</v>
      </c>
      <c r="H91" s="66">
        <v>2.0</v>
      </c>
      <c r="I91" s="66">
        <v>2.0</v>
      </c>
      <c r="J91" s="24" t="s">
        <v>31</v>
      </c>
      <c r="K91" s="67">
        <v>101918.0</v>
      </c>
      <c r="L91" s="59"/>
      <c r="M91" s="59"/>
      <c r="N91" s="59"/>
      <c r="O91" s="59"/>
      <c r="P91" s="59"/>
      <c r="Q91" s="59"/>
      <c r="R91" s="59"/>
    </row>
    <row r="92">
      <c r="A92" s="66" t="s">
        <v>839</v>
      </c>
      <c r="B92" s="66">
        <v>71.0</v>
      </c>
      <c r="C92" s="66">
        <v>41.0</v>
      </c>
      <c r="D92" s="24" t="s">
        <v>260</v>
      </c>
      <c r="E92" s="24" t="s">
        <v>413</v>
      </c>
      <c r="F92" s="66" t="s">
        <v>840</v>
      </c>
      <c r="G92" s="66">
        <v>63.0</v>
      </c>
      <c r="H92" s="66">
        <v>2.0</v>
      </c>
      <c r="I92" s="66">
        <v>1.0</v>
      </c>
      <c r="J92" s="24" t="s">
        <v>39</v>
      </c>
      <c r="K92" s="67">
        <v>41919.0</v>
      </c>
      <c r="L92" s="59"/>
      <c r="M92" s="59"/>
      <c r="N92" s="59"/>
      <c r="O92" s="59"/>
      <c r="P92" s="59"/>
      <c r="Q92" s="59"/>
      <c r="R92" s="59"/>
    </row>
    <row r="93">
      <c r="A93" s="66" t="s">
        <v>841</v>
      </c>
      <c r="B93" s="66">
        <v>46.0</v>
      </c>
      <c r="C93" s="66">
        <v>17.0</v>
      </c>
      <c r="D93" s="24" t="s">
        <v>72</v>
      </c>
      <c r="E93" s="24" t="s">
        <v>171</v>
      </c>
      <c r="F93" s="66" t="s">
        <v>842</v>
      </c>
      <c r="G93" s="66">
        <v>22.0</v>
      </c>
      <c r="H93" s="66">
        <v>2.0</v>
      </c>
      <c r="I93" s="66">
        <v>6.0</v>
      </c>
      <c r="J93" s="24" t="s">
        <v>48</v>
      </c>
      <c r="K93" s="67">
        <v>20213.0</v>
      </c>
      <c r="L93" s="59"/>
      <c r="M93" s="59"/>
      <c r="N93" s="59"/>
      <c r="O93" s="59"/>
      <c r="P93" s="59"/>
      <c r="Q93" s="59"/>
      <c r="R93" s="59"/>
    </row>
    <row r="94">
      <c r="A94" s="66" t="s">
        <v>843</v>
      </c>
      <c r="B94" s="66">
        <v>64.0</v>
      </c>
      <c r="C94" s="66">
        <v>90.0</v>
      </c>
      <c r="D94" s="24" t="s">
        <v>75</v>
      </c>
      <c r="E94" s="24" t="s">
        <v>88</v>
      </c>
      <c r="F94" s="66" t="s">
        <v>844</v>
      </c>
      <c r="G94" s="66">
        <v>42.0</v>
      </c>
      <c r="H94" s="66">
        <v>7.0</v>
      </c>
      <c r="I94" s="66">
        <v>5.0</v>
      </c>
      <c r="J94" s="24" t="s">
        <v>29</v>
      </c>
      <c r="K94" s="67">
        <v>81414.0</v>
      </c>
      <c r="L94" s="59"/>
      <c r="M94" s="59"/>
      <c r="N94" s="59"/>
      <c r="O94" s="59"/>
      <c r="P94" s="59"/>
      <c r="Q94" s="59"/>
      <c r="R94" s="59"/>
    </row>
    <row r="95">
      <c r="A95" s="66" t="s">
        <v>845</v>
      </c>
      <c r="B95" s="66">
        <v>69.0</v>
      </c>
      <c r="C95" s="66">
        <v>14.0</v>
      </c>
      <c r="D95" s="24" t="s">
        <v>43</v>
      </c>
      <c r="E95" s="24" t="s">
        <v>456</v>
      </c>
      <c r="F95" s="66" t="s">
        <v>846</v>
      </c>
      <c r="G95" s="66">
        <v>63.0</v>
      </c>
      <c r="H95" s="66">
        <v>2.0</v>
      </c>
      <c r="I95" s="66">
        <v>2.0</v>
      </c>
      <c r="J95" s="24" t="s">
        <v>39</v>
      </c>
      <c r="K95" s="67">
        <v>32414.0</v>
      </c>
      <c r="L95" s="59"/>
      <c r="M95" s="59"/>
      <c r="N95" s="59"/>
      <c r="O95" s="59"/>
      <c r="P95" s="59"/>
      <c r="Q95" s="59"/>
      <c r="R95" s="59"/>
    </row>
    <row r="96">
      <c r="A96" s="66" t="s">
        <v>847</v>
      </c>
      <c r="B96" s="66">
        <v>86.0</v>
      </c>
      <c r="C96" s="66">
        <v>14.0</v>
      </c>
      <c r="D96" s="24" t="s">
        <v>757</v>
      </c>
      <c r="E96" s="24" t="s">
        <v>226</v>
      </c>
      <c r="F96" s="66" t="s">
        <v>848</v>
      </c>
      <c r="G96" s="66">
        <v>22.0</v>
      </c>
      <c r="H96" s="66">
        <v>2.0</v>
      </c>
      <c r="I96" s="66">
        <v>9.0</v>
      </c>
      <c r="J96" s="24" t="s">
        <v>31</v>
      </c>
      <c r="K96" s="67">
        <v>20913.0</v>
      </c>
      <c r="L96" s="59"/>
      <c r="M96" s="59"/>
      <c r="N96" s="59"/>
      <c r="O96" s="59"/>
      <c r="P96" s="59"/>
      <c r="Q96" s="59"/>
      <c r="R96" s="59"/>
    </row>
    <row r="97">
      <c r="A97" s="66" t="s">
        <v>849</v>
      </c>
      <c r="B97" s="66">
        <v>18.0</v>
      </c>
      <c r="C97" s="66">
        <v>19.0</v>
      </c>
      <c r="D97" s="24" t="s">
        <v>271</v>
      </c>
      <c r="E97" s="24" t="s">
        <v>117</v>
      </c>
      <c r="F97" s="66" t="s">
        <v>850</v>
      </c>
      <c r="G97" s="66">
        <v>63.0</v>
      </c>
      <c r="H97" s="66">
        <v>2.0</v>
      </c>
      <c r="I97" s="66">
        <v>6.0</v>
      </c>
      <c r="J97" s="24" t="s">
        <v>29</v>
      </c>
      <c r="K97" s="67">
        <v>80321.0</v>
      </c>
      <c r="L97" s="59"/>
      <c r="M97" s="59"/>
      <c r="N97" s="59"/>
      <c r="O97" s="59"/>
      <c r="P97" s="59"/>
      <c r="Q97" s="59"/>
      <c r="R97" s="59"/>
    </row>
    <row r="98">
      <c r="A98" s="66" t="s">
        <v>851</v>
      </c>
      <c r="B98" s="66">
        <v>19.0</v>
      </c>
      <c r="C98" s="66">
        <v>24.0</v>
      </c>
      <c r="D98" s="24" t="s">
        <v>522</v>
      </c>
      <c r="E98" s="24" t="s">
        <v>114</v>
      </c>
      <c r="F98" s="66" t="s">
        <v>852</v>
      </c>
      <c r="G98" s="66">
        <v>42.0</v>
      </c>
      <c r="H98" s="66">
        <v>7.0</v>
      </c>
      <c r="I98" s="66">
        <v>8.0</v>
      </c>
      <c r="J98" s="24" t="s">
        <v>39</v>
      </c>
      <c r="K98" s="67">
        <v>91020.0</v>
      </c>
      <c r="L98" s="59"/>
      <c r="M98" s="59"/>
      <c r="N98" s="59"/>
      <c r="O98" s="59"/>
      <c r="P98" s="59"/>
      <c r="Q98" s="59"/>
      <c r="R98" s="59"/>
    </row>
    <row r="99">
      <c r="A99" s="66" t="s">
        <v>853</v>
      </c>
      <c r="B99" s="66">
        <v>36.0</v>
      </c>
      <c r="C99" s="66">
        <v>23.0</v>
      </c>
      <c r="D99" s="24" t="s">
        <v>277</v>
      </c>
      <c r="E99" s="24" t="s">
        <v>168</v>
      </c>
      <c r="F99" s="66" t="s">
        <v>854</v>
      </c>
      <c r="G99" s="66">
        <v>63.0</v>
      </c>
      <c r="H99" s="66">
        <v>2.0</v>
      </c>
      <c r="I99" s="66">
        <v>9.0</v>
      </c>
      <c r="J99" s="24" t="s">
        <v>33</v>
      </c>
      <c r="K99" s="67">
        <v>10923.0</v>
      </c>
      <c r="L99" s="59"/>
      <c r="M99" s="59"/>
      <c r="N99" s="59"/>
      <c r="O99" s="59"/>
      <c r="P99" s="59"/>
      <c r="Q99" s="59"/>
      <c r="R99" s="59"/>
    </row>
    <row r="100">
      <c r="A100" s="66" t="s">
        <v>855</v>
      </c>
      <c r="B100" s="66">
        <v>68.0</v>
      </c>
      <c r="C100" s="66">
        <v>58.0</v>
      </c>
      <c r="D100" s="24" t="s">
        <v>81</v>
      </c>
      <c r="E100" s="24" t="s">
        <v>284</v>
      </c>
      <c r="F100" s="66" t="s">
        <v>856</v>
      </c>
      <c r="G100" s="66">
        <v>83.0</v>
      </c>
      <c r="H100" s="66">
        <v>7.0</v>
      </c>
      <c r="I100" s="66">
        <v>9.0</v>
      </c>
      <c r="J100" s="24" t="s">
        <v>48</v>
      </c>
      <c r="K100" s="67">
        <v>82819.0</v>
      </c>
      <c r="L100" s="59"/>
      <c r="M100" s="59"/>
      <c r="N100" s="59"/>
      <c r="O100" s="59"/>
      <c r="P100" s="59"/>
      <c r="Q100" s="59"/>
      <c r="R100" s="59"/>
    </row>
    <row r="101">
      <c r="A101" s="66" t="s">
        <v>857</v>
      </c>
      <c r="B101" s="66">
        <v>87.0</v>
      </c>
      <c r="C101" s="66">
        <v>25.0</v>
      </c>
      <c r="D101" s="24" t="s">
        <v>678</v>
      </c>
      <c r="E101" s="24" t="s">
        <v>62</v>
      </c>
      <c r="F101" s="66" t="s">
        <v>858</v>
      </c>
      <c r="G101" s="66">
        <v>63.0</v>
      </c>
      <c r="H101" s="66">
        <v>3.0</v>
      </c>
      <c r="I101" s="66">
        <v>5.0</v>
      </c>
      <c r="J101" s="24" t="s">
        <v>31</v>
      </c>
      <c r="K101" s="67">
        <v>111918.0</v>
      </c>
      <c r="L101" s="59"/>
      <c r="M101" s="59"/>
      <c r="N101" s="59"/>
      <c r="O101" s="59"/>
      <c r="P101" s="59"/>
      <c r="Q101" s="59"/>
      <c r="R101" s="59"/>
    </row>
    <row r="102">
      <c r="A102" s="66" t="s">
        <v>859</v>
      </c>
      <c r="B102" s="66">
        <v>68.0</v>
      </c>
      <c r="C102" s="66">
        <v>92.0</v>
      </c>
      <c r="D102" s="24" t="s">
        <v>66</v>
      </c>
      <c r="E102" s="24" t="s">
        <v>256</v>
      </c>
      <c r="F102" s="66" t="s">
        <v>860</v>
      </c>
      <c r="G102" s="66">
        <v>42.0</v>
      </c>
      <c r="H102" s="66">
        <v>8.0</v>
      </c>
      <c r="I102" s="66">
        <v>8.0</v>
      </c>
      <c r="J102" s="24" t="s">
        <v>29</v>
      </c>
      <c r="K102" s="67">
        <v>82317.0</v>
      </c>
      <c r="L102" s="59"/>
      <c r="M102" s="59"/>
      <c r="N102" s="59"/>
      <c r="O102" s="59"/>
      <c r="P102" s="59"/>
      <c r="Q102" s="59"/>
      <c r="R102" s="59"/>
    </row>
    <row r="103">
      <c r="A103" s="66" t="s">
        <v>861</v>
      </c>
      <c r="B103" s="66">
        <v>75.0</v>
      </c>
      <c r="C103" s="66">
        <v>27.0</v>
      </c>
      <c r="D103" s="24" t="s">
        <v>102</v>
      </c>
      <c r="E103" s="24" t="s">
        <v>287</v>
      </c>
      <c r="F103" s="66" t="s">
        <v>862</v>
      </c>
      <c r="G103" s="66">
        <v>22.0</v>
      </c>
      <c r="H103" s="66">
        <v>4.0</v>
      </c>
      <c r="I103" s="66">
        <v>1.0</v>
      </c>
      <c r="J103" s="24" t="s">
        <v>29</v>
      </c>
      <c r="K103" s="67">
        <v>12819.0</v>
      </c>
      <c r="L103" s="59"/>
      <c r="M103" s="59"/>
      <c r="N103" s="59"/>
      <c r="O103" s="59"/>
      <c r="P103" s="59"/>
      <c r="Q103" s="59"/>
      <c r="R103" s="59"/>
    </row>
    <row r="104">
      <c r="A104" s="66" t="s">
        <v>863</v>
      </c>
      <c r="B104" s="66">
        <v>23.0</v>
      </c>
      <c r="C104" s="66">
        <v>28.0</v>
      </c>
      <c r="D104" s="24" t="s">
        <v>365</v>
      </c>
      <c r="E104" s="24" t="s">
        <v>420</v>
      </c>
      <c r="F104" s="66" t="s">
        <v>864</v>
      </c>
      <c r="G104" s="66">
        <v>63.0</v>
      </c>
      <c r="H104" s="66">
        <v>3.0</v>
      </c>
      <c r="I104" s="66">
        <v>9.0</v>
      </c>
      <c r="J104" s="24" t="s">
        <v>39</v>
      </c>
      <c r="K104" s="67">
        <v>40717.0</v>
      </c>
      <c r="L104" s="59"/>
      <c r="M104" s="59"/>
      <c r="N104" s="59"/>
      <c r="O104" s="59"/>
      <c r="P104" s="59"/>
      <c r="Q104" s="59"/>
      <c r="R104" s="59"/>
    </row>
    <row r="105">
      <c r="A105" s="66" t="s">
        <v>865</v>
      </c>
      <c r="B105" s="66">
        <v>31.0</v>
      </c>
      <c r="C105" s="66">
        <v>78.0</v>
      </c>
      <c r="D105" s="24" t="s">
        <v>231</v>
      </c>
      <c r="E105" s="24" t="s">
        <v>198</v>
      </c>
      <c r="F105" s="66" t="s">
        <v>866</v>
      </c>
      <c r="G105" s="66">
        <v>42.0</v>
      </c>
      <c r="H105" s="66">
        <v>9.0</v>
      </c>
      <c r="I105" s="66">
        <v>2.0</v>
      </c>
      <c r="J105" s="24" t="s">
        <v>29</v>
      </c>
      <c r="K105" s="67">
        <v>93017.0</v>
      </c>
      <c r="L105" s="59"/>
      <c r="M105" s="59"/>
      <c r="N105" s="59"/>
      <c r="O105" s="59"/>
      <c r="P105" s="59"/>
      <c r="Q105" s="59"/>
      <c r="R105" s="59"/>
    </row>
    <row r="106">
      <c r="A106" s="66" t="s">
        <v>867</v>
      </c>
      <c r="B106" s="66">
        <v>37.0</v>
      </c>
      <c r="C106" s="66">
        <v>58.0</v>
      </c>
      <c r="D106" s="24" t="s">
        <v>175</v>
      </c>
      <c r="E106" s="24" t="s">
        <v>530</v>
      </c>
      <c r="F106" s="66" t="s">
        <v>868</v>
      </c>
      <c r="G106" s="66">
        <v>63.0</v>
      </c>
      <c r="H106" s="66">
        <v>4.0</v>
      </c>
      <c r="I106" s="66">
        <v>1.0</v>
      </c>
      <c r="J106" s="24" t="s">
        <v>33</v>
      </c>
      <c r="K106" s="67">
        <v>82923.0</v>
      </c>
      <c r="L106" s="59"/>
      <c r="M106" s="59"/>
      <c r="N106" s="59"/>
      <c r="O106" s="59"/>
      <c r="P106" s="59"/>
      <c r="Q106" s="59"/>
      <c r="R106" s="59"/>
    </row>
    <row r="107">
      <c r="A107" s="66" t="s">
        <v>869</v>
      </c>
      <c r="B107" s="66">
        <v>79.0</v>
      </c>
      <c r="C107" s="66">
        <v>38.0</v>
      </c>
      <c r="D107" s="24" t="s">
        <v>522</v>
      </c>
      <c r="E107" s="24" t="s">
        <v>201</v>
      </c>
      <c r="F107" s="66" t="s">
        <v>870</v>
      </c>
      <c r="G107" s="66">
        <v>42.0</v>
      </c>
      <c r="H107" s="66">
        <v>9.0</v>
      </c>
      <c r="I107" s="66">
        <v>3.0</v>
      </c>
      <c r="J107" s="24" t="s">
        <v>29</v>
      </c>
      <c r="K107" s="67">
        <v>50816.0</v>
      </c>
      <c r="L107" s="59"/>
      <c r="M107" s="59"/>
      <c r="N107" s="59"/>
      <c r="O107" s="59"/>
      <c r="P107" s="59"/>
      <c r="Q107" s="59"/>
      <c r="R107" s="59"/>
    </row>
    <row r="108">
      <c r="A108" s="66" t="s">
        <v>871</v>
      </c>
      <c r="B108" s="66">
        <v>91.0</v>
      </c>
      <c r="C108" s="66">
        <v>75.0</v>
      </c>
      <c r="D108" s="24" t="s">
        <v>872</v>
      </c>
      <c r="E108" s="24" t="s">
        <v>264</v>
      </c>
      <c r="F108" s="66" t="s">
        <v>873</v>
      </c>
      <c r="G108" s="66">
        <v>22.0</v>
      </c>
      <c r="H108" s="66">
        <v>4.0</v>
      </c>
      <c r="I108" s="66">
        <v>6.0</v>
      </c>
      <c r="J108" s="24" t="s">
        <v>48</v>
      </c>
      <c r="K108" s="67">
        <v>30915.0</v>
      </c>
      <c r="L108" s="59"/>
      <c r="M108" s="59"/>
      <c r="N108" s="59"/>
      <c r="O108" s="59"/>
      <c r="P108" s="59"/>
      <c r="Q108" s="59"/>
      <c r="R108" s="59"/>
    </row>
    <row r="109">
      <c r="A109" s="66" t="s">
        <v>874</v>
      </c>
      <c r="B109" s="66">
        <v>40.0</v>
      </c>
      <c r="C109" s="66">
        <v>28.0</v>
      </c>
      <c r="D109" s="24" t="s">
        <v>875</v>
      </c>
      <c r="E109" s="24" t="s">
        <v>277</v>
      </c>
      <c r="F109" s="66" t="s">
        <v>876</v>
      </c>
      <c r="G109" s="66">
        <v>22.0</v>
      </c>
      <c r="H109" s="66">
        <v>4.0</v>
      </c>
      <c r="I109" s="66">
        <v>9.0</v>
      </c>
      <c r="J109" s="24" t="s">
        <v>48</v>
      </c>
      <c r="K109" s="67">
        <v>31618.0</v>
      </c>
      <c r="L109" s="59"/>
      <c r="M109" s="59"/>
      <c r="N109" s="59"/>
      <c r="O109" s="59"/>
      <c r="P109" s="59"/>
      <c r="Q109" s="59"/>
      <c r="R109" s="59"/>
    </row>
    <row r="110">
      <c r="A110" s="66" t="s">
        <v>877</v>
      </c>
      <c r="B110" s="66">
        <v>56.0</v>
      </c>
      <c r="C110" s="66">
        <v>15.0</v>
      </c>
      <c r="D110" s="24" t="s">
        <v>878</v>
      </c>
      <c r="E110" s="24" t="s">
        <v>534</v>
      </c>
      <c r="F110" s="66" t="s">
        <v>879</v>
      </c>
      <c r="G110" s="66">
        <v>22.0</v>
      </c>
      <c r="H110" s="66">
        <v>5.0</v>
      </c>
      <c r="I110" s="66">
        <v>2.0</v>
      </c>
      <c r="J110" s="24" t="s">
        <v>48</v>
      </c>
      <c r="K110" s="67">
        <v>92522.0</v>
      </c>
      <c r="L110" s="59"/>
      <c r="M110" s="59"/>
      <c r="N110" s="59"/>
      <c r="O110" s="59"/>
      <c r="P110" s="59"/>
      <c r="Q110" s="59"/>
      <c r="R110" s="59"/>
    </row>
    <row r="111">
      <c r="A111" s="66" t="s">
        <v>880</v>
      </c>
      <c r="B111" s="66">
        <v>81.0</v>
      </c>
      <c r="C111" s="66">
        <v>79.0</v>
      </c>
      <c r="D111" s="24" t="s">
        <v>881</v>
      </c>
      <c r="E111" s="24" t="s">
        <v>226</v>
      </c>
      <c r="F111" s="66" t="s">
        <v>882</v>
      </c>
      <c r="G111" s="66">
        <v>63.0</v>
      </c>
      <c r="H111" s="66">
        <v>5.0</v>
      </c>
      <c r="I111" s="66">
        <v>1.0</v>
      </c>
      <c r="J111" s="24" t="s">
        <v>33</v>
      </c>
      <c r="K111" s="67">
        <v>62614.0</v>
      </c>
      <c r="L111" s="59"/>
      <c r="M111" s="59"/>
      <c r="N111" s="59"/>
      <c r="O111" s="59"/>
      <c r="P111" s="59"/>
      <c r="Q111" s="59"/>
      <c r="R111" s="59"/>
    </row>
    <row r="112">
      <c r="A112" s="66" t="s">
        <v>883</v>
      </c>
      <c r="B112" s="66">
        <v>28.0</v>
      </c>
      <c r="C112" s="66">
        <v>53.0</v>
      </c>
      <c r="D112" s="24" t="s">
        <v>89</v>
      </c>
      <c r="E112" s="24" t="s">
        <v>884</v>
      </c>
      <c r="F112" s="66" t="s">
        <v>885</v>
      </c>
      <c r="G112" s="66">
        <v>22.0</v>
      </c>
      <c r="H112" s="66">
        <v>6.0</v>
      </c>
      <c r="I112" s="66">
        <v>4.0</v>
      </c>
      <c r="J112" s="24" t="s">
        <v>31</v>
      </c>
      <c r="K112" s="67">
        <v>20315.0</v>
      </c>
      <c r="L112" s="59"/>
      <c r="M112" s="59"/>
      <c r="N112" s="59"/>
      <c r="O112" s="59"/>
      <c r="P112" s="59"/>
      <c r="Q112" s="59"/>
      <c r="R112" s="59"/>
    </row>
    <row r="113">
      <c r="A113" s="66" t="s">
        <v>886</v>
      </c>
      <c r="B113" s="66">
        <v>57.0</v>
      </c>
      <c r="C113" s="66">
        <v>86.0</v>
      </c>
      <c r="D113" s="24" t="s">
        <v>887</v>
      </c>
      <c r="E113" s="24" t="s">
        <v>872</v>
      </c>
      <c r="F113" s="66" t="s">
        <v>888</v>
      </c>
      <c r="G113" s="66">
        <v>63.0</v>
      </c>
      <c r="H113" s="66">
        <v>6.0</v>
      </c>
      <c r="I113" s="66">
        <v>1.0</v>
      </c>
      <c r="J113" s="24" t="s">
        <v>48</v>
      </c>
      <c r="K113" s="67">
        <v>31019.0</v>
      </c>
      <c r="L113" s="59"/>
      <c r="M113" s="59"/>
      <c r="N113" s="59"/>
      <c r="O113" s="59"/>
      <c r="P113" s="59"/>
      <c r="Q113" s="59"/>
      <c r="R113" s="59"/>
    </row>
    <row r="114">
      <c r="A114" s="66" t="s">
        <v>889</v>
      </c>
      <c r="B114" s="66">
        <v>27.0</v>
      </c>
      <c r="C114" s="66">
        <v>90.0</v>
      </c>
      <c r="D114" s="24" t="s">
        <v>502</v>
      </c>
      <c r="E114" s="24" t="s">
        <v>233</v>
      </c>
      <c r="F114" s="66" t="s">
        <v>890</v>
      </c>
      <c r="G114" s="66">
        <v>63.0</v>
      </c>
      <c r="H114" s="66">
        <v>6.0</v>
      </c>
      <c r="I114" s="66">
        <v>6.0</v>
      </c>
      <c r="J114" s="24" t="s">
        <v>33</v>
      </c>
      <c r="K114" s="67">
        <v>72415.0</v>
      </c>
      <c r="L114" s="59"/>
      <c r="M114" s="59"/>
      <c r="N114" s="59"/>
      <c r="O114" s="59"/>
      <c r="P114" s="59"/>
      <c r="Q114" s="59"/>
      <c r="R114" s="59"/>
    </row>
    <row r="115">
      <c r="A115" s="66" t="s">
        <v>891</v>
      </c>
      <c r="B115" s="66">
        <v>61.0</v>
      </c>
      <c r="C115" s="66">
        <v>42.0</v>
      </c>
      <c r="D115" s="24" t="s">
        <v>141</v>
      </c>
      <c r="E115" s="24" t="s">
        <v>473</v>
      </c>
      <c r="F115" s="66" t="s">
        <v>892</v>
      </c>
      <c r="G115" s="66">
        <v>43.0</v>
      </c>
      <c r="H115" s="66">
        <v>1.0</v>
      </c>
      <c r="I115" s="66">
        <v>8.0</v>
      </c>
      <c r="J115" s="24" t="s">
        <v>39</v>
      </c>
      <c r="K115" s="67">
        <v>122618.0</v>
      </c>
      <c r="L115" s="59"/>
      <c r="M115" s="59"/>
      <c r="N115" s="59"/>
      <c r="O115" s="59"/>
      <c r="P115" s="59"/>
      <c r="Q115" s="59"/>
      <c r="R115" s="59"/>
    </row>
    <row r="116">
      <c r="A116" s="66" t="s">
        <v>893</v>
      </c>
      <c r="B116" s="66">
        <v>66.0</v>
      </c>
      <c r="C116" s="66">
        <v>56.0</v>
      </c>
      <c r="D116" s="24" t="s">
        <v>894</v>
      </c>
      <c r="E116" s="24" t="s">
        <v>222</v>
      </c>
      <c r="F116" s="66" t="s">
        <v>895</v>
      </c>
      <c r="G116" s="66">
        <v>84.0</v>
      </c>
      <c r="H116" s="66">
        <v>1.0</v>
      </c>
      <c r="I116" s="66">
        <v>7.0</v>
      </c>
      <c r="J116" s="24" t="s">
        <v>29</v>
      </c>
      <c r="K116" s="67">
        <v>32023.0</v>
      </c>
      <c r="L116" s="59"/>
      <c r="M116" s="59"/>
      <c r="N116" s="59"/>
      <c r="O116" s="59"/>
      <c r="P116" s="59"/>
      <c r="Q116" s="59"/>
      <c r="R116" s="59"/>
    </row>
    <row r="117">
      <c r="A117" s="66" t="s">
        <v>896</v>
      </c>
      <c r="B117" s="66">
        <v>91.0</v>
      </c>
      <c r="C117" s="66">
        <v>69.0</v>
      </c>
      <c r="D117" s="24" t="s">
        <v>344</v>
      </c>
      <c r="E117" s="24" t="s">
        <v>433</v>
      </c>
      <c r="F117" s="66" t="s">
        <v>897</v>
      </c>
      <c r="G117" s="66">
        <v>84.0</v>
      </c>
      <c r="H117" s="66">
        <v>1.0</v>
      </c>
      <c r="I117" s="66">
        <v>8.0</v>
      </c>
      <c r="J117" s="24" t="s">
        <v>33</v>
      </c>
      <c r="K117" s="67">
        <v>101623.0</v>
      </c>
      <c r="L117" s="59"/>
      <c r="M117" s="59"/>
      <c r="N117" s="59"/>
      <c r="O117" s="59"/>
      <c r="P117" s="59"/>
      <c r="Q117" s="59"/>
      <c r="R117" s="59"/>
    </row>
    <row r="118">
      <c r="A118" s="66" t="s">
        <v>898</v>
      </c>
      <c r="B118" s="66">
        <v>62.0</v>
      </c>
      <c r="C118" s="66">
        <v>99.0</v>
      </c>
      <c r="D118" s="24" t="s">
        <v>272</v>
      </c>
      <c r="E118" s="24" t="s">
        <v>180</v>
      </c>
      <c r="F118" s="66" t="s">
        <v>899</v>
      </c>
      <c r="G118" s="66">
        <v>84.0</v>
      </c>
      <c r="H118" s="66">
        <v>1.0</v>
      </c>
      <c r="I118" s="66">
        <v>9.0</v>
      </c>
      <c r="J118" s="24" t="s">
        <v>33</v>
      </c>
      <c r="K118" s="67">
        <v>91619.0</v>
      </c>
      <c r="L118" s="59"/>
      <c r="M118" s="59"/>
      <c r="N118" s="59"/>
      <c r="O118" s="59"/>
      <c r="P118" s="59"/>
      <c r="Q118" s="59"/>
      <c r="R118" s="59"/>
    </row>
    <row r="119">
      <c r="A119" s="66" t="s">
        <v>900</v>
      </c>
      <c r="B119" s="66">
        <v>62.0</v>
      </c>
      <c r="C119" s="66">
        <v>24.0</v>
      </c>
      <c r="D119" s="24" t="s">
        <v>118</v>
      </c>
      <c r="E119" s="24" t="s">
        <v>770</v>
      </c>
      <c r="F119" s="66" t="s">
        <v>901</v>
      </c>
      <c r="G119" s="66">
        <v>22.0</v>
      </c>
      <c r="H119" s="66">
        <v>7.0</v>
      </c>
      <c r="I119" s="66">
        <v>6.0</v>
      </c>
      <c r="J119" s="24" t="s">
        <v>29</v>
      </c>
      <c r="K119" s="67">
        <v>120614.0</v>
      </c>
      <c r="L119" s="59"/>
      <c r="M119" s="59"/>
      <c r="N119" s="59"/>
      <c r="O119" s="59"/>
      <c r="P119" s="59"/>
      <c r="Q119" s="59"/>
      <c r="R119" s="59"/>
    </row>
    <row r="120">
      <c r="A120" s="66" t="s">
        <v>902</v>
      </c>
      <c r="B120" s="66">
        <v>28.0</v>
      </c>
      <c r="C120" s="66">
        <v>92.0</v>
      </c>
      <c r="D120" s="24" t="s">
        <v>280</v>
      </c>
      <c r="E120" s="24" t="s">
        <v>321</v>
      </c>
      <c r="F120" s="66" t="s">
        <v>903</v>
      </c>
      <c r="G120" s="66">
        <v>22.0</v>
      </c>
      <c r="H120" s="66">
        <v>7.0</v>
      </c>
      <c r="I120" s="66">
        <v>7.0</v>
      </c>
      <c r="J120" s="24" t="s">
        <v>33</v>
      </c>
      <c r="K120" s="67">
        <v>22821.0</v>
      </c>
      <c r="L120" s="59"/>
      <c r="M120" s="59"/>
      <c r="N120" s="59"/>
      <c r="O120" s="59"/>
      <c r="P120" s="59"/>
      <c r="Q120" s="59"/>
      <c r="R120" s="59"/>
    </row>
    <row r="121">
      <c r="A121" s="66" t="s">
        <v>904</v>
      </c>
      <c r="B121" s="66">
        <v>86.0</v>
      </c>
      <c r="C121" s="66">
        <v>94.0</v>
      </c>
      <c r="D121" s="24" t="s">
        <v>397</v>
      </c>
      <c r="E121" s="24" t="s">
        <v>246</v>
      </c>
      <c r="F121" s="66" t="s">
        <v>905</v>
      </c>
      <c r="G121" s="66">
        <v>43.0</v>
      </c>
      <c r="H121" s="66">
        <v>2.0</v>
      </c>
      <c r="I121" s="66">
        <v>3.0</v>
      </c>
      <c r="J121" s="24" t="s">
        <v>33</v>
      </c>
      <c r="K121" s="67">
        <v>32218.0</v>
      </c>
      <c r="L121" s="59"/>
      <c r="M121" s="59"/>
      <c r="N121" s="59"/>
      <c r="O121" s="59"/>
      <c r="P121" s="59"/>
      <c r="Q121" s="59"/>
      <c r="R121" s="59"/>
    </row>
    <row r="122">
      <c r="A122" s="66" t="s">
        <v>906</v>
      </c>
      <c r="B122" s="66">
        <v>24.0</v>
      </c>
      <c r="C122" s="66">
        <v>19.0</v>
      </c>
      <c r="D122" s="24" t="s">
        <v>907</v>
      </c>
      <c r="E122" s="24" t="s">
        <v>461</v>
      </c>
      <c r="F122" s="66" t="s">
        <v>908</v>
      </c>
      <c r="G122" s="66">
        <v>81.0</v>
      </c>
      <c r="H122" s="66">
        <v>8.0</v>
      </c>
      <c r="I122" s="66">
        <v>7.0</v>
      </c>
      <c r="J122" s="24" t="s">
        <v>39</v>
      </c>
      <c r="K122" s="67">
        <v>60715.0</v>
      </c>
      <c r="L122" s="59"/>
      <c r="M122" s="59"/>
      <c r="N122" s="59"/>
      <c r="O122" s="59"/>
      <c r="P122" s="59"/>
      <c r="Q122" s="59"/>
      <c r="R122" s="59"/>
    </row>
    <row r="123">
      <c r="A123" s="66" t="s">
        <v>909</v>
      </c>
      <c r="B123" s="66">
        <v>61.0</v>
      </c>
      <c r="C123" s="66">
        <v>26.0</v>
      </c>
      <c r="D123" s="24" t="s">
        <v>274</v>
      </c>
      <c r="E123" s="24" t="s">
        <v>250</v>
      </c>
      <c r="F123" s="66" t="s">
        <v>910</v>
      </c>
      <c r="G123" s="66">
        <v>63.0</v>
      </c>
      <c r="H123" s="66">
        <v>8.0</v>
      </c>
      <c r="I123" s="66">
        <v>2.0</v>
      </c>
      <c r="J123" s="24" t="s">
        <v>39</v>
      </c>
      <c r="K123" s="67">
        <v>71617.0</v>
      </c>
      <c r="L123" s="59"/>
      <c r="M123" s="59"/>
      <c r="N123" s="59"/>
      <c r="O123" s="59"/>
      <c r="P123" s="59"/>
      <c r="Q123" s="59"/>
      <c r="R123" s="59"/>
    </row>
    <row r="124">
      <c r="A124" s="66" t="s">
        <v>911</v>
      </c>
      <c r="B124" s="66">
        <v>64.0</v>
      </c>
      <c r="C124" s="66">
        <v>48.0</v>
      </c>
      <c r="D124" s="24" t="s">
        <v>912</v>
      </c>
      <c r="E124" s="24" t="s">
        <v>913</v>
      </c>
      <c r="F124" s="66" t="s">
        <v>914</v>
      </c>
      <c r="G124" s="66">
        <v>43.0</v>
      </c>
      <c r="H124" s="66">
        <v>3.0</v>
      </c>
      <c r="I124" s="66">
        <v>6.0</v>
      </c>
      <c r="J124" s="24" t="s">
        <v>29</v>
      </c>
      <c r="K124" s="67">
        <v>52916.0</v>
      </c>
      <c r="L124" s="59"/>
      <c r="M124" s="59"/>
      <c r="N124" s="59"/>
      <c r="O124" s="59"/>
      <c r="P124" s="59"/>
      <c r="Q124" s="59"/>
      <c r="R124" s="59"/>
    </row>
    <row r="125">
      <c r="A125" s="66" t="s">
        <v>915</v>
      </c>
      <c r="B125" s="66">
        <v>57.0</v>
      </c>
      <c r="C125" s="66">
        <v>31.0</v>
      </c>
      <c r="D125" s="24" t="s">
        <v>260</v>
      </c>
      <c r="E125" s="24" t="s">
        <v>195</v>
      </c>
      <c r="F125" s="66" t="s">
        <v>916</v>
      </c>
      <c r="G125" s="66">
        <v>22.0</v>
      </c>
      <c r="H125" s="66">
        <v>9.0</v>
      </c>
      <c r="I125" s="66">
        <v>2.0</v>
      </c>
      <c r="J125" s="24" t="s">
        <v>48</v>
      </c>
      <c r="K125" s="67">
        <v>92521.0</v>
      </c>
      <c r="L125" s="59"/>
      <c r="M125" s="59"/>
      <c r="N125" s="59"/>
      <c r="O125" s="59"/>
      <c r="P125" s="59"/>
      <c r="Q125" s="59"/>
      <c r="R125" s="59"/>
    </row>
    <row r="126">
      <c r="A126" s="66" t="s">
        <v>917</v>
      </c>
      <c r="B126" s="66">
        <v>14.0</v>
      </c>
      <c r="C126" s="66">
        <v>13.0</v>
      </c>
      <c r="D126" s="24" t="s">
        <v>366</v>
      </c>
      <c r="E126" s="24" t="s">
        <v>352</v>
      </c>
      <c r="F126" s="66" t="s">
        <v>918</v>
      </c>
      <c r="G126" s="66">
        <v>43.0</v>
      </c>
      <c r="H126" s="66">
        <v>4.0</v>
      </c>
      <c r="I126" s="66">
        <v>2.0</v>
      </c>
      <c r="J126" s="24" t="s">
        <v>48</v>
      </c>
      <c r="K126" s="67">
        <v>101415.0</v>
      </c>
      <c r="L126" s="59"/>
      <c r="M126" s="59"/>
      <c r="N126" s="59"/>
      <c r="O126" s="59"/>
      <c r="P126" s="59"/>
      <c r="Q126" s="59"/>
      <c r="R126" s="59"/>
    </row>
    <row r="127">
      <c r="A127" s="66" t="s">
        <v>919</v>
      </c>
      <c r="B127" s="66">
        <v>40.0</v>
      </c>
      <c r="C127" s="66">
        <v>72.0</v>
      </c>
      <c r="D127" s="24" t="s">
        <v>237</v>
      </c>
      <c r="E127" s="24" t="s">
        <v>457</v>
      </c>
      <c r="F127" s="66" t="s">
        <v>920</v>
      </c>
      <c r="G127" s="66">
        <v>84.0</v>
      </c>
      <c r="H127" s="66">
        <v>4.0</v>
      </c>
      <c r="I127" s="66">
        <v>1.0</v>
      </c>
      <c r="J127" s="24" t="s">
        <v>48</v>
      </c>
      <c r="K127" s="67">
        <v>31317.0</v>
      </c>
      <c r="L127" s="59"/>
      <c r="M127" s="59"/>
      <c r="N127" s="59"/>
      <c r="O127" s="59"/>
      <c r="P127" s="59"/>
      <c r="Q127" s="59"/>
      <c r="R127" s="59"/>
    </row>
    <row r="128">
      <c r="A128" s="66" t="s">
        <v>921</v>
      </c>
      <c r="B128" s="66">
        <v>21.0</v>
      </c>
      <c r="C128" s="66">
        <v>37.0</v>
      </c>
      <c r="D128" s="24" t="s">
        <v>686</v>
      </c>
      <c r="E128" s="24" t="s">
        <v>374</v>
      </c>
      <c r="F128" s="66" t="s">
        <v>922</v>
      </c>
      <c r="G128" s="66">
        <v>63.0</v>
      </c>
      <c r="H128" s="66">
        <v>9.0</v>
      </c>
      <c r="I128" s="66">
        <v>5.0</v>
      </c>
      <c r="J128" s="24" t="s">
        <v>48</v>
      </c>
      <c r="K128" s="67">
        <v>60420.0</v>
      </c>
      <c r="L128" s="59"/>
      <c r="M128" s="59"/>
      <c r="N128" s="59"/>
      <c r="O128" s="59"/>
      <c r="P128" s="59"/>
      <c r="Q128" s="59"/>
      <c r="R128" s="59"/>
    </row>
    <row r="129">
      <c r="A129" s="66" t="s">
        <v>923</v>
      </c>
      <c r="B129" s="66">
        <v>28.0</v>
      </c>
      <c r="C129" s="66">
        <v>58.0</v>
      </c>
      <c r="D129" s="24" t="s">
        <v>924</v>
      </c>
      <c r="E129" s="24" t="s">
        <v>345</v>
      </c>
      <c r="F129" s="66" t="s">
        <v>925</v>
      </c>
      <c r="G129" s="66">
        <v>43.0</v>
      </c>
      <c r="H129" s="66">
        <v>4.0</v>
      </c>
      <c r="I129" s="66">
        <v>8.0</v>
      </c>
      <c r="J129" s="24" t="s">
        <v>29</v>
      </c>
      <c r="K129" s="67">
        <v>21421.0</v>
      </c>
      <c r="L129" s="59"/>
      <c r="M129" s="59"/>
      <c r="N129" s="59"/>
      <c r="O129" s="59"/>
      <c r="P129" s="59"/>
      <c r="Q129" s="59"/>
      <c r="R129" s="59"/>
    </row>
    <row r="130">
      <c r="A130" s="66" t="s">
        <v>926</v>
      </c>
      <c r="B130" s="66">
        <v>52.0</v>
      </c>
      <c r="C130" s="66">
        <v>96.0</v>
      </c>
      <c r="D130" s="24" t="s">
        <v>927</v>
      </c>
      <c r="E130" s="24" t="s">
        <v>928</v>
      </c>
      <c r="F130" s="66" t="s">
        <v>929</v>
      </c>
      <c r="G130" s="66">
        <v>43.0</v>
      </c>
      <c r="H130" s="66">
        <v>4.0</v>
      </c>
      <c r="I130" s="66">
        <v>9.0</v>
      </c>
      <c r="J130" s="24" t="s">
        <v>33</v>
      </c>
      <c r="K130" s="67">
        <v>22213.0</v>
      </c>
      <c r="L130" s="59"/>
      <c r="M130" s="59"/>
      <c r="N130" s="59"/>
      <c r="O130" s="59"/>
      <c r="P130" s="59"/>
      <c r="Q130" s="59"/>
      <c r="R130" s="59"/>
    </row>
    <row r="131">
      <c r="A131" s="66" t="s">
        <v>930</v>
      </c>
      <c r="B131" s="66">
        <v>72.0</v>
      </c>
      <c r="C131" s="66">
        <v>59.0</v>
      </c>
      <c r="D131" s="24" t="s">
        <v>170</v>
      </c>
      <c r="E131" s="24" t="s">
        <v>522</v>
      </c>
      <c r="F131" s="66" t="s">
        <v>931</v>
      </c>
      <c r="G131" s="66">
        <v>84.0</v>
      </c>
      <c r="H131" s="66">
        <v>4.0</v>
      </c>
      <c r="I131" s="66">
        <v>5.0</v>
      </c>
      <c r="J131" s="24" t="s">
        <v>33</v>
      </c>
      <c r="K131" s="67">
        <v>41315.0</v>
      </c>
      <c r="L131" s="59"/>
      <c r="M131" s="59"/>
      <c r="N131" s="59"/>
      <c r="O131" s="59"/>
      <c r="P131" s="59"/>
      <c r="Q131" s="59"/>
      <c r="R131" s="59"/>
    </row>
    <row r="132">
      <c r="A132" s="66" t="s">
        <v>932</v>
      </c>
      <c r="B132" s="66">
        <v>64.0</v>
      </c>
      <c r="C132" s="66">
        <v>42.0</v>
      </c>
      <c r="D132" s="24" t="s">
        <v>67</v>
      </c>
      <c r="E132" s="24" t="s">
        <v>933</v>
      </c>
      <c r="F132" s="66" t="s">
        <v>934</v>
      </c>
      <c r="G132" s="66">
        <v>63.0</v>
      </c>
      <c r="H132" s="66">
        <v>9.0</v>
      </c>
      <c r="I132" s="66">
        <v>8.0</v>
      </c>
      <c r="J132" s="24" t="s">
        <v>48</v>
      </c>
      <c r="K132" s="67">
        <v>53023.0</v>
      </c>
      <c r="L132" s="59"/>
      <c r="M132" s="59"/>
      <c r="N132" s="59"/>
      <c r="O132" s="59"/>
      <c r="P132" s="59"/>
      <c r="Q132" s="59"/>
      <c r="R132" s="59"/>
    </row>
    <row r="133">
      <c r="A133" s="66" t="s">
        <v>935</v>
      </c>
      <c r="B133" s="66">
        <v>59.0</v>
      </c>
      <c r="C133" s="66">
        <v>50.0</v>
      </c>
      <c r="D133" s="24" t="s">
        <v>430</v>
      </c>
      <c r="E133" s="24" t="s">
        <v>42</v>
      </c>
      <c r="F133" s="66" t="s">
        <v>936</v>
      </c>
      <c r="G133" s="66">
        <v>43.0</v>
      </c>
      <c r="H133" s="66">
        <v>5.0</v>
      </c>
      <c r="I133" s="66">
        <v>1.0</v>
      </c>
      <c r="J133" s="24" t="s">
        <v>29</v>
      </c>
      <c r="K133" s="67">
        <v>11020.0</v>
      </c>
      <c r="L133" s="59"/>
      <c r="M133" s="59"/>
      <c r="N133" s="59"/>
      <c r="O133" s="59"/>
      <c r="P133" s="59"/>
      <c r="Q133" s="59"/>
      <c r="R133" s="59"/>
    </row>
    <row r="134">
      <c r="A134" s="66" t="s">
        <v>937</v>
      </c>
      <c r="B134" s="66">
        <v>29.0</v>
      </c>
      <c r="C134" s="66">
        <v>84.0</v>
      </c>
      <c r="D134" s="24" t="s">
        <v>257</v>
      </c>
      <c r="E134" s="24" t="s">
        <v>252</v>
      </c>
      <c r="F134" s="66" t="s">
        <v>938</v>
      </c>
      <c r="G134" s="66">
        <v>63.0</v>
      </c>
      <c r="H134" s="66">
        <v>9.0</v>
      </c>
      <c r="I134" s="66">
        <v>6.0</v>
      </c>
      <c r="J134" s="24" t="s">
        <v>29</v>
      </c>
      <c r="K134" s="67">
        <v>101117.0</v>
      </c>
      <c r="L134" s="59"/>
      <c r="M134" s="59"/>
      <c r="N134" s="59"/>
      <c r="O134" s="59"/>
      <c r="P134" s="59"/>
      <c r="Q134" s="59"/>
      <c r="R134" s="59"/>
    </row>
    <row r="135">
      <c r="A135" s="66" t="s">
        <v>939</v>
      </c>
      <c r="B135" s="66">
        <v>18.0</v>
      </c>
      <c r="C135" s="66">
        <v>13.0</v>
      </c>
      <c r="D135" s="24" t="s">
        <v>425</v>
      </c>
      <c r="E135" s="24" t="s">
        <v>402</v>
      </c>
      <c r="F135" s="66" t="s">
        <v>940</v>
      </c>
      <c r="G135" s="66">
        <v>84.0</v>
      </c>
      <c r="H135" s="66">
        <v>4.0</v>
      </c>
      <c r="I135" s="66">
        <v>9.0</v>
      </c>
      <c r="J135" s="24" t="s">
        <v>39</v>
      </c>
      <c r="K135" s="67">
        <v>101321.0</v>
      </c>
      <c r="L135" s="59"/>
      <c r="M135" s="59"/>
      <c r="N135" s="59"/>
      <c r="O135" s="59"/>
      <c r="P135" s="59"/>
      <c r="Q135" s="59"/>
      <c r="R135" s="59"/>
    </row>
    <row r="136">
      <c r="A136" s="66" t="s">
        <v>941</v>
      </c>
      <c r="B136" s="66">
        <v>42.0</v>
      </c>
      <c r="C136" s="66">
        <v>70.0</v>
      </c>
      <c r="D136" s="24" t="s">
        <v>155</v>
      </c>
      <c r="E136" s="24" t="s">
        <v>273</v>
      </c>
      <c r="F136" s="66" t="s">
        <v>942</v>
      </c>
      <c r="G136" s="66">
        <v>84.0</v>
      </c>
      <c r="H136" s="66">
        <v>5.0</v>
      </c>
      <c r="I136" s="66">
        <v>3.0</v>
      </c>
      <c r="J136" s="24" t="s">
        <v>48</v>
      </c>
      <c r="K136" s="67">
        <v>110119.0</v>
      </c>
      <c r="L136" s="59"/>
      <c r="M136" s="59"/>
      <c r="N136" s="59"/>
      <c r="O136" s="59"/>
      <c r="P136" s="59"/>
      <c r="Q136" s="59"/>
      <c r="R136" s="59"/>
    </row>
    <row r="137">
      <c r="A137" s="66" t="s">
        <v>943</v>
      </c>
      <c r="B137" s="66">
        <v>36.0</v>
      </c>
      <c r="C137" s="66">
        <v>36.0</v>
      </c>
      <c r="D137" s="24" t="s">
        <v>130</v>
      </c>
      <c r="E137" s="24" t="s">
        <v>126</v>
      </c>
      <c r="F137" s="66" t="s">
        <v>944</v>
      </c>
      <c r="G137" s="66">
        <v>23.0</v>
      </c>
      <c r="H137" s="66">
        <v>1.0</v>
      </c>
      <c r="I137" s="66">
        <v>3.0</v>
      </c>
      <c r="J137" s="24" t="s">
        <v>33</v>
      </c>
      <c r="K137" s="67">
        <v>60622.0</v>
      </c>
      <c r="L137" s="59"/>
      <c r="M137" s="59"/>
      <c r="N137" s="59"/>
      <c r="O137" s="59"/>
      <c r="P137" s="59"/>
      <c r="Q137" s="59"/>
      <c r="R137" s="59"/>
    </row>
    <row r="138">
      <c r="A138" s="66" t="s">
        <v>945</v>
      </c>
      <c r="B138" s="66">
        <v>75.0</v>
      </c>
      <c r="C138" s="66">
        <v>33.0</v>
      </c>
      <c r="D138" s="24" t="s">
        <v>304</v>
      </c>
      <c r="E138" s="24" t="s">
        <v>794</v>
      </c>
      <c r="F138" s="66" t="s">
        <v>946</v>
      </c>
      <c r="G138" s="66">
        <v>84.0</v>
      </c>
      <c r="H138" s="66">
        <v>5.0</v>
      </c>
      <c r="I138" s="66">
        <v>8.0</v>
      </c>
      <c r="J138" s="24" t="s">
        <v>39</v>
      </c>
      <c r="K138" s="67">
        <v>112415.0</v>
      </c>
      <c r="L138" s="59"/>
      <c r="M138" s="59"/>
      <c r="N138" s="59"/>
      <c r="O138" s="59"/>
      <c r="P138" s="59"/>
      <c r="Q138" s="59"/>
      <c r="R138" s="59"/>
    </row>
    <row r="139">
      <c r="A139" s="66" t="s">
        <v>947</v>
      </c>
      <c r="B139" s="66">
        <v>29.0</v>
      </c>
      <c r="C139" s="66">
        <v>74.0</v>
      </c>
      <c r="D139" s="24" t="s">
        <v>948</v>
      </c>
      <c r="E139" s="24" t="s">
        <v>242</v>
      </c>
      <c r="F139" s="66" t="s">
        <v>949</v>
      </c>
      <c r="G139" s="66">
        <v>23.0</v>
      </c>
      <c r="H139" s="66">
        <v>1.0</v>
      </c>
      <c r="I139" s="66">
        <v>5.0</v>
      </c>
      <c r="J139" s="24" t="s">
        <v>29</v>
      </c>
      <c r="K139" s="67">
        <v>91217.0</v>
      </c>
      <c r="L139" s="59"/>
      <c r="M139" s="59"/>
      <c r="N139" s="59"/>
      <c r="O139" s="59"/>
      <c r="P139" s="59"/>
      <c r="Q139" s="59"/>
      <c r="R139" s="59"/>
    </row>
    <row r="140">
      <c r="A140" s="66" t="s">
        <v>950</v>
      </c>
      <c r="B140" s="66">
        <v>71.0</v>
      </c>
      <c r="C140" s="66">
        <v>55.0</v>
      </c>
      <c r="D140" s="24" t="s">
        <v>111</v>
      </c>
      <c r="E140" s="24" t="s">
        <v>350</v>
      </c>
      <c r="F140" s="66" t="s">
        <v>951</v>
      </c>
      <c r="G140" s="66">
        <v>43.0</v>
      </c>
      <c r="H140" s="66">
        <v>6.0</v>
      </c>
      <c r="I140" s="66">
        <v>4.0</v>
      </c>
      <c r="J140" s="24" t="s">
        <v>48</v>
      </c>
      <c r="K140" s="67">
        <v>121518.0</v>
      </c>
      <c r="L140" s="59"/>
      <c r="M140" s="59"/>
      <c r="N140" s="59"/>
      <c r="O140" s="59"/>
      <c r="P140" s="59"/>
      <c r="Q140" s="59"/>
      <c r="R140" s="59"/>
    </row>
    <row r="141">
      <c r="A141" s="66" t="s">
        <v>952</v>
      </c>
      <c r="B141" s="66">
        <v>80.0</v>
      </c>
      <c r="C141" s="66">
        <v>43.0</v>
      </c>
      <c r="D141" s="24" t="s">
        <v>380</v>
      </c>
      <c r="E141" s="24" t="s">
        <v>481</v>
      </c>
      <c r="F141" s="66" t="s">
        <v>953</v>
      </c>
      <c r="G141" s="66">
        <v>64.0</v>
      </c>
      <c r="H141" s="66">
        <v>1.0</v>
      </c>
      <c r="I141" s="66">
        <v>4.0</v>
      </c>
      <c r="J141" s="24" t="s">
        <v>39</v>
      </c>
      <c r="K141" s="67">
        <v>112613.0</v>
      </c>
      <c r="L141" s="59"/>
      <c r="M141" s="59"/>
      <c r="N141" s="59"/>
      <c r="O141" s="59"/>
      <c r="P141" s="59"/>
      <c r="Q141" s="59"/>
      <c r="R141" s="59"/>
    </row>
    <row r="142">
      <c r="A142" s="66" t="s">
        <v>954</v>
      </c>
      <c r="B142" s="66">
        <v>69.0</v>
      </c>
      <c r="C142" s="66">
        <v>45.0</v>
      </c>
      <c r="D142" s="24" t="s">
        <v>138</v>
      </c>
      <c r="E142" s="24" t="s">
        <v>734</v>
      </c>
      <c r="F142" s="66" t="s">
        <v>955</v>
      </c>
      <c r="G142" s="66">
        <v>64.0</v>
      </c>
      <c r="H142" s="66">
        <v>1.0</v>
      </c>
      <c r="I142" s="66">
        <v>5.0</v>
      </c>
      <c r="J142" s="24" t="s">
        <v>48</v>
      </c>
      <c r="K142" s="67">
        <v>63021.0</v>
      </c>
      <c r="L142" s="59"/>
      <c r="M142" s="59"/>
      <c r="N142" s="59"/>
      <c r="O142" s="59"/>
      <c r="P142" s="59"/>
      <c r="Q142" s="59"/>
      <c r="R142" s="59"/>
    </row>
    <row r="143">
      <c r="A143" s="66" t="s">
        <v>956</v>
      </c>
      <c r="B143" s="66">
        <v>33.0</v>
      </c>
      <c r="C143" s="66">
        <v>64.0</v>
      </c>
      <c r="D143" s="24" t="s">
        <v>461</v>
      </c>
      <c r="E143" s="24" t="s">
        <v>65</v>
      </c>
      <c r="F143" s="66" t="s">
        <v>957</v>
      </c>
      <c r="G143" s="66">
        <v>64.0</v>
      </c>
      <c r="H143" s="66">
        <v>1.0</v>
      </c>
      <c r="I143" s="66">
        <v>7.0</v>
      </c>
      <c r="J143" s="24" t="s">
        <v>29</v>
      </c>
      <c r="K143" s="67">
        <v>40322.0</v>
      </c>
      <c r="L143" s="59"/>
      <c r="M143" s="59"/>
      <c r="N143" s="59"/>
      <c r="O143" s="59"/>
      <c r="P143" s="59"/>
      <c r="Q143" s="59"/>
      <c r="R143" s="59"/>
    </row>
    <row r="144">
      <c r="A144" s="66" t="s">
        <v>958</v>
      </c>
      <c r="B144" s="66">
        <v>23.0</v>
      </c>
      <c r="C144" s="66">
        <v>49.0</v>
      </c>
      <c r="D144" s="24" t="s">
        <v>92</v>
      </c>
      <c r="E144" s="24" t="s">
        <v>356</v>
      </c>
      <c r="F144" s="66" t="s">
        <v>959</v>
      </c>
      <c r="G144" s="66">
        <v>43.0</v>
      </c>
      <c r="H144" s="66">
        <v>7.0</v>
      </c>
      <c r="I144" s="66">
        <v>1.0</v>
      </c>
      <c r="J144" s="24" t="s">
        <v>39</v>
      </c>
      <c r="K144" s="67">
        <v>90619.0</v>
      </c>
      <c r="L144" s="59"/>
      <c r="M144" s="59"/>
      <c r="N144" s="59"/>
      <c r="O144" s="59"/>
      <c r="P144" s="59"/>
      <c r="Q144" s="59"/>
      <c r="R144" s="59"/>
    </row>
    <row r="145">
      <c r="A145" s="66" t="s">
        <v>960</v>
      </c>
      <c r="B145" s="66">
        <v>50.0</v>
      </c>
      <c r="C145" s="66">
        <v>23.0</v>
      </c>
      <c r="D145" s="24" t="s">
        <v>109</v>
      </c>
      <c r="E145" s="24" t="s">
        <v>264</v>
      </c>
      <c r="F145" s="66" t="s">
        <v>961</v>
      </c>
      <c r="G145" s="66">
        <v>64.0</v>
      </c>
      <c r="H145" s="66">
        <v>2.0</v>
      </c>
      <c r="I145" s="66">
        <v>1.0</v>
      </c>
      <c r="J145" s="24" t="s">
        <v>31</v>
      </c>
      <c r="K145" s="67">
        <v>120613.0</v>
      </c>
      <c r="L145" s="59"/>
      <c r="M145" s="59"/>
      <c r="N145" s="59"/>
      <c r="O145" s="59"/>
      <c r="P145" s="59"/>
      <c r="Q145" s="59"/>
      <c r="R145" s="59"/>
    </row>
    <row r="146">
      <c r="A146" s="66" t="s">
        <v>962</v>
      </c>
      <c r="B146" s="66">
        <v>25.0</v>
      </c>
      <c r="C146" s="66">
        <v>37.0</v>
      </c>
      <c r="D146" s="24" t="s">
        <v>488</v>
      </c>
      <c r="E146" s="24" t="s">
        <v>461</v>
      </c>
      <c r="F146" s="66" t="s">
        <v>963</v>
      </c>
      <c r="G146" s="66">
        <v>64.0</v>
      </c>
      <c r="H146" s="66">
        <v>2.0</v>
      </c>
      <c r="I146" s="66">
        <v>2.0</v>
      </c>
      <c r="J146" s="24" t="s">
        <v>29</v>
      </c>
      <c r="K146" s="67">
        <v>122622.0</v>
      </c>
      <c r="L146" s="59"/>
      <c r="M146" s="59"/>
      <c r="N146" s="59"/>
      <c r="O146" s="59"/>
      <c r="P146" s="59"/>
      <c r="Q146" s="59"/>
      <c r="R146" s="59"/>
    </row>
    <row r="147">
      <c r="A147" s="66" t="s">
        <v>964</v>
      </c>
      <c r="B147" s="66">
        <v>51.0</v>
      </c>
      <c r="C147" s="66">
        <v>51.0</v>
      </c>
      <c r="D147" s="24" t="s">
        <v>441</v>
      </c>
      <c r="E147" s="24" t="s">
        <v>371</v>
      </c>
      <c r="F147" s="66" t="s">
        <v>965</v>
      </c>
      <c r="G147" s="66">
        <v>43.0</v>
      </c>
      <c r="H147" s="66">
        <v>7.0</v>
      </c>
      <c r="I147" s="66">
        <v>5.0</v>
      </c>
      <c r="J147" s="24" t="s">
        <v>33</v>
      </c>
      <c r="K147" s="67">
        <v>11521.0</v>
      </c>
      <c r="L147" s="59"/>
      <c r="M147" s="59"/>
      <c r="N147" s="59"/>
      <c r="O147" s="59"/>
      <c r="P147" s="59"/>
      <c r="Q147" s="59"/>
      <c r="R147" s="59"/>
    </row>
    <row r="148">
      <c r="A148" s="66" t="s">
        <v>966</v>
      </c>
      <c r="B148" s="66">
        <v>94.0</v>
      </c>
      <c r="C148" s="66">
        <v>89.0</v>
      </c>
      <c r="D148" s="24" t="s">
        <v>395</v>
      </c>
      <c r="E148" s="24" t="s">
        <v>139</v>
      </c>
      <c r="F148" s="66" t="s">
        <v>967</v>
      </c>
      <c r="G148" s="66">
        <v>64.0</v>
      </c>
      <c r="H148" s="66">
        <v>2.0</v>
      </c>
      <c r="I148" s="66">
        <v>6.0</v>
      </c>
      <c r="J148" s="24" t="s">
        <v>48</v>
      </c>
      <c r="K148" s="67">
        <v>11220.0</v>
      </c>
      <c r="L148" s="59"/>
      <c r="M148" s="59"/>
      <c r="N148" s="59"/>
      <c r="O148" s="59"/>
      <c r="P148" s="59"/>
      <c r="Q148" s="59"/>
      <c r="R148" s="59"/>
    </row>
    <row r="149">
      <c r="A149" s="66" t="s">
        <v>968</v>
      </c>
      <c r="B149" s="66">
        <v>93.0</v>
      </c>
      <c r="C149" s="66">
        <v>86.0</v>
      </c>
      <c r="D149" s="24" t="s">
        <v>969</v>
      </c>
      <c r="E149" s="24" t="s">
        <v>242</v>
      </c>
      <c r="F149" s="66" t="s">
        <v>970</v>
      </c>
      <c r="G149" s="66">
        <v>23.0</v>
      </c>
      <c r="H149" s="66">
        <v>3.0</v>
      </c>
      <c r="I149" s="66">
        <v>2.0</v>
      </c>
      <c r="J149" s="24" t="s">
        <v>39</v>
      </c>
      <c r="K149" s="67">
        <v>120214.0</v>
      </c>
      <c r="L149" s="59"/>
      <c r="M149" s="59"/>
      <c r="N149" s="59"/>
      <c r="O149" s="59"/>
      <c r="P149" s="59"/>
      <c r="Q149" s="59"/>
      <c r="R149" s="59"/>
    </row>
    <row r="150">
      <c r="A150" s="66" t="s">
        <v>971</v>
      </c>
      <c r="B150" s="66">
        <v>56.0</v>
      </c>
      <c r="C150" s="66">
        <v>90.0</v>
      </c>
      <c r="D150" s="24" t="s">
        <v>878</v>
      </c>
      <c r="E150" s="24" t="s">
        <v>58</v>
      </c>
      <c r="F150" s="66" t="s">
        <v>972</v>
      </c>
      <c r="G150" s="66">
        <v>84.0</v>
      </c>
      <c r="H150" s="66">
        <v>7.0</v>
      </c>
      <c r="I150" s="66">
        <v>7.0</v>
      </c>
      <c r="J150" s="24" t="s">
        <v>29</v>
      </c>
      <c r="K150" s="67">
        <v>100816.0</v>
      </c>
      <c r="L150" s="59"/>
      <c r="M150" s="59"/>
      <c r="N150" s="59"/>
      <c r="O150" s="59"/>
      <c r="P150" s="59"/>
      <c r="Q150" s="59"/>
      <c r="R150" s="59"/>
    </row>
    <row r="151">
      <c r="A151" s="66" t="s">
        <v>973</v>
      </c>
      <c r="B151" s="66">
        <v>17.0</v>
      </c>
      <c r="C151" s="66">
        <v>74.0</v>
      </c>
      <c r="D151" s="24" t="s">
        <v>311</v>
      </c>
      <c r="E151" s="24" t="s">
        <v>44</v>
      </c>
      <c r="F151" s="66" t="s">
        <v>974</v>
      </c>
      <c r="G151" s="66">
        <v>23.0</v>
      </c>
      <c r="H151" s="66">
        <v>3.0</v>
      </c>
      <c r="I151" s="66">
        <v>6.0</v>
      </c>
      <c r="J151" s="24" t="s">
        <v>39</v>
      </c>
      <c r="K151" s="67">
        <v>72918.0</v>
      </c>
      <c r="L151" s="59"/>
      <c r="M151" s="59"/>
      <c r="N151" s="59"/>
      <c r="O151" s="59"/>
      <c r="P151" s="59"/>
      <c r="Q151" s="59"/>
      <c r="R151" s="59"/>
    </row>
    <row r="152">
      <c r="A152" s="66" t="s">
        <v>975</v>
      </c>
      <c r="B152" s="66">
        <v>90.0</v>
      </c>
      <c r="C152" s="66">
        <v>21.0</v>
      </c>
      <c r="D152" s="24" t="s">
        <v>976</v>
      </c>
      <c r="E152" s="24" t="s">
        <v>415</v>
      </c>
      <c r="F152" s="66" t="s">
        <v>977</v>
      </c>
      <c r="G152" s="66">
        <v>43.0</v>
      </c>
      <c r="H152" s="66">
        <v>8.0</v>
      </c>
      <c r="I152" s="66">
        <v>6.0</v>
      </c>
      <c r="J152" s="24" t="s">
        <v>48</v>
      </c>
      <c r="K152" s="67">
        <v>33120.0</v>
      </c>
      <c r="L152" s="59"/>
      <c r="M152" s="59"/>
      <c r="N152" s="59"/>
      <c r="O152" s="59"/>
      <c r="P152" s="59"/>
      <c r="Q152" s="59"/>
      <c r="R152" s="59"/>
    </row>
    <row r="153">
      <c r="A153" s="66" t="s">
        <v>978</v>
      </c>
      <c r="B153" s="66">
        <v>72.0</v>
      </c>
      <c r="C153" s="66">
        <v>37.0</v>
      </c>
      <c r="D153" s="24" t="s">
        <v>979</v>
      </c>
      <c r="E153" s="24" t="s">
        <v>980</v>
      </c>
      <c r="F153" s="66" t="s">
        <v>981</v>
      </c>
      <c r="G153" s="66">
        <v>23.0</v>
      </c>
      <c r="H153" s="66">
        <v>3.0</v>
      </c>
      <c r="I153" s="66">
        <v>9.0</v>
      </c>
      <c r="J153" s="24" t="s">
        <v>31</v>
      </c>
      <c r="K153" s="67">
        <v>22622.0</v>
      </c>
      <c r="L153" s="59"/>
      <c r="M153" s="59"/>
      <c r="N153" s="59"/>
      <c r="O153" s="59"/>
      <c r="P153" s="59"/>
      <c r="Q153" s="59"/>
      <c r="R153" s="59"/>
    </row>
    <row r="154">
      <c r="A154" s="66" t="s">
        <v>982</v>
      </c>
      <c r="B154" s="66">
        <v>39.0</v>
      </c>
      <c r="C154" s="66">
        <v>18.0</v>
      </c>
      <c r="D154" s="24" t="s">
        <v>411</v>
      </c>
      <c r="E154" s="24" t="s">
        <v>412</v>
      </c>
      <c r="F154" s="66" t="s">
        <v>983</v>
      </c>
      <c r="G154" s="66">
        <v>64.0</v>
      </c>
      <c r="H154" s="66">
        <v>3.0</v>
      </c>
      <c r="I154" s="66">
        <v>6.0</v>
      </c>
      <c r="J154" s="24" t="s">
        <v>31</v>
      </c>
      <c r="K154" s="67">
        <v>90423.0</v>
      </c>
      <c r="L154" s="59"/>
      <c r="M154" s="59"/>
      <c r="N154" s="59"/>
      <c r="O154" s="59"/>
      <c r="P154" s="59"/>
      <c r="Q154" s="59"/>
      <c r="R154" s="59"/>
    </row>
    <row r="155">
      <c r="A155" s="66" t="s">
        <v>984</v>
      </c>
      <c r="B155" s="66">
        <v>93.0</v>
      </c>
      <c r="C155" s="66">
        <v>30.0</v>
      </c>
      <c r="D155" s="24" t="s">
        <v>538</v>
      </c>
      <c r="E155" s="24" t="s">
        <v>489</v>
      </c>
      <c r="F155" s="66" t="s">
        <v>985</v>
      </c>
      <c r="G155" s="66">
        <v>84.0</v>
      </c>
      <c r="H155" s="66">
        <v>8.0</v>
      </c>
      <c r="I155" s="66">
        <v>3.0</v>
      </c>
      <c r="J155" s="24" t="s">
        <v>39</v>
      </c>
      <c r="K155" s="67">
        <v>31117.0</v>
      </c>
      <c r="L155" s="59"/>
      <c r="M155" s="59"/>
      <c r="N155" s="59"/>
      <c r="O155" s="59"/>
      <c r="P155" s="59"/>
      <c r="Q155" s="59"/>
      <c r="R155" s="59"/>
    </row>
    <row r="156">
      <c r="A156" s="66" t="s">
        <v>986</v>
      </c>
      <c r="B156" s="66">
        <v>72.0</v>
      </c>
      <c r="C156" s="66">
        <v>71.0</v>
      </c>
      <c r="D156" s="24" t="s">
        <v>476</v>
      </c>
      <c r="E156" s="24" t="s">
        <v>110</v>
      </c>
      <c r="F156" s="66" t="s">
        <v>987</v>
      </c>
      <c r="G156" s="66">
        <v>43.0</v>
      </c>
      <c r="H156" s="66">
        <v>8.0</v>
      </c>
      <c r="I156" s="66">
        <v>8.0</v>
      </c>
      <c r="J156" s="24" t="s">
        <v>29</v>
      </c>
      <c r="K156" s="67">
        <v>12713.0</v>
      </c>
      <c r="L156" s="59"/>
      <c r="M156" s="59"/>
      <c r="N156" s="59"/>
      <c r="O156" s="59"/>
      <c r="P156" s="59"/>
      <c r="Q156" s="59"/>
      <c r="R156" s="59"/>
    </row>
    <row r="157">
      <c r="A157" s="66" t="s">
        <v>988</v>
      </c>
      <c r="B157" s="66">
        <v>84.0</v>
      </c>
      <c r="C157" s="66">
        <v>97.0</v>
      </c>
      <c r="D157" s="24" t="s">
        <v>649</v>
      </c>
      <c r="E157" s="24" t="s">
        <v>989</v>
      </c>
      <c r="F157" s="66" t="s">
        <v>990</v>
      </c>
      <c r="G157" s="66">
        <v>43.0</v>
      </c>
      <c r="H157" s="66">
        <v>8.0</v>
      </c>
      <c r="I157" s="66">
        <v>9.0</v>
      </c>
      <c r="J157" s="24" t="s">
        <v>31</v>
      </c>
      <c r="K157" s="67">
        <v>51118.0</v>
      </c>
      <c r="L157" s="59"/>
      <c r="M157" s="59"/>
      <c r="N157" s="59"/>
      <c r="O157" s="59"/>
      <c r="P157" s="59"/>
      <c r="Q157" s="59"/>
      <c r="R157" s="59"/>
    </row>
    <row r="158">
      <c r="A158" s="66" t="s">
        <v>991</v>
      </c>
      <c r="B158" s="66">
        <v>32.0</v>
      </c>
      <c r="C158" s="66">
        <v>38.0</v>
      </c>
      <c r="D158" s="24" t="s">
        <v>992</v>
      </c>
      <c r="E158" s="24" t="s">
        <v>245</v>
      </c>
      <c r="F158" s="66" t="s">
        <v>993</v>
      </c>
      <c r="G158" s="66">
        <v>84.0</v>
      </c>
      <c r="H158" s="66">
        <v>8.0</v>
      </c>
      <c r="I158" s="66">
        <v>2.0</v>
      </c>
      <c r="J158" s="24" t="s">
        <v>33</v>
      </c>
      <c r="K158" s="67">
        <v>31214.0</v>
      </c>
      <c r="L158" s="59"/>
      <c r="M158" s="59"/>
      <c r="N158" s="59"/>
      <c r="O158" s="59"/>
      <c r="P158" s="59"/>
      <c r="Q158" s="59"/>
      <c r="R158" s="59"/>
    </row>
    <row r="159">
      <c r="A159" s="66" t="s">
        <v>994</v>
      </c>
      <c r="B159" s="66">
        <v>36.0</v>
      </c>
      <c r="C159" s="66">
        <v>32.0</v>
      </c>
      <c r="D159" s="24" t="s">
        <v>68</v>
      </c>
      <c r="E159" s="24" t="s">
        <v>504</v>
      </c>
      <c r="F159" s="66" t="s">
        <v>995</v>
      </c>
      <c r="G159" s="66">
        <v>23.0</v>
      </c>
      <c r="H159" s="66">
        <v>4.0</v>
      </c>
      <c r="I159" s="66">
        <v>6.0</v>
      </c>
      <c r="J159" s="24" t="s">
        <v>29</v>
      </c>
      <c r="K159" s="67">
        <v>72014.0</v>
      </c>
      <c r="L159" s="59"/>
      <c r="M159" s="59"/>
      <c r="N159" s="59"/>
      <c r="O159" s="59"/>
      <c r="P159" s="59"/>
      <c r="Q159" s="59"/>
      <c r="R159" s="59"/>
    </row>
    <row r="160">
      <c r="A160" s="66" t="s">
        <v>996</v>
      </c>
      <c r="B160" s="66">
        <v>84.0</v>
      </c>
      <c r="C160" s="66">
        <v>32.0</v>
      </c>
      <c r="D160" s="24" t="s">
        <v>34</v>
      </c>
      <c r="E160" s="24" t="s">
        <v>469</v>
      </c>
      <c r="F160" s="66" t="s">
        <v>997</v>
      </c>
      <c r="G160" s="66">
        <v>23.0</v>
      </c>
      <c r="H160" s="66">
        <v>4.0</v>
      </c>
      <c r="I160" s="66">
        <v>7.0</v>
      </c>
      <c r="J160" s="24" t="s">
        <v>31</v>
      </c>
      <c r="K160" s="67">
        <v>73023.0</v>
      </c>
      <c r="L160" s="59"/>
      <c r="M160" s="59"/>
      <c r="N160" s="59"/>
      <c r="O160" s="59"/>
      <c r="P160" s="59"/>
      <c r="Q160" s="59"/>
      <c r="R160" s="59"/>
    </row>
    <row r="161">
      <c r="A161" s="66" t="s">
        <v>998</v>
      </c>
      <c r="B161" s="66">
        <v>43.0</v>
      </c>
      <c r="C161" s="66">
        <v>47.0</v>
      </c>
      <c r="D161" s="24" t="s">
        <v>999</v>
      </c>
      <c r="E161" s="24" t="s">
        <v>360</v>
      </c>
      <c r="F161" s="66" t="s">
        <v>1000</v>
      </c>
      <c r="G161" s="66">
        <v>64.0</v>
      </c>
      <c r="H161" s="66">
        <v>4.0</v>
      </c>
      <c r="I161" s="66">
        <v>4.0</v>
      </c>
      <c r="J161" s="24" t="s">
        <v>33</v>
      </c>
      <c r="K161" s="67">
        <v>41013.0</v>
      </c>
      <c r="L161" s="59"/>
      <c r="M161" s="59"/>
      <c r="N161" s="59"/>
      <c r="O161" s="59"/>
      <c r="P161" s="59"/>
      <c r="Q161" s="59"/>
      <c r="R161" s="59"/>
    </row>
    <row r="162">
      <c r="A162" s="66" t="s">
        <v>1001</v>
      </c>
      <c r="B162" s="66">
        <v>79.0</v>
      </c>
      <c r="C162" s="66">
        <v>98.0</v>
      </c>
      <c r="D162" s="24" t="s">
        <v>258</v>
      </c>
      <c r="E162" s="24" t="s">
        <v>532</v>
      </c>
      <c r="F162" s="66" t="s">
        <v>1002</v>
      </c>
      <c r="G162" s="66">
        <v>23.0</v>
      </c>
      <c r="H162" s="66">
        <v>5.0</v>
      </c>
      <c r="I162" s="66">
        <v>3.0</v>
      </c>
      <c r="J162" s="24" t="s">
        <v>29</v>
      </c>
      <c r="K162" s="67">
        <v>41917.0</v>
      </c>
      <c r="L162" s="59"/>
      <c r="M162" s="59"/>
      <c r="N162" s="59"/>
      <c r="O162" s="59"/>
      <c r="P162" s="59"/>
      <c r="Q162" s="59"/>
      <c r="R162" s="59"/>
    </row>
    <row r="163">
      <c r="A163" s="66" t="s">
        <v>1003</v>
      </c>
      <c r="B163" s="66">
        <v>13.0</v>
      </c>
      <c r="C163" s="66">
        <v>32.0</v>
      </c>
      <c r="D163" s="24" t="s">
        <v>54</v>
      </c>
      <c r="E163" s="24" t="s">
        <v>299</v>
      </c>
      <c r="F163" s="66" t="s">
        <v>1004</v>
      </c>
      <c r="G163" s="66">
        <v>84.0</v>
      </c>
      <c r="H163" s="66">
        <v>9.0</v>
      </c>
      <c r="I163" s="66">
        <v>9.0</v>
      </c>
      <c r="J163" s="24" t="s">
        <v>39</v>
      </c>
      <c r="K163" s="67">
        <v>40819.0</v>
      </c>
      <c r="L163" s="59"/>
      <c r="M163" s="59"/>
      <c r="N163" s="59"/>
      <c r="O163" s="59"/>
      <c r="P163" s="59"/>
      <c r="Q163" s="59"/>
      <c r="R163" s="59"/>
    </row>
    <row r="164">
      <c r="A164" s="66" t="s">
        <v>1005</v>
      </c>
      <c r="B164" s="66">
        <v>27.0</v>
      </c>
      <c r="C164" s="66">
        <v>83.0</v>
      </c>
      <c r="D164" s="24" t="s">
        <v>1006</v>
      </c>
      <c r="E164" s="24" t="s">
        <v>56</v>
      </c>
      <c r="F164" s="66" t="s">
        <v>1007</v>
      </c>
      <c r="G164" s="66">
        <v>64.0</v>
      </c>
      <c r="H164" s="66">
        <v>5.0</v>
      </c>
      <c r="I164" s="66">
        <v>2.0</v>
      </c>
      <c r="J164" s="24" t="s">
        <v>31</v>
      </c>
      <c r="K164" s="67">
        <v>81718.0</v>
      </c>
      <c r="L164" s="59"/>
      <c r="M164" s="59"/>
      <c r="N164" s="59"/>
      <c r="O164" s="59"/>
      <c r="P164" s="59"/>
      <c r="Q164" s="59"/>
      <c r="R164" s="59"/>
    </row>
    <row r="165">
      <c r="A165" s="66" t="s">
        <v>1008</v>
      </c>
      <c r="B165" s="66">
        <v>92.0</v>
      </c>
      <c r="C165" s="66">
        <v>59.0</v>
      </c>
      <c r="D165" s="24" t="s">
        <v>1009</v>
      </c>
      <c r="E165" s="24" t="s">
        <v>426</v>
      </c>
      <c r="F165" s="66" t="s">
        <v>1010</v>
      </c>
      <c r="G165" s="66">
        <v>23.0</v>
      </c>
      <c r="H165" s="66">
        <v>5.0</v>
      </c>
      <c r="I165" s="66">
        <v>9.0</v>
      </c>
      <c r="J165" s="24" t="s">
        <v>29</v>
      </c>
      <c r="K165" s="67">
        <v>30718.0</v>
      </c>
      <c r="L165" s="59"/>
      <c r="M165" s="59"/>
      <c r="N165" s="59"/>
      <c r="O165" s="59"/>
      <c r="P165" s="59"/>
      <c r="Q165" s="59"/>
      <c r="R165" s="59"/>
    </row>
    <row r="166">
      <c r="A166" s="66" t="s">
        <v>1011</v>
      </c>
      <c r="B166" s="66">
        <v>70.0</v>
      </c>
      <c r="C166" s="66">
        <v>66.0</v>
      </c>
      <c r="D166" s="24" t="s">
        <v>675</v>
      </c>
      <c r="E166" s="24" t="s">
        <v>229</v>
      </c>
      <c r="F166" s="66" t="s">
        <v>1012</v>
      </c>
      <c r="G166" s="66">
        <v>64.0</v>
      </c>
      <c r="H166" s="66">
        <v>5.0</v>
      </c>
      <c r="I166" s="66">
        <v>8.0</v>
      </c>
      <c r="J166" s="24" t="s">
        <v>31</v>
      </c>
      <c r="K166" s="67">
        <v>42815.0</v>
      </c>
      <c r="L166" s="59"/>
      <c r="M166" s="59"/>
      <c r="N166" s="59"/>
      <c r="O166" s="59"/>
      <c r="P166" s="59"/>
      <c r="Q166" s="59"/>
      <c r="R166" s="59"/>
    </row>
    <row r="167">
      <c r="A167" s="66" t="s">
        <v>1013</v>
      </c>
      <c r="B167" s="66">
        <v>58.0</v>
      </c>
      <c r="C167" s="66">
        <v>43.0</v>
      </c>
      <c r="D167" s="24" t="s">
        <v>510</v>
      </c>
      <c r="E167" s="24" t="s">
        <v>540</v>
      </c>
      <c r="F167" s="66" t="s">
        <v>1014</v>
      </c>
      <c r="G167" s="66">
        <v>44.0</v>
      </c>
      <c r="H167" s="66">
        <v>1.0</v>
      </c>
      <c r="I167" s="66">
        <v>2.0</v>
      </c>
      <c r="J167" s="24" t="s">
        <v>29</v>
      </c>
      <c r="K167" s="67">
        <v>72422.0</v>
      </c>
      <c r="L167" s="59"/>
      <c r="M167" s="59"/>
      <c r="N167" s="59"/>
      <c r="O167" s="59"/>
      <c r="P167" s="59"/>
      <c r="Q167" s="59"/>
      <c r="R167" s="59"/>
    </row>
    <row r="168">
      <c r="A168" s="66" t="s">
        <v>1015</v>
      </c>
      <c r="B168" s="66">
        <v>92.0</v>
      </c>
      <c r="C168" s="66">
        <v>69.0</v>
      </c>
      <c r="D168" s="24" t="s">
        <v>134</v>
      </c>
      <c r="E168" s="24" t="s">
        <v>503</v>
      </c>
      <c r="F168" s="66" t="s">
        <v>1016</v>
      </c>
      <c r="G168" s="66">
        <v>64.0</v>
      </c>
      <c r="H168" s="66">
        <v>6.0</v>
      </c>
      <c r="I168" s="66">
        <v>3.0</v>
      </c>
      <c r="J168" s="24" t="s">
        <v>48</v>
      </c>
      <c r="K168" s="67">
        <v>30819.0</v>
      </c>
      <c r="L168" s="59"/>
      <c r="M168" s="59"/>
      <c r="N168" s="59"/>
      <c r="O168" s="59"/>
      <c r="P168" s="59"/>
      <c r="Q168" s="59"/>
      <c r="R168" s="59"/>
    </row>
    <row r="169">
      <c r="A169" s="66" t="s">
        <v>1017</v>
      </c>
      <c r="B169" s="66">
        <v>43.0</v>
      </c>
      <c r="C169" s="66">
        <v>29.0</v>
      </c>
      <c r="D169" s="24" t="s">
        <v>430</v>
      </c>
      <c r="E169" s="24" t="s">
        <v>297</v>
      </c>
      <c r="F169" s="66" t="s">
        <v>1018</v>
      </c>
      <c r="G169" s="66">
        <v>23.0</v>
      </c>
      <c r="H169" s="66">
        <v>7.0</v>
      </c>
      <c r="I169" s="66">
        <v>1.0</v>
      </c>
      <c r="J169" s="24" t="s">
        <v>48</v>
      </c>
      <c r="K169" s="67">
        <v>31121.0</v>
      </c>
      <c r="L169" s="59"/>
      <c r="M169" s="59"/>
      <c r="N169" s="59"/>
      <c r="O169" s="59"/>
      <c r="P169" s="59"/>
      <c r="Q169" s="59"/>
      <c r="R169" s="59"/>
    </row>
    <row r="170">
      <c r="A170" s="66" t="s">
        <v>1019</v>
      </c>
      <c r="B170" s="66">
        <v>62.0</v>
      </c>
      <c r="C170" s="66">
        <v>92.0</v>
      </c>
      <c r="D170" s="24" t="s">
        <v>278</v>
      </c>
      <c r="E170" s="24" t="s">
        <v>433</v>
      </c>
      <c r="F170" s="66" t="s">
        <v>1020</v>
      </c>
      <c r="G170" s="66">
        <v>23.0</v>
      </c>
      <c r="H170" s="66">
        <v>7.0</v>
      </c>
      <c r="I170" s="66">
        <v>3.0</v>
      </c>
      <c r="J170" s="24" t="s">
        <v>33</v>
      </c>
      <c r="K170" s="67">
        <v>12617.0</v>
      </c>
      <c r="L170" s="59"/>
      <c r="M170" s="59"/>
      <c r="N170" s="59"/>
      <c r="O170" s="59"/>
      <c r="P170" s="59"/>
      <c r="Q170" s="59"/>
      <c r="R170" s="59"/>
    </row>
    <row r="171">
      <c r="A171" s="66" t="s">
        <v>1021</v>
      </c>
      <c r="B171" s="66">
        <v>55.0</v>
      </c>
      <c r="C171" s="66">
        <v>66.0</v>
      </c>
      <c r="D171" s="24" t="s">
        <v>98</v>
      </c>
      <c r="E171" s="24" t="s">
        <v>218</v>
      </c>
      <c r="F171" s="66" t="s">
        <v>1022</v>
      </c>
      <c r="G171" s="66">
        <v>64.0</v>
      </c>
      <c r="H171" s="66">
        <v>6.0</v>
      </c>
      <c r="I171" s="66">
        <v>9.0</v>
      </c>
      <c r="J171" s="24" t="s">
        <v>39</v>
      </c>
      <c r="K171" s="67">
        <v>22719.0</v>
      </c>
      <c r="L171" s="59"/>
      <c r="M171" s="59"/>
      <c r="N171" s="59"/>
      <c r="O171" s="59"/>
      <c r="P171" s="59"/>
      <c r="Q171" s="59"/>
      <c r="R171" s="59"/>
    </row>
    <row r="172">
      <c r="A172" s="66" t="s">
        <v>1023</v>
      </c>
      <c r="B172" s="66">
        <v>81.0</v>
      </c>
      <c r="C172" s="66">
        <v>71.0</v>
      </c>
      <c r="D172" s="24" t="s">
        <v>507</v>
      </c>
      <c r="E172" s="24" t="s">
        <v>98</v>
      </c>
      <c r="F172" s="66" t="s">
        <v>1024</v>
      </c>
      <c r="G172" s="66">
        <v>85.0</v>
      </c>
      <c r="H172" s="66">
        <v>1.0</v>
      </c>
      <c r="I172" s="66">
        <v>9.0</v>
      </c>
      <c r="J172" s="24" t="s">
        <v>33</v>
      </c>
      <c r="K172" s="67">
        <v>92716.0</v>
      </c>
      <c r="L172" s="59"/>
      <c r="M172" s="59"/>
      <c r="N172" s="59"/>
      <c r="O172" s="59"/>
      <c r="P172" s="59"/>
      <c r="Q172" s="59"/>
      <c r="R172" s="59"/>
    </row>
    <row r="173">
      <c r="A173" s="66" t="s">
        <v>1025</v>
      </c>
      <c r="B173" s="66">
        <v>91.0</v>
      </c>
      <c r="C173" s="66">
        <v>15.0</v>
      </c>
      <c r="D173" s="24" t="s">
        <v>393</v>
      </c>
      <c r="E173" s="24" t="s">
        <v>177</v>
      </c>
      <c r="F173" s="66" t="s">
        <v>1026</v>
      </c>
      <c r="G173" s="66">
        <v>44.0</v>
      </c>
      <c r="H173" s="66">
        <v>2.0</v>
      </c>
      <c r="I173" s="66">
        <v>5.0</v>
      </c>
      <c r="J173" s="24" t="s">
        <v>39</v>
      </c>
      <c r="K173" s="67">
        <v>71015.0</v>
      </c>
      <c r="L173" s="59"/>
      <c r="M173" s="59"/>
      <c r="N173" s="59"/>
      <c r="O173" s="59"/>
      <c r="P173" s="59"/>
      <c r="Q173" s="59"/>
      <c r="R173" s="59"/>
    </row>
    <row r="174">
      <c r="A174" s="66" t="s">
        <v>1027</v>
      </c>
      <c r="B174" s="66">
        <v>29.0</v>
      </c>
      <c r="C174" s="66">
        <v>48.0</v>
      </c>
      <c r="D174" s="24" t="s">
        <v>438</v>
      </c>
      <c r="E174" s="24" t="s">
        <v>206</v>
      </c>
      <c r="F174" s="66" t="s">
        <v>1028</v>
      </c>
      <c r="G174" s="66">
        <v>85.0</v>
      </c>
      <c r="H174" s="66">
        <v>2.0</v>
      </c>
      <c r="I174" s="66">
        <v>2.0</v>
      </c>
      <c r="J174" s="24" t="s">
        <v>31</v>
      </c>
      <c r="K174" s="67">
        <v>20414.0</v>
      </c>
      <c r="L174" s="59"/>
      <c r="M174" s="59"/>
      <c r="N174" s="59"/>
      <c r="O174" s="59"/>
      <c r="P174" s="59"/>
      <c r="Q174" s="59"/>
      <c r="R174" s="59"/>
    </row>
    <row r="175">
      <c r="A175" s="66" t="s">
        <v>1029</v>
      </c>
      <c r="B175" s="66">
        <v>89.0</v>
      </c>
      <c r="C175" s="66">
        <v>55.0</v>
      </c>
      <c r="D175" s="24" t="s">
        <v>1030</v>
      </c>
      <c r="E175" s="24" t="s">
        <v>133</v>
      </c>
      <c r="F175" s="66" t="s">
        <v>1031</v>
      </c>
      <c r="G175" s="66">
        <v>23.0</v>
      </c>
      <c r="H175" s="66">
        <v>7.0</v>
      </c>
      <c r="I175" s="66">
        <v>7.0</v>
      </c>
      <c r="J175" s="24" t="s">
        <v>48</v>
      </c>
      <c r="K175" s="67">
        <v>51016.0</v>
      </c>
      <c r="L175" s="59"/>
      <c r="M175" s="59"/>
      <c r="N175" s="59"/>
      <c r="O175" s="59"/>
      <c r="P175" s="59"/>
      <c r="Q175" s="59"/>
      <c r="R175" s="59"/>
    </row>
    <row r="176">
      <c r="A176" s="66" t="s">
        <v>1032</v>
      </c>
      <c r="B176" s="66">
        <v>14.0</v>
      </c>
      <c r="C176" s="66">
        <v>98.0</v>
      </c>
      <c r="D176" s="24" t="s">
        <v>371</v>
      </c>
      <c r="E176" s="24" t="s">
        <v>57</v>
      </c>
      <c r="F176" s="66" t="s">
        <v>1033</v>
      </c>
      <c r="G176" s="66">
        <v>64.0</v>
      </c>
      <c r="H176" s="66">
        <v>7.0</v>
      </c>
      <c r="I176" s="66">
        <v>6.0</v>
      </c>
      <c r="J176" s="24" t="s">
        <v>33</v>
      </c>
      <c r="K176" s="67">
        <v>31821.0</v>
      </c>
      <c r="L176" s="59"/>
      <c r="M176" s="59"/>
      <c r="N176" s="59"/>
      <c r="O176" s="59"/>
      <c r="P176" s="59"/>
      <c r="Q176" s="59"/>
      <c r="R176" s="59"/>
    </row>
    <row r="177">
      <c r="A177" s="66" t="s">
        <v>1034</v>
      </c>
      <c r="B177" s="66">
        <v>63.0</v>
      </c>
      <c r="C177" s="66">
        <v>52.0</v>
      </c>
      <c r="D177" s="24" t="s">
        <v>530</v>
      </c>
      <c r="E177" s="24" t="s">
        <v>451</v>
      </c>
      <c r="F177" s="66" t="s">
        <v>1035</v>
      </c>
      <c r="G177" s="66">
        <v>44.0</v>
      </c>
      <c r="H177" s="66">
        <v>2.0</v>
      </c>
      <c r="I177" s="66">
        <v>9.0</v>
      </c>
      <c r="J177" s="24" t="s">
        <v>31</v>
      </c>
      <c r="K177" s="67">
        <v>30220.0</v>
      </c>
      <c r="L177" s="59"/>
      <c r="M177" s="59"/>
      <c r="N177" s="59"/>
      <c r="O177" s="59"/>
      <c r="P177" s="59"/>
      <c r="Q177" s="59"/>
      <c r="R177" s="59"/>
    </row>
    <row r="178">
      <c r="A178" s="66" t="s">
        <v>1036</v>
      </c>
      <c r="B178" s="66">
        <v>17.0</v>
      </c>
      <c r="C178" s="66">
        <v>80.0</v>
      </c>
      <c r="D178" s="24" t="s">
        <v>129</v>
      </c>
      <c r="E178" s="24" t="s">
        <v>1037</v>
      </c>
      <c r="F178" s="66" t="s">
        <v>1038</v>
      </c>
      <c r="G178" s="66">
        <v>44.0</v>
      </c>
      <c r="H178" s="66">
        <v>3.0</v>
      </c>
      <c r="I178" s="66">
        <v>1.0</v>
      </c>
      <c r="J178" s="24" t="s">
        <v>31</v>
      </c>
      <c r="K178" s="67">
        <v>60322.0</v>
      </c>
      <c r="L178" s="59"/>
      <c r="M178" s="59"/>
      <c r="N178" s="59"/>
      <c r="O178" s="59"/>
      <c r="P178" s="59"/>
      <c r="Q178" s="59"/>
      <c r="R178" s="59"/>
    </row>
    <row r="179">
      <c r="A179" s="66" t="s">
        <v>1039</v>
      </c>
      <c r="B179" s="66">
        <v>42.0</v>
      </c>
      <c r="C179" s="66">
        <v>14.0</v>
      </c>
      <c r="D179" s="24" t="s">
        <v>124</v>
      </c>
      <c r="E179" s="24" t="s">
        <v>259</v>
      </c>
      <c r="F179" s="66" t="s">
        <v>1040</v>
      </c>
      <c r="G179" s="66">
        <v>64.0</v>
      </c>
      <c r="H179" s="66">
        <v>8.0</v>
      </c>
      <c r="I179" s="66">
        <v>3.0</v>
      </c>
      <c r="J179" s="24" t="s">
        <v>33</v>
      </c>
      <c r="K179" s="67">
        <v>11317.0</v>
      </c>
      <c r="L179" s="59"/>
      <c r="M179" s="59"/>
      <c r="N179" s="59"/>
      <c r="O179" s="59"/>
      <c r="P179" s="59"/>
      <c r="Q179" s="59"/>
      <c r="R179" s="59"/>
    </row>
    <row r="180">
      <c r="A180" s="66" t="s">
        <v>1041</v>
      </c>
      <c r="B180" s="66">
        <v>88.0</v>
      </c>
      <c r="C180" s="66">
        <v>90.0</v>
      </c>
      <c r="D180" s="24" t="s">
        <v>526</v>
      </c>
      <c r="E180" s="24" t="s">
        <v>287</v>
      </c>
      <c r="F180" s="66" t="s">
        <v>1042</v>
      </c>
      <c r="G180" s="66">
        <v>44.0</v>
      </c>
      <c r="H180" s="66">
        <v>3.0</v>
      </c>
      <c r="I180" s="66">
        <v>8.0</v>
      </c>
      <c r="J180" s="24" t="s">
        <v>31</v>
      </c>
      <c r="K180" s="67">
        <v>70115.0</v>
      </c>
      <c r="L180" s="59"/>
      <c r="M180" s="59"/>
      <c r="N180" s="59"/>
      <c r="O180" s="59"/>
      <c r="P180" s="59"/>
      <c r="Q180" s="59"/>
      <c r="R180" s="59"/>
    </row>
    <row r="181">
      <c r="A181" s="66" t="s">
        <v>1043</v>
      </c>
      <c r="B181" s="66">
        <v>59.0</v>
      </c>
      <c r="C181" s="66">
        <v>67.0</v>
      </c>
      <c r="D181" s="24" t="s">
        <v>1044</v>
      </c>
      <c r="E181" s="24" t="s">
        <v>1045</v>
      </c>
      <c r="F181" s="66" t="s">
        <v>1046</v>
      </c>
      <c r="G181" s="66">
        <v>44.0</v>
      </c>
      <c r="H181" s="66">
        <v>3.0</v>
      </c>
      <c r="I181" s="66">
        <v>9.0</v>
      </c>
      <c r="J181" s="24" t="s">
        <v>29</v>
      </c>
      <c r="K181" s="67">
        <v>100518.0</v>
      </c>
      <c r="L181" s="59"/>
      <c r="M181" s="59"/>
      <c r="N181" s="59"/>
      <c r="O181" s="59"/>
      <c r="P181" s="59"/>
      <c r="Q181" s="59"/>
      <c r="R181" s="59"/>
    </row>
    <row r="182">
      <c r="A182" s="66" t="s">
        <v>1047</v>
      </c>
      <c r="B182" s="66">
        <v>50.0</v>
      </c>
      <c r="C182" s="66">
        <v>14.0</v>
      </c>
      <c r="D182" s="24" t="s">
        <v>316</v>
      </c>
      <c r="E182" s="24" t="s">
        <v>528</v>
      </c>
      <c r="F182" s="66" t="s">
        <v>1048</v>
      </c>
      <c r="G182" s="66">
        <v>85.0</v>
      </c>
      <c r="H182" s="66">
        <v>3.0</v>
      </c>
      <c r="I182" s="66">
        <v>6.0</v>
      </c>
      <c r="J182" s="24" t="s">
        <v>31</v>
      </c>
      <c r="K182" s="67">
        <v>80823.0</v>
      </c>
      <c r="L182" s="59"/>
      <c r="M182" s="59"/>
      <c r="N182" s="59"/>
      <c r="O182" s="59"/>
      <c r="P182" s="59"/>
      <c r="Q182" s="59"/>
      <c r="R182" s="59"/>
    </row>
    <row r="183">
      <c r="A183" s="66" t="s">
        <v>1049</v>
      </c>
      <c r="B183" s="66">
        <v>21.0</v>
      </c>
      <c r="C183" s="66">
        <v>47.0</v>
      </c>
      <c r="D183" s="24" t="s">
        <v>181</v>
      </c>
      <c r="E183" s="24" t="s">
        <v>175</v>
      </c>
      <c r="F183" s="66" t="s">
        <v>1050</v>
      </c>
      <c r="G183" s="66">
        <v>23.0</v>
      </c>
      <c r="H183" s="66">
        <v>9.0</v>
      </c>
      <c r="I183" s="66">
        <v>2.0</v>
      </c>
      <c r="J183" s="24" t="s">
        <v>29</v>
      </c>
      <c r="K183" s="67">
        <v>73114.0</v>
      </c>
      <c r="L183" s="59"/>
      <c r="M183" s="59"/>
      <c r="N183" s="59"/>
      <c r="O183" s="59"/>
      <c r="P183" s="59"/>
      <c r="Q183" s="59"/>
      <c r="R183" s="59"/>
    </row>
    <row r="184">
      <c r="A184" s="66" t="s">
        <v>1051</v>
      </c>
      <c r="B184" s="66">
        <v>68.0</v>
      </c>
      <c r="C184" s="66">
        <v>24.0</v>
      </c>
      <c r="D184" s="24" t="s">
        <v>223</v>
      </c>
      <c r="E184" s="24" t="s">
        <v>530</v>
      </c>
      <c r="F184" s="66" t="s">
        <v>1052</v>
      </c>
      <c r="G184" s="66">
        <v>85.0</v>
      </c>
      <c r="H184" s="66">
        <v>3.0</v>
      </c>
      <c r="I184" s="66">
        <v>8.0</v>
      </c>
      <c r="J184" s="24" t="s">
        <v>48</v>
      </c>
      <c r="K184" s="67">
        <v>61514.0</v>
      </c>
      <c r="L184" s="59"/>
      <c r="M184" s="59"/>
      <c r="N184" s="59"/>
      <c r="O184" s="59"/>
      <c r="P184" s="59"/>
      <c r="Q184" s="59"/>
      <c r="R184" s="59"/>
    </row>
    <row r="185">
      <c r="A185" s="66" t="s">
        <v>1053</v>
      </c>
      <c r="B185" s="66">
        <v>98.0</v>
      </c>
      <c r="C185" s="66">
        <v>11.0</v>
      </c>
      <c r="D185" s="24" t="s">
        <v>105</v>
      </c>
      <c r="E185" s="24" t="s">
        <v>625</v>
      </c>
      <c r="F185" s="66" t="s">
        <v>1054</v>
      </c>
      <c r="G185" s="66">
        <v>64.0</v>
      </c>
      <c r="H185" s="66">
        <v>9.0</v>
      </c>
      <c r="I185" s="66">
        <v>3.0</v>
      </c>
      <c r="J185" s="24" t="s">
        <v>48</v>
      </c>
      <c r="K185" s="67">
        <v>101616.0</v>
      </c>
      <c r="L185" s="59"/>
      <c r="M185" s="59"/>
      <c r="N185" s="59"/>
      <c r="O185" s="59"/>
      <c r="P185" s="59"/>
      <c r="Q185" s="59"/>
      <c r="R185" s="59"/>
    </row>
    <row r="186">
      <c r="A186" s="66" t="s">
        <v>1055</v>
      </c>
      <c r="B186" s="66">
        <v>56.0</v>
      </c>
      <c r="C186" s="66">
        <v>66.0</v>
      </c>
      <c r="D186" s="24" t="s">
        <v>407</v>
      </c>
      <c r="E186" s="24" t="s">
        <v>234</v>
      </c>
      <c r="F186" s="66" t="s">
        <v>1056</v>
      </c>
      <c r="G186" s="66">
        <v>85.0</v>
      </c>
      <c r="H186" s="66">
        <v>4.0</v>
      </c>
      <c r="I186" s="66">
        <v>2.0</v>
      </c>
      <c r="J186" s="24" t="s">
        <v>33</v>
      </c>
      <c r="K186" s="67">
        <v>90814.0</v>
      </c>
      <c r="L186" s="59"/>
      <c r="M186" s="59"/>
      <c r="N186" s="59"/>
      <c r="O186" s="59"/>
      <c r="P186" s="59"/>
      <c r="Q186" s="59"/>
      <c r="R186" s="59"/>
    </row>
    <row r="187">
      <c r="A187" s="66" t="s">
        <v>1057</v>
      </c>
      <c r="B187" s="66">
        <v>47.0</v>
      </c>
      <c r="C187" s="66">
        <v>21.0</v>
      </c>
      <c r="D187" s="24" t="s">
        <v>100</v>
      </c>
      <c r="E187" s="24" t="s">
        <v>154</v>
      </c>
      <c r="F187" s="66" t="s">
        <v>1058</v>
      </c>
      <c r="G187" s="66">
        <v>85.0</v>
      </c>
      <c r="H187" s="66">
        <v>4.0</v>
      </c>
      <c r="I187" s="66">
        <v>9.0</v>
      </c>
      <c r="J187" s="24" t="s">
        <v>33</v>
      </c>
      <c r="K187" s="67">
        <v>82121.0</v>
      </c>
      <c r="L187" s="59"/>
      <c r="M187" s="59"/>
      <c r="N187" s="59"/>
      <c r="O187" s="59"/>
      <c r="P187" s="59"/>
      <c r="Q187" s="59"/>
      <c r="R187" s="59"/>
    </row>
    <row r="188">
      <c r="A188" s="66" t="s">
        <v>1059</v>
      </c>
      <c r="B188" s="66">
        <v>58.0</v>
      </c>
      <c r="C188" s="66">
        <v>74.0</v>
      </c>
      <c r="D188" s="24" t="s">
        <v>118</v>
      </c>
      <c r="E188" s="24" t="s">
        <v>457</v>
      </c>
      <c r="F188" s="66" t="s">
        <v>1060</v>
      </c>
      <c r="G188" s="66">
        <v>24.0</v>
      </c>
      <c r="H188" s="66">
        <v>1.0</v>
      </c>
      <c r="I188" s="66">
        <v>2.0</v>
      </c>
      <c r="J188" s="24" t="s">
        <v>39</v>
      </c>
      <c r="K188" s="67">
        <v>42120.0</v>
      </c>
      <c r="L188" s="59"/>
      <c r="M188" s="59"/>
      <c r="N188" s="59"/>
      <c r="O188" s="59"/>
      <c r="P188" s="59"/>
      <c r="Q188" s="59"/>
      <c r="R188" s="59"/>
    </row>
    <row r="189">
      <c r="A189" s="66" t="s">
        <v>1061</v>
      </c>
      <c r="B189" s="66">
        <v>97.0</v>
      </c>
      <c r="C189" s="66">
        <v>23.0</v>
      </c>
      <c r="D189" s="24" t="s">
        <v>32</v>
      </c>
      <c r="E189" s="24" t="s">
        <v>288</v>
      </c>
      <c r="F189" s="66" t="s">
        <v>1062</v>
      </c>
      <c r="G189" s="66">
        <v>65.0</v>
      </c>
      <c r="H189" s="66">
        <v>1.0</v>
      </c>
      <c r="I189" s="66">
        <v>1.0</v>
      </c>
      <c r="J189" s="24" t="s">
        <v>39</v>
      </c>
      <c r="K189" s="67">
        <v>120413.0</v>
      </c>
      <c r="L189" s="59"/>
      <c r="M189" s="59"/>
      <c r="N189" s="59"/>
      <c r="O189" s="59"/>
      <c r="P189" s="59"/>
      <c r="Q189" s="59"/>
      <c r="R189" s="59"/>
    </row>
    <row r="190">
      <c r="A190" s="66" t="s">
        <v>1063</v>
      </c>
      <c r="B190" s="66">
        <v>97.0</v>
      </c>
      <c r="C190" s="66">
        <v>31.0</v>
      </c>
      <c r="D190" s="24" t="s">
        <v>295</v>
      </c>
      <c r="E190" s="24" t="s">
        <v>489</v>
      </c>
      <c r="F190" s="66" t="s">
        <v>1064</v>
      </c>
      <c r="G190" s="66">
        <v>44.0</v>
      </c>
      <c r="H190" s="66">
        <v>6.0</v>
      </c>
      <c r="I190" s="66">
        <v>4.0</v>
      </c>
      <c r="J190" s="24" t="s">
        <v>33</v>
      </c>
      <c r="K190" s="67">
        <v>32915.0</v>
      </c>
      <c r="L190" s="59"/>
      <c r="M190" s="59"/>
      <c r="N190" s="59"/>
      <c r="O190" s="59"/>
      <c r="P190" s="59"/>
      <c r="Q190" s="59"/>
      <c r="R190" s="59"/>
    </row>
    <row r="191">
      <c r="A191" s="66" t="s">
        <v>1065</v>
      </c>
      <c r="B191" s="66">
        <v>50.0</v>
      </c>
      <c r="C191" s="66">
        <v>80.0</v>
      </c>
      <c r="D191" s="24" t="s">
        <v>1066</v>
      </c>
      <c r="E191" s="24" t="s">
        <v>881</v>
      </c>
      <c r="F191" s="66" t="s">
        <v>1067</v>
      </c>
      <c r="G191" s="66">
        <v>85.0</v>
      </c>
      <c r="H191" s="66">
        <v>6.0</v>
      </c>
      <c r="I191" s="66">
        <v>1.0</v>
      </c>
      <c r="J191" s="24" t="s">
        <v>31</v>
      </c>
      <c r="K191" s="67">
        <v>41015.0</v>
      </c>
      <c r="L191" s="59"/>
      <c r="M191" s="59"/>
      <c r="N191" s="59"/>
      <c r="O191" s="59"/>
      <c r="P191" s="59"/>
      <c r="Q191" s="59"/>
      <c r="R191" s="59"/>
    </row>
    <row r="192">
      <c r="A192" s="66" t="s">
        <v>1068</v>
      </c>
      <c r="B192" s="66">
        <v>85.0</v>
      </c>
      <c r="C192" s="66">
        <v>39.0</v>
      </c>
      <c r="D192" s="24" t="s">
        <v>94</v>
      </c>
      <c r="E192" s="24" t="s">
        <v>1069</v>
      </c>
      <c r="F192" s="66" t="s">
        <v>1070</v>
      </c>
      <c r="G192" s="66">
        <v>44.0</v>
      </c>
      <c r="H192" s="66">
        <v>6.0</v>
      </c>
      <c r="I192" s="66">
        <v>6.0</v>
      </c>
      <c r="J192" s="24" t="s">
        <v>33</v>
      </c>
      <c r="K192" s="67">
        <v>110617.0</v>
      </c>
      <c r="L192" s="59"/>
      <c r="M192" s="59"/>
      <c r="N192" s="59"/>
      <c r="O192" s="59"/>
      <c r="P192" s="59"/>
      <c r="Q192" s="59"/>
      <c r="R192" s="59"/>
    </row>
    <row r="193">
      <c r="A193" s="66" t="s">
        <v>1071</v>
      </c>
      <c r="B193" s="66">
        <v>23.0</v>
      </c>
      <c r="C193" s="66">
        <v>42.0</v>
      </c>
      <c r="D193" s="24" t="s">
        <v>405</v>
      </c>
      <c r="E193" s="24" t="s">
        <v>263</v>
      </c>
      <c r="F193" s="66" t="s">
        <v>1072</v>
      </c>
      <c r="G193" s="66">
        <v>85.0</v>
      </c>
      <c r="H193" s="66">
        <v>6.0</v>
      </c>
      <c r="I193" s="66">
        <v>5.0</v>
      </c>
      <c r="J193" s="24" t="s">
        <v>39</v>
      </c>
      <c r="K193" s="67">
        <v>72315.0</v>
      </c>
      <c r="L193" s="59"/>
      <c r="M193" s="59"/>
      <c r="N193" s="59"/>
      <c r="O193" s="59"/>
      <c r="P193" s="59"/>
      <c r="Q193" s="59"/>
      <c r="R193" s="59"/>
    </row>
    <row r="194">
      <c r="A194" s="66" t="s">
        <v>1073</v>
      </c>
      <c r="B194" s="66">
        <v>74.0</v>
      </c>
      <c r="C194" s="66">
        <v>17.0</v>
      </c>
      <c r="D194" s="24" t="s">
        <v>1074</v>
      </c>
      <c r="E194" s="24" t="s">
        <v>263</v>
      </c>
      <c r="F194" s="66" t="s">
        <v>1075</v>
      </c>
      <c r="G194" s="66">
        <v>65.0</v>
      </c>
      <c r="H194" s="66">
        <v>1.0</v>
      </c>
      <c r="I194" s="66">
        <v>7.0</v>
      </c>
      <c r="J194" s="24" t="s">
        <v>33</v>
      </c>
      <c r="K194" s="67">
        <v>11720.0</v>
      </c>
      <c r="L194" s="59"/>
      <c r="M194" s="59"/>
      <c r="N194" s="59"/>
      <c r="O194" s="59"/>
      <c r="P194" s="59"/>
      <c r="Q194" s="59"/>
      <c r="R194" s="59"/>
    </row>
    <row r="195">
      <c r="A195" s="66" t="s">
        <v>1076</v>
      </c>
      <c r="B195" s="66">
        <v>33.0</v>
      </c>
      <c r="C195" s="66">
        <v>34.0</v>
      </c>
      <c r="D195" s="24" t="s">
        <v>1077</v>
      </c>
      <c r="E195" s="24" t="s">
        <v>404</v>
      </c>
      <c r="F195" s="66" t="s">
        <v>1078</v>
      </c>
      <c r="G195" s="66">
        <v>24.0</v>
      </c>
      <c r="H195" s="66">
        <v>2.0</v>
      </c>
      <c r="I195" s="66">
        <v>7.0</v>
      </c>
      <c r="J195" s="24" t="s">
        <v>33</v>
      </c>
      <c r="K195" s="67">
        <v>101921.0</v>
      </c>
      <c r="L195" s="59"/>
      <c r="M195" s="59"/>
      <c r="N195" s="59"/>
      <c r="O195" s="59"/>
      <c r="P195" s="59"/>
      <c r="Q195" s="59"/>
      <c r="R195" s="59"/>
    </row>
    <row r="196">
      <c r="A196" s="66" t="s">
        <v>1079</v>
      </c>
      <c r="B196" s="66">
        <v>77.0</v>
      </c>
      <c r="C196" s="66">
        <v>35.0</v>
      </c>
      <c r="D196" s="24" t="s">
        <v>41</v>
      </c>
      <c r="E196" s="24" t="s">
        <v>236</v>
      </c>
      <c r="F196" s="66" t="s">
        <v>1080</v>
      </c>
      <c r="G196" s="66">
        <v>24.0</v>
      </c>
      <c r="H196" s="66">
        <v>2.0</v>
      </c>
      <c r="I196" s="66">
        <v>9.0</v>
      </c>
      <c r="J196" s="24" t="s">
        <v>33</v>
      </c>
      <c r="K196" s="67">
        <v>90415.0</v>
      </c>
      <c r="L196" s="59"/>
      <c r="M196" s="59"/>
      <c r="N196" s="59"/>
      <c r="O196" s="59"/>
      <c r="P196" s="59"/>
      <c r="Q196" s="59"/>
      <c r="R196" s="59"/>
    </row>
    <row r="197">
      <c r="A197" s="66" t="s">
        <v>1081</v>
      </c>
      <c r="B197" s="66">
        <v>10.0</v>
      </c>
      <c r="C197" s="66">
        <v>64.0</v>
      </c>
      <c r="D197" s="24" t="s">
        <v>125</v>
      </c>
      <c r="E197" s="24" t="s">
        <v>779</v>
      </c>
      <c r="F197" s="66" t="s">
        <v>1082</v>
      </c>
      <c r="G197" s="66">
        <v>85.0</v>
      </c>
      <c r="H197" s="66">
        <v>7.0</v>
      </c>
      <c r="I197" s="66">
        <v>3.0</v>
      </c>
      <c r="J197" s="24" t="s">
        <v>33</v>
      </c>
      <c r="K197" s="67">
        <v>30519.0</v>
      </c>
      <c r="L197" s="59"/>
      <c r="M197" s="59"/>
      <c r="N197" s="59"/>
      <c r="O197" s="59"/>
      <c r="P197" s="59"/>
      <c r="Q197" s="59"/>
      <c r="R197" s="59"/>
    </row>
    <row r="198">
      <c r="A198" s="66" t="s">
        <v>1083</v>
      </c>
      <c r="B198" s="66">
        <v>48.0</v>
      </c>
      <c r="C198" s="66">
        <v>37.0</v>
      </c>
      <c r="D198" s="24" t="s">
        <v>146</v>
      </c>
      <c r="E198" s="24" t="s">
        <v>1084</v>
      </c>
      <c r="F198" s="66" t="s">
        <v>1085</v>
      </c>
      <c r="G198" s="66">
        <v>44.0</v>
      </c>
      <c r="H198" s="66">
        <v>8.0</v>
      </c>
      <c r="I198" s="66">
        <v>1.0</v>
      </c>
      <c r="J198" s="24" t="s">
        <v>29</v>
      </c>
      <c r="K198" s="67">
        <v>90813.0</v>
      </c>
      <c r="L198" s="59"/>
      <c r="M198" s="59"/>
      <c r="N198" s="59"/>
      <c r="O198" s="59"/>
      <c r="P198" s="59"/>
      <c r="Q198" s="59"/>
      <c r="R198" s="59"/>
    </row>
    <row r="199">
      <c r="A199" s="66" t="s">
        <v>1086</v>
      </c>
      <c r="B199" s="66">
        <v>70.0</v>
      </c>
      <c r="C199" s="66">
        <v>92.0</v>
      </c>
      <c r="D199" s="24" t="s">
        <v>159</v>
      </c>
      <c r="E199" s="24" t="s">
        <v>34</v>
      </c>
      <c r="F199" s="66" t="s">
        <v>1087</v>
      </c>
      <c r="G199" s="66">
        <v>85.0</v>
      </c>
      <c r="H199" s="66">
        <v>7.0</v>
      </c>
      <c r="I199" s="66">
        <v>9.0</v>
      </c>
      <c r="J199" s="24" t="s">
        <v>39</v>
      </c>
      <c r="K199" s="67">
        <v>121218.0</v>
      </c>
      <c r="L199" s="59"/>
      <c r="M199" s="59"/>
      <c r="N199" s="59"/>
      <c r="O199" s="59"/>
      <c r="P199" s="59"/>
      <c r="Q199" s="59"/>
      <c r="R199" s="59"/>
    </row>
    <row r="200">
      <c r="A200" s="66" t="s">
        <v>1088</v>
      </c>
      <c r="B200" s="66">
        <v>28.0</v>
      </c>
      <c r="C200" s="66">
        <v>41.0</v>
      </c>
      <c r="D200" s="24" t="s">
        <v>261</v>
      </c>
      <c r="E200" s="24" t="s">
        <v>540</v>
      </c>
      <c r="F200" s="66" t="s">
        <v>1089</v>
      </c>
      <c r="G200" s="66">
        <v>85.0</v>
      </c>
      <c r="H200" s="66">
        <v>8.0</v>
      </c>
      <c r="I200" s="66">
        <v>2.0</v>
      </c>
      <c r="J200" s="24" t="s">
        <v>33</v>
      </c>
      <c r="K200" s="67">
        <v>100917.0</v>
      </c>
      <c r="L200" s="59"/>
      <c r="M200" s="59"/>
      <c r="N200" s="59"/>
      <c r="O200" s="59"/>
      <c r="P200" s="59"/>
      <c r="Q200" s="59"/>
      <c r="R200" s="59"/>
    </row>
    <row r="201">
      <c r="A201" s="66" t="s">
        <v>1090</v>
      </c>
      <c r="B201" s="66">
        <v>19.0</v>
      </c>
      <c r="C201" s="66">
        <v>89.0</v>
      </c>
      <c r="D201" s="24" t="s">
        <v>289</v>
      </c>
      <c r="E201" s="24" t="s">
        <v>770</v>
      </c>
      <c r="F201" s="66" t="s">
        <v>1091</v>
      </c>
      <c r="G201" s="66">
        <v>85.0</v>
      </c>
      <c r="H201" s="66">
        <v>8.0</v>
      </c>
      <c r="I201" s="66">
        <v>4.0</v>
      </c>
      <c r="J201" s="24" t="s">
        <v>29</v>
      </c>
      <c r="K201" s="67">
        <v>60414.0</v>
      </c>
      <c r="L201" s="59"/>
      <c r="M201" s="59"/>
      <c r="N201" s="59"/>
      <c r="O201" s="59"/>
      <c r="P201" s="59"/>
      <c r="Q201" s="59"/>
      <c r="R201" s="59"/>
    </row>
    <row r="202">
      <c r="A202" s="66" t="s">
        <v>1092</v>
      </c>
      <c r="B202" s="66">
        <v>47.0</v>
      </c>
      <c r="C202" s="66">
        <v>67.0</v>
      </c>
      <c r="D202" s="24" t="s">
        <v>215</v>
      </c>
      <c r="E202" s="24" t="s">
        <v>1093</v>
      </c>
      <c r="F202" s="66" t="s">
        <v>1094</v>
      </c>
      <c r="G202" s="66">
        <v>85.0</v>
      </c>
      <c r="H202" s="66">
        <v>8.0</v>
      </c>
      <c r="I202" s="66">
        <v>9.0</v>
      </c>
      <c r="J202" s="24" t="s">
        <v>48</v>
      </c>
      <c r="K202" s="67">
        <v>82815.0</v>
      </c>
      <c r="L202" s="59"/>
      <c r="M202" s="59"/>
      <c r="N202" s="59"/>
      <c r="O202" s="59"/>
      <c r="P202" s="59"/>
      <c r="Q202" s="59"/>
      <c r="R202" s="59"/>
    </row>
    <row r="203">
      <c r="A203" s="66" t="s">
        <v>1095</v>
      </c>
      <c r="B203" s="66">
        <v>69.0</v>
      </c>
      <c r="C203" s="66">
        <v>13.0</v>
      </c>
      <c r="D203" s="24" t="s">
        <v>1096</v>
      </c>
      <c r="E203" s="24" t="s">
        <v>101</v>
      </c>
      <c r="F203" s="66" t="s">
        <v>1097</v>
      </c>
      <c r="G203" s="66">
        <v>65.0</v>
      </c>
      <c r="H203" s="66">
        <v>4.0</v>
      </c>
      <c r="I203" s="66">
        <v>2.0</v>
      </c>
      <c r="J203" s="24" t="s">
        <v>33</v>
      </c>
      <c r="K203" s="67">
        <v>72916.0</v>
      </c>
      <c r="L203" s="59"/>
      <c r="M203" s="59"/>
      <c r="N203" s="59"/>
      <c r="O203" s="59"/>
      <c r="P203" s="59"/>
      <c r="Q203" s="59"/>
      <c r="R203" s="59"/>
    </row>
    <row r="204">
      <c r="A204" s="66" t="s">
        <v>1098</v>
      </c>
      <c r="B204" s="66">
        <v>37.0</v>
      </c>
      <c r="C204" s="66">
        <v>75.0</v>
      </c>
      <c r="D204" s="24" t="s">
        <v>1099</v>
      </c>
      <c r="E204" s="24" t="s">
        <v>1100</v>
      </c>
      <c r="F204" s="66" t="s">
        <v>1101</v>
      </c>
      <c r="G204" s="66">
        <v>44.0</v>
      </c>
      <c r="H204" s="66">
        <v>9.0</v>
      </c>
      <c r="I204" s="66">
        <v>4.0</v>
      </c>
      <c r="J204" s="24" t="s">
        <v>29</v>
      </c>
      <c r="K204" s="67">
        <v>100114.0</v>
      </c>
      <c r="L204" s="59"/>
      <c r="M204" s="59"/>
      <c r="N204" s="59"/>
      <c r="O204" s="59"/>
      <c r="P204" s="59"/>
      <c r="Q204" s="59"/>
      <c r="R204" s="59"/>
    </row>
    <row r="205">
      <c r="A205" s="66" t="s">
        <v>1102</v>
      </c>
      <c r="B205" s="66">
        <v>41.0</v>
      </c>
      <c r="C205" s="66">
        <v>53.0</v>
      </c>
      <c r="D205" s="24" t="s">
        <v>330</v>
      </c>
      <c r="E205" s="24" t="s">
        <v>686</v>
      </c>
      <c r="F205" s="66" t="s">
        <v>1103</v>
      </c>
      <c r="G205" s="66">
        <v>65.0</v>
      </c>
      <c r="H205" s="66">
        <v>4.0</v>
      </c>
      <c r="I205" s="66">
        <v>4.0</v>
      </c>
      <c r="J205" s="24" t="s">
        <v>31</v>
      </c>
      <c r="K205" s="67">
        <v>60223.0</v>
      </c>
      <c r="L205" s="59"/>
      <c r="M205" s="59"/>
      <c r="N205" s="59"/>
      <c r="O205" s="59"/>
      <c r="P205" s="59"/>
      <c r="Q205" s="59"/>
      <c r="R205" s="59"/>
    </row>
    <row r="206">
      <c r="A206" s="66" t="s">
        <v>1104</v>
      </c>
      <c r="B206" s="66">
        <v>28.0</v>
      </c>
      <c r="C206" s="66">
        <v>94.0</v>
      </c>
      <c r="D206" s="24" t="s">
        <v>419</v>
      </c>
      <c r="E206" s="24" t="s">
        <v>1105</v>
      </c>
      <c r="F206" s="66" t="s">
        <v>1106</v>
      </c>
      <c r="G206" s="66">
        <v>85.0</v>
      </c>
      <c r="H206" s="66">
        <v>9.0</v>
      </c>
      <c r="I206" s="66">
        <v>3.0</v>
      </c>
      <c r="J206" s="24" t="s">
        <v>31</v>
      </c>
      <c r="K206" s="67">
        <v>52013.0</v>
      </c>
      <c r="L206" s="59"/>
      <c r="M206" s="59"/>
      <c r="N206" s="59"/>
      <c r="O206" s="59"/>
      <c r="P206" s="59"/>
      <c r="Q206" s="59"/>
      <c r="R206" s="59"/>
    </row>
    <row r="207">
      <c r="A207" s="66" t="s">
        <v>1107</v>
      </c>
      <c r="B207" s="66">
        <v>41.0</v>
      </c>
      <c r="C207" s="66">
        <v>29.0</v>
      </c>
      <c r="D207" s="24" t="s">
        <v>202</v>
      </c>
      <c r="E207" s="24" t="s">
        <v>54</v>
      </c>
      <c r="F207" s="66" t="s">
        <v>1108</v>
      </c>
      <c r="G207" s="66">
        <v>44.0</v>
      </c>
      <c r="H207" s="66">
        <v>9.0</v>
      </c>
      <c r="I207" s="66">
        <v>7.0</v>
      </c>
      <c r="J207" s="24" t="s">
        <v>29</v>
      </c>
      <c r="K207" s="67">
        <v>121023.0</v>
      </c>
      <c r="L207" s="59"/>
      <c r="M207" s="59"/>
      <c r="N207" s="59"/>
      <c r="O207" s="59"/>
      <c r="P207" s="59"/>
      <c r="Q207" s="59"/>
      <c r="R207" s="59"/>
    </row>
    <row r="208">
      <c r="A208" s="66" t="s">
        <v>1109</v>
      </c>
      <c r="B208" s="66">
        <v>50.0</v>
      </c>
      <c r="C208" s="66">
        <v>68.0</v>
      </c>
      <c r="D208" s="24" t="s">
        <v>927</v>
      </c>
      <c r="E208" s="24" t="s">
        <v>456</v>
      </c>
      <c r="F208" s="66" t="s">
        <v>1110</v>
      </c>
      <c r="G208" s="66">
        <v>85.0</v>
      </c>
      <c r="H208" s="66">
        <v>9.0</v>
      </c>
      <c r="I208" s="66">
        <v>4.0</v>
      </c>
      <c r="J208" s="24" t="s">
        <v>39</v>
      </c>
      <c r="K208" s="67">
        <v>100415.0</v>
      </c>
      <c r="L208" s="59"/>
      <c r="M208" s="59"/>
      <c r="N208" s="59"/>
      <c r="O208" s="59"/>
      <c r="P208" s="59"/>
      <c r="Q208" s="59"/>
      <c r="R208" s="59"/>
    </row>
    <row r="209">
      <c r="A209" s="66" t="s">
        <v>1111</v>
      </c>
      <c r="B209" s="66">
        <v>18.0</v>
      </c>
      <c r="C209" s="66">
        <v>95.0</v>
      </c>
      <c r="D209" s="24" t="s">
        <v>383</v>
      </c>
      <c r="E209" s="24" t="s">
        <v>643</v>
      </c>
      <c r="F209" s="66" t="s">
        <v>1112</v>
      </c>
      <c r="G209" s="66">
        <v>85.0</v>
      </c>
      <c r="H209" s="66">
        <v>9.0</v>
      </c>
      <c r="I209" s="66">
        <v>7.0</v>
      </c>
      <c r="J209" s="24" t="s">
        <v>48</v>
      </c>
      <c r="K209" s="67">
        <v>102421.0</v>
      </c>
      <c r="L209" s="59"/>
      <c r="M209" s="59"/>
      <c r="N209" s="59"/>
      <c r="O209" s="59"/>
      <c r="P209" s="59"/>
      <c r="Q209" s="59"/>
      <c r="R209" s="59"/>
    </row>
    <row r="210">
      <c r="A210" s="66" t="s">
        <v>1113</v>
      </c>
      <c r="B210" s="66">
        <v>11.0</v>
      </c>
      <c r="C210" s="66">
        <v>98.0</v>
      </c>
      <c r="D210" s="24" t="s">
        <v>1093</v>
      </c>
      <c r="E210" s="24" t="s">
        <v>1074</v>
      </c>
      <c r="F210" s="66" t="s">
        <v>1114</v>
      </c>
      <c r="G210" s="66">
        <v>65.0</v>
      </c>
      <c r="H210" s="66">
        <v>4.0</v>
      </c>
      <c r="I210" s="66">
        <v>9.0</v>
      </c>
      <c r="J210" s="24" t="s">
        <v>31</v>
      </c>
      <c r="K210" s="67">
        <v>101017.0</v>
      </c>
      <c r="L210" s="59"/>
      <c r="M210" s="59"/>
      <c r="N210" s="59"/>
      <c r="O210" s="59"/>
      <c r="P210" s="59"/>
      <c r="Q210" s="59"/>
      <c r="R210" s="59"/>
    </row>
    <row r="211">
      <c r="A211" s="66" t="s">
        <v>1115</v>
      </c>
      <c r="B211" s="66">
        <v>24.0</v>
      </c>
      <c r="C211" s="66">
        <v>60.0</v>
      </c>
      <c r="D211" s="24" t="s">
        <v>512</v>
      </c>
      <c r="E211" s="24" t="s">
        <v>159</v>
      </c>
      <c r="F211" s="66" t="s">
        <v>1116</v>
      </c>
      <c r="G211" s="66">
        <v>24.0</v>
      </c>
      <c r="H211" s="66">
        <v>5.0</v>
      </c>
      <c r="I211" s="66">
        <v>6.0</v>
      </c>
      <c r="J211" s="24" t="s">
        <v>33</v>
      </c>
      <c r="K211" s="67">
        <v>122522.0</v>
      </c>
      <c r="L211" s="59"/>
      <c r="M211" s="59"/>
      <c r="N211" s="59"/>
      <c r="O211" s="59"/>
      <c r="P211" s="59"/>
      <c r="Q211" s="59"/>
      <c r="R211" s="59"/>
    </row>
    <row r="212">
      <c r="A212" s="66" t="s">
        <v>1117</v>
      </c>
      <c r="B212" s="66">
        <v>21.0</v>
      </c>
      <c r="C212" s="66">
        <v>72.0</v>
      </c>
      <c r="D212" s="24" t="s">
        <v>195</v>
      </c>
      <c r="E212" s="24" t="s">
        <v>147</v>
      </c>
      <c r="F212" s="66" t="s">
        <v>1118</v>
      </c>
      <c r="G212" s="66">
        <v>65.0</v>
      </c>
      <c r="H212" s="66">
        <v>5.0</v>
      </c>
      <c r="I212" s="66">
        <v>4.0</v>
      </c>
      <c r="J212" s="24" t="s">
        <v>33</v>
      </c>
      <c r="K212" s="67">
        <v>32516.0</v>
      </c>
      <c r="L212" s="59"/>
      <c r="M212" s="59"/>
      <c r="N212" s="59"/>
      <c r="O212" s="59"/>
      <c r="P212" s="59"/>
      <c r="Q212" s="59"/>
      <c r="R212" s="59"/>
    </row>
    <row r="213">
      <c r="A213" s="66" t="s">
        <v>1119</v>
      </c>
      <c r="B213" s="66">
        <v>17.0</v>
      </c>
      <c r="C213" s="66">
        <v>73.0</v>
      </c>
      <c r="D213" s="24" t="s">
        <v>487</v>
      </c>
      <c r="E213" s="24" t="s">
        <v>506</v>
      </c>
      <c r="F213" s="66" t="s">
        <v>1120</v>
      </c>
      <c r="G213" s="66">
        <v>65.0</v>
      </c>
      <c r="H213" s="66">
        <v>5.0</v>
      </c>
      <c r="I213" s="66">
        <v>5.0</v>
      </c>
      <c r="J213" s="24" t="s">
        <v>31</v>
      </c>
      <c r="K213" s="67">
        <v>91220.0</v>
      </c>
      <c r="L213" s="59"/>
      <c r="M213" s="59"/>
      <c r="N213" s="59"/>
      <c r="O213" s="59"/>
      <c r="P213" s="59"/>
      <c r="Q213" s="59"/>
      <c r="R213" s="59"/>
    </row>
    <row r="214">
      <c r="A214" s="66" t="s">
        <v>1121</v>
      </c>
      <c r="B214" s="66">
        <v>95.0</v>
      </c>
      <c r="C214" s="66">
        <v>77.0</v>
      </c>
      <c r="D214" s="24" t="s">
        <v>516</v>
      </c>
      <c r="E214" s="24" t="s">
        <v>362</v>
      </c>
      <c r="F214" s="66" t="s">
        <v>1122</v>
      </c>
      <c r="G214" s="66">
        <v>65.0</v>
      </c>
      <c r="H214" s="66">
        <v>5.0</v>
      </c>
      <c r="I214" s="66">
        <v>7.0</v>
      </c>
      <c r="J214" s="24" t="s">
        <v>48</v>
      </c>
      <c r="K214" s="67">
        <v>70618.0</v>
      </c>
      <c r="L214" s="59"/>
      <c r="M214" s="59"/>
      <c r="N214" s="59"/>
      <c r="O214" s="59"/>
      <c r="P214" s="59"/>
      <c r="Q214" s="59"/>
      <c r="R214" s="59"/>
    </row>
    <row r="215">
      <c r="A215" s="66" t="s">
        <v>1123</v>
      </c>
      <c r="B215" s="66">
        <v>47.0</v>
      </c>
      <c r="C215" s="66">
        <v>25.0</v>
      </c>
      <c r="D215" s="24" t="s">
        <v>1124</v>
      </c>
      <c r="E215" s="24" t="s">
        <v>1125</v>
      </c>
      <c r="F215" s="66" t="s">
        <v>1126</v>
      </c>
      <c r="G215" s="66">
        <v>24.0</v>
      </c>
      <c r="H215" s="66">
        <v>6.0</v>
      </c>
      <c r="I215" s="66">
        <v>2.0</v>
      </c>
      <c r="J215" s="24" t="s">
        <v>29</v>
      </c>
      <c r="K215" s="67">
        <v>31821.0</v>
      </c>
      <c r="L215" s="59"/>
      <c r="M215" s="59"/>
      <c r="N215" s="59"/>
      <c r="O215" s="59"/>
      <c r="P215" s="59"/>
      <c r="Q215" s="59"/>
      <c r="R215" s="59"/>
    </row>
    <row r="216">
      <c r="A216" s="66" t="s">
        <v>1127</v>
      </c>
      <c r="B216" s="66">
        <v>71.0</v>
      </c>
      <c r="C216" s="66">
        <v>83.0</v>
      </c>
      <c r="D216" s="24" t="s">
        <v>103</v>
      </c>
      <c r="E216" s="24" t="s">
        <v>174</v>
      </c>
      <c r="F216" s="66" t="s">
        <v>1128</v>
      </c>
      <c r="G216" s="66">
        <v>24.0</v>
      </c>
      <c r="H216" s="66">
        <v>6.0</v>
      </c>
      <c r="I216" s="66">
        <v>5.0</v>
      </c>
      <c r="J216" s="24" t="s">
        <v>29</v>
      </c>
      <c r="K216" s="67">
        <v>41814.0</v>
      </c>
      <c r="L216" s="59"/>
      <c r="M216" s="59"/>
      <c r="N216" s="59"/>
      <c r="O216" s="59"/>
      <c r="P216" s="59"/>
      <c r="Q216" s="59"/>
      <c r="R216" s="59"/>
    </row>
    <row r="217">
      <c r="A217" s="66" t="s">
        <v>1129</v>
      </c>
      <c r="B217" s="66">
        <v>66.0</v>
      </c>
      <c r="C217" s="66">
        <v>64.0</v>
      </c>
      <c r="D217" s="24" t="s">
        <v>399</v>
      </c>
      <c r="E217" s="24" t="s">
        <v>669</v>
      </c>
      <c r="F217" s="66" t="s">
        <v>1130</v>
      </c>
      <c r="G217" s="66">
        <v>24.0</v>
      </c>
      <c r="H217" s="66">
        <v>6.0</v>
      </c>
      <c r="I217" s="66">
        <v>8.0</v>
      </c>
      <c r="J217" s="24" t="s">
        <v>33</v>
      </c>
      <c r="K217" s="67">
        <v>92319.0</v>
      </c>
      <c r="L217" s="59"/>
      <c r="M217" s="59"/>
      <c r="N217" s="59"/>
      <c r="O217" s="59"/>
      <c r="P217" s="59"/>
      <c r="Q217" s="59"/>
      <c r="R217" s="59"/>
    </row>
    <row r="218">
      <c r="A218" s="66" t="s">
        <v>1131</v>
      </c>
      <c r="B218" s="66">
        <v>62.0</v>
      </c>
      <c r="C218" s="66">
        <v>82.0</v>
      </c>
      <c r="D218" s="24" t="s">
        <v>382</v>
      </c>
      <c r="E218" s="24" t="s">
        <v>912</v>
      </c>
      <c r="F218" s="66" t="s">
        <v>1132</v>
      </c>
      <c r="G218" s="66">
        <v>86.0</v>
      </c>
      <c r="H218" s="66">
        <v>1.0</v>
      </c>
      <c r="I218" s="66">
        <v>2.0</v>
      </c>
      <c r="J218" s="24" t="s">
        <v>29</v>
      </c>
      <c r="K218" s="67">
        <v>100918.0</v>
      </c>
      <c r="L218" s="59"/>
      <c r="M218" s="59"/>
      <c r="N218" s="59"/>
      <c r="O218" s="59"/>
      <c r="P218" s="59"/>
      <c r="Q218" s="59"/>
      <c r="R218" s="59"/>
    </row>
    <row r="219">
      <c r="A219" s="66" t="s">
        <v>1133</v>
      </c>
      <c r="B219" s="66">
        <v>43.0</v>
      </c>
      <c r="C219" s="66">
        <v>80.0</v>
      </c>
      <c r="D219" s="24" t="s">
        <v>172</v>
      </c>
      <c r="E219" s="24" t="s">
        <v>416</v>
      </c>
      <c r="F219" s="66" t="s">
        <v>1134</v>
      </c>
      <c r="G219" s="66">
        <v>65.0</v>
      </c>
      <c r="H219" s="66">
        <v>6.0</v>
      </c>
      <c r="I219" s="66">
        <v>6.0</v>
      </c>
      <c r="J219" s="24" t="s">
        <v>33</v>
      </c>
      <c r="K219" s="67">
        <v>62414.0</v>
      </c>
      <c r="L219" s="59"/>
      <c r="M219" s="59"/>
      <c r="N219" s="59"/>
      <c r="O219" s="59"/>
      <c r="P219" s="59"/>
      <c r="Q219" s="59"/>
      <c r="R219" s="59"/>
    </row>
    <row r="220">
      <c r="A220" s="66" t="s">
        <v>1135</v>
      </c>
      <c r="B220" s="66">
        <v>54.0</v>
      </c>
      <c r="C220" s="66">
        <v>14.0</v>
      </c>
      <c r="D220" s="24" t="s">
        <v>538</v>
      </c>
      <c r="E220" s="24" t="s">
        <v>980</v>
      </c>
      <c r="F220" s="66" t="s">
        <v>1136</v>
      </c>
      <c r="G220" s="66">
        <v>65.0</v>
      </c>
      <c r="H220" s="66">
        <v>6.0</v>
      </c>
      <c r="I220" s="66">
        <v>7.0</v>
      </c>
      <c r="J220" s="24" t="s">
        <v>48</v>
      </c>
      <c r="K220" s="67">
        <v>80914.0</v>
      </c>
      <c r="L220" s="59"/>
      <c r="M220" s="59"/>
      <c r="N220" s="59"/>
      <c r="O220" s="59"/>
      <c r="P220" s="59"/>
      <c r="Q220" s="59"/>
      <c r="R220" s="59"/>
    </row>
    <row r="221">
      <c r="A221" s="66" t="s">
        <v>1137</v>
      </c>
      <c r="B221" s="66">
        <v>35.0</v>
      </c>
      <c r="C221" s="66">
        <v>70.0</v>
      </c>
      <c r="D221" s="24" t="s">
        <v>261</v>
      </c>
      <c r="E221" s="24" t="s">
        <v>535</v>
      </c>
      <c r="F221" s="66" t="s">
        <v>1138</v>
      </c>
      <c r="G221" s="66">
        <v>24.0</v>
      </c>
      <c r="H221" s="66">
        <v>7.0</v>
      </c>
      <c r="I221" s="66">
        <v>3.0</v>
      </c>
      <c r="J221" s="24" t="s">
        <v>48</v>
      </c>
      <c r="K221" s="67">
        <v>122316.0</v>
      </c>
      <c r="L221" s="59"/>
      <c r="M221" s="59"/>
      <c r="N221" s="59"/>
      <c r="O221" s="59"/>
      <c r="P221" s="59"/>
      <c r="Q221" s="59"/>
      <c r="R221" s="59"/>
    </row>
    <row r="222">
      <c r="A222" s="66" t="s">
        <v>1139</v>
      </c>
      <c r="B222" s="66">
        <v>38.0</v>
      </c>
      <c r="C222" s="66">
        <v>77.0</v>
      </c>
      <c r="D222" s="24" t="s">
        <v>1100</v>
      </c>
      <c r="E222" s="24" t="s">
        <v>339</v>
      </c>
      <c r="F222" s="66" t="s">
        <v>1140</v>
      </c>
      <c r="G222" s="66">
        <v>24.0</v>
      </c>
      <c r="H222" s="66">
        <v>7.0</v>
      </c>
      <c r="I222" s="66">
        <v>4.0</v>
      </c>
      <c r="J222" s="24" t="s">
        <v>33</v>
      </c>
      <c r="K222" s="67">
        <v>41020.0</v>
      </c>
      <c r="L222" s="59"/>
      <c r="M222" s="59"/>
      <c r="N222" s="59"/>
      <c r="O222" s="59"/>
      <c r="P222" s="59"/>
      <c r="Q222" s="59"/>
      <c r="R222" s="59"/>
    </row>
    <row r="223">
      <c r="A223" s="66" t="s">
        <v>1141</v>
      </c>
      <c r="B223" s="66">
        <v>65.0</v>
      </c>
      <c r="C223" s="66">
        <v>16.0</v>
      </c>
      <c r="D223" s="24" t="s">
        <v>176</v>
      </c>
      <c r="E223" s="24" t="s">
        <v>237</v>
      </c>
      <c r="F223" s="66" t="s">
        <v>1142</v>
      </c>
      <c r="G223" s="66">
        <v>86.0</v>
      </c>
      <c r="H223" s="66">
        <v>1.0</v>
      </c>
      <c r="I223" s="66">
        <v>7.0</v>
      </c>
      <c r="J223" s="24" t="s">
        <v>33</v>
      </c>
      <c r="K223" s="67">
        <v>63020.0</v>
      </c>
      <c r="L223" s="59"/>
      <c r="M223" s="59"/>
      <c r="N223" s="59"/>
      <c r="O223" s="59"/>
      <c r="P223" s="59"/>
      <c r="Q223" s="59"/>
      <c r="R223" s="59"/>
    </row>
    <row r="224">
      <c r="A224" s="66" t="s">
        <v>1143</v>
      </c>
      <c r="B224" s="66">
        <v>95.0</v>
      </c>
      <c r="C224" s="66">
        <v>45.0</v>
      </c>
      <c r="D224" s="24" t="s">
        <v>481</v>
      </c>
      <c r="E224" s="24" t="s">
        <v>165</v>
      </c>
      <c r="F224" s="66" t="s">
        <v>1144</v>
      </c>
      <c r="G224" s="66">
        <v>65.0</v>
      </c>
      <c r="H224" s="66">
        <v>7.0</v>
      </c>
      <c r="I224" s="66">
        <v>2.0</v>
      </c>
      <c r="J224" s="24" t="s">
        <v>33</v>
      </c>
      <c r="K224" s="67">
        <v>72513.0</v>
      </c>
      <c r="L224" s="59"/>
      <c r="M224" s="59"/>
      <c r="N224" s="59"/>
      <c r="O224" s="59"/>
      <c r="P224" s="59"/>
      <c r="Q224" s="59"/>
      <c r="R224" s="59"/>
    </row>
    <row r="225">
      <c r="A225" s="66" t="s">
        <v>1145</v>
      </c>
      <c r="B225" s="66">
        <v>18.0</v>
      </c>
      <c r="C225" s="66">
        <v>38.0</v>
      </c>
      <c r="D225" s="24" t="s">
        <v>407</v>
      </c>
      <c r="E225" s="24" t="s">
        <v>383</v>
      </c>
      <c r="F225" s="66" t="s">
        <v>1146</v>
      </c>
      <c r="G225" s="66">
        <v>45.0</v>
      </c>
      <c r="H225" s="66">
        <v>2.0</v>
      </c>
      <c r="I225" s="66">
        <v>6.0</v>
      </c>
      <c r="J225" s="24" t="s">
        <v>33</v>
      </c>
      <c r="K225" s="67">
        <v>53013.0</v>
      </c>
      <c r="L225" s="59"/>
      <c r="M225" s="59"/>
      <c r="N225" s="59"/>
      <c r="O225" s="59"/>
      <c r="P225" s="59"/>
      <c r="Q225" s="59"/>
      <c r="R225" s="59"/>
    </row>
    <row r="226">
      <c r="A226" s="66" t="s">
        <v>1147</v>
      </c>
      <c r="B226" s="66">
        <v>84.0</v>
      </c>
      <c r="C226" s="66">
        <v>20.0</v>
      </c>
      <c r="D226" s="24" t="s">
        <v>313</v>
      </c>
      <c r="E226" s="24" t="s">
        <v>251</v>
      </c>
      <c r="F226" s="66" t="s">
        <v>1148</v>
      </c>
      <c r="G226" s="66">
        <v>45.0</v>
      </c>
      <c r="H226" s="66">
        <v>3.0</v>
      </c>
      <c r="I226" s="66">
        <v>3.0</v>
      </c>
      <c r="J226" s="24" t="s">
        <v>33</v>
      </c>
      <c r="K226" s="67">
        <v>120613.0</v>
      </c>
      <c r="L226" s="59"/>
      <c r="M226" s="59"/>
      <c r="N226" s="59"/>
      <c r="O226" s="59"/>
      <c r="P226" s="59"/>
      <c r="Q226" s="59"/>
      <c r="R226" s="59"/>
    </row>
    <row r="227">
      <c r="A227" s="66" t="s">
        <v>1149</v>
      </c>
      <c r="B227" s="66">
        <v>66.0</v>
      </c>
      <c r="C227" s="66">
        <v>10.0</v>
      </c>
      <c r="D227" s="24" t="s">
        <v>474</v>
      </c>
      <c r="E227" s="24" t="s">
        <v>1150</v>
      </c>
      <c r="F227" s="66" t="s">
        <v>1151</v>
      </c>
      <c r="G227" s="66">
        <v>65.0</v>
      </c>
      <c r="H227" s="66">
        <v>8.0</v>
      </c>
      <c r="I227" s="66">
        <v>2.0</v>
      </c>
      <c r="J227" s="24" t="s">
        <v>29</v>
      </c>
      <c r="K227" s="67">
        <v>22517.0</v>
      </c>
      <c r="L227" s="59"/>
      <c r="M227" s="59"/>
      <c r="N227" s="59"/>
      <c r="O227" s="59"/>
      <c r="P227" s="59"/>
      <c r="Q227" s="59"/>
      <c r="R227" s="59"/>
    </row>
    <row r="228">
      <c r="A228" s="66" t="s">
        <v>1152</v>
      </c>
      <c r="B228" s="66">
        <v>14.0</v>
      </c>
      <c r="C228" s="66">
        <v>16.0</v>
      </c>
      <c r="D228" s="24" t="s">
        <v>294</v>
      </c>
      <c r="E228" s="24" t="s">
        <v>57</v>
      </c>
      <c r="F228" s="66" t="s">
        <v>1153</v>
      </c>
      <c r="G228" s="66">
        <v>24.0</v>
      </c>
      <c r="H228" s="66">
        <v>8.0</v>
      </c>
      <c r="I228" s="66">
        <v>5.0</v>
      </c>
      <c r="J228" s="24" t="s">
        <v>48</v>
      </c>
      <c r="K228" s="67">
        <v>121213.0</v>
      </c>
      <c r="L228" s="59"/>
      <c r="M228" s="59"/>
      <c r="N228" s="59"/>
      <c r="O228" s="59"/>
      <c r="P228" s="59"/>
      <c r="Q228" s="59"/>
      <c r="R228" s="59"/>
    </row>
    <row r="229">
      <c r="A229" s="66" t="s">
        <v>1154</v>
      </c>
      <c r="B229" s="66">
        <v>50.0</v>
      </c>
      <c r="C229" s="66">
        <v>86.0</v>
      </c>
      <c r="D229" s="24" t="s">
        <v>253</v>
      </c>
      <c r="E229" s="24" t="s">
        <v>437</v>
      </c>
      <c r="F229" s="66" t="s">
        <v>1155</v>
      </c>
      <c r="G229" s="66">
        <v>86.0</v>
      </c>
      <c r="H229" s="66">
        <v>3.0</v>
      </c>
      <c r="I229" s="66">
        <v>2.0</v>
      </c>
      <c r="J229" s="24" t="s">
        <v>48</v>
      </c>
      <c r="K229" s="67">
        <v>90723.0</v>
      </c>
      <c r="L229" s="59"/>
      <c r="M229" s="59"/>
      <c r="N229" s="59"/>
      <c r="O229" s="59"/>
      <c r="P229" s="59"/>
      <c r="Q229" s="59"/>
      <c r="R229" s="59"/>
    </row>
    <row r="230">
      <c r="A230" s="66" t="s">
        <v>1156</v>
      </c>
      <c r="B230" s="66">
        <v>92.0</v>
      </c>
      <c r="C230" s="66">
        <v>40.0</v>
      </c>
      <c r="D230" s="24" t="s">
        <v>359</v>
      </c>
      <c r="E230" s="24" t="s">
        <v>512</v>
      </c>
      <c r="F230" s="66" t="s">
        <v>1157</v>
      </c>
      <c r="G230" s="66">
        <v>45.0</v>
      </c>
      <c r="H230" s="66">
        <v>3.0</v>
      </c>
      <c r="I230" s="66">
        <v>7.0</v>
      </c>
      <c r="J230" s="24" t="s">
        <v>39</v>
      </c>
      <c r="K230" s="67">
        <v>101122.0</v>
      </c>
      <c r="L230" s="59"/>
      <c r="M230" s="59"/>
      <c r="N230" s="59"/>
      <c r="O230" s="59"/>
      <c r="P230" s="59"/>
      <c r="Q230" s="59"/>
      <c r="R230" s="59"/>
    </row>
    <row r="231">
      <c r="A231" s="66" t="s">
        <v>1158</v>
      </c>
      <c r="B231" s="66">
        <v>96.0</v>
      </c>
      <c r="C231" s="66">
        <v>85.0</v>
      </c>
      <c r="D231" s="24" t="s">
        <v>431</v>
      </c>
      <c r="E231" s="24" t="s">
        <v>490</v>
      </c>
      <c r="F231" s="66" t="s">
        <v>1159</v>
      </c>
      <c r="G231" s="66">
        <v>86.0</v>
      </c>
      <c r="H231" s="66">
        <v>3.0</v>
      </c>
      <c r="I231" s="66">
        <v>4.0</v>
      </c>
      <c r="J231" s="24" t="s">
        <v>31</v>
      </c>
      <c r="K231" s="67">
        <v>31223.0</v>
      </c>
      <c r="L231" s="59"/>
      <c r="M231" s="59"/>
      <c r="N231" s="59"/>
      <c r="O231" s="59"/>
      <c r="P231" s="59"/>
      <c r="Q231" s="59"/>
      <c r="R231" s="59"/>
    </row>
    <row r="232">
      <c r="A232" s="66" t="s">
        <v>1160</v>
      </c>
      <c r="B232" s="66">
        <v>34.0</v>
      </c>
      <c r="C232" s="66">
        <v>12.0</v>
      </c>
      <c r="D232" s="24" t="s">
        <v>506</v>
      </c>
      <c r="E232" s="24" t="s">
        <v>139</v>
      </c>
      <c r="F232" s="66" t="s">
        <v>1161</v>
      </c>
      <c r="G232" s="66">
        <v>65.0</v>
      </c>
      <c r="H232" s="66">
        <v>8.0</v>
      </c>
      <c r="I232" s="66">
        <v>6.0</v>
      </c>
      <c r="J232" s="24" t="s">
        <v>39</v>
      </c>
      <c r="K232" s="67">
        <v>30519.0</v>
      </c>
      <c r="L232" s="59"/>
      <c r="M232" s="59"/>
      <c r="N232" s="59"/>
      <c r="O232" s="59"/>
      <c r="P232" s="59"/>
      <c r="Q232" s="59"/>
      <c r="R232" s="59"/>
    </row>
    <row r="233">
      <c r="A233" s="66" t="s">
        <v>1162</v>
      </c>
      <c r="B233" s="66">
        <v>62.0</v>
      </c>
      <c r="C233" s="66">
        <v>18.0</v>
      </c>
      <c r="D233" s="24" t="s">
        <v>465</v>
      </c>
      <c r="E233" s="24" t="s">
        <v>255</v>
      </c>
      <c r="F233" s="66" t="s">
        <v>1163</v>
      </c>
      <c r="G233" s="66">
        <v>45.0</v>
      </c>
      <c r="H233" s="66">
        <v>4.0</v>
      </c>
      <c r="I233" s="66">
        <v>1.0</v>
      </c>
      <c r="J233" s="24" t="s">
        <v>33</v>
      </c>
      <c r="K233" s="67">
        <v>122116.0</v>
      </c>
      <c r="L233" s="59"/>
      <c r="M233" s="59"/>
      <c r="N233" s="59"/>
      <c r="O233" s="59"/>
      <c r="P233" s="59"/>
      <c r="Q233" s="59"/>
      <c r="R233" s="59"/>
    </row>
    <row r="234">
      <c r="A234" s="66" t="s">
        <v>1164</v>
      </c>
      <c r="B234" s="66">
        <v>87.0</v>
      </c>
      <c r="C234" s="66">
        <v>20.0</v>
      </c>
      <c r="D234" s="24" t="s">
        <v>472</v>
      </c>
      <c r="E234" s="24" t="s">
        <v>1093</v>
      </c>
      <c r="F234" s="66" t="s">
        <v>1165</v>
      </c>
      <c r="G234" s="66">
        <v>24.0</v>
      </c>
      <c r="H234" s="66">
        <v>9.0</v>
      </c>
      <c r="I234" s="66">
        <v>5.0</v>
      </c>
      <c r="J234" s="24" t="s">
        <v>48</v>
      </c>
      <c r="K234" s="67">
        <v>11015.0</v>
      </c>
      <c r="L234" s="59"/>
      <c r="M234" s="59"/>
      <c r="N234" s="59"/>
      <c r="O234" s="59"/>
      <c r="P234" s="59"/>
      <c r="Q234" s="59"/>
      <c r="R234" s="59"/>
    </row>
    <row r="235">
      <c r="A235" s="66" t="s">
        <v>1166</v>
      </c>
      <c r="B235" s="66">
        <v>85.0</v>
      </c>
      <c r="C235" s="66">
        <v>90.0</v>
      </c>
      <c r="D235" s="24" t="s">
        <v>382</v>
      </c>
      <c r="E235" s="24" t="s">
        <v>303</v>
      </c>
      <c r="F235" s="66" t="s">
        <v>1167</v>
      </c>
      <c r="G235" s="66">
        <v>24.0</v>
      </c>
      <c r="H235" s="66">
        <v>9.0</v>
      </c>
      <c r="I235" s="66">
        <v>6.0</v>
      </c>
      <c r="J235" s="24" t="s">
        <v>39</v>
      </c>
      <c r="K235" s="67">
        <v>60420.0</v>
      </c>
      <c r="L235" s="59"/>
      <c r="M235" s="59"/>
      <c r="N235" s="59"/>
      <c r="O235" s="59"/>
      <c r="P235" s="59"/>
      <c r="Q235" s="59"/>
      <c r="R235" s="59"/>
    </row>
    <row r="236">
      <c r="A236" s="66" t="s">
        <v>1168</v>
      </c>
      <c r="B236" s="66">
        <v>61.0</v>
      </c>
      <c r="C236" s="66">
        <v>19.0</v>
      </c>
      <c r="D236" s="24" t="s">
        <v>36</v>
      </c>
      <c r="E236" s="24" t="s">
        <v>161</v>
      </c>
      <c r="F236" s="66" t="s">
        <v>1169</v>
      </c>
      <c r="G236" s="66">
        <v>45.0</v>
      </c>
      <c r="H236" s="66">
        <v>4.0</v>
      </c>
      <c r="I236" s="66">
        <v>5.0</v>
      </c>
      <c r="J236" s="24" t="s">
        <v>48</v>
      </c>
      <c r="K236" s="67">
        <v>91721.0</v>
      </c>
      <c r="L236" s="59"/>
      <c r="M236" s="59"/>
      <c r="N236" s="59"/>
      <c r="O236" s="59"/>
      <c r="P236" s="59"/>
      <c r="Q236" s="59"/>
      <c r="R236" s="59"/>
    </row>
    <row r="237">
      <c r="A237" s="66" t="s">
        <v>1170</v>
      </c>
      <c r="B237" s="66">
        <v>27.0</v>
      </c>
      <c r="C237" s="66">
        <v>71.0</v>
      </c>
      <c r="D237" s="24" t="s">
        <v>263</v>
      </c>
      <c r="E237" s="24" t="s">
        <v>320</v>
      </c>
      <c r="F237" s="66" t="s">
        <v>1171</v>
      </c>
      <c r="G237" s="66">
        <v>45.0</v>
      </c>
      <c r="H237" s="66">
        <v>4.0</v>
      </c>
      <c r="I237" s="66">
        <v>4.0</v>
      </c>
      <c r="J237" s="24" t="s">
        <v>33</v>
      </c>
      <c r="K237" s="67">
        <v>112016.0</v>
      </c>
      <c r="L237" s="59"/>
      <c r="M237" s="59"/>
      <c r="N237" s="59"/>
      <c r="O237" s="59"/>
      <c r="P237" s="59"/>
      <c r="Q237" s="59"/>
      <c r="R237" s="59"/>
    </row>
    <row r="238">
      <c r="A238" s="66" t="s">
        <v>1172</v>
      </c>
      <c r="B238" s="66">
        <v>73.0</v>
      </c>
      <c r="C238" s="66">
        <v>85.0</v>
      </c>
      <c r="D238" s="24" t="s">
        <v>67</v>
      </c>
      <c r="E238" s="24" t="s">
        <v>169</v>
      </c>
      <c r="F238" s="66" t="s">
        <v>1173</v>
      </c>
      <c r="G238" s="66">
        <v>45.0</v>
      </c>
      <c r="H238" s="66">
        <v>4.0</v>
      </c>
      <c r="I238" s="66">
        <v>9.0</v>
      </c>
      <c r="J238" s="24" t="s">
        <v>31</v>
      </c>
      <c r="K238" s="67">
        <v>81622.0</v>
      </c>
      <c r="L238" s="59"/>
      <c r="M238" s="59"/>
      <c r="N238" s="59"/>
      <c r="O238" s="59"/>
      <c r="P238" s="59"/>
      <c r="Q238" s="59"/>
      <c r="R238" s="59"/>
    </row>
    <row r="239">
      <c r="A239" s="66" t="s">
        <v>1174</v>
      </c>
      <c r="B239" s="66">
        <v>88.0</v>
      </c>
      <c r="C239" s="66">
        <v>45.0</v>
      </c>
      <c r="D239" s="24" t="s">
        <v>393</v>
      </c>
      <c r="E239" s="24" t="s">
        <v>125</v>
      </c>
      <c r="F239" s="66" t="s">
        <v>1175</v>
      </c>
      <c r="G239" s="66">
        <v>86.0</v>
      </c>
      <c r="H239" s="66">
        <v>4.0</v>
      </c>
      <c r="I239" s="66">
        <v>6.0</v>
      </c>
      <c r="J239" s="24" t="s">
        <v>39</v>
      </c>
      <c r="K239" s="67">
        <v>90622.0</v>
      </c>
      <c r="L239" s="59"/>
      <c r="M239" s="59"/>
      <c r="N239" s="59"/>
      <c r="O239" s="59"/>
      <c r="P239" s="59"/>
      <c r="Q239" s="59"/>
      <c r="R239" s="59"/>
    </row>
    <row r="240">
      <c r="A240" s="66" t="s">
        <v>1176</v>
      </c>
      <c r="B240" s="66">
        <v>51.0</v>
      </c>
      <c r="C240" s="66">
        <v>94.0</v>
      </c>
      <c r="D240" s="24" t="s">
        <v>322</v>
      </c>
      <c r="E240" s="24" t="s">
        <v>82</v>
      </c>
      <c r="F240" s="66" t="s">
        <v>1177</v>
      </c>
      <c r="G240" s="66">
        <v>86.0</v>
      </c>
      <c r="H240" s="66">
        <v>4.0</v>
      </c>
      <c r="I240" s="66">
        <v>8.0</v>
      </c>
      <c r="J240" s="24" t="s">
        <v>33</v>
      </c>
      <c r="K240" s="67">
        <v>20919.0</v>
      </c>
      <c r="L240" s="59"/>
      <c r="M240" s="59"/>
      <c r="N240" s="59"/>
      <c r="O240" s="59"/>
      <c r="P240" s="59"/>
      <c r="Q240" s="59"/>
      <c r="R240" s="59"/>
    </row>
    <row r="241">
      <c r="A241" s="66" t="s">
        <v>1178</v>
      </c>
      <c r="B241" s="66">
        <v>65.0</v>
      </c>
      <c r="C241" s="66">
        <v>45.0</v>
      </c>
      <c r="D241" s="24" t="s">
        <v>85</v>
      </c>
      <c r="E241" s="24" t="s">
        <v>499</v>
      </c>
      <c r="F241" s="66" t="s">
        <v>1179</v>
      </c>
      <c r="G241" s="66">
        <v>45.0</v>
      </c>
      <c r="H241" s="66">
        <v>5.0</v>
      </c>
      <c r="I241" s="66">
        <v>2.0</v>
      </c>
      <c r="J241" s="24" t="s">
        <v>39</v>
      </c>
      <c r="K241" s="67">
        <v>22718.0</v>
      </c>
      <c r="L241" s="59"/>
      <c r="M241" s="59"/>
      <c r="N241" s="59"/>
      <c r="O241" s="59"/>
      <c r="P241" s="59"/>
      <c r="Q241" s="59"/>
      <c r="R241" s="59"/>
    </row>
    <row r="242">
      <c r="A242" s="66" t="s">
        <v>1180</v>
      </c>
      <c r="B242" s="66">
        <v>27.0</v>
      </c>
      <c r="C242" s="66">
        <v>19.0</v>
      </c>
      <c r="D242" s="24" t="s">
        <v>1181</v>
      </c>
      <c r="E242" s="24" t="s">
        <v>285</v>
      </c>
      <c r="F242" s="66" t="s">
        <v>1182</v>
      </c>
      <c r="G242" s="66">
        <v>25.0</v>
      </c>
      <c r="H242" s="66">
        <v>1.0</v>
      </c>
      <c r="I242" s="66">
        <v>1.0</v>
      </c>
      <c r="J242" s="24" t="s">
        <v>31</v>
      </c>
      <c r="K242" s="67">
        <v>110918.0</v>
      </c>
      <c r="L242" s="59"/>
      <c r="M242" s="59"/>
      <c r="N242" s="59"/>
      <c r="O242" s="59"/>
      <c r="P242" s="59"/>
      <c r="Q242" s="59"/>
      <c r="R242" s="59"/>
    </row>
    <row r="243">
      <c r="A243" s="66" t="s">
        <v>1183</v>
      </c>
      <c r="B243" s="66">
        <v>11.0</v>
      </c>
      <c r="C243" s="66">
        <v>56.0</v>
      </c>
      <c r="D243" s="24" t="s">
        <v>495</v>
      </c>
      <c r="E243" s="24" t="s">
        <v>1184</v>
      </c>
      <c r="F243" s="66" t="s">
        <v>1185</v>
      </c>
      <c r="G243" s="66">
        <v>86.0</v>
      </c>
      <c r="H243" s="66">
        <v>5.0</v>
      </c>
      <c r="I243" s="66">
        <v>9.0</v>
      </c>
      <c r="J243" s="24" t="s">
        <v>29</v>
      </c>
      <c r="K243" s="67">
        <v>40613.0</v>
      </c>
      <c r="L243" s="59"/>
      <c r="M243" s="59"/>
      <c r="N243" s="59"/>
      <c r="O243" s="59"/>
      <c r="P243" s="59"/>
      <c r="Q243" s="59"/>
      <c r="R243" s="59"/>
    </row>
    <row r="244">
      <c r="A244" s="66" t="s">
        <v>1186</v>
      </c>
      <c r="B244" s="66">
        <v>81.0</v>
      </c>
      <c r="C244" s="66">
        <v>27.0</v>
      </c>
      <c r="D244" s="24" t="s">
        <v>519</v>
      </c>
      <c r="E244" s="24" t="s">
        <v>1187</v>
      </c>
      <c r="F244" s="66" t="s">
        <v>1188</v>
      </c>
      <c r="G244" s="66">
        <v>66.0</v>
      </c>
      <c r="H244" s="66">
        <v>1.0</v>
      </c>
      <c r="I244" s="66">
        <v>2.0</v>
      </c>
      <c r="J244" s="24" t="s">
        <v>29</v>
      </c>
      <c r="K244" s="67">
        <v>122221.0</v>
      </c>
      <c r="L244" s="59"/>
      <c r="M244" s="59"/>
      <c r="N244" s="59"/>
      <c r="O244" s="59"/>
      <c r="P244" s="59"/>
      <c r="Q244" s="59"/>
      <c r="R244" s="59"/>
    </row>
    <row r="245">
      <c r="A245" s="66" t="s">
        <v>1189</v>
      </c>
      <c r="B245" s="66">
        <v>23.0</v>
      </c>
      <c r="C245" s="66">
        <v>25.0</v>
      </c>
      <c r="D245" s="24" t="s">
        <v>60</v>
      </c>
      <c r="E245" s="24" t="s">
        <v>380</v>
      </c>
      <c r="F245" s="66" t="s">
        <v>1190</v>
      </c>
      <c r="G245" s="66">
        <v>66.0</v>
      </c>
      <c r="H245" s="66">
        <v>1.0</v>
      </c>
      <c r="I245" s="66">
        <v>1.0</v>
      </c>
      <c r="J245" s="24" t="s">
        <v>48</v>
      </c>
      <c r="K245" s="67">
        <v>120917.0</v>
      </c>
      <c r="L245" s="59"/>
      <c r="M245" s="59"/>
      <c r="N245" s="59"/>
      <c r="O245" s="59"/>
      <c r="P245" s="59"/>
      <c r="Q245" s="59"/>
      <c r="R245" s="59"/>
    </row>
    <row r="246">
      <c r="A246" s="66" t="s">
        <v>1191</v>
      </c>
      <c r="B246" s="66">
        <v>21.0</v>
      </c>
      <c r="C246" s="66">
        <v>16.0</v>
      </c>
      <c r="D246" s="24" t="s">
        <v>234</v>
      </c>
      <c r="E246" s="24" t="s">
        <v>538</v>
      </c>
      <c r="F246" s="66" t="s">
        <v>1192</v>
      </c>
      <c r="G246" s="66">
        <v>45.0</v>
      </c>
      <c r="H246" s="66">
        <v>6.0</v>
      </c>
      <c r="I246" s="66">
        <v>6.0</v>
      </c>
      <c r="J246" s="24" t="s">
        <v>33</v>
      </c>
      <c r="K246" s="67">
        <v>11818.0</v>
      </c>
      <c r="L246" s="59"/>
      <c r="M246" s="59"/>
      <c r="N246" s="59"/>
      <c r="O246" s="59"/>
      <c r="P246" s="59"/>
      <c r="Q246" s="59"/>
      <c r="R246" s="59"/>
    </row>
    <row r="247">
      <c r="A247" s="66" t="s">
        <v>1193</v>
      </c>
      <c r="B247" s="66">
        <v>21.0</v>
      </c>
      <c r="C247" s="66">
        <v>25.0</v>
      </c>
      <c r="D247" s="24" t="s">
        <v>341</v>
      </c>
      <c r="E247" s="24" t="s">
        <v>219</v>
      </c>
      <c r="F247" s="66" t="s">
        <v>1194</v>
      </c>
      <c r="G247" s="66">
        <v>25.0</v>
      </c>
      <c r="H247" s="66">
        <v>1.0</v>
      </c>
      <c r="I247" s="66">
        <v>9.0</v>
      </c>
      <c r="J247" s="24" t="s">
        <v>31</v>
      </c>
      <c r="K247" s="67">
        <v>121216.0</v>
      </c>
      <c r="L247" s="59"/>
      <c r="M247" s="59"/>
      <c r="N247" s="59"/>
      <c r="O247" s="59"/>
      <c r="P247" s="59"/>
      <c r="Q247" s="59"/>
      <c r="R247" s="59"/>
    </row>
    <row r="248">
      <c r="A248" s="66" t="s">
        <v>1195</v>
      </c>
      <c r="B248" s="66">
        <v>44.0</v>
      </c>
      <c r="C248" s="66">
        <v>86.0</v>
      </c>
      <c r="D248" s="24" t="s">
        <v>1196</v>
      </c>
      <c r="E248" s="24" t="s">
        <v>43</v>
      </c>
      <c r="F248" s="66" t="s">
        <v>1197</v>
      </c>
      <c r="G248" s="66">
        <v>66.0</v>
      </c>
      <c r="H248" s="66">
        <v>1.0</v>
      </c>
      <c r="I248" s="66">
        <v>7.0</v>
      </c>
      <c r="J248" s="24" t="s">
        <v>48</v>
      </c>
      <c r="K248" s="67">
        <v>11317.0</v>
      </c>
      <c r="L248" s="59"/>
      <c r="M248" s="59"/>
      <c r="N248" s="59"/>
      <c r="O248" s="59"/>
      <c r="P248" s="59"/>
      <c r="Q248" s="59"/>
      <c r="R248" s="59"/>
    </row>
    <row r="249">
      <c r="A249" s="66" t="s">
        <v>1198</v>
      </c>
      <c r="B249" s="66">
        <v>35.0</v>
      </c>
      <c r="C249" s="66">
        <v>47.0</v>
      </c>
      <c r="D249" s="24" t="s">
        <v>323</v>
      </c>
      <c r="E249" s="24" t="s">
        <v>179</v>
      </c>
      <c r="F249" s="66" t="s">
        <v>1199</v>
      </c>
      <c r="G249" s="66">
        <v>25.0</v>
      </c>
      <c r="H249" s="66">
        <v>2.0</v>
      </c>
      <c r="I249" s="66">
        <v>1.0</v>
      </c>
      <c r="J249" s="24" t="s">
        <v>29</v>
      </c>
      <c r="K249" s="67">
        <v>62222.0</v>
      </c>
      <c r="L249" s="59"/>
      <c r="M249" s="59"/>
      <c r="N249" s="59"/>
      <c r="O249" s="59"/>
      <c r="P249" s="59"/>
      <c r="Q249" s="59"/>
      <c r="R249" s="59"/>
    </row>
    <row r="250">
      <c r="A250" s="66" t="s">
        <v>1200</v>
      </c>
      <c r="B250" s="66">
        <v>60.0</v>
      </c>
      <c r="C250" s="66">
        <v>53.0</v>
      </c>
      <c r="D250" s="24" t="s">
        <v>298</v>
      </c>
      <c r="E250" s="24" t="s">
        <v>1201</v>
      </c>
      <c r="F250" s="66" t="s">
        <v>1202</v>
      </c>
      <c r="G250" s="66">
        <v>86.0</v>
      </c>
      <c r="H250" s="66">
        <v>6.0</v>
      </c>
      <c r="I250" s="66">
        <v>8.0</v>
      </c>
      <c r="J250" s="24" t="s">
        <v>29</v>
      </c>
      <c r="K250" s="67">
        <v>21921.0</v>
      </c>
      <c r="L250" s="59"/>
      <c r="M250" s="59"/>
      <c r="N250" s="59"/>
      <c r="O250" s="59"/>
      <c r="P250" s="59"/>
      <c r="Q250" s="59"/>
      <c r="R250" s="59"/>
    </row>
    <row r="251">
      <c r="A251" s="66" t="s">
        <v>1203</v>
      </c>
      <c r="B251" s="66">
        <v>75.0</v>
      </c>
      <c r="C251" s="66">
        <v>91.0</v>
      </c>
      <c r="D251" s="24" t="s">
        <v>208</v>
      </c>
      <c r="E251" s="24" t="s">
        <v>764</v>
      </c>
      <c r="F251" s="66" t="s">
        <v>1204</v>
      </c>
      <c r="G251" s="66">
        <v>45.0</v>
      </c>
      <c r="H251" s="66">
        <v>7.0</v>
      </c>
      <c r="I251" s="66">
        <v>6.0</v>
      </c>
      <c r="J251" s="24" t="s">
        <v>39</v>
      </c>
      <c r="K251" s="67">
        <v>21915.0</v>
      </c>
      <c r="L251" s="59"/>
      <c r="M251" s="59"/>
      <c r="N251" s="59"/>
      <c r="O251" s="59"/>
      <c r="P251" s="59"/>
      <c r="Q251" s="59"/>
      <c r="R251" s="59"/>
    </row>
    <row r="252">
      <c r="A252" s="66" t="s">
        <v>1205</v>
      </c>
      <c r="B252" s="66">
        <v>63.0</v>
      </c>
      <c r="C252" s="66">
        <v>96.0</v>
      </c>
      <c r="D252" s="24" t="s">
        <v>453</v>
      </c>
      <c r="E252" s="24" t="s">
        <v>284</v>
      </c>
      <c r="F252" s="66" t="s">
        <v>1206</v>
      </c>
      <c r="G252" s="66">
        <v>66.0</v>
      </c>
      <c r="H252" s="66">
        <v>2.0</v>
      </c>
      <c r="I252" s="66">
        <v>5.0</v>
      </c>
      <c r="J252" s="24" t="s">
        <v>29</v>
      </c>
      <c r="K252" s="67">
        <v>80120.0</v>
      </c>
      <c r="L252" s="59"/>
      <c r="M252" s="59"/>
      <c r="N252" s="59"/>
      <c r="O252" s="59"/>
      <c r="P252" s="59"/>
      <c r="Q252" s="59"/>
      <c r="R252" s="59"/>
    </row>
    <row r="253">
      <c r="A253" s="66" t="s">
        <v>1207</v>
      </c>
      <c r="B253" s="66">
        <v>80.0</v>
      </c>
      <c r="C253" s="66">
        <v>28.0</v>
      </c>
      <c r="D253" s="24" t="s">
        <v>181</v>
      </c>
      <c r="E253" s="24" t="s">
        <v>482</v>
      </c>
      <c r="F253" s="66" t="s">
        <v>1208</v>
      </c>
      <c r="G253" s="66">
        <v>86.0</v>
      </c>
      <c r="H253" s="66">
        <v>7.0</v>
      </c>
      <c r="I253" s="66">
        <v>2.0</v>
      </c>
      <c r="J253" s="24" t="s">
        <v>33</v>
      </c>
      <c r="K253" s="67">
        <v>20118.0</v>
      </c>
      <c r="L253" s="59"/>
      <c r="M253" s="59"/>
      <c r="N253" s="59"/>
      <c r="O253" s="59"/>
      <c r="P253" s="59"/>
      <c r="Q253" s="59"/>
      <c r="R253" s="59"/>
    </row>
    <row r="254">
      <c r="A254" s="66" t="s">
        <v>1209</v>
      </c>
      <c r="B254" s="66">
        <v>47.0</v>
      </c>
      <c r="C254" s="66">
        <v>83.0</v>
      </c>
      <c r="D254" s="24" t="s">
        <v>56</v>
      </c>
      <c r="E254" s="24" t="s">
        <v>175</v>
      </c>
      <c r="F254" s="66" t="s">
        <v>1210</v>
      </c>
      <c r="G254" s="66">
        <v>45.0</v>
      </c>
      <c r="H254" s="66">
        <v>7.0</v>
      </c>
      <c r="I254" s="66">
        <v>9.0</v>
      </c>
      <c r="J254" s="24" t="s">
        <v>31</v>
      </c>
      <c r="K254" s="67">
        <v>52418.0</v>
      </c>
      <c r="L254" s="59"/>
      <c r="M254" s="59"/>
      <c r="N254" s="59"/>
      <c r="O254" s="59"/>
      <c r="P254" s="59"/>
      <c r="Q254" s="59"/>
      <c r="R254" s="59"/>
    </row>
    <row r="255">
      <c r="A255" s="66" t="s">
        <v>1211</v>
      </c>
      <c r="B255" s="66">
        <v>12.0</v>
      </c>
      <c r="C255" s="66">
        <v>88.0</v>
      </c>
      <c r="D255" s="24" t="s">
        <v>199</v>
      </c>
      <c r="E255" s="24" t="s">
        <v>180</v>
      </c>
      <c r="F255" s="66" t="s">
        <v>1212</v>
      </c>
      <c r="G255" s="66">
        <v>25.0</v>
      </c>
      <c r="H255" s="66">
        <v>3.0</v>
      </c>
      <c r="I255" s="66">
        <v>2.0</v>
      </c>
      <c r="J255" s="24" t="s">
        <v>31</v>
      </c>
      <c r="K255" s="67">
        <v>70213.0</v>
      </c>
      <c r="L255" s="59"/>
      <c r="M255" s="59"/>
      <c r="N255" s="59"/>
      <c r="O255" s="59"/>
      <c r="P255" s="59"/>
      <c r="Q255" s="59"/>
      <c r="R255" s="59"/>
    </row>
    <row r="256">
      <c r="A256" s="66" t="s">
        <v>1213</v>
      </c>
      <c r="B256" s="66">
        <v>30.0</v>
      </c>
      <c r="C256" s="66">
        <v>55.0</v>
      </c>
      <c r="D256" s="24" t="s">
        <v>150</v>
      </c>
      <c r="E256" s="24" t="s">
        <v>662</v>
      </c>
      <c r="F256" s="66" t="s">
        <v>1214</v>
      </c>
      <c r="G256" s="66">
        <v>25.0</v>
      </c>
      <c r="H256" s="66">
        <v>3.0</v>
      </c>
      <c r="I256" s="66">
        <v>3.0</v>
      </c>
      <c r="J256" s="24" t="s">
        <v>48</v>
      </c>
      <c r="K256" s="67">
        <v>41622.0</v>
      </c>
      <c r="L256" s="59"/>
      <c r="M256" s="59"/>
      <c r="N256" s="59"/>
      <c r="O256" s="59"/>
      <c r="P256" s="59"/>
      <c r="Q256" s="59"/>
      <c r="R256" s="59"/>
    </row>
    <row r="257">
      <c r="A257" s="66" t="s">
        <v>1215</v>
      </c>
      <c r="B257" s="66">
        <v>11.0</v>
      </c>
      <c r="C257" s="66">
        <v>72.0</v>
      </c>
      <c r="D257" s="24" t="s">
        <v>126</v>
      </c>
      <c r="E257" s="24" t="s">
        <v>368</v>
      </c>
      <c r="F257" s="66" t="s">
        <v>1216</v>
      </c>
      <c r="G257" s="66">
        <v>45.0</v>
      </c>
      <c r="H257" s="66">
        <v>8.0</v>
      </c>
      <c r="I257" s="66">
        <v>2.0</v>
      </c>
      <c r="J257" s="24" t="s">
        <v>48</v>
      </c>
      <c r="K257" s="67">
        <v>51023.0</v>
      </c>
      <c r="L257" s="59"/>
      <c r="M257" s="59"/>
      <c r="N257" s="59"/>
      <c r="O257" s="59"/>
      <c r="P257" s="59"/>
      <c r="Q257" s="59"/>
      <c r="R257" s="59"/>
    </row>
    <row r="258">
      <c r="A258" s="66" t="s">
        <v>1217</v>
      </c>
      <c r="B258" s="66">
        <v>39.0</v>
      </c>
      <c r="C258" s="66">
        <v>73.0</v>
      </c>
      <c r="D258" s="24" t="s">
        <v>1218</v>
      </c>
      <c r="E258" s="24" t="s">
        <v>247</v>
      </c>
      <c r="F258" s="66" t="s">
        <v>1219</v>
      </c>
      <c r="G258" s="66">
        <v>86.0</v>
      </c>
      <c r="H258" s="66">
        <v>7.0</v>
      </c>
      <c r="I258" s="66">
        <v>9.0</v>
      </c>
      <c r="J258" s="24" t="s">
        <v>29</v>
      </c>
      <c r="K258" s="67">
        <v>70523.0</v>
      </c>
      <c r="L258" s="59"/>
      <c r="M258" s="59"/>
      <c r="N258" s="59"/>
      <c r="O258" s="59"/>
      <c r="P258" s="59"/>
      <c r="Q258" s="59"/>
      <c r="R258" s="59"/>
    </row>
    <row r="259">
      <c r="A259" s="66" t="s">
        <v>1220</v>
      </c>
      <c r="B259" s="66">
        <v>64.0</v>
      </c>
      <c r="C259" s="66">
        <v>91.0</v>
      </c>
      <c r="D259" s="24" t="s">
        <v>194</v>
      </c>
      <c r="E259" s="24" t="s">
        <v>179</v>
      </c>
      <c r="F259" s="66" t="s">
        <v>1221</v>
      </c>
      <c r="G259" s="66">
        <v>45.0</v>
      </c>
      <c r="H259" s="66">
        <v>8.0</v>
      </c>
      <c r="I259" s="66">
        <v>4.0</v>
      </c>
      <c r="J259" s="24" t="s">
        <v>39</v>
      </c>
      <c r="K259" s="67">
        <v>12918.0</v>
      </c>
      <c r="L259" s="59"/>
      <c r="M259" s="59"/>
      <c r="N259" s="59"/>
      <c r="O259" s="59"/>
      <c r="P259" s="59"/>
      <c r="Q259" s="59"/>
      <c r="R259" s="59"/>
    </row>
    <row r="260">
      <c r="A260" s="66" t="s">
        <v>1222</v>
      </c>
      <c r="B260" s="66">
        <v>17.0</v>
      </c>
      <c r="C260" s="66">
        <v>90.0</v>
      </c>
      <c r="D260" s="24" t="s">
        <v>32</v>
      </c>
      <c r="E260" s="24" t="s">
        <v>435</v>
      </c>
      <c r="F260" s="66" t="s">
        <v>1223</v>
      </c>
      <c r="G260" s="66">
        <v>45.0</v>
      </c>
      <c r="H260" s="66">
        <v>8.0</v>
      </c>
      <c r="I260" s="66">
        <v>5.0</v>
      </c>
      <c r="J260" s="24" t="s">
        <v>29</v>
      </c>
      <c r="K260" s="67">
        <v>52115.0</v>
      </c>
      <c r="L260" s="59"/>
      <c r="M260" s="59"/>
      <c r="N260" s="59"/>
      <c r="O260" s="59"/>
      <c r="P260" s="59"/>
      <c r="Q260" s="59"/>
      <c r="R260" s="59"/>
    </row>
    <row r="261">
      <c r="A261" s="66" t="s">
        <v>1224</v>
      </c>
      <c r="B261" s="66">
        <v>15.0</v>
      </c>
      <c r="C261" s="66">
        <v>33.0</v>
      </c>
      <c r="D261" s="24" t="s">
        <v>1225</v>
      </c>
      <c r="E261" s="24" t="s">
        <v>764</v>
      </c>
      <c r="F261" s="66" t="s">
        <v>1226</v>
      </c>
      <c r="G261" s="66">
        <v>66.0</v>
      </c>
      <c r="H261" s="66">
        <v>3.0</v>
      </c>
      <c r="I261" s="66">
        <v>4.0</v>
      </c>
      <c r="J261" s="24" t="s">
        <v>48</v>
      </c>
      <c r="K261" s="67">
        <v>62113.0</v>
      </c>
      <c r="L261" s="59"/>
      <c r="M261" s="59"/>
      <c r="N261" s="59"/>
      <c r="O261" s="59"/>
      <c r="P261" s="59"/>
      <c r="Q261" s="59"/>
      <c r="R261" s="59"/>
    </row>
    <row r="262">
      <c r="A262" s="66" t="s">
        <v>1227</v>
      </c>
      <c r="B262" s="66">
        <v>88.0</v>
      </c>
      <c r="C262" s="66">
        <v>13.0</v>
      </c>
      <c r="D262" s="24" t="s">
        <v>192</v>
      </c>
      <c r="E262" s="24" t="s">
        <v>1074</v>
      </c>
      <c r="F262" s="66" t="s">
        <v>1228</v>
      </c>
      <c r="G262" s="66">
        <v>21.0</v>
      </c>
      <c r="H262" s="66">
        <v>3.0</v>
      </c>
      <c r="I262" s="66">
        <v>2.0</v>
      </c>
      <c r="J262" s="24" t="s">
        <v>29</v>
      </c>
      <c r="K262" s="67">
        <v>103116.0</v>
      </c>
      <c r="L262" s="59"/>
      <c r="M262" s="59"/>
      <c r="N262" s="59"/>
      <c r="O262" s="59"/>
      <c r="P262" s="59"/>
      <c r="Q262" s="59"/>
      <c r="R262" s="59"/>
    </row>
    <row r="263">
      <c r="A263" s="66" t="s">
        <v>1229</v>
      </c>
      <c r="B263" s="66">
        <v>29.0</v>
      </c>
      <c r="C263" s="66">
        <v>60.0</v>
      </c>
      <c r="D263" s="24" t="s">
        <v>1077</v>
      </c>
      <c r="E263" s="24" t="s">
        <v>542</v>
      </c>
      <c r="F263" s="66" t="s">
        <v>1230</v>
      </c>
      <c r="G263" s="66">
        <v>45.0</v>
      </c>
      <c r="H263" s="66">
        <v>8.0</v>
      </c>
      <c r="I263" s="66">
        <v>6.0</v>
      </c>
      <c r="J263" s="24" t="s">
        <v>31</v>
      </c>
      <c r="K263" s="67">
        <v>112319.0</v>
      </c>
      <c r="L263" s="59"/>
      <c r="M263" s="59"/>
      <c r="N263" s="59"/>
      <c r="O263" s="59"/>
      <c r="P263" s="59"/>
      <c r="Q263" s="59"/>
      <c r="R263" s="59"/>
    </row>
    <row r="264">
      <c r="A264" s="66" t="s">
        <v>1231</v>
      </c>
      <c r="B264" s="66">
        <v>17.0</v>
      </c>
      <c r="C264" s="66">
        <v>76.0</v>
      </c>
      <c r="D264" s="24" t="s">
        <v>405</v>
      </c>
      <c r="E264" s="24" t="s">
        <v>1232</v>
      </c>
      <c r="F264" s="66" t="s">
        <v>1233</v>
      </c>
      <c r="G264" s="66">
        <v>45.0</v>
      </c>
      <c r="H264" s="66">
        <v>8.0</v>
      </c>
      <c r="I264" s="66">
        <v>9.0</v>
      </c>
      <c r="J264" s="24" t="s">
        <v>31</v>
      </c>
      <c r="K264" s="67">
        <v>121515.0</v>
      </c>
      <c r="L264" s="59"/>
      <c r="M264" s="59"/>
      <c r="N264" s="59"/>
      <c r="O264" s="59"/>
      <c r="P264" s="59"/>
      <c r="Q264" s="59"/>
      <c r="R264" s="59"/>
    </row>
    <row r="265">
      <c r="A265" s="66" t="s">
        <v>1234</v>
      </c>
      <c r="B265" s="66">
        <v>84.0</v>
      </c>
      <c r="C265" s="66">
        <v>90.0</v>
      </c>
      <c r="D265" s="24" t="s">
        <v>132</v>
      </c>
      <c r="E265" s="24" t="s">
        <v>449</v>
      </c>
      <c r="F265" s="66" t="s">
        <v>1235</v>
      </c>
      <c r="G265" s="66">
        <v>86.0</v>
      </c>
      <c r="H265" s="66">
        <v>9.0</v>
      </c>
      <c r="I265" s="66">
        <v>7.0</v>
      </c>
      <c r="J265" s="24" t="s">
        <v>31</v>
      </c>
      <c r="K265" s="67">
        <v>122813.0</v>
      </c>
      <c r="L265" s="59"/>
      <c r="M265" s="59"/>
      <c r="N265" s="59"/>
      <c r="O265" s="59"/>
      <c r="P265" s="59"/>
      <c r="Q265" s="59"/>
      <c r="R265" s="59"/>
    </row>
    <row r="266">
      <c r="A266" s="66" t="s">
        <v>1236</v>
      </c>
      <c r="B266" s="66">
        <v>59.0</v>
      </c>
      <c r="C266" s="66">
        <v>51.0</v>
      </c>
      <c r="D266" s="24" t="s">
        <v>412</v>
      </c>
      <c r="E266" s="24" t="s">
        <v>38</v>
      </c>
      <c r="F266" s="66" t="s">
        <v>1237</v>
      </c>
      <c r="G266" s="66">
        <v>86.0</v>
      </c>
      <c r="H266" s="66">
        <v>9.0</v>
      </c>
      <c r="I266" s="66">
        <v>8.0</v>
      </c>
      <c r="J266" s="24" t="s">
        <v>29</v>
      </c>
      <c r="K266" s="67">
        <v>92123.0</v>
      </c>
      <c r="L266" s="59"/>
      <c r="M266" s="59"/>
      <c r="N266" s="59"/>
      <c r="O266" s="59"/>
      <c r="P266" s="59"/>
      <c r="Q266" s="59"/>
      <c r="R266" s="59"/>
    </row>
    <row r="267">
      <c r="A267" s="66" t="s">
        <v>1238</v>
      </c>
      <c r="B267" s="66">
        <v>18.0</v>
      </c>
      <c r="C267" s="66">
        <v>35.0</v>
      </c>
      <c r="D267" s="24" t="s">
        <v>423</v>
      </c>
      <c r="E267" s="24" t="s">
        <v>116</v>
      </c>
      <c r="F267" s="66" t="s">
        <v>1239</v>
      </c>
      <c r="G267" s="66">
        <v>25.0</v>
      </c>
      <c r="H267" s="66">
        <v>5.0</v>
      </c>
      <c r="I267" s="66">
        <v>5.0</v>
      </c>
      <c r="J267" s="24" t="s">
        <v>31</v>
      </c>
      <c r="K267" s="67">
        <v>100716.0</v>
      </c>
      <c r="L267" s="59"/>
      <c r="M267" s="59"/>
      <c r="N267" s="59"/>
      <c r="O267" s="59"/>
      <c r="P267" s="59"/>
      <c r="Q267" s="59"/>
      <c r="R267" s="59"/>
    </row>
    <row r="268">
      <c r="A268" s="66" t="s">
        <v>1240</v>
      </c>
      <c r="B268" s="66">
        <v>30.0</v>
      </c>
      <c r="C268" s="66">
        <v>33.0</v>
      </c>
      <c r="D268" s="24" t="s">
        <v>388</v>
      </c>
      <c r="E268" s="24" t="s">
        <v>1225</v>
      </c>
      <c r="F268" s="66" t="s">
        <v>1241</v>
      </c>
      <c r="G268" s="66">
        <v>25.0</v>
      </c>
      <c r="H268" s="66">
        <v>5.0</v>
      </c>
      <c r="I268" s="66">
        <v>8.0</v>
      </c>
      <c r="J268" s="24" t="s">
        <v>39</v>
      </c>
      <c r="K268" s="67">
        <v>72515.0</v>
      </c>
      <c r="L268" s="59"/>
      <c r="M268" s="59"/>
      <c r="N268" s="59"/>
      <c r="O268" s="59"/>
      <c r="P268" s="59"/>
      <c r="Q268" s="59"/>
      <c r="R268" s="59"/>
    </row>
    <row r="269">
      <c r="A269" s="66" t="s">
        <v>1242</v>
      </c>
      <c r="B269" s="66">
        <v>20.0</v>
      </c>
      <c r="C269" s="66">
        <v>57.0</v>
      </c>
      <c r="D269" s="24" t="s">
        <v>40</v>
      </c>
      <c r="E269" s="24" t="s">
        <v>416</v>
      </c>
      <c r="F269" s="66" t="s">
        <v>1243</v>
      </c>
      <c r="G269" s="66">
        <v>25.0</v>
      </c>
      <c r="H269" s="66">
        <v>6.0</v>
      </c>
      <c r="I269" s="66">
        <v>5.0</v>
      </c>
      <c r="J269" s="24" t="s">
        <v>31</v>
      </c>
      <c r="K269" s="67">
        <v>72720.0</v>
      </c>
      <c r="L269" s="59"/>
      <c r="M269" s="59"/>
      <c r="N269" s="59"/>
      <c r="O269" s="59"/>
      <c r="P269" s="59"/>
      <c r="Q269" s="59"/>
      <c r="R269" s="59"/>
    </row>
    <row r="270">
      <c r="A270" s="66" t="s">
        <v>1244</v>
      </c>
      <c r="B270" s="66">
        <v>38.0</v>
      </c>
      <c r="C270" s="66">
        <v>63.0</v>
      </c>
      <c r="D270" s="24" t="s">
        <v>79</v>
      </c>
      <c r="E270" s="24" t="s">
        <v>1245</v>
      </c>
      <c r="F270" s="66" t="s">
        <v>1246</v>
      </c>
      <c r="G270" s="66">
        <v>87.0</v>
      </c>
      <c r="H270" s="66">
        <v>1.0</v>
      </c>
      <c r="I270" s="66">
        <v>3.0</v>
      </c>
      <c r="J270" s="24" t="s">
        <v>33</v>
      </c>
      <c r="K270" s="67">
        <v>40714.0</v>
      </c>
      <c r="L270" s="59"/>
      <c r="M270" s="59"/>
      <c r="N270" s="59"/>
      <c r="O270" s="59"/>
      <c r="P270" s="59"/>
      <c r="Q270" s="59"/>
      <c r="R270" s="59"/>
    </row>
    <row r="271">
      <c r="A271" s="66" t="s">
        <v>1247</v>
      </c>
      <c r="B271" s="66">
        <v>31.0</v>
      </c>
      <c r="C271" s="66">
        <v>65.0</v>
      </c>
      <c r="D271" s="24" t="s">
        <v>116</v>
      </c>
      <c r="E271" s="24" t="s">
        <v>669</v>
      </c>
      <c r="F271" s="66" t="s">
        <v>1248</v>
      </c>
      <c r="G271" s="66">
        <v>66.0</v>
      </c>
      <c r="H271" s="66">
        <v>6.0</v>
      </c>
      <c r="I271" s="66">
        <v>8.0</v>
      </c>
      <c r="J271" s="24" t="s">
        <v>31</v>
      </c>
      <c r="K271" s="67">
        <v>102214.0</v>
      </c>
      <c r="L271" s="59"/>
      <c r="M271" s="59"/>
      <c r="N271" s="59"/>
      <c r="O271" s="59"/>
      <c r="P271" s="59"/>
      <c r="Q271" s="59"/>
      <c r="R271" s="59"/>
    </row>
    <row r="272">
      <c r="A272" s="66" t="s">
        <v>1249</v>
      </c>
      <c r="B272" s="66">
        <v>42.0</v>
      </c>
      <c r="C272" s="66">
        <v>70.0</v>
      </c>
      <c r="D272" s="24" t="s">
        <v>235</v>
      </c>
      <c r="E272" s="24" t="s">
        <v>232</v>
      </c>
      <c r="F272" s="66" t="s">
        <v>1250</v>
      </c>
      <c r="G272" s="66">
        <v>66.0</v>
      </c>
      <c r="H272" s="66">
        <v>6.0</v>
      </c>
      <c r="I272" s="66">
        <v>9.0</v>
      </c>
      <c r="J272" s="24" t="s">
        <v>39</v>
      </c>
      <c r="K272" s="67">
        <v>110923.0</v>
      </c>
      <c r="L272" s="59"/>
      <c r="M272" s="59"/>
      <c r="N272" s="59"/>
      <c r="O272" s="59"/>
      <c r="P272" s="59"/>
      <c r="Q272" s="59"/>
      <c r="R272" s="59"/>
    </row>
    <row r="273">
      <c r="A273" s="66" t="s">
        <v>1251</v>
      </c>
      <c r="B273" s="66">
        <v>38.0</v>
      </c>
      <c r="C273" s="66">
        <v>27.0</v>
      </c>
      <c r="D273" s="24" t="s">
        <v>69</v>
      </c>
      <c r="E273" s="24" t="s">
        <v>375</v>
      </c>
      <c r="F273" s="66" t="s">
        <v>1252</v>
      </c>
      <c r="G273" s="66">
        <v>25.0</v>
      </c>
      <c r="H273" s="66">
        <v>7.0</v>
      </c>
      <c r="I273" s="66">
        <v>3.0</v>
      </c>
      <c r="J273" s="24" t="s">
        <v>29</v>
      </c>
      <c r="K273" s="67">
        <v>81822.0</v>
      </c>
      <c r="L273" s="59"/>
      <c r="M273" s="59"/>
      <c r="N273" s="59"/>
      <c r="O273" s="59"/>
      <c r="P273" s="59"/>
      <c r="Q273" s="59"/>
      <c r="R273" s="59"/>
    </row>
    <row r="274">
      <c r="A274" s="66" t="s">
        <v>1253</v>
      </c>
      <c r="B274" s="66">
        <v>29.0</v>
      </c>
      <c r="C274" s="66">
        <v>90.0</v>
      </c>
      <c r="D274" s="24" t="s">
        <v>478</v>
      </c>
      <c r="E274" s="24" t="s">
        <v>259</v>
      </c>
      <c r="F274" s="66" t="s">
        <v>1254</v>
      </c>
      <c r="G274" s="66">
        <v>87.0</v>
      </c>
      <c r="H274" s="66">
        <v>1.0</v>
      </c>
      <c r="I274" s="66">
        <v>9.0</v>
      </c>
      <c r="J274" s="24" t="s">
        <v>39</v>
      </c>
      <c r="K274" s="67">
        <v>80715.0</v>
      </c>
      <c r="L274" s="59"/>
      <c r="M274" s="59"/>
      <c r="N274" s="59"/>
      <c r="O274" s="59"/>
      <c r="P274" s="59"/>
      <c r="Q274" s="59"/>
      <c r="R274" s="59"/>
    </row>
    <row r="275">
      <c r="A275" s="66" t="s">
        <v>1255</v>
      </c>
      <c r="B275" s="66">
        <v>63.0</v>
      </c>
      <c r="C275" s="66">
        <v>94.0</v>
      </c>
      <c r="D275" s="24" t="s">
        <v>1256</v>
      </c>
      <c r="E275" s="24" t="s">
        <v>86</v>
      </c>
      <c r="F275" s="66" t="s">
        <v>1257</v>
      </c>
      <c r="G275" s="66">
        <v>46.0</v>
      </c>
      <c r="H275" s="66">
        <v>2.0</v>
      </c>
      <c r="I275" s="66">
        <v>4.0</v>
      </c>
      <c r="J275" s="24" t="s">
        <v>48</v>
      </c>
      <c r="K275" s="67">
        <v>81622.0</v>
      </c>
      <c r="L275" s="59"/>
      <c r="M275" s="59"/>
      <c r="N275" s="59"/>
      <c r="O275" s="59"/>
      <c r="P275" s="59"/>
      <c r="Q275" s="59"/>
      <c r="R275" s="59"/>
    </row>
    <row r="276">
      <c r="A276" s="66" t="s">
        <v>1258</v>
      </c>
      <c r="B276" s="66">
        <v>82.0</v>
      </c>
      <c r="C276" s="66">
        <v>22.0</v>
      </c>
      <c r="D276" s="24" t="s">
        <v>1259</v>
      </c>
      <c r="E276" s="24" t="s">
        <v>355</v>
      </c>
      <c r="F276" s="66" t="s">
        <v>1260</v>
      </c>
      <c r="G276" s="66">
        <v>25.0</v>
      </c>
      <c r="H276" s="66">
        <v>8.0</v>
      </c>
      <c r="I276" s="66">
        <v>2.0</v>
      </c>
      <c r="J276" s="24" t="s">
        <v>48</v>
      </c>
      <c r="K276" s="67">
        <v>112714.0</v>
      </c>
      <c r="L276" s="59"/>
      <c r="M276" s="59"/>
      <c r="N276" s="59"/>
      <c r="O276" s="59"/>
      <c r="P276" s="59"/>
      <c r="Q276" s="59"/>
      <c r="R276" s="59"/>
    </row>
    <row r="277">
      <c r="A277" s="66" t="s">
        <v>1261</v>
      </c>
      <c r="B277" s="66">
        <v>27.0</v>
      </c>
      <c r="C277" s="66">
        <v>27.0</v>
      </c>
      <c r="D277" s="24" t="s">
        <v>382</v>
      </c>
      <c r="E277" s="24" t="s">
        <v>538</v>
      </c>
      <c r="F277" s="66" t="s">
        <v>1262</v>
      </c>
      <c r="G277" s="66">
        <v>25.0</v>
      </c>
      <c r="H277" s="66">
        <v>8.0</v>
      </c>
      <c r="I277" s="66">
        <v>3.0</v>
      </c>
      <c r="J277" s="24" t="s">
        <v>33</v>
      </c>
      <c r="K277" s="67">
        <v>92421.0</v>
      </c>
      <c r="L277" s="59"/>
      <c r="M277" s="59"/>
      <c r="N277" s="59"/>
      <c r="O277" s="59"/>
      <c r="P277" s="59"/>
      <c r="Q277" s="59"/>
      <c r="R277" s="59"/>
    </row>
    <row r="278">
      <c r="A278" s="66" t="s">
        <v>1263</v>
      </c>
      <c r="B278" s="66">
        <v>19.0</v>
      </c>
      <c r="C278" s="66">
        <v>42.0</v>
      </c>
      <c r="D278" s="24" t="s">
        <v>77</v>
      </c>
      <c r="E278" s="24" t="s">
        <v>98</v>
      </c>
      <c r="F278" s="66" t="s">
        <v>1264</v>
      </c>
      <c r="G278" s="66">
        <v>46.0</v>
      </c>
      <c r="H278" s="66">
        <v>3.0</v>
      </c>
      <c r="I278" s="66">
        <v>3.0</v>
      </c>
      <c r="J278" s="24" t="s">
        <v>39</v>
      </c>
      <c r="K278" s="67">
        <v>20117.0</v>
      </c>
      <c r="L278" s="59"/>
      <c r="M278" s="59"/>
      <c r="N278" s="59"/>
      <c r="O278" s="59"/>
      <c r="P278" s="59"/>
      <c r="Q278" s="59"/>
      <c r="R278" s="59"/>
    </row>
    <row r="279">
      <c r="A279" s="66" t="s">
        <v>1265</v>
      </c>
      <c r="B279" s="66">
        <v>30.0</v>
      </c>
      <c r="C279" s="66">
        <v>50.0</v>
      </c>
      <c r="D279" s="24" t="s">
        <v>119</v>
      </c>
      <c r="E279" s="24" t="s">
        <v>440</v>
      </c>
      <c r="F279" s="66" t="s">
        <v>1266</v>
      </c>
      <c r="G279" s="66">
        <v>25.0</v>
      </c>
      <c r="H279" s="66">
        <v>8.0</v>
      </c>
      <c r="I279" s="66">
        <v>6.0</v>
      </c>
      <c r="J279" s="24" t="s">
        <v>29</v>
      </c>
      <c r="K279" s="67">
        <v>110623.0</v>
      </c>
      <c r="L279" s="59"/>
      <c r="M279" s="59"/>
      <c r="N279" s="59"/>
      <c r="O279" s="59"/>
      <c r="P279" s="59"/>
      <c r="Q279" s="59"/>
      <c r="R279" s="59"/>
    </row>
    <row r="280">
      <c r="A280" s="66" t="s">
        <v>1267</v>
      </c>
      <c r="B280" s="66">
        <v>29.0</v>
      </c>
      <c r="C280" s="66">
        <v>87.0</v>
      </c>
      <c r="D280" s="24" t="s">
        <v>752</v>
      </c>
      <c r="E280" s="24" t="s">
        <v>72</v>
      </c>
      <c r="F280" s="66">
        <v>4411.0</v>
      </c>
      <c r="G280" s="66">
        <v>87.0</v>
      </c>
      <c r="H280" s="66">
        <v>3.0</v>
      </c>
      <c r="I280" s="66">
        <v>2.0</v>
      </c>
      <c r="J280" s="24" t="s">
        <v>33</v>
      </c>
      <c r="K280" s="67">
        <v>100115.0</v>
      </c>
      <c r="L280" s="59"/>
      <c r="M280" s="59"/>
      <c r="N280" s="59"/>
      <c r="O280" s="59"/>
      <c r="P280" s="59"/>
      <c r="Q280" s="59"/>
      <c r="R280" s="59"/>
    </row>
    <row r="281">
      <c r="A281" s="66" t="s">
        <v>1268</v>
      </c>
      <c r="B281" s="66">
        <v>33.0</v>
      </c>
      <c r="C281" s="66">
        <v>37.0</v>
      </c>
      <c r="D281" s="24" t="s">
        <v>1044</v>
      </c>
      <c r="E281" s="24" t="s">
        <v>329</v>
      </c>
      <c r="F281" s="66" t="s">
        <v>1269</v>
      </c>
      <c r="G281" s="66">
        <v>46.0</v>
      </c>
      <c r="H281" s="66">
        <v>3.0</v>
      </c>
      <c r="I281" s="66">
        <v>6.0</v>
      </c>
      <c r="J281" s="24" t="s">
        <v>33</v>
      </c>
      <c r="K281" s="67">
        <v>102516.0</v>
      </c>
      <c r="L281" s="59"/>
      <c r="M281" s="59"/>
      <c r="N281" s="59"/>
      <c r="O281" s="59"/>
      <c r="P281" s="59"/>
      <c r="Q281" s="59"/>
      <c r="R281" s="59"/>
    </row>
    <row r="282">
      <c r="A282" s="66" t="s">
        <v>1270</v>
      </c>
      <c r="B282" s="66">
        <v>52.0</v>
      </c>
      <c r="C282" s="66">
        <v>25.0</v>
      </c>
      <c r="D282" s="24" t="s">
        <v>1105</v>
      </c>
      <c r="E282" s="24" t="s">
        <v>246</v>
      </c>
      <c r="F282" s="66" t="s">
        <v>1271</v>
      </c>
      <c r="G282" s="66">
        <v>46.0</v>
      </c>
      <c r="H282" s="66">
        <v>3.0</v>
      </c>
      <c r="I282" s="66">
        <v>8.0</v>
      </c>
      <c r="J282" s="24" t="s">
        <v>33</v>
      </c>
      <c r="K282" s="67">
        <v>42916.0</v>
      </c>
      <c r="L282" s="59"/>
      <c r="M282" s="59"/>
      <c r="N282" s="59"/>
      <c r="O282" s="59"/>
      <c r="P282" s="59"/>
      <c r="Q282" s="59"/>
      <c r="R282" s="59"/>
    </row>
    <row r="283">
      <c r="A283" s="66" t="s">
        <v>1272</v>
      </c>
      <c r="B283" s="66">
        <v>26.0</v>
      </c>
      <c r="C283" s="66">
        <v>93.0</v>
      </c>
      <c r="D283" s="24" t="s">
        <v>103</v>
      </c>
      <c r="E283" s="24" t="s">
        <v>933</v>
      </c>
      <c r="F283" s="66" t="s">
        <v>1273</v>
      </c>
      <c r="G283" s="66">
        <v>66.0</v>
      </c>
      <c r="H283" s="66">
        <v>8.0</v>
      </c>
      <c r="I283" s="66">
        <v>6.0</v>
      </c>
      <c r="J283" s="24" t="s">
        <v>33</v>
      </c>
      <c r="K283" s="67">
        <v>62716.0</v>
      </c>
      <c r="L283" s="59"/>
      <c r="M283" s="59"/>
      <c r="N283" s="59"/>
      <c r="O283" s="59"/>
      <c r="P283" s="59"/>
      <c r="Q283" s="59"/>
      <c r="R283" s="59"/>
    </row>
    <row r="284">
      <c r="A284" s="66" t="s">
        <v>1274</v>
      </c>
      <c r="B284" s="66">
        <v>63.0</v>
      </c>
      <c r="C284" s="66">
        <v>98.0</v>
      </c>
      <c r="D284" s="24" t="s">
        <v>344</v>
      </c>
      <c r="E284" s="24" t="s">
        <v>67</v>
      </c>
      <c r="F284" s="66" t="s">
        <v>1275</v>
      </c>
      <c r="G284" s="66">
        <v>87.0</v>
      </c>
      <c r="H284" s="66">
        <v>3.0</v>
      </c>
      <c r="I284" s="66">
        <v>6.0</v>
      </c>
      <c r="J284" s="24" t="s">
        <v>29</v>
      </c>
      <c r="K284" s="67">
        <v>20119.0</v>
      </c>
      <c r="L284" s="59"/>
      <c r="M284" s="59"/>
      <c r="N284" s="59"/>
      <c r="O284" s="59"/>
      <c r="P284" s="59"/>
      <c r="Q284" s="59"/>
      <c r="R284" s="59"/>
    </row>
    <row r="285">
      <c r="A285" s="66" t="s">
        <v>1276</v>
      </c>
      <c r="B285" s="66">
        <v>61.0</v>
      </c>
      <c r="C285" s="66">
        <v>45.0</v>
      </c>
      <c r="D285" s="24" t="s">
        <v>525</v>
      </c>
      <c r="E285" s="24" t="s">
        <v>468</v>
      </c>
      <c r="F285" s="66" t="s">
        <v>1277</v>
      </c>
      <c r="G285" s="66">
        <v>87.0</v>
      </c>
      <c r="H285" s="66">
        <v>3.0</v>
      </c>
      <c r="I285" s="66">
        <v>7.0</v>
      </c>
      <c r="J285" s="24" t="s">
        <v>48</v>
      </c>
      <c r="K285" s="67">
        <v>80921.0</v>
      </c>
      <c r="L285" s="59"/>
      <c r="M285" s="59"/>
      <c r="N285" s="59"/>
      <c r="O285" s="59"/>
      <c r="P285" s="59"/>
      <c r="Q285" s="59"/>
      <c r="R285" s="59"/>
    </row>
    <row r="286">
      <c r="A286" s="66" t="s">
        <v>1278</v>
      </c>
      <c r="B286" s="66">
        <v>22.0</v>
      </c>
      <c r="C286" s="66">
        <v>26.0</v>
      </c>
      <c r="D286" s="24" t="s">
        <v>501</v>
      </c>
      <c r="E286" s="24" t="s">
        <v>77</v>
      </c>
      <c r="F286" s="66" t="s">
        <v>1279</v>
      </c>
      <c r="G286" s="66">
        <v>66.0</v>
      </c>
      <c r="H286" s="66">
        <v>8.0</v>
      </c>
      <c r="I286" s="66">
        <v>9.0</v>
      </c>
      <c r="J286" s="24" t="s">
        <v>48</v>
      </c>
      <c r="K286" s="67">
        <v>71417.0</v>
      </c>
      <c r="L286" s="59"/>
      <c r="M286" s="59"/>
      <c r="N286" s="59"/>
      <c r="O286" s="59"/>
      <c r="P286" s="59"/>
      <c r="Q286" s="59"/>
      <c r="R286" s="59"/>
    </row>
    <row r="287">
      <c r="A287" s="66" t="s">
        <v>1280</v>
      </c>
      <c r="B287" s="66">
        <v>16.0</v>
      </c>
      <c r="C287" s="66">
        <v>81.0</v>
      </c>
      <c r="D287" s="24" t="s">
        <v>1281</v>
      </c>
      <c r="E287" s="24" t="s">
        <v>275</v>
      </c>
      <c r="F287" s="66" t="s">
        <v>1282</v>
      </c>
      <c r="G287" s="66">
        <v>66.0</v>
      </c>
      <c r="H287" s="66">
        <v>8.0</v>
      </c>
      <c r="I287" s="66">
        <v>5.0</v>
      </c>
      <c r="J287" s="24" t="s">
        <v>48</v>
      </c>
      <c r="K287" s="67">
        <v>50317.0</v>
      </c>
      <c r="L287" s="59"/>
      <c r="M287" s="59"/>
      <c r="N287" s="59"/>
      <c r="O287" s="59"/>
      <c r="P287" s="59"/>
      <c r="Q287" s="59"/>
      <c r="R287" s="59"/>
    </row>
    <row r="288">
      <c r="A288" s="66" t="s">
        <v>1283</v>
      </c>
      <c r="B288" s="66">
        <v>51.0</v>
      </c>
      <c r="C288" s="66">
        <v>92.0</v>
      </c>
      <c r="D288" s="24" t="s">
        <v>351</v>
      </c>
      <c r="E288" s="24" t="s">
        <v>1284</v>
      </c>
      <c r="F288" s="66" t="s">
        <v>1285</v>
      </c>
      <c r="G288" s="66">
        <v>66.0</v>
      </c>
      <c r="H288" s="66">
        <v>9.0</v>
      </c>
      <c r="I288" s="66">
        <v>3.0</v>
      </c>
      <c r="J288" s="24" t="s">
        <v>31</v>
      </c>
      <c r="K288" s="67">
        <v>62823.0</v>
      </c>
      <c r="L288" s="59"/>
      <c r="M288" s="59"/>
      <c r="N288" s="59"/>
      <c r="O288" s="59"/>
      <c r="P288" s="59"/>
      <c r="Q288" s="59"/>
      <c r="R288" s="59"/>
    </row>
    <row r="289">
      <c r="A289" s="66" t="s">
        <v>1286</v>
      </c>
      <c r="B289" s="66">
        <v>62.0</v>
      </c>
      <c r="C289" s="66">
        <v>59.0</v>
      </c>
      <c r="D289" s="24" t="s">
        <v>1218</v>
      </c>
      <c r="E289" s="24" t="s">
        <v>1287</v>
      </c>
      <c r="F289" s="66" t="s">
        <v>1288</v>
      </c>
      <c r="G289" s="66">
        <v>66.0</v>
      </c>
      <c r="H289" s="66">
        <v>9.0</v>
      </c>
      <c r="I289" s="66">
        <v>4.0</v>
      </c>
      <c r="J289" s="24" t="s">
        <v>29</v>
      </c>
      <c r="K289" s="67">
        <v>50923.0</v>
      </c>
      <c r="L289" s="59"/>
      <c r="M289" s="59"/>
      <c r="N289" s="59"/>
      <c r="O289" s="59"/>
      <c r="P289" s="59"/>
      <c r="Q289" s="59"/>
      <c r="R289" s="59"/>
    </row>
    <row r="290">
      <c r="A290" s="66" t="s">
        <v>1289</v>
      </c>
      <c r="B290" s="66">
        <v>13.0</v>
      </c>
      <c r="C290" s="66">
        <v>22.0</v>
      </c>
      <c r="D290" s="24" t="s">
        <v>480</v>
      </c>
      <c r="E290" s="24" t="s">
        <v>118</v>
      </c>
      <c r="F290" s="66" t="s">
        <v>1290</v>
      </c>
      <c r="G290" s="66">
        <v>87.0</v>
      </c>
      <c r="H290" s="66">
        <v>4.0</v>
      </c>
      <c r="I290" s="66">
        <v>2.0</v>
      </c>
      <c r="J290" s="24" t="s">
        <v>31</v>
      </c>
      <c r="K290" s="67">
        <v>32022.0</v>
      </c>
      <c r="L290" s="59"/>
      <c r="M290" s="59"/>
      <c r="N290" s="59"/>
      <c r="O290" s="59"/>
      <c r="P290" s="59"/>
      <c r="Q290" s="59"/>
      <c r="R290" s="59"/>
    </row>
    <row r="291">
      <c r="A291" s="66" t="s">
        <v>1291</v>
      </c>
      <c r="B291" s="66">
        <v>50.0</v>
      </c>
      <c r="C291" s="66">
        <v>54.0</v>
      </c>
      <c r="D291" s="24" t="s">
        <v>285</v>
      </c>
      <c r="E291" s="24" t="s">
        <v>53</v>
      </c>
      <c r="F291" s="66" t="s">
        <v>1292</v>
      </c>
      <c r="G291" s="66">
        <v>87.0</v>
      </c>
      <c r="H291" s="66">
        <v>4.0</v>
      </c>
      <c r="I291" s="66">
        <v>4.0</v>
      </c>
      <c r="J291" s="24" t="s">
        <v>39</v>
      </c>
      <c r="K291" s="67">
        <v>81517.0</v>
      </c>
      <c r="L291" s="59"/>
      <c r="M291" s="59"/>
      <c r="N291" s="59"/>
      <c r="O291" s="59"/>
      <c r="P291" s="59"/>
      <c r="Q291" s="59"/>
      <c r="R291" s="59"/>
    </row>
    <row r="292">
      <c r="A292" s="66" t="s">
        <v>1293</v>
      </c>
      <c r="B292" s="66">
        <v>40.0</v>
      </c>
      <c r="C292" s="66">
        <v>99.0</v>
      </c>
      <c r="D292" s="24" t="s">
        <v>283</v>
      </c>
      <c r="E292" s="24" t="s">
        <v>1294</v>
      </c>
      <c r="F292" s="66" t="s">
        <v>1295</v>
      </c>
      <c r="G292" s="66">
        <v>25.0</v>
      </c>
      <c r="H292" s="66">
        <v>9.0</v>
      </c>
      <c r="I292" s="66">
        <v>9.0</v>
      </c>
      <c r="J292" s="24" t="s">
        <v>29</v>
      </c>
      <c r="K292" s="67">
        <v>11218.0</v>
      </c>
      <c r="L292" s="59"/>
      <c r="M292" s="59"/>
      <c r="N292" s="59"/>
      <c r="O292" s="59"/>
      <c r="P292" s="59"/>
      <c r="Q292" s="59"/>
      <c r="R292" s="59"/>
    </row>
    <row r="293">
      <c r="A293" s="66" t="s">
        <v>1296</v>
      </c>
      <c r="B293" s="66">
        <v>58.0</v>
      </c>
      <c r="C293" s="66">
        <v>75.0</v>
      </c>
      <c r="D293" s="24" t="s">
        <v>405</v>
      </c>
      <c r="E293" s="24" t="s">
        <v>379</v>
      </c>
      <c r="F293" s="66" t="s">
        <v>1297</v>
      </c>
      <c r="G293" s="66">
        <v>87.0</v>
      </c>
      <c r="H293" s="66">
        <v>4.0</v>
      </c>
      <c r="I293" s="66">
        <v>7.0</v>
      </c>
      <c r="J293" s="24" t="s">
        <v>48</v>
      </c>
      <c r="K293" s="67">
        <v>111113.0</v>
      </c>
      <c r="L293" s="59"/>
      <c r="M293" s="59"/>
      <c r="N293" s="59"/>
      <c r="O293" s="59"/>
      <c r="P293" s="59"/>
      <c r="Q293" s="59"/>
      <c r="R293" s="59"/>
    </row>
    <row r="294">
      <c r="A294" s="66" t="s">
        <v>1298</v>
      </c>
      <c r="B294" s="66">
        <v>69.0</v>
      </c>
      <c r="C294" s="66">
        <v>54.0</v>
      </c>
      <c r="D294" s="24" t="s">
        <v>430</v>
      </c>
      <c r="E294" s="24" t="s">
        <v>42</v>
      </c>
      <c r="F294" s="66" t="s">
        <v>1299</v>
      </c>
      <c r="G294" s="66">
        <v>46.0</v>
      </c>
      <c r="H294" s="66">
        <v>5.0</v>
      </c>
      <c r="I294" s="66">
        <v>3.0</v>
      </c>
      <c r="J294" s="24" t="s">
        <v>39</v>
      </c>
      <c r="K294" s="67">
        <v>90617.0</v>
      </c>
      <c r="L294" s="59"/>
      <c r="M294" s="59"/>
      <c r="N294" s="59"/>
      <c r="O294" s="59"/>
      <c r="P294" s="59"/>
      <c r="Q294" s="59"/>
      <c r="R294" s="59"/>
    </row>
    <row r="295">
      <c r="A295" s="66" t="s">
        <v>1300</v>
      </c>
      <c r="B295" s="66">
        <v>66.0</v>
      </c>
      <c r="C295" s="66">
        <v>20.0</v>
      </c>
      <c r="D295" s="24" t="s">
        <v>969</v>
      </c>
      <c r="E295" s="24" t="s">
        <v>969</v>
      </c>
      <c r="F295" s="66" t="s">
        <v>1301</v>
      </c>
      <c r="G295" s="66">
        <v>26.0</v>
      </c>
      <c r="H295" s="66">
        <v>1.0</v>
      </c>
      <c r="I295" s="66">
        <v>2.0</v>
      </c>
      <c r="J295" s="24" t="s">
        <v>31</v>
      </c>
      <c r="K295" s="67">
        <v>92215.0</v>
      </c>
      <c r="L295" s="59"/>
      <c r="M295" s="59"/>
      <c r="N295" s="59"/>
      <c r="O295" s="59"/>
      <c r="P295" s="59"/>
      <c r="Q295" s="59"/>
      <c r="R295" s="59"/>
    </row>
    <row r="296">
      <c r="A296" s="66" t="s">
        <v>1302</v>
      </c>
      <c r="B296" s="66">
        <v>97.0</v>
      </c>
      <c r="C296" s="66">
        <v>55.0</v>
      </c>
      <c r="D296" s="24" t="s">
        <v>1303</v>
      </c>
      <c r="E296" s="24" t="s">
        <v>504</v>
      </c>
      <c r="F296" s="66" t="s">
        <v>1304</v>
      </c>
      <c r="G296" s="66">
        <v>46.0</v>
      </c>
      <c r="H296" s="66">
        <v>6.0</v>
      </c>
      <c r="I296" s="66">
        <v>1.0</v>
      </c>
      <c r="J296" s="24" t="s">
        <v>29</v>
      </c>
      <c r="K296" s="67">
        <v>102914.0</v>
      </c>
      <c r="L296" s="59"/>
      <c r="M296" s="59"/>
      <c r="N296" s="59"/>
      <c r="O296" s="59"/>
      <c r="P296" s="59"/>
      <c r="Q296" s="59"/>
      <c r="R296" s="59"/>
    </row>
    <row r="297">
      <c r="A297" s="66" t="s">
        <v>1305</v>
      </c>
      <c r="B297" s="66">
        <v>19.0</v>
      </c>
      <c r="C297" s="66">
        <v>60.0</v>
      </c>
      <c r="D297" s="24" t="s">
        <v>285</v>
      </c>
      <c r="E297" s="24" t="s">
        <v>816</v>
      </c>
      <c r="F297" s="66" t="s">
        <v>1306</v>
      </c>
      <c r="G297" s="66">
        <v>26.0</v>
      </c>
      <c r="H297" s="66">
        <v>1.0</v>
      </c>
      <c r="I297" s="66">
        <v>4.0</v>
      </c>
      <c r="J297" s="24" t="s">
        <v>39</v>
      </c>
      <c r="K297" s="67">
        <v>81118.0</v>
      </c>
      <c r="L297" s="59"/>
      <c r="M297" s="59"/>
      <c r="N297" s="59"/>
      <c r="O297" s="59"/>
      <c r="P297" s="59"/>
      <c r="Q297" s="59"/>
      <c r="R297" s="59"/>
    </row>
    <row r="298">
      <c r="A298" s="66" t="s">
        <v>1307</v>
      </c>
      <c r="B298" s="66">
        <v>64.0</v>
      </c>
      <c r="C298" s="66">
        <v>99.0</v>
      </c>
      <c r="D298" s="24" t="s">
        <v>171</v>
      </c>
      <c r="E298" s="24" t="s">
        <v>201</v>
      </c>
      <c r="F298" s="66" t="s">
        <v>1308</v>
      </c>
      <c r="G298" s="66">
        <v>26.0</v>
      </c>
      <c r="H298" s="66">
        <v>1.0</v>
      </c>
      <c r="I298" s="66">
        <v>5.0</v>
      </c>
      <c r="J298" s="24" t="s">
        <v>48</v>
      </c>
      <c r="K298" s="67">
        <v>123015.0</v>
      </c>
      <c r="L298" s="59"/>
      <c r="M298" s="59"/>
      <c r="N298" s="59"/>
      <c r="O298" s="59"/>
      <c r="P298" s="59"/>
      <c r="Q298" s="59"/>
      <c r="R298" s="59"/>
    </row>
    <row r="299">
      <c r="A299" s="66" t="s">
        <v>1309</v>
      </c>
      <c r="B299" s="66">
        <v>50.0</v>
      </c>
      <c r="C299" s="66">
        <v>14.0</v>
      </c>
      <c r="D299" s="24" t="s">
        <v>102</v>
      </c>
      <c r="E299" s="24" t="s">
        <v>135</v>
      </c>
      <c r="F299" s="66" t="s">
        <v>1310</v>
      </c>
      <c r="G299" s="66">
        <v>26.0</v>
      </c>
      <c r="H299" s="66">
        <v>1.0</v>
      </c>
      <c r="I299" s="66">
        <v>6.0</v>
      </c>
      <c r="J299" s="24" t="s">
        <v>48</v>
      </c>
      <c r="K299" s="67">
        <v>61415.0</v>
      </c>
      <c r="L299" s="59"/>
      <c r="M299" s="59"/>
      <c r="N299" s="59"/>
      <c r="O299" s="59"/>
      <c r="P299" s="59"/>
      <c r="Q299" s="59"/>
      <c r="R299" s="59"/>
    </row>
    <row r="300">
      <c r="A300" s="66" t="s">
        <v>1311</v>
      </c>
      <c r="B300" s="66">
        <v>19.0</v>
      </c>
      <c r="C300" s="66">
        <v>67.0</v>
      </c>
      <c r="D300" s="24" t="s">
        <v>400</v>
      </c>
      <c r="E300" s="24" t="s">
        <v>347</v>
      </c>
      <c r="F300" s="66" t="s">
        <v>1312</v>
      </c>
      <c r="G300" s="66">
        <v>87.0</v>
      </c>
      <c r="H300" s="66">
        <v>6.0</v>
      </c>
      <c r="I300" s="66">
        <v>1.0</v>
      </c>
      <c r="J300" s="24" t="s">
        <v>33</v>
      </c>
      <c r="K300" s="67">
        <v>20522.0</v>
      </c>
      <c r="L300" s="59"/>
      <c r="M300" s="59"/>
      <c r="N300" s="59"/>
      <c r="O300" s="59"/>
      <c r="P300" s="59"/>
      <c r="Q300" s="59"/>
      <c r="R300" s="59"/>
    </row>
    <row r="301">
      <c r="A301" s="66" t="s">
        <v>1313</v>
      </c>
      <c r="B301" s="66">
        <v>45.0</v>
      </c>
      <c r="C301" s="66">
        <v>55.0</v>
      </c>
      <c r="D301" s="24" t="s">
        <v>924</v>
      </c>
      <c r="E301" s="24" t="s">
        <v>370</v>
      </c>
      <c r="F301" s="66" t="s">
        <v>1314</v>
      </c>
      <c r="G301" s="66">
        <v>46.0</v>
      </c>
      <c r="H301" s="66">
        <v>6.0</v>
      </c>
      <c r="I301" s="66">
        <v>5.0</v>
      </c>
      <c r="J301" s="24" t="s">
        <v>31</v>
      </c>
      <c r="K301" s="67">
        <v>62818.0</v>
      </c>
      <c r="L301" s="59"/>
      <c r="M301" s="59"/>
      <c r="N301" s="59"/>
      <c r="O301" s="59"/>
      <c r="P301" s="59"/>
      <c r="Q301" s="59"/>
      <c r="R301" s="59"/>
    </row>
    <row r="302">
      <c r="A302" s="66" t="s">
        <v>1315</v>
      </c>
      <c r="B302" s="66">
        <v>57.0</v>
      </c>
      <c r="C302" s="66">
        <v>77.0</v>
      </c>
      <c r="D302" s="24" t="s">
        <v>216</v>
      </c>
      <c r="E302" s="24" t="s">
        <v>120</v>
      </c>
      <c r="F302" s="66" t="s">
        <v>1316</v>
      </c>
      <c r="G302" s="66">
        <v>26.0</v>
      </c>
      <c r="H302" s="66">
        <v>1.0</v>
      </c>
      <c r="I302" s="66">
        <v>7.0</v>
      </c>
      <c r="J302" s="24" t="s">
        <v>48</v>
      </c>
      <c r="K302" s="67">
        <v>11815.0</v>
      </c>
      <c r="L302" s="59"/>
      <c r="M302" s="59"/>
      <c r="N302" s="59"/>
      <c r="O302" s="59"/>
      <c r="P302" s="59"/>
      <c r="Q302" s="59"/>
      <c r="R302" s="59"/>
    </row>
    <row r="303">
      <c r="A303" s="66" t="s">
        <v>1317</v>
      </c>
      <c r="B303" s="66">
        <v>86.0</v>
      </c>
      <c r="C303" s="66">
        <v>87.0</v>
      </c>
      <c r="D303" s="24" t="s">
        <v>270</v>
      </c>
      <c r="E303" s="24" t="s">
        <v>411</v>
      </c>
      <c r="F303" s="66" t="s">
        <v>1318</v>
      </c>
      <c r="G303" s="66">
        <v>46.0</v>
      </c>
      <c r="H303" s="66">
        <v>6.0</v>
      </c>
      <c r="I303" s="66">
        <v>8.0</v>
      </c>
      <c r="J303" s="24" t="s">
        <v>29</v>
      </c>
      <c r="K303" s="67">
        <v>12616.0</v>
      </c>
      <c r="L303" s="59"/>
      <c r="M303" s="59"/>
      <c r="N303" s="59"/>
      <c r="O303" s="59"/>
      <c r="P303" s="59"/>
      <c r="Q303" s="59"/>
      <c r="R303" s="59"/>
    </row>
    <row r="304">
      <c r="A304" s="66" t="s">
        <v>1319</v>
      </c>
      <c r="B304" s="66">
        <v>35.0</v>
      </c>
      <c r="C304" s="66">
        <v>86.0</v>
      </c>
      <c r="D304" s="24" t="s">
        <v>354</v>
      </c>
      <c r="E304" s="24" t="s">
        <v>144</v>
      </c>
      <c r="F304" s="66" t="s">
        <v>1320</v>
      </c>
      <c r="G304" s="66">
        <v>26.0</v>
      </c>
      <c r="H304" s="66">
        <v>2.0</v>
      </c>
      <c r="I304" s="66">
        <v>2.0</v>
      </c>
      <c r="J304" s="24" t="s">
        <v>48</v>
      </c>
      <c r="K304" s="67">
        <v>22414.0</v>
      </c>
      <c r="L304" s="59"/>
      <c r="M304" s="59"/>
      <c r="N304" s="59"/>
      <c r="O304" s="59"/>
      <c r="P304" s="59"/>
      <c r="Q304" s="59"/>
      <c r="R304" s="59"/>
    </row>
    <row r="305">
      <c r="A305" s="66" t="s">
        <v>1321</v>
      </c>
      <c r="B305" s="66">
        <v>44.0</v>
      </c>
      <c r="C305" s="66">
        <v>34.0</v>
      </c>
      <c r="D305" s="24" t="s">
        <v>444</v>
      </c>
      <c r="E305" s="24" t="s">
        <v>28</v>
      </c>
      <c r="F305" s="66" t="s">
        <v>1322</v>
      </c>
      <c r="G305" s="66">
        <v>46.0</v>
      </c>
      <c r="H305" s="66">
        <v>7.0</v>
      </c>
      <c r="I305" s="66">
        <v>3.0</v>
      </c>
      <c r="J305" s="24" t="s">
        <v>31</v>
      </c>
      <c r="K305" s="67">
        <v>92018.0</v>
      </c>
      <c r="L305" s="59"/>
      <c r="M305" s="59"/>
      <c r="N305" s="59"/>
      <c r="O305" s="59"/>
      <c r="P305" s="59"/>
      <c r="Q305" s="59"/>
      <c r="R305" s="59"/>
    </row>
    <row r="306">
      <c r="A306" s="66" t="s">
        <v>1323</v>
      </c>
      <c r="B306" s="66">
        <v>52.0</v>
      </c>
      <c r="C306" s="66">
        <v>20.0</v>
      </c>
      <c r="D306" s="24" t="s">
        <v>1324</v>
      </c>
      <c r="E306" s="24" t="s">
        <v>330</v>
      </c>
      <c r="F306" s="66" t="s">
        <v>1325</v>
      </c>
      <c r="G306" s="66">
        <v>67.0</v>
      </c>
      <c r="H306" s="66">
        <v>2.0</v>
      </c>
      <c r="I306" s="66">
        <v>2.0</v>
      </c>
      <c r="J306" s="24" t="s">
        <v>31</v>
      </c>
      <c r="K306" s="67">
        <v>111117.0</v>
      </c>
      <c r="L306" s="59"/>
      <c r="M306" s="59"/>
      <c r="N306" s="59"/>
      <c r="O306" s="59"/>
      <c r="P306" s="59"/>
      <c r="Q306" s="59"/>
      <c r="R306" s="59"/>
    </row>
    <row r="307">
      <c r="A307" s="66" t="s">
        <v>1326</v>
      </c>
      <c r="B307" s="66">
        <v>60.0</v>
      </c>
      <c r="C307" s="66">
        <v>32.0</v>
      </c>
      <c r="D307" s="24" t="s">
        <v>770</v>
      </c>
      <c r="E307" s="24" t="s">
        <v>1327</v>
      </c>
      <c r="F307" s="66" t="s">
        <v>1328</v>
      </c>
      <c r="G307" s="66">
        <v>67.0</v>
      </c>
      <c r="H307" s="66">
        <v>2.0</v>
      </c>
      <c r="I307" s="66">
        <v>4.0</v>
      </c>
      <c r="J307" s="24" t="s">
        <v>48</v>
      </c>
      <c r="K307" s="67">
        <v>51422.0</v>
      </c>
      <c r="L307" s="59"/>
      <c r="M307" s="59"/>
      <c r="N307" s="59"/>
      <c r="O307" s="59"/>
      <c r="P307" s="59"/>
      <c r="Q307" s="59"/>
      <c r="R307" s="59"/>
    </row>
    <row r="308">
      <c r="A308" s="66" t="s">
        <v>1329</v>
      </c>
      <c r="B308" s="66">
        <v>25.0</v>
      </c>
      <c r="C308" s="66">
        <v>77.0</v>
      </c>
      <c r="D308" s="24" t="s">
        <v>473</v>
      </c>
      <c r="E308" s="24" t="s">
        <v>1100</v>
      </c>
      <c r="F308" s="66" t="s">
        <v>1330</v>
      </c>
      <c r="G308" s="66">
        <v>87.0</v>
      </c>
      <c r="H308" s="66">
        <v>7.0</v>
      </c>
      <c r="I308" s="66">
        <v>3.0</v>
      </c>
      <c r="J308" s="24" t="s">
        <v>33</v>
      </c>
      <c r="K308" s="67">
        <v>90614.0</v>
      </c>
      <c r="L308" s="59"/>
      <c r="M308" s="59"/>
      <c r="N308" s="59"/>
      <c r="O308" s="59"/>
      <c r="P308" s="59"/>
      <c r="Q308" s="59"/>
      <c r="R308" s="59"/>
    </row>
    <row r="309">
      <c r="A309" s="66" t="s">
        <v>1331</v>
      </c>
      <c r="B309" s="66">
        <v>45.0</v>
      </c>
      <c r="C309" s="66">
        <v>87.0</v>
      </c>
      <c r="D309" s="24" t="s">
        <v>436</v>
      </c>
      <c r="E309" s="24" t="s">
        <v>422</v>
      </c>
      <c r="F309" s="66" t="s">
        <v>1332</v>
      </c>
      <c r="G309" s="66">
        <v>87.0</v>
      </c>
      <c r="H309" s="66">
        <v>7.0</v>
      </c>
      <c r="I309" s="66">
        <v>4.0</v>
      </c>
      <c r="J309" s="24" t="s">
        <v>29</v>
      </c>
      <c r="K309" s="67">
        <v>43018.0</v>
      </c>
      <c r="L309" s="59"/>
      <c r="M309" s="59"/>
      <c r="N309" s="59"/>
      <c r="O309" s="59"/>
      <c r="P309" s="59"/>
      <c r="Q309" s="59"/>
      <c r="R309" s="59"/>
    </row>
    <row r="310">
      <c r="A310" s="66" t="s">
        <v>1333</v>
      </c>
      <c r="B310" s="66">
        <v>57.0</v>
      </c>
      <c r="C310" s="66">
        <v>94.0</v>
      </c>
      <c r="D310" s="24" t="s">
        <v>240</v>
      </c>
      <c r="E310" s="24" t="s">
        <v>32</v>
      </c>
      <c r="F310" s="66" t="s">
        <v>1334</v>
      </c>
      <c r="G310" s="66">
        <v>26.0</v>
      </c>
      <c r="H310" s="66">
        <v>3.0</v>
      </c>
      <c r="I310" s="66">
        <v>1.0</v>
      </c>
      <c r="J310" s="24" t="s">
        <v>39</v>
      </c>
      <c r="K310" s="67">
        <v>22522.0</v>
      </c>
      <c r="L310" s="59"/>
      <c r="M310" s="59"/>
      <c r="N310" s="59"/>
      <c r="O310" s="59"/>
      <c r="P310" s="59"/>
      <c r="Q310" s="59"/>
      <c r="R310" s="59"/>
    </row>
    <row r="311">
      <c r="A311" s="66" t="s">
        <v>1335</v>
      </c>
      <c r="B311" s="66">
        <v>80.0</v>
      </c>
      <c r="C311" s="66">
        <v>22.0</v>
      </c>
      <c r="D311" s="24" t="s">
        <v>484</v>
      </c>
      <c r="E311" s="24" t="s">
        <v>436</v>
      </c>
      <c r="F311" s="66" t="s">
        <v>1336</v>
      </c>
      <c r="G311" s="66">
        <v>67.0</v>
      </c>
      <c r="H311" s="66">
        <v>2.0</v>
      </c>
      <c r="I311" s="66">
        <v>6.0</v>
      </c>
      <c r="J311" s="24" t="s">
        <v>31</v>
      </c>
      <c r="K311" s="67">
        <v>82217.0</v>
      </c>
      <c r="L311" s="59"/>
      <c r="M311" s="59"/>
      <c r="N311" s="59"/>
      <c r="O311" s="59"/>
      <c r="P311" s="59"/>
      <c r="Q311" s="59"/>
      <c r="R311" s="59"/>
    </row>
    <row r="312">
      <c r="A312" s="66" t="s">
        <v>1337</v>
      </c>
      <c r="B312" s="66">
        <v>59.0</v>
      </c>
      <c r="C312" s="66">
        <v>89.0</v>
      </c>
      <c r="D312" s="24" t="s">
        <v>220</v>
      </c>
      <c r="E312" s="24" t="s">
        <v>413</v>
      </c>
      <c r="F312" s="66" t="s">
        <v>1338</v>
      </c>
      <c r="G312" s="66">
        <v>26.0</v>
      </c>
      <c r="H312" s="66">
        <v>3.0</v>
      </c>
      <c r="I312" s="66">
        <v>2.0</v>
      </c>
      <c r="J312" s="24" t="s">
        <v>31</v>
      </c>
      <c r="K312" s="67">
        <v>61023.0</v>
      </c>
      <c r="L312" s="59"/>
      <c r="M312" s="59"/>
      <c r="N312" s="59"/>
      <c r="O312" s="59"/>
      <c r="P312" s="59"/>
      <c r="Q312" s="59"/>
      <c r="R312" s="59"/>
    </row>
    <row r="313">
      <c r="A313" s="66" t="s">
        <v>1339</v>
      </c>
      <c r="B313" s="66">
        <v>79.0</v>
      </c>
      <c r="C313" s="66">
        <v>14.0</v>
      </c>
      <c r="D313" s="24" t="s">
        <v>535</v>
      </c>
      <c r="E313" s="24" t="s">
        <v>88</v>
      </c>
      <c r="F313" s="66" t="s">
        <v>1340</v>
      </c>
      <c r="G313" s="66">
        <v>46.0</v>
      </c>
      <c r="H313" s="66">
        <v>7.0</v>
      </c>
      <c r="I313" s="66">
        <v>6.0</v>
      </c>
      <c r="J313" s="24" t="s">
        <v>31</v>
      </c>
      <c r="K313" s="67">
        <v>42716.0</v>
      </c>
      <c r="L313" s="59"/>
      <c r="M313" s="59"/>
      <c r="N313" s="59"/>
      <c r="O313" s="59"/>
      <c r="P313" s="59"/>
      <c r="Q313" s="59"/>
      <c r="R313" s="59"/>
    </row>
    <row r="314">
      <c r="A314" s="66" t="s">
        <v>1341</v>
      </c>
      <c r="B314" s="66">
        <v>30.0</v>
      </c>
      <c r="C314" s="66">
        <v>81.0</v>
      </c>
      <c r="D314" s="24" t="s">
        <v>346</v>
      </c>
      <c r="E314" s="24" t="s">
        <v>430</v>
      </c>
      <c r="F314" s="66" t="s">
        <v>1342</v>
      </c>
      <c r="G314" s="66">
        <v>67.0</v>
      </c>
      <c r="H314" s="66">
        <v>3.0</v>
      </c>
      <c r="I314" s="66">
        <v>3.0</v>
      </c>
      <c r="J314" s="24" t="s">
        <v>29</v>
      </c>
      <c r="K314" s="67">
        <v>22414.0</v>
      </c>
      <c r="L314" s="59"/>
      <c r="M314" s="59"/>
      <c r="N314" s="59"/>
      <c r="O314" s="59"/>
      <c r="P314" s="59"/>
      <c r="Q314" s="59"/>
      <c r="R314" s="59"/>
    </row>
    <row r="315">
      <c r="A315" s="66" t="s">
        <v>1343</v>
      </c>
      <c r="B315" s="66">
        <v>77.0</v>
      </c>
      <c r="C315" s="66">
        <v>25.0</v>
      </c>
      <c r="D315" s="24" t="s">
        <v>54</v>
      </c>
      <c r="E315" s="24" t="s">
        <v>969</v>
      </c>
      <c r="F315" s="66" t="s">
        <v>1344</v>
      </c>
      <c r="G315" s="66">
        <v>87.0</v>
      </c>
      <c r="H315" s="66">
        <v>8.0</v>
      </c>
      <c r="I315" s="66">
        <v>2.0</v>
      </c>
      <c r="J315" s="24" t="s">
        <v>39</v>
      </c>
      <c r="K315" s="67">
        <v>121813.0</v>
      </c>
      <c r="L315" s="59"/>
      <c r="M315" s="59"/>
      <c r="N315" s="59"/>
      <c r="O315" s="59"/>
      <c r="P315" s="59"/>
      <c r="Q315" s="59"/>
      <c r="R315" s="59"/>
    </row>
    <row r="316">
      <c r="A316" s="66" t="s">
        <v>1345</v>
      </c>
      <c r="B316" s="66">
        <v>72.0</v>
      </c>
      <c r="C316" s="66">
        <v>45.0</v>
      </c>
      <c r="D316" s="24" t="s">
        <v>44</v>
      </c>
      <c r="E316" s="24" t="s">
        <v>1030</v>
      </c>
      <c r="F316" s="66" t="s">
        <v>1346</v>
      </c>
      <c r="G316" s="66">
        <v>26.0</v>
      </c>
      <c r="H316" s="66">
        <v>3.0</v>
      </c>
      <c r="I316" s="66">
        <v>9.0</v>
      </c>
      <c r="J316" s="24" t="s">
        <v>48</v>
      </c>
      <c r="K316" s="67">
        <v>102813.0</v>
      </c>
      <c r="L316" s="59"/>
      <c r="M316" s="59"/>
      <c r="N316" s="59"/>
      <c r="O316" s="59"/>
      <c r="P316" s="59"/>
      <c r="Q316" s="59"/>
      <c r="R316" s="59"/>
    </row>
    <row r="317">
      <c r="A317" s="66" t="s">
        <v>1347</v>
      </c>
      <c r="B317" s="66">
        <v>48.0</v>
      </c>
      <c r="C317" s="66">
        <v>58.0</v>
      </c>
      <c r="D317" s="24" t="s">
        <v>79</v>
      </c>
      <c r="E317" s="24" t="s">
        <v>81</v>
      </c>
      <c r="F317" s="66" t="s">
        <v>1348</v>
      </c>
      <c r="G317" s="66">
        <v>46.0</v>
      </c>
      <c r="H317" s="66">
        <v>8.0</v>
      </c>
      <c r="I317" s="66">
        <v>6.0</v>
      </c>
      <c r="J317" s="24" t="s">
        <v>31</v>
      </c>
      <c r="K317" s="67">
        <v>41923.0</v>
      </c>
      <c r="L317" s="59"/>
      <c r="M317" s="59"/>
      <c r="N317" s="59"/>
      <c r="O317" s="59"/>
      <c r="P317" s="59"/>
      <c r="Q317" s="59"/>
      <c r="R317" s="59"/>
    </row>
    <row r="318">
      <c r="A318" s="66" t="s">
        <v>1349</v>
      </c>
      <c r="B318" s="66">
        <v>76.0</v>
      </c>
      <c r="C318" s="66">
        <v>46.0</v>
      </c>
      <c r="D318" s="24" t="s">
        <v>1350</v>
      </c>
      <c r="E318" s="24" t="s">
        <v>176</v>
      </c>
      <c r="F318" s="66" t="s">
        <v>1351</v>
      </c>
      <c r="G318" s="66">
        <v>26.0</v>
      </c>
      <c r="H318" s="66">
        <v>4.0</v>
      </c>
      <c r="I318" s="66">
        <v>2.0</v>
      </c>
      <c r="J318" s="24" t="s">
        <v>33</v>
      </c>
      <c r="K318" s="67">
        <v>11419.0</v>
      </c>
      <c r="L318" s="59"/>
      <c r="M318" s="59"/>
      <c r="N318" s="59"/>
      <c r="O318" s="59"/>
      <c r="P318" s="59"/>
      <c r="Q318" s="59"/>
      <c r="R318" s="59"/>
    </row>
    <row r="319">
      <c r="A319" s="66" t="s">
        <v>1352</v>
      </c>
      <c r="B319" s="66">
        <v>54.0</v>
      </c>
      <c r="C319" s="66">
        <v>10.0</v>
      </c>
      <c r="D319" s="24" t="s">
        <v>1093</v>
      </c>
      <c r="E319" s="24" t="s">
        <v>340</v>
      </c>
      <c r="F319" s="66" t="s">
        <v>1353</v>
      </c>
      <c r="G319" s="66">
        <v>67.0</v>
      </c>
      <c r="H319" s="66">
        <v>3.0</v>
      </c>
      <c r="I319" s="66">
        <v>9.0</v>
      </c>
      <c r="J319" s="24" t="s">
        <v>29</v>
      </c>
      <c r="K319" s="67">
        <v>92822.0</v>
      </c>
      <c r="L319" s="59"/>
      <c r="M319" s="59"/>
      <c r="N319" s="59"/>
      <c r="O319" s="59"/>
      <c r="P319" s="59"/>
      <c r="Q319" s="59"/>
      <c r="R319" s="59"/>
    </row>
    <row r="320">
      <c r="A320" s="66" t="s">
        <v>1354</v>
      </c>
      <c r="B320" s="66">
        <v>26.0</v>
      </c>
      <c r="C320" s="66">
        <v>88.0</v>
      </c>
      <c r="D320" s="24" t="s">
        <v>318</v>
      </c>
      <c r="E320" s="24" t="s">
        <v>367</v>
      </c>
      <c r="F320" s="66" t="s">
        <v>1355</v>
      </c>
      <c r="G320" s="66">
        <v>26.0</v>
      </c>
      <c r="H320" s="66">
        <v>4.0</v>
      </c>
      <c r="I320" s="66">
        <v>4.0</v>
      </c>
      <c r="J320" s="24" t="s">
        <v>29</v>
      </c>
      <c r="K320" s="67">
        <v>22623.0</v>
      </c>
      <c r="L320" s="59"/>
      <c r="M320" s="59"/>
      <c r="N320" s="59"/>
      <c r="O320" s="59"/>
      <c r="P320" s="59"/>
      <c r="Q320" s="59"/>
      <c r="R320" s="59"/>
    </row>
    <row r="321">
      <c r="A321" s="66" t="s">
        <v>1356</v>
      </c>
      <c r="B321" s="66">
        <v>19.0</v>
      </c>
      <c r="C321" s="66">
        <v>18.0</v>
      </c>
      <c r="D321" s="24" t="s">
        <v>384</v>
      </c>
      <c r="E321" s="24" t="s">
        <v>43</v>
      </c>
      <c r="F321" s="66" t="s">
        <v>1357</v>
      </c>
      <c r="G321" s="66">
        <v>46.0</v>
      </c>
      <c r="H321" s="66">
        <v>9.0</v>
      </c>
      <c r="I321" s="66">
        <v>7.0</v>
      </c>
      <c r="J321" s="24" t="s">
        <v>39</v>
      </c>
      <c r="K321" s="67">
        <v>11421.0</v>
      </c>
      <c r="L321" s="59"/>
      <c r="M321" s="59"/>
      <c r="N321" s="59"/>
      <c r="O321" s="59"/>
      <c r="P321" s="59"/>
      <c r="Q321" s="59"/>
      <c r="R321" s="59"/>
    </row>
    <row r="322">
      <c r="A322" s="66" t="s">
        <v>1358</v>
      </c>
      <c r="B322" s="66">
        <v>59.0</v>
      </c>
      <c r="C322" s="66">
        <v>36.0</v>
      </c>
      <c r="D322" s="24" t="s">
        <v>166</v>
      </c>
      <c r="E322" s="24" t="s">
        <v>649</v>
      </c>
      <c r="F322" s="66" t="s">
        <v>1359</v>
      </c>
      <c r="G322" s="66">
        <v>87.0</v>
      </c>
      <c r="H322" s="66">
        <v>9.0</v>
      </c>
      <c r="I322" s="66">
        <v>5.0</v>
      </c>
      <c r="J322" s="24" t="s">
        <v>31</v>
      </c>
      <c r="K322" s="67">
        <v>62320.0</v>
      </c>
      <c r="L322" s="59"/>
      <c r="M322" s="59"/>
      <c r="N322" s="59"/>
      <c r="O322" s="59"/>
      <c r="P322" s="59"/>
      <c r="Q322" s="59"/>
      <c r="R322" s="59"/>
    </row>
    <row r="323">
      <c r="A323" s="66" t="s">
        <v>1360</v>
      </c>
      <c r="B323" s="66">
        <v>62.0</v>
      </c>
      <c r="C323" s="66">
        <v>39.0</v>
      </c>
      <c r="D323" s="24" t="s">
        <v>379</v>
      </c>
      <c r="E323" s="24" t="s">
        <v>106</v>
      </c>
      <c r="F323" s="66" t="s">
        <v>1361</v>
      </c>
      <c r="G323" s="66">
        <v>26.0</v>
      </c>
      <c r="H323" s="66">
        <v>5.0</v>
      </c>
      <c r="I323" s="66">
        <v>3.0</v>
      </c>
      <c r="J323" s="24" t="s">
        <v>31</v>
      </c>
      <c r="K323" s="67">
        <v>61618.0</v>
      </c>
      <c r="L323" s="59"/>
      <c r="M323" s="59"/>
      <c r="N323" s="59"/>
      <c r="O323" s="59"/>
      <c r="P323" s="59"/>
      <c r="Q323" s="59"/>
      <c r="R323" s="59"/>
    </row>
    <row r="324">
      <c r="A324" s="66" t="s">
        <v>1362</v>
      </c>
      <c r="B324" s="66">
        <v>36.0</v>
      </c>
      <c r="C324" s="66">
        <v>68.0</v>
      </c>
      <c r="D324" s="24" t="s">
        <v>341</v>
      </c>
      <c r="E324" s="24" t="s">
        <v>356</v>
      </c>
      <c r="F324" s="66" t="s">
        <v>1363</v>
      </c>
      <c r="G324" s="66">
        <v>67.0</v>
      </c>
      <c r="H324" s="66">
        <v>5.0</v>
      </c>
      <c r="I324" s="66">
        <v>6.0</v>
      </c>
      <c r="J324" s="24" t="s">
        <v>31</v>
      </c>
      <c r="K324" s="67">
        <v>83122.0</v>
      </c>
      <c r="L324" s="59"/>
      <c r="M324" s="59"/>
      <c r="N324" s="59"/>
      <c r="O324" s="59"/>
      <c r="P324" s="59"/>
      <c r="Q324" s="59"/>
      <c r="R324" s="59"/>
    </row>
    <row r="325">
      <c r="A325" s="66" t="s">
        <v>1364</v>
      </c>
      <c r="B325" s="66">
        <v>50.0</v>
      </c>
      <c r="C325" s="66">
        <v>53.0</v>
      </c>
      <c r="D325" s="24" t="s">
        <v>326</v>
      </c>
      <c r="E325" s="24" t="s">
        <v>1365</v>
      </c>
      <c r="F325" s="66" t="s">
        <v>1366</v>
      </c>
      <c r="G325" s="66">
        <v>26.0</v>
      </c>
      <c r="H325" s="66">
        <v>6.0</v>
      </c>
      <c r="I325" s="66">
        <v>4.0</v>
      </c>
      <c r="J325" s="24" t="s">
        <v>29</v>
      </c>
      <c r="K325" s="67">
        <v>121220.0</v>
      </c>
      <c r="L325" s="59"/>
      <c r="M325" s="59"/>
      <c r="N325" s="59"/>
      <c r="O325" s="59"/>
      <c r="P325" s="59"/>
      <c r="Q325" s="59"/>
      <c r="R325" s="59"/>
    </row>
    <row r="326">
      <c r="A326" s="66" t="s">
        <v>1367</v>
      </c>
      <c r="B326" s="66">
        <v>61.0</v>
      </c>
      <c r="C326" s="66">
        <v>49.0</v>
      </c>
      <c r="D326" s="24" t="s">
        <v>319</v>
      </c>
      <c r="E326" s="24" t="s">
        <v>170</v>
      </c>
      <c r="F326" s="66" t="s">
        <v>1368</v>
      </c>
      <c r="G326" s="66">
        <v>47.0</v>
      </c>
      <c r="H326" s="66">
        <v>1.0</v>
      </c>
      <c r="I326" s="66">
        <v>4.0</v>
      </c>
      <c r="J326" s="24" t="s">
        <v>29</v>
      </c>
      <c r="K326" s="67">
        <v>100423.0</v>
      </c>
      <c r="L326" s="59"/>
      <c r="M326" s="59"/>
      <c r="N326" s="59"/>
      <c r="O326" s="59"/>
      <c r="P326" s="59"/>
      <c r="Q326" s="59"/>
      <c r="R326" s="59"/>
    </row>
    <row r="327">
      <c r="A327" s="66" t="s">
        <v>1369</v>
      </c>
      <c r="B327" s="66">
        <v>95.0</v>
      </c>
      <c r="C327" s="66">
        <v>79.0</v>
      </c>
      <c r="D327" s="24" t="s">
        <v>327</v>
      </c>
      <c r="E327" s="24" t="s">
        <v>1045</v>
      </c>
      <c r="F327" s="66" t="s">
        <v>1370</v>
      </c>
      <c r="G327" s="66">
        <v>47.0</v>
      </c>
      <c r="H327" s="66">
        <v>1.0</v>
      </c>
      <c r="I327" s="66">
        <v>7.0</v>
      </c>
      <c r="J327" s="24" t="s">
        <v>29</v>
      </c>
      <c r="K327" s="67">
        <v>40414.0</v>
      </c>
      <c r="L327" s="59"/>
      <c r="M327" s="59"/>
      <c r="N327" s="59"/>
      <c r="O327" s="59"/>
      <c r="P327" s="59"/>
      <c r="Q327" s="59"/>
      <c r="R327" s="59"/>
    </row>
    <row r="328">
      <c r="A328" s="66" t="s">
        <v>1371</v>
      </c>
      <c r="B328" s="66">
        <v>89.0</v>
      </c>
      <c r="C328" s="66">
        <v>20.0</v>
      </c>
      <c r="D328" s="24" t="s">
        <v>541</v>
      </c>
      <c r="E328" s="24" t="s">
        <v>166</v>
      </c>
      <c r="F328" s="66" t="s">
        <v>1372</v>
      </c>
      <c r="G328" s="66">
        <v>67.0</v>
      </c>
      <c r="H328" s="66">
        <v>8.0</v>
      </c>
      <c r="I328" s="66">
        <v>1.0</v>
      </c>
      <c r="J328" s="24" t="s">
        <v>39</v>
      </c>
      <c r="K328" s="67">
        <v>21723.0</v>
      </c>
      <c r="L328" s="59"/>
      <c r="M328" s="59"/>
      <c r="N328" s="59"/>
      <c r="O328" s="59"/>
      <c r="P328" s="59"/>
      <c r="Q328" s="59"/>
      <c r="R328" s="59"/>
    </row>
    <row r="329">
      <c r="A329" s="66" t="s">
        <v>1373</v>
      </c>
      <c r="B329" s="66">
        <v>99.0</v>
      </c>
      <c r="C329" s="66">
        <v>43.0</v>
      </c>
      <c r="D329" s="24" t="s">
        <v>1374</v>
      </c>
      <c r="E329" s="24" t="s">
        <v>41</v>
      </c>
      <c r="F329" s="66" t="s">
        <v>1375</v>
      </c>
      <c r="G329" s="66">
        <v>26.0</v>
      </c>
      <c r="H329" s="66">
        <v>8.0</v>
      </c>
      <c r="I329" s="66">
        <v>9.0</v>
      </c>
      <c r="J329" s="24" t="s">
        <v>29</v>
      </c>
      <c r="K329" s="67">
        <v>52923.0</v>
      </c>
      <c r="L329" s="59"/>
      <c r="M329" s="59"/>
      <c r="N329" s="59"/>
      <c r="O329" s="59"/>
      <c r="P329" s="59"/>
      <c r="Q329" s="59"/>
      <c r="R329" s="59"/>
    </row>
    <row r="330">
      <c r="A330" s="66" t="s">
        <v>1376</v>
      </c>
      <c r="B330" s="66">
        <v>76.0</v>
      </c>
      <c r="C330" s="66">
        <v>32.0</v>
      </c>
      <c r="D330" s="24" t="s">
        <v>359</v>
      </c>
      <c r="E330" s="24" t="s">
        <v>111</v>
      </c>
      <c r="F330" s="66" t="s">
        <v>1377</v>
      </c>
      <c r="G330" s="66">
        <v>67.0</v>
      </c>
      <c r="H330" s="66">
        <v>8.0</v>
      </c>
      <c r="I330" s="66">
        <v>7.0</v>
      </c>
      <c r="J330" s="24" t="s">
        <v>29</v>
      </c>
      <c r="K330" s="67">
        <v>80218.0</v>
      </c>
      <c r="L330" s="59"/>
      <c r="M330" s="59"/>
      <c r="N330" s="59"/>
      <c r="O330" s="59"/>
      <c r="P330" s="59"/>
      <c r="Q330" s="59"/>
      <c r="R330" s="59"/>
    </row>
    <row r="331">
      <c r="A331" s="66" t="s">
        <v>1378</v>
      </c>
      <c r="B331" s="66">
        <v>56.0</v>
      </c>
      <c r="C331" s="66">
        <v>83.0</v>
      </c>
      <c r="D331" s="24" t="s">
        <v>504</v>
      </c>
      <c r="E331" s="24" t="s">
        <v>1074</v>
      </c>
      <c r="F331" s="66" t="s">
        <v>1379</v>
      </c>
      <c r="G331" s="66">
        <v>47.0</v>
      </c>
      <c r="H331" s="66">
        <v>3.0</v>
      </c>
      <c r="I331" s="66">
        <v>9.0</v>
      </c>
      <c r="J331" s="24" t="s">
        <v>29</v>
      </c>
      <c r="K331" s="67">
        <v>41520.0</v>
      </c>
      <c r="L331" s="59"/>
      <c r="M331" s="59"/>
      <c r="N331" s="59"/>
      <c r="O331" s="59"/>
      <c r="P331" s="59"/>
      <c r="Q331" s="59"/>
      <c r="R331" s="59"/>
    </row>
    <row r="332">
      <c r="A332" s="66" t="s">
        <v>1380</v>
      </c>
      <c r="B332" s="66">
        <v>44.0</v>
      </c>
      <c r="C332" s="66">
        <v>23.0</v>
      </c>
      <c r="D332" s="24" t="s">
        <v>1381</v>
      </c>
      <c r="E332" s="24" t="s">
        <v>98</v>
      </c>
      <c r="F332" s="66" t="s">
        <v>1382</v>
      </c>
      <c r="G332" s="66">
        <v>47.0</v>
      </c>
      <c r="H332" s="66">
        <v>4.0</v>
      </c>
      <c r="I332" s="66">
        <v>5.0</v>
      </c>
      <c r="J332" s="24" t="s">
        <v>31</v>
      </c>
      <c r="K332" s="67">
        <v>32314.0</v>
      </c>
      <c r="L332" s="59"/>
      <c r="M332" s="59"/>
      <c r="N332" s="59"/>
      <c r="O332" s="59"/>
      <c r="P332" s="59"/>
      <c r="Q332" s="59"/>
      <c r="R332" s="59"/>
    </row>
    <row r="333">
      <c r="A333" s="66" t="s">
        <v>1383</v>
      </c>
      <c r="B333" s="66">
        <v>48.0</v>
      </c>
      <c r="C333" s="66">
        <v>19.0</v>
      </c>
      <c r="D333" s="24" t="s">
        <v>511</v>
      </c>
      <c r="E333" s="24" t="s">
        <v>301</v>
      </c>
      <c r="F333" s="66" t="s">
        <v>1384</v>
      </c>
      <c r="G333" s="66">
        <v>67.0</v>
      </c>
      <c r="H333" s="66">
        <v>9.0</v>
      </c>
      <c r="I333" s="66">
        <v>3.0</v>
      </c>
      <c r="J333" s="24" t="s">
        <v>33</v>
      </c>
      <c r="K333" s="67">
        <v>112023.0</v>
      </c>
      <c r="L333" s="59"/>
      <c r="M333" s="59"/>
      <c r="N333" s="59"/>
      <c r="O333" s="59"/>
      <c r="P333" s="59"/>
      <c r="Q333" s="59"/>
      <c r="R333" s="59"/>
    </row>
    <row r="334">
      <c r="A334" s="66" t="s">
        <v>1385</v>
      </c>
      <c r="B334" s="66">
        <v>49.0</v>
      </c>
      <c r="C334" s="66">
        <v>32.0</v>
      </c>
      <c r="D334" s="24" t="s">
        <v>116</v>
      </c>
      <c r="E334" s="24" t="s">
        <v>1232</v>
      </c>
      <c r="F334" s="66" t="s">
        <v>1386</v>
      </c>
      <c r="G334" s="66">
        <v>67.0</v>
      </c>
      <c r="H334" s="66">
        <v>9.0</v>
      </c>
      <c r="I334" s="66">
        <v>6.0</v>
      </c>
      <c r="J334" s="24" t="s">
        <v>39</v>
      </c>
      <c r="K334" s="67">
        <v>120415.0</v>
      </c>
      <c r="L334" s="59"/>
      <c r="M334" s="59"/>
      <c r="N334" s="59"/>
      <c r="O334" s="59"/>
      <c r="P334" s="59"/>
      <c r="Q334" s="59"/>
      <c r="R334" s="59"/>
    </row>
    <row r="335">
      <c r="A335" s="66" t="s">
        <v>1387</v>
      </c>
      <c r="B335" s="66">
        <v>96.0</v>
      </c>
      <c r="C335" s="66">
        <v>27.0</v>
      </c>
      <c r="D335" s="24" t="s">
        <v>529</v>
      </c>
      <c r="E335" s="24" t="s">
        <v>1388</v>
      </c>
      <c r="F335" s="66" t="s">
        <v>1389</v>
      </c>
      <c r="G335" s="66">
        <v>88.0</v>
      </c>
      <c r="H335" s="66">
        <v>4.0</v>
      </c>
      <c r="I335" s="66">
        <v>7.0</v>
      </c>
      <c r="J335" s="24" t="s">
        <v>39</v>
      </c>
      <c r="K335" s="67">
        <v>31413.0</v>
      </c>
      <c r="L335" s="59"/>
      <c r="M335" s="59"/>
      <c r="N335" s="59"/>
      <c r="O335" s="59"/>
      <c r="P335" s="59"/>
      <c r="Q335" s="59"/>
      <c r="R335" s="59"/>
    </row>
    <row r="336">
      <c r="A336" s="66" t="s">
        <v>1390</v>
      </c>
      <c r="B336" s="66">
        <v>97.0</v>
      </c>
      <c r="C336" s="66">
        <v>57.0</v>
      </c>
      <c r="D336" s="24" t="s">
        <v>141</v>
      </c>
      <c r="E336" s="24" t="s">
        <v>1391</v>
      </c>
      <c r="F336" s="66" t="s">
        <v>1392</v>
      </c>
      <c r="G336" s="66">
        <v>47.0</v>
      </c>
      <c r="H336" s="66">
        <v>5.0</v>
      </c>
      <c r="I336" s="66">
        <v>3.0</v>
      </c>
      <c r="J336" s="24" t="s">
        <v>29</v>
      </c>
      <c r="K336" s="67">
        <v>71418.0</v>
      </c>
      <c r="L336" s="59"/>
      <c r="M336" s="59"/>
      <c r="N336" s="59"/>
      <c r="O336" s="59"/>
      <c r="P336" s="59"/>
      <c r="Q336" s="59"/>
      <c r="R336" s="59"/>
    </row>
    <row r="337">
      <c r="A337" s="66" t="s">
        <v>1393</v>
      </c>
      <c r="B337" s="66">
        <v>46.0</v>
      </c>
      <c r="C337" s="66">
        <v>53.0</v>
      </c>
      <c r="D337" s="24" t="s">
        <v>262</v>
      </c>
      <c r="E337" s="24" t="s">
        <v>164</v>
      </c>
      <c r="F337" s="66" t="s">
        <v>1394</v>
      </c>
      <c r="G337" s="66">
        <v>47.0</v>
      </c>
      <c r="H337" s="66">
        <v>5.0</v>
      </c>
      <c r="I337" s="66">
        <v>5.0</v>
      </c>
      <c r="J337" s="24" t="s">
        <v>33</v>
      </c>
      <c r="K337" s="67">
        <v>111918.0</v>
      </c>
      <c r="L337" s="59"/>
      <c r="M337" s="59"/>
      <c r="N337" s="59"/>
      <c r="O337" s="59"/>
      <c r="P337" s="59"/>
      <c r="Q337" s="59"/>
      <c r="R337" s="59"/>
    </row>
    <row r="338">
      <c r="A338" s="66" t="s">
        <v>1395</v>
      </c>
      <c r="B338" s="66">
        <v>18.0</v>
      </c>
      <c r="C338" s="66">
        <v>32.0</v>
      </c>
      <c r="D338" s="24" t="s">
        <v>630</v>
      </c>
      <c r="E338" s="24" t="s">
        <v>1396</v>
      </c>
      <c r="F338" s="66" t="s">
        <v>1397</v>
      </c>
      <c r="G338" s="66">
        <v>47.0</v>
      </c>
      <c r="H338" s="66">
        <v>5.0</v>
      </c>
      <c r="I338" s="66">
        <v>7.0</v>
      </c>
      <c r="J338" s="24" t="s">
        <v>39</v>
      </c>
      <c r="K338" s="67">
        <v>110820.0</v>
      </c>
      <c r="L338" s="59"/>
      <c r="M338" s="59"/>
      <c r="N338" s="59"/>
      <c r="O338" s="59"/>
      <c r="P338" s="59"/>
      <c r="Q338" s="59"/>
      <c r="R338" s="59"/>
    </row>
    <row r="339">
      <c r="A339" s="66" t="s">
        <v>1398</v>
      </c>
      <c r="B339" s="66">
        <v>27.0</v>
      </c>
      <c r="C339" s="66">
        <v>86.0</v>
      </c>
      <c r="D339" s="24" t="s">
        <v>233</v>
      </c>
      <c r="E339" s="24" t="s">
        <v>86</v>
      </c>
      <c r="F339" s="66" t="s">
        <v>1399</v>
      </c>
      <c r="G339" s="66">
        <v>47.0</v>
      </c>
      <c r="H339" s="66">
        <v>5.0</v>
      </c>
      <c r="I339" s="66">
        <v>8.0</v>
      </c>
      <c r="J339" s="24" t="s">
        <v>29</v>
      </c>
      <c r="K339" s="67">
        <v>62213.0</v>
      </c>
      <c r="L339" s="59"/>
      <c r="M339" s="59"/>
      <c r="N339" s="59"/>
      <c r="O339" s="59"/>
      <c r="P339" s="59"/>
      <c r="Q339" s="59"/>
      <c r="R339" s="59"/>
    </row>
    <row r="340">
      <c r="A340" s="66" t="s">
        <v>1400</v>
      </c>
      <c r="B340" s="66">
        <v>95.0</v>
      </c>
      <c r="C340" s="66">
        <v>66.0</v>
      </c>
      <c r="D340" s="24" t="s">
        <v>362</v>
      </c>
      <c r="E340" s="24" t="s">
        <v>229</v>
      </c>
      <c r="F340" s="66" t="s">
        <v>1401</v>
      </c>
      <c r="G340" s="66">
        <v>88.0</v>
      </c>
      <c r="H340" s="66">
        <v>5.0</v>
      </c>
      <c r="I340" s="66">
        <v>4.0</v>
      </c>
      <c r="J340" s="24" t="s">
        <v>31</v>
      </c>
      <c r="K340" s="67">
        <v>90817.0</v>
      </c>
      <c r="L340" s="59"/>
      <c r="M340" s="59"/>
      <c r="N340" s="59"/>
      <c r="O340" s="59"/>
      <c r="P340" s="59"/>
      <c r="Q340" s="59"/>
      <c r="R340" s="59"/>
    </row>
    <row r="341">
      <c r="A341" s="66" t="s">
        <v>1402</v>
      </c>
      <c r="B341" s="66">
        <v>50.0</v>
      </c>
      <c r="C341" s="66">
        <v>70.0</v>
      </c>
      <c r="D341" s="24" t="s">
        <v>633</v>
      </c>
      <c r="E341" s="24" t="s">
        <v>333</v>
      </c>
      <c r="F341" s="66" t="s">
        <v>1403</v>
      </c>
      <c r="G341" s="66">
        <v>27.0</v>
      </c>
      <c r="H341" s="66">
        <v>1.0</v>
      </c>
      <c r="I341" s="66">
        <v>3.0</v>
      </c>
      <c r="J341" s="24" t="s">
        <v>48</v>
      </c>
      <c r="K341" s="67">
        <v>41620.0</v>
      </c>
      <c r="L341" s="59"/>
      <c r="M341" s="59"/>
      <c r="N341" s="59"/>
      <c r="O341" s="59"/>
      <c r="P341" s="59"/>
      <c r="Q341" s="59"/>
      <c r="R341" s="59"/>
    </row>
    <row r="342">
      <c r="A342" s="66" t="s">
        <v>1404</v>
      </c>
      <c r="B342" s="66">
        <v>51.0</v>
      </c>
      <c r="C342" s="66">
        <v>42.0</v>
      </c>
      <c r="D342" s="24" t="s">
        <v>383</v>
      </c>
      <c r="E342" s="24" t="s">
        <v>887</v>
      </c>
      <c r="F342" s="66" t="s">
        <v>1405</v>
      </c>
      <c r="G342" s="66">
        <v>47.0</v>
      </c>
      <c r="H342" s="66">
        <v>6.0</v>
      </c>
      <c r="I342" s="66">
        <v>3.0</v>
      </c>
      <c r="J342" s="24" t="s">
        <v>31</v>
      </c>
      <c r="K342" s="67">
        <v>82216.0</v>
      </c>
      <c r="L342" s="59"/>
      <c r="M342" s="59"/>
      <c r="N342" s="59"/>
      <c r="O342" s="59"/>
      <c r="P342" s="59"/>
      <c r="Q342" s="59"/>
      <c r="R342" s="59"/>
    </row>
    <row r="343">
      <c r="A343" s="66" t="s">
        <v>1406</v>
      </c>
      <c r="B343" s="66">
        <v>87.0</v>
      </c>
      <c r="C343" s="66">
        <v>11.0</v>
      </c>
      <c r="D343" s="24" t="s">
        <v>203</v>
      </c>
      <c r="E343" s="24" t="s">
        <v>1407</v>
      </c>
      <c r="F343" s="66" t="s">
        <v>1408</v>
      </c>
      <c r="G343" s="66">
        <v>88.0</v>
      </c>
      <c r="H343" s="66">
        <v>6.0</v>
      </c>
      <c r="I343" s="66">
        <v>1.0</v>
      </c>
      <c r="J343" s="24" t="s">
        <v>39</v>
      </c>
      <c r="K343" s="67">
        <v>62023.0</v>
      </c>
      <c r="L343" s="59"/>
      <c r="M343" s="59"/>
      <c r="N343" s="59"/>
      <c r="O343" s="59"/>
      <c r="P343" s="59"/>
      <c r="Q343" s="59"/>
      <c r="R343" s="59"/>
    </row>
    <row r="344">
      <c r="A344" s="66" t="s">
        <v>1409</v>
      </c>
      <c r="B344" s="66">
        <v>69.0</v>
      </c>
      <c r="C344" s="66">
        <v>73.0</v>
      </c>
      <c r="D344" s="24" t="s">
        <v>459</v>
      </c>
      <c r="E344" s="24" t="s">
        <v>515</v>
      </c>
      <c r="F344" s="66" t="s">
        <v>1410</v>
      </c>
      <c r="G344" s="66">
        <v>27.0</v>
      </c>
      <c r="H344" s="66">
        <v>1.0</v>
      </c>
      <c r="I344" s="66">
        <v>8.0</v>
      </c>
      <c r="J344" s="24" t="s">
        <v>39</v>
      </c>
      <c r="K344" s="67">
        <v>72815.0</v>
      </c>
      <c r="L344" s="59"/>
      <c r="M344" s="59"/>
      <c r="N344" s="59"/>
      <c r="O344" s="59"/>
      <c r="P344" s="59"/>
      <c r="Q344" s="59"/>
      <c r="R344" s="59"/>
    </row>
    <row r="345">
      <c r="A345" s="66" t="s">
        <v>1411</v>
      </c>
      <c r="B345" s="66">
        <v>27.0</v>
      </c>
      <c r="C345" s="66">
        <v>46.0</v>
      </c>
      <c r="D345" s="24" t="s">
        <v>282</v>
      </c>
      <c r="E345" s="24" t="s">
        <v>499</v>
      </c>
      <c r="F345" s="66" t="s">
        <v>1412</v>
      </c>
      <c r="G345" s="66">
        <v>68.0</v>
      </c>
      <c r="H345" s="66">
        <v>1.0</v>
      </c>
      <c r="I345" s="66">
        <v>8.0</v>
      </c>
      <c r="J345" s="24" t="s">
        <v>39</v>
      </c>
      <c r="K345" s="67">
        <v>22916.0</v>
      </c>
      <c r="L345" s="59"/>
      <c r="M345" s="59"/>
      <c r="N345" s="59"/>
      <c r="O345" s="59"/>
      <c r="P345" s="59"/>
      <c r="Q345" s="59"/>
      <c r="R345" s="59"/>
    </row>
    <row r="346">
      <c r="A346" s="66" t="s">
        <v>1413</v>
      </c>
      <c r="B346" s="66">
        <v>56.0</v>
      </c>
      <c r="C346" s="66">
        <v>93.0</v>
      </c>
      <c r="D346" s="24" t="s">
        <v>331</v>
      </c>
      <c r="E346" s="24" t="s">
        <v>431</v>
      </c>
      <c r="F346" s="66" t="s">
        <v>1414</v>
      </c>
      <c r="G346" s="66">
        <v>68.0</v>
      </c>
      <c r="H346" s="66">
        <v>2.0</v>
      </c>
      <c r="I346" s="66">
        <v>2.0</v>
      </c>
      <c r="J346" s="24" t="s">
        <v>33</v>
      </c>
      <c r="K346" s="67">
        <v>90314.0</v>
      </c>
      <c r="L346" s="59"/>
      <c r="M346" s="59"/>
      <c r="N346" s="59"/>
      <c r="O346" s="59"/>
      <c r="P346" s="59"/>
      <c r="Q346" s="59"/>
      <c r="R346" s="59"/>
    </row>
    <row r="347">
      <c r="A347" s="66" t="s">
        <v>1415</v>
      </c>
      <c r="B347" s="66">
        <v>48.0</v>
      </c>
      <c r="C347" s="66">
        <v>72.0</v>
      </c>
      <c r="D347" s="24" t="s">
        <v>453</v>
      </c>
      <c r="E347" s="24" t="s">
        <v>493</v>
      </c>
      <c r="F347" s="66" t="s">
        <v>1416</v>
      </c>
      <c r="G347" s="66">
        <v>27.0</v>
      </c>
      <c r="H347" s="66">
        <v>2.0</v>
      </c>
      <c r="I347" s="66">
        <v>8.0</v>
      </c>
      <c r="J347" s="24" t="s">
        <v>31</v>
      </c>
      <c r="K347" s="67">
        <v>80715.0</v>
      </c>
      <c r="L347" s="59"/>
      <c r="M347" s="59"/>
      <c r="N347" s="59"/>
      <c r="O347" s="59"/>
      <c r="P347" s="59"/>
      <c r="Q347" s="59"/>
      <c r="R347" s="59"/>
    </row>
    <row r="348">
      <c r="A348" s="66" t="s">
        <v>1417</v>
      </c>
      <c r="B348" s="66">
        <v>34.0</v>
      </c>
      <c r="C348" s="66">
        <v>44.0</v>
      </c>
      <c r="D348" s="24" t="s">
        <v>224</v>
      </c>
      <c r="E348" s="24" t="s">
        <v>479</v>
      </c>
      <c r="F348" s="66" t="s">
        <v>1418</v>
      </c>
      <c r="G348" s="66">
        <v>68.0</v>
      </c>
      <c r="H348" s="66">
        <v>2.0</v>
      </c>
      <c r="I348" s="66">
        <v>7.0</v>
      </c>
      <c r="J348" s="24" t="s">
        <v>39</v>
      </c>
      <c r="K348" s="67">
        <v>121116.0</v>
      </c>
      <c r="L348" s="59"/>
      <c r="M348" s="59"/>
      <c r="N348" s="59"/>
      <c r="O348" s="59"/>
      <c r="P348" s="59"/>
      <c r="Q348" s="59"/>
      <c r="R348" s="59"/>
    </row>
    <row r="349">
      <c r="A349" s="66" t="s">
        <v>1419</v>
      </c>
      <c r="B349" s="66">
        <v>59.0</v>
      </c>
      <c r="C349" s="66">
        <v>96.0</v>
      </c>
      <c r="D349" s="24" t="s">
        <v>247</v>
      </c>
      <c r="E349" s="24" t="s">
        <v>624</v>
      </c>
      <c r="F349" s="66" t="s">
        <v>1420</v>
      </c>
      <c r="G349" s="66">
        <v>27.0</v>
      </c>
      <c r="H349" s="66">
        <v>3.0</v>
      </c>
      <c r="I349" s="66">
        <v>3.0</v>
      </c>
      <c r="J349" s="24" t="s">
        <v>29</v>
      </c>
      <c r="K349" s="67">
        <v>50918.0</v>
      </c>
      <c r="L349" s="59"/>
      <c r="M349" s="59"/>
      <c r="N349" s="59"/>
      <c r="O349" s="59"/>
      <c r="P349" s="59"/>
      <c r="Q349" s="59"/>
      <c r="R349" s="59"/>
    </row>
    <row r="350">
      <c r="A350" s="66" t="s">
        <v>1421</v>
      </c>
      <c r="B350" s="66">
        <v>81.0</v>
      </c>
      <c r="C350" s="66">
        <v>72.0</v>
      </c>
      <c r="D350" s="24" t="s">
        <v>296</v>
      </c>
      <c r="E350" s="24" t="s">
        <v>514</v>
      </c>
      <c r="F350" s="66" t="s">
        <v>1422</v>
      </c>
      <c r="G350" s="66">
        <v>88.0</v>
      </c>
      <c r="H350" s="66">
        <v>8.0</v>
      </c>
      <c r="I350" s="66">
        <v>3.0</v>
      </c>
      <c r="J350" s="24" t="s">
        <v>29</v>
      </c>
      <c r="K350" s="67">
        <v>61423.0</v>
      </c>
      <c r="L350" s="59"/>
      <c r="M350" s="59"/>
      <c r="N350" s="59"/>
      <c r="O350" s="59"/>
      <c r="P350" s="59"/>
      <c r="Q350" s="59"/>
      <c r="R350" s="59"/>
    </row>
    <row r="351">
      <c r="A351" s="66" t="s">
        <v>1423</v>
      </c>
      <c r="B351" s="66">
        <v>55.0</v>
      </c>
      <c r="C351" s="66">
        <v>95.0</v>
      </c>
      <c r="D351" s="24" t="s">
        <v>933</v>
      </c>
      <c r="E351" s="24" t="s">
        <v>346</v>
      </c>
      <c r="F351" s="66" t="s">
        <v>1424</v>
      </c>
      <c r="G351" s="66">
        <v>47.0</v>
      </c>
      <c r="H351" s="66">
        <v>8.0</v>
      </c>
      <c r="I351" s="66">
        <v>7.0</v>
      </c>
      <c r="J351" s="24" t="s">
        <v>48</v>
      </c>
      <c r="K351" s="67">
        <v>100714.0</v>
      </c>
      <c r="L351" s="59"/>
      <c r="M351" s="59"/>
      <c r="N351" s="59"/>
      <c r="O351" s="59"/>
      <c r="P351" s="59"/>
      <c r="Q351" s="59"/>
      <c r="R351" s="59"/>
    </row>
    <row r="352">
      <c r="A352" s="66" t="s">
        <v>1425</v>
      </c>
      <c r="B352" s="66">
        <v>86.0</v>
      </c>
      <c r="C352" s="66">
        <v>98.0</v>
      </c>
      <c r="D352" s="24" t="s">
        <v>377</v>
      </c>
      <c r="E352" s="24" t="s">
        <v>535</v>
      </c>
      <c r="F352" s="66" t="s">
        <v>1426</v>
      </c>
      <c r="G352" s="66">
        <v>68.0</v>
      </c>
      <c r="H352" s="66">
        <v>3.0</v>
      </c>
      <c r="I352" s="66">
        <v>9.0</v>
      </c>
      <c r="J352" s="24" t="s">
        <v>48</v>
      </c>
      <c r="K352" s="67">
        <v>40316.0</v>
      </c>
      <c r="L352" s="59"/>
      <c r="M352" s="59"/>
      <c r="N352" s="59"/>
      <c r="O352" s="59"/>
      <c r="P352" s="59"/>
      <c r="Q352" s="59"/>
      <c r="R352" s="59"/>
    </row>
    <row r="353">
      <c r="A353" s="66" t="s">
        <v>1427</v>
      </c>
      <c r="B353" s="66">
        <v>46.0</v>
      </c>
      <c r="C353" s="66">
        <v>17.0</v>
      </c>
      <c r="D353" s="24" t="s">
        <v>211</v>
      </c>
      <c r="E353" s="24" t="s">
        <v>224</v>
      </c>
      <c r="F353" s="66" t="s">
        <v>1428</v>
      </c>
      <c r="G353" s="66">
        <v>47.0</v>
      </c>
      <c r="H353" s="66">
        <v>9.0</v>
      </c>
      <c r="I353" s="66">
        <v>2.0</v>
      </c>
      <c r="J353" s="24" t="s">
        <v>29</v>
      </c>
      <c r="K353" s="67">
        <v>112321.0</v>
      </c>
      <c r="L353" s="59"/>
      <c r="M353" s="59"/>
      <c r="N353" s="59"/>
      <c r="O353" s="59"/>
      <c r="P353" s="59"/>
      <c r="Q353" s="59"/>
      <c r="R353" s="59"/>
    </row>
    <row r="354">
      <c r="A354" s="66" t="s">
        <v>1429</v>
      </c>
      <c r="B354" s="66">
        <v>58.0</v>
      </c>
      <c r="C354" s="66">
        <v>91.0</v>
      </c>
      <c r="D354" s="24" t="s">
        <v>289</v>
      </c>
      <c r="E354" s="24" t="s">
        <v>430</v>
      </c>
      <c r="F354" s="66" t="s">
        <v>1430</v>
      </c>
      <c r="G354" s="66">
        <v>27.0</v>
      </c>
      <c r="H354" s="66">
        <v>4.0</v>
      </c>
      <c r="I354" s="66">
        <v>4.0</v>
      </c>
      <c r="J354" s="24" t="s">
        <v>33</v>
      </c>
      <c r="K354" s="67">
        <v>91122.0</v>
      </c>
      <c r="L354" s="59"/>
      <c r="M354" s="59"/>
      <c r="N354" s="59"/>
      <c r="O354" s="59"/>
      <c r="P354" s="59"/>
      <c r="Q354" s="59"/>
      <c r="R354" s="59"/>
    </row>
    <row r="355">
      <c r="A355" s="66" t="s">
        <v>1431</v>
      </c>
      <c r="B355" s="66">
        <v>94.0</v>
      </c>
      <c r="C355" s="66">
        <v>51.0</v>
      </c>
      <c r="D355" s="24" t="s">
        <v>106</v>
      </c>
      <c r="E355" s="24" t="s">
        <v>486</v>
      </c>
      <c r="F355" s="66" t="s">
        <v>1432</v>
      </c>
      <c r="G355" s="66">
        <v>27.0</v>
      </c>
      <c r="H355" s="66">
        <v>4.0</v>
      </c>
      <c r="I355" s="66">
        <v>7.0</v>
      </c>
      <c r="J355" s="24" t="s">
        <v>33</v>
      </c>
      <c r="K355" s="67">
        <v>40113.0</v>
      </c>
      <c r="L355" s="59"/>
      <c r="M355" s="59"/>
      <c r="N355" s="59"/>
      <c r="O355" s="59"/>
      <c r="P355" s="59"/>
      <c r="Q355" s="59"/>
      <c r="R355" s="59"/>
    </row>
    <row r="356">
      <c r="A356" s="66" t="s">
        <v>1433</v>
      </c>
      <c r="B356" s="66">
        <v>73.0</v>
      </c>
      <c r="C356" s="66">
        <v>26.0</v>
      </c>
      <c r="D356" s="24" t="s">
        <v>770</v>
      </c>
      <c r="E356" s="24" t="s">
        <v>979</v>
      </c>
      <c r="F356" s="66" t="s">
        <v>1434</v>
      </c>
      <c r="G356" s="66">
        <v>88.0</v>
      </c>
      <c r="H356" s="66">
        <v>9.0</v>
      </c>
      <c r="I356" s="66">
        <v>2.0</v>
      </c>
      <c r="J356" s="24" t="s">
        <v>48</v>
      </c>
      <c r="K356" s="67">
        <v>81322.0</v>
      </c>
      <c r="L356" s="59"/>
      <c r="M356" s="59"/>
      <c r="N356" s="59"/>
      <c r="O356" s="59"/>
      <c r="P356" s="59"/>
      <c r="Q356" s="59"/>
      <c r="R356" s="59"/>
    </row>
    <row r="357">
      <c r="A357" s="66" t="s">
        <v>1435</v>
      </c>
      <c r="B357" s="66">
        <v>31.0</v>
      </c>
      <c r="C357" s="66">
        <v>78.0</v>
      </c>
      <c r="D357" s="24" t="s">
        <v>36</v>
      </c>
      <c r="E357" s="24" t="s">
        <v>391</v>
      </c>
      <c r="F357" s="66" t="s">
        <v>1436</v>
      </c>
      <c r="G357" s="66">
        <v>68.0</v>
      </c>
      <c r="H357" s="66">
        <v>4.0</v>
      </c>
      <c r="I357" s="66">
        <v>6.0</v>
      </c>
      <c r="J357" s="24" t="s">
        <v>33</v>
      </c>
      <c r="K357" s="67">
        <v>60118.0</v>
      </c>
      <c r="L357" s="59"/>
      <c r="M357" s="59"/>
      <c r="N357" s="59"/>
      <c r="O357" s="59"/>
      <c r="P357" s="59"/>
      <c r="Q357" s="59"/>
      <c r="R357" s="59"/>
    </row>
    <row r="358">
      <c r="A358" s="66" t="s">
        <v>1437</v>
      </c>
      <c r="B358" s="66">
        <v>11.0</v>
      </c>
      <c r="C358" s="66">
        <v>84.0</v>
      </c>
      <c r="D358" s="24" t="s">
        <v>366</v>
      </c>
      <c r="E358" s="24" t="s">
        <v>349</v>
      </c>
      <c r="F358" s="66" t="s">
        <v>1438</v>
      </c>
      <c r="G358" s="66">
        <v>88.0</v>
      </c>
      <c r="H358" s="66">
        <v>9.0</v>
      </c>
      <c r="I358" s="66">
        <v>6.0</v>
      </c>
      <c r="J358" s="24" t="s">
        <v>33</v>
      </c>
      <c r="K358" s="67">
        <v>92519.0</v>
      </c>
      <c r="L358" s="59"/>
      <c r="M358" s="59"/>
      <c r="N358" s="59"/>
      <c r="O358" s="59"/>
      <c r="P358" s="59"/>
      <c r="Q358" s="59"/>
      <c r="R358" s="59"/>
    </row>
    <row r="359">
      <c r="A359" s="66" t="s">
        <v>1439</v>
      </c>
      <c r="B359" s="66">
        <v>89.0</v>
      </c>
      <c r="C359" s="66">
        <v>21.0</v>
      </c>
      <c r="D359" s="24" t="s">
        <v>468</v>
      </c>
      <c r="E359" s="24" t="s">
        <v>82</v>
      </c>
      <c r="F359" s="66" t="s">
        <v>1440</v>
      </c>
      <c r="G359" s="66">
        <v>27.0</v>
      </c>
      <c r="H359" s="66">
        <v>5.0</v>
      </c>
      <c r="I359" s="66">
        <v>3.0</v>
      </c>
      <c r="J359" s="24" t="s">
        <v>48</v>
      </c>
      <c r="K359" s="67">
        <v>73122.0</v>
      </c>
      <c r="L359" s="59"/>
      <c r="M359" s="59"/>
      <c r="N359" s="59"/>
      <c r="O359" s="59"/>
      <c r="P359" s="59"/>
      <c r="Q359" s="59"/>
      <c r="R359" s="59"/>
    </row>
    <row r="360">
      <c r="A360" s="66" t="s">
        <v>1441</v>
      </c>
      <c r="B360" s="66">
        <v>14.0</v>
      </c>
      <c r="C360" s="66">
        <v>60.0</v>
      </c>
      <c r="D360" s="24" t="s">
        <v>357</v>
      </c>
      <c r="E360" s="24" t="s">
        <v>1442</v>
      </c>
      <c r="F360" s="66" t="s">
        <v>1443</v>
      </c>
      <c r="G360" s="66">
        <v>27.0</v>
      </c>
      <c r="H360" s="66">
        <v>5.0</v>
      </c>
      <c r="I360" s="66">
        <v>4.0</v>
      </c>
      <c r="J360" s="24" t="s">
        <v>48</v>
      </c>
      <c r="K360" s="67">
        <v>62314.0</v>
      </c>
      <c r="L360" s="59"/>
      <c r="M360" s="59"/>
      <c r="N360" s="59"/>
      <c r="O360" s="59"/>
      <c r="P360" s="59"/>
      <c r="Q360" s="59"/>
      <c r="R360" s="59"/>
    </row>
    <row r="361">
      <c r="A361" s="66" t="s">
        <v>1444</v>
      </c>
      <c r="B361" s="66">
        <v>66.0</v>
      </c>
      <c r="C361" s="66">
        <v>79.0</v>
      </c>
      <c r="D361" s="24" t="s">
        <v>132</v>
      </c>
      <c r="E361" s="24" t="s">
        <v>1218</v>
      </c>
      <c r="F361" s="66" t="s">
        <v>1445</v>
      </c>
      <c r="G361" s="66">
        <v>88.0</v>
      </c>
      <c r="H361" s="66">
        <v>9.0</v>
      </c>
      <c r="I361" s="66">
        <v>9.0</v>
      </c>
      <c r="J361" s="24" t="s">
        <v>31</v>
      </c>
      <c r="K361" s="67">
        <v>82122.0</v>
      </c>
      <c r="L361" s="59"/>
      <c r="M361" s="59"/>
      <c r="N361" s="59"/>
      <c r="O361" s="59"/>
      <c r="P361" s="59"/>
      <c r="Q361" s="59"/>
      <c r="R361" s="59"/>
    </row>
    <row r="362">
      <c r="A362" s="66" t="s">
        <v>1446</v>
      </c>
      <c r="B362" s="66">
        <v>24.0</v>
      </c>
      <c r="C362" s="66">
        <v>92.0</v>
      </c>
      <c r="D362" s="24" t="s">
        <v>176</v>
      </c>
      <c r="E362" s="24" t="s">
        <v>165</v>
      </c>
      <c r="F362" s="66" t="s">
        <v>1447</v>
      </c>
      <c r="G362" s="66">
        <v>27.0</v>
      </c>
      <c r="H362" s="66">
        <v>5.0</v>
      </c>
      <c r="I362" s="66">
        <v>8.0</v>
      </c>
      <c r="J362" s="24" t="s">
        <v>33</v>
      </c>
      <c r="K362" s="67">
        <v>10318.0</v>
      </c>
      <c r="L362" s="59"/>
      <c r="M362" s="59"/>
      <c r="N362" s="59"/>
      <c r="O362" s="59"/>
      <c r="P362" s="59"/>
      <c r="Q362" s="59"/>
      <c r="R362" s="59"/>
    </row>
    <row r="363">
      <c r="A363" s="66" t="s">
        <v>1448</v>
      </c>
      <c r="B363" s="66">
        <v>44.0</v>
      </c>
      <c r="C363" s="66">
        <v>66.0</v>
      </c>
      <c r="D363" s="24" t="s">
        <v>1449</v>
      </c>
      <c r="E363" s="24" t="s">
        <v>504</v>
      </c>
      <c r="F363" s="66" t="s">
        <v>1450</v>
      </c>
      <c r="G363" s="66">
        <v>27.0</v>
      </c>
      <c r="H363" s="66">
        <v>6.0</v>
      </c>
      <c r="I363" s="66">
        <v>1.0</v>
      </c>
      <c r="J363" s="24" t="s">
        <v>33</v>
      </c>
      <c r="K363" s="67">
        <v>50620.0</v>
      </c>
      <c r="L363" s="59"/>
      <c r="M363" s="59"/>
      <c r="N363" s="59"/>
      <c r="O363" s="59"/>
      <c r="P363" s="59"/>
      <c r="Q363" s="59"/>
      <c r="R363" s="59"/>
    </row>
    <row r="364">
      <c r="A364" s="66" t="s">
        <v>1451</v>
      </c>
      <c r="B364" s="66">
        <v>97.0</v>
      </c>
      <c r="C364" s="66">
        <v>82.0</v>
      </c>
      <c r="D364" s="24" t="s">
        <v>60</v>
      </c>
      <c r="E364" s="24" t="s">
        <v>106</v>
      </c>
      <c r="F364" s="66" t="s">
        <v>1452</v>
      </c>
      <c r="G364" s="66">
        <v>68.0</v>
      </c>
      <c r="H364" s="66">
        <v>5.0</v>
      </c>
      <c r="I364" s="66">
        <v>9.0</v>
      </c>
      <c r="J364" s="24" t="s">
        <v>39</v>
      </c>
      <c r="K364" s="67">
        <v>91617.0</v>
      </c>
      <c r="L364" s="59"/>
      <c r="M364" s="59"/>
      <c r="N364" s="59"/>
      <c r="O364" s="59"/>
      <c r="P364" s="59"/>
      <c r="Q364" s="59"/>
      <c r="R364" s="59"/>
    </row>
    <row r="365">
      <c r="A365" s="66" t="s">
        <v>1453</v>
      </c>
      <c r="B365" s="66">
        <v>24.0</v>
      </c>
      <c r="C365" s="66">
        <v>33.0</v>
      </c>
      <c r="D365" s="24" t="s">
        <v>150</v>
      </c>
      <c r="E365" s="24" t="s">
        <v>477</v>
      </c>
      <c r="F365" s="66" t="s">
        <v>1454</v>
      </c>
      <c r="G365" s="66">
        <v>48.0</v>
      </c>
      <c r="H365" s="66">
        <v>1.0</v>
      </c>
      <c r="I365" s="66">
        <v>2.0</v>
      </c>
      <c r="J365" s="24" t="s">
        <v>31</v>
      </c>
      <c r="K365" s="67">
        <v>112814.0</v>
      </c>
      <c r="L365" s="59"/>
      <c r="M365" s="59"/>
      <c r="N365" s="59"/>
      <c r="O365" s="59"/>
      <c r="P365" s="59"/>
      <c r="Q365" s="59"/>
      <c r="R365" s="59"/>
    </row>
    <row r="366">
      <c r="A366" s="66" t="s">
        <v>1455</v>
      </c>
      <c r="B366" s="66">
        <v>94.0</v>
      </c>
      <c r="C366" s="66">
        <v>91.0</v>
      </c>
      <c r="D366" s="24" t="s">
        <v>281</v>
      </c>
      <c r="E366" s="24" t="s">
        <v>400</v>
      </c>
      <c r="F366" s="66" t="s">
        <v>1456</v>
      </c>
      <c r="G366" s="66">
        <v>27.0</v>
      </c>
      <c r="H366" s="66">
        <v>6.0</v>
      </c>
      <c r="I366" s="66">
        <v>4.0</v>
      </c>
      <c r="J366" s="24" t="s">
        <v>33</v>
      </c>
      <c r="K366" s="67">
        <v>112515.0</v>
      </c>
      <c r="L366" s="59"/>
      <c r="M366" s="59"/>
      <c r="N366" s="59"/>
      <c r="O366" s="59"/>
      <c r="P366" s="59"/>
      <c r="Q366" s="59"/>
      <c r="R366" s="59"/>
    </row>
    <row r="367">
      <c r="A367" s="66" t="s">
        <v>1457</v>
      </c>
      <c r="B367" s="66">
        <v>33.0</v>
      </c>
      <c r="C367" s="66">
        <v>74.0</v>
      </c>
      <c r="D367" s="24" t="s">
        <v>326</v>
      </c>
      <c r="E367" s="24" t="s">
        <v>471</v>
      </c>
      <c r="F367" s="66" t="s">
        <v>1458</v>
      </c>
      <c r="G367" s="66">
        <v>68.0</v>
      </c>
      <c r="H367" s="66">
        <v>6.0</v>
      </c>
      <c r="I367" s="66">
        <v>3.0</v>
      </c>
      <c r="J367" s="24" t="s">
        <v>39</v>
      </c>
      <c r="K367" s="67">
        <v>72321.0</v>
      </c>
      <c r="L367" s="59"/>
      <c r="M367" s="59"/>
      <c r="N367" s="59"/>
      <c r="O367" s="59"/>
      <c r="P367" s="59"/>
      <c r="Q367" s="59"/>
      <c r="R367" s="59"/>
    </row>
    <row r="368">
      <c r="A368" s="66" t="s">
        <v>1459</v>
      </c>
      <c r="B368" s="66">
        <v>40.0</v>
      </c>
      <c r="C368" s="66">
        <v>66.0</v>
      </c>
      <c r="D368" s="24" t="s">
        <v>88</v>
      </c>
      <c r="E368" s="24" t="s">
        <v>348</v>
      </c>
      <c r="F368" s="66" t="s">
        <v>1460</v>
      </c>
      <c r="G368" s="66">
        <v>89.0</v>
      </c>
      <c r="H368" s="66">
        <v>1.0</v>
      </c>
      <c r="I368" s="66">
        <v>3.0</v>
      </c>
      <c r="J368" s="24" t="s">
        <v>29</v>
      </c>
      <c r="K368" s="67">
        <v>91915.0</v>
      </c>
      <c r="L368" s="59"/>
      <c r="M368" s="59"/>
      <c r="N368" s="59"/>
      <c r="O368" s="59"/>
      <c r="P368" s="59"/>
      <c r="Q368" s="59"/>
      <c r="R368" s="59"/>
    </row>
    <row r="369">
      <c r="A369" s="66" t="s">
        <v>1461</v>
      </c>
      <c r="B369" s="66">
        <v>41.0</v>
      </c>
      <c r="C369" s="66">
        <v>57.0</v>
      </c>
      <c r="D369" s="24" t="s">
        <v>35</v>
      </c>
      <c r="E369" s="24" t="s">
        <v>1077</v>
      </c>
      <c r="F369" s="66" t="s">
        <v>1462</v>
      </c>
      <c r="G369" s="66">
        <v>27.0</v>
      </c>
      <c r="H369" s="66">
        <v>7.0</v>
      </c>
      <c r="I369" s="66">
        <v>1.0</v>
      </c>
      <c r="J369" s="24" t="s">
        <v>33</v>
      </c>
      <c r="K369" s="67">
        <v>21122.0</v>
      </c>
      <c r="L369" s="59"/>
      <c r="M369" s="59"/>
      <c r="N369" s="59"/>
      <c r="O369" s="59"/>
      <c r="P369" s="59"/>
      <c r="Q369" s="59"/>
      <c r="R369" s="59"/>
    </row>
    <row r="370">
      <c r="A370" s="66" t="s">
        <v>1463</v>
      </c>
      <c r="B370" s="66">
        <v>47.0</v>
      </c>
      <c r="C370" s="66">
        <v>33.0</v>
      </c>
      <c r="D370" s="24" t="s">
        <v>1464</v>
      </c>
      <c r="E370" s="24" t="s">
        <v>465</v>
      </c>
      <c r="F370" s="66" t="s">
        <v>1465</v>
      </c>
      <c r="G370" s="66">
        <v>68.0</v>
      </c>
      <c r="H370" s="66">
        <v>6.0</v>
      </c>
      <c r="I370" s="66">
        <v>7.0</v>
      </c>
      <c r="J370" s="24" t="s">
        <v>39</v>
      </c>
      <c r="K370" s="67">
        <v>12713.0</v>
      </c>
      <c r="L370" s="59"/>
      <c r="M370" s="59"/>
      <c r="N370" s="59"/>
      <c r="O370" s="59"/>
      <c r="P370" s="59"/>
      <c r="Q370" s="59"/>
      <c r="R370" s="59"/>
    </row>
    <row r="371">
      <c r="A371" s="66" t="s">
        <v>1466</v>
      </c>
      <c r="B371" s="66">
        <v>69.0</v>
      </c>
      <c r="C371" s="66">
        <v>53.0</v>
      </c>
      <c r="D371" s="24" t="s">
        <v>53</v>
      </c>
      <c r="E371" s="24" t="s">
        <v>324</v>
      </c>
      <c r="F371" s="66" t="s">
        <v>1467</v>
      </c>
      <c r="G371" s="66">
        <v>68.0</v>
      </c>
      <c r="H371" s="66">
        <v>6.0</v>
      </c>
      <c r="I371" s="66">
        <v>9.0</v>
      </c>
      <c r="J371" s="24" t="s">
        <v>33</v>
      </c>
      <c r="K371" s="67">
        <v>73020.0</v>
      </c>
      <c r="L371" s="59"/>
      <c r="M371" s="59"/>
      <c r="N371" s="59"/>
      <c r="O371" s="59"/>
      <c r="P371" s="59"/>
      <c r="Q371" s="59"/>
      <c r="R371" s="59"/>
    </row>
    <row r="372">
      <c r="A372" s="66" t="s">
        <v>1468</v>
      </c>
      <c r="B372" s="66">
        <v>31.0</v>
      </c>
      <c r="C372" s="66">
        <v>40.0</v>
      </c>
      <c r="D372" s="24" t="s">
        <v>308</v>
      </c>
      <c r="E372" s="24" t="s">
        <v>979</v>
      </c>
      <c r="F372" s="66" t="s">
        <v>1469</v>
      </c>
      <c r="G372" s="66">
        <v>68.0</v>
      </c>
      <c r="H372" s="66">
        <v>6.0</v>
      </c>
      <c r="I372" s="66">
        <v>8.0</v>
      </c>
      <c r="J372" s="24" t="s">
        <v>33</v>
      </c>
      <c r="K372" s="67">
        <v>12617.0</v>
      </c>
      <c r="L372" s="59"/>
      <c r="M372" s="59"/>
      <c r="N372" s="59"/>
      <c r="O372" s="59"/>
      <c r="P372" s="59"/>
      <c r="Q372" s="59"/>
      <c r="R372" s="59"/>
    </row>
    <row r="373">
      <c r="A373" s="66" t="s">
        <v>1470</v>
      </c>
      <c r="B373" s="66">
        <v>29.0</v>
      </c>
      <c r="C373" s="66">
        <v>15.0</v>
      </c>
      <c r="D373" s="24" t="s">
        <v>1324</v>
      </c>
      <c r="E373" s="24" t="s">
        <v>190</v>
      </c>
      <c r="F373" s="66" t="s">
        <v>1471</v>
      </c>
      <c r="G373" s="66">
        <v>27.0</v>
      </c>
      <c r="H373" s="66">
        <v>7.0</v>
      </c>
      <c r="I373" s="66">
        <v>5.0</v>
      </c>
      <c r="J373" s="24" t="s">
        <v>31</v>
      </c>
      <c r="K373" s="67">
        <v>11521.0</v>
      </c>
      <c r="L373" s="59"/>
      <c r="M373" s="59"/>
      <c r="N373" s="59"/>
      <c r="O373" s="59"/>
      <c r="P373" s="59"/>
      <c r="Q373" s="59"/>
      <c r="R373" s="59"/>
    </row>
    <row r="374">
      <c r="A374" s="66" t="s">
        <v>1472</v>
      </c>
      <c r="B374" s="66">
        <v>89.0</v>
      </c>
      <c r="C374" s="66">
        <v>27.0</v>
      </c>
      <c r="D374" s="24" t="s">
        <v>450</v>
      </c>
      <c r="E374" s="24" t="s">
        <v>498</v>
      </c>
      <c r="F374" s="66" t="s">
        <v>1473</v>
      </c>
      <c r="G374" s="66">
        <v>48.0</v>
      </c>
      <c r="H374" s="66">
        <v>2.0</v>
      </c>
      <c r="I374" s="66">
        <v>5.0</v>
      </c>
      <c r="J374" s="24" t="s">
        <v>31</v>
      </c>
      <c r="K374" s="67">
        <v>60415.0</v>
      </c>
      <c r="L374" s="59"/>
      <c r="M374" s="59"/>
      <c r="N374" s="59"/>
      <c r="O374" s="59"/>
      <c r="P374" s="59"/>
      <c r="Q374" s="59"/>
      <c r="R374" s="59"/>
    </row>
    <row r="375">
      <c r="A375" s="66" t="s">
        <v>1474</v>
      </c>
      <c r="B375" s="66">
        <v>52.0</v>
      </c>
      <c r="C375" s="66">
        <v>51.0</v>
      </c>
      <c r="D375" s="24" t="s">
        <v>141</v>
      </c>
      <c r="E375" s="24" t="s">
        <v>78</v>
      </c>
      <c r="F375" s="66" t="s">
        <v>1475</v>
      </c>
      <c r="G375" s="66">
        <v>27.0</v>
      </c>
      <c r="H375" s="66">
        <v>7.0</v>
      </c>
      <c r="I375" s="66">
        <v>9.0</v>
      </c>
      <c r="J375" s="24" t="s">
        <v>39</v>
      </c>
      <c r="K375" s="67">
        <v>22320.0</v>
      </c>
      <c r="L375" s="59"/>
      <c r="M375" s="59"/>
      <c r="N375" s="59"/>
      <c r="O375" s="59"/>
      <c r="P375" s="59"/>
      <c r="Q375" s="59"/>
      <c r="R375" s="59"/>
    </row>
    <row r="376">
      <c r="A376" s="66" t="s">
        <v>1476</v>
      </c>
      <c r="B376" s="66">
        <v>94.0</v>
      </c>
      <c r="C376" s="66">
        <v>77.0</v>
      </c>
      <c r="D376" s="24" t="s">
        <v>355</v>
      </c>
      <c r="E376" s="24" t="s">
        <v>259</v>
      </c>
      <c r="F376" s="66" t="s">
        <v>1477</v>
      </c>
      <c r="G376" s="66">
        <v>48.0</v>
      </c>
      <c r="H376" s="66">
        <v>2.0</v>
      </c>
      <c r="I376" s="66">
        <v>9.0</v>
      </c>
      <c r="J376" s="24" t="s">
        <v>33</v>
      </c>
      <c r="K376" s="67">
        <v>42714.0</v>
      </c>
      <c r="L376" s="59"/>
      <c r="M376" s="59"/>
      <c r="N376" s="59"/>
      <c r="O376" s="59"/>
      <c r="P376" s="59"/>
      <c r="Q376" s="59"/>
      <c r="R376" s="59"/>
    </row>
    <row r="377">
      <c r="A377" s="66" t="s">
        <v>1478</v>
      </c>
      <c r="B377" s="66">
        <v>21.0</v>
      </c>
      <c r="C377" s="66">
        <v>15.0</v>
      </c>
      <c r="D377" s="24" t="s">
        <v>53</v>
      </c>
      <c r="E377" s="24" t="s">
        <v>371</v>
      </c>
      <c r="F377" s="66" t="s">
        <v>1479</v>
      </c>
      <c r="G377" s="66">
        <v>27.0</v>
      </c>
      <c r="H377" s="66">
        <v>8.0</v>
      </c>
      <c r="I377" s="66">
        <v>1.0</v>
      </c>
      <c r="J377" s="24" t="s">
        <v>29</v>
      </c>
      <c r="K377" s="67">
        <v>60815.0</v>
      </c>
      <c r="L377" s="59"/>
      <c r="M377" s="59"/>
      <c r="N377" s="59"/>
      <c r="O377" s="59"/>
      <c r="P377" s="59"/>
      <c r="Q377" s="59"/>
      <c r="R377" s="59"/>
    </row>
    <row r="378">
      <c r="A378" s="66" t="s">
        <v>1480</v>
      </c>
      <c r="B378" s="66">
        <v>47.0</v>
      </c>
      <c r="C378" s="66">
        <v>50.0</v>
      </c>
      <c r="D378" s="24" t="s">
        <v>320</v>
      </c>
      <c r="E378" s="24" t="s">
        <v>187</v>
      </c>
      <c r="F378" s="66" t="s">
        <v>1481</v>
      </c>
      <c r="G378" s="66">
        <v>89.0</v>
      </c>
      <c r="H378" s="66">
        <v>2.0</v>
      </c>
      <c r="I378" s="66">
        <v>8.0</v>
      </c>
      <c r="J378" s="24" t="s">
        <v>29</v>
      </c>
      <c r="K378" s="67">
        <v>82820.0</v>
      </c>
      <c r="L378" s="59"/>
      <c r="M378" s="59"/>
      <c r="N378" s="59"/>
      <c r="O378" s="59"/>
      <c r="P378" s="59"/>
      <c r="Q378" s="59"/>
      <c r="R378" s="59"/>
    </row>
    <row r="379">
      <c r="A379" s="66" t="s">
        <v>1482</v>
      </c>
      <c r="B379" s="66">
        <v>32.0</v>
      </c>
      <c r="C379" s="66">
        <v>50.0</v>
      </c>
      <c r="D379" s="24" t="s">
        <v>1006</v>
      </c>
      <c r="E379" s="24" t="s">
        <v>396</v>
      </c>
      <c r="F379" s="66" t="s">
        <v>1483</v>
      </c>
      <c r="G379" s="66">
        <v>48.0</v>
      </c>
      <c r="H379" s="66">
        <v>3.0</v>
      </c>
      <c r="I379" s="66">
        <v>3.0</v>
      </c>
      <c r="J379" s="24" t="s">
        <v>39</v>
      </c>
      <c r="K379" s="67">
        <v>122819.0</v>
      </c>
      <c r="L379" s="59"/>
      <c r="M379" s="59"/>
      <c r="N379" s="59"/>
      <c r="O379" s="59"/>
      <c r="P379" s="59"/>
      <c r="Q379" s="59"/>
      <c r="R379" s="59"/>
    </row>
    <row r="380">
      <c r="A380" s="66" t="s">
        <v>1484</v>
      </c>
      <c r="B380" s="66">
        <v>86.0</v>
      </c>
      <c r="C380" s="66">
        <v>68.0</v>
      </c>
      <c r="D380" s="24" t="s">
        <v>117</v>
      </c>
      <c r="E380" s="24" t="s">
        <v>313</v>
      </c>
      <c r="F380" s="66" t="s">
        <v>1485</v>
      </c>
      <c r="G380" s="66">
        <v>27.0</v>
      </c>
      <c r="H380" s="66">
        <v>8.0</v>
      </c>
      <c r="I380" s="66">
        <v>6.0</v>
      </c>
      <c r="J380" s="24" t="s">
        <v>29</v>
      </c>
      <c r="K380" s="67">
        <v>61819.0</v>
      </c>
      <c r="L380" s="59"/>
      <c r="M380" s="59"/>
      <c r="N380" s="59"/>
      <c r="O380" s="59"/>
      <c r="P380" s="59"/>
      <c r="Q380" s="59"/>
      <c r="R380" s="59"/>
    </row>
    <row r="381">
      <c r="A381" s="66" t="s">
        <v>1486</v>
      </c>
      <c r="B381" s="66">
        <v>77.0</v>
      </c>
      <c r="C381" s="66">
        <v>74.0</v>
      </c>
      <c r="D381" s="24" t="s">
        <v>152</v>
      </c>
      <c r="E381" s="24" t="s">
        <v>120</v>
      </c>
      <c r="F381" s="66" t="s">
        <v>1487</v>
      </c>
      <c r="G381" s="66">
        <v>27.0</v>
      </c>
      <c r="H381" s="66">
        <v>8.0</v>
      </c>
      <c r="I381" s="66">
        <v>5.0</v>
      </c>
      <c r="J381" s="24" t="s">
        <v>33</v>
      </c>
      <c r="K381" s="67">
        <v>41713.0</v>
      </c>
      <c r="L381" s="59"/>
      <c r="M381" s="59"/>
      <c r="N381" s="59"/>
      <c r="O381" s="59"/>
      <c r="P381" s="59"/>
      <c r="Q381" s="59"/>
      <c r="R381" s="59"/>
    </row>
    <row r="382">
      <c r="A382" s="66" t="s">
        <v>1488</v>
      </c>
      <c r="B382" s="66">
        <v>90.0</v>
      </c>
      <c r="C382" s="66">
        <v>24.0</v>
      </c>
      <c r="D382" s="24" t="s">
        <v>177</v>
      </c>
      <c r="E382" s="24" t="s">
        <v>430</v>
      </c>
      <c r="F382" s="66" t="s">
        <v>1489</v>
      </c>
      <c r="G382" s="66">
        <v>27.0</v>
      </c>
      <c r="H382" s="66">
        <v>8.0</v>
      </c>
      <c r="I382" s="66">
        <v>8.0</v>
      </c>
      <c r="J382" s="24" t="s">
        <v>29</v>
      </c>
      <c r="K382" s="67">
        <v>111420.0</v>
      </c>
      <c r="L382" s="59"/>
      <c r="M382" s="59"/>
      <c r="N382" s="59"/>
      <c r="O382" s="59"/>
      <c r="P382" s="59"/>
      <c r="Q382" s="59"/>
      <c r="R382" s="59"/>
    </row>
    <row r="383">
      <c r="A383" s="66" t="s">
        <v>1490</v>
      </c>
      <c r="B383" s="66">
        <v>24.0</v>
      </c>
      <c r="C383" s="66">
        <v>57.0</v>
      </c>
      <c r="D383" s="24" t="s">
        <v>296</v>
      </c>
      <c r="E383" s="24" t="s">
        <v>366</v>
      </c>
      <c r="F383" s="66" t="s">
        <v>1491</v>
      </c>
      <c r="G383" s="66">
        <v>68.0</v>
      </c>
      <c r="H383" s="66">
        <v>8.0</v>
      </c>
      <c r="I383" s="66">
        <v>6.0</v>
      </c>
      <c r="J383" s="24" t="s">
        <v>31</v>
      </c>
      <c r="K383" s="67">
        <v>101714.0</v>
      </c>
      <c r="L383" s="59"/>
      <c r="M383" s="59"/>
      <c r="N383" s="59"/>
      <c r="O383" s="59"/>
      <c r="P383" s="59"/>
      <c r="Q383" s="59"/>
      <c r="R383" s="59"/>
    </row>
    <row r="384">
      <c r="A384" s="66" t="s">
        <v>1492</v>
      </c>
      <c r="B384" s="66">
        <v>88.0</v>
      </c>
      <c r="C384" s="66">
        <v>38.0</v>
      </c>
      <c r="D384" s="24" t="s">
        <v>340</v>
      </c>
      <c r="E384" s="24" t="s">
        <v>501</v>
      </c>
      <c r="F384" s="66" t="s">
        <v>1493</v>
      </c>
      <c r="G384" s="66">
        <v>27.0</v>
      </c>
      <c r="H384" s="66">
        <v>9.0</v>
      </c>
      <c r="I384" s="66">
        <v>2.0</v>
      </c>
      <c r="J384" s="24" t="s">
        <v>48</v>
      </c>
      <c r="K384" s="67">
        <v>50215.0</v>
      </c>
      <c r="L384" s="59"/>
      <c r="M384" s="59"/>
      <c r="N384" s="59"/>
      <c r="O384" s="59"/>
      <c r="P384" s="59"/>
      <c r="Q384" s="59"/>
      <c r="R384" s="59"/>
    </row>
    <row r="385">
      <c r="A385" s="66" t="s">
        <v>1494</v>
      </c>
      <c r="B385" s="66">
        <v>48.0</v>
      </c>
      <c r="C385" s="66">
        <v>70.0</v>
      </c>
      <c r="D385" s="24" t="s">
        <v>182</v>
      </c>
      <c r="E385" s="24" t="s">
        <v>464</v>
      </c>
      <c r="F385" s="66" t="s">
        <v>1495</v>
      </c>
      <c r="G385" s="66">
        <v>48.0</v>
      </c>
      <c r="H385" s="66">
        <v>4.0</v>
      </c>
      <c r="I385" s="66">
        <v>1.0</v>
      </c>
      <c r="J385" s="24" t="s">
        <v>29</v>
      </c>
      <c r="K385" s="67">
        <v>123013.0</v>
      </c>
      <c r="L385" s="59"/>
      <c r="M385" s="59"/>
      <c r="N385" s="59"/>
      <c r="O385" s="59"/>
      <c r="P385" s="59"/>
      <c r="Q385" s="59"/>
      <c r="R385" s="59"/>
    </row>
    <row r="386">
      <c r="A386" s="66" t="s">
        <v>1496</v>
      </c>
      <c r="B386" s="66">
        <v>22.0</v>
      </c>
      <c r="C386" s="66">
        <v>92.0</v>
      </c>
      <c r="D386" s="24" t="s">
        <v>347</v>
      </c>
      <c r="E386" s="24" t="s">
        <v>1125</v>
      </c>
      <c r="F386" s="66">
        <v>8219.0</v>
      </c>
      <c r="G386" s="66">
        <v>27.0</v>
      </c>
      <c r="H386" s="66">
        <v>9.0</v>
      </c>
      <c r="I386" s="66">
        <v>5.0</v>
      </c>
      <c r="J386" s="24" t="s">
        <v>29</v>
      </c>
      <c r="K386" s="67">
        <v>51022.0</v>
      </c>
      <c r="L386" s="59"/>
      <c r="M386" s="59"/>
      <c r="N386" s="59"/>
      <c r="O386" s="59"/>
      <c r="P386" s="59"/>
      <c r="Q386" s="59"/>
      <c r="R386" s="59"/>
    </row>
    <row r="387">
      <c r="A387" s="66" t="s">
        <v>1497</v>
      </c>
      <c r="B387" s="66">
        <v>15.0</v>
      </c>
      <c r="C387" s="66">
        <v>41.0</v>
      </c>
      <c r="D387" s="24" t="s">
        <v>1407</v>
      </c>
      <c r="E387" s="24" t="s">
        <v>169</v>
      </c>
      <c r="F387" s="66" t="s">
        <v>1498</v>
      </c>
      <c r="G387" s="66">
        <v>27.0</v>
      </c>
      <c r="H387" s="66">
        <v>9.0</v>
      </c>
      <c r="I387" s="66">
        <v>6.0</v>
      </c>
      <c r="J387" s="24" t="s">
        <v>39</v>
      </c>
      <c r="K387" s="67">
        <v>71418.0</v>
      </c>
      <c r="L387" s="59"/>
      <c r="M387" s="59"/>
      <c r="N387" s="59"/>
      <c r="O387" s="59"/>
      <c r="P387" s="59"/>
      <c r="Q387" s="59"/>
      <c r="R387" s="59"/>
    </row>
    <row r="388">
      <c r="A388" s="66" t="s">
        <v>1499</v>
      </c>
      <c r="B388" s="66">
        <v>73.0</v>
      </c>
      <c r="C388" s="66">
        <v>69.0</v>
      </c>
      <c r="D388" s="24" t="s">
        <v>144</v>
      </c>
      <c r="E388" s="24" t="s">
        <v>413</v>
      </c>
      <c r="F388" s="66" t="s">
        <v>1500</v>
      </c>
      <c r="G388" s="66">
        <v>48.0</v>
      </c>
      <c r="H388" s="66">
        <v>4.0</v>
      </c>
      <c r="I388" s="66">
        <v>3.0</v>
      </c>
      <c r="J388" s="24" t="s">
        <v>39</v>
      </c>
      <c r="K388" s="67">
        <v>80116.0</v>
      </c>
      <c r="L388" s="59"/>
      <c r="M388" s="59"/>
      <c r="N388" s="59"/>
      <c r="O388" s="59"/>
      <c r="P388" s="59"/>
      <c r="Q388" s="59"/>
      <c r="R388" s="59"/>
    </row>
    <row r="389">
      <c r="A389" s="66" t="s">
        <v>1501</v>
      </c>
      <c r="B389" s="66">
        <v>27.0</v>
      </c>
      <c r="C389" s="66">
        <v>67.0</v>
      </c>
      <c r="D389" s="24" t="s">
        <v>1030</v>
      </c>
      <c r="E389" s="24" t="s">
        <v>214</v>
      </c>
      <c r="F389" s="66" t="s">
        <v>1502</v>
      </c>
      <c r="G389" s="66">
        <v>68.0</v>
      </c>
      <c r="H389" s="66">
        <v>9.0</v>
      </c>
      <c r="I389" s="66">
        <v>1.0</v>
      </c>
      <c r="J389" s="24" t="s">
        <v>29</v>
      </c>
      <c r="K389" s="67">
        <v>121514.0</v>
      </c>
      <c r="L389" s="59"/>
      <c r="M389" s="59"/>
      <c r="N389" s="59"/>
      <c r="O389" s="59"/>
      <c r="P389" s="59"/>
      <c r="Q389" s="59"/>
      <c r="R389" s="59"/>
    </row>
    <row r="390">
      <c r="A390" s="66" t="s">
        <v>1503</v>
      </c>
      <c r="B390" s="66">
        <v>74.0</v>
      </c>
      <c r="C390" s="66">
        <v>49.0</v>
      </c>
      <c r="D390" s="24" t="s">
        <v>330</v>
      </c>
      <c r="E390" s="24" t="s">
        <v>86</v>
      </c>
      <c r="F390" s="66" t="s">
        <v>1504</v>
      </c>
      <c r="G390" s="66">
        <v>68.0</v>
      </c>
      <c r="H390" s="66">
        <v>9.0</v>
      </c>
      <c r="I390" s="66">
        <v>2.0</v>
      </c>
      <c r="J390" s="24" t="s">
        <v>48</v>
      </c>
      <c r="K390" s="67">
        <v>12214.0</v>
      </c>
      <c r="L390" s="59"/>
      <c r="M390" s="59"/>
      <c r="N390" s="59"/>
      <c r="O390" s="59"/>
      <c r="P390" s="59"/>
      <c r="Q390" s="59"/>
      <c r="R390" s="59"/>
    </row>
    <row r="391">
      <c r="A391" s="66" t="s">
        <v>1505</v>
      </c>
      <c r="B391" s="66">
        <v>84.0</v>
      </c>
      <c r="C391" s="66">
        <v>99.0</v>
      </c>
      <c r="D391" s="24" t="s">
        <v>453</v>
      </c>
      <c r="E391" s="24" t="s">
        <v>35</v>
      </c>
      <c r="F391" s="66" t="s">
        <v>1506</v>
      </c>
      <c r="G391" s="66">
        <v>48.0</v>
      </c>
      <c r="H391" s="66">
        <v>4.0</v>
      </c>
      <c r="I391" s="66">
        <v>5.0</v>
      </c>
      <c r="J391" s="24" t="s">
        <v>31</v>
      </c>
      <c r="K391" s="67">
        <v>33016.0</v>
      </c>
      <c r="L391" s="59"/>
      <c r="M391" s="59"/>
      <c r="N391" s="59"/>
      <c r="O391" s="59"/>
      <c r="P391" s="59"/>
      <c r="Q391" s="59"/>
      <c r="R391" s="59"/>
    </row>
    <row r="392">
      <c r="A392" s="66" t="s">
        <v>1507</v>
      </c>
      <c r="B392" s="66">
        <v>96.0</v>
      </c>
      <c r="C392" s="66">
        <v>81.0</v>
      </c>
      <c r="D392" s="24" t="s">
        <v>132</v>
      </c>
      <c r="E392" s="24" t="s">
        <v>1303</v>
      </c>
      <c r="F392" s="66" t="s">
        <v>1508</v>
      </c>
      <c r="G392" s="66">
        <v>48.0</v>
      </c>
      <c r="H392" s="66">
        <v>4.0</v>
      </c>
      <c r="I392" s="66">
        <v>9.0</v>
      </c>
      <c r="J392" s="24" t="s">
        <v>39</v>
      </c>
      <c r="K392" s="67">
        <v>31022.0</v>
      </c>
      <c r="L392" s="59"/>
      <c r="M392" s="59"/>
      <c r="N392" s="59"/>
      <c r="O392" s="59"/>
      <c r="P392" s="59"/>
      <c r="Q392" s="59"/>
      <c r="R392" s="59"/>
    </row>
    <row r="393">
      <c r="A393" s="66" t="s">
        <v>1509</v>
      </c>
      <c r="B393" s="66">
        <v>22.0</v>
      </c>
      <c r="C393" s="66">
        <v>70.0</v>
      </c>
      <c r="D393" s="24" t="s">
        <v>44</v>
      </c>
      <c r="E393" s="24" t="s">
        <v>1100</v>
      </c>
      <c r="F393" s="66" t="s">
        <v>1510</v>
      </c>
      <c r="G393" s="66">
        <v>68.0</v>
      </c>
      <c r="H393" s="66">
        <v>9.0</v>
      </c>
      <c r="I393" s="66">
        <v>6.0</v>
      </c>
      <c r="J393" s="24" t="s">
        <v>31</v>
      </c>
      <c r="K393" s="67">
        <v>50823.0</v>
      </c>
      <c r="L393" s="59"/>
      <c r="M393" s="59"/>
      <c r="N393" s="59"/>
      <c r="O393" s="59"/>
      <c r="P393" s="59"/>
      <c r="Q393" s="59"/>
      <c r="R393" s="59"/>
    </row>
    <row r="394">
      <c r="A394" s="66" t="s">
        <v>1511</v>
      </c>
      <c r="B394" s="66">
        <v>38.0</v>
      </c>
      <c r="C394" s="66">
        <v>51.0</v>
      </c>
      <c r="D394" s="24" t="s">
        <v>1512</v>
      </c>
      <c r="E394" s="24" t="s">
        <v>453</v>
      </c>
      <c r="F394" s="66" t="s">
        <v>1513</v>
      </c>
      <c r="G394" s="66">
        <v>48.0</v>
      </c>
      <c r="H394" s="66">
        <v>5.0</v>
      </c>
      <c r="I394" s="66">
        <v>4.0</v>
      </c>
      <c r="J394" s="24" t="s">
        <v>31</v>
      </c>
      <c r="K394" s="67">
        <v>80313.0</v>
      </c>
      <c r="L394" s="59"/>
      <c r="M394" s="59"/>
      <c r="N394" s="59"/>
      <c r="O394" s="59"/>
      <c r="P394" s="59"/>
      <c r="Q394" s="59"/>
      <c r="R394" s="59"/>
    </row>
    <row r="395">
      <c r="A395" s="66" t="s">
        <v>1514</v>
      </c>
      <c r="B395" s="66">
        <v>89.0</v>
      </c>
      <c r="C395" s="66">
        <v>14.0</v>
      </c>
      <c r="D395" s="24" t="s">
        <v>282</v>
      </c>
      <c r="E395" s="24" t="s">
        <v>894</v>
      </c>
      <c r="F395" s="66" t="s">
        <v>1515</v>
      </c>
      <c r="G395" s="66">
        <v>89.0</v>
      </c>
      <c r="H395" s="66">
        <v>5.0</v>
      </c>
      <c r="I395" s="66">
        <v>3.0</v>
      </c>
      <c r="J395" s="24" t="s">
        <v>29</v>
      </c>
      <c r="K395" s="67">
        <v>82414.0</v>
      </c>
      <c r="L395" s="59"/>
      <c r="M395" s="59"/>
      <c r="N395" s="59"/>
      <c r="O395" s="59"/>
      <c r="P395" s="59"/>
      <c r="Q395" s="59"/>
      <c r="R395" s="59"/>
    </row>
    <row r="396">
      <c r="A396" s="66" t="s">
        <v>1516</v>
      </c>
      <c r="B396" s="66">
        <v>55.0</v>
      </c>
      <c r="C396" s="66">
        <v>88.0</v>
      </c>
      <c r="D396" s="24" t="s">
        <v>113</v>
      </c>
      <c r="E396" s="24" t="s">
        <v>525</v>
      </c>
      <c r="F396" s="66" t="s">
        <v>1517</v>
      </c>
      <c r="G396" s="66">
        <v>48.0</v>
      </c>
      <c r="H396" s="66">
        <v>5.0</v>
      </c>
      <c r="I396" s="66">
        <v>9.0</v>
      </c>
      <c r="J396" s="24" t="s">
        <v>29</v>
      </c>
      <c r="K396" s="67">
        <v>110920.0</v>
      </c>
      <c r="L396" s="59"/>
      <c r="M396" s="59"/>
      <c r="N396" s="59"/>
      <c r="O396" s="59"/>
      <c r="P396" s="59"/>
      <c r="Q396" s="59"/>
      <c r="R396" s="59"/>
    </row>
    <row r="397">
      <c r="A397" s="66" t="s">
        <v>1518</v>
      </c>
      <c r="B397" s="66">
        <v>95.0</v>
      </c>
      <c r="C397" s="66">
        <v>67.0</v>
      </c>
      <c r="D397" s="24" t="s">
        <v>1187</v>
      </c>
      <c r="E397" s="24" t="s">
        <v>289</v>
      </c>
      <c r="F397" s="66" t="s">
        <v>1519</v>
      </c>
      <c r="G397" s="66">
        <v>89.0</v>
      </c>
      <c r="H397" s="66">
        <v>5.0</v>
      </c>
      <c r="I397" s="66">
        <v>5.0</v>
      </c>
      <c r="J397" s="24" t="s">
        <v>48</v>
      </c>
      <c r="K397" s="67">
        <v>110315.0</v>
      </c>
      <c r="L397" s="59"/>
      <c r="M397" s="59"/>
      <c r="N397" s="59"/>
      <c r="O397" s="59"/>
      <c r="P397" s="59"/>
      <c r="Q397" s="59"/>
      <c r="R397" s="59"/>
    </row>
    <row r="398">
      <c r="A398" s="66" t="s">
        <v>1520</v>
      </c>
      <c r="B398" s="66">
        <v>60.0</v>
      </c>
      <c r="C398" s="66">
        <v>71.0</v>
      </c>
      <c r="D398" s="24" t="s">
        <v>32</v>
      </c>
      <c r="E398" s="24" t="s">
        <v>465</v>
      </c>
      <c r="F398" s="66" t="s">
        <v>1521</v>
      </c>
      <c r="G398" s="66">
        <v>69.0</v>
      </c>
      <c r="H398" s="66">
        <v>1.0</v>
      </c>
      <c r="I398" s="66">
        <v>1.0</v>
      </c>
      <c r="J398" s="24" t="s">
        <v>29</v>
      </c>
      <c r="K398" s="67">
        <v>32816.0</v>
      </c>
      <c r="L398" s="59"/>
      <c r="M398" s="59"/>
      <c r="N398" s="59"/>
      <c r="O398" s="59"/>
      <c r="P398" s="59"/>
      <c r="Q398" s="59"/>
      <c r="R398" s="59"/>
    </row>
    <row r="399">
      <c r="A399" s="66" t="s">
        <v>1522</v>
      </c>
      <c r="B399" s="66">
        <v>51.0</v>
      </c>
      <c r="C399" s="66">
        <v>58.0</v>
      </c>
      <c r="D399" s="24" t="s">
        <v>77</v>
      </c>
      <c r="E399" s="24" t="s">
        <v>387</v>
      </c>
      <c r="F399" s="66" t="s">
        <v>1523</v>
      </c>
      <c r="G399" s="66">
        <v>48.0</v>
      </c>
      <c r="H399" s="66">
        <v>6.0</v>
      </c>
      <c r="I399" s="66">
        <v>4.0</v>
      </c>
      <c r="J399" s="24" t="s">
        <v>33</v>
      </c>
      <c r="K399" s="67">
        <v>123123.0</v>
      </c>
      <c r="L399" s="59"/>
      <c r="M399" s="59"/>
      <c r="N399" s="59"/>
      <c r="O399" s="59"/>
      <c r="P399" s="59"/>
      <c r="Q399" s="59"/>
      <c r="R399" s="59"/>
    </row>
    <row r="400">
      <c r="A400" s="66" t="s">
        <v>1524</v>
      </c>
      <c r="B400" s="66">
        <v>30.0</v>
      </c>
      <c r="C400" s="66">
        <v>93.0</v>
      </c>
      <c r="D400" s="24" t="s">
        <v>369</v>
      </c>
      <c r="E400" s="24" t="s">
        <v>132</v>
      </c>
      <c r="F400" s="66" t="s">
        <v>1525</v>
      </c>
      <c r="G400" s="66">
        <v>28.0</v>
      </c>
      <c r="H400" s="66">
        <v>1.0</v>
      </c>
      <c r="I400" s="66">
        <v>5.0</v>
      </c>
      <c r="J400" s="24" t="s">
        <v>33</v>
      </c>
      <c r="K400" s="67">
        <v>60815.0</v>
      </c>
      <c r="L400" s="59"/>
      <c r="M400" s="59"/>
      <c r="N400" s="59"/>
      <c r="O400" s="59"/>
      <c r="P400" s="59"/>
      <c r="Q400" s="59"/>
      <c r="R400" s="59"/>
    </row>
    <row r="401">
      <c r="A401" s="66" t="s">
        <v>1526</v>
      </c>
      <c r="B401" s="66">
        <v>17.0</v>
      </c>
      <c r="C401" s="66">
        <v>72.0</v>
      </c>
      <c r="D401" s="24" t="s">
        <v>497</v>
      </c>
      <c r="E401" s="24" t="s">
        <v>256</v>
      </c>
      <c r="F401" s="66" t="s">
        <v>1527</v>
      </c>
      <c r="G401" s="66">
        <v>28.0</v>
      </c>
      <c r="H401" s="66">
        <v>1.0</v>
      </c>
      <c r="I401" s="66">
        <v>9.0</v>
      </c>
      <c r="J401" s="24" t="s">
        <v>33</v>
      </c>
      <c r="K401" s="67">
        <v>81218.0</v>
      </c>
      <c r="L401" s="59"/>
      <c r="M401" s="59"/>
      <c r="N401" s="59"/>
      <c r="O401" s="59"/>
      <c r="P401" s="59"/>
      <c r="Q401" s="59"/>
      <c r="R401" s="59"/>
    </row>
    <row r="402">
      <c r="A402" s="66" t="s">
        <v>1528</v>
      </c>
      <c r="B402" s="66">
        <v>87.0</v>
      </c>
      <c r="C402" s="66">
        <v>17.0</v>
      </c>
      <c r="D402" s="24" t="s">
        <v>96</v>
      </c>
      <c r="E402" s="24" t="s">
        <v>299</v>
      </c>
      <c r="F402" s="66" t="s">
        <v>1529</v>
      </c>
      <c r="G402" s="66">
        <v>28.0</v>
      </c>
      <c r="H402" s="66">
        <v>2.0</v>
      </c>
      <c r="I402" s="66">
        <v>2.0</v>
      </c>
      <c r="J402" s="24" t="s">
        <v>48</v>
      </c>
      <c r="K402" s="67">
        <v>60614.0</v>
      </c>
      <c r="L402" s="59"/>
      <c r="M402" s="59"/>
      <c r="N402" s="59"/>
      <c r="O402" s="59"/>
      <c r="P402" s="59"/>
      <c r="Q402" s="59"/>
      <c r="R402" s="59"/>
    </row>
    <row r="403">
      <c r="A403" s="66" t="s">
        <v>1530</v>
      </c>
      <c r="B403" s="66">
        <v>46.0</v>
      </c>
      <c r="C403" s="66">
        <v>55.0</v>
      </c>
      <c r="D403" s="24" t="s">
        <v>164</v>
      </c>
      <c r="E403" s="24" t="s">
        <v>421</v>
      </c>
      <c r="F403" s="66" t="s">
        <v>1531</v>
      </c>
      <c r="G403" s="66">
        <v>28.0</v>
      </c>
      <c r="H403" s="66">
        <v>2.0</v>
      </c>
      <c r="I403" s="66">
        <v>5.0</v>
      </c>
      <c r="J403" s="24" t="s">
        <v>39</v>
      </c>
      <c r="K403" s="67">
        <v>41715.0</v>
      </c>
      <c r="L403" s="59"/>
      <c r="M403" s="59"/>
      <c r="N403" s="59"/>
      <c r="O403" s="59"/>
      <c r="P403" s="59"/>
      <c r="Q403" s="59"/>
      <c r="R403" s="59"/>
    </row>
    <row r="404">
      <c r="A404" s="66" t="s">
        <v>1532</v>
      </c>
      <c r="B404" s="66">
        <v>11.0</v>
      </c>
      <c r="C404" s="66">
        <v>66.0</v>
      </c>
      <c r="D404" s="24" t="s">
        <v>291</v>
      </c>
      <c r="E404" s="24" t="s">
        <v>75</v>
      </c>
      <c r="F404" s="66" t="s">
        <v>1533</v>
      </c>
      <c r="G404" s="66">
        <v>28.0</v>
      </c>
      <c r="H404" s="66">
        <v>2.0</v>
      </c>
      <c r="I404" s="66">
        <v>8.0</v>
      </c>
      <c r="J404" s="24" t="s">
        <v>33</v>
      </c>
      <c r="K404" s="67">
        <v>50119.0</v>
      </c>
      <c r="L404" s="59"/>
      <c r="M404" s="59"/>
      <c r="N404" s="59"/>
      <c r="O404" s="59"/>
      <c r="P404" s="59"/>
      <c r="Q404" s="59"/>
      <c r="R404" s="59"/>
    </row>
    <row r="405">
      <c r="A405" s="66" t="s">
        <v>1534</v>
      </c>
      <c r="B405" s="66">
        <v>34.0</v>
      </c>
      <c r="C405" s="66">
        <v>88.0</v>
      </c>
      <c r="D405" s="24" t="s">
        <v>1512</v>
      </c>
      <c r="E405" s="24" t="s">
        <v>65</v>
      </c>
      <c r="F405" s="66" t="s">
        <v>1535</v>
      </c>
      <c r="G405" s="66">
        <v>89.0</v>
      </c>
      <c r="H405" s="66">
        <v>7.0</v>
      </c>
      <c r="I405" s="66">
        <v>3.0</v>
      </c>
      <c r="J405" s="24" t="s">
        <v>48</v>
      </c>
      <c r="K405" s="67">
        <v>81814.0</v>
      </c>
      <c r="L405" s="59"/>
      <c r="M405" s="59"/>
      <c r="N405" s="59"/>
      <c r="O405" s="59"/>
      <c r="P405" s="59"/>
      <c r="Q405" s="59"/>
      <c r="R405" s="59"/>
    </row>
    <row r="406">
      <c r="A406" s="66" t="s">
        <v>1536</v>
      </c>
      <c r="B406" s="66">
        <v>32.0</v>
      </c>
      <c r="C406" s="66">
        <v>40.0</v>
      </c>
      <c r="D406" s="24" t="s">
        <v>104</v>
      </c>
      <c r="E406" s="24" t="s">
        <v>43</v>
      </c>
      <c r="F406" s="66" t="s">
        <v>1537</v>
      </c>
      <c r="G406" s="66">
        <v>48.0</v>
      </c>
      <c r="H406" s="66">
        <v>7.0</v>
      </c>
      <c r="I406" s="66">
        <v>9.0</v>
      </c>
      <c r="J406" s="24" t="s">
        <v>29</v>
      </c>
      <c r="K406" s="67">
        <v>10513.0</v>
      </c>
      <c r="L406" s="59"/>
      <c r="M406" s="59"/>
      <c r="N406" s="59"/>
      <c r="O406" s="59"/>
      <c r="P406" s="59"/>
      <c r="Q406" s="59"/>
      <c r="R406" s="59"/>
    </row>
    <row r="407">
      <c r="A407" s="66" t="s">
        <v>1538</v>
      </c>
      <c r="B407" s="66">
        <v>42.0</v>
      </c>
      <c r="C407" s="66">
        <v>69.0</v>
      </c>
      <c r="D407" s="24" t="s">
        <v>884</v>
      </c>
      <c r="E407" s="24" t="s">
        <v>989</v>
      </c>
      <c r="F407" s="66" t="s">
        <v>1539</v>
      </c>
      <c r="G407" s="66">
        <v>89.0</v>
      </c>
      <c r="H407" s="66">
        <v>7.0</v>
      </c>
      <c r="I407" s="66">
        <v>6.0</v>
      </c>
      <c r="J407" s="24" t="s">
        <v>39</v>
      </c>
      <c r="K407" s="67">
        <v>102118.0</v>
      </c>
      <c r="L407" s="59"/>
      <c r="M407" s="59"/>
      <c r="N407" s="59"/>
      <c r="O407" s="59"/>
      <c r="P407" s="59"/>
      <c r="Q407" s="59"/>
      <c r="R407" s="59"/>
    </row>
    <row r="408">
      <c r="A408" s="66" t="s">
        <v>1540</v>
      </c>
      <c r="B408" s="66">
        <v>16.0</v>
      </c>
      <c r="C408" s="66">
        <v>54.0</v>
      </c>
      <c r="D408" s="24" t="s">
        <v>743</v>
      </c>
      <c r="E408" s="24" t="s">
        <v>521</v>
      </c>
      <c r="F408" s="66" t="s">
        <v>1541</v>
      </c>
      <c r="G408" s="66">
        <v>28.0</v>
      </c>
      <c r="H408" s="66">
        <v>3.0</v>
      </c>
      <c r="I408" s="66">
        <v>5.0</v>
      </c>
      <c r="J408" s="24" t="s">
        <v>39</v>
      </c>
      <c r="K408" s="67">
        <v>80216.0</v>
      </c>
      <c r="L408" s="59"/>
      <c r="M408" s="59"/>
      <c r="N408" s="59"/>
      <c r="O408" s="59"/>
      <c r="P408" s="59"/>
      <c r="Q408" s="59"/>
      <c r="R408" s="59"/>
    </row>
    <row r="409">
      <c r="A409" s="66" t="s">
        <v>1542</v>
      </c>
      <c r="B409" s="66">
        <v>27.0</v>
      </c>
      <c r="C409" s="66">
        <v>32.0</v>
      </c>
      <c r="D409" s="24" t="s">
        <v>1543</v>
      </c>
      <c r="E409" s="24" t="s">
        <v>1544</v>
      </c>
      <c r="F409" s="66" t="s">
        <v>1545</v>
      </c>
      <c r="G409" s="66">
        <v>69.0</v>
      </c>
      <c r="H409" s="66">
        <v>3.0</v>
      </c>
      <c r="I409" s="66">
        <v>2.0</v>
      </c>
      <c r="J409" s="24" t="s">
        <v>31</v>
      </c>
      <c r="K409" s="67">
        <v>62522.0</v>
      </c>
      <c r="L409" s="59"/>
      <c r="M409" s="59"/>
      <c r="N409" s="59"/>
      <c r="O409" s="59"/>
      <c r="P409" s="59"/>
      <c r="Q409" s="59"/>
      <c r="R409" s="59"/>
    </row>
    <row r="410">
      <c r="A410" s="66" t="s">
        <v>1546</v>
      </c>
      <c r="B410" s="66">
        <v>43.0</v>
      </c>
      <c r="C410" s="66">
        <v>76.0</v>
      </c>
      <c r="D410" s="24" t="s">
        <v>536</v>
      </c>
      <c r="E410" s="24" t="s">
        <v>74</v>
      </c>
      <c r="F410" s="66" t="s">
        <v>1547</v>
      </c>
      <c r="G410" s="66">
        <v>89.0</v>
      </c>
      <c r="H410" s="66">
        <v>8.0</v>
      </c>
      <c r="I410" s="66">
        <v>1.0</v>
      </c>
      <c r="J410" s="24" t="s">
        <v>48</v>
      </c>
      <c r="K410" s="67">
        <v>20721.0</v>
      </c>
      <c r="L410" s="59"/>
      <c r="M410" s="59"/>
      <c r="N410" s="59"/>
      <c r="O410" s="59"/>
      <c r="P410" s="59"/>
      <c r="Q410" s="59"/>
      <c r="R410" s="59"/>
    </row>
    <row r="411">
      <c r="A411" s="66" t="s">
        <v>1548</v>
      </c>
      <c r="B411" s="66">
        <v>88.0</v>
      </c>
      <c r="C411" s="66">
        <v>69.0</v>
      </c>
      <c r="D411" s="24" t="s">
        <v>497</v>
      </c>
      <c r="E411" s="24" t="s">
        <v>1549</v>
      </c>
      <c r="F411" s="66" t="s">
        <v>1550</v>
      </c>
      <c r="G411" s="66">
        <v>48.0</v>
      </c>
      <c r="H411" s="66">
        <v>8.0</v>
      </c>
      <c r="I411" s="66">
        <v>7.0</v>
      </c>
      <c r="J411" s="24" t="s">
        <v>48</v>
      </c>
      <c r="K411" s="67">
        <v>10420.0</v>
      </c>
      <c r="L411" s="59"/>
      <c r="M411" s="59"/>
      <c r="N411" s="59"/>
      <c r="O411" s="59"/>
      <c r="P411" s="59"/>
      <c r="Q411" s="59"/>
      <c r="R411" s="59"/>
    </row>
    <row r="412">
      <c r="A412" s="66" t="s">
        <v>1551</v>
      </c>
      <c r="B412" s="66">
        <v>66.0</v>
      </c>
      <c r="C412" s="66">
        <v>17.0</v>
      </c>
      <c r="D412" s="24" t="s">
        <v>239</v>
      </c>
      <c r="E412" s="24" t="s">
        <v>1350</v>
      </c>
      <c r="F412" s="66" t="s">
        <v>1552</v>
      </c>
      <c r="G412" s="66">
        <v>69.0</v>
      </c>
      <c r="H412" s="66">
        <v>3.0</v>
      </c>
      <c r="I412" s="66">
        <v>6.0</v>
      </c>
      <c r="J412" s="24" t="s">
        <v>39</v>
      </c>
      <c r="K412" s="67">
        <v>91419.0</v>
      </c>
      <c r="L412" s="59"/>
      <c r="M412" s="59"/>
      <c r="N412" s="59"/>
      <c r="O412" s="59"/>
      <c r="P412" s="59"/>
      <c r="Q412" s="59"/>
      <c r="R412" s="59"/>
    </row>
    <row r="413">
      <c r="A413" s="66" t="s">
        <v>1553</v>
      </c>
      <c r="B413" s="66">
        <v>54.0</v>
      </c>
      <c r="C413" s="66">
        <v>13.0</v>
      </c>
      <c r="D413" s="24" t="s">
        <v>500</v>
      </c>
      <c r="E413" s="24" t="s">
        <v>388</v>
      </c>
      <c r="F413" s="66" t="s">
        <v>1554</v>
      </c>
      <c r="G413" s="66">
        <v>89.0</v>
      </c>
      <c r="H413" s="66">
        <v>8.0</v>
      </c>
      <c r="I413" s="66">
        <v>6.0</v>
      </c>
      <c r="J413" s="24" t="s">
        <v>33</v>
      </c>
      <c r="K413" s="67">
        <v>110919.0</v>
      </c>
      <c r="L413" s="59"/>
      <c r="M413" s="59"/>
      <c r="N413" s="59"/>
      <c r="O413" s="59"/>
      <c r="P413" s="59"/>
      <c r="Q413" s="59"/>
      <c r="R413" s="59"/>
    </row>
    <row r="414">
      <c r="A414" s="66" t="s">
        <v>1555</v>
      </c>
      <c r="B414" s="66">
        <v>80.0</v>
      </c>
      <c r="C414" s="66">
        <v>75.0</v>
      </c>
      <c r="D414" s="24" t="s">
        <v>430</v>
      </c>
      <c r="E414" s="24" t="s">
        <v>436</v>
      </c>
      <c r="F414" s="66" t="s">
        <v>1556</v>
      </c>
      <c r="G414" s="66">
        <v>28.0</v>
      </c>
      <c r="H414" s="66">
        <v>4.0</v>
      </c>
      <c r="I414" s="66">
        <v>3.0</v>
      </c>
      <c r="J414" s="24" t="s">
        <v>33</v>
      </c>
      <c r="K414" s="67">
        <v>73119.0</v>
      </c>
      <c r="L414" s="59"/>
      <c r="M414" s="59"/>
      <c r="N414" s="59"/>
      <c r="O414" s="59"/>
      <c r="P414" s="59"/>
      <c r="Q414" s="59"/>
      <c r="R414" s="59"/>
    </row>
    <row r="415">
      <c r="A415" s="66" t="s">
        <v>1557</v>
      </c>
      <c r="B415" s="66">
        <v>18.0</v>
      </c>
      <c r="C415" s="66">
        <v>21.0</v>
      </c>
      <c r="D415" s="24" t="s">
        <v>243</v>
      </c>
      <c r="E415" s="24" t="s">
        <v>405</v>
      </c>
      <c r="F415" s="66" t="s">
        <v>1558</v>
      </c>
      <c r="G415" s="66">
        <v>48.0</v>
      </c>
      <c r="H415" s="66">
        <v>9.0</v>
      </c>
      <c r="I415" s="66">
        <v>1.0</v>
      </c>
      <c r="J415" s="24" t="s">
        <v>29</v>
      </c>
      <c r="K415" s="67">
        <v>30922.0</v>
      </c>
      <c r="L415" s="59"/>
      <c r="M415" s="59"/>
      <c r="N415" s="59"/>
      <c r="O415" s="59"/>
      <c r="P415" s="59"/>
      <c r="Q415" s="59"/>
      <c r="R415" s="59"/>
    </row>
    <row r="416">
      <c r="A416" s="66" t="s">
        <v>1559</v>
      </c>
      <c r="B416" s="66">
        <v>52.0</v>
      </c>
      <c r="C416" s="66">
        <v>45.0</v>
      </c>
      <c r="D416" s="24" t="s">
        <v>362</v>
      </c>
      <c r="E416" s="24" t="s">
        <v>410</v>
      </c>
      <c r="F416" s="66" t="s">
        <v>1560</v>
      </c>
      <c r="G416" s="66">
        <v>89.0</v>
      </c>
      <c r="H416" s="66">
        <v>8.0</v>
      </c>
      <c r="I416" s="66">
        <v>9.0</v>
      </c>
      <c r="J416" s="24" t="s">
        <v>33</v>
      </c>
      <c r="K416" s="67">
        <v>51821.0</v>
      </c>
      <c r="L416" s="59"/>
      <c r="M416" s="59"/>
      <c r="N416" s="59"/>
      <c r="O416" s="59"/>
      <c r="P416" s="59"/>
      <c r="Q416" s="59"/>
      <c r="R416" s="59"/>
    </row>
    <row r="417">
      <c r="A417" s="66" t="s">
        <v>1561</v>
      </c>
      <c r="B417" s="66">
        <v>34.0</v>
      </c>
      <c r="C417" s="66">
        <v>84.0</v>
      </c>
      <c r="D417" s="24" t="s">
        <v>283</v>
      </c>
      <c r="E417" s="24" t="s">
        <v>175</v>
      </c>
      <c r="F417" s="66" t="s">
        <v>1562</v>
      </c>
      <c r="G417" s="66">
        <v>69.0</v>
      </c>
      <c r="H417" s="66">
        <v>4.0</v>
      </c>
      <c r="I417" s="66">
        <v>1.0</v>
      </c>
      <c r="J417" s="24" t="s">
        <v>29</v>
      </c>
      <c r="K417" s="67">
        <v>61719.0</v>
      </c>
      <c r="L417" s="59"/>
      <c r="M417" s="59"/>
      <c r="N417" s="59"/>
      <c r="O417" s="59"/>
      <c r="P417" s="59"/>
      <c r="Q417" s="59"/>
      <c r="R417" s="59"/>
    </row>
    <row r="418">
      <c r="A418" s="66" t="s">
        <v>1563</v>
      </c>
      <c r="B418" s="66">
        <v>65.0</v>
      </c>
      <c r="C418" s="66">
        <v>94.0</v>
      </c>
      <c r="D418" s="24" t="s">
        <v>286</v>
      </c>
      <c r="E418" s="24" t="s">
        <v>148</v>
      </c>
      <c r="F418" s="66" t="s">
        <v>1564</v>
      </c>
      <c r="G418" s="66">
        <v>28.0</v>
      </c>
      <c r="H418" s="66">
        <v>5.0</v>
      </c>
      <c r="I418" s="66">
        <v>5.0</v>
      </c>
      <c r="J418" s="24" t="s">
        <v>29</v>
      </c>
      <c r="K418" s="67">
        <v>31213.0</v>
      </c>
      <c r="L418" s="59"/>
      <c r="M418" s="59"/>
      <c r="N418" s="59"/>
      <c r="O418" s="59"/>
      <c r="P418" s="59"/>
      <c r="Q418" s="59"/>
      <c r="R418" s="59"/>
    </row>
    <row r="419">
      <c r="A419" s="66" t="s">
        <v>1565</v>
      </c>
      <c r="B419" s="66">
        <v>76.0</v>
      </c>
      <c r="C419" s="66">
        <v>97.0</v>
      </c>
      <c r="D419" s="24" t="s">
        <v>992</v>
      </c>
      <c r="E419" s="24" t="s">
        <v>173</v>
      </c>
      <c r="F419" s="66" t="s">
        <v>1566</v>
      </c>
      <c r="G419" s="66">
        <v>28.0</v>
      </c>
      <c r="H419" s="66">
        <v>5.0</v>
      </c>
      <c r="I419" s="66">
        <v>6.0</v>
      </c>
      <c r="J419" s="24" t="s">
        <v>31</v>
      </c>
      <c r="K419" s="67">
        <v>80720.0</v>
      </c>
      <c r="L419" s="59"/>
      <c r="M419" s="59"/>
      <c r="N419" s="59"/>
      <c r="O419" s="59"/>
      <c r="P419" s="59"/>
      <c r="Q419" s="59"/>
      <c r="R419" s="59"/>
    </row>
    <row r="420">
      <c r="A420" s="66" t="s">
        <v>1567</v>
      </c>
      <c r="B420" s="66">
        <v>34.0</v>
      </c>
      <c r="C420" s="66">
        <v>81.0</v>
      </c>
      <c r="D420" s="24" t="s">
        <v>887</v>
      </c>
      <c r="E420" s="24" t="s">
        <v>345</v>
      </c>
      <c r="F420" s="66" t="s">
        <v>1568</v>
      </c>
      <c r="G420" s="66">
        <v>69.0</v>
      </c>
      <c r="H420" s="66">
        <v>5.0</v>
      </c>
      <c r="I420" s="66">
        <v>3.0</v>
      </c>
      <c r="J420" s="24" t="s">
        <v>31</v>
      </c>
      <c r="K420" s="67">
        <v>72123.0</v>
      </c>
      <c r="L420" s="59"/>
      <c r="M420" s="59"/>
      <c r="N420" s="59"/>
      <c r="O420" s="59"/>
      <c r="P420" s="59"/>
      <c r="Q420" s="59"/>
      <c r="R420" s="59"/>
    </row>
    <row r="421">
      <c r="A421" s="66" t="s">
        <v>1569</v>
      </c>
      <c r="B421" s="66">
        <v>37.0</v>
      </c>
      <c r="C421" s="66">
        <v>80.0</v>
      </c>
      <c r="D421" s="24" t="s">
        <v>1549</v>
      </c>
      <c r="E421" s="24" t="s">
        <v>625</v>
      </c>
      <c r="F421" s="66" t="s">
        <v>1570</v>
      </c>
      <c r="G421" s="66">
        <v>28.0</v>
      </c>
      <c r="H421" s="66">
        <v>5.0</v>
      </c>
      <c r="I421" s="66">
        <v>9.0</v>
      </c>
      <c r="J421" s="24" t="s">
        <v>29</v>
      </c>
      <c r="K421" s="67">
        <v>82523.0</v>
      </c>
      <c r="L421" s="59"/>
      <c r="M421" s="59"/>
      <c r="N421" s="59"/>
      <c r="O421" s="59"/>
      <c r="P421" s="59"/>
      <c r="Q421" s="59"/>
      <c r="R421" s="59"/>
    </row>
    <row r="422">
      <c r="A422" s="66" t="s">
        <v>1571</v>
      </c>
      <c r="B422" s="66">
        <v>80.0</v>
      </c>
      <c r="C422" s="66">
        <v>82.0</v>
      </c>
      <c r="D422" s="24" t="s">
        <v>107</v>
      </c>
      <c r="E422" s="24" t="s">
        <v>326</v>
      </c>
      <c r="F422" s="66" t="s">
        <v>1572</v>
      </c>
      <c r="G422" s="66">
        <v>28.0</v>
      </c>
      <c r="H422" s="66">
        <v>6.0</v>
      </c>
      <c r="I422" s="66">
        <v>5.0</v>
      </c>
      <c r="J422" s="24" t="s">
        <v>39</v>
      </c>
      <c r="K422" s="67">
        <v>61815.0</v>
      </c>
      <c r="L422" s="59"/>
      <c r="M422" s="59"/>
      <c r="N422" s="59"/>
      <c r="O422" s="59"/>
      <c r="P422" s="59"/>
      <c r="Q422" s="59"/>
      <c r="R422" s="59"/>
    </row>
    <row r="423">
      <c r="A423" s="66" t="s">
        <v>1573</v>
      </c>
      <c r="B423" s="66">
        <v>43.0</v>
      </c>
      <c r="C423" s="66">
        <v>29.0</v>
      </c>
      <c r="D423" s="24" t="s">
        <v>424</v>
      </c>
      <c r="E423" s="24" t="s">
        <v>537</v>
      </c>
      <c r="F423" s="66" t="s">
        <v>1574</v>
      </c>
      <c r="G423" s="66">
        <v>28.0</v>
      </c>
      <c r="H423" s="66">
        <v>6.0</v>
      </c>
      <c r="I423" s="66">
        <v>7.0</v>
      </c>
      <c r="J423" s="24" t="s">
        <v>48</v>
      </c>
      <c r="K423" s="67">
        <v>40516.0</v>
      </c>
      <c r="L423" s="59"/>
      <c r="M423" s="59"/>
      <c r="N423" s="59"/>
      <c r="O423" s="59"/>
      <c r="P423" s="59"/>
      <c r="Q423" s="59"/>
      <c r="R423" s="59"/>
    </row>
    <row r="424">
      <c r="A424" s="66" t="s">
        <v>1575</v>
      </c>
      <c r="B424" s="66">
        <v>45.0</v>
      </c>
      <c r="C424" s="66">
        <v>74.0</v>
      </c>
      <c r="D424" s="24" t="s">
        <v>327</v>
      </c>
      <c r="E424" s="24" t="s">
        <v>295</v>
      </c>
      <c r="F424" s="66" t="s">
        <v>1576</v>
      </c>
      <c r="G424" s="66">
        <v>28.0</v>
      </c>
      <c r="H424" s="66">
        <v>6.0</v>
      </c>
      <c r="I424" s="66">
        <v>8.0</v>
      </c>
      <c r="J424" s="24" t="s">
        <v>39</v>
      </c>
      <c r="K424" s="67">
        <v>100219.0</v>
      </c>
      <c r="L424" s="59"/>
      <c r="M424" s="59"/>
      <c r="N424" s="59"/>
      <c r="O424" s="59"/>
      <c r="P424" s="59"/>
      <c r="Q424" s="59"/>
      <c r="R424" s="59"/>
    </row>
    <row r="425">
      <c r="A425" s="66" t="s">
        <v>1577</v>
      </c>
      <c r="B425" s="66">
        <v>20.0</v>
      </c>
      <c r="C425" s="66">
        <v>92.0</v>
      </c>
      <c r="D425" s="24" t="s">
        <v>928</v>
      </c>
      <c r="E425" s="24" t="s">
        <v>220</v>
      </c>
      <c r="F425" s="66" t="s">
        <v>1578</v>
      </c>
      <c r="G425" s="66">
        <v>28.0</v>
      </c>
      <c r="H425" s="66">
        <v>6.0</v>
      </c>
      <c r="I425" s="66">
        <v>9.0</v>
      </c>
      <c r="J425" s="24" t="s">
        <v>31</v>
      </c>
      <c r="K425" s="67">
        <v>81415.0</v>
      </c>
      <c r="L425" s="59"/>
      <c r="M425" s="59"/>
      <c r="N425" s="59"/>
      <c r="O425" s="59"/>
      <c r="P425" s="59"/>
      <c r="Q425" s="59"/>
      <c r="R425" s="59"/>
    </row>
    <row r="426">
      <c r="A426" s="66" t="s">
        <v>1579</v>
      </c>
      <c r="B426" s="66">
        <v>66.0</v>
      </c>
      <c r="C426" s="66">
        <v>92.0</v>
      </c>
      <c r="D426" s="24" t="s">
        <v>159</v>
      </c>
      <c r="E426" s="24" t="s">
        <v>456</v>
      </c>
      <c r="F426" s="66" t="s">
        <v>1580</v>
      </c>
      <c r="G426" s="66">
        <v>69.0</v>
      </c>
      <c r="H426" s="66">
        <v>6.0</v>
      </c>
      <c r="I426" s="66">
        <v>7.0</v>
      </c>
      <c r="J426" s="24" t="s">
        <v>48</v>
      </c>
      <c r="K426" s="67">
        <v>71117.0</v>
      </c>
      <c r="L426" s="59"/>
      <c r="M426" s="59"/>
      <c r="N426" s="59"/>
      <c r="O426" s="59"/>
      <c r="P426" s="59"/>
      <c r="Q426" s="59"/>
      <c r="R426" s="59"/>
    </row>
    <row r="427">
      <c r="A427" s="66" t="s">
        <v>1581</v>
      </c>
      <c r="B427" s="66">
        <v>98.0</v>
      </c>
      <c r="C427" s="66">
        <v>50.0</v>
      </c>
      <c r="D427" s="24" t="s">
        <v>311</v>
      </c>
      <c r="E427" s="24" t="s">
        <v>434</v>
      </c>
      <c r="F427" s="66" t="s">
        <v>1582</v>
      </c>
      <c r="G427" s="66">
        <v>49.0</v>
      </c>
      <c r="H427" s="66">
        <v>1.0</v>
      </c>
      <c r="I427" s="66">
        <v>9.0</v>
      </c>
      <c r="J427" s="24" t="s">
        <v>39</v>
      </c>
      <c r="K427" s="67">
        <v>41517.0</v>
      </c>
      <c r="L427" s="59"/>
      <c r="M427" s="59"/>
      <c r="N427" s="59"/>
      <c r="O427" s="59"/>
      <c r="P427" s="59"/>
      <c r="Q427" s="59"/>
      <c r="R427" s="59"/>
    </row>
    <row r="428">
      <c r="A428" s="66" t="s">
        <v>1583</v>
      </c>
      <c r="B428" s="66">
        <v>39.0</v>
      </c>
      <c r="C428" s="66">
        <v>58.0</v>
      </c>
      <c r="D428" s="24" t="s">
        <v>1584</v>
      </c>
      <c r="E428" s="24" t="s">
        <v>1284</v>
      </c>
      <c r="F428" s="66" t="s">
        <v>1585</v>
      </c>
      <c r="G428" s="66">
        <v>28.0</v>
      </c>
      <c r="H428" s="66">
        <v>7.0</v>
      </c>
      <c r="I428" s="66">
        <v>4.0</v>
      </c>
      <c r="J428" s="24" t="s">
        <v>33</v>
      </c>
      <c r="K428" s="67">
        <v>92717.0</v>
      </c>
      <c r="L428" s="59"/>
      <c r="M428" s="59"/>
      <c r="N428" s="59"/>
      <c r="O428" s="59"/>
      <c r="P428" s="59"/>
      <c r="Q428" s="59"/>
      <c r="R428" s="59"/>
    </row>
    <row r="429">
      <c r="A429" s="66" t="s">
        <v>1586</v>
      </c>
      <c r="B429" s="66">
        <v>99.0</v>
      </c>
      <c r="C429" s="66">
        <v>93.0</v>
      </c>
      <c r="D429" s="24" t="s">
        <v>669</v>
      </c>
      <c r="E429" s="24" t="s">
        <v>1105</v>
      </c>
      <c r="F429" s="66" t="s">
        <v>1587</v>
      </c>
      <c r="G429" s="66">
        <v>69.0</v>
      </c>
      <c r="H429" s="66">
        <v>7.0</v>
      </c>
      <c r="I429" s="66">
        <v>2.0</v>
      </c>
      <c r="J429" s="24" t="s">
        <v>39</v>
      </c>
      <c r="K429" s="67">
        <v>62617.0</v>
      </c>
      <c r="L429" s="59"/>
      <c r="M429" s="59"/>
      <c r="N429" s="59"/>
      <c r="O429" s="59"/>
      <c r="P429" s="59"/>
      <c r="Q429" s="59"/>
      <c r="R429" s="59"/>
    </row>
    <row r="430">
      <c r="A430" s="66" t="s">
        <v>1588</v>
      </c>
      <c r="B430" s="66">
        <v>21.0</v>
      </c>
      <c r="C430" s="66">
        <v>13.0</v>
      </c>
      <c r="D430" s="24" t="s">
        <v>518</v>
      </c>
      <c r="E430" s="24" t="s">
        <v>309</v>
      </c>
      <c r="F430" s="66" t="s">
        <v>1589</v>
      </c>
      <c r="G430" s="66">
        <v>49.0</v>
      </c>
      <c r="H430" s="66">
        <v>2.0</v>
      </c>
      <c r="I430" s="66">
        <v>5.0</v>
      </c>
      <c r="J430" s="24" t="s">
        <v>29</v>
      </c>
      <c r="K430" s="67">
        <v>21616.0</v>
      </c>
      <c r="L430" s="59"/>
      <c r="M430" s="59"/>
      <c r="N430" s="59"/>
      <c r="O430" s="59"/>
      <c r="P430" s="59"/>
      <c r="Q430" s="59"/>
      <c r="R430" s="59"/>
    </row>
    <row r="431">
      <c r="A431" s="66" t="s">
        <v>1590</v>
      </c>
      <c r="B431" s="66">
        <v>41.0</v>
      </c>
      <c r="C431" s="66">
        <v>79.0</v>
      </c>
      <c r="D431" s="24" t="s">
        <v>357</v>
      </c>
      <c r="E431" s="24" t="s">
        <v>633</v>
      </c>
      <c r="F431" s="66" t="s">
        <v>1591</v>
      </c>
      <c r="G431" s="66">
        <v>49.0</v>
      </c>
      <c r="H431" s="66">
        <v>2.0</v>
      </c>
      <c r="I431" s="66">
        <v>8.0</v>
      </c>
      <c r="J431" s="24" t="s">
        <v>33</v>
      </c>
      <c r="K431" s="67">
        <v>92822.0</v>
      </c>
      <c r="L431" s="59"/>
      <c r="M431" s="59"/>
      <c r="N431" s="59"/>
      <c r="O431" s="59"/>
      <c r="P431" s="59"/>
      <c r="Q431" s="59"/>
      <c r="R431" s="59"/>
    </row>
    <row r="432">
      <c r="A432" s="66" t="s">
        <v>1592</v>
      </c>
      <c r="B432" s="66">
        <v>70.0</v>
      </c>
      <c r="C432" s="66">
        <v>64.0</v>
      </c>
      <c r="D432" s="24" t="s">
        <v>173</v>
      </c>
      <c r="E432" s="24" t="s">
        <v>1009</v>
      </c>
      <c r="F432" s="66" t="s">
        <v>1593</v>
      </c>
      <c r="G432" s="66">
        <v>69.0</v>
      </c>
      <c r="H432" s="66">
        <v>7.0</v>
      </c>
      <c r="I432" s="66">
        <v>7.0</v>
      </c>
      <c r="J432" s="24" t="s">
        <v>31</v>
      </c>
      <c r="K432" s="67">
        <v>121417.0</v>
      </c>
      <c r="L432" s="59"/>
      <c r="M432" s="59"/>
      <c r="N432" s="59"/>
      <c r="O432" s="59"/>
      <c r="P432" s="59"/>
      <c r="Q432" s="59"/>
      <c r="R432" s="59"/>
    </row>
    <row r="433">
      <c r="A433" s="66" t="s">
        <v>1594</v>
      </c>
      <c r="B433" s="66">
        <v>98.0</v>
      </c>
      <c r="C433" s="66">
        <v>21.0</v>
      </c>
      <c r="D433" s="24" t="s">
        <v>734</v>
      </c>
      <c r="E433" s="24" t="s">
        <v>402</v>
      </c>
      <c r="F433" s="66" t="s">
        <v>1595</v>
      </c>
      <c r="G433" s="66">
        <v>49.0</v>
      </c>
      <c r="H433" s="66">
        <v>2.0</v>
      </c>
      <c r="I433" s="66">
        <v>9.0</v>
      </c>
      <c r="J433" s="24" t="s">
        <v>31</v>
      </c>
      <c r="K433" s="67">
        <v>20322.0</v>
      </c>
      <c r="L433" s="59"/>
      <c r="M433" s="59"/>
      <c r="N433" s="59"/>
      <c r="O433" s="59"/>
      <c r="P433" s="59"/>
      <c r="Q433" s="59"/>
      <c r="R433" s="59"/>
    </row>
    <row r="434">
      <c r="A434" s="66" t="s">
        <v>1596</v>
      </c>
      <c r="B434" s="66">
        <v>89.0</v>
      </c>
      <c r="C434" s="66">
        <v>78.0</v>
      </c>
      <c r="D434" s="24" t="s">
        <v>396</v>
      </c>
      <c r="E434" s="24" t="s">
        <v>233</v>
      </c>
      <c r="F434" s="66" t="s">
        <v>1597</v>
      </c>
      <c r="G434" s="66">
        <v>49.0</v>
      </c>
      <c r="H434" s="66">
        <v>3.0</v>
      </c>
      <c r="I434" s="66">
        <v>8.0</v>
      </c>
      <c r="J434" s="24" t="s">
        <v>39</v>
      </c>
      <c r="K434" s="67">
        <v>102720.0</v>
      </c>
      <c r="L434" s="59"/>
      <c r="M434" s="59"/>
      <c r="N434" s="59"/>
      <c r="O434" s="59"/>
      <c r="P434" s="59"/>
      <c r="Q434" s="59"/>
      <c r="R434" s="59"/>
    </row>
    <row r="435">
      <c r="A435" s="66" t="s">
        <v>1598</v>
      </c>
      <c r="B435" s="66">
        <v>20.0</v>
      </c>
      <c r="C435" s="66">
        <v>98.0</v>
      </c>
      <c r="D435" s="24" t="s">
        <v>475</v>
      </c>
      <c r="E435" s="24" t="s">
        <v>242</v>
      </c>
      <c r="F435" s="66" t="s">
        <v>1599</v>
      </c>
      <c r="G435" s="66">
        <v>49.0</v>
      </c>
      <c r="H435" s="66">
        <v>4.0</v>
      </c>
      <c r="I435" s="66">
        <v>1.0</v>
      </c>
      <c r="J435" s="24" t="s">
        <v>39</v>
      </c>
      <c r="K435" s="67">
        <v>11222.0</v>
      </c>
      <c r="L435" s="59"/>
      <c r="M435" s="59"/>
      <c r="N435" s="59"/>
      <c r="O435" s="59"/>
      <c r="P435" s="59"/>
      <c r="Q435" s="59"/>
      <c r="R435" s="59"/>
    </row>
    <row r="436">
      <c r="A436" s="66" t="s">
        <v>1600</v>
      </c>
      <c r="B436" s="66">
        <v>19.0</v>
      </c>
      <c r="C436" s="66">
        <v>66.0</v>
      </c>
      <c r="D436" s="24" t="s">
        <v>474</v>
      </c>
      <c r="E436" s="24" t="s">
        <v>214</v>
      </c>
      <c r="F436" s="66" t="s">
        <v>1601</v>
      </c>
      <c r="G436" s="66">
        <v>28.0</v>
      </c>
      <c r="H436" s="66">
        <v>9.0</v>
      </c>
      <c r="I436" s="66">
        <v>4.0</v>
      </c>
      <c r="J436" s="24" t="s">
        <v>31</v>
      </c>
      <c r="K436" s="67">
        <v>112717.0</v>
      </c>
      <c r="L436" s="59"/>
      <c r="M436" s="59"/>
      <c r="N436" s="59"/>
      <c r="O436" s="59"/>
      <c r="P436" s="59"/>
      <c r="Q436" s="59"/>
      <c r="R436" s="59"/>
    </row>
    <row r="437">
      <c r="A437" s="66" t="s">
        <v>1602</v>
      </c>
      <c r="B437" s="66">
        <v>53.0</v>
      </c>
      <c r="C437" s="66">
        <v>91.0</v>
      </c>
      <c r="D437" s="24" t="s">
        <v>537</v>
      </c>
      <c r="E437" s="24" t="s">
        <v>233</v>
      </c>
      <c r="F437" s="66" t="s">
        <v>1603</v>
      </c>
      <c r="G437" s="66">
        <v>28.0</v>
      </c>
      <c r="H437" s="66">
        <v>9.0</v>
      </c>
      <c r="I437" s="66">
        <v>7.0</v>
      </c>
      <c r="J437" s="24" t="s">
        <v>29</v>
      </c>
      <c r="K437" s="67">
        <v>11322.0</v>
      </c>
      <c r="L437" s="59"/>
      <c r="M437" s="59"/>
      <c r="N437" s="59"/>
      <c r="O437" s="59"/>
      <c r="P437" s="59"/>
      <c r="Q437" s="59"/>
      <c r="R437" s="59"/>
    </row>
    <row r="438">
      <c r="A438" s="66" t="s">
        <v>1604</v>
      </c>
      <c r="B438" s="66">
        <v>47.0</v>
      </c>
      <c r="C438" s="66">
        <v>37.0</v>
      </c>
      <c r="D438" s="24" t="s">
        <v>152</v>
      </c>
      <c r="E438" s="24" t="s">
        <v>1605</v>
      </c>
      <c r="F438" s="66" t="s">
        <v>1606</v>
      </c>
      <c r="G438" s="66">
        <v>69.0</v>
      </c>
      <c r="H438" s="66">
        <v>9.0</v>
      </c>
      <c r="I438" s="66">
        <v>3.0</v>
      </c>
      <c r="J438" s="24" t="s">
        <v>31</v>
      </c>
      <c r="K438" s="67">
        <v>70721.0</v>
      </c>
      <c r="L438" s="59"/>
      <c r="M438" s="59"/>
      <c r="N438" s="59"/>
      <c r="O438" s="59"/>
      <c r="P438" s="59"/>
      <c r="Q438" s="59"/>
      <c r="R438" s="59"/>
    </row>
    <row r="439">
      <c r="A439" s="66" t="s">
        <v>1607</v>
      </c>
      <c r="B439" s="66">
        <v>96.0</v>
      </c>
      <c r="C439" s="66">
        <v>18.0</v>
      </c>
      <c r="D439" s="24" t="s">
        <v>430</v>
      </c>
      <c r="E439" s="24" t="s">
        <v>1608</v>
      </c>
      <c r="F439" s="66" t="s">
        <v>1609</v>
      </c>
      <c r="G439" s="66">
        <v>69.0</v>
      </c>
      <c r="H439" s="66">
        <v>9.0</v>
      </c>
      <c r="I439" s="66">
        <v>5.0</v>
      </c>
      <c r="J439" s="24" t="s">
        <v>39</v>
      </c>
      <c r="K439" s="67">
        <v>30721.0</v>
      </c>
      <c r="L439" s="59"/>
      <c r="M439" s="59"/>
      <c r="N439" s="59"/>
      <c r="O439" s="59"/>
      <c r="P439" s="59"/>
      <c r="Q439" s="59"/>
      <c r="R439" s="59"/>
    </row>
    <row r="440">
      <c r="A440" s="66" t="s">
        <v>1610</v>
      </c>
      <c r="B440" s="66">
        <v>33.0</v>
      </c>
      <c r="C440" s="66">
        <v>20.0</v>
      </c>
      <c r="D440" s="24" t="s">
        <v>148</v>
      </c>
      <c r="E440" s="24" t="s">
        <v>801</v>
      </c>
      <c r="F440" s="68">
        <v>3.2E8</v>
      </c>
      <c r="G440" s="66">
        <v>49.0</v>
      </c>
      <c r="H440" s="66">
        <v>4.0</v>
      </c>
      <c r="I440" s="66">
        <v>9.0</v>
      </c>
      <c r="J440" s="24" t="s">
        <v>39</v>
      </c>
      <c r="K440" s="67">
        <v>31423.0</v>
      </c>
      <c r="L440" s="59"/>
      <c r="M440" s="59"/>
      <c r="N440" s="59"/>
      <c r="O440" s="59"/>
      <c r="P440" s="59"/>
      <c r="Q440" s="59"/>
      <c r="R440" s="59"/>
    </row>
    <row r="441">
      <c r="A441" s="66" t="s">
        <v>1611</v>
      </c>
      <c r="B441" s="66">
        <v>51.0</v>
      </c>
      <c r="C441" s="66">
        <v>39.0</v>
      </c>
      <c r="D441" s="24" t="s">
        <v>1612</v>
      </c>
      <c r="E441" s="24" t="s">
        <v>1613</v>
      </c>
      <c r="F441" s="66" t="s">
        <v>1614</v>
      </c>
      <c r="G441" s="66">
        <v>69.0</v>
      </c>
      <c r="H441" s="66">
        <v>9.0</v>
      </c>
      <c r="I441" s="66">
        <v>9.0</v>
      </c>
      <c r="J441" s="24" t="s">
        <v>39</v>
      </c>
      <c r="K441" s="67">
        <v>11420.0</v>
      </c>
      <c r="L441" s="59"/>
      <c r="M441" s="59"/>
      <c r="N441" s="59"/>
      <c r="O441" s="59"/>
      <c r="P441" s="59"/>
      <c r="Q441" s="59"/>
      <c r="R441" s="59"/>
    </row>
    <row r="442">
      <c r="A442" s="66" t="s">
        <v>1615</v>
      </c>
      <c r="B442" s="66">
        <v>87.0</v>
      </c>
      <c r="C442" s="66">
        <v>55.0</v>
      </c>
      <c r="D442" s="24" t="s">
        <v>375</v>
      </c>
      <c r="E442" s="24" t="s">
        <v>1181</v>
      </c>
      <c r="F442" s="66" t="s">
        <v>1616</v>
      </c>
      <c r="G442" s="66">
        <v>49.0</v>
      </c>
      <c r="H442" s="66">
        <v>5.0</v>
      </c>
      <c r="I442" s="66">
        <v>8.0</v>
      </c>
      <c r="J442" s="24" t="s">
        <v>48</v>
      </c>
      <c r="K442" s="67">
        <v>61518.0</v>
      </c>
      <c r="L442" s="59"/>
      <c r="M442" s="59"/>
      <c r="N442" s="59"/>
      <c r="O442" s="59"/>
      <c r="P442" s="59"/>
      <c r="Q442" s="59"/>
      <c r="R442" s="59"/>
    </row>
    <row r="443">
      <c r="A443" s="66" t="s">
        <v>1617</v>
      </c>
      <c r="B443" s="66">
        <v>26.0</v>
      </c>
      <c r="C443" s="66">
        <v>22.0</v>
      </c>
      <c r="D443" s="24" t="s">
        <v>277</v>
      </c>
      <c r="E443" s="24" t="s">
        <v>1284</v>
      </c>
      <c r="F443" s="66" t="s">
        <v>1618</v>
      </c>
      <c r="G443" s="66">
        <v>49.0</v>
      </c>
      <c r="H443" s="66">
        <v>6.0</v>
      </c>
      <c r="I443" s="66">
        <v>1.0</v>
      </c>
      <c r="J443" s="24" t="s">
        <v>33</v>
      </c>
      <c r="K443" s="67">
        <v>42517.0</v>
      </c>
      <c r="L443" s="59"/>
      <c r="M443" s="59"/>
      <c r="N443" s="59"/>
      <c r="O443" s="59"/>
      <c r="P443" s="59"/>
      <c r="Q443" s="59"/>
      <c r="R443" s="59"/>
    </row>
    <row r="444">
      <c r="A444" s="66" t="s">
        <v>1619</v>
      </c>
      <c r="B444" s="66">
        <v>38.0</v>
      </c>
      <c r="C444" s="66">
        <v>62.0</v>
      </c>
      <c r="D444" s="24" t="s">
        <v>515</v>
      </c>
      <c r="E444" s="24" t="s">
        <v>308</v>
      </c>
      <c r="F444" s="66" t="s">
        <v>1620</v>
      </c>
      <c r="G444" s="66">
        <v>49.0</v>
      </c>
      <c r="H444" s="66">
        <v>6.0</v>
      </c>
      <c r="I444" s="66">
        <v>3.0</v>
      </c>
      <c r="J444" s="24" t="s">
        <v>39</v>
      </c>
      <c r="K444" s="67">
        <v>62815.0</v>
      </c>
      <c r="L444" s="59"/>
      <c r="M444" s="59"/>
      <c r="N444" s="59"/>
      <c r="O444" s="59"/>
      <c r="P444" s="59"/>
      <c r="Q444" s="59"/>
      <c r="R444" s="59"/>
    </row>
    <row r="445">
      <c r="A445" s="66" t="s">
        <v>1621</v>
      </c>
      <c r="B445" s="66">
        <v>93.0</v>
      </c>
      <c r="C445" s="66">
        <v>15.0</v>
      </c>
      <c r="D445" s="24" t="s">
        <v>519</v>
      </c>
      <c r="E445" s="24" t="s">
        <v>521</v>
      </c>
      <c r="F445" s="66" t="s">
        <v>1622</v>
      </c>
      <c r="G445" s="66">
        <v>29.0</v>
      </c>
      <c r="H445" s="66">
        <v>2.0</v>
      </c>
      <c r="I445" s="66">
        <v>1.0</v>
      </c>
      <c r="J445" s="24" t="s">
        <v>48</v>
      </c>
      <c r="K445" s="67">
        <v>50914.0</v>
      </c>
      <c r="L445" s="59"/>
      <c r="M445" s="59"/>
      <c r="N445" s="59"/>
      <c r="O445" s="59"/>
      <c r="P445" s="59"/>
      <c r="Q445" s="59"/>
      <c r="R445" s="59"/>
    </row>
    <row r="446">
      <c r="A446" s="66" t="s">
        <v>1623</v>
      </c>
      <c r="B446" s="66">
        <v>15.0</v>
      </c>
      <c r="C446" s="66">
        <v>46.0</v>
      </c>
      <c r="D446" s="24" t="s">
        <v>507</v>
      </c>
      <c r="E446" s="24" t="s">
        <v>1624</v>
      </c>
      <c r="F446" s="66" t="s">
        <v>1625</v>
      </c>
      <c r="G446" s="66">
        <v>29.0</v>
      </c>
      <c r="H446" s="66">
        <v>2.0</v>
      </c>
      <c r="I446" s="66">
        <v>2.0</v>
      </c>
      <c r="J446" s="24" t="s">
        <v>29</v>
      </c>
      <c r="K446" s="67">
        <v>12122.0</v>
      </c>
      <c r="L446" s="59"/>
      <c r="M446" s="59"/>
      <c r="N446" s="59"/>
      <c r="O446" s="59"/>
      <c r="P446" s="59"/>
      <c r="Q446" s="59"/>
      <c r="R446" s="59"/>
    </row>
    <row r="447">
      <c r="A447" s="66" t="s">
        <v>1626</v>
      </c>
      <c r="B447" s="66">
        <v>34.0</v>
      </c>
      <c r="C447" s="66">
        <v>73.0</v>
      </c>
      <c r="D447" s="24" t="s">
        <v>366</v>
      </c>
      <c r="E447" s="24" t="s">
        <v>264</v>
      </c>
      <c r="F447" s="66" t="s">
        <v>1627</v>
      </c>
      <c r="G447" s="66">
        <v>29.0</v>
      </c>
      <c r="H447" s="66">
        <v>2.0</v>
      </c>
      <c r="I447" s="66">
        <v>6.0</v>
      </c>
      <c r="J447" s="24" t="s">
        <v>48</v>
      </c>
      <c r="K447" s="67">
        <v>22123.0</v>
      </c>
      <c r="L447" s="59"/>
      <c r="M447" s="59"/>
      <c r="N447" s="59"/>
      <c r="O447" s="59"/>
      <c r="P447" s="59"/>
      <c r="Q447" s="59"/>
      <c r="R447" s="59"/>
    </row>
    <row r="448">
      <c r="A448" s="66" t="s">
        <v>1628</v>
      </c>
      <c r="B448" s="66">
        <v>30.0</v>
      </c>
      <c r="C448" s="66">
        <v>15.0</v>
      </c>
      <c r="D448" s="24" t="s">
        <v>1624</v>
      </c>
      <c r="E448" s="24" t="s">
        <v>1187</v>
      </c>
      <c r="F448" s="66" t="s">
        <v>1629</v>
      </c>
      <c r="G448" s="66">
        <v>49.0</v>
      </c>
      <c r="H448" s="66">
        <v>7.0</v>
      </c>
      <c r="I448" s="66">
        <v>5.0</v>
      </c>
      <c r="J448" s="24" t="s">
        <v>33</v>
      </c>
      <c r="K448" s="67">
        <v>30223.0</v>
      </c>
      <c r="L448" s="59"/>
      <c r="M448" s="59"/>
      <c r="N448" s="59"/>
      <c r="O448" s="59"/>
      <c r="P448" s="59"/>
      <c r="Q448" s="59"/>
      <c r="R448" s="59"/>
    </row>
    <row r="449">
      <c r="A449" s="66" t="s">
        <v>1630</v>
      </c>
      <c r="B449" s="66">
        <v>67.0</v>
      </c>
      <c r="C449" s="66">
        <v>32.0</v>
      </c>
      <c r="D449" s="24" t="s">
        <v>86</v>
      </c>
      <c r="E449" s="24" t="s">
        <v>633</v>
      </c>
      <c r="F449" s="66" t="s">
        <v>1631</v>
      </c>
      <c r="G449" s="66">
        <v>49.0</v>
      </c>
      <c r="H449" s="66">
        <v>8.0</v>
      </c>
      <c r="I449" s="66">
        <v>2.0</v>
      </c>
      <c r="J449" s="24" t="s">
        <v>48</v>
      </c>
      <c r="K449" s="67">
        <v>82814.0</v>
      </c>
      <c r="L449" s="59"/>
      <c r="M449" s="59"/>
      <c r="N449" s="59"/>
      <c r="O449" s="59"/>
      <c r="P449" s="59"/>
      <c r="Q449" s="59"/>
      <c r="R449" s="59"/>
    </row>
    <row r="450">
      <c r="A450" s="66" t="s">
        <v>1632</v>
      </c>
      <c r="B450" s="66">
        <v>74.0</v>
      </c>
      <c r="C450" s="66">
        <v>82.0</v>
      </c>
      <c r="D450" s="24" t="s">
        <v>124</v>
      </c>
      <c r="E450" s="24" t="s">
        <v>875</v>
      </c>
      <c r="F450" s="66" t="s">
        <v>1633</v>
      </c>
      <c r="G450" s="66">
        <v>49.0</v>
      </c>
      <c r="H450" s="66">
        <v>8.0</v>
      </c>
      <c r="I450" s="66">
        <v>5.0</v>
      </c>
      <c r="J450" s="24" t="s">
        <v>31</v>
      </c>
      <c r="K450" s="67">
        <v>92513.0</v>
      </c>
      <c r="L450" s="59"/>
      <c r="M450" s="59"/>
      <c r="N450" s="59"/>
      <c r="O450" s="59"/>
      <c r="P450" s="59"/>
      <c r="Q450" s="59"/>
      <c r="R450" s="59"/>
    </row>
    <row r="451">
      <c r="A451" s="66" t="s">
        <v>1634</v>
      </c>
      <c r="B451" s="66">
        <v>97.0</v>
      </c>
      <c r="C451" s="66">
        <v>52.0</v>
      </c>
      <c r="D451" s="24" t="s">
        <v>69</v>
      </c>
      <c r="E451" s="24" t="s">
        <v>47</v>
      </c>
      <c r="F451" s="66" t="s">
        <v>1635</v>
      </c>
      <c r="G451" s="66">
        <v>29.0</v>
      </c>
      <c r="H451" s="66">
        <v>3.0</v>
      </c>
      <c r="I451" s="66">
        <v>7.0</v>
      </c>
      <c r="J451" s="24" t="s">
        <v>48</v>
      </c>
      <c r="K451" s="67">
        <v>110521.0</v>
      </c>
      <c r="L451" s="59"/>
      <c r="M451" s="59"/>
      <c r="N451" s="59"/>
      <c r="O451" s="59"/>
      <c r="P451" s="59"/>
      <c r="Q451" s="59"/>
      <c r="R451" s="59"/>
    </row>
    <row r="452">
      <c r="A452" s="66" t="s">
        <v>1636</v>
      </c>
      <c r="B452" s="66">
        <v>86.0</v>
      </c>
      <c r="C452" s="66">
        <v>10.0</v>
      </c>
      <c r="D452" s="24" t="s">
        <v>64</v>
      </c>
      <c r="E452" s="24" t="s">
        <v>36</v>
      </c>
      <c r="F452" s="66" t="s">
        <v>1637</v>
      </c>
      <c r="G452" s="66">
        <v>49.0</v>
      </c>
      <c r="H452" s="66">
        <v>8.0</v>
      </c>
      <c r="I452" s="66">
        <v>6.0</v>
      </c>
      <c r="J452" s="24" t="s">
        <v>29</v>
      </c>
      <c r="K452" s="67">
        <v>92220.0</v>
      </c>
      <c r="L452" s="59"/>
      <c r="M452" s="59"/>
      <c r="N452" s="59"/>
      <c r="O452" s="59"/>
      <c r="P452" s="59"/>
      <c r="Q452" s="59"/>
      <c r="R452" s="59"/>
    </row>
    <row r="453">
      <c r="A453" s="66" t="s">
        <v>1638</v>
      </c>
      <c r="B453" s="66">
        <v>93.0</v>
      </c>
      <c r="C453" s="66">
        <v>66.0</v>
      </c>
      <c r="D453" s="24" t="s">
        <v>195</v>
      </c>
      <c r="E453" s="24" t="s">
        <v>529</v>
      </c>
      <c r="F453" s="66" t="s">
        <v>1639</v>
      </c>
      <c r="G453" s="66">
        <v>49.0</v>
      </c>
      <c r="H453" s="66">
        <v>8.0</v>
      </c>
      <c r="I453" s="66">
        <v>8.0</v>
      </c>
      <c r="J453" s="24" t="s">
        <v>48</v>
      </c>
      <c r="K453" s="67">
        <v>40921.0</v>
      </c>
      <c r="L453" s="59"/>
      <c r="M453" s="59"/>
      <c r="N453" s="59"/>
      <c r="O453" s="59"/>
      <c r="P453" s="59"/>
      <c r="Q453" s="59"/>
      <c r="R453" s="59"/>
    </row>
    <row r="454">
      <c r="A454" s="66" t="s">
        <v>1640</v>
      </c>
      <c r="B454" s="66">
        <v>10.0</v>
      </c>
      <c r="C454" s="66">
        <v>73.0</v>
      </c>
      <c r="D454" s="24" t="s">
        <v>367</v>
      </c>
      <c r="E454" s="24" t="s">
        <v>678</v>
      </c>
      <c r="F454" s="66" t="s">
        <v>1641</v>
      </c>
      <c r="G454" s="66">
        <v>49.0</v>
      </c>
      <c r="H454" s="66">
        <v>9.0</v>
      </c>
      <c r="I454" s="66">
        <v>1.0</v>
      </c>
      <c r="J454" s="24" t="s">
        <v>48</v>
      </c>
      <c r="K454" s="67">
        <v>22823.0</v>
      </c>
      <c r="L454" s="59"/>
      <c r="M454" s="59"/>
      <c r="N454" s="59"/>
      <c r="O454" s="59"/>
      <c r="P454" s="59"/>
      <c r="Q454" s="59"/>
      <c r="R454" s="59"/>
    </row>
    <row r="455">
      <c r="A455" s="66" t="s">
        <v>1642</v>
      </c>
      <c r="B455" s="66">
        <v>69.0</v>
      </c>
      <c r="C455" s="66">
        <v>44.0</v>
      </c>
      <c r="D455" s="24" t="s">
        <v>377</v>
      </c>
      <c r="E455" s="24" t="s">
        <v>134</v>
      </c>
      <c r="F455" s="66" t="s">
        <v>1643</v>
      </c>
      <c r="G455" s="66">
        <v>49.0</v>
      </c>
      <c r="H455" s="66">
        <v>9.0</v>
      </c>
      <c r="I455" s="66">
        <v>2.0</v>
      </c>
      <c r="J455" s="24" t="s">
        <v>39</v>
      </c>
      <c r="K455" s="67">
        <v>42418.0</v>
      </c>
      <c r="L455" s="59"/>
      <c r="M455" s="59"/>
      <c r="N455" s="59"/>
      <c r="O455" s="59"/>
      <c r="P455" s="59"/>
      <c r="Q455" s="59"/>
      <c r="R455" s="59"/>
    </row>
    <row r="456">
      <c r="A456" s="66" t="s">
        <v>1644</v>
      </c>
      <c r="B456" s="66">
        <v>26.0</v>
      </c>
      <c r="C456" s="66">
        <v>67.0</v>
      </c>
      <c r="D456" s="24" t="s">
        <v>272</v>
      </c>
      <c r="E456" s="24" t="s">
        <v>347</v>
      </c>
      <c r="F456" s="66" t="s">
        <v>1645</v>
      </c>
      <c r="G456" s="66">
        <v>29.0</v>
      </c>
      <c r="H456" s="66">
        <v>6.0</v>
      </c>
      <c r="I456" s="66">
        <v>3.0</v>
      </c>
      <c r="J456" s="24" t="s">
        <v>33</v>
      </c>
      <c r="K456" s="67">
        <v>70213.0</v>
      </c>
      <c r="L456" s="59"/>
      <c r="M456" s="59"/>
      <c r="N456" s="59"/>
      <c r="O456" s="59"/>
      <c r="P456" s="59"/>
      <c r="Q456" s="59"/>
      <c r="R456" s="59"/>
    </row>
    <row r="457">
      <c r="A457" s="66" t="s">
        <v>1646</v>
      </c>
      <c r="B457" s="66">
        <v>80.0</v>
      </c>
      <c r="C457" s="66">
        <v>92.0</v>
      </c>
      <c r="D457" s="24" t="s">
        <v>377</v>
      </c>
      <c r="E457" s="24" t="s">
        <v>473</v>
      </c>
      <c r="F457" s="66" t="s">
        <v>1647</v>
      </c>
      <c r="G457" s="66">
        <v>29.0</v>
      </c>
      <c r="H457" s="66">
        <v>6.0</v>
      </c>
      <c r="I457" s="66">
        <v>6.0</v>
      </c>
      <c r="J457" s="24" t="s">
        <v>31</v>
      </c>
      <c r="K457" s="67">
        <v>52521.0</v>
      </c>
      <c r="L457" s="59"/>
      <c r="M457" s="59"/>
      <c r="N457" s="59"/>
      <c r="O457" s="59"/>
      <c r="P457" s="59"/>
      <c r="Q457" s="59"/>
      <c r="R457" s="59"/>
    </row>
    <row r="458">
      <c r="A458" s="66" t="s">
        <v>1648</v>
      </c>
      <c r="B458" s="66">
        <v>55.0</v>
      </c>
      <c r="C458" s="66">
        <v>87.0</v>
      </c>
      <c r="D458" s="24" t="s">
        <v>340</v>
      </c>
      <c r="E458" s="24" t="s">
        <v>180</v>
      </c>
      <c r="F458" s="66" t="s">
        <v>1649</v>
      </c>
      <c r="G458" s="66">
        <v>29.0</v>
      </c>
      <c r="H458" s="66">
        <v>6.0</v>
      </c>
      <c r="I458" s="66">
        <v>7.0</v>
      </c>
      <c r="J458" s="24" t="s">
        <v>33</v>
      </c>
      <c r="K458" s="67">
        <v>21214.0</v>
      </c>
      <c r="L458" s="59"/>
      <c r="M458" s="59"/>
      <c r="N458" s="59"/>
      <c r="O458" s="59"/>
      <c r="P458" s="59"/>
      <c r="Q458" s="59"/>
      <c r="R458" s="59"/>
    </row>
    <row r="459">
      <c r="A459" s="66" t="s">
        <v>1650</v>
      </c>
      <c r="B459" s="66">
        <v>48.0</v>
      </c>
      <c r="C459" s="66">
        <v>89.0</v>
      </c>
      <c r="D459" s="24" t="s">
        <v>52</v>
      </c>
      <c r="E459" s="24" t="s">
        <v>205</v>
      </c>
      <c r="F459" s="66" t="s">
        <v>1651</v>
      </c>
      <c r="G459" s="66">
        <v>91.0</v>
      </c>
      <c r="H459" s="66">
        <v>1.0</v>
      </c>
      <c r="I459" s="66">
        <v>2.0</v>
      </c>
      <c r="J459" s="24" t="s">
        <v>31</v>
      </c>
      <c r="K459" s="67">
        <v>32922.0</v>
      </c>
      <c r="L459" s="59"/>
      <c r="M459" s="59"/>
      <c r="N459" s="59"/>
      <c r="O459" s="59"/>
      <c r="P459" s="59"/>
      <c r="Q459" s="59"/>
      <c r="R459" s="59"/>
    </row>
    <row r="460">
      <c r="A460" s="66" t="s">
        <v>1652</v>
      </c>
      <c r="B460" s="66">
        <v>42.0</v>
      </c>
      <c r="C460" s="66">
        <v>22.0</v>
      </c>
      <c r="D460" s="24" t="s">
        <v>341</v>
      </c>
      <c r="E460" s="24" t="s">
        <v>258</v>
      </c>
      <c r="F460" s="66" t="s">
        <v>1653</v>
      </c>
      <c r="G460" s="66">
        <v>29.0</v>
      </c>
      <c r="H460" s="66">
        <v>6.0</v>
      </c>
      <c r="I460" s="66">
        <v>9.0</v>
      </c>
      <c r="J460" s="24" t="s">
        <v>33</v>
      </c>
      <c r="K460" s="67">
        <v>52520.0</v>
      </c>
      <c r="L460" s="59"/>
      <c r="M460" s="59"/>
      <c r="N460" s="59"/>
      <c r="O460" s="59"/>
      <c r="P460" s="59"/>
      <c r="Q460" s="59"/>
      <c r="R460" s="59"/>
    </row>
    <row r="461">
      <c r="A461" s="66" t="s">
        <v>1654</v>
      </c>
      <c r="B461" s="66">
        <v>34.0</v>
      </c>
      <c r="C461" s="66">
        <v>71.0</v>
      </c>
      <c r="D461" s="24" t="s">
        <v>659</v>
      </c>
      <c r="E461" s="24" t="s">
        <v>62</v>
      </c>
      <c r="F461" s="66" t="s">
        <v>1655</v>
      </c>
      <c r="G461" s="66">
        <v>91.0</v>
      </c>
      <c r="H461" s="66">
        <v>2.0</v>
      </c>
      <c r="I461" s="66">
        <v>2.0</v>
      </c>
      <c r="J461" s="24" t="s">
        <v>33</v>
      </c>
      <c r="K461" s="67">
        <v>81514.0</v>
      </c>
      <c r="L461" s="59"/>
      <c r="M461" s="59"/>
      <c r="N461" s="59"/>
      <c r="O461" s="59"/>
      <c r="P461" s="59"/>
      <c r="Q461" s="59"/>
      <c r="R461" s="59"/>
    </row>
    <row r="462">
      <c r="A462" s="66" t="s">
        <v>1656</v>
      </c>
      <c r="B462" s="66">
        <v>42.0</v>
      </c>
      <c r="C462" s="66">
        <v>18.0</v>
      </c>
      <c r="D462" s="24" t="s">
        <v>1350</v>
      </c>
      <c r="E462" s="24" t="s">
        <v>1218</v>
      </c>
      <c r="F462" s="66" t="s">
        <v>1657</v>
      </c>
      <c r="G462" s="66">
        <v>29.0</v>
      </c>
      <c r="H462" s="66">
        <v>7.0</v>
      </c>
      <c r="I462" s="66">
        <v>9.0</v>
      </c>
      <c r="J462" s="24" t="s">
        <v>29</v>
      </c>
      <c r="K462" s="67">
        <v>82823.0</v>
      </c>
      <c r="L462" s="59"/>
      <c r="M462" s="59"/>
      <c r="N462" s="59"/>
      <c r="O462" s="59"/>
      <c r="P462" s="59"/>
      <c r="Q462" s="59"/>
      <c r="R462" s="59"/>
    </row>
    <row r="463">
      <c r="A463" s="66" t="s">
        <v>1658</v>
      </c>
      <c r="B463" s="66">
        <v>71.0</v>
      </c>
      <c r="C463" s="66">
        <v>36.0</v>
      </c>
      <c r="D463" s="24" t="s">
        <v>1659</v>
      </c>
      <c r="E463" s="24" t="s">
        <v>1284</v>
      </c>
      <c r="F463" s="66" t="s">
        <v>1660</v>
      </c>
      <c r="G463" s="66">
        <v>29.0</v>
      </c>
      <c r="H463" s="66">
        <v>8.0</v>
      </c>
      <c r="I463" s="66">
        <v>3.0</v>
      </c>
      <c r="J463" s="24" t="s">
        <v>48</v>
      </c>
      <c r="K463" s="67">
        <v>71818.0</v>
      </c>
      <c r="L463" s="59"/>
      <c r="M463" s="59"/>
      <c r="N463" s="59"/>
      <c r="O463" s="59"/>
      <c r="P463" s="59"/>
      <c r="Q463" s="59"/>
      <c r="R463" s="59"/>
    </row>
    <row r="464">
      <c r="A464" s="66" t="s">
        <v>1661</v>
      </c>
      <c r="B464" s="66">
        <v>50.0</v>
      </c>
      <c r="C464" s="66">
        <v>51.0</v>
      </c>
      <c r="D464" s="24" t="s">
        <v>201</v>
      </c>
      <c r="E464" s="24" t="s">
        <v>541</v>
      </c>
      <c r="F464" s="66" t="s">
        <v>1662</v>
      </c>
      <c r="G464" s="66">
        <v>91.0</v>
      </c>
      <c r="H464" s="66">
        <v>3.0</v>
      </c>
      <c r="I464" s="66">
        <v>1.0</v>
      </c>
      <c r="J464" s="24" t="s">
        <v>29</v>
      </c>
      <c r="K464" s="67">
        <v>62723.0</v>
      </c>
      <c r="L464" s="59"/>
      <c r="M464" s="59"/>
      <c r="N464" s="59"/>
      <c r="O464" s="59"/>
      <c r="P464" s="59"/>
      <c r="Q464" s="59"/>
      <c r="R464" s="59"/>
    </row>
    <row r="465">
      <c r="A465" s="66" t="s">
        <v>1663</v>
      </c>
      <c r="B465" s="66">
        <v>85.0</v>
      </c>
      <c r="C465" s="66">
        <v>22.0</v>
      </c>
      <c r="D465" s="24" t="s">
        <v>472</v>
      </c>
      <c r="E465" s="24" t="s">
        <v>207</v>
      </c>
      <c r="F465" s="66" t="s">
        <v>1664</v>
      </c>
      <c r="G465" s="66">
        <v>91.0</v>
      </c>
      <c r="H465" s="66">
        <v>4.0</v>
      </c>
      <c r="I465" s="66">
        <v>2.0</v>
      </c>
      <c r="J465" s="24" t="s">
        <v>33</v>
      </c>
      <c r="K465" s="67">
        <v>40817.0</v>
      </c>
      <c r="L465" s="59"/>
      <c r="M465" s="59"/>
      <c r="N465" s="59"/>
      <c r="O465" s="59"/>
      <c r="P465" s="59"/>
      <c r="Q465" s="59"/>
      <c r="R465" s="59"/>
    </row>
    <row r="466">
      <c r="A466" s="66" t="s">
        <v>1665</v>
      </c>
      <c r="B466" s="66">
        <v>80.0</v>
      </c>
      <c r="C466" s="66">
        <v>61.0</v>
      </c>
      <c r="D466" s="24" t="s">
        <v>182</v>
      </c>
      <c r="E466" s="24" t="s">
        <v>115</v>
      </c>
      <c r="F466" s="66" t="s">
        <v>1666</v>
      </c>
      <c r="G466" s="66">
        <v>91.0</v>
      </c>
      <c r="H466" s="66">
        <v>4.0</v>
      </c>
      <c r="I466" s="66">
        <v>6.0</v>
      </c>
      <c r="J466" s="24" t="s">
        <v>33</v>
      </c>
      <c r="K466" s="67">
        <v>120113.0</v>
      </c>
      <c r="L466" s="59"/>
      <c r="M466" s="59"/>
      <c r="N466" s="59"/>
      <c r="O466" s="59"/>
      <c r="P466" s="59"/>
      <c r="Q466" s="59"/>
      <c r="R466" s="59"/>
    </row>
    <row r="467">
      <c r="A467" s="66" t="s">
        <v>1667</v>
      </c>
      <c r="B467" s="66">
        <v>52.0</v>
      </c>
      <c r="C467" s="66">
        <v>53.0</v>
      </c>
      <c r="D467" s="24" t="s">
        <v>315</v>
      </c>
      <c r="E467" s="24" t="s">
        <v>112</v>
      </c>
      <c r="F467" s="66" t="s">
        <v>1668</v>
      </c>
      <c r="G467" s="66">
        <v>91.0</v>
      </c>
      <c r="H467" s="66">
        <v>4.0</v>
      </c>
      <c r="I467" s="66">
        <v>9.0</v>
      </c>
      <c r="J467" s="24" t="s">
        <v>48</v>
      </c>
      <c r="K467" s="67">
        <v>120916.0</v>
      </c>
      <c r="L467" s="59"/>
      <c r="M467" s="59"/>
      <c r="N467" s="59"/>
      <c r="O467" s="59"/>
      <c r="P467" s="59"/>
      <c r="Q467" s="59"/>
      <c r="R467" s="59"/>
    </row>
    <row r="468">
      <c r="A468" s="66" t="s">
        <v>1669</v>
      </c>
      <c r="B468" s="66">
        <v>32.0</v>
      </c>
      <c r="C468" s="66">
        <v>99.0</v>
      </c>
      <c r="D468" s="24" t="s">
        <v>473</v>
      </c>
      <c r="E468" s="24" t="s">
        <v>321</v>
      </c>
      <c r="F468" s="66" t="s">
        <v>1670</v>
      </c>
      <c r="G468" s="66">
        <v>91.0</v>
      </c>
      <c r="H468" s="66">
        <v>5.0</v>
      </c>
      <c r="I468" s="66">
        <v>5.0</v>
      </c>
      <c r="J468" s="24" t="s">
        <v>39</v>
      </c>
      <c r="K468" s="67">
        <v>30723.0</v>
      </c>
      <c r="L468" s="59"/>
      <c r="M468" s="59"/>
      <c r="N468" s="59"/>
      <c r="O468" s="59"/>
      <c r="P468" s="59"/>
      <c r="Q468" s="59"/>
      <c r="R468" s="59"/>
    </row>
    <row r="469">
      <c r="A469" s="66" t="s">
        <v>1671</v>
      </c>
      <c r="B469" s="66">
        <v>68.0</v>
      </c>
      <c r="C469" s="66">
        <v>98.0</v>
      </c>
      <c r="D469" s="24" t="s">
        <v>160</v>
      </c>
      <c r="E469" s="24" t="s">
        <v>420</v>
      </c>
      <c r="F469" s="66" t="s">
        <v>1672</v>
      </c>
      <c r="G469" s="66">
        <v>91.0</v>
      </c>
      <c r="H469" s="66">
        <v>5.0</v>
      </c>
      <c r="I469" s="66">
        <v>8.0</v>
      </c>
      <c r="J469" s="24" t="s">
        <v>29</v>
      </c>
      <c r="K469" s="67">
        <v>52915.0</v>
      </c>
      <c r="L469" s="59"/>
      <c r="M469" s="59"/>
      <c r="N469" s="59"/>
      <c r="O469" s="59"/>
      <c r="P469" s="59"/>
      <c r="Q469" s="59"/>
      <c r="R469" s="59"/>
    </row>
    <row r="470">
      <c r="A470" s="66" t="s">
        <v>1673</v>
      </c>
      <c r="B470" s="66">
        <v>17.0</v>
      </c>
      <c r="C470" s="66">
        <v>28.0</v>
      </c>
      <c r="D470" s="24" t="s">
        <v>414</v>
      </c>
      <c r="E470" s="24" t="s">
        <v>211</v>
      </c>
      <c r="F470" s="66" t="s">
        <v>1674</v>
      </c>
      <c r="G470" s="66">
        <v>91.0</v>
      </c>
      <c r="H470" s="66">
        <v>6.0</v>
      </c>
      <c r="I470" s="66">
        <v>3.0</v>
      </c>
      <c r="J470" s="24" t="s">
        <v>33</v>
      </c>
      <c r="K470" s="67">
        <v>51421.0</v>
      </c>
      <c r="L470" s="59"/>
      <c r="M470" s="59"/>
      <c r="N470" s="59"/>
      <c r="O470" s="59"/>
      <c r="P470" s="59"/>
      <c r="Q470" s="59"/>
      <c r="R470" s="59"/>
    </row>
    <row r="471">
      <c r="A471" s="66" t="s">
        <v>1675</v>
      </c>
      <c r="B471" s="66">
        <v>90.0</v>
      </c>
      <c r="C471" s="66">
        <v>62.0</v>
      </c>
      <c r="D471" s="24" t="s">
        <v>163</v>
      </c>
      <c r="E471" s="24" t="s">
        <v>167</v>
      </c>
      <c r="F471" s="66" t="s">
        <v>1676</v>
      </c>
      <c r="G471" s="66">
        <v>91.0</v>
      </c>
      <c r="H471" s="66">
        <v>7.0</v>
      </c>
      <c r="I471" s="66">
        <v>5.0</v>
      </c>
      <c r="J471" s="24" t="s">
        <v>33</v>
      </c>
      <c r="K471" s="67">
        <v>111717.0</v>
      </c>
      <c r="L471" s="59"/>
      <c r="M471" s="59"/>
      <c r="N471" s="59"/>
      <c r="O471" s="59"/>
      <c r="P471" s="59"/>
      <c r="Q471" s="59"/>
      <c r="R471" s="59"/>
    </row>
    <row r="472">
      <c r="A472" s="66" t="s">
        <v>1677</v>
      </c>
      <c r="B472" s="66">
        <v>49.0</v>
      </c>
      <c r="C472" s="66">
        <v>30.0</v>
      </c>
      <c r="D472" s="24" t="s">
        <v>875</v>
      </c>
      <c r="E472" s="24" t="s">
        <v>1044</v>
      </c>
      <c r="F472" s="66" t="s">
        <v>1678</v>
      </c>
      <c r="G472" s="66">
        <v>91.0</v>
      </c>
      <c r="H472" s="66">
        <v>7.0</v>
      </c>
      <c r="I472" s="66">
        <v>9.0</v>
      </c>
      <c r="J472" s="24" t="s">
        <v>48</v>
      </c>
      <c r="K472" s="67">
        <v>11617.0</v>
      </c>
      <c r="L472" s="59"/>
      <c r="M472" s="59"/>
      <c r="N472" s="59"/>
      <c r="O472" s="59"/>
      <c r="P472" s="59"/>
      <c r="Q472" s="59"/>
      <c r="R472" s="59"/>
    </row>
    <row r="473">
      <c r="A473" s="66" t="s">
        <v>1679</v>
      </c>
      <c r="B473" s="66">
        <v>69.0</v>
      </c>
      <c r="C473" s="66">
        <v>65.0</v>
      </c>
      <c r="D473" s="24" t="s">
        <v>313</v>
      </c>
      <c r="E473" s="24" t="s">
        <v>333</v>
      </c>
      <c r="F473" s="66" t="s">
        <v>1680</v>
      </c>
      <c r="G473" s="66">
        <v>71.0</v>
      </c>
      <c r="H473" s="66">
        <v>3.0</v>
      </c>
      <c r="I473" s="66">
        <v>6.0</v>
      </c>
      <c r="J473" s="24" t="s">
        <v>39</v>
      </c>
      <c r="K473" s="67">
        <v>21723.0</v>
      </c>
      <c r="L473" s="59"/>
      <c r="M473" s="59"/>
      <c r="N473" s="59"/>
      <c r="O473" s="59"/>
      <c r="P473" s="59"/>
      <c r="Q473" s="59"/>
      <c r="R473" s="59"/>
    </row>
    <row r="474">
      <c r="A474" s="66" t="s">
        <v>1681</v>
      </c>
      <c r="B474" s="66">
        <v>12.0</v>
      </c>
      <c r="C474" s="66">
        <v>73.0</v>
      </c>
      <c r="D474" s="24" t="s">
        <v>77</v>
      </c>
      <c r="E474" s="24" t="s">
        <v>752</v>
      </c>
      <c r="F474" s="66" t="s">
        <v>1682</v>
      </c>
      <c r="G474" s="66">
        <v>71.0</v>
      </c>
      <c r="H474" s="66">
        <v>3.0</v>
      </c>
      <c r="I474" s="66">
        <v>7.0</v>
      </c>
      <c r="J474" s="24" t="s">
        <v>29</v>
      </c>
      <c r="K474" s="67">
        <v>51514.0</v>
      </c>
      <c r="L474" s="59"/>
      <c r="M474" s="59"/>
      <c r="N474" s="59"/>
      <c r="O474" s="59"/>
      <c r="P474" s="59"/>
      <c r="Q474" s="59"/>
      <c r="R474" s="59"/>
    </row>
    <row r="475">
      <c r="A475" s="66" t="s">
        <v>1683</v>
      </c>
      <c r="B475" s="66">
        <v>10.0</v>
      </c>
      <c r="C475" s="66">
        <v>60.0</v>
      </c>
      <c r="D475" s="24" t="s">
        <v>35</v>
      </c>
      <c r="E475" s="24" t="s">
        <v>96</v>
      </c>
      <c r="F475" s="66" t="s">
        <v>1684</v>
      </c>
      <c r="G475" s="66">
        <v>91.0</v>
      </c>
      <c r="H475" s="66">
        <v>9.0</v>
      </c>
      <c r="I475" s="66">
        <v>3.0</v>
      </c>
      <c r="J475" s="24" t="s">
        <v>29</v>
      </c>
      <c r="K475" s="67">
        <v>122316.0</v>
      </c>
      <c r="L475" s="59"/>
      <c r="M475" s="59"/>
      <c r="N475" s="59"/>
      <c r="O475" s="59"/>
      <c r="P475" s="59"/>
      <c r="Q475" s="59"/>
      <c r="R475" s="59"/>
    </row>
    <row r="476">
      <c r="A476" s="66" t="s">
        <v>1685</v>
      </c>
      <c r="B476" s="66">
        <v>74.0</v>
      </c>
      <c r="C476" s="66">
        <v>54.0</v>
      </c>
      <c r="D476" s="24" t="s">
        <v>212</v>
      </c>
      <c r="E476" s="24" t="s">
        <v>1381</v>
      </c>
      <c r="F476" s="66" t="s">
        <v>1686</v>
      </c>
      <c r="G476" s="66">
        <v>71.0</v>
      </c>
      <c r="H476" s="66">
        <v>4.0</v>
      </c>
      <c r="I476" s="66">
        <v>9.0</v>
      </c>
      <c r="J476" s="24" t="s">
        <v>39</v>
      </c>
      <c r="K476" s="67">
        <v>111821.0</v>
      </c>
      <c r="L476" s="59"/>
      <c r="M476" s="59"/>
      <c r="N476" s="59"/>
      <c r="O476" s="59"/>
      <c r="P476" s="59"/>
      <c r="Q476" s="59"/>
      <c r="R476" s="59"/>
    </row>
    <row r="477">
      <c r="A477" s="66" t="s">
        <v>1687</v>
      </c>
      <c r="B477" s="66">
        <v>35.0</v>
      </c>
      <c r="C477" s="66">
        <v>40.0</v>
      </c>
      <c r="D477" s="24" t="s">
        <v>1688</v>
      </c>
      <c r="E477" s="24" t="s">
        <v>62</v>
      </c>
      <c r="F477" s="66" t="s">
        <v>1689</v>
      </c>
      <c r="G477" s="66">
        <v>71.0</v>
      </c>
      <c r="H477" s="66">
        <v>5.0</v>
      </c>
      <c r="I477" s="66">
        <v>5.0</v>
      </c>
      <c r="J477" s="24" t="s">
        <v>29</v>
      </c>
      <c r="K477" s="67">
        <v>112313.0</v>
      </c>
      <c r="L477" s="59"/>
      <c r="M477" s="59"/>
      <c r="N477" s="59"/>
      <c r="O477" s="59"/>
      <c r="P477" s="59"/>
      <c r="Q477" s="59"/>
      <c r="R477" s="59"/>
    </row>
    <row r="478">
      <c r="A478" s="66" t="s">
        <v>1690</v>
      </c>
      <c r="B478" s="66">
        <v>45.0</v>
      </c>
      <c r="C478" s="66">
        <v>16.0</v>
      </c>
      <c r="D478" s="24" t="s">
        <v>798</v>
      </c>
      <c r="E478" s="24" t="s">
        <v>151</v>
      </c>
      <c r="F478" s="66" t="s">
        <v>1691</v>
      </c>
      <c r="G478" s="66">
        <v>71.0</v>
      </c>
      <c r="H478" s="66">
        <v>5.0</v>
      </c>
      <c r="I478" s="66">
        <v>9.0</v>
      </c>
      <c r="J478" s="24" t="s">
        <v>39</v>
      </c>
      <c r="K478" s="67">
        <v>10313.0</v>
      </c>
      <c r="L478" s="59"/>
      <c r="M478" s="59"/>
      <c r="N478" s="59"/>
      <c r="O478" s="59"/>
      <c r="P478" s="59"/>
      <c r="Q478" s="59"/>
      <c r="R478" s="59"/>
    </row>
    <row r="479">
      <c r="A479" s="66" t="s">
        <v>1692</v>
      </c>
      <c r="B479" s="66">
        <v>10.0</v>
      </c>
      <c r="C479" s="66">
        <v>18.0</v>
      </c>
      <c r="D479" s="24" t="s">
        <v>232</v>
      </c>
      <c r="E479" s="24" t="s">
        <v>794</v>
      </c>
      <c r="F479" s="66" t="s">
        <v>1693</v>
      </c>
      <c r="G479" s="66">
        <v>51.0</v>
      </c>
      <c r="H479" s="66">
        <v>1.0</v>
      </c>
      <c r="I479" s="66">
        <v>6.0</v>
      </c>
      <c r="J479" s="24" t="s">
        <v>33</v>
      </c>
      <c r="K479" s="67">
        <v>91322.0</v>
      </c>
      <c r="L479" s="59"/>
      <c r="M479" s="59"/>
      <c r="N479" s="59"/>
      <c r="O479" s="59"/>
      <c r="P479" s="59"/>
      <c r="Q479" s="59"/>
      <c r="R479" s="59"/>
    </row>
    <row r="480">
      <c r="A480" s="66" t="s">
        <v>1694</v>
      </c>
      <c r="B480" s="66">
        <v>31.0</v>
      </c>
      <c r="C480" s="66">
        <v>49.0</v>
      </c>
      <c r="D480" s="24" t="s">
        <v>1442</v>
      </c>
      <c r="E480" s="24" t="s">
        <v>1181</v>
      </c>
      <c r="F480" s="66" t="s">
        <v>1695</v>
      </c>
      <c r="G480" s="66">
        <v>71.0</v>
      </c>
      <c r="H480" s="66">
        <v>6.0</v>
      </c>
      <c r="I480" s="66">
        <v>4.0</v>
      </c>
      <c r="J480" s="24" t="s">
        <v>39</v>
      </c>
      <c r="K480" s="67">
        <v>30720.0</v>
      </c>
      <c r="L480" s="59"/>
      <c r="M480" s="59"/>
      <c r="N480" s="59"/>
      <c r="O480" s="59"/>
      <c r="P480" s="59"/>
      <c r="Q480" s="59"/>
      <c r="R480" s="59"/>
    </row>
    <row r="481">
      <c r="A481" s="66" t="s">
        <v>1696</v>
      </c>
      <c r="B481" s="66">
        <v>45.0</v>
      </c>
      <c r="C481" s="66">
        <v>87.0</v>
      </c>
      <c r="D481" s="24" t="s">
        <v>976</v>
      </c>
      <c r="E481" s="24" t="s">
        <v>277</v>
      </c>
      <c r="F481" s="66" t="s">
        <v>1697</v>
      </c>
      <c r="G481" s="66">
        <v>71.0</v>
      </c>
      <c r="H481" s="66">
        <v>7.0</v>
      </c>
      <c r="I481" s="66">
        <v>5.0</v>
      </c>
      <c r="J481" s="24" t="s">
        <v>48</v>
      </c>
      <c r="K481" s="67">
        <v>91419.0</v>
      </c>
      <c r="L481" s="59"/>
      <c r="M481" s="59"/>
      <c r="N481" s="59"/>
      <c r="O481" s="59"/>
      <c r="P481" s="59"/>
      <c r="Q481" s="59"/>
      <c r="R481" s="59"/>
    </row>
    <row r="482">
      <c r="A482" s="66" t="s">
        <v>1698</v>
      </c>
      <c r="B482" s="66">
        <v>74.0</v>
      </c>
      <c r="C482" s="66">
        <v>44.0</v>
      </c>
      <c r="D482" s="24" t="s">
        <v>438</v>
      </c>
      <c r="E482" s="24" t="s">
        <v>477</v>
      </c>
      <c r="F482" s="66" t="s">
        <v>1699</v>
      </c>
      <c r="G482" s="66">
        <v>92.0</v>
      </c>
      <c r="H482" s="66">
        <v>2.0</v>
      </c>
      <c r="I482" s="66">
        <v>9.0</v>
      </c>
      <c r="J482" s="24" t="s">
        <v>48</v>
      </c>
      <c r="K482" s="67">
        <v>102020.0</v>
      </c>
      <c r="L482" s="59"/>
      <c r="M482" s="59"/>
      <c r="N482" s="59"/>
      <c r="O482" s="59"/>
      <c r="P482" s="59"/>
      <c r="Q482" s="59"/>
      <c r="R482" s="59"/>
    </row>
    <row r="483">
      <c r="A483" s="66" t="s">
        <v>1700</v>
      </c>
      <c r="B483" s="66">
        <v>10.0</v>
      </c>
      <c r="C483" s="66">
        <v>78.0</v>
      </c>
      <c r="D483" s="24" t="s">
        <v>487</v>
      </c>
      <c r="E483" s="24" t="s">
        <v>85</v>
      </c>
      <c r="F483" s="66" t="s">
        <v>1701</v>
      </c>
      <c r="G483" s="66">
        <v>71.0</v>
      </c>
      <c r="H483" s="66">
        <v>8.0</v>
      </c>
      <c r="I483" s="66">
        <v>1.0</v>
      </c>
      <c r="J483" s="24" t="s">
        <v>33</v>
      </c>
      <c r="K483" s="67">
        <v>121517.0</v>
      </c>
      <c r="L483" s="59"/>
      <c r="M483" s="59"/>
      <c r="N483" s="59"/>
      <c r="O483" s="59"/>
      <c r="P483" s="59"/>
      <c r="Q483" s="59"/>
      <c r="R483" s="59"/>
    </row>
    <row r="484">
      <c r="A484" s="66" t="s">
        <v>1702</v>
      </c>
      <c r="B484" s="66">
        <v>30.0</v>
      </c>
      <c r="C484" s="66">
        <v>19.0</v>
      </c>
      <c r="D484" s="24" t="s">
        <v>109</v>
      </c>
      <c r="E484" s="24" t="s">
        <v>81</v>
      </c>
      <c r="F484" s="66" t="s">
        <v>1703</v>
      </c>
      <c r="G484" s="66">
        <v>71.0</v>
      </c>
      <c r="H484" s="66">
        <v>8.0</v>
      </c>
      <c r="I484" s="66">
        <v>5.0</v>
      </c>
      <c r="J484" s="24" t="s">
        <v>31</v>
      </c>
      <c r="K484" s="67">
        <v>80817.0</v>
      </c>
      <c r="L484" s="59"/>
      <c r="M484" s="59"/>
      <c r="N484" s="59"/>
      <c r="O484" s="59"/>
      <c r="P484" s="59"/>
      <c r="Q484" s="59"/>
      <c r="R484" s="59"/>
    </row>
    <row r="485">
      <c r="A485" s="66" t="s">
        <v>1704</v>
      </c>
      <c r="B485" s="66">
        <v>94.0</v>
      </c>
      <c r="C485" s="66">
        <v>39.0</v>
      </c>
      <c r="D485" s="24" t="s">
        <v>301</v>
      </c>
      <c r="E485" s="24" t="s">
        <v>56</v>
      </c>
      <c r="F485" s="66" t="s">
        <v>1705</v>
      </c>
      <c r="G485" s="66">
        <v>71.0</v>
      </c>
      <c r="H485" s="66">
        <v>8.0</v>
      </c>
      <c r="I485" s="66">
        <v>9.0</v>
      </c>
      <c r="J485" s="24" t="s">
        <v>33</v>
      </c>
      <c r="K485" s="67">
        <v>112313.0</v>
      </c>
      <c r="L485" s="59"/>
      <c r="M485" s="59"/>
      <c r="N485" s="59"/>
      <c r="O485" s="59"/>
      <c r="P485" s="59"/>
      <c r="Q485" s="59"/>
      <c r="R485" s="59"/>
    </row>
    <row r="486">
      <c r="A486" s="66" t="s">
        <v>1706</v>
      </c>
      <c r="B486" s="66">
        <v>70.0</v>
      </c>
      <c r="C486" s="66">
        <v>11.0</v>
      </c>
      <c r="D486" s="24" t="s">
        <v>82</v>
      </c>
      <c r="E486" s="24" t="s">
        <v>295</v>
      </c>
      <c r="F486" s="66" t="s">
        <v>1707</v>
      </c>
      <c r="G486" s="66">
        <v>51.0</v>
      </c>
      <c r="H486" s="66">
        <v>4.0</v>
      </c>
      <c r="I486" s="66">
        <v>3.0</v>
      </c>
      <c r="J486" s="24" t="s">
        <v>29</v>
      </c>
      <c r="K486" s="67">
        <v>91113.0</v>
      </c>
      <c r="L486" s="59"/>
      <c r="M486" s="59"/>
      <c r="N486" s="59"/>
      <c r="O486" s="59"/>
      <c r="P486" s="59"/>
      <c r="Q486" s="59"/>
      <c r="R486" s="59"/>
    </row>
    <row r="487">
      <c r="A487" s="66" t="s">
        <v>1708</v>
      </c>
      <c r="B487" s="66">
        <v>73.0</v>
      </c>
      <c r="C487" s="66">
        <v>51.0</v>
      </c>
      <c r="D487" s="24" t="s">
        <v>87</v>
      </c>
      <c r="E487" s="24" t="s">
        <v>1196</v>
      </c>
      <c r="F487" s="66" t="s">
        <v>1709</v>
      </c>
      <c r="G487" s="66">
        <v>51.0</v>
      </c>
      <c r="H487" s="66">
        <v>5.0</v>
      </c>
      <c r="I487" s="66">
        <v>4.0</v>
      </c>
      <c r="J487" s="24" t="s">
        <v>39</v>
      </c>
      <c r="K487" s="67">
        <v>102015.0</v>
      </c>
      <c r="L487" s="59"/>
      <c r="M487" s="59"/>
      <c r="N487" s="59"/>
      <c r="O487" s="59"/>
      <c r="P487" s="59"/>
      <c r="Q487" s="59"/>
      <c r="R487" s="59"/>
    </row>
    <row r="488">
      <c r="A488" s="66" t="s">
        <v>1710</v>
      </c>
      <c r="B488" s="66">
        <v>79.0</v>
      </c>
      <c r="C488" s="66">
        <v>29.0</v>
      </c>
      <c r="D488" s="24" t="s">
        <v>816</v>
      </c>
      <c r="E488" s="24" t="s">
        <v>884</v>
      </c>
      <c r="F488" s="66" t="s">
        <v>1711</v>
      </c>
      <c r="G488" s="66">
        <v>51.0</v>
      </c>
      <c r="H488" s="66">
        <v>6.0</v>
      </c>
      <c r="I488" s="66">
        <v>4.0</v>
      </c>
      <c r="J488" s="24" t="s">
        <v>48</v>
      </c>
      <c r="K488" s="67">
        <v>70923.0</v>
      </c>
      <c r="L488" s="59"/>
      <c r="M488" s="59"/>
      <c r="N488" s="59"/>
      <c r="O488" s="59"/>
      <c r="P488" s="59"/>
      <c r="Q488" s="59"/>
      <c r="R488" s="59"/>
    </row>
    <row r="489">
      <c r="A489" s="66" t="s">
        <v>1712</v>
      </c>
      <c r="B489" s="66">
        <v>73.0</v>
      </c>
      <c r="C489" s="66">
        <v>21.0</v>
      </c>
      <c r="D489" s="24" t="s">
        <v>1713</v>
      </c>
      <c r="E489" s="24" t="s">
        <v>407</v>
      </c>
      <c r="F489" s="66" t="s">
        <v>1714</v>
      </c>
      <c r="G489" s="66">
        <v>51.0</v>
      </c>
      <c r="H489" s="66">
        <v>6.0</v>
      </c>
      <c r="I489" s="66">
        <v>6.0</v>
      </c>
      <c r="J489" s="24" t="s">
        <v>33</v>
      </c>
      <c r="K489" s="67">
        <v>30213.0</v>
      </c>
      <c r="L489" s="59"/>
      <c r="M489" s="59"/>
      <c r="N489" s="59"/>
      <c r="O489" s="59"/>
      <c r="P489" s="59"/>
      <c r="Q489" s="59"/>
      <c r="R489" s="59"/>
    </row>
    <row r="490">
      <c r="A490" s="66" t="s">
        <v>1715</v>
      </c>
      <c r="B490" s="66">
        <v>64.0</v>
      </c>
      <c r="C490" s="66">
        <v>88.0</v>
      </c>
      <c r="D490" s="24" t="s">
        <v>168</v>
      </c>
      <c r="E490" s="24" t="s">
        <v>464</v>
      </c>
      <c r="F490" s="66" t="s">
        <v>1716</v>
      </c>
      <c r="G490" s="66">
        <v>92.0</v>
      </c>
      <c r="H490" s="66">
        <v>6.0</v>
      </c>
      <c r="I490" s="66">
        <v>3.0</v>
      </c>
      <c r="J490" s="24" t="s">
        <v>29</v>
      </c>
      <c r="K490" s="67">
        <v>32223.0</v>
      </c>
      <c r="L490" s="59"/>
      <c r="M490" s="59"/>
      <c r="N490" s="59"/>
      <c r="O490" s="59"/>
      <c r="P490" s="59"/>
      <c r="Q490" s="59"/>
      <c r="R490" s="59"/>
    </row>
    <row r="491">
      <c r="A491" s="66" t="s">
        <v>1717</v>
      </c>
      <c r="B491" s="66">
        <v>68.0</v>
      </c>
      <c r="C491" s="66">
        <v>87.0</v>
      </c>
      <c r="D491" s="24" t="s">
        <v>254</v>
      </c>
      <c r="E491" s="24" t="s">
        <v>662</v>
      </c>
      <c r="F491" s="66" t="s">
        <v>1718</v>
      </c>
      <c r="G491" s="66">
        <v>72.0</v>
      </c>
      <c r="H491" s="66">
        <v>1.0</v>
      </c>
      <c r="I491" s="66">
        <v>4.0</v>
      </c>
      <c r="J491" s="24" t="s">
        <v>31</v>
      </c>
      <c r="K491" s="67">
        <v>81423.0</v>
      </c>
      <c r="L491" s="59"/>
      <c r="M491" s="59"/>
      <c r="N491" s="59"/>
      <c r="O491" s="59"/>
      <c r="P491" s="59"/>
      <c r="Q491" s="59"/>
      <c r="R491" s="59"/>
    </row>
    <row r="492">
      <c r="A492" s="66" t="s">
        <v>1719</v>
      </c>
      <c r="B492" s="66">
        <v>11.0</v>
      </c>
      <c r="C492" s="66">
        <v>64.0</v>
      </c>
      <c r="D492" s="24" t="s">
        <v>203</v>
      </c>
      <c r="E492" s="24" t="s">
        <v>78</v>
      </c>
      <c r="F492" s="66" t="s">
        <v>1720</v>
      </c>
      <c r="G492" s="66">
        <v>31.0</v>
      </c>
      <c r="H492" s="66">
        <v>2.0</v>
      </c>
      <c r="I492" s="66">
        <v>1.0</v>
      </c>
      <c r="J492" s="24" t="s">
        <v>33</v>
      </c>
      <c r="K492" s="67">
        <v>70716.0</v>
      </c>
      <c r="L492" s="59"/>
      <c r="M492" s="59"/>
      <c r="N492" s="59"/>
      <c r="O492" s="59"/>
      <c r="P492" s="59"/>
      <c r="Q492" s="59"/>
      <c r="R492" s="59"/>
    </row>
    <row r="493">
      <c r="A493" s="66" t="s">
        <v>1721</v>
      </c>
      <c r="B493" s="66">
        <v>77.0</v>
      </c>
      <c r="C493" s="66">
        <v>97.0</v>
      </c>
      <c r="D493" s="24" t="s">
        <v>884</v>
      </c>
      <c r="E493" s="24" t="s">
        <v>1722</v>
      </c>
      <c r="F493" s="66" t="s">
        <v>1723</v>
      </c>
      <c r="G493" s="66">
        <v>51.0</v>
      </c>
      <c r="H493" s="66">
        <v>7.0</v>
      </c>
      <c r="I493" s="66">
        <v>1.0</v>
      </c>
      <c r="J493" s="24" t="s">
        <v>29</v>
      </c>
      <c r="K493" s="67">
        <v>101917.0</v>
      </c>
      <c r="L493" s="59"/>
      <c r="M493" s="59"/>
      <c r="N493" s="59"/>
      <c r="O493" s="59"/>
      <c r="P493" s="59"/>
      <c r="Q493" s="59"/>
      <c r="R493" s="59"/>
    </row>
    <row r="494">
      <c r="A494" s="66" t="s">
        <v>1724</v>
      </c>
      <c r="B494" s="66">
        <v>10.0</v>
      </c>
      <c r="C494" s="66">
        <v>64.0</v>
      </c>
      <c r="D494" s="24" t="s">
        <v>1725</v>
      </c>
      <c r="E494" s="24" t="s">
        <v>331</v>
      </c>
      <c r="F494" s="66" t="s">
        <v>1726</v>
      </c>
      <c r="G494" s="66">
        <v>72.0</v>
      </c>
      <c r="H494" s="66">
        <v>2.0</v>
      </c>
      <c r="I494" s="66">
        <v>8.0</v>
      </c>
      <c r="J494" s="24" t="s">
        <v>39</v>
      </c>
      <c r="K494" s="67">
        <v>103022.0</v>
      </c>
      <c r="L494" s="59"/>
      <c r="M494" s="59"/>
      <c r="N494" s="59"/>
      <c r="O494" s="59"/>
      <c r="P494" s="59"/>
      <c r="Q494" s="59"/>
      <c r="R494" s="59"/>
    </row>
    <row r="495">
      <c r="A495" s="66" t="s">
        <v>1727</v>
      </c>
      <c r="B495" s="66">
        <v>36.0</v>
      </c>
      <c r="C495" s="66">
        <v>65.0</v>
      </c>
      <c r="D495" s="24" t="s">
        <v>828</v>
      </c>
      <c r="E495" s="24" t="s">
        <v>211</v>
      </c>
      <c r="F495" s="66" t="s">
        <v>1728</v>
      </c>
      <c r="G495" s="66">
        <v>51.0</v>
      </c>
      <c r="H495" s="66">
        <v>8.0</v>
      </c>
      <c r="I495" s="66">
        <v>2.0</v>
      </c>
      <c r="J495" s="24" t="s">
        <v>48</v>
      </c>
      <c r="K495" s="67">
        <v>52519.0</v>
      </c>
      <c r="L495" s="59"/>
      <c r="M495" s="59"/>
      <c r="N495" s="59"/>
      <c r="O495" s="59"/>
      <c r="P495" s="59"/>
      <c r="Q495" s="59"/>
      <c r="R495" s="59"/>
    </row>
    <row r="496">
      <c r="A496" s="66" t="s">
        <v>1729</v>
      </c>
      <c r="B496" s="66">
        <v>56.0</v>
      </c>
      <c r="C496" s="66">
        <v>16.0</v>
      </c>
      <c r="D496" s="24" t="s">
        <v>303</v>
      </c>
      <c r="E496" s="24" t="s">
        <v>237</v>
      </c>
      <c r="F496" s="66" t="s">
        <v>1730</v>
      </c>
      <c r="G496" s="66">
        <v>92.0</v>
      </c>
      <c r="H496" s="66">
        <v>7.0</v>
      </c>
      <c r="I496" s="66">
        <v>9.0</v>
      </c>
      <c r="J496" s="24" t="s">
        <v>31</v>
      </c>
      <c r="K496" s="67">
        <v>110323.0</v>
      </c>
      <c r="L496" s="59"/>
      <c r="M496" s="59"/>
      <c r="N496" s="59"/>
      <c r="O496" s="59"/>
      <c r="P496" s="59"/>
      <c r="Q496" s="59"/>
      <c r="R496" s="59"/>
    </row>
    <row r="497">
      <c r="A497" s="66" t="s">
        <v>1731</v>
      </c>
      <c r="B497" s="66">
        <v>40.0</v>
      </c>
      <c r="C497" s="66">
        <v>65.0</v>
      </c>
      <c r="D497" s="24" t="s">
        <v>421</v>
      </c>
      <c r="E497" s="24" t="s">
        <v>331</v>
      </c>
      <c r="F497" s="66" t="s">
        <v>1732</v>
      </c>
      <c r="G497" s="66">
        <v>51.0</v>
      </c>
      <c r="H497" s="66">
        <v>8.0</v>
      </c>
      <c r="I497" s="66">
        <v>4.0</v>
      </c>
      <c r="J497" s="24" t="s">
        <v>29</v>
      </c>
      <c r="K497" s="67">
        <v>30518.0</v>
      </c>
      <c r="L497" s="59"/>
      <c r="M497" s="59"/>
      <c r="N497" s="59"/>
      <c r="O497" s="59"/>
      <c r="P497" s="59"/>
      <c r="Q497" s="59"/>
      <c r="R497" s="59"/>
    </row>
    <row r="498">
      <c r="A498" s="66" t="s">
        <v>1733</v>
      </c>
      <c r="B498" s="66">
        <v>24.0</v>
      </c>
      <c r="C498" s="66">
        <v>67.0</v>
      </c>
      <c r="D498" s="24" t="s">
        <v>523</v>
      </c>
      <c r="E498" s="24" t="s">
        <v>374</v>
      </c>
      <c r="F498" s="66" t="s">
        <v>1734</v>
      </c>
      <c r="G498" s="66">
        <v>92.0</v>
      </c>
      <c r="H498" s="66">
        <v>8.0</v>
      </c>
      <c r="I498" s="66">
        <v>1.0</v>
      </c>
      <c r="J498" s="24" t="s">
        <v>33</v>
      </c>
      <c r="K498" s="67">
        <v>12115.0</v>
      </c>
      <c r="L498" s="59"/>
      <c r="M498" s="59"/>
      <c r="N498" s="59"/>
      <c r="O498" s="59"/>
      <c r="P498" s="59"/>
      <c r="Q498" s="59"/>
      <c r="R498" s="59"/>
    </row>
    <row r="499">
      <c r="A499" s="66" t="s">
        <v>1735</v>
      </c>
      <c r="B499" s="66">
        <v>41.0</v>
      </c>
      <c r="C499" s="66">
        <v>58.0</v>
      </c>
      <c r="D499" s="24" t="s">
        <v>368</v>
      </c>
      <c r="E499" s="24" t="s">
        <v>380</v>
      </c>
      <c r="F499" s="66" t="s">
        <v>1736</v>
      </c>
      <c r="G499" s="66">
        <v>51.0</v>
      </c>
      <c r="H499" s="66">
        <v>8.0</v>
      </c>
      <c r="I499" s="66">
        <v>5.0</v>
      </c>
      <c r="J499" s="24" t="s">
        <v>48</v>
      </c>
      <c r="K499" s="67">
        <v>30815.0</v>
      </c>
      <c r="L499" s="59"/>
      <c r="M499" s="59"/>
      <c r="N499" s="59"/>
      <c r="O499" s="59"/>
      <c r="P499" s="59"/>
      <c r="Q499" s="59"/>
      <c r="R499" s="59"/>
    </row>
    <row r="500">
      <c r="A500" s="66" t="s">
        <v>1737</v>
      </c>
      <c r="B500" s="66">
        <v>30.0</v>
      </c>
      <c r="C500" s="66">
        <v>68.0</v>
      </c>
      <c r="D500" s="24" t="s">
        <v>88</v>
      </c>
      <c r="E500" s="24" t="s">
        <v>244</v>
      </c>
      <c r="F500" s="66" t="s">
        <v>1738</v>
      </c>
      <c r="G500" s="66">
        <v>51.0</v>
      </c>
      <c r="H500" s="66">
        <v>8.0</v>
      </c>
      <c r="I500" s="66">
        <v>7.0</v>
      </c>
      <c r="J500" s="24" t="s">
        <v>31</v>
      </c>
      <c r="K500" s="67">
        <v>91321.0</v>
      </c>
      <c r="L500" s="59"/>
      <c r="M500" s="59"/>
      <c r="N500" s="59"/>
      <c r="O500" s="59"/>
      <c r="P500" s="59"/>
      <c r="Q500" s="59"/>
      <c r="R500" s="59"/>
    </row>
    <row r="501">
      <c r="A501" s="66" t="s">
        <v>1739</v>
      </c>
      <c r="B501" s="66">
        <v>13.0</v>
      </c>
      <c r="C501" s="66">
        <v>34.0</v>
      </c>
      <c r="D501" s="24" t="s">
        <v>1740</v>
      </c>
      <c r="E501" s="24" t="s">
        <v>536</v>
      </c>
      <c r="F501" s="66" t="s">
        <v>1741</v>
      </c>
      <c r="G501" s="66">
        <v>92.0</v>
      </c>
      <c r="H501" s="66">
        <v>8.0</v>
      </c>
      <c r="I501" s="66">
        <v>3.0</v>
      </c>
      <c r="J501" s="24" t="s">
        <v>29</v>
      </c>
      <c r="K501" s="67">
        <v>81121.0</v>
      </c>
      <c r="L501" s="59"/>
      <c r="M501" s="59"/>
      <c r="N501" s="59"/>
      <c r="O501" s="59"/>
      <c r="P501" s="59"/>
      <c r="Q501" s="59"/>
      <c r="R501" s="59"/>
    </row>
    <row r="502">
      <c r="A502" s="66" t="s">
        <v>1742</v>
      </c>
      <c r="B502" s="66">
        <v>24.0</v>
      </c>
      <c r="C502" s="66">
        <v>90.0</v>
      </c>
      <c r="D502" s="24" t="s">
        <v>166</v>
      </c>
      <c r="E502" s="24" t="s">
        <v>246</v>
      </c>
      <c r="F502" s="66" t="s">
        <v>1743</v>
      </c>
      <c r="G502" s="66">
        <v>72.0</v>
      </c>
      <c r="H502" s="66">
        <v>3.0</v>
      </c>
      <c r="I502" s="66">
        <v>6.0</v>
      </c>
      <c r="J502" s="24" t="s">
        <v>31</v>
      </c>
      <c r="K502" s="67">
        <v>111720.0</v>
      </c>
      <c r="L502" s="59"/>
      <c r="M502" s="59"/>
      <c r="N502" s="59"/>
      <c r="O502" s="59"/>
      <c r="P502" s="59"/>
      <c r="Q502" s="59"/>
      <c r="R502" s="59"/>
    </row>
    <row r="503">
      <c r="A503" s="66" t="s">
        <v>1744</v>
      </c>
      <c r="B503" s="66">
        <v>33.0</v>
      </c>
      <c r="C503" s="66">
        <v>30.0</v>
      </c>
      <c r="D503" s="24" t="s">
        <v>84</v>
      </c>
      <c r="E503" s="24" t="s">
        <v>1327</v>
      </c>
      <c r="F503" s="66" t="s">
        <v>1745</v>
      </c>
      <c r="G503" s="66">
        <v>92.0</v>
      </c>
      <c r="H503" s="66">
        <v>8.0</v>
      </c>
      <c r="I503" s="66">
        <v>2.0</v>
      </c>
      <c r="J503" s="24" t="s">
        <v>39</v>
      </c>
      <c r="K503" s="67">
        <v>42217.0</v>
      </c>
      <c r="L503" s="59"/>
      <c r="M503" s="59"/>
      <c r="N503" s="59"/>
      <c r="O503" s="59"/>
      <c r="P503" s="59"/>
      <c r="Q503" s="59"/>
      <c r="R503" s="59"/>
    </row>
    <row r="504">
      <c r="A504" s="66" t="s">
        <v>1746</v>
      </c>
      <c r="B504" s="66">
        <v>39.0</v>
      </c>
      <c r="C504" s="66">
        <v>33.0</v>
      </c>
      <c r="D504" s="24" t="s">
        <v>472</v>
      </c>
      <c r="E504" s="24" t="s">
        <v>459</v>
      </c>
      <c r="F504" s="66" t="s">
        <v>1747</v>
      </c>
      <c r="G504" s="66">
        <v>72.0</v>
      </c>
      <c r="H504" s="66">
        <v>4.0</v>
      </c>
      <c r="I504" s="66">
        <v>1.0</v>
      </c>
      <c r="J504" s="24" t="s">
        <v>31</v>
      </c>
      <c r="K504" s="67">
        <v>80518.0</v>
      </c>
      <c r="L504" s="59"/>
      <c r="M504" s="59"/>
      <c r="N504" s="59"/>
      <c r="O504" s="59"/>
      <c r="P504" s="59"/>
      <c r="Q504" s="59"/>
      <c r="R504" s="59"/>
    </row>
    <row r="505">
      <c r="A505" s="66" t="s">
        <v>1748</v>
      </c>
      <c r="B505" s="66">
        <v>26.0</v>
      </c>
      <c r="C505" s="66">
        <v>39.0</v>
      </c>
      <c r="D505" s="24" t="s">
        <v>233</v>
      </c>
      <c r="E505" s="24" t="s">
        <v>32</v>
      </c>
      <c r="F505" s="66" t="s">
        <v>1749</v>
      </c>
      <c r="G505" s="66">
        <v>51.0</v>
      </c>
      <c r="H505" s="66">
        <v>9.0</v>
      </c>
      <c r="I505" s="66">
        <v>3.0</v>
      </c>
      <c r="J505" s="24" t="s">
        <v>29</v>
      </c>
      <c r="K505" s="67">
        <v>61118.0</v>
      </c>
      <c r="L505" s="59"/>
      <c r="M505" s="59"/>
      <c r="N505" s="59"/>
      <c r="O505" s="59"/>
      <c r="P505" s="59"/>
      <c r="Q505" s="59"/>
      <c r="R505" s="59"/>
    </row>
    <row r="506">
      <c r="A506" s="66" t="s">
        <v>1750</v>
      </c>
      <c r="B506" s="66">
        <v>31.0</v>
      </c>
      <c r="C506" s="66">
        <v>82.0</v>
      </c>
      <c r="D506" s="24" t="s">
        <v>306</v>
      </c>
      <c r="E506" s="24" t="s">
        <v>97</v>
      </c>
      <c r="F506" s="66" t="s">
        <v>1751</v>
      </c>
      <c r="G506" s="66">
        <v>92.0</v>
      </c>
      <c r="H506" s="66">
        <v>8.0</v>
      </c>
      <c r="I506" s="66">
        <v>9.0</v>
      </c>
      <c r="J506" s="24" t="s">
        <v>39</v>
      </c>
      <c r="K506" s="67">
        <v>112615.0</v>
      </c>
      <c r="L506" s="59"/>
      <c r="M506" s="59"/>
      <c r="N506" s="59"/>
      <c r="O506" s="59"/>
      <c r="P506" s="59"/>
      <c r="Q506" s="59"/>
      <c r="R506" s="59"/>
    </row>
    <row r="507">
      <c r="A507" s="66" t="s">
        <v>1752</v>
      </c>
      <c r="B507" s="66">
        <v>21.0</v>
      </c>
      <c r="C507" s="66">
        <v>65.0</v>
      </c>
      <c r="D507" s="24" t="s">
        <v>276</v>
      </c>
      <c r="E507" s="24" t="s">
        <v>305</v>
      </c>
      <c r="F507" s="66" t="s">
        <v>1753</v>
      </c>
      <c r="G507" s="66">
        <v>92.0</v>
      </c>
      <c r="H507" s="66">
        <v>9.0</v>
      </c>
      <c r="I507" s="66">
        <v>2.0</v>
      </c>
      <c r="J507" s="24" t="s">
        <v>31</v>
      </c>
      <c r="K507" s="67">
        <v>72116.0</v>
      </c>
      <c r="L507" s="59"/>
      <c r="M507" s="59"/>
      <c r="N507" s="59"/>
      <c r="O507" s="59"/>
      <c r="P507" s="59"/>
      <c r="Q507" s="59"/>
      <c r="R507" s="59"/>
    </row>
    <row r="508">
      <c r="A508" s="66" t="s">
        <v>1754</v>
      </c>
      <c r="B508" s="66">
        <v>52.0</v>
      </c>
      <c r="C508" s="66">
        <v>41.0</v>
      </c>
      <c r="D508" s="24" t="s">
        <v>352</v>
      </c>
      <c r="E508" s="24" t="s">
        <v>495</v>
      </c>
      <c r="F508" s="66" t="s">
        <v>1755</v>
      </c>
      <c r="G508" s="66">
        <v>92.0</v>
      </c>
      <c r="H508" s="66">
        <v>9.0</v>
      </c>
      <c r="I508" s="66">
        <v>3.0</v>
      </c>
      <c r="J508" s="24" t="s">
        <v>39</v>
      </c>
      <c r="K508" s="67">
        <v>82313.0</v>
      </c>
      <c r="L508" s="59"/>
      <c r="M508" s="59"/>
      <c r="N508" s="59"/>
      <c r="O508" s="59"/>
      <c r="P508" s="59"/>
      <c r="Q508" s="59"/>
      <c r="R508" s="59"/>
    </row>
    <row r="509">
      <c r="A509" s="66" t="s">
        <v>1756</v>
      </c>
      <c r="B509" s="66">
        <v>39.0</v>
      </c>
      <c r="C509" s="66">
        <v>67.0</v>
      </c>
      <c r="D509" s="24" t="s">
        <v>136</v>
      </c>
      <c r="E509" s="24" t="s">
        <v>312</v>
      </c>
      <c r="F509" s="66" t="s">
        <v>1757</v>
      </c>
      <c r="G509" s="66">
        <v>51.0</v>
      </c>
      <c r="H509" s="66">
        <v>9.0</v>
      </c>
      <c r="I509" s="66">
        <v>5.0</v>
      </c>
      <c r="J509" s="24" t="s">
        <v>48</v>
      </c>
      <c r="K509" s="67">
        <v>20318.0</v>
      </c>
      <c r="L509" s="59"/>
      <c r="M509" s="59"/>
      <c r="N509" s="59"/>
      <c r="O509" s="59"/>
      <c r="P509" s="59"/>
      <c r="Q509" s="59"/>
      <c r="R509" s="59"/>
    </row>
    <row r="510">
      <c r="A510" s="66" t="s">
        <v>1758</v>
      </c>
      <c r="B510" s="66">
        <v>63.0</v>
      </c>
      <c r="C510" s="66">
        <v>16.0</v>
      </c>
      <c r="D510" s="24" t="s">
        <v>514</v>
      </c>
      <c r="E510" s="24" t="s">
        <v>1549</v>
      </c>
      <c r="F510" s="66" t="s">
        <v>1759</v>
      </c>
      <c r="G510" s="66">
        <v>72.0</v>
      </c>
      <c r="H510" s="66">
        <v>5.0</v>
      </c>
      <c r="I510" s="66">
        <v>1.0</v>
      </c>
      <c r="J510" s="24" t="s">
        <v>33</v>
      </c>
      <c r="K510" s="67">
        <v>30614.0</v>
      </c>
      <c r="L510" s="59"/>
      <c r="M510" s="59"/>
      <c r="N510" s="59"/>
      <c r="O510" s="59"/>
      <c r="P510" s="59"/>
      <c r="Q510" s="59"/>
      <c r="R510" s="59"/>
    </row>
    <row r="511">
      <c r="A511" s="66" t="s">
        <v>1760</v>
      </c>
      <c r="B511" s="66">
        <v>24.0</v>
      </c>
      <c r="C511" s="66">
        <v>94.0</v>
      </c>
      <c r="D511" s="24" t="s">
        <v>374</v>
      </c>
      <c r="E511" s="24" t="s">
        <v>367</v>
      </c>
      <c r="F511" s="66" t="s">
        <v>1761</v>
      </c>
      <c r="G511" s="66">
        <v>92.0</v>
      </c>
      <c r="H511" s="66">
        <v>9.0</v>
      </c>
      <c r="I511" s="66">
        <v>9.0</v>
      </c>
      <c r="J511" s="24" t="s">
        <v>33</v>
      </c>
      <c r="K511" s="67">
        <v>90720.0</v>
      </c>
      <c r="L511" s="59"/>
      <c r="M511" s="59"/>
      <c r="N511" s="59"/>
      <c r="O511" s="59"/>
      <c r="P511" s="59"/>
      <c r="Q511" s="59"/>
      <c r="R511" s="59"/>
    </row>
    <row r="512">
      <c r="A512" s="66" t="s">
        <v>1762</v>
      </c>
      <c r="B512" s="66">
        <v>49.0</v>
      </c>
      <c r="C512" s="66">
        <v>33.0</v>
      </c>
      <c r="D512" s="24" t="s">
        <v>364</v>
      </c>
      <c r="E512" s="24" t="s">
        <v>1099</v>
      </c>
      <c r="F512" s="66" t="s">
        <v>1763</v>
      </c>
      <c r="G512" s="66">
        <v>31.0</v>
      </c>
      <c r="H512" s="66">
        <v>5.0</v>
      </c>
      <c r="I512" s="66">
        <v>7.0</v>
      </c>
      <c r="J512" s="24" t="s">
        <v>31</v>
      </c>
      <c r="K512" s="67">
        <v>12223.0</v>
      </c>
      <c r="L512" s="59"/>
      <c r="M512" s="59"/>
      <c r="N512" s="59"/>
      <c r="O512" s="59"/>
      <c r="P512" s="59"/>
      <c r="Q512" s="59"/>
      <c r="R512" s="59"/>
    </row>
    <row r="513">
      <c r="A513" s="66" t="s">
        <v>1764</v>
      </c>
      <c r="B513" s="66">
        <v>71.0</v>
      </c>
      <c r="C513" s="66">
        <v>58.0</v>
      </c>
      <c r="D513" s="24" t="s">
        <v>509</v>
      </c>
      <c r="E513" s="24" t="s">
        <v>448</v>
      </c>
      <c r="F513" s="66" t="s">
        <v>1765</v>
      </c>
      <c r="G513" s="66">
        <v>31.0</v>
      </c>
      <c r="H513" s="66">
        <v>6.0</v>
      </c>
      <c r="I513" s="66">
        <v>2.0</v>
      </c>
      <c r="J513" s="24" t="s">
        <v>33</v>
      </c>
      <c r="K513" s="67">
        <v>42615.0</v>
      </c>
      <c r="L513" s="59"/>
      <c r="M513" s="59"/>
      <c r="N513" s="59"/>
      <c r="O513" s="59"/>
      <c r="P513" s="59"/>
      <c r="Q513" s="59"/>
      <c r="R513" s="59"/>
    </row>
    <row r="514">
      <c r="A514" s="66" t="s">
        <v>1766</v>
      </c>
      <c r="B514" s="66">
        <v>87.0</v>
      </c>
      <c r="C514" s="66">
        <v>48.0</v>
      </c>
      <c r="D514" s="24" t="s">
        <v>309</v>
      </c>
      <c r="E514" s="24" t="s">
        <v>77</v>
      </c>
      <c r="F514" s="66" t="s">
        <v>1767</v>
      </c>
      <c r="G514" s="66">
        <v>31.0</v>
      </c>
      <c r="H514" s="66">
        <v>6.0</v>
      </c>
      <c r="I514" s="66">
        <v>3.0</v>
      </c>
      <c r="J514" s="24" t="s">
        <v>39</v>
      </c>
      <c r="K514" s="67">
        <v>30516.0</v>
      </c>
      <c r="L514" s="59"/>
      <c r="M514" s="59"/>
      <c r="N514" s="59"/>
      <c r="O514" s="59"/>
      <c r="P514" s="59"/>
      <c r="Q514" s="59"/>
      <c r="R514" s="59"/>
    </row>
    <row r="515">
      <c r="A515" s="66" t="s">
        <v>1768</v>
      </c>
      <c r="B515" s="66">
        <v>65.0</v>
      </c>
      <c r="C515" s="66">
        <v>95.0</v>
      </c>
      <c r="D515" s="24" t="s">
        <v>377</v>
      </c>
      <c r="E515" s="24" t="s">
        <v>1769</v>
      </c>
      <c r="F515" s="66" t="s">
        <v>1770</v>
      </c>
      <c r="G515" s="66">
        <v>52.0</v>
      </c>
      <c r="H515" s="66">
        <v>1.0</v>
      </c>
      <c r="I515" s="66">
        <v>2.0</v>
      </c>
      <c r="J515" s="24" t="s">
        <v>29</v>
      </c>
      <c r="K515" s="67">
        <v>11619.0</v>
      </c>
      <c r="L515" s="59"/>
      <c r="M515" s="59"/>
      <c r="N515" s="59"/>
      <c r="O515" s="59"/>
      <c r="P515" s="59"/>
      <c r="Q515" s="59"/>
      <c r="R515" s="59"/>
    </row>
    <row r="516">
      <c r="A516" s="66" t="s">
        <v>1771</v>
      </c>
      <c r="B516" s="66">
        <v>50.0</v>
      </c>
      <c r="C516" s="66">
        <v>25.0</v>
      </c>
      <c r="D516" s="24" t="s">
        <v>92</v>
      </c>
      <c r="E516" s="24" t="s">
        <v>488</v>
      </c>
      <c r="F516" s="66" t="s">
        <v>1772</v>
      </c>
      <c r="G516" s="66">
        <v>52.0</v>
      </c>
      <c r="H516" s="66">
        <v>1.0</v>
      </c>
      <c r="I516" s="66">
        <v>3.0</v>
      </c>
      <c r="J516" s="24" t="s">
        <v>48</v>
      </c>
      <c r="K516" s="67">
        <v>10716.0</v>
      </c>
      <c r="L516" s="59"/>
      <c r="M516" s="59"/>
      <c r="N516" s="59"/>
      <c r="O516" s="59"/>
      <c r="P516" s="59"/>
      <c r="Q516" s="59"/>
      <c r="R516" s="59"/>
    </row>
    <row r="517">
      <c r="A517" s="66" t="s">
        <v>1773</v>
      </c>
      <c r="B517" s="66">
        <v>51.0</v>
      </c>
      <c r="C517" s="66">
        <v>51.0</v>
      </c>
      <c r="D517" s="24" t="s">
        <v>395</v>
      </c>
      <c r="E517" s="24" t="s">
        <v>267</v>
      </c>
      <c r="F517" s="66" t="s">
        <v>1774</v>
      </c>
      <c r="G517" s="66">
        <v>72.0</v>
      </c>
      <c r="H517" s="66">
        <v>6.0</v>
      </c>
      <c r="I517" s="66">
        <v>3.0</v>
      </c>
      <c r="J517" s="24" t="s">
        <v>31</v>
      </c>
      <c r="K517" s="67">
        <v>70119.0</v>
      </c>
      <c r="L517" s="59"/>
      <c r="M517" s="59"/>
      <c r="N517" s="59"/>
      <c r="O517" s="59"/>
      <c r="P517" s="59"/>
      <c r="Q517" s="59"/>
      <c r="R517" s="59"/>
    </row>
    <row r="518">
      <c r="A518" s="66" t="s">
        <v>1775</v>
      </c>
      <c r="B518" s="66">
        <v>99.0</v>
      </c>
      <c r="C518" s="66">
        <v>80.0</v>
      </c>
      <c r="D518" s="24" t="s">
        <v>98</v>
      </c>
      <c r="E518" s="24" t="s">
        <v>32</v>
      </c>
      <c r="F518" s="66" t="s">
        <v>1776</v>
      </c>
      <c r="G518" s="66">
        <v>11.0</v>
      </c>
      <c r="H518" s="66">
        <v>2.0</v>
      </c>
      <c r="I518" s="66">
        <v>1.0</v>
      </c>
      <c r="J518" s="24" t="s">
        <v>39</v>
      </c>
      <c r="K518" s="67">
        <v>122120.0</v>
      </c>
      <c r="L518" s="59"/>
      <c r="M518" s="59"/>
      <c r="N518" s="59"/>
      <c r="O518" s="59"/>
      <c r="P518" s="59"/>
      <c r="Q518" s="59"/>
      <c r="R518" s="59"/>
    </row>
    <row r="519">
      <c r="A519" s="66" t="s">
        <v>1777</v>
      </c>
      <c r="B519" s="66">
        <v>67.0</v>
      </c>
      <c r="C519" s="66">
        <v>93.0</v>
      </c>
      <c r="D519" s="24" t="s">
        <v>530</v>
      </c>
      <c r="E519" s="24" t="s">
        <v>1381</v>
      </c>
      <c r="F519" s="66" t="s">
        <v>1778</v>
      </c>
      <c r="G519" s="66">
        <v>52.0</v>
      </c>
      <c r="H519" s="66">
        <v>1.0</v>
      </c>
      <c r="I519" s="66">
        <v>7.0</v>
      </c>
      <c r="J519" s="24" t="s">
        <v>31</v>
      </c>
      <c r="K519" s="67">
        <v>30916.0</v>
      </c>
      <c r="L519" s="59"/>
      <c r="M519" s="59"/>
      <c r="N519" s="59"/>
      <c r="O519" s="59"/>
      <c r="P519" s="59"/>
      <c r="Q519" s="59"/>
      <c r="R519" s="59"/>
    </row>
    <row r="520">
      <c r="A520" s="66" t="s">
        <v>1779</v>
      </c>
      <c r="B520" s="66">
        <v>51.0</v>
      </c>
      <c r="C520" s="66">
        <v>17.0</v>
      </c>
      <c r="D520" s="24" t="s">
        <v>1780</v>
      </c>
      <c r="E520" s="24" t="s">
        <v>386</v>
      </c>
      <c r="F520" s="66" t="s">
        <v>1781</v>
      </c>
      <c r="G520" s="66">
        <v>93.0</v>
      </c>
      <c r="H520" s="66">
        <v>1.0</v>
      </c>
      <c r="I520" s="66">
        <v>6.0</v>
      </c>
      <c r="J520" s="24" t="s">
        <v>31</v>
      </c>
      <c r="K520" s="67">
        <v>100115.0</v>
      </c>
      <c r="L520" s="59"/>
      <c r="M520" s="59"/>
      <c r="N520" s="59"/>
      <c r="O520" s="59"/>
      <c r="P520" s="59"/>
      <c r="Q520" s="59"/>
      <c r="R520" s="59"/>
    </row>
    <row r="521">
      <c r="A521" s="66" t="s">
        <v>1782</v>
      </c>
      <c r="B521" s="66">
        <v>14.0</v>
      </c>
      <c r="C521" s="66">
        <v>75.0</v>
      </c>
      <c r="D521" s="24" t="s">
        <v>424</v>
      </c>
      <c r="E521" s="24" t="s">
        <v>302</v>
      </c>
      <c r="F521" s="66" t="s">
        <v>1783</v>
      </c>
      <c r="G521" s="66">
        <v>11.0</v>
      </c>
      <c r="H521" s="66">
        <v>2.0</v>
      </c>
      <c r="I521" s="66">
        <v>4.0</v>
      </c>
      <c r="J521" s="24" t="s">
        <v>31</v>
      </c>
      <c r="K521" s="67">
        <v>62913.0</v>
      </c>
      <c r="L521" s="59"/>
      <c r="M521" s="59"/>
      <c r="N521" s="59"/>
      <c r="O521" s="59"/>
      <c r="P521" s="59"/>
      <c r="Q521" s="59"/>
      <c r="R521" s="59"/>
    </row>
    <row r="522">
      <c r="A522" s="66" t="s">
        <v>1784</v>
      </c>
      <c r="B522" s="66">
        <v>12.0</v>
      </c>
      <c r="C522" s="66">
        <v>70.0</v>
      </c>
      <c r="D522" s="24" t="s">
        <v>530</v>
      </c>
      <c r="E522" s="24" t="s">
        <v>785</v>
      </c>
      <c r="F522" s="66" t="s">
        <v>1785</v>
      </c>
      <c r="G522" s="66">
        <v>52.0</v>
      </c>
      <c r="H522" s="66">
        <v>2.0</v>
      </c>
      <c r="I522" s="66">
        <v>1.0</v>
      </c>
      <c r="J522" s="24" t="s">
        <v>48</v>
      </c>
      <c r="K522" s="67">
        <v>111818.0</v>
      </c>
      <c r="L522" s="59"/>
      <c r="M522" s="59"/>
      <c r="N522" s="59"/>
      <c r="O522" s="59"/>
      <c r="P522" s="59"/>
      <c r="Q522" s="59"/>
      <c r="R522" s="59"/>
    </row>
    <row r="523">
      <c r="A523" s="66" t="s">
        <v>1786</v>
      </c>
      <c r="B523" s="66">
        <v>25.0</v>
      </c>
      <c r="C523" s="66">
        <v>45.0</v>
      </c>
      <c r="D523" s="24" t="s">
        <v>346</v>
      </c>
      <c r="E523" s="24" t="s">
        <v>669</v>
      </c>
      <c r="F523" s="66" t="s">
        <v>1787</v>
      </c>
      <c r="G523" s="66">
        <v>93.0</v>
      </c>
      <c r="H523" s="66">
        <v>1.0</v>
      </c>
      <c r="I523" s="66">
        <v>8.0</v>
      </c>
      <c r="J523" s="24" t="s">
        <v>39</v>
      </c>
      <c r="K523" s="67">
        <v>121315.0</v>
      </c>
      <c r="L523" s="59"/>
      <c r="M523" s="59"/>
      <c r="N523" s="59"/>
      <c r="O523" s="59"/>
      <c r="P523" s="59"/>
      <c r="Q523" s="59"/>
      <c r="R523" s="59"/>
    </row>
    <row r="524">
      <c r="A524" s="66" t="s">
        <v>1788</v>
      </c>
      <c r="B524" s="66">
        <v>41.0</v>
      </c>
      <c r="C524" s="66">
        <v>62.0</v>
      </c>
      <c r="D524" s="24" t="s">
        <v>218</v>
      </c>
      <c r="E524" s="24" t="s">
        <v>87</v>
      </c>
      <c r="F524" s="66" t="s">
        <v>1789</v>
      </c>
      <c r="G524" s="66">
        <v>31.0</v>
      </c>
      <c r="H524" s="66">
        <v>7.0</v>
      </c>
      <c r="I524" s="66">
        <v>6.0</v>
      </c>
      <c r="J524" s="24" t="s">
        <v>33</v>
      </c>
      <c r="K524" s="67">
        <v>10813.0</v>
      </c>
      <c r="L524" s="59"/>
      <c r="M524" s="59"/>
      <c r="N524" s="59"/>
      <c r="O524" s="59"/>
      <c r="P524" s="59"/>
      <c r="Q524" s="59"/>
      <c r="R524" s="59"/>
    </row>
    <row r="525">
      <c r="A525" s="66" t="s">
        <v>1790</v>
      </c>
      <c r="B525" s="66">
        <v>86.0</v>
      </c>
      <c r="C525" s="66">
        <v>20.0</v>
      </c>
      <c r="D525" s="24" t="s">
        <v>476</v>
      </c>
      <c r="E525" s="24" t="s">
        <v>452</v>
      </c>
      <c r="F525" s="66" t="s">
        <v>1791</v>
      </c>
      <c r="G525" s="66">
        <v>93.0</v>
      </c>
      <c r="H525" s="66">
        <v>2.0</v>
      </c>
      <c r="I525" s="66">
        <v>5.0</v>
      </c>
      <c r="J525" s="24" t="s">
        <v>33</v>
      </c>
      <c r="K525" s="67">
        <v>110318.0</v>
      </c>
      <c r="L525" s="59"/>
      <c r="M525" s="59"/>
      <c r="N525" s="59"/>
      <c r="O525" s="59"/>
      <c r="P525" s="59"/>
      <c r="Q525" s="59"/>
      <c r="R525" s="59"/>
    </row>
    <row r="526">
      <c r="A526" s="66" t="s">
        <v>1792</v>
      </c>
      <c r="B526" s="66">
        <v>44.0</v>
      </c>
      <c r="C526" s="66">
        <v>38.0</v>
      </c>
      <c r="D526" s="24" t="s">
        <v>646</v>
      </c>
      <c r="E526" s="24" t="s">
        <v>370</v>
      </c>
      <c r="F526" s="66" t="s">
        <v>1793</v>
      </c>
      <c r="G526" s="66">
        <v>72.0</v>
      </c>
      <c r="H526" s="66">
        <v>7.0</v>
      </c>
      <c r="I526" s="66">
        <v>8.0</v>
      </c>
      <c r="J526" s="24" t="s">
        <v>33</v>
      </c>
      <c r="K526" s="67">
        <v>62619.0</v>
      </c>
      <c r="L526" s="59"/>
      <c r="M526" s="59"/>
      <c r="N526" s="59"/>
      <c r="O526" s="59"/>
      <c r="P526" s="59"/>
      <c r="Q526" s="59"/>
      <c r="R526" s="59"/>
    </row>
    <row r="527">
      <c r="A527" s="66" t="s">
        <v>1794</v>
      </c>
      <c r="B527" s="66">
        <v>97.0</v>
      </c>
      <c r="C527" s="66">
        <v>10.0</v>
      </c>
      <c r="D527" s="24" t="s">
        <v>411</v>
      </c>
      <c r="E527" s="24" t="s">
        <v>208</v>
      </c>
      <c r="F527" s="66" t="s">
        <v>1795</v>
      </c>
      <c r="G527" s="66">
        <v>52.0</v>
      </c>
      <c r="H527" s="66">
        <v>2.0</v>
      </c>
      <c r="I527" s="66">
        <v>9.0</v>
      </c>
      <c r="J527" s="24" t="s">
        <v>48</v>
      </c>
      <c r="K527" s="67">
        <v>81215.0</v>
      </c>
      <c r="L527" s="59"/>
      <c r="M527" s="59"/>
      <c r="N527" s="59"/>
      <c r="O527" s="59"/>
      <c r="P527" s="59"/>
      <c r="Q527" s="59"/>
      <c r="R527" s="59"/>
    </row>
    <row r="528">
      <c r="A528" s="66" t="s">
        <v>1796</v>
      </c>
      <c r="B528" s="66">
        <v>80.0</v>
      </c>
      <c r="C528" s="66">
        <v>64.0</v>
      </c>
      <c r="D528" s="24" t="s">
        <v>1797</v>
      </c>
      <c r="E528" s="24" t="s">
        <v>649</v>
      </c>
      <c r="F528" s="66" t="s">
        <v>1798</v>
      </c>
      <c r="G528" s="66">
        <v>11.0</v>
      </c>
      <c r="H528" s="66">
        <v>3.0</v>
      </c>
      <c r="I528" s="66">
        <v>6.0</v>
      </c>
      <c r="J528" s="24" t="s">
        <v>48</v>
      </c>
      <c r="K528" s="67">
        <v>102822.0</v>
      </c>
      <c r="L528" s="59"/>
      <c r="M528" s="59"/>
      <c r="N528" s="59"/>
      <c r="O528" s="59"/>
      <c r="P528" s="59"/>
      <c r="Q528" s="59"/>
      <c r="R528" s="59"/>
    </row>
    <row r="529">
      <c r="A529" s="66" t="s">
        <v>1799</v>
      </c>
      <c r="B529" s="66">
        <v>93.0</v>
      </c>
      <c r="C529" s="66">
        <v>74.0</v>
      </c>
      <c r="D529" s="24" t="s">
        <v>241</v>
      </c>
      <c r="E529" s="24" t="s">
        <v>522</v>
      </c>
      <c r="F529" s="66" t="s">
        <v>1800</v>
      </c>
      <c r="G529" s="66">
        <v>72.0</v>
      </c>
      <c r="H529" s="66">
        <v>8.0</v>
      </c>
      <c r="I529" s="66">
        <v>1.0</v>
      </c>
      <c r="J529" s="24" t="s">
        <v>31</v>
      </c>
      <c r="K529" s="67">
        <v>92123.0</v>
      </c>
      <c r="L529" s="59"/>
      <c r="M529" s="59"/>
      <c r="N529" s="59"/>
      <c r="O529" s="59"/>
      <c r="P529" s="59"/>
      <c r="Q529" s="59"/>
      <c r="R529" s="59"/>
    </row>
    <row r="530">
      <c r="A530" s="66" t="s">
        <v>1801</v>
      </c>
      <c r="B530" s="66">
        <v>30.0</v>
      </c>
      <c r="C530" s="66">
        <v>76.0</v>
      </c>
      <c r="D530" s="24" t="s">
        <v>907</v>
      </c>
      <c r="E530" s="24" t="s">
        <v>770</v>
      </c>
      <c r="F530" s="66" t="s">
        <v>1802</v>
      </c>
      <c r="G530" s="66">
        <v>11.0</v>
      </c>
      <c r="H530" s="66">
        <v>3.0</v>
      </c>
      <c r="I530" s="66">
        <v>9.0</v>
      </c>
      <c r="J530" s="24" t="s">
        <v>31</v>
      </c>
      <c r="K530" s="67">
        <v>60119.0</v>
      </c>
      <c r="L530" s="59"/>
      <c r="M530" s="59"/>
      <c r="N530" s="59"/>
      <c r="O530" s="59"/>
      <c r="P530" s="59"/>
      <c r="Q530" s="59"/>
      <c r="R530" s="59"/>
    </row>
    <row r="531">
      <c r="A531" s="66" t="s">
        <v>1803</v>
      </c>
      <c r="B531" s="66">
        <v>76.0</v>
      </c>
      <c r="C531" s="66">
        <v>12.0</v>
      </c>
      <c r="D531" s="24" t="s">
        <v>253</v>
      </c>
      <c r="E531" s="24" t="s">
        <v>183</v>
      </c>
      <c r="F531" s="66" t="s">
        <v>1804</v>
      </c>
      <c r="G531" s="66">
        <v>11.0</v>
      </c>
      <c r="H531" s="66">
        <v>4.0</v>
      </c>
      <c r="I531" s="66">
        <v>3.0</v>
      </c>
      <c r="J531" s="24" t="s">
        <v>29</v>
      </c>
      <c r="K531" s="67">
        <v>112917.0</v>
      </c>
      <c r="L531" s="59"/>
      <c r="M531" s="59"/>
      <c r="N531" s="59"/>
      <c r="O531" s="59"/>
      <c r="P531" s="59"/>
      <c r="Q531" s="59"/>
      <c r="R531" s="59"/>
    </row>
    <row r="532">
      <c r="A532" s="66" t="s">
        <v>1805</v>
      </c>
      <c r="B532" s="66">
        <v>44.0</v>
      </c>
      <c r="C532" s="66">
        <v>12.0</v>
      </c>
      <c r="D532" s="24" t="s">
        <v>907</v>
      </c>
      <c r="E532" s="24" t="s">
        <v>659</v>
      </c>
      <c r="F532" s="66" t="s">
        <v>1806</v>
      </c>
      <c r="G532" s="66">
        <v>31.0</v>
      </c>
      <c r="H532" s="66">
        <v>9.0</v>
      </c>
      <c r="I532" s="66">
        <v>2.0</v>
      </c>
      <c r="J532" s="24" t="s">
        <v>33</v>
      </c>
      <c r="K532" s="67">
        <v>71122.0</v>
      </c>
      <c r="L532" s="59"/>
      <c r="M532" s="59"/>
      <c r="N532" s="59"/>
      <c r="O532" s="59"/>
      <c r="P532" s="59"/>
      <c r="Q532" s="59"/>
      <c r="R532" s="59"/>
    </row>
    <row r="533">
      <c r="A533" s="66" t="s">
        <v>1807</v>
      </c>
      <c r="B533" s="66">
        <v>33.0</v>
      </c>
      <c r="C533" s="66">
        <v>27.0</v>
      </c>
      <c r="D533" s="24" t="s">
        <v>427</v>
      </c>
      <c r="E533" s="24" t="s">
        <v>326</v>
      </c>
      <c r="F533" s="66">
        <v>7617.0</v>
      </c>
      <c r="G533" s="66">
        <v>72.0</v>
      </c>
      <c r="H533" s="66">
        <v>9.0</v>
      </c>
      <c r="I533" s="66">
        <v>2.0</v>
      </c>
      <c r="J533" s="24" t="s">
        <v>39</v>
      </c>
      <c r="K533" s="67">
        <v>12723.0</v>
      </c>
      <c r="L533" s="59"/>
      <c r="M533" s="59"/>
      <c r="N533" s="59"/>
      <c r="O533" s="59"/>
      <c r="P533" s="59"/>
      <c r="Q533" s="59"/>
      <c r="R533" s="59"/>
    </row>
    <row r="534">
      <c r="A534" s="66" t="s">
        <v>1808</v>
      </c>
      <c r="B534" s="66">
        <v>32.0</v>
      </c>
      <c r="C534" s="66">
        <v>21.0</v>
      </c>
      <c r="D534" s="24" t="s">
        <v>226</v>
      </c>
      <c r="E534" s="24" t="s">
        <v>233</v>
      </c>
      <c r="F534" s="66" t="s">
        <v>1809</v>
      </c>
      <c r="G534" s="66">
        <v>31.0</v>
      </c>
      <c r="H534" s="66">
        <v>9.0</v>
      </c>
      <c r="I534" s="66">
        <v>8.0</v>
      </c>
      <c r="J534" s="24" t="s">
        <v>39</v>
      </c>
      <c r="K534" s="67">
        <v>10919.0</v>
      </c>
      <c r="L534" s="59"/>
      <c r="M534" s="59"/>
      <c r="N534" s="59"/>
      <c r="O534" s="59"/>
      <c r="P534" s="59"/>
      <c r="Q534" s="59"/>
      <c r="R534" s="59"/>
    </row>
    <row r="535">
      <c r="A535" s="66" t="s">
        <v>1810</v>
      </c>
      <c r="B535" s="66">
        <v>44.0</v>
      </c>
      <c r="C535" s="66">
        <v>75.0</v>
      </c>
      <c r="D535" s="24" t="s">
        <v>872</v>
      </c>
      <c r="E535" s="24" t="s">
        <v>519</v>
      </c>
      <c r="F535" s="66" t="s">
        <v>1811</v>
      </c>
      <c r="G535" s="66">
        <v>72.0</v>
      </c>
      <c r="H535" s="66">
        <v>9.0</v>
      </c>
      <c r="I535" s="66">
        <v>5.0</v>
      </c>
      <c r="J535" s="24" t="s">
        <v>39</v>
      </c>
      <c r="K535" s="67">
        <v>41018.0</v>
      </c>
      <c r="L535" s="59"/>
      <c r="M535" s="59"/>
      <c r="N535" s="59"/>
      <c r="O535" s="59"/>
      <c r="P535" s="59"/>
      <c r="Q535" s="59"/>
      <c r="R535" s="59"/>
    </row>
    <row r="536">
      <c r="A536" s="66" t="s">
        <v>1812</v>
      </c>
      <c r="B536" s="66">
        <v>17.0</v>
      </c>
      <c r="C536" s="66">
        <v>95.0</v>
      </c>
      <c r="D536" s="24" t="s">
        <v>200</v>
      </c>
      <c r="E536" s="24" t="s">
        <v>91</v>
      </c>
      <c r="F536" s="66" t="s">
        <v>1813</v>
      </c>
      <c r="G536" s="66">
        <v>11.0</v>
      </c>
      <c r="H536" s="66">
        <v>5.0</v>
      </c>
      <c r="I536" s="66">
        <v>2.0</v>
      </c>
      <c r="J536" s="24" t="s">
        <v>31</v>
      </c>
      <c r="K536" s="67">
        <v>73115.0</v>
      </c>
      <c r="L536" s="59"/>
      <c r="M536" s="59"/>
      <c r="N536" s="59"/>
      <c r="O536" s="59"/>
      <c r="P536" s="59"/>
      <c r="Q536" s="59"/>
      <c r="R536" s="59"/>
    </row>
    <row r="537">
      <c r="A537" s="66" t="s">
        <v>1814</v>
      </c>
      <c r="B537" s="66">
        <v>95.0</v>
      </c>
      <c r="C537" s="66">
        <v>57.0</v>
      </c>
      <c r="D537" s="24" t="s">
        <v>30</v>
      </c>
      <c r="E537" s="24" t="s">
        <v>408</v>
      </c>
      <c r="F537" s="66" t="s">
        <v>1815</v>
      </c>
      <c r="G537" s="66">
        <v>11.0</v>
      </c>
      <c r="H537" s="66">
        <v>5.0</v>
      </c>
      <c r="I537" s="66">
        <v>7.0</v>
      </c>
      <c r="J537" s="24" t="s">
        <v>31</v>
      </c>
      <c r="K537" s="67">
        <v>121815.0</v>
      </c>
      <c r="L537" s="59"/>
      <c r="M537" s="59"/>
      <c r="N537" s="59"/>
      <c r="O537" s="59"/>
      <c r="P537" s="59"/>
      <c r="Q537" s="59"/>
      <c r="R537" s="59"/>
    </row>
    <row r="538">
      <c r="A538" s="66" t="s">
        <v>1816</v>
      </c>
      <c r="B538" s="66">
        <v>69.0</v>
      </c>
      <c r="C538" s="66">
        <v>82.0</v>
      </c>
      <c r="D538" s="24" t="s">
        <v>395</v>
      </c>
      <c r="E538" s="24" t="s">
        <v>348</v>
      </c>
      <c r="F538" s="66" t="s">
        <v>1817</v>
      </c>
      <c r="G538" s="66">
        <v>93.0</v>
      </c>
      <c r="H538" s="66">
        <v>5.0</v>
      </c>
      <c r="I538" s="66">
        <v>3.0</v>
      </c>
      <c r="J538" s="24" t="s">
        <v>33</v>
      </c>
      <c r="K538" s="67">
        <v>40619.0</v>
      </c>
      <c r="L538" s="59"/>
      <c r="M538" s="59"/>
      <c r="N538" s="59"/>
      <c r="O538" s="59"/>
      <c r="P538" s="59"/>
      <c r="Q538" s="59"/>
      <c r="R538" s="59"/>
    </row>
    <row r="539">
      <c r="A539" s="66" t="s">
        <v>1818</v>
      </c>
      <c r="B539" s="66">
        <v>58.0</v>
      </c>
      <c r="C539" s="66">
        <v>94.0</v>
      </c>
      <c r="D539" s="24" t="s">
        <v>536</v>
      </c>
      <c r="E539" s="24" t="s">
        <v>283</v>
      </c>
      <c r="F539" s="66" t="s">
        <v>1819</v>
      </c>
      <c r="G539" s="66">
        <v>93.0</v>
      </c>
      <c r="H539" s="66">
        <v>5.0</v>
      </c>
      <c r="I539" s="66">
        <v>4.0</v>
      </c>
      <c r="J539" s="24" t="s">
        <v>29</v>
      </c>
      <c r="K539" s="67">
        <v>80617.0</v>
      </c>
      <c r="L539" s="59"/>
      <c r="M539" s="59"/>
      <c r="N539" s="59"/>
      <c r="O539" s="59"/>
      <c r="P539" s="59"/>
      <c r="Q539" s="59"/>
      <c r="R539" s="59"/>
    </row>
    <row r="540">
      <c r="A540" s="66" t="s">
        <v>1820</v>
      </c>
      <c r="B540" s="66">
        <v>58.0</v>
      </c>
      <c r="C540" s="66">
        <v>95.0</v>
      </c>
      <c r="D540" s="24" t="s">
        <v>1245</v>
      </c>
      <c r="E540" s="24" t="s">
        <v>158</v>
      </c>
      <c r="F540" s="66" t="s">
        <v>1821</v>
      </c>
      <c r="G540" s="66">
        <v>32.0</v>
      </c>
      <c r="H540" s="66">
        <v>1.0</v>
      </c>
      <c r="I540" s="66">
        <v>1.0</v>
      </c>
      <c r="J540" s="24" t="s">
        <v>48</v>
      </c>
      <c r="K540" s="67">
        <v>50214.0</v>
      </c>
      <c r="L540" s="59"/>
      <c r="M540" s="59"/>
      <c r="N540" s="59"/>
      <c r="O540" s="59"/>
      <c r="P540" s="59"/>
      <c r="Q540" s="59"/>
      <c r="R540" s="59"/>
    </row>
    <row r="541">
      <c r="A541" s="66" t="s">
        <v>1822</v>
      </c>
      <c r="B541" s="66">
        <v>47.0</v>
      </c>
      <c r="C541" s="66">
        <v>60.0</v>
      </c>
      <c r="D541" s="24" t="s">
        <v>161</v>
      </c>
      <c r="E541" s="24" t="s">
        <v>175</v>
      </c>
      <c r="F541" s="66" t="s">
        <v>1823</v>
      </c>
      <c r="G541" s="66">
        <v>11.0</v>
      </c>
      <c r="H541" s="66">
        <v>6.0</v>
      </c>
      <c r="I541" s="66">
        <v>4.0</v>
      </c>
      <c r="J541" s="24" t="s">
        <v>31</v>
      </c>
      <c r="K541" s="67">
        <v>90320.0</v>
      </c>
      <c r="L541" s="59"/>
      <c r="M541" s="59"/>
      <c r="N541" s="59"/>
      <c r="O541" s="59"/>
      <c r="P541" s="59"/>
      <c r="Q541" s="59"/>
      <c r="R541" s="59"/>
    </row>
    <row r="542">
      <c r="A542" s="66" t="s">
        <v>1824</v>
      </c>
      <c r="B542" s="66">
        <v>93.0</v>
      </c>
      <c r="C542" s="66">
        <v>44.0</v>
      </c>
      <c r="D542" s="24" t="s">
        <v>236</v>
      </c>
      <c r="E542" s="24" t="s">
        <v>184</v>
      </c>
      <c r="F542" s="66" t="s">
        <v>1825</v>
      </c>
      <c r="G542" s="66">
        <v>93.0</v>
      </c>
      <c r="H542" s="66">
        <v>6.0</v>
      </c>
      <c r="I542" s="66">
        <v>1.0</v>
      </c>
      <c r="J542" s="24" t="s">
        <v>33</v>
      </c>
      <c r="K542" s="67">
        <v>53115.0</v>
      </c>
      <c r="L542" s="59"/>
      <c r="M542" s="59"/>
      <c r="N542" s="59"/>
      <c r="O542" s="59"/>
      <c r="P542" s="59"/>
      <c r="Q542" s="59"/>
      <c r="R542" s="59"/>
    </row>
    <row r="543">
      <c r="A543" s="66" t="s">
        <v>1826</v>
      </c>
      <c r="B543" s="66">
        <v>87.0</v>
      </c>
      <c r="C543" s="66">
        <v>61.0</v>
      </c>
      <c r="D543" s="24" t="s">
        <v>924</v>
      </c>
      <c r="E543" s="24" t="s">
        <v>1722</v>
      </c>
      <c r="F543" s="66" t="s">
        <v>1827</v>
      </c>
      <c r="G543" s="66">
        <v>73.0</v>
      </c>
      <c r="H543" s="66">
        <v>1.0</v>
      </c>
      <c r="I543" s="66">
        <v>8.0</v>
      </c>
      <c r="J543" s="24" t="s">
        <v>29</v>
      </c>
      <c r="K543" s="67">
        <v>51722.0</v>
      </c>
      <c r="L543" s="59"/>
      <c r="M543" s="59"/>
      <c r="N543" s="59"/>
      <c r="O543" s="59"/>
      <c r="P543" s="59"/>
      <c r="Q543" s="59"/>
      <c r="R543" s="59"/>
    </row>
    <row r="544">
      <c r="A544" s="66" t="s">
        <v>1828</v>
      </c>
      <c r="B544" s="66">
        <v>24.0</v>
      </c>
      <c r="C544" s="66">
        <v>65.0</v>
      </c>
      <c r="D544" s="24" t="s">
        <v>97</v>
      </c>
      <c r="E544" s="24" t="s">
        <v>35</v>
      </c>
      <c r="F544" s="66" t="s">
        <v>1829</v>
      </c>
      <c r="G544" s="66">
        <v>93.0</v>
      </c>
      <c r="H544" s="66">
        <v>6.0</v>
      </c>
      <c r="I544" s="66">
        <v>7.0</v>
      </c>
      <c r="J544" s="24" t="s">
        <v>29</v>
      </c>
      <c r="K544" s="67">
        <v>90618.0</v>
      </c>
      <c r="L544" s="59"/>
      <c r="M544" s="59"/>
      <c r="N544" s="59"/>
      <c r="O544" s="59"/>
      <c r="P544" s="59"/>
      <c r="Q544" s="59"/>
      <c r="R544" s="59"/>
    </row>
    <row r="545">
      <c r="A545" s="66" t="s">
        <v>1830</v>
      </c>
      <c r="B545" s="66">
        <v>19.0</v>
      </c>
      <c r="C545" s="66">
        <v>71.0</v>
      </c>
      <c r="D545" s="24" t="s">
        <v>295</v>
      </c>
      <c r="E545" s="24" t="s">
        <v>928</v>
      </c>
      <c r="F545" s="66" t="s">
        <v>1831</v>
      </c>
      <c r="G545" s="66">
        <v>93.0</v>
      </c>
      <c r="H545" s="66">
        <v>6.0</v>
      </c>
      <c r="I545" s="66">
        <v>8.0</v>
      </c>
      <c r="J545" s="24" t="s">
        <v>48</v>
      </c>
      <c r="K545" s="67">
        <v>111117.0</v>
      </c>
      <c r="L545" s="59"/>
      <c r="M545" s="59"/>
      <c r="N545" s="59"/>
      <c r="O545" s="59"/>
      <c r="P545" s="59"/>
      <c r="Q545" s="59"/>
      <c r="R545" s="59"/>
    </row>
    <row r="546">
      <c r="A546" s="66" t="s">
        <v>1832</v>
      </c>
      <c r="B546" s="66">
        <v>64.0</v>
      </c>
      <c r="C546" s="66">
        <v>84.0</v>
      </c>
      <c r="D546" s="24" t="s">
        <v>767</v>
      </c>
      <c r="E546" s="24" t="s">
        <v>1833</v>
      </c>
      <c r="F546" s="66" t="s">
        <v>1834</v>
      </c>
      <c r="G546" s="66">
        <v>32.0</v>
      </c>
      <c r="H546" s="66">
        <v>2.0</v>
      </c>
      <c r="I546" s="66">
        <v>6.0</v>
      </c>
      <c r="J546" s="24" t="s">
        <v>31</v>
      </c>
      <c r="K546" s="67">
        <v>72322.0</v>
      </c>
      <c r="L546" s="59"/>
      <c r="M546" s="59"/>
      <c r="N546" s="59"/>
      <c r="O546" s="59"/>
      <c r="P546" s="59"/>
      <c r="Q546" s="59"/>
      <c r="R546" s="59"/>
    </row>
    <row r="547">
      <c r="A547" s="66" t="s">
        <v>1835</v>
      </c>
      <c r="B547" s="66">
        <v>31.0</v>
      </c>
      <c r="C547" s="66">
        <v>61.0</v>
      </c>
      <c r="D547" s="24" t="s">
        <v>435</v>
      </c>
      <c r="E547" s="24" t="s">
        <v>172</v>
      </c>
      <c r="F547" s="66" t="s">
        <v>1836</v>
      </c>
      <c r="G547" s="66">
        <v>32.0</v>
      </c>
      <c r="H547" s="66">
        <v>3.0</v>
      </c>
      <c r="I547" s="66">
        <v>2.0</v>
      </c>
      <c r="J547" s="24" t="s">
        <v>48</v>
      </c>
      <c r="K547" s="67">
        <v>11815.0</v>
      </c>
      <c r="L547" s="59"/>
      <c r="M547" s="59"/>
      <c r="N547" s="59"/>
      <c r="O547" s="59"/>
      <c r="P547" s="59"/>
      <c r="Q547" s="59"/>
      <c r="R547" s="59"/>
    </row>
    <row r="548">
      <c r="A548" s="66" t="s">
        <v>1837</v>
      </c>
      <c r="B548" s="66">
        <v>97.0</v>
      </c>
      <c r="C548" s="66">
        <v>97.0</v>
      </c>
      <c r="D548" s="24" t="s">
        <v>95</v>
      </c>
      <c r="E548" s="24" t="s">
        <v>658</v>
      </c>
      <c r="F548" s="66" t="s">
        <v>1838</v>
      </c>
      <c r="G548" s="66">
        <v>11.0</v>
      </c>
      <c r="H548" s="66">
        <v>8.0</v>
      </c>
      <c r="I548" s="66">
        <v>5.0</v>
      </c>
      <c r="J548" s="24" t="s">
        <v>39</v>
      </c>
      <c r="K548" s="67">
        <v>22019.0</v>
      </c>
      <c r="L548" s="59"/>
      <c r="M548" s="59"/>
      <c r="N548" s="59"/>
      <c r="O548" s="59"/>
      <c r="P548" s="59"/>
      <c r="Q548" s="59"/>
      <c r="R548" s="59"/>
    </row>
    <row r="549">
      <c r="A549" s="66" t="s">
        <v>1839</v>
      </c>
      <c r="B549" s="66">
        <v>73.0</v>
      </c>
      <c r="C549" s="66">
        <v>97.0</v>
      </c>
      <c r="D549" s="24" t="s">
        <v>362</v>
      </c>
      <c r="E549" s="24" t="s">
        <v>256</v>
      </c>
      <c r="F549" s="66" t="s">
        <v>1840</v>
      </c>
      <c r="G549" s="66">
        <v>32.0</v>
      </c>
      <c r="H549" s="66">
        <v>3.0</v>
      </c>
      <c r="I549" s="66">
        <v>5.0</v>
      </c>
      <c r="J549" s="24" t="s">
        <v>39</v>
      </c>
      <c r="K549" s="67">
        <v>121915.0</v>
      </c>
      <c r="L549" s="59"/>
      <c r="M549" s="59"/>
      <c r="N549" s="59"/>
      <c r="O549" s="59"/>
      <c r="P549" s="59"/>
      <c r="Q549" s="59"/>
      <c r="R549" s="59"/>
    </row>
    <row r="550">
      <c r="A550" s="66" t="s">
        <v>1841</v>
      </c>
      <c r="B550" s="66">
        <v>65.0</v>
      </c>
      <c r="C550" s="66">
        <v>59.0</v>
      </c>
      <c r="D550" s="24" t="s">
        <v>46</v>
      </c>
      <c r="E550" s="24" t="s">
        <v>407</v>
      </c>
      <c r="F550" s="66" t="s">
        <v>1842</v>
      </c>
      <c r="G550" s="66">
        <v>73.0</v>
      </c>
      <c r="H550" s="66">
        <v>3.0</v>
      </c>
      <c r="I550" s="66">
        <v>3.0</v>
      </c>
      <c r="J550" s="24" t="s">
        <v>29</v>
      </c>
      <c r="K550" s="67">
        <v>71518.0</v>
      </c>
      <c r="L550" s="59"/>
      <c r="M550" s="59"/>
      <c r="N550" s="59"/>
      <c r="O550" s="59"/>
      <c r="P550" s="59"/>
      <c r="Q550" s="59"/>
      <c r="R550" s="59"/>
    </row>
    <row r="551">
      <c r="A551" s="66" t="s">
        <v>1843</v>
      </c>
      <c r="B551" s="66">
        <v>65.0</v>
      </c>
      <c r="C551" s="66">
        <v>91.0</v>
      </c>
      <c r="D551" s="24" t="s">
        <v>178</v>
      </c>
      <c r="E551" s="24" t="s">
        <v>265</v>
      </c>
      <c r="F551" s="66" t="s">
        <v>1844</v>
      </c>
      <c r="G551" s="66">
        <v>11.0</v>
      </c>
      <c r="H551" s="66">
        <v>8.0</v>
      </c>
      <c r="I551" s="66">
        <v>9.0</v>
      </c>
      <c r="J551" s="24" t="s">
        <v>29</v>
      </c>
      <c r="K551" s="67">
        <v>21013.0</v>
      </c>
      <c r="L551" s="59"/>
      <c r="M551" s="59"/>
      <c r="N551" s="59"/>
      <c r="O551" s="59"/>
      <c r="P551" s="59"/>
      <c r="Q551" s="59"/>
      <c r="R551" s="59"/>
    </row>
    <row r="552">
      <c r="A552" s="66" t="s">
        <v>1845</v>
      </c>
      <c r="B552" s="66">
        <v>72.0</v>
      </c>
      <c r="C552" s="66">
        <v>58.0</v>
      </c>
      <c r="D552" s="24" t="s">
        <v>415</v>
      </c>
      <c r="E552" s="24" t="s">
        <v>182</v>
      </c>
      <c r="F552" s="66" t="s">
        <v>1846</v>
      </c>
      <c r="G552" s="66">
        <v>52.0</v>
      </c>
      <c r="H552" s="66">
        <v>8.0</v>
      </c>
      <c r="I552" s="66">
        <v>9.0</v>
      </c>
      <c r="J552" s="24" t="s">
        <v>33</v>
      </c>
      <c r="K552" s="67">
        <v>121521.0</v>
      </c>
      <c r="L552" s="59"/>
      <c r="M552" s="59"/>
      <c r="N552" s="59"/>
      <c r="O552" s="59"/>
      <c r="P552" s="59"/>
      <c r="Q552" s="59"/>
      <c r="R552" s="59"/>
    </row>
    <row r="553">
      <c r="A553" s="66" t="s">
        <v>1847</v>
      </c>
      <c r="B553" s="66">
        <v>82.0</v>
      </c>
      <c r="C553" s="66">
        <v>55.0</v>
      </c>
      <c r="D553" s="24" t="s">
        <v>264</v>
      </c>
      <c r="E553" s="24" t="s">
        <v>284</v>
      </c>
      <c r="F553" s="66" t="s">
        <v>1848</v>
      </c>
      <c r="G553" s="66">
        <v>11.0</v>
      </c>
      <c r="H553" s="66">
        <v>9.0</v>
      </c>
      <c r="I553" s="66">
        <v>4.0</v>
      </c>
      <c r="J553" s="24" t="s">
        <v>29</v>
      </c>
      <c r="K553" s="67">
        <v>31922.0</v>
      </c>
      <c r="L553" s="59"/>
      <c r="M553" s="59"/>
      <c r="N553" s="59"/>
      <c r="O553" s="59"/>
      <c r="P553" s="59"/>
      <c r="Q553" s="59"/>
      <c r="R553" s="59"/>
    </row>
    <row r="554">
      <c r="A554" s="66" t="s">
        <v>1849</v>
      </c>
      <c r="B554" s="66">
        <v>19.0</v>
      </c>
      <c r="C554" s="66">
        <v>22.0</v>
      </c>
      <c r="D554" s="24" t="s">
        <v>186</v>
      </c>
      <c r="E554" s="24" t="s">
        <v>205</v>
      </c>
      <c r="F554" s="66" t="s">
        <v>1850</v>
      </c>
      <c r="G554" s="66">
        <v>32.0</v>
      </c>
      <c r="H554" s="66">
        <v>4.0</v>
      </c>
      <c r="I554" s="66">
        <v>3.0</v>
      </c>
      <c r="J554" s="24" t="s">
        <v>31</v>
      </c>
      <c r="K554" s="67">
        <v>22721.0</v>
      </c>
      <c r="L554" s="59"/>
      <c r="M554" s="59"/>
      <c r="N554" s="59"/>
      <c r="O554" s="59"/>
      <c r="P554" s="59"/>
      <c r="Q554" s="59"/>
      <c r="R554" s="59"/>
    </row>
    <row r="555">
      <c r="A555" s="66" t="s">
        <v>1851</v>
      </c>
      <c r="B555" s="66">
        <v>37.0</v>
      </c>
      <c r="C555" s="66">
        <v>32.0</v>
      </c>
      <c r="D555" s="24" t="s">
        <v>277</v>
      </c>
      <c r="E555" s="24" t="s">
        <v>332</v>
      </c>
      <c r="F555" s="66" t="s">
        <v>1852</v>
      </c>
      <c r="G555" s="66">
        <v>93.0</v>
      </c>
      <c r="H555" s="66">
        <v>8.0</v>
      </c>
      <c r="I555" s="66">
        <v>8.0</v>
      </c>
      <c r="J555" s="24" t="s">
        <v>48</v>
      </c>
      <c r="K555" s="67">
        <v>92419.0</v>
      </c>
      <c r="L555" s="59"/>
      <c r="M555" s="59"/>
      <c r="N555" s="59"/>
      <c r="O555" s="59"/>
      <c r="P555" s="59"/>
      <c r="Q555" s="59"/>
      <c r="R555" s="59"/>
    </row>
    <row r="556">
      <c r="A556" s="66" t="s">
        <v>1853</v>
      </c>
      <c r="B556" s="66">
        <v>95.0</v>
      </c>
      <c r="C556" s="66">
        <v>78.0</v>
      </c>
      <c r="D556" s="24" t="s">
        <v>543</v>
      </c>
      <c r="E556" s="24" t="s">
        <v>532</v>
      </c>
      <c r="F556" s="66" t="s">
        <v>1854</v>
      </c>
      <c r="G556" s="66">
        <v>32.0</v>
      </c>
      <c r="H556" s="66">
        <v>4.0</v>
      </c>
      <c r="I556" s="66">
        <v>6.0</v>
      </c>
      <c r="J556" s="24" t="s">
        <v>31</v>
      </c>
      <c r="K556" s="67">
        <v>30316.0</v>
      </c>
      <c r="L556" s="59"/>
      <c r="M556" s="59"/>
      <c r="N556" s="59"/>
      <c r="O556" s="59"/>
      <c r="P556" s="59"/>
      <c r="Q556" s="59"/>
      <c r="R556" s="59"/>
    </row>
    <row r="557">
      <c r="A557" s="66" t="s">
        <v>1855</v>
      </c>
      <c r="B557" s="66">
        <v>65.0</v>
      </c>
      <c r="C557" s="66">
        <v>88.0</v>
      </c>
      <c r="D557" s="24" t="s">
        <v>278</v>
      </c>
      <c r="E557" s="24" t="s">
        <v>391</v>
      </c>
      <c r="F557" s="66" t="s">
        <v>1856</v>
      </c>
      <c r="G557" s="66">
        <v>32.0</v>
      </c>
      <c r="H557" s="66">
        <v>4.0</v>
      </c>
      <c r="I557" s="66">
        <v>7.0</v>
      </c>
      <c r="J557" s="24" t="s">
        <v>29</v>
      </c>
      <c r="K557" s="67">
        <v>80317.0</v>
      </c>
      <c r="L557" s="59"/>
      <c r="M557" s="59"/>
      <c r="N557" s="59"/>
      <c r="O557" s="59"/>
      <c r="P557" s="59"/>
      <c r="Q557" s="59"/>
      <c r="R557" s="59"/>
    </row>
    <row r="558">
      <c r="A558" s="66" t="s">
        <v>1857</v>
      </c>
      <c r="B558" s="66">
        <v>69.0</v>
      </c>
      <c r="C558" s="66">
        <v>81.0</v>
      </c>
      <c r="D558" s="24" t="s">
        <v>1659</v>
      </c>
      <c r="E558" s="24" t="s">
        <v>276</v>
      </c>
      <c r="F558" s="66" t="s">
        <v>1858</v>
      </c>
      <c r="G558" s="66">
        <v>73.0</v>
      </c>
      <c r="H558" s="66">
        <v>4.0</v>
      </c>
      <c r="I558" s="66">
        <v>5.0</v>
      </c>
      <c r="J558" s="24" t="s">
        <v>39</v>
      </c>
      <c r="K558" s="67">
        <v>10814.0</v>
      </c>
      <c r="L558" s="59"/>
      <c r="M558" s="59"/>
      <c r="N558" s="59"/>
      <c r="O558" s="59"/>
      <c r="P558" s="59"/>
      <c r="Q558" s="59"/>
      <c r="R558" s="59"/>
    </row>
    <row r="559">
      <c r="A559" s="66" t="s">
        <v>1859</v>
      </c>
      <c r="B559" s="66">
        <v>50.0</v>
      </c>
      <c r="C559" s="66">
        <v>31.0</v>
      </c>
      <c r="D559" s="24" t="s">
        <v>211</v>
      </c>
      <c r="E559" s="24" t="s">
        <v>121</v>
      </c>
      <c r="F559" s="66" t="s">
        <v>1860</v>
      </c>
      <c r="G559" s="66">
        <v>93.0</v>
      </c>
      <c r="H559" s="66">
        <v>9.0</v>
      </c>
      <c r="I559" s="66">
        <v>4.0</v>
      </c>
      <c r="J559" s="24" t="s">
        <v>33</v>
      </c>
      <c r="K559" s="67">
        <v>122823.0</v>
      </c>
      <c r="L559" s="59"/>
      <c r="M559" s="59"/>
      <c r="N559" s="59"/>
      <c r="O559" s="59"/>
      <c r="P559" s="59"/>
      <c r="Q559" s="59"/>
      <c r="R559" s="59"/>
    </row>
    <row r="560">
      <c r="A560" s="66" t="s">
        <v>1861</v>
      </c>
      <c r="B560" s="66">
        <v>50.0</v>
      </c>
      <c r="C560" s="66">
        <v>26.0</v>
      </c>
      <c r="D560" s="24" t="s">
        <v>79</v>
      </c>
      <c r="E560" s="24" t="s">
        <v>302</v>
      </c>
      <c r="F560" s="66" t="s">
        <v>1862</v>
      </c>
      <c r="G560" s="66">
        <v>73.0</v>
      </c>
      <c r="H560" s="66">
        <v>4.0</v>
      </c>
      <c r="I560" s="66">
        <v>6.0</v>
      </c>
      <c r="J560" s="24" t="s">
        <v>48</v>
      </c>
      <c r="K560" s="67">
        <v>10220.0</v>
      </c>
      <c r="L560" s="59"/>
      <c r="M560" s="59"/>
      <c r="N560" s="59"/>
      <c r="O560" s="59"/>
      <c r="P560" s="59"/>
      <c r="Q560" s="59"/>
      <c r="R560" s="59"/>
    </row>
    <row r="561">
      <c r="A561" s="66" t="s">
        <v>1863</v>
      </c>
      <c r="B561" s="66">
        <v>84.0</v>
      </c>
      <c r="C561" s="66">
        <v>54.0</v>
      </c>
      <c r="D561" s="24" t="s">
        <v>135</v>
      </c>
      <c r="E561" s="24" t="s">
        <v>1388</v>
      </c>
      <c r="F561" s="66" t="s">
        <v>1864</v>
      </c>
      <c r="G561" s="66">
        <v>93.0</v>
      </c>
      <c r="H561" s="66">
        <v>9.0</v>
      </c>
      <c r="I561" s="66">
        <v>8.0</v>
      </c>
      <c r="J561" s="24" t="s">
        <v>39</v>
      </c>
      <c r="K561" s="67">
        <v>90821.0</v>
      </c>
      <c r="L561" s="59"/>
      <c r="M561" s="59"/>
      <c r="N561" s="59"/>
      <c r="O561" s="59"/>
      <c r="P561" s="59"/>
      <c r="Q561" s="59"/>
      <c r="R561" s="59"/>
    </row>
    <row r="562">
      <c r="A562" s="66" t="s">
        <v>1865</v>
      </c>
      <c r="B562" s="66">
        <v>50.0</v>
      </c>
      <c r="C562" s="66">
        <v>98.0</v>
      </c>
      <c r="D562" s="24" t="s">
        <v>72</v>
      </c>
      <c r="E562" s="24" t="s">
        <v>1303</v>
      </c>
      <c r="F562" s="66" t="s">
        <v>1866</v>
      </c>
      <c r="G562" s="66">
        <v>32.0</v>
      </c>
      <c r="H562" s="66">
        <v>5.0</v>
      </c>
      <c r="I562" s="66">
        <v>4.0</v>
      </c>
      <c r="J562" s="24" t="s">
        <v>33</v>
      </c>
      <c r="K562" s="67">
        <v>51022.0</v>
      </c>
      <c r="L562" s="59"/>
      <c r="M562" s="59"/>
      <c r="N562" s="59"/>
      <c r="O562" s="59"/>
      <c r="P562" s="59"/>
      <c r="Q562" s="59"/>
      <c r="R562" s="59"/>
    </row>
    <row r="563">
      <c r="A563" s="66" t="s">
        <v>1867</v>
      </c>
      <c r="B563" s="66">
        <v>62.0</v>
      </c>
      <c r="C563" s="66">
        <v>15.0</v>
      </c>
      <c r="D563" s="24" t="s">
        <v>332</v>
      </c>
      <c r="E563" s="24" t="s">
        <v>1093</v>
      </c>
      <c r="F563" s="66" t="s">
        <v>1868</v>
      </c>
      <c r="G563" s="66">
        <v>32.0</v>
      </c>
      <c r="H563" s="66">
        <v>5.0</v>
      </c>
      <c r="I563" s="66">
        <v>5.0</v>
      </c>
      <c r="J563" s="24" t="s">
        <v>33</v>
      </c>
      <c r="K563" s="67">
        <v>21323.0</v>
      </c>
      <c r="L563" s="59"/>
      <c r="M563" s="59"/>
      <c r="N563" s="59"/>
      <c r="O563" s="59"/>
      <c r="P563" s="59"/>
      <c r="Q563" s="59"/>
      <c r="R563" s="59"/>
    </row>
    <row r="564">
      <c r="A564" s="66" t="s">
        <v>1869</v>
      </c>
      <c r="B564" s="66">
        <v>67.0</v>
      </c>
      <c r="C564" s="66">
        <v>82.0</v>
      </c>
      <c r="D564" s="24" t="s">
        <v>884</v>
      </c>
      <c r="E564" s="24" t="s">
        <v>881</v>
      </c>
      <c r="F564" s="66" t="s">
        <v>1870</v>
      </c>
      <c r="G564" s="66">
        <v>73.0</v>
      </c>
      <c r="H564" s="66">
        <v>5.0</v>
      </c>
      <c r="I564" s="66">
        <v>4.0</v>
      </c>
      <c r="J564" s="24" t="s">
        <v>48</v>
      </c>
      <c r="K564" s="67">
        <v>71421.0</v>
      </c>
      <c r="L564" s="59"/>
      <c r="M564" s="59"/>
      <c r="N564" s="59"/>
      <c r="O564" s="59"/>
      <c r="P564" s="59"/>
      <c r="Q564" s="59"/>
      <c r="R564" s="59"/>
    </row>
    <row r="565">
      <c r="A565" s="66" t="s">
        <v>1871</v>
      </c>
      <c r="B565" s="66">
        <v>10.0</v>
      </c>
      <c r="C565" s="66">
        <v>42.0</v>
      </c>
      <c r="D565" s="24" t="s">
        <v>1365</v>
      </c>
      <c r="E565" s="24" t="s">
        <v>164</v>
      </c>
      <c r="F565" s="66" t="s">
        <v>1872</v>
      </c>
      <c r="G565" s="66">
        <v>73.0</v>
      </c>
      <c r="H565" s="66">
        <v>5.0</v>
      </c>
      <c r="I565" s="66">
        <v>6.0</v>
      </c>
      <c r="J565" s="24" t="s">
        <v>33</v>
      </c>
      <c r="K565" s="67">
        <v>92721.0</v>
      </c>
      <c r="L565" s="59"/>
      <c r="M565" s="59"/>
      <c r="N565" s="59"/>
      <c r="O565" s="59"/>
      <c r="P565" s="59"/>
      <c r="Q565" s="59"/>
      <c r="R565" s="59"/>
    </row>
    <row r="566">
      <c r="A566" s="66" t="s">
        <v>1873</v>
      </c>
      <c r="B566" s="66">
        <v>41.0</v>
      </c>
      <c r="C566" s="66">
        <v>10.0</v>
      </c>
      <c r="D566" s="24" t="s">
        <v>268</v>
      </c>
      <c r="E566" s="24" t="s">
        <v>364</v>
      </c>
      <c r="F566" s="66" t="s">
        <v>1874</v>
      </c>
      <c r="G566" s="66">
        <v>12.0</v>
      </c>
      <c r="H566" s="66">
        <v>1.0</v>
      </c>
      <c r="I566" s="66">
        <v>3.0</v>
      </c>
      <c r="J566" s="24" t="s">
        <v>48</v>
      </c>
      <c r="K566" s="67">
        <v>110815.0</v>
      </c>
      <c r="L566" s="59"/>
      <c r="M566" s="59"/>
      <c r="N566" s="59"/>
      <c r="O566" s="59"/>
      <c r="P566" s="59"/>
      <c r="Q566" s="59"/>
      <c r="R566" s="59"/>
    </row>
    <row r="567">
      <c r="A567" s="66" t="s">
        <v>1875</v>
      </c>
      <c r="B567" s="66">
        <v>74.0</v>
      </c>
      <c r="C567" s="66">
        <v>64.0</v>
      </c>
      <c r="D567" s="24" t="s">
        <v>221</v>
      </c>
      <c r="E567" s="24" t="s">
        <v>82</v>
      </c>
      <c r="F567" s="66" t="s">
        <v>1876</v>
      </c>
      <c r="G567" s="66">
        <v>73.0</v>
      </c>
      <c r="H567" s="66">
        <v>5.0</v>
      </c>
      <c r="I567" s="66">
        <v>7.0</v>
      </c>
      <c r="J567" s="24" t="s">
        <v>33</v>
      </c>
      <c r="K567" s="67">
        <v>42315.0</v>
      </c>
      <c r="L567" s="59"/>
      <c r="M567" s="59"/>
      <c r="N567" s="59"/>
      <c r="O567" s="59"/>
      <c r="P567" s="59"/>
      <c r="Q567" s="59"/>
      <c r="R567" s="59"/>
    </row>
    <row r="568">
      <c r="A568" s="66" t="s">
        <v>1877</v>
      </c>
      <c r="B568" s="66">
        <v>33.0</v>
      </c>
      <c r="C568" s="66">
        <v>53.0</v>
      </c>
      <c r="D568" s="24" t="s">
        <v>109</v>
      </c>
      <c r="E568" s="24" t="s">
        <v>1045</v>
      </c>
      <c r="F568" s="66" t="s">
        <v>1878</v>
      </c>
      <c r="G568" s="66">
        <v>32.0</v>
      </c>
      <c r="H568" s="66">
        <v>6.0</v>
      </c>
      <c r="I568" s="66">
        <v>3.0</v>
      </c>
      <c r="J568" s="24" t="s">
        <v>33</v>
      </c>
      <c r="K568" s="67">
        <v>30316.0</v>
      </c>
      <c r="L568" s="59"/>
      <c r="M568" s="59"/>
      <c r="N568" s="59"/>
      <c r="O568" s="59"/>
      <c r="P568" s="59"/>
      <c r="Q568" s="59"/>
      <c r="R568" s="59"/>
    </row>
    <row r="569">
      <c r="A569" s="66" t="s">
        <v>1879</v>
      </c>
      <c r="B569" s="66">
        <v>91.0</v>
      </c>
      <c r="C569" s="66">
        <v>17.0</v>
      </c>
      <c r="D569" s="24" t="s">
        <v>70</v>
      </c>
      <c r="E569" s="24" t="s">
        <v>1880</v>
      </c>
      <c r="F569" s="66" t="s">
        <v>1881</v>
      </c>
      <c r="G569" s="66">
        <v>12.0</v>
      </c>
      <c r="H569" s="66">
        <v>1.0</v>
      </c>
      <c r="I569" s="66">
        <v>7.0</v>
      </c>
      <c r="J569" s="24" t="s">
        <v>39</v>
      </c>
      <c r="K569" s="67">
        <v>62615.0</v>
      </c>
      <c r="L569" s="59"/>
      <c r="M569" s="59"/>
      <c r="N569" s="59"/>
      <c r="O569" s="59"/>
      <c r="P569" s="59"/>
      <c r="Q569" s="59"/>
      <c r="R569" s="59"/>
    </row>
    <row r="570">
      <c r="A570" s="66" t="s">
        <v>1882</v>
      </c>
      <c r="B570" s="66">
        <v>22.0</v>
      </c>
      <c r="C570" s="66">
        <v>92.0</v>
      </c>
      <c r="D570" s="24" t="s">
        <v>145</v>
      </c>
      <c r="E570" s="24" t="s">
        <v>275</v>
      </c>
      <c r="F570" s="66" t="s">
        <v>1883</v>
      </c>
      <c r="G570" s="66">
        <v>32.0</v>
      </c>
      <c r="H570" s="66">
        <v>6.0</v>
      </c>
      <c r="I570" s="66">
        <v>6.0</v>
      </c>
      <c r="J570" s="24" t="s">
        <v>48</v>
      </c>
      <c r="K570" s="67">
        <v>11420.0</v>
      </c>
      <c r="L570" s="59"/>
      <c r="M570" s="59"/>
      <c r="N570" s="59"/>
      <c r="O570" s="59"/>
      <c r="P570" s="59"/>
      <c r="Q570" s="59"/>
      <c r="R570" s="59"/>
    </row>
    <row r="571">
      <c r="A571" s="66" t="s">
        <v>1884</v>
      </c>
      <c r="B571" s="66">
        <v>13.0</v>
      </c>
      <c r="C571" s="66">
        <v>66.0</v>
      </c>
      <c r="D571" s="24" t="s">
        <v>487</v>
      </c>
      <c r="E571" s="24" t="s">
        <v>142</v>
      </c>
      <c r="F571" s="66" t="s">
        <v>1885</v>
      </c>
      <c r="G571" s="66">
        <v>12.0</v>
      </c>
      <c r="H571" s="66">
        <v>1.0</v>
      </c>
      <c r="I571" s="66">
        <v>9.0</v>
      </c>
      <c r="J571" s="24" t="s">
        <v>33</v>
      </c>
      <c r="K571" s="67">
        <v>12719.0</v>
      </c>
      <c r="L571" s="59"/>
      <c r="M571" s="59"/>
      <c r="N571" s="59"/>
      <c r="O571" s="59"/>
      <c r="P571" s="59"/>
      <c r="Q571" s="59"/>
      <c r="R571" s="59"/>
    </row>
    <row r="572">
      <c r="A572" s="66" t="s">
        <v>1886</v>
      </c>
      <c r="B572" s="66">
        <v>88.0</v>
      </c>
      <c r="C572" s="66">
        <v>60.0</v>
      </c>
      <c r="D572" s="24" t="s">
        <v>59</v>
      </c>
      <c r="E572" s="24" t="s">
        <v>246</v>
      </c>
      <c r="F572" s="66" t="s">
        <v>1887</v>
      </c>
      <c r="G572" s="66">
        <v>94.0</v>
      </c>
      <c r="H572" s="66">
        <v>1.0</v>
      </c>
      <c r="I572" s="66">
        <v>2.0</v>
      </c>
      <c r="J572" s="24" t="s">
        <v>29</v>
      </c>
      <c r="K572" s="67">
        <v>123118.0</v>
      </c>
      <c r="L572" s="59"/>
      <c r="M572" s="59"/>
      <c r="N572" s="59"/>
      <c r="O572" s="59"/>
      <c r="P572" s="59"/>
      <c r="Q572" s="59"/>
      <c r="R572" s="59"/>
    </row>
    <row r="573">
      <c r="A573" s="66" t="s">
        <v>1888</v>
      </c>
      <c r="B573" s="66">
        <v>71.0</v>
      </c>
      <c r="C573" s="66">
        <v>16.0</v>
      </c>
      <c r="D573" s="24" t="s">
        <v>521</v>
      </c>
      <c r="E573" s="24" t="s">
        <v>92</v>
      </c>
      <c r="F573" s="66" t="s">
        <v>1889</v>
      </c>
      <c r="G573" s="66">
        <v>32.0</v>
      </c>
      <c r="H573" s="66">
        <v>6.0</v>
      </c>
      <c r="I573" s="66">
        <v>9.0</v>
      </c>
      <c r="J573" s="24" t="s">
        <v>39</v>
      </c>
      <c r="K573" s="67">
        <v>32316.0</v>
      </c>
      <c r="L573" s="59"/>
      <c r="M573" s="59"/>
      <c r="N573" s="59"/>
      <c r="O573" s="59"/>
      <c r="P573" s="59"/>
      <c r="Q573" s="59"/>
      <c r="R573" s="59"/>
    </row>
    <row r="574">
      <c r="A574" s="66" t="s">
        <v>1890</v>
      </c>
      <c r="B574" s="66">
        <v>66.0</v>
      </c>
      <c r="C574" s="66">
        <v>63.0</v>
      </c>
      <c r="D574" s="24" t="s">
        <v>510</v>
      </c>
      <c r="E574" s="24" t="s">
        <v>262</v>
      </c>
      <c r="F574" s="66" t="s">
        <v>1891</v>
      </c>
      <c r="G574" s="66">
        <v>73.0</v>
      </c>
      <c r="H574" s="66">
        <v>6.0</v>
      </c>
      <c r="I574" s="66">
        <v>6.0</v>
      </c>
      <c r="J574" s="24" t="s">
        <v>33</v>
      </c>
      <c r="K574" s="67">
        <v>103013.0</v>
      </c>
      <c r="L574" s="59"/>
      <c r="M574" s="59"/>
      <c r="N574" s="59"/>
      <c r="O574" s="59"/>
      <c r="P574" s="59"/>
      <c r="Q574" s="59"/>
      <c r="R574" s="59"/>
    </row>
    <row r="575">
      <c r="A575" s="66" t="s">
        <v>1892</v>
      </c>
      <c r="B575" s="66">
        <v>29.0</v>
      </c>
      <c r="C575" s="66">
        <v>51.0</v>
      </c>
      <c r="D575" s="24" t="s">
        <v>386</v>
      </c>
      <c r="E575" s="24" t="s">
        <v>381</v>
      </c>
      <c r="F575" s="66" t="s">
        <v>1893</v>
      </c>
      <c r="G575" s="66">
        <v>94.0</v>
      </c>
      <c r="H575" s="66">
        <v>1.0</v>
      </c>
      <c r="I575" s="66">
        <v>1.0</v>
      </c>
      <c r="J575" s="24" t="s">
        <v>39</v>
      </c>
      <c r="K575" s="67">
        <v>110816.0</v>
      </c>
      <c r="L575" s="59"/>
      <c r="M575" s="59"/>
      <c r="N575" s="59"/>
      <c r="O575" s="59"/>
      <c r="P575" s="59"/>
      <c r="Q575" s="59"/>
      <c r="R575" s="59"/>
    </row>
    <row r="576">
      <c r="A576" s="66" t="s">
        <v>1894</v>
      </c>
      <c r="B576" s="66">
        <v>26.0</v>
      </c>
      <c r="C576" s="66">
        <v>17.0</v>
      </c>
      <c r="D576" s="24" t="s">
        <v>111</v>
      </c>
      <c r="E576" s="24" t="s">
        <v>530</v>
      </c>
      <c r="F576" s="66" t="s">
        <v>1895</v>
      </c>
      <c r="G576" s="66">
        <v>73.0</v>
      </c>
      <c r="H576" s="66">
        <v>6.0</v>
      </c>
      <c r="I576" s="66">
        <v>8.0</v>
      </c>
      <c r="J576" s="24" t="s">
        <v>33</v>
      </c>
      <c r="K576" s="67">
        <v>90420.0</v>
      </c>
      <c r="L576" s="59"/>
      <c r="M576" s="59"/>
      <c r="N576" s="59"/>
      <c r="O576" s="59"/>
      <c r="P576" s="59"/>
      <c r="Q576" s="59"/>
      <c r="R576" s="59"/>
    </row>
    <row r="577">
      <c r="A577" s="66" t="s">
        <v>1896</v>
      </c>
      <c r="B577" s="66">
        <v>65.0</v>
      </c>
      <c r="C577" s="66">
        <v>67.0</v>
      </c>
      <c r="D577" s="24" t="s">
        <v>431</v>
      </c>
      <c r="E577" s="24" t="s">
        <v>374</v>
      </c>
      <c r="F577" s="66" t="s">
        <v>1897</v>
      </c>
      <c r="G577" s="66">
        <v>32.0</v>
      </c>
      <c r="H577" s="66">
        <v>7.0</v>
      </c>
      <c r="I577" s="66">
        <v>2.0</v>
      </c>
      <c r="J577" s="24" t="s">
        <v>31</v>
      </c>
      <c r="K577" s="67">
        <v>72516.0</v>
      </c>
      <c r="L577" s="59"/>
      <c r="M577" s="59"/>
      <c r="N577" s="59"/>
      <c r="O577" s="59"/>
      <c r="P577" s="59"/>
      <c r="Q577" s="59"/>
      <c r="R577" s="59"/>
    </row>
    <row r="578">
      <c r="A578" s="66" t="s">
        <v>1898</v>
      </c>
      <c r="B578" s="66">
        <v>75.0</v>
      </c>
      <c r="C578" s="66">
        <v>27.0</v>
      </c>
      <c r="D578" s="24" t="s">
        <v>543</v>
      </c>
      <c r="E578" s="24" t="s">
        <v>366</v>
      </c>
      <c r="F578" s="66" t="s">
        <v>1899</v>
      </c>
      <c r="G578" s="66">
        <v>94.0</v>
      </c>
      <c r="H578" s="66">
        <v>1.0</v>
      </c>
      <c r="I578" s="66">
        <v>4.0</v>
      </c>
      <c r="J578" s="24" t="s">
        <v>48</v>
      </c>
      <c r="K578" s="67">
        <v>82416.0</v>
      </c>
      <c r="L578" s="59"/>
      <c r="M578" s="59"/>
      <c r="N578" s="59"/>
      <c r="O578" s="59"/>
      <c r="P578" s="59"/>
      <c r="Q578" s="59"/>
      <c r="R578" s="59"/>
    </row>
    <row r="579">
      <c r="A579" s="66" t="s">
        <v>1900</v>
      </c>
      <c r="B579" s="66">
        <v>79.0</v>
      </c>
      <c r="C579" s="66">
        <v>49.0</v>
      </c>
      <c r="D579" s="24" t="s">
        <v>798</v>
      </c>
      <c r="E579" s="24" t="s">
        <v>238</v>
      </c>
      <c r="F579" s="66" t="s">
        <v>1901</v>
      </c>
      <c r="G579" s="66">
        <v>73.0</v>
      </c>
      <c r="H579" s="66">
        <v>7.0</v>
      </c>
      <c r="I579" s="66">
        <v>1.0</v>
      </c>
      <c r="J579" s="24" t="s">
        <v>31</v>
      </c>
      <c r="K579" s="67">
        <v>111916.0</v>
      </c>
      <c r="L579" s="59"/>
      <c r="M579" s="59"/>
      <c r="N579" s="59"/>
      <c r="O579" s="59"/>
      <c r="P579" s="59"/>
      <c r="Q579" s="59"/>
      <c r="R579" s="59"/>
    </row>
    <row r="580">
      <c r="A580" s="66" t="s">
        <v>1902</v>
      </c>
      <c r="B580" s="66">
        <v>14.0</v>
      </c>
      <c r="C580" s="66">
        <v>96.0</v>
      </c>
      <c r="D580" s="24" t="s">
        <v>114</v>
      </c>
      <c r="E580" s="24" t="s">
        <v>421</v>
      </c>
      <c r="F580" s="66" t="s">
        <v>1903</v>
      </c>
      <c r="G580" s="66">
        <v>94.0</v>
      </c>
      <c r="H580" s="66">
        <v>2.0</v>
      </c>
      <c r="I580" s="66">
        <v>1.0</v>
      </c>
      <c r="J580" s="24" t="s">
        <v>31</v>
      </c>
      <c r="K580" s="67">
        <v>11617.0</v>
      </c>
      <c r="L580" s="59"/>
      <c r="M580" s="59"/>
      <c r="N580" s="59"/>
      <c r="O580" s="59"/>
      <c r="P580" s="59"/>
      <c r="Q580" s="59"/>
      <c r="R580" s="59"/>
    </row>
    <row r="581">
      <c r="A581" s="66" t="s">
        <v>1904</v>
      </c>
      <c r="B581" s="66">
        <v>77.0</v>
      </c>
      <c r="C581" s="66">
        <v>80.0</v>
      </c>
      <c r="D581" s="24" t="s">
        <v>1905</v>
      </c>
      <c r="E581" s="24" t="s">
        <v>649</v>
      </c>
      <c r="F581" s="66" t="s">
        <v>1906</v>
      </c>
      <c r="G581" s="66">
        <v>73.0</v>
      </c>
      <c r="H581" s="66">
        <v>7.0</v>
      </c>
      <c r="I581" s="66">
        <v>5.0</v>
      </c>
      <c r="J581" s="24" t="s">
        <v>31</v>
      </c>
      <c r="K581" s="67">
        <v>22716.0</v>
      </c>
      <c r="L581" s="59"/>
      <c r="M581" s="59"/>
      <c r="N581" s="59"/>
      <c r="O581" s="59"/>
      <c r="P581" s="59"/>
      <c r="Q581" s="59"/>
      <c r="R581" s="59"/>
    </row>
    <row r="582">
      <c r="A582" s="66" t="s">
        <v>1907</v>
      </c>
      <c r="B582" s="66">
        <v>40.0</v>
      </c>
      <c r="C582" s="66">
        <v>12.0</v>
      </c>
      <c r="D582" s="24" t="s">
        <v>477</v>
      </c>
      <c r="E582" s="24" t="s">
        <v>413</v>
      </c>
      <c r="F582" s="66" t="s">
        <v>1908</v>
      </c>
      <c r="G582" s="66">
        <v>12.0</v>
      </c>
      <c r="H582" s="66">
        <v>3.0</v>
      </c>
      <c r="I582" s="66">
        <v>1.0</v>
      </c>
      <c r="J582" s="24" t="s">
        <v>48</v>
      </c>
      <c r="K582" s="67">
        <v>41116.0</v>
      </c>
      <c r="L582" s="59"/>
      <c r="M582" s="59"/>
      <c r="N582" s="59"/>
      <c r="O582" s="59"/>
      <c r="P582" s="59"/>
      <c r="Q582" s="59"/>
      <c r="R582" s="59"/>
    </row>
    <row r="583">
      <c r="A583" s="66" t="s">
        <v>1909</v>
      </c>
      <c r="B583" s="66">
        <v>31.0</v>
      </c>
      <c r="C583" s="66">
        <v>92.0</v>
      </c>
      <c r="D583" s="24" t="s">
        <v>296</v>
      </c>
      <c r="E583" s="24" t="s">
        <v>52</v>
      </c>
      <c r="F583" s="66" t="s">
        <v>1910</v>
      </c>
      <c r="G583" s="66">
        <v>32.0</v>
      </c>
      <c r="H583" s="66">
        <v>8.0</v>
      </c>
      <c r="I583" s="66">
        <v>1.0</v>
      </c>
      <c r="J583" s="24" t="s">
        <v>48</v>
      </c>
      <c r="K583" s="67">
        <v>52813.0</v>
      </c>
      <c r="L583" s="59"/>
      <c r="M583" s="59"/>
      <c r="N583" s="59"/>
      <c r="O583" s="59"/>
      <c r="P583" s="59"/>
      <c r="Q583" s="59"/>
      <c r="R583" s="59"/>
    </row>
    <row r="584">
      <c r="A584" s="66" t="s">
        <v>1911</v>
      </c>
      <c r="B584" s="66">
        <v>56.0</v>
      </c>
      <c r="C584" s="66">
        <v>78.0</v>
      </c>
      <c r="D584" s="24" t="s">
        <v>292</v>
      </c>
      <c r="E584" s="24" t="s">
        <v>471</v>
      </c>
      <c r="F584" s="66" t="s">
        <v>1912</v>
      </c>
      <c r="G584" s="66">
        <v>94.0</v>
      </c>
      <c r="H584" s="66">
        <v>2.0</v>
      </c>
      <c r="I584" s="66">
        <v>6.0</v>
      </c>
      <c r="J584" s="24" t="s">
        <v>29</v>
      </c>
      <c r="K584" s="67">
        <v>21917.0</v>
      </c>
      <c r="L584" s="59"/>
      <c r="M584" s="59"/>
      <c r="N584" s="59"/>
      <c r="O584" s="59"/>
      <c r="P584" s="59"/>
      <c r="Q584" s="59"/>
      <c r="R584" s="59"/>
    </row>
    <row r="585">
      <c r="A585" s="66" t="s">
        <v>1913</v>
      </c>
      <c r="B585" s="66">
        <v>27.0</v>
      </c>
      <c r="C585" s="66">
        <v>75.0</v>
      </c>
      <c r="D585" s="24" t="s">
        <v>119</v>
      </c>
      <c r="E585" s="24" t="s">
        <v>456</v>
      </c>
      <c r="F585" s="66" t="s">
        <v>1914</v>
      </c>
      <c r="G585" s="66">
        <v>12.0</v>
      </c>
      <c r="H585" s="66">
        <v>3.0</v>
      </c>
      <c r="I585" s="66">
        <v>4.0</v>
      </c>
      <c r="J585" s="24" t="s">
        <v>33</v>
      </c>
      <c r="K585" s="67">
        <v>41015.0</v>
      </c>
      <c r="L585" s="59"/>
      <c r="M585" s="59"/>
      <c r="N585" s="59"/>
      <c r="O585" s="59"/>
      <c r="P585" s="59"/>
      <c r="Q585" s="59"/>
      <c r="R585" s="59"/>
    </row>
    <row r="586">
      <c r="A586" s="66" t="s">
        <v>1915</v>
      </c>
      <c r="B586" s="66">
        <v>20.0</v>
      </c>
      <c r="C586" s="66">
        <v>42.0</v>
      </c>
      <c r="D586" s="24" t="s">
        <v>463</v>
      </c>
      <c r="E586" s="24" t="s">
        <v>257</v>
      </c>
      <c r="F586" s="66" t="s">
        <v>1916</v>
      </c>
      <c r="G586" s="66">
        <v>32.0</v>
      </c>
      <c r="H586" s="66">
        <v>8.0</v>
      </c>
      <c r="I586" s="66">
        <v>4.0</v>
      </c>
      <c r="J586" s="24" t="s">
        <v>33</v>
      </c>
      <c r="K586" s="67">
        <v>72815.0</v>
      </c>
      <c r="L586" s="59"/>
      <c r="M586" s="59"/>
      <c r="N586" s="59"/>
      <c r="O586" s="59"/>
      <c r="P586" s="59"/>
      <c r="Q586" s="59"/>
      <c r="R586" s="59"/>
    </row>
    <row r="587">
      <c r="A587" s="66" t="s">
        <v>1917</v>
      </c>
      <c r="B587" s="66">
        <v>56.0</v>
      </c>
      <c r="C587" s="66">
        <v>23.0</v>
      </c>
      <c r="D587" s="24" t="s">
        <v>312</v>
      </c>
      <c r="E587" s="24" t="s">
        <v>75</v>
      </c>
      <c r="F587" s="66" t="s">
        <v>1918</v>
      </c>
      <c r="G587" s="66">
        <v>12.0</v>
      </c>
      <c r="H587" s="66">
        <v>3.0</v>
      </c>
      <c r="I587" s="66">
        <v>6.0</v>
      </c>
      <c r="J587" s="24" t="s">
        <v>29</v>
      </c>
      <c r="K587" s="67">
        <v>51818.0</v>
      </c>
      <c r="L587" s="59"/>
      <c r="M587" s="59"/>
      <c r="N587" s="59"/>
      <c r="O587" s="59"/>
      <c r="P587" s="59"/>
      <c r="Q587" s="59"/>
      <c r="R587" s="59"/>
    </row>
    <row r="588">
      <c r="A588" s="66" t="s">
        <v>1919</v>
      </c>
      <c r="B588" s="66">
        <v>74.0</v>
      </c>
      <c r="C588" s="66">
        <v>94.0</v>
      </c>
      <c r="D588" s="24" t="s">
        <v>468</v>
      </c>
      <c r="E588" s="24" t="s">
        <v>464</v>
      </c>
      <c r="F588" s="66" t="s">
        <v>1920</v>
      </c>
      <c r="G588" s="66">
        <v>32.0</v>
      </c>
      <c r="H588" s="66">
        <v>8.0</v>
      </c>
      <c r="I588" s="66">
        <v>8.0</v>
      </c>
      <c r="J588" s="24" t="s">
        <v>48</v>
      </c>
      <c r="K588" s="67">
        <v>12422.0</v>
      </c>
      <c r="L588" s="59"/>
      <c r="M588" s="59"/>
      <c r="N588" s="59"/>
      <c r="O588" s="59"/>
      <c r="P588" s="59"/>
      <c r="Q588" s="59"/>
      <c r="R588" s="59"/>
    </row>
    <row r="589">
      <c r="A589" s="66" t="s">
        <v>1921</v>
      </c>
      <c r="B589" s="66">
        <v>22.0</v>
      </c>
      <c r="C589" s="66">
        <v>37.0</v>
      </c>
      <c r="D589" s="24" t="s">
        <v>79</v>
      </c>
      <c r="E589" s="24" t="s">
        <v>103</v>
      </c>
      <c r="F589" s="66" t="s">
        <v>1922</v>
      </c>
      <c r="G589" s="66">
        <v>32.0</v>
      </c>
      <c r="H589" s="66">
        <v>8.0</v>
      </c>
      <c r="I589" s="66">
        <v>9.0</v>
      </c>
      <c r="J589" s="24" t="s">
        <v>29</v>
      </c>
      <c r="K589" s="67">
        <v>90320.0</v>
      </c>
      <c r="L589" s="59"/>
      <c r="M589" s="59"/>
      <c r="N589" s="59"/>
      <c r="O589" s="59"/>
      <c r="P589" s="59"/>
      <c r="Q589" s="59"/>
      <c r="R589" s="59"/>
    </row>
    <row r="590">
      <c r="A590" s="66" t="s">
        <v>1923</v>
      </c>
      <c r="B590" s="66">
        <v>71.0</v>
      </c>
      <c r="C590" s="66">
        <v>77.0</v>
      </c>
      <c r="D590" s="24" t="s">
        <v>221</v>
      </c>
      <c r="E590" s="24" t="s">
        <v>283</v>
      </c>
      <c r="F590" s="66" t="s">
        <v>1924</v>
      </c>
      <c r="G590" s="66">
        <v>12.0</v>
      </c>
      <c r="H590" s="66">
        <v>4.0</v>
      </c>
      <c r="I590" s="66">
        <v>3.0</v>
      </c>
      <c r="J590" s="24" t="s">
        <v>39</v>
      </c>
      <c r="K590" s="67">
        <v>20421.0</v>
      </c>
      <c r="L590" s="59"/>
      <c r="M590" s="59"/>
      <c r="N590" s="59"/>
      <c r="O590" s="59"/>
      <c r="P590" s="59"/>
      <c r="Q590" s="59"/>
      <c r="R590" s="59"/>
    </row>
    <row r="591">
      <c r="A591" s="66" t="s">
        <v>1925</v>
      </c>
      <c r="B591" s="66">
        <v>76.0</v>
      </c>
      <c r="C591" s="66">
        <v>52.0</v>
      </c>
      <c r="D591" s="24" t="s">
        <v>240</v>
      </c>
      <c r="E591" s="24" t="s">
        <v>186</v>
      </c>
      <c r="F591" s="66" t="s">
        <v>1926</v>
      </c>
      <c r="G591" s="66">
        <v>73.0</v>
      </c>
      <c r="H591" s="66">
        <v>8.0</v>
      </c>
      <c r="I591" s="66">
        <v>9.0</v>
      </c>
      <c r="J591" s="24" t="s">
        <v>31</v>
      </c>
      <c r="K591" s="67">
        <v>100819.0</v>
      </c>
      <c r="L591" s="59"/>
      <c r="M591" s="59"/>
      <c r="N591" s="59"/>
      <c r="O591" s="59"/>
      <c r="P591" s="59"/>
      <c r="Q591" s="59"/>
      <c r="R591" s="59"/>
    </row>
    <row r="592">
      <c r="A592" s="66" t="s">
        <v>1927</v>
      </c>
      <c r="B592" s="66">
        <v>23.0</v>
      </c>
      <c r="C592" s="66">
        <v>85.0</v>
      </c>
      <c r="D592" s="24" t="s">
        <v>118</v>
      </c>
      <c r="E592" s="24" t="s">
        <v>91</v>
      </c>
      <c r="F592" s="66" t="s">
        <v>1928</v>
      </c>
      <c r="G592" s="66">
        <v>73.0</v>
      </c>
      <c r="H592" s="66">
        <v>9.0</v>
      </c>
      <c r="I592" s="66">
        <v>3.0</v>
      </c>
      <c r="J592" s="24" t="s">
        <v>48</v>
      </c>
      <c r="K592" s="67">
        <v>90315.0</v>
      </c>
      <c r="L592" s="59"/>
      <c r="M592" s="59"/>
      <c r="N592" s="59"/>
      <c r="O592" s="59"/>
      <c r="P592" s="59"/>
      <c r="Q592" s="59"/>
      <c r="R592" s="59"/>
    </row>
    <row r="593">
      <c r="A593" s="66" t="s">
        <v>1929</v>
      </c>
      <c r="B593" s="66">
        <v>40.0</v>
      </c>
      <c r="C593" s="66">
        <v>71.0</v>
      </c>
      <c r="D593" s="24" t="s">
        <v>74</v>
      </c>
      <c r="E593" s="24" t="s">
        <v>350</v>
      </c>
      <c r="F593" s="66" t="s">
        <v>1930</v>
      </c>
      <c r="G593" s="66">
        <v>94.0</v>
      </c>
      <c r="H593" s="66">
        <v>4.0</v>
      </c>
      <c r="I593" s="66">
        <v>2.0</v>
      </c>
      <c r="J593" s="24" t="s">
        <v>29</v>
      </c>
      <c r="K593" s="67">
        <v>81113.0</v>
      </c>
      <c r="L593" s="59"/>
      <c r="M593" s="59"/>
      <c r="N593" s="59"/>
      <c r="O593" s="59"/>
      <c r="P593" s="59"/>
      <c r="Q593" s="59"/>
      <c r="R593" s="59"/>
    </row>
    <row r="594">
      <c r="A594" s="66" t="s">
        <v>1931</v>
      </c>
      <c r="B594" s="66">
        <v>34.0</v>
      </c>
      <c r="C594" s="66">
        <v>90.0</v>
      </c>
      <c r="D594" s="24" t="s">
        <v>894</v>
      </c>
      <c r="E594" s="24" t="s">
        <v>443</v>
      </c>
      <c r="F594" s="66" t="s">
        <v>1932</v>
      </c>
      <c r="G594" s="66">
        <v>53.0</v>
      </c>
      <c r="H594" s="66">
        <v>4.0</v>
      </c>
      <c r="I594" s="66">
        <v>7.0</v>
      </c>
      <c r="J594" s="24" t="s">
        <v>33</v>
      </c>
      <c r="K594" s="67">
        <v>70319.0</v>
      </c>
      <c r="L594" s="59"/>
      <c r="M594" s="59"/>
      <c r="N594" s="59"/>
      <c r="O594" s="59"/>
      <c r="P594" s="59"/>
      <c r="Q594" s="59"/>
      <c r="R594" s="59"/>
    </row>
    <row r="595">
      <c r="A595" s="66" t="s">
        <v>1933</v>
      </c>
      <c r="B595" s="66">
        <v>72.0</v>
      </c>
      <c r="C595" s="66">
        <v>49.0</v>
      </c>
      <c r="D595" s="24" t="s">
        <v>458</v>
      </c>
      <c r="E595" s="24" t="s">
        <v>202</v>
      </c>
      <c r="F595" s="66" t="s">
        <v>1934</v>
      </c>
      <c r="G595" s="66">
        <v>53.0</v>
      </c>
      <c r="H595" s="66">
        <v>4.0</v>
      </c>
      <c r="I595" s="66">
        <v>5.0</v>
      </c>
      <c r="J595" s="24" t="s">
        <v>29</v>
      </c>
      <c r="K595" s="67">
        <v>22120.0</v>
      </c>
      <c r="L595" s="59"/>
      <c r="M595" s="59"/>
      <c r="N595" s="59"/>
      <c r="O595" s="59"/>
      <c r="P595" s="59"/>
      <c r="Q595" s="59"/>
      <c r="R595" s="59"/>
    </row>
    <row r="596">
      <c r="A596" s="66" t="s">
        <v>1935</v>
      </c>
      <c r="B596" s="66">
        <v>98.0</v>
      </c>
      <c r="C596" s="66">
        <v>50.0</v>
      </c>
      <c r="D596" s="24" t="s">
        <v>266</v>
      </c>
      <c r="E596" s="24" t="s">
        <v>511</v>
      </c>
      <c r="F596" s="66" t="s">
        <v>1936</v>
      </c>
      <c r="G596" s="66">
        <v>32.0</v>
      </c>
      <c r="H596" s="66">
        <v>9.0</v>
      </c>
      <c r="I596" s="66">
        <v>8.0</v>
      </c>
      <c r="J596" s="24" t="s">
        <v>29</v>
      </c>
      <c r="K596" s="67">
        <v>81919.0</v>
      </c>
      <c r="L596" s="59"/>
      <c r="M596" s="59"/>
      <c r="N596" s="59"/>
      <c r="O596" s="59"/>
      <c r="P596" s="59"/>
      <c r="Q596" s="59"/>
      <c r="R596" s="59"/>
    </row>
    <row r="597">
      <c r="A597" s="66" t="s">
        <v>1937</v>
      </c>
      <c r="B597" s="66">
        <v>38.0</v>
      </c>
      <c r="C597" s="66">
        <v>41.0</v>
      </c>
      <c r="D597" s="24" t="s">
        <v>86</v>
      </c>
      <c r="E597" s="24" t="s">
        <v>485</v>
      </c>
      <c r="F597" s="66" t="s">
        <v>1938</v>
      </c>
      <c r="G597" s="66">
        <v>53.0</v>
      </c>
      <c r="H597" s="66">
        <v>5.0</v>
      </c>
      <c r="I597" s="66">
        <v>4.0</v>
      </c>
      <c r="J597" s="24" t="s">
        <v>31</v>
      </c>
      <c r="K597" s="67">
        <v>52217.0</v>
      </c>
      <c r="L597" s="59"/>
      <c r="M597" s="59"/>
      <c r="N597" s="59"/>
      <c r="O597" s="59"/>
      <c r="P597" s="59"/>
      <c r="Q597" s="59"/>
      <c r="R597" s="59"/>
    </row>
    <row r="598">
      <c r="A598" s="66" t="s">
        <v>1939</v>
      </c>
      <c r="B598" s="66">
        <v>85.0</v>
      </c>
      <c r="C598" s="66">
        <v>63.0</v>
      </c>
      <c r="D598" s="24" t="s">
        <v>137</v>
      </c>
      <c r="E598" s="24" t="s">
        <v>366</v>
      </c>
      <c r="F598" s="66" t="s">
        <v>1940</v>
      </c>
      <c r="G598" s="66">
        <v>12.0</v>
      </c>
      <c r="H598" s="66">
        <v>5.0</v>
      </c>
      <c r="I598" s="66">
        <v>9.0</v>
      </c>
      <c r="J598" s="24" t="s">
        <v>48</v>
      </c>
      <c r="K598" s="67">
        <v>110417.0</v>
      </c>
      <c r="L598" s="59"/>
      <c r="M598" s="59"/>
      <c r="N598" s="59"/>
      <c r="O598" s="59"/>
      <c r="P598" s="59"/>
      <c r="Q598" s="59"/>
      <c r="R598" s="59"/>
    </row>
    <row r="599">
      <c r="A599" s="66" t="s">
        <v>1941</v>
      </c>
      <c r="B599" s="66">
        <v>25.0</v>
      </c>
      <c r="C599" s="66">
        <v>15.0</v>
      </c>
      <c r="D599" s="24" t="s">
        <v>241</v>
      </c>
      <c r="E599" s="24" t="s">
        <v>201</v>
      </c>
      <c r="F599" s="66" t="s">
        <v>1942</v>
      </c>
      <c r="G599" s="66">
        <v>12.0</v>
      </c>
      <c r="H599" s="66">
        <v>6.0</v>
      </c>
      <c r="I599" s="66">
        <v>3.0</v>
      </c>
      <c r="J599" s="24" t="s">
        <v>39</v>
      </c>
      <c r="K599" s="67">
        <v>22819.0</v>
      </c>
      <c r="L599" s="59"/>
      <c r="M599" s="59"/>
      <c r="N599" s="59"/>
      <c r="O599" s="59"/>
      <c r="P599" s="59"/>
      <c r="Q599" s="59"/>
      <c r="R599" s="59"/>
    </row>
    <row r="600">
      <c r="A600" s="66" t="s">
        <v>1943</v>
      </c>
      <c r="B600" s="66">
        <v>55.0</v>
      </c>
      <c r="C600" s="66">
        <v>76.0</v>
      </c>
      <c r="D600" s="24" t="s">
        <v>398</v>
      </c>
      <c r="E600" s="24" t="s">
        <v>1944</v>
      </c>
      <c r="F600" s="66" t="s">
        <v>1945</v>
      </c>
      <c r="G600" s="66">
        <v>12.0</v>
      </c>
      <c r="H600" s="66">
        <v>6.0</v>
      </c>
      <c r="I600" s="66">
        <v>7.0</v>
      </c>
      <c r="J600" s="24" t="s">
        <v>48</v>
      </c>
      <c r="K600" s="67">
        <v>52420.0</v>
      </c>
      <c r="L600" s="59"/>
      <c r="M600" s="59"/>
      <c r="N600" s="59"/>
      <c r="O600" s="59"/>
      <c r="P600" s="59"/>
      <c r="Q600" s="59"/>
      <c r="R600" s="59"/>
    </row>
    <row r="601">
      <c r="A601" s="66" t="s">
        <v>1946</v>
      </c>
      <c r="B601" s="66">
        <v>45.0</v>
      </c>
      <c r="C601" s="66">
        <v>47.0</v>
      </c>
      <c r="D601" s="24" t="s">
        <v>406</v>
      </c>
      <c r="E601" s="24" t="s">
        <v>337</v>
      </c>
      <c r="F601" s="66" t="s">
        <v>1947</v>
      </c>
      <c r="G601" s="66">
        <v>33.0</v>
      </c>
      <c r="H601" s="66">
        <v>1.0</v>
      </c>
      <c r="I601" s="66">
        <v>5.0</v>
      </c>
      <c r="J601" s="24" t="s">
        <v>48</v>
      </c>
      <c r="K601" s="67">
        <v>91113.0</v>
      </c>
      <c r="L601" s="59"/>
      <c r="M601" s="59"/>
      <c r="N601" s="59"/>
      <c r="O601" s="59"/>
      <c r="P601" s="59"/>
      <c r="Q601" s="59"/>
      <c r="R601" s="59"/>
    </row>
    <row r="602">
      <c r="A602" s="66" t="s">
        <v>1948</v>
      </c>
      <c r="B602" s="66">
        <v>82.0</v>
      </c>
      <c r="C602" s="66">
        <v>15.0</v>
      </c>
      <c r="D602" s="24" t="s">
        <v>495</v>
      </c>
      <c r="E602" s="24" t="s">
        <v>150</v>
      </c>
      <c r="F602" s="66" t="s">
        <v>1949</v>
      </c>
      <c r="G602" s="66">
        <v>12.0</v>
      </c>
      <c r="H602" s="66">
        <v>6.0</v>
      </c>
      <c r="I602" s="66">
        <v>9.0</v>
      </c>
      <c r="J602" s="24" t="s">
        <v>29</v>
      </c>
      <c r="K602" s="67">
        <v>42822.0</v>
      </c>
      <c r="L602" s="59"/>
      <c r="M602" s="59"/>
      <c r="N602" s="59"/>
      <c r="O602" s="59"/>
      <c r="P602" s="59"/>
      <c r="Q602" s="59"/>
      <c r="R602" s="59"/>
    </row>
    <row r="603">
      <c r="A603" s="66" t="s">
        <v>1950</v>
      </c>
      <c r="B603" s="66">
        <v>89.0</v>
      </c>
      <c r="C603" s="66">
        <v>79.0</v>
      </c>
      <c r="D603" s="24" t="s">
        <v>273</v>
      </c>
      <c r="E603" s="24" t="s">
        <v>386</v>
      </c>
      <c r="F603" s="66" t="s">
        <v>1951</v>
      </c>
      <c r="G603" s="66">
        <v>74.0</v>
      </c>
      <c r="H603" s="66">
        <v>1.0</v>
      </c>
      <c r="I603" s="66">
        <v>6.0</v>
      </c>
      <c r="J603" s="24" t="s">
        <v>31</v>
      </c>
      <c r="K603" s="67">
        <v>112816.0</v>
      </c>
      <c r="L603" s="59"/>
      <c r="M603" s="59"/>
      <c r="N603" s="59"/>
      <c r="O603" s="59"/>
      <c r="P603" s="59"/>
      <c r="Q603" s="59"/>
      <c r="R603" s="59"/>
    </row>
    <row r="604">
      <c r="A604" s="66" t="s">
        <v>1952</v>
      </c>
      <c r="B604" s="66">
        <v>54.0</v>
      </c>
      <c r="C604" s="66">
        <v>28.0</v>
      </c>
      <c r="D604" s="24" t="s">
        <v>485</v>
      </c>
      <c r="E604" s="24" t="s">
        <v>219</v>
      </c>
      <c r="F604" s="66" t="s">
        <v>1953</v>
      </c>
      <c r="G604" s="66">
        <v>53.0</v>
      </c>
      <c r="H604" s="66">
        <v>7.0</v>
      </c>
      <c r="I604" s="66">
        <v>2.0</v>
      </c>
      <c r="J604" s="24" t="s">
        <v>31</v>
      </c>
      <c r="K604" s="67">
        <v>80714.0</v>
      </c>
      <c r="L604" s="59"/>
      <c r="M604" s="59"/>
      <c r="N604" s="59"/>
      <c r="O604" s="59"/>
      <c r="P604" s="59"/>
      <c r="Q604" s="59"/>
      <c r="R604" s="59"/>
    </row>
    <row r="605">
      <c r="A605" s="66" t="s">
        <v>1954</v>
      </c>
      <c r="B605" s="66">
        <v>40.0</v>
      </c>
      <c r="C605" s="66">
        <v>84.0</v>
      </c>
      <c r="D605" s="24" t="s">
        <v>118</v>
      </c>
      <c r="E605" s="24" t="s">
        <v>265</v>
      </c>
      <c r="F605" s="66" t="s">
        <v>1955</v>
      </c>
      <c r="G605" s="66">
        <v>94.0</v>
      </c>
      <c r="H605" s="66">
        <v>6.0</v>
      </c>
      <c r="I605" s="66">
        <v>8.0</v>
      </c>
      <c r="J605" s="24" t="s">
        <v>33</v>
      </c>
      <c r="K605" s="67">
        <v>33116.0</v>
      </c>
      <c r="L605" s="59"/>
      <c r="M605" s="59"/>
      <c r="N605" s="59"/>
      <c r="O605" s="59"/>
      <c r="P605" s="59"/>
      <c r="Q605" s="59"/>
      <c r="R605" s="59"/>
    </row>
    <row r="606">
      <c r="A606" s="66" t="s">
        <v>1956</v>
      </c>
      <c r="B606" s="66">
        <v>97.0</v>
      </c>
      <c r="C606" s="66">
        <v>46.0</v>
      </c>
      <c r="D606" s="24" t="s">
        <v>276</v>
      </c>
      <c r="E606" s="24" t="s">
        <v>1256</v>
      </c>
      <c r="F606" s="66" t="s">
        <v>1957</v>
      </c>
      <c r="G606" s="66">
        <v>12.0</v>
      </c>
      <c r="H606" s="66">
        <v>7.0</v>
      </c>
      <c r="I606" s="66">
        <v>8.0</v>
      </c>
      <c r="J606" s="24" t="s">
        <v>31</v>
      </c>
      <c r="K606" s="67">
        <v>61023.0</v>
      </c>
      <c r="L606" s="59"/>
      <c r="M606" s="59"/>
      <c r="N606" s="59"/>
      <c r="O606" s="59"/>
      <c r="P606" s="59"/>
      <c r="Q606" s="59"/>
      <c r="R606" s="59"/>
    </row>
    <row r="607">
      <c r="A607" s="66" t="s">
        <v>1958</v>
      </c>
      <c r="B607" s="66">
        <v>64.0</v>
      </c>
      <c r="C607" s="66">
        <v>81.0</v>
      </c>
      <c r="D607" s="24" t="s">
        <v>35</v>
      </c>
      <c r="E607" s="24" t="s">
        <v>379</v>
      </c>
      <c r="F607" s="66" t="s">
        <v>1959</v>
      </c>
      <c r="G607" s="66">
        <v>53.0</v>
      </c>
      <c r="H607" s="66">
        <v>7.0</v>
      </c>
      <c r="I607" s="66">
        <v>3.0</v>
      </c>
      <c r="J607" s="24" t="s">
        <v>39</v>
      </c>
      <c r="K607" s="67">
        <v>102614.0</v>
      </c>
      <c r="L607" s="59"/>
      <c r="M607" s="59"/>
      <c r="N607" s="59"/>
      <c r="O607" s="59"/>
      <c r="P607" s="59"/>
      <c r="Q607" s="59"/>
      <c r="R607" s="59"/>
    </row>
    <row r="608">
      <c r="A608" s="66" t="s">
        <v>1960</v>
      </c>
      <c r="B608" s="66">
        <v>75.0</v>
      </c>
      <c r="C608" s="66">
        <v>84.0</v>
      </c>
      <c r="D608" s="24" t="s">
        <v>491</v>
      </c>
      <c r="E608" s="24" t="s">
        <v>45</v>
      </c>
      <c r="F608" s="66" t="s">
        <v>1961</v>
      </c>
      <c r="G608" s="66">
        <v>33.0</v>
      </c>
      <c r="H608" s="66">
        <v>2.0</v>
      </c>
      <c r="I608" s="66">
        <v>9.0</v>
      </c>
      <c r="J608" s="24" t="s">
        <v>31</v>
      </c>
      <c r="K608" s="67">
        <v>111416.0</v>
      </c>
      <c r="L608" s="59"/>
      <c r="M608" s="59"/>
      <c r="N608" s="59"/>
      <c r="O608" s="59"/>
      <c r="P608" s="59"/>
      <c r="Q608" s="59"/>
      <c r="R608" s="59"/>
    </row>
    <row r="609">
      <c r="A609" s="66" t="s">
        <v>1962</v>
      </c>
      <c r="B609" s="66">
        <v>38.0</v>
      </c>
      <c r="C609" s="66">
        <v>62.0</v>
      </c>
      <c r="D609" s="24" t="s">
        <v>441</v>
      </c>
      <c r="E609" s="24" t="s">
        <v>120</v>
      </c>
      <c r="F609" s="66" t="s">
        <v>1963</v>
      </c>
      <c r="G609" s="66">
        <v>74.0</v>
      </c>
      <c r="H609" s="66">
        <v>2.0</v>
      </c>
      <c r="I609" s="66">
        <v>7.0</v>
      </c>
      <c r="J609" s="24" t="s">
        <v>31</v>
      </c>
      <c r="K609" s="67">
        <v>111218.0</v>
      </c>
      <c r="L609" s="59"/>
      <c r="M609" s="59"/>
      <c r="N609" s="59"/>
      <c r="O609" s="59"/>
      <c r="P609" s="59"/>
      <c r="Q609" s="59"/>
      <c r="R609" s="59"/>
    </row>
    <row r="610">
      <c r="A610" s="66" t="s">
        <v>1964</v>
      </c>
      <c r="B610" s="66">
        <v>74.0</v>
      </c>
      <c r="C610" s="66">
        <v>25.0</v>
      </c>
      <c r="D610" s="24" t="s">
        <v>319</v>
      </c>
      <c r="E610" s="24" t="s">
        <v>214</v>
      </c>
      <c r="F610" s="66" t="s">
        <v>1965</v>
      </c>
      <c r="G610" s="66">
        <v>33.0</v>
      </c>
      <c r="H610" s="66">
        <v>3.0</v>
      </c>
      <c r="I610" s="66">
        <v>3.0</v>
      </c>
      <c r="J610" s="24" t="s">
        <v>39</v>
      </c>
      <c r="K610" s="67">
        <v>41022.0</v>
      </c>
      <c r="L610" s="59"/>
      <c r="M610" s="59"/>
      <c r="N610" s="59"/>
      <c r="O610" s="59"/>
      <c r="P610" s="59"/>
      <c r="Q610" s="59"/>
      <c r="R610" s="59"/>
    </row>
    <row r="611">
      <c r="A611" s="66" t="s">
        <v>1966</v>
      </c>
      <c r="B611" s="66">
        <v>59.0</v>
      </c>
      <c r="C611" s="66">
        <v>40.0</v>
      </c>
      <c r="D611" s="24" t="s">
        <v>447</v>
      </c>
      <c r="E611" s="24" t="s">
        <v>325</v>
      </c>
      <c r="F611" s="66" t="s">
        <v>1967</v>
      </c>
      <c r="G611" s="66">
        <v>94.0</v>
      </c>
      <c r="H611" s="66">
        <v>7.0</v>
      </c>
      <c r="I611" s="66">
        <v>7.0</v>
      </c>
      <c r="J611" s="24" t="s">
        <v>29</v>
      </c>
      <c r="K611" s="67">
        <v>121913.0</v>
      </c>
      <c r="L611" s="59"/>
      <c r="M611" s="59"/>
      <c r="N611" s="59"/>
      <c r="O611" s="59"/>
      <c r="P611" s="59"/>
      <c r="Q611" s="59"/>
      <c r="R611" s="59"/>
    </row>
    <row r="612">
      <c r="A612" s="66" t="s">
        <v>1968</v>
      </c>
      <c r="B612" s="66">
        <v>41.0</v>
      </c>
      <c r="C612" s="66">
        <v>91.0</v>
      </c>
      <c r="D612" s="24" t="s">
        <v>80</v>
      </c>
      <c r="E612" s="24" t="s">
        <v>646</v>
      </c>
      <c r="F612" s="66" t="s">
        <v>1969</v>
      </c>
      <c r="G612" s="66">
        <v>53.0</v>
      </c>
      <c r="H612" s="66">
        <v>8.0</v>
      </c>
      <c r="I612" s="66">
        <v>3.0</v>
      </c>
      <c r="J612" s="24" t="s">
        <v>33</v>
      </c>
      <c r="K612" s="67">
        <v>91322.0</v>
      </c>
      <c r="L612" s="59"/>
      <c r="M612" s="59"/>
      <c r="N612" s="59"/>
      <c r="O612" s="59"/>
      <c r="P612" s="59"/>
      <c r="Q612" s="59"/>
      <c r="R612" s="59"/>
    </row>
    <row r="613">
      <c r="A613" s="66" t="s">
        <v>1970</v>
      </c>
      <c r="B613" s="66">
        <v>75.0</v>
      </c>
      <c r="C613" s="66">
        <v>51.0</v>
      </c>
      <c r="D613" s="24" t="s">
        <v>992</v>
      </c>
      <c r="E613" s="24" t="s">
        <v>259</v>
      </c>
      <c r="F613" s="66" t="s">
        <v>1971</v>
      </c>
      <c r="G613" s="66">
        <v>74.0</v>
      </c>
      <c r="H613" s="66">
        <v>3.0</v>
      </c>
      <c r="I613" s="66">
        <v>2.0</v>
      </c>
      <c r="J613" s="24" t="s">
        <v>48</v>
      </c>
      <c r="K613" s="67">
        <v>102023.0</v>
      </c>
      <c r="L613" s="59"/>
      <c r="M613" s="59"/>
      <c r="N613" s="59"/>
      <c r="O613" s="59"/>
      <c r="P613" s="59"/>
      <c r="Q613" s="59"/>
      <c r="R613" s="59"/>
    </row>
    <row r="614">
      <c r="A614" s="66" t="s">
        <v>1972</v>
      </c>
      <c r="B614" s="66">
        <v>57.0</v>
      </c>
      <c r="C614" s="66">
        <v>62.0</v>
      </c>
      <c r="D614" s="24" t="s">
        <v>194</v>
      </c>
      <c r="E614" s="24" t="s">
        <v>1074</v>
      </c>
      <c r="F614" s="66" t="s">
        <v>1973</v>
      </c>
      <c r="G614" s="66">
        <v>33.0</v>
      </c>
      <c r="H614" s="66">
        <v>3.0</v>
      </c>
      <c r="I614" s="66">
        <v>7.0</v>
      </c>
      <c r="J614" s="24" t="s">
        <v>29</v>
      </c>
      <c r="K614" s="67">
        <v>71517.0</v>
      </c>
      <c r="L614" s="59"/>
      <c r="M614" s="59"/>
      <c r="N614" s="59"/>
      <c r="O614" s="59"/>
      <c r="P614" s="59"/>
      <c r="Q614" s="59"/>
      <c r="R614" s="59"/>
    </row>
    <row r="615">
      <c r="A615" s="66" t="s">
        <v>1974</v>
      </c>
      <c r="B615" s="66">
        <v>90.0</v>
      </c>
      <c r="C615" s="66">
        <v>15.0</v>
      </c>
      <c r="D615" s="24" t="s">
        <v>308</v>
      </c>
      <c r="E615" s="24" t="s">
        <v>335</v>
      </c>
      <c r="F615" s="66" t="s">
        <v>1975</v>
      </c>
      <c r="G615" s="66">
        <v>94.0</v>
      </c>
      <c r="H615" s="66">
        <v>8.0</v>
      </c>
      <c r="I615" s="66">
        <v>3.0</v>
      </c>
      <c r="J615" s="24" t="s">
        <v>31</v>
      </c>
      <c r="K615" s="67">
        <v>10422.0</v>
      </c>
      <c r="L615" s="59"/>
      <c r="M615" s="59"/>
      <c r="N615" s="59"/>
      <c r="O615" s="59"/>
      <c r="P615" s="59"/>
      <c r="Q615" s="59"/>
      <c r="R615" s="59"/>
    </row>
    <row r="616">
      <c r="A616" s="66" t="s">
        <v>1976</v>
      </c>
      <c r="B616" s="66">
        <v>95.0</v>
      </c>
      <c r="C616" s="66">
        <v>12.0</v>
      </c>
      <c r="D616" s="24" t="s">
        <v>242</v>
      </c>
      <c r="E616" s="24" t="s">
        <v>344</v>
      </c>
      <c r="F616" s="66" t="s">
        <v>1977</v>
      </c>
      <c r="G616" s="66">
        <v>53.0</v>
      </c>
      <c r="H616" s="66">
        <v>8.0</v>
      </c>
      <c r="I616" s="66">
        <v>8.0</v>
      </c>
      <c r="J616" s="24" t="s">
        <v>29</v>
      </c>
      <c r="K616" s="67">
        <v>112213.0</v>
      </c>
      <c r="L616" s="59"/>
      <c r="M616" s="59"/>
      <c r="N616" s="59"/>
      <c r="O616" s="59"/>
      <c r="P616" s="59"/>
      <c r="Q616" s="59"/>
      <c r="R616" s="59"/>
    </row>
    <row r="617">
      <c r="A617" s="66" t="s">
        <v>1978</v>
      </c>
      <c r="B617" s="66">
        <v>29.0</v>
      </c>
      <c r="C617" s="66">
        <v>63.0</v>
      </c>
      <c r="D617" s="24" t="s">
        <v>160</v>
      </c>
      <c r="E617" s="24" t="s">
        <v>312</v>
      </c>
      <c r="F617" s="66" t="s">
        <v>1979</v>
      </c>
      <c r="G617" s="66">
        <v>12.0</v>
      </c>
      <c r="H617" s="66">
        <v>9.0</v>
      </c>
      <c r="I617" s="66">
        <v>4.0</v>
      </c>
      <c r="J617" s="24" t="s">
        <v>48</v>
      </c>
      <c r="K617" s="67">
        <v>51314.0</v>
      </c>
      <c r="L617" s="59"/>
      <c r="M617" s="59"/>
      <c r="N617" s="59"/>
      <c r="O617" s="59"/>
      <c r="P617" s="59"/>
      <c r="Q617" s="59"/>
      <c r="R617" s="59"/>
    </row>
    <row r="618">
      <c r="A618" s="66" t="s">
        <v>1980</v>
      </c>
      <c r="B618" s="66">
        <v>37.0</v>
      </c>
      <c r="C618" s="66">
        <v>63.0</v>
      </c>
      <c r="D618" s="24" t="s">
        <v>350</v>
      </c>
      <c r="E618" s="24" t="s">
        <v>1044</v>
      </c>
      <c r="F618" s="66" t="s">
        <v>1981</v>
      </c>
      <c r="G618" s="66">
        <v>53.0</v>
      </c>
      <c r="H618" s="66">
        <v>9.0</v>
      </c>
      <c r="I618" s="66">
        <v>3.0</v>
      </c>
      <c r="J618" s="24" t="s">
        <v>31</v>
      </c>
      <c r="K618" s="67">
        <v>51417.0</v>
      </c>
      <c r="L618" s="59"/>
      <c r="M618" s="59"/>
      <c r="N618" s="59"/>
      <c r="O618" s="59"/>
      <c r="P618" s="59"/>
      <c r="Q618" s="59"/>
      <c r="R618" s="59"/>
    </row>
    <row r="619">
      <c r="A619" s="66" t="s">
        <v>1982</v>
      </c>
      <c r="B619" s="66">
        <v>65.0</v>
      </c>
      <c r="C619" s="66">
        <v>50.0</v>
      </c>
      <c r="D619" s="24" t="s">
        <v>100</v>
      </c>
      <c r="E619" s="24" t="s">
        <v>112</v>
      </c>
      <c r="F619" s="66" t="s">
        <v>1983</v>
      </c>
      <c r="G619" s="66">
        <v>94.0</v>
      </c>
      <c r="H619" s="66">
        <v>8.0</v>
      </c>
      <c r="I619" s="66">
        <v>9.0</v>
      </c>
      <c r="J619" s="24" t="s">
        <v>33</v>
      </c>
      <c r="K619" s="67">
        <v>12022.0</v>
      </c>
      <c r="L619" s="59"/>
      <c r="M619" s="59"/>
      <c r="N619" s="59"/>
      <c r="O619" s="59"/>
      <c r="P619" s="59"/>
      <c r="Q619" s="59"/>
      <c r="R619" s="59"/>
    </row>
    <row r="620">
      <c r="A620" s="66" t="s">
        <v>1984</v>
      </c>
      <c r="B620" s="66">
        <v>74.0</v>
      </c>
      <c r="C620" s="66">
        <v>80.0</v>
      </c>
      <c r="D620" s="24" t="s">
        <v>659</v>
      </c>
      <c r="E620" s="24" t="s">
        <v>150</v>
      </c>
      <c r="F620" s="66" t="s">
        <v>1985</v>
      </c>
      <c r="G620" s="66">
        <v>33.0</v>
      </c>
      <c r="H620" s="66">
        <v>4.0</v>
      </c>
      <c r="I620" s="66">
        <v>9.0</v>
      </c>
      <c r="J620" s="24" t="s">
        <v>29</v>
      </c>
      <c r="K620" s="67">
        <v>12213.0</v>
      </c>
      <c r="L620" s="59"/>
      <c r="M620" s="59"/>
      <c r="N620" s="59"/>
      <c r="O620" s="59"/>
      <c r="P620" s="59"/>
      <c r="Q620" s="59"/>
      <c r="R620" s="59"/>
    </row>
    <row r="621">
      <c r="A621" s="66" t="s">
        <v>1986</v>
      </c>
      <c r="B621" s="66">
        <v>46.0</v>
      </c>
      <c r="C621" s="66">
        <v>41.0</v>
      </c>
      <c r="D621" s="24" t="s">
        <v>520</v>
      </c>
      <c r="E621" s="24" t="s">
        <v>624</v>
      </c>
      <c r="F621" s="66" t="s">
        <v>1987</v>
      </c>
      <c r="G621" s="66">
        <v>94.0</v>
      </c>
      <c r="H621" s="66">
        <v>9.0</v>
      </c>
      <c r="I621" s="66">
        <v>4.0</v>
      </c>
      <c r="J621" s="24" t="s">
        <v>48</v>
      </c>
      <c r="K621" s="67">
        <v>43018.0</v>
      </c>
      <c r="L621" s="59"/>
      <c r="M621" s="59"/>
      <c r="N621" s="59"/>
      <c r="O621" s="59"/>
      <c r="P621" s="59"/>
      <c r="Q621" s="59"/>
      <c r="R621" s="59"/>
    </row>
    <row r="622">
      <c r="A622" s="66" t="s">
        <v>1988</v>
      </c>
      <c r="B622" s="66">
        <v>63.0</v>
      </c>
      <c r="C622" s="66">
        <v>93.0</v>
      </c>
      <c r="D622" s="24" t="s">
        <v>435</v>
      </c>
      <c r="E622" s="24" t="s">
        <v>460</v>
      </c>
      <c r="F622" s="66" t="s">
        <v>1989</v>
      </c>
      <c r="G622" s="66">
        <v>74.0</v>
      </c>
      <c r="H622" s="66">
        <v>4.0</v>
      </c>
      <c r="I622" s="66">
        <v>8.0</v>
      </c>
      <c r="J622" s="24" t="s">
        <v>33</v>
      </c>
      <c r="K622" s="67">
        <v>92217.0</v>
      </c>
      <c r="L622" s="59"/>
      <c r="M622" s="59"/>
      <c r="N622" s="59"/>
      <c r="O622" s="59"/>
      <c r="P622" s="59"/>
      <c r="Q622" s="59"/>
      <c r="R622" s="59"/>
    </row>
    <row r="623">
      <c r="A623" s="66" t="s">
        <v>1990</v>
      </c>
      <c r="B623" s="66">
        <v>61.0</v>
      </c>
      <c r="C623" s="66">
        <v>75.0</v>
      </c>
      <c r="D623" s="24" t="s">
        <v>369</v>
      </c>
      <c r="E623" s="24" t="s">
        <v>142</v>
      </c>
      <c r="F623" s="66" t="s">
        <v>1991</v>
      </c>
      <c r="G623" s="66">
        <v>74.0</v>
      </c>
      <c r="H623" s="66">
        <v>4.0</v>
      </c>
      <c r="I623" s="66">
        <v>9.0</v>
      </c>
      <c r="J623" s="24" t="s">
        <v>29</v>
      </c>
      <c r="K623" s="67">
        <v>60418.0</v>
      </c>
      <c r="L623" s="59"/>
      <c r="M623" s="59"/>
      <c r="N623" s="59"/>
      <c r="O623" s="59"/>
      <c r="P623" s="59"/>
      <c r="Q623" s="59"/>
      <c r="R623" s="59"/>
    </row>
    <row r="624">
      <c r="A624" s="66" t="s">
        <v>1992</v>
      </c>
      <c r="B624" s="66">
        <v>89.0</v>
      </c>
      <c r="C624" s="66">
        <v>44.0</v>
      </c>
      <c r="D624" s="24" t="s">
        <v>532</v>
      </c>
      <c r="E624" s="24" t="s">
        <v>306</v>
      </c>
      <c r="F624" s="66" t="s">
        <v>1993</v>
      </c>
      <c r="G624" s="66">
        <v>33.0</v>
      </c>
      <c r="H624" s="66">
        <v>5.0</v>
      </c>
      <c r="I624" s="66">
        <v>3.0</v>
      </c>
      <c r="J624" s="24" t="s">
        <v>29</v>
      </c>
      <c r="K624" s="67">
        <v>62222.0</v>
      </c>
      <c r="L624" s="59"/>
      <c r="M624" s="59"/>
      <c r="N624" s="59"/>
      <c r="O624" s="59"/>
      <c r="P624" s="59"/>
      <c r="Q624" s="59"/>
      <c r="R624" s="59"/>
    </row>
    <row r="625">
      <c r="A625" s="66" t="s">
        <v>1994</v>
      </c>
      <c r="B625" s="66">
        <v>57.0</v>
      </c>
      <c r="C625" s="66">
        <v>50.0</v>
      </c>
      <c r="D625" s="24" t="s">
        <v>497</v>
      </c>
      <c r="E625" s="24" t="s">
        <v>504</v>
      </c>
      <c r="F625" s="66" t="s">
        <v>1995</v>
      </c>
      <c r="G625" s="66">
        <v>94.0</v>
      </c>
      <c r="H625" s="66">
        <v>9.0</v>
      </c>
      <c r="I625" s="66">
        <v>8.0</v>
      </c>
      <c r="J625" s="24" t="s">
        <v>29</v>
      </c>
      <c r="K625" s="67">
        <v>81219.0</v>
      </c>
      <c r="L625" s="59"/>
      <c r="M625" s="59"/>
      <c r="N625" s="59"/>
      <c r="O625" s="59"/>
      <c r="P625" s="59"/>
      <c r="Q625" s="59"/>
      <c r="R625" s="59"/>
    </row>
    <row r="626">
      <c r="A626" s="66" t="s">
        <v>1996</v>
      </c>
      <c r="B626" s="66">
        <v>48.0</v>
      </c>
      <c r="C626" s="66">
        <v>63.0</v>
      </c>
      <c r="D626" s="24" t="s">
        <v>1997</v>
      </c>
      <c r="E626" s="24" t="s">
        <v>1150</v>
      </c>
      <c r="F626" s="66" t="s">
        <v>1998</v>
      </c>
      <c r="G626" s="66">
        <v>74.0</v>
      </c>
      <c r="H626" s="66">
        <v>5.0</v>
      </c>
      <c r="I626" s="66">
        <v>4.0</v>
      </c>
      <c r="J626" s="24" t="s">
        <v>31</v>
      </c>
      <c r="K626" s="67">
        <v>100117.0</v>
      </c>
      <c r="L626" s="59"/>
      <c r="M626" s="59"/>
      <c r="N626" s="59"/>
      <c r="O626" s="59"/>
      <c r="P626" s="59"/>
      <c r="Q626" s="59"/>
      <c r="R626" s="59"/>
    </row>
    <row r="627">
      <c r="A627" s="66" t="s">
        <v>1999</v>
      </c>
      <c r="B627" s="66">
        <v>24.0</v>
      </c>
      <c r="C627" s="66">
        <v>11.0</v>
      </c>
      <c r="D627" s="24" t="s">
        <v>435</v>
      </c>
      <c r="E627" s="24" t="s">
        <v>468</v>
      </c>
      <c r="F627" s="66" t="s">
        <v>2000</v>
      </c>
      <c r="G627" s="66">
        <v>13.0</v>
      </c>
      <c r="H627" s="66">
        <v>1.0</v>
      </c>
      <c r="I627" s="66">
        <v>1.0</v>
      </c>
      <c r="J627" s="24" t="s">
        <v>39</v>
      </c>
      <c r="K627" s="67">
        <v>73113.0</v>
      </c>
      <c r="L627" s="59"/>
      <c r="M627" s="59"/>
      <c r="N627" s="59"/>
      <c r="O627" s="59"/>
      <c r="P627" s="59"/>
      <c r="Q627" s="59"/>
      <c r="R627" s="59"/>
    </row>
    <row r="628">
      <c r="A628" s="66" t="s">
        <v>2001</v>
      </c>
      <c r="B628" s="66">
        <v>59.0</v>
      </c>
      <c r="C628" s="66">
        <v>15.0</v>
      </c>
      <c r="D628" s="24" t="s">
        <v>321</v>
      </c>
      <c r="E628" s="24" t="s">
        <v>124</v>
      </c>
      <c r="F628" s="66" t="s">
        <v>2002</v>
      </c>
      <c r="G628" s="66">
        <v>74.0</v>
      </c>
      <c r="H628" s="66">
        <v>5.0</v>
      </c>
      <c r="I628" s="66">
        <v>7.0</v>
      </c>
      <c r="J628" s="24" t="s">
        <v>29</v>
      </c>
      <c r="K628" s="67">
        <v>41721.0</v>
      </c>
      <c r="L628" s="59"/>
      <c r="M628" s="59"/>
      <c r="N628" s="59"/>
      <c r="O628" s="59"/>
      <c r="P628" s="59"/>
      <c r="Q628" s="59"/>
      <c r="R628" s="59"/>
    </row>
    <row r="629">
      <c r="A629" s="66" t="s">
        <v>2003</v>
      </c>
      <c r="B629" s="66">
        <v>38.0</v>
      </c>
      <c r="C629" s="66">
        <v>42.0</v>
      </c>
      <c r="D629" s="24" t="s">
        <v>116</v>
      </c>
      <c r="E629" s="24" t="s">
        <v>403</v>
      </c>
      <c r="F629" s="66" t="s">
        <v>2004</v>
      </c>
      <c r="G629" s="66">
        <v>13.0</v>
      </c>
      <c r="H629" s="66">
        <v>1.0</v>
      </c>
      <c r="I629" s="66">
        <v>4.0</v>
      </c>
      <c r="J629" s="24" t="s">
        <v>33</v>
      </c>
      <c r="K629" s="67">
        <v>70519.0</v>
      </c>
      <c r="L629" s="59"/>
      <c r="M629" s="59"/>
      <c r="N629" s="59"/>
      <c r="O629" s="59"/>
      <c r="P629" s="59"/>
      <c r="Q629" s="59"/>
      <c r="R629" s="59"/>
    </row>
    <row r="630">
      <c r="A630" s="66" t="s">
        <v>2005</v>
      </c>
      <c r="B630" s="66">
        <v>96.0</v>
      </c>
      <c r="C630" s="66">
        <v>31.0</v>
      </c>
      <c r="D630" s="24" t="s">
        <v>468</v>
      </c>
      <c r="E630" s="24" t="s">
        <v>438</v>
      </c>
      <c r="F630" s="66" t="s">
        <v>2006</v>
      </c>
      <c r="G630" s="66">
        <v>33.0</v>
      </c>
      <c r="H630" s="66">
        <v>6.0</v>
      </c>
      <c r="I630" s="66">
        <v>3.0</v>
      </c>
      <c r="J630" s="24" t="s">
        <v>48</v>
      </c>
      <c r="K630" s="67">
        <v>91020.0</v>
      </c>
      <c r="L630" s="59"/>
      <c r="M630" s="59"/>
      <c r="N630" s="59"/>
      <c r="O630" s="59"/>
      <c r="P630" s="59"/>
      <c r="Q630" s="59"/>
      <c r="R630" s="59"/>
    </row>
    <row r="631">
      <c r="A631" s="66" t="s">
        <v>2007</v>
      </c>
      <c r="B631" s="66">
        <v>10.0</v>
      </c>
      <c r="C631" s="66">
        <v>12.0</v>
      </c>
      <c r="D631" s="24" t="s">
        <v>530</v>
      </c>
      <c r="E631" s="24" t="s">
        <v>383</v>
      </c>
      <c r="F631" s="66" t="s">
        <v>2008</v>
      </c>
      <c r="G631" s="66">
        <v>33.0</v>
      </c>
      <c r="H631" s="66">
        <v>6.0</v>
      </c>
      <c r="I631" s="66">
        <v>4.0</v>
      </c>
      <c r="J631" s="24" t="s">
        <v>39</v>
      </c>
      <c r="K631" s="67">
        <v>111414.0</v>
      </c>
      <c r="L631" s="59"/>
      <c r="M631" s="59"/>
      <c r="N631" s="59"/>
      <c r="O631" s="59"/>
      <c r="P631" s="59"/>
      <c r="Q631" s="59"/>
      <c r="R631" s="59"/>
    </row>
    <row r="632">
      <c r="A632" s="66" t="s">
        <v>2009</v>
      </c>
      <c r="B632" s="66">
        <v>39.0</v>
      </c>
      <c r="C632" s="66">
        <v>55.0</v>
      </c>
      <c r="D632" s="24" t="s">
        <v>2010</v>
      </c>
      <c r="E632" s="24" t="s">
        <v>46</v>
      </c>
      <c r="F632" s="66" t="s">
        <v>2011</v>
      </c>
      <c r="G632" s="66">
        <v>54.0</v>
      </c>
      <c r="H632" s="66">
        <v>1.0</v>
      </c>
      <c r="I632" s="66">
        <v>3.0</v>
      </c>
      <c r="J632" s="24" t="s">
        <v>31</v>
      </c>
      <c r="K632" s="67">
        <v>122014.0</v>
      </c>
      <c r="L632" s="59"/>
      <c r="M632" s="59"/>
      <c r="N632" s="59"/>
      <c r="O632" s="59"/>
      <c r="P632" s="59"/>
      <c r="Q632" s="59"/>
      <c r="R632" s="59"/>
    </row>
    <row r="633">
      <c r="A633" s="66" t="s">
        <v>2012</v>
      </c>
      <c r="B633" s="66">
        <v>48.0</v>
      </c>
      <c r="C633" s="66">
        <v>33.0</v>
      </c>
      <c r="D633" s="24" t="s">
        <v>348</v>
      </c>
      <c r="E633" s="24" t="s">
        <v>283</v>
      </c>
      <c r="F633" s="66" t="s">
        <v>2013</v>
      </c>
      <c r="G633" s="66">
        <v>13.0</v>
      </c>
      <c r="H633" s="66">
        <v>1.0</v>
      </c>
      <c r="I633" s="66">
        <v>9.0</v>
      </c>
      <c r="J633" s="24" t="s">
        <v>33</v>
      </c>
      <c r="K633" s="67">
        <v>41217.0</v>
      </c>
      <c r="L633" s="59"/>
      <c r="M633" s="59"/>
      <c r="N633" s="59"/>
      <c r="O633" s="59"/>
      <c r="P633" s="59"/>
      <c r="Q633" s="59"/>
      <c r="R633" s="59"/>
    </row>
    <row r="634">
      <c r="A634" s="66" t="s">
        <v>2014</v>
      </c>
      <c r="B634" s="66">
        <v>72.0</v>
      </c>
      <c r="C634" s="66">
        <v>30.0</v>
      </c>
      <c r="D634" s="24" t="s">
        <v>250</v>
      </c>
      <c r="E634" s="24" t="s">
        <v>47</v>
      </c>
      <c r="F634" s="66" t="s">
        <v>2015</v>
      </c>
      <c r="G634" s="66">
        <v>54.0</v>
      </c>
      <c r="H634" s="66">
        <v>1.0</v>
      </c>
      <c r="I634" s="66">
        <v>5.0</v>
      </c>
      <c r="J634" s="24" t="s">
        <v>39</v>
      </c>
      <c r="K634" s="67">
        <v>52719.0</v>
      </c>
      <c r="L634" s="59"/>
      <c r="M634" s="59"/>
      <c r="N634" s="59"/>
      <c r="O634" s="59"/>
      <c r="P634" s="59"/>
      <c r="Q634" s="59"/>
      <c r="R634" s="59"/>
    </row>
    <row r="635">
      <c r="A635" s="66" t="s">
        <v>2016</v>
      </c>
      <c r="B635" s="66">
        <v>75.0</v>
      </c>
      <c r="C635" s="66">
        <v>91.0</v>
      </c>
      <c r="D635" s="24" t="s">
        <v>1391</v>
      </c>
      <c r="E635" s="24" t="s">
        <v>795</v>
      </c>
      <c r="F635" s="66" t="s">
        <v>2017</v>
      </c>
      <c r="G635" s="66">
        <v>95.0</v>
      </c>
      <c r="H635" s="66">
        <v>1.0</v>
      </c>
      <c r="I635" s="66">
        <v>3.0</v>
      </c>
      <c r="J635" s="24" t="s">
        <v>48</v>
      </c>
      <c r="K635" s="67">
        <v>91722.0</v>
      </c>
      <c r="L635" s="59"/>
      <c r="M635" s="59"/>
      <c r="N635" s="59"/>
      <c r="O635" s="59"/>
      <c r="P635" s="59"/>
      <c r="Q635" s="59"/>
      <c r="R635" s="59"/>
    </row>
    <row r="636">
      <c r="A636" s="66" t="s">
        <v>2018</v>
      </c>
      <c r="B636" s="66">
        <v>70.0</v>
      </c>
      <c r="C636" s="66">
        <v>88.0</v>
      </c>
      <c r="D636" s="24" t="s">
        <v>442</v>
      </c>
      <c r="E636" s="24" t="s">
        <v>508</v>
      </c>
      <c r="F636" s="66" t="s">
        <v>2019</v>
      </c>
      <c r="G636" s="66">
        <v>54.0</v>
      </c>
      <c r="H636" s="66">
        <v>1.0</v>
      </c>
      <c r="I636" s="66">
        <v>8.0</v>
      </c>
      <c r="J636" s="24" t="s">
        <v>48</v>
      </c>
      <c r="K636" s="67">
        <v>52022.0</v>
      </c>
      <c r="L636" s="59"/>
      <c r="M636" s="59"/>
      <c r="N636" s="59"/>
      <c r="O636" s="59"/>
      <c r="P636" s="59"/>
      <c r="Q636" s="59"/>
      <c r="R636" s="59"/>
    </row>
    <row r="637">
      <c r="A637" s="66" t="s">
        <v>2020</v>
      </c>
      <c r="B637" s="66">
        <v>62.0</v>
      </c>
      <c r="C637" s="66">
        <v>15.0</v>
      </c>
      <c r="D637" s="24" t="s">
        <v>42</v>
      </c>
      <c r="E637" s="24" t="s">
        <v>303</v>
      </c>
      <c r="F637" s="66" t="s">
        <v>2021</v>
      </c>
      <c r="G637" s="66">
        <v>95.0</v>
      </c>
      <c r="H637" s="66">
        <v>1.0</v>
      </c>
      <c r="I637" s="66">
        <v>4.0</v>
      </c>
      <c r="J637" s="24" t="s">
        <v>39</v>
      </c>
      <c r="K637" s="67">
        <v>91919.0</v>
      </c>
      <c r="L637" s="59"/>
      <c r="M637" s="59"/>
      <c r="N637" s="59"/>
      <c r="O637" s="59"/>
      <c r="P637" s="59"/>
      <c r="Q637" s="59"/>
      <c r="R637" s="59"/>
    </row>
    <row r="638">
      <c r="A638" s="66" t="s">
        <v>2022</v>
      </c>
      <c r="B638" s="66">
        <v>57.0</v>
      </c>
      <c r="C638" s="66">
        <v>79.0</v>
      </c>
      <c r="D638" s="24" t="s">
        <v>219</v>
      </c>
      <c r="E638" s="24" t="s">
        <v>354</v>
      </c>
      <c r="F638" s="66" t="s">
        <v>2023</v>
      </c>
      <c r="G638" s="66">
        <v>74.0</v>
      </c>
      <c r="H638" s="66">
        <v>6.0</v>
      </c>
      <c r="I638" s="66">
        <v>8.0</v>
      </c>
      <c r="J638" s="24" t="s">
        <v>29</v>
      </c>
      <c r="K638" s="67">
        <v>122614.0</v>
      </c>
      <c r="L638" s="59"/>
      <c r="M638" s="59"/>
      <c r="N638" s="59"/>
      <c r="O638" s="59"/>
      <c r="P638" s="59"/>
      <c r="Q638" s="59"/>
      <c r="R638" s="59"/>
    </row>
    <row r="639">
      <c r="A639" s="66" t="s">
        <v>2024</v>
      </c>
      <c r="B639" s="66">
        <v>63.0</v>
      </c>
      <c r="C639" s="66">
        <v>67.0</v>
      </c>
      <c r="D639" s="24" t="s">
        <v>2025</v>
      </c>
      <c r="E639" s="24" t="s">
        <v>90</v>
      </c>
      <c r="F639" s="66" t="s">
        <v>2026</v>
      </c>
      <c r="G639" s="66">
        <v>74.0</v>
      </c>
      <c r="H639" s="66">
        <v>6.0</v>
      </c>
      <c r="I639" s="66">
        <v>9.0</v>
      </c>
      <c r="J639" s="24" t="s">
        <v>33</v>
      </c>
      <c r="K639" s="67">
        <v>61721.0</v>
      </c>
      <c r="L639" s="59"/>
      <c r="M639" s="59"/>
      <c r="N639" s="59"/>
      <c r="O639" s="59"/>
      <c r="P639" s="59"/>
      <c r="Q639" s="59"/>
      <c r="R639" s="59"/>
    </row>
    <row r="640">
      <c r="A640" s="66" t="s">
        <v>2027</v>
      </c>
      <c r="B640" s="66">
        <v>39.0</v>
      </c>
      <c r="C640" s="66">
        <v>47.0</v>
      </c>
      <c r="D640" s="24" t="s">
        <v>1287</v>
      </c>
      <c r="E640" s="24" t="s">
        <v>332</v>
      </c>
      <c r="F640" s="66" t="s">
        <v>2028</v>
      </c>
      <c r="G640" s="66">
        <v>13.0</v>
      </c>
      <c r="H640" s="66">
        <v>2.0</v>
      </c>
      <c r="I640" s="66">
        <v>6.0</v>
      </c>
      <c r="J640" s="24" t="s">
        <v>48</v>
      </c>
      <c r="K640" s="67">
        <v>100618.0</v>
      </c>
      <c r="L640" s="59"/>
      <c r="M640" s="59"/>
      <c r="N640" s="59"/>
      <c r="O640" s="59"/>
      <c r="P640" s="59"/>
      <c r="Q640" s="59"/>
      <c r="R640" s="59"/>
    </row>
    <row r="641">
      <c r="A641" s="66" t="s">
        <v>2029</v>
      </c>
      <c r="B641" s="66">
        <v>84.0</v>
      </c>
      <c r="C641" s="66">
        <v>80.0</v>
      </c>
      <c r="D641" s="24" t="s">
        <v>161</v>
      </c>
      <c r="E641" s="24" t="s">
        <v>884</v>
      </c>
      <c r="F641" s="66" t="s">
        <v>2030</v>
      </c>
      <c r="G641" s="66">
        <v>54.0</v>
      </c>
      <c r="H641" s="66">
        <v>2.0</v>
      </c>
      <c r="I641" s="66">
        <v>4.0</v>
      </c>
      <c r="J641" s="24" t="s">
        <v>33</v>
      </c>
      <c r="K641" s="67">
        <v>42414.0</v>
      </c>
      <c r="L641" s="59"/>
      <c r="M641" s="59"/>
      <c r="N641" s="59"/>
      <c r="O641" s="59"/>
      <c r="P641" s="59"/>
      <c r="Q641" s="59"/>
      <c r="R641" s="59"/>
    </row>
    <row r="642">
      <c r="A642" s="66" t="s">
        <v>2031</v>
      </c>
      <c r="B642" s="66">
        <v>28.0</v>
      </c>
      <c r="C642" s="66">
        <v>16.0</v>
      </c>
      <c r="D642" s="24" t="s">
        <v>1232</v>
      </c>
      <c r="E642" s="24" t="s">
        <v>907</v>
      </c>
      <c r="F642" s="66" t="s">
        <v>2032</v>
      </c>
      <c r="G642" s="66">
        <v>74.0</v>
      </c>
      <c r="H642" s="66">
        <v>7.0</v>
      </c>
      <c r="I642" s="66">
        <v>2.0</v>
      </c>
      <c r="J642" s="24" t="s">
        <v>29</v>
      </c>
      <c r="K642" s="67">
        <v>101213.0</v>
      </c>
      <c r="L642" s="59"/>
      <c r="M642" s="59"/>
      <c r="N642" s="59"/>
      <c r="O642" s="59"/>
      <c r="P642" s="59"/>
      <c r="Q642" s="59"/>
      <c r="R642" s="59"/>
    </row>
    <row r="643">
      <c r="A643" s="66" t="s">
        <v>2033</v>
      </c>
      <c r="B643" s="66">
        <v>46.0</v>
      </c>
      <c r="C643" s="66">
        <v>63.0</v>
      </c>
      <c r="D643" s="24" t="s">
        <v>94</v>
      </c>
      <c r="E643" s="24" t="s">
        <v>514</v>
      </c>
      <c r="F643" s="66" t="s">
        <v>2034</v>
      </c>
      <c r="G643" s="66">
        <v>95.0</v>
      </c>
      <c r="H643" s="66">
        <v>2.0</v>
      </c>
      <c r="I643" s="66">
        <v>2.0</v>
      </c>
      <c r="J643" s="24" t="s">
        <v>48</v>
      </c>
      <c r="K643" s="67">
        <v>72414.0</v>
      </c>
      <c r="L643" s="59"/>
      <c r="M643" s="59"/>
      <c r="N643" s="59"/>
      <c r="O643" s="59"/>
      <c r="P643" s="59"/>
      <c r="Q643" s="59"/>
      <c r="R643" s="59"/>
    </row>
    <row r="644">
      <c r="A644" s="66" t="s">
        <v>2035</v>
      </c>
      <c r="B644" s="66">
        <v>67.0</v>
      </c>
      <c r="C644" s="66">
        <v>96.0</v>
      </c>
      <c r="D644" s="24" t="s">
        <v>409</v>
      </c>
      <c r="E644" s="24" t="s">
        <v>528</v>
      </c>
      <c r="F644" s="66" t="s">
        <v>2036</v>
      </c>
      <c r="G644" s="66">
        <v>95.0</v>
      </c>
      <c r="H644" s="66">
        <v>2.0</v>
      </c>
      <c r="I644" s="66">
        <v>3.0</v>
      </c>
      <c r="J644" s="24" t="s">
        <v>31</v>
      </c>
      <c r="K644" s="67">
        <v>93015.0</v>
      </c>
      <c r="L644" s="59"/>
      <c r="M644" s="59"/>
      <c r="N644" s="59"/>
      <c r="O644" s="59"/>
      <c r="P644" s="59"/>
      <c r="Q644" s="59"/>
      <c r="R644" s="59"/>
    </row>
    <row r="645">
      <c r="A645" s="66" t="s">
        <v>2037</v>
      </c>
      <c r="B645" s="66">
        <v>28.0</v>
      </c>
      <c r="C645" s="66">
        <v>99.0</v>
      </c>
      <c r="D645" s="24" t="s">
        <v>374</v>
      </c>
      <c r="E645" s="24" t="s">
        <v>77</v>
      </c>
      <c r="F645" s="66" t="s">
        <v>2038</v>
      </c>
      <c r="G645" s="66">
        <v>95.0</v>
      </c>
      <c r="H645" s="66">
        <v>2.0</v>
      </c>
      <c r="I645" s="66">
        <v>5.0</v>
      </c>
      <c r="J645" s="24" t="s">
        <v>29</v>
      </c>
      <c r="K645" s="67">
        <v>12522.0</v>
      </c>
      <c r="L645" s="59"/>
      <c r="M645" s="59"/>
      <c r="N645" s="59"/>
      <c r="O645" s="59"/>
      <c r="P645" s="59"/>
      <c r="Q645" s="59"/>
      <c r="R645" s="59"/>
    </row>
    <row r="646">
      <c r="A646" s="66" t="s">
        <v>2039</v>
      </c>
      <c r="B646" s="66">
        <v>93.0</v>
      </c>
      <c r="C646" s="66">
        <v>66.0</v>
      </c>
      <c r="D646" s="24" t="s">
        <v>1613</v>
      </c>
      <c r="E646" s="24" t="s">
        <v>837</v>
      </c>
      <c r="F646" s="66" t="s">
        <v>2040</v>
      </c>
      <c r="G646" s="66">
        <v>33.0</v>
      </c>
      <c r="H646" s="66">
        <v>8.0</v>
      </c>
      <c r="I646" s="66">
        <v>5.0</v>
      </c>
      <c r="J646" s="24" t="s">
        <v>33</v>
      </c>
      <c r="K646" s="67">
        <v>111920.0</v>
      </c>
      <c r="L646" s="59"/>
      <c r="M646" s="59"/>
      <c r="N646" s="59"/>
      <c r="O646" s="59"/>
      <c r="P646" s="59"/>
      <c r="Q646" s="59"/>
      <c r="R646" s="59"/>
    </row>
    <row r="647">
      <c r="A647" s="66" t="s">
        <v>2041</v>
      </c>
      <c r="B647" s="66">
        <v>34.0</v>
      </c>
      <c r="C647" s="66">
        <v>17.0</v>
      </c>
      <c r="D647" s="24" t="s">
        <v>1225</v>
      </c>
      <c r="E647" s="24" t="s">
        <v>107</v>
      </c>
      <c r="F647" s="66" t="s">
        <v>2042</v>
      </c>
      <c r="G647" s="66">
        <v>13.0</v>
      </c>
      <c r="H647" s="66">
        <v>3.0</v>
      </c>
      <c r="I647" s="66">
        <v>8.0</v>
      </c>
      <c r="J647" s="24" t="s">
        <v>33</v>
      </c>
      <c r="K647" s="67">
        <v>81321.0</v>
      </c>
      <c r="L647" s="59"/>
      <c r="M647" s="59"/>
      <c r="N647" s="59"/>
      <c r="O647" s="59"/>
      <c r="P647" s="59"/>
      <c r="Q647" s="59"/>
      <c r="R647" s="59"/>
    </row>
    <row r="648">
      <c r="A648" s="66" t="s">
        <v>2043</v>
      </c>
      <c r="B648" s="66">
        <v>10.0</v>
      </c>
      <c r="C648" s="66">
        <v>58.0</v>
      </c>
      <c r="D648" s="24" t="s">
        <v>229</v>
      </c>
      <c r="E648" s="24" t="s">
        <v>269</v>
      </c>
      <c r="F648" s="66" t="s">
        <v>2044</v>
      </c>
      <c r="G648" s="66">
        <v>74.0</v>
      </c>
      <c r="H648" s="66">
        <v>8.0</v>
      </c>
      <c r="I648" s="66">
        <v>3.0</v>
      </c>
      <c r="J648" s="24" t="s">
        <v>29</v>
      </c>
      <c r="K648" s="67">
        <v>91713.0</v>
      </c>
      <c r="L648" s="59"/>
      <c r="M648" s="59"/>
      <c r="N648" s="59"/>
      <c r="O648" s="59"/>
      <c r="P648" s="59"/>
      <c r="Q648" s="59"/>
      <c r="R648" s="59"/>
    </row>
    <row r="649">
      <c r="A649" s="66" t="s">
        <v>2045</v>
      </c>
      <c r="B649" s="66">
        <v>98.0</v>
      </c>
      <c r="C649" s="66">
        <v>80.0</v>
      </c>
      <c r="D649" s="24" t="s">
        <v>2046</v>
      </c>
      <c r="E649" s="24" t="s">
        <v>290</v>
      </c>
      <c r="F649" s="66" t="s">
        <v>2047</v>
      </c>
      <c r="G649" s="66">
        <v>33.0</v>
      </c>
      <c r="H649" s="66">
        <v>9.0</v>
      </c>
      <c r="I649" s="66">
        <v>1.0</v>
      </c>
      <c r="J649" s="24" t="s">
        <v>33</v>
      </c>
      <c r="K649" s="67">
        <v>81814.0</v>
      </c>
      <c r="L649" s="59"/>
      <c r="M649" s="59"/>
      <c r="N649" s="59"/>
      <c r="O649" s="59"/>
      <c r="P649" s="59"/>
      <c r="Q649" s="59"/>
      <c r="R649" s="59"/>
    </row>
    <row r="650">
      <c r="A650" s="66" t="s">
        <v>2048</v>
      </c>
      <c r="B650" s="66">
        <v>36.0</v>
      </c>
      <c r="C650" s="66">
        <v>71.0</v>
      </c>
      <c r="D650" s="24" t="s">
        <v>366</v>
      </c>
      <c r="E650" s="24" t="s">
        <v>357</v>
      </c>
      <c r="F650" s="66" t="s">
        <v>2049</v>
      </c>
      <c r="G650" s="66">
        <v>33.0</v>
      </c>
      <c r="H650" s="66">
        <v>9.0</v>
      </c>
      <c r="I650" s="66">
        <v>2.0</v>
      </c>
      <c r="J650" s="24" t="s">
        <v>33</v>
      </c>
      <c r="K650" s="67">
        <v>60320.0</v>
      </c>
      <c r="L650" s="59"/>
      <c r="M650" s="59"/>
      <c r="N650" s="59"/>
      <c r="O650" s="59"/>
      <c r="P650" s="59"/>
      <c r="Q650" s="59"/>
      <c r="R650" s="59"/>
    </row>
    <row r="651">
      <c r="A651" s="66" t="s">
        <v>2050</v>
      </c>
      <c r="B651" s="66">
        <v>29.0</v>
      </c>
      <c r="C651" s="66">
        <v>47.0</v>
      </c>
      <c r="D651" s="24" t="s">
        <v>514</v>
      </c>
      <c r="E651" s="24" t="s">
        <v>992</v>
      </c>
      <c r="F651" s="66" t="s">
        <v>2051</v>
      </c>
      <c r="G651" s="66">
        <v>54.0</v>
      </c>
      <c r="H651" s="66">
        <v>4.0</v>
      </c>
      <c r="I651" s="66">
        <v>4.0</v>
      </c>
      <c r="J651" s="24" t="s">
        <v>39</v>
      </c>
      <c r="K651" s="67">
        <v>91515.0</v>
      </c>
      <c r="L651" s="59"/>
      <c r="M651" s="59"/>
      <c r="N651" s="59"/>
      <c r="O651" s="59"/>
      <c r="P651" s="59"/>
      <c r="Q651" s="59"/>
      <c r="R651" s="59"/>
    </row>
    <row r="652">
      <c r="A652" s="66" t="s">
        <v>2052</v>
      </c>
      <c r="B652" s="66">
        <v>10.0</v>
      </c>
      <c r="C652" s="66">
        <v>30.0</v>
      </c>
      <c r="D652" s="24" t="s">
        <v>347</v>
      </c>
      <c r="E652" s="24" t="s">
        <v>41</v>
      </c>
      <c r="F652" s="66" t="s">
        <v>2053</v>
      </c>
      <c r="G652" s="66">
        <v>54.0</v>
      </c>
      <c r="H652" s="66">
        <v>4.0</v>
      </c>
      <c r="I652" s="66">
        <v>6.0</v>
      </c>
      <c r="J652" s="24" t="s">
        <v>48</v>
      </c>
      <c r="K652" s="67">
        <v>51913.0</v>
      </c>
      <c r="L652" s="59"/>
      <c r="M652" s="59"/>
      <c r="N652" s="59"/>
      <c r="O652" s="59"/>
      <c r="P652" s="59"/>
      <c r="Q652" s="59"/>
      <c r="R652" s="59"/>
    </row>
    <row r="653">
      <c r="A653" s="66" t="s">
        <v>2054</v>
      </c>
      <c r="B653" s="66">
        <v>31.0</v>
      </c>
      <c r="C653" s="66">
        <v>69.0</v>
      </c>
      <c r="D653" s="24" t="s">
        <v>1624</v>
      </c>
      <c r="E653" s="24" t="s">
        <v>222</v>
      </c>
      <c r="F653" s="66" t="s">
        <v>2055</v>
      </c>
      <c r="G653" s="66">
        <v>13.0</v>
      </c>
      <c r="H653" s="66">
        <v>5.0</v>
      </c>
      <c r="I653" s="66">
        <v>1.0</v>
      </c>
      <c r="J653" s="24" t="s">
        <v>29</v>
      </c>
      <c r="K653" s="67">
        <v>92620.0</v>
      </c>
      <c r="L653" s="59"/>
      <c r="M653" s="59"/>
      <c r="N653" s="59"/>
      <c r="O653" s="59"/>
      <c r="P653" s="59"/>
      <c r="Q653" s="59"/>
      <c r="R653" s="59"/>
    </row>
    <row r="654">
      <c r="A654" s="66" t="s">
        <v>2056</v>
      </c>
      <c r="B654" s="66">
        <v>23.0</v>
      </c>
      <c r="C654" s="66">
        <v>31.0</v>
      </c>
      <c r="D654" s="24" t="s">
        <v>321</v>
      </c>
      <c r="E654" s="24" t="s">
        <v>53</v>
      </c>
      <c r="F654" s="66" t="s">
        <v>2057</v>
      </c>
      <c r="G654" s="66">
        <v>95.0</v>
      </c>
      <c r="H654" s="66">
        <v>4.0</v>
      </c>
      <c r="I654" s="66">
        <v>4.0</v>
      </c>
      <c r="J654" s="24" t="s">
        <v>29</v>
      </c>
      <c r="K654" s="67">
        <v>42614.0</v>
      </c>
      <c r="L654" s="59"/>
      <c r="M654" s="59"/>
      <c r="N654" s="59"/>
      <c r="O654" s="59"/>
      <c r="P654" s="59"/>
      <c r="Q654" s="59"/>
      <c r="R654" s="59"/>
    </row>
    <row r="655">
      <c r="A655" s="66" t="s">
        <v>2058</v>
      </c>
      <c r="B655" s="66">
        <v>35.0</v>
      </c>
      <c r="C655" s="66">
        <v>94.0</v>
      </c>
      <c r="D655" s="24" t="s">
        <v>128</v>
      </c>
      <c r="E655" s="24" t="s">
        <v>493</v>
      </c>
      <c r="F655" s="66" t="s">
        <v>2059</v>
      </c>
      <c r="G655" s="66">
        <v>13.0</v>
      </c>
      <c r="H655" s="66">
        <v>5.0</v>
      </c>
      <c r="I655" s="66">
        <v>3.0</v>
      </c>
      <c r="J655" s="24" t="s">
        <v>29</v>
      </c>
      <c r="K655" s="67">
        <v>32016.0</v>
      </c>
      <c r="L655" s="59"/>
      <c r="M655" s="59"/>
      <c r="N655" s="59"/>
      <c r="O655" s="59"/>
      <c r="P655" s="59"/>
      <c r="Q655" s="59"/>
      <c r="R655" s="59"/>
    </row>
    <row r="656">
      <c r="A656" s="66" t="s">
        <v>2060</v>
      </c>
      <c r="B656" s="66">
        <v>13.0</v>
      </c>
      <c r="C656" s="66">
        <v>60.0</v>
      </c>
      <c r="D656" s="24" t="s">
        <v>201</v>
      </c>
      <c r="E656" s="24" t="s">
        <v>253</v>
      </c>
      <c r="F656" s="66" t="s">
        <v>2061</v>
      </c>
      <c r="G656" s="66">
        <v>74.0</v>
      </c>
      <c r="H656" s="66">
        <v>9.0</v>
      </c>
      <c r="I656" s="66">
        <v>6.0</v>
      </c>
      <c r="J656" s="24" t="s">
        <v>33</v>
      </c>
      <c r="K656" s="67">
        <v>30120.0</v>
      </c>
      <c r="L656" s="59"/>
      <c r="M656" s="59"/>
      <c r="N656" s="59"/>
      <c r="O656" s="59"/>
      <c r="P656" s="59"/>
      <c r="Q656" s="59"/>
      <c r="R656" s="59"/>
    </row>
    <row r="657">
      <c r="A657" s="66" t="s">
        <v>2062</v>
      </c>
      <c r="B657" s="66">
        <v>43.0</v>
      </c>
      <c r="C657" s="66">
        <v>39.0</v>
      </c>
      <c r="D657" s="24" t="s">
        <v>2063</v>
      </c>
      <c r="E657" s="24" t="s">
        <v>75</v>
      </c>
      <c r="F657" s="66" t="s">
        <v>2064</v>
      </c>
      <c r="G657" s="66">
        <v>74.0</v>
      </c>
      <c r="H657" s="66">
        <v>9.0</v>
      </c>
      <c r="I657" s="66">
        <v>8.0</v>
      </c>
      <c r="J657" s="24" t="s">
        <v>39</v>
      </c>
      <c r="K657" s="67">
        <v>33119.0</v>
      </c>
      <c r="L657" s="59"/>
      <c r="M657" s="59"/>
      <c r="N657" s="59"/>
      <c r="O657" s="59"/>
      <c r="P657" s="59"/>
      <c r="Q657" s="59"/>
      <c r="R657" s="59"/>
    </row>
    <row r="658">
      <c r="A658" s="66" t="s">
        <v>2065</v>
      </c>
      <c r="B658" s="66">
        <v>17.0</v>
      </c>
      <c r="C658" s="66">
        <v>83.0</v>
      </c>
      <c r="D658" s="24" t="s">
        <v>352</v>
      </c>
      <c r="E658" s="24" t="s">
        <v>357</v>
      </c>
      <c r="F658" s="66" t="s">
        <v>2066</v>
      </c>
      <c r="G658" s="66">
        <v>13.0</v>
      </c>
      <c r="H658" s="66">
        <v>5.0</v>
      </c>
      <c r="I658" s="66">
        <v>6.0</v>
      </c>
      <c r="J658" s="24" t="s">
        <v>29</v>
      </c>
      <c r="K658" s="67">
        <v>21814.0</v>
      </c>
      <c r="L658" s="59"/>
      <c r="M658" s="59"/>
      <c r="N658" s="59"/>
      <c r="O658" s="59"/>
      <c r="P658" s="59"/>
      <c r="Q658" s="59"/>
      <c r="R658" s="59"/>
    </row>
    <row r="659">
      <c r="A659" s="66" t="s">
        <v>2067</v>
      </c>
      <c r="B659" s="66">
        <v>29.0</v>
      </c>
      <c r="C659" s="66">
        <v>88.0</v>
      </c>
      <c r="D659" s="24" t="s">
        <v>37</v>
      </c>
      <c r="E659" s="24" t="s">
        <v>743</v>
      </c>
      <c r="F659" s="66" t="s">
        <v>2068</v>
      </c>
      <c r="G659" s="66">
        <v>13.0</v>
      </c>
      <c r="H659" s="66">
        <v>5.0</v>
      </c>
      <c r="I659" s="66">
        <v>7.0</v>
      </c>
      <c r="J659" s="24" t="s">
        <v>39</v>
      </c>
      <c r="K659" s="67">
        <v>112623.0</v>
      </c>
      <c r="L659" s="59"/>
      <c r="M659" s="59"/>
      <c r="N659" s="59"/>
      <c r="O659" s="59"/>
      <c r="P659" s="59"/>
      <c r="Q659" s="59"/>
      <c r="R659" s="59"/>
    </row>
    <row r="660">
      <c r="A660" s="66" t="s">
        <v>2069</v>
      </c>
      <c r="B660" s="66">
        <v>81.0</v>
      </c>
      <c r="C660" s="66">
        <v>99.0</v>
      </c>
      <c r="D660" s="24" t="s">
        <v>1201</v>
      </c>
      <c r="E660" s="24" t="s">
        <v>299</v>
      </c>
      <c r="F660" s="66" t="s">
        <v>2070</v>
      </c>
      <c r="G660" s="66">
        <v>54.0</v>
      </c>
      <c r="H660" s="66">
        <v>5.0</v>
      </c>
      <c r="I660" s="66">
        <v>6.0</v>
      </c>
      <c r="J660" s="24" t="s">
        <v>29</v>
      </c>
      <c r="K660" s="67">
        <v>72423.0</v>
      </c>
      <c r="L660" s="59"/>
      <c r="M660" s="59"/>
      <c r="N660" s="59"/>
      <c r="O660" s="59"/>
      <c r="P660" s="59"/>
      <c r="Q660" s="59"/>
      <c r="R660" s="59"/>
    </row>
    <row r="661">
      <c r="A661" s="66" t="s">
        <v>2071</v>
      </c>
      <c r="B661" s="66">
        <v>20.0</v>
      </c>
      <c r="C661" s="66">
        <v>49.0</v>
      </c>
      <c r="D661" s="24" t="s">
        <v>38</v>
      </c>
      <c r="E661" s="24" t="s">
        <v>2072</v>
      </c>
      <c r="F661" s="66" t="s">
        <v>2073</v>
      </c>
      <c r="G661" s="66">
        <v>13.0</v>
      </c>
      <c r="H661" s="66">
        <v>6.0</v>
      </c>
      <c r="I661" s="66">
        <v>1.0</v>
      </c>
      <c r="J661" s="24" t="s">
        <v>31</v>
      </c>
      <c r="K661" s="67">
        <v>22017.0</v>
      </c>
      <c r="L661" s="59"/>
      <c r="M661" s="59"/>
      <c r="N661" s="59"/>
      <c r="O661" s="59"/>
      <c r="P661" s="59"/>
      <c r="Q661" s="59"/>
      <c r="R661" s="59"/>
    </row>
    <row r="662">
      <c r="A662" s="66" t="s">
        <v>2074</v>
      </c>
      <c r="B662" s="66">
        <v>15.0</v>
      </c>
      <c r="C662" s="66">
        <v>35.0</v>
      </c>
      <c r="D662" s="24" t="s">
        <v>186</v>
      </c>
      <c r="E662" s="24" t="s">
        <v>458</v>
      </c>
      <c r="F662" s="66" t="s">
        <v>2075</v>
      </c>
      <c r="G662" s="66">
        <v>13.0</v>
      </c>
      <c r="H662" s="66">
        <v>6.0</v>
      </c>
      <c r="I662" s="66">
        <v>3.0</v>
      </c>
      <c r="J662" s="24" t="s">
        <v>39</v>
      </c>
      <c r="K662" s="67">
        <v>100316.0</v>
      </c>
      <c r="L662" s="59"/>
      <c r="M662" s="59"/>
      <c r="N662" s="59"/>
      <c r="O662" s="59"/>
      <c r="P662" s="59"/>
      <c r="Q662" s="59"/>
      <c r="R662" s="59"/>
    </row>
    <row r="663">
      <c r="A663" s="66" t="s">
        <v>2076</v>
      </c>
      <c r="B663" s="66">
        <v>73.0</v>
      </c>
      <c r="C663" s="66">
        <v>56.0</v>
      </c>
      <c r="D663" s="24" t="s">
        <v>98</v>
      </c>
      <c r="E663" s="24" t="s">
        <v>170</v>
      </c>
      <c r="F663" s="66" t="s">
        <v>2077</v>
      </c>
      <c r="G663" s="66">
        <v>34.0</v>
      </c>
      <c r="H663" s="66">
        <v>1.0</v>
      </c>
      <c r="I663" s="66">
        <v>2.0</v>
      </c>
      <c r="J663" s="24" t="s">
        <v>33</v>
      </c>
      <c r="K663" s="67">
        <v>72221.0</v>
      </c>
      <c r="L663" s="59"/>
      <c r="M663" s="59"/>
      <c r="N663" s="59"/>
      <c r="O663" s="59"/>
      <c r="P663" s="59"/>
      <c r="Q663" s="59"/>
      <c r="R663" s="59"/>
    </row>
    <row r="664">
      <c r="A664" s="66" t="s">
        <v>2078</v>
      </c>
      <c r="B664" s="66">
        <v>23.0</v>
      </c>
      <c r="C664" s="66">
        <v>77.0</v>
      </c>
      <c r="D664" s="24" t="s">
        <v>58</v>
      </c>
      <c r="E664" s="24" t="s">
        <v>217</v>
      </c>
      <c r="F664" s="66" t="s">
        <v>2079</v>
      </c>
      <c r="G664" s="66">
        <v>34.0</v>
      </c>
      <c r="H664" s="66">
        <v>1.0</v>
      </c>
      <c r="I664" s="66">
        <v>1.0</v>
      </c>
      <c r="J664" s="24" t="s">
        <v>31</v>
      </c>
      <c r="K664" s="67">
        <v>101613.0</v>
      </c>
      <c r="L664" s="59"/>
      <c r="M664" s="59"/>
      <c r="N664" s="59"/>
      <c r="O664" s="59"/>
      <c r="P664" s="59"/>
      <c r="Q664" s="59"/>
      <c r="R664" s="59"/>
    </row>
    <row r="665">
      <c r="A665" s="66" t="s">
        <v>2080</v>
      </c>
      <c r="B665" s="66">
        <v>46.0</v>
      </c>
      <c r="C665" s="66">
        <v>40.0</v>
      </c>
      <c r="D665" s="24" t="s">
        <v>1659</v>
      </c>
      <c r="E665" s="24" t="s">
        <v>821</v>
      </c>
      <c r="F665" s="66" t="s">
        <v>2081</v>
      </c>
      <c r="G665" s="66">
        <v>95.0</v>
      </c>
      <c r="H665" s="66">
        <v>5.0</v>
      </c>
      <c r="I665" s="66">
        <v>5.0</v>
      </c>
      <c r="J665" s="24" t="s">
        <v>29</v>
      </c>
      <c r="K665" s="67">
        <v>50220.0</v>
      </c>
      <c r="L665" s="59"/>
      <c r="M665" s="59"/>
      <c r="N665" s="59"/>
      <c r="O665" s="59"/>
      <c r="P665" s="59"/>
      <c r="Q665" s="59"/>
      <c r="R665" s="59"/>
    </row>
    <row r="666">
      <c r="A666" s="66" t="s">
        <v>2082</v>
      </c>
      <c r="B666" s="66">
        <v>27.0</v>
      </c>
      <c r="C666" s="66">
        <v>10.0</v>
      </c>
      <c r="D666" s="24" t="s">
        <v>319</v>
      </c>
      <c r="E666" s="24" t="s">
        <v>821</v>
      </c>
      <c r="F666" s="66" t="s">
        <v>2083</v>
      </c>
      <c r="G666" s="66">
        <v>95.0</v>
      </c>
      <c r="H666" s="66">
        <v>5.0</v>
      </c>
      <c r="I666" s="66">
        <v>9.0</v>
      </c>
      <c r="J666" s="24" t="s">
        <v>48</v>
      </c>
      <c r="K666" s="67">
        <v>92913.0</v>
      </c>
      <c r="L666" s="59"/>
      <c r="M666" s="59"/>
      <c r="N666" s="59"/>
      <c r="O666" s="59"/>
      <c r="P666" s="59"/>
      <c r="Q666" s="59"/>
      <c r="R666" s="59"/>
    </row>
    <row r="667">
      <c r="A667" s="66" t="s">
        <v>2084</v>
      </c>
      <c r="B667" s="66">
        <v>23.0</v>
      </c>
      <c r="C667" s="66">
        <v>90.0</v>
      </c>
      <c r="D667" s="24" t="s">
        <v>381</v>
      </c>
      <c r="E667" s="24" t="s">
        <v>2085</v>
      </c>
      <c r="F667" s="66" t="s">
        <v>2086</v>
      </c>
      <c r="G667" s="66">
        <v>13.0</v>
      </c>
      <c r="H667" s="66">
        <v>6.0</v>
      </c>
      <c r="I667" s="66">
        <v>4.0</v>
      </c>
      <c r="J667" s="24" t="s">
        <v>33</v>
      </c>
      <c r="K667" s="67">
        <v>21915.0</v>
      </c>
      <c r="L667" s="59"/>
      <c r="M667" s="59"/>
      <c r="N667" s="59"/>
      <c r="O667" s="59"/>
      <c r="P667" s="59"/>
      <c r="Q667" s="59"/>
      <c r="R667" s="59"/>
    </row>
    <row r="668">
      <c r="A668" s="66" t="s">
        <v>2087</v>
      </c>
      <c r="B668" s="66">
        <v>79.0</v>
      </c>
      <c r="C668" s="66">
        <v>87.0</v>
      </c>
      <c r="D668" s="24" t="s">
        <v>435</v>
      </c>
      <c r="E668" s="24" t="s">
        <v>646</v>
      </c>
      <c r="F668" s="66" t="s">
        <v>2088</v>
      </c>
      <c r="G668" s="66">
        <v>95.0</v>
      </c>
      <c r="H668" s="66">
        <v>6.0</v>
      </c>
      <c r="I668" s="66">
        <v>1.0</v>
      </c>
      <c r="J668" s="24" t="s">
        <v>39</v>
      </c>
      <c r="K668" s="67">
        <v>52121.0</v>
      </c>
      <c r="L668" s="59"/>
      <c r="M668" s="59"/>
      <c r="N668" s="59"/>
      <c r="O668" s="59"/>
      <c r="P668" s="59"/>
      <c r="Q668" s="59"/>
      <c r="R668" s="59"/>
    </row>
    <row r="669">
      <c r="A669" s="66" t="s">
        <v>2089</v>
      </c>
      <c r="B669" s="66">
        <v>81.0</v>
      </c>
      <c r="C669" s="66">
        <v>14.0</v>
      </c>
      <c r="D669" s="24" t="s">
        <v>371</v>
      </c>
      <c r="E669" s="24" t="s">
        <v>41</v>
      </c>
      <c r="F669" s="66" t="s">
        <v>2090</v>
      </c>
      <c r="G669" s="66">
        <v>54.0</v>
      </c>
      <c r="H669" s="66">
        <v>6.0</v>
      </c>
      <c r="I669" s="66">
        <v>8.0</v>
      </c>
      <c r="J669" s="24" t="s">
        <v>39</v>
      </c>
      <c r="K669" s="67">
        <v>92315.0</v>
      </c>
      <c r="L669" s="59"/>
      <c r="M669" s="59"/>
      <c r="N669" s="59"/>
      <c r="O669" s="59"/>
      <c r="P669" s="59"/>
      <c r="Q669" s="59"/>
      <c r="R669" s="59"/>
    </row>
    <row r="670">
      <c r="A670" s="66" t="s">
        <v>2091</v>
      </c>
      <c r="B670" s="66">
        <v>53.0</v>
      </c>
      <c r="C670" s="66">
        <v>62.0</v>
      </c>
      <c r="D670" s="24" t="s">
        <v>976</v>
      </c>
      <c r="E670" s="24" t="s">
        <v>424</v>
      </c>
      <c r="F670" s="66" t="s">
        <v>2092</v>
      </c>
      <c r="G670" s="66">
        <v>75.0</v>
      </c>
      <c r="H670" s="66">
        <v>1.0</v>
      </c>
      <c r="I670" s="66">
        <v>7.0</v>
      </c>
      <c r="J670" s="24" t="s">
        <v>48</v>
      </c>
      <c r="K670" s="67">
        <v>101021.0</v>
      </c>
      <c r="L670" s="59"/>
      <c r="M670" s="59"/>
      <c r="N670" s="59"/>
      <c r="O670" s="59"/>
      <c r="P670" s="59"/>
      <c r="Q670" s="59"/>
      <c r="R670" s="59"/>
    </row>
    <row r="671">
      <c r="A671" s="66" t="s">
        <v>2093</v>
      </c>
      <c r="B671" s="66">
        <v>99.0</v>
      </c>
      <c r="C671" s="66">
        <v>57.0</v>
      </c>
      <c r="D671" s="24" t="s">
        <v>469</v>
      </c>
      <c r="E671" s="24" t="s">
        <v>465</v>
      </c>
      <c r="F671" s="66" t="s">
        <v>2094</v>
      </c>
      <c r="G671" s="66">
        <v>13.0</v>
      </c>
      <c r="H671" s="66">
        <v>7.0</v>
      </c>
      <c r="I671" s="66">
        <v>4.0</v>
      </c>
      <c r="J671" s="24" t="s">
        <v>31</v>
      </c>
      <c r="K671" s="67">
        <v>40818.0</v>
      </c>
      <c r="L671" s="59"/>
      <c r="M671" s="59"/>
      <c r="N671" s="59"/>
      <c r="O671" s="59"/>
      <c r="P671" s="59"/>
      <c r="Q671" s="59"/>
      <c r="R671" s="59"/>
    </row>
    <row r="672">
      <c r="A672" s="66" t="s">
        <v>2095</v>
      </c>
      <c r="B672" s="66">
        <v>33.0</v>
      </c>
      <c r="C672" s="66">
        <v>86.0</v>
      </c>
      <c r="D672" s="24" t="s">
        <v>1124</v>
      </c>
      <c r="E672" s="24" t="s">
        <v>117</v>
      </c>
      <c r="F672" s="66" t="s">
        <v>2096</v>
      </c>
      <c r="G672" s="66">
        <v>95.0</v>
      </c>
      <c r="H672" s="66">
        <v>6.0</v>
      </c>
      <c r="I672" s="66">
        <v>7.0</v>
      </c>
      <c r="J672" s="24" t="s">
        <v>39</v>
      </c>
      <c r="K672" s="67">
        <v>11417.0</v>
      </c>
      <c r="L672" s="59"/>
      <c r="M672" s="59"/>
      <c r="N672" s="59"/>
      <c r="O672" s="59"/>
      <c r="P672" s="59"/>
      <c r="Q672" s="59"/>
      <c r="R672" s="59"/>
    </row>
    <row r="673">
      <c r="A673" s="66" t="s">
        <v>2097</v>
      </c>
      <c r="B673" s="66">
        <v>45.0</v>
      </c>
      <c r="C673" s="66">
        <v>20.0</v>
      </c>
      <c r="D673" s="24" t="s">
        <v>32</v>
      </c>
      <c r="E673" s="24" t="s">
        <v>181</v>
      </c>
      <c r="F673" s="66" t="s">
        <v>2098</v>
      </c>
      <c r="G673" s="66">
        <v>13.0</v>
      </c>
      <c r="H673" s="66">
        <v>7.0</v>
      </c>
      <c r="I673" s="66">
        <v>8.0</v>
      </c>
      <c r="J673" s="24" t="s">
        <v>33</v>
      </c>
      <c r="K673" s="67">
        <v>111620.0</v>
      </c>
      <c r="L673" s="59"/>
      <c r="M673" s="59"/>
      <c r="N673" s="59"/>
      <c r="O673" s="59"/>
      <c r="P673" s="59"/>
      <c r="Q673" s="59"/>
      <c r="R673" s="59"/>
    </row>
    <row r="674">
      <c r="A674" s="66" t="s">
        <v>2099</v>
      </c>
      <c r="B674" s="66">
        <v>80.0</v>
      </c>
      <c r="C674" s="66">
        <v>93.0</v>
      </c>
      <c r="D674" s="24" t="s">
        <v>512</v>
      </c>
      <c r="E674" s="24" t="s">
        <v>159</v>
      </c>
      <c r="F674" s="66" t="s">
        <v>2100</v>
      </c>
      <c r="G674" s="66">
        <v>95.0</v>
      </c>
      <c r="H674" s="66">
        <v>7.0</v>
      </c>
      <c r="I674" s="66">
        <v>1.0</v>
      </c>
      <c r="J674" s="24" t="s">
        <v>48</v>
      </c>
      <c r="K674" s="67">
        <v>111819.0</v>
      </c>
      <c r="L674" s="59"/>
      <c r="M674" s="59"/>
      <c r="N674" s="59"/>
      <c r="O674" s="59"/>
      <c r="P674" s="59"/>
      <c r="Q674" s="59"/>
      <c r="R674" s="59"/>
    </row>
    <row r="675">
      <c r="A675" s="66" t="s">
        <v>2101</v>
      </c>
      <c r="B675" s="66">
        <v>48.0</v>
      </c>
      <c r="C675" s="66">
        <v>52.0</v>
      </c>
      <c r="D675" s="24" t="s">
        <v>303</v>
      </c>
      <c r="E675" s="24" t="s">
        <v>292</v>
      </c>
      <c r="F675" s="66" t="s">
        <v>2102</v>
      </c>
      <c r="G675" s="66">
        <v>54.0</v>
      </c>
      <c r="H675" s="66">
        <v>7.0</v>
      </c>
      <c r="I675" s="66">
        <v>8.0</v>
      </c>
      <c r="J675" s="24" t="s">
        <v>29</v>
      </c>
      <c r="K675" s="67">
        <v>22314.0</v>
      </c>
      <c r="L675" s="59"/>
      <c r="M675" s="59"/>
      <c r="N675" s="59"/>
      <c r="O675" s="59"/>
      <c r="P675" s="59"/>
      <c r="Q675" s="59"/>
      <c r="R675" s="59"/>
    </row>
    <row r="676">
      <c r="A676" s="66" t="s">
        <v>2103</v>
      </c>
      <c r="B676" s="66">
        <v>95.0</v>
      </c>
      <c r="C676" s="66">
        <v>48.0</v>
      </c>
      <c r="D676" s="24" t="s">
        <v>1613</v>
      </c>
      <c r="E676" s="24" t="s">
        <v>314</v>
      </c>
      <c r="F676" s="66" t="s">
        <v>2104</v>
      </c>
      <c r="G676" s="66">
        <v>13.0</v>
      </c>
      <c r="H676" s="66">
        <v>8.0</v>
      </c>
      <c r="I676" s="66">
        <v>2.0</v>
      </c>
      <c r="J676" s="24" t="s">
        <v>33</v>
      </c>
      <c r="K676" s="67">
        <v>102513.0</v>
      </c>
      <c r="L676" s="59"/>
      <c r="M676" s="59"/>
      <c r="N676" s="59"/>
      <c r="O676" s="59"/>
      <c r="P676" s="59"/>
      <c r="Q676" s="59"/>
      <c r="R676" s="59"/>
    </row>
    <row r="677">
      <c r="A677" s="66" t="s">
        <v>2105</v>
      </c>
      <c r="B677" s="66">
        <v>37.0</v>
      </c>
      <c r="C677" s="66">
        <v>44.0</v>
      </c>
      <c r="D677" s="24" t="s">
        <v>492</v>
      </c>
      <c r="E677" s="24" t="s">
        <v>213</v>
      </c>
      <c r="F677" s="66" t="s">
        <v>2106</v>
      </c>
      <c r="G677" s="66">
        <v>34.0</v>
      </c>
      <c r="H677" s="66">
        <v>3.0</v>
      </c>
      <c r="I677" s="66">
        <v>1.0</v>
      </c>
      <c r="J677" s="24" t="s">
        <v>29</v>
      </c>
      <c r="K677" s="67">
        <v>40622.0</v>
      </c>
      <c r="L677" s="59"/>
      <c r="M677" s="59"/>
      <c r="N677" s="59"/>
      <c r="O677" s="59"/>
      <c r="P677" s="59"/>
      <c r="Q677" s="59"/>
      <c r="R677" s="59"/>
    </row>
    <row r="678">
      <c r="A678" s="66" t="s">
        <v>2107</v>
      </c>
      <c r="B678" s="66">
        <v>48.0</v>
      </c>
      <c r="C678" s="66">
        <v>98.0</v>
      </c>
      <c r="D678" s="24" t="s">
        <v>714</v>
      </c>
      <c r="E678" s="24" t="s">
        <v>425</v>
      </c>
      <c r="F678" s="66" t="s">
        <v>2108</v>
      </c>
      <c r="G678" s="66">
        <v>54.0</v>
      </c>
      <c r="H678" s="66">
        <v>8.0</v>
      </c>
      <c r="I678" s="66">
        <v>1.0</v>
      </c>
      <c r="J678" s="24" t="s">
        <v>39</v>
      </c>
      <c r="K678" s="67">
        <v>62914.0</v>
      </c>
      <c r="L678" s="59"/>
      <c r="M678" s="59"/>
      <c r="N678" s="59"/>
      <c r="O678" s="59"/>
      <c r="P678" s="59"/>
      <c r="Q678" s="59"/>
      <c r="R678" s="59"/>
    </row>
    <row r="679">
      <c r="A679" s="66" t="s">
        <v>2109</v>
      </c>
      <c r="B679" s="66">
        <v>32.0</v>
      </c>
      <c r="C679" s="66">
        <v>70.0</v>
      </c>
      <c r="D679" s="24" t="s">
        <v>461</v>
      </c>
      <c r="E679" s="24" t="s">
        <v>164</v>
      </c>
      <c r="F679" s="66" t="s">
        <v>2110</v>
      </c>
      <c r="G679" s="66">
        <v>13.0</v>
      </c>
      <c r="H679" s="66">
        <v>8.0</v>
      </c>
      <c r="I679" s="66">
        <v>3.0</v>
      </c>
      <c r="J679" s="24" t="s">
        <v>33</v>
      </c>
      <c r="K679" s="67">
        <v>70721.0</v>
      </c>
      <c r="L679" s="59"/>
      <c r="M679" s="59"/>
      <c r="N679" s="59"/>
      <c r="O679" s="59"/>
      <c r="P679" s="59"/>
      <c r="Q679" s="59"/>
      <c r="R679" s="59"/>
    </row>
    <row r="680">
      <c r="A680" s="66" t="s">
        <v>2111</v>
      </c>
      <c r="B680" s="66">
        <v>73.0</v>
      </c>
      <c r="C680" s="66">
        <v>61.0</v>
      </c>
      <c r="D680" s="24" t="s">
        <v>894</v>
      </c>
      <c r="E680" s="24" t="s">
        <v>2112</v>
      </c>
      <c r="F680" s="66" t="s">
        <v>2113</v>
      </c>
      <c r="G680" s="66">
        <v>95.0</v>
      </c>
      <c r="H680" s="66">
        <v>7.0</v>
      </c>
      <c r="I680" s="66">
        <v>4.0</v>
      </c>
      <c r="J680" s="24" t="s">
        <v>31</v>
      </c>
      <c r="K680" s="67">
        <v>41016.0</v>
      </c>
      <c r="L680" s="59"/>
      <c r="M680" s="59"/>
      <c r="N680" s="59"/>
      <c r="O680" s="59"/>
      <c r="P680" s="59"/>
      <c r="Q680" s="59"/>
      <c r="R680" s="59"/>
    </row>
    <row r="681">
      <c r="A681" s="66" t="s">
        <v>2114</v>
      </c>
      <c r="B681" s="66">
        <v>84.0</v>
      </c>
      <c r="C681" s="66">
        <v>15.0</v>
      </c>
      <c r="D681" s="24" t="s">
        <v>2010</v>
      </c>
      <c r="E681" s="24" t="s">
        <v>924</v>
      </c>
      <c r="F681" s="66" t="s">
        <v>2115</v>
      </c>
      <c r="G681" s="66">
        <v>34.0</v>
      </c>
      <c r="H681" s="66">
        <v>3.0</v>
      </c>
      <c r="I681" s="66">
        <v>6.0</v>
      </c>
      <c r="J681" s="24" t="s">
        <v>39</v>
      </c>
      <c r="K681" s="67">
        <v>101717.0</v>
      </c>
      <c r="L681" s="59"/>
      <c r="M681" s="59"/>
      <c r="N681" s="59"/>
      <c r="O681" s="59"/>
      <c r="P681" s="59"/>
      <c r="Q681" s="59"/>
      <c r="R681" s="59"/>
    </row>
    <row r="682">
      <c r="A682" s="66" t="s">
        <v>2116</v>
      </c>
      <c r="B682" s="66">
        <v>81.0</v>
      </c>
      <c r="C682" s="66">
        <v>63.0</v>
      </c>
      <c r="D682" s="24" t="s">
        <v>207</v>
      </c>
      <c r="E682" s="24" t="s">
        <v>1303</v>
      </c>
      <c r="F682" s="66" t="s">
        <v>2117</v>
      </c>
      <c r="G682" s="66">
        <v>54.0</v>
      </c>
      <c r="H682" s="66">
        <v>8.0</v>
      </c>
      <c r="I682" s="66">
        <v>5.0</v>
      </c>
      <c r="J682" s="24" t="s">
        <v>33</v>
      </c>
      <c r="K682" s="67">
        <v>81716.0</v>
      </c>
      <c r="L682" s="59"/>
      <c r="M682" s="59"/>
      <c r="N682" s="59"/>
      <c r="O682" s="59"/>
      <c r="P682" s="59"/>
      <c r="Q682" s="59"/>
      <c r="R682" s="59"/>
    </row>
    <row r="683">
      <c r="A683" s="66" t="s">
        <v>2118</v>
      </c>
      <c r="B683" s="66">
        <v>93.0</v>
      </c>
      <c r="C683" s="66">
        <v>50.0</v>
      </c>
      <c r="D683" s="24" t="s">
        <v>509</v>
      </c>
      <c r="E683" s="24" t="s">
        <v>290</v>
      </c>
      <c r="F683" s="66" t="s">
        <v>2119</v>
      </c>
      <c r="G683" s="66">
        <v>75.0</v>
      </c>
      <c r="H683" s="66">
        <v>3.0</v>
      </c>
      <c r="I683" s="66">
        <v>4.0</v>
      </c>
      <c r="J683" s="24" t="s">
        <v>39</v>
      </c>
      <c r="K683" s="67">
        <v>30422.0</v>
      </c>
      <c r="L683" s="59"/>
      <c r="M683" s="59"/>
      <c r="N683" s="59"/>
      <c r="O683" s="59"/>
      <c r="P683" s="59"/>
      <c r="Q683" s="59"/>
      <c r="R683" s="59"/>
    </row>
    <row r="684">
      <c r="A684" s="66" t="s">
        <v>2120</v>
      </c>
      <c r="B684" s="66">
        <v>99.0</v>
      </c>
      <c r="C684" s="66">
        <v>50.0</v>
      </c>
      <c r="D684" s="24" t="s">
        <v>200</v>
      </c>
      <c r="E684" s="24" t="s">
        <v>403</v>
      </c>
      <c r="F684" s="66" t="s">
        <v>2121</v>
      </c>
      <c r="G684" s="66">
        <v>75.0</v>
      </c>
      <c r="H684" s="66">
        <v>2.0</v>
      </c>
      <c r="I684" s="66">
        <v>9.0</v>
      </c>
      <c r="J684" s="24" t="s">
        <v>39</v>
      </c>
      <c r="K684" s="67">
        <v>30514.0</v>
      </c>
      <c r="L684" s="59"/>
      <c r="M684" s="59"/>
      <c r="N684" s="59"/>
      <c r="O684" s="59"/>
      <c r="P684" s="59"/>
      <c r="Q684" s="59"/>
      <c r="R684" s="59"/>
    </row>
    <row r="685">
      <c r="A685" s="66" t="s">
        <v>2122</v>
      </c>
      <c r="B685" s="66">
        <v>30.0</v>
      </c>
      <c r="C685" s="66">
        <v>19.0</v>
      </c>
      <c r="D685" s="24" t="s">
        <v>630</v>
      </c>
      <c r="E685" s="24" t="s">
        <v>184</v>
      </c>
      <c r="F685" s="66" t="s">
        <v>2123</v>
      </c>
      <c r="G685" s="66">
        <v>34.0</v>
      </c>
      <c r="H685" s="66">
        <v>3.0</v>
      </c>
      <c r="I685" s="66">
        <v>2.0</v>
      </c>
      <c r="J685" s="24" t="s">
        <v>33</v>
      </c>
      <c r="K685" s="67">
        <v>52421.0</v>
      </c>
      <c r="L685" s="59"/>
      <c r="M685" s="59"/>
      <c r="N685" s="59"/>
      <c r="O685" s="59"/>
      <c r="P685" s="59"/>
      <c r="Q685" s="59"/>
      <c r="R685" s="59"/>
    </row>
    <row r="686">
      <c r="A686" s="66" t="s">
        <v>2124</v>
      </c>
      <c r="B686" s="66">
        <v>68.0</v>
      </c>
      <c r="C686" s="66">
        <v>82.0</v>
      </c>
      <c r="D686" s="24" t="s">
        <v>252</v>
      </c>
      <c r="E686" s="24" t="s">
        <v>500</v>
      </c>
      <c r="F686" s="66" t="s">
        <v>2125</v>
      </c>
      <c r="G686" s="66">
        <v>34.0</v>
      </c>
      <c r="H686" s="66">
        <v>4.0</v>
      </c>
      <c r="I686" s="66">
        <v>1.0</v>
      </c>
      <c r="J686" s="24" t="s">
        <v>33</v>
      </c>
      <c r="K686" s="67">
        <v>60522.0</v>
      </c>
      <c r="L686" s="59"/>
      <c r="M686" s="59"/>
      <c r="N686" s="59"/>
      <c r="O686" s="59"/>
      <c r="P686" s="59"/>
      <c r="Q686" s="59"/>
      <c r="R686" s="59"/>
    </row>
    <row r="687">
      <c r="A687" s="66" t="s">
        <v>2126</v>
      </c>
      <c r="B687" s="66">
        <v>69.0</v>
      </c>
      <c r="C687" s="66">
        <v>81.0</v>
      </c>
      <c r="D687" s="24" t="s">
        <v>243</v>
      </c>
      <c r="E687" s="24" t="s">
        <v>226</v>
      </c>
      <c r="F687" s="66" t="s">
        <v>2127</v>
      </c>
      <c r="G687" s="66">
        <v>34.0</v>
      </c>
      <c r="H687" s="66">
        <v>4.0</v>
      </c>
      <c r="I687" s="66">
        <v>3.0</v>
      </c>
      <c r="J687" s="24" t="s">
        <v>39</v>
      </c>
      <c r="K687" s="67">
        <v>32618.0</v>
      </c>
      <c r="L687" s="59"/>
      <c r="M687" s="59"/>
      <c r="N687" s="59"/>
      <c r="O687" s="59"/>
      <c r="P687" s="59"/>
      <c r="Q687" s="59"/>
      <c r="R687" s="59"/>
    </row>
    <row r="688">
      <c r="A688" s="66" t="s">
        <v>2128</v>
      </c>
      <c r="B688" s="66">
        <v>19.0</v>
      </c>
      <c r="C688" s="66">
        <v>39.0</v>
      </c>
      <c r="D688" s="24" t="s">
        <v>1605</v>
      </c>
      <c r="E688" s="24" t="s">
        <v>436</v>
      </c>
      <c r="F688" s="66" t="s">
        <v>2129</v>
      </c>
      <c r="G688" s="66">
        <v>13.0</v>
      </c>
      <c r="H688" s="66">
        <v>9.0</v>
      </c>
      <c r="I688" s="66">
        <v>7.0</v>
      </c>
      <c r="J688" s="24" t="s">
        <v>39</v>
      </c>
      <c r="K688" s="67">
        <v>70623.0</v>
      </c>
      <c r="L688" s="59"/>
      <c r="M688" s="59"/>
      <c r="N688" s="59"/>
      <c r="O688" s="59"/>
      <c r="P688" s="59"/>
      <c r="Q688" s="59"/>
      <c r="R688" s="59"/>
    </row>
    <row r="689">
      <c r="A689" s="66" t="s">
        <v>2130</v>
      </c>
      <c r="B689" s="66">
        <v>17.0</v>
      </c>
      <c r="C689" s="66">
        <v>91.0</v>
      </c>
      <c r="D689" s="24" t="s">
        <v>431</v>
      </c>
      <c r="E689" s="24" t="s">
        <v>1187</v>
      </c>
      <c r="F689" s="66" t="s">
        <v>2131</v>
      </c>
      <c r="G689" s="66">
        <v>75.0</v>
      </c>
      <c r="H689" s="66">
        <v>4.0</v>
      </c>
      <c r="I689" s="66">
        <v>1.0</v>
      </c>
      <c r="J689" s="24" t="s">
        <v>31</v>
      </c>
      <c r="K689" s="67">
        <v>72823.0</v>
      </c>
      <c r="L689" s="59"/>
      <c r="M689" s="59"/>
      <c r="N689" s="59"/>
      <c r="O689" s="59"/>
      <c r="P689" s="59"/>
      <c r="Q689" s="59"/>
      <c r="R689" s="59"/>
    </row>
    <row r="690">
      <c r="A690" s="66" t="s">
        <v>2132</v>
      </c>
      <c r="B690" s="66">
        <v>68.0</v>
      </c>
      <c r="C690" s="66">
        <v>89.0</v>
      </c>
      <c r="D690" s="24" t="s">
        <v>135</v>
      </c>
      <c r="E690" s="24" t="s">
        <v>2133</v>
      </c>
      <c r="F690" s="66" t="s">
        <v>2134</v>
      </c>
      <c r="G690" s="66">
        <v>75.0</v>
      </c>
      <c r="H690" s="66">
        <v>4.0</v>
      </c>
      <c r="I690" s="66">
        <v>2.0</v>
      </c>
      <c r="J690" s="24" t="s">
        <v>33</v>
      </c>
      <c r="K690" s="67">
        <v>72920.0</v>
      </c>
      <c r="L690" s="59"/>
      <c r="M690" s="59"/>
      <c r="N690" s="59"/>
      <c r="O690" s="59"/>
      <c r="P690" s="59"/>
      <c r="Q690" s="59"/>
      <c r="R690" s="59"/>
    </row>
    <row r="691">
      <c r="A691" s="66" t="s">
        <v>2135</v>
      </c>
      <c r="B691" s="66">
        <v>41.0</v>
      </c>
      <c r="C691" s="66">
        <v>49.0</v>
      </c>
      <c r="D691" s="24" t="s">
        <v>318</v>
      </c>
      <c r="E691" s="24" t="s">
        <v>535</v>
      </c>
      <c r="F691" s="66" t="s">
        <v>2136</v>
      </c>
      <c r="G691" s="66">
        <v>75.0</v>
      </c>
      <c r="H691" s="66">
        <v>4.0</v>
      </c>
      <c r="I691" s="66">
        <v>4.0</v>
      </c>
      <c r="J691" s="24" t="s">
        <v>33</v>
      </c>
      <c r="K691" s="67">
        <v>51721.0</v>
      </c>
      <c r="L691" s="59"/>
      <c r="M691" s="59"/>
      <c r="N691" s="59"/>
      <c r="O691" s="59"/>
      <c r="P691" s="59"/>
      <c r="Q691" s="59"/>
      <c r="R691" s="59"/>
    </row>
    <row r="692">
      <c r="A692" s="66" t="s">
        <v>2137</v>
      </c>
      <c r="B692" s="66">
        <v>36.0</v>
      </c>
      <c r="C692" s="66">
        <v>74.0</v>
      </c>
      <c r="D692" s="24" t="s">
        <v>233</v>
      </c>
      <c r="E692" s="24" t="s">
        <v>105</v>
      </c>
      <c r="F692" s="66" t="s">
        <v>2138</v>
      </c>
      <c r="G692" s="66">
        <v>34.0</v>
      </c>
      <c r="H692" s="66">
        <v>5.0</v>
      </c>
      <c r="I692" s="66">
        <v>1.0</v>
      </c>
      <c r="J692" s="24" t="s">
        <v>31</v>
      </c>
      <c r="K692" s="67">
        <v>11515.0</v>
      </c>
      <c r="L692" s="59"/>
      <c r="M692" s="59"/>
      <c r="N692" s="59"/>
      <c r="O692" s="59"/>
      <c r="P692" s="59"/>
      <c r="Q692" s="59"/>
      <c r="R692" s="59"/>
    </row>
    <row r="693">
      <c r="A693" s="66" t="s">
        <v>2139</v>
      </c>
      <c r="B693" s="66">
        <v>63.0</v>
      </c>
      <c r="C693" s="66">
        <v>65.0</v>
      </c>
      <c r="D693" s="24" t="s">
        <v>137</v>
      </c>
      <c r="E693" s="24" t="s">
        <v>624</v>
      </c>
      <c r="F693" s="66" t="s">
        <v>2140</v>
      </c>
      <c r="G693" s="66">
        <v>34.0</v>
      </c>
      <c r="H693" s="66">
        <v>5.0</v>
      </c>
      <c r="I693" s="66">
        <v>4.0</v>
      </c>
      <c r="J693" s="24" t="s">
        <v>48</v>
      </c>
      <c r="K693" s="67">
        <v>20115.0</v>
      </c>
      <c r="L693" s="59"/>
      <c r="M693" s="59"/>
      <c r="N693" s="59"/>
      <c r="O693" s="59"/>
      <c r="P693" s="59"/>
      <c r="Q693" s="59"/>
      <c r="R693" s="59"/>
    </row>
    <row r="694">
      <c r="A694" s="66" t="s">
        <v>2141</v>
      </c>
      <c r="B694" s="66">
        <v>91.0</v>
      </c>
      <c r="C694" s="66">
        <v>60.0</v>
      </c>
      <c r="D694" s="24" t="s">
        <v>167</v>
      </c>
      <c r="E694" s="24" t="s">
        <v>271</v>
      </c>
      <c r="F694" s="66" t="s">
        <v>2142</v>
      </c>
      <c r="G694" s="66">
        <v>75.0</v>
      </c>
      <c r="H694" s="66">
        <v>5.0</v>
      </c>
      <c r="I694" s="66">
        <v>3.0</v>
      </c>
      <c r="J694" s="24" t="s">
        <v>31</v>
      </c>
      <c r="K694" s="67">
        <v>71920.0</v>
      </c>
      <c r="L694" s="59"/>
      <c r="M694" s="59"/>
      <c r="N694" s="59"/>
      <c r="O694" s="59"/>
      <c r="P694" s="59"/>
      <c r="Q694" s="59"/>
      <c r="R694" s="59"/>
    </row>
    <row r="695">
      <c r="A695" s="66" t="s">
        <v>2143</v>
      </c>
      <c r="B695" s="66">
        <v>46.0</v>
      </c>
      <c r="C695" s="66">
        <v>96.0</v>
      </c>
      <c r="D695" s="24" t="s">
        <v>433</v>
      </c>
      <c r="E695" s="24" t="s">
        <v>247</v>
      </c>
      <c r="F695" s="66" t="s">
        <v>2144</v>
      </c>
      <c r="G695" s="66">
        <v>14.0</v>
      </c>
      <c r="H695" s="66">
        <v>1.0</v>
      </c>
      <c r="I695" s="66">
        <v>2.0</v>
      </c>
      <c r="J695" s="24" t="s">
        <v>33</v>
      </c>
      <c r="K695" s="67">
        <v>20718.0</v>
      </c>
      <c r="L695" s="59"/>
      <c r="M695" s="59"/>
      <c r="N695" s="59"/>
      <c r="O695" s="59"/>
      <c r="P695" s="59"/>
      <c r="Q695" s="59"/>
      <c r="R695" s="59"/>
    </row>
    <row r="696">
      <c r="A696" s="66" t="s">
        <v>2145</v>
      </c>
      <c r="B696" s="66">
        <v>96.0</v>
      </c>
      <c r="C696" s="66">
        <v>41.0</v>
      </c>
      <c r="D696" s="24" t="s">
        <v>40</v>
      </c>
      <c r="E696" s="24" t="s">
        <v>405</v>
      </c>
      <c r="F696" s="66" t="s">
        <v>2146</v>
      </c>
      <c r="G696" s="66">
        <v>75.0</v>
      </c>
      <c r="H696" s="66">
        <v>5.0</v>
      </c>
      <c r="I696" s="66">
        <v>8.0</v>
      </c>
      <c r="J696" s="24" t="s">
        <v>33</v>
      </c>
      <c r="K696" s="67">
        <v>41718.0</v>
      </c>
      <c r="L696" s="59"/>
      <c r="M696" s="59"/>
      <c r="N696" s="59"/>
      <c r="O696" s="59"/>
      <c r="P696" s="59"/>
      <c r="Q696" s="59"/>
      <c r="R696" s="59"/>
    </row>
    <row r="697">
      <c r="A697" s="66" t="s">
        <v>2147</v>
      </c>
      <c r="B697" s="66">
        <v>66.0</v>
      </c>
      <c r="C697" s="66">
        <v>17.0</v>
      </c>
      <c r="D697" s="24" t="s">
        <v>418</v>
      </c>
      <c r="E697" s="24" t="s">
        <v>479</v>
      </c>
      <c r="F697" s="66" t="s">
        <v>2148</v>
      </c>
      <c r="G697" s="66">
        <v>34.0</v>
      </c>
      <c r="H697" s="66">
        <v>6.0</v>
      </c>
      <c r="I697" s="66">
        <v>3.0</v>
      </c>
      <c r="J697" s="24" t="s">
        <v>33</v>
      </c>
      <c r="K697" s="67">
        <v>110522.0</v>
      </c>
      <c r="L697" s="59"/>
      <c r="M697" s="59"/>
      <c r="N697" s="59"/>
      <c r="O697" s="59"/>
      <c r="P697" s="59"/>
      <c r="Q697" s="59"/>
      <c r="R697" s="59"/>
    </row>
    <row r="698">
      <c r="A698" s="66" t="s">
        <v>2149</v>
      </c>
      <c r="B698" s="66">
        <v>25.0</v>
      </c>
      <c r="C698" s="66">
        <v>50.0</v>
      </c>
      <c r="D698" s="24" t="s">
        <v>255</v>
      </c>
      <c r="E698" s="24" t="s">
        <v>686</v>
      </c>
      <c r="F698" s="66" t="s">
        <v>2150</v>
      </c>
      <c r="G698" s="66">
        <v>55.0</v>
      </c>
      <c r="H698" s="66">
        <v>1.0</v>
      </c>
      <c r="I698" s="66">
        <v>4.0</v>
      </c>
      <c r="J698" s="24" t="s">
        <v>29</v>
      </c>
      <c r="K698" s="67">
        <v>82418.0</v>
      </c>
      <c r="L698" s="59"/>
      <c r="M698" s="59"/>
      <c r="N698" s="59"/>
      <c r="O698" s="59"/>
      <c r="P698" s="59"/>
      <c r="Q698" s="59"/>
      <c r="R698" s="59"/>
    </row>
    <row r="699">
      <c r="A699" s="66" t="s">
        <v>2151</v>
      </c>
      <c r="B699" s="66">
        <v>11.0</v>
      </c>
      <c r="C699" s="66">
        <v>17.0</v>
      </c>
      <c r="D699" s="24" t="s">
        <v>268</v>
      </c>
      <c r="E699" s="24" t="s">
        <v>56</v>
      </c>
      <c r="F699" s="66" t="s">
        <v>2152</v>
      </c>
      <c r="G699" s="66">
        <v>75.0</v>
      </c>
      <c r="H699" s="66">
        <v>6.0</v>
      </c>
      <c r="I699" s="66">
        <v>6.0</v>
      </c>
      <c r="J699" s="24" t="s">
        <v>31</v>
      </c>
      <c r="K699" s="67">
        <v>92514.0</v>
      </c>
      <c r="L699" s="59"/>
      <c r="M699" s="59"/>
      <c r="N699" s="59"/>
      <c r="O699" s="59"/>
      <c r="P699" s="59"/>
      <c r="Q699" s="59"/>
      <c r="R699" s="59"/>
    </row>
    <row r="700">
      <c r="A700" s="66" t="s">
        <v>2153</v>
      </c>
      <c r="B700" s="66">
        <v>83.0</v>
      </c>
      <c r="C700" s="66">
        <v>20.0</v>
      </c>
      <c r="D700" s="24" t="s">
        <v>426</v>
      </c>
      <c r="E700" s="24" t="s">
        <v>294</v>
      </c>
      <c r="F700" s="66" t="s">
        <v>2154</v>
      </c>
      <c r="G700" s="66">
        <v>14.0</v>
      </c>
      <c r="H700" s="66">
        <v>2.0</v>
      </c>
      <c r="I700" s="66">
        <v>3.0</v>
      </c>
      <c r="J700" s="24" t="s">
        <v>33</v>
      </c>
      <c r="K700" s="67">
        <v>72922.0</v>
      </c>
      <c r="L700" s="59"/>
      <c r="M700" s="59"/>
      <c r="N700" s="59"/>
      <c r="O700" s="59"/>
      <c r="P700" s="59"/>
      <c r="Q700" s="59"/>
      <c r="R700" s="59"/>
    </row>
    <row r="701">
      <c r="A701" s="66" t="s">
        <v>2155</v>
      </c>
      <c r="B701" s="66">
        <v>86.0</v>
      </c>
      <c r="C701" s="66">
        <v>79.0</v>
      </c>
      <c r="D701" s="24" t="s">
        <v>59</v>
      </c>
      <c r="E701" s="24" t="s">
        <v>79</v>
      </c>
      <c r="F701" s="66" t="s">
        <v>2156</v>
      </c>
      <c r="G701" s="66">
        <v>34.0</v>
      </c>
      <c r="H701" s="66">
        <v>7.0</v>
      </c>
      <c r="I701" s="66">
        <v>1.0</v>
      </c>
      <c r="J701" s="24" t="s">
        <v>48</v>
      </c>
      <c r="K701" s="67">
        <v>111119.0</v>
      </c>
      <c r="L701" s="59"/>
      <c r="M701" s="59"/>
      <c r="N701" s="59"/>
      <c r="O701" s="59"/>
      <c r="P701" s="59"/>
      <c r="Q701" s="59"/>
      <c r="R701" s="59"/>
    </row>
    <row r="702">
      <c r="A702" s="66" t="s">
        <v>2157</v>
      </c>
      <c r="B702" s="66">
        <v>54.0</v>
      </c>
      <c r="C702" s="66">
        <v>21.0</v>
      </c>
      <c r="D702" s="24" t="s">
        <v>368</v>
      </c>
      <c r="E702" s="24" t="s">
        <v>305</v>
      </c>
      <c r="F702" s="66" t="s">
        <v>2158</v>
      </c>
      <c r="G702" s="66">
        <v>96.0</v>
      </c>
      <c r="H702" s="66">
        <v>1.0</v>
      </c>
      <c r="I702" s="66">
        <v>4.0</v>
      </c>
      <c r="J702" s="24" t="s">
        <v>29</v>
      </c>
      <c r="K702" s="67">
        <v>10617.0</v>
      </c>
      <c r="L702" s="59"/>
      <c r="M702" s="59"/>
      <c r="N702" s="59"/>
      <c r="O702" s="59"/>
      <c r="P702" s="59"/>
      <c r="Q702" s="59"/>
      <c r="R702" s="59"/>
    </row>
    <row r="703">
      <c r="A703" s="66" t="s">
        <v>2159</v>
      </c>
      <c r="B703" s="66">
        <v>65.0</v>
      </c>
      <c r="C703" s="66">
        <v>92.0</v>
      </c>
      <c r="D703" s="24" t="s">
        <v>662</v>
      </c>
      <c r="E703" s="24" t="s">
        <v>969</v>
      </c>
      <c r="F703" s="66" t="s">
        <v>2160</v>
      </c>
      <c r="G703" s="66">
        <v>96.0</v>
      </c>
      <c r="H703" s="66">
        <v>1.0</v>
      </c>
      <c r="I703" s="66">
        <v>8.0</v>
      </c>
      <c r="J703" s="24" t="s">
        <v>31</v>
      </c>
      <c r="K703" s="67">
        <v>31017.0</v>
      </c>
      <c r="L703" s="59"/>
      <c r="M703" s="59"/>
      <c r="N703" s="59"/>
      <c r="O703" s="59"/>
      <c r="P703" s="59"/>
      <c r="Q703" s="59"/>
      <c r="R703" s="59"/>
    </row>
    <row r="704">
      <c r="A704" s="66" t="s">
        <v>2161</v>
      </c>
      <c r="B704" s="66">
        <v>92.0</v>
      </c>
      <c r="C704" s="66">
        <v>78.0</v>
      </c>
      <c r="D704" s="24" t="s">
        <v>204</v>
      </c>
      <c r="E704" s="24" t="s">
        <v>881</v>
      </c>
      <c r="F704" s="66" t="s">
        <v>2162</v>
      </c>
      <c r="G704" s="66">
        <v>75.0</v>
      </c>
      <c r="H704" s="66">
        <v>7.0</v>
      </c>
      <c r="I704" s="66">
        <v>3.0</v>
      </c>
      <c r="J704" s="24" t="s">
        <v>29</v>
      </c>
      <c r="K704" s="67">
        <v>71913.0</v>
      </c>
      <c r="L704" s="59"/>
      <c r="M704" s="59"/>
      <c r="N704" s="59"/>
      <c r="O704" s="59"/>
      <c r="P704" s="59"/>
      <c r="Q704" s="59"/>
      <c r="R704" s="59"/>
    </row>
    <row r="705">
      <c r="A705" s="66" t="s">
        <v>2163</v>
      </c>
      <c r="B705" s="66">
        <v>85.0</v>
      </c>
      <c r="C705" s="66">
        <v>43.0</v>
      </c>
      <c r="D705" s="24" t="s">
        <v>2164</v>
      </c>
      <c r="E705" s="24" t="s">
        <v>714</v>
      </c>
      <c r="F705" s="66" t="s">
        <v>2165</v>
      </c>
      <c r="G705" s="66">
        <v>96.0</v>
      </c>
      <c r="H705" s="66">
        <v>2.0</v>
      </c>
      <c r="I705" s="66">
        <v>6.0</v>
      </c>
      <c r="J705" s="24" t="s">
        <v>39</v>
      </c>
      <c r="K705" s="67">
        <v>110119.0</v>
      </c>
      <c r="L705" s="59"/>
      <c r="M705" s="59"/>
      <c r="N705" s="59"/>
      <c r="O705" s="59"/>
      <c r="P705" s="59"/>
      <c r="Q705" s="59"/>
      <c r="R705" s="59"/>
    </row>
    <row r="706">
      <c r="A706" s="66" t="s">
        <v>2166</v>
      </c>
      <c r="B706" s="66">
        <v>16.0</v>
      </c>
      <c r="C706" s="66">
        <v>91.0</v>
      </c>
      <c r="D706" s="24" t="s">
        <v>1181</v>
      </c>
      <c r="E706" s="24" t="s">
        <v>183</v>
      </c>
      <c r="F706" s="66" t="s">
        <v>2167</v>
      </c>
      <c r="G706" s="66">
        <v>75.0</v>
      </c>
      <c r="H706" s="66">
        <v>7.0</v>
      </c>
      <c r="I706" s="66">
        <v>9.0</v>
      </c>
      <c r="J706" s="24" t="s">
        <v>31</v>
      </c>
      <c r="K706" s="67">
        <v>12219.0</v>
      </c>
      <c r="L706" s="59"/>
      <c r="M706" s="59"/>
      <c r="N706" s="59"/>
      <c r="O706" s="59"/>
      <c r="P706" s="59"/>
      <c r="Q706" s="59"/>
      <c r="R706" s="59"/>
    </row>
    <row r="707">
      <c r="A707" s="66" t="s">
        <v>2168</v>
      </c>
      <c r="B707" s="66">
        <v>87.0</v>
      </c>
      <c r="C707" s="66">
        <v>87.0</v>
      </c>
      <c r="D707" s="24" t="s">
        <v>391</v>
      </c>
      <c r="E707" s="24" t="s">
        <v>235</v>
      </c>
      <c r="F707" s="66" t="s">
        <v>2169</v>
      </c>
      <c r="G707" s="66">
        <v>14.0</v>
      </c>
      <c r="H707" s="66">
        <v>3.0</v>
      </c>
      <c r="I707" s="66">
        <v>6.0</v>
      </c>
      <c r="J707" s="24" t="s">
        <v>29</v>
      </c>
      <c r="K707" s="67">
        <v>10220.0</v>
      </c>
      <c r="L707" s="59"/>
      <c r="M707" s="59"/>
      <c r="N707" s="59"/>
      <c r="O707" s="59"/>
      <c r="P707" s="59"/>
      <c r="Q707" s="59"/>
      <c r="R707" s="59"/>
    </row>
    <row r="708">
      <c r="A708" s="66" t="s">
        <v>2170</v>
      </c>
      <c r="B708" s="66">
        <v>13.0</v>
      </c>
      <c r="C708" s="66">
        <v>68.0</v>
      </c>
      <c r="D708" s="24" t="s">
        <v>446</v>
      </c>
      <c r="E708" s="24" t="s">
        <v>68</v>
      </c>
      <c r="F708" s="66" t="s">
        <v>2171</v>
      </c>
      <c r="G708" s="66">
        <v>75.0</v>
      </c>
      <c r="H708" s="66">
        <v>8.0</v>
      </c>
      <c r="I708" s="66">
        <v>1.0</v>
      </c>
      <c r="J708" s="24" t="s">
        <v>29</v>
      </c>
      <c r="K708" s="67">
        <v>111223.0</v>
      </c>
      <c r="L708" s="59"/>
      <c r="M708" s="59"/>
      <c r="N708" s="59"/>
      <c r="O708" s="59"/>
      <c r="P708" s="59"/>
      <c r="Q708" s="59"/>
      <c r="R708" s="59"/>
    </row>
    <row r="709">
      <c r="A709" s="66" t="s">
        <v>2172</v>
      </c>
      <c r="B709" s="66">
        <v>71.0</v>
      </c>
      <c r="C709" s="66">
        <v>77.0</v>
      </c>
      <c r="D709" s="24" t="s">
        <v>1009</v>
      </c>
      <c r="E709" s="24" t="s">
        <v>164</v>
      </c>
      <c r="F709" s="66" t="s">
        <v>2173</v>
      </c>
      <c r="G709" s="66">
        <v>55.0</v>
      </c>
      <c r="H709" s="66">
        <v>3.0</v>
      </c>
      <c r="I709" s="66">
        <v>4.0</v>
      </c>
      <c r="J709" s="24" t="s">
        <v>48</v>
      </c>
      <c r="K709" s="67">
        <v>112416.0</v>
      </c>
      <c r="L709" s="59"/>
      <c r="M709" s="59"/>
      <c r="N709" s="59"/>
      <c r="O709" s="59"/>
      <c r="P709" s="59"/>
      <c r="Q709" s="59"/>
      <c r="R709" s="59"/>
    </row>
    <row r="710">
      <c r="A710" s="66" t="s">
        <v>2174</v>
      </c>
      <c r="B710" s="66">
        <v>44.0</v>
      </c>
      <c r="C710" s="66">
        <v>11.0</v>
      </c>
      <c r="D710" s="24" t="s">
        <v>764</v>
      </c>
      <c r="E710" s="24" t="s">
        <v>683</v>
      </c>
      <c r="F710" s="66" t="s">
        <v>2175</v>
      </c>
      <c r="G710" s="66">
        <v>14.0</v>
      </c>
      <c r="H710" s="66">
        <v>3.0</v>
      </c>
      <c r="I710" s="66">
        <v>8.0</v>
      </c>
      <c r="J710" s="24" t="s">
        <v>33</v>
      </c>
      <c r="K710" s="67">
        <v>52817.0</v>
      </c>
      <c r="L710" s="59"/>
      <c r="M710" s="59"/>
      <c r="N710" s="59"/>
      <c r="O710" s="59"/>
      <c r="P710" s="59"/>
      <c r="Q710" s="59"/>
      <c r="R710" s="59"/>
    </row>
    <row r="711">
      <c r="A711" s="66" t="s">
        <v>2176</v>
      </c>
      <c r="B711" s="66">
        <v>12.0</v>
      </c>
      <c r="C711" s="66">
        <v>58.0</v>
      </c>
      <c r="D711" s="24" t="s">
        <v>188</v>
      </c>
      <c r="E711" s="24" t="s">
        <v>305</v>
      </c>
      <c r="F711" s="66" t="s">
        <v>2177</v>
      </c>
      <c r="G711" s="66">
        <v>75.0</v>
      </c>
      <c r="H711" s="66">
        <v>8.0</v>
      </c>
      <c r="I711" s="66">
        <v>5.0</v>
      </c>
      <c r="J711" s="24" t="s">
        <v>31</v>
      </c>
      <c r="K711" s="67">
        <v>31616.0</v>
      </c>
      <c r="L711" s="59"/>
      <c r="M711" s="59"/>
      <c r="N711" s="59"/>
      <c r="O711" s="59"/>
      <c r="P711" s="59"/>
      <c r="Q711" s="59"/>
      <c r="R711" s="59"/>
    </row>
    <row r="712">
      <c r="A712" s="66" t="s">
        <v>2178</v>
      </c>
      <c r="B712" s="66">
        <v>22.0</v>
      </c>
      <c r="C712" s="66">
        <v>52.0</v>
      </c>
      <c r="D712" s="24" t="s">
        <v>689</v>
      </c>
      <c r="E712" s="24" t="s">
        <v>149</v>
      </c>
      <c r="F712" s="66" t="s">
        <v>2179</v>
      </c>
      <c r="G712" s="66">
        <v>14.0</v>
      </c>
      <c r="H712" s="66">
        <v>4.0</v>
      </c>
      <c r="I712" s="66">
        <v>3.0</v>
      </c>
      <c r="J712" s="24" t="s">
        <v>31</v>
      </c>
      <c r="K712" s="67">
        <v>90117.0</v>
      </c>
      <c r="L712" s="59"/>
      <c r="M712" s="59"/>
      <c r="N712" s="59"/>
      <c r="O712" s="59"/>
      <c r="P712" s="59"/>
      <c r="Q712" s="59"/>
      <c r="R712" s="59"/>
    </row>
    <row r="713">
      <c r="A713" s="66" t="s">
        <v>2180</v>
      </c>
      <c r="B713" s="66">
        <v>83.0</v>
      </c>
      <c r="C713" s="66">
        <v>19.0</v>
      </c>
      <c r="D713" s="24" t="s">
        <v>464</v>
      </c>
      <c r="E713" s="24" t="s">
        <v>105</v>
      </c>
      <c r="F713" s="66" t="s">
        <v>2181</v>
      </c>
      <c r="G713" s="66">
        <v>34.0</v>
      </c>
      <c r="H713" s="66">
        <v>9.0</v>
      </c>
      <c r="I713" s="66">
        <v>3.0</v>
      </c>
      <c r="J713" s="24" t="s">
        <v>48</v>
      </c>
      <c r="K713" s="67">
        <v>110918.0</v>
      </c>
      <c r="L713" s="59"/>
      <c r="M713" s="59"/>
      <c r="N713" s="59"/>
      <c r="O713" s="59"/>
      <c r="P713" s="59"/>
      <c r="Q713" s="59"/>
      <c r="R713" s="59"/>
    </row>
    <row r="714">
      <c r="A714" s="66" t="s">
        <v>2182</v>
      </c>
      <c r="B714" s="66">
        <v>90.0</v>
      </c>
      <c r="C714" s="66">
        <v>22.0</v>
      </c>
      <c r="D714" s="24" t="s">
        <v>150</v>
      </c>
      <c r="E714" s="24" t="s">
        <v>110</v>
      </c>
      <c r="F714" s="66" t="s">
        <v>2183</v>
      </c>
      <c r="G714" s="66">
        <v>75.0</v>
      </c>
      <c r="H714" s="66">
        <v>8.0</v>
      </c>
      <c r="I714" s="66">
        <v>9.0</v>
      </c>
      <c r="J714" s="24" t="s">
        <v>39</v>
      </c>
      <c r="K714" s="67">
        <v>53113.0</v>
      </c>
      <c r="L714" s="59"/>
      <c r="M714" s="59"/>
      <c r="N714" s="59"/>
      <c r="O714" s="59"/>
      <c r="P714" s="59"/>
      <c r="Q714" s="59"/>
      <c r="R714" s="59"/>
    </row>
    <row r="715">
      <c r="A715" s="66" t="s">
        <v>2184</v>
      </c>
      <c r="B715" s="66">
        <v>95.0</v>
      </c>
      <c r="C715" s="66">
        <v>50.0</v>
      </c>
      <c r="D715" s="24" t="s">
        <v>1259</v>
      </c>
      <c r="E715" s="24" t="s">
        <v>415</v>
      </c>
      <c r="F715" s="66" t="s">
        <v>2185</v>
      </c>
      <c r="G715" s="66">
        <v>75.0</v>
      </c>
      <c r="H715" s="66">
        <v>9.0</v>
      </c>
      <c r="I715" s="66">
        <v>3.0</v>
      </c>
      <c r="J715" s="24" t="s">
        <v>39</v>
      </c>
      <c r="K715" s="67">
        <v>112318.0</v>
      </c>
      <c r="L715" s="59"/>
      <c r="M715" s="59"/>
      <c r="N715" s="59"/>
      <c r="O715" s="59"/>
      <c r="P715" s="59"/>
      <c r="Q715" s="59"/>
      <c r="R715" s="59"/>
    </row>
    <row r="716">
      <c r="A716" s="66" t="s">
        <v>2186</v>
      </c>
      <c r="B716" s="66">
        <v>23.0</v>
      </c>
      <c r="C716" s="66">
        <v>34.0</v>
      </c>
      <c r="D716" s="24" t="s">
        <v>240</v>
      </c>
      <c r="E716" s="24" t="s">
        <v>894</v>
      </c>
      <c r="F716" s="66" t="s">
        <v>2187</v>
      </c>
      <c r="G716" s="66">
        <v>55.0</v>
      </c>
      <c r="H716" s="66">
        <v>4.0</v>
      </c>
      <c r="I716" s="66">
        <v>6.0</v>
      </c>
      <c r="J716" s="24" t="s">
        <v>31</v>
      </c>
      <c r="K716" s="67">
        <v>50420.0</v>
      </c>
      <c r="L716" s="59"/>
      <c r="M716" s="59"/>
      <c r="N716" s="59"/>
      <c r="O716" s="59"/>
      <c r="P716" s="59"/>
      <c r="Q716" s="59"/>
      <c r="R716" s="59"/>
    </row>
    <row r="717">
      <c r="A717" s="66" t="s">
        <v>2188</v>
      </c>
      <c r="B717" s="66">
        <v>98.0</v>
      </c>
      <c r="C717" s="66">
        <v>50.0</v>
      </c>
      <c r="D717" s="24" t="s">
        <v>128</v>
      </c>
      <c r="E717" s="24" t="s">
        <v>1797</v>
      </c>
      <c r="F717" s="66" t="s">
        <v>2189</v>
      </c>
      <c r="G717" s="66">
        <v>75.0</v>
      </c>
      <c r="H717" s="66">
        <v>9.0</v>
      </c>
      <c r="I717" s="66">
        <v>4.0</v>
      </c>
      <c r="J717" s="24" t="s">
        <v>29</v>
      </c>
      <c r="K717" s="67">
        <v>120815.0</v>
      </c>
      <c r="L717" s="59"/>
      <c r="M717" s="59"/>
      <c r="N717" s="59"/>
      <c r="O717" s="59"/>
      <c r="P717" s="59"/>
      <c r="Q717" s="59"/>
      <c r="R717" s="59"/>
    </row>
    <row r="718">
      <c r="A718" s="66" t="s">
        <v>2190</v>
      </c>
      <c r="B718" s="66">
        <v>26.0</v>
      </c>
      <c r="C718" s="66">
        <v>22.0</v>
      </c>
      <c r="D718" s="24" t="s">
        <v>308</v>
      </c>
      <c r="E718" s="24" t="s">
        <v>448</v>
      </c>
      <c r="F718" s="66" t="s">
        <v>2191</v>
      </c>
      <c r="G718" s="66">
        <v>75.0</v>
      </c>
      <c r="H718" s="66">
        <v>9.0</v>
      </c>
      <c r="I718" s="66">
        <v>8.0</v>
      </c>
      <c r="J718" s="24" t="s">
        <v>31</v>
      </c>
      <c r="K718" s="67">
        <v>93019.0</v>
      </c>
      <c r="L718" s="59"/>
      <c r="M718" s="59"/>
      <c r="N718" s="59"/>
      <c r="O718" s="59"/>
      <c r="P718" s="59"/>
      <c r="Q718" s="59"/>
      <c r="R718" s="59"/>
    </row>
    <row r="719">
      <c r="A719" s="66" t="s">
        <v>2192</v>
      </c>
      <c r="B719" s="66">
        <v>40.0</v>
      </c>
      <c r="C719" s="66">
        <v>79.0</v>
      </c>
      <c r="D719" s="24" t="s">
        <v>335</v>
      </c>
      <c r="E719" s="24" t="s">
        <v>464</v>
      </c>
      <c r="F719" s="66" t="s">
        <v>2193</v>
      </c>
      <c r="G719" s="66">
        <v>96.0</v>
      </c>
      <c r="H719" s="66">
        <v>4.0</v>
      </c>
      <c r="I719" s="66">
        <v>9.0</v>
      </c>
      <c r="J719" s="24" t="s">
        <v>48</v>
      </c>
      <c r="K719" s="67">
        <v>122321.0</v>
      </c>
      <c r="L719" s="59"/>
      <c r="M719" s="59"/>
      <c r="N719" s="59"/>
      <c r="O719" s="59"/>
      <c r="P719" s="59"/>
      <c r="Q719" s="59"/>
      <c r="R719" s="59"/>
    </row>
    <row r="720">
      <c r="A720" s="66" t="s">
        <v>2194</v>
      </c>
      <c r="B720" s="66">
        <v>65.0</v>
      </c>
      <c r="C720" s="66">
        <v>39.0</v>
      </c>
      <c r="D720" s="24" t="s">
        <v>1074</v>
      </c>
      <c r="E720" s="24" t="s">
        <v>340</v>
      </c>
      <c r="F720" s="66" t="s">
        <v>2195</v>
      </c>
      <c r="G720" s="66">
        <v>96.0</v>
      </c>
      <c r="H720" s="66">
        <v>5.0</v>
      </c>
      <c r="I720" s="66">
        <v>2.0</v>
      </c>
      <c r="J720" s="24" t="s">
        <v>33</v>
      </c>
      <c r="K720" s="67">
        <v>120321.0</v>
      </c>
      <c r="L720" s="59"/>
      <c r="M720" s="59"/>
      <c r="N720" s="59"/>
      <c r="O720" s="59"/>
      <c r="P720" s="59"/>
      <c r="Q720" s="59"/>
      <c r="R720" s="59"/>
    </row>
    <row r="721">
      <c r="A721" s="66" t="s">
        <v>2196</v>
      </c>
      <c r="B721" s="66">
        <v>60.0</v>
      </c>
      <c r="C721" s="66">
        <v>88.0</v>
      </c>
      <c r="D721" s="24" t="s">
        <v>276</v>
      </c>
      <c r="E721" s="24" t="s">
        <v>512</v>
      </c>
      <c r="F721" s="66" t="s">
        <v>2197</v>
      </c>
      <c r="G721" s="66">
        <v>14.0</v>
      </c>
      <c r="H721" s="66">
        <v>6.0</v>
      </c>
      <c r="I721" s="66">
        <v>1.0</v>
      </c>
      <c r="J721" s="24" t="s">
        <v>48</v>
      </c>
      <c r="K721" s="67">
        <v>110713.0</v>
      </c>
      <c r="L721" s="59"/>
      <c r="M721" s="59"/>
      <c r="N721" s="59"/>
      <c r="O721" s="59"/>
      <c r="P721" s="59"/>
      <c r="Q721" s="59"/>
      <c r="R721" s="59"/>
    </row>
    <row r="722">
      <c r="A722" s="66" t="s">
        <v>2198</v>
      </c>
      <c r="B722" s="66">
        <v>84.0</v>
      </c>
      <c r="C722" s="66">
        <v>51.0</v>
      </c>
      <c r="D722" s="24" t="s">
        <v>149</v>
      </c>
      <c r="E722" s="24" t="s">
        <v>47</v>
      </c>
      <c r="F722" s="66" t="s">
        <v>2199</v>
      </c>
      <c r="G722" s="66">
        <v>96.0</v>
      </c>
      <c r="H722" s="66">
        <v>5.0</v>
      </c>
      <c r="I722" s="66">
        <v>3.0</v>
      </c>
      <c r="J722" s="24" t="s">
        <v>31</v>
      </c>
      <c r="K722" s="67">
        <v>50118.0</v>
      </c>
      <c r="L722" s="59"/>
      <c r="M722" s="59"/>
      <c r="N722" s="59"/>
      <c r="O722" s="59"/>
      <c r="P722" s="59"/>
      <c r="Q722" s="59"/>
      <c r="R722" s="59"/>
    </row>
    <row r="723">
      <c r="A723" s="66" t="s">
        <v>2200</v>
      </c>
      <c r="B723" s="66">
        <v>18.0</v>
      </c>
      <c r="C723" s="66">
        <v>20.0</v>
      </c>
      <c r="D723" s="24" t="s">
        <v>37</v>
      </c>
      <c r="E723" s="24" t="s">
        <v>719</v>
      </c>
      <c r="F723" s="66" t="s">
        <v>2201</v>
      </c>
      <c r="G723" s="66">
        <v>55.0</v>
      </c>
      <c r="H723" s="66">
        <v>5.0</v>
      </c>
      <c r="I723" s="66">
        <v>9.0</v>
      </c>
      <c r="J723" s="24" t="s">
        <v>39</v>
      </c>
      <c r="K723" s="67">
        <v>112417.0</v>
      </c>
      <c r="L723" s="59"/>
      <c r="M723" s="59"/>
      <c r="N723" s="59"/>
      <c r="O723" s="59"/>
      <c r="P723" s="59"/>
      <c r="Q723" s="59"/>
      <c r="R723" s="59"/>
    </row>
    <row r="724">
      <c r="A724" s="66" t="s">
        <v>2202</v>
      </c>
      <c r="B724" s="66">
        <v>70.0</v>
      </c>
      <c r="C724" s="66">
        <v>26.0</v>
      </c>
      <c r="D724" s="24" t="s">
        <v>1225</v>
      </c>
      <c r="E724" s="24" t="s">
        <v>267</v>
      </c>
      <c r="F724" s="66" t="s">
        <v>2203</v>
      </c>
      <c r="G724" s="66">
        <v>14.0</v>
      </c>
      <c r="H724" s="66">
        <v>6.0</v>
      </c>
      <c r="I724" s="66">
        <v>4.0</v>
      </c>
      <c r="J724" s="24" t="s">
        <v>33</v>
      </c>
      <c r="K724" s="67">
        <v>61816.0</v>
      </c>
      <c r="L724" s="59"/>
      <c r="M724" s="59"/>
      <c r="N724" s="59"/>
      <c r="O724" s="59"/>
      <c r="P724" s="59"/>
      <c r="Q724" s="59"/>
      <c r="R724" s="59"/>
    </row>
    <row r="725">
      <c r="A725" s="66" t="s">
        <v>2204</v>
      </c>
      <c r="B725" s="66">
        <v>51.0</v>
      </c>
      <c r="C725" s="66">
        <v>80.0</v>
      </c>
      <c r="D725" s="24" t="s">
        <v>132</v>
      </c>
      <c r="E725" s="24" t="s">
        <v>530</v>
      </c>
      <c r="F725" s="66" t="s">
        <v>2205</v>
      </c>
      <c r="G725" s="66">
        <v>96.0</v>
      </c>
      <c r="H725" s="66">
        <v>5.0</v>
      </c>
      <c r="I725" s="66">
        <v>7.0</v>
      </c>
      <c r="J725" s="24" t="s">
        <v>39</v>
      </c>
      <c r="K725" s="67">
        <v>122823.0</v>
      </c>
      <c r="L725" s="59"/>
      <c r="M725" s="59"/>
      <c r="N725" s="59"/>
      <c r="O725" s="59"/>
      <c r="P725" s="59"/>
      <c r="Q725" s="59"/>
      <c r="R725" s="59"/>
    </row>
    <row r="726">
      <c r="A726" s="66" t="s">
        <v>2206</v>
      </c>
      <c r="B726" s="66">
        <v>23.0</v>
      </c>
      <c r="C726" s="66">
        <v>11.0</v>
      </c>
      <c r="D726" s="24" t="s">
        <v>416</v>
      </c>
      <c r="E726" s="24" t="s">
        <v>828</v>
      </c>
      <c r="F726" s="66" t="s">
        <v>2207</v>
      </c>
      <c r="G726" s="66">
        <v>55.0</v>
      </c>
      <c r="H726" s="66">
        <v>6.0</v>
      </c>
      <c r="I726" s="66">
        <v>1.0</v>
      </c>
      <c r="J726" s="24" t="s">
        <v>29</v>
      </c>
      <c r="K726" s="67">
        <v>91213.0</v>
      </c>
      <c r="L726" s="59"/>
      <c r="M726" s="59"/>
      <c r="N726" s="59"/>
      <c r="O726" s="59"/>
      <c r="P726" s="59"/>
      <c r="Q726" s="59"/>
      <c r="R726" s="59"/>
    </row>
    <row r="727">
      <c r="A727" s="66" t="s">
        <v>2208</v>
      </c>
      <c r="B727" s="66">
        <v>87.0</v>
      </c>
      <c r="C727" s="66">
        <v>38.0</v>
      </c>
      <c r="D727" s="24" t="s">
        <v>467</v>
      </c>
      <c r="E727" s="24" t="s">
        <v>112</v>
      </c>
      <c r="F727" s="66" t="s">
        <v>2209</v>
      </c>
      <c r="G727" s="66">
        <v>96.0</v>
      </c>
      <c r="H727" s="66">
        <v>5.0</v>
      </c>
      <c r="I727" s="66">
        <v>9.0</v>
      </c>
      <c r="J727" s="24" t="s">
        <v>48</v>
      </c>
      <c r="K727" s="67">
        <v>91420.0</v>
      </c>
      <c r="L727" s="59"/>
      <c r="M727" s="59"/>
      <c r="N727" s="59"/>
      <c r="O727" s="59"/>
      <c r="P727" s="59"/>
      <c r="Q727" s="59"/>
      <c r="R727" s="59"/>
    </row>
    <row r="728">
      <c r="A728" s="66" t="s">
        <v>2210</v>
      </c>
      <c r="B728" s="66">
        <v>21.0</v>
      </c>
      <c r="C728" s="66">
        <v>81.0</v>
      </c>
      <c r="D728" s="24" t="s">
        <v>194</v>
      </c>
      <c r="E728" s="24" t="s">
        <v>1396</v>
      </c>
      <c r="F728" s="66" t="s">
        <v>2211</v>
      </c>
      <c r="G728" s="66">
        <v>35.0</v>
      </c>
      <c r="H728" s="66">
        <v>1.0</v>
      </c>
      <c r="I728" s="66">
        <v>1.0</v>
      </c>
      <c r="J728" s="24" t="s">
        <v>48</v>
      </c>
      <c r="K728" s="67">
        <v>41315.0</v>
      </c>
      <c r="L728" s="59"/>
      <c r="M728" s="59"/>
      <c r="N728" s="59"/>
      <c r="O728" s="59"/>
      <c r="P728" s="59"/>
      <c r="Q728" s="59"/>
      <c r="R728" s="59"/>
    </row>
    <row r="729">
      <c r="A729" s="66" t="s">
        <v>2212</v>
      </c>
      <c r="B729" s="66">
        <v>55.0</v>
      </c>
      <c r="C729" s="66">
        <v>78.0</v>
      </c>
      <c r="D729" s="24" t="s">
        <v>228</v>
      </c>
      <c r="E729" s="24" t="s">
        <v>646</v>
      </c>
      <c r="F729" s="66" t="s">
        <v>2213</v>
      </c>
      <c r="G729" s="66">
        <v>35.0</v>
      </c>
      <c r="H729" s="66">
        <v>1.0</v>
      </c>
      <c r="I729" s="66">
        <v>7.0</v>
      </c>
      <c r="J729" s="24" t="s">
        <v>48</v>
      </c>
      <c r="K729" s="67">
        <v>22523.0</v>
      </c>
      <c r="L729" s="59"/>
      <c r="M729" s="59"/>
      <c r="N729" s="59"/>
      <c r="O729" s="59"/>
      <c r="P729" s="59"/>
      <c r="Q729" s="59"/>
      <c r="R729" s="59"/>
    </row>
    <row r="730">
      <c r="A730" s="66" t="s">
        <v>2214</v>
      </c>
      <c r="B730" s="66">
        <v>72.0</v>
      </c>
      <c r="C730" s="66">
        <v>13.0</v>
      </c>
      <c r="D730" s="24" t="s">
        <v>290</v>
      </c>
      <c r="E730" s="24" t="s">
        <v>336</v>
      </c>
      <c r="F730" s="66" t="s">
        <v>2215</v>
      </c>
      <c r="G730" s="66">
        <v>96.0</v>
      </c>
      <c r="H730" s="66">
        <v>6.0</v>
      </c>
      <c r="I730" s="66">
        <v>1.0</v>
      </c>
      <c r="J730" s="24" t="s">
        <v>48</v>
      </c>
      <c r="K730" s="67">
        <v>51523.0</v>
      </c>
      <c r="L730" s="59"/>
      <c r="M730" s="59"/>
      <c r="N730" s="59"/>
      <c r="O730" s="59"/>
      <c r="P730" s="59"/>
      <c r="Q730" s="59"/>
      <c r="R730" s="59"/>
    </row>
    <row r="731">
      <c r="A731" s="66" t="s">
        <v>2216</v>
      </c>
      <c r="B731" s="66">
        <v>48.0</v>
      </c>
      <c r="C731" s="66">
        <v>75.0</v>
      </c>
      <c r="D731" s="24" t="s">
        <v>1880</v>
      </c>
      <c r="E731" s="24" t="s">
        <v>494</v>
      </c>
      <c r="F731" s="66" t="s">
        <v>2217</v>
      </c>
      <c r="G731" s="66">
        <v>76.0</v>
      </c>
      <c r="H731" s="66">
        <v>1.0</v>
      </c>
      <c r="I731" s="66">
        <v>3.0</v>
      </c>
      <c r="J731" s="24" t="s">
        <v>33</v>
      </c>
      <c r="K731" s="67">
        <v>20615.0</v>
      </c>
      <c r="L731" s="59"/>
      <c r="M731" s="59"/>
      <c r="N731" s="59"/>
      <c r="O731" s="59"/>
      <c r="P731" s="59"/>
      <c r="Q731" s="59"/>
      <c r="R731" s="59"/>
    </row>
    <row r="732">
      <c r="A732" s="66" t="s">
        <v>2218</v>
      </c>
      <c r="B732" s="66">
        <v>48.0</v>
      </c>
      <c r="C732" s="66">
        <v>24.0</v>
      </c>
      <c r="D732" s="24" t="s">
        <v>834</v>
      </c>
      <c r="E732" s="24" t="s">
        <v>1125</v>
      </c>
      <c r="F732" s="66" t="s">
        <v>2219</v>
      </c>
      <c r="G732" s="66">
        <v>55.0</v>
      </c>
      <c r="H732" s="66">
        <v>6.0</v>
      </c>
      <c r="I732" s="66">
        <v>7.0</v>
      </c>
      <c r="J732" s="24" t="s">
        <v>39</v>
      </c>
      <c r="K732" s="67">
        <v>61917.0</v>
      </c>
      <c r="L732" s="59"/>
      <c r="M732" s="59"/>
      <c r="N732" s="59"/>
      <c r="O732" s="59"/>
      <c r="P732" s="59"/>
      <c r="Q732" s="59"/>
      <c r="R732" s="59"/>
    </row>
    <row r="733">
      <c r="A733" s="66" t="s">
        <v>2220</v>
      </c>
      <c r="B733" s="66">
        <v>54.0</v>
      </c>
      <c r="C733" s="66">
        <v>19.0</v>
      </c>
      <c r="D733" s="24" t="s">
        <v>96</v>
      </c>
      <c r="E733" s="24" t="s">
        <v>689</v>
      </c>
      <c r="F733" s="66" t="s">
        <v>2221</v>
      </c>
      <c r="G733" s="66">
        <v>35.0</v>
      </c>
      <c r="H733" s="66">
        <v>2.0</v>
      </c>
      <c r="I733" s="66">
        <v>3.0</v>
      </c>
      <c r="J733" s="24" t="s">
        <v>33</v>
      </c>
      <c r="K733" s="67">
        <v>42320.0</v>
      </c>
      <c r="L733" s="59"/>
      <c r="M733" s="59"/>
      <c r="N733" s="59"/>
      <c r="O733" s="59"/>
      <c r="P733" s="59"/>
      <c r="Q733" s="59"/>
      <c r="R733" s="59"/>
    </row>
    <row r="734">
      <c r="A734" s="66" t="s">
        <v>2222</v>
      </c>
      <c r="B734" s="66">
        <v>79.0</v>
      </c>
      <c r="C734" s="66">
        <v>20.0</v>
      </c>
      <c r="D734" s="24" t="s">
        <v>173</v>
      </c>
      <c r="E734" s="24" t="s">
        <v>426</v>
      </c>
      <c r="F734" s="66" t="s">
        <v>2223</v>
      </c>
      <c r="G734" s="66">
        <v>96.0</v>
      </c>
      <c r="H734" s="66">
        <v>6.0</v>
      </c>
      <c r="I734" s="66">
        <v>9.0</v>
      </c>
      <c r="J734" s="24" t="s">
        <v>48</v>
      </c>
      <c r="K734" s="67">
        <v>11922.0</v>
      </c>
      <c r="L734" s="59"/>
      <c r="M734" s="59"/>
      <c r="N734" s="59"/>
      <c r="O734" s="59"/>
      <c r="P734" s="59"/>
      <c r="Q734" s="59"/>
      <c r="R734" s="59"/>
    </row>
    <row r="735">
      <c r="A735" s="66" t="s">
        <v>2224</v>
      </c>
      <c r="B735" s="66">
        <v>22.0</v>
      </c>
      <c r="C735" s="66">
        <v>28.0</v>
      </c>
      <c r="D735" s="24" t="s">
        <v>542</v>
      </c>
      <c r="E735" s="24" t="s">
        <v>462</v>
      </c>
      <c r="F735" s="66" t="s">
        <v>2225</v>
      </c>
      <c r="G735" s="66">
        <v>55.0</v>
      </c>
      <c r="H735" s="66">
        <v>7.0</v>
      </c>
      <c r="I735" s="66">
        <v>4.0</v>
      </c>
      <c r="J735" s="24" t="s">
        <v>29</v>
      </c>
      <c r="K735" s="67">
        <v>31721.0</v>
      </c>
      <c r="L735" s="59"/>
      <c r="M735" s="59"/>
      <c r="N735" s="59"/>
      <c r="O735" s="59"/>
      <c r="P735" s="59"/>
      <c r="Q735" s="59"/>
      <c r="R735" s="59"/>
    </row>
    <row r="736">
      <c r="A736" s="66" t="s">
        <v>2226</v>
      </c>
      <c r="B736" s="66">
        <v>19.0</v>
      </c>
      <c r="C736" s="66">
        <v>12.0</v>
      </c>
      <c r="D736" s="24" t="s">
        <v>360</v>
      </c>
      <c r="E736" s="24" t="s">
        <v>509</v>
      </c>
      <c r="F736" s="66" t="s">
        <v>2227</v>
      </c>
      <c r="G736" s="66">
        <v>55.0</v>
      </c>
      <c r="H736" s="66">
        <v>7.0</v>
      </c>
      <c r="I736" s="66">
        <v>5.0</v>
      </c>
      <c r="J736" s="24" t="s">
        <v>29</v>
      </c>
      <c r="K736" s="67">
        <v>22417.0</v>
      </c>
      <c r="L736" s="59"/>
      <c r="M736" s="59"/>
      <c r="N736" s="59"/>
      <c r="O736" s="59"/>
      <c r="P736" s="59"/>
      <c r="Q736" s="59"/>
      <c r="R736" s="59"/>
    </row>
    <row r="737">
      <c r="A737" s="66" t="s">
        <v>2228</v>
      </c>
      <c r="B737" s="66">
        <v>85.0</v>
      </c>
      <c r="C737" s="66">
        <v>56.0</v>
      </c>
      <c r="D737" s="24" t="s">
        <v>133</v>
      </c>
      <c r="E737" s="24" t="s">
        <v>1069</v>
      </c>
      <c r="F737" s="66" t="s">
        <v>2229</v>
      </c>
      <c r="G737" s="66">
        <v>35.0</v>
      </c>
      <c r="H737" s="66">
        <v>2.0</v>
      </c>
      <c r="I737" s="66">
        <v>8.0</v>
      </c>
      <c r="J737" s="24" t="s">
        <v>31</v>
      </c>
      <c r="K737" s="67">
        <v>32920.0</v>
      </c>
      <c r="L737" s="59"/>
      <c r="M737" s="59"/>
      <c r="N737" s="59"/>
      <c r="O737" s="59"/>
      <c r="P737" s="59"/>
      <c r="Q737" s="59"/>
      <c r="R737" s="59"/>
    </row>
    <row r="738">
      <c r="A738" s="66" t="s">
        <v>2230</v>
      </c>
      <c r="B738" s="66">
        <v>17.0</v>
      </c>
      <c r="C738" s="66">
        <v>89.0</v>
      </c>
      <c r="D738" s="24" t="s">
        <v>493</v>
      </c>
      <c r="E738" s="24" t="s">
        <v>359</v>
      </c>
      <c r="F738" s="66" t="s">
        <v>2231</v>
      </c>
      <c r="G738" s="66">
        <v>35.0</v>
      </c>
      <c r="H738" s="66">
        <v>2.0</v>
      </c>
      <c r="I738" s="66">
        <v>9.0</v>
      </c>
      <c r="J738" s="24" t="s">
        <v>33</v>
      </c>
      <c r="K738" s="67">
        <v>60821.0</v>
      </c>
      <c r="L738" s="59"/>
      <c r="M738" s="59"/>
      <c r="N738" s="59"/>
      <c r="O738" s="59"/>
      <c r="P738" s="59"/>
      <c r="Q738" s="59"/>
      <c r="R738" s="59"/>
    </row>
    <row r="739">
      <c r="A739" s="66" t="s">
        <v>2232</v>
      </c>
      <c r="B739" s="66">
        <v>75.0</v>
      </c>
      <c r="C739" s="66">
        <v>60.0</v>
      </c>
      <c r="D739" s="24" t="s">
        <v>1124</v>
      </c>
      <c r="E739" s="24" t="s">
        <v>1099</v>
      </c>
      <c r="F739" s="66" t="s">
        <v>2233</v>
      </c>
      <c r="G739" s="66">
        <v>76.0</v>
      </c>
      <c r="H739" s="66">
        <v>2.0</v>
      </c>
      <c r="I739" s="66">
        <v>6.0</v>
      </c>
      <c r="J739" s="24" t="s">
        <v>48</v>
      </c>
      <c r="K739" s="67">
        <v>50322.0</v>
      </c>
      <c r="L739" s="59"/>
      <c r="M739" s="59"/>
      <c r="N739" s="59"/>
      <c r="O739" s="59"/>
      <c r="P739" s="59"/>
      <c r="Q739" s="59"/>
      <c r="R739" s="59"/>
    </row>
    <row r="740">
      <c r="A740" s="66" t="s">
        <v>2234</v>
      </c>
      <c r="B740" s="66">
        <v>21.0</v>
      </c>
      <c r="C740" s="66">
        <v>98.0</v>
      </c>
      <c r="D740" s="24" t="s">
        <v>1769</v>
      </c>
      <c r="E740" s="24" t="s">
        <v>260</v>
      </c>
      <c r="F740" s="66" t="s">
        <v>2235</v>
      </c>
      <c r="G740" s="66">
        <v>35.0</v>
      </c>
      <c r="H740" s="66">
        <v>3.0</v>
      </c>
      <c r="I740" s="66">
        <v>1.0</v>
      </c>
      <c r="J740" s="24" t="s">
        <v>33</v>
      </c>
      <c r="K740" s="67">
        <v>42415.0</v>
      </c>
      <c r="L740" s="59"/>
      <c r="M740" s="59"/>
      <c r="N740" s="59"/>
      <c r="O740" s="59"/>
      <c r="P740" s="59"/>
      <c r="Q740" s="59"/>
      <c r="R740" s="59"/>
    </row>
    <row r="741">
      <c r="A741" s="66" t="s">
        <v>2236</v>
      </c>
      <c r="B741" s="66">
        <v>65.0</v>
      </c>
      <c r="C741" s="66">
        <v>61.0</v>
      </c>
      <c r="D741" s="24" t="s">
        <v>140</v>
      </c>
      <c r="E741" s="24" t="s">
        <v>129</v>
      </c>
      <c r="F741" s="66" t="s">
        <v>2237</v>
      </c>
      <c r="G741" s="66">
        <v>14.0</v>
      </c>
      <c r="H741" s="66">
        <v>8.0</v>
      </c>
      <c r="I741" s="66">
        <v>4.0</v>
      </c>
      <c r="J741" s="24" t="s">
        <v>39</v>
      </c>
      <c r="K741" s="67">
        <v>111516.0</v>
      </c>
      <c r="L741" s="59"/>
      <c r="M741" s="59"/>
      <c r="N741" s="59"/>
      <c r="O741" s="59"/>
      <c r="P741" s="59"/>
      <c r="Q741" s="59"/>
      <c r="R741" s="59"/>
    </row>
    <row r="742">
      <c r="A742" s="66" t="s">
        <v>2238</v>
      </c>
      <c r="B742" s="66">
        <v>79.0</v>
      </c>
      <c r="C742" s="66">
        <v>42.0</v>
      </c>
      <c r="D742" s="24" t="s">
        <v>1391</v>
      </c>
      <c r="E742" s="24" t="s">
        <v>509</v>
      </c>
      <c r="F742" s="66" t="s">
        <v>2239</v>
      </c>
      <c r="G742" s="66">
        <v>55.0</v>
      </c>
      <c r="H742" s="66">
        <v>8.0</v>
      </c>
      <c r="I742" s="66">
        <v>1.0</v>
      </c>
      <c r="J742" s="24" t="s">
        <v>48</v>
      </c>
      <c r="K742" s="67">
        <v>40313.0</v>
      </c>
      <c r="L742" s="59"/>
      <c r="M742" s="59"/>
      <c r="N742" s="59"/>
      <c r="O742" s="59"/>
      <c r="P742" s="59"/>
      <c r="Q742" s="59"/>
      <c r="R742" s="59"/>
    </row>
    <row r="743">
      <c r="A743" s="66" t="s">
        <v>2240</v>
      </c>
      <c r="B743" s="66">
        <v>40.0</v>
      </c>
      <c r="C743" s="66">
        <v>79.0</v>
      </c>
      <c r="D743" s="24" t="s">
        <v>377</v>
      </c>
      <c r="E743" s="24" t="s">
        <v>434</v>
      </c>
      <c r="F743" s="66" t="s">
        <v>2241</v>
      </c>
      <c r="G743" s="66">
        <v>76.0</v>
      </c>
      <c r="H743" s="66">
        <v>3.0</v>
      </c>
      <c r="I743" s="66">
        <v>2.0</v>
      </c>
      <c r="J743" s="24" t="s">
        <v>39</v>
      </c>
      <c r="K743" s="67">
        <v>42115.0</v>
      </c>
      <c r="L743" s="59"/>
      <c r="M743" s="59"/>
      <c r="N743" s="59"/>
      <c r="O743" s="59"/>
      <c r="P743" s="59"/>
      <c r="Q743" s="59"/>
      <c r="R743" s="59"/>
    </row>
    <row r="744">
      <c r="A744" s="66" t="s">
        <v>2242</v>
      </c>
      <c r="B744" s="66">
        <v>79.0</v>
      </c>
      <c r="C744" s="66">
        <v>92.0</v>
      </c>
      <c r="D744" s="24" t="s">
        <v>297</v>
      </c>
      <c r="E744" s="24" t="s">
        <v>439</v>
      </c>
      <c r="F744" s="66" t="s">
        <v>2243</v>
      </c>
      <c r="G744" s="66">
        <v>35.0</v>
      </c>
      <c r="H744" s="66">
        <v>3.0</v>
      </c>
      <c r="I744" s="66">
        <v>7.0</v>
      </c>
      <c r="J744" s="24" t="s">
        <v>31</v>
      </c>
      <c r="K744" s="67">
        <v>12014.0</v>
      </c>
      <c r="L744" s="59"/>
      <c r="M744" s="59"/>
      <c r="N744" s="59"/>
      <c r="O744" s="59"/>
      <c r="P744" s="59"/>
      <c r="Q744" s="59"/>
      <c r="R744" s="59"/>
    </row>
    <row r="745">
      <c r="A745" s="66" t="s">
        <v>2244</v>
      </c>
      <c r="B745" s="66">
        <v>21.0</v>
      </c>
      <c r="C745" s="66">
        <v>52.0</v>
      </c>
      <c r="D745" s="24" t="s">
        <v>526</v>
      </c>
      <c r="E745" s="24" t="s">
        <v>338</v>
      </c>
      <c r="F745" s="66" t="s">
        <v>2245</v>
      </c>
      <c r="G745" s="66">
        <v>76.0</v>
      </c>
      <c r="H745" s="66">
        <v>3.0</v>
      </c>
      <c r="I745" s="66">
        <v>8.0</v>
      </c>
      <c r="J745" s="24" t="s">
        <v>39</v>
      </c>
      <c r="K745" s="67">
        <v>32221.0</v>
      </c>
      <c r="L745" s="59"/>
      <c r="M745" s="59"/>
      <c r="N745" s="59"/>
      <c r="O745" s="59"/>
      <c r="P745" s="59"/>
      <c r="Q745" s="59"/>
      <c r="R745" s="59"/>
    </row>
    <row r="746">
      <c r="A746" s="66" t="s">
        <v>2246</v>
      </c>
      <c r="B746" s="66">
        <v>38.0</v>
      </c>
      <c r="C746" s="66">
        <v>89.0</v>
      </c>
      <c r="D746" s="24" t="s">
        <v>167</v>
      </c>
      <c r="E746" s="24" t="s">
        <v>872</v>
      </c>
      <c r="F746" s="66" t="s">
        <v>2247</v>
      </c>
      <c r="G746" s="66">
        <v>35.0</v>
      </c>
      <c r="H746" s="66">
        <v>4.0</v>
      </c>
      <c r="I746" s="66">
        <v>3.0</v>
      </c>
      <c r="J746" s="24" t="s">
        <v>48</v>
      </c>
      <c r="K746" s="67">
        <v>101819.0</v>
      </c>
      <c r="L746" s="59"/>
      <c r="M746" s="59"/>
      <c r="N746" s="59"/>
      <c r="O746" s="59"/>
      <c r="P746" s="59"/>
      <c r="Q746" s="59"/>
      <c r="R746" s="59"/>
    </row>
    <row r="747">
      <c r="A747" s="66" t="s">
        <v>2248</v>
      </c>
      <c r="B747" s="66">
        <v>27.0</v>
      </c>
      <c r="C747" s="66">
        <v>96.0</v>
      </c>
      <c r="D747" s="24" t="s">
        <v>69</v>
      </c>
      <c r="E747" s="24" t="s">
        <v>433</v>
      </c>
      <c r="F747" s="66" t="s">
        <v>2249</v>
      </c>
      <c r="G747" s="66">
        <v>55.0</v>
      </c>
      <c r="H747" s="66">
        <v>9.0</v>
      </c>
      <c r="I747" s="66">
        <v>3.0</v>
      </c>
      <c r="J747" s="24" t="s">
        <v>29</v>
      </c>
      <c r="K747" s="67">
        <v>60816.0</v>
      </c>
      <c r="L747" s="59"/>
      <c r="M747" s="59"/>
      <c r="N747" s="59"/>
      <c r="O747" s="59"/>
      <c r="P747" s="59"/>
      <c r="Q747" s="59"/>
      <c r="R747" s="59"/>
    </row>
    <row r="748">
      <c r="A748" s="66" t="s">
        <v>2250</v>
      </c>
      <c r="B748" s="66">
        <v>13.0</v>
      </c>
      <c r="C748" s="66">
        <v>22.0</v>
      </c>
      <c r="D748" s="24" t="s">
        <v>146</v>
      </c>
      <c r="E748" s="24" t="s">
        <v>423</v>
      </c>
      <c r="F748" s="66" t="s">
        <v>2251</v>
      </c>
      <c r="G748" s="66">
        <v>76.0</v>
      </c>
      <c r="H748" s="66">
        <v>4.0</v>
      </c>
      <c r="I748" s="66">
        <v>1.0</v>
      </c>
      <c r="J748" s="24" t="s">
        <v>31</v>
      </c>
      <c r="K748" s="67">
        <v>82922.0</v>
      </c>
      <c r="L748" s="59"/>
      <c r="M748" s="59"/>
      <c r="N748" s="59"/>
      <c r="O748" s="59"/>
      <c r="P748" s="59"/>
      <c r="Q748" s="59"/>
      <c r="R748" s="59"/>
    </row>
    <row r="749">
      <c r="A749" s="66" t="s">
        <v>2252</v>
      </c>
      <c r="B749" s="66">
        <v>58.0</v>
      </c>
      <c r="C749" s="66">
        <v>92.0</v>
      </c>
      <c r="D749" s="24" t="s">
        <v>432</v>
      </c>
      <c r="E749" s="24" t="s">
        <v>270</v>
      </c>
      <c r="F749" s="66" t="s">
        <v>2253</v>
      </c>
      <c r="G749" s="66">
        <v>14.0</v>
      </c>
      <c r="H749" s="66">
        <v>9.0</v>
      </c>
      <c r="I749" s="66">
        <v>8.0</v>
      </c>
      <c r="J749" s="24" t="s">
        <v>29</v>
      </c>
      <c r="K749" s="67">
        <v>12017.0</v>
      </c>
      <c r="L749" s="59"/>
      <c r="M749" s="59"/>
      <c r="N749" s="59"/>
      <c r="O749" s="59"/>
      <c r="P749" s="59"/>
      <c r="Q749" s="59"/>
      <c r="R749" s="59"/>
    </row>
    <row r="750">
      <c r="A750" s="66" t="s">
        <v>2254</v>
      </c>
      <c r="B750" s="66">
        <v>24.0</v>
      </c>
      <c r="C750" s="66">
        <v>30.0</v>
      </c>
      <c r="D750" s="24" t="s">
        <v>182</v>
      </c>
      <c r="E750" s="24" t="s">
        <v>488</v>
      </c>
      <c r="F750" s="66" t="s">
        <v>2255</v>
      </c>
      <c r="G750" s="66">
        <v>14.0</v>
      </c>
      <c r="H750" s="66">
        <v>9.0</v>
      </c>
      <c r="I750" s="66">
        <v>9.0</v>
      </c>
      <c r="J750" s="24" t="s">
        <v>29</v>
      </c>
      <c r="K750" s="67">
        <v>71114.0</v>
      </c>
      <c r="L750" s="59"/>
      <c r="M750" s="59"/>
      <c r="N750" s="59"/>
      <c r="O750" s="59"/>
      <c r="P750" s="59"/>
      <c r="Q750" s="59"/>
      <c r="R750" s="59"/>
    </row>
    <row r="751">
      <c r="A751" s="66" t="s">
        <v>2256</v>
      </c>
      <c r="B751" s="66">
        <v>65.0</v>
      </c>
      <c r="C751" s="66">
        <v>33.0</v>
      </c>
      <c r="D751" s="24" t="s">
        <v>525</v>
      </c>
      <c r="E751" s="24" t="s">
        <v>426</v>
      </c>
      <c r="F751" s="66" t="s">
        <v>2257</v>
      </c>
      <c r="G751" s="66">
        <v>55.0</v>
      </c>
      <c r="H751" s="66">
        <v>9.0</v>
      </c>
      <c r="I751" s="66">
        <v>9.0</v>
      </c>
      <c r="J751" s="24" t="s">
        <v>33</v>
      </c>
      <c r="K751" s="67">
        <v>102922.0</v>
      </c>
      <c r="L751" s="59"/>
      <c r="M751" s="59"/>
      <c r="N751" s="59"/>
      <c r="O751" s="59"/>
      <c r="P751" s="59"/>
      <c r="Q751" s="59"/>
      <c r="R751" s="59"/>
    </row>
    <row r="752">
      <c r="A752" s="66" t="s">
        <v>2258</v>
      </c>
      <c r="B752" s="66">
        <v>60.0</v>
      </c>
      <c r="C752" s="66">
        <v>26.0</v>
      </c>
      <c r="D752" s="24" t="s">
        <v>391</v>
      </c>
      <c r="E752" s="24" t="s">
        <v>1099</v>
      </c>
      <c r="F752" s="66" t="s">
        <v>2259</v>
      </c>
      <c r="G752" s="66">
        <v>76.0</v>
      </c>
      <c r="H752" s="66">
        <v>4.0</v>
      </c>
      <c r="I752" s="66">
        <v>8.0</v>
      </c>
      <c r="J752" s="24" t="s">
        <v>31</v>
      </c>
      <c r="K752" s="67">
        <v>31214.0</v>
      </c>
      <c r="L752" s="59"/>
      <c r="M752" s="59"/>
      <c r="N752" s="59"/>
      <c r="O752" s="59"/>
      <c r="P752" s="59"/>
      <c r="Q752" s="59"/>
      <c r="R752" s="59"/>
    </row>
    <row r="753">
      <c r="A753" s="66" t="s">
        <v>2260</v>
      </c>
      <c r="B753" s="66">
        <v>86.0</v>
      </c>
      <c r="C753" s="66">
        <v>14.0</v>
      </c>
      <c r="D753" s="24" t="s">
        <v>204</v>
      </c>
      <c r="E753" s="24" t="s">
        <v>166</v>
      </c>
      <c r="F753" s="66" t="s">
        <v>2261</v>
      </c>
      <c r="G753" s="66">
        <v>96.0</v>
      </c>
      <c r="H753" s="66">
        <v>9.0</v>
      </c>
      <c r="I753" s="66">
        <v>8.0</v>
      </c>
      <c r="J753" s="24" t="s">
        <v>33</v>
      </c>
      <c r="K753" s="67">
        <v>63017.0</v>
      </c>
      <c r="L753" s="59"/>
      <c r="M753" s="59"/>
      <c r="N753" s="59"/>
      <c r="O753" s="59"/>
      <c r="P753" s="59"/>
      <c r="Q753" s="59"/>
      <c r="R753" s="59"/>
    </row>
    <row r="754">
      <c r="A754" s="66" t="s">
        <v>2262</v>
      </c>
      <c r="B754" s="66">
        <v>86.0</v>
      </c>
      <c r="C754" s="66">
        <v>66.0</v>
      </c>
      <c r="D754" s="24" t="s">
        <v>418</v>
      </c>
      <c r="E754" s="24" t="s">
        <v>1464</v>
      </c>
      <c r="F754" s="66" t="s">
        <v>2263</v>
      </c>
      <c r="G754" s="66">
        <v>76.0</v>
      </c>
      <c r="H754" s="66">
        <v>5.0</v>
      </c>
      <c r="I754" s="66">
        <v>1.0</v>
      </c>
      <c r="J754" s="24" t="s">
        <v>33</v>
      </c>
      <c r="K754" s="67">
        <v>12319.0</v>
      </c>
      <c r="L754" s="59"/>
      <c r="M754" s="59"/>
      <c r="N754" s="59"/>
      <c r="O754" s="59"/>
      <c r="P754" s="59"/>
      <c r="Q754" s="59"/>
      <c r="R754" s="59"/>
    </row>
    <row r="755">
      <c r="A755" s="66" t="s">
        <v>2264</v>
      </c>
      <c r="B755" s="66">
        <v>93.0</v>
      </c>
      <c r="C755" s="66">
        <v>24.0</v>
      </c>
      <c r="D755" s="24" t="s">
        <v>213</v>
      </c>
      <c r="E755" s="24" t="s">
        <v>289</v>
      </c>
      <c r="F755" s="66" t="s">
        <v>2265</v>
      </c>
      <c r="G755" s="66">
        <v>76.0</v>
      </c>
      <c r="H755" s="66">
        <v>5.0</v>
      </c>
      <c r="I755" s="66">
        <v>2.0</v>
      </c>
      <c r="J755" s="24" t="s">
        <v>29</v>
      </c>
      <c r="K755" s="67">
        <v>60323.0</v>
      </c>
      <c r="L755" s="59"/>
      <c r="M755" s="59"/>
      <c r="N755" s="59"/>
      <c r="O755" s="59"/>
      <c r="P755" s="59"/>
      <c r="Q755" s="59"/>
      <c r="R755" s="59"/>
    </row>
    <row r="756">
      <c r="A756" s="66" t="s">
        <v>2266</v>
      </c>
      <c r="B756" s="66">
        <v>53.0</v>
      </c>
      <c r="C756" s="66">
        <v>79.0</v>
      </c>
      <c r="D756" s="24" t="s">
        <v>382</v>
      </c>
      <c r="E756" s="24" t="s">
        <v>535</v>
      </c>
      <c r="F756" s="66" t="s">
        <v>2267</v>
      </c>
      <c r="G756" s="66">
        <v>76.0</v>
      </c>
      <c r="H756" s="66">
        <v>5.0</v>
      </c>
      <c r="I756" s="66">
        <v>4.0</v>
      </c>
      <c r="J756" s="24" t="s">
        <v>29</v>
      </c>
      <c r="K756" s="67">
        <v>82619.0</v>
      </c>
      <c r="L756" s="59"/>
      <c r="M756" s="59"/>
      <c r="N756" s="59"/>
      <c r="O756" s="59"/>
      <c r="P756" s="59"/>
      <c r="Q756" s="59"/>
      <c r="R756" s="59"/>
    </row>
    <row r="757">
      <c r="A757" s="66" t="s">
        <v>2268</v>
      </c>
      <c r="B757" s="66">
        <v>68.0</v>
      </c>
      <c r="C757" s="66">
        <v>77.0</v>
      </c>
      <c r="D757" s="24" t="s">
        <v>1225</v>
      </c>
      <c r="E757" s="24" t="s">
        <v>112</v>
      </c>
      <c r="F757" s="66" t="s">
        <v>2269</v>
      </c>
      <c r="G757" s="66">
        <v>35.0</v>
      </c>
      <c r="H757" s="66">
        <v>5.0</v>
      </c>
      <c r="I757" s="66">
        <v>8.0</v>
      </c>
      <c r="J757" s="24" t="s">
        <v>33</v>
      </c>
      <c r="K757" s="67">
        <v>60516.0</v>
      </c>
      <c r="L757" s="59"/>
      <c r="M757" s="59"/>
      <c r="N757" s="59"/>
      <c r="O757" s="59"/>
      <c r="P757" s="59"/>
      <c r="Q757" s="59"/>
      <c r="R757" s="59"/>
    </row>
    <row r="758">
      <c r="A758" s="66" t="s">
        <v>2270</v>
      </c>
      <c r="B758" s="66">
        <v>28.0</v>
      </c>
      <c r="C758" s="66">
        <v>19.0</v>
      </c>
      <c r="D758" s="24" t="s">
        <v>265</v>
      </c>
      <c r="E758" s="24" t="s">
        <v>208</v>
      </c>
      <c r="F758" s="66" t="s">
        <v>2271</v>
      </c>
      <c r="G758" s="66">
        <v>15.0</v>
      </c>
      <c r="H758" s="66">
        <v>1.0</v>
      </c>
      <c r="I758" s="66">
        <v>4.0</v>
      </c>
      <c r="J758" s="24" t="s">
        <v>29</v>
      </c>
      <c r="K758" s="67">
        <v>91716.0</v>
      </c>
      <c r="L758" s="59"/>
      <c r="M758" s="59"/>
      <c r="N758" s="59"/>
      <c r="O758" s="59"/>
      <c r="P758" s="59"/>
      <c r="Q758" s="59"/>
      <c r="R758" s="59"/>
    </row>
    <row r="759">
      <c r="A759" s="66" t="s">
        <v>2272</v>
      </c>
      <c r="B759" s="66">
        <v>81.0</v>
      </c>
      <c r="C759" s="66">
        <v>89.0</v>
      </c>
      <c r="D759" s="24" t="s">
        <v>528</v>
      </c>
      <c r="E759" s="24" t="s">
        <v>1124</v>
      </c>
      <c r="F759" s="66" t="s">
        <v>2273</v>
      </c>
      <c r="G759" s="66">
        <v>56.0</v>
      </c>
      <c r="H759" s="66">
        <v>1.0</v>
      </c>
      <c r="I759" s="66">
        <v>2.0</v>
      </c>
      <c r="J759" s="24" t="s">
        <v>33</v>
      </c>
      <c r="K759" s="67">
        <v>90523.0</v>
      </c>
      <c r="L759" s="59"/>
      <c r="M759" s="59"/>
      <c r="N759" s="59"/>
      <c r="O759" s="59"/>
      <c r="P759" s="59"/>
      <c r="Q759" s="59"/>
      <c r="R759" s="59"/>
    </row>
    <row r="760">
      <c r="A760" s="66" t="s">
        <v>2274</v>
      </c>
      <c r="B760" s="66">
        <v>70.0</v>
      </c>
      <c r="C760" s="66">
        <v>34.0</v>
      </c>
      <c r="D760" s="24" t="s">
        <v>41</v>
      </c>
      <c r="E760" s="24" t="s">
        <v>1284</v>
      </c>
      <c r="F760" s="66" t="s">
        <v>2275</v>
      </c>
      <c r="G760" s="66">
        <v>76.0</v>
      </c>
      <c r="H760" s="66">
        <v>6.0</v>
      </c>
      <c r="I760" s="66">
        <v>2.0</v>
      </c>
      <c r="J760" s="24" t="s">
        <v>29</v>
      </c>
      <c r="K760" s="67">
        <v>32119.0</v>
      </c>
      <c r="L760" s="59"/>
      <c r="M760" s="59"/>
      <c r="N760" s="59"/>
      <c r="O760" s="59"/>
      <c r="P760" s="59"/>
      <c r="Q760" s="59"/>
      <c r="R760" s="59"/>
    </row>
    <row r="761">
      <c r="A761" s="66" t="s">
        <v>2276</v>
      </c>
      <c r="B761" s="66">
        <v>42.0</v>
      </c>
      <c r="C761" s="66">
        <v>23.0</v>
      </c>
      <c r="D761" s="24" t="s">
        <v>1037</v>
      </c>
      <c r="E761" s="24" t="s">
        <v>373</v>
      </c>
      <c r="F761" s="66" t="s">
        <v>2277</v>
      </c>
      <c r="G761" s="66">
        <v>35.0</v>
      </c>
      <c r="H761" s="66">
        <v>6.0</v>
      </c>
      <c r="I761" s="66">
        <v>6.0</v>
      </c>
      <c r="J761" s="24" t="s">
        <v>29</v>
      </c>
      <c r="K761" s="67">
        <v>91315.0</v>
      </c>
      <c r="L761" s="59"/>
      <c r="M761" s="59"/>
      <c r="N761" s="59"/>
      <c r="O761" s="59"/>
      <c r="P761" s="59"/>
      <c r="Q761" s="59"/>
      <c r="R761" s="59"/>
    </row>
    <row r="762">
      <c r="A762" s="66" t="s">
        <v>2278</v>
      </c>
      <c r="B762" s="66">
        <v>27.0</v>
      </c>
      <c r="C762" s="66">
        <v>51.0</v>
      </c>
      <c r="D762" s="24" t="s">
        <v>770</v>
      </c>
      <c r="E762" s="24" t="s">
        <v>362</v>
      </c>
      <c r="F762" s="66" t="s">
        <v>2279</v>
      </c>
      <c r="G762" s="66">
        <v>35.0</v>
      </c>
      <c r="H762" s="66">
        <v>6.0</v>
      </c>
      <c r="I762" s="66">
        <v>8.0</v>
      </c>
      <c r="J762" s="24" t="s">
        <v>33</v>
      </c>
      <c r="K762" s="67">
        <v>90422.0</v>
      </c>
      <c r="L762" s="59"/>
      <c r="M762" s="59"/>
      <c r="N762" s="59"/>
      <c r="O762" s="59"/>
      <c r="P762" s="59"/>
      <c r="Q762" s="59"/>
      <c r="R762" s="59"/>
    </row>
    <row r="763">
      <c r="A763" s="66" t="s">
        <v>2280</v>
      </c>
      <c r="B763" s="66">
        <v>77.0</v>
      </c>
      <c r="C763" s="66">
        <v>24.0</v>
      </c>
      <c r="D763" s="24" t="s">
        <v>368</v>
      </c>
      <c r="E763" s="24" t="s">
        <v>244</v>
      </c>
      <c r="F763" s="66" t="s">
        <v>2281</v>
      </c>
      <c r="G763" s="66">
        <v>15.0</v>
      </c>
      <c r="H763" s="66">
        <v>2.0</v>
      </c>
      <c r="I763" s="66">
        <v>5.0</v>
      </c>
      <c r="J763" s="24" t="s">
        <v>33</v>
      </c>
      <c r="K763" s="67">
        <v>11015.0</v>
      </c>
      <c r="L763" s="59"/>
      <c r="M763" s="59"/>
      <c r="N763" s="59"/>
      <c r="O763" s="59"/>
      <c r="P763" s="59"/>
      <c r="Q763" s="59"/>
      <c r="R763" s="59"/>
    </row>
    <row r="764">
      <c r="A764" s="66" t="s">
        <v>2282</v>
      </c>
      <c r="B764" s="66">
        <v>51.0</v>
      </c>
      <c r="C764" s="66">
        <v>83.0</v>
      </c>
      <c r="D764" s="24" t="s">
        <v>341</v>
      </c>
      <c r="E764" s="24" t="s">
        <v>2164</v>
      </c>
      <c r="F764" s="66" t="s">
        <v>2283</v>
      </c>
      <c r="G764" s="66">
        <v>56.0</v>
      </c>
      <c r="H764" s="66">
        <v>2.0</v>
      </c>
      <c r="I764" s="66">
        <v>2.0</v>
      </c>
      <c r="J764" s="24" t="s">
        <v>31</v>
      </c>
      <c r="K764" s="67">
        <v>32420.0</v>
      </c>
      <c r="L764" s="59"/>
      <c r="M764" s="59"/>
      <c r="N764" s="59"/>
      <c r="O764" s="59"/>
      <c r="P764" s="59"/>
      <c r="Q764" s="59"/>
      <c r="R764" s="59"/>
    </row>
    <row r="765">
      <c r="A765" s="66" t="s">
        <v>2284</v>
      </c>
      <c r="B765" s="66">
        <v>37.0</v>
      </c>
      <c r="C765" s="66">
        <v>33.0</v>
      </c>
      <c r="D765" s="24" t="s">
        <v>533</v>
      </c>
      <c r="E765" s="24" t="s">
        <v>872</v>
      </c>
      <c r="F765" s="66" t="s">
        <v>2285</v>
      </c>
      <c r="G765" s="66">
        <v>15.0</v>
      </c>
      <c r="H765" s="66">
        <v>2.0</v>
      </c>
      <c r="I765" s="66">
        <v>8.0</v>
      </c>
      <c r="J765" s="24" t="s">
        <v>29</v>
      </c>
      <c r="K765" s="67">
        <v>40714.0</v>
      </c>
      <c r="L765" s="59"/>
      <c r="M765" s="59"/>
      <c r="N765" s="59"/>
      <c r="O765" s="59"/>
      <c r="P765" s="59"/>
      <c r="Q765" s="59"/>
      <c r="R765" s="59"/>
    </row>
    <row r="766">
      <c r="A766" s="66" t="s">
        <v>2286</v>
      </c>
      <c r="B766" s="66">
        <v>46.0</v>
      </c>
      <c r="C766" s="66">
        <v>81.0</v>
      </c>
      <c r="D766" s="24" t="s">
        <v>284</v>
      </c>
      <c r="E766" s="24" t="s">
        <v>141</v>
      </c>
      <c r="F766" s="66" t="s">
        <v>2287</v>
      </c>
      <c r="G766" s="66">
        <v>56.0</v>
      </c>
      <c r="H766" s="66">
        <v>2.0</v>
      </c>
      <c r="I766" s="66">
        <v>4.0</v>
      </c>
      <c r="J766" s="24" t="s">
        <v>39</v>
      </c>
      <c r="K766" s="67">
        <v>61317.0</v>
      </c>
      <c r="L766" s="59"/>
      <c r="M766" s="59"/>
      <c r="N766" s="59"/>
      <c r="O766" s="59"/>
      <c r="P766" s="59"/>
      <c r="Q766" s="59"/>
      <c r="R766" s="59"/>
    </row>
    <row r="767">
      <c r="A767" s="66" t="s">
        <v>2288</v>
      </c>
      <c r="B767" s="66">
        <v>53.0</v>
      </c>
      <c r="C767" s="66">
        <v>75.0</v>
      </c>
      <c r="D767" s="24" t="s">
        <v>1281</v>
      </c>
      <c r="E767" s="24" t="s">
        <v>431</v>
      </c>
      <c r="F767" s="66" t="s">
        <v>2289</v>
      </c>
      <c r="G767" s="66">
        <v>15.0</v>
      </c>
      <c r="H767" s="66">
        <v>3.0</v>
      </c>
      <c r="I767" s="66">
        <v>1.0</v>
      </c>
      <c r="J767" s="24" t="s">
        <v>39</v>
      </c>
      <c r="K767" s="67">
        <v>72820.0</v>
      </c>
      <c r="L767" s="59"/>
      <c r="M767" s="59"/>
      <c r="N767" s="59"/>
      <c r="O767" s="59"/>
      <c r="P767" s="59"/>
      <c r="Q767" s="59"/>
      <c r="R767" s="59"/>
    </row>
    <row r="768">
      <c r="A768" s="66" t="s">
        <v>2290</v>
      </c>
      <c r="B768" s="66">
        <v>79.0</v>
      </c>
      <c r="C768" s="66">
        <v>52.0</v>
      </c>
      <c r="D768" s="24" t="s">
        <v>189</v>
      </c>
      <c r="E768" s="24" t="s">
        <v>391</v>
      </c>
      <c r="F768" s="66" t="s">
        <v>2291</v>
      </c>
      <c r="G768" s="66">
        <v>35.0</v>
      </c>
      <c r="H768" s="66">
        <v>7.0</v>
      </c>
      <c r="I768" s="66">
        <v>9.0</v>
      </c>
      <c r="J768" s="24" t="s">
        <v>29</v>
      </c>
      <c r="K768" s="67">
        <v>122015.0</v>
      </c>
      <c r="L768" s="59"/>
      <c r="M768" s="59"/>
      <c r="N768" s="59"/>
      <c r="O768" s="59"/>
      <c r="P768" s="59"/>
      <c r="Q768" s="59"/>
      <c r="R768" s="59"/>
    </row>
    <row r="769">
      <c r="A769" s="66" t="s">
        <v>2292</v>
      </c>
      <c r="B769" s="66">
        <v>69.0</v>
      </c>
      <c r="C769" s="66">
        <v>97.0</v>
      </c>
      <c r="D769" s="24" t="s">
        <v>734</v>
      </c>
      <c r="E769" s="24" t="s">
        <v>458</v>
      </c>
      <c r="F769" s="66" t="s">
        <v>2293</v>
      </c>
      <c r="G769" s="66">
        <v>56.0</v>
      </c>
      <c r="H769" s="66">
        <v>2.0</v>
      </c>
      <c r="I769" s="66">
        <v>7.0</v>
      </c>
      <c r="J769" s="24" t="s">
        <v>33</v>
      </c>
      <c r="K769" s="67">
        <v>41015.0</v>
      </c>
      <c r="L769" s="59"/>
      <c r="M769" s="59"/>
      <c r="N769" s="59"/>
      <c r="O769" s="59"/>
      <c r="P769" s="59"/>
      <c r="Q769" s="59"/>
      <c r="R769" s="59"/>
    </row>
    <row r="770">
      <c r="A770" s="66" t="s">
        <v>2294</v>
      </c>
      <c r="B770" s="66">
        <v>58.0</v>
      </c>
      <c r="C770" s="66">
        <v>11.0</v>
      </c>
      <c r="D770" s="24" t="s">
        <v>235</v>
      </c>
      <c r="E770" s="24" t="s">
        <v>169</v>
      </c>
      <c r="F770" s="66" t="s">
        <v>2295</v>
      </c>
      <c r="G770" s="66">
        <v>97.0</v>
      </c>
      <c r="H770" s="66">
        <v>2.0</v>
      </c>
      <c r="I770" s="66">
        <v>9.0</v>
      </c>
      <c r="J770" s="24" t="s">
        <v>33</v>
      </c>
      <c r="K770" s="67">
        <v>122114.0</v>
      </c>
      <c r="L770" s="59"/>
      <c r="M770" s="59"/>
      <c r="N770" s="59"/>
      <c r="O770" s="59"/>
      <c r="P770" s="59"/>
      <c r="Q770" s="59"/>
      <c r="R770" s="59"/>
    </row>
    <row r="771">
      <c r="A771" s="66" t="s">
        <v>2296</v>
      </c>
      <c r="B771" s="66">
        <v>22.0</v>
      </c>
      <c r="C771" s="66">
        <v>64.0</v>
      </c>
      <c r="D771" s="24" t="s">
        <v>332</v>
      </c>
      <c r="E771" s="24" t="s">
        <v>1125</v>
      </c>
      <c r="F771" s="66" t="s">
        <v>2297</v>
      </c>
      <c r="G771" s="66">
        <v>56.0</v>
      </c>
      <c r="H771" s="66">
        <v>3.0</v>
      </c>
      <c r="I771" s="66">
        <v>5.0</v>
      </c>
      <c r="J771" s="24" t="s">
        <v>48</v>
      </c>
      <c r="K771" s="67">
        <v>72420.0</v>
      </c>
      <c r="L771" s="59"/>
      <c r="M771" s="59"/>
      <c r="N771" s="59"/>
      <c r="O771" s="59"/>
      <c r="P771" s="59"/>
      <c r="Q771" s="59"/>
      <c r="R771" s="59"/>
    </row>
    <row r="772">
      <c r="A772" s="66" t="s">
        <v>2298</v>
      </c>
      <c r="B772" s="66">
        <v>91.0</v>
      </c>
      <c r="C772" s="66">
        <v>91.0</v>
      </c>
      <c r="D772" s="24" t="s">
        <v>410</v>
      </c>
      <c r="E772" s="24" t="s">
        <v>183</v>
      </c>
      <c r="F772" s="66" t="s">
        <v>2299</v>
      </c>
      <c r="G772" s="66">
        <v>76.0</v>
      </c>
      <c r="H772" s="66">
        <v>8.0</v>
      </c>
      <c r="I772" s="66">
        <v>4.0</v>
      </c>
      <c r="J772" s="24" t="s">
        <v>39</v>
      </c>
      <c r="K772" s="67">
        <v>21013.0</v>
      </c>
      <c r="L772" s="59"/>
      <c r="M772" s="59"/>
      <c r="N772" s="59"/>
      <c r="O772" s="59"/>
      <c r="P772" s="59"/>
      <c r="Q772" s="59"/>
      <c r="R772" s="59"/>
    </row>
    <row r="773">
      <c r="A773" s="66" t="s">
        <v>2300</v>
      </c>
      <c r="B773" s="66">
        <v>36.0</v>
      </c>
      <c r="C773" s="66">
        <v>91.0</v>
      </c>
      <c r="D773" s="24" t="s">
        <v>299</v>
      </c>
      <c r="E773" s="24" t="s">
        <v>213</v>
      </c>
      <c r="F773" s="66" t="s">
        <v>2301</v>
      </c>
      <c r="G773" s="66">
        <v>76.0</v>
      </c>
      <c r="H773" s="66">
        <v>8.0</v>
      </c>
      <c r="I773" s="66">
        <v>3.0</v>
      </c>
      <c r="J773" s="24" t="s">
        <v>33</v>
      </c>
      <c r="K773" s="67">
        <v>81315.0</v>
      </c>
      <c r="L773" s="59"/>
      <c r="M773" s="59"/>
      <c r="N773" s="59"/>
      <c r="O773" s="59"/>
      <c r="P773" s="59"/>
      <c r="Q773" s="59"/>
      <c r="R773" s="59"/>
    </row>
    <row r="774">
      <c r="A774" s="66" t="s">
        <v>2302</v>
      </c>
      <c r="B774" s="66">
        <v>38.0</v>
      </c>
      <c r="C774" s="66">
        <v>19.0</v>
      </c>
      <c r="D774" s="24" t="s">
        <v>253</v>
      </c>
      <c r="E774" s="24" t="s">
        <v>2303</v>
      </c>
      <c r="F774" s="66" t="s">
        <v>2304</v>
      </c>
      <c r="G774" s="66">
        <v>35.0</v>
      </c>
      <c r="H774" s="66">
        <v>8.0</v>
      </c>
      <c r="I774" s="66">
        <v>7.0</v>
      </c>
      <c r="J774" s="24" t="s">
        <v>29</v>
      </c>
      <c r="K774" s="67">
        <v>20915.0</v>
      </c>
      <c r="L774" s="59"/>
      <c r="M774" s="59"/>
      <c r="N774" s="59"/>
      <c r="O774" s="59"/>
      <c r="P774" s="59"/>
      <c r="Q774" s="59"/>
      <c r="R774" s="59"/>
    </row>
    <row r="775">
      <c r="A775" s="66" t="s">
        <v>2305</v>
      </c>
      <c r="B775" s="66">
        <v>72.0</v>
      </c>
      <c r="C775" s="66">
        <v>86.0</v>
      </c>
      <c r="D775" s="24" t="s">
        <v>451</v>
      </c>
      <c r="E775" s="24" t="s">
        <v>433</v>
      </c>
      <c r="F775" s="66" t="s">
        <v>2306</v>
      </c>
      <c r="G775" s="66">
        <v>15.0</v>
      </c>
      <c r="H775" s="66">
        <v>4.0</v>
      </c>
      <c r="I775" s="66">
        <v>4.0</v>
      </c>
      <c r="J775" s="24" t="s">
        <v>48</v>
      </c>
      <c r="K775" s="67">
        <v>102622.0</v>
      </c>
      <c r="L775" s="59"/>
      <c r="M775" s="59"/>
      <c r="N775" s="59"/>
      <c r="O775" s="59"/>
      <c r="P775" s="59"/>
      <c r="Q775" s="59"/>
      <c r="R775" s="59"/>
    </row>
    <row r="776">
      <c r="A776" s="66" t="s">
        <v>2307</v>
      </c>
      <c r="B776" s="66">
        <v>91.0</v>
      </c>
      <c r="C776" s="66">
        <v>91.0</v>
      </c>
      <c r="D776" s="24" t="s">
        <v>54</v>
      </c>
      <c r="E776" s="24" t="s">
        <v>1069</v>
      </c>
      <c r="F776" s="66" t="s">
        <v>2308</v>
      </c>
      <c r="G776" s="66">
        <v>35.0</v>
      </c>
      <c r="H776" s="66">
        <v>9.0</v>
      </c>
      <c r="I776" s="66">
        <v>4.0</v>
      </c>
      <c r="J776" s="24" t="s">
        <v>33</v>
      </c>
      <c r="K776" s="67">
        <v>11718.0</v>
      </c>
      <c r="L776" s="59"/>
      <c r="M776" s="59"/>
      <c r="N776" s="59"/>
      <c r="O776" s="59"/>
      <c r="P776" s="59"/>
      <c r="Q776" s="59"/>
      <c r="R776" s="59"/>
    </row>
    <row r="777">
      <c r="A777" s="66" t="s">
        <v>2309</v>
      </c>
      <c r="B777" s="66">
        <v>81.0</v>
      </c>
      <c r="C777" s="66">
        <v>64.0</v>
      </c>
      <c r="D777" s="24" t="s">
        <v>531</v>
      </c>
      <c r="E777" s="24" t="s">
        <v>2310</v>
      </c>
      <c r="F777" s="66" t="s">
        <v>2311</v>
      </c>
      <c r="G777" s="66">
        <v>15.0</v>
      </c>
      <c r="H777" s="66">
        <v>4.0</v>
      </c>
      <c r="I777" s="66">
        <v>9.0</v>
      </c>
      <c r="J777" s="24" t="s">
        <v>29</v>
      </c>
      <c r="K777" s="67">
        <v>12416.0</v>
      </c>
      <c r="L777" s="59"/>
      <c r="M777" s="59"/>
      <c r="N777" s="59"/>
      <c r="O777" s="59"/>
      <c r="P777" s="59"/>
      <c r="Q777" s="59"/>
      <c r="R777" s="59"/>
    </row>
    <row r="778">
      <c r="A778" s="66" t="s">
        <v>2312</v>
      </c>
      <c r="B778" s="66">
        <v>80.0</v>
      </c>
      <c r="C778" s="66">
        <v>63.0</v>
      </c>
      <c r="D778" s="24" t="s">
        <v>1327</v>
      </c>
      <c r="E778" s="24" t="s">
        <v>1512</v>
      </c>
      <c r="F778" s="66" t="s">
        <v>2313</v>
      </c>
      <c r="G778" s="66">
        <v>56.0</v>
      </c>
      <c r="H778" s="66">
        <v>4.0</v>
      </c>
      <c r="I778" s="66">
        <v>6.0</v>
      </c>
      <c r="J778" s="24" t="s">
        <v>48</v>
      </c>
      <c r="K778" s="67">
        <v>41415.0</v>
      </c>
      <c r="L778" s="59"/>
      <c r="M778" s="59"/>
      <c r="N778" s="59"/>
      <c r="O778" s="59"/>
      <c r="P778" s="59"/>
      <c r="Q778" s="59"/>
      <c r="R778" s="59"/>
    </row>
    <row r="779">
      <c r="A779" s="66" t="s">
        <v>2314</v>
      </c>
      <c r="B779" s="66">
        <v>92.0</v>
      </c>
      <c r="C779" s="66">
        <v>79.0</v>
      </c>
      <c r="D779" s="24" t="s">
        <v>268</v>
      </c>
      <c r="E779" s="24" t="s">
        <v>180</v>
      </c>
      <c r="F779" s="66" t="s">
        <v>2315</v>
      </c>
      <c r="G779" s="66">
        <v>56.0</v>
      </c>
      <c r="H779" s="66">
        <v>4.0</v>
      </c>
      <c r="I779" s="66">
        <v>7.0</v>
      </c>
      <c r="J779" s="24" t="s">
        <v>39</v>
      </c>
      <c r="K779" s="67">
        <v>90223.0</v>
      </c>
      <c r="L779" s="59"/>
      <c r="M779" s="59"/>
      <c r="N779" s="59"/>
      <c r="O779" s="59"/>
      <c r="P779" s="59"/>
      <c r="Q779" s="59"/>
      <c r="R779" s="59"/>
    </row>
    <row r="780">
      <c r="A780" s="66" t="s">
        <v>2316</v>
      </c>
      <c r="B780" s="66">
        <v>57.0</v>
      </c>
      <c r="C780" s="66">
        <v>96.0</v>
      </c>
      <c r="D780" s="24" t="s">
        <v>172</v>
      </c>
      <c r="E780" s="24" t="s">
        <v>507</v>
      </c>
      <c r="F780" s="66" t="s">
        <v>2317</v>
      </c>
      <c r="G780" s="66">
        <v>97.0</v>
      </c>
      <c r="H780" s="66">
        <v>4.0</v>
      </c>
      <c r="I780" s="66">
        <v>4.0</v>
      </c>
      <c r="J780" s="24" t="s">
        <v>33</v>
      </c>
      <c r="K780" s="67">
        <v>61615.0</v>
      </c>
      <c r="L780" s="59"/>
      <c r="M780" s="59"/>
      <c r="N780" s="59"/>
      <c r="O780" s="59"/>
      <c r="P780" s="59"/>
      <c r="Q780" s="59"/>
      <c r="R780" s="59"/>
    </row>
    <row r="781">
      <c r="A781" s="66" t="s">
        <v>2318</v>
      </c>
      <c r="B781" s="66">
        <v>68.0</v>
      </c>
      <c r="C781" s="66">
        <v>52.0</v>
      </c>
      <c r="D781" s="24" t="s">
        <v>2303</v>
      </c>
      <c r="E781" s="24" t="s">
        <v>32</v>
      </c>
      <c r="F781" s="66" t="s">
        <v>2319</v>
      </c>
      <c r="G781" s="66">
        <v>15.0</v>
      </c>
      <c r="H781" s="66">
        <v>5.0</v>
      </c>
      <c r="I781" s="66">
        <v>5.0</v>
      </c>
      <c r="J781" s="24" t="s">
        <v>48</v>
      </c>
      <c r="K781" s="67">
        <v>10717.0</v>
      </c>
      <c r="L781" s="59"/>
      <c r="M781" s="59"/>
      <c r="N781" s="59"/>
      <c r="O781" s="59"/>
      <c r="P781" s="59"/>
      <c r="Q781" s="59"/>
      <c r="R781" s="59"/>
    </row>
    <row r="782">
      <c r="A782" s="66" t="s">
        <v>2320</v>
      </c>
      <c r="B782" s="66">
        <v>99.0</v>
      </c>
      <c r="C782" s="66">
        <v>81.0</v>
      </c>
      <c r="D782" s="24" t="s">
        <v>339</v>
      </c>
      <c r="E782" s="24" t="s">
        <v>266</v>
      </c>
      <c r="F782" s="66" t="s">
        <v>2321</v>
      </c>
      <c r="G782" s="66">
        <v>56.0</v>
      </c>
      <c r="H782" s="66">
        <v>5.0</v>
      </c>
      <c r="I782" s="66">
        <v>5.0</v>
      </c>
      <c r="J782" s="24" t="s">
        <v>33</v>
      </c>
      <c r="K782" s="67">
        <v>50720.0</v>
      </c>
      <c r="L782" s="59"/>
      <c r="M782" s="59"/>
      <c r="N782" s="59"/>
      <c r="O782" s="59"/>
      <c r="P782" s="59"/>
      <c r="Q782" s="59"/>
      <c r="R782" s="59"/>
    </row>
    <row r="783">
      <c r="A783" s="66" t="s">
        <v>2322</v>
      </c>
      <c r="B783" s="66">
        <v>37.0</v>
      </c>
      <c r="C783" s="66">
        <v>96.0</v>
      </c>
      <c r="D783" s="24" t="s">
        <v>537</v>
      </c>
      <c r="E783" s="24" t="s">
        <v>659</v>
      </c>
      <c r="F783" s="66" t="s">
        <v>2323</v>
      </c>
      <c r="G783" s="66">
        <v>97.0</v>
      </c>
      <c r="H783" s="66">
        <v>5.0</v>
      </c>
      <c r="I783" s="66">
        <v>2.0</v>
      </c>
      <c r="J783" s="24" t="s">
        <v>31</v>
      </c>
      <c r="K783" s="67">
        <v>111418.0</v>
      </c>
      <c r="L783" s="59"/>
      <c r="M783" s="59"/>
      <c r="N783" s="59"/>
      <c r="O783" s="59"/>
      <c r="P783" s="59"/>
      <c r="Q783" s="59"/>
      <c r="R783" s="59"/>
    </row>
    <row r="784">
      <c r="A784" s="66" t="s">
        <v>2324</v>
      </c>
      <c r="B784" s="66">
        <v>96.0</v>
      </c>
      <c r="C784" s="66">
        <v>36.0</v>
      </c>
      <c r="D784" s="24" t="s">
        <v>540</v>
      </c>
      <c r="E784" s="24" t="s">
        <v>120</v>
      </c>
      <c r="F784" s="66">
        <v>2366.0</v>
      </c>
      <c r="G784" s="66">
        <v>56.0</v>
      </c>
      <c r="H784" s="66">
        <v>5.0</v>
      </c>
      <c r="I784" s="66">
        <v>7.0</v>
      </c>
      <c r="J784" s="24" t="s">
        <v>29</v>
      </c>
      <c r="K784" s="67">
        <v>62822.0</v>
      </c>
      <c r="L784" s="59"/>
      <c r="M784" s="59"/>
      <c r="N784" s="59"/>
      <c r="O784" s="59"/>
      <c r="P784" s="59"/>
      <c r="Q784" s="59"/>
      <c r="R784" s="59"/>
    </row>
    <row r="785">
      <c r="A785" s="66" t="s">
        <v>2325</v>
      </c>
      <c r="B785" s="66">
        <v>46.0</v>
      </c>
      <c r="C785" s="66">
        <v>29.0</v>
      </c>
      <c r="D785" s="24" t="s">
        <v>816</v>
      </c>
      <c r="E785" s="24" t="s">
        <v>220</v>
      </c>
      <c r="F785" s="66" t="s">
        <v>2326</v>
      </c>
      <c r="G785" s="66">
        <v>97.0</v>
      </c>
      <c r="H785" s="66">
        <v>5.0</v>
      </c>
      <c r="I785" s="66">
        <v>4.0</v>
      </c>
      <c r="J785" s="24" t="s">
        <v>29</v>
      </c>
      <c r="K785" s="67">
        <v>42219.0</v>
      </c>
      <c r="L785" s="59"/>
      <c r="M785" s="59"/>
      <c r="N785" s="59"/>
      <c r="O785" s="59"/>
      <c r="P785" s="59"/>
      <c r="Q785" s="59"/>
      <c r="R785" s="59"/>
    </row>
    <row r="786">
      <c r="A786" s="66" t="s">
        <v>2327</v>
      </c>
      <c r="B786" s="66">
        <v>15.0</v>
      </c>
      <c r="C786" s="66">
        <v>70.0</v>
      </c>
      <c r="D786" s="24" t="s">
        <v>241</v>
      </c>
      <c r="E786" s="24" t="s">
        <v>503</v>
      </c>
      <c r="F786" s="66" t="s">
        <v>2328</v>
      </c>
      <c r="G786" s="66">
        <v>97.0</v>
      </c>
      <c r="H786" s="66">
        <v>5.0</v>
      </c>
      <c r="I786" s="66">
        <v>5.0</v>
      </c>
      <c r="J786" s="24" t="s">
        <v>33</v>
      </c>
      <c r="K786" s="67">
        <v>40518.0</v>
      </c>
      <c r="L786" s="59"/>
      <c r="M786" s="59"/>
      <c r="N786" s="59"/>
      <c r="O786" s="59"/>
      <c r="P786" s="59"/>
      <c r="Q786" s="59"/>
      <c r="R786" s="59"/>
    </row>
    <row r="787">
      <c r="A787" s="66" t="s">
        <v>2329</v>
      </c>
      <c r="B787" s="66">
        <v>35.0</v>
      </c>
      <c r="C787" s="66">
        <v>21.0</v>
      </c>
      <c r="D787" s="24" t="s">
        <v>46</v>
      </c>
      <c r="E787" s="24" t="s">
        <v>198</v>
      </c>
      <c r="F787" s="66" t="s">
        <v>2330</v>
      </c>
      <c r="G787" s="66">
        <v>56.0</v>
      </c>
      <c r="H787" s="66">
        <v>5.0</v>
      </c>
      <c r="I787" s="66">
        <v>9.0</v>
      </c>
      <c r="J787" s="24" t="s">
        <v>29</v>
      </c>
      <c r="K787" s="67">
        <v>42523.0</v>
      </c>
      <c r="L787" s="59"/>
      <c r="M787" s="59"/>
      <c r="N787" s="59"/>
      <c r="O787" s="59"/>
      <c r="P787" s="59"/>
      <c r="Q787" s="59"/>
      <c r="R787" s="59"/>
    </row>
    <row r="788">
      <c r="A788" s="66" t="s">
        <v>2331</v>
      </c>
      <c r="B788" s="66">
        <v>69.0</v>
      </c>
      <c r="C788" s="66">
        <v>45.0</v>
      </c>
      <c r="D788" s="24" t="s">
        <v>307</v>
      </c>
      <c r="E788" s="24" t="s">
        <v>1365</v>
      </c>
      <c r="F788" s="66" t="s">
        <v>2332</v>
      </c>
      <c r="G788" s="66">
        <v>15.0</v>
      </c>
      <c r="H788" s="66">
        <v>6.0</v>
      </c>
      <c r="I788" s="66">
        <v>5.0</v>
      </c>
      <c r="J788" s="24" t="s">
        <v>48</v>
      </c>
      <c r="K788" s="67">
        <v>12821.0</v>
      </c>
      <c r="L788" s="59"/>
      <c r="M788" s="59"/>
      <c r="N788" s="59"/>
      <c r="O788" s="59"/>
      <c r="P788" s="59"/>
      <c r="Q788" s="59"/>
      <c r="R788" s="59"/>
    </row>
    <row r="789">
      <c r="A789" s="66" t="s">
        <v>2333</v>
      </c>
      <c r="B789" s="66">
        <v>32.0</v>
      </c>
      <c r="C789" s="66">
        <v>43.0</v>
      </c>
      <c r="D789" s="24" t="s">
        <v>1100</v>
      </c>
      <c r="E789" s="24" t="s">
        <v>1442</v>
      </c>
      <c r="F789" s="66" t="s">
        <v>2334</v>
      </c>
      <c r="G789" s="66">
        <v>56.0</v>
      </c>
      <c r="H789" s="66">
        <v>6.0</v>
      </c>
      <c r="I789" s="66">
        <v>5.0</v>
      </c>
      <c r="J789" s="24" t="s">
        <v>33</v>
      </c>
      <c r="K789" s="67">
        <v>32419.0</v>
      </c>
      <c r="L789" s="59"/>
      <c r="M789" s="59"/>
      <c r="N789" s="59"/>
      <c r="O789" s="59"/>
      <c r="P789" s="59"/>
      <c r="Q789" s="59"/>
      <c r="R789" s="59"/>
    </row>
    <row r="790">
      <c r="A790" s="66" t="s">
        <v>2335</v>
      </c>
      <c r="B790" s="66">
        <v>49.0</v>
      </c>
      <c r="C790" s="66">
        <v>44.0</v>
      </c>
      <c r="D790" s="24" t="s">
        <v>2336</v>
      </c>
      <c r="E790" s="24" t="s">
        <v>525</v>
      </c>
      <c r="F790" s="66" t="s">
        <v>2337</v>
      </c>
      <c r="G790" s="66">
        <v>36.0</v>
      </c>
      <c r="H790" s="66">
        <v>2.0</v>
      </c>
      <c r="I790" s="66">
        <v>1.0</v>
      </c>
      <c r="J790" s="24" t="s">
        <v>33</v>
      </c>
      <c r="K790" s="67">
        <v>71817.0</v>
      </c>
      <c r="L790" s="59"/>
      <c r="M790" s="59"/>
      <c r="N790" s="59"/>
      <c r="O790" s="59"/>
      <c r="P790" s="59"/>
      <c r="Q790" s="59"/>
      <c r="R790" s="59"/>
    </row>
    <row r="791">
      <c r="A791" s="66" t="s">
        <v>2338</v>
      </c>
      <c r="B791" s="66">
        <v>20.0</v>
      </c>
      <c r="C791" s="66">
        <v>57.0</v>
      </c>
      <c r="D791" s="24" t="s">
        <v>233</v>
      </c>
      <c r="E791" s="24" t="s">
        <v>1124</v>
      </c>
      <c r="F791" s="66" t="s">
        <v>2339</v>
      </c>
      <c r="G791" s="66">
        <v>77.0</v>
      </c>
      <c r="H791" s="66">
        <v>1.0</v>
      </c>
      <c r="I791" s="66">
        <v>7.0</v>
      </c>
      <c r="J791" s="24" t="s">
        <v>39</v>
      </c>
      <c r="K791" s="67">
        <v>11218.0</v>
      </c>
      <c r="L791" s="59"/>
      <c r="M791" s="59"/>
      <c r="N791" s="59"/>
      <c r="O791" s="59"/>
      <c r="P791" s="59"/>
      <c r="Q791" s="59"/>
      <c r="R791" s="59"/>
    </row>
    <row r="792">
      <c r="A792" s="66" t="s">
        <v>2340</v>
      </c>
      <c r="B792" s="66">
        <v>85.0</v>
      </c>
      <c r="C792" s="66">
        <v>99.0</v>
      </c>
      <c r="D792" s="24" t="s">
        <v>402</v>
      </c>
      <c r="E792" s="24" t="s">
        <v>325</v>
      </c>
      <c r="F792" s="66" t="s">
        <v>2341</v>
      </c>
      <c r="G792" s="66">
        <v>36.0</v>
      </c>
      <c r="H792" s="66">
        <v>2.0</v>
      </c>
      <c r="I792" s="66">
        <v>3.0</v>
      </c>
      <c r="J792" s="24" t="s">
        <v>29</v>
      </c>
      <c r="K792" s="67">
        <v>100922.0</v>
      </c>
      <c r="L792" s="59"/>
      <c r="M792" s="59"/>
      <c r="N792" s="59"/>
      <c r="O792" s="59"/>
      <c r="P792" s="59"/>
      <c r="Q792" s="59"/>
      <c r="R792" s="59"/>
    </row>
    <row r="793">
      <c r="A793" s="66" t="s">
        <v>2342</v>
      </c>
      <c r="B793" s="66">
        <v>77.0</v>
      </c>
      <c r="C793" s="66">
        <v>25.0</v>
      </c>
      <c r="D793" s="24" t="s">
        <v>894</v>
      </c>
      <c r="E793" s="24" t="s">
        <v>1259</v>
      </c>
      <c r="F793" s="66" t="s">
        <v>2343</v>
      </c>
      <c r="G793" s="66">
        <v>97.0</v>
      </c>
      <c r="H793" s="66">
        <v>6.0</v>
      </c>
      <c r="I793" s="66">
        <v>5.0</v>
      </c>
      <c r="J793" s="24" t="s">
        <v>29</v>
      </c>
      <c r="K793" s="67">
        <v>122918.0</v>
      </c>
      <c r="L793" s="59"/>
      <c r="M793" s="59"/>
      <c r="N793" s="59"/>
      <c r="O793" s="59"/>
      <c r="P793" s="59"/>
      <c r="Q793" s="59"/>
      <c r="R793" s="59"/>
    </row>
    <row r="794">
      <c r="A794" s="66" t="s">
        <v>2344</v>
      </c>
      <c r="B794" s="66">
        <v>72.0</v>
      </c>
      <c r="C794" s="66">
        <v>16.0</v>
      </c>
      <c r="D794" s="24" t="s">
        <v>481</v>
      </c>
      <c r="E794" s="24" t="s">
        <v>801</v>
      </c>
      <c r="F794" s="66" t="s">
        <v>2345</v>
      </c>
      <c r="G794" s="66">
        <v>97.0</v>
      </c>
      <c r="H794" s="66">
        <v>6.0</v>
      </c>
      <c r="I794" s="66">
        <v>9.0</v>
      </c>
      <c r="J794" s="24" t="s">
        <v>31</v>
      </c>
      <c r="K794" s="67">
        <v>12415.0</v>
      </c>
      <c r="L794" s="59"/>
      <c r="M794" s="59"/>
      <c r="N794" s="59"/>
      <c r="O794" s="59"/>
      <c r="P794" s="59"/>
      <c r="Q794" s="59"/>
      <c r="R794" s="59"/>
    </row>
    <row r="795">
      <c r="A795" s="66" t="s">
        <v>2346</v>
      </c>
      <c r="B795" s="66">
        <v>57.0</v>
      </c>
      <c r="C795" s="66">
        <v>48.0</v>
      </c>
      <c r="D795" s="24" t="s">
        <v>2347</v>
      </c>
      <c r="E795" s="24" t="s">
        <v>379</v>
      </c>
      <c r="F795" s="66" t="s">
        <v>2348</v>
      </c>
      <c r="G795" s="66">
        <v>56.0</v>
      </c>
      <c r="H795" s="66">
        <v>7.0</v>
      </c>
      <c r="I795" s="66">
        <v>4.0</v>
      </c>
      <c r="J795" s="24" t="s">
        <v>31</v>
      </c>
      <c r="K795" s="67">
        <v>22216.0</v>
      </c>
      <c r="L795" s="59"/>
      <c r="M795" s="59"/>
      <c r="N795" s="59"/>
      <c r="O795" s="59"/>
      <c r="P795" s="59"/>
      <c r="Q795" s="59"/>
      <c r="R795" s="59"/>
    </row>
    <row r="796">
      <c r="A796" s="66" t="s">
        <v>2349</v>
      </c>
      <c r="B796" s="66">
        <v>47.0</v>
      </c>
      <c r="C796" s="66">
        <v>35.0</v>
      </c>
      <c r="D796" s="24" t="s">
        <v>418</v>
      </c>
      <c r="E796" s="24" t="s">
        <v>1066</v>
      </c>
      <c r="F796" s="66" t="s">
        <v>2350</v>
      </c>
      <c r="G796" s="66">
        <v>15.0</v>
      </c>
      <c r="H796" s="66">
        <v>7.0</v>
      </c>
      <c r="I796" s="66">
        <v>9.0</v>
      </c>
      <c r="J796" s="24" t="s">
        <v>29</v>
      </c>
      <c r="K796" s="67">
        <v>122518.0</v>
      </c>
      <c r="L796" s="59"/>
      <c r="M796" s="59"/>
      <c r="N796" s="59"/>
      <c r="O796" s="59"/>
      <c r="P796" s="59"/>
      <c r="Q796" s="59"/>
      <c r="R796" s="59"/>
    </row>
    <row r="797">
      <c r="A797" s="66" t="s">
        <v>2351</v>
      </c>
      <c r="B797" s="66">
        <v>48.0</v>
      </c>
      <c r="C797" s="66">
        <v>11.0</v>
      </c>
      <c r="D797" s="24" t="s">
        <v>432</v>
      </c>
      <c r="E797" s="24" t="s">
        <v>250</v>
      </c>
      <c r="F797" s="66" t="s">
        <v>2352</v>
      </c>
      <c r="G797" s="66">
        <v>97.0</v>
      </c>
      <c r="H797" s="66">
        <v>7.0</v>
      </c>
      <c r="I797" s="66">
        <v>2.0</v>
      </c>
      <c r="J797" s="24" t="s">
        <v>31</v>
      </c>
      <c r="K797" s="67">
        <v>13114.0</v>
      </c>
      <c r="L797" s="59"/>
      <c r="M797" s="59"/>
      <c r="N797" s="59"/>
      <c r="O797" s="59"/>
      <c r="P797" s="59"/>
      <c r="Q797" s="59"/>
      <c r="R797" s="59"/>
    </row>
    <row r="798">
      <c r="A798" s="66" t="s">
        <v>2353</v>
      </c>
      <c r="B798" s="66">
        <v>91.0</v>
      </c>
      <c r="C798" s="66">
        <v>50.0</v>
      </c>
      <c r="D798" s="24" t="s">
        <v>330</v>
      </c>
      <c r="E798" s="24" t="s">
        <v>894</v>
      </c>
      <c r="F798" s="66" t="s">
        <v>2354</v>
      </c>
      <c r="G798" s="66">
        <v>56.0</v>
      </c>
      <c r="H798" s="66">
        <v>7.0</v>
      </c>
      <c r="I798" s="66">
        <v>5.0</v>
      </c>
      <c r="J798" s="24" t="s">
        <v>48</v>
      </c>
      <c r="K798" s="67">
        <v>51513.0</v>
      </c>
      <c r="L798" s="59"/>
      <c r="M798" s="59"/>
      <c r="N798" s="59"/>
      <c r="O798" s="59"/>
      <c r="P798" s="59"/>
      <c r="Q798" s="59"/>
      <c r="R798" s="59"/>
    </row>
    <row r="799">
      <c r="A799" s="66" t="s">
        <v>2355</v>
      </c>
      <c r="B799" s="66">
        <v>30.0</v>
      </c>
      <c r="C799" s="66">
        <v>74.0</v>
      </c>
      <c r="D799" s="24" t="s">
        <v>299</v>
      </c>
      <c r="E799" s="24" t="s">
        <v>794</v>
      </c>
      <c r="F799" s="66" t="s">
        <v>2356</v>
      </c>
      <c r="G799" s="66">
        <v>97.0</v>
      </c>
      <c r="H799" s="66">
        <v>7.0</v>
      </c>
      <c r="I799" s="66">
        <v>4.0</v>
      </c>
      <c r="J799" s="24" t="s">
        <v>48</v>
      </c>
      <c r="K799" s="67">
        <v>80113.0</v>
      </c>
      <c r="L799" s="59"/>
      <c r="M799" s="59"/>
      <c r="N799" s="59"/>
      <c r="O799" s="59"/>
      <c r="P799" s="59"/>
      <c r="Q799" s="59"/>
      <c r="R799" s="59"/>
    </row>
    <row r="800">
      <c r="A800" s="66" t="s">
        <v>2357</v>
      </c>
      <c r="B800" s="66">
        <v>94.0</v>
      </c>
      <c r="C800" s="66">
        <v>76.0</v>
      </c>
      <c r="D800" s="24" t="s">
        <v>420</v>
      </c>
      <c r="E800" s="24" t="s">
        <v>451</v>
      </c>
      <c r="F800" s="66" t="s">
        <v>2358</v>
      </c>
      <c r="G800" s="66">
        <v>15.0</v>
      </c>
      <c r="H800" s="66">
        <v>8.0</v>
      </c>
      <c r="I800" s="66">
        <v>3.0</v>
      </c>
      <c r="J800" s="24" t="s">
        <v>33</v>
      </c>
      <c r="K800" s="67">
        <v>70118.0</v>
      </c>
      <c r="L800" s="59"/>
      <c r="M800" s="59"/>
      <c r="N800" s="59"/>
      <c r="O800" s="59"/>
      <c r="P800" s="59"/>
      <c r="Q800" s="59"/>
      <c r="R800" s="59"/>
    </row>
    <row r="801">
      <c r="A801" s="66" t="s">
        <v>2359</v>
      </c>
      <c r="B801" s="66">
        <v>91.0</v>
      </c>
      <c r="C801" s="66">
        <v>10.0</v>
      </c>
      <c r="D801" s="24" t="s">
        <v>376</v>
      </c>
      <c r="E801" s="24" t="s">
        <v>108</v>
      </c>
      <c r="F801" s="66" t="s">
        <v>2360</v>
      </c>
      <c r="G801" s="66">
        <v>77.0</v>
      </c>
      <c r="H801" s="66">
        <v>2.0</v>
      </c>
      <c r="I801" s="66">
        <v>3.0</v>
      </c>
      <c r="J801" s="24" t="s">
        <v>31</v>
      </c>
      <c r="K801" s="67">
        <v>62423.0</v>
      </c>
      <c r="L801" s="59"/>
      <c r="M801" s="59"/>
      <c r="N801" s="59"/>
      <c r="O801" s="59"/>
      <c r="P801" s="59"/>
      <c r="Q801" s="59"/>
      <c r="R801" s="59"/>
    </row>
    <row r="802">
      <c r="A802" s="66" t="s">
        <v>2361</v>
      </c>
      <c r="B802" s="66">
        <v>24.0</v>
      </c>
      <c r="C802" s="66">
        <v>85.0</v>
      </c>
      <c r="D802" s="24" t="s">
        <v>371</v>
      </c>
      <c r="E802" s="24" t="s">
        <v>313</v>
      </c>
      <c r="F802" s="66" t="s">
        <v>2362</v>
      </c>
      <c r="G802" s="66">
        <v>97.0</v>
      </c>
      <c r="H802" s="66">
        <v>7.0</v>
      </c>
      <c r="I802" s="66">
        <v>7.0</v>
      </c>
      <c r="J802" s="24" t="s">
        <v>48</v>
      </c>
      <c r="K802" s="67">
        <v>52719.0</v>
      </c>
      <c r="L802" s="59"/>
      <c r="M802" s="59"/>
      <c r="N802" s="59"/>
      <c r="O802" s="59"/>
      <c r="P802" s="59"/>
      <c r="Q802" s="59"/>
      <c r="R802" s="59"/>
    </row>
    <row r="803">
      <c r="A803" s="66" t="s">
        <v>2363</v>
      </c>
      <c r="B803" s="66">
        <v>37.0</v>
      </c>
      <c r="C803" s="66">
        <v>50.0</v>
      </c>
      <c r="D803" s="24" t="s">
        <v>511</v>
      </c>
      <c r="E803" s="24" t="s">
        <v>511</v>
      </c>
      <c r="F803" s="66" t="s">
        <v>2364</v>
      </c>
      <c r="G803" s="66">
        <v>97.0</v>
      </c>
      <c r="H803" s="66">
        <v>7.0</v>
      </c>
      <c r="I803" s="66">
        <v>8.0</v>
      </c>
      <c r="J803" s="24" t="s">
        <v>31</v>
      </c>
      <c r="K803" s="67">
        <v>82817.0</v>
      </c>
      <c r="L803" s="59"/>
      <c r="M803" s="59"/>
      <c r="N803" s="59"/>
      <c r="O803" s="59"/>
      <c r="P803" s="59"/>
      <c r="Q803" s="59"/>
      <c r="R803" s="59"/>
    </row>
    <row r="804">
      <c r="A804" s="66" t="s">
        <v>2365</v>
      </c>
      <c r="B804" s="66">
        <v>34.0</v>
      </c>
      <c r="C804" s="66">
        <v>97.0</v>
      </c>
      <c r="D804" s="24" t="s">
        <v>894</v>
      </c>
      <c r="E804" s="24" t="s">
        <v>228</v>
      </c>
      <c r="F804" s="66" t="s">
        <v>2366</v>
      </c>
      <c r="G804" s="66">
        <v>77.0</v>
      </c>
      <c r="H804" s="66">
        <v>3.0</v>
      </c>
      <c r="I804" s="66">
        <v>3.0</v>
      </c>
      <c r="J804" s="24" t="s">
        <v>29</v>
      </c>
      <c r="K804" s="67">
        <v>81816.0</v>
      </c>
      <c r="L804" s="59"/>
      <c r="M804" s="59"/>
      <c r="N804" s="59"/>
      <c r="O804" s="59"/>
      <c r="P804" s="59"/>
      <c r="Q804" s="59"/>
      <c r="R804" s="59"/>
    </row>
    <row r="805">
      <c r="A805" s="66" t="s">
        <v>2367</v>
      </c>
      <c r="B805" s="66">
        <v>54.0</v>
      </c>
      <c r="C805" s="66">
        <v>80.0</v>
      </c>
      <c r="D805" s="24" t="s">
        <v>188</v>
      </c>
      <c r="E805" s="24" t="s">
        <v>134</v>
      </c>
      <c r="F805" s="66" t="s">
        <v>2368</v>
      </c>
      <c r="G805" s="66">
        <v>97.0</v>
      </c>
      <c r="H805" s="66">
        <v>8.0</v>
      </c>
      <c r="I805" s="66">
        <v>1.0</v>
      </c>
      <c r="J805" s="24" t="s">
        <v>48</v>
      </c>
      <c r="K805" s="67">
        <v>41121.0</v>
      </c>
      <c r="L805" s="59"/>
      <c r="M805" s="59"/>
      <c r="N805" s="59"/>
      <c r="O805" s="59"/>
      <c r="P805" s="59"/>
      <c r="Q805" s="59"/>
      <c r="R805" s="59"/>
    </row>
    <row r="806">
      <c r="A806" s="66" t="s">
        <v>2369</v>
      </c>
      <c r="B806" s="66">
        <v>57.0</v>
      </c>
      <c r="C806" s="66">
        <v>27.0</v>
      </c>
      <c r="D806" s="24" t="s">
        <v>519</v>
      </c>
      <c r="E806" s="24" t="s">
        <v>199</v>
      </c>
      <c r="F806" s="66" t="s">
        <v>2370</v>
      </c>
      <c r="G806" s="66">
        <v>77.0</v>
      </c>
      <c r="H806" s="66">
        <v>3.0</v>
      </c>
      <c r="I806" s="66">
        <v>6.0</v>
      </c>
      <c r="J806" s="24" t="s">
        <v>29</v>
      </c>
      <c r="K806" s="67">
        <v>51019.0</v>
      </c>
      <c r="L806" s="59"/>
      <c r="M806" s="59"/>
      <c r="N806" s="59"/>
      <c r="O806" s="59"/>
      <c r="P806" s="59"/>
      <c r="Q806" s="59"/>
      <c r="R806" s="59"/>
    </row>
    <row r="807">
      <c r="A807" s="66" t="s">
        <v>2371</v>
      </c>
      <c r="B807" s="66">
        <v>91.0</v>
      </c>
      <c r="C807" s="66">
        <v>75.0</v>
      </c>
      <c r="D807" s="24" t="s">
        <v>358</v>
      </c>
      <c r="E807" s="24" t="s">
        <v>238</v>
      </c>
      <c r="F807" s="66" t="s">
        <v>2372</v>
      </c>
      <c r="G807" s="66">
        <v>97.0</v>
      </c>
      <c r="H807" s="66">
        <v>8.0</v>
      </c>
      <c r="I807" s="66">
        <v>6.0</v>
      </c>
      <c r="J807" s="24" t="s">
        <v>48</v>
      </c>
      <c r="K807" s="67">
        <v>102019.0</v>
      </c>
      <c r="L807" s="59"/>
      <c r="M807" s="59"/>
      <c r="N807" s="59"/>
      <c r="O807" s="59"/>
      <c r="P807" s="59"/>
      <c r="Q807" s="59"/>
      <c r="R807" s="59"/>
    </row>
    <row r="808">
      <c r="A808" s="66" t="s">
        <v>2373</v>
      </c>
      <c r="B808" s="66">
        <v>48.0</v>
      </c>
      <c r="C808" s="66">
        <v>32.0</v>
      </c>
      <c r="D808" s="24" t="s">
        <v>341</v>
      </c>
      <c r="E808" s="24" t="s">
        <v>325</v>
      </c>
      <c r="F808" s="66" t="s">
        <v>2374</v>
      </c>
      <c r="G808" s="66">
        <v>15.0</v>
      </c>
      <c r="H808" s="66">
        <v>9.0</v>
      </c>
      <c r="I808" s="66">
        <v>5.0</v>
      </c>
      <c r="J808" s="24" t="s">
        <v>31</v>
      </c>
      <c r="K808" s="67">
        <v>30513.0</v>
      </c>
      <c r="L808" s="59"/>
      <c r="M808" s="59"/>
      <c r="N808" s="59"/>
      <c r="O808" s="59"/>
      <c r="P808" s="59"/>
      <c r="Q808" s="59"/>
      <c r="R808" s="59"/>
    </row>
    <row r="809">
      <c r="A809" s="66" t="s">
        <v>2375</v>
      </c>
      <c r="B809" s="66">
        <v>89.0</v>
      </c>
      <c r="C809" s="66">
        <v>49.0</v>
      </c>
      <c r="D809" s="24" t="s">
        <v>683</v>
      </c>
      <c r="E809" s="24" t="s">
        <v>426</v>
      </c>
      <c r="F809" s="66" t="s">
        <v>2376</v>
      </c>
      <c r="G809" s="66">
        <v>97.0</v>
      </c>
      <c r="H809" s="66">
        <v>8.0</v>
      </c>
      <c r="I809" s="66">
        <v>7.0</v>
      </c>
      <c r="J809" s="24" t="s">
        <v>39</v>
      </c>
      <c r="K809" s="67">
        <v>51918.0</v>
      </c>
      <c r="L809" s="59"/>
      <c r="M809" s="59"/>
      <c r="N809" s="59"/>
      <c r="O809" s="59"/>
      <c r="P809" s="59"/>
      <c r="Q809" s="59"/>
      <c r="R809" s="59"/>
    </row>
    <row r="810">
      <c r="A810" s="66" t="s">
        <v>2377</v>
      </c>
      <c r="B810" s="66">
        <v>98.0</v>
      </c>
      <c r="C810" s="66">
        <v>59.0</v>
      </c>
      <c r="D810" s="24" t="s">
        <v>458</v>
      </c>
      <c r="E810" s="24" t="s">
        <v>933</v>
      </c>
      <c r="F810" s="66" t="s">
        <v>2378</v>
      </c>
      <c r="G810" s="66">
        <v>15.0</v>
      </c>
      <c r="H810" s="66">
        <v>9.0</v>
      </c>
      <c r="I810" s="66">
        <v>8.0</v>
      </c>
      <c r="J810" s="24" t="s">
        <v>39</v>
      </c>
      <c r="K810" s="67">
        <v>21123.0</v>
      </c>
      <c r="L810" s="59"/>
      <c r="M810" s="59"/>
      <c r="N810" s="59"/>
      <c r="O810" s="59"/>
      <c r="P810" s="59"/>
      <c r="Q810" s="59"/>
      <c r="R810" s="59"/>
    </row>
    <row r="811">
      <c r="A811" s="66" t="s">
        <v>2379</v>
      </c>
      <c r="B811" s="66">
        <v>21.0</v>
      </c>
      <c r="C811" s="66">
        <v>94.0</v>
      </c>
      <c r="D811" s="24" t="s">
        <v>259</v>
      </c>
      <c r="E811" s="24" t="s">
        <v>114</v>
      </c>
      <c r="F811" s="66" t="s">
        <v>2380</v>
      </c>
      <c r="G811" s="66">
        <v>36.0</v>
      </c>
      <c r="H811" s="66">
        <v>4.0</v>
      </c>
      <c r="I811" s="66">
        <v>8.0</v>
      </c>
      <c r="J811" s="24" t="s">
        <v>29</v>
      </c>
      <c r="K811" s="67">
        <v>70714.0</v>
      </c>
      <c r="L811" s="59"/>
      <c r="M811" s="59"/>
      <c r="N811" s="59"/>
      <c r="O811" s="59"/>
      <c r="P811" s="59"/>
      <c r="Q811" s="59"/>
      <c r="R811" s="59"/>
    </row>
    <row r="812">
      <c r="A812" s="66" t="s">
        <v>2381</v>
      </c>
      <c r="B812" s="66">
        <v>17.0</v>
      </c>
      <c r="C812" s="66">
        <v>59.0</v>
      </c>
      <c r="D812" s="24" t="s">
        <v>1324</v>
      </c>
      <c r="E812" s="24" t="s">
        <v>187</v>
      </c>
      <c r="F812" s="66" t="s">
        <v>2382</v>
      </c>
      <c r="G812" s="66">
        <v>77.0</v>
      </c>
      <c r="H812" s="66">
        <v>4.0</v>
      </c>
      <c r="I812" s="66">
        <v>5.0</v>
      </c>
      <c r="J812" s="24" t="s">
        <v>29</v>
      </c>
      <c r="K812" s="67">
        <v>51616.0</v>
      </c>
      <c r="L812" s="59"/>
      <c r="M812" s="59"/>
      <c r="N812" s="59"/>
      <c r="O812" s="59"/>
      <c r="P812" s="59"/>
      <c r="Q812" s="59"/>
      <c r="R812" s="59"/>
    </row>
    <row r="813">
      <c r="A813" s="66" t="s">
        <v>2383</v>
      </c>
      <c r="B813" s="66">
        <v>69.0</v>
      </c>
      <c r="C813" s="66">
        <v>87.0</v>
      </c>
      <c r="D813" s="24" t="s">
        <v>2063</v>
      </c>
      <c r="E813" s="24" t="s">
        <v>380</v>
      </c>
      <c r="F813" s="66" t="s">
        <v>2384</v>
      </c>
      <c r="G813" s="66">
        <v>56.0</v>
      </c>
      <c r="H813" s="66">
        <v>9.0</v>
      </c>
      <c r="I813" s="66">
        <v>7.0</v>
      </c>
      <c r="J813" s="24" t="s">
        <v>39</v>
      </c>
      <c r="K813" s="67">
        <v>91721.0</v>
      </c>
      <c r="L813" s="59"/>
      <c r="M813" s="59"/>
      <c r="N813" s="59"/>
      <c r="O813" s="59"/>
      <c r="P813" s="59"/>
      <c r="Q813" s="59"/>
      <c r="R813" s="59"/>
    </row>
    <row r="814">
      <c r="A814" s="66" t="s">
        <v>2385</v>
      </c>
      <c r="B814" s="66">
        <v>95.0</v>
      </c>
      <c r="C814" s="66">
        <v>41.0</v>
      </c>
      <c r="D814" s="24" t="s">
        <v>277</v>
      </c>
      <c r="E814" s="24" t="s">
        <v>151</v>
      </c>
      <c r="F814" s="66" t="s">
        <v>2386</v>
      </c>
      <c r="G814" s="66">
        <v>97.0</v>
      </c>
      <c r="H814" s="66">
        <v>9.0</v>
      </c>
      <c r="I814" s="66">
        <v>3.0</v>
      </c>
      <c r="J814" s="24" t="s">
        <v>39</v>
      </c>
      <c r="K814" s="67">
        <v>121420.0</v>
      </c>
      <c r="L814" s="59"/>
      <c r="M814" s="59"/>
      <c r="N814" s="59"/>
      <c r="O814" s="59"/>
      <c r="P814" s="59"/>
      <c r="Q814" s="59"/>
      <c r="R814" s="59"/>
    </row>
    <row r="815">
      <c r="A815" s="66" t="s">
        <v>2387</v>
      </c>
      <c r="B815" s="66">
        <v>25.0</v>
      </c>
      <c r="C815" s="66">
        <v>54.0</v>
      </c>
      <c r="D815" s="24" t="s">
        <v>508</v>
      </c>
      <c r="E815" s="24" t="s">
        <v>426</v>
      </c>
      <c r="F815" s="66" t="s">
        <v>2388</v>
      </c>
      <c r="G815" s="66">
        <v>77.0</v>
      </c>
      <c r="H815" s="66">
        <v>4.0</v>
      </c>
      <c r="I815" s="66">
        <v>9.0</v>
      </c>
      <c r="J815" s="24" t="s">
        <v>31</v>
      </c>
      <c r="K815" s="67">
        <v>40922.0</v>
      </c>
      <c r="L815" s="59"/>
      <c r="M815" s="59"/>
      <c r="N815" s="59"/>
      <c r="O815" s="59"/>
      <c r="P815" s="59"/>
      <c r="Q815" s="59"/>
      <c r="R815" s="59"/>
    </row>
    <row r="816">
      <c r="A816" s="66" t="s">
        <v>2389</v>
      </c>
      <c r="B816" s="66">
        <v>37.0</v>
      </c>
      <c r="C816" s="66">
        <v>28.0</v>
      </c>
      <c r="D816" s="24" t="s">
        <v>2390</v>
      </c>
      <c r="E816" s="24" t="s">
        <v>274</v>
      </c>
      <c r="F816" s="66" t="s">
        <v>2391</v>
      </c>
      <c r="G816" s="66">
        <v>36.0</v>
      </c>
      <c r="H816" s="66">
        <v>5.0</v>
      </c>
      <c r="I816" s="66">
        <v>5.0</v>
      </c>
      <c r="J816" s="24" t="s">
        <v>48</v>
      </c>
      <c r="K816" s="67">
        <v>102217.0</v>
      </c>
      <c r="L816" s="59"/>
      <c r="M816" s="59"/>
      <c r="N816" s="59"/>
      <c r="O816" s="59"/>
      <c r="P816" s="59"/>
      <c r="Q816" s="59"/>
      <c r="R816" s="59"/>
    </row>
    <row r="817">
      <c r="A817" s="66" t="s">
        <v>2392</v>
      </c>
      <c r="B817" s="66">
        <v>92.0</v>
      </c>
      <c r="C817" s="66">
        <v>55.0</v>
      </c>
      <c r="D817" s="24" t="s">
        <v>2085</v>
      </c>
      <c r="E817" s="24" t="s">
        <v>281</v>
      </c>
      <c r="F817" s="66" t="s">
        <v>2393</v>
      </c>
      <c r="G817" s="66">
        <v>77.0</v>
      </c>
      <c r="H817" s="66">
        <v>5.0</v>
      </c>
      <c r="I817" s="66">
        <v>2.0</v>
      </c>
      <c r="J817" s="24" t="s">
        <v>29</v>
      </c>
      <c r="K817" s="67">
        <v>11622.0</v>
      </c>
      <c r="L817" s="59"/>
      <c r="M817" s="59"/>
      <c r="N817" s="59"/>
      <c r="O817" s="59"/>
      <c r="P817" s="59"/>
      <c r="Q817" s="59"/>
      <c r="R817" s="59"/>
    </row>
    <row r="818">
      <c r="A818" s="66" t="s">
        <v>2394</v>
      </c>
      <c r="B818" s="66">
        <v>76.0</v>
      </c>
      <c r="C818" s="66">
        <v>14.0</v>
      </c>
      <c r="D818" s="24" t="s">
        <v>65</v>
      </c>
      <c r="E818" s="24" t="s">
        <v>1780</v>
      </c>
      <c r="F818" s="66" t="s">
        <v>2395</v>
      </c>
      <c r="G818" s="66">
        <v>77.0</v>
      </c>
      <c r="H818" s="66">
        <v>5.0</v>
      </c>
      <c r="I818" s="66">
        <v>3.0</v>
      </c>
      <c r="J818" s="24" t="s">
        <v>33</v>
      </c>
      <c r="K818" s="67">
        <v>31914.0</v>
      </c>
      <c r="L818" s="59"/>
      <c r="M818" s="59"/>
      <c r="N818" s="59"/>
      <c r="O818" s="59"/>
      <c r="P818" s="59"/>
      <c r="Q818" s="59"/>
      <c r="R818" s="59"/>
    </row>
    <row r="819">
      <c r="A819" s="66" t="s">
        <v>2396</v>
      </c>
      <c r="B819" s="66">
        <v>43.0</v>
      </c>
      <c r="C819" s="66">
        <v>37.0</v>
      </c>
      <c r="D819" s="24" t="s">
        <v>2397</v>
      </c>
      <c r="E819" s="24" t="s">
        <v>1381</v>
      </c>
      <c r="F819" s="66" t="s">
        <v>2398</v>
      </c>
      <c r="G819" s="66">
        <v>77.0</v>
      </c>
      <c r="H819" s="66">
        <v>5.0</v>
      </c>
      <c r="I819" s="66">
        <v>6.0</v>
      </c>
      <c r="J819" s="24" t="s">
        <v>39</v>
      </c>
      <c r="K819" s="67">
        <v>41917.0</v>
      </c>
      <c r="L819" s="59"/>
      <c r="M819" s="59"/>
      <c r="N819" s="59"/>
      <c r="O819" s="59"/>
      <c r="P819" s="59"/>
      <c r="Q819" s="59"/>
      <c r="R819" s="59"/>
    </row>
    <row r="820">
      <c r="A820" s="66" t="s">
        <v>2399</v>
      </c>
      <c r="B820" s="66">
        <v>33.0</v>
      </c>
      <c r="C820" s="66">
        <v>36.0</v>
      </c>
      <c r="D820" s="24" t="s">
        <v>1725</v>
      </c>
      <c r="E820" s="24" t="s">
        <v>217</v>
      </c>
      <c r="F820" s="66" t="s">
        <v>2400</v>
      </c>
      <c r="G820" s="66">
        <v>77.0</v>
      </c>
      <c r="H820" s="66">
        <v>6.0</v>
      </c>
      <c r="I820" s="66">
        <v>1.0</v>
      </c>
      <c r="J820" s="24" t="s">
        <v>29</v>
      </c>
      <c r="K820" s="67">
        <v>20215.0</v>
      </c>
      <c r="L820" s="59"/>
      <c r="M820" s="59"/>
      <c r="N820" s="59"/>
      <c r="O820" s="59"/>
      <c r="P820" s="59"/>
      <c r="Q820" s="59"/>
      <c r="R820" s="59"/>
    </row>
    <row r="821">
      <c r="A821" s="66" t="s">
        <v>2401</v>
      </c>
      <c r="B821" s="66">
        <v>12.0</v>
      </c>
      <c r="C821" s="66">
        <v>78.0</v>
      </c>
      <c r="D821" s="24" t="s">
        <v>241</v>
      </c>
      <c r="E821" s="24" t="s">
        <v>536</v>
      </c>
      <c r="F821" s="66" t="s">
        <v>2402</v>
      </c>
      <c r="G821" s="66">
        <v>98.0</v>
      </c>
      <c r="H821" s="66">
        <v>1.0</v>
      </c>
      <c r="I821" s="66">
        <v>3.0</v>
      </c>
      <c r="J821" s="24" t="s">
        <v>39</v>
      </c>
      <c r="K821" s="67">
        <v>111623.0</v>
      </c>
      <c r="L821" s="59"/>
      <c r="M821" s="59"/>
      <c r="N821" s="59"/>
      <c r="O821" s="59"/>
      <c r="P821" s="59"/>
      <c r="Q821" s="59"/>
      <c r="R821" s="59"/>
    </row>
    <row r="822">
      <c r="A822" s="66" t="s">
        <v>2403</v>
      </c>
      <c r="B822" s="66">
        <v>22.0</v>
      </c>
      <c r="C822" s="66">
        <v>46.0</v>
      </c>
      <c r="D822" s="24" t="s">
        <v>522</v>
      </c>
      <c r="E822" s="24" t="s">
        <v>223</v>
      </c>
      <c r="F822" s="66" t="s">
        <v>2404</v>
      </c>
      <c r="G822" s="66">
        <v>77.0</v>
      </c>
      <c r="H822" s="66">
        <v>6.0</v>
      </c>
      <c r="I822" s="66">
        <v>8.0</v>
      </c>
      <c r="J822" s="24" t="s">
        <v>31</v>
      </c>
      <c r="K822" s="67">
        <v>10119.0</v>
      </c>
      <c r="L822" s="59"/>
      <c r="M822" s="59"/>
      <c r="N822" s="59"/>
      <c r="O822" s="59"/>
      <c r="P822" s="59"/>
      <c r="Q822" s="59"/>
      <c r="R822" s="59"/>
    </row>
    <row r="823">
      <c r="A823" s="66" t="s">
        <v>2405</v>
      </c>
      <c r="B823" s="66">
        <v>94.0</v>
      </c>
      <c r="C823" s="66">
        <v>12.0</v>
      </c>
      <c r="D823" s="24" t="s">
        <v>529</v>
      </c>
      <c r="E823" s="24" t="s">
        <v>2406</v>
      </c>
      <c r="F823" s="66" t="s">
        <v>2407</v>
      </c>
      <c r="G823" s="66">
        <v>98.0</v>
      </c>
      <c r="H823" s="66">
        <v>1.0</v>
      </c>
      <c r="I823" s="66">
        <v>7.0</v>
      </c>
      <c r="J823" s="24" t="s">
        <v>33</v>
      </c>
      <c r="K823" s="67">
        <v>81814.0</v>
      </c>
      <c r="L823" s="59"/>
      <c r="M823" s="59"/>
      <c r="N823" s="59"/>
      <c r="O823" s="59"/>
      <c r="P823" s="59"/>
      <c r="Q823" s="59"/>
      <c r="R823" s="59"/>
    </row>
    <row r="824">
      <c r="A824" s="66" t="s">
        <v>2408</v>
      </c>
      <c r="B824" s="66">
        <v>80.0</v>
      </c>
      <c r="C824" s="66">
        <v>27.0</v>
      </c>
      <c r="D824" s="24" t="s">
        <v>422</v>
      </c>
      <c r="E824" s="24" t="s">
        <v>490</v>
      </c>
      <c r="F824" s="66" t="s">
        <v>2409</v>
      </c>
      <c r="G824" s="66">
        <v>57.0</v>
      </c>
      <c r="H824" s="66">
        <v>2.0</v>
      </c>
      <c r="I824" s="66">
        <v>4.0</v>
      </c>
      <c r="J824" s="24" t="s">
        <v>31</v>
      </c>
      <c r="K824" s="67">
        <v>100814.0</v>
      </c>
      <c r="L824" s="59"/>
      <c r="M824" s="59"/>
      <c r="N824" s="59"/>
      <c r="O824" s="59"/>
      <c r="P824" s="59"/>
      <c r="Q824" s="59"/>
      <c r="R824" s="59"/>
    </row>
    <row r="825">
      <c r="A825" s="66" t="s">
        <v>2410</v>
      </c>
      <c r="B825" s="66">
        <v>10.0</v>
      </c>
      <c r="C825" s="66">
        <v>78.0</v>
      </c>
      <c r="D825" s="24" t="s">
        <v>132</v>
      </c>
      <c r="E825" s="24" t="s">
        <v>456</v>
      </c>
      <c r="F825" s="66" t="s">
        <v>2411</v>
      </c>
      <c r="G825" s="66">
        <v>77.0</v>
      </c>
      <c r="H825" s="66">
        <v>7.0</v>
      </c>
      <c r="I825" s="66">
        <v>3.0</v>
      </c>
      <c r="J825" s="24" t="s">
        <v>48</v>
      </c>
      <c r="K825" s="67">
        <v>102920.0</v>
      </c>
      <c r="L825" s="59"/>
      <c r="M825" s="59"/>
      <c r="N825" s="59"/>
      <c r="O825" s="59"/>
      <c r="P825" s="59"/>
      <c r="Q825" s="59"/>
      <c r="R825" s="59"/>
    </row>
    <row r="826">
      <c r="A826" s="66" t="s">
        <v>2412</v>
      </c>
      <c r="B826" s="66">
        <v>98.0</v>
      </c>
      <c r="C826" s="66">
        <v>38.0</v>
      </c>
      <c r="D826" s="24" t="s">
        <v>1259</v>
      </c>
      <c r="E826" s="24" t="s">
        <v>80</v>
      </c>
      <c r="F826" s="66" t="s">
        <v>2413</v>
      </c>
      <c r="G826" s="66">
        <v>77.0</v>
      </c>
      <c r="H826" s="66">
        <v>7.0</v>
      </c>
      <c r="I826" s="66">
        <v>4.0</v>
      </c>
      <c r="J826" s="24" t="s">
        <v>48</v>
      </c>
      <c r="K826" s="67">
        <v>41116.0</v>
      </c>
      <c r="L826" s="59"/>
      <c r="M826" s="59"/>
      <c r="N826" s="59"/>
      <c r="O826" s="59"/>
      <c r="P826" s="59"/>
      <c r="Q826" s="59"/>
      <c r="R826" s="59"/>
    </row>
    <row r="827">
      <c r="A827" s="66" t="s">
        <v>2414</v>
      </c>
      <c r="B827" s="66">
        <v>99.0</v>
      </c>
      <c r="C827" s="66">
        <v>75.0</v>
      </c>
      <c r="D827" s="24" t="s">
        <v>336</v>
      </c>
      <c r="E827" s="24" t="s">
        <v>801</v>
      </c>
      <c r="F827" s="66" t="s">
        <v>2415</v>
      </c>
      <c r="G827" s="66">
        <v>16.0</v>
      </c>
      <c r="H827" s="66">
        <v>2.0</v>
      </c>
      <c r="I827" s="66">
        <v>9.0</v>
      </c>
      <c r="J827" s="24" t="s">
        <v>31</v>
      </c>
      <c r="K827" s="67">
        <v>22816.0</v>
      </c>
      <c r="L827" s="59"/>
      <c r="M827" s="59"/>
      <c r="N827" s="59"/>
      <c r="O827" s="59"/>
      <c r="P827" s="59"/>
      <c r="Q827" s="59"/>
      <c r="R827" s="59"/>
    </row>
    <row r="828">
      <c r="A828" s="66" t="s">
        <v>2416</v>
      </c>
      <c r="B828" s="66">
        <v>11.0</v>
      </c>
      <c r="C828" s="66">
        <v>23.0</v>
      </c>
      <c r="D828" s="24" t="s">
        <v>410</v>
      </c>
      <c r="E828" s="24" t="s">
        <v>275</v>
      </c>
      <c r="F828" s="66" t="s">
        <v>2417</v>
      </c>
      <c r="G828" s="66">
        <v>77.0</v>
      </c>
      <c r="H828" s="66">
        <v>7.0</v>
      </c>
      <c r="I828" s="66">
        <v>6.0</v>
      </c>
      <c r="J828" s="24" t="s">
        <v>48</v>
      </c>
      <c r="K828" s="67">
        <v>90723.0</v>
      </c>
      <c r="L828" s="59"/>
      <c r="M828" s="59"/>
      <c r="N828" s="59"/>
      <c r="O828" s="59"/>
      <c r="P828" s="59"/>
      <c r="Q828" s="59"/>
      <c r="R828" s="59"/>
    </row>
    <row r="829">
      <c r="A829" s="66" t="s">
        <v>2418</v>
      </c>
      <c r="B829" s="66">
        <v>30.0</v>
      </c>
      <c r="C829" s="66">
        <v>53.0</v>
      </c>
      <c r="D829" s="24" t="s">
        <v>488</v>
      </c>
      <c r="E829" s="24" t="s">
        <v>55</v>
      </c>
      <c r="F829" s="66" t="s">
        <v>2419</v>
      </c>
      <c r="G829" s="66">
        <v>98.0</v>
      </c>
      <c r="H829" s="66">
        <v>2.0</v>
      </c>
      <c r="I829" s="66">
        <v>2.0</v>
      </c>
      <c r="J829" s="24" t="s">
        <v>29</v>
      </c>
      <c r="K829" s="67">
        <v>31115.0</v>
      </c>
      <c r="L829" s="59"/>
      <c r="M829" s="59"/>
      <c r="N829" s="59"/>
      <c r="O829" s="59"/>
      <c r="P829" s="59"/>
      <c r="Q829" s="59"/>
      <c r="R829" s="59"/>
    </row>
    <row r="830">
      <c r="A830" s="66" t="s">
        <v>2420</v>
      </c>
      <c r="B830" s="66">
        <v>91.0</v>
      </c>
      <c r="C830" s="66">
        <v>72.0</v>
      </c>
      <c r="D830" s="24" t="s">
        <v>164</v>
      </c>
      <c r="E830" s="24" t="s">
        <v>360</v>
      </c>
      <c r="F830" s="66" t="s">
        <v>2421</v>
      </c>
      <c r="G830" s="66">
        <v>36.0</v>
      </c>
      <c r="H830" s="66">
        <v>8.0</v>
      </c>
      <c r="I830" s="66">
        <v>2.0</v>
      </c>
      <c r="J830" s="24" t="s">
        <v>29</v>
      </c>
      <c r="K830" s="67">
        <v>121814.0</v>
      </c>
      <c r="L830" s="59"/>
      <c r="M830" s="59"/>
      <c r="N830" s="59"/>
      <c r="O830" s="59"/>
      <c r="P830" s="59"/>
      <c r="Q830" s="59"/>
      <c r="R830" s="59"/>
    </row>
    <row r="831">
      <c r="A831" s="66" t="s">
        <v>2422</v>
      </c>
      <c r="B831" s="66">
        <v>70.0</v>
      </c>
      <c r="C831" s="66">
        <v>48.0</v>
      </c>
      <c r="D831" s="24" t="s">
        <v>326</v>
      </c>
      <c r="E831" s="24" t="s">
        <v>218</v>
      </c>
      <c r="F831" s="66" t="s">
        <v>2423</v>
      </c>
      <c r="G831" s="66">
        <v>77.0</v>
      </c>
      <c r="H831" s="66">
        <v>7.0</v>
      </c>
      <c r="I831" s="66">
        <v>8.0</v>
      </c>
      <c r="J831" s="24" t="s">
        <v>48</v>
      </c>
      <c r="K831" s="67">
        <v>30916.0</v>
      </c>
      <c r="L831" s="59"/>
      <c r="M831" s="59"/>
      <c r="N831" s="59"/>
      <c r="O831" s="59"/>
      <c r="P831" s="59"/>
      <c r="Q831" s="59"/>
      <c r="R831" s="59"/>
    </row>
    <row r="832">
      <c r="A832" s="66" t="s">
        <v>2424</v>
      </c>
      <c r="B832" s="66">
        <v>43.0</v>
      </c>
      <c r="C832" s="66">
        <v>77.0</v>
      </c>
      <c r="D832" s="24" t="s">
        <v>65</v>
      </c>
      <c r="E832" s="24" t="s">
        <v>45</v>
      </c>
      <c r="F832" s="66" t="s">
        <v>2425</v>
      </c>
      <c r="G832" s="66">
        <v>36.0</v>
      </c>
      <c r="H832" s="66">
        <v>8.0</v>
      </c>
      <c r="I832" s="66">
        <v>5.0</v>
      </c>
      <c r="J832" s="24" t="s">
        <v>33</v>
      </c>
      <c r="K832" s="67">
        <v>101414.0</v>
      </c>
      <c r="L832" s="59"/>
      <c r="M832" s="59"/>
      <c r="N832" s="59"/>
      <c r="O832" s="59"/>
      <c r="P832" s="59"/>
      <c r="Q832" s="59"/>
      <c r="R832" s="59"/>
    </row>
    <row r="833">
      <c r="A833" s="66" t="s">
        <v>2426</v>
      </c>
      <c r="B833" s="66">
        <v>34.0</v>
      </c>
      <c r="C833" s="66">
        <v>75.0</v>
      </c>
      <c r="D833" s="24" t="s">
        <v>1006</v>
      </c>
      <c r="E833" s="24" t="s">
        <v>502</v>
      </c>
      <c r="F833" s="66" t="s">
        <v>2427</v>
      </c>
      <c r="G833" s="66">
        <v>36.0</v>
      </c>
      <c r="H833" s="66">
        <v>8.0</v>
      </c>
      <c r="I833" s="66">
        <v>6.0</v>
      </c>
      <c r="J833" s="24" t="s">
        <v>29</v>
      </c>
      <c r="K833" s="67">
        <v>22523.0</v>
      </c>
      <c r="L833" s="59"/>
      <c r="M833" s="59"/>
      <c r="N833" s="59"/>
      <c r="O833" s="59"/>
      <c r="P833" s="59"/>
      <c r="Q833" s="59"/>
      <c r="R833" s="59"/>
    </row>
    <row r="834">
      <c r="A834" s="66" t="s">
        <v>2428</v>
      </c>
      <c r="B834" s="66">
        <v>92.0</v>
      </c>
      <c r="C834" s="66">
        <v>32.0</v>
      </c>
      <c r="D834" s="24" t="s">
        <v>203</v>
      </c>
      <c r="E834" s="24" t="s">
        <v>198</v>
      </c>
      <c r="F834" s="66" t="s">
        <v>2429</v>
      </c>
      <c r="G834" s="66">
        <v>57.0</v>
      </c>
      <c r="H834" s="66">
        <v>3.0</v>
      </c>
      <c r="I834" s="66">
        <v>7.0</v>
      </c>
      <c r="J834" s="24" t="s">
        <v>33</v>
      </c>
      <c r="K834" s="67">
        <v>121014.0</v>
      </c>
      <c r="L834" s="59"/>
      <c r="M834" s="59"/>
      <c r="N834" s="59"/>
      <c r="O834" s="59"/>
      <c r="P834" s="59"/>
      <c r="Q834" s="59"/>
      <c r="R834" s="59"/>
    </row>
    <row r="835">
      <c r="A835" s="66" t="s">
        <v>2430</v>
      </c>
      <c r="B835" s="66">
        <v>27.0</v>
      </c>
      <c r="C835" s="66">
        <v>33.0</v>
      </c>
      <c r="D835" s="24" t="s">
        <v>309</v>
      </c>
      <c r="E835" s="24" t="s">
        <v>188</v>
      </c>
      <c r="F835" s="66" t="s">
        <v>2431</v>
      </c>
      <c r="G835" s="66">
        <v>57.0</v>
      </c>
      <c r="H835" s="66">
        <v>3.0</v>
      </c>
      <c r="I835" s="66">
        <v>8.0</v>
      </c>
      <c r="J835" s="24" t="s">
        <v>33</v>
      </c>
      <c r="K835" s="67">
        <v>62823.0</v>
      </c>
      <c r="L835" s="59"/>
      <c r="M835" s="59"/>
      <c r="N835" s="59"/>
      <c r="O835" s="59"/>
      <c r="P835" s="59"/>
      <c r="Q835" s="59"/>
      <c r="R835" s="59"/>
    </row>
    <row r="836">
      <c r="A836" s="66" t="s">
        <v>2432</v>
      </c>
      <c r="B836" s="66">
        <v>11.0</v>
      </c>
      <c r="C836" s="66">
        <v>95.0</v>
      </c>
      <c r="D836" s="24" t="s">
        <v>976</v>
      </c>
      <c r="E836" s="24" t="s">
        <v>254</v>
      </c>
      <c r="F836" s="66" t="s">
        <v>2433</v>
      </c>
      <c r="G836" s="66">
        <v>36.0</v>
      </c>
      <c r="H836" s="66">
        <v>9.0</v>
      </c>
      <c r="I836" s="66">
        <v>3.0</v>
      </c>
      <c r="J836" s="24" t="s">
        <v>29</v>
      </c>
      <c r="K836" s="67">
        <v>61520.0</v>
      </c>
      <c r="L836" s="59"/>
      <c r="M836" s="59"/>
      <c r="N836" s="59"/>
      <c r="O836" s="59"/>
      <c r="P836" s="59"/>
      <c r="Q836" s="59"/>
      <c r="R836" s="59"/>
    </row>
    <row r="837">
      <c r="A837" s="66" t="s">
        <v>2434</v>
      </c>
      <c r="B837" s="66">
        <v>21.0</v>
      </c>
      <c r="C837" s="66">
        <v>23.0</v>
      </c>
      <c r="D837" s="24" t="s">
        <v>458</v>
      </c>
      <c r="E837" s="24" t="s">
        <v>374</v>
      </c>
      <c r="F837" s="66" t="s">
        <v>2435</v>
      </c>
      <c r="G837" s="66">
        <v>16.0</v>
      </c>
      <c r="H837" s="66">
        <v>4.0</v>
      </c>
      <c r="I837" s="66">
        <v>6.0</v>
      </c>
      <c r="J837" s="24" t="s">
        <v>31</v>
      </c>
      <c r="K837" s="67">
        <v>60115.0</v>
      </c>
      <c r="L837" s="59"/>
      <c r="M837" s="59"/>
      <c r="N837" s="59"/>
      <c r="O837" s="59"/>
      <c r="P837" s="59"/>
      <c r="Q837" s="59"/>
      <c r="R837" s="59"/>
    </row>
    <row r="838">
      <c r="A838" s="66" t="s">
        <v>2436</v>
      </c>
      <c r="B838" s="66">
        <v>33.0</v>
      </c>
      <c r="C838" s="66">
        <v>83.0</v>
      </c>
      <c r="D838" s="24" t="s">
        <v>523</v>
      </c>
      <c r="E838" s="24" t="s">
        <v>821</v>
      </c>
      <c r="F838" s="66" t="s">
        <v>2437</v>
      </c>
      <c r="G838" s="66">
        <v>57.0</v>
      </c>
      <c r="H838" s="66">
        <v>4.0</v>
      </c>
      <c r="I838" s="66">
        <v>3.0</v>
      </c>
      <c r="J838" s="24" t="s">
        <v>29</v>
      </c>
      <c r="K838" s="67">
        <v>70813.0</v>
      </c>
      <c r="L838" s="59"/>
      <c r="M838" s="59"/>
      <c r="N838" s="59"/>
      <c r="O838" s="59"/>
      <c r="P838" s="59"/>
      <c r="Q838" s="59"/>
      <c r="R838" s="59"/>
    </row>
    <row r="839">
      <c r="A839" s="66" t="s">
        <v>2438</v>
      </c>
      <c r="B839" s="66">
        <v>70.0</v>
      </c>
      <c r="C839" s="66">
        <v>86.0</v>
      </c>
      <c r="D839" s="24" t="s">
        <v>63</v>
      </c>
      <c r="E839" s="24" t="s">
        <v>106</v>
      </c>
      <c r="F839" s="66" t="s">
        <v>2439</v>
      </c>
      <c r="G839" s="66">
        <v>16.0</v>
      </c>
      <c r="H839" s="66">
        <v>4.0</v>
      </c>
      <c r="I839" s="66">
        <v>8.0</v>
      </c>
      <c r="J839" s="24" t="s">
        <v>39</v>
      </c>
      <c r="K839" s="67">
        <v>81123.0</v>
      </c>
      <c r="L839" s="59"/>
      <c r="M839" s="59"/>
      <c r="N839" s="59"/>
      <c r="O839" s="59"/>
      <c r="P839" s="59"/>
      <c r="Q839" s="59"/>
      <c r="R839" s="59"/>
    </row>
    <row r="840">
      <c r="A840" s="66" t="s">
        <v>2440</v>
      </c>
      <c r="B840" s="66">
        <v>59.0</v>
      </c>
      <c r="C840" s="66">
        <v>26.0</v>
      </c>
      <c r="D840" s="24" t="s">
        <v>183</v>
      </c>
      <c r="E840" s="24" t="s">
        <v>263</v>
      </c>
      <c r="F840" s="66" t="s">
        <v>2441</v>
      </c>
      <c r="G840" s="66">
        <v>98.0</v>
      </c>
      <c r="H840" s="66">
        <v>4.0</v>
      </c>
      <c r="I840" s="66">
        <v>2.0</v>
      </c>
      <c r="J840" s="24" t="s">
        <v>39</v>
      </c>
      <c r="K840" s="67">
        <v>73021.0</v>
      </c>
      <c r="L840" s="59"/>
      <c r="M840" s="59"/>
      <c r="N840" s="59"/>
      <c r="O840" s="59"/>
      <c r="P840" s="59"/>
      <c r="Q840" s="59"/>
      <c r="R840" s="59"/>
    </row>
    <row r="841">
      <c r="A841" s="66" t="s">
        <v>2442</v>
      </c>
      <c r="B841" s="66">
        <v>50.0</v>
      </c>
      <c r="C841" s="66">
        <v>76.0</v>
      </c>
      <c r="D841" s="24" t="s">
        <v>286</v>
      </c>
      <c r="E841" s="24" t="s">
        <v>1624</v>
      </c>
      <c r="F841" s="66" t="s">
        <v>2443</v>
      </c>
      <c r="G841" s="66">
        <v>16.0</v>
      </c>
      <c r="H841" s="66">
        <v>5.0</v>
      </c>
      <c r="I841" s="66">
        <v>1.0</v>
      </c>
      <c r="J841" s="24" t="s">
        <v>39</v>
      </c>
      <c r="K841" s="67">
        <v>82516.0</v>
      </c>
      <c r="L841" s="59"/>
      <c r="M841" s="59"/>
      <c r="N841" s="59"/>
      <c r="O841" s="59"/>
      <c r="P841" s="59"/>
      <c r="Q841" s="59"/>
      <c r="R841" s="59"/>
    </row>
    <row r="842">
      <c r="A842" s="66" t="s">
        <v>2444</v>
      </c>
      <c r="B842" s="66">
        <v>37.0</v>
      </c>
      <c r="C842" s="66">
        <v>98.0</v>
      </c>
      <c r="D842" s="24" t="s">
        <v>482</v>
      </c>
      <c r="E842" s="24" t="s">
        <v>214</v>
      </c>
      <c r="F842" s="66" t="s">
        <v>2445</v>
      </c>
      <c r="G842" s="66">
        <v>77.0</v>
      </c>
      <c r="H842" s="66">
        <v>9.0</v>
      </c>
      <c r="I842" s="66">
        <v>6.0</v>
      </c>
      <c r="J842" s="24" t="s">
        <v>33</v>
      </c>
      <c r="K842" s="67">
        <v>81223.0</v>
      </c>
      <c r="L842" s="59"/>
      <c r="M842" s="59"/>
      <c r="N842" s="59"/>
      <c r="O842" s="59"/>
      <c r="P842" s="59"/>
      <c r="Q842" s="59"/>
      <c r="R842" s="59"/>
    </row>
    <row r="843">
      <c r="A843" s="66" t="s">
        <v>2446</v>
      </c>
      <c r="B843" s="66">
        <v>30.0</v>
      </c>
      <c r="C843" s="66">
        <v>85.0</v>
      </c>
      <c r="D843" s="24" t="s">
        <v>56</v>
      </c>
      <c r="E843" s="24" t="s">
        <v>99</v>
      </c>
      <c r="F843" s="66" t="s">
        <v>2447</v>
      </c>
      <c r="G843" s="66">
        <v>16.0</v>
      </c>
      <c r="H843" s="66">
        <v>5.0</v>
      </c>
      <c r="I843" s="66">
        <v>3.0</v>
      </c>
      <c r="J843" s="24" t="s">
        <v>29</v>
      </c>
      <c r="K843" s="67">
        <v>12522.0</v>
      </c>
      <c r="L843" s="59"/>
      <c r="M843" s="59"/>
      <c r="N843" s="59"/>
      <c r="O843" s="59"/>
      <c r="P843" s="59"/>
      <c r="Q843" s="59"/>
      <c r="R843" s="59"/>
    </row>
    <row r="844">
      <c r="A844" s="66" t="s">
        <v>2448</v>
      </c>
      <c r="B844" s="66">
        <v>37.0</v>
      </c>
      <c r="C844" s="66">
        <v>24.0</v>
      </c>
      <c r="D844" s="24" t="s">
        <v>466</v>
      </c>
      <c r="E844" s="24" t="s">
        <v>686</v>
      </c>
      <c r="F844" s="66" t="s">
        <v>2449</v>
      </c>
      <c r="G844" s="66">
        <v>57.0</v>
      </c>
      <c r="H844" s="66">
        <v>4.0</v>
      </c>
      <c r="I844" s="66">
        <v>7.0</v>
      </c>
      <c r="J844" s="24" t="s">
        <v>48</v>
      </c>
      <c r="K844" s="67">
        <v>21223.0</v>
      </c>
      <c r="L844" s="59"/>
      <c r="M844" s="59"/>
      <c r="N844" s="59"/>
      <c r="O844" s="59"/>
      <c r="P844" s="59"/>
      <c r="Q844" s="59"/>
      <c r="R844" s="59"/>
    </row>
    <row r="845">
      <c r="A845" s="66" t="s">
        <v>2450</v>
      </c>
      <c r="B845" s="66">
        <v>34.0</v>
      </c>
      <c r="C845" s="66">
        <v>79.0</v>
      </c>
      <c r="D845" s="24" t="s">
        <v>91</v>
      </c>
      <c r="E845" s="24" t="s">
        <v>323</v>
      </c>
      <c r="F845" s="66" t="s">
        <v>2451</v>
      </c>
      <c r="G845" s="66">
        <v>57.0</v>
      </c>
      <c r="H845" s="66">
        <v>5.0</v>
      </c>
      <c r="I845" s="66">
        <v>1.0</v>
      </c>
      <c r="J845" s="24" t="s">
        <v>31</v>
      </c>
      <c r="K845" s="67">
        <v>71517.0</v>
      </c>
      <c r="L845" s="59"/>
      <c r="M845" s="59"/>
      <c r="N845" s="59"/>
      <c r="O845" s="59"/>
      <c r="P845" s="59"/>
      <c r="Q845" s="59"/>
      <c r="R845" s="59"/>
    </row>
    <row r="846">
      <c r="A846" s="66" t="s">
        <v>2452</v>
      </c>
      <c r="B846" s="66">
        <v>42.0</v>
      </c>
      <c r="C846" s="66">
        <v>65.0</v>
      </c>
      <c r="D846" s="24" t="s">
        <v>30</v>
      </c>
      <c r="E846" s="24" t="s">
        <v>165</v>
      </c>
      <c r="F846" s="66" t="s">
        <v>2453</v>
      </c>
      <c r="G846" s="66">
        <v>16.0</v>
      </c>
      <c r="H846" s="66">
        <v>6.0</v>
      </c>
      <c r="I846" s="66">
        <v>3.0</v>
      </c>
      <c r="J846" s="24" t="s">
        <v>29</v>
      </c>
      <c r="K846" s="67">
        <v>21414.0</v>
      </c>
      <c r="L846" s="59"/>
      <c r="M846" s="59"/>
      <c r="N846" s="59"/>
      <c r="O846" s="59"/>
      <c r="P846" s="59"/>
      <c r="Q846" s="59"/>
      <c r="R846" s="59"/>
    </row>
    <row r="847">
      <c r="A847" s="66" t="s">
        <v>2454</v>
      </c>
      <c r="B847" s="66">
        <v>10.0</v>
      </c>
      <c r="C847" s="66">
        <v>16.0</v>
      </c>
      <c r="D847" s="24" t="s">
        <v>132</v>
      </c>
      <c r="E847" s="24" t="s">
        <v>1797</v>
      </c>
      <c r="F847" s="66" t="s">
        <v>2455</v>
      </c>
      <c r="G847" s="66">
        <v>37.0</v>
      </c>
      <c r="H847" s="66">
        <v>1.0</v>
      </c>
      <c r="I847" s="66">
        <v>1.0</v>
      </c>
      <c r="J847" s="24" t="s">
        <v>48</v>
      </c>
      <c r="K847" s="67">
        <v>100523.0</v>
      </c>
      <c r="L847" s="59"/>
      <c r="M847" s="59"/>
      <c r="N847" s="59"/>
      <c r="O847" s="59"/>
      <c r="P847" s="59"/>
      <c r="Q847" s="59"/>
      <c r="R847" s="59"/>
    </row>
    <row r="848">
      <c r="A848" s="66" t="s">
        <v>2456</v>
      </c>
      <c r="B848" s="66">
        <v>39.0</v>
      </c>
      <c r="C848" s="66">
        <v>19.0</v>
      </c>
      <c r="D848" s="24" t="s">
        <v>122</v>
      </c>
      <c r="E848" s="24" t="s">
        <v>294</v>
      </c>
      <c r="F848" s="66" t="s">
        <v>2457</v>
      </c>
      <c r="G848" s="66">
        <v>16.0</v>
      </c>
      <c r="H848" s="66">
        <v>6.0</v>
      </c>
      <c r="I848" s="66">
        <v>5.0</v>
      </c>
      <c r="J848" s="24" t="s">
        <v>31</v>
      </c>
      <c r="K848" s="67">
        <v>12817.0</v>
      </c>
      <c r="L848" s="59"/>
      <c r="M848" s="59"/>
      <c r="N848" s="59"/>
      <c r="O848" s="59"/>
      <c r="P848" s="59"/>
      <c r="Q848" s="59"/>
      <c r="R848" s="59"/>
    </row>
    <row r="849">
      <c r="A849" s="66" t="s">
        <v>2458</v>
      </c>
      <c r="B849" s="66">
        <v>55.0</v>
      </c>
      <c r="C849" s="66">
        <v>90.0</v>
      </c>
      <c r="D849" s="24" t="s">
        <v>1201</v>
      </c>
      <c r="E849" s="24" t="s">
        <v>274</v>
      </c>
      <c r="F849" s="66" t="s">
        <v>2459</v>
      </c>
      <c r="G849" s="66">
        <v>98.0</v>
      </c>
      <c r="H849" s="66">
        <v>5.0</v>
      </c>
      <c r="I849" s="66">
        <v>9.0</v>
      </c>
      <c r="J849" s="24" t="s">
        <v>33</v>
      </c>
      <c r="K849" s="67">
        <v>92623.0</v>
      </c>
      <c r="L849" s="59"/>
      <c r="M849" s="59"/>
      <c r="N849" s="59"/>
      <c r="O849" s="59"/>
      <c r="P849" s="59"/>
      <c r="Q849" s="59"/>
      <c r="R849" s="59"/>
    </row>
    <row r="850">
      <c r="A850" s="66" t="s">
        <v>2460</v>
      </c>
      <c r="B850" s="66">
        <v>33.0</v>
      </c>
      <c r="C850" s="66">
        <v>50.0</v>
      </c>
      <c r="D850" s="24" t="s">
        <v>314</v>
      </c>
      <c r="E850" s="24" t="s">
        <v>301</v>
      </c>
      <c r="F850" s="66" t="s">
        <v>2461</v>
      </c>
      <c r="G850" s="66">
        <v>57.0</v>
      </c>
      <c r="H850" s="66">
        <v>6.0</v>
      </c>
      <c r="I850" s="66">
        <v>4.0</v>
      </c>
      <c r="J850" s="24" t="s">
        <v>48</v>
      </c>
      <c r="K850" s="67">
        <v>123015.0</v>
      </c>
      <c r="L850" s="59"/>
      <c r="M850" s="59"/>
      <c r="N850" s="59"/>
      <c r="O850" s="59"/>
      <c r="P850" s="59"/>
      <c r="Q850" s="59"/>
      <c r="R850" s="59"/>
    </row>
    <row r="851">
      <c r="A851" s="66" t="s">
        <v>2462</v>
      </c>
      <c r="B851" s="66">
        <v>17.0</v>
      </c>
      <c r="C851" s="66">
        <v>13.0</v>
      </c>
      <c r="D851" s="24" t="s">
        <v>233</v>
      </c>
      <c r="E851" s="24" t="s">
        <v>828</v>
      </c>
      <c r="F851" s="66" t="s">
        <v>2463</v>
      </c>
      <c r="G851" s="66">
        <v>98.0</v>
      </c>
      <c r="H851" s="66">
        <v>6.0</v>
      </c>
      <c r="I851" s="66">
        <v>1.0</v>
      </c>
      <c r="J851" s="24" t="s">
        <v>33</v>
      </c>
      <c r="K851" s="67">
        <v>40623.0</v>
      </c>
      <c r="L851" s="59"/>
      <c r="M851" s="59"/>
      <c r="N851" s="59"/>
      <c r="O851" s="59"/>
      <c r="P851" s="59"/>
      <c r="Q851" s="59"/>
      <c r="R851" s="59"/>
    </row>
    <row r="852">
      <c r="A852" s="66" t="s">
        <v>2464</v>
      </c>
      <c r="B852" s="66">
        <v>97.0</v>
      </c>
      <c r="C852" s="66">
        <v>49.0</v>
      </c>
      <c r="D852" s="24" t="s">
        <v>202</v>
      </c>
      <c r="E852" s="24" t="s">
        <v>342</v>
      </c>
      <c r="F852" s="66" t="s">
        <v>2465</v>
      </c>
      <c r="G852" s="66">
        <v>16.0</v>
      </c>
      <c r="H852" s="66">
        <v>6.0</v>
      </c>
      <c r="I852" s="66">
        <v>9.0</v>
      </c>
      <c r="J852" s="24" t="s">
        <v>31</v>
      </c>
      <c r="K852" s="67">
        <v>120318.0</v>
      </c>
      <c r="L852" s="59"/>
      <c r="M852" s="59"/>
      <c r="N852" s="59"/>
      <c r="O852" s="59"/>
      <c r="P852" s="59"/>
      <c r="Q852" s="59"/>
      <c r="R852" s="59"/>
    </row>
    <row r="853">
      <c r="A853" s="66" t="s">
        <v>2466</v>
      </c>
      <c r="B853" s="66">
        <v>54.0</v>
      </c>
      <c r="C853" s="66">
        <v>83.0</v>
      </c>
      <c r="D853" s="24" t="s">
        <v>128</v>
      </c>
      <c r="E853" s="24" t="s">
        <v>881</v>
      </c>
      <c r="F853" s="66" t="s">
        <v>2467</v>
      </c>
      <c r="G853" s="66">
        <v>78.0</v>
      </c>
      <c r="H853" s="66">
        <v>1.0</v>
      </c>
      <c r="I853" s="66">
        <v>5.0</v>
      </c>
      <c r="J853" s="24" t="s">
        <v>39</v>
      </c>
      <c r="K853" s="67">
        <v>123115.0</v>
      </c>
      <c r="L853" s="59"/>
      <c r="M853" s="59"/>
      <c r="N853" s="59"/>
      <c r="O853" s="59"/>
      <c r="P853" s="59"/>
      <c r="Q853" s="59"/>
      <c r="R853" s="59"/>
    </row>
    <row r="854">
      <c r="A854" s="66" t="s">
        <v>2468</v>
      </c>
      <c r="B854" s="66">
        <v>59.0</v>
      </c>
      <c r="C854" s="66">
        <v>87.0</v>
      </c>
      <c r="D854" s="24" t="s">
        <v>243</v>
      </c>
      <c r="E854" s="24" t="s">
        <v>171</v>
      </c>
      <c r="F854" s="66" t="s">
        <v>2469</v>
      </c>
      <c r="G854" s="66">
        <v>37.0</v>
      </c>
      <c r="H854" s="66">
        <v>1.0</v>
      </c>
      <c r="I854" s="66">
        <v>9.0</v>
      </c>
      <c r="J854" s="24" t="s">
        <v>39</v>
      </c>
      <c r="K854" s="67">
        <v>92223.0</v>
      </c>
      <c r="L854" s="59"/>
      <c r="M854" s="59"/>
      <c r="N854" s="59"/>
      <c r="O854" s="59"/>
      <c r="P854" s="59"/>
      <c r="Q854" s="59"/>
      <c r="R854" s="59"/>
    </row>
    <row r="855">
      <c r="A855" s="66" t="s">
        <v>2470</v>
      </c>
      <c r="B855" s="66">
        <v>26.0</v>
      </c>
      <c r="C855" s="66">
        <v>12.0</v>
      </c>
      <c r="D855" s="24" t="s">
        <v>151</v>
      </c>
      <c r="E855" s="24" t="s">
        <v>145</v>
      </c>
      <c r="F855" s="66" t="s">
        <v>2471</v>
      </c>
      <c r="G855" s="66">
        <v>37.0</v>
      </c>
      <c r="H855" s="66">
        <v>1.0</v>
      </c>
      <c r="I855" s="66">
        <v>5.0</v>
      </c>
      <c r="J855" s="24" t="s">
        <v>29</v>
      </c>
      <c r="K855" s="67">
        <v>121617.0</v>
      </c>
      <c r="L855" s="59"/>
      <c r="M855" s="59"/>
      <c r="N855" s="59"/>
      <c r="O855" s="59"/>
      <c r="P855" s="59"/>
      <c r="Q855" s="59"/>
      <c r="R855" s="59"/>
    </row>
    <row r="856">
      <c r="A856" s="66" t="s">
        <v>2472</v>
      </c>
      <c r="B856" s="66">
        <v>21.0</v>
      </c>
      <c r="C856" s="66">
        <v>83.0</v>
      </c>
      <c r="D856" s="24" t="s">
        <v>145</v>
      </c>
      <c r="E856" s="24" t="s">
        <v>734</v>
      </c>
      <c r="F856" s="66" t="s">
        <v>2473</v>
      </c>
      <c r="G856" s="66">
        <v>57.0</v>
      </c>
      <c r="H856" s="66">
        <v>6.0</v>
      </c>
      <c r="I856" s="66">
        <v>3.0</v>
      </c>
      <c r="J856" s="24" t="s">
        <v>33</v>
      </c>
      <c r="K856" s="67">
        <v>42618.0</v>
      </c>
      <c r="L856" s="59"/>
      <c r="M856" s="59"/>
      <c r="N856" s="59"/>
      <c r="O856" s="59"/>
      <c r="P856" s="59"/>
      <c r="Q856" s="59"/>
      <c r="R856" s="59"/>
    </row>
    <row r="857">
      <c r="A857" s="66" t="s">
        <v>2474</v>
      </c>
      <c r="B857" s="66">
        <v>75.0</v>
      </c>
      <c r="C857" s="66">
        <v>42.0</v>
      </c>
      <c r="D857" s="24" t="s">
        <v>150</v>
      </c>
      <c r="E857" s="24" t="s">
        <v>123</v>
      </c>
      <c r="F857" s="66" t="s">
        <v>2475</v>
      </c>
      <c r="G857" s="66">
        <v>78.0</v>
      </c>
      <c r="H857" s="66">
        <v>1.0</v>
      </c>
      <c r="I857" s="66">
        <v>2.0</v>
      </c>
      <c r="J857" s="24" t="s">
        <v>33</v>
      </c>
      <c r="K857" s="67">
        <v>70921.0</v>
      </c>
      <c r="L857" s="59"/>
      <c r="M857" s="59"/>
      <c r="N857" s="59"/>
      <c r="O857" s="59"/>
      <c r="P857" s="59"/>
      <c r="Q857" s="59"/>
      <c r="R857" s="59"/>
    </row>
    <row r="858">
      <c r="A858" s="66" t="s">
        <v>2476</v>
      </c>
      <c r="B858" s="66">
        <v>74.0</v>
      </c>
      <c r="C858" s="66">
        <v>49.0</v>
      </c>
      <c r="D858" s="24" t="s">
        <v>719</v>
      </c>
      <c r="E858" s="24" t="s">
        <v>232</v>
      </c>
      <c r="F858" s="66" t="s">
        <v>2477</v>
      </c>
      <c r="G858" s="66">
        <v>78.0</v>
      </c>
      <c r="H858" s="66">
        <v>2.0</v>
      </c>
      <c r="I858" s="66">
        <v>2.0</v>
      </c>
      <c r="J858" s="24" t="s">
        <v>29</v>
      </c>
      <c r="K858" s="67">
        <v>101319.0</v>
      </c>
      <c r="L858" s="59"/>
      <c r="M858" s="59"/>
      <c r="N858" s="59"/>
      <c r="O858" s="59"/>
      <c r="P858" s="59"/>
      <c r="Q858" s="59"/>
      <c r="R858" s="59"/>
    </row>
    <row r="859">
      <c r="A859" s="66" t="s">
        <v>2478</v>
      </c>
      <c r="B859" s="66">
        <v>95.0</v>
      </c>
      <c r="C859" s="66">
        <v>81.0</v>
      </c>
      <c r="D859" s="24" t="s">
        <v>341</v>
      </c>
      <c r="E859" s="24" t="s">
        <v>64</v>
      </c>
      <c r="F859" s="66" t="s">
        <v>2479</v>
      </c>
      <c r="G859" s="66">
        <v>37.0</v>
      </c>
      <c r="H859" s="66">
        <v>2.0</v>
      </c>
      <c r="I859" s="66">
        <v>7.0</v>
      </c>
      <c r="J859" s="24" t="s">
        <v>33</v>
      </c>
      <c r="K859" s="67">
        <v>91618.0</v>
      </c>
      <c r="L859" s="59"/>
      <c r="M859" s="59"/>
      <c r="N859" s="59"/>
      <c r="O859" s="59"/>
      <c r="P859" s="59"/>
      <c r="Q859" s="59"/>
      <c r="R859" s="59"/>
    </row>
    <row r="860">
      <c r="A860" s="66" t="s">
        <v>2480</v>
      </c>
      <c r="B860" s="66">
        <v>24.0</v>
      </c>
      <c r="C860" s="66">
        <v>69.0</v>
      </c>
      <c r="D860" s="24" t="s">
        <v>2164</v>
      </c>
      <c r="E860" s="24" t="s">
        <v>143</v>
      </c>
      <c r="F860" s="66" t="s">
        <v>2481</v>
      </c>
      <c r="G860" s="66">
        <v>98.0</v>
      </c>
      <c r="H860" s="66">
        <v>7.0</v>
      </c>
      <c r="I860" s="66">
        <v>4.0</v>
      </c>
      <c r="J860" s="24" t="s">
        <v>39</v>
      </c>
      <c r="K860" s="67">
        <v>52416.0</v>
      </c>
      <c r="L860" s="59"/>
      <c r="M860" s="59"/>
      <c r="N860" s="59"/>
      <c r="O860" s="59"/>
      <c r="P860" s="59"/>
      <c r="Q860" s="59"/>
      <c r="R860" s="59"/>
    </row>
    <row r="861">
      <c r="A861" s="66" t="s">
        <v>2482</v>
      </c>
      <c r="B861" s="66">
        <v>49.0</v>
      </c>
      <c r="C861" s="66">
        <v>36.0</v>
      </c>
      <c r="D861" s="24" t="s">
        <v>47</v>
      </c>
      <c r="E861" s="24" t="s">
        <v>440</v>
      </c>
      <c r="F861" s="66" t="s">
        <v>2483</v>
      </c>
      <c r="G861" s="66">
        <v>16.0</v>
      </c>
      <c r="H861" s="66">
        <v>8.0</v>
      </c>
      <c r="I861" s="66">
        <v>5.0</v>
      </c>
      <c r="J861" s="24" t="s">
        <v>39</v>
      </c>
      <c r="K861" s="67">
        <v>71121.0</v>
      </c>
      <c r="L861" s="59"/>
      <c r="M861" s="59"/>
      <c r="N861" s="59"/>
      <c r="O861" s="59"/>
      <c r="P861" s="59"/>
      <c r="Q861" s="59"/>
      <c r="R861" s="59"/>
    </row>
    <row r="862">
      <c r="A862" s="66" t="s">
        <v>2484</v>
      </c>
      <c r="B862" s="66">
        <v>98.0</v>
      </c>
      <c r="C862" s="66">
        <v>67.0</v>
      </c>
      <c r="D862" s="24" t="s">
        <v>291</v>
      </c>
      <c r="E862" s="24" t="s">
        <v>1150</v>
      </c>
      <c r="F862" s="66" t="s">
        <v>2485</v>
      </c>
      <c r="G862" s="66">
        <v>16.0</v>
      </c>
      <c r="H862" s="66">
        <v>8.0</v>
      </c>
      <c r="I862" s="66">
        <v>6.0</v>
      </c>
      <c r="J862" s="24" t="s">
        <v>31</v>
      </c>
      <c r="K862" s="67">
        <v>81921.0</v>
      </c>
      <c r="L862" s="59"/>
      <c r="M862" s="59"/>
      <c r="N862" s="59"/>
      <c r="O862" s="59"/>
      <c r="P862" s="59"/>
      <c r="Q862" s="59"/>
      <c r="R862" s="59"/>
    </row>
    <row r="863">
      <c r="A863" s="66" t="s">
        <v>2486</v>
      </c>
      <c r="B863" s="66">
        <v>71.0</v>
      </c>
      <c r="C863" s="66">
        <v>91.0</v>
      </c>
      <c r="D863" s="24" t="s">
        <v>924</v>
      </c>
      <c r="E863" s="24" t="s">
        <v>287</v>
      </c>
      <c r="F863" s="66" t="s">
        <v>2487</v>
      </c>
      <c r="G863" s="66">
        <v>57.0</v>
      </c>
      <c r="H863" s="66">
        <v>8.0</v>
      </c>
      <c r="I863" s="66">
        <v>5.0</v>
      </c>
      <c r="J863" s="24" t="s">
        <v>39</v>
      </c>
      <c r="K863" s="67">
        <v>22513.0</v>
      </c>
      <c r="L863" s="59"/>
      <c r="M863" s="59"/>
      <c r="N863" s="59"/>
      <c r="O863" s="59"/>
      <c r="P863" s="59"/>
      <c r="Q863" s="59"/>
      <c r="R863" s="59"/>
    </row>
    <row r="864">
      <c r="A864" s="66" t="s">
        <v>2488</v>
      </c>
      <c r="B864" s="66">
        <v>29.0</v>
      </c>
      <c r="C864" s="66">
        <v>16.0</v>
      </c>
      <c r="D864" s="24" t="s">
        <v>108</v>
      </c>
      <c r="E864" s="24" t="s">
        <v>201</v>
      </c>
      <c r="F864" s="66" t="s">
        <v>2489</v>
      </c>
      <c r="G864" s="66">
        <v>37.0</v>
      </c>
      <c r="H864" s="66">
        <v>3.0</v>
      </c>
      <c r="I864" s="66">
        <v>7.0</v>
      </c>
      <c r="J864" s="24" t="s">
        <v>31</v>
      </c>
      <c r="K864" s="67">
        <v>80923.0</v>
      </c>
      <c r="L864" s="59"/>
      <c r="M864" s="59"/>
      <c r="N864" s="59"/>
      <c r="O864" s="59"/>
      <c r="P864" s="59"/>
      <c r="Q864" s="59"/>
      <c r="R864" s="59"/>
    </row>
    <row r="865">
      <c r="A865" s="66" t="s">
        <v>2490</v>
      </c>
      <c r="B865" s="66">
        <v>21.0</v>
      </c>
      <c r="C865" s="66">
        <v>81.0</v>
      </c>
      <c r="D865" s="24" t="s">
        <v>794</v>
      </c>
      <c r="E865" s="24" t="s">
        <v>34</v>
      </c>
      <c r="F865" s="66" t="s">
        <v>2491</v>
      </c>
      <c r="G865" s="66">
        <v>98.0</v>
      </c>
      <c r="H865" s="66">
        <v>8.0</v>
      </c>
      <c r="I865" s="66">
        <v>4.0</v>
      </c>
      <c r="J865" s="24" t="s">
        <v>29</v>
      </c>
      <c r="K865" s="67">
        <v>82416.0</v>
      </c>
      <c r="L865" s="59"/>
      <c r="M865" s="59"/>
      <c r="N865" s="59"/>
      <c r="O865" s="59"/>
      <c r="P865" s="59"/>
      <c r="Q865" s="59"/>
      <c r="R865" s="59"/>
    </row>
    <row r="866">
      <c r="A866" s="66" t="s">
        <v>2492</v>
      </c>
      <c r="B866" s="66">
        <v>99.0</v>
      </c>
      <c r="C866" s="66">
        <v>16.0</v>
      </c>
      <c r="D866" s="24" t="s">
        <v>446</v>
      </c>
      <c r="E866" s="24" t="s">
        <v>326</v>
      </c>
      <c r="F866" s="66" t="s">
        <v>2493</v>
      </c>
      <c r="G866" s="66">
        <v>16.0</v>
      </c>
      <c r="H866" s="66">
        <v>9.0</v>
      </c>
      <c r="I866" s="66">
        <v>5.0</v>
      </c>
      <c r="J866" s="24" t="s">
        <v>29</v>
      </c>
      <c r="K866" s="67">
        <v>83014.0</v>
      </c>
      <c r="L866" s="59"/>
      <c r="M866" s="59"/>
      <c r="N866" s="59"/>
      <c r="O866" s="59"/>
      <c r="P866" s="59"/>
      <c r="Q866" s="59"/>
      <c r="R866" s="59"/>
    </row>
    <row r="867">
      <c r="A867" s="66" t="s">
        <v>2494</v>
      </c>
      <c r="B867" s="66">
        <v>13.0</v>
      </c>
      <c r="C867" s="66">
        <v>23.0</v>
      </c>
      <c r="D867" s="24" t="s">
        <v>207</v>
      </c>
      <c r="E867" s="24" t="s">
        <v>782</v>
      </c>
      <c r="F867" s="66" t="s">
        <v>2495</v>
      </c>
      <c r="G867" s="66">
        <v>98.0</v>
      </c>
      <c r="H867" s="66">
        <v>8.0</v>
      </c>
      <c r="I867" s="66">
        <v>7.0</v>
      </c>
      <c r="J867" s="24" t="s">
        <v>39</v>
      </c>
      <c r="K867" s="67">
        <v>121022.0</v>
      </c>
      <c r="L867" s="59"/>
      <c r="M867" s="59"/>
      <c r="N867" s="59"/>
      <c r="O867" s="59"/>
      <c r="P867" s="59"/>
      <c r="Q867" s="59"/>
      <c r="R867" s="59"/>
    </row>
    <row r="868">
      <c r="A868" s="66" t="s">
        <v>2496</v>
      </c>
      <c r="B868" s="66">
        <v>28.0</v>
      </c>
      <c r="C868" s="66">
        <v>86.0</v>
      </c>
      <c r="D868" s="24" t="s">
        <v>253</v>
      </c>
      <c r="E868" s="24" t="s">
        <v>461</v>
      </c>
      <c r="F868" s="66" t="s">
        <v>2497</v>
      </c>
      <c r="G868" s="66">
        <v>78.0</v>
      </c>
      <c r="H868" s="66">
        <v>4.0</v>
      </c>
      <c r="I868" s="66">
        <v>1.0</v>
      </c>
      <c r="J868" s="24" t="s">
        <v>29</v>
      </c>
      <c r="K868" s="67">
        <v>32920.0</v>
      </c>
      <c r="L868" s="59"/>
      <c r="M868" s="59"/>
      <c r="N868" s="59"/>
      <c r="O868" s="59"/>
      <c r="P868" s="59"/>
      <c r="Q868" s="59"/>
      <c r="R868" s="59"/>
    </row>
    <row r="869">
      <c r="A869" s="66" t="s">
        <v>2498</v>
      </c>
      <c r="B869" s="66">
        <v>38.0</v>
      </c>
      <c r="C869" s="66">
        <v>99.0</v>
      </c>
      <c r="D869" s="24" t="s">
        <v>1009</v>
      </c>
      <c r="E869" s="24" t="s">
        <v>101</v>
      </c>
      <c r="F869" s="66" t="s">
        <v>2499</v>
      </c>
      <c r="G869" s="66">
        <v>57.0</v>
      </c>
      <c r="H869" s="66">
        <v>9.0</v>
      </c>
      <c r="I869" s="66">
        <v>3.0</v>
      </c>
      <c r="J869" s="24" t="s">
        <v>31</v>
      </c>
      <c r="K869" s="67">
        <v>102722.0</v>
      </c>
      <c r="L869" s="59"/>
      <c r="M869" s="59"/>
      <c r="N869" s="59"/>
      <c r="O869" s="59"/>
      <c r="P869" s="59"/>
      <c r="Q869" s="59"/>
      <c r="R869" s="59"/>
    </row>
    <row r="870">
      <c r="A870" s="66" t="s">
        <v>2500</v>
      </c>
      <c r="B870" s="66">
        <v>90.0</v>
      </c>
      <c r="C870" s="66">
        <v>40.0</v>
      </c>
      <c r="D870" s="24" t="s">
        <v>407</v>
      </c>
      <c r="E870" s="24" t="s">
        <v>301</v>
      </c>
      <c r="F870" s="66" t="s">
        <v>2501</v>
      </c>
      <c r="G870" s="66">
        <v>57.0</v>
      </c>
      <c r="H870" s="66">
        <v>9.0</v>
      </c>
      <c r="I870" s="66">
        <v>5.0</v>
      </c>
      <c r="J870" s="24" t="s">
        <v>33</v>
      </c>
      <c r="K870" s="67">
        <v>50722.0</v>
      </c>
      <c r="L870" s="59"/>
      <c r="M870" s="59"/>
      <c r="N870" s="59"/>
      <c r="O870" s="59"/>
      <c r="P870" s="59"/>
      <c r="Q870" s="59"/>
      <c r="R870" s="59"/>
    </row>
    <row r="871">
      <c r="A871" s="66" t="s">
        <v>2502</v>
      </c>
      <c r="B871" s="66">
        <v>38.0</v>
      </c>
      <c r="C871" s="66">
        <v>42.0</v>
      </c>
      <c r="D871" s="24" t="s">
        <v>513</v>
      </c>
      <c r="E871" s="24" t="s">
        <v>175</v>
      </c>
      <c r="F871" s="66" t="s">
        <v>2503</v>
      </c>
      <c r="G871" s="66">
        <v>37.0</v>
      </c>
      <c r="H871" s="66">
        <v>4.0</v>
      </c>
      <c r="I871" s="66">
        <v>7.0</v>
      </c>
      <c r="J871" s="24" t="s">
        <v>29</v>
      </c>
      <c r="K871" s="67">
        <v>51722.0</v>
      </c>
      <c r="L871" s="59"/>
      <c r="M871" s="59"/>
      <c r="N871" s="59"/>
      <c r="O871" s="59"/>
      <c r="P871" s="59"/>
      <c r="Q871" s="59"/>
      <c r="R871" s="59"/>
    </row>
    <row r="872">
      <c r="A872" s="66" t="s">
        <v>2504</v>
      </c>
      <c r="B872" s="66">
        <v>59.0</v>
      </c>
      <c r="C872" s="66">
        <v>87.0</v>
      </c>
      <c r="D872" s="24" t="s">
        <v>481</v>
      </c>
      <c r="E872" s="24" t="s">
        <v>122</v>
      </c>
      <c r="F872" s="66" t="s">
        <v>2505</v>
      </c>
      <c r="G872" s="66">
        <v>37.0</v>
      </c>
      <c r="H872" s="66">
        <v>4.0</v>
      </c>
      <c r="I872" s="66">
        <v>5.0</v>
      </c>
      <c r="J872" s="24" t="s">
        <v>33</v>
      </c>
      <c r="K872" s="67">
        <v>113019.0</v>
      </c>
      <c r="L872" s="59"/>
      <c r="M872" s="59"/>
      <c r="N872" s="59"/>
      <c r="O872" s="59"/>
      <c r="P872" s="59"/>
      <c r="Q872" s="59"/>
      <c r="R872" s="59"/>
    </row>
    <row r="873">
      <c r="A873" s="66" t="s">
        <v>2506</v>
      </c>
      <c r="B873" s="66">
        <v>70.0</v>
      </c>
      <c r="C873" s="66">
        <v>99.0</v>
      </c>
      <c r="D873" s="24" t="s">
        <v>417</v>
      </c>
      <c r="E873" s="24" t="s">
        <v>514</v>
      </c>
      <c r="F873" s="66" t="s">
        <v>2507</v>
      </c>
      <c r="G873" s="66">
        <v>78.0</v>
      </c>
      <c r="H873" s="66">
        <v>4.0</v>
      </c>
      <c r="I873" s="66">
        <v>6.0</v>
      </c>
      <c r="J873" s="24" t="s">
        <v>29</v>
      </c>
      <c r="K873" s="67">
        <v>30119.0</v>
      </c>
      <c r="L873" s="59"/>
      <c r="M873" s="59"/>
      <c r="N873" s="59"/>
      <c r="O873" s="59"/>
      <c r="P873" s="59"/>
      <c r="Q873" s="59"/>
      <c r="R873" s="59"/>
    </row>
    <row r="874">
      <c r="A874" s="66" t="s">
        <v>2508</v>
      </c>
      <c r="B874" s="66">
        <v>89.0</v>
      </c>
      <c r="C874" s="66">
        <v>23.0</v>
      </c>
      <c r="D874" s="24" t="s">
        <v>401</v>
      </c>
      <c r="E874" s="24" t="s">
        <v>245</v>
      </c>
      <c r="F874" s="66" t="s">
        <v>2509</v>
      </c>
      <c r="G874" s="66">
        <v>78.0</v>
      </c>
      <c r="H874" s="66">
        <v>4.0</v>
      </c>
      <c r="I874" s="66">
        <v>9.0</v>
      </c>
      <c r="J874" s="24" t="s">
        <v>48</v>
      </c>
      <c r="K874" s="67">
        <v>101920.0</v>
      </c>
      <c r="L874" s="59"/>
      <c r="M874" s="59"/>
      <c r="N874" s="59"/>
      <c r="O874" s="59"/>
      <c r="P874" s="59"/>
      <c r="Q874" s="59"/>
      <c r="R874" s="59"/>
    </row>
    <row r="875">
      <c r="A875" s="66" t="s">
        <v>2510</v>
      </c>
      <c r="B875" s="66">
        <v>87.0</v>
      </c>
      <c r="C875" s="66">
        <v>42.0</v>
      </c>
      <c r="D875" s="24" t="s">
        <v>215</v>
      </c>
      <c r="E875" s="24" t="s">
        <v>42</v>
      </c>
      <c r="F875" s="66" t="s">
        <v>2511</v>
      </c>
      <c r="G875" s="66">
        <v>37.0</v>
      </c>
      <c r="H875" s="66">
        <v>5.0</v>
      </c>
      <c r="I875" s="66">
        <v>6.0</v>
      </c>
      <c r="J875" s="24" t="s">
        <v>48</v>
      </c>
      <c r="K875" s="67">
        <v>80923.0</v>
      </c>
      <c r="L875" s="59"/>
      <c r="M875" s="59"/>
      <c r="N875" s="59"/>
      <c r="O875" s="59"/>
      <c r="P875" s="59"/>
      <c r="Q875" s="59"/>
      <c r="R875" s="59"/>
    </row>
    <row r="876">
      <c r="A876" s="66" t="s">
        <v>2512</v>
      </c>
      <c r="B876" s="66">
        <v>12.0</v>
      </c>
      <c r="C876" s="66">
        <v>49.0</v>
      </c>
      <c r="D876" s="24" t="s">
        <v>167</v>
      </c>
      <c r="E876" s="24" t="s">
        <v>999</v>
      </c>
      <c r="F876" s="66">
        <v>5675.0</v>
      </c>
      <c r="G876" s="66">
        <v>78.0</v>
      </c>
      <c r="H876" s="66">
        <v>5.0</v>
      </c>
      <c r="I876" s="66">
        <v>4.0</v>
      </c>
      <c r="J876" s="24" t="s">
        <v>33</v>
      </c>
      <c r="K876" s="67">
        <v>50114.0</v>
      </c>
      <c r="L876" s="59"/>
      <c r="M876" s="59"/>
      <c r="N876" s="59"/>
      <c r="O876" s="59"/>
      <c r="P876" s="59"/>
      <c r="Q876" s="59"/>
      <c r="R876" s="59"/>
    </row>
    <row r="877">
      <c r="A877" s="66" t="s">
        <v>2513</v>
      </c>
      <c r="B877" s="66">
        <v>36.0</v>
      </c>
      <c r="C877" s="66">
        <v>58.0</v>
      </c>
      <c r="D877" s="24" t="s">
        <v>199</v>
      </c>
      <c r="E877" s="24" t="s">
        <v>154</v>
      </c>
      <c r="F877" s="66" t="s">
        <v>2514</v>
      </c>
      <c r="G877" s="66">
        <v>37.0</v>
      </c>
      <c r="H877" s="66">
        <v>6.0</v>
      </c>
      <c r="I877" s="66">
        <v>1.0</v>
      </c>
      <c r="J877" s="24" t="s">
        <v>48</v>
      </c>
      <c r="K877" s="67">
        <v>53115.0</v>
      </c>
      <c r="L877" s="59"/>
      <c r="M877" s="59"/>
      <c r="N877" s="59"/>
      <c r="O877" s="59"/>
      <c r="P877" s="59"/>
      <c r="Q877" s="59"/>
      <c r="R877" s="59"/>
    </row>
    <row r="878">
      <c r="A878" s="66" t="s">
        <v>2515</v>
      </c>
      <c r="B878" s="66">
        <v>68.0</v>
      </c>
      <c r="C878" s="66">
        <v>38.0</v>
      </c>
      <c r="D878" s="24" t="s">
        <v>167</v>
      </c>
      <c r="E878" s="24" t="s">
        <v>368</v>
      </c>
      <c r="F878" s="66" t="s">
        <v>2516</v>
      </c>
      <c r="G878" s="66">
        <v>17.0</v>
      </c>
      <c r="H878" s="66">
        <v>1.0</v>
      </c>
      <c r="I878" s="66">
        <v>5.0</v>
      </c>
      <c r="J878" s="24" t="s">
        <v>29</v>
      </c>
      <c r="K878" s="67">
        <v>30517.0</v>
      </c>
      <c r="L878" s="59"/>
      <c r="M878" s="59"/>
      <c r="N878" s="59"/>
      <c r="O878" s="59"/>
      <c r="P878" s="59"/>
      <c r="Q878" s="59"/>
      <c r="R878" s="59"/>
    </row>
    <row r="879">
      <c r="A879" s="66" t="s">
        <v>2517</v>
      </c>
      <c r="B879" s="66">
        <v>26.0</v>
      </c>
      <c r="C879" s="66">
        <v>27.0</v>
      </c>
      <c r="D879" s="24" t="s">
        <v>342</v>
      </c>
      <c r="E879" s="24" t="s">
        <v>375</v>
      </c>
      <c r="F879" s="66" t="s">
        <v>2518</v>
      </c>
      <c r="G879" s="66">
        <v>17.0</v>
      </c>
      <c r="H879" s="66">
        <v>1.0</v>
      </c>
      <c r="I879" s="66">
        <v>6.0</v>
      </c>
      <c r="J879" s="24" t="s">
        <v>39</v>
      </c>
      <c r="K879" s="67">
        <v>13120.0</v>
      </c>
      <c r="L879" s="59"/>
      <c r="M879" s="59"/>
      <c r="N879" s="59"/>
      <c r="O879" s="59"/>
      <c r="P879" s="59"/>
      <c r="Q879" s="59"/>
      <c r="R879" s="59"/>
    </row>
    <row r="880">
      <c r="A880" s="66" t="s">
        <v>2519</v>
      </c>
      <c r="B880" s="66">
        <v>35.0</v>
      </c>
      <c r="C880" s="66">
        <v>25.0</v>
      </c>
      <c r="D880" s="24" t="s">
        <v>298</v>
      </c>
      <c r="E880" s="24" t="s">
        <v>326</v>
      </c>
      <c r="F880" s="66" t="s">
        <v>2520</v>
      </c>
      <c r="G880" s="66">
        <v>78.0</v>
      </c>
      <c r="H880" s="66">
        <v>6.0</v>
      </c>
      <c r="I880" s="66">
        <v>5.0</v>
      </c>
      <c r="J880" s="24" t="s">
        <v>48</v>
      </c>
      <c r="K880" s="67">
        <v>52213.0</v>
      </c>
      <c r="L880" s="59"/>
      <c r="M880" s="59"/>
      <c r="N880" s="59"/>
      <c r="O880" s="59"/>
      <c r="P880" s="59"/>
      <c r="Q880" s="59"/>
      <c r="R880" s="59"/>
    </row>
    <row r="881">
      <c r="A881" s="66" t="s">
        <v>2521</v>
      </c>
      <c r="B881" s="66">
        <v>50.0</v>
      </c>
      <c r="C881" s="66">
        <v>70.0</v>
      </c>
      <c r="D881" s="24" t="s">
        <v>46</v>
      </c>
      <c r="E881" s="24" t="s">
        <v>210</v>
      </c>
      <c r="F881" s="66" t="s">
        <v>2522</v>
      </c>
      <c r="G881" s="66">
        <v>99.0</v>
      </c>
      <c r="H881" s="66">
        <v>1.0</v>
      </c>
      <c r="I881" s="66">
        <v>4.0</v>
      </c>
      <c r="J881" s="24" t="s">
        <v>29</v>
      </c>
      <c r="K881" s="67">
        <v>30917.0</v>
      </c>
      <c r="L881" s="59"/>
      <c r="M881" s="59"/>
      <c r="N881" s="59"/>
      <c r="O881" s="59"/>
      <c r="P881" s="59"/>
      <c r="Q881" s="59"/>
      <c r="R881" s="59"/>
    </row>
    <row r="882">
      <c r="A882" s="66" t="s">
        <v>2523</v>
      </c>
      <c r="B882" s="66">
        <v>60.0</v>
      </c>
      <c r="C882" s="66">
        <v>24.0</v>
      </c>
      <c r="D882" s="24" t="s">
        <v>527</v>
      </c>
      <c r="E882" s="24" t="s">
        <v>293</v>
      </c>
      <c r="F882" s="66" t="s">
        <v>2524</v>
      </c>
      <c r="G882" s="66">
        <v>78.0</v>
      </c>
      <c r="H882" s="66">
        <v>6.0</v>
      </c>
      <c r="I882" s="66">
        <v>8.0</v>
      </c>
      <c r="J882" s="24" t="s">
        <v>39</v>
      </c>
      <c r="K882" s="67">
        <v>61023.0</v>
      </c>
      <c r="L882" s="59"/>
      <c r="M882" s="59"/>
      <c r="N882" s="59"/>
      <c r="O882" s="59"/>
      <c r="P882" s="59"/>
      <c r="Q882" s="59"/>
      <c r="R882" s="59"/>
    </row>
    <row r="883">
      <c r="A883" s="66" t="s">
        <v>2525</v>
      </c>
      <c r="B883" s="66">
        <v>72.0</v>
      </c>
      <c r="C883" s="66">
        <v>92.0</v>
      </c>
      <c r="D883" s="24" t="s">
        <v>68</v>
      </c>
      <c r="E883" s="24" t="s">
        <v>1077</v>
      </c>
      <c r="F883" s="66" t="s">
        <v>2526</v>
      </c>
      <c r="G883" s="66">
        <v>58.0</v>
      </c>
      <c r="H883" s="66">
        <v>2.0</v>
      </c>
      <c r="I883" s="66">
        <v>2.0</v>
      </c>
      <c r="J883" s="24" t="s">
        <v>31</v>
      </c>
      <c r="K883" s="67">
        <v>51718.0</v>
      </c>
      <c r="L883" s="59"/>
      <c r="M883" s="59"/>
      <c r="N883" s="59"/>
      <c r="O883" s="59"/>
      <c r="P883" s="59"/>
      <c r="Q883" s="59"/>
      <c r="R883" s="59"/>
    </row>
    <row r="884">
      <c r="A884" s="66" t="s">
        <v>2527</v>
      </c>
      <c r="B884" s="66">
        <v>83.0</v>
      </c>
      <c r="C884" s="66">
        <v>58.0</v>
      </c>
      <c r="D884" s="24" t="s">
        <v>272</v>
      </c>
      <c r="E884" s="24" t="s">
        <v>1374</v>
      </c>
      <c r="F884" s="66" t="s">
        <v>2528</v>
      </c>
      <c r="G884" s="66">
        <v>17.0</v>
      </c>
      <c r="H884" s="66">
        <v>2.0</v>
      </c>
      <c r="I884" s="66">
        <v>7.0</v>
      </c>
      <c r="J884" s="24" t="s">
        <v>33</v>
      </c>
      <c r="K884" s="67">
        <v>121317.0</v>
      </c>
      <c r="L884" s="59"/>
      <c r="M884" s="59"/>
      <c r="N884" s="59"/>
      <c r="O884" s="59"/>
      <c r="P884" s="59"/>
      <c r="Q884" s="59"/>
      <c r="R884" s="59"/>
    </row>
    <row r="885">
      <c r="A885" s="66" t="s">
        <v>2529</v>
      </c>
      <c r="B885" s="66">
        <v>95.0</v>
      </c>
      <c r="C885" s="66">
        <v>71.0</v>
      </c>
      <c r="D885" s="24" t="s">
        <v>2072</v>
      </c>
      <c r="E885" s="24" t="s">
        <v>752</v>
      </c>
      <c r="F885" s="66" t="s">
        <v>2530</v>
      </c>
      <c r="G885" s="66">
        <v>17.0</v>
      </c>
      <c r="H885" s="66">
        <v>2.0</v>
      </c>
      <c r="I885" s="66">
        <v>6.0</v>
      </c>
      <c r="J885" s="24" t="s">
        <v>29</v>
      </c>
      <c r="K885" s="67">
        <v>42016.0</v>
      </c>
      <c r="L885" s="59"/>
      <c r="M885" s="59"/>
      <c r="N885" s="59"/>
      <c r="O885" s="59"/>
      <c r="P885" s="59"/>
      <c r="Q885" s="59"/>
      <c r="R885" s="59"/>
    </row>
    <row r="886">
      <c r="A886" s="66" t="s">
        <v>2531</v>
      </c>
      <c r="B886" s="66">
        <v>64.0</v>
      </c>
      <c r="C886" s="66">
        <v>67.0</v>
      </c>
      <c r="D886" s="24" t="s">
        <v>57</v>
      </c>
      <c r="E886" s="24" t="s">
        <v>980</v>
      </c>
      <c r="F886" s="66" t="s">
        <v>2532</v>
      </c>
      <c r="G886" s="66">
        <v>78.0</v>
      </c>
      <c r="H886" s="66">
        <v>7.0</v>
      </c>
      <c r="I886" s="66">
        <v>3.0</v>
      </c>
      <c r="J886" s="24" t="s">
        <v>29</v>
      </c>
      <c r="K886" s="67">
        <v>22518.0</v>
      </c>
      <c r="L886" s="59"/>
      <c r="M886" s="59"/>
      <c r="N886" s="59"/>
      <c r="O886" s="59"/>
      <c r="P886" s="59"/>
      <c r="Q886" s="59"/>
      <c r="R886" s="59"/>
    </row>
    <row r="887">
      <c r="A887" s="66" t="s">
        <v>2533</v>
      </c>
      <c r="B887" s="66">
        <v>84.0</v>
      </c>
      <c r="C887" s="66">
        <v>86.0</v>
      </c>
      <c r="D887" s="24" t="s">
        <v>429</v>
      </c>
      <c r="E887" s="24" t="s">
        <v>239</v>
      </c>
      <c r="F887" s="66" t="s">
        <v>2534</v>
      </c>
      <c r="G887" s="66">
        <v>99.0</v>
      </c>
      <c r="H887" s="66">
        <v>2.0</v>
      </c>
      <c r="I887" s="66">
        <v>1.0</v>
      </c>
      <c r="J887" s="24" t="s">
        <v>39</v>
      </c>
      <c r="K887" s="67">
        <v>91515.0</v>
      </c>
      <c r="L887" s="59"/>
      <c r="M887" s="59"/>
      <c r="N887" s="59"/>
      <c r="O887" s="59"/>
      <c r="P887" s="59"/>
      <c r="Q887" s="59"/>
      <c r="R887" s="59"/>
    </row>
    <row r="888">
      <c r="A888" s="66" t="s">
        <v>2535</v>
      </c>
      <c r="B888" s="66">
        <v>33.0</v>
      </c>
      <c r="C888" s="66">
        <v>53.0</v>
      </c>
      <c r="D888" s="24" t="s">
        <v>321</v>
      </c>
      <c r="E888" s="24" t="s">
        <v>198</v>
      </c>
      <c r="F888" s="66" t="s">
        <v>2536</v>
      </c>
      <c r="G888" s="66">
        <v>99.0</v>
      </c>
      <c r="H888" s="66">
        <v>2.0</v>
      </c>
      <c r="I888" s="66">
        <v>7.0</v>
      </c>
      <c r="J888" s="24" t="s">
        <v>39</v>
      </c>
      <c r="K888" s="67">
        <v>52618.0</v>
      </c>
      <c r="L888" s="59"/>
      <c r="M888" s="59"/>
      <c r="N888" s="59"/>
      <c r="O888" s="59"/>
      <c r="P888" s="59"/>
      <c r="Q888" s="59"/>
      <c r="R888" s="59"/>
    </row>
    <row r="889">
      <c r="A889" s="66" t="s">
        <v>2537</v>
      </c>
      <c r="B889" s="66">
        <v>26.0</v>
      </c>
      <c r="C889" s="66">
        <v>26.0</v>
      </c>
      <c r="D889" s="24" t="s">
        <v>28</v>
      </c>
      <c r="E889" s="24" t="s">
        <v>99</v>
      </c>
      <c r="F889" s="66" t="s">
        <v>2538</v>
      </c>
      <c r="G889" s="66">
        <v>99.0</v>
      </c>
      <c r="H889" s="66">
        <v>2.0</v>
      </c>
      <c r="I889" s="66">
        <v>8.0</v>
      </c>
      <c r="J889" s="24" t="s">
        <v>48</v>
      </c>
      <c r="K889" s="67">
        <v>31123.0</v>
      </c>
      <c r="L889" s="59"/>
      <c r="M889" s="59"/>
      <c r="N889" s="59"/>
      <c r="O889" s="59"/>
      <c r="P889" s="59"/>
      <c r="Q889" s="59"/>
      <c r="R889" s="59"/>
    </row>
    <row r="890">
      <c r="A890" s="66" t="s">
        <v>2539</v>
      </c>
      <c r="B890" s="66">
        <v>26.0</v>
      </c>
      <c r="C890" s="66">
        <v>21.0</v>
      </c>
      <c r="D890" s="24" t="s">
        <v>1201</v>
      </c>
      <c r="E890" s="24" t="s">
        <v>369</v>
      </c>
      <c r="F890" s="66" t="s">
        <v>2540</v>
      </c>
      <c r="G890" s="66">
        <v>99.0</v>
      </c>
      <c r="H890" s="66">
        <v>2.0</v>
      </c>
      <c r="I890" s="66">
        <v>9.0</v>
      </c>
      <c r="J890" s="24" t="s">
        <v>39</v>
      </c>
      <c r="K890" s="67">
        <v>90917.0</v>
      </c>
      <c r="L890" s="59"/>
      <c r="M890" s="59"/>
      <c r="N890" s="59"/>
      <c r="O890" s="59"/>
      <c r="P890" s="59"/>
      <c r="Q890" s="59"/>
      <c r="R890" s="59"/>
    </row>
    <row r="891">
      <c r="A891" s="66" t="s">
        <v>2541</v>
      </c>
      <c r="B891" s="66">
        <v>95.0</v>
      </c>
      <c r="C891" s="66">
        <v>52.0</v>
      </c>
      <c r="D891" s="24" t="s">
        <v>523</v>
      </c>
      <c r="E891" s="24" t="s">
        <v>202</v>
      </c>
      <c r="F891" s="66" t="s">
        <v>2542</v>
      </c>
      <c r="G891" s="66">
        <v>37.0</v>
      </c>
      <c r="H891" s="66">
        <v>8.0</v>
      </c>
      <c r="I891" s="66">
        <v>6.0</v>
      </c>
      <c r="J891" s="24" t="s">
        <v>31</v>
      </c>
      <c r="K891" s="67">
        <v>20914.0</v>
      </c>
      <c r="L891" s="59"/>
      <c r="M891" s="59"/>
      <c r="N891" s="59"/>
      <c r="O891" s="59"/>
      <c r="P891" s="59"/>
      <c r="Q891" s="59"/>
      <c r="R891" s="59"/>
    </row>
    <row r="892">
      <c r="A892" s="66" t="s">
        <v>2543</v>
      </c>
      <c r="B892" s="66">
        <v>72.0</v>
      </c>
      <c r="C892" s="66">
        <v>55.0</v>
      </c>
      <c r="D892" s="24" t="s">
        <v>274</v>
      </c>
      <c r="E892" s="24" t="s">
        <v>379</v>
      </c>
      <c r="F892" s="66" t="s">
        <v>2544</v>
      </c>
      <c r="G892" s="66">
        <v>78.0</v>
      </c>
      <c r="H892" s="66">
        <v>8.0</v>
      </c>
      <c r="I892" s="66">
        <v>3.0</v>
      </c>
      <c r="J892" s="24" t="s">
        <v>29</v>
      </c>
      <c r="K892" s="67">
        <v>103116.0</v>
      </c>
      <c r="L892" s="59"/>
      <c r="M892" s="59"/>
      <c r="N892" s="59"/>
      <c r="O892" s="59"/>
      <c r="P892" s="59"/>
      <c r="Q892" s="59"/>
      <c r="R892" s="59"/>
    </row>
    <row r="893">
      <c r="A893" s="66" t="s">
        <v>2545</v>
      </c>
      <c r="B893" s="66">
        <v>31.0</v>
      </c>
      <c r="C893" s="66">
        <v>13.0</v>
      </c>
      <c r="D893" s="24" t="s">
        <v>2546</v>
      </c>
      <c r="E893" s="24" t="s">
        <v>992</v>
      </c>
      <c r="F893" s="66" t="s">
        <v>2547</v>
      </c>
      <c r="G893" s="66">
        <v>17.0</v>
      </c>
      <c r="H893" s="66">
        <v>3.0</v>
      </c>
      <c r="I893" s="66">
        <v>9.0</v>
      </c>
      <c r="J893" s="24" t="s">
        <v>29</v>
      </c>
      <c r="K893" s="67">
        <v>50120.0</v>
      </c>
      <c r="L893" s="59"/>
      <c r="M893" s="59"/>
      <c r="N893" s="59"/>
      <c r="O893" s="59"/>
      <c r="P893" s="59"/>
      <c r="Q893" s="59"/>
      <c r="R893" s="59"/>
    </row>
    <row r="894">
      <c r="A894" s="66" t="s">
        <v>2548</v>
      </c>
      <c r="B894" s="66">
        <v>49.0</v>
      </c>
      <c r="C894" s="66">
        <v>87.0</v>
      </c>
      <c r="D894" s="24" t="s">
        <v>310</v>
      </c>
      <c r="E894" s="24" t="s">
        <v>177</v>
      </c>
      <c r="F894" s="66" t="s">
        <v>2549</v>
      </c>
      <c r="G894" s="66">
        <v>37.0</v>
      </c>
      <c r="H894" s="66">
        <v>8.0</v>
      </c>
      <c r="I894" s="66">
        <v>9.0</v>
      </c>
      <c r="J894" s="24" t="s">
        <v>48</v>
      </c>
      <c r="K894" s="67">
        <v>31714.0</v>
      </c>
      <c r="L894" s="59"/>
      <c r="M894" s="59"/>
      <c r="N894" s="59"/>
      <c r="O894" s="59"/>
      <c r="P894" s="59"/>
      <c r="Q894" s="59"/>
      <c r="R894" s="59"/>
    </row>
    <row r="895">
      <c r="A895" s="66" t="s">
        <v>2550</v>
      </c>
      <c r="B895" s="66">
        <v>39.0</v>
      </c>
      <c r="C895" s="66">
        <v>94.0</v>
      </c>
      <c r="D895" s="24" t="s">
        <v>363</v>
      </c>
      <c r="E895" s="24" t="s">
        <v>476</v>
      </c>
      <c r="F895" s="66" t="s">
        <v>2551</v>
      </c>
      <c r="G895" s="66">
        <v>58.0</v>
      </c>
      <c r="H895" s="66">
        <v>3.0</v>
      </c>
      <c r="I895" s="66">
        <v>8.0</v>
      </c>
      <c r="J895" s="24" t="s">
        <v>29</v>
      </c>
      <c r="K895" s="67">
        <v>12115.0</v>
      </c>
      <c r="L895" s="59"/>
      <c r="M895" s="59"/>
      <c r="N895" s="59"/>
      <c r="O895" s="59"/>
      <c r="P895" s="59"/>
      <c r="Q895" s="59"/>
      <c r="R895" s="59"/>
    </row>
    <row r="896">
      <c r="A896" s="66" t="s">
        <v>2552</v>
      </c>
      <c r="B896" s="66">
        <v>51.0</v>
      </c>
      <c r="C896" s="66">
        <v>80.0</v>
      </c>
      <c r="D896" s="24" t="s">
        <v>305</v>
      </c>
      <c r="E896" s="24" t="s">
        <v>425</v>
      </c>
      <c r="F896" s="66" t="s">
        <v>2553</v>
      </c>
      <c r="G896" s="66">
        <v>17.0</v>
      </c>
      <c r="H896" s="66">
        <v>3.0</v>
      </c>
      <c r="I896" s="66">
        <v>6.0</v>
      </c>
      <c r="J896" s="24" t="s">
        <v>39</v>
      </c>
      <c r="K896" s="67">
        <v>81320.0</v>
      </c>
      <c r="L896" s="59"/>
      <c r="M896" s="59"/>
      <c r="N896" s="59"/>
      <c r="O896" s="59"/>
      <c r="P896" s="59"/>
      <c r="Q896" s="59"/>
      <c r="R896" s="59"/>
    </row>
    <row r="897">
      <c r="A897" s="66" t="s">
        <v>2554</v>
      </c>
      <c r="B897" s="66">
        <v>63.0</v>
      </c>
      <c r="C897" s="66">
        <v>79.0</v>
      </c>
      <c r="D897" s="24" t="s">
        <v>445</v>
      </c>
      <c r="E897" s="24" t="s">
        <v>402</v>
      </c>
      <c r="F897" s="66" t="s">
        <v>2555</v>
      </c>
      <c r="G897" s="66">
        <v>37.0</v>
      </c>
      <c r="H897" s="66">
        <v>9.0</v>
      </c>
      <c r="I897" s="66">
        <v>2.0</v>
      </c>
      <c r="J897" s="24" t="s">
        <v>48</v>
      </c>
      <c r="K897" s="67">
        <v>22813.0</v>
      </c>
      <c r="L897" s="59"/>
      <c r="M897" s="59"/>
      <c r="N897" s="59"/>
      <c r="O897" s="59"/>
      <c r="P897" s="59"/>
      <c r="Q897" s="59"/>
      <c r="R897" s="59"/>
    </row>
    <row r="898">
      <c r="A898" s="66" t="s">
        <v>2556</v>
      </c>
      <c r="B898" s="66">
        <v>22.0</v>
      </c>
      <c r="C898" s="66">
        <v>48.0</v>
      </c>
      <c r="D898" s="24" t="s">
        <v>204</v>
      </c>
      <c r="E898" s="24" t="s">
        <v>476</v>
      </c>
      <c r="F898" s="66" t="s">
        <v>2557</v>
      </c>
      <c r="G898" s="66">
        <v>78.0</v>
      </c>
      <c r="H898" s="66">
        <v>8.0</v>
      </c>
      <c r="I898" s="66">
        <v>8.0</v>
      </c>
      <c r="J898" s="24" t="s">
        <v>48</v>
      </c>
      <c r="K898" s="67">
        <v>51815.0</v>
      </c>
      <c r="L898" s="59"/>
      <c r="M898" s="59"/>
      <c r="N898" s="59"/>
      <c r="O898" s="59"/>
      <c r="P898" s="59"/>
      <c r="Q898" s="59"/>
      <c r="R898" s="59"/>
    </row>
    <row r="899">
      <c r="A899" s="66" t="s">
        <v>2558</v>
      </c>
      <c r="B899" s="66">
        <v>43.0</v>
      </c>
      <c r="C899" s="66">
        <v>97.0</v>
      </c>
      <c r="D899" s="24" t="s">
        <v>527</v>
      </c>
      <c r="E899" s="24" t="s">
        <v>333</v>
      </c>
      <c r="F899" s="66" t="s">
        <v>2559</v>
      </c>
      <c r="G899" s="66">
        <v>17.0</v>
      </c>
      <c r="H899" s="66">
        <v>4.0</v>
      </c>
      <c r="I899" s="66">
        <v>3.0</v>
      </c>
      <c r="J899" s="24" t="s">
        <v>33</v>
      </c>
      <c r="K899" s="67">
        <v>101917.0</v>
      </c>
      <c r="L899" s="59"/>
      <c r="M899" s="59"/>
      <c r="N899" s="59"/>
      <c r="O899" s="59"/>
      <c r="P899" s="59"/>
      <c r="Q899" s="59"/>
      <c r="R899" s="59"/>
    </row>
    <row r="900">
      <c r="A900" s="66" t="s">
        <v>2560</v>
      </c>
      <c r="B900" s="66">
        <v>96.0</v>
      </c>
      <c r="C900" s="66">
        <v>54.0</v>
      </c>
      <c r="D900" s="24" t="s">
        <v>1391</v>
      </c>
      <c r="E900" s="24" t="s">
        <v>103</v>
      </c>
      <c r="F900" s="66" t="s">
        <v>2561</v>
      </c>
      <c r="G900" s="66">
        <v>78.0</v>
      </c>
      <c r="H900" s="66">
        <v>8.0</v>
      </c>
      <c r="I900" s="66">
        <v>9.0</v>
      </c>
      <c r="J900" s="24" t="s">
        <v>39</v>
      </c>
      <c r="K900" s="67">
        <v>100418.0</v>
      </c>
      <c r="L900" s="59"/>
      <c r="M900" s="59"/>
      <c r="N900" s="59"/>
      <c r="O900" s="59"/>
      <c r="P900" s="59"/>
      <c r="Q900" s="59"/>
      <c r="R900" s="59"/>
    </row>
    <row r="901">
      <c r="A901" s="66" t="s">
        <v>2562</v>
      </c>
      <c r="B901" s="66">
        <v>68.0</v>
      </c>
      <c r="C901" s="66">
        <v>11.0</v>
      </c>
      <c r="D901" s="24" t="s">
        <v>119</v>
      </c>
      <c r="E901" s="24" t="s">
        <v>230</v>
      </c>
      <c r="F901" s="66" t="s">
        <v>2563</v>
      </c>
      <c r="G901" s="66">
        <v>17.0</v>
      </c>
      <c r="H901" s="66">
        <v>4.0</v>
      </c>
      <c r="I901" s="66">
        <v>8.0</v>
      </c>
      <c r="J901" s="24" t="s">
        <v>48</v>
      </c>
      <c r="K901" s="67">
        <v>41513.0</v>
      </c>
      <c r="L901" s="59"/>
      <c r="M901" s="59"/>
      <c r="N901" s="59"/>
      <c r="O901" s="59"/>
      <c r="P901" s="59"/>
      <c r="Q901" s="59"/>
      <c r="R901" s="59"/>
    </row>
    <row r="902">
      <c r="A902" s="66" t="s">
        <v>2564</v>
      </c>
      <c r="B902" s="66">
        <v>50.0</v>
      </c>
      <c r="C902" s="66">
        <v>77.0</v>
      </c>
      <c r="D902" s="24" t="s">
        <v>142</v>
      </c>
      <c r="E902" s="24" t="s">
        <v>251</v>
      </c>
      <c r="F902" s="66" t="s">
        <v>2565</v>
      </c>
      <c r="G902" s="66">
        <v>17.0</v>
      </c>
      <c r="H902" s="66">
        <v>4.0</v>
      </c>
      <c r="I902" s="66">
        <v>1.0</v>
      </c>
      <c r="J902" s="24" t="s">
        <v>29</v>
      </c>
      <c r="K902" s="67">
        <v>90218.0</v>
      </c>
      <c r="L902" s="59"/>
      <c r="M902" s="59"/>
      <c r="N902" s="59"/>
      <c r="O902" s="59"/>
      <c r="P902" s="59"/>
      <c r="Q902" s="59"/>
      <c r="R902" s="59"/>
    </row>
    <row r="903">
      <c r="A903" s="66" t="s">
        <v>2566</v>
      </c>
      <c r="B903" s="66">
        <v>11.0</v>
      </c>
      <c r="C903" s="66">
        <v>93.0</v>
      </c>
      <c r="D903" s="24" t="s">
        <v>389</v>
      </c>
      <c r="E903" s="24" t="s">
        <v>34</v>
      </c>
      <c r="F903" s="66" t="s">
        <v>2567</v>
      </c>
      <c r="G903" s="66">
        <v>78.0</v>
      </c>
      <c r="H903" s="66">
        <v>9.0</v>
      </c>
      <c r="I903" s="66">
        <v>4.0</v>
      </c>
      <c r="J903" s="24" t="s">
        <v>29</v>
      </c>
      <c r="K903" s="67">
        <v>50213.0</v>
      </c>
      <c r="L903" s="59"/>
      <c r="M903" s="59"/>
      <c r="N903" s="59"/>
      <c r="O903" s="59"/>
      <c r="P903" s="59"/>
      <c r="Q903" s="59"/>
      <c r="R903" s="59"/>
    </row>
    <row r="904">
      <c r="A904" s="66" t="s">
        <v>2568</v>
      </c>
      <c r="B904" s="66">
        <v>62.0</v>
      </c>
      <c r="C904" s="66">
        <v>98.0</v>
      </c>
      <c r="D904" s="24" t="s">
        <v>1181</v>
      </c>
      <c r="E904" s="24" t="s">
        <v>393</v>
      </c>
      <c r="F904" s="66" t="s">
        <v>2569</v>
      </c>
      <c r="G904" s="66">
        <v>37.0</v>
      </c>
      <c r="H904" s="66">
        <v>9.0</v>
      </c>
      <c r="I904" s="66">
        <v>9.0</v>
      </c>
      <c r="J904" s="24" t="s">
        <v>31</v>
      </c>
      <c r="K904" s="67">
        <v>122819.0</v>
      </c>
      <c r="L904" s="59"/>
      <c r="M904" s="59"/>
      <c r="N904" s="59"/>
      <c r="O904" s="59"/>
      <c r="P904" s="59"/>
      <c r="Q904" s="59"/>
      <c r="R904" s="59"/>
    </row>
    <row r="905">
      <c r="A905" s="66" t="s">
        <v>2570</v>
      </c>
      <c r="B905" s="66">
        <v>11.0</v>
      </c>
      <c r="C905" s="66">
        <v>39.0</v>
      </c>
      <c r="D905" s="24" t="s">
        <v>400</v>
      </c>
      <c r="E905" s="24" t="s">
        <v>407</v>
      </c>
      <c r="F905" s="66" t="s">
        <v>2571</v>
      </c>
      <c r="G905" s="66">
        <v>37.0</v>
      </c>
      <c r="H905" s="66">
        <v>9.0</v>
      </c>
      <c r="I905" s="66">
        <v>6.0</v>
      </c>
      <c r="J905" s="24" t="s">
        <v>33</v>
      </c>
      <c r="K905" s="67">
        <v>70818.0</v>
      </c>
      <c r="L905" s="59"/>
      <c r="M905" s="59"/>
      <c r="N905" s="59"/>
      <c r="O905" s="59"/>
      <c r="P905" s="59"/>
      <c r="Q905" s="59"/>
      <c r="R905" s="59"/>
    </row>
    <row r="906">
      <c r="A906" s="66" t="s">
        <v>2572</v>
      </c>
      <c r="B906" s="66">
        <v>20.0</v>
      </c>
      <c r="C906" s="66">
        <v>74.0</v>
      </c>
      <c r="D906" s="24" t="s">
        <v>521</v>
      </c>
      <c r="E906" s="24" t="s">
        <v>149</v>
      </c>
      <c r="F906" s="66" t="s">
        <v>2573</v>
      </c>
      <c r="G906" s="66">
        <v>17.0</v>
      </c>
      <c r="H906" s="66">
        <v>5.0</v>
      </c>
      <c r="I906" s="66">
        <v>3.0</v>
      </c>
      <c r="J906" s="24" t="s">
        <v>48</v>
      </c>
      <c r="K906" s="67">
        <v>50113.0</v>
      </c>
      <c r="L906" s="59"/>
      <c r="M906" s="59"/>
      <c r="N906" s="59"/>
      <c r="O906" s="59"/>
      <c r="P906" s="59"/>
      <c r="Q906" s="59"/>
      <c r="R906" s="59"/>
    </row>
    <row r="907">
      <c r="A907" s="66" t="s">
        <v>2574</v>
      </c>
      <c r="B907" s="66">
        <v>13.0</v>
      </c>
      <c r="C907" s="66">
        <v>60.0</v>
      </c>
      <c r="D907" s="24" t="s">
        <v>1100</v>
      </c>
      <c r="E907" s="24" t="s">
        <v>45</v>
      </c>
      <c r="F907" s="66" t="s">
        <v>2575</v>
      </c>
      <c r="G907" s="66">
        <v>17.0</v>
      </c>
      <c r="H907" s="66">
        <v>5.0</v>
      </c>
      <c r="I907" s="66">
        <v>6.0</v>
      </c>
      <c r="J907" s="24" t="s">
        <v>48</v>
      </c>
      <c r="K907" s="67">
        <v>12722.0</v>
      </c>
      <c r="L907" s="59"/>
      <c r="M907" s="59"/>
      <c r="N907" s="59"/>
      <c r="O907" s="59"/>
      <c r="P907" s="59"/>
      <c r="Q907" s="59"/>
      <c r="R907" s="59"/>
    </row>
    <row r="908">
      <c r="A908" s="66" t="s">
        <v>2576</v>
      </c>
      <c r="B908" s="66">
        <v>97.0</v>
      </c>
      <c r="C908" s="66">
        <v>33.0</v>
      </c>
      <c r="D908" s="24" t="s">
        <v>324</v>
      </c>
      <c r="E908" s="24" t="s">
        <v>36</v>
      </c>
      <c r="F908" s="66" t="s">
        <v>2577</v>
      </c>
      <c r="G908" s="66">
        <v>99.0</v>
      </c>
      <c r="H908" s="66">
        <v>5.0</v>
      </c>
      <c r="I908" s="66">
        <v>3.0</v>
      </c>
      <c r="J908" s="24" t="s">
        <v>33</v>
      </c>
      <c r="K908" s="67">
        <v>92519.0</v>
      </c>
      <c r="L908" s="59"/>
      <c r="M908" s="59"/>
      <c r="N908" s="59"/>
      <c r="O908" s="59"/>
      <c r="P908" s="59"/>
      <c r="Q908" s="59"/>
      <c r="R908" s="59"/>
    </row>
    <row r="909">
      <c r="A909" s="66" t="s">
        <v>2578</v>
      </c>
      <c r="B909" s="66">
        <v>88.0</v>
      </c>
      <c r="C909" s="66">
        <v>74.0</v>
      </c>
      <c r="D909" s="24" t="s">
        <v>2303</v>
      </c>
      <c r="E909" s="24" t="s">
        <v>192</v>
      </c>
      <c r="F909" s="66" t="s">
        <v>2579</v>
      </c>
      <c r="G909" s="66">
        <v>58.0</v>
      </c>
      <c r="H909" s="66">
        <v>5.0</v>
      </c>
      <c r="I909" s="66">
        <v>7.0</v>
      </c>
      <c r="J909" s="24" t="s">
        <v>39</v>
      </c>
      <c r="K909" s="67">
        <v>93018.0</v>
      </c>
      <c r="L909" s="59"/>
      <c r="M909" s="59"/>
      <c r="N909" s="59"/>
      <c r="O909" s="59"/>
      <c r="P909" s="59"/>
      <c r="Q909" s="59"/>
      <c r="R909" s="59"/>
    </row>
    <row r="910">
      <c r="A910" s="66" t="s">
        <v>2580</v>
      </c>
      <c r="B910" s="66">
        <v>86.0</v>
      </c>
      <c r="C910" s="66">
        <v>58.0</v>
      </c>
      <c r="D910" s="24" t="s">
        <v>540</v>
      </c>
      <c r="E910" s="24" t="s">
        <v>356</v>
      </c>
      <c r="F910" s="66" t="s">
        <v>2581</v>
      </c>
      <c r="G910" s="66">
        <v>58.0</v>
      </c>
      <c r="H910" s="66">
        <v>5.0</v>
      </c>
      <c r="I910" s="66">
        <v>9.0</v>
      </c>
      <c r="J910" s="24" t="s">
        <v>33</v>
      </c>
      <c r="K910" s="67">
        <v>102817.0</v>
      </c>
      <c r="L910" s="59"/>
      <c r="M910" s="59"/>
      <c r="N910" s="59"/>
      <c r="O910" s="59"/>
      <c r="P910" s="59"/>
      <c r="Q910" s="59"/>
      <c r="R910" s="59"/>
    </row>
    <row r="911">
      <c r="A911" s="66" t="s">
        <v>2582</v>
      </c>
      <c r="B911" s="66">
        <v>33.0</v>
      </c>
      <c r="C911" s="66">
        <v>53.0</v>
      </c>
      <c r="D911" s="24" t="s">
        <v>262</v>
      </c>
      <c r="E911" s="24" t="s">
        <v>387</v>
      </c>
      <c r="F911" s="66" t="s">
        <v>2583</v>
      </c>
      <c r="G911" s="66">
        <v>38.0</v>
      </c>
      <c r="H911" s="66">
        <v>1.0</v>
      </c>
      <c r="I911" s="66">
        <v>3.0</v>
      </c>
      <c r="J911" s="24" t="s">
        <v>31</v>
      </c>
      <c r="K911" s="67">
        <v>111723.0</v>
      </c>
      <c r="L911" s="59"/>
      <c r="M911" s="59"/>
      <c r="N911" s="59"/>
      <c r="O911" s="59"/>
      <c r="P911" s="59"/>
      <c r="Q911" s="59"/>
      <c r="R911" s="59"/>
    </row>
    <row r="912">
      <c r="A912" s="66" t="s">
        <v>2584</v>
      </c>
      <c r="B912" s="66">
        <v>70.0</v>
      </c>
      <c r="C912" s="66">
        <v>86.0</v>
      </c>
      <c r="D912" s="24" t="s">
        <v>501</v>
      </c>
      <c r="E912" s="24" t="s">
        <v>1624</v>
      </c>
      <c r="F912" s="66" t="s">
        <v>2585</v>
      </c>
      <c r="G912" s="66">
        <v>99.0</v>
      </c>
      <c r="H912" s="66">
        <v>6.0</v>
      </c>
      <c r="I912" s="66">
        <v>2.0</v>
      </c>
      <c r="J912" s="24" t="s">
        <v>33</v>
      </c>
      <c r="K912" s="67">
        <v>103019.0</v>
      </c>
      <c r="L912" s="59"/>
      <c r="M912" s="59"/>
      <c r="N912" s="59"/>
      <c r="O912" s="59"/>
      <c r="P912" s="59"/>
      <c r="Q912" s="59"/>
      <c r="R912" s="59"/>
    </row>
    <row r="913">
      <c r="A913" s="66" t="s">
        <v>2586</v>
      </c>
      <c r="B913" s="66">
        <v>95.0</v>
      </c>
      <c r="C913" s="66">
        <v>48.0</v>
      </c>
      <c r="D913" s="24" t="s">
        <v>245</v>
      </c>
      <c r="E913" s="24" t="s">
        <v>270</v>
      </c>
      <c r="F913" s="66" t="s">
        <v>2587</v>
      </c>
      <c r="G913" s="66">
        <v>38.0</v>
      </c>
      <c r="H913" s="66">
        <v>1.0</v>
      </c>
      <c r="I913" s="66">
        <v>8.0</v>
      </c>
      <c r="J913" s="24" t="s">
        <v>31</v>
      </c>
      <c r="K913" s="67">
        <v>110822.0</v>
      </c>
      <c r="L913" s="59"/>
      <c r="M913" s="59"/>
      <c r="N913" s="59"/>
      <c r="O913" s="59"/>
      <c r="P913" s="59"/>
      <c r="Q913" s="59"/>
      <c r="R913" s="59"/>
    </row>
    <row r="914">
      <c r="A914" s="66" t="s">
        <v>2588</v>
      </c>
      <c r="B914" s="66">
        <v>18.0</v>
      </c>
      <c r="C914" s="66">
        <v>77.0</v>
      </c>
      <c r="D914" s="24" t="s">
        <v>312</v>
      </c>
      <c r="E914" s="24" t="s">
        <v>176</v>
      </c>
      <c r="F914" s="66" t="s">
        <v>2589</v>
      </c>
      <c r="G914" s="66">
        <v>58.0</v>
      </c>
      <c r="H914" s="66">
        <v>6.0</v>
      </c>
      <c r="I914" s="66">
        <v>6.0</v>
      </c>
      <c r="J914" s="24" t="s">
        <v>33</v>
      </c>
      <c r="K914" s="67">
        <v>60115.0</v>
      </c>
      <c r="L914" s="59"/>
      <c r="M914" s="59"/>
      <c r="N914" s="59"/>
      <c r="O914" s="59"/>
      <c r="P914" s="59"/>
      <c r="Q914" s="59"/>
      <c r="R914" s="59"/>
    </row>
    <row r="915">
      <c r="A915" s="66" t="s">
        <v>2590</v>
      </c>
      <c r="B915" s="66">
        <v>75.0</v>
      </c>
      <c r="C915" s="66">
        <v>59.0</v>
      </c>
      <c r="D915" s="24" t="s">
        <v>457</v>
      </c>
      <c r="E915" s="24" t="s">
        <v>172</v>
      </c>
      <c r="F915" s="66" t="s">
        <v>2591</v>
      </c>
      <c r="G915" s="66">
        <v>38.0</v>
      </c>
      <c r="H915" s="66">
        <v>2.0</v>
      </c>
      <c r="I915" s="66">
        <v>2.0</v>
      </c>
      <c r="J915" s="24" t="s">
        <v>48</v>
      </c>
      <c r="K915" s="67">
        <v>122213.0</v>
      </c>
      <c r="L915" s="59"/>
      <c r="M915" s="59"/>
      <c r="N915" s="59"/>
      <c r="O915" s="59"/>
      <c r="P915" s="59"/>
      <c r="Q915" s="59"/>
      <c r="R915" s="59"/>
    </row>
    <row r="916">
      <c r="A916" s="66" t="s">
        <v>2592</v>
      </c>
      <c r="B916" s="66">
        <v>34.0</v>
      </c>
      <c r="C916" s="66">
        <v>31.0</v>
      </c>
      <c r="D916" s="24" t="s">
        <v>219</v>
      </c>
      <c r="E916" s="24" t="s">
        <v>338</v>
      </c>
      <c r="F916" s="66" t="s">
        <v>2593</v>
      </c>
      <c r="G916" s="66">
        <v>99.0</v>
      </c>
      <c r="H916" s="66">
        <v>7.0</v>
      </c>
      <c r="I916" s="66">
        <v>1.0</v>
      </c>
      <c r="J916" s="24" t="s">
        <v>33</v>
      </c>
      <c r="K916" s="67">
        <v>60420.0</v>
      </c>
      <c r="L916" s="59"/>
      <c r="M916" s="59"/>
      <c r="N916" s="59"/>
      <c r="O916" s="59"/>
      <c r="P916" s="59"/>
      <c r="Q916" s="59"/>
      <c r="R916" s="59"/>
    </row>
    <row r="917">
      <c r="A917" s="66" t="s">
        <v>2594</v>
      </c>
      <c r="B917" s="66">
        <v>98.0</v>
      </c>
      <c r="C917" s="66">
        <v>89.0</v>
      </c>
      <c r="D917" s="24" t="s">
        <v>243</v>
      </c>
      <c r="E917" s="24" t="s">
        <v>454</v>
      </c>
      <c r="F917" s="66" t="s">
        <v>2595</v>
      </c>
      <c r="G917" s="66">
        <v>99.0</v>
      </c>
      <c r="H917" s="66">
        <v>7.0</v>
      </c>
      <c r="I917" s="66">
        <v>4.0</v>
      </c>
      <c r="J917" s="24" t="s">
        <v>33</v>
      </c>
      <c r="K917" s="67">
        <v>62913.0</v>
      </c>
      <c r="L917" s="59"/>
      <c r="M917" s="59"/>
      <c r="N917" s="59"/>
      <c r="O917" s="59"/>
      <c r="P917" s="59"/>
      <c r="Q917" s="59"/>
      <c r="R917" s="59"/>
    </row>
    <row r="918">
      <c r="A918" s="66" t="s">
        <v>2596</v>
      </c>
      <c r="B918" s="66">
        <v>66.0</v>
      </c>
      <c r="C918" s="66">
        <v>41.0</v>
      </c>
      <c r="D918" s="24" t="s">
        <v>376</v>
      </c>
      <c r="E918" s="24" t="s">
        <v>184</v>
      </c>
      <c r="F918" s="66" t="s">
        <v>2597</v>
      </c>
      <c r="G918" s="66">
        <v>58.0</v>
      </c>
      <c r="H918" s="66">
        <v>8.0</v>
      </c>
      <c r="I918" s="66">
        <v>1.0</v>
      </c>
      <c r="J918" s="24" t="s">
        <v>31</v>
      </c>
      <c r="K918" s="67">
        <v>50919.0</v>
      </c>
      <c r="L918" s="59"/>
      <c r="M918" s="59"/>
      <c r="N918" s="59"/>
      <c r="O918" s="59"/>
      <c r="P918" s="59"/>
      <c r="Q918" s="59"/>
      <c r="R918" s="59"/>
    </row>
    <row r="919">
      <c r="A919" s="66" t="s">
        <v>2598</v>
      </c>
      <c r="B919" s="66">
        <v>22.0</v>
      </c>
      <c r="C919" s="66">
        <v>65.0</v>
      </c>
      <c r="D919" s="24" t="s">
        <v>734</v>
      </c>
      <c r="E919" s="24" t="s">
        <v>1327</v>
      </c>
      <c r="F919" s="66" t="s">
        <v>2599</v>
      </c>
      <c r="G919" s="66">
        <v>17.0</v>
      </c>
      <c r="H919" s="66">
        <v>8.0</v>
      </c>
      <c r="I919" s="66">
        <v>6.0</v>
      </c>
      <c r="J919" s="24" t="s">
        <v>33</v>
      </c>
      <c r="K919" s="67">
        <v>50818.0</v>
      </c>
      <c r="L919" s="59"/>
      <c r="M919" s="59"/>
      <c r="N919" s="59"/>
      <c r="O919" s="59"/>
      <c r="P919" s="59"/>
      <c r="Q919" s="59"/>
      <c r="R919" s="59"/>
    </row>
    <row r="920">
      <c r="A920" s="66" t="s">
        <v>2600</v>
      </c>
      <c r="B920" s="66">
        <v>27.0</v>
      </c>
      <c r="C920" s="66">
        <v>65.0</v>
      </c>
      <c r="D920" s="24" t="s">
        <v>969</v>
      </c>
      <c r="E920" s="24" t="s">
        <v>333</v>
      </c>
      <c r="F920" s="66" t="s">
        <v>2601</v>
      </c>
      <c r="G920" s="66">
        <v>58.0</v>
      </c>
      <c r="H920" s="66">
        <v>8.0</v>
      </c>
      <c r="I920" s="66">
        <v>3.0</v>
      </c>
      <c r="J920" s="24" t="s">
        <v>29</v>
      </c>
      <c r="K920" s="67">
        <v>110918.0</v>
      </c>
      <c r="L920" s="59"/>
      <c r="M920" s="59"/>
      <c r="N920" s="59"/>
      <c r="O920" s="59"/>
      <c r="P920" s="59"/>
      <c r="Q920" s="59"/>
      <c r="R920" s="59"/>
    </row>
    <row r="921">
      <c r="A921" s="66" t="s">
        <v>2602</v>
      </c>
      <c r="B921" s="66">
        <v>75.0</v>
      </c>
      <c r="C921" s="66">
        <v>78.0</v>
      </c>
      <c r="D921" s="24" t="s">
        <v>322</v>
      </c>
      <c r="E921" s="24" t="s">
        <v>927</v>
      </c>
      <c r="F921" s="66" t="s">
        <v>2603</v>
      </c>
      <c r="G921" s="66">
        <v>58.0</v>
      </c>
      <c r="H921" s="66">
        <v>8.0</v>
      </c>
      <c r="I921" s="66">
        <v>4.0</v>
      </c>
      <c r="J921" s="24" t="s">
        <v>29</v>
      </c>
      <c r="K921" s="67">
        <v>52622.0</v>
      </c>
      <c r="L921" s="59"/>
      <c r="M921" s="59"/>
      <c r="N921" s="59"/>
      <c r="O921" s="59"/>
      <c r="P921" s="59"/>
      <c r="Q921" s="59"/>
      <c r="R921" s="59"/>
    </row>
    <row r="922">
      <c r="A922" s="66" t="s">
        <v>2604</v>
      </c>
      <c r="B922" s="66">
        <v>16.0</v>
      </c>
      <c r="C922" s="66">
        <v>49.0</v>
      </c>
      <c r="D922" s="24" t="s">
        <v>452</v>
      </c>
      <c r="E922" s="24" t="s">
        <v>506</v>
      </c>
      <c r="F922" s="66" t="s">
        <v>2605</v>
      </c>
      <c r="G922" s="66">
        <v>79.0</v>
      </c>
      <c r="H922" s="66">
        <v>3.0</v>
      </c>
      <c r="I922" s="66">
        <v>4.0</v>
      </c>
      <c r="J922" s="24" t="s">
        <v>29</v>
      </c>
      <c r="K922" s="67">
        <v>101422.0</v>
      </c>
      <c r="L922" s="59"/>
      <c r="M922" s="59"/>
      <c r="N922" s="59"/>
      <c r="O922" s="59"/>
      <c r="P922" s="59"/>
      <c r="Q922" s="59"/>
      <c r="R922" s="59"/>
    </row>
    <row r="923">
      <c r="A923" s="66" t="s">
        <v>2606</v>
      </c>
      <c r="B923" s="66">
        <v>91.0</v>
      </c>
      <c r="C923" s="66">
        <v>92.0</v>
      </c>
      <c r="D923" s="24" t="s">
        <v>509</v>
      </c>
      <c r="E923" s="24" t="s">
        <v>2010</v>
      </c>
      <c r="F923" s="66" t="s">
        <v>2607</v>
      </c>
      <c r="G923" s="66">
        <v>17.0</v>
      </c>
      <c r="H923" s="66">
        <v>9.0</v>
      </c>
      <c r="I923" s="66">
        <v>2.0</v>
      </c>
      <c r="J923" s="24" t="s">
        <v>33</v>
      </c>
      <c r="K923" s="67">
        <v>40818.0</v>
      </c>
      <c r="L923" s="59"/>
      <c r="M923" s="59"/>
      <c r="N923" s="59"/>
      <c r="O923" s="59"/>
      <c r="P923" s="59"/>
      <c r="Q923" s="59"/>
      <c r="R923" s="59"/>
    </row>
    <row r="924">
      <c r="A924" s="66" t="s">
        <v>2608</v>
      </c>
      <c r="B924" s="66">
        <v>51.0</v>
      </c>
      <c r="C924" s="66">
        <v>37.0</v>
      </c>
      <c r="D924" s="24" t="s">
        <v>136</v>
      </c>
      <c r="E924" s="24" t="s">
        <v>976</v>
      </c>
      <c r="F924" s="66" t="s">
        <v>2609</v>
      </c>
      <c r="G924" s="66">
        <v>38.0</v>
      </c>
      <c r="H924" s="66">
        <v>4.0</v>
      </c>
      <c r="I924" s="66">
        <v>2.0</v>
      </c>
      <c r="J924" s="24" t="s">
        <v>29</v>
      </c>
      <c r="K924" s="67">
        <v>80313.0</v>
      </c>
      <c r="L924" s="59"/>
      <c r="M924" s="59"/>
      <c r="N924" s="59"/>
      <c r="O924" s="59"/>
      <c r="P924" s="59"/>
      <c r="Q924" s="59"/>
      <c r="R924" s="59"/>
    </row>
    <row r="925">
      <c r="A925" s="66" t="s">
        <v>2610</v>
      </c>
      <c r="B925" s="66">
        <v>82.0</v>
      </c>
      <c r="C925" s="66">
        <v>59.0</v>
      </c>
      <c r="D925" s="24" t="s">
        <v>734</v>
      </c>
      <c r="E925" s="24" t="s">
        <v>97</v>
      </c>
      <c r="F925" s="66" t="s">
        <v>2611</v>
      </c>
      <c r="G925" s="66">
        <v>79.0</v>
      </c>
      <c r="H925" s="66">
        <v>3.0</v>
      </c>
      <c r="I925" s="66">
        <v>9.0</v>
      </c>
      <c r="J925" s="24" t="s">
        <v>33</v>
      </c>
      <c r="K925" s="67">
        <v>60120.0</v>
      </c>
      <c r="L925" s="59"/>
      <c r="M925" s="59"/>
      <c r="N925" s="59"/>
      <c r="O925" s="59"/>
      <c r="P925" s="59"/>
      <c r="Q925" s="59"/>
      <c r="R925" s="59"/>
    </row>
    <row r="926">
      <c r="A926" s="66" t="s">
        <v>2612</v>
      </c>
      <c r="B926" s="66">
        <v>32.0</v>
      </c>
      <c r="C926" s="66">
        <v>71.0</v>
      </c>
      <c r="D926" s="24" t="s">
        <v>463</v>
      </c>
      <c r="E926" s="24" t="s">
        <v>1256</v>
      </c>
      <c r="F926" s="66" t="s">
        <v>2613</v>
      </c>
      <c r="G926" s="66">
        <v>58.0</v>
      </c>
      <c r="H926" s="66">
        <v>9.0</v>
      </c>
      <c r="I926" s="66">
        <v>2.0</v>
      </c>
      <c r="J926" s="24" t="s">
        <v>39</v>
      </c>
      <c r="K926" s="67">
        <v>122623.0</v>
      </c>
      <c r="L926" s="59"/>
      <c r="M926" s="59"/>
      <c r="N926" s="59"/>
      <c r="O926" s="59"/>
      <c r="P926" s="59"/>
      <c r="Q926" s="59"/>
      <c r="R926" s="59"/>
    </row>
    <row r="927">
      <c r="A927" s="66" t="s">
        <v>2614</v>
      </c>
      <c r="B927" s="66">
        <v>88.0</v>
      </c>
      <c r="C927" s="66">
        <v>11.0</v>
      </c>
      <c r="D927" s="24" t="s">
        <v>296</v>
      </c>
      <c r="E927" s="24" t="s">
        <v>137</v>
      </c>
      <c r="F927" s="66" t="s">
        <v>2615</v>
      </c>
      <c r="G927" s="66">
        <v>38.0</v>
      </c>
      <c r="H927" s="66">
        <v>4.0</v>
      </c>
      <c r="I927" s="66">
        <v>5.0</v>
      </c>
      <c r="J927" s="24" t="s">
        <v>29</v>
      </c>
      <c r="K927" s="67">
        <v>112613.0</v>
      </c>
      <c r="L927" s="59"/>
      <c r="M927" s="59"/>
      <c r="N927" s="59"/>
      <c r="O927" s="59"/>
      <c r="P927" s="59"/>
      <c r="Q927" s="59"/>
      <c r="R927" s="59"/>
    </row>
    <row r="928">
      <c r="A928" s="66" t="s">
        <v>2616</v>
      </c>
      <c r="B928" s="66">
        <v>89.0</v>
      </c>
      <c r="C928" s="66">
        <v>27.0</v>
      </c>
      <c r="D928" s="24" t="s">
        <v>115</v>
      </c>
      <c r="E928" s="24" t="s">
        <v>672</v>
      </c>
      <c r="F928" s="66" t="s">
        <v>2617</v>
      </c>
      <c r="G928" s="66">
        <v>79.0</v>
      </c>
      <c r="H928" s="66">
        <v>4.0</v>
      </c>
      <c r="I928" s="66">
        <v>1.0</v>
      </c>
      <c r="J928" s="24" t="s">
        <v>31</v>
      </c>
      <c r="K928" s="67">
        <v>62615.0</v>
      </c>
      <c r="L928" s="59"/>
      <c r="M928" s="59"/>
      <c r="N928" s="59"/>
      <c r="O928" s="59"/>
      <c r="P928" s="59"/>
      <c r="Q928" s="59"/>
      <c r="R928" s="59"/>
    </row>
    <row r="929">
      <c r="A929" s="66" t="s">
        <v>2618</v>
      </c>
      <c r="B929" s="66">
        <v>56.0</v>
      </c>
      <c r="C929" s="66">
        <v>30.0</v>
      </c>
      <c r="D929" s="24" t="s">
        <v>2619</v>
      </c>
      <c r="E929" s="24" t="s">
        <v>1833</v>
      </c>
      <c r="F929" s="66" t="s">
        <v>2620</v>
      </c>
      <c r="G929" s="66">
        <v>58.0</v>
      </c>
      <c r="H929" s="66">
        <v>9.0</v>
      </c>
      <c r="I929" s="66">
        <v>4.0</v>
      </c>
      <c r="J929" s="24" t="s">
        <v>31</v>
      </c>
      <c r="K929" s="67">
        <v>122813.0</v>
      </c>
      <c r="L929" s="59"/>
      <c r="M929" s="59"/>
      <c r="N929" s="59"/>
      <c r="O929" s="59"/>
      <c r="P929" s="59"/>
      <c r="Q929" s="59"/>
      <c r="R929" s="59"/>
    </row>
    <row r="930">
      <c r="A930" s="66" t="s">
        <v>2621</v>
      </c>
      <c r="B930" s="66">
        <v>11.0</v>
      </c>
      <c r="C930" s="66">
        <v>14.0</v>
      </c>
      <c r="D930" s="24" t="s">
        <v>28</v>
      </c>
      <c r="E930" s="24" t="s">
        <v>487</v>
      </c>
      <c r="F930" s="66" t="s">
        <v>2622</v>
      </c>
      <c r="G930" s="66">
        <v>99.0</v>
      </c>
      <c r="H930" s="66">
        <v>9.0</v>
      </c>
      <c r="I930" s="66">
        <v>3.0</v>
      </c>
      <c r="J930" s="24" t="s">
        <v>48</v>
      </c>
      <c r="K930" s="67">
        <v>51516.0</v>
      </c>
      <c r="L930" s="59"/>
      <c r="M930" s="59"/>
      <c r="N930" s="59"/>
      <c r="O930" s="59"/>
      <c r="P930" s="59"/>
      <c r="Q930" s="59"/>
      <c r="R930" s="59"/>
    </row>
    <row r="931">
      <c r="A931" s="66" t="s">
        <v>2623</v>
      </c>
      <c r="B931" s="66">
        <v>73.0</v>
      </c>
      <c r="C931" s="66">
        <v>88.0</v>
      </c>
      <c r="D931" s="24" t="s">
        <v>118</v>
      </c>
      <c r="E931" s="24" t="s">
        <v>365</v>
      </c>
      <c r="F931" s="66" t="s">
        <v>2624</v>
      </c>
      <c r="G931" s="66">
        <v>58.0</v>
      </c>
      <c r="H931" s="66">
        <v>9.0</v>
      </c>
      <c r="I931" s="66">
        <v>8.0</v>
      </c>
      <c r="J931" s="24" t="s">
        <v>29</v>
      </c>
      <c r="K931" s="67">
        <v>71114.0</v>
      </c>
      <c r="L931" s="59"/>
      <c r="M931" s="59"/>
      <c r="N931" s="59"/>
      <c r="O931" s="59"/>
      <c r="P931" s="59"/>
      <c r="Q931" s="59"/>
      <c r="R931" s="59"/>
    </row>
    <row r="932">
      <c r="A932" s="66" t="s">
        <v>2625</v>
      </c>
      <c r="B932" s="66">
        <v>88.0</v>
      </c>
      <c r="C932" s="66">
        <v>41.0</v>
      </c>
      <c r="D932" s="24" t="s">
        <v>336</v>
      </c>
      <c r="E932" s="24" t="s">
        <v>640</v>
      </c>
      <c r="F932" s="66" t="s">
        <v>2626</v>
      </c>
      <c r="G932" s="66">
        <v>99.0</v>
      </c>
      <c r="H932" s="66">
        <v>9.0</v>
      </c>
      <c r="I932" s="66">
        <v>5.0</v>
      </c>
      <c r="J932" s="24" t="s">
        <v>48</v>
      </c>
      <c r="K932" s="67">
        <v>11118.0</v>
      </c>
      <c r="L932" s="59"/>
      <c r="M932" s="59"/>
      <c r="N932" s="59"/>
      <c r="O932" s="59"/>
      <c r="P932" s="59"/>
      <c r="Q932" s="59"/>
      <c r="R932" s="59"/>
    </row>
    <row r="933">
      <c r="A933" s="66" t="s">
        <v>2627</v>
      </c>
      <c r="B933" s="66">
        <v>39.0</v>
      </c>
      <c r="C933" s="66">
        <v>55.0</v>
      </c>
      <c r="D933" s="24" t="s">
        <v>499</v>
      </c>
      <c r="E933" s="24" t="s">
        <v>404</v>
      </c>
      <c r="F933" s="66" t="s">
        <v>2628</v>
      </c>
      <c r="G933" s="66">
        <v>38.0</v>
      </c>
      <c r="H933" s="66">
        <v>5.0</v>
      </c>
      <c r="I933" s="66">
        <v>6.0</v>
      </c>
      <c r="J933" s="24" t="s">
        <v>39</v>
      </c>
      <c r="K933" s="67">
        <v>10816.0</v>
      </c>
      <c r="L933" s="59"/>
      <c r="M933" s="59"/>
      <c r="N933" s="59"/>
      <c r="O933" s="59"/>
      <c r="P933" s="59"/>
      <c r="Q933" s="59"/>
      <c r="R933" s="59"/>
    </row>
    <row r="934">
      <c r="A934" s="66" t="s">
        <v>2629</v>
      </c>
      <c r="B934" s="66">
        <v>98.0</v>
      </c>
      <c r="C934" s="66">
        <v>54.0</v>
      </c>
      <c r="D934" s="24" t="s">
        <v>519</v>
      </c>
      <c r="E934" s="24" t="s">
        <v>467</v>
      </c>
      <c r="F934" s="66" t="s">
        <v>2630</v>
      </c>
      <c r="G934" s="66">
        <v>38.0</v>
      </c>
      <c r="H934" s="66">
        <v>5.0</v>
      </c>
      <c r="I934" s="66">
        <v>9.0</v>
      </c>
      <c r="J934" s="24" t="s">
        <v>39</v>
      </c>
      <c r="K934" s="67">
        <v>50517.0</v>
      </c>
      <c r="L934" s="59"/>
      <c r="M934" s="59"/>
      <c r="N934" s="59"/>
      <c r="O934" s="59"/>
      <c r="P934" s="59"/>
      <c r="Q934" s="59"/>
      <c r="R934" s="59"/>
    </row>
    <row r="935">
      <c r="A935" s="66" t="s">
        <v>2631</v>
      </c>
      <c r="B935" s="66">
        <v>31.0</v>
      </c>
      <c r="C935" s="66">
        <v>21.0</v>
      </c>
      <c r="D935" s="24" t="s">
        <v>640</v>
      </c>
      <c r="E935" s="24" t="s">
        <v>770</v>
      </c>
      <c r="F935" s="66" t="s">
        <v>2632</v>
      </c>
      <c r="G935" s="66">
        <v>18.0</v>
      </c>
      <c r="H935" s="66">
        <v>1.0</v>
      </c>
      <c r="I935" s="66">
        <v>2.0</v>
      </c>
      <c r="J935" s="24" t="s">
        <v>39</v>
      </c>
      <c r="K935" s="67">
        <v>80922.0</v>
      </c>
      <c r="L935" s="59"/>
      <c r="M935" s="59"/>
      <c r="N935" s="59"/>
      <c r="O935" s="59"/>
      <c r="P935" s="59"/>
      <c r="Q935" s="59"/>
      <c r="R935" s="59"/>
    </row>
    <row r="936">
      <c r="A936" s="66" t="s">
        <v>2633</v>
      </c>
      <c r="B936" s="66">
        <v>39.0</v>
      </c>
      <c r="C936" s="66">
        <v>60.0</v>
      </c>
      <c r="D936" s="24" t="s">
        <v>457</v>
      </c>
      <c r="E936" s="24" t="s">
        <v>764</v>
      </c>
      <c r="F936" s="66" t="s">
        <v>2634</v>
      </c>
      <c r="G936" s="66">
        <v>18.0</v>
      </c>
      <c r="H936" s="66">
        <v>1.0</v>
      </c>
      <c r="I936" s="66">
        <v>3.0</v>
      </c>
      <c r="J936" s="24" t="s">
        <v>31</v>
      </c>
      <c r="K936" s="67">
        <v>22816.0</v>
      </c>
      <c r="L936" s="59"/>
      <c r="M936" s="59"/>
      <c r="N936" s="59"/>
      <c r="O936" s="59"/>
      <c r="P936" s="59"/>
      <c r="Q936" s="59"/>
      <c r="R936" s="59"/>
    </row>
    <row r="937">
      <c r="A937" s="66" t="s">
        <v>2635</v>
      </c>
      <c r="B937" s="66">
        <v>87.0</v>
      </c>
      <c r="C937" s="66">
        <v>27.0</v>
      </c>
      <c r="D937" s="24" t="s">
        <v>1327</v>
      </c>
      <c r="E937" s="24" t="s">
        <v>233</v>
      </c>
      <c r="F937" s="66" t="s">
        <v>2636</v>
      </c>
      <c r="G937" s="66">
        <v>79.0</v>
      </c>
      <c r="H937" s="66">
        <v>5.0</v>
      </c>
      <c r="I937" s="66">
        <v>7.0</v>
      </c>
      <c r="J937" s="24" t="s">
        <v>39</v>
      </c>
      <c r="K937" s="67">
        <v>11017.0</v>
      </c>
      <c r="L937" s="59"/>
      <c r="M937" s="59"/>
      <c r="N937" s="59"/>
      <c r="O937" s="59"/>
      <c r="P937" s="59"/>
      <c r="Q937" s="59"/>
      <c r="R937" s="59"/>
    </row>
    <row r="938">
      <c r="A938" s="66" t="s">
        <v>2637</v>
      </c>
      <c r="B938" s="66">
        <v>66.0</v>
      </c>
      <c r="C938" s="66">
        <v>83.0</v>
      </c>
      <c r="D938" s="24" t="s">
        <v>128</v>
      </c>
      <c r="E938" s="24" t="s">
        <v>156</v>
      </c>
      <c r="F938" s="66" t="s">
        <v>2638</v>
      </c>
      <c r="G938" s="66">
        <v>59.0</v>
      </c>
      <c r="H938" s="66">
        <v>1.0</v>
      </c>
      <c r="I938" s="66">
        <v>3.0</v>
      </c>
      <c r="J938" s="24" t="s">
        <v>31</v>
      </c>
      <c r="K938" s="67">
        <v>22820.0</v>
      </c>
      <c r="L938" s="59"/>
      <c r="M938" s="59"/>
      <c r="N938" s="59"/>
      <c r="O938" s="59"/>
      <c r="P938" s="59"/>
      <c r="Q938" s="59"/>
      <c r="R938" s="59"/>
    </row>
    <row r="939">
      <c r="A939" s="66" t="s">
        <v>2639</v>
      </c>
      <c r="B939" s="66">
        <v>23.0</v>
      </c>
      <c r="C939" s="66">
        <v>23.0</v>
      </c>
      <c r="D939" s="24" t="s">
        <v>385</v>
      </c>
      <c r="E939" s="24" t="s">
        <v>542</v>
      </c>
      <c r="F939" s="66" t="s">
        <v>2640</v>
      </c>
      <c r="G939" s="66">
        <v>38.0</v>
      </c>
      <c r="H939" s="66">
        <v>6.0</v>
      </c>
      <c r="I939" s="66">
        <v>9.0</v>
      </c>
      <c r="J939" s="24" t="s">
        <v>31</v>
      </c>
      <c r="K939" s="67">
        <v>22420.0</v>
      </c>
      <c r="L939" s="59"/>
      <c r="M939" s="59"/>
      <c r="N939" s="59"/>
      <c r="O939" s="59"/>
      <c r="P939" s="59"/>
      <c r="Q939" s="59"/>
      <c r="R939" s="59"/>
    </row>
    <row r="940">
      <c r="A940" s="66" t="s">
        <v>2641</v>
      </c>
      <c r="B940" s="66">
        <v>74.0</v>
      </c>
      <c r="C940" s="66">
        <v>90.0</v>
      </c>
      <c r="D940" s="24" t="s">
        <v>478</v>
      </c>
      <c r="E940" s="24" t="s">
        <v>354</v>
      </c>
      <c r="F940" s="66" t="s">
        <v>2642</v>
      </c>
      <c r="G940" s="66">
        <v>38.0</v>
      </c>
      <c r="H940" s="66">
        <v>7.0</v>
      </c>
      <c r="I940" s="66">
        <v>2.0</v>
      </c>
      <c r="J940" s="24" t="s">
        <v>31</v>
      </c>
      <c r="K940" s="67">
        <v>102018.0</v>
      </c>
      <c r="L940" s="59"/>
      <c r="M940" s="59"/>
      <c r="N940" s="59"/>
      <c r="O940" s="59"/>
      <c r="P940" s="59"/>
      <c r="Q940" s="59"/>
      <c r="R940" s="59"/>
    </row>
    <row r="941">
      <c r="A941" s="66" t="s">
        <v>2643</v>
      </c>
      <c r="B941" s="66">
        <v>36.0</v>
      </c>
      <c r="C941" s="66">
        <v>59.0</v>
      </c>
      <c r="D941" s="24" t="s">
        <v>54</v>
      </c>
      <c r="E941" s="24" t="s">
        <v>1066</v>
      </c>
      <c r="F941" s="66" t="s">
        <v>2644</v>
      </c>
      <c r="G941" s="66">
        <v>79.0</v>
      </c>
      <c r="H941" s="66">
        <v>6.0</v>
      </c>
      <c r="I941" s="66">
        <v>8.0</v>
      </c>
      <c r="J941" s="24" t="s">
        <v>31</v>
      </c>
      <c r="K941" s="67">
        <v>21219.0</v>
      </c>
      <c r="L941" s="59"/>
      <c r="M941" s="59"/>
      <c r="N941" s="59"/>
      <c r="O941" s="59"/>
      <c r="P941" s="59"/>
      <c r="Q941" s="59"/>
      <c r="R941" s="59"/>
    </row>
    <row r="942">
      <c r="A942" s="66" t="s">
        <v>2645</v>
      </c>
      <c r="B942" s="66">
        <v>47.0</v>
      </c>
      <c r="C942" s="66">
        <v>94.0</v>
      </c>
      <c r="D942" s="24" t="s">
        <v>177</v>
      </c>
      <c r="E942" s="24" t="s">
        <v>1381</v>
      </c>
      <c r="F942" s="66" t="s">
        <v>2646</v>
      </c>
      <c r="G942" s="66">
        <v>59.0</v>
      </c>
      <c r="H942" s="66">
        <v>2.0</v>
      </c>
      <c r="I942" s="66">
        <v>2.0</v>
      </c>
      <c r="J942" s="24" t="s">
        <v>29</v>
      </c>
      <c r="K942" s="67">
        <v>71913.0</v>
      </c>
      <c r="L942" s="59"/>
      <c r="M942" s="59"/>
      <c r="N942" s="59"/>
      <c r="O942" s="59"/>
      <c r="P942" s="59"/>
      <c r="Q942" s="59"/>
      <c r="R942" s="59"/>
    </row>
    <row r="943">
      <c r="A943" s="66" t="s">
        <v>2647</v>
      </c>
      <c r="B943" s="66">
        <v>90.0</v>
      </c>
      <c r="C943" s="66">
        <v>45.0</v>
      </c>
      <c r="D943" s="24" t="s">
        <v>2648</v>
      </c>
      <c r="E943" s="24" t="s">
        <v>78</v>
      </c>
      <c r="F943" s="66" t="s">
        <v>2649</v>
      </c>
      <c r="G943" s="66">
        <v>59.0</v>
      </c>
      <c r="H943" s="66">
        <v>2.0</v>
      </c>
      <c r="I943" s="66">
        <v>5.0</v>
      </c>
      <c r="J943" s="24" t="s">
        <v>39</v>
      </c>
      <c r="K943" s="67">
        <v>112623.0</v>
      </c>
      <c r="L943" s="59"/>
      <c r="M943" s="59"/>
      <c r="N943" s="59"/>
      <c r="O943" s="59"/>
      <c r="P943" s="59"/>
      <c r="Q943" s="59"/>
      <c r="R943" s="59"/>
    </row>
    <row r="944">
      <c r="A944" s="66" t="s">
        <v>2650</v>
      </c>
      <c r="B944" s="66">
        <v>10.0</v>
      </c>
      <c r="C944" s="66">
        <v>11.0</v>
      </c>
      <c r="D944" s="24" t="s">
        <v>88</v>
      </c>
      <c r="E944" s="24" t="s">
        <v>95</v>
      </c>
      <c r="F944" s="66" t="s">
        <v>2651</v>
      </c>
      <c r="G944" s="66">
        <v>38.0</v>
      </c>
      <c r="H944" s="66">
        <v>7.0</v>
      </c>
      <c r="I944" s="66">
        <v>7.0</v>
      </c>
      <c r="J944" s="24" t="s">
        <v>31</v>
      </c>
      <c r="K944" s="67">
        <v>51616.0</v>
      </c>
      <c r="L944" s="59"/>
      <c r="M944" s="59"/>
      <c r="N944" s="59"/>
      <c r="O944" s="59"/>
      <c r="P944" s="59"/>
      <c r="Q944" s="59"/>
      <c r="R944" s="59"/>
    </row>
    <row r="945">
      <c r="A945" s="66" t="s">
        <v>2652</v>
      </c>
      <c r="B945" s="66">
        <v>47.0</v>
      </c>
      <c r="C945" s="66">
        <v>93.0</v>
      </c>
      <c r="D945" s="24" t="s">
        <v>343</v>
      </c>
      <c r="E945" s="24" t="s">
        <v>111</v>
      </c>
      <c r="F945" s="66" t="s">
        <v>2653</v>
      </c>
      <c r="G945" s="66">
        <v>79.0</v>
      </c>
      <c r="H945" s="66">
        <v>7.0</v>
      </c>
      <c r="I945" s="66">
        <v>6.0</v>
      </c>
      <c r="J945" s="24" t="s">
        <v>31</v>
      </c>
      <c r="K945" s="67">
        <v>40614.0</v>
      </c>
      <c r="L945" s="59"/>
      <c r="M945" s="59"/>
      <c r="N945" s="59"/>
      <c r="O945" s="59"/>
      <c r="P945" s="59"/>
      <c r="Q945" s="59"/>
      <c r="R945" s="59"/>
    </row>
    <row r="946">
      <c r="A946" s="66" t="s">
        <v>2654</v>
      </c>
      <c r="B946" s="66">
        <v>36.0</v>
      </c>
      <c r="C946" s="66">
        <v>94.0</v>
      </c>
      <c r="D946" s="24" t="s">
        <v>516</v>
      </c>
      <c r="E946" s="24" t="s">
        <v>872</v>
      </c>
      <c r="F946" s="66" t="s">
        <v>2655</v>
      </c>
      <c r="G946" s="66">
        <v>59.0</v>
      </c>
      <c r="H946" s="66">
        <v>3.0</v>
      </c>
      <c r="I946" s="66">
        <v>2.0</v>
      </c>
      <c r="J946" s="24" t="s">
        <v>31</v>
      </c>
      <c r="K946" s="67">
        <v>62814.0</v>
      </c>
      <c r="L946" s="59"/>
      <c r="M946" s="59"/>
      <c r="N946" s="59"/>
      <c r="O946" s="59"/>
      <c r="P946" s="59"/>
      <c r="Q946" s="59"/>
      <c r="R946" s="59"/>
    </row>
    <row r="947">
      <c r="A947" s="66" t="s">
        <v>2656</v>
      </c>
      <c r="B947" s="66">
        <v>13.0</v>
      </c>
      <c r="C947" s="66">
        <v>10.0</v>
      </c>
      <c r="D947" s="24" t="s">
        <v>1612</v>
      </c>
      <c r="E947" s="24" t="s">
        <v>474</v>
      </c>
      <c r="F947" s="66" t="s">
        <v>2657</v>
      </c>
      <c r="G947" s="66">
        <v>18.0</v>
      </c>
      <c r="H947" s="66">
        <v>3.0</v>
      </c>
      <c r="I947" s="66">
        <v>7.0</v>
      </c>
      <c r="J947" s="24" t="s">
        <v>31</v>
      </c>
      <c r="K947" s="67">
        <v>10117.0</v>
      </c>
      <c r="L947" s="59"/>
      <c r="M947" s="59"/>
      <c r="N947" s="59"/>
      <c r="O947" s="59"/>
      <c r="P947" s="59"/>
      <c r="Q947" s="59"/>
      <c r="R947" s="59"/>
    </row>
    <row r="948">
      <c r="A948" s="66" t="s">
        <v>2658</v>
      </c>
      <c r="B948" s="66">
        <v>36.0</v>
      </c>
      <c r="C948" s="66">
        <v>25.0</v>
      </c>
      <c r="D948" s="24" t="s">
        <v>499</v>
      </c>
      <c r="E948" s="24" t="s">
        <v>44</v>
      </c>
      <c r="F948" s="66" t="s">
        <v>2659</v>
      </c>
      <c r="G948" s="66">
        <v>38.0</v>
      </c>
      <c r="H948" s="66">
        <v>8.0</v>
      </c>
      <c r="I948" s="66">
        <v>9.0</v>
      </c>
      <c r="J948" s="24" t="s">
        <v>48</v>
      </c>
      <c r="K948" s="67">
        <v>112716.0</v>
      </c>
      <c r="L948" s="59"/>
      <c r="M948" s="59"/>
      <c r="N948" s="59"/>
      <c r="O948" s="59"/>
      <c r="P948" s="59"/>
      <c r="Q948" s="59"/>
      <c r="R948" s="59"/>
    </row>
    <row r="949">
      <c r="A949" s="66" t="s">
        <v>2660</v>
      </c>
      <c r="B949" s="66">
        <v>31.0</v>
      </c>
      <c r="C949" s="66">
        <v>68.0</v>
      </c>
      <c r="D949" s="24" t="s">
        <v>491</v>
      </c>
      <c r="E949" s="24" t="s">
        <v>28</v>
      </c>
      <c r="F949" s="66" t="s">
        <v>2661</v>
      </c>
      <c r="G949" s="66">
        <v>59.0</v>
      </c>
      <c r="H949" s="66">
        <v>3.0</v>
      </c>
      <c r="I949" s="66">
        <v>8.0</v>
      </c>
      <c r="J949" s="24" t="s">
        <v>48</v>
      </c>
      <c r="K949" s="67">
        <v>81813.0</v>
      </c>
      <c r="L949" s="59"/>
      <c r="M949" s="59"/>
      <c r="N949" s="59"/>
      <c r="O949" s="59"/>
      <c r="P949" s="59"/>
      <c r="Q949" s="59"/>
      <c r="R949" s="59"/>
    </row>
    <row r="950">
      <c r="A950" s="66" t="s">
        <v>2662</v>
      </c>
      <c r="B950" s="66">
        <v>26.0</v>
      </c>
      <c r="C950" s="66">
        <v>39.0</v>
      </c>
      <c r="D950" s="24" t="s">
        <v>278</v>
      </c>
      <c r="E950" s="24" t="s">
        <v>141</v>
      </c>
      <c r="F950" s="66" t="s">
        <v>2663</v>
      </c>
      <c r="G950" s="66">
        <v>59.0</v>
      </c>
      <c r="H950" s="66">
        <v>3.0</v>
      </c>
      <c r="I950" s="66">
        <v>9.0</v>
      </c>
      <c r="J950" s="24" t="s">
        <v>39</v>
      </c>
      <c r="K950" s="67">
        <v>91618.0</v>
      </c>
      <c r="L950" s="59"/>
      <c r="M950" s="59"/>
      <c r="N950" s="59"/>
      <c r="O950" s="59"/>
      <c r="P950" s="59"/>
      <c r="Q950" s="59"/>
      <c r="R950" s="59"/>
    </row>
    <row r="951">
      <c r="A951" s="66" t="s">
        <v>2664</v>
      </c>
      <c r="B951" s="66">
        <v>24.0</v>
      </c>
      <c r="C951" s="66">
        <v>76.0</v>
      </c>
      <c r="D951" s="24" t="s">
        <v>79</v>
      </c>
      <c r="E951" s="24" t="s">
        <v>1100</v>
      </c>
      <c r="F951" s="66" t="s">
        <v>2665</v>
      </c>
      <c r="G951" s="66">
        <v>59.0</v>
      </c>
      <c r="H951" s="66">
        <v>3.0</v>
      </c>
      <c r="I951" s="66">
        <v>7.0</v>
      </c>
      <c r="J951" s="24" t="s">
        <v>33</v>
      </c>
      <c r="K951" s="67">
        <v>32818.0</v>
      </c>
      <c r="L951" s="59"/>
      <c r="M951" s="59"/>
      <c r="N951" s="59"/>
      <c r="O951" s="59"/>
      <c r="P951" s="59"/>
      <c r="Q951" s="59"/>
      <c r="R951" s="59"/>
    </row>
    <row r="952">
      <c r="A952" s="66" t="s">
        <v>2666</v>
      </c>
      <c r="B952" s="66">
        <v>30.0</v>
      </c>
      <c r="C952" s="66">
        <v>82.0</v>
      </c>
      <c r="D952" s="24" t="s">
        <v>346</v>
      </c>
      <c r="E952" s="24" t="s">
        <v>2336</v>
      </c>
      <c r="F952" s="66">
        <v>3901.0</v>
      </c>
      <c r="G952" s="66">
        <v>79.0</v>
      </c>
      <c r="H952" s="66">
        <v>9.0</v>
      </c>
      <c r="I952" s="66">
        <v>1.0</v>
      </c>
      <c r="J952" s="24" t="s">
        <v>33</v>
      </c>
      <c r="K952" s="67">
        <v>81321.0</v>
      </c>
      <c r="L952" s="59"/>
      <c r="M952" s="59"/>
      <c r="N952" s="59"/>
      <c r="O952" s="59"/>
      <c r="P952" s="59"/>
      <c r="Q952" s="59"/>
      <c r="R952" s="59"/>
    </row>
    <row r="953">
      <c r="A953" s="66" t="s">
        <v>2667</v>
      </c>
      <c r="B953" s="66">
        <v>56.0</v>
      </c>
      <c r="C953" s="66">
        <v>45.0</v>
      </c>
      <c r="D953" s="24" t="s">
        <v>312</v>
      </c>
      <c r="E953" s="24" t="s">
        <v>315</v>
      </c>
      <c r="F953" s="66" t="s">
        <v>2668</v>
      </c>
      <c r="G953" s="66">
        <v>38.0</v>
      </c>
      <c r="H953" s="66">
        <v>9.0</v>
      </c>
      <c r="I953" s="66">
        <v>6.0</v>
      </c>
      <c r="J953" s="24" t="s">
        <v>48</v>
      </c>
      <c r="K953" s="67">
        <v>81121.0</v>
      </c>
      <c r="L953" s="59"/>
      <c r="M953" s="59"/>
      <c r="N953" s="59"/>
      <c r="O953" s="59"/>
      <c r="P953" s="59"/>
      <c r="Q953" s="59"/>
      <c r="R953" s="59"/>
    </row>
    <row r="954">
      <c r="A954" s="66" t="s">
        <v>2669</v>
      </c>
      <c r="B954" s="66">
        <v>48.0</v>
      </c>
      <c r="C954" s="66">
        <v>49.0</v>
      </c>
      <c r="D954" s="24" t="s">
        <v>362</v>
      </c>
      <c r="E954" s="24" t="s">
        <v>188</v>
      </c>
      <c r="F954" s="66" t="s">
        <v>2670</v>
      </c>
      <c r="G954" s="66">
        <v>18.0</v>
      </c>
      <c r="H954" s="66">
        <v>5.0</v>
      </c>
      <c r="I954" s="66">
        <v>2.0</v>
      </c>
      <c r="J954" s="24" t="s">
        <v>39</v>
      </c>
      <c r="K954" s="67">
        <v>51222.0</v>
      </c>
      <c r="L954" s="59"/>
      <c r="M954" s="59"/>
      <c r="N954" s="59"/>
      <c r="O954" s="59"/>
      <c r="P954" s="59"/>
      <c r="Q954" s="59"/>
      <c r="R954" s="59"/>
    </row>
    <row r="955">
      <c r="A955" s="66" t="s">
        <v>2671</v>
      </c>
      <c r="B955" s="66">
        <v>48.0</v>
      </c>
      <c r="C955" s="66">
        <v>81.0</v>
      </c>
      <c r="D955" s="24" t="s">
        <v>734</v>
      </c>
      <c r="E955" s="24" t="s">
        <v>240</v>
      </c>
      <c r="F955" s="66" t="s">
        <v>2672</v>
      </c>
      <c r="G955" s="66">
        <v>79.0</v>
      </c>
      <c r="H955" s="66">
        <v>9.0</v>
      </c>
      <c r="I955" s="66">
        <v>9.0</v>
      </c>
      <c r="J955" s="24" t="s">
        <v>39</v>
      </c>
      <c r="K955" s="67">
        <v>20222.0</v>
      </c>
      <c r="L955" s="59"/>
      <c r="M955" s="59"/>
      <c r="N955" s="59"/>
      <c r="O955" s="59"/>
      <c r="P955" s="59"/>
      <c r="Q955" s="59"/>
      <c r="R955" s="59"/>
    </row>
    <row r="956">
      <c r="A956" s="66" t="s">
        <v>2673</v>
      </c>
      <c r="B956" s="66">
        <v>75.0</v>
      </c>
      <c r="C956" s="66">
        <v>76.0</v>
      </c>
      <c r="D956" s="24" t="s">
        <v>127</v>
      </c>
      <c r="E956" s="24" t="s">
        <v>511</v>
      </c>
      <c r="F956" s="66" t="s">
        <v>2674</v>
      </c>
      <c r="G956" s="66">
        <v>59.0</v>
      </c>
      <c r="H956" s="66">
        <v>5.0</v>
      </c>
      <c r="I956" s="66">
        <v>4.0</v>
      </c>
      <c r="J956" s="24" t="s">
        <v>39</v>
      </c>
      <c r="K956" s="67">
        <v>101416.0</v>
      </c>
      <c r="L956" s="59"/>
      <c r="M956" s="59"/>
      <c r="N956" s="59"/>
      <c r="O956" s="59"/>
      <c r="P956" s="59"/>
      <c r="Q956" s="59"/>
      <c r="R956" s="59"/>
    </row>
    <row r="957">
      <c r="A957" s="66" t="s">
        <v>2675</v>
      </c>
      <c r="B957" s="66">
        <v>49.0</v>
      </c>
      <c r="C957" s="66">
        <v>80.0</v>
      </c>
      <c r="D957" s="24" t="s">
        <v>1624</v>
      </c>
      <c r="E957" s="24" t="s">
        <v>268</v>
      </c>
      <c r="F957" s="66" t="s">
        <v>2676</v>
      </c>
      <c r="G957" s="66">
        <v>18.0</v>
      </c>
      <c r="H957" s="66">
        <v>6.0</v>
      </c>
      <c r="I957" s="66">
        <v>1.0</v>
      </c>
      <c r="J957" s="24" t="s">
        <v>48</v>
      </c>
      <c r="K957" s="67">
        <v>62713.0</v>
      </c>
      <c r="L957" s="59"/>
      <c r="M957" s="59"/>
      <c r="N957" s="59"/>
      <c r="O957" s="59"/>
      <c r="P957" s="59"/>
      <c r="Q957" s="59"/>
      <c r="R957" s="59"/>
    </row>
    <row r="958">
      <c r="A958" s="66" t="s">
        <v>2677</v>
      </c>
      <c r="B958" s="66">
        <v>80.0</v>
      </c>
      <c r="C958" s="66">
        <v>18.0</v>
      </c>
      <c r="D958" s="24" t="s">
        <v>397</v>
      </c>
      <c r="E958" s="24" t="s">
        <v>484</v>
      </c>
      <c r="F958" s="66" t="s">
        <v>2678</v>
      </c>
      <c r="G958" s="66">
        <v>18.0</v>
      </c>
      <c r="H958" s="66">
        <v>6.0</v>
      </c>
      <c r="I958" s="66">
        <v>3.0</v>
      </c>
      <c r="J958" s="24" t="s">
        <v>48</v>
      </c>
      <c r="K958" s="67">
        <v>102321.0</v>
      </c>
      <c r="L958" s="59"/>
      <c r="M958" s="59"/>
      <c r="N958" s="59"/>
      <c r="O958" s="59"/>
      <c r="P958" s="59"/>
      <c r="Q958" s="59"/>
      <c r="R958" s="59"/>
    </row>
    <row r="959">
      <c r="A959" s="66" t="s">
        <v>2679</v>
      </c>
      <c r="B959" s="66">
        <v>71.0</v>
      </c>
      <c r="C959" s="66">
        <v>37.0</v>
      </c>
      <c r="D959" s="24" t="s">
        <v>373</v>
      </c>
      <c r="E959" s="24" t="s">
        <v>1245</v>
      </c>
      <c r="F959" s="66" t="s">
        <v>2680</v>
      </c>
      <c r="G959" s="66">
        <v>39.0</v>
      </c>
      <c r="H959" s="66">
        <v>1.0</v>
      </c>
      <c r="I959" s="66">
        <v>1.0</v>
      </c>
      <c r="J959" s="24" t="s">
        <v>33</v>
      </c>
      <c r="K959" s="67">
        <v>62720.0</v>
      </c>
      <c r="L959" s="59"/>
      <c r="M959" s="59"/>
      <c r="N959" s="59"/>
      <c r="O959" s="59"/>
      <c r="P959" s="59"/>
      <c r="Q959" s="59"/>
      <c r="R959" s="59"/>
    </row>
    <row r="960">
      <c r="A960" s="66" t="s">
        <v>2681</v>
      </c>
      <c r="B960" s="66">
        <v>85.0</v>
      </c>
      <c r="C960" s="66">
        <v>57.0</v>
      </c>
      <c r="D960" s="24" t="s">
        <v>287</v>
      </c>
      <c r="E960" s="24" t="s">
        <v>240</v>
      </c>
      <c r="F960" s="66" t="s">
        <v>2682</v>
      </c>
      <c r="G960" s="66">
        <v>18.0</v>
      </c>
      <c r="H960" s="66">
        <v>6.0</v>
      </c>
      <c r="I960" s="66">
        <v>8.0</v>
      </c>
      <c r="J960" s="24" t="s">
        <v>29</v>
      </c>
      <c r="K960" s="67">
        <v>120323.0</v>
      </c>
      <c r="L960" s="59"/>
      <c r="M960" s="59"/>
      <c r="N960" s="59"/>
      <c r="O960" s="59"/>
      <c r="P960" s="59"/>
      <c r="Q960" s="59"/>
      <c r="R960" s="59"/>
    </row>
    <row r="961">
      <c r="A961" s="66" t="s">
        <v>2683</v>
      </c>
      <c r="B961" s="66">
        <v>31.0</v>
      </c>
      <c r="C961" s="66">
        <v>61.0</v>
      </c>
      <c r="D961" s="24" t="s">
        <v>417</v>
      </c>
      <c r="E961" s="24" t="s">
        <v>408</v>
      </c>
      <c r="F961" s="66" t="s">
        <v>2684</v>
      </c>
      <c r="G961" s="66">
        <v>59.0</v>
      </c>
      <c r="H961" s="66">
        <v>7.0</v>
      </c>
      <c r="I961" s="66">
        <v>1.0</v>
      </c>
      <c r="J961" s="24" t="s">
        <v>29</v>
      </c>
      <c r="K961" s="67">
        <v>60220.0</v>
      </c>
      <c r="L961" s="59"/>
      <c r="M961" s="59"/>
      <c r="N961" s="59"/>
      <c r="O961" s="59"/>
      <c r="P961" s="59"/>
      <c r="Q961" s="59"/>
      <c r="R961" s="59"/>
    </row>
    <row r="962">
      <c r="A962" s="66" t="s">
        <v>2685</v>
      </c>
      <c r="B962" s="66">
        <v>27.0</v>
      </c>
      <c r="C962" s="66">
        <v>73.0</v>
      </c>
      <c r="D962" s="24" t="s">
        <v>495</v>
      </c>
      <c r="E962" s="24" t="s">
        <v>62</v>
      </c>
      <c r="F962" s="66" t="s">
        <v>2686</v>
      </c>
      <c r="G962" s="66">
        <v>18.0</v>
      </c>
      <c r="H962" s="66">
        <v>7.0</v>
      </c>
      <c r="I962" s="66">
        <v>6.0</v>
      </c>
      <c r="J962" s="24" t="s">
        <v>31</v>
      </c>
      <c r="K962" s="67">
        <v>82820.0</v>
      </c>
      <c r="L962" s="59"/>
      <c r="M962" s="59"/>
      <c r="N962" s="59"/>
      <c r="O962" s="59"/>
      <c r="P962" s="59"/>
      <c r="Q962" s="59"/>
      <c r="R962" s="59"/>
    </row>
    <row r="963">
      <c r="A963" s="66" t="s">
        <v>2687</v>
      </c>
      <c r="B963" s="66">
        <v>79.0</v>
      </c>
      <c r="C963" s="66">
        <v>89.0</v>
      </c>
      <c r="D963" s="24" t="s">
        <v>303</v>
      </c>
      <c r="E963" s="24" t="s">
        <v>347</v>
      </c>
      <c r="F963" s="66" t="s">
        <v>2688</v>
      </c>
      <c r="G963" s="66">
        <v>18.0</v>
      </c>
      <c r="H963" s="66">
        <v>7.0</v>
      </c>
      <c r="I963" s="66">
        <v>9.0</v>
      </c>
      <c r="J963" s="24" t="s">
        <v>48</v>
      </c>
      <c r="K963" s="67">
        <v>20222.0</v>
      </c>
      <c r="L963" s="59"/>
      <c r="M963" s="59"/>
      <c r="N963" s="59"/>
      <c r="O963" s="59"/>
      <c r="P963" s="59"/>
      <c r="Q963" s="59"/>
      <c r="R963" s="59"/>
    </row>
    <row r="964">
      <c r="A964" s="66" t="s">
        <v>2689</v>
      </c>
      <c r="B964" s="66">
        <v>92.0</v>
      </c>
      <c r="C964" s="66">
        <v>64.0</v>
      </c>
      <c r="D964" s="24" t="s">
        <v>543</v>
      </c>
      <c r="E964" s="24" t="s">
        <v>1287</v>
      </c>
      <c r="F964" s="66" t="s">
        <v>2690</v>
      </c>
      <c r="G964" s="66">
        <v>18.0</v>
      </c>
      <c r="H964" s="66">
        <v>8.0</v>
      </c>
      <c r="I964" s="66">
        <v>4.0</v>
      </c>
      <c r="J964" s="24" t="s">
        <v>33</v>
      </c>
      <c r="K964" s="67">
        <v>72620.0</v>
      </c>
      <c r="L964" s="59"/>
      <c r="M964" s="59"/>
      <c r="N964" s="59"/>
      <c r="O964" s="59"/>
      <c r="P964" s="59"/>
      <c r="Q964" s="59"/>
      <c r="R964" s="59"/>
    </row>
    <row r="965">
      <c r="A965" s="66" t="s">
        <v>2691</v>
      </c>
      <c r="B965" s="66">
        <v>13.0</v>
      </c>
      <c r="C965" s="66">
        <v>64.0</v>
      </c>
      <c r="D965" s="24" t="s">
        <v>299</v>
      </c>
      <c r="E965" s="24" t="s">
        <v>294</v>
      </c>
      <c r="F965" s="66" t="s">
        <v>2692</v>
      </c>
      <c r="G965" s="66">
        <v>39.0</v>
      </c>
      <c r="H965" s="66">
        <v>3.0</v>
      </c>
      <c r="I965" s="66">
        <v>5.0</v>
      </c>
      <c r="J965" s="24" t="s">
        <v>29</v>
      </c>
      <c r="K965" s="67">
        <v>111920.0</v>
      </c>
      <c r="L965" s="59"/>
      <c r="M965" s="59"/>
      <c r="N965" s="59"/>
      <c r="O965" s="59"/>
      <c r="P965" s="59"/>
      <c r="Q965" s="59"/>
      <c r="R965" s="59"/>
    </row>
    <row r="966">
      <c r="A966" s="66" t="s">
        <v>2693</v>
      </c>
      <c r="B966" s="66">
        <v>30.0</v>
      </c>
      <c r="C966" s="66">
        <v>12.0</v>
      </c>
      <c r="D966" s="24" t="s">
        <v>324</v>
      </c>
      <c r="E966" s="24" t="s">
        <v>142</v>
      </c>
      <c r="F966" s="66" t="s">
        <v>2694</v>
      </c>
      <c r="G966" s="66">
        <v>18.0</v>
      </c>
      <c r="H966" s="66">
        <v>8.0</v>
      </c>
      <c r="I966" s="66">
        <v>8.0</v>
      </c>
      <c r="J966" s="24" t="s">
        <v>33</v>
      </c>
      <c r="K966" s="67">
        <v>81722.0</v>
      </c>
      <c r="L966" s="59"/>
      <c r="M966" s="59"/>
      <c r="N966" s="59"/>
      <c r="O966" s="59"/>
      <c r="P966" s="59"/>
      <c r="Q966" s="59"/>
      <c r="R966" s="59"/>
    </row>
    <row r="967">
      <c r="A967" s="66" t="s">
        <v>2695</v>
      </c>
      <c r="B967" s="66">
        <v>95.0</v>
      </c>
      <c r="C967" s="66">
        <v>53.0</v>
      </c>
      <c r="D967" s="24" t="s">
        <v>1125</v>
      </c>
      <c r="E967" s="24" t="s">
        <v>2696</v>
      </c>
      <c r="F967" s="66" t="s">
        <v>2697</v>
      </c>
      <c r="G967" s="66">
        <v>39.0</v>
      </c>
      <c r="H967" s="66">
        <v>3.0</v>
      </c>
      <c r="I967" s="66">
        <v>6.0</v>
      </c>
      <c r="J967" s="24" t="s">
        <v>48</v>
      </c>
      <c r="K967" s="67">
        <v>20720.0</v>
      </c>
      <c r="L967" s="59"/>
      <c r="M967" s="59"/>
      <c r="N967" s="59"/>
      <c r="O967" s="59"/>
      <c r="P967" s="59"/>
      <c r="Q967" s="59"/>
      <c r="R967" s="59"/>
    </row>
    <row r="968">
      <c r="A968" s="66" t="s">
        <v>2698</v>
      </c>
      <c r="B968" s="66">
        <v>76.0</v>
      </c>
      <c r="C968" s="66">
        <v>26.0</v>
      </c>
      <c r="D968" s="24" t="s">
        <v>429</v>
      </c>
      <c r="E968" s="24" t="s">
        <v>206</v>
      </c>
      <c r="F968" s="66" t="s">
        <v>2699</v>
      </c>
      <c r="G968" s="66">
        <v>59.0</v>
      </c>
      <c r="H968" s="66">
        <v>8.0</v>
      </c>
      <c r="I968" s="66">
        <v>9.0</v>
      </c>
      <c r="J968" s="24" t="s">
        <v>29</v>
      </c>
      <c r="K968" s="67">
        <v>53017.0</v>
      </c>
      <c r="L968" s="59"/>
      <c r="M968" s="59"/>
      <c r="N968" s="59"/>
      <c r="O968" s="59"/>
      <c r="P968" s="59"/>
      <c r="Q968" s="59"/>
      <c r="R968" s="59"/>
    </row>
    <row r="969">
      <c r="A969" s="66" t="s">
        <v>2700</v>
      </c>
      <c r="B969" s="66">
        <v>34.0</v>
      </c>
      <c r="C969" s="66">
        <v>40.0</v>
      </c>
      <c r="D969" s="24" t="s">
        <v>36</v>
      </c>
      <c r="E969" s="24" t="s">
        <v>227</v>
      </c>
      <c r="F969" s="66" t="s">
        <v>2701</v>
      </c>
      <c r="G969" s="66">
        <v>39.0</v>
      </c>
      <c r="H969" s="66">
        <v>4.0</v>
      </c>
      <c r="I969" s="66">
        <v>5.0</v>
      </c>
      <c r="J969" s="24" t="s">
        <v>33</v>
      </c>
      <c r="K969" s="67">
        <v>42320.0</v>
      </c>
      <c r="L969" s="59"/>
      <c r="M969" s="59"/>
      <c r="N969" s="59"/>
      <c r="O969" s="59"/>
      <c r="P969" s="59"/>
      <c r="Q969" s="59"/>
      <c r="R969" s="59"/>
    </row>
    <row r="970">
      <c r="A970" s="66" t="s">
        <v>2702</v>
      </c>
      <c r="B970" s="66">
        <v>38.0</v>
      </c>
      <c r="C970" s="66">
        <v>51.0</v>
      </c>
      <c r="D970" s="24" t="s">
        <v>401</v>
      </c>
      <c r="E970" s="24" t="s">
        <v>431</v>
      </c>
      <c r="F970" s="66" t="s">
        <v>2703</v>
      </c>
      <c r="G970" s="66">
        <v>19.0</v>
      </c>
      <c r="H970" s="66">
        <v>1.0</v>
      </c>
      <c r="I970" s="66">
        <v>2.0</v>
      </c>
      <c r="J970" s="24" t="s">
        <v>33</v>
      </c>
      <c r="K970" s="67">
        <v>61913.0</v>
      </c>
      <c r="L970" s="59"/>
      <c r="M970" s="59"/>
      <c r="N970" s="59"/>
      <c r="O970" s="59"/>
      <c r="P970" s="59"/>
      <c r="Q970" s="59"/>
      <c r="R970" s="59"/>
    </row>
    <row r="971">
      <c r="A971" s="66" t="s">
        <v>2704</v>
      </c>
      <c r="B971" s="66">
        <v>83.0</v>
      </c>
      <c r="C971" s="66">
        <v>11.0</v>
      </c>
      <c r="D971" s="24" t="s">
        <v>348</v>
      </c>
      <c r="E971" s="24" t="s">
        <v>163</v>
      </c>
      <c r="F971" s="66" t="s">
        <v>2705</v>
      </c>
      <c r="G971" s="66">
        <v>39.0</v>
      </c>
      <c r="H971" s="66">
        <v>6.0</v>
      </c>
      <c r="I971" s="66">
        <v>3.0</v>
      </c>
      <c r="J971" s="24" t="s">
        <v>33</v>
      </c>
      <c r="K971" s="67">
        <v>110917.0</v>
      </c>
      <c r="L971" s="59"/>
      <c r="M971" s="59"/>
      <c r="N971" s="59"/>
      <c r="O971" s="59"/>
      <c r="P971" s="59"/>
      <c r="Q971" s="59"/>
      <c r="R971" s="59"/>
    </row>
    <row r="972">
      <c r="A972" s="66" t="s">
        <v>2706</v>
      </c>
      <c r="B972" s="66">
        <v>26.0</v>
      </c>
      <c r="C972" s="66">
        <v>28.0</v>
      </c>
      <c r="D972" s="24" t="s">
        <v>525</v>
      </c>
      <c r="E972" s="24" t="s">
        <v>259</v>
      </c>
      <c r="F972" s="66" t="s">
        <v>2707</v>
      </c>
      <c r="G972" s="66">
        <v>19.0</v>
      </c>
      <c r="H972" s="66">
        <v>1.0</v>
      </c>
      <c r="I972" s="66">
        <v>6.0</v>
      </c>
      <c r="J972" s="24" t="s">
        <v>31</v>
      </c>
      <c r="K972" s="67">
        <v>100721.0</v>
      </c>
      <c r="L972" s="59"/>
      <c r="M972" s="59"/>
      <c r="N972" s="59"/>
      <c r="O972" s="59"/>
      <c r="P972" s="59"/>
      <c r="Q972" s="59"/>
      <c r="R972" s="59"/>
    </row>
    <row r="973">
      <c r="A973" s="66" t="s">
        <v>2708</v>
      </c>
      <c r="B973" s="66">
        <v>71.0</v>
      </c>
      <c r="C973" s="66">
        <v>64.0</v>
      </c>
      <c r="D973" s="24" t="s">
        <v>322</v>
      </c>
      <c r="E973" s="24" t="s">
        <v>402</v>
      </c>
      <c r="F973" s="66" t="s">
        <v>2709</v>
      </c>
      <c r="G973" s="66">
        <v>56.0</v>
      </c>
      <c r="H973" s="66">
        <v>7.0</v>
      </c>
      <c r="I973" s="66">
        <v>3.0</v>
      </c>
      <c r="J973" s="24" t="s">
        <v>33</v>
      </c>
      <c r="K973" s="67">
        <v>21522.0</v>
      </c>
      <c r="L973" s="59"/>
      <c r="M973" s="59"/>
      <c r="N973" s="59"/>
      <c r="O973" s="59"/>
      <c r="P973" s="59"/>
      <c r="Q973" s="59"/>
      <c r="R973" s="59"/>
    </row>
    <row r="974">
      <c r="A974" s="66" t="s">
        <v>2710</v>
      </c>
      <c r="B974" s="66">
        <v>24.0</v>
      </c>
      <c r="C974" s="66">
        <v>37.0</v>
      </c>
      <c r="D974" s="24" t="s">
        <v>467</v>
      </c>
      <c r="E974" s="24" t="s">
        <v>45</v>
      </c>
      <c r="F974" s="66" t="s">
        <v>2711</v>
      </c>
      <c r="G974" s="66">
        <v>39.0</v>
      </c>
      <c r="H974" s="66">
        <v>7.0</v>
      </c>
      <c r="I974" s="66">
        <v>4.0</v>
      </c>
      <c r="J974" s="24" t="s">
        <v>31</v>
      </c>
      <c r="K974" s="67">
        <v>102413.0</v>
      </c>
      <c r="L974" s="59"/>
      <c r="M974" s="59"/>
      <c r="N974" s="59"/>
      <c r="O974" s="59"/>
      <c r="P974" s="59"/>
      <c r="Q974" s="59"/>
      <c r="R974" s="59"/>
    </row>
    <row r="975">
      <c r="A975" s="66" t="s">
        <v>2712</v>
      </c>
      <c r="B975" s="66">
        <v>93.0</v>
      </c>
      <c r="C975" s="66">
        <v>81.0</v>
      </c>
      <c r="D975" s="24" t="s">
        <v>1659</v>
      </c>
      <c r="E975" s="24" t="s">
        <v>125</v>
      </c>
      <c r="F975" s="66" t="s">
        <v>2713</v>
      </c>
      <c r="G975" s="66">
        <v>39.0</v>
      </c>
      <c r="H975" s="66">
        <v>8.0</v>
      </c>
      <c r="I975" s="66">
        <v>4.0</v>
      </c>
      <c r="J975" s="24" t="s">
        <v>29</v>
      </c>
      <c r="K975" s="67">
        <v>123013.0</v>
      </c>
      <c r="L975" s="59"/>
      <c r="M975" s="59"/>
      <c r="N975" s="59"/>
      <c r="O975" s="59"/>
      <c r="P975" s="59"/>
      <c r="Q975" s="59"/>
      <c r="R975" s="59"/>
    </row>
    <row r="976">
      <c r="A976" s="66" t="s">
        <v>2714</v>
      </c>
      <c r="B976" s="66">
        <v>22.0</v>
      </c>
      <c r="C976" s="66">
        <v>45.0</v>
      </c>
      <c r="D976" s="24" t="s">
        <v>295</v>
      </c>
      <c r="E976" s="24" t="s">
        <v>265</v>
      </c>
      <c r="F976" s="66" t="s">
        <v>2715</v>
      </c>
      <c r="G976" s="66">
        <v>39.0</v>
      </c>
      <c r="H976" s="66">
        <v>8.0</v>
      </c>
      <c r="I976" s="66">
        <v>8.0</v>
      </c>
      <c r="J976" s="24" t="s">
        <v>31</v>
      </c>
      <c r="K976" s="67">
        <v>12919.0</v>
      </c>
      <c r="L976" s="59"/>
      <c r="M976" s="59"/>
      <c r="N976" s="59"/>
      <c r="O976" s="59"/>
      <c r="P976" s="59"/>
      <c r="Q976" s="59"/>
      <c r="R976" s="59"/>
    </row>
    <row r="977">
      <c r="A977" s="66" t="s">
        <v>2716</v>
      </c>
      <c r="B977" s="66">
        <v>50.0</v>
      </c>
      <c r="C977" s="66">
        <v>38.0</v>
      </c>
      <c r="D977" s="24" t="s">
        <v>163</v>
      </c>
      <c r="E977" s="24" t="s">
        <v>52</v>
      </c>
      <c r="F977" s="66" t="s">
        <v>2717</v>
      </c>
      <c r="G977" s="66">
        <v>19.0</v>
      </c>
      <c r="H977" s="66">
        <v>4.0</v>
      </c>
      <c r="I977" s="66">
        <v>7.0</v>
      </c>
      <c r="J977" s="24" t="s">
        <v>31</v>
      </c>
      <c r="K977" s="67">
        <v>110515.0</v>
      </c>
      <c r="L977" s="59"/>
      <c r="M977" s="59"/>
      <c r="N977" s="59"/>
      <c r="O977" s="59"/>
      <c r="P977" s="59"/>
      <c r="Q977" s="59"/>
      <c r="R977" s="59"/>
    </row>
    <row r="978">
      <c r="A978" s="66" t="s">
        <v>2718</v>
      </c>
      <c r="B978" s="66">
        <v>84.0</v>
      </c>
      <c r="C978" s="66">
        <v>17.0</v>
      </c>
      <c r="D978" s="24" t="s">
        <v>391</v>
      </c>
      <c r="E978" s="24" t="s">
        <v>308</v>
      </c>
      <c r="F978" s="66" t="s">
        <v>2719</v>
      </c>
      <c r="G978" s="66">
        <v>19.0</v>
      </c>
      <c r="H978" s="66">
        <v>4.0</v>
      </c>
      <c r="I978" s="66">
        <v>9.0</v>
      </c>
      <c r="J978" s="24" t="s">
        <v>39</v>
      </c>
      <c r="K978" s="67">
        <v>121317.0</v>
      </c>
      <c r="L978" s="59"/>
      <c r="M978" s="59"/>
      <c r="N978" s="59"/>
      <c r="O978" s="59"/>
      <c r="P978" s="59"/>
      <c r="Q978" s="59"/>
      <c r="R978" s="59"/>
    </row>
    <row r="979">
      <c r="A979" s="66" t="s">
        <v>2720</v>
      </c>
      <c r="B979" s="66">
        <v>67.0</v>
      </c>
      <c r="C979" s="66">
        <v>40.0</v>
      </c>
      <c r="D979" s="24" t="s">
        <v>643</v>
      </c>
      <c r="E979" s="24" t="s">
        <v>816</v>
      </c>
      <c r="F979" s="66" t="s">
        <v>2721</v>
      </c>
      <c r="G979" s="66">
        <v>19.0</v>
      </c>
      <c r="H979" s="66">
        <v>5.0</v>
      </c>
      <c r="I979" s="66">
        <v>1.0</v>
      </c>
      <c r="J979" s="24" t="s">
        <v>39</v>
      </c>
      <c r="K979" s="67">
        <v>11820.0</v>
      </c>
      <c r="L979" s="59"/>
      <c r="M979" s="59"/>
      <c r="N979" s="59"/>
      <c r="O979" s="59"/>
      <c r="P979" s="59"/>
      <c r="Q979" s="59"/>
      <c r="R979" s="59"/>
    </row>
    <row r="980">
      <c r="A980" s="66" t="s">
        <v>2722</v>
      </c>
      <c r="B980" s="66">
        <v>75.0</v>
      </c>
      <c r="C980" s="66">
        <v>54.0</v>
      </c>
      <c r="D980" s="24" t="s">
        <v>347</v>
      </c>
      <c r="E980" s="24" t="s">
        <v>1780</v>
      </c>
      <c r="F980" s="66" t="s">
        <v>2723</v>
      </c>
      <c r="G980" s="66">
        <v>39.0</v>
      </c>
      <c r="H980" s="66">
        <v>9.0</v>
      </c>
      <c r="I980" s="66">
        <v>9.0</v>
      </c>
      <c r="J980" s="24" t="s">
        <v>39</v>
      </c>
      <c r="K980" s="67">
        <v>102516.0</v>
      </c>
      <c r="L980" s="59"/>
      <c r="M980" s="59"/>
      <c r="N980" s="59"/>
      <c r="O980" s="59"/>
      <c r="P980" s="59"/>
      <c r="Q980" s="59"/>
      <c r="R980" s="59"/>
    </row>
    <row r="981">
      <c r="A981" s="66" t="s">
        <v>2724</v>
      </c>
      <c r="B981" s="66">
        <v>12.0</v>
      </c>
      <c r="C981" s="66">
        <v>68.0</v>
      </c>
      <c r="D981" s="24" t="s">
        <v>307</v>
      </c>
      <c r="E981" s="24" t="s">
        <v>462</v>
      </c>
      <c r="F981" s="66" t="s">
        <v>2725</v>
      </c>
      <c r="G981" s="66">
        <v>19.0</v>
      </c>
      <c r="H981" s="66">
        <v>5.0</v>
      </c>
      <c r="I981" s="66">
        <v>3.0</v>
      </c>
      <c r="J981" s="24" t="s">
        <v>39</v>
      </c>
      <c r="K981" s="67">
        <v>31413.0</v>
      </c>
      <c r="L981" s="59"/>
      <c r="M981" s="59"/>
      <c r="N981" s="59"/>
      <c r="O981" s="59"/>
      <c r="P981" s="59"/>
      <c r="Q981" s="59"/>
      <c r="R981" s="59"/>
    </row>
    <row r="982">
      <c r="A982" s="66" t="s">
        <v>2726</v>
      </c>
      <c r="B982" s="66">
        <v>27.0</v>
      </c>
      <c r="C982" s="66">
        <v>29.0</v>
      </c>
      <c r="D982" s="24" t="s">
        <v>99</v>
      </c>
      <c r="E982" s="24" t="s">
        <v>391</v>
      </c>
      <c r="F982" s="66" t="s">
        <v>2727</v>
      </c>
      <c r="G982" s="66">
        <v>19.0</v>
      </c>
      <c r="H982" s="66">
        <v>5.0</v>
      </c>
      <c r="I982" s="66">
        <v>6.0</v>
      </c>
      <c r="J982" s="24" t="s">
        <v>29</v>
      </c>
      <c r="K982" s="67">
        <v>52421.0</v>
      </c>
      <c r="L982" s="59"/>
      <c r="M982" s="59"/>
      <c r="N982" s="59"/>
      <c r="O982" s="59"/>
      <c r="P982" s="59"/>
      <c r="Q982" s="59"/>
      <c r="R982" s="59"/>
    </row>
    <row r="983">
      <c r="A983" s="66" t="s">
        <v>2728</v>
      </c>
      <c r="B983" s="66">
        <v>40.0</v>
      </c>
      <c r="C983" s="66">
        <v>24.0</v>
      </c>
      <c r="D983" s="24" t="s">
        <v>460</v>
      </c>
      <c r="E983" s="24" t="s">
        <v>132</v>
      </c>
      <c r="F983" s="66" t="s">
        <v>2729</v>
      </c>
      <c r="G983" s="66">
        <v>19.0</v>
      </c>
      <c r="H983" s="66">
        <v>5.0</v>
      </c>
      <c r="I983" s="66">
        <v>8.0</v>
      </c>
      <c r="J983" s="24" t="s">
        <v>31</v>
      </c>
      <c r="K983" s="67">
        <v>72616.0</v>
      </c>
      <c r="L983" s="59"/>
      <c r="M983" s="59"/>
      <c r="N983" s="59"/>
      <c r="O983" s="59"/>
      <c r="P983" s="59"/>
      <c r="Q983" s="59"/>
      <c r="R983" s="59"/>
    </row>
    <row r="984">
      <c r="A984" s="66" t="s">
        <v>2730</v>
      </c>
      <c r="B984" s="66">
        <v>96.0</v>
      </c>
      <c r="C984" s="66">
        <v>71.0</v>
      </c>
      <c r="D984" s="24" t="s">
        <v>493</v>
      </c>
      <c r="E984" s="24" t="s">
        <v>535</v>
      </c>
      <c r="F984" s="66" t="s">
        <v>2731</v>
      </c>
      <c r="G984" s="66">
        <v>19.0</v>
      </c>
      <c r="H984" s="66">
        <v>6.0</v>
      </c>
      <c r="I984" s="66">
        <v>4.0</v>
      </c>
      <c r="J984" s="24" t="s">
        <v>33</v>
      </c>
      <c r="K984" s="67">
        <v>92014.0</v>
      </c>
      <c r="L984" s="59"/>
      <c r="M984" s="59"/>
      <c r="N984" s="59"/>
      <c r="O984" s="59"/>
      <c r="P984" s="59"/>
      <c r="Q984" s="59"/>
      <c r="R984" s="59"/>
    </row>
    <row r="985">
      <c r="A985" s="66" t="s">
        <v>2732</v>
      </c>
      <c r="B985" s="66">
        <v>71.0</v>
      </c>
      <c r="C985" s="66">
        <v>85.0</v>
      </c>
      <c r="D985" s="24" t="s">
        <v>211</v>
      </c>
      <c r="E985" s="24" t="s">
        <v>147</v>
      </c>
      <c r="F985" s="66" t="s">
        <v>2733</v>
      </c>
      <c r="G985" s="66">
        <v>19.0</v>
      </c>
      <c r="H985" s="66">
        <v>6.0</v>
      </c>
      <c r="I985" s="66">
        <v>7.0</v>
      </c>
      <c r="J985" s="24" t="s">
        <v>29</v>
      </c>
      <c r="K985" s="67">
        <v>52919.0</v>
      </c>
      <c r="L985" s="59"/>
      <c r="M985" s="59"/>
      <c r="N985" s="59"/>
      <c r="O985" s="59"/>
      <c r="P985" s="59"/>
      <c r="Q985" s="59"/>
      <c r="R985" s="59"/>
    </row>
    <row r="986">
      <c r="A986" s="66" t="s">
        <v>2734</v>
      </c>
      <c r="B986" s="66">
        <v>73.0</v>
      </c>
      <c r="C986" s="66">
        <v>99.0</v>
      </c>
      <c r="D986" s="24" t="s">
        <v>45</v>
      </c>
      <c r="E986" s="24" t="s">
        <v>675</v>
      </c>
      <c r="F986" s="66" t="s">
        <v>2735</v>
      </c>
      <c r="G986" s="66">
        <v>81.0</v>
      </c>
      <c r="H986" s="66">
        <v>1.0</v>
      </c>
      <c r="I986" s="66">
        <v>5.0</v>
      </c>
      <c r="J986" s="24" t="s">
        <v>48</v>
      </c>
      <c r="K986" s="67">
        <v>51414.0</v>
      </c>
      <c r="L986" s="59"/>
      <c r="M986" s="59"/>
      <c r="N986" s="59"/>
      <c r="O986" s="59"/>
      <c r="P986" s="59"/>
      <c r="Q986" s="59"/>
      <c r="R986" s="59"/>
    </row>
    <row r="987">
      <c r="A987" s="66" t="s">
        <v>2736</v>
      </c>
      <c r="B987" s="66">
        <v>49.0</v>
      </c>
      <c r="C987" s="66">
        <v>30.0</v>
      </c>
      <c r="D987" s="24" t="s">
        <v>269</v>
      </c>
      <c r="E987" s="24" t="s">
        <v>394</v>
      </c>
      <c r="F987" s="66" t="s">
        <v>2737</v>
      </c>
      <c r="G987" s="66">
        <v>81.0</v>
      </c>
      <c r="H987" s="66">
        <v>1.0</v>
      </c>
      <c r="I987" s="66">
        <v>9.0</v>
      </c>
      <c r="J987" s="24" t="s">
        <v>31</v>
      </c>
      <c r="K987" s="67">
        <v>50620.0</v>
      </c>
      <c r="L987" s="59"/>
      <c r="M987" s="59"/>
      <c r="N987" s="59"/>
      <c r="O987" s="59"/>
      <c r="P987" s="59"/>
      <c r="Q987" s="59"/>
      <c r="R987" s="59"/>
    </row>
    <row r="988">
      <c r="A988" s="66" t="s">
        <v>2738</v>
      </c>
      <c r="B988" s="66">
        <v>84.0</v>
      </c>
      <c r="C988" s="66">
        <v>44.0</v>
      </c>
      <c r="D988" s="24" t="s">
        <v>409</v>
      </c>
      <c r="E988" s="24" t="s">
        <v>837</v>
      </c>
      <c r="F988" s="66" t="s">
        <v>2739</v>
      </c>
      <c r="G988" s="66">
        <v>19.0</v>
      </c>
      <c r="H988" s="66">
        <v>7.0</v>
      </c>
      <c r="I988" s="66">
        <v>6.0</v>
      </c>
      <c r="J988" s="24" t="s">
        <v>48</v>
      </c>
      <c r="K988" s="67">
        <v>70815.0</v>
      </c>
      <c r="L988" s="59"/>
      <c r="M988" s="59"/>
      <c r="N988" s="59"/>
      <c r="O988" s="59"/>
      <c r="P988" s="59"/>
      <c r="Q988" s="59"/>
      <c r="R988" s="59"/>
    </row>
    <row r="989">
      <c r="A989" s="66" t="s">
        <v>2740</v>
      </c>
      <c r="B989" s="66">
        <v>17.0</v>
      </c>
      <c r="C989" s="66">
        <v>68.0</v>
      </c>
      <c r="D989" s="24" t="s">
        <v>2336</v>
      </c>
      <c r="E989" s="24" t="s">
        <v>380</v>
      </c>
      <c r="F989" s="66" t="s">
        <v>2741</v>
      </c>
      <c r="G989" s="66">
        <v>19.0</v>
      </c>
      <c r="H989" s="66">
        <v>9.0</v>
      </c>
      <c r="I989" s="66">
        <v>1.0</v>
      </c>
      <c r="J989" s="24" t="s">
        <v>33</v>
      </c>
      <c r="K989" s="67">
        <v>31013.0</v>
      </c>
      <c r="L989" s="59"/>
      <c r="M989" s="59"/>
      <c r="N989" s="59"/>
      <c r="O989" s="59"/>
      <c r="P989" s="59"/>
      <c r="Q989" s="59"/>
      <c r="R989" s="59"/>
    </row>
    <row r="990">
      <c r="A990" s="66" t="s">
        <v>2742</v>
      </c>
      <c r="B990" s="66">
        <v>62.0</v>
      </c>
      <c r="C990" s="66">
        <v>70.0</v>
      </c>
      <c r="D990" s="24" t="s">
        <v>452</v>
      </c>
      <c r="E990" s="24" t="s">
        <v>1044</v>
      </c>
      <c r="F990" s="66" t="s">
        <v>2743</v>
      </c>
      <c r="G990" s="66">
        <v>81.0</v>
      </c>
      <c r="H990" s="66">
        <v>3.0</v>
      </c>
      <c r="I990" s="66">
        <v>6.0</v>
      </c>
      <c r="J990" s="24" t="s">
        <v>39</v>
      </c>
      <c r="K990" s="67">
        <v>51819.0</v>
      </c>
      <c r="L990" s="59"/>
      <c r="M990" s="59"/>
      <c r="N990" s="59"/>
      <c r="O990" s="59"/>
      <c r="P990" s="59"/>
      <c r="Q990" s="59"/>
      <c r="R990" s="59"/>
    </row>
    <row r="991">
      <c r="A991" s="66" t="s">
        <v>2744</v>
      </c>
      <c r="B991" s="66">
        <v>89.0</v>
      </c>
      <c r="C991" s="66">
        <v>86.0</v>
      </c>
      <c r="D991" s="24" t="s">
        <v>461</v>
      </c>
      <c r="E991" s="24" t="s">
        <v>875</v>
      </c>
      <c r="F991" s="66" t="s">
        <v>2745</v>
      </c>
      <c r="G991" s="66">
        <v>81.0</v>
      </c>
      <c r="H991" s="66">
        <v>3.0</v>
      </c>
      <c r="I991" s="66">
        <v>7.0</v>
      </c>
      <c r="J991" s="24" t="s">
        <v>33</v>
      </c>
      <c r="K991" s="67">
        <v>22716.0</v>
      </c>
      <c r="L991" s="59"/>
      <c r="M991" s="59"/>
      <c r="N991" s="59"/>
      <c r="O991" s="59"/>
      <c r="P991" s="59"/>
      <c r="Q991" s="59"/>
      <c r="R991" s="59"/>
    </row>
    <row r="992">
      <c r="A992" s="66" t="s">
        <v>2746</v>
      </c>
      <c r="B992" s="66">
        <v>81.0</v>
      </c>
      <c r="C992" s="66">
        <v>16.0</v>
      </c>
      <c r="D992" s="24" t="s">
        <v>119</v>
      </c>
      <c r="E992" s="24" t="s">
        <v>181</v>
      </c>
      <c r="F992" s="66" t="s">
        <v>2747</v>
      </c>
      <c r="G992" s="66">
        <v>19.0</v>
      </c>
      <c r="H992" s="66">
        <v>9.0</v>
      </c>
      <c r="I992" s="66">
        <v>6.0</v>
      </c>
      <c r="J992" s="24" t="s">
        <v>48</v>
      </c>
      <c r="K992" s="67">
        <v>91619.0</v>
      </c>
      <c r="L992" s="59"/>
      <c r="M992" s="59"/>
      <c r="N992" s="59"/>
      <c r="O992" s="59"/>
      <c r="P992" s="59"/>
      <c r="Q992" s="59"/>
      <c r="R992" s="59"/>
    </row>
    <row r="993">
      <c r="A993" s="66" t="s">
        <v>2748</v>
      </c>
      <c r="B993" s="66">
        <v>84.0</v>
      </c>
      <c r="C993" s="66">
        <v>72.0</v>
      </c>
      <c r="D993" s="24" t="s">
        <v>1006</v>
      </c>
      <c r="E993" s="24" t="s">
        <v>335</v>
      </c>
      <c r="F993" s="66" t="s">
        <v>2749</v>
      </c>
      <c r="G993" s="66">
        <v>81.0</v>
      </c>
      <c r="H993" s="66">
        <v>6.0</v>
      </c>
      <c r="I993" s="66">
        <v>5.0</v>
      </c>
      <c r="J993" s="24" t="s">
        <v>33</v>
      </c>
      <c r="K993" s="67">
        <v>81520.0</v>
      </c>
      <c r="L993" s="59"/>
      <c r="M993" s="59"/>
      <c r="N993" s="59"/>
      <c r="O993" s="59"/>
      <c r="P993" s="59"/>
      <c r="Q993" s="59"/>
      <c r="R993" s="59"/>
    </row>
    <row r="994">
      <c r="A994" s="66" t="s">
        <v>2750</v>
      </c>
      <c r="B994" s="66">
        <v>21.0</v>
      </c>
      <c r="C994" s="66">
        <v>20.0</v>
      </c>
      <c r="D994" s="24" t="s">
        <v>367</v>
      </c>
      <c r="E994" s="24" t="s">
        <v>659</v>
      </c>
      <c r="F994" s="66" t="s">
        <v>2751</v>
      </c>
      <c r="G994" s="66">
        <v>81.0</v>
      </c>
      <c r="H994" s="66">
        <v>6.0</v>
      </c>
      <c r="I994" s="66">
        <v>9.0</v>
      </c>
      <c r="J994" s="24" t="s">
        <v>29</v>
      </c>
      <c r="K994" s="67">
        <v>73021.0</v>
      </c>
      <c r="L994" s="59"/>
      <c r="M994" s="59"/>
      <c r="N994" s="59"/>
      <c r="O994" s="59"/>
      <c r="P994" s="59"/>
      <c r="Q994" s="59"/>
      <c r="R994" s="59"/>
    </row>
    <row r="995">
      <c r="A995" s="66" t="s">
        <v>2752</v>
      </c>
      <c r="B995" s="66">
        <v>51.0</v>
      </c>
      <c r="C995" s="66">
        <v>64.0</v>
      </c>
      <c r="D995" s="24" t="s">
        <v>209</v>
      </c>
      <c r="E995" s="24" t="s">
        <v>948</v>
      </c>
      <c r="F995" s="66" t="s">
        <v>2753</v>
      </c>
      <c r="G995" s="66">
        <v>61.0</v>
      </c>
      <c r="H995" s="66">
        <v>2.0</v>
      </c>
      <c r="I995" s="66">
        <v>3.0</v>
      </c>
      <c r="J995" s="24" t="s">
        <v>31</v>
      </c>
      <c r="K995" s="67">
        <v>90816.0</v>
      </c>
      <c r="L995" s="59"/>
      <c r="M995" s="59"/>
      <c r="N995" s="59"/>
      <c r="O995" s="59"/>
      <c r="P995" s="59"/>
      <c r="Q995" s="59"/>
      <c r="R995" s="59"/>
    </row>
    <row r="996">
      <c r="A996" s="66" t="s">
        <v>2754</v>
      </c>
      <c r="B996" s="66">
        <v>57.0</v>
      </c>
      <c r="C996" s="66">
        <v>96.0</v>
      </c>
      <c r="D996" s="24" t="s">
        <v>286</v>
      </c>
      <c r="E996" s="24" t="s">
        <v>296</v>
      </c>
      <c r="F996" s="66" t="s">
        <v>2755</v>
      </c>
      <c r="G996" s="66">
        <v>61.0</v>
      </c>
      <c r="H996" s="66">
        <v>2.0</v>
      </c>
      <c r="I996" s="66">
        <v>4.0</v>
      </c>
      <c r="J996" s="24" t="s">
        <v>39</v>
      </c>
      <c r="K996" s="67">
        <v>92516.0</v>
      </c>
      <c r="L996" s="59"/>
      <c r="M996" s="59"/>
      <c r="N996" s="59"/>
      <c r="O996" s="59"/>
      <c r="P996" s="59"/>
      <c r="Q996" s="59"/>
      <c r="R996" s="59"/>
    </row>
    <row r="997">
      <c r="A997" s="66" t="s">
        <v>2756</v>
      </c>
      <c r="B997" s="66">
        <v>85.0</v>
      </c>
      <c r="C997" s="66">
        <v>58.0</v>
      </c>
      <c r="D997" s="24" t="s">
        <v>181</v>
      </c>
      <c r="E997" s="24" t="s">
        <v>522</v>
      </c>
      <c r="F997" s="66" t="s">
        <v>2757</v>
      </c>
      <c r="G997" s="66">
        <v>81.0</v>
      </c>
      <c r="H997" s="66">
        <v>7.0</v>
      </c>
      <c r="I997" s="66">
        <v>2.0</v>
      </c>
      <c r="J997" s="24" t="s">
        <v>31</v>
      </c>
      <c r="K997" s="67">
        <v>81623.0</v>
      </c>
      <c r="L997" s="59"/>
      <c r="M997" s="59"/>
      <c r="N997" s="59"/>
      <c r="O997" s="59"/>
      <c r="P997" s="59"/>
      <c r="Q997" s="59"/>
      <c r="R997" s="59"/>
    </row>
    <row r="998">
      <c r="A998" s="66" t="s">
        <v>2758</v>
      </c>
      <c r="B998" s="66">
        <v>83.0</v>
      </c>
      <c r="C998" s="66">
        <v>23.0</v>
      </c>
      <c r="D998" s="24" t="s">
        <v>81</v>
      </c>
      <c r="E998" s="24" t="s">
        <v>216</v>
      </c>
      <c r="F998" s="66" t="s">
        <v>2759</v>
      </c>
      <c r="G998" s="66">
        <v>61.0</v>
      </c>
      <c r="H998" s="66">
        <v>2.0</v>
      </c>
      <c r="I998" s="66">
        <v>7.0</v>
      </c>
      <c r="J998" s="24" t="s">
        <v>39</v>
      </c>
      <c r="K998" s="67">
        <v>102715.0</v>
      </c>
      <c r="L998" s="59"/>
      <c r="M998" s="59"/>
      <c r="N998" s="59"/>
      <c r="O998" s="59"/>
      <c r="P998" s="59"/>
      <c r="Q998" s="59"/>
      <c r="R998" s="59"/>
    </row>
    <row r="999">
      <c r="A999" s="66" t="s">
        <v>2760</v>
      </c>
      <c r="B999" s="66">
        <v>57.0</v>
      </c>
      <c r="C999" s="66">
        <v>22.0</v>
      </c>
      <c r="D999" s="24" t="s">
        <v>376</v>
      </c>
      <c r="E999" s="24" t="s">
        <v>89</v>
      </c>
      <c r="F999" s="66" t="s">
        <v>2761</v>
      </c>
      <c r="G999" s="66">
        <v>61.0</v>
      </c>
      <c r="H999" s="66">
        <v>2.0</v>
      </c>
      <c r="I999" s="66">
        <v>8.0</v>
      </c>
      <c r="J999" s="24" t="s">
        <v>29</v>
      </c>
      <c r="K999" s="67">
        <v>51713.0</v>
      </c>
      <c r="L999" s="59"/>
      <c r="M999" s="59"/>
      <c r="N999" s="59"/>
      <c r="O999" s="59"/>
      <c r="P999" s="59"/>
      <c r="Q999" s="59"/>
      <c r="R999" s="59"/>
    </row>
    <row r="1000">
      <c r="A1000" s="66" t="s">
        <v>2762</v>
      </c>
      <c r="B1000" s="66">
        <v>87.0</v>
      </c>
      <c r="C1000" s="66">
        <v>80.0</v>
      </c>
      <c r="D1000" s="24" t="s">
        <v>239</v>
      </c>
      <c r="E1000" s="24" t="s">
        <v>270</v>
      </c>
      <c r="F1000" s="66" t="s">
        <v>2763</v>
      </c>
      <c r="G1000" s="66">
        <v>81.0</v>
      </c>
      <c r="H1000" s="66">
        <v>7.0</v>
      </c>
      <c r="I1000" s="66">
        <v>6.0</v>
      </c>
      <c r="J1000" s="24" t="s">
        <v>29</v>
      </c>
      <c r="K1000" s="67">
        <v>91621.0</v>
      </c>
      <c r="L1000" s="59"/>
      <c r="M1000" s="59"/>
      <c r="N1000" s="59"/>
      <c r="O1000" s="59"/>
      <c r="P1000" s="59"/>
      <c r="Q1000" s="59"/>
      <c r="R1000" s="59"/>
    </row>
    <row r="1001">
      <c r="A1001" s="66" t="s">
        <v>2764</v>
      </c>
      <c r="B1001" s="66">
        <v>68.0</v>
      </c>
      <c r="C1001" s="66">
        <v>95.0</v>
      </c>
      <c r="D1001" s="24" t="s">
        <v>87</v>
      </c>
      <c r="E1001" s="24" t="s">
        <v>370</v>
      </c>
      <c r="F1001" s="66" t="s">
        <v>2765</v>
      </c>
      <c r="G1001" s="66">
        <v>81.0</v>
      </c>
      <c r="H1001" s="66">
        <v>8.0</v>
      </c>
      <c r="I1001" s="66">
        <v>5.0</v>
      </c>
      <c r="J1001" s="24" t="s">
        <v>29</v>
      </c>
      <c r="K1001" s="67">
        <v>62317.0</v>
      </c>
      <c r="L1001" s="59"/>
      <c r="M1001" s="59"/>
      <c r="N1001" s="59"/>
      <c r="O1001" s="59"/>
      <c r="P1001" s="59"/>
      <c r="Q1001" s="59"/>
      <c r="R1001" s="59"/>
    </row>
    <row r="1002">
      <c r="A1002" s="66" t="s">
        <v>2766</v>
      </c>
      <c r="B1002" s="66">
        <v>25.0</v>
      </c>
      <c r="C1002" s="66">
        <v>82.0</v>
      </c>
      <c r="D1002" s="24" t="s">
        <v>140</v>
      </c>
      <c r="E1002" s="24" t="s">
        <v>161</v>
      </c>
      <c r="F1002" s="66" t="s">
        <v>2767</v>
      </c>
      <c r="G1002" s="66">
        <v>61.0</v>
      </c>
      <c r="H1002" s="66">
        <v>3.0</v>
      </c>
      <c r="I1002" s="66">
        <v>9.0</v>
      </c>
      <c r="J1002" s="24" t="s">
        <v>48</v>
      </c>
      <c r="K1002" s="67">
        <v>82319.0</v>
      </c>
      <c r="L1002" s="59"/>
      <c r="M1002" s="59"/>
      <c r="N1002" s="59"/>
      <c r="O1002" s="59"/>
      <c r="P1002" s="59"/>
      <c r="Q1002" s="59"/>
      <c r="R1002" s="59"/>
    </row>
    <row r="1003">
      <c r="A1003" s="66" t="s">
        <v>2768</v>
      </c>
      <c r="B1003" s="66">
        <v>86.0</v>
      </c>
      <c r="C1003" s="66">
        <v>52.0</v>
      </c>
      <c r="D1003" s="24" t="s">
        <v>515</v>
      </c>
      <c r="E1003" s="24" t="s">
        <v>180</v>
      </c>
      <c r="F1003" s="66" t="s">
        <v>2769</v>
      </c>
      <c r="G1003" s="66">
        <v>81.0</v>
      </c>
      <c r="H1003" s="66">
        <v>9.0</v>
      </c>
      <c r="I1003" s="66">
        <v>1.0</v>
      </c>
      <c r="J1003" s="24" t="s">
        <v>29</v>
      </c>
      <c r="K1003" s="67">
        <v>91623.0</v>
      </c>
      <c r="L1003" s="59"/>
      <c r="M1003" s="59"/>
      <c r="N1003" s="59"/>
      <c r="O1003" s="59"/>
      <c r="P1003" s="59"/>
      <c r="Q1003" s="59"/>
      <c r="R1003" s="59"/>
    </row>
    <row r="1004">
      <c r="G1004" s="24"/>
      <c r="H1004" s="24"/>
      <c r="I1004" s="24"/>
      <c r="J1004" s="24"/>
      <c r="K1004" s="50"/>
    </row>
    <row r="1005">
      <c r="G1005" s="24"/>
      <c r="H1005" s="24"/>
      <c r="I1005" s="24"/>
      <c r="J1005" s="24"/>
      <c r="K1005" s="50"/>
    </row>
    <row r="1006">
      <c r="G1006" s="24"/>
      <c r="H1006" s="24"/>
      <c r="I1006" s="24"/>
      <c r="J1006" s="24"/>
      <c r="K1006" s="50"/>
    </row>
    <row r="1007">
      <c r="G1007" s="24"/>
      <c r="H1007" s="24"/>
      <c r="I1007" s="24"/>
      <c r="J1007" s="24"/>
      <c r="K1007" s="50"/>
    </row>
    <row r="1008">
      <c r="G1008" s="24"/>
      <c r="H1008" s="24"/>
      <c r="I1008" s="24"/>
      <c r="J1008" s="24"/>
      <c r="K1008" s="50"/>
    </row>
    <row r="1009">
      <c r="G1009" s="24"/>
      <c r="H1009" s="24"/>
      <c r="I1009" s="24"/>
      <c r="J1009" s="24"/>
      <c r="K1009" s="50"/>
    </row>
    <row r="1010">
      <c r="G1010" s="24"/>
      <c r="H1010" s="24"/>
      <c r="I1010" s="24"/>
      <c r="J1010" s="24"/>
      <c r="K1010" s="50"/>
    </row>
    <row r="1011">
      <c r="G1011" s="24"/>
      <c r="H1011" s="24"/>
      <c r="I1011" s="24"/>
      <c r="J1011" s="24"/>
      <c r="K1011" s="50"/>
    </row>
    <row r="1012">
      <c r="G1012" s="24"/>
      <c r="H1012" s="24"/>
      <c r="I1012" s="24"/>
      <c r="J1012" s="24"/>
      <c r="K1012" s="50"/>
    </row>
    <row r="1013">
      <c r="G1013" s="24"/>
      <c r="H1013" s="24"/>
      <c r="I1013" s="24"/>
      <c r="J1013" s="24"/>
      <c r="K1013" s="50"/>
    </row>
    <row r="1014">
      <c r="G1014" s="24"/>
      <c r="H1014" s="24"/>
      <c r="I1014" s="24"/>
      <c r="J1014" s="24"/>
      <c r="K1014" s="50"/>
    </row>
    <row r="1015">
      <c r="G1015" s="24"/>
      <c r="H1015" s="24"/>
      <c r="I1015" s="24"/>
      <c r="J1015" s="24"/>
      <c r="K1015" s="50"/>
    </row>
    <row r="1016">
      <c r="G1016" s="24"/>
      <c r="H1016" s="24"/>
      <c r="I1016" s="24"/>
      <c r="J1016" s="24"/>
      <c r="K1016" s="50"/>
    </row>
    <row r="1017">
      <c r="G1017" s="24"/>
      <c r="H1017" s="24"/>
      <c r="I1017" s="24"/>
      <c r="J1017" s="24"/>
      <c r="K1017" s="50"/>
    </row>
    <row r="1018">
      <c r="G1018" s="24"/>
      <c r="H1018" s="24"/>
      <c r="I1018" s="24"/>
      <c r="J1018" s="24"/>
      <c r="K1018" s="50"/>
    </row>
    <row r="1019">
      <c r="G1019" s="24"/>
      <c r="H1019" s="24"/>
      <c r="I1019" s="24"/>
      <c r="J1019" s="24"/>
      <c r="K1019" s="50"/>
    </row>
    <row r="1020">
      <c r="G1020" s="24"/>
      <c r="H1020" s="24"/>
      <c r="I1020" s="24"/>
      <c r="J1020" s="24"/>
      <c r="K1020" s="50"/>
    </row>
    <row r="1021">
      <c r="G1021" s="24"/>
      <c r="H1021" s="24"/>
      <c r="I1021" s="24"/>
      <c r="J1021" s="24"/>
      <c r="K1021" s="50"/>
    </row>
    <row r="1022">
      <c r="G1022" s="24"/>
      <c r="H1022" s="24"/>
      <c r="I1022" s="24"/>
      <c r="J1022" s="24"/>
      <c r="K1022" s="50"/>
    </row>
    <row r="1023">
      <c r="G1023" s="24"/>
      <c r="H1023" s="24"/>
      <c r="I1023" s="24"/>
      <c r="J1023" s="24"/>
      <c r="K1023" s="50"/>
    </row>
    <row r="1024">
      <c r="G1024" s="24"/>
      <c r="H1024" s="24"/>
      <c r="I1024" s="24"/>
      <c r="J1024" s="24"/>
      <c r="K1024" s="50"/>
    </row>
    <row r="1025">
      <c r="G1025" s="24"/>
      <c r="H1025" s="24"/>
      <c r="I1025" s="24"/>
      <c r="J1025" s="24"/>
      <c r="K1025" s="50"/>
    </row>
    <row r="1026">
      <c r="G1026" s="24"/>
      <c r="H1026" s="24"/>
      <c r="I1026" s="24"/>
      <c r="J1026" s="24"/>
      <c r="K1026" s="50"/>
    </row>
    <row r="1027">
      <c r="G1027" s="24"/>
      <c r="H1027" s="24"/>
      <c r="I1027" s="24"/>
      <c r="J1027" s="24"/>
      <c r="K1027" s="50"/>
    </row>
    <row r="1028">
      <c r="G1028" s="24"/>
      <c r="H1028" s="24"/>
      <c r="I1028" s="24"/>
      <c r="J1028" s="24"/>
      <c r="K1028" s="50"/>
    </row>
    <row r="1029">
      <c r="G1029" s="24"/>
      <c r="H1029" s="24"/>
      <c r="I1029" s="24"/>
      <c r="J1029" s="24"/>
      <c r="K1029" s="50"/>
    </row>
    <row r="1030">
      <c r="G1030" s="24"/>
      <c r="H1030" s="24"/>
      <c r="I1030" s="24"/>
      <c r="J1030" s="24"/>
      <c r="K1030" s="50"/>
    </row>
    <row r="1031">
      <c r="G1031" s="24"/>
      <c r="H1031" s="24"/>
      <c r="I1031" s="24"/>
      <c r="J1031" s="24"/>
      <c r="K1031" s="50"/>
    </row>
    <row r="1032">
      <c r="G1032" s="24"/>
      <c r="H1032" s="24"/>
      <c r="I1032" s="24"/>
      <c r="J1032" s="24"/>
      <c r="K1032" s="50"/>
    </row>
    <row r="1033">
      <c r="G1033" s="24"/>
      <c r="H1033" s="24"/>
      <c r="I1033" s="24"/>
      <c r="J1033" s="24"/>
      <c r="K1033" s="50"/>
    </row>
    <row r="1034">
      <c r="G1034" s="24"/>
      <c r="H1034" s="24"/>
      <c r="I1034" s="24"/>
      <c r="J1034" s="24"/>
      <c r="K1034" s="50"/>
    </row>
    <row r="1035">
      <c r="G1035" s="24"/>
      <c r="H1035" s="24"/>
      <c r="I1035" s="24"/>
      <c r="J1035" s="24"/>
      <c r="K1035" s="50"/>
    </row>
    <row r="1036">
      <c r="G1036" s="24"/>
      <c r="H1036" s="24"/>
      <c r="I1036" s="24"/>
      <c r="J1036" s="24"/>
      <c r="K1036" s="50"/>
    </row>
    <row r="1037">
      <c r="G1037" s="24"/>
      <c r="H1037" s="24"/>
      <c r="I1037" s="24"/>
      <c r="J1037" s="24"/>
      <c r="K1037" s="50"/>
    </row>
    <row r="1038">
      <c r="G1038" s="24"/>
      <c r="H1038" s="24"/>
      <c r="I1038" s="24"/>
      <c r="J1038" s="24"/>
      <c r="K1038" s="50"/>
    </row>
    <row r="1039">
      <c r="G1039" s="24"/>
      <c r="H1039" s="24"/>
      <c r="I1039" s="24"/>
      <c r="J1039" s="24"/>
      <c r="K1039" s="50"/>
    </row>
    <row r="1040">
      <c r="G1040" s="24"/>
      <c r="H1040" s="24"/>
      <c r="I1040" s="24"/>
      <c r="J1040" s="24"/>
      <c r="K1040" s="50"/>
    </row>
    <row r="1041">
      <c r="G1041" s="24"/>
      <c r="H1041" s="24"/>
      <c r="I1041" s="24"/>
      <c r="J1041" s="24"/>
      <c r="K1041" s="50"/>
    </row>
    <row r="1042">
      <c r="G1042" s="24"/>
      <c r="H1042" s="24"/>
      <c r="I1042" s="24"/>
      <c r="J1042" s="24"/>
      <c r="K1042" s="50"/>
    </row>
    <row r="1043">
      <c r="G1043" s="24"/>
      <c r="H1043" s="24"/>
      <c r="I1043" s="24"/>
      <c r="J1043" s="24"/>
      <c r="K1043" s="50"/>
    </row>
    <row r="1044">
      <c r="G1044" s="24"/>
      <c r="H1044" s="24"/>
      <c r="I1044" s="24"/>
      <c r="J1044" s="24"/>
      <c r="K1044" s="50"/>
    </row>
    <row r="1045">
      <c r="G1045" s="24"/>
      <c r="H1045" s="24"/>
      <c r="I1045" s="24"/>
      <c r="J1045" s="24"/>
      <c r="K1045" s="50"/>
    </row>
    <row r="1046">
      <c r="G1046" s="24"/>
      <c r="H1046" s="24"/>
      <c r="I1046" s="24"/>
      <c r="J1046" s="24"/>
      <c r="K1046" s="50"/>
    </row>
    <row r="1047">
      <c r="G1047" s="24"/>
      <c r="H1047" s="24"/>
      <c r="I1047" s="24"/>
      <c r="J1047" s="24"/>
      <c r="K1047" s="50"/>
    </row>
    <row r="1048">
      <c r="G1048" s="24"/>
      <c r="H1048" s="24"/>
      <c r="I1048" s="24"/>
      <c r="J1048" s="24"/>
      <c r="K1048" s="50"/>
    </row>
    <row r="1049">
      <c r="G1049" s="24"/>
      <c r="H1049" s="24"/>
      <c r="I1049" s="24"/>
      <c r="J1049" s="24"/>
      <c r="K1049" s="50"/>
    </row>
    <row r="1050">
      <c r="G1050" s="24"/>
      <c r="H1050" s="24"/>
      <c r="I1050" s="24"/>
      <c r="J1050" s="24"/>
      <c r="K1050" s="50"/>
    </row>
    <row r="1051">
      <c r="G1051" s="24"/>
      <c r="H1051" s="24"/>
      <c r="I1051" s="24"/>
      <c r="J1051" s="24"/>
      <c r="K1051" s="50"/>
    </row>
    <row r="1052">
      <c r="G1052" s="24"/>
      <c r="H1052" s="24"/>
      <c r="I1052" s="24"/>
      <c r="J1052" s="24"/>
      <c r="K1052" s="50"/>
    </row>
    <row r="1053">
      <c r="G1053" s="24"/>
      <c r="H1053" s="24"/>
      <c r="I1053" s="24"/>
      <c r="J1053" s="24"/>
      <c r="K1053" s="50"/>
    </row>
    <row r="1054">
      <c r="G1054" s="24"/>
      <c r="H1054" s="24"/>
      <c r="I1054" s="24"/>
      <c r="J1054" s="24"/>
      <c r="K1054" s="50"/>
    </row>
    <row r="1055">
      <c r="G1055" s="24"/>
      <c r="H1055" s="24"/>
      <c r="I1055" s="24"/>
      <c r="J1055" s="24"/>
      <c r="K1055" s="50"/>
    </row>
    <row r="1056">
      <c r="G1056" s="24"/>
      <c r="H1056" s="24"/>
      <c r="I1056" s="24"/>
      <c r="J1056" s="24"/>
      <c r="K1056" s="50"/>
    </row>
    <row r="1057">
      <c r="G1057" s="24"/>
      <c r="H1057" s="24"/>
      <c r="I1057" s="24"/>
      <c r="J1057" s="24"/>
      <c r="K1057" s="50"/>
    </row>
    <row r="1058">
      <c r="G1058" s="24"/>
      <c r="H1058" s="24"/>
      <c r="I1058" s="24"/>
      <c r="J1058" s="24"/>
      <c r="K1058" s="50"/>
    </row>
    <row r="1059">
      <c r="G1059" s="24"/>
      <c r="H1059" s="24"/>
      <c r="I1059" s="24"/>
      <c r="J1059" s="24"/>
      <c r="K1059" s="50"/>
    </row>
    <row r="1060">
      <c r="G1060" s="24"/>
      <c r="H1060" s="24"/>
      <c r="I1060" s="24"/>
      <c r="J1060" s="24"/>
      <c r="K1060" s="50"/>
    </row>
    <row r="1061">
      <c r="G1061" s="24"/>
      <c r="H1061" s="24"/>
      <c r="I1061" s="24"/>
      <c r="J1061" s="24"/>
      <c r="K1061" s="50"/>
    </row>
    <row r="1062">
      <c r="G1062" s="24"/>
      <c r="H1062" s="24"/>
      <c r="I1062" s="24"/>
      <c r="J1062" s="24"/>
      <c r="K1062" s="50"/>
    </row>
    <row r="1063">
      <c r="G1063" s="24"/>
      <c r="H1063" s="24"/>
      <c r="I1063" s="24"/>
      <c r="J1063" s="24"/>
      <c r="K1063" s="50"/>
    </row>
    <row r="1064">
      <c r="G1064" s="24"/>
      <c r="H1064" s="24"/>
      <c r="I1064" s="24"/>
      <c r="J1064" s="24"/>
      <c r="K1064" s="50"/>
    </row>
    <row r="1065">
      <c r="G1065" s="24"/>
      <c r="H1065" s="24"/>
      <c r="I1065" s="24"/>
      <c r="J1065" s="24"/>
      <c r="K1065" s="50"/>
    </row>
    <row r="1066">
      <c r="G1066" s="24"/>
      <c r="H1066" s="24"/>
      <c r="I1066" s="24"/>
      <c r="J1066" s="24"/>
      <c r="K1066" s="50"/>
    </row>
    <row r="1067">
      <c r="G1067" s="24"/>
      <c r="H1067" s="24"/>
      <c r="I1067" s="24"/>
      <c r="J1067" s="24"/>
      <c r="K1067" s="50"/>
    </row>
    <row r="1068">
      <c r="G1068" s="24"/>
      <c r="H1068" s="24"/>
      <c r="I1068" s="24"/>
      <c r="J1068" s="24"/>
      <c r="K1068" s="50"/>
    </row>
    <row r="1069">
      <c r="G1069" s="24"/>
      <c r="H1069" s="24"/>
      <c r="I1069" s="24"/>
      <c r="J1069" s="24"/>
      <c r="K1069" s="50"/>
    </row>
    <row r="1070">
      <c r="G1070" s="24"/>
      <c r="H1070" s="24"/>
      <c r="I1070" s="24"/>
      <c r="J1070" s="24"/>
      <c r="K1070" s="50"/>
    </row>
    <row r="1071">
      <c r="G1071" s="24"/>
      <c r="H1071" s="24"/>
      <c r="I1071" s="24"/>
      <c r="J1071" s="24"/>
      <c r="K1071" s="50"/>
    </row>
    <row r="1072">
      <c r="G1072" s="24"/>
      <c r="H1072" s="24"/>
      <c r="I1072" s="24"/>
      <c r="J1072" s="24"/>
      <c r="K1072" s="50"/>
    </row>
    <row r="1073">
      <c r="G1073" s="24"/>
      <c r="H1073" s="24"/>
      <c r="I1073" s="24"/>
      <c r="J1073" s="24"/>
      <c r="K1073" s="50"/>
    </row>
    <row r="1074">
      <c r="G1074" s="24"/>
      <c r="H1074" s="24"/>
      <c r="I1074" s="24"/>
      <c r="J1074" s="24"/>
      <c r="K1074" s="50"/>
    </row>
    <row r="1075">
      <c r="G1075" s="24"/>
      <c r="H1075" s="24"/>
      <c r="I1075" s="24"/>
      <c r="J1075" s="24"/>
      <c r="K1075" s="50"/>
    </row>
    <row r="1076">
      <c r="G1076" s="24"/>
      <c r="H1076" s="24"/>
      <c r="I1076" s="24"/>
      <c r="J1076" s="24"/>
      <c r="K1076" s="50"/>
    </row>
    <row r="1077">
      <c r="G1077" s="24"/>
      <c r="H1077" s="24"/>
      <c r="I1077" s="24"/>
      <c r="J1077" s="24"/>
      <c r="K1077" s="50"/>
    </row>
    <row r="1078">
      <c r="G1078" s="24"/>
      <c r="H1078" s="24"/>
      <c r="I1078" s="24"/>
      <c r="J1078" s="24"/>
      <c r="K1078" s="50"/>
    </row>
    <row r="1079">
      <c r="G1079" s="24"/>
      <c r="H1079" s="24"/>
      <c r="I1079" s="24"/>
      <c r="J1079" s="24"/>
      <c r="K1079" s="50"/>
    </row>
    <row r="1080">
      <c r="G1080" s="24"/>
      <c r="H1080" s="24"/>
      <c r="I1080" s="24"/>
      <c r="J1080" s="24"/>
      <c r="K1080" s="50"/>
    </row>
    <row r="1081">
      <c r="G1081" s="24"/>
      <c r="H1081" s="24"/>
      <c r="I1081" s="24"/>
      <c r="J1081" s="24"/>
      <c r="K1081" s="50"/>
    </row>
    <row r="1082">
      <c r="G1082" s="24"/>
      <c r="H1082" s="24"/>
      <c r="I1082" s="24"/>
      <c r="J1082" s="24"/>
      <c r="K1082" s="50"/>
    </row>
    <row r="1083">
      <c r="G1083" s="24"/>
      <c r="H1083" s="24"/>
      <c r="I1083" s="24"/>
      <c r="J1083" s="24"/>
      <c r="K1083" s="50"/>
    </row>
    <row r="1084">
      <c r="G1084" s="24"/>
      <c r="H1084" s="24"/>
      <c r="I1084" s="24"/>
      <c r="J1084" s="24"/>
      <c r="K1084" s="50"/>
    </row>
    <row r="1085">
      <c r="G1085" s="24"/>
      <c r="H1085" s="24"/>
      <c r="I1085" s="24"/>
      <c r="J1085" s="24"/>
      <c r="K1085" s="50"/>
    </row>
    <row r="1086">
      <c r="G1086" s="24"/>
      <c r="H1086" s="24"/>
      <c r="I1086" s="24"/>
      <c r="J1086" s="24"/>
      <c r="K1086" s="50"/>
    </row>
    <row r="1087">
      <c r="G1087" s="24"/>
      <c r="H1087" s="24"/>
      <c r="I1087" s="24"/>
      <c r="J1087" s="24"/>
      <c r="K1087" s="50"/>
    </row>
    <row r="1088">
      <c r="G1088" s="24"/>
      <c r="H1088" s="24"/>
      <c r="I1088" s="24"/>
      <c r="J1088" s="24"/>
      <c r="K1088" s="50"/>
    </row>
    <row r="1089">
      <c r="G1089" s="24"/>
      <c r="H1089" s="24"/>
      <c r="I1089" s="24"/>
      <c r="J1089" s="24"/>
      <c r="K1089" s="50"/>
    </row>
    <row r="1090">
      <c r="G1090" s="24"/>
      <c r="H1090" s="24"/>
      <c r="I1090" s="24"/>
      <c r="J1090" s="24"/>
      <c r="K1090" s="50"/>
    </row>
    <row r="1091">
      <c r="G1091" s="24"/>
      <c r="H1091" s="24"/>
      <c r="I1091" s="24"/>
      <c r="J1091" s="24"/>
      <c r="K1091" s="50"/>
    </row>
    <row r="1092">
      <c r="G1092" s="24"/>
      <c r="H1092" s="24"/>
      <c r="I1092" s="24"/>
      <c r="J1092" s="24"/>
      <c r="K1092" s="50"/>
    </row>
    <row r="1093">
      <c r="G1093" s="24"/>
      <c r="H1093" s="24"/>
      <c r="I1093" s="24"/>
      <c r="J1093" s="24"/>
      <c r="K1093" s="50"/>
    </row>
    <row r="1094">
      <c r="G1094" s="24"/>
      <c r="H1094" s="24"/>
      <c r="I1094" s="24"/>
      <c r="J1094" s="24"/>
      <c r="K1094" s="50"/>
    </row>
    <row r="1095">
      <c r="G1095" s="24"/>
      <c r="H1095" s="24"/>
      <c r="I1095" s="24"/>
      <c r="J1095" s="24"/>
      <c r="K1095" s="50"/>
    </row>
    <row r="1096">
      <c r="G1096" s="24"/>
      <c r="H1096" s="24"/>
      <c r="I1096" s="24"/>
      <c r="J1096" s="24"/>
      <c r="K1096" s="50"/>
    </row>
    <row r="1097">
      <c r="G1097" s="24"/>
      <c r="H1097" s="24"/>
      <c r="I1097" s="24"/>
      <c r="J1097" s="24"/>
      <c r="K1097" s="50"/>
    </row>
    <row r="1098">
      <c r="G1098" s="24"/>
      <c r="H1098" s="24"/>
      <c r="I1098" s="24"/>
      <c r="J1098" s="24"/>
      <c r="K1098" s="50"/>
    </row>
    <row r="1099">
      <c r="G1099" s="24"/>
      <c r="H1099" s="24"/>
      <c r="I1099" s="24"/>
      <c r="J1099" s="24"/>
      <c r="K1099" s="50"/>
    </row>
    <row r="1100">
      <c r="G1100" s="24"/>
      <c r="H1100" s="24"/>
      <c r="I1100" s="24"/>
      <c r="J1100" s="24"/>
      <c r="K1100" s="50"/>
    </row>
    <row r="1101">
      <c r="G1101" s="24"/>
      <c r="H1101" s="24"/>
      <c r="I1101" s="24"/>
      <c r="J1101" s="24"/>
      <c r="K1101" s="50"/>
    </row>
    <row r="1102">
      <c r="G1102" s="24"/>
      <c r="H1102" s="24"/>
      <c r="I1102" s="24"/>
      <c r="J1102" s="24"/>
      <c r="K1102" s="50"/>
    </row>
    <row r="1103">
      <c r="G1103" s="24"/>
      <c r="H1103" s="24"/>
      <c r="I1103" s="24"/>
      <c r="J1103" s="24"/>
      <c r="K1103" s="50"/>
    </row>
    <row r="1104">
      <c r="G1104" s="24"/>
      <c r="H1104" s="24"/>
      <c r="I1104" s="24"/>
      <c r="J1104" s="24"/>
      <c r="K1104" s="50"/>
    </row>
    <row r="1105">
      <c r="G1105" s="24"/>
      <c r="H1105" s="24"/>
      <c r="I1105" s="24"/>
      <c r="J1105" s="24"/>
      <c r="K1105" s="50"/>
    </row>
    <row r="1106">
      <c r="G1106" s="24"/>
      <c r="H1106" s="24"/>
      <c r="I1106" s="24"/>
      <c r="J1106" s="24"/>
      <c r="K1106" s="50"/>
    </row>
    <row r="1107">
      <c r="G1107" s="24"/>
      <c r="H1107" s="24"/>
      <c r="I1107" s="24"/>
      <c r="J1107" s="24"/>
      <c r="K1107" s="50"/>
    </row>
    <row r="1108">
      <c r="G1108" s="24"/>
      <c r="H1108" s="24"/>
      <c r="I1108" s="24"/>
      <c r="J1108" s="24"/>
      <c r="K1108" s="50"/>
    </row>
    <row r="1109">
      <c r="G1109" s="24"/>
      <c r="H1109" s="24"/>
      <c r="I1109" s="24"/>
      <c r="J1109" s="24"/>
      <c r="K1109" s="50"/>
    </row>
    <row r="1110">
      <c r="G1110" s="24"/>
      <c r="H1110" s="24"/>
      <c r="I1110" s="24"/>
      <c r="J1110" s="24"/>
      <c r="K1110" s="50"/>
    </row>
    <row r="1111">
      <c r="G1111" s="24"/>
      <c r="H1111" s="24"/>
      <c r="I1111" s="24"/>
      <c r="J1111" s="24"/>
      <c r="K1111" s="50"/>
    </row>
    <row r="1112">
      <c r="G1112" s="24"/>
      <c r="H1112" s="24"/>
      <c r="I1112" s="24"/>
      <c r="J1112" s="24"/>
      <c r="K1112" s="50"/>
    </row>
    <row r="1113">
      <c r="G1113" s="24"/>
      <c r="H1113" s="24"/>
      <c r="I1113" s="24"/>
      <c r="J1113" s="24"/>
      <c r="K1113" s="50"/>
    </row>
    <row r="1114">
      <c r="G1114" s="24"/>
      <c r="H1114" s="24"/>
      <c r="I1114" s="24"/>
      <c r="J1114" s="24"/>
      <c r="K1114" s="50"/>
    </row>
    <row r="1115">
      <c r="G1115" s="24"/>
      <c r="H1115" s="24"/>
      <c r="I1115" s="24"/>
      <c r="J1115" s="24"/>
      <c r="K1115" s="50"/>
    </row>
    <row r="1116">
      <c r="G1116" s="24"/>
      <c r="H1116" s="24"/>
      <c r="I1116" s="24"/>
      <c r="J1116" s="24"/>
      <c r="K1116" s="50"/>
    </row>
    <row r="1117">
      <c r="G1117" s="24"/>
      <c r="H1117" s="24"/>
      <c r="I1117" s="24"/>
      <c r="J1117" s="24"/>
      <c r="K1117" s="50"/>
    </row>
    <row r="1118">
      <c r="G1118" s="24"/>
      <c r="H1118" s="24"/>
      <c r="I1118" s="24"/>
      <c r="J1118" s="24"/>
      <c r="K1118" s="50"/>
    </row>
    <row r="1119">
      <c r="G1119" s="24"/>
      <c r="H1119" s="24"/>
      <c r="I1119" s="24"/>
      <c r="J1119" s="24"/>
      <c r="K1119" s="50"/>
    </row>
    <row r="1120">
      <c r="G1120" s="24"/>
      <c r="H1120" s="24"/>
      <c r="I1120" s="24"/>
      <c r="J1120" s="24"/>
      <c r="K1120" s="50"/>
    </row>
    <row r="1121">
      <c r="G1121" s="24"/>
      <c r="H1121" s="24"/>
      <c r="I1121" s="24"/>
      <c r="J1121" s="24"/>
      <c r="K1121" s="50"/>
    </row>
    <row r="1122">
      <c r="G1122" s="24"/>
      <c r="H1122" s="24"/>
      <c r="I1122" s="24"/>
      <c r="J1122" s="24"/>
      <c r="K1122" s="50"/>
    </row>
    <row r="1123">
      <c r="G1123" s="24"/>
      <c r="H1123" s="24"/>
      <c r="I1123" s="24"/>
      <c r="J1123" s="24"/>
      <c r="K1123" s="50"/>
    </row>
    <row r="1124">
      <c r="G1124" s="24"/>
      <c r="H1124" s="24"/>
      <c r="I1124" s="24"/>
      <c r="J1124" s="24"/>
      <c r="K1124" s="50"/>
    </row>
    <row r="1125">
      <c r="G1125" s="24"/>
      <c r="H1125" s="24"/>
      <c r="I1125" s="24"/>
      <c r="J1125" s="24"/>
      <c r="K1125" s="50"/>
    </row>
    <row r="1126">
      <c r="G1126" s="24"/>
      <c r="H1126" s="24"/>
      <c r="I1126" s="24"/>
      <c r="J1126" s="24"/>
      <c r="K1126" s="50"/>
    </row>
    <row r="1127">
      <c r="G1127" s="24"/>
      <c r="H1127" s="24"/>
      <c r="I1127" s="24"/>
      <c r="J1127" s="24"/>
      <c r="K1127" s="50"/>
    </row>
    <row r="1128">
      <c r="G1128" s="24"/>
      <c r="H1128" s="24"/>
      <c r="I1128" s="24"/>
      <c r="J1128" s="24"/>
      <c r="K1128" s="50"/>
    </row>
    <row r="1129">
      <c r="G1129" s="24"/>
      <c r="H1129" s="24"/>
      <c r="I1129" s="24"/>
      <c r="J1129" s="24"/>
      <c r="K1129" s="50"/>
    </row>
    <row r="1130">
      <c r="G1130" s="24"/>
      <c r="H1130" s="24"/>
      <c r="I1130" s="24"/>
      <c r="J1130" s="24"/>
      <c r="K1130" s="50"/>
    </row>
    <row r="1131">
      <c r="G1131" s="24"/>
      <c r="H1131" s="24"/>
      <c r="I1131" s="24"/>
      <c r="J1131" s="24"/>
      <c r="K1131" s="50"/>
    </row>
    <row r="1132">
      <c r="G1132" s="24"/>
      <c r="H1132" s="24"/>
      <c r="I1132" s="24"/>
      <c r="J1132" s="24"/>
      <c r="K1132" s="50"/>
    </row>
    <row r="1133">
      <c r="G1133" s="24"/>
      <c r="H1133" s="24"/>
      <c r="I1133" s="24"/>
      <c r="J1133" s="24"/>
      <c r="K1133" s="50"/>
    </row>
    <row r="1134">
      <c r="G1134" s="24"/>
      <c r="H1134" s="24"/>
      <c r="I1134" s="24"/>
      <c r="J1134" s="24"/>
      <c r="K1134" s="50"/>
    </row>
    <row r="1135">
      <c r="G1135" s="24"/>
      <c r="H1135" s="24"/>
      <c r="I1135" s="24"/>
      <c r="J1135" s="24"/>
      <c r="K1135" s="50"/>
    </row>
    <row r="1136">
      <c r="G1136" s="24"/>
      <c r="H1136" s="24"/>
      <c r="I1136" s="24"/>
      <c r="J1136" s="24"/>
      <c r="K1136" s="50"/>
    </row>
    <row r="1137">
      <c r="G1137" s="24"/>
      <c r="H1137" s="24"/>
      <c r="I1137" s="24"/>
      <c r="J1137" s="24"/>
      <c r="K1137" s="50"/>
    </row>
    <row r="1138">
      <c r="G1138" s="24"/>
      <c r="H1138" s="24"/>
      <c r="I1138" s="24"/>
      <c r="J1138" s="24"/>
      <c r="K1138" s="50"/>
    </row>
    <row r="1139">
      <c r="G1139" s="24"/>
      <c r="H1139" s="24"/>
      <c r="I1139" s="24"/>
      <c r="J1139" s="24"/>
      <c r="K1139" s="50"/>
    </row>
    <row r="1140">
      <c r="G1140" s="24"/>
      <c r="H1140" s="24"/>
      <c r="I1140" s="24"/>
      <c r="J1140" s="24"/>
      <c r="K1140" s="50"/>
    </row>
    <row r="1141">
      <c r="G1141" s="24"/>
      <c r="H1141" s="24"/>
      <c r="I1141" s="24"/>
      <c r="J1141" s="24"/>
      <c r="K1141" s="50"/>
    </row>
    <row r="1142">
      <c r="G1142" s="24"/>
      <c r="H1142" s="24"/>
      <c r="I1142" s="24"/>
      <c r="J1142" s="24"/>
      <c r="K1142" s="50"/>
    </row>
    <row r="1143">
      <c r="G1143" s="24"/>
      <c r="H1143" s="24"/>
      <c r="I1143" s="24"/>
      <c r="J1143" s="24"/>
      <c r="K1143" s="50"/>
    </row>
    <row r="1144">
      <c r="G1144" s="24"/>
      <c r="H1144" s="24"/>
      <c r="I1144" s="24"/>
      <c r="J1144" s="24"/>
      <c r="K1144" s="50"/>
    </row>
    <row r="1145">
      <c r="G1145" s="24"/>
      <c r="H1145" s="24"/>
      <c r="I1145" s="24"/>
      <c r="J1145" s="24"/>
      <c r="K1145" s="50"/>
    </row>
    <row r="1146">
      <c r="G1146" s="24"/>
      <c r="H1146" s="24"/>
      <c r="I1146" s="24"/>
      <c r="J1146" s="24"/>
      <c r="K1146" s="50"/>
    </row>
    <row r="1147">
      <c r="G1147" s="24"/>
      <c r="H1147" s="24"/>
      <c r="I1147" s="24"/>
      <c r="J1147" s="24"/>
      <c r="K1147" s="50"/>
    </row>
    <row r="1148">
      <c r="G1148" s="24"/>
      <c r="H1148" s="24"/>
      <c r="I1148" s="24"/>
      <c r="J1148" s="24"/>
      <c r="K1148" s="50"/>
    </row>
    <row r="1149">
      <c r="G1149" s="24"/>
      <c r="H1149" s="24"/>
      <c r="I1149" s="24"/>
      <c r="J1149" s="24"/>
      <c r="K1149" s="50"/>
    </row>
    <row r="1150">
      <c r="G1150" s="24"/>
      <c r="H1150" s="24"/>
      <c r="I1150" s="24"/>
      <c r="J1150" s="24"/>
      <c r="K1150" s="50"/>
    </row>
    <row r="1151">
      <c r="G1151" s="24"/>
      <c r="H1151" s="24"/>
      <c r="I1151" s="24"/>
      <c r="J1151" s="24"/>
      <c r="K1151" s="50"/>
    </row>
    <row r="1152">
      <c r="G1152" s="24"/>
      <c r="H1152" s="24"/>
      <c r="I1152" s="24"/>
      <c r="J1152" s="24"/>
      <c r="K1152" s="50"/>
    </row>
    <row r="1153">
      <c r="G1153" s="24"/>
      <c r="H1153" s="24"/>
      <c r="I1153" s="24"/>
      <c r="J1153" s="24"/>
      <c r="K1153" s="50"/>
    </row>
    <row r="1154">
      <c r="G1154" s="24"/>
      <c r="H1154" s="24"/>
      <c r="I1154" s="24"/>
      <c r="J1154" s="24"/>
      <c r="K1154" s="50"/>
    </row>
    <row r="1155">
      <c r="G1155" s="24"/>
      <c r="H1155" s="24"/>
      <c r="I1155" s="24"/>
      <c r="J1155" s="24"/>
      <c r="K1155" s="50"/>
    </row>
    <row r="1156">
      <c r="G1156" s="24"/>
      <c r="H1156" s="24"/>
      <c r="I1156" s="24"/>
      <c r="J1156" s="24"/>
      <c r="K1156" s="50"/>
    </row>
    <row r="1157">
      <c r="G1157" s="24"/>
      <c r="H1157" s="24"/>
      <c r="I1157" s="24"/>
      <c r="J1157" s="24"/>
      <c r="K1157" s="50"/>
    </row>
    <row r="1158">
      <c r="G1158" s="24"/>
      <c r="H1158" s="24"/>
      <c r="I1158" s="24"/>
      <c r="J1158" s="24"/>
      <c r="K1158" s="50"/>
    </row>
    <row r="1159">
      <c r="G1159" s="24"/>
      <c r="H1159" s="24"/>
      <c r="I1159" s="24"/>
      <c r="J1159" s="24"/>
      <c r="K1159" s="50"/>
    </row>
    <row r="1160">
      <c r="G1160" s="24"/>
      <c r="H1160" s="24"/>
      <c r="I1160" s="24"/>
      <c r="J1160" s="24"/>
      <c r="K1160" s="50"/>
    </row>
    <row r="1161">
      <c r="G1161" s="24"/>
      <c r="H1161" s="24"/>
      <c r="I1161" s="24"/>
      <c r="J1161" s="24"/>
      <c r="K1161" s="50"/>
    </row>
    <row r="1162">
      <c r="G1162" s="24"/>
      <c r="H1162" s="24"/>
      <c r="I1162" s="24"/>
      <c r="J1162" s="24"/>
      <c r="K1162" s="50"/>
    </row>
    <row r="1163">
      <c r="G1163" s="24"/>
      <c r="H1163" s="24"/>
      <c r="I1163" s="24"/>
      <c r="J1163" s="24"/>
      <c r="K1163" s="50"/>
    </row>
    <row r="1164">
      <c r="G1164" s="24"/>
      <c r="H1164" s="24"/>
      <c r="I1164" s="24"/>
      <c r="J1164" s="24"/>
      <c r="K1164" s="50"/>
    </row>
    <row r="1165">
      <c r="G1165" s="24"/>
      <c r="H1165" s="24"/>
      <c r="I1165" s="24"/>
      <c r="J1165" s="24"/>
      <c r="K1165" s="50"/>
    </row>
    <row r="1166">
      <c r="G1166" s="24"/>
      <c r="H1166" s="24"/>
      <c r="I1166" s="24"/>
      <c r="J1166" s="24"/>
      <c r="K1166" s="50"/>
    </row>
    <row r="1167">
      <c r="G1167" s="24"/>
      <c r="H1167" s="24"/>
      <c r="I1167" s="24"/>
      <c r="J1167" s="24"/>
      <c r="K1167" s="50"/>
    </row>
    <row r="1168">
      <c r="G1168" s="24"/>
      <c r="H1168" s="24"/>
      <c r="I1168" s="24"/>
      <c r="J1168" s="24"/>
      <c r="K1168" s="50"/>
    </row>
    <row r="1169">
      <c r="G1169" s="24"/>
      <c r="H1169" s="24"/>
      <c r="I1169" s="24"/>
      <c r="J1169" s="24"/>
      <c r="K1169" s="50"/>
    </row>
    <row r="1170">
      <c r="G1170" s="24"/>
      <c r="H1170" s="24"/>
      <c r="I1170" s="24"/>
      <c r="J1170" s="24"/>
      <c r="K1170" s="50"/>
    </row>
    <row r="1171">
      <c r="G1171" s="24"/>
      <c r="H1171" s="24"/>
      <c r="I1171" s="24"/>
      <c r="J1171" s="24"/>
      <c r="K1171" s="50"/>
    </row>
    <row r="1172">
      <c r="G1172" s="24"/>
      <c r="H1172" s="24"/>
      <c r="I1172" s="24"/>
      <c r="J1172" s="24"/>
      <c r="K1172" s="50"/>
    </row>
    <row r="1173">
      <c r="G1173" s="24"/>
      <c r="H1173" s="24"/>
      <c r="I1173" s="24"/>
      <c r="J1173" s="24"/>
      <c r="K1173" s="50"/>
    </row>
    <row r="1174">
      <c r="G1174" s="24"/>
      <c r="H1174" s="24"/>
      <c r="I1174" s="24"/>
      <c r="J1174" s="24"/>
      <c r="K1174" s="50"/>
    </row>
    <row r="1175">
      <c r="G1175" s="24"/>
      <c r="H1175" s="24"/>
      <c r="I1175" s="24"/>
      <c r="J1175" s="24"/>
      <c r="K1175" s="50"/>
    </row>
    <row r="1176">
      <c r="G1176" s="24"/>
      <c r="H1176" s="24"/>
      <c r="I1176" s="24"/>
      <c r="J1176" s="24"/>
      <c r="K1176" s="50"/>
    </row>
    <row r="1177">
      <c r="G1177" s="24"/>
      <c r="H1177" s="24"/>
      <c r="I1177" s="24"/>
      <c r="J1177" s="24"/>
      <c r="K1177" s="50"/>
    </row>
    <row r="1178">
      <c r="G1178" s="24"/>
      <c r="H1178" s="24"/>
      <c r="I1178" s="24"/>
      <c r="J1178" s="24"/>
      <c r="K1178" s="50"/>
    </row>
    <row r="1179">
      <c r="G1179" s="24"/>
      <c r="H1179" s="24"/>
      <c r="I1179" s="24"/>
      <c r="J1179" s="24"/>
      <c r="K1179" s="50"/>
    </row>
    <row r="1180">
      <c r="G1180" s="24"/>
      <c r="H1180" s="24"/>
      <c r="I1180" s="24"/>
      <c r="J1180" s="24"/>
      <c r="K1180" s="50"/>
    </row>
    <row r="1181">
      <c r="G1181" s="24"/>
      <c r="H1181" s="24"/>
      <c r="I1181" s="24"/>
      <c r="J1181" s="24"/>
      <c r="K1181" s="50"/>
    </row>
    <row r="1182">
      <c r="G1182" s="24"/>
      <c r="H1182" s="24"/>
      <c r="I1182" s="24"/>
      <c r="J1182" s="24"/>
      <c r="K1182" s="50"/>
    </row>
    <row r="1183">
      <c r="G1183" s="24"/>
      <c r="H1183" s="24"/>
      <c r="I1183" s="24"/>
      <c r="J1183" s="24"/>
      <c r="K1183" s="50"/>
    </row>
    <row r="1184">
      <c r="G1184" s="24"/>
      <c r="H1184" s="24"/>
      <c r="I1184" s="24"/>
      <c r="J1184" s="24"/>
      <c r="K1184" s="50"/>
    </row>
    <row r="1185">
      <c r="G1185" s="24"/>
      <c r="H1185" s="24"/>
      <c r="I1185" s="24"/>
      <c r="J1185" s="24"/>
      <c r="K1185" s="50"/>
    </row>
    <row r="1186">
      <c r="G1186" s="24"/>
      <c r="H1186" s="24"/>
      <c r="I1186" s="24"/>
      <c r="J1186" s="24"/>
      <c r="K1186" s="50"/>
    </row>
    <row r="1187">
      <c r="G1187" s="24"/>
      <c r="H1187" s="24"/>
      <c r="I1187" s="24"/>
      <c r="J1187" s="24"/>
      <c r="K1187" s="50"/>
    </row>
    <row r="1188">
      <c r="G1188" s="24"/>
      <c r="H1188" s="24"/>
      <c r="I1188" s="24"/>
      <c r="J1188" s="24"/>
      <c r="K1188" s="50"/>
    </row>
    <row r="1189">
      <c r="G1189" s="24"/>
      <c r="H1189" s="24"/>
      <c r="I1189" s="24"/>
      <c r="J1189" s="24"/>
      <c r="K1189" s="50"/>
    </row>
    <row r="1190">
      <c r="G1190" s="24"/>
      <c r="H1190" s="24"/>
      <c r="I1190" s="24"/>
      <c r="J1190" s="24"/>
      <c r="K1190" s="50"/>
    </row>
    <row r="1191">
      <c r="G1191" s="24"/>
      <c r="H1191" s="24"/>
      <c r="I1191" s="24"/>
      <c r="J1191" s="24"/>
      <c r="K1191" s="50"/>
    </row>
    <row r="1192">
      <c r="G1192" s="24"/>
      <c r="H1192" s="24"/>
      <c r="I1192" s="24"/>
      <c r="J1192" s="24"/>
      <c r="K1192" s="50"/>
    </row>
    <row r="1193">
      <c r="G1193" s="24"/>
      <c r="H1193" s="24"/>
      <c r="I1193" s="24"/>
      <c r="J1193" s="24"/>
      <c r="K1193" s="50"/>
    </row>
    <row r="1194">
      <c r="G1194" s="24"/>
      <c r="H1194" s="24"/>
      <c r="I1194" s="24"/>
      <c r="J1194" s="24"/>
      <c r="K1194" s="50"/>
    </row>
    <row r="1195">
      <c r="G1195" s="24"/>
      <c r="H1195" s="24"/>
      <c r="I1195" s="24"/>
      <c r="J1195" s="24"/>
      <c r="K1195" s="50"/>
    </row>
    <row r="1196">
      <c r="G1196" s="24"/>
      <c r="H1196" s="24"/>
      <c r="I1196" s="24"/>
      <c r="J1196" s="24"/>
      <c r="K1196" s="50"/>
    </row>
    <row r="1197">
      <c r="G1197" s="24"/>
      <c r="H1197" s="24"/>
      <c r="I1197" s="24"/>
      <c r="J1197" s="24"/>
      <c r="K1197" s="50"/>
    </row>
    <row r="1198">
      <c r="G1198" s="24"/>
      <c r="H1198" s="24"/>
      <c r="I1198" s="24"/>
      <c r="J1198" s="24"/>
      <c r="K1198" s="50"/>
    </row>
    <row r="1199">
      <c r="G1199" s="24"/>
      <c r="H1199" s="24"/>
      <c r="I1199" s="24"/>
      <c r="J1199" s="24"/>
      <c r="K1199" s="50"/>
    </row>
    <row r="1200">
      <c r="G1200" s="24"/>
      <c r="H1200" s="24"/>
      <c r="I1200" s="24"/>
      <c r="J1200" s="24"/>
      <c r="K1200" s="50"/>
    </row>
    <row r="1201">
      <c r="G1201" s="24"/>
      <c r="H1201" s="24"/>
      <c r="I1201" s="24"/>
      <c r="J1201" s="24"/>
      <c r="K1201" s="50"/>
    </row>
    <row r="1202">
      <c r="G1202" s="24"/>
      <c r="H1202" s="24"/>
      <c r="I1202" s="24"/>
      <c r="J1202" s="24"/>
      <c r="K1202" s="50"/>
    </row>
    <row r="1203">
      <c r="G1203" s="24"/>
      <c r="H1203" s="24"/>
      <c r="I1203" s="24"/>
      <c r="J1203" s="24"/>
      <c r="K1203" s="50"/>
    </row>
    <row r="1204">
      <c r="G1204" s="24"/>
      <c r="H1204" s="24"/>
      <c r="I1204" s="24"/>
      <c r="J1204" s="24"/>
      <c r="K1204" s="50"/>
    </row>
    <row r="1205">
      <c r="G1205" s="24"/>
      <c r="H1205" s="24"/>
      <c r="I1205" s="24"/>
      <c r="J1205" s="24"/>
      <c r="K1205" s="50"/>
    </row>
    <row r="1206">
      <c r="G1206" s="24"/>
      <c r="H1206" s="24"/>
      <c r="I1206" s="24"/>
      <c r="J1206" s="24"/>
      <c r="K1206" s="50"/>
    </row>
    <row r="1207">
      <c r="G1207" s="24"/>
      <c r="H1207" s="24"/>
      <c r="I1207" s="24"/>
      <c r="J1207" s="24"/>
      <c r="K1207" s="50"/>
    </row>
    <row r="1208">
      <c r="G1208" s="24"/>
      <c r="H1208" s="24"/>
      <c r="I1208" s="24"/>
      <c r="J1208" s="24"/>
      <c r="K1208" s="50"/>
    </row>
    <row r="1209">
      <c r="G1209" s="24"/>
      <c r="H1209" s="24"/>
      <c r="I1209" s="24"/>
      <c r="J1209" s="24"/>
      <c r="K1209" s="50"/>
    </row>
    <row r="1210">
      <c r="G1210" s="24"/>
      <c r="H1210" s="24"/>
      <c r="I1210" s="24"/>
      <c r="J1210" s="24"/>
      <c r="K1210" s="50"/>
    </row>
    <row r="1211">
      <c r="G1211" s="24"/>
      <c r="H1211" s="24"/>
      <c r="I1211" s="24"/>
      <c r="J1211" s="24"/>
      <c r="K1211" s="50"/>
    </row>
    <row r="1212">
      <c r="G1212" s="24"/>
      <c r="H1212" s="24"/>
      <c r="I1212" s="24"/>
      <c r="J1212" s="24"/>
      <c r="K1212" s="50"/>
    </row>
    <row r="1213">
      <c r="G1213" s="24"/>
      <c r="H1213" s="24"/>
      <c r="I1213" s="24"/>
      <c r="J1213" s="24"/>
      <c r="K1213" s="50"/>
    </row>
    <row r="1214">
      <c r="G1214" s="24"/>
      <c r="H1214" s="24"/>
      <c r="I1214" s="24"/>
      <c r="J1214" s="24"/>
      <c r="K1214" s="50"/>
    </row>
    <row r="1215">
      <c r="G1215" s="24"/>
      <c r="H1215" s="24"/>
      <c r="I1215" s="24"/>
      <c r="J1215" s="24"/>
      <c r="K1215" s="50"/>
    </row>
    <row r="1216">
      <c r="G1216" s="24"/>
      <c r="H1216" s="24"/>
      <c r="I1216" s="24"/>
      <c r="J1216" s="24"/>
      <c r="K1216" s="50"/>
    </row>
    <row r="1217">
      <c r="G1217" s="24"/>
      <c r="H1217" s="24"/>
      <c r="I1217" s="24"/>
      <c r="J1217" s="24"/>
      <c r="K1217" s="50"/>
    </row>
    <row r="1218">
      <c r="G1218" s="24"/>
      <c r="H1218" s="24"/>
      <c r="I1218" s="24"/>
      <c r="J1218" s="24"/>
      <c r="K1218" s="50"/>
    </row>
    <row r="1219">
      <c r="G1219" s="24"/>
      <c r="H1219" s="24"/>
      <c r="I1219" s="24"/>
      <c r="J1219" s="24"/>
      <c r="K1219" s="50"/>
    </row>
    <row r="1220">
      <c r="G1220" s="24"/>
      <c r="H1220" s="24"/>
      <c r="I1220" s="24"/>
      <c r="J1220" s="24"/>
      <c r="K1220" s="50"/>
    </row>
    <row r="1221">
      <c r="G1221" s="24"/>
      <c r="H1221" s="24"/>
      <c r="I1221" s="24"/>
      <c r="J1221" s="24"/>
      <c r="K1221" s="50"/>
    </row>
    <row r="1222">
      <c r="G1222" s="24"/>
      <c r="H1222" s="24"/>
      <c r="I1222" s="24"/>
      <c r="J1222" s="24"/>
      <c r="K1222" s="50"/>
    </row>
    <row r="1223">
      <c r="G1223" s="24"/>
      <c r="H1223" s="24"/>
      <c r="I1223" s="24"/>
      <c r="J1223" s="24"/>
      <c r="K1223" s="50"/>
    </row>
    <row r="1224">
      <c r="G1224" s="24"/>
      <c r="H1224" s="24"/>
      <c r="I1224" s="24"/>
      <c r="J1224" s="24"/>
      <c r="K1224" s="50"/>
    </row>
    <row r="1225">
      <c r="G1225" s="24"/>
      <c r="H1225" s="24"/>
      <c r="I1225" s="24"/>
      <c r="J1225" s="24"/>
      <c r="K1225" s="50"/>
    </row>
    <row r="1226">
      <c r="G1226" s="24"/>
      <c r="H1226" s="24"/>
      <c r="I1226" s="24"/>
      <c r="J1226" s="24"/>
      <c r="K1226" s="50"/>
    </row>
    <row r="1227">
      <c r="G1227" s="24"/>
      <c r="H1227" s="24"/>
      <c r="I1227" s="24"/>
      <c r="J1227" s="24"/>
      <c r="K1227" s="50"/>
    </row>
    <row r="1228">
      <c r="G1228" s="24"/>
      <c r="H1228" s="24"/>
      <c r="I1228" s="24"/>
      <c r="J1228" s="24"/>
      <c r="K1228" s="50"/>
    </row>
    <row r="1229">
      <c r="G1229" s="24"/>
      <c r="H1229" s="24"/>
      <c r="I1229" s="24"/>
      <c r="J1229" s="24"/>
      <c r="K1229" s="50"/>
    </row>
    <row r="1230">
      <c r="G1230" s="24"/>
      <c r="H1230" s="24"/>
      <c r="I1230" s="24"/>
      <c r="J1230" s="24"/>
      <c r="K1230" s="50"/>
    </row>
    <row r="1231">
      <c r="G1231" s="24"/>
      <c r="H1231" s="24"/>
      <c r="I1231" s="24"/>
      <c r="J1231" s="24"/>
      <c r="K1231" s="50"/>
    </row>
    <row r="1232">
      <c r="G1232" s="24"/>
      <c r="H1232" s="24"/>
      <c r="I1232" s="24"/>
      <c r="J1232" s="24"/>
      <c r="K1232" s="50"/>
    </row>
    <row r="1233">
      <c r="G1233" s="24"/>
      <c r="H1233" s="24"/>
      <c r="I1233" s="24"/>
      <c r="J1233" s="24"/>
      <c r="K1233" s="50"/>
    </row>
    <row r="1234">
      <c r="G1234" s="24"/>
      <c r="H1234" s="24"/>
      <c r="I1234" s="24"/>
      <c r="J1234" s="24"/>
      <c r="K1234" s="50"/>
    </row>
    <row r="1235">
      <c r="G1235" s="24"/>
      <c r="H1235" s="24"/>
      <c r="I1235" s="24"/>
      <c r="J1235" s="24"/>
      <c r="K1235" s="50"/>
    </row>
    <row r="1236">
      <c r="G1236" s="24"/>
      <c r="H1236" s="24"/>
      <c r="I1236" s="24"/>
      <c r="J1236" s="24"/>
      <c r="K1236" s="50"/>
    </row>
    <row r="1237">
      <c r="G1237" s="24"/>
      <c r="H1237" s="24"/>
      <c r="I1237" s="24"/>
      <c r="J1237" s="24"/>
      <c r="K1237" s="50"/>
    </row>
    <row r="1238">
      <c r="G1238" s="24"/>
      <c r="H1238" s="24"/>
      <c r="I1238" s="24"/>
      <c r="J1238" s="24"/>
      <c r="K1238" s="50"/>
    </row>
    <row r="1239">
      <c r="G1239" s="24"/>
      <c r="H1239" s="24"/>
      <c r="I1239" s="24"/>
      <c r="J1239" s="24"/>
      <c r="K1239" s="50"/>
    </row>
    <row r="1240">
      <c r="G1240" s="24"/>
      <c r="H1240" s="24"/>
      <c r="I1240" s="24"/>
      <c r="J1240" s="24"/>
      <c r="K1240" s="50"/>
    </row>
    <row r="1241">
      <c r="G1241" s="24"/>
      <c r="H1241" s="24"/>
      <c r="I1241" s="24"/>
      <c r="J1241" s="24"/>
      <c r="K1241" s="50"/>
    </row>
    <row r="1242">
      <c r="G1242" s="24"/>
      <c r="H1242" s="24"/>
      <c r="I1242" s="24"/>
      <c r="J1242" s="24"/>
      <c r="K1242" s="50"/>
    </row>
    <row r="1243">
      <c r="G1243" s="24"/>
      <c r="H1243" s="24"/>
      <c r="I1243" s="24"/>
      <c r="J1243" s="24"/>
      <c r="K1243" s="50"/>
    </row>
    <row r="1244">
      <c r="G1244" s="24"/>
      <c r="H1244" s="24"/>
      <c r="I1244" s="24"/>
      <c r="J1244" s="24"/>
      <c r="K1244" s="50"/>
    </row>
    <row r="1245">
      <c r="G1245" s="24"/>
      <c r="H1245" s="24"/>
      <c r="I1245" s="24"/>
      <c r="J1245" s="24"/>
      <c r="K1245" s="50"/>
    </row>
    <row r="1246">
      <c r="G1246" s="24"/>
      <c r="H1246" s="24"/>
      <c r="I1246" s="24"/>
      <c r="J1246" s="24"/>
      <c r="K1246" s="50"/>
    </row>
    <row r="1247">
      <c r="G1247" s="24"/>
      <c r="H1247" s="24"/>
      <c r="I1247" s="24"/>
      <c r="J1247" s="24"/>
      <c r="K1247" s="50"/>
    </row>
    <row r="1248">
      <c r="G1248" s="24"/>
      <c r="H1248" s="24"/>
      <c r="I1248" s="24"/>
      <c r="J1248" s="24"/>
      <c r="K1248" s="50"/>
    </row>
    <row r="1249">
      <c r="G1249" s="24"/>
      <c r="H1249" s="24"/>
      <c r="I1249" s="24"/>
      <c r="J1249" s="24"/>
      <c r="K1249" s="50"/>
    </row>
    <row r="1250">
      <c r="G1250" s="24"/>
      <c r="H1250" s="24"/>
      <c r="I1250" s="24"/>
      <c r="J1250" s="24"/>
      <c r="K1250" s="50"/>
    </row>
    <row r="1251">
      <c r="G1251" s="24"/>
      <c r="H1251" s="24"/>
      <c r="I1251" s="24"/>
      <c r="J1251" s="24"/>
      <c r="K1251" s="50"/>
    </row>
    <row r="1252">
      <c r="G1252" s="24"/>
      <c r="H1252" s="24"/>
      <c r="I1252" s="24"/>
      <c r="J1252" s="24"/>
      <c r="K1252" s="50"/>
    </row>
    <row r="1253">
      <c r="G1253" s="24"/>
      <c r="H1253" s="24"/>
      <c r="I1253" s="24"/>
      <c r="J1253" s="24"/>
      <c r="K1253" s="50"/>
    </row>
    <row r="1254">
      <c r="G1254" s="24"/>
      <c r="H1254" s="24"/>
      <c r="I1254" s="24"/>
      <c r="J1254" s="24"/>
      <c r="K1254" s="50"/>
    </row>
    <row r="1255">
      <c r="G1255" s="24"/>
      <c r="H1255" s="24"/>
      <c r="I1255" s="24"/>
      <c r="J1255" s="24"/>
      <c r="K1255" s="50"/>
    </row>
    <row r="1256">
      <c r="G1256" s="24"/>
      <c r="H1256" s="24"/>
      <c r="I1256" s="24"/>
      <c r="J1256" s="24"/>
      <c r="K1256" s="50"/>
    </row>
    <row r="1257">
      <c r="G1257" s="24"/>
      <c r="H1257" s="24"/>
      <c r="I1257" s="24"/>
      <c r="J1257" s="24"/>
      <c r="K1257" s="50"/>
    </row>
    <row r="1258">
      <c r="G1258" s="24"/>
      <c r="H1258" s="24"/>
      <c r="I1258" s="24"/>
      <c r="J1258" s="24"/>
      <c r="K1258" s="50"/>
    </row>
    <row r="1259">
      <c r="G1259" s="24"/>
      <c r="H1259" s="24"/>
      <c r="I1259" s="24"/>
      <c r="J1259" s="24"/>
      <c r="K1259" s="50"/>
    </row>
    <row r="1260">
      <c r="G1260" s="24"/>
      <c r="H1260" s="24"/>
      <c r="I1260" s="24"/>
      <c r="J1260" s="24"/>
      <c r="K1260" s="50"/>
    </row>
    <row r="1261">
      <c r="G1261" s="24"/>
      <c r="H1261" s="24"/>
      <c r="I1261" s="24"/>
      <c r="J1261" s="24"/>
      <c r="K1261" s="50"/>
    </row>
    <row r="1262">
      <c r="G1262" s="24"/>
      <c r="H1262" s="24"/>
      <c r="I1262" s="24"/>
      <c r="J1262" s="24"/>
      <c r="K1262" s="50"/>
    </row>
    <row r="1263">
      <c r="G1263" s="24"/>
      <c r="H1263" s="24"/>
      <c r="I1263" s="24"/>
      <c r="J1263" s="24"/>
      <c r="K1263" s="50"/>
    </row>
    <row r="1264">
      <c r="G1264" s="24"/>
      <c r="H1264" s="24"/>
      <c r="I1264" s="24"/>
      <c r="J1264" s="24"/>
      <c r="K1264" s="50"/>
    </row>
    <row r="1265">
      <c r="G1265" s="24"/>
      <c r="H1265" s="24"/>
      <c r="I1265" s="24"/>
      <c r="J1265" s="24"/>
      <c r="K1265" s="50"/>
    </row>
    <row r="1266">
      <c r="G1266" s="24"/>
      <c r="H1266" s="24"/>
      <c r="I1266" s="24"/>
      <c r="J1266" s="24"/>
      <c r="K1266" s="50"/>
    </row>
    <row r="1267">
      <c r="G1267" s="24"/>
      <c r="H1267" s="24"/>
      <c r="I1267" s="24"/>
      <c r="J1267" s="24"/>
      <c r="K1267" s="50"/>
    </row>
    <row r="1268">
      <c r="G1268" s="24"/>
      <c r="H1268" s="24"/>
      <c r="I1268" s="24"/>
      <c r="J1268" s="24"/>
      <c r="K1268" s="50"/>
    </row>
    <row r="1269">
      <c r="G1269" s="24"/>
      <c r="H1269" s="24"/>
      <c r="I1269" s="24"/>
      <c r="J1269" s="24"/>
      <c r="K1269" s="50"/>
    </row>
    <row r="1270">
      <c r="G1270" s="24"/>
      <c r="H1270" s="24"/>
      <c r="I1270" s="24"/>
      <c r="J1270" s="24"/>
      <c r="K1270" s="50"/>
    </row>
    <row r="1271">
      <c r="G1271" s="24"/>
      <c r="H1271" s="24"/>
      <c r="I1271" s="24"/>
      <c r="J1271" s="24"/>
      <c r="K1271" s="50"/>
    </row>
    <row r="1272">
      <c r="G1272" s="24"/>
      <c r="H1272" s="24"/>
      <c r="I1272" s="24"/>
      <c r="J1272" s="24"/>
      <c r="K1272" s="50"/>
    </row>
    <row r="1273">
      <c r="G1273" s="24"/>
      <c r="H1273" s="24"/>
      <c r="I1273" s="24"/>
      <c r="J1273" s="24"/>
      <c r="K1273" s="50"/>
    </row>
    <row r="1274">
      <c r="G1274" s="24"/>
      <c r="H1274" s="24"/>
      <c r="I1274" s="24"/>
      <c r="J1274" s="24"/>
      <c r="K1274" s="50"/>
    </row>
    <row r="1275">
      <c r="G1275" s="24"/>
      <c r="H1275" s="24"/>
      <c r="I1275" s="24"/>
      <c r="J1275" s="24"/>
      <c r="K1275" s="50"/>
    </row>
    <row r="1276">
      <c r="G1276" s="24"/>
      <c r="H1276" s="24"/>
      <c r="I1276" s="24"/>
      <c r="J1276" s="24"/>
      <c r="K1276" s="50"/>
    </row>
    <row r="1277">
      <c r="G1277" s="24"/>
      <c r="H1277" s="24"/>
      <c r="I1277" s="24"/>
      <c r="J1277" s="24"/>
      <c r="K1277" s="50"/>
    </row>
    <row r="1278">
      <c r="G1278" s="24"/>
      <c r="H1278" s="24"/>
      <c r="I1278" s="24"/>
      <c r="J1278" s="24"/>
      <c r="K1278" s="50"/>
    </row>
    <row r="1279">
      <c r="G1279" s="24"/>
      <c r="H1279" s="24"/>
      <c r="I1279" s="24"/>
      <c r="J1279" s="24"/>
      <c r="K1279" s="50"/>
    </row>
    <row r="1280">
      <c r="G1280" s="24"/>
      <c r="H1280" s="24"/>
      <c r="I1280" s="24"/>
      <c r="J1280" s="24"/>
      <c r="K1280" s="50"/>
    </row>
    <row r="1281">
      <c r="G1281" s="24"/>
      <c r="H1281" s="24"/>
      <c r="I1281" s="24"/>
      <c r="J1281" s="24"/>
      <c r="K1281" s="50"/>
    </row>
    <row r="1282">
      <c r="G1282" s="24"/>
      <c r="H1282" s="24"/>
      <c r="I1282" s="24"/>
      <c r="J1282" s="24"/>
      <c r="K1282" s="50"/>
    </row>
    <row r="1283">
      <c r="G1283" s="24"/>
      <c r="H1283" s="24"/>
      <c r="I1283" s="24"/>
      <c r="J1283" s="24"/>
      <c r="K1283" s="50"/>
    </row>
    <row r="1284">
      <c r="G1284" s="24"/>
      <c r="H1284" s="24"/>
      <c r="I1284" s="24"/>
      <c r="J1284" s="24"/>
      <c r="K1284" s="50"/>
    </row>
    <row r="1285">
      <c r="G1285" s="24"/>
      <c r="H1285" s="24"/>
      <c r="I1285" s="24"/>
      <c r="J1285" s="24"/>
      <c r="K1285" s="50"/>
    </row>
    <row r="1286">
      <c r="G1286" s="24"/>
      <c r="H1286" s="24"/>
      <c r="I1286" s="24"/>
      <c r="J1286" s="24"/>
      <c r="K1286" s="50"/>
    </row>
    <row r="1287">
      <c r="G1287" s="24"/>
      <c r="H1287" s="24"/>
      <c r="I1287" s="24"/>
      <c r="J1287" s="24"/>
      <c r="K1287" s="50"/>
    </row>
    <row r="1288">
      <c r="G1288" s="24"/>
      <c r="H1288" s="24"/>
      <c r="I1288" s="24"/>
      <c r="J1288" s="24"/>
      <c r="K1288" s="50"/>
    </row>
    <row r="1289">
      <c r="G1289" s="24"/>
      <c r="H1289" s="24"/>
      <c r="I1289" s="24"/>
      <c r="J1289" s="24"/>
      <c r="K1289" s="50"/>
    </row>
    <row r="1290">
      <c r="G1290" s="24"/>
      <c r="H1290" s="24"/>
      <c r="I1290" s="24"/>
      <c r="J1290" s="24"/>
      <c r="K1290" s="50"/>
    </row>
    <row r="1291">
      <c r="G1291" s="24"/>
      <c r="H1291" s="24"/>
      <c r="I1291" s="24"/>
      <c r="J1291" s="24"/>
      <c r="K1291" s="50"/>
    </row>
    <row r="1292">
      <c r="G1292" s="24"/>
      <c r="H1292" s="24"/>
      <c r="I1292" s="24"/>
      <c r="J1292" s="24"/>
      <c r="K1292" s="50"/>
    </row>
    <row r="1293">
      <c r="G1293" s="24"/>
      <c r="H1293" s="24"/>
      <c r="I1293" s="24"/>
      <c r="J1293" s="24"/>
      <c r="K1293" s="50"/>
    </row>
    <row r="1294">
      <c r="G1294" s="24"/>
      <c r="H1294" s="24"/>
      <c r="I1294" s="24"/>
      <c r="J1294" s="24"/>
      <c r="K1294" s="50"/>
    </row>
    <row r="1295">
      <c r="G1295" s="24"/>
      <c r="H1295" s="24"/>
      <c r="I1295" s="24"/>
      <c r="J1295" s="24"/>
      <c r="K1295" s="50"/>
    </row>
    <row r="1296">
      <c r="G1296" s="24"/>
      <c r="H1296" s="24"/>
      <c r="I1296" s="24"/>
      <c r="J1296" s="24"/>
      <c r="K1296" s="50"/>
    </row>
    <row r="1297">
      <c r="G1297" s="24"/>
      <c r="H1297" s="24"/>
      <c r="I1297" s="24"/>
      <c r="J1297" s="24"/>
      <c r="K1297" s="50"/>
    </row>
    <row r="1298">
      <c r="G1298" s="24"/>
      <c r="H1298" s="24"/>
      <c r="I1298" s="24"/>
      <c r="J1298" s="24"/>
      <c r="K1298" s="50"/>
    </row>
    <row r="1299">
      <c r="G1299" s="24"/>
      <c r="H1299" s="24"/>
      <c r="I1299" s="24"/>
      <c r="J1299" s="24"/>
      <c r="K1299" s="50"/>
    </row>
    <row r="1300">
      <c r="G1300" s="24"/>
      <c r="H1300" s="24"/>
      <c r="I1300" s="24"/>
      <c r="J1300" s="24"/>
      <c r="K1300" s="50"/>
    </row>
    <row r="1301">
      <c r="G1301" s="24"/>
      <c r="H1301" s="24"/>
      <c r="I1301" s="24"/>
      <c r="J1301" s="24"/>
      <c r="K1301" s="50"/>
    </row>
    <row r="1302">
      <c r="G1302" s="24"/>
      <c r="H1302" s="24"/>
      <c r="I1302" s="24"/>
      <c r="J1302" s="24"/>
      <c r="K1302" s="50"/>
    </row>
    <row r="1303">
      <c r="G1303" s="24"/>
      <c r="H1303" s="24"/>
      <c r="I1303" s="24"/>
      <c r="J1303" s="24"/>
      <c r="K1303" s="50"/>
    </row>
    <row r="1304">
      <c r="G1304" s="24"/>
      <c r="H1304" s="24"/>
      <c r="I1304" s="24"/>
      <c r="J1304" s="24"/>
      <c r="K1304" s="50"/>
    </row>
    <row r="1305">
      <c r="G1305" s="24"/>
      <c r="H1305" s="24"/>
      <c r="I1305" s="24"/>
      <c r="J1305" s="24"/>
      <c r="K1305" s="50"/>
    </row>
    <row r="1306">
      <c r="G1306" s="24"/>
      <c r="H1306" s="24"/>
      <c r="I1306" s="24"/>
      <c r="J1306" s="24"/>
      <c r="K1306" s="50"/>
    </row>
    <row r="1307">
      <c r="G1307" s="24"/>
      <c r="H1307" s="24"/>
      <c r="I1307" s="24"/>
      <c r="J1307" s="24"/>
      <c r="K1307" s="50"/>
    </row>
    <row r="1308">
      <c r="G1308" s="24"/>
      <c r="H1308" s="24"/>
      <c r="I1308" s="24"/>
      <c r="J1308" s="24"/>
      <c r="K1308" s="50"/>
    </row>
    <row r="1309">
      <c r="G1309" s="24"/>
      <c r="H1309" s="24"/>
      <c r="I1309" s="24"/>
      <c r="J1309" s="24"/>
      <c r="K1309" s="50"/>
    </row>
    <row r="1310">
      <c r="G1310" s="24"/>
      <c r="H1310" s="24"/>
      <c r="I1310" s="24"/>
      <c r="J1310" s="24"/>
      <c r="K1310" s="50"/>
    </row>
    <row r="1311">
      <c r="G1311" s="24"/>
      <c r="H1311" s="24"/>
      <c r="I1311" s="24"/>
      <c r="J1311" s="24"/>
      <c r="K1311" s="50"/>
    </row>
    <row r="1312">
      <c r="G1312" s="24"/>
      <c r="H1312" s="24"/>
      <c r="I1312" s="24"/>
      <c r="J1312" s="24"/>
      <c r="K1312" s="50"/>
    </row>
    <row r="1313">
      <c r="G1313" s="24"/>
      <c r="H1313" s="24"/>
      <c r="I1313" s="24"/>
      <c r="J1313" s="24"/>
      <c r="K1313" s="50"/>
    </row>
    <row r="1314">
      <c r="G1314" s="24"/>
      <c r="H1314" s="24"/>
      <c r="I1314" s="24"/>
      <c r="J1314" s="24"/>
      <c r="K1314" s="50"/>
    </row>
    <row r="1315">
      <c r="G1315" s="24"/>
      <c r="H1315" s="24"/>
      <c r="I1315" s="24"/>
      <c r="J1315" s="24"/>
      <c r="K1315" s="50"/>
    </row>
    <row r="1316">
      <c r="G1316" s="24"/>
      <c r="H1316" s="24"/>
      <c r="I1316" s="24"/>
      <c r="J1316" s="24"/>
      <c r="K1316" s="50"/>
    </row>
    <row r="1317">
      <c r="G1317" s="24"/>
      <c r="H1317" s="24"/>
      <c r="I1317" s="24"/>
      <c r="J1317" s="24"/>
      <c r="K1317" s="50"/>
    </row>
    <row r="1318">
      <c r="G1318" s="24"/>
      <c r="H1318" s="24"/>
      <c r="I1318" s="24"/>
      <c r="J1318" s="24"/>
      <c r="K1318" s="50"/>
    </row>
    <row r="1319">
      <c r="G1319" s="24"/>
      <c r="H1319" s="24"/>
      <c r="I1319" s="24"/>
      <c r="J1319" s="24"/>
      <c r="K1319" s="50"/>
    </row>
    <row r="1320">
      <c r="G1320" s="24"/>
      <c r="H1320" s="24"/>
      <c r="I1320" s="24"/>
      <c r="J1320" s="24"/>
      <c r="K1320" s="50"/>
    </row>
    <row r="1321">
      <c r="G1321" s="24"/>
      <c r="H1321" s="24"/>
      <c r="I1321" s="24"/>
      <c r="J1321" s="24"/>
      <c r="K1321" s="50"/>
    </row>
    <row r="1322">
      <c r="G1322" s="24"/>
      <c r="H1322" s="24"/>
      <c r="I1322" s="24"/>
      <c r="J1322" s="24"/>
      <c r="K1322" s="50"/>
    </row>
    <row r="1323">
      <c r="G1323" s="24"/>
      <c r="H1323" s="24"/>
      <c r="I1323" s="24"/>
      <c r="J1323" s="24"/>
      <c r="K1323" s="50"/>
    </row>
    <row r="1324">
      <c r="G1324" s="24"/>
      <c r="H1324" s="24"/>
      <c r="I1324" s="24"/>
      <c r="J1324" s="24"/>
      <c r="K1324" s="50"/>
    </row>
    <row r="1325">
      <c r="G1325" s="24"/>
      <c r="H1325" s="24"/>
      <c r="I1325" s="24"/>
      <c r="J1325" s="24"/>
      <c r="K1325" s="50"/>
    </row>
    <row r="1326">
      <c r="G1326" s="24"/>
      <c r="H1326" s="24"/>
      <c r="I1326" s="24"/>
      <c r="J1326" s="24"/>
      <c r="K1326" s="50"/>
    </row>
    <row r="1327">
      <c r="G1327" s="24"/>
      <c r="H1327" s="24"/>
      <c r="I1327" s="24"/>
      <c r="J1327" s="24"/>
      <c r="K1327" s="50"/>
    </row>
    <row r="1328">
      <c r="G1328" s="24"/>
      <c r="H1328" s="24"/>
      <c r="I1328" s="24"/>
      <c r="J1328" s="24"/>
      <c r="K1328" s="50"/>
    </row>
    <row r="1329">
      <c r="G1329" s="24"/>
      <c r="H1329" s="24"/>
      <c r="I1329" s="24"/>
      <c r="J1329" s="24"/>
      <c r="K1329" s="50"/>
    </row>
    <row r="1330">
      <c r="G1330" s="24"/>
      <c r="H1330" s="24"/>
      <c r="I1330" s="24"/>
      <c r="J1330" s="24"/>
      <c r="K1330" s="50"/>
    </row>
    <row r="1331">
      <c r="G1331" s="24"/>
      <c r="H1331" s="24"/>
      <c r="I1331" s="24"/>
      <c r="J1331" s="24"/>
      <c r="K1331" s="50"/>
    </row>
    <row r="1332">
      <c r="G1332" s="24"/>
      <c r="H1332" s="24"/>
      <c r="I1332" s="24"/>
      <c r="J1332" s="24"/>
      <c r="K1332" s="50"/>
    </row>
    <row r="1333">
      <c r="G1333" s="24"/>
      <c r="H1333" s="24"/>
      <c r="I1333" s="24"/>
      <c r="J1333" s="24"/>
      <c r="K1333" s="50"/>
    </row>
    <row r="1334">
      <c r="G1334" s="24"/>
      <c r="H1334" s="24"/>
      <c r="I1334" s="24"/>
      <c r="J1334" s="24"/>
      <c r="K1334" s="50"/>
    </row>
    <row r="1335">
      <c r="G1335" s="24"/>
      <c r="H1335" s="24"/>
      <c r="I1335" s="24"/>
      <c r="J1335" s="24"/>
      <c r="K1335" s="50"/>
    </row>
    <row r="1336">
      <c r="G1336" s="24"/>
      <c r="H1336" s="24"/>
      <c r="I1336" s="24"/>
      <c r="J1336" s="24"/>
      <c r="K1336" s="50"/>
    </row>
    <row r="1337">
      <c r="G1337" s="24"/>
      <c r="H1337" s="24"/>
      <c r="I1337" s="24"/>
      <c r="J1337" s="24"/>
      <c r="K1337" s="50"/>
    </row>
    <row r="1338">
      <c r="G1338" s="24"/>
      <c r="H1338" s="24"/>
      <c r="I1338" s="24"/>
      <c r="J1338" s="24"/>
      <c r="K1338" s="50"/>
    </row>
    <row r="1339">
      <c r="G1339" s="24"/>
      <c r="H1339" s="24"/>
      <c r="I1339" s="24"/>
      <c r="J1339" s="24"/>
      <c r="K1339" s="50"/>
    </row>
    <row r="1340">
      <c r="G1340" s="24"/>
      <c r="H1340" s="24"/>
      <c r="I1340" s="24"/>
      <c r="J1340" s="24"/>
      <c r="K1340" s="50"/>
    </row>
    <row r="1341">
      <c r="G1341" s="24"/>
      <c r="H1341" s="24"/>
      <c r="I1341" s="24"/>
      <c r="J1341" s="24"/>
      <c r="K1341" s="50"/>
    </row>
    <row r="1342">
      <c r="G1342" s="24"/>
      <c r="H1342" s="24"/>
      <c r="I1342" s="24"/>
      <c r="J1342" s="24"/>
      <c r="K1342" s="50"/>
    </row>
    <row r="1343">
      <c r="G1343" s="24"/>
      <c r="H1343" s="24"/>
      <c r="I1343" s="24"/>
      <c r="J1343" s="24"/>
      <c r="K1343" s="50"/>
    </row>
    <row r="1344">
      <c r="G1344" s="24"/>
      <c r="H1344" s="24"/>
      <c r="I1344" s="24"/>
      <c r="J1344" s="24"/>
      <c r="K1344" s="50"/>
    </row>
    <row r="1345">
      <c r="G1345" s="24"/>
      <c r="H1345" s="24"/>
      <c r="I1345" s="24"/>
      <c r="J1345" s="24"/>
      <c r="K1345" s="50"/>
    </row>
    <row r="1346">
      <c r="G1346" s="24"/>
      <c r="H1346" s="24"/>
      <c r="I1346" s="24"/>
      <c r="J1346" s="24"/>
      <c r="K1346" s="50"/>
    </row>
    <row r="1347">
      <c r="G1347" s="24"/>
      <c r="H1347" s="24"/>
      <c r="I1347" s="24"/>
      <c r="J1347" s="24"/>
      <c r="K1347" s="50"/>
    </row>
    <row r="1348">
      <c r="G1348" s="24"/>
      <c r="H1348" s="24"/>
      <c r="I1348" s="24"/>
      <c r="J1348" s="24"/>
      <c r="K1348" s="50"/>
    </row>
    <row r="1349">
      <c r="G1349" s="24"/>
      <c r="H1349" s="24"/>
      <c r="I1349" s="24"/>
      <c r="J1349" s="24"/>
      <c r="K1349" s="50"/>
    </row>
    <row r="1350">
      <c r="G1350" s="24"/>
      <c r="H1350" s="24"/>
      <c r="I1350" s="24"/>
      <c r="J1350" s="24"/>
      <c r="K1350" s="50"/>
    </row>
    <row r="1351">
      <c r="G1351" s="24"/>
      <c r="H1351" s="24"/>
      <c r="I1351" s="24"/>
      <c r="J1351" s="24"/>
      <c r="K1351" s="50"/>
    </row>
    <row r="1352">
      <c r="G1352" s="24"/>
      <c r="H1352" s="24"/>
      <c r="I1352" s="24"/>
      <c r="J1352" s="24"/>
      <c r="K1352" s="50"/>
    </row>
    <row r="1353">
      <c r="G1353" s="24"/>
      <c r="H1353" s="24"/>
      <c r="I1353" s="24"/>
      <c r="J1353" s="24"/>
      <c r="K1353" s="50"/>
    </row>
    <row r="1354">
      <c r="G1354" s="24"/>
      <c r="H1354" s="24"/>
      <c r="I1354" s="24"/>
      <c r="J1354" s="24"/>
      <c r="K1354" s="50"/>
    </row>
    <row r="1355">
      <c r="G1355" s="24"/>
      <c r="H1355" s="24"/>
      <c r="I1355" s="24"/>
      <c r="J1355" s="24"/>
      <c r="K1355" s="50"/>
    </row>
    <row r="1356">
      <c r="G1356" s="24"/>
      <c r="H1356" s="24"/>
      <c r="I1356" s="24"/>
      <c r="J1356" s="24"/>
      <c r="K1356" s="50"/>
    </row>
    <row r="1357">
      <c r="G1357" s="24"/>
      <c r="H1357" s="24"/>
      <c r="I1357" s="24"/>
      <c r="J1357" s="24"/>
      <c r="K1357" s="50"/>
    </row>
    <row r="1358">
      <c r="G1358" s="24"/>
      <c r="H1358" s="24"/>
      <c r="I1358" s="24"/>
      <c r="J1358" s="24"/>
      <c r="K1358" s="50"/>
    </row>
    <row r="1359">
      <c r="G1359" s="24"/>
      <c r="H1359" s="24"/>
      <c r="I1359" s="24"/>
      <c r="J1359" s="24"/>
      <c r="K1359" s="50"/>
    </row>
    <row r="1360">
      <c r="G1360" s="24"/>
      <c r="H1360" s="24"/>
      <c r="I1360" s="24"/>
      <c r="J1360" s="24"/>
      <c r="K1360" s="50"/>
    </row>
    <row r="1361">
      <c r="G1361" s="24"/>
      <c r="H1361" s="24"/>
      <c r="I1361" s="24"/>
      <c r="J1361" s="24"/>
      <c r="K1361" s="50"/>
    </row>
    <row r="1362">
      <c r="G1362" s="24"/>
      <c r="H1362" s="24"/>
      <c r="I1362" s="24"/>
      <c r="J1362" s="24"/>
      <c r="K1362" s="50"/>
    </row>
    <row r="1363">
      <c r="G1363" s="24"/>
      <c r="H1363" s="24"/>
      <c r="I1363" s="24"/>
      <c r="J1363" s="24"/>
      <c r="K1363" s="50"/>
    </row>
    <row r="1364">
      <c r="G1364" s="24"/>
      <c r="H1364" s="24"/>
      <c r="I1364" s="24"/>
      <c r="J1364" s="24"/>
      <c r="K1364" s="50"/>
    </row>
    <row r="1365">
      <c r="G1365" s="24"/>
      <c r="H1365" s="24"/>
      <c r="I1365" s="24"/>
      <c r="J1365" s="24"/>
      <c r="K1365" s="50"/>
    </row>
    <row r="1366">
      <c r="G1366" s="24"/>
      <c r="H1366" s="24"/>
      <c r="I1366" s="24"/>
      <c r="J1366" s="24"/>
      <c r="K1366" s="50"/>
    </row>
    <row r="1367">
      <c r="G1367" s="24"/>
      <c r="H1367" s="24"/>
      <c r="I1367" s="24"/>
      <c r="J1367" s="24"/>
      <c r="K1367" s="50"/>
    </row>
    <row r="1368">
      <c r="G1368" s="24"/>
      <c r="H1368" s="24"/>
      <c r="I1368" s="24"/>
      <c r="J1368" s="24"/>
      <c r="K1368" s="50"/>
    </row>
    <row r="1369">
      <c r="G1369" s="24"/>
      <c r="H1369" s="24"/>
      <c r="I1369" s="24"/>
      <c r="J1369" s="24"/>
      <c r="K1369" s="50"/>
    </row>
    <row r="1370">
      <c r="G1370" s="24"/>
      <c r="H1370" s="24"/>
      <c r="I1370" s="24"/>
      <c r="J1370" s="24"/>
      <c r="K1370" s="50"/>
    </row>
    <row r="1371">
      <c r="G1371" s="24"/>
      <c r="H1371" s="24"/>
      <c r="I1371" s="24"/>
      <c r="J1371" s="24"/>
      <c r="K1371" s="50"/>
    </row>
    <row r="1372">
      <c r="G1372" s="24"/>
      <c r="H1372" s="24"/>
      <c r="I1372" s="24"/>
      <c r="J1372" s="24"/>
      <c r="K1372" s="50"/>
    </row>
    <row r="1373">
      <c r="G1373" s="24"/>
      <c r="H1373" s="24"/>
      <c r="I1373" s="24"/>
      <c r="J1373" s="24"/>
      <c r="K1373" s="50"/>
    </row>
    <row r="1374">
      <c r="G1374" s="24"/>
      <c r="H1374" s="24"/>
      <c r="I1374" s="24"/>
      <c r="J1374" s="24"/>
      <c r="K1374" s="50"/>
    </row>
    <row r="1375">
      <c r="G1375" s="24"/>
      <c r="H1375" s="24"/>
      <c r="I1375" s="24"/>
      <c r="J1375" s="24"/>
      <c r="K1375" s="50"/>
    </row>
    <row r="1376">
      <c r="G1376" s="24"/>
      <c r="H1376" s="24"/>
      <c r="I1376" s="24"/>
      <c r="J1376" s="24"/>
      <c r="K1376" s="50"/>
    </row>
    <row r="1377">
      <c r="G1377" s="24"/>
      <c r="H1377" s="24"/>
      <c r="I1377" s="24"/>
      <c r="J1377" s="24"/>
      <c r="K1377" s="50"/>
    </row>
    <row r="1378">
      <c r="G1378" s="24"/>
      <c r="H1378" s="24"/>
      <c r="I1378" s="24"/>
      <c r="J1378" s="24"/>
      <c r="K1378" s="50"/>
    </row>
    <row r="1379">
      <c r="G1379" s="24"/>
      <c r="H1379" s="24"/>
      <c r="I1379" s="24"/>
      <c r="J1379" s="24"/>
      <c r="K1379" s="50"/>
    </row>
    <row r="1380">
      <c r="G1380" s="24"/>
      <c r="H1380" s="24"/>
      <c r="I1380" s="24"/>
      <c r="J1380" s="24"/>
      <c r="K1380" s="50"/>
    </row>
    <row r="1381">
      <c r="G1381" s="24"/>
      <c r="H1381" s="24"/>
      <c r="I1381" s="24"/>
      <c r="J1381" s="24"/>
      <c r="K1381" s="50"/>
    </row>
    <row r="1382">
      <c r="G1382" s="24"/>
      <c r="H1382" s="24"/>
      <c r="I1382" s="24"/>
      <c r="J1382" s="24"/>
      <c r="K1382" s="50"/>
    </row>
    <row r="1383">
      <c r="G1383" s="24"/>
      <c r="H1383" s="24"/>
      <c r="I1383" s="24"/>
      <c r="J1383" s="24"/>
      <c r="K1383" s="50"/>
    </row>
    <row r="1384">
      <c r="G1384" s="24"/>
      <c r="H1384" s="24"/>
      <c r="I1384" s="24"/>
      <c r="J1384" s="24"/>
      <c r="K1384" s="50"/>
    </row>
    <row r="1385">
      <c r="G1385" s="24"/>
      <c r="H1385" s="24"/>
      <c r="I1385" s="24"/>
      <c r="J1385" s="24"/>
      <c r="K1385" s="50"/>
    </row>
    <row r="1386">
      <c r="G1386" s="24"/>
      <c r="H1386" s="24"/>
      <c r="I1386" s="24"/>
      <c r="J1386" s="24"/>
      <c r="K1386" s="50"/>
    </row>
    <row r="1387">
      <c r="G1387" s="24"/>
      <c r="H1387" s="24"/>
      <c r="I1387" s="24"/>
      <c r="J1387" s="24"/>
      <c r="K1387" s="50"/>
    </row>
    <row r="1388">
      <c r="G1388" s="24"/>
      <c r="H1388" s="24"/>
      <c r="I1388" s="24"/>
      <c r="J1388" s="24"/>
      <c r="K1388" s="50"/>
    </row>
    <row r="1389">
      <c r="G1389" s="24"/>
      <c r="H1389" s="24"/>
      <c r="I1389" s="24"/>
      <c r="J1389" s="24"/>
      <c r="K1389" s="50"/>
    </row>
    <row r="1390">
      <c r="G1390" s="24"/>
      <c r="H1390" s="24"/>
      <c r="I1390" s="24"/>
      <c r="J1390" s="24"/>
      <c r="K1390" s="50"/>
    </row>
    <row r="1391">
      <c r="G1391" s="24"/>
      <c r="H1391" s="24"/>
      <c r="I1391" s="24"/>
      <c r="J1391" s="24"/>
      <c r="K1391" s="50"/>
    </row>
    <row r="1392">
      <c r="G1392" s="24"/>
      <c r="H1392" s="24"/>
      <c r="I1392" s="24"/>
      <c r="J1392" s="24"/>
      <c r="K1392" s="50"/>
    </row>
    <row r="1393">
      <c r="G1393" s="24"/>
      <c r="H1393" s="24"/>
      <c r="I1393" s="24"/>
      <c r="J1393" s="24"/>
      <c r="K1393" s="50"/>
    </row>
    <row r="1394">
      <c r="G1394" s="24"/>
      <c r="H1394" s="24"/>
      <c r="I1394" s="24"/>
      <c r="J1394" s="24"/>
      <c r="K1394" s="50"/>
    </row>
    <row r="1395">
      <c r="G1395" s="24"/>
      <c r="H1395" s="24"/>
      <c r="I1395" s="24"/>
      <c r="J1395" s="24"/>
      <c r="K1395" s="50"/>
    </row>
    <row r="1396">
      <c r="G1396" s="24"/>
      <c r="H1396" s="24"/>
      <c r="I1396" s="24"/>
      <c r="J1396" s="24"/>
      <c r="K1396" s="50"/>
    </row>
    <row r="1397">
      <c r="G1397" s="24"/>
      <c r="H1397" s="24"/>
      <c r="I1397" s="24"/>
      <c r="J1397" s="24"/>
      <c r="K1397" s="50"/>
    </row>
    <row r="1398">
      <c r="G1398" s="24"/>
      <c r="H1398" s="24"/>
      <c r="I1398" s="24"/>
      <c r="J1398" s="24"/>
      <c r="K1398" s="50"/>
    </row>
    <row r="1399">
      <c r="G1399" s="24"/>
      <c r="H1399" s="24"/>
      <c r="I1399" s="24"/>
      <c r="J1399" s="24"/>
      <c r="K1399" s="50"/>
    </row>
    <row r="1400">
      <c r="G1400" s="24"/>
      <c r="H1400" s="24"/>
      <c r="I1400" s="24"/>
      <c r="J1400" s="24"/>
      <c r="K1400" s="50"/>
    </row>
    <row r="1401">
      <c r="G1401" s="24"/>
      <c r="H1401" s="24"/>
      <c r="I1401" s="24"/>
      <c r="J1401" s="24"/>
      <c r="K1401" s="50"/>
    </row>
    <row r="1402">
      <c r="G1402" s="24"/>
      <c r="H1402" s="24"/>
      <c r="I1402" s="24"/>
      <c r="J1402" s="24"/>
      <c r="K1402" s="50"/>
    </row>
    <row r="1403">
      <c r="G1403" s="24"/>
      <c r="H1403" s="24"/>
      <c r="I1403" s="24"/>
      <c r="J1403" s="24"/>
      <c r="K1403" s="50"/>
    </row>
    <row r="1404">
      <c r="G1404" s="24"/>
      <c r="H1404" s="24"/>
      <c r="I1404" s="24"/>
      <c r="J1404" s="24"/>
      <c r="K1404" s="50"/>
    </row>
    <row r="1405">
      <c r="G1405" s="24"/>
      <c r="H1405" s="24"/>
      <c r="I1405" s="24"/>
      <c r="J1405" s="24"/>
      <c r="K1405" s="50"/>
    </row>
    <row r="1406">
      <c r="G1406" s="24"/>
      <c r="H1406" s="24"/>
      <c r="I1406" s="24"/>
      <c r="J1406" s="24"/>
      <c r="K1406" s="50"/>
    </row>
    <row r="1407">
      <c r="G1407" s="24"/>
      <c r="H1407" s="24"/>
      <c r="I1407" s="24"/>
      <c r="J1407" s="24"/>
      <c r="K1407" s="50"/>
    </row>
    <row r="1408">
      <c r="G1408" s="24"/>
      <c r="H1408" s="24"/>
      <c r="I1408" s="24"/>
      <c r="J1408" s="24"/>
      <c r="K1408" s="50"/>
    </row>
    <row r="1409">
      <c r="G1409" s="24"/>
      <c r="H1409" s="24"/>
      <c r="I1409" s="24"/>
      <c r="J1409" s="24"/>
      <c r="K1409" s="50"/>
    </row>
    <row r="1410">
      <c r="G1410" s="24"/>
      <c r="H1410" s="24"/>
      <c r="I1410" s="24"/>
      <c r="J1410" s="24"/>
      <c r="K1410" s="50"/>
    </row>
    <row r="1411">
      <c r="G1411" s="24"/>
      <c r="H1411" s="24"/>
      <c r="I1411" s="24"/>
      <c r="J1411" s="24"/>
      <c r="K1411" s="50"/>
    </row>
    <row r="1412">
      <c r="G1412" s="24"/>
      <c r="H1412" s="24"/>
      <c r="I1412" s="24"/>
      <c r="J1412" s="24"/>
      <c r="K1412" s="50"/>
    </row>
    <row r="1413">
      <c r="G1413" s="24"/>
      <c r="H1413" s="24"/>
      <c r="I1413" s="24"/>
      <c r="J1413" s="24"/>
      <c r="K1413" s="50"/>
    </row>
    <row r="1414">
      <c r="G1414" s="24"/>
      <c r="H1414" s="24"/>
      <c r="I1414" s="24"/>
      <c r="J1414" s="24"/>
      <c r="K1414" s="50"/>
    </row>
    <row r="1415">
      <c r="G1415" s="24"/>
      <c r="H1415" s="24"/>
      <c r="I1415" s="24"/>
      <c r="J1415" s="24"/>
      <c r="K1415" s="50"/>
    </row>
    <row r="1416">
      <c r="G1416" s="24"/>
      <c r="H1416" s="24"/>
      <c r="I1416" s="24"/>
      <c r="J1416" s="24"/>
      <c r="K1416" s="50"/>
    </row>
    <row r="1417">
      <c r="G1417" s="24"/>
      <c r="H1417" s="24"/>
      <c r="I1417" s="24"/>
      <c r="J1417" s="24"/>
      <c r="K1417" s="50"/>
    </row>
    <row r="1418">
      <c r="G1418" s="24"/>
      <c r="H1418" s="24"/>
      <c r="I1418" s="24"/>
      <c r="J1418" s="24"/>
      <c r="K1418" s="50"/>
    </row>
    <row r="1419">
      <c r="G1419" s="24"/>
      <c r="H1419" s="24"/>
      <c r="I1419" s="24"/>
      <c r="J1419" s="24"/>
      <c r="K1419" s="50"/>
    </row>
    <row r="1420">
      <c r="G1420" s="24"/>
      <c r="H1420" s="24"/>
      <c r="I1420" s="24"/>
      <c r="J1420" s="24"/>
      <c r="K1420" s="50"/>
    </row>
    <row r="1421">
      <c r="G1421" s="24"/>
      <c r="H1421" s="24"/>
      <c r="I1421" s="24"/>
      <c r="J1421" s="24"/>
      <c r="K1421" s="50"/>
    </row>
    <row r="1422">
      <c r="G1422" s="24"/>
      <c r="H1422" s="24"/>
      <c r="I1422" s="24"/>
      <c r="J1422" s="24"/>
      <c r="K1422" s="50"/>
    </row>
    <row r="1423">
      <c r="G1423" s="24"/>
      <c r="H1423" s="24"/>
      <c r="I1423" s="24"/>
      <c r="J1423" s="24"/>
      <c r="K1423" s="50"/>
    </row>
    <row r="1424">
      <c r="G1424" s="24"/>
      <c r="H1424" s="24"/>
      <c r="I1424" s="24"/>
      <c r="J1424" s="24"/>
      <c r="K1424" s="50"/>
    </row>
    <row r="1425">
      <c r="G1425" s="24"/>
      <c r="H1425" s="24"/>
      <c r="I1425" s="24"/>
      <c r="J1425" s="24"/>
      <c r="K1425" s="50"/>
    </row>
    <row r="1426">
      <c r="G1426" s="24"/>
      <c r="H1426" s="24"/>
      <c r="I1426" s="24"/>
      <c r="J1426" s="24"/>
      <c r="K1426" s="50"/>
    </row>
    <row r="1427">
      <c r="G1427" s="24"/>
      <c r="H1427" s="24"/>
      <c r="I1427" s="24"/>
      <c r="J1427" s="24"/>
      <c r="K1427" s="50"/>
    </row>
    <row r="1428">
      <c r="G1428" s="24"/>
      <c r="H1428" s="24"/>
      <c r="I1428" s="24"/>
      <c r="J1428" s="24"/>
      <c r="K1428" s="50"/>
    </row>
    <row r="1429">
      <c r="G1429" s="24"/>
      <c r="H1429" s="24"/>
      <c r="I1429" s="24"/>
      <c r="J1429" s="24"/>
      <c r="K1429" s="50"/>
    </row>
    <row r="1430">
      <c r="G1430" s="24"/>
      <c r="H1430" s="24"/>
      <c r="I1430" s="24"/>
      <c r="J1430" s="24"/>
      <c r="K1430" s="50"/>
    </row>
    <row r="1431">
      <c r="G1431" s="24"/>
      <c r="H1431" s="24"/>
      <c r="I1431" s="24"/>
      <c r="J1431" s="24"/>
      <c r="K1431" s="50"/>
    </row>
    <row r="1432">
      <c r="G1432" s="24"/>
      <c r="H1432" s="24"/>
      <c r="I1432" s="24"/>
      <c r="J1432" s="24"/>
      <c r="K1432" s="50"/>
    </row>
    <row r="1433">
      <c r="G1433" s="24"/>
      <c r="H1433" s="24"/>
      <c r="I1433" s="24"/>
      <c r="J1433" s="24"/>
      <c r="K1433" s="50"/>
    </row>
    <row r="1434">
      <c r="G1434" s="24"/>
      <c r="H1434" s="24"/>
      <c r="I1434" s="24"/>
      <c r="J1434" s="24"/>
      <c r="K1434" s="50"/>
    </row>
    <row r="1435">
      <c r="G1435" s="24"/>
      <c r="H1435" s="24"/>
      <c r="I1435" s="24"/>
      <c r="J1435" s="24"/>
      <c r="K1435" s="50"/>
    </row>
    <row r="1436">
      <c r="G1436" s="24"/>
      <c r="H1436" s="24"/>
      <c r="I1436" s="24"/>
      <c r="J1436" s="24"/>
      <c r="K1436" s="50"/>
    </row>
    <row r="1437">
      <c r="G1437" s="24"/>
      <c r="H1437" s="24"/>
      <c r="I1437" s="24"/>
      <c r="J1437" s="24"/>
      <c r="K1437" s="50"/>
    </row>
    <row r="1438">
      <c r="G1438" s="24"/>
      <c r="H1438" s="24"/>
      <c r="I1438" s="24"/>
      <c r="J1438" s="24"/>
      <c r="K1438" s="50"/>
    </row>
    <row r="1439">
      <c r="G1439" s="24"/>
      <c r="H1439" s="24"/>
      <c r="I1439" s="24"/>
      <c r="J1439" s="24"/>
      <c r="K1439" s="50"/>
    </row>
    <row r="1440">
      <c r="G1440" s="24"/>
      <c r="H1440" s="24"/>
      <c r="I1440" s="24"/>
      <c r="J1440" s="24"/>
      <c r="K1440" s="50"/>
    </row>
    <row r="1441">
      <c r="G1441" s="24"/>
      <c r="H1441" s="24"/>
      <c r="I1441" s="24"/>
      <c r="J1441" s="24"/>
      <c r="K1441" s="50"/>
    </row>
    <row r="1442">
      <c r="G1442" s="24"/>
      <c r="H1442" s="24"/>
      <c r="I1442" s="24"/>
      <c r="J1442" s="24"/>
      <c r="K1442" s="50"/>
    </row>
    <row r="1443">
      <c r="G1443" s="24"/>
      <c r="H1443" s="24"/>
      <c r="I1443" s="24"/>
      <c r="J1443" s="24"/>
      <c r="K1443" s="50"/>
    </row>
    <row r="1444">
      <c r="G1444" s="24"/>
      <c r="H1444" s="24"/>
      <c r="I1444" s="24"/>
      <c r="J1444" s="24"/>
      <c r="K1444" s="50"/>
    </row>
    <row r="1445">
      <c r="G1445" s="24"/>
      <c r="H1445" s="24"/>
      <c r="I1445" s="24"/>
      <c r="J1445" s="24"/>
      <c r="K1445" s="50"/>
    </row>
    <row r="1446">
      <c r="G1446" s="24"/>
      <c r="H1446" s="24"/>
      <c r="I1446" s="24"/>
      <c r="J1446" s="24"/>
      <c r="K1446" s="50"/>
    </row>
    <row r="1447">
      <c r="G1447" s="24"/>
      <c r="H1447" s="24"/>
      <c r="I1447" s="24"/>
      <c r="J1447" s="24"/>
      <c r="K1447" s="50"/>
    </row>
    <row r="1448">
      <c r="G1448" s="24"/>
      <c r="H1448" s="24"/>
      <c r="I1448" s="24"/>
      <c r="J1448" s="24"/>
      <c r="K1448" s="50"/>
    </row>
    <row r="1449">
      <c r="G1449" s="24"/>
      <c r="H1449" s="24"/>
      <c r="I1449" s="24"/>
      <c r="J1449" s="24"/>
      <c r="K1449" s="50"/>
    </row>
    <row r="1450">
      <c r="G1450" s="24"/>
      <c r="H1450" s="24"/>
      <c r="I1450" s="24"/>
      <c r="J1450" s="24"/>
      <c r="K1450" s="50"/>
    </row>
    <row r="1451">
      <c r="G1451" s="24"/>
      <c r="H1451" s="24"/>
      <c r="I1451" s="24"/>
      <c r="J1451" s="24"/>
      <c r="K1451" s="50"/>
    </row>
    <row r="1452">
      <c r="G1452" s="24"/>
      <c r="H1452" s="24"/>
      <c r="I1452" s="24"/>
      <c r="J1452" s="24"/>
      <c r="K1452" s="50"/>
    </row>
    <row r="1453">
      <c r="G1453" s="24"/>
      <c r="H1453" s="24"/>
      <c r="I1453" s="24"/>
      <c r="J1453" s="24"/>
      <c r="K1453" s="50"/>
    </row>
    <row r="1454">
      <c r="G1454" s="24"/>
      <c r="H1454" s="24"/>
      <c r="I1454" s="24"/>
      <c r="J1454" s="24"/>
      <c r="K1454" s="50"/>
    </row>
    <row r="1455">
      <c r="G1455" s="24"/>
      <c r="H1455" s="24"/>
      <c r="I1455" s="24"/>
      <c r="J1455" s="24"/>
      <c r="K1455" s="50"/>
    </row>
    <row r="1456">
      <c r="G1456" s="24"/>
      <c r="H1456" s="24"/>
      <c r="I1456" s="24"/>
      <c r="J1456" s="24"/>
      <c r="K1456" s="50"/>
    </row>
    <row r="1457">
      <c r="G1457" s="24"/>
      <c r="H1457" s="24"/>
      <c r="I1457" s="24"/>
      <c r="J1457" s="24"/>
      <c r="K1457" s="50"/>
    </row>
    <row r="1458">
      <c r="G1458" s="24"/>
      <c r="H1458" s="24"/>
      <c r="I1458" s="24"/>
      <c r="J1458" s="24"/>
      <c r="K1458" s="50"/>
    </row>
    <row r="1459">
      <c r="G1459" s="24"/>
      <c r="H1459" s="24"/>
      <c r="I1459" s="24"/>
      <c r="J1459" s="24"/>
      <c r="K1459" s="50"/>
    </row>
    <row r="1460">
      <c r="G1460" s="24"/>
      <c r="H1460" s="24"/>
      <c r="I1460" s="24"/>
      <c r="J1460" s="24"/>
      <c r="K1460" s="50"/>
    </row>
    <row r="1461">
      <c r="G1461" s="24"/>
      <c r="H1461" s="24"/>
      <c r="I1461" s="24"/>
      <c r="J1461" s="24"/>
      <c r="K1461" s="50"/>
    </row>
    <row r="1462">
      <c r="G1462" s="24"/>
      <c r="H1462" s="24"/>
      <c r="I1462" s="24"/>
      <c r="J1462" s="24"/>
      <c r="K1462" s="50"/>
    </row>
    <row r="1463">
      <c r="G1463" s="24"/>
      <c r="H1463" s="24"/>
      <c r="I1463" s="24"/>
      <c r="J1463" s="24"/>
      <c r="K1463" s="50"/>
    </row>
    <row r="1464">
      <c r="G1464" s="24"/>
      <c r="H1464" s="24"/>
      <c r="I1464" s="24"/>
      <c r="J1464" s="24"/>
      <c r="K1464" s="50"/>
    </row>
    <row r="1465">
      <c r="G1465" s="24"/>
      <c r="H1465" s="24"/>
      <c r="I1465" s="24"/>
      <c r="J1465" s="24"/>
      <c r="K1465" s="50"/>
    </row>
    <row r="1466">
      <c r="G1466" s="24"/>
      <c r="H1466" s="24"/>
      <c r="I1466" s="24"/>
      <c r="J1466" s="24"/>
      <c r="K1466" s="50"/>
    </row>
    <row r="1467">
      <c r="G1467" s="24"/>
      <c r="H1467" s="24"/>
      <c r="I1467" s="24"/>
      <c r="J1467" s="24"/>
      <c r="K1467" s="50"/>
    </row>
    <row r="1468">
      <c r="G1468" s="24"/>
      <c r="H1468" s="24"/>
      <c r="I1468" s="24"/>
      <c r="J1468" s="24"/>
      <c r="K1468" s="50"/>
    </row>
    <row r="1469">
      <c r="G1469" s="24"/>
      <c r="H1469" s="24"/>
      <c r="I1469" s="24"/>
      <c r="J1469" s="24"/>
      <c r="K1469" s="50"/>
    </row>
    <row r="1470">
      <c r="G1470" s="24"/>
      <c r="H1470" s="24"/>
      <c r="I1470" s="24"/>
      <c r="J1470" s="24"/>
      <c r="K1470" s="50"/>
    </row>
    <row r="1471">
      <c r="G1471" s="24"/>
      <c r="H1471" s="24"/>
      <c r="I1471" s="24"/>
      <c r="J1471" s="24"/>
      <c r="K1471" s="50"/>
    </row>
    <row r="1472">
      <c r="G1472" s="24"/>
      <c r="H1472" s="24"/>
      <c r="I1472" s="24"/>
      <c r="J1472" s="24"/>
      <c r="K1472" s="50"/>
    </row>
    <row r="1473">
      <c r="G1473" s="24"/>
      <c r="H1473" s="24"/>
      <c r="I1473" s="24"/>
      <c r="J1473" s="24"/>
      <c r="K1473" s="50"/>
    </row>
    <row r="1474">
      <c r="G1474" s="24"/>
      <c r="H1474" s="24"/>
      <c r="I1474" s="24"/>
      <c r="J1474" s="24"/>
      <c r="K1474" s="50"/>
    </row>
    <row r="1475">
      <c r="G1475" s="24"/>
      <c r="H1475" s="24"/>
      <c r="I1475" s="24"/>
      <c r="J1475" s="24"/>
      <c r="K1475" s="50"/>
    </row>
    <row r="1476">
      <c r="G1476" s="24"/>
      <c r="H1476" s="24"/>
      <c r="I1476" s="24"/>
      <c r="J1476" s="24"/>
      <c r="K1476" s="50"/>
    </row>
    <row r="1477">
      <c r="G1477" s="24"/>
      <c r="H1477" s="24"/>
      <c r="I1477" s="24"/>
      <c r="J1477" s="24"/>
      <c r="K1477" s="50"/>
    </row>
    <row r="1478">
      <c r="G1478" s="24"/>
      <c r="H1478" s="24"/>
      <c r="I1478" s="24"/>
      <c r="J1478" s="24"/>
      <c r="K1478" s="50"/>
    </row>
    <row r="1479">
      <c r="G1479" s="24"/>
      <c r="H1479" s="24"/>
      <c r="I1479" s="24"/>
      <c r="J1479" s="24"/>
      <c r="K1479" s="50"/>
    </row>
    <row r="1480">
      <c r="G1480" s="24"/>
      <c r="H1480" s="24"/>
      <c r="I1480" s="24"/>
      <c r="J1480" s="24"/>
      <c r="K1480" s="50"/>
    </row>
    <row r="1481">
      <c r="G1481" s="24"/>
      <c r="H1481" s="24"/>
      <c r="I1481" s="24"/>
      <c r="J1481" s="24"/>
      <c r="K1481" s="50"/>
    </row>
    <row r="1482">
      <c r="G1482" s="24"/>
      <c r="H1482" s="24"/>
      <c r="I1482" s="24"/>
      <c r="J1482" s="24"/>
      <c r="K1482" s="50"/>
    </row>
    <row r="1483">
      <c r="G1483" s="24"/>
      <c r="H1483" s="24"/>
      <c r="I1483" s="24"/>
      <c r="J1483" s="24"/>
      <c r="K1483" s="50"/>
    </row>
    <row r="1484">
      <c r="G1484" s="24"/>
      <c r="H1484" s="24"/>
      <c r="I1484" s="24"/>
      <c r="J1484" s="24"/>
      <c r="K1484" s="50"/>
    </row>
    <row r="1485">
      <c r="G1485" s="24"/>
      <c r="H1485" s="24"/>
      <c r="I1485" s="24"/>
      <c r="J1485" s="24"/>
      <c r="K1485" s="50"/>
    </row>
    <row r="1486">
      <c r="G1486" s="24"/>
      <c r="H1486" s="24"/>
      <c r="I1486" s="24"/>
      <c r="J1486" s="24"/>
      <c r="K1486" s="50"/>
    </row>
    <row r="1487">
      <c r="G1487" s="24"/>
      <c r="H1487" s="24"/>
      <c r="I1487" s="24"/>
      <c r="J1487" s="24"/>
      <c r="K1487" s="50"/>
    </row>
    <row r="1488">
      <c r="G1488" s="24"/>
      <c r="H1488" s="24"/>
      <c r="I1488" s="24"/>
      <c r="J1488" s="24"/>
      <c r="K1488" s="50"/>
    </row>
    <row r="1489">
      <c r="G1489" s="24"/>
      <c r="H1489" s="24"/>
      <c r="I1489" s="24"/>
      <c r="J1489" s="24"/>
      <c r="K1489" s="50"/>
    </row>
    <row r="1490">
      <c r="G1490" s="24"/>
      <c r="H1490" s="24"/>
      <c r="I1490" s="24"/>
      <c r="J1490" s="24"/>
      <c r="K1490" s="50"/>
    </row>
    <row r="1491">
      <c r="G1491" s="24"/>
      <c r="H1491" s="24"/>
      <c r="I1491" s="24"/>
      <c r="J1491" s="24"/>
      <c r="K1491" s="50"/>
    </row>
    <row r="1492">
      <c r="G1492" s="24"/>
      <c r="H1492" s="24"/>
      <c r="I1492" s="24"/>
      <c r="J1492" s="24"/>
      <c r="K1492" s="50"/>
    </row>
    <row r="1493">
      <c r="G1493" s="24"/>
      <c r="H1493" s="24"/>
      <c r="I1493" s="24"/>
      <c r="J1493" s="24"/>
      <c r="K1493" s="50"/>
    </row>
    <row r="1494">
      <c r="G1494" s="24"/>
      <c r="H1494" s="24"/>
      <c r="I1494" s="24"/>
      <c r="J1494" s="24"/>
      <c r="K1494" s="50"/>
    </row>
    <row r="1495">
      <c r="G1495" s="24"/>
      <c r="H1495" s="24"/>
      <c r="I1495" s="24"/>
      <c r="J1495" s="24"/>
      <c r="K1495" s="50"/>
    </row>
    <row r="1496">
      <c r="G1496" s="24"/>
      <c r="H1496" s="24"/>
      <c r="I1496" s="24"/>
      <c r="J1496" s="24"/>
      <c r="K1496" s="50"/>
    </row>
    <row r="1497">
      <c r="G1497" s="24"/>
      <c r="H1497" s="24"/>
      <c r="I1497" s="24"/>
      <c r="J1497" s="24"/>
      <c r="K1497" s="50"/>
    </row>
    <row r="1498">
      <c r="G1498" s="24"/>
      <c r="H1498" s="24"/>
      <c r="I1498" s="24"/>
      <c r="J1498" s="24"/>
      <c r="K1498" s="50"/>
    </row>
    <row r="1499">
      <c r="G1499" s="24"/>
      <c r="H1499" s="24"/>
      <c r="I1499" s="24"/>
      <c r="J1499" s="24"/>
      <c r="K1499" s="50"/>
    </row>
    <row r="1500">
      <c r="G1500" s="24"/>
      <c r="H1500" s="24"/>
      <c r="I1500" s="24"/>
      <c r="J1500" s="24"/>
      <c r="K1500" s="50"/>
    </row>
    <row r="1501">
      <c r="G1501" s="24"/>
      <c r="H1501" s="24"/>
      <c r="I1501" s="24"/>
      <c r="J1501" s="24"/>
      <c r="K1501" s="50"/>
    </row>
    <row r="1502">
      <c r="G1502" s="24"/>
      <c r="H1502" s="24"/>
      <c r="I1502" s="24"/>
      <c r="J1502" s="24"/>
      <c r="K1502" s="50"/>
    </row>
    <row r="1503">
      <c r="G1503" s="24"/>
      <c r="H1503" s="24"/>
      <c r="I1503" s="24"/>
      <c r="J1503" s="24"/>
      <c r="K1503" s="50"/>
    </row>
    <row r="1504">
      <c r="G1504" s="24"/>
      <c r="H1504" s="24"/>
      <c r="I1504" s="24"/>
      <c r="J1504" s="24"/>
      <c r="K1504" s="50"/>
    </row>
    <row r="1505">
      <c r="G1505" s="24"/>
      <c r="H1505" s="24"/>
      <c r="I1505" s="24"/>
      <c r="J1505" s="24"/>
      <c r="K1505" s="50"/>
    </row>
    <row r="1506">
      <c r="G1506" s="24"/>
      <c r="H1506" s="24"/>
      <c r="I1506" s="24"/>
      <c r="J1506" s="24"/>
      <c r="K1506" s="50"/>
    </row>
    <row r="1507">
      <c r="G1507" s="24"/>
      <c r="H1507" s="24"/>
      <c r="I1507" s="24"/>
      <c r="J1507" s="24"/>
      <c r="K1507" s="50"/>
    </row>
    <row r="1508">
      <c r="G1508" s="24"/>
      <c r="H1508" s="24"/>
      <c r="I1508" s="24"/>
      <c r="J1508" s="24"/>
      <c r="K1508" s="50"/>
    </row>
    <row r="1509">
      <c r="G1509" s="24"/>
      <c r="H1509" s="24"/>
      <c r="I1509" s="24"/>
      <c r="J1509" s="24"/>
      <c r="K1509" s="50"/>
    </row>
    <row r="1510">
      <c r="G1510" s="24"/>
      <c r="H1510" s="24"/>
      <c r="I1510" s="24"/>
      <c r="J1510" s="24"/>
      <c r="K1510" s="50"/>
    </row>
    <row r="1511">
      <c r="G1511" s="24"/>
      <c r="H1511" s="24"/>
      <c r="I1511" s="24"/>
      <c r="J1511" s="24"/>
      <c r="K1511" s="50"/>
    </row>
    <row r="1512">
      <c r="G1512" s="24"/>
      <c r="H1512" s="24"/>
      <c r="I1512" s="24"/>
      <c r="J1512" s="24"/>
      <c r="K1512" s="50"/>
    </row>
    <row r="1513">
      <c r="G1513" s="24"/>
      <c r="H1513" s="24"/>
      <c r="I1513" s="24"/>
      <c r="J1513" s="24"/>
      <c r="K1513" s="50"/>
    </row>
    <row r="1514">
      <c r="G1514" s="24"/>
      <c r="H1514" s="24"/>
      <c r="I1514" s="24"/>
      <c r="J1514" s="24"/>
      <c r="K1514" s="50"/>
    </row>
    <row r="1515">
      <c r="G1515" s="24"/>
      <c r="H1515" s="24"/>
      <c r="I1515" s="24"/>
      <c r="J1515" s="24"/>
      <c r="K1515" s="50"/>
    </row>
    <row r="1516">
      <c r="G1516" s="24"/>
      <c r="H1516" s="24"/>
      <c r="I1516" s="24"/>
      <c r="J1516" s="24"/>
      <c r="K1516" s="50"/>
    </row>
    <row r="1517">
      <c r="G1517" s="24"/>
      <c r="H1517" s="24"/>
      <c r="I1517" s="24"/>
      <c r="J1517" s="24"/>
      <c r="K1517" s="50"/>
    </row>
    <row r="1518">
      <c r="G1518" s="24"/>
      <c r="H1518" s="24"/>
      <c r="I1518" s="24"/>
      <c r="J1518" s="24"/>
      <c r="K1518" s="50"/>
    </row>
    <row r="1519">
      <c r="G1519" s="24"/>
      <c r="H1519" s="24"/>
      <c r="I1519" s="24"/>
      <c r="J1519" s="24"/>
      <c r="K1519" s="50"/>
    </row>
    <row r="1520">
      <c r="G1520" s="24"/>
      <c r="H1520" s="24"/>
      <c r="I1520" s="24"/>
      <c r="J1520" s="24"/>
      <c r="K1520" s="50"/>
    </row>
    <row r="1521">
      <c r="G1521" s="24"/>
      <c r="H1521" s="24"/>
      <c r="I1521" s="24"/>
      <c r="J1521" s="24"/>
      <c r="K1521" s="50"/>
    </row>
    <row r="1522">
      <c r="G1522" s="24"/>
      <c r="H1522" s="24"/>
      <c r="I1522" s="24"/>
      <c r="J1522" s="24"/>
      <c r="K1522" s="50"/>
    </row>
    <row r="1523">
      <c r="G1523" s="24"/>
      <c r="H1523" s="24"/>
      <c r="I1523" s="24"/>
      <c r="J1523" s="24"/>
      <c r="K1523" s="50"/>
    </row>
    <row r="1524">
      <c r="G1524" s="24"/>
      <c r="H1524" s="24"/>
      <c r="I1524" s="24"/>
      <c r="J1524" s="24"/>
      <c r="K1524" s="50"/>
    </row>
    <row r="1525">
      <c r="G1525" s="24"/>
      <c r="H1525" s="24"/>
      <c r="I1525" s="24"/>
      <c r="J1525" s="24"/>
      <c r="K1525" s="50"/>
    </row>
    <row r="1526">
      <c r="G1526" s="24"/>
      <c r="H1526" s="24"/>
      <c r="I1526" s="24"/>
      <c r="J1526" s="24"/>
      <c r="K1526" s="50"/>
    </row>
    <row r="1527">
      <c r="G1527" s="24"/>
      <c r="H1527" s="24"/>
      <c r="I1527" s="24"/>
      <c r="J1527" s="24"/>
      <c r="K1527" s="50"/>
    </row>
    <row r="1528">
      <c r="G1528" s="24"/>
      <c r="H1528" s="24"/>
      <c r="I1528" s="24"/>
      <c r="J1528" s="24"/>
      <c r="K1528" s="50"/>
    </row>
    <row r="1529">
      <c r="G1529" s="24"/>
      <c r="H1529" s="24"/>
      <c r="I1529" s="24"/>
      <c r="J1529" s="24"/>
      <c r="K1529" s="50"/>
    </row>
    <row r="1530">
      <c r="G1530" s="24"/>
      <c r="H1530" s="24"/>
      <c r="I1530" s="24"/>
      <c r="J1530" s="24"/>
      <c r="K1530" s="50"/>
    </row>
    <row r="1531">
      <c r="G1531" s="24"/>
      <c r="H1531" s="24"/>
      <c r="I1531" s="24"/>
      <c r="J1531" s="24"/>
      <c r="K1531" s="50"/>
    </row>
    <row r="1532">
      <c r="G1532" s="24"/>
      <c r="H1532" s="24"/>
      <c r="I1532" s="24"/>
      <c r="J1532" s="24"/>
      <c r="K1532" s="50"/>
    </row>
    <row r="1533">
      <c r="G1533" s="24"/>
      <c r="H1533" s="24"/>
      <c r="I1533" s="24"/>
      <c r="J1533" s="24"/>
      <c r="K1533" s="50"/>
    </row>
    <row r="1534">
      <c r="G1534" s="24"/>
      <c r="H1534" s="24"/>
      <c r="I1534" s="24"/>
      <c r="J1534" s="24"/>
      <c r="K1534" s="50"/>
    </row>
    <row r="1535">
      <c r="G1535" s="24"/>
      <c r="H1535" s="24"/>
      <c r="I1535" s="24"/>
      <c r="J1535" s="24"/>
      <c r="K1535" s="50"/>
    </row>
    <row r="1536">
      <c r="G1536" s="24"/>
      <c r="H1536" s="24"/>
      <c r="I1536" s="24"/>
      <c r="J1536" s="24"/>
      <c r="K1536" s="50"/>
    </row>
    <row r="1537">
      <c r="G1537" s="24"/>
      <c r="H1537" s="24"/>
      <c r="I1537" s="24"/>
      <c r="J1537" s="24"/>
      <c r="K1537" s="50"/>
    </row>
    <row r="1538">
      <c r="G1538" s="24"/>
      <c r="H1538" s="24"/>
      <c r="I1538" s="24"/>
      <c r="J1538" s="24"/>
      <c r="K1538" s="50"/>
    </row>
    <row r="1539">
      <c r="G1539" s="24"/>
      <c r="H1539" s="24"/>
      <c r="I1539" s="24"/>
      <c r="J1539" s="24"/>
      <c r="K1539" s="50"/>
    </row>
    <row r="1540">
      <c r="G1540" s="24"/>
      <c r="H1540" s="24"/>
      <c r="I1540" s="24"/>
      <c r="J1540" s="24"/>
      <c r="K1540" s="50"/>
    </row>
    <row r="1541">
      <c r="G1541" s="24"/>
      <c r="H1541" s="24"/>
      <c r="I1541" s="24"/>
      <c r="J1541" s="24"/>
      <c r="K1541" s="50"/>
    </row>
    <row r="1542">
      <c r="G1542" s="24"/>
      <c r="H1542" s="24"/>
      <c r="I1542" s="24"/>
      <c r="J1542" s="24"/>
      <c r="K1542" s="50"/>
    </row>
    <row r="1543">
      <c r="G1543" s="24"/>
      <c r="H1543" s="24"/>
      <c r="I1543" s="24"/>
      <c r="J1543" s="24"/>
      <c r="K1543" s="50"/>
    </row>
    <row r="1544">
      <c r="G1544" s="24"/>
      <c r="H1544" s="24"/>
      <c r="I1544" s="24"/>
      <c r="J1544" s="24"/>
      <c r="K1544" s="50"/>
    </row>
    <row r="1545">
      <c r="G1545" s="24"/>
      <c r="H1545" s="24"/>
      <c r="I1545" s="24"/>
      <c r="J1545" s="24"/>
      <c r="K1545" s="50"/>
    </row>
    <row r="1546">
      <c r="G1546" s="24"/>
      <c r="H1546" s="24"/>
      <c r="I1546" s="24"/>
      <c r="J1546" s="24"/>
      <c r="K1546" s="50"/>
    </row>
    <row r="1547">
      <c r="G1547" s="24"/>
      <c r="H1547" s="24"/>
      <c r="I1547" s="24"/>
      <c r="J1547" s="24"/>
      <c r="K1547" s="50"/>
    </row>
    <row r="1548">
      <c r="G1548" s="24"/>
      <c r="H1548" s="24"/>
      <c r="I1548" s="24"/>
      <c r="J1548" s="24"/>
      <c r="K1548" s="50"/>
    </row>
    <row r="1549">
      <c r="G1549" s="24"/>
      <c r="H1549" s="24"/>
      <c r="I1549" s="24"/>
      <c r="J1549" s="24"/>
      <c r="K1549" s="50"/>
    </row>
    <row r="1550">
      <c r="G1550" s="24"/>
      <c r="H1550" s="24"/>
      <c r="I1550" s="24"/>
      <c r="J1550" s="24"/>
      <c r="K1550" s="50"/>
    </row>
    <row r="1551">
      <c r="G1551" s="24"/>
      <c r="H1551" s="24"/>
      <c r="I1551" s="24"/>
      <c r="J1551" s="24"/>
      <c r="K1551" s="50"/>
    </row>
    <row r="1552">
      <c r="G1552" s="24"/>
      <c r="H1552" s="24"/>
      <c r="I1552" s="24"/>
      <c r="J1552" s="24"/>
      <c r="K1552" s="50"/>
    </row>
    <row r="1553">
      <c r="G1553" s="24"/>
      <c r="H1553" s="24"/>
      <c r="I1553" s="24"/>
      <c r="J1553" s="24"/>
      <c r="K1553" s="50"/>
    </row>
    <row r="1554">
      <c r="G1554" s="24"/>
      <c r="H1554" s="24"/>
      <c r="I1554" s="24"/>
      <c r="J1554" s="24"/>
      <c r="K1554" s="50"/>
    </row>
    <row r="1555">
      <c r="G1555" s="24"/>
      <c r="H1555" s="24"/>
      <c r="I1555" s="24"/>
      <c r="J1555" s="24"/>
      <c r="K1555" s="50"/>
    </row>
    <row r="1556">
      <c r="G1556" s="24"/>
      <c r="H1556" s="24"/>
      <c r="I1556" s="24"/>
      <c r="J1556" s="24"/>
      <c r="K1556" s="50"/>
    </row>
    <row r="1557">
      <c r="G1557" s="24"/>
      <c r="H1557" s="24"/>
      <c r="I1557" s="24"/>
      <c r="J1557" s="24"/>
      <c r="K1557" s="50"/>
    </row>
    <row r="1558">
      <c r="G1558" s="24"/>
      <c r="H1558" s="24"/>
      <c r="I1558" s="24"/>
      <c r="J1558" s="24"/>
      <c r="K1558" s="50"/>
    </row>
    <row r="1559">
      <c r="G1559" s="24"/>
      <c r="H1559" s="24"/>
      <c r="I1559" s="24"/>
      <c r="J1559" s="24"/>
      <c r="K1559" s="50"/>
    </row>
    <row r="1560">
      <c r="G1560" s="24"/>
      <c r="H1560" s="24"/>
      <c r="I1560" s="24"/>
      <c r="J1560" s="24"/>
      <c r="K1560" s="50"/>
    </row>
    <row r="1561">
      <c r="G1561" s="24"/>
      <c r="H1561" s="24"/>
      <c r="I1561" s="24"/>
      <c r="J1561" s="24"/>
      <c r="K1561" s="50"/>
    </row>
    <row r="1562">
      <c r="G1562" s="24"/>
      <c r="H1562" s="24"/>
      <c r="I1562" s="24"/>
      <c r="J1562" s="24"/>
      <c r="K1562" s="50"/>
    </row>
    <row r="1563">
      <c r="G1563" s="24"/>
      <c r="H1563" s="24"/>
      <c r="I1563" s="24"/>
      <c r="J1563" s="24"/>
      <c r="K1563" s="50"/>
    </row>
    <row r="1564">
      <c r="G1564" s="24"/>
      <c r="H1564" s="24"/>
      <c r="I1564" s="24"/>
      <c r="J1564" s="24"/>
      <c r="K1564" s="50"/>
    </row>
    <row r="1565">
      <c r="G1565" s="24"/>
      <c r="H1565" s="24"/>
      <c r="I1565" s="24"/>
      <c r="J1565" s="24"/>
      <c r="K1565" s="50"/>
    </row>
    <row r="1566">
      <c r="G1566" s="24"/>
      <c r="H1566" s="24"/>
      <c r="I1566" s="24"/>
      <c r="J1566" s="24"/>
      <c r="K1566" s="50"/>
    </row>
    <row r="1567">
      <c r="G1567" s="24"/>
      <c r="H1567" s="24"/>
      <c r="I1567" s="24"/>
      <c r="J1567" s="24"/>
      <c r="K1567" s="50"/>
    </row>
    <row r="1568">
      <c r="G1568" s="24"/>
      <c r="H1568" s="24"/>
      <c r="I1568" s="24"/>
      <c r="J1568" s="24"/>
      <c r="K1568" s="50"/>
    </row>
    <row r="1569">
      <c r="G1569" s="24"/>
      <c r="H1569" s="24"/>
      <c r="I1569" s="24"/>
      <c r="J1569" s="24"/>
      <c r="K1569" s="50"/>
    </row>
    <row r="1570">
      <c r="G1570" s="24"/>
      <c r="H1570" s="24"/>
      <c r="I1570" s="24"/>
      <c r="J1570" s="24"/>
      <c r="K1570" s="50"/>
    </row>
    <row r="1571">
      <c r="G1571" s="24"/>
      <c r="H1571" s="24"/>
      <c r="I1571" s="24"/>
      <c r="J1571" s="24"/>
      <c r="K1571" s="50"/>
    </row>
    <row r="1572">
      <c r="G1572" s="24"/>
      <c r="H1572" s="24"/>
      <c r="I1572" s="24"/>
      <c r="J1572" s="24"/>
      <c r="K1572" s="50"/>
    </row>
    <row r="1573">
      <c r="G1573" s="24"/>
      <c r="H1573" s="24"/>
      <c r="I1573" s="24"/>
      <c r="J1573" s="24"/>
      <c r="K1573" s="50"/>
    </row>
    <row r="1574">
      <c r="G1574" s="24"/>
      <c r="H1574" s="24"/>
      <c r="I1574" s="24"/>
      <c r="J1574" s="24"/>
      <c r="K1574" s="50"/>
    </row>
    <row r="1575">
      <c r="G1575" s="24"/>
      <c r="H1575" s="24"/>
      <c r="I1575" s="24"/>
      <c r="J1575" s="24"/>
      <c r="K1575" s="50"/>
    </row>
    <row r="1576">
      <c r="G1576" s="24"/>
      <c r="H1576" s="24"/>
      <c r="I1576" s="24"/>
      <c r="J1576" s="24"/>
      <c r="K1576" s="50"/>
    </row>
    <row r="1577">
      <c r="G1577" s="24"/>
      <c r="H1577" s="24"/>
      <c r="I1577" s="24"/>
      <c r="J1577" s="24"/>
      <c r="K1577" s="50"/>
    </row>
    <row r="1578">
      <c r="G1578" s="24"/>
      <c r="H1578" s="24"/>
      <c r="I1578" s="24"/>
      <c r="J1578" s="24"/>
      <c r="K1578" s="50"/>
    </row>
    <row r="1579">
      <c r="G1579" s="24"/>
      <c r="H1579" s="24"/>
      <c r="I1579" s="24"/>
      <c r="J1579" s="24"/>
      <c r="K1579" s="50"/>
    </row>
    <row r="1580">
      <c r="G1580" s="24"/>
      <c r="H1580" s="24"/>
      <c r="I1580" s="24"/>
      <c r="J1580" s="24"/>
      <c r="K1580" s="50"/>
    </row>
    <row r="1581">
      <c r="G1581" s="24"/>
      <c r="H1581" s="24"/>
      <c r="I1581" s="24"/>
      <c r="J1581" s="24"/>
      <c r="K1581" s="50"/>
    </row>
    <row r="1582">
      <c r="G1582" s="24"/>
      <c r="H1582" s="24"/>
      <c r="I1582" s="24"/>
      <c r="J1582" s="24"/>
      <c r="K1582" s="50"/>
    </row>
    <row r="1583">
      <c r="G1583" s="24"/>
      <c r="H1583" s="24"/>
      <c r="I1583" s="24"/>
      <c r="J1583" s="24"/>
      <c r="K1583" s="50"/>
    </row>
    <row r="1584">
      <c r="G1584" s="24"/>
      <c r="H1584" s="24"/>
      <c r="I1584" s="24"/>
      <c r="J1584" s="24"/>
      <c r="K1584" s="50"/>
    </row>
    <row r="1585">
      <c r="G1585" s="24"/>
      <c r="H1585" s="24"/>
      <c r="I1585" s="24"/>
      <c r="J1585" s="24"/>
      <c r="K1585" s="50"/>
    </row>
    <row r="1586">
      <c r="G1586" s="24"/>
      <c r="H1586" s="24"/>
      <c r="I1586" s="24"/>
      <c r="J1586" s="24"/>
      <c r="K1586" s="50"/>
    </row>
    <row r="1587">
      <c r="G1587" s="24"/>
      <c r="H1587" s="24"/>
      <c r="I1587" s="24"/>
      <c r="J1587" s="24"/>
      <c r="K1587" s="50"/>
    </row>
    <row r="1588">
      <c r="G1588" s="24"/>
      <c r="H1588" s="24"/>
      <c r="I1588" s="24"/>
      <c r="J1588" s="24"/>
      <c r="K1588" s="50"/>
    </row>
    <row r="1589">
      <c r="G1589" s="24"/>
      <c r="H1589" s="24"/>
      <c r="I1589" s="24"/>
      <c r="J1589" s="24"/>
      <c r="K1589" s="50"/>
    </row>
    <row r="1590">
      <c r="G1590" s="24"/>
      <c r="H1590" s="24"/>
      <c r="I1590" s="24"/>
      <c r="J1590" s="24"/>
      <c r="K1590" s="50"/>
    </row>
    <row r="1591">
      <c r="G1591" s="24"/>
      <c r="H1591" s="24"/>
      <c r="I1591" s="24"/>
      <c r="J1591" s="24"/>
      <c r="K1591" s="50"/>
    </row>
    <row r="1592">
      <c r="G1592" s="24"/>
      <c r="H1592" s="24"/>
      <c r="I1592" s="24"/>
      <c r="J1592" s="24"/>
      <c r="K1592" s="50"/>
    </row>
    <row r="1593">
      <c r="G1593" s="24"/>
      <c r="H1593" s="24"/>
      <c r="I1593" s="24"/>
      <c r="J1593" s="24"/>
      <c r="K1593" s="50"/>
    </row>
    <row r="1594">
      <c r="G1594" s="24"/>
      <c r="H1594" s="24"/>
      <c r="I1594" s="24"/>
      <c r="J1594" s="24"/>
      <c r="K1594" s="50"/>
    </row>
    <row r="1595">
      <c r="G1595" s="24"/>
      <c r="H1595" s="24"/>
      <c r="I1595" s="24"/>
      <c r="J1595" s="24"/>
      <c r="K1595" s="50"/>
    </row>
    <row r="1596">
      <c r="G1596" s="24"/>
      <c r="H1596" s="24"/>
      <c r="I1596" s="24"/>
      <c r="J1596" s="24"/>
      <c r="K1596" s="50"/>
    </row>
    <row r="1597">
      <c r="G1597" s="24"/>
      <c r="H1597" s="24"/>
      <c r="I1597" s="24"/>
      <c r="J1597" s="24"/>
      <c r="K1597" s="50"/>
    </row>
    <row r="1598">
      <c r="G1598" s="24"/>
      <c r="H1598" s="24"/>
      <c r="I1598" s="24"/>
      <c r="J1598" s="24"/>
      <c r="K1598" s="50"/>
    </row>
    <row r="1599">
      <c r="G1599" s="24"/>
      <c r="H1599" s="24"/>
      <c r="I1599" s="24"/>
      <c r="J1599" s="24"/>
      <c r="K1599" s="50"/>
    </row>
    <row r="1600">
      <c r="G1600" s="24"/>
      <c r="H1600" s="24"/>
      <c r="I1600" s="24"/>
      <c r="J1600" s="24"/>
      <c r="K1600" s="50"/>
    </row>
    <row r="1601">
      <c r="G1601" s="24"/>
      <c r="H1601" s="24"/>
      <c r="I1601" s="24"/>
      <c r="J1601" s="24"/>
      <c r="K1601" s="50"/>
    </row>
    <row r="1602">
      <c r="G1602" s="24"/>
      <c r="H1602" s="24"/>
      <c r="I1602" s="24"/>
      <c r="J1602" s="24"/>
      <c r="K1602" s="50"/>
    </row>
    <row r="1603">
      <c r="G1603" s="24"/>
      <c r="H1603" s="24"/>
      <c r="I1603" s="24"/>
      <c r="J1603" s="24"/>
      <c r="K1603" s="50"/>
    </row>
    <row r="1604">
      <c r="G1604" s="24"/>
      <c r="H1604" s="24"/>
      <c r="I1604" s="24"/>
      <c r="J1604" s="24"/>
      <c r="K1604" s="50"/>
    </row>
    <row r="1605">
      <c r="G1605" s="24"/>
      <c r="H1605" s="24"/>
      <c r="I1605" s="24"/>
      <c r="J1605" s="24"/>
      <c r="K1605" s="50"/>
    </row>
    <row r="1606">
      <c r="G1606" s="24"/>
      <c r="H1606" s="24"/>
      <c r="I1606" s="24"/>
      <c r="J1606" s="24"/>
      <c r="K1606" s="50"/>
    </row>
    <row r="1607">
      <c r="G1607" s="24"/>
      <c r="H1607" s="24"/>
      <c r="I1607" s="24"/>
      <c r="J1607" s="24"/>
      <c r="K1607" s="50"/>
    </row>
    <row r="1608">
      <c r="G1608" s="24"/>
      <c r="H1608" s="24"/>
      <c r="I1608" s="24"/>
      <c r="J1608" s="24"/>
      <c r="K1608" s="50"/>
    </row>
    <row r="1609">
      <c r="G1609" s="24"/>
      <c r="H1609" s="24"/>
      <c r="I1609" s="24"/>
      <c r="J1609" s="24"/>
      <c r="K1609" s="50"/>
    </row>
    <row r="1610">
      <c r="G1610" s="24"/>
      <c r="H1610" s="24"/>
      <c r="I1610" s="24"/>
      <c r="J1610" s="24"/>
      <c r="K1610" s="50"/>
    </row>
    <row r="1611">
      <c r="G1611" s="24"/>
      <c r="H1611" s="24"/>
      <c r="I1611" s="24"/>
      <c r="J1611" s="24"/>
      <c r="K1611" s="50"/>
    </row>
    <row r="1612">
      <c r="G1612" s="24"/>
      <c r="H1612" s="24"/>
      <c r="I1612" s="24"/>
      <c r="J1612" s="24"/>
      <c r="K1612" s="50"/>
    </row>
    <row r="1613">
      <c r="G1613" s="24"/>
      <c r="H1613" s="24"/>
      <c r="I1613" s="24"/>
      <c r="J1613" s="24"/>
      <c r="K1613" s="50"/>
    </row>
    <row r="1614">
      <c r="G1614" s="24"/>
      <c r="H1614" s="24"/>
      <c r="I1614" s="24"/>
      <c r="J1614" s="24"/>
      <c r="K1614" s="50"/>
    </row>
    <row r="1615">
      <c r="G1615" s="24"/>
      <c r="H1615" s="24"/>
      <c r="I1615" s="24"/>
      <c r="J1615" s="24"/>
      <c r="K1615" s="50"/>
    </row>
    <row r="1616">
      <c r="G1616" s="24"/>
      <c r="H1616" s="24"/>
      <c r="I1616" s="24"/>
      <c r="J1616" s="24"/>
      <c r="K1616" s="50"/>
    </row>
    <row r="1617">
      <c r="G1617" s="24"/>
      <c r="H1617" s="24"/>
      <c r="I1617" s="24"/>
      <c r="J1617" s="24"/>
      <c r="K1617" s="50"/>
    </row>
    <row r="1618">
      <c r="G1618" s="24"/>
      <c r="H1618" s="24"/>
      <c r="I1618" s="24"/>
      <c r="J1618" s="24"/>
      <c r="K1618" s="50"/>
    </row>
    <row r="1619">
      <c r="G1619" s="24"/>
      <c r="H1619" s="24"/>
      <c r="I1619" s="24"/>
      <c r="J1619" s="24"/>
      <c r="K1619" s="50"/>
    </row>
    <row r="1620">
      <c r="G1620" s="24"/>
      <c r="H1620" s="24"/>
      <c r="I1620" s="24"/>
      <c r="J1620" s="24"/>
      <c r="K1620" s="50"/>
    </row>
    <row r="1621">
      <c r="G1621" s="24"/>
      <c r="H1621" s="24"/>
      <c r="I1621" s="24"/>
      <c r="J1621" s="24"/>
      <c r="K1621" s="50"/>
    </row>
    <row r="1622">
      <c r="G1622" s="24"/>
      <c r="H1622" s="24"/>
      <c r="I1622" s="24"/>
      <c r="J1622" s="24"/>
      <c r="K1622" s="50"/>
    </row>
    <row r="1623">
      <c r="G1623" s="24"/>
      <c r="H1623" s="24"/>
      <c r="I1623" s="24"/>
      <c r="J1623" s="24"/>
      <c r="K1623" s="50"/>
    </row>
    <row r="1624">
      <c r="G1624" s="24"/>
      <c r="H1624" s="24"/>
      <c r="I1624" s="24"/>
      <c r="J1624" s="24"/>
      <c r="K1624" s="50"/>
    </row>
    <row r="1625">
      <c r="G1625" s="24"/>
      <c r="H1625" s="24"/>
      <c r="I1625" s="24"/>
      <c r="J1625" s="24"/>
      <c r="K1625" s="50"/>
    </row>
    <row r="1626">
      <c r="G1626" s="24"/>
      <c r="H1626" s="24"/>
      <c r="I1626" s="24"/>
      <c r="J1626" s="24"/>
      <c r="K1626" s="50"/>
    </row>
    <row r="1627">
      <c r="G1627" s="24"/>
      <c r="H1627" s="24"/>
      <c r="I1627" s="24"/>
      <c r="J1627" s="24"/>
      <c r="K1627" s="50"/>
    </row>
    <row r="1628">
      <c r="G1628" s="24"/>
      <c r="H1628" s="24"/>
      <c r="I1628" s="24"/>
      <c r="J1628" s="24"/>
      <c r="K1628" s="50"/>
    </row>
    <row r="1629">
      <c r="G1629" s="24"/>
      <c r="H1629" s="24"/>
      <c r="I1629" s="24"/>
      <c r="J1629" s="24"/>
      <c r="K1629" s="50"/>
    </row>
    <row r="1630">
      <c r="G1630" s="24"/>
      <c r="H1630" s="24"/>
      <c r="I1630" s="24"/>
      <c r="J1630" s="24"/>
      <c r="K1630" s="50"/>
    </row>
    <row r="1631">
      <c r="G1631" s="24"/>
      <c r="H1631" s="24"/>
      <c r="I1631" s="24"/>
      <c r="J1631" s="24"/>
      <c r="K1631" s="50"/>
    </row>
    <row r="1632">
      <c r="G1632" s="24"/>
      <c r="H1632" s="24"/>
      <c r="I1632" s="24"/>
      <c r="J1632" s="24"/>
      <c r="K1632" s="50"/>
    </row>
    <row r="1633">
      <c r="G1633" s="24"/>
      <c r="H1633" s="24"/>
      <c r="I1633" s="24"/>
      <c r="J1633" s="24"/>
      <c r="K1633" s="50"/>
    </row>
    <row r="1634">
      <c r="G1634" s="24"/>
      <c r="H1634" s="24"/>
      <c r="I1634" s="24"/>
      <c r="J1634" s="24"/>
      <c r="K1634" s="50"/>
    </row>
    <row r="1635">
      <c r="G1635" s="24"/>
      <c r="H1635" s="24"/>
      <c r="I1635" s="24"/>
      <c r="J1635" s="24"/>
      <c r="K1635" s="50"/>
    </row>
    <row r="1636">
      <c r="G1636" s="24"/>
      <c r="H1636" s="24"/>
      <c r="I1636" s="24"/>
      <c r="J1636" s="24"/>
      <c r="K1636" s="50"/>
    </row>
    <row r="1637">
      <c r="G1637" s="24"/>
      <c r="H1637" s="24"/>
      <c r="I1637" s="24"/>
      <c r="J1637" s="24"/>
      <c r="K1637" s="50"/>
    </row>
    <row r="1638">
      <c r="G1638" s="24"/>
      <c r="H1638" s="24"/>
      <c r="I1638" s="24"/>
      <c r="J1638" s="24"/>
      <c r="K1638" s="50"/>
    </row>
    <row r="1639">
      <c r="G1639" s="24"/>
      <c r="H1639" s="24"/>
      <c r="I1639" s="24"/>
      <c r="J1639" s="24"/>
      <c r="K1639" s="50"/>
    </row>
    <row r="1640">
      <c r="G1640" s="24"/>
      <c r="H1640" s="24"/>
      <c r="I1640" s="24"/>
      <c r="J1640" s="24"/>
      <c r="K1640" s="50"/>
    </row>
    <row r="1641">
      <c r="G1641" s="24"/>
      <c r="H1641" s="24"/>
      <c r="I1641" s="24"/>
      <c r="J1641" s="24"/>
      <c r="K1641" s="50"/>
    </row>
    <row r="1642">
      <c r="G1642" s="24"/>
      <c r="H1642" s="24"/>
      <c r="I1642" s="24"/>
      <c r="J1642" s="24"/>
      <c r="K1642" s="50"/>
    </row>
    <row r="1643">
      <c r="G1643" s="24"/>
      <c r="H1643" s="24"/>
      <c r="I1643" s="24"/>
      <c r="J1643" s="24"/>
      <c r="K1643" s="50"/>
    </row>
    <row r="1644">
      <c r="G1644" s="24"/>
      <c r="H1644" s="24"/>
      <c r="I1644" s="24"/>
      <c r="J1644" s="24"/>
      <c r="K1644" s="50"/>
    </row>
    <row r="1645">
      <c r="G1645" s="24"/>
      <c r="H1645" s="24"/>
      <c r="I1645" s="24"/>
      <c r="J1645" s="24"/>
      <c r="K1645" s="50"/>
    </row>
    <row r="1646">
      <c r="G1646" s="24"/>
      <c r="H1646" s="24"/>
      <c r="I1646" s="24"/>
      <c r="J1646" s="24"/>
      <c r="K1646" s="50"/>
    </row>
    <row r="1647">
      <c r="G1647" s="24"/>
      <c r="H1647" s="24"/>
      <c r="I1647" s="24"/>
      <c r="J1647" s="24"/>
      <c r="K1647" s="50"/>
    </row>
    <row r="1648">
      <c r="G1648" s="24"/>
      <c r="H1648" s="24"/>
      <c r="I1648" s="24"/>
      <c r="J1648" s="24"/>
      <c r="K1648" s="50"/>
    </row>
    <row r="1649">
      <c r="G1649" s="24"/>
      <c r="H1649" s="24"/>
      <c r="I1649" s="24"/>
      <c r="J1649" s="24"/>
      <c r="K1649" s="50"/>
    </row>
    <row r="1650">
      <c r="G1650" s="24"/>
      <c r="H1650" s="24"/>
      <c r="I1650" s="24"/>
      <c r="J1650" s="24"/>
      <c r="K1650" s="50"/>
    </row>
    <row r="1651">
      <c r="G1651" s="24"/>
      <c r="H1651" s="24"/>
      <c r="I1651" s="24"/>
      <c r="J1651" s="24"/>
      <c r="K1651" s="50"/>
    </row>
    <row r="1652">
      <c r="G1652" s="24"/>
      <c r="H1652" s="24"/>
      <c r="I1652" s="24"/>
      <c r="J1652" s="24"/>
      <c r="K1652" s="50"/>
    </row>
    <row r="1653">
      <c r="G1653" s="24"/>
      <c r="H1653" s="24"/>
      <c r="I1653" s="24"/>
      <c r="J1653" s="24"/>
      <c r="K1653" s="50"/>
    </row>
    <row r="1654">
      <c r="G1654" s="24"/>
      <c r="H1654" s="24"/>
      <c r="I1654" s="24"/>
      <c r="J1654" s="24"/>
      <c r="K1654" s="50"/>
    </row>
    <row r="1655">
      <c r="G1655" s="24"/>
      <c r="H1655" s="24"/>
      <c r="I1655" s="24"/>
      <c r="J1655" s="24"/>
      <c r="K1655" s="50"/>
    </row>
    <row r="1656">
      <c r="G1656" s="24"/>
      <c r="H1656" s="24"/>
      <c r="I1656" s="24"/>
      <c r="J1656" s="24"/>
      <c r="K1656" s="50"/>
    </row>
    <row r="1657">
      <c r="G1657" s="24"/>
      <c r="H1657" s="24"/>
      <c r="I1657" s="24"/>
      <c r="J1657" s="24"/>
      <c r="K1657" s="50"/>
    </row>
    <row r="1658">
      <c r="G1658" s="24"/>
      <c r="H1658" s="24"/>
      <c r="I1658" s="24"/>
      <c r="J1658" s="24"/>
      <c r="K1658" s="50"/>
    </row>
    <row r="1659">
      <c r="G1659" s="24"/>
      <c r="H1659" s="24"/>
      <c r="I1659" s="24"/>
      <c r="J1659" s="24"/>
      <c r="K1659" s="50"/>
    </row>
    <row r="1660">
      <c r="G1660" s="24"/>
      <c r="H1660" s="24"/>
      <c r="I1660" s="24"/>
      <c r="J1660" s="24"/>
      <c r="K1660" s="50"/>
    </row>
    <row r="1661">
      <c r="G1661" s="24"/>
      <c r="H1661" s="24"/>
      <c r="I1661" s="24"/>
      <c r="J1661" s="24"/>
      <c r="K1661" s="50"/>
    </row>
    <row r="1662">
      <c r="G1662" s="24"/>
      <c r="H1662" s="24"/>
      <c r="I1662" s="24"/>
      <c r="J1662" s="24"/>
      <c r="K1662" s="50"/>
    </row>
    <row r="1663">
      <c r="G1663" s="24"/>
      <c r="H1663" s="24"/>
      <c r="I1663" s="24"/>
      <c r="J1663" s="24"/>
      <c r="K1663" s="50"/>
    </row>
    <row r="1664">
      <c r="G1664" s="24"/>
      <c r="H1664" s="24"/>
      <c r="I1664" s="24"/>
      <c r="J1664" s="24"/>
      <c r="K1664" s="50"/>
    </row>
    <row r="1665">
      <c r="G1665" s="24"/>
      <c r="H1665" s="24"/>
      <c r="I1665" s="24"/>
      <c r="J1665" s="24"/>
      <c r="K1665" s="50"/>
    </row>
    <row r="1666">
      <c r="G1666" s="24"/>
      <c r="H1666" s="24"/>
      <c r="I1666" s="24"/>
      <c r="J1666" s="24"/>
      <c r="K1666" s="50"/>
    </row>
    <row r="1667">
      <c r="G1667" s="24"/>
      <c r="H1667" s="24"/>
      <c r="I1667" s="24"/>
      <c r="J1667" s="24"/>
      <c r="K1667" s="50"/>
    </row>
    <row r="1668">
      <c r="G1668" s="24"/>
      <c r="H1668" s="24"/>
      <c r="I1668" s="24"/>
      <c r="J1668" s="24"/>
      <c r="K1668" s="50"/>
    </row>
    <row r="1669">
      <c r="G1669" s="24"/>
      <c r="H1669" s="24"/>
      <c r="I1669" s="24"/>
      <c r="J1669" s="24"/>
      <c r="K1669" s="50"/>
    </row>
    <row r="1670">
      <c r="G1670" s="24"/>
      <c r="H1670" s="24"/>
      <c r="I1670" s="24"/>
      <c r="J1670" s="24"/>
      <c r="K1670" s="50"/>
    </row>
    <row r="1671">
      <c r="G1671" s="24"/>
      <c r="H1671" s="24"/>
      <c r="I1671" s="24"/>
      <c r="J1671" s="24"/>
      <c r="K1671" s="50"/>
    </row>
    <row r="1672">
      <c r="G1672" s="24"/>
      <c r="H1672" s="24"/>
      <c r="I1672" s="24"/>
      <c r="J1672" s="24"/>
      <c r="K1672" s="50"/>
    </row>
    <row r="1673">
      <c r="G1673" s="24"/>
      <c r="H1673" s="24"/>
      <c r="I1673" s="24"/>
      <c r="J1673" s="24"/>
      <c r="K1673" s="50"/>
    </row>
    <row r="1674">
      <c r="G1674" s="24"/>
      <c r="H1674" s="24"/>
      <c r="I1674" s="24"/>
      <c r="J1674" s="24"/>
      <c r="K1674" s="50"/>
    </row>
    <row r="1675">
      <c r="G1675" s="24"/>
      <c r="H1675" s="24"/>
      <c r="I1675" s="24"/>
      <c r="J1675" s="24"/>
      <c r="K1675" s="50"/>
    </row>
    <row r="1676">
      <c r="G1676" s="24"/>
      <c r="H1676" s="24"/>
      <c r="I1676" s="24"/>
      <c r="J1676" s="24"/>
      <c r="K1676" s="50"/>
    </row>
    <row r="1677">
      <c r="G1677" s="24"/>
      <c r="H1677" s="24"/>
      <c r="I1677" s="24"/>
      <c r="J1677" s="24"/>
      <c r="K1677" s="50"/>
    </row>
    <row r="1678">
      <c r="G1678" s="24"/>
      <c r="H1678" s="24"/>
      <c r="I1678" s="24"/>
      <c r="J1678" s="24"/>
      <c r="K1678" s="50"/>
    </row>
    <row r="1679">
      <c r="G1679" s="24"/>
      <c r="H1679" s="24"/>
      <c r="I1679" s="24"/>
      <c r="J1679" s="24"/>
      <c r="K1679" s="50"/>
    </row>
    <row r="1680">
      <c r="G1680" s="24"/>
      <c r="H1680" s="24"/>
      <c r="I1680" s="24"/>
      <c r="J1680" s="24"/>
      <c r="K1680" s="50"/>
    </row>
    <row r="1681">
      <c r="G1681" s="24"/>
      <c r="H1681" s="24"/>
      <c r="I1681" s="24"/>
      <c r="J1681" s="24"/>
      <c r="K1681" s="50"/>
    </row>
    <row r="1682">
      <c r="G1682" s="24"/>
      <c r="H1682" s="24"/>
      <c r="I1682" s="24"/>
      <c r="J1682" s="24"/>
      <c r="K1682" s="50"/>
    </row>
    <row r="1683">
      <c r="G1683" s="24"/>
      <c r="H1683" s="24"/>
      <c r="I1683" s="24"/>
      <c r="J1683" s="24"/>
      <c r="K1683" s="50"/>
    </row>
    <row r="1684">
      <c r="G1684" s="24"/>
      <c r="H1684" s="24"/>
      <c r="I1684" s="24"/>
      <c r="J1684" s="24"/>
      <c r="K1684" s="50"/>
    </row>
    <row r="1685">
      <c r="G1685" s="24"/>
      <c r="H1685" s="24"/>
      <c r="I1685" s="24"/>
      <c r="J1685" s="24"/>
      <c r="K1685" s="50"/>
    </row>
    <row r="1686">
      <c r="G1686" s="24"/>
      <c r="H1686" s="24"/>
      <c r="I1686" s="24"/>
      <c r="J1686" s="24"/>
      <c r="K1686" s="50"/>
    </row>
    <row r="1687">
      <c r="G1687" s="24"/>
      <c r="H1687" s="24"/>
      <c r="I1687" s="24"/>
      <c r="J1687" s="24"/>
      <c r="K1687" s="50"/>
    </row>
    <row r="1688">
      <c r="G1688" s="24"/>
      <c r="H1688" s="24"/>
      <c r="I1688" s="24"/>
      <c r="J1688" s="24"/>
      <c r="K1688" s="50"/>
    </row>
    <row r="1689">
      <c r="G1689" s="24"/>
      <c r="H1689" s="24"/>
      <c r="I1689" s="24"/>
      <c r="J1689" s="24"/>
      <c r="K1689" s="50"/>
    </row>
    <row r="1690">
      <c r="G1690" s="24"/>
      <c r="H1690" s="24"/>
      <c r="I1690" s="24"/>
      <c r="J1690" s="24"/>
      <c r="K1690" s="50"/>
    </row>
    <row r="1691">
      <c r="G1691" s="24"/>
      <c r="H1691" s="24"/>
      <c r="I1691" s="24"/>
      <c r="J1691" s="24"/>
      <c r="K1691" s="50"/>
    </row>
    <row r="1692">
      <c r="G1692" s="24"/>
      <c r="H1692" s="24"/>
      <c r="I1692" s="24"/>
      <c r="J1692" s="24"/>
      <c r="K1692" s="50"/>
    </row>
    <row r="1693">
      <c r="G1693" s="24"/>
      <c r="H1693" s="24"/>
      <c r="I1693" s="24"/>
      <c r="J1693" s="24"/>
      <c r="K1693" s="50"/>
    </row>
    <row r="1694">
      <c r="G1694" s="24"/>
      <c r="H1694" s="24"/>
      <c r="I1694" s="24"/>
      <c r="J1694" s="24"/>
      <c r="K1694" s="50"/>
    </row>
    <row r="1695">
      <c r="G1695" s="24"/>
      <c r="H1695" s="24"/>
      <c r="I1695" s="24"/>
      <c r="J1695" s="24"/>
      <c r="K1695" s="50"/>
    </row>
    <row r="1696">
      <c r="G1696" s="24"/>
      <c r="H1696" s="24"/>
      <c r="I1696" s="24"/>
      <c r="J1696" s="24"/>
      <c r="K1696" s="50"/>
    </row>
    <row r="1697">
      <c r="G1697" s="24"/>
      <c r="H1697" s="24"/>
      <c r="I1697" s="24"/>
      <c r="J1697" s="24"/>
      <c r="K1697" s="50"/>
    </row>
    <row r="1698">
      <c r="G1698" s="24"/>
      <c r="H1698" s="24"/>
      <c r="I1698" s="24"/>
      <c r="J1698" s="24"/>
      <c r="K1698" s="50"/>
    </row>
    <row r="1699">
      <c r="G1699" s="24"/>
      <c r="H1699" s="24"/>
      <c r="I1699" s="24"/>
      <c r="J1699" s="24"/>
      <c r="K1699" s="50"/>
    </row>
    <row r="1700">
      <c r="G1700" s="24"/>
      <c r="H1700" s="24"/>
      <c r="I1700" s="24"/>
      <c r="J1700" s="24"/>
      <c r="K1700" s="50"/>
    </row>
    <row r="1701">
      <c r="G1701" s="24"/>
      <c r="H1701" s="24"/>
      <c r="I1701" s="24"/>
      <c r="J1701" s="24"/>
      <c r="K1701" s="50"/>
    </row>
    <row r="1702">
      <c r="G1702" s="24"/>
      <c r="H1702" s="24"/>
      <c r="I1702" s="24"/>
      <c r="J1702" s="24"/>
      <c r="K1702" s="50"/>
    </row>
    <row r="1703">
      <c r="G1703" s="24"/>
      <c r="H1703" s="24"/>
      <c r="I1703" s="24"/>
      <c r="J1703" s="24"/>
      <c r="K1703" s="50"/>
    </row>
    <row r="1704">
      <c r="G1704" s="24"/>
      <c r="H1704" s="24"/>
      <c r="I1704" s="24"/>
      <c r="J1704" s="24"/>
      <c r="K1704" s="50"/>
    </row>
    <row r="1705">
      <c r="G1705" s="24"/>
      <c r="H1705" s="24"/>
      <c r="I1705" s="24"/>
      <c r="J1705" s="24"/>
      <c r="K1705" s="50"/>
    </row>
    <row r="1706">
      <c r="G1706" s="24"/>
      <c r="H1706" s="24"/>
      <c r="I1706" s="24"/>
      <c r="J1706" s="24"/>
      <c r="K1706" s="50"/>
    </row>
    <row r="1707">
      <c r="G1707" s="24"/>
      <c r="H1707" s="24"/>
      <c r="I1707" s="24"/>
      <c r="J1707" s="24"/>
      <c r="K1707" s="50"/>
    </row>
    <row r="1708">
      <c r="G1708" s="24"/>
      <c r="H1708" s="24"/>
      <c r="I1708" s="24"/>
      <c r="J1708" s="24"/>
      <c r="K1708" s="50"/>
    </row>
    <row r="1709">
      <c r="G1709" s="24"/>
      <c r="H1709" s="24"/>
      <c r="I1709" s="24"/>
      <c r="J1709" s="24"/>
      <c r="K1709" s="50"/>
    </row>
    <row r="1710">
      <c r="G1710" s="24"/>
      <c r="H1710" s="24"/>
      <c r="I1710" s="24"/>
      <c r="J1710" s="24"/>
      <c r="K1710" s="50"/>
    </row>
    <row r="1711">
      <c r="G1711" s="24"/>
      <c r="H1711" s="24"/>
      <c r="I1711" s="24"/>
      <c r="J1711" s="24"/>
      <c r="K1711" s="50"/>
    </row>
    <row r="1712">
      <c r="G1712" s="24"/>
      <c r="H1712" s="24"/>
      <c r="I1712" s="24"/>
      <c r="J1712" s="24"/>
      <c r="K1712" s="50"/>
    </row>
    <row r="1713">
      <c r="G1713" s="24"/>
      <c r="H1713" s="24"/>
      <c r="I1713" s="24"/>
      <c r="J1713" s="24"/>
      <c r="K1713" s="50"/>
    </row>
    <row r="1714">
      <c r="G1714" s="24"/>
      <c r="H1714" s="24"/>
      <c r="I1714" s="24"/>
      <c r="J1714" s="24"/>
      <c r="K1714" s="50"/>
    </row>
    <row r="1715">
      <c r="G1715" s="24"/>
      <c r="H1715" s="24"/>
      <c r="I1715" s="24"/>
      <c r="J1715" s="24"/>
      <c r="K1715" s="50"/>
    </row>
    <row r="1716">
      <c r="G1716" s="24"/>
      <c r="H1716" s="24"/>
      <c r="I1716" s="24"/>
      <c r="J1716" s="24"/>
      <c r="K1716" s="50"/>
    </row>
    <row r="1717">
      <c r="G1717" s="24"/>
      <c r="H1717" s="24"/>
      <c r="I1717" s="24"/>
      <c r="J1717" s="24"/>
      <c r="K1717" s="50"/>
    </row>
    <row r="1718">
      <c r="G1718" s="24"/>
      <c r="H1718" s="24"/>
      <c r="I1718" s="24"/>
      <c r="J1718" s="24"/>
      <c r="K1718" s="50"/>
    </row>
    <row r="1719">
      <c r="G1719" s="24"/>
      <c r="H1719" s="24"/>
      <c r="I1719" s="24"/>
      <c r="J1719" s="24"/>
      <c r="K1719" s="50"/>
    </row>
    <row r="1720">
      <c r="G1720" s="24"/>
      <c r="H1720" s="24"/>
      <c r="I1720" s="24"/>
      <c r="J1720" s="24"/>
      <c r="K1720" s="50"/>
    </row>
    <row r="1721">
      <c r="G1721" s="24"/>
      <c r="H1721" s="24"/>
      <c r="I1721" s="24"/>
      <c r="J1721" s="24"/>
      <c r="K1721" s="50"/>
    </row>
    <row r="1722">
      <c r="G1722" s="24"/>
      <c r="H1722" s="24"/>
      <c r="I1722" s="24"/>
      <c r="J1722" s="24"/>
      <c r="K1722" s="50"/>
    </row>
    <row r="1723">
      <c r="G1723" s="24"/>
      <c r="H1723" s="24"/>
      <c r="I1723" s="24"/>
      <c r="J1723" s="24"/>
      <c r="K1723" s="50"/>
    </row>
    <row r="1724">
      <c r="G1724" s="24"/>
      <c r="H1724" s="24"/>
      <c r="I1724" s="24"/>
      <c r="J1724" s="24"/>
      <c r="K1724" s="50"/>
    </row>
    <row r="1725">
      <c r="G1725" s="24"/>
      <c r="H1725" s="24"/>
      <c r="I1725" s="24"/>
      <c r="J1725" s="24"/>
      <c r="K1725" s="50"/>
    </row>
    <row r="1726">
      <c r="G1726" s="24"/>
      <c r="H1726" s="24"/>
      <c r="I1726" s="24"/>
      <c r="J1726" s="24"/>
      <c r="K1726" s="50"/>
    </row>
    <row r="1727">
      <c r="G1727" s="24"/>
      <c r="H1727" s="24"/>
      <c r="I1727" s="24"/>
      <c r="J1727" s="24"/>
      <c r="K1727" s="50"/>
    </row>
    <row r="1728">
      <c r="G1728" s="24"/>
      <c r="H1728" s="24"/>
      <c r="I1728" s="24"/>
      <c r="J1728" s="24"/>
      <c r="K1728" s="50"/>
    </row>
    <row r="1729">
      <c r="G1729" s="24"/>
      <c r="H1729" s="24"/>
      <c r="I1729" s="24"/>
      <c r="J1729" s="24"/>
      <c r="K1729" s="50"/>
    </row>
    <row r="1730">
      <c r="G1730" s="24"/>
      <c r="H1730" s="24"/>
      <c r="I1730" s="24"/>
      <c r="J1730" s="24"/>
      <c r="K1730" s="50"/>
    </row>
    <row r="1731">
      <c r="G1731" s="24"/>
      <c r="H1731" s="24"/>
      <c r="I1731" s="24"/>
      <c r="J1731" s="24"/>
      <c r="K1731" s="50"/>
    </row>
    <row r="1732">
      <c r="G1732" s="24"/>
      <c r="H1732" s="24"/>
      <c r="I1732" s="24"/>
      <c r="J1732" s="24"/>
      <c r="K1732" s="50"/>
    </row>
    <row r="1733">
      <c r="G1733" s="24"/>
      <c r="H1733" s="24"/>
      <c r="I1733" s="24"/>
      <c r="J1733" s="24"/>
      <c r="K1733" s="50"/>
    </row>
    <row r="1734">
      <c r="G1734" s="24"/>
      <c r="H1734" s="24"/>
      <c r="I1734" s="24"/>
      <c r="J1734" s="24"/>
      <c r="K1734" s="50"/>
    </row>
    <row r="1735">
      <c r="G1735" s="24"/>
      <c r="H1735" s="24"/>
      <c r="I1735" s="24"/>
      <c r="J1735" s="24"/>
      <c r="K1735" s="50"/>
    </row>
    <row r="1736">
      <c r="G1736" s="24"/>
      <c r="H1736" s="24"/>
      <c r="I1736" s="24"/>
      <c r="J1736" s="24"/>
      <c r="K1736" s="50"/>
    </row>
    <row r="1737">
      <c r="G1737" s="24"/>
      <c r="H1737" s="24"/>
      <c r="I1737" s="24"/>
      <c r="J1737" s="24"/>
      <c r="K1737" s="50"/>
    </row>
    <row r="1738">
      <c r="G1738" s="24"/>
      <c r="H1738" s="24"/>
      <c r="I1738" s="24"/>
      <c r="J1738" s="24"/>
      <c r="K1738" s="50"/>
    </row>
    <row r="1739">
      <c r="G1739" s="24"/>
      <c r="H1739" s="24"/>
      <c r="I1739" s="24"/>
      <c r="J1739" s="24"/>
      <c r="K1739" s="50"/>
    </row>
    <row r="1740">
      <c r="G1740" s="24"/>
      <c r="H1740" s="24"/>
      <c r="I1740" s="24"/>
      <c r="J1740" s="24"/>
      <c r="K1740" s="50"/>
    </row>
    <row r="1741">
      <c r="G1741" s="24"/>
      <c r="H1741" s="24"/>
      <c r="I1741" s="24"/>
      <c r="J1741" s="24"/>
      <c r="K1741" s="50"/>
    </row>
    <row r="1742">
      <c r="G1742" s="24"/>
      <c r="H1742" s="24"/>
      <c r="I1742" s="24"/>
      <c r="J1742" s="24"/>
      <c r="K1742" s="50"/>
    </row>
    <row r="1743">
      <c r="G1743" s="24"/>
      <c r="H1743" s="24"/>
      <c r="I1743" s="24"/>
      <c r="J1743" s="24"/>
      <c r="K1743" s="50"/>
    </row>
    <row r="1744">
      <c r="G1744" s="24"/>
      <c r="H1744" s="24"/>
      <c r="I1744" s="24"/>
      <c r="J1744" s="24"/>
      <c r="K1744" s="50"/>
    </row>
    <row r="1745">
      <c r="G1745" s="24"/>
      <c r="H1745" s="24"/>
      <c r="I1745" s="24"/>
      <c r="J1745" s="24"/>
      <c r="K1745" s="50"/>
    </row>
    <row r="1746">
      <c r="G1746" s="24"/>
      <c r="H1746" s="24"/>
      <c r="I1746" s="24"/>
      <c r="J1746" s="24"/>
      <c r="K1746" s="50"/>
    </row>
    <row r="1747">
      <c r="G1747" s="24"/>
      <c r="H1747" s="24"/>
      <c r="I1747" s="24"/>
      <c r="J1747" s="24"/>
      <c r="K1747" s="50"/>
    </row>
    <row r="1748">
      <c r="G1748" s="24"/>
      <c r="H1748" s="24"/>
      <c r="I1748" s="24"/>
      <c r="J1748" s="24"/>
      <c r="K1748" s="50"/>
    </row>
    <row r="1749">
      <c r="G1749" s="24"/>
      <c r="H1749" s="24"/>
      <c r="I1749" s="24"/>
      <c r="J1749" s="24"/>
      <c r="K1749" s="50"/>
    </row>
    <row r="1750">
      <c r="G1750" s="24"/>
      <c r="H1750" s="24"/>
      <c r="I1750" s="24"/>
      <c r="J1750" s="24"/>
      <c r="K1750" s="50"/>
    </row>
    <row r="1751">
      <c r="G1751" s="24"/>
      <c r="H1751" s="24"/>
      <c r="I1751" s="24"/>
      <c r="J1751" s="24"/>
      <c r="K1751" s="50"/>
    </row>
    <row r="1752">
      <c r="G1752" s="24"/>
      <c r="H1752" s="24"/>
      <c r="I1752" s="24"/>
      <c r="J1752" s="24"/>
      <c r="K1752" s="50"/>
    </row>
    <row r="1753">
      <c r="G1753" s="24"/>
      <c r="H1753" s="24"/>
      <c r="I1753" s="24"/>
      <c r="J1753" s="24"/>
      <c r="K1753" s="50"/>
    </row>
    <row r="1754">
      <c r="G1754" s="24"/>
      <c r="H1754" s="24"/>
      <c r="I1754" s="24"/>
      <c r="J1754" s="24"/>
      <c r="K1754" s="50"/>
    </row>
    <row r="1755">
      <c r="G1755" s="24"/>
      <c r="H1755" s="24"/>
      <c r="I1755" s="24"/>
      <c r="J1755" s="24"/>
      <c r="K1755" s="50"/>
    </row>
    <row r="1756">
      <c r="G1756" s="24"/>
      <c r="H1756" s="24"/>
      <c r="I1756" s="24"/>
      <c r="J1756" s="24"/>
      <c r="K1756" s="50"/>
    </row>
    <row r="1757">
      <c r="G1757" s="24"/>
      <c r="H1757" s="24"/>
      <c r="I1757" s="24"/>
      <c r="J1757" s="24"/>
      <c r="K1757" s="50"/>
    </row>
    <row r="1758">
      <c r="G1758" s="24"/>
      <c r="H1758" s="24"/>
      <c r="I1758" s="24"/>
      <c r="J1758" s="24"/>
      <c r="K1758" s="50"/>
    </row>
    <row r="1759">
      <c r="G1759" s="24"/>
      <c r="H1759" s="24"/>
      <c r="I1759" s="24"/>
      <c r="J1759" s="24"/>
      <c r="K1759" s="50"/>
    </row>
    <row r="1760">
      <c r="G1760" s="24"/>
      <c r="H1760" s="24"/>
      <c r="I1760" s="24"/>
      <c r="J1760" s="24"/>
      <c r="K1760" s="50"/>
    </row>
    <row r="1761">
      <c r="G1761" s="24"/>
      <c r="H1761" s="24"/>
      <c r="I1761" s="24"/>
      <c r="J1761" s="24"/>
      <c r="K1761" s="50"/>
    </row>
    <row r="1762">
      <c r="G1762" s="24"/>
      <c r="H1762" s="24"/>
      <c r="I1762" s="24"/>
      <c r="J1762" s="24"/>
      <c r="K1762" s="50"/>
    </row>
    <row r="1763">
      <c r="G1763" s="24"/>
      <c r="H1763" s="24"/>
      <c r="I1763" s="24"/>
      <c r="J1763" s="24"/>
      <c r="K1763" s="50"/>
    </row>
    <row r="1764">
      <c r="G1764" s="24"/>
      <c r="H1764" s="24"/>
      <c r="I1764" s="24"/>
      <c r="J1764" s="24"/>
      <c r="K1764" s="50"/>
    </row>
    <row r="1765">
      <c r="G1765" s="24"/>
      <c r="H1765" s="24"/>
      <c r="I1765" s="24"/>
      <c r="J1765" s="24"/>
      <c r="K1765" s="50"/>
    </row>
    <row r="1766">
      <c r="G1766" s="24"/>
      <c r="H1766" s="24"/>
      <c r="I1766" s="24"/>
      <c r="J1766" s="24"/>
      <c r="K1766" s="50"/>
    </row>
    <row r="1767">
      <c r="G1767" s="24"/>
      <c r="H1767" s="24"/>
      <c r="I1767" s="24"/>
      <c r="J1767" s="24"/>
      <c r="K1767" s="50"/>
    </row>
    <row r="1768">
      <c r="G1768" s="24"/>
      <c r="H1768" s="24"/>
      <c r="I1768" s="24"/>
      <c r="J1768" s="24"/>
      <c r="K1768" s="50"/>
    </row>
    <row r="1769">
      <c r="G1769" s="24"/>
      <c r="H1769" s="24"/>
      <c r="I1769" s="24"/>
      <c r="J1769" s="24"/>
      <c r="K1769" s="50"/>
    </row>
    <row r="1770">
      <c r="G1770" s="24"/>
      <c r="H1770" s="24"/>
      <c r="I1770" s="24"/>
      <c r="J1770" s="24"/>
      <c r="K1770" s="50"/>
    </row>
    <row r="1771">
      <c r="G1771" s="24"/>
      <c r="H1771" s="24"/>
      <c r="I1771" s="24"/>
      <c r="J1771" s="24"/>
      <c r="K1771" s="50"/>
    </row>
    <row r="1772">
      <c r="G1772" s="24"/>
      <c r="H1772" s="24"/>
      <c r="I1772" s="24"/>
      <c r="J1772" s="24"/>
      <c r="K1772" s="50"/>
    </row>
    <row r="1773">
      <c r="G1773" s="24"/>
      <c r="H1773" s="24"/>
      <c r="I1773" s="24"/>
      <c r="J1773" s="24"/>
      <c r="K1773" s="50"/>
    </row>
    <row r="1774">
      <c r="G1774" s="24"/>
      <c r="H1774" s="24"/>
      <c r="I1774" s="24"/>
      <c r="J1774" s="24"/>
      <c r="K1774" s="50"/>
    </row>
    <row r="1775">
      <c r="G1775" s="24"/>
      <c r="H1775" s="24"/>
      <c r="I1775" s="24"/>
      <c r="J1775" s="24"/>
      <c r="K1775" s="50"/>
    </row>
    <row r="1776">
      <c r="G1776" s="24"/>
      <c r="H1776" s="24"/>
      <c r="I1776" s="24"/>
      <c r="J1776" s="24"/>
      <c r="K1776" s="50"/>
    </row>
    <row r="1777">
      <c r="G1777" s="24"/>
      <c r="H1777" s="24"/>
      <c r="I1777" s="24"/>
      <c r="J1777" s="24"/>
      <c r="K1777" s="50"/>
    </row>
    <row r="1778">
      <c r="G1778" s="24"/>
      <c r="H1778" s="24"/>
      <c r="I1778" s="24"/>
      <c r="J1778" s="24"/>
      <c r="K1778" s="50"/>
    </row>
    <row r="1779">
      <c r="G1779" s="24"/>
      <c r="H1779" s="24"/>
      <c r="I1779" s="24"/>
      <c r="J1779" s="24"/>
      <c r="K1779" s="50"/>
    </row>
    <row r="1780">
      <c r="G1780" s="24"/>
      <c r="H1780" s="24"/>
      <c r="I1780" s="24"/>
      <c r="J1780" s="24"/>
      <c r="K1780" s="50"/>
    </row>
    <row r="1781">
      <c r="G1781" s="24"/>
      <c r="H1781" s="24"/>
      <c r="I1781" s="24"/>
      <c r="J1781" s="24"/>
      <c r="K1781" s="50"/>
    </row>
    <row r="1782">
      <c r="G1782" s="24"/>
      <c r="H1782" s="24"/>
      <c r="I1782" s="24"/>
      <c r="J1782" s="24"/>
      <c r="K1782" s="50"/>
    </row>
    <row r="1783">
      <c r="G1783" s="24"/>
      <c r="H1783" s="24"/>
      <c r="I1783" s="24"/>
      <c r="J1783" s="24"/>
      <c r="K1783" s="50"/>
    </row>
    <row r="1784">
      <c r="G1784" s="24"/>
      <c r="H1784" s="24"/>
      <c r="I1784" s="24"/>
      <c r="J1784" s="24"/>
      <c r="K1784" s="50"/>
    </row>
    <row r="1785">
      <c r="G1785" s="24"/>
      <c r="H1785" s="24"/>
      <c r="I1785" s="24"/>
      <c r="J1785" s="24"/>
      <c r="K1785" s="50"/>
    </row>
    <row r="1786">
      <c r="G1786" s="24"/>
      <c r="H1786" s="24"/>
      <c r="I1786" s="24"/>
      <c r="J1786" s="24"/>
      <c r="K1786" s="50"/>
    </row>
    <row r="1787">
      <c r="G1787" s="24"/>
      <c r="H1787" s="24"/>
      <c r="I1787" s="24"/>
      <c r="J1787" s="24"/>
      <c r="K1787" s="50"/>
    </row>
    <row r="1788">
      <c r="G1788" s="24"/>
      <c r="H1788" s="24"/>
      <c r="I1788" s="24"/>
      <c r="J1788" s="24"/>
      <c r="K1788" s="50"/>
    </row>
    <row r="1789">
      <c r="G1789" s="24"/>
      <c r="H1789" s="24"/>
      <c r="I1789" s="24"/>
      <c r="J1789" s="24"/>
      <c r="K1789" s="50"/>
    </row>
    <row r="1790">
      <c r="G1790" s="24"/>
      <c r="H1790" s="24"/>
      <c r="I1790" s="24"/>
      <c r="J1790" s="24"/>
      <c r="K1790" s="50"/>
    </row>
    <row r="1791">
      <c r="G1791" s="24"/>
      <c r="H1791" s="24"/>
      <c r="I1791" s="24"/>
      <c r="J1791" s="24"/>
      <c r="K1791" s="50"/>
    </row>
    <row r="1792">
      <c r="G1792" s="24"/>
      <c r="H1792" s="24"/>
      <c r="I1792" s="24"/>
      <c r="J1792" s="24"/>
      <c r="K1792" s="50"/>
    </row>
    <row r="1793">
      <c r="G1793" s="24"/>
      <c r="H1793" s="24"/>
      <c r="I1793" s="24"/>
      <c r="J1793" s="24"/>
      <c r="K1793" s="50"/>
    </row>
    <row r="1794">
      <c r="G1794" s="24"/>
      <c r="H1794" s="24"/>
      <c r="I1794" s="24"/>
      <c r="J1794" s="24"/>
      <c r="K1794" s="50"/>
    </row>
    <row r="1795">
      <c r="G1795" s="24"/>
      <c r="H1795" s="24"/>
      <c r="I1795" s="24"/>
      <c r="J1795" s="24"/>
      <c r="K1795" s="50"/>
    </row>
    <row r="1796">
      <c r="G1796" s="24"/>
      <c r="H1796" s="24"/>
      <c r="I1796" s="24"/>
      <c r="J1796" s="24"/>
      <c r="K1796" s="50"/>
    </row>
    <row r="1797">
      <c r="G1797" s="24"/>
      <c r="H1797" s="24"/>
      <c r="I1797" s="24"/>
      <c r="J1797" s="24"/>
      <c r="K1797" s="50"/>
    </row>
    <row r="1798">
      <c r="G1798" s="24"/>
      <c r="H1798" s="24"/>
      <c r="I1798" s="24"/>
      <c r="J1798" s="24"/>
      <c r="K1798" s="50"/>
    </row>
    <row r="1799">
      <c r="G1799" s="24"/>
      <c r="H1799" s="24"/>
      <c r="I1799" s="24"/>
      <c r="J1799" s="24"/>
      <c r="K1799" s="50"/>
    </row>
    <row r="1800">
      <c r="G1800" s="24"/>
      <c r="H1800" s="24"/>
      <c r="I1800" s="24"/>
      <c r="J1800" s="24"/>
      <c r="K1800" s="50"/>
    </row>
    <row r="1801">
      <c r="G1801" s="24"/>
      <c r="H1801" s="24"/>
      <c r="I1801" s="24"/>
      <c r="J1801" s="24"/>
      <c r="K1801" s="50"/>
    </row>
    <row r="1802">
      <c r="G1802" s="24"/>
      <c r="H1802" s="24"/>
      <c r="I1802" s="24"/>
      <c r="J1802" s="24"/>
      <c r="K1802" s="50"/>
    </row>
    <row r="1803">
      <c r="G1803" s="24"/>
      <c r="H1803" s="24"/>
      <c r="I1803" s="24"/>
      <c r="J1803" s="24"/>
      <c r="K1803" s="50"/>
    </row>
    <row r="1804">
      <c r="G1804" s="24"/>
      <c r="H1804" s="24"/>
      <c r="I1804" s="24"/>
      <c r="J1804" s="24"/>
      <c r="K1804" s="50"/>
    </row>
    <row r="1805">
      <c r="G1805" s="24"/>
      <c r="H1805" s="24"/>
      <c r="I1805" s="24"/>
      <c r="J1805" s="24"/>
      <c r="K1805" s="50"/>
    </row>
    <row r="1806">
      <c r="G1806" s="24"/>
      <c r="H1806" s="24"/>
      <c r="I1806" s="24"/>
      <c r="J1806" s="24"/>
      <c r="K1806" s="50"/>
    </row>
    <row r="1807">
      <c r="G1807" s="24"/>
      <c r="H1807" s="24"/>
      <c r="I1807" s="24"/>
      <c r="J1807" s="24"/>
      <c r="K1807" s="50"/>
    </row>
    <row r="1808">
      <c r="G1808" s="24"/>
      <c r="H1808" s="24"/>
      <c r="I1808" s="24"/>
      <c r="J1808" s="24"/>
      <c r="K1808" s="50"/>
    </row>
    <row r="1809">
      <c r="G1809" s="24"/>
      <c r="H1809" s="24"/>
      <c r="I1809" s="24"/>
      <c r="J1809" s="24"/>
      <c r="K1809" s="50"/>
    </row>
    <row r="1810">
      <c r="G1810" s="24"/>
      <c r="H1810" s="24"/>
      <c r="I1810" s="24"/>
      <c r="J1810" s="24"/>
      <c r="K1810" s="50"/>
    </row>
    <row r="1811">
      <c r="G1811" s="24"/>
      <c r="H1811" s="24"/>
      <c r="I1811" s="24"/>
      <c r="J1811" s="24"/>
      <c r="K1811" s="50"/>
    </row>
    <row r="1812">
      <c r="G1812" s="24"/>
      <c r="H1812" s="24"/>
      <c r="I1812" s="24"/>
      <c r="J1812" s="24"/>
      <c r="K1812" s="50"/>
    </row>
    <row r="1813">
      <c r="G1813" s="24"/>
      <c r="H1813" s="24"/>
      <c r="I1813" s="24"/>
      <c r="J1813" s="24"/>
      <c r="K1813" s="50"/>
    </row>
    <row r="1814">
      <c r="G1814" s="24"/>
      <c r="H1814" s="24"/>
      <c r="I1814" s="24"/>
      <c r="J1814" s="24"/>
      <c r="K1814" s="50"/>
    </row>
    <row r="1815">
      <c r="G1815" s="24"/>
      <c r="H1815" s="24"/>
      <c r="I1815" s="24"/>
      <c r="J1815" s="24"/>
      <c r="K1815" s="50"/>
    </row>
    <row r="1816">
      <c r="G1816" s="24"/>
      <c r="H1816" s="24"/>
      <c r="I1816" s="24"/>
      <c r="J1816" s="24"/>
      <c r="K1816" s="50"/>
    </row>
    <row r="1817">
      <c r="G1817" s="24"/>
      <c r="H1817" s="24"/>
      <c r="I1817" s="24"/>
      <c r="J1817" s="24"/>
      <c r="K1817" s="50"/>
    </row>
    <row r="1818">
      <c r="G1818" s="24"/>
      <c r="H1818" s="24"/>
      <c r="I1818" s="24"/>
      <c r="J1818" s="24"/>
      <c r="K1818" s="50"/>
    </row>
    <row r="1819">
      <c r="G1819" s="24"/>
      <c r="H1819" s="24"/>
      <c r="I1819" s="24"/>
      <c r="J1819" s="24"/>
      <c r="K1819" s="50"/>
    </row>
    <row r="1820">
      <c r="G1820" s="24"/>
      <c r="H1820" s="24"/>
      <c r="I1820" s="24"/>
      <c r="J1820" s="24"/>
      <c r="K1820" s="50"/>
    </row>
    <row r="1821">
      <c r="G1821" s="24"/>
      <c r="H1821" s="24"/>
      <c r="I1821" s="24"/>
      <c r="J1821" s="24"/>
      <c r="K1821" s="50"/>
    </row>
    <row r="1822">
      <c r="G1822" s="24"/>
      <c r="H1822" s="24"/>
      <c r="I1822" s="24"/>
      <c r="J1822" s="24"/>
      <c r="K1822" s="50"/>
    </row>
    <row r="1823">
      <c r="G1823" s="24"/>
      <c r="H1823" s="24"/>
      <c r="I1823" s="24"/>
      <c r="J1823" s="24"/>
      <c r="K1823" s="50"/>
    </row>
    <row r="1824">
      <c r="G1824" s="24"/>
      <c r="H1824" s="24"/>
      <c r="I1824" s="24"/>
      <c r="J1824" s="24"/>
      <c r="K1824" s="50"/>
    </row>
    <row r="1825">
      <c r="G1825" s="24"/>
      <c r="H1825" s="24"/>
      <c r="I1825" s="24"/>
      <c r="J1825" s="24"/>
      <c r="K1825" s="50"/>
    </row>
    <row r="1826">
      <c r="G1826" s="24"/>
      <c r="H1826" s="24"/>
      <c r="I1826" s="24"/>
      <c r="J1826" s="24"/>
      <c r="K1826" s="50"/>
    </row>
    <row r="1827">
      <c r="G1827" s="24"/>
      <c r="H1827" s="24"/>
      <c r="I1827" s="24"/>
      <c r="J1827" s="24"/>
      <c r="K1827" s="50"/>
    </row>
    <row r="1828">
      <c r="G1828" s="24"/>
      <c r="H1828" s="24"/>
      <c r="I1828" s="24"/>
      <c r="J1828" s="24"/>
      <c r="K1828" s="50"/>
    </row>
    <row r="1829">
      <c r="G1829" s="24"/>
      <c r="H1829" s="24"/>
      <c r="I1829" s="24"/>
      <c r="J1829" s="24"/>
      <c r="K1829" s="50"/>
    </row>
    <row r="1830">
      <c r="G1830" s="24"/>
      <c r="H1830" s="24"/>
      <c r="I1830" s="24"/>
      <c r="J1830" s="24"/>
      <c r="K1830" s="50"/>
    </row>
    <row r="1831">
      <c r="G1831" s="24"/>
      <c r="H1831" s="24"/>
      <c r="I1831" s="24"/>
      <c r="J1831" s="24"/>
      <c r="K1831" s="50"/>
    </row>
    <row r="1832">
      <c r="G1832" s="24"/>
      <c r="H1832" s="24"/>
      <c r="I1832" s="24"/>
      <c r="J1832" s="24"/>
      <c r="K1832" s="50"/>
    </row>
    <row r="1833">
      <c r="G1833" s="24"/>
      <c r="H1833" s="24"/>
      <c r="I1833" s="24"/>
      <c r="J1833" s="24"/>
      <c r="K1833" s="50"/>
    </row>
    <row r="1834">
      <c r="G1834" s="24"/>
      <c r="H1834" s="24"/>
      <c r="I1834" s="24"/>
      <c r="J1834" s="24"/>
      <c r="K1834" s="50"/>
    </row>
    <row r="1835">
      <c r="G1835" s="24"/>
      <c r="H1835" s="24"/>
      <c r="I1835" s="24"/>
      <c r="J1835" s="24"/>
      <c r="K1835" s="50"/>
    </row>
    <row r="1836">
      <c r="G1836" s="24"/>
      <c r="H1836" s="24"/>
      <c r="I1836" s="24"/>
      <c r="J1836" s="24"/>
      <c r="K1836" s="50"/>
    </row>
    <row r="1837">
      <c r="G1837" s="24"/>
      <c r="H1837" s="24"/>
      <c r="I1837" s="24"/>
      <c r="J1837" s="24"/>
      <c r="K1837" s="50"/>
    </row>
    <row r="1838">
      <c r="G1838" s="24"/>
      <c r="H1838" s="24"/>
      <c r="I1838" s="24"/>
      <c r="J1838" s="24"/>
      <c r="K1838" s="50"/>
    </row>
    <row r="1839">
      <c r="G1839" s="24"/>
      <c r="H1839" s="24"/>
      <c r="I1839" s="24"/>
      <c r="J1839" s="24"/>
      <c r="K1839" s="50"/>
    </row>
    <row r="1840">
      <c r="G1840" s="24"/>
      <c r="H1840" s="24"/>
      <c r="I1840" s="24"/>
      <c r="J1840" s="24"/>
      <c r="K1840" s="50"/>
    </row>
    <row r="1841">
      <c r="G1841" s="24"/>
      <c r="H1841" s="24"/>
      <c r="I1841" s="24"/>
      <c r="J1841" s="24"/>
      <c r="K1841" s="50"/>
    </row>
    <row r="1842">
      <c r="G1842" s="24"/>
      <c r="H1842" s="24"/>
      <c r="I1842" s="24"/>
      <c r="J1842" s="24"/>
      <c r="K1842" s="50"/>
    </row>
    <row r="1843">
      <c r="G1843" s="24"/>
      <c r="H1843" s="24"/>
      <c r="I1843" s="24"/>
      <c r="J1843" s="24"/>
      <c r="K1843" s="50"/>
    </row>
    <row r="1844">
      <c r="G1844" s="24"/>
      <c r="H1844" s="24"/>
      <c r="I1844" s="24"/>
      <c r="J1844" s="24"/>
      <c r="K1844" s="50"/>
    </row>
    <row r="1845">
      <c r="G1845" s="24"/>
      <c r="H1845" s="24"/>
      <c r="I1845" s="24"/>
      <c r="J1845" s="24"/>
      <c r="K1845" s="50"/>
    </row>
    <row r="1846">
      <c r="G1846" s="24"/>
      <c r="H1846" s="24"/>
      <c r="I1846" s="24"/>
      <c r="J1846" s="24"/>
      <c r="K1846" s="50"/>
    </row>
    <row r="1847">
      <c r="G1847" s="24"/>
      <c r="H1847" s="24"/>
      <c r="I1847" s="24"/>
      <c r="J1847" s="24"/>
      <c r="K1847" s="50"/>
    </row>
    <row r="1848">
      <c r="G1848" s="24"/>
      <c r="H1848" s="24"/>
      <c r="I1848" s="24"/>
      <c r="J1848" s="24"/>
      <c r="K1848" s="50"/>
    </row>
    <row r="1849">
      <c r="G1849" s="24"/>
      <c r="H1849" s="24"/>
      <c r="I1849" s="24"/>
      <c r="J1849" s="24"/>
      <c r="K1849" s="50"/>
    </row>
    <row r="1850">
      <c r="G1850" s="24"/>
      <c r="H1850" s="24"/>
      <c r="I1850" s="24"/>
      <c r="J1850" s="24"/>
      <c r="K1850" s="50"/>
    </row>
    <row r="1851">
      <c r="G1851" s="24"/>
      <c r="H1851" s="24"/>
      <c r="I1851" s="24"/>
      <c r="J1851" s="24"/>
      <c r="K1851" s="50"/>
    </row>
    <row r="1852">
      <c r="G1852" s="24"/>
      <c r="H1852" s="24"/>
      <c r="I1852" s="24"/>
      <c r="J1852" s="24"/>
      <c r="K1852" s="50"/>
    </row>
    <row r="1853">
      <c r="G1853" s="24"/>
      <c r="H1853" s="24"/>
      <c r="I1853" s="24"/>
      <c r="J1853" s="24"/>
      <c r="K1853" s="50"/>
    </row>
    <row r="1854">
      <c r="G1854" s="24"/>
      <c r="H1854" s="24"/>
      <c r="I1854" s="24"/>
      <c r="J1854" s="24"/>
      <c r="K1854" s="50"/>
    </row>
    <row r="1855">
      <c r="G1855" s="24"/>
      <c r="H1855" s="24"/>
      <c r="I1855" s="24"/>
      <c r="J1855" s="24"/>
      <c r="K1855" s="50"/>
    </row>
    <row r="1856">
      <c r="G1856" s="24"/>
      <c r="H1856" s="24"/>
      <c r="I1856" s="24"/>
      <c r="J1856" s="24"/>
      <c r="K1856" s="50"/>
    </row>
    <row r="1857">
      <c r="G1857" s="24"/>
      <c r="H1857" s="24"/>
      <c r="I1857" s="24"/>
      <c r="J1857" s="24"/>
      <c r="K1857" s="50"/>
    </row>
    <row r="1858">
      <c r="G1858" s="24"/>
      <c r="H1858" s="24"/>
      <c r="I1858" s="24"/>
      <c r="J1858" s="24"/>
      <c r="K1858" s="50"/>
    </row>
    <row r="1859">
      <c r="G1859" s="24"/>
      <c r="H1859" s="24"/>
      <c r="I1859" s="24"/>
      <c r="J1859" s="24"/>
      <c r="K1859" s="50"/>
    </row>
    <row r="1860">
      <c r="G1860" s="24"/>
      <c r="H1860" s="24"/>
      <c r="I1860" s="24"/>
      <c r="J1860" s="24"/>
      <c r="K1860" s="50"/>
    </row>
    <row r="1861">
      <c r="G1861" s="24"/>
      <c r="H1861" s="24"/>
      <c r="I1861" s="24"/>
      <c r="J1861" s="24"/>
      <c r="K1861" s="50"/>
    </row>
    <row r="1862">
      <c r="G1862" s="24"/>
      <c r="H1862" s="24"/>
      <c r="I1862" s="24"/>
      <c r="J1862" s="24"/>
      <c r="K1862" s="50"/>
    </row>
    <row r="1863">
      <c r="G1863" s="24"/>
      <c r="H1863" s="24"/>
      <c r="I1863" s="24"/>
      <c r="J1863" s="24"/>
      <c r="K1863" s="50"/>
    </row>
    <row r="1864">
      <c r="G1864" s="24"/>
      <c r="H1864" s="24"/>
      <c r="I1864" s="24"/>
      <c r="J1864" s="24"/>
      <c r="K1864" s="50"/>
    </row>
    <row r="1865">
      <c r="G1865" s="24"/>
      <c r="H1865" s="24"/>
      <c r="I1865" s="24"/>
      <c r="J1865" s="24"/>
      <c r="K1865" s="50"/>
    </row>
    <row r="1866">
      <c r="G1866" s="24"/>
      <c r="H1866" s="24"/>
      <c r="I1866" s="24"/>
      <c r="J1866" s="24"/>
      <c r="K1866" s="50"/>
    </row>
    <row r="1867">
      <c r="G1867" s="24"/>
      <c r="H1867" s="24"/>
      <c r="I1867" s="24"/>
      <c r="J1867" s="24"/>
      <c r="K1867" s="50"/>
    </row>
    <row r="1868">
      <c r="G1868" s="24"/>
      <c r="H1868" s="24"/>
      <c r="I1868" s="24"/>
      <c r="J1868" s="24"/>
      <c r="K1868" s="50"/>
    </row>
    <row r="1869">
      <c r="G1869" s="24"/>
      <c r="H1869" s="24"/>
      <c r="I1869" s="24"/>
      <c r="J1869" s="24"/>
      <c r="K1869" s="50"/>
    </row>
    <row r="1870">
      <c r="G1870" s="24"/>
      <c r="H1870" s="24"/>
      <c r="I1870" s="24"/>
      <c r="J1870" s="24"/>
      <c r="K1870" s="50"/>
    </row>
    <row r="1871">
      <c r="G1871" s="24"/>
      <c r="H1871" s="24"/>
      <c r="I1871" s="24"/>
      <c r="J1871" s="24"/>
      <c r="K1871" s="50"/>
    </row>
    <row r="1872">
      <c r="G1872" s="24"/>
      <c r="H1872" s="24"/>
      <c r="I1872" s="24"/>
      <c r="J1872" s="24"/>
      <c r="K1872" s="50"/>
    </row>
    <row r="1873">
      <c r="G1873" s="24"/>
      <c r="H1873" s="24"/>
      <c r="I1873" s="24"/>
      <c r="J1873" s="24"/>
      <c r="K1873" s="50"/>
    </row>
    <row r="1874">
      <c r="G1874" s="24"/>
      <c r="H1874" s="24"/>
      <c r="I1874" s="24"/>
      <c r="J1874" s="24"/>
      <c r="K1874" s="50"/>
    </row>
    <row r="1875">
      <c r="G1875" s="24"/>
      <c r="H1875" s="24"/>
      <c r="I1875" s="24"/>
      <c r="J1875" s="24"/>
      <c r="K1875" s="50"/>
    </row>
    <row r="1876">
      <c r="G1876" s="24"/>
      <c r="H1876" s="24"/>
      <c r="I1876" s="24"/>
      <c r="J1876" s="24"/>
      <c r="K1876" s="50"/>
    </row>
    <row r="1877">
      <c r="G1877" s="24"/>
      <c r="H1877" s="24"/>
      <c r="I1877" s="24"/>
      <c r="J1877" s="24"/>
      <c r="K1877" s="50"/>
    </row>
    <row r="1878">
      <c r="G1878" s="24"/>
      <c r="H1878" s="24"/>
      <c r="I1878" s="24"/>
      <c r="J1878" s="24"/>
      <c r="K1878" s="50"/>
    </row>
    <row r="1879">
      <c r="G1879" s="24"/>
      <c r="H1879" s="24"/>
      <c r="I1879" s="24"/>
      <c r="J1879" s="24"/>
      <c r="K1879" s="50"/>
    </row>
    <row r="1880">
      <c r="G1880" s="24"/>
      <c r="H1880" s="24"/>
      <c r="I1880" s="24"/>
      <c r="J1880" s="24"/>
      <c r="K1880" s="50"/>
    </row>
    <row r="1881">
      <c r="G1881" s="24"/>
      <c r="H1881" s="24"/>
      <c r="I1881" s="24"/>
      <c r="J1881" s="24"/>
      <c r="K1881" s="50"/>
    </row>
    <row r="1882">
      <c r="G1882" s="24"/>
      <c r="H1882" s="24"/>
      <c r="I1882" s="24"/>
      <c r="J1882" s="24"/>
      <c r="K1882" s="50"/>
    </row>
    <row r="1883">
      <c r="G1883" s="24"/>
      <c r="H1883" s="24"/>
      <c r="I1883" s="24"/>
      <c r="J1883" s="24"/>
      <c r="K1883" s="50"/>
    </row>
    <row r="1884">
      <c r="G1884" s="24"/>
      <c r="H1884" s="24"/>
      <c r="I1884" s="24"/>
      <c r="J1884" s="24"/>
      <c r="K1884" s="50"/>
    </row>
    <row r="1885">
      <c r="G1885" s="24"/>
      <c r="H1885" s="24"/>
      <c r="I1885" s="24"/>
      <c r="J1885" s="24"/>
      <c r="K1885" s="50"/>
    </row>
    <row r="1886">
      <c r="G1886" s="24"/>
      <c r="H1886" s="24"/>
      <c r="I1886" s="24"/>
      <c r="J1886" s="24"/>
      <c r="K1886" s="50"/>
    </row>
    <row r="1887">
      <c r="G1887" s="24"/>
      <c r="H1887" s="24"/>
      <c r="I1887" s="24"/>
      <c r="J1887" s="24"/>
      <c r="K1887" s="50"/>
    </row>
    <row r="1888">
      <c r="G1888" s="24"/>
      <c r="H1888" s="24"/>
      <c r="I1888" s="24"/>
      <c r="J1888" s="24"/>
      <c r="K1888" s="50"/>
    </row>
    <row r="1889">
      <c r="G1889" s="24"/>
      <c r="H1889" s="24"/>
      <c r="I1889" s="24"/>
      <c r="J1889" s="24"/>
      <c r="K1889" s="50"/>
    </row>
    <row r="1890">
      <c r="G1890" s="24"/>
      <c r="H1890" s="24"/>
      <c r="I1890" s="24"/>
      <c r="J1890" s="24"/>
      <c r="K1890" s="50"/>
    </row>
    <row r="1891">
      <c r="G1891" s="24"/>
      <c r="H1891" s="24"/>
      <c r="I1891" s="24"/>
      <c r="J1891" s="24"/>
      <c r="K1891" s="50"/>
    </row>
    <row r="1892">
      <c r="G1892" s="24"/>
      <c r="H1892" s="24"/>
      <c r="I1892" s="24"/>
      <c r="J1892" s="24"/>
      <c r="K1892" s="50"/>
    </row>
    <row r="1893">
      <c r="G1893" s="24"/>
      <c r="H1893" s="24"/>
      <c r="I1893" s="24"/>
      <c r="J1893" s="24"/>
      <c r="K1893" s="50"/>
    </row>
    <row r="1894">
      <c r="G1894" s="24"/>
      <c r="H1894" s="24"/>
      <c r="I1894" s="24"/>
      <c r="J1894" s="24"/>
      <c r="K1894" s="50"/>
    </row>
    <row r="1895">
      <c r="G1895" s="24"/>
      <c r="H1895" s="24"/>
      <c r="I1895" s="24"/>
      <c r="J1895" s="24"/>
      <c r="K1895" s="50"/>
    </row>
    <row r="1896">
      <c r="G1896" s="24"/>
      <c r="H1896" s="24"/>
      <c r="I1896" s="24"/>
      <c r="J1896" s="24"/>
      <c r="K1896" s="50"/>
    </row>
    <row r="1897">
      <c r="G1897" s="24"/>
      <c r="H1897" s="24"/>
      <c r="I1897" s="24"/>
      <c r="J1897" s="24"/>
      <c r="K1897" s="50"/>
    </row>
    <row r="1898">
      <c r="G1898" s="24"/>
      <c r="H1898" s="24"/>
      <c r="I1898" s="24"/>
      <c r="J1898" s="24"/>
      <c r="K1898" s="50"/>
    </row>
    <row r="1899">
      <c r="G1899" s="24"/>
      <c r="H1899" s="24"/>
      <c r="I1899" s="24"/>
      <c r="J1899" s="24"/>
      <c r="K1899" s="50"/>
    </row>
    <row r="1900">
      <c r="G1900" s="24"/>
      <c r="H1900" s="24"/>
      <c r="I1900" s="24"/>
      <c r="J1900" s="24"/>
      <c r="K1900" s="50"/>
    </row>
    <row r="1901">
      <c r="G1901" s="24"/>
      <c r="H1901" s="24"/>
      <c r="I1901" s="24"/>
      <c r="J1901" s="24"/>
      <c r="K1901" s="50"/>
    </row>
    <row r="1902">
      <c r="G1902" s="24"/>
      <c r="H1902" s="24"/>
      <c r="I1902" s="24"/>
      <c r="J1902" s="24"/>
      <c r="K1902" s="50"/>
    </row>
    <row r="1903">
      <c r="G1903" s="24"/>
      <c r="H1903" s="24"/>
      <c r="I1903" s="24"/>
      <c r="J1903" s="24"/>
      <c r="K1903" s="50"/>
    </row>
    <row r="1904">
      <c r="G1904" s="24"/>
      <c r="H1904" s="24"/>
      <c r="I1904" s="24"/>
      <c r="J1904" s="24"/>
      <c r="K1904" s="50"/>
    </row>
    <row r="1905">
      <c r="G1905" s="24"/>
      <c r="H1905" s="24"/>
      <c r="I1905" s="24"/>
      <c r="J1905" s="24"/>
      <c r="K1905" s="50"/>
    </row>
    <row r="1906">
      <c r="G1906" s="24"/>
      <c r="H1906" s="24"/>
      <c r="I1906" s="24"/>
      <c r="J1906" s="24"/>
      <c r="K1906" s="50"/>
    </row>
    <row r="1907">
      <c r="G1907" s="24"/>
      <c r="H1907" s="24"/>
      <c r="I1907" s="24"/>
      <c r="J1907" s="24"/>
      <c r="K1907" s="50"/>
    </row>
    <row r="1908">
      <c r="G1908" s="24"/>
      <c r="H1908" s="24"/>
      <c r="I1908" s="24"/>
      <c r="J1908" s="24"/>
      <c r="K1908" s="50"/>
    </row>
    <row r="1909">
      <c r="G1909" s="24"/>
      <c r="H1909" s="24"/>
      <c r="I1909" s="24"/>
      <c r="J1909" s="24"/>
      <c r="K1909" s="50"/>
    </row>
    <row r="1910">
      <c r="G1910" s="24"/>
      <c r="H1910" s="24"/>
      <c r="I1910" s="24"/>
      <c r="J1910" s="24"/>
      <c r="K1910" s="50"/>
    </row>
    <row r="1911">
      <c r="G1911" s="24"/>
      <c r="H1911" s="24"/>
      <c r="I1911" s="24"/>
      <c r="J1911" s="24"/>
      <c r="K1911" s="50"/>
    </row>
    <row r="1912">
      <c r="G1912" s="24"/>
      <c r="H1912" s="24"/>
      <c r="I1912" s="24"/>
      <c r="J1912" s="24"/>
      <c r="K1912" s="50"/>
    </row>
    <row r="1913">
      <c r="G1913" s="24"/>
      <c r="H1913" s="24"/>
      <c r="I1913" s="24"/>
      <c r="J1913" s="24"/>
      <c r="K1913" s="50"/>
    </row>
    <row r="1914">
      <c r="G1914" s="24"/>
      <c r="H1914" s="24"/>
      <c r="I1914" s="24"/>
      <c r="J1914" s="24"/>
      <c r="K1914" s="50"/>
    </row>
    <row r="1915">
      <c r="G1915" s="24"/>
      <c r="H1915" s="24"/>
      <c r="I1915" s="24"/>
      <c r="J1915" s="24"/>
      <c r="K1915" s="50"/>
    </row>
    <row r="1916">
      <c r="G1916" s="24"/>
      <c r="H1916" s="24"/>
      <c r="I1916" s="24"/>
      <c r="J1916" s="24"/>
      <c r="K1916" s="50"/>
    </row>
    <row r="1917">
      <c r="G1917" s="24"/>
      <c r="H1917" s="24"/>
      <c r="I1917" s="24"/>
      <c r="J1917" s="24"/>
      <c r="K1917" s="50"/>
    </row>
    <row r="1918">
      <c r="G1918" s="24"/>
      <c r="H1918" s="24"/>
      <c r="I1918" s="24"/>
      <c r="J1918" s="24"/>
      <c r="K1918" s="50"/>
    </row>
    <row r="1919">
      <c r="G1919" s="24"/>
      <c r="H1919" s="24"/>
      <c r="I1919" s="24"/>
      <c r="J1919" s="24"/>
      <c r="K1919" s="50"/>
    </row>
    <row r="1920">
      <c r="G1920" s="24"/>
      <c r="H1920" s="24"/>
      <c r="I1920" s="24"/>
      <c r="J1920" s="24"/>
      <c r="K1920" s="50"/>
    </row>
    <row r="1921">
      <c r="G1921" s="24"/>
      <c r="H1921" s="24"/>
      <c r="I1921" s="24"/>
      <c r="J1921" s="24"/>
      <c r="K1921" s="50"/>
    </row>
    <row r="1922">
      <c r="G1922" s="24"/>
      <c r="H1922" s="24"/>
      <c r="I1922" s="24"/>
      <c r="J1922" s="24"/>
      <c r="K1922" s="50"/>
    </row>
    <row r="1923">
      <c r="G1923" s="24"/>
      <c r="H1923" s="24"/>
      <c r="I1923" s="24"/>
      <c r="J1923" s="24"/>
      <c r="K1923" s="50"/>
    </row>
    <row r="1924">
      <c r="G1924" s="24"/>
      <c r="H1924" s="24"/>
      <c r="I1924" s="24"/>
      <c r="J1924" s="24"/>
      <c r="K1924" s="50"/>
    </row>
    <row r="1925">
      <c r="G1925" s="24"/>
      <c r="H1925" s="24"/>
      <c r="I1925" s="24"/>
      <c r="J1925" s="24"/>
      <c r="K1925" s="50"/>
    </row>
    <row r="1926">
      <c r="G1926" s="24"/>
      <c r="H1926" s="24"/>
      <c r="I1926" s="24"/>
      <c r="J1926" s="24"/>
      <c r="K1926" s="50"/>
    </row>
    <row r="1927">
      <c r="G1927" s="24"/>
      <c r="H1927" s="24"/>
      <c r="I1927" s="24"/>
      <c r="J1927" s="24"/>
      <c r="K1927" s="50"/>
    </row>
    <row r="1928">
      <c r="G1928" s="24"/>
      <c r="H1928" s="24"/>
      <c r="I1928" s="24"/>
      <c r="J1928" s="24"/>
      <c r="K1928" s="50"/>
    </row>
    <row r="1929">
      <c r="G1929" s="24"/>
      <c r="H1929" s="24"/>
      <c r="I1929" s="24"/>
      <c r="J1929" s="24"/>
      <c r="K1929" s="50"/>
    </row>
    <row r="1930">
      <c r="G1930" s="24"/>
      <c r="H1930" s="24"/>
      <c r="I1930" s="24"/>
      <c r="J1930" s="24"/>
      <c r="K1930" s="50"/>
    </row>
    <row r="1931">
      <c r="G1931" s="24"/>
      <c r="H1931" s="24"/>
      <c r="I1931" s="24"/>
      <c r="J1931" s="24"/>
      <c r="K1931" s="50"/>
    </row>
    <row r="1932">
      <c r="G1932" s="24"/>
      <c r="H1932" s="24"/>
      <c r="I1932" s="24"/>
      <c r="J1932" s="24"/>
      <c r="K1932" s="50"/>
    </row>
    <row r="1933">
      <c r="G1933" s="24"/>
      <c r="H1933" s="24"/>
      <c r="I1933" s="24"/>
      <c r="J1933" s="24"/>
      <c r="K1933" s="50"/>
    </row>
    <row r="1934">
      <c r="G1934" s="24"/>
      <c r="H1934" s="24"/>
      <c r="I1934" s="24"/>
      <c r="J1934" s="24"/>
      <c r="K1934" s="50"/>
    </row>
    <row r="1935">
      <c r="G1935" s="24"/>
      <c r="H1935" s="24"/>
      <c r="I1935" s="24"/>
      <c r="J1935" s="24"/>
      <c r="K1935" s="50"/>
    </row>
    <row r="1936">
      <c r="G1936" s="24"/>
      <c r="H1936" s="24"/>
      <c r="I1936" s="24"/>
      <c r="J1936" s="24"/>
      <c r="K1936" s="50"/>
    </row>
    <row r="1937">
      <c r="G1937" s="24"/>
      <c r="H1937" s="24"/>
      <c r="I1937" s="24"/>
      <c r="J1937" s="24"/>
      <c r="K1937" s="50"/>
    </row>
    <row r="1938">
      <c r="G1938" s="24"/>
      <c r="H1938" s="24"/>
      <c r="I1938" s="24"/>
      <c r="J1938" s="24"/>
      <c r="K1938" s="50"/>
    </row>
    <row r="1939">
      <c r="G1939" s="24"/>
      <c r="H1939" s="24"/>
      <c r="I1939" s="24"/>
      <c r="J1939" s="24"/>
      <c r="K1939" s="50"/>
    </row>
    <row r="1940">
      <c r="G1940" s="24"/>
      <c r="H1940" s="24"/>
      <c r="I1940" s="24"/>
      <c r="J1940" s="24"/>
      <c r="K1940" s="50"/>
    </row>
    <row r="1941">
      <c r="G1941" s="24"/>
      <c r="H1941" s="24"/>
      <c r="I1941" s="24"/>
      <c r="J1941" s="24"/>
      <c r="K1941" s="50"/>
    </row>
    <row r="1942">
      <c r="G1942" s="24"/>
      <c r="H1942" s="24"/>
      <c r="I1942" s="24"/>
      <c r="J1942" s="24"/>
      <c r="K1942" s="50"/>
    </row>
    <row r="1943">
      <c r="G1943" s="24"/>
      <c r="H1943" s="24"/>
      <c r="I1943" s="24"/>
      <c r="J1943" s="24"/>
      <c r="K1943" s="50"/>
    </row>
    <row r="1944">
      <c r="G1944" s="24"/>
      <c r="H1944" s="24"/>
      <c r="I1944" s="24"/>
      <c r="J1944" s="24"/>
      <c r="K1944" s="50"/>
    </row>
    <row r="1945">
      <c r="G1945" s="24"/>
      <c r="H1945" s="24"/>
      <c r="I1945" s="24"/>
      <c r="J1945" s="24"/>
      <c r="K1945" s="50"/>
    </row>
    <row r="1946">
      <c r="G1946" s="24"/>
      <c r="H1946" s="24"/>
      <c r="I1946" s="24"/>
      <c r="J1946" s="24"/>
      <c r="K1946" s="50"/>
    </row>
    <row r="1947">
      <c r="G1947" s="24"/>
      <c r="H1947" s="24"/>
      <c r="I1947" s="24"/>
      <c r="J1947" s="24"/>
      <c r="K1947" s="50"/>
    </row>
    <row r="1948">
      <c r="G1948" s="24"/>
      <c r="H1948" s="24"/>
      <c r="I1948" s="24"/>
      <c r="J1948" s="24"/>
      <c r="K1948" s="50"/>
    </row>
    <row r="1949">
      <c r="G1949" s="24"/>
      <c r="H1949" s="24"/>
      <c r="I1949" s="24"/>
      <c r="J1949" s="24"/>
      <c r="K1949" s="50"/>
    </row>
    <row r="1950">
      <c r="G1950" s="24"/>
      <c r="H1950" s="24"/>
      <c r="I1950" s="24"/>
      <c r="J1950" s="24"/>
      <c r="K1950" s="50"/>
    </row>
    <row r="1951">
      <c r="G1951" s="24"/>
      <c r="H1951" s="24"/>
      <c r="I1951" s="24"/>
      <c r="J1951" s="24"/>
      <c r="K1951" s="50"/>
    </row>
    <row r="1952">
      <c r="G1952" s="24"/>
      <c r="H1952" s="24"/>
      <c r="I1952" s="24"/>
      <c r="J1952" s="24"/>
      <c r="K1952" s="50"/>
    </row>
    <row r="1953">
      <c r="G1953" s="24"/>
      <c r="H1953" s="24"/>
      <c r="I1953" s="24"/>
      <c r="J1953" s="24"/>
      <c r="K1953" s="50"/>
    </row>
    <row r="1954">
      <c r="G1954" s="24"/>
      <c r="H1954" s="24"/>
      <c r="I1954" s="24"/>
      <c r="J1954" s="24"/>
      <c r="K1954" s="50"/>
    </row>
    <row r="1955">
      <c r="G1955" s="24"/>
      <c r="H1955" s="24"/>
      <c r="I1955" s="24"/>
      <c r="J1955" s="24"/>
      <c r="K1955" s="50"/>
    </row>
    <row r="1956">
      <c r="G1956" s="24"/>
      <c r="H1956" s="24"/>
      <c r="I1956" s="24"/>
      <c r="J1956" s="24"/>
      <c r="K1956" s="50"/>
    </row>
    <row r="1957">
      <c r="G1957" s="24"/>
      <c r="H1957" s="24"/>
      <c r="I1957" s="24"/>
      <c r="J1957" s="24"/>
      <c r="K1957" s="50"/>
    </row>
    <row r="1958">
      <c r="G1958" s="24"/>
      <c r="H1958" s="24"/>
      <c r="I1958" s="24"/>
      <c r="J1958" s="24"/>
      <c r="K1958" s="50"/>
    </row>
    <row r="1959">
      <c r="G1959" s="24"/>
      <c r="H1959" s="24"/>
      <c r="I1959" s="24"/>
      <c r="J1959" s="24"/>
      <c r="K1959" s="50"/>
    </row>
    <row r="1960">
      <c r="G1960" s="24"/>
      <c r="H1960" s="24"/>
      <c r="I1960" s="24"/>
      <c r="J1960" s="24"/>
      <c r="K1960" s="50"/>
    </row>
    <row r="1961">
      <c r="G1961" s="24"/>
      <c r="H1961" s="24"/>
      <c r="I1961" s="24"/>
      <c r="J1961" s="24"/>
      <c r="K1961" s="50"/>
    </row>
    <row r="1962">
      <c r="G1962" s="24"/>
      <c r="H1962" s="24"/>
      <c r="I1962" s="24"/>
      <c r="J1962" s="24"/>
      <c r="K1962" s="50"/>
    </row>
    <row r="1963">
      <c r="G1963" s="24"/>
      <c r="H1963" s="24"/>
      <c r="I1963" s="24"/>
      <c r="J1963" s="24"/>
      <c r="K1963" s="50"/>
    </row>
    <row r="1964">
      <c r="G1964" s="24"/>
      <c r="H1964" s="24"/>
      <c r="I1964" s="24"/>
      <c r="J1964" s="24"/>
      <c r="K1964" s="50"/>
    </row>
    <row r="1965">
      <c r="G1965" s="24"/>
      <c r="H1965" s="24"/>
      <c r="I1965" s="24"/>
      <c r="J1965" s="24"/>
      <c r="K1965" s="50"/>
    </row>
    <row r="1966">
      <c r="G1966" s="24"/>
      <c r="H1966" s="24"/>
      <c r="I1966" s="24"/>
      <c r="J1966" s="24"/>
      <c r="K1966" s="50"/>
    </row>
    <row r="1967">
      <c r="G1967" s="24"/>
      <c r="H1967" s="24"/>
      <c r="I1967" s="24"/>
      <c r="J1967" s="24"/>
      <c r="K1967" s="50"/>
    </row>
    <row r="1968">
      <c r="G1968" s="24"/>
      <c r="H1968" s="24"/>
      <c r="I1968" s="24"/>
      <c r="J1968" s="24"/>
      <c r="K1968" s="50"/>
    </row>
    <row r="1969">
      <c r="G1969" s="24"/>
      <c r="H1969" s="24"/>
      <c r="I1969" s="24"/>
      <c r="J1969" s="24"/>
      <c r="K1969" s="50"/>
    </row>
    <row r="1970">
      <c r="G1970" s="24"/>
      <c r="H1970" s="24"/>
      <c r="I1970" s="24"/>
      <c r="J1970" s="24"/>
      <c r="K1970" s="50"/>
    </row>
    <row r="1971">
      <c r="G1971" s="24"/>
      <c r="H1971" s="24"/>
      <c r="I1971" s="24"/>
      <c r="J1971" s="24"/>
      <c r="K1971" s="50"/>
    </row>
    <row r="1972">
      <c r="G1972" s="24"/>
      <c r="H1972" s="24"/>
      <c r="I1972" s="24"/>
      <c r="J1972" s="24"/>
      <c r="K1972" s="50"/>
    </row>
    <row r="1973">
      <c r="G1973" s="24"/>
      <c r="H1973" s="24"/>
      <c r="I1973" s="24"/>
      <c r="J1973" s="24"/>
      <c r="K1973" s="50"/>
    </row>
    <row r="1974">
      <c r="G1974" s="24"/>
      <c r="H1974" s="24"/>
      <c r="I1974" s="24"/>
      <c r="J1974" s="24"/>
      <c r="K1974" s="50"/>
    </row>
    <row r="1975">
      <c r="G1975" s="24"/>
      <c r="H1975" s="24"/>
      <c r="I1975" s="24"/>
      <c r="J1975" s="24"/>
      <c r="K1975" s="50"/>
    </row>
    <row r="1976">
      <c r="G1976" s="24"/>
      <c r="H1976" s="24"/>
      <c r="I1976" s="24"/>
      <c r="J1976" s="24"/>
      <c r="K1976" s="50"/>
    </row>
    <row r="1977">
      <c r="G1977" s="24"/>
      <c r="H1977" s="24"/>
      <c r="I1977" s="24"/>
      <c r="J1977" s="24"/>
      <c r="K1977" s="50"/>
    </row>
    <row r="1978">
      <c r="G1978" s="24"/>
      <c r="H1978" s="24"/>
      <c r="I1978" s="24"/>
      <c r="J1978" s="24"/>
      <c r="K1978" s="50"/>
    </row>
    <row r="1979">
      <c r="G1979" s="24"/>
      <c r="H1979" s="24"/>
      <c r="I1979" s="24"/>
      <c r="J1979" s="24"/>
      <c r="K1979" s="50"/>
    </row>
    <row r="1980">
      <c r="G1980" s="24"/>
      <c r="H1980" s="24"/>
      <c r="I1980" s="24"/>
      <c r="J1980" s="24"/>
      <c r="K1980" s="50"/>
    </row>
    <row r="1981">
      <c r="G1981" s="24"/>
      <c r="H1981" s="24"/>
      <c r="I1981" s="24"/>
      <c r="J1981" s="24"/>
      <c r="K1981" s="50"/>
    </row>
    <row r="1982">
      <c r="G1982" s="24"/>
      <c r="H1982" s="24"/>
      <c r="I1982" s="24"/>
      <c r="J1982" s="24"/>
      <c r="K1982" s="50"/>
    </row>
    <row r="1983">
      <c r="G1983" s="24"/>
      <c r="H1983" s="24"/>
      <c r="I1983" s="24"/>
      <c r="J1983" s="24"/>
      <c r="K1983" s="50"/>
    </row>
    <row r="1984">
      <c r="G1984" s="24"/>
      <c r="H1984" s="24"/>
      <c r="I1984" s="24"/>
      <c r="J1984" s="24"/>
      <c r="K1984" s="50"/>
    </row>
    <row r="1985">
      <c r="G1985" s="24"/>
      <c r="H1985" s="24"/>
      <c r="I1985" s="24"/>
      <c r="J1985" s="24"/>
      <c r="K1985" s="50"/>
    </row>
    <row r="1986">
      <c r="G1986" s="24"/>
      <c r="H1986" s="24"/>
      <c r="I1986" s="24"/>
      <c r="J1986" s="24"/>
      <c r="K1986" s="50"/>
    </row>
    <row r="1987">
      <c r="G1987" s="24"/>
      <c r="H1987" s="24"/>
      <c r="I1987" s="24"/>
      <c r="J1987" s="24"/>
      <c r="K1987" s="50"/>
    </row>
    <row r="1988">
      <c r="G1988" s="24"/>
      <c r="H1988" s="24"/>
      <c r="I1988" s="24"/>
      <c r="J1988" s="24"/>
      <c r="K1988" s="50"/>
    </row>
    <row r="1989">
      <c r="G1989" s="24"/>
      <c r="H1989" s="24"/>
      <c r="I1989" s="24"/>
      <c r="J1989" s="24"/>
      <c r="K1989" s="50"/>
    </row>
    <row r="1990">
      <c r="G1990" s="24"/>
      <c r="H1990" s="24"/>
      <c r="I1990" s="24"/>
      <c r="J1990" s="24"/>
      <c r="K1990" s="50"/>
    </row>
    <row r="1991">
      <c r="G1991" s="24"/>
      <c r="H1991" s="24"/>
      <c r="I1991" s="24"/>
      <c r="J1991" s="24"/>
      <c r="K1991" s="50"/>
    </row>
    <row r="1992">
      <c r="G1992" s="24"/>
      <c r="H1992" s="24"/>
      <c r="I1992" s="24"/>
      <c r="J1992" s="24"/>
      <c r="K1992" s="50"/>
    </row>
    <row r="1993">
      <c r="G1993" s="24"/>
      <c r="H1993" s="24"/>
      <c r="I1993" s="24"/>
      <c r="J1993" s="24"/>
      <c r="K1993" s="50"/>
    </row>
    <row r="1994">
      <c r="G1994" s="24"/>
      <c r="H1994" s="24"/>
      <c r="I1994" s="24"/>
      <c r="J1994" s="24"/>
      <c r="K1994" s="50"/>
    </row>
    <row r="1995">
      <c r="G1995" s="24"/>
      <c r="H1995" s="24"/>
      <c r="I1995" s="24"/>
      <c r="J1995" s="24"/>
      <c r="K1995" s="50"/>
    </row>
    <row r="1996">
      <c r="G1996" s="24"/>
      <c r="H1996" s="24"/>
      <c r="I1996" s="24"/>
      <c r="J1996" s="24"/>
      <c r="K1996" s="50"/>
    </row>
    <row r="1997">
      <c r="G1997" s="24"/>
      <c r="H1997" s="24"/>
      <c r="I1997" s="24"/>
      <c r="J1997" s="24"/>
      <c r="K1997" s="50"/>
    </row>
    <row r="1998">
      <c r="G1998" s="24"/>
      <c r="H1998" s="24"/>
      <c r="I1998" s="24"/>
      <c r="J1998" s="24"/>
      <c r="K1998" s="50"/>
    </row>
    <row r="1999">
      <c r="G1999" s="24"/>
      <c r="H1999" s="24"/>
      <c r="I1999" s="24"/>
      <c r="J1999" s="24"/>
      <c r="K1999" s="50"/>
    </row>
    <row r="2000">
      <c r="G2000" s="24"/>
      <c r="H2000" s="24"/>
      <c r="I2000" s="24"/>
      <c r="J2000" s="24"/>
      <c r="K2000" s="50"/>
    </row>
    <row r="2001">
      <c r="G2001" s="24"/>
      <c r="H2001" s="24"/>
      <c r="I2001" s="24"/>
      <c r="J2001" s="24"/>
      <c r="K2001" s="50"/>
    </row>
    <row r="2002">
      <c r="G2002" s="24"/>
      <c r="H2002" s="24"/>
      <c r="I2002" s="24"/>
      <c r="J2002" s="24"/>
      <c r="K2002" s="50"/>
    </row>
    <row r="2003">
      <c r="G2003" s="24"/>
      <c r="H2003" s="24"/>
      <c r="I2003" s="24"/>
      <c r="J2003" s="24"/>
      <c r="K2003" s="5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3" width="15.88"/>
    <col customWidth="1" min="4" max="4" width="31.25"/>
    <col customWidth="1" min="5" max="5" width="10.63"/>
    <col customWidth="1" min="6" max="6" width="15.63"/>
    <col customWidth="1" min="7" max="7" width="14.5"/>
    <col customWidth="1" min="8" max="8" width="19.0"/>
    <col customWidth="1" min="9" max="9" width="21.25"/>
  </cols>
  <sheetData>
    <row r="1">
      <c r="A1" s="58" t="s">
        <v>14</v>
      </c>
      <c r="B1" s="69" t="s">
        <v>14</v>
      </c>
      <c r="C1" s="58" t="s">
        <v>14</v>
      </c>
      <c r="D1" s="58" t="s">
        <v>2770</v>
      </c>
      <c r="E1" s="58">
        <v>9.0</v>
      </c>
      <c r="F1" s="58">
        <v>99.0</v>
      </c>
      <c r="G1" s="58" t="s">
        <v>17</v>
      </c>
      <c r="H1" s="58">
        <v>9.0</v>
      </c>
      <c r="I1" s="58" t="s">
        <v>555</v>
      </c>
    </row>
    <row r="2">
      <c r="A2" s="60" t="s">
        <v>2771</v>
      </c>
      <c r="B2" s="70" t="s">
        <v>2772</v>
      </c>
      <c r="C2" s="70" t="s">
        <v>2772</v>
      </c>
      <c r="D2" s="60" t="s">
        <v>2773</v>
      </c>
      <c r="E2" s="60" t="s">
        <v>2774</v>
      </c>
      <c r="F2" s="71" t="s">
        <v>2775</v>
      </c>
      <c r="G2" s="71" t="s">
        <v>2775</v>
      </c>
      <c r="H2" s="71" t="s">
        <v>2775</v>
      </c>
      <c r="I2" s="60" t="s">
        <v>2776</v>
      </c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>
      <c r="A3" s="64" t="s">
        <v>2777</v>
      </c>
      <c r="B3" s="73" t="s">
        <v>2778</v>
      </c>
      <c r="C3" s="64" t="s">
        <v>2779</v>
      </c>
      <c r="D3" s="64" t="s">
        <v>2780</v>
      </c>
      <c r="E3" s="64" t="s">
        <v>2781</v>
      </c>
      <c r="F3" s="64" t="s">
        <v>2782</v>
      </c>
      <c r="G3" s="64" t="s">
        <v>2783</v>
      </c>
      <c r="H3" s="64" t="s">
        <v>2784</v>
      </c>
      <c r="I3" s="64" t="s">
        <v>2785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>
      <c r="A4" s="58">
        <v>7000.0</v>
      </c>
      <c r="B4" s="70">
        <v>703.0</v>
      </c>
      <c r="C4" s="74">
        <v>446.0</v>
      </c>
      <c r="D4" s="66" t="s">
        <v>2786</v>
      </c>
      <c r="E4" s="66">
        <v>3.0</v>
      </c>
      <c r="F4" s="66">
        <v>81.0</v>
      </c>
      <c r="G4" s="66">
        <v>9.0</v>
      </c>
      <c r="H4" s="66">
        <v>7.0</v>
      </c>
      <c r="I4" s="50">
        <v>11413.0</v>
      </c>
    </row>
    <row r="5">
      <c r="A5" s="75">
        <v>7001.0</v>
      </c>
      <c r="B5" s="70">
        <v>6865.0</v>
      </c>
      <c r="C5" s="74">
        <v>8197.0</v>
      </c>
      <c r="D5" s="66" t="s">
        <v>2787</v>
      </c>
      <c r="E5" s="66">
        <v>1.0</v>
      </c>
      <c r="F5" s="66">
        <v>77.0</v>
      </c>
      <c r="G5" s="66">
        <v>3.0</v>
      </c>
      <c r="H5" s="66">
        <v>5.0</v>
      </c>
      <c r="I5" s="50">
        <v>21721.0</v>
      </c>
    </row>
    <row r="6">
      <c r="A6" s="75">
        <v>7002.0</v>
      </c>
      <c r="B6" s="70">
        <v>4557.0</v>
      </c>
      <c r="C6" s="74">
        <v>2618.0</v>
      </c>
      <c r="D6" s="66" t="s">
        <v>2788</v>
      </c>
      <c r="E6" s="66">
        <v>4.0</v>
      </c>
      <c r="F6" s="66">
        <v>61.0</v>
      </c>
      <c r="G6" s="66">
        <v>5.0</v>
      </c>
      <c r="H6" s="66">
        <v>1.0</v>
      </c>
      <c r="I6" s="50">
        <v>11518.0</v>
      </c>
    </row>
    <row r="7">
      <c r="A7" s="75">
        <v>7003.0</v>
      </c>
      <c r="B7" s="70">
        <v>9954.0</v>
      </c>
      <c r="C7" s="74">
        <v>1314.0</v>
      </c>
      <c r="D7" s="66" t="s">
        <v>2789</v>
      </c>
      <c r="E7" s="66">
        <v>2.0</v>
      </c>
      <c r="F7" s="66">
        <v>41.0</v>
      </c>
      <c r="G7" s="66">
        <v>1.0</v>
      </c>
      <c r="H7" s="66">
        <v>9.0</v>
      </c>
      <c r="I7" s="50">
        <v>51915.0</v>
      </c>
    </row>
    <row r="8">
      <c r="A8" s="75">
        <v>7004.0</v>
      </c>
      <c r="B8" s="70">
        <v>6562.0</v>
      </c>
      <c r="C8" s="74">
        <v>4877.0</v>
      </c>
      <c r="D8" s="66" t="s">
        <v>2790</v>
      </c>
      <c r="E8" s="66">
        <v>1.0</v>
      </c>
      <c r="F8" s="66">
        <v>77.0</v>
      </c>
      <c r="G8" s="66">
        <v>3.0</v>
      </c>
      <c r="H8" s="66">
        <v>9.0</v>
      </c>
      <c r="I8" s="50">
        <v>122915.0</v>
      </c>
    </row>
    <row r="9">
      <c r="A9" s="58">
        <v>7005.0</v>
      </c>
      <c r="B9" s="70">
        <v>3742.0</v>
      </c>
      <c r="C9" s="74">
        <v>226.0</v>
      </c>
      <c r="D9" s="66" t="s">
        <v>2791</v>
      </c>
      <c r="E9" s="66">
        <v>2.0</v>
      </c>
      <c r="F9" s="66">
        <v>82.0</v>
      </c>
      <c r="G9" s="66">
        <v>1.0</v>
      </c>
      <c r="H9" s="66">
        <v>9.0</v>
      </c>
      <c r="I9" s="50">
        <v>21513.0</v>
      </c>
    </row>
    <row r="10">
      <c r="A10" s="75">
        <v>7006.0</v>
      </c>
      <c r="B10" s="70">
        <v>1035.0</v>
      </c>
      <c r="C10" s="74">
        <v>6514.0</v>
      </c>
      <c r="D10" s="66" t="s">
        <v>2792</v>
      </c>
      <c r="E10" s="66">
        <v>3.0</v>
      </c>
      <c r="F10" s="66">
        <v>61.0</v>
      </c>
      <c r="G10" s="66">
        <v>7.0</v>
      </c>
      <c r="H10" s="66">
        <v>1.0</v>
      </c>
      <c r="I10" s="50">
        <v>61920.0</v>
      </c>
    </row>
    <row r="11">
      <c r="A11" s="75">
        <v>7007.0</v>
      </c>
      <c r="B11" s="70">
        <v>3588.0</v>
      </c>
      <c r="C11" s="74">
        <v>1663.0</v>
      </c>
      <c r="D11" s="66" t="s">
        <v>2793</v>
      </c>
      <c r="E11" s="66">
        <v>1.0</v>
      </c>
      <c r="F11" s="66">
        <v>41.0</v>
      </c>
      <c r="G11" s="66">
        <v>2.0</v>
      </c>
      <c r="H11" s="66">
        <v>7.0</v>
      </c>
      <c r="I11" s="50">
        <v>112815.0</v>
      </c>
    </row>
    <row r="12">
      <c r="A12" s="75">
        <v>7008.0</v>
      </c>
      <c r="B12" s="70">
        <v>1195.0</v>
      </c>
      <c r="C12" s="74">
        <v>2282.0</v>
      </c>
      <c r="D12" s="66" t="s">
        <v>2794</v>
      </c>
      <c r="E12" s="66">
        <v>4.0</v>
      </c>
      <c r="F12" s="66">
        <v>82.0</v>
      </c>
      <c r="G12" s="66">
        <v>2.0</v>
      </c>
      <c r="H12" s="66">
        <v>5.0</v>
      </c>
      <c r="I12" s="50">
        <v>111313.0</v>
      </c>
    </row>
    <row r="13">
      <c r="A13" s="75">
        <v>7009.0</v>
      </c>
      <c r="B13" s="70">
        <v>3928.0</v>
      </c>
      <c r="C13" s="74">
        <v>5931.0</v>
      </c>
      <c r="D13" s="66" t="s">
        <v>2795</v>
      </c>
      <c r="E13" s="66">
        <v>4.0</v>
      </c>
      <c r="F13" s="66">
        <v>61.0</v>
      </c>
      <c r="G13" s="66">
        <v>8.0</v>
      </c>
      <c r="H13" s="66">
        <v>1.0</v>
      </c>
      <c r="I13" s="50">
        <v>71820.0</v>
      </c>
    </row>
    <row r="14">
      <c r="A14" s="58">
        <v>7010.0</v>
      </c>
      <c r="B14" s="70">
        <v>2024.0</v>
      </c>
      <c r="C14" s="74">
        <v>2489.0</v>
      </c>
      <c r="D14" s="66" t="s">
        <v>2796</v>
      </c>
      <c r="E14" s="66">
        <v>2.0</v>
      </c>
      <c r="F14" s="66">
        <v>41.0</v>
      </c>
      <c r="G14" s="66">
        <v>3.0</v>
      </c>
      <c r="H14" s="66">
        <v>4.0</v>
      </c>
      <c r="I14" s="50">
        <v>31014.0</v>
      </c>
    </row>
    <row r="15">
      <c r="A15" s="75">
        <v>7011.0</v>
      </c>
      <c r="B15" s="70">
        <v>1932.0</v>
      </c>
      <c r="C15" s="74">
        <v>9484.0</v>
      </c>
      <c r="D15" s="66" t="s">
        <v>2797</v>
      </c>
      <c r="E15" s="66">
        <v>4.0</v>
      </c>
      <c r="F15" s="66">
        <v>61.0</v>
      </c>
      <c r="G15" s="66">
        <v>8.0</v>
      </c>
      <c r="H15" s="66">
        <v>5.0</v>
      </c>
      <c r="I15" s="50">
        <v>71821.0</v>
      </c>
    </row>
    <row r="16">
      <c r="A16" s="75">
        <v>7012.0</v>
      </c>
      <c r="B16" s="70">
        <v>1348.0</v>
      </c>
      <c r="C16" s="74">
        <v>5260.0</v>
      </c>
      <c r="D16" s="66" t="s">
        <v>2798</v>
      </c>
      <c r="E16" s="66">
        <v>4.0</v>
      </c>
      <c r="F16" s="66">
        <v>61.0</v>
      </c>
      <c r="G16" s="66">
        <v>8.0</v>
      </c>
      <c r="H16" s="66">
        <v>7.0</v>
      </c>
      <c r="I16" s="50">
        <v>72318.0</v>
      </c>
    </row>
    <row r="17">
      <c r="A17" s="75">
        <v>7013.0</v>
      </c>
      <c r="B17" s="70">
        <v>9708.0</v>
      </c>
      <c r="C17" s="74">
        <v>3583.0</v>
      </c>
      <c r="D17" s="66" t="s">
        <v>2799</v>
      </c>
      <c r="E17" s="66">
        <v>4.0</v>
      </c>
      <c r="F17" s="66">
        <v>82.0</v>
      </c>
      <c r="G17" s="66">
        <v>3.0</v>
      </c>
      <c r="H17" s="66">
        <v>6.0</v>
      </c>
      <c r="I17" s="50">
        <v>111621.0</v>
      </c>
    </row>
    <row r="18">
      <c r="A18" s="75">
        <v>7014.0</v>
      </c>
      <c r="B18" s="70">
        <v>9262.0</v>
      </c>
      <c r="C18" s="74">
        <v>5914.0</v>
      </c>
      <c r="D18" s="66" t="s">
        <v>2800</v>
      </c>
      <c r="E18" s="66">
        <v>1.0</v>
      </c>
      <c r="F18" s="66">
        <v>82.0</v>
      </c>
      <c r="G18" s="66">
        <v>3.0</v>
      </c>
      <c r="H18" s="66">
        <v>7.0</v>
      </c>
      <c r="I18" s="50">
        <v>32717.0</v>
      </c>
    </row>
    <row r="19">
      <c r="A19" s="58">
        <v>7015.0</v>
      </c>
      <c r="B19" s="70">
        <v>2655.0</v>
      </c>
      <c r="C19" s="74">
        <v>628.0</v>
      </c>
      <c r="D19" s="66" t="s">
        <v>2801</v>
      </c>
      <c r="E19" s="66">
        <v>1.0</v>
      </c>
      <c r="F19" s="66">
        <v>61.0</v>
      </c>
      <c r="G19" s="66">
        <v>9.0</v>
      </c>
      <c r="H19" s="66">
        <v>1.0</v>
      </c>
      <c r="I19" s="50">
        <v>81115.0</v>
      </c>
    </row>
    <row r="20">
      <c r="A20" s="75">
        <v>7016.0</v>
      </c>
      <c r="B20" s="70">
        <v>2.0</v>
      </c>
      <c r="C20" s="74">
        <v>4236.0</v>
      </c>
      <c r="D20" s="66" t="s">
        <v>2802</v>
      </c>
      <c r="E20" s="66">
        <v>4.0</v>
      </c>
      <c r="F20" s="66">
        <v>41.0</v>
      </c>
      <c r="G20" s="66">
        <v>4.0</v>
      </c>
      <c r="H20" s="66">
        <v>4.0</v>
      </c>
      <c r="I20" s="50">
        <v>50813.0</v>
      </c>
    </row>
    <row r="21">
      <c r="A21" s="75">
        <v>7017.0</v>
      </c>
      <c r="B21" s="70">
        <v>420.0</v>
      </c>
      <c r="C21" s="74">
        <v>6551.0</v>
      </c>
      <c r="D21" s="66" t="s">
        <v>2803</v>
      </c>
      <c r="E21" s="66">
        <v>1.0</v>
      </c>
      <c r="F21" s="66">
        <v>41.0</v>
      </c>
      <c r="G21" s="66">
        <v>4.0</v>
      </c>
      <c r="H21" s="66">
        <v>5.0</v>
      </c>
      <c r="I21" s="50">
        <v>92920.0</v>
      </c>
    </row>
    <row r="22">
      <c r="A22" s="75">
        <v>7018.0</v>
      </c>
      <c r="B22" s="70">
        <v>2614.0</v>
      </c>
      <c r="C22" s="74">
        <v>8308.0</v>
      </c>
      <c r="D22" s="66" t="s">
        <v>2804</v>
      </c>
      <c r="E22" s="66">
        <v>1.0</v>
      </c>
      <c r="F22" s="66">
        <v>41.0</v>
      </c>
      <c r="G22" s="66">
        <v>4.0</v>
      </c>
      <c r="H22" s="66">
        <v>6.0</v>
      </c>
      <c r="I22" s="50">
        <v>21519.0</v>
      </c>
    </row>
    <row r="23">
      <c r="A23" s="75">
        <v>7019.0</v>
      </c>
      <c r="B23" s="70">
        <v>2083.0</v>
      </c>
      <c r="C23" s="74">
        <v>2844.0</v>
      </c>
      <c r="D23" s="66" t="s">
        <v>2805</v>
      </c>
      <c r="E23" s="66">
        <v>2.0</v>
      </c>
      <c r="F23" s="66">
        <v>41.0</v>
      </c>
      <c r="G23" s="66">
        <v>4.0</v>
      </c>
      <c r="H23" s="66">
        <v>3.0</v>
      </c>
      <c r="I23" s="50">
        <v>81220.0</v>
      </c>
    </row>
    <row r="24">
      <c r="A24" s="58">
        <v>7020.0</v>
      </c>
      <c r="B24" s="70">
        <v>4148.0</v>
      </c>
      <c r="C24" s="74">
        <v>6812.0</v>
      </c>
      <c r="D24" s="66" t="s">
        <v>2806</v>
      </c>
      <c r="E24" s="66">
        <v>3.0</v>
      </c>
      <c r="F24" s="66">
        <v>61.0</v>
      </c>
      <c r="G24" s="66">
        <v>9.0</v>
      </c>
      <c r="H24" s="66">
        <v>6.0</v>
      </c>
      <c r="I24" s="50">
        <v>70918.0</v>
      </c>
    </row>
    <row r="25">
      <c r="A25" s="75">
        <v>7021.0</v>
      </c>
      <c r="B25" s="70">
        <v>4058.0</v>
      </c>
      <c r="C25" s="74">
        <v>22.0</v>
      </c>
      <c r="D25" s="66" t="s">
        <v>2807</v>
      </c>
      <c r="E25" s="66">
        <v>4.0</v>
      </c>
      <c r="F25" s="66">
        <v>41.0</v>
      </c>
      <c r="G25" s="66">
        <v>4.0</v>
      </c>
      <c r="H25" s="66">
        <v>9.0</v>
      </c>
      <c r="I25" s="50">
        <v>120518.0</v>
      </c>
    </row>
    <row r="26">
      <c r="A26" s="75">
        <v>7022.0</v>
      </c>
      <c r="B26" s="70">
        <v>4211.0</v>
      </c>
      <c r="C26" s="74">
        <v>28.0</v>
      </c>
      <c r="D26" s="66" t="s">
        <v>2808</v>
      </c>
      <c r="E26" s="66">
        <v>2.0</v>
      </c>
      <c r="F26" s="66">
        <v>41.0</v>
      </c>
      <c r="G26" s="66">
        <v>5.0</v>
      </c>
      <c r="H26" s="66">
        <v>6.0</v>
      </c>
      <c r="I26" s="50">
        <v>120219.0</v>
      </c>
    </row>
    <row r="27">
      <c r="A27" s="75">
        <v>7023.0</v>
      </c>
      <c r="B27" s="70">
        <v>7131.0</v>
      </c>
      <c r="C27" s="74">
        <v>7439.0</v>
      </c>
      <c r="D27" s="66" t="s">
        <v>2809</v>
      </c>
      <c r="E27" s="66">
        <v>4.0</v>
      </c>
      <c r="F27" s="66">
        <v>62.0</v>
      </c>
      <c r="G27" s="66">
        <v>1.0</v>
      </c>
      <c r="H27" s="66">
        <v>3.0</v>
      </c>
      <c r="I27" s="50">
        <v>42614.0</v>
      </c>
    </row>
    <row r="28">
      <c r="A28" s="75">
        <v>7024.0</v>
      </c>
      <c r="B28" s="70">
        <v>29.0</v>
      </c>
      <c r="C28" s="74">
        <v>6536.0</v>
      </c>
      <c r="D28" s="66" t="s">
        <v>2810</v>
      </c>
      <c r="E28" s="66">
        <v>2.0</v>
      </c>
      <c r="F28" s="66">
        <v>82.0</v>
      </c>
      <c r="G28" s="66">
        <v>6.0</v>
      </c>
      <c r="H28" s="66">
        <v>5.0</v>
      </c>
      <c r="I28" s="50">
        <v>21220.0</v>
      </c>
    </row>
    <row r="29">
      <c r="A29" s="58">
        <v>7025.0</v>
      </c>
      <c r="B29" s="70">
        <v>4130.0</v>
      </c>
      <c r="C29" s="74">
        <v>5364.0</v>
      </c>
      <c r="D29" s="66" t="s">
        <v>2811</v>
      </c>
      <c r="E29" s="66">
        <v>2.0</v>
      </c>
      <c r="F29" s="66">
        <v>62.0</v>
      </c>
      <c r="G29" s="66">
        <v>1.0</v>
      </c>
      <c r="H29" s="66">
        <v>7.0</v>
      </c>
      <c r="I29" s="50">
        <v>60118.0</v>
      </c>
    </row>
    <row r="30">
      <c r="A30" s="75">
        <v>7026.0</v>
      </c>
      <c r="B30" s="70">
        <v>6294.0</v>
      </c>
      <c r="C30" s="74">
        <v>3245.0</v>
      </c>
      <c r="D30" s="66" t="s">
        <v>2812</v>
      </c>
      <c r="E30" s="66">
        <v>3.0</v>
      </c>
      <c r="F30" s="66">
        <v>62.0</v>
      </c>
      <c r="G30" s="66">
        <v>1.0</v>
      </c>
      <c r="H30" s="66">
        <v>9.0</v>
      </c>
      <c r="I30" s="50">
        <v>41813.0</v>
      </c>
    </row>
    <row r="31">
      <c r="A31" s="75">
        <v>7027.0</v>
      </c>
      <c r="B31" s="70">
        <v>1051.0</v>
      </c>
      <c r="C31" s="74">
        <v>6334.0</v>
      </c>
      <c r="D31" s="66" t="s">
        <v>2813</v>
      </c>
      <c r="E31" s="66">
        <v>4.0</v>
      </c>
      <c r="F31" s="66">
        <v>41.0</v>
      </c>
      <c r="G31" s="66">
        <v>7.0</v>
      </c>
      <c r="H31" s="66">
        <v>2.0</v>
      </c>
      <c r="I31" s="50">
        <v>110416.0</v>
      </c>
    </row>
    <row r="32">
      <c r="A32" s="75">
        <v>7028.0</v>
      </c>
      <c r="B32" s="70">
        <v>803.0</v>
      </c>
      <c r="C32" s="74">
        <v>8901.0</v>
      </c>
      <c r="D32" s="66" t="s">
        <v>2814</v>
      </c>
      <c r="E32" s="66">
        <v>3.0</v>
      </c>
      <c r="F32" s="66">
        <v>41.0</v>
      </c>
      <c r="G32" s="66">
        <v>7.0</v>
      </c>
      <c r="H32" s="66">
        <v>3.0</v>
      </c>
      <c r="I32" s="50">
        <v>80922.0</v>
      </c>
    </row>
    <row r="33">
      <c r="A33" s="75">
        <v>7029.0</v>
      </c>
      <c r="B33" s="70">
        <v>7384.0</v>
      </c>
      <c r="C33" s="74">
        <v>9060.0</v>
      </c>
      <c r="D33" s="66" t="s">
        <v>2815</v>
      </c>
      <c r="E33" s="66">
        <v>4.0</v>
      </c>
      <c r="F33" s="66">
        <v>41.0</v>
      </c>
      <c r="G33" s="66">
        <v>7.0</v>
      </c>
      <c r="H33" s="66">
        <v>7.0</v>
      </c>
      <c r="I33" s="50">
        <v>52817.0</v>
      </c>
    </row>
    <row r="34">
      <c r="A34" s="58">
        <v>7030.0</v>
      </c>
      <c r="B34" s="70">
        <v>3697.0</v>
      </c>
      <c r="C34" s="74">
        <v>424.0</v>
      </c>
      <c r="D34" s="66" t="s">
        <v>2816</v>
      </c>
      <c r="E34" s="66">
        <v>1.0</v>
      </c>
      <c r="F34" s="66">
        <v>62.0</v>
      </c>
      <c r="G34" s="66">
        <v>3.0</v>
      </c>
      <c r="H34" s="66">
        <v>1.0</v>
      </c>
      <c r="I34" s="50">
        <v>42814.0</v>
      </c>
    </row>
    <row r="35">
      <c r="A35" s="75">
        <v>7031.0</v>
      </c>
      <c r="B35" s="70">
        <v>4609.0</v>
      </c>
      <c r="C35" s="74">
        <v>1828.0</v>
      </c>
      <c r="D35" s="66" t="s">
        <v>2817</v>
      </c>
      <c r="E35" s="66">
        <v>2.0</v>
      </c>
      <c r="F35" s="66">
        <v>62.0</v>
      </c>
      <c r="G35" s="66">
        <v>3.0</v>
      </c>
      <c r="H35" s="66">
        <v>2.0</v>
      </c>
      <c r="I35" s="50">
        <v>50514.0</v>
      </c>
    </row>
    <row r="36">
      <c r="A36" s="75">
        <v>7032.0</v>
      </c>
      <c r="B36" s="70">
        <v>4124.0</v>
      </c>
      <c r="C36" s="74">
        <v>2715.0</v>
      </c>
      <c r="D36" s="66" t="s">
        <v>2818</v>
      </c>
      <c r="E36" s="66">
        <v>1.0</v>
      </c>
      <c r="F36" s="66">
        <v>41.0</v>
      </c>
      <c r="G36" s="66">
        <v>8.0</v>
      </c>
      <c r="H36" s="66">
        <v>5.0</v>
      </c>
      <c r="I36" s="50">
        <v>101415.0</v>
      </c>
    </row>
    <row r="37">
      <c r="A37" s="75">
        <v>7033.0</v>
      </c>
      <c r="B37" s="70">
        <v>2644.0</v>
      </c>
      <c r="C37" s="74">
        <v>216.0</v>
      </c>
      <c r="D37" s="66" t="s">
        <v>2819</v>
      </c>
      <c r="E37" s="66">
        <v>3.0</v>
      </c>
      <c r="F37" s="66">
        <v>62.0</v>
      </c>
      <c r="G37" s="66">
        <v>3.0</v>
      </c>
      <c r="H37" s="66">
        <v>4.0</v>
      </c>
      <c r="I37" s="50">
        <v>12215.0</v>
      </c>
    </row>
    <row r="38">
      <c r="A38" s="75">
        <v>7034.0</v>
      </c>
      <c r="B38" s="70">
        <v>481.0</v>
      </c>
      <c r="C38" s="74">
        <v>6114.0</v>
      </c>
      <c r="D38" s="66" t="s">
        <v>2820</v>
      </c>
      <c r="E38" s="66">
        <v>1.0</v>
      </c>
      <c r="F38" s="66">
        <v>21.0</v>
      </c>
      <c r="G38" s="66">
        <v>3.0</v>
      </c>
      <c r="H38" s="66">
        <v>9.0</v>
      </c>
      <c r="I38" s="50">
        <v>120220.0</v>
      </c>
    </row>
    <row r="39">
      <c r="A39" s="58">
        <v>7035.0</v>
      </c>
      <c r="B39" s="70">
        <v>6973.0</v>
      </c>
      <c r="C39" s="74">
        <v>8797.0</v>
      </c>
      <c r="D39" s="66" t="s">
        <v>2821</v>
      </c>
      <c r="E39" s="66">
        <v>1.0</v>
      </c>
      <c r="F39" s="66">
        <v>41.0</v>
      </c>
      <c r="G39" s="66">
        <v>8.0</v>
      </c>
      <c r="H39" s="66">
        <v>7.0</v>
      </c>
      <c r="I39" s="50">
        <v>122314.0</v>
      </c>
    </row>
    <row r="40">
      <c r="A40" s="75">
        <v>7036.0</v>
      </c>
      <c r="B40" s="70">
        <v>2691.0</v>
      </c>
      <c r="C40" s="74">
        <v>4651.0</v>
      </c>
      <c r="D40" s="66" t="s">
        <v>2822</v>
      </c>
      <c r="E40" s="66">
        <v>1.0</v>
      </c>
      <c r="F40" s="66">
        <v>21.0</v>
      </c>
      <c r="G40" s="66">
        <v>3.0</v>
      </c>
      <c r="H40" s="66">
        <v>8.0</v>
      </c>
      <c r="I40" s="50">
        <v>63021.0</v>
      </c>
    </row>
    <row r="41">
      <c r="A41" s="75">
        <v>7037.0</v>
      </c>
      <c r="B41" s="70">
        <v>7880.0</v>
      </c>
      <c r="C41" s="74">
        <v>8870.0</v>
      </c>
      <c r="D41" s="66" t="s">
        <v>2823</v>
      </c>
      <c r="E41" s="66">
        <v>3.0</v>
      </c>
      <c r="F41" s="66">
        <v>21.0</v>
      </c>
      <c r="G41" s="66">
        <v>4.0</v>
      </c>
      <c r="H41" s="66">
        <v>2.0</v>
      </c>
      <c r="I41" s="50">
        <v>92922.0</v>
      </c>
    </row>
    <row r="42">
      <c r="A42" s="75">
        <v>7038.0</v>
      </c>
      <c r="B42" s="70">
        <v>8171.0</v>
      </c>
      <c r="C42" s="74">
        <v>263.0</v>
      </c>
      <c r="D42" s="66" t="s">
        <v>2824</v>
      </c>
      <c r="E42" s="66">
        <v>3.0</v>
      </c>
      <c r="F42" s="66">
        <v>21.0</v>
      </c>
      <c r="G42" s="66">
        <v>4.0</v>
      </c>
      <c r="H42" s="66">
        <v>3.0</v>
      </c>
      <c r="I42" s="50">
        <v>42622.0</v>
      </c>
    </row>
    <row r="43">
      <c r="A43" s="75">
        <v>7039.0</v>
      </c>
      <c r="B43" s="70">
        <v>3295.0</v>
      </c>
      <c r="C43" s="74">
        <v>8462.0</v>
      </c>
      <c r="D43" s="66" t="s">
        <v>2825</v>
      </c>
      <c r="E43" s="66">
        <v>3.0</v>
      </c>
      <c r="F43" s="66">
        <v>21.0</v>
      </c>
      <c r="G43" s="66">
        <v>4.0</v>
      </c>
      <c r="H43" s="66">
        <v>4.0</v>
      </c>
      <c r="I43" s="50">
        <v>111616.0</v>
      </c>
    </row>
    <row r="44">
      <c r="A44" s="58">
        <v>7040.0</v>
      </c>
      <c r="B44" s="70">
        <v>3604.0</v>
      </c>
      <c r="C44" s="74">
        <v>7958.0</v>
      </c>
      <c r="D44" s="66" t="s">
        <v>2826</v>
      </c>
      <c r="E44" s="66">
        <v>1.0</v>
      </c>
      <c r="F44" s="66">
        <v>41.0</v>
      </c>
      <c r="G44" s="66">
        <v>9.0</v>
      </c>
      <c r="H44" s="66">
        <v>6.0</v>
      </c>
      <c r="I44" s="50">
        <v>51218.0</v>
      </c>
    </row>
    <row r="45">
      <c r="A45" s="75">
        <v>7041.0</v>
      </c>
      <c r="B45" s="70">
        <v>2927.0</v>
      </c>
      <c r="C45" s="74">
        <v>5075.0</v>
      </c>
      <c r="D45" s="66" t="s">
        <v>2827</v>
      </c>
      <c r="E45" s="66">
        <v>4.0</v>
      </c>
      <c r="F45" s="66">
        <v>82.0</v>
      </c>
      <c r="G45" s="66">
        <v>9.0</v>
      </c>
      <c r="H45" s="66">
        <v>2.0</v>
      </c>
      <c r="I45" s="50">
        <v>110715.0</v>
      </c>
    </row>
    <row r="46">
      <c r="A46" s="75">
        <v>7042.0</v>
      </c>
      <c r="B46" s="70">
        <v>4797.0</v>
      </c>
      <c r="C46" s="74">
        <v>3423.0</v>
      </c>
      <c r="D46" s="66" t="s">
        <v>2828</v>
      </c>
      <c r="E46" s="66">
        <v>4.0</v>
      </c>
      <c r="F46" s="66">
        <v>41.0</v>
      </c>
      <c r="G46" s="66">
        <v>9.0</v>
      </c>
      <c r="H46" s="66">
        <v>8.0</v>
      </c>
      <c r="I46" s="50">
        <v>92114.0</v>
      </c>
    </row>
    <row r="47">
      <c r="A47" s="75">
        <v>7043.0</v>
      </c>
      <c r="B47" s="70">
        <v>1601.0</v>
      </c>
      <c r="C47" s="74">
        <v>2168.0</v>
      </c>
      <c r="D47" s="66" t="s">
        <v>2829</v>
      </c>
      <c r="E47" s="66">
        <v>4.0</v>
      </c>
      <c r="F47" s="66">
        <v>82.0</v>
      </c>
      <c r="G47" s="66">
        <v>9.0</v>
      </c>
      <c r="H47" s="66">
        <v>7.0</v>
      </c>
      <c r="I47" s="50">
        <v>91015.0</v>
      </c>
    </row>
    <row r="48">
      <c r="A48" s="75">
        <v>7044.0</v>
      </c>
      <c r="B48" s="70">
        <v>1962.0</v>
      </c>
      <c r="C48" s="74">
        <v>4629.0</v>
      </c>
      <c r="D48" s="66" t="s">
        <v>2830</v>
      </c>
      <c r="E48" s="66">
        <v>4.0</v>
      </c>
      <c r="F48" s="66">
        <v>21.0</v>
      </c>
      <c r="G48" s="66">
        <v>5.0</v>
      </c>
      <c r="H48" s="66">
        <v>3.0</v>
      </c>
      <c r="I48" s="50">
        <v>71121.0</v>
      </c>
    </row>
    <row r="49">
      <c r="A49" s="58">
        <v>7045.0</v>
      </c>
      <c r="B49" s="70">
        <v>8538.0</v>
      </c>
      <c r="C49" s="74">
        <v>5760.0</v>
      </c>
      <c r="D49" s="66" t="s">
        <v>2831</v>
      </c>
      <c r="E49" s="66">
        <v>2.0</v>
      </c>
      <c r="F49" s="66">
        <v>62.0</v>
      </c>
      <c r="G49" s="66">
        <v>4.0</v>
      </c>
      <c r="H49" s="66">
        <v>9.0</v>
      </c>
      <c r="I49" s="50">
        <v>51217.0</v>
      </c>
    </row>
    <row r="50">
      <c r="A50" s="75">
        <v>7046.0</v>
      </c>
      <c r="B50" s="70">
        <v>8462.0</v>
      </c>
      <c r="C50" s="74">
        <v>9460.0</v>
      </c>
      <c r="D50" s="66" t="s">
        <v>2832</v>
      </c>
      <c r="E50" s="66">
        <v>2.0</v>
      </c>
      <c r="F50" s="66">
        <v>21.0</v>
      </c>
      <c r="G50" s="66">
        <v>5.0</v>
      </c>
      <c r="H50" s="66">
        <v>7.0</v>
      </c>
      <c r="I50" s="50">
        <v>73013.0</v>
      </c>
    </row>
    <row r="51">
      <c r="A51" s="75">
        <v>7047.0</v>
      </c>
      <c r="B51" s="70">
        <v>6782.0</v>
      </c>
      <c r="C51" s="74">
        <v>1241.0</v>
      </c>
      <c r="D51" s="66" t="s">
        <v>2833</v>
      </c>
      <c r="E51" s="66">
        <v>3.0</v>
      </c>
      <c r="F51" s="66">
        <v>62.0</v>
      </c>
      <c r="G51" s="66">
        <v>5.0</v>
      </c>
      <c r="H51" s="66">
        <v>4.0</v>
      </c>
      <c r="I51" s="50">
        <v>103017.0</v>
      </c>
    </row>
    <row r="52">
      <c r="A52" s="75">
        <v>7048.0</v>
      </c>
      <c r="B52" s="70">
        <v>4764.0</v>
      </c>
      <c r="C52" s="74">
        <v>9622.0</v>
      </c>
      <c r="D52" s="66" t="s">
        <v>2834</v>
      </c>
      <c r="E52" s="66">
        <v>4.0</v>
      </c>
      <c r="F52" s="66">
        <v>21.0</v>
      </c>
      <c r="G52" s="66">
        <v>6.0</v>
      </c>
      <c r="H52" s="66">
        <v>2.0</v>
      </c>
      <c r="I52" s="50">
        <v>72714.0</v>
      </c>
    </row>
    <row r="53">
      <c r="A53" s="75">
        <v>7049.0</v>
      </c>
      <c r="B53" s="70">
        <v>6044.0</v>
      </c>
      <c r="C53" s="74">
        <v>8847.0</v>
      </c>
      <c r="D53" s="66" t="s">
        <v>2835</v>
      </c>
      <c r="E53" s="66">
        <v>1.0</v>
      </c>
      <c r="F53" s="66">
        <v>21.0</v>
      </c>
      <c r="G53" s="66">
        <v>6.0</v>
      </c>
      <c r="H53" s="66">
        <v>4.0</v>
      </c>
      <c r="I53" s="50">
        <v>101213.0</v>
      </c>
    </row>
    <row r="54">
      <c r="A54" s="58">
        <v>7050.0</v>
      </c>
      <c r="B54" s="70">
        <v>4571.0</v>
      </c>
      <c r="C54" s="74">
        <v>7756.0</v>
      </c>
      <c r="D54" s="66" t="s">
        <v>2836</v>
      </c>
      <c r="E54" s="66">
        <v>1.0</v>
      </c>
      <c r="F54" s="66">
        <v>42.0</v>
      </c>
      <c r="G54" s="66">
        <v>1.0</v>
      </c>
      <c r="H54" s="66">
        <v>7.0</v>
      </c>
      <c r="I54" s="50">
        <v>62515.0</v>
      </c>
    </row>
    <row r="55">
      <c r="A55" s="75">
        <v>7051.0</v>
      </c>
      <c r="B55" s="70">
        <v>2229.0</v>
      </c>
      <c r="C55" s="74">
        <v>2002.0</v>
      </c>
      <c r="D55" s="66" t="s">
        <v>2837</v>
      </c>
      <c r="E55" s="66">
        <v>3.0</v>
      </c>
      <c r="F55" s="66">
        <v>83.0</v>
      </c>
      <c r="G55" s="66">
        <v>1.0</v>
      </c>
      <c r="H55" s="66">
        <v>4.0</v>
      </c>
      <c r="I55" s="50">
        <v>32817.0</v>
      </c>
    </row>
    <row r="56">
      <c r="A56" s="75">
        <v>7052.0</v>
      </c>
      <c r="B56" s="70">
        <v>9775.0</v>
      </c>
      <c r="C56" s="74">
        <v>8920.0</v>
      </c>
      <c r="D56" s="66" t="s">
        <v>2838</v>
      </c>
      <c r="E56" s="66">
        <v>4.0</v>
      </c>
      <c r="F56" s="66">
        <v>42.0</v>
      </c>
      <c r="G56" s="66">
        <v>1.0</v>
      </c>
      <c r="H56" s="66">
        <v>9.0</v>
      </c>
      <c r="I56" s="50">
        <v>61116.0</v>
      </c>
    </row>
    <row r="57">
      <c r="A57" s="75">
        <v>7053.0</v>
      </c>
      <c r="B57" s="70">
        <v>7522.0</v>
      </c>
      <c r="C57" s="74">
        <v>6322.0</v>
      </c>
      <c r="D57" s="66" t="s">
        <v>2839</v>
      </c>
      <c r="E57" s="66">
        <v>1.0</v>
      </c>
      <c r="F57" s="66">
        <v>21.0</v>
      </c>
      <c r="G57" s="66">
        <v>7.0</v>
      </c>
      <c r="H57" s="66">
        <v>2.0</v>
      </c>
      <c r="I57" s="50">
        <v>60318.0</v>
      </c>
    </row>
    <row r="58">
      <c r="A58" s="75">
        <v>7054.0</v>
      </c>
      <c r="B58" s="70">
        <v>8092.0</v>
      </c>
      <c r="C58" s="74">
        <v>2781.0</v>
      </c>
      <c r="D58" s="66" t="s">
        <v>2840</v>
      </c>
      <c r="E58" s="66">
        <v>1.0</v>
      </c>
      <c r="F58" s="66">
        <v>62.0</v>
      </c>
      <c r="G58" s="66">
        <v>6.0</v>
      </c>
      <c r="H58" s="66">
        <v>9.0</v>
      </c>
      <c r="I58" s="50">
        <v>10919.0</v>
      </c>
    </row>
    <row r="59">
      <c r="A59" s="58">
        <v>7055.0</v>
      </c>
      <c r="B59" s="70">
        <v>3786.0</v>
      </c>
      <c r="C59" s="74">
        <v>8173.0</v>
      </c>
      <c r="D59" s="66" t="s">
        <v>2841</v>
      </c>
      <c r="E59" s="66">
        <v>4.0</v>
      </c>
      <c r="F59" s="66">
        <v>42.0</v>
      </c>
      <c r="G59" s="66">
        <v>2.0</v>
      </c>
      <c r="H59" s="66">
        <v>2.0</v>
      </c>
      <c r="I59" s="50">
        <v>110413.0</v>
      </c>
    </row>
    <row r="60">
      <c r="A60" s="75">
        <v>7056.0</v>
      </c>
      <c r="B60" s="70">
        <v>5961.0</v>
      </c>
      <c r="C60" s="74">
        <v>2953.0</v>
      </c>
      <c r="D60" s="66" t="s">
        <v>2842</v>
      </c>
      <c r="E60" s="66">
        <v>3.0</v>
      </c>
      <c r="F60" s="66">
        <v>62.0</v>
      </c>
      <c r="G60" s="66">
        <v>7.0</v>
      </c>
      <c r="H60" s="66">
        <v>1.0</v>
      </c>
      <c r="I60" s="50">
        <v>90519.0</v>
      </c>
    </row>
    <row r="61">
      <c r="A61" s="75">
        <v>7057.0</v>
      </c>
      <c r="B61" s="70">
        <v>7393.0</v>
      </c>
      <c r="C61" s="74">
        <v>2959.0</v>
      </c>
      <c r="D61" s="66" t="s">
        <v>2843</v>
      </c>
      <c r="E61" s="66">
        <v>2.0</v>
      </c>
      <c r="F61" s="66">
        <v>42.0</v>
      </c>
      <c r="G61" s="66">
        <v>2.0</v>
      </c>
      <c r="H61" s="66">
        <v>4.0</v>
      </c>
      <c r="I61" s="50">
        <v>31713.0</v>
      </c>
    </row>
    <row r="62">
      <c r="A62" s="75">
        <v>7058.0</v>
      </c>
      <c r="B62" s="70">
        <v>5081.0</v>
      </c>
      <c r="C62" s="74">
        <v>9398.0</v>
      </c>
      <c r="D62" s="66" t="s">
        <v>2844</v>
      </c>
      <c r="E62" s="66">
        <v>4.0</v>
      </c>
      <c r="F62" s="66">
        <v>42.0</v>
      </c>
      <c r="G62" s="66">
        <v>2.0</v>
      </c>
      <c r="H62" s="66">
        <v>6.0</v>
      </c>
      <c r="I62" s="50">
        <v>62222.0</v>
      </c>
    </row>
    <row r="63">
      <c r="A63" s="75">
        <v>7059.0</v>
      </c>
      <c r="B63" s="70">
        <v>5059.0</v>
      </c>
      <c r="C63" s="74">
        <v>9380.0</v>
      </c>
      <c r="D63" s="66" t="s">
        <v>2845</v>
      </c>
      <c r="E63" s="66">
        <v>1.0</v>
      </c>
      <c r="F63" s="66">
        <v>83.0</v>
      </c>
      <c r="G63" s="66">
        <v>2.0</v>
      </c>
      <c r="H63" s="66">
        <v>6.0</v>
      </c>
      <c r="I63" s="50">
        <v>72017.0</v>
      </c>
    </row>
    <row r="64">
      <c r="A64" s="58">
        <v>7060.0</v>
      </c>
      <c r="B64" s="70">
        <v>8801.0</v>
      </c>
      <c r="C64" s="74">
        <v>9314.0</v>
      </c>
      <c r="D64" s="66" t="s">
        <v>2846</v>
      </c>
      <c r="E64" s="66">
        <v>4.0</v>
      </c>
      <c r="F64" s="66">
        <v>83.0</v>
      </c>
      <c r="G64" s="66">
        <v>2.0</v>
      </c>
      <c r="H64" s="66">
        <v>7.0</v>
      </c>
      <c r="I64" s="50">
        <v>101320.0</v>
      </c>
    </row>
    <row r="65">
      <c r="A65" s="75">
        <v>7061.0</v>
      </c>
      <c r="B65" s="70">
        <v>7492.0</v>
      </c>
      <c r="C65" s="74">
        <v>7027.0</v>
      </c>
      <c r="D65" s="66" t="s">
        <v>2847</v>
      </c>
      <c r="E65" s="66">
        <v>2.0</v>
      </c>
      <c r="F65" s="66">
        <v>42.0</v>
      </c>
      <c r="G65" s="66">
        <v>3.0</v>
      </c>
      <c r="H65" s="66">
        <v>2.0</v>
      </c>
      <c r="I65" s="50">
        <v>22422.0</v>
      </c>
    </row>
    <row r="66">
      <c r="A66" s="75">
        <v>7062.0</v>
      </c>
      <c r="B66" s="70">
        <v>73.0</v>
      </c>
      <c r="C66" s="74">
        <v>9247.0</v>
      </c>
      <c r="D66" s="66" t="s">
        <v>2848</v>
      </c>
      <c r="E66" s="66">
        <v>4.0</v>
      </c>
      <c r="F66" s="66">
        <v>83.0</v>
      </c>
      <c r="G66" s="66">
        <v>3.0</v>
      </c>
      <c r="H66" s="66">
        <v>4.0</v>
      </c>
      <c r="I66" s="50">
        <v>60813.0</v>
      </c>
    </row>
    <row r="67">
      <c r="A67" s="75">
        <v>7063.0</v>
      </c>
      <c r="B67" s="70">
        <v>7217.0</v>
      </c>
      <c r="C67" s="74">
        <v>7079.0</v>
      </c>
      <c r="D67" s="66" t="s">
        <v>2849</v>
      </c>
      <c r="E67" s="66">
        <v>3.0</v>
      </c>
      <c r="F67" s="66">
        <v>21.0</v>
      </c>
      <c r="G67" s="66">
        <v>9.0</v>
      </c>
      <c r="H67" s="66">
        <v>3.0</v>
      </c>
      <c r="I67" s="50">
        <v>93014.0</v>
      </c>
    </row>
    <row r="68">
      <c r="A68" s="75">
        <v>7064.0</v>
      </c>
      <c r="B68" s="70">
        <v>7824.0</v>
      </c>
      <c r="C68" s="74">
        <v>3555.0</v>
      </c>
      <c r="D68" s="66" t="s">
        <v>2850</v>
      </c>
      <c r="E68" s="66">
        <v>3.0</v>
      </c>
      <c r="F68" s="66">
        <v>61.0</v>
      </c>
      <c r="G68" s="66">
        <v>3.0</v>
      </c>
      <c r="H68" s="66">
        <v>5.0</v>
      </c>
      <c r="I68" s="50">
        <v>42313.0</v>
      </c>
    </row>
    <row r="69">
      <c r="A69" s="58">
        <v>7065.0</v>
      </c>
      <c r="B69" s="70">
        <v>2489.0</v>
      </c>
      <c r="C69" s="74">
        <v>759.0</v>
      </c>
      <c r="D69" s="66" t="s">
        <v>2851</v>
      </c>
      <c r="E69" s="66">
        <v>2.0</v>
      </c>
      <c r="F69" s="66">
        <v>83.0</v>
      </c>
      <c r="G69" s="66">
        <v>3.0</v>
      </c>
      <c r="H69" s="66">
        <v>9.0</v>
      </c>
      <c r="I69" s="50">
        <v>22020.0</v>
      </c>
    </row>
    <row r="70">
      <c r="A70" s="75">
        <v>7066.0</v>
      </c>
      <c r="B70" s="70">
        <v>2651.0</v>
      </c>
      <c r="C70" s="74">
        <v>6413.0</v>
      </c>
      <c r="D70" s="66" t="s">
        <v>2852</v>
      </c>
      <c r="E70" s="66">
        <v>4.0</v>
      </c>
      <c r="F70" s="66">
        <v>21.0</v>
      </c>
      <c r="G70" s="66">
        <v>9.0</v>
      </c>
      <c r="H70" s="66">
        <v>7.0</v>
      </c>
      <c r="I70" s="50">
        <v>100914.0</v>
      </c>
    </row>
    <row r="71">
      <c r="A71" s="75">
        <v>7067.0</v>
      </c>
      <c r="B71" s="70">
        <v>5318.0</v>
      </c>
      <c r="C71" s="74">
        <v>6868.0</v>
      </c>
      <c r="D71" s="66" t="s">
        <v>2853</v>
      </c>
      <c r="E71" s="66">
        <v>3.0</v>
      </c>
      <c r="F71" s="66">
        <v>62.0</v>
      </c>
      <c r="G71" s="66">
        <v>9.0</v>
      </c>
      <c r="H71" s="66">
        <v>3.0</v>
      </c>
      <c r="I71" s="50">
        <v>111119.0</v>
      </c>
    </row>
    <row r="72">
      <c r="A72" s="75">
        <v>7068.0</v>
      </c>
      <c r="B72" s="70">
        <v>6666.0</v>
      </c>
      <c r="C72" s="74">
        <v>3010.0</v>
      </c>
      <c r="D72" s="66" t="s">
        <v>2854</v>
      </c>
      <c r="E72" s="66">
        <v>4.0</v>
      </c>
      <c r="F72" s="66">
        <v>83.0</v>
      </c>
      <c r="G72" s="66">
        <v>4.0</v>
      </c>
      <c r="H72" s="66">
        <v>9.0</v>
      </c>
      <c r="I72" s="50">
        <v>11420.0</v>
      </c>
    </row>
    <row r="73">
      <c r="A73" s="75">
        <v>7069.0</v>
      </c>
      <c r="B73" s="70">
        <v>4273.0</v>
      </c>
      <c r="C73" s="74">
        <v>3758.0</v>
      </c>
      <c r="D73" s="66" t="s">
        <v>2855</v>
      </c>
      <c r="E73" s="66">
        <v>1.0</v>
      </c>
      <c r="F73" s="66">
        <v>83.0</v>
      </c>
      <c r="G73" s="66">
        <v>5.0</v>
      </c>
      <c r="H73" s="66">
        <v>2.0</v>
      </c>
      <c r="I73" s="50">
        <v>73121.0</v>
      </c>
    </row>
    <row r="74">
      <c r="A74" s="58">
        <v>7070.0</v>
      </c>
      <c r="B74" s="70">
        <v>6432.0</v>
      </c>
      <c r="C74" s="74">
        <v>5303.0</v>
      </c>
      <c r="D74" s="66" t="s">
        <v>2856</v>
      </c>
      <c r="E74" s="66">
        <v>2.0</v>
      </c>
      <c r="F74" s="66">
        <v>83.0</v>
      </c>
      <c r="G74" s="66">
        <v>5.0</v>
      </c>
      <c r="H74" s="66">
        <v>3.0</v>
      </c>
      <c r="I74" s="50">
        <v>120120.0</v>
      </c>
    </row>
    <row r="75">
      <c r="A75" s="75">
        <v>7071.0</v>
      </c>
      <c r="B75" s="70">
        <v>6719.0</v>
      </c>
      <c r="C75" s="74">
        <v>2585.0</v>
      </c>
      <c r="D75" s="66" t="s">
        <v>2857</v>
      </c>
      <c r="E75" s="66">
        <v>2.0</v>
      </c>
      <c r="F75" s="66">
        <v>22.0</v>
      </c>
      <c r="G75" s="66">
        <v>1.0</v>
      </c>
      <c r="H75" s="66">
        <v>1.0</v>
      </c>
      <c r="I75" s="50">
        <v>60514.0</v>
      </c>
    </row>
    <row r="76">
      <c r="A76" s="75">
        <v>7072.0</v>
      </c>
      <c r="B76" s="70">
        <v>720.0</v>
      </c>
      <c r="C76" s="74">
        <v>9127.0</v>
      </c>
      <c r="D76" s="66" t="s">
        <v>2858</v>
      </c>
      <c r="E76" s="66">
        <v>2.0</v>
      </c>
      <c r="F76" s="66">
        <v>42.0</v>
      </c>
      <c r="G76" s="66">
        <v>6.0</v>
      </c>
      <c r="H76" s="66">
        <v>1.0</v>
      </c>
      <c r="I76" s="50">
        <v>50122.0</v>
      </c>
    </row>
    <row r="77">
      <c r="A77" s="75">
        <v>7073.0</v>
      </c>
      <c r="B77" s="70">
        <v>5898.0</v>
      </c>
      <c r="C77" s="74">
        <v>1288.0</v>
      </c>
      <c r="D77" s="66" t="s">
        <v>2859</v>
      </c>
      <c r="E77" s="66">
        <v>2.0</v>
      </c>
      <c r="F77" s="66">
        <v>22.0</v>
      </c>
      <c r="G77" s="66">
        <v>1.0</v>
      </c>
      <c r="H77" s="66">
        <v>4.0</v>
      </c>
      <c r="I77" s="50">
        <v>100519.0</v>
      </c>
    </row>
    <row r="78">
      <c r="A78" s="75">
        <v>7074.0</v>
      </c>
      <c r="B78" s="70">
        <v>9694.0</v>
      </c>
      <c r="C78" s="74">
        <v>343.0</v>
      </c>
      <c r="D78" s="66" t="s">
        <v>2860</v>
      </c>
      <c r="E78" s="66">
        <v>4.0</v>
      </c>
      <c r="F78" s="66">
        <v>83.0</v>
      </c>
      <c r="G78" s="66">
        <v>6.0</v>
      </c>
      <c r="H78" s="66">
        <v>1.0</v>
      </c>
      <c r="I78" s="50">
        <v>102916.0</v>
      </c>
    </row>
    <row r="79">
      <c r="A79" s="58">
        <v>7075.0</v>
      </c>
      <c r="B79" s="70">
        <v>4216.0</v>
      </c>
      <c r="C79" s="74">
        <v>1392.0</v>
      </c>
      <c r="D79" s="66" t="s">
        <v>2861</v>
      </c>
      <c r="E79" s="66">
        <v>1.0</v>
      </c>
      <c r="F79" s="66">
        <v>83.0</v>
      </c>
      <c r="G79" s="66">
        <v>6.0</v>
      </c>
      <c r="H79" s="66">
        <v>2.0</v>
      </c>
      <c r="I79" s="50">
        <v>100121.0</v>
      </c>
    </row>
    <row r="80">
      <c r="A80" s="75">
        <v>7076.0</v>
      </c>
      <c r="B80" s="70">
        <v>2818.0</v>
      </c>
      <c r="C80" s="74">
        <v>520.0</v>
      </c>
      <c r="D80" s="66" t="s">
        <v>2862</v>
      </c>
      <c r="E80" s="66">
        <v>2.0</v>
      </c>
      <c r="F80" s="66">
        <v>22.0</v>
      </c>
      <c r="G80" s="66">
        <v>2.0</v>
      </c>
      <c r="H80" s="66">
        <v>5.0</v>
      </c>
      <c r="I80" s="50">
        <v>102919.0</v>
      </c>
    </row>
    <row r="81">
      <c r="A81" s="75">
        <v>7077.0</v>
      </c>
      <c r="B81" s="70">
        <v>363.0</v>
      </c>
      <c r="C81" s="74">
        <v>3688.0</v>
      </c>
      <c r="D81" s="66" t="s">
        <v>2863</v>
      </c>
      <c r="E81" s="66">
        <v>4.0</v>
      </c>
      <c r="F81" s="66">
        <v>63.0</v>
      </c>
      <c r="G81" s="66">
        <v>2.0</v>
      </c>
      <c r="H81" s="66">
        <v>2.0</v>
      </c>
      <c r="I81" s="50">
        <v>122015.0</v>
      </c>
    </row>
    <row r="82">
      <c r="A82" s="75">
        <v>7078.0</v>
      </c>
      <c r="B82" s="70">
        <v>3880.0</v>
      </c>
      <c r="C82" s="74">
        <v>9153.0</v>
      </c>
      <c r="D82" s="66" t="s">
        <v>2864</v>
      </c>
      <c r="E82" s="66">
        <v>3.0</v>
      </c>
      <c r="F82" s="66">
        <v>83.0</v>
      </c>
      <c r="G82" s="66">
        <v>7.0</v>
      </c>
      <c r="H82" s="66">
        <v>3.0</v>
      </c>
      <c r="I82" s="50">
        <v>91615.0</v>
      </c>
    </row>
    <row r="83">
      <c r="A83" s="75">
        <v>7079.0</v>
      </c>
      <c r="B83" s="70">
        <v>1253.0</v>
      </c>
      <c r="C83" s="74">
        <v>2134.0</v>
      </c>
      <c r="D83" s="66" t="s">
        <v>2865</v>
      </c>
      <c r="E83" s="66">
        <v>3.0</v>
      </c>
      <c r="F83" s="66">
        <v>42.0</v>
      </c>
      <c r="G83" s="66">
        <v>7.0</v>
      </c>
      <c r="H83" s="66">
        <v>7.0</v>
      </c>
      <c r="I83" s="50">
        <v>42916.0</v>
      </c>
    </row>
    <row r="84">
      <c r="A84" s="58">
        <v>7080.0</v>
      </c>
      <c r="B84" s="70">
        <v>8120.0</v>
      </c>
      <c r="C84" s="74">
        <v>3750.0</v>
      </c>
      <c r="D84" s="66" t="s">
        <v>2866</v>
      </c>
      <c r="E84" s="66">
        <v>4.0</v>
      </c>
      <c r="F84" s="66">
        <v>22.0</v>
      </c>
      <c r="G84" s="66">
        <v>3.0</v>
      </c>
      <c r="H84" s="66">
        <v>2.0</v>
      </c>
      <c r="I84" s="50">
        <v>71313.0</v>
      </c>
    </row>
    <row r="85">
      <c r="A85" s="75">
        <v>7081.0</v>
      </c>
      <c r="B85" s="70">
        <v>1733.0</v>
      </c>
      <c r="C85" s="74">
        <v>80.0</v>
      </c>
      <c r="D85" s="66" t="s">
        <v>2867</v>
      </c>
      <c r="E85" s="66">
        <v>4.0</v>
      </c>
      <c r="F85" s="66">
        <v>83.0</v>
      </c>
      <c r="G85" s="66">
        <v>7.0</v>
      </c>
      <c r="H85" s="66">
        <v>8.0</v>
      </c>
      <c r="I85" s="50">
        <v>110820.0</v>
      </c>
    </row>
    <row r="86">
      <c r="A86" s="75">
        <v>7082.0</v>
      </c>
      <c r="B86" s="70">
        <v>1396.0</v>
      </c>
      <c r="C86" s="74">
        <v>371.0</v>
      </c>
      <c r="D86" s="66" t="s">
        <v>2868</v>
      </c>
      <c r="E86" s="66">
        <v>3.0</v>
      </c>
      <c r="F86" s="66">
        <v>22.0</v>
      </c>
      <c r="G86" s="66">
        <v>3.0</v>
      </c>
      <c r="H86" s="66">
        <v>8.0</v>
      </c>
      <c r="I86" s="50">
        <v>31720.0</v>
      </c>
    </row>
    <row r="87">
      <c r="A87" s="75">
        <v>7083.0</v>
      </c>
      <c r="B87" s="70">
        <v>9921.0</v>
      </c>
      <c r="C87" s="74">
        <v>8811.0</v>
      </c>
      <c r="D87" s="66" t="s">
        <v>2869</v>
      </c>
      <c r="E87" s="66">
        <v>3.0</v>
      </c>
      <c r="F87" s="66">
        <v>83.0</v>
      </c>
      <c r="G87" s="66">
        <v>8.0</v>
      </c>
      <c r="H87" s="66">
        <v>3.0</v>
      </c>
      <c r="I87" s="50">
        <v>121815.0</v>
      </c>
    </row>
    <row r="88">
      <c r="A88" s="75">
        <v>7084.0</v>
      </c>
      <c r="B88" s="70">
        <v>4958.0</v>
      </c>
      <c r="C88" s="74">
        <v>8270.0</v>
      </c>
      <c r="D88" s="66" t="s">
        <v>2870</v>
      </c>
      <c r="E88" s="66">
        <v>4.0</v>
      </c>
      <c r="F88" s="66">
        <v>83.0</v>
      </c>
      <c r="G88" s="66">
        <v>8.0</v>
      </c>
      <c r="H88" s="66">
        <v>7.0</v>
      </c>
      <c r="I88" s="50">
        <v>10719.0</v>
      </c>
    </row>
    <row r="89">
      <c r="A89" s="58">
        <v>7085.0</v>
      </c>
      <c r="B89" s="70">
        <v>4691.0</v>
      </c>
      <c r="C89" s="74">
        <v>5069.0</v>
      </c>
      <c r="D89" s="66" t="s">
        <v>2871</v>
      </c>
      <c r="E89" s="66">
        <v>2.0</v>
      </c>
      <c r="F89" s="66">
        <v>63.0</v>
      </c>
      <c r="G89" s="66">
        <v>3.0</v>
      </c>
      <c r="H89" s="66">
        <v>9.0</v>
      </c>
      <c r="I89" s="50">
        <v>122316.0</v>
      </c>
    </row>
    <row r="90">
      <c r="A90" s="75">
        <v>7086.0</v>
      </c>
      <c r="B90" s="70">
        <v>6604.0</v>
      </c>
      <c r="C90" s="74">
        <v>7913.0</v>
      </c>
      <c r="D90" s="66" t="s">
        <v>2872</v>
      </c>
      <c r="E90" s="66">
        <v>4.0</v>
      </c>
      <c r="F90" s="66">
        <v>42.0</v>
      </c>
      <c r="G90" s="66">
        <v>9.0</v>
      </c>
      <c r="H90" s="66">
        <v>1.0</v>
      </c>
      <c r="I90" s="50">
        <v>82315.0</v>
      </c>
    </row>
    <row r="91">
      <c r="A91" s="75">
        <v>7087.0</v>
      </c>
      <c r="B91" s="70">
        <v>5080.0</v>
      </c>
      <c r="C91" s="74">
        <v>2537.0</v>
      </c>
      <c r="D91" s="66" t="s">
        <v>2873</v>
      </c>
      <c r="E91" s="66">
        <v>3.0</v>
      </c>
      <c r="F91" s="66">
        <v>22.0</v>
      </c>
      <c r="G91" s="66">
        <v>4.0</v>
      </c>
      <c r="H91" s="66">
        <v>6.0</v>
      </c>
      <c r="I91" s="50">
        <v>21017.0</v>
      </c>
    </row>
    <row r="92">
      <c r="A92" s="75">
        <v>7088.0</v>
      </c>
      <c r="B92" s="70">
        <v>2307.0</v>
      </c>
      <c r="C92" s="74">
        <v>9953.0</v>
      </c>
      <c r="D92" s="66" t="s">
        <v>2874</v>
      </c>
      <c r="E92" s="66">
        <v>4.0</v>
      </c>
      <c r="F92" s="66">
        <v>42.0</v>
      </c>
      <c r="G92" s="66">
        <v>9.0</v>
      </c>
      <c r="H92" s="66">
        <v>6.0</v>
      </c>
      <c r="I92" s="50">
        <v>70520.0</v>
      </c>
    </row>
    <row r="93">
      <c r="A93" s="75">
        <v>7089.0</v>
      </c>
      <c r="B93" s="70">
        <v>1588.0</v>
      </c>
      <c r="C93" s="74">
        <v>5832.0</v>
      </c>
      <c r="D93" s="66" t="s">
        <v>2875</v>
      </c>
      <c r="E93" s="66">
        <v>4.0</v>
      </c>
      <c r="F93" s="66">
        <v>83.0</v>
      </c>
      <c r="G93" s="66">
        <v>9.0</v>
      </c>
      <c r="H93" s="66">
        <v>3.0</v>
      </c>
      <c r="I93" s="50">
        <v>72113.0</v>
      </c>
    </row>
    <row r="94">
      <c r="A94" s="58">
        <v>7090.0</v>
      </c>
      <c r="B94" s="70">
        <v>564.0</v>
      </c>
      <c r="C94" s="74">
        <v>7338.0</v>
      </c>
      <c r="D94" s="66" t="s">
        <v>2876</v>
      </c>
      <c r="E94" s="66">
        <v>4.0</v>
      </c>
      <c r="F94" s="66">
        <v>63.0</v>
      </c>
      <c r="G94" s="66">
        <v>4.0</v>
      </c>
      <c r="H94" s="66">
        <v>7.0</v>
      </c>
      <c r="I94" s="50">
        <v>121216.0</v>
      </c>
    </row>
    <row r="95">
      <c r="A95" s="75">
        <v>7091.0</v>
      </c>
      <c r="B95" s="70">
        <v>1517.0</v>
      </c>
      <c r="C95" s="74">
        <v>466.0</v>
      </c>
      <c r="D95" s="66" t="s">
        <v>2877</v>
      </c>
      <c r="E95" s="66">
        <v>2.0</v>
      </c>
      <c r="F95" s="66">
        <v>22.0</v>
      </c>
      <c r="G95" s="66">
        <v>5.0</v>
      </c>
      <c r="H95" s="66">
        <v>1.0</v>
      </c>
      <c r="I95" s="50">
        <v>52119.0</v>
      </c>
    </row>
    <row r="96">
      <c r="A96" s="75">
        <v>7092.0</v>
      </c>
      <c r="B96" s="70">
        <v>3699.0</v>
      </c>
      <c r="C96" s="74">
        <v>3034.0</v>
      </c>
      <c r="D96" s="66" t="s">
        <v>2878</v>
      </c>
      <c r="E96" s="66">
        <v>2.0</v>
      </c>
      <c r="F96" s="66">
        <v>22.0</v>
      </c>
      <c r="G96" s="66">
        <v>5.0</v>
      </c>
      <c r="H96" s="66">
        <v>2.0</v>
      </c>
      <c r="I96" s="50">
        <v>92617.0</v>
      </c>
    </row>
    <row r="97">
      <c r="A97" s="75">
        <v>7093.0</v>
      </c>
      <c r="B97" s="70">
        <v>5618.0</v>
      </c>
      <c r="C97" s="74">
        <v>6953.0</v>
      </c>
      <c r="D97" s="66" t="s">
        <v>2879</v>
      </c>
      <c r="E97" s="66">
        <v>1.0</v>
      </c>
      <c r="F97" s="66">
        <v>42.0</v>
      </c>
      <c r="G97" s="66">
        <v>9.0</v>
      </c>
      <c r="H97" s="66">
        <v>9.0</v>
      </c>
      <c r="I97" s="50">
        <v>31222.0</v>
      </c>
    </row>
    <row r="98">
      <c r="A98" s="75">
        <v>7094.0</v>
      </c>
      <c r="B98" s="70">
        <v>3595.0</v>
      </c>
      <c r="C98" s="74">
        <v>4410.0</v>
      </c>
      <c r="D98" s="66" t="s">
        <v>2880</v>
      </c>
      <c r="E98" s="66">
        <v>2.0</v>
      </c>
      <c r="F98" s="66">
        <v>83.0</v>
      </c>
      <c r="G98" s="66">
        <v>9.0</v>
      </c>
      <c r="H98" s="66">
        <v>9.0</v>
      </c>
      <c r="I98" s="50">
        <v>121417.0</v>
      </c>
    </row>
    <row r="99">
      <c r="A99" s="58">
        <v>7095.0</v>
      </c>
      <c r="B99" s="70">
        <v>7439.0</v>
      </c>
      <c r="C99" s="74">
        <v>3473.0</v>
      </c>
      <c r="D99" s="66" t="s">
        <v>2881</v>
      </c>
      <c r="E99" s="66">
        <v>2.0</v>
      </c>
      <c r="F99" s="66">
        <v>22.0</v>
      </c>
      <c r="G99" s="66">
        <v>5.0</v>
      </c>
      <c r="H99" s="66">
        <v>6.0</v>
      </c>
      <c r="I99" s="50">
        <v>50715.0</v>
      </c>
    </row>
    <row r="100">
      <c r="A100" s="75">
        <v>7096.0</v>
      </c>
      <c r="B100" s="70">
        <v>158.0</v>
      </c>
      <c r="C100" s="74">
        <v>7875.0</v>
      </c>
      <c r="D100" s="66" t="s">
        <v>2882</v>
      </c>
      <c r="E100" s="66">
        <v>1.0</v>
      </c>
      <c r="F100" s="66">
        <v>63.0</v>
      </c>
      <c r="G100" s="66">
        <v>5.0</v>
      </c>
      <c r="H100" s="66">
        <v>7.0</v>
      </c>
      <c r="I100" s="50">
        <v>71114.0</v>
      </c>
    </row>
    <row r="101">
      <c r="A101" s="75">
        <v>7097.0</v>
      </c>
      <c r="B101" s="70">
        <v>3903.0</v>
      </c>
      <c r="C101" s="74">
        <v>2817.0</v>
      </c>
      <c r="D101" s="66" t="s">
        <v>2883</v>
      </c>
      <c r="E101" s="66">
        <v>4.0</v>
      </c>
      <c r="F101" s="66">
        <v>43.0</v>
      </c>
      <c r="G101" s="66">
        <v>1.0</v>
      </c>
      <c r="H101" s="66">
        <v>1.0</v>
      </c>
      <c r="I101" s="50">
        <v>52713.0</v>
      </c>
    </row>
    <row r="102">
      <c r="A102" s="75">
        <v>7098.0</v>
      </c>
      <c r="B102" s="70">
        <v>7100.0</v>
      </c>
      <c r="C102" s="74">
        <v>7429.0</v>
      </c>
      <c r="D102" s="66" t="s">
        <v>2884</v>
      </c>
      <c r="E102" s="66">
        <v>3.0</v>
      </c>
      <c r="F102" s="66">
        <v>43.0</v>
      </c>
      <c r="G102" s="66">
        <v>1.0</v>
      </c>
      <c r="H102" s="66">
        <v>4.0</v>
      </c>
      <c r="I102" s="50">
        <v>52113.0</v>
      </c>
    </row>
    <row r="103">
      <c r="A103" s="75">
        <v>7099.0</v>
      </c>
      <c r="B103" s="70">
        <v>4836.0</v>
      </c>
      <c r="C103" s="74">
        <v>4339.0</v>
      </c>
      <c r="D103" s="66" t="s">
        <v>2885</v>
      </c>
      <c r="E103" s="66">
        <v>2.0</v>
      </c>
      <c r="F103" s="66">
        <v>63.0</v>
      </c>
      <c r="G103" s="66">
        <v>6.0</v>
      </c>
      <c r="H103" s="66">
        <v>6.0</v>
      </c>
      <c r="I103" s="50">
        <v>83020.0</v>
      </c>
    </row>
    <row r="104">
      <c r="A104" s="58">
        <v>7100.0</v>
      </c>
      <c r="B104" s="70">
        <v>9586.0</v>
      </c>
      <c r="C104" s="74">
        <v>129.0</v>
      </c>
      <c r="D104" s="66" t="s">
        <v>2886</v>
      </c>
      <c r="E104" s="66">
        <v>3.0</v>
      </c>
      <c r="F104" s="66">
        <v>84.0</v>
      </c>
      <c r="G104" s="66">
        <v>1.0</v>
      </c>
      <c r="H104" s="66">
        <v>7.0</v>
      </c>
      <c r="I104" s="50">
        <v>32021.0</v>
      </c>
    </row>
    <row r="105">
      <c r="A105" s="75">
        <v>7101.0</v>
      </c>
      <c r="B105" s="70">
        <v>1127.0</v>
      </c>
      <c r="C105" s="74">
        <v>5291.0</v>
      </c>
      <c r="D105" s="66" t="s">
        <v>2887</v>
      </c>
      <c r="E105" s="66">
        <v>1.0</v>
      </c>
      <c r="F105" s="66">
        <v>43.0</v>
      </c>
      <c r="G105" s="66">
        <v>2.0</v>
      </c>
      <c r="H105" s="66">
        <v>2.0</v>
      </c>
      <c r="I105" s="50">
        <v>72019.0</v>
      </c>
    </row>
    <row r="106">
      <c r="A106" s="75">
        <v>7102.0</v>
      </c>
      <c r="B106" s="70">
        <v>4748.0</v>
      </c>
      <c r="C106" s="74">
        <v>2038.0</v>
      </c>
      <c r="D106" s="66" t="s">
        <v>2888</v>
      </c>
      <c r="E106" s="66">
        <v>3.0</v>
      </c>
      <c r="F106" s="66">
        <v>84.0</v>
      </c>
      <c r="G106" s="66">
        <v>1.0</v>
      </c>
      <c r="H106" s="66">
        <v>9.0</v>
      </c>
      <c r="I106" s="50">
        <v>72515.0</v>
      </c>
    </row>
    <row r="107">
      <c r="A107" s="75">
        <v>7103.0</v>
      </c>
      <c r="B107" s="70">
        <v>3767.0</v>
      </c>
      <c r="C107" s="74">
        <v>5481.0</v>
      </c>
      <c r="D107" s="66" t="s">
        <v>2889</v>
      </c>
      <c r="E107" s="66">
        <v>4.0</v>
      </c>
      <c r="F107" s="66">
        <v>43.0</v>
      </c>
      <c r="G107" s="66">
        <v>2.0</v>
      </c>
      <c r="H107" s="66">
        <v>3.0</v>
      </c>
      <c r="I107" s="50">
        <v>51514.0</v>
      </c>
    </row>
    <row r="108">
      <c r="A108" s="75">
        <v>7104.0</v>
      </c>
      <c r="B108" s="70">
        <v>3608.0</v>
      </c>
      <c r="C108" s="74">
        <v>3444.0</v>
      </c>
      <c r="D108" s="66" t="s">
        <v>2890</v>
      </c>
      <c r="E108" s="66">
        <v>3.0</v>
      </c>
      <c r="F108" s="66">
        <v>84.0</v>
      </c>
      <c r="G108" s="66">
        <v>2.0</v>
      </c>
      <c r="H108" s="66">
        <v>2.0</v>
      </c>
      <c r="I108" s="50">
        <v>50221.0</v>
      </c>
    </row>
    <row r="109">
      <c r="A109" s="58">
        <v>7105.0</v>
      </c>
      <c r="B109" s="70">
        <v>3269.0</v>
      </c>
      <c r="C109" s="74">
        <v>1157.0</v>
      </c>
      <c r="D109" s="66" t="s">
        <v>2891</v>
      </c>
      <c r="E109" s="66">
        <v>3.0</v>
      </c>
      <c r="F109" s="66">
        <v>63.0</v>
      </c>
      <c r="G109" s="66">
        <v>7.0</v>
      </c>
      <c r="H109" s="66">
        <v>5.0</v>
      </c>
      <c r="I109" s="50">
        <v>121614.0</v>
      </c>
    </row>
    <row r="110">
      <c r="A110" s="75">
        <v>7106.0</v>
      </c>
      <c r="B110" s="70">
        <v>6729.0</v>
      </c>
      <c r="C110" s="74">
        <v>5590.0</v>
      </c>
      <c r="D110" s="66" t="s">
        <v>2892</v>
      </c>
      <c r="E110" s="66">
        <v>4.0</v>
      </c>
      <c r="F110" s="66">
        <v>43.0</v>
      </c>
      <c r="G110" s="66">
        <v>2.0</v>
      </c>
      <c r="H110" s="66">
        <v>9.0</v>
      </c>
      <c r="I110" s="50">
        <v>40414.0</v>
      </c>
    </row>
    <row r="111">
      <c r="A111" s="75">
        <v>7107.0</v>
      </c>
      <c r="B111" s="70">
        <v>7463.0</v>
      </c>
      <c r="C111" s="74">
        <v>8736.0</v>
      </c>
      <c r="D111" s="66" t="s">
        <v>2893</v>
      </c>
      <c r="E111" s="66">
        <v>3.0</v>
      </c>
      <c r="F111" s="66">
        <v>43.0</v>
      </c>
      <c r="G111" s="66">
        <v>3.0</v>
      </c>
      <c r="H111" s="66">
        <v>1.0</v>
      </c>
      <c r="I111" s="50">
        <v>53122.0</v>
      </c>
    </row>
    <row r="112">
      <c r="A112" s="75">
        <v>7108.0</v>
      </c>
      <c r="B112" s="70">
        <v>3456.0</v>
      </c>
      <c r="C112" s="74">
        <v>9956.0</v>
      </c>
      <c r="D112" s="66" t="s">
        <v>2894</v>
      </c>
      <c r="E112" s="66">
        <v>4.0</v>
      </c>
      <c r="F112" s="66">
        <v>22.0</v>
      </c>
      <c r="G112" s="66">
        <v>8.0</v>
      </c>
      <c r="H112" s="66">
        <v>4.0</v>
      </c>
      <c r="I112" s="50">
        <v>22315.0</v>
      </c>
    </row>
    <row r="113">
      <c r="A113" s="75">
        <v>7109.0</v>
      </c>
      <c r="B113" s="70">
        <v>7947.0</v>
      </c>
      <c r="C113" s="74">
        <v>8888.0</v>
      </c>
      <c r="D113" s="66" t="s">
        <v>2895</v>
      </c>
      <c r="E113" s="66">
        <v>3.0</v>
      </c>
      <c r="F113" s="66">
        <v>22.0</v>
      </c>
      <c r="G113" s="66">
        <v>8.0</v>
      </c>
      <c r="H113" s="66">
        <v>3.0</v>
      </c>
      <c r="I113" s="50">
        <v>112416.0</v>
      </c>
    </row>
    <row r="114">
      <c r="A114" s="58">
        <v>7110.0</v>
      </c>
      <c r="B114" s="70">
        <v>5122.0</v>
      </c>
      <c r="C114" s="74">
        <v>9150.0</v>
      </c>
      <c r="D114" s="66" t="s">
        <v>2896</v>
      </c>
      <c r="E114" s="66">
        <v>2.0</v>
      </c>
      <c r="F114" s="66">
        <v>63.0</v>
      </c>
      <c r="G114" s="66">
        <v>8.0</v>
      </c>
      <c r="H114" s="66">
        <v>2.0</v>
      </c>
      <c r="I114" s="50">
        <v>52421.0</v>
      </c>
    </row>
    <row r="115">
      <c r="A115" s="75">
        <v>7111.0</v>
      </c>
      <c r="B115" s="70">
        <v>2081.0</v>
      </c>
      <c r="C115" s="74">
        <v>2.0</v>
      </c>
      <c r="D115" s="66" t="s">
        <v>2897</v>
      </c>
      <c r="E115" s="66">
        <v>1.0</v>
      </c>
      <c r="F115" s="66">
        <v>22.0</v>
      </c>
      <c r="G115" s="66">
        <v>8.0</v>
      </c>
      <c r="H115" s="66">
        <v>7.0</v>
      </c>
      <c r="I115" s="50">
        <v>53014.0</v>
      </c>
    </row>
    <row r="116">
      <c r="A116" s="75">
        <v>7112.0</v>
      </c>
      <c r="B116" s="70">
        <v>7449.0</v>
      </c>
      <c r="C116" s="74">
        <v>3794.0</v>
      </c>
      <c r="D116" s="66" t="s">
        <v>2898</v>
      </c>
      <c r="E116" s="66">
        <v>4.0</v>
      </c>
      <c r="F116" s="66">
        <v>43.0</v>
      </c>
      <c r="G116" s="66">
        <v>3.0</v>
      </c>
      <c r="H116" s="66">
        <v>5.0</v>
      </c>
      <c r="I116" s="50">
        <v>42119.0</v>
      </c>
    </row>
    <row r="117">
      <c r="A117" s="75">
        <v>7113.0</v>
      </c>
      <c r="B117" s="70">
        <v>5066.0</v>
      </c>
      <c r="C117" s="74">
        <v>8069.0</v>
      </c>
      <c r="D117" s="66" t="s">
        <v>2899</v>
      </c>
      <c r="E117" s="66">
        <v>2.0</v>
      </c>
      <c r="F117" s="66">
        <v>43.0</v>
      </c>
      <c r="G117" s="66">
        <v>3.0</v>
      </c>
      <c r="H117" s="66">
        <v>8.0</v>
      </c>
      <c r="I117" s="50">
        <v>60216.0</v>
      </c>
    </row>
    <row r="118">
      <c r="A118" s="75">
        <v>7114.0</v>
      </c>
      <c r="B118" s="70">
        <v>3999.0</v>
      </c>
      <c r="C118" s="74">
        <v>1924.0</v>
      </c>
      <c r="D118" s="66" t="s">
        <v>2900</v>
      </c>
      <c r="E118" s="66">
        <v>4.0</v>
      </c>
      <c r="F118" s="66">
        <v>63.0</v>
      </c>
      <c r="G118" s="66">
        <v>8.0</v>
      </c>
      <c r="H118" s="66">
        <v>8.0</v>
      </c>
      <c r="I118" s="50">
        <v>72021.0</v>
      </c>
    </row>
    <row r="119">
      <c r="A119" s="58">
        <v>7115.0</v>
      </c>
      <c r="B119" s="70">
        <v>228.0</v>
      </c>
      <c r="C119" s="74">
        <v>7129.0</v>
      </c>
      <c r="D119" s="66" t="s">
        <v>2901</v>
      </c>
      <c r="E119" s="66">
        <v>4.0</v>
      </c>
      <c r="F119" s="66">
        <v>43.0</v>
      </c>
      <c r="G119" s="66">
        <v>4.0</v>
      </c>
      <c r="H119" s="66">
        <v>2.0</v>
      </c>
      <c r="I119" s="50">
        <v>111722.0</v>
      </c>
    </row>
    <row r="120">
      <c r="A120" s="75">
        <v>7116.0</v>
      </c>
      <c r="B120" s="70">
        <v>6496.0</v>
      </c>
      <c r="C120" s="74">
        <v>6888.0</v>
      </c>
      <c r="D120" s="66" t="s">
        <v>2902</v>
      </c>
      <c r="E120" s="66">
        <v>2.0</v>
      </c>
      <c r="F120" s="66">
        <v>43.0</v>
      </c>
      <c r="G120" s="66">
        <v>4.0</v>
      </c>
      <c r="H120" s="66">
        <v>3.0</v>
      </c>
      <c r="I120" s="50">
        <v>90913.0</v>
      </c>
    </row>
    <row r="121">
      <c r="A121" s="75">
        <v>7117.0</v>
      </c>
      <c r="B121" s="70">
        <v>5883.0</v>
      </c>
      <c r="C121" s="74">
        <v>6868.0</v>
      </c>
      <c r="D121" s="66" t="s">
        <v>2903</v>
      </c>
      <c r="E121" s="66">
        <v>1.0</v>
      </c>
      <c r="F121" s="66">
        <v>22.0</v>
      </c>
      <c r="G121" s="66">
        <v>9.0</v>
      </c>
      <c r="H121" s="66">
        <v>5.0</v>
      </c>
      <c r="I121" s="50">
        <v>10816.0</v>
      </c>
    </row>
    <row r="122">
      <c r="A122" s="75">
        <v>7118.0</v>
      </c>
      <c r="B122" s="70">
        <v>4594.0</v>
      </c>
      <c r="C122" s="74">
        <v>4762.0</v>
      </c>
      <c r="D122" s="66" t="s">
        <v>2904</v>
      </c>
      <c r="E122" s="66">
        <v>4.0</v>
      </c>
      <c r="F122" s="66">
        <v>22.0</v>
      </c>
      <c r="G122" s="66">
        <v>9.0</v>
      </c>
      <c r="H122" s="66">
        <v>6.0</v>
      </c>
      <c r="I122" s="50">
        <v>120418.0</v>
      </c>
    </row>
    <row r="123">
      <c r="A123" s="75">
        <v>7119.0</v>
      </c>
      <c r="B123" s="70">
        <v>3966.0</v>
      </c>
      <c r="C123" s="74">
        <v>9864.0</v>
      </c>
      <c r="D123" s="66" t="s">
        <v>2905</v>
      </c>
      <c r="E123" s="66">
        <v>1.0</v>
      </c>
      <c r="F123" s="66">
        <v>63.0</v>
      </c>
      <c r="G123" s="66">
        <v>9.0</v>
      </c>
      <c r="H123" s="66">
        <v>1.0</v>
      </c>
      <c r="I123" s="50">
        <v>102016.0</v>
      </c>
    </row>
    <row r="124">
      <c r="A124" s="58">
        <v>7120.0</v>
      </c>
      <c r="B124" s="70">
        <v>7663.0</v>
      </c>
      <c r="C124" s="74">
        <v>1485.0</v>
      </c>
      <c r="D124" s="66" t="s">
        <v>2906</v>
      </c>
      <c r="E124" s="66">
        <v>3.0</v>
      </c>
      <c r="F124" s="66">
        <v>43.0</v>
      </c>
      <c r="G124" s="66">
        <v>4.0</v>
      </c>
      <c r="H124" s="66">
        <v>7.0</v>
      </c>
      <c r="I124" s="50">
        <v>113017.0</v>
      </c>
    </row>
    <row r="125">
      <c r="A125" s="75">
        <v>7121.0</v>
      </c>
      <c r="B125" s="70">
        <v>3612.0</v>
      </c>
      <c r="C125" s="74">
        <v>7128.0</v>
      </c>
      <c r="D125" s="66" t="s">
        <v>2907</v>
      </c>
      <c r="E125" s="66">
        <v>1.0</v>
      </c>
      <c r="F125" s="66">
        <v>63.0</v>
      </c>
      <c r="G125" s="66">
        <v>9.0</v>
      </c>
      <c r="H125" s="66">
        <v>8.0</v>
      </c>
      <c r="I125" s="50">
        <v>80718.0</v>
      </c>
    </row>
    <row r="126">
      <c r="A126" s="75">
        <v>7122.0</v>
      </c>
      <c r="B126" s="70">
        <v>5450.0</v>
      </c>
      <c r="C126" s="74">
        <v>6494.0</v>
      </c>
      <c r="D126" s="66" t="s">
        <v>2908</v>
      </c>
      <c r="E126" s="66">
        <v>1.0</v>
      </c>
      <c r="F126" s="66">
        <v>43.0</v>
      </c>
      <c r="G126" s="66">
        <v>5.0</v>
      </c>
      <c r="H126" s="66">
        <v>4.0</v>
      </c>
      <c r="I126" s="50">
        <v>50818.0</v>
      </c>
    </row>
    <row r="127">
      <c r="A127" s="75">
        <v>7123.0</v>
      </c>
      <c r="B127" s="70">
        <v>3253.0</v>
      </c>
      <c r="C127" s="74">
        <v>5860.0</v>
      </c>
      <c r="D127" s="66" t="s">
        <v>2909</v>
      </c>
      <c r="E127" s="66">
        <v>1.0</v>
      </c>
      <c r="F127" s="66">
        <v>43.0</v>
      </c>
      <c r="G127" s="66">
        <v>5.0</v>
      </c>
      <c r="H127" s="66">
        <v>5.0</v>
      </c>
      <c r="I127" s="50">
        <v>22515.0</v>
      </c>
    </row>
    <row r="128">
      <c r="A128" s="75">
        <v>7124.0</v>
      </c>
      <c r="B128" s="70">
        <v>6044.0</v>
      </c>
      <c r="C128" s="74">
        <v>5503.0</v>
      </c>
      <c r="D128" s="66" t="s">
        <v>2910</v>
      </c>
      <c r="E128" s="66">
        <v>1.0</v>
      </c>
      <c r="F128" s="66">
        <v>84.0</v>
      </c>
      <c r="G128" s="66">
        <v>5.0</v>
      </c>
      <c r="H128" s="66">
        <v>5.0</v>
      </c>
      <c r="I128" s="50">
        <v>33119.0</v>
      </c>
    </row>
    <row r="129">
      <c r="A129" s="58">
        <v>7125.0</v>
      </c>
      <c r="B129" s="70">
        <v>6252.0</v>
      </c>
      <c r="C129" s="74">
        <v>1160.0</v>
      </c>
      <c r="D129" s="66" t="s">
        <v>2911</v>
      </c>
      <c r="E129" s="66">
        <v>2.0</v>
      </c>
      <c r="F129" s="66">
        <v>43.0</v>
      </c>
      <c r="G129" s="66">
        <v>5.0</v>
      </c>
      <c r="H129" s="66">
        <v>9.0</v>
      </c>
      <c r="I129" s="50">
        <v>122715.0</v>
      </c>
    </row>
    <row r="130">
      <c r="A130" s="75">
        <v>7126.0</v>
      </c>
      <c r="B130" s="70">
        <v>4481.0</v>
      </c>
      <c r="C130" s="74">
        <v>7179.0</v>
      </c>
      <c r="D130" s="66" t="s">
        <v>2912</v>
      </c>
      <c r="E130" s="66">
        <v>2.0</v>
      </c>
      <c r="F130" s="66">
        <v>43.0</v>
      </c>
      <c r="G130" s="66">
        <v>6.0</v>
      </c>
      <c r="H130" s="66">
        <v>2.0</v>
      </c>
      <c r="I130" s="50">
        <v>21718.0</v>
      </c>
    </row>
    <row r="131">
      <c r="A131" s="75">
        <v>7127.0</v>
      </c>
      <c r="B131" s="70">
        <v>3779.0</v>
      </c>
      <c r="C131" s="74">
        <v>3248.0</v>
      </c>
      <c r="D131" s="66" t="s">
        <v>2913</v>
      </c>
      <c r="E131" s="66">
        <v>2.0</v>
      </c>
      <c r="F131" s="66">
        <v>23.0</v>
      </c>
      <c r="G131" s="66">
        <v>1.0</v>
      </c>
      <c r="H131" s="66">
        <v>4.0</v>
      </c>
      <c r="I131" s="50">
        <v>61519.0</v>
      </c>
    </row>
    <row r="132">
      <c r="A132" s="75">
        <v>7128.0</v>
      </c>
      <c r="B132" s="70">
        <v>4320.0</v>
      </c>
      <c r="C132" s="74">
        <v>149.0</v>
      </c>
      <c r="D132" s="66" t="s">
        <v>2914</v>
      </c>
      <c r="E132" s="66">
        <v>1.0</v>
      </c>
      <c r="F132" s="66">
        <v>64.0</v>
      </c>
      <c r="G132" s="66">
        <v>1.0</v>
      </c>
      <c r="H132" s="66">
        <v>5.0</v>
      </c>
      <c r="I132" s="50">
        <v>30321.0</v>
      </c>
    </row>
    <row r="133">
      <c r="A133" s="75">
        <v>7129.0</v>
      </c>
      <c r="B133" s="70">
        <v>5575.0</v>
      </c>
      <c r="C133" s="74">
        <v>8308.0</v>
      </c>
      <c r="D133" s="66" t="s">
        <v>2915</v>
      </c>
      <c r="E133" s="66">
        <v>1.0</v>
      </c>
      <c r="F133" s="66">
        <v>84.0</v>
      </c>
      <c r="G133" s="66">
        <v>6.0</v>
      </c>
      <c r="H133" s="66">
        <v>5.0</v>
      </c>
      <c r="I133" s="50">
        <v>20321.0</v>
      </c>
    </row>
    <row r="134">
      <c r="A134" s="58">
        <v>7130.0</v>
      </c>
      <c r="B134" s="70">
        <v>8791.0</v>
      </c>
      <c r="C134" s="74">
        <v>2284.0</v>
      </c>
      <c r="D134" s="66" t="s">
        <v>2916</v>
      </c>
      <c r="E134" s="66">
        <v>2.0</v>
      </c>
      <c r="F134" s="66">
        <v>64.0</v>
      </c>
      <c r="G134" s="66">
        <v>1.0</v>
      </c>
      <c r="H134" s="66">
        <v>8.0</v>
      </c>
      <c r="I134" s="50">
        <v>91416.0</v>
      </c>
    </row>
    <row r="135">
      <c r="A135" s="75">
        <v>7131.0</v>
      </c>
      <c r="B135" s="70">
        <v>8890.0</v>
      </c>
      <c r="C135" s="74">
        <v>7570.0</v>
      </c>
      <c r="D135" s="66" t="s">
        <v>2917</v>
      </c>
      <c r="E135" s="66">
        <v>1.0</v>
      </c>
      <c r="F135" s="66">
        <v>84.0</v>
      </c>
      <c r="G135" s="66">
        <v>6.0</v>
      </c>
      <c r="H135" s="66">
        <v>7.0</v>
      </c>
      <c r="I135" s="50">
        <v>112013.0</v>
      </c>
    </row>
    <row r="136">
      <c r="A136" s="75">
        <v>7132.0</v>
      </c>
      <c r="B136" s="70">
        <v>6014.0</v>
      </c>
      <c r="C136" s="74">
        <v>686.0</v>
      </c>
      <c r="D136" s="66" t="s">
        <v>2918</v>
      </c>
      <c r="E136" s="66">
        <v>4.0</v>
      </c>
      <c r="F136" s="66">
        <v>43.0</v>
      </c>
      <c r="G136" s="66">
        <v>7.0</v>
      </c>
      <c r="H136" s="66">
        <v>1.0</v>
      </c>
      <c r="I136" s="50">
        <v>32014.0</v>
      </c>
    </row>
    <row r="137">
      <c r="A137" s="75">
        <v>7133.0</v>
      </c>
      <c r="B137" s="70">
        <v>6755.0</v>
      </c>
      <c r="C137" s="74">
        <v>4372.0</v>
      </c>
      <c r="D137" s="66" t="s">
        <v>2919</v>
      </c>
      <c r="E137" s="66">
        <v>2.0</v>
      </c>
      <c r="F137" s="66">
        <v>43.0</v>
      </c>
      <c r="G137" s="66">
        <v>7.0</v>
      </c>
      <c r="H137" s="66">
        <v>6.0</v>
      </c>
      <c r="I137" s="50">
        <v>112216.0</v>
      </c>
    </row>
    <row r="138">
      <c r="A138" s="75">
        <v>7134.0</v>
      </c>
      <c r="B138" s="70">
        <v>7641.0</v>
      </c>
      <c r="C138" s="74">
        <v>761.0</v>
      </c>
      <c r="D138" s="66" t="s">
        <v>2920</v>
      </c>
      <c r="E138" s="66">
        <v>2.0</v>
      </c>
      <c r="F138" s="66">
        <v>84.0</v>
      </c>
      <c r="G138" s="66">
        <v>7.0</v>
      </c>
      <c r="H138" s="66">
        <v>3.0</v>
      </c>
      <c r="I138" s="50">
        <v>52219.0</v>
      </c>
    </row>
    <row r="139">
      <c r="A139" s="58">
        <v>7135.0</v>
      </c>
      <c r="B139" s="70">
        <v>6929.0</v>
      </c>
      <c r="C139" s="74">
        <v>954.0</v>
      </c>
      <c r="D139" s="66" t="s">
        <v>2921</v>
      </c>
      <c r="E139" s="66">
        <v>4.0</v>
      </c>
      <c r="F139" s="66">
        <v>23.0</v>
      </c>
      <c r="G139" s="66">
        <v>3.0</v>
      </c>
      <c r="H139" s="66">
        <v>1.0</v>
      </c>
      <c r="I139" s="50">
        <v>31613.0</v>
      </c>
    </row>
    <row r="140">
      <c r="A140" s="75">
        <v>7136.0</v>
      </c>
      <c r="B140" s="70">
        <v>4339.0</v>
      </c>
      <c r="C140" s="74">
        <v>8496.0</v>
      </c>
      <c r="D140" s="66" t="s">
        <v>2922</v>
      </c>
      <c r="E140" s="66">
        <v>3.0</v>
      </c>
      <c r="F140" s="66">
        <v>23.0</v>
      </c>
      <c r="G140" s="66">
        <v>3.0</v>
      </c>
      <c r="H140" s="66">
        <v>2.0</v>
      </c>
      <c r="I140" s="50">
        <v>62414.0</v>
      </c>
    </row>
    <row r="141">
      <c r="A141" s="75">
        <v>7137.0</v>
      </c>
      <c r="B141" s="70">
        <v>3467.0</v>
      </c>
      <c r="C141" s="74">
        <v>2396.0</v>
      </c>
      <c r="D141" s="66" t="s">
        <v>2923</v>
      </c>
      <c r="E141" s="66">
        <v>3.0</v>
      </c>
      <c r="F141" s="66">
        <v>23.0</v>
      </c>
      <c r="G141" s="66">
        <v>3.0</v>
      </c>
      <c r="H141" s="66">
        <v>4.0</v>
      </c>
      <c r="I141" s="50">
        <v>71720.0</v>
      </c>
    </row>
    <row r="142">
      <c r="A142" s="75">
        <v>7138.0</v>
      </c>
      <c r="B142" s="70">
        <v>9237.0</v>
      </c>
      <c r="C142" s="74">
        <v>2563.0</v>
      </c>
      <c r="D142" s="66" t="s">
        <v>2924</v>
      </c>
      <c r="E142" s="66">
        <v>2.0</v>
      </c>
      <c r="F142" s="66">
        <v>84.0</v>
      </c>
      <c r="G142" s="66">
        <v>7.0</v>
      </c>
      <c r="H142" s="66">
        <v>9.0</v>
      </c>
      <c r="I142" s="50">
        <v>111117.0</v>
      </c>
    </row>
    <row r="143">
      <c r="A143" s="75">
        <v>7139.0</v>
      </c>
      <c r="B143" s="70">
        <v>2212.0</v>
      </c>
      <c r="C143" s="74">
        <v>7905.0</v>
      </c>
      <c r="D143" s="66" t="s">
        <v>2925</v>
      </c>
      <c r="E143" s="66">
        <v>4.0</v>
      </c>
      <c r="F143" s="66">
        <v>23.0</v>
      </c>
      <c r="G143" s="66">
        <v>3.0</v>
      </c>
      <c r="H143" s="66">
        <v>6.0</v>
      </c>
      <c r="I143" s="50">
        <v>93020.0</v>
      </c>
    </row>
    <row r="144">
      <c r="A144" s="58">
        <v>7140.0</v>
      </c>
      <c r="B144" s="70">
        <v>696.0</v>
      </c>
      <c r="C144" s="74">
        <v>1961.0</v>
      </c>
      <c r="D144" s="66" t="s">
        <v>2926</v>
      </c>
      <c r="E144" s="66">
        <v>1.0</v>
      </c>
      <c r="F144" s="66">
        <v>84.0</v>
      </c>
      <c r="G144" s="66">
        <v>8.0</v>
      </c>
      <c r="H144" s="66">
        <v>3.0</v>
      </c>
      <c r="I144" s="50">
        <v>71321.0</v>
      </c>
    </row>
    <row r="145">
      <c r="A145" s="75">
        <v>7141.0</v>
      </c>
      <c r="B145" s="70">
        <v>9077.0</v>
      </c>
      <c r="C145" s="74">
        <v>6384.0</v>
      </c>
      <c r="D145" s="66" t="s">
        <v>2927</v>
      </c>
      <c r="E145" s="66">
        <v>4.0</v>
      </c>
      <c r="F145" s="66">
        <v>84.0</v>
      </c>
      <c r="G145" s="66">
        <v>9.0</v>
      </c>
      <c r="H145" s="66">
        <v>3.0</v>
      </c>
      <c r="I145" s="50">
        <v>101116.0</v>
      </c>
    </row>
    <row r="146">
      <c r="A146" s="75">
        <v>7142.0</v>
      </c>
      <c r="B146" s="70">
        <v>5082.0</v>
      </c>
      <c r="C146" s="74">
        <v>1287.0</v>
      </c>
      <c r="D146" s="66" t="s">
        <v>2928</v>
      </c>
      <c r="E146" s="66">
        <v>3.0</v>
      </c>
      <c r="F146" s="66">
        <v>64.0</v>
      </c>
      <c r="G146" s="66">
        <v>4.0</v>
      </c>
      <c r="H146" s="66">
        <v>5.0</v>
      </c>
      <c r="I146" s="50">
        <v>10413.0</v>
      </c>
    </row>
    <row r="147">
      <c r="A147" s="75">
        <v>7143.0</v>
      </c>
      <c r="B147" s="70">
        <v>5308.0</v>
      </c>
      <c r="C147" s="74">
        <v>5124.0</v>
      </c>
      <c r="D147" s="66" t="s">
        <v>2929</v>
      </c>
      <c r="E147" s="66">
        <v>2.0</v>
      </c>
      <c r="F147" s="66">
        <v>64.0</v>
      </c>
      <c r="G147" s="66">
        <v>4.0</v>
      </c>
      <c r="H147" s="66">
        <v>9.0</v>
      </c>
      <c r="I147" s="50">
        <v>42016.0</v>
      </c>
    </row>
    <row r="148">
      <c r="A148" s="75">
        <v>7144.0</v>
      </c>
      <c r="B148" s="70">
        <v>3584.0</v>
      </c>
      <c r="C148" s="74">
        <v>8790.0</v>
      </c>
      <c r="D148" s="66" t="s">
        <v>2930</v>
      </c>
      <c r="E148" s="66">
        <v>3.0</v>
      </c>
      <c r="F148" s="66">
        <v>64.0</v>
      </c>
      <c r="G148" s="66">
        <v>5.0</v>
      </c>
      <c r="H148" s="66">
        <v>2.0</v>
      </c>
      <c r="I148" s="50">
        <v>72016.0</v>
      </c>
    </row>
    <row r="149">
      <c r="A149" s="58">
        <v>7145.0</v>
      </c>
      <c r="B149" s="70">
        <v>2449.0</v>
      </c>
      <c r="C149" s="74">
        <v>9171.0</v>
      </c>
      <c r="D149" s="66" t="s">
        <v>2931</v>
      </c>
      <c r="E149" s="66">
        <v>1.0</v>
      </c>
      <c r="F149" s="66">
        <v>23.0</v>
      </c>
      <c r="G149" s="66">
        <v>5.0</v>
      </c>
      <c r="H149" s="66">
        <v>7.0</v>
      </c>
      <c r="I149" s="50">
        <v>32419.0</v>
      </c>
    </row>
    <row r="150">
      <c r="A150" s="75">
        <v>7146.0</v>
      </c>
      <c r="B150" s="70">
        <v>4167.0</v>
      </c>
      <c r="C150" s="74">
        <v>4551.0</v>
      </c>
      <c r="D150" s="66" t="s">
        <v>2932</v>
      </c>
      <c r="E150" s="66">
        <v>4.0</v>
      </c>
      <c r="F150" s="66">
        <v>64.0</v>
      </c>
      <c r="G150" s="66">
        <v>5.0</v>
      </c>
      <c r="H150" s="66">
        <v>4.0</v>
      </c>
      <c r="I150" s="50">
        <v>70416.0</v>
      </c>
    </row>
    <row r="151">
      <c r="A151" s="75">
        <v>7147.0</v>
      </c>
      <c r="B151" s="70">
        <v>4951.0</v>
      </c>
      <c r="C151" s="74">
        <v>9040.0</v>
      </c>
      <c r="D151" s="66" t="s">
        <v>2933</v>
      </c>
      <c r="E151" s="66">
        <v>3.0</v>
      </c>
      <c r="F151" s="66">
        <v>23.0</v>
      </c>
      <c r="G151" s="66">
        <v>5.0</v>
      </c>
      <c r="H151" s="66">
        <v>9.0</v>
      </c>
      <c r="I151" s="50">
        <v>81122.0</v>
      </c>
    </row>
    <row r="152">
      <c r="A152" s="75">
        <v>7148.0</v>
      </c>
      <c r="B152" s="70">
        <v>1312.0</v>
      </c>
      <c r="C152" s="74">
        <v>2088.0</v>
      </c>
      <c r="D152" s="66" t="s">
        <v>2934</v>
      </c>
      <c r="E152" s="66">
        <v>4.0</v>
      </c>
      <c r="F152" s="66">
        <v>64.0</v>
      </c>
      <c r="G152" s="66">
        <v>5.0</v>
      </c>
      <c r="H152" s="66">
        <v>6.0</v>
      </c>
      <c r="I152" s="50">
        <v>61718.0</v>
      </c>
    </row>
    <row r="153">
      <c r="A153" s="75">
        <v>7149.0</v>
      </c>
      <c r="B153" s="70">
        <v>1471.0</v>
      </c>
      <c r="C153" s="74">
        <v>4119.0</v>
      </c>
      <c r="D153" s="66" t="s">
        <v>2935</v>
      </c>
      <c r="E153" s="66">
        <v>1.0</v>
      </c>
      <c r="F153" s="66">
        <v>64.0</v>
      </c>
      <c r="G153" s="66">
        <v>5.0</v>
      </c>
      <c r="H153" s="66">
        <v>7.0</v>
      </c>
      <c r="I153" s="50">
        <v>110818.0</v>
      </c>
    </row>
    <row r="154">
      <c r="A154" s="58">
        <v>7150.0</v>
      </c>
      <c r="B154" s="70">
        <v>9877.0</v>
      </c>
      <c r="C154" s="74">
        <v>6317.0</v>
      </c>
      <c r="D154" s="66" t="s">
        <v>2936</v>
      </c>
      <c r="E154" s="66">
        <v>1.0</v>
      </c>
      <c r="F154" s="66">
        <v>23.0</v>
      </c>
      <c r="G154" s="66">
        <v>6.0</v>
      </c>
      <c r="H154" s="66">
        <v>6.0</v>
      </c>
      <c r="I154" s="50">
        <v>60918.0</v>
      </c>
    </row>
    <row r="155">
      <c r="A155" s="75">
        <v>7151.0</v>
      </c>
      <c r="B155" s="70">
        <v>8405.0</v>
      </c>
      <c r="C155" s="74">
        <v>3739.0</v>
      </c>
      <c r="D155" s="66" t="s">
        <v>2937</v>
      </c>
      <c r="E155" s="66">
        <v>2.0</v>
      </c>
      <c r="F155" s="66">
        <v>64.0</v>
      </c>
      <c r="G155" s="66">
        <v>6.0</v>
      </c>
      <c r="H155" s="66">
        <v>3.0</v>
      </c>
      <c r="I155" s="50">
        <v>82717.0</v>
      </c>
    </row>
    <row r="156">
      <c r="A156" s="75">
        <v>7152.0</v>
      </c>
      <c r="B156" s="70">
        <v>5096.0</v>
      </c>
      <c r="C156" s="74">
        <v>5696.0</v>
      </c>
      <c r="D156" s="66" t="s">
        <v>2938</v>
      </c>
      <c r="E156" s="66">
        <v>4.0</v>
      </c>
      <c r="F156" s="66">
        <v>44.0</v>
      </c>
      <c r="G156" s="66">
        <v>1.0</v>
      </c>
      <c r="H156" s="66">
        <v>5.0</v>
      </c>
      <c r="I156" s="50">
        <v>21621.0</v>
      </c>
    </row>
    <row r="157">
      <c r="A157" s="75">
        <v>7153.0</v>
      </c>
      <c r="B157" s="70">
        <v>8242.0</v>
      </c>
      <c r="C157" s="74">
        <v>7227.0</v>
      </c>
      <c r="D157" s="66" t="s">
        <v>2939</v>
      </c>
      <c r="E157" s="66">
        <v>4.0</v>
      </c>
      <c r="F157" s="66">
        <v>23.0</v>
      </c>
      <c r="G157" s="66">
        <v>7.0</v>
      </c>
      <c r="H157" s="66">
        <v>2.0</v>
      </c>
      <c r="I157" s="50">
        <v>22216.0</v>
      </c>
    </row>
    <row r="158">
      <c r="A158" s="75">
        <v>7154.0</v>
      </c>
      <c r="B158" s="70">
        <v>4091.0</v>
      </c>
      <c r="C158" s="74">
        <v>2777.0</v>
      </c>
      <c r="D158" s="66" t="s">
        <v>2940</v>
      </c>
      <c r="E158" s="66">
        <v>1.0</v>
      </c>
      <c r="F158" s="66">
        <v>64.0</v>
      </c>
      <c r="G158" s="66">
        <v>6.0</v>
      </c>
      <c r="H158" s="66">
        <v>9.0</v>
      </c>
      <c r="I158" s="50">
        <v>50922.0</v>
      </c>
    </row>
    <row r="159">
      <c r="A159" s="58">
        <v>7155.0</v>
      </c>
      <c r="B159" s="70">
        <v>7644.0</v>
      </c>
      <c r="C159" s="74">
        <v>5515.0</v>
      </c>
      <c r="D159" s="66" t="s">
        <v>2941</v>
      </c>
      <c r="E159" s="66">
        <v>2.0</v>
      </c>
      <c r="F159" s="66">
        <v>85.0</v>
      </c>
      <c r="G159" s="66">
        <v>1.0</v>
      </c>
      <c r="H159" s="66">
        <v>9.0</v>
      </c>
      <c r="I159" s="50">
        <v>82621.0</v>
      </c>
    </row>
    <row r="160">
      <c r="A160" s="75">
        <v>7156.0</v>
      </c>
      <c r="B160" s="70">
        <v>7357.0</v>
      </c>
      <c r="C160" s="74">
        <v>3495.0</v>
      </c>
      <c r="D160" s="66" t="s">
        <v>2942</v>
      </c>
      <c r="E160" s="66">
        <v>2.0</v>
      </c>
      <c r="F160" s="66">
        <v>44.0</v>
      </c>
      <c r="G160" s="66">
        <v>2.0</v>
      </c>
      <c r="H160" s="66">
        <v>5.0</v>
      </c>
      <c r="I160" s="50">
        <v>32120.0</v>
      </c>
    </row>
    <row r="161">
      <c r="A161" s="75">
        <v>7157.0</v>
      </c>
      <c r="B161" s="70">
        <v>5498.0</v>
      </c>
      <c r="C161" s="74">
        <v>603.0</v>
      </c>
      <c r="D161" s="66" t="s">
        <v>2943</v>
      </c>
      <c r="E161" s="66">
        <v>1.0</v>
      </c>
      <c r="F161" s="66">
        <v>85.0</v>
      </c>
      <c r="G161" s="66">
        <v>2.0</v>
      </c>
      <c r="H161" s="66">
        <v>1.0</v>
      </c>
      <c r="I161" s="50">
        <v>41117.0</v>
      </c>
    </row>
    <row r="162">
      <c r="A162" s="75">
        <v>7158.0</v>
      </c>
      <c r="B162" s="70">
        <v>9602.0</v>
      </c>
      <c r="C162" s="74">
        <v>5927.0</v>
      </c>
      <c r="D162" s="66" t="s">
        <v>2944</v>
      </c>
      <c r="E162" s="66">
        <v>1.0</v>
      </c>
      <c r="F162" s="66">
        <v>85.0</v>
      </c>
      <c r="G162" s="66">
        <v>2.0</v>
      </c>
      <c r="H162" s="66">
        <v>8.0</v>
      </c>
      <c r="I162" s="50">
        <v>91716.0</v>
      </c>
    </row>
    <row r="163">
      <c r="A163" s="75">
        <v>7159.0</v>
      </c>
      <c r="B163" s="70">
        <v>3923.0</v>
      </c>
      <c r="C163" s="74">
        <v>9390.0</v>
      </c>
      <c r="D163" s="66" t="s">
        <v>2945</v>
      </c>
      <c r="E163" s="66">
        <v>1.0</v>
      </c>
      <c r="F163" s="66">
        <v>64.0</v>
      </c>
      <c r="G163" s="66">
        <v>8.0</v>
      </c>
      <c r="H163" s="66">
        <v>1.0</v>
      </c>
      <c r="I163" s="50">
        <v>22013.0</v>
      </c>
    </row>
    <row r="164">
      <c r="A164" s="58">
        <v>7160.0</v>
      </c>
      <c r="B164" s="70">
        <v>880.0</v>
      </c>
      <c r="C164" s="74">
        <v>4124.0</v>
      </c>
      <c r="D164" s="66" t="s">
        <v>2946</v>
      </c>
      <c r="E164" s="66">
        <v>1.0</v>
      </c>
      <c r="F164" s="66">
        <v>23.0</v>
      </c>
      <c r="G164" s="66">
        <v>8.0</v>
      </c>
      <c r="H164" s="66">
        <v>6.0</v>
      </c>
      <c r="I164" s="50">
        <v>101013.0</v>
      </c>
    </row>
    <row r="165">
      <c r="A165" s="75">
        <v>7161.0</v>
      </c>
      <c r="B165" s="70">
        <v>9861.0</v>
      </c>
      <c r="C165" s="74">
        <v>5380.0</v>
      </c>
      <c r="D165" s="66" t="s">
        <v>2947</v>
      </c>
      <c r="E165" s="66">
        <v>4.0</v>
      </c>
      <c r="F165" s="66">
        <v>23.0</v>
      </c>
      <c r="G165" s="66">
        <v>8.0</v>
      </c>
      <c r="H165" s="66">
        <v>7.0</v>
      </c>
      <c r="I165" s="50">
        <v>42813.0</v>
      </c>
    </row>
    <row r="166">
      <c r="A166" s="75">
        <v>7162.0</v>
      </c>
      <c r="B166" s="70">
        <v>3052.0</v>
      </c>
      <c r="C166" s="74">
        <v>7683.0</v>
      </c>
      <c r="D166" s="66" t="s">
        <v>2948</v>
      </c>
      <c r="E166" s="66">
        <v>1.0</v>
      </c>
      <c r="F166" s="66">
        <v>44.0</v>
      </c>
      <c r="G166" s="66">
        <v>3.0</v>
      </c>
      <c r="H166" s="66">
        <v>9.0</v>
      </c>
      <c r="I166" s="50">
        <v>92019.0</v>
      </c>
    </row>
    <row r="167">
      <c r="A167" s="75">
        <v>7163.0</v>
      </c>
      <c r="B167" s="70">
        <v>9435.0</v>
      </c>
      <c r="C167" s="74">
        <v>6285.0</v>
      </c>
      <c r="D167" s="66" t="s">
        <v>2949</v>
      </c>
      <c r="E167" s="66">
        <v>3.0</v>
      </c>
      <c r="F167" s="66">
        <v>85.0</v>
      </c>
      <c r="G167" s="66">
        <v>3.0</v>
      </c>
      <c r="H167" s="66">
        <v>6.0</v>
      </c>
      <c r="I167" s="50">
        <v>82321.0</v>
      </c>
    </row>
    <row r="168">
      <c r="A168" s="75">
        <v>7164.0</v>
      </c>
      <c r="B168" s="70">
        <v>2685.0</v>
      </c>
      <c r="C168" s="74">
        <v>2449.0</v>
      </c>
      <c r="D168" s="66" t="s">
        <v>2950</v>
      </c>
      <c r="E168" s="66">
        <v>2.0</v>
      </c>
      <c r="F168" s="66">
        <v>23.0</v>
      </c>
      <c r="G168" s="66">
        <v>9.0</v>
      </c>
      <c r="H168" s="66">
        <v>3.0</v>
      </c>
      <c r="I168" s="50">
        <v>42113.0</v>
      </c>
    </row>
    <row r="169">
      <c r="A169" s="58">
        <v>7165.0</v>
      </c>
      <c r="B169" s="70">
        <v>7501.0</v>
      </c>
      <c r="C169" s="74">
        <v>5320.0</v>
      </c>
      <c r="D169" s="66" t="s">
        <v>2951</v>
      </c>
      <c r="E169" s="66">
        <v>1.0</v>
      </c>
      <c r="F169" s="66">
        <v>44.0</v>
      </c>
      <c r="G169" s="66">
        <v>4.0</v>
      </c>
      <c r="H169" s="66">
        <v>5.0</v>
      </c>
      <c r="I169" s="50">
        <v>101914.0</v>
      </c>
    </row>
    <row r="170">
      <c r="A170" s="75">
        <v>7166.0</v>
      </c>
      <c r="B170" s="70">
        <v>6558.0</v>
      </c>
      <c r="C170" s="74">
        <v>1499.0</v>
      </c>
      <c r="D170" s="66" t="s">
        <v>2952</v>
      </c>
      <c r="E170" s="66">
        <v>1.0</v>
      </c>
      <c r="F170" s="66">
        <v>64.0</v>
      </c>
      <c r="G170" s="66">
        <v>9.0</v>
      </c>
      <c r="H170" s="66">
        <v>4.0</v>
      </c>
      <c r="I170" s="50">
        <v>92221.0</v>
      </c>
    </row>
    <row r="171">
      <c r="A171" s="75">
        <v>7167.0</v>
      </c>
      <c r="B171" s="70">
        <v>2985.0</v>
      </c>
      <c r="C171" s="74">
        <v>8017.0</v>
      </c>
      <c r="D171" s="66" t="s">
        <v>2953</v>
      </c>
      <c r="E171" s="66">
        <v>2.0</v>
      </c>
      <c r="F171" s="66">
        <v>85.0</v>
      </c>
      <c r="G171" s="66">
        <v>4.0</v>
      </c>
      <c r="H171" s="66">
        <v>3.0</v>
      </c>
      <c r="I171" s="50">
        <v>111419.0</v>
      </c>
    </row>
    <row r="172">
      <c r="A172" s="75">
        <v>7168.0</v>
      </c>
      <c r="B172" s="70">
        <v>3411.0</v>
      </c>
      <c r="C172" s="74">
        <v>3330.0</v>
      </c>
      <c r="D172" s="66" t="s">
        <v>2954</v>
      </c>
      <c r="E172" s="66">
        <v>4.0</v>
      </c>
      <c r="F172" s="66">
        <v>85.0</v>
      </c>
      <c r="G172" s="66">
        <v>4.0</v>
      </c>
      <c r="H172" s="66">
        <v>2.0</v>
      </c>
      <c r="I172" s="50">
        <v>51720.0</v>
      </c>
    </row>
    <row r="173">
      <c r="A173" s="75">
        <v>7169.0</v>
      </c>
      <c r="B173" s="70">
        <v>9097.0</v>
      </c>
      <c r="C173" s="74">
        <v>7511.0</v>
      </c>
      <c r="D173" s="66" t="s">
        <v>2955</v>
      </c>
      <c r="E173" s="66">
        <v>3.0</v>
      </c>
      <c r="F173" s="66">
        <v>85.0</v>
      </c>
      <c r="G173" s="66">
        <v>4.0</v>
      </c>
      <c r="H173" s="66">
        <v>5.0</v>
      </c>
      <c r="I173" s="50">
        <v>82920.0</v>
      </c>
    </row>
    <row r="174">
      <c r="A174" s="58">
        <v>7170.0</v>
      </c>
      <c r="B174" s="70">
        <v>7063.0</v>
      </c>
      <c r="C174" s="74">
        <v>8578.0</v>
      </c>
      <c r="D174" s="66" t="s">
        <v>2956</v>
      </c>
      <c r="E174" s="66">
        <v>3.0</v>
      </c>
      <c r="F174" s="66">
        <v>85.0</v>
      </c>
      <c r="G174" s="66">
        <v>4.0</v>
      </c>
      <c r="H174" s="66">
        <v>8.0</v>
      </c>
      <c r="I174" s="50">
        <v>111819.0</v>
      </c>
    </row>
    <row r="175">
      <c r="A175" s="75">
        <v>7171.0</v>
      </c>
      <c r="B175" s="70">
        <v>6413.0</v>
      </c>
      <c r="C175" s="74">
        <v>7261.0</v>
      </c>
      <c r="D175" s="66" t="s">
        <v>2957</v>
      </c>
      <c r="E175" s="66">
        <v>4.0</v>
      </c>
      <c r="F175" s="66">
        <v>24.0</v>
      </c>
      <c r="G175" s="66">
        <v>1.0</v>
      </c>
      <c r="H175" s="66">
        <v>7.0</v>
      </c>
      <c r="I175" s="50">
        <v>81717.0</v>
      </c>
    </row>
    <row r="176">
      <c r="A176" s="75">
        <v>7172.0</v>
      </c>
      <c r="B176" s="70">
        <v>873.0</v>
      </c>
      <c r="C176" s="74">
        <v>3760.0</v>
      </c>
      <c r="D176" s="66" t="s">
        <v>2958</v>
      </c>
      <c r="E176" s="66">
        <v>2.0</v>
      </c>
      <c r="F176" s="66">
        <v>85.0</v>
      </c>
      <c r="G176" s="66">
        <v>6.0</v>
      </c>
      <c r="H176" s="66">
        <v>2.0</v>
      </c>
      <c r="I176" s="50">
        <v>50521.0</v>
      </c>
    </row>
    <row r="177">
      <c r="A177" s="75">
        <v>7173.0</v>
      </c>
      <c r="B177" s="70">
        <v>4493.0</v>
      </c>
      <c r="C177" s="74">
        <v>6288.0</v>
      </c>
      <c r="D177" s="66" t="s">
        <v>2959</v>
      </c>
      <c r="E177" s="66">
        <v>1.0</v>
      </c>
      <c r="F177" s="66">
        <v>85.0</v>
      </c>
      <c r="G177" s="66">
        <v>6.0</v>
      </c>
      <c r="H177" s="66">
        <v>3.0</v>
      </c>
      <c r="I177" s="50">
        <v>101917.0</v>
      </c>
    </row>
    <row r="178">
      <c r="A178" s="75">
        <v>7174.0</v>
      </c>
      <c r="B178" s="70">
        <v>9453.0</v>
      </c>
      <c r="C178" s="74">
        <v>5525.0</v>
      </c>
      <c r="D178" s="66" t="s">
        <v>2960</v>
      </c>
      <c r="E178" s="66">
        <v>2.0</v>
      </c>
      <c r="F178" s="66">
        <v>65.0</v>
      </c>
      <c r="G178" s="66">
        <v>1.0</v>
      </c>
      <c r="H178" s="66">
        <v>6.0</v>
      </c>
      <c r="I178" s="50">
        <v>61913.0</v>
      </c>
    </row>
    <row r="179">
      <c r="A179" s="58">
        <v>7175.0</v>
      </c>
      <c r="B179" s="70">
        <v>9542.0</v>
      </c>
      <c r="C179" s="74">
        <v>232.0</v>
      </c>
      <c r="D179" s="66" t="s">
        <v>2961</v>
      </c>
      <c r="E179" s="66">
        <v>3.0</v>
      </c>
      <c r="F179" s="66">
        <v>65.0</v>
      </c>
      <c r="G179" s="66">
        <v>1.0</v>
      </c>
      <c r="H179" s="66">
        <v>9.0</v>
      </c>
      <c r="I179" s="50">
        <v>91317.0</v>
      </c>
    </row>
    <row r="180">
      <c r="A180" s="75">
        <v>7176.0</v>
      </c>
      <c r="B180" s="70">
        <v>47.0</v>
      </c>
      <c r="C180" s="74">
        <v>717.0</v>
      </c>
      <c r="D180" s="66" t="s">
        <v>2962</v>
      </c>
      <c r="E180" s="66">
        <v>4.0</v>
      </c>
      <c r="F180" s="66">
        <v>65.0</v>
      </c>
      <c r="G180" s="66">
        <v>2.0</v>
      </c>
      <c r="H180" s="66">
        <v>1.0</v>
      </c>
      <c r="I180" s="50">
        <v>82618.0</v>
      </c>
    </row>
    <row r="181">
      <c r="A181" s="75">
        <v>7177.0</v>
      </c>
      <c r="B181" s="70">
        <v>8677.0</v>
      </c>
      <c r="C181" s="74">
        <v>2605.0</v>
      </c>
      <c r="D181" s="66" t="s">
        <v>2963</v>
      </c>
      <c r="E181" s="66">
        <v>3.0</v>
      </c>
      <c r="F181" s="66">
        <v>85.0</v>
      </c>
      <c r="G181" s="66">
        <v>7.0</v>
      </c>
      <c r="H181" s="66">
        <v>3.0</v>
      </c>
      <c r="I181" s="50">
        <v>81121.0</v>
      </c>
    </row>
    <row r="182">
      <c r="A182" s="75">
        <v>7178.0</v>
      </c>
      <c r="B182" s="70">
        <v>7400.0</v>
      </c>
      <c r="C182" s="74">
        <v>5404.0</v>
      </c>
      <c r="D182" s="66" t="s">
        <v>2964</v>
      </c>
      <c r="E182" s="66">
        <v>4.0</v>
      </c>
      <c r="F182" s="66">
        <v>65.0</v>
      </c>
      <c r="G182" s="66">
        <v>2.0</v>
      </c>
      <c r="H182" s="66">
        <v>8.0</v>
      </c>
      <c r="I182" s="50">
        <v>40914.0</v>
      </c>
    </row>
    <row r="183">
      <c r="A183" s="75">
        <v>7179.0</v>
      </c>
      <c r="B183" s="70">
        <v>7793.0</v>
      </c>
      <c r="C183" s="74">
        <v>5168.0</v>
      </c>
      <c r="D183" s="66" t="s">
        <v>2965</v>
      </c>
      <c r="E183" s="66">
        <v>3.0</v>
      </c>
      <c r="F183" s="66">
        <v>24.0</v>
      </c>
      <c r="G183" s="66">
        <v>3.0</v>
      </c>
      <c r="H183" s="66">
        <v>3.0</v>
      </c>
      <c r="I183" s="50">
        <v>93022.0</v>
      </c>
    </row>
    <row r="184">
      <c r="A184" s="58">
        <v>7180.0</v>
      </c>
      <c r="B184" s="70">
        <v>4668.0</v>
      </c>
      <c r="C184" s="74">
        <v>6449.0</v>
      </c>
      <c r="D184" s="66" t="s">
        <v>2966</v>
      </c>
      <c r="E184" s="66">
        <v>4.0</v>
      </c>
      <c r="F184" s="66">
        <v>85.0</v>
      </c>
      <c r="G184" s="66">
        <v>7.0</v>
      </c>
      <c r="H184" s="66">
        <v>9.0</v>
      </c>
      <c r="I184" s="50">
        <v>10116.0</v>
      </c>
    </row>
    <row r="185">
      <c r="A185" s="75">
        <v>7181.0</v>
      </c>
      <c r="B185" s="70">
        <v>8238.0</v>
      </c>
      <c r="C185" s="74">
        <v>7124.0</v>
      </c>
      <c r="D185" s="66" t="s">
        <v>2967</v>
      </c>
      <c r="E185" s="66">
        <v>3.0</v>
      </c>
      <c r="F185" s="66">
        <v>44.0</v>
      </c>
      <c r="G185" s="66">
        <v>8.0</v>
      </c>
      <c r="H185" s="66">
        <v>3.0</v>
      </c>
      <c r="I185" s="50">
        <v>53118.0</v>
      </c>
    </row>
    <row r="186">
      <c r="A186" s="75">
        <v>7182.0</v>
      </c>
      <c r="B186" s="70">
        <v>1035.0</v>
      </c>
      <c r="C186" s="74">
        <v>5123.0</v>
      </c>
      <c r="D186" s="66" t="s">
        <v>2968</v>
      </c>
      <c r="E186" s="66">
        <v>3.0</v>
      </c>
      <c r="F186" s="66">
        <v>65.0</v>
      </c>
      <c r="G186" s="66">
        <v>3.0</v>
      </c>
      <c r="H186" s="66">
        <v>7.0</v>
      </c>
      <c r="I186" s="50">
        <v>82014.0</v>
      </c>
    </row>
    <row r="187">
      <c r="A187" s="75">
        <v>7183.0</v>
      </c>
      <c r="B187" s="70">
        <v>8502.0</v>
      </c>
      <c r="C187" s="74">
        <v>4901.0</v>
      </c>
      <c r="D187" s="66" t="s">
        <v>2969</v>
      </c>
      <c r="E187" s="66">
        <v>4.0</v>
      </c>
      <c r="F187" s="66">
        <v>24.0</v>
      </c>
      <c r="G187" s="66">
        <v>4.0</v>
      </c>
      <c r="H187" s="66">
        <v>1.0</v>
      </c>
      <c r="I187" s="50">
        <v>20320.0</v>
      </c>
    </row>
    <row r="188">
      <c r="A188" s="75">
        <v>7184.0</v>
      </c>
      <c r="B188" s="70">
        <v>9991.0</v>
      </c>
      <c r="C188" s="74">
        <v>4707.0</v>
      </c>
      <c r="D188" s="66" t="s">
        <v>2970</v>
      </c>
      <c r="E188" s="66">
        <v>1.0</v>
      </c>
      <c r="F188" s="66">
        <v>65.0</v>
      </c>
      <c r="G188" s="66">
        <v>3.0</v>
      </c>
      <c r="H188" s="66">
        <v>9.0</v>
      </c>
      <c r="I188" s="50">
        <v>32313.0</v>
      </c>
    </row>
    <row r="189">
      <c r="A189" s="58">
        <v>7185.0</v>
      </c>
      <c r="B189" s="70">
        <v>4448.0</v>
      </c>
      <c r="C189" s="74">
        <v>6288.0</v>
      </c>
      <c r="D189" s="66" t="s">
        <v>2971</v>
      </c>
      <c r="E189" s="66">
        <v>4.0</v>
      </c>
      <c r="F189" s="66">
        <v>85.0</v>
      </c>
      <c r="G189" s="66">
        <v>8.0</v>
      </c>
      <c r="H189" s="66">
        <v>8.0</v>
      </c>
      <c r="I189" s="50">
        <v>73116.0</v>
      </c>
    </row>
    <row r="190">
      <c r="A190" s="75">
        <v>7186.0</v>
      </c>
      <c r="B190" s="70">
        <v>6803.0</v>
      </c>
      <c r="C190" s="74">
        <v>4751.0</v>
      </c>
      <c r="D190" s="66" t="s">
        <v>2972</v>
      </c>
      <c r="E190" s="66">
        <v>4.0</v>
      </c>
      <c r="F190" s="66">
        <v>65.0</v>
      </c>
      <c r="G190" s="66">
        <v>4.0</v>
      </c>
      <c r="H190" s="66">
        <v>1.0</v>
      </c>
      <c r="I190" s="50">
        <v>91620.0</v>
      </c>
    </row>
    <row r="191">
      <c r="A191" s="75">
        <v>7187.0</v>
      </c>
      <c r="B191" s="70">
        <v>8876.0</v>
      </c>
      <c r="C191" s="74">
        <v>9226.0</v>
      </c>
      <c r="D191" s="66" t="s">
        <v>2973</v>
      </c>
      <c r="E191" s="66">
        <v>1.0</v>
      </c>
      <c r="F191" s="66">
        <v>24.0</v>
      </c>
      <c r="G191" s="66">
        <v>4.0</v>
      </c>
      <c r="H191" s="66">
        <v>6.0</v>
      </c>
      <c r="I191" s="50">
        <v>40714.0</v>
      </c>
    </row>
    <row r="192">
      <c r="A192" s="75">
        <v>7188.0</v>
      </c>
      <c r="B192" s="70">
        <v>9957.0</v>
      </c>
      <c r="C192" s="74">
        <v>6615.0</v>
      </c>
      <c r="D192" s="66" t="s">
        <v>2974</v>
      </c>
      <c r="E192" s="66">
        <v>4.0</v>
      </c>
      <c r="F192" s="66">
        <v>44.0</v>
      </c>
      <c r="G192" s="66">
        <v>9.0</v>
      </c>
      <c r="H192" s="66">
        <v>4.0</v>
      </c>
      <c r="I192" s="50">
        <v>92622.0</v>
      </c>
    </row>
    <row r="193">
      <c r="A193" s="75">
        <v>7189.0</v>
      </c>
      <c r="B193" s="70">
        <v>4283.0</v>
      </c>
      <c r="C193" s="74">
        <v>9313.0</v>
      </c>
      <c r="D193" s="66" t="s">
        <v>2975</v>
      </c>
      <c r="E193" s="66">
        <v>1.0</v>
      </c>
      <c r="F193" s="66">
        <v>65.0</v>
      </c>
      <c r="G193" s="66">
        <v>4.0</v>
      </c>
      <c r="H193" s="66">
        <v>4.0</v>
      </c>
      <c r="I193" s="50">
        <v>101016.0</v>
      </c>
    </row>
    <row r="194">
      <c r="A194" s="58">
        <v>7190.0</v>
      </c>
      <c r="B194" s="70">
        <v>5200.0</v>
      </c>
      <c r="C194" s="74">
        <v>771.0</v>
      </c>
      <c r="D194" s="66" t="s">
        <v>2976</v>
      </c>
      <c r="E194" s="66">
        <v>1.0</v>
      </c>
      <c r="F194" s="66">
        <v>24.0</v>
      </c>
      <c r="G194" s="66">
        <v>4.0</v>
      </c>
      <c r="H194" s="66">
        <v>2.0</v>
      </c>
      <c r="I194" s="50">
        <v>92715.0</v>
      </c>
    </row>
    <row r="195">
      <c r="A195" s="75">
        <v>7191.0</v>
      </c>
      <c r="B195" s="70">
        <v>84.0</v>
      </c>
      <c r="C195" s="74">
        <v>2742.0</v>
      </c>
      <c r="D195" s="66" t="s">
        <v>2977</v>
      </c>
      <c r="E195" s="66">
        <v>4.0</v>
      </c>
      <c r="F195" s="66">
        <v>85.0</v>
      </c>
      <c r="G195" s="66">
        <v>9.0</v>
      </c>
      <c r="H195" s="66">
        <v>5.0</v>
      </c>
      <c r="I195" s="50">
        <v>102318.0</v>
      </c>
    </row>
    <row r="196">
      <c r="A196" s="75">
        <v>7192.0</v>
      </c>
      <c r="B196" s="70">
        <v>8697.0</v>
      </c>
      <c r="C196" s="74">
        <v>2351.0</v>
      </c>
      <c r="D196" s="66" t="s">
        <v>2978</v>
      </c>
      <c r="E196" s="66">
        <v>1.0</v>
      </c>
      <c r="F196" s="66">
        <v>85.0</v>
      </c>
      <c r="G196" s="66">
        <v>9.0</v>
      </c>
      <c r="H196" s="66">
        <v>7.0</v>
      </c>
      <c r="I196" s="50">
        <v>80418.0</v>
      </c>
    </row>
    <row r="197">
      <c r="A197" s="75">
        <v>7193.0</v>
      </c>
      <c r="B197" s="70">
        <v>93.0</v>
      </c>
      <c r="C197" s="74">
        <v>8087.0</v>
      </c>
      <c r="D197" s="66" t="s">
        <v>2979</v>
      </c>
      <c r="E197" s="66">
        <v>2.0</v>
      </c>
      <c r="F197" s="66">
        <v>24.0</v>
      </c>
      <c r="G197" s="66">
        <v>5.0</v>
      </c>
      <c r="H197" s="66">
        <v>4.0</v>
      </c>
      <c r="I197" s="50">
        <v>40115.0</v>
      </c>
    </row>
    <row r="198">
      <c r="A198" s="75">
        <v>7194.0</v>
      </c>
      <c r="B198" s="70">
        <v>257.0</v>
      </c>
      <c r="C198" s="74">
        <v>8432.0</v>
      </c>
      <c r="D198" s="66" t="s">
        <v>2980</v>
      </c>
      <c r="E198" s="66">
        <v>3.0</v>
      </c>
      <c r="F198" s="66">
        <v>24.0</v>
      </c>
      <c r="G198" s="66">
        <v>5.0</v>
      </c>
      <c r="H198" s="66">
        <v>8.0</v>
      </c>
      <c r="I198" s="50">
        <v>53019.0</v>
      </c>
    </row>
    <row r="199">
      <c r="A199" s="58">
        <v>7195.0</v>
      </c>
      <c r="B199" s="70">
        <v>2495.0</v>
      </c>
      <c r="C199" s="74">
        <v>740.0</v>
      </c>
      <c r="D199" s="66" t="s">
        <v>2981</v>
      </c>
      <c r="E199" s="66">
        <v>1.0</v>
      </c>
      <c r="F199" s="66">
        <v>24.0</v>
      </c>
      <c r="G199" s="66">
        <v>6.0</v>
      </c>
      <c r="H199" s="66">
        <v>2.0</v>
      </c>
      <c r="I199" s="50">
        <v>123016.0</v>
      </c>
    </row>
    <row r="200">
      <c r="A200" s="75">
        <v>7196.0</v>
      </c>
      <c r="B200" s="70">
        <v>3838.0</v>
      </c>
      <c r="C200" s="74">
        <v>3232.0</v>
      </c>
      <c r="D200" s="66" t="s">
        <v>2982</v>
      </c>
      <c r="E200" s="66">
        <v>4.0</v>
      </c>
      <c r="F200" s="66">
        <v>24.0</v>
      </c>
      <c r="G200" s="66">
        <v>6.0</v>
      </c>
      <c r="H200" s="66">
        <v>4.0</v>
      </c>
      <c r="I200" s="50">
        <v>112914.0</v>
      </c>
    </row>
    <row r="201">
      <c r="A201" s="75">
        <v>7197.0</v>
      </c>
      <c r="B201" s="70">
        <v>4757.0</v>
      </c>
      <c r="C201" s="74">
        <v>8841.0</v>
      </c>
      <c r="D201" s="66" t="s">
        <v>2983</v>
      </c>
      <c r="E201" s="66">
        <v>1.0</v>
      </c>
      <c r="F201" s="66">
        <v>24.0</v>
      </c>
      <c r="G201" s="66">
        <v>6.0</v>
      </c>
      <c r="H201" s="66">
        <v>5.0</v>
      </c>
      <c r="I201" s="50">
        <v>22021.0</v>
      </c>
    </row>
    <row r="202">
      <c r="A202" s="75">
        <v>7198.0</v>
      </c>
      <c r="B202" s="70">
        <v>4342.0</v>
      </c>
      <c r="C202" s="74">
        <v>1149.0</v>
      </c>
      <c r="D202" s="66" t="s">
        <v>2984</v>
      </c>
      <c r="E202" s="66">
        <v>4.0</v>
      </c>
      <c r="F202" s="66">
        <v>86.0</v>
      </c>
      <c r="G202" s="66">
        <v>1.0</v>
      </c>
      <c r="H202" s="66">
        <v>1.0</v>
      </c>
      <c r="I202" s="50">
        <v>60616.0</v>
      </c>
    </row>
    <row r="203">
      <c r="A203" s="75">
        <v>7199.0</v>
      </c>
      <c r="B203" s="70">
        <v>3291.0</v>
      </c>
      <c r="C203" s="74">
        <v>6525.0</v>
      </c>
      <c r="D203" s="66" t="s">
        <v>2985</v>
      </c>
      <c r="E203" s="66">
        <v>4.0</v>
      </c>
      <c r="F203" s="66">
        <v>45.0</v>
      </c>
      <c r="G203" s="66">
        <v>1.0</v>
      </c>
      <c r="H203" s="66">
        <v>6.0</v>
      </c>
      <c r="I203" s="50">
        <v>52015.0</v>
      </c>
    </row>
    <row r="204">
      <c r="A204" s="58">
        <v>7200.0</v>
      </c>
      <c r="B204" s="70">
        <v>1168.0</v>
      </c>
      <c r="C204" s="74">
        <v>7322.0</v>
      </c>
      <c r="D204" s="66" t="s">
        <v>2986</v>
      </c>
      <c r="E204" s="66">
        <v>1.0</v>
      </c>
      <c r="F204" s="66">
        <v>86.0</v>
      </c>
      <c r="G204" s="66">
        <v>1.0</v>
      </c>
      <c r="H204" s="66">
        <v>2.0</v>
      </c>
      <c r="I204" s="50">
        <v>11522.0</v>
      </c>
    </row>
    <row r="205">
      <c r="A205" s="75">
        <v>7201.0</v>
      </c>
      <c r="B205" s="70">
        <v>422.0</v>
      </c>
      <c r="C205" s="74">
        <v>4189.0</v>
      </c>
      <c r="D205" s="66" t="s">
        <v>2987</v>
      </c>
      <c r="E205" s="66">
        <v>4.0</v>
      </c>
      <c r="F205" s="66">
        <v>65.0</v>
      </c>
      <c r="G205" s="66">
        <v>6.0</v>
      </c>
      <c r="H205" s="66">
        <v>6.0</v>
      </c>
      <c r="I205" s="50">
        <v>71517.0</v>
      </c>
    </row>
    <row r="206">
      <c r="A206" s="75">
        <v>7202.0</v>
      </c>
      <c r="B206" s="70">
        <v>6065.0</v>
      </c>
      <c r="C206" s="74">
        <v>5597.0</v>
      </c>
      <c r="D206" s="66" t="s">
        <v>2988</v>
      </c>
      <c r="E206" s="66">
        <v>1.0</v>
      </c>
      <c r="F206" s="66">
        <v>65.0</v>
      </c>
      <c r="G206" s="66">
        <v>6.0</v>
      </c>
      <c r="H206" s="66">
        <v>7.0</v>
      </c>
      <c r="I206" s="50">
        <v>91014.0</v>
      </c>
    </row>
    <row r="207">
      <c r="A207" s="75">
        <v>7203.0</v>
      </c>
      <c r="B207" s="70">
        <v>3935.0</v>
      </c>
      <c r="C207" s="74">
        <v>643.0</v>
      </c>
      <c r="D207" s="66" t="s">
        <v>2989</v>
      </c>
      <c r="E207" s="66">
        <v>3.0</v>
      </c>
      <c r="F207" s="66">
        <v>24.0</v>
      </c>
      <c r="G207" s="66">
        <v>7.0</v>
      </c>
      <c r="H207" s="66">
        <v>2.0</v>
      </c>
      <c r="I207" s="50">
        <v>30116.0</v>
      </c>
    </row>
    <row r="208">
      <c r="A208" s="75">
        <v>7204.0</v>
      </c>
      <c r="B208" s="70">
        <v>9015.0</v>
      </c>
      <c r="C208" s="74">
        <v>6316.0</v>
      </c>
      <c r="D208" s="66" t="s">
        <v>2990</v>
      </c>
      <c r="E208" s="66">
        <v>3.0</v>
      </c>
      <c r="F208" s="66">
        <v>86.0</v>
      </c>
      <c r="G208" s="66">
        <v>1.0</v>
      </c>
      <c r="H208" s="66">
        <v>7.0</v>
      </c>
      <c r="I208" s="50">
        <v>90521.0</v>
      </c>
    </row>
    <row r="209">
      <c r="A209" s="58">
        <v>7205.0</v>
      </c>
      <c r="B209" s="70">
        <v>494.0</v>
      </c>
      <c r="C209" s="74">
        <v>6292.0</v>
      </c>
      <c r="D209" s="66" t="s">
        <v>2991</v>
      </c>
      <c r="E209" s="66">
        <v>3.0</v>
      </c>
      <c r="F209" s="66">
        <v>45.0</v>
      </c>
      <c r="G209" s="66">
        <v>1.0</v>
      </c>
      <c r="H209" s="66">
        <v>7.0</v>
      </c>
      <c r="I209" s="50">
        <v>50216.0</v>
      </c>
    </row>
    <row r="210">
      <c r="A210" s="75">
        <v>7206.0</v>
      </c>
      <c r="B210" s="70">
        <v>3597.0</v>
      </c>
      <c r="C210" s="74">
        <v>7307.0</v>
      </c>
      <c r="D210" s="66" t="s">
        <v>2992</v>
      </c>
      <c r="E210" s="66">
        <v>2.0</v>
      </c>
      <c r="F210" s="66">
        <v>24.0</v>
      </c>
      <c r="G210" s="66">
        <v>7.0</v>
      </c>
      <c r="H210" s="66">
        <v>6.0</v>
      </c>
      <c r="I210" s="50">
        <v>92815.0</v>
      </c>
    </row>
    <row r="211">
      <c r="A211" s="75">
        <v>7207.0</v>
      </c>
      <c r="B211" s="70">
        <v>4752.0</v>
      </c>
      <c r="C211" s="74">
        <v>1785.0</v>
      </c>
      <c r="D211" s="66" t="s">
        <v>2993</v>
      </c>
      <c r="E211" s="66">
        <v>1.0</v>
      </c>
      <c r="F211" s="66">
        <v>86.0</v>
      </c>
      <c r="G211" s="66">
        <v>2.0</v>
      </c>
      <c r="H211" s="66">
        <v>5.0</v>
      </c>
      <c r="I211" s="50">
        <v>122714.0</v>
      </c>
    </row>
    <row r="212">
      <c r="A212" s="75">
        <v>7208.0</v>
      </c>
      <c r="B212" s="70">
        <v>7975.0</v>
      </c>
      <c r="C212" s="74">
        <v>9879.0</v>
      </c>
      <c r="D212" s="66" t="s">
        <v>2994</v>
      </c>
      <c r="E212" s="66">
        <v>4.0</v>
      </c>
      <c r="F212" s="66">
        <v>86.0</v>
      </c>
      <c r="G212" s="66">
        <v>2.0</v>
      </c>
      <c r="H212" s="66">
        <v>6.0</v>
      </c>
      <c r="I212" s="50">
        <v>32015.0</v>
      </c>
    </row>
    <row r="213">
      <c r="A213" s="75">
        <v>7209.0</v>
      </c>
      <c r="B213" s="70">
        <v>50.0</v>
      </c>
      <c r="C213" s="74">
        <v>8801.0</v>
      </c>
      <c r="D213" s="66" t="s">
        <v>2995</v>
      </c>
      <c r="E213" s="66">
        <v>4.0</v>
      </c>
      <c r="F213" s="66">
        <v>65.0</v>
      </c>
      <c r="G213" s="66">
        <v>7.0</v>
      </c>
      <c r="H213" s="66">
        <v>8.0</v>
      </c>
      <c r="I213" s="50">
        <v>72620.0</v>
      </c>
    </row>
    <row r="214">
      <c r="A214" s="58">
        <v>7210.0</v>
      </c>
      <c r="B214" s="70">
        <v>7068.0</v>
      </c>
      <c r="C214" s="74">
        <v>1466.0</v>
      </c>
      <c r="D214" s="66" t="s">
        <v>2996</v>
      </c>
      <c r="E214" s="66">
        <v>2.0</v>
      </c>
      <c r="F214" s="66">
        <v>24.0</v>
      </c>
      <c r="G214" s="66">
        <v>8.0</v>
      </c>
      <c r="H214" s="66">
        <v>4.0</v>
      </c>
      <c r="I214" s="50">
        <v>101214.0</v>
      </c>
    </row>
    <row r="215">
      <c r="A215" s="75">
        <v>7211.0</v>
      </c>
      <c r="B215" s="70">
        <v>2096.0</v>
      </c>
      <c r="C215" s="74">
        <v>8520.0</v>
      </c>
      <c r="D215" s="66" t="s">
        <v>2997</v>
      </c>
      <c r="E215" s="66">
        <v>4.0</v>
      </c>
      <c r="F215" s="66">
        <v>65.0</v>
      </c>
      <c r="G215" s="66">
        <v>8.0</v>
      </c>
      <c r="H215" s="66">
        <v>3.0</v>
      </c>
      <c r="I215" s="50">
        <v>71714.0</v>
      </c>
    </row>
    <row r="216">
      <c r="A216" s="75">
        <v>7212.0</v>
      </c>
      <c r="B216" s="70">
        <v>7021.0</v>
      </c>
      <c r="C216" s="74">
        <v>7860.0</v>
      </c>
      <c r="D216" s="66" t="s">
        <v>2998</v>
      </c>
      <c r="E216" s="66">
        <v>3.0</v>
      </c>
      <c r="F216" s="66">
        <v>24.0</v>
      </c>
      <c r="G216" s="66">
        <v>8.0</v>
      </c>
      <c r="H216" s="66">
        <v>7.0</v>
      </c>
      <c r="I216" s="50">
        <v>60419.0</v>
      </c>
    </row>
    <row r="217">
      <c r="A217" s="75">
        <v>7213.0</v>
      </c>
      <c r="B217" s="70">
        <v>5016.0</v>
      </c>
      <c r="C217" s="74">
        <v>9908.0</v>
      </c>
      <c r="D217" s="66" t="s">
        <v>2999</v>
      </c>
      <c r="E217" s="66">
        <v>4.0</v>
      </c>
      <c r="F217" s="66">
        <v>45.0</v>
      </c>
      <c r="G217" s="66">
        <v>4.0</v>
      </c>
      <c r="H217" s="66">
        <v>1.0</v>
      </c>
      <c r="I217" s="50">
        <v>62322.0</v>
      </c>
    </row>
    <row r="218">
      <c r="A218" s="75">
        <v>7214.0</v>
      </c>
      <c r="B218" s="70">
        <v>783.0</v>
      </c>
      <c r="C218" s="74">
        <v>754.0</v>
      </c>
      <c r="D218" s="66" t="s">
        <v>3000</v>
      </c>
      <c r="E218" s="66">
        <v>3.0</v>
      </c>
      <c r="F218" s="66">
        <v>45.0</v>
      </c>
      <c r="G218" s="66">
        <v>4.0</v>
      </c>
      <c r="H218" s="66">
        <v>2.0</v>
      </c>
      <c r="I218" s="50">
        <v>82118.0</v>
      </c>
    </row>
    <row r="219">
      <c r="A219" s="58">
        <v>7215.0</v>
      </c>
      <c r="B219" s="70">
        <v>3258.0</v>
      </c>
      <c r="C219" s="74">
        <v>5855.0</v>
      </c>
      <c r="D219" s="66" t="s">
        <v>3001</v>
      </c>
      <c r="E219" s="66">
        <v>2.0</v>
      </c>
      <c r="F219" s="66">
        <v>86.0</v>
      </c>
      <c r="G219" s="66">
        <v>4.0</v>
      </c>
      <c r="H219" s="66">
        <v>3.0</v>
      </c>
      <c r="I219" s="50">
        <v>120322.0</v>
      </c>
    </row>
    <row r="220">
      <c r="A220" s="75">
        <v>7216.0</v>
      </c>
      <c r="B220" s="70">
        <v>5127.0</v>
      </c>
      <c r="C220" s="74">
        <v>9379.0</v>
      </c>
      <c r="D220" s="66" t="s">
        <v>3002</v>
      </c>
      <c r="E220" s="66">
        <v>4.0</v>
      </c>
      <c r="F220" s="66">
        <v>45.0</v>
      </c>
      <c r="G220" s="66">
        <v>4.0</v>
      </c>
      <c r="H220" s="66">
        <v>8.0</v>
      </c>
      <c r="I220" s="50">
        <v>52621.0</v>
      </c>
    </row>
    <row r="221">
      <c r="A221" s="75">
        <v>7217.0</v>
      </c>
      <c r="B221" s="70">
        <v>9862.0</v>
      </c>
      <c r="C221" s="74">
        <v>913.0</v>
      </c>
      <c r="D221" s="66" t="s">
        <v>3003</v>
      </c>
      <c r="E221" s="66">
        <v>2.0</v>
      </c>
      <c r="F221" s="66">
        <v>65.0</v>
      </c>
      <c r="G221" s="66">
        <v>9.0</v>
      </c>
      <c r="H221" s="66">
        <v>6.0</v>
      </c>
      <c r="I221" s="50">
        <v>10213.0</v>
      </c>
    </row>
    <row r="222">
      <c r="A222" s="75">
        <v>7218.0</v>
      </c>
      <c r="B222" s="70">
        <v>1436.0</v>
      </c>
      <c r="C222" s="74">
        <v>466.0</v>
      </c>
      <c r="D222" s="66" t="s">
        <v>3004</v>
      </c>
      <c r="E222" s="66">
        <v>1.0</v>
      </c>
      <c r="F222" s="66">
        <v>24.0</v>
      </c>
      <c r="G222" s="66">
        <v>9.0</v>
      </c>
      <c r="H222" s="66">
        <v>9.0</v>
      </c>
      <c r="I222" s="50">
        <v>100118.0</v>
      </c>
    </row>
    <row r="223">
      <c r="A223" s="75">
        <v>7219.0</v>
      </c>
      <c r="B223" s="70">
        <v>3048.0</v>
      </c>
      <c r="C223" s="74">
        <v>2096.0</v>
      </c>
      <c r="D223" s="66" t="s">
        <v>3005</v>
      </c>
      <c r="E223" s="66">
        <v>3.0</v>
      </c>
      <c r="F223" s="66">
        <v>86.0</v>
      </c>
      <c r="G223" s="66">
        <v>4.0</v>
      </c>
      <c r="H223" s="66">
        <v>7.0</v>
      </c>
      <c r="I223" s="50">
        <v>31314.0</v>
      </c>
    </row>
    <row r="224">
      <c r="A224" s="58">
        <v>7220.0</v>
      </c>
      <c r="B224" s="70">
        <v>6857.0</v>
      </c>
      <c r="C224" s="74">
        <v>283.0</v>
      </c>
      <c r="D224" s="66" t="s">
        <v>3006</v>
      </c>
      <c r="E224" s="66">
        <v>3.0</v>
      </c>
      <c r="F224" s="66">
        <v>65.0</v>
      </c>
      <c r="G224" s="66">
        <v>9.0</v>
      </c>
      <c r="H224" s="66">
        <v>5.0</v>
      </c>
      <c r="I224" s="50">
        <v>70317.0</v>
      </c>
    </row>
    <row r="225">
      <c r="A225" s="75">
        <v>7221.0</v>
      </c>
      <c r="B225" s="70">
        <v>8569.0</v>
      </c>
      <c r="C225" s="74">
        <v>1321.0</v>
      </c>
      <c r="D225" s="66" t="s">
        <v>3007</v>
      </c>
      <c r="E225" s="66">
        <v>3.0</v>
      </c>
      <c r="F225" s="66">
        <v>65.0</v>
      </c>
      <c r="G225" s="66">
        <v>9.0</v>
      </c>
      <c r="H225" s="66">
        <v>7.0</v>
      </c>
      <c r="I225" s="50">
        <v>50116.0</v>
      </c>
    </row>
    <row r="226">
      <c r="A226" s="75">
        <v>7222.0</v>
      </c>
      <c r="B226" s="70">
        <v>7317.0</v>
      </c>
      <c r="C226" s="74">
        <v>6335.0</v>
      </c>
      <c r="D226" s="66" t="s">
        <v>3008</v>
      </c>
      <c r="E226" s="66">
        <v>3.0</v>
      </c>
      <c r="F226" s="66">
        <v>45.0</v>
      </c>
      <c r="G226" s="66">
        <v>5.0</v>
      </c>
      <c r="H226" s="66">
        <v>7.0</v>
      </c>
      <c r="I226" s="50">
        <v>11316.0</v>
      </c>
    </row>
    <row r="227">
      <c r="A227" s="75">
        <v>7223.0</v>
      </c>
      <c r="B227" s="70">
        <v>8762.0</v>
      </c>
      <c r="C227" s="74">
        <v>1636.0</v>
      </c>
      <c r="D227" s="66" t="s">
        <v>3009</v>
      </c>
      <c r="E227" s="66">
        <v>1.0</v>
      </c>
      <c r="F227" s="66">
        <v>45.0</v>
      </c>
      <c r="G227" s="66">
        <v>5.0</v>
      </c>
      <c r="H227" s="66">
        <v>8.0</v>
      </c>
      <c r="I227" s="50">
        <v>121016.0</v>
      </c>
    </row>
    <row r="228">
      <c r="A228" s="75">
        <v>7224.0</v>
      </c>
      <c r="B228" s="70">
        <v>5881.0</v>
      </c>
      <c r="C228" s="74">
        <v>3099.0</v>
      </c>
      <c r="D228" s="66" t="s">
        <v>3010</v>
      </c>
      <c r="E228" s="66">
        <v>3.0</v>
      </c>
      <c r="F228" s="66">
        <v>25.0</v>
      </c>
      <c r="G228" s="66">
        <v>1.0</v>
      </c>
      <c r="H228" s="66">
        <v>1.0</v>
      </c>
      <c r="I228" s="50">
        <v>41120.0</v>
      </c>
    </row>
    <row r="229">
      <c r="A229" s="58">
        <v>7225.0</v>
      </c>
      <c r="B229" s="70">
        <v>5177.0</v>
      </c>
      <c r="C229" s="74">
        <v>340.0</v>
      </c>
      <c r="D229" s="66" t="s">
        <v>3011</v>
      </c>
      <c r="E229" s="66">
        <v>4.0</v>
      </c>
      <c r="F229" s="66">
        <v>25.0</v>
      </c>
      <c r="G229" s="66">
        <v>1.0</v>
      </c>
      <c r="H229" s="66">
        <v>2.0</v>
      </c>
      <c r="I229" s="50">
        <v>90422.0</v>
      </c>
    </row>
    <row r="230">
      <c r="A230" s="75">
        <v>7226.0</v>
      </c>
      <c r="B230" s="70">
        <v>9697.0</v>
      </c>
      <c r="C230" s="74">
        <v>7403.0</v>
      </c>
      <c r="D230" s="66" t="s">
        <v>3012</v>
      </c>
      <c r="E230" s="66">
        <v>2.0</v>
      </c>
      <c r="F230" s="66">
        <v>25.0</v>
      </c>
      <c r="G230" s="66">
        <v>1.0</v>
      </c>
      <c r="H230" s="66">
        <v>4.0</v>
      </c>
      <c r="I230" s="50">
        <v>11320.0</v>
      </c>
    </row>
    <row r="231">
      <c r="A231" s="75">
        <v>7227.0</v>
      </c>
      <c r="B231" s="70">
        <v>3248.0</v>
      </c>
      <c r="C231" s="74">
        <v>8807.0</v>
      </c>
      <c r="D231" s="66" t="s">
        <v>3013</v>
      </c>
      <c r="E231" s="66">
        <v>2.0</v>
      </c>
      <c r="F231" s="66">
        <v>45.0</v>
      </c>
      <c r="G231" s="66">
        <v>6.0</v>
      </c>
      <c r="H231" s="66">
        <v>3.0</v>
      </c>
      <c r="I231" s="50">
        <v>70618.0</v>
      </c>
    </row>
    <row r="232">
      <c r="A232" s="75">
        <v>7228.0</v>
      </c>
      <c r="B232" s="70">
        <v>7002.0</v>
      </c>
      <c r="C232" s="74">
        <v>4453.0</v>
      </c>
      <c r="D232" s="66" t="s">
        <v>3014</v>
      </c>
      <c r="E232" s="66">
        <v>1.0</v>
      </c>
      <c r="F232" s="66">
        <v>86.0</v>
      </c>
      <c r="G232" s="66">
        <v>5.0</v>
      </c>
      <c r="H232" s="66">
        <v>8.0</v>
      </c>
      <c r="I232" s="50">
        <v>101017.0</v>
      </c>
    </row>
    <row r="233">
      <c r="A233" s="75">
        <v>7229.0</v>
      </c>
      <c r="B233" s="70">
        <v>8374.0</v>
      </c>
      <c r="C233" s="74">
        <v>1324.0</v>
      </c>
      <c r="D233" s="66" t="s">
        <v>3015</v>
      </c>
      <c r="E233" s="66">
        <v>2.0</v>
      </c>
      <c r="F233" s="66">
        <v>86.0</v>
      </c>
      <c r="G233" s="66">
        <v>6.0</v>
      </c>
      <c r="H233" s="66">
        <v>5.0</v>
      </c>
      <c r="I233" s="50">
        <v>72121.0</v>
      </c>
    </row>
    <row r="234">
      <c r="A234" s="58">
        <v>7230.0</v>
      </c>
      <c r="B234" s="70">
        <v>402.0</v>
      </c>
      <c r="C234" s="74">
        <v>2208.0</v>
      </c>
      <c r="D234" s="66" t="s">
        <v>3016</v>
      </c>
      <c r="E234" s="66">
        <v>1.0</v>
      </c>
      <c r="F234" s="66">
        <v>66.0</v>
      </c>
      <c r="G234" s="66">
        <v>1.0</v>
      </c>
      <c r="H234" s="66">
        <v>7.0</v>
      </c>
      <c r="I234" s="50">
        <v>110116.0</v>
      </c>
    </row>
    <row r="235">
      <c r="A235" s="75">
        <v>7231.0</v>
      </c>
      <c r="B235" s="70">
        <v>4644.0</v>
      </c>
      <c r="C235" s="74">
        <v>5706.0</v>
      </c>
      <c r="D235" s="66" t="s">
        <v>3017</v>
      </c>
      <c r="E235" s="66">
        <v>1.0</v>
      </c>
      <c r="F235" s="66">
        <v>86.0</v>
      </c>
      <c r="G235" s="66">
        <v>6.0</v>
      </c>
      <c r="H235" s="66">
        <v>7.0</v>
      </c>
      <c r="I235" s="50">
        <v>21120.0</v>
      </c>
    </row>
    <row r="236">
      <c r="A236" s="75">
        <v>7232.0</v>
      </c>
      <c r="B236" s="70">
        <v>1703.0</v>
      </c>
      <c r="C236" s="74">
        <v>542.0</v>
      </c>
      <c r="D236" s="66" t="s">
        <v>3018</v>
      </c>
      <c r="E236" s="66">
        <v>1.0</v>
      </c>
      <c r="F236" s="66">
        <v>86.0</v>
      </c>
      <c r="G236" s="66">
        <v>6.0</v>
      </c>
      <c r="H236" s="66">
        <v>6.0</v>
      </c>
      <c r="I236" s="50">
        <v>31821.0</v>
      </c>
    </row>
    <row r="237">
      <c r="A237" s="75">
        <v>7233.0</v>
      </c>
      <c r="B237" s="70">
        <v>8507.0</v>
      </c>
      <c r="C237" s="74">
        <v>6113.0</v>
      </c>
      <c r="D237" s="66" t="s">
        <v>3019</v>
      </c>
      <c r="E237" s="66">
        <v>1.0</v>
      </c>
      <c r="F237" s="66">
        <v>86.0</v>
      </c>
      <c r="G237" s="66">
        <v>6.0</v>
      </c>
      <c r="H237" s="66">
        <v>9.0</v>
      </c>
      <c r="I237" s="50">
        <v>90713.0</v>
      </c>
    </row>
    <row r="238">
      <c r="A238" s="75">
        <v>7234.0</v>
      </c>
      <c r="B238" s="70">
        <v>7300.0</v>
      </c>
      <c r="C238" s="74">
        <v>8760.0</v>
      </c>
      <c r="D238" s="66" t="s">
        <v>3020</v>
      </c>
      <c r="E238" s="66">
        <v>3.0</v>
      </c>
      <c r="F238" s="66">
        <v>45.0</v>
      </c>
      <c r="G238" s="66">
        <v>7.0</v>
      </c>
      <c r="H238" s="66">
        <v>3.0</v>
      </c>
      <c r="I238" s="50">
        <v>50214.0</v>
      </c>
    </row>
    <row r="239">
      <c r="A239" s="58">
        <v>7235.0</v>
      </c>
      <c r="B239" s="70">
        <v>2483.0</v>
      </c>
      <c r="C239" s="74">
        <v>1895.0</v>
      </c>
      <c r="D239" s="66" t="s">
        <v>3021</v>
      </c>
      <c r="E239" s="66">
        <v>2.0</v>
      </c>
      <c r="F239" s="66">
        <v>66.0</v>
      </c>
      <c r="G239" s="66">
        <v>2.0</v>
      </c>
      <c r="H239" s="66">
        <v>4.0</v>
      </c>
      <c r="I239" s="50">
        <v>123115.0</v>
      </c>
    </row>
    <row r="240">
      <c r="A240" s="75">
        <v>7236.0</v>
      </c>
      <c r="B240" s="70">
        <v>296.0</v>
      </c>
      <c r="C240" s="74">
        <v>1721.0</v>
      </c>
      <c r="D240" s="66" t="s">
        <v>3022</v>
      </c>
      <c r="E240" s="66">
        <v>1.0</v>
      </c>
      <c r="F240" s="66">
        <v>66.0</v>
      </c>
      <c r="G240" s="66">
        <v>2.0</v>
      </c>
      <c r="H240" s="66">
        <v>5.0</v>
      </c>
      <c r="I240" s="50">
        <v>31620.0</v>
      </c>
    </row>
    <row r="241">
      <c r="A241" s="75">
        <v>7237.0</v>
      </c>
      <c r="B241" s="70">
        <v>1365.0</v>
      </c>
      <c r="C241" s="74">
        <v>2668.0</v>
      </c>
      <c r="D241" s="66" t="s">
        <v>3023</v>
      </c>
      <c r="E241" s="66">
        <v>4.0</v>
      </c>
      <c r="F241" s="66">
        <v>45.0</v>
      </c>
      <c r="G241" s="66">
        <v>7.0</v>
      </c>
      <c r="H241" s="66">
        <v>8.0</v>
      </c>
      <c r="I241" s="50">
        <v>102915.0</v>
      </c>
    </row>
    <row r="242">
      <c r="A242" s="75">
        <v>7238.0</v>
      </c>
      <c r="B242" s="70">
        <v>1900.0</v>
      </c>
      <c r="C242" s="74">
        <v>3637.0</v>
      </c>
      <c r="D242" s="66" t="s">
        <v>3024</v>
      </c>
      <c r="E242" s="66">
        <v>2.0</v>
      </c>
      <c r="F242" s="66">
        <v>86.0</v>
      </c>
      <c r="G242" s="66">
        <v>7.0</v>
      </c>
      <c r="H242" s="66">
        <v>5.0</v>
      </c>
      <c r="I242" s="50">
        <v>70319.0</v>
      </c>
    </row>
    <row r="243">
      <c r="A243" s="75">
        <v>7239.0</v>
      </c>
      <c r="B243" s="70">
        <v>9580.0</v>
      </c>
      <c r="C243" s="74">
        <v>6617.0</v>
      </c>
      <c r="D243" s="66" t="s">
        <v>3025</v>
      </c>
      <c r="E243" s="66">
        <v>4.0</v>
      </c>
      <c r="F243" s="66">
        <v>25.0</v>
      </c>
      <c r="G243" s="66">
        <v>3.0</v>
      </c>
      <c r="H243" s="66">
        <v>3.0</v>
      </c>
      <c r="I243" s="50">
        <v>50217.0</v>
      </c>
    </row>
    <row r="244">
      <c r="A244" s="58">
        <v>7240.0</v>
      </c>
      <c r="B244" s="70">
        <v>2575.0</v>
      </c>
      <c r="C244" s="74">
        <v>456.0</v>
      </c>
      <c r="D244" s="66" t="s">
        <v>3026</v>
      </c>
      <c r="E244" s="66">
        <v>1.0</v>
      </c>
      <c r="F244" s="66">
        <v>25.0</v>
      </c>
      <c r="G244" s="66">
        <v>3.0</v>
      </c>
      <c r="H244" s="66">
        <v>4.0</v>
      </c>
      <c r="I244" s="50">
        <v>91516.0</v>
      </c>
    </row>
    <row r="245">
      <c r="A245" s="75">
        <v>7241.0</v>
      </c>
      <c r="B245" s="70">
        <v>3311.0</v>
      </c>
      <c r="C245" s="74">
        <v>6461.0</v>
      </c>
      <c r="D245" s="66" t="s">
        <v>3027</v>
      </c>
      <c r="E245" s="66">
        <v>4.0</v>
      </c>
      <c r="F245" s="66">
        <v>66.0</v>
      </c>
      <c r="G245" s="66">
        <v>2.0</v>
      </c>
      <c r="H245" s="66">
        <v>9.0</v>
      </c>
      <c r="I245" s="50">
        <v>52514.0</v>
      </c>
    </row>
    <row r="246">
      <c r="A246" s="75">
        <v>7242.0</v>
      </c>
      <c r="B246" s="70">
        <v>9289.0</v>
      </c>
      <c r="C246" s="74">
        <v>6941.0</v>
      </c>
      <c r="D246" s="66" t="s">
        <v>3028</v>
      </c>
      <c r="E246" s="66">
        <v>1.0</v>
      </c>
      <c r="F246" s="66">
        <v>66.0</v>
      </c>
      <c r="G246" s="66">
        <v>3.0</v>
      </c>
      <c r="H246" s="66">
        <v>5.0</v>
      </c>
      <c r="I246" s="50">
        <v>42518.0</v>
      </c>
    </row>
    <row r="247">
      <c r="A247" s="75">
        <v>7243.0</v>
      </c>
      <c r="B247" s="70">
        <v>6465.0</v>
      </c>
      <c r="C247" s="74">
        <v>3912.0</v>
      </c>
      <c r="D247" s="66" t="s">
        <v>3029</v>
      </c>
      <c r="E247" s="66">
        <v>3.0</v>
      </c>
      <c r="F247" s="66">
        <v>25.0</v>
      </c>
      <c r="G247" s="66">
        <v>4.0</v>
      </c>
      <c r="H247" s="66">
        <v>2.0</v>
      </c>
      <c r="I247" s="50">
        <v>100716.0</v>
      </c>
    </row>
    <row r="248">
      <c r="A248" s="75">
        <v>7244.0</v>
      </c>
      <c r="B248" s="70">
        <v>2748.0</v>
      </c>
      <c r="C248" s="74">
        <v>2745.0</v>
      </c>
      <c r="D248" s="66" t="s">
        <v>3030</v>
      </c>
      <c r="E248" s="66">
        <v>2.0</v>
      </c>
      <c r="F248" s="66">
        <v>86.0</v>
      </c>
      <c r="G248" s="66">
        <v>8.0</v>
      </c>
      <c r="H248" s="66">
        <v>7.0</v>
      </c>
      <c r="I248" s="50">
        <v>81619.0</v>
      </c>
    </row>
    <row r="249">
      <c r="A249" s="58">
        <v>7245.0</v>
      </c>
      <c r="B249" s="70">
        <v>5591.0</v>
      </c>
      <c r="C249" s="74">
        <v>3111.0</v>
      </c>
      <c r="D249" s="66" t="s">
        <v>3031</v>
      </c>
      <c r="E249" s="66">
        <v>2.0</v>
      </c>
      <c r="F249" s="66">
        <v>25.0</v>
      </c>
      <c r="G249" s="66">
        <v>4.0</v>
      </c>
      <c r="H249" s="66">
        <v>4.0</v>
      </c>
      <c r="I249" s="50">
        <v>102613.0</v>
      </c>
    </row>
    <row r="250">
      <c r="A250" s="75">
        <v>7246.0</v>
      </c>
      <c r="B250" s="70">
        <v>4954.0</v>
      </c>
      <c r="C250" s="74">
        <v>9566.0</v>
      </c>
      <c r="D250" s="66" t="s">
        <v>3032</v>
      </c>
      <c r="E250" s="66">
        <v>4.0</v>
      </c>
      <c r="F250" s="66">
        <v>25.0</v>
      </c>
      <c r="G250" s="66">
        <v>4.0</v>
      </c>
      <c r="H250" s="66">
        <v>3.0</v>
      </c>
      <c r="I250" s="50">
        <v>51119.0</v>
      </c>
    </row>
    <row r="251">
      <c r="A251" s="75">
        <v>7247.0</v>
      </c>
      <c r="B251" s="70">
        <v>7817.0</v>
      </c>
      <c r="C251" s="74">
        <v>9803.0</v>
      </c>
      <c r="D251" s="66" t="s">
        <v>3033</v>
      </c>
      <c r="E251" s="66">
        <v>1.0</v>
      </c>
      <c r="F251" s="66">
        <v>45.0</v>
      </c>
      <c r="G251" s="66">
        <v>9.0</v>
      </c>
      <c r="H251" s="66">
        <v>5.0</v>
      </c>
      <c r="I251" s="50">
        <v>71016.0</v>
      </c>
    </row>
    <row r="252">
      <c r="A252" s="75">
        <v>7248.0</v>
      </c>
      <c r="B252" s="70">
        <v>1755.0</v>
      </c>
      <c r="C252" s="74">
        <v>7488.0</v>
      </c>
      <c r="D252" s="66" t="s">
        <v>3034</v>
      </c>
      <c r="E252" s="66">
        <v>2.0</v>
      </c>
      <c r="F252" s="66">
        <v>45.0</v>
      </c>
      <c r="G252" s="66">
        <v>9.0</v>
      </c>
      <c r="H252" s="66">
        <v>9.0</v>
      </c>
      <c r="I252" s="50">
        <v>72418.0</v>
      </c>
    </row>
    <row r="253">
      <c r="A253" s="75">
        <v>7249.0</v>
      </c>
      <c r="B253" s="70">
        <v>5309.0</v>
      </c>
      <c r="C253" s="74">
        <v>2236.0</v>
      </c>
      <c r="D253" s="66" t="s">
        <v>3035</v>
      </c>
      <c r="E253" s="66">
        <v>2.0</v>
      </c>
      <c r="F253" s="66">
        <v>86.0</v>
      </c>
      <c r="G253" s="66">
        <v>9.0</v>
      </c>
      <c r="H253" s="66">
        <v>9.0</v>
      </c>
      <c r="I253" s="50">
        <v>50622.0</v>
      </c>
    </row>
    <row r="254">
      <c r="A254" s="58">
        <v>7250.0</v>
      </c>
      <c r="B254" s="70">
        <v>748.0</v>
      </c>
      <c r="C254" s="74">
        <v>5578.0</v>
      </c>
      <c r="D254" s="66" t="s">
        <v>3036</v>
      </c>
      <c r="E254" s="66">
        <v>4.0</v>
      </c>
      <c r="F254" s="66">
        <v>66.0</v>
      </c>
      <c r="G254" s="66">
        <v>5.0</v>
      </c>
      <c r="H254" s="66">
        <v>7.0</v>
      </c>
      <c r="I254" s="50">
        <v>82818.0</v>
      </c>
    </row>
    <row r="255">
      <c r="A255" s="75">
        <v>7251.0</v>
      </c>
      <c r="B255" s="70">
        <v>9855.0</v>
      </c>
      <c r="C255" s="74">
        <v>1478.0</v>
      </c>
      <c r="D255" s="66" t="s">
        <v>3037</v>
      </c>
      <c r="E255" s="66">
        <v>2.0</v>
      </c>
      <c r="F255" s="66">
        <v>25.0</v>
      </c>
      <c r="G255" s="66">
        <v>6.0</v>
      </c>
      <c r="H255" s="66">
        <v>1.0</v>
      </c>
      <c r="I255" s="50">
        <v>71322.0</v>
      </c>
    </row>
    <row r="256">
      <c r="A256" s="75">
        <v>7252.0</v>
      </c>
      <c r="B256" s="70">
        <v>6889.0</v>
      </c>
      <c r="C256" s="74">
        <v>4332.0</v>
      </c>
      <c r="D256" s="66" t="s">
        <v>3038</v>
      </c>
      <c r="E256" s="66">
        <v>1.0</v>
      </c>
      <c r="F256" s="66">
        <v>46.0</v>
      </c>
      <c r="G256" s="66">
        <v>1.0</v>
      </c>
      <c r="H256" s="66">
        <v>1.0</v>
      </c>
      <c r="I256" s="50">
        <v>51815.0</v>
      </c>
    </row>
    <row r="257">
      <c r="A257" s="75">
        <v>7253.0</v>
      </c>
      <c r="B257" s="70">
        <v>6713.0</v>
      </c>
      <c r="C257" s="74">
        <v>3160.0</v>
      </c>
      <c r="D257" s="66" t="s">
        <v>3039</v>
      </c>
      <c r="E257" s="66">
        <v>2.0</v>
      </c>
      <c r="F257" s="66">
        <v>66.0</v>
      </c>
      <c r="G257" s="66">
        <v>6.0</v>
      </c>
      <c r="H257" s="66">
        <v>1.0</v>
      </c>
      <c r="I257" s="50">
        <v>11221.0</v>
      </c>
    </row>
    <row r="258">
      <c r="A258" s="75">
        <v>7254.0</v>
      </c>
      <c r="B258" s="70">
        <v>2732.0</v>
      </c>
      <c r="C258" s="74">
        <v>7586.0</v>
      </c>
      <c r="D258" s="66" t="s">
        <v>3040</v>
      </c>
      <c r="E258" s="66">
        <v>3.0</v>
      </c>
      <c r="F258" s="66">
        <v>25.0</v>
      </c>
      <c r="G258" s="66">
        <v>6.0</v>
      </c>
      <c r="H258" s="66">
        <v>6.0</v>
      </c>
      <c r="I258" s="50">
        <v>32122.0</v>
      </c>
    </row>
    <row r="259">
      <c r="A259" s="58">
        <v>7255.0</v>
      </c>
      <c r="B259" s="70">
        <v>2726.0</v>
      </c>
      <c r="C259" s="74">
        <v>6660.0</v>
      </c>
      <c r="D259" s="66" t="s">
        <v>3041</v>
      </c>
      <c r="E259" s="66">
        <v>4.0</v>
      </c>
      <c r="F259" s="66">
        <v>66.0</v>
      </c>
      <c r="G259" s="66">
        <v>6.0</v>
      </c>
      <c r="H259" s="66">
        <v>4.0</v>
      </c>
      <c r="I259" s="50">
        <v>30819.0</v>
      </c>
    </row>
    <row r="260">
      <c r="A260" s="75">
        <v>7256.0</v>
      </c>
      <c r="B260" s="70">
        <v>1351.0</v>
      </c>
      <c r="C260" s="74">
        <v>8653.0</v>
      </c>
      <c r="D260" s="66" t="s">
        <v>3042</v>
      </c>
      <c r="E260" s="66">
        <v>4.0</v>
      </c>
      <c r="F260" s="66">
        <v>46.0</v>
      </c>
      <c r="G260" s="66">
        <v>1.0</v>
      </c>
      <c r="H260" s="66">
        <v>9.0</v>
      </c>
      <c r="I260" s="50">
        <v>60917.0</v>
      </c>
    </row>
    <row r="261">
      <c r="A261" s="75">
        <v>7257.0</v>
      </c>
      <c r="B261" s="70">
        <v>8690.0</v>
      </c>
      <c r="C261" s="74">
        <v>7714.0</v>
      </c>
      <c r="D261" s="66" t="s">
        <v>3043</v>
      </c>
      <c r="E261" s="66">
        <v>1.0</v>
      </c>
      <c r="F261" s="66">
        <v>66.0</v>
      </c>
      <c r="G261" s="66">
        <v>6.0</v>
      </c>
      <c r="H261" s="66">
        <v>8.0</v>
      </c>
      <c r="I261" s="50">
        <v>12015.0</v>
      </c>
    </row>
    <row r="262">
      <c r="A262" s="75">
        <v>7258.0</v>
      </c>
      <c r="B262" s="70">
        <v>4970.0</v>
      </c>
      <c r="C262" s="74">
        <v>5082.0</v>
      </c>
      <c r="D262" s="66" t="s">
        <v>3044</v>
      </c>
      <c r="E262" s="66">
        <v>2.0</v>
      </c>
      <c r="F262" s="66">
        <v>87.0</v>
      </c>
      <c r="G262" s="66">
        <v>1.0</v>
      </c>
      <c r="H262" s="66">
        <v>7.0</v>
      </c>
      <c r="I262" s="50">
        <v>31214.0</v>
      </c>
    </row>
    <row r="263">
      <c r="A263" s="75">
        <v>7259.0</v>
      </c>
      <c r="B263" s="70">
        <v>2160.0</v>
      </c>
      <c r="C263" s="74">
        <v>673.0</v>
      </c>
      <c r="D263" s="66" t="s">
        <v>3045</v>
      </c>
      <c r="E263" s="66">
        <v>4.0</v>
      </c>
      <c r="F263" s="66">
        <v>66.0</v>
      </c>
      <c r="G263" s="66">
        <v>7.0</v>
      </c>
      <c r="H263" s="66">
        <v>2.0</v>
      </c>
      <c r="I263" s="50">
        <v>90717.0</v>
      </c>
    </row>
    <row r="264">
      <c r="A264" s="58">
        <v>7260.0</v>
      </c>
      <c r="B264" s="70">
        <v>2347.0</v>
      </c>
      <c r="C264" s="74">
        <v>3480.0</v>
      </c>
      <c r="D264" s="66" t="s">
        <v>3046</v>
      </c>
      <c r="E264" s="66">
        <v>4.0</v>
      </c>
      <c r="F264" s="66">
        <v>87.0</v>
      </c>
      <c r="G264" s="66">
        <v>2.0</v>
      </c>
      <c r="H264" s="66">
        <v>3.0</v>
      </c>
      <c r="I264" s="50">
        <v>22316.0</v>
      </c>
    </row>
    <row r="265">
      <c r="A265" s="75">
        <v>7261.0</v>
      </c>
      <c r="B265" s="70">
        <v>8187.0</v>
      </c>
      <c r="C265" s="74">
        <v>6092.0</v>
      </c>
      <c r="D265" s="66" t="s">
        <v>3047</v>
      </c>
      <c r="E265" s="66">
        <v>1.0</v>
      </c>
      <c r="F265" s="66">
        <v>66.0</v>
      </c>
      <c r="G265" s="66">
        <v>7.0</v>
      </c>
      <c r="H265" s="66">
        <v>6.0</v>
      </c>
      <c r="I265" s="50">
        <v>112422.0</v>
      </c>
    </row>
    <row r="266">
      <c r="A266" s="75">
        <v>7262.0</v>
      </c>
      <c r="B266" s="70">
        <v>9098.0</v>
      </c>
      <c r="C266" s="74">
        <v>6336.0</v>
      </c>
      <c r="D266" s="66" t="s">
        <v>3048</v>
      </c>
      <c r="E266" s="66">
        <v>1.0</v>
      </c>
      <c r="F266" s="66">
        <v>25.0</v>
      </c>
      <c r="G266" s="66">
        <v>8.0</v>
      </c>
      <c r="H266" s="66">
        <v>1.0</v>
      </c>
      <c r="I266" s="50">
        <v>122914.0</v>
      </c>
    </row>
    <row r="267">
      <c r="A267" s="75">
        <v>7263.0</v>
      </c>
      <c r="B267" s="70">
        <v>2163.0</v>
      </c>
      <c r="C267" s="74">
        <v>6296.0</v>
      </c>
      <c r="D267" s="66" t="s">
        <v>3049</v>
      </c>
      <c r="E267" s="66">
        <v>3.0</v>
      </c>
      <c r="F267" s="66">
        <v>46.0</v>
      </c>
      <c r="G267" s="66">
        <v>2.0</v>
      </c>
      <c r="H267" s="66">
        <v>8.0</v>
      </c>
      <c r="I267" s="50">
        <v>72114.0</v>
      </c>
    </row>
    <row r="268">
      <c r="A268" s="75">
        <v>7264.0</v>
      </c>
      <c r="B268" s="70">
        <v>1903.0</v>
      </c>
      <c r="C268" s="74">
        <v>9719.0</v>
      </c>
      <c r="D268" s="66" t="s">
        <v>3050</v>
      </c>
      <c r="E268" s="66">
        <v>2.0</v>
      </c>
      <c r="F268" s="66">
        <v>46.0</v>
      </c>
      <c r="G268" s="66">
        <v>3.0</v>
      </c>
      <c r="H268" s="66">
        <v>2.0</v>
      </c>
      <c r="I268" s="50">
        <v>41014.0</v>
      </c>
    </row>
    <row r="269">
      <c r="A269" s="58">
        <v>7265.0</v>
      </c>
      <c r="B269" s="70">
        <v>2069.0</v>
      </c>
      <c r="C269" s="74">
        <v>4270.0</v>
      </c>
      <c r="D269" s="66" t="s">
        <v>3051</v>
      </c>
      <c r="E269" s="66">
        <v>2.0</v>
      </c>
      <c r="F269" s="66">
        <v>87.0</v>
      </c>
      <c r="G269" s="66">
        <v>3.0</v>
      </c>
      <c r="H269" s="66">
        <v>1.0</v>
      </c>
      <c r="I269" s="50">
        <v>12221.0</v>
      </c>
    </row>
    <row r="270">
      <c r="A270" s="75">
        <v>7266.0</v>
      </c>
      <c r="B270" s="70">
        <v>3347.0</v>
      </c>
      <c r="C270" s="74">
        <v>4712.0</v>
      </c>
      <c r="D270" s="66" t="s">
        <v>3052</v>
      </c>
      <c r="E270" s="66">
        <v>4.0</v>
      </c>
      <c r="F270" s="66">
        <v>46.0</v>
      </c>
      <c r="G270" s="66">
        <v>3.0</v>
      </c>
      <c r="H270" s="66">
        <v>5.0</v>
      </c>
      <c r="I270" s="50">
        <v>102321.0</v>
      </c>
    </row>
    <row r="271">
      <c r="A271" s="75">
        <v>7267.0</v>
      </c>
      <c r="B271" s="70">
        <v>124.0</v>
      </c>
      <c r="C271" s="74">
        <v>4182.0</v>
      </c>
      <c r="D271" s="66" t="s">
        <v>3053</v>
      </c>
      <c r="E271" s="66">
        <v>2.0</v>
      </c>
      <c r="F271" s="66">
        <v>87.0</v>
      </c>
      <c r="G271" s="66">
        <v>3.0</v>
      </c>
      <c r="H271" s="66">
        <v>3.0</v>
      </c>
      <c r="I271" s="50">
        <v>30913.0</v>
      </c>
    </row>
    <row r="272">
      <c r="A272" s="75">
        <v>7268.0</v>
      </c>
      <c r="B272" s="70">
        <v>2222.0</v>
      </c>
      <c r="C272" s="74">
        <v>2504.0</v>
      </c>
      <c r="D272" s="66" t="s">
        <v>3054</v>
      </c>
      <c r="E272" s="66">
        <v>3.0</v>
      </c>
      <c r="F272" s="66">
        <v>25.0</v>
      </c>
      <c r="G272" s="66">
        <v>9.0</v>
      </c>
      <c r="H272" s="66">
        <v>2.0</v>
      </c>
      <c r="I272" s="50">
        <v>41815.0</v>
      </c>
    </row>
    <row r="273">
      <c r="A273" s="75">
        <v>7269.0</v>
      </c>
      <c r="B273" s="70">
        <v>3713.0</v>
      </c>
      <c r="C273" s="74">
        <v>3567.0</v>
      </c>
      <c r="D273" s="66" t="s">
        <v>3055</v>
      </c>
      <c r="E273" s="66">
        <v>1.0</v>
      </c>
      <c r="F273" s="66">
        <v>25.0</v>
      </c>
      <c r="G273" s="66">
        <v>9.0</v>
      </c>
      <c r="H273" s="66">
        <v>3.0</v>
      </c>
      <c r="I273" s="50">
        <v>123116.0</v>
      </c>
    </row>
    <row r="274">
      <c r="A274" s="58">
        <v>7270.0</v>
      </c>
      <c r="B274" s="70">
        <v>6916.0</v>
      </c>
      <c r="C274" s="74">
        <v>3971.0</v>
      </c>
      <c r="D274" s="66" t="s">
        <v>3056</v>
      </c>
      <c r="E274" s="66">
        <v>2.0</v>
      </c>
      <c r="F274" s="66">
        <v>66.0</v>
      </c>
      <c r="G274" s="66">
        <v>8.0</v>
      </c>
      <c r="H274" s="66">
        <v>9.0</v>
      </c>
      <c r="I274" s="50">
        <v>31514.0</v>
      </c>
    </row>
    <row r="275">
      <c r="A275" s="75">
        <v>7271.0</v>
      </c>
      <c r="B275" s="70">
        <v>1419.0</v>
      </c>
      <c r="C275" s="74">
        <v>1970.0</v>
      </c>
      <c r="D275" s="66" t="s">
        <v>3057</v>
      </c>
      <c r="E275" s="66">
        <v>4.0</v>
      </c>
      <c r="F275" s="66">
        <v>46.0</v>
      </c>
      <c r="G275" s="66">
        <v>4.0</v>
      </c>
      <c r="H275" s="66">
        <v>1.0</v>
      </c>
      <c r="I275" s="50">
        <v>120913.0</v>
      </c>
    </row>
    <row r="276">
      <c r="A276" s="75">
        <v>7272.0</v>
      </c>
      <c r="B276" s="70">
        <v>6253.0</v>
      </c>
      <c r="C276" s="74">
        <v>4740.0</v>
      </c>
      <c r="D276" s="66" t="s">
        <v>3058</v>
      </c>
      <c r="E276" s="66">
        <v>3.0</v>
      </c>
      <c r="F276" s="66">
        <v>66.0</v>
      </c>
      <c r="G276" s="66">
        <v>9.0</v>
      </c>
      <c r="H276" s="66">
        <v>3.0</v>
      </c>
      <c r="I276" s="50">
        <v>81119.0</v>
      </c>
    </row>
    <row r="277">
      <c r="A277" s="75">
        <v>7273.0</v>
      </c>
      <c r="B277" s="70">
        <v>8744.0</v>
      </c>
      <c r="C277" s="74">
        <v>3478.0</v>
      </c>
      <c r="D277" s="66" t="s">
        <v>3059</v>
      </c>
      <c r="E277" s="66">
        <v>1.0</v>
      </c>
      <c r="F277" s="66">
        <v>66.0</v>
      </c>
      <c r="G277" s="66">
        <v>9.0</v>
      </c>
      <c r="H277" s="66">
        <v>5.0</v>
      </c>
      <c r="I277" s="50">
        <v>92519.0</v>
      </c>
    </row>
    <row r="278">
      <c r="A278" s="75">
        <v>7274.0</v>
      </c>
      <c r="B278" s="70">
        <v>8084.0</v>
      </c>
      <c r="C278" s="74">
        <v>6093.0</v>
      </c>
      <c r="D278" s="66" t="s">
        <v>3060</v>
      </c>
      <c r="E278" s="66">
        <v>2.0</v>
      </c>
      <c r="F278" s="66">
        <v>66.0</v>
      </c>
      <c r="G278" s="66">
        <v>9.0</v>
      </c>
      <c r="H278" s="66">
        <v>6.0</v>
      </c>
      <c r="I278" s="50">
        <v>22616.0</v>
      </c>
    </row>
    <row r="279">
      <c r="A279" s="58">
        <v>7275.0</v>
      </c>
      <c r="B279" s="70">
        <v>8572.0</v>
      </c>
      <c r="C279" s="74">
        <v>4664.0</v>
      </c>
      <c r="D279" s="66" t="s">
        <v>3061</v>
      </c>
      <c r="E279" s="66">
        <v>2.0</v>
      </c>
      <c r="F279" s="66">
        <v>46.0</v>
      </c>
      <c r="G279" s="66">
        <v>5.0</v>
      </c>
      <c r="H279" s="66">
        <v>3.0</v>
      </c>
      <c r="I279" s="50">
        <v>112721.0</v>
      </c>
    </row>
    <row r="280">
      <c r="A280" s="75">
        <v>7276.0</v>
      </c>
      <c r="B280" s="70">
        <v>3204.0</v>
      </c>
      <c r="C280" s="74">
        <v>2188.0</v>
      </c>
      <c r="D280" s="66" t="s">
        <v>3062</v>
      </c>
      <c r="E280" s="66">
        <v>2.0</v>
      </c>
      <c r="F280" s="66">
        <v>87.0</v>
      </c>
      <c r="G280" s="66">
        <v>5.0</v>
      </c>
      <c r="H280" s="66">
        <v>4.0</v>
      </c>
      <c r="I280" s="50">
        <v>92915.0</v>
      </c>
    </row>
    <row r="281">
      <c r="A281" s="75">
        <v>7277.0</v>
      </c>
      <c r="B281" s="70">
        <v>9391.0</v>
      </c>
      <c r="C281" s="74">
        <v>1017.0</v>
      </c>
      <c r="D281" s="66" t="s">
        <v>3063</v>
      </c>
      <c r="E281" s="66">
        <v>2.0</v>
      </c>
      <c r="F281" s="66">
        <v>87.0</v>
      </c>
      <c r="G281" s="66">
        <v>5.0</v>
      </c>
      <c r="H281" s="66">
        <v>5.0</v>
      </c>
      <c r="I281" s="50">
        <v>91013.0</v>
      </c>
    </row>
    <row r="282">
      <c r="A282" s="75">
        <v>7278.0</v>
      </c>
      <c r="B282" s="70">
        <v>8234.0</v>
      </c>
      <c r="C282" s="74">
        <v>2118.0</v>
      </c>
      <c r="D282" s="66" t="s">
        <v>3064</v>
      </c>
      <c r="E282" s="66">
        <v>1.0</v>
      </c>
      <c r="F282" s="66">
        <v>26.0</v>
      </c>
      <c r="G282" s="66">
        <v>1.0</v>
      </c>
      <c r="H282" s="66">
        <v>4.0</v>
      </c>
      <c r="I282" s="50">
        <v>31421.0</v>
      </c>
    </row>
    <row r="283">
      <c r="A283" s="75">
        <v>7279.0</v>
      </c>
      <c r="B283" s="70">
        <v>8035.0</v>
      </c>
      <c r="C283" s="74">
        <v>3341.0</v>
      </c>
      <c r="D283" s="66" t="s">
        <v>3065</v>
      </c>
      <c r="E283" s="66">
        <v>1.0</v>
      </c>
      <c r="F283" s="66">
        <v>67.0</v>
      </c>
      <c r="G283" s="66">
        <v>1.0</v>
      </c>
      <c r="H283" s="66">
        <v>1.0</v>
      </c>
      <c r="I283" s="50">
        <v>100821.0</v>
      </c>
    </row>
    <row r="284">
      <c r="A284" s="58">
        <v>7280.0</v>
      </c>
      <c r="B284" s="70">
        <v>4276.0</v>
      </c>
      <c r="C284" s="74">
        <v>3942.0</v>
      </c>
      <c r="D284" s="66" t="s">
        <v>3066</v>
      </c>
      <c r="E284" s="66">
        <v>1.0</v>
      </c>
      <c r="F284" s="66">
        <v>26.0</v>
      </c>
      <c r="G284" s="66">
        <v>1.0</v>
      </c>
      <c r="H284" s="66">
        <v>8.0</v>
      </c>
      <c r="I284" s="50">
        <v>81020.0</v>
      </c>
    </row>
    <row r="285">
      <c r="A285" s="75">
        <v>7281.0</v>
      </c>
      <c r="B285" s="70">
        <v>9089.0</v>
      </c>
      <c r="C285" s="74">
        <v>3291.0</v>
      </c>
      <c r="D285" s="66" t="s">
        <v>3067</v>
      </c>
      <c r="E285" s="66">
        <v>1.0</v>
      </c>
      <c r="F285" s="66">
        <v>87.0</v>
      </c>
      <c r="G285" s="66">
        <v>6.0</v>
      </c>
      <c r="H285" s="66">
        <v>2.0</v>
      </c>
      <c r="I285" s="50">
        <v>51917.0</v>
      </c>
    </row>
    <row r="286">
      <c r="A286" s="75">
        <v>7282.0</v>
      </c>
      <c r="B286" s="70">
        <v>177.0</v>
      </c>
      <c r="C286" s="74">
        <v>7548.0</v>
      </c>
      <c r="D286" s="66" t="s">
        <v>3068</v>
      </c>
      <c r="E286" s="66">
        <v>2.0</v>
      </c>
      <c r="F286" s="66">
        <v>26.0</v>
      </c>
      <c r="G286" s="66">
        <v>1.0</v>
      </c>
      <c r="H286" s="66">
        <v>9.0</v>
      </c>
      <c r="I286" s="50">
        <v>101117.0</v>
      </c>
    </row>
    <row r="287">
      <c r="A287" s="75">
        <v>7283.0</v>
      </c>
      <c r="B287" s="70">
        <v>5476.0</v>
      </c>
      <c r="C287" s="74">
        <v>8165.0</v>
      </c>
      <c r="D287" s="66" t="s">
        <v>3069</v>
      </c>
      <c r="E287" s="66">
        <v>4.0</v>
      </c>
      <c r="F287" s="66">
        <v>87.0</v>
      </c>
      <c r="G287" s="66">
        <v>6.0</v>
      </c>
      <c r="H287" s="66">
        <v>5.0</v>
      </c>
      <c r="I287" s="50">
        <v>112819.0</v>
      </c>
    </row>
    <row r="288">
      <c r="A288" s="75">
        <v>7284.0</v>
      </c>
      <c r="B288" s="70">
        <v>2534.0</v>
      </c>
      <c r="C288" s="74">
        <v>7821.0</v>
      </c>
      <c r="D288" s="66" t="s">
        <v>3070</v>
      </c>
      <c r="E288" s="66">
        <v>4.0</v>
      </c>
      <c r="F288" s="66">
        <v>26.0</v>
      </c>
      <c r="G288" s="66">
        <v>2.0</v>
      </c>
      <c r="H288" s="66">
        <v>2.0</v>
      </c>
      <c r="I288" s="50">
        <v>100915.0</v>
      </c>
    </row>
    <row r="289">
      <c r="A289" s="58">
        <v>7285.0</v>
      </c>
      <c r="B289" s="70">
        <v>1771.0</v>
      </c>
      <c r="C289" s="74">
        <v>1965.0</v>
      </c>
      <c r="D289" s="66" t="s">
        <v>3071</v>
      </c>
      <c r="E289" s="66">
        <v>3.0</v>
      </c>
      <c r="F289" s="66">
        <v>46.0</v>
      </c>
      <c r="G289" s="66">
        <v>7.0</v>
      </c>
      <c r="H289" s="66">
        <v>4.0</v>
      </c>
      <c r="I289" s="50">
        <v>91618.0</v>
      </c>
    </row>
    <row r="290">
      <c r="A290" s="75">
        <v>7286.0</v>
      </c>
      <c r="B290" s="70">
        <v>5906.0</v>
      </c>
      <c r="C290" s="74">
        <v>6518.0</v>
      </c>
      <c r="D290" s="66" t="s">
        <v>3072</v>
      </c>
      <c r="E290" s="66">
        <v>1.0</v>
      </c>
      <c r="F290" s="66">
        <v>46.0</v>
      </c>
      <c r="G290" s="66">
        <v>7.0</v>
      </c>
      <c r="H290" s="66">
        <v>5.0</v>
      </c>
      <c r="I290" s="50">
        <v>82515.0</v>
      </c>
    </row>
    <row r="291">
      <c r="A291" s="75">
        <v>7287.0</v>
      </c>
      <c r="B291" s="70">
        <v>4991.0</v>
      </c>
      <c r="C291" s="74">
        <v>817.0</v>
      </c>
      <c r="D291" s="66" t="s">
        <v>3073</v>
      </c>
      <c r="E291" s="66">
        <v>3.0</v>
      </c>
      <c r="F291" s="66">
        <v>67.0</v>
      </c>
      <c r="G291" s="66">
        <v>2.0</v>
      </c>
      <c r="H291" s="66">
        <v>5.0</v>
      </c>
      <c r="I291" s="50">
        <v>50321.0</v>
      </c>
    </row>
    <row r="292">
      <c r="A292" s="75">
        <v>7288.0</v>
      </c>
      <c r="B292" s="70">
        <v>9629.0</v>
      </c>
      <c r="C292" s="74">
        <v>1912.0</v>
      </c>
      <c r="D292" s="66" t="s">
        <v>3074</v>
      </c>
      <c r="E292" s="66">
        <v>1.0</v>
      </c>
      <c r="F292" s="66">
        <v>46.0</v>
      </c>
      <c r="G292" s="66">
        <v>7.0</v>
      </c>
      <c r="H292" s="66">
        <v>8.0</v>
      </c>
      <c r="I292" s="50">
        <v>120414.0</v>
      </c>
    </row>
    <row r="293">
      <c r="A293" s="75">
        <v>7289.0</v>
      </c>
      <c r="B293" s="70">
        <v>6386.0</v>
      </c>
      <c r="C293" s="74">
        <v>6562.0</v>
      </c>
      <c r="D293" s="66" t="s">
        <v>3075</v>
      </c>
      <c r="E293" s="66">
        <v>4.0</v>
      </c>
      <c r="F293" s="66">
        <v>46.0</v>
      </c>
      <c r="G293" s="66">
        <v>7.0</v>
      </c>
      <c r="H293" s="66">
        <v>7.0</v>
      </c>
      <c r="I293" s="50">
        <v>91815.0</v>
      </c>
    </row>
    <row r="294">
      <c r="A294" s="58">
        <v>7290.0</v>
      </c>
      <c r="B294" s="70">
        <v>6994.0</v>
      </c>
      <c r="C294" s="74">
        <v>511.0</v>
      </c>
      <c r="D294" s="66" t="s">
        <v>3076</v>
      </c>
      <c r="E294" s="66">
        <v>2.0</v>
      </c>
      <c r="F294" s="66">
        <v>87.0</v>
      </c>
      <c r="G294" s="66">
        <v>7.0</v>
      </c>
      <c r="H294" s="66">
        <v>7.0</v>
      </c>
      <c r="I294" s="50">
        <v>91314.0</v>
      </c>
    </row>
    <row r="295">
      <c r="A295" s="75">
        <v>7291.0</v>
      </c>
      <c r="B295" s="70">
        <v>1638.0</v>
      </c>
      <c r="C295" s="74">
        <v>2921.0</v>
      </c>
      <c r="D295" s="66" t="s">
        <v>3077</v>
      </c>
      <c r="E295" s="66">
        <v>3.0</v>
      </c>
      <c r="F295" s="66">
        <v>26.0</v>
      </c>
      <c r="G295" s="66">
        <v>3.0</v>
      </c>
      <c r="H295" s="66">
        <v>6.0</v>
      </c>
      <c r="I295" s="50">
        <v>91215.0</v>
      </c>
    </row>
    <row r="296">
      <c r="A296" s="75">
        <v>7292.0</v>
      </c>
      <c r="B296" s="70">
        <v>4744.0</v>
      </c>
      <c r="C296" s="74">
        <v>3701.0</v>
      </c>
      <c r="D296" s="66" t="s">
        <v>3078</v>
      </c>
      <c r="E296" s="66">
        <v>2.0</v>
      </c>
      <c r="F296" s="66">
        <v>26.0</v>
      </c>
      <c r="G296" s="66">
        <v>3.0</v>
      </c>
      <c r="H296" s="66">
        <v>8.0</v>
      </c>
      <c r="I296" s="50">
        <v>62218.0</v>
      </c>
    </row>
    <row r="297">
      <c r="A297" s="75">
        <v>7293.0</v>
      </c>
      <c r="B297" s="70">
        <v>2940.0</v>
      </c>
      <c r="C297" s="74">
        <v>1017.0</v>
      </c>
      <c r="D297" s="66" t="s">
        <v>3079</v>
      </c>
      <c r="E297" s="66">
        <v>1.0</v>
      </c>
      <c r="F297" s="66">
        <v>87.0</v>
      </c>
      <c r="G297" s="66">
        <v>8.0</v>
      </c>
      <c r="H297" s="66">
        <v>6.0</v>
      </c>
      <c r="I297" s="50">
        <v>52916.0</v>
      </c>
    </row>
    <row r="298">
      <c r="A298" s="75">
        <v>7294.0</v>
      </c>
      <c r="B298" s="70">
        <v>9038.0</v>
      </c>
      <c r="C298" s="74">
        <v>8126.0</v>
      </c>
      <c r="D298" s="66" t="s">
        <v>3080</v>
      </c>
      <c r="E298" s="66">
        <v>2.0</v>
      </c>
      <c r="F298" s="66">
        <v>87.0</v>
      </c>
      <c r="G298" s="66">
        <v>8.0</v>
      </c>
      <c r="H298" s="66">
        <v>8.0</v>
      </c>
      <c r="I298" s="50">
        <v>72616.0</v>
      </c>
    </row>
    <row r="299">
      <c r="A299" s="58">
        <v>7295.0</v>
      </c>
      <c r="B299" s="70">
        <v>5289.0</v>
      </c>
      <c r="C299" s="74">
        <v>9949.0</v>
      </c>
      <c r="D299" s="66" t="s">
        <v>3081</v>
      </c>
      <c r="E299" s="66">
        <v>4.0</v>
      </c>
      <c r="F299" s="66">
        <v>46.0</v>
      </c>
      <c r="G299" s="66">
        <v>9.0</v>
      </c>
      <c r="H299" s="66">
        <v>4.0</v>
      </c>
      <c r="I299" s="50">
        <v>10113.0</v>
      </c>
    </row>
    <row r="300">
      <c r="A300" s="75">
        <v>7296.0</v>
      </c>
      <c r="B300" s="70">
        <v>9785.0</v>
      </c>
      <c r="C300" s="74">
        <v>358.0</v>
      </c>
      <c r="D300" s="66" t="s">
        <v>3082</v>
      </c>
      <c r="E300" s="66">
        <v>4.0</v>
      </c>
      <c r="F300" s="66">
        <v>26.0</v>
      </c>
      <c r="G300" s="66">
        <v>5.0</v>
      </c>
      <c r="H300" s="66">
        <v>1.0</v>
      </c>
      <c r="I300" s="50">
        <v>120320.0</v>
      </c>
    </row>
    <row r="301">
      <c r="A301" s="75">
        <v>7297.0</v>
      </c>
      <c r="B301" s="70">
        <v>8491.0</v>
      </c>
      <c r="C301" s="74">
        <v>6974.0</v>
      </c>
      <c r="D301" s="66" t="s">
        <v>3083</v>
      </c>
      <c r="E301" s="66">
        <v>3.0</v>
      </c>
      <c r="F301" s="66">
        <v>67.0</v>
      </c>
      <c r="G301" s="66">
        <v>4.0</v>
      </c>
      <c r="H301" s="66">
        <v>8.0</v>
      </c>
      <c r="I301" s="50">
        <v>110521.0</v>
      </c>
    </row>
    <row r="302">
      <c r="A302" s="75">
        <v>7298.0</v>
      </c>
      <c r="B302" s="70">
        <v>580.0</v>
      </c>
      <c r="C302" s="74">
        <v>255.0</v>
      </c>
      <c r="D302" s="66" t="s">
        <v>3084</v>
      </c>
      <c r="E302" s="66">
        <v>4.0</v>
      </c>
      <c r="F302" s="66">
        <v>87.0</v>
      </c>
      <c r="G302" s="66">
        <v>9.0</v>
      </c>
      <c r="H302" s="66">
        <v>5.0</v>
      </c>
      <c r="I302" s="50">
        <v>21121.0</v>
      </c>
    </row>
    <row r="303">
      <c r="A303" s="75">
        <v>7299.0</v>
      </c>
      <c r="B303" s="70">
        <v>966.0</v>
      </c>
      <c r="C303" s="74">
        <v>5965.0</v>
      </c>
      <c r="D303" s="66" t="s">
        <v>3085</v>
      </c>
      <c r="E303" s="66">
        <v>4.0</v>
      </c>
      <c r="F303" s="66">
        <v>26.0</v>
      </c>
      <c r="G303" s="66">
        <v>5.0</v>
      </c>
      <c r="H303" s="66">
        <v>7.0</v>
      </c>
      <c r="I303" s="50">
        <v>100122.0</v>
      </c>
    </row>
    <row r="304">
      <c r="A304" s="58">
        <v>7300.0</v>
      </c>
      <c r="B304" s="70">
        <v>7979.0</v>
      </c>
      <c r="C304" s="74">
        <v>119.0</v>
      </c>
      <c r="D304" s="66" t="s">
        <v>3086</v>
      </c>
      <c r="E304" s="66">
        <v>2.0</v>
      </c>
      <c r="F304" s="66">
        <v>67.0</v>
      </c>
      <c r="G304" s="66">
        <v>5.0</v>
      </c>
      <c r="H304" s="66">
        <v>5.0</v>
      </c>
      <c r="I304" s="50">
        <v>53013.0</v>
      </c>
    </row>
    <row r="305">
      <c r="A305" s="75">
        <v>7301.0</v>
      </c>
      <c r="B305" s="70">
        <v>1391.0</v>
      </c>
      <c r="C305" s="74">
        <v>8233.0</v>
      </c>
      <c r="D305" s="66" t="s">
        <v>3087</v>
      </c>
      <c r="E305" s="66">
        <v>1.0</v>
      </c>
      <c r="F305" s="66">
        <v>67.0</v>
      </c>
      <c r="G305" s="66">
        <v>5.0</v>
      </c>
      <c r="H305" s="66">
        <v>8.0</v>
      </c>
      <c r="I305" s="50">
        <v>70922.0</v>
      </c>
    </row>
    <row r="306">
      <c r="A306" s="75">
        <v>7302.0</v>
      </c>
      <c r="B306" s="70">
        <v>3975.0</v>
      </c>
      <c r="C306" s="74">
        <v>6603.0</v>
      </c>
      <c r="D306" s="66" t="s">
        <v>3088</v>
      </c>
      <c r="E306" s="66">
        <v>4.0</v>
      </c>
      <c r="F306" s="66">
        <v>67.0</v>
      </c>
      <c r="G306" s="66">
        <v>6.0</v>
      </c>
      <c r="H306" s="66">
        <v>4.0</v>
      </c>
      <c r="I306" s="50">
        <v>51715.0</v>
      </c>
    </row>
    <row r="307">
      <c r="A307" s="75">
        <v>7303.0</v>
      </c>
      <c r="B307" s="70">
        <v>9189.0</v>
      </c>
      <c r="C307" s="74">
        <v>816.0</v>
      </c>
      <c r="D307" s="66" t="s">
        <v>3089</v>
      </c>
      <c r="E307" s="66">
        <v>2.0</v>
      </c>
      <c r="F307" s="66">
        <v>47.0</v>
      </c>
      <c r="G307" s="66">
        <v>1.0</v>
      </c>
      <c r="H307" s="66">
        <v>6.0</v>
      </c>
      <c r="I307" s="50">
        <v>70420.0</v>
      </c>
    </row>
    <row r="308">
      <c r="A308" s="75">
        <v>7304.0</v>
      </c>
      <c r="B308" s="70">
        <v>7559.0</v>
      </c>
      <c r="C308" s="74">
        <v>8668.0</v>
      </c>
      <c r="D308" s="66" t="s">
        <v>3090</v>
      </c>
      <c r="E308" s="66">
        <v>4.0</v>
      </c>
      <c r="F308" s="66">
        <v>67.0</v>
      </c>
      <c r="G308" s="66">
        <v>6.0</v>
      </c>
      <c r="H308" s="66">
        <v>5.0</v>
      </c>
      <c r="I308" s="50">
        <v>62714.0</v>
      </c>
    </row>
    <row r="309">
      <c r="A309" s="58">
        <v>7305.0</v>
      </c>
      <c r="B309" s="70">
        <v>2233.0</v>
      </c>
      <c r="C309" s="74">
        <v>2544.0</v>
      </c>
      <c r="D309" s="66" t="s">
        <v>3091</v>
      </c>
      <c r="E309" s="66">
        <v>2.0</v>
      </c>
      <c r="F309" s="66">
        <v>26.0</v>
      </c>
      <c r="G309" s="66">
        <v>6.0</v>
      </c>
      <c r="H309" s="66">
        <v>8.0</v>
      </c>
      <c r="I309" s="50">
        <v>92420.0</v>
      </c>
    </row>
    <row r="310">
      <c r="A310" s="75">
        <v>7306.0</v>
      </c>
      <c r="B310" s="70">
        <v>7891.0</v>
      </c>
      <c r="C310" s="74">
        <v>6201.0</v>
      </c>
      <c r="D310" s="66" t="s">
        <v>3092</v>
      </c>
      <c r="E310" s="66">
        <v>1.0</v>
      </c>
      <c r="F310" s="66">
        <v>88.0</v>
      </c>
      <c r="G310" s="66">
        <v>1.0</v>
      </c>
      <c r="H310" s="66">
        <v>7.0</v>
      </c>
      <c r="I310" s="50">
        <v>111522.0</v>
      </c>
    </row>
    <row r="311">
      <c r="A311" s="75">
        <v>7307.0</v>
      </c>
      <c r="B311" s="70">
        <v>3190.0</v>
      </c>
      <c r="C311" s="74">
        <v>3781.0</v>
      </c>
      <c r="D311" s="66" t="s">
        <v>3093</v>
      </c>
      <c r="E311" s="66">
        <v>1.0</v>
      </c>
      <c r="F311" s="66">
        <v>26.0</v>
      </c>
      <c r="G311" s="66">
        <v>7.0</v>
      </c>
      <c r="H311" s="66">
        <v>4.0</v>
      </c>
      <c r="I311" s="50">
        <v>20114.0</v>
      </c>
    </row>
    <row r="312">
      <c r="A312" s="75">
        <v>7308.0</v>
      </c>
      <c r="B312" s="70">
        <v>2160.0</v>
      </c>
      <c r="C312" s="74">
        <v>6550.0</v>
      </c>
      <c r="D312" s="66" t="s">
        <v>3094</v>
      </c>
      <c r="E312" s="66">
        <v>4.0</v>
      </c>
      <c r="F312" s="66">
        <v>47.0</v>
      </c>
      <c r="G312" s="66">
        <v>2.0</v>
      </c>
      <c r="H312" s="66">
        <v>3.0</v>
      </c>
      <c r="I312" s="50">
        <v>12621.0</v>
      </c>
    </row>
    <row r="313">
      <c r="A313" s="75">
        <v>7309.0</v>
      </c>
      <c r="B313" s="70">
        <v>8941.0</v>
      </c>
      <c r="C313" s="74">
        <v>6944.0</v>
      </c>
      <c r="D313" s="66" t="s">
        <v>3095</v>
      </c>
      <c r="E313" s="66">
        <v>1.0</v>
      </c>
      <c r="F313" s="66">
        <v>26.0</v>
      </c>
      <c r="G313" s="66">
        <v>7.0</v>
      </c>
      <c r="H313" s="66">
        <v>5.0</v>
      </c>
      <c r="I313" s="50">
        <v>61522.0</v>
      </c>
    </row>
    <row r="314">
      <c r="A314" s="58">
        <v>7310.0</v>
      </c>
      <c r="B314" s="70">
        <v>9340.0</v>
      </c>
      <c r="C314" s="74">
        <v>6499.0</v>
      </c>
      <c r="D314" s="66" t="s">
        <v>3096</v>
      </c>
      <c r="E314" s="66">
        <v>1.0</v>
      </c>
      <c r="F314" s="66">
        <v>26.0</v>
      </c>
      <c r="G314" s="66">
        <v>7.0</v>
      </c>
      <c r="H314" s="66">
        <v>3.0</v>
      </c>
      <c r="I314" s="50">
        <v>81915.0</v>
      </c>
    </row>
    <row r="315">
      <c r="A315" s="75">
        <v>7311.0</v>
      </c>
      <c r="B315" s="70">
        <v>7104.0</v>
      </c>
      <c r="C315" s="74">
        <v>6371.0</v>
      </c>
      <c r="D315" s="66" t="s">
        <v>3097</v>
      </c>
      <c r="E315" s="66">
        <v>3.0</v>
      </c>
      <c r="F315" s="66">
        <v>88.0</v>
      </c>
      <c r="G315" s="66">
        <v>2.0</v>
      </c>
      <c r="H315" s="66">
        <v>2.0</v>
      </c>
      <c r="I315" s="50">
        <v>120115.0</v>
      </c>
    </row>
    <row r="316">
      <c r="A316" s="75">
        <v>7312.0</v>
      </c>
      <c r="B316" s="70">
        <v>6057.0</v>
      </c>
      <c r="C316" s="74">
        <v>9177.0</v>
      </c>
      <c r="D316" s="66" t="s">
        <v>3098</v>
      </c>
      <c r="E316" s="66">
        <v>2.0</v>
      </c>
      <c r="F316" s="66">
        <v>67.0</v>
      </c>
      <c r="G316" s="66">
        <v>7.0</v>
      </c>
      <c r="H316" s="66">
        <v>4.0</v>
      </c>
      <c r="I316" s="50">
        <v>100315.0</v>
      </c>
    </row>
    <row r="317">
      <c r="A317" s="75">
        <v>7313.0</v>
      </c>
      <c r="B317" s="70">
        <v>3118.0</v>
      </c>
      <c r="C317" s="74">
        <v>9389.0</v>
      </c>
      <c r="D317" s="66" t="s">
        <v>3099</v>
      </c>
      <c r="E317" s="66">
        <v>3.0</v>
      </c>
      <c r="F317" s="66">
        <v>26.0</v>
      </c>
      <c r="G317" s="66">
        <v>8.0</v>
      </c>
      <c r="H317" s="66">
        <v>2.0</v>
      </c>
      <c r="I317" s="50">
        <v>121117.0</v>
      </c>
    </row>
    <row r="318">
      <c r="A318" s="75">
        <v>7314.0</v>
      </c>
      <c r="B318" s="70">
        <v>6194.0</v>
      </c>
      <c r="C318" s="74">
        <v>7471.0</v>
      </c>
      <c r="D318" s="66" t="s">
        <v>3100</v>
      </c>
      <c r="E318" s="66">
        <v>3.0</v>
      </c>
      <c r="F318" s="66">
        <v>47.0</v>
      </c>
      <c r="G318" s="66">
        <v>3.0</v>
      </c>
      <c r="H318" s="66">
        <v>4.0</v>
      </c>
      <c r="I318" s="50">
        <v>102120.0</v>
      </c>
    </row>
    <row r="319">
      <c r="A319" s="58">
        <v>7315.0</v>
      </c>
      <c r="B319" s="70">
        <v>2944.0</v>
      </c>
      <c r="C319" s="74">
        <v>7971.0</v>
      </c>
      <c r="D319" s="66" t="s">
        <v>3101</v>
      </c>
      <c r="E319" s="66">
        <v>2.0</v>
      </c>
      <c r="F319" s="66">
        <v>26.0</v>
      </c>
      <c r="G319" s="66">
        <v>8.0</v>
      </c>
      <c r="H319" s="66">
        <v>8.0</v>
      </c>
      <c r="I319" s="50">
        <v>92618.0</v>
      </c>
    </row>
    <row r="320">
      <c r="A320" s="75">
        <v>7316.0</v>
      </c>
      <c r="B320" s="70">
        <v>5970.0</v>
      </c>
      <c r="C320" s="74">
        <v>2635.0</v>
      </c>
      <c r="D320" s="66" t="s">
        <v>3102</v>
      </c>
      <c r="E320" s="66">
        <v>4.0</v>
      </c>
      <c r="F320" s="66">
        <v>88.0</v>
      </c>
      <c r="G320" s="66">
        <v>3.0</v>
      </c>
      <c r="H320" s="66">
        <v>4.0</v>
      </c>
      <c r="I320" s="50">
        <v>110513.0</v>
      </c>
    </row>
    <row r="321">
      <c r="A321" s="75">
        <v>7317.0</v>
      </c>
      <c r="B321" s="70">
        <v>6018.0</v>
      </c>
      <c r="C321" s="74">
        <v>2383.0</v>
      </c>
      <c r="D321" s="66" t="s">
        <v>3103</v>
      </c>
      <c r="E321" s="66">
        <v>2.0</v>
      </c>
      <c r="F321" s="66">
        <v>88.0</v>
      </c>
      <c r="G321" s="66">
        <v>3.0</v>
      </c>
      <c r="H321" s="66">
        <v>5.0</v>
      </c>
      <c r="I321" s="50">
        <v>121518.0</v>
      </c>
    </row>
    <row r="322">
      <c r="A322" s="75">
        <v>7318.0</v>
      </c>
      <c r="B322" s="70">
        <v>4333.0</v>
      </c>
      <c r="C322" s="74">
        <v>1189.0</v>
      </c>
      <c r="D322" s="66" t="s">
        <v>3104</v>
      </c>
      <c r="E322" s="66">
        <v>3.0</v>
      </c>
      <c r="F322" s="66">
        <v>88.0</v>
      </c>
      <c r="G322" s="66">
        <v>3.0</v>
      </c>
      <c r="H322" s="66">
        <v>6.0</v>
      </c>
      <c r="I322" s="50">
        <v>81814.0</v>
      </c>
    </row>
    <row r="323">
      <c r="A323" s="75">
        <v>7319.0</v>
      </c>
      <c r="B323" s="70">
        <v>6962.0</v>
      </c>
      <c r="C323" s="74">
        <v>5589.0</v>
      </c>
      <c r="D323" s="66" t="s">
        <v>3105</v>
      </c>
      <c r="E323" s="66">
        <v>2.0</v>
      </c>
      <c r="F323" s="66">
        <v>26.0</v>
      </c>
      <c r="G323" s="66">
        <v>9.0</v>
      </c>
      <c r="H323" s="66">
        <v>5.0</v>
      </c>
      <c r="I323" s="50">
        <v>102416.0</v>
      </c>
    </row>
    <row r="324">
      <c r="A324" s="58">
        <v>7320.0</v>
      </c>
      <c r="B324" s="70">
        <v>5318.0</v>
      </c>
      <c r="C324" s="74">
        <v>6033.0</v>
      </c>
      <c r="D324" s="66" t="s">
        <v>3106</v>
      </c>
      <c r="E324" s="66">
        <v>3.0</v>
      </c>
      <c r="F324" s="66">
        <v>67.0</v>
      </c>
      <c r="G324" s="66">
        <v>9.0</v>
      </c>
      <c r="H324" s="66">
        <v>2.0</v>
      </c>
      <c r="I324" s="50">
        <v>61416.0</v>
      </c>
    </row>
    <row r="325">
      <c r="A325" s="75">
        <v>7321.0</v>
      </c>
      <c r="B325" s="70">
        <v>4923.0</v>
      </c>
      <c r="C325" s="74">
        <v>124.0</v>
      </c>
      <c r="D325" s="66" t="s">
        <v>3107</v>
      </c>
      <c r="E325" s="66">
        <v>1.0</v>
      </c>
      <c r="F325" s="66">
        <v>88.0</v>
      </c>
      <c r="G325" s="66">
        <v>4.0</v>
      </c>
      <c r="H325" s="66">
        <v>2.0</v>
      </c>
      <c r="I325" s="50">
        <v>60720.0</v>
      </c>
    </row>
    <row r="326">
      <c r="A326" s="75">
        <v>7322.0</v>
      </c>
      <c r="B326" s="70">
        <v>9313.0</v>
      </c>
      <c r="C326" s="74">
        <v>3971.0</v>
      </c>
      <c r="D326" s="66" t="s">
        <v>3108</v>
      </c>
      <c r="E326" s="66">
        <v>1.0</v>
      </c>
      <c r="F326" s="66">
        <v>88.0</v>
      </c>
      <c r="G326" s="66">
        <v>4.0</v>
      </c>
      <c r="H326" s="66">
        <v>3.0</v>
      </c>
      <c r="I326" s="50">
        <v>91921.0</v>
      </c>
    </row>
    <row r="327">
      <c r="A327" s="75">
        <v>7323.0</v>
      </c>
      <c r="B327" s="70">
        <v>5049.0</v>
      </c>
      <c r="C327" s="74">
        <v>5435.0</v>
      </c>
      <c r="D327" s="66" t="s">
        <v>3109</v>
      </c>
      <c r="E327" s="66">
        <v>1.0</v>
      </c>
      <c r="F327" s="66">
        <v>67.0</v>
      </c>
      <c r="G327" s="66">
        <v>9.0</v>
      </c>
      <c r="H327" s="66">
        <v>7.0</v>
      </c>
      <c r="I327" s="50">
        <v>30114.0</v>
      </c>
    </row>
    <row r="328">
      <c r="A328" s="75">
        <v>7324.0</v>
      </c>
      <c r="B328" s="70">
        <v>4739.0</v>
      </c>
      <c r="C328" s="74">
        <v>7705.0</v>
      </c>
      <c r="D328" s="66" t="s">
        <v>3110</v>
      </c>
      <c r="E328" s="66">
        <v>4.0</v>
      </c>
      <c r="F328" s="66">
        <v>67.0</v>
      </c>
      <c r="G328" s="66">
        <v>9.0</v>
      </c>
      <c r="H328" s="66">
        <v>9.0</v>
      </c>
      <c r="I328" s="50">
        <v>51413.0</v>
      </c>
    </row>
    <row r="329">
      <c r="A329" s="58">
        <v>7325.0</v>
      </c>
      <c r="B329" s="70">
        <v>8992.0</v>
      </c>
      <c r="C329" s="74">
        <v>1724.0</v>
      </c>
      <c r="D329" s="66" t="s">
        <v>3111</v>
      </c>
      <c r="E329" s="66">
        <v>3.0</v>
      </c>
      <c r="F329" s="66">
        <v>88.0</v>
      </c>
      <c r="G329" s="66">
        <v>4.0</v>
      </c>
      <c r="H329" s="66">
        <v>9.0</v>
      </c>
      <c r="I329" s="50">
        <v>82521.0</v>
      </c>
    </row>
    <row r="330">
      <c r="A330" s="75">
        <v>7326.0</v>
      </c>
      <c r="B330" s="70">
        <v>2847.0</v>
      </c>
      <c r="C330" s="74">
        <v>9093.0</v>
      </c>
      <c r="D330" s="66" t="s">
        <v>3112</v>
      </c>
      <c r="E330" s="66">
        <v>2.0</v>
      </c>
      <c r="F330" s="66">
        <v>68.0</v>
      </c>
      <c r="G330" s="66">
        <v>1.0</v>
      </c>
      <c r="H330" s="66">
        <v>1.0</v>
      </c>
      <c r="I330" s="50">
        <v>70119.0</v>
      </c>
    </row>
    <row r="331">
      <c r="A331" s="75">
        <v>7327.0</v>
      </c>
      <c r="B331" s="70">
        <v>9923.0</v>
      </c>
      <c r="C331" s="74">
        <v>6243.0</v>
      </c>
      <c r="D331" s="66" t="s">
        <v>3113</v>
      </c>
      <c r="E331" s="66">
        <v>4.0</v>
      </c>
      <c r="F331" s="66">
        <v>27.0</v>
      </c>
      <c r="G331" s="66">
        <v>1.0</v>
      </c>
      <c r="H331" s="66">
        <v>6.0</v>
      </c>
      <c r="I331" s="50">
        <v>70617.0</v>
      </c>
    </row>
    <row r="332">
      <c r="A332" s="75">
        <v>7328.0</v>
      </c>
      <c r="B332" s="70">
        <v>978.0</v>
      </c>
      <c r="C332" s="74">
        <v>3522.0</v>
      </c>
      <c r="D332" s="66" t="s">
        <v>3114</v>
      </c>
      <c r="E332" s="66">
        <v>2.0</v>
      </c>
      <c r="F332" s="66">
        <v>88.0</v>
      </c>
      <c r="G332" s="66">
        <v>6.0</v>
      </c>
      <c r="H332" s="66">
        <v>2.0</v>
      </c>
      <c r="I332" s="50">
        <v>102917.0</v>
      </c>
    </row>
    <row r="333">
      <c r="A333" s="75">
        <v>7329.0</v>
      </c>
      <c r="B333" s="70">
        <v>8905.0</v>
      </c>
      <c r="C333" s="74">
        <v>2402.0</v>
      </c>
      <c r="D333" s="66" t="s">
        <v>3115</v>
      </c>
      <c r="E333" s="66">
        <v>4.0</v>
      </c>
      <c r="F333" s="66">
        <v>68.0</v>
      </c>
      <c r="G333" s="66">
        <v>1.0</v>
      </c>
      <c r="H333" s="66">
        <v>4.0</v>
      </c>
      <c r="I333" s="50">
        <v>82318.0</v>
      </c>
    </row>
    <row r="334">
      <c r="A334" s="58">
        <v>7330.0</v>
      </c>
      <c r="B334" s="70">
        <v>194.0</v>
      </c>
      <c r="C334" s="74">
        <v>1619.0</v>
      </c>
      <c r="D334" s="66" t="s">
        <v>3116</v>
      </c>
      <c r="E334" s="66">
        <v>2.0</v>
      </c>
      <c r="F334" s="66">
        <v>68.0</v>
      </c>
      <c r="G334" s="66">
        <v>1.0</v>
      </c>
      <c r="H334" s="66">
        <v>6.0</v>
      </c>
      <c r="I334" s="50">
        <v>120718.0</v>
      </c>
    </row>
    <row r="335">
      <c r="A335" s="75">
        <v>7331.0</v>
      </c>
      <c r="B335" s="70">
        <v>5014.0</v>
      </c>
      <c r="C335" s="74">
        <v>6772.0</v>
      </c>
      <c r="D335" s="66" t="s">
        <v>3117</v>
      </c>
      <c r="E335" s="66">
        <v>4.0</v>
      </c>
      <c r="F335" s="66">
        <v>27.0</v>
      </c>
      <c r="G335" s="66">
        <v>2.0</v>
      </c>
      <c r="H335" s="66">
        <v>2.0</v>
      </c>
      <c r="I335" s="50">
        <v>81918.0</v>
      </c>
    </row>
    <row r="336">
      <c r="A336" s="75">
        <v>7332.0</v>
      </c>
      <c r="B336" s="70">
        <v>9021.0</v>
      </c>
      <c r="C336" s="74">
        <v>6765.0</v>
      </c>
      <c r="D336" s="66" t="s">
        <v>3118</v>
      </c>
      <c r="E336" s="66">
        <v>4.0</v>
      </c>
      <c r="F336" s="66">
        <v>47.0</v>
      </c>
      <c r="G336" s="66">
        <v>7.0</v>
      </c>
      <c r="H336" s="66">
        <v>1.0</v>
      </c>
      <c r="I336" s="50">
        <v>42615.0</v>
      </c>
    </row>
    <row r="337">
      <c r="A337" s="75">
        <v>7333.0</v>
      </c>
      <c r="B337" s="70">
        <v>2452.0</v>
      </c>
      <c r="C337" s="74">
        <v>336.0</v>
      </c>
      <c r="D337" s="66" t="s">
        <v>3119</v>
      </c>
      <c r="E337" s="66">
        <v>2.0</v>
      </c>
      <c r="F337" s="66">
        <v>88.0</v>
      </c>
      <c r="G337" s="66">
        <v>6.0</v>
      </c>
      <c r="H337" s="66">
        <v>8.0</v>
      </c>
      <c r="I337" s="50">
        <v>30918.0</v>
      </c>
    </row>
    <row r="338">
      <c r="A338" s="75">
        <v>7334.0</v>
      </c>
      <c r="B338" s="70">
        <v>7969.0</v>
      </c>
      <c r="C338" s="74">
        <v>5609.0</v>
      </c>
      <c r="D338" s="66" t="s">
        <v>3120</v>
      </c>
      <c r="E338" s="66">
        <v>3.0</v>
      </c>
      <c r="F338" s="66">
        <v>68.0</v>
      </c>
      <c r="G338" s="66">
        <v>2.0</v>
      </c>
      <c r="H338" s="66">
        <v>2.0</v>
      </c>
      <c r="I338" s="50">
        <v>11620.0</v>
      </c>
    </row>
    <row r="339">
      <c r="A339" s="58">
        <v>7335.0</v>
      </c>
      <c r="B339" s="70">
        <v>7896.0</v>
      </c>
      <c r="C339" s="74">
        <v>3.0</v>
      </c>
      <c r="D339" s="66" t="s">
        <v>3121</v>
      </c>
      <c r="E339" s="66">
        <v>1.0</v>
      </c>
      <c r="F339" s="66">
        <v>47.0</v>
      </c>
      <c r="G339" s="66">
        <v>7.0</v>
      </c>
      <c r="H339" s="66">
        <v>5.0</v>
      </c>
      <c r="I339" s="50">
        <v>101819.0</v>
      </c>
    </row>
    <row r="340">
      <c r="A340" s="75">
        <v>7336.0</v>
      </c>
      <c r="B340" s="70">
        <v>6207.0</v>
      </c>
      <c r="C340" s="74">
        <v>5680.0</v>
      </c>
      <c r="D340" s="66" t="s">
        <v>3122</v>
      </c>
      <c r="E340" s="66">
        <v>3.0</v>
      </c>
      <c r="F340" s="66">
        <v>68.0</v>
      </c>
      <c r="G340" s="66">
        <v>2.0</v>
      </c>
      <c r="H340" s="66">
        <v>4.0</v>
      </c>
      <c r="I340" s="50">
        <v>22519.0</v>
      </c>
    </row>
    <row r="341">
      <c r="A341" s="75">
        <v>7337.0</v>
      </c>
      <c r="B341" s="70">
        <v>3728.0</v>
      </c>
      <c r="C341" s="74">
        <v>9348.0</v>
      </c>
      <c r="D341" s="66" t="s">
        <v>3123</v>
      </c>
      <c r="E341" s="66">
        <v>4.0</v>
      </c>
      <c r="F341" s="66">
        <v>88.0</v>
      </c>
      <c r="G341" s="66">
        <v>7.0</v>
      </c>
      <c r="H341" s="66">
        <v>2.0</v>
      </c>
      <c r="I341" s="50">
        <v>72118.0</v>
      </c>
    </row>
    <row r="342">
      <c r="A342" s="75">
        <v>7338.0</v>
      </c>
      <c r="B342" s="70">
        <v>4393.0</v>
      </c>
      <c r="C342" s="74">
        <v>9431.0</v>
      </c>
      <c r="D342" s="66" t="s">
        <v>3124</v>
      </c>
      <c r="E342" s="66">
        <v>1.0</v>
      </c>
      <c r="F342" s="66">
        <v>47.0</v>
      </c>
      <c r="G342" s="66">
        <v>7.0</v>
      </c>
      <c r="H342" s="66">
        <v>8.0</v>
      </c>
      <c r="I342" s="50">
        <v>102514.0</v>
      </c>
    </row>
    <row r="343">
      <c r="A343" s="75">
        <v>7339.0</v>
      </c>
      <c r="B343" s="70">
        <v>9406.0</v>
      </c>
      <c r="C343" s="74">
        <v>4734.0</v>
      </c>
      <c r="D343" s="66" t="s">
        <v>3125</v>
      </c>
      <c r="E343" s="66">
        <v>1.0</v>
      </c>
      <c r="F343" s="66">
        <v>47.0</v>
      </c>
      <c r="G343" s="66">
        <v>7.0</v>
      </c>
      <c r="H343" s="66">
        <v>7.0</v>
      </c>
      <c r="I343" s="50">
        <v>60117.0</v>
      </c>
    </row>
    <row r="344">
      <c r="A344" s="58">
        <v>7340.0</v>
      </c>
      <c r="B344" s="70">
        <v>8454.0</v>
      </c>
      <c r="C344" s="74">
        <v>6632.0</v>
      </c>
      <c r="D344" s="66" t="s">
        <v>3126</v>
      </c>
      <c r="E344" s="66">
        <v>2.0</v>
      </c>
      <c r="F344" s="66">
        <v>88.0</v>
      </c>
      <c r="G344" s="66">
        <v>7.0</v>
      </c>
      <c r="H344" s="66">
        <v>7.0</v>
      </c>
      <c r="I344" s="50">
        <v>110118.0</v>
      </c>
    </row>
    <row r="345">
      <c r="A345" s="75">
        <v>7341.0</v>
      </c>
      <c r="B345" s="70">
        <v>8732.0</v>
      </c>
      <c r="C345" s="74">
        <v>8209.0</v>
      </c>
      <c r="D345" s="66" t="s">
        <v>3127</v>
      </c>
      <c r="E345" s="66">
        <v>3.0</v>
      </c>
      <c r="F345" s="66">
        <v>47.0</v>
      </c>
      <c r="G345" s="66">
        <v>8.0</v>
      </c>
      <c r="H345" s="66">
        <v>6.0</v>
      </c>
      <c r="I345" s="50">
        <v>70517.0</v>
      </c>
    </row>
    <row r="346">
      <c r="A346" s="75">
        <v>7342.0</v>
      </c>
      <c r="B346" s="70">
        <v>380.0</v>
      </c>
      <c r="C346" s="74">
        <v>9499.0</v>
      </c>
      <c r="D346" s="66" t="s">
        <v>3128</v>
      </c>
      <c r="E346" s="66">
        <v>3.0</v>
      </c>
      <c r="F346" s="66">
        <v>88.0</v>
      </c>
      <c r="G346" s="66">
        <v>8.0</v>
      </c>
      <c r="H346" s="66">
        <v>2.0</v>
      </c>
      <c r="I346" s="50">
        <v>81016.0</v>
      </c>
    </row>
    <row r="347">
      <c r="A347" s="75">
        <v>7343.0</v>
      </c>
      <c r="B347" s="70">
        <v>761.0</v>
      </c>
      <c r="C347" s="74">
        <v>2273.0</v>
      </c>
      <c r="D347" s="66" t="s">
        <v>3129</v>
      </c>
      <c r="E347" s="66">
        <v>3.0</v>
      </c>
      <c r="F347" s="66">
        <v>47.0</v>
      </c>
      <c r="G347" s="66">
        <v>8.0</v>
      </c>
      <c r="H347" s="66">
        <v>7.0</v>
      </c>
      <c r="I347" s="50">
        <v>31413.0</v>
      </c>
    </row>
    <row r="348">
      <c r="A348" s="75">
        <v>7344.0</v>
      </c>
      <c r="B348" s="70">
        <v>7450.0</v>
      </c>
      <c r="C348" s="74">
        <v>2279.0</v>
      </c>
      <c r="D348" s="66" t="s">
        <v>3130</v>
      </c>
      <c r="E348" s="66">
        <v>1.0</v>
      </c>
      <c r="F348" s="66">
        <v>27.0</v>
      </c>
      <c r="G348" s="66">
        <v>4.0</v>
      </c>
      <c r="H348" s="66">
        <v>1.0</v>
      </c>
      <c r="I348" s="50">
        <v>21318.0</v>
      </c>
    </row>
    <row r="349">
      <c r="A349" s="58">
        <v>7345.0</v>
      </c>
      <c r="B349" s="70">
        <v>3740.0</v>
      </c>
      <c r="C349" s="74">
        <v>2297.0</v>
      </c>
      <c r="D349" s="66" t="s">
        <v>3131</v>
      </c>
      <c r="E349" s="66">
        <v>3.0</v>
      </c>
      <c r="F349" s="66">
        <v>88.0</v>
      </c>
      <c r="G349" s="66">
        <v>8.0</v>
      </c>
      <c r="H349" s="66">
        <v>6.0</v>
      </c>
      <c r="I349" s="50">
        <v>113022.0</v>
      </c>
    </row>
    <row r="350">
      <c r="A350" s="75">
        <v>7346.0</v>
      </c>
      <c r="B350" s="70">
        <v>6491.0</v>
      </c>
      <c r="C350" s="74">
        <v>622.0</v>
      </c>
      <c r="D350" s="66" t="s">
        <v>3132</v>
      </c>
      <c r="E350" s="66">
        <v>3.0</v>
      </c>
      <c r="F350" s="66">
        <v>88.0</v>
      </c>
      <c r="G350" s="66">
        <v>8.0</v>
      </c>
      <c r="H350" s="66">
        <v>5.0</v>
      </c>
      <c r="I350" s="50">
        <v>100416.0</v>
      </c>
    </row>
    <row r="351">
      <c r="A351" s="75">
        <v>7347.0</v>
      </c>
      <c r="B351" s="70">
        <v>1119.0</v>
      </c>
      <c r="C351" s="74">
        <v>2289.0</v>
      </c>
      <c r="D351" s="66" t="s">
        <v>3133</v>
      </c>
      <c r="E351" s="66">
        <v>1.0</v>
      </c>
      <c r="F351" s="66">
        <v>68.0</v>
      </c>
      <c r="G351" s="66">
        <v>3.0</v>
      </c>
      <c r="H351" s="66">
        <v>5.0</v>
      </c>
      <c r="I351" s="50">
        <v>20913.0</v>
      </c>
    </row>
    <row r="352">
      <c r="A352" s="75">
        <v>7348.0</v>
      </c>
      <c r="B352" s="70">
        <v>3552.0</v>
      </c>
      <c r="C352" s="74">
        <v>4205.0</v>
      </c>
      <c r="D352" s="66" t="s">
        <v>3134</v>
      </c>
      <c r="E352" s="66">
        <v>3.0</v>
      </c>
      <c r="F352" s="66">
        <v>47.0</v>
      </c>
      <c r="G352" s="66">
        <v>9.0</v>
      </c>
      <c r="H352" s="66">
        <v>3.0</v>
      </c>
      <c r="I352" s="50">
        <v>52221.0</v>
      </c>
    </row>
    <row r="353">
      <c r="A353" s="75">
        <v>7349.0</v>
      </c>
      <c r="B353" s="70">
        <v>6631.0</v>
      </c>
      <c r="C353" s="74">
        <v>4283.0</v>
      </c>
      <c r="D353" s="66" t="s">
        <v>3135</v>
      </c>
      <c r="E353" s="66">
        <v>3.0</v>
      </c>
      <c r="F353" s="66">
        <v>27.0</v>
      </c>
      <c r="G353" s="66">
        <v>4.0</v>
      </c>
      <c r="H353" s="66">
        <v>6.0</v>
      </c>
      <c r="I353" s="50">
        <v>11318.0</v>
      </c>
    </row>
    <row r="354">
      <c r="A354" s="58">
        <v>7350.0</v>
      </c>
      <c r="B354" s="70">
        <v>6294.0</v>
      </c>
      <c r="C354" s="74">
        <v>8373.0</v>
      </c>
      <c r="D354" s="66" t="s">
        <v>3136</v>
      </c>
      <c r="E354" s="66">
        <v>2.0</v>
      </c>
      <c r="F354" s="66">
        <v>27.0</v>
      </c>
      <c r="G354" s="66">
        <v>4.0</v>
      </c>
      <c r="H354" s="66">
        <v>9.0</v>
      </c>
      <c r="I354" s="50">
        <v>121321.0</v>
      </c>
    </row>
    <row r="355">
      <c r="A355" s="75">
        <v>7351.0</v>
      </c>
      <c r="B355" s="70">
        <v>9631.0</v>
      </c>
      <c r="C355" s="74">
        <v>4410.0</v>
      </c>
      <c r="D355" s="66" t="s">
        <v>3137</v>
      </c>
      <c r="E355" s="66">
        <v>3.0</v>
      </c>
      <c r="F355" s="66">
        <v>88.0</v>
      </c>
      <c r="G355" s="66">
        <v>9.0</v>
      </c>
      <c r="H355" s="66">
        <v>9.0</v>
      </c>
      <c r="I355" s="50">
        <v>80417.0</v>
      </c>
    </row>
    <row r="356">
      <c r="A356" s="75">
        <v>7352.0</v>
      </c>
      <c r="B356" s="70">
        <v>7795.0</v>
      </c>
      <c r="C356" s="74">
        <v>7956.0</v>
      </c>
      <c r="D356" s="66" t="s">
        <v>3138</v>
      </c>
      <c r="E356" s="66">
        <v>3.0</v>
      </c>
      <c r="F356" s="66">
        <v>48.0</v>
      </c>
      <c r="G356" s="66">
        <v>1.0</v>
      </c>
      <c r="H356" s="66">
        <v>2.0</v>
      </c>
      <c r="I356" s="50">
        <v>80721.0</v>
      </c>
    </row>
    <row r="357">
      <c r="A357" s="75">
        <v>7353.0</v>
      </c>
      <c r="B357" s="70">
        <v>500.0</v>
      </c>
      <c r="C357" s="74">
        <v>6427.0</v>
      </c>
      <c r="D357" s="66" t="s">
        <v>3139</v>
      </c>
      <c r="E357" s="66">
        <v>2.0</v>
      </c>
      <c r="F357" s="66">
        <v>68.0</v>
      </c>
      <c r="G357" s="66">
        <v>6.0</v>
      </c>
      <c r="H357" s="66">
        <v>1.0</v>
      </c>
      <c r="I357" s="50">
        <v>111214.0</v>
      </c>
    </row>
    <row r="358">
      <c r="A358" s="75">
        <v>7354.0</v>
      </c>
      <c r="B358" s="70">
        <v>5377.0</v>
      </c>
      <c r="C358" s="74">
        <v>4208.0</v>
      </c>
      <c r="D358" s="66" t="s">
        <v>3140</v>
      </c>
      <c r="E358" s="66">
        <v>1.0</v>
      </c>
      <c r="F358" s="66">
        <v>48.0</v>
      </c>
      <c r="G358" s="66">
        <v>1.0</v>
      </c>
      <c r="H358" s="66">
        <v>4.0</v>
      </c>
      <c r="I358" s="50">
        <v>61513.0</v>
      </c>
    </row>
    <row r="359">
      <c r="A359" s="58">
        <v>7355.0</v>
      </c>
      <c r="B359" s="70">
        <v>8082.0</v>
      </c>
      <c r="C359" s="74">
        <v>7223.0</v>
      </c>
      <c r="D359" s="66" t="s">
        <v>3141</v>
      </c>
      <c r="E359" s="66">
        <v>3.0</v>
      </c>
      <c r="F359" s="66">
        <v>89.0</v>
      </c>
      <c r="G359" s="66">
        <v>1.0</v>
      </c>
      <c r="H359" s="66">
        <v>1.0</v>
      </c>
      <c r="I359" s="50">
        <v>51013.0</v>
      </c>
    </row>
    <row r="360">
      <c r="A360" s="75">
        <v>7356.0</v>
      </c>
      <c r="B360" s="70">
        <v>1837.0</v>
      </c>
      <c r="C360" s="74">
        <v>1906.0</v>
      </c>
      <c r="D360" s="66" t="s">
        <v>3142</v>
      </c>
      <c r="E360" s="66">
        <v>2.0</v>
      </c>
      <c r="F360" s="66">
        <v>89.0</v>
      </c>
      <c r="G360" s="66">
        <v>1.0</v>
      </c>
      <c r="H360" s="66">
        <v>2.0</v>
      </c>
      <c r="I360" s="50">
        <v>42914.0</v>
      </c>
    </row>
    <row r="361">
      <c r="A361" s="75">
        <v>7357.0</v>
      </c>
      <c r="B361" s="70">
        <v>723.0</v>
      </c>
      <c r="C361" s="74">
        <v>7954.0</v>
      </c>
      <c r="D361" s="66" t="s">
        <v>3143</v>
      </c>
      <c r="E361" s="66">
        <v>2.0</v>
      </c>
      <c r="F361" s="66">
        <v>68.0</v>
      </c>
      <c r="G361" s="66">
        <v>6.0</v>
      </c>
      <c r="H361" s="66">
        <v>5.0</v>
      </c>
      <c r="I361" s="50">
        <v>110217.0</v>
      </c>
    </row>
    <row r="362">
      <c r="A362" s="75">
        <v>7358.0</v>
      </c>
      <c r="B362" s="70">
        <v>5035.0</v>
      </c>
      <c r="C362" s="74">
        <v>9138.0</v>
      </c>
      <c r="D362" s="66" t="s">
        <v>3144</v>
      </c>
      <c r="E362" s="66">
        <v>1.0</v>
      </c>
      <c r="F362" s="66">
        <v>89.0</v>
      </c>
      <c r="G362" s="66">
        <v>1.0</v>
      </c>
      <c r="H362" s="66">
        <v>5.0</v>
      </c>
      <c r="I362" s="50">
        <v>121821.0</v>
      </c>
    </row>
    <row r="363">
      <c r="A363" s="75">
        <v>7359.0</v>
      </c>
      <c r="B363" s="70">
        <v>8341.0</v>
      </c>
      <c r="C363" s="74">
        <v>820.0</v>
      </c>
      <c r="D363" s="66" t="s">
        <v>3145</v>
      </c>
      <c r="E363" s="66">
        <v>2.0</v>
      </c>
      <c r="F363" s="66">
        <v>89.0</v>
      </c>
      <c r="G363" s="66">
        <v>1.0</v>
      </c>
      <c r="H363" s="66">
        <v>8.0</v>
      </c>
      <c r="I363" s="50">
        <v>32713.0</v>
      </c>
    </row>
    <row r="364">
      <c r="A364" s="58">
        <v>7360.0</v>
      </c>
      <c r="B364" s="70">
        <v>5488.0</v>
      </c>
      <c r="C364" s="74">
        <v>7621.0</v>
      </c>
      <c r="D364" s="66" t="s">
        <v>3146</v>
      </c>
      <c r="E364" s="66">
        <v>3.0</v>
      </c>
      <c r="F364" s="66">
        <v>48.0</v>
      </c>
      <c r="G364" s="66">
        <v>2.0</v>
      </c>
      <c r="H364" s="66">
        <v>2.0</v>
      </c>
      <c r="I364" s="50">
        <v>10417.0</v>
      </c>
    </row>
    <row r="365">
      <c r="A365" s="75">
        <v>7361.0</v>
      </c>
      <c r="B365" s="70">
        <v>2133.0</v>
      </c>
      <c r="C365" s="74">
        <v>9362.0</v>
      </c>
      <c r="D365" s="66" t="s">
        <v>3147</v>
      </c>
      <c r="E365" s="66">
        <v>3.0</v>
      </c>
      <c r="F365" s="66">
        <v>27.0</v>
      </c>
      <c r="G365" s="66">
        <v>7.0</v>
      </c>
      <c r="H365" s="66">
        <v>6.0</v>
      </c>
      <c r="I365" s="50">
        <v>12213.0</v>
      </c>
    </row>
    <row r="366">
      <c r="A366" s="75">
        <v>7362.0</v>
      </c>
      <c r="B366" s="70">
        <v>7442.0</v>
      </c>
      <c r="C366" s="74">
        <v>5843.0</v>
      </c>
      <c r="D366" s="66" t="s">
        <v>3148</v>
      </c>
      <c r="E366" s="66">
        <v>2.0</v>
      </c>
      <c r="F366" s="66">
        <v>68.0</v>
      </c>
      <c r="G366" s="66">
        <v>7.0</v>
      </c>
      <c r="H366" s="66">
        <v>5.0</v>
      </c>
      <c r="I366" s="50">
        <v>22115.0</v>
      </c>
    </row>
    <row r="367">
      <c r="A367" s="75">
        <v>7363.0</v>
      </c>
      <c r="B367" s="70">
        <v>883.0</v>
      </c>
      <c r="C367" s="74">
        <v>7551.0</v>
      </c>
      <c r="D367" s="66" t="s">
        <v>3149</v>
      </c>
      <c r="E367" s="66">
        <v>2.0</v>
      </c>
      <c r="F367" s="66">
        <v>89.0</v>
      </c>
      <c r="G367" s="66">
        <v>2.0</v>
      </c>
      <c r="H367" s="66">
        <v>7.0</v>
      </c>
      <c r="I367" s="50">
        <v>40615.0</v>
      </c>
    </row>
    <row r="368">
      <c r="A368" s="75">
        <v>7364.0</v>
      </c>
      <c r="B368" s="70">
        <v>1323.0</v>
      </c>
      <c r="C368" s="74">
        <v>1865.0</v>
      </c>
      <c r="D368" s="66" t="s">
        <v>3150</v>
      </c>
      <c r="E368" s="66">
        <v>1.0</v>
      </c>
      <c r="F368" s="66">
        <v>48.0</v>
      </c>
      <c r="G368" s="66">
        <v>3.0</v>
      </c>
      <c r="H368" s="66">
        <v>2.0</v>
      </c>
      <c r="I368" s="50">
        <v>21920.0</v>
      </c>
    </row>
    <row r="369">
      <c r="A369" s="58">
        <v>7365.0</v>
      </c>
      <c r="B369" s="70">
        <v>9697.0</v>
      </c>
      <c r="C369" s="74">
        <v>4660.0</v>
      </c>
      <c r="D369" s="66" t="s">
        <v>3151</v>
      </c>
      <c r="E369" s="66">
        <v>2.0</v>
      </c>
      <c r="F369" s="66">
        <v>89.0</v>
      </c>
      <c r="G369" s="66">
        <v>2.0</v>
      </c>
      <c r="H369" s="66">
        <v>9.0</v>
      </c>
      <c r="I369" s="50">
        <v>61819.0</v>
      </c>
    </row>
    <row r="370">
      <c r="A370" s="75">
        <v>7366.0</v>
      </c>
      <c r="B370" s="70">
        <v>3517.0</v>
      </c>
      <c r="C370" s="74">
        <v>4125.0</v>
      </c>
      <c r="D370" s="66" t="s">
        <v>3152</v>
      </c>
      <c r="E370" s="66">
        <v>3.0</v>
      </c>
      <c r="F370" s="66">
        <v>68.0</v>
      </c>
      <c r="G370" s="66">
        <v>8.0</v>
      </c>
      <c r="H370" s="66">
        <v>2.0</v>
      </c>
      <c r="I370" s="50">
        <v>120921.0</v>
      </c>
    </row>
    <row r="371">
      <c r="A371" s="75">
        <v>7367.0</v>
      </c>
      <c r="B371" s="70">
        <v>6975.0</v>
      </c>
      <c r="C371" s="74">
        <v>503.0</v>
      </c>
      <c r="D371" s="66" t="s">
        <v>3153</v>
      </c>
      <c r="E371" s="66">
        <v>4.0</v>
      </c>
      <c r="F371" s="66">
        <v>27.0</v>
      </c>
      <c r="G371" s="66">
        <v>8.0</v>
      </c>
      <c r="H371" s="66">
        <v>3.0</v>
      </c>
      <c r="I371" s="50">
        <v>110822.0</v>
      </c>
    </row>
    <row r="372">
      <c r="A372" s="75">
        <v>7368.0</v>
      </c>
      <c r="B372" s="70">
        <v>3064.0</v>
      </c>
      <c r="C372" s="74">
        <v>7194.0</v>
      </c>
      <c r="D372" s="66" t="s">
        <v>3154</v>
      </c>
      <c r="E372" s="66">
        <v>4.0</v>
      </c>
      <c r="F372" s="66">
        <v>48.0</v>
      </c>
      <c r="G372" s="66">
        <v>3.0</v>
      </c>
      <c r="H372" s="66">
        <v>8.0</v>
      </c>
      <c r="I372" s="50">
        <v>61413.0</v>
      </c>
    </row>
    <row r="373">
      <c r="A373" s="75">
        <v>7369.0</v>
      </c>
      <c r="B373" s="70">
        <v>4552.0</v>
      </c>
      <c r="C373" s="74">
        <v>2880.0</v>
      </c>
      <c r="D373" s="66" t="s">
        <v>3155</v>
      </c>
      <c r="E373" s="66">
        <v>1.0</v>
      </c>
      <c r="F373" s="66">
        <v>27.0</v>
      </c>
      <c r="G373" s="66">
        <v>9.0</v>
      </c>
      <c r="H373" s="66">
        <v>2.0</v>
      </c>
      <c r="I373" s="50">
        <v>110813.0</v>
      </c>
    </row>
    <row r="374">
      <c r="A374" s="58">
        <v>7370.0</v>
      </c>
      <c r="B374" s="70">
        <v>8832.0</v>
      </c>
      <c r="C374" s="74">
        <v>7846.0</v>
      </c>
      <c r="D374" s="66" t="s">
        <v>3156</v>
      </c>
      <c r="E374" s="66">
        <v>4.0</v>
      </c>
      <c r="F374" s="66">
        <v>48.0</v>
      </c>
      <c r="G374" s="66">
        <v>4.0</v>
      </c>
      <c r="H374" s="66">
        <v>1.0</v>
      </c>
      <c r="I374" s="50">
        <v>100622.0</v>
      </c>
    </row>
    <row r="375">
      <c r="A375" s="75">
        <v>7371.0</v>
      </c>
      <c r="B375" s="70">
        <v>8372.0</v>
      </c>
      <c r="C375" s="74">
        <v>8853.0</v>
      </c>
      <c r="D375" s="66" t="s">
        <v>3157</v>
      </c>
      <c r="E375" s="66">
        <v>2.0</v>
      </c>
      <c r="F375" s="66">
        <v>27.0</v>
      </c>
      <c r="G375" s="66">
        <v>9.0</v>
      </c>
      <c r="H375" s="66">
        <v>4.0</v>
      </c>
      <c r="I375" s="50">
        <v>72119.0</v>
      </c>
    </row>
    <row r="376">
      <c r="A376" s="75">
        <v>7372.0</v>
      </c>
      <c r="B376" s="70">
        <v>2256.0</v>
      </c>
      <c r="C376" s="74">
        <v>7891.0</v>
      </c>
      <c r="D376" s="66" t="s">
        <v>3158</v>
      </c>
      <c r="E376" s="66">
        <v>2.0</v>
      </c>
      <c r="F376" s="66">
        <v>48.0</v>
      </c>
      <c r="G376" s="66">
        <v>4.0</v>
      </c>
      <c r="H376" s="66">
        <v>3.0</v>
      </c>
      <c r="I376" s="50">
        <v>11515.0</v>
      </c>
    </row>
    <row r="377">
      <c r="A377" s="75">
        <v>7373.0</v>
      </c>
      <c r="B377" s="70">
        <v>554.0</v>
      </c>
      <c r="C377" s="74">
        <v>5593.0</v>
      </c>
      <c r="D377" s="66" t="s">
        <v>3159</v>
      </c>
      <c r="E377" s="66">
        <v>1.0</v>
      </c>
      <c r="F377" s="66">
        <v>68.0</v>
      </c>
      <c r="G377" s="66">
        <v>8.0</v>
      </c>
      <c r="H377" s="66">
        <v>8.0</v>
      </c>
      <c r="I377" s="50">
        <v>43020.0</v>
      </c>
    </row>
    <row r="378">
      <c r="A378" s="75">
        <v>7374.0</v>
      </c>
      <c r="B378" s="70">
        <v>9016.0</v>
      </c>
      <c r="C378" s="74">
        <v>1366.0</v>
      </c>
      <c r="D378" s="66" t="s">
        <v>3160</v>
      </c>
      <c r="E378" s="66">
        <v>3.0</v>
      </c>
      <c r="F378" s="66">
        <v>68.0</v>
      </c>
      <c r="G378" s="66">
        <v>9.0</v>
      </c>
      <c r="H378" s="66">
        <v>5.0</v>
      </c>
      <c r="I378" s="50">
        <v>20915.0</v>
      </c>
    </row>
    <row r="379">
      <c r="A379" s="58">
        <v>7375.0</v>
      </c>
      <c r="B379" s="70">
        <v>2053.0</v>
      </c>
      <c r="C379" s="74">
        <v>4387.0</v>
      </c>
      <c r="D379" s="66" t="s">
        <v>3161</v>
      </c>
      <c r="E379" s="66">
        <v>1.0</v>
      </c>
      <c r="F379" s="66">
        <v>89.0</v>
      </c>
      <c r="G379" s="66">
        <v>4.0</v>
      </c>
      <c r="H379" s="66">
        <v>4.0</v>
      </c>
      <c r="I379" s="50">
        <v>111918.0</v>
      </c>
    </row>
    <row r="380">
      <c r="A380" s="75">
        <v>7376.0</v>
      </c>
      <c r="B380" s="70">
        <v>8365.0</v>
      </c>
      <c r="C380" s="74">
        <v>9180.0</v>
      </c>
      <c r="D380" s="66" t="s">
        <v>3162</v>
      </c>
      <c r="E380" s="66">
        <v>1.0</v>
      </c>
      <c r="F380" s="66">
        <v>48.0</v>
      </c>
      <c r="G380" s="66">
        <v>4.0</v>
      </c>
      <c r="H380" s="66">
        <v>7.0</v>
      </c>
      <c r="I380" s="50">
        <v>72922.0</v>
      </c>
    </row>
    <row r="381">
      <c r="A381" s="75">
        <v>7377.0</v>
      </c>
      <c r="B381" s="70">
        <v>4009.0</v>
      </c>
      <c r="C381" s="74">
        <v>5288.0</v>
      </c>
      <c r="D381" s="66" t="s">
        <v>3163</v>
      </c>
      <c r="E381" s="66">
        <v>3.0</v>
      </c>
      <c r="F381" s="66">
        <v>68.0</v>
      </c>
      <c r="G381" s="66">
        <v>9.0</v>
      </c>
      <c r="H381" s="66">
        <v>9.0</v>
      </c>
      <c r="I381" s="50">
        <v>50817.0</v>
      </c>
    </row>
    <row r="382">
      <c r="A382" s="75">
        <v>7378.0</v>
      </c>
      <c r="B382" s="70">
        <v>2096.0</v>
      </c>
      <c r="C382" s="74">
        <v>7657.0</v>
      </c>
      <c r="D382" s="66" t="s">
        <v>3164</v>
      </c>
      <c r="E382" s="66">
        <v>2.0</v>
      </c>
      <c r="F382" s="66">
        <v>89.0</v>
      </c>
      <c r="G382" s="66">
        <v>5.0</v>
      </c>
      <c r="H382" s="66">
        <v>1.0</v>
      </c>
      <c r="I382" s="50">
        <v>82821.0</v>
      </c>
    </row>
    <row r="383">
      <c r="A383" s="75">
        <v>7379.0</v>
      </c>
      <c r="B383" s="70">
        <v>9218.0</v>
      </c>
      <c r="C383" s="74">
        <v>457.0</v>
      </c>
      <c r="D383" s="66" t="s">
        <v>3165</v>
      </c>
      <c r="E383" s="66">
        <v>1.0</v>
      </c>
      <c r="F383" s="66">
        <v>89.0</v>
      </c>
      <c r="G383" s="66">
        <v>5.0</v>
      </c>
      <c r="H383" s="66">
        <v>2.0</v>
      </c>
      <c r="I383" s="50">
        <v>52116.0</v>
      </c>
    </row>
    <row r="384">
      <c r="A384" s="58">
        <v>7380.0</v>
      </c>
      <c r="B384" s="70">
        <v>2140.0</v>
      </c>
      <c r="C384" s="74">
        <v>6601.0</v>
      </c>
      <c r="D384" s="66" t="s">
        <v>3166</v>
      </c>
      <c r="E384" s="66">
        <v>3.0</v>
      </c>
      <c r="F384" s="66">
        <v>28.0</v>
      </c>
      <c r="G384" s="66">
        <v>1.0</v>
      </c>
      <c r="H384" s="66">
        <v>3.0</v>
      </c>
      <c r="I384" s="50">
        <v>51321.0</v>
      </c>
    </row>
    <row r="385">
      <c r="A385" s="75">
        <v>7381.0</v>
      </c>
      <c r="B385" s="70">
        <v>5825.0</v>
      </c>
      <c r="C385" s="74">
        <v>9040.0</v>
      </c>
      <c r="D385" s="66" t="s">
        <v>3167</v>
      </c>
      <c r="E385" s="66">
        <v>1.0</v>
      </c>
      <c r="F385" s="66">
        <v>69.0</v>
      </c>
      <c r="G385" s="66">
        <v>1.0</v>
      </c>
      <c r="H385" s="66">
        <v>1.0</v>
      </c>
      <c r="I385" s="50">
        <v>100522.0</v>
      </c>
    </row>
    <row r="386">
      <c r="A386" s="75">
        <v>7382.0</v>
      </c>
      <c r="B386" s="70">
        <v>5175.0</v>
      </c>
      <c r="C386" s="74">
        <v>6838.0</v>
      </c>
      <c r="D386" s="66" t="s">
        <v>3168</v>
      </c>
      <c r="E386" s="66">
        <v>4.0</v>
      </c>
      <c r="F386" s="66">
        <v>89.0</v>
      </c>
      <c r="G386" s="66">
        <v>5.0</v>
      </c>
      <c r="H386" s="66">
        <v>9.0</v>
      </c>
      <c r="I386" s="50">
        <v>11314.0</v>
      </c>
    </row>
    <row r="387">
      <c r="A387" s="75">
        <v>7383.0</v>
      </c>
      <c r="B387" s="70">
        <v>2861.0</v>
      </c>
      <c r="C387" s="74">
        <v>6548.0</v>
      </c>
      <c r="D387" s="66" t="s">
        <v>3169</v>
      </c>
      <c r="E387" s="66">
        <v>4.0</v>
      </c>
      <c r="F387" s="66">
        <v>48.0</v>
      </c>
      <c r="G387" s="66">
        <v>6.0</v>
      </c>
      <c r="H387" s="66">
        <v>4.0</v>
      </c>
      <c r="I387" s="50">
        <v>102718.0</v>
      </c>
    </row>
    <row r="388">
      <c r="A388" s="75">
        <v>7384.0</v>
      </c>
      <c r="B388" s="70">
        <v>2766.0</v>
      </c>
      <c r="C388" s="74">
        <v>2823.0</v>
      </c>
      <c r="D388" s="66" t="s">
        <v>3170</v>
      </c>
      <c r="E388" s="66">
        <v>1.0</v>
      </c>
      <c r="F388" s="66">
        <v>28.0</v>
      </c>
      <c r="G388" s="66">
        <v>1.0</v>
      </c>
      <c r="H388" s="66">
        <v>8.0</v>
      </c>
      <c r="I388" s="50">
        <v>33122.0</v>
      </c>
    </row>
    <row r="389">
      <c r="A389" s="58">
        <v>7385.0</v>
      </c>
      <c r="B389" s="70">
        <v>569.0</v>
      </c>
      <c r="C389" s="74">
        <v>6703.0</v>
      </c>
      <c r="D389" s="66" t="s">
        <v>3171</v>
      </c>
      <c r="E389" s="66">
        <v>3.0</v>
      </c>
      <c r="F389" s="66">
        <v>89.0</v>
      </c>
      <c r="G389" s="66">
        <v>6.0</v>
      </c>
      <c r="H389" s="66">
        <v>3.0</v>
      </c>
      <c r="I389" s="50">
        <v>43016.0</v>
      </c>
    </row>
    <row r="390">
      <c r="A390" s="75">
        <v>7386.0</v>
      </c>
      <c r="B390" s="70">
        <v>5037.0</v>
      </c>
      <c r="C390" s="74">
        <v>6487.0</v>
      </c>
      <c r="D390" s="66" t="s">
        <v>3172</v>
      </c>
      <c r="E390" s="66">
        <v>4.0</v>
      </c>
      <c r="F390" s="66">
        <v>89.0</v>
      </c>
      <c r="G390" s="66">
        <v>6.0</v>
      </c>
      <c r="H390" s="66">
        <v>7.0</v>
      </c>
      <c r="I390" s="50">
        <v>122219.0</v>
      </c>
    </row>
    <row r="391">
      <c r="A391" s="75">
        <v>7387.0</v>
      </c>
      <c r="B391" s="70">
        <v>369.0</v>
      </c>
      <c r="C391" s="74">
        <v>2428.0</v>
      </c>
      <c r="D391" s="66" t="s">
        <v>3173</v>
      </c>
      <c r="E391" s="66">
        <v>3.0</v>
      </c>
      <c r="F391" s="66">
        <v>28.0</v>
      </c>
      <c r="G391" s="66">
        <v>2.0</v>
      </c>
      <c r="H391" s="66">
        <v>3.0</v>
      </c>
      <c r="I391" s="50">
        <v>102521.0</v>
      </c>
    </row>
    <row r="392">
      <c r="A392" s="75">
        <v>7388.0</v>
      </c>
      <c r="B392" s="70">
        <v>7718.0</v>
      </c>
      <c r="C392" s="74">
        <v>5398.0</v>
      </c>
      <c r="D392" s="66" t="s">
        <v>3174</v>
      </c>
      <c r="E392" s="66">
        <v>1.0</v>
      </c>
      <c r="F392" s="66">
        <v>69.0</v>
      </c>
      <c r="G392" s="66">
        <v>2.0</v>
      </c>
      <c r="H392" s="66">
        <v>2.0</v>
      </c>
      <c r="I392" s="50">
        <v>40817.0</v>
      </c>
    </row>
    <row r="393">
      <c r="A393" s="75">
        <v>7389.0</v>
      </c>
      <c r="B393" s="70">
        <v>5396.0</v>
      </c>
      <c r="C393" s="74">
        <v>2067.0</v>
      </c>
      <c r="D393" s="66" t="s">
        <v>3175</v>
      </c>
      <c r="E393" s="66">
        <v>2.0</v>
      </c>
      <c r="F393" s="66">
        <v>48.0</v>
      </c>
      <c r="G393" s="66">
        <v>7.0</v>
      </c>
      <c r="H393" s="66">
        <v>5.0</v>
      </c>
      <c r="I393" s="50">
        <v>82713.0</v>
      </c>
    </row>
    <row r="394">
      <c r="A394" s="58">
        <v>7390.0</v>
      </c>
      <c r="B394" s="70">
        <v>7722.0</v>
      </c>
      <c r="C394" s="74">
        <v>394.0</v>
      </c>
      <c r="D394" s="66" t="s">
        <v>3176</v>
      </c>
      <c r="E394" s="66">
        <v>3.0</v>
      </c>
      <c r="F394" s="66">
        <v>28.0</v>
      </c>
      <c r="G394" s="66">
        <v>2.0</v>
      </c>
      <c r="H394" s="66">
        <v>8.0</v>
      </c>
      <c r="I394" s="50">
        <v>62313.0</v>
      </c>
    </row>
    <row r="395">
      <c r="A395" s="75">
        <v>7391.0</v>
      </c>
      <c r="B395" s="70">
        <v>2160.0</v>
      </c>
      <c r="C395" s="74">
        <v>3343.0</v>
      </c>
      <c r="D395" s="66" t="s">
        <v>3177</v>
      </c>
      <c r="E395" s="66">
        <v>4.0</v>
      </c>
      <c r="F395" s="66">
        <v>48.0</v>
      </c>
      <c r="G395" s="66">
        <v>7.0</v>
      </c>
      <c r="H395" s="66">
        <v>6.0</v>
      </c>
      <c r="I395" s="50">
        <v>22116.0</v>
      </c>
    </row>
    <row r="396">
      <c r="A396" s="75">
        <v>7392.0</v>
      </c>
      <c r="B396" s="70">
        <v>90.0</v>
      </c>
      <c r="C396" s="74">
        <v>2034.0</v>
      </c>
      <c r="D396" s="66" t="s">
        <v>3178</v>
      </c>
      <c r="E396" s="66">
        <v>2.0</v>
      </c>
      <c r="F396" s="66">
        <v>89.0</v>
      </c>
      <c r="G396" s="66">
        <v>7.0</v>
      </c>
      <c r="H396" s="66">
        <v>4.0</v>
      </c>
      <c r="I396" s="50">
        <v>60618.0</v>
      </c>
    </row>
    <row r="397">
      <c r="A397" s="75">
        <v>7393.0</v>
      </c>
      <c r="B397" s="70">
        <v>15.0</v>
      </c>
      <c r="C397" s="74">
        <v>6129.0</v>
      </c>
      <c r="D397" s="66" t="s">
        <v>3179</v>
      </c>
      <c r="E397" s="66">
        <v>2.0</v>
      </c>
      <c r="F397" s="66">
        <v>69.0</v>
      </c>
      <c r="G397" s="66">
        <v>3.0</v>
      </c>
      <c r="H397" s="66">
        <v>3.0</v>
      </c>
      <c r="I397" s="50">
        <v>100316.0</v>
      </c>
    </row>
    <row r="398">
      <c r="A398" s="75">
        <v>7394.0</v>
      </c>
      <c r="B398" s="70">
        <v>2861.0</v>
      </c>
      <c r="C398" s="74">
        <v>9025.0</v>
      </c>
      <c r="D398" s="66" t="s">
        <v>3180</v>
      </c>
      <c r="E398" s="66">
        <v>1.0</v>
      </c>
      <c r="F398" s="66">
        <v>89.0</v>
      </c>
      <c r="G398" s="66">
        <v>8.0</v>
      </c>
      <c r="H398" s="66">
        <v>1.0</v>
      </c>
      <c r="I398" s="50">
        <v>51716.0</v>
      </c>
    </row>
    <row r="399">
      <c r="A399" s="58">
        <v>7395.0</v>
      </c>
      <c r="B399" s="70">
        <v>8696.0</v>
      </c>
      <c r="C399" s="74">
        <v>4366.0</v>
      </c>
      <c r="D399" s="66" t="s">
        <v>3181</v>
      </c>
      <c r="E399" s="66">
        <v>1.0</v>
      </c>
      <c r="F399" s="66">
        <v>89.0</v>
      </c>
      <c r="G399" s="66">
        <v>8.0</v>
      </c>
      <c r="H399" s="66">
        <v>4.0</v>
      </c>
      <c r="I399" s="50">
        <v>91919.0</v>
      </c>
    </row>
    <row r="400">
      <c r="A400" s="75">
        <v>7396.0</v>
      </c>
      <c r="B400" s="70">
        <v>1607.0</v>
      </c>
      <c r="C400" s="74">
        <v>3539.0</v>
      </c>
      <c r="D400" s="66" t="s">
        <v>3182</v>
      </c>
      <c r="E400" s="66">
        <v>3.0</v>
      </c>
      <c r="F400" s="66">
        <v>48.0</v>
      </c>
      <c r="G400" s="66">
        <v>8.0</v>
      </c>
      <c r="H400" s="66">
        <v>9.0</v>
      </c>
      <c r="I400" s="50">
        <v>100220.0</v>
      </c>
    </row>
    <row r="401">
      <c r="A401" s="75">
        <v>7397.0</v>
      </c>
      <c r="B401" s="70">
        <v>2524.0</v>
      </c>
      <c r="C401" s="74">
        <v>6671.0</v>
      </c>
      <c r="D401" s="66" t="s">
        <v>3183</v>
      </c>
      <c r="E401" s="66">
        <v>4.0</v>
      </c>
      <c r="F401" s="66">
        <v>89.0</v>
      </c>
      <c r="G401" s="66">
        <v>8.0</v>
      </c>
      <c r="H401" s="66">
        <v>5.0</v>
      </c>
      <c r="I401" s="50">
        <v>21322.0</v>
      </c>
    </row>
    <row r="402">
      <c r="A402" s="75">
        <v>7398.0</v>
      </c>
      <c r="B402" s="70">
        <v>7291.0</v>
      </c>
      <c r="C402" s="74">
        <v>4526.0</v>
      </c>
      <c r="D402" s="66" t="s">
        <v>3184</v>
      </c>
      <c r="E402" s="66">
        <v>2.0</v>
      </c>
      <c r="F402" s="66">
        <v>28.0</v>
      </c>
      <c r="G402" s="66">
        <v>4.0</v>
      </c>
      <c r="H402" s="66">
        <v>3.0</v>
      </c>
      <c r="I402" s="50">
        <v>30620.0</v>
      </c>
    </row>
    <row r="403">
      <c r="A403" s="75">
        <v>7399.0</v>
      </c>
      <c r="B403" s="70">
        <v>9811.0</v>
      </c>
      <c r="C403" s="74">
        <v>8279.0</v>
      </c>
      <c r="D403" s="66" t="s">
        <v>3185</v>
      </c>
      <c r="E403" s="66">
        <v>2.0</v>
      </c>
      <c r="F403" s="66">
        <v>48.0</v>
      </c>
      <c r="G403" s="66">
        <v>9.0</v>
      </c>
      <c r="H403" s="66">
        <v>3.0</v>
      </c>
      <c r="I403" s="50">
        <v>71220.0</v>
      </c>
    </row>
    <row r="404">
      <c r="A404" s="58">
        <v>7400.0</v>
      </c>
      <c r="B404" s="70">
        <v>2552.0</v>
      </c>
      <c r="C404" s="74">
        <v>9321.0</v>
      </c>
      <c r="D404" s="66" t="s">
        <v>3186</v>
      </c>
      <c r="E404" s="66">
        <v>3.0</v>
      </c>
      <c r="F404" s="66">
        <v>89.0</v>
      </c>
      <c r="G404" s="66">
        <v>9.0</v>
      </c>
      <c r="H404" s="66">
        <v>2.0</v>
      </c>
      <c r="I404" s="50">
        <v>71221.0</v>
      </c>
    </row>
    <row r="405">
      <c r="A405" s="75">
        <v>7401.0</v>
      </c>
      <c r="B405" s="70">
        <v>8072.0</v>
      </c>
      <c r="C405" s="74">
        <v>7984.0</v>
      </c>
      <c r="D405" s="66" t="s">
        <v>3187</v>
      </c>
      <c r="E405" s="66">
        <v>1.0</v>
      </c>
      <c r="F405" s="66">
        <v>69.0</v>
      </c>
      <c r="G405" s="66">
        <v>4.0</v>
      </c>
      <c r="H405" s="66">
        <v>9.0</v>
      </c>
      <c r="I405" s="50">
        <v>53021.0</v>
      </c>
    </row>
    <row r="406">
      <c r="A406" s="75">
        <v>7402.0</v>
      </c>
      <c r="B406" s="70">
        <v>9574.0</v>
      </c>
      <c r="C406" s="74">
        <v>118.0</v>
      </c>
      <c r="D406" s="66" t="s">
        <v>3188</v>
      </c>
      <c r="E406" s="66">
        <v>4.0</v>
      </c>
      <c r="F406" s="66">
        <v>49.0</v>
      </c>
      <c r="G406" s="66">
        <v>1.0</v>
      </c>
      <c r="H406" s="66">
        <v>1.0</v>
      </c>
      <c r="I406" s="50">
        <v>62615.0</v>
      </c>
    </row>
    <row r="407">
      <c r="A407" s="75">
        <v>7403.0</v>
      </c>
      <c r="B407" s="70">
        <v>8112.0</v>
      </c>
      <c r="C407" s="74">
        <v>8297.0</v>
      </c>
      <c r="D407" s="66" t="s">
        <v>3189</v>
      </c>
      <c r="E407" s="66">
        <v>4.0</v>
      </c>
      <c r="F407" s="66">
        <v>69.0</v>
      </c>
      <c r="G407" s="66">
        <v>5.0</v>
      </c>
      <c r="H407" s="66">
        <v>9.0</v>
      </c>
      <c r="I407" s="50">
        <v>80819.0</v>
      </c>
    </row>
    <row r="408">
      <c r="A408" s="75">
        <v>7404.0</v>
      </c>
      <c r="B408" s="70">
        <v>6516.0</v>
      </c>
      <c r="C408" s="74">
        <v>7683.0</v>
      </c>
      <c r="D408" s="66" t="s">
        <v>3190</v>
      </c>
      <c r="E408" s="66">
        <v>2.0</v>
      </c>
      <c r="F408" s="66">
        <v>49.0</v>
      </c>
      <c r="G408" s="66">
        <v>1.0</v>
      </c>
      <c r="H408" s="66">
        <v>6.0</v>
      </c>
      <c r="I408" s="50">
        <v>121921.0</v>
      </c>
    </row>
    <row r="409">
      <c r="A409" s="58">
        <v>7405.0</v>
      </c>
      <c r="B409" s="70">
        <v>7911.0</v>
      </c>
      <c r="C409" s="74">
        <v>9964.0</v>
      </c>
      <c r="D409" s="66" t="s">
        <v>3191</v>
      </c>
      <c r="E409" s="66">
        <v>4.0</v>
      </c>
      <c r="F409" s="66">
        <v>28.0</v>
      </c>
      <c r="G409" s="66">
        <v>6.0</v>
      </c>
      <c r="H409" s="66">
        <v>9.0</v>
      </c>
      <c r="I409" s="50">
        <v>70421.0</v>
      </c>
    </row>
    <row r="410">
      <c r="A410" s="75">
        <v>7406.0</v>
      </c>
      <c r="B410" s="70">
        <v>2192.0</v>
      </c>
      <c r="C410" s="74">
        <v>4843.0</v>
      </c>
      <c r="D410" s="66" t="s">
        <v>3192</v>
      </c>
      <c r="E410" s="66">
        <v>3.0</v>
      </c>
      <c r="F410" s="66">
        <v>49.0</v>
      </c>
      <c r="G410" s="66">
        <v>1.0</v>
      </c>
      <c r="H410" s="66">
        <v>8.0</v>
      </c>
      <c r="I410" s="50">
        <v>30619.0</v>
      </c>
    </row>
    <row r="411">
      <c r="A411" s="75">
        <v>7407.0</v>
      </c>
      <c r="B411" s="70">
        <v>5520.0</v>
      </c>
      <c r="C411" s="74">
        <v>914.0</v>
      </c>
      <c r="D411" s="66" t="s">
        <v>3193</v>
      </c>
      <c r="E411" s="66">
        <v>4.0</v>
      </c>
      <c r="F411" s="66">
        <v>69.0</v>
      </c>
      <c r="G411" s="66">
        <v>6.0</v>
      </c>
      <c r="H411" s="66">
        <v>7.0</v>
      </c>
      <c r="I411" s="50">
        <v>91115.0</v>
      </c>
    </row>
    <row r="412">
      <c r="A412" s="75">
        <v>7408.0</v>
      </c>
      <c r="B412" s="70">
        <v>2832.0</v>
      </c>
      <c r="C412" s="74">
        <v>1541.0</v>
      </c>
      <c r="D412" s="66" t="s">
        <v>3194</v>
      </c>
      <c r="E412" s="66">
        <v>3.0</v>
      </c>
      <c r="F412" s="66">
        <v>69.0</v>
      </c>
      <c r="G412" s="66">
        <v>7.0</v>
      </c>
      <c r="H412" s="66">
        <v>1.0</v>
      </c>
      <c r="I412" s="50">
        <v>122018.0</v>
      </c>
    </row>
    <row r="413">
      <c r="A413" s="75">
        <v>7409.0</v>
      </c>
      <c r="B413" s="70">
        <v>8127.0</v>
      </c>
      <c r="C413" s="74">
        <v>4703.0</v>
      </c>
      <c r="D413" s="66" t="s">
        <v>3195</v>
      </c>
      <c r="E413" s="66">
        <v>2.0</v>
      </c>
      <c r="F413" s="66">
        <v>28.0</v>
      </c>
      <c r="G413" s="66">
        <v>7.0</v>
      </c>
      <c r="H413" s="66">
        <v>5.0</v>
      </c>
      <c r="I413" s="50">
        <v>92216.0</v>
      </c>
    </row>
    <row r="414">
      <c r="A414" s="58">
        <v>7410.0</v>
      </c>
      <c r="B414" s="70">
        <v>9227.0</v>
      </c>
      <c r="C414" s="74">
        <v>8352.0</v>
      </c>
      <c r="D414" s="66" t="s">
        <v>3196</v>
      </c>
      <c r="E414" s="66">
        <v>1.0</v>
      </c>
      <c r="F414" s="66">
        <v>49.0</v>
      </c>
      <c r="G414" s="66">
        <v>2.0</v>
      </c>
      <c r="H414" s="66">
        <v>5.0</v>
      </c>
      <c r="I414" s="50">
        <v>93013.0</v>
      </c>
    </row>
    <row r="415">
      <c r="A415" s="75">
        <v>7411.0</v>
      </c>
      <c r="B415" s="70">
        <v>7910.0</v>
      </c>
      <c r="C415" s="74">
        <v>4878.0</v>
      </c>
      <c r="D415" s="66" t="s">
        <v>3197</v>
      </c>
      <c r="E415" s="66">
        <v>1.0</v>
      </c>
      <c r="F415" s="66">
        <v>28.0</v>
      </c>
      <c r="G415" s="66">
        <v>7.0</v>
      </c>
      <c r="H415" s="66">
        <v>8.0</v>
      </c>
      <c r="I415" s="50">
        <v>81520.0</v>
      </c>
    </row>
    <row r="416">
      <c r="A416" s="75">
        <v>7412.0</v>
      </c>
      <c r="B416" s="70">
        <v>9863.0</v>
      </c>
      <c r="C416" s="74">
        <v>4934.0</v>
      </c>
      <c r="D416" s="66" t="s">
        <v>3198</v>
      </c>
      <c r="E416" s="66">
        <v>1.0</v>
      </c>
      <c r="F416" s="66">
        <v>28.0</v>
      </c>
      <c r="G416" s="66">
        <v>7.0</v>
      </c>
      <c r="H416" s="66">
        <v>9.0</v>
      </c>
      <c r="I416" s="50">
        <v>31013.0</v>
      </c>
    </row>
    <row r="417">
      <c r="A417" s="75">
        <v>7413.0</v>
      </c>
      <c r="B417" s="70">
        <v>3198.0</v>
      </c>
      <c r="C417" s="74">
        <v>3926.0</v>
      </c>
      <c r="D417" s="66" t="s">
        <v>3199</v>
      </c>
      <c r="E417" s="66">
        <v>1.0</v>
      </c>
      <c r="F417" s="66">
        <v>28.0</v>
      </c>
      <c r="G417" s="66">
        <v>8.0</v>
      </c>
      <c r="H417" s="66">
        <v>3.0</v>
      </c>
      <c r="I417" s="50">
        <v>110214.0</v>
      </c>
    </row>
    <row r="418">
      <c r="A418" s="75">
        <v>7414.0</v>
      </c>
      <c r="B418" s="70">
        <v>9808.0</v>
      </c>
      <c r="C418" s="74">
        <v>595.0</v>
      </c>
      <c r="D418" s="66" t="s">
        <v>3200</v>
      </c>
      <c r="E418" s="66">
        <v>3.0</v>
      </c>
      <c r="F418" s="66">
        <v>28.0</v>
      </c>
      <c r="G418" s="66">
        <v>8.0</v>
      </c>
      <c r="H418" s="66">
        <v>6.0</v>
      </c>
      <c r="I418" s="50">
        <v>50819.0</v>
      </c>
    </row>
    <row r="419">
      <c r="A419" s="58">
        <v>7415.0</v>
      </c>
      <c r="B419" s="70">
        <v>7581.0</v>
      </c>
      <c r="C419" s="74">
        <v>9015.0</v>
      </c>
      <c r="D419" s="66" t="s">
        <v>3201</v>
      </c>
      <c r="E419" s="66">
        <v>1.0</v>
      </c>
      <c r="F419" s="66">
        <v>28.0</v>
      </c>
      <c r="G419" s="66">
        <v>8.0</v>
      </c>
      <c r="H419" s="66">
        <v>8.0</v>
      </c>
      <c r="I419" s="50">
        <v>111115.0</v>
      </c>
    </row>
    <row r="420">
      <c r="A420" s="75">
        <v>7416.0</v>
      </c>
      <c r="B420" s="70">
        <v>8190.0</v>
      </c>
      <c r="C420" s="74">
        <v>2946.0</v>
      </c>
      <c r="D420" s="66" t="s">
        <v>3202</v>
      </c>
      <c r="E420" s="66">
        <v>1.0</v>
      </c>
      <c r="F420" s="66">
        <v>69.0</v>
      </c>
      <c r="G420" s="66">
        <v>8.0</v>
      </c>
      <c r="H420" s="66">
        <v>5.0</v>
      </c>
      <c r="I420" s="50">
        <v>62920.0</v>
      </c>
    </row>
    <row r="421">
      <c r="A421" s="75">
        <v>7417.0</v>
      </c>
      <c r="B421" s="70">
        <v>5140.0</v>
      </c>
      <c r="C421" s="74">
        <v>2029.0</v>
      </c>
      <c r="D421" s="66" t="s">
        <v>3203</v>
      </c>
      <c r="E421" s="66">
        <v>4.0</v>
      </c>
      <c r="F421" s="66">
        <v>28.0</v>
      </c>
      <c r="G421" s="66">
        <v>9.0</v>
      </c>
      <c r="H421" s="66">
        <v>5.0</v>
      </c>
      <c r="I421" s="50">
        <v>110117.0</v>
      </c>
    </row>
    <row r="422">
      <c r="A422" s="75">
        <v>7418.0</v>
      </c>
      <c r="B422" s="70">
        <v>5047.0</v>
      </c>
      <c r="C422" s="74">
        <v>2105.0</v>
      </c>
      <c r="D422" s="66" t="s">
        <v>3204</v>
      </c>
      <c r="E422" s="66">
        <v>1.0</v>
      </c>
      <c r="F422" s="66">
        <v>69.0</v>
      </c>
      <c r="G422" s="66">
        <v>9.0</v>
      </c>
      <c r="H422" s="66">
        <v>1.0</v>
      </c>
      <c r="I422" s="50">
        <v>50517.0</v>
      </c>
    </row>
    <row r="423">
      <c r="A423" s="75">
        <v>7419.0</v>
      </c>
      <c r="B423" s="70">
        <v>3906.0</v>
      </c>
      <c r="C423" s="74">
        <v>7691.0</v>
      </c>
      <c r="D423" s="66" t="s">
        <v>3205</v>
      </c>
      <c r="E423" s="66">
        <v>1.0</v>
      </c>
      <c r="F423" s="66">
        <v>49.0</v>
      </c>
      <c r="G423" s="66">
        <v>5.0</v>
      </c>
      <c r="H423" s="66">
        <v>5.0</v>
      </c>
      <c r="I423" s="50">
        <v>32215.0</v>
      </c>
    </row>
    <row r="424">
      <c r="A424" s="58">
        <v>7420.0</v>
      </c>
      <c r="B424" s="70">
        <v>4207.0</v>
      </c>
      <c r="C424" s="74">
        <v>2825.0</v>
      </c>
      <c r="D424" s="66" t="s">
        <v>3206</v>
      </c>
      <c r="E424" s="66">
        <v>2.0</v>
      </c>
      <c r="F424" s="66">
        <v>29.0</v>
      </c>
      <c r="G424" s="66">
        <v>1.0</v>
      </c>
      <c r="H424" s="66">
        <v>2.0</v>
      </c>
      <c r="I424" s="50">
        <v>122616.0</v>
      </c>
    </row>
    <row r="425">
      <c r="A425" s="75">
        <v>7421.0</v>
      </c>
      <c r="B425" s="70">
        <v>4390.0</v>
      </c>
      <c r="C425" s="74">
        <v>3549.0</v>
      </c>
      <c r="D425" s="66" t="s">
        <v>3207</v>
      </c>
      <c r="E425" s="66">
        <v>4.0</v>
      </c>
      <c r="F425" s="66">
        <v>29.0</v>
      </c>
      <c r="G425" s="66">
        <v>1.0</v>
      </c>
      <c r="H425" s="66">
        <v>3.0</v>
      </c>
      <c r="I425" s="50">
        <v>73115.0</v>
      </c>
    </row>
    <row r="426">
      <c r="A426" s="75">
        <v>7422.0</v>
      </c>
      <c r="B426" s="70">
        <v>1425.0</v>
      </c>
      <c r="C426" s="74">
        <v>7274.0</v>
      </c>
      <c r="D426" s="66" t="s">
        <v>3208</v>
      </c>
      <c r="E426" s="66">
        <v>4.0</v>
      </c>
      <c r="F426" s="66">
        <v>49.0</v>
      </c>
      <c r="G426" s="66">
        <v>6.0</v>
      </c>
      <c r="H426" s="66">
        <v>2.0</v>
      </c>
      <c r="I426" s="50">
        <v>123014.0</v>
      </c>
    </row>
    <row r="427">
      <c r="A427" s="75">
        <v>7423.0</v>
      </c>
      <c r="B427" s="70">
        <v>5623.0</v>
      </c>
      <c r="C427" s="74">
        <v>1068.0</v>
      </c>
      <c r="D427" s="66" t="s">
        <v>3209</v>
      </c>
      <c r="E427" s="66">
        <v>1.0</v>
      </c>
      <c r="F427" s="66">
        <v>29.0</v>
      </c>
      <c r="G427" s="66">
        <v>1.0</v>
      </c>
      <c r="H427" s="66">
        <v>5.0</v>
      </c>
      <c r="I427" s="50">
        <v>123119.0</v>
      </c>
    </row>
    <row r="428">
      <c r="A428" s="75">
        <v>7424.0</v>
      </c>
      <c r="B428" s="70">
        <v>3591.0</v>
      </c>
      <c r="C428" s="74">
        <v>8512.0</v>
      </c>
      <c r="D428" s="66" t="s">
        <v>3210</v>
      </c>
      <c r="E428" s="66">
        <v>3.0</v>
      </c>
      <c r="F428" s="66">
        <v>29.0</v>
      </c>
      <c r="G428" s="66">
        <v>1.0</v>
      </c>
      <c r="H428" s="66">
        <v>7.0</v>
      </c>
      <c r="I428" s="50">
        <v>41415.0</v>
      </c>
    </row>
    <row r="429">
      <c r="A429" s="58">
        <v>7425.0</v>
      </c>
      <c r="B429" s="70">
        <v>5044.0</v>
      </c>
      <c r="C429" s="74">
        <v>7771.0</v>
      </c>
      <c r="D429" s="66" t="s">
        <v>3211</v>
      </c>
      <c r="E429" s="66">
        <v>2.0</v>
      </c>
      <c r="F429" s="66">
        <v>29.0</v>
      </c>
      <c r="G429" s="66">
        <v>2.0</v>
      </c>
      <c r="H429" s="66">
        <v>3.0</v>
      </c>
      <c r="I429" s="50">
        <v>12419.0</v>
      </c>
    </row>
    <row r="430">
      <c r="A430" s="75">
        <v>7426.0</v>
      </c>
      <c r="B430" s="70">
        <v>4416.0</v>
      </c>
      <c r="C430" s="74">
        <v>3248.0</v>
      </c>
      <c r="D430" s="66" t="s">
        <v>3212</v>
      </c>
      <c r="E430" s="66">
        <v>4.0</v>
      </c>
      <c r="F430" s="66">
        <v>49.0</v>
      </c>
      <c r="G430" s="66">
        <v>7.0</v>
      </c>
      <c r="H430" s="66">
        <v>5.0</v>
      </c>
      <c r="I430" s="50">
        <v>61213.0</v>
      </c>
    </row>
    <row r="431">
      <c r="A431" s="75">
        <v>7427.0</v>
      </c>
      <c r="B431" s="70">
        <v>6383.0</v>
      </c>
      <c r="C431" s="74">
        <v>4697.0</v>
      </c>
      <c r="D431" s="66" t="s">
        <v>3213</v>
      </c>
      <c r="E431" s="66">
        <v>4.0</v>
      </c>
      <c r="F431" s="66">
        <v>49.0</v>
      </c>
      <c r="G431" s="66">
        <v>7.0</v>
      </c>
      <c r="H431" s="66">
        <v>7.0</v>
      </c>
      <c r="I431" s="50">
        <v>101218.0</v>
      </c>
    </row>
    <row r="432">
      <c r="A432" s="75">
        <v>7428.0</v>
      </c>
      <c r="B432" s="70">
        <v>8831.0</v>
      </c>
      <c r="C432" s="74">
        <v>7472.0</v>
      </c>
      <c r="D432" s="66" t="s">
        <v>3214</v>
      </c>
      <c r="E432" s="66">
        <v>1.0</v>
      </c>
      <c r="F432" s="66">
        <v>29.0</v>
      </c>
      <c r="G432" s="66">
        <v>3.0</v>
      </c>
      <c r="H432" s="66">
        <v>6.0</v>
      </c>
      <c r="I432" s="50">
        <v>111321.0</v>
      </c>
    </row>
    <row r="433">
      <c r="A433" s="75">
        <v>7429.0</v>
      </c>
      <c r="B433" s="70">
        <v>8720.0</v>
      </c>
      <c r="C433" s="74">
        <v>4307.0</v>
      </c>
      <c r="D433" s="66" t="s">
        <v>3215</v>
      </c>
      <c r="E433" s="66">
        <v>2.0</v>
      </c>
      <c r="F433" s="66">
        <v>49.0</v>
      </c>
      <c r="G433" s="66">
        <v>8.0</v>
      </c>
      <c r="H433" s="66">
        <v>8.0</v>
      </c>
      <c r="I433" s="50">
        <v>90513.0</v>
      </c>
    </row>
    <row r="434">
      <c r="A434" s="58">
        <v>7430.0</v>
      </c>
      <c r="B434" s="70">
        <v>2554.0</v>
      </c>
      <c r="C434" s="74">
        <v>8245.0</v>
      </c>
      <c r="D434" s="66" t="s">
        <v>3216</v>
      </c>
      <c r="E434" s="66">
        <v>1.0</v>
      </c>
      <c r="F434" s="66">
        <v>29.0</v>
      </c>
      <c r="G434" s="66">
        <v>4.0</v>
      </c>
      <c r="H434" s="66">
        <v>7.0</v>
      </c>
      <c r="I434" s="50">
        <v>90814.0</v>
      </c>
    </row>
    <row r="435">
      <c r="A435" s="75">
        <v>7431.0</v>
      </c>
      <c r="B435" s="70">
        <v>2003.0</v>
      </c>
      <c r="C435" s="74">
        <v>1276.0</v>
      </c>
      <c r="D435" s="66" t="s">
        <v>3217</v>
      </c>
      <c r="E435" s="66">
        <v>2.0</v>
      </c>
      <c r="F435" s="66">
        <v>29.0</v>
      </c>
      <c r="G435" s="66">
        <v>4.0</v>
      </c>
      <c r="H435" s="66">
        <v>8.0</v>
      </c>
      <c r="I435" s="50">
        <v>82216.0</v>
      </c>
    </row>
    <row r="436">
      <c r="A436" s="75">
        <v>7432.0</v>
      </c>
      <c r="B436" s="70">
        <v>3265.0</v>
      </c>
      <c r="C436" s="74">
        <v>5217.0</v>
      </c>
      <c r="D436" s="66" t="s">
        <v>3218</v>
      </c>
      <c r="E436" s="66">
        <v>1.0</v>
      </c>
      <c r="F436" s="66">
        <v>49.0</v>
      </c>
      <c r="G436" s="66">
        <v>9.0</v>
      </c>
      <c r="H436" s="66">
        <v>6.0</v>
      </c>
      <c r="I436" s="50">
        <v>53117.0</v>
      </c>
    </row>
    <row r="437">
      <c r="A437" s="75">
        <v>7433.0</v>
      </c>
      <c r="B437" s="70">
        <v>2242.0</v>
      </c>
      <c r="C437" s="74">
        <v>4708.0</v>
      </c>
      <c r="D437" s="66" t="s">
        <v>3219</v>
      </c>
      <c r="E437" s="66">
        <v>2.0</v>
      </c>
      <c r="F437" s="66">
        <v>49.0</v>
      </c>
      <c r="G437" s="66">
        <v>9.0</v>
      </c>
      <c r="H437" s="66">
        <v>9.0</v>
      </c>
      <c r="I437" s="50">
        <v>82422.0</v>
      </c>
    </row>
    <row r="438">
      <c r="A438" s="75">
        <v>7434.0</v>
      </c>
      <c r="B438" s="70">
        <v>6495.0</v>
      </c>
      <c r="C438" s="74">
        <v>7463.0</v>
      </c>
      <c r="D438" s="66" t="s">
        <v>3220</v>
      </c>
      <c r="E438" s="66">
        <v>1.0</v>
      </c>
      <c r="F438" s="66">
        <v>29.0</v>
      </c>
      <c r="G438" s="66">
        <v>5.0</v>
      </c>
      <c r="H438" s="66">
        <v>8.0</v>
      </c>
      <c r="I438" s="50">
        <v>11818.0</v>
      </c>
    </row>
    <row r="439">
      <c r="A439" s="58">
        <v>7435.0</v>
      </c>
      <c r="B439" s="70">
        <v>4085.0</v>
      </c>
      <c r="C439" s="74">
        <v>484.0</v>
      </c>
      <c r="D439" s="66" t="s">
        <v>3221</v>
      </c>
      <c r="E439" s="66">
        <v>4.0</v>
      </c>
      <c r="F439" s="66">
        <v>29.0</v>
      </c>
      <c r="G439" s="66">
        <v>5.0</v>
      </c>
      <c r="H439" s="66">
        <v>9.0</v>
      </c>
      <c r="I439" s="50">
        <v>21319.0</v>
      </c>
    </row>
    <row r="440">
      <c r="A440" s="75">
        <v>7436.0</v>
      </c>
      <c r="B440" s="70">
        <v>6085.0</v>
      </c>
      <c r="C440" s="74">
        <v>3133.0</v>
      </c>
      <c r="D440" s="66" t="s">
        <v>3222</v>
      </c>
      <c r="E440" s="66">
        <v>2.0</v>
      </c>
      <c r="F440" s="66">
        <v>29.0</v>
      </c>
      <c r="G440" s="66">
        <v>6.0</v>
      </c>
      <c r="H440" s="66">
        <v>4.0</v>
      </c>
      <c r="I440" s="50">
        <v>40819.0</v>
      </c>
    </row>
    <row r="441">
      <c r="A441" s="75">
        <v>7437.0</v>
      </c>
      <c r="B441" s="70">
        <v>4544.0</v>
      </c>
      <c r="C441" s="74">
        <v>9595.0</v>
      </c>
      <c r="D441" s="66" t="s">
        <v>3223</v>
      </c>
      <c r="E441" s="66">
        <v>3.0</v>
      </c>
      <c r="F441" s="66">
        <v>29.0</v>
      </c>
      <c r="G441" s="66">
        <v>6.0</v>
      </c>
      <c r="H441" s="66">
        <v>5.0</v>
      </c>
      <c r="I441" s="50">
        <v>92713.0</v>
      </c>
    </row>
    <row r="442">
      <c r="A442" s="75">
        <v>7438.0</v>
      </c>
      <c r="B442" s="70">
        <v>2491.0</v>
      </c>
      <c r="C442" s="74">
        <v>2923.0</v>
      </c>
      <c r="D442" s="66" t="s">
        <v>3224</v>
      </c>
      <c r="E442" s="66">
        <v>2.0</v>
      </c>
      <c r="F442" s="66">
        <v>29.0</v>
      </c>
      <c r="G442" s="66">
        <v>6.0</v>
      </c>
      <c r="H442" s="66">
        <v>6.0</v>
      </c>
      <c r="I442" s="50">
        <v>31218.0</v>
      </c>
    </row>
    <row r="443">
      <c r="A443" s="75">
        <v>7439.0</v>
      </c>
      <c r="B443" s="70">
        <v>9213.0</v>
      </c>
      <c r="C443" s="74">
        <v>5142.0</v>
      </c>
      <c r="D443" s="66" t="s">
        <v>3225</v>
      </c>
      <c r="E443" s="66">
        <v>3.0</v>
      </c>
      <c r="F443" s="66">
        <v>29.0</v>
      </c>
      <c r="G443" s="66">
        <v>6.0</v>
      </c>
      <c r="H443" s="66">
        <v>7.0</v>
      </c>
      <c r="I443" s="50">
        <v>82120.0</v>
      </c>
    </row>
    <row r="444">
      <c r="A444" s="58">
        <v>7440.0</v>
      </c>
      <c r="B444" s="70">
        <v>6688.0</v>
      </c>
      <c r="C444" s="74">
        <v>360.0</v>
      </c>
      <c r="D444" s="66" t="s">
        <v>3226</v>
      </c>
      <c r="E444" s="66">
        <v>2.0</v>
      </c>
      <c r="F444" s="66">
        <v>91.0</v>
      </c>
      <c r="G444" s="66">
        <v>1.0</v>
      </c>
      <c r="H444" s="66">
        <v>6.0</v>
      </c>
      <c r="I444" s="50">
        <v>52819.0</v>
      </c>
    </row>
    <row r="445">
      <c r="A445" s="75">
        <v>7441.0</v>
      </c>
      <c r="B445" s="70">
        <v>4598.0</v>
      </c>
      <c r="C445" s="74">
        <v>4641.0</v>
      </c>
      <c r="D445" s="66" t="s">
        <v>3227</v>
      </c>
      <c r="E445" s="66">
        <v>4.0</v>
      </c>
      <c r="F445" s="66">
        <v>29.0</v>
      </c>
      <c r="G445" s="66">
        <v>7.0</v>
      </c>
      <c r="H445" s="66">
        <v>3.0</v>
      </c>
      <c r="I445" s="50">
        <v>120820.0</v>
      </c>
    </row>
    <row r="446">
      <c r="A446" s="75">
        <v>7442.0</v>
      </c>
      <c r="B446" s="70">
        <v>6759.0</v>
      </c>
      <c r="C446" s="74">
        <v>732.0</v>
      </c>
      <c r="D446" s="66" t="s">
        <v>3228</v>
      </c>
      <c r="E446" s="66">
        <v>4.0</v>
      </c>
      <c r="F446" s="66">
        <v>91.0</v>
      </c>
      <c r="G446" s="66">
        <v>2.0</v>
      </c>
      <c r="H446" s="66">
        <v>3.0</v>
      </c>
      <c r="I446" s="50">
        <v>31714.0</v>
      </c>
    </row>
    <row r="447">
      <c r="A447" s="75">
        <v>7443.0</v>
      </c>
      <c r="B447" s="70">
        <v>8072.0</v>
      </c>
      <c r="C447" s="74">
        <v>382.0</v>
      </c>
      <c r="D447" s="66" t="s">
        <v>3229</v>
      </c>
      <c r="E447" s="66">
        <v>4.0</v>
      </c>
      <c r="F447" s="66">
        <v>91.0</v>
      </c>
      <c r="G447" s="66">
        <v>2.0</v>
      </c>
      <c r="H447" s="66">
        <v>4.0</v>
      </c>
      <c r="I447" s="50">
        <v>21113.0</v>
      </c>
    </row>
    <row r="448">
      <c r="A448" s="75">
        <v>7444.0</v>
      </c>
      <c r="B448" s="70">
        <v>2981.0</v>
      </c>
      <c r="C448" s="74">
        <v>1531.0</v>
      </c>
      <c r="D448" s="66" t="s">
        <v>3230</v>
      </c>
      <c r="E448" s="66">
        <v>1.0</v>
      </c>
      <c r="F448" s="66">
        <v>91.0</v>
      </c>
      <c r="G448" s="66">
        <v>2.0</v>
      </c>
      <c r="H448" s="66">
        <v>6.0</v>
      </c>
      <c r="I448" s="50">
        <v>110622.0</v>
      </c>
    </row>
    <row r="449">
      <c r="A449" s="58">
        <v>7445.0</v>
      </c>
      <c r="B449" s="70">
        <v>2568.0</v>
      </c>
      <c r="C449" s="74">
        <v>8791.0</v>
      </c>
      <c r="D449" s="66" t="s">
        <v>3231</v>
      </c>
      <c r="E449" s="66">
        <v>1.0</v>
      </c>
      <c r="F449" s="66">
        <v>29.0</v>
      </c>
      <c r="G449" s="66">
        <v>8.0</v>
      </c>
      <c r="H449" s="66">
        <v>3.0</v>
      </c>
      <c r="I449" s="50">
        <v>80116.0</v>
      </c>
    </row>
    <row r="450">
      <c r="A450" s="75">
        <v>7446.0</v>
      </c>
      <c r="B450" s="70">
        <v>8931.0</v>
      </c>
      <c r="C450" s="74">
        <v>4763.0</v>
      </c>
      <c r="D450" s="66" t="s">
        <v>3232</v>
      </c>
      <c r="E450" s="66">
        <v>4.0</v>
      </c>
      <c r="F450" s="66">
        <v>91.0</v>
      </c>
      <c r="G450" s="66">
        <v>3.0</v>
      </c>
      <c r="H450" s="66">
        <v>1.0</v>
      </c>
      <c r="I450" s="50">
        <v>70920.0</v>
      </c>
    </row>
    <row r="451">
      <c r="A451" s="75">
        <v>7447.0</v>
      </c>
      <c r="B451" s="70">
        <v>795.0</v>
      </c>
      <c r="C451" s="74">
        <v>4445.0</v>
      </c>
      <c r="D451" s="66" t="s">
        <v>3233</v>
      </c>
      <c r="E451" s="66">
        <v>2.0</v>
      </c>
      <c r="F451" s="66">
        <v>29.0</v>
      </c>
      <c r="G451" s="66">
        <v>8.0</v>
      </c>
      <c r="H451" s="66">
        <v>7.0</v>
      </c>
      <c r="I451" s="50">
        <v>80522.0</v>
      </c>
    </row>
    <row r="452">
      <c r="A452" s="75">
        <v>7448.0</v>
      </c>
      <c r="B452" s="70">
        <v>9418.0</v>
      </c>
      <c r="C452" s="74">
        <v>1368.0</v>
      </c>
      <c r="D452" s="66" t="s">
        <v>3234</v>
      </c>
      <c r="E452" s="66">
        <v>3.0</v>
      </c>
      <c r="F452" s="66">
        <v>29.0</v>
      </c>
      <c r="G452" s="66">
        <v>8.0</v>
      </c>
      <c r="H452" s="66">
        <v>9.0</v>
      </c>
      <c r="I452" s="50">
        <v>42114.0</v>
      </c>
    </row>
    <row r="453">
      <c r="A453" s="75">
        <v>7449.0</v>
      </c>
      <c r="B453" s="70">
        <v>4706.0</v>
      </c>
      <c r="C453" s="74">
        <v>2344.0</v>
      </c>
      <c r="D453" s="66" t="s">
        <v>3235</v>
      </c>
      <c r="E453" s="66">
        <v>2.0</v>
      </c>
      <c r="F453" s="66">
        <v>91.0</v>
      </c>
      <c r="G453" s="66">
        <v>3.0</v>
      </c>
      <c r="H453" s="66">
        <v>4.0</v>
      </c>
      <c r="I453" s="50">
        <v>51222.0</v>
      </c>
    </row>
    <row r="454">
      <c r="A454" s="58">
        <v>7450.0</v>
      </c>
      <c r="B454" s="70">
        <v>2453.0</v>
      </c>
      <c r="C454" s="74">
        <v>4670.0</v>
      </c>
      <c r="D454" s="66" t="s">
        <v>3236</v>
      </c>
      <c r="E454" s="66">
        <v>1.0</v>
      </c>
      <c r="F454" s="66">
        <v>91.0</v>
      </c>
      <c r="G454" s="66">
        <v>3.0</v>
      </c>
      <c r="H454" s="66">
        <v>6.0</v>
      </c>
      <c r="I454" s="50">
        <v>22222.0</v>
      </c>
    </row>
    <row r="455">
      <c r="A455" s="75">
        <v>7451.0</v>
      </c>
      <c r="B455" s="70">
        <v>8292.0</v>
      </c>
      <c r="C455" s="74">
        <v>9177.0</v>
      </c>
      <c r="D455" s="66" t="s">
        <v>3237</v>
      </c>
      <c r="E455" s="66">
        <v>1.0</v>
      </c>
      <c r="F455" s="66">
        <v>91.0</v>
      </c>
      <c r="G455" s="66">
        <v>3.0</v>
      </c>
      <c r="H455" s="66">
        <v>7.0</v>
      </c>
      <c r="I455" s="50">
        <v>11715.0</v>
      </c>
    </row>
    <row r="456">
      <c r="A456" s="75">
        <v>7452.0</v>
      </c>
      <c r="B456" s="70">
        <v>8169.0</v>
      </c>
      <c r="C456" s="74">
        <v>4472.0</v>
      </c>
      <c r="D456" s="66" t="s">
        <v>3238</v>
      </c>
      <c r="E456" s="66">
        <v>1.0</v>
      </c>
      <c r="F456" s="66">
        <v>29.0</v>
      </c>
      <c r="G456" s="66">
        <v>9.0</v>
      </c>
      <c r="H456" s="66">
        <v>4.0</v>
      </c>
      <c r="I456" s="50">
        <v>80617.0</v>
      </c>
    </row>
    <row r="457">
      <c r="A457" s="75">
        <v>7453.0</v>
      </c>
      <c r="B457" s="70">
        <v>2706.0</v>
      </c>
      <c r="C457" s="74">
        <v>4944.0</v>
      </c>
      <c r="D457" s="66" t="s">
        <v>3239</v>
      </c>
      <c r="E457" s="66">
        <v>1.0</v>
      </c>
      <c r="F457" s="66">
        <v>91.0</v>
      </c>
      <c r="G457" s="66">
        <v>5.0</v>
      </c>
      <c r="H457" s="66">
        <v>2.0</v>
      </c>
      <c r="I457" s="50">
        <v>90618.0</v>
      </c>
    </row>
    <row r="458">
      <c r="A458" s="75">
        <v>7454.0</v>
      </c>
      <c r="B458" s="70">
        <v>6620.0</v>
      </c>
      <c r="C458" s="74">
        <v>3134.0</v>
      </c>
      <c r="D458" s="66" t="s">
        <v>3240</v>
      </c>
      <c r="E458" s="66">
        <v>3.0</v>
      </c>
      <c r="F458" s="66">
        <v>91.0</v>
      </c>
      <c r="G458" s="66">
        <v>5.0</v>
      </c>
      <c r="H458" s="66">
        <v>3.0</v>
      </c>
      <c r="I458" s="50">
        <v>52318.0</v>
      </c>
    </row>
    <row r="459">
      <c r="A459" s="58">
        <v>7455.0</v>
      </c>
      <c r="B459" s="70">
        <v>4684.0</v>
      </c>
      <c r="C459" s="74">
        <v>3478.0</v>
      </c>
      <c r="D459" s="66" t="s">
        <v>3241</v>
      </c>
      <c r="E459" s="66">
        <v>2.0</v>
      </c>
      <c r="F459" s="66">
        <v>91.0</v>
      </c>
      <c r="G459" s="66">
        <v>5.0</v>
      </c>
      <c r="H459" s="66">
        <v>5.0</v>
      </c>
      <c r="I459" s="50">
        <v>42221.0</v>
      </c>
    </row>
    <row r="460">
      <c r="A460" s="75">
        <v>7456.0</v>
      </c>
      <c r="B460" s="70">
        <v>4248.0</v>
      </c>
      <c r="C460" s="74">
        <v>6246.0</v>
      </c>
      <c r="D460" s="66" t="s">
        <v>3242</v>
      </c>
      <c r="E460" s="66">
        <v>2.0</v>
      </c>
      <c r="F460" s="66">
        <v>91.0</v>
      </c>
      <c r="G460" s="66">
        <v>6.0</v>
      </c>
      <c r="H460" s="66">
        <v>3.0</v>
      </c>
      <c r="I460" s="50">
        <v>110821.0</v>
      </c>
    </row>
    <row r="461">
      <c r="A461" s="75">
        <v>7457.0</v>
      </c>
      <c r="B461" s="70">
        <v>5711.0</v>
      </c>
      <c r="C461" s="74">
        <v>3879.0</v>
      </c>
      <c r="D461" s="66" t="s">
        <v>3243</v>
      </c>
      <c r="E461" s="66">
        <v>2.0</v>
      </c>
      <c r="F461" s="66">
        <v>91.0</v>
      </c>
      <c r="G461" s="66">
        <v>6.0</v>
      </c>
      <c r="H461" s="66">
        <v>4.0</v>
      </c>
      <c r="I461" s="50">
        <v>121514.0</v>
      </c>
    </row>
    <row r="462">
      <c r="A462" s="75">
        <v>7458.0</v>
      </c>
      <c r="B462" s="70">
        <v>9277.0</v>
      </c>
      <c r="C462" s="74">
        <v>4664.0</v>
      </c>
      <c r="D462" s="66" t="s">
        <v>3244</v>
      </c>
      <c r="E462" s="66">
        <v>1.0</v>
      </c>
      <c r="F462" s="66">
        <v>71.0</v>
      </c>
      <c r="G462" s="66">
        <v>1.0</v>
      </c>
      <c r="H462" s="66">
        <v>7.0</v>
      </c>
      <c r="I462" s="50">
        <v>21813.0</v>
      </c>
    </row>
    <row r="463">
      <c r="A463" s="75">
        <v>7459.0</v>
      </c>
      <c r="B463" s="70">
        <v>1181.0</v>
      </c>
      <c r="C463" s="74">
        <v>4228.0</v>
      </c>
      <c r="D463" s="66" t="s">
        <v>3245</v>
      </c>
      <c r="E463" s="66">
        <v>2.0</v>
      </c>
      <c r="F463" s="66">
        <v>71.0</v>
      </c>
      <c r="G463" s="66">
        <v>2.0</v>
      </c>
      <c r="H463" s="66">
        <v>5.0</v>
      </c>
      <c r="I463" s="50">
        <v>81720.0</v>
      </c>
    </row>
    <row r="464">
      <c r="A464" s="58">
        <v>7460.0</v>
      </c>
      <c r="B464" s="70">
        <v>1400.0</v>
      </c>
      <c r="C464" s="74">
        <v>5420.0</v>
      </c>
      <c r="D464" s="66" t="s">
        <v>3246</v>
      </c>
      <c r="E464" s="66">
        <v>3.0</v>
      </c>
      <c r="F464" s="66">
        <v>71.0</v>
      </c>
      <c r="G464" s="66">
        <v>2.0</v>
      </c>
      <c r="H464" s="66">
        <v>9.0</v>
      </c>
      <c r="I464" s="50">
        <v>50318.0</v>
      </c>
    </row>
    <row r="465">
      <c r="A465" s="75">
        <v>7461.0</v>
      </c>
      <c r="B465" s="70">
        <v>6394.0</v>
      </c>
      <c r="C465" s="74">
        <v>7805.0</v>
      </c>
      <c r="D465" s="66" t="s">
        <v>3247</v>
      </c>
      <c r="E465" s="66">
        <v>1.0</v>
      </c>
      <c r="F465" s="66">
        <v>91.0</v>
      </c>
      <c r="G465" s="66">
        <v>7.0</v>
      </c>
      <c r="H465" s="66">
        <v>8.0</v>
      </c>
      <c r="I465" s="50">
        <v>73122.0</v>
      </c>
    </row>
    <row r="466">
      <c r="A466" s="75">
        <v>7462.0</v>
      </c>
      <c r="B466" s="70">
        <v>5544.0</v>
      </c>
      <c r="C466" s="74">
        <v>6244.0</v>
      </c>
      <c r="D466" s="66" t="s">
        <v>3248</v>
      </c>
      <c r="E466" s="66">
        <v>2.0</v>
      </c>
      <c r="F466" s="66">
        <v>71.0</v>
      </c>
      <c r="G466" s="66">
        <v>3.0</v>
      </c>
      <c r="H466" s="66">
        <v>1.0</v>
      </c>
      <c r="I466" s="50">
        <v>81818.0</v>
      </c>
    </row>
    <row r="467">
      <c r="A467" s="75">
        <v>7463.0</v>
      </c>
      <c r="B467" s="70">
        <v>7450.0</v>
      </c>
      <c r="C467" s="74">
        <v>1804.0</v>
      </c>
      <c r="D467" s="66" t="s">
        <v>3249</v>
      </c>
      <c r="E467" s="66">
        <v>2.0</v>
      </c>
      <c r="F467" s="66">
        <v>91.0</v>
      </c>
      <c r="G467" s="66">
        <v>7.0</v>
      </c>
      <c r="H467" s="66">
        <v>9.0</v>
      </c>
      <c r="I467" s="50">
        <v>121213.0</v>
      </c>
    </row>
    <row r="468">
      <c r="A468" s="75">
        <v>7464.0</v>
      </c>
      <c r="B468" s="70">
        <v>7824.0</v>
      </c>
      <c r="C468" s="74">
        <v>4675.0</v>
      </c>
      <c r="D468" s="66" t="s">
        <v>3250</v>
      </c>
      <c r="E468" s="66">
        <v>3.0</v>
      </c>
      <c r="F468" s="66">
        <v>91.0</v>
      </c>
      <c r="G468" s="66">
        <v>8.0</v>
      </c>
      <c r="H468" s="66">
        <v>5.0</v>
      </c>
      <c r="I468" s="50">
        <v>111413.0</v>
      </c>
    </row>
    <row r="469">
      <c r="A469" s="58">
        <v>7465.0</v>
      </c>
      <c r="B469" s="70">
        <v>8690.0</v>
      </c>
      <c r="C469" s="74">
        <v>8527.0</v>
      </c>
      <c r="D469" s="66" t="s">
        <v>3251</v>
      </c>
      <c r="E469" s="66">
        <v>1.0</v>
      </c>
      <c r="F469" s="66">
        <v>71.0</v>
      </c>
      <c r="G469" s="66">
        <v>4.0</v>
      </c>
      <c r="H469" s="66">
        <v>1.0</v>
      </c>
      <c r="I469" s="50">
        <v>112214.0</v>
      </c>
    </row>
    <row r="470">
      <c r="A470" s="75">
        <v>7466.0</v>
      </c>
      <c r="B470" s="70">
        <v>5544.0</v>
      </c>
      <c r="C470" s="74">
        <v>5790.0</v>
      </c>
      <c r="D470" s="66" t="s">
        <v>3252</v>
      </c>
      <c r="E470" s="66">
        <v>4.0</v>
      </c>
      <c r="F470" s="66">
        <v>71.0</v>
      </c>
      <c r="G470" s="66">
        <v>4.0</v>
      </c>
      <c r="H470" s="66">
        <v>2.0</v>
      </c>
      <c r="I470" s="50">
        <v>61919.0</v>
      </c>
    </row>
    <row r="471">
      <c r="A471" s="75">
        <v>7467.0</v>
      </c>
      <c r="B471" s="70">
        <v>8993.0</v>
      </c>
      <c r="C471" s="74">
        <v>6526.0</v>
      </c>
      <c r="D471" s="66" t="s">
        <v>3253</v>
      </c>
      <c r="E471" s="66">
        <v>4.0</v>
      </c>
      <c r="F471" s="66">
        <v>91.0</v>
      </c>
      <c r="G471" s="66">
        <v>9.0</v>
      </c>
      <c r="H471" s="66">
        <v>2.0</v>
      </c>
      <c r="I471" s="50">
        <v>100113.0</v>
      </c>
    </row>
    <row r="472">
      <c r="A472" s="75">
        <v>7468.0</v>
      </c>
      <c r="B472" s="70">
        <v>792.0</v>
      </c>
      <c r="C472" s="74">
        <v>5978.0</v>
      </c>
      <c r="D472" s="66" t="s">
        <v>3254</v>
      </c>
      <c r="E472" s="66">
        <v>1.0</v>
      </c>
      <c r="F472" s="66">
        <v>91.0</v>
      </c>
      <c r="G472" s="66">
        <v>9.0</v>
      </c>
      <c r="H472" s="66">
        <v>3.0</v>
      </c>
      <c r="I472" s="50">
        <v>60113.0</v>
      </c>
    </row>
    <row r="473">
      <c r="A473" s="75">
        <v>7469.0</v>
      </c>
      <c r="B473" s="70">
        <v>6130.0</v>
      </c>
      <c r="C473" s="74">
        <v>6181.0</v>
      </c>
      <c r="D473" s="66" t="s">
        <v>3255</v>
      </c>
      <c r="E473" s="66">
        <v>4.0</v>
      </c>
      <c r="F473" s="66">
        <v>71.0</v>
      </c>
      <c r="G473" s="66">
        <v>5.0</v>
      </c>
      <c r="H473" s="66">
        <v>1.0</v>
      </c>
      <c r="I473" s="50">
        <v>62518.0</v>
      </c>
    </row>
    <row r="474">
      <c r="A474" s="58">
        <v>7470.0</v>
      </c>
      <c r="B474" s="70">
        <v>8300.0</v>
      </c>
      <c r="C474" s="74">
        <v>3584.0</v>
      </c>
      <c r="D474" s="66" t="s">
        <v>3256</v>
      </c>
      <c r="E474" s="66">
        <v>3.0</v>
      </c>
      <c r="F474" s="66">
        <v>71.0</v>
      </c>
      <c r="G474" s="66">
        <v>5.0</v>
      </c>
      <c r="H474" s="66">
        <v>7.0</v>
      </c>
      <c r="I474" s="50">
        <v>71213.0</v>
      </c>
    </row>
    <row r="475">
      <c r="A475" s="75">
        <v>7471.0</v>
      </c>
      <c r="B475" s="70">
        <v>4224.0</v>
      </c>
      <c r="C475" s="74">
        <v>8750.0</v>
      </c>
      <c r="D475" s="66" t="s">
        <v>3257</v>
      </c>
      <c r="E475" s="66">
        <v>3.0</v>
      </c>
      <c r="F475" s="66">
        <v>51.0</v>
      </c>
      <c r="G475" s="66">
        <v>1.0</v>
      </c>
      <c r="H475" s="66">
        <v>9.0</v>
      </c>
      <c r="I475" s="50">
        <v>11516.0</v>
      </c>
    </row>
    <row r="476">
      <c r="A476" s="75">
        <v>7472.0</v>
      </c>
      <c r="B476" s="70">
        <v>9162.0</v>
      </c>
      <c r="C476" s="74">
        <v>3454.0</v>
      </c>
      <c r="D476" s="66" t="s">
        <v>3258</v>
      </c>
      <c r="E476" s="66">
        <v>4.0</v>
      </c>
      <c r="F476" s="66">
        <v>92.0</v>
      </c>
      <c r="G476" s="66">
        <v>1.0</v>
      </c>
      <c r="H476" s="66">
        <v>7.0</v>
      </c>
      <c r="I476" s="50">
        <v>12114.0</v>
      </c>
    </row>
    <row r="477">
      <c r="A477" s="75">
        <v>7473.0</v>
      </c>
      <c r="B477" s="70">
        <v>8456.0</v>
      </c>
      <c r="C477" s="74">
        <v>3345.0</v>
      </c>
      <c r="D477" s="66" t="s">
        <v>3259</v>
      </c>
      <c r="E477" s="66">
        <v>4.0</v>
      </c>
      <c r="F477" s="66">
        <v>92.0</v>
      </c>
      <c r="G477" s="66">
        <v>1.0</v>
      </c>
      <c r="H477" s="66">
        <v>8.0</v>
      </c>
      <c r="I477" s="50">
        <v>81316.0</v>
      </c>
    </row>
    <row r="478">
      <c r="A478" s="75">
        <v>7474.0</v>
      </c>
      <c r="B478" s="70">
        <v>5600.0</v>
      </c>
      <c r="C478" s="74">
        <v>6185.0</v>
      </c>
      <c r="D478" s="66" t="s">
        <v>3260</v>
      </c>
      <c r="E478" s="66">
        <v>2.0</v>
      </c>
      <c r="F478" s="66">
        <v>51.0</v>
      </c>
      <c r="G478" s="66">
        <v>2.0</v>
      </c>
      <c r="H478" s="66">
        <v>2.0</v>
      </c>
      <c r="I478" s="50">
        <v>63013.0</v>
      </c>
    </row>
    <row r="479">
      <c r="A479" s="58">
        <v>7475.0</v>
      </c>
      <c r="B479" s="70">
        <v>436.0</v>
      </c>
      <c r="C479" s="74">
        <v>547.0</v>
      </c>
      <c r="D479" s="66" t="s">
        <v>3261</v>
      </c>
      <c r="E479" s="66">
        <v>4.0</v>
      </c>
      <c r="F479" s="66">
        <v>71.0</v>
      </c>
      <c r="G479" s="66">
        <v>7.0</v>
      </c>
      <c r="H479" s="66">
        <v>4.0</v>
      </c>
      <c r="I479" s="50">
        <v>102616.0</v>
      </c>
    </row>
    <row r="480">
      <c r="A480" s="75">
        <v>7476.0</v>
      </c>
      <c r="B480" s="70">
        <v>9455.0</v>
      </c>
      <c r="C480" s="74">
        <v>1929.0</v>
      </c>
      <c r="D480" s="66" t="s">
        <v>3262</v>
      </c>
      <c r="E480" s="66">
        <v>4.0</v>
      </c>
      <c r="F480" s="66">
        <v>92.0</v>
      </c>
      <c r="G480" s="66">
        <v>2.0</v>
      </c>
      <c r="H480" s="66">
        <v>5.0</v>
      </c>
      <c r="I480" s="50">
        <v>30314.0</v>
      </c>
    </row>
    <row r="481">
      <c r="A481" s="75">
        <v>7477.0</v>
      </c>
      <c r="B481" s="70">
        <v>6290.0</v>
      </c>
      <c r="C481" s="74">
        <v>1047.0</v>
      </c>
      <c r="D481" s="66" t="s">
        <v>3263</v>
      </c>
      <c r="E481" s="66">
        <v>3.0</v>
      </c>
      <c r="F481" s="66">
        <v>92.0</v>
      </c>
      <c r="G481" s="66">
        <v>2.0</v>
      </c>
      <c r="H481" s="66">
        <v>6.0</v>
      </c>
      <c r="I481" s="50">
        <v>42818.0</v>
      </c>
    </row>
    <row r="482">
      <c r="A482" s="75">
        <v>7478.0</v>
      </c>
      <c r="B482" s="70">
        <v>7300.0</v>
      </c>
      <c r="C482" s="74">
        <v>3563.0</v>
      </c>
      <c r="D482" s="66" t="s">
        <v>3264</v>
      </c>
      <c r="E482" s="66">
        <v>4.0</v>
      </c>
      <c r="F482" s="66">
        <v>71.0</v>
      </c>
      <c r="G482" s="66">
        <v>8.0</v>
      </c>
      <c r="H482" s="66">
        <v>3.0</v>
      </c>
      <c r="I482" s="50">
        <v>102419.0</v>
      </c>
    </row>
    <row r="483">
      <c r="A483" s="75">
        <v>7479.0</v>
      </c>
      <c r="B483" s="70">
        <v>3422.0</v>
      </c>
      <c r="C483" s="74">
        <v>1294.0</v>
      </c>
      <c r="D483" s="66" t="s">
        <v>3265</v>
      </c>
      <c r="E483" s="66">
        <v>1.0</v>
      </c>
      <c r="F483" s="66">
        <v>92.0</v>
      </c>
      <c r="G483" s="66">
        <v>3.0</v>
      </c>
      <c r="H483" s="66">
        <v>2.0</v>
      </c>
      <c r="I483" s="50">
        <v>52018.0</v>
      </c>
    </row>
    <row r="484">
      <c r="A484" s="58">
        <v>7480.0</v>
      </c>
      <c r="B484" s="70">
        <v>5503.0</v>
      </c>
      <c r="C484" s="74">
        <v>6329.0</v>
      </c>
      <c r="D484" s="66" t="s">
        <v>3266</v>
      </c>
      <c r="E484" s="66">
        <v>2.0</v>
      </c>
      <c r="F484" s="66">
        <v>71.0</v>
      </c>
      <c r="G484" s="66">
        <v>8.0</v>
      </c>
      <c r="H484" s="66">
        <v>5.0</v>
      </c>
      <c r="I484" s="50">
        <v>22117.0</v>
      </c>
    </row>
    <row r="485">
      <c r="A485" s="75">
        <v>7481.0</v>
      </c>
      <c r="B485" s="70">
        <v>728.0</v>
      </c>
      <c r="C485" s="74">
        <v>3221.0</v>
      </c>
      <c r="D485" s="66" t="s">
        <v>3267</v>
      </c>
      <c r="E485" s="66">
        <v>3.0</v>
      </c>
      <c r="F485" s="66">
        <v>71.0</v>
      </c>
      <c r="G485" s="66">
        <v>8.0</v>
      </c>
      <c r="H485" s="66">
        <v>8.0</v>
      </c>
      <c r="I485" s="50">
        <v>41420.0</v>
      </c>
    </row>
    <row r="486">
      <c r="A486" s="75">
        <v>7482.0</v>
      </c>
      <c r="B486" s="70">
        <v>6029.0</v>
      </c>
      <c r="C486" s="74">
        <v>6205.0</v>
      </c>
      <c r="D486" s="66" t="s">
        <v>3268</v>
      </c>
      <c r="E486" s="66">
        <v>3.0</v>
      </c>
      <c r="F486" s="66">
        <v>71.0</v>
      </c>
      <c r="G486" s="66">
        <v>9.0</v>
      </c>
      <c r="H486" s="66">
        <v>1.0</v>
      </c>
      <c r="I486" s="50">
        <v>31213.0</v>
      </c>
    </row>
    <row r="487">
      <c r="A487" s="75">
        <v>7483.0</v>
      </c>
      <c r="B487" s="70">
        <v>6679.0</v>
      </c>
      <c r="C487" s="74">
        <v>6936.0</v>
      </c>
      <c r="D487" s="66" t="s">
        <v>3269</v>
      </c>
      <c r="E487" s="66">
        <v>3.0</v>
      </c>
      <c r="F487" s="66">
        <v>71.0</v>
      </c>
      <c r="G487" s="66">
        <v>9.0</v>
      </c>
      <c r="H487" s="66">
        <v>2.0</v>
      </c>
      <c r="I487" s="50">
        <v>40117.0</v>
      </c>
    </row>
    <row r="488">
      <c r="A488" s="75">
        <v>7484.0</v>
      </c>
      <c r="B488" s="70">
        <v>9726.0</v>
      </c>
      <c r="C488" s="74">
        <v>3237.0</v>
      </c>
      <c r="D488" s="66" t="s">
        <v>3270</v>
      </c>
      <c r="E488" s="66">
        <v>2.0</v>
      </c>
      <c r="F488" s="66">
        <v>92.0</v>
      </c>
      <c r="G488" s="66">
        <v>4.0</v>
      </c>
      <c r="H488" s="66">
        <v>9.0</v>
      </c>
      <c r="I488" s="50">
        <v>12615.0</v>
      </c>
    </row>
    <row r="489">
      <c r="A489" s="58">
        <v>7485.0</v>
      </c>
      <c r="B489" s="70">
        <v>3484.0</v>
      </c>
      <c r="C489" s="74">
        <v>495.0</v>
      </c>
      <c r="D489" s="66" t="s">
        <v>3271</v>
      </c>
      <c r="E489" s="66">
        <v>3.0</v>
      </c>
      <c r="F489" s="66">
        <v>31.0</v>
      </c>
      <c r="G489" s="66">
        <v>1.0</v>
      </c>
      <c r="H489" s="66">
        <v>5.0</v>
      </c>
      <c r="I489" s="50">
        <v>61515.0</v>
      </c>
    </row>
    <row r="490">
      <c r="A490" s="75">
        <v>7486.0</v>
      </c>
      <c r="B490" s="70">
        <v>6523.0</v>
      </c>
      <c r="C490" s="74">
        <v>228.0</v>
      </c>
      <c r="D490" s="66" t="s">
        <v>3272</v>
      </c>
      <c r="E490" s="66">
        <v>1.0</v>
      </c>
      <c r="F490" s="66">
        <v>51.0</v>
      </c>
      <c r="G490" s="66">
        <v>6.0</v>
      </c>
      <c r="H490" s="66">
        <v>8.0</v>
      </c>
      <c r="I490" s="50">
        <v>100913.0</v>
      </c>
    </row>
    <row r="491">
      <c r="A491" s="75">
        <v>7487.0</v>
      </c>
      <c r="B491" s="70">
        <v>802.0</v>
      </c>
      <c r="C491" s="74">
        <v>1445.0</v>
      </c>
      <c r="D491" s="66" t="s">
        <v>3273</v>
      </c>
      <c r="E491" s="66">
        <v>3.0</v>
      </c>
      <c r="F491" s="66">
        <v>92.0</v>
      </c>
      <c r="G491" s="66">
        <v>6.0</v>
      </c>
      <c r="H491" s="66">
        <v>4.0</v>
      </c>
      <c r="I491" s="50">
        <v>80118.0</v>
      </c>
    </row>
    <row r="492">
      <c r="A492" s="75">
        <v>7488.0</v>
      </c>
      <c r="B492" s="70">
        <v>5550.0</v>
      </c>
      <c r="C492" s="74">
        <v>4150.0</v>
      </c>
      <c r="D492" s="66" t="s">
        <v>3274</v>
      </c>
      <c r="E492" s="66">
        <v>3.0</v>
      </c>
      <c r="F492" s="66">
        <v>31.0</v>
      </c>
      <c r="G492" s="66">
        <v>2.0</v>
      </c>
      <c r="H492" s="66">
        <v>3.0</v>
      </c>
      <c r="I492" s="50">
        <v>110916.0</v>
      </c>
    </row>
    <row r="493">
      <c r="A493" s="75">
        <v>7489.0</v>
      </c>
      <c r="B493" s="70">
        <v>4543.0</v>
      </c>
      <c r="C493" s="74">
        <v>9743.0</v>
      </c>
      <c r="D493" s="66" t="s">
        <v>3275</v>
      </c>
      <c r="E493" s="66">
        <v>3.0</v>
      </c>
      <c r="F493" s="66">
        <v>92.0</v>
      </c>
      <c r="G493" s="66">
        <v>6.0</v>
      </c>
      <c r="H493" s="66">
        <v>8.0</v>
      </c>
      <c r="I493" s="50">
        <v>112421.0</v>
      </c>
    </row>
    <row r="494">
      <c r="A494" s="58">
        <v>7490.0</v>
      </c>
      <c r="B494" s="70">
        <v>6382.0</v>
      </c>
      <c r="C494" s="74">
        <v>7099.0</v>
      </c>
      <c r="D494" s="66" t="s">
        <v>3276</v>
      </c>
      <c r="E494" s="66">
        <v>1.0</v>
      </c>
      <c r="F494" s="66">
        <v>51.0</v>
      </c>
      <c r="G494" s="66">
        <v>7.0</v>
      </c>
      <c r="H494" s="66">
        <v>3.0</v>
      </c>
      <c r="I494" s="50">
        <v>10917.0</v>
      </c>
    </row>
    <row r="495">
      <c r="A495" s="75">
        <v>7491.0</v>
      </c>
      <c r="B495" s="70">
        <v>1881.0</v>
      </c>
      <c r="C495" s="74">
        <v>7330.0</v>
      </c>
      <c r="D495" s="66" t="s">
        <v>3277</v>
      </c>
      <c r="E495" s="66">
        <v>3.0</v>
      </c>
      <c r="F495" s="66">
        <v>72.0</v>
      </c>
      <c r="G495" s="66">
        <v>2.0</v>
      </c>
      <c r="H495" s="66">
        <v>3.0</v>
      </c>
      <c r="I495" s="50">
        <v>12017.0</v>
      </c>
    </row>
    <row r="496">
      <c r="A496" s="75">
        <v>7492.0</v>
      </c>
      <c r="B496" s="70">
        <v>2576.0</v>
      </c>
      <c r="C496" s="74">
        <v>9965.0</v>
      </c>
      <c r="D496" s="66" t="s">
        <v>3278</v>
      </c>
      <c r="E496" s="66">
        <v>2.0</v>
      </c>
      <c r="F496" s="66">
        <v>72.0</v>
      </c>
      <c r="G496" s="66">
        <v>2.0</v>
      </c>
      <c r="H496" s="66">
        <v>4.0</v>
      </c>
      <c r="I496" s="50">
        <v>111821.0</v>
      </c>
    </row>
    <row r="497">
      <c r="A497" s="75">
        <v>7493.0</v>
      </c>
      <c r="B497" s="70">
        <v>2358.0</v>
      </c>
      <c r="C497" s="74">
        <v>5347.0</v>
      </c>
      <c r="D497" s="66" t="s">
        <v>3279</v>
      </c>
      <c r="E497" s="66">
        <v>3.0</v>
      </c>
      <c r="F497" s="66">
        <v>31.0</v>
      </c>
      <c r="G497" s="66">
        <v>2.0</v>
      </c>
      <c r="H497" s="66">
        <v>9.0</v>
      </c>
      <c r="I497" s="50">
        <v>40718.0</v>
      </c>
    </row>
    <row r="498">
      <c r="A498" s="75">
        <v>7494.0</v>
      </c>
      <c r="B498" s="70">
        <v>9943.0</v>
      </c>
      <c r="C498" s="74">
        <v>6203.0</v>
      </c>
      <c r="D498" s="66" t="s">
        <v>3280</v>
      </c>
      <c r="E498" s="66">
        <v>4.0</v>
      </c>
      <c r="F498" s="66">
        <v>92.0</v>
      </c>
      <c r="G498" s="66">
        <v>7.0</v>
      </c>
      <c r="H498" s="66">
        <v>5.0</v>
      </c>
      <c r="I498" s="50">
        <v>10218.0</v>
      </c>
    </row>
    <row r="499">
      <c r="A499" s="58">
        <v>7495.0</v>
      </c>
      <c r="B499" s="70">
        <v>3407.0</v>
      </c>
      <c r="C499" s="74">
        <v>3914.0</v>
      </c>
      <c r="D499" s="66" t="s">
        <v>3281</v>
      </c>
      <c r="E499" s="66">
        <v>4.0</v>
      </c>
      <c r="F499" s="66">
        <v>31.0</v>
      </c>
      <c r="G499" s="66">
        <v>3.0</v>
      </c>
      <c r="H499" s="66">
        <v>2.0</v>
      </c>
      <c r="I499" s="50">
        <v>121413.0</v>
      </c>
    </row>
    <row r="500">
      <c r="A500" s="75">
        <v>7496.0</v>
      </c>
      <c r="B500" s="70">
        <v>8860.0</v>
      </c>
      <c r="C500" s="74">
        <v>6892.0</v>
      </c>
      <c r="D500" s="66" t="s">
        <v>3282</v>
      </c>
      <c r="E500" s="66">
        <v>4.0</v>
      </c>
      <c r="F500" s="66">
        <v>92.0</v>
      </c>
      <c r="G500" s="66">
        <v>7.0</v>
      </c>
      <c r="H500" s="66">
        <v>9.0</v>
      </c>
      <c r="I500" s="50">
        <v>120613.0</v>
      </c>
    </row>
    <row r="501">
      <c r="A501" s="75">
        <v>7497.0</v>
      </c>
      <c r="B501" s="70">
        <v>1892.0</v>
      </c>
      <c r="C501" s="74">
        <v>6038.0</v>
      </c>
      <c r="D501" s="66" t="s">
        <v>3283</v>
      </c>
      <c r="E501" s="66">
        <v>1.0</v>
      </c>
      <c r="F501" s="66">
        <v>31.0</v>
      </c>
      <c r="G501" s="66">
        <v>4.0</v>
      </c>
      <c r="H501" s="66">
        <v>2.0</v>
      </c>
      <c r="I501" s="50">
        <v>41517.0</v>
      </c>
    </row>
    <row r="502">
      <c r="A502" s="75">
        <v>7498.0</v>
      </c>
      <c r="B502" s="70">
        <v>1620.0</v>
      </c>
      <c r="C502" s="74">
        <v>3423.0</v>
      </c>
      <c r="D502" s="66" t="s">
        <v>3284</v>
      </c>
      <c r="E502" s="66">
        <v>4.0</v>
      </c>
      <c r="F502" s="66">
        <v>51.0</v>
      </c>
      <c r="G502" s="66">
        <v>9.0</v>
      </c>
      <c r="H502" s="66">
        <v>3.0</v>
      </c>
      <c r="I502" s="50">
        <v>121618.0</v>
      </c>
    </row>
    <row r="503">
      <c r="A503" s="75">
        <v>7499.0</v>
      </c>
      <c r="B503" s="70">
        <v>1494.0</v>
      </c>
      <c r="C503" s="74">
        <v>1074.0</v>
      </c>
      <c r="D503" s="66" t="s">
        <v>3285</v>
      </c>
      <c r="E503" s="66">
        <v>1.0</v>
      </c>
      <c r="F503" s="66">
        <v>51.0</v>
      </c>
      <c r="G503" s="66">
        <v>9.0</v>
      </c>
      <c r="H503" s="66">
        <v>4.0</v>
      </c>
      <c r="I503" s="50">
        <v>31522.0</v>
      </c>
    </row>
    <row r="504">
      <c r="A504" s="58">
        <v>7500.0</v>
      </c>
      <c r="B504" s="70">
        <v>1128.0</v>
      </c>
      <c r="C504" s="74">
        <v>9642.0</v>
      </c>
      <c r="D504" s="66" t="s">
        <v>3286</v>
      </c>
      <c r="E504" s="66">
        <v>1.0</v>
      </c>
      <c r="F504" s="66">
        <v>51.0</v>
      </c>
      <c r="G504" s="66">
        <v>9.0</v>
      </c>
      <c r="H504" s="66">
        <v>5.0</v>
      </c>
      <c r="I504" s="50">
        <v>70220.0</v>
      </c>
    </row>
    <row r="505">
      <c r="A505" s="75">
        <v>7501.0</v>
      </c>
      <c r="B505" s="70">
        <v>4730.0</v>
      </c>
      <c r="C505" s="74">
        <v>6126.0</v>
      </c>
      <c r="D505" s="66" t="s">
        <v>3287</v>
      </c>
      <c r="E505" s="66">
        <v>3.0</v>
      </c>
      <c r="F505" s="66">
        <v>92.0</v>
      </c>
      <c r="G505" s="66">
        <v>8.0</v>
      </c>
      <c r="H505" s="66">
        <v>9.0</v>
      </c>
      <c r="I505" s="50">
        <v>121822.0</v>
      </c>
    </row>
    <row r="506">
      <c r="A506" s="75">
        <v>7502.0</v>
      </c>
      <c r="B506" s="70">
        <v>6100.0</v>
      </c>
      <c r="C506" s="74">
        <v>3876.0</v>
      </c>
      <c r="D506" s="66" t="s">
        <v>3288</v>
      </c>
      <c r="E506" s="66">
        <v>1.0</v>
      </c>
      <c r="F506" s="66">
        <v>72.0</v>
      </c>
      <c r="G506" s="66">
        <v>4.0</v>
      </c>
      <c r="H506" s="66">
        <v>5.0</v>
      </c>
      <c r="I506" s="50">
        <v>61720.0</v>
      </c>
    </row>
    <row r="507">
      <c r="A507" s="75">
        <v>7503.0</v>
      </c>
      <c r="B507" s="70">
        <v>5778.0</v>
      </c>
      <c r="C507" s="74">
        <v>171.0</v>
      </c>
      <c r="D507" s="66" t="s">
        <v>3289</v>
      </c>
      <c r="E507" s="66">
        <v>3.0</v>
      </c>
      <c r="F507" s="66">
        <v>72.0</v>
      </c>
      <c r="G507" s="66">
        <v>4.0</v>
      </c>
      <c r="H507" s="66">
        <v>7.0</v>
      </c>
      <c r="I507" s="50">
        <v>120817.0</v>
      </c>
    </row>
    <row r="508">
      <c r="A508" s="75">
        <v>7504.0</v>
      </c>
      <c r="B508" s="70">
        <v>7233.0</v>
      </c>
      <c r="C508" s="74">
        <v>9680.0</v>
      </c>
      <c r="D508" s="66" t="s">
        <v>3290</v>
      </c>
      <c r="E508" s="66">
        <v>1.0</v>
      </c>
      <c r="F508" s="66">
        <v>92.0</v>
      </c>
      <c r="G508" s="66">
        <v>9.0</v>
      </c>
      <c r="H508" s="66">
        <v>6.0</v>
      </c>
      <c r="I508" s="50">
        <v>82221.0</v>
      </c>
    </row>
    <row r="509">
      <c r="A509" s="58">
        <v>7505.0</v>
      </c>
      <c r="B509" s="70">
        <v>7321.0</v>
      </c>
      <c r="C509" s="74">
        <v>2772.0</v>
      </c>
      <c r="D509" s="66" t="s">
        <v>3291</v>
      </c>
      <c r="E509" s="66">
        <v>3.0</v>
      </c>
      <c r="F509" s="66">
        <v>92.0</v>
      </c>
      <c r="G509" s="66">
        <v>9.0</v>
      </c>
      <c r="H509" s="66">
        <v>8.0</v>
      </c>
      <c r="I509" s="50">
        <v>102317.0</v>
      </c>
    </row>
    <row r="510">
      <c r="A510" s="75">
        <v>7506.0</v>
      </c>
      <c r="B510" s="70">
        <v>994.0</v>
      </c>
      <c r="C510" s="74">
        <v>4499.0</v>
      </c>
      <c r="D510" s="66" t="s">
        <v>3292</v>
      </c>
      <c r="E510" s="66">
        <v>2.0</v>
      </c>
      <c r="F510" s="66">
        <v>31.0</v>
      </c>
      <c r="G510" s="66">
        <v>6.0</v>
      </c>
      <c r="H510" s="66">
        <v>1.0</v>
      </c>
      <c r="I510" s="50">
        <v>41714.0</v>
      </c>
    </row>
    <row r="511">
      <c r="A511" s="75">
        <v>7507.0</v>
      </c>
      <c r="B511" s="70">
        <v>3143.0</v>
      </c>
      <c r="C511" s="74">
        <v>9164.0</v>
      </c>
      <c r="D511" s="66" t="s">
        <v>3293</v>
      </c>
      <c r="E511" s="66">
        <v>4.0</v>
      </c>
      <c r="F511" s="66">
        <v>11.0</v>
      </c>
      <c r="G511" s="66">
        <v>1.0</v>
      </c>
      <c r="H511" s="66">
        <v>4.0</v>
      </c>
      <c r="I511" s="50">
        <v>70813.0</v>
      </c>
    </row>
    <row r="512">
      <c r="A512" s="75">
        <v>7508.0</v>
      </c>
      <c r="B512" s="70">
        <v>8885.0</v>
      </c>
      <c r="C512" s="74">
        <v>2443.0</v>
      </c>
      <c r="D512" s="66" t="s">
        <v>3294</v>
      </c>
      <c r="E512" s="66">
        <v>1.0</v>
      </c>
      <c r="F512" s="66">
        <v>52.0</v>
      </c>
      <c r="G512" s="66">
        <v>1.0</v>
      </c>
      <c r="H512" s="66">
        <v>3.0</v>
      </c>
      <c r="I512" s="50">
        <v>110719.0</v>
      </c>
    </row>
    <row r="513">
      <c r="A513" s="75">
        <v>7509.0</v>
      </c>
      <c r="B513" s="70">
        <v>9044.0</v>
      </c>
      <c r="C513" s="74">
        <v>7256.0</v>
      </c>
      <c r="D513" s="66" t="s">
        <v>3295</v>
      </c>
      <c r="E513" s="66">
        <v>1.0</v>
      </c>
      <c r="F513" s="66">
        <v>52.0</v>
      </c>
      <c r="G513" s="66">
        <v>1.0</v>
      </c>
      <c r="H513" s="66">
        <v>4.0</v>
      </c>
      <c r="I513" s="50">
        <v>41818.0</v>
      </c>
    </row>
    <row r="514">
      <c r="A514" s="58">
        <v>7510.0</v>
      </c>
      <c r="B514" s="70">
        <v>8751.0</v>
      </c>
      <c r="C514" s="74">
        <v>7276.0</v>
      </c>
      <c r="D514" s="66" t="s">
        <v>3296</v>
      </c>
      <c r="E514" s="66">
        <v>2.0</v>
      </c>
      <c r="F514" s="66">
        <v>72.0</v>
      </c>
      <c r="G514" s="66">
        <v>6.0</v>
      </c>
      <c r="H514" s="66">
        <v>3.0</v>
      </c>
      <c r="I514" s="50">
        <v>71422.0</v>
      </c>
    </row>
    <row r="515">
      <c r="A515" s="75">
        <v>7511.0</v>
      </c>
      <c r="B515" s="70">
        <v>1456.0</v>
      </c>
      <c r="C515" s="74">
        <v>3186.0</v>
      </c>
      <c r="D515" s="66" t="s">
        <v>3297</v>
      </c>
      <c r="E515" s="66">
        <v>2.0</v>
      </c>
      <c r="F515" s="66">
        <v>31.0</v>
      </c>
      <c r="G515" s="66">
        <v>6.0</v>
      </c>
      <c r="H515" s="66">
        <v>8.0</v>
      </c>
      <c r="I515" s="50">
        <v>11814.0</v>
      </c>
    </row>
    <row r="516">
      <c r="A516" s="75">
        <v>7512.0</v>
      </c>
      <c r="B516" s="70">
        <v>1646.0</v>
      </c>
      <c r="C516" s="74">
        <v>8603.0</v>
      </c>
      <c r="D516" s="66" t="s">
        <v>3298</v>
      </c>
      <c r="E516" s="66">
        <v>3.0</v>
      </c>
      <c r="F516" s="66">
        <v>11.0</v>
      </c>
      <c r="G516" s="66">
        <v>2.0</v>
      </c>
      <c r="H516" s="66">
        <v>2.0</v>
      </c>
      <c r="I516" s="50">
        <v>21522.0</v>
      </c>
    </row>
    <row r="517">
      <c r="A517" s="75">
        <v>7513.0</v>
      </c>
      <c r="B517" s="70">
        <v>6750.0</v>
      </c>
      <c r="C517" s="74">
        <v>4781.0</v>
      </c>
      <c r="D517" s="66" t="s">
        <v>3299</v>
      </c>
      <c r="E517" s="66">
        <v>1.0</v>
      </c>
      <c r="F517" s="66">
        <v>31.0</v>
      </c>
      <c r="G517" s="66">
        <v>7.0</v>
      </c>
      <c r="H517" s="66">
        <v>1.0</v>
      </c>
      <c r="I517" s="50">
        <v>10314.0</v>
      </c>
    </row>
    <row r="518">
      <c r="A518" s="75">
        <v>7514.0</v>
      </c>
      <c r="B518" s="70">
        <v>2627.0</v>
      </c>
      <c r="C518" s="74">
        <v>5122.0</v>
      </c>
      <c r="D518" s="66" t="s">
        <v>3300</v>
      </c>
      <c r="E518" s="66">
        <v>3.0</v>
      </c>
      <c r="F518" s="66">
        <v>72.0</v>
      </c>
      <c r="G518" s="66">
        <v>6.0</v>
      </c>
      <c r="H518" s="66">
        <v>7.0</v>
      </c>
      <c r="I518" s="50">
        <v>121915.0</v>
      </c>
    </row>
    <row r="519">
      <c r="A519" s="58">
        <v>7515.0</v>
      </c>
      <c r="B519" s="70">
        <v>1120.0</v>
      </c>
      <c r="C519" s="74">
        <v>9812.0</v>
      </c>
      <c r="D519" s="66" t="s">
        <v>3301</v>
      </c>
      <c r="E519" s="66">
        <v>3.0</v>
      </c>
      <c r="F519" s="66">
        <v>72.0</v>
      </c>
      <c r="G519" s="66">
        <v>6.0</v>
      </c>
      <c r="H519" s="66">
        <v>9.0</v>
      </c>
      <c r="I519" s="50">
        <v>40619.0</v>
      </c>
    </row>
    <row r="520">
      <c r="A520" s="75">
        <v>7516.0</v>
      </c>
      <c r="B520" s="70">
        <v>58.0</v>
      </c>
      <c r="C520" s="74">
        <v>5504.0</v>
      </c>
      <c r="D520" s="66" t="s">
        <v>3302</v>
      </c>
      <c r="E520" s="66">
        <v>4.0</v>
      </c>
      <c r="F520" s="66">
        <v>11.0</v>
      </c>
      <c r="G520" s="66">
        <v>2.0</v>
      </c>
      <c r="H520" s="66">
        <v>6.0</v>
      </c>
      <c r="I520" s="50">
        <v>121217.0</v>
      </c>
    </row>
    <row r="521">
      <c r="A521" s="75">
        <v>7517.0</v>
      </c>
      <c r="B521" s="70">
        <v>6283.0</v>
      </c>
      <c r="C521" s="74">
        <v>5102.0</v>
      </c>
      <c r="D521" s="66" t="s">
        <v>3303</v>
      </c>
      <c r="E521" s="66">
        <v>2.0</v>
      </c>
      <c r="F521" s="66">
        <v>11.0</v>
      </c>
      <c r="G521" s="66">
        <v>2.0</v>
      </c>
      <c r="H521" s="66">
        <v>7.0</v>
      </c>
      <c r="I521" s="50">
        <v>42216.0</v>
      </c>
    </row>
    <row r="522">
      <c r="A522" s="75">
        <v>7518.0</v>
      </c>
      <c r="B522" s="70">
        <v>396.0</v>
      </c>
      <c r="C522" s="74">
        <v>5048.0</v>
      </c>
      <c r="D522" s="66" t="s">
        <v>3304</v>
      </c>
      <c r="E522" s="66">
        <v>2.0</v>
      </c>
      <c r="F522" s="66">
        <v>93.0</v>
      </c>
      <c r="G522" s="66">
        <v>1.0</v>
      </c>
      <c r="H522" s="66">
        <v>7.0</v>
      </c>
      <c r="I522" s="50">
        <v>43021.0</v>
      </c>
    </row>
    <row r="523">
      <c r="A523" s="75">
        <v>7519.0</v>
      </c>
      <c r="B523" s="70">
        <v>2925.0</v>
      </c>
      <c r="C523" s="74">
        <v>3415.0</v>
      </c>
      <c r="D523" s="66" t="s">
        <v>3305</v>
      </c>
      <c r="E523" s="66">
        <v>2.0</v>
      </c>
      <c r="F523" s="66">
        <v>11.0</v>
      </c>
      <c r="G523" s="66">
        <v>2.0</v>
      </c>
      <c r="H523" s="66">
        <v>9.0</v>
      </c>
      <c r="I523" s="50">
        <v>100215.0</v>
      </c>
    </row>
    <row r="524">
      <c r="A524" s="58">
        <v>7520.0</v>
      </c>
      <c r="B524" s="70">
        <v>8897.0</v>
      </c>
      <c r="C524" s="74">
        <v>5103.0</v>
      </c>
      <c r="D524" s="66" t="s">
        <v>3306</v>
      </c>
      <c r="E524" s="66">
        <v>4.0</v>
      </c>
      <c r="F524" s="66">
        <v>72.0</v>
      </c>
      <c r="G524" s="66">
        <v>7.0</v>
      </c>
      <c r="H524" s="66">
        <v>7.0</v>
      </c>
      <c r="I524" s="50">
        <v>42617.0</v>
      </c>
    </row>
    <row r="525">
      <c r="A525" s="75">
        <v>7521.0</v>
      </c>
      <c r="B525" s="70">
        <v>648.0</v>
      </c>
      <c r="C525" s="74">
        <v>2797.0</v>
      </c>
      <c r="D525" s="66" t="s">
        <v>3307</v>
      </c>
      <c r="E525" s="66">
        <v>2.0</v>
      </c>
      <c r="F525" s="66">
        <v>11.0</v>
      </c>
      <c r="G525" s="66">
        <v>3.0</v>
      </c>
      <c r="H525" s="66">
        <v>4.0</v>
      </c>
      <c r="I525" s="50">
        <v>51520.0</v>
      </c>
    </row>
    <row r="526">
      <c r="A526" s="75">
        <v>7522.0</v>
      </c>
      <c r="B526" s="70">
        <v>3383.0</v>
      </c>
      <c r="C526" s="74">
        <v>6075.0</v>
      </c>
      <c r="D526" s="66" t="s">
        <v>3308</v>
      </c>
      <c r="E526" s="66">
        <v>3.0</v>
      </c>
      <c r="F526" s="66">
        <v>11.0</v>
      </c>
      <c r="G526" s="66">
        <v>3.0</v>
      </c>
      <c r="H526" s="66">
        <v>5.0</v>
      </c>
      <c r="I526" s="50">
        <v>50315.0</v>
      </c>
    </row>
    <row r="527">
      <c r="A527" s="75">
        <v>7523.0</v>
      </c>
      <c r="B527" s="70">
        <v>3208.0</v>
      </c>
      <c r="C527" s="74">
        <v>7816.0</v>
      </c>
      <c r="D527" s="66" t="s">
        <v>3309</v>
      </c>
      <c r="E527" s="66">
        <v>1.0</v>
      </c>
      <c r="F527" s="66">
        <v>93.0</v>
      </c>
      <c r="G527" s="66">
        <v>3.0</v>
      </c>
      <c r="H527" s="66">
        <v>1.0</v>
      </c>
      <c r="I527" s="50">
        <v>93019.0</v>
      </c>
    </row>
    <row r="528">
      <c r="A528" s="75">
        <v>7524.0</v>
      </c>
      <c r="B528" s="70">
        <v>6432.0</v>
      </c>
      <c r="C528" s="74">
        <v>8557.0</v>
      </c>
      <c r="D528" s="66" t="s">
        <v>3310</v>
      </c>
      <c r="E528" s="66">
        <v>4.0</v>
      </c>
      <c r="F528" s="66">
        <v>72.0</v>
      </c>
      <c r="G528" s="66">
        <v>8.0</v>
      </c>
      <c r="H528" s="66">
        <v>4.0</v>
      </c>
      <c r="I528" s="50">
        <v>61315.0</v>
      </c>
    </row>
    <row r="529">
      <c r="A529" s="58">
        <v>7525.0</v>
      </c>
      <c r="B529" s="70">
        <v>8345.0</v>
      </c>
      <c r="C529" s="74">
        <v>6271.0</v>
      </c>
      <c r="D529" s="66" t="s">
        <v>3311</v>
      </c>
      <c r="E529" s="66">
        <v>2.0</v>
      </c>
      <c r="F529" s="66">
        <v>93.0</v>
      </c>
      <c r="G529" s="66">
        <v>3.0</v>
      </c>
      <c r="H529" s="66">
        <v>3.0</v>
      </c>
      <c r="I529" s="50">
        <v>122419.0</v>
      </c>
    </row>
    <row r="530">
      <c r="A530" s="75">
        <v>7526.0</v>
      </c>
      <c r="B530" s="70">
        <v>651.0</v>
      </c>
      <c r="C530" s="74">
        <v>7917.0</v>
      </c>
      <c r="D530" s="66" t="s">
        <v>3312</v>
      </c>
      <c r="E530" s="66">
        <v>2.0</v>
      </c>
      <c r="F530" s="66">
        <v>72.0</v>
      </c>
      <c r="G530" s="66">
        <v>8.0</v>
      </c>
      <c r="H530" s="66">
        <v>6.0</v>
      </c>
      <c r="I530" s="50">
        <v>120413.0</v>
      </c>
    </row>
    <row r="531">
      <c r="A531" s="75">
        <v>7527.0</v>
      </c>
      <c r="B531" s="70">
        <v>4821.0</v>
      </c>
      <c r="C531" s="74">
        <v>1162.0</v>
      </c>
      <c r="D531" s="66" t="s">
        <v>3313</v>
      </c>
      <c r="E531" s="66">
        <v>4.0</v>
      </c>
      <c r="F531" s="66">
        <v>52.0</v>
      </c>
      <c r="G531" s="66">
        <v>3.0</v>
      </c>
      <c r="H531" s="66">
        <v>9.0</v>
      </c>
      <c r="I531" s="50">
        <v>11120.0</v>
      </c>
    </row>
    <row r="532">
      <c r="A532" s="75">
        <v>7528.0</v>
      </c>
      <c r="B532" s="70">
        <v>8812.0</v>
      </c>
      <c r="C532" s="74">
        <v>8689.0</v>
      </c>
      <c r="D532" s="66" t="s">
        <v>3314</v>
      </c>
      <c r="E532" s="66">
        <v>3.0</v>
      </c>
      <c r="F532" s="66">
        <v>11.0</v>
      </c>
      <c r="G532" s="66">
        <v>4.0</v>
      </c>
      <c r="H532" s="66">
        <v>4.0</v>
      </c>
      <c r="I532" s="50">
        <v>103119.0</v>
      </c>
    </row>
    <row r="533">
      <c r="A533" s="75">
        <v>7529.0</v>
      </c>
      <c r="B533" s="70">
        <v>3864.0</v>
      </c>
      <c r="C533" s="74">
        <v>425.0</v>
      </c>
      <c r="D533" s="66" t="s">
        <v>3315</v>
      </c>
      <c r="E533" s="66">
        <v>2.0</v>
      </c>
      <c r="F533" s="66">
        <v>93.0</v>
      </c>
      <c r="G533" s="66">
        <v>3.0</v>
      </c>
      <c r="H533" s="66">
        <v>8.0</v>
      </c>
      <c r="I533" s="50">
        <v>31313.0</v>
      </c>
    </row>
    <row r="534">
      <c r="A534" s="58">
        <v>7530.0</v>
      </c>
      <c r="B534" s="70">
        <v>9871.0</v>
      </c>
      <c r="C534" s="74">
        <v>4331.0</v>
      </c>
      <c r="D534" s="66" t="s">
        <v>3316</v>
      </c>
      <c r="E534" s="66">
        <v>3.0</v>
      </c>
      <c r="F534" s="66">
        <v>93.0</v>
      </c>
      <c r="G534" s="66">
        <v>3.0</v>
      </c>
      <c r="H534" s="66">
        <v>9.0</v>
      </c>
      <c r="I534" s="50">
        <v>21918.0</v>
      </c>
    </row>
    <row r="535">
      <c r="A535" s="75">
        <v>7531.0</v>
      </c>
      <c r="B535" s="70">
        <v>916.0</v>
      </c>
      <c r="C535" s="74">
        <v>2649.0</v>
      </c>
      <c r="D535" s="66" t="s">
        <v>3317</v>
      </c>
      <c r="E535" s="66">
        <v>4.0</v>
      </c>
      <c r="F535" s="66">
        <v>11.0</v>
      </c>
      <c r="G535" s="66">
        <v>4.0</v>
      </c>
      <c r="H535" s="66">
        <v>8.0</v>
      </c>
      <c r="I535" s="50">
        <v>12516.0</v>
      </c>
    </row>
    <row r="536">
      <c r="A536" s="75">
        <v>7532.0</v>
      </c>
      <c r="B536" s="70">
        <v>4358.0</v>
      </c>
      <c r="C536" s="74">
        <v>4491.0</v>
      </c>
      <c r="D536" s="66" t="s">
        <v>3318</v>
      </c>
      <c r="E536" s="66">
        <v>1.0</v>
      </c>
      <c r="F536" s="66">
        <v>72.0</v>
      </c>
      <c r="G536" s="66">
        <v>9.0</v>
      </c>
      <c r="H536" s="66">
        <v>4.0</v>
      </c>
      <c r="I536" s="50">
        <v>20421.0</v>
      </c>
    </row>
    <row r="537">
      <c r="A537" s="75">
        <v>7533.0</v>
      </c>
      <c r="B537" s="70">
        <v>9902.0</v>
      </c>
      <c r="C537" s="74">
        <v>4864.0</v>
      </c>
      <c r="D537" s="66" t="s">
        <v>3319</v>
      </c>
      <c r="E537" s="66">
        <v>2.0</v>
      </c>
      <c r="F537" s="66">
        <v>11.0</v>
      </c>
      <c r="G537" s="66">
        <v>5.0</v>
      </c>
      <c r="H537" s="66">
        <v>1.0</v>
      </c>
      <c r="I537" s="50">
        <v>21717.0</v>
      </c>
    </row>
    <row r="538">
      <c r="A538" s="75">
        <v>7534.0</v>
      </c>
      <c r="B538" s="70">
        <v>6976.0</v>
      </c>
      <c r="C538" s="74">
        <v>2492.0</v>
      </c>
      <c r="D538" s="66" t="s">
        <v>3320</v>
      </c>
      <c r="E538" s="66">
        <v>2.0</v>
      </c>
      <c r="F538" s="66">
        <v>93.0</v>
      </c>
      <c r="G538" s="66">
        <v>4.0</v>
      </c>
      <c r="H538" s="66">
        <v>4.0</v>
      </c>
      <c r="I538" s="50">
        <v>81722.0</v>
      </c>
    </row>
    <row r="539">
      <c r="A539" s="58">
        <v>7535.0</v>
      </c>
      <c r="B539" s="70">
        <v>2869.0</v>
      </c>
      <c r="C539" s="74">
        <v>9478.0</v>
      </c>
      <c r="D539" s="66" t="s">
        <v>3321</v>
      </c>
      <c r="E539" s="66">
        <v>2.0</v>
      </c>
      <c r="F539" s="66">
        <v>52.0</v>
      </c>
      <c r="G539" s="66">
        <v>4.0</v>
      </c>
      <c r="H539" s="66">
        <v>8.0</v>
      </c>
      <c r="I539" s="50">
        <v>10514.0</v>
      </c>
    </row>
    <row r="540">
      <c r="A540" s="75">
        <v>7536.0</v>
      </c>
      <c r="B540" s="70">
        <v>4925.0</v>
      </c>
      <c r="C540" s="74">
        <v>513.0</v>
      </c>
      <c r="D540" s="66" t="s">
        <v>3322</v>
      </c>
      <c r="E540" s="66">
        <v>2.0</v>
      </c>
      <c r="F540" s="66">
        <v>11.0</v>
      </c>
      <c r="G540" s="66">
        <v>5.0</v>
      </c>
      <c r="H540" s="66">
        <v>4.0</v>
      </c>
      <c r="I540" s="50">
        <v>90516.0</v>
      </c>
    </row>
    <row r="541">
      <c r="A541" s="75">
        <v>7537.0</v>
      </c>
      <c r="B541" s="70">
        <v>9894.0</v>
      </c>
      <c r="C541" s="74">
        <v>1911.0</v>
      </c>
      <c r="D541" s="66" t="s">
        <v>3323</v>
      </c>
      <c r="E541" s="66">
        <v>1.0</v>
      </c>
      <c r="F541" s="66">
        <v>93.0</v>
      </c>
      <c r="G541" s="66">
        <v>4.0</v>
      </c>
      <c r="H541" s="66">
        <v>7.0</v>
      </c>
      <c r="I541" s="50">
        <v>10722.0</v>
      </c>
    </row>
    <row r="542">
      <c r="A542" s="75">
        <v>7538.0</v>
      </c>
      <c r="B542" s="70">
        <v>4075.0</v>
      </c>
      <c r="C542" s="74">
        <v>6428.0</v>
      </c>
      <c r="D542" s="66" t="s">
        <v>3324</v>
      </c>
      <c r="E542" s="66">
        <v>1.0</v>
      </c>
      <c r="F542" s="66">
        <v>11.0</v>
      </c>
      <c r="G542" s="66">
        <v>5.0</v>
      </c>
      <c r="H542" s="66">
        <v>6.0</v>
      </c>
      <c r="I542" s="50">
        <v>111220.0</v>
      </c>
    </row>
    <row r="543">
      <c r="A543" s="75">
        <v>7539.0</v>
      </c>
      <c r="B543" s="70">
        <v>8409.0</v>
      </c>
      <c r="C543" s="74">
        <v>2159.0</v>
      </c>
      <c r="D543" s="66" t="s">
        <v>3325</v>
      </c>
      <c r="E543" s="66">
        <v>1.0</v>
      </c>
      <c r="F543" s="66">
        <v>93.0</v>
      </c>
      <c r="G543" s="66">
        <v>4.0</v>
      </c>
      <c r="H543" s="66">
        <v>6.0</v>
      </c>
      <c r="I543" s="50">
        <v>32614.0</v>
      </c>
    </row>
    <row r="544">
      <c r="A544" s="58">
        <v>7540.0</v>
      </c>
      <c r="B544" s="70">
        <v>7532.0</v>
      </c>
      <c r="C544" s="74">
        <v>6157.0</v>
      </c>
      <c r="D544" s="66" t="s">
        <v>3326</v>
      </c>
      <c r="E544" s="66">
        <v>3.0</v>
      </c>
      <c r="F544" s="66">
        <v>11.0</v>
      </c>
      <c r="G544" s="66">
        <v>5.0</v>
      </c>
      <c r="H544" s="66">
        <v>8.0</v>
      </c>
      <c r="I544" s="50">
        <v>20521.0</v>
      </c>
    </row>
    <row r="545">
      <c r="A545" s="75">
        <v>7541.0</v>
      </c>
      <c r="B545" s="70">
        <v>3818.0</v>
      </c>
      <c r="C545" s="74">
        <v>6352.0</v>
      </c>
      <c r="D545" s="66" t="s">
        <v>3327</v>
      </c>
      <c r="E545" s="66">
        <v>2.0</v>
      </c>
      <c r="F545" s="66">
        <v>52.0</v>
      </c>
      <c r="G545" s="66">
        <v>5.0</v>
      </c>
      <c r="H545" s="66">
        <v>5.0</v>
      </c>
      <c r="I545" s="50">
        <v>111814.0</v>
      </c>
    </row>
    <row r="546">
      <c r="A546" s="75">
        <v>7542.0</v>
      </c>
      <c r="B546" s="70">
        <v>459.0</v>
      </c>
      <c r="C546" s="74">
        <v>5930.0</v>
      </c>
      <c r="D546" s="66" t="s">
        <v>3328</v>
      </c>
      <c r="E546" s="66">
        <v>3.0</v>
      </c>
      <c r="F546" s="66">
        <v>52.0</v>
      </c>
      <c r="G546" s="66">
        <v>4.0</v>
      </c>
      <c r="H546" s="66">
        <v>7.0</v>
      </c>
      <c r="I546" s="50">
        <v>10321.0</v>
      </c>
    </row>
    <row r="547">
      <c r="A547" s="75">
        <v>7543.0</v>
      </c>
      <c r="B547" s="70">
        <v>1334.0</v>
      </c>
      <c r="C547" s="74">
        <v>6098.0</v>
      </c>
      <c r="D547" s="66" t="s">
        <v>3329</v>
      </c>
      <c r="E547" s="66">
        <v>1.0</v>
      </c>
      <c r="F547" s="66">
        <v>52.0</v>
      </c>
      <c r="G547" s="66">
        <v>6.0</v>
      </c>
      <c r="H547" s="66">
        <v>1.0</v>
      </c>
      <c r="I547" s="50">
        <v>21818.0</v>
      </c>
    </row>
    <row r="548">
      <c r="A548" s="75">
        <v>7544.0</v>
      </c>
      <c r="B548" s="70">
        <v>3564.0</v>
      </c>
      <c r="C548" s="74">
        <v>9004.0</v>
      </c>
      <c r="D548" s="66" t="s">
        <v>3330</v>
      </c>
      <c r="E548" s="66">
        <v>1.0</v>
      </c>
      <c r="F548" s="66">
        <v>32.0</v>
      </c>
      <c r="G548" s="66">
        <v>1.0</v>
      </c>
      <c r="H548" s="66">
        <v>4.0</v>
      </c>
      <c r="I548" s="50">
        <v>102617.0</v>
      </c>
    </row>
    <row r="549">
      <c r="A549" s="58">
        <v>7545.0</v>
      </c>
      <c r="B549" s="70">
        <v>2527.0</v>
      </c>
      <c r="C549" s="74">
        <v>7028.0</v>
      </c>
      <c r="D549" s="66" t="s">
        <v>3331</v>
      </c>
      <c r="E549" s="66">
        <v>2.0</v>
      </c>
      <c r="F549" s="66">
        <v>73.0</v>
      </c>
      <c r="G549" s="66">
        <v>1.0</v>
      </c>
      <c r="H549" s="66">
        <v>4.0</v>
      </c>
      <c r="I549" s="50">
        <v>102019.0</v>
      </c>
    </row>
    <row r="550">
      <c r="A550" s="75">
        <v>7546.0</v>
      </c>
      <c r="B550" s="70">
        <v>5290.0</v>
      </c>
      <c r="C550" s="74">
        <v>6810.0</v>
      </c>
      <c r="D550" s="66" t="s">
        <v>3332</v>
      </c>
      <c r="E550" s="66">
        <v>2.0</v>
      </c>
      <c r="F550" s="66">
        <v>52.0</v>
      </c>
      <c r="G550" s="66">
        <v>7.0</v>
      </c>
      <c r="H550" s="66">
        <v>1.0</v>
      </c>
      <c r="I550" s="50">
        <v>70819.0</v>
      </c>
    </row>
    <row r="551">
      <c r="A551" s="75">
        <v>7547.0</v>
      </c>
      <c r="B551" s="70">
        <v>8298.0</v>
      </c>
      <c r="C551" s="74">
        <v>5114.0</v>
      </c>
      <c r="D551" s="66" t="s">
        <v>3333</v>
      </c>
      <c r="E551" s="66">
        <v>4.0</v>
      </c>
      <c r="F551" s="66">
        <v>73.0</v>
      </c>
      <c r="G551" s="66">
        <v>2.0</v>
      </c>
      <c r="H551" s="66">
        <v>1.0</v>
      </c>
      <c r="I551" s="50">
        <v>40121.0</v>
      </c>
    </row>
    <row r="552">
      <c r="A552" s="75">
        <v>7548.0</v>
      </c>
      <c r="B552" s="70">
        <v>6599.0</v>
      </c>
      <c r="C552" s="74">
        <v>6577.0</v>
      </c>
      <c r="D552" s="66" t="s">
        <v>3334</v>
      </c>
      <c r="E552" s="66">
        <v>3.0</v>
      </c>
      <c r="F552" s="66">
        <v>73.0</v>
      </c>
      <c r="G552" s="66">
        <v>2.0</v>
      </c>
      <c r="H552" s="66">
        <v>3.0</v>
      </c>
      <c r="I552" s="50">
        <v>101719.0</v>
      </c>
    </row>
    <row r="553">
      <c r="A553" s="75">
        <v>7549.0</v>
      </c>
      <c r="B553" s="70">
        <v>582.0</v>
      </c>
      <c r="C553" s="74">
        <v>5986.0</v>
      </c>
      <c r="D553" s="66" t="s">
        <v>3335</v>
      </c>
      <c r="E553" s="66">
        <v>4.0</v>
      </c>
      <c r="F553" s="66">
        <v>11.0</v>
      </c>
      <c r="G553" s="66">
        <v>8.0</v>
      </c>
      <c r="H553" s="66">
        <v>1.0</v>
      </c>
      <c r="I553" s="50">
        <v>31417.0</v>
      </c>
    </row>
    <row r="554">
      <c r="A554" s="58">
        <v>7550.0</v>
      </c>
      <c r="B554" s="70">
        <v>290.0</v>
      </c>
      <c r="C554" s="74">
        <v>956.0</v>
      </c>
      <c r="D554" s="66" t="s">
        <v>3336</v>
      </c>
      <c r="E554" s="66">
        <v>2.0</v>
      </c>
      <c r="F554" s="66">
        <v>52.0</v>
      </c>
      <c r="G554" s="66">
        <v>7.0</v>
      </c>
      <c r="H554" s="66">
        <v>8.0</v>
      </c>
      <c r="I554" s="50">
        <v>102117.0</v>
      </c>
    </row>
    <row r="555">
      <c r="A555" s="75">
        <v>7551.0</v>
      </c>
      <c r="B555" s="70">
        <v>2214.0</v>
      </c>
      <c r="C555" s="74">
        <v>5947.0</v>
      </c>
      <c r="D555" s="66" t="s">
        <v>3337</v>
      </c>
      <c r="E555" s="66">
        <v>3.0</v>
      </c>
      <c r="F555" s="66">
        <v>11.0</v>
      </c>
      <c r="G555" s="66">
        <v>8.0</v>
      </c>
      <c r="H555" s="66">
        <v>8.0</v>
      </c>
      <c r="I555" s="50">
        <v>30822.0</v>
      </c>
    </row>
    <row r="556">
      <c r="A556" s="75">
        <v>7552.0</v>
      </c>
      <c r="B556" s="70">
        <v>5781.0</v>
      </c>
      <c r="C556" s="74">
        <v>4056.0</v>
      </c>
      <c r="D556" s="66" t="s">
        <v>3338</v>
      </c>
      <c r="E556" s="66">
        <v>1.0</v>
      </c>
      <c r="F556" s="66">
        <v>32.0</v>
      </c>
      <c r="G556" s="66">
        <v>3.0</v>
      </c>
      <c r="H556" s="66">
        <v>8.0</v>
      </c>
      <c r="I556" s="50">
        <v>33114.0</v>
      </c>
    </row>
    <row r="557">
      <c r="A557" s="75">
        <v>7553.0</v>
      </c>
      <c r="B557" s="70">
        <v>7361.0</v>
      </c>
      <c r="C557" s="74">
        <v>6804.0</v>
      </c>
      <c r="D557" s="66" t="s">
        <v>3339</v>
      </c>
      <c r="E557" s="66">
        <v>1.0</v>
      </c>
      <c r="F557" s="66">
        <v>93.0</v>
      </c>
      <c r="G557" s="66">
        <v>8.0</v>
      </c>
      <c r="H557" s="66">
        <v>5.0</v>
      </c>
      <c r="I557" s="50">
        <v>82616.0</v>
      </c>
    </row>
    <row r="558">
      <c r="A558" s="75">
        <v>7554.0</v>
      </c>
      <c r="B558" s="70">
        <v>6478.0</v>
      </c>
      <c r="C558" s="74">
        <v>4342.0</v>
      </c>
      <c r="D558" s="66" t="s">
        <v>3340</v>
      </c>
      <c r="E558" s="66">
        <v>3.0</v>
      </c>
      <c r="F558" s="66">
        <v>11.0</v>
      </c>
      <c r="G558" s="66">
        <v>9.0</v>
      </c>
      <c r="H558" s="66">
        <v>6.0</v>
      </c>
      <c r="I558" s="50">
        <v>72519.0</v>
      </c>
    </row>
    <row r="559">
      <c r="A559" s="58">
        <v>7555.0</v>
      </c>
      <c r="B559" s="70">
        <v>7426.0</v>
      </c>
      <c r="C559" s="74">
        <v>3934.0</v>
      </c>
      <c r="D559" s="66" t="s">
        <v>3341</v>
      </c>
      <c r="E559" s="66">
        <v>1.0</v>
      </c>
      <c r="F559" s="66">
        <v>73.0</v>
      </c>
      <c r="G559" s="66">
        <v>4.0</v>
      </c>
      <c r="H559" s="66">
        <v>1.0</v>
      </c>
      <c r="I559" s="50">
        <v>21217.0</v>
      </c>
    </row>
    <row r="560">
      <c r="A560" s="75">
        <v>7556.0</v>
      </c>
      <c r="B560" s="70">
        <v>270.0</v>
      </c>
      <c r="C560" s="74">
        <v>3356.0</v>
      </c>
      <c r="D560" s="66" t="s">
        <v>3342</v>
      </c>
      <c r="E560" s="66">
        <v>1.0</v>
      </c>
      <c r="F560" s="66">
        <v>32.0</v>
      </c>
      <c r="G560" s="66">
        <v>4.0</v>
      </c>
      <c r="H560" s="66">
        <v>7.0</v>
      </c>
      <c r="I560" s="50">
        <v>11418.0</v>
      </c>
    </row>
    <row r="561">
      <c r="A561" s="75">
        <v>7557.0</v>
      </c>
      <c r="B561" s="70">
        <v>1102.0</v>
      </c>
      <c r="C561" s="74">
        <v>9401.0</v>
      </c>
      <c r="D561" s="66" t="s">
        <v>3343</v>
      </c>
      <c r="E561" s="66">
        <v>2.0</v>
      </c>
      <c r="F561" s="66">
        <v>52.0</v>
      </c>
      <c r="G561" s="66">
        <v>9.0</v>
      </c>
      <c r="H561" s="66">
        <v>5.0</v>
      </c>
      <c r="I561" s="50">
        <v>82122.0</v>
      </c>
    </row>
    <row r="562">
      <c r="A562" s="75">
        <v>7558.0</v>
      </c>
      <c r="B562" s="70">
        <v>9473.0</v>
      </c>
      <c r="C562" s="74">
        <v>479.0</v>
      </c>
      <c r="D562" s="66" t="s">
        <v>3344</v>
      </c>
      <c r="E562" s="66">
        <v>3.0</v>
      </c>
      <c r="F562" s="66">
        <v>93.0</v>
      </c>
      <c r="G562" s="66">
        <v>9.0</v>
      </c>
      <c r="H562" s="66">
        <v>2.0</v>
      </c>
      <c r="I562" s="50">
        <v>52614.0</v>
      </c>
    </row>
    <row r="563">
      <c r="A563" s="75">
        <v>7559.0</v>
      </c>
      <c r="B563" s="70">
        <v>6200.0</v>
      </c>
      <c r="C563" s="74">
        <v>3647.0</v>
      </c>
      <c r="D563" s="66" t="s">
        <v>3345</v>
      </c>
      <c r="E563" s="66">
        <v>1.0</v>
      </c>
      <c r="F563" s="66">
        <v>73.0</v>
      </c>
      <c r="G563" s="66">
        <v>4.0</v>
      </c>
      <c r="H563" s="66">
        <v>3.0</v>
      </c>
      <c r="I563" s="50">
        <v>90818.0</v>
      </c>
    </row>
    <row r="564">
      <c r="A564" s="58">
        <v>7560.0</v>
      </c>
      <c r="B564" s="70">
        <v>5288.0</v>
      </c>
      <c r="C564" s="74">
        <v>2009.0</v>
      </c>
      <c r="D564" s="66" t="s">
        <v>3346</v>
      </c>
      <c r="E564" s="66">
        <v>1.0</v>
      </c>
      <c r="F564" s="66">
        <v>93.0</v>
      </c>
      <c r="G564" s="66">
        <v>9.0</v>
      </c>
      <c r="H564" s="66">
        <v>6.0</v>
      </c>
      <c r="I564" s="50">
        <v>122822.0</v>
      </c>
    </row>
    <row r="565">
      <c r="A565" s="75">
        <v>7561.0</v>
      </c>
      <c r="B565" s="70">
        <v>6143.0</v>
      </c>
      <c r="C565" s="74">
        <v>5531.0</v>
      </c>
      <c r="D565" s="66" t="s">
        <v>3347</v>
      </c>
      <c r="E565" s="66">
        <v>1.0</v>
      </c>
      <c r="F565" s="66">
        <v>93.0</v>
      </c>
      <c r="G565" s="66">
        <v>9.0</v>
      </c>
      <c r="H565" s="66">
        <v>9.0</v>
      </c>
      <c r="I565" s="50">
        <v>122114.0</v>
      </c>
    </row>
    <row r="566">
      <c r="A566" s="75">
        <v>7562.0</v>
      </c>
      <c r="B566" s="70">
        <v>2042.0</v>
      </c>
      <c r="C566" s="74">
        <v>8474.0</v>
      </c>
      <c r="D566" s="66" t="s">
        <v>3348</v>
      </c>
      <c r="E566" s="66">
        <v>2.0</v>
      </c>
      <c r="F566" s="66">
        <v>53.0</v>
      </c>
      <c r="G566" s="66">
        <v>1.0</v>
      </c>
      <c r="H566" s="66">
        <v>2.0</v>
      </c>
      <c r="I566" s="50">
        <v>52413.0</v>
      </c>
    </row>
    <row r="567">
      <c r="A567" s="75">
        <v>7563.0</v>
      </c>
      <c r="B567" s="70">
        <v>9210.0</v>
      </c>
      <c r="C567" s="74">
        <v>405.0</v>
      </c>
      <c r="D567" s="66" t="s">
        <v>3349</v>
      </c>
      <c r="E567" s="66">
        <v>4.0</v>
      </c>
      <c r="F567" s="66">
        <v>12.0</v>
      </c>
      <c r="G567" s="66">
        <v>1.0</v>
      </c>
      <c r="H567" s="66">
        <v>6.0</v>
      </c>
      <c r="I567" s="50">
        <v>81221.0</v>
      </c>
    </row>
    <row r="568">
      <c r="A568" s="75">
        <v>7564.0</v>
      </c>
      <c r="B568" s="70">
        <v>2210.0</v>
      </c>
      <c r="C568" s="74">
        <v>6739.0</v>
      </c>
      <c r="D568" s="66" t="s">
        <v>3350</v>
      </c>
      <c r="E568" s="66">
        <v>4.0</v>
      </c>
      <c r="F568" s="66">
        <v>32.0</v>
      </c>
      <c r="G568" s="66">
        <v>6.0</v>
      </c>
      <c r="H568" s="66">
        <v>6.0</v>
      </c>
      <c r="I568" s="50">
        <v>21615.0</v>
      </c>
    </row>
    <row r="569">
      <c r="A569" s="58">
        <v>7565.0</v>
      </c>
      <c r="B569" s="70">
        <v>9.0</v>
      </c>
      <c r="C569" s="74">
        <v>6440.0</v>
      </c>
      <c r="D569" s="66" t="s">
        <v>3351</v>
      </c>
      <c r="E569" s="66">
        <v>3.0</v>
      </c>
      <c r="F569" s="66">
        <v>94.0</v>
      </c>
      <c r="G569" s="66">
        <v>1.0</v>
      </c>
      <c r="H569" s="66">
        <v>1.0</v>
      </c>
      <c r="I569" s="50">
        <v>101516.0</v>
      </c>
    </row>
    <row r="570">
      <c r="A570" s="75">
        <v>7566.0</v>
      </c>
      <c r="B570" s="70">
        <v>9802.0</v>
      </c>
      <c r="C570" s="74">
        <v>7878.0</v>
      </c>
      <c r="D570" s="66" t="s">
        <v>3352</v>
      </c>
      <c r="E570" s="66">
        <v>1.0</v>
      </c>
      <c r="F570" s="66">
        <v>73.0</v>
      </c>
      <c r="G570" s="66">
        <v>6.0</v>
      </c>
      <c r="H570" s="66">
        <v>2.0</v>
      </c>
      <c r="I570" s="50">
        <v>21416.0</v>
      </c>
    </row>
    <row r="571">
      <c r="A571" s="75">
        <v>7567.0</v>
      </c>
      <c r="B571" s="70">
        <v>6036.0</v>
      </c>
      <c r="C571" s="74">
        <v>5816.0</v>
      </c>
      <c r="D571" s="66" t="s">
        <v>3353</v>
      </c>
      <c r="E571" s="66">
        <v>2.0</v>
      </c>
      <c r="F571" s="66">
        <v>73.0</v>
      </c>
      <c r="G571" s="66">
        <v>6.0</v>
      </c>
      <c r="H571" s="66">
        <v>1.0</v>
      </c>
      <c r="I571" s="50">
        <v>91116.0</v>
      </c>
    </row>
    <row r="572">
      <c r="A572" s="75">
        <v>7568.0</v>
      </c>
      <c r="B572" s="70">
        <v>8676.0</v>
      </c>
      <c r="C572" s="74">
        <v>8108.0</v>
      </c>
      <c r="D572" s="66" t="s">
        <v>3354</v>
      </c>
      <c r="E572" s="66">
        <v>4.0</v>
      </c>
      <c r="F572" s="66">
        <v>73.0</v>
      </c>
      <c r="G572" s="66">
        <v>6.0</v>
      </c>
      <c r="H572" s="66">
        <v>8.0</v>
      </c>
      <c r="I572" s="50">
        <v>42215.0</v>
      </c>
    </row>
    <row r="573">
      <c r="A573" s="75">
        <v>7569.0</v>
      </c>
      <c r="B573" s="70">
        <v>266.0</v>
      </c>
      <c r="C573" s="74">
        <v>3981.0</v>
      </c>
      <c r="D573" s="66" t="s">
        <v>3355</v>
      </c>
      <c r="E573" s="66">
        <v>3.0</v>
      </c>
      <c r="F573" s="66">
        <v>12.0</v>
      </c>
      <c r="G573" s="66">
        <v>2.0</v>
      </c>
      <c r="H573" s="66">
        <v>5.0</v>
      </c>
      <c r="I573" s="50">
        <v>111316.0</v>
      </c>
    </row>
    <row r="574">
      <c r="A574" s="58">
        <v>7570.0</v>
      </c>
      <c r="B574" s="70">
        <v>5083.0</v>
      </c>
      <c r="C574" s="74">
        <v>3382.0</v>
      </c>
      <c r="D574" s="66" t="s">
        <v>3356</v>
      </c>
      <c r="E574" s="66">
        <v>3.0</v>
      </c>
      <c r="F574" s="66">
        <v>32.0</v>
      </c>
      <c r="G574" s="66">
        <v>7.0</v>
      </c>
      <c r="H574" s="66">
        <v>4.0</v>
      </c>
      <c r="I574" s="50">
        <v>62815.0</v>
      </c>
    </row>
    <row r="575">
      <c r="A575" s="75">
        <v>7571.0</v>
      </c>
      <c r="B575" s="70">
        <v>7468.0</v>
      </c>
      <c r="C575" s="74">
        <v>6252.0</v>
      </c>
      <c r="D575" s="66" t="s">
        <v>3357</v>
      </c>
      <c r="E575" s="66">
        <v>1.0</v>
      </c>
      <c r="F575" s="66">
        <v>53.0</v>
      </c>
      <c r="G575" s="66">
        <v>2.0</v>
      </c>
      <c r="H575" s="66">
        <v>4.0</v>
      </c>
      <c r="I575" s="50">
        <v>43015.0</v>
      </c>
    </row>
    <row r="576">
      <c r="A576" s="75">
        <v>7572.0</v>
      </c>
      <c r="B576" s="70">
        <v>507.0</v>
      </c>
      <c r="C576" s="74">
        <v>9185.0</v>
      </c>
      <c r="D576" s="66" t="s">
        <v>3358</v>
      </c>
      <c r="E576" s="66">
        <v>4.0</v>
      </c>
      <c r="F576" s="66">
        <v>32.0</v>
      </c>
      <c r="G576" s="66">
        <v>7.0</v>
      </c>
      <c r="H576" s="66">
        <v>9.0</v>
      </c>
      <c r="I576" s="50">
        <v>32213.0</v>
      </c>
    </row>
    <row r="577">
      <c r="A577" s="75">
        <v>7573.0</v>
      </c>
      <c r="B577" s="70">
        <v>6959.0</v>
      </c>
      <c r="C577" s="74">
        <v>8197.0</v>
      </c>
      <c r="D577" s="66" t="s">
        <v>3359</v>
      </c>
      <c r="E577" s="66">
        <v>3.0</v>
      </c>
      <c r="F577" s="66">
        <v>53.0</v>
      </c>
      <c r="G577" s="66">
        <v>2.0</v>
      </c>
      <c r="H577" s="66">
        <v>8.0</v>
      </c>
      <c r="I577" s="50">
        <v>32513.0</v>
      </c>
    </row>
    <row r="578">
      <c r="A578" s="75">
        <v>7574.0</v>
      </c>
      <c r="B578" s="70">
        <v>7254.0</v>
      </c>
      <c r="C578" s="74">
        <v>3975.0</v>
      </c>
      <c r="D578" s="66" t="s">
        <v>3360</v>
      </c>
      <c r="E578" s="66">
        <v>3.0</v>
      </c>
      <c r="F578" s="66">
        <v>12.0</v>
      </c>
      <c r="G578" s="66">
        <v>3.0</v>
      </c>
      <c r="H578" s="66">
        <v>3.0</v>
      </c>
      <c r="I578" s="50">
        <v>71018.0</v>
      </c>
    </row>
    <row r="579">
      <c r="A579" s="58">
        <v>7575.0</v>
      </c>
      <c r="B579" s="70">
        <v>7690.0</v>
      </c>
      <c r="C579" s="74">
        <v>7831.0</v>
      </c>
      <c r="D579" s="66" t="s">
        <v>3361</v>
      </c>
      <c r="E579" s="66">
        <v>3.0</v>
      </c>
      <c r="F579" s="66">
        <v>12.0</v>
      </c>
      <c r="G579" s="66">
        <v>3.0</v>
      </c>
      <c r="H579" s="66">
        <v>1.0</v>
      </c>
      <c r="I579" s="50">
        <v>60517.0</v>
      </c>
    </row>
    <row r="580">
      <c r="A580" s="75">
        <v>7576.0</v>
      </c>
      <c r="B580" s="70">
        <v>6851.0</v>
      </c>
      <c r="C580" s="74">
        <v>4852.0</v>
      </c>
      <c r="D580" s="66" t="s">
        <v>3362</v>
      </c>
      <c r="E580" s="66">
        <v>3.0</v>
      </c>
      <c r="F580" s="66">
        <v>12.0</v>
      </c>
      <c r="G580" s="66">
        <v>3.0</v>
      </c>
      <c r="H580" s="66">
        <v>2.0</v>
      </c>
      <c r="I580" s="50">
        <v>60522.0</v>
      </c>
    </row>
    <row r="581">
      <c r="A581" s="75">
        <v>7577.0</v>
      </c>
      <c r="B581" s="70">
        <v>3672.0</v>
      </c>
      <c r="C581" s="74">
        <v>4110.0</v>
      </c>
      <c r="D581" s="66" t="s">
        <v>3363</v>
      </c>
      <c r="E581" s="66">
        <v>3.0</v>
      </c>
      <c r="F581" s="66">
        <v>94.0</v>
      </c>
      <c r="G581" s="66">
        <v>2.0</v>
      </c>
      <c r="H581" s="66">
        <v>8.0</v>
      </c>
      <c r="I581" s="50">
        <v>61020.0</v>
      </c>
    </row>
    <row r="582">
      <c r="A582" s="75">
        <v>7578.0</v>
      </c>
      <c r="B582" s="70">
        <v>3034.0</v>
      </c>
      <c r="C582" s="74">
        <v>4466.0</v>
      </c>
      <c r="D582" s="66" t="s">
        <v>3364</v>
      </c>
      <c r="E582" s="66">
        <v>1.0</v>
      </c>
      <c r="F582" s="66">
        <v>53.0</v>
      </c>
      <c r="G582" s="66">
        <v>3.0</v>
      </c>
      <c r="H582" s="66">
        <v>3.0</v>
      </c>
      <c r="I582" s="50">
        <v>81215.0</v>
      </c>
    </row>
    <row r="583">
      <c r="A583" s="75">
        <v>7579.0</v>
      </c>
      <c r="B583" s="70">
        <v>2511.0</v>
      </c>
      <c r="C583" s="74">
        <v>496.0</v>
      </c>
      <c r="D583" s="66" t="s">
        <v>3365</v>
      </c>
      <c r="E583" s="66">
        <v>3.0</v>
      </c>
      <c r="F583" s="66">
        <v>32.0</v>
      </c>
      <c r="G583" s="66">
        <v>8.0</v>
      </c>
      <c r="H583" s="66">
        <v>8.0</v>
      </c>
      <c r="I583" s="50">
        <v>82314.0</v>
      </c>
    </row>
    <row r="584">
      <c r="A584" s="58">
        <v>7580.0</v>
      </c>
      <c r="B584" s="70">
        <v>7633.0</v>
      </c>
      <c r="C584" s="74">
        <v>7641.0</v>
      </c>
      <c r="D584" s="66" t="s">
        <v>3366</v>
      </c>
      <c r="E584" s="66">
        <v>4.0</v>
      </c>
      <c r="F584" s="66">
        <v>73.0</v>
      </c>
      <c r="G584" s="66">
        <v>8.0</v>
      </c>
      <c r="H584" s="66">
        <v>5.0</v>
      </c>
      <c r="I584" s="50">
        <v>51920.0</v>
      </c>
    </row>
    <row r="585">
      <c r="A585" s="75">
        <v>7581.0</v>
      </c>
      <c r="B585" s="70">
        <v>4407.0</v>
      </c>
      <c r="C585" s="74">
        <v>1558.0</v>
      </c>
      <c r="D585" s="66" t="s">
        <v>3367</v>
      </c>
      <c r="E585" s="66">
        <v>3.0</v>
      </c>
      <c r="F585" s="66">
        <v>94.0</v>
      </c>
      <c r="G585" s="66">
        <v>3.0</v>
      </c>
      <c r="H585" s="66">
        <v>4.0</v>
      </c>
      <c r="I585" s="50">
        <v>91814.0</v>
      </c>
    </row>
    <row r="586">
      <c r="A586" s="75">
        <v>7582.0</v>
      </c>
      <c r="B586" s="70">
        <v>7749.0</v>
      </c>
      <c r="C586" s="74">
        <v>7395.0</v>
      </c>
      <c r="D586" s="66" t="s">
        <v>3368</v>
      </c>
      <c r="E586" s="66">
        <v>4.0</v>
      </c>
      <c r="F586" s="66">
        <v>73.0</v>
      </c>
      <c r="G586" s="66">
        <v>8.0</v>
      </c>
      <c r="H586" s="66">
        <v>8.0</v>
      </c>
      <c r="I586" s="50">
        <v>60418.0</v>
      </c>
    </row>
    <row r="587">
      <c r="A587" s="75">
        <v>7583.0</v>
      </c>
      <c r="B587" s="70">
        <v>5867.0</v>
      </c>
      <c r="C587" s="74">
        <v>6590.0</v>
      </c>
      <c r="D587" s="66" t="s">
        <v>3369</v>
      </c>
      <c r="E587" s="66">
        <v>1.0</v>
      </c>
      <c r="F587" s="66">
        <v>73.0</v>
      </c>
      <c r="G587" s="66">
        <v>9.0</v>
      </c>
      <c r="H587" s="66">
        <v>1.0</v>
      </c>
      <c r="I587" s="50">
        <v>80713.0</v>
      </c>
    </row>
    <row r="588">
      <c r="A588" s="75">
        <v>7584.0</v>
      </c>
      <c r="B588" s="70">
        <v>3510.0</v>
      </c>
      <c r="C588" s="74">
        <v>511.0</v>
      </c>
      <c r="D588" s="66" t="s">
        <v>3370</v>
      </c>
      <c r="E588" s="66">
        <v>3.0</v>
      </c>
      <c r="F588" s="66">
        <v>53.0</v>
      </c>
      <c r="G588" s="66">
        <v>4.0</v>
      </c>
      <c r="H588" s="66">
        <v>3.0</v>
      </c>
      <c r="I588" s="50">
        <v>71519.0</v>
      </c>
    </row>
    <row r="589">
      <c r="A589" s="58">
        <v>7585.0</v>
      </c>
      <c r="B589" s="70">
        <v>7977.0</v>
      </c>
      <c r="C589" s="74">
        <v>6507.0</v>
      </c>
      <c r="D589" s="66" t="s">
        <v>3371</v>
      </c>
      <c r="E589" s="66">
        <v>1.0</v>
      </c>
      <c r="F589" s="66">
        <v>73.0</v>
      </c>
      <c r="G589" s="66">
        <v>9.0</v>
      </c>
      <c r="H589" s="66">
        <v>5.0</v>
      </c>
      <c r="I589" s="50">
        <v>122022.0</v>
      </c>
    </row>
    <row r="590">
      <c r="A590" s="75">
        <v>7586.0</v>
      </c>
      <c r="B590" s="70">
        <v>2936.0</v>
      </c>
      <c r="C590" s="74">
        <v>1750.0</v>
      </c>
      <c r="D590" s="66" t="s">
        <v>3372</v>
      </c>
      <c r="E590" s="66">
        <v>3.0</v>
      </c>
      <c r="F590" s="66">
        <v>94.0</v>
      </c>
      <c r="G590" s="66">
        <v>4.0</v>
      </c>
      <c r="H590" s="66">
        <v>5.0</v>
      </c>
      <c r="I590" s="50">
        <v>92817.0</v>
      </c>
    </row>
    <row r="591">
      <c r="A591" s="75">
        <v>7587.0</v>
      </c>
      <c r="B591" s="70">
        <v>1463.0</v>
      </c>
      <c r="C591" s="74">
        <v>5253.0</v>
      </c>
      <c r="D591" s="66" t="s">
        <v>3373</v>
      </c>
      <c r="E591" s="66">
        <v>3.0</v>
      </c>
      <c r="F591" s="66">
        <v>12.0</v>
      </c>
      <c r="G591" s="66">
        <v>5.0</v>
      </c>
      <c r="H591" s="66">
        <v>4.0</v>
      </c>
      <c r="I591" s="50">
        <v>102615.0</v>
      </c>
    </row>
    <row r="592">
      <c r="A592" s="75">
        <v>7588.0</v>
      </c>
      <c r="B592" s="70">
        <v>5928.0</v>
      </c>
      <c r="C592" s="74">
        <v>1769.0</v>
      </c>
      <c r="D592" s="66" t="s">
        <v>3374</v>
      </c>
      <c r="E592" s="66">
        <v>1.0</v>
      </c>
      <c r="F592" s="66">
        <v>53.0</v>
      </c>
      <c r="G592" s="66">
        <v>5.0</v>
      </c>
      <c r="H592" s="66">
        <v>3.0</v>
      </c>
      <c r="I592" s="50">
        <v>11016.0</v>
      </c>
    </row>
    <row r="593">
      <c r="A593" s="75">
        <v>7589.0</v>
      </c>
      <c r="B593" s="70">
        <v>5309.0</v>
      </c>
      <c r="C593" s="74">
        <v>3558.0</v>
      </c>
      <c r="D593" s="66" t="s">
        <v>3375</v>
      </c>
      <c r="E593" s="66">
        <v>1.0</v>
      </c>
      <c r="F593" s="66">
        <v>12.0</v>
      </c>
      <c r="G593" s="66">
        <v>5.0</v>
      </c>
      <c r="H593" s="66">
        <v>9.0</v>
      </c>
      <c r="I593" s="50">
        <v>50522.0</v>
      </c>
    </row>
    <row r="594">
      <c r="A594" s="58">
        <v>7590.0</v>
      </c>
      <c r="B594" s="70">
        <v>7167.0</v>
      </c>
      <c r="C594" s="74">
        <v>1828.0</v>
      </c>
      <c r="D594" s="66" t="s">
        <v>3376</v>
      </c>
      <c r="E594" s="66">
        <v>4.0</v>
      </c>
      <c r="F594" s="66">
        <v>94.0</v>
      </c>
      <c r="G594" s="66">
        <v>5.0</v>
      </c>
      <c r="H594" s="66">
        <v>2.0</v>
      </c>
      <c r="I594" s="50">
        <v>122214.0</v>
      </c>
    </row>
    <row r="595">
      <c r="A595" s="75">
        <v>7591.0</v>
      </c>
      <c r="B595" s="70">
        <v>9546.0</v>
      </c>
      <c r="C595" s="74">
        <v>8868.0</v>
      </c>
      <c r="D595" s="66" t="s">
        <v>3377</v>
      </c>
      <c r="E595" s="66">
        <v>3.0</v>
      </c>
      <c r="F595" s="66">
        <v>94.0</v>
      </c>
      <c r="G595" s="66">
        <v>5.0</v>
      </c>
      <c r="H595" s="66">
        <v>4.0</v>
      </c>
      <c r="I595" s="50">
        <v>72618.0</v>
      </c>
    </row>
    <row r="596">
      <c r="A596" s="75">
        <v>7592.0</v>
      </c>
      <c r="B596" s="70">
        <v>826.0</v>
      </c>
      <c r="C596" s="74">
        <v>5030.0</v>
      </c>
      <c r="D596" s="66" t="s">
        <v>3378</v>
      </c>
      <c r="E596" s="66">
        <v>2.0</v>
      </c>
      <c r="F596" s="66">
        <v>53.0</v>
      </c>
      <c r="G596" s="66">
        <v>5.0</v>
      </c>
      <c r="H596" s="66">
        <v>9.0</v>
      </c>
      <c r="I596" s="50">
        <v>42115.0</v>
      </c>
    </row>
    <row r="597">
      <c r="A597" s="75">
        <v>7593.0</v>
      </c>
      <c r="B597" s="70">
        <v>7737.0</v>
      </c>
      <c r="C597" s="74">
        <v>7305.0</v>
      </c>
      <c r="D597" s="66" t="s">
        <v>3379</v>
      </c>
      <c r="E597" s="66">
        <v>4.0</v>
      </c>
      <c r="F597" s="66">
        <v>94.0</v>
      </c>
      <c r="G597" s="66">
        <v>5.0</v>
      </c>
      <c r="H597" s="66">
        <v>5.0</v>
      </c>
      <c r="I597" s="50">
        <v>91619.0</v>
      </c>
    </row>
    <row r="598">
      <c r="A598" s="75">
        <v>7594.0</v>
      </c>
      <c r="B598" s="70">
        <v>8227.0</v>
      </c>
      <c r="C598" s="74">
        <v>2273.0</v>
      </c>
      <c r="D598" s="66" t="s">
        <v>3380</v>
      </c>
      <c r="E598" s="66">
        <v>1.0</v>
      </c>
      <c r="F598" s="66">
        <v>94.0</v>
      </c>
      <c r="G598" s="66">
        <v>5.0</v>
      </c>
      <c r="H598" s="66">
        <v>8.0</v>
      </c>
      <c r="I598" s="50">
        <v>33115.0</v>
      </c>
    </row>
    <row r="599">
      <c r="A599" s="58">
        <v>7595.0</v>
      </c>
      <c r="B599" s="70">
        <v>9236.0</v>
      </c>
      <c r="C599" s="74">
        <v>9428.0</v>
      </c>
      <c r="D599" s="66" t="s">
        <v>3381</v>
      </c>
      <c r="E599" s="66">
        <v>1.0</v>
      </c>
      <c r="F599" s="66">
        <v>94.0</v>
      </c>
      <c r="G599" s="66">
        <v>6.0</v>
      </c>
      <c r="H599" s="66">
        <v>2.0</v>
      </c>
      <c r="I599" s="50">
        <v>42120.0</v>
      </c>
    </row>
    <row r="600">
      <c r="A600" s="75">
        <v>7596.0</v>
      </c>
      <c r="B600" s="70">
        <v>3061.0</v>
      </c>
      <c r="C600" s="74">
        <v>6184.0</v>
      </c>
      <c r="D600" s="66" t="s">
        <v>3382</v>
      </c>
      <c r="E600" s="66">
        <v>1.0</v>
      </c>
      <c r="F600" s="66">
        <v>33.0</v>
      </c>
      <c r="G600" s="66">
        <v>1.0</v>
      </c>
      <c r="H600" s="66">
        <v>8.0</v>
      </c>
      <c r="I600" s="50">
        <v>22916.0</v>
      </c>
    </row>
    <row r="601">
      <c r="A601" s="75">
        <v>7597.0</v>
      </c>
      <c r="B601" s="70">
        <v>7937.0</v>
      </c>
      <c r="C601" s="74">
        <v>1937.0</v>
      </c>
      <c r="D601" s="66" t="s">
        <v>3383</v>
      </c>
      <c r="E601" s="66">
        <v>3.0</v>
      </c>
      <c r="F601" s="66">
        <v>12.0</v>
      </c>
      <c r="G601" s="66">
        <v>7.0</v>
      </c>
      <c r="H601" s="66">
        <v>4.0</v>
      </c>
      <c r="I601" s="50">
        <v>100414.0</v>
      </c>
    </row>
    <row r="602">
      <c r="A602" s="75">
        <v>7598.0</v>
      </c>
      <c r="B602" s="70">
        <v>1176.0</v>
      </c>
      <c r="C602" s="74">
        <v>4686.0</v>
      </c>
      <c r="D602" s="66" t="s">
        <v>3384</v>
      </c>
      <c r="E602" s="66">
        <v>4.0</v>
      </c>
      <c r="F602" s="66">
        <v>33.0</v>
      </c>
      <c r="G602" s="66">
        <v>2.0</v>
      </c>
      <c r="H602" s="66">
        <v>4.0</v>
      </c>
      <c r="I602" s="50">
        <v>22018.0</v>
      </c>
    </row>
    <row r="603">
      <c r="A603" s="75">
        <v>7599.0</v>
      </c>
      <c r="B603" s="70">
        <v>828.0</v>
      </c>
      <c r="C603" s="74">
        <v>9619.0</v>
      </c>
      <c r="D603" s="66" t="s">
        <v>3385</v>
      </c>
      <c r="E603" s="66">
        <v>3.0</v>
      </c>
      <c r="F603" s="66">
        <v>94.0</v>
      </c>
      <c r="G603" s="66">
        <v>6.0</v>
      </c>
      <c r="H603" s="66">
        <v>9.0</v>
      </c>
      <c r="I603" s="50">
        <v>110716.0</v>
      </c>
    </row>
    <row r="604">
      <c r="A604" s="58">
        <v>7600.0</v>
      </c>
      <c r="B604" s="70">
        <v>2160.0</v>
      </c>
      <c r="C604" s="74">
        <v>6841.0</v>
      </c>
      <c r="D604" s="66" t="s">
        <v>3386</v>
      </c>
      <c r="E604" s="66">
        <v>3.0</v>
      </c>
      <c r="F604" s="66">
        <v>33.0</v>
      </c>
      <c r="G604" s="66">
        <v>2.0</v>
      </c>
      <c r="H604" s="66">
        <v>6.0</v>
      </c>
      <c r="I604" s="50">
        <v>72816.0</v>
      </c>
    </row>
    <row r="605">
      <c r="A605" s="75">
        <v>7601.0</v>
      </c>
      <c r="B605" s="70">
        <v>8487.0</v>
      </c>
      <c r="C605" s="74">
        <v>9395.0</v>
      </c>
      <c r="D605" s="66" t="s">
        <v>3387</v>
      </c>
      <c r="E605" s="66">
        <v>1.0</v>
      </c>
      <c r="F605" s="66">
        <v>74.0</v>
      </c>
      <c r="G605" s="66">
        <v>2.0</v>
      </c>
      <c r="H605" s="66">
        <v>3.0</v>
      </c>
      <c r="I605" s="50">
        <v>72615.0</v>
      </c>
    </row>
    <row r="606">
      <c r="A606" s="75">
        <v>7602.0</v>
      </c>
      <c r="B606" s="70">
        <v>8277.0</v>
      </c>
      <c r="C606" s="74">
        <v>5224.0</v>
      </c>
      <c r="D606" s="66" t="s">
        <v>3388</v>
      </c>
      <c r="E606" s="66">
        <v>3.0</v>
      </c>
      <c r="F606" s="66">
        <v>12.0</v>
      </c>
      <c r="G606" s="66">
        <v>7.0</v>
      </c>
      <c r="H606" s="66">
        <v>9.0</v>
      </c>
      <c r="I606" s="50">
        <v>90615.0</v>
      </c>
    </row>
    <row r="607">
      <c r="A607" s="75">
        <v>7603.0</v>
      </c>
      <c r="B607" s="70">
        <v>2447.0</v>
      </c>
      <c r="C607" s="74">
        <v>2795.0</v>
      </c>
      <c r="D607" s="66" t="s">
        <v>3389</v>
      </c>
      <c r="E607" s="66">
        <v>4.0</v>
      </c>
      <c r="F607" s="66">
        <v>74.0</v>
      </c>
      <c r="G607" s="66">
        <v>2.0</v>
      </c>
      <c r="H607" s="66">
        <v>4.0</v>
      </c>
      <c r="I607" s="50">
        <v>41720.0</v>
      </c>
    </row>
    <row r="608">
      <c r="A608" s="75">
        <v>7604.0</v>
      </c>
      <c r="B608" s="70">
        <v>3047.0</v>
      </c>
      <c r="C608" s="74">
        <v>50.0</v>
      </c>
      <c r="D608" s="66" t="s">
        <v>3390</v>
      </c>
      <c r="E608" s="66">
        <v>1.0</v>
      </c>
      <c r="F608" s="66">
        <v>94.0</v>
      </c>
      <c r="G608" s="66">
        <v>7.0</v>
      </c>
      <c r="H608" s="66">
        <v>4.0</v>
      </c>
      <c r="I608" s="50">
        <v>30516.0</v>
      </c>
    </row>
    <row r="609">
      <c r="A609" s="58">
        <v>7605.0</v>
      </c>
      <c r="B609" s="70">
        <v>8083.0</v>
      </c>
      <c r="C609" s="74">
        <v>4123.0</v>
      </c>
      <c r="D609" s="66" t="s">
        <v>3391</v>
      </c>
      <c r="E609" s="66">
        <v>3.0</v>
      </c>
      <c r="F609" s="66">
        <v>53.0</v>
      </c>
      <c r="G609" s="66">
        <v>7.0</v>
      </c>
      <c r="H609" s="66">
        <v>9.0</v>
      </c>
      <c r="I609" s="50">
        <v>61617.0</v>
      </c>
    </row>
    <row r="610">
      <c r="A610" s="75">
        <v>7606.0</v>
      </c>
      <c r="B610" s="70">
        <v>3612.0</v>
      </c>
      <c r="C610" s="74">
        <v>8332.0</v>
      </c>
      <c r="D610" s="66" t="s">
        <v>3392</v>
      </c>
      <c r="E610" s="66">
        <v>1.0</v>
      </c>
      <c r="F610" s="66">
        <v>94.0</v>
      </c>
      <c r="G610" s="66">
        <v>7.0</v>
      </c>
      <c r="H610" s="66">
        <v>6.0</v>
      </c>
      <c r="I610" s="50">
        <v>102115.0</v>
      </c>
    </row>
    <row r="611">
      <c r="A611" s="75">
        <v>7607.0</v>
      </c>
      <c r="B611" s="70">
        <v>9468.0</v>
      </c>
      <c r="C611" s="74">
        <v>6939.0</v>
      </c>
      <c r="D611" s="66" t="s">
        <v>3393</v>
      </c>
      <c r="E611" s="66">
        <v>2.0</v>
      </c>
      <c r="F611" s="66">
        <v>33.0</v>
      </c>
      <c r="G611" s="66">
        <v>2.0</v>
      </c>
      <c r="H611" s="66">
        <v>7.0</v>
      </c>
      <c r="I611" s="50">
        <v>50713.0</v>
      </c>
    </row>
    <row r="612">
      <c r="A612" s="75">
        <v>7608.0</v>
      </c>
      <c r="B612" s="70">
        <v>1938.0</v>
      </c>
      <c r="C612" s="74">
        <v>6190.0</v>
      </c>
      <c r="D612" s="66" t="s">
        <v>3394</v>
      </c>
      <c r="E612" s="66">
        <v>1.0</v>
      </c>
      <c r="F612" s="66">
        <v>33.0</v>
      </c>
      <c r="G612" s="66">
        <v>3.0</v>
      </c>
      <c r="H612" s="66">
        <v>4.0</v>
      </c>
      <c r="I612" s="50">
        <v>53115.0</v>
      </c>
    </row>
    <row r="613">
      <c r="A613" s="75">
        <v>7609.0</v>
      </c>
      <c r="B613" s="70">
        <v>9050.0</v>
      </c>
      <c r="C613" s="74">
        <v>6169.0</v>
      </c>
      <c r="D613" s="66" t="s">
        <v>3395</v>
      </c>
      <c r="E613" s="66">
        <v>2.0</v>
      </c>
      <c r="F613" s="66">
        <v>33.0</v>
      </c>
      <c r="G613" s="66">
        <v>3.0</v>
      </c>
      <c r="H613" s="66">
        <v>5.0</v>
      </c>
      <c r="I613" s="50">
        <v>82417.0</v>
      </c>
    </row>
    <row r="614">
      <c r="A614" s="58">
        <v>7610.0</v>
      </c>
      <c r="B614" s="70">
        <v>9595.0</v>
      </c>
      <c r="C614" s="74">
        <v>2066.0</v>
      </c>
      <c r="D614" s="66" t="s">
        <v>3396</v>
      </c>
      <c r="E614" s="66">
        <v>1.0</v>
      </c>
      <c r="F614" s="66">
        <v>74.0</v>
      </c>
      <c r="G614" s="66">
        <v>3.0</v>
      </c>
      <c r="H614" s="66">
        <v>1.0</v>
      </c>
      <c r="I614" s="50">
        <v>80919.0</v>
      </c>
    </row>
    <row r="615">
      <c r="A615" s="75">
        <v>7611.0</v>
      </c>
      <c r="B615" s="70">
        <v>5081.0</v>
      </c>
      <c r="C615" s="74">
        <v>1979.0</v>
      </c>
      <c r="D615" s="66" t="s">
        <v>3397</v>
      </c>
      <c r="E615" s="66">
        <v>1.0</v>
      </c>
      <c r="F615" s="66">
        <v>33.0</v>
      </c>
      <c r="G615" s="66">
        <v>3.0</v>
      </c>
      <c r="H615" s="66">
        <v>7.0</v>
      </c>
      <c r="I615" s="50">
        <v>110417.0</v>
      </c>
    </row>
    <row r="616">
      <c r="A616" s="75">
        <v>7612.0</v>
      </c>
      <c r="B616" s="70">
        <v>740.0</v>
      </c>
      <c r="C616" s="74">
        <v>5846.0</v>
      </c>
      <c r="D616" s="66" t="s">
        <v>3398</v>
      </c>
      <c r="E616" s="66">
        <v>1.0</v>
      </c>
      <c r="F616" s="66">
        <v>12.0</v>
      </c>
      <c r="G616" s="66">
        <v>8.0</v>
      </c>
      <c r="H616" s="66">
        <v>7.0</v>
      </c>
      <c r="I616" s="50">
        <v>100218.0</v>
      </c>
    </row>
    <row r="617">
      <c r="A617" s="75">
        <v>7613.0</v>
      </c>
      <c r="B617" s="70">
        <v>778.0</v>
      </c>
      <c r="C617" s="74">
        <v>4462.0</v>
      </c>
      <c r="D617" s="66" t="s">
        <v>3399</v>
      </c>
      <c r="E617" s="66">
        <v>4.0</v>
      </c>
      <c r="F617" s="66">
        <v>33.0</v>
      </c>
      <c r="G617" s="66">
        <v>3.0</v>
      </c>
      <c r="H617" s="66">
        <v>1.0</v>
      </c>
      <c r="I617" s="50">
        <v>113015.0</v>
      </c>
    </row>
    <row r="618">
      <c r="A618" s="75">
        <v>7614.0</v>
      </c>
      <c r="B618" s="70">
        <v>2544.0</v>
      </c>
      <c r="C618" s="74">
        <v>7981.0</v>
      </c>
      <c r="D618" s="66" t="s">
        <v>3400</v>
      </c>
      <c r="E618" s="66">
        <v>1.0</v>
      </c>
      <c r="F618" s="66">
        <v>12.0</v>
      </c>
      <c r="G618" s="66">
        <v>8.0</v>
      </c>
      <c r="H618" s="66">
        <v>9.0</v>
      </c>
      <c r="I618" s="50">
        <v>10322.0</v>
      </c>
    </row>
    <row r="619">
      <c r="A619" s="58">
        <v>7615.0</v>
      </c>
      <c r="B619" s="70">
        <v>4164.0</v>
      </c>
      <c r="C619" s="74">
        <v>5531.0</v>
      </c>
      <c r="D619" s="66" t="s">
        <v>3401</v>
      </c>
      <c r="E619" s="66">
        <v>2.0</v>
      </c>
      <c r="F619" s="66">
        <v>33.0</v>
      </c>
      <c r="G619" s="66">
        <v>4.0</v>
      </c>
      <c r="H619" s="66">
        <v>1.0</v>
      </c>
      <c r="I619" s="50">
        <v>70916.0</v>
      </c>
    </row>
    <row r="620">
      <c r="A620" s="75">
        <v>7616.0</v>
      </c>
      <c r="B620" s="70">
        <v>5141.0</v>
      </c>
      <c r="C620" s="74">
        <v>5434.0</v>
      </c>
      <c r="D620" s="66" t="s">
        <v>3402</v>
      </c>
      <c r="E620" s="66">
        <v>1.0</v>
      </c>
      <c r="F620" s="66">
        <v>12.0</v>
      </c>
      <c r="G620" s="66">
        <v>9.0</v>
      </c>
      <c r="H620" s="66">
        <v>4.0</v>
      </c>
      <c r="I620" s="50">
        <v>41313.0</v>
      </c>
    </row>
    <row r="621">
      <c r="A621" s="75">
        <v>7617.0</v>
      </c>
      <c r="B621" s="70">
        <v>2340.0</v>
      </c>
      <c r="C621" s="74">
        <v>9797.0</v>
      </c>
      <c r="D621" s="66" t="s">
        <v>3403</v>
      </c>
      <c r="E621" s="66">
        <v>2.0</v>
      </c>
      <c r="F621" s="66">
        <v>33.0</v>
      </c>
      <c r="G621" s="66">
        <v>4.0</v>
      </c>
      <c r="H621" s="66">
        <v>4.0</v>
      </c>
      <c r="I621" s="50">
        <v>11313.0</v>
      </c>
    </row>
    <row r="622">
      <c r="A622" s="75">
        <v>7618.0</v>
      </c>
      <c r="B622" s="70">
        <v>3692.0</v>
      </c>
      <c r="C622" s="74">
        <v>2330.0</v>
      </c>
      <c r="D622" s="66" t="s">
        <v>3404</v>
      </c>
      <c r="E622" s="66">
        <v>4.0</v>
      </c>
      <c r="F622" s="66">
        <v>74.0</v>
      </c>
      <c r="G622" s="66">
        <v>4.0</v>
      </c>
      <c r="H622" s="66">
        <v>1.0</v>
      </c>
      <c r="I622" s="50">
        <v>22019.0</v>
      </c>
    </row>
    <row r="623">
      <c r="A623" s="75">
        <v>7619.0</v>
      </c>
      <c r="B623" s="70">
        <v>4344.0</v>
      </c>
      <c r="C623" s="74">
        <v>5063.0</v>
      </c>
      <c r="D623" s="66" t="s">
        <v>3405</v>
      </c>
      <c r="E623" s="66">
        <v>1.0</v>
      </c>
      <c r="F623" s="66">
        <v>74.0</v>
      </c>
      <c r="G623" s="66">
        <v>4.0</v>
      </c>
      <c r="H623" s="66">
        <v>3.0</v>
      </c>
      <c r="I623" s="50">
        <v>121015.0</v>
      </c>
    </row>
    <row r="624">
      <c r="A624" s="58">
        <v>7620.0</v>
      </c>
      <c r="B624" s="70">
        <v>2339.0</v>
      </c>
      <c r="C624" s="74">
        <v>6286.0</v>
      </c>
      <c r="D624" s="66" t="s">
        <v>3406</v>
      </c>
      <c r="E624" s="66">
        <v>4.0</v>
      </c>
      <c r="F624" s="66">
        <v>53.0</v>
      </c>
      <c r="G624" s="66">
        <v>9.0</v>
      </c>
      <c r="H624" s="66">
        <v>7.0</v>
      </c>
      <c r="I624" s="50">
        <v>92522.0</v>
      </c>
    </row>
    <row r="625">
      <c r="A625" s="75">
        <v>7621.0</v>
      </c>
      <c r="B625" s="70">
        <v>2532.0</v>
      </c>
      <c r="C625" s="74">
        <v>8928.0</v>
      </c>
      <c r="D625" s="66" t="s">
        <v>3407</v>
      </c>
      <c r="E625" s="66">
        <v>2.0</v>
      </c>
      <c r="F625" s="66">
        <v>94.0</v>
      </c>
      <c r="G625" s="66">
        <v>9.0</v>
      </c>
      <c r="H625" s="66">
        <v>4.0</v>
      </c>
      <c r="I625" s="50">
        <v>32521.0</v>
      </c>
    </row>
    <row r="626">
      <c r="A626" s="75">
        <v>7622.0</v>
      </c>
      <c r="B626" s="70">
        <v>8013.0</v>
      </c>
      <c r="C626" s="74">
        <v>3813.0</v>
      </c>
      <c r="D626" s="66" t="s">
        <v>3408</v>
      </c>
      <c r="E626" s="66">
        <v>3.0</v>
      </c>
      <c r="F626" s="66">
        <v>74.0</v>
      </c>
      <c r="G626" s="66">
        <v>4.0</v>
      </c>
      <c r="H626" s="66">
        <v>7.0</v>
      </c>
      <c r="I626" s="50">
        <v>52821.0</v>
      </c>
    </row>
    <row r="627">
      <c r="A627" s="75">
        <v>7623.0</v>
      </c>
      <c r="B627" s="70">
        <v>7409.0</v>
      </c>
      <c r="C627" s="74">
        <v>8435.0</v>
      </c>
      <c r="D627" s="66" t="s">
        <v>3409</v>
      </c>
      <c r="E627" s="66">
        <v>3.0</v>
      </c>
      <c r="F627" s="66">
        <v>94.0</v>
      </c>
      <c r="G627" s="66">
        <v>9.0</v>
      </c>
      <c r="H627" s="66">
        <v>7.0</v>
      </c>
      <c r="I627" s="50">
        <v>72218.0</v>
      </c>
    </row>
    <row r="628">
      <c r="A628" s="75">
        <v>7624.0</v>
      </c>
      <c r="B628" s="70">
        <v>5527.0</v>
      </c>
      <c r="C628" s="74">
        <v>5760.0</v>
      </c>
      <c r="D628" s="66" t="s">
        <v>3410</v>
      </c>
      <c r="E628" s="66">
        <v>4.0</v>
      </c>
      <c r="F628" s="66">
        <v>74.0</v>
      </c>
      <c r="G628" s="66">
        <v>5.0</v>
      </c>
      <c r="H628" s="66">
        <v>4.0</v>
      </c>
      <c r="I628" s="50">
        <v>10820.0</v>
      </c>
    </row>
    <row r="629">
      <c r="A629" s="58">
        <v>7625.0</v>
      </c>
      <c r="B629" s="70">
        <v>1227.0</v>
      </c>
      <c r="C629" s="74">
        <v>1360.0</v>
      </c>
      <c r="D629" s="66" t="s">
        <v>3411</v>
      </c>
      <c r="E629" s="66">
        <v>2.0</v>
      </c>
      <c r="F629" s="66">
        <v>54.0</v>
      </c>
      <c r="G629" s="66">
        <v>1.0</v>
      </c>
      <c r="H629" s="66">
        <v>1.0</v>
      </c>
      <c r="I629" s="50">
        <v>91119.0</v>
      </c>
    </row>
    <row r="630">
      <c r="A630" s="75">
        <v>7626.0</v>
      </c>
      <c r="B630" s="70">
        <v>1970.0</v>
      </c>
      <c r="C630" s="74">
        <v>2207.0</v>
      </c>
      <c r="D630" s="66" t="s">
        <v>3412</v>
      </c>
      <c r="E630" s="66">
        <v>1.0</v>
      </c>
      <c r="F630" s="66">
        <v>33.0</v>
      </c>
      <c r="G630" s="66">
        <v>6.0</v>
      </c>
      <c r="H630" s="66">
        <v>3.0</v>
      </c>
      <c r="I630" s="50">
        <v>40222.0</v>
      </c>
    </row>
    <row r="631">
      <c r="A631" s="75">
        <v>7627.0</v>
      </c>
      <c r="B631" s="70">
        <v>7000.0</v>
      </c>
      <c r="C631" s="74">
        <v>3253.0</v>
      </c>
      <c r="D631" s="66" t="s">
        <v>3413</v>
      </c>
      <c r="E631" s="66">
        <v>1.0</v>
      </c>
      <c r="F631" s="66">
        <v>33.0</v>
      </c>
      <c r="G631" s="66">
        <v>6.0</v>
      </c>
      <c r="H631" s="66">
        <v>4.0</v>
      </c>
      <c r="I631" s="50">
        <v>121622.0</v>
      </c>
    </row>
    <row r="632">
      <c r="A632" s="75">
        <v>7628.0</v>
      </c>
      <c r="B632" s="70">
        <v>7846.0</v>
      </c>
      <c r="C632" s="74">
        <v>423.0</v>
      </c>
      <c r="D632" s="66" t="s">
        <v>3414</v>
      </c>
      <c r="E632" s="66">
        <v>1.0</v>
      </c>
      <c r="F632" s="66">
        <v>54.0</v>
      </c>
      <c r="G632" s="66">
        <v>1.0</v>
      </c>
      <c r="H632" s="66">
        <v>4.0</v>
      </c>
      <c r="I632" s="50">
        <v>110420.0</v>
      </c>
    </row>
    <row r="633">
      <c r="A633" s="75">
        <v>7629.0</v>
      </c>
      <c r="B633" s="70">
        <v>789.0</v>
      </c>
      <c r="C633" s="74">
        <v>4698.0</v>
      </c>
      <c r="D633" s="66" t="s">
        <v>3415</v>
      </c>
      <c r="E633" s="66">
        <v>4.0</v>
      </c>
      <c r="F633" s="66">
        <v>74.0</v>
      </c>
      <c r="G633" s="66">
        <v>5.0</v>
      </c>
      <c r="H633" s="66">
        <v>9.0</v>
      </c>
      <c r="I633" s="50">
        <v>71915.0</v>
      </c>
    </row>
    <row r="634">
      <c r="A634" s="58">
        <v>7630.0</v>
      </c>
      <c r="B634" s="70">
        <v>8215.0</v>
      </c>
      <c r="C634" s="74">
        <v>8241.0</v>
      </c>
      <c r="D634" s="66" t="s">
        <v>3416</v>
      </c>
      <c r="E634" s="66">
        <v>3.0</v>
      </c>
      <c r="F634" s="66">
        <v>74.0</v>
      </c>
      <c r="G634" s="66">
        <v>6.0</v>
      </c>
      <c r="H634" s="66">
        <v>1.0</v>
      </c>
      <c r="I634" s="50">
        <v>111815.0</v>
      </c>
    </row>
    <row r="635">
      <c r="A635" s="75">
        <v>7631.0</v>
      </c>
      <c r="B635" s="70">
        <v>8000.0</v>
      </c>
      <c r="C635" s="74">
        <v>879.0</v>
      </c>
      <c r="D635" s="66" t="s">
        <v>3417</v>
      </c>
      <c r="E635" s="66">
        <v>2.0</v>
      </c>
      <c r="F635" s="66">
        <v>74.0</v>
      </c>
      <c r="G635" s="66">
        <v>6.0</v>
      </c>
      <c r="H635" s="66">
        <v>5.0</v>
      </c>
      <c r="I635" s="50">
        <v>72814.0</v>
      </c>
    </row>
    <row r="636">
      <c r="A636" s="75">
        <v>7632.0</v>
      </c>
      <c r="B636" s="70">
        <v>2837.0</v>
      </c>
      <c r="C636" s="74">
        <v>6864.0</v>
      </c>
      <c r="D636" s="66" t="s">
        <v>3418</v>
      </c>
      <c r="E636" s="66">
        <v>1.0</v>
      </c>
      <c r="F636" s="66">
        <v>74.0</v>
      </c>
      <c r="G636" s="66">
        <v>6.0</v>
      </c>
      <c r="H636" s="66">
        <v>6.0</v>
      </c>
      <c r="I636" s="50">
        <v>122920.0</v>
      </c>
    </row>
    <row r="637">
      <c r="A637" s="75">
        <v>7633.0</v>
      </c>
      <c r="B637" s="70">
        <v>9538.0</v>
      </c>
      <c r="C637" s="74">
        <v>4743.0</v>
      </c>
      <c r="D637" s="66" t="s">
        <v>3419</v>
      </c>
      <c r="E637" s="66">
        <v>4.0</v>
      </c>
      <c r="F637" s="66">
        <v>95.0</v>
      </c>
      <c r="G637" s="66">
        <v>1.0</v>
      </c>
      <c r="H637" s="66">
        <v>5.0</v>
      </c>
      <c r="I637" s="50">
        <v>40114.0</v>
      </c>
    </row>
    <row r="638">
      <c r="A638" s="75">
        <v>7634.0</v>
      </c>
      <c r="B638" s="70">
        <v>3976.0</v>
      </c>
      <c r="C638" s="74">
        <v>9186.0</v>
      </c>
      <c r="D638" s="66" t="s">
        <v>3420</v>
      </c>
      <c r="E638" s="66">
        <v>2.0</v>
      </c>
      <c r="F638" s="66">
        <v>74.0</v>
      </c>
      <c r="G638" s="66">
        <v>7.0</v>
      </c>
      <c r="H638" s="66">
        <v>3.0</v>
      </c>
      <c r="I638" s="50">
        <v>41820.0</v>
      </c>
    </row>
    <row r="639">
      <c r="A639" s="58">
        <v>7635.0</v>
      </c>
      <c r="B639" s="70">
        <v>4348.0</v>
      </c>
      <c r="C639" s="74">
        <v>6688.0</v>
      </c>
      <c r="D639" s="66" t="s">
        <v>3421</v>
      </c>
      <c r="E639" s="66">
        <v>3.0</v>
      </c>
      <c r="F639" s="66">
        <v>95.0</v>
      </c>
      <c r="G639" s="66">
        <v>2.0</v>
      </c>
      <c r="H639" s="66">
        <v>7.0</v>
      </c>
      <c r="I639" s="50">
        <v>11720.0</v>
      </c>
    </row>
    <row r="640">
      <c r="A640" s="75">
        <v>7636.0</v>
      </c>
      <c r="B640" s="70">
        <v>6774.0</v>
      </c>
      <c r="C640" s="74">
        <v>8914.0</v>
      </c>
      <c r="D640" s="66" t="s">
        <v>3422</v>
      </c>
      <c r="E640" s="66">
        <v>2.0</v>
      </c>
      <c r="F640" s="66">
        <v>13.0</v>
      </c>
      <c r="G640" s="66">
        <v>3.0</v>
      </c>
      <c r="H640" s="66">
        <v>7.0</v>
      </c>
      <c r="I640" s="50">
        <v>110520.0</v>
      </c>
    </row>
    <row r="641">
      <c r="A641" s="75">
        <v>7637.0</v>
      </c>
      <c r="B641" s="70">
        <v>5522.0</v>
      </c>
      <c r="C641" s="74">
        <v>1979.0</v>
      </c>
      <c r="D641" s="66" t="s">
        <v>3423</v>
      </c>
      <c r="E641" s="66">
        <v>4.0</v>
      </c>
      <c r="F641" s="66">
        <v>74.0</v>
      </c>
      <c r="G641" s="66">
        <v>8.0</v>
      </c>
      <c r="H641" s="66">
        <v>2.0</v>
      </c>
      <c r="I641" s="50">
        <v>51116.0</v>
      </c>
    </row>
    <row r="642">
      <c r="A642" s="75">
        <v>7638.0</v>
      </c>
      <c r="B642" s="70">
        <v>6667.0</v>
      </c>
      <c r="C642" s="74">
        <v>2464.0</v>
      </c>
      <c r="D642" s="66" t="s">
        <v>3424</v>
      </c>
      <c r="E642" s="66">
        <v>1.0</v>
      </c>
      <c r="F642" s="66">
        <v>54.0</v>
      </c>
      <c r="G642" s="66">
        <v>3.0</v>
      </c>
      <c r="H642" s="66">
        <v>5.0</v>
      </c>
      <c r="I642" s="50">
        <v>80722.0</v>
      </c>
    </row>
    <row r="643">
      <c r="A643" s="75">
        <v>7639.0</v>
      </c>
      <c r="B643" s="70">
        <v>4123.0</v>
      </c>
      <c r="C643" s="74">
        <v>9021.0</v>
      </c>
      <c r="D643" s="66" t="s">
        <v>3425</v>
      </c>
      <c r="E643" s="66">
        <v>1.0</v>
      </c>
      <c r="F643" s="66">
        <v>33.0</v>
      </c>
      <c r="G643" s="66">
        <v>8.0</v>
      </c>
      <c r="H643" s="66">
        <v>7.0</v>
      </c>
      <c r="I643" s="50">
        <v>70218.0</v>
      </c>
    </row>
    <row r="644">
      <c r="A644" s="58">
        <v>7640.0</v>
      </c>
      <c r="B644" s="70">
        <v>285.0</v>
      </c>
      <c r="C644" s="74">
        <v>3631.0</v>
      </c>
      <c r="D644" s="66" t="s">
        <v>3426</v>
      </c>
      <c r="E644" s="66">
        <v>2.0</v>
      </c>
      <c r="F644" s="66">
        <v>74.0</v>
      </c>
      <c r="G644" s="66">
        <v>8.0</v>
      </c>
      <c r="H644" s="66">
        <v>6.0</v>
      </c>
      <c r="I644" s="50">
        <v>31622.0</v>
      </c>
    </row>
    <row r="645">
      <c r="A645" s="75">
        <v>7641.0</v>
      </c>
      <c r="B645" s="70">
        <v>9765.0</v>
      </c>
      <c r="C645" s="74">
        <v>8221.0</v>
      </c>
      <c r="D645" s="66" t="s">
        <v>3427</v>
      </c>
      <c r="E645" s="66">
        <v>2.0</v>
      </c>
      <c r="F645" s="66">
        <v>13.0</v>
      </c>
      <c r="G645" s="66">
        <v>4.0</v>
      </c>
      <c r="H645" s="66">
        <v>6.0</v>
      </c>
      <c r="I645" s="50">
        <v>11820.0</v>
      </c>
    </row>
    <row r="646">
      <c r="A646" s="75">
        <v>7642.0</v>
      </c>
      <c r="B646" s="70">
        <v>1439.0</v>
      </c>
      <c r="C646" s="74">
        <v>7329.0</v>
      </c>
      <c r="D646" s="66" t="s">
        <v>3428</v>
      </c>
      <c r="E646" s="66">
        <v>3.0</v>
      </c>
      <c r="F646" s="66">
        <v>54.0</v>
      </c>
      <c r="G646" s="66">
        <v>4.0</v>
      </c>
      <c r="H646" s="66">
        <v>3.0</v>
      </c>
      <c r="I646" s="50">
        <v>91122.0</v>
      </c>
    </row>
    <row r="647">
      <c r="A647" s="75">
        <v>7643.0</v>
      </c>
      <c r="B647" s="70">
        <v>1071.0</v>
      </c>
      <c r="C647" s="74">
        <v>7889.0</v>
      </c>
      <c r="D647" s="66" t="s">
        <v>3429</v>
      </c>
      <c r="E647" s="66">
        <v>3.0</v>
      </c>
      <c r="F647" s="66">
        <v>95.0</v>
      </c>
      <c r="G647" s="66">
        <v>3.0</v>
      </c>
      <c r="H647" s="66">
        <v>9.0</v>
      </c>
      <c r="I647" s="50">
        <v>103121.0</v>
      </c>
    </row>
    <row r="648">
      <c r="A648" s="75">
        <v>7644.0</v>
      </c>
      <c r="B648" s="70">
        <v>7796.0</v>
      </c>
      <c r="C648" s="74">
        <v>2900.0</v>
      </c>
      <c r="D648" s="66" t="s">
        <v>3430</v>
      </c>
      <c r="E648" s="66">
        <v>1.0</v>
      </c>
      <c r="F648" s="66">
        <v>95.0</v>
      </c>
      <c r="G648" s="66">
        <v>4.0</v>
      </c>
      <c r="H648" s="66">
        <v>1.0</v>
      </c>
      <c r="I648" s="50">
        <v>81914.0</v>
      </c>
    </row>
    <row r="649">
      <c r="A649" s="58">
        <v>7645.0</v>
      </c>
      <c r="B649" s="70">
        <v>3295.0</v>
      </c>
      <c r="C649" s="74">
        <v>5883.0</v>
      </c>
      <c r="D649" s="66" t="s">
        <v>3431</v>
      </c>
      <c r="E649" s="66">
        <v>4.0</v>
      </c>
      <c r="F649" s="66">
        <v>95.0</v>
      </c>
      <c r="G649" s="66">
        <v>4.0</v>
      </c>
      <c r="H649" s="66">
        <v>2.0</v>
      </c>
      <c r="I649" s="50">
        <v>80219.0</v>
      </c>
    </row>
    <row r="650">
      <c r="A650" s="75">
        <v>7646.0</v>
      </c>
      <c r="B650" s="70">
        <v>4337.0</v>
      </c>
      <c r="C650" s="74">
        <v>1177.0</v>
      </c>
      <c r="D650" s="66" t="s">
        <v>3432</v>
      </c>
      <c r="E650" s="66">
        <v>1.0</v>
      </c>
      <c r="F650" s="66">
        <v>33.0</v>
      </c>
      <c r="G650" s="66">
        <v>9.0</v>
      </c>
      <c r="H650" s="66">
        <v>9.0</v>
      </c>
      <c r="I650" s="50">
        <v>112121.0</v>
      </c>
    </row>
    <row r="651">
      <c r="A651" s="75">
        <v>7647.0</v>
      </c>
      <c r="B651" s="70">
        <v>5956.0</v>
      </c>
      <c r="C651" s="74">
        <v>7065.0</v>
      </c>
      <c r="D651" s="66" t="s">
        <v>3433</v>
      </c>
      <c r="E651" s="66">
        <v>3.0</v>
      </c>
      <c r="F651" s="66">
        <v>95.0</v>
      </c>
      <c r="G651" s="66">
        <v>4.0</v>
      </c>
      <c r="H651" s="66">
        <v>3.0</v>
      </c>
      <c r="I651" s="50">
        <v>92917.0</v>
      </c>
    </row>
    <row r="652">
      <c r="A652" s="75">
        <v>7648.0</v>
      </c>
      <c r="B652" s="70">
        <v>466.0</v>
      </c>
      <c r="C652" s="74">
        <v>8797.0</v>
      </c>
      <c r="D652" s="66" t="s">
        <v>3434</v>
      </c>
      <c r="E652" s="66">
        <v>1.0</v>
      </c>
      <c r="F652" s="66">
        <v>95.0</v>
      </c>
      <c r="G652" s="66">
        <v>4.0</v>
      </c>
      <c r="H652" s="66">
        <v>5.0</v>
      </c>
      <c r="I652" s="50">
        <v>120521.0</v>
      </c>
    </row>
    <row r="653">
      <c r="A653" s="75">
        <v>7649.0</v>
      </c>
      <c r="B653" s="70">
        <v>5034.0</v>
      </c>
      <c r="C653" s="74">
        <v>1511.0</v>
      </c>
      <c r="D653" s="66" t="s">
        <v>3435</v>
      </c>
      <c r="E653" s="66">
        <v>3.0</v>
      </c>
      <c r="F653" s="66">
        <v>54.0</v>
      </c>
      <c r="G653" s="66">
        <v>5.0</v>
      </c>
      <c r="H653" s="66">
        <v>1.0</v>
      </c>
      <c r="I653" s="50">
        <v>51114.0</v>
      </c>
    </row>
    <row r="654">
      <c r="A654" s="58">
        <v>7650.0</v>
      </c>
      <c r="B654" s="70">
        <v>807.0</v>
      </c>
      <c r="C654" s="74">
        <v>3472.0</v>
      </c>
      <c r="D654" s="66" t="s">
        <v>3436</v>
      </c>
      <c r="E654" s="66">
        <v>4.0</v>
      </c>
      <c r="F654" s="66">
        <v>13.0</v>
      </c>
      <c r="G654" s="66">
        <v>5.0</v>
      </c>
      <c r="H654" s="66">
        <v>5.0</v>
      </c>
      <c r="I654" s="50">
        <v>52515.0</v>
      </c>
    </row>
    <row r="655">
      <c r="A655" s="75">
        <v>7651.0</v>
      </c>
      <c r="B655" s="70">
        <v>6721.0</v>
      </c>
      <c r="C655" s="74">
        <v>3906.0</v>
      </c>
      <c r="D655" s="66" t="s">
        <v>3437</v>
      </c>
      <c r="E655" s="66">
        <v>1.0</v>
      </c>
      <c r="F655" s="66">
        <v>13.0</v>
      </c>
      <c r="G655" s="66">
        <v>5.0</v>
      </c>
      <c r="H655" s="66">
        <v>7.0</v>
      </c>
      <c r="I655" s="50">
        <v>121717.0</v>
      </c>
    </row>
    <row r="656">
      <c r="A656" s="75">
        <v>7652.0</v>
      </c>
      <c r="B656" s="70">
        <v>5548.0</v>
      </c>
      <c r="C656" s="74">
        <v>198.0</v>
      </c>
      <c r="D656" s="66" t="s">
        <v>3438</v>
      </c>
      <c r="E656" s="66">
        <v>2.0</v>
      </c>
      <c r="F656" s="66">
        <v>34.0</v>
      </c>
      <c r="G656" s="66">
        <v>1.0</v>
      </c>
      <c r="H656" s="66">
        <v>1.0</v>
      </c>
      <c r="I656" s="50">
        <v>92015.0</v>
      </c>
    </row>
    <row r="657">
      <c r="A657" s="75">
        <v>7653.0</v>
      </c>
      <c r="B657" s="70">
        <v>922.0</v>
      </c>
      <c r="C657" s="74">
        <v>7493.0</v>
      </c>
      <c r="D657" s="66" t="s">
        <v>3439</v>
      </c>
      <c r="E657" s="66">
        <v>2.0</v>
      </c>
      <c r="F657" s="66">
        <v>13.0</v>
      </c>
      <c r="G657" s="66">
        <v>6.0</v>
      </c>
      <c r="H657" s="66">
        <v>4.0</v>
      </c>
      <c r="I657" s="50">
        <v>113020.0</v>
      </c>
    </row>
    <row r="658">
      <c r="A658" s="75">
        <v>7654.0</v>
      </c>
      <c r="B658" s="70">
        <v>1828.0</v>
      </c>
      <c r="C658" s="74">
        <v>8217.0</v>
      </c>
      <c r="D658" s="66" t="s">
        <v>3440</v>
      </c>
      <c r="E658" s="66">
        <v>1.0</v>
      </c>
      <c r="F658" s="66">
        <v>34.0</v>
      </c>
      <c r="G658" s="66">
        <v>1.0</v>
      </c>
      <c r="H658" s="66">
        <v>6.0</v>
      </c>
      <c r="I658" s="50">
        <v>102816.0</v>
      </c>
    </row>
    <row r="659">
      <c r="A659" s="58">
        <v>7655.0</v>
      </c>
      <c r="B659" s="70">
        <v>7508.0</v>
      </c>
      <c r="C659" s="74">
        <v>389.0</v>
      </c>
      <c r="D659" s="66" t="s">
        <v>3441</v>
      </c>
      <c r="E659" s="66">
        <v>3.0</v>
      </c>
      <c r="F659" s="66">
        <v>54.0</v>
      </c>
      <c r="G659" s="66">
        <v>6.0</v>
      </c>
      <c r="H659" s="66">
        <v>6.0</v>
      </c>
      <c r="I659" s="50">
        <v>72213.0</v>
      </c>
    </row>
    <row r="660">
      <c r="A660" s="75">
        <v>7656.0</v>
      </c>
      <c r="B660" s="70">
        <v>9346.0</v>
      </c>
      <c r="C660" s="74">
        <v>7892.0</v>
      </c>
      <c r="D660" s="66" t="s">
        <v>3442</v>
      </c>
      <c r="E660" s="66">
        <v>3.0</v>
      </c>
      <c r="F660" s="66">
        <v>13.0</v>
      </c>
      <c r="G660" s="66">
        <v>7.0</v>
      </c>
      <c r="H660" s="66">
        <v>2.0</v>
      </c>
      <c r="I660" s="50">
        <v>33016.0</v>
      </c>
    </row>
    <row r="661">
      <c r="A661" s="75">
        <v>7657.0</v>
      </c>
      <c r="B661" s="70">
        <v>801.0</v>
      </c>
      <c r="C661" s="74">
        <v>2552.0</v>
      </c>
      <c r="D661" s="66" t="s">
        <v>3443</v>
      </c>
      <c r="E661" s="66">
        <v>1.0</v>
      </c>
      <c r="F661" s="66">
        <v>95.0</v>
      </c>
      <c r="G661" s="66">
        <v>6.0</v>
      </c>
      <c r="H661" s="66">
        <v>5.0</v>
      </c>
      <c r="I661" s="50">
        <v>41422.0</v>
      </c>
    </row>
    <row r="662">
      <c r="A662" s="75">
        <v>7658.0</v>
      </c>
      <c r="B662" s="70">
        <v>1539.0</v>
      </c>
      <c r="C662" s="74">
        <v>99.0</v>
      </c>
      <c r="D662" s="66" t="s">
        <v>3444</v>
      </c>
      <c r="E662" s="66">
        <v>2.0</v>
      </c>
      <c r="F662" s="66">
        <v>95.0</v>
      </c>
      <c r="G662" s="66">
        <v>6.0</v>
      </c>
      <c r="H662" s="66">
        <v>9.0</v>
      </c>
      <c r="I662" s="50">
        <v>110920.0</v>
      </c>
    </row>
    <row r="663">
      <c r="A663" s="75">
        <v>7659.0</v>
      </c>
      <c r="B663" s="70">
        <v>5940.0</v>
      </c>
      <c r="C663" s="74">
        <v>8630.0</v>
      </c>
      <c r="D663" s="66" t="s">
        <v>3445</v>
      </c>
      <c r="E663" s="66">
        <v>3.0</v>
      </c>
      <c r="F663" s="66">
        <v>34.0</v>
      </c>
      <c r="G663" s="66">
        <v>2.0</v>
      </c>
      <c r="H663" s="66">
        <v>6.0</v>
      </c>
      <c r="I663" s="50">
        <v>50420.0</v>
      </c>
    </row>
    <row r="664">
      <c r="A664" s="58">
        <v>7660.0</v>
      </c>
      <c r="B664" s="70">
        <v>8821.0</v>
      </c>
      <c r="C664" s="74">
        <v>717.0</v>
      </c>
      <c r="D664" s="66" t="s">
        <v>3446</v>
      </c>
      <c r="E664" s="66">
        <v>1.0</v>
      </c>
      <c r="F664" s="66">
        <v>95.0</v>
      </c>
      <c r="G664" s="66">
        <v>7.0</v>
      </c>
      <c r="H664" s="66">
        <v>1.0</v>
      </c>
      <c r="I664" s="50">
        <v>72518.0</v>
      </c>
    </row>
    <row r="665">
      <c r="A665" s="75">
        <v>7661.0</v>
      </c>
      <c r="B665" s="70">
        <v>5729.0</v>
      </c>
      <c r="C665" s="74">
        <v>7801.0</v>
      </c>
      <c r="D665" s="66" t="s">
        <v>3447</v>
      </c>
      <c r="E665" s="66">
        <v>3.0</v>
      </c>
      <c r="F665" s="66">
        <v>95.0</v>
      </c>
      <c r="G665" s="66">
        <v>7.0</v>
      </c>
      <c r="H665" s="66">
        <v>2.0</v>
      </c>
      <c r="I665" s="50">
        <v>30717.0</v>
      </c>
    </row>
    <row r="666">
      <c r="A666" s="75">
        <v>7662.0</v>
      </c>
      <c r="B666" s="70">
        <v>4456.0</v>
      </c>
      <c r="C666" s="74">
        <v>6611.0</v>
      </c>
      <c r="D666" s="66" t="s">
        <v>3448</v>
      </c>
      <c r="E666" s="66">
        <v>2.0</v>
      </c>
      <c r="F666" s="66">
        <v>95.0</v>
      </c>
      <c r="G666" s="66">
        <v>7.0</v>
      </c>
      <c r="H666" s="66">
        <v>3.0</v>
      </c>
      <c r="I666" s="50">
        <v>32819.0</v>
      </c>
    </row>
    <row r="667">
      <c r="A667" s="75">
        <v>7663.0</v>
      </c>
      <c r="B667" s="70">
        <v>1720.0</v>
      </c>
      <c r="C667" s="74">
        <v>3912.0</v>
      </c>
      <c r="D667" s="66" t="s">
        <v>3449</v>
      </c>
      <c r="E667" s="66">
        <v>1.0</v>
      </c>
      <c r="F667" s="66">
        <v>95.0</v>
      </c>
      <c r="G667" s="66">
        <v>7.0</v>
      </c>
      <c r="H667" s="66">
        <v>4.0</v>
      </c>
      <c r="I667" s="50">
        <v>111213.0</v>
      </c>
    </row>
    <row r="668">
      <c r="A668" s="75">
        <v>7664.0</v>
      </c>
      <c r="B668" s="70">
        <v>1000.0</v>
      </c>
      <c r="C668" s="74">
        <v>8265.0</v>
      </c>
      <c r="D668" s="66" t="s">
        <v>3450</v>
      </c>
      <c r="E668" s="66">
        <v>1.0</v>
      </c>
      <c r="F668" s="66">
        <v>95.0</v>
      </c>
      <c r="G668" s="66">
        <v>7.0</v>
      </c>
      <c r="H668" s="66">
        <v>7.0</v>
      </c>
      <c r="I668" s="50">
        <v>111416.0</v>
      </c>
    </row>
    <row r="669">
      <c r="A669" s="58">
        <v>7665.0</v>
      </c>
      <c r="B669" s="70">
        <v>7356.0</v>
      </c>
      <c r="C669" s="74">
        <v>9018.0</v>
      </c>
      <c r="D669" s="66" t="s">
        <v>3451</v>
      </c>
      <c r="E669" s="66">
        <v>3.0</v>
      </c>
      <c r="F669" s="66">
        <v>54.0</v>
      </c>
      <c r="G669" s="66">
        <v>8.0</v>
      </c>
      <c r="H669" s="66">
        <v>2.0</v>
      </c>
      <c r="I669" s="50">
        <v>61817.0</v>
      </c>
    </row>
    <row r="670">
      <c r="A670" s="75">
        <v>7666.0</v>
      </c>
      <c r="B670" s="70">
        <v>6774.0</v>
      </c>
      <c r="C670" s="74">
        <v>6723.0</v>
      </c>
      <c r="D670" s="66" t="s">
        <v>3452</v>
      </c>
      <c r="E670" s="66">
        <v>4.0</v>
      </c>
      <c r="F670" s="66">
        <v>54.0</v>
      </c>
      <c r="G670" s="66">
        <v>8.0</v>
      </c>
      <c r="H670" s="66">
        <v>1.0</v>
      </c>
      <c r="I670" s="50">
        <v>102619.0</v>
      </c>
    </row>
    <row r="671">
      <c r="A671" s="75">
        <v>7667.0</v>
      </c>
      <c r="B671" s="70">
        <v>3927.0</v>
      </c>
      <c r="C671" s="74">
        <v>3724.0</v>
      </c>
      <c r="D671" s="66" t="s">
        <v>3453</v>
      </c>
      <c r="E671" s="66">
        <v>4.0</v>
      </c>
      <c r="F671" s="66">
        <v>75.0</v>
      </c>
      <c r="G671" s="66">
        <v>3.0</v>
      </c>
      <c r="H671" s="66">
        <v>2.0</v>
      </c>
      <c r="I671" s="50">
        <v>70716.0</v>
      </c>
    </row>
    <row r="672">
      <c r="A672" s="75">
        <v>7668.0</v>
      </c>
      <c r="B672" s="70">
        <v>1349.0</v>
      </c>
      <c r="C672" s="74">
        <v>5831.0</v>
      </c>
      <c r="D672" s="66" t="s">
        <v>3454</v>
      </c>
      <c r="E672" s="66">
        <v>1.0</v>
      </c>
      <c r="F672" s="66">
        <v>34.0</v>
      </c>
      <c r="G672" s="66">
        <v>3.0</v>
      </c>
      <c r="H672" s="66">
        <v>5.0</v>
      </c>
      <c r="I672" s="50">
        <v>21417.0</v>
      </c>
    </row>
    <row r="673">
      <c r="A673" s="75">
        <v>7669.0</v>
      </c>
      <c r="B673" s="70">
        <v>6669.0</v>
      </c>
      <c r="C673" s="74">
        <v>1461.0</v>
      </c>
      <c r="D673" s="66" t="s">
        <v>3455</v>
      </c>
      <c r="E673" s="66">
        <v>4.0</v>
      </c>
      <c r="F673" s="66">
        <v>34.0</v>
      </c>
      <c r="G673" s="66">
        <v>3.0</v>
      </c>
      <c r="H673" s="66">
        <v>4.0</v>
      </c>
      <c r="I673" s="50">
        <v>60622.0</v>
      </c>
    </row>
    <row r="674">
      <c r="A674" s="58">
        <v>7670.0</v>
      </c>
      <c r="B674" s="70">
        <v>3757.0</v>
      </c>
      <c r="C674" s="74">
        <v>2696.0</v>
      </c>
      <c r="D674" s="66" t="s">
        <v>3456</v>
      </c>
      <c r="E674" s="66">
        <v>1.0</v>
      </c>
      <c r="F674" s="66">
        <v>34.0</v>
      </c>
      <c r="G674" s="66">
        <v>3.0</v>
      </c>
      <c r="H674" s="66">
        <v>9.0</v>
      </c>
      <c r="I674" s="50">
        <v>51516.0</v>
      </c>
    </row>
    <row r="675">
      <c r="A675" s="75">
        <v>7671.0</v>
      </c>
      <c r="B675" s="70">
        <v>5173.0</v>
      </c>
      <c r="C675" s="74">
        <v>4190.0</v>
      </c>
      <c r="D675" s="66" t="s">
        <v>3457</v>
      </c>
      <c r="E675" s="66">
        <v>4.0</v>
      </c>
      <c r="F675" s="66">
        <v>75.0</v>
      </c>
      <c r="G675" s="66">
        <v>2.0</v>
      </c>
      <c r="H675" s="66">
        <v>9.0</v>
      </c>
      <c r="I675" s="50">
        <v>121818.0</v>
      </c>
    </row>
    <row r="676">
      <c r="A676" s="75">
        <v>7672.0</v>
      </c>
      <c r="B676" s="70">
        <v>1604.0</v>
      </c>
      <c r="C676" s="74">
        <v>4196.0</v>
      </c>
      <c r="D676" s="66" t="s">
        <v>3458</v>
      </c>
      <c r="E676" s="66">
        <v>1.0</v>
      </c>
      <c r="F676" s="66">
        <v>75.0</v>
      </c>
      <c r="G676" s="66">
        <v>3.0</v>
      </c>
      <c r="H676" s="66">
        <v>7.0</v>
      </c>
      <c r="I676" s="50">
        <v>32815.0</v>
      </c>
    </row>
    <row r="677">
      <c r="A677" s="75">
        <v>7673.0</v>
      </c>
      <c r="B677" s="70">
        <v>6166.0</v>
      </c>
      <c r="C677" s="74">
        <v>4615.0</v>
      </c>
      <c r="D677" s="66" t="s">
        <v>3459</v>
      </c>
      <c r="E677" s="66">
        <v>3.0</v>
      </c>
      <c r="F677" s="66">
        <v>34.0</v>
      </c>
      <c r="G677" s="66">
        <v>4.0</v>
      </c>
      <c r="H677" s="66">
        <v>2.0</v>
      </c>
      <c r="I677" s="50">
        <v>123114.0</v>
      </c>
    </row>
    <row r="678">
      <c r="A678" s="75">
        <v>7674.0</v>
      </c>
      <c r="B678" s="70">
        <v>9917.0</v>
      </c>
      <c r="C678" s="74">
        <v>2592.0</v>
      </c>
      <c r="D678" s="66" t="s">
        <v>3460</v>
      </c>
      <c r="E678" s="66">
        <v>4.0</v>
      </c>
      <c r="F678" s="66">
        <v>54.0</v>
      </c>
      <c r="G678" s="66">
        <v>9.0</v>
      </c>
      <c r="H678" s="66">
        <v>1.0</v>
      </c>
      <c r="I678" s="50">
        <v>62422.0</v>
      </c>
    </row>
    <row r="679">
      <c r="A679" s="58">
        <v>7675.0</v>
      </c>
      <c r="B679" s="70">
        <v>9984.0</v>
      </c>
      <c r="C679" s="74">
        <v>454.0</v>
      </c>
      <c r="D679" s="66" t="s">
        <v>3461</v>
      </c>
      <c r="E679" s="66">
        <v>2.0</v>
      </c>
      <c r="F679" s="66">
        <v>54.0</v>
      </c>
      <c r="G679" s="66">
        <v>9.0</v>
      </c>
      <c r="H679" s="66">
        <v>2.0</v>
      </c>
      <c r="I679" s="50">
        <v>122013.0</v>
      </c>
    </row>
    <row r="680">
      <c r="A680" s="75">
        <v>7676.0</v>
      </c>
      <c r="B680" s="70">
        <v>8064.0</v>
      </c>
      <c r="C680" s="74">
        <v>7835.0</v>
      </c>
      <c r="D680" s="66" t="s">
        <v>3462</v>
      </c>
      <c r="E680" s="66">
        <v>4.0</v>
      </c>
      <c r="F680" s="66">
        <v>34.0</v>
      </c>
      <c r="G680" s="66">
        <v>4.0</v>
      </c>
      <c r="H680" s="66">
        <v>8.0</v>
      </c>
      <c r="I680" s="50">
        <v>101113.0</v>
      </c>
    </row>
    <row r="681">
      <c r="A681" s="75">
        <v>7677.0</v>
      </c>
      <c r="B681" s="70">
        <v>8365.0</v>
      </c>
      <c r="C681" s="74">
        <v>6112.0</v>
      </c>
      <c r="D681" s="66" t="s">
        <v>3463</v>
      </c>
      <c r="E681" s="66">
        <v>2.0</v>
      </c>
      <c r="F681" s="66">
        <v>95.0</v>
      </c>
      <c r="G681" s="66">
        <v>9.0</v>
      </c>
      <c r="H681" s="66">
        <v>3.0</v>
      </c>
      <c r="I681" s="50">
        <v>73022.0</v>
      </c>
    </row>
    <row r="682">
      <c r="A682" s="75">
        <v>7678.0</v>
      </c>
      <c r="B682" s="70">
        <v>7589.0</v>
      </c>
      <c r="C682" s="74">
        <v>8145.0</v>
      </c>
      <c r="D682" s="66" t="s">
        <v>3464</v>
      </c>
      <c r="E682" s="66">
        <v>2.0</v>
      </c>
      <c r="F682" s="66">
        <v>54.0</v>
      </c>
      <c r="G682" s="66">
        <v>9.0</v>
      </c>
      <c r="H682" s="66">
        <v>8.0</v>
      </c>
      <c r="I682" s="50">
        <v>112314.0</v>
      </c>
    </row>
    <row r="683">
      <c r="A683" s="75">
        <v>7679.0</v>
      </c>
      <c r="B683" s="70">
        <v>5476.0</v>
      </c>
      <c r="C683" s="74">
        <v>9315.0</v>
      </c>
      <c r="D683" s="66" t="s">
        <v>3465</v>
      </c>
      <c r="E683" s="66">
        <v>2.0</v>
      </c>
      <c r="F683" s="66">
        <v>75.0</v>
      </c>
      <c r="G683" s="66">
        <v>4.0</v>
      </c>
      <c r="H683" s="66">
        <v>4.0</v>
      </c>
      <c r="I683" s="50">
        <v>61716.0</v>
      </c>
    </row>
    <row r="684">
      <c r="A684" s="58">
        <v>7680.0</v>
      </c>
      <c r="B684" s="70">
        <v>408.0</v>
      </c>
      <c r="C684" s="74">
        <v>7413.0</v>
      </c>
      <c r="D684" s="66" t="s">
        <v>3466</v>
      </c>
      <c r="E684" s="66">
        <v>2.0</v>
      </c>
      <c r="F684" s="66">
        <v>75.0</v>
      </c>
      <c r="G684" s="66">
        <v>5.0</v>
      </c>
      <c r="H684" s="66">
        <v>3.0</v>
      </c>
      <c r="I684" s="50">
        <v>51313.0</v>
      </c>
    </row>
    <row r="685">
      <c r="A685" s="75">
        <v>7681.0</v>
      </c>
      <c r="B685" s="70">
        <v>6518.0</v>
      </c>
      <c r="C685" s="74">
        <v>7419.0</v>
      </c>
      <c r="D685" s="66" t="s">
        <v>3467</v>
      </c>
      <c r="E685" s="66">
        <v>3.0</v>
      </c>
      <c r="F685" s="66">
        <v>34.0</v>
      </c>
      <c r="G685" s="66">
        <v>5.0</v>
      </c>
      <c r="H685" s="66">
        <v>9.0</v>
      </c>
      <c r="I685" s="50">
        <v>52620.0</v>
      </c>
    </row>
    <row r="686">
      <c r="A686" s="75">
        <v>7682.0</v>
      </c>
      <c r="B686" s="70">
        <v>2763.0</v>
      </c>
      <c r="C686" s="74">
        <v>3618.0</v>
      </c>
      <c r="D686" s="66" t="s">
        <v>3468</v>
      </c>
      <c r="E686" s="66">
        <v>1.0</v>
      </c>
      <c r="F686" s="66">
        <v>34.0</v>
      </c>
      <c r="G686" s="66">
        <v>6.0</v>
      </c>
      <c r="H686" s="66">
        <v>1.0</v>
      </c>
      <c r="I686" s="50">
        <v>112113.0</v>
      </c>
    </row>
    <row r="687">
      <c r="A687" s="75">
        <v>7683.0</v>
      </c>
      <c r="B687" s="70">
        <v>2698.0</v>
      </c>
      <c r="C687" s="74">
        <v>1714.0</v>
      </c>
      <c r="D687" s="66" t="s">
        <v>3469</v>
      </c>
      <c r="E687" s="66">
        <v>3.0</v>
      </c>
      <c r="F687" s="66">
        <v>34.0</v>
      </c>
      <c r="G687" s="66">
        <v>6.0</v>
      </c>
      <c r="H687" s="66">
        <v>4.0</v>
      </c>
      <c r="I687" s="50">
        <v>72416.0</v>
      </c>
    </row>
    <row r="688">
      <c r="A688" s="75">
        <v>7684.0</v>
      </c>
      <c r="B688" s="70">
        <v>4240.0</v>
      </c>
      <c r="C688" s="74">
        <v>781.0</v>
      </c>
      <c r="D688" s="66" t="s">
        <v>3470</v>
      </c>
      <c r="E688" s="66">
        <v>1.0</v>
      </c>
      <c r="F688" s="66">
        <v>55.0</v>
      </c>
      <c r="G688" s="66">
        <v>1.0</v>
      </c>
      <c r="H688" s="66">
        <v>3.0</v>
      </c>
      <c r="I688" s="50">
        <v>70622.0</v>
      </c>
    </row>
    <row r="689">
      <c r="A689" s="58">
        <v>7685.0</v>
      </c>
      <c r="B689" s="70">
        <v>2174.0</v>
      </c>
      <c r="C689" s="74">
        <v>4692.0</v>
      </c>
      <c r="D689" s="66" t="s">
        <v>3471</v>
      </c>
      <c r="E689" s="66">
        <v>2.0</v>
      </c>
      <c r="F689" s="66">
        <v>14.0</v>
      </c>
      <c r="G689" s="66">
        <v>1.0</v>
      </c>
      <c r="H689" s="66">
        <v>8.0</v>
      </c>
      <c r="I689" s="50">
        <v>50621.0</v>
      </c>
    </row>
    <row r="690">
      <c r="A690" s="75">
        <v>7686.0</v>
      </c>
      <c r="B690" s="70">
        <v>6074.0</v>
      </c>
      <c r="C690" s="74">
        <v>9709.0</v>
      </c>
      <c r="D690" s="66" t="s">
        <v>3472</v>
      </c>
      <c r="E690" s="66">
        <v>4.0</v>
      </c>
      <c r="F690" s="66">
        <v>14.0</v>
      </c>
      <c r="G690" s="66">
        <v>1.0</v>
      </c>
      <c r="H690" s="66">
        <v>9.0</v>
      </c>
      <c r="I690" s="50">
        <v>72022.0</v>
      </c>
    </row>
    <row r="691">
      <c r="A691" s="75">
        <v>7687.0</v>
      </c>
      <c r="B691" s="70">
        <v>7896.0</v>
      </c>
      <c r="C691" s="74">
        <v>8351.0</v>
      </c>
      <c r="D691" s="66" t="s">
        <v>3473</v>
      </c>
      <c r="E691" s="66">
        <v>2.0</v>
      </c>
      <c r="F691" s="66">
        <v>34.0</v>
      </c>
      <c r="G691" s="66">
        <v>7.0</v>
      </c>
      <c r="H691" s="66">
        <v>1.0</v>
      </c>
      <c r="I691" s="50">
        <v>13120.0</v>
      </c>
    </row>
    <row r="692">
      <c r="A692" s="75">
        <v>7688.0</v>
      </c>
      <c r="B692" s="70">
        <v>9511.0</v>
      </c>
      <c r="C692" s="74">
        <v>4018.0</v>
      </c>
      <c r="D692" s="66" t="s">
        <v>3474</v>
      </c>
      <c r="E692" s="66">
        <v>1.0</v>
      </c>
      <c r="F692" s="66">
        <v>14.0</v>
      </c>
      <c r="G692" s="66">
        <v>2.0</v>
      </c>
      <c r="H692" s="66">
        <v>7.0</v>
      </c>
      <c r="I692" s="50">
        <v>72619.0</v>
      </c>
    </row>
    <row r="693">
      <c r="A693" s="75">
        <v>7689.0</v>
      </c>
      <c r="B693" s="70">
        <v>8057.0</v>
      </c>
      <c r="C693" s="74">
        <v>4276.0</v>
      </c>
      <c r="D693" s="66" t="s">
        <v>3475</v>
      </c>
      <c r="E693" s="66">
        <v>3.0</v>
      </c>
      <c r="F693" s="66">
        <v>14.0</v>
      </c>
      <c r="G693" s="66">
        <v>2.0</v>
      </c>
      <c r="H693" s="66">
        <v>8.0</v>
      </c>
      <c r="I693" s="50">
        <v>61118.0</v>
      </c>
    </row>
    <row r="694">
      <c r="A694" s="58">
        <v>7690.0</v>
      </c>
      <c r="B694" s="70">
        <v>120.0</v>
      </c>
      <c r="C694" s="74">
        <v>4576.0</v>
      </c>
      <c r="D694" s="66" t="s">
        <v>3476</v>
      </c>
      <c r="E694" s="66">
        <v>3.0</v>
      </c>
      <c r="F694" s="66">
        <v>34.0</v>
      </c>
      <c r="G694" s="66">
        <v>7.0</v>
      </c>
      <c r="H694" s="66">
        <v>9.0</v>
      </c>
      <c r="I694" s="50">
        <v>70816.0</v>
      </c>
    </row>
    <row r="695">
      <c r="A695" s="75">
        <v>7691.0</v>
      </c>
      <c r="B695" s="70">
        <v>1005.0</v>
      </c>
      <c r="C695" s="74">
        <v>9191.0</v>
      </c>
      <c r="D695" s="66" t="s">
        <v>3477</v>
      </c>
      <c r="E695" s="66">
        <v>3.0</v>
      </c>
      <c r="F695" s="66">
        <v>75.0</v>
      </c>
      <c r="G695" s="66">
        <v>7.0</v>
      </c>
      <c r="H695" s="66">
        <v>5.0</v>
      </c>
      <c r="I695" s="50">
        <v>91916.0</v>
      </c>
    </row>
    <row r="696">
      <c r="A696" s="75">
        <v>7692.0</v>
      </c>
      <c r="B696" s="70">
        <v>7266.0</v>
      </c>
      <c r="C696" s="74">
        <v>8475.0</v>
      </c>
      <c r="D696" s="66" t="s">
        <v>3478</v>
      </c>
      <c r="E696" s="66">
        <v>3.0</v>
      </c>
      <c r="F696" s="66">
        <v>75.0</v>
      </c>
      <c r="G696" s="66">
        <v>7.0</v>
      </c>
      <c r="H696" s="66">
        <v>7.0</v>
      </c>
      <c r="I696" s="50">
        <v>10715.0</v>
      </c>
    </row>
    <row r="697">
      <c r="A697" s="75">
        <v>7693.0</v>
      </c>
      <c r="B697" s="70">
        <v>1969.0</v>
      </c>
      <c r="C697" s="74">
        <v>3819.0</v>
      </c>
      <c r="D697" s="66" t="s">
        <v>3479</v>
      </c>
      <c r="E697" s="66">
        <v>1.0</v>
      </c>
      <c r="F697" s="66">
        <v>55.0</v>
      </c>
      <c r="G697" s="66">
        <v>2.0</v>
      </c>
      <c r="H697" s="66">
        <v>7.0</v>
      </c>
      <c r="I697" s="50">
        <v>10714.0</v>
      </c>
    </row>
    <row r="698">
      <c r="A698" s="75">
        <v>7694.0</v>
      </c>
      <c r="B698" s="70">
        <v>2192.0</v>
      </c>
      <c r="C698" s="74">
        <v>1412.0</v>
      </c>
      <c r="D698" s="66" t="s">
        <v>3480</v>
      </c>
      <c r="E698" s="66">
        <v>3.0</v>
      </c>
      <c r="F698" s="66">
        <v>96.0</v>
      </c>
      <c r="G698" s="66">
        <v>2.0</v>
      </c>
      <c r="H698" s="66">
        <v>8.0</v>
      </c>
      <c r="I698" s="50">
        <v>112918.0</v>
      </c>
    </row>
    <row r="699">
      <c r="A699" s="58">
        <v>7695.0</v>
      </c>
      <c r="B699" s="70">
        <v>4301.0</v>
      </c>
      <c r="C699" s="74">
        <v>9818.0</v>
      </c>
      <c r="D699" s="66" t="s">
        <v>3481</v>
      </c>
      <c r="E699" s="66">
        <v>2.0</v>
      </c>
      <c r="F699" s="66">
        <v>96.0</v>
      </c>
      <c r="G699" s="66">
        <v>2.0</v>
      </c>
      <c r="H699" s="66">
        <v>9.0</v>
      </c>
      <c r="I699" s="50">
        <v>12422.0</v>
      </c>
    </row>
    <row r="700">
      <c r="A700" s="75">
        <v>7696.0</v>
      </c>
      <c r="B700" s="70">
        <v>6148.0</v>
      </c>
      <c r="C700" s="74">
        <v>142.0</v>
      </c>
      <c r="D700" s="66" t="s">
        <v>3482</v>
      </c>
      <c r="E700" s="66">
        <v>4.0</v>
      </c>
      <c r="F700" s="66">
        <v>14.0</v>
      </c>
      <c r="G700" s="66">
        <v>3.0</v>
      </c>
      <c r="H700" s="66">
        <v>6.0</v>
      </c>
      <c r="I700" s="50">
        <v>92613.0</v>
      </c>
    </row>
    <row r="701">
      <c r="A701" s="75">
        <v>7697.0</v>
      </c>
      <c r="B701" s="70">
        <v>8311.0</v>
      </c>
      <c r="C701" s="74">
        <v>6495.0</v>
      </c>
      <c r="D701" s="66" t="s">
        <v>3483</v>
      </c>
      <c r="E701" s="66">
        <v>3.0</v>
      </c>
      <c r="F701" s="66">
        <v>34.0</v>
      </c>
      <c r="G701" s="66">
        <v>8.0</v>
      </c>
      <c r="H701" s="66">
        <v>7.0</v>
      </c>
      <c r="I701" s="50">
        <v>30117.0</v>
      </c>
    </row>
    <row r="702">
      <c r="A702" s="75">
        <v>7698.0</v>
      </c>
      <c r="B702" s="70">
        <v>2168.0</v>
      </c>
      <c r="C702" s="74">
        <v>8895.0</v>
      </c>
      <c r="D702" s="66" t="s">
        <v>3484</v>
      </c>
      <c r="E702" s="66">
        <v>3.0</v>
      </c>
      <c r="F702" s="66">
        <v>75.0</v>
      </c>
      <c r="G702" s="66">
        <v>8.0</v>
      </c>
      <c r="H702" s="66">
        <v>4.0</v>
      </c>
      <c r="I702" s="50">
        <v>120215.0</v>
      </c>
    </row>
    <row r="703">
      <c r="A703" s="75">
        <v>7699.0</v>
      </c>
      <c r="B703" s="70">
        <v>6626.0</v>
      </c>
      <c r="C703" s="74">
        <v>3784.0</v>
      </c>
      <c r="D703" s="66" t="s">
        <v>3485</v>
      </c>
      <c r="E703" s="66">
        <v>3.0</v>
      </c>
      <c r="F703" s="66">
        <v>96.0</v>
      </c>
      <c r="G703" s="66">
        <v>3.0</v>
      </c>
      <c r="H703" s="66">
        <v>1.0</v>
      </c>
      <c r="I703" s="50">
        <v>92013.0</v>
      </c>
    </row>
    <row r="704">
      <c r="A704" s="58">
        <v>7700.0</v>
      </c>
      <c r="B704" s="70">
        <v>1853.0</v>
      </c>
      <c r="C704" s="74">
        <v>5031.0</v>
      </c>
      <c r="D704" s="66" t="s">
        <v>3486</v>
      </c>
      <c r="E704" s="66">
        <v>4.0</v>
      </c>
      <c r="F704" s="66">
        <v>75.0</v>
      </c>
      <c r="G704" s="66">
        <v>8.0</v>
      </c>
      <c r="H704" s="66">
        <v>6.0</v>
      </c>
      <c r="I704" s="50">
        <v>51617.0</v>
      </c>
    </row>
    <row r="705">
      <c r="A705" s="75">
        <v>7701.0</v>
      </c>
      <c r="B705" s="70">
        <v>5158.0</v>
      </c>
      <c r="C705" s="74">
        <v>4594.0</v>
      </c>
      <c r="D705" s="66" t="s">
        <v>3487</v>
      </c>
      <c r="E705" s="66">
        <v>3.0</v>
      </c>
      <c r="F705" s="66">
        <v>14.0</v>
      </c>
      <c r="G705" s="66">
        <v>4.0</v>
      </c>
      <c r="H705" s="66">
        <v>2.0</v>
      </c>
      <c r="I705" s="50">
        <v>31915.0</v>
      </c>
    </row>
    <row r="706">
      <c r="A706" s="75">
        <v>7702.0</v>
      </c>
      <c r="B706" s="70">
        <v>3132.0</v>
      </c>
      <c r="C706" s="74">
        <v>6659.0</v>
      </c>
      <c r="D706" s="66" t="s">
        <v>3488</v>
      </c>
      <c r="E706" s="66">
        <v>4.0</v>
      </c>
      <c r="F706" s="66">
        <v>55.0</v>
      </c>
      <c r="G706" s="66">
        <v>4.0</v>
      </c>
      <c r="H706" s="66">
        <v>1.0</v>
      </c>
      <c r="I706" s="50">
        <v>110713.0</v>
      </c>
    </row>
    <row r="707">
      <c r="A707" s="75">
        <v>7703.0</v>
      </c>
      <c r="B707" s="70">
        <v>5116.0</v>
      </c>
      <c r="C707" s="74">
        <v>1776.0</v>
      </c>
      <c r="D707" s="66" t="s">
        <v>3489</v>
      </c>
      <c r="E707" s="66">
        <v>4.0</v>
      </c>
      <c r="F707" s="66">
        <v>96.0</v>
      </c>
      <c r="G707" s="66">
        <v>3.0</v>
      </c>
      <c r="H707" s="66">
        <v>8.0</v>
      </c>
      <c r="I707" s="50">
        <v>33116.0</v>
      </c>
    </row>
    <row r="708">
      <c r="A708" s="75">
        <v>7704.0</v>
      </c>
      <c r="B708" s="70">
        <v>3798.0</v>
      </c>
      <c r="C708" s="74">
        <v>7239.0</v>
      </c>
      <c r="D708" s="66" t="s">
        <v>3490</v>
      </c>
      <c r="E708" s="66">
        <v>1.0</v>
      </c>
      <c r="F708" s="66">
        <v>75.0</v>
      </c>
      <c r="G708" s="66">
        <v>9.0</v>
      </c>
      <c r="H708" s="66">
        <v>4.0</v>
      </c>
      <c r="I708" s="50">
        <v>22217.0</v>
      </c>
    </row>
    <row r="709">
      <c r="A709" s="58">
        <v>7705.0</v>
      </c>
      <c r="B709" s="70">
        <v>5645.0</v>
      </c>
      <c r="C709" s="74">
        <v>4337.0</v>
      </c>
      <c r="D709" s="66" t="s">
        <v>3491</v>
      </c>
      <c r="E709" s="66">
        <v>1.0</v>
      </c>
      <c r="F709" s="66">
        <v>34.0</v>
      </c>
      <c r="G709" s="66">
        <v>9.0</v>
      </c>
      <c r="H709" s="66">
        <v>9.0</v>
      </c>
      <c r="I709" s="50">
        <v>81222.0</v>
      </c>
    </row>
    <row r="710">
      <c r="A710" s="75">
        <v>7706.0</v>
      </c>
      <c r="B710" s="70">
        <v>5401.0</v>
      </c>
      <c r="C710" s="74">
        <v>713.0</v>
      </c>
      <c r="D710" s="66" t="s">
        <v>3492</v>
      </c>
      <c r="E710" s="66">
        <v>1.0</v>
      </c>
      <c r="F710" s="66">
        <v>96.0</v>
      </c>
      <c r="G710" s="66">
        <v>4.0</v>
      </c>
      <c r="H710" s="66">
        <v>4.0</v>
      </c>
      <c r="I710" s="50">
        <v>50917.0</v>
      </c>
    </row>
    <row r="711">
      <c r="A711" s="75">
        <v>7707.0</v>
      </c>
      <c r="B711" s="70">
        <v>7054.0</v>
      </c>
      <c r="C711" s="74">
        <v>8714.0</v>
      </c>
      <c r="D711" s="66" t="s">
        <v>3493</v>
      </c>
      <c r="E711" s="66">
        <v>4.0</v>
      </c>
      <c r="F711" s="66">
        <v>55.0</v>
      </c>
      <c r="G711" s="66">
        <v>4.0</v>
      </c>
      <c r="H711" s="66">
        <v>9.0</v>
      </c>
      <c r="I711" s="50">
        <v>42817.0</v>
      </c>
    </row>
    <row r="712">
      <c r="A712" s="75">
        <v>7708.0</v>
      </c>
      <c r="B712" s="70">
        <v>4354.0</v>
      </c>
      <c r="C712" s="74">
        <v>965.0</v>
      </c>
      <c r="D712" s="66" t="s">
        <v>3494</v>
      </c>
      <c r="E712" s="66">
        <v>1.0</v>
      </c>
      <c r="F712" s="66">
        <v>55.0</v>
      </c>
      <c r="G712" s="66">
        <v>5.0</v>
      </c>
      <c r="H712" s="66">
        <v>7.0</v>
      </c>
      <c r="I712" s="50">
        <v>11816.0</v>
      </c>
    </row>
    <row r="713">
      <c r="A713" s="75">
        <v>7709.0</v>
      </c>
      <c r="B713" s="70">
        <v>4391.0</v>
      </c>
      <c r="C713" s="74">
        <v>534.0</v>
      </c>
      <c r="D713" s="66" t="s">
        <v>3495</v>
      </c>
      <c r="E713" s="66">
        <v>4.0</v>
      </c>
      <c r="F713" s="66">
        <v>14.0</v>
      </c>
      <c r="G713" s="66">
        <v>6.0</v>
      </c>
      <c r="H713" s="66">
        <v>2.0</v>
      </c>
      <c r="I713" s="50">
        <v>91822.0</v>
      </c>
    </row>
    <row r="714">
      <c r="A714" s="58">
        <v>7710.0</v>
      </c>
      <c r="B714" s="70">
        <v>9271.0</v>
      </c>
      <c r="C714" s="74">
        <v>7698.0</v>
      </c>
      <c r="D714" s="66" t="s">
        <v>3496</v>
      </c>
      <c r="E714" s="66">
        <v>1.0</v>
      </c>
      <c r="F714" s="66">
        <v>55.0</v>
      </c>
      <c r="G714" s="66">
        <v>6.0</v>
      </c>
      <c r="H714" s="66">
        <v>3.0</v>
      </c>
      <c r="I714" s="50">
        <v>113018.0</v>
      </c>
    </row>
    <row r="715">
      <c r="A715" s="75">
        <v>7711.0</v>
      </c>
      <c r="B715" s="70">
        <v>6380.0</v>
      </c>
      <c r="C715" s="74">
        <v>7922.0</v>
      </c>
      <c r="D715" s="66" t="s">
        <v>3497</v>
      </c>
      <c r="E715" s="66">
        <v>4.0</v>
      </c>
      <c r="F715" s="66">
        <v>14.0</v>
      </c>
      <c r="G715" s="66">
        <v>6.0</v>
      </c>
      <c r="H715" s="66">
        <v>8.0</v>
      </c>
      <c r="I715" s="50">
        <v>111622.0</v>
      </c>
    </row>
    <row r="716">
      <c r="A716" s="75">
        <v>7712.0</v>
      </c>
      <c r="B716" s="70">
        <v>2263.0</v>
      </c>
      <c r="C716" s="74">
        <v>296.0</v>
      </c>
      <c r="D716" s="66" t="s">
        <v>3498</v>
      </c>
      <c r="E716" s="66">
        <v>2.0</v>
      </c>
      <c r="F716" s="66">
        <v>55.0</v>
      </c>
      <c r="G716" s="66">
        <v>6.0</v>
      </c>
      <c r="H716" s="66">
        <v>6.0</v>
      </c>
      <c r="I716" s="50">
        <v>71922.0</v>
      </c>
    </row>
    <row r="717">
      <c r="A717" s="75">
        <v>7713.0</v>
      </c>
      <c r="B717" s="70">
        <v>4846.0</v>
      </c>
      <c r="C717" s="74">
        <v>1070.0</v>
      </c>
      <c r="D717" s="66" t="s">
        <v>3499</v>
      </c>
      <c r="E717" s="66">
        <v>2.0</v>
      </c>
      <c r="F717" s="66">
        <v>55.0</v>
      </c>
      <c r="G717" s="66">
        <v>6.0</v>
      </c>
      <c r="H717" s="66">
        <v>7.0</v>
      </c>
      <c r="I717" s="50">
        <v>40321.0</v>
      </c>
    </row>
    <row r="718">
      <c r="A718" s="75">
        <v>7714.0</v>
      </c>
      <c r="B718" s="70">
        <v>7543.0</v>
      </c>
      <c r="C718" s="74">
        <v>1063.0</v>
      </c>
      <c r="D718" s="66" t="s">
        <v>3500</v>
      </c>
      <c r="E718" s="66">
        <v>3.0</v>
      </c>
      <c r="F718" s="66">
        <v>14.0</v>
      </c>
      <c r="G718" s="66">
        <v>7.0</v>
      </c>
      <c r="H718" s="66">
        <v>5.0</v>
      </c>
      <c r="I718" s="50">
        <v>50617.0</v>
      </c>
    </row>
    <row r="719">
      <c r="A719" s="58">
        <v>7715.0</v>
      </c>
      <c r="B719" s="70">
        <v>451.0</v>
      </c>
      <c r="C719" s="74">
        <v>592.0</v>
      </c>
      <c r="D719" s="66" t="s">
        <v>3501</v>
      </c>
      <c r="E719" s="66">
        <v>4.0</v>
      </c>
      <c r="F719" s="66">
        <v>35.0</v>
      </c>
      <c r="G719" s="66">
        <v>2.0</v>
      </c>
      <c r="H719" s="66">
        <v>6.0</v>
      </c>
      <c r="I719" s="50">
        <v>42315.0</v>
      </c>
    </row>
    <row r="720">
      <c r="A720" s="75">
        <v>7716.0</v>
      </c>
      <c r="B720" s="70">
        <v>4220.0</v>
      </c>
      <c r="C720" s="74">
        <v>8081.0</v>
      </c>
      <c r="D720" s="66" t="s">
        <v>3502</v>
      </c>
      <c r="E720" s="66">
        <v>3.0</v>
      </c>
      <c r="F720" s="66">
        <v>55.0</v>
      </c>
      <c r="G720" s="66">
        <v>7.0</v>
      </c>
      <c r="H720" s="66">
        <v>6.0</v>
      </c>
      <c r="I720" s="50">
        <v>83118.0</v>
      </c>
    </row>
    <row r="721">
      <c r="A721" s="75">
        <v>7717.0</v>
      </c>
      <c r="B721" s="70">
        <v>6603.0</v>
      </c>
      <c r="C721" s="74">
        <v>1903.0</v>
      </c>
      <c r="D721" s="66" t="s">
        <v>3503</v>
      </c>
      <c r="E721" s="66">
        <v>3.0</v>
      </c>
      <c r="F721" s="66">
        <v>35.0</v>
      </c>
      <c r="G721" s="66">
        <v>3.0</v>
      </c>
      <c r="H721" s="66">
        <v>1.0</v>
      </c>
      <c r="I721" s="50">
        <v>31322.0</v>
      </c>
    </row>
    <row r="722">
      <c r="A722" s="75">
        <v>7718.0</v>
      </c>
      <c r="B722" s="70">
        <v>2816.0</v>
      </c>
      <c r="C722" s="74">
        <v>1581.0</v>
      </c>
      <c r="D722" s="66" t="s">
        <v>3504</v>
      </c>
      <c r="E722" s="66">
        <v>1.0</v>
      </c>
      <c r="F722" s="66">
        <v>96.0</v>
      </c>
      <c r="G722" s="66">
        <v>7.0</v>
      </c>
      <c r="H722" s="66">
        <v>7.0</v>
      </c>
      <c r="I722" s="50">
        <v>71822.0</v>
      </c>
    </row>
    <row r="723">
      <c r="A723" s="75">
        <v>7719.0</v>
      </c>
      <c r="B723" s="70">
        <v>4982.0</v>
      </c>
      <c r="C723" s="74">
        <v>841.0</v>
      </c>
      <c r="D723" s="66" t="s">
        <v>3505</v>
      </c>
      <c r="E723" s="66">
        <v>3.0</v>
      </c>
      <c r="F723" s="66">
        <v>55.0</v>
      </c>
      <c r="G723" s="66">
        <v>8.0</v>
      </c>
      <c r="H723" s="66">
        <v>3.0</v>
      </c>
      <c r="I723" s="50">
        <v>82916.0</v>
      </c>
    </row>
    <row r="724">
      <c r="A724" s="58">
        <v>7720.0</v>
      </c>
      <c r="B724" s="70">
        <v>7405.0</v>
      </c>
      <c r="C724" s="74">
        <v>3035.0</v>
      </c>
      <c r="D724" s="66" t="s">
        <v>3506</v>
      </c>
      <c r="E724" s="66">
        <v>1.0</v>
      </c>
      <c r="F724" s="66">
        <v>35.0</v>
      </c>
      <c r="G724" s="66">
        <v>3.0</v>
      </c>
      <c r="H724" s="66">
        <v>6.0</v>
      </c>
      <c r="I724" s="50">
        <v>51422.0</v>
      </c>
    </row>
    <row r="725">
      <c r="A725" s="75">
        <v>7721.0</v>
      </c>
      <c r="B725" s="70">
        <v>484.0</v>
      </c>
      <c r="C725" s="74">
        <v>3347.0</v>
      </c>
      <c r="D725" s="66" t="s">
        <v>3507</v>
      </c>
      <c r="E725" s="66">
        <v>2.0</v>
      </c>
      <c r="F725" s="66">
        <v>35.0</v>
      </c>
      <c r="G725" s="66">
        <v>3.0</v>
      </c>
      <c r="H725" s="66">
        <v>7.0</v>
      </c>
      <c r="I725" s="50">
        <v>81715.0</v>
      </c>
    </row>
    <row r="726">
      <c r="A726" s="75">
        <v>7722.0</v>
      </c>
      <c r="B726" s="70">
        <v>5054.0</v>
      </c>
      <c r="C726" s="74">
        <v>9590.0</v>
      </c>
      <c r="D726" s="66" t="s">
        <v>3508</v>
      </c>
      <c r="E726" s="66">
        <v>4.0</v>
      </c>
      <c r="F726" s="66">
        <v>76.0</v>
      </c>
      <c r="G726" s="66">
        <v>3.0</v>
      </c>
      <c r="H726" s="66">
        <v>4.0</v>
      </c>
      <c r="I726" s="50">
        <v>42314.0</v>
      </c>
    </row>
    <row r="727">
      <c r="A727" s="75">
        <v>7723.0</v>
      </c>
      <c r="B727" s="70">
        <v>6997.0</v>
      </c>
      <c r="C727" s="74">
        <v>6380.0</v>
      </c>
      <c r="D727" s="66" t="s">
        <v>3509</v>
      </c>
      <c r="E727" s="66">
        <v>3.0</v>
      </c>
      <c r="F727" s="66">
        <v>55.0</v>
      </c>
      <c r="G727" s="66">
        <v>8.0</v>
      </c>
      <c r="H727" s="66">
        <v>5.0</v>
      </c>
      <c r="I727" s="50">
        <v>20914.0</v>
      </c>
    </row>
    <row r="728">
      <c r="A728" s="75">
        <v>7724.0</v>
      </c>
      <c r="B728" s="70">
        <v>1136.0</v>
      </c>
      <c r="C728" s="74">
        <v>4326.0</v>
      </c>
      <c r="D728" s="66" t="s">
        <v>3510</v>
      </c>
      <c r="E728" s="66">
        <v>4.0</v>
      </c>
      <c r="F728" s="66">
        <v>76.0</v>
      </c>
      <c r="G728" s="66">
        <v>3.0</v>
      </c>
      <c r="H728" s="66">
        <v>6.0</v>
      </c>
      <c r="I728" s="50">
        <v>13018.0</v>
      </c>
    </row>
    <row r="729">
      <c r="A729" s="58">
        <v>7725.0</v>
      </c>
      <c r="B729" s="70">
        <v>8401.0</v>
      </c>
      <c r="C729" s="74">
        <v>4575.0</v>
      </c>
      <c r="D729" s="66" t="s">
        <v>3511</v>
      </c>
      <c r="E729" s="66">
        <v>2.0</v>
      </c>
      <c r="F729" s="66">
        <v>96.0</v>
      </c>
      <c r="G729" s="66">
        <v>8.0</v>
      </c>
      <c r="H729" s="66">
        <v>5.0</v>
      </c>
      <c r="I729" s="50">
        <v>71014.0</v>
      </c>
    </row>
    <row r="730">
      <c r="A730" s="75">
        <v>7726.0</v>
      </c>
      <c r="B730" s="70">
        <v>111.0</v>
      </c>
      <c r="C730" s="74">
        <v>5194.0</v>
      </c>
      <c r="D730" s="66" t="s">
        <v>3512</v>
      </c>
      <c r="E730" s="66">
        <v>3.0</v>
      </c>
      <c r="F730" s="66">
        <v>14.0</v>
      </c>
      <c r="G730" s="66">
        <v>9.0</v>
      </c>
      <c r="H730" s="66">
        <v>4.0</v>
      </c>
      <c r="I730" s="50">
        <v>20816.0</v>
      </c>
    </row>
    <row r="731">
      <c r="A731" s="75">
        <v>7727.0</v>
      </c>
      <c r="B731" s="70">
        <v>9948.0</v>
      </c>
      <c r="C731" s="74">
        <v>7023.0</v>
      </c>
      <c r="D731" s="66" t="s">
        <v>3513</v>
      </c>
      <c r="E731" s="66">
        <v>4.0</v>
      </c>
      <c r="F731" s="66">
        <v>35.0</v>
      </c>
      <c r="G731" s="66">
        <v>4.0</v>
      </c>
      <c r="H731" s="66">
        <v>2.0</v>
      </c>
      <c r="I731" s="50">
        <v>50920.0</v>
      </c>
    </row>
    <row r="732">
      <c r="A732" s="75">
        <v>7728.0</v>
      </c>
      <c r="B732" s="70">
        <v>6664.0</v>
      </c>
      <c r="C732" s="74">
        <v>2945.0</v>
      </c>
      <c r="D732" s="66" t="s">
        <v>3514</v>
      </c>
      <c r="E732" s="66">
        <v>3.0</v>
      </c>
      <c r="F732" s="66">
        <v>76.0</v>
      </c>
      <c r="G732" s="66">
        <v>3.0</v>
      </c>
      <c r="H732" s="66">
        <v>2.0</v>
      </c>
      <c r="I732" s="50">
        <v>31919.0</v>
      </c>
    </row>
    <row r="733">
      <c r="A733" s="75">
        <v>7729.0</v>
      </c>
      <c r="B733" s="70">
        <v>4343.0</v>
      </c>
      <c r="C733" s="74">
        <v>7903.0</v>
      </c>
      <c r="D733" s="66" t="s">
        <v>3515</v>
      </c>
      <c r="E733" s="66">
        <v>1.0</v>
      </c>
      <c r="F733" s="66">
        <v>35.0</v>
      </c>
      <c r="G733" s="66">
        <v>4.0</v>
      </c>
      <c r="H733" s="66">
        <v>6.0</v>
      </c>
      <c r="I733" s="50">
        <v>123022.0</v>
      </c>
    </row>
    <row r="734">
      <c r="A734" s="58">
        <v>7730.0</v>
      </c>
      <c r="B734" s="70">
        <v>7899.0</v>
      </c>
      <c r="C734" s="74">
        <v>6739.0</v>
      </c>
      <c r="D734" s="66" t="s">
        <v>3516</v>
      </c>
      <c r="E734" s="66">
        <v>1.0</v>
      </c>
      <c r="F734" s="66">
        <v>96.0</v>
      </c>
      <c r="G734" s="66">
        <v>9.0</v>
      </c>
      <c r="H734" s="66">
        <v>1.0</v>
      </c>
      <c r="I734" s="50">
        <v>30722.0</v>
      </c>
    </row>
    <row r="735">
      <c r="A735" s="75">
        <v>7731.0</v>
      </c>
      <c r="B735" s="70">
        <v>3072.0</v>
      </c>
      <c r="C735" s="74">
        <v>7194.0</v>
      </c>
      <c r="D735" s="66" t="s">
        <v>3517</v>
      </c>
      <c r="E735" s="66">
        <v>2.0</v>
      </c>
      <c r="F735" s="66">
        <v>96.0</v>
      </c>
      <c r="G735" s="66">
        <v>9.0</v>
      </c>
      <c r="H735" s="66">
        <v>2.0</v>
      </c>
      <c r="I735" s="50">
        <v>103013.0</v>
      </c>
    </row>
    <row r="736">
      <c r="A736" s="75">
        <v>7732.0</v>
      </c>
      <c r="B736" s="70">
        <v>6430.0</v>
      </c>
      <c r="C736" s="74">
        <v>2399.0</v>
      </c>
      <c r="D736" s="66" t="s">
        <v>3518</v>
      </c>
      <c r="E736" s="66">
        <v>2.0</v>
      </c>
      <c r="F736" s="66">
        <v>35.0</v>
      </c>
      <c r="G736" s="66">
        <v>4.0</v>
      </c>
      <c r="H736" s="66">
        <v>9.0</v>
      </c>
      <c r="I736" s="50">
        <v>40313.0</v>
      </c>
    </row>
    <row r="737">
      <c r="A737" s="75">
        <v>7733.0</v>
      </c>
      <c r="B737" s="70">
        <v>4337.0</v>
      </c>
      <c r="C737" s="74">
        <v>1354.0</v>
      </c>
      <c r="D737" s="66" t="s">
        <v>3519</v>
      </c>
      <c r="E737" s="66">
        <v>1.0</v>
      </c>
      <c r="F737" s="66">
        <v>96.0</v>
      </c>
      <c r="G737" s="66">
        <v>9.0</v>
      </c>
      <c r="H737" s="66">
        <v>5.0</v>
      </c>
      <c r="I737" s="50">
        <v>31122.0</v>
      </c>
    </row>
    <row r="738">
      <c r="A738" s="75">
        <v>7734.0</v>
      </c>
      <c r="B738" s="70">
        <v>8125.0</v>
      </c>
      <c r="C738" s="74">
        <v>7155.0</v>
      </c>
      <c r="D738" s="66" t="s">
        <v>3520</v>
      </c>
      <c r="E738" s="66">
        <v>3.0</v>
      </c>
      <c r="F738" s="66">
        <v>96.0</v>
      </c>
      <c r="G738" s="66">
        <v>9.0</v>
      </c>
      <c r="H738" s="66">
        <v>9.0</v>
      </c>
      <c r="I738" s="50">
        <v>92919.0</v>
      </c>
    </row>
    <row r="739">
      <c r="A739" s="58">
        <v>7735.0</v>
      </c>
      <c r="B739" s="70">
        <v>426.0</v>
      </c>
      <c r="C739" s="74">
        <v>1478.0</v>
      </c>
      <c r="D739" s="66" t="s">
        <v>3521</v>
      </c>
      <c r="E739" s="66">
        <v>2.0</v>
      </c>
      <c r="F739" s="66">
        <v>76.0</v>
      </c>
      <c r="G739" s="66">
        <v>5.0</v>
      </c>
      <c r="H739" s="66">
        <v>3.0</v>
      </c>
      <c r="I739" s="50">
        <v>122514.0</v>
      </c>
    </row>
    <row r="740">
      <c r="A740" s="75">
        <v>7736.0</v>
      </c>
      <c r="B740" s="70">
        <v>4312.0</v>
      </c>
      <c r="C740" s="74">
        <v>366.0</v>
      </c>
      <c r="D740" s="66" t="s">
        <v>3522</v>
      </c>
      <c r="E740" s="66">
        <v>2.0</v>
      </c>
      <c r="F740" s="66">
        <v>76.0</v>
      </c>
      <c r="G740" s="66">
        <v>5.0</v>
      </c>
      <c r="H740" s="66">
        <v>4.0</v>
      </c>
      <c r="I740" s="50">
        <v>33014.0</v>
      </c>
    </row>
    <row r="741">
      <c r="A741" s="75">
        <v>7737.0</v>
      </c>
      <c r="B741" s="70">
        <v>6647.0</v>
      </c>
      <c r="C741" s="74">
        <v>3993.0</v>
      </c>
      <c r="D741" s="66" t="s">
        <v>3523</v>
      </c>
      <c r="E741" s="66">
        <v>3.0</v>
      </c>
      <c r="F741" s="66">
        <v>35.0</v>
      </c>
      <c r="G741" s="66">
        <v>5.0</v>
      </c>
      <c r="H741" s="66">
        <v>9.0</v>
      </c>
      <c r="I741" s="50">
        <v>72215.0</v>
      </c>
    </row>
    <row r="742">
      <c r="A742" s="75">
        <v>7738.0</v>
      </c>
      <c r="B742" s="70">
        <v>9730.0</v>
      </c>
      <c r="C742" s="74">
        <v>1606.0</v>
      </c>
      <c r="D742" s="66" t="s">
        <v>3524</v>
      </c>
      <c r="E742" s="66">
        <v>3.0</v>
      </c>
      <c r="F742" s="66">
        <v>15.0</v>
      </c>
      <c r="G742" s="66">
        <v>1.0</v>
      </c>
      <c r="H742" s="66">
        <v>2.0</v>
      </c>
      <c r="I742" s="50">
        <v>101622.0</v>
      </c>
    </row>
    <row r="743">
      <c r="A743" s="75">
        <v>7739.0</v>
      </c>
      <c r="B743" s="70">
        <v>7181.0</v>
      </c>
      <c r="C743" s="74">
        <v>3803.0</v>
      </c>
      <c r="D743" s="66" t="s">
        <v>3525</v>
      </c>
      <c r="E743" s="66">
        <v>4.0</v>
      </c>
      <c r="F743" s="66">
        <v>15.0</v>
      </c>
      <c r="G743" s="66">
        <v>1.0</v>
      </c>
      <c r="H743" s="66">
        <v>1.0</v>
      </c>
      <c r="I743" s="50">
        <v>21314.0</v>
      </c>
    </row>
    <row r="744">
      <c r="A744" s="58">
        <v>7740.0</v>
      </c>
      <c r="B744" s="70">
        <v>3757.0</v>
      </c>
      <c r="C744" s="74">
        <v>8899.0</v>
      </c>
      <c r="D744" s="66" t="s">
        <v>3526</v>
      </c>
      <c r="E744" s="66">
        <v>2.0</v>
      </c>
      <c r="F744" s="66">
        <v>35.0</v>
      </c>
      <c r="G744" s="66">
        <v>6.0</v>
      </c>
      <c r="H744" s="66">
        <v>4.0</v>
      </c>
      <c r="I744" s="50">
        <v>60322.0</v>
      </c>
    </row>
    <row r="745">
      <c r="A745" s="75">
        <v>7741.0</v>
      </c>
      <c r="B745" s="70">
        <v>6026.0</v>
      </c>
      <c r="C745" s="74">
        <v>7065.0</v>
      </c>
      <c r="D745" s="66" t="s">
        <v>3527</v>
      </c>
      <c r="E745" s="66">
        <v>4.0</v>
      </c>
      <c r="F745" s="66">
        <v>76.0</v>
      </c>
      <c r="G745" s="66">
        <v>6.0</v>
      </c>
      <c r="H745" s="66">
        <v>3.0</v>
      </c>
      <c r="I745" s="50">
        <v>90219.0</v>
      </c>
    </row>
    <row r="746">
      <c r="A746" s="75">
        <v>7742.0</v>
      </c>
      <c r="B746" s="70">
        <v>5064.0</v>
      </c>
      <c r="C746" s="74">
        <v>4738.0</v>
      </c>
      <c r="D746" s="66" t="s">
        <v>3528</v>
      </c>
      <c r="E746" s="66">
        <v>1.0</v>
      </c>
      <c r="F746" s="66">
        <v>35.0</v>
      </c>
      <c r="G746" s="66">
        <v>6.0</v>
      </c>
      <c r="H746" s="66">
        <v>7.0</v>
      </c>
      <c r="I746" s="50">
        <v>90517.0</v>
      </c>
    </row>
    <row r="747">
      <c r="A747" s="75">
        <v>7743.0</v>
      </c>
      <c r="B747" s="70">
        <v>7226.0</v>
      </c>
      <c r="C747" s="74">
        <v>7741.0</v>
      </c>
      <c r="D747" s="66" t="s">
        <v>3529</v>
      </c>
      <c r="E747" s="66">
        <v>4.0</v>
      </c>
      <c r="F747" s="66">
        <v>97.0</v>
      </c>
      <c r="G747" s="66">
        <v>1.0</v>
      </c>
      <c r="H747" s="66">
        <v>3.0</v>
      </c>
      <c r="I747" s="50">
        <v>110817.0</v>
      </c>
    </row>
    <row r="748">
      <c r="A748" s="75">
        <v>7744.0</v>
      </c>
      <c r="B748" s="70">
        <v>4926.0</v>
      </c>
      <c r="C748" s="74">
        <v>5456.0</v>
      </c>
      <c r="D748" s="66" t="s">
        <v>3530</v>
      </c>
      <c r="E748" s="66">
        <v>3.0</v>
      </c>
      <c r="F748" s="66">
        <v>97.0</v>
      </c>
      <c r="G748" s="66">
        <v>1.0</v>
      </c>
      <c r="H748" s="66">
        <v>4.0</v>
      </c>
      <c r="I748" s="50">
        <v>11717.0</v>
      </c>
    </row>
    <row r="749">
      <c r="A749" s="58">
        <v>7745.0</v>
      </c>
      <c r="B749" s="70">
        <v>5923.0</v>
      </c>
      <c r="C749" s="74">
        <v>7311.0</v>
      </c>
      <c r="D749" s="66" t="s">
        <v>3531</v>
      </c>
      <c r="E749" s="66">
        <v>4.0</v>
      </c>
      <c r="F749" s="66">
        <v>35.0</v>
      </c>
      <c r="G749" s="66">
        <v>7.0</v>
      </c>
      <c r="H749" s="66">
        <v>1.0</v>
      </c>
      <c r="I749" s="50">
        <v>70217.0</v>
      </c>
    </row>
    <row r="750">
      <c r="A750" s="75">
        <v>7746.0</v>
      </c>
      <c r="B750" s="70">
        <v>5154.0</v>
      </c>
      <c r="C750" s="74">
        <v>2346.0</v>
      </c>
      <c r="D750" s="66" t="s">
        <v>3532</v>
      </c>
      <c r="E750" s="66">
        <v>4.0</v>
      </c>
      <c r="F750" s="66">
        <v>76.0</v>
      </c>
      <c r="G750" s="66">
        <v>6.0</v>
      </c>
      <c r="H750" s="66">
        <v>7.0</v>
      </c>
      <c r="I750" s="50">
        <v>81813.0</v>
      </c>
    </row>
    <row r="751">
      <c r="A751" s="75">
        <v>7747.0</v>
      </c>
      <c r="B751" s="70">
        <v>7584.0</v>
      </c>
      <c r="C751" s="74">
        <v>1395.0</v>
      </c>
      <c r="D751" s="66" t="s">
        <v>3533</v>
      </c>
      <c r="E751" s="66">
        <v>1.0</v>
      </c>
      <c r="F751" s="66">
        <v>15.0</v>
      </c>
      <c r="G751" s="66">
        <v>2.0</v>
      </c>
      <c r="H751" s="66">
        <v>5.0</v>
      </c>
      <c r="I751" s="50">
        <v>101220.0</v>
      </c>
    </row>
    <row r="752">
      <c r="A752" s="75">
        <v>7748.0</v>
      </c>
      <c r="B752" s="70">
        <v>9567.0</v>
      </c>
      <c r="C752" s="74">
        <v>7782.0</v>
      </c>
      <c r="D752" s="66" t="s">
        <v>3534</v>
      </c>
      <c r="E752" s="66">
        <v>2.0</v>
      </c>
      <c r="F752" s="66">
        <v>15.0</v>
      </c>
      <c r="G752" s="66">
        <v>2.0</v>
      </c>
      <c r="H752" s="66">
        <v>6.0</v>
      </c>
      <c r="I752" s="50">
        <v>20317.0</v>
      </c>
    </row>
    <row r="753">
      <c r="A753" s="75">
        <v>7749.0</v>
      </c>
      <c r="B753" s="70">
        <v>4216.0</v>
      </c>
      <c r="C753" s="74">
        <v>2341.0</v>
      </c>
      <c r="D753" s="66" t="s">
        <v>3535</v>
      </c>
      <c r="E753" s="66">
        <v>1.0</v>
      </c>
      <c r="F753" s="66">
        <v>56.0</v>
      </c>
      <c r="G753" s="66">
        <v>2.0</v>
      </c>
      <c r="H753" s="66">
        <v>4.0</v>
      </c>
      <c r="I753" s="50">
        <v>80122.0</v>
      </c>
    </row>
    <row r="754">
      <c r="A754" s="58">
        <v>7750.0</v>
      </c>
      <c r="B754" s="70">
        <v>4898.0</v>
      </c>
      <c r="C754" s="74">
        <v>2269.0</v>
      </c>
      <c r="D754" s="66" t="s">
        <v>3536</v>
      </c>
      <c r="E754" s="66">
        <v>4.0</v>
      </c>
      <c r="F754" s="66">
        <v>76.0</v>
      </c>
      <c r="G754" s="66">
        <v>7.0</v>
      </c>
      <c r="H754" s="66">
        <v>2.0</v>
      </c>
      <c r="I754" s="50">
        <v>42514.0</v>
      </c>
    </row>
    <row r="755">
      <c r="A755" s="75">
        <v>7751.0</v>
      </c>
      <c r="B755" s="70">
        <v>6175.0</v>
      </c>
      <c r="C755" s="74">
        <v>8637.0</v>
      </c>
      <c r="D755" s="66" t="s">
        <v>3537</v>
      </c>
      <c r="E755" s="66">
        <v>1.0</v>
      </c>
      <c r="F755" s="66">
        <v>56.0</v>
      </c>
      <c r="G755" s="66">
        <v>2.0</v>
      </c>
      <c r="H755" s="66">
        <v>6.0</v>
      </c>
      <c r="I755" s="50">
        <v>52319.0</v>
      </c>
    </row>
    <row r="756">
      <c r="A756" s="75">
        <v>7752.0</v>
      </c>
      <c r="B756" s="70">
        <v>958.0</v>
      </c>
      <c r="C756" s="74">
        <v>9553.0</v>
      </c>
      <c r="D756" s="66" t="s">
        <v>3538</v>
      </c>
      <c r="E756" s="66">
        <v>4.0</v>
      </c>
      <c r="F756" s="66">
        <v>97.0</v>
      </c>
      <c r="G756" s="66">
        <v>2.0</v>
      </c>
      <c r="H756" s="66">
        <v>2.0</v>
      </c>
      <c r="I756" s="50">
        <v>111116.0</v>
      </c>
    </row>
    <row r="757">
      <c r="A757" s="75">
        <v>7753.0</v>
      </c>
      <c r="B757" s="70">
        <v>8398.0</v>
      </c>
      <c r="C757" s="74">
        <v>2345.0</v>
      </c>
      <c r="D757" s="66" t="s">
        <v>3539</v>
      </c>
      <c r="E757" s="66">
        <v>3.0</v>
      </c>
      <c r="F757" s="66">
        <v>35.0</v>
      </c>
      <c r="G757" s="66">
        <v>8.0</v>
      </c>
      <c r="H757" s="66">
        <v>1.0</v>
      </c>
      <c r="I757" s="50">
        <v>42819.0</v>
      </c>
    </row>
    <row r="758">
      <c r="A758" s="75">
        <v>7754.0</v>
      </c>
      <c r="B758" s="70">
        <v>3115.0</v>
      </c>
      <c r="C758" s="74">
        <v>44.0</v>
      </c>
      <c r="D758" s="66" t="s">
        <v>3540</v>
      </c>
      <c r="E758" s="66">
        <v>1.0</v>
      </c>
      <c r="F758" s="66">
        <v>97.0</v>
      </c>
      <c r="G758" s="66">
        <v>2.0</v>
      </c>
      <c r="H758" s="66">
        <v>6.0</v>
      </c>
      <c r="I758" s="50">
        <v>122816.0</v>
      </c>
    </row>
    <row r="759">
      <c r="A759" s="58">
        <v>7755.0</v>
      </c>
      <c r="B759" s="70">
        <v>9274.0</v>
      </c>
      <c r="C759" s="74">
        <v>6286.0</v>
      </c>
      <c r="D759" s="66" t="s">
        <v>3541</v>
      </c>
      <c r="E759" s="66">
        <v>3.0</v>
      </c>
      <c r="F759" s="66">
        <v>35.0</v>
      </c>
      <c r="G759" s="66">
        <v>8.0</v>
      </c>
      <c r="H759" s="66">
        <v>3.0</v>
      </c>
      <c r="I759" s="50">
        <v>30219.0</v>
      </c>
    </row>
    <row r="760">
      <c r="A760" s="75">
        <v>7756.0</v>
      </c>
      <c r="B760" s="70">
        <v>9079.0</v>
      </c>
      <c r="C760" s="74">
        <v>1845.0</v>
      </c>
      <c r="D760" s="66" t="s">
        <v>3542</v>
      </c>
      <c r="E760" s="66">
        <v>4.0</v>
      </c>
      <c r="F760" s="66">
        <v>15.0</v>
      </c>
      <c r="G760" s="66">
        <v>3.0</v>
      </c>
      <c r="H760" s="66">
        <v>6.0</v>
      </c>
      <c r="I760" s="50">
        <v>51919.0</v>
      </c>
    </row>
    <row r="761">
      <c r="A761" s="75">
        <v>7757.0</v>
      </c>
      <c r="B761" s="70">
        <v>6092.0</v>
      </c>
      <c r="C761" s="74">
        <v>6937.0</v>
      </c>
      <c r="D761" s="66" t="s">
        <v>3543</v>
      </c>
      <c r="E761" s="66">
        <v>1.0</v>
      </c>
      <c r="F761" s="66">
        <v>76.0</v>
      </c>
      <c r="G761" s="66">
        <v>8.0</v>
      </c>
      <c r="H761" s="66">
        <v>1.0</v>
      </c>
      <c r="I761" s="50">
        <v>52019.0</v>
      </c>
    </row>
    <row r="762">
      <c r="A762" s="75">
        <v>7758.0</v>
      </c>
      <c r="B762" s="70">
        <v>8648.0</v>
      </c>
      <c r="C762" s="74">
        <v>4846.0</v>
      </c>
      <c r="D762" s="66" t="s">
        <v>3544</v>
      </c>
      <c r="E762" s="66">
        <v>1.0</v>
      </c>
      <c r="F762" s="66">
        <v>15.0</v>
      </c>
      <c r="G762" s="66">
        <v>3.0</v>
      </c>
      <c r="H762" s="66">
        <v>8.0</v>
      </c>
      <c r="I762" s="50">
        <v>113021.0</v>
      </c>
    </row>
    <row r="763">
      <c r="A763" s="75">
        <v>7759.0</v>
      </c>
      <c r="B763" s="70">
        <v>1224.0</v>
      </c>
      <c r="C763" s="74">
        <v>5256.0</v>
      </c>
      <c r="D763" s="66" t="s">
        <v>3545</v>
      </c>
      <c r="E763" s="66">
        <v>3.0</v>
      </c>
      <c r="F763" s="66">
        <v>35.0</v>
      </c>
      <c r="G763" s="66">
        <v>8.0</v>
      </c>
      <c r="H763" s="66">
        <v>5.0</v>
      </c>
      <c r="I763" s="50">
        <v>42619.0</v>
      </c>
    </row>
    <row r="764">
      <c r="A764" s="58">
        <v>7760.0</v>
      </c>
      <c r="B764" s="70">
        <v>8918.0</v>
      </c>
      <c r="C764" s="74">
        <v>6426.0</v>
      </c>
      <c r="D764" s="66" t="s">
        <v>3546</v>
      </c>
      <c r="E764" s="66">
        <v>3.0</v>
      </c>
      <c r="F764" s="66">
        <v>76.0</v>
      </c>
      <c r="G764" s="66">
        <v>8.0</v>
      </c>
      <c r="H764" s="66">
        <v>4.0</v>
      </c>
      <c r="I764" s="50">
        <v>71814.0</v>
      </c>
    </row>
    <row r="765">
      <c r="A765" s="75">
        <v>7761.0</v>
      </c>
      <c r="B765" s="70">
        <v>8203.0</v>
      </c>
      <c r="C765" s="74">
        <v>9673.0</v>
      </c>
      <c r="D765" s="66" t="s">
        <v>3547</v>
      </c>
      <c r="E765" s="66">
        <v>3.0</v>
      </c>
      <c r="F765" s="66">
        <v>56.0</v>
      </c>
      <c r="G765" s="66">
        <v>3.0</v>
      </c>
      <c r="H765" s="66">
        <v>7.0</v>
      </c>
      <c r="I765" s="50">
        <v>40618.0</v>
      </c>
    </row>
    <row r="766">
      <c r="A766" s="75">
        <v>7762.0</v>
      </c>
      <c r="B766" s="70">
        <v>8550.0</v>
      </c>
      <c r="C766" s="74">
        <v>1545.0</v>
      </c>
      <c r="D766" s="66" t="s">
        <v>3548</v>
      </c>
      <c r="E766" s="66">
        <v>2.0</v>
      </c>
      <c r="F766" s="66">
        <v>35.0</v>
      </c>
      <c r="G766" s="66">
        <v>8.0</v>
      </c>
      <c r="H766" s="66">
        <v>7.0</v>
      </c>
      <c r="I766" s="50">
        <v>12713.0</v>
      </c>
    </row>
    <row r="767">
      <c r="A767" s="75">
        <v>7763.0</v>
      </c>
      <c r="B767" s="70">
        <v>6993.0</v>
      </c>
      <c r="C767" s="74">
        <v>5085.0</v>
      </c>
      <c r="D767" s="66" t="s">
        <v>3549</v>
      </c>
      <c r="E767" s="66">
        <v>4.0</v>
      </c>
      <c r="F767" s="66">
        <v>76.0</v>
      </c>
      <c r="G767" s="66">
        <v>7.0</v>
      </c>
      <c r="H767" s="66">
        <v>8.0</v>
      </c>
      <c r="I767" s="50">
        <v>100515.0</v>
      </c>
    </row>
    <row r="768">
      <c r="A768" s="75">
        <v>7764.0</v>
      </c>
      <c r="B768" s="70">
        <v>8676.0</v>
      </c>
      <c r="C768" s="74">
        <v>8807.0</v>
      </c>
      <c r="D768" s="66" t="s">
        <v>3550</v>
      </c>
      <c r="E768" s="66">
        <v>1.0</v>
      </c>
      <c r="F768" s="66">
        <v>56.0</v>
      </c>
      <c r="G768" s="66">
        <v>3.0</v>
      </c>
      <c r="H768" s="66">
        <v>2.0</v>
      </c>
      <c r="I768" s="50">
        <v>31415.0</v>
      </c>
    </row>
    <row r="769">
      <c r="A769" s="58">
        <v>7765.0</v>
      </c>
      <c r="B769" s="70">
        <v>508.0</v>
      </c>
      <c r="C769" s="74">
        <v>631.0</v>
      </c>
      <c r="D769" s="66" t="s">
        <v>3551</v>
      </c>
      <c r="E769" s="66">
        <v>4.0</v>
      </c>
      <c r="F769" s="66">
        <v>35.0</v>
      </c>
      <c r="G769" s="66">
        <v>9.0</v>
      </c>
      <c r="H769" s="66">
        <v>3.0</v>
      </c>
      <c r="I769" s="50">
        <v>111120.0</v>
      </c>
    </row>
    <row r="770">
      <c r="A770" s="75">
        <v>7766.0</v>
      </c>
      <c r="B770" s="70">
        <v>284.0</v>
      </c>
      <c r="C770" s="74">
        <v>5046.0</v>
      </c>
      <c r="D770" s="66" t="s">
        <v>3552</v>
      </c>
      <c r="E770" s="66">
        <v>3.0</v>
      </c>
      <c r="F770" s="66">
        <v>15.0</v>
      </c>
      <c r="G770" s="66">
        <v>4.0</v>
      </c>
      <c r="H770" s="66">
        <v>6.0</v>
      </c>
      <c r="I770" s="50">
        <v>22822.0</v>
      </c>
    </row>
    <row r="771">
      <c r="A771" s="75">
        <v>7767.0</v>
      </c>
      <c r="B771" s="70">
        <v>157.0</v>
      </c>
      <c r="C771" s="74">
        <v>3046.0</v>
      </c>
      <c r="D771" s="66" t="s">
        <v>3553</v>
      </c>
      <c r="E771" s="66">
        <v>1.0</v>
      </c>
      <c r="F771" s="66">
        <v>97.0</v>
      </c>
      <c r="G771" s="66">
        <v>3.0</v>
      </c>
      <c r="H771" s="66">
        <v>9.0</v>
      </c>
      <c r="I771" s="50">
        <v>30318.0</v>
      </c>
    </row>
    <row r="772">
      <c r="A772" s="75">
        <v>7768.0</v>
      </c>
      <c r="B772" s="70">
        <v>2456.0</v>
      </c>
      <c r="C772" s="74">
        <v>827.0</v>
      </c>
      <c r="D772" s="66" t="s">
        <v>3554</v>
      </c>
      <c r="E772" s="66">
        <v>4.0</v>
      </c>
      <c r="F772" s="66">
        <v>56.0</v>
      </c>
      <c r="G772" s="66">
        <v>4.0</v>
      </c>
      <c r="H772" s="66">
        <v>1.0</v>
      </c>
      <c r="I772" s="50">
        <v>103019.0</v>
      </c>
    </row>
    <row r="773">
      <c r="A773" s="75">
        <v>7769.0</v>
      </c>
      <c r="B773" s="70">
        <v>500.0</v>
      </c>
      <c r="C773" s="74">
        <v>8820.0</v>
      </c>
      <c r="D773" s="66" t="s">
        <v>3555</v>
      </c>
      <c r="E773" s="66">
        <v>4.0</v>
      </c>
      <c r="F773" s="66">
        <v>76.0</v>
      </c>
      <c r="G773" s="66">
        <v>9.0</v>
      </c>
      <c r="H773" s="66">
        <v>3.0</v>
      </c>
      <c r="I773" s="50">
        <v>51318.0</v>
      </c>
    </row>
    <row r="774">
      <c r="A774" s="58">
        <v>7770.0</v>
      </c>
      <c r="B774" s="70">
        <v>4055.0</v>
      </c>
      <c r="C774" s="74">
        <v>9444.0</v>
      </c>
      <c r="D774" s="66" t="s">
        <v>3556</v>
      </c>
      <c r="E774" s="66">
        <v>3.0</v>
      </c>
      <c r="F774" s="66">
        <v>56.0</v>
      </c>
      <c r="G774" s="66">
        <v>4.0</v>
      </c>
      <c r="H774" s="66">
        <v>4.0</v>
      </c>
      <c r="I774" s="50">
        <v>101520.0</v>
      </c>
    </row>
    <row r="775">
      <c r="A775" s="75">
        <v>7771.0</v>
      </c>
      <c r="B775" s="70">
        <v>506.0</v>
      </c>
      <c r="C775" s="74">
        <v>4989.0</v>
      </c>
      <c r="D775" s="66" t="s">
        <v>3557</v>
      </c>
      <c r="E775" s="66">
        <v>1.0</v>
      </c>
      <c r="F775" s="66">
        <v>35.0</v>
      </c>
      <c r="G775" s="66">
        <v>9.0</v>
      </c>
      <c r="H775" s="66">
        <v>9.0</v>
      </c>
      <c r="I775" s="50">
        <v>21022.0</v>
      </c>
    </row>
    <row r="776">
      <c r="A776" s="75">
        <v>7772.0</v>
      </c>
      <c r="B776" s="70">
        <v>4750.0</v>
      </c>
      <c r="C776" s="74">
        <v>3225.0</v>
      </c>
      <c r="D776" s="66" t="s">
        <v>3558</v>
      </c>
      <c r="E776" s="66">
        <v>2.0</v>
      </c>
      <c r="F776" s="66">
        <v>56.0</v>
      </c>
      <c r="G776" s="66">
        <v>4.0</v>
      </c>
      <c r="H776" s="66">
        <v>8.0</v>
      </c>
      <c r="I776" s="50">
        <v>103122.0</v>
      </c>
    </row>
    <row r="777">
      <c r="A777" s="75">
        <v>7773.0</v>
      </c>
      <c r="B777" s="70">
        <v>6148.0</v>
      </c>
      <c r="C777" s="74">
        <v>4126.0</v>
      </c>
      <c r="D777" s="66" t="s">
        <v>3559</v>
      </c>
      <c r="E777" s="66">
        <v>4.0</v>
      </c>
      <c r="F777" s="66">
        <v>76.0</v>
      </c>
      <c r="G777" s="66">
        <v>9.0</v>
      </c>
      <c r="H777" s="66">
        <v>7.0</v>
      </c>
      <c r="I777" s="50">
        <v>100520.0</v>
      </c>
    </row>
    <row r="778">
      <c r="A778" s="75">
        <v>7774.0</v>
      </c>
      <c r="B778" s="70">
        <v>6854.0</v>
      </c>
      <c r="C778" s="74">
        <v>4260.0</v>
      </c>
      <c r="D778" s="66" t="s">
        <v>3560</v>
      </c>
      <c r="E778" s="66">
        <v>2.0</v>
      </c>
      <c r="F778" s="66">
        <v>56.0</v>
      </c>
      <c r="G778" s="66">
        <v>4.0</v>
      </c>
      <c r="H778" s="66">
        <v>9.0</v>
      </c>
      <c r="I778" s="50">
        <v>91913.0</v>
      </c>
    </row>
    <row r="779">
      <c r="A779" s="58">
        <v>7775.0</v>
      </c>
      <c r="B779" s="70">
        <v>6136.0</v>
      </c>
      <c r="C779" s="74">
        <v>7583.0</v>
      </c>
      <c r="D779" s="66" t="s">
        <v>3561</v>
      </c>
      <c r="E779" s="66">
        <v>1.0</v>
      </c>
      <c r="F779" s="66">
        <v>76.0</v>
      </c>
      <c r="G779" s="66">
        <v>9.0</v>
      </c>
      <c r="H779" s="66">
        <v>9.0</v>
      </c>
      <c r="I779" s="50">
        <v>81920.0</v>
      </c>
    </row>
    <row r="780">
      <c r="A780" s="75">
        <v>7776.0</v>
      </c>
      <c r="B780" s="70">
        <v>8205.0</v>
      </c>
      <c r="C780" s="74">
        <v>4239.0</v>
      </c>
      <c r="D780" s="66" t="s">
        <v>3562</v>
      </c>
      <c r="E780" s="66">
        <v>4.0</v>
      </c>
      <c r="F780" s="66">
        <v>56.0</v>
      </c>
      <c r="G780" s="66">
        <v>5.0</v>
      </c>
      <c r="H780" s="66">
        <v>3.0</v>
      </c>
      <c r="I780" s="50">
        <v>110814.0</v>
      </c>
    </row>
    <row r="781">
      <c r="A781" s="75">
        <v>7777.0</v>
      </c>
      <c r="B781" s="70">
        <v>1986.0</v>
      </c>
      <c r="C781" s="74">
        <v>4619.0</v>
      </c>
      <c r="D781" s="66" t="s">
        <v>3563</v>
      </c>
      <c r="E781" s="66">
        <v>4.0</v>
      </c>
      <c r="F781" s="66">
        <v>97.0</v>
      </c>
      <c r="G781" s="66">
        <v>5.0</v>
      </c>
      <c r="H781" s="66">
        <v>1.0</v>
      </c>
      <c r="I781" s="50">
        <v>92317.0</v>
      </c>
    </row>
    <row r="782">
      <c r="A782" s="75">
        <v>7778.0</v>
      </c>
      <c r="B782" s="70">
        <v>6207.0</v>
      </c>
      <c r="C782" s="74">
        <v>5289.0</v>
      </c>
      <c r="D782" s="66" t="s">
        <v>3564</v>
      </c>
      <c r="E782" s="66">
        <v>4.0</v>
      </c>
      <c r="F782" s="66">
        <v>97.0</v>
      </c>
      <c r="G782" s="66">
        <v>5.0</v>
      </c>
      <c r="H782" s="66">
        <v>3.0</v>
      </c>
      <c r="I782" s="50">
        <v>62018.0</v>
      </c>
    </row>
    <row r="783">
      <c r="A783" s="75">
        <v>7779.0</v>
      </c>
      <c r="B783" s="70">
        <v>7294.0</v>
      </c>
      <c r="C783" s="74">
        <v>4945.0</v>
      </c>
      <c r="D783" s="66" t="s">
        <v>3565</v>
      </c>
      <c r="E783" s="66">
        <v>3.0</v>
      </c>
      <c r="F783" s="66">
        <v>56.0</v>
      </c>
      <c r="G783" s="66">
        <v>5.0</v>
      </c>
      <c r="H783" s="66">
        <v>8.0</v>
      </c>
      <c r="I783" s="50">
        <v>101120.0</v>
      </c>
    </row>
    <row r="784">
      <c r="A784" s="58">
        <v>7780.0</v>
      </c>
      <c r="B784" s="70">
        <v>5613.0</v>
      </c>
      <c r="C784" s="74">
        <v>4012.0</v>
      </c>
      <c r="D784" s="66" t="s">
        <v>3566</v>
      </c>
      <c r="E784" s="66">
        <v>3.0</v>
      </c>
      <c r="F784" s="66">
        <v>36.0</v>
      </c>
      <c r="G784" s="66">
        <v>1.0</v>
      </c>
      <c r="H784" s="66">
        <v>1.0</v>
      </c>
      <c r="I784" s="50">
        <v>112021.0</v>
      </c>
    </row>
    <row r="785">
      <c r="A785" s="75">
        <v>7781.0</v>
      </c>
      <c r="B785" s="70">
        <v>9919.0</v>
      </c>
      <c r="C785" s="74">
        <v>7434.0</v>
      </c>
      <c r="D785" s="66" t="s">
        <v>3567</v>
      </c>
      <c r="E785" s="66">
        <v>2.0</v>
      </c>
      <c r="F785" s="66">
        <v>15.0</v>
      </c>
      <c r="G785" s="66">
        <v>6.0</v>
      </c>
      <c r="H785" s="66">
        <v>5.0</v>
      </c>
      <c r="I785" s="50">
        <v>22413.0</v>
      </c>
    </row>
    <row r="786">
      <c r="A786" s="75">
        <v>7782.0</v>
      </c>
      <c r="B786" s="70">
        <v>5789.0</v>
      </c>
      <c r="C786" s="74">
        <v>4930.0</v>
      </c>
      <c r="D786" s="66" t="s">
        <v>3568</v>
      </c>
      <c r="E786" s="66">
        <v>4.0</v>
      </c>
      <c r="F786" s="66">
        <v>36.0</v>
      </c>
      <c r="G786" s="66">
        <v>1.0</v>
      </c>
      <c r="H786" s="66">
        <v>5.0</v>
      </c>
      <c r="I786" s="50">
        <v>30319.0</v>
      </c>
    </row>
    <row r="787">
      <c r="A787" s="75">
        <v>7783.0</v>
      </c>
      <c r="B787" s="70">
        <v>7653.0</v>
      </c>
      <c r="C787" s="74">
        <v>4838.0</v>
      </c>
      <c r="D787" s="66" t="s">
        <v>3569</v>
      </c>
      <c r="E787" s="66">
        <v>2.0</v>
      </c>
      <c r="F787" s="66">
        <v>36.0</v>
      </c>
      <c r="G787" s="66">
        <v>1.0</v>
      </c>
      <c r="H787" s="66">
        <v>7.0</v>
      </c>
      <c r="I787" s="50">
        <v>50416.0</v>
      </c>
    </row>
    <row r="788">
      <c r="A788" s="75">
        <v>7784.0</v>
      </c>
      <c r="B788" s="70">
        <v>9973.0</v>
      </c>
      <c r="C788" s="74">
        <v>6890.0</v>
      </c>
      <c r="D788" s="66" t="s">
        <v>3570</v>
      </c>
      <c r="E788" s="66">
        <v>4.0</v>
      </c>
      <c r="F788" s="66">
        <v>77.0</v>
      </c>
      <c r="G788" s="66">
        <v>1.0</v>
      </c>
      <c r="H788" s="66">
        <v>3.0</v>
      </c>
      <c r="I788" s="50">
        <v>21521.0</v>
      </c>
    </row>
    <row r="789">
      <c r="A789" s="58">
        <v>7785.0</v>
      </c>
      <c r="B789" s="70">
        <v>7289.0</v>
      </c>
      <c r="C789" s="74">
        <v>4967.0</v>
      </c>
      <c r="D789" s="66" t="s">
        <v>3571</v>
      </c>
      <c r="E789" s="66">
        <v>1.0</v>
      </c>
      <c r="F789" s="66">
        <v>97.0</v>
      </c>
      <c r="G789" s="66">
        <v>6.0</v>
      </c>
      <c r="H789" s="66">
        <v>1.0</v>
      </c>
      <c r="I789" s="50">
        <v>120119.0</v>
      </c>
    </row>
    <row r="790">
      <c r="A790" s="75">
        <v>7786.0</v>
      </c>
      <c r="B790" s="70">
        <v>6404.0</v>
      </c>
      <c r="C790" s="74">
        <v>9951.0</v>
      </c>
      <c r="D790" s="66" t="s">
        <v>3572</v>
      </c>
      <c r="E790" s="66">
        <v>3.0</v>
      </c>
      <c r="F790" s="66">
        <v>15.0</v>
      </c>
      <c r="G790" s="66">
        <v>7.0</v>
      </c>
      <c r="H790" s="66">
        <v>2.0</v>
      </c>
      <c r="I790" s="50">
        <v>41315.0</v>
      </c>
    </row>
    <row r="791">
      <c r="A791" s="75">
        <v>7787.0</v>
      </c>
      <c r="B791" s="70">
        <v>5479.0</v>
      </c>
      <c r="C791" s="74">
        <v>2479.0</v>
      </c>
      <c r="D791" s="66" t="s">
        <v>3573</v>
      </c>
      <c r="E791" s="66">
        <v>1.0</v>
      </c>
      <c r="F791" s="66">
        <v>77.0</v>
      </c>
      <c r="G791" s="66">
        <v>1.0</v>
      </c>
      <c r="H791" s="66">
        <v>8.0</v>
      </c>
      <c r="I791" s="50">
        <v>92722.0</v>
      </c>
    </row>
    <row r="792">
      <c r="A792" s="75">
        <v>7788.0</v>
      </c>
      <c r="B792" s="70">
        <v>5871.0</v>
      </c>
      <c r="C792" s="74">
        <v>8424.0</v>
      </c>
      <c r="D792" s="66" t="s">
        <v>3574</v>
      </c>
      <c r="E792" s="66">
        <v>1.0</v>
      </c>
      <c r="F792" s="66">
        <v>77.0</v>
      </c>
      <c r="G792" s="66">
        <v>1.0</v>
      </c>
      <c r="H792" s="66">
        <v>9.0</v>
      </c>
      <c r="I792" s="50">
        <v>91918.0</v>
      </c>
    </row>
    <row r="793">
      <c r="A793" s="75">
        <v>7789.0</v>
      </c>
      <c r="B793" s="70">
        <v>6672.0</v>
      </c>
      <c r="C793" s="74">
        <v>3010.0</v>
      </c>
      <c r="D793" s="66" t="s">
        <v>3575</v>
      </c>
      <c r="E793" s="66">
        <v>1.0</v>
      </c>
      <c r="F793" s="66">
        <v>56.0</v>
      </c>
      <c r="G793" s="66">
        <v>7.0</v>
      </c>
      <c r="H793" s="66">
        <v>2.0</v>
      </c>
      <c r="I793" s="50">
        <v>41917.0</v>
      </c>
    </row>
    <row r="794">
      <c r="A794" s="58">
        <v>7790.0</v>
      </c>
      <c r="B794" s="70">
        <v>1298.0</v>
      </c>
      <c r="C794" s="74">
        <v>854.0</v>
      </c>
      <c r="D794" s="66" t="s">
        <v>3576</v>
      </c>
      <c r="E794" s="66">
        <v>1.0</v>
      </c>
      <c r="F794" s="66">
        <v>97.0</v>
      </c>
      <c r="G794" s="66">
        <v>6.0</v>
      </c>
      <c r="H794" s="66">
        <v>8.0</v>
      </c>
      <c r="I794" s="50">
        <v>22214.0</v>
      </c>
    </row>
    <row r="795">
      <c r="A795" s="75">
        <v>7791.0</v>
      </c>
      <c r="B795" s="70">
        <v>799.0</v>
      </c>
      <c r="C795" s="74">
        <v>3074.0</v>
      </c>
      <c r="D795" s="66" t="s">
        <v>3577</v>
      </c>
      <c r="E795" s="66">
        <v>3.0</v>
      </c>
      <c r="F795" s="66">
        <v>56.0</v>
      </c>
      <c r="G795" s="66">
        <v>7.0</v>
      </c>
      <c r="H795" s="66">
        <v>4.0</v>
      </c>
      <c r="I795" s="50">
        <v>100620.0</v>
      </c>
    </row>
    <row r="796">
      <c r="A796" s="75">
        <v>7792.0</v>
      </c>
      <c r="B796" s="70">
        <v>9458.0</v>
      </c>
      <c r="C796" s="74">
        <v>9559.0</v>
      </c>
      <c r="D796" s="66" t="s">
        <v>3578</v>
      </c>
      <c r="E796" s="66">
        <v>2.0</v>
      </c>
      <c r="F796" s="66">
        <v>97.0</v>
      </c>
      <c r="G796" s="66">
        <v>7.0</v>
      </c>
      <c r="H796" s="66">
        <v>1.0</v>
      </c>
      <c r="I796" s="50">
        <v>50919.0</v>
      </c>
    </row>
    <row r="797">
      <c r="A797" s="75">
        <v>7793.0</v>
      </c>
      <c r="B797" s="70">
        <v>7346.0</v>
      </c>
      <c r="C797" s="74">
        <v>9373.0</v>
      </c>
      <c r="D797" s="66" t="s">
        <v>3579</v>
      </c>
      <c r="E797" s="66">
        <v>4.0</v>
      </c>
      <c r="F797" s="66">
        <v>77.0</v>
      </c>
      <c r="G797" s="66">
        <v>2.0</v>
      </c>
      <c r="H797" s="66">
        <v>3.0</v>
      </c>
      <c r="I797" s="50">
        <v>70718.0</v>
      </c>
    </row>
    <row r="798">
      <c r="A798" s="75">
        <v>7794.0</v>
      </c>
      <c r="B798" s="70">
        <v>5676.0</v>
      </c>
      <c r="C798" s="74">
        <v>2448.0</v>
      </c>
      <c r="D798" s="66" t="s">
        <v>3580</v>
      </c>
      <c r="E798" s="66">
        <v>3.0</v>
      </c>
      <c r="F798" s="66">
        <v>15.0</v>
      </c>
      <c r="G798" s="66">
        <v>8.0</v>
      </c>
      <c r="H798" s="66">
        <v>1.0</v>
      </c>
      <c r="I798" s="50">
        <v>112320.0</v>
      </c>
    </row>
    <row r="799">
      <c r="A799" s="58">
        <v>7795.0</v>
      </c>
      <c r="B799" s="70">
        <v>4560.0</v>
      </c>
      <c r="C799" s="74">
        <v>1607.0</v>
      </c>
      <c r="D799" s="66" t="s">
        <v>3581</v>
      </c>
      <c r="E799" s="66">
        <v>1.0</v>
      </c>
      <c r="F799" s="66">
        <v>56.0</v>
      </c>
      <c r="G799" s="66">
        <v>7.0</v>
      </c>
      <c r="H799" s="66">
        <v>8.0</v>
      </c>
      <c r="I799" s="50">
        <v>41115.0</v>
      </c>
    </row>
    <row r="800">
      <c r="A800" s="75">
        <v>7796.0</v>
      </c>
      <c r="B800" s="70">
        <v>3954.0</v>
      </c>
      <c r="C800" s="74">
        <v>193.0</v>
      </c>
      <c r="D800" s="66" t="s">
        <v>3582</v>
      </c>
      <c r="E800" s="66">
        <v>3.0</v>
      </c>
      <c r="F800" s="66">
        <v>97.0</v>
      </c>
      <c r="G800" s="66">
        <v>7.0</v>
      </c>
      <c r="H800" s="66">
        <v>4.0</v>
      </c>
      <c r="I800" s="50">
        <v>11819.0</v>
      </c>
    </row>
    <row r="801">
      <c r="A801" s="75">
        <v>7797.0</v>
      </c>
      <c r="B801" s="70">
        <v>5040.0</v>
      </c>
      <c r="C801" s="74">
        <v>4999.0</v>
      </c>
      <c r="D801" s="66" t="s">
        <v>3583</v>
      </c>
      <c r="E801" s="66">
        <v>2.0</v>
      </c>
      <c r="F801" s="66">
        <v>77.0</v>
      </c>
      <c r="G801" s="66">
        <v>2.0</v>
      </c>
      <c r="H801" s="66">
        <v>5.0</v>
      </c>
      <c r="I801" s="50">
        <v>120118.0</v>
      </c>
    </row>
    <row r="802">
      <c r="A802" s="75">
        <v>7798.0</v>
      </c>
      <c r="B802" s="70">
        <v>1522.0</v>
      </c>
      <c r="C802" s="74">
        <v>6336.0</v>
      </c>
      <c r="D802" s="66" t="s">
        <v>3584</v>
      </c>
      <c r="E802" s="66">
        <v>4.0</v>
      </c>
      <c r="F802" s="66">
        <v>97.0</v>
      </c>
      <c r="G802" s="66">
        <v>6.0</v>
      </c>
      <c r="H802" s="66">
        <v>9.0</v>
      </c>
      <c r="I802" s="50">
        <v>12620.0</v>
      </c>
    </row>
    <row r="803">
      <c r="A803" s="75">
        <v>7799.0</v>
      </c>
      <c r="B803" s="70">
        <v>7276.0</v>
      </c>
      <c r="C803" s="74">
        <v>1403.0</v>
      </c>
      <c r="D803" s="66" t="s">
        <v>3585</v>
      </c>
      <c r="E803" s="66">
        <v>4.0</v>
      </c>
      <c r="F803" s="66">
        <v>97.0</v>
      </c>
      <c r="G803" s="66">
        <v>7.0</v>
      </c>
      <c r="H803" s="66">
        <v>8.0</v>
      </c>
      <c r="I803" s="50">
        <v>101422.0</v>
      </c>
    </row>
    <row r="804">
      <c r="A804" s="58">
        <v>7800.0</v>
      </c>
      <c r="B804" s="70">
        <v>3906.0</v>
      </c>
      <c r="C804" s="74">
        <v>8498.0</v>
      </c>
      <c r="D804" s="66" t="s">
        <v>3586</v>
      </c>
      <c r="E804" s="66">
        <v>3.0</v>
      </c>
      <c r="F804" s="66">
        <v>56.0</v>
      </c>
      <c r="G804" s="66">
        <v>8.0</v>
      </c>
      <c r="H804" s="66">
        <v>2.0</v>
      </c>
      <c r="I804" s="50">
        <v>63018.0</v>
      </c>
    </row>
    <row r="805">
      <c r="A805" s="75">
        <v>7801.0</v>
      </c>
      <c r="B805" s="70">
        <v>3965.0</v>
      </c>
      <c r="C805" s="74">
        <v>1700.0</v>
      </c>
      <c r="D805" s="66" t="s">
        <v>3587</v>
      </c>
      <c r="E805" s="66">
        <v>3.0</v>
      </c>
      <c r="F805" s="66">
        <v>36.0</v>
      </c>
      <c r="G805" s="66">
        <v>3.0</v>
      </c>
      <c r="H805" s="66">
        <v>7.0</v>
      </c>
      <c r="I805" s="50">
        <v>52114.0</v>
      </c>
    </row>
    <row r="806">
      <c r="A806" s="75">
        <v>7802.0</v>
      </c>
      <c r="B806" s="70">
        <v>2675.0</v>
      </c>
      <c r="C806" s="74">
        <v>6654.0</v>
      </c>
      <c r="D806" s="66" t="s">
        <v>3588</v>
      </c>
      <c r="E806" s="66">
        <v>1.0</v>
      </c>
      <c r="F806" s="66">
        <v>15.0</v>
      </c>
      <c r="G806" s="66">
        <v>8.0</v>
      </c>
      <c r="H806" s="66">
        <v>9.0</v>
      </c>
      <c r="I806" s="50">
        <v>122622.0</v>
      </c>
    </row>
    <row r="807">
      <c r="A807" s="75">
        <v>7803.0</v>
      </c>
      <c r="B807" s="70">
        <v>7867.0</v>
      </c>
      <c r="C807" s="74">
        <v>6334.0</v>
      </c>
      <c r="D807" s="66" t="s">
        <v>3589</v>
      </c>
      <c r="E807" s="66">
        <v>3.0</v>
      </c>
      <c r="F807" s="66">
        <v>56.0</v>
      </c>
      <c r="G807" s="66">
        <v>8.0</v>
      </c>
      <c r="H807" s="66">
        <v>7.0</v>
      </c>
      <c r="I807" s="50">
        <v>52813.0</v>
      </c>
    </row>
    <row r="808">
      <c r="A808" s="75">
        <v>7804.0</v>
      </c>
      <c r="B808" s="70">
        <v>3225.0</v>
      </c>
      <c r="C808" s="74">
        <v>9026.0</v>
      </c>
      <c r="D808" s="66" t="s">
        <v>3590</v>
      </c>
      <c r="E808" s="66">
        <v>2.0</v>
      </c>
      <c r="F808" s="66">
        <v>77.0</v>
      </c>
      <c r="G808" s="66">
        <v>3.0</v>
      </c>
      <c r="H808" s="66">
        <v>6.0</v>
      </c>
      <c r="I808" s="50">
        <v>20513.0</v>
      </c>
    </row>
    <row r="809">
      <c r="A809" s="58">
        <v>7805.0</v>
      </c>
      <c r="B809" s="70">
        <v>8905.0</v>
      </c>
      <c r="C809" s="74">
        <v>5235.0</v>
      </c>
      <c r="D809" s="66" t="s">
        <v>3591</v>
      </c>
      <c r="E809" s="66">
        <v>3.0</v>
      </c>
      <c r="F809" s="66">
        <v>56.0</v>
      </c>
      <c r="G809" s="66">
        <v>8.0</v>
      </c>
      <c r="H809" s="66">
        <v>8.0</v>
      </c>
      <c r="I809" s="50">
        <v>80413.0</v>
      </c>
    </row>
    <row r="810">
      <c r="A810" s="75">
        <v>7806.0</v>
      </c>
      <c r="B810" s="70">
        <v>5493.0</v>
      </c>
      <c r="C810" s="74">
        <v>1385.0</v>
      </c>
      <c r="D810" s="66" t="s">
        <v>3592</v>
      </c>
      <c r="E810" s="66">
        <v>2.0</v>
      </c>
      <c r="F810" s="66">
        <v>36.0</v>
      </c>
      <c r="G810" s="66">
        <v>3.0</v>
      </c>
      <c r="H810" s="66">
        <v>8.0</v>
      </c>
      <c r="I810" s="50">
        <v>82918.0</v>
      </c>
    </row>
    <row r="811">
      <c r="A811" s="75">
        <v>7807.0</v>
      </c>
      <c r="B811" s="70">
        <v>6525.0</v>
      </c>
      <c r="C811" s="74">
        <v>8792.0</v>
      </c>
      <c r="D811" s="66" t="s">
        <v>3593</v>
      </c>
      <c r="E811" s="66">
        <v>2.0</v>
      </c>
      <c r="F811" s="66">
        <v>97.0</v>
      </c>
      <c r="G811" s="66">
        <v>8.0</v>
      </c>
      <c r="H811" s="66">
        <v>6.0</v>
      </c>
      <c r="I811" s="50">
        <v>90621.0</v>
      </c>
    </row>
    <row r="812">
      <c r="A812" s="75">
        <v>7808.0</v>
      </c>
      <c r="B812" s="70">
        <v>7496.0</v>
      </c>
      <c r="C812" s="74">
        <v>3269.0</v>
      </c>
      <c r="D812" s="66" t="s">
        <v>3594</v>
      </c>
      <c r="E812" s="66">
        <v>1.0</v>
      </c>
      <c r="F812" s="66">
        <v>97.0</v>
      </c>
      <c r="G812" s="66">
        <v>8.0</v>
      </c>
      <c r="H812" s="66">
        <v>8.0</v>
      </c>
      <c r="I812" s="50">
        <v>102522.0</v>
      </c>
    </row>
    <row r="813">
      <c r="A813" s="75">
        <v>7809.0</v>
      </c>
      <c r="B813" s="70">
        <v>9328.0</v>
      </c>
      <c r="C813" s="74">
        <v>1042.0</v>
      </c>
      <c r="D813" s="66" t="s">
        <v>3595</v>
      </c>
      <c r="E813" s="66">
        <v>3.0</v>
      </c>
      <c r="F813" s="66">
        <v>36.0</v>
      </c>
      <c r="G813" s="66">
        <v>4.0</v>
      </c>
      <c r="H813" s="66">
        <v>5.0</v>
      </c>
      <c r="I813" s="50">
        <v>32917.0</v>
      </c>
    </row>
    <row r="814">
      <c r="A814" s="58">
        <v>7810.0</v>
      </c>
      <c r="B814" s="70">
        <v>5313.0</v>
      </c>
      <c r="C814" s="74">
        <v>246.0</v>
      </c>
      <c r="D814" s="66" t="s">
        <v>3596</v>
      </c>
      <c r="E814" s="66">
        <v>2.0</v>
      </c>
      <c r="F814" s="66">
        <v>15.0</v>
      </c>
      <c r="G814" s="66">
        <v>9.0</v>
      </c>
      <c r="H814" s="66">
        <v>6.0</v>
      </c>
      <c r="I814" s="50">
        <v>102819.0</v>
      </c>
    </row>
    <row r="815">
      <c r="A815" s="75">
        <v>7811.0</v>
      </c>
      <c r="B815" s="70">
        <v>1000.0</v>
      </c>
      <c r="C815" s="74">
        <v>7151.0</v>
      </c>
      <c r="D815" s="66" t="s">
        <v>3597</v>
      </c>
      <c r="E815" s="66">
        <v>1.0</v>
      </c>
      <c r="F815" s="66">
        <v>97.0</v>
      </c>
      <c r="G815" s="66">
        <v>9.0</v>
      </c>
      <c r="H815" s="66">
        <v>1.0</v>
      </c>
      <c r="I815" s="50">
        <v>72913.0</v>
      </c>
    </row>
    <row r="816">
      <c r="A816" s="75">
        <v>7812.0</v>
      </c>
      <c r="B816" s="70">
        <v>5072.0</v>
      </c>
      <c r="C816" s="74">
        <v>2264.0</v>
      </c>
      <c r="D816" s="66" t="s">
        <v>3598</v>
      </c>
      <c r="E816" s="66">
        <v>3.0</v>
      </c>
      <c r="F816" s="66">
        <v>56.0</v>
      </c>
      <c r="G816" s="66">
        <v>9.0</v>
      </c>
      <c r="H816" s="66">
        <v>6.0</v>
      </c>
      <c r="I816" s="50">
        <v>21015.0</v>
      </c>
    </row>
    <row r="817">
      <c r="A817" s="75">
        <v>7813.0</v>
      </c>
      <c r="B817" s="70">
        <v>17.0</v>
      </c>
      <c r="C817" s="74">
        <v>1219.0</v>
      </c>
      <c r="D817" s="66" t="s">
        <v>3599</v>
      </c>
      <c r="E817" s="66">
        <v>4.0</v>
      </c>
      <c r="F817" s="66">
        <v>97.0</v>
      </c>
      <c r="G817" s="66">
        <v>9.0</v>
      </c>
      <c r="H817" s="66">
        <v>3.0</v>
      </c>
      <c r="I817" s="50">
        <v>33022.0</v>
      </c>
    </row>
    <row r="818">
      <c r="A818" s="75">
        <v>7814.0</v>
      </c>
      <c r="B818" s="70">
        <v>146.0</v>
      </c>
      <c r="C818" s="74">
        <v>9798.0</v>
      </c>
      <c r="D818" s="66" t="s">
        <v>3600</v>
      </c>
      <c r="E818" s="66">
        <v>4.0</v>
      </c>
      <c r="F818" s="66">
        <v>97.0</v>
      </c>
      <c r="G818" s="66">
        <v>9.0</v>
      </c>
      <c r="H818" s="66">
        <v>2.0</v>
      </c>
      <c r="I818" s="50">
        <v>80820.0</v>
      </c>
    </row>
    <row r="819">
      <c r="A819" s="58">
        <v>7815.0</v>
      </c>
      <c r="B819" s="70">
        <v>3422.0</v>
      </c>
      <c r="C819" s="74">
        <v>7335.0</v>
      </c>
      <c r="D819" s="66" t="s">
        <v>3601</v>
      </c>
      <c r="E819" s="66">
        <v>2.0</v>
      </c>
      <c r="F819" s="66">
        <v>97.0</v>
      </c>
      <c r="G819" s="66">
        <v>9.0</v>
      </c>
      <c r="H819" s="66">
        <v>5.0</v>
      </c>
      <c r="I819" s="50">
        <v>121819.0</v>
      </c>
    </row>
    <row r="820">
      <c r="A820" s="75">
        <v>7816.0</v>
      </c>
      <c r="B820" s="70">
        <v>1554.0</v>
      </c>
      <c r="C820" s="74">
        <v>4257.0</v>
      </c>
      <c r="D820" s="66" t="s">
        <v>3602</v>
      </c>
      <c r="E820" s="66">
        <v>1.0</v>
      </c>
      <c r="F820" s="66">
        <v>77.0</v>
      </c>
      <c r="G820" s="66">
        <v>4.0</v>
      </c>
      <c r="H820" s="66">
        <v>7.0</v>
      </c>
      <c r="I820" s="50">
        <v>71619.0</v>
      </c>
    </row>
    <row r="821">
      <c r="A821" s="75">
        <v>7817.0</v>
      </c>
      <c r="B821" s="70">
        <v>4381.0</v>
      </c>
      <c r="C821" s="74">
        <v>150.0</v>
      </c>
      <c r="D821" s="66" t="s">
        <v>3603</v>
      </c>
      <c r="E821" s="66">
        <v>4.0</v>
      </c>
      <c r="F821" s="66">
        <v>36.0</v>
      </c>
      <c r="G821" s="66">
        <v>5.0</v>
      </c>
      <c r="H821" s="66">
        <v>3.0</v>
      </c>
      <c r="I821" s="50">
        <v>120720.0</v>
      </c>
    </row>
    <row r="822">
      <c r="A822" s="75">
        <v>7818.0</v>
      </c>
      <c r="B822" s="70">
        <v>7117.0</v>
      </c>
      <c r="C822" s="74">
        <v>201.0</v>
      </c>
      <c r="D822" s="66" t="s">
        <v>3604</v>
      </c>
      <c r="E822" s="66">
        <v>2.0</v>
      </c>
      <c r="F822" s="66">
        <v>97.0</v>
      </c>
      <c r="G822" s="66">
        <v>9.0</v>
      </c>
      <c r="H822" s="66">
        <v>8.0</v>
      </c>
      <c r="I822" s="50">
        <v>112813.0</v>
      </c>
    </row>
    <row r="823">
      <c r="A823" s="75">
        <v>7819.0</v>
      </c>
      <c r="B823" s="70">
        <v>3256.0</v>
      </c>
      <c r="C823" s="74">
        <v>1981.0</v>
      </c>
      <c r="D823" s="66" t="s">
        <v>3605</v>
      </c>
      <c r="E823" s="66">
        <v>3.0</v>
      </c>
      <c r="F823" s="66">
        <v>36.0</v>
      </c>
      <c r="G823" s="66">
        <v>5.0</v>
      </c>
      <c r="H823" s="66">
        <v>8.0</v>
      </c>
      <c r="I823" s="50">
        <v>50317.0</v>
      </c>
    </row>
    <row r="824">
      <c r="A824" s="58">
        <v>7820.0</v>
      </c>
      <c r="B824" s="70">
        <v>9434.0</v>
      </c>
      <c r="C824" s="74">
        <v>8288.0</v>
      </c>
      <c r="D824" s="66" t="s">
        <v>3606</v>
      </c>
      <c r="E824" s="66">
        <v>2.0</v>
      </c>
      <c r="F824" s="66">
        <v>77.0</v>
      </c>
      <c r="G824" s="66">
        <v>5.0</v>
      </c>
      <c r="H824" s="66">
        <v>9.0</v>
      </c>
      <c r="I824" s="50">
        <v>91019.0</v>
      </c>
    </row>
    <row r="825">
      <c r="A825" s="75">
        <v>7821.0</v>
      </c>
      <c r="B825" s="70">
        <v>2640.0</v>
      </c>
      <c r="C825" s="74">
        <v>5681.0</v>
      </c>
      <c r="D825" s="66" t="s">
        <v>3607</v>
      </c>
      <c r="E825" s="66">
        <v>3.0</v>
      </c>
      <c r="F825" s="66">
        <v>57.0</v>
      </c>
      <c r="G825" s="66">
        <v>1.0</v>
      </c>
      <c r="H825" s="66">
        <v>5.0</v>
      </c>
      <c r="I825" s="50">
        <v>30814.0</v>
      </c>
    </row>
    <row r="826">
      <c r="A826" s="75">
        <v>7822.0</v>
      </c>
      <c r="B826" s="70">
        <v>365.0</v>
      </c>
      <c r="C826" s="74">
        <v>3826.0</v>
      </c>
      <c r="D826" s="66" t="s">
        <v>3608</v>
      </c>
      <c r="E826" s="66">
        <v>2.0</v>
      </c>
      <c r="F826" s="66">
        <v>36.0</v>
      </c>
      <c r="G826" s="66">
        <v>6.0</v>
      </c>
      <c r="H826" s="66">
        <v>8.0</v>
      </c>
      <c r="I826" s="50">
        <v>62113.0</v>
      </c>
    </row>
    <row r="827">
      <c r="A827" s="75">
        <v>7823.0</v>
      </c>
      <c r="B827" s="70">
        <v>521.0</v>
      </c>
      <c r="C827" s="74">
        <v>6158.0</v>
      </c>
      <c r="D827" s="66" t="s">
        <v>3609</v>
      </c>
      <c r="E827" s="66">
        <v>1.0</v>
      </c>
      <c r="F827" s="66">
        <v>57.0</v>
      </c>
      <c r="G827" s="66">
        <v>1.0</v>
      </c>
      <c r="H827" s="66">
        <v>6.0</v>
      </c>
      <c r="I827" s="50">
        <v>61113.0</v>
      </c>
    </row>
    <row r="828">
      <c r="A828" s="75">
        <v>7824.0</v>
      </c>
      <c r="B828" s="70">
        <v>3132.0</v>
      </c>
      <c r="C828" s="74">
        <v>446.0</v>
      </c>
      <c r="D828" s="66" t="s">
        <v>3610</v>
      </c>
      <c r="E828" s="66">
        <v>3.0</v>
      </c>
      <c r="F828" s="66">
        <v>98.0</v>
      </c>
      <c r="G828" s="66">
        <v>1.0</v>
      </c>
      <c r="H828" s="66">
        <v>4.0</v>
      </c>
      <c r="I828" s="50">
        <v>82721.0</v>
      </c>
    </row>
    <row r="829">
      <c r="A829" s="58">
        <v>7825.0</v>
      </c>
      <c r="B829" s="70">
        <v>2912.0</v>
      </c>
      <c r="C829" s="74">
        <v>293.0</v>
      </c>
      <c r="D829" s="66" t="s">
        <v>3611</v>
      </c>
      <c r="E829" s="66">
        <v>4.0</v>
      </c>
      <c r="F829" s="66">
        <v>16.0</v>
      </c>
      <c r="G829" s="66">
        <v>2.0</v>
      </c>
      <c r="H829" s="66">
        <v>5.0</v>
      </c>
      <c r="I829" s="50">
        <v>70318.0</v>
      </c>
    </row>
    <row r="830">
      <c r="A830" s="75">
        <v>7826.0</v>
      </c>
      <c r="B830" s="70">
        <v>2269.0</v>
      </c>
      <c r="C830" s="74">
        <v>5063.0</v>
      </c>
      <c r="D830" s="66" t="s">
        <v>3612</v>
      </c>
      <c r="E830" s="66">
        <v>1.0</v>
      </c>
      <c r="F830" s="66">
        <v>57.0</v>
      </c>
      <c r="G830" s="66">
        <v>2.0</v>
      </c>
      <c r="H830" s="66">
        <v>2.0</v>
      </c>
      <c r="I830" s="50">
        <v>110119.0</v>
      </c>
    </row>
    <row r="831">
      <c r="A831" s="75">
        <v>7827.0</v>
      </c>
      <c r="B831" s="70">
        <v>3940.0</v>
      </c>
      <c r="C831" s="74">
        <v>6964.0</v>
      </c>
      <c r="D831" s="66" t="s">
        <v>3613</v>
      </c>
      <c r="E831" s="66">
        <v>2.0</v>
      </c>
      <c r="F831" s="66">
        <v>57.0</v>
      </c>
      <c r="G831" s="66">
        <v>2.0</v>
      </c>
      <c r="H831" s="66">
        <v>3.0</v>
      </c>
      <c r="I831" s="50">
        <v>121617.0</v>
      </c>
    </row>
    <row r="832">
      <c r="A832" s="75">
        <v>7828.0</v>
      </c>
      <c r="B832" s="70">
        <v>1579.0</v>
      </c>
      <c r="C832" s="74">
        <v>456.0</v>
      </c>
      <c r="D832" s="66" t="s">
        <v>3614</v>
      </c>
      <c r="E832" s="66">
        <v>1.0</v>
      </c>
      <c r="F832" s="66">
        <v>16.0</v>
      </c>
      <c r="G832" s="66">
        <v>2.0</v>
      </c>
      <c r="H832" s="66">
        <v>7.0</v>
      </c>
      <c r="I832" s="50">
        <v>12414.0</v>
      </c>
    </row>
    <row r="833">
      <c r="A833" s="75">
        <v>7829.0</v>
      </c>
      <c r="B833" s="70">
        <v>2848.0</v>
      </c>
      <c r="C833" s="74">
        <v>5132.0</v>
      </c>
      <c r="D833" s="66" t="s">
        <v>3615</v>
      </c>
      <c r="E833" s="66">
        <v>2.0</v>
      </c>
      <c r="F833" s="66">
        <v>57.0</v>
      </c>
      <c r="G833" s="66">
        <v>2.0</v>
      </c>
      <c r="H833" s="66">
        <v>5.0</v>
      </c>
      <c r="I833" s="50">
        <v>12515.0</v>
      </c>
    </row>
    <row r="834">
      <c r="A834" s="58">
        <v>7830.0</v>
      </c>
      <c r="B834" s="70">
        <v>3729.0</v>
      </c>
      <c r="C834" s="74">
        <v>6060.0</v>
      </c>
      <c r="D834" s="66" t="s">
        <v>3616</v>
      </c>
      <c r="E834" s="66">
        <v>2.0</v>
      </c>
      <c r="F834" s="66">
        <v>16.0</v>
      </c>
      <c r="G834" s="66">
        <v>3.0</v>
      </c>
      <c r="H834" s="66">
        <v>1.0</v>
      </c>
      <c r="I834" s="50">
        <v>80813.0</v>
      </c>
    </row>
    <row r="835">
      <c r="A835" s="75">
        <v>7831.0</v>
      </c>
      <c r="B835" s="70">
        <v>2186.0</v>
      </c>
      <c r="C835" s="74">
        <v>5906.0</v>
      </c>
      <c r="D835" s="66" t="s">
        <v>3617</v>
      </c>
      <c r="E835" s="66">
        <v>3.0</v>
      </c>
      <c r="F835" s="66">
        <v>36.0</v>
      </c>
      <c r="G835" s="66">
        <v>8.0</v>
      </c>
      <c r="H835" s="66">
        <v>5.0</v>
      </c>
      <c r="I835" s="50">
        <v>92813.0</v>
      </c>
    </row>
    <row r="836">
      <c r="A836" s="75">
        <v>7832.0</v>
      </c>
      <c r="B836" s="70">
        <v>4309.0</v>
      </c>
      <c r="C836" s="74">
        <v>7517.0</v>
      </c>
      <c r="D836" s="66" t="s">
        <v>3618</v>
      </c>
      <c r="E836" s="66">
        <v>3.0</v>
      </c>
      <c r="F836" s="66">
        <v>16.0</v>
      </c>
      <c r="G836" s="66">
        <v>3.0</v>
      </c>
      <c r="H836" s="66">
        <v>8.0</v>
      </c>
      <c r="I836" s="50">
        <v>42320.0</v>
      </c>
    </row>
    <row r="837">
      <c r="A837" s="75">
        <v>7833.0</v>
      </c>
      <c r="B837" s="70">
        <v>9043.0</v>
      </c>
      <c r="C837" s="74">
        <v>6009.0</v>
      </c>
      <c r="D837" s="66" t="s">
        <v>3619</v>
      </c>
      <c r="E837" s="66">
        <v>2.0</v>
      </c>
      <c r="F837" s="66">
        <v>77.0</v>
      </c>
      <c r="G837" s="66">
        <v>8.0</v>
      </c>
      <c r="H837" s="66">
        <v>7.0</v>
      </c>
      <c r="I837" s="50">
        <v>13114.0</v>
      </c>
    </row>
    <row r="838">
      <c r="A838" s="75">
        <v>7834.0</v>
      </c>
      <c r="B838" s="70">
        <v>8257.0</v>
      </c>
      <c r="C838" s="74">
        <v>5836.0</v>
      </c>
      <c r="D838" s="66" t="s">
        <v>3620</v>
      </c>
      <c r="E838" s="66">
        <v>3.0</v>
      </c>
      <c r="F838" s="66">
        <v>36.0</v>
      </c>
      <c r="G838" s="66">
        <v>9.0</v>
      </c>
      <c r="H838" s="66">
        <v>2.0</v>
      </c>
      <c r="I838" s="50">
        <v>82319.0</v>
      </c>
    </row>
    <row r="839">
      <c r="A839" s="58">
        <v>7835.0</v>
      </c>
      <c r="B839" s="70">
        <v>1721.0</v>
      </c>
      <c r="C839" s="74">
        <v>8769.0</v>
      </c>
      <c r="D839" s="66" t="s">
        <v>3621</v>
      </c>
      <c r="E839" s="66">
        <v>3.0</v>
      </c>
      <c r="F839" s="66">
        <v>98.0</v>
      </c>
      <c r="G839" s="66">
        <v>3.0</v>
      </c>
      <c r="H839" s="66">
        <v>7.0</v>
      </c>
      <c r="I839" s="50">
        <v>51220.0</v>
      </c>
    </row>
    <row r="840">
      <c r="A840" s="75">
        <v>7836.0</v>
      </c>
      <c r="B840" s="70">
        <v>1616.0</v>
      </c>
      <c r="C840" s="74">
        <v>9934.0</v>
      </c>
      <c r="D840" s="66" t="s">
        <v>3622</v>
      </c>
      <c r="E840" s="66">
        <v>4.0</v>
      </c>
      <c r="F840" s="66">
        <v>16.0</v>
      </c>
      <c r="G840" s="66">
        <v>4.0</v>
      </c>
      <c r="H840" s="66">
        <v>8.0</v>
      </c>
      <c r="I840" s="50">
        <v>20917.0</v>
      </c>
    </row>
    <row r="841">
      <c r="A841" s="75">
        <v>7837.0</v>
      </c>
      <c r="B841" s="70">
        <v>9487.0</v>
      </c>
      <c r="C841" s="74">
        <v>9017.0</v>
      </c>
      <c r="D841" s="66" t="s">
        <v>3623</v>
      </c>
      <c r="E841" s="66">
        <v>1.0</v>
      </c>
      <c r="F841" s="66">
        <v>57.0</v>
      </c>
      <c r="G841" s="66">
        <v>4.0</v>
      </c>
      <c r="H841" s="66">
        <v>5.0</v>
      </c>
      <c r="I841" s="50">
        <v>52220.0</v>
      </c>
    </row>
    <row r="842">
      <c r="A842" s="75">
        <v>7838.0</v>
      </c>
      <c r="B842" s="70">
        <v>9319.0</v>
      </c>
      <c r="C842" s="74">
        <v>99.0</v>
      </c>
      <c r="D842" s="66" t="s">
        <v>3624</v>
      </c>
      <c r="E842" s="66">
        <v>3.0</v>
      </c>
      <c r="F842" s="66">
        <v>77.0</v>
      </c>
      <c r="G842" s="66">
        <v>9.0</v>
      </c>
      <c r="H842" s="66">
        <v>4.0</v>
      </c>
      <c r="I842" s="50">
        <v>100822.0</v>
      </c>
    </row>
    <row r="843">
      <c r="A843" s="75">
        <v>7839.0</v>
      </c>
      <c r="B843" s="70">
        <v>5286.0</v>
      </c>
      <c r="C843" s="74">
        <v>1134.0</v>
      </c>
      <c r="D843" s="66" t="s">
        <v>3625</v>
      </c>
      <c r="E843" s="66">
        <v>3.0</v>
      </c>
      <c r="F843" s="66">
        <v>36.0</v>
      </c>
      <c r="G843" s="66">
        <v>9.0</v>
      </c>
      <c r="H843" s="66">
        <v>6.0</v>
      </c>
      <c r="I843" s="50">
        <v>42121.0</v>
      </c>
    </row>
    <row r="844">
      <c r="A844" s="58">
        <v>7840.0</v>
      </c>
      <c r="B844" s="70">
        <v>9388.0</v>
      </c>
      <c r="C844" s="74">
        <v>7798.0</v>
      </c>
      <c r="D844" s="66" t="s">
        <v>3626</v>
      </c>
      <c r="E844" s="66">
        <v>1.0</v>
      </c>
      <c r="F844" s="66">
        <v>98.0</v>
      </c>
      <c r="G844" s="66">
        <v>5.0</v>
      </c>
      <c r="H844" s="66">
        <v>5.0</v>
      </c>
      <c r="I844" s="50">
        <v>30316.0</v>
      </c>
    </row>
    <row r="845">
      <c r="A845" s="75">
        <v>7841.0</v>
      </c>
      <c r="B845" s="70">
        <v>7128.0</v>
      </c>
      <c r="C845" s="74">
        <v>7882.0</v>
      </c>
      <c r="D845" s="66" t="s">
        <v>3627</v>
      </c>
      <c r="E845" s="66">
        <v>2.0</v>
      </c>
      <c r="F845" s="66">
        <v>98.0</v>
      </c>
      <c r="G845" s="66">
        <v>5.0</v>
      </c>
      <c r="H845" s="66">
        <v>6.0</v>
      </c>
      <c r="I845" s="50">
        <v>31820.0</v>
      </c>
    </row>
    <row r="846">
      <c r="A846" s="75">
        <v>7842.0</v>
      </c>
      <c r="B846" s="70">
        <v>6152.0</v>
      </c>
      <c r="C846" s="74">
        <v>9621.0</v>
      </c>
      <c r="D846" s="66" t="s">
        <v>3628</v>
      </c>
      <c r="E846" s="66">
        <v>3.0</v>
      </c>
      <c r="F846" s="66">
        <v>78.0</v>
      </c>
      <c r="G846" s="66">
        <v>1.0</v>
      </c>
      <c r="H846" s="66">
        <v>1.0</v>
      </c>
      <c r="I846" s="50">
        <v>11219.0</v>
      </c>
    </row>
    <row r="847">
      <c r="A847" s="75">
        <v>7843.0</v>
      </c>
      <c r="B847" s="70">
        <v>3948.0</v>
      </c>
      <c r="C847" s="74">
        <v>8075.0</v>
      </c>
      <c r="D847" s="66" t="s">
        <v>3629</v>
      </c>
      <c r="E847" s="66">
        <v>4.0</v>
      </c>
      <c r="F847" s="66">
        <v>37.0</v>
      </c>
      <c r="G847" s="66">
        <v>1.0</v>
      </c>
      <c r="H847" s="66">
        <v>7.0</v>
      </c>
      <c r="I847" s="50">
        <v>71314.0</v>
      </c>
    </row>
    <row r="848">
      <c r="A848" s="75">
        <v>7844.0</v>
      </c>
      <c r="B848" s="70">
        <v>4079.0</v>
      </c>
      <c r="C848" s="74">
        <v>9629.0</v>
      </c>
      <c r="D848" s="66" t="s">
        <v>3630</v>
      </c>
      <c r="E848" s="66">
        <v>3.0</v>
      </c>
      <c r="F848" s="66">
        <v>16.0</v>
      </c>
      <c r="G848" s="66">
        <v>6.0</v>
      </c>
      <c r="H848" s="66">
        <v>9.0</v>
      </c>
      <c r="I848" s="50">
        <v>53022.0</v>
      </c>
    </row>
    <row r="849">
      <c r="A849" s="58">
        <v>7845.0</v>
      </c>
      <c r="B849" s="70">
        <v>9039.0</v>
      </c>
      <c r="C849" s="74">
        <v>7885.0</v>
      </c>
      <c r="D849" s="66" t="s">
        <v>3631</v>
      </c>
      <c r="E849" s="66">
        <v>2.0</v>
      </c>
      <c r="F849" s="66">
        <v>78.0</v>
      </c>
      <c r="G849" s="66">
        <v>1.0</v>
      </c>
      <c r="H849" s="66">
        <v>5.0</v>
      </c>
      <c r="I849" s="50">
        <v>111919.0</v>
      </c>
    </row>
    <row r="850">
      <c r="A850" s="75">
        <v>7846.0</v>
      </c>
      <c r="B850" s="70">
        <v>67.0</v>
      </c>
      <c r="C850" s="74">
        <v>2191.0</v>
      </c>
      <c r="D850" s="66" t="s">
        <v>3632</v>
      </c>
      <c r="E850" s="66">
        <v>4.0</v>
      </c>
      <c r="F850" s="66">
        <v>16.0</v>
      </c>
      <c r="G850" s="66">
        <v>7.0</v>
      </c>
      <c r="H850" s="66">
        <v>3.0</v>
      </c>
      <c r="I850" s="50">
        <v>103118.0</v>
      </c>
    </row>
    <row r="851">
      <c r="A851" s="75">
        <v>7847.0</v>
      </c>
      <c r="B851" s="70">
        <v>4619.0</v>
      </c>
      <c r="C851" s="74">
        <v>7520.0</v>
      </c>
      <c r="D851" s="66" t="s">
        <v>3633</v>
      </c>
      <c r="E851" s="66">
        <v>2.0</v>
      </c>
      <c r="F851" s="66">
        <v>37.0</v>
      </c>
      <c r="G851" s="66">
        <v>2.0</v>
      </c>
      <c r="H851" s="66">
        <v>1.0</v>
      </c>
      <c r="I851" s="50">
        <v>30618.0</v>
      </c>
    </row>
    <row r="852">
      <c r="A852" s="75">
        <v>7848.0</v>
      </c>
      <c r="B852" s="70">
        <v>1465.0</v>
      </c>
      <c r="C852" s="74">
        <v>2020.0</v>
      </c>
      <c r="D852" s="66" t="s">
        <v>3634</v>
      </c>
      <c r="E852" s="66">
        <v>1.0</v>
      </c>
      <c r="F852" s="66">
        <v>37.0</v>
      </c>
      <c r="G852" s="66">
        <v>2.0</v>
      </c>
      <c r="H852" s="66">
        <v>2.0</v>
      </c>
      <c r="I852" s="50">
        <v>90922.0</v>
      </c>
    </row>
    <row r="853">
      <c r="A853" s="75">
        <v>7849.0</v>
      </c>
      <c r="B853" s="70">
        <v>9727.0</v>
      </c>
      <c r="C853" s="74">
        <v>2765.0</v>
      </c>
      <c r="D853" s="66" t="s">
        <v>3635</v>
      </c>
      <c r="E853" s="66">
        <v>2.0</v>
      </c>
      <c r="F853" s="66">
        <v>98.0</v>
      </c>
      <c r="G853" s="66">
        <v>6.0</v>
      </c>
      <c r="H853" s="66">
        <v>9.0</v>
      </c>
      <c r="I853" s="50">
        <v>111620.0</v>
      </c>
    </row>
    <row r="854">
      <c r="A854" s="58">
        <v>7850.0</v>
      </c>
      <c r="B854" s="70">
        <v>8193.0</v>
      </c>
      <c r="C854" s="74">
        <v>2406.0</v>
      </c>
      <c r="D854" s="66" t="s">
        <v>3636</v>
      </c>
      <c r="E854" s="66">
        <v>2.0</v>
      </c>
      <c r="F854" s="66">
        <v>78.0</v>
      </c>
      <c r="G854" s="66">
        <v>2.0</v>
      </c>
      <c r="H854" s="66">
        <v>2.0</v>
      </c>
      <c r="I854" s="50">
        <v>60417.0</v>
      </c>
    </row>
    <row r="855">
      <c r="A855" s="75">
        <v>7851.0</v>
      </c>
      <c r="B855" s="70">
        <v>1801.0</v>
      </c>
      <c r="C855" s="74">
        <v>9680.0</v>
      </c>
      <c r="D855" s="66" t="s">
        <v>3637</v>
      </c>
      <c r="E855" s="66">
        <v>2.0</v>
      </c>
      <c r="F855" s="66">
        <v>16.0</v>
      </c>
      <c r="G855" s="66">
        <v>7.0</v>
      </c>
      <c r="H855" s="66">
        <v>9.0</v>
      </c>
      <c r="I855" s="50">
        <v>80915.0</v>
      </c>
    </row>
    <row r="856">
      <c r="A856" s="75">
        <v>7852.0</v>
      </c>
      <c r="B856" s="70">
        <v>1720.0</v>
      </c>
      <c r="C856" s="74">
        <v>6665.0</v>
      </c>
      <c r="D856" s="66" t="s">
        <v>3638</v>
      </c>
      <c r="E856" s="66">
        <v>1.0</v>
      </c>
      <c r="F856" s="66">
        <v>78.0</v>
      </c>
      <c r="G856" s="66">
        <v>2.0</v>
      </c>
      <c r="H856" s="66">
        <v>4.0</v>
      </c>
      <c r="I856" s="50">
        <v>30720.0</v>
      </c>
    </row>
    <row r="857">
      <c r="A857" s="75">
        <v>7853.0</v>
      </c>
      <c r="B857" s="70">
        <v>5216.0</v>
      </c>
      <c r="C857" s="74">
        <v>970.0</v>
      </c>
      <c r="D857" s="66" t="s">
        <v>3639</v>
      </c>
      <c r="E857" s="66">
        <v>1.0</v>
      </c>
      <c r="F857" s="66">
        <v>57.0</v>
      </c>
      <c r="G857" s="66">
        <v>7.0</v>
      </c>
      <c r="H857" s="66">
        <v>6.0</v>
      </c>
      <c r="I857" s="50">
        <v>82113.0</v>
      </c>
    </row>
    <row r="858">
      <c r="A858" s="75">
        <v>7854.0</v>
      </c>
      <c r="B858" s="70">
        <v>5631.0</v>
      </c>
      <c r="C858" s="74">
        <v>7477.0</v>
      </c>
      <c r="D858" s="66" t="s">
        <v>3640</v>
      </c>
      <c r="E858" s="66">
        <v>3.0</v>
      </c>
      <c r="F858" s="66">
        <v>16.0</v>
      </c>
      <c r="G858" s="66">
        <v>8.0</v>
      </c>
      <c r="H858" s="66">
        <v>2.0</v>
      </c>
      <c r="I858" s="50">
        <v>53119.0</v>
      </c>
    </row>
    <row r="859">
      <c r="A859" s="58">
        <v>7855.0</v>
      </c>
      <c r="B859" s="70">
        <v>8842.0</v>
      </c>
      <c r="C859" s="74">
        <v>5341.0</v>
      </c>
      <c r="D859" s="66" t="s">
        <v>3641</v>
      </c>
      <c r="E859" s="66">
        <v>2.0</v>
      </c>
      <c r="F859" s="66">
        <v>16.0</v>
      </c>
      <c r="G859" s="66">
        <v>8.0</v>
      </c>
      <c r="H859" s="66">
        <v>3.0</v>
      </c>
      <c r="I859" s="50">
        <v>71815.0</v>
      </c>
    </row>
    <row r="860">
      <c r="A860" s="75">
        <v>7856.0</v>
      </c>
      <c r="B860" s="70">
        <v>5052.0</v>
      </c>
      <c r="C860" s="74">
        <v>1886.0</v>
      </c>
      <c r="D860" s="66" t="s">
        <v>3642</v>
      </c>
      <c r="E860" s="66">
        <v>4.0</v>
      </c>
      <c r="F860" s="66">
        <v>98.0</v>
      </c>
      <c r="G860" s="66">
        <v>7.0</v>
      </c>
      <c r="H860" s="66">
        <v>6.0</v>
      </c>
      <c r="I860" s="50">
        <v>51717.0</v>
      </c>
    </row>
    <row r="861">
      <c r="A861" s="75">
        <v>7857.0</v>
      </c>
      <c r="B861" s="70">
        <v>2141.0</v>
      </c>
      <c r="C861" s="74">
        <v>1837.0</v>
      </c>
      <c r="D861" s="66" t="s">
        <v>3643</v>
      </c>
      <c r="E861" s="66">
        <v>3.0</v>
      </c>
      <c r="F861" s="66">
        <v>16.0</v>
      </c>
      <c r="G861" s="66">
        <v>8.0</v>
      </c>
      <c r="H861" s="66">
        <v>5.0</v>
      </c>
      <c r="I861" s="50">
        <v>72713.0</v>
      </c>
    </row>
    <row r="862">
      <c r="A862" s="75">
        <v>7858.0</v>
      </c>
      <c r="B862" s="70">
        <v>5710.0</v>
      </c>
      <c r="C862" s="74">
        <v>2520.0</v>
      </c>
      <c r="D862" s="66" t="s">
        <v>3644</v>
      </c>
      <c r="E862" s="66">
        <v>4.0</v>
      </c>
      <c r="F862" s="66">
        <v>98.0</v>
      </c>
      <c r="G862" s="66">
        <v>7.0</v>
      </c>
      <c r="H862" s="66">
        <v>8.0</v>
      </c>
      <c r="I862" s="50">
        <v>82015.0</v>
      </c>
    </row>
    <row r="863">
      <c r="A863" s="75">
        <v>7859.0</v>
      </c>
      <c r="B863" s="70">
        <v>2777.0</v>
      </c>
      <c r="C863" s="74">
        <v>1768.0</v>
      </c>
      <c r="D863" s="66" t="s">
        <v>3645</v>
      </c>
      <c r="E863" s="66">
        <v>1.0</v>
      </c>
      <c r="F863" s="66">
        <v>57.0</v>
      </c>
      <c r="G863" s="66">
        <v>8.0</v>
      </c>
      <c r="H863" s="66">
        <v>2.0</v>
      </c>
      <c r="I863" s="50">
        <v>120917.0</v>
      </c>
    </row>
    <row r="864">
      <c r="A864" s="58">
        <v>7860.0</v>
      </c>
      <c r="B864" s="70">
        <v>9151.0</v>
      </c>
      <c r="C864" s="74">
        <v>6749.0</v>
      </c>
      <c r="D864" s="66" t="s">
        <v>3646</v>
      </c>
      <c r="E864" s="66">
        <v>2.0</v>
      </c>
      <c r="F864" s="66">
        <v>16.0</v>
      </c>
      <c r="G864" s="66">
        <v>8.0</v>
      </c>
      <c r="H864" s="66">
        <v>6.0</v>
      </c>
      <c r="I864" s="50">
        <v>12322.0</v>
      </c>
    </row>
    <row r="865">
      <c r="A865" s="75">
        <v>7861.0</v>
      </c>
      <c r="B865" s="70">
        <v>2059.0</v>
      </c>
      <c r="C865" s="74">
        <v>4086.0</v>
      </c>
      <c r="D865" s="66" t="s">
        <v>3647</v>
      </c>
      <c r="E865" s="66">
        <v>3.0</v>
      </c>
      <c r="F865" s="66">
        <v>78.0</v>
      </c>
      <c r="G865" s="66">
        <v>3.0</v>
      </c>
      <c r="H865" s="66">
        <v>4.0</v>
      </c>
      <c r="I865" s="50">
        <v>90819.0</v>
      </c>
    </row>
    <row r="866">
      <c r="A866" s="75">
        <v>7862.0</v>
      </c>
      <c r="B866" s="70">
        <v>4132.0</v>
      </c>
      <c r="C866" s="74">
        <v>6032.0</v>
      </c>
      <c r="D866" s="66" t="s">
        <v>3648</v>
      </c>
      <c r="E866" s="66">
        <v>4.0</v>
      </c>
      <c r="F866" s="66">
        <v>98.0</v>
      </c>
      <c r="G866" s="66">
        <v>8.0</v>
      </c>
      <c r="H866" s="66">
        <v>3.0</v>
      </c>
      <c r="I866" s="50">
        <v>33120.0</v>
      </c>
    </row>
    <row r="867">
      <c r="A867" s="75">
        <v>7863.0</v>
      </c>
      <c r="B867" s="70">
        <v>9320.0</v>
      </c>
      <c r="C867" s="74">
        <v>1455.0</v>
      </c>
      <c r="D867" s="66" t="s">
        <v>3649</v>
      </c>
      <c r="E867" s="66">
        <v>4.0</v>
      </c>
      <c r="F867" s="66">
        <v>57.0</v>
      </c>
      <c r="G867" s="66">
        <v>8.0</v>
      </c>
      <c r="H867" s="66">
        <v>6.0</v>
      </c>
      <c r="I867" s="50">
        <v>31719.0</v>
      </c>
    </row>
    <row r="868">
      <c r="A868" s="75">
        <v>7864.0</v>
      </c>
      <c r="B868" s="70">
        <v>8910.0</v>
      </c>
      <c r="C868" s="74">
        <v>8575.0</v>
      </c>
      <c r="D868" s="66" t="s">
        <v>3650</v>
      </c>
      <c r="E868" s="66">
        <v>4.0</v>
      </c>
      <c r="F868" s="66">
        <v>78.0</v>
      </c>
      <c r="G868" s="66">
        <v>3.0</v>
      </c>
      <c r="H868" s="66">
        <v>7.0</v>
      </c>
      <c r="I868" s="50">
        <v>10815.0</v>
      </c>
    </row>
    <row r="869">
      <c r="A869" s="58">
        <v>7865.0</v>
      </c>
      <c r="B869" s="70">
        <v>401.0</v>
      </c>
      <c r="C869" s="74">
        <v>1858.0</v>
      </c>
      <c r="D869" s="66" t="s">
        <v>3651</v>
      </c>
      <c r="E869" s="66">
        <v>4.0</v>
      </c>
      <c r="F869" s="66">
        <v>78.0</v>
      </c>
      <c r="G869" s="66">
        <v>3.0</v>
      </c>
      <c r="H869" s="66">
        <v>8.0</v>
      </c>
      <c r="I869" s="50">
        <v>71921.0</v>
      </c>
    </row>
    <row r="870">
      <c r="A870" s="75">
        <v>7866.0</v>
      </c>
      <c r="B870" s="70">
        <v>9359.0</v>
      </c>
      <c r="C870" s="74">
        <v>7049.0</v>
      </c>
      <c r="D870" s="66" t="s">
        <v>3652</v>
      </c>
      <c r="E870" s="66">
        <v>4.0</v>
      </c>
      <c r="F870" s="66">
        <v>16.0</v>
      </c>
      <c r="G870" s="66">
        <v>9.0</v>
      </c>
      <c r="H870" s="66">
        <v>1.0</v>
      </c>
      <c r="I870" s="50">
        <v>71620.0</v>
      </c>
    </row>
    <row r="871">
      <c r="A871" s="75">
        <v>7867.0</v>
      </c>
      <c r="B871" s="70">
        <v>7749.0</v>
      </c>
      <c r="C871" s="74">
        <v>8879.0</v>
      </c>
      <c r="D871" s="66" t="s">
        <v>3653</v>
      </c>
      <c r="E871" s="66">
        <v>3.0</v>
      </c>
      <c r="F871" s="66">
        <v>57.0</v>
      </c>
      <c r="G871" s="66">
        <v>8.0</v>
      </c>
      <c r="H871" s="66">
        <v>7.0</v>
      </c>
      <c r="I871" s="50">
        <v>62816.0</v>
      </c>
    </row>
    <row r="872">
      <c r="A872" s="75">
        <v>7868.0</v>
      </c>
      <c r="B872" s="70">
        <v>3132.0</v>
      </c>
      <c r="C872" s="74">
        <v>7662.0</v>
      </c>
      <c r="D872" s="66" t="s">
        <v>3654</v>
      </c>
      <c r="E872" s="66">
        <v>1.0</v>
      </c>
      <c r="F872" s="66">
        <v>57.0</v>
      </c>
      <c r="G872" s="66">
        <v>8.0</v>
      </c>
      <c r="H872" s="66">
        <v>8.0</v>
      </c>
      <c r="I872" s="50">
        <v>82622.0</v>
      </c>
    </row>
    <row r="873">
      <c r="A873" s="75">
        <v>7869.0</v>
      </c>
      <c r="B873" s="70">
        <v>5373.0</v>
      </c>
      <c r="C873" s="74">
        <v>1552.0</v>
      </c>
      <c r="D873" s="66" t="s">
        <v>3655</v>
      </c>
      <c r="E873" s="66">
        <v>2.0</v>
      </c>
      <c r="F873" s="66">
        <v>16.0</v>
      </c>
      <c r="G873" s="66">
        <v>9.0</v>
      </c>
      <c r="H873" s="66">
        <v>8.0</v>
      </c>
      <c r="I873" s="50">
        <v>53116.0</v>
      </c>
    </row>
    <row r="874">
      <c r="A874" s="58">
        <v>7870.0</v>
      </c>
      <c r="B874" s="70">
        <v>9261.0</v>
      </c>
      <c r="C874" s="74">
        <v>6631.0</v>
      </c>
      <c r="D874" s="66" t="s">
        <v>3656</v>
      </c>
      <c r="E874" s="66">
        <v>1.0</v>
      </c>
      <c r="F874" s="66">
        <v>98.0</v>
      </c>
      <c r="G874" s="66">
        <v>9.0</v>
      </c>
      <c r="H874" s="66">
        <v>1.0</v>
      </c>
      <c r="I874" s="50">
        <v>60316.0</v>
      </c>
    </row>
    <row r="875">
      <c r="A875" s="75">
        <v>7871.0</v>
      </c>
      <c r="B875" s="70">
        <v>1326.0</v>
      </c>
      <c r="C875" s="74">
        <v>6220.0</v>
      </c>
      <c r="D875" s="66" t="s">
        <v>3657</v>
      </c>
      <c r="E875" s="66">
        <v>4.0</v>
      </c>
      <c r="F875" s="66">
        <v>78.0</v>
      </c>
      <c r="G875" s="66">
        <v>4.0</v>
      </c>
      <c r="H875" s="66">
        <v>3.0</v>
      </c>
      <c r="I875" s="50">
        <v>51622.0</v>
      </c>
    </row>
    <row r="876">
      <c r="A876" s="75">
        <v>7872.0</v>
      </c>
      <c r="B876" s="70">
        <v>4177.0</v>
      </c>
      <c r="C876" s="74">
        <v>8402.0</v>
      </c>
      <c r="D876" s="66" t="s">
        <v>3658</v>
      </c>
      <c r="E876" s="66">
        <v>4.0</v>
      </c>
      <c r="F876" s="66">
        <v>37.0</v>
      </c>
      <c r="G876" s="66">
        <v>5.0</v>
      </c>
      <c r="H876" s="66">
        <v>3.0</v>
      </c>
      <c r="I876" s="50">
        <v>92219.0</v>
      </c>
    </row>
    <row r="877">
      <c r="A877" s="75">
        <v>7873.0</v>
      </c>
      <c r="B877" s="70">
        <v>6546.0</v>
      </c>
      <c r="C877" s="74">
        <v>3375.0</v>
      </c>
      <c r="D877" s="66" t="s">
        <v>3659</v>
      </c>
      <c r="E877" s="66">
        <v>1.0</v>
      </c>
      <c r="F877" s="66">
        <v>37.0</v>
      </c>
      <c r="G877" s="66">
        <v>6.0</v>
      </c>
      <c r="H877" s="66">
        <v>1.0</v>
      </c>
      <c r="I877" s="50">
        <v>101314.0</v>
      </c>
    </row>
    <row r="878">
      <c r="A878" s="75">
        <v>7874.0</v>
      </c>
      <c r="B878" s="70">
        <v>867.0</v>
      </c>
      <c r="C878" s="74">
        <v>3177.0</v>
      </c>
      <c r="D878" s="66" t="s">
        <v>3660</v>
      </c>
      <c r="E878" s="66">
        <v>4.0</v>
      </c>
      <c r="F878" s="66">
        <v>78.0</v>
      </c>
      <c r="G878" s="66">
        <v>5.0</v>
      </c>
      <c r="H878" s="66">
        <v>9.0</v>
      </c>
      <c r="I878" s="50">
        <v>31216.0</v>
      </c>
    </row>
    <row r="879">
      <c r="A879" s="58">
        <v>7875.0</v>
      </c>
      <c r="B879" s="70">
        <v>3283.0</v>
      </c>
      <c r="C879" s="74">
        <v>5666.0</v>
      </c>
      <c r="D879" s="66" t="s">
        <v>3661</v>
      </c>
      <c r="E879" s="66">
        <v>3.0</v>
      </c>
      <c r="F879" s="66">
        <v>37.0</v>
      </c>
      <c r="G879" s="66">
        <v>6.0</v>
      </c>
      <c r="H879" s="66">
        <v>3.0</v>
      </c>
      <c r="I879" s="50">
        <v>30417.0</v>
      </c>
    </row>
    <row r="880">
      <c r="A880" s="75">
        <v>7876.0</v>
      </c>
      <c r="B880" s="70">
        <v>8135.0</v>
      </c>
      <c r="C880" s="74">
        <v>4727.0</v>
      </c>
      <c r="D880" s="66" t="s">
        <v>3662</v>
      </c>
      <c r="E880" s="66">
        <v>4.0</v>
      </c>
      <c r="F880" s="66">
        <v>78.0</v>
      </c>
      <c r="G880" s="66">
        <v>6.0</v>
      </c>
      <c r="H880" s="66">
        <v>2.0</v>
      </c>
      <c r="I880" s="50">
        <v>70418.0</v>
      </c>
    </row>
    <row r="881">
      <c r="A881" s="75">
        <v>7877.0</v>
      </c>
      <c r="B881" s="70">
        <v>9405.0</v>
      </c>
      <c r="C881" s="74">
        <v>7687.0</v>
      </c>
      <c r="D881" s="66" t="s">
        <v>3663</v>
      </c>
      <c r="E881" s="66">
        <v>3.0</v>
      </c>
      <c r="F881" s="66">
        <v>17.0</v>
      </c>
      <c r="G881" s="66">
        <v>1.0</v>
      </c>
      <c r="H881" s="66">
        <v>9.0</v>
      </c>
      <c r="I881" s="50">
        <v>31617.0</v>
      </c>
    </row>
    <row r="882">
      <c r="A882" s="75">
        <v>7878.0</v>
      </c>
      <c r="B882" s="70">
        <v>4563.0</v>
      </c>
      <c r="C882" s="74">
        <v>9080.0</v>
      </c>
      <c r="D882" s="66" t="s">
        <v>3664</v>
      </c>
      <c r="E882" s="66">
        <v>1.0</v>
      </c>
      <c r="F882" s="66">
        <v>78.0</v>
      </c>
      <c r="G882" s="66">
        <v>6.0</v>
      </c>
      <c r="H882" s="66">
        <v>5.0</v>
      </c>
      <c r="I882" s="50">
        <v>60520.0</v>
      </c>
    </row>
    <row r="883">
      <c r="A883" s="75">
        <v>7879.0</v>
      </c>
      <c r="B883" s="70">
        <v>1921.0</v>
      </c>
      <c r="C883" s="74">
        <v>2182.0</v>
      </c>
      <c r="D883" s="66" t="s">
        <v>3665</v>
      </c>
      <c r="E883" s="66">
        <v>4.0</v>
      </c>
      <c r="F883" s="66">
        <v>58.0</v>
      </c>
      <c r="G883" s="66">
        <v>1.0</v>
      </c>
      <c r="H883" s="66">
        <v>9.0</v>
      </c>
      <c r="I883" s="50">
        <v>73119.0</v>
      </c>
    </row>
    <row r="884">
      <c r="A884" s="58">
        <v>7880.0</v>
      </c>
      <c r="B884" s="70">
        <v>373.0</v>
      </c>
      <c r="C884" s="74">
        <v>3964.0</v>
      </c>
      <c r="D884" s="66" t="s">
        <v>3666</v>
      </c>
      <c r="E884" s="66">
        <v>1.0</v>
      </c>
      <c r="F884" s="66">
        <v>37.0</v>
      </c>
      <c r="G884" s="66">
        <v>7.0</v>
      </c>
      <c r="H884" s="66">
        <v>6.0</v>
      </c>
      <c r="I884" s="50">
        <v>111813.0</v>
      </c>
    </row>
    <row r="885">
      <c r="A885" s="75">
        <v>7881.0</v>
      </c>
      <c r="B885" s="70">
        <v>9273.0</v>
      </c>
      <c r="C885" s="74">
        <v>2070.0</v>
      </c>
      <c r="D885" s="66" t="s">
        <v>3667</v>
      </c>
      <c r="E885" s="66">
        <v>3.0</v>
      </c>
      <c r="F885" s="66">
        <v>99.0</v>
      </c>
      <c r="G885" s="66">
        <v>2.0</v>
      </c>
      <c r="H885" s="66">
        <v>2.0</v>
      </c>
      <c r="I885" s="50">
        <v>121318.0</v>
      </c>
    </row>
    <row r="886">
      <c r="A886" s="75">
        <v>7882.0</v>
      </c>
      <c r="B886" s="70">
        <v>8842.0</v>
      </c>
      <c r="C886" s="74">
        <v>4102.0</v>
      </c>
      <c r="D886" s="66" t="s">
        <v>3668</v>
      </c>
      <c r="E886" s="66">
        <v>3.0</v>
      </c>
      <c r="F886" s="66">
        <v>17.0</v>
      </c>
      <c r="G886" s="66">
        <v>3.0</v>
      </c>
      <c r="H886" s="66">
        <v>2.0</v>
      </c>
      <c r="I886" s="50">
        <v>52120.0</v>
      </c>
    </row>
    <row r="887">
      <c r="A887" s="75">
        <v>7883.0</v>
      </c>
      <c r="B887" s="70">
        <v>3477.0</v>
      </c>
      <c r="C887" s="74">
        <v>3813.0</v>
      </c>
      <c r="D887" s="66" t="s">
        <v>3669</v>
      </c>
      <c r="E887" s="66">
        <v>1.0</v>
      </c>
      <c r="F887" s="66">
        <v>78.0</v>
      </c>
      <c r="G887" s="66">
        <v>7.0</v>
      </c>
      <c r="H887" s="66">
        <v>8.0</v>
      </c>
      <c r="I887" s="50">
        <v>101316.0</v>
      </c>
    </row>
    <row r="888">
      <c r="A888" s="75">
        <v>7884.0</v>
      </c>
      <c r="B888" s="70">
        <v>7107.0</v>
      </c>
      <c r="C888" s="74">
        <v>9880.0</v>
      </c>
      <c r="D888" s="66" t="s">
        <v>3670</v>
      </c>
      <c r="E888" s="66">
        <v>2.0</v>
      </c>
      <c r="F888" s="66">
        <v>58.0</v>
      </c>
      <c r="G888" s="66">
        <v>3.0</v>
      </c>
      <c r="H888" s="66">
        <v>1.0</v>
      </c>
      <c r="I888" s="50">
        <v>10414.0</v>
      </c>
    </row>
    <row r="889">
      <c r="A889" s="58">
        <v>7885.0</v>
      </c>
      <c r="B889" s="70">
        <v>2245.0</v>
      </c>
      <c r="C889" s="74">
        <v>5109.0</v>
      </c>
      <c r="D889" s="66" t="s">
        <v>3671</v>
      </c>
      <c r="E889" s="66">
        <v>2.0</v>
      </c>
      <c r="F889" s="66">
        <v>99.0</v>
      </c>
      <c r="G889" s="66">
        <v>2.0</v>
      </c>
      <c r="H889" s="66">
        <v>9.0</v>
      </c>
      <c r="I889" s="50">
        <v>122014.0</v>
      </c>
    </row>
    <row r="890">
      <c r="A890" s="75">
        <v>7886.0</v>
      </c>
      <c r="B890" s="70">
        <v>5739.0</v>
      </c>
      <c r="C890" s="74">
        <v>9729.0</v>
      </c>
      <c r="D890" s="66" t="s">
        <v>3672</v>
      </c>
      <c r="E890" s="66">
        <v>4.0</v>
      </c>
      <c r="F890" s="66">
        <v>37.0</v>
      </c>
      <c r="G890" s="66">
        <v>8.0</v>
      </c>
      <c r="H890" s="66">
        <v>6.0</v>
      </c>
      <c r="I890" s="50">
        <v>82520.0</v>
      </c>
    </row>
    <row r="891">
      <c r="A891" s="75">
        <v>7887.0</v>
      </c>
      <c r="B891" s="70">
        <v>744.0</v>
      </c>
      <c r="C891" s="74">
        <v>659.0</v>
      </c>
      <c r="D891" s="66" t="s">
        <v>3673</v>
      </c>
      <c r="E891" s="66">
        <v>3.0</v>
      </c>
      <c r="F891" s="66">
        <v>17.0</v>
      </c>
      <c r="G891" s="66">
        <v>4.0</v>
      </c>
      <c r="H891" s="66">
        <v>2.0</v>
      </c>
      <c r="I891" s="50">
        <v>70518.0</v>
      </c>
    </row>
    <row r="892">
      <c r="A892" s="75">
        <v>7888.0</v>
      </c>
      <c r="B892" s="70">
        <v>6327.0</v>
      </c>
      <c r="C892" s="74">
        <v>1330.0</v>
      </c>
      <c r="D892" s="66" t="s">
        <v>3674</v>
      </c>
      <c r="E892" s="66">
        <v>1.0</v>
      </c>
      <c r="F892" s="66">
        <v>17.0</v>
      </c>
      <c r="G892" s="66">
        <v>4.0</v>
      </c>
      <c r="H892" s="66">
        <v>3.0</v>
      </c>
      <c r="I892" s="50">
        <v>62514.0</v>
      </c>
    </row>
    <row r="893">
      <c r="A893" s="75">
        <v>7889.0</v>
      </c>
      <c r="B893" s="70">
        <v>1962.0</v>
      </c>
      <c r="C893" s="74">
        <v>2758.0</v>
      </c>
      <c r="D893" s="66" t="s">
        <v>3675</v>
      </c>
      <c r="E893" s="66">
        <v>4.0</v>
      </c>
      <c r="F893" s="66">
        <v>99.0</v>
      </c>
      <c r="G893" s="66">
        <v>3.0</v>
      </c>
      <c r="H893" s="66">
        <v>6.0</v>
      </c>
      <c r="I893" s="50">
        <v>110718.0</v>
      </c>
    </row>
    <row r="894">
      <c r="A894" s="58">
        <v>7890.0</v>
      </c>
      <c r="B894" s="70">
        <v>6044.0</v>
      </c>
      <c r="C894" s="74">
        <v>3017.0</v>
      </c>
      <c r="D894" s="66" t="s">
        <v>3676</v>
      </c>
      <c r="E894" s="66">
        <v>3.0</v>
      </c>
      <c r="F894" s="66">
        <v>37.0</v>
      </c>
      <c r="G894" s="66">
        <v>9.0</v>
      </c>
      <c r="H894" s="66">
        <v>2.0</v>
      </c>
      <c r="I894" s="50">
        <v>41620.0</v>
      </c>
    </row>
    <row r="895">
      <c r="A895" s="75">
        <v>7891.0</v>
      </c>
      <c r="B895" s="70">
        <v>3290.0</v>
      </c>
      <c r="C895" s="74">
        <v>195.0</v>
      </c>
      <c r="D895" s="66" t="s">
        <v>3677</v>
      </c>
      <c r="E895" s="66">
        <v>1.0</v>
      </c>
      <c r="F895" s="66">
        <v>37.0</v>
      </c>
      <c r="G895" s="66">
        <v>9.0</v>
      </c>
      <c r="H895" s="66">
        <v>6.0</v>
      </c>
      <c r="I895" s="50">
        <v>52417.0</v>
      </c>
    </row>
    <row r="896">
      <c r="A896" s="75">
        <v>7892.0</v>
      </c>
      <c r="B896" s="70">
        <v>9073.0</v>
      </c>
      <c r="C896" s="74">
        <v>736.0</v>
      </c>
      <c r="D896" s="66" t="s">
        <v>3678</v>
      </c>
      <c r="E896" s="66">
        <v>1.0</v>
      </c>
      <c r="F896" s="66">
        <v>37.0</v>
      </c>
      <c r="G896" s="66">
        <v>9.0</v>
      </c>
      <c r="H896" s="66">
        <v>8.0</v>
      </c>
      <c r="I896" s="50">
        <v>12722.0</v>
      </c>
    </row>
    <row r="897">
      <c r="A897" s="75">
        <v>7893.0</v>
      </c>
      <c r="B897" s="70">
        <v>9925.0</v>
      </c>
      <c r="C897" s="74">
        <v>5173.0</v>
      </c>
      <c r="D897" s="66" t="s">
        <v>3679</v>
      </c>
      <c r="E897" s="66">
        <v>2.0</v>
      </c>
      <c r="F897" s="66">
        <v>17.0</v>
      </c>
      <c r="G897" s="66">
        <v>5.0</v>
      </c>
      <c r="H897" s="66">
        <v>2.0</v>
      </c>
      <c r="I897" s="50">
        <v>92515.0</v>
      </c>
    </row>
    <row r="898">
      <c r="A898" s="75">
        <v>7894.0</v>
      </c>
      <c r="B898" s="70">
        <v>8570.0</v>
      </c>
      <c r="C898" s="74">
        <v>6609.0</v>
      </c>
      <c r="D898" s="66" t="s">
        <v>3680</v>
      </c>
      <c r="E898" s="66">
        <v>4.0</v>
      </c>
      <c r="F898" s="66">
        <v>99.0</v>
      </c>
      <c r="G898" s="66">
        <v>4.0</v>
      </c>
      <c r="H898" s="66">
        <v>5.0</v>
      </c>
      <c r="I898" s="50">
        <v>62314.0</v>
      </c>
    </row>
    <row r="899">
      <c r="A899" s="58">
        <v>7895.0</v>
      </c>
      <c r="B899" s="70">
        <v>3650.0</v>
      </c>
      <c r="C899" s="74">
        <v>4556.0</v>
      </c>
      <c r="D899" s="66" t="s">
        <v>3681</v>
      </c>
      <c r="E899" s="66">
        <v>4.0</v>
      </c>
      <c r="F899" s="66">
        <v>17.0</v>
      </c>
      <c r="G899" s="66">
        <v>5.0</v>
      </c>
      <c r="H899" s="66">
        <v>5.0</v>
      </c>
      <c r="I899" s="50">
        <v>61322.0</v>
      </c>
    </row>
    <row r="900">
      <c r="A900" s="75">
        <v>7896.0</v>
      </c>
      <c r="B900" s="70">
        <v>8132.0</v>
      </c>
      <c r="C900" s="74">
        <v>4878.0</v>
      </c>
      <c r="D900" s="66" t="s">
        <v>3682</v>
      </c>
      <c r="E900" s="66">
        <v>4.0</v>
      </c>
      <c r="F900" s="66">
        <v>99.0</v>
      </c>
      <c r="G900" s="66">
        <v>4.0</v>
      </c>
      <c r="H900" s="66">
        <v>7.0</v>
      </c>
      <c r="I900" s="50">
        <v>10215.0</v>
      </c>
    </row>
    <row r="901">
      <c r="A901" s="75">
        <v>7897.0</v>
      </c>
      <c r="B901" s="70">
        <v>698.0</v>
      </c>
      <c r="C901" s="74">
        <v>5210.0</v>
      </c>
      <c r="D901" s="66" t="s">
        <v>3683</v>
      </c>
      <c r="E901" s="66">
        <v>2.0</v>
      </c>
      <c r="F901" s="66">
        <v>58.0</v>
      </c>
      <c r="G901" s="66">
        <v>5.0</v>
      </c>
      <c r="H901" s="66">
        <v>7.0</v>
      </c>
      <c r="I901" s="50">
        <v>52017.0</v>
      </c>
    </row>
    <row r="902">
      <c r="A902" s="75">
        <v>7898.0</v>
      </c>
      <c r="B902" s="70">
        <v>3860.0</v>
      </c>
      <c r="C902" s="74">
        <v>9269.0</v>
      </c>
      <c r="D902" s="66" t="s">
        <v>3684</v>
      </c>
      <c r="E902" s="66">
        <v>4.0</v>
      </c>
      <c r="F902" s="66">
        <v>58.0</v>
      </c>
      <c r="G902" s="66">
        <v>5.0</v>
      </c>
      <c r="H902" s="66">
        <v>8.0</v>
      </c>
      <c r="I902" s="50">
        <v>30820.0</v>
      </c>
    </row>
    <row r="903">
      <c r="A903" s="75">
        <v>7899.0</v>
      </c>
      <c r="B903" s="70">
        <v>6667.0</v>
      </c>
      <c r="C903" s="74">
        <v>6362.0</v>
      </c>
      <c r="D903" s="66" t="s">
        <v>3685</v>
      </c>
      <c r="E903" s="66">
        <v>2.0</v>
      </c>
      <c r="F903" s="66">
        <v>38.0</v>
      </c>
      <c r="G903" s="66">
        <v>1.0</v>
      </c>
      <c r="H903" s="66">
        <v>1.0</v>
      </c>
      <c r="I903" s="50">
        <v>32616.0</v>
      </c>
    </row>
    <row r="904">
      <c r="A904" s="58">
        <v>7900.0</v>
      </c>
      <c r="B904" s="70">
        <v>7693.0</v>
      </c>
      <c r="C904" s="74">
        <v>8355.0</v>
      </c>
      <c r="D904" s="66" t="s">
        <v>3686</v>
      </c>
      <c r="E904" s="66">
        <v>2.0</v>
      </c>
      <c r="F904" s="66">
        <v>99.0</v>
      </c>
      <c r="G904" s="66">
        <v>5.0</v>
      </c>
      <c r="H904" s="66">
        <v>9.0</v>
      </c>
      <c r="I904" s="50">
        <v>83021.0</v>
      </c>
    </row>
    <row r="905">
      <c r="A905" s="75">
        <v>7901.0</v>
      </c>
      <c r="B905" s="70">
        <v>2485.0</v>
      </c>
      <c r="C905" s="74">
        <v>5274.0</v>
      </c>
      <c r="D905" s="66" t="s">
        <v>3687</v>
      </c>
      <c r="E905" s="66">
        <v>1.0</v>
      </c>
      <c r="F905" s="66">
        <v>58.0</v>
      </c>
      <c r="G905" s="66">
        <v>6.0</v>
      </c>
      <c r="H905" s="66">
        <v>6.0</v>
      </c>
      <c r="I905" s="50">
        <v>41514.0</v>
      </c>
    </row>
    <row r="906">
      <c r="A906" s="75">
        <v>7902.0</v>
      </c>
      <c r="B906" s="70">
        <v>777.0</v>
      </c>
      <c r="C906" s="74">
        <v>3468.0</v>
      </c>
      <c r="D906" s="66" t="s">
        <v>3688</v>
      </c>
      <c r="E906" s="66">
        <v>2.0</v>
      </c>
      <c r="F906" s="66">
        <v>79.0</v>
      </c>
      <c r="G906" s="66">
        <v>1.0</v>
      </c>
      <c r="H906" s="66">
        <v>5.0</v>
      </c>
      <c r="I906" s="50">
        <v>72919.0</v>
      </c>
    </row>
    <row r="907">
      <c r="A907" s="75">
        <v>7903.0</v>
      </c>
      <c r="B907" s="70">
        <v>5463.0</v>
      </c>
      <c r="C907" s="74">
        <v>2436.0</v>
      </c>
      <c r="D907" s="66" t="s">
        <v>3689</v>
      </c>
      <c r="E907" s="66">
        <v>1.0</v>
      </c>
      <c r="F907" s="66">
        <v>58.0</v>
      </c>
      <c r="G907" s="66">
        <v>6.0</v>
      </c>
      <c r="H907" s="66">
        <v>9.0</v>
      </c>
      <c r="I907" s="50">
        <v>71715.0</v>
      </c>
    </row>
    <row r="908">
      <c r="A908" s="75">
        <v>7904.0</v>
      </c>
      <c r="B908" s="70">
        <v>5945.0</v>
      </c>
      <c r="C908" s="74">
        <v>2638.0</v>
      </c>
      <c r="D908" s="66" t="s">
        <v>3690</v>
      </c>
      <c r="E908" s="66">
        <v>1.0</v>
      </c>
      <c r="F908" s="66">
        <v>38.0</v>
      </c>
      <c r="G908" s="66">
        <v>2.0</v>
      </c>
      <c r="H908" s="66">
        <v>2.0</v>
      </c>
      <c r="I908" s="50">
        <v>71721.0</v>
      </c>
    </row>
    <row r="909">
      <c r="A909" s="58">
        <v>7905.0</v>
      </c>
      <c r="B909" s="70">
        <v>883.0</v>
      </c>
      <c r="C909" s="74">
        <v>9391.0</v>
      </c>
      <c r="D909" s="66" t="s">
        <v>3691</v>
      </c>
      <c r="E909" s="66">
        <v>1.0</v>
      </c>
      <c r="F909" s="66">
        <v>17.0</v>
      </c>
      <c r="G909" s="66">
        <v>7.0</v>
      </c>
      <c r="H909" s="66">
        <v>4.0</v>
      </c>
      <c r="I909" s="50">
        <v>90915.0</v>
      </c>
    </row>
    <row r="910">
      <c r="A910" s="75">
        <v>7906.0</v>
      </c>
      <c r="B910" s="70">
        <v>2494.0</v>
      </c>
      <c r="C910" s="74">
        <v>6461.0</v>
      </c>
      <c r="D910" s="66" t="s">
        <v>3692</v>
      </c>
      <c r="E910" s="66">
        <v>3.0</v>
      </c>
      <c r="F910" s="66">
        <v>99.0</v>
      </c>
      <c r="G910" s="66">
        <v>6.0</v>
      </c>
      <c r="H910" s="66">
        <v>9.0</v>
      </c>
      <c r="I910" s="50">
        <v>111519.0</v>
      </c>
    </row>
    <row r="911">
      <c r="A911" s="75">
        <v>7907.0</v>
      </c>
      <c r="B911" s="70">
        <v>7057.0</v>
      </c>
      <c r="C911" s="74">
        <v>606.0</v>
      </c>
      <c r="D911" s="66" t="s">
        <v>3693</v>
      </c>
      <c r="E911" s="66">
        <v>1.0</v>
      </c>
      <c r="F911" s="66">
        <v>38.0</v>
      </c>
      <c r="G911" s="66">
        <v>2.0</v>
      </c>
      <c r="H911" s="66">
        <v>9.0</v>
      </c>
      <c r="I911" s="50">
        <v>10617.0</v>
      </c>
    </row>
    <row r="912">
      <c r="A912" s="75">
        <v>7908.0</v>
      </c>
      <c r="B912" s="70">
        <v>4234.0</v>
      </c>
      <c r="C912" s="74">
        <v>8044.0</v>
      </c>
      <c r="D912" s="66" t="s">
        <v>3694</v>
      </c>
      <c r="E912" s="66">
        <v>3.0</v>
      </c>
      <c r="F912" s="66">
        <v>58.0</v>
      </c>
      <c r="G912" s="66">
        <v>8.0</v>
      </c>
      <c r="H912" s="66">
        <v>1.0</v>
      </c>
      <c r="I912" s="50">
        <v>111018.0</v>
      </c>
    </row>
    <row r="913">
      <c r="A913" s="75">
        <v>7909.0</v>
      </c>
      <c r="B913" s="70">
        <v>8902.0</v>
      </c>
      <c r="C913" s="74">
        <v>2356.0</v>
      </c>
      <c r="D913" s="66" t="s">
        <v>3695</v>
      </c>
      <c r="E913" s="66">
        <v>4.0</v>
      </c>
      <c r="F913" s="66">
        <v>17.0</v>
      </c>
      <c r="G913" s="66">
        <v>8.0</v>
      </c>
      <c r="H913" s="66">
        <v>9.0</v>
      </c>
      <c r="I913" s="50">
        <v>11417.0</v>
      </c>
    </row>
    <row r="914">
      <c r="A914" s="58">
        <v>7910.0</v>
      </c>
      <c r="B914" s="70">
        <v>7071.0</v>
      </c>
      <c r="C914" s="74">
        <v>8924.0</v>
      </c>
      <c r="D914" s="66" t="s">
        <v>3696</v>
      </c>
      <c r="E914" s="66">
        <v>1.0</v>
      </c>
      <c r="F914" s="66">
        <v>99.0</v>
      </c>
      <c r="G914" s="66">
        <v>8.0</v>
      </c>
      <c r="H914" s="66">
        <v>2.0</v>
      </c>
      <c r="I914" s="50">
        <v>81615.0</v>
      </c>
    </row>
    <row r="915">
      <c r="A915" s="75">
        <v>7911.0</v>
      </c>
      <c r="B915" s="70">
        <v>8262.0</v>
      </c>
      <c r="C915" s="74">
        <v>3264.0</v>
      </c>
      <c r="D915" s="66" t="s">
        <v>3697</v>
      </c>
      <c r="E915" s="66">
        <v>4.0</v>
      </c>
      <c r="F915" s="66">
        <v>58.0</v>
      </c>
      <c r="G915" s="66">
        <v>8.0</v>
      </c>
      <c r="H915" s="66">
        <v>5.0</v>
      </c>
      <c r="I915" s="50">
        <v>91720.0</v>
      </c>
    </row>
    <row r="916">
      <c r="A916" s="75">
        <v>7912.0</v>
      </c>
      <c r="B916" s="70">
        <v>8510.0</v>
      </c>
      <c r="C916" s="74">
        <v>7244.0</v>
      </c>
      <c r="D916" s="66" t="s">
        <v>3698</v>
      </c>
      <c r="E916" s="66">
        <v>1.0</v>
      </c>
      <c r="F916" s="66">
        <v>79.0</v>
      </c>
      <c r="G916" s="66">
        <v>3.0</v>
      </c>
      <c r="H916" s="66">
        <v>9.0</v>
      </c>
      <c r="I916" s="50">
        <v>71415.0</v>
      </c>
    </row>
    <row r="917">
      <c r="A917" s="75">
        <v>7913.0</v>
      </c>
      <c r="B917" s="70">
        <v>8.0</v>
      </c>
      <c r="C917" s="74">
        <v>1922.0</v>
      </c>
      <c r="D917" s="66" t="s">
        <v>3699</v>
      </c>
      <c r="E917" s="66">
        <v>3.0</v>
      </c>
      <c r="F917" s="66">
        <v>58.0</v>
      </c>
      <c r="G917" s="66">
        <v>9.0</v>
      </c>
      <c r="H917" s="66">
        <v>2.0</v>
      </c>
      <c r="I917" s="50">
        <v>30714.0</v>
      </c>
    </row>
    <row r="918">
      <c r="A918" s="75">
        <v>7914.0</v>
      </c>
      <c r="B918" s="70">
        <v>6343.0</v>
      </c>
      <c r="C918" s="74">
        <v>9107.0</v>
      </c>
      <c r="D918" s="66" t="s">
        <v>3700</v>
      </c>
      <c r="E918" s="66">
        <v>2.0</v>
      </c>
      <c r="F918" s="66">
        <v>38.0</v>
      </c>
      <c r="G918" s="66">
        <v>4.0</v>
      </c>
      <c r="H918" s="66">
        <v>5.0</v>
      </c>
      <c r="I918" s="50">
        <v>71416.0</v>
      </c>
    </row>
    <row r="919">
      <c r="A919" s="58">
        <v>7915.0</v>
      </c>
      <c r="B919" s="70">
        <v>2904.0</v>
      </c>
      <c r="C919" s="74">
        <v>2350.0</v>
      </c>
      <c r="D919" s="66" t="s">
        <v>3701</v>
      </c>
      <c r="E919" s="66">
        <v>4.0</v>
      </c>
      <c r="F919" s="66">
        <v>38.0</v>
      </c>
      <c r="G919" s="66">
        <v>4.0</v>
      </c>
      <c r="H919" s="66">
        <v>6.0</v>
      </c>
      <c r="I919" s="50">
        <v>91315.0</v>
      </c>
    </row>
    <row r="920">
      <c r="A920" s="75">
        <v>7916.0</v>
      </c>
      <c r="B920" s="70">
        <v>5777.0</v>
      </c>
      <c r="C920" s="74">
        <v>2184.0</v>
      </c>
      <c r="D920" s="66" t="s">
        <v>3702</v>
      </c>
      <c r="E920" s="66">
        <v>1.0</v>
      </c>
      <c r="F920" s="66">
        <v>79.0</v>
      </c>
      <c r="G920" s="66">
        <v>4.0</v>
      </c>
      <c r="H920" s="66">
        <v>3.0</v>
      </c>
      <c r="I920" s="50">
        <v>112022.0</v>
      </c>
    </row>
    <row r="921">
      <c r="A921" s="75">
        <v>7917.0</v>
      </c>
      <c r="B921" s="70">
        <v>6985.0</v>
      </c>
      <c r="C921" s="74">
        <v>3132.0</v>
      </c>
      <c r="D921" s="66" t="s">
        <v>3703</v>
      </c>
      <c r="E921" s="66">
        <v>3.0</v>
      </c>
      <c r="F921" s="66">
        <v>38.0</v>
      </c>
      <c r="G921" s="66">
        <v>4.0</v>
      </c>
      <c r="H921" s="66">
        <v>8.0</v>
      </c>
      <c r="I921" s="50">
        <v>122221.0</v>
      </c>
    </row>
    <row r="922">
      <c r="A922" s="75">
        <v>7918.0</v>
      </c>
      <c r="B922" s="70">
        <v>2750.0</v>
      </c>
      <c r="C922" s="74">
        <v>4158.0</v>
      </c>
      <c r="D922" s="66" t="s">
        <v>3704</v>
      </c>
      <c r="E922" s="66">
        <v>1.0</v>
      </c>
      <c r="F922" s="66">
        <v>38.0</v>
      </c>
      <c r="G922" s="66">
        <v>5.0</v>
      </c>
      <c r="H922" s="66">
        <v>2.0</v>
      </c>
      <c r="I922" s="50">
        <v>62717.0</v>
      </c>
    </row>
    <row r="923">
      <c r="A923" s="75">
        <v>7919.0</v>
      </c>
      <c r="B923" s="70">
        <v>1095.0</v>
      </c>
      <c r="C923" s="74">
        <v>2236.0</v>
      </c>
      <c r="D923" s="66" t="s">
        <v>3705</v>
      </c>
      <c r="E923" s="66">
        <v>2.0</v>
      </c>
      <c r="F923" s="66">
        <v>79.0</v>
      </c>
      <c r="G923" s="66">
        <v>5.0</v>
      </c>
      <c r="H923" s="66">
        <v>1.0</v>
      </c>
      <c r="I923" s="50">
        <v>61713.0</v>
      </c>
    </row>
    <row r="924">
      <c r="A924" s="58">
        <v>7920.0</v>
      </c>
      <c r="B924" s="70">
        <v>3721.0</v>
      </c>
      <c r="C924" s="74">
        <v>2108.0</v>
      </c>
      <c r="D924" s="66" t="s">
        <v>3706</v>
      </c>
      <c r="E924" s="66">
        <v>1.0</v>
      </c>
      <c r="F924" s="66">
        <v>38.0</v>
      </c>
      <c r="G924" s="66">
        <v>5.0</v>
      </c>
      <c r="H924" s="66">
        <v>6.0</v>
      </c>
      <c r="I924" s="50">
        <v>41118.0</v>
      </c>
    </row>
    <row r="925">
      <c r="A925" s="75">
        <v>7921.0</v>
      </c>
      <c r="B925" s="70">
        <v>4517.0</v>
      </c>
      <c r="C925" s="74">
        <v>3859.0</v>
      </c>
      <c r="D925" s="66" t="s">
        <v>3707</v>
      </c>
      <c r="E925" s="66">
        <v>4.0</v>
      </c>
      <c r="F925" s="66">
        <v>38.0</v>
      </c>
      <c r="G925" s="66">
        <v>5.0</v>
      </c>
      <c r="H925" s="66">
        <v>8.0</v>
      </c>
      <c r="I925" s="50">
        <v>52917.0</v>
      </c>
    </row>
    <row r="926">
      <c r="A926" s="75">
        <v>7922.0</v>
      </c>
      <c r="B926" s="70">
        <v>2373.0</v>
      </c>
      <c r="C926" s="74">
        <v>2789.0</v>
      </c>
      <c r="D926" s="66" t="s">
        <v>3708</v>
      </c>
      <c r="E926" s="66">
        <v>3.0</v>
      </c>
      <c r="F926" s="66">
        <v>38.0</v>
      </c>
      <c r="G926" s="66">
        <v>6.0</v>
      </c>
      <c r="H926" s="66">
        <v>3.0</v>
      </c>
      <c r="I926" s="50">
        <v>70320.0</v>
      </c>
    </row>
    <row r="927">
      <c r="A927" s="75">
        <v>7923.0</v>
      </c>
      <c r="B927" s="70">
        <v>8036.0</v>
      </c>
      <c r="C927" s="74">
        <v>7098.0</v>
      </c>
      <c r="D927" s="66" t="s">
        <v>3709</v>
      </c>
      <c r="E927" s="66">
        <v>1.0</v>
      </c>
      <c r="F927" s="66">
        <v>18.0</v>
      </c>
      <c r="G927" s="66">
        <v>1.0</v>
      </c>
      <c r="H927" s="66">
        <v>6.0</v>
      </c>
      <c r="I927" s="50">
        <v>82822.0</v>
      </c>
    </row>
    <row r="928">
      <c r="A928" s="75">
        <v>7924.0</v>
      </c>
      <c r="B928" s="70">
        <v>6097.0</v>
      </c>
      <c r="C928" s="74">
        <v>7732.0</v>
      </c>
      <c r="D928" s="66" t="s">
        <v>3710</v>
      </c>
      <c r="E928" s="66">
        <v>1.0</v>
      </c>
      <c r="F928" s="66">
        <v>59.0</v>
      </c>
      <c r="G928" s="66">
        <v>1.0</v>
      </c>
      <c r="H928" s="66">
        <v>2.0</v>
      </c>
      <c r="I928" s="50">
        <v>82121.0</v>
      </c>
    </row>
    <row r="929">
      <c r="A929" s="58">
        <v>7925.0</v>
      </c>
      <c r="B929" s="70">
        <v>4321.0</v>
      </c>
      <c r="C929" s="74">
        <v>7041.0</v>
      </c>
      <c r="D929" s="66" t="s">
        <v>3711</v>
      </c>
      <c r="E929" s="66">
        <v>1.0</v>
      </c>
      <c r="F929" s="66">
        <v>59.0</v>
      </c>
      <c r="G929" s="66">
        <v>1.0</v>
      </c>
      <c r="H929" s="66">
        <v>1.0</v>
      </c>
      <c r="I929" s="50">
        <v>122621.0</v>
      </c>
    </row>
    <row r="930">
      <c r="A930" s="75">
        <v>7926.0</v>
      </c>
      <c r="B930" s="70">
        <v>4928.0</v>
      </c>
      <c r="C930" s="74">
        <v>2121.0</v>
      </c>
      <c r="D930" s="66" t="s">
        <v>3712</v>
      </c>
      <c r="E930" s="66">
        <v>1.0</v>
      </c>
      <c r="F930" s="66">
        <v>38.0</v>
      </c>
      <c r="G930" s="66">
        <v>6.0</v>
      </c>
      <c r="H930" s="66">
        <v>7.0</v>
      </c>
      <c r="I930" s="50">
        <v>41713.0</v>
      </c>
    </row>
    <row r="931">
      <c r="A931" s="75">
        <v>7927.0</v>
      </c>
      <c r="B931" s="70">
        <v>5100.0</v>
      </c>
      <c r="C931" s="74">
        <v>658.0</v>
      </c>
      <c r="D931" s="66" t="s">
        <v>3713</v>
      </c>
      <c r="E931" s="66">
        <v>2.0</v>
      </c>
      <c r="F931" s="66">
        <v>52.0</v>
      </c>
      <c r="G931" s="66">
        <v>4.0</v>
      </c>
      <c r="H931" s="66">
        <v>6.0</v>
      </c>
      <c r="I931" s="50">
        <v>31917.0</v>
      </c>
    </row>
    <row r="932">
      <c r="A932" s="75">
        <v>7928.0</v>
      </c>
      <c r="B932" s="70">
        <v>9689.0</v>
      </c>
      <c r="C932" s="74">
        <v>4368.0</v>
      </c>
      <c r="D932" s="66" t="s">
        <v>3714</v>
      </c>
      <c r="E932" s="66">
        <v>4.0</v>
      </c>
      <c r="F932" s="66">
        <v>18.0</v>
      </c>
      <c r="G932" s="66">
        <v>2.0</v>
      </c>
      <c r="H932" s="66">
        <v>2.0</v>
      </c>
      <c r="I932" s="50">
        <v>102218.0</v>
      </c>
    </row>
    <row r="933">
      <c r="A933" s="75">
        <v>7929.0</v>
      </c>
      <c r="B933" s="70">
        <v>7651.0</v>
      </c>
      <c r="C933" s="74">
        <v>1508.0</v>
      </c>
      <c r="D933" s="66" t="s">
        <v>3715</v>
      </c>
      <c r="E933" s="66">
        <v>2.0</v>
      </c>
      <c r="F933" s="66">
        <v>18.0</v>
      </c>
      <c r="G933" s="66">
        <v>2.0</v>
      </c>
      <c r="H933" s="66">
        <v>4.0</v>
      </c>
      <c r="I933" s="50">
        <v>122315.0</v>
      </c>
    </row>
    <row r="934">
      <c r="A934" s="58">
        <v>7930.0</v>
      </c>
      <c r="B934" s="70">
        <v>2476.0</v>
      </c>
      <c r="C934" s="74">
        <v>649.0</v>
      </c>
      <c r="D934" s="66" t="s">
        <v>3716</v>
      </c>
      <c r="E934" s="66">
        <v>3.0</v>
      </c>
      <c r="F934" s="66">
        <v>18.0</v>
      </c>
      <c r="G934" s="66">
        <v>2.0</v>
      </c>
      <c r="H934" s="66">
        <v>5.0</v>
      </c>
      <c r="I934" s="50">
        <v>120814.0</v>
      </c>
    </row>
    <row r="935">
      <c r="A935" s="75">
        <v>7931.0</v>
      </c>
      <c r="B935" s="70">
        <v>663.0</v>
      </c>
      <c r="C935" s="74">
        <v>2599.0</v>
      </c>
      <c r="D935" s="66" t="s">
        <v>3717</v>
      </c>
      <c r="E935" s="66">
        <v>3.0</v>
      </c>
      <c r="F935" s="66">
        <v>79.0</v>
      </c>
      <c r="G935" s="66">
        <v>6.0</v>
      </c>
      <c r="H935" s="66">
        <v>8.0</v>
      </c>
      <c r="I935" s="50">
        <v>20817.0</v>
      </c>
    </row>
    <row r="936">
      <c r="A936" s="75">
        <v>7932.0</v>
      </c>
      <c r="B936" s="70">
        <v>5275.0</v>
      </c>
      <c r="C936" s="74">
        <v>2592.0</v>
      </c>
      <c r="D936" s="66" t="s">
        <v>3718</v>
      </c>
      <c r="E936" s="66">
        <v>2.0</v>
      </c>
      <c r="F936" s="66">
        <v>38.0</v>
      </c>
      <c r="G936" s="66">
        <v>7.0</v>
      </c>
      <c r="H936" s="66">
        <v>8.0</v>
      </c>
      <c r="I936" s="50">
        <v>31315.0</v>
      </c>
    </row>
    <row r="937">
      <c r="A937" s="75">
        <v>7933.0</v>
      </c>
      <c r="B937" s="70">
        <v>3518.0</v>
      </c>
      <c r="C937" s="74">
        <v>570.0</v>
      </c>
      <c r="D937" s="66" t="s">
        <v>3719</v>
      </c>
      <c r="E937" s="66">
        <v>1.0</v>
      </c>
      <c r="F937" s="66">
        <v>18.0</v>
      </c>
      <c r="G937" s="66">
        <v>3.0</v>
      </c>
      <c r="H937" s="66">
        <v>1.0</v>
      </c>
      <c r="I937" s="50">
        <v>111014.0</v>
      </c>
    </row>
    <row r="938">
      <c r="A938" s="75">
        <v>7934.0</v>
      </c>
      <c r="B938" s="70">
        <v>2168.0</v>
      </c>
      <c r="C938" s="74">
        <v>2468.0</v>
      </c>
      <c r="D938" s="66" t="s">
        <v>3720</v>
      </c>
      <c r="E938" s="66">
        <v>2.0</v>
      </c>
      <c r="F938" s="66">
        <v>79.0</v>
      </c>
      <c r="G938" s="66">
        <v>7.0</v>
      </c>
      <c r="H938" s="66">
        <v>4.0</v>
      </c>
      <c r="I938" s="50">
        <v>32017.0</v>
      </c>
    </row>
    <row r="939">
      <c r="A939" s="58">
        <v>7935.0</v>
      </c>
      <c r="B939" s="70">
        <v>8517.0</v>
      </c>
      <c r="C939" s="74">
        <v>2089.0</v>
      </c>
      <c r="D939" s="66" t="s">
        <v>3721</v>
      </c>
      <c r="E939" s="66">
        <v>3.0</v>
      </c>
      <c r="F939" s="66">
        <v>18.0</v>
      </c>
      <c r="G939" s="66">
        <v>3.0</v>
      </c>
      <c r="H939" s="66">
        <v>3.0</v>
      </c>
      <c r="I939" s="50">
        <v>121520.0</v>
      </c>
    </row>
    <row r="940">
      <c r="A940" s="75">
        <v>7936.0</v>
      </c>
      <c r="B940" s="70">
        <v>9491.0</v>
      </c>
      <c r="C940" s="74">
        <v>7801.0</v>
      </c>
      <c r="D940" s="66" t="s">
        <v>3722</v>
      </c>
      <c r="E940" s="66">
        <v>4.0</v>
      </c>
      <c r="F940" s="66">
        <v>59.0</v>
      </c>
      <c r="G940" s="66">
        <v>3.0</v>
      </c>
      <c r="H940" s="66">
        <v>1.0</v>
      </c>
      <c r="I940" s="50">
        <v>121013.0</v>
      </c>
    </row>
    <row r="941">
      <c r="A941" s="75">
        <v>7937.0</v>
      </c>
      <c r="B941" s="70">
        <v>6118.0</v>
      </c>
      <c r="C941" s="74">
        <v>4085.0</v>
      </c>
      <c r="D941" s="66" t="s">
        <v>3723</v>
      </c>
      <c r="E941" s="66">
        <v>3.0</v>
      </c>
      <c r="F941" s="66">
        <v>59.0</v>
      </c>
      <c r="G941" s="66">
        <v>3.0</v>
      </c>
      <c r="H941" s="66">
        <v>4.0</v>
      </c>
      <c r="I941" s="50">
        <v>12013.0</v>
      </c>
    </row>
    <row r="942">
      <c r="A942" s="75">
        <v>7938.0</v>
      </c>
      <c r="B942" s="70">
        <v>1517.0</v>
      </c>
      <c r="C942" s="74">
        <v>7583.0</v>
      </c>
      <c r="D942" s="66" t="s">
        <v>3724</v>
      </c>
      <c r="E942" s="66">
        <v>3.0</v>
      </c>
      <c r="F942" s="66">
        <v>79.0</v>
      </c>
      <c r="G942" s="66">
        <v>8.0</v>
      </c>
      <c r="H942" s="66">
        <v>3.0</v>
      </c>
      <c r="I942" s="50">
        <v>71217.0</v>
      </c>
    </row>
    <row r="943">
      <c r="A943" s="75">
        <v>7939.0</v>
      </c>
      <c r="B943" s="70">
        <v>5340.0</v>
      </c>
      <c r="C943" s="74">
        <v>7521.0</v>
      </c>
      <c r="D943" s="66" t="s">
        <v>3725</v>
      </c>
      <c r="E943" s="66">
        <v>4.0</v>
      </c>
      <c r="F943" s="66">
        <v>18.0</v>
      </c>
      <c r="G943" s="66">
        <v>3.0</v>
      </c>
      <c r="H943" s="66">
        <v>9.0</v>
      </c>
      <c r="I943" s="50">
        <v>110516.0</v>
      </c>
    </row>
    <row r="944">
      <c r="A944" s="58">
        <v>7940.0</v>
      </c>
      <c r="B944" s="70">
        <v>4114.0</v>
      </c>
      <c r="C944" s="74">
        <v>1460.0</v>
      </c>
      <c r="D944" s="66" t="s">
        <v>3726</v>
      </c>
      <c r="E944" s="66">
        <v>1.0</v>
      </c>
      <c r="F944" s="66">
        <v>59.0</v>
      </c>
      <c r="G944" s="66">
        <v>3.0</v>
      </c>
      <c r="H944" s="66">
        <v>5.0</v>
      </c>
      <c r="I944" s="50">
        <v>110922.0</v>
      </c>
    </row>
    <row r="945">
      <c r="A945" s="75">
        <v>7941.0</v>
      </c>
      <c r="B945" s="70">
        <v>9999.0</v>
      </c>
      <c r="C945" s="74">
        <v>7248.0</v>
      </c>
      <c r="D945" s="66" t="s">
        <v>3727</v>
      </c>
      <c r="E945" s="66">
        <v>3.0</v>
      </c>
      <c r="F945" s="66">
        <v>18.0</v>
      </c>
      <c r="G945" s="66">
        <v>4.0</v>
      </c>
      <c r="H945" s="66">
        <v>1.0</v>
      </c>
      <c r="I945" s="50">
        <v>20819.0</v>
      </c>
    </row>
    <row r="946">
      <c r="A946" s="75">
        <v>7942.0</v>
      </c>
      <c r="B946" s="70">
        <v>7828.0</v>
      </c>
      <c r="C946" s="74">
        <v>4061.0</v>
      </c>
      <c r="D946" s="66" t="s">
        <v>3728</v>
      </c>
      <c r="E946" s="66">
        <v>3.0</v>
      </c>
      <c r="F946" s="66">
        <v>59.0</v>
      </c>
      <c r="G946" s="66">
        <v>3.0</v>
      </c>
      <c r="H946" s="66">
        <v>9.0</v>
      </c>
      <c r="I946" s="50">
        <v>62213.0</v>
      </c>
    </row>
    <row r="947">
      <c r="A947" s="75">
        <v>7943.0</v>
      </c>
      <c r="B947" s="70">
        <v>6569.0</v>
      </c>
      <c r="C947" s="74">
        <v>2727.0</v>
      </c>
      <c r="D947" s="66" t="s">
        <v>3729</v>
      </c>
      <c r="E947" s="66">
        <v>2.0</v>
      </c>
      <c r="F947" s="66">
        <v>79.0</v>
      </c>
      <c r="G947" s="66">
        <v>9.0</v>
      </c>
      <c r="H947" s="66">
        <v>3.0</v>
      </c>
      <c r="I947" s="50">
        <v>22920.0</v>
      </c>
    </row>
    <row r="948">
      <c r="A948" s="75">
        <v>7944.0</v>
      </c>
      <c r="B948" s="70">
        <v>7680.0</v>
      </c>
      <c r="C948" s="74">
        <v>6339.0</v>
      </c>
      <c r="D948" s="66" t="s">
        <v>3730</v>
      </c>
      <c r="E948" s="66">
        <v>1.0</v>
      </c>
      <c r="F948" s="66">
        <v>38.0</v>
      </c>
      <c r="G948" s="66">
        <v>9.0</v>
      </c>
      <c r="H948" s="66">
        <v>8.0</v>
      </c>
      <c r="I948" s="50">
        <v>110918.0</v>
      </c>
    </row>
    <row r="949">
      <c r="A949" s="58">
        <v>7945.0</v>
      </c>
      <c r="B949" s="70">
        <v>4854.0</v>
      </c>
      <c r="C949" s="74">
        <v>9143.0</v>
      </c>
      <c r="D949" s="66" t="s">
        <v>3731</v>
      </c>
      <c r="E949" s="66">
        <v>3.0</v>
      </c>
      <c r="F949" s="66">
        <v>18.0</v>
      </c>
      <c r="G949" s="66">
        <v>5.0</v>
      </c>
      <c r="H949" s="66">
        <v>2.0</v>
      </c>
      <c r="I949" s="50">
        <v>101022.0</v>
      </c>
    </row>
    <row r="950">
      <c r="A950" s="75">
        <v>7946.0</v>
      </c>
      <c r="B950" s="70">
        <v>2862.0</v>
      </c>
      <c r="C950" s="74">
        <v>3065.0</v>
      </c>
      <c r="D950" s="66" t="s">
        <v>3732</v>
      </c>
      <c r="E950" s="66">
        <v>2.0</v>
      </c>
      <c r="F950" s="66">
        <v>79.0</v>
      </c>
      <c r="G950" s="66">
        <v>9.0</v>
      </c>
      <c r="H950" s="66">
        <v>6.0</v>
      </c>
      <c r="I950" s="50">
        <v>60218.0</v>
      </c>
    </row>
    <row r="951">
      <c r="A951" s="75">
        <v>7947.0</v>
      </c>
      <c r="B951" s="70">
        <v>4930.0</v>
      </c>
      <c r="C951" s="74">
        <v>1229.0</v>
      </c>
      <c r="D951" s="66" t="s">
        <v>3733</v>
      </c>
      <c r="E951" s="66">
        <v>2.0</v>
      </c>
      <c r="F951" s="66">
        <v>18.0</v>
      </c>
      <c r="G951" s="66">
        <v>5.0</v>
      </c>
      <c r="H951" s="66">
        <v>3.0</v>
      </c>
      <c r="I951" s="50">
        <v>42419.0</v>
      </c>
    </row>
    <row r="952">
      <c r="A952" s="75">
        <v>7948.0</v>
      </c>
      <c r="B952" s="70">
        <v>5302.0</v>
      </c>
      <c r="C952" s="74">
        <v>7070.0</v>
      </c>
      <c r="D952" s="66" t="s">
        <v>3734</v>
      </c>
      <c r="E952" s="66">
        <v>2.0</v>
      </c>
      <c r="F952" s="66">
        <v>18.0</v>
      </c>
      <c r="G952" s="66">
        <v>5.0</v>
      </c>
      <c r="H952" s="66">
        <v>5.0</v>
      </c>
      <c r="I952" s="50">
        <v>51822.0</v>
      </c>
    </row>
    <row r="953">
      <c r="A953" s="75">
        <v>7949.0</v>
      </c>
      <c r="B953" s="70">
        <v>4531.0</v>
      </c>
      <c r="C953" s="74">
        <v>4731.0</v>
      </c>
      <c r="D953" s="66" t="s">
        <v>3735</v>
      </c>
      <c r="E953" s="66">
        <v>3.0</v>
      </c>
      <c r="F953" s="66">
        <v>18.0</v>
      </c>
      <c r="G953" s="66">
        <v>5.0</v>
      </c>
      <c r="H953" s="66">
        <v>8.0</v>
      </c>
      <c r="I953" s="50">
        <v>72217.0</v>
      </c>
    </row>
    <row r="954">
      <c r="A954" s="58">
        <v>7950.0</v>
      </c>
      <c r="B954" s="70">
        <v>7908.0</v>
      </c>
      <c r="C954" s="74">
        <v>5498.0</v>
      </c>
      <c r="D954" s="66" t="s">
        <v>3736</v>
      </c>
      <c r="E954" s="66">
        <v>3.0</v>
      </c>
      <c r="F954" s="66">
        <v>39.0</v>
      </c>
      <c r="G954" s="66">
        <v>1.0</v>
      </c>
      <c r="H954" s="66">
        <v>6.0</v>
      </c>
      <c r="I954" s="50">
        <v>62021.0</v>
      </c>
    </row>
    <row r="955">
      <c r="A955" s="75">
        <v>7951.0</v>
      </c>
      <c r="B955" s="70">
        <v>4203.0</v>
      </c>
      <c r="C955" s="74">
        <v>2375.0</v>
      </c>
      <c r="D955" s="66" t="s">
        <v>3737</v>
      </c>
      <c r="E955" s="66">
        <v>1.0</v>
      </c>
      <c r="F955" s="66">
        <v>59.0</v>
      </c>
      <c r="G955" s="66">
        <v>6.0</v>
      </c>
      <c r="H955" s="66">
        <v>5.0</v>
      </c>
      <c r="I955" s="50">
        <v>11321.0</v>
      </c>
    </row>
    <row r="956">
      <c r="A956" s="75">
        <v>7952.0</v>
      </c>
      <c r="B956" s="70">
        <v>3727.0</v>
      </c>
      <c r="C956" s="74">
        <v>6614.0</v>
      </c>
      <c r="D956" s="66" t="s">
        <v>3738</v>
      </c>
      <c r="E956" s="66">
        <v>2.0</v>
      </c>
      <c r="F956" s="66">
        <v>39.0</v>
      </c>
      <c r="G956" s="66">
        <v>1.0</v>
      </c>
      <c r="H956" s="66">
        <v>8.0</v>
      </c>
      <c r="I956" s="50">
        <v>42117.0</v>
      </c>
    </row>
    <row r="957">
      <c r="A957" s="75">
        <v>7953.0</v>
      </c>
      <c r="B957" s="70">
        <v>5497.0</v>
      </c>
      <c r="C957" s="74">
        <v>1008.0</v>
      </c>
      <c r="D957" s="66" t="s">
        <v>3739</v>
      </c>
      <c r="E957" s="66">
        <v>3.0</v>
      </c>
      <c r="F957" s="66">
        <v>59.0</v>
      </c>
      <c r="G957" s="66">
        <v>6.0</v>
      </c>
      <c r="H957" s="66">
        <v>4.0</v>
      </c>
      <c r="I957" s="50">
        <v>100616.0</v>
      </c>
    </row>
    <row r="958">
      <c r="A958" s="75">
        <v>7954.0</v>
      </c>
      <c r="B958" s="70">
        <v>8950.0</v>
      </c>
      <c r="C958" s="74">
        <v>1782.0</v>
      </c>
      <c r="D958" s="66" t="s">
        <v>3740</v>
      </c>
      <c r="E958" s="66">
        <v>1.0</v>
      </c>
      <c r="F958" s="66">
        <v>18.0</v>
      </c>
      <c r="G958" s="66">
        <v>6.0</v>
      </c>
      <c r="H958" s="66">
        <v>8.0</v>
      </c>
      <c r="I958" s="50">
        <v>112114.0</v>
      </c>
    </row>
    <row r="959">
      <c r="A959" s="58">
        <v>7955.0</v>
      </c>
      <c r="B959" s="70">
        <v>3687.0</v>
      </c>
      <c r="C959" s="74">
        <v>6479.0</v>
      </c>
      <c r="D959" s="66" t="s">
        <v>3741</v>
      </c>
      <c r="E959" s="66">
        <v>1.0</v>
      </c>
      <c r="F959" s="66">
        <v>39.0</v>
      </c>
      <c r="G959" s="66">
        <v>2.0</v>
      </c>
      <c r="H959" s="66">
        <v>1.0</v>
      </c>
      <c r="I959" s="50">
        <v>90322.0</v>
      </c>
    </row>
    <row r="960">
      <c r="A960" s="75">
        <v>7956.0</v>
      </c>
      <c r="B960" s="70">
        <v>171.0</v>
      </c>
      <c r="C960" s="74">
        <v>7314.0</v>
      </c>
      <c r="D960" s="66" t="s">
        <v>3742</v>
      </c>
      <c r="E960" s="66">
        <v>1.0</v>
      </c>
      <c r="F960" s="66">
        <v>39.0</v>
      </c>
      <c r="G960" s="66">
        <v>2.0</v>
      </c>
      <c r="H960" s="66">
        <v>3.0</v>
      </c>
      <c r="I960" s="50">
        <v>51417.0</v>
      </c>
    </row>
    <row r="961">
      <c r="A961" s="75">
        <v>7957.0</v>
      </c>
      <c r="B961" s="70">
        <v>8968.0</v>
      </c>
      <c r="C961" s="74">
        <v>436.0</v>
      </c>
      <c r="D961" s="66" t="s">
        <v>3743</v>
      </c>
      <c r="E961" s="66">
        <v>3.0</v>
      </c>
      <c r="F961" s="66">
        <v>39.0</v>
      </c>
      <c r="G961" s="66">
        <v>2.0</v>
      </c>
      <c r="H961" s="66">
        <v>6.0</v>
      </c>
      <c r="I961" s="50">
        <v>80218.0</v>
      </c>
    </row>
    <row r="962">
      <c r="A962" s="75">
        <v>7958.0</v>
      </c>
      <c r="B962" s="70">
        <v>7867.0</v>
      </c>
      <c r="C962" s="74">
        <v>8268.0</v>
      </c>
      <c r="D962" s="66" t="s">
        <v>3744</v>
      </c>
      <c r="E962" s="66">
        <v>2.0</v>
      </c>
      <c r="F962" s="66">
        <v>18.0</v>
      </c>
      <c r="G962" s="66">
        <v>7.0</v>
      </c>
      <c r="H962" s="66">
        <v>8.0</v>
      </c>
      <c r="I962" s="50">
        <v>22517.0</v>
      </c>
    </row>
    <row r="963">
      <c r="A963" s="75">
        <v>7959.0</v>
      </c>
      <c r="B963" s="70">
        <v>8474.0</v>
      </c>
      <c r="C963" s="74">
        <v>8802.0</v>
      </c>
      <c r="D963" s="66" t="s">
        <v>3745</v>
      </c>
      <c r="E963" s="66">
        <v>4.0</v>
      </c>
      <c r="F963" s="66">
        <v>39.0</v>
      </c>
      <c r="G963" s="66">
        <v>3.0</v>
      </c>
      <c r="H963" s="66">
        <v>4.0</v>
      </c>
      <c r="I963" s="50">
        <v>110721.0</v>
      </c>
    </row>
    <row r="964">
      <c r="A964" s="58">
        <v>7960.0</v>
      </c>
      <c r="B964" s="70">
        <v>7236.0</v>
      </c>
      <c r="C964" s="74">
        <v>1690.0</v>
      </c>
      <c r="D964" s="66" t="s">
        <v>3746</v>
      </c>
      <c r="E964" s="66">
        <v>1.0</v>
      </c>
      <c r="F964" s="66">
        <v>39.0</v>
      </c>
      <c r="G964" s="66">
        <v>3.0</v>
      </c>
      <c r="H964" s="66">
        <v>5.0</v>
      </c>
      <c r="I964" s="50">
        <v>71616.0</v>
      </c>
    </row>
    <row r="965">
      <c r="A965" s="75">
        <v>7961.0</v>
      </c>
      <c r="B965" s="70">
        <v>8467.0</v>
      </c>
      <c r="C965" s="74">
        <v>8588.0</v>
      </c>
      <c r="D965" s="66" t="s">
        <v>3747</v>
      </c>
      <c r="E965" s="66">
        <v>4.0</v>
      </c>
      <c r="F965" s="66">
        <v>59.0</v>
      </c>
      <c r="G965" s="66">
        <v>8.0</v>
      </c>
      <c r="H965" s="66">
        <v>4.0</v>
      </c>
      <c r="I965" s="50">
        <v>92120.0</v>
      </c>
    </row>
    <row r="966">
      <c r="A966" s="75">
        <v>7962.0</v>
      </c>
      <c r="B966" s="70">
        <v>892.0</v>
      </c>
      <c r="C966" s="74">
        <v>9288.0</v>
      </c>
      <c r="D966" s="66" t="s">
        <v>3748</v>
      </c>
      <c r="E966" s="66">
        <v>1.0</v>
      </c>
      <c r="F966" s="66">
        <v>59.0</v>
      </c>
      <c r="G966" s="66">
        <v>9.0</v>
      </c>
      <c r="H966" s="66">
        <v>1.0</v>
      </c>
      <c r="I966" s="50">
        <v>41414.0</v>
      </c>
    </row>
    <row r="967">
      <c r="A967" s="75">
        <v>7963.0</v>
      </c>
      <c r="B967" s="70">
        <v>6644.0</v>
      </c>
      <c r="C967" s="74">
        <v>6211.0</v>
      </c>
      <c r="D967" s="66" t="s">
        <v>3749</v>
      </c>
      <c r="E967" s="66">
        <v>1.0</v>
      </c>
      <c r="F967" s="66">
        <v>59.0</v>
      </c>
      <c r="G967" s="66">
        <v>9.0</v>
      </c>
      <c r="H967" s="66">
        <v>2.0</v>
      </c>
      <c r="I967" s="50">
        <v>50921.0</v>
      </c>
    </row>
    <row r="968">
      <c r="A968" s="75">
        <v>7964.0</v>
      </c>
      <c r="B968" s="70">
        <v>4368.0</v>
      </c>
      <c r="C968" s="74">
        <v>498.0</v>
      </c>
      <c r="D968" s="66" t="s">
        <v>3750</v>
      </c>
      <c r="E968" s="66">
        <v>4.0</v>
      </c>
      <c r="F968" s="66">
        <v>59.0</v>
      </c>
      <c r="G968" s="66">
        <v>9.0</v>
      </c>
      <c r="H968" s="66">
        <v>4.0</v>
      </c>
      <c r="I968" s="50">
        <v>22221.0</v>
      </c>
    </row>
    <row r="969">
      <c r="A969" s="58">
        <v>7965.0</v>
      </c>
      <c r="B969" s="70">
        <v>2613.0</v>
      </c>
      <c r="C969" s="74">
        <v>6564.0</v>
      </c>
      <c r="D969" s="66" t="s">
        <v>3751</v>
      </c>
      <c r="E969" s="66">
        <v>3.0</v>
      </c>
      <c r="F969" s="66">
        <v>39.0</v>
      </c>
      <c r="G969" s="66">
        <v>5.0</v>
      </c>
      <c r="H969" s="66">
        <v>7.0</v>
      </c>
      <c r="I969" s="50">
        <v>40717.0</v>
      </c>
    </row>
    <row r="970">
      <c r="A970" s="75">
        <v>7966.0</v>
      </c>
      <c r="B970" s="70">
        <v>5809.0</v>
      </c>
      <c r="C970" s="74">
        <v>7667.0</v>
      </c>
      <c r="D970" s="66" t="s">
        <v>3752</v>
      </c>
      <c r="E970" s="66">
        <v>4.0</v>
      </c>
      <c r="F970" s="66">
        <v>19.0</v>
      </c>
      <c r="G970" s="66">
        <v>1.0</v>
      </c>
      <c r="H970" s="66">
        <v>7.0</v>
      </c>
      <c r="I970" s="50">
        <v>60820.0</v>
      </c>
    </row>
    <row r="971">
      <c r="A971" s="75">
        <v>7967.0</v>
      </c>
      <c r="B971" s="70">
        <v>1764.0</v>
      </c>
      <c r="C971" s="74">
        <v>2350.0</v>
      </c>
      <c r="D971" s="66" t="s">
        <v>3753</v>
      </c>
      <c r="E971" s="66">
        <v>2.0</v>
      </c>
      <c r="F971" s="66">
        <v>39.0</v>
      </c>
      <c r="G971" s="66">
        <v>6.0</v>
      </c>
      <c r="H971" s="66">
        <v>5.0</v>
      </c>
      <c r="I971" s="50">
        <v>30718.0</v>
      </c>
    </row>
    <row r="972">
      <c r="A972" s="75">
        <v>7968.0</v>
      </c>
      <c r="B972" s="70">
        <v>5190.0</v>
      </c>
      <c r="C972" s="74">
        <v>2950.0</v>
      </c>
      <c r="D972" s="66" t="s">
        <v>3754</v>
      </c>
      <c r="E972" s="66">
        <v>2.0</v>
      </c>
      <c r="F972" s="66">
        <v>39.0</v>
      </c>
      <c r="G972" s="66">
        <v>6.0</v>
      </c>
      <c r="H972" s="66">
        <v>7.0</v>
      </c>
      <c r="I972" s="50">
        <v>101716.0</v>
      </c>
    </row>
    <row r="973">
      <c r="A973" s="75">
        <v>7969.0</v>
      </c>
      <c r="B973" s="70">
        <v>1115.0</v>
      </c>
      <c r="C973" s="74">
        <v>9524.0</v>
      </c>
      <c r="D973" s="66" t="s">
        <v>3755</v>
      </c>
      <c r="E973" s="66">
        <v>4.0</v>
      </c>
      <c r="F973" s="66">
        <v>39.0</v>
      </c>
      <c r="G973" s="66">
        <v>7.0</v>
      </c>
      <c r="H973" s="66">
        <v>1.0</v>
      </c>
      <c r="I973" s="50">
        <v>63015.0</v>
      </c>
    </row>
    <row r="974">
      <c r="A974" s="58">
        <v>7970.0</v>
      </c>
      <c r="B974" s="70">
        <v>4675.0</v>
      </c>
      <c r="C974" s="74">
        <v>4148.0</v>
      </c>
      <c r="D974" s="66" t="s">
        <v>3756</v>
      </c>
      <c r="E974" s="66">
        <v>4.0</v>
      </c>
      <c r="F974" s="66">
        <v>19.0</v>
      </c>
      <c r="G974" s="66">
        <v>2.0</v>
      </c>
      <c r="H974" s="66">
        <v>3.0</v>
      </c>
      <c r="I974" s="50">
        <v>100313.0</v>
      </c>
    </row>
    <row r="975">
      <c r="A975" s="75">
        <v>7971.0</v>
      </c>
      <c r="B975" s="70">
        <v>93.0</v>
      </c>
      <c r="C975" s="74">
        <v>7330.0</v>
      </c>
      <c r="D975" s="66" t="s">
        <v>3757</v>
      </c>
      <c r="E975" s="66">
        <v>4.0</v>
      </c>
      <c r="F975" s="66">
        <v>36.0</v>
      </c>
      <c r="G975" s="66">
        <v>3.0</v>
      </c>
      <c r="H975" s="66">
        <v>9.0</v>
      </c>
      <c r="I975" s="50">
        <v>12222.0</v>
      </c>
    </row>
    <row r="976">
      <c r="A976" s="75">
        <v>7972.0</v>
      </c>
      <c r="B976" s="70">
        <v>1124.0</v>
      </c>
      <c r="C976" s="74">
        <v>1610.0</v>
      </c>
      <c r="D976" s="66" t="s">
        <v>3758</v>
      </c>
      <c r="E976" s="66">
        <v>4.0</v>
      </c>
      <c r="F976" s="66">
        <v>39.0</v>
      </c>
      <c r="G976" s="66">
        <v>7.0</v>
      </c>
      <c r="H976" s="66">
        <v>4.0</v>
      </c>
      <c r="I976" s="50">
        <v>112118.0</v>
      </c>
    </row>
    <row r="977">
      <c r="A977" s="75">
        <v>7973.0</v>
      </c>
      <c r="B977" s="70">
        <v>2387.0</v>
      </c>
      <c r="C977" s="74">
        <v>7898.0</v>
      </c>
      <c r="D977" s="66" t="s">
        <v>3759</v>
      </c>
      <c r="E977" s="66">
        <v>2.0</v>
      </c>
      <c r="F977" s="66">
        <v>39.0</v>
      </c>
      <c r="G977" s="66">
        <v>7.0</v>
      </c>
      <c r="H977" s="66">
        <v>9.0</v>
      </c>
      <c r="I977" s="50">
        <v>50613.0</v>
      </c>
    </row>
    <row r="978">
      <c r="A978" s="75">
        <v>7974.0</v>
      </c>
      <c r="B978" s="70">
        <v>138.0</v>
      </c>
      <c r="C978" s="74">
        <v>5170.0</v>
      </c>
      <c r="D978" s="66" t="s">
        <v>3760</v>
      </c>
      <c r="E978" s="66">
        <v>1.0</v>
      </c>
      <c r="F978" s="66">
        <v>19.0</v>
      </c>
      <c r="G978" s="66">
        <v>3.0</v>
      </c>
      <c r="H978" s="66">
        <v>4.0</v>
      </c>
      <c r="I978" s="50">
        <v>50120.0</v>
      </c>
    </row>
    <row r="979">
      <c r="A979" s="58">
        <v>7975.0</v>
      </c>
      <c r="B979" s="70">
        <v>1158.0</v>
      </c>
      <c r="C979" s="74">
        <v>7497.0</v>
      </c>
      <c r="D979" s="66" t="s">
        <v>3761</v>
      </c>
      <c r="E979" s="66">
        <v>4.0</v>
      </c>
      <c r="F979" s="66">
        <v>19.0</v>
      </c>
      <c r="G979" s="66">
        <v>3.0</v>
      </c>
      <c r="H979" s="66">
        <v>5.0</v>
      </c>
      <c r="I979" s="50">
        <v>92415.0</v>
      </c>
    </row>
    <row r="980">
      <c r="A980" s="75">
        <v>7976.0</v>
      </c>
      <c r="B980" s="70">
        <v>7440.0</v>
      </c>
      <c r="C980" s="74">
        <v>6129.0</v>
      </c>
      <c r="D980" s="66" t="s">
        <v>3762</v>
      </c>
      <c r="E980" s="66">
        <v>3.0</v>
      </c>
      <c r="F980" s="66">
        <v>19.0</v>
      </c>
      <c r="G980" s="66">
        <v>4.0</v>
      </c>
      <c r="H980" s="66">
        <v>1.0</v>
      </c>
      <c r="I980" s="50">
        <v>21213.0</v>
      </c>
    </row>
    <row r="981">
      <c r="A981" s="75">
        <v>7977.0</v>
      </c>
      <c r="B981" s="70">
        <v>8724.0</v>
      </c>
      <c r="C981" s="74">
        <v>5731.0</v>
      </c>
      <c r="D981" s="66" t="s">
        <v>3763</v>
      </c>
      <c r="E981" s="66">
        <v>2.0</v>
      </c>
      <c r="F981" s="66">
        <v>39.0</v>
      </c>
      <c r="G981" s="66">
        <v>9.0</v>
      </c>
      <c r="H981" s="66">
        <v>3.0</v>
      </c>
      <c r="I981" s="50">
        <v>111921.0</v>
      </c>
    </row>
    <row r="982">
      <c r="A982" s="75">
        <v>7978.0</v>
      </c>
      <c r="B982" s="70">
        <v>3670.0</v>
      </c>
      <c r="C982" s="74">
        <v>7585.0</v>
      </c>
      <c r="D982" s="66" t="s">
        <v>3764</v>
      </c>
      <c r="E982" s="66">
        <v>1.0</v>
      </c>
      <c r="F982" s="66">
        <v>19.0</v>
      </c>
      <c r="G982" s="66">
        <v>4.0</v>
      </c>
      <c r="H982" s="66">
        <v>7.0</v>
      </c>
      <c r="I982" s="50">
        <v>120315.0</v>
      </c>
    </row>
    <row r="983">
      <c r="A983" s="75">
        <v>7979.0</v>
      </c>
      <c r="B983" s="70">
        <v>5827.0</v>
      </c>
      <c r="C983" s="74">
        <v>4325.0</v>
      </c>
      <c r="D983" s="66" t="s">
        <v>3765</v>
      </c>
      <c r="E983" s="66">
        <v>1.0</v>
      </c>
      <c r="F983" s="66">
        <v>19.0</v>
      </c>
      <c r="G983" s="66">
        <v>6.0</v>
      </c>
      <c r="H983" s="66">
        <v>2.0</v>
      </c>
      <c r="I983" s="50">
        <v>70314.0</v>
      </c>
    </row>
    <row r="984">
      <c r="A984" s="58">
        <v>7980.0</v>
      </c>
      <c r="B984" s="70">
        <v>3361.0</v>
      </c>
      <c r="C984" s="74">
        <v>5023.0</v>
      </c>
      <c r="D984" s="66" t="s">
        <v>3766</v>
      </c>
      <c r="E984" s="66">
        <v>3.0</v>
      </c>
      <c r="F984" s="66">
        <v>19.0</v>
      </c>
      <c r="G984" s="66">
        <v>7.0</v>
      </c>
      <c r="H984" s="66">
        <v>1.0</v>
      </c>
      <c r="I984" s="50">
        <v>62319.0</v>
      </c>
    </row>
    <row r="985">
      <c r="A985" s="75">
        <v>7981.0</v>
      </c>
      <c r="B985" s="70">
        <v>90.0</v>
      </c>
      <c r="C985" s="74">
        <v>7741.0</v>
      </c>
      <c r="D985" s="66" t="s">
        <v>3767</v>
      </c>
      <c r="E985" s="66">
        <v>2.0</v>
      </c>
      <c r="F985" s="66">
        <v>81.0</v>
      </c>
      <c r="G985" s="66">
        <v>1.0</v>
      </c>
      <c r="H985" s="66">
        <v>8.0</v>
      </c>
      <c r="I985" s="50">
        <v>103018.0</v>
      </c>
    </row>
    <row r="986">
      <c r="A986" s="75">
        <v>7982.0</v>
      </c>
      <c r="B986" s="70">
        <v>9447.0</v>
      </c>
      <c r="C986" s="74">
        <v>7878.0</v>
      </c>
      <c r="D986" s="66" t="s">
        <v>3768</v>
      </c>
      <c r="E986" s="66">
        <v>1.0</v>
      </c>
      <c r="F986" s="66">
        <v>19.0</v>
      </c>
      <c r="G986" s="66">
        <v>7.0</v>
      </c>
      <c r="H986" s="66">
        <v>5.0</v>
      </c>
      <c r="I986" s="50">
        <v>122521.0</v>
      </c>
    </row>
    <row r="987">
      <c r="A987" s="75">
        <v>7983.0</v>
      </c>
      <c r="B987" s="70">
        <v>8652.0</v>
      </c>
      <c r="C987" s="74">
        <v>8247.0</v>
      </c>
      <c r="D987" s="66" t="s">
        <v>3769</v>
      </c>
      <c r="E987" s="66">
        <v>3.0</v>
      </c>
      <c r="F987" s="66">
        <v>81.0</v>
      </c>
      <c r="G987" s="66">
        <v>2.0</v>
      </c>
      <c r="H987" s="66">
        <v>1.0</v>
      </c>
      <c r="I987" s="50">
        <v>62220.0</v>
      </c>
    </row>
    <row r="988">
      <c r="A988" s="75">
        <v>7984.0</v>
      </c>
      <c r="B988" s="70">
        <v>9505.0</v>
      </c>
      <c r="C988" s="74">
        <v>8065.0</v>
      </c>
      <c r="D988" s="66" t="s">
        <v>3770</v>
      </c>
      <c r="E988" s="66">
        <v>3.0</v>
      </c>
      <c r="F988" s="66">
        <v>81.0</v>
      </c>
      <c r="G988" s="66">
        <v>2.0</v>
      </c>
      <c r="H988" s="66">
        <v>4.0</v>
      </c>
      <c r="I988" s="50">
        <v>40518.0</v>
      </c>
    </row>
    <row r="989">
      <c r="A989" s="58">
        <v>7985.0</v>
      </c>
      <c r="B989" s="70">
        <v>7501.0</v>
      </c>
      <c r="C989" s="74">
        <v>3287.0</v>
      </c>
      <c r="D989" s="66" t="s">
        <v>3771</v>
      </c>
      <c r="E989" s="66">
        <v>4.0</v>
      </c>
      <c r="F989" s="66">
        <v>81.0</v>
      </c>
      <c r="G989" s="66">
        <v>3.0</v>
      </c>
      <c r="H989" s="66">
        <v>1.0</v>
      </c>
      <c r="I989" s="50">
        <v>62316.0</v>
      </c>
    </row>
    <row r="990">
      <c r="A990" s="75">
        <v>7986.0</v>
      </c>
      <c r="B990" s="70">
        <v>4614.0</v>
      </c>
      <c r="C990" s="74">
        <v>6235.0</v>
      </c>
      <c r="D990" s="66" t="s">
        <v>3772</v>
      </c>
      <c r="E990" s="66">
        <v>1.0</v>
      </c>
      <c r="F990" s="66">
        <v>81.0</v>
      </c>
      <c r="G990" s="66">
        <v>3.0</v>
      </c>
      <c r="H990" s="66">
        <v>2.0</v>
      </c>
      <c r="I990" s="50">
        <v>121219.0</v>
      </c>
    </row>
    <row r="991">
      <c r="A991" s="75">
        <v>7987.0</v>
      </c>
      <c r="B991" s="70">
        <v>3917.0</v>
      </c>
      <c r="C991" s="74">
        <v>547.0</v>
      </c>
      <c r="D991" s="66" t="s">
        <v>3773</v>
      </c>
      <c r="E991" s="66">
        <v>1.0</v>
      </c>
      <c r="F991" s="66">
        <v>81.0</v>
      </c>
      <c r="G991" s="66">
        <v>3.0</v>
      </c>
      <c r="H991" s="66">
        <v>7.0</v>
      </c>
      <c r="I991" s="50">
        <v>40814.0</v>
      </c>
    </row>
    <row r="992">
      <c r="A992" s="75">
        <v>7988.0</v>
      </c>
      <c r="B992" s="70">
        <v>1838.0</v>
      </c>
      <c r="C992" s="74">
        <v>620.0</v>
      </c>
      <c r="D992" s="66" t="s">
        <v>3774</v>
      </c>
      <c r="E992" s="66">
        <v>1.0</v>
      </c>
      <c r="F992" s="66">
        <v>19.0</v>
      </c>
      <c r="G992" s="66">
        <v>9.0</v>
      </c>
      <c r="H992" s="66">
        <v>3.0</v>
      </c>
      <c r="I992" s="50">
        <v>72414.0</v>
      </c>
    </row>
    <row r="993">
      <c r="A993" s="75">
        <v>7989.0</v>
      </c>
      <c r="B993" s="70">
        <v>4589.0</v>
      </c>
      <c r="C993" s="74">
        <v>5146.0</v>
      </c>
      <c r="D993" s="66" t="s">
        <v>3775</v>
      </c>
      <c r="E993" s="66">
        <v>1.0</v>
      </c>
      <c r="F993" s="66">
        <v>19.0</v>
      </c>
      <c r="G993" s="66">
        <v>9.0</v>
      </c>
      <c r="H993" s="66">
        <v>7.0</v>
      </c>
      <c r="I993" s="50">
        <v>51517.0</v>
      </c>
    </row>
    <row r="994">
      <c r="A994" s="58">
        <v>7990.0</v>
      </c>
      <c r="B994" s="70">
        <v>5467.0</v>
      </c>
      <c r="C994" s="74">
        <v>2929.0</v>
      </c>
      <c r="D994" s="66" t="s">
        <v>3776</v>
      </c>
      <c r="E994" s="66">
        <v>3.0</v>
      </c>
      <c r="F994" s="66">
        <v>81.0</v>
      </c>
      <c r="G994" s="66">
        <v>5.0</v>
      </c>
      <c r="H994" s="66">
        <v>4.0</v>
      </c>
      <c r="I994" s="50">
        <v>81721.0</v>
      </c>
    </row>
    <row r="995">
      <c r="A995" s="75">
        <v>7991.0</v>
      </c>
      <c r="B995" s="70">
        <v>7568.0</v>
      </c>
      <c r="C995" s="74">
        <v>9425.0</v>
      </c>
      <c r="D995" s="66" t="s">
        <v>3777</v>
      </c>
      <c r="E995" s="66">
        <v>1.0</v>
      </c>
      <c r="F995" s="66">
        <v>61.0</v>
      </c>
      <c r="G995" s="66">
        <v>1.0</v>
      </c>
      <c r="H995" s="66">
        <v>7.0</v>
      </c>
      <c r="I995" s="50">
        <v>81913.0</v>
      </c>
    </row>
    <row r="996">
      <c r="A996" s="75">
        <v>7992.0</v>
      </c>
      <c r="B996" s="70">
        <v>6027.0</v>
      </c>
      <c r="C996" s="74">
        <v>1467.0</v>
      </c>
      <c r="D996" s="66" t="s">
        <v>3778</v>
      </c>
      <c r="E996" s="66">
        <v>1.0</v>
      </c>
      <c r="F996" s="66">
        <v>81.0</v>
      </c>
      <c r="G996" s="66">
        <v>6.0</v>
      </c>
      <c r="H996" s="66">
        <v>7.0</v>
      </c>
      <c r="I996" s="50">
        <v>101019.0</v>
      </c>
    </row>
    <row r="997">
      <c r="A997" s="75">
        <v>7993.0</v>
      </c>
      <c r="B997" s="70">
        <v>5447.0</v>
      </c>
      <c r="C997" s="74">
        <v>7438.0</v>
      </c>
      <c r="D997" s="66" t="s">
        <v>3779</v>
      </c>
      <c r="E997" s="66">
        <v>3.0</v>
      </c>
      <c r="F997" s="66">
        <v>81.0</v>
      </c>
      <c r="G997" s="66">
        <v>7.0</v>
      </c>
      <c r="H997" s="66">
        <v>6.0</v>
      </c>
      <c r="I997" s="50">
        <v>50414.0</v>
      </c>
    </row>
    <row r="998">
      <c r="A998" s="75">
        <v>7994.0</v>
      </c>
      <c r="B998" s="70">
        <v>5909.0</v>
      </c>
      <c r="C998" s="74">
        <v>2449.0</v>
      </c>
      <c r="D998" s="66" t="s">
        <v>3780</v>
      </c>
      <c r="E998" s="66">
        <v>2.0</v>
      </c>
      <c r="F998" s="66">
        <v>61.0</v>
      </c>
      <c r="G998" s="66">
        <v>3.0</v>
      </c>
      <c r="H998" s="66">
        <v>3.0</v>
      </c>
      <c r="I998" s="50">
        <v>92318.0</v>
      </c>
    </row>
    <row r="999">
      <c r="A999" s="58">
        <v>7995.0</v>
      </c>
      <c r="B999" s="70">
        <v>6993.0</v>
      </c>
      <c r="C999" s="74">
        <v>4543.0</v>
      </c>
      <c r="D999" s="66" t="s">
        <v>3781</v>
      </c>
      <c r="E999" s="66">
        <v>2.0</v>
      </c>
      <c r="F999" s="66">
        <v>81.0</v>
      </c>
      <c r="G999" s="66">
        <v>8.0</v>
      </c>
      <c r="H999" s="66">
        <v>2.0</v>
      </c>
      <c r="I999" s="50">
        <v>21115.0</v>
      </c>
    </row>
    <row r="1000">
      <c r="A1000" s="75">
        <v>7996.0</v>
      </c>
      <c r="B1000" s="70">
        <v>7779.0</v>
      </c>
      <c r="C1000" s="74">
        <v>2562.0</v>
      </c>
      <c r="D1000" s="66" t="s">
        <v>3782</v>
      </c>
      <c r="E1000" s="66">
        <v>2.0</v>
      </c>
      <c r="F1000" s="66">
        <v>81.0</v>
      </c>
      <c r="G1000" s="66">
        <v>8.0</v>
      </c>
      <c r="H1000" s="66">
        <v>3.0</v>
      </c>
      <c r="I1000" s="50">
        <v>11019.0</v>
      </c>
    </row>
    <row r="1001">
      <c r="A1001" s="75">
        <v>7997.0</v>
      </c>
      <c r="B1001" s="70">
        <v>3995.0</v>
      </c>
      <c r="C1001" s="74">
        <v>8339.0</v>
      </c>
      <c r="D1001" s="66" t="s">
        <v>3783</v>
      </c>
      <c r="E1001" s="66">
        <v>2.0</v>
      </c>
      <c r="F1001" s="66">
        <v>81.0</v>
      </c>
      <c r="G1001" s="66">
        <v>8.0</v>
      </c>
      <c r="H1001" s="66">
        <v>5.0</v>
      </c>
      <c r="I1001" s="50">
        <v>42715.0</v>
      </c>
    </row>
    <row r="1002">
      <c r="A1002" s="75">
        <v>7998.0</v>
      </c>
      <c r="B1002" s="70">
        <v>4232.0</v>
      </c>
      <c r="C1002" s="74">
        <v>1217.0</v>
      </c>
      <c r="D1002" s="66" t="s">
        <v>3784</v>
      </c>
      <c r="E1002" s="66">
        <v>2.0</v>
      </c>
      <c r="F1002" s="66">
        <v>61.0</v>
      </c>
      <c r="G1002" s="66">
        <v>3.0</v>
      </c>
      <c r="H1002" s="66">
        <v>9.0</v>
      </c>
      <c r="I1002" s="50">
        <v>90914.0</v>
      </c>
    </row>
    <row r="1003">
      <c r="A1003" s="75">
        <v>7999.0</v>
      </c>
      <c r="B1003" s="70">
        <v>6838.0</v>
      </c>
      <c r="C1003" s="74">
        <v>8012.0</v>
      </c>
      <c r="D1003" s="66" t="s">
        <v>3785</v>
      </c>
      <c r="E1003" s="66">
        <v>3.0</v>
      </c>
      <c r="F1003" s="66">
        <v>61.0</v>
      </c>
      <c r="G1003" s="66">
        <v>4.0</v>
      </c>
      <c r="H1003" s="66">
        <v>3.0</v>
      </c>
      <c r="I1003" s="50">
        <v>51722.0</v>
      </c>
    </row>
    <row r="1011">
      <c r="A1011" s="76"/>
      <c r="B1011" s="77"/>
    </row>
    <row r="1012">
      <c r="A1012" s="76"/>
      <c r="B1012" s="77"/>
    </row>
    <row r="1013">
      <c r="A1013" s="76"/>
      <c r="B1013" s="77"/>
    </row>
    <row r="1014">
      <c r="A1014" s="76"/>
      <c r="B1014" s="77"/>
    </row>
    <row r="1015">
      <c r="A1015" s="76"/>
      <c r="B1015" s="77"/>
    </row>
    <row r="1016">
      <c r="A1016" s="76"/>
      <c r="B1016" s="77"/>
    </row>
    <row r="1017">
      <c r="A1017" s="76"/>
      <c r="B1017" s="77"/>
    </row>
    <row r="1018">
      <c r="A1018" s="76"/>
      <c r="B1018" s="77"/>
    </row>
    <row r="1019">
      <c r="A1019" s="76"/>
      <c r="B1019" s="77"/>
    </row>
    <row r="1020">
      <c r="A1020" s="76"/>
      <c r="B1020" s="77"/>
    </row>
    <row r="1021">
      <c r="A1021" s="76"/>
      <c r="B1021" s="77"/>
    </row>
    <row r="1022">
      <c r="A1022" s="76"/>
      <c r="B1022" s="77"/>
    </row>
    <row r="1023">
      <c r="A1023" s="76"/>
      <c r="B1023" s="77"/>
    </row>
    <row r="1024">
      <c r="A1024" s="76"/>
      <c r="B1024" s="77"/>
    </row>
    <row r="1025">
      <c r="A1025" s="76"/>
      <c r="B1025" s="77"/>
    </row>
    <row r="1026">
      <c r="A1026" s="76"/>
      <c r="B1026" s="77"/>
    </row>
    <row r="1027">
      <c r="A1027" s="76"/>
      <c r="B1027" s="77"/>
    </row>
    <row r="1028">
      <c r="A1028" s="76"/>
      <c r="B1028" s="77"/>
    </row>
    <row r="1029">
      <c r="A1029" s="76"/>
      <c r="B1029" s="77"/>
    </row>
    <row r="1030">
      <c r="A1030" s="76"/>
      <c r="B1030" s="77"/>
    </row>
    <row r="1031">
      <c r="A1031" s="76"/>
      <c r="B1031" s="77"/>
    </row>
    <row r="1032">
      <c r="A1032" s="76"/>
      <c r="B1032" s="77"/>
    </row>
    <row r="1033">
      <c r="A1033" s="76"/>
      <c r="B1033" s="77"/>
    </row>
    <row r="1034">
      <c r="A1034" s="76"/>
      <c r="B1034" s="77"/>
    </row>
    <row r="1035">
      <c r="A1035" s="76"/>
      <c r="B1035" s="77"/>
    </row>
    <row r="1036">
      <c r="A1036" s="76"/>
      <c r="B1036" s="77"/>
    </row>
    <row r="1037">
      <c r="A1037" s="76"/>
      <c r="B1037" s="77"/>
    </row>
    <row r="1038">
      <c r="A1038" s="76"/>
      <c r="B1038" s="77"/>
    </row>
    <row r="1039">
      <c r="A1039" s="76"/>
      <c r="B1039" s="77"/>
    </row>
    <row r="1040">
      <c r="A1040" s="76"/>
      <c r="B1040" s="77"/>
    </row>
    <row r="1041">
      <c r="A1041" s="76"/>
      <c r="B1041" s="77"/>
    </row>
    <row r="1042">
      <c r="A1042" s="76"/>
      <c r="B1042" s="77"/>
    </row>
    <row r="1043">
      <c r="A1043" s="76"/>
      <c r="B1043" s="77"/>
    </row>
    <row r="1044">
      <c r="A1044" s="76"/>
      <c r="B1044" s="77"/>
    </row>
    <row r="1045">
      <c r="A1045" s="76"/>
      <c r="B1045" s="77"/>
    </row>
    <row r="1046">
      <c r="A1046" s="76"/>
      <c r="B1046" s="77"/>
    </row>
    <row r="1047">
      <c r="A1047" s="76"/>
      <c r="B1047" s="77"/>
    </row>
    <row r="1048">
      <c r="A1048" s="76"/>
      <c r="B1048" s="77"/>
    </row>
    <row r="1049">
      <c r="A1049" s="76"/>
      <c r="B1049" s="77"/>
    </row>
    <row r="1050">
      <c r="A1050" s="76"/>
      <c r="B1050" s="77"/>
    </row>
    <row r="1051">
      <c r="A1051" s="76"/>
      <c r="B1051" s="77"/>
    </row>
    <row r="1052">
      <c r="A1052" s="76"/>
      <c r="B1052" s="77"/>
    </row>
    <row r="1053">
      <c r="A1053" s="76"/>
      <c r="B1053" s="77"/>
    </row>
    <row r="1054">
      <c r="A1054" s="76"/>
      <c r="B1054" s="77"/>
    </row>
    <row r="1055">
      <c r="A1055" s="76"/>
      <c r="B1055" s="77"/>
    </row>
    <row r="1056">
      <c r="A1056" s="76"/>
      <c r="B1056" s="77"/>
    </row>
    <row r="1057">
      <c r="A1057" s="76"/>
      <c r="B1057" s="77"/>
    </row>
    <row r="1058">
      <c r="A1058" s="76"/>
      <c r="B1058" s="77"/>
    </row>
    <row r="1059">
      <c r="A1059" s="76"/>
      <c r="B1059" s="77"/>
    </row>
    <row r="1060">
      <c r="A1060" s="76"/>
      <c r="B1060" s="77"/>
    </row>
    <row r="1061">
      <c r="A1061" s="76"/>
      <c r="B1061" s="77"/>
    </row>
    <row r="1062">
      <c r="A1062" s="76"/>
      <c r="B1062" s="77"/>
    </row>
    <row r="1063">
      <c r="A1063" s="76"/>
      <c r="B1063" s="77"/>
    </row>
    <row r="1064">
      <c r="A1064" s="76"/>
      <c r="B1064" s="77"/>
    </row>
    <row r="1065">
      <c r="A1065" s="76"/>
      <c r="B1065" s="77"/>
    </row>
    <row r="1066">
      <c r="A1066" s="76"/>
      <c r="B1066" s="77"/>
    </row>
    <row r="1067">
      <c r="A1067" s="76"/>
      <c r="B1067" s="77"/>
    </row>
    <row r="1068">
      <c r="A1068" s="76"/>
      <c r="B1068" s="77"/>
    </row>
    <row r="1069">
      <c r="A1069" s="76"/>
      <c r="B1069" s="77"/>
    </row>
    <row r="1070">
      <c r="A1070" s="76"/>
      <c r="B1070" s="77"/>
    </row>
    <row r="1071">
      <c r="A1071" s="76"/>
      <c r="B1071" s="77"/>
    </row>
    <row r="1072">
      <c r="A1072" s="76"/>
      <c r="B1072" s="77"/>
    </row>
    <row r="1073">
      <c r="A1073" s="76"/>
      <c r="B1073" s="77"/>
    </row>
    <row r="1074">
      <c r="A1074" s="76"/>
      <c r="B1074" s="77"/>
    </row>
    <row r="1075">
      <c r="A1075" s="76"/>
      <c r="B1075" s="77"/>
    </row>
    <row r="1076">
      <c r="A1076" s="76"/>
      <c r="B1076" s="77"/>
    </row>
    <row r="1077">
      <c r="A1077" s="76"/>
      <c r="B1077" s="77"/>
    </row>
    <row r="1078">
      <c r="A1078" s="76"/>
      <c r="B1078" s="77"/>
    </row>
    <row r="1079">
      <c r="A1079" s="76"/>
      <c r="B1079" s="77"/>
    </row>
    <row r="1080">
      <c r="A1080" s="76"/>
      <c r="B1080" s="77"/>
    </row>
    <row r="1081">
      <c r="A1081" s="76"/>
      <c r="B1081" s="77"/>
    </row>
    <row r="1082">
      <c r="A1082" s="76"/>
      <c r="B1082" s="77"/>
    </row>
    <row r="1083">
      <c r="A1083" s="76"/>
      <c r="B1083" s="77"/>
    </row>
    <row r="1084">
      <c r="A1084" s="76"/>
      <c r="B1084" s="77"/>
    </row>
    <row r="1085">
      <c r="A1085" s="76"/>
      <c r="B1085" s="77"/>
    </row>
    <row r="1086">
      <c r="A1086" s="76"/>
      <c r="B1086" s="77"/>
    </row>
    <row r="1087">
      <c r="A1087" s="76"/>
      <c r="B1087" s="77"/>
    </row>
    <row r="1088">
      <c r="A1088" s="76"/>
      <c r="B1088" s="77"/>
    </row>
    <row r="1089">
      <c r="A1089" s="76"/>
      <c r="B1089" s="77"/>
    </row>
    <row r="1090">
      <c r="A1090" s="76"/>
      <c r="B1090" s="77"/>
    </row>
    <row r="1091">
      <c r="A1091" s="76"/>
      <c r="B1091" s="77"/>
    </row>
    <row r="1092">
      <c r="A1092" s="76"/>
      <c r="B1092" s="77"/>
    </row>
    <row r="1093">
      <c r="A1093" s="76"/>
      <c r="B1093" s="77"/>
    </row>
    <row r="1094">
      <c r="A1094" s="76"/>
      <c r="B1094" s="77"/>
    </row>
    <row r="1095">
      <c r="A1095" s="76"/>
      <c r="B1095" s="77"/>
    </row>
    <row r="1096">
      <c r="A1096" s="76"/>
      <c r="B1096" s="77"/>
    </row>
    <row r="1097">
      <c r="A1097" s="76"/>
      <c r="B1097" s="77"/>
    </row>
    <row r="1098">
      <c r="A1098" s="76"/>
      <c r="B1098" s="77"/>
    </row>
    <row r="1099">
      <c r="A1099" s="76"/>
      <c r="B1099" s="77"/>
    </row>
    <row r="1100">
      <c r="A1100" s="76"/>
      <c r="B1100" s="77"/>
    </row>
    <row r="1101">
      <c r="A1101" s="76"/>
      <c r="B1101" s="77"/>
    </row>
    <row r="1102">
      <c r="A1102" s="76"/>
      <c r="B1102" s="77"/>
    </row>
    <row r="1103">
      <c r="A1103" s="76"/>
      <c r="B1103" s="77"/>
    </row>
    <row r="1104">
      <c r="A1104" s="76"/>
      <c r="B1104" s="77"/>
    </row>
    <row r="1105">
      <c r="A1105" s="76"/>
      <c r="B1105" s="77"/>
    </row>
    <row r="1106">
      <c r="A1106" s="76"/>
      <c r="B1106" s="77"/>
    </row>
    <row r="1107">
      <c r="A1107" s="76"/>
      <c r="B1107" s="77"/>
    </row>
    <row r="1108">
      <c r="A1108" s="76"/>
      <c r="B1108" s="77"/>
    </row>
    <row r="1109">
      <c r="A1109" s="76"/>
      <c r="B1109" s="77"/>
    </row>
    <row r="1110">
      <c r="A1110" s="76"/>
      <c r="B1110" s="77"/>
    </row>
    <row r="1111">
      <c r="A1111" s="76"/>
      <c r="B1111" s="77"/>
    </row>
    <row r="1112">
      <c r="A1112" s="76"/>
      <c r="B1112" s="77"/>
    </row>
    <row r="1113">
      <c r="A1113" s="76"/>
      <c r="B1113" s="77"/>
    </row>
    <row r="1114">
      <c r="A1114" s="76"/>
      <c r="B1114" s="77"/>
    </row>
    <row r="1115">
      <c r="A1115" s="76"/>
      <c r="B1115" s="77"/>
    </row>
    <row r="1116">
      <c r="A1116" s="76"/>
      <c r="B1116" s="77"/>
    </row>
    <row r="1117">
      <c r="A1117" s="76"/>
      <c r="B1117" s="77"/>
    </row>
    <row r="1118">
      <c r="A1118" s="76"/>
      <c r="B1118" s="77"/>
    </row>
    <row r="1119">
      <c r="A1119" s="76"/>
      <c r="B1119" s="77"/>
    </row>
    <row r="1120">
      <c r="A1120" s="76"/>
      <c r="B1120" s="77"/>
    </row>
    <row r="1121">
      <c r="A1121" s="76"/>
      <c r="B1121" s="77"/>
    </row>
    <row r="1122">
      <c r="A1122" s="76"/>
      <c r="B1122" s="77"/>
    </row>
    <row r="1123">
      <c r="A1123" s="76"/>
      <c r="B1123" s="77"/>
    </row>
    <row r="1124">
      <c r="A1124" s="76"/>
      <c r="B1124" s="77"/>
    </row>
    <row r="1125">
      <c r="A1125" s="76"/>
      <c r="B1125" s="77"/>
    </row>
    <row r="1126">
      <c r="A1126" s="76"/>
      <c r="B1126" s="77"/>
    </row>
    <row r="1127">
      <c r="A1127" s="76"/>
      <c r="B1127" s="77"/>
    </row>
    <row r="1128">
      <c r="A1128" s="76"/>
      <c r="B1128" s="77"/>
    </row>
    <row r="1129">
      <c r="A1129" s="76"/>
      <c r="B1129" s="77"/>
    </row>
    <row r="1130">
      <c r="A1130" s="76"/>
      <c r="B1130" s="77"/>
    </row>
    <row r="1131">
      <c r="A1131" s="76"/>
      <c r="B1131" s="77"/>
    </row>
    <row r="1132">
      <c r="A1132" s="76"/>
      <c r="B1132" s="77"/>
    </row>
    <row r="1133">
      <c r="A1133" s="76"/>
      <c r="B1133" s="77"/>
    </row>
    <row r="1134">
      <c r="A1134" s="76"/>
      <c r="B1134" s="77"/>
    </row>
    <row r="1135">
      <c r="A1135" s="76"/>
      <c r="B1135" s="77"/>
    </row>
    <row r="1136">
      <c r="A1136" s="76"/>
      <c r="B1136" s="77"/>
    </row>
    <row r="1137">
      <c r="A1137" s="76"/>
      <c r="B1137" s="77"/>
    </row>
    <row r="1138">
      <c r="A1138" s="76"/>
      <c r="B1138" s="77"/>
    </row>
    <row r="1139">
      <c r="A1139" s="76"/>
      <c r="B1139" s="77"/>
    </row>
    <row r="1140">
      <c r="A1140" s="76"/>
      <c r="B1140" s="77"/>
    </row>
    <row r="1141">
      <c r="A1141" s="76"/>
      <c r="B1141" s="77"/>
    </row>
    <row r="1142">
      <c r="A1142" s="76"/>
      <c r="B1142" s="77"/>
    </row>
    <row r="1143">
      <c r="A1143" s="76"/>
      <c r="B1143" s="77"/>
    </row>
    <row r="1144">
      <c r="A1144" s="76"/>
      <c r="B1144" s="77"/>
    </row>
    <row r="1145">
      <c r="A1145" s="76"/>
      <c r="B1145" s="77"/>
    </row>
    <row r="1146">
      <c r="A1146" s="76"/>
      <c r="B1146" s="77"/>
    </row>
    <row r="1147">
      <c r="A1147" s="76"/>
      <c r="B1147" s="77"/>
    </row>
    <row r="1148">
      <c r="A1148" s="76"/>
      <c r="B1148" s="77"/>
    </row>
    <row r="1149">
      <c r="A1149" s="76"/>
      <c r="B1149" s="77"/>
    </row>
    <row r="1150">
      <c r="A1150" s="76"/>
      <c r="B1150" s="77"/>
    </row>
    <row r="1151">
      <c r="A1151" s="76"/>
      <c r="B1151" s="77"/>
    </row>
    <row r="1152">
      <c r="A1152" s="76"/>
      <c r="B1152" s="77"/>
    </row>
    <row r="1153">
      <c r="A1153" s="76"/>
      <c r="B1153" s="77"/>
    </row>
    <row r="1154">
      <c r="A1154" s="76"/>
      <c r="B1154" s="77"/>
    </row>
    <row r="1155">
      <c r="A1155" s="76"/>
      <c r="B1155" s="77"/>
    </row>
    <row r="1156">
      <c r="A1156" s="76"/>
      <c r="B1156" s="77"/>
    </row>
    <row r="1157">
      <c r="A1157" s="76"/>
      <c r="B1157" s="77"/>
    </row>
    <row r="1158">
      <c r="A1158" s="76"/>
      <c r="B1158" s="77"/>
    </row>
    <row r="1159">
      <c r="A1159" s="76"/>
      <c r="B1159" s="77"/>
    </row>
    <row r="1160">
      <c r="A1160" s="76"/>
      <c r="B1160" s="77"/>
    </row>
    <row r="1161">
      <c r="A1161" s="76"/>
      <c r="B1161" s="77"/>
    </row>
    <row r="1162">
      <c r="A1162" s="76"/>
      <c r="B1162" s="77"/>
    </row>
    <row r="1163">
      <c r="A1163" s="76"/>
      <c r="B1163" s="77"/>
    </row>
    <row r="1164">
      <c r="A1164" s="76"/>
      <c r="B1164" s="77"/>
    </row>
    <row r="1165">
      <c r="A1165" s="76"/>
      <c r="B1165" s="77"/>
    </row>
    <row r="1166">
      <c r="A1166" s="76"/>
      <c r="B1166" s="77"/>
    </row>
    <row r="1167">
      <c r="A1167" s="76"/>
      <c r="B1167" s="77"/>
    </row>
    <row r="1168">
      <c r="A1168" s="76"/>
      <c r="B1168" s="77"/>
    </row>
    <row r="1169">
      <c r="A1169" s="76"/>
      <c r="B1169" s="77"/>
    </row>
    <row r="1170">
      <c r="A1170" s="76"/>
      <c r="B1170" s="77"/>
    </row>
    <row r="1171">
      <c r="A1171" s="76"/>
      <c r="B1171" s="77"/>
    </row>
    <row r="1172">
      <c r="A1172" s="76"/>
      <c r="B1172" s="77"/>
    </row>
    <row r="1173">
      <c r="A1173" s="76"/>
      <c r="B1173" s="77"/>
    </row>
    <row r="1174">
      <c r="A1174" s="76"/>
      <c r="B1174" s="77"/>
    </row>
    <row r="1175">
      <c r="A1175" s="76"/>
      <c r="B1175" s="77"/>
    </row>
    <row r="1176">
      <c r="A1176" s="76"/>
      <c r="B1176" s="77"/>
    </row>
    <row r="1177">
      <c r="A1177" s="76"/>
      <c r="B1177" s="77"/>
    </row>
    <row r="1178">
      <c r="A1178" s="76"/>
      <c r="B1178" s="77"/>
    </row>
    <row r="1179">
      <c r="A1179" s="76"/>
      <c r="B1179" s="77"/>
    </row>
    <row r="1180">
      <c r="A1180" s="76"/>
      <c r="B1180" s="77"/>
    </row>
    <row r="1181">
      <c r="A1181" s="76"/>
      <c r="B1181" s="77"/>
    </row>
    <row r="1182">
      <c r="A1182" s="76"/>
      <c r="B1182" s="77"/>
    </row>
    <row r="1183">
      <c r="A1183" s="76"/>
      <c r="B1183" s="77"/>
    </row>
    <row r="1184">
      <c r="A1184" s="76"/>
      <c r="B1184" s="77"/>
    </row>
    <row r="1185">
      <c r="A1185" s="76"/>
      <c r="B1185" s="77"/>
    </row>
    <row r="1186">
      <c r="A1186" s="76"/>
      <c r="B1186" s="77"/>
    </row>
    <row r="1187">
      <c r="A1187" s="76"/>
      <c r="B1187" s="77"/>
    </row>
    <row r="1188">
      <c r="A1188" s="76"/>
      <c r="B1188" s="77"/>
    </row>
    <row r="1189">
      <c r="A1189" s="76"/>
      <c r="B1189" s="77"/>
    </row>
    <row r="1190">
      <c r="A1190" s="76"/>
      <c r="B1190" s="77"/>
    </row>
    <row r="1191">
      <c r="A1191" s="76"/>
      <c r="B1191" s="77"/>
    </row>
    <row r="1192">
      <c r="A1192" s="76"/>
      <c r="B1192" s="77"/>
    </row>
    <row r="1193">
      <c r="A1193" s="76"/>
      <c r="B1193" s="77"/>
    </row>
    <row r="1194">
      <c r="A1194" s="76"/>
      <c r="B1194" s="77"/>
    </row>
    <row r="1195">
      <c r="A1195" s="76"/>
      <c r="B1195" s="77"/>
    </row>
    <row r="1196">
      <c r="A1196" s="76"/>
      <c r="B1196" s="77"/>
    </row>
    <row r="1197">
      <c r="A1197" s="76"/>
      <c r="B1197" s="77"/>
    </row>
    <row r="1198">
      <c r="A1198" s="76"/>
      <c r="B1198" s="77"/>
    </row>
    <row r="1199">
      <c r="A1199" s="76"/>
      <c r="B1199" s="77"/>
    </row>
    <row r="1200">
      <c r="A1200" s="76"/>
      <c r="B1200" s="77"/>
    </row>
    <row r="1201">
      <c r="A1201" s="76"/>
      <c r="B1201" s="77"/>
    </row>
    <row r="1202">
      <c r="A1202" s="76"/>
      <c r="B1202" s="77"/>
    </row>
    <row r="1203">
      <c r="A1203" s="76"/>
      <c r="B1203" s="77"/>
    </row>
    <row r="1204">
      <c r="A1204" s="76"/>
      <c r="B1204" s="77"/>
    </row>
    <row r="1205">
      <c r="A1205" s="76"/>
      <c r="B1205" s="77"/>
    </row>
    <row r="1206">
      <c r="A1206" s="76"/>
      <c r="B1206" s="77"/>
    </row>
    <row r="1207">
      <c r="A1207" s="76"/>
      <c r="B1207" s="77"/>
    </row>
    <row r="1208">
      <c r="A1208" s="76"/>
      <c r="B1208" s="77"/>
    </row>
    <row r="1209">
      <c r="A1209" s="76"/>
      <c r="B1209" s="77"/>
    </row>
    <row r="1210">
      <c r="A1210" s="76"/>
      <c r="B1210" s="77"/>
    </row>
    <row r="1211">
      <c r="A1211" s="76"/>
      <c r="B1211" s="77"/>
    </row>
    <row r="1212">
      <c r="A1212" s="76"/>
      <c r="B1212" s="77"/>
    </row>
    <row r="1213">
      <c r="A1213" s="76"/>
      <c r="B1213" s="77"/>
    </row>
    <row r="1214">
      <c r="A1214" s="76"/>
      <c r="B1214" s="77"/>
    </row>
    <row r="1215">
      <c r="A1215" s="76"/>
      <c r="B1215" s="77"/>
    </row>
    <row r="1216">
      <c r="A1216" s="76"/>
      <c r="B1216" s="77"/>
    </row>
    <row r="1217">
      <c r="A1217" s="76"/>
      <c r="B1217" s="77"/>
    </row>
    <row r="1218">
      <c r="A1218" s="76"/>
      <c r="B1218" s="77"/>
    </row>
    <row r="1219">
      <c r="A1219" s="76"/>
      <c r="B1219" s="77"/>
    </row>
    <row r="1220">
      <c r="A1220" s="76"/>
      <c r="B1220" s="77"/>
    </row>
    <row r="1221">
      <c r="A1221" s="76"/>
      <c r="B1221" s="77"/>
    </row>
    <row r="1222">
      <c r="A1222" s="76"/>
      <c r="B1222" s="77"/>
    </row>
    <row r="1223">
      <c r="A1223" s="76"/>
      <c r="B1223" s="77"/>
    </row>
    <row r="1224">
      <c r="A1224" s="76"/>
      <c r="B1224" s="77"/>
    </row>
    <row r="1225">
      <c r="A1225" s="76"/>
      <c r="B1225" s="77"/>
    </row>
    <row r="1226">
      <c r="A1226" s="76"/>
      <c r="B1226" s="77"/>
    </row>
    <row r="1227">
      <c r="A1227" s="76"/>
      <c r="B1227" s="77"/>
    </row>
    <row r="1228">
      <c r="A1228" s="76"/>
      <c r="B1228" s="77"/>
    </row>
    <row r="1229">
      <c r="A1229" s="76"/>
      <c r="B1229" s="77"/>
    </row>
    <row r="1230">
      <c r="A1230" s="76"/>
      <c r="B1230" s="77"/>
    </row>
    <row r="1231">
      <c r="A1231" s="76"/>
      <c r="B1231" s="77"/>
    </row>
    <row r="1232">
      <c r="A1232" s="76"/>
      <c r="B1232" s="77"/>
    </row>
    <row r="1233">
      <c r="A1233" s="76"/>
      <c r="B1233" s="77"/>
    </row>
    <row r="1234">
      <c r="A1234" s="76"/>
      <c r="B1234" s="77"/>
    </row>
    <row r="1235">
      <c r="A1235" s="76"/>
      <c r="B1235" s="77"/>
    </row>
    <row r="1236">
      <c r="A1236" s="76"/>
      <c r="B1236" s="77"/>
    </row>
    <row r="1237">
      <c r="A1237" s="76"/>
      <c r="B1237" s="77"/>
    </row>
    <row r="1238">
      <c r="A1238" s="76"/>
      <c r="B1238" s="77"/>
    </row>
    <row r="1239">
      <c r="A1239" s="76"/>
      <c r="B1239" s="77"/>
    </row>
    <row r="1240">
      <c r="A1240" s="76"/>
      <c r="B1240" s="77"/>
    </row>
    <row r="1241">
      <c r="A1241" s="76"/>
      <c r="B1241" s="77"/>
    </row>
    <row r="1242">
      <c r="A1242" s="76"/>
      <c r="B1242" s="77"/>
    </row>
    <row r="1243">
      <c r="A1243" s="76"/>
      <c r="B1243" s="77"/>
    </row>
    <row r="1244">
      <c r="A1244" s="76"/>
      <c r="B1244" s="77"/>
    </row>
    <row r="1245">
      <c r="A1245" s="76"/>
      <c r="B1245" s="77"/>
    </row>
    <row r="1246">
      <c r="A1246" s="76"/>
      <c r="B1246" s="77"/>
    </row>
    <row r="1247">
      <c r="A1247" s="76"/>
      <c r="B1247" s="77"/>
    </row>
    <row r="1248">
      <c r="A1248" s="76"/>
      <c r="B1248" s="77"/>
    </row>
    <row r="1249">
      <c r="A1249" s="76"/>
      <c r="B1249" s="77"/>
    </row>
    <row r="1250">
      <c r="A1250" s="76"/>
      <c r="B1250" s="77"/>
    </row>
    <row r="1251">
      <c r="A1251" s="76"/>
      <c r="B1251" s="77"/>
    </row>
    <row r="1252">
      <c r="A1252" s="76"/>
      <c r="B1252" s="77"/>
    </row>
    <row r="1253">
      <c r="A1253" s="76"/>
      <c r="B1253" s="77"/>
    </row>
    <row r="1254">
      <c r="A1254" s="76"/>
      <c r="B1254" s="77"/>
    </row>
    <row r="1255">
      <c r="A1255" s="76"/>
      <c r="B1255" s="77"/>
    </row>
    <row r="1256">
      <c r="A1256" s="76"/>
      <c r="B1256" s="77"/>
    </row>
    <row r="1257">
      <c r="A1257" s="76"/>
      <c r="B1257" s="77"/>
    </row>
    <row r="1258">
      <c r="A1258" s="76"/>
      <c r="B1258" s="77"/>
    </row>
    <row r="1259">
      <c r="A1259" s="76"/>
      <c r="B1259" s="77"/>
    </row>
    <row r="1260">
      <c r="A1260" s="76"/>
      <c r="B1260" s="77"/>
    </row>
    <row r="1261">
      <c r="A1261" s="76"/>
      <c r="B1261" s="77"/>
    </row>
    <row r="1262">
      <c r="A1262" s="76"/>
      <c r="B1262" s="77"/>
    </row>
    <row r="1263">
      <c r="A1263" s="76"/>
      <c r="B1263" s="77"/>
    </row>
    <row r="1264">
      <c r="A1264" s="76"/>
      <c r="B1264" s="77"/>
    </row>
    <row r="1265">
      <c r="A1265" s="76"/>
      <c r="B1265" s="77"/>
    </row>
    <row r="1266">
      <c r="A1266" s="76"/>
      <c r="B1266" s="77"/>
    </row>
    <row r="1267">
      <c r="A1267" s="76"/>
      <c r="B1267" s="77"/>
    </row>
    <row r="1268">
      <c r="A1268" s="76"/>
      <c r="B1268" s="77"/>
    </row>
    <row r="1269">
      <c r="A1269" s="76"/>
      <c r="B1269" s="77"/>
    </row>
    <row r="1270">
      <c r="A1270" s="76"/>
      <c r="B1270" s="77"/>
    </row>
    <row r="1271">
      <c r="A1271" s="76"/>
      <c r="B1271" s="77"/>
    </row>
    <row r="1272">
      <c r="A1272" s="76"/>
      <c r="B1272" s="77"/>
    </row>
    <row r="1273">
      <c r="A1273" s="76"/>
      <c r="B1273" s="77"/>
    </row>
    <row r="1274">
      <c r="A1274" s="76"/>
      <c r="B1274" s="77"/>
    </row>
    <row r="1275">
      <c r="A1275" s="76"/>
      <c r="B1275" s="77"/>
    </row>
    <row r="1276">
      <c r="A1276" s="76"/>
      <c r="B1276" s="77"/>
    </row>
    <row r="1277">
      <c r="A1277" s="76"/>
      <c r="B1277" s="77"/>
    </row>
    <row r="1278">
      <c r="A1278" s="76"/>
      <c r="B1278" s="77"/>
    </row>
    <row r="1279">
      <c r="A1279" s="76"/>
      <c r="B1279" s="77"/>
    </row>
    <row r="1280">
      <c r="A1280" s="76"/>
      <c r="B1280" s="77"/>
    </row>
    <row r="1281">
      <c r="A1281" s="76"/>
      <c r="B1281" s="77"/>
    </row>
    <row r="1282">
      <c r="A1282" s="76"/>
      <c r="B1282" s="77"/>
    </row>
    <row r="1283">
      <c r="A1283" s="76"/>
      <c r="B1283" s="77"/>
    </row>
    <row r="1284">
      <c r="A1284" s="76"/>
      <c r="B1284" s="77"/>
    </row>
    <row r="1285">
      <c r="A1285" s="76"/>
      <c r="B1285" s="77"/>
    </row>
    <row r="1286">
      <c r="A1286" s="76"/>
      <c r="B1286" s="77"/>
    </row>
    <row r="1287">
      <c r="A1287" s="76"/>
      <c r="B1287" s="77"/>
    </row>
    <row r="1288">
      <c r="A1288" s="76"/>
      <c r="B1288" s="77"/>
    </row>
    <row r="1289">
      <c r="A1289" s="76"/>
      <c r="B1289" s="77"/>
    </row>
    <row r="1290">
      <c r="A1290" s="76"/>
      <c r="B1290" s="77"/>
    </row>
    <row r="1291">
      <c r="A1291" s="76"/>
      <c r="B1291" s="77"/>
    </row>
    <row r="1292">
      <c r="A1292" s="76"/>
      <c r="B1292" s="77"/>
    </row>
    <row r="1293">
      <c r="A1293" s="76"/>
      <c r="B1293" s="77"/>
    </row>
    <row r="1294">
      <c r="A1294" s="76"/>
      <c r="B1294" s="77"/>
    </row>
    <row r="1295">
      <c r="A1295" s="76"/>
      <c r="B1295" s="77"/>
    </row>
    <row r="1296">
      <c r="A1296" s="76"/>
      <c r="B1296" s="77"/>
    </row>
    <row r="1297">
      <c r="A1297" s="76"/>
      <c r="B1297" s="77"/>
    </row>
    <row r="1298">
      <c r="A1298" s="76"/>
      <c r="B1298" s="77"/>
    </row>
    <row r="1299">
      <c r="A1299" s="76"/>
      <c r="B1299" s="77"/>
    </row>
    <row r="1300">
      <c r="A1300" s="76"/>
      <c r="B1300" s="77"/>
    </row>
    <row r="1301">
      <c r="A1301" s="76"/>
      <c r="B1301" s="77"/>
    </row>
    <row r="1302">
      <c r="A1302" s="76"/>
      <c r="B1302" s="77"/>
    </row>
    <row r="1303">
      <c r="A1303" s="76"/>
      <c r="B1303" s="77"/>
    </row>
    <row r="1304">
      <c r="A1304" s="76"/>
      <c r="B1304" s="77"/>
    </row>
    <row r="1305">
      <c r="A1305" s="76"/>
      <c r="B1305" s="77"/>
    </row>
    <row r="1306">
      <c r="A1306" s="76"/>
      <c r="B1306" s="77"/>
    </row>
    <row r="1307">
      <c r="A1307" s="76"/>
      <c r="B1307" s="77"/>
    </row>
    <row r="1308">
      <c r="A1308" s="76"/>
      <c r="B1308" s="77"/>
    </row>
    <row r="1309">
      <c r="A1309" s="76"/>
      <c r="B1309" s="77"/>
    </row>
    <row r="1310">
      <c r="A1310" s="76"/>
      <c r="B1310" s="77"/>
    </row>
    <row r="1311">
      <c r="A1311" s="76"/>
      <c r="B1311" s="77"/>
    </row>
    <row r="1312">
      <c r="A1312" s="76"/>
      <c r="B1312" s="77"/>
    </row>
    <row r="1313">
      <c r="A1313" s="76"/>
      <c r="B1313" s="77"/>
    </row>
    <row r="1314">
      <c r="A1314" s="76"/>
      <c r="B1314" s="77"/>
    </row>
    <row r="1315">
      <c r="A1315" s="76"/>
      <c r="B1315" s="77"/>
    </row>
    <row r="1316">
      <c r="A1316" s="76"/>
      <c r="B1316" s="77"/>
    </row>
    <row r="1317">
      <c r="A1317" s="76"/>
      <c r="B1317" s="77"/>
    </row>
    <row r="1318">
      <c r="A1318" s="76"/>
      <c r="B1318" s="77"/>
    </row>
    <row r="1319">
      <c r="A1319" s="76"/>
      <c r="B1319" s="77"/>
    </row>
    <row r="1320">
      <c r="A1320" s="76"/>
      <c r="B1320" s="77"/>
    </row>
    <row r="1321">
      <c r="A1321" s="76"/>
      <c r="B1321" s="77"/>
    </row>
    <row r="1322">
      <c r="A1322" s="76"/>
      <c r="B1322" s="77"/>
    </row>
    <row r="1323">
      <c r="A1323" s="76"/>
      <c r="B1323" s="77"/>
    </row>
    <row r="1324">
      <c r="A1324" s="76"/>
      <c r="B1324" s="77"/>
    </row>
    <row r="1325">
      <c r="A1325" s="76"/>
      <c r="B1325" s="77"/>
    </row>
    <row r="1326">
      <c r="A1326" s="76"/>
      <c r="B1326" s="77"/>
    </row>
    <row r="1327">
      <c r="A1327" s="76"/>
      <c r="B1327" s="77"/>
    </row>
    <row r="1328">
      <c r="A1328" s="76"/>
      <c r="B1328" s="77"/>
    </row>
    <row r="1329">
      <c r="A1329" s="76"/>
      <c r="B1329" s="77"/>
    </row>
    <row r="1330">
      <c r="A1330" s="76"/>
      <c r="B1330" s="77"/>
    </row>
    <row r="1331">
      <c r="A1331" s="76"/>
      <c r="B1331" s="77"/>
    </row>
    <row r="1332">
      <c r="A1332" s="76"/>
      <c r="B1332" s="77"/>
    </row>
    <row r="1333">
      <c r="A1333" s="76"/>
      <c r="B1333" s="77"/>
    </row>
    <row r="1334">
      <c r="A1334" s="76"/>
      <c r="B1334" s="77"/>
    </row>
    <row r="1335">
      <c r="A1335" s="76"/>
      <c r="B1335" s="77"/>
    </row>
    <row r="1336">
      <c r="A1336" s="76"/>
      <c r="B1336" s="77"/>
    </row>
    <row r="1337">
      <c r="A1337" s="76"/>
      <c r="B1337" s="77"/>
    </row>
    <row r="1338">
      <c r="A1338" s="76"/>
      <c r="B1338" s="77"/>
    </row>
    <row r="1339">
      <c r="A1339" s="76"/>
      <c r="B1339" s="77"/>
    </row>
    <row r="1340">
      <c r="A1340" s="76"/>
      <c r="B1340" s="77"/>
    </row>
    <row r="1341">
      <c r="A1341" s="76"/>
      <c r="B1341" s="77"/>
    </row>
    <row r="1342">
      <c r="A1342" s="76"/>
      <c r="B1342" s="77"/>
    </row>
    <row r="1343">
      <c r="A1343" s="76"/>
      <c r="B1343" s="77"/>
    </row>
    <row r="1344">
      <c r="A1344" s="76"/>
      <c r="B1344" s="77"/>
    </row>
    <row r="1345">
      <c r="A1345" s="76"/>
      <c r="B1345" s="77"/>
    </row>
    <row r="1346">
      <c r="A1346" s="76"/>
      <c r="B1346" s="77"/>
    </row>
    <row r="1347">
      <c r="A1347" s="76"/>
      <c r="B1347" s="77"/>
    </row>
    <row r="1348">
      <c r="A1348" s="76"/>
      <c r="B1348" s="77"/>
    </row>
    <row r="1349">
      <c r="A1349" s="76"/>
      <c r="B1349" s="77"/>
    </row>
    <row r="1350">
      <c r="A1350" s="76"/>
      <c r="B1350" s="77"/>
    </row>
    <row r="1351">
      <c r="A1351" s="76"/>
      <c r="B1351" s="77"/>
    </row>
    <row r="1352">
      <c r="A1352" s="76"/>
      <c r="B1352" s="77"/>
    </row>
    <row r="1353">
      <c r="A1353" s="76"/>
      <c r="B1353" s="77"/>
    </row>
    <row r="1354">
      <c r="A1354" s="76"/>
      <c r="B1354" s="77"/>
    </row>
    <row r="1355">
      <c r="A1355" s="76"/>
      <c r="B1355" s="77"/>
    </row>
    <row r="1356">
      <c r="A1356" s="76"/>
      <c r="B1356" s="77"/>
    </row>
    <row r="1357">
      <c r="A1357" s="76"/>
      <c r="B1357" s="77"/>
    </row>
    <row r="1358">
      <c r="A1358" s="76"/>
      <c r="B1358" s="77"/>
    </row>
    <row r="1359">
      <c r="A1359" s="76"/>
      <c r="B1359" s="77"/>
    </row>
    <row r="1360">
      <c r="A1360" s="76"/>
      <c r="B1360" s="77"/>
    </row>
    <row r="1361">
      <c r="A1361" s="76"/>
      <c r="B1361" s="77"/>
    </row>
    <row r="1362">
      <c r="A1362" s="76"/>
      <c r="B1362" s="77"/>
    </row>
    <row r="1363">
      <c r="A1363" s="76"/>
      <c r="B1363" s="77"/>
    </row>
    <row r="1364">
      <c r="A1364" s="76"/>
      <c r="B1364" s="77"/>
    </row>
    <row r="1365">
      <c r="A1365" s="76"/>
      <c r="B1365" s="77"/>
    </row>
    <row r="1366">
      <c r="A1366" s="76"/>
      <c r="B1366" s="77"/>
    </row>
    <row r="1367">
      <c r="A1367" s="76"/>
      <c r="B1367" s="77"/>
    </row>
    <row r="1368">
      <c r="A1368" s="76"/>
      <c r="B1368" s="77"/>
    </row>
    <row r="1369">
      <c r="A1369" s="76"/>
      <c r="B1369" s="77"/>
    </row>
    <row r="1370">
      <c r="A1370" s="76"/>
      <c r="B1370" s="77"/>
    </row>
    <row r="1371">
      <c r="A1371" s="76"/>
      <c r="B1371" s="77"/>
    </row>
    <row r="1372">
      <c r="A1372" s="76"/>
      <c r="B1372" s="77"/>
    </row>
    <row r="1373">
      <c r="A1373" s="76"/>
      <c r="B1373" s="77"/>
    </row>
    <row r="1374">
      <c r="A1374" s="76"/>
      <c r="B1374" s="77"/>
    </row>
    <row r="1375">
      <c r="A1375" s="76"/>
      <c r="B1375" s="77"/>
    </row>
    <row r="1376">
      <c r="A1376" s="76"/>
      <c r="B1376" s="77"/>
    </row>
    <row r="1377">
      <c r="A1377" s="76"/>
      <c r="B1377" s="77"/>
    </row>
    <row r="1378">
      <c r="A1378" s="76"/>
      <c r="B1378" s="77"/>
    </row>
    <row r="1379">
      <c r="A1379" s="76"/>
      <c r="B1379" s="77"/>
    </row>
    <row r="1380">
      <c r="A1380" s="76"/>
      <c r="B1380" s="77"/>
    </row>
    <row r="1381">
      <c r="A1381" s="76"/>
      <c r="B1381" s="77"/>
    </row>
    <row r="1382">
      <c r="A1382" s="76"/>
      <c r="B1382" s="77"/>
    </row>
    <row r="1383">
      <c r="A1383" s="76"/>
      <c r="B1383" s="77"/>
    </row>
    <row r="1384">
      <c r="A1384" s="76"/>
      <c r="B1384" s="77"/>
    </row>
    <row r="1385">
      <c r="A1385" s="76"/>
      <c r="B1385" s="77"/>
    </row>
    <row r="1386">
      <c r="A1386" s="76"/>
      <c r="B1386" s="77"/>
    </row>
    <row r="1387">
      <c r="A1387" s="76"/>
      <c r="B1387" s="77"/>
    </row>
    <row r="1388">
      <c r="A1388" s="76"/>
      <c r="B1388" s="77"/>
    </row>
    <row r="1389">
      <c r="A1389" s="76"/>
      <c r="B1389" s="77"/>
    </row>
    <row r="1390">
      <c r="A1390" s="76"/>
      <c r="B1390" s="77"/>
    </row>
    <row r="1391">
      <c r="A1391" s="76"/>
      <c r="B1391" s="77"/>
    </row>
    <row r="1392">
      <c r="A1392" s="76"/>
      <c r="B1392" s="77"/>
    </row>
    <row r="1393">
      <c r="A1393" s="76"/>
      <c r="B1393" s="77"/>
    </row>
    <row r="1394">
      <c r="A1394" s="76"/>
      <c r="B1394" s="77"/>
    </row>
    <row r="1395">
      <c r="A1395" s="76"/>
      <c r="B1395" s="77"/>
    </row>
    <row r="1396">
      <c r="A1396" s="76"/>
      <c r="B1396" s="77"/>
    </row>
    <row r="1397">
      <c r="A1397" s="76"/>
      <c r="B1397" s="77"/>
    </row>
    <row r="1398">
      <c r="A1398" s="76"/>
      <c r="B1398" s="77"/>
    </row>
    <row r="1399">
      <c r="A1399" s="76"/>
      <c r="B1399" s="77"/>
    </row>
    <row r="1400">
      <c r="A1400" s="76"/>
      <c r="B1400" s="77"/>
    </row>
    <row r="1401">
      <c r="A1401" s="76"/>
      <c r="B1401" s="77"/>
    </row>
    <row r="1402">
      <c r="A1402" s="76"/>
      <c r="B1402" s="77"/>
    </row>
    <row r="1403">
      <c r="A1403" s="76"/>
      <c r="B1403" s="77"/>
    </row>
    <row r="1404">
      <c r="A1404" s="76"/>
      <c r="B1404" s="77"/>
    </row>
    <row r="1405">
      <c r="A1405" s="76"/>
      <c r="B1405" s="77"/>
    </row>
    <row r="1406">
      <c r="A1406" s="76"/>
      <c r="B1406" s="77"/>
    </row>
    <row r="1407">
      <c r="A1407" s="76"/>
      <c r="B1407" s="77"/>
    </row>
    <row r="1408">
      <c r="A1408" s="76"/>
      <c r="B1408" s="77"/>
    </row>
    <row r="1409">
      <c r="A1409" s="76"/>
      <c r="B1409" s="77"/>
    </row>
    <row r="1410">
      <c r="A1410" s="76"/>
      <c r="B1410" s="77"/>
    </row>
    <row r="1411">
      <c r="A1411" s="76"/>
      <c r="B1411" s="77"/>
    </row>
    <row r="1412">
      <c r="A1412" s="76"/>
      <c r="B1412" s="77"/>
    </row>
    <row r="1413">
      <c r="A1413" s="76"/>
      <c r="B1413" s="77"/>
    </row>
    <row r="1414">
      <c r="A1414" s="76"/>
      <c r="B1414" s="77"/>
    </row>
    <row r="1415">
      <c r="A1415" s="76"/>
      <c r="B1415" s="77"/>
    </row>
    <row r="1416">
      <c r="A1416" s="76"/>
      <c r="B1416" s="77"/>
    </row>
    <row r="1417">
      <c r="A1417" s="76"/>
      <c r="B1417" s="77"/>
    </row>
    <row r="1418">
      <c r="A1418" s="76"/>
      <c r="B1418" s="77"/>
    </row>
    <row r="1419">
      <c r="A1419" s="76"/>
      <c r="B1419" s="77"/>
    </row>
    <row r="1420">
      <c r="A1420" s="76"/>
      <c r="B1420" s="77"/>
    </row>
    <row r="1421">
      <c r="A1421" s="76"/>
      <c r="B1421" s="77"/>
    </row>
    <row r="1422">
      <c r="A1422" s="76"/>
      <c r="B1422" s="77"/>
    </row>
    <row r="1423">
      <c r="A1423" s="76"/>
      <c r="B1423" s="77"/>
    </row>
    <row r="1424">
      <c r="A1424" s="76"/>
      <c r="B1424" s="77"/>
    </row>
    <row r="1425">
      <c r="A1425" s="76"/>
      <c r="B1425" s="77"/>
    </row>
    <row r="1426">
      <c r="A1426" s="76"/>
      <c r="B1426" s="77"/>
    </row>
    <row r="1427">
      <c r="A1427" s="76"/>
      <c r="B1427" s="77"/>
    </row>
    <row r="1428">
      <c r="A1428" s="76"/>
      <c r="B1428" s="77"/>
    </row>
    <row r="1429">
      <c r="A1429" s="76"/>
      <c r="B1429" s="77"/>
    </row>
    <row r="1430">
      <c r="A1430" s="76"/>
      <c r="B1430" s="77"/>
    </row>
    <row r="1431">
      <c r="A1431" s="76"/>
      <c r="B1431" s="77"/>
    </row>
    <row r="1432">
      <c r="A1432" s="76"/>
      <c r="B1432" s="77"/>
    </row>
    <row r="1433">
      <c r="A1433" s="76"/>
      <c r="B1433" s="77"/>
    </row>
    <row r="1434">
      <c r="A1434" s="76"/>
      <c r="B1434" s="77"/>
    </row>
    <row r="1435">
      <c r="A1435" s="76"/>
      <c r="B1435" s="77"/>
    </row>
    <row r="1436">
      <c r="A1436" s="76"/>
      <c r="B1436" s="77"/>
    </row>
    <row r="1437">
      <c r="A1437" s="76"/>
      <c r="B1437" s="77"/>
    </row>
    <row r="1438">
      <c r="A1438" s="76"/>
      <c r="B1438" s="77"/>
    </row>
    <row r="1439">
      <c r="A1439" s="76"/>
      <c r="B1439" s="77"/>
    </row>
    <row r="1440">
      <c r="A1440" s="76"/>
      <c r="B1440" s="77"/>
    </row>
    <row r="1441">
      <c r="A1441" s="76"/>
      <c r="B1441" s="77"/>
    </row>
    <row r="1442">
      <c r="A1442" s="76"/>
      <c r="B1442" s="77"/>
    </row>
    <row r="1443">
      <c r="A1443" s="76"/>
      <c r="B1443" s="77"/>
    </row>
    <row r="1444">
      <c r="A1444" s="76"/>
      <c r="B1444" s="77"/>
    </row>
    <row r="1445">
      <c r="A1445" s="76"/>
      <c r="B1445" s="77"/>
    </row>
    <row r="1446">
      <c r="A1446" s="76"/>
      <c r="B1446" s="77"/>
    </row>
    <row r="1447">
      <c r="A1447" s="76"/>
      <c r="B1447" s="77"/>
    </row>
    <row r="1448">
      <c r="A1448" s="76"/>
      <c r="B1448" s="77"/>
    </row>
    <row r="1449">
      <c r="A1449" s="76"/>
      <c r="B1449" s="77"/>
    </row>
    <row r="1450">
      <c r="A1450" s="76"/>
      <c r="B1450" s="77"/>
    </row>
    <row r="1451">
      <c r="A1451" s="76"/>
      <c r="B1451" s="77"/>
    </row>
    <row r="1452">
      <c r="A1452" s="76"/>
      <c r="B1452" s="77"/>
    </row>
    <row r="1453">
      <c r="A1453" s="76"/>
      <c r="B1453" s="77"/>
    </row>
    <row r="1454">
      <c r="A1454" s="76"/>
      <c r="B1454" s="77"/>
    </row>
    <row r="1455">
      <c r="A1455" s="76"/>
      <c r="B1455" s="77"/>
    </row>
    <row r="1456">
      <c r="A1456" s="76"/>
      <c r="B1456" s="77"/>
    </row>
    <row r="1457">
      <c r="A1457" s="76"/>
      <c r="B1457" s="77"/>
    </row>
    <row r="1458">
      <c r="A1458" s="76"/>
      <c r="B1458" s="77"/>
    </row>
    <row r="1459">
      <c r="A1459" s="76"/>
      <c r="B1459" s="77"/>
    </row>
    <row r="1460">
      <c r="A1460" s="76"/>
      <c r="B1460" s="77"/>
    </row>
    <row r="1461">
      <c r="A1461" s="76"/>
      <c r="B1461" s="77"/>
    </row>
    <row r="1462">
      <c r="A1462" s="76"/>
      <c r="B1462" s="77"/>
    </row>
    <row r="1463">
      <c r="A1463" s="76"/>
      <c r="B1463" s="77"/>
    </row>
    <row r="1464">
      <c r="A1464" s="76"/>
      <c r="B1464" s="77"/>
    </row>
    <row r="1465">
      <c r="A1465" s="76"/>
      <c r="B1465" s="77"/>
    </row>
    <row r="1466">
      <c r="A1466" s="76"/>
      <c r="B1466" s="77"/>
    </row>
    <row r="1467">
      <c r="A1467" s="76"/>
      <c r="B1467" s="77"/>
    </row>
    <row r="1468">
      <c r="A1468" s="76"/>
      <c r="B1468" s="77"/>
    </row>
    <row r="1469">
      <c r="A1469" s="76"/>
      <c r="B1469" s="77"/>
    </row>
    <row r="1470">
      <c r="A1470" s="76"/>
      <c r="B1470" s="77"/>
    </row>
    <row r="1471">
      <c r="A1471" s="76"/>
      <c r="B1471" s="77"/>
    </row>
    <row r="1472">
      <c r="A1472" s="76"/>
      <c r="B1472" s="77"/>
    </row>
    <row r="1473">
      <c r="A1473" s="76"/>
      <c r="B1473" s="77"/>
    </row>
    <row r="1474">
      <c r="A1474" s="76"/>
      <c r="B1474" s="77"/>
    </row>
    <row r="1475">
      <c r="A1475" s="76"/>
      <c r="B1475" s="77"/>
    </row>
    <row r="1476">
      <c r="A1476" s="76"/>
      <c r="B1476" s="77"/>
    </row>
    <row r="1477">
      <c r="A1477" s="76"/>
      <c r="B1477" s="77"/>
    </row>
    <row r="1478">
      <c r="A1478" s="76"/>
      <c r="B1478" s="77"/>
    </row>
    <row r="1479">
      <c r="A1479" s="76"/>
      <c r="B1479" s="77"/>
    </row>
    <row r="1480">
      <c r="A1480" s="76"/>
      <c r="B1480" s="77"/>
    </row>
    <row r="1481">
      <c r="A1481" s="76"/>
      <c r="B1481" s="77"/>
    </row>
    <row r="1482">
      <c r="A1482" s="76"/>
      <c r="B1482" s="77"/>
    </row>
    <row r="1483">
      <c r="A1483" s="76"/>
      <c r="B1483" s="77"/>
    </row>
    <row r="1484">
      <c r="A1484" s="76"/>
      <c r="B1484" s="77"/>
    </row>
    <row r="1485">
      <c r="A1485" s="76"/>
      <c r="B1485" s="77"/>
    </row>
    <row r="1486">
      <c r="A1486" s="76"/>
      <c r="B1486" s="77"/>
    </row>
    <row r="1487">
      <c r="A1487" s="76"/>
      <c r="B1487" s="77"/>
    </row>
    <row r="1488">
      <c r="A1488" s="76"/>
      <c r="B1488" s="77"/>
    </row>
    <row r="1489">
      <c r="A1489" s="76"/>
      <c r="B1489" s="77"/>
    </row>
    <row r="1490">
      <c r="A1490" s="76"/>
      <c r="B1490" s="77"/>
    </row>
    <row r="1491">
      <c r="A1491" s="76"/>
      <c r="B1491" s="77"/>
    </row>
    <row r="1492">
      <c r="A1492" s="76"/>
      <c r="B1492" s="77"/>
    </row>
    <row r="1493">
      <c r="A1493" s="76"/>
      <c r="B1493" s="77"/>
    </row>
    <row r="1494">
      <c r="A1494" s="76"/>
      <c r="B1494" s="77"/>
    </row>
    <row r="1495">
      <c r="A1495" s="76"/>
      <c r="B1495" s="77"/>
    </row>
    <row r="1496">
      <c r="A1496" s="76"/>
      <c r="B1496" s="77"/>
    </row>
    <row r="1497">
      <c r="A1497" s="76"/>
      <c r="B1497" s="77"/>
    </row>
    <row r="1498">
      <c r="A1498" s="76"/>
      <c r="B1498" s="77"/>
    </row>
    <row r="1499">
      <c r="A1499" s="76"/>
      <c r="B1499" s="77"/>
    </row>
    <row r="1500">
      <c r="A1500" s="76"/>
      <c r="B1500" s="77"/>
    </row>
    <row r="1501">
      <c r="A1501" s="76"/>
      <c r="B1501" s="77"/>
    </row>
    <row r="1502">
      <c r="A1502" s="76"/>
      <c r="B1502" s="77"/>
    </row>
    <row r="1503">
      <c r="A1503" s="76"/>
      <c r="B1503" s="77"/>
    </row>
    <row r="1504">
      <c r="A1504" s="76"/>
      <c r="B1504" s="77"/>
    </row>
    <row r="1505">
      <c r="A1505" s="76"/>
      <c r="B1505" s="77"/>
    </row>
    <row r="1506">
      <c r="A1506" s="76"/>
      <c r="B1506" s="77"/>
    </row>
    <row r="1507">
      <c r="A1507" s="76"/>
      <c r="B1507" s="77"/>
    </row>
    <row r="1508">
      <c r="A1508" s="76"/>
      <c r="B1508" s="77"/>
    </row>
    <row r="1509">
      <c r="A1509" s="76"/>
      <c r="B1509" s="77"/>
    </row>
    <row r="1510">
      <c r="A1510" s="76"/>
      <c r="B1510" s="77"/>
    </row>
    <row r="1511">
      <c r="A1511" s="76"/>
      <c r="B1511" s="77"/>
    </row>
    <row r="1512">
      <c r="A1512" s="76"/>
      <c r="B1512" s="77"/>
    </row>
    <row r="1513">
      <c r="A1513" s="76"/>
      <c r="B1513" s="77"/>
    </row>
    <row r="1514">
      <c r="A1514" s="76"/>
      <c r="B1514" s="77"/>
    </row>
    <row r="1515">
      <c r="A1515" s="76"/>
      <c r="B1515" s="77"/>
    </row>
    <row r="1516">
      <c r="A1516" s="76"/>
      <c r="B1516" s="77"/>
    </row>
    <row r="1517">
      <c r="A1517" s="76"/>
      <c r="B1517" s="77"/>
    </row>
    <row r="1518">
      <c r="A1518" s="76"/>
      <c r="B1518" s="77"/>
    </row>
    <row r="1519">
      <c r="A1519" s="76"/>
      <c r="B1519" s="77"/>
    </row>
    <row r="1520">
      <c r="A1520" s="76"/>
      <c r="B1520" s="77"/>
    </row>
    <row r="1521">
      <c r="A1521" s="76"/>
      <c r="B1521" s="77"/>
    </row>
    <row r="1522">
      <c r="A1522" s="76"/>
      <c r="B1522" s="77"/>
    </row>
    <row r="1523">
      <c r="A1523" s="76"/>
      <c r="B1523" s="77"/>
    </row>
    <row r="1524">
      <c r="A1524" s="76"/>
      <c r="B1524" s="77"/>
    </row>
    <row r="1525">
      <c r="A1525" s="76"/>
      <c r="B1525" s="77"/>
    </row>
    <row r="1526">
      <c r="A1526" s="76"/>
      <c r="B1526" s="77"/>
    </row>
    <row r="1527">
      <c r="A1527" s="76"/>
      <c r="B1527" s="77"/>
    </row>
    <row r="1528">
      <c r="A1528" s="76"/>
      <c r="B1528" s="77"/>
    </row>
    <row r="1529">
      <c r="A1529" s="76"/>
      <c r="B1529" s="77"/>
    </row>
    <row r="1530">
      <c r="A1530" s="76"/>
      <c r="B1530" s="77"/>
    </row>
    <row r="1531">
      <c r="A1531" s="76"/>
      <c r="B1531" s="77"/>
    </row>
    <row r="1532">
      <c r="A1532" s="76"/>
      <c r="B1532" s="77"/>
    </row>
    <row r="1533">
      <c r="A1533" s="76"/>
      <c r="B1533" s="77"/>
    </row>
    <row r="1534">
      <c r="A1534" s="76"/>
      <c r="B1534" s="77"/>
    </row>
    <row r="1535">
      <c r="A1535" s="76"/>
      <c r="B1535" s="77"/>
    </row>
    <row r="1536">
      <c r="A1536" s="76"/>
      <c r="B1536" s="77"/>
    </row>
    <row r="1537">
      <c r="A1537" s="76"/>
      <c r="B1537" s="77"/>
    </row>
    <row r="1538">
      <c r="A1538" s="76"/>
      <c r="B1538" s="77"/>
    </row>
    <row r="1539">
      <c r="A1539" s="76"/>
      <c r="B1539" s="77"/>
    </row>
    <row r="1540">
      <c r="A1540" s="76"/>
      <c r="B1540" s="77"/>
    </row>
    <row r="1541">
      <c r="A1541" s="76"/>
      <c r="B1541" s="77"/>
    </row>
    <row r="1542">
      <c r="A1542" s="76"/>
      <c r="B1542" s="77"/>
    </row>
    <row r="1543">
      <c r="A1543" s="76"/>
      <c r="B1543" s="77"/>
    </row>
    <row r="1544">
      <c r="A1544" s="76"/>
      <c r="B1544" s="77"/>
    </row>
    <row r="1545">
      <c r="A1545" s="76"/>
      <c r="B1545" s="77"/>
    </row>
    <row r="1546">
      <c r="A1546" s="76"/>
      <c r="B1546" s="77"/>
    </row>
    <row r="1547">
      <c r="A1547" s="76"/>
      <c r="B1547" s="77"/>
    </row>
    <row r="1548">
      <c r="A1548" s="76"/>
      <c r="B1548" s="77"/>
    </row>
    <row r="1549">
      <c r="A1549" s="76"/>
      <c r="B1549" s="77"/>
    </row>
    <row r="1550">
      <c r="A1550" s="76"/>
      <c r="B1550" s="77"/>
    </row>
    <row r="1551">
      <c r="A1551" s="76"/>
      <c r="B1551" s="77"/>
    </row>
    <row r="1552">
      <c r="A1552" s="76"/>
      <c r="B1552" s="77"/>
    </row>
    <row r="1553">
      <c r="A1553" s="76"/>
      <c r="B1553" s="77"/>
    </row>
    <row r="1554">
      <c r="A1554" s="76"/>
      <c r="B1554" s="77"/>
    </row>
    <row r="1555">
      <c r="A1555" s="76"/>
      <c r="B1555" s="77"/>
    </row>
    <row r="1556">
      <c r="A1556" s="76"/>
      <c r="B1556" s="77"/>
    </row>
    <row r="1557">
      <c r="A1557" s="76"/>
      <c r="B1557" s="77"/>
    </row>
    <row r="1558">
      <c r="A1558" s="76"/>
      <c r="B1558" s="77"/>
    </row>
    <row r="1559">
      <c r="A1559" s="76"/>
      <c r="B1559" s="77"/>
    </row>
    <row r="1560">
      <c r="A1560" s="76"/>
      <c r="B1560" s="77"/>
    </row>
    <row r="1561">
      <c r="A1561" s="76"/>
      <c r="B1561" s="77"/>
    </row>
    <row r="1562">
      <c r="A1562" s="76"/>
      <c r="B1562" s="77"/>
    </row>
    <row r="1563">
      <c r="A1563" s="76"/>
      <c r="B1563" s="77"/>
    </row>
    <row r="1564">
      <c r="A1564" s="76"/>
      <c r="B1564" s="77"/>
    </row>
    <row r="1565">
      <c r="A1565" s="76"/>
      <c r="B1565" s="77"/>
    </row>
    <row r="1566">
      <c r="A1566" s="76"/>
      <c r="B1566" s="77"/>
    </row>
    <row r="1567">
      <c r="A1567" s="76"/>
      <c r="B1567" s="77"/>
    </row>
    <row r="1568">
      <c r="A1568" s="76"/>
      <c r="B1568" s="77"/>
    </row>
    <row r="1569">
      <c r="A1569" s="76"/>
      <c r="B1569" s="77"/>
    </row>
    <row r="1570">
      <c r="A1570" s="76"/>
      <c r="B1570" s="77"/>
    </row>
    <row r="1571">
      <c r="A1571" s="76"/>
      <c r="B1571" s="77"/>
    </row>
    <row r="1572">
      <c r="A1572" s="76"/>
      <c r="B1572" s="77"/>
    </row>
    <row r="1573">
      <c r="A1573" s="76"/>
      <c r="B1573" s="77"/>
    </row>
    <row r="1574">
      <c r="A1574" s="76"/>
      <c r="B1574" s="77"/>
    </row>
    <row r="1575">
      <c r="A1575" s="76"/>
      <c r="B1575" s="77"/>
    </row>
    <row r="1576">
      <c r="A1576" s="76"/>
      <c r="B1576" s="77"/>
    </row>
    <row r="1577">
      <c r="A1577" s="76"/>
      <c r="B1577" s="77"/>
    </row>
    <row r="1578">
      <c r="A1578" s="76"/>
      <c r="B1578" s="77"/>
    </row>
    <row r="1579">
      <c r="A1579" s="76"/>
      <c r="B1579" s="77"/>
    </row>
    <row r="1580">
      <c r="A1580" s="76"/>
      <c r="B1580" s="77"/>
    </row>
    <row r="1581">
      <c r="A1581" s="76"/>
      <c r="B1581" s="77"/>
    </row>
    <row r="1582">
      <c r="A1582" s="76"/>
      <c r="B1582" s="77"/>
    </row>
    <row r="1583">
      <c r="A1583" s="76"/>
      <c r="B1583" s="77"/>
    </row>
    <row r="1584">
      <c r="A1584" s="76"/>
      <c r="B1584" s="77"/>
    </row>
    <row r="1585">
      <c r="A1585" s="76"/>
      <c r="B1585" s="77"/>
    </row>
    <row r="1586">
      <c r="A1586" s="76"/>
      <c r="B1586" s="77"/>
    </row>
    <row r="1587">
      <c r="A1587" s="76"/>
      <c r="B1587" s="77"/>
    </row>
    <row r="1588">
      <c r="A1588" s="76"/>
      <c r="B1588" s="77"/>
    </row>
    <row r="1589">
      <c r="A1589" s="76"/>
      <c r="B1589" s="77"/>
    </row>
    <row r="1590">
      <c r="A1590" s="76"/>
      <c r="B1590" s="77"/>
    </row>
    <row r="1591">
      <c r="A1591" s="76"/>
      <c r="B1591" s="77"/>
    </row>
    <row r="1592">
      <c r="A1592" s="76"/>
      <c r="B1592" s="77"/>
    </row>
    <row r="1593">
      <c r="A1593" s="76"/>
      <c r="B1593" s="77"/>
    </row>
    <row r="1594">
      <c r="A1594" s="76"/>
      <c r="B1594" s="77"/>
    </row>
    <row r="1595">
      <c r="A1595" s="76"/>
      <c r="B1595" s="77"/>
    </row>
    <row r="1596">
      <c r="A1596" s="76"/>
      <c r="B1596" s="77"/>
    </row>
    <row r="1597">
      <c r="A1597" s="76"/>
      <c r="B1597" s="77"/>
    </row>
    <row r="1598">
      <c r="A1598" s="76"/>
      <c r="B1598" s="77"/>
    </row>
    <row r="1599">
      <c r="A1599" s="76"/>
      <c r="B1599" s="77"/>
    </row>
    <row r="1600">
      <c r="A1600" s="76"/>
      <c r="B1600" s="77"/>
    </row>
    <row r="1601">
      <c r="A1601" s="76"/>
      <c r="B1601" s="77"/>
    </row>
    <row r="1602">
      <c r="A1602" s="76"/>
      <c r="B1602" s="77"/>
    </row>
    <row r="1603">
      <c r="A1603" s="76"/>
      <c r="B1603" s="77"/>
    </row>
    <row r="1604">
      <c r="A1604" s="76"/>
      <c r="B1604" s="77"/>
    </row>
    <row r="1605">
      <c r="A1605" s="76"/>
      <c r="B1605" s="77"/>
    </row>
    <row r="1606">
      <c r="A1606" s="76"/>
      <c r="B1606" s="77"/>
    </row>
    <row r="1607">
      <c r="A1607" s="76"/>
      <c r="B1607" s="77"/>
    </row>
    <row r="1608">
      <c r="A1608" s="76"/>
      <c r="B1608" s="77"/>
    </row>
    <row r="1609">
      <c r="A1609" s="76"/>
      <c r="B1609" s="77"/>
    </row>
    <row r="1610">
      <c r="A1610" s="76"/>
      <c r="B1610" s="77"/>
    </row>
    <row r="1611">
      <c r="A1611" s="76"/>
      <c r="B1611" s="77"/>
    </row>
    <row r="1612">
      <c r="A1612" s="76"/>
      <c r="B1612" s="77"/>
    </row>
    <row r="1613">
      <c r="A1613" s="76"/>
      <c r="B1613" s="77"/>
    </row>
    <row r="1614">
      <c r="A1614" s="76"/>
      <c r="B1614" s="77"/>
    </row>
    <row r="1615">
      <c r="A1615" s="76"/>
      <c r="B1615" s="77"/>
    </row>
    <row r="1616">
      <c r="A1616" s="76"/>
      <c r="B1616" s="77"/>
    </row>
    <row r="1617">
      <c r="A1617" s="76"/>
      <c r="B1617" s="77"/>
    </row>
    <row r="1618">
      <c r="A1618" s="76"/>
      <c r="B1618" s="77"/>
    </row>
    <row r="1619">
      <c r="A1619" s="76"/>
      <c r="B1619" s="77"/>
    </row>
    <row r="1620">
      <c r="A1620" s="76"/>
      <c r="B1620" s="77"/>
    </row>
    <row r="1621">
      <c r="A1621" s="76"/>
      <c r="B1621" s="77"/>
    </row>
    <row r="1622">
      <c r="A1622" s="76"/>
      <c r="B1622" s="77"/>
    </row>
    <row r="1623">
      <c r="A1623" s="76"/>
      <c r="B1623" s="77"/>
    </row>
    <row r="1624">
      <c r="A1624" s="76"/>
      <c r="B1624" s="77"/>
    </row>
    <row r="1625">
      <c r="A1625" s="76"/>
      <c r="B1625" s="77"/>
    </row>
    <row r="1626">
      <c r="A1626" s="76"/>
      <c r="B1626" s="77"/>
    </row>
    <row r="1627">
      <c r="A1627" s="76"/>
      <c r="B1627" s="77"/>
    </row>
    <row r="1628">
      <c r="A1628" s="76"/>
      <c r="B1628" s="77"/>
    </row>
    <row r="1629">
      <c r="A1629" s="76"/>
      <c r="B1629" s="77"/>
    </row>
    <row r="1630">
      <c r="A1630" s="76"/>
      <c r="B1630" s="77"/>
    </row>
    <row r="1631">
      <c r="A1631" s="76"/>
      <c r="B1631" s="77"/>
    </row>
    <row r="1632">
      <c r="A1632" s="76"/>
      <c r="B1632" s="77"/>
    </row>
    <row r="1633">
      <c r="A1633" s="76"/>
      <c r="B1633" s="77"/>
    </row>
    <row r="1634">
      <c r="A1634" s="76"/>
      <c r="B1634" s="77"/>
    </row>
    <row r="1635">
      <c r="A1635" s="76"/>
      <c r="B1635" s="77"/>
    </row>
    <row r="1636">
      <c r="A1636" s="76"/>
      <c r="B1636" s="77"/>
    </row>
    <row r="1637">
      <c r="A1637" s="76"/>
      <c r="B1637" s="77"/>
    </row>
    <row r="1638">
      <c r="A1638" s="76"/>
      <c r="B1638" s="77"/>
    </row>
    <row r="1639">
      <c r="A1639" s="76"/>
      <c r="B1639" s="77"/>
    </row>
    <row r="1640">
      <c r="A1640" s="76"/>
      <c r="B1640" s="77"/>
    </row>
    <row r="1641">
      <c r="A1641" s="76"/>
      <c r="B1641" s="77"/>
    </row>
    <row r="1642">
      <c r="A1642" s="76"/>
      <c r="B1642" s="77"/>
    </row>
    <row r="1643">
      <c r="A1643" s="76"/>
      <c r="B1643" s="77"/>
    </row>
    <row r="1644">
      <c r="A1644" s="76"/>
      <c r="B1644" s="77"/>
    </row>
    <row r="1645">
      <c r="A1645" s="76"/>
      <c r="B1645" s="77"/>
    </row>
    <row r="1646">
      <c r="A1646" s="76"/>
      <c r="B1646" s="77"/>
    </row>
    <row r="1647">
      <c r="A1647" s="76"/>
      <c r="B1647" s="77"/>
    </row>
    <row r="1648">
      <c r="A1648" s="76"/>
      <c r="B1648" s="77"/>
    </row>
    <row r="1649">
      <c r="A1649" s="76"/>
      <c r="B1649" s="77"/>
    </row>
    <row r="1650">
      <c r="A1650" s="76"/>
      <c r="B1650" s="77"/>
    </row>
    <row r="1651">
      <c r="A1651" s="76"/>
      <c r="B1651" s="77"/>
    </row>
    <row r="1652">
      <c r="A1652" s="76"/>
      <c r="B1652" s="77"/>
    </row>
    <row r="1653">
      <c r="A1653" s="76"/>
      <c r="B1653" s="77"/>
    </row>
    <row r="1654">
      <c r="A1654" s="76"/>
      <c r="B1654" s="77"/>
    </row>
    <row r="1655">
      <c r="A1655" s="76"/>
      <c r="B1655" s="77"/>
    </row>
    <row r="1656">
      <c r="A1656" s="76"/>
      <c r="B1656" s="77"/>
    </row>
    <row r="1657">
      <c r="A1657" s="76"/>
      <c r="B1657" s="77"/>
    </row>
    <row r="1658">
      <c r="A1658" s="76"/>
      <c r="B1658" s="77"/>
    </row>
    <row r="1659">
      <c r="A1659" s="76"/>
      <c r="B1659" s="77"/>
    </row>
    <row r="1660">
      <c r="A1660" s="76"/>
      <c r="B1660" s="77"/>
    </row>
    <row r="1661">
      <c r="A1661" s="76"/>
      <c r="B1661" s="77"/>
    </row>
    <row r="1662">
      <c r="A1662" s="76"/>
      <c r="B1662" s="77"/>
    </row>
    <row r="1663">
      <c r="A1663" s="76"/>
      <c r="B1663" s="77"/>
    </row>
    <row r="1664">
      <c r="A1664" s="76"/>
      <c r="B1664" s="77"/>
    </row>
    <row r="1665">
      <c r="A1665" s="76"/>
      <c r="B1665" s="77"/>
    </row>
    <row r="1666">
      <c r="A1666" s="76"/>
      <c r="B1666" s="77"/>
    </row>
    <row r="1667">
      <c r="A1667" s="76"/>
      <c r="B1667" s="77"/>
    </row>
    <row r="1668">
      <c r="A1668" s="76"/>
      <c r="B1668" s="77"/>
    </row>
    <row r="1669">
      <c r="A1669" s="76"/>
      <c r="B1669" s="77"/>
    </row>
    <row r="1670">
      <c r="A1670" s="76"/>
      <c r="B1670" s="77"/>
    </row>
    <row r="1671">
      <c r="A1671" s="76"/>
      <c r="B1671" s="77"/>
    </row>
    <row r="1672">
      <c r="A1672" s="76"/>
      <c r="B1672" s="77"/>
    </row>
    <row r="1673">
      <c r="A1673" s="76"/>
      <c r="B1673" s="77"/>
    </row>
    <row r="1674">
      <c r="A1674" s="76"/>
      <c r="B1674" s="77"/>
    </row>
    <row r="1675">
      <c r="A1675" s="76"/>
      <c r="B1675" s="77"/>
    </row>
    <row r="1676">
      <c r="A1676" s="76"/>
      <c r="B1676" s="77"/>
    </row>
    <row r="1677">
      <c r="A1677" s="76"/>
      <c r="B1677" s="77"/>
    </row>
    <row r="1678">
      <c r="A1678" s="76"/>
      <c r="B1678" s="77"/>
    </row>
    <row r="1679">
      <c r="A1679" s="76"/>
      <c r="B1679" s="77"/>
    </row>
    <row r="1680">
      <c r="A1680" s="76"/>
      <c r="B1680" s="77"/>
    </row>
    <row r="1681">
      <c r="A1681" s="76"/>
      <c r="B1681" s="77"/>
    </row>
    <row r="1682">
      <c r="A1682" s="76"/>
      <c r="B1682" s="77"/>
    </row>
    <row r="1683">
      <c r="A1683" s="76"/>
      <c r="B1683" s="77"/>
    </row>
    <row r="1684">
      <c r="A1684" s="76"/>
      <c r="B1684" s="77"/>
    </row>
    <row r="1685">
      <c r="A1685" s="76"/>
      <c r="B1685" s="77"/>
    </row>
    <row r="1686">
      <c r="A1686" s="76"/>
      <c r="B1686" s="77"/>
    </row>
    <row r="1687">
      <c r="A1687" s="76"/>
      <c r="B1687" s="77"/>
    </row>
    <row r="1688">
      <c r="A1688" s="76"/>
      <c r="B1688" s="77"/>
    </row>
    <row r="1689">
      <c r="A1689" s="76"/>
      <c r="B1689" s="77"/>
    </row>
    <row r="1690">
      <c r="A1690" s="76"/>
      <c r="B1690" s="77"/>
    </row>
    <row r="1691">
      <c r="A1691" s="76"/>
      <c r="B1691" s="77"/>
    </row>
    <row r="1692">
      <c r="A1692" s="76"/>
      <c r="B1692" s="77"/>
    </row>
    <row r="1693">
      <c r="A1693" s="76"/>
      <c r="B1693" s="77"/>
    </row>
    <row r="1694">
      <c r="A1694" s="76"/>
      <c r="B1694" s="77"/>
    </row>
    <row r="1695">
      <c r="A1695" s="76"/>
      <c r="B1695" s="77"/>
    </row>
    <row r="1696">
      <c r="A1696" s="76"/>
      <c r="B1696" s="77"/>
    </row>
    <row r="1697">
      <c r="A1697" s="76"/>
      <c r="B1697" s="77"/>
    </row>
    <row r="1698">
      <c r="A1698" s="76"/>
      <c r="B1698" s="77"/>
    </row>
    <row r="1699">
      <c r="A1699" s="76"/>
      <c r="B1699" s="77"/>
    </row>
    <row r="1700">
      <c r="A1700" s="76"/>
      <c r="B1700" s="77"/>
    </row>
    <row r="1701">
      <c r="A1701" s="76"/>
      <c r="B1701" s="77"/>
    </row>
    <row r="1702">
      <c r="A1702" s="76"/>
      <c r="B1702" s="77"/>
    </row>
    <row r="1703">
      <c r="A1703" s="76"/>
      <c r="B1703" s="77"/>
    </row>
    <row r="1704">
      <c r="A1704" s="76"/>
      <c r="B1704" s="77"/>
    </row>
    <row r="1705">
      <c r="A1705" s="76"/>
      <c r="B1705" s="77"/>
    </row>
    <row r="1706">
      <c r="A1706" s="76"/>
      <c r="B1706" s="77"/>
    </row>
    <row r="1707">
      <c r="A1707" s="76"/>
      <c r="B1707" s="77"/>
    </row>
    <row r="1708">
      <c r="A1708" s="76"/>
      <c r="B1708" s="77"/>
    </row>
    <row r="1709">
      <c r="A1709" s="76"/>
      <c r="B1709" s="77"/>
    </row>
    <row r="1710">
      <c r="A1710" s="76"/>
      <c r="B1710" s="77"/>
    </row>
    <row r="1711">
      <c r="A1711" s="76"/>
      <c r="B1711" s="77"/>
    </row>
    <row r="1712">
      <c r="A1712" s="76"/>
      <c r="B1712" s="77"/>
    </row>
    <row r="1713">
      <c r="A1713" s="76"/>
      <c r="B1713" s="77"/>
    </row>
    <row r="1714">
      <c r="A1714" s="76"/>
      <c r="B1714" s="77"/>
    </row>
    <row r="1715">
      <c r="A1715" s="76"/>
      <c r="B1715" s="77"/>
    </row>
    <row r="1716">
      <c r="A1716" s="76"/>
      <c r="B1716" s="77"/>
    </row>
    <row r="1717">
      <c r="A1717" s="76"/>
      <c r="B1717" s="77"/>
    </row>
    <row r="1718">
      <c r="A1718" s="76"/>
      <c r="B1718" s="77"/>
    </row>
    <row r="1719">
      <c r="A1719" s="76"/>
      <c r="B1719" s="77"/>
    </row>
    <row r="1720">
      <c r="A1720" s="76"/>
      <c r="B1720" s="77"/>
    </row>
    <row r="1721">
      <c r="A1721" s="76"/>
      <c r="B1721" s="77"/>
    </row>
    <row r="1722">
      <c r="A1722" s="76"/>
      <c r="B1722" s="77"/>
    </row>
    <row r="1723">
      <c r="A1723" s="76"/>
      <c r="B1723" s="77"/>
    </row>
    <row r="1724">
      <c r="A1724" s="76"/>
      <c r="B1724" s="77"/>
    </row>
    <row r="1725">
      <c r="A1725" s="76"/>
      <c r="B1725" s="77"/>
    </row>
    <row r="1726">
      <c r="A1726" s="76"/>
      <c r="B1726" s="77"/>
    </row>
    <row r="1727">
      <c r="A1727" s="76"/>
      <c r="B1727" s="77"/>
    </row>
    <row r="1728">
      <c r="A1728" s="76"/>
      <c r="B1728" s="77"/>
    </row>
    <row r="1729">
      <c r="A1729" s="76"/>
      <c r="B1729" s="77"/>
    </row>
    <row r="1730">
      <c r="A1730" s="76"/>
      <c r="B1730" s="77"/>
    </row>
    <row r="1731">
      <c r="A1731" s="76"/>
      <c r="B1731" s="77"/>
    </row>
    <row r="1732">
      <c r="A1732" s="76"/>
      <c r="B1732" s="77"/>
    </row>
    <row r="1733">
      <c r="A1733" s="76"/>
      <c r="B1733" s="77"/>
    </row>
    <row r="1734">
      <c r="A1734" s="76"/>
      <c r="B1734" s="77"/>
    </row>
    <row r="1735">
      <c r="A1735" s="76"/>
      <c r="B1735" s="77"/>
    </row>
    <row r="1736">
      <c r="A1736" s="76"/>
      <c r="B1736" s="77"/>
    </row>
    <row r="1737">
      <c r="A1737" s="76"/>
      <c r="B1737" s="77"/>
    </row>
    <row r="1738">
      <c r="A1738" s="76"/>
      <c r="B1738" s="77"/>
    </row>
    <row r="1739">
      <c r="A1739" s="76"/>
      <c r="B1739" s="77"/>
    </row>
    <row r="1740">
      <c r="A1740" s="76"/>
      <c r="B1740" s="77"/>
    </row>
    <row r="1741">
      <c r="A1741" s="76"/>
      <c r="B1741" s="77"/>
    </row>
    <row r="1742">
      <c r="A1742" s="76"/>
      <c r="B1742" s="77"/>
    </row>
    <row r="1743">
      <c r="A1743" s="76"/>
      <c r="B1743" s="77"/>
    </row>
    <row r="1744">
      <c r="A1744" s="76"/>
      <c r="B1744" s="77"/>
    </row>
    <row r="1745">
      <c r="A1745" s="76"/>
      <c r="B1745" s="77"/>
    </row>
    <row r="1746">
      <c r="A1746" s="76"/>
      <c r="B1746" s="77"/>
    </row>
    <row r="1747">
      <c r="A1747" s="76"/>
      <c r="B1747" s="77"/>
    </row>
    <row r="1748">
      <c r="A1748" s="76"/>
      <c r="B1748" s="77"/>
    </row>
    <row r="1749">
      <c r="A1749" s="76"/>
      <c r="B1749" s="77"/>
    </row>
    <row r="1750">
      <c r="A1750" s="76"/>
      <c r="B1750" s="77"/>
    </row>
    <row r="1751">
      <c r="A1751" s="76"/>
      <c r="B1751" s="77"/>
    </row>
    <row r="1752">
      <c r="A1752" s="76"/>
      <c r="B1752" s="77"/>
    </row>
    <row r="1753">
      <c r="A1753" s="76"/>
      <c r="B1753" s="77"/>
    </row>
    <row r="1754">
      <c r="A1754" s="76"/>
      <c r="B1754" s="77"/>
    </row>
    <row r="1755">
      <c r="A1755" s="76"/>
      <c r="B1755" s="77"/>
    </row>
    <row r="1756">
      <c r="A1756" s="76"/>
      <c r="B1756" s="77"/>
    </row>
    <row r="1757">
      <c r="A1757" s="76"/>
      <c r="B1757" s="77"/>
    </row>
    <row r="1758">
      <c r="A1758" s="76"/>
      <c r="B1758" s="77"/>
    </row>
    <row r="1759">
      <c r="A1759" s="76"/>
      <c r="B1759" s="77"/>
    </row>
    <row r="1760">
      <c r="A1760" s="76"/>
      <c r="B1760" s="77"/>
    </row>
    <row r="1761">
      <c r="A1761" s="76"/>
      <c r="B1761" s="77"/>
    </row>
    <row r="1762">
      <c r="A1762" s="76"/>
      <c r="B1762" s="77"/>
    </row>
    <row r="1763">
      <c r="A1763" s="76"/>
      <c r="B1763" s="77"/>
    </row>
    <row r="1764">
      <c r="A1764" s="76"/>
      <c r="B1764" s="77"/>
    </row>
    <row r="1765">
      <c r="A1765" s="76"/>
      <c r="B1765" s="77"/>
    </row>
    <row r="1766">
      <c r="A1766" s="76"/>
      <c r="B1766" s="77"/>
    </row>
    <row r="1767">
      <c r="A1767" s="76"/>
      <c r="B1767" s="77"/>
    </row>
    <row r="1768">
      <c r="A1768" s="76"/>
      <c r="B1768" s="77"/>
    </row>
    <row r="1769">
      <c r="A1769" s="76"/>
      <c r="B1769" s="77"/>
    </row>
    <row r="1770">
      <c r="A1770" s="76"/>
      <c r="B1770" s="77"/>
    </row>
    <row r="1771">
      <c r="A1771" s="76"/>
      <c r="B1771" s="77"/>
    </row>
    <row r="1772">
      <c r="A1772" s="76"/>
      <c r="B1772" s="77"/>
    </row>
    <row r="1773">
      <c r="A1773" s="76"/>
      <c r="B1773" s="77"/>
    </row>
    <row r="1774">
      <c r="A1774" s="76"/>
      <c r="B1774" s="77"/>
    </row>
    <row r="1775">
      <c r="A1775" s="76"/>
      <c r="B1775" s="77"/>
    </row>
    <row r="1776">
      <c r="A1776" s="76"/>
      <c r="B1776" s="77"/>
    </row>
    <row r="1777">
      <c r="A1777" s="76"/>
      <c r="B1777" s="77"/>
    </row>
    <row r="1778">
      <c r="A1778" s="76"/>
      <c r="B1778" s="77"/>
    </row>
    <row r="1779">
      <c r="A1779" s="76"/>
      <c r="B1779" s="77"/>
    </row>
    <row r="1780">
      <c r="A1780" s="76"/>
      <c r="B1780" s="77"/>
    </row>
    <row r="1781">
      <c r="A1781" s="76"/>
      <c r="B1781" s="77"/>
    </row>
    <row r="1782">
      <c r="A1782" s="76"/>
      <c r="B1782" s="77"/>
    </row>
    <row r="1783">
      <c r="A1783" s="76"/>
      <c r="B1783" s="77"/>
    </row>
    <row r="1784">
      <c r="A1784" s="76"/>
      <c r="B1784" s="77"/>
    </row>
    <row r="1785">
      <c r="A1785" s="76"/>
      <c r="B1785" s="77"/>
    </row>
    <row r="1786">
      <c r="A1786" s="76"/>
      <c r="B1786" s="77"/>
    </row>
    <row r="1787">
      <c r="A1787" s="76"/>
      <c r="B1787" s="77"/>
    </row>
    <row r="1788">
      <c r="A1788" s="76"/>
      <c r="B1788" s="77"/>
    </row>
    <row r="1789">
      <c r="A1789" s="76"/>
      <c r="B1789" s="77"/>
    </row>
    <row r="1790">
      <c r="A1790" s="76"/>
      <c r="B1790" s="77"/>
    </row>
    <row r="1791">
      <c r="A1791" s="76"/>
      <c r="B1791" s="77"/>
    </row>
    <row r="1792">
      <c r="A1792" s="76"/>
      <c r="B1792" s="77"/>
    </row>
    <row r="1793">
      <c r="A1793" s="76"/>
      <c r="B1793" s="77"/>
    </row>
    <row r="1794">
      <c r="A1794" s="76"/>
      <c r="B1794" s="77"/>
    </row>
    <row r="1795">
      <c r="A1795" s="76"/>
      <c r="B1795" s="77"/>
    </row>
    <row r="1796">
      <c r="A1796" s="76"/>
      <c r="B1796" s="77"/>
    </row>
    <row r="1797">
      <c r="A1797" s="76"/>
      <c r="B1797" s="77"/>
    </row>
    <row r="1798">
      <c r="A1798" s="76"/>
      <c r="B1798" s="77"/>
    </row>
    <row r="1799">
      <c r="A1799" s="76"/>
      <c r="B1799" s="77"/>
    </row>
    <row r="1800">
      <c r="A1800" s="76"/>
      <c r="B1800" s="77"/>
    </row>
    <row r="1801">
      <c r="A1801" s="76"/>
      <c r="B1801" s="77"/>
    </row>
    <row r="1802">
      <c r="A1802" s="76"/>
      <c r="B1802" s="77"/>
    </row>
    <row r="1803">
      <c r="A1803" s="76"/>
      <c r="B1803" s="77"/>
    </row>
    <row r="1804">
      <c r="A1804" s="76"/>
      <c r="B1804" s="77"/>
    </row>
    <row r="1805">
      <c r="A1805" s="76"/>
      <c r="B1805" s="77"/>
    </row>
    <row r="1806">
      <c r="A1806" s="76"/>
      <c r="B1806" s="77"/>
    </row>
    <row r="1807">
      <c r="A1807" s="76"/>
      <c r="B1807" s="77"/>
    </row>
    <row r="1808">
      <c r="A1808" s="76"/>
      <c r="B1808" s="77"/>
    </row>
    <row r="1809">
      <c r="A1809" s="76"/>
      <c r="B1809" s="77"/>
    </row>
    <row r="1810">
      <c r="A1810" s="76"/>
      <c r="B1810" s="77"/>
    </row>
    <row r="1811">
      <c r="A1811" s="76"/>
      <c r="B1811" s="77"/>
    </row>
    <row r="1812">
      <c r="A1812" s="76"/>
      <c r="B1812" s="77"/>
    </row>
    <row r="1813">
      <c r="A1813" s="76"/>
      <c r="B1813" s="77"/>
    </row>
    <row r="1814">
      <c r="A1814" s="76"/>
      <c r="B1814" s="77"/>
    </row>
    <row r="1815">
      <c r="A1815" s="76"/>
      <c r="B1815" s="77"/>
    </row>
    <row r="1816">
      <c r="A1816" s="76"/>
      <c r="B1816" s="77"/>
    </row>
    <row r="1817">
      <c r="A1817" s="76"/>
      <c r="B1817" s="77"/>
    </row>
    <row r="1818">
      <c r="A1818" s="76"/>
      <c r="B1818" s="77"/>
    </row>
    <row r="1819">
      <c r="A1819" s="76"/>
      <c r="B1819" s="77"/>
    </row>
    <row r="1820">
      <c r="A1820" s="76"/>
      <c r="B1820" s="77"/>
    </row>
    <row r="1821">
      <c r="A1821" s="76"/>
      <c r="B1821" s="77"/>
    </row>
    <row r="1822">
      <c r="A1822" s="76"/>
      <c r="B1822" s="77"/>
    </row>
    <row r="1823">
      <c r="A1823" s="76"/>
      <c r="B1823" s="77"/>
    </row>
    <row r="1824">
      <c r="A1824" s="76"/>
      <c r="B1824" s="77"/>
    </row>
    <row r="1825">
      <c r="A1825" s="76"/>
      <c r="B1825" s="77"/>
    </row>
    <row r="1826">
      <c r="A1826" s="76"/>
      <c r="B1826" s="77"/>
    </row>
    <row r="1827">
      <c r="A1827" s="76"/>
      <c r="B1827" s="77"/>
    </row>
    <row r="1828">
      <c r="A1828" s="76"/>
      <c r="B1828" s="77"/>
    </row>
    <row r="1829">
      <c r="A1829" s="76"/>
      <c r="B1829" s="77"/>
    </row>
    <row r="1830">
      <c r="A1830" s="76"/>
      <c r="B1830" s="77"/>
    </row>
    <row r="1831">
      <c r="A1831" s="76"/>
      <c r="B1831" s="77"/>
    </row>
    <row r="1832">
      <c r="A1832" s="76"/>
      <c r="B1832" s="77"/>
    </row>
    <row r="1833">
      <c r="A1833" s="76"/>
      <c r="B1833" s="77"/>
    </row>
    <row r="1834">
      <c r="A1834" s="76"/>
      <c r="B1834" s="77"/>
    </row>
    <row r="1835">
      <c r="A1835" s="76"/>
      <c r="B1835" s="77"/>
    </row>
    <row r="1836">
      <c r="A1836" s="76"/>
      <c r="B1836" s="77"/>
    </row>
    <row r="1837">
      <c r="A1837" s="76"/>
      <c r="B1837" s="77"/>
    </row>
    <row r="1838">
      <c r="A1838" s="76"/>
      <c r="B1838" s="77"/>
    </row>
    <row r="1839">
      <c r="A1839" s="76"/>
      <c r="B1839" s="77"/>
    </row>
    <row r="1840">
      <c r="A1840" s="76"/>
      <c r="B1840" s="77"/>
    </row>
    <row r="1841">
      <c r="A1841" s="76"/>
      <c r="B1841" s="77"/>
    </row>
    <row r="1842">
      <c r="A1842" s="76"/>
      <c r="B1842" s="77"/>
    </row>
    <row r="1843">
      <c r="A1843" s="76"/>
      <c r="B1843" s="77"/>
    </row>
    <row r="1844">
      <c r="A1844" s="76"/>
      <c r="B1844" s="77"/>
    </row>
    <row r="1845">
      <c r="A1845" s="76"/>
      <c r="B1845" s="77"/>
    </row>
    <row r="1846">
      <c r="A1846" s="76"/>
      <c r="B1846" s="77"/>
    </row>
    <row r="1847">
      <c r="A1847" s="76"/>
      <c r="B1847" s="77"/>
    </row>
    <row r="1848">
      <c r="A1848" s="76"/>
      <c r="B1848" s="77"/>
    </row>
    <row r="1849">
      <c r="A1849" s="76"/>
      <c r="B1849" s="77"/>
    </row>
    <row r="1850">
      <c r="A1850" s="76"/>
      <c r="B1850" s="77"/>
    </row>
    <row r="1851">
      <c r="A1851" s="76"/>
      <c r="B1851" s="77"/>
    </row>
    <row r="1852">
      <c r="A1852" s="76"/>
      <c r="B1852" s="77"/>
    </row>
    <row r="1853">
      <c r="A1853" s="76"/>
      <c r="B1853" s="77"/>
    </row>
    <row r="1854">
      <c r="A1854" s="76"/>
      <c r="B1854" s="77"/>
    </row>
    <row r="1855">
      <c r="A1855" s="76"/>
      <c r="B1855" s="77"/>
    </row>
    <row r="1856">
      <c r="A1856" s="76"/>
      <c r="B1856" s="77"/>
    </row>
    <row r="1857">
      <c r="A1857" s="76"/>
      <c r="B1857" s="77"/>
    </row>
    <row r="1858">
      <c r="A1858" s="76"/>
      <c r="B1858" s="77"/>
    </row>
    <row r="1859">
      <c r="A1859" s="76"/>
      <c r="B1859" s="77"/>
    </row>
    <row r="1860">
      <c r="A1860" s="76"/>
      <c r="B1860" s="77"/>
    </row>
    <row r="1861">
      <c r="A1861" s="76"/>
      <c r="B1861" s="77"/>
    </row>
    <row r="1862">
      <c r="A1862" s="76"/>
      <c r="B1862" s="77"/>
    </row>
    <row r="1863">
      <c r="A1863" s="76"/>
      <c r="B1863" s="77"/>
    </row>
    <row r="1864">
      <c r="A1864" s="76"/>
      <c r="B1864" s="77"/>
    </row>
    <row r="1865">
      <c r="A1865" s="76"/>
      <c r="B1865" s="77"/>
    </row>
    <row r="1866">
      <c r="A1866" s="76"/>
      <c r="B1866" s="77"/>
    </row>
    <row r="1867">
      <c r="A1867" s="76"/>
      <c r="B1867" s="77"/>
    </row>
    <row r="1868">
      <c r="A1868" s="76"/>
      <c r="B1868" s="77"/>
    </row>
    <row r="1869">
      <c r="A1869" s="76"/>
      <c r="B1869" s="77"/>
    </row>
    <row r="1870">
      <c r="A1870" s="76"/>
      <c r="B1870" s="77"/>
    </row>
    <row r="1871">
      <c r="A1871" s="76"/>
      <c r="B1871" s="77"/>
    </row>
    <row r="1872">
      <c r="A1872" s="76"/>
      <c r="B1872" s="77"/>
    </row>
    <row r="1873">
      <c r="A1873" s="76"/>
      <c r="B1873" s="77"/>
    </row>
    <row r="1874">
      <c r="A1874" s="76"/>
      <c r="B1874" s="77"/>
    </row>
    <row r="1875">
      <c r="A1875" s="76"/>
      <c r="B1875" s="77"/>
    </row>
    <row r="1876">
      <c r="A1876" s="76"/>
      <c r="B1876" s="77"/>
    </row>
    <row r="1877">
      <c r="A1877" s="76"/>
      <c r="B1877" s="77"/>
    </row>
    <row r="1878">
      <c r="A1878" s="76"/>
      <c r="B1878" s="77"/>
    </row>
    <row r="1879">
      <c r="A1879" s="76"/>
      <c r="B1879" s="77"/>
    </row>
    <row r="1880">
      <c r="A1880" s="76"/>
      <c r="B1880" s="77"/>
    </row>
    <row r="1881">
      <c r="A1881" s="76"/>
      <c r="B1881" s="77"/>
    </row>
    <row r="1882">
      <c r="A1882" s="76"/>
      <c r="B1882" s="77"/>
    </row>
    <row r="1883">
      <c r="A1883" s="76"/>
      <c r="B1883" s="77"/>
    </row>
    <row r="1884">
      <c r="A1884" s="76"/>
      <c r="B1884" s="77"/>
    </row>
    <row r="1885">
      <c r="A1885" s="76"/>
      <c r="B1885" s="77"/>
    </row>
    <row r="1886">
      <c r="A1886" s="76"/>
      <c r="B1886" s="77"/>
    </row>
    <row r="1887">
      <c r="A1887" s="76"/>
      <c r="B1887" s="77"/>
    </row>
    <row r="1888">
      <c r="A1888" s="76"/>
      <c r="B1888" s="77"/>
    </row>
    <row r="1889">
      <c r="A1889" s="76"/>
      <c r="B1889" s="77"/>
    </row>
    <row r="1890">
      <c r="A1890" s="76"/>
      <c r="B1890" s="77"/>
    </row>
    <row r="1891">
      <c r="A1891" s="76"/>
      <c r="B1891" s="77"/>
    </row>
    <row r="1892">
      <c r="A1892" s="76"/>
      <c r="B1892" s="77"/>
    </row>
    <row r="1893">
      <c r="A1893" s="76"/>
      <c r="B1893" s="77"/>
    </row>
    <row r="1894">
      <c r="A1894" s="76"/>
      <c r="B1894" s="77"/>
    </row>
    <row r="1895">
      <c r="A1895" s="76"/>
      <c r="B1895" s="77"/>
    </row>
    <row r="1896">
      <c r="A1896" s="76"/>
      <c r="B1896" s="77"/>
    </row>
    <row r="1897">
      <c r="A1897" s="76"/>
      <c r="B1897" s="77"/>
    </row>
    <row r="1898">
      <c r="A1898" s="76"/>
      <c r="B1898" s="77"/>
    </row>
    <row r="1899">
      <c r="A1899" s="76"/>
      <c r="B1899" s="77"/>
    </row>
    <row r="1900">
      <c r="A1900" s="76"/>
      <c r="B1900" s="77"/>
    </row>
    <row r="1901">
      <c r="A1901" s="76"/>
      <c r="B1901" s="77"/>
    </row>
    <row r="1902">
      <c r="A1902" s="76"/>
      <c r="B1902" s="77"/>
    </row>
    <row r="1903">
      <c r="A1903" s="76"/>
      <c r="B1903" s="77"/>
    </row>
    <row r="1904">
      <c r="A1904" s="76"/>
      <c r="B1904" s="77"/>
    </row>
    <row r="1905">
      <c r="A1905" s="76"/>
      <c r="B1905" s="77"/>
    </row>
    <row r="1906">
      <c r="A1906" s="76"/>
      <c r="B1906" s="77"/>
    </row>
    <row r="1907">
      <c r="A1907" s="76"/>
      <c r="B1907" s="77"/>
    </row>
    <row r="1908">
      <c r="A1908" s="76"/>
      <c r="B1908" s="77"/>
    </row>
    <row r="1909">
      <c r="A1909" s="76"/>
      <c r="B1909" s="77"/>
    </row>
    <row r="1910">
      <c r="A1910" s="76"/>
      <c r="B1910" s="77"/>
    </row>
    <row r="1911">
      <c r="A1911" s="76"/>
      <c r="B1911" s="77"/>
    </row>
    <row r="1912">
      <c r="A1912" s="76"/>
      <c r="B1912" s="77"/>
    </row>
    <row r="1913">
      <c r="A1913" s="76"/>
      <c r="B1913" s="77"/>
    </row>
    <row r="1914">
      <c r="A1914" s="76"/>
      <c r="B1914" s="77"/>
    </row>
    <row r="1915">
      <c r="A1915" s="76"/>
      <c r="B1915" s="77"/>
    </row>
    <row r="1916">
      <c r="A1916" s="76"/>
      <c r="B1916" s="77"/>
    </row>
    <row r="1917">
      <c r="A1917" s="76"/>
      <c r="B1917" s="77"/>
    </row>
    <row r="1918">
      <c r="A1918" s="76"/>
      <c r="B1918" s="77"/>
    </row>
    <row r="1919">
      <c r="A1919" s="76"/>
      <c r="B1919" s="77"/>
    </row>
    <row r="1920">
      <c r="A1920" s="76"/>
      <c r="B1920" s="77"/>
    </row>
    <row r="1921">
      <c r="A1921" s="76"/>
      <c r="B1921" s="77"/>
    </row>
    <row r="1922">
      <c r="A1922" s="76"/>
      <c r="B1922" s="77"/>
    </row>
    <row r="1923">
      <c r="A1923" s="76"/>
      <c r="B1923" s="77"/>
    </row>
    <row r="1924">
      <c r="A1924" s="76"/>
      <c r="B1924" s="77"/>
    </row>
    <row r="1925">
      <c r="A1925" s="76"/>
      <c r="B1925" s="77"/>
    </row>
    <row r="1926">
      <c r="A1926" s="76"/>
      <c r="B1926" s="77"/>
    </row>
    <row r="1927">
      <c r="A1927" s="76"/>
      <c r="B1927" s="77"/>
    </row>
    <row r="1928">
      <c r="A1928" s="76"/>
      <c r="B1928" s="77"/>
    </row>
    <row r="1929">
      <c r="A1929" s="76"/>
      <c r="B1929" s="77"/>
    </row>
    <row r="1930">
      <c r="A1930" s="76"/>
      <c r="B1930" s="77"/>
    </row>
    <row r="1931">
      <c r="A1931" s="76"/>
      <c r="B1931" s="77"/>
    </row>
    <row r="1932">
      <c r="A1932" s="76"/>
      <c r="B1932" s="77"/>
    </row>
    <row r="1933">
      <c r="A1933" s="76"/>
      <c r="B1933" s="77"/>
    </row>
    <row r="1934">
      <c r="A1934" s="76"/>
      <c r="B1934" s="77"/>
    </row>
    <row r="1935">
      <c r="A1935" s="76"/>
      <c r="B1935" s="77"/>
    </row>
    <row r="1936">
      <c r="A1936" s="76"/>
      <c r="B1936" s="77"/>
    </row>
    <row r="1937">
      <c r="A1937" s="76"/>
      <c r="B1937" s="77"/>
    </row>
    <row r="1938">
      <c r="A1938" s="76"/>
      <c r="B1938" s="77"/>
    </row>
    <row r="1939">
      <c r="A1939" s="76"/>
      <c r="B1939" s="77"/>
    </row>
    <row r="1940">
      <c r="A1940" s="76"/>
      <c r="B1940" s="77"/>
    </row>
    <row r="1941">
      <c r="A1941" s="76"/>
      <c r="B1941" s="77"/>
    </row>
    <row r="1942">
      <c r="A1942" s="76"/>
      <c r="B1942" s="77"/>
    </row>
    <row r="1943">
      <c r="A1943" s="76"/>
      <c r="B1943" s="77"/>
    </row>
    <row r="1944">
      <c r="A1944" s="76"/>
      <c r="B1944" s="77"/>
    </row>
    <row r="1945">
      <c r="A1945" s="76"/>
      <c r="B1945" s="77"/>
    </row>
    <row r="1946">
      <c r="A1946" s="76"/>
      <c r="B1946" s="77"/>
    </row>
    <row r="1947">
      <c r="A1947" s="76"/>
      <c r="B1947" s="77"/>
    </row>
    <row r="1948">
      <c r="A1948" s="76"/>
      <c r="B1948" s="77"/>
    </row>
    <row r="1949">
      <c r="A1949" s="76"/>
      <c r="B1949" s="77"/>
    </row>
    <row r="1950">
      <c r="A1950" s="76"/>
      <c r="B1950" s="77"/>
    </row>
    <row r="1951">
      <c r="A1951" s="76"/>
      <c r="B1951" s="77"/>
    </row>
    <row r="1952">
      <c r="A1952" s="76"/>
      <c r="B1952" s="77"/>
    </row>
    <row r="1953">
      <c r="A1953" s="76"/>
      <c r="B1953" s="77"/>
    </row>
    <row r="1954">
      <c r="A1954" s="76"/>
      <c r="B1954" s="77"/>
    </row>
    <row r="1955">
      <c r="A1955" s="76"/>
      <c r="B1955" s="77"/>
    </row>
    <row r="1956">
      <c r="A1956" s="76"/>
      <c r="B1956" s="77"/>
    </row>
    <row r="1957">
      <c r="A1957" s="76"/>
      <c r="B1957" s="77"/>
    </row>
    <row r="1958">
      <c r="A1958" s="76"/>
      <c r="B1958" s="77"/>
    </row>
    <row r="1959">
      <c r="A1959" s="76"/>
      <c r="B1959" s="77"/>
    </row>
    <row r="1960">
      <c r="A1960" s="76"/>
      <c r="B1960" s="77"/>
    </row>
    <row r="1961">
      <c r="A1961" s="76"/>
      <c r="B1961" s="77"/>
    </row>
    <row r="1962">
      <c r="A1962" s="76"/>
      <c r="B1962" s="77"/>
    </row>
    <row r="1963">
      <c r="A1963" s="76"/>
      <c r="B1963" s="77"/>
    </row>
    <row r="1964">
      <c r="A1964" s="76"/>
      <c r="B1964" s="77"/>
    </row>
    <row r="1965">
      <c r="A1965" s="76"/>
      <c r="B1965" s="77"/>
    </row>
    <row r="1966">
      <c r="A1966" s="76"/>
      <c r="B1966" s="77"/>
    </row>
    <row r="1967">
      <c r="A1967" s="76"/>
      <c r="B1967" s="77"/>
    </row>
    <row r="1968">
      <c r="A1968" s="76"/>
      <c r="B1968" s="77"/>
    </row>
    <row r="1969">
      <c r="A1969" s="76"/>
      <c r="B1969" s="77"/>
    </row>
    <row r="1970">
      <c r="A1970" s="76"/>
      <c r="B1970" s="77"/>
    </row>
    <row r="1971">
      <c r="A1971" s="76"/>
      <c r="B1971" s="77"/>
    </row>
    <row r="1972">
      <c r="A1972" s="76"/>
      <c r="B1972" s="77"/>
    </row>
    <row r="1973">
      <c r="A1973" s="76"/>
      <c r="B1973" s="77"/>
    </row>
    <row r="1974">
      <c r="A1974" s="76"/>
      <c r="B1974" s="77"/>
    </row>
    <row r="1975">
      <c r="A1975" s="76"/>
      <c r="B1975" s="77"/>
    </row>
    <row r="1976">
      <c r="A1976" s="76"/>
      <c r="B1976" s="77"/>
    </row>
    <row r="1977">
      <c r="A1977" s="76"/>
      <c r="B1977" s="77"/>
    </row>
    <row r="1978">
      <c r="A1978" s="76"/>
      <c r="B1978" s="77"/>
    </row>
    <row r="1979">
      <c r="A1979" s="76"/>
      <c r="B1979" s="77"/>
    </row>
    <row r="1980">
      <c r="A1980" s="76"/>
      <c r="B1980" s="77"/>
    </row>
    <row r="1981">
      <c r="A1981" s="76"/>
      <c r="B1981" s="77"/>
    </row>
    <row r="1982">
      <c r="A1982" s="76"/>
      <c r="B1982" s="77"/>
    </row>
    <row r="1983">
      <c r="A1983" s="76"/>
      <c r="B1983" s="77"/>
    </row>
    <row r="1984">
      <c r="A1984" s="76"/>
      <c r="B1984" s="77"/>
    </row>
    <row r="1985">
      <c r="A1985" s="76"/>
      <c r="B1985" s="77"/>
    </row>
    <row r="1986">
      <c r="A1986" s="76"/>
      <c r="B1986" s="77"/>
    </row>
    <row r="1987">
      <c r="A1987" s="76"/>
      <c r="B1987" s="77"/>
    </row>
    <row r="1988">
      <c r="A1988" s="76"/>
      <c r="B1988" s="77"/>
    </row>
    <row r="1989">
      <c r="A1989" s="76"/>
      <c r="B1989" s="77"/>
    </row>
    <row r="1990">
      <c r="A1990" s="76"/>
      <c r="B1990" s="77"/>
    </row>
    <row r="1991">
      <c r="A1991" s="76"/>
      <c r="B1991" s="77"/>
    </row>
    <row r="1992">
      <c r="A1992" s="76"/>
      <c r="B1992" s="77"/>
    </row>
    <row r="1993">
      <c r="A1993" s="76"/>
      <c r="B1993" s="77"/>
    </row>
    <row r="1994">
      <c r="A1994" s="76"/>
      <c r="B1994" s="77"/>
    </row>
    <row r="1995">
      <c r="A1995" s="76"/>
      <c r="B1995" s="77"/>
    </row>
    <row r="1996">
      <c r="A1996" s="76"/>
      <c r="B1996" s="77"/>
    </row>
    <row r="1997">
      <c r="A1997" s="76"/>
      <c r="B1997" s="77"/>
    </row>
    <row r="1998">
      <c r="A1998" s="76"/>
      <c r="B1998" s="77"/>
    </row>
    <row r="1999">
      <c r="A1999" s="76"/>
      <c r="B1999" s="77"/>
    </row>
    <row r="2000">
      <c r="A2000" s="76"/>
      <c r="B2000" s="77"/>
    </row>
    <row r="2001">
      <c r="A2001" s="76"/>
      <c r="B2001" s="77"/>
    </row>
    <row r="2002">
      <c r="A2002" s="76"/>
      <c r="B2002" s="77"/>
    </row>
    <row r="2003">
      <c r="A2003" s="76"/>
      <c r="B2003" s="77"/>
    </row>
    <row r="2004">
      <c r="A2004" s="76"/>
      <c r="B2004" s="77"/>
    </row>
    <row r="2005">
      <c r="A2005" s="76"/>
      <c r="B2005" s="77"/>
    </row>
    <row r="2006">
      <c r="A2006" s="76"/>
      <c r="B2006" s="77"/>
    </row>
    <row r="2007">
      <c r="A2007" s="76"/>
      <c r="B2007" s="77"/>
    </row>
    <row r="2008">
      <c r="A2008" s="76"/>
      <c r="B2008" s="77"/>
    </row>
    <row r="2009">
      <c r="A2009" s="76"/>
      <c r="B2009" s="77"/>
    </row>
    <row r="2010">
      <c r="A2010" s="76"/>
      <c r="B2010" s="77"/>
    </row>
    <row r="2011">
      <c r="A2011" s="76"/>
      <c r="B2011" s="77"/>
    </row>
    <row r="2012">
      <c r="A2012" s="76"/>
      <c r="B2012" s="77"/>
    </row>
    <row r="2013">
      <c r="A2013" s="76"/>
      <c r="B2013" s="77"/>
    </row>
    <row r="2014">
      <c r="A2014" s="76"/>
      <c r="B2014" s="77"/>
    </row>
    <row r="2015">
      <c r="A2015" s="76"/>
      <c r="B2015" s="77"/>
    </row>
    <row r="2016">
      <c r="A2016" s="76"/>
      <c r="B2016" s="77"/>
    </row>
    <row r="2017">
      <c r="A2017" s="76"/>
      <c r="B2017" s="77"/>
    </row>
    <row r="2018">
      <c r="A2018" s="76"/>
      <c r="B2018" s="77"/>
    </row>
    <row r="2019">
      <c r="A2019" s="76"/>
      <c r="B2019" s="77"/>
    </row>
    <row r="2020">
      <c r="A2020" s="76"/>
      <c r="B2020" s="77"/>
    </row>
    <row r="2021">
      <c r="A2021" s="76"/>
      <c r="B2021" s="77"/>
    </row>
    <row r="2022">
      <c r="A2022" s="76"/>
      <c r="B2022" s="77"/>
    </row>
    <row r="2023">
      <c r="A2023" s="76"/>
      <c r="B2023" s="77"/>
    </row>
    <row r="2024">
      <c r="A2024" s="76"/>
      <c r="B2024" s="77"/>
    </row>
    <row r="2025">
      <c r="A2025" s="76"/>
      <c r="B2025" s="77"/>
    </row>
    <row r="2026">
      <c r="A2026" s="76"/>
      <c r="B2026" s="77"/>
    </row>
    <row r="2027">
      <c r="A2027" s="76"/>
      <c r="B2027" s="77"/>
    </row>
    <row r="2028">
      <c r="A2028" s="76"/>
      <c r="B2028" s="77"/>
    </row>
    <row r="2029">
      <c r="A2029" s="76"/>
      <c r="B2029" s="77"/>
    </row>
    <row r="2030">
      <c r="A2030" s="76"/>
      <c r="B2030" s="77"/>
    </row>
    <row r="2031">
      <c r="A2031" s="76"/>
      <c r="B2031" s="77"/>
    </row>
    <row r="2032">
      <c r="A2032" s="76"/>
      <c r="B2032" s="77"/>
    </row>
    <row r="2033">
      <c r="A2033" s="76"/>
      <c r="B2033" s="77"/>
    </row>
    <row r="2034">
      <c r="A2034" s="76"/>
      <c r="B2034" s="77"/>
    </row>
    <row r="2035">
      <c r="A2035" s="76"/>
      <c r="B2035" s="77"/>
    </row>
    <row r="2036">
      <c r="A2036" s="76"/>
      <c r="B2036" s="77"/>
    </row>
    <row r="2037">
      <c r="A2037" s="76"/>
      <c r="B2037" s="77"/>
    </row>
    <row r="2038">
      <c r="A2038" s="76"/>
      <c r="B2038" s="77"/>
    </row>
    <row r="2039">
      <c r="A2039" s="76"/>
      <c r="B2039" s="77"/>
    </row>
    <row r="2040">
      <c r="A2040" s="76"/>
      <c r="B2040" s="77"/>
    </row>
    <row r="2041">
      <c r="A2041" s="76"/>
      <c r="B2041" s="77"/>
    </row>
    <row r="2042">
      <c r="A2042" s="76"/>
      <c r="B2042" s="77"/>
    </row>
    <row r="2043">
      <c r="A2043" s="76"/>
      <c r="B2043" s="77"/>
    </row>
    <row r="2044">
      <c r="A2044" s="76"/>
      <c r="B2044" s="77"/>
    </row>
    <row r="2045">
      <c r="A2045" s="76"/>
      <c r="B2045" s="77"/>
    </row>
    <row r="2046">
      <c r="A2046" s="76"/>
      <c r="B2046" s="77"/>
    </row>
    <row r="2047">
      <c r="A2047" s="76"/>
      <c r="B2047" s="77"/>
    </row>
    <row r="2048">
      <c r="A2048" s="76"/>
      <c r="B2048" s="77"/>
    </row>
    <row r="2049">
      <c r="A2049" s="76"/>
      <c r="B2049" s="77"/>
    </row>
    <row r="2050">
      <c r="A2050" s="76"/>
      <c r="B2050" s="77"/>
    </row>
    <row r="2051">
      <c r="A2051" s="76"/>
      <c r="B2051" s="77"/>
    </row>
    <row r="2052">
      <c r="A2052" s="76"/>
      <c r="B2052" s="77"/>
    </row>
    <row r="2053">
      <c r="A2053" s="76"/>
      <c r="B2053" s="77"/>
    </row>
    <row r="2054">
      <c r="A2054" s="76"/>
      <c r="B2054" s="77"/>
    </row>
    <row r="2055">
      <c r="A2055" s="76"/>
      <c r="B2055" s="77"/>
    </row>
    <row r="2056">
      <c r="A2056" s="76"/>
      <c r="B2056" s="77"/>
    </row>
    <row r="2057">
      <c r="A2057" s="76"/>
      <c r="B2057" s="77"/>
    </row>
    <row r="2058">
      <c r="A2058" s="76"/>
      <c r="B2058" s="77"/>
    </row>
    <row r="2059">
      <c r="A2059" s="76"/>
      <c r="B2059" s="77"/>
    </row>
    <row r="2060">
      <c r="A2060" s="76"/>
      <c r="B2060" s="77"/>
    </row>
    <row r="2061">
      <c r="A2061" s="76"/>
      <c r="B2061" s="77"/>
    </row>
    <row r="2062">
      <c r="A2062" s="76"/>
      <c r="B2062" s="77"/>
    </row>
    <row r="2063">
      <c r="A2063" s="76"/>
      <c r="B2063" s="77"/>
    </row>
    <row r="2064">
      <c r="A2064" s="76"/>
      <c r="B2064" s="77"/>
    </row>
    <row r="2065">
      <c r="A2065" s="76"/>
      <c r="B2065" s="77"/>
    </row>
    <row r="2066">
      <c r="A2066" s="76"/>
      <c r="B2066" s="77"/>
    </row>
    <row r="2067">
      <c r="A2067" s="76"/>
      <c r="B2067" s="77"/>
    </row>
    <row r="2068">
      <c r="A2068" s="76"/>
      <c r="B2068" s="77"/>
    </row>
    <row r="2069">
      <c r="A2069" s="76"/>
      <c r="B2069" s="77"/>
    </row>
    <row r="2070">
      <c r="A2070" s="76"/>
      <c r="B2070" s="77"/>
    </row>
    <row r="2071">
      <c r="A2071" s="76"/>
      <c r="B2071" s="77"/>
    </row>
    <row r="2072">
      <c r="A2072" s="76"/>
      <c r="B2072" s="77"/>
    </row>
    <row r="2073">
      <c r="A2073" s="76"/>
      <c r="B2073" s="77"/>
    </row>
    <row r="2074">
      <c r="A2074" s="76"/>
      <c r="B2074" s="77"/>
    </row>
    <row r="2075">
      <c r="A2075" s="76"/>
      <c r="B2075" s="77"/>
    </row>
    <row r="2076">
      <c r="A2076" s="76"/>
      <c r="B2076" s="77"/>
    </row>
    <row r="2077">
      <c r="A2077" s="76"/>
      <c r="B2077" s="77"/>
    </row>
    <row r="2078">
      <c r="A2078" s="76"/>
      <c r="B2078" s="77"/>
    </row>
    <row r="2079">
      <c r="A2079" s="76"/>
      <c r="B2079" s="77"/>
    </row>
    <row r="2080">
      <c r="A2080" s="76"/>
      <c r="B2080" s="77"/>
    </row>
    <row r="2081">
      <c r="A2081" s="76"/>
      <c r="B2081" s="77"/>
    </row>
    <row r="2082">
      <c r="A2082" s="76"/>
      <c r="B2082" s="77"/>
    </row>
    <row r="2083">
      <c r="A2083" s="76"/>
      <c r="B2083" s="77"/>
    </row>
    <row r="2084">
      <c r="A2084" s="76"/>
      <c r="B2084" s="77"/>
    </row>
    <row r="2085">
      <c r="A2085" s="76"/>
      <c r="B2085" s="77"/>
    </row>
    <row r="2086">
      <c r="A2086" s="76"/>
      <c r="B2086" s="77"/>
    </row>
    <row r="2087">
      <c r="A2087" s="76"/>
      <c r="B2087" s="77"/>
    </row>
    <row r="2088">
      <c r="A2088" s="76"/>
      <c r="B2088" s="77"/>
    </row>
    <row r="2089">
      <c r="A2089" s="76"/>
      <c r="B2089" s="77"/>
    </row>
    <row r="2090">
      <c r="A2090" s="76"/>
      <c r="B2090" s="77"/>
    </row>
    <row r="2091">
      <c r="A2091" s="76"/>
      <c r="B2091" s="77"/>
    </row>
    <row r="2092">
      <c r="A2092" s="76"/>
      <c r="B2092" s="77"/>
    </row>
    <row r="2093">
      <c r="A2093" s="76"/>
      <c r="B2093" s="77"/>
    </row>
    <row r="2094">
      <c r="A2094" s="76"/>
      <c r="B2094" s="77"/>
    </row>
    <row r="2095">
      <c r="A2095" s="76"/>
      <c r="B2095" s="77"/>
    </row>
    <row r="2096">
      <c r="A2096" s="76"/>
      <c r="B2096" s="77"/>
    </row>
    <row r="2097">
      <c r="A2097" s="76"/>
      <c r="B2097" s="77"/>
    </row>
    <row r="2098">
      <c r="A2098" s="76"/>
      <c r="B2098" s="77"/>
    </row>
    <row r="2099">
      <c r="A2099" s="76"/>
      <c r="B2099" s="77"/>
    </row>
    <row r="2100">
      <c r="A2100" s="76"/>
      <c r="B2100" s="77"/>
    </row>
    <row r="2101">
      <c r="A2101" s="76"/>
      <c r="B2101" s="77"/>
    </row>
    <row r="2102">
      <c r="A2102" s="76"/>
      <c r="B2102" s="77"/>
    </row>
    <row r="2103">
      <c r="A2103" s="76"/>
      <c r="B2103" s="77"/>
    </row>
    <row r="2104">
      <c r="A2104" s="76"/>
      <c r="B2104" s="77"/>
    </row>
    <row r="2105">
      <c r="A2105" s="76"/>
      <c r="B2105" s="77"/>
    </row>
    <row r="2106">
      <c r="A2106" s="76"/>
      <c r="B2106" s="77"/>
    </row>
    <row r="2107">
      <c r="A2107" s="76"/>
      <c r="B2107" s="77"/>
    </row>
    <row r="2108">
      <c r="A2108" s="76"/>
      <c r="B2108" s="77"/>
    </row>
    <row r="2109">
      <c r="A2109" s="76"/>
      <c r="B2109" s="77"/>
    </row>
    <row r="2110">
      <c r="A2110" s="76"/>
      <c r="B2110" s="77"/>
    </row>
    <row r="2111">
      <c r="A2111" s="76"/>
      <c r="B2111" s="77"/>
    </row>
    <row r="2112">
      <c r="A2112" s="76"/>
      <c r="B2112" s="77"/>
    </row>
    <row r="2113">
      <c r="A2113" s="76"/>
      <c r="B2113" s="77"/>
    </row>
    <row r="2114">
      <c r="A2114" s="76"/>
      <c r="B2114" s="77"/>
    </row>
    <row r="2115">
      <c r="A2115" s="76"/>
      <c r="B2115" s="77"/>
    </row>
    <row r="2116">
      <c r="A2116" s="76"/>
      <c r="B2116" s="77"/>
    </row>
    <row r="2117">
      <c r="A2117" s="76"/>
      <c r="B2117" s="77"/>
    </row>
    <row r="2118">
      <c r="A2118" s="76"/>
      <c r="B2118" s="77"/>
    </row>
    <row r="2119">
      <c r="A2119" s="76"/>
      <c r="B2119" s="77"/>
    </row>
    <row r="2120">
      <c r="A2120" s="76"/>
      <c r="B2120" s="77"/>
    </row>
    <row r="2121">
      <c r="A2121" s="76"/>
      <c r="B2121" s="77"/>
    </row>
    <row r="2122">
      <c r="A2122" s="76"/>
      <c r="B2122" s="77"/>
    </row>
    <row r="2123">
      <c r="A2123" s="76"/>
      <c r="B2123" s="77"/>
    </row>
    <row r="2124">
      <c r="A2124" s="76"/>
      <c r="B2124" s="77"/>
    </row>
    <row r="2125">
      <c r="A2125" s="76"/>
      <c r="B2125" s="77"/>
    </row>
    <row r="2126">
      <c r="A2126" s="76"/>
      <c r="B2126" s="77"/>
    </row>
    <row r="2127">
      <c r="A2127" s="76"/>
      <c r="B2127" s="77"/>
    </row>
    <row r="2128">
      <c r="A2128" s="76"/>
      <c r="B2128" s="77"/>
    </row>
    <row r="2129">
      <c r="A2129" s="76"/>
      <c r="B2129" s="77"/>
    </row>
    <row r="2130">
      <c r="A2130" s="76"/>
      <c r="B2130" s="77"/>
    </row>
    <row r="2131">
      <c r="A2131" s="76"/>
      <c r="B2131" s="77"/>
    </row>
    <row r="2132">
      <c r="A2132" s="76"/>
      <c r="B2132" s="77"/>
    </row>
    <row r="2133">
      <c r="A2133" s="76"/>
      <c r="B2133" s="77"/>
    </row>
    <row r="2134">
      <c r="A2134" s="76"/>
      <c r="B2134" s="77"/>
    </row>
    <row r="2135">
      <c r="A2135" s="76"/>
      <c r="B2135" s="77"/>
    </row>
    <row r="2136">
      <c r="A2136" s="76"/>
      <c r="B2136" s="77"/>
    </row>
    <row r="2137">
      <c r="A2137" s="76"/>
      <c r="B2137" s="77"/>
    </row>
    <row r="2138">
      <c r="A2138" s="76"/>
      <c r="B2138" s="77"/>
    </row>
    <row r="2139">
      <c r="A2139" s="76"/>
      <c r="B2139" s="77"/>
    </row>
    <row r="2140">
      <c r="A2140" s="76"/>
      <c r="B2140" s="77"/>
    </row>
    <row r="2141">
      <c r="A2141" s="76"/>
      <c r="B2141" s="77"/>
    </row>
    <row r="2142">
      <c r="A2142" s="76"/>
      <c r="B2142" s="77"/>
    </row>
    <row r="2143">
      <c r="A2143" s="76"/>
      <c r="B2143" s="77"/>
    </row>
    <row r="2144">
      <c r="A2144" s="76"/>
      <c r="B2144" s="77"/>
    </row>
    <row r="2145">
      <c r="A2145" s="76"/>
      <c r="B2145" s="77"/>
    </row>
    <row r="2146">
      <c r="A2146" s="76"/>
      <c r="B2146" s="77"/>
    </row>
    <row r="2147">
      <c r="A2147" s="76"/>
      <c r="B2147" s="77"/>
    </row>
    <row r="2148">
      <c r="A2148" s="76"/>
      <c r="B2148" s="77"/>
    </row>
    <row r="2149">
      <c r="A2149" s="76"/>
      <c r="B2149" s="77"/>
    </row>
    <row r="2150">
      <c r="A2150" s="76"/>
      <c r="B2150" s="77"/>
    </row>
    <row r="2151">
      <c r="A2151" s="76"/>
      <c r="B2151" s="77"/>
    </row>
    <row r="2152">
      <c r="A2152" s="76"/>
      <c r="B2152" s="77"/>
    </row>
    <row r="2153">
      <c r="A2153" s="76"/>
      <c r="B2153" s="77"/>
    </row>
    <row r="2154">
      <c r="A2154" s="76"/>
      <c r="B2154" s="77"/>
    </row>
    <row r="2155">
      <c r="A2155" s="76"/>
      <c r="B2155" s="77"/>
    </row>
    <row r="2156">
      <c r="A2156" s="76"/>
      <c r="B2156" s="77"/>
    </row>
    <row r="2157">
      <c r="A2157" s="76"/>
      <c r="B2157" s="77"/>
    </row>
    <row r="2158">
      <c r="A2158" s="76"/>
      <c r="B2158" s="77"/>
    </row>
    <row r="2159">
      <c r="A2159" s="76"/>
      <c r="B2159" s="77"/>
    </row>
    <row r="2160">
      <c r="A2160" s="76"/>
      <c r="B2160" s="77"/>
    </row>
    <row r="2161">
      <c r="A2161" s="76"/>
      <c r="B2161" s="77"/>
    </row>
    <row r="2162">
      <c r="A2162" s="76"/>
      <c r="B2162" s="77"/>
    </row>
    <row r="2163">
      <c r="A2163" s="76"/>
      <c r="B2163" s="77"/>
    </row>
    <row r="2164">
      <c r="A2164" s="76"/>
      <c r="B2164" s="77"/>
    </row>
    <row r="2165">
      <c r="A2165" s="76"/>
      <c r="B2165" s="77"/>
    </row>
    <row r="2166">
      <c r="A2166" s="76"/>
      <c r="B2166" s="77"/>
    </row>
    <row r="2167">
      <c r="A2167" s="76"/>
      <c r="B2167" s="77"/>
    </row>
    <row r="2168">
      <c r="A2168" s="76"/>
      <c r="B2168" s="77"/>
    </row>
    <row r="2169">
      <c r="A2169" s="76"/>
      <c r="B2169" s="77"/>
    </row>
    <row r="2170">
      <c r="A2170" s="76"/>
      <c r="B2170" s="77"/>
    </row>
    <row r="2171">
      <c r="A2171" s="76"/>
      <c r="B2171" s="77"/>
    </row>
    <row r="2172">
      <c r="A2172" s="76"/>
      <c r="B2172" s="77"/>
    </row>
    <row r="2173">
      <c r="A2173" s="76"/>
      <c r="B2173" s="77"/>
    </row>
    <row r="2174">
      <c r="A2174" s="76"/>
      <c r="B2174" s="77"/>
    </row>
    <row r="2175">
      <c r="A2175" s="76"/>
      <c r="B2175" s="77"/>
    </row>
    <row r="2176">
      <c r="A2176" s="76"/>
      <c r="B2176" s="77"/>
    </row>
    <row r="2177">
      <c r="A2177" s="76"/>
      <c r="B2177" s="77"/>
    </row>
    <row r="2178">
      <c r="A2178" s="76"/>
      <c r="B2178" s="77"/>
    </row>
    <row r="2179">
      <c r="A2179" s="76"/>
      <c r="B2179" s="77"/>
    </row>
    <row r="2180">
      <c r="A2180" s="76"/>
      <c r="B2180" s="77"/>
    </row>
    <row r="2181">
      <c r="A2181" s="76"/>
      <c r="B2181" s="77"/>
    </row>
    <row r="2182">
      <c r="A2182" s="76"/>
      <c r="B2182" s="77"/>
    </row>
    <row r="2183">
      <c r="A2183" s="76"/>
      <c r="B2183" s="77"/>
    </row>
    <row r="2184">
      <c r="A2184" s="76"/>
      <c r="B2184" s="77"/>
    </row>
    <row r="2185">
      <c r="A2185" s="76"/>
      <c r="B2185" s="77"/>
    </row>
    <row r="2186">
      <c r="A2186" s="76"/>
      <c r="B2186" s="77"/>
    </row>
    <row r="2187">
      <c r="A2187" s="76"/>
      <c r="B2187" s="77"/>
    </row>
    <row r="2188">
      <c r="A2188" s="76"/>
      <c r="B2188" s="77"/>
    </row>
    <row r="2189">
      <c r="A2189" s="76"/>
      <c r="B2189" s="77"/>
    </row>
    <row r="2190">
      <c r="A2190" s="76"/>
      <c r="B2190" s="77"/>
    </row>
    <row r="2191">
      <c r="A2191" s="76"/>
      <c r="B2191" s="77"/>
    </row>
    <row r="2192">
      <c r="A2192" s="76"/>
      <c r="B2192" s="77"/>
    </row>
    <row r="2193">
      <c r="A2193" s="76"/>
      <c r="B2193" s="77"/>
    </row>
    <row r="2194">
      <c r="A2194" s="76"/>
      <c r="B2194" s="77"/>
    </row>
    <row r="2195">
      <c r="A2195" s="76"/>
      <c r="B2195" s="77"/>
    </row>
    <row r="2196">
      <c r="A2196" s="76"/>
      <c r="B2196" s="77"/>
    </row>
    <row r="2197">
      <c r="A2197" s="76"/>
      <c r="B2197" s="77"/>
    </row>
    <row r="2198">
      <c r="A2198" s="76"/>
      <c r="B2198" s="77"/>
    </row>
    <row r="2199">
      <c r="A2199" s="76"/>
      <c r="B2199" s="77"/>
    </row>
    <row r="2200">
      <c r="A2200" s="76"/>
      <c r="B2200" s="77"/>
    </row>
    <row r="2201">
      <c r="A2201" s="76"/>
      <c r="B2201" s="77"/>
    </row>
    <row r="2202">
      <c r="A2202" s="76"/>
      <c r="B2202" s="77"/>
    </row>
    <row r="2203">
      <c r="A2203" s="76"/>
      <c r="B2203" s="77"/>
    </row>
    <row r="2204">
      <c r="A2204" s="76"/>
      <c r="B2204" s="77"/>
    </row>
    <row r="2205">
      <c r="A2205" s="76"/>
      <c r="B2205" s="77"/>
    </row>
    <row r="2206">
      <c r="A2206" s="76"/>
      <c r="B2206" s="77"/>
    </row>
    <row r="2207">
      <c r="A2207" s="76"/>
      <c r="B2207" s="77"/>
    </row>
    <row r="2208">
      <c r="A2208" s="76"/>
      <c r="B2208" s="77"/>
    </row>
    <row r="2209">
      <c r="A2209" s="76"/>
      <c r="B2209" s="77"/>
    </row>
    <row r="2210">
      <c r="A2210" s="76"/>
      <c r="B2210" s="77"/>
    </row>
    <row r="2211">
      <c r="A2211" s="76"/>
      <c r="B2211" s="77"/>
    </row>
    <row r="2212">
      <c r="A2212" s="76"/>
      <c r="B2212" s="77"/>
    </row>
    <row r="2213">
      <c r="A2213" s="76"/>
      <c r="B2213" s="77"/>
    </row>
    <row r="2214">
      <c r="A2214" s="76"/>
      <c r="B2214" s="77"/>
    </row>
    <row r="2215">
      <c r="A2215" s="76"/>
      <c r="B2215" s="77"/>
    </row>
    <row r="2216">
      <c r="A2216" s="76"/>
      <c r="B2216" s="77"/>
    </row>
    <row r="2217">
      <c r="A2217" s="76"/>
      <c r="B2217" s="77"/>
    </row>
    <row r="2218">
      <c r="A2218" s="76"/>
      <c r="B2218" s="77"/>
    </row>
    <row r="2219">
      <c r="A2219" s="76"/>
      <c r="B2219" s="77"/>
    </row>
    <row r="2220">
      <c r="A2220" s="76"/>
      <c r="B2220" s="77"/>
    </row>
    <row r="2221">
      <c r="A2221" s="76"/>
      <c r="B2221" s="77"/>
    </row>
    <row r="2222">
      <c r="A2222" s="76"/>
      <c r="B2222" s="77"/>
    </row>
    <row r="2223">
      <c r="A2223" s="76"/>
      <c r="B2223" s="77"/>
    </row>
    <row r="2224">
      <c r="A2224" s="76"/>
      <c r="B2224" s="77"/>
    </row>
    <row r="2225">
      <c r="A2225" s="76"/>
      <c r="B2225" s="77"/>
    </row>
    <row r="2226">
      <c r="A2226" s="76"/>
      <c r="B2226" s="77"/>
    </row>
    <row r="2227">
      <c r="A2227" s="76"/>
      <c r="B2227" s="77"/>
    </row>
    <row r="2228">
      <c r="A2228" s="76"/>
      <c r="B2228" s="77"/>
    </row>
    <row r="2229">
      <c r="A2229" s="76"/>
      <c r="B2229" s="77"/>
    </row>
    <row r="2230">
      <c r="A2230" s="76"/>
      <c r="B2230" s="77"/>
    </row>
    <row r="2231">
      <c r="A2231" s="76"/>
      <c r="B2231" s="77"/>
    </row>
    <row r="2232">
      <c r="A2232" s="76"/>
      <c r="B2232" s="77"/>
    </row>
    <row r="2233">
      <c r="A2233" s="76"/>
      <c r="B2233" s="77"/>
    </row>
    <row r="2234">
      <c r="A2234" s="76"/>
      <c r="B2234" s="77"/>
    </row>
    <row r="2235">
      <c r="A2235" s="76"/>
      <c r="B2235" s="77"/>
    </row>
    <row r="2236">
      <c r="A2236" s="76"/>
      <c r="B2236" s="77"/>
    </row>
    <row r="2237">
      <c r="A2237" s="76"/>
      <c r="B2237" s="77"/>
    </row>
    <row r="2238">
      <c r="A2238" s="76"/>
      <c r="B2238" s="77"/>
    </row>
    <row r="2239">
      <c r="A2239" s="76"/>
      <c r="B2239" s="77"/>
    </row>
    <row r="2240">
      <c r="A2240" s="76"/>
      <c r="B2240" s="77"/>
    </row>
    <row r="2241">
      <c r="A2241" s="76"/>
      <c r="B2241" s="77"/>
    </row>
    <row r="2242">
      <c r="A2242" s="76"/>
      <c r="B2242" s="77"/>
    </row>
    <row r="2243">
      <c r="A2243" s="76"/>
      <c r="B2243" s="77"/>
    </row>
    <row r="2244">
      <c r="A2244" s="76"/>
      <c r="B2244" s="77"/>
    </row>
    <row r="2245">
      <c r="A2245" s="76"/>
      <c r="B2245" s="77"/>
    </row>
    <row r="2246">
      <c r="A2246" s="76"/>
      <c r="B2246" s="77"/>
    </row>
    <row r="2247">
      <c r="A2247" s="76"/>
      <c r="B2247" s="77"/>
    </row>
    <row r="2248">
      <c r="A2248" s="76"/>
      <c r="B2248" s="77"/>
    </row>
    <row r="2249">
      <c r="A2249" s="76"/>
      <c r="B2249" s="77"/>
    </row>
    <row r="2250">
      <c r="A2250" s="76"/>
      <c r="B2250" s="77"/>
    </row>
    <row r="2251">
      <c r="A2251" s="76"/>
      <c r="B2251" s="77"/>
    </row>
    <row r="2252">
      <c r="A2252" s="76"/>
      <c r="B2252" s="77"/>
    </row>
    <row r="2253">
      <c r="A2253" s="76"/>
      <c r="B2253" s="77"/>
    </row>
    <row r="2254">
      <c r="A2254" s="76"/>
      <c r="B2254" s="77"/>
    </row>
    <row r="2255">
      <c r="A2255" s="76"/>
      <c r="B2255" s="77"/>
    </row>
    <row r="2256">
      <c r="A2256" s="76"/>
      <c r="B2256" s="77"/>
    </row>
    <row r="2257">
      <c r="A2257" s="76"/>
      <c r="B2257" s="77"/>
    </row>
    <row r="2258">
      <c r="A2258" s="76"/>
      <c r="B2258" s="77"/>
    </row>
    <row r="2259">
      <c r="A2259" s="76"/>
      <c r="B2259" s="77"/>
    </row>
    <row r="2260">
      <c r="A2260" s="76"/>
      <c r="B2260" s="77"/>
    </row>
    <row r="2261">
      <c r="A2261" s="76"/>
      <c r="B2261" s="77"/>
    </row>
    <row r="2262">
      <c r="A2262" s="76"/>
      <c r="B2262" s="77"/>
    </row>
    <row r="2263">
      <c r="A2263" s="76"/>
      <c r="B2263" s="77"/>
    </row>
    <row r="2264">
      <c r="A2264" s="76"/>
      <c r="B2264" s="77"/>
    </row>
    <row r="2265">
      <c r="A2265" s="76"/>
      <c r="B2265" s="77"/>
    </row>
    <row r="2266">
      <c r="A2266" s="76"/>
      <c r="B2266" s="77"/>
    </row>
    <row r="2267">
      <c r="A2267" s="76"/>
      <c r="B2267" s="77"/>
    </row>
    <row r="2268">
      <c r="A2268" s="76"/>
      <c r="B2268" s="77"/>
    </row>
    <row r="2269">
      <c r="A2269" s="76"/>
      <c r="B2269" s="77"/>
    </row>
    <row r="2270">
      <c r="A2270" s="76"/>
      <c r="B2270" s="77"/>
    </row>
    <row r="2271">
      <c r="A2271" s="76"/>
      <c r="B2271" s="77"/>
    </row>
    <row r="2272">
      <c r="A2272" s="76"/>
      <c r="B2272" s="77"/>
    </row>
    <row r="2273">
      <c r="A2273" s="76"/>
      <c r="B2273" s="77"/>
    </row>
    <row r="2274">
      <c r="A2274" s="76"/>
      <c r="B2274" s="77"/>
    </row>
    <row r="2275">
      <c r="A2275" s="76"/>
      <c r="B2275" s="77"/>
    </row>
    <row r="2276">
      <c r="A2276" s="76"/>
      <c r="B2276" s="77"/>
    </row>
    <row r="2277">
      <c r="A2277" s="76"/>
      <c r="B2277" s="77"/>
    </row>
    <row r="2278">
      <c r="A2278" s="76"/>
      <c r="B2278" s="77"/>
    </row>
    <row r="2279">
      <c r="A2279" s="76"/>
      <c r="B2279" s="77"/>
    </row>
    <row r="2280">
      <c r="A2280" s="76"/>
      <c r="B2280" s="77"/>
    </row>
    <row r="2281">
      <c r="A2281" s="76"/>
      <c r="B2281" s="77"/>
    </row>
    <row r="2282">
      <c r="A2282" s="76"/>
      <c r="B2282" s="77"/>
    </row>
    <row r="2283">
      <c r="A2283" s="76"/>
      <c r="B2283" s="77"/>
    </row>
    <row r="2284">
      <c r="A2284" s="76"/>
      <c r="B2284" s="77"/>
    </row>
    <row r="2285">
      <c r="A2285" s="76"/>
      <c r="B2285" s="77"/>
    </row>
    <row r="2286">
      <c r="A2286" s="76"/>
      <c r="B2286" s="77"/>
    </row>
    <row r="2287">
      <c r="A2287" s="76"/>
      <c r="B2287" s="77"/>
    </row>
    <row r="2288">
      <c r="A2288" s="76"/>
      <c r="B2288" s="77"/>
    </row>
    <row r="2289">
      <c r="A2289" s="76"/>
      <c r="B2289" s="77"/>
    </row>
    <row r="2290">
      <c r="A2290" s="76"/>
      <c r="B2290" s="77"/>
    </row>
    <row r="2291">
      <c r="A2291" s="76"/>
      <c r="B2291" s="77"/>
    </row>
    <row r="2292">
      <c r="A2292" s="76"/>
      <c r="B2292" s="77"/>
    </row>
    <row r="2293">
      <c r="A2293" s="76"/>
      <c r="B2293" s="77"/>
    </row>
    <row r="2294">
      <c r="A2294" s="76"/>
      <c r="B2294" s="77"/>
    </row>
    <row r="2295">
      <c r="A2295" s="76"/>
      <c r="B2295" s="77"/>
    </row>
    <row r="2296">
      <c r="A2296" s="76"/>
      <c r="B2296" s="77"/>
    </row>
    <row r="2297">
      <c r="A2297" s="76"/>
      <c r="B2297" s="77"/>
    </row>
    <row r="2298">
      <c r="A2298" s="76"/>
      <c r="B2298" s="77"/>
    </row>
    <row r="2299">
      <c r="A2299" s="76"/>
      <c r="B2299" s="77"/>
    </row>
    <row r="2300">
      <c r="A2300" s="76"/>
      <c r="B2300" s="77"/>
    </row>
    <row r="2301">
      <c r="A2301" s="76"/>
      <c r="B2301" s="77"/>
    </row>
    <row r="2302">
      <c r="A2302" s="76"/>
      <c r="B2302" s="77"/>
    </row>
    <row r="2303">
      <c r="A2303" s="76"/>
      <c r="B2303" s="77"/>
    </row>
    <row r="2304">
      <c r="A2304" s="76"/>
      <c r="B2304" s="77"/>
    </row>
    <row r="2305">
      <c r="A2305" s="76"/>
      <c r="B2305" s="77"/>
    </row>
    <row r="2306">
      <c r="A2306" s="76"/>
      <c r="B2306" s="77"/>
    </row>
    <row r="2307">
      <c r="A2307" s="76"/>
      <c r="B2307" s="77"/>
    </row>
    <row r="2308">
      <c r="A2308" s="76"/>
      <c r="B2308" s="77"/>
    </row>
    <row r="2309">
      <c r="A2309" s="76"/>
      <c r="B2309" s="77"/>
    </row>
    <row r="2310">
      <c r="A2310" s="76"/>
      <c r="B2310" s="77"/>
    </row>
    <row r="2311">
      <c r="A2311" s="76"/>
      <c r="B2311" s="77"/>
    </row>
    <row r="2312">
      <c r="A2312" s="76"/>
      <c r="B2312" s="77"/>
    </row>
    <row r="2313">
      <c r="A2313" s="76"/>
      <c r="B2313" s="77"/>
    </row>
    <row r="2314">
      <c r="A2314" s="76"/>
      <c r="B2314" s="77"/>
    </row>
    <row r="2315">
      <c r="A2315" s="76"/>
      <c r="B2315" s="77"/>
    </row>
    <row r="2316">
      <c r="A2316" s="76"/>
      <c r="B2316" s="77"/>
    </row>
    <row r="2317">
      <c r="A2317" s="76"/>
      <c r="B2317" s="77"/>
    </row>
    <row r="2318">
      <c r="A2318" s="76"/>
      <c r="B2318" s="77"/>
    </row>
    <row r="2319">
      <c r="A2319" s="76"/>
      <c r="B2319" s="77"/>
    </row>
    <row r="2320">
      <c r="A2320" s="76"/>
      <c r="B2320" s="77"/>
    </row>
    <row r="2321">
      <c r="A2321" s="76"/>
      <c r="B2321" s="77"/>
    </row>
    <row r="2322">
      <c r="A2322" s="76"/>
      <c r="B2322" s="77"/>
    </row>
    <row r="2323">
      <c r="A2323" s="76"/>
      <c r="B2323" s="77"/>
    </row>
    <row r="2324">
      <c r="A2324" s="76"/>
      <c r="B2324" s="77"/>
    </row>
    <row r="2325">
      <c r="A2325" s="76"/>
      <c r="B2325" s="77"/>
    </row>
    <row r="2326">
      <c r="A2326" s="76"/>
      <c r="B2326" s="77"/>
    </row>
    <row r="2327">
      <c r="A2327" s="76"/>
      <c r="B2327" s="77"/>
    </row>
    <row r="2328">
      <c r="A2328" s="76"/>
      <c r="B2328" s="77"/>
    </row>
    <row r="2329">
      <c r="A2329" s="76"/>
      <c r="B2329" s="77"/>
    </row>
    <row r="2330">
      <c r="A2330" s="76"/>
      <c r="B2330" s="77"/>
    </row>
    <row r="2331">
      <c r="A2331" s="76"/>
      <c r="B2331" s="77"/>
    </row>
    <row r="2332">
      <c r="A2332" s="76"/>
      <c r="B2332" s="77"/>
    </row>
    <row r="2333">
      <c r="A2333" s="76"/>
      <c r="B2333" s="77"/>
    </row>
    <row r="2334">
      <c r="A2334" s="76"/>
      <c r="B2334" s="77"/>
    </row>
    <row r="2335">
      <c r="A2335" s="76"/>
      <c r="B2335" s="77"/>
    </row>
    <row r="2336">
      <c r="A2336" s="76"/>
      <c r="B2336" s="77"/>
    </row>
    <row r="2337">
      <c r="A2337" s="76"/>
      <c r="B2337" s="77"/>
    </row>
    <row r="2338">
      <c r="A2338" s="76"/>
      <c r="B2338" s="77"/>
    </row>
    <row r="2339">
      <c r="A2339" s="76"/>
      <c r="B2339" s="77"/>
    </row>
    <row r="2340">
      <c r="A2340" s="76"/>
      <c r="B2340" s="77"/>
    </row>
    <row r="2341">
      <c r="A2341" s="76"/>
      <c r="B2341" s="77"/>
    </row>
    <row r="2342">
      <c r="A2342" s="76"/>
      <c r="B2342" s="77"/>
    </row>
    <row r="2343">
      <c r="A2343" s="76"/>
      <c r="B2343" s="77"/>
    </row>
    <row r="2344">
      <c r="A2344" s="76"/>
      <c r="B2344" s="77"/>
    </row>
    <row r="2345">
      <c r="A2345" s="76"/>
      <c r="B2345" s="77"/>
    </row>
    <row r="2346">
      <c r="A2346" s="76"/>
      <c r="B2346" s="77"/>
    </row>
    <row r="2347">
      <c r="A2347" s="76"/>
      <c r="B2347" s="77"/>
    </row>
    <row r="2348">
      <c r="A2348" s="76"/>
      <c r="B2348" s="77"/>
    </row>
    <row r="2349">
      <c r="A2349" s="76"/>
      <c r="B2349" s="77"/>
    </row>
    <row r="2350">
      <c r="A2350" s="76"/>
      <c r="B2350" s="77"/>
    </row>
    <row r="2351">
      <c r="A2351" s="76"/>
      <c r="B2351" s="77"/>
    </row>
    <row r="2352">
      <c r="A2352" s="76"/>
      <c r="B2352" s="77"/>
    </row>
    <row r="2353">
      <c r="A2353" s="76"/>
      <c r="B2353" s="77"/>
    </row>
    <row r="2354">
      <c r="A2354" s="76"/>
      <c r="B2354" s="77"/>
    </row>
    <row r="2355">
      <c r="A2355" s="76"/>
      <c r="B2355" s="77"/>
    </row>
    <row r="2356">
      <c r="A2356" s="76"/>
      <c r="B2356" s="77"/>
    </row>
    <row r="2357">
      <c r="A2357" s="76"/>
      <c r="B2357" s="77"/>
    </row>
    <row r="2358">
      <c r="A2358" s="76"/>
      <c r="B2358" s="77"/>
    </row>
    <row r="2359">
      <c r="A2359" s="76"/>
      <c r="B2359" s="77"/>
    </row>
    <row r="2360">
      <c r="A2360" s="76"/>
      <c r="B2360" s="77"/>
    </row>
    <row r="2361">
      <c r="A2361" s="76"/>
      <c r="B2361" s="77"/>
    </row>
    <row r="2362">
      <c r="A2362" s="76"/>
      <c r="B2362" s="77"/>
    </row>
    <row r="2363">
      <c r="A2363" s="76"/>
      <c r="B2363" s="77"/>
    </row>
    <row r="2364">
      <c r="A2364" s="76"/>
      <c r="B2364" s="77"/>
    </row>
    <row r="2365">
      <c r="A2365" s="76"/>
      <c r="B2365" s="77"/>
    </row>
    <row r="2366">
      <c r="A2366" s="76"/>
      <c r="B2366" s="77"/>
    </row>
    <row r="2367">
      <c r="A2367" s="76"/>
      <c r="B2367" s="77"/>
    </row>
    <row r="2368">
      <c r="A2368" s="76"/>
      <c r="B2368" s="77"/>
    </row>
    <row r="2369">
      <c r="A2369" s="76"/>
      <c r="B2369" s="77"/>
    </row>
    <row r="2370">
      <c r="A2370" s="76"/>
      <c r="B2370" s="77"/>
    </row>
    <row r="2371">
      <c r="A2371" s="76"/>
      <c r="B2371" s="77"/>
    </row>
    <row r="2372">
      <c r="A2372" s="76"/>
      <c r="B2372" s="77"/>
    </row>
    <row r="2373">
      <c r="A2373" s="76"/>
      <c r="B2373" s="77"/>
    </row>
    <row r="2374">
      <c r="A2374" s="76"/>
      <c r="B2374" s="77"/>
    </row>
    <row r="2375">
      <c r="A2375" s="76"/>
      <c r="B2375" s="77"/>
    </row>
    <row r="2376">
      <c r="A2376" s="76"/>
      <c r="B2376" s="77"/>
    </row>
    <row r="2377">
      <c r="A2377" s="76"/>
      <c r="B2377" s="77"/>
    </row>
    <row r="2378">
      <c r="A2378" s="76"/>
      <c r="B2378" s="77"/>
    </row>
    <row r="2379">
      <c r="A2379" s="76"/>
      <c r="B2379" s="77"/>
    </row>
    <row r="2380">
      <c r="A2380" s="76"/>
      <c r="B2380" s="77"/>
    </row>
    <row r="2381">
      <c r="A2381" s="76"/>
      <c r="B2381" s="77"/>
    </row>
    <row r="2382">
      <c r="A2382" s="76"/>
      <c r="B2382" s="77"/>
    </row>
    <row r="2383">
      <c r="A2383" s="76"/>
      <c r="B2383" s="77"/>
    </row>
    <row r="2384">
      <c r="A2384" s="76"/>
      <c r="B2384" s="77"/>
    </row>
    <row r="2385">
      <c r="A2385" s="76"/>
      <c r="B2385" s="77"/>
    </row>
    <row r="2386">
      <c r="A2386" s="76"/>
      <c r="B2386" s="77"/>
    </row>
    <row r="2387">
      <c r="A2387" s="76"/>
      <c r="B2387" s="77"/>
    </row>
    <row r="2388">
      <c r="A2388" s="76"/>
      <c r="B2388" s="77"/>
    </row>
    <row r="2389">
      <c r="A2389" s="76"/>
      <c r="B2389" s="77"/>
    </row>
    <row r="2390">
      <c r="A2390" s="76"/>
      <c r="B2390" s="77"/>
    </row>
    <row r="2391">
      <c r="A2391" s="76"/>
      <c r="B2391" s="77"/>
    </row>
    <row r="2392">
      <c r="A2392" s="76"/>
      <c r="B2392" s="77"/>
    </row>
    <row r="2393">
      <c r="A2393" s="76"/>
      <c r="B2393" s="77"/>
    </row>
    <row r="2394">
      <c r="A2394" s="76"/>
      <c r="B2394" s="77"/>
    </row>
    <row r="2395">
      <c r="A2395" s="76"/>
      <c r="B2395" s="77"/>
    </row>
    <row r="2396">
      <c r="A2396" s="76"/>
      <c r="B2396" s="77"/>
    </row>
    <row r="2397">
      <c r="A2397" s="76"/>
      <c r="B2397" s="77"/>
    </row>
    <row r="2398">
      <c r="A2398" s="76"/>
      <c r="B2398" s="77"/>
    </row>
    <row r="2399">
      <c r="A2399" s="76"/>
      <c r="B2399" s="77"/>
    </row>
    <row r="2400">
      <c r="A2400" s="76"/>
      <c r="B2400" s="77"/>
    </row>
    <row r="2401">
      <c r="A2401" s="76"/>
      <c r="B2401" s="77"/>
    </row>
    <row r="2402">
      <c r="A2402" s="76"/>
      <c r="B2402" s="77"/>
    </row>
    <row r="2403">
      <c r="A2403" s="76"/>
      <c r="B2403" s="77"/>
    </row>
    <row r="2404">
      <c r="A2404" s="76"/>
      <c r="B2404" s="77"/>
    </row>
    <row r="2405">
      <c r="A2405" s="76"/>
      <c r="B2405" s="77"/>
    </row>
    <row r="2406">
      <c r="A2406" s="76"/>
      <c r="B2406" s="77"/>
    </row>
    <row r="2407">
      <c r="A2407" s="76"/>
      <c r="B2407" s="77"/>
    </row>
    <row r="2408">
      <c r="A2408" s="76"/>
      <c r="B2408" s="77"/>
    </row>
    <row r="2409">
      <c r="A2409" s="76"/>
      <c r="B2409" s="77"/>
    </row>
    <row r="2410">
      <c r="A2410" s="76"/>
      <c r="B2410" s="77"/>
    </row>
    <row r="2411">
      <c r="A2411" s="76"/>
      <c r="B2411" s="77"/>
    </row>
    <row r="2412">
      <c r="A2412" s="76"/>
      <c r="B2412" s="77"/>
    </row>
    <row r="2413">
      <c r="A2413" s="76"/>
      <c r="B2413" s="77"/>
    </row>
    <row r="2414">
      <c r="A2414" s="76"/>
      <c r="B2414" s="77"/>
    </row>
    <row r="2415">
      <c r="A2415" s="76"/>
      <c r="B2415" s="77"/>
    </row>
    <row r="2416">
      <c r="A2416" s="76"/>
      <c r="B2416" s="77"/>
    </row>
    <row r="2417">
      <c r="A2417" s="76"/>
      <c r="B2417" s="77"/>
    </row>
    <row r="2418">
      <c r="A2418" s="76"/>
      <c r="B2418" s="77"/>
    </row>
    <row r="2419">
      <c r="A2419" s="76"/>
      <c r="B2419" s="77"/>
    </row>
    <row r="2420">
      <c r="A2420" s="76"/>
      <c r="B2420" s="77"/>
    </row>
    <row r="2421">
      <c r="A2421" s="76"/>
      <c r="B2421" s="77"/>
    </row>
    <row r="2422">
      <c r="A2422" s="76"/>
      <c r="B2422" s="77"/>
    </row>
    <row r="2423">
      <c r="A2423" s="76"/>
      <c r="B2423" s="77"/>
    </row>
    <row r="2424">
      <c r="A2424" s="76"/>
      <c r="B2424" s="77"/>
    </row>
    <row r="2425">
      <c r="A2425" s="76"/>
      <c r="B2425" s="77"/>
    </row>
    <row r="2426">
      <c r="A2426" s="76"/>
      <c r="B2426" s="77"/>
    </row>
    <row r="2427">
      <c r="A2427" s="76"/>
      <c r="B2427" s="77"/>
    </row>
    <row r="2428">
      <c r="A2428" s="76"/>
      <c r="B2428" s="77"/>
    </row>
    <row r="2429">
      <c r="A2429" s="76"/>
      <c r="B2429" s="77"/>
    </row>
    <row r="2430">
      <c r="A2430" s="76"/>
      <c r="B2430" s="77"/>
    </row>
    <row r="2431">
      <c r="A2431" s="76"/>
      <c r="B2431" s="77"/>
    </row>
    <row r="2432">
      <c r="A2432" s="76"/>
      <c r="B2432" s="77"/>
    </row>
    <row r="2433">
      <c r="A2433" s="76"/>
      <c r="B2433" s="77"/>
    </row>
    <row r="2434">
      <c r="A2434" s="76"/>
      <c r="B2434" s="77"/>
    </row>
    <row r="2435">
      <c r="A2435" s="76"/>
      <c r="B2435" s="77"/>
    </row>
    <row r="2436">
      <c r="A2436" s="76"/>
      <c r="B2436" s="77"/>
    </row>
    <row r="2437">
      <c r="A2437" s="76"/>
      <c r="B2437" s="77"/>
    </row>
    <row r="2438">
      <c r="A2438" s="76"/>
      <c r="B2438" s="77"/>
    </row>
    <row r="2439">
      <c r="A2439" s="76"/>
      <c r="B2439" s="77"/>
    </row>
    <row r="2440">
      <c r="A2440" s="76"/>
      <c r="B2440" s="77"/>
    </row>
    <row r="2441">
      <c r="A2441" s="76"/>
      <c r="B2441" s="77"/>
    </row>
    <row r="2442">
      <c r="A2442" s="76"/>
      <c r="B2442" s="77"/>
    </row>
    <row r="2443">
      <c r="A2443" s="76"/>
      <c r="B2443" s="77"/>
    </row>
    <row r="2444">
      <c r="A2444" s="76"/>
      <c r="B2444" s="77"/>
    </row>
    <row r="2445">
      <c r="A2445" s="76"/>
      <c r="B2445" s="77"/>
    </row>
    <row r="2446">
      <c r="A2446" s="76"/>
      <c r="B2446" s="77"/>
    </row>
    <row r="2447">
      <c r="A2447" s="76"/>
      <c r="B2447" s="77"/>
    </row>
    <row r="2448">
      <c r="A2448" s="76"/>
      <c r="B2448" s="77"/>
    </row>
    <row r="2449">
      <c r="A2449" s="76"/>
      <c r="B2449" s="77"/>
    </row>
    <row r="2450">
      <c r="A2450" s="76"/>
      <c r="B2450" s="77"/>
    </row>
    <row r="2451">
      <c r="A2451" s="76"/>
      <c r="B2451" s="77"/>
    </row>
    <row r="2452">
      <c r="A2452" s="76"/>
      <c r="B2452" s="77"/>
    </row>
    <row r="2453">
      <c r="A2453" s="76"/>
      <c r="B2453" s="77"/>
    </row>
    <row r="2454">
      <c r="A2454" s="76"/>
      <c r="B2454" s="77"/>
    </row>
    <row r="2455">
      <c r="A2455" s="76"/>
      <c r="B2455" s="77"/>
    </row>
    <row r="2456">
      <c r="A2456" s="76"/>
      <c r="B2456" s="77"/>
    </row>
    <row r="2457">
      <c r="A2457" s="76"/>
      <c r="B2457" s="77"/>
    </row>
    <row r="2458">
      <c r="A2458" s="76"/>
      <c r="B2458" s="77"/>
    </row>
    <row r="2459">
      <c r="A2459" s="76"/>
      <c r="B2459" s="77"/>
    </row>
    <row r="2460">
      <c r="A2460" s="76"/>
      <c r="B2460" s="77"/>
    </row>
    <row r="2461">
      <c r="A2461" s="76"/>
      <c r="B2461" s="77"/>
    </row>
    <row r="2462">
      <c r="A2462" s="76"/>
      <c r="B2462" s="77"/>
    </row>
    <row r="2463">
      <c r="A2463" s="76"/>
      <c r="B2463" s="77"/>
    </row>
    <row r="2464">
      <c r="A2464" s="76"/>
      <c r="B2464" s="77"/>
    </row>
    <row r="2465">
      <c r="A2465" s="76"/>
      <c r="B2465" s="77"/>
    </row>
    <row r="2466">
      <c r="A2466" s="76"/>
      <c r="B2466" s="77"/>
    </row>
    <row r="2467">
      <c r="A2467" s="76"/>
      <c r="B2467" s="77"/>
    </row>
    <row r="2468">
      <c r="A2468" s="76"/>
      <c r="B2468" s="77"/>
    </row>
    <row r="2469">
      <c r="A2469" s="76"/>
      <c r="B2469" s="77"/>
    </row>
    <row r="2470">
      <c r="A2470" s="76"/>
      <c r="B2470" s="77"/>
    </row>
    <row r="2471">
      <c r="A2471" s="76"/>
      <c r="B2471" s="77"/>
    </row>
    <row r="2472">
      <c r="A2472" s="76"/>
      <c r="B2472" s="77"/>
    </row>
    <row r="2473">
      <c r="A2473" s="76"/>
      <c r="B2473" s="77"/>
    </row>
    <row r="2474">
      <c r="A2474" s="76"/>
      <c r="B2474" s="77"/>
    </row>
    <row r="2475">
      <c r="A2475" s="76"/>
      <c r="B2475" s="77"/>
    </row>
    <row r="2476">
      <c r="A2476" s="76"/>
      <c r="B2476" s="77"/>
    </row>
    <row r="2477">
      <c r="A2477" s="76"/>
      <c r="B2477" s="77"/>
    </row>
    <row r="2478">
      <c r="A2478" s="76"/>
      <c r="B2478" s="77"/>
    </row>
    <row r="2479">
      <c r="A2479" s="76"/>
      <c r="B2479" s="77"/>
    </row>
    <row r="2480">
      <c r="A2480" s="76"/>
      <c r="B2480" s="77"/>
    </row>
    <row r="2481">
      <c r="A2481" s="76"/>
      <c r="B2481" s="77"/>
    </row>
    <row r="2482">
      <c r="A2482" s="76"/>
      <c r="B2482" s="77"/>
    </row>
    <row r="2483">
      <c r="A2483" s="76"/>
      <c r="B2483" s="77"/>
    </row>
    <row r="2484">
      <c r="A2484" s="76"/>
      <c r="B2484" s="77"/>
    </row>
    <row r="2485">
      <c r="A2485" s="76"/>
      <c r="B2485" s="77"/>
    </row>
    <row r="2486">
      <c r="A2486" s="76"/>
      <c r="B2486" s="77"/>
    </row>
    <row r="2487">
      <c r="A2487" s="76"/>
      <c r="B2487" s="77"/>
    </row>
    <row r="2488">
      <c r="A2488" s="76"/>
      <c r="B2488" s="77"/>
    </row>
    <row r="2489">
      <c r="A2489" s="76"/>
      <c r="B2489" s="77"/>
    </row>
    <row r="2490">
      <c r="A2490" s="76"/>
      <c r="B2490" s="77"/>
    </row>
    <row r="2491">
      <c r="A2491" s="76"/>
      <c r="B2491" s="77"/>
    </row>
    <row r="2492">
      <c r="A2492" s="76"/>
      <c r="B2492" s="77"/>
    </row>
    <row r="2493">
      <c r="A2493" s="76"/>
      <c r="B2493" s="77"/>
    </row>
    <row r="2494">
      <c r="A2494" s="76"/>
      <c r="B2494" s="77"/>
    </row>
    <row r="2495">
      <c r="A2495" s="76"/>
      <c r="B2495" s="77"/>
    </row>
    <row r="2496">
      <c r="A2496" s="76"/>
      <c r="B2496" s="77"/>
    </row>
    <row r="2497">
      <c r="A2497" s="76"/>
      <c r="B2497" s="77"/>
    </row>
    <row r="2498">
      <c r="A2498" s="76"/>
      <c r="B2498" s="77"/>
    </row>
    <row r="2499">
      <c r="A2499" s="76"/>
      <c r="B2499" s="77"/>
    </row>
    <row r="2500">
      <c r="A2500" s="76"/>
      <c r="B2500" s="77"/>
    </row>
    <row r="2501">
      <c r="A2501" s="76"/>
      <c r="B2501" s="77"/>
    </row>
    <row r="2502">
      <c r="A2502" s="76"/>
      <c r="B2502" s="77"/>
    </row>
    <row r="2503">
      <c r="A2503" s="76"/>
      <c r="B2503" s="77"/>
    </row>
    <row r="2504">
      <c r="A2504" s="76"/>
      <c r="B2504" s="77"/>
    </row>
    <row r="2505">
      <c r="A2505" s="76"/>
      <c r="B2505" s="77"/>
    </row>
    <row r="2506">
      <c r="A2506" s="76"/>
      <c r="B2506" s="77"/>
    </row>
    <row r="2507">
      <c r="A2507" s="76"/>
      <c r="B2507" s="77"/>
    </row>
    <row r="2508">
      <c r="A2508" s="76"/>
      <c r="B2508" s="77"/>
    </row>
    <row r="2509">
      <c r="A2509" s="76"/>
      <c r="B2509" s="77"/>
    </row>
    <row r="2510">
      <c r="A2510" s="76"/>
      <c r="B2510" s="77"/>
    </row>
    <row r="2511">
      <c r="A2511" s="76"/>
      <c r="B2511" s="77"/>
    </row>
    <row r="2512">
      <c r="A2512" s="76"/>
      <c r="B2512" s="77"/>
    </row>
    <row r="2513">
      <c r="A2513" s="76"/>
      <c r="B2513" s="77"/>
    </row>
    <row r="2514">
      <c r="A2514" s="76"/>
      <c r="B2514" s="77"/>
    </row>
    <row r="2515">
      <c r="A2515" s="76"/>
      <c r="B2515" s="77"/>
    </row>
    <row r="2516">
      <c r="A2516" s="76"/>
      <c r="B2516" s="77"/>
    </row>
    <row r="2517">
      <c r="A2517" s="76"/>
      <c r="B2517" s="77"/>
    </row>
    <row r="2518">
      <c r="A2518" s="76"/>
      <c r="B2518" s="77"/>
    </row>
    <row r="2519">
      <c r="A2519" s="76"/>
      <c r="B2519" s="77"/>
    </row>
    <row r="2520">
      <c r="A2520" s="76"/>
      <c r="B2520" s="77"/>
    </row>
    <row r="2521">
      <c r="A2521" s="76"/>
      <c r="B2521" s="77"/>
    </row>
    <row r="2522">
      <c r="A2522" s="76"/>
      <c r="B2522" s="77"/>
    </row>
    <row r="2523">
      <c r="A2523" s="76"/>
      <c r="B2523" s="77"/>
    </row>
    <row r="2524">
      <c r="A2524" s="76"/>
      <c r="B2524" s="77"/>
    </row>
    <row r="2525">
      <c r="A2525" s="76"/>
      <c r="B2525" s="77"/>
    </row>
    <row r="2526">
      <c r="A2526" s="76"/>
      <c r="B2526" s="77"/>
    </row>
    <row r="2527">
      <c r="A2527" s="76"/>
      <c r="B2527" s="77"/>
    </row>
    <row r="2528">
      <c r="A2528" s="76"/>
      <c r="B2528" s="77"/>
    </row>
    <row r="2529">
      <c r="A2529" s="76"/>
      <c r="B2529" s="77"/>
    </row>
    <row r="2530">
      <c r="A2530" s="76"/>
      <c r="B2530" s="77"/>
    </row>
    <row r="2531">
      <c r="A2531" s="76"/>
      <c r="B2531" s="77"/>
    </row>
    <row r="2532">
      <c r="A2532" s="76"/>
      <c r="B2532" s="77"/>
    </row>
    <row r="2533">
      <c r="A2533" s="76"/>
      <c r="B2533" s="77"/>
    </row>
    <row r="2534">
      <c r="A2534" s="76"/>
      <c r="B2534" s="77"/>
    </row>
    <row r="2535">
      <c r="A2535" s="76"/>
      <c r="B2535" s="77"/>
    </row>
    <row r="2536">
      <c r="A2536" s="76"/>
      <c r="B2536" s="77"/>
    </row>
    <row r="2537">
      <c r="A2537" s="76"/>
      <c r="B2537" s="77"/>
    </row>
    <row r="2538">
      <c r="A2538" s="76"/>
      <c r="B2538" s="77"/>
    </row>
    <row r="2539">
      <c r="A2539" s="76"/>
      <c r="B2539" s="77"/>
    </row>
    <row r="2540">
      <c r="A2540" s="76"/>
      <c r="B2540" s="77"/>
    </row>
    <row r="2541">
      <c r="A2541" s="76"/>
      <c r="B2541" s="77"/>
    </row>
    <row r="2542">
      <c r="A2542" s="76"/>
      <c r="B2542" s="77"/>
    </row>
    <row r="2543">
      <c r="A2543" s="76"/>
      <c r="B2543" s="77"/>
    </row>
    <row r="2544">
      <c r="A2544" s="76"/>
      <c r="B2544" s="77"/>
    </row>
    <row r="2545">
      <c r="A2545" s="76"/>
      <c r="B2545" s="77"/>
    </row>
    <row r="2546">
      <c r="A2546" s="76"/>
      <c r="B2546" s="77"/>
    </row>
    <row r="2547">
      <c r="A2547" s="76"/>
      <c r="B2547" s="77"/>
    </row>
    <row r="2548">
      <c r="A2548" s="76"/>
      <c r="B2548" s="77"/>
    </row>
    <row r="2549">
      <c r="A2549" s="76"/>
      <c r="B2549" s="77"/>
    </row>
    <row r="2550">
      <c r="A2550" s="76"/>
      <c r="B2550" s="77"/>
    </row>
    <row r="2551">
      <c r="A2551" s="76"/>
      <c r="B2551" s="77"/>
    </row>
    <row r="2552">
      <c r="A2552" s="76"/>
      <c r="B2552" s="77"/>
    </row>
    <row r="2553">
      <c r="A2553" s="76"/>
      <c r="B2553" s="77"/>
    </row>
    <row r="2554">
      <c r="A2554" s="76"/>
      <c r="B2554" s="77"/>
    </row>
    <row r="2555">
      <c r="A2555" s="76"/>
      <c r="B2555" s="77"/>
    </row>
    <row r="2556">
      <c r="A2556" s="76"/>
      <c r="B2556" s="77"/>
    </row>
    <row r="2557">
      <c r="A2557" s="76"/>
      <c r="B2557" s="77"/>
    </row>
    <row r="2558">
      <c r="A2558" s="76"/>
      <c r="B2558" s="77"/>
    </row>
    <row r="2559">
      <c r="A2559" s="76"/>
      <c r="B2559" s="77"/>
    </row>
    <row r="2560">
      <c r="A2560" s="76"/>
      <c r="B2560" s="77"/>
    </row>
    <row r="2561">
      <c r="A2561" s="76"/>
      <c r="B2561" s="77"/>
    </row>
    <row r="2562">
      <c r="A2562" s="76"/>
      <c r="B2562" s="77"/>
    </row>
    <row r="2563">
      <c r="A2563" s="76"/>
      <c r="B2563" s="77"/>
    </row>
    <row r="2564">
      <c r="A2564" s="76"/>
      <c r="B2564" s="77"/>
    </row>
    <row r="2565">
      <c r="A2565" s="76"/>
      <c r="B2565" s="77"/>
    </row>
    <row r="2566">
      <c r="A2566" s="76"/>
      <c r="B2566" s="77"/>
    </row>
    <row r="2567">
      <c r="A2567" s="76"/>
      <c r="B2567" s="77"/>
    </row>
    <row r="2568">
      <c r="A2568" s="76"/>
      <c r="B2568" s="77"/>
    </row>
    <row r="2569">
      <c r="A2569" s="76"/>
      <c r="B2569" s="77"/>
    </row>
    <row r="2570">
      <c r="A2570" s="76"/>
      <c r="B2570" s="77"/>
    </row>
    <row r="2571">
      <c r="A2571" s="76"/>
      <c r="B2571" s="77"/>
    </row>
    <row r="2572">
      <c r="A2572" s="76"/>
      <c r="B2572" s="77"/>
    </row>
    <row r="2573">
      <c r="A2573" s="76"/>
      <c r="B2573" s="77"/>
    </row>
    <row r="2574">
      <c r="A2574" s="76"/>
      <c r="B2574" s="77"/>
    </row>
    <row r="2575">
      <c r="A2575" s="76"/>
      <c r="B2575" s="77"/>
    </row>
    <row r="2576">
      <c r="A2576" s="76"/>
      <c r="B2576" s="77"/>
    </row>
    <row r="2577">
      <c r="A2577" s="76"/>
      <c r="B2577" s="77"/>
    </row>
    <row r="2578">
      <c r="A2578" s="76"/>
      <c r="B2578" s="77"/>
    </row>
    <row r="2579">
      <c r="A2579" s="76"/>
      <c r="B2579" s="77"/>
    </row>
    <row r="2580">
      <c r="A2580" s="76"/>
      <c r="B2580" s="77"/>
    </row>
    <row r="2581">
      <c r="A2581" s="76"/>
      <c r="B2581" s="77"/>
    </row>
    <row r="2582">
      <c r="A2582" s="76"/>
      <c r="B2582" s="77"/>
    </row>
    <row r="2583">
      <c r="A2583" s="76"/>
      <c r="B2583" s="77"/>
    </row>
    <row r="2584">
      <c r="A2584" s="76"/>
      <c r="B2584" s="77"/>
    </row>
    <row r="2585">
      <c r="A2585" s="76"/>
      <c r="B2585" s="77"/>
    </row>
    <row r="2586">
      <c r="A2586" s="76"/>
      <c r="B2586" s="77"/>
    </row>
    <row r="2587">
      <c r="A2587" s="76"/>
      <c r="B2587" s="77"/>
    </row>
    <row r="2588">
      <c r="A2588" s="76"/>
      <c r="B2588" s="77"/>
    </row>
    <row r="2589">
      <c r="A2589" s="76"/>
      <c r="B2589" s="77"/>
    </row>
    <row r="2590">
      <c r="A2590" s="76"/>
      <c r="B2590" s="77"/>
    </row>
    <row r="2591">
      <c r="A2591" s="76"/>
      <c r="B2591" s="77"/>
    </row>
    <row r="2592">
      <c r="A2592" s="76"/>
      <c r="B2592" s="77"/>
    </row>
    <row r="2593">
      <c r="A2593" s="76"/>
      <c r="B2593" s="77"/>
    </row>
    <row r="2594">
      <c r="A2594" s="76"/>
      <c r="B2594" s="77"/>
    </row>
    <row r="2595">
      <c r="A2595" s="76"/>
      <c r="B2595" s="77"/>
    </row>
    <row r="2596">
      <c r="A2596" s="76"/>
      <c r="B2596" s="77"/>
    </row>
    <row r="2597">
      <c r="A2597" s="76"/>
      <c r="B2597" s="77"/>
    </row>
    <row r="2598">
      <c r="A2598" s="76"/>
      <c r="B2598" s="77"/>
    </row>
    <row r="2599">
      <c r="A2599" s="76"/>
      <c r="B2599" s="77"/>
    </row>
    <row r="2600">
      <c r="A2600" s="76"/>
      <c r="B2600" s="77"/>
    </row>
    <row r="2601">
      <c r="A2601" s="76"/>
      <c r="B2601" s="77"/>
    </row>
    <row r="2602">
      <c r="A2602" s="76"/>
      <c r="B2602" s="77"/>
    </row>
    <row r="2603">
      <c r="A2603" s="76"/>
      <c r="B2603" s="77"/>
    </row>
    <row r="2604">
      <c r="A2604" s="76"/>
      <c r="B2604" s="77"/>
    </row>
    <row r="2605">
      <c r="A2605" s="76"/>
      <c r="B2605" s="77"/>
    </row>
    <row r="2606">
      <c r="A2606" s="76"/>
      <c r="B2606" s="77"/>
    </row>
    <row r="2607">
      <c r="A2607" s="76"/>
      <c r="B2607" s="77"/>
    </row>
    <row r="2608">
      <c r="A2608" s="76"/>
      <c r="B2608" s="77"/>
    </row>
    <row r="2609">
      <c r="A2609" s="76"/>
      <c r="B2609" s="77"/>
    </row>
    <row r="2610">
      <c r="A2610" s="76"/>
      <c r="B2610" s="77"/>
    </row>
    <row r="2611">
      <c r="A2611" s="76"/>
      <c r="B2611" s="77"/>
    </row>
    <row r="2612">
      <c r="A2612" s="76"/>
      <c r="B2612" s="77"/>
    </row>
    <row r="2613">
      <c r="A2613" s="76"/>
      <c r="B2613" s="77"/>
    </row>
    <row r="2614">
      <c r="A2614" s="76"/>
      <c r="B2614" s="77"/>
    </row>
    <row r="2615">
      <c r="A2615" s="76"/>
      <c r="B2615" s="77"/>
    </row>
    <row r="2616">
      <c r="A2616" s="76"/>
      <c r="B2616" s="77"/>
    </row>
    <row r="2617">
      <c r="A2617" s="76"/>
      <c r="B2617" s="77"/>
    </row>
    <row r="2618">
      <c r="A2618" s="76"/>
      <c r="B2618" s="77"/>
    </row>
    <row r="2619">
      <c r="A2619" s="76"/>
      <c r="B2619" s="77"/>
    </row>
    <row r="2620">
      <c r="A2620" s="76"/>
      <c r="B2620" s="77"/>
    </row>
    <row r="2621">
      <c r="A2621" s="76"/>
      <c r="B2621" s="77"/>
    </row>
    <row r="2622">
      <c r="A2622" s="76"/>
      <c r="B2622" s="77"/>
    </row>
    <row r="2623">
      <c r="A2623" s="76"/>
      <c r="B2623" s="77"/>
    </row>
    <row r="2624">
      <c r="A2624" s="76"/>
      <c r="B2624" s="77"/>
    </row>
    <row r="2625">
      <c r="A2625" s="76"/>
      <c r="B2625" s="77"/>
    </row>
    <row r="2626">
      <c r="A2626" s="76"/>
      <c r="B2626" s="77"/>
    </row>
    <row r="2627">
      <c r="A2627" s="76"/>
      <c r="B2627" s="77"/>
    </row>
    <row r="2628">
      <c r="A2628" s="76"/>
      <c r="B2628" s="77"/>
    </row>
    <row r="2629">
      <c r="A2629" s="76"/>
      <c r="B2629" s="77"/>
    </row>
    <row r="2630">
      <c r="A2630" s="76"/>
      <c r="B2630" s="77"/>
    </row>
    <row r="2631">
      <c r="A2631" s="76"/>
      <c r="B2631" s="77"/>
    </row>
    <row r="2632">
      <c r="A2632" s="76"/>
      <c r="B2632" s="77"/>
    </row>
    <row r="2633">
      <c r="A2633" s="76"/>
      <c r="B2633" s="77"/>
    </row>
    <row r="2634">
      <c r="A2634" s="76"/>
      <c r="B2634" s="77"/>
    </row>
    <row r="2635">
      <c r="A2635" s="76"/>
      <c r="B2635" s="77"/>
    </row>
    <row r="2636">
      <c r="A2636" s="76"/>
      <c r="B2636" s="77"/>
    </row>
    <row r="2637">
      <c r="A2637" s="76"/>
      <c r="B2637" s="77"/>
    </row>
    <row r="2638">
      <c r="A2638" s="76"/>
      <c r="B2638" s="77"/>
    </row>
    <row r="2639">
      <c r="A2639" s="76"/>
      <c r="B2639" s="77"/>
    </row>
    <row r="2640">
      <c r="A2640" s="76"/>
      <c r="B2640" s="77"/>
    </row>
    <row r="2641">
      <c r="A2641" s="76"/>
      <c r="B2641" s="77"/>
    </row>
    <row r="2642">
      <c r="A2642" s="76"/>
      <c r="B2642" s="77"/>
    </row>
    <row r="2643">
      <c r="A2643" s="76"/>
      <c r="B2643" s="77"/>
    </row>
    <row r="2644">
      <c r="A2644" s="76"/>
      <c r="B2644" s="77"/>
    </row>
    <row r="2645">
      <c r="A2645" s="76"/>
      <c r="B2645" s="77"/>
    </row>
    <row r="2646">
      <c r="A2646" s="76"/>
      <c r="B2646" s="77"/>
    </row>
    <row r="2647">
      <c r="A2647" s="76"/>
      <c r="B2647" s="77"/>
    </row>
    <row r="2648">
      <c r="A2648" s="76"/>
      <c r="B2648" s="77"/>
    </row>
    <row r="2649">
      <c r="A2649" s="76"/>
      <c r="B2649" s="77"/>
    </row>
    <row r="2650">
      <c r="A2650" s="76"/>
      <c r="B2650" s="77"/>
    </row>
    <row r="2651">
      <c r="A2651" s="76"/>
      <c r="B2651" s="77"/>
    </row>
    <row r="2652">
      <c r="A2652" s="76"/>
      <c r="B2652" s="77"/>
    </row>
    <row r="2653">
      <c r="A2653" s="76"/>
      <c r="B2653" s="77"/>
    </row>
    <row r="2654">
      <c r="A2654" s="76"/>
      <c r="B2654" s="77"/>
    </row>
    <row r="2655">
      <c r="A2655" s="76"/>
      <c r="B2655" s="77"/>
    </row>
    <row r="2656">
      <c r="A2656" s="76"/>
      <c r="B2656" s="77"/>
    </row>
    <row r="2657">
      <c r="A2657" s="76"/>
      <c r="B2657" s="77"/>
    </row>
    <row r="2658">
      <c r="A2658" s="76"/>
      <c r="B2658" s="77"/>
    </row>
    <row r="2659">
      <c r="A2659" s="76"/>
      <c r="B2659" s="77"/>
    </row>
    <row r="2660">
      <c r="A2660" s="76"/>
      <c r="B2660" s="77"/>
    </row>
    <row r="2661">
      <c r="A2661" s="76"/>
      <c r="B2661" s="77"/>
    </row>
    <row r="2662">
      <c r="A2662" s="76"/>
      <c r="B2662" s="77"/>
    </row>
    <row r="2663">
      <c r="A2663" s="76"/>
      <c r="B2663" s="77"/>
    </row>
    <row r="2664">
      <c r="A2664" s="76"/>
      <c r="B2664" s="77"/>
    </row>
    <row r="2665">
      <c r="A2665" s="76"/>
      <c r="B2665" s="77"/>
    </row>
    <row r="2666">
      <c r="A2666" s="76"/>
      <c r="B2666" s="77"/>
    </row>
    <row r="2667">
      <c r="A2667" s="76"/>
      <c r="B2667" s="77"/>
    </row>
    <row r="2668">
      <c r="A2668" s="76"/>
      <c r="B2668" s="77"/>
    </row>
    <row r="2669">
      <c r="A2669" s="76"/>
      <c r="B2669" s="77"/>
    </row>
    <row r="2670">
      <c r="A2670" s="76"/>
      <c r="B2670" s="77"/>
    </row>
    <row r="2671">
      <c r="A2671" s="76"/>
      <c r="B2671" s="77"/>
    </row>
    <row r="2672">
      <c r="A2672" s="76"/>
      <c r="B2672" s="77"/>
    </row>
    <row r="2673">
      <c r="A2673" s="76"/>
      <c r="B2673" s="77"/>
    </row>
    <row r="2674">
      <c r="A2674" s="76"/>
      <c r="B2674" s="77"/>
    </row>
    <row r="2675">
      <c r="A2675" s="76"/>
      <c r="B2675" s="77"/>
    </row>
    <row r="2676">
      <c r="A2676" s="76"/>
      <c r="B2676" s="77"/>
    </row>
    <row r="2677">
      <c r="A2677" s="76"/>
      <c r="B2677" s="77"/>
    </row>
    <row r="2678">
      <c r="A2678" s="76"/>
      <c r="B2678" s="77"/>
    </row>
    <row r="2679">
      <c r="A2679" s="76"/>
      <c r="B2679" s="77"/>
    </row>
    <row r="2680">
      <c r="A2680" s="76"/>
      <c r="B2680" s="77"/>
    </row>
    <row r="2681">
      <c r="A2681" s="76"/>
      <c r="B2681" s="77"/>
    </row>
    <row r="2682">
      <c r="A2682" s="76"/>
      <c r="B2682" s="77"/>
    </row>
    <row r="2683">
      <c r="A2683" s="76"/>
      <c r="B2683" s="77"/>
    </row>
    <row r="2684">
      <c r="A2684" s="76"/>
      <c r="B2684" s="77"/>
    </row>
    <row r="2685">
      <c r="A2685" s="76"/>
      <c r="B2685" s="77"/>
    </row>
    <row r="2686">
      <c r="A2686" s="76"/>
      <c r="B2686" s="77"/>
    </row>
    <row r="2687">
      <c r="A2687" s="76"/>
      <c r="B2687" s="77"/>
    </row>
    <row r="2688">
      <c r="A2688" s="76"/>
      <c r="B2688" s="77"/>
    </row>
    <row r="2689">
      <c r="A2689" s="76"/>
      <c r="B2689" s="77"/>
    </row>
    <row r="2690">
      <c r="A2690" s="76"/>
      <c r="B2690" s="77"/>
    </row>
    <row r="2691">
      <c r="A2691" s="76"/>
      <c r="B2691" s="77"/>
    </row>
    <row r="2692">
      <c r="A2692" s="76"/>
      <c r="B2692" s="77"/>
    </row>
    <row r="2693">
      <c r="A2693" s="76"/>
      <c r="B2693" s="77"/>
    </row>
    <row r="2694">
      <c r="A2694" s="76"/>
      <c r="B2694" s="77"/>
    </row>
    <row r="2695">
      <c r="A2695" s="76"/>
      <c r="B2695" s="77"/>
    </row>
    <row r="2696">
      <c r="A2696" s="76"/>
      <c r="B2696" s="77"/>
    </row>
    <row r="2697">
      <c r="A2697" s="76"/>
      <c r="B2697" s="77"/>
    </row>
    <row r="2698">
      <c r="A2698" s="76"/>
      <c r="B2698" s="77"/>
    </row>
    <row r="2699">
      <c r="A2699" s="76"/>
      <c r="B2699" s="77"/>
    </row>
    <row r="2700">
      <c r="A2700" s="76"/>
      <c r="B2700" s="77"/>
    </row>
    <row r="2701">
      <c r="A2701" s="76"/>
      <c r="B2701" s="77"/>
    </row>
    <row r="2702">
      <c r="A2702" s="76"/>
      <c r="B2702" s="77"/>
    </row>
    <row r="2703">
      <c r="A2703" s="76"/>
      <c r="B2703" s="77"/>
    </row>
    <row r="2704">
      <c r="A2704" s="76"/>
      <c r="B2704" s="77"/>
    </row>
    <row r="2705">
      <c r="A2705" s="76"/>
      <c r="B2705" s="77"/>
    </row>
    <row r="2706">
      <c r="A2706" s="76"/>
      <c r="B2706" s="77"/>
    </row>
    <row r="2707">
      <c r="A2707" s="76"/>
      <c r="B2707" s="77"/>
    </row>
    <row r="2708">
      <c r="A2708" s="76"/>
      <c r="B2708" s="77"/>
    </row>
    <row r="2709">
      <c r="A2709" s="76"/>
      <c r="B2709" s="77"/>
    </row>
    <row r="2710">
      <c r="A2710" s="76"/>
      <c r="B2710" s="77"/>
    </row>
    <row r="2711">
      <c r="A2711" s="76"/>
      <c r="B2711" s="77"/>
    </row>
    <row r="2712">
      <c r="A2712" s="76"/>
      <c r="B2712" s="77"/>
    </row>
    <row r="2713">
      <c r="A2713" s="76"/>
      <c r="B2713" s="77"/>
    </row>
    <row r="2714">
      <c r="A2714" s="76"/>
      <c r="B2714" s="77"/>
    </row>
    <row r="2715">
      <c r="A2715" s="76"/>
      <c r="B2715" s="77"/>
    </row>
    <row r="2716">
      <c r="A2716" s="76"/>
      <c r="B2716" s="77"/>
    </row>
    <row r="2717">
      <c r="A2717" s="76"/>
      <c r="B2717" s="77"/>
    </row>
    <row r="2718">
      <c r="A2718" s="76"/>
      <c r="B2718" s="77"/>
    </row>
    <row r="2719">
      <c r="A2719" s="76"/>
      <c r="B2719" s="77"/>
    </row>
    <row r="2720">
      <c r="A2720" s="76"/>
      <c r="B2720" s="77"/>
    </row>
    <row r="2721">
      <c r="A2721" s="76"/>
      <c r="B2721" s="77"/>
    </row>
    <row r="2722">
      <c r="A2722" s="76"/>
      <c r="B2722" s="77"/>
    </row>
    <row r="2723">
      <c r="A2723" s="76"/>
      <c r="B2723" s="77"/>
    </row>
    <row r="2724">
      <c r="A2724" s="76"/>
      <c r="B2724" s="77"/>
    </row>
    <row r="2725">
      <c r="A2725" s="76"/>
      <c r="B2725" s="77"/>
    </row>
    <row r="2726">
      <c r="A2726" s="76"/>
      <c r="B2726" s="77"/>
    </row>
    <row r="2727">
      <c r="A2727" s="76"/>
      <c r="B2727" s="77"/>
    </row>
    <row r="2728">
      <c r="A2728" s="76"/>
      <c r="B2728" s="77"/>
    </row>
    <row r="2729">
      <c r="A2729" s="76"/>
      <c r="B2729" s="77"/>
    </row>
    <row r="2730">
      <c r="A2730" s="76"/>
      <c r="B2730" s="77"/>
    </row>
    <row r="2731">
      <c r="A2731" s="76"/>
      <c r="B2731" s="77"/>
    </row>
    <row r="2732">
      <c r="A2732" s="76"/>
      <c r="B2732" s="77"/>
    </row>
    <row r="2733">
      <c r="A2733" s="76"/>
      <c r="B2733" s="77"/>
    </row>
    <row r="2734">
      <c r="A2734" s="76"/>
      <c r="B2734" s="77"/>
    </row>
    <row r="2735">
      <c r="A2735" s="76"/>
      <c r="B2735" s="77"/>
    </row>
    <row r="2736">
      <c r="A2736" s="76"/>
      <c r="B2736" s="77"/>
    </row>
    <row r="2737">
      <c r="A2737" s="76"/>
      <c r="B2737" s="77"/>
    </row>
    <row r="2738">
      <c r="A2738" s="76"/>
      <c r="B2738" s="77"/>
    </row>
    <row r="2739">
      <c r="A2739" s="76"/>
      <c r="B2739" s="77"/>
    </row>
    <row r="2740">
      <c r="A2740" s="76"/>
      <c r="B2740" s="77"/>
    </row>
    <row r="2741">
      <c r="A2741" s="76"/>
      <c r="B2741" s="77"/>
    </row>
    <row r="2742">
      <c r="A2742" s="76"/>
      <c r="B2742" s="77"/>
    </row>
    <row r="2743">
      <c r="A2743" s="76"/>
      <c r="B2743" s="77"/>
    </row>
    <row r="2744">
      <c r="A2744" s="76"/>
      <c r="B2744" s="77"/>
    </row>
    <row r="2745">
      <c r="A2745" s="76"/>
      <c r="B2745" s="77"/>
    </row>
    <row r="2746">
      <c r="A2746" s="76"/>
      <c r="B2746" s="77"/>
    </row>
    <row r="2747">
      <c r="A2747" s="76"/>
      <c r="B2747" s="77"/>
    </row>
    <row r="2748">
      <c r="A2748" s="76"/>
      <c r="B2748" s="77"/>
    </row>
    <row r="2749">
      <c r="A2749" s="76"/>
      <c r="B2749" s="77"/>
    </row>
    <row r="2750">
      <c r="A2750" s="76"/>
      <c r="B2750" s="77"/>
    </row>
    <row r="2751">
      <c r="A2751" s="76"/>
      <c r="B2751" s="77"/>
    </row>
    <row r="2752">
      <c r="A2752" s="76"/>
      <c r="B2752" s="77"/>
    </row>
    <row r="2753">
      <c r="A2753" s="76"/>
      <c r="B2753" s="77"/>
    </row>
    <row r="2754">
      <c r="A2754" s="76"/>
      <c r="B2754" s="77"/>
    </row>
    <row r="2755">
      <c r="A2755" s="76"/>
      <c r="B2755" s="77"/>
    </row>
    <row r="2756">
      <c r="A2756" s="76"/>
      <c r="B2756" s="77"/>
    </row>
    <row r="2757">
      <c r="A2757" s="76"/>
      <c r="B2757" s="77"/>
    </row>
    <row r="2758">
      <c r="A2758" s="76"/>
      <c r="B2758" s="77"/>
    </row>
    <row r="2759">
      <c r="A2759" s="76"/>
      <c r="B2759" s="77"/>
    </row>
    <row r="2760">
      <c r="A2760" s="76"/>
      <c r="B2760" s="77"/>
    </row>
    <row r="2761">
      <c r="A2761" s="76"/>
      <c r="B2761" s="77"/>
    </row>
    <row r="2762">
      <c r="A2762" s="76"/>
      <c r="B2762" s="77"/>
    </row>
    <row r="2763">
      <c r="A2763" s="76"/>
      <c r="B2763" s="77"/>
    </row>
    <row r="2764">
      <c r="A2764" s="76"/>
      <c r="B2764" s="77"/>
    </row>
    <row r="2765">
      <c r="A2765" s="76"/>
      <c r="B2765" s="77"/>
    </row>
    <row r="2766">
      <c r="A2766" s="76"/>
      <c r="B2766" s="77"/>
    </row>
    <row r="2767">
      <c r="A2767" s="76"/>
      <c r="B2767" s="77"/>
    </row>
    <row r="2768">
      <c r="A2768" s="76"/>
      <c r="B2768" s="77"/>
    </row>
    <row r="2769">
      <c r="A2769" s="76"/>
      <c r="B2769" s="77"/>
    </row>
    <row r="2770">
      <c r="A2770" s="76"/>
      <c r="B2770" s="77"/>
    </row>
    <row r="2771">
      <c r="A2771" s="76"/>
      <c r="B2771" s="77"/>
    </row>
    <row r="2772">
      <c r="A2772" s="76"/>
      <c r="B2772" s="77"/>
    </row>
    <row r="2773">
      <c r="A2773" s="76"/>
      <c r="B2773" s="77"/>
    </row>
    <row r="2774">
      <c r="A2774" s="76"/>
      <c r="B2774" s="77"/>
    </row>
    <row r="2775">
      <c r="A2775" s="76"/>
      <c r="B2775" s="77"/>
    </row>
    <row r="2776">
      <c r="A2776" s="76"/>
      <c r="B2776" s="77"/>
    </row>
    <row r="2777">
      <c r="A2777" s="76"/>
      <c r="B2777" s="77"/>
    </row>
    <row r="2778">
      <c r="A2778" s="76"/>
      <c r="B2778" s="77"/>
    </row>
    <row r="2779">
      <c r="A2779" s="76"/>
      <c r="B2779" s="77"/>
    </row>
    <row r="2780">
      <c r="A2780" s="76"/>
      <c r="B2780" s="77"/>
    </row>
    <row r="2781">
      <c r="A2781" s="76"/>
      <c r="B2781" s="77"/>
    </row>
    <row r="2782">
      <c r="A2782" s="76"/>
      <c r="B2782" s="77"/>
    </row>
    <row r="2783">
      <c r="A2783" s="76"/>
      <c r="B2783" s="77"/>
    </row>
    <row r="2784">
      <c r="A2784" s="76"/>
      <c r="B2784" s="77"/>
    </row>
    <row r="2785">
      <c r="A2785" s="76"/>
      <c r="B2785" s="77"/>
    </row>
    <row r="2786">
      <c r="A2786" s="76"/>
      <c r="B2786" s="77"/>
    </row>
    <row r="2787">
      <c r="A2787" s="76"/>
      <c r="B2787" s="77"/>
    </row>
    <row r="2788">
      <c r="A2788" s="76"/>
      <c r="B2788" s="77"/>
    </row>
    <row r="2789">
      <c r="A2789" s="76"/>
      <c r="B2789" s="77"/>
    </row>
    <row r="2790">
      <c r="A2790" s="76"/>
      <c r="B2790" s="77"/>
    </row>
    <row r="2791">
      <c r="A2791" s="76"/>
      <c r="B2791" s="77"/>
    </row>
    <row r="2792">
      <c r="A2792" s="76"/>
      <c r="B2792" s="77"/>
    </row>
    <row r="2793">
      <c r="A2793" s="76"/>
      <c r="B2793" s="77"/>
    </row>
    <row r="2794">
      <c r="A2794" s="76"/>
      <c r="B2794" s="77"/>
    </row>
    <row r="2795">
      <c r="A2795" s="76"/>
      <c r="B2795" s="77"/>
    </row>
    <row r="2796">
      <c r="A2796" s="76"/>
      <c r="B2796" s="77"/>
    </row>
    <row r="2797">
      <c r="A2797" s="76"/>
      <c r="B2797" s="77"/>
    </row>
    <row r="2798">
      <c r="A2798" s="76"/>
      <c r="B2798" s="77"/>
    </row>
    <row r="2799">
      <c r="A2799" s="76"/>
      <c r="B2799" s="77"/>
    </row>
    <row r="2800">
      <c r="A2800" s="76"/>
      <c r="B2800" s="77"/>
    </row>
    <row r="2801">
      <c r="A2801" s="76"/>
      <c r="B2801" s="77"/>
    </row>
    <row r="2802">
      <c r="A2802" s="76"/>
      <c r="B2802" s="77"/>
    </row>
    <row r="2803">
      <c r="A2803" s="76"/>
      <c r="B2803" s="77"/>
    </row>
    <row r="2804">
      <c r="A2804" s="76"/>
      <c r="B2804" s="77"/>
    </row>
    <row r="2805">
      <c r="A2805" s="76"/>
      <c r="B2805" s="77"/>
    </row>
    <row r="2806">
      <c r="A2806" s="76"/>
      <c r="B2806" s="77"/>
    </row>
    <row r="2807">
      <c r="A2807" s="76"/>
      <c r="B2807" s="77"/>
    </row>
    <row r="2808">
      <c r="A2808" s="76"/>
      <c r="B2808" s="77"/>
    </row>
    <row r="2809">
      <c r="A2809" s="76"/>
      <c r="B2809" s="77"/>
    </row>
    <row r="2810">
      <c r="A2810" s="76"/>
      <c r="B2810" s="77"/>
    </row>
    <row r="2811">
      <c r="A2811" s="76"/>
      <c r="B2811" s="77"/>
    </row>
    <row r="2812">
      <c r="A2812" s="76"/>
      <c r="B2812" s="77"/>
    </row>
    <row r="2813">
      <c r="A2813" s="76"/>
      <c r="B2813" s="77"/>
    </row>
    <row r="2814">
      <c r="A2814" s="76"/>
      <c r="B2814" s="77"/>
    </row>
    <row r="2815">
      <c r="A2815" s="76"/>
      <c r="B2815" s="77"/>
    </row>
    <row r="2816">
      <c r="A2816" s="76"/>
      <c r="B2816" s="77"/>
    </row>
    <row r="2817">
      <c r="A2817" s="76"/>
      <c r="B2817" s="77"/>
    </row>
    <row r="2818">
      <c r="A2818" s="76"/>
      <c r="B2818" s="77"/>
    </row>
    <row r="2819">
      <c r="A2819" s="76"/>
      <c r="B2819" s="77"/>
    </row>
    <row r="2820">
      <c r="A2820" s="76"/>
      <c r="B2820" s="77"/>
    </row>
    <row r="2821">
      <c r="A2821" s="76"/>
      <c r="B2821" s="77"/>
    </row>
    <row r="2822">
      <c r="A2822" s="76"/>
      <c r="B2822" s="77"/>
    </row>
    <row r="2823">
      <c r="A2823" s="76"/>
      <c r="B2823" s="77"/>
    </row>
    <row r="2824">
      <c r="A2824" s="76"/>
      <c r="B2824" s="77"/>
    </row>
    <row r="2825">
      <c r="A2825" s="76"/>
      <c r="B2825" s="77"/>
    </row>
    <row r="2826">
      <c r="A2826" s="76"/>
      <c r="B2826" s="77"/>
    </row>
    <row r="2827">
      <c r="A2827" s="76"/>
      <c r="B2827" s="77"/>
    </row>
    <row r="2828">
      <c r="A2828" s="76"/>
      <c r="B2828" s="77"/>
    </row>
    <row r="2829">
      <c r="A2829" s="76"/>
      <c r="B2829" s="77"/>
    </row>
    <row r="2830">
      <c r="A2830" s="76"/>
      <c r="B2830" s="77"/>
    </row>
    <row r="2831">
      <c r="A2831" s="76"/>
      <c r="B2831" s="77"/>
    </row>
    <row r="2832">
      <c r="A2832" s="76"/>
      <c r="B2832" s="77"/>
    </row>
    <row r="2833">
      <c r="A2833" s="76"/>
      <c r="B2833" s="77"/>
    </row>
    <row r="2834">
      <c r="A2834" s="76"/>
      <c r="B2834" s="77"/>
    </row>
    <row r="2835">
      <c r="A2835" s="76"/>
      <c r="B2835" s="77"/>
    </row>
    <row r="2836">
      <c r="A2836" s="76"/>
      <c r="B2836" s="77"/>
    </row>
    <row r="2837">
      <c r="A2837" s="76"/>
      <c r="B2837" s="77"/>
    </row>
    <row r="2838">
      <c r="A2838" s="76"/>
      <c r="B2838" s="77"/>
    </row>
    <row r="2839">
      <c r="A2839" s="76"/>
      <c r="B2839" s="77"/>
    </row>
    <row r="2840">
      <c r="A2840" s="76"/>
      <c r="B2840" s="77"/>
    </row>
    <row r="2841">
      <c r="A2841" s="76"/>
      <c r="B2841" s="77"/>
    </row>
    <row r="2842">
      <c r="A2842" s="76"/>
      <c r="B2842" s="77"/>
    </row>
    <row r="2843">
      <c r="A2843" s="76"/>
      <c r="B2843" s="77"/>
    </row>
    <row r="2844">
      <c r="A2844" s="76"/>
      <c r="B2844" s="77"/>
    </row>
    <row r="2845">
      <c r="A2845" s="76"/>
      <c r="B2845" s="77"/>
    </row>
    <row r="2846">
      <c r="A2846" s="76"/>
      <c r="B2846" s="77"/>
    </row>
    <row r="2847">
      <c r="A2847" s="76"/>
      <c r="B2847" s="77"/>
    </row>
    <row r="2848">
      <c r="A2848" s="76"/>
      <c r="B2848" s="77"/>
    </row>
    <row r="2849">
      <c r="A2849" s="76"/>
      <c r="B2849" s="77"/>
    </row>
    <row r="2850">
      <c r="A2850" s="76"/>
      <c r="B2850" s="77"/>
    </row>
    <row r="2851">
      <c r="A2851" s="76"/>
      <c r="B2851" s="77"/>
    </row>
    <row r="2852">
      <c r="A2852" s="76"/>
      <c r="B2852" s="77"/>
    </row>
    <row r="2853">
      <c r="A2853" s="76"/>
      <c r="B2853" s="77"/>
    </row>
    <row r="2854">
      <c r="A2854" s="76"/>
      <c r="B2854" s="77"/>
    </row>
    <row r="2855">
      <c r="A2855" s="76"/>
      <c r="B2855" s="77"/>
    </row>
    <row r="2856">
      <c r="A2856" s="76"/>
      <c r="B2856" s="77"/>
    </row>
    <row r="2857">
      <c r="A2857" s="76"/>
      <c r="B2857" s="77"/>
    </row>
    <row r="2858">
      <c r="A2858" s="76"/>
      <c r="B2858" s="77"/>
    </row>
    <row r="2859">
      <c r="A2859" s="76"/>
      <c r="B2859" s="77"/>
    </row>
    <row r="2860">
      <c r="A2860" s="76"/>
      <c r="B2860" s="77"/>
    </row>
    <row r="2861">
      <c r="A2861" s="76"/>
      <c r="B2861" s="77"/>
    </row>
    <row r="2862">
      <c r="A2862" s="76"/>
      <c r="B2862" s="77"/>
    </row>
    <row r="2863">
      <c r="A2863" s="76"/>
      <c r="B2863" s="77"/>
    </row>
    <row r="2864">
      <c r="A2864" s="76"/>
      <c r="B2864" s="77"/>
    </row>
    <row r="2865">
      <c r="A2865" s="76"/>
      <c r="B2865" s="77"/>
    </row>
    <row r="2866">
      <c r="A2866" s="76"/>
      <c r="B2866" s="77"/>
    </row>
    <row r="2867">
      <c r="A2867" s="76"/>
      <c r="B2867" s="77"/>
    </row>
    <row r="2868">
      <c r="A2868" s="76"/>
      <c r="B2868" s="77"/>
    </row>
    <row r="2869">
      <c r="A2869" s="76"/>
      <c r="B2869" s="77"/>
    </row>
    <row r="2870">
      <c r="A2870" s="76"/>
      <c r="B2870" s="77"/>
    </row>
    <row r="2871">
      <c r="A2871" s="76"/>
      <c r="B2871" s="77"/>
    </row>
    <row r="2872">
      <c r="A2872" s="76"/>
      <c r="B2872" s="77"/>
    </row>
    <row r="2873">
      <c r="A2873" s="76"/>
      <c r="B2873" s="77"/>
    </row>
    <row r="2874">
      <c r="A2874" s="76"/>
      <c r="B2874" s="77"/>
    </row>
    <row r="2875">
      <c r="A2875" s="76"/>
      <c r="B2875" s="77"/>
    </row>
    <row r="2876">
      <c r="A2876" s="76"/>
      <c r="B2876" s="77"/>
    </row>
    <row r="2877">
      <c r="A2877" s="76"/>
      <c r="B2877" s="77"/>
    </row>
    <row r="2878">
      <c r="A2878" s="76"/>
      <c r="B2878" s="77"/>
    </row>
    <row r="2879">
      <c r="A2879" s="76"/>
      <c r="B2879" s="77"/>
    </row>
    <row r="2880">
      <c r="A2880" s="76"/>
      <c r="B2880" s="77"/>
    </row>
    <row r="2881">
      <c r="A2881" s="76"/>
      <c r="B2881" s="77"/>
    </row>
    <row r="2882">
      <c r="A2882" s="76"/>
      <c r="B2882" s="77"/>
    </row>
    <row r="2883">
      <c r="A2883" s="76"/>
      <c r="B2883" s="77"/>
    </row>
    <row r="2884">
      <c r="A2884" s="76"/>
      <c r="B2884" s="77"/>
    </row>
    <row r="2885">
      <c r="A2885" s="76"/>
      <c r="B2885" s="77"/>
    </row>
    <row r="2886">
      <c r="A2886" s="76"/>
      <c r="B2886" s="77"/>
    </row>
    <row r="2887">
      <c r="A2887" s="76"/>
      <c r="B2887" s="77"/>
    </row>
    <row r="2888">
      <c r="A2888" s="76"/>
      <c r="B2888" s="77"/>
    </row>
    <row r="2889">
      <c r="A2889" s="76"/>
      <c r="B2889" s="77"/>
    </row>
    <row r="2890">
      <c r="A2890" s="76"/>
      <c r="B2890" s="77"/>
    </row>
    <row r="2891">
      <c r="A2891" s="76"/>
      <c r="B2891" s="77"/>
    </row>
    <row r="2892">
      <c r="A2892" s="76"/>
      <c r="B2892" s="77"/>
    </row>
    <row r="2893">
      <c r="A2893" s="76"/>
      <c r="B2893" s="77"/>
    </row>
    <row r="2894">
      <c r="A2894" s="76"/>
      <c r="B2894" s="77"/>
    </row>
    <row r="2895">
      <c r="A2895" s="76"/>
      <c r="B2895" s="77"/>
    </row>
    <row r="2896">
      <c r="A2896" s="76"/>
      <c r="B2896" s="77"/>
    </row>
    <row r="2897">
      <c r="A2897" s="76"/>
      <c r="B2897" s="77"/>
    </row>
    <row r="2898">
      <c r="A2898" s="76"/>
      <c r="B2898" s="77"/>
    </row>
    <row r="2899">
      <c r="A2899" s="76"/>
      <c r="B2899" s="77"/>
    </row>
    <row r="2900">
      <c r="A2900" s="76"/>
      <c r="B2900" s="77"/>
    </row>
    <row r="2901">
      <c r="A2901" s="76"/>
      <c r="B2901" s="77"/>
    </row>
    <row r="2902">
      <c r="A2902" s="76"/>
      <c r="B2902" s="77"/>
    </row>
    <row r="2903">
      <c r="A2903" s="76"/>
      <c r="B2903" s="77"/>
    </row>
    <row r="2904">
      <c r="A2904" s="76"/>
      <c r="B2904" s="77"/>
    </row>
    <row r="2905">
      <c r="A2905" s="76"/>
      <c r="B2905" s="77"/>
    </row>
    <row r="2906">
      <c r="A2906" s="76"/>
      <c r="B2906" s="77"/>
    </row>
    <row r="2907">
      <c r="A2907" s="76"/>
      <c r="B2907" s="77"/>
    </row>
    <row r="2908">
      <c r="A2908" s="76"/>
      <c r="B2908" s="77"/>
    </row>
    <row r="2909">
      <c r="A2909" s="76"/>
      <c r="B2909" s="77"/>
    </row>
    <row r="2910">
      <c r="A2910" s="76"/>
      <c r="B2910" s="77"/>
    </row>
    <row r="2911">
      <c r="A2911" s="76"/>
      <c r="B2911" s="77"/>
    </row>
    <row r="2912">
      <c r="A2912" s="76"/>
      <c r="B2912" s="77"/>
    </row>
    <row r="2913">
      <c r="A2913" s="76"/>
      <c r="B2913" s="77"/>
    </row>
    <row r="2914">
      <c r="A2914" s="76"/>
      <c r="B2914" s="77"/>
    </row>
    <row r="2915">
      <c r="A2915" s="76"/>
      <c r="B2915" s="77"/>
    </row>
    <row r="2916">
      <c r="A2916" s="76"/>
      <c r="B2916" s="77"/>
    </row>
    <row r="2917">
      <c r="A2917" s="76"/>
      <c r="B2917" s="77"/>
    </row>
    <row r="2918">
      <c r="A2918" s="76"/>
      <c r="B2918" s="77"/>
    </row>
    <row r="2919">
      <c r="A2919" s="76"/>
      <c r="B2919" s="77"/>
    </row>
    <row r="2920">
      <c r="A2920" s="76"/>
      <c r="B2920" s="77"/>
    </row>
    <row r="2921">
      <c r="A2921" s="76"/>
      <c r="B2921" s="77"/>
    </row>
    <row r="2922">
      <c r="A2922" s="76"/>
      <c r="B2922" s="77"/>
    </row>
    <row r="2923">
      <c r="A2923" s="76"/>
      <c r="B2923" s="77"/>
    </row>
    <row r="2924">
      <c r="A2924" s="76"/>
      <c r="B2924" s="77"/>
    </row>
    <row r="2925">
      <c r="A2925" s="76"/>
      <c r="B2925" s="77"/>
    </row>
    <row r="2926">
      <c r="A2926" s="76"/>
      <c r="B2926" s="77"/>
    </row>
    <row r="2927">
      <c r="A2927" s="76"/>
      <c r="B2927" s="77"/>
    </row>
    <row r="2928">
      <c r="A2928" s="76"/>
      <c r="B2928" s="77"/>
    </row>
    <row r="2929">
      <c r="A2929" s="76"/>
      <c r="B2929" s="77"/>
    </row>
    <row r="2930">
      <c r="A2930" s="76"/>
      <c r="B2930" s="77"/>
    </row>
    <row r="2931">
      <c r="A2931" s="76"/>
      <c r="B2931" s="77"/>
    </row>
    <row r="2932">
      <c r="A2932" s="76"/>
      <c r="B2932" s="77"/>
    </row>
    <row r="2933">
      <c r="A2933" s="76"/>
      <c r="B2933" s="77"/>
    </row>
    <row r="2934">
      <c r="A2934" s="76"/>
      <c r="B2934" s="77"/>
    </row>
    <row r="2935">
      <c r="A2935" s="76"/>
      <c r="B2935" s="77"/>
    </row>
    <row r="2936">
      <c r="A2936" s="76"/>
      <c r="B2936" s="77"/>
    </row>
    <row r="2937">
      <c r="A2937" s="76"/>
      <c r="B2937" s="77"/>
    </row>
    <row r="2938">
      <c r="A2938" s="76"/>
      <c r="B2938" s="77"/>
    </row>
    <row r="2939">
      <c r="A2939" s="76"/>
      <c r="B2939" s="77"/>
    </row>
    <row r="2940">
      <c r="A2940" s="76"/>
      <c r="B2940" s="77"/>
    </row>
    <row r="2941">
      <c r="A2941" s="76"/>
      <c r="B2941" s="77"/>
    </row>
    <row r="2942">
      <c r="A2942" s="76"/>
      <c r="B2942" s="77"/>
    </row>
    <row r="2943">
      <c r="A2943" s="76"/>
      <c r="B2943" s="77"/>
    </row>
    <row r="2944">
      <c r="A2944" s="76"/>
      <c r="B2944" s="77"/>
    </row>
    <row r="2945">
      <c r="A2945" s="76"/>
      <c r="B2945" s="77"/>
    </row>
    <row r="2946">
      <c r="A2946" s="76"/>
      <c r="B2946" s="77"/>
    </row>
    <row r="2947">
      <c r="A2947" s="76"/>
      <c r="B2947" s="77"/>
    </row>
    <row r="2948">
      <c r="A2948" s="76"/>
      <c r="B2948" s="77"/>
    </row>
    <row r="2949">
      <c r="A2949" s="76"/>
      <c r="B2949" s="77"/>
    </row>
    <row r="2950">
      <c r="A2950" s="76"/>
      <c r="B2950" s="77"/>
    </row>
    <row r="2951">
      <c r="A2951" s="76"/>
      <c r="B2951" s="77"/>
    </row>
    <row r="2952">
      <c r="A2952" s="76"/>
      <c r="B2952" s="77"/>
    </row>
    <row r="2953">
      <c r="A2953" s="76"/>
      <c r="B2953" s="77"/>
    </row>
    <row r="2954">
      <c r="A2954" s="76"/>
      <c r="B2954" s="77"/>
    </row>
    <row r="2955">
      <c r="A2955" s="76"/>
      <c r="B2955" s="77"/>
    </row>
    <row r="2956">
      <c r="A2956" s="76"/>
      <c r="B2956" s="77"/>
    </row>
    <row r="2957">
      <c r="A2957" s="76"/>
      <c r="B2957" s="77"/>
    </row>
    <row r="2958">
      <c r="A2958" s="76"/>
      <c r="B2958" s="77"/>
    </row>
    <row r="2959">
      <c r="A2959" s="76"/>
      <c r="B2959" s="77"/>
    </row>
    <row r="2960">
      <c r="A2960" s="76"/>
      <c r="B2960" s="77"/>
    </row>
    <row r="2961">
      <c r="A2961" s="76"/>
      <c r="B2961" s="77"/>
    </row>
    <row r="2962">
      <c r="A2962" s="76"/>
      <c r="B2962" s="77"/>
    </row>
    <row r="2963">
      <c r="A2963" s="76"/>
      <c r="B2963" s="77"/>
    </row>
    <row r="2964">
      <c r="A2964" s="76"/>
      <c r="B2964" s="77"/>
    </row>
    <row r="2965">
      <c r="A2965" s="76"/>
      <c r="B2965" s="77"/>
    </row>
    <row r="2966">
      <c r="A2966" s="76"/>
      <c r="B2966" s="77"/>
    </row>
    <row r="2967">
      <c r="A2967" s="76"/>
      <c r="B2967" s="77"/>
    </row>
    <row r="2968">
      <c r="A2968" s="76"/>
      <c r="B2968" s="77"/>
    </row>
    <row r="2969">
      <c r="A2969" s="76"/>
      <c r="B2969" s="77"/>
    </row>
    <row r="2970">
      <c r="A2970" s="76"/>
      <c r="B2970" s="77"/>
    </row>
    <row r="2971">
      <c r="A2971" s="76"/>
      <c r="B2971" s="77"/>
    </row>
    <row r="2972">
      <c r="A2972" s="76"/>
      <c r="B2972" s="77"/>
    </row>
    <row r="2973">
      <c r="A2973" s="76"/>
      <c r="B2973" s="77"/>
    </row>
    <row r="2974">
      <c r="A2974" s="76"/>
      <c r="B2974" s="77"/>
    </row>
    <row r="2975">
      <c r="A2975" s="76"/>
      <c r="B2975" s="77"/>
    </row>
    <row r="2976">
      <c r="A2976" s="76"/>
      <c r="B2976" s="77"/>
    </row>
    <row r="2977">
      <c r="A2977" s="76"/>
      <c r="B2977" s="77"/>
    </row>
    <row r="2978">
      <c r="A2978" s="76"/>
      <c r="B2978" s="77"/>
    </row>
    <row r="2979">
      <c r="A2979" s="76"/>
      <c r="B2979" s="77"/>
    </row>
    <row r="2980">
      <c r="A2980" s="76"/>
      <c r="B2980" s="77"/>
    </row>
    <row r="2981">
      <c r="A2981" s="76"/>
      <c r="B2981" s="77"/>
    </row>
    <row r="2982">
      <c r="A2982" s="76"/>
      <c r="B2982" s="77"/>
    </row>
    <row r="2983">
      <c r="A2983" s="76"/>
      <c r="B2983" s="77"/>
    </row>
    <row r="2984">
      <c r="A2984" s="76"/>
      <c r="B2984" s="77"/>
    </row>
    <row r="2985">
      <c r="A2985" s="76"/>
      <c r="B2985" s="77"/>
    </row>
    <row r="2986">
      <c r="A2986" s="76"/>
      <c r="B2986" s="77"/>
    </row>
    <row r="2987">
      <c r="A2987" s="76"/>
      <c r="B2987" s="77"/>
    </row>
    <row r="2988">
      <c r="A2988" s="76"/>
      <c r="B2988" s="77"/>
    </row>
    <row r="2989">
      <c r="A2989" s="76"/>
      <c r="B2989" s="77"/>
    </row>
    <row r="2990">
      <c r="A2990" s="76"/>
      <c r="B2990" s="77"/>
    </row>
    <row r="2991">
      <c r="A2991" s="76"/>
      <c r="B2991" s="77"/>
    </row>
    <row r="2992">
      <c r="A2992" s="76"/>
      <c r="B2992" s="77"/>
    </row>
    <row r="2993">
      <c r="A2993" s="76"/>
      <c r="B2993" s="77"/>
    </row>
    <row r="2994">
      <c r="A2994" s="76"/>
      <c r="B2994" s="77"/>
    </row>
    <row r="2995">
      <c r="A2995" s="76"/>
      <c r="B2995" s="77"/>
    </row>
    <row r="2996">
      <c r="A2996" s="76"/>
      <c r="B2996" s="77"/>
    </row>
    <row r="2997">
      <c r="A2997" s="76"/>
      <c r="B2997" s="77"/>
    </row>
    <row r="2998">
      <c r="A2998" s="76"/>
      <c r="B2998" s="77"/>
    </row>
    <row r="2999">
      <c r="A2999" s="76"/>
      <c r="B2999" s="77"/>
    </row>
    <row r="3000">
      <c r="A3000" s="76"/>
      <c r="B3000" s="77"/>
    </row>
    <row r="3001">
      <c r="A3001" s="76"/>
      <c r="B3001" s="77"/>
    </row>
    <row r="3002">
      <c r="A3002" s="76"/>
      <c r="B3002" s="77"/>
    </row>
    <row r="3003">
      <c r="A3003" s="76"/>
      <c r="B3003" s="77"/>
    </row>
    <row r="3004">
      <c r="A3004" s="76"/>
      <c r="B3004" s="77"/>
    </row>
    <row r="3005">
      <c r="A3005" s="76"/>
      <c r="B3005" s="77"/>
    </row>
    <row r="3006">
      <c r="A3006" s="76"/>
      <c r="B3006" s="77"/>
    </row>
    <row r="3007">
      <c r="A3007" s="76"/>
      <c r="B3007" s="77"/>
    </row>
    <row r="3008">
      <c r="A3008" s="76"/>
      <c r="B3008" s="7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63"/>
    <col customWidth="1" min="3" max="3" width="19.25"/>
    <col customWidth="1" min="4" max="4" width="20.63"/>
    <col customWidth="1" min="5" max="5" width="18.75"/>
    <col customWidth="1" min="6" max="6" width="33.63"/>
    <col customWidth="1" min="7" max="7" width="11.75"/>
    <col customWidth="1" min="8" max="8" width="20.13"/>
    <col customWidth="1" min="9" max="9" width="21.25"/>
  </cols>
  <sheetData>
    <row r="1">
      <c r="A1" s="58" t="s">
        <v>14</v>
      </c>
      <c r="B1" s="58">
        <v>99.0</v>
      </c>
      <c r="C1" s="58" t="s">
        <v>17</v>
      </c>
      <c r="D1" s="58">
        <v>9.0</v>
      </c>
      <c r="E1" s="58">
        <v>9.0</v>
      </c>
      <c r="F1" s="58" t="s">
        <v>2770</v>
      </c>
      <c r="G1" s="58">
        <v>9.0</v>
      </c>
      <c r="H1" s="78">
        <v>9.0</v>
      </c>
      <c r="I1" s="58" t="s">
        <v>555</v>
      </c>
    </row>
    <row r="2">
      <c r="A2" s="66" t="s">
        <v>18</v>
      </c>
      <c r="B2" s="71" t="s">
        <v>2775</v>
      </c>
      <c r="C2" s="71" t="s">
        <v>3786</v>
      </c>
      <c r="D2" s="71" t="s">
        <v>2775</v>
      </c>
      <c r="E2" s="60" t="s">
        <v>3787</v>
      </c>
      <c r="F2" s="60" t="s">
        <v>2773</v>
      </c>
      <c r="G2" s="60" t="s">
        <v>3788</v>
      </c>
      <c r="H2" s="79" t="s">
        <v>3789</v>
      </c>
      <c r="I2" s="60" t="s">
        <v>2776</v>
      </c>
      <c r="J2" s="72"/>
      <c r="K2" s="72"/>
      <c r="L2" s="72"/>
      <c r="M2" s="72"/>
      <c r="N2" s="72"/>
      <c r="O2" s="72"/>
      <c r="P2" s="72"/>
    </row>
    <row r="3">
      <c r="A3" s="64" t="s">
        <v>3790</v>
      </c>
      <c r="B3" s="64" t="s">
        <v>2782</v>
      </c>
      <c r="C3" s="64" t="s">
        <v>2783</v>
      </c>
      <c r="D3" s="64" t="s">
        <v>2784</v>
      </c>
      <c r="E3" s="64" t="s">
        <v>3791</v>
      </c>
      <c r="F3" s="64" t="s">
        <v>2780</v>
      </c>
      <c r="G3" s="64" t="s">
        <v>2781</v>
      </c>
      <c r="H3" s="80" t="s">
        <v>3792</v>
      </c>
      <c r="I3" s="64" t="s">
        <v>2785</v>
      </c>
      <c r="J3" s="10"/>
      <c r="K3" s="10"/>
      <c r="L3" s="10"/>
      <c r="M3" s="10"/>
      <c r="N3" s="10"/>
      <c r="O3" s="10"/>
      <c r="P3" s="10"/>
    </row>
    <row r="4">
      <c r="A4" s="66">
        <v>7000.0</v>
      </c>
      <c r="B4" s="66">
        <v>81.0</v>
      </c>
      <c r="C4" s="66">
        <v>9.0</v>
      </c>
      <c r="D4" s="66">
        <v>7.0</v>
      </c>
      <c r="E4" s="66">
        <v>0.0</v>
      </c>
      <c r="F4" s="66" t="s">
        <v>2786</v>
      </c>
      <c r="G4" s="66">
        <v>5.0</v>
      </c>
      <c r="H4" s="81">
        <v>4.0</v>
      </c>
      <c r="I4" s="50">
        <v>11413.0</v>
      </c>
    </row>
    <row r="5">
      <c r="A5" s="66">
        <v>7001.0</v>
      </c>
      <c r="B5" s="66">
        <v>77.0</v>
      </c>
      <c r="C5" s="66">
        <v>3.0</v>
      </c>
      <c r="D5" s="66">
        <v>5.0</v>
      </c>
      <c r="E5" s="66">
        <v>0.0</v>
      </c>
      <c r="F5" s="66" t="s">
        <v>2787</v>
      </c>
      <c r="G5" s="66">
        <v>2.0</v>
      </c>
      <c r="H5" s="81">
        <v>4.0</v>
      </c>
      <c r="I5" s="50">
        <v>21721.0</v>
      </c>
    </row>
    <row r="6">
      <c r="A6" s="66">
        <v>7002.0</v>
      </c>
      <c r="B6" s="66">
        <v>61.0</v>
      </c>
      <c r="C6" s="66">
        <v>5.0</v>
      </c>
      <c r="D6" s="66">
        <v>1.0</v>
      </c>
      <c r="E6" s="66">
        <v>0.0</v>
      </c>
      <c r="F6" s="66" t="s">
        <v>2788</v>
      </c>
      <c r="G6" s="66">
        <v>7.0</v>
      </c>
      <c r="H6" s="81">
        <v>1.0</v>
      </c>
      <c r="I6" s="50">
        <v>11518.0</v>
      </c>
    </row>
    <row r="7">
      <c r="A7" s="66">
        <v>7003.0</v>
      </c>
      <c r="B7" s="66">
        <v>41.0</v>
      </c>
      <c r="C7" s="66">
        <v>1.0</v>
      </c>
      <c r="D7" s="66">
        <v>9.0</v>
      </c>
      <c r="E7" s="66">
        <v>0.0</v>
      </c>
      <c r="F7" s="66" t="s">
        <v>2789</v>
      </c>
      <c r="G7" s="66">
        <v>3.0</v>
      </c>
      <c r="H7" s="81">
        <v>2.0</v>
      </c>
      <c r="I7" s="50">
        <v>51915.0</v>
      </c>
    </row>
    <row r="8">
      <c r="A8" s="66">
        <v>7004.0</v>
      </c>
      <c r="B8" s="66">
        <v>77.0</v>
      </c>
      <c r="C8" s="66">
        <v>3.0</v>
      </c>
      <c r="D8" s="66">
        <v>9.0</v>
      </c>
      <c r="E8" s="66">
        <v>0.0</v>
      </c>
      <c r="F8" s="66" t="s">
        <v>2790</v>
      </c>
      <c r="G8" s="66">
        <v>1.0</v>
      </c>
      <c r="H8" s="81">
        <v>5.0</v>
      </c>
      <c r="I8" s="50">
        <v>122915.0</v>
      </c>
    </row>
    <row r="9">
      <c r="A9" s="66">
        <v>7005.0</v>
      </c>
      <c r="B9" s="66">
        <v>82.0</v>
      </c>
      <c r="C9" s="66">
        <v>1.0</v>
      </c>
      <c r="D9" s="66">
        <v>9.0</v>
      </c>
      <c r="E9" s="66">
        <v>0.0</v>
      </c>
      <c r="F9" s="66" t="s">
        <v>2791</v>
      </c>
      <c r="G9" s="66">
        <v>5.0</v>
      </c>
      <c r="H9" s="81">
        <v>5.0</v>
      </c>
      <c r="I9" s="50">
        <v>21513.0</v>
      </c>
    </row>
    <row r="10">
      <c r="A10" s="66">
        <v>7006.0</v>
      </c>
      <c r="B10" s="66">
        <v>61.0</v>
      </c>
      <c r="C10" s="66">
        <v>7.0</v>
      </c>
      <c r="D10" s="66">
        <v>1.0</v>
      </c>
      <c r="E10" s="66">
        <v>0.0</v>
      </c>
      <c r="F10" s="66" t="s">
        <v>2792</v>
      </c>
      <c r="G10" s="66">
        <v>3.0</v>
      </c>
      <c r="H10" s="81">
        <v>4.0</v>
      </c>
      <c r="I10" s="50">
        <v>61920.0</v>
      </c>
    </row>
    <row r="11">
      <c r="A11" s="66">
        <v>7007.0</v>
      </c>
      <c r="B11" s="66">
        <v>41.0</v>
      </c>
      <c r="C11" s="66">
        <v>2.0</v>
      </c>
      <c r="D11" s="66">
        <v>7.0</v>
      </c>
      <c r="E11" s="66">
        <v>1.0</v>
      </c>
      <c r="F11" s="66" t="s">
        <v>2793</v>
      </c>
      <c r="G11" s="66">
        <v>7.0</v>
      </c>
      <c r="H11" s="81">
        <v>4.0</v>
      </c>
      <c r="I11" s="50">
        <v>112815.0</v>
      </c>
    </row>
    <row r="12">
      <c r="A12" s="66">
        <v>7008.0</v>
      </c>
      <c r="B12" s="66">
        <v>82.0</v>
      </c>
      <c r="C12" s="66">
        <v>2.0</v>
      </c>
      <c r="D12" s="66">
        <v>5.0</v>
      </c>
      <c r="E12" s="66">
        <v>0.0</v>
      </c>
      <c r="F12" s="66" t="s">
        <v>2794</v>
      </c>
      <c r="G12" s="66">
        <v>9.0</v>
      </c>
      <c r="H12" s="81">
        <v>5.0</v>
      </c>
      <c r="I12" s="50">
        <v>111313.0</v>
      </c>
    </row>
    <row r="13">
      <c r="A13" s="66">
        <v>7009.0</v>
      </c>
      <c r="B13" s="66">
        <v>61.0</v>
      </c>
      <c r="C13" s="66">
        <v>8.0</v>
      </c>
      <c r="D13" s="66">
        <v>1.0</v>
      </c>
      <c r="E13" s="66">
        <v>0.0</v>
      </c>
      <c r="F13" s="66" t="s">
        <v>2795</v>
      </c>
      <c r="G13" s="66">
        <v>3.0</v>
      </c>
      <c r="H13" s="81">
        <v>5.0</v>
      </c>
      <c r="I13" s="50">
        <v>71820.0</v>
      </c>
    </row>
    <row r="14">
      <c r="A14" s="66">
        <v>7010.0</v>
      </c>
      <c r="B14" s="66">
        <v>41.0</v>
      </c>
      <c r="C14" s="66">
        <v>3.0</v>
      </c>
      <c r="D14" s="66">
        <v>4.0</v>
      </c>
      <c r="E14" s="66">
        <v>1.0</v>
      </c>
      <c r="F14" s="66" t="s">
        <v>2796</v>
      </c>
      <c r="G14" s="66">
        <v>2.0</v>
      </c>
      <c r="H14" s="81">
        <v>4.0</v>
      </c>
      <c r="I14" s="50">
        <v>31014.0</v>
      </c>
    </row>
    <row r="15">
      <c r="A15" s="66">
        <v>7011.0</v>
      </c>
      <c r="B15" s="66">
        <v>61.0</v>
      </c>
      <c r="C15" s="66">
        <v>8.0</v>
      </c>
      <c r="D15" s="66">
        <v>5.0</v>
      </c>
      <c r="E15" s="66">
        <v>1.0</v>
      </c>
      <c r="F15" s="66" t="s">
        <v>2797</v>
      </c>
      <c r="G15" s="66">
        <v>6.0</v>
      </c>
      <c r="H15" s="81">
        <v>4.0</v>
      </c>
      <c r="I15" s="50">
        <v>71821.0</v>
      </c>
    </row>
    <row r="16">
      <c r="A16" s="66">
        <v>7012.0</v>
      </c>
      <c r="B16" s="66">
        <v>61.0</v>
      </c>
      <c r="C16" s="66">
        <v>8.0</v>
      </c>
      <c r="D16" s="66">
        <v>7.0</v>
      </c>
      <c r="E16" s="66">
        <v>1.0</v>
      </c>
      <c r="F16" s="66" t="s">
        <v>2798</v>
      </c>
      <c r="G16" s="66">
        <v>7.0</v>
      </c>
      <c r="H16" s="81">
        <v>3.0</v>
      </c>
      <c r="I16" s="50">
        <v>72318.0</v>
      </c>
    </row>
    <row r="17">
      <c r="A17" s="66">
        <v>7013.0</v>
      </c>
      <c r="B17" s="66">
        <v>82.0</v>
      </c>
      <c r="C17" s="66">
        <v>3.0</v>
      </c>
      <c r="D17" s="66">
        <v>6.0</v>
      </c>
      <c r="E17" s="66">
        <v>1.0</v>
      </c>
      <c r="F17" s="66" t="s">
        <v>2799</v>
      </c>
      <c r="G17" s="66">
        <v>3.0</v>
      </c>
      <c r="H17" s="81">
        <v>1.0</v>
      </c>
      <c r="I17" s="50">
        <v>111621.0</v>
      </c>
    </row>
    <row r="18">
      <c r="A18" s="66">
        <v>7014.0</v>
      </c>
      <c r="B18" s="66">
        <v>82.0</v>
      </c>
      <c r="C18" s="66">
        <v>3.0</v>
      </c>
      <c r="D18" s="66">
        <v>7.0</v>
      </c>
      <c r="E18" s="66">
        <v>0.0</v>
      </c>
      <c r="F18" s="66" t="s">
        <v>2800</v>
      </c>
      <c r="G18" s="66">
        <v>7.0</v>
      </c>
      <c r="H18" s="81">
        <v>2.0</v>
      </c>
      <c r="I18" s="50">
        <v>32717.0</v>
      </c>
    </row>
    <row r="19">
      <c r="A19" s="66">
        <v>7015.0</v>
      </c>
      <c r="B19" s="66">
        <v>61.0</v>
      </c>
      <c r="C19" s="66">
        <v>9.0</v>
      </c>
      <c r="D19" s="66">
        <v>1.0</v>
      </c>
      <c r="E19" s="66">
        <v>1.0</v>
      </c>
      <c r="F19" s="66" t="s">
        <v>2801</v>
      </c>
      <c r="G19" s="66">
        <v>7.0</v>
      </c>
      <c r="H19" s="81">
        <v>3.0</v>
      </c>
      <c r="I19" s="50">
        <v>81115.0</v>
      </c>
    </row>
    <row r="20">
      <c r="A20" s="66">
        <v>7016.0</v>
      </c>
      <c r="B20" s="66">
        <v>41.0</v>
      </c>
      <c r="C20" s="66">
        <v>4.0</v>
      </c>
      <c r="D20" s="66">
        <v>4.0</v>
      </c>
      <c r="E20" s="66">
        <v>0.0</v>
      </c>
      <c r="F20" s="66" t="s">
        <v>2802</v>
      </c>
      <c r="G20" s="66">
        <v>4.0</v>
      </c>
      <c r="H20" s="81">
        <v>1.0</v>
      </c>
      <c r="I20" s="50">
        <v>50813.0</v>
      </c>
    </row>
    <row r="21">
      <c r="A21" s="66">
        <v>7017.0</v>
      </c>
      <c r="B21" s="66">
        <v>41.0</v>
      </c>
      <c r="C21" s="66">
        <v>4.0</v>
      </c>
      <c r="D21" s="66">
        <v>5.0</v>
      </c>
      <c r="E21" s="66">
        <v>1.0</v>
      </c>
      <c r="F21" s="66" t="s">
        <v>2803</v>
      </c>
      <c r="G21" s="66">
        <v>2.0</v>
      </c>
      <c r="H21" s="81">
        <v>2.0</v>
      </c>
      <c r="I21" s="50">
        <v>92920.0</v>
      </c>
    </row>
    <row r="22">
      <c r="A22" s="66">
        <v>7018.0</v>
      </c>
      <c r="B22" s="66">
        <v>41.0</v>
      </c>
      <c r="C22" s="66">
        <v>4.0</v>
      </c>
      <c r="D22" s="66">
        <v>6.0</v>
      </c>
      <c r="E22" s="66">
        <v>0.0</v>
      </c>
      <c r="F22" s="66" t="s">
        <v>2804</v>
      </c>
      <c r="G22" s="66">
        <v>4.0</v>
      </c>
      <c r="H22" s="81">
        <v>2.0</v>
      </c>
      <c r="I22" s="50">
        <v>21519.0</v>
      </c>
    </row>
    <row r="23">
      <c r="A23" s="66">
        <v>7019.0</v>
      </c>
      <c r="B23" s="66">
        <v>41.0</v>
      </c>
      <c r="C23" s="66">
        <v>4.0</v>
      </c>
      <c r="D23" s="66">
        <v>3.0</v>
      </c>
      <c r="E23" s="66">
        <v>0.0</v>
      </c>
      <c r="F23" s="66" t="s">
        <v>2805</v>
      </c>
      <c r="G23" s="66">
        <v>6.0</v>
      </c>
      <c r="H23" s="81">
        <v>1.0</v>
      </c>
      <c r="I23" s="50">
        <v>81220.0</v>
      </c>
    </row>
    <row r="24">
      <c r="A24" s="66">
        <v>7020.0</v>
      </c>
      <c r="B24" s="66">
        <v>61.0</v>
      </c>
      <c r="C24" s="66">
        <v>9.0</v>
      </c>
      <c r="D24" s="66">
        <v>6.0</v>
      </c>
      <c r="E24" s="66">
        <v>1.0</v>
      </c>
      <c r="F24" s="66" t="s">
        <v>2806</v>
      </c>
      <c r="G24" s="66">
        <v>3.0</v>
      </c>
      <c r="H24" s="81">
        <v>5.0</v>
      </c>
      <c r="I24" s="50">
        <v>70918.0</v>
      </c>
    </row>
    <row r="25">
      <c r="A25" s="66">
        <v>7021.0</v>
      </c>
      <c r="B25" s="66">
        <v>41.0</v>
      </c>
      <c r="C25" s="66">
        <v>4.0</v>
      </c>
      <c r="D25" s="66">
        <v>9.0</v>
      </c>
      <c r="E25" s="66">
        <v>1.0</v>
      </c>
      <c r="F25" s="66" t="s">
        <v>2807</v>
      </c>
      <c r="G25" s="66">
        <v>4.0</v>
      </c>
      <c r="H25" s="81">
        <v>3.0</v>
      </c>
      <c r="I25" s="50">
        <v>120518.0</v>
      </c>
    </row>
    <row r="26">
      <c r="A26" s="66">
        <v>7022.0</v>
      </c>
      <c r="B26" s="66">
        <v>41.0</v>
      </c>
      <c r="C26" s="66">
        <v>5.0</v>
      </c>
      <c r="D26" s="66">
        <v>6.0</v>
      </c>
      <c r="E26" s="66">
        <v>0.0</v>
      </c>
      <c r="F26" s="66" t="s">
        <v>2808</v>
      </c>
      <c r="G26" s="66">
        <v>5.0</v>
      </c>
      <c r="H26" s="81">
        <v>1.0</v>
      </c>
      <c r="I26" s="50">
        <v>120219.0</v>
      </c>
    </row>
    <row r="27">
      <c r="A27" s="66">
        <v>7023.0</v>
      </c>
      <c r="B27" s="66">
        <v>62.0</v>
      </c>
      <c r="C27" s="66">
        <v>1.0</v>
      </c>
      <c r="D27" s="66">
        <v>3.0</v>
      </c>
      <c r="E27" s="66">
        <v>0.0</v>
      </c>
      <c r="F27" s="66" t="s">
        <v>2809</v>
      </c>
      <c r="G27" s="66">
        <v>3.0</v>
      </c>
      <c r="H27" s="81">
        <v>2.0</v>
      </c>
      <c r="I27" s="50">
        <v>42614.0</v>
      </c>
    </row>
    <row r="28">
      <c r="A28" s="66">
        <v>7024.0</v>
      </c>
      <c r="B28" s="66">
        <v>82.0</v>
      </c>
      <c r="C28" s="66">
        <v>6.0</v>
      </c>
      <c r="D28" s="66">
        <v>5.0</v>
      </c>
      <c r="E28" s="66">
        <v>1.0</v>
      </c>
      <c r="F28" s="66" t="s">
        <v>2810</v>
      </c>
      <c r="G28" s="66">
        <v>7.0</v>
      </c>
      <c r="H28" s="81">
        <v>1.0</v>
      </c>
      <c r="I28" s="50">
        <v>21220.0</v>
      </c>
    </row>
    <row r="29">
      <c r="A29" s="66">
        <v>7025.0</v>
      </c>
      <c r="B29" s="66">
        <v>62.0</v>
      </c>
      <c r="C29" s="66">
        <v>1.0</v>
      </c>
      <c r="D29" s="66">
        <v>7.0</v>
      </c>
      <c r="E29" s="66">
        <v>1.0</v>
      </c>
      <c r="F29" s="66" t="s">
        <v>2811</v>
      </c>
      <c r="G29" s="66">
        <v>6.0</v>
      </c>
      <c r="H29" s="81">
        <v>5.0</v>
      </c>
      <c r="I29" s="50">
        <v>60118.0</v>
      </c>
    </row>
    <row r="30">
      <c r="A30" s="66">
        <v>7026.0</v>
      </c>
      <c r="B30" s="66">
        <v>62.0</v>
      </c>
      <c r="C30" s="66">
        <v>1.0</v>
      </c>
      <c r="D30" s="66">
        <v>9.0</v>
      </c>
      <c r="E30" s="66">
        <v>1.0</v>
      </c>
      <c r="F30" s="66" t="s">
        <v>2812</v>
      </c>
      <c r="G30" s="66">
        <v>3.0</v>
      </c>
      <c r="H30" s="81">
        <v>2.0</v>
      </c>
      <c r="I30" s="50">
        <v>41813.0</v>
      </c>
    </row>
    <row r="31">
      <c r="A31" s="66">
        <v>7027.0</v>
      </c>
      <c r="B31" s="66">
        <v>41.0</v>
      </c>
      <c r="C31" s="66">
        <v>7.0</v>
      </c>
      <c r="D31" s="66">
        <v>2.0</v>
      </c>
      <c r="E31" s="66">
        <v>0.0</v>
      </c>
      <c r="F31" s="66" t="s">
        <v>2813</v>
      </c>
      <c r="G31" s="66">
        <v>7.0</v>
      </c>
      <c r="H31" s="81">
        <v>5.0</v>
      </c>
      <c r="I31" s="50">
        <v>110416.0</v>
      </c>
    </row>
    <row r="32">
      <c r="A32" s="66">
        <v>7028.0</v>
      </c>
      <c r="B32" s="66">
        <v>41.0</v>
      </c>
      <c r="C32" s="66">
        <v>7.0</v>
      </c>
      <c r="D32" s="66">
        <v>3.0</v>
      </c>
      <c r="E32" s="66">
        <v>1.0</v>
      </c>
      <c r="F32" s="66" t="s">
        <v>2814</v>
      </c>
      <c r="G32" s="66">
        <v>9.0</v>
      </c>
      <c r="H32" s="81">
        <v>4.0</v>
      </c>
      <c r="I32" s="50">
        <v>80922.0</v>
      </c>
    </row>
    <row r="33">
      <c r="A33" s="66">
        <v>7029.0</v>
      </c>
      <c r="B33" s="66">
        <v>41.0</v>
      </c>
      <c r="C33" s="66">
        <v>7.0</v>
      </c>
      <c r="D33" s="66">
        <v>7.0</v>
      </c>
      <c r="E33" s="66">
        <v>1.0</v>
      </c>
      <c r="F33" s="66" t="s">
        <v>2815</v>
      </c>
      <c r="G33" s="66">
        <v>9.0</v>
      </c>
      <c r="H33" s="81">
        <v>1.0</v>
      </c>
      <c r="I33" s="50">
        <v>52817.0</v>
      </c>
    </row>
    <row r="34">
      <c r="A34" s="66">
        <v>7030.0</v>
      </c>
      <c r="B34" s="66">
        <v>62.0</v>
      </c>
      <c r="C34" s="66">
        <v>3.0</v>
      </c>
      <c r="D34" s="66">
        <v>1.0</v>
      </c>
      <c r="E34" s="66">
        <v>0.0</v>
      </c>
      <c r="F34" s="66" t="s">
        <v>2816</v>
      </c>
      <c r="G34" s="66">
        <v>3.0</v>
      </c>
      <c r="H34" s="81">
        <v>3.0</v>
      </c>
      <c r="I34" s="50">
        <v>42814.0</v>
      </c>
    </row>
    <row r="35">
      <c r="A35" s="66">
        <v>7031.0</v>
      </c>
      <c r="B35" s="66">
        <v>62.0</v>
      </c>
      <c r="C35" s="66">
        <v>3.0</v>
      </c>
      <c r="D35" s="66">
        <v>2.0</v>
      </c>
      <c r="E35" s="66">
        <v>1.0</v>
      </c>
      <c r="F35" s="66" t="s">
        <v>2817</v>
      </c>
      <c r="G35" s="66">
        <v>8.0</v>
      </c>
      <c r="H35" s="81">
        <v>3.0</v>
      </c>
      <c r="I35" s="50">
        <v>50514.0</v>
      </c>
    </row>
    <row r="36">
      <c r="A36" s="66">
        <v>7032.0</v>
      </c>
      <c r="B36" s="66">
        <v>41.0</v>
      </c>
      <c r="C36" s="66">
        <v>8.0</v>
      </c>
      <c r="D36" s="66">
        <v>5.0</v>
      </c>
      <c r="E36" s="66">
        <v>1.0</v>
      </c>
      <c r="F36" s="66" t="s">
        <v>2818</v>
      </c>
      <c r="G36" s="66">
        <v>1.0</v>
      </c>
      <c r="H36" s="81">
        <v>4.0</v>
      </c>
      <c r="I36" s="50">
        <v>101415.0</v>
      </c>
    </row>
    <row r="37">
      <c r="A37" s="66">
        <v>7033.0</v>
      </c>
      <c r="B37" s="66">
        <v>62.0</v>
      </c>
      <c r="C37" s="66">
        <v>3.0</v>
      </c>
      <c r="D37" s="66">
        <v>4.0</v>
      </c>
      <c r="E37" s="66">
        <v>0.0</v>
      </c>
      <c r="F37" s="66" t="s">
        <v>2819</v>
      </c>
      <c r="G37" s="66">
        <v>5.0</v>
      </c>
      <c r="H37" s="81">
        <v>5.0</v>
      </c>
      <c r="I37" s="50">
        <v>12215.0</v>
      </c>
    </row>
    <row r="38">
      <c r="A38" s="66">
        <v>7034.0</v>
      </c>
      <c r="B38" s="66">
        <v>21.0</v>
      </c>
      <c r="C38" s="66">
        <v>3.0</v>
      </c>
      <c r="D38" s="66">
        <v>9.0</v>
      </c>
      <c r="E38" s="66">
        <v>1.0</v>
      </c>
      <c r="F38" s="66" t="s">
        <v>2820</v>
      </c>
      <c r="G38" s="66">
        <v>1.0</v>
      </c>
      <c r="H38" s="81">
        <v>3.0</v>
      </c>
      <c r="I38" s="50">
        <v>120220.0</v>
      </c>
    </row>
    <row r="39">
      <c r="A39" s="66">
        <v>7035.0</v>
      </c>
      <c r="B39" s="66">
        <v>41.0</v>
      </c>
      <c r="C39" s="66">
        <v>8.0</v>
      </c>
      <c r="D39" s="66">
        <v>7.0</v>
      </c>
      <c r="E39" s="66">
        <v>0.0</v>
      </c>
      <c r="F39" s="66" t="s">
        <v>2821</v>
      </c>
      <c r="G39" s="66">
        <v>2.0</v>
      </c>
      <c r="H39" s="81">
        <v>3.0</v>
      </c>
      <c r="I39" s="50">
        <v>122314.0</v>
      </c>
    </row>
    <row r="40">
      <c r="A40" s="66">
        <v>7036.0</v>
      </c>
      <c r="B40" s="66">
        <v>21.0</v>
      </c>
      <c r="C40" s="66">
        <v>3.0</v>
      </c>
      <c r="D40" s="66">
        <v>8.0</v>
      </c>
      <c r="E40" s="66">
        <v>1.0</v>
      </c>
      <c r="F40" s="66" t="s">
        <v>2822</v>
      </c>
      <c r="G40" s="66">
        <v>6.0</v>
      </c>
      <c r="H40" s="81">
        <v>2.0</v>
      </c>
      <c r="I40" s="50">
        <v>63021.0</v>
      </c>
    </row>
    <row r="41">
      <c r="A41" s="66">
        <v>7037.0</v>
      </c>
      <c r="B41" s="66">
        <v>21.0</v>
      </c>
      <c r="C41" s="66">
        <v>4.0</v>
      </c>
      <c r="D41" s="66">
        <v>2.0</v>
      </c>
      <c r="E41" s="66">
        <v>1.0</v>
      </c>
      <c r="F41" s="66" t="s">
        <v>2823</v>
      </c>
      <c r="G41" s="66">
        <v>4.0</v>
      </c>
      <c r="H41" s="81">
        <v>3.0</v>
      </c>
      <c r="I41" s="50">
        <v>92922.0</v>
      </c>
    </row>
    <row r="42">
      <c r="A42" s="66">
        <v>7038.0</v>
      </c>
      <c r="B42" s="66">
        <v>21.0</v>
      </c>
      <c r="C42" s="66">
        <v>4.0</v>
      </c>
      <c r="D42" s="66">
        <v>3.0</v>
      </c>
      <c r="E42" s="66">
        <v>0.0</v>
      </c>
      <c r="F42" s="66" t="s">
        <v>2824</v>
      </c>
      <c r="G42" s="66">
        <v>2.0</v>
      </c>
      <c r="H42" s="81">
        <v>3.0</v>
      </c>
      <c r="I42" s="50">
        <v>42622.0</v>
      </c>
    </row>
    <row r="43">
      <c r="A43" s="66">
        <v>7039.0</v>
      </c>
      <c r="B43" s="66">
        <v>21.0</v>
      </c>
      <c r="C43" s="66">
        <v>4.0</v>
      </c>
      <c r="D43" s="66">
        <v>4.0</v>
      </c>
      <c r="E43" s="66">
        <v>0.0</v>
      </c>
      <c r="F43" s="66" t="s">
        <v>2825</v>
      </c>
      <c r="G43" s="66">
        <v>2.0</v>
      </c>
      <c r="H43" s="81">
        <v>5.0</v>
      </c>
      <c r="I43" s="50">
        <v>111616.0</v>
      </c>
    </row>
    <row r="44">
      <c r="A44" s="66">
        <v>7040.0</v>
      </c>
      <c r="B44" s="66">
        <v>41.0</v>
      </c>
      <c r="C44" s="66">
        <v>9.0</v>
      </c>
      <c r="D44" s="66">
        <v>6.0</v>
      </c>
      <c r="E44" s="66">
        <v>0.0</v>
      </c>
      <c r="F44" s="66" t="s">
        <v>2826</v>
      </c>
      <c r="G44" s="66">
        <v>7.0</v>
      </c>
      <c r="H44" s="81">
        <v>4.0</v>
      </c>
      <c r="I44" s="50">
        <v>51218.0</v>
      </c>
    </row>
    <row r="45">
      <c r="A45" s="66">
        <v>7041.0</v>
      </c>
      <c r="B45" s="66">
        <v>82.0</v>
      </c>
      <c r="C45" s="66">
        <v>9.0</v>
      </c>
      <c r="D45" s="66">
        <v>2.0</v>
      </c>
      <c r="E45" s="66">
        <v>0.0</v>
      </c>
      <c r="F45" s="66" t="s">
        <v>2827</v>
      </c>
      <c r="G45" s="66">
        <v>1.0</v>
      </c>
      <c r="H45" s="81">
        <v>3.0</v>
      </c>
      <c r="I45" s="50">
        <v>110715.0</v>
      </c>
    </row>
    <row r="46">
      <c r="A46" s="66">
        <v>7042.0</v>
      </c>
      <c r="B46" s="66">
        <v>41.0</v>
      </c>
      <c r="C46" s="66">
        <v>9.0</v>
      </c>
      <c r="D46" s="66">
        <v>8.0</v>
      </c>
      <c r="E46" s="66">
        <v>0.0</v>
      </c>
      <c r="F46" s="66" t="s">
        <v>2828</v>
      </c>
      <c r="G46" s="66">
        <v>1.0</v>
      </c>
      <c r="H46" s="81">
        <v>4.0</v>
      </c>
      <c r="I46" s="50">
        <v>92114.0</v>
      </c>
    </row>
    <row r="47">
      <c r="A47" s="66">
        <v>7043.0</v>
      </c>
      <c r="B47" s="66">
        <v>82.0</v>
      </c>
      <c r="C47" s="66">
        <v>9.0</v>
      </c>
      <c r="D47" s="66">
        <v>7.0</v>
      </c>
      <c r="E47" s="66">
        <v>0.0</v>
      </c>
      <c r="F47" s="66" t="s">
        <v>2829</v>
      </c>
      <c r="G47" s="66">
        <v>8.0</v>
      </c>
      <c r="H47" s="81">
        <v>1.0</v>
      </c>
      <c r="I47" s="50">
        <v>91015.0</v>
      </c>
    </row>
    <row r="48">
      <c r="A48" s="66">
        <v>7044.0</v>
      </c>
      <c r="B48" s="66">
        <v>21.0</v>
      </c>
      <c r="C48" s="66">
        <v>5.0</v>
      </c>
      <c r="D48" s="66">
        <v>3.0</v>
      </c>
      <c r="E48" s="66">
        <v>1.0</v>
      </c>
      <c r="F48" s="66" t="s">
        <v>2830</v>
      </c>
      <c r="G48" s="66">
        <v>2.0</v>
      </c>
      <c r="H48" s="81">
        <v>5.0</v>
      </c>
      <c r="I48" s="50">
        <v>71121.0</v>
      </c>
    </row>
    <row r="49">
      <c r="A49" s="66">
        <v>7045.0</v>
      </c>
      <c r="B49" s="66">
        <v>62.0</v>
      </c>
      <c r="C49" s="66">
        <v>4.0</v>
      </c>
      <c r="D49" s="66">
        <v>9.0</v>
      </c>
      <c r="E49" s="66">
        <v>1.0</v>
      </c>
      <c r="F49" s="66" t="s">
        <v>2831</v>
      </c>
      <c r="G49" s="66">
        <v>2.0</v>
      </c>
      <c r="H49" s="81">
        <v>1.0</v>
      </c>
      <c r="I49" s="50">
        <v>51217.0</v>
      </c>
    </row>
    <row r="50">
      <c r="A50" s="66">
        <v>7046.0</v>
      </c>
      <c r="B50" s="66">
        <v>21.0</v>
      </c>
      <c r="C50" s="66">
        <v>5.0</v>
      </c>
      <c r="D50" s="66">
        <v>7.0</v>
      </c>
      <c r="E50" s="66">
        <v>1.0</v>
      </c>
      <c r="F50" s="66" t="s">
        <v>2832</v>
      </c>
      <c r="G50" s="66">
        <v>4.0</v>
      </c>
      <c r="H50" s="81">
        <v>4.0</v>
      </c>
      <c r="I50" s="50">
        <v>73013.0</v>
      </c>
    </row>
    <row r="51">
      <c r="A51" s="66">
        <v>7047.0</v>
      </c>
      <c r="B51" s="66">
        <v>62.0</v>
      </c>
      <c r="C51" s="66">
        <v>5.0</v>
      </c>
      <c r="D51" s="66">
        <v>4.0</v>
      </c>
      <c r="E51" s="66">
        <v>1.0</v>
      </c>
      <c r="F51" s="66" t="s">
        <v>2833</v>
      </c>
      <c r="G51" s="66">
        <v>8.0</v>
      </c>
      <c r="H51" s="81">
        <v>2.0</v>
      </c>
      <c r="I51" s="50">
        <v>103017.0</v>
      </c>
    </row>
    <row r="52">
      <c r="A52" s="66">
        <v>7048.0</v>
      </c>
      <c r="B52" s="66">
        <v>21.0</v>
      </c>
      <c r="C52" s="66">
        <v>6.0</v>
      </c>
      <c r="D52" s="66">
        <v>2.0</v>
      </c>
      <c r="E52" s="66">
        <v>1.0</v>
      </c>
      <c r="F52" s="66" t="s">
        <v>2834</v>
      </c>
      <c r="G52" s="66">
        <v>5.0</v>
      </c>
      <c r="H52" s="81">
        <v>3.0</v>
      </c>
      <c r="I52" s="50">
        <v>72714.0</v>
      </c>
    </row>
    <row r="53">
      <c r="A53" s="66">
        <v>7049.0</v>
      </c>
      <c r="B53" s="66">
        <v>21.0</v>
      </c>
      <c r="C53" s="66">
        <v>6.0</v>
      </c>
      <c r="D53" s="66">
        <v>4.0</v>
      </c>
      <c r="E53" s="66">
        <v>0.0</v>
      </c>
      <c r="F53" s="66" t="s">
        <v>2835</v>
      </c>
      <c r="G53" s="66">
        <v>6.0</v>
      </c>
      <c r="H53" s="81">
        <v>5.0</v>
      </c>
      <c r="I53" s="50">
        <v>101213.0</v>
      </c>
    </row>
    <row r="54">
      <c r="A54" s="66">
        <v>7050.0</v>
      </c>
      <c r="B54" s="66">
        <v>42.0</v>
      </c>
      <c r="C54" s="66">
        <v>1.0</v>
      </c>
      <c r="D54" s="66">
        <v>7.0</v>
      </c>
      <c r="E54" s="66">
        <v>1.0</v>
      </c>
      <c r="F54" s="66" t="s">
        <v>2836</v>
      </c>
      <c r="G54" s="66">
        <v>3.0</v>
      </c>
      <c r="H54" s="81">
        <v>2.0</v>
      </c>
      <c r="I54" s="50">
        <v>62515.0</v>
      </c>
    </row>
    <row r="55">
      <c r="A55" s="66">
        <v>7051.0</v>
      </c>
      <c r="B55" s="66">
        <v>83.0</v>
      </c>
      <c r="C55" s="66">
        <v>1.0</v>
      </c>
      <c r="D55" s="66">
        <v>4.0</v>
      </c>
      <c r="E55" s="66">
        <v>1.0</v>
      </c>
      <c r="F55" s="66" t="s">
        <v>2837</v>
      </c>
      <c r="G55" s="66">
        <v>9.0</v>
      </c>
      <c r="H55" s="81">
        <v>4.0</v>
      </c>
      <c r="I55" s="50">
        <v>32817.0</v>
      </c>
    </row>
    <row r="56">
      <c r="A56" s="66">
        <v>7052.0</v>
      </c>
      <c r="B56" s="66">
        <v>42.0</v>
      </c>
      <c r="C56" s="66">
        <v>1.0</v>
      </c>
      <c r="D56" s="66">
        <v>9.0</v>
      </c>
      <c r="E56" s="66">
        <v>0.0</v>
      </c>
      <c r="F56" s="66" t="s">
        <v>2838</v>
      </c>
      <c r="G56" s="66">
        <v>3.0</v>
      </c>
      <c r="H56" s="81">
        <v>2.0</v>
      </c>
      <c r="I56" s="50">
        <v>61116.0</v>
      </c>
    </row>
    <row r="57">
      <c r="A57" s="66">
        <v>7053.0</v>
      </c>
      <c r="B57" s="66">
        <v>21.0</v>
      </c>
      <c r="C57" s="66">
        <v>7.0</v>
      </c>
      <c r="D57" s="66">
        <v>2.0</v>
      </c>
      <c r="E57" s="66">
        <v>1.0</v>
      </c>
      <c r="F57" s="66" t="s">
        <v>2839</v>
      </c>
      <c r="G57" s="66">
        <v>2.0</v>
      </c>
      <c r="H57" s="81">
        <v>3.0</v>
      </c>
      <c r="I57" s="50">
        <v>60318.0</v>
      </c>
    </row>
    <row r="58">
      <c r="A58" s="66">
        <v>7054.0</v>
      </c>
      <c r="B58" s="66">
        <v>62.0</v>
      </c>
      <c r="C58" s="66">
        <v>6.0</v>
      </c>
      <c r="D58" s="66">
        <v>9.0</v>
      </c>
      <c r="E58" s="66">
        <v>1.0</v>
      </c>
      <c r="F58" s="66" t="s">
        <v>2840</v>
      </c>
      <c r="G58" s="66">
        <v>8.0</v>
      </c>
      <c r="H58" s="81">
        <v>1.0</v>
      </c>
      <c r="I58" s="50">
        <v>10919.0</v>
      </c>
    </row>
    <row r="59">
      <c r="A59" s="66">
        <v>7055.0</v>
      </c>
      <c r="B59" s="66">
        <v>42.0</v>
      </c>
      <c r="C59" s="66">
        <v>2.0</v>
      </c>
      <c r="D59" s="66">
        <v>2.0</v>
      </c>
      <c r="E59" s="66">
        <v>0.0</v>
      </c>
      <c r="F59" s="66" t="s">
        <v>2841</v>
      </c>
      <c r="G59" s="66">
        <v>6.0</v>
      </c>
      <c r="H59" s="81">
        <v>2.0</v>
      </c>
      <c r="I59" s="50">
        <v>110413.0</v>
      </c>
    </row>
    <row r="60">
      <c r="A60" s="66">
        <v>7056.0</v>
      </c>
      <c r="B60" s="66">
        <v>62.0</v>
      </c>
      <c r="C60" s="66">
        <v>7.0</v>
      </c>
      <c r="D60" s="66">
        <v>1.0</v>
      </c>
      <c r="E60" s="66">
        <v>1.0</v>
      </c>
      <c r="F60" s="66" t="s">
        <v>2842</v>
      </c>
      <c r="G60" s="66">
        <v>9.0</v>
      </c>
      <c r="H60" s="81">
        <v>3.0</v>
      </c>
      <c r="I60" s="50">
        <v>90519.0</v>
      </c>
    </row>
    <row r="61">
      <c r="A61" s="66">
        <v>7057.0</v>
      </c>
      <c r="B61" s="66">
        <v>42.0</v>
      </c>
      <c r="C61" s="66">
        <v>2.0</v>
      </c>
      <c r="D61" s="66">
        <v>4.0</v>
      </c>
      <c r="E61" s="66">
        <v>1.0</v>
      </c>
      <c r="F61" s="66" t="s">
        <v>2843</v>
      </c>
      <c r="G61" s="66">
        <v>5.0</v>
      </c>
      <c r="H61" s="81">
        <v>1.0</v>
      </c>
      <c r="I61" s="50">
        <v>31713.0</v>
      </c>
    </row>
    <row r="62">
      <c r="A62" s="66">
        <v>7058.0</v>
      </c>
      <c r="B62" s="66">
        <v>42.0</v>
      </c>
      <c r="C62" s="66">
        <v>2.0</v>
      </c>
      <c r="D62" s="66">
        <v>6.0</v>
      </c>
      <c r="E62" s="66">
        <v>0.0</v>
      </c>
      <c r="F62" s="66" t="s">
        <v>2844</v>
      </c>
      <c r="G62" s="66">
        <v>7.0</v>
      </c>
      <c r="H62" s="81">
        <v>2.0</v>
      </c>
      <c r="I62" s="50">
        <v>62222.0</v>
      </c>
    </row>
    <row r="63">
      <c r="A63" s="66">
        <v>7059.0</v>
      </c>
      <c r="B63" s="66">
        <v>83.0</v>
      </c>
      <c r="C63" s="66">
        <v>2.0</v>
      </c>
      <c r="D63" s="66">
        <v>6.0</v>
      </c>
      <c r="E63" s="66">
        <v>1.0</v>
      </c>
      <c r="F63" s="66" t="s">
        <v>2845</v>
      </c>
      <c r="G63" s="66">
        <v>4.0</v>
      </c>
      <c r="H63" s="81">
        <v>1.0</v>
      </c>
      <c r="I63" s="50">
        <v>72017.0</v>
      </c>
    </row>
    <row r="64">
      <c r="A64" s="66">
        <v>7060.0</v>
      </c>
      <c r="B64" s="66">
        <v>83.0</v>
      </c>
      <c r="C64" s="66">
        <v>2.0</v>
      </c>
      <c r="D64" s="66">
        <v>7.0</v>
      </c>
      <c r="E64" s="66">
        <v>0.0</v>
      </c>
      <c r="F64" s="66" t="s">
        <v>2846</v>
      </c>
      <c r="G64" s="66">
        <v>3.0</v>
      </c>
      <c r="H64" s="81">
        <v>4.0</v>
      </c>
      <c r="I64" s="50">
        <v>101320.0</v>
      </c>
    </row>
    <row r="65">
      <c r="A65" s="66">
        <v>7061.0</v>
      </c>
      <c r="B65" s="66">
        <v>42.0</v>
      </c>
      <c r="C65" s="66">
        <v>3.0</v>
      </c>
      <c r="D65" s="66">
        <v>2.0</v>
      </c>
      <c r="E65" s="66">
        <v>1.0</v>
      </c>
      <c r="F65" s="66" t="s">
        <v>2847</v>
      </c>
      <c r="G65" s="66">
        <v>7.0</v>
      </c>
      <c r="H65" s="81">
        <v>3.0</v>
      </c>
      <c r="I65" s="50">
        <v>22422.0</v>
      </c>
    </row>
    <row r="66">
      <c r="A66" s="66">
        <v>7062.0</v>
      </c>
      <c r="B66" s="66">
        <v>83.0</v>
      </c>
      <c r="C66" s="66">
        <v>3.0</v>
      </c>
      <c r="D66" s="66">
        <v>4.0</v>
      </c>
      <c r="E66" s="66">
        <v>1.0</v>
      </c>
      <c r="F66" s="66" t="s">
        <v>2848</v>
      </c>
      <c r="G66" s="66">
        <v>1.0</v>
      </c>
      <c r="H66" s="81">
        <v>1.0</v>
      </c>
      <c r="I66" s="50">
        <v>60813.0</v>
      </c>
    </row>
    <row r="67">
      <c r="A67" s="66">
        <v>7063.0</v>
      </c>
      <c r="B67" s="66">
        <v>21.0</v>
      </c>
      <c r="C67" s="66">
        <v>9.0</v>
      </c>
      <c r="D67" s="66">
        <v>3.0</v>
      </c>
      <c r="E67" s="66">
        <v>0.0</v>
      </c>
      <c r="F67" s="66" t="s">
        <v>2849</v>
      </c>
      <c r="G67" s="66">
        <v>1.0</v>
      </c>
      <c r="H67" s="81">
        <v>5.0</v>
      </c>
      <c r="I67" s="50">
        <v>93014.0</v>
      </c>
    </row>
    <row r="68">
      <c r="A68" s="66">
        <v>7064.0</v>
      </c>
      <c r="B68" s="66">
        <v>61.0</v>
      </c>
      <c r="C68" s="66">
        <v>3.0</v>
      </c>
      <c r="D68" s="66">
        <v>5.0</v>
      </c>
      <c r="E68" s="66">
        <v>0.0</v>
      </c>
      <c r="F68" s="66" t="s">
        <v>2850</v>
      </c>
      <c r="G68" s="66">
        <v>8.0</v>
      </c>
      <c r="H68" s="81">
        <v>2.0</v>
      </c>
      <c r="I68" s="50">
        <v>42313.0</v>
      </c>
    </row>
    <row r="69">
      <c r="A69" s="66">
        <v>7065.0</v>
      </c>
      <c r="B69" s="66">
        <v>83.0</v>
      </c>
      <c r="C69" s="66">
        <v>3.0</v>
      </c>
      <c r="D69" s="66">
        <v>9.0</v>
      </c>
      <c r="E69" s="66">
        <v>0.0</v>
      </c>
      <c r="F69" s="66" t="s">
        <v>2851</v>
      </c>
      <c r="G69" s="66">
        <v>4.0</v>
      </c>
      <c r="H69" s="81">
        <v>3.0</v>
      </c>
      <c r="I69" s="50">
        <v>22020.0</v>
      </c>
    </row>
    <row r="70">
      <c r="A70" s="66">
        <v>7066.0</v>
      </c>
      <c r="B70" s="66">
        <v>21.0</v>
      </c>
      <c r="C70" s="66">
        <v>9.0</v>
      </c>
      <c r="D70" s="66">
        <v>7.0</v>
      </c>
      <c r="E70" s="66">
        <v>0.0</v>
      </c>
      <c r="F70" s="66" t="s">
        <v>2852</v>
      </c>
      <c r="G70" s="66">
        <v>4.0</v>
      </c>
      <c r="H70" s="81">
        <v>5.0</v>
      </c>
      <c r="I70" s="50">
        <v>100914.0</v>
      </c>
    </row>
    <row r="71">
      <c r="A71" s="66">
        <v>7067.0</v>
      </c>
      <c r="B71" s="66">
        <v>62.0</v>
      </c>
      <c r="C71" s="66">
        <v>9.0</v>
      </c>
      <c r="D71" s="66">
        <v>3.0</v>
      </c>
      <c r="E71" s="66">
        <v>0.0</v>
      </c>
      <c r="F71" s="66" t="s">
        <v>2853</v>
      </c>
      <c r="G71" s="66">
        <v>9.0</v>
      </c>
      <c r="H71" s="81">
        <v>5.0</v>
      </c>
      <c r="I71" s="50">
        <v>111119.0</v>
      </c>
    </row>
    <row r="72">
      <c r="A72" s="66">
        <v>7068.0</v>
      </c>
      <c r="B72" s="66">
        <v>83.0</v>
      </c>
      <c r="C72" s="66">
        <v>4.0</v>
      </c>
      <c r="D72" s="66">
        <v>9.0</v>
      </c>
      <c r="E72" s="66">
        <v>0.0</v>
      </c>
      <c r="F72" s="66" t="s">
        <v>2854</v>
      </c>
      <c r="G72" s="66">
        <v>1.0</v>
      </c>
      <c r="H72" s="81">
        <v>4.0</v>
      </c>
      <c r="I72" s="50">
        <v>11420.0</v>
      </c>
    </row>
    <row r="73">
      <c r="A73" s="66">
        <v>7069.0</v>
      </c>
      <c r="B73" s="66">
        <v>83.0</v>
      </c>
      <c r="C73" s="66">
        <v>5.0</v>
      </c>
      <c r="D73" s="66">
        <v>2.0</v>
      </c>
      <c r="E73" s="66">
        <v>1.0</v>
      </c>
      <c r="F73" s="66" t="s">
        <v>2855</v>
      </c>
      <c r="G73" s="66">
        <v>1.0</v>
      </c>
      <c r="H73" s="81">
        <v>1.0</v>
      </c>
      <c r="I73" s="50">
        <v>73121.0</v>
      </c>
    </row>
    <row r="74">
      <c r="A74" s="66">
        <v>7070.0</v>
      </c>
      <c r="B74" s="66">
        <v>83.0</v>
      </c>
      <c r="C74" s="66">
        <v>5.0</v>
      </c>
      <c r="D74" s="66">
        <v>3.0</v>
      </c>
      <c r="E74" s="66">
        <v>1.0</v>
      </c>
      <c r="F74" s="66" t="s">
        <v>2856</v>
      </c>
      <c r="G74" s="66">
        <v>9.0</v>
      </c>
      <c r="H74" s="81">
        <v>4.0</v>
      </c>
      <c r="I74" s="50">
        <v>120120.0</v>
      </c>
    </row>
    <row r="75">
      <c r="A75" s="66">
        <v>7071.0</v>
      </c>
      <c r="B75" s="66">
        <v>22.0</v>
      </c>
      <c r="C75" s="66">
        <v>1.0</v>
      </c>
      <c r="D75" s="66">
        <v>1.0</v>
      </c>
      <c r="E75" s="66">
        <v>1.0</v>
      </c>
      <c r="F75" s="66" t="s">
        <v>2857</v>
      </c>
      <c r="G75" s="66">
        <v>5.0</v>
      </c>
      <c r="H75" s="81">
        <v>4.0</v>
      </c>
      <c r="I75" s="50">
        <v>60514.0</v>
      </c>
    </row>
    <row r="76">
      <c r="A76" s="66">
        <v>7072.0</v>
      </c>
      <c r="B76" s="66">
        <v>42.0</v>
      </c>
      <c r="C76" s="66">
        <v>6.0</v>
      </c>
      <c r="D76" s="66">
        <v>1.0</v>
      </c>
      <c r="E76" s="66">
        <v>0.0</v>
      </c>
      <c r="F76" s="66" t="s">
        <v>2858</v>
      </c>
      <c r="G76" s="66">
        <v>4.0</v>
      </c>
      <c r="H76" s="81">
        <v>4.0</v>
      </c>
      <c r="I76" s="50">
        <v>50122.0</v>
      </c>
    </row>
    <row r="77">
      <c r="A77" s="66">
        <v>7073.0</v>
      </c>
      <c r="B77" s="66">
        <v>22.0</v>
      </c>
      <c r="C77" s="66">
        <v>1.0</v>
      </c>
      <c r="D77" s="66">
        <v>4.0</v>
      </c>
      <c r="E77" s="66">
        <v>0.0</v>
      </c>
      <c r="F77" s="66" t="s">
        <v>2859</v>
      </c>
      <c r="G77" s="66">
        <v>8.0</v>
      </c>
      <c r="H77" s="81">
        <v>2.0</v>
      </c>
      <c r="I77" s="50">
        <v>100519.0</v>
      </c>
    </row>
    <row r="78">
      <c r="A78" s="66">
        <v>7074.0</v>
      </c>
      <c r="B78" s="66">
        <v>83.0</v>
      </c>
      <c r="C78" s="66">
        <v>6.0</v>
      </c>
      <c r="D78" s="66">
        <v>1.0</v>
      </c>
      <c r="E78" s="66">
        <v>0.0</v>
      </c>
      <c r="F78" s="66" t="s">
        <v>2860</v>
      </c>
      <c r="G78" s="66">
        <v>7.0</v>
      </c>
      <c r="H78" s="81">
        <v>5.0</v>
      </c>
      <c r="I78" s="50">
        <v>102916.0</v>
      </c>
    </row>
    <row r="79">
      <c r="A79" s="66">
        <v>7075.0</v>
      </c>
      <c r="B79" s="66">
        <v>83.0</v>
      </c>
      <c r="C79" s="66">
        <v>6.0</v>
      </c>
      <c r="D79" s="66">
        <v>2.0</v>
      </c>
      <c r="E79" s="66">
        <v>0.0</v>
      </c>
      <c r="F79" s="66" t="s">
        <v>2861</v>
      </c>
      <c r="G79" s="66">
        <v>6.0</v>
      </c>
      <c r="H79" s="81">
        <v>3.0</v>
      </c>
      <c r="I79" s="50">
        <v>100121.0</v>
      </c>
    </row>
    <row r="80">
      <c r="A80" s="66">
        <v>7076.0</v>
      </c>
      <c r="B80" s="66">
        <v>22.0</v>
      </c>
      <c r="C80" s="66">
        <v>2.0</v>
      </c>
      <c r="D80" s="66">
        <v>5.0</v>
      </c>
      <c r="E80" s="66">
        <v>0.0</v>
      </c>
      <c r="F80" s="66" t="s">
        <v>2862</v>
      </c>
      <c r="G80" s="66">
        <v>8.0</v>
      </c>
      <c r="H80" s="81">
        <v>5.0</v>
      </c>
      <c r="I80" s="50">
        <v>102919.0</v>
      </c>
    </row>
    <row r="81">
      <c r="A81" s="66">
        <v>7077.0</v>
      </c>
      <c r="B81" s="66">
        <v>63.0</v>
      </c>
      <c r="C81" s="66">
        <v>2.0</v>
      </c>
      <c r="D81" s="66">
        <v>2.0</v>
      </c>
      <c r="E81" s="66">
        <v>0.0</v>
      </c>
      <c r="F81" s="66" t="s">
        <v>2863</v>
      </c>
      <c r="G81" s="66">
        <v>2.0</v>
      </c>
      <c r="H81" s="81">
        <v>4.0</v>
      </c>
      <c r="I81" s="50">
        <v>122015.0</v>
      </c>
    </row>
    <row r="82">
      <c r="A82" s="66">
        <v>7078.0</v>
      </c>
      <c r="B82" s="66">
        <v>83.0</v>
      </c>
      <c r="C82" s="66">
        <v>7.0</v>
      </c>
      <c r="D82" s="66">
        <v>3.0</v>
      </c>
      <c r="E82" s="66">
        <v>1.0</v>
      </c>
      <c r="F82" s="66" t="s">
        <v>2864</v>
      </c>
      <c r="G82" s="66">
        <v>2.0</v>
      </c>
      <c r="H82" s="81">
        <v>1.0</v>
      </c>
      <c r="I82" s="50">
        <v>91615.0</v>
      </c>
    </row>
    <row r="83">
      <c r="A83" s="66">
        <v>7079.0</v>
      </c>
      <c r="B83" s="66">
        <v>42.0</v>
      </c>
      <c r="C83" s="66">
        <v>7.0</v>
      </c>
      <c r="D83" s="66">
        <v>7.0</v>
      </c>
      <c r="E83" s="66">
        <v>0.0</v>
      </c>
      <c r="F83" s="66" t="s">
        <v>2865</v>
      </c>
      <c r="G83" s="66">
        <v>9.0</v>
      </c>
      <c r="H83" s="81">
        <v>4.0</v>
      </c>
      <c r="I83" s="50">
        <v>42916.0</v>
      </c>
    </row>
    <row r="84">
      <c r="A84" s="66">
        <v>7080.0</v>
      </c>
      <c r="B84" s="66">
        <v>22.0</v>
      </c>
      <c r="C84" s="66">
        <v>3.0</v>
      </c>
      <c r="D84" s="66">
        <v>2.0</v>
      </c>
      <c r="E84" s="66">
        <v>0.0</v>
      </c>
      <c r="F84" s="66" t="s">
        <v>2866</v>
      </c>
      <c r="G84" s="66">
        <v>6.0</v>
      </c>
      <c r="H84" s="81">
        <v>5.0</v>
      </c>
      <c r="I84" s="50">
        <v>71313.0</v>
      </c>
    </row>
    <row r="85">
      <c r="A85" s="66">
        <v>7081.0</v>
      </c>
      <c r="B85" s="66">
        <v>83.0</v>
      </c>
      <c r="C85" s="66">
        <v>7.0</v>
      </c>
      <c r="D85" s="66">
        <v>8.0</v>
      </c>
      <c r="E85" s="66">
        <v>0.0</v>
      </c>
      <c r="F85" s="66" t="s">
        <v>2867</v>
      </c>
      <c r="G85" s="66">
        <v>5.0</v>
      </c>
      <c r="H85" s="81">
        <v>3.0</v>
      </c>
      <c r="I85" s="50">
        <v>110820.0</v>
      </c>
    </row>
    <row r="86">
      <c r="A86" s="66">
        <v>7082.0</v>
      </c>
      <c r="B86" s="66">
        <v>22.0</v>
      </c>
      <c r="C86" s="66">
        <v>3.0</v>
      </c>
      <c r="D86" s="66">
        <v>8.0</v>
      </c>
      <c r="E86" s="66">
        <v>0.0</v>
      </c>
      <c r="F86" s="66" t="s">
        <v>2868</v>
      </c>
      <c r="G86" s="66">
        <v>7.0</v>
      </c>
      <c r="H86" s="81">
        <v>2.0</v>
      </c>
      <c r="I86" s="50">
        <v>31720.0</v>
      </c>
    </row>
    <row r="87">
      <c r="A87" s="66">
        <v>7083.0</v>
      </c>
      <c r="B87" s="66">
        <v>83.0</v>
      </c>
      <c r="C87" s="66">
        <v>8.0</v>
      </c>
      <c r="D87" s="66">
        <v>3.0</v>
      </c>
      <c r="E87" s="66">
        <v>0.0</v>
      </c>
      <c r="F87" s="66" t="s">
        <v>2869</v>
      </c>
      <c r="G87" s="66">
        <v>9.0</v>
      </c>
      <c r="H87" s="81">
        <v>4.0</v>
      </c>
      <c r="I87" s="50">
        <v>121815.0</v>
      </c>
    </row>
    <row r="88">
      <c r="A88" s="66">
        <v>7084.0</v>
      </c>
      <c r="B88" s="66">
        <v>83.0</v>
      </c>
      <c r="C88" s="66">
        <v>8.0</v>
      </c>
      <c r="D88" s="66">
        <v>7.0</v>
      </c>
      <c r="E88" s="66">
        <v>1.0</v>
      </c>
      <c r="F88" s="66" t="s">
        <v>2870</v>
      </c>
      <c r="G88" s="66">
        <v>3.0</v>
      </c>
      <c r="H88" s="81">
        <v>2.0</v>
      </c>
      <c r="I88" s="50">
        <v>10719.0</v>
      </c>
    </row>
    <row r="89">
      <c r="A89" s="66">
        <v>7085.0</v>
      </c>
      <c r="B89" s="66">
        <v>63.0</v>
      </c>
      <c r="C89" s="66">
        <v>3.0</v>
      </c>
      <c r="D89" s="66">
        <v>9.0</v>
      </c>
      <c r="E89" s="66">
        <v>1.0</v>
      </c>
      <c r="F89" s="66" t="s">
        <v>2871</v>
      </c>
      <c r="G89" s="66">
        <v>6.0</v>
      </c>
      <c r="H89" s="81">
        <v>5.0</v>
      </c>
      <c r="I89" s="50">
        <v>122316.0</v>
      </c>
    </row>
    <row r="90">
      <c r="A90" s="66">
        <v>7086.0</v>
      </c>
      <c r="B90" s="66">
        <v>42.0</v>
      </c>
      <c r="C90" s="66">
        <v>9.0</v>
      </c>
      <c r="D90" s="66">
        <v>1.0</v>
      </c>
      <c r="E90" s="66">
        <v>1.0</v>
      </c>
      <c r="F90" s="66" t="s">
        <v>2872</v>
      </c>
      <c r="G90" s="66">
        <v>3.0</v>
      </c>
      <c r="H90" s="81">
        <v>2.0</v>
      </c>
      <c r="I90" s="50">
        <v>82315.0</v>
      </c>
    </row>
    <row r="91">
      <c r="A91" s="66">
        <v>7087.0</v>
      </c>
      <c r="B91" s="66">
        <v>22.0</v>
      </c>
      <c r="C91" s="66">
        <v>4.0</v>
      </c>
      <c r="D91" s="66">
        <v>6.0</v>
      </c>
      <c r="E91" s="66">
        <v>0.0</v>
      </c>
      <c r="F91" s="66" t="s">
        <v>2873</v>
      </c>
      <c r="G91" s="66">
        <v>3.0</v>
      </c>
      <c r="H91" s="81">
        <v>4.0</v>
      </c>
      <c r="I91" s="50">
        <v>21017.0</v>
      </c>
    </row>
    <row r="92">
      <c r="A92" s="66">
        <v>7088.0</v>
      </c>
      <c r="B92" s="66">
        <v>42.0</v>
      </c>
      <c r="C92" s="66">
        <v>9.0</v>
      </c>
      <c r="D92" s="66">
        <v>6.0</v>
      </c>
      <c r="E92" s="66">
        <v>0.0</v>
      </c>
      <c r="F92" s="66" t="s">
        <v>2874</v>
      </c>
      <c r="G92" s="66">
        <v>4.0</v>
      </c>
      <c r="H92" s="81">
        <v>1.0</v>
      </c>
      <c r="I92" s="50">
        <v>70520.0</v>
      </c>
    </row>
    <row r="93">
      <c r="A93" s="66">
        <v>7089.0</v>
      </c>
      <c r="B93" s="66">
        <v>83.0</v>
      </c>
      <c r="C93" s="66">
        <v>9.0</v>
      </c>
      <c r="D93" s="66">
        <v>3.0</v>
      </c>
      <c r="E93" s="66">
        <v>0.0</v>
      </c>
      <c r="F93" s="66" t="s">
        <v>2875</v>
      </c>
      <c r="G93" s="66">
        <v>7.0</v>
      </c>
      <c r="H93" s="81">
        <v>1.0</v>
      </c>
      <c r="I93" s="50">
        <v>72113.0</v>
      </c>
    </row>
    <row r="94">
      <c r="A94" s="66">
        <v>7090.0</v>
      </c>
      <c r="B94" s="66">
        <v>63.0</v>
      </c>
      <c r="C94" s="66">
        <v>4.0</v>
      </c>
      <c r="D94" s="66">
        <v>7.0</v>
      </c>
      <c r="E94" s="66">
        <v>1.0</v>
      </c>
      <c r="F94" s="66" t="s">
        <v>2876</v>
      </c>
      <c r="G94" s="66">
        <v>6.0</v>
      </c>
      <c r="H94" s="81">
        <v>2.0</v>
      </c>
      <c r="I94" s="50">
        <v>121216.0</v>
      </c>
    </row>
    <row r="95">
      <c r="A95" s="66">
        <v>7091.0</v>
      </c>
      <c r="B95" s="66">
        <v>22.0</v>
      </c>
      <c r="C95" s="66">
        <v>5.0</v>
      </c>
      <c r="D95" s="66">
        <v>1.0</v>
      </c>
      <c r="E95" s="66">
        <v>1.0</v>
      </c>
      <c r="F95" s="66" t="s">
        <v>2877</v>
      </c>
      <c r="G95" s="66">
        <v>6.0</v>
      </c>
      <c r="H95" s="81">
        <v>4.0</v>
      </c>
      <c r="I95" s="50">
        <v>52119.0</v>
      </c>
    </row>
    <row r="96">
      <c r="A96" s="66">
        <v>7092.0</v>
      </c>
      <c r="B96" s="66">
        <v>22.0</v>
      </c>
      <c r="C96" s="66">
        <v>5.0</v>
      </c>
      <c r="D96" s="66">
        <v>2.0</v>
      </c>
      <c r="E96" s="66">
        <v>1.0</v>
      </c>
      <c r="F96" s="66" t="s">
        <v>2878</v>
      </c>
      <c r="G96" s="66">
        <v>2.0</v>
      </c>
      <c r="H96" s="81">
        <v>1.0</v>
      </c>
      <c r="I96" s="50">
        <v>92617.0</v>
      </c>
    </row>
    <row r="97">
      <c r="A97" s="66">
        <v>7093.0</v>
      </c>
      <c r="B97" s="66">
        <v>42.0</v>
      </c>
      <c r="C97" s="66">
        <v>9.0</v>
      </c>
      <c r="D97" s="66">
        <v>9.0</v>
      </c>
      <c r="E97" s="66">
        <v>0.0</v>
      </c>
      <c r="F97" s="66" t="s">
        <v>2879</v>
      </c>
      <c r="G97" s="66">
        <v>5.0</v>
      </c>
      <c r="H97" s="81">
        <v>2.0</v>
      </c>
      <c r="I97" s="50">
        <v>31222.0</v>
      </c>
    </row>
    <row r="98">
      <c r="A98" s="66">
        <v>7094.0</v>
      </c>
      <c r="B98" s="66">
        <v>83.0</v>
      </c>
      <c r="C98" s="66">
        <v>9.0</v>
      </c>
      <c r="D98" s="66">
        <v>9.0</v>
      </c>
      <c r="E98" s="66">
        <v>1.0</v>
      </c>
      <c r="F98" s="66" t="s">
        <v>2880</v>
      </c>
      <c r="G98" s="66">
        <v>2.0</v>
      </c>
      <c r="H98" s="81">
        <v>4.0</v>
      </c>
      <c r="I98" s="50">
        <v>121417.0</v>
      </c>
    </row>
    <row r="99">
      <c r="A99" s="66">
        <v>7095.0</v>
      </c>
      <c r="B99" s="66">
        <v>22.0</v>
      </c>
      <c r="C99" s="66">
        <v>5.0</v>
      </c>
      <c r="D99" s="66">
        <v>6.0</v>
      </c>
      <c r="E99" s="66">
        <v>1.0</v>
      </c>
      <c r="F99" s="66" t="s">
        <v>2881</v>
      </c>
      <c r="G99" s="66">
        <v>6.0</v>
      </c>
      <c r="H99" s="81">
        <v>3.0</v>
      </c>
      <c r="I99" s="50">
        <v>50715.0</v>
      </c>
    </row>
    <row r="100">
      <c r="A100" s="66">
        <v>7096.0</v>
      </c>
      <c r="B100" s="66">
        <v>63.0</v>
      </c>
      <c r="C100" s="66">
        <v>5.0</v>
      </c>
      <c r="D100" s="66">
        <v>7.0</v>
      </c>
      <c r="E100" s="66">
        <v>1.0</v>
      </c>
      <c r="F100" s="66" t="s">
        <v>2882</v>
      </c>
      <c r="G100" s="66">
        <v>3.0</v>
      </c>
      <c r="H100" s="81">
        <v>3.0</v>
      </c>
      <c r="I100" s="50">
        <v>71114.0</v>
      </c>
    </row>
    <row r="101">
      <c r="A101" s="66">
        <v>7097.0</v>
      </c>
      <c r="B101" s="66">
        <v>43.0</v>
      </c>
      <c r="C101" s="66">
        <v>1.0</v>
      </c>
      <c r="D101" s="66">
        <v>1.0</v>
      </c>
      <c r="E101" s="66">
        <v>0.0</v>
      </c>
      <c r="F101" s="66" t="s">
        <v>2883</v>
      </c>
      <c r="G101" s="66">
        <v>6.0</v>
      </c>
      <c r="H101" s="81">
        <v>4.0</v>
      </c>
      <c r="I101" s="50">
        <v>52713.0</v>
      </c>
    </row>
    <row r="102">
      <c r="A102" s="66">
        <v>7098.0</v>
      </c>
      <c r="B102" s="66">
        <v>43.0</v>
      </c>
      <c r="C102" s="66">
        <v>1.0</v>
      </c>
      <c r="D102" s="66">
        <v>4.0</v>
      </c>
      <c r="E102" s="66">
        <v>1.0</v>
      </c>
      <c r="F102" s="66" t="s">
        <v>2884</v>
      </c>
      <c r="G102" s="66">
        <v>8.0</v>
      </c>
      <c r="H102" s="81">
        <v>5.0</v>
      </c>
      <c r="I102" s="50">
        <v>52113.0</v>
      </c>
    </row>
    <row r="103">
      <c r="A103" s="66">
        <v>7099.0</v>
      </c>
      <c r="B103" s="66">
        <v>63.0</v>
      </c>
      <c r="C103" s="66">
        <v>6.0</v>
      </c>
      <c r="D103" s="66">
        <v>6.0</v>
      </c>
      <c r="E103" s="66">
        <v>0.0</v>
      </c>
      <c r="F103" s="66" t="s">
        <v>2885</v>
      </c>
      <c r="G103" s="66">
        <v>5.0</v>
      </c>
      <c r="H103" s="81">
        <v>3.0</v>
      </c>
      <c r="I103" s="50">
        <v>83020.0</v>
      </c>
    </row>
    <row r="104">
      <c r="A104" s="66">
        <v>7100.0</v>
      </c>
      <c r="B104" s="66">
        <v>84.0</v>
      </c>
      <c r="C104" s="66">
        <v>1.0</v>
      </c>
      <c r="D104" s="66">
        <v>7.0</v>
      </c>
      <c r="E104" s="66">
        <v>0.0</v>
      </c>
      <c r="F104" s="66" t="s">
        <v>2886</v>
      </c>
      <c r="G104" s="66">
        <v>3.0</v>
      </c>
      <c r="H104" s="81">
        <v>4.0</v>
      </c>
      <c r="I104" s="50">
        <v>32021.0</v>
      </c>
    </row>
    <row r="105">
      <c r="A105" s="66">
        <v>7101.0</v>
      </c>
      <c r="B105" s="66">
        <v>43.0</v>
      </c>
      <c r="C105" s="66">
        <v>2.0</v>
      </c>
      <c r="D105" s="66">
        <v>2.0</v>
      </c>
      <c r="E105" s="66">
        <v>1.0</v>
      </c>
      <c r="F105" s="66" t="s">
        <v>2887</v>
      </c>
      <c r="G105" s="66">
        <v>8.0</v>
      </c>
      <c r="H105" s="81">
        <v>1.0</v>
      </c>
      <c r="I105" s="50">
        <v>72019.0</v>
      </c>
    </row>
    <row r="106">
      <c r="A106" s="66">
        <v>7102.0</v>
      </c>
      <c r="B106" s="66">
        <v>84.0</v>
      </c>
      <c r="C106" s="66">
        <v>1.0</v>
      </c>
      <c r="D106" s="66">
        <v>9.0</v>
      </c>
      <c r="E106" s="66">
        <v>0.0</v>
      </c>
      <c r="F106" s="66" t="s">
        <v>2888</v>
      </c>
      <c r="G106" s="66">
        <v>6.0</v>
      </c>
      <c r="H106" s="81">
        <v>5.0</v>
      </c>
      <c r="I106" s="50">
        <v>72515.0</v>
      </c>
    </row>
    <row r="107">
      <c r="A107" s="66">
        <v>7103.0</v>
      </c>
      <c r="B107" s="66">
        <v>43.0</v>
      </c>
      <c r="C107" s="66">
        <v>2.0</v>
      </c>
      <c r="D107" s="66">
        <v>3.0</v>
      </c>
      <c r="E107" s="66">
        <v>1.0</v>
      </c>
      <c r="F107" s="66" t="s">
        <v>2889</v>
      </c>
      <c r="G107" s="66">
        <v>5.0</v>
      </c>
      <c r="H107" s="81">
        <v>3.0</v>
      </c>
      <c r="I107" s="50">
        <v>51514.0</v>
      </c>
    </row>
    <row r="108">
      <c r="A108" s="66">
        <v>7104.0</v>
      </c>
      <c r="B108" s="66">
        <v>84.0</v>
      </c>
      <c r="C108" s="66">
        <v>2.0</v>
      </c>
      <c r="D108" s="66">
        <v>2.0</v>
      </c>
      <c r="E108" s="66">
        <v>1.0</v>
      </c>
      <c r="F108" s="66" t="s">
        <v>2890</v>
      </c>
      <c r="G108" s="66">
        <v>1.0</v>
      </c>
      <c r="H108" s="81">
        <v>2.0</v>
      </c>
      <c r="I108" s="50">
        <v>50221.0</v>
      </c>
    </row>
    <row r="109">
      <c r="A109" s="66">
        <v>7105.0</v>
      </c>
      <c r="B109" s="66">
        <v>63.0</v>
      </c>
      <c r="C109" s="66">
        <v>7.0</v>
      </c>
      <c r="D109" s="66">
        <v>5.0</v>
      </c>
      <c r="E109" s="66">
        <v>0.0</v>
      </c>
      <c r="F109" s="66" t="s">
        <v>2891</v>
      </c>
      <c r="G109" s="66">
        <v>4.0</v>
      </c>
      <c r="H109" s="81">
        <v>3.0</v>
      </c>
      <c r="I109" s="50">
        <v>121614.0</v>
      </c>
    </row>
    <row r="110">
      <c r="A110" s="66">
        <v>7106.0</v>
      </c>
      <c r="B110" s="66">
        <v>43.0</v>
      </c>
      <c r="C110" s="66">
        <v>2.0</v>
      </c>
      <c r="D110" s="66">
        <v>9.0</v>
      </c>
      <c r="E110" s="66">
        <v>0.0</v>
      </c>
      <c r="F110" s="66" t="s">
        <v>2892</v>
      </c>
      <c r="G110" s="66">
        <v>8.0</v>
      </c>
      <c r="H110" s="81">
        <v>4.0</v>
      </c>
      <c r="I110" s="50">
        <v>40414.0</v>
      </c>
    </row>
    <row r="111">
      <c r="A111" s="66">
        <v>7107.0</v>
      </c>
      <c r="B111" s="66">
        <v>43.0</v>
      </c>
      <c r="C111" s="66">
        <v>3.0</v>
      </c>
      <c r="D111" s="66">
        <v>1.0</v>
      </c>
      <c r="E111" s="66">
        <v>0.0</v>
      </c>
      <c r="F111" s="66" t="s">
        <v>2893</v>
      </c>
      <c r="G111" s="66">
        <v>5.0</v>
      </c>
      <c r="H111" s="81">
        <v>2.0</v>
      </c>
      <c r="I111" s="50">
        <v>53122.0</v>
      </c>
    </row>
    <row r="112">
      <c r="A112" s="66">
        <v>7108.0</v>
      </c>
      <c r="B112" s="66">
        <v>22.0</v>
      </c>
      <c r="C112" s="66">
        <v>8.0</v>
      </c>
      <c r="D112" s="66">
        <v>4.0</v>
      </c>
      <c r="E112" s="66">
        <v>0.0</v>
      </c>
      <c r="F112" s="66" t="s">
        <v>2894</v>
      </c>
      <c r="G112" s="66">
        <v>8.0</v>
      </c>
      <c r="H112" s="81">
        <v>5.0</v>
      </c>
      <c r="I112" s="50">
        <v>22315.0</v>
      </c>
    </row>
    <row r="113">
      <c r="A113" s="66">
        <v>7109.0</v>
      </c>
      <c r="B113" s="66">
        <v>22.0</v>
      </c>
      <c r="C113" s="66">
        <v>8.0</v>
      </c>
      <c r="D113" s="66">
        <v>3.0</v>
      </c>
      <c r="E113" s="66">
        <v>0.0</v>
      </c>
      <c r="F113" s="66" t="s">
        <v>2895</v>
      </c>
      <c r="G113" s="66">
        <v>7.0</v>
      </c>
      <c r="H113" s="81">
        <v>3.0</v>
      </c>
      <c r="I113" s="50">
        <v>112416.0</v>
      </c>
    </row>
    <row r="114">
      <c r="A114" s="66">
        <v>7110.0</v>
      </c>
      <c r="B114" s="66">
        <v>63.0</v>
      </c>
      <c r="C114" s="66">
        <v>8.0</v>
      </c>
      <c r="D114" s="66">
        <v>2.0</v>
      </c>
      <c r="E114" s="66">
        <v>0.0</v>
      </c>
      <c r="F114" s="66" t="s">
        <v>2896</v>
      </c>
      <c r="G114" s="66">
        <v>3.0</v>
      </c>
      <c r="H114" s="81">
        <v>4.0</v>
      </c>
      <c r="I114" s="50">
        <v>52421.0</v>
      </c>
    </row>
    <row r="115">
      <c r="A115" s="66">
        <v>7111.0</v>
      </c>
      <c r="B115" s="66">
        <v>22.0</v>
      </c>
      <c r="C115" s="66">
        <v>8.0</v>
      </c>
      <c r="D115" s="66">
        <v>7.0</v>
      </c>
      <c r="E115" s="66">
        <v>0.0</v>
      </c>
      <c r="F115" s="66" t="s">
        <v>2897</v>
      </c>
      <c r="G115" s="66">
        <v>7.0</v>
      </c>
      <c r="H115" s="81">
        <v>1.0</v>
      </c>
      <c r="I115" s="50">
        <v>53014.0</v>
      </c>
    </row>
    <row r="116">
      <c r="A116" s="66">
        <v>7112.0</v>
      </c>
      <c r="B116" s="66">
        <v>43.0</v>
      </c>
      <c r="C116" s="66">
        <v>3.0</v>
      </c>
      <c r="D116" s="66">
        <v>5.0</v>
      </c>
      <c r="E116" s="66">
        <v>1.0</v>
      </c>
      <c r="F116" s="66" t="s">
        <v>2898</v>
      </c>
      <c r="G116" s="66">
        <v>5.0</v>
      </c>
      <c r="H116" s="81">
        <v>4.0</v>
      </c>
      <c r="I116" s="50">
        <v>42119.0</v>
      </c>
    </row>
    <row r="117">
      <c r="A117" s="66">
        <v>7113.0</v>
      </c>
      <c r="B117" s="66">
        <v>43.0</v>
      </c>
      <c r="C117" s="66">
        <v>3.0</v>
      </c>
      <c r="D117" s="66">
        <v>8.0</v>
      </c>
      <c r="E117" s="66">
        <v>1.0</v>
      </c>
      <c r="F117" s="66" t="s">
        <v>2899</v>
      </c>
      <c r="G117" s="66">
        <v>3.0</v>
      </c>
      <c r="H117" s="81">
        <v>4.0</v>
      </c>
      <c r="I117" s="50">
        <v>60216.0</v>
      </c>
    </row>
    <row r="118">
      <c r="A118" s="66">
        <v>7114.0</v>
      </c>
      <c r="B118" s="66">
        <v>63.0</v>
      </c>
      <c r="C118" s="66">
        <v>8.0</v>
      </c>
      <c r="D118" s="66">
        <v>8.0</v>
      </c>
      <c r="E118" s="66">
        <v>0.0</v>
      </c>
      <c r="F118" s="66" t="s">
        <v>2900</v>
      </c>
      <c r="G118" s="66">
        <v>4.0</v>
      </c>
      <c r="H118" s="81">
        <v>1.0</v>
      </c>
      <c r="I118" s="50">
        <v>72021.0</v>
      </c>
    </row>
    <row r="119">
      <c r="A119" s="66">
        <v>7115.0</v>
      </c>
      <c r="B119" s="66">
        <v>43.0</v>
      </c>
      <c r="C119" s="66">
        <v>4.0</v>
      </c>
      <c r="D119" s="66">
        <v>2.0</v>
      </c>
      <c r="E119" s="66">
        <v>0.0</v>
      </c>
      <c r="F119" s="66" t="s">
        <v>2901</v>
      </c>
      <c r="G119" s="66">
        <v>8.0</v>
      </c>
      <c r="H119" s="81">
        <v>5.0</v>
      </c>
      <c r="I119" s="50">
        <v>111722.0</v>
      </c>
    </row>
    <row r="120">
      <c r="A120" s="66">
        <v>7116.0</v>
      </c>
      <c r="B120" s="66">
        <v>43.0</v>
      </c>
      <c r="C120" s="66">
        <v>4.0</v>
      </c>
      <c r="D120" s="66">
        <v>3.0</v>
      </c>
      <c r="E120" s="66">
        <v>1.0</v>
      </c>
      <c r="F120" s="66" t="s">
        <v>2902</v>
      </c>
      <c r="G120" s="66">
        <v>5.0</v>
      </c>
      <c r="H120" s="81">
        <v>5.0</v>
      </c>
      <c r="I120" s="50">
        <v>90913.0</v>
      </c>
    </row>
    <row r="121">
      <c r="A121" s="66">
        <v>7117.0</v>
      </c>
      <c r="B121" s="66">
        <v>22.0</v>
      </c>
      <c r="C121" s="66">
        <v>9.0</v>
      </c>
      <c r="D121" s="66">
        <v>5.0</v>
      </c>
      <c r="E121" s="66">
        <v>1.0</v>
      </c>
      <c r="F121" s="66" t="s">
        <v>2903</v>
      </c>
      <c r="G121" s="66">
        <v>3.0</v>
      </c>
      <c r="H121" s="81">
        <v>4.0</v>
      </c>
      <c r="I121" s="50">
        <v>10816.0</v>
      </c>
    </row>
    <row r="122">
      <c r="A122" s="66">
        <v>7118.0</v>
      </c>
      <c r="B122" s="66">
        <v>22.0</v>
      </c>
      <c r="C122" s="66">
        <v>9.0</v>
      </c>
      <c r="D122" s="66">
        <v>6.0</v>
      </c>
      <c r="E122" s="66">
        <v>1.0</v>
      </c>
      <c r="F122" s="66" t="s">
        <v>2904</v>
      </c>
      <c r="G122" s="66">
        <v>1.0</v>
      </c>
      <c r="H122" s="81">
        <v>4.0</v>
      </c>
      <c r="I122" s="50">
        <v>120418.0</v>
      </c>
    </row>
    <row r="123">
      <c r="A123" s="66">
        <v>7119.0</v>
      </c>
      <c r="B123" s="66">
        <v>63.0</v>
      </c>
      <c r="C123" s="66">
        <v>9.0</v>
      </c>
      <c r="D123" s="66">
        <v>1.0</v>
      </c>
      <c r="E123" s="66">
        <v>1.0</v>
      </c>
      <c r="F123" s="66" t="s">
        <v>2905</v>
      </c>
      <c r="G123" s="66">
        <v>6.0</v>
      </c>
      <c r="H123" s="81">
        <v>2.0</v>
      </c>
      <c r="I123" s="50">
        <v>102016.0</v>
      </c>
    </row>
    <row r="124">
      <c r="A124" s="66">
        <v>7120.0</v>
      </c>
      <c r="B124" s="66">
        <v>43.0</v>
      </c>
      <c r="C124" s="66">
        <v>4.0</v>
      </c>
      <c r="D124" s="66">
        <v>7.0</v>
      </c>
      <c r="E124" s="66">
        <v>0.0</v>
      </c>
      <c r="F124" s="66" t="s">
        <v>2906</v>
      </c>
      <c r="G124" s="66">
        <v>2.0</v>
      </c>
      <c r="H124" s="81">
        <v>1.0</v>
      </c>
      <c r="I124" s="50">
        <v>113017.0</v>
      </c>
    </row>
    <row r="125">
      <c r="A125" s="66">
        <v>7121.0</v>
      </c>
      <c r="B125" s="66">
        <v>63.0</v>
      </c>
      <c r="C125" s="66">
        <v>9.0</v>
      </c>
      <c r="D125" s="66">
        <v>8.0</v>
      </c>
      <c r="E125" s="66">
        <v>0.0</v>
      </c>
      <c r="F125" s="66" t="s">
        <v>2907</v>
      </c>
      <c r="G125" s="66">
        <v>5.0</v>
      </c>
      <c r="H125" s="81">
        <v>4.0</v>
      </c>
      <c r="I125" s="50">
        <v>80718.0</v>
      </c>
    </row>
    <row r="126">
      <c r="A126" s="66">
        <v>7122.0</v>
      </c>
      <c r="B126" s="66">
        <v>43.0</v>
      </c>
      <c r="C126" s="66">
        <v>5.0</v>
      </c>
      <c r="D126" s="66">
        <v>4.0</v>
      </c>
      <c r="E126" s="66">
        <v>1.0</v>
      </c>
      <c r="F126" s="66" t="s">
        <v>2908</v>
      </c>
      <c r="G126" s="66">
        <v>6.0</v>
      </c>
      <c r="H126" s="81">
        <v>4.0</v>
      </c>
      <c r="I126" s="50">
        <v>50818.0</v>
      </c>
    </row>
    <row r="127">
      <c r="A127" s="66">
        <v>7123.0</v>
      </c>
      <c r="B127" s="66">
        <v>43.0</v>
      </c>
      <c r="C127" s="66">
        <v>5.0</v>
      </c>
      <c r="D127" s="66">
        <v>5.0</v>
      </c>
      <c r="E127" s="66">
        <v>1.0</v>
      </c>
      <c r="F127" s="66" t="s">
        <v>2909</v>
      </c>
      <c r="G127" s="66">
        <v>9.0</v>
      </c>
      <c r="H127" s="81">
        <v>3.0</v>
      </c>
      <c r="I127" s="50">
        <v>22515.0</v>
      </c>
    </row>
    <row r="128">
      <c r="A128" s="66">
        <v>7124.0</v>
      </c>
      <c r="B128" s="66">
        <v>84.0</v>
      </c>
      <c r="C128" s="66">
        <v>5.0</v>
      </c>
      <c r="D128" s="66">
        <v>5.0</v>
      </c>
      <c r="E128" s="66">
        <v>0.0</v>
      </c>
      <c r="F128" s="66" t="s">
        <v>2910</v>
      </c>
      <c r="G128" s="66">
        <v>7.0</v>
      </c>
      <c r="H128" s="81">
        <v>5.0</v>
      </c>
      <c r="I128" s="50">
        <v>33119.0</v>
      </c>
    </row>
    <row r="129">
      <c r="A129" s="66">
        <v>7125.0</v>
      </c>
      <c r="B129" s="66">
        <v>43.0</v>
      </c>
      <c r="C129" s="66">
        <v>5.0</v>
      </c>
      <c r="D129" s="66">
        <v>9.0</v>
      </c>
      <c r="E129" s="66">
        <v>1.0</v>
      </c>
      <c r="F129" s="66" t="s">
        <v>2911</v>
      </c>
      <c r="G129" s="66">
        <v>2.0</v>
      </c>
      <c r="H129" s="81">
        <v>4.0</v>
      </c>
      <c r="I129" s="50">
        <v>122715.0</v>
      </c>
    </row>
    <row r="130">
      <c r="A130" s="66">
        <v>7126.0</v>
      </c>
      <c r="B130" s="66">
        <v>43.0</v>
      </c>
      <c r="C130" s="66">
        <v>6.0</v>
      </c>
      <c r="D130" s="66">
        <v>2.0</v>
      </c>
      <c r="E130" s="66">
        <v>0.0</v>
      </c>
      <c r="F130" s="66" t="s">
        <v>2912</v>
      </c>
      <c r="G130" s="66">
        <v>5.0</v>
      </c>
      <c r="H130" s="81">
        <v>1.0</v>
      </c>
      <c r="I130" s="50">
        <v>21718.0</v>
      </c>
    </row>
    <row r="131">
      <c r="A131" s="66">
        <v>7127.0</v>
      </c>
      <c r="B131" s="66">
        <v>23.0</v>
      </c>
      <c r="C131" s="66">
        <v>1.0</v>
      </c>
      <c r="D131" s="66">
        <v>4.0</v>
      </c>
      <c r="E131" s="66">
        <v>0.0</v>
      </c>
      <c r="F131" s="66" t="s">
        <v>2913</v>
      </c>
      <c r="G131" s="66">
        <v>3.0</v>
      </c>
      <c r="H131" s="81">
        <v>4.0</v>
      </c>
      <c r="I131" s="50">
        <v>61519.0</v>
      </c>
    </row>
    <row r="132">
      <c r="A132" s="66">
        <v>7128.0</v>
      </c>
      <c r="B132" s="66">
        <v>64.0</v>
      </c>
      <c r="C132" s="66">
        <v>1.0</v>
      </c>
      <c r="D132" s="66">
        <v>5.0</v>
      </c>
      <c r="E132" s="66">
        <v>0.0</v>
      </c>
      <c r="F132" s="66" t="s">
        <v>2914</v>
      </c>
      <c r="G132" s="66">
        <v>3.0</v>
      </c>
      <c r="H132" s="81">
        <v>1.0</v>
      </c>
      <c r="I132" s="50">
        <v>30321.0</v>
      </c>
    </row>
    <row r="133">
      <c r="A133" s="66">
        <v>7129.0</v>
      </c>
      <c r="B133" s="66">
        <v>84.0</v>
      </c>
      <c r="C133" s="66">
        <v>6.0</v>
      </c>
      <c r="D133" s="66">
        <v>5.0</v>
      </c>
      <c r="E133" s="66">
        <v>0.0</v>
      </c>
      <c r="F133" s="66" t="s">
        <v>2915</v>
      </c>
      <c r="G133" s="66">
        <v>8.0</v>
      </c>
      <c r="H133" s="81">
        <v>2.0</v>
      </c>
      <c r="I133" s="50">
        <v>20321.0</v>
      </c>
    </row>
    <row r="134">
      <c r="A134" s="66">
        <v>7130.0</v>
      </c>
      <c r="B134" s="66">
        <v>64.0</v>
      </c>
      <c r="C134" s="66">
        <v>1.0</v>
      </c>
      <c r="D134" s="66">
        <v>8.0</v>
      </c>
      <c r="E134" s="66">
        <v>1.0</v>
      </c>
      <c r="F134" s="66" t="s">
        <v>2916</v>
      </c>
      <c r="G134" s="66">
        <v>1.0</v>
      </c>
      <c r="H134" s="81">
        <v>2.0</v>
      </c>
      <c r="I134" s="50">
        <v>91416.0</v>
      </c>
    </row>
    <row r="135">
      <c r="A135" s="66">
        <v>7131.0</v>
      </c>
      <c r="B135" s="66">
        <v>84.0</v>
      </c>
      <c r="C135" s="66">
        <v>6.0</v>
      </c>
      <c r="D135" s="66">
        <v>7.0</v>
      </c>
      <c r="E135" s="66">
        <v>0.0</v>
      </c>
      <c r="F135" s="66" t="s">
        <v>2917</v>
      </c>
      <c r="G135" s="66">
        <v>1.0</v>
      </c>
      <c r="H135" s="81">
        <v>3.0</v>
      </c>
      <c r="I135" s="50">
        <v>112013.0</v>
      </c>
    </row>
    <row r="136">
      <c r="A136" s="66">
        <v>7132.0</v>
      </c>
      <c r="B136" s="66">
        <v>43.0</v>
      </c>
      <c r="C136" s="66">
        <v>7.0</v>
      </c>
      <c r="D136" s="66">
        <v>1.0</v>
      </c>
      <c r="E136" s="66">
        <v>1.0</v>
      </c>
      <c r="F136" s="66" t="s">
        <v>2918</v>
      </c>
      <c r="G136" s="66">
        <v>3.0</v>
      </c>
      <c r="H136" s="81">
        <v>1.0</v>
      </c>
      <c r="I136" s="50">
        <v>32014.0</v>
      </c>
    </row>
    <row r="137">
      <c r="A137" s="66">
        <v>7133.0</v>
      </c>
      <c r="B137" s="66">
        <v>43.0</v>
      </c>
      <c r="C137" s="66">
        <v>7.0</v>
      </c>
      <c r="D137" s="66">
        <v>6.0</v>
      </c>
      <c r="E137" s="66">
        <v>0.0</v>
      </c>
      <c r="F137" s="66" t="s">
        <v>2919</v>
      </c>
      <c r="G137" s="66">
        <v>4.0</v>
      </c>
      <c r="H137" s="81">
        <v>4.0</v>
      </c>
      <c r="I137" s="50">
        <v>112216.0</v>
      </c>
    </row>
    <row r="138">
      <c r="A138" s="66">
        <v>7134.0</v>
      </c>
      <c r="B138" s="66">
        <v>84.0</v>
      </c>
      <c r="C138" s="66">
        <v>7.0</v>
      </c>
      <c r="D138" s="66">
        <v>3.0</v>
      </c>
      <c r="E138" s="66">
        <v>0.0</v>
      </c>
      <c r="F138" s="66" t="s">
        <v>2920</v>
      </c>
      <c r="G138" s="66">
        <v>4.0</v>
      </c>
      <c r="H138" s="81">
        <v>4.0</v>
      </c>
      <c r="I138" s="50">
        <v>52219.0</v>
      </c>
    </row>
    <row r="139">
      <c r="A139" s="66">
        <v>7135.0</v>
      </c>
      <c r="B139" s="66">
        <v>23.0</v>
      </c>
      <c r="C139" s="66">
        <v>3.0</v>
      </c>
      <c r="D139" s="66">
        <v>1.0</v>
      </c>
      <c r="E139" s="66">
        <v>1.0</v>
      </c>
      <c r="F139" s="66" t="s">
        <v>2921</v>
      </c>
      <c r="G139" s="66">
        <v>5.0</v>
      </c>
      <c r="H139" s="81">
        <v>2.0</v>
      </c>
      <c r="I139" s="50">
        <v>31613.0</v>
      </c>
    </row>
    <row r="140">
      <c r="A140" s="66">
        <v>7136.0</v>
      </c>
      <c r="B140" s="66">
        <v>23.0</v>
      </c>
      <c r="C140" s="66">
        <v>3.0</v>
      </c>
      <c r="D140" s="66">
        <v>2.0</v>
      </c>
      <c r="E140" s="66">
        <v>1.0</v>
      </c>
      <c r="F140" s="66" t="s">
        <v>2922</v>
      </c>
      <c r="G140" s="66">
        <v>7.0</v>
      </c>
      <c r="H140" s="81">
        <v>5.0</v>
      </c>
      <c r="I140" s="50">
        <v>62414.0</v>
      </c>
    </row>
    <row r="141">
      <c r="A141" s="66">
        <v>7137.0</v>
      </c>
      <c r="B141" s="66">
        <v>23.0</v>
      </c>
      <c r="C141" s="66">
        <v>3.0</v>
      </c>
      <c r="D141" s="66">
        <v>4.0</v>
      </c>
      <c r="E141" s="66">
        <v>0.0</v>
      </c>
      <c r="F141" s="66" t="s">
        <v>2923</v>
      </c>
      <c r="G141" s="66">
        <v>9.0</v>
      </c>
      <c r="H141" s="81">
        <v>3.0</v>
      </c>
      <c r="I141" s="50">
        <v>71720.0</v>
      </c>
    </row>
    <row r="142">
      <c r="A142" s="66">
        <v>7138.0</v>
      </c>
      <c r="B142" s="66">
        <v>84.0</v>
      </c>
      <c r="C142" s="66">
        <v>7.0</v>
      </c>
      <c r="D142" s="66">
        <v>9.0</v>
      </c>
      <c r="E142" s="66">
        <v>1.0</v>
      </c>
      <c r="F142" s="66" t="s">
        <v>2924</v>
      </c>
      <c r="G142" s="66">
        <v>9.0</v>
      </c>
      <c r="H142" s="81">
        <v>2.0</v>
      </c>
      <c r="I142" s="50">
        <v>111117.0</v>
      </c>
    </row>
    <row r="143">
      <c r="A143" s="66">
        <v>7139.0</v>
      </c>
      <c r="B143" s="66">
        <v>23.0</v>
      </c>
      <c r="C143" s="66">
        <v>3.0</v>
      </c>
      <c r="D143" s="66">
        <v>6.0</v>
      </c>
      <c r="E143" s="66">
        <v>1.0</v>
      </c>
      <c r="F143" s="66" t="s">
        <v>2925</v>
      </c>
      <c r="G143" s="66">
        <v>9.0</v>
      </c>
      <c r="H143" s="81">
        <v>5.0</v>
      </c>
      <c r="I143" s="50">
        <v>93020.0</v>
      </c>
    </row>
    <row r="144">
      <c r="A144" s="66">
        <v>7140.0</v>
      </c>
      <c r="B144" s="66">
        <v>84.0</v>
      </c>
      <c r="C144" s="66">
        <v>8.0</v>
      </c>
      <c r="D144" s="66">
        <v>3.0</v>
      </c>
      <c r="E144" s="66">
        <v>0.0</v>
      </c>
      <c r="F144" s="66" t="s">
        <v>2926</v>
      </c>
      <c r="G144" s="66">
        <v>2.0</v>
      </c>
      <c r="H144" s="81">
        <v>2.0</v>
      </c>
      <c r="I144" s="50">
        <v>71321.0</v>
      </c>
    </row>
    <row r="145">
      <c r="A145" s="66">
        <v>7141.0</v>
      </c>
      <c r="B145" s="66">
        <v>84.0</v>
      </c>
      <c r="C145" s="66">
        <v>9.0</v>
      </c>
      <c r="D145" s="66">
        <v>3.0</v>
      </c>
      <c r="E145" s="66">
        <v>1.0</v>
      </c>
      <c r="F145" s="66" t="s">
        <v>2927</v>
      </c>
      <c r="G145" s="66">
        <v>9.0</v>
      </c>
      <c r="H145" s="81">
        <v>3.0</v>
      </c>
      <c r="I145" s="50">
        <v>101116.0</v>
      </c>
    </row>
    <row r="146">
      <c r="A146" s="66">
        <v>7142.0</v>
      </c>
      <c r="B146" s="66">
        <v>64.0</v>
      </c>
      <c r="C146" s="66">
        <v>4.0</v>
      </c>
      <c r="D146" s="66">
        <v>5.0</v>
      </c>
      <c r="E146" s="66">
        <v>1.0</v>
      </c>
      <c r="F146" s="66" t="s">
        <v>2928</v>
      </c>
      <c r="G146" s="66">
        <v>7.0</v>
      </c>
      <c r="H146" s="81">
        <v>2.0</v>
      </c>
      <c r="I146" s="50">
        <v>10413.0</v>
      </c>
    </row>
    <row r="147">
      <c r="A147" s="66">
        <v>7143.0</v>
      </c>
      <c r="B147" s="66">
        <v>64.0</v>
      </c>
      <c r="C147" s="66">
        <v>4.0</v>
      </c>
      <c r="D147" s="66">
        <v>9.0</v>
      </c>
      <c r="E147" s="66">
        <v>0.0</v>
      </c>
      <c r="F147" s="66" t="s">
        <v>2929</v>
      </c>
      <c r="G147" s="66">
        <v>6.0</v>
      </c>
      <c r="H147" s="81">
        <v>4.0</v>
      </c>
      <c r="I147" s="50">
        <v>42016.0</v>
      </c>
    </row>
    <row r="148">
      <c r="A148" s="66">
        <v>7144.0</v>
      </c>
      <c r="B148" s="66">
        <v>64.0</v>
      </c>
      <c r="C148" s="66">
        <v>5.0</v>
      </c>
      <c r="D148" s="66">
        <v>2.0</v>
      </c>
      <c r="E148" s="66">
        <v>0.0</v>
      </c>
      <c r="F148" s="66" t="s">
        <v>2930</v>
      </c>
      <c r="G148" s="66">
        <v>8.0</v>
      </c>
      <c r="H148" s="81">
        <v>1.0</v>
      </c>
      <c r="I148" s="50">
        <v>72016.0</v>
      </c>
    </row>
    <row r="149">
      <c r="A149" s="66">
        <v>7145.0</v>
      </c>
      <c r="B149" s="66">
        <v>23.0</v>
      </c>
      <c r="C149" s="66">
        <v>5.0</v>
      </c>
      <c r="D149" s="66">
        <v>7.0</v>
      </c>
      <c r="E149" s="66">
        <v>1.0</v>
      </c>
      <c r="F149" s="66" t="s">
        <v>2931</v>
      </c>
      <c r="G149" s="66">
        <v>8.0</v>
      </c>
      <c r="H149" s="81">
        <v>3.0</v>
      </c>
      <c r="I149" s="50">
        <v>32419.0</v>
      </c>
    </row>
    <row r="150">
      <c r="A150" s="66">
        <v>7146.0</v>
      </c>
      <c r="B150" s="66">
        <v>64.0</v>
      </c>
      <c r="C150" s="66">
        <v>5.0</v>
      </c>
      <c r="D150" s="66">
        <v>4.0</v>
      </c>
      <c r="E150" s="66">
        <v>1.0</v>
      </c>
      <c r="F150" s="66" t="s">
        <v>2932</v>
      </c>
      <c r="G150" s="66">
        <v>1.0</v>
      </c>
      <c r="H150" s="81">
        <v>1.0</v>
      </c>
      <c r="I150" s="50">
        <v>70416.0</v>
      </c>
    </row>
    <row r="151">
      <c r="A151" s="66">
        <v>7147.0</v>
      </c>
      <c r="B151" s="66">
        <v>23.0</v>
      </c>
      <c r="C151" s="66">
        <v>5.0</v>
      </c>
      <c r="D151" s="66">
        <v>9.0</v>
      </c>
      <c r="E151" s="66">
        <v>0.0</v>
      </c>
      <c r="F151" s="66" t="s">
        <v>2933</v>
      </c>
      <c r="G151" s="66">
        <v>2.0</v>
      </c>
      <c r="H151" s="81">
        <v>2.0</v>
      </c>
      <c r="I151" s="50">
        <v>81122.0</v>
      </c>
    </row>
    <row r="152">
      <c r="A152" s="66">
        <v>7148.0</v>
      </c>
      <c r="B152" s="66">
        <v>64.0</v>
      </c>
      <c r="C152" s="66">
        <v>5.0</v>
      </c>
      <c r="D152" s="66">
        <v>6.0</v>
      </c>
      <c r="E152" s="66">
        <v>1.0</v>
      </c>
      <c r="F152" s="66" t="s">
        <v>2934</v>
      </c>
      <c r="G152" s="66">
        <v>6.0</v>
      </c>
      <c r="H152" s="81">
        <v>4.0</v>
      </c>
      <c r="I152" s="50">
        <v>61718.0</v>
      </c>
    </row>
    <row r="153">
      <c r="A153" s="66">
        <v>7149.0</v>
      </c>
      <c r="B153" s="66">
        <v>64.0</v>
      </c>
      <c r="C153" s="66">
        <v>5.0</v>
      </c>
      <c r="D153" s="66">
        <v>7.0</v>
      </c>
      <c r="E153" s="66">
        <v>0.0</v>
      </c>
      <c r="F153" s="66" t="s">
        <v>2935</v>
      </c>
      <c r="G153" s="66">
        <v>2.0</v>
      </c>
      <c r="H153" s="81">
        <v>3.0</v>
      </c>
      <c r="I153" s="50">
        <v>110818.0</v>
      </c>
    </row>
    <row r="154">
      <c r="A154" s="66">
        <v>7150.0</v>
      </c>
      <c r="B154" s="66">
        <v>23.0</v>
      </c>
      <c r="C154" s="66">
        <v>6.0</v>
      </c>
      <c r="D154" s="66">
        <v>6.0</v>
      </c>
      <c r="E154" s="66">
        <v>1.0</v>
      </c>
      <c r="F154" s="66" t="s">
        <v>2936</v>
      </c>
      <c r="G154" s="66">
        <v>1.0</v>
      </c>
      <c r="H154" s="81">
        <v>5.0</v>
      </c>
      <c r="I154" s="50">
        <v>60918.0</v>
      </c>
    </row>
    <row r="155">
      <c r="A155" s="66">
        <v>7151.0</v>
      </c>
      <c r="B155" s="66">
        <v>64.0</v>
      </c>
      <c r="C155" s="66">
        <v>6.0</v>
      </c>
      <c r="D155" s="66">
        <v>3.0</v>
      </c>
      <c r="E155" s="66">
        <v>0.0</v>
      </c>
      <c r="F155" s="66" t="s">
        <v>2937</v>
      </c>
      <c r="G155" s="66">
        <v>5.0</v>
      </c>
      <c r="H155" s="81">
        <v>4.0</v>
      </c>
      <c r="I155" s="50">
        <v>82717.0</v>
      </c>
    </row>
    <row r="156">
      <c r="A156" s="66">
        <v>7152.0</v>
      </c>
      <c r="B156" s="66">
        <v>44.0</v>
      </c>
      <c r="C156" s="66">
        <v>1.0</v>
      </c>
      <c r="D156" s="66">
        <v>5.0</v>
      </c>
      <c r="E156" s="66">
        <v>1.0</v>
      </c>
      <c r="F156" s="66" t="s">
        <v>2938</v>
      </c>
      <c r="G156" s="66">
        <v>7.0</v>
      </c>
      <c r="H156" s="81">
        <v>2.0</v>
      </c>
      <c r="I156" s="50">
        <v>21621.0</v>
      </c>
    </row>
    <row r="157">
      <c r="A157" s="66">
        <v>7153.0</v>
      </c>
      <c r="B157" s="66">
        <v>23.0</v>
      </c>
      <c r="C157" s="66">
        <v>7.0</v>
      </c>
      <c r="D157" s="66">
        <v>2.0</v>
      </c>
      <c r="E157" s="66">
        <v>1.0</v>
      </c>
      <c r="F157" s="66" t="s">
        <v>2939</v>
      </c>
      <c r="G157" s="66">
        <v>5.0</v>
      </c>
      <c r="H157" s="81">
        <v>3.0</v>
      </c>
      <c r="I157" s="50">
        <v>22216.0</v>
      </c>
    </row>
    <row r="158">
      <c r="A158" s="66">
        <v>7154.0</v>
      </c>
      <c r="B158" s="66">
        <v>64.0</v>
      </c>
      <c r="C158" s="66">
        <v>6.0</v>
      </c>
      <c r="D158" s="66">
        <v>9.0</v>
      </c>
      <c r="E158" s="66">
        <v>1.0</v>
      </c>
      <c r="F158" s="66" t="s">
        <v>2940</v>
      </c>
      <c r="G158" s="66">
        <v>4.0</v>
      </c>
      <c r="H158" s="81">
        <v>5.0</v>
      </c>
      <c r="I158" s="50">
        <v>50922.0</v>
      </c>
    </row>
    <row r="159">
      <c r="A159" s="66">
        <v>7155.0</v>
      </c>
      <c r="B159" s="66">
        <v>85.0</v>
      </c>
      <c r="C159" s="66">
        <v>1.0</v>
      </c>
      <c r="D159" s="66">
        <v>9.0</v>
      </c>
      <c r="E159" s="66">
        <v>1.0</v>
      </c>
      <c r="F159" s="66" t="s">
        <v>2941</v>
      </c>
      <c r="G159" s="66">
        <v>4.0</v>
      </c>
      <c r="H159" s="81">
        <v>2.0</v>
      </c>
      <c r="I159" s="50">
        <v>82621.0</v>
      </c>
    </row>
    <row r="160">
      <c r="A160" s="66">
        <v>7156.0</v>
      </c>
      <c r="B160" s="66">
        <v>44.0</v>
      </c>
      <c r="C160" s="66">
        <v>2.0</v>
      </c>
      <c r="D160" s="66">
        <v>5.0</v>
      </c>
      <c r="E160" s="66">
        <v>0.0</v>
      </c>
      <c r="F160" s="66" t="s">
        <v>2942</v>
      </c>
      <c r="G160" s="66">
        <v>4.0</v>
      </c>
      <c r="H160" s="81">
        <v>5.0</v>
      </c>
      <c r="I160" s="50">
        <v>32120.0</v>
      </c>
    </row>
    <row r="161">
      <c r="A161" s="66">
        <v>7157.0</v>
      </c>
      <c r="B161" s="66">
        <v>85.0</v>
      </c>
      <c r="C161" s="66">
        <v>2.0</v>
      </c>
      <c r="D161" s="66">
        <v>1.0</v>
      </c>
      <c r="E161" s="66">
        <v>1.0</v>
      </c>
      <c r="F161" s="66" t="s">
        <v>2943</v>
      </c>
      <c r="G161" s="66">
        <v>1.0</v>
      </c>
      <c r="H161" s="81">
        <v>2.0</v>
      </c>
      <c r="I161" s="50">
        <v>41117.0</v>
      </c>
    </row>
    <row r="162">
      <c r="A162" s="66">
        <v>7158.0</v>
      </c>
      <c r="B162" s="66">
        <v>85.0</v>
      </c>
      <c r="C162" s="66">
        <v>2.0</v>
      </c>
      <c r="D162" s="66">
        <v>8.0</v>
      </c>
      <c r="E162" s="66">
        <v>1.0</v>
      </c>
      <c r="F162" s="66" t="s">
        <v>2944</v>
      </c>
      <c r="G162" s="66">
        <v>7.0</v>
      </c>
      <c r="H162" s="81">
        <v>1.0</v>
      </c>
      <c r="I162" s="50">
        <v>91716.0</v>
      </c>
    </row>
    <row r="163">
      <c r="A163" s="66">
        <v>7159.0</v>
      </c>
      <c r="B163" s="66">
        <v>64.0</v>
      </c>
      <c r="C163" s="66">
        <v>8.0</v>
      </c>
      <c r="D163" s="66">
        <v>1.0</v>
      </c>
      <c r="E163" s="66">
        <v>0.0</v>
      </c>
      <c r="F163" s="66" t="s">
        <v>2945</v>
      </c>
      <c r="G163" s="66">
        <v>4.0</v>
      </c>
      <c r="H163" s="81">
        <v>3.0</v>
      </c>
      <c r="I163" s="50">
        <v>22013.0</v>
      </c>
    </row>
    <row r="164">
      <c r="A164" s="66">
        <v>7160.0</v>
      </c>
      <c r="B164" s="66">
        <v>23.0</v>
      </c>
      <c r="C164" s="66">
        <v>8.0</v>
      </c>
      <c r="D164" s="66">
        <v>6.0</v>
      </c>
      <c r="E164" s="66">
        <v>0.0</v>
      </c>
      <c r="F164" s="66" t="s">
        <v>2946</v>
      </c>
      <c r="G164" s="66">
        <v>3.0</v>
      </c>
      <c r="H164" s="81">
        <v>3.0</v>
      </c>
      <c r="I164" s="50">
        <v>101013.0</v>
      </c>
    </row>
    <row r="165">
      <c r="A165" s="66">
        <v>7161.0</v>
      </c>
      <c r="B165" s="66">
        <v>23.0</v>
      </c>
      <c r="C165" s="66">
        <v>8.0</v>
      </c>
      <c r="D165" s="66">
        <v>7.0</v>
      </c>
      <c r="E165" s="66">
        <v>1.0</v>
      </c>
      <c r="F165" s="66" t="s">
        <v>2947</v>
      </c>
      <c r="G165" s="66">
        <v>9.0</v>
      </c>
      <c r="H165" s="81">
        <v>3.0</v>
      </c>
      <c r="I165" s="50">
        <v>42813.0</v>
      </c>
    </row>
    <row r="166">
      <c r="A166" s="66">
        <v>7162.0</v>
      </c>
      <c r="B166" s="66">
        <v>44.0</v>
      </c>
      <c r="C166" s="66">
        <v>3.0</v>
      </c>
      <c r="D166" s="66">
        <v>9.0</v>
      </c>
      <c r="E166" s="66">
        <v>0.0</v>
      </c>
      <c r="F166" s="66" t="s">
        <v>2948</v>
      </c>
      <c r="G166" s="66">
        <v>1.0</v>
      </c>
      <c r="H166" s="81">
        <v>5.0</v>
      </c>
      <c r="I166" s="50">
        <v>92019.0</v>
      </c>
    </row>
    <row r="167">
      <c r="A167" s="66">
        <v>7163.0</v>
      </c>
      <c r="B167" s="66">
        <v>85.0</v>
      </c>
      <c r="C167" s="66">
        <v>3.0</v>
      </c>
      <c r="D167" s="66">
        <v>6.0</v>
      </c>
      <c r="E167" s="66">
        <v>1.0</v>
      </c>
      <c r="F167" s="66" t="s">
        <v>2949</v>
      </c>
      <c r="G167" s="66">
        <v>9.0</v>
      </c>
      <c r="H167" s="81">
        <v>2.0</v>
      </c>
      <c r="I167" s="50">
        <v>82321.0</v>
      </c>
    </row>
    <row r="168">
      <c r="A168" s="66">
        <v>7164.0</v>
      </c>
      <c r="B168" s="66">
        <v>23.0</v>
      </c>
      <c r="C168" s="66">
        <v>9.0</v>
      </c>
      <c r="D168" s="66">
        <v>3.0</v>
      </c>
      <c r="E168" s="66">
        <v>0.0</v>
      </c>
      <c r="F168" s="66" t="s">
        <v>2950</v>
      </c>
      <c r="G168" s="66">
        <v>5.0</v>
      </c>
      <c r="H168" s="81">
        <v>1.0</v>
      </c>
      <c r="I168" s="50">
        <v>42113.0</v>
      </c>
    </row>
    <row r="169">
      <c r="A169" s="66">
        <v>7165.0</v>
      </c>
      <c r="B169" s="66">
        <v>44.0</v>
      </c>
      <c r="C169" s="66">
        <v>4.0</v>
      </c>
      <c r="D169" s="66">
        <v>5.0</v>
      </c>
      <c r="E169" s="66">
        <v>1.0</v>
      </c>
      <c r="F169" s="66" t="s">
        <v>2951</v>
      </c>
      <c r="G169" s="66">
        <v>9.0</v>
      </c>
      <c r="H169" s="81">
        <v>1.0</v>
      </c>
      <c r="I169" s="50">
        <v>101914.0</v>
      </c>
    </row>
    <row r="170">
      <c r="A170" s="66">
        <v>7166.0</v>
      </c>
      <c r="B170" s="66">
        <v>64.0</v>
      </c>
      <c r="C170" s="66">
        <v>9.0</v>
      </c>
      <c r="D170" s="66">
        <v>4.0</v>
      </c>
      <c r="E170" s="66">
        <v>0.0</v>
      </c>
      <c r="F170" s="66" t="s">
        <v>2952</v>
      </c>
      <c r="G170" s="66">
        <v>4.0</v>
      </c>
      <c r="H170" s="81">
        <v>1.0</v>
      </c>
      <c r="I170" s="50">
        <v>92221.0</v>
      </c>
    </row>
    <row r="171">
      <c r="A171" s="66">
        <v>7167.0</v>
      </c>
      <c r="B171" s="66">
        <v>85.0</v>
      </c>
      <c r="C171" s="66">
        <v>4.0</v>
      </c>
      <c r="D171" s="66">
        <v>3.0</v>
      </c>
      <c r="E171" s="66">
        <v>1.0</v>
      </c>
      <c r="F171" s="66" t="s">
        <v>2953</v>
      </c>
      <c r="G171" s="66">
        <v>2.0</v>
      </c>
      <c r="H171" s="81">
        <v>5.0</v>
      </c>
      <c r="I171" s="50">
        <v>111419.0</v>
      </c>
    </row>
    <row r="172">
      <c r="A172" s="66">
        <v>7168.0</v>
      </c>
      <c r="B172" s="66">
        <v>85.0</v>
      </c>
      <c r="C172" s="66">
        <v>4.0</v>
      </c>
      <c r="D172" s="66">
        <v>2.0</v>
      </c>
      <c r="E172" s="66">
        <v>0.0</v>
      </c>
      <c r="F172" s="66" t="s">
        <v>2954</v>
      </c>
      <c r="G172" s="66">
        <v>4.0</v>
      </c>
      <c r="H172" s="81">
        <v>5.0</v>
      </c>
      <c r="I172" s="50">
        <v>51720.0</v>
      </c>
    </row>
    <row r="173">
      <c r="A173" s="66">
        <v>7169.0</v>
      </c>
      <c r="B173" s="66">
        <v>85.0</v>
      </c>
      <c r="C173" s="66">
        <v>4.0</v>
      </c>
      <c r="D173" s="66">
        <v>5.0</v>
      </c>
      <c r="E173" s="66">
        <v>0.0</v>
      </c>
      <c r="F173" s="66" t="s">
        <v>2955</v>
      </c>
      <c r="G173" s="66">
        <v>1.0</v>
      </c>
      <c r="H173" s="81">
        <v>1.0</v>
      </c>
      <c r="I173" s="50">
        <v>82920.0</v>
      </c>
    </row>
    <row r="174">
      <c r="A174" s="66">
        <v>7170.0</v>
      </c>
      <c r="B174" s="66">
        <v>85.0</v>
      </c>
      <c r="C174" s="66">
        <v>4.0</v>
      </c>
      <c r="D174" s="66">
        <v>8.0</v>
      </c>
      <c r="E174" s="66">
        <v>1.0</v>
      </c>
      <c r="F174" s="66" t="s">
        <v>2956</v>
      </c>
      <c r="G174" s="66">
        <v>8.0</v>
      </c>
      <c r="H174" s="81">
        <v>5.0</v>
      </c>
      <c r="I174" s="50">
        <v>111819.0</v>
      </c>
    </row>
    <row r="175">
      <c r="A175" s="66">
        <v>7171.0</v>
      </c>
      <c r="B175" s="66">
        <v>24.0</v>
      </c>
      <c r="C175" s="66">
        <v>1.0</v>
      </c>
      <c r="D175" s="66">
        <v>7.0</v>
      </c>
      <c r="E175" s="66">
        <v>0.0</v>
      </c>
      <c r="F175" s="66" t="s">
        <v>2957</v>
      </c>
      <c r="G175" s="66">
        <v>3.0</v>
      </c>
      <c r="H175" s="81">
        <v>3.0</v>
      </c>
      <c r="I175" s="50">
        <v>81717.0</v>
      </c>
    </row>
    <row r="176">
      <c r="A176" s="66">
        <v>7172.0</v>
      </c>
      <c r="B176" s="66">
        <v>85.0</v>
      </c>
      <c r="C176" s="66">
        <v>6.0</v>
      </c>
      <c r="D176" s="66">
        <v>2.0</v>
      </c>
      <c r="E176" s="66">
        <v>0.0</v>
      </c>
      <c r="F176" s="66" t="s">
        <v>2958</v>
      </c>
      <c r="G176" s="66">
        <v>3.0</v>
      </c>
      <c r="H176" s="81">
        <v>2.0</v>
      </c>
      <c r="I176" s="50">
        <v>50521.0</v>
      </c>
    </row>
    <row r="177">
      <c r="A177" s="66">
        <v>7173.0</v>
      </c>
      <c r="B177" s="66">
        <v>85.0</v>
      </c>
      <c r="C177" s="66">
        <v>6.0</v>
      </c>
      <c r="D177" s="66">
        <v>3.0</v>
      </c>
      <c r="E177" s="66">
        <v>0.0</v>
      </c>
      <c r="F177" s="66" t="s">
        <v>2959</v>
      </c>
      <c r="G177" s="66">
        <v>2.0</v>
      </c>
      <c r="H177" s="81">
        <v>2.0</v>
      </c>
      <c r="I177" s="50">
        <v>101917.0</v>
      </c>
    </row>
    <row r="178">
      <c r="A178" s="66">
        <v>7174.0</v>
      </c>
      <c r="B178" s="66">
        <v>65.0</v>
      </c>
      <c r="C178" s="66">
        <v>1.0</v>
      </c>
      <c r="D178" s="66">
        <v>6.0</v>
      </c>
      <c r="E178" s="66">
        <v>1.0</v>
      </c>
      <c r="F178" s="66" t="s">
        <v>2960</v>
      </c>
      <c r="G178" s="66">
        <v>5.0</v>
      </c>
      <c r="H178" s="81">
        <v>2.0</v>
      </c>
      <c r="I178" s="50">
        <v>61913.0</v>
      </c>
    </row>
    <row r="179">
      <c r="A179" s="66">
        <v>7175.0</v>
      </c>
      <c r="B179" s="66">
        <v>65.0</v>
      </c>
      <c r="C179" s="66">
        <v>1.0</v>
      </c>
      <c r="D179" s="66">
        <v>9.0</v>
      </c>
      <c r="E179" s="66">
        <v>1.0</v>
      </c>
      <c r="F179" s="66" t="s">
        <v>2961</v>
      </c>
      <c r="G179" s="66">
        <v>3.0</v>
      </c>
      <c r="H179" s="81">
        <v>4.0</v>
      </c>
      <c r="I179" s="50">
        <v>91317.0</v>
      </c>
    </row>
    <row r="180">
      <c r="A180" s="66">
        <v>7176.0</v>
      </c>
      <c r="B180" s="66">
        <v>65.0</v>
      </c>
      <c r="C180" s="66">
        <v>2.0</v>
      </c>
      <c r="D180" s="66">
        <v>1.0</v>
      </c>
      <c r="E180" s="66">
        <v>1.0</v>
      </c>
      <c r="F180" s="66" t="s">
        <v>2962</v>
      </c>
      <c r="G180" s="66">
        <v>5.0</v>
      </c>
      <c r="H180" s="81">
        <v>4.0</v>
      </c>
      <c r="I180" s="50">
        <v>82618.0</v>
      </c>
    </row>
    <row r="181">
      <c r="A181" s="66">
        <v>7177.0</v>
      </c>
      <c r="B181" s="66">
        <v>85.0</v>
      </c>
      <c r="C181" s="66">
        <v>7.0</v>
      </c>
      <c r="D181" s="66">
        <v>3.0</v>
      </c>
      <c r="E181" s="66">
        <v>1.0</v>
      </c>
      <c r="F181" s="66" t="s">
        <v>2963</v>
      </c>
      <c r="G181" s="66">
        <v>9.0</v>
      </c>
      <c r="H181" s="81">
        <v>1.0</v>
      </c>
      <c r="I181" s="50">
        <v>81121.0</v>
      </c>
    </row>
    <row r="182">
      <c r="A182" s="66">
        <v>7178.0</v>
      </c>
      <c r="B182" s="66">
        <v>65.0</v>
      </c>
      <c r="C182" s="66">
        <v>2.0</v>
      </c>
      <c r="D182" s="66">
        <v>8.0</v>
      </c>
      <c r="E182" s="66">
        <v>0.0</v>
      </c>
      <c r="F182" s="66" t="s">
        <v>2964</v>
      </c>
      <c r="G182" s="66">
        <v>8.0</v>
      </c>
      <c r="H182" s="81">
        <v>5.0</v>
      </c>
      <c r="I182" s="50">
        <v>40914.0</v>
      </c>
    </row>
    <row r="183">
      <c r="A183" s="66">
        <v>7179.0</v>
      </c>
      <c r="B183" s="66">
        <v>24.0</v>
      </c>
      <c r="C183" s="66">
        <v>3.0</v>
      </c>
      <c r="D183" s="66">
        <v>3.0</v>
      </c>
      <c r="E183" s="66">
        <v>1.0</v>
      </c>
      <c r="F183" s="66" t="s">
        <v>2965</v>
      </c>
      <c r="G183" s="66">
        <v>5.0</v>
      </c>
      <c r="H183" s="81">
        <v>4.0</v>
      </c>
      <c r="I183" s="50">
        <v>93022.0</v>
      </c>
    </row>
    <row r="184">
      <c r="A184" s="66">
        <v>7180.0</v>
      </c>
      <c r="B184" s="66">
        <v>85.0</v>
      </c>
      <c r="C184" s="66">
        <v>7.0</v>
      </c>
      <c r="D184" s="66">
        <v>9.0</v>
      </c>
      <c r="E184" s="66">
        <v>0.0</v>
      </c>
      <c r="F184" s="66" t="s">
        <v>2966</v>
      </c>
      <c r="G184" s="66">
        <v>7.0</v>
      </c>
      <c r="H184" s="81">
        <v>4.0</v>
      </c>
      <c r="I184" s="50">
        <v>10116.0</v>
      </c>
    </row>
    <row r="185">
      <c r="A185" s="66">
        <v>7181.0</v>
      </c>
      <c r="B185" s="66">
        <v>44.0</v>
      </c>
      <c r="C185" s="66">
        <v>8.0</v>
      </c>
      <c r="D185" s="66">
        <v>3.0</v>
      </c>
      <c r="E185" s="66">
        <v>0.0</v>
      </c>
      <c r="F185" s="66" t="s">
        <v>2967</v>
      </c>
      <c r="G185" s="66">
        <v>7.0</v>
      </c>
      <c r="H185" s="81">
        <v>1.0</v>
      </c>
      <c r="I185" s="50">
        <v>53118.0</v>
      </c>
    </row>
    <row r="186">
      <c r="A186" s="66">
        <v>7182.0</v>
      </c>
      <c r="B186" s="66">
        <v>65.0</v>
      </c>
      <c r="C186" s="66">
        <v>3.0</v>
      </c>
      <c r="D186" s="66">
        <v>7.0</v>
      </c>
      <c r="E186" s="66">
        <v>0.0</v>
      </c>
      <c r="F186" s="66" t="s">
        <v>2968</v>
      </c>
      <c r="G186" s="66">
        <v>8.0</v>
      </c>
      <c r="H186" s="81">
        <v>4.0</v>
      </c>
      <c r="I186" s="50">
        <v>82014.0</v>
      </c>
    </row>
    <row r="187">
      <c r="A187" s="66">
        <v>7183.0</v>
      </c>
      <c r="B187" s="66">
        <v>24.0</v>
      </c>
      <c r="C187" s="66">
        <v>4.0</v>
      </c>
      <c r="D187" s="66">
        <v>1.0</v>
      </c>
      <c r="E187" s="66">
        <v>0.0</v>
      </c>
      <c r="F187" s="66" t="s">
        <v>2969</v>
      </c>
      <c r="G187" s="66">
        <v>9.0</v>
      </c>
      <c r="H187" s="81">
        <v>4.0</v>
      </c>
      <c r="I187" s="50">
        <v>20320.0</v>
      </c>
    </row>
    <row r="188">
      <c r="A188" s="66">
        <v>7184.0</v>
      </c>
      <c r="B188" s="66">
        <v>65.0</v>
      </c>
      <c r="C188" s="66">
        <v>3.0</v>
      </c>
      <c r="D188" s="66">
        <v>9.0</v>
      </c>
      <c r="E188" s="66">
        <v>1.0</v>
      </c>
      <c r="F188" s="66" t="s">
        <v>2970</v>
      </c>
      <c r="G188" s="66">
        <v>1.0</v>
      </c>
      <c r="H188" s="81">
        <v>3.0</v>
      </c>
      <c r="I188" s="50">
        <v>32313.0</v>
      </c>
    </row>
    <row r="189">
      <c r="A189" s="66">
        <v>7185.0</v>
      </c>
      <c r="B189" s="66">
        <v>85.0</v>
      </c>
      <c r="C189" s="66">
        <v>8.0</v>
      </c>
      <c r="D189" s="66">
        <v>8.0</v>
      </c>
      <c r="E189" s="66">
        <v>1.0</v>
      </c>
      <c r="F189" s="66" t="s">
        <v>2971</v>
      </c>
      <c r="G189" s="66">
        <v>3.0</v>
      </c>
      <c r="H189" s="81">
        <v>3.0</v>
      </c>
      <c r="I189" s="50">
        <v>73116.0</v>
      </c>
    </row>
    <row r="190">
      <c r="A190" s="66">
        <v>7186.0</v>
      </c>
      <c r="B190" s="66">
        <v>65.0</v>
      </c>
      <c r="C190" s="66">
        <v>4.0</v>
      </c>
      <c r="D190" s="66">
        <v>1.0</v>
      </c>
      <c r="E190" s="66">
        <v>1.0</v>
      </c>
      <c r="F190" s="66" t="s">
        <v>2972</v>
      </c>
      <c r="G190" s="66">
        <v>1.0</v>
      </c>
      <c r="H190" s="81">
        <v>5.0</v>
      </c>
      <c r="I190" s="50">
        <v>91620.0</v>
      </c>
    </row>
    <row r="191">
      <c r="A191" s="66">
        <v>7187.0</v>
      </c>
      <c r="B191" s="66">
        <v>24.0</v>
      </c>
      <c r="C191" s="66">
        <v>4.0</v>
      </c>
      <c r="D191" s="66">
        <v>6.0</v>
      </c>
      <c r="E191" s="66">
        <v>1.0</v>
      </c>
      <c r="F191" s="66" t="s">
        <v>2973</v>
      </c>
      <c r="G191" s="66">
        <v>4.0</v>
      </c>
      <c r="H191" s="81">
        <v>3.0</v>
      </c>
      <c r="I191" s="50">
        <v>40714.0</v>
      </c>
    </row>
    <row r="192">
      <c r="A192" s="66">
        <v>7188.0</v>
      </c>
      <c r="B192" s="66">
        <v>44.0</v>
      </c>
      <c r="C192" s="66">
        <v>9.0</v>
      </c>
      <c r="D192" s="66">
        <v>4.0</v>
      </c>
      <c r="E192" s="66">
        <v>1.0</v>
      </c>
      <c r="F192" s="66" t="s">
        <v>2974</v>
      </c>
      <c r="G192" s="66">
        <v>9.0</v>
      </c>
      <c r="H192" s="81">
        <v>2.0</v>
      </c>
      <c r="I192" s="50">
        <v>92622.0</v>
      </c>
    </row>
    <row r="193">
      <c r="A193" s="66">
        <v>7189.0</v>
      </c>
      <c r="B193" s="66">
        <v>65.0</v>
      </c>
      <c r="C193" s="66">
        <v>4.0</v>
      </c>
      <c r="D193" s="66">
        <v>4.0</v>
      </c>
      <c r="E193" s="66">
        <v>0.0</v>
      </c>
      <c r="F193" s="66" t="s">
        <v>2975</v>
      </c>
      <c r="G193" s="66">
        <v>1.0</v>
      </c>
      <c r="H193" s="81">
        <v>5.0</v>
      </c>
      <c r="I193" s="50">
        <v>101016.0</v>
      </c>
    </row>
    <row r="194">
      <c r="A194" s="66">
        <v>7190.0</v>
      </c>
      <c r="B194" s="66">
        <v>24.0</v>
      </c>
      <c r="C194" s="66">
        <v>4.0</v>
      </c>
      <c r="D194" s="66">
        <v>2.0</v>
      </c>
      <c r="E194" s="66">
        <v>0.0</v>
      </c>
      <c r="F194" s="66" t="s">
        <v>2976</v>
      </c>
      <c r="G194" s="66">
        <v>9.0</v>
      </c>
      <c r="H194" s="81">
        <v>4.0</v>
      </c>
      <c r="I194" s="50">
        <v>92715.0</v>
      </c>
    </row>
    <row r="195">
      <c r="A195" s="66">
        <v>7191.0</v>
      </c>
      <c r="B195" s="66">
        <v>85.0</v>
      </c>
      <c r="C195" s="66">
        <v>9.0</v>
      </c>
      <c r="D195" s="66">
        <v>5.0</v>
      </c>
      <c r="E195" s="66">
        <v>1.0</v>
      </c>
      <c r="F195" s="66" t="s">
        <v>2977</v>
      </c>
      <c r="G195" s="66">
        <v>9.0</v>
      </c>
      <c r="H195" s="81">
        <v>5.0</v>
      </c>
      <c r="I195" s="50">
        <v>102318.0</v>
      </c>
    </row>
    <row r="196">
      <c r="A196" s="66">
        <v>7192.0</v>
      </c>
      <c r="B196" s="66">
        <v>85.0</v>
      </c>
      <c r="C196" s="66">
        <v>9.0</v>
      </c>
      <c r="D196" s="66">
        <v>7.0</v>
      </c>
      <c r="E196" s="66">
        <v>1.0</v>
      </c>
      <c r="F196" s="66" t="s">
        <v>2978</v>
      </c>
      <c r="G196" s="66">
        <v>8.0</v>
      </c>
      <c r="H196" s="81">
        <v>2.0</v>
      </c>
      <c r="I196" s="50">
        <v>80418.0</v>
      </c>
    </row>
    <row r="197">
      <c r="A197" s="66">
        <v>7193.0</v>
      </c>
      <c r="B197" s="66">
        <v>24.0</v>
      </c>
      <c r="C197" s="66">
        <v>5.0</v>
      </c>
      <c r="D197" s="66">
        <v>4.0</v>
      </c>
      <c r="E197" s="66">
        <v>1.0</v>
      </c>
      <c r="F197" s="66" t="s">
        <v>2979</v>
      </c>
      <c r="G197" s="66">
        <v>2.0</v>
      </c>
      <c r="H197" s="81">
        <v>4.0</v>
      </c>
      <c r="I197" s="50">
        <v>40115.0</v>
      </c>
    </row>
    <row r="198">
      <c r="A198" s="66">
        <v>7194.0</v>
      </c>
      <c r="B198" s="66">
        <v>24.0</v>
      </c>
      <c r="C198" s="66">
        <v>5.0</v>
      </c>
      <c r="D198" s="66">
        <v>8.0</v>
      </c>
      <c r="E198" s="66">
        <v>1.0</v>
      </c>
      <c r="F198" s="66" t="s">
        <v>2980</v>
      </c>
      <c r="G198" s="66">
        <v>7.0</v>
      </c>
      <c r="H198" s="81">
        <v>2.0</v>
      </c>
      <c r="I198" s="50">
        <v>53019.0</v>
      </c>
    </row>
    <row r="199">
      <c r="A199" s="66">
        <v>7195.0</v>
      </c>
      <c r="B199" s="66">
        <v>24.0</v>
      </c>
      <c r="C199" s="66">
        <v>6.0</v>
      </c>
      <c r="D199" s="66">
        <v>2.0</v>
      </c>
      <c r="E199" s="66">
        <v>1.0</v>
      </c>
      <c r="F199" s="66" t="s">
        <v>2981</v>
      </c>
      <c r="G199" s="66">
        <v>9.0</v>
      </c>
      <c r="H199" s="81">
        <v>3.0</v>
      </c>
      <c r="I199" s="50">
        <v>123016.0</v>
      </c>
    </row>
    <row r="200">
      <c r="A200" s="66">
        <v>7196.0</v>
      </c>
      <c r="B200" s="66">
        <v>24.0</v>
      </c>
      <c r="C200" s="66">
        <v>6.0</v>
      </c>
      <c r="D200" s="66">
        <v>4.0</v>
      </c>
      <c r="E200" s="66">
        <v>0.0</v>
      </c>
      <c r="F200" s="66" t="s">
        <v>2982</v>
      </c>
      <c r="G200" s="66">
        <v>9.0</v>
      </c>
      <c r="H200" s="81">
        <v>3.0</v>
      </c>
      <c r="I200" s="50">
        <v>112914.0</v>
      </c>
    </row>
    <row r="201">
      <c r="A201" s="66">
        <v>7197.0</v>
      </c>
      <c r="B201" s="66">
        <v>24.0</v>
      </c>
      <c r="C201" s="66">
        <v>6.0</v>
      </c>
      <c r="D201" s="66">
        <v>5.0</v>
      </c>
      <c r="E201" s="66">
        <v>0.0</v>
      </c>
      <c r="F201" s="66" t="s">
        <v>2983</v>
      </c>
      <c r="G201" s="66">
        <v>9.0</v>
      </c>
      <c r="H201" s="81">
        <v>3.0</v>
      </c>
      <c r="I201" s="50">
        <v>22021.0</v>
      </c>
    </row>
    <row r="202">
      <c r="A202" s="66">
        <v>7198.0</v>
      </c>
      <c r="B202" s="66">
        <v>86.0</v>
      </c>
      <c r="C202" s="66">
        <v>1.0</v>
      </c>
      <c r="D202" s="66">
        <v>1.0</v>
      </c>
      <c r="E202" s="66">
        <v>0.0</v>
      </c>
      <c r="F202" s="66" t="s">
        <v>2984</v>
      </c>
      <c r="G202" s="66">
        <v>9.0</v>
      </c>
      <c r="H202" s="81">
        <v>4.0</v>
      </c>
      <c r="I202" s="50">
        <v>60616.0</v>
      </c>
    </row>
    <row r="203">
      <c r="A203" s="66">
        <v>7199.0</v>
      </c>
      <c r="B203" s="66">
        <v>45.0</v>
      </c>
      <c r="C203" s="66">
        <v>1.0</v>
      </c>
      <c r="D203" s="66">
        <v>6.0</v>
      </c>
      <c r="E203" s="66">
        <v>0.0</v>
      </c>
      <c r="F203" s="66" t="s">
        <v>2985</v>
      </c>
      <c r="G203" s="66">
        <v>1.0</v>
      </c>
      <c r="H203" s="81">
        <v>4.0</v>
      </c>
      <c r="I203" s="50">
        <v>52015.0</v>
      </c>
    </row>
    <row r="204">
      <c r="A204" s="66">
        <v>7200.0</v>
      </c>
      <c r="B204" s="66">
        <v>86.0</v>
      </c>
      <c r="C204" s="66">
        <v>1.0</v>
      </c>
      <c r="D204" s="66">
        <v>2.0</v>
      </c>
      <c r="E204" s="66">
        <v>0.0</v>
      </c>
      <c r="F204" s="66" t="s">
        <v>2986</v>
      </c>
      <c r="G204" s="66">
        <v>8.0</v>
      </c>
      <c r="H204" s="81">
        <v>5.0</v>
      </c>
      <c r="I204" s="50">
        <v>11522.0</v>
      </c>
    </row>
    <row r="205">
      <c r="A205" s="66">
        <v>7201.0</v>
      </c>
      <c r="B205" s="66">
        <v>65.0</v>
      </c>
      <c r="C205" s="66">
        <v>6.0</v>
      </c>
      <c r="D205" s="66">
        <v>6.0</v>
      </c>
      <c r="E205" s="66">
        <v>1.0</v>
      </c>
      <c r="F205" s="66" t="s">
        <v>2987</v>
      </c>
      <c r="G205" s="66">
        <v>2.0</v>
      </c>
      <c r="H205" s="81">
        <v>5.0</v>
      </c>
      <c r="I205" s="50">
        <v>71517.0</v>
      </c>
    </row>
    <row r="206">
      <c r="A206" s="66">
        <v>7202.0</v>
      </c>
      <c r="B206" s="66">
        <v>65.0</v>
      </c>
      <c r="C206" s="66">
        <v>6.0</v>
      </c>
      <c r="D206" s="66">
        <v>7.0</v>
      </c>
      <c r="E206" s="66">
        <v>0.0</v>
      </c>
      <c r="F206" s="66" t="s">
        <v>2988</v>
      </c>
      <c r="G206" s="66">
        <v>2.0</v>
      </c>
      <c r="H206" s="81">
        <v>4.0</v>
      </c>
      <c r="I206" s="50">
        <v>91014.0</v>
      </c>
    </row>
    <row r="207">
      <c r="A207" s="66">
        <v>7203.0</v>
      </c>
      <c r="B207" s="66">
        <v>24.0</v>
      </c>
      <c r="C207" s="66">
        <v>7.0</v>
      </c>
      <c r="D207" s="66">
        <v>2.0</v>
      </c>
      <c r="E207" s="66">
        <v>1.0</v>
      </c>
      <c r="F207" s="66" t="s">
        <v>2989</v>
      </c>
      <c r="G207" s="66">
        <v>1.0</v>
      </c>
      <c r="H207" s="81">
        <v>4.0</v>
      </c>
      <c r="I207" s="50">
        <v>30116.0</v>
      </c>
    </row>
    <row r="208">
      <c r="A208" s="66">
        <v>7204.0</v>
      </c>
      <c r="B208" s="66">
        <v>86.0</v>
      </c>
      <c r="C208" s="66">
        <v>1.0</v>
      </c>
      <c r="D208" s="66">
        <v>7.0</v>
      </c>
      <c r="E208" s="66">
        <v>1.0</v>
      </c>
      <c r="F208" s="66" t="s">
        <v>2990</v>
      </c>
      <c r="G208" s="66">
        <v>9.0</v>
      </c>
      <c r="H208" s="81">
        <v>1.0</v>
      </c>
      <c r="I208" s="50">
        <v>90521.0</v>
      </c>
    </row>
    <row r="209">
      <c r="A209" s="66">
        <v>7205.0</v>
      </c>
      <c r="B209" s="66">
        <v>45.0</v>
      </c>
      <c r="C209" s="66">
        <v>1.0</v>
      </c>
      <c r="D209" s="66">
        <v>7.0</v>
      </c>
      <c r="E209" s="66">
        <v>1.0</v>
      </c>
      <c r="F209" s="66" t="s">
        <v>2991</v>
      </c>
      <c r="G209" s="66">
        <v>6.0</v>
      </c>
      <c r="H209" s="81">
        <v>2.0</v>
      </c>
      <c r="I209" s="50">
        <v>50216.0</v>
      </c>
    </row>
    <row r="210">
      <c r="A210" s="66">
        <v>7206.0</v>
      </c>
      <c r="B210" s="66">
        <v>24.0</v>
      </c>
      <c r="C210" s="66">
        <v>7.0</v>
      </c>
      <c r="D210" s="66">
        <v>6.0</v>
      </c>
      <c r="E210" s="66">
        <v>1.0</v>
      </c>
      <c r="F210" s="66" t="s">
        <v>2992</v>
      </c>
      <c r="G210" s="66">
        <v>4.0</v>
      </c>
      <c r="H210" s="81">
        <v>4.0</v>
      </c>
      <c r="I210" s="50">
        <v>92815.0</v>
      </c>
    </row>
    <row r="211">
      <c r="A211" s="66">
        <v>7207.0</v>
      </c>
      <c r="B211" s="66">
        <v>86.0</v>
      </c>
      <c r="C211" s="66">
        <v>2.0</v>
      </c>
      <c r="D211" s="66">
        <v>5.0</v>
      </c>
      <c r="E211" s="66">
        <v>1.0</v>
      </c>
      <c r="F211" s="66" t="s">
        <v>2993</v>
      </c>
      <c r="G211" s="66">
        <v>6.0</v>
      </c>
      <c r="H211" s="81">
        <v>1.0</v>
      </c>
      <c r="I211" s="50">
        <v>122714.0</v>
      </c>
    </row>
    <row r="212">
      <c r="A212" s="66">
        <v>7208.0</v>
      </c>
      <c r="B212" s="66">
        <v>86.0</v>
      </c>
      <c r="C212" s="66">
        <v>2.0</v>
      </c>
      <c r="D212" s="66">
        <v>6.0</v>
      </c>
      <c r="E212" s="66">
        <v>1.0</v>
      </c>
      <c r="F212" s="66" t="s">
        <v>2994</v>
      </c>
      <c r="G212" s="66">
        <v>6.0</v>
      </c>
      <c r="H212" s="81">
        <v>5.0</v>
      </c>
      <c r="I212" s="50">
        <v>32015.0</v>
      </c>
    </row>
    <row r="213">
      <c r="A213" s="66">
        <v>7209.0</v>
      </c>
      <c r="B213" s="66">
        <v>65.0</v>
      </c>
      <c r="C213" s="66">
        <v>7.0</v>
      </c>
      <c r="D213" s="66">
        <v>8.0</v>
      </c>
      <c r="E213" s="66">
        <v>1.0</v>
      </c>
      <c r="F213" s="66" t="s">
        <v>2995</v>
      </c>
      <c r="G213" s="66">
        <v>1.0</v>
      </c>
      <c r="H213" s="81">
        <v>2.0</v>
      </c>
      <c r="I213" s="50">
        <v>72620.0</v>
      </c>
    </row>
    <row r="214">
      <c r="A214" s="66">
        <v>7210.0</v>
      </c>
      <c r="B214" s="66">
        <v>24.0</v>
      </c>
      <c r="C214" s="66">
        <v>8.0</v>
      </c>
      <c r="D214" s="66">
        <v>4.0</v>
      </c>
      <c r="E214" s="66">
        <v>1.0</v>
      </c>
      <c r="F214" s="66" t="s">
        <v>2996</v>
      </c>
      <c r="G214" s="66">
        <v>9.0</v>
      </c>
      <c r="H214" s="81">
        <v>1.0</v>
      </c>
      <c r="I214" s="50">
        <v>101214.0</v>
      </c>
    </row>
    <row r="215">
      <c r="A215" s="66">
        <v>7211.0</v>
      </c>
      <c r="B215" s="66">
        <v>65.0</v>
      </c>
      <c r="C215" s="66">
        <v>8.0</v>
      </c>
      <c r="D215" s="66">
        <v>3.0</v>
      </c>
      <c r="E215" s="66">
        <v>1.0</v>
      </c>
      <c r="F215" s="66" t="s">
        <v>2997</v>
      </c>
      <c r="G215" s="66">
        <v>4.0</v>
      </c>
      <c r="H215" s="81">
        <v>4.0</v>
      </c>
      <c r="I215" s="50">
        <v>71714.0</v>
      </c>
    </row>
    <row r="216">
      <c r="A216" s="66">
        <v>7212.0</v>
      </c>
      <c r="B216" s="66">
        <v>24.0</v>
      </c>
      <c r="C216" s="66">
        <v>8.0</v>
      </c>
      <c r="D216" s="66">
        <v>7.0</v>
      </c>
      <c r="E216" s="66">
        <v>1.0</v>
      </c>
      <c r="F216" s="66" t="s">
        <v>2998</v>
      </c>
      <c r="G216" s="66">
        <v>5.0</v>
      </c>
      <c r="H216" s="81">
        <v>1.0</v>
      </c>
      <c r="I216" s="50">
        <v>60419.0</v>
      </c>
    </row>
    <row r="217">
      <c r="A217" s="66">
        <v>7213.0</v>
      </c>
      <c r="B217" s="66">
        <v>45.0</v>
      </c>
      <c r="C217" s="66">
        <v>4.0</v>
      </c>
      <c r="D217" s="66">
        <v>1.0</v>
      </c>
      <c r="E217" s="66">
        <v>0.0</v>
      </c>
      <c r="F217" s="66" t="s">
        <v>2999</v>
      </c>
      <c r="G217" s="66">
        <v>2.0</v>
      </c>
      <c r="H217" s="81">
        <v>2.0</v>
      </c>
      <c r="I217" s="50">
        <v>62322.0</v>
      </c>
    </row>
    <row r="218">
      <c r="A218" s="66">
        <v>7214.0</v>
      </c>
      <c r="B218" s="66">
        <v>45.0</v>
      </c>
      <c r="C218" s="66">
        <v>4.0</v>
      </c>
      <c r="D218" s="66">
        <v>2.0</v>
      </c>
      <c r="E218" s="66">
        <v>1.0</v>
      </c>
      <c r="F218" s="66" t="s">
        <v>3000</v>
      </c>
      <c r="G218" s="66">
        <v>3.0</v>
      </c>
      <c r="H218" s="81">
        <v>5.0</v>
      </c>
      <c r="I218" s="50">
        <v>82118.0</v>
      </c>
    </row>
    <row r="219">
      <c r="A219" s="66">
        <v>7215.0</v>
      </c>
      <c r="B219" s="66">
        <v>86.0</v>
      </c>
      <c r="C219" s="66">
        <v>4.0</v>
      </c>
      <c r="D219" s="66">
        <v>3.0</v>
      </c>
      <c r="E219" s="66">
        <v>1.0</v>
      </c>
      <c r="F219" s="66" t="s">
        <v>3001</v>
      </c>
      <c r="G219" s="66">
        <v>4.0</v>
      </c>
      <c r="H219" s="81">
        <v>5.0</v>
      </c>
      <c r="I219" s="50">
        <v>120322.0</v>
      </c>
    </row>
    <row r="220">
      <c r="A220" s="66">
        <v>7216.0</v>
      </c>
      <c r="B220" s="66">
        <v>45.0</v>
      </c>
      <c r="C220" s="66">
        <v>4.0</v>
      </c>
      <c r="D220" s="66">
        <v>8.0</v>
      </c>
      <c r="E220" s="66">
        <v>1.0</v>
      </c>
      <c r="F220" s="66" t="s">
        <v>3002</v>
      </c>
      <c r="G220" s="66">
        <v>8.0</v>
      </c>
      <c r="H220" s="81">
        <v>2.0</v>
      </c>
      <c r="I220" s="50">
        <v>52621.0</v>
      </c>
    </row>
    <row r="221">
      <c r="A221" s="66">
        <v>7217.0</v>
      </c>
      <c r="B221" s="66">
        <v>65.0</v>
      </c>
      <c r="C221" s="66">
        <v>9.0</v>
      </c>
      <c r="D221" s="66">
        <v>6.0</v>
      </c>
      <c r="E221" s="66">
        <v>0.0</v>
      </c>
      <c r="F221" s="66" t="s">
        <v>3003</v>
      </c>
      <c r="G221" s="66">
        <v>6.0</v>
      </c>
      <c r="H221" s="81">
        <v>2.0</v>
      </c>
      <c r="I221" s="50">
        <v>10213.0</v>
      </c>
    </row>
    <row r="222">
      <c r="A222" s="66">
        <v>7218.0</v>
      </c>
      <c r="B222" s="66">
        <v>24.0</v>
      </c>
      <c r="C222" s="66">
        <v>9.0</v>
      </c>
      <c r="D222" s="66">
        <v>9.0</v>
      </c>
      <c r="E222" s="66">
        <v>1.0</v>
      </c>
      <c r="F222" s="66" t="s">
        <v>3004</v>
      </c>
      <c r="G222" s="66">
        <v>9.0</v>
      </c>
      <c r="H222" s="81">
        <v>1.0</v>
      </c>
      <c r="I222" s="50">
        <v>100118.0</v>
      </c>
    </row>
    <row r="223">
      <c r="A223" s="66">
        <v>7219.0</v>
      </c>
      <c r="B223" s="66">
        <v>86.0</v>
      </c>
      <c r="C223" s="66">
        <v>4.0</v>
      </c>
      <c r="D223" s="66">
        <v>7.0</v>
      </c>
      <c r="E223" s="66">
        <v>1.0</v>
      </c>
      <c r="F223" s="66" t="s">
        <v>3005</v>
      </c>
      <c r="G223" s="66">
        <v>4.0</v>
      </c>
      <c r="H223" s="81">
        <v>4.0</v>
      </c>
      <c r="I223" s="50">
        <v>31314.0</v>
      </c>
    </row>
    <row r="224">
      <c r="A224" s="66">
        <v>7220.0</v>
      </c>
      <c r="B224" s="66">
        <v>65.0</v>
      </c>
      <c r="C224" s="66">
        <v>9.0</v>
      </c>
      <c r="D224" s="66">
        <v>5.0</v>
      </c>
      <c r="E224" s="66">
        <v>1.0</v>
      </c>
      <c r="F224" s="66" t="s">
        <v>3006</v>
      </c>
      <c r="G224" s="66">
        <v>7.0</v>
      </c>
      <c r="H224" s="81">
        <v>1.0</v>
      </c>
      <c r="I224" s="50">
        <v>70317.0</v>
      </c>
    </row>
    <row r="225">
      <c r="A225" s="66">
        <v>7221.0</v>
      </c>
      <c r="B225" s="66">
        <v>65.0</v>
      </c>
      <c r="C225" s="66">
        <v>9.0</v>
      </c>
      <c r="D225" s="66">
        <v>7.0</v>
      </c>
      <c r="E225" s="66">
        <v>1.0</v>
      </c>
      <c r="F225" s="66" t="s">
        <v>3007</v>
      </c>
      <c r="G225" s="66">
        <v>3.0</v>
      </c>
      <c r="H225" s="81">
        <v>5.0</v>
      </c>
      <c r="I225" s="50">
        <v>50116.0</v>
      </c>
    </row>
    <row r="226">
      <c r="A226" s="66">
        <v>7222.0</v>
      </c>
      <c r="B226" s="66">
        <v>45.0</v>
      </c>
      <c r="C226" s="66">
        <v>5.0</v>
      </c>
      <c r="D226" s="66">
        <v>7.0</v>
      </c>
      <c r="E226" s="66">
        <v>1.0</v>
      </c>
      <c r="F226" s="66" t="s">
        <v>3008</v>
      </c>
      <c r="G226" s="66">
        <v>1.0</v>
      </c>
      <c r="H226" s="81">
        <v>3.0</v>
      </c>
      <c r="I226" s="50">
        <v>11316.0</v>
      </c>
    </row>
    <row r="227">
      <c r="A227" s="66">
        <v>7223.0</v>
      </c>
      <c r="B227" s="66">
        <v>45.0</v>
      </c>
      <c r="C227" s="66">
        <v>5.0</v>
      </c>
      <c r="D227" s="66">
        <v>8.0</v>
      </c>
      <c r="E227" s="66">
        <v>0.0</v>
      </c>
      <c r="F227" s="66" t="s">
        <v>3009</v>
      </c>
      <c r="G227" s="66">
        <v>8.0</v>
      </c>
      <c r="H227" s="81">
        <v>2.0</v>
      </c>
      <c r="I227" s="50">
        <v>121016.0</v>
      </c>
    </row>
    <row r="228">
      <c r="A228" s="66">
        <v>7224.0</v>
      </c>
      <c r="B228" s="66">
        <v>25.0</v>
      </c>
      <c r="C228" s="66">
        <v>1.0</v>
      </c>
      <c r="D228" s="66">
        <v>1.0</v>
      </c>
      <c r="E228" s="66">
        <v>0.0</v>
      </c>
      <c r="F228" s="66" t="s">
        <v>3010</v>
      </c>
      <c r="G228" s="66">
        <v>6.0</v>
      </c>
      <c r="H228" s="81">
        <v>5.0</v>
      </c>
      <c r="I228" s="50">
        <v>41120.0</v>
      </c>
    </row>
    <row r="229">
      <c r="A229" s="66">
        <v>7225.0</v>
      </c>
      <c r="B229" s="66">
        <v>25.0</v>
      </c>
      <c r="C229" s="66">
        <v>1.0</v>
      </c>
      <c r="D229" s="66">
        <v>2.0</v>
      </c>
      <c r="E229" s="66">
        <v>0.0</v>
      </c>
      <c r="F229" s="66" t="s">
        <v>3011</v>
      </c>
      <c r="G229" s="66">
        <v>4.0</v>
      </c>
      <c r="H229" s="81">
        <v>3.0</v>
      </c>
      <c r="I229" s="50">
        <v>90422.0</v>
      </c>
    </row>
    <row r="230">
      <c r="A230" s="66">
        <v>7226.0</v>
      </c>
      <c r="B230" s="66">
        <v>25.0</v>
      </c>
      <c r="C230" s="66">
        <v>1.0</v>
      </c>
      <c r="D230" s="66">
        <v>4.0</v>
      </c>
      <c r="E230" s="66">
        <v>0.0</v>
      </c>
      <c r="F230" s="66" t="s">
        <v>3012</v>
      </c>
      <c r="G230" s="66">
        <v>8.0</v>
      </c>
      <c r="H230" s="81">
        <v>1.0</v>
      </c>
      <c r="I230" s="50">
        <v>11320.0</v>
      </c>
    </row>
    <row r="231">
      <c r="A231" s="66">
        <v>7227.0</v>
      </c>
      <c r="B231" s="66">
        <v>45.0</v>
      </c>
      <c r="C231" s="66">
        <v>6.0</v>
      </c>
      <c r="D231" s="66">
        <v>3.0</v>
      </c>
      <c r="E231" s="66">
        <v>0.0</v>
      </c>
      <c r="F231" s="66" t="s">
        <v>3013</v>
      </c>
      <c r="G231" s="66">
        <v>5.0</v>
      </c>
      <c r="H231" s="81">
        <v>4.0</v>
      </c>
      <c r="I231" s="50">
        <v>70618.0</v>
      </c>
    </row>
    <row r="232">
      <c r="A232" s="66">
        <v>7228.0</v>
      </c>
      <c r="B232" s="66">
        <v>86.0</v>
      </c>
      <c r="C232" s="66">
        <v>5.0</v>
      </c>
      <c r="D232" s="66">
        <v>8.0</v>
      </c>
      <c r="E232" s="66">
        <v>1.0</v>
      </c>
      <c r="F232" s="66" t="s">
        <v>3014</v>
      </c>
      <c r="G232" s="66">
        <v>7.0</v>
      </c>
      <c r="H232" s="81">
        <v>3.0</v>
      </c>
      <c r="I232" s="50">
        <v>101017.0</v>
      </c>
    </row>
    <row r="233">
      <c r="A233" s="66">
        <v>7229.0</v>
      </c>
      <c r="B233" s="66">
        <v>86.0</v>
      </c>
      <c r="C233" s="66">
        <v>6.0</v>
      </c>
      <c r="D233" s="66">
        <v>5.0</v>
      </c>
      <c r="E233" s="66">
        <v>1.0</v>
      </c>
      <c r="F233" s="66" t="s">
        <v>3015</v>
      </c>
      <c r="G233" s="66">
        <v>6.0</v>
      </c>
      <c r="H233" s="81">
        <v>2.0</v>
      </c>
      <c r="I233" s="50">
        <v>72121.0</v>
      </c>
    </row>
    <row r="234">
      <c r="A234" s="66">
        <v>7230.0</v>
      </c>
      <c r="B234" s="66">
        <v>66.0</v>
      </c>
      <c r="C234" s="66">
        <v>1.0</v>
      </c>
      <c r="D234" s="66">
        <v>7.0</v>
      </c>
      <c r="E234" s="66">
        <v>1.0</v>
      </c>
      <c r="F234" s="66" t="s">
        <v>3016</v>
      </c>
      <c r="G234" s="66">
        <v>1.0</v>
      </c>
      <c r="H234" s="81">
        <v>3.0</v>
      </c>
      <c r="I234" s="50">
        <v>110116.0</v>
      </c>
    </row>
    <row r="235">
      <c r="A235" s="66">
        <v>7231.0</v>
      </c>
      <c r="B235" s="66">
        <v>86.0</v>
      </c>
      <c r="C235" s="66">
        <v>6.0</v>
      </c>
      <c r="D235" s="66">
        <v>7.0</v>
      </c>
      <c r="E235" s="66">
        <v>1.0</v>
      </c>
      <c r="F235" s="66" t="s">
        <v>3017</v>
      </c>
      <c r="G235" s="66">
        <v>2.0</v>
      </c>
      <c r="H235" s="81">
        <v>2.0</v>
      </c>
      <c r="I235" s="50">
        <v>21120.0</v>
      </c>
    </row>
    <row r="236">
      <c r="A236" s="66">
        <v>7232.0</v>
      </c>
      <c r="B236" s="66">
        <v>86.0</v>
      </c>
      <c r="C236" s="66">
        <v>6.0</v>
      </c>
      <c r="D236" s="66">
        <v>6.0</v>
      </c>
      <c r="E236" s="66">
        <v>0.0</v>
      </c>
      <c r="F236" s="66" t="s">
        <v>3018</v>
      </c>
      <c r="G236" s="66">
        <v>9.0</v>
      </c>
      <c r="H236" s="81">
        <v>3.0</v>
      </c>
      <c r="I236" s="50">
        <v>31821.0</v>
      </c>
    </row>
    <row r="237">
      <c r="A237" s="66">
        <v>7233.0</v>
      </c>
      <c r="B237" s="66">
        <v>86.0</v>
      </c>
      <c r="C237" s="66">
        <v>6.0</v>
      </c>
      <c r="D237" s="66">
        <v>9.0</v>
      </c>
      <c r="E237" s="66">
        <v>0.0</v>
      </c>
      <c r="F237" s="66" t="s">
        <v>3019</v>
      </c>
      <c r="G237" s="66">
        <v>2.0</v>
      </c>
      <c r="H237" s="81">
        <v>5.0</v>
      </c>
      <c r="I237" s="50">
        <v>90713.0</v>
      </c>
    </row>
    <row r="238">
      <c r="A238" s="66">
        <v>7234.0</v>
      </c>
      <c r="B238" s="66">
        <v>45.0</v>
      </c>
      <c r="C238" s="66">
        <v>7.0</v>
      </c>
      <c r="D238" s="66">
        <v>3.0</v>
      </c>
      <c r="E238" s="66">
        <v>0.0</v>
      </c>
      <c r="F238" s="66" t="s">
        <v>3020</v>
      </c>
      <c r="G238" s="66">
        <v>8.0</v>
      </c>
      <c r="H238" s="81">
        <v>4.0</v>
      </c>
      <c r="I238" s="50">
        <v>50214.0</v>
      </c>
    </row>
    <row r="239">
      <c r="A239" s="66">
        <v>7235.0</v>
      </c>
      <c r="B239" s="66">
        <v>66.0</v>
      </c>
      <c r="C239" s="66">
        <v>2.0</v>
      </c>
      <c r="D239" s="66">
        <v>4.0</v>
      </c>
      <c r="E239" s="66">
        <v>1.0</v>
      </c>
      <c r="F239" s="66" t="s">
        <v>3021</v>
      </c>
      <c r="G239" s="66">
        <v>8.0</v>
      </c>
      <c r="H239" s="81">
        <v>1.0</v>
      </c>
      <c r="I239" s="50">
        <v>123115.0</v>
      </c>
    </row>
    <row r="240">
      <c r="A240" s="66">
        <v>7236.0</v>
      </c>
      <c r="B240" s="66">
        <v>66.0</v>
      </c>
      <c r="C240" s="66">
        <v>2.0</v>
      </c>
      <c r="D240" s="66">
        <v>5.0</v>
      </c>
      <c r="E240" s="66">
        <v>0.0</v>
      </c>
      <c r="F240" s="66" t="s">
        <v>3022</v>
      </c>
      <c r="G240" s="66">
        <v>4.0</v>
      </c>
      <c r="H240" s="81">
        <v>5.0</v>
      </c>
      <c r="I240" s="50">
        <v>31620.0</v>
      </c>
    </row>
    <row r="241">
      <c r="A241" s="66">
        <v>7237.0</v>
      </c>
      <c r="B241" s="66">
        <v>45.0</v>
      </c>
      <c r="C241" s="66">
        <v>7.0</v>
      </c>
      <c r="D241" s="66">
        <v>8.0</v>
      </c>
      <c r="E241" s="66">
        <v>1.0</v>
      </c>
      <c r="F241" s="66" t="s">
        <v>3023</v>
      </c>
      <c r="G241" s="66">
        <v>1.0</v>
      </c>
      <c r="H241" s="81">
        <v>4.0</v>
      </c>
      <c r="I241" s="50">
        <v>102915.0</v>
      </c>
    </row>
    <row r="242">
      <c r="A242" s="66">
        <v>7238.0</v>
      </c>
      <c r="B242" s="66">
        <v>86.0</v>
      </c>
      <c r="C242" s="66">
        <v>7.0</v>
      </c>
      <c r="D242" s="66">
        <v>5.0</v>
      </c>
      <c r="E242" s="66">
        <v>0.0</v>
      </c>
      <c r="F242" s="66" t="s">
        <v>3024</v>
      </c>
      <c r="G242" s="66">
        <v>5.0</v>
      </c>
      <c r="H242" s="81">
        <v>1.0</v>
      </c>
      <c r="I242" s="50">
        <v>70319.0</v>
      </c>
    </row>
    <row r="243">
      <c r="A243" s="66">
        <v>7239.0</v>
      </c>
      <c r="B243" s="66">
        <v>25.0</v>
      </c>
      <c r="C243" s="66">
        <v>3.0</v>
      </c>
      <c r="D243" s="66">
        <v>3.0</v>
      </c>
      <c r="E243" s="66">
        <v>1.0</v>
      </c>
      <c r="F243" s="66" t="s">
        <v>3025</v>
      </c>
      <c r="G243" s="66">
        <v>5.0</v>
      </c>
      <c r="H243" s="81">
        <v>5.0</v>
      </c>
      <c r="I243" s="50">
        <v>50217.0</v>
      </c>
    </row>
    <row r="244">
      <c r="A244" s="66">
        <v>7240.0</v>
      </c>
      <c r="B244" s="66">
        <v>25.0</v>
      </c>
      <c r="C244" s="66">
        <v>3.0</v>
      </c>
      <c r="D244" s="66">
        <v>4.0</v>
      </c>
      <c r="E244" s="66">
        <v>0.0</v>
      </c>
      <c r="F244" s="66" t="s">
        <v>3026</v>
      </c>
      <c r="G244" s="66">
        <v>5.0</v>
      </c>
      <c r="H244" s="81">
        <v>3.0</v>
      </c>
      <c r="I244" s="50">
        <v>91516.0</v>
      </c>
    </row>
    <row r="245">
      <c r="A245" s="66">
        <v>7241.0</v>
      </c>
      <c r="B245" s="66">
        <v>66.0</v>
      </c>
      <c r="C245" s="66">
        <v>2.0</v>
      </c>
      <c r="D245" s="66">
        <v>9.0</v>
      </c>
      <c r="E245" s="66">
        <v>0.0</v>
      </c>
      <c r="F245" s="66" t="s">
        <v>3027</v>
      </c>
      <c r="G245" s="66">
        <v>5.0</v>
      </c>
      <c r="H245" s="81">
        <v>3.0</v>
      </c>
      <c r="I245" s="50">
        <v>52514.0</v>
      </c>
    </row>
    <row r="246">
      <c r="A246" s="66">
        <v>7242.0</v>
      </c>
      <c r="B246" s="66">
        <v>66.0</v>
      </c>
      <c r="C246" s="66">
        <v>3.0</v>
      </c>
      <c r="D246" s="66">
        <v>5.0</v>
      </c>
      <c r="E246" s="66">
        <v>0.0</v>
      </c>
      <c r="F246" s="66" t="s">
        <v>3028</v>
      </c>
      <c r="G246" s="66">
        <v>7.0</v>
      </c>
      <c r="H246" s="81">
        <v>1.0</v>
      </c>
      <c r="I246" s="50">
        <v>42518.0</v>
      </c>
    </row>
    <row r="247">
      <c r="A247" s="66">
        <v>7243.0</v>
      </c>
      <c r="B247" s="66">
        <v>25.0</v>
      </c>
      <c r="C247" s="66">
        <v>4.0</v>
      </c>
      <c r="D247" s="66">
        <v>2.0</v>
      </c>
      <c r="E247" s="66">
        <v>0.0</v>
      </c>
      <c r="F247" s="66" t="s">
        <v>3029</v>
      </c>
      <c r="G247" s="66">
        <v>1.0</v>
      </c>
      <c r="H247" s="81">
        <v>3.0</v>
      </c>
      <c r="I247" s="50">
        <v>100716.0</v>
      </c>
    </row>
    <row r="248">
      <c r="A248" s="66">
        <v>7244.0</v>
      </c>
      <c r="B248" s="66">
        <v>86.0</v>
      </c>
      <c r="C248" s="66">
        <v>8.0</v>
      </c>
      <c r="D248" s="66">
        <v>7.0</v>
      </c>
      <c r="E248" s="66">
        <v>0.0</v>
      </c>
      <c r="F248" s="66" t="s">
        <v>3030</v>
      </c>
      <c r="G248" s="66">
        <v>7.0</v>
      </c>
      <c r="H248" s="81">
        <v>1.0</v>
      </c>
      <c r="I248" s="50">
        <v>81619.0</v>
      </c>
    </row>
    <row r="249">
      <c r="A249" s="66">
        <v>7245.0</v>
      </c>
      <c r="B249" s="66">
        <v>25.0</v>
      </c>
      <c r="C249" s="66">
        <v>4.0</v>
      </c>
      <c r="D249" s="66">
        <v>4.0</v>
      </c>
      <c r="E249" s="66">
        <v>1.0</v>
      </c>
      <c r="F249" s="66" t="s">
        <v>3031</v>
      </c>
      <c r="G249" s="66">
        <v>7.0</v>
      </c>
      <c r="H249" s="81">
        <v>2.0</v>
      </c>
      <c r="I249" s="50">
        <v>102613.0</v>
      </c>
    </row>
    <row r="250">
      <c r="A250" s="66">
        <v>7246.0</v>
      </c>
      <c r="B250" s="66">
        <v>25.0</v>
      </c>
      <c r="C250" s="66">
        <v>4.0</v>
      </c>
      <c r="D250" s="66">
        <v>3.0</v>
      </c>
      <c r="E250" s="66">
        <v>1.0</v>
      </c>
      <c r="F250" s="66" t="s">
        <v>3032</v>
      </c>
      <c r="G250" s="66">
        <v>5.0</v>
      </c>
      <c r="H250" s="81">
        <v>1.0</v>
      </c>
      <c r="I250" s="50">
        <v>51119.0</v>
      </c>
    </row>
    <row r="251">
      <c r="A251" s="66">
        <v>7247.0</v>
      </c>
      <c r="B251" s="66">
        <v>45.0</v>
      </c>
      <c r="C251" s="66">
        <v>9.0</v>
      </c>
      <c r="D251" s="66">
        <v>5.0</v>
      </c>
      <c r="E251" s="66">
        <v>1.0</v>
      </c>
      <c r="F251" s="66" t="s">
        <v>3033</v>
      </c>
      <c r="G251" s="66">
        <v>5.0</v>
      </c>
      <c r="H251" s="81">
        <v>5.0</v>
      </c>
      <c r="I251" s="50">
        <v>71016.0</v>
      </c>
    </row>
    <row r="252">
      <c r="A252" s="66">
        <v>7248.0</v>
      </c>
      <c r="B252" s="66">
        <v>45.0</v>
      </c>
      <c r="C252" s="66">
        <v>9.0</v>
      </c>
      <c r="D252" s="66">
        <v>9.0</v>
      </c>
      <c r="E252" s="66">
        <v>0.0</v>
      </c>
      <c r="F252" s="66" t="s">
        <v>3034</v>
      </c>
      <c r="G252" s="66">
        <v>3.0</v>
      </c>
      <c r="H252" s="81">
        <v>1.0</v>
      </c>
      <c r="I252" s="50">
        <v>72418.0</v>
      </c>
    </row>
    <row r="253">
      <c r="A253" s="66">
        <v>7249.0</v>
      </c>
      <c r="B253" s="66">
        <v>86.0</v>
      </c>
      <c r="C253" s="66">
        <v>9.0</v>
      </c>
      <c r="D253" s="66">
        <v>9.0</v>
      </c>
      <c r="E253" s="66">
        <v>0.0</v>
      </c>
      <c r="F253" s="66" t="s">
        <v>3035</v>
      </c>
      <c r="G253" s="66">
        <v>8.0</v>
      </c>
      <c r="H253" s="81">
        <v>3.0</v>
      </c>
      <c r="I253" s="50">
        <v>50622.0</v>
      </c>
    </row>
    <row r="254">
      <c r="A254" s="66">
        <v>7250.0</v>
      </c>
      <c r="B254" s="66">
        <v>66.0</v>
      </c>
      <c r="C254" s="66">
        <v>5.0</v>
      </c>
      <c r="D254" s="66">
        <v>7.0</v>
      </c>
      <c r="E254" s="66">
        <v>1.0</v>
      </c>
      <c r="F254" s="66" t="s">
        <v>3036</v>
      </c>
      <c r="G254" s="66">
        <v>4.0</v>
      </c>
      <c r="H254" s="81">
        <v>2.0</v>
      </c>
      <c r="I254" s="50">
        <v>82818.0</v>
      </c>
    </row>
    <row r="255">
      <c r="A255" s="66">
        <v>7251.0</v>
      </c>
      <c r="B255" s="66">
        <v>25.0</v>
      </c>
      <c r="C255" s="66">
        <v>6.0</v>
      </c>
      <c r="D255" s="66">
        <v>1.0</v>
      </c>
      <c r="E255" s="66">
        <v>1.0</v>
      </c>
      <c r="F255" s="66" t="s">
        <v>3037</v>
      </c>
      <c r="G255" s="66">
        <v>8.0</v>
      </c>
      <c r="H255" s="81">
        <v>5.0</v>
      </c>
      <c r="I255" s="50">
        <v>71322.0</v>
      </c>
    </row>
    <row r="256">
      <c r="A256" s="66">
        <v>7252.0</v>
      </c>
      <c r="B256" s="66">
        <v>46.0</v>
      </c>
      <c r="C256" s="66">
        <v>1.0</v>
      </c>
      <c r="D256" s="66">
        <v>1.0</v>
      </c>
      <c r="E256" s="66">
        <v>1.0</v>
      </c>
      <c r="F256" s="66" t="s">
        <v>3038</v>
      </c>
      <c r="G256" s="66">
        <v>5.0</v>
      </c>
      <c r="H256" s="81">
        <v>3.0</v>
      </c>
      <c r="I256" s="50">
        <v>51815.0</v>
      </c>
    </row>
    <row r="257">
      <c r="A257" s="66">
        <v>7253.0</v>
      </c>
      <c r="B257" s="66">
        <v>66.0</v>
      </c>
      <c r="C257" s="66">
        <v>6.0</v>
      </c>
      <c r="D257" s="66">
        <v>1.0</v>
      </c>
      <c r="E257" s="66">
        <v>1.0</v>
      </c>
      <c r="F257" s="66" t="s">
        <v>3039</v>
      </c>
      <c r="G257" s="66">
        <v>5.0</v>
      </c>
      <c r="H257" s="81">
        <v>1.0</v>
      </c>
      <c r="I257" s="50">
        <v>11221.0</v>
      </c>
    </row>
    <row r="258">
      <c r="A258" s="66">
        <v>7254.0</v>
      </c>
      <c r="B258" s="66">
        <v>25.0</v>
      </c>
      <c r="C258" s="66">
        <v>6.0</v>
      </c>
      <c r="D258" s="66">
        <v>6.0</v>
      </c>
      <c r="E258" s="66">
        <v>1.0</v>
      </c>
      <c r="F258" s="66" t="s">
        <v>3040</v>
      </c>
      <c r="G258" s="66">
        <v>4.0</v>
      </c>
      <c r="H258" s="81">
        <v>5.0</v>
      </c>
      <c r="I258" s="50">
        <v>32122.0</v>
      </c>
    </row>
    <row r="259">
      <c r="A259" s="66">
        <v>7255.0</v>
      </c>
      <c r="B259" s="66">
        <v>66.0</v>
      </c>
      <c r="C259" s="66">
        <v>6.0</v>
      </c>
      <c r="D259" s="66">
        <v>4.0</v>
      </c>
      <c r="E259" s="66">
        <v>1.0</v>
      </c>
      <c r="F259" s="66" t="s">
        <v>3041</v>
      </c>
      <c r="G259" s="66">
        <v>6.0</v>
      </c>
      <c r="H259" s="81">
        <v>4.0</v>
      </c>
      <c r="I259" s="50">
        <v>30819.0</v>
      </c>
    </row>
    <row r="260">
      <c r="A260" s="66">
        <v>7256.0</v>
      </c>
      <c r="B260" s="66">
        <v>46.0</v>
      </c>
      <c r="C260" s="66">
        <v>1.0</v>
      </c>
      <c r="D260" s="66">
        <v>9.0</v>
      </c>
      <c r="E260" s="66">
        <v>0.0</v>
      </c>
      <c r="F260" s="66" t="s">
        <v>3042</v>
      </c>
      <c r="G260" s="66">
        <v>7.0</v>
      </c>
      <c r="H260" s="81">
        <v>1.0</v>
      </c>
      <c r="I260" s="50">
        <v>60917.0</v>
      </c>
    </row>
    <row r="261">
      <c r="A261" s="66">
        <v>7257.0</v>
      </c>
      <c r="B261" s="66">
        <v>66.0</v>
      </c>
      <c r="C261" s="66">
        <v>6.0</v>
      </c>
      <c r="D261" s="66">
        <v>8.0</v>
      </c>
      <c r="E261" s="66">
        <v>0.0</v>
      </c>
      <c r="F261" s="66" t="s">
        <v>3043</v>
      </c>
      <c r="G261" s="66">
        <v>6.0</v>
      </c>
      <c r="H261" s="81">
        <v>2.0</v>
      </c>
      <c r="I261" s="50">
        <v>12015.0</v>
      </c>
    </row>
    <row r="262">
      <c r="A262" s="66">
        <v>7258.0</v>
      </c>
      <c r="B262" s="66">
        <v>87.0</v>
      </c>
      <c r="C262" s="66">
        <v>1.0</v>
      </c>
      <c r="D262" s="66">
        <v>7.0</v>
      </c>
      <c r="E262" s="66">
        <v>1.0</v>
      </c>
      <c r="F262" s="66" t="s">
        <v>3044</v>
      </c>
      <c r="G262" s="66">
        <v>3.0</v>
      </c>
      <c r="H262" s="81">
        <v>4.0</v>
      </c>
      <c r="I262" s="50">
        <v>31214.0</v>
      </c>
    </row>
    <row r="263">
      <c r="A263" s="66">
        <v>7259.0</v>
      </c>
      <c r="B263" s="66">
        <v>66.0</v>
      </c>
      <c r="C263" s="66">
        <v>7.0</v>
      </c>
      <c r="D263" s="66">
        <v>2.0</v>
      </c>
      <c r="E263" s="66">
        <v>0.0</v>
      </c>
      <c r="F263" s="66" t="s">
        <v>3045</v>
      </c>
      <c r="G263" s="66">
        <v>9.0</v>
      </c>
      <c r="H263" s="81">
        <v>5.0</v>
      </c>
      <c r="I263" s="50">
        <v>90717.0</v>
      </c>
    </row>
    <row r="264">
      <c r="A264" s="66">
        <v>7260.0</v>
      </c>
      <c r="B264" s="66">
        <v>87.0</v>
      </c>
      <c r="C264" s="66">
        <v>2.0</v>
      </c>
      <c r="D264" s="66">
        <v>3.0</v>
      </c>
      <c r="E264" s="66">
        <v>0.0</v>
      </c>
      <c r="F264" s="66" t="s">
        <v>3046</v>
      </c>
      <c r="G264" s="66">
        <v>1.0</v>
      </c>
      <c r="H264" s="81">
        <v>1.0</v>
      </c>
      <c r="I264" s="50">
        <v>22316.0</v>
      </c>
    </row>
    <row r="265">
      <c r="A265" s="66">
        <v>7261.0</v>
      </c>
      <c r="B265" s="66">
        <v>66.0</v>
      </c>
      <c r="C265" s="66">
        <v>7.0</v>
      </c>
      <c r="D265" s="66">
        <v>6.0</v>
      </c>
      <c r="E265" s="66">
        <v>0.0</v>
      </c>
      <c r="F265" s="66" t="s">
        <v>3047</v>
      </c>
      <c r="G265" s="66">
        <v>3.0</v>
      </c>
      <c r="H265" s="81">
        <v>1.0</v>
      </c>
      <c r="I265" s="50">
        <v>112422.0</v>
      </c>
    </row>
    <row r="266">
      <c r="A266" s="66">
        <v>7262.0</v>
      </c>
      <c r="B266" s="66">
        <v>25.0</v>
      </c>
      <c r="C266" s="66">
        <v>8.0</v>
      </c>
      <c r="D266" s="66">
        <v>1.0</v>
      </c>
      <c r="E266" s="66">
        <v>1.0</v>
      </c>
      <c r="F266" s="66" t="s">
        <v>3048</v>
      </c>
      <c r="G266" s="66">
        <v>7.0</v>
      </c>
      <c r="H266" s="81">
        <v>5.0</v>
      </c>
      <c r="I266" s="50">
        <v>122914.0</v>
      </c>
    </row>
    <row r="267">
      <c r="A267" s="66">
        <v>7263.0</v>
      </c>
      <c r="B267" s="66">
        <v>46.0</v>
      </c>
      <c r="C267" s="66">
        <v>2.0</v>
      </c>
      <c r="D267" s="66">
        <v>8.0</v>
      </c>
      <c r="E267" s="66">
        <v>0.0</v>
      </c>
      <c r="F267" s="66" t="s">
        <v>3049</v>
      </c>
      <c r="G267" s="66">
        <v>1.0</v>
      </c>
      <c r="H267" s="81">
        <v>3.0</v>
      </c>
      <c r="I267" s="50">
        <v>72114.0</v>
      </c>
    </row>
    <row r="268">
      <c r="A268" s="66">
        <v>7264.0</v>
      </c>
      <c r="B268" s="66">
        <v>46.0</v>
      </c>
      <c r="C268" s="66">
        <v>3.0</v>
      </c>
      <c r="D268" s="66">
        <v>2.0</v>
      </c>
      <c r="E268" s="66">
        <v>0.0</v>
      </c>
      <c r="F268" s="66" t="s">
        <v>3050</v>
      </c>
      <c r="G268" s="66">
        <v>1.0</v>
      </c>
      <c r="H268" s="81">
        <v>3.0</v>
      </c>
      <c r="I268" s="50">
        <v>41014.0</v>
      </c>
    </row>
    <row r="269">
      <c r="A269" s="66">
        <v>7265.0</v>
      </c>
      <c r="B269" s="66">
        <v>87.0</v>
      </c>
      <c r="C269" s="66">
        <v>3.0</v>
      </c>
      <c r="D269" s="66">
        <v>1.0</v>
      </c>
      <c r="E269" s="66">
        <v>1.0</v>
      </c>
      <c r="F269" s="66" t="s">
        <v>3051</v>
      </c>
      <c r="G269" s="66">
        <v>5.0</v>
      </c>
      <c r="H269" s="81">
        <v>2.0</v>
      </c>
      <c r="I269" s="50">
        <v>12221.0</v>
      </c>
    </row>
    <row r="270">
      <c r="A270" s="66">
        <v>7266.0</v>
      </c>
      <c r="B270" s="66">
        <v>46.0</v>
      </c>
      <c r="C270" s="66">
        <v>3.0</v>
      </c>
      <c r="D270" s="66">
        <v>5.0</v>
      </c>
      <c r="E270" s="66">
        <v>1.0</v>
      </c>
      <c r="F270" s="66" t="s">
        <v>3052</v>
      </c>
      <c r="G270" s="66">
        <v>4.0</v>
      </c>
      <c r="H270" s="81">
        <v>2.0</v>
      </c>
      <c r="I270" s="50">
        <v>102321.0</v>
      </c>
    </row>
    <row r="271">
      <c r="A271" s="66">
        <v>7267.0</v>
      </c>
      <c r="B271" s="66">
        <v>87.0</v>
      </c>
      <c r="C271" s="66">
        <v>3.0</v>
      </c>
      <c r="D271" s="66">
        <v>3.0</v>
      </c>
      <c r="E271" s="66">
        <v>0.0</v>
      </c>
      <c r="F271" s="66" t="s">
        <v>3053</v>
      </c>
      <c r="G271" s="66">
        <v>7.0</v>
      </c>
      <c r="H271" s="81">
        <v>2.0</v>
      </c>
      <c r="I271" s="50">
        <v>30913.0</v>
      </c>
    </row>
    <row r="272">
      <c r="A272" s="66">
        <v>7268.0</v>
      </c>
      <c r="B272" s="66">
        <v>25.0</v>
      </c>
      <c r="C272" s="66">
        <v>9.0</v>
      </c>
      <c r="D272" s="66">
        <v>2.0</v>
      </c>
      <c r="E272" s="66">
        <v>0.0</v>
      </c>
      <c r="F272" s="66" t="s">
        <v>3054</v>
      </c>
      <c r="G272" s="66">
        <v>1.0</v>
      </c>
      <c r="H272" s="81">
        <v>5.0</v>
      </c>
      <c r="I272" s="50">
        <v>41815.0</v>
      </c>
    </row>
    <row r="273">
      <c r="A273" s="66">
        <v>7269.0</v>
      </c>
      <c r="B273" s="66">
        <v>25.0</v>
      </c>
      <c r="C273" s="66">
        <v>9.0</v>
      </c>
      <c r="D273" s="66">
        <v>3.0</v>
      </c>
      <c r="E273" s="66">
        <v>0.0</v>
      </c>
      <c r="F273" s="66" t="s">
        <v>3055</v>
      </c>
      <c r="G273" s="66">
        <v>2.0</v>
      </c>
      <c r="H273" s="81">
        <v>3.0</v>
      </c>
      <c r="I273" s="50">
        <v>123116.0</v>
      </c>
    </row>
    <row r="274">
      <c r="A274" s="66">
        <v>7270.0</v>
      </c>
      <c r="B274" s="66">
        <v>66.0</v>
      </c>
      <c r="C274" s="66">
        <v>8.0</v>
      </c>
      <c r="D274" s="66">
        <v>9.0</v>
      </c>
      <c r="E274" s="66">
        <v>1.0</v>
      </c>
      <c r="F274" s="66" t="s">
        <v>3056</v>
      </c>
      <c r="G274" s="66">
        <v>6.0</v>
      </c>
      <c r="H274" s="81">
        <v>1.0</v>
      </c>
      <c r="I274" s="50">
        <v>31514.0</v>
      </c>
    </row>
    <row r="275">
      <c r="A275" s="66">
        <v>7271.0</v>
      </c>
      <c r="B275" s="66">
        <v>46.0</v>
      </c>
      <c r="C275" s="66">
        <v>4.0</v>
      </c>
      <c r="D275" s="66">
        <v>1.0</v>
      </c>
      <c r="E275" s="66">
        <v>0.0</v>
      </c>
      <c r="F275" s="66" t="s">
        <v>3057</v>
      </c>
      <c r="G275" s="66">
        <v>3.0</v>
      </c>
      <c r="H275" s="81">
        <v>2.0</v>
      </c>
      <c r="I275" s="50">
        <v>120913.0</v>
      </c>
    </row>
    <row r="276">
      <c r="A276" s="66">
        <v>7272.0</v>
      </c>
      <c r="B276" s="66">
        <v>66.0</v>
      </c>
      <c r="C276" s="66">
        <v>9.0</v>
      </c>
      <c r="D276" s="66">
        <v>3.0</v>
      </c>
      <c r="E276" s="66">
        <v>0.0</v>
      </c>
      <c r="F276" s="66" t="s">
        <v>3058</v>
      </c>
      <c r="G276" s="66">
        <v>2.0</v>
      </c>
      <c r="H276" s="81">
        <v>3.0</v>
      </c>
      <c r="I276" s="50">
        <v>81119.0</v>
      </c>
    </row>
    <row r="277">
      <c r="A277" s="66">
        <v>7273.0</v>
      </c>
      <c r="B277" s="66">
        <v>66.0</v>
      </c>
      <c r="C277" s="66">
        <v>9.0</v>
      </c>
      <c r="D277" s="66">
        <v>5.0</v>
      </c>
      <c r="E277" s="66">
        <v>1.0</v>
      </c>
      <c r="F277" s="66" t="s">
        <v>3059</v>
      </c>
      <c r="G277" s="66">
        <v>8.0</v>
      </c>
      <c r="H277" s="81">
        <v>2.0</v>
      </c>
      <c r="I277" s="50">
        <v>92519.0</v>
      </c>
    </row>
    <row r="278">
      <c r="A278" s="66">
        <v>7274.0</v>
      </c>
      <c r="B278" s="66">
        <v>66.0</v>
      </c>
      <c r="C278" s="66">
        <v>9.0</v>
      </c>
      <c r="D278" s="66">
        <v>6.0</v>
      </c>
      <c r="E278" s="66">
        <v>0.0</v>
      </c>
      <c r="F278" s="66" t="s">
        <v>3060</v>
      </c>
      <c r="G278" s="66">
        <v>3.0</v>
      </c>
      <c r="H278" s="81">
        <v>1.0</v>
      </c>
      <c r="I278" s="50">
        <v>22616.0</v>
      </c>
    </row>
    <row r="279">
      <c r="A279" s="66">
        <v>7275.0</v>
      </c>
      <c r="B279" s="66">
        <v>46.0</v>
      </c>
      <c r="C279" s="66">
        <v>5.0</v>
      </c>
      <c r="D279" s="66">
        <v>3.0</v>
      </c>
      <c r="E279" s="66">
        <v>0.0</v>
      </c>
      <c r="F279" s="66" t="s">
        <v>3061</v>
      </c>
      <c r="G279" s="66">
        <v>7.0</v>
      </c>
      <c r="H279" s="81">
        <v>2.0</v>
      </c>
      <c r="I279" s="50">
        <v>112721.0</v>
      </c>
    </row>
    <row r="280">
      <c r="A280" s="66">
        <v>7276.0</v>
      </c>
      <c r="B280" s="66">
        <v>87.0</v>
      </c>
      <c r="C280" s="66">
        <v>5.0</v>
      </c>
      <c r="D280" s="66">
        <v>4.0</v>
      </c>
      <c r="E280" s="66">
        <v>1.0</v>
      </c>
      <c r="F280" s="66" t="s">
        <v>3062</v>
      </c>
      <c r="G280" s="66">
        <v>2.0</v>
      </c>
      <c r="H280" s="81">
        <v>2.0</v>
      </c>
      <c r="I280" s="50">
        <v>92915.0</v>
      </c>
    </row>
    <row r="281">
      <c r="A281" s="66">
        <v>7277.0</v>
      </c>
      <c r="B281" s="66">
        <v>87.0</v>
      </c>
      <c r="C281" s="66">
        <v>5.0</v>
      </c>
      <c r="D281" s="66">
        <v>5.0</v>
      </c>
      <c r="E281" s="66">
        <v>0.0</v>
      </c>
      <c r="F281" s="66" t="s">
        <v>3063</v>
      </c>
      <c r="G281" s="66">
        <v>9.0</v>
      </c>
      <c r="H281" s="81">
        <v>2.0</v>
      </c>
      <c r="I281" s="50">
        <v>91013.0</v>
      </c>
    </row>
    <row r="282">
      <c r="A282" s="66">
        <v>7278.0</v>
      </c>
      <c r="B282" s="66">
        <v>26.0</v>
      </c>
      <c r="C282" s="66">
        <v>1.0</v>
      </c>
      <c r="D282" s="66">
        <v>4.0</v>
      </c>
      <c r="E282" s="66">
        <v>1.0</v>
      </c>
      <c r="F282" s="66" t="s">
        <v>3064</v>
      </c>
      <c r="G282" s="66">
        <v>4.0</v>
      </c>
      <c r="H282" s="81">
        <v>2.0</v>
      </c>
      <c r="I282" s="50">
        <v>31421.0</v>
      </c>
    </row>
    <row r="283">
      <c r="A283" s="66">
        <v>7279.0</v>
      </c>
      <c r="B283" s="66">
        <v>67.0</v>
      </c>
      <c r="C283" s="66">
        <v>1.0</v>
      </c>
      <c r="D283" s="66">
        <v>1.0</v>
      </c>
      <c r="E283" s="66">
        <v>0.0</v>
      </c>
      <c r="F283" s="66" t="s">
        <v>3065</v>
      </c>
      <c r="G283" s="66">
        <v>7.0</v>
      </c>
      <c r="H283" s="81">
        <v>5.0</v>
      </c>
      <c r="I283" s="50">
        <v>100821.0</v>
      </c>
    </row>
    <row r="284">
      <c r="A284" s="66">
        <v>7280.0</v>
      </c>
      <c r="B284" s="66">
        <v>26.0</v>
      </c>
      <c r="C284" s="66">
        <v>1.0</v>
      </c>
      <c r="D284" s="66">
        <v>8.0</v>
      </c>
      <c r="E284" s="66">
        <v>1.0</v>
      </c>
      <c r="F284" s="66" t="s">
        <v>3066</v>
      </c>
      <c r="G284" s="66">
        <v>9.0</v>
      </c>
      <c r="H284" s="81">
        <v>3.0</v>
      </c>
      <c r="I284" s="50">
        <v>81020.0</v>
      </c>
    </row>
    <row r="285">
      <c r="A285" s="66">
        <v>7281.0</v>
      </c>
      <c r="B285" s="66">
        <v>87.0</v>
      </c>
      <c r="C285" s="66">
        <v>6.0</v>
      </c>
      <c r="D285" s="66">
        <v>2.0</v>
      </c>
      <c r="E285" s="66">
        <v>0.0</v>
      </c>
      <c r="F285" s="66" t="s">
        <v>3067</v>
      </c>
      <c r="G285" s="66">
        <v>1.0</v>
      </c>
      <c r="H285" s="81">
        <v>5.0</v>
      </c>
      <c r="I285" s="50">
        <v>51917.0</v>
      </c>
    </row>
    <row r="286">
      <c r="A286" s="66">
        <v>7282.0</v>
      </c>
      <c r="B286" s="66">
        <v>26.0</v>
      </c>
      <c r="C286" s="66">
        <v>1.0</v>
      </c>
      <c r="D286" s="66">
        <v>9.0</v>
      </c>
      <c r="E286" s="66">
        <v>1.0</v>
      </c>
      <c r="F286" s="66" t="s">
        <v>3068</v>
      </c>
      <c r="G286" s="66">
        <v>9.0</v>
      </c>
      <c r="H286" s="81">
        <v>2.0</v>
      </c>
      <c r="I286" s="50">
        <v>101117.0</v>
      </c>
    </row>
    <row r="287">
      <c r="A287" s="66">
        <v>7283.0</v>
      </c>
      <c r="B287" s="66">
        <v>87.0</v>
      </c>
      <c r="C287" s="66">
        <v>6.0</v>
      </c>
      <c r="D287" s="66">
        <v>5.0</v>
      </c>
      <c r="E287" s="66">
        <v>1.0</v>
      </c>
      <c r="F287" s="66" t="s">
        <v>3069</v>
      </c>
      <c r="G287" s="66">
        <v>5.0</v>
      </c>
      <c r="H287" s="81">
        <v>5.0</v>
      </c>
      <c r="I287" s="50">
        <v>112819.0</v>
      </c>
    </row>
    <row r="288">
      <c r="A288" s="66">
        <v>7284.0</v>
      </c>
      <c r="B288" s="66">
        <v>26.0</v>
      </c>
      <c r="C288" s="66">
        <v>2.0</v>
      </c>
      <c r="D288" s="66">
        <v>2.0</v>
      </c>
      <c r="E288" s="66">
        <v>1.0</v>
      </c>
      <c r="F288" s="66" t="s">
        <v>3070</v>
      </c>
      <c r="G288" s="66">
        <v>4.0</v>
      </c>
      <c r="H288" s="81">
        <v>2.0</v>
      </c>
      <c r="I288" s="50">
        <v>100915.0</v>
      </c>
    </row>
    <row r="289">
      <c r="A289" s="66">
        <v>7285.0</v>
      </c>
      <c r="B289" s="66">
        <v>46.0</v>
      </c>
      <c r="C289" s="66">
        <v>7.0</v>
      </c>
      <c r="D289" s="66">
        <v>4.0</v>
      </c>
      <c r="E289" s="66">
        <v>1.0</v>
      </c>
      <c r="F289" s="66" t="s">
        <v>3071</v>
      </c>
      <c r="G289" s="66">
        <v>7.0</v>
      </c>
      <c r="H289" s="81">
        <v>5.0</v>
      </c>
      <c r="I289" s="50">
        <v>91618.0</v>
      </c>
    </row>
    <row r="290">
      <c r="A290" s="66">
        <v>7286.0</v>
      </c>
      <c r="B290" s="66">
        <v>46.0</v>
      </c>
      <c r="C290" s="66">
        <v>7.0</v>
      </c>
      <c r="D290" s="66">
        <v>5.0</v>
      </c>
      <c r="E290" s="66">
        <v>1.0</v>
      </c>
      <c r="F290" s="66" t="s">
        <v>3072</v>
      </c>
      <c r="G290" s="66">
        <v>5.0</v>
      </c>
      <c r="H290" s="81">
        <v>2.0</v>
      </c>
      <c r="I290" s="50">
        <v>82515.0</v>
      </c>
    </row>
    <row r="291">
      <c r="A291" s="66">
        <v>7287.0</v>
      </c>
      <c r="B291" s="66">
        <v>67.0</v>
      </c>
      <c r="C291" s="66">
        <v>2.0</v>
      </c>
      <c r="D291" s="66">
        <v>5.0</v>
      </c>
      <c r="E291" s="66">
        <v>1.0</v>
      </c>
      <c r="F291" s="66" t="s">
        <v>3073</v>
      </c>
      <c r="G291" s="66">
        <v>2.0</v>
      </c>
      <c r="H291" s="81">
        <v>4.0</v>
      </c>
      <c r="I291" s="50">
        <v>50321.0</v>
      </c>
    </row>
    <row r="292">
      <c r="A292" s="66">
        <v>7288.0</v>
      </c>
      <c r="B292" s="66">
        <v>46.0</v>
      </c>
      <c r="C292" s="66">
        <v>7.0</v>
      </c>
      <c r="D292" s="66">
        <v>8.0</v>
      </c>
      <c r="E292" s="66">
        <v>1.0</v>
      </c>
      <c r="F292" s="66" t="s">
        <v>3074</v>
      </c>
      <c r="G292" s="66">
        <v>9.0</v>
      </c>
      <c r="H292" s="81">
        <v>3.0</v>
      </c>
      <c r="I292" s="50">
        <v>120414.0</v>
      </c>
    </row>
    <row r="293">
      <c r="A293" s="66">
        <v>7289.0</v>
      </c>
      <c r="B293" s="66">
        <v>46.0</v>
      </c>
      <c r="C293" s="66">
        <v>7.0</v>
      </c>
      <c r="D293" s="66">
        <v>7.0</v>
      </c>
      <c r="E293" s="66">
        <v>1.0</v>
      </c>
      <c r="F293" s="66" t="s">
        <v>3075</v>
      </c>
      <c r="G293" s="66">
        <v>7.0</v>
      </c>
      <c r="H293" s="81">
        <v>2.0</v>
      </c>
      <c r="I293" s="50">
        <v>91815.0</v>
      </c>
    </row>
    <row r="294">
      <c r="A294" s="66">
        <v>7290.0</v>
      </c>
      <c r="B294" s="66">
        <v>87.0</v>
      </c>
      <c r="C294" s="66">
        <v>7.0</v>
      </c>
      <c r="D294" s="66">
        <v>7.0</v>
      </c>
      <c r="E294" s="66">
        <v>0.0</v>
      </c>
      <c r="F294" s="66" t="s">
        <v>3076</v>
      </c>
      <c r="G294" s="66">
        <v>1.0</v>
      </c>
      <c r="H294" s="81">
        <v>2.0</v>
      </c>
      <c r="I294" s="50">
        <v>91314.0</v>
      </c>
    </row>
    <row r="295">
      <c r="A295" s="66">
        <v>7291.0</v>
      </c>
      <c r="B295" s="66">
        <v>26.0</v>
      </c>
      <c r="C295" s="66">
        <v>3.0</v>
      </c>
      <c r="D295" s="66">
        <v>6.0</v>
      </c>
      <c r="E295" s="66">
        <v>1.0</v>
      </c>
      <c r="F295" s="66" t="s">
        <v>3077</v>
      </c>
      <c r="G295" s="66">
        <v>5.0</v>
      </c>
      <c r="H295" s="81">
        <v>4.0</v>
      </c>
      <c r="I295" s="50">
        <v>91215.0</v>
      </c>
    </row>
    <row r="296">
      <c r="A296" s="66">
        <v>7292.0</v>
      </c>
      <c r="B296" s="66">
        <v>26.0</v>
      </c>
      <c r="C296" s="66">
        <v>3.0</v>
      </c>
      <c r="D296" s="66">
        <v>8.0</v>
      </c>
      <c r="E296" s="66">
        <v>0.0</v>
      </c>
      <c r="F296" s="66" t="s">
        <v>3078</v>
      </c>
      <c r="G296" s="66">
        <v>6.0</v>
      </c>
      <c r="H296" s="81">
        <v>5.0</v>
      </c>
      <c r="I296" s="50">
        <v>62218.0</v>
      </c>
    </row>
    <row r="297">
      <c r="A297" s="66">
        <v>7293.0</v>
      </c>
      <c r="B297" s="66">
        <v>87.0</v>
      </c>
      <c r="C297" s="66">
        <v>8.0</v>
      </c>
      <c r="D297" s="66">
        <v>6.0</v>
      </c>
      <c r="E297" s="66">
        <v>0.0</v>
      </c>
      <c r="F297" s="66" t="s">
        <v>3079</v>
      </c>
      <c r="G297" s="66">
        <v>5.0</v>
      </c>
      <c r="H297" s="81">
        <v>3.0</v>
      </c>
      <c r="I297" s="50">
        <v>52916.0</v>
      </c>
    </row>
    <row r="298">
      <c r="A298" s="66">
        <v>7294.0</v>
      </c>
      <c r="B298" s="66">
        <v>87.0</v>
      </c>
      <c r="C298" s="66">
        <v>8.0</v>
      </c>
      <c r="D298" s="66">
        <v>8.0</v>
      </c>
      <c r="E298" s="66">
        <v>1.0</v>
      </c>
      <c r="F298" s="66" t="s">
        <v>3080</v>
      </c>
      <c r="G298" s="66">
        <v>8.0</v>
      </c>
      <c r="H298" s="81">
        <v>2.0</v>
      </c>
      <c r="I298" s="50">
        <v>72616.0</v>
      </c>
    </row>
    <row r="299">
      <c r="A299" s="66">
        <v>7295.0</v>
      </c>
      <c r="B299" s="66">
        <v>46.0</v>
      </c>
      <c r="C299" s="66">
        <v>9.0</v>
      </c>
      <c r="D299" s="66">
        <v>4.0</v>
      </c>
      <c r="E299" s="66">
        <v>0.0</v>
      </c>
      <c r="F299" s="66" t="s">
        <v>3081</v>
      </c>
      <c r="G299" s="66">
        <v>4.0</v>
      </c>
      <c r="H299" s="81">
        <v>5.0</v>
      </c>
      <c r="I299" s="50">
        <v>10113.0</v>
      </c>
    </row>
    <row r="300">
      <c r="A300" s="66">
        <v>7296.0</v>
      </c>
      <c r="B300" s="66">
        <v>26.0</v>
      </c>
      <c r="C300" s="66">
        <v>5.0</v>
      </c>
      <c r="D300" s="66">
        <v>1.0</v>
      </c>
      <c r="E300" s="66">
        <v>1.0</v>
      </c>
      <c r="F300" s="66" t="s">
        <v>3082</v>
      </c>
      <c r="G300" s="66">
        <v>4.0</v>
      </c>
      <c r="H300" s="81">
        <v>4.0</v>
      </c>
      <c r="I300" s="50">
        <v>120320.0</v>
      </c>
    </row>
    <row r="301">
      <c r="A301" s="66">
        <v>7297.0</v>
      </c>
      <c r="B301" s="66">
        <v>67.0</v>
      </c>
      <c r="C301" s="66">
        <v>4.0</v>
      </c>
      <c r="D301" s="66">
        <v>8.0</v>
      </c>
      <c r="E301" s="66">
        <v>1.0</v>
      </c>
      <c r="F301" s="66" t="s">
        <v>3083</v>
      </c>
      <c r="G301" s="66">
        <v>4.0</v>
      </c>
      <c r="H301" s="81">
        <v>2.0</v>
      </c>
      <c r="I301" s="50">
        <v>110521.0</v>
      </c>
    </row>
    <row r="302">
      <c r="A302" s="66">
        <v>7298.0</v>
      </c>
      <c r="B302" s="66">
        <v>87.0</v>
      </c>
      <c r="C302" s="66">
        <v>9.0</v>
      </c>
      <c r="D302" s="66">
        <v>5.0</v>
      </c>
      <c r="E302" s="66">
        <v>1.0</v>
      </c>
      <c r="F302" s="66" t="s">
        <v>3084</v>
      </c>
      <c r="G302" s="66">
        <v>2.0</v>
      </c>
      <c r="H302" s="81">
        <v>1.0</v>
      </c>
      <c r="I302" s="50">
        <v>21121.0</v>
      </c>
    </row>
    <row r="303">
      <c r="A303" s="66">
        <v>7299.0</v>
      </c>
      <c r="B303" s="66">
        <v>26.0</v>
      </c>
      <c r="C303" s="66">
        <v>5.0</v>
      </c>
      <c r="D303" s="66">
        <v>7.0</v>
      </c>
      <c r="E303" s="66">
        <v>0.0</v>
      </c>
      <c r="F303" s="66" t="s">
        <v>3085</v>
      </c>
      <c r="G303" s="66">
        <v>8.0</v>
      </c>
      <c r="H303" s="81">
        <v>1.0</v>
      </c>
      <c r="I303" s="50">
        <v>100122.0</v>
      </c>
    </row>
    <row r="304">
      <c r="A304" s="66">
        <v>7300.0</v>
      </c>
      <c r="B304" s="66">
        <v>67.0</v>
      </c>
      <c r="C304" s="66">
        <v>5.0</v>
      </c>
      <c r="D304" s="66">
        <v>5.0</v>
      </c>
      <c r="E304" s="66">
        <v>1.0</v>
      </c>
      <c r="F304" s="66" t="s">
        <v>3086</v>
      </c>
      <c r="G304" s="66">
        <v>2.0</v>
      </c>
      <c r="H304" s="81">
        <v>4.0</v>
      </c>
      <c r="I304" s="50">
        <v>53013.0</v>
      </c>
    </row>
    <row r="305">
      <c r="A305" s="66">
        <v>7301.0</v>
      </c>
      <c r="B305" s="66">
        <v>67.0</v>
      </c>
      <c r="C305" s="66">
        <v>5.0</v>
      </c>
      <c r="D305" s="66">
        <v>8.0</v>
      </c>
      <c r="E305" s="66">
        <v>0.0</v>
      </c>
      <c r="F305" s="66" t="s">
        <v>3087</v>
      </c>
      <c r="G305" s="66">
        <v>6.0</v>
      </c>
      <c r="H305" s="81">
        <v>2.0</v>
      </c>
      <c r="I305" s="50">
        <v>70922.0</v>
      </c>
    </row>
    <row r="306">
      <c r="A306" s="66">
        <v>7302.0</v>
      </c>
      <c r="B306" s="66">
        <v>67.0</v>
      </c>
      <c r="C306" s="66">
        <v>6.0</v>
      </c>
      <c r="D306" s="66">
        <v>4.0</v>
      </c>
      <c r="E306" s="66">
        <v>0.0</v>
      </c>
      <c r="F306" s="66" t="s">
        <v>3088</v>
      </c>
      <c r="G306" s="66">
        <v>5.0</v>
      </c>
      <c r="H306" s="81">
        <v>3.0</v>
      </c>
      <c r="I306" s="50">
        <v>51715.0</v>
      </c>
    </row>
    <row r="307">
      <c r="A307" s="66">
        <v>7303.0</v>
      </c>
      <c r="B307" s="66">
        <v>47.0</v>
      </c>
      <c r="C307" s="66">
        <v>1.0</v>
      </c>
      <c r="D307" s="66">
        <v>6.0</v>
      </c>
      <c r="E307" s="66">
        <v>0.0</v>
      </c>
      <c r="F307" s="66" t="s">
        <v>3089</v>
      </c>
      <c r="G307" s="66">
        <v>1.0</v>
      </c>
      <c r="H307" s="81">
        <v>2.0</v>
      </c>
      <c r="I307" s="50">
        <v>70420.0</v>
      </c>
    </row>
    <row r="308">
      <c r="A308" s="66">
        <v>7304.0</v>
      </c>
      <c r="B308" s="66">
        <v>67.0</v>
      </c>
      <c r="C308" s="66">
        <v>6.0</v>
      </c>
      <c r="D308" s="66">
        <v>5.0</v>
      </c>
      <c r="E308" s="66">
        <v>1.0</v>
      </c>
      <c r="F308" s="66" t="s">
        <v>3090</v>
      </c>
      <c r="G308" s="66">
        <v>9.0</v>
      </c>
      <c r="H308" s="81">
        <v>2.0</v>
      </c>
      <c r="I308" s="50">
        <v>62714.0</v>
      </c>
    </row>
    <row r="309">
      <c r="A309" s="66">
        <v>7305.0</v>
      </c>
      <c r="B309" s="66">
        <v>26.0</v>
      </c>
      <c r="C309" s="66">
        <v>6.0</v>
      </c>
      <c r="D309" s="66">
        <v>8.0</v>
      </c>
      <c r="E309" s="66">
        <v>1.0</v>
      </c>
      <c r="F309" s="66" t="s">
        <v>3091</v>
      </c>
      <c r="G309" s="66">
        <v>8.0</v>
      </c>
      <c r="H309" s="81">
        <v>1.0</v>
      </c>
      <c r="I309" s="50">
        <v>92420.0</v>
      </c>
    </row>
    <row r="310">
      <c r="A310" s="66">
        <v>7306.0</v>
      </c>
      <c r="B310" s="66">
        <v>88.0</v>
      </c>
      <c r="C310" s="66">
        <v>1.0</v>
      </c>
      <c r="D310" s="66">
        <v>7.0</v>
      </c>
      <c r="E310" s="66">
        <v>0.0</v>
      </c>
      <c r="F310" s="66" t="s">
        <v>3092</v>
      </c>
      <c r="G310" s="66">
        <v>1.0</v>
      </c>
      <c r="H310" s="81">
        <v>5.0</v>
      </c>
      <c r="I310" s="50">
        <v>111522.0</v>
      </c>
    </row>
    <row r="311">
      <c r="A311" s="66">
        <v>7307.0</v>
      </c>
      <c r="B311" s="66">
        <v>26.0</v>
      </c>
      <c r="C311" s="66">
        <v>7.0</v>
      </c>
      <c r="D311" s="66">
        <v>4.0</v>
      </c>
      <c r="E311" s="66">
        <v>0.0</v>
      </c>
      <c r="F311" s="66" t="s">
        <v>3093</v>
      </c>
      <c r="G311" s="66">
        <v>7.0</v>
      </c>
      <c r="H311" s="81">
        <v>2.0</v>
      </c>
      <c r="I311" s="50">
        <v>20114.0</v>
      </c>
    </row>
    <row r="312">
      <c r="A312" s="66">
        <v>7308.0</v>
      </c>
      <c r="B312" s="66">
        <v>47.0</v>
      </c>
      <c r="C312" s="66">
        <v>2.0</v>
      </c>
      <c r="D312" s="66">
        <v>3.0</v>
      </c>
      <c r="E312" s="66">
        <v>0.0</v>
      </c>
      <c r="F312" s="66" t="s">
        <v>3094</v>
      </c>
      <c r="G312" s="66">
        <v>7.0</v>
      </c>
      <c r="H312" s="81">
        <v>4.0</v>
      </c>
      <c r="I312" s="50">
        <v>12621.0</v>
      </c>
    </row>
    <row r="313">
      <c r="A313" s="66">
        <v>7309.0</v>
      </c>
      <c r="B313" s="66">
        <v>26.0</v>
      </c>
      <c r="C313" s="66">
        <v>7.0</v>
      </c>
      <c r="D313" s="66">
        <v>5.0</v>
      </c>
      <c r="E313" s="66">
        <v>0.0</v>
      </c>
      <c r="F313" s="66" t="s">
        <v>3095</v>
      </c>
      <c r="G313" s="66">
        <v>5.0</v>
      </c>
      <c r="H313" s="81">
        <v>3.0</v>
      </c>
      <c r="I313" s="50">
        <v>61522.0</v>
      </c>
    </row>
    <row r="314">
      <c r="A314" s="66">
        <v>7310.0</v>
      </c>
      <c r="B314" s="66">
        <v>26.0</v>
      </c>
      <c r="C314" s="66">
        <v>7.0</v>
      </c>
      <c r="D314" s="66">
        <v>3.0</v>
      </c>
      <c r="E314" s="66">
        <v>0.0</v>
      </c>
      <c r="F314" s="66" t="s">
        <v>3096</v>
      </c>
      <c r="G314" s="66">
        <v>3.0</v>
      </c>
      <c r="H314" s="81">
        <v>5.0</v>
      </c>
      <c r="I314" s="50">
        <v>81915.0</v>
      </c>
    </row>
    <row r="315">
      <c r="A315" s="66">
        <v>7311.0</v>
      </c>
      <c r="B315" s="66">
        <v>88.0</v>
      </c>
      <c r="C315" s="66">
        <v>2.0</v>
      </c>
      <c r="D315" s="66">
        <v>2.0</v>
      </c>
      <c r="E315" s="66">
        <v>0.0</v>
      </c>
      <c r="F315" s="66" t="s">
        <v>3097</v>
      </c>
      <c r="G315" s="66">
        <v>6.0</v>
      </c>
      <c r="H315" s="81">
        <v>2.0</v>
      </c>
      <c r="I315" s="50">
        <v>120115.0</v>
      </c>
    </row>
    <row r="316">
      <c r="A316" s="66">
        <v>7312.0</v>
      </c>
      <c r="B316" s="66">
        <v>67.0</v>
      </c>
      <c r="C316" s="66">
        <v>7.0</v>
      </c>
      <c r="D316" s="66">
        <v>4.0</v>
      </c>
      <c r="E316" s="66">
        <v>0.0</v>
      </c>
      <c r="F316" s="66" t="s">
        <v>3098</v>
      </c>
      <c r="G316" s="66">
        <v>5.0</v>
      </c>
      <c r="H316" s="81">
        <v>1.0</v>
      </c>
      <c r="I316" s="50">
        <v>100315.0</v>
      </c>
    </row>
    <row r="317">
      <c r="A317" s="66">
        <v>7313.0</v>
      </c>
      <c r="B317" s="66">
        <v>26.0</v>
      </c>
      <c r="C317" s="66">
        <v>8.0</v>
      </c>
      <c r="D317" s="66">
        <v>2.0</v>
      </c>
      <c r="E317" s="66">
        <v>0.0</v>
      </c>
      <c r="F317" s="66" t="s">
        <v>3099</v>
      </c>
      <c r="G317" s="66">
        <v>5.0</v>
      </c>
      <c r="H317" s="81">
        <v>1.0</v>
      </c>
      <c r="I317" s="50">
        <v>121117.0</v>
      </c>
    </row>
    <row r="318">
      <c r="A318" s="66">
        <v>7314.0</v>
      </c>
      <c r="B318" s="66">
        <v>47.0</v>
      </c>
      <c r="C318" s="66">
        <v>3.0</v>
      </c>
      <c r="D318" s="66">
        <v>4.0</v>
      </c>
      <c r="E318" s="66">
        <v>0.0</v>
      </c>
      <c r="F318" s="66" t="s">
        <v>3100</v>
      </c>
      <c r="G318" s="66">
        <v>9.0</v>
      </c>
      <c r="H318" s="81">
        <v>4.0</v>
      </c>
      <c r="I318" s="50">
        <v>102120.0</v>
      </c>
    </row>
    <row r="319">
      <c r="A319" s="66">
        <v>7315.0</v>
      </c>
      <c r="B319" s="66">
        <v>26.0</v>
      </c>
      <c r="C319" s="66">
        <v>8.0</v>
      </c>
      <c r="D319" s="66">
        <v>8.0</v>
      </c>
      <c r="E319" s="66">
        <v>0.0</v>
      </c>
      <c r="F319" s="66" t="s">
        <v>3101</v>
      </c>
      <c r="G319" s="66">
        <v>7.0</v>
      </c>
      <c r="H319" s="81">
        <v>3.0</v>
      </c>
      <c r="I319" s="50">
        <v>92618.0</v>
      </c>
    </row>
    <row r="320">
      <c r="A320" s="66">
        <v>7316.0</v>
      </c>
      <c r="B320" s="66">
        <v>88.0</v>
      </c>
      <c r="C320" s="66">
        <v>3.0</v>
      </c>
      <c r="D320" s="66">
        <v>4.0</v>
      </c>
      <c r="E320" s="66">
        <v>1.0</v>
      </c>
      <c r="F320" s="66" t="s">
        <v>3102</v>
      </c>
      <c r="G320" s="66">
        <v>5.0</v>
      </c>
      <c r="H320" s="81">
        <v>3.0</v>
      </c>
      <c r="I320" s="50">
        <v>110513.0</v>
      </c>
    </row>
    <row r="321">
      <c r="A321" s="66">
        <v>7317.0</v>
      </c>
      <c r="B321" s="66">
        <v>88.0</v>
      </c>
      <c r="C321" s="66">
        <v>3.0</v>
      </c>
      <c r="D321" s="66">
        <v>5.0</v>
      </c>
      <c r="E321" s="66">
        <v>1.0</v>
      </c>
      <c r="F321" s="66" t="s">
        <v>3103</v>
      </c>
      <c r="G321" s="66">
        <v>9.0</v>
      </c>
      <c r="H321" s="81">
        <v>2.0</v>
      </c>
      <c r="I321" s="50">
        <v>121518.0</v>
      </c>
    </row>
    <row r="322">
      <c r="A322" s="66">
        <v>7318.0</v>
      </c>
      <c r="B322" s="66">
        <v>88.0</v>
      </c>
      <c r="C322" s="66">
        <v>3.0</v>
      </c>
      <c r="D322" s="66">
        <v>6.0</v>
      </c>
      <c r="E322" s="66">
        <v>0.0</v>
      </c>
      <c r="F322" s="66" t="s">
        <v>3104</v>
      </c>
      <c r="G322" s="66">
        <v>1.0</v>
      </c>
      <c r="H322" s="81">
        <v>4.0</v>
      </c>
      <c r="I322" s="50">
        <v>81814.0</v>
      </c>
    </row>
    <row r="323">
      <c r="A323" s="66">
        <v>7319.0</v>
      </c>
      <c r="B323" s="66">
        <v>26.0</v>
      </c>
      <c r="C323" s="66">
        <v>9.0</v>
      </c>
      <c r="D323" s="66">
        <v>5.0</v>
      </c>
      <c r="E323" s="66">
        <v>1.0</v>
      </c>
      <c r="F323" s="66" t="s">
        <v>3105</v>
      </c>
      <c r="G323" s="66">
        <v>7.0</v>
      </c>
      <c r="H323" s="81">
        <v>3.0</v>
      </c>
      <c r="I323" s="50">
        <v>102416.0</v>
      </c>
    </row>
    <row r="324">
      <c r="A324" s="66">
        <v>7320.0</v>
      </c>
      <c r="B324" s="66">
        <v>67.0</v>
      </c>
      <c r="C324" s="66">
        <v>9.0</v>
      </c>
      <c r="D324" s="66">
        <v>2.0</v>
      </c>
      <c r="E324" s="66">
        <v>1.0</v>
      </c>
      <c r="F324" s="66" t="s">
        <v>3106</v>
      </c>
      <c r="G324" s="66">
        <v>9.0</v>
      </c>
      <c r="H324" s="81">
        <v>3.0</v>
      </c>
      <c r="I324" s="50">
        <v>61416.0</v>
      </c>
    </row>
    <row r="325">
      <c r="A325" s="66">
        <v>7321.0</v>
      </c>
      <c r="B325" s="66">
        <v>88.0</v>
      </c>
      <c r="C325" s="66">
        <v>4.0</v>
      </c>
      <c r="D325" s="66">
        <v>2.0</v>
      </c>
      <c r="E325" s="66">
        <v>0.0</v>
      </c>
      <c r="F325" s="66" t="s">
        <v>3107</v>
      </c>
      <c r="G325" s="66">
        <v>6.0</v>
      </c>
      <c r="H325" s="81">
        <v>1.0</v>
      </c>
      <c r="I325" s="50">
        <v>60720.0</v>
      </c>
    </row>
    <row r="326">
      <c r="A326" s="66">
        <v>7322.0</v>
      </c>
      <c r="B326" s="66">
        <v>88.0</v>
      </c>
      <c r="C326" s="66">
        <v>4.0</v>
      </c>
      <c r="D326" s="66">
        <v>3.0</v>
      </c>
      <c r="E326" s="66">
        <v>1.0</v>
      </c>
      <c r="F326" s="66" t="s">
        <v>3108</v>
      </c>
      <c r="G326" s="66">
        <v>5.0</v>
      </c>
      <c r="H326" s="81">
        <v>4.0</v>
      </c>
      <c r="I326" s="50">
        <v>91921.0</v>
      </c>
    </row>
    <row r="327">
      <c r="A327" s="66">
        <v>7323.0</v>
      </c>
      <c r="B327" s="66">
        <v>67.0</v>
      </c>
      <c r="C327" s="66">
        <v>9.0</v>
      </c>
      <c r="D327" s="66">
        <v>7.0</v>
      </c>
      <c r="E327" s="66">
        <v>0.0</v>
      </c>
      <c r="F327" s="66" t="s">
        <v>3109</v>
      </c>
      <c r="G327" s="66">
        <v>7.0</v>
      </c>
      <c r="H327" s="81">
        <v>3.0</v>
      </c>
      <c r="I327" s="50">
        <v>30114.0</v>
      </c>
    </row>
    <row r="328">
      <c r="A328" s="66">
        <v>7324.0</v>
      </c>
      <c r="B328" s="66">
        <v>67.0</v>
      </c>
      <c r="C328" s="66">
        <v>9.0</v>
      </c>
      <c r="D328" s="66">
        <v>9.0</v>
      </c>
      <c r="E328" s="66">
        <v>1.0</v>
      </c>
      <c r="F328" s="66" t="s">
        <v>3110</v>
      </c>
      <c r="G328" s="66">
        <v>2.0</v>
      </c>
      <c r="H328" s="81">
        <v>1.0</v>
      </c>
      <c r="I328" s="50">
        <v>51413.0</v>
      </c>
    </row>
    <row r="329">
      <c r="A329" s="66">
        <v>7325.0</v>
      </c>
      <c r="B329" s="66">
        <v>88.0</v>
      </c>
      <c r="C329" s="66">
        <v>4.0</v>
      </c>
      <c r="D329" s="66">
        <v>9.0</v>
      </c>
      <c r="E329" s="66">
        <v>1.0</v>
      </c>
      <c r="F329" s="66" t="s">
        <v>3111</v>
      </c>
      <c r="G329" s="66">
        <v>5.0</v>
      </c>
      <c r="H329" s="81">
        <v>2.0</v>
      </c>
      <c r="I329" s="50">
        <v>82521.0</v>
      </c>
    </row>
    <row r="330">
      <c r="A330" s="66">
        <v>7326.0</v>
      </c>
      <c r="B330" s="66">
        <v>68.0</v>
      </c>
      <c r="C330" s="66">
        <v>1.0</v>
      </c>
      <c r="D330" s="66">
        <v>1.0</v>
      </c>
      <c r="E330" s="66">
        <v>1.0</v>
      </c>
      <c r="F330" s="66" t="s">
        <v>3112</v>
      </c>
      <c r="G330" s="66">
        <v>2.0</v>
      </c>
      <c r="H330" s="81">
        <v>1.0</v>
      </c>
      <c r="I330" s="50">
        <v>70119.0</v>
      </c>
    </row>
    <row r="331">
      <c r="A331" s="66">
        <v>7327.0</v>
      </c>
      <c r="B331" s="66">
        <v>27.0</v>
      </c>
      <c r="C331" s="66">
        <v>1.0</v>
      </c>
      <c r="D331" s="66">
        <v>6.0</v>
      </c>
      <c r="E331" s="66">
        <v>0.0</v>
      </c>
      <c r="F331" s="66" t="s">
        <v>3113</v>
      </c>
      <c r="G331" s="66">
        <v>5.0</v>
      </c>
      <c r="H331" s="81">
        <v>3.0</v>
      </c>
      <c r="I331" s="50">
        <v>70617.0</v>
      </c>
    </row>
    <row r="332">
      <c r="A332" s="66">
        <v>7328.0</v>
      </c>
      <c r="B332" s="66">
        <v>88.0</v>
      </c>
      <c r="C332" s="66">
        <v>6.0</v>
      </c>
      <c r="D332" s="66">
        <v>2.0</v>
      </c>
      <c r="E332" s="66">
        <v>1.0</v>
      </c>
      <c r="F332" s="66" t="s">
        <v>3114</v>
      </c>
      <c r="G332" s="66">
        <v>3.0</v>
      </c>
      <c r="H332" s="81">
        <v>3.0</v>
      </c>
      <c r="I332" s="50">
        <v>102917.0</v>
      </c>
    </row>
    <row r="333">
      <c r="A333" s="66">
        <v>7329.0</v>
      </c>
      <c r="B333" s="66">
        <v>68.0</v>
      </c>
      <c r="C333" s="66">
        <v>1.0</v>
      </c>
      <c r="D333" s="66">
        <v>4.0</v>
      </c>
      <c r="E333" s="66">
        <v>1.0</v>
      </c>
      <c r="F333" s="66" t="s">
        <v>3115</v>
      </c>
      <c r="G333" s="66">
        <v>7.0</v>
      </c>
      <c r="H333" s="81">
        <v>1.0</v>
      </c>
      <c r="I333" s="50">
        <v>82318.0</v>
      </c>
    </row>
    <row r="334">
      <c r="A334" s="66">
        <v>7330.0</v>
      </c>
      <c r="B334" s="66">
        <v>68.0</v>
      </c>
      <c r="C334" s="66">
        <v>1.0</v>
      </c>
      <c r="D334" s="66">
        <v>6.0</v>
      </c>
      <c r="E334" s="66">
        <v>0.0</v>
      </c>
      <c r="F334" s="66" t="s">
        <v>3116</v>
      </c>
      <c r="G334" s="66">
        <v>5.0</v>
      </c>
      <c r="H334" s="81">
        <v>1.0</v>
      </c>
      <c r="I334" s="50">
        <v>120718.0</v>
      </c>
    </row>
    <row r="335">
      <c r="A335" s="66">
        <v>7331.0</v>
      </c>
      <c r="B335" s="66">
        <v>27.0</v>
      </c>
      <c r="C335" s="66">
        <v>2.0</v>
      </c>
      <c r="D335" s="66">
        <v>2.0</v>
      </c>
      <c r="E335" s="66">
        <v>1.0</v>
      </c>
      <c r="F335" s="66" t="s">
        <v>3117</v>
      </c>
      <c r="G335" s="66">
        <v>1.0</v>
      </c>
      <c r="H335" s="81">
        <v>2.0</v>
      </c>
      <c r="I335" s="50">
        <v>81918.0</v>
      </c>
    </row>
    <row r="336">
      <c r="A336" s="66">
        <v>7332.0</v>
      </c>
      <c r="B336" s="66">
        <v>47.0</v>
      </c>
      <c r="C336" s="66">
        <v>7.0</v>
      </c>
      <c r="D336" s="66">
        <v>1.0</v>
      </c>
      <c r="E336" s="66">
        <v>1.0</v>
      </c>
      <c r="F336" s="66" t="s">
        <v>3118</v>
      </c>
      <c r="G336" s="66">
        <v>6.0</v>
      </c>
      <c r="H336" s="81">
        <v>4.0</v>
      </c>
      <c r="I336" s="50">
        <v>42615.0</v>
      </c>
    </row>
    <row r="337">
      <c r="A337" s="66">
        <v>7333.0</v>
      </c>
      <c r="B337" s="66">
        <v>88.0</v>
      </c>
      <c r="C337" s="66">
        <v>6.0</v>
      </c>
      <c r="D337" s="66">
        <v>8.0</v>
      </c>
      <c r="E337" s="66">
        <v>0.0</v>
      </c>
      <c r="F337" s="66" t="s">
        <v>3119</v>
      </c>
      <c r="G337" s="66">
        <v>8.0</v>
      </c>
      <c r="H337" s="81">
        <v>2.0</v>
      </c>
      <c r="I337" s="50">
        <v>30918.0</v>
      </c>
    </row>
    <row r="338">
      <c r="A338" s="66">
        <v>7334.0</v>
      </c>
      <c r="B338" s="66">
        <v>68.0</v>
      </c>
      <c r="C338" s="66">
        <v>2.0</v>
      </c>
      <c r="D338" s="66">
        <v>2.0</v>
      </c>
      <c r="E338" s="66">
        <v>0.0</v>
      </c>
      <c r="F338" s="66" t="s">
        <v>3120</v>
      </c>
      <c r="G338" s="66">
        <v>8.0</v>
      </c>
      <c r="H338" s="81">
        <v>2.0</v>
      </c>
      <c r="I338" s="50">
        <v>11620.0</v>
      </c>
    </row>
    <row r="339">
      <c r="A339" s="66">
        <v>7335.0</v>
      </c>
      <c r="B339" s="66">
        <v>47.0</v>
      </c>
      <c r="C339" s="66">
        <v>7.0</v>
      </c>
      <c r="D339" s="66">
        <v>5.0</v>
      </c>
      <c r="E339" s="66">
        <v>0.0</v>
      </c>
      <c r="F339" s="66" t="s">
        <v>3121</v>
      </c>
      <c r="G339" s="66">
        <v>8.0</v>
      </c>
      <c r="H339" s="81">
        <v>3.0</v>
      </c>
      <c r="I339" s="50">
        <v>101819.0</v>
      </c>
    </row>
    <row r="340">
      <c r="A340" s="66">
        <v>7336.0</v>
      </c>
      <c r="B340" s="66">
        <v>68.0</v>
      </c>
      <c r="C340" s="66">
        <v>2.0</v>
      </c>
      <c r="D340" s="66">
        <v>4.0</v>
      </c>
      <c r="E340" s="66">
        <v>0.0</v>
      </c>
      <c r="F340" s="66" t="s">
        <v>3122</v>
      </c>
      <c r="G340" s="66">
        <v>8.0</v>
      </c>
      <c r="H340" s="81">
        <v>4.0</v>
      </c>
      <c r="I340" s="50">
        <v>22519.0</v>
      </c>
    </row>
    <row r="341">
      <c r="A341" s="66">
        <v>7337.0</v>
      </c>
      <c r="B341" s="66">
        <v>88.0</v>
      </c>
      <c r="C341" s="66">
        <v>7.0</v>
      </c>
      <c r="D341" s="66">
        <v>2.0</v>
      </c>
      <c r="E341" s="66">
        <v>1.0</v>
      </c>
      <c r="F341" s="66" t="s">
        <v>3123</v>
      </c>
      <c r="G341" s="66">
        <v>1.0</v>
      </c>
      <c r="H341" s="81">
        <v>4.0</v>
      </c>
      <c r="I341" s="50">
        <v>72118.0</v>
      </c>
    </row>
    <row r="342">
      <c r="A342" s="66">
        <v>7338.0</v>
      </c>
      <c r="B342" s="66">
        <v>47.0</v>
      </c>
      <c r="C342" s="66">
        <v>7.0</v>
      </c>
      <c r="D342" s="66">
        <v>8.0</v>
      </c>
      <c r="E342" s="66">
        <v>0.0</v>
      </c>
      <c r="F342" s="66" t="s">
        <v>3124</v>
      </c>
      <c r="G342" s="66">
        <v>1.0</v>
      </c>
      <c r="H342" s="81">
        <v>3.0</v>
      </c>
      <c r="I342" s="50">
        <v>102514.0</v>
      </c>
    </row>
    <row r="343">
      <c r="A343" s="66">
        <v>7339.0</v>
      </c>
      <c r="B343" s="66">
        <v>47.0</v>
      </c>
      <c r="C343" s="66">
        <v>7.0</v>
      </c>
      <c r="D343" s="66">
        <v>7.0</v>
      </c>
      <c r="E343" s="66">
        <v>0.0</v>
      </c>
      <c r="F343" s="66" t="s">
        <v>3125</v>
      </c>
      <c r="G343" s="66">
        <v>7.0</v>
      </c>
      <c r="H343" s="81">
        <v>1.0</v>
      </c>
      <c r="I343" s="50">
        <v>60117.0</v>
      </c>
    </row>
    <row r="344">
      <c r="A344" s="66">
        <v>7340.0</v>
      </c>
      <c r="B344" s="66">
        <v>88.0</v>
      </c>
      <c r="C344" s="66">
        <v>7.0</v>
      </c>
      <c r="D344" s="66">
        <v>7.0</v>
      </c>
      <c r="E344" s="66">
        <v>0.0</v>
      </c>
      <c r="F344" s="66" t="s">
        <v>3126</v>
      </c>
      <c r="G344" s="66">
        <v>6.0</v>
      </c>
      <c r="H344" s="81">
        <v>2.0</v>
      </c>
      <c r="I344" s="50">
        <v>110118.0</v>
      </c>
    </row>
    <row r="345">
      <c r="A345" s="66">
        <v>7341.0</v>
      </c>
      <c r="B345" s="66">
        <v>47.0</v>
      </c>
      <c r="C345" s="66">
        <v>8.0</v>
      </c>
      <c r="D345" s="66">
        <v>6.0</v>
      </c>
      <c r="E345" s="66">
        <v>0.0</v>
      </c>
      <c r="F345" s="66" t="s">
        <v>3127</v>
      </c>
      <c r="G345" s="66">
        <v>3.0</v>
      </c>
      <c r="H345" s="81">
        <v>5.0</v>
      </c>
      <c r="I345" s="50">
        <v>70517.0</v>
      </c>
    </row>
    <row r="346">
      <c r="A346" s="66">
        <v>7342.0</v>
      </c>
      <c r="B346" s="66">
        <v>88.0</v>
      </c>
      <c r="C346" s="66">
        <v>8.0</v>
      </c>
      <c r="D346" s="66">
        <v>2.0</v>
      </c>
      <c r="E346" s="66">
        <v>0.0</v>
      </c>
      <c r="F346" s="66" t="s">
        <v>3128</v>
      </c>
      <c r="G346" s="66">
        <v>5.0</v>
      </c>
      <c r="H346" s="81">
        <v>3.0</v>
      </c>
      <c r="I346" s="50">
        <v>81016.0</v>
      </c>
    </row>
    <row r="347">
      <c r="A347" s="66">
        <v>7343.0</v>
      </c>
      <c r="B347" s="66">
        <v>47.0</v>
      </c>
      <c r="C347" s="66">
        <v>8.0</v>
      </c>
      <c r="D347" s="66">
        <v>7.0</v>
      </c>
      <c r="E347" s="66">
        <v>0.0</v>
      </c>
      <c r="F347" s="66" t="s">
        <v>3129</v>
      </c>
      <c r="G347" s="66">
        <v>1.0</v>
      </c>
      <c r="H347" s="81">
        <v>3.0</v>
      </c>
      <c r="I347" s="50">
        <v>31413.0</v>
      </c>
    </row>
    <row r="348">
      <c r="A348" s="66">
        <v>7344.0</v>
      </c>
      <c r="B348" s="66">
        <v>27.0</v>
      </c>
      <c r="C348" s="66">
        <v>4.0</v>
      </c>
      <c r="D348" s="66">
        <v>1.0</v>
      </c>
      <c r="E348" s="66">
        <v>1.0</v>
      </c>
      <c r="F348" s="66" t="s">
        <v>3130</v>
      </c>
      <c r="G348" s="66">
        <v>3.0</v>
      </c>
      <c r="H348" s="81">
        <v>1.0</v>
      </c>
      <c r="I348" s="50">
        <v>21318.0</v>
      </c>
    </row>
    <row r="349">
      <c r="A349" s="66">
        <v>7345.0</v>
      </c>
      <c r="B349" s="66">
        <v>88.0</v>
      </c>
      <c r="C349" s="66">
        <v>8.0</v>
      </c>
      <c r="D349" s="66">
        <v>6.0</v>
      </c>
      <c r="E349" s="66">
        <v>0.0</v>
      </c>
      <c r="F349" s="66" t="s">
        <v>3131</v>
      </c>
      <c r="G349" s="66">
        <v>3.0</v>
      </c>
      <c r="H349" s="81">
        <v>3.0</v>
      </c>
      <c r="I349" s="50">
        <v>113022.0</v>
      </c>
    </row>
    <row r="350">
      <c r="A350" s="66">
        <v>7346.0</v>
      </c>
      <c r="B350" s="66">
        <v>88.0</v>
      </c>
      <c r="C350" s="66">
        <v>8.0</v>
      </c>
      <c r="D350" s="66">
        <v>5.0</v>
      </c>
      <c r="E350" s="66">
        <v>0.0</v>
      </c>
      <c r="F350" s="66" t="s">
        <v>3132</v>
      </c>
      <c r="G350" s="66">
        <v>7.0</v>
      </c>
      <c r="H350" s="81">
        <v>5.0</v>
      </c>
      <c r="I350" s="50">
        <v>100416.0</v>
      </c>
    </row>
    <row r="351">
      <c r="A351" s="66">
        <v>7347.0</v>
      </c>
      <c r="B351" s="66">
        <v>68.0</v>
      </c>
      <c r="C351" s="66">
        <v>3.0</v>
      </c>
      <c r="D351" s="66">
        <v>5.0</v>
      </c>
      <c r="E351" s="66">
        <v>0.0</v>
      </c>
      <c r="F351" s="66" t="s">
        <v>3133</v>
      </c>
      <c r="G351" s="66">
        <v>3.0</v>
      </c>
      <c r="H351" s="81">
        <v>2.0</v>
      </c>
      <c r="I351" s="50">
        <v>20913.0</v>
      </c>
    </row>
    <row r="352">
      <c r="A352" s="66">
        <v>7348.0</v>
      </c>
      <c r="B352" s="66">
        <v>47.0</v>
      </c>
      <c r="C352" s="66">
        <v>9.0</v>
      </c>
      <c r="D352" s="66">
        <v>3.0</v>
      </c>
      <c r="E352" s="66">
        <v>1.0</v>
      </c>
      <c r="F352" s="66" t="s">
        <v>3134</v>
      </c>
      <c r="G352" s="66">
        <v>3.0</v>
      </c>
      <c r="H352" s="81">
        <v>3.0</v>
      </c>
      <c r="I352" s="50">
        <v>52221.0</v>
      </c>
    </row>
    <row r="353">
      <c r="A353" s="66">
        <v>7349.0</v>
      </c>
      <c r="B353" s="66">
        <v>27.0</v>
      </c>
      <c r="C353" s="66">
        <v>4.0</v>
      </c>
      <c r="D353" s="66">
        <v>6.0</v>
      </c>
      <c r="E353" s="66">
        <v>1.0</v>
      </c>
      <c r="F353" s="66" t="s">
        <v>3135</v>
      </c>
      <c r="G353" s="66">
        <v>3.0</v>
      </c>
      <c r="H353" s="81">
        <v>3.0</v>
      </c>
      <c r="I353" s="50">
        <v>11318.0</v>
      </c>
    </row>
    <row r="354">
      <c r="A354" s="66">
        <v>7350.0</v>
      </c>
      <c r="B354" s="66">
        <v>27.0</v>
      </c>
      <c r="C354" s="66">
        <v>4.0</v>
      </c>
      <c r="D354" s="66">
        <v>9.0</v>
      </c>
      <c r="E354" s="66">
        <v>0.0</v>
      </c>
      <c r="F354" s="66" t="s">
        <v>3136</v>
      </c>
      <c r="G354" s="66">
        <v>3.0</v>
      </c>
      <c r="H354" s="81">
        <v>3.0</v>
      </c>
      <c r="I354" s="50">
        <v>121321.0</v>
      </c>
    </row>
    <row r="355">
      <c r="A355" s="66">
        <v>7351.0</v>
      </c>
      <c r="B355" s="66">
        <v>88.0</v>
      </c>
      <c r="C355" s="66">
        <v>9.0</v>
      </c>
      <c r="D355" s="66">
        <v>9.0</v>
      </c>
      <c r="E355" s="66">
        <v>0.0</v>
      </c>
      <c r="F355" s="66" t="s">
        <v>3137</v>
      </c>
      <c r="G355" s="66">
        <v>8.0</v>
      </c>
      <c r="H355" s="81">
        <v>4.0</v>
      </c>
      <c r="I355" s="50">
        <v>80417.0</v>
      </c>
    </row>
    <row r="356">
      <c r="A356" s="66">
        <v>7352.0</v>
      </c>
      <c r="B356" s="66">
        <v>48.0</v>
      </c>
      <c r="C356" s="66">
        <v>1.0</v>
      </c>
      <c r="D356" s="66">
        <v>2.0</v>
      </c>
      <c r="E356" s="66">
        <v>1.0</v>
      </c>
      <c r="F356" s="66" t="s">
        <v>3138</v>
      </c>
      <c r="G356" s="66">
        <v>6.0</v>
      </c>
      <c r="H356" s="81">
        <v>1.0</v>
      </c>
      <c r="I356" s="50">
        <v>80721.0</v>
      </c>
    </row>
    <row r="357">
      <c r="A357" s="66">
        <v>7353.0</v>
      </c>
      <c r="B357" s="66">
        <v>68.0</v>
      </c>
      <c r="C357" s="66">
        <v>6.0</v>
      </c>
      <c r="D357" s="66">
        <v>1.0</v>
      </c>
      <c r="E357" s="66">
        <v>0.0</v>
      </c>
      <c r="F357" s="66" t="s">
        <v>3139</v>
      </c>
      <c r="G357" s="66">
        <v>8.0</v>
      </c>
      <c r="H357" s="81">
        <v>5.0</v>
      </c>
      <c r="I357" s="50">
        <v>111214.0</v>
      </c>
    </row>
    <row r="358">
      <c r="A358" s="66">
        <v>7354.0</v>
      </c>
      <c r="B358" s="66">
        <v>48.0</v>
      </c>
      <c r="C358" s="66">
        <v>1.0</v>
      </c>
      <c r="D358" s="66">
        <v>4.0</v>
      </c>
      <c r="E358" s="66">
        <v>0.0</v>
      </c>
      <c r="F358" s="66" t="s">
        <v>3140</v>
      </c>
      <c r="G358" s="66">
        <v>3.0</v>
      </c>
      <c r="H358" s="81">
        <v>5.0</v>
      </c>
      <c r="I358" s="50">
        <v>61513.0</v>
      </c>
    </row>
    <row r="359">
      <c r="A359" s="66">
        <v>7355.0</v>
      </c>
      <c r="B359" s="66">
        <v>89.0</v>
      </c>
      <c r="C359" s="66">
        <v>1.0</v>
      </c>
      <c r="D359" s="66">
        <v>1.0</v>
      </c>
      <c r="E359" s="66">
        <v>1.0</v>
      </c>
      <c r="F359" s="66" t="s">
        <v>3141</v>
      </c>
      <c r="G359" s="66">
        <v>6.0</v>
      </c>
      <c r="H359" s="81">
        <v>2.0</v>
      </c>
      <c r="I359" s="50">
        <v>51013.0</v>
      </c>
    </row>
    <row r="360">
      <c r="A360" s="66">
        <v>7356.0</v>
      </c>
      <c r="B360" s="66">
        <v>89.0</v>
      </c>
      <c r="C360" s="66">
        <v>1.0</v>
      </c>
      <c r="D360" s="66">
        <v>2.0</v>
      </c>
      <c r="E360" s="66">
        <v>1.0</v>
      </c>
      <c r="F360" s="66" t="s">
        <v>3142</v>
      </c>
      <c r="G360" s="66">
        <v>4.0</v>
      </c>
      <c r="H360" s="81">
        <v>4.0</v>
      </c>
      <c r="I360" s="50">
        <v>42914.0</v>
      </c>
    </row>
    <row r="361">
      <c r="A361" s="66">
        <v>7357.0</v>
      </c>
      <c r="B361" s="66">
        <v>68.0</v>
      </c>
      <c r="C361" s="66">
        <v>6.0</v>
      </c>
      <c r="D361" s="66">
        <v>5.0</v>
      </c>
      <c r="E361" s="66">
        <v>1.0</v>
      </c>
      <c r="F361" s="66" t="s">
        <v>3143</v>
      </c>
      <c r="G361" s="66">
        <v>9.0</v>
      </c>
      <c r="H361" s="81">
        <v>1.0</v>
      </c>
      <c r="I361" s="50">
        <v>110217.0</v>
      </c>
    </row>
    <row r="362">
      <c r="A362" s="66">
        <v>7358.0</v>
      </c>
      <c r="B362" s="66">
        <v>89.0</v>
      </c>
      <c r="C362" s="66">
        <v>1.0</v>
      </c>
      <c r="D362" s="66">
        <v>5.0</v>
      </c>
      <c r="E362" s="66">
        <v>0.0</v>
      </c>
      <c r="F362" s="66" t="s">
        <v>3144</v>
      </c>
      <c r="G362" s="66">
        <v>5.0</v>
      </c>
      <c r="H362" s="81">
        <v>3.0</v>
      </c>
      <c r="I362" s="50">
        <v>121821.0</v>
      </c>
    </row>
    <row r="363">
      <c r="A363" s="66">
        <v>7359.0</v>
      </c>
      <c r="B363" s="66">
        <v>89.0</v>
      </c>
      <c r="C363" s="66">
        <v>1.0</v>
      </c>
      <c r="D363" s="66">
        <v>8.0</v>
      </c>
      <c r="E363" s="66">
        <v>1.0</v>
      </c>
      <c r="F363" s="66" t="s">
        <v>3145</v>
      </c>
      <c r="G363" s="66">
        <v>9.0</v>
      </c>
      <c r="H363" s="81">
        <v>2.0</v>
      </c>
      <c r="I363" s="50">
        <v>32713.0</v>
      </c>
    </row>
    <row r="364">
      <c r="A364" s="66">
        <v>7360.0</v>
      </c>
      <c r="B364" s="66">
        <v>48.0</v>
      </c>
      <c r="C364" s="66">
        <v>2.0</v>
      </c>
      <c r="D364" s="66">
        <v>2.0</v>
      </c>
      <c r="E364" s="66">
        <v>0.0</v>
      </c>
      <c r="F364" s="66" t="s">
        <v>3146</v>
      </c>
      <c r="G364" s="66">
        <v>3.0</v>
      </c>
      <c r="H364" s="81">
        <v>3.0</v>
      </c>
      <c r="I364" s="50">
        <v>10417.0</v>
      </c>
    </row>
    <row r="365">
      <c r="A365" s="66">
        <v>7361.0</v>
      </c>
      <c r="B365" s="66">
        <v>27.0</v>
      </c>
      <c r="C365" s="66">
        <v>7.0</v>
      </c>
      <c r="D365" s="66">
        <v>6.0</v>
      </c>
      <c r="E365" s="66">
        <v>0.0</v>
      </c>
      <c r="F365" s="66" t="s">
        <v>3147</v>
      </c>
      <c r="G365" s="66">
        <v>1.0</v>
      </c>
      <c r="H365" s="81">
        <v>1.0</v>
      </c>
      <c r="I365" s="50">
        <v>12213.0</v>
      </c>
    </row>
    <row r="366">
      <c r="A366" s="66">
        <v>7362.0</v>
      </c>
      <c r="B366" s="66">
        <v>68.0</v>
      </c>
      <c r="C366" s="66">
        <v>7.0</v>
      </c>
      <c r="D366" s="66">
        <v>5.0</v>
      </c>
      <c r="E366" s="66">
        <v>0.0</v>
      </c>
      <c r="F366" s="66" t="s">
        <v>3148</v>
      </c>
      <c r="G366" s="66">
        <v>6.0</v>
      </c>
      <c r="H366" s="81">
        <v>2.0</v>
      </c>
      <c r="I366" s="50">
        <v>22115.0</v>
      </c>
    </row>
    <row r="367">
      <c r="A367" s="66">
        <v>7363.0</v>
      </c>
      <c r="B367" s="66">
        <v>89.0</v>
      </c>
      <c r="C367" s="66">
        <v>2.0</v>
      </c>
      <c r="D367" s="66">
        <v>7.0</v>
      </c>
      <c r="E367" s="66">
        <v>1.0</v>
      </c>
      <c r="F367" s="66" t="s">
        <v>3149</v>
      </c>
      <c r="G367" s="66">
        <v>3.0</v>
      </c>
      <c r="H367" s="81">
        <v>5.0</v>
      </c>
      <c r="I367" s="50">
        <v>40615.0</v>
      </c>
    </row>
    <row r="368">
      <c r="A368" s="66">
        <v>7364.0</v>
      </c>
      <c r="B368" s="66">
        <v>48.0</v>
      </c>
      <c r="C368" s="66">
        <v>3.0</v>
      </c>
      <c r="D368" s="66">
        <v>2.0</v>
      </c>
      <c r="E368" s="66">
        <v>0.0</v>
      </c>
      <c r="F368" s="66" t="s">
        <v>3150</v>
      </c>
      <c r="G368" s="66">
        <v>5.0</v>
      </c>
      <c r="H368" s="81">
        <v>2.0</v>
      </c>
      <c r="I368" s="50">
        <v>21920.0</v>
      </c>
    </row>
    <row r="369">
      <c r="A369" s="66">
        <v>7365.0</v>
      </c>
      <c r="B369" s="66">
        <v>89.0</v>
      </c>
      <c r="C369" s="66">
        <v>2.0</v>
      </c>
      <c r="D369" s="66">
        <v>9.0</v>
      </c>
      <c r="E369" s="66">
        <v>1.0</v>
      </c>
      <c r="F369" s="66" t="s">
        <v>3151</v>
      </c>
      <c r="G369" s="66">
        <v>1.0</v>
      </c>
      <c r="H369" s="81">
        <v>2.0</v>
      </c>
      <c r="I369" s="50">
        <v>61819.0</v>
      </c>
    </row>
    <row r="370">
      <c r="A370" s="66">
        <v>7366.0</v>
      </c>
      <c r="B370" s="66">
        <v>68.0</v>
      </c>
      <c r="C370" s="66">
        <v>8.0</v>
      </c>
      <c r="D370" s="66">
        <v>2.0</v>
      </c>
      <c r="E370" s="66">
        <v>0.0</v>
      </c>
      <c r="F370" s="66" t="s">
        <v>3152</v>
      </c>
      <c r="G370" s="66">
        <v>8.0</v>
      </c>
      <c r="H370" s="81">
        <v>4.0</v>
      </c>
      <c r="I370" s="50">
        <v>120921.0</v>
      </c>
    </row>
    <row r="371">
      <c r="A371" s="66">
        <v>7367.0</v>
      </c>
      <c r="B371" s="66">
        <v>27.0</v>
      </c>
      <c r="C371" s="66">
        <v>8.0</v>
      </c>
      <c r="D371" s="66">
        <v>3.0</v>
      </c>
      <c r="E371" s="66">
        <v>0.0</v>
      </c>
      <c r="F371" s="66" t="s">
        <v>3153</v>
      </c>
      <c r="G371" s="66">
        <v>3.0</v>
      </c>
      <c r="H371" s="81">
        <v>1.0</v>
      </c>
      <c r="I371" s="50">
        <v>110822.0</v>
      </c>
    </row>
    <row r="372">
      <c r="A372" s="66">
        <v>7368.0</v>
      </c>
      <c r="B372" s="66">
        <v>48.0</v>
      </c>
      <c r="C372" s="66">
        <v>3.0</v>
      </c>
      <c r="D372" s="66">
        <v>8.0</v>
      </c>
      <c r="E372" s="66">
        <v>0.0</v>
      </c>
      <c r="F372" s="66" t="s">
        <v>3154</v>
      </c>
      <c r="G372" s="66">
        <v>3.0</v>
      </c>
      <c r="H372" s="81">
        <v>2.0</v>
      </c>
      <c r="I372" s="50">
        <v>61413.0</v>
      </c>
    </row>
    <row r="373">
      <c r="A373" s="66">
        <v>7369.0</v>
      </c>
      <c r="B373" s="66">
        <v>27.0</v>
      </c>
      <c r="C373" s="66">
        <v>9.0</v>
      </c>
      <c r="D373" s="66">
        <v>2.0</v>
      </c>
      <c r="E373" s="66">
        <v>0.0</v>
      </c>
      <c r="F373" s="66" t="s">
        <v>3155</v>
      </c>
      <c r="G373" s="66">
        <v>1.0</v>
      </c>
      <c r="H373" s="81">
        <v>1.0</v>
      </c>
      <c r="I373" s="50">
        <v>110813.0</v>
      </c>
    </row>
    <row r="374">
      <c r="A374" s="66">
        <v>7370.0</v>
      </c>
      <c r="B374" s="66">
        <v>48.0</v>
      </c>
      <c r="C374" s="66">
        <v>4.0</v>
      </c>
      <c r="D374" s="66">
        <v>1.0</v>
      </c>
      <c r="E374" s="66">
        <v>1.0</v>
      </c>
      <c r="F374" s="66" t="s">
        <v>3156</v>
      </c>
      <c r="G374" s="66">
        <v>2.0</v>
      </c>
      <c r="H374" s="81">
        <v>3.0</v>
      </c>
      <c r="I374" s="50">
        <v>100622.0</v>
      </c>
    </row>
    <row r="375">
      <c r="A375" s="66">
        <v>7371.0</v>
      </c>
      <c r="B375" s="66">
        <v>27.0</v>
      </c>
      <c r="C375" s="66">
        <v>9.0</v>
      </c>
      <c r="D375" s="66">
        <v>4.0</v>
      </c>
      <c r="E375" s="66">
        <v>0.0</v>
      </c>
      <c r="F375" s="66" t="s">
        <v>3157</v>
      </c>
      <c r="G375" s="66">
        <v>9.0</v>
      </c>
      <c r="H375" s="81">
        <v>2.0</v>
      </c>
      <c r="I375" s="50">
        <v>72119.0</v>
      </c>
    </row>
    <row r="376">
      <c r="A376" s="66">
        <v>7372.0</v>
      </c>
      <c r="B376" s="66">
        <v>48.0</v>
      </c>
      <c r="C376" s="66">
        <v>4.0</v>
      </c>
      <c r="D376" s="66">
        <v>3.0</v>
      </c>
      <c r="E376" s="66">
        <v>1.0</v>
      </c>
      <c r="F376" s="66" t="s">
        <v>3158</v>
      </c>
      <c r="G376" s="66">
        <v>5.0</v>
      </c>
      <c r="H376" s="81">
        <v>2.0</v>
      </c>
      <c r="I376" s="50">
        <v>11515.0</v>
      </c>
    </row>
    <row r="377">
      <c r="A377" s="66">
        <v>7373.0</v>
      </c>
      <c r="B377" s="66">
        <v>68.0</v>
      </c>
      <c r="C377" s="66">
        <v>8.0</v>
      </c>
      <c r="D377" s="66">
        <v>8.0</v>
      </c>
      <c r="E377" s="66">
        <v>0.0</v>
      </c>
      <c r="F377" s="66" t="s">
        <v>3159</v>
      </c>
      <c r="G377" s="66">
        <v>9.0</v>
      </c>
      <c r="H377" s="81">
        <v>4.0</v>
      </c>
      <c r="I377" s="50">
        <v>43020.0</v>
      </c>
    </row>
    <row r="378">
      <c r="A378" s="66">
        <v>7374.0</v>
      </c>
      <c r="B378" s="66">
        <v>68.0</v>
      </c>
      <c r="C378" s="66">
        <v>9.0</v>
      </c>
      <c r="D378" s="66">
        <v>5.0</v>
      </c>
      <c r="E378" s="66">
        <v>1.0</v>
      </c>
      <c r="F378" s="66" t="s">
        <v>3160</v>
      </c>
      <c r="G378" s="66">
        <v>4.0</v>
      </c>
      <c r="H378" s="81">
        <v>3.0</v>
      </c>
      <c r="I378" s="50">
        <v>20915.0</v>
      </c>
    </row>
    <row r="379">
      <c r="A379" s="66">
        <v>7375.0</v>
      </c>
      <c r="B379" s="66">
        <v>89.0</v>
      </c>
      <c r="C379" s="66">
        <v>4.0</v>
      </c>
      <c r="D379" s="66">
        <v>4.0</v>
      </c>
      <c r="E379" s="66">
        <v>0.0</v>
      </c>
      <c r="F379" s="66" t="s">
        <v>3161</v>
      </c>
      <c r="G379" s="66">
        <v>3.0</v>
      </c>
      <c r="H379" s="81">
        <v>2.0</v>
      </c>
      <c r="I379" s="50">
        <v>111918.0</v>
      </c>
    </row>
    <row r="380">
      <c r="A380" s="66">
        <v>7376.0</v>
      </c>
      <c r="B380" s="66">
        <v>48.0</v>
      </c>
      <c r="C380" s="66">
        <v>4.0</v>
      </c>
      <c r="D380" s="66">
        <v>7.0</v>
      </c>
      <c r="E380" s="66">
        <v>1.0</v>
      </c>
      <c r="F380" s="66" t="s">
        <v>3162</v>
      </c>
      <c r="G380" s="66">
        <v>9.0</v>
      </c>
      <c r="H380" s="81">
        <v>4.0</v>
      </c>
      <c r="I380" s="50">
        <v>72922.0</v>
      </c>
    </row>
    <row r="381">
      <c r="A381" s="66">
        <v>7377.0</v>
      </c>
      <c r="B381" s="66">
        <v>68.0</v>
      </c>
      <c r="C381" s="66">
        <v>9.0</v>
      </c>
      <c r="D381" s="66">
        <v>9.0</v>
      </c>
      <c r="E381" s="66">
        <v>1.0</v>
      </c>
      <c r="F381" s="66" t="s">
        <v>3163</v>
      </c>
      <c r="G381" s="66">
        <v>1.0</v>
      </c>
      <c r="H381" s="81">
        <v>5.0</v>
      </c>
      <c r="I381" s="50">
        <v>50817.0</v>
      </c>
    </row>
    <row r="382">
      <c r="A382" s="66">
        <v>7378.0</v>
      </c>
      <c r="B382" s="66">
        <v>89.0</v>
      </c>
      <c r="C382" s="66">
        <v>5.0</v>
      </c>
      <c r="D382" s="66">
        <v>1.0</v>
      </c>
      <c r="E382" s="66">
        <v>1.0</v>
      </c>
      <c r="F382" s="66" t="s">
        <v>3164</v>
      </c>
      <c r="G382" s="66">
        <v>2.0</v>
      </c>
      <c r="H382" s="81">
        <v>2.0</v>
      </c>
      <c r="I382" s="50">
        <v>82821.0</v>
      </c>
    </row>
    <row r="383">
      <c r="A383" s="66">
        <v>7379.0</v>
      </c>
      <c r="B383" s="66">
        <v>89.0</v>
      </c>
      <c r="C383" s="66">
        <v>5.0</v>
      </c>
      <c r="D383" s="66">
        <v>2.0</v>
      </c>
      <c r="E383" s="66">
        <v>0.0</v>
      </c>
      <c r="F383" s="66" t="s">
        <v>3165</v>
      </c>
      <c r="G383" s="66">
        <v>8.0</v>
      </c>
      <c r="H383" s="81">
        <v>4.0</v>
      </c>
      <c r="I383" s="50">
        <v>52116.0</v>
      </c>
    </row>
    <row r="384">
      <c r="A384" s="66">
        <v>7380.0</v>
      </c>
      <c r="B384" s="66">
        <v>28.0</v>
      </c>
      <c r="C384" s="66">
        <v>1.0</v>
      </c>
      <c r="D384" s="66">
        <v>3.0</v>
      </c>
      <c r="E384" s="66">
        <v>1.0</v>
      </c>
      <c r="F384" s="66" t="s">
        <v>3166</v>
      </c>
      <c r="G384" s="66">
        <v>5.0</v>
      </c>
      <c r="H384" s="81">
        <v>4.0</v>
      </c>
      <c r="I384" s="50">
        <v>51321.0</v>
      </c>
    </row>
    <row r="385">
      <c r="A385" s="66">
        <v>7381.0</v>
      </c>
      <c r="B385" s="66">
        <v>69.0</v>
      </c>
      <c r="C385" s="66">
        <v>1.0</v>
      </c>
      <c r="D385" s="66">
        <v>1.0</v>
      </c>
      <c r="E385" s="66">
        <v>1.0</v>
      </c>
      <c r="F385" s="66" t="s">
        <v>3167</v>
      </c>
      <c r="G385" s="66">
        <v>8.0</v>
      </c>
      <c r="H385" s="81">
        <v>4.0</v>
      </c>
      <c r="I385" s="50">
        <v>100522.0</v>
      </c>
    </row>
    <row r="386">
      <c r="A386" s="66">
        <v>7382.0</v>
      </c>
      <c r="B386" s="66">
        <v>89.0</v>
      </c>
      <c r="C386" s="66">
        <v>5.0</v>
      </c>
      <c r="D386" s="66">
        <v>9.0</v>
      </c>
      <c r="E386" s="66">
        <v>1.0</v>
      </c>
      <c r="F386" s="66" t="s">
        <v>3168</v>
      </c>
      <c r="G386" s="66">
        <v>1.0</v>
      </c>
      <c r="H386" s="81">
        <v>1.0</v>
      </c>
      <c r="I386" s="50">
        <v>11314.0</v>
      </c>
    </row>
    <row r="387">
      <c r="A387" s="66">
        <v>7383.0</v>
      </c>
      <c r="B387" s="66">
        <v>48.0</v>
      </c>
      <c r="C387" s="66">
        <v>6.0</v>
      </c>
      <c r="D387" s="66">
        <v>4.0</v>
      </c>
      <c r="E387" s="66">
        <v>1.0</v>
      </c>
      <c r="F387" s="66" t="s">
        <v>3169</v>
      </c>
      <c r="G387" s="66">
        <v>6.0</v>
      </c>
      <c r="H387" s="81">
        <v>2.0</v>
      </c>
      <c r="I387" s="50">
        <v>102718.0</v>
      </c>
    </row>
    <row r="388">
      <c r="A388" s="66">
        <v>7384.0</v>
      </c>
      <c r="B388" s="66">
        <v>28.0</v>
      </c>
      <c r="C388" s="66">
        <v>1.0</v>
      </c>
      <c r="D388" s="66">
        <v>8.0</v>
      </c>
      <c r="E388" s="66">
        <v>0.0</v>
      </c>
      <c r="F388" s="66" t="s">
        <v>3170</v>
      </c>
      <c r="G388" s="66">
        <v>1.0</v>
      </c>
      <c r="H388" s="81">
        <v>1.0</v>
      </c>
      <c r="I388" s="50">
        <v>33122.0</v>
      </c>
    </row>
    <row r="389">
      <c r="A389" s="66">
        <v>7385.0</v>
      </c>
      <c r="B389" s="66">
        <v>89.0</v>
      </c>
      <c r="C389" s="66">
        <v>6.0</v>
      </c>
      <c r="D389" s="66">
        <v>3.0</v>
      </c>
      <c r="E389" s="66">
        <v>0.0</v>
      </c>
      <c r="F389" s="66" t="s">
        <v>3171</v>
      </c>
      <c r="G389" s="66">
        <v>9.0</v>
      </c>
      <c r="H389" s="81">
        <v>5.0</v>
      </c>
      <c r="I389" s="50">
        <v>43016.0</v>
      </c>
    </row>
    <row r="390">
      <c r="A390" s="66">
        <v>7386.0</v>
      </c>
      <c r="B390" s="66">
        <v>89.0</v>
      </c>
      <c r="C390" s="66">
        <v>6.0</v>
      </c>
      <c r="D390" s="66">
        <v>7.0</v>
      </c>
      <c r="E390" s="66">
        <v>1.0</v>
      </c>
      <c r="F390" s="66" t="s">
        <v>3172</v>
      </c>
      <c r="G390" s="66">
        <v>1.0</v>
      </c>
      <c r="H390" s="81">
        <v>2.0</v>
      </c>
      <c r="I390" s="50">
        <v>122219.0</v>
      </c>
    </row>
    <row r="391">
      <c r="A391" s="66">
        <v>7387.0</v>
      </c>
      <c r="B391" s="66">
        <v>28.0</v>
      </c>
      <c r="C391" s="66">
        <v>2.0</v>
      </c>
      <c r="D391" s="66">
        <v>3.0</v>
      </c>
      <c r="E391" s="66">
        <v>1.0</v>
      </c>
      <c r="F391" s="66" t="s">
        <v>3173</v>
      </c>
      <c r="G391" s="66">
        <v>2.0</v>
      </c>
      <c r="H391" s="81">
        <v>5.0</v>
      </c>
      <c r="I391" s="50">
        <v>102521.0</v>
      </c>
    </row>
    <row r="392">
      <c r="A392" s="66">
        <v>7388.0</v>
      </c>
      <c r="B392" s="66">
        <v>69.0</v>
      </c>
      <c r="C392" s="66">
        <v>2.0</v>
      </c>
      <c r="D392" s="66">
        <v>2.0</v>
      </c>
      <c r="E392" s="66">
        <v>0.0</v>
      </c>
      <c r="F392" s="66" t="s">
        <v>3174</v>
      </c>
      <c r="G392" s="66">
        <v>8.0</v>
      </c>
      <c r="H392" s="81">
        <v>3.0</v>
      </c>
      <c r="I392" s="50">
        <v>40817.0</v>
      </c>
    </row>
    <row r="393">
      <c r="A393" s="66">
        <v>7389.0</v>
      </c>
      <c r="B393" s="66">
        <v>48.0</v>
      </c>
      <c r="C393" s="66">
        <v>7.0</v>
      </c>
      <c r="D393" s="66">
        <v>5.0</v>
      </c>
      <c r="E393" s="66">
        <v>1.0</v>
      </c>
      <c r="F393" s="66" t="s">
        <v>3175</v>
      </c>
      <c r="G393" s="66">
        <v>2.0</v>
      </c>
      <c r="H393" s="81">
        <v>5.0</v>
      </c>
      <c r="I393" s="50">
        <v>82713.0</v>
      </c>
    </row>
    <row r="394">
      <c r="A394" s="66">
        <v>7390.0</v>
      </c>
      <c r="B394" s="66">
        <v>28.0</v>
      </c>
      <c r="C394" s="66">
        <v>2.0</v>
      </c>
      <c r="D394" s="66">
        <v>8.0</v>
      </c>
      <c r="E394" s="66">
        <v>1.0</v>
      </c>
      <c r="F394" s="66" t="s">
        <v>3176</v>
      </c>
      <c r="G394" s="66">
        <v>9.0</v>
      </c>
      <c r="H394" s="81">
        <v>5.0</v>
      </c>
      <c r="I394" s="50">
        <v>62313.0</v>
      </c>
    </row>
    <row r="395">
      <c r="A395" s="66">
        <v>7391.0</v>
      </c>
      <c r="B395" s="66">
        <v>48.0</v>
      </c>
      <c r="C395" s="66">
        <v>7.0</v>
      </c>
      <c r="D395" s="66">
        <v>6.0</v>
      </c>
      <c r="E395" s="66">
        <v>0.0</v>
      </c>
      <c r="F395" s="66" t="s">
        <v>3177</v>
      </c>
      <c r="G395" s="66">
        <v>2.0</v>
      </c>
      <c r="H395" s="81">
        <v>5.0</v>
      </c>
      <c r="I395" s="50">
        <v>22116.0</v>
      </c>
    </row>
    <row r="396">
      <c r="A396" s="66">
        <v>7392.0</v>
      </c>
      <c r="B396" s="66">
        <v>89.0</v>
      </c>
      <c r="C396" s="66">
        <v>7.0</v>
      </c>
      <c r="D396" s="66">
        <v>4.0</v>
      </c>
      <c r="E396" s="66">
        <v>1.0</v>
      </c>
      <c r="F396" s="66" t="s">
        <v>3178</v>
      </c>
      <c r="G396" s="66">
        <v>9.0</v>
      </c>
      <c r="H396" s="81">
        <v>5.0</v>
      </c>
      <c r="I396" s="50">
        <v>60618.0</v>
      </c>
    </row>
    <row r="397">
      <c r="A397" s="66">
        <v>7393.0</v>
      </c>
      <c r="B397" s="66">
        <v>69.0</v>
      </c>
      <c r="C397" s="66">
        <v>3.0</v>
      </c>
      <c r="D397" s="66">
        <v>3.0</v>
      </c>
      <c r="E397" s="66">
        <v>0.0</v>
      </c>
      <c r="F397" s="66" t="s">
        <v>3179</v>
      </c>
      <c r="G397" s="66">
        <v>7.0</v>
      </c>
      <c r="H397" s="81">
        <v>3.0</v>
      </c>
      <c r="I397" s="50">
        <v>100316.0</v>
      </c>
    </row>
    <row r="398">
      <c r="A398" s="66">
        <v>7394.0</v>
      </c>
      <c r="B398" s="66">
        <v>89.0</v>
      </c>
      <c r="C398" s="66">
        <v>8.0</v>
      </c>
      <c r="D398" s="66">
        <v>1.0</v>
      </c>
      <c r="E398" s="66">
        <v>0.0</v>
      </c>
      <c r="F398" s="66" t="s">
        <v>3180</v>
      </c>
      <c r="G398" s="66">
        <v>9.0</v>
      </c>
      <c r="H398" s="81">
        <v>2.0</v>
      </c>
      <c r="I398" s="50">
        <v>51716.0</v>
      </c>
    </row>
    <row r="399">
      <c r="A399" s="66">
        <v>7395.0</v>
      </c>
      <c r="B399" s="66">
        <v>89.0</v>
      </c>
      <c r="C399" s="66">
        <v>8.0</v>
      </c>
      <c r="D399" s="66">
        <v>4.0</v>
      </c>
      <c r="E399" s="66">
        <v>0.0</v>
      </c>
      <c r="F399" s="66" t="s">
        <v>3181</v>
      </c>
      <c r="G399" s="66">
        <v>1.0</v>
      </c>
      <c r="H399" s="81">
        <v>4.0</v>
      </c>
      <c r="I399" s="50">
        <v>91919.0</v>
      </c>
    </row>
    <row r="400">
      <c r="A400" s="66">
        <v>7396.0</v>
      </c>
      <c r="B400" s="66">
        <v>48.0</v>
      </c>
      <c r="C400" s="66">
        <v>8.0</v>
      </c>
      <c r="D400" s="66">
        <v>9.0</v>
      </c>
      <c r="E400" s="66">
        <v>1.0</v>
      </c>
      <c r="F400" s="66" t="s">
        <v>3182</v>
      </c>
      <c r="G400" s="66">
        <v>2.0</v>
      </c>
      <c r="H400" s="81">
        <v>4.0</v>
      </c>
      <c r="I400" s="50">
        <v>100220.0</v>
      </c>
    </row>
    <row r="401">
      <c r="A401" s="66">
        <v>7397.0</v>
      </c>
      <c r="B401" s="66">
        <v>89.0</v>
      </c>
      <c r="C401" s="66">
        <v>8.0</v>
      </c>
      <c r="D401" s="66">
        <v>5.0</v>
      </c>
      <c r="E401" s="66">
        <v>0.0</v>
      </c>
      <c r="F401" s="66" t="s">
        <v>3183</v>
      </c>
      <c r="G401" s="66">
        <v>1.0</v>
      </c>
      <c r="H401" s="81">
        <v>1.0</v>
      </c>
      <c r="I401" s="50">
        <v>21322.0</v>
      </c>
    </row>
    <row r="402">
      <c r="A402" s="66">
        <v>7398.0</v>
      </c>
      <c r="B402" s="66">
        <v>28.0</v>
      </c>
      <c r="C402" s="66">
        <v>4.0</v>
      </c>
      <c r="D402" s="66">
        <v>3.0</v>
      </c>
      <c r="E402" s="66">
        <v>0.0</v>
      </c>
      <c r="F402" s="66" t="s">
        <v>3184</v>
      </c>
      <c r="G402" s="66">
        <v>5.0</v>
      </c>
      <c r="H402" s="81">
        <v>5.0</v>
      </c>
      <c r="I402" s="50">
        <v>30620.0</v>
      </c>
    </row>
    <row r="403">
      <c r="A403" s="66">
        <v>7399.0</v>
      </c>
      <c r="B403" s="66">
        <v>48.0</v>
      </c>
      <c r="C403" s="66">
        <v>9.0</v>
      </c>
      <c r="D403" s="66">
        <v>3.0</v>
      </c>
      <c r="E403" s="66">
        <v>1.0</v>
      </c>
      <c r="F403" s="66" t="s">
        <v>3185</v>
      </c>
      <c r="G403" s="66">
        <v>4.0</v>
      </c>
      <c r="H403" s="81">
        <v>1.0</v>
      </c>
      <c r="I403" s="50">
        <v>71220.0</v>
      </c>
    </row>
    <row r="404">
      <c r="A404" s="66">
        <v>7400.0</v>
      </c>
      <c r="B404" s="66">
        <v>89.0</v>
      </c>
      <c r="C404" s="66">
        <v>9.0</v>
      </c>
      <c r="D404" s="66">
        <v>2.0</v>
      </c>
      <c r="E404" s="66">
        <v>1.0</v>
      </c>
      <c r="F404" s="66" t="s">
        <v>3186</v>
      </c>
      <c r="G404" s="66">
        <v>4.0</v>
      </c>
      <c r="H404" s="81">
        <v>2.0</v>
      </c>
      <c r="I404" s="50">
        <v>71221.0</v>
      </c>
    </row>
    <row r="405">
      <c r="A405" s="66">
        <v>7401.0</v>
      </c>
      <c r="B405" s="66">
        <v>69.0</v>
      </c>
      <c r="C405" s="66">
        <v>4.0</v>
      </c>
      <c r="D405" s="66">
        <v>9.0</v>
      </c>
      <c r="E405" s="66">
        <v>0.0</v>
      </c>
      <c r="F405" s="66" t="s">
        <v>3187</v>
      </c>
      <c r="G405" s="66">
        <v>9.0</v>
      </c>
      <c r="H405" s="81">
        <v>1.0</v>
      </c>
      <c r="I405" s="50">
        <v>53021.0</v>
      </c>
    </row>
    <row r="406">
      <c r="A406" s="66">
        <v>7402.0</v>
      </c>
      <c r="B406" s="66">
        <v>49.0</v>
      </c>
      <c r="C406" s="66">
        <v>1.0</v>
      </c>
      <c r="D406" s="66">
        <v>1.0</v>
      </c>
      <c r="E406" s="66">
        <v>0.0</v>
      </c>
      <c r="F406" s="66" t="s">
        <v>3188</v>
      </c>
      <c r="G406" s="66">
        <v>3.0</v>
      </c>
      <c r="H406" s="81">
        <v>2.0</v>
      </c>
      <c r="I406" s="50">
        <v>62615.0</v>
      </c>
    </row>
    <row r="407">
      <c r="A407" s="66">
        <v>7403.0</v>
      </c>
      <c r="B407" s="66">
        <v>69.0</v>
      </c>
      <c r="C407" s="66">
        <v>5.0</v>
      </c>
      <c r="D407" s="66">
        <v>9.0</v>
      </c>
      <c r="E407" s="66">
        <v>0.0</v>
      </c>
      <c r="F407" s="66" t="s">
        <v>3189</v>
      </c>
      <c r="G407" s="66">
        <v>2.0</v>
      </c>
      <c r="H407" s="81">
        <v>1.0</v>
      </c>
      <c r="I407" s="50">
        <v>80819.0</v>
      </c>
    </row>
    <row r="408">
      <c r="A408" s="66">
        <v>7404.0</v>
      </c>
      <c r="B408" s="66">
        <v>49.0</v>
      </c>
      <c r="C408" s="66">
        <v>1.0</v>
      </c>
      <c r="D408" s="66">
        <v>6.0</v>
      </c>
      <c r="E408" s="66">
        <v>1.0</v>
      </c>
      <c r="F408" s="66" t="s">
        <v>3190</v>
      </c>
      <c r="G408" s="66">
        <v>5.0</v>
      </c>
      <c r="H408" s="81">
        <v>1.0</v>
      </c>
      <c r="I408" s="50">
        <v>121921.0</v>
      </c>
    </row>
    <row r="409">
      <c r="A409" s="66">
        <v>7405.0</v>
      </c>
      <c r="B409" s="66">
        <v>28.0</v>
      </c>
      <c r="C409" s="66">
        <v>6.0</v>
      </c>
      <c r="D409" s="66">
        <v>9.0</v>
      </c>
      <c r="E409" s="66">
        <v>1.0</v>
      </c>
      <c r="F409" s="66" t="s">
        <v>3191</v>
      </c>
      <c r="G409" s="66">
        <v>3.0</v>
      </c>
      <c r="H409" s="81">
        <v>5.0</v>
      </c>
      <c r="I409" s="50">
        <v>70421.0</v>
      </c>
    </row>
    <row r="410">
      <c r="A410" s="66">
        <v>7406.0</v>
      </c>
      <c r="B410" s="66">
        <v>49.0</v>
      </c>
      <c r="C410" s="66">
        <v>1.0</v>
      </c>
      <c r="D410" s="66">
        <v>8.0</v>
      </c>
      <c r="E410" s="66">
        <v>0.0</v>
      </c>
      <c r="F410" s="66" t="s">
        <v>3192</v>
      </c>
      <c r="G410" s="66">
        <v>9.0</v>
      </c>
      <c r="H410" s="81">
        <v>3.0</v>
      </c>
      <c r="I410" s="50">
        <v>30619.0</v>
      </c>
    </row>
    <row r="411">
      <c r="A411" s="66">
        <v>7407.0</v>
      </c>
      <c r="B411" s="66">
        <v>69.0</v>
      </c>
      <c r="C411" s="66">
        <v>6.0</v>
      </c>
      <c r="D411" s="66">
        <v>7.0</v>
      </c>
      <c r="E411" s="66">
        <v>0.0</v>
      </c>
      <c r="F411" s="66" t="s">
        <v>3193</v>
      </c>
      <c r="G411" s="66">
        <v>6.0</v>
      </c>
      <c r="H411" s="81">
        <v>1.0</v>
      </c>
      <c r="I411" s="50">
        <v>91115.0</v>
      </c>
    </row>
    <row r="412">
      <c r="A412" s="66">
        <v>7408.0</v>
      </c>
      <c r="B412" s="66">
        <v>69.0</v>
      </c>
      <c r="C412" s="66">
        <v>7.0</v>
      </c>
      <c r="D412" s="66">
        <v>1.0</v>
      </c>
      <c r="E412" s="66">
        <v>0.0</v>
      </c>
      <c r="F412" s="66" t="s">
        <v>3194</v>
      </c>
      <c r="G412" s="66">
        <v>7.0</v>
      </c>
      <c r="H412" s="81">
        <v>4.0</v>
      </c>
      <c r="I412" s="50">
        <v>122018.0</v>
      </c>
    </row>
    <row r="413">
      <c r="A413" s="66">
        <v>7409.0</v>
      </c>
      <c r="B413" s="66">
        <v>28.0</v>
      </c>
      <c r="C413" s="66">
        <v>7.0</v>
      </c>
      <c r="D413" s="66">
        <v>5.0</v>
      </c>
      <c r="E413" s="66">
        <v>0.0</v>
      </c>
      <c r="F413" s="66" t="s">
        <v>3195</v>
      </c>
      <c r="G413" s="66">
        <v>9.0</v>
      </c>
      <c r="H413" s="81">
        <v>5.0</v>
      </c>
      <c r="I413" s="50">
        <v>92216.0</v>
      </c>
    </row>
    <row r="414">
      <c r="A414" s="66">
        <v>7410.0</v>
      </c>
      <c r="B414" s="66">
        <v>49.0</v>
      </c>
      <c r="C414" s="66">
        <v>2.0</v>
      </c>
      <c r="D414" s="66">
        <v>5.0</v>
      </c>
      <c r="E414" s="66">
        <v>0.0</v>
      </c>
      <c r="F414" s="66" t="s">
        <v>3196</v>
      </c>
      <c r="G414" s="66">
        <v>5.0</v>
      </c>
      <c r="H414" s="81">
        <v>3.0</v>
      </c>
      <c r="I414" s="50">
        <v>93013.0</v>
      </c>
    </row>
    <row r="415">
      <c r="A415" s="66">
        <v>7411.0</v>
      </c>
      <c r="B415" s="66">
        <v>28.0</v>
      </c>
      <c r="C415" s="66">
        <v>7.0</v>
      </c>
      <c r="D415" s="66">
        <v>8.0</v>
      </c>
      <c r="E415" s="66">
        <v>1.0</v>
      </c>
      <c r="F415" s="66" t="s">
        <v>3197</v>
      </c>
      <c r="G415" s="66">
        <v>5.0</v>
      </c>
      <c r="H415" s="81">
        <v>4.0</v>
      </c>
      <c r="I415" s="50">
        <v>81520.0</v>
      </c>
    </row>
    <row r="416">
      <c r="A416" s="66">
        <v>7412.0</v>
      </c>
      <c r="B416" s="66">
        <v>28.0</v>
      </c>
      <c r="C416" s="66">
        <v>7.0</v>
      </c>
      <c r="D416" s="66">
        <v>9.0</v>
      </c>
      <c r="E416" s="66">
        <v>0.0</v>
      </c>
      <c r="F416" s="66" t="s">
        <v>3198</v>
      </c>
      <c r="G416" s="66">
        <v>8.0</v>
      </c>
      <c r="H416" s="81">
        <v>2.0</v>
      </c>
      <c r="I416" s="50">
        <v>31013.0</v>
      </c>
    </row>
    <row r="417">
      <c r="A417" s="66">
        <v>7413.0</v>
      </c>
      <c r="B417" s="66">
        <v>28.0</v>
      </c>
      <c r="C417" s="66">
        <v>8.0</v>
      </c>
      <c r="D417" s="66">
        <v>3.0</v>
      </c>
      <c r="E417" s="66">
        <v>1.0</v>
      </c>
      <c r="F417" s="66" t="s">
        <v>3199</v>
      </c>
      <c r="G417" s="66">
        <v>5.0</v>
      </c>
      <c r="H417" s="81">
        <v>5.0</v>
      </c>
      <c r="I417" s="50">
        <v>110214.0</v>
      </c>
    </row>
    <row r="418">
      <c r="A418" s="66">
        <v>7414.0</v>
      </c>
      <c r="B418" s="66">
        <v>28.0</v>
      </c>
      <c r="C418" s="66">
        <v>8.0</v>
      </c>
      <c r="D418" s="66">
        <v>6.0</v>
      </c>
      <c r="E418" s="66">
        <v>0.0</v>
      </c>
      <c r="F418" s="66" t="s">
        <v>3200</v>
      </c>
      <c r="G418" s="66">
        <v>4.0</v>
      </c>
      <c r="H418" s="81">
        <v>4.0</v>
      </c>
      <c r="I418" s="50">
        <v>50819.0</v>
      </c>
    </row>
    <row r="419">
      <c r="A419" s="66">
        <v>7415.0</v>
      </c>
      <c r="B419" s="66">
        <v>28.0</v>
      </c>
      <c r="C419" s="66">
        <v>8.0</v>
      </c>
      <c r="D419" s="66">
        <v>8.0</v>
      </c>
      <c r="E419" s="66">
        <v>1.0</v>
      </c>
      <c r="F419" s="66" t="s">
        <v>3201</v>
      </c>
      <c r="G419" s="66">
        <v>3.0</v>
      </c>
      <c r="H419" s="81">
        <v>5.0</v>
      </c>
      <c r="I419" s="50">
        <v>111115.0</v>
      </c>
    </row>
    <row r="420">
      <c r="A420" s="66">
        <v>7416.0</v>
      </c>
      <c r="B420" s="66">
        <v>69.0</v>
      </c>
      <c r="C420" s="66">
        <v>8.0</v>
      </c>
      <c r="D420" s="66">
        <v>5.0</v>
      </c>
      <c r="E420" s="66">
        <v>1.0</v>
      </c>
      <c r="F420" s="66" t="s">
        <v>3202</v>
      </c>
      <c r="G420" s="66">
        <v>7.0</v>
      </c>
      <c r="H420" s="81">
        <v>1.0</v>
      </c>
      <c r="I420" s="50">
        <v>62920.0</v>
      </c>
    </row>
    <row r="421">
      <c r="A421" s="66">
        <v>7417.0</v>
      </c>
      <c r="B421" s="66">
        <v>28.0</v>
      </c>
      <c r="C421" s="66">
        <v>9.0</v>
      </c>
      <c r="D421" s="66">
        <v>5.0</v>
      </c>
      <c r="E421" s="66">
        <v>0.0</v>
      </c>
      <c r="F421" s="66" t="s">
        <v>3203</v>
      </c>
      <c r="G421" s="66">
        <v>4.0</v>
      </c>
      <c r="H421" s="81">
        <v>2.0</v>
      </c>
      <c r="I421" s="50">
        <v>110117.0</v>
      </c>
    </row>
    <row r="422">
      <c r="A422" s="66">
        <v>7418.0</v>
      </c>
      <c r="B422" s="66">
        <v>69.0</v>
      </c>
      <c r="C422" s="66">
        <v>9.0</v>
      </c>
      <c r="D422" s="66">
        <v>1.0</v>
      </c>
      <c r="E422" s="66">
        <v>0.0</v>
      </c>
      <c r="F422" s="66" t="s">
        <v>3204</v>
      </c>
      <c r="G422" s="66">
        <v>4.0</v>
      </c>
      <c r="H422" s="81">
        <v>2.0</v>
      </c>
      <c r="I422" s="50">
        <v>50517.0</v>
      </c>
    </row>
    <row r="423">
      <c r="A423" s="66">
        <v>7419.0</v>
      </c>
      <c r="B423" s="66">
        <v>49.0</v>
      </c>
      <c r="C423" s="66">
        <v>5.0</v>
      </c>
      <c r="D423" s="66">
        <v>5.0</v>
      </c>
      <c r="E423" s="66">
        <v>1.0</v>
      </c>
      <c r="F423" s="66" t="s">
        <v>3205</v>
      </c>
      <c r="G423" s="66">
        <v>3.0</v>
      </c>
      <c r="H423" s="81">
        <v>5.0</v>
      </c>
      <c r="I423" s="50">
        <v>32215.0</v>
      </c>
    </row>
    <row r="424">
      <c r="A424" s="66">
        <v>7420.0</v>
      </c>
      <c r="B424" s="66">
        <v>29.0</v>
      </c>
      <c r="C424" s="66">
        <v>1.0</v>
      </c>
      <c r="D424" s="66">
        <v>2.0</v>
      </c>
      <c r="E424" s="66">
        <v>1.0</v>
      </c>
      <c r="F424" s="66" t="s">
        <v>3206</v>
      </c>
      <c r="G424" s="66">
        <v>6.0</v>
      </c>
      <c r="H424" s="81">
        <v>4.0</v>
      </c>
      <c r="I424" s="50">
        <v>122616.0</v>
      </c>
    </row>
    <row r="425">
      <c r="A425" s="66">
        <v>7421.0</v>
      </c>
      <c r="B425" s="66">
        <v>29.0</v>
      </c>
      <c r="C425" s="66">
        <v>1.0</v>
      </c>
      <c r="D425" s="66">
        <v>3.0</v>
      </c>
      <c r="E425" s="66">
        <v>0.0</v>
      </c>
      <c r="F425" s="66" t="s">
        <v>3207</v>
      </c>
      <c r="G425" s="66">
        <v>5.0</v>
      </c>
      <c r="H425" s="81">
        <v>1.0</v>
      </c>
      <c r="I425" s="50">
        <v>73115.0</v>
      </c>
    </row>
    <row r="426">
      <c r="A426" s="66">
        <v>7422.0</v>
      </c>
      <c r="B426" s="66">
        <v>49.0</v>
      </c>
      <c r="C426" s="66">
        <v>6.0</v>
      </c>
      <c r="D426" s="66">
        <v>2.0</v>
      </c>
      <c r="E426" s="66">
        <v>1.0</v>
      </c>
      <c r="F426" s="66" t="s">
        <v>3208</v>
      </c>
      <c r="G426" s="66">
        <v>9.0</v>
      </c>
      <c r="H426" s="81">
        <v>1.0</v>
      </c>
      <c r="I426" s="50">
        <v>123014.0</v>
      </c>
    </row>
    <row r="427">
      <c r="A427" s="66">
        <v>7423.0</v>
      </c>
      <c r="B427" s="66">
        <v>29.0</v>
      </c>
      <c r="C427" s="66">
        <v>1.0</v>
      </c>
      <c r="D427" s="66">
        <v>5.0</v>
      </c>
      <c r="E427" s="66">
        <v>0.0</v>
      </c>
      <c r="F427" s="66" t="s">
        <v>3209</v>
      </c>
      <c r="G427" s="66">
        <v>7.0</v>
      </c>
      <c r="H427" s="81">
        <v>3.0</v>
      </c>
      <c r="I427" s="50">
        <v>123119.0</v>
      </c>
    </row>
    <row r="428">
      <c r="A428" s="66">
        <v>7424.0</v>
      </c>
      <c r="B428" s="66">
        <v>29.0</v>
      </c>
      <c r="C428" s="66">
        <v>1.0</v>
      </c>
      <c r="D428" s="66">
        <v>7.0</v>
      </c>
      <c r="E428" s="66">
        <v>0.0</v>
      </c>
      <c r="F428" s="66" t="s">
        <v>3210</v>
      </c>
      <c r="G428" s="66">
        <v>1.0</v>
      </c>
      <c r="H428" s="81">
        <v>1.0</v>
      </c>
      <c r="I428" s="50">
        <v>41415.0</v>
      </c>
    </row>
    <row r="429">
      <c r="A429" s="66">
        <v>7425.0</v>
      </c>
      <c r="B429" s="66">
        <v>29.0</v>
      </c>
      <c r="C429" s="66">
        <v>2.0</v>
      </c>
      <c r="D429" s="66">
        <v>3.0</v>
      </c>
      <c r="E429" s="66">
        <v>0.0</v>
      </c>
      <c r="F429" s="66" t="s">
        <v>3211</v>
      </c>
      <c r="G429" s="66">
        <v>5.0</v>
      </c>
      <c r="H429" s="81">
        <v>2.0</v>
      </c>
      <c r="I429" s="50">
        <v>12419.0</v>
      </c>
    </row>
    <row r="430">
      <c r="A430" s="66">
        <v>7426.0</v>
      </c>
      <c r="B430" s="66">
        <v>49.0</v>
      </c>
      <c r="C430" s="66">
        <v>7.0</v>
      </c>
      <c r="D430" s="66">
        <v>5.0</v>
      </c>
      <c r="E430" s="66">
        <v>0.0</v>
      </c>
      <c r="F430" s="66" t="s">
        <v>3212</v>
      </c>
      <c r="G430" s="66">
        <v>5.0</v>
      </c>
      <c r="H430" s="81">
        <v>1.0</v>
      </c>
      <c r="I430" s="50">
        <v>61213.0</v>
      </c>
    </row>
    <row r="431">
      <c r="A431" s="66">
        <v>7427.0</v>
      </c>
      <c r="B431" s="66">
        <v>49.0</v>
      </c>
      <c r="C431" s="66">
        <v>7.0</v>
      </c>
      <c r="D431" s="66">
        <v>7.0</v>
      </c>
      <c r="E431" s="66">
        <v>0.0</v>
      </c>
      <c r="F431" s="66" t="s">
        <v>3213</v>
      </c>
      <c r="G431" s="66">
        <v>5.0</v>
      </c>
      <c r="H431" s="81">
        <v>4.0</v>
      </c>
      <c r="I431" s="50">
        <v>101218.0</v>
      </c>
    </row>
    <row r="432">
      <c r="A432" s="66">
        <v>7428.0</v>
      </c>
      <c r="B432" s="66">
        <v>29.0</v>
      </c>
      <c r="C432" s="66">
        <v>3.0</v>
      </c>
      <c r="D432" s="66">
        <v>6.0</v>
      </c>
      <c r="E432" s="66">
        <v>0.0</v>
      </c>
      <c r="F432" s="66" t="s">
        <v>3214</v>
      </c>
      <c r="G432" s="66">
        <v>2.0</v>
      </c>
      <c r="H432" s="81">
        <v>4.0</v>
      </c>
      <c r="I432" s="50">
        <v>111321.0</v>
      </c>
    </row>
    <row r="433">
      <c r="A433" s="66">
        <v>7429.0</v>
      </c>
      <c r="B433" s="66">
        <v>49.0</v>
      </c>
      <c r="C433" s="66">
        <v>8.0</v>
      </c>
      <c r="D433" s="66">
        <v>8.0</v>
      </c>
      <c r="E433" s="66">
        <v>1.0</v>
      </c>
      <c r="F433" s="66" t="s">
        <v>3215</v>
      </c>
      <c r="G433" s="66">
        <v>9.0</v>
      </c>
      <c r="H433" s="81">
        <v>3.0</v>
      </c>
      <c r="I433" s="50">
        <v>90513.0</v>
      </c>
    </row>
    <row r="434">
      <c r="A434" s="66">
        <v>7430.0</v>
      </c>
      <c r="B434" s="66">
        <v>29.0</v>
      </c>
      <c r="C434" s="66">
        <v>4.0</v>
      </c>
      <c r="D434" s="66">
        <v>7.0</v>
      </c>
      <c r="E434" s="66">
        <v>0.0</v>
      </c>
      <c r="F434" s="66" t="s">
        <v>3216</v>
      </c>
      <c r="G434" s="66">
        <v>7.0</v>
      </c>
      <c r="H434" s="81">
        <v>4.0</v>
      </c>
      <c r="I434" s="50">
        <v>90814.0</v>
      </c>
    </row>
    <row r="435">
      <c r="A435" s="66">
        <v>7431.0</v>
      </c>
      <c r="B435" s="66">
        <v>29.0</v>
      </c>
      <c r="C435" s="66">
        <v>4.0</v>
      </c>
      <c r="D435" s="66">
        <v>8.0</v>
      </c>
      <c r="E435" s="66">
        <v>1.0</v>
      </c>
      <c r="F435" s="66" t="s">
        <v>3217</v>
      </c>
      <c r="G435" s="66">
        <v>3.0</v>
      </c>
      <c r="H435" s="81">
        <v>4.0</v>
      </c>
      <c r="I435" s="50">
        <v>82216.0</v>
      </c>
    </row>
    <row r="436">
      <c r="A436" s="66">
        <v>7432.0</v>
      </c>
      <c r="B436" s="66">
        <v>49.0</v>
      </c>
      <c r="C436" s="66">
        <v>9.0</v>
      </c>
      <c r="D436" s="66">
        <v>6.0</v>
      </c>
      <c r="E436" s="66">
        <v>0.0</v>
      </c>
      <c r="F436" s="66" t="s">
        <v>3218</v>
      </c>
      <c r="G436" s="66">
        <v>3.0</v>
      </c>
      <c r="H436" s="81">
        <v>4.0</v>
      </c>
      <c r="I436" s="50">
        <v>53117.0</v>
      </c>
    </row>
    <row r="437">
      <c r="A437" s="66">
        <v>7433.0</v>
      </c>
      <c r="B437" s="66">
        <v>49.0</v>
      </c>
      <c r="C437" s="66">
        <v>9.0</v>
      </c>
      <c r="D437" s="66">
        <v>9.0</v>
      </c>
      <c r="E437" s="66">
        <v>0.0</v>
      </c>
      <c r="F437" s="66" t="s">
        <v>3219</v>
      </c>
      <c r="G437" s="66">
        <v>7.0</v>
      </c>
      <c r="H437" s="81">
        <v>5.0</v>
      </c>
      <c r="I437" s="50">
        <v>82422.0</v>
      </c>
    </row>
    <row r="438">
      <c r="A438" s="66">
        <v>7434.0</v>
      </c>
      <c r="B438" s="66">
        <v>29.0</v>
      </c>
      <c r="C438" s="66">
        <v>5.0</v>
      </c>
      <c r="D438" s="66">
        <v>8.0</v>
      </c>
      <c r="E438" s="66">
        <v>0.0</v>
      </c>
      <c r="F438" s="66" t="s">
        <v>3220</v>
      </c>
      <c r="G438" s="66">
        <v>1.0</v>
      </c>
      <c r="H438" s="81">
        <v>5.0</v>
      </c>
      <c r="I438" s="50">
        <v>11818.0</v>
      </c>
    </row>
    <row r="439">
      <c r="A439" s="66">
        <v>7435.0</v>
      </c>
      <c r="B439" s="66">
        <v>29.0</v>
      </c>
      <c r="C439" s="66">
        <v>5.0</v>
      </c>
      <c r="D439" s="66">
        <v>9.0</v>
      </c>
      <c r="E439" s="66">
        <v>1.0</v>
      </c>
      <c r="F439" s="66" t="s">
        <v>3221</v>
      </c>
      <c r="G439" s="66">
        <v>9.0</v>
      </c>
      <c r="H439" s="81">
        <v>5.0</v>
      </c>
      <c r="I439" s="50">
        <v>21319.0</v>
      </c>
    </row>
    <row r="440">
      <c r="A440" s="66">
        <v>7436.0</v>
      </c>
      <c r="B440" s="66">
        <v>29.0</v>
      </c>
      <c r="C440" s="66">
        <v>6.0</v>
      </c>
      <c r="D440" s="66">
        <v>4.0</v>
      </c>
      <c r="E440" s="66">
        <v>0.0</v>
      </c>
      <c r="F440" s="66" t="s">
        <v>3222</v>
      </c>
      <c r="G440" s="66">
        <v>6.0</v>
      </c>
      <c r="H440" s="81">
        <v>2.0</v>
      </c>
      <c r="I440" s="50">
        <v>40819.0</v>
      </c>
    </row>
    <row r="441">
      <c r="A441" s="66">
        <v>7437.0</v>
      </c>
      <c r="B441" s="66">
        <v>29.0</v>
      </c>
      <c r="C441" s="66">
        <v>6.0</v>
      </c>
      <c r="D441" s="66">
        <v>5.0</v>
      </c>
      <c r="E441" s="66">
        <v>0.0</v>
      </c>
      <c r="F441" s="66" t="s">
        <v>3223</v>
      </c>
      <c r="G441" s="66">
        <v>7.0</v>
      </c>
      <c r="H441" s="81">
        <v>3.0</v>
      </c>
      <c r="I441" s="50">
        <v>92713.0</v>
      </c>
    </row>
    <row r="442">
      <c r="A442" s="66">
        <v>7438.0</v>
      </c>
      <c r="B442" s="66">
        <v>29.0</v>
      </c>
      <c r="C442" s="66">
        <v>6.0</v>
      </c>
      <c r="D442" s="66">
        <v>6.0</v>
      </c>
      <c r="E442" s="66">
        <v>0.0</v>
      </c>
      <c r="F442" s="66" t="s">
        <v>3224</v>
      </c>
      <c r="G442" s="66">
        <v>4.0</v>
      </c>
      <c r="H442" s="81">
        <v>5.0</v>
      </c>
      <c r="I442" s="50">
        <v>31218.0</v>
      </c>
    </row>
    <row r="443">
      <c r="A443" s="66">
        <v>7439.0</v>
      </c>
      <c r="B443" s="66">
        <v>29.0</v>
      </c>
      <c r="C443" s="66">
        <v>6.0</v>
      </c>
      <c r="D443" s="66">
        <v>7.0</v>
      </c>
      <c r="E443" s="66">
        <v>1.0</v>
      </c>
      <c r="F443" s="66" t="s">
        <v>3225</v>
      </c>
      <c r="G443" s="66">
        <v>5.0</v>
      </c>
      <c r="H443" s="81">
        <v>5.0</v>
      </c>
      <c r="I443" s="50">
        <v>82120.0</v>
      </c>
    </row>
    <row r="444">
      <c r="A444" s="66">
        <v>7440.0</v>
      </c>
      <c r="B444" s="66">
        <v>91.0</v>
      </c>
      <c r="C444" s="66">
        <v>1.0</v>
      </c>
      <c r="D444" s="66">
        <v>6.0</v>
      </c>
      <c r="E444" s="66">
        <v>1.0</v>
      </c>
      <c r="F444" s="66" t="s">
        <v>3226</v>
      </c>
      <c r="G444" s="66">
        <v>1.0</v>
      </c>
      <c r="H444" s="81">
        <v>4.0</v>
      </c>
      <c r="I444" s="50">
        <v>52819.0</v>
      </c>
    </row>
    <row r="445">
      <c r="A445" s="66">
        <v>7441.0</v>
      </c>
      <c r="B445" s="66">
        <v>29.0</v>
      </c>
      <c r="C445" s="66">
        <v>7.0</v>
      </c>
      <c r="D445" s="66">
        <v>3.0</v>
      </c>
      <c r="E445" s="66">
        <v>0.0</v>
      </c>
      <c r="F445" s="66" t="s">
        <v>3227</v>
      </c>
      <c r="G445" s="66">
        <v>9.0</v>
      </c>
      <c r="H445" s="81">
        <v>3.0</v>
      </c>
      <c r="I445" s="50">
        <v>120820.0</v>
      </c>
    </row>
    <row r="446">
      <c r="A446" s="66">
        <v>7442.0</v>
      </c>
      <c r="B446" s="66">
        <v>91.0</v>
      </c>
      <c r="C446" s="66">
        <v>2.0</v>
      </c>
      <c r="D446" s="66">
        <v>3.0</v>
      </c>
      <c r="E446" s="66">
        <v>0.0</v>
      </c>
      <c r="F446" s="66" t="s">
        <v>3228</v>
      </c>
      <c r="G446" s="66">
        <v>1.0</v>
      </c>
      <c r="H446" s="81">
        <v>3.0</v>
      </c>
      <c r="I446" s="50">
        <v>31714.0</v>
      </c>
    </row>
    <row r="447">
      <c r="A447" s="66">
        <v>7443.0</v>
      </c>
      <c r="B447" s="66">
        <v>91.0</v>
      </c>
      <c r="C447" s="66">
        <v>2.0</v>
      </c>
      <c r="D447" s="66">
        <v>4.0</v>
      </c>
      <c r="E447" s="66">
        <v>0.0</v>
      </c>
      <c r="F447" s="66" t="s">
        <v>3229</v>
      </c>
      <c r="G447" s="66">
        <v>8.0</v>
      </c>
      <c r="H447" s="81">
        <v>2.0</v>
      </c>
      <c r="I447" s="50">
        <v>21113.0</v>
      </c>
    </row>
    <row r="448">
      <c r="A448" s="66">
        <v>7444.0</v>
      </c>
      <c r="B448" s="66">
        <v>91.0</v>
      </c>
      <c r="C448" s="66">
        <v>2.0</v>
      </c>
      <c r="D448" s="66">
        <v>6.0</v>
      </c>
      <c r="E448" s="66">
        <v>1.0</v>
      </c>
      <c r="F448" s="66" t="s">
        <v>3230</v>
      </c>
      <c r="G448" s="66">
        <v>6.0</v>
      </c>
      <c r="H448" s="81">
        <v>2.0</v>
      </c>
      <c r="I448" s="50">
        <v>110622.0</v>
      </c>
    </row>
    <row r="449">
      <c r="A449" s="66">
        <v>7445.0</v>
      </c>
      <c r="B449" s="66">
        <v>29.0</v>
      </c>
      <c r="C449" s="66">
        <v>8.0</v>
      </c>
      <c r="D449" s="66">
        <v>3.0</v>
      </c>
      <c r="E449" s="66">
        <v>0.0</v>
      </c>
      <c r="F449" s="66" t="s">
        <v>3231</v>
      </c>
      <c r="G449" s="66">
        <v>2.0</v>
      </c>
      <c r="H449" s="81">
        <v>5.0</v>
      </c>
      <c r="I449" s="50">
        <v>80116.0</v>
      </c>
    </row>
    <row r="450">
      <c r="A450" s="66">
        <v>7446.0</v>
      </c>
      <c r="B450" s="66">
        <v>91.0</v>
      </c>
      <c r="C450" s="66">
        <v>3.0</v>
      </c>
      <c r="D450" s="66">
        <v>1.0</v>
      </c>
      <c r="E450" s="66">
        <v>0.0</v>
      </c>
      <c r="F450" s="66" t="s">
        <v>3232</v>
      </c>
      <c r="G450" s="66">
        <v>5.0</v>
      </c>
      <c r="H450" s="81">
        <v>3.0</v>
      </c>
      <c r="I450" s="50">
        <v>70920.0</v>
      </c>
    </row>
    <row r="451">
      <c r="A451" s="66">
        <v>7447.0</v>
      </c>
      <c r="B451" s="66">
        <v>29.0</v>
      </c>
      <c r="C451" s="66">
        <v>8.0</v>
      </c>
      <c r="D451" s="66">
        <v>7.0</v>
      </c>
      <c r="E451" s="66">
        <v>0.0</v>
      </c>
      <c r="F451" s="66" t="s">
        <v>3233</v>
      </c>
      <c r="G451" s="66">
        <v>4.0</v>
      </c>
      <c r="H451" s="81">
        <v>4.0</v>
      </c>
      <c r="I451" s="50">
        <v>80522.0</v>
      </c>
    </row>
    <row r="452">
      <c r="A452" s="66">
        <v>7448.0</v>
      </c>
      <c r="B452" s="66">
        <v>29.0</v>
      </c>
      <c r="C452" s="66">
        <v>8.0</v>
      </c>
      <c r="D452" s="66">
        <v>9.0</v>
      </c>
      <c r="E452" s="66">
        <v>0.0</v>
      </c>
      <c r="F452" s="66" t="s">
        <v>3234</v>
      </c>
      <c r="G452" s="66">
        <v>1.0</v>
      </c>
      <c r="H452" s="81">
        <v>5.0</v>
      </c>
      <c r="I452" s="50">
        <v>42114.0</v>
      </c>
    </row>
    <row r="453">
      <c r="A453" s="66">
        <v>7449.0</v>
      </c>
      <c r="B453" s="66">
        <v>91.0</v>
      </c>
      <c r="C453" s="66">
        <v>3.0</v>
      </c>
      <c r="D453" s="66">
        <v>4.0</v>
      </c>
      <c r="E453" s="66">
        <v>0.0</v>
      </c>
      <c r="F453" s="66" t="s">
        <v>3235</v>
      </c>
      <c r="G453" s="66">
        <v>6.0</v>
      </c>
      <c r="H453" s="81">
        <v>2.0</v>
      </c>
      <c r="I453" s="50">
        <v>51222.0</v>
      </c>
    </row>
    <row r="454">
      <c r="A454" s="66">
        <v>7450.0</v>
      </c>
      <c r="B454" s="66">
        <v>91.0</v>
      </c>
      <c r="C454" s="66">
        <v>3.0</v>
      </c>
      <c r="D454" s="66">
        <v>6.0</v>
      </c>
      <c r="E454" s="66">
        <v>0.0</v>
      </c>
      <c r="F454" s="66" t="s">
        <v>3236</v>
      </c>
      <c r="G454" s="66">
        <v>2.0</v>
      </c>
      <c r="H454" s="81">
        <v>4.0</v>
      </c>
      <c r="I454" s="50">
        <v>22222.0</v>
      </c>
    </row>
    <row r="455">
      <c r="A455" s="66">
        <v>7451.0</v>
      </c>
      <c r="B455" s="66">
        <v>91.0</v>
      </c>
      <c r="C455" s="66">
        <v>3.0</v>
      </c>
      <c r="D455" s="66">
        <v>7.0</v>
      </c>
      <c r="E455" s="66">
        <v>0.0</v>
      </c>
      <c r="F455" s="66" t="s">
        <v>3237</v>
      </c>
      <c r="G455" s="66">
        <v>8.0</v>
      </c>
      <c r="H455" s="81">
        <v>1.0</v>
      </c>
      <c r="I455" s="50">
        <v>11715.0</v>
      </c>
    </row>
    <row r="456">
      <c r="A456" s="66">
        <v>7452.0</v>
      </c>
      <c r="B456" s="66">
        <v>29.0</v>
      </c>
      <c r="C456" s="66">
        <v>9.0</v>
      </c>
      <c r="D456" s="66">
        <v>4.0</v>
      </c>
      <c r="E456" s="66">
        <v>1.0</v>
      </c>
      <c r="F456" s="66" t="s">
        <v>3238</v>
      </c>
      <c r="G456" s="66">
        <v>7.0</v>
      </c>
      <c r="H456" s="81">
        <v>1.0</v>
      </c>
      <c r="I456" s="50">
        <v>80617.0</v>
      </c>
    </row>
    <row r="457">
      <c r="A457" s="66">
        <v>7453.0</v>
      </c>
      <c r="B457" s="66">
        <v>91.0</v>
      </c>
      <c r="C457" s="66">
        <v>5.0</v>
      </c>
      <c r="D457" s="66">
        <v>2.0</v>
      </c>
      <c r="E457" s="66">
        <v>0.0</v>
      </c>
      <c r="F457" s="66" t="s">
        <v>3239</v>
      </c>
      <c r="G457" s="66">
        <v>4.0</v>
      </c>
      <c r="H457" s="81">
        <v>5.0</v>
      </c>
      <c r="I457" s="50">
        <v>90618.0</v>
      </c>
    </row>
    <row r="458">
      <c r="A458" s="66">
        <v>7454.0</v>
      </c>
      <c r="B458" s="66">
        <v>91.0</v>
      </c>
      <c r="C458" s="66">
        <v>5.0</v>
      </c>
      <c r="D458" s="66">
        <v>3.0</v>
      </c>
      <c r="E458" s="66">
        <v>0.0</v>
      </c>
      <c r="F458" s="66" t="s">
        <v>3240</v>
      </c>
      <c r="G458" s="66">
        <v>4.0</v>
      </c>
      <c r="H458" s="81">
        <v>3.0</v>
      </c>
      <c r="I458" s="50">
        <v>52318.0</v>
      </c>
    </row>
    <row r="459">
      <c r="A459" s="66">
        <v>7455.0</v>
      </c>
      <c r="B459" s="66">
        <v>91.0</v>
      </c>
      <c r="C459" s="66">
        <v>5.0</v>
      </c>
      <c r="D459" s="66">
        <v>5.0</v>
      </c>
      <c r="E459" s="66">
        <v>0.0</v>
      </c>
      <c r="F459" s="66" t="s">
        <v>3241</v>
      </c>
      <c r="G459" s="66">
        <v>3.0</v>
      </c>
      <c r="H459" s="81">
        <v>4.0</v>
      </c>
      <c r="I459" s="50">
        <v>42221.0</v>
      </c>
    </row>
    <row r="460">
      <c r="A460" s="66">
        <v>7456.0</v>
      </c>
      <c r="B460" s="66">
        <v>91.0</v>
      </c>
      <c r="C460" s="66">
        <v>6.0</v>
      </c>
      <c r="D460" s="66">
        <v>3.0</v>
      </c>
      <c r="E460" s="66">
        <v>1.0</v>
      </c>
      <c r="F460" s="66" t="s">
        <v>3242</v>
      </c>
      <c r="G460" s="66">
        <v>7.0</v>
      </c>
      <c r="H460" s="81">
        <v>1.0</v>
      </c>
      <c r="I460" s="50">
        <v>110821.0</v>
      </c>
    </row>
    <row r="461">
      <c r="A461" s="66">
        <v>7457.0</v>
      </c>
      <c r="B461" s="66">
        <v>91.0</v>
      </c>
      <c r="C461" s="66">
        <v>6.0</v>
      </c>
      <c r="D461" s="66">
        <v>4.0</v>
      </c>
      <c r="E461" s="66">
        <v>0.0</v>
      </c>
      <c r="F461" s="66" t="s">
        <v>3243</v>
      </c>
      <c r="G461" s="66">
        <v>7.0</v>
      </c>
      <c r="H461" s="81">
        <v>5.0</v>
      </c>
      <c r="I461" s="50">
        <v>121514.0</v>
      </c>
    </row>
    <row r="462">
      <c r="A462" s="66">
        <v>7458.0</v>
      </c>
      <c r="B462" s="66">
        <v>71.0</v>
      </c>
      <c r="C462" s="66">
        <v>1.0</v>
      </c>
      <c r="D462" s="66">
        <v>7.0</v>
      </c>
      <c r="E462" s="66">
        <v>0.0</v>
      </c>
      <c r="F462" s="66" t="s">
        <v>3244</v>
      </c>
      <c r="G462" s="66">
        <v>4.0</v>
      </c>
      <c r="H462" s="81">
        <v>4.0</v>
      </c>
      <c r="I462" s="50">
        <v>21813.0</v>
      </c>
    </row>
    <row r="463">
      <c r="A463" s="66">
        <v>7459.0</v>
      </c>
      <c r="B463" s="66">
        <v>71.0</v>
      </c>
      <c r="C463" s="66">
        <v>2.0</v>
      </c>
      <c r="D463" s="66">
        <v>5.0</v>
      </c>
      <c r="E463" s="66">
        <v>0.0</v>
      </c>
      <c r="F463" s="66" t="s">
        <v>3245</v>
      </c>
      <c r="G463" s="66">
        <v>6.0</v>
      </c>
      <c r="H463" s="81">
        <v>2.0</v>
      </c>
      <c r="I463" s="50">
        <v>81720.0</v>
      </c>
    </row>
    <row r="464">
      <c r="A464" s="66">
        <v>7460.0</v>
      </c>
      <c r="B464" s="66">
        <v>71.0</v>
      </c>
      <c r="C464" s="66">
        <v>2.0</v>
      </c>
      <c r="D464" s="66">
        <v>9.0</v>
      </c>
      <c r="E464" s="66">
        <v>1.0</v>
      </c>
      <c r="F464" s="66" t="s">
        <v>3246</v>
      </c>
      <c r="G464" s="66">
        <v>3.0</v>
      </c>
      <c r="H464" s="81">
        <v>5.0</v>
      </c>
      <c r="I464" s="50">
        <v>50318.0</v>
      </c>
    </row>
    <row r="465">
      <c r="A465" s="66">
        <v>7461.0</v>
      </c>
      <c r="B465" s="66">
        <v>91.0</v>
      </c>
      <c r="C465" s="66">
        <v>7.0</v>
      </c>
      <c r="D465" s="66">
        <v>8.0</v>
      </c>
      <c r="E465" s="66">
        <v>1.0</v>
      </c>
      <c r="F465" s="66" t="s">
        <v>3247</v>
      </c>
      <c r="G465" s="66">
        <v>5.0</v>
      </c>
      <c r="H465" s="81">
        <v>4.0</v>
      </c>
      <c r="I465" s="50">
        <v>73122.0</v>
      </c>
    </row>
    <row r="466">
      <c r="A466" s="66">
        <v>7462.0</v>
      </c>
      <c r="B466" s="66">
        <v>71.0</v>
      </c>
      <c r="C466" s="66">
        <v>3.0</v>
      </c>
      <c r="D466" s="66">
        <v>1.0</v>
      </c>
      <c r="E466" s="66">
        <v>1.0</v>
      </c>
      <c r="F466" s="66" t="s">
        <v>3248</v>
      </c>
      <c r="G466" s="66">
        <v>2.0</v>
      </c>
      <c r="H466" s="81">
        <v>3.0</v>
      </c>
      <c r="I466" s="50">
        <v>81818.0</v>
      </c>
    </row>
    <row r="467">
      <c r="A467" s="66">
        <v>7463.0</v>
      </c>
      <c r="B467" s="66">
        <v>91.0</v>
      </c>
      <c r="C467" s="66">
        <v>7.0</v>
      </c>
      <c r="D467" s="66">
        <v>9.0</v>
      </c>
      <c r="E467" s="66">
        <v>1.0</v>
      </c>
      <c r="F467" s="66" t="s">
        <v>3249</v>
      </c>
      <c r="G467" s="66">
        <v>7.0</v>
      </c>
      <c r="H467" s="81">
        <v>3.0</v>
      </c>
      <c r="I467" s="50">
        <v>121213.0</v>
      </c>
    </row>
    <row r="468">
      <c r="A468" s="66">
        <v>7464.0</v>
      </c>
      <c r="B468" s="66">
        <v>91.0</v>
      </c>
      <c r="C468" s="66">
        <v>8.0</v>
      </c>
      <c r="D468" s="66">
        <v>5.0</v>
      </c>
      <c r="E468" s="66">
        <v>0.0</v>
      </c>
      <c r="F468" s="66" t="s">
        <v>3250</v>
      </c>
      <c r="G468" s="66">
        <v>7.0</v>
      </c>
      <c r="H468" s="81">
        <v>4.0</v>
      </c>
      <c r="I468" s="50">
        <v>111413.0</v>
      </c>
    </row>
    <row r="469">
      <c r="A469" s="66">
        <v>7465.0</v>
      </c>
      <c r="B469" s="66">
        <v>71.0</v>
      </c>
      <c r="C469" s="66">
        <v>4.0</v>
      </c>
      <c r="D469" s="66">
        <v>1.0</v>
      </c>
      <c r="E469" s="66">
        <v>1.0</v>
      </c>
      <c r="F469" s="66" t="s">
        <v>3251</v>
      </c>
      <c r="G469" s="66">
        <v>3.0</v>
      </c>
      <c r="H469" s="81">
        <v>2.0</v>
      </c>
      <c r="I469" s="50">
        <v>112214.0</v>
      </c>
    </row>
    <row r="470">
      <c r="A470" s="66">
        <v>7466.0</v>
      </c>
      <c r="B470" s="66">
        <v>71.0</v>
      </c>
      <c r="C470" s="66">
        <v>4.0</v>
      </c>
      <c r="D470" s="66">
        <v>2.0</v>
      </c>
      <c r="E470" s="66">
        <v>1.0</v>
      </c>
      <c r="F470" s="66" t="s">
        <v>3252</v>
      </c>
      <c r="G470" s="66">
        <v>2.0</v>
      </c>
      <c r="H470" s="81">
        <v>1.0</v>
      </c>
      <c r="I470" s="50">
        <v>61919.0</v>
      </c>
    </row>
    <row r="471">
      <c r="A471" s="66">
        <v>7467.0</v>
      </c>
      <c r="B471" s="66">
        <v>91.0</v>
      </c>
      <c r="C471" s="66">
        <v>9.0</v>
      </c>
      <c r="D471" s="66">
        <v>2.0</v>
      </c>
      <c r="E471" s="66">
        <v>1.0</v>
      </c>
      <c r="F471" s="66" t="s">
        <v>3253</v>
      </c>
      <c r="G471" s="66">
        <v>6.0</v>
      </c>
      <c r="H471" s="81">
        <v>5.0</v>
      </c>
      <c r="I471" s="50">
        <v>100113.0</v>
      </c>
    </row>
    <row r="472">
      <c r="A472" s="66">
        <v>7468.0</v>
      </c>
      <c r="B472" s="66">
        <v>91.0</v>
      </c>
      <c r="C472" s="66">
        <v>9.0</v>
      </c>
      <c r="D472" s="66">
        <v>3.0</v>
      </c>
      <c r="E472" s="66">
        <v>0.0</v>
      </c>
      <c r="F472" s="66" t="s">
        <v>3254</v>
      </c>
      <c r="G472" s="66">
        <v>2.0</v>
      </c>
      <c r="H472" s="81">
        <v>4.0</v>
      </c>
      <c r="I472" s="50">
        <v>60113.0</v>
      </c>
    </row>
    <row r="473">
      <c r="A473" s="66">
        <v>7469.0</v>
      </c>
      <c r="B473" s="66">
        <v>71.0</v>
      </c>
      <c r="C473" s="66">
        <v>5.0</v>
      </c>
      <c r="D473" s="66">
        <v>1.0</v>
      </c>
      <c r="E473" s="66">
        <v>1.0</v>
      </c>
      <c r="F473" s="66" t="s">
        <v>3255</v>
      </c>
      <c r="G473" s="66">
        <v>4.0</v>
      </c>
      <c r="H473" s="81">
        <v>3.0</v>
      </c>
      <c r="I473" s="50">
        <v>62518.0</v>
      </c>
    </row>
    <row r="474">
      <c r="A474" s="66">
        <v>7470.0</v>
      </c>
      <c r="B474" s="66">
        <v>71.0</v>
      </c>
      <c r="C474" s="66">
        <v>5.0</v>
      </c>
      <c r="D474" s="66">
        <v>7.0</v>
      </c>
      <c r="E474" s="66">
        <v>1.0</v>
      </c>
      <c r="F474" s="66" t="s">
        <v>3256</v>
      </c>
      <c r="G474" s="66">
        <v>9.0</v>
      </c>
      <c r="H474" s="81">
        <v>4.0</v>
      </c>
      <c r="I474" s="50">
        <v>71213.0</v>
      </c>
    </row>
    <row r="475">
      <c r="A475" s="66">
        <v>7471.0</v>
      </c>
      <c r="B475" s="66">
        <v>51.0</v>
      </c>
      <c r="C475" s="66">
        <v>1.0</v>
      </c>
      <c r="D475" s="66">
        <v>9.0</v>
      </c>
      <c r="E475" s="66">
        <v>1.0</v>
      </c>
      <c r="F475" s="66" t="s">
        <v>3257</v>
      </c>
      <c r="G475" s="66">
        <v>6.0</v>
      </c>
      <c r="H475" s="81">
        <v>4.0</v>
      </c>
      <c r="I475" s="50">
        <v>11516.0</v>
      </c>
    </row>
    <row r="476">
      <c r="A476" s="66">
        <v>7472.0</v>
      </c>
      <c r="B476" s="66">
        <v>92.0</v>
      </c>
      <c r="C476" s="66">
        <v>1.0</v>
      </c>
      <c r="D476" s="66">
        <v>7.0</v>
      </c>
      <c r="E476" s="66">
        <v>0.0</v>
      </c>
      <c r="F476" s="66" t="s">
        <v>3258</v>
      </c>
      <c r="G476" s="66">
        <v>9.0</v>
      </c>
      <c r="H476" s="81">
        <v>4.0</v>
      </c>
      <c r="I476" s="50">
        <v>12114.0</v>
      </c>
    </row>
    <row r="477">
      <c r="A477" s="66">
        <v>7473.0</v>
      </c>
      <c r="B477" s="66">
        <v>92.0</v>
      </c>
      <c r="C477" s="66">
        <v>1.0</v>
      </c>
      <c r="D477" s="66">
        <v>8.0</v>
      </c>
      <c r="E477" s="66">
        <v>0.0</v>
      </c>
      <c r="F477" s="66" t="s">
        <v>3259</v>
      </c>
      <c r="G477" s="66">
        <v>4.0</v>
      </c>
      <c r="H477" s="81">
        <v>1.0</v>
      </c>
      <c r="I477" s="50">
        <v>81316.0</v>
      </c>
    </row>
    <row r="478">
      <c r="A478" s="66">
        <v>7474.0</v>
      </c>
      <c r="B478" s="66">
        <v>51.0</v>
      </c>
      <c r="C478" s="66">
        <v>2.0</v>
      </c>
      <c r="D478" s="66">
        <v>2.0</v>
      </c>
      <c r="E478" s="66">
        <v>1.0</v>
      </c>
      <c r="F478" s="66" t="s">
        <v>3260</v>
      </c>
      <c r="G478" s="66">
        <v>6.0</v>
      </c>
      <c r="H478" s="81">
        <v>5.0</v>
      </c>
      <c r="I478" s="50">
        <v>63013.0</v>
      </c>
    </row>
    <row r="479">
      <c r="A479" s="66">
        <v>7475.0</v>
      </c>
      <c r="B479" s="66">
        <v>71.0</v>
      </c>
      <c r="C479" s="66">
        <v>7.0</v>
      </c>
      <c r="D479" s="66">
        <v>4.0</v>
      </c>
      <c r="E479" s="66">
        <v>0.0</v>
      </c>
      <c r="F479" s="66" t="s">
        <v>3261</v>
      </c>
      <c r="G479" s="66">
        <v>6.0</v>
      </c>
      <c r="H479" s="81">
        <v>2.0</v>
      </c>
      <c r="I479" s="50">
        <v>102616.0</v>
      </c>
    </row>
    <row r="480">
      <c r="A480" s="66">
        <v>7476.0</v>
      </c>
      <c r="B480" s="66">
        <v>92.0</v>
      </c>
      <c r="C480" s="66">
        <v>2.0</v>
      </c>
      <c r="D480" s="66">
        <v>5.0</v>
      </c>
      <c r="E480" s="66">
        <v>1.0</v>
      </c>
      <c r="F480" s="66" t="s">
        <v>3262</v>
      </c>
      <c r="G480" s="66">
        <v>9.0</v>
      </c>
      <c r="H480" s="81">
        <v>5.0</v>
      </c>
      <c r="I480" s="50">
        <v>30314.0</v>
      </c>
    </row>
    <row r="481">
      <c r="A481" s="66">
        <v>7477.0</v>
      </c>
      <c r="B481" s="66">
        <v>92.0</v>
      </c>
      <c r="C481" s="66">
        <v>2.0</v>
      </c>
      <c r="D481" s="66">
        <v>6.0</v>
      </c>
      <c r="E481" s="66">
        <v>1.0</v>
      </c>
      <c r="F481" s="66" t="s">
        <v>3263</v>
      </c>
      <c r="G481" s="66">
        <v>2.0</v>
      </c>
      <c r="H481" s="81">
        <v>2.0</v>
      </c>
      <c r="I481" s="50">
        <v>42818.0</v>
      </c>
    </row>
    <row r="482">
      <c r="A482" s="66">
        <v>7478.0</v>
      </c>
      <c r="B482" s="66">
        <v>71.0</v>
      </c>
      <c r="C482" s="66">
        <v>8.0</v>
      </c>
      <c r="D482" s="66">
        <v>3.0</v>
      </c>
      <c r="E482" s="66">
        <v>0.0</v>
      </c>
      <c r="F482" s="66" t="s">
        <v>3264</v>
      </c>
      <c r="G482" s="66">
        <v>4.0</v>
      </c>
      <c r="H482" s="81">
        <v>1.0</v>
      </c>
      <c r="I482" s="50">
        <v>102419.0</v>
      </c>
    </row>
    <row r="483">
      <c r="A483" s="66">
        <v>7479.0</v>
      </c>
      <c r="B483" s="66">
        <v>92.0</v>
      </c>
      <c r="C483" s="66">
        <v>3.0</v>
      </c>
      <c r="D483" s="66">
        <v>2.0</v>
      </c>
      <c r="E483" s="66">
        <v>0.0</v>
      </c>
      <c r="F483" s="66" t="s">
        <v>3265</v>
      </c>
      <c r="G483" s="66">
        <v>5.0</v>
      </c>
      <c r="H483" s="81">
        <v>5.0</v>
      </c>
      <c r="I483" s="50">
        <v>52018.0</v>
      </c>
    </row>
    <row r="484">
      <c r="A484" s="66">
        <v>7480.0</v>
      </c>
      <c r="B484" s="66">
        <v>71.0</v>
      </c>
      <c r="C484" s="66">
        <v>8.0</v>
      </c>
      <c r="D484" s="66">
        <v>5.0</v>
      </c>
      <c r="E484" s="66">
        <v>1.0</v>
      </c>
      <c r="F484" s="66" t="s">
        <v>3266</v>
      </c>
      <c r="G484" s="66">
        <v>5.0</v>
      </c>
      <c r="H484" s="81">
        <v>4.0</v>
      </c>
      <c r="I484" s="50">
        <v>22117.0</v>
      </c>
    </row>
    <row r="485">
      <c r="A485" s="66">
        <v>7481.0</v>
      </c>
      <c r="B485" s="66">
        <v>71.0</v>
      </c>
      <c r="C485" s="66">
        <v>8.0</v>
      </c>
      <c r="D485" s="66">
        <v>8.0</v>
      </c>
      <c r="E485" s="66">
        <v>1.0</v>
      </c>
      <c r="F485" s="66" t="s">
        <v>3267</v>
      </c>
      <c r="G485" s="66">
        <v>2.0</v>
      </c>
      <c r="H485" s="81">
        <v>5.0</v>
      </c>
      <c r="I485" s="50">
        <v>41420.0</v>
      </c>
    </row>
    <row r="486">
      <c r="A486" s="66">
        <v>7482.0</v>
      </c>
      <c r="B486" s="66">
        <v>71.0</v>
      </c>
      <c r="C486" s="66">
        <v>9.0</v>
      </c>
      <c r="D486" s="66">
        <v>1.0</v>
      </c>
      <c r="E486" s="66">
        <v>0.0</v>
      </c>
      <c r="F486" s="66" t="s">
        <v>3268</v>
      </c>
      <c r="G486" s="66">
        <v>5.0</v>
      </c>
      <c r="H486" s="81">
        <v>4.0</v>
      </c>
      <c r="I486" s="50">
        <v>31213.0</v>
      </c>
    </row>
    <row r="487">
      <c r="A487" s="66">
        <v>7483.0</v>
      </c>
      <c r="B487" s="66">
        <v>71.0</v>
      </c>
      <c r="C487" s="66">
        <v>9.0</v>
      </c>
      <c r="D487" s="66">
        <v>2.0</v>
      </c>
      <c r="E487" s="66">
        <v>0.0</v>
      </c>
      <c r="F487" s="66" t="s">
        <v>3269</v>
      </c>
      <c r="G487" s="66">
        <v>4.0</v>
      </c>
      <c r="H487" s="81">
        <v>5.0</v>
      </c>
      <c r="I487" s="50">
        <v>40117.0</v>
      </c>
    </row>
    <row r="488">
      <c r="A488" s="66">
        <v>7484.0</v>
      </c>
      <c r="B488" s="66">
        <v>92.0</v>
      </c>
      <c r="C488" s="66">
        <v>4.0</v>
      </c>
      <c r="D488" s="66">
        <v>9.0</v>
      </c>
      <c r="E488" s="66">
        <v>1.0</v>
      </c>
      <c r="F488" s="66" t="s">
        <v>3270</v>
      </c>
      <c r="G488" s="66">
        <v>6.0</v>
      </c>
      <c r="H488" s="81">
        <v>1.0</v>
      </c>
      <c r="I488" s="50">
        <v>12615.0</v>
      </c>
    </row>
    <row r="489">
      <c r="A489" s="66">
        <v>7485.0</v>
      </c>
      <c r="B489" s="66">
        <v>31.0</v>
      </c>
      <c r="C489" s="66">
        <v>1.0</v>
      </c>
      <c r="D489" s="66">
        <v>5.0</v>
      </c>
      <c r="E489" s="66">
        <v>0.0</v>
      </c>
      <c r="F489" s="66" t="s">
        <v>3271</v>
      </c>
      <c r="G489" s="66">
        <v>5.0</v>
      </c>
      <c r="H489" s="81">
        <v>1.0</v>
      </c>
      <c r="I489" s="50">
        <v>61515.0</v>
      </c>
    </row>
    <row r="490">
      <c r="A490" s="66">
        <v>7486.0</v>
      </c>
      <c r="B490" s="66">
        <v>51.0</v>
      </c>
      <c r="C490" s="66">
        <v>6.0</v>
      </c>
      <c r="D490" s="66">
        <v>8.0</v>
      </c>
      <c r="E490" s="66">
        <v>1.0</v>
      </c>
      <c r="F490" s="66" t="s">
        <v>3272</v>
      </c>
      <c r="G490" s="66">
        <v>8.0</v>
      </c>
      <c r="H490" s="81">
        <v>3.0</v>
      </c>
      <c r="I490" s="50">
        <v>100913.0</v>
      </c>
    </row>
    <row r="491">
      <c r="A491" s="66">
        <v>7487.0</v>
      </c>
      <c r="B491" s="66">
        <v>92.0</v>
      </c>
      <c r="C491" s="66">
        <v>6.0</v>
      </c>
      <c r="D491" s="66">
        <v>4.0</v>
      </c>
      <c r="E491" s="66">
        <v>1.0</v>
      </c>
      <c r="F491" s="66" t="s">
        <v>3273</v>
      </c>
      <c r="G491" s="66">
        <v>3.0</v>
      </c>
      <c r="H491" s="81">
        <v>5.0</v>
      </c>
      <c r="I491" s="50">
        <v>80118.0</v>
      </c>
    </row>
    <row r="492">
      <c r="A492" s="66">
        <v>7488.0</v>
      </c>
      <c r="B492" s="66">
        <v>31.0</v>
      </c>
      <c r="C492" s="66">
        <v>2.0</v>
      </c>
      <c r="D492" s="66">
        <v>3.0</v>
      </c>
      <c r="E492" s="66">
        <v>0.0</v>
      </c>
      <c r="F492" s="66" t="s">
        <v>3274</v>
      </c>
      <c r="G492" s="66">
        <v>9.0</v>
      </c>
      <c r="H492" s="81">
        <v>4.0</v>
      </c>
      <c r="I492" s="50">
        <v>110916.0</v>
      </c>
    </row>
    <row r="493">
      <c r="A493" s="66">
        <v>7489.0</v>
      </c>
      <c r="B493" s="66">
        <v>92.0</v>
      </c>
      <c r="C493" s="66">
        <v>6.0</v>
      </c>
      <c r="D493" s="66">
        <v>8.0</v>
      </c>
      <c r="E493" s="66">
        <v>1.0</v>
      </c>
      <c r="F493" s="66" t="s">
        <v>3275</v>
      </c>
      <c r="G493" s="66">
        <v>9.0</v>
      </c>
      <c r="H493" s="81">
        <v>2.0</v>
      </c>
      <c r="I493" s="50">
        <v>112421.0</v>
      </c>
    </row>
    <row r="494">
      <c r="A494" s="66">
        <v>7490.0</v>
      </c>
      <c r="B494" s="66">
        <v>51.0</v>
      </c>
      <c r="C494" s="66">
        <v>7.0</v>
      </c>
      <c r="D494" s="66">
        <v>3.0</v>
      </c>
      <c r="E494" s="66">
        <v>1.0</v>
      </c>
      <c r="F494" s="66" t="s">
        <v>3276</v>
      </c>
      <c r="G494" s="66">
        <v>2.0</v>
      </c>
      <c r="H494" s="81">
        <v>2.0</v>
      </c>
      <c r="I494" s="50">
        <v>10917.0</v>
      </c>
    </row>
    <row r="495">
      <c r="A495" s="66">
        <v>7491.0</v>
      </c>
      <c r="B495" s="66">
        <v>72.0</v>
      </c>
      <c r="C495" s="66">
        <v>2.0</v>
      </c>
      <c r="D495" s="66">
        <v>3.0</v>
      </c>
      <c r="E495" s="66">
        <v>0.0</v>
      </c>
      <c r="F495" s="66" t="s">
        <v>3277</v>
      </c>
      <c r="G495" s="66">
        <v>6.0</v>
      </c>
      <c r="H495" s="81">
        <v>2.0</v>
      </c>
      <c r="I495" s="50">
        <v>12017.0</v>
      </c>
    </row>
    <row r="496">
      <c r="A496" s="66">
        <v>7492.0</v>
      </c>
      <c r="B496" s="66">
        <v>72.0</v>
      </c>
      <c r="C496" s="66">
        <v>2.0</v>
      </c>
      <c r="D496" s="66">
        <v>4.0</v>
      </c>
      <c r="E496" s="66">
        <v>0.0</v>
      </c>
      <c r="F496" s="66" t="s">
        <v>3278</v>
      </c>
      <c r="G496" s="66">
        <v>6.0</v>
      </c>
      <c r="H496" s="81">
        <v>4.0</v>
      </c>
      <c r="I496" s="50">
        <v>111821.0</v>
      </c>
    </row>
    <row r="497">
      <c r="A497" s="66">
        <v>7493.0</v>
      </c>
      <c r="B497" s="66">
        <v>31.0</v>
      </c>
      <c r="C497" s="66">
        <v>2.0</v>
      </c>
      <c r="D497" s="66">
        <v>9.0</v>
      </c>
      <c r="E497" s="66">
        <v>0.0</v>
      </c>
      <c r="F497" s="66" t="s">
        <v>3279</v>
      </c>
      <c r="G497" s="66">
        <v>5.0</v>
      </c>
      <c r="H497" s="81">
        <v>4.0</v>
      </c>
      <c r="I497" s="50">
        <v>40718.0</v>
      </c>
    </row>
    <row r="498">
      <c r="A498" s="66">
        <v>7494.0</v>
      </c>
      <c r="B498" s="66">
        <v>92.0</v>
      </c>
      <c r="C498" s="66">
        <v>7.0</v>
      </c>
      <c r="D498" s="66">
        <v>5.0</v>
      </c>
      <c r="E498" s="66">
        <v>1.0</v>
      </c>
      <c r="F498" s="66" t="s">
        <v>3280</v>
      </c>
      <c r="G498" s="66">
        <v>8.0</v>
      </c>
      <c r="H498" s="81">
        <v>3.0</v>
      </c>
      <c r="I498" s="50">
        <v>10218.0</v>
      </c>
    </row>
    <row r="499">
      <c r="A499" s="66">
        <v>7495.0</v>
      </c>
      <c r="B499" s="66">
        <v>31.0</v>
      </c>
      <c r="C499" s="66">
        <v>3.0</v>
      </c>
      <c r="D499" s="66">
        <v>2.0</v>
      </c>
      <c r="E499" s="66">
        <v>1.0</v>
      </c>
      <c r="F499" s="66" t="s">
        <v>3281</v>
      </c>
      <c r="G499" s="66">
        <v>7.0</v>
      </c>
      <c r="H499" s="81">
        <v>1.0</v>
      </c>
      <c r="I499" s="50">
        <v>121413.0</v>
      </c>
    </row>
    <row r="500">
      <c r="A500" s="66">
        <v>7496.0</v>
      </c>
      <c r="B500" s="66">
        <v>92.0</v>
      </c>
      <c r="C500" s="66">
        <v>7.0</v>
      </c>
      <c r="D500" s="66">
        <v>9.0</v>
      </c>
      <c r="E500" s="66">
        <v>0.0</v>
      </c>
      <c r="F500" s="66" t="s">
        <v>3282</v>
      </c>
      <c r="G500" s="66">
        <v>2.0</v>
      </c>
      <c r="H500" s="81">
        <v>5.0</v>
      </c>
      <c r="I500" s="50">
        <v>120613.0</v>
      </c>
    </row>
    <row r="501">
      <c r="A501" s="66">
        <v>7497.0</v>
      </c>
      <c r="B501" s="66">
        <v>31.0</v>
      </c>
      <c r="C501" s="66">
        <v>4.0</v>
      </c>
      <c r="D501" s="66">
        <v>2.0</v>
      </c>
      <c r="E501" s="66">
        <v>0.0</v>
      </c>
      <c r="F501" s="66" t="s">
        <v>3283</v>
      </c>
      <c r="G501" s="66">
        <v>8.0</v>
      </c>
      <c r="H501" s="81">
        <v>3.0</v>
      </c>
      <c r="I501" s="50">
        <v>41517.0</v>
      </c>
    </row>
    <row r="502">
      <c r="A502" s="66">
        <v>7498.0</v>
      </c>
      <c r="B502" s="66">
        <v>51.0</v>
      </c>
      <c r="C502" s="66">
        <v>9.0</v>
      </c>
      <c r="D502" s="66">
        <v>3.0</v>
      </c>
      <c r="E502" s="66">
        <v>0.0</v>
      </c>
      <c r="F502" s="66" t="s">
        <v>3284</v>
      </c>
      <c r="G502" s="66">
        <v>4.0</v>
      </c>
      <c r="H502" s="81">
        <v>1.0</v>
      </c>
      <c r="I502" s="50">
        <v>121618.0</v>
      </c>
    </row>
    <row r="503">
      <c r="A503" s="66">
        <v>7499.0</v>
      </c>
      <c r="B503" s="66">
        <v>51.0</v>
      </c>
      <c r="C503" s="66">
        <v>9.0</v>
      </c>
      <c r="D503" s="66">
        <v>4.0</v>
      </c>
      <c r="E503" s="66">
        <v>0.0</v>
      </c>
      <c r="F503" s="66" t="s">
        <v>3285</v>
      </c>
      <c r="G503" s="66">
        <v>9.0</v>
      </c>
      <c r="H503" s="81">
        <v>3.0</v>
      </c>
      <c r="I503" s="50">
        <v>31522.0</v>
      </c>
    </row>
    <row r="504">
      <c r="A504" s="66">
        <v>7500.0</v>
      </c>
      <c r="B504" s="66">
        <v>51.0</v>
      </c>
      <c r="C504" s="66">
        <v>9.0</v>
      </c>
      <c r="D504" s="66">
        <v>5.0</v>
      </c>
      <c r="E504" s="66">
        <v>1.0</v>
      </c>
      <c r="F504" s="66" t="s">
        <v>3286</v>
      </c>
      <c r="G504" s="66">
        <v>6.0</v>
      </c>
      <c r="H504" s="81">
        <v>5.0</v>
      </c>
      <c r="I504" s="50">
        <v>70220.0</v>
      </c>
    </row>
    <row r="505">
      <c r="A505" s="66">
        <v>7501.0</v>
      </c>
      <c r="B505" s="66">
        <v>92.0</v>
      </c>
      <c r="C505" s="66">
        <v>8.0</v>
      </c>
      <c r="D505" s="66">
        <v>9.0</v>
      </c>
      <c r="E505" s="66">
        <v>1.0</v>
      </c>
      <c r="F505" s="66" t="s">
        <v>3287</v>
      </c>
      <c r="G505" s="66">
        <v>6.0</v>
      </c>
      <c r="H505" s="81">
        <v>1.0</v>
      </c>
      <c r="I505" s="50">
        <v>121822.0</v>
      </c>
    </row>
    <row r="506">
      <c r="A506" s="66">
        <v>7502.0</v>
      </c>
      <c r="B506" s="66">
        <v>72.0</v>
      </c>
      <c r="C506" s="66">
        <v>4.0</v>
      </c>
      <c r="D506" s="66">
        <v>5.0</v>
      </c>
      <c r="E506" s="66">
        <v>1.0</v>
      </c>
      <c r="F506" s="66" t="s">
        <v>3288</v>
      </c>
      <c r="G506" s="66">
        <v>4.0</v>
      </c>
      <c r="H506" s="81">
        <v>2.0</v>
      </c>
      <c r="I506" s="50">
        <v>61720.0</v>
      </c>
    </row>
    <row r="507">
      <c r="A507" s="66">
        <v>7503.0</v>
      </c>
      <c r="B507" s="66">
        <v>72.0</v>
      </c>
      <c r="C507" s="66">
        <v>4.0</v>
      </c>
      <c r="D507" s="66">
        <v>7.0</v>
      </c>
      <c r="E507" s="66">
        <v>0.0</v>
      </c>
      <c r="F507" s="66" t="s">
        <v>3289</v>
      </c>
      <c r="G507" s="66">
        <v>9.0</v>
      </c>
      <c r="H507" s="81">
        <v>4.0</v>
      </c>
      <c r="I507" s="50">
        <v>120817.0</v>
      </c>
    </row>
    <row r="508">
      <c r="A508" s="66">
        <v>7504.0</v>
      </c>
      <c r="B508" s="66">
        <v>92.0</v>
      </c>
      <c r="C508" s="66">
        <v>9.0</v>
      </c>
      <c r="D508" s="66">
        <v>6.0</v>
      </c>
      <c r="E508" s="66">
        <v>0.0</v>
      </c>
      <c r="F508" s="66" t="s">
        <v>3290</v>
      </c>
      <c r="G508" s="66">
        <v>4.0</v>
      </c>
      <c r="H508" s="81">
        <v>5.0</v>
      </c>
      <c r="I508" s="50">
        <v>82221.0</v>
      </c>
    </row>
    <row r="509">
      <c r="A509" s="66">
        <v>7505.0</v>
      </c>
      <c r="B509" s="66">
        <v>92.0</v>
      </c>
      <c r="C509" s="66">
        <v>9.0</v>
      </c>
      <c r="D509" s="66">
        <v>8.0</v>
      </c>
      <c r="E509" s="66">
        <v>0.0</v>
      </c>
      <c r="F509" s="66" t="s">
        <v>3291</v>
      </c>
      <c r="G509" s="66">
        <v>5.0</v>
      </c>
      <c r="H509" s="81">
        <v>3.0</v>
      </c>
      <c r="I509" s="50">
        <v>102317.0</v>
      </c>
    </row>
    <row r="510">
      <c r="A510" s="66">
        <v>7506.0</v>
      </c>
      <c r="B510" s="66">
        <v>31.0</v>
      </c>
      <c r="C510" s="66">
        <v>6.0</v>
      </c>
      <c r="D510" s="66">
        <v>1.0</v>
      </c>
      <c r="E510" s="66">
        <v>0.0</v>
      </c>
      <c r="F510" s="66" t="s">
        <v>3292</v>
      </c>
      <c r="G510" s="66">
        <v>1.0</v>
      </c>
      <c r="H510" s="81">
        <v>2.0</v>
      </c>
      <c r="I510" s="50">
        <v>41714.0</v>
      </c>
    </row>
    <row r="511">
      <c r="A511" s="66">
        <v>7507.0</v>
      </c>
      <c r="B511" s="66">
        <v>11.0</v>
      </c>
      <c r="C511" s="66">
        <v>1.0</v>
      </c>
      <c r="D511" s="66">
        <v>4.0</v>
      </c>
      <c r="E511" s="66">
        <v>0.0</v>
      </c>
      <c r="F511" s="66" t="s">
        <v>3293</v>
      </c>
      <c r="G511" s="66">
        <v>5.0</v>
      </c>
      <c r="H511" s="81">
        <v>1.0</v>
      </c>
      <c r="I511" s="50">
        <v>70813.0</v>
      </c>
    </row>
    <row r="512">
      <c r="A512" s="66">
        <v>7508.0</v>
      </c>
      <c r="B512" s="66">
        <v>52.0</v>
      </c>
      <c r="C512" s="66">
        <v>1.0</v>
      </c>
      <c r="D512" s="66">
        <v>3.0</v>
      </c>
      <c r="E512" s="66">
        <v>0.0</v>
      </c>
      <c r="F512" s="66" t="s">
        <v>3294</v>
      </c>
      <c r="G512" s="66">
        <v>1.0</v>
      </c>
      <c r="H512" s="81">
        <v>1.0</v>
      </c>
      <c r="I512" s="50">
        <v>110719.0</v>
      </c>
    </row>
    <row r="513">
      <c r="A513" s="66">
        <v>7509.0</v>
      </c>
      <c r="B513" s="66">
        <v>52.0</v>
      </c>
      <c r="C513" s="66">
        <v>1.0</v>
      </c>
      <c r="D513" s="66">
        <v>4.0</v>
      </c>
      <c r="E513" s="66">
        <v>0.0</v>
      </c>
      <c r="F513" s="66" t="s">
        <v>3295</v>
      </c>
      <c r="G513" s="66">
        <v>2.0</v>
      </c>
      <c r="H513" s="81">
        <v>2.0</v>
      </c>
      <c r="I513" s="50">
        <v>41818.0</v>
      </c>
    </row>
    <row r="514">
      <c r="A514" s="66">
        <v>7510.0</v>
      </c>
      <c r="B514" s="66">
        <v>72.0</v>
      </c>
      <c r="C514" s="66">
        <v>6.0</v>
      </c>
      <c r="D514" s="66">
        <v>3.0</v>
      </c>
      <c r="E514" s="66">
        <v>0.0</v>
      </c>
      <c r="F514" s="66" t="s">
        <v>3296</v>
      </c>
      <c r="G514" s="66">
        <v>7.0</v>
      </c>
      <c r="H514" s="81">
        <v>5.0</v>
      </c>
      <c r="I514" s="50">
        <v>71422.0</v>
      </c>
    </row>
    <row r="515">
      <c r="A515" s="66">
        <v>7511.0</v>
      </c>
      <c r="B515" s="66">
        <v>31.0</v>
      </c>
      <c r="C515" s="66">
        <v>6.0</v>
      </c>
      <c r="D515" s="66">
        <v>8.0</v>
      </c>
      <c r="E515" s="66">
        <v>1.0</v>
      </c>
      <c r="F515" s="66" t="s">
        <v>3297</v>
      </c>
      <c r="G515" s="66">
        <v>1.0</v>
      </c>
      <c r="H515" s="81">
        <v>4.0</v>
      </c>
      <c r="I515" s="50">
        <v>11814.0</v>
      </c>
    </row>
    <row r="516">
      <c r="A516" s="66">
        <v>7512.0</v>
      </c>
      <c r="B516" s="66">
        <v>11.0</v>
      </c>
      <c r="C516" s="66">
        <v>2.0</v>
      </c>
      <c r="D516" s="66">
        <v>2.0</v>
      </c>
      <c r="E516" s="66">
        <v>0.0</v>
      </c>
      <c r="F516" s="66" t="s">
        <v>3298</v>
      </c>
      <c r="G516" s="66">
        <v>7.0</v>
      </c>
      <c r="H516" s="81">
        <v>4.0</v>
      </c>
      <c r="I516" s="50">
        <v>21522.0</v>
      </c>
    </row>
    <row r="517">
      <c r="A517" s="66">
        <v>7513.0</v>
      </c>
      <c r="B517" s="66">
        <v>31.0</v>
      </c>
      <c r="C517" s="66">
        <v>7.0</v>
      </c>
      <c r="D517" s="66">
        <v>1.0</v>
      </c>
      <c r="E517" s="66">
        <v>0.0</v>
      </c>
      <c r="F517" s="66" t="s">
        <v>3299</v>
      </c>
      <c r="G517" s="66">
        <v>4.0</v>
      </c>
      <c r="H517" s="81">
        <v>4.0</v>
      </c>
      <c r="I517" s="50">
        <v>10314.0</v>
      </c>
    </row>
    <row r="518">
      <c r="A518" s="66">
        <v>7514.0</v>
      </c>
      <c r="B518" s="66">
        <v>72.0</v>
      </c>
      <c r="C518" s="66">
        <v>6.0</v>
      </c>
      <c r="D518" s="66">
        <v>7.0</v>
      </c>
      <c r="E518" s="66">
        <v>0.0</v>
      </c>
      <c r="F518" s="66" t="s">
        <v>3300</v>
      </c>
      <c r="G518" s="66">
        <v>7.0</v>
      </c>
      <c r="H518" s="81">
        <v>5.0</v>
      </c>
      <c r="I518" s="50">
        <v>121915.0</v>
      </c>
    </row>
    <row r="519">
      <c r="A519" s="66">
        <v>7515.0</v>
      </c>
      <c r="B519" s="66">
        <v>72.0</v>
      </c>
      <c r="C519" s="66">
        <v>6.0</v>
      </c>
      <c r="D519" s="66">
        <v>9.0</v>
      </c>
      <c r="E519" s="66">
        <v>0.0</v>
      </c>
      <c r="F519" s="66" t="s">
        <v>3301</v>
      </c>
      <c r="G519" s="66">
        <v>4.0</v>
      </c>
      <c r="H519" s="81">
        <v>5.0</v>
      </c>
      <c r="I519" s="50">
        <v>40619.0</v>
      </c>
    </row>
    <row r="520">
      <c r="A520" s="66">
        <v>7516.0</v>
      </c>
      <c r="B520" s="66">
        <v>11.0</v>
      </c>
      <c r="C520" s="66">
        <v>2.0</v>
      </c>
      <c r="D520" s="66">
        <v>6.0</v>
      </c>
      <c r="E520" s="66">
        <v>1.0</v>
      </c>
      <c r="F520" s="66" t="s">
        <v>3302</v>
      </c>
      <c r="G520" s="66">
        <v>1.0</v>
      </c>
      <c r="H520" s="81">
        <v>1.0</v>
      </c>
      <c r="I520" s="50">
        <v>121217.0</v>
      </c>
    </row>
    <row r="521">
      <c r="A521" s="66">
        <v>7517.0</v>
      </c>
      <c r="B521" s="66">
        <v>11.0</v>
      </c>
      <c r="C521" s="66">
        <v>2.0</v>
      </c>
      <c r="D521" s="66">
        <v>7.0</v>
      </c>
      <c r="E521" s="66">
        <v>0.0</v>
      </c>
      <c r="F521" s="66" t="s">
        <v>3303</v>
      </c>
      <c r="G521" s="66">
        <v>4.0</v>
      </c>
      <c r="H521" s="81">
        <v>2.0</v>
      </c>
      <c r="I521" s="50">
        <v>42216.0</v>
      </c>
    </row>
    <row r="522">
      <c r="A522" s="66">
        <v>7518.0</v>
      </c>
      <c r="B522" s="66">
        <v>93.0</v>
      </c>
      <c r="C522" s="66">
        <v>1.0</v>
      </c>
      <c r="D522" s="66">
        <v>7.0</v>
      </c>
      <c r="E522" s="66">
        <v>1.0</v>
      </c>
      <c r="F522" s="66" t="s">
        <v>3304</v>
      </c>
      <c r="G522" s="66">
        <v>7.0</v>
      </c>
      <c r="H522" s="81">
        <v>3.0</v>
      </c>
      <c r="I522" s="50">
        <v>43021.0</v>
      </c>
    </row>
    <row r="523">
      <c r="A523" s="66">
        <v>7519.0</v>
      </c>
      <c r="B523" s="66">
        <v>11.0</v>
      </c>
      <c r="C523" s="66">
        <v>2.0</v>
      </c>
      <c r="D523" s="66">
        <v>9.0</v>
      </c>
      <c r="E523" s="66">
        <v>0.0</v>
      </c>
      <c r="F523" s="66" t="s">
        <v>3305</v>
      </c>
      <c r="G523" s="66">
        <v>3.0</v>
      </c>
      <c r="H523" s="81">
        <v>3.0</v>
      </c>
      <c r="I523" s="50">
        <v>100215.0</v>
      </c>
    </row>
    <row r="524">
      <c r="A524" s="66">
        <v>7520.0</v>
      </c>
      <c r="B524" s="66">
        <v>72.0</v>
      </c>
      <c r="C524" s="66">
        <v>7.0</v>
      </c>
      <c r="D524" s="66">
        <v>7.0</v>
      </c>
      <c r="E524" s="66">
        <v>1.0</v>
      </c>
      <c r="F524" s="66" t="s">
        <v>3306</v>
      </c>
      <c r="G524" s="66">
        <v>5.0</v>
      </c>
      <c r="H524" s="81">
        <v>3.0</v>
      </c>
      <c r="I524" s="50">
        <v>42617.0</v>
      </c>
    </row>
    <row r="525">
      <c r="A525" s="66">
        <v>7521.0</v>
      </c>
      <c r="B525" s="66">
        <v>11.0</v>
      </c>
      <c r="C525" s="66">
        <v>3.0</v>
      </c>
      <c r="D525" s="66">
        <v>4.0</v>
      </c>
      <c r="E525" s="66">
        <v>0.0</v>
      </c>
      <c r="F525" s="66" t="s">
        <v>3307</v>
      </c>
      <c r="G525" s="66">
        <v>2.0</v>
      </c>
      <c r="H525" s="81">
        <v>4.0</v>
      </c>
      <c r="I525" s="50">
        <v>51520.0</v>
      </c>
    </row>
    <row r="526">
      <c r="A526" s="66">
        <v>7522.0</v>
      </c>
      <c r="B526" s="66">
        <v>11.0</v>
      </c>
      <c r="C526" s="66">
        <v>3.0</v>
      </c>
      <c r="D526" s="66">
        <v>5.0</v>
      </c>
      <c r="E526" s="66">
        <v>0.0</v>
      </c>
      <c r="F526" s="66" t="s">
        <v>3308</v>
      </c>
      <c r="G526" s="66">
        <v>3.0</v>
      </c>
      <c r="H526" s="81">
        <v>5.0</v>
      </c>
      <c r="I526" s="50">
        <v>50315.0</v>
      </c>
    </row>
    <row r="527">
      <c r="A527" s="66">
        <v>7523.0</v>
      </c>
      <c r="B527" s="66">
        <v>93.0</v>
      </c>
      <c r="C527" s="66">
        <v>3.0</v>
      </c>
      <c r="D527" s="66">
        <v>1.0</v>
      </c>
      <c r="E527" s="66">
        <v>1.0</v>
      </c>
      <c r="F527" s="66" t="s">
        <v>3309</v>
      </c>
      <c r="G527" s="66">
        <v>4.0</v>
      </c>
      <c r="H527" s="81">
        <v>5.0</v>
      </c>
      <c r="I527" s="50">
        <v>93019.0</v>
      </c>
    </row>
    <row r="528">
      <c r="A528" s="66">
        <v>7524.0</v>
      </c>
      <c r="B528" s="66">
        <v>72.0</v>
      </c>
      <c r="C528" s="66">
        <v>8.0</v>
      </c>
      <c r="D528" s="66">
        <v>4.0</v>
      </c>
      <c r="E528" s="66">
        <v>1.0</v>
      </c>
      <c r="F528" s="66" t="s">
        <v>3310</v>
      </c>
      <c r="G528" s="66">
        <v>9.0</v>
      </c>
      <c r="H528" s="81">
        <v>1.0</v>
      </c>
      <c r="I528" s="50">
        <v>61315.0</v>
      </c>
    </row>
    <row r="529">
      <c r="A529" s="66">
        <v>7525.0</v>
      </c>
      <c r="B529" s="66">
        <v>93.0</v>
      </c>
      <c r="C529" s="66">
        <v>3.0</v>
      </c>
      <c r="D529" s="66">
        <v>3.0</v>
      </c>
      <c r="E529" s="66">
        <v>1.0</v>
      </c>
      <c r="F529" s="66" t="s">
        <v>3311</v>
      </c>
      <c r="G529" s="66">
        <v>2.0</v>
      </c>
      <c r="H529" s="81">
        <v>5.0</v>
      </c>
      <c r="I529" s="50">
        <v>122419.0</v>
      </c>
    </row>
    <row r="530">
      <c r="A530" s="66">
        <v>7526.0</v>
      </c>
      <c r="B530" s="66">
        <v>72.0</v>
      </c>
      <c r="C530" s="66">
        <v>8.0</v>
      </c>
      <c r="D530" s="66">
        <v>6.0</v>
      </c>
      <c r="E530" s="66">
        <v>0.0</v>
      </c>
      <c r="F530" s="66" t="s">
        <v>3312</v>
      </c>
      <c r="G530" s="66">
        <v>1.0</v>
      </c>
      <c r="H530" s="81">
        <v>3.0</v>
      </c>
      <c r="I530" s="50">
        <v>120413.0</v>
      </c>
    </row>
    <row r="531">
      <c r="A531" s="66">
        <v>7527.0</v>
      </c>
      <c r="B531" s="66">
        <v>52.0</v>
      </c>
      <c r="C531" s="66">
        <v>3.0</v>
      </c>
      <c r="D531" s="66">
        <v>9.0</v>
      </c>
      <c r="E531" s="66">
        <v>1.0</v>
      </c>
      <c r="F531" s="66" t="s">
        <v>3313</v>
      </c>
      <c r="G531" s="66">
        <v>3.0</v>
      </c>
      <c r="H531" s="81">
        <v>5.0</v>
      </c>
      <c r="I531" s="50">
        <v>11120.0</v>
      </c>
    </row>
    <row r="532">
      <c r="A532" s="66">
        <v>7528.0</v>
      </c>
      <c r="B532" s="66">
        <v>11.0</v>
      </c>
      <c r="C532" s="66">
        <v>4.0</v>
      </c>
      <c r="D532" s="66">
        <v>4.0</v>
      </c>
      <c r="E532" s="66">
        <v>1.0</v>
      </c>
      <c r="F532" s="66" t="s">
        <v>3314</v>
      </c>
      <c r="G532" s="66">
        <v>1.0</v>
      </c>
      <c r="H532" s="81">
        <v>4.0</v>
      </c>
      <c r="I532" s="50">
        <v>103119.0</v>
      </c>
    </row>
    <row r="533">
      <c r="A533" s="66">
        <v>7529.0</v>
      </c>
      <c r="B533" s="66">
        <v>93.0</v>
      </c>
      <c r="C533" s="66">
        <v>3.0</v>
      </c>
      <c r="D533" s="66">
        <v>8.0</v>
      </c>
      <c r="E533" s="66">
        <v>1.0</v>
      </c>
      <c r="F533" s="66" t="s">
        <v>3315</v>
      </c>
      <c r="G533" s="66">
        <v>2.0</v>
      </c>
      <c r="H533" s="81">
        <v>1.0</v>
      </c>
      <c r="I533" s="50">
        <v>31313.0</v>
      </c>
    </row>
    <row r="534">
      <c r="A534" s="66">
        <v>7530.0</v>
      </c>
      <c r="B534" s="66">
        <v>93.0</v>
      </c>
      <c r="C534" s="66">
        <v>3.0</v>
      </c>
      <c r="D534" s="66">
        <v>9.0</v>
      </c>
      <c r="E534" s="66">
        <v>0.0</v>
      </c>
      <c r="F534" s="66" t="s">
        <v>3316</v>
      </c>
      <c r="G534" s="66">
        <v>9.0</v>
      </c>
      <c r="H534" s="81">
        <v>2.0</v>
      </c>
      <c r="I534" s="50">
        <v>21918.0</v>
      </c>
    </row>
    <row r="535">
      <c r="A535" s="66">
        <v>7531.0</v>
      </c>
      <c r="B535" s="66">
        <v>11.0</v>
      </c>
      <c r="C535" s="66">
        <v>4.0</v>
      </c>
      <c r="D535" s="66">
        <v>8.0</v>
      </c>
      <c r="E535" s="66">
        <v>1.0</v>
      </c>
      <c r="F535" s="66" t="s">
        <v>3317</v>
      </c>
      <c r="G535" s="66">
        <v>7.0</v>
      </c>
      <c r="H535" s="81">
        <v>4.0</v>
      </c>
      <c r="I535" s="50">
        <v>12516.0</v>
      </c>
    </row>
    <row r="536">
      <c r="A536" s="66">
        <v>7532.0</v>
      </c>
      <c r="B536" s="66">
        <v>72.0</v>
      </c>
      <c r="C536" s="66">
        <v>9.0</v>
      </c>
      <c r="D536" s="66">
        <v>4.0</v>
      </c>
      <c r="E536" s="66">
        <v>0.0</v>
      </c>
      <c r="F536" s="66" t="s">
        <v>3318</v>
      </c>
      <c r="G536" s="66">
        <v>5.0</v>
      </c>
      <c r="H536" s="81">
        <v>5.0</v>
      </c>
      <c r="I536" s="50">
        <v>20421.0</v>
      </c>
    </row>
    <row r="537">
      <c r="A537" s="66">
        <v>7533.0</v>
      </c>
      <c r="B537" s="66">
        <v>11.0</v>
      </c>
      <c r="C537" s="66">
        <v>5.0</v>
      </c>
      <c r="D537" s="66">
        <v>1.0</v>
      </c>
      <c r="E537" s="66">
        <v>1.0</v>
      </c>
      <c r="F537" s="66" t="s">
        <v>3319</v>
      </c>
      <c r="G537" s="66">
        <v>7.0</v>
      </c>
      <c r="H537" s="81">
        <v>4.0</v>
      </c>
      <c r="I537" s="50">
        <v>21717.0</v>
      </c>
    </row>
    <row r="538">
      <c r="A538" s="66">
        <v>7534.0</v>
      </c>
      <c r="B538" s="66">
        <v>93.0</v>
      </c>
      <c r="C538" s="66">
        <v>4.0</v>
      </c>
      <c r="D538" s="66">
        <v>4.0</v>
      </c>
      <c r="E538" s="66">
        <v>1.0</v>
      </c>
      <c r="F538" s="66" t="s">
        <v>3320</v>
      </c>
      <c r="G538" s="66">
        <v>5.0</v>
      </c>
      <c r="H538" s="81">
        <v>4.0</v>
      </c>
      <c r="I538" s="50">
        <v>81722.0</v>
      </c>
    </row>
    <row r="539">
      <c r="A539" s="66">
        <v>7535.0</v>
      </c>
      <c r="B539" s="66">
        <v>52.0</v>
      </c>
      <c r="C539" s="66">
        <v>4.0</v>
      </c>
      <c r="D539" s="66">
        <v>8.0</v>
      </c>
      <c r="E539" s="66">
        <v>0.0</v>
      </c>
      <c r="F539" s="66" t="s">
        <v>3321</v>
      </c>
      <c r="G539" s="66">
        <v>1.0</v>
      </c>
      <c r="H539" s="81">
        <v>4.0</v>
      </c>
      <c r="I539" s="50">
        <v>10514.0</v>
      </c>
    </row>
    <row r="540">
      <c r="A540" s="66">
        <v>7536.0</v>
      </c>
      <c r="B540" s="66">
        <v>11.0</v>
      </c>
      <c r="C540" s="66">
        <v>5.0</v>
      </c>
      <c r="D540" s="66">
        <v>4.0</v>
      </c>
      <c r="E540" s="66">
        <v>1.0</v>
      </c>
      <c r="F540" s="66" t="s">
        <v>3322</v>
      </c>
      <c r="G540" s="66">
        <v>9.0</v>
      </c>
      <c r="H540" s="81">
        <v>2.0</v>
      </c>
      <c r="I540" s="50">
        <v>90516.0</v>
      </c>
    </row>
    <row r="541">
      <c r="A541" s="66">
        <v>7537.0</v>
      </c>
      <c r="B541" s="66">
        <v>93.0</v>
      </c>
      <c r="C541" s="66">
        <v>4.0</v>
      </c>
      <c r="D541" s="66">
        <v>7.0</v>
      </c>
      <c r="E541" s="66">
        <v>0.0</v>
      </c>
      <c r="F541" s="66" t="s">
        <v>3323</v>
      </c>
      <c r="G541" s="66">
        <v>4.0</v>
      </c>
      <c r="H541" s="81">
        <v>1.0</v>
      </c>
      <c r="I541" s="50">
        <v>10722.0</v>
      </c>
    </row>
    <row r="542">
      <c r="A542" s="66">
        <v>7538.0</v>
      </c>
      <c r="B542" s="66">
        <v>11.0</v>
      </c>
      <c r="C542" s="66">
        <v>5.0</v>
      </c>
      <c r="D542" s="66">
        <v>6.0</v>
      </c>
      <c r="E542" s="66">
        <v>0.0</v>
      </c>
      <c r="F542" s="66" t="s">
        <v>3324</v>
      </c>
      <c r="G542" s="66">
        <v>9.0</v>
      </c>
      <c r="H542" s="81">
        <v>3.0</v>
      </c>
      <c r="I542" s="50">
        <v>111220.0</v>
      </c>
    </row>
    <row r="543">
      <c r="A543" s="66">
        <v>7539.0</v>
      </c>
      <c r="B543" s="66">
        <v>93.0</v>
      </c>
      <c r="C543" s="66">
        <v>4.0</v>
      </c>
      <c r="D543" s="66">
        <v>6.0</v>
      </c>
      <c r="E543" s="66">
        <v>1.0</v>
      </c>
      <c r="F543" s="66" t="s">
        <v>3325</v>
      </c>
      <c r="G543" s="66">
        <v>1.0</v>
      </c>
      <c r="H543" s="81">
        <v>4.0</v>
      </c>
      <c r="I543" s="50">
        <v>32614.0</v>
      </c>
    </row>
    <row r="544">
      <c r="A544" s="66">
        <v>7540.0</v>
      </c>
      <c r="B544" s="66">
        <v>11.0</v>
      </c>
      <c r="C544" s="66">
        <v>5.0</v>
      </c>
      <c r="D544" s="66">
        <v>8.0</v>
      </c>
      <c r="E544" s="66">
        <v>0.0</v>
      </c>
      <c r="F544" s="66" t="s">
        <v>3326</v>
      </c>
      <c r="G544" s="66">
        <v>3.0</v>
      </c>
      <c r="H544" s="81">
        <v>5.0</v>
      </c>
      <c r="I544" s="50">
        <v>20521.0</v>
      </c>
    </row>
    <row r="545">
      <c r="A545" s="66">
        <v>7541.0</v>
      </c>
      <c r="B545" s="66">
        <v>52.0</v>
      </c>
      <c r="C545" s="66">
        <v>5.0</v>
      </c>
      <c r="D545" s="66">
        <v>5.0</v>
      </c>
      <c r="E545" s="66">
        <v>0.0</v>
      </c>
      <c r="F545" s="66" t="s">
        <v>3327</v>
      </c>
      <c r="G545" s="66">
        <v>6.0</v>
      </c>
      <c r="H545" s="81">
        <v>2.0</v>
      </c>
      <c r="I545" s="50">
        <v>111814.0</v>
      </c>
    </row>
    <row r="546">
      <c r="A546" s="66">
        <v>7542.0</v>
      </c>
      <c r="B546" s="66">
        <v>52.0</v>
      </c>
      <c r="C546" s="66">
        <v>4.0</v>
      </c>
      <c r="D546" s="66">
        <v>7.0</v>
      </c>
      <c r="E546" s="66">
        <v>0.0</v>
      </c>
      <c r="F546" s="66" t="s">
        <v>3328</v>
      </c>
      <c r="G546" s="66">
        <v>5.0</v>
      </c>
      <c r="H546" s="81">
        <v>5.0</v>
      </c>
      <c r="I546" s="50">
        <v>10321.0</v>
      </c>
    </row>
    <row r="547">
      <c r="A547" s="66">
        <v>7543.0</v>
      </c>
      <c r="B547" s="66">
        <v>52.0</v>
      </c>
      <c r="C547" s="66">
        <v>6.0</v>
      </c>
      <c r="D547" s="66">
        <v>1.0</v>
      </c>
      <c r="E547" s="66">
        <v>0.0</v>
      </c>
      <c r="F547" s="66" t="s">
        <v>3329</v>
      </c>
      <c r="G547" s="66">
        <v>4.0</v>
      </c>
      <c r="H547" s="81">
        <v>1.0</v>
      </c>
      <c r="I547" s="50">
        <v>21818.0</v>
      </c>
    </row>
    <row r="548">
      <c r="A548" s="66">
        <v>7544.0</v>
      </c>
      <c r="B548" s="66">
        <v>32.0</v>
      </c>
      <c r="C548" s="66">
        <v>1.0</v>
      </c>
      <c r="D548" s="66">
        <v>4.0</v>
      </c>
      <c r="E548" s="66">
        <v>0.0</v>
      </c>
      <c r="F548" s="66" t="s">
        <v>3330</v>
      </c>
      <c r="G548" s="66">
        <v>3.0</v>
      </c>
      <c r="H548" s="81">
        <v>4.0</v>
      </c>
      <c r="I548" s="50">
        <v>102617.0</v>
      </c>
    </row>
    <row r="549">
      <c r="A549" s="66">
        <v>7545.0</v>
      </c>
      <c r="B549" s="66">
        <v>73.0</v>
      </c>
      <c r="C549" s="66">
        <v>1.0</v>
      </c>
      <c r="D549" s="66">
        <v>4.0</v>
      </c>
      <c r="E549" s="66">
        <v>0.0</v>
      </c>
      <c r="F549" s="66" t="s">
        <v>3331</v>
      </c>
      <c r="G549" s="66">
        <v>8.0</v>
      </c>
      <c r="H549" s="81">
        <v>3.0</v>
      </c>
      <c r="I549" s="50">
        <v>102019.0</v>
      </c>
    </row>
    <row r="550">
      <c r="A550" s="66">
        <v>7546.0</v>
      </c>
      <c r="B550" s="66">
        <v>52.0</v>
      </c>
      <c r="C550" s="66">
        <v>7.0</v>
      </c>
      <c r="D550" s="66">
        <v>1.0</v>
      </c>
      <c r="E550" s="66">
        <v>0.0</v>
      </c>
      <c r="F550" s="66" t="s">
        <v>3332</v>
      </c>
      <c r="G550" s="66">
        <v>8.0</v>
      </c>
      <c r="H550" s="81">
        <v>2.0</v>
      </c>
      <c r="I550" s="50">
        <v>70819.0</v>
      </c>
    </row>
    <row r="551">
      <c r="A551" s="66">
        <v>7547.0</v>
      </c>
      <c r="B551" s="66">
        <v>73.0</v>
      </c>
      <c r="C551" s="66">
        <v>2.0</v>
      </c>
      <c r="D551" s="66">
        <v>1.0</v>
      </c>
      <c r="E551" s="66">
        <v>0.0</v>
      </c>
      <c r="F551" s="66" t="s">
        <v>3333</v>
      </c>
      <c r="G551" s="66">
        <v>9.0</v>
      </c>
      <c r="H551" s="81">
        <v>1.0</v>
      </c>
      <c r="I551" s="50">
        <v>40121.0</v>
      </c>
    </row>
    <row r="552">
      <c r="A552" s="66">
        <v>7548.0</v>
      </c>
      <c r="B552" s="66">
        <v>73.0</v>
      </c>
      <c r="C552" s="66">
        <v>2.0</v>
      </c>
      <c r="D552" s="66">
        <v>3.0</v>
      </c>
      <c r="E552" s="66">
        <v>0.0</v>
      </c>
      <c r="F552" s="66" t="s">
        <v>3334</v>
      </c>
      <c r="G552" s="66">
        <v>2.0</v>
      </c>
      <c r="H552" s="81">
        <v>2.0</v>
      </c>
      <c r="I552" s="50">
        <v>101719.0</v>
      </c>
    </row>
    <row r="553">
      <c r="A553" s="66">
        <v>7549.0</v>
      </c>
      <c r="B553" s="66">
        <v>11.0</v>
      </c>
      <c r="C553" s="66">
        <v>8.0</v>
      </c>
      <c r="D553" s="66">
        <v>1.0</v>
      </c>
      <c r="E553" s="66">
        <v>0.0</v>
      </c>
      <c r="F553" s="66" t="s">
        <v>3335</v>
      </c>
      <c r="G553" s="66">
        <v>4.0</v>
      </c>
      <c r="H553" s="81">
        <v>1.0</v>
      </c>
      <c r="I553" s="50">
        <v>31417.0</v>
      </c>
    </row>
    <row r="554">
      <c r="A554" s="66">
        <v>7550.0</v>
      </c>
      <c r="B554" s="66">
        <v>52.0</v>
      </c>
      <c r="C554" s="66">
        <v>7.0</v>
      </c>
      <c r="D554" s="66">
        <v>8.0</v>
      </c>
      <c r="E554" s="66">
        <v>0.0</v>
      </c>
      <c r="F554" s="66" t="s">
        <v>3336</v>
      </c>
      <c r="G554" s="66">
        <v>5.0</v>
      </c>
      <c r="H554" s="81">
        <v>5.0</v>
      </c>
      <c r="I554" s="50">
        <v>102117.0</v>
      </c>
    </row>
    <row r="555">
      <c r="A555" s="66">
        <v>7551.0</v>
      </c>
      <c r="B555" s="66">
        <v>11.0</v>
      </c>
      <c r="C555" s="66">
        <v>8.0</v>
      </c>
      <c r="D555" s="66">
        <v>8.0</v>
      </c>
      <c r="E555" s="66">
        <v>0.0</v>
      </c>
      <c r="F555" s="66" t="s">
        <v>3337</v>
      </c>
      <c r="G555" s="66">
        <v>5.0</v>
      </c>
      <c r="H555" s="81">
        <v>5.0</v>
      </c>
      <c r="I555" s="50">
        <v>30822.0</v>
      </c>
    </row>
    <row r="556">
      <c r="A556" s="66">
        <v>7552.0</v>
      </c>
      <c r="B556" s="66">
        <v>32.0</v>
      </c>
      <c r="C556" s="66">
        <v>3.0</v>
      </c>
      <c r="D556" s="66">
        <v>8.0</v>
      </c>
      <c r="E556" s="66">
        <v>1.0</v>
      </c>
      <c r="F556" s="66" t="s">
        <v>3338</v>
      </c>
      <c r="G556" s="66">
        <v>4.0</v>
      </c>
      <c r="H556" s="81">
        <v>4.0</v>
      </c>
      <c r="I556" s="50">
        <v>33114.0</v>
      </c>
    </row>
    <row r="557">
      <c r="A557" s="66">
        <v>7553.0</v>
      </c>
      <c r="B557" s="66">
        <v>93.0</v>
      </c>
      <c r="C557" s="66">
        <v>8.0</v>
      </c>
      <c r="D557" s="66">
        <v>5.0</v>
      </c>
      <c r="E557" s="66">
        <v>1.0</v>
      </c>
      <c r="F557" s="66" t="s">
        <v>3339</v>
      </c>
      <c r="G557" s="66">
        <v>6.0</v>
      </c>
      <c r="H557" s="81">
        <v>5.0</v>
      </c>
      <c r="I557" s="50">
        <v>82616.0</v>
      </c>
    </row>
    <row r="558">
      <c r="A558" s="66">
        <v>7554.0</v>
      </c>
      <c r="B558" s="66">
        <v>11.0</v>
      </c>
      <c r="C558" s="66">
        <v>9.0</v>
      </c>
      <c r="D558" s="66">
        <v>6.0</v>
      </c>
      <c r="E558" s="66">
        <v>0.0</v>
      </c>
      <c r="F558" s="66" t="s">
        <v>3340</v>
      </c>
      <c r="G558" s="66">
        <v>6.0</v>
      </c>
      <c r="H558" s="81">
        <v>1.0</v>
      </c>
      <c r="I558" s="50">
        <v>72519.0</v>
      </c>
    </row>
    <row r="559">
      <c r="A559" s="66">
        <v>7555.0</v>
      </c>
      <c r="B559" s="66">
        <v>73.0</v>
      </c>
      <c r="C559" s="66">
        <v>4.0</v>
      </c>
      <c r="D559" s="66">
        <v>1.0</v>
      </c>
      <c r="E559" s="66">
        <v>0.0</v>
      </c>
      <c r="F559" s="66" t="s">
        <v>3341</v>
      </c>
      <c r="G559" s="66">
        <v>4.0</v>
      </c>
      <c r="H559" s="81">
        <v>2.0</v>
      </c>
      <c r="I559" s="50">
        <v>21217.0</v>
      </c>
    </row>
    <row r="560">
      <c r="A560" s="66">
        <v>7556.0</v>
      </c>
      <c r="B560" s="66">
        <v>32.0</v>
      </c>
      <c r="C560" s="66">
        <v>4.0</v>
      </c>
      <c r="D560" s="66">
        <v>7.0</v>
      </c>
      <c r="E560" s="66">
        <v>1.0</v>
      </c>
      <c r="F560" s="66" t="s">
        <v>3342</v>
      </c>
      <c r="G560" s="66">
        <v>3.0</v>
      </c>
      <c r="H560" s="81">
        <v>2.0</v>
      </c>
      <c r="I560" s="50">
        <v>11418.0</v>
      </c>
    </row>
    <row r="561">
      <c r="A561" s="66">
        <v>7557.0</v>
      </c>
      <c r="B561" s="66">
        <v>52.0</v>
      </c>
      <c r="C561" s="66">
        <v>9.0</v>
      </c>
      <c r="D561" s="66">
        <v>5.0</v>
      </c>
      <c r="E561" s="66">
        <v>1.0</v>
      </c>
      <c r="F561" s="66" t="s">
        <v>3343</v>
      </c>
      <c r="G561" s="66">
        <v>8.0</v>
      </c>
      <c r="H561" s="81">
        <v>2.0</v>
      </c>
      <c r="I561" s="50">
        <v>82122.0</v>
      </c>
    </row>
    <row r="562">
      <c r="A562" s="66">
        <v>7558.0</v>
      </c>
      <c r="B562" s="66">
        <v>93.0</v>
      </c>
      <c r="C562" s="66">
        <v>9.0</v>
      </c>
      <c r="D562" s="66">
        <v>2.0</v>
      </c>
      <c r="E562" s="66">
        <v>0.0</v>
      </c>
      <c r="F562" s="66" t="s">
        <v>3344</v>
      </c>
      <c r="G562" s="66">
        <v>4.0</v>
      </c>
      <c r="H562" s="81">
        <v>4.0</v>
      </c>
      <c r="I562" s="50">
        <v>52614.0</v>
      </c>
    </row>
    <row r="563">
      <c r="A563" s="66">
        <v>7559.0</v>
      </c>
      <c r="B563" s="66">
        <v>73.0</v>
      </c>
      <c r="C563" s="66">
        <v>4.0</v>
      </c>
      <c r="D563" s="66">
        <v>3.0</v>
      </c>
      <c r="E563" s="66">
        <v>0.0</v>
      </c>
      <c r="F563" s="66" t="s">
        <v>3345</v>
      </c>
      <c r="G563" s="66">
        <v>8.0</v>
      </c>
      <c r="H563" s="81">
        <v>5.0</v>
      </c>
      <c r="I563" s="50">
        <v>90818.0</v>
      </c>
    </row>
    <row r="564">
      <c r="A564" s="66">
        <v>7560.0</v>
      </c>
      <c r="B564" s="66">
        <v>93.0</v>
      </c>
      <c r="C564" s="66">
        <v>9.0</v>
      </c>
      <c r="D564" s="66">
        <v>6.0</v>
      </c>
      <c r="E564" s="66">
        <v>1.0</v>
      </c>
      <c r="F564" s="66" t="s">
        <v>3346</v>
      </c>
      <c r="G564" s="66">
        <v>5.0</v>
      </c>
      <c r="H564" s="81">
        <v>2.0</v>
      </c>
      <c r="I564" s="50">
        <v>122822.0</v>
      </c>
    </row>
    <row r="565">
      <c r="A565" s="66">
        <v>7561.0</v>
      </c>
      <c r="B565" s="66">
        <v>93.0</v>
      </c>
      <c r="C565" s="66">
        <v>9.0</v>
      </c>
      <c r="D565" s="66">
        <v>9.0</v>
      </c>
      <c r="E565" s="66">
        <v>0.0</v>
      </c>
      <c r="F565" s="66" t="s">
        <v>3347</v>
      </c>
      <c r="G565" s="66">
        <v>2.0</v>
      </c>
      <c r="H565" s="81">
        <v>2.0</v>
      </c>
      <c r="I565" s="50">
        <v>122114.0</v>
      </c>
    </row>
    <row r="566">
      <c r="A566" s="66">
        <v>7562.0</v>
      </c>
      <c r="B566" s="66">
        <v>53.0</v>
      </c>
      <c r="C566" s="66">
        <v>1.0</v>
      </c>
      <c r="D566" s="66">
        <v>2.0</v>
      </c>
      <c r="E566" s="66">
        <v>1.0</v>
      </c>
      <c r="F566" s="66" t="s">
        <v>3348</v>
      </c>
      <c r="G566" s="66">
        <v>5.0</v>
      </c>
      <c r="H566" s="81">
        <v>5.0</v>
      </c>
      <c r="I566" s="50">
        <v>52413.0</v>
      </c>
    </row>
    <row r="567">
      <c r="A567" s="66">
        <v>7563.0</v>
      </c>
      <c r="B567" s="66">
        <v>12.0</v>
      </c>
      <c r="C567" s="66">
        <v>1.0</v>
      </c>
      <c r="D567" s="66">
        <v>6.0</v>
      </c>
      <c r="E567" s="66">
        <v>1.0</v>
      </c>
      <c r="F567" s="66" t="s">
        <v>3349</v>
      </c>
      <c r="G567" s="66">
        <v>2.0</v>
      </c>
      <c r="H567" s="81">
        <v>5.0</v>
      </c>
      <c r="I567" s="50">
        <v>81221.0</v>
      </c>
    </row>
    <row r="568">
      <c r="A568" s="66">
        <v>7564.0</v>
      </c>
      <c r="B568" s="66">
        <v>32.0</v>
      </c>
      <c r="C568" s="66">
        <v>6.0</v>
      </c>
      <c r="D568" s="66">
        <v>6.0</v>
      </c>
      <c r="E568" s="66">
        <v>1.0</v>
      </c>
      <c r="F568" s="66" t="s">
        <v>3350</v>
      </c>
      <c r="G568" s="66">
        <v>1.0</v>
      </c>
      <c r="H568" s="81">
        <v>3.0</v>
      </c>
      <c r="I568" s="50">
        <v>21615.0</v>
      </c>
    </row>
    <row r="569">
      <c r="A569" s="66">
        <v>7565.0</v>
      </c>
      <c r="B569" s="66">
        <v>94.0</v>
      </c>
      <c r="C569" s="66">
        <v>1.0</v>
      </c>
      <c r="D569" s="66">
        <v>1.0</v>
      </c>
      <c r="E569" s="66">
        <v>1.0</v>
      </c>
      <c r="F569" s="66" t="s">
        <v>3351</v>
      </c>
      <c r="G569" s="66">
        <v>2.0</v>
      </c>
      <c r="H569" s="81">
        <v>5.0</v>
      </c>
      <c r="I569" s="50">
        <v>101516.0</v>
      </c>
    </row>
    <row r="570">
      <c r="A570" s="66">
        <v>7566.0</v>
      </c>
      <c r="B570" s="66">
        <v>73.0</v>
      </c>
      <c r="C570" s="66">
        <v>6.0</v>
      </c>
      <c r="D570" s="66">
        <v>2.0</v>
      </c>
      <c r="E570" s="66">
        <v>0.0</v>
      </c>
      <c r="F570" s="66" t="s">
        <v>3352</v>
      </c>
      <c r="G570" s="66">
        <v>9.0</v>
      </c>
      <c r="H570" s="81">
        <v>3.0</v>
      </c>
      <c r="I570" s="50">
        <v>21416.0</v>
      </c>
    </row>
    <row r="571">
      <c r="A571" s="66">
        <v>7567.0</v>
      </c>
      <c r="B571" s="66">
        <v>73.0</v>
      </c>
      <c r="C571" s="66">
        <v>6.0</v>
      </c>
      <c r="D571" s="66">
        <v>1.0</v>
      </c>
      <c r="E571" s="66">
        <v>0.0</v>
      </c>
      <c r="F571" s="66" t="s">
        <v>3353</v>
      </c>
      <c r="G571" s="66">
        <v>9.0</v>
      </c>
      <c r="H571" s="81">
        <v>2.0</v>
      </c>
      <c r="I571" s="50">
        <v>91116.0</v>
      </c>
    </row>
    <row r="572">
      <c r="A572" s="66">
        <v>7568.0</v>
      </c>
      <c r="B572" s="66">
        <v>73.0</v>
      </c>
      <c r="C572" s="66">
        <v>6.0</v>
      </c>
      <c r="D572" s="66">
        <v>8.0</v>
      </c>
      <c r="E572" s="66">
        <v>1.0</v>
      </c>
      <c r="F572" s="66" t="s">
        <v>3354</v>
      </c>
      <c r="G572" s="66">
        <v>7.0</v>
      </c>
      <c r="H572" s="81">
        <v>4.0</v>
      </c>
      <c r="I572" s="50">
        <v>42215.0</v>
      </c>
    </row>
    <row r="573">
      <c r="A573" s="66">
        <v>7569.0</v>
      </c>
      <c r="B573" s="66">
        <v>12.0</v>
      </c>
      <c r="C573" s="66">
        <v>2.0</v>
      </c>
      <c r="D573" s="66">
        <v>5.0</v>
      </c>
      <c r="E573" s="66">
        <v>1.0</v>
      </c>
      <c r="F573" s="66" t="s">
        <v>3355</v>
      </c>
      <c r="G573" s="66">
        <v>7.0</v>
      </c>
      <c r="H573" s="81">
        <v>5.0</v>
      </c>
      <c r="I573" s="50">
        <v>111316.0</v>
      </c>
    </row>
    <row r="574">
      <c r="A574" s="66">
        <v>7570.0</v>
      </c>
      <c r="B574" s="66">
        <v>32.0</v>
      </c>
      <c r="C574" s="66">
        <v>7.0</v>
      </c>
      <c r="D574" s="66">
        <v>4.0</v>
      </c>
      <c r="E574" s="66">
        <v>0.0</v>
      </c>
      <c r="F574" s="66" t="s">
        <v>3356</v>
      </c>
      <c r="G574" s="66">
        <v>3.0</v>
      </c>
      <c r="H574" s="81">
        <v>3.0</v>
      </c>
      <c r="I574" s="50">
        <v>62815.0</v>
      </c>
    </row>
    <row r="575">
      <c r="A575" s="66">
        <v>7571.0</v>
      </c>
      <c r="B575" s="66">
        <v>53.0</v>
      </c>
      <c r="C575" s="66">
        <v>2.0</v>
      </c>
      <c r="D575" s="66">
        <v>4.0</v>
      </c>
      <c r="E575" s="66">
        <v>0.0</v>
      </c>
      <c r="F575" s="66" t="s">
        <v>3357</v>
      </c>
      <c r="G575" s="66">
        <v>5.0</v>
      </c>
      <c r="H575" s="81">
        <v>3.0</v>
      </c>
      <c r="I575" s="50">
        <v>43015.0</v>
      </c>
    </row>
    <row r="576">
      <c r="A576" s="66">
        <v>7572.0</v>
      </c>
      <c r="B576" s="66">
        <v>32.0</v>
      </c>
      <c r="C576" s="66">
        <v>7.0</v>
      </c>
      <c r="D576" s="66">
        <v>9.0</v>
      </c>
      <c r="E576" s="66">
        <v>1.0</v>
      </c>
      <c r="F576" s="66" t="s">
        <v>3358</v>
      </c>
      <c r="G576" s="66">
        <v>9.0</v>
      </c>
      <c r="H576" s="81">
        <v>1.0</v>
      </c>
      <c r="I576" s="50">
        <v>32213.0</v>
      </c>
    </row>
    <row r="577">
      <c r="A577" s="66">
        <v>7573.0</v>
      </c>
      <c r="B577" s="66">
        <v>53.0</v>
      </c>
      <c r="C577" s="66">
        <v>2.0</v>
      </c>
      <c r="D577" s="66">
        <v>8.0</v>
      </c>
      <c r="E577" s="66">
        <v>1.0</v>
      </c>
      <c r="F577" s="66" t="s">
        <v>3359</v>
      </c>
      <c r="G577" s="66">
        <v>5.0</v>
      </c>
      <c r="H577" s="81">
        <v>1.0</v>
      </c>
      <c r="I577" s="50">
        <v>32513.0</v>
      </c>
    </row>
    <row r="578">
      <c r="A578" s="66">
        <v>7574.0</v>
      </c>
      <c r="B578" s="66">
        <v>12.0</v>
      </c>
      <c r="C578" s="66">
        <v>3.0</v>
      </c>
      <c r="D578" s="66">
        <v>3.0</v>
      </c>
      <c r="E578" s="66">
        <v>0.0</v>
      </c>
      <c r="F578" s="66" t="s">
        <v>3360</v>
      </c>
      <c r="G578" s="66">
        <v>8.0</v>
      </c>
      <c r="H578" s="81">
        <v>2.0</v>
      </c>
      <c r="I578" s="50">
        <v>71018.0</v>
      </c>
    </row>
    <row r="579">
      <c r="A579" s="66">
        <v>7575.0</v>
      </c>
      <c r="B579" s="66">
        <v>12.0</v>
      </c>
      <c r="C579" s="66">
        <v>3.0</v>
      </c>
      <c r="D579" s="66">
        <v>1.0</v>
      </c>
      <c r="E579" s="66">
        <v>0.0</v>
      </c>
      <c r="F579" s="66" t="s">
        <v>3361</v>
      </c>
      <c r="G579" s="66">
        <v>4.0</v>
      </c>
      <c r="H579" s="81">
        <v>4.0</v>
      </c>
      <c r="I579" s="50">
        <v>60517.0</v>
      </c>
    </row>
    <row r="580">
      <c r="A580" s="66">
        <v>7576.0</v>
      </c>
      <c r="B580" s="66">
        <v>12.0</v>
      </c>
      <c r="C580" s="66">
        <v>3.0</v>
      </c>
      <c r="D580" s="66">
        <v>2.0</v>
      </c>
      <c r="E580" s="66">
        <v>0.0</v>
      </c>
      <c r="F580" s="66" t="s">
        <v>3362</v>
      </c>
      <c r="G580" s="66">
        <v>6.0</v>
      </c>
      <c r="H580" s="81">
        <v>3.0</v>
      </c>
      <c r="I580" s="50">
        <v>60522.0</v>
      </c>
    </row>
    <row r="581">
      <c r="A581" s="66">
        <v>7577.0</v>
      </c>
      <c r="B581" s="66">
        <v>94.0</v>
      </c>
      <c r="C581" s="66">
        <v>2.0</v>
      </c>
      <c r="D581" s="66">
        <v>8.0</v>
      </c>
      <c r="E581" s="66">
        <v>1.0</v>
      </c>
      <c r="F581" s="66" t="s">
        <v>3363</v>
      </c>
      <c r="G581" s="66">
        <v>4.0</v>
      </c>
      <c r="H581" s="81">
        <v>1.0</v>
      </c>
      <c r="I581" s="50">
        <v>61020.0</v>
      </c>
    </row>
    <row r="582">
      <c r="A582" s="66">
        <v>7578.0</v>
      </c>
      <c r="B582" s="66">
        <v>53.0</v>
      </c>
      <c r="C582" s="66">
        <v>3.0</v>
      </c>
      <c r="D582" s="66">
        <v>3.0</v>
      </c>
      <c r="E582" s="66">
        <v>0.0</v>
      </c>
      <c r="F582" s="66" t="s">
        <v>3364</v>
      </c>
      <c r="G582" s="66">
        <v>2.0</v>
      </c>
      <c r="H582" s="81">
        <v>4.0</v>
      </c>
      <c r="I582" s="50">
        <v>81215.0</v>
      </c>
    </row>
    <row r="583">
      <c r="A583" s="66">
        <v>7579.0</v>
      </c>
      <c r="B583" s="66">
        <v>32.0</v>
      </c>
      <c r="C583" s="66">
        <v>8.0</v>
      </c>
      <c r="D583" s="66">
        <v>8.0</v>
      </c>
      <c r="E583" s="66">
        <v>1.0</v>
      </c>
      <c r="F583" s="66" t="s">
        <v>3365</v>
      </c>
      <c r="G583" s="66">
        <v>4.0</v>
      </c>
      <c r="H583" s="81">
        <v>2.0</v>
      </c>
      <c r="I583" s="50">
        <v>82314.0</v>
      </c>
    </row>
    <row r="584">
      <c r="A584" s="66">
        <v>7580.0</v>
      </c>
      <c r="B584" s="66">
        <v>73.0</v>
      </c>
      <c r="C584" s="66">
        <v>8.0</v>
      </c>
      <c r="D584" s="66">
        <v>5.0</v>
      </c>
      <c r="E584" s="66">
        <v>0.0</v>
      </c>
      <c r="F584" s="66" t="s">
        <v>3366</v>
      </c>
      <c r="G584" s="66">
        <v>2.0</v>
      </c>
      <c r="H584" s="81">
        <v>3.0</v>
      </c>
      <c r="I584" s="50">
        <v>51920.0</v>
      </c>
    </row>
    <row r="585">
      <c r="A585" s="66">
        <v>7581.0</v>
      </c>
      <c r="B585" s="66">
        <v>94.0</v>
      </c>
      <c r="C585" s="66">
        <v>3.0</v>
      </c>
      <c r="D585" s="66">
        <v>4.0</v>
      </c>
      <c r="E585" s="66">
        <v>1.0</v>
      </c>
      <c r="F585" s="66" t="s">
        <v>3367</v>
      </c>
      <c r="G585" s="66">
        <v>6.0</v>
      </c>
      <c r="H585" s="81">
        <v>1.0</v>
      </c>
      <c r="I585" s="50">
        <v>91814.0</v>
      </c>
    </row>
    <row r="586">
      <c r="A586" s="66">
        <v>7582.0</v>
      </c>
      <c r="B586" s="66">
        <v>73.0</v>
      </c>
      <c r="C586" s="66">
        <v>8.0</v>
      </c>
      <c r="D586" s="66">
        <v>8.0</v>
      </c>
      <c r="E586" s="66">
        <v>1.0</v>
      </c>
      <c r="F586" s="66" t="s">
        <v>3368</v>
      </c>
      <c r="G586" s="66">
        <v>2.0</v>
      </c>
      <c r="H586" s="81">
        <v>5.0</v>
      </c>
      <c r="I586" s="50">
        <v>60418.0</v>
      </c>
    </row>
    <row r="587">
      <c r="A587" s="66">
        <v>7583.0</v>
      </c>
      <c r="B587" s="66">
        <v>73.0</v>
      </c>
      <c r="C587" s="66">
        <v>9.0</v>
      </c>
      <c r="D587" s="66">
        <v>1.0</v>
      </c>
      <c r="E587" s="66">
        <v>0.0</v>
      </c>
      <c r="F587" s="66" t="s">
        <v>3369</v>
      </c>
      <c r="G587" s="66">
        <v>3.0</v>
      </c>
      <c r="H587" s="81">
        <v>4.0</v>
      </c>
      <c r="I587" s="50">
        <v>80713.0</v>
      </c>
    </row>
    <row r="588">
      <c r="A588" s="66">
        <v>7584.0</v>
      </c>
      <c r="B588" s="66">
        <v>53.0</v>
      </c>
      <c r="C588" s="66">
        <v>4.0</v>
      </c>
      <c r="D588" s="66">
        <v>3.0</v>
      </c>
      <c r="E588" s="66">
        <v>0.0</v>
      </c>
      <c r="F588" s="66" t="s">
        <v>3370</v>
      </c>
      <c r="G588" s="66">
        <v>6.0</v>
      </c>
      <c r="H588" s="81">
        <v>2.0</v>
      </c>
      <c r="I588" s="50">
        <v>71519.0</v>
      </c>
    </row>
    <row r="589">
      <c r="A589" s="66">
        <v>7585.0</v>
      </c>
      <c r="B589" s="66">
        <v>73.0</v>
      </c>
      <c r="C589" s="66">
        <v>9.0</v>
      </c>
      <c r="D589" s="66">
        <v>5.0</v>
      </c>
      <c r="E589" s="66">
        <v>1.0</v>
      </c>
      <c r="F589" s="66" t="s">
        <v>3371</v>
      </c>
      <c r="G589" s="66">
        <v>8.0</v>
      </c>
      <c r="H589" s="81">
        <v>2.0</v>
      </c>
      <c r="I589" s="50">
        <v>122022.0</v>
      </c>
    </row>
    <row r="590">
      <c r="A590" s="66">
        <v>7586.0</v>
      </c>
      <c r="B590" s="66">
        <v>94.0</v>
      </c>
      <c r="C590" s="66">
        <v>4.0</v>
      </c>
      <c r="D590" s="66">
        <v>5.0</v>
      </c>
      <c r="E590" s="66">
        <v>0.0</v>
      </c>
      <c r="F590" s="66" t="s">
        <v>3372</v>
      </c>
      <c r="G590" s="66">
        <v>1.0</v>
      </c>
      <c r="H590" s="81">
        <v>5.0</v>
      </c>
      <c r="I590" s="50">
        <v>92817.0</v>
      </c>
    </row>
    <row r="591">
      <c r="A591" s="66">
        <v>7587.0</v>
      </c>
      <c r="B591" s="66">
        <v>12.0</v>
      </c>
      <c r="C591" s="66">
        <v>5.0</v>
      </c>
      <c r="D591" s="66">
        <v>4.0</v>
      </c>
      <c r="E591" s="66">
        <v>0.0</v>
      </c>
      <c r="F591" s="66" t="s">
        <v>3373</v>
      </c>
      <c r="G591" s="66">
        <v>6.0</v>
      </c>
      <c r="H591" s="81">
        <v>5.0</v>
      </c>
      <c r="I591" s="50">
        <v>102615.0</v>
      </c>
    </row>
    <row r="592">
      <c r="A592" s="66">
        <v>7588.0</v>
      </c>
      <c r="B592" s="66">
        <v>53.0</v>
      </c>
      <c r="C592" s="66">
        <v>5.0</v>
      </c>
      <c r="D592" s="66">
        <v>3.0</v>
      </c>
      <c r="E592" s="66">
        <v>0.0</v>
      </c>
      <c r="F592" s="66" t="s">
        <v>3374</v>
      </c>
      <c r="G592" s="66">
        <v>4.0</v>
      </c>
      <c r="H592" s="81">
        <v>1.0</v>
      </c>
      <c r="I592" s="50">
        <v>11016.0</v>
      </c>
    </row>
    <row r="593">
      <c r="A593" s="66">
        <v>7589.0</v>
      </c>
      <c r="B593" s="66">
        <v>12.0</v>
      </c>
      <c r="C593" s="66">
        <v>5.0</v>
      </c>
      <c r="D593" s="66">
        <v>9.0</v>
      </c>
      <c r="E593" s="66">
        <v>0.0</v>
      </c>
      <c r="F593" s="66" t="s">
        <v>3375</v>
      </c>
      <c r="G593" s="66">
        <v>4.0</v>
      </c>
      <c r="H593" s="81">
        <v>5.0</v>
      </c>
      <c r="I593" s="50">
        <v>50522.0</v>
      </c>
    </row>
    <row r="594">
      <c r="A594" s="66">
        <v>7590.0</v>
      </c>
      <c r="B594" s="66">
        <v>94.0</v>
      </c>
      <c r="C594" s="66">
        <v>5.0</v>
      </c>
      <c r="D594" s="66">
        <v>2.0</v>
      </c>
      <c r="E594" s="66">
        <v>1.0</v>
      </c>
      <c r="F594" s="66" t="s">
        <v>3376</v>
      </c>
      <c r="G594" s="66">
        <v>3.0</v>
      </c>
      <c r="H594" s="81">
        <v>5.0</v>
      </c>
      <c r="I594" s="50">
        <v>122214.0</v>
      </c>
    </row>
    <row r="595">
      <c r="A595" s="66">
        <v>7591.0</v>
      </c>
      <c r="B595" s="66">
        <v>94.0</v>
      </c>
      <c r="C595" s="66">
        <v>5.0</v>
      </c>
      <c r="D595" s="66">
        <v>4.0</v>
      </c>
      <c r="E595" s="66">
        <v>1.0</v>
      </c>
      <c r="F595" s="66" t="s">
        <v>3377</v>
      </c>
      <c r="G595" s="66">
        <v>7.0</v>
      </c>
      <c r="H595" s="81">
        <v>4.0</v>
      </c>
      <c r="I595" s="50">
        <v>72618.0</v>
      </c>
    </row>
    <row r="596">
      <c r="A596" s="66">
        <v>7592.0</v>
      </c>
      <c r="B596" s="66">
        <v>53.0</v>
      </c>
      <c r="C596" s="66">
        <v>5.0</v>
      </c>
      <c r="D596" s="66">
        <v>9.0</v>
      </c>
      <c r="E596" s="66">
        <v>0.0</v>
      </c>
      <c r="F596" s="66" t="s">
        <v>3378</v>
      </c>
      <c r="G596" s="66">
        <v>2.0</v>
      </c>
      <c r="H596" s="81">
        <v>1.0</v>
      </c>
      <c r="I596" s="50">
        <v>42115.0</v>
      </c>
    </row>
    <row r="597">
      <c r="A597" s="66">
        <v>7593.0</v>
      </c>
      <c r="B597" s="66">
        <v>94.0</v>
      </c>
      <c r="C597" s="66">
        <v>5.0</v>
      </c>
      <c r="D597" s="66">
        <v>5.0</v>
      </c>
      <c r="E597" s="66">
        <v>0.0</v>
      </c>
      <c r="F597" s="66" t="s">
        <v>3379</v>
      </c>
      <c r="G597" s="66">
        <v>7.0</v>
      </c>
      <c r="H597" s="81">
        <v>1.0</v>
      </c>
      <c r="I597" s="50">
        <v>91619.0</v>
      </c>
    </row>
    <row r="598">
      <c r="A598" s="66">
        <v>7594.0</v>
      </c>
      <c r="B598" s="66">
        <v>94.0</v>
      </c>
      <c r="C598" s="66">
        <v>5.0</v>
      </c>
      <c r="D598" s="66">
        <v>8.0</v>
      </c>
      <c r="E598" s="66">
        <v>0.0</v>
      </c>
      <c r="F598" s="66" t="s">
        <v>3380</v>
      </c>
      <c r="G598" s="66">
        <v>6.0</v>
      </c>
      <c r="H598" s="81">
        <v>1.0</v>
      </c>
      <c r="I598" s="50">
        <v>33115.0</v>
      </c>
    </row>
    <row r="599">
      <c r="A599" s="66">
        <v>7595.0</v>
      </c>
      <c r="B599" s="66">
        <v>94.0</v>
      </c>
      <c r="C599" s="66">
        <v>6.0</v>
      </c>
      <c r="D599" s="66">
        <v>2.0</v>
      </c>
      <c r="E599" s="66">
        <v>1.0</v>
      </c>
      <c r="F599" s="66" t="s">
        <v>3381</v>
      </c>
      <c r="G599" s="66">
        <v>3.0</v>
      </c>
      <c r="H599" s="81">
        <v>1.0</v>
      </c>
      <c r="I599" s="50">
        <v>42120.0</v>
      </c>
    </row>
    <row r="600">
      <c r="A600" s="66">
        <v>7596.0</v>
      </c>
      <c r="B600" s="66">
        <v>33.0</v>
      </c>
      <c r="C600" s="66">
        <v>1.0</v>
      </c>
      <c r="D600" s="66">
        <v>8.0</v>
      </c>
      <c r="E600" s="66">
        <v>0.0</v>
      </c>
      <c r="F600" s="66" t="s">
        <v>3382</v>
      </c>
      <c r="G600" s="66">
        <v>5.0</v>
      </c>
      <c r="H600" s="81">
        <v>4.0</v>
      </c>
      <c r="I600" s="50">
        <v>22916.0</v>
      </c>
    </row>
    <row r="601">
      <c r="A601" s="66">
        <v>7597.0</v>
      </c>
      <c r="B601" s="66">
        <v>12.0</v>
      </c>
      <c r="C601" s="66">
        <v>7.0</v>
      </c>
      <c r="D601" s="66">
        <v>4.0</v>
      </c>
      <c r="E601" s="66">
        <v>0.0</v>
      </c>
      <c r="F601" s="66" t="s">
        <v>3383</v>
      </c>
      <c r="G601" s="66">
        <v>1.0</v>
      </c>
      <c r="H601" s="81">
        <v>3.0</v>
      </c>
      <c r="I601" s="50">
        <v>100414.0</v>
      </c>
    </row>
    <row r="602">
      <c r="A602" s="66">
        <v>7598.0</v>
      </c>
      <c r="B602" s="66">
        <v>33.0</v>
      </c>
      <c r="C602" s="66">
        <v>2.0</v>
      </c>
      <c r="D602" s="66">
        <v>4.0</v>
      </c>
      <c r="E602" s="66">
        <v>0.0</v>
      </c>
      <c r="F602" s="66" t="s">
        <v>3384</v>
      </c>
      <c r="G602" s="66">
        <v>7.0</v>
      </c>
      <c r="H602" s="81">
        <v>3.0</v>
      </c>
      <c r="I602" s="50">
        <v>22018.0</v>
      </c>
    </row>
    <row r="603">
      <c r="A603" s="66">
        <v>7599.0</v>
      </c>
      <c r="B603" s="66">
        <v>94.0</v>
      </c>
      <c r="C603" s="66">
        <v>6.0</v>
      </c>
      <c r="D603" s="66">
        <v>9.0</v>
      </c>
      <c r="E603" s="66">
        <v>0.0</v>
      </c>
      <c r="F603" s="66" t="s">
        <v>3385</v>
      </c>
      <c r="G603" s="66">
        <v>8.0</v>
      </c>
      <c r="H603" s="81">
        <v>4.0</v>
      </c>
      <c r="I603" s="50">
        <v>110716.0</v>
      </c>
    </row>
    <row r="604">
      <c r="A604" s="66">
        <v>7600.0</v>
      </c>
      <c r="B604" s="66">
        <v>33.0</v>
      </c>
      <c r="C604" s="66">
        <v>2.0</v>
      </c>
      <c r="D604" s="66">
        <v>6.0</v>
      </c>
      <c r="E604" s="66">
        <v>1.0</v>
      </c>
      <c r="F604" s="66" t="s">
        <v>3386</v>
      </c>
      <c r="G604" s="66">
        <v>2.0</v>
      </c>
      <c r="H604" s="81">
        <v>1.0</v>
      </c>
      <c r="I604" s="50">
        <v>72816.0</v>
      </c>
    </row>
    <row r="605">
      <c r="A605" s="66">
        <v>7601.0</v>
      </c>
      <c r="B605" s="66">
        <v>74.0</v>
      </c>
      <c r="C605" s="66">
        <v>2.0</v>
      </c>
      <c r="D605" s="66">
        <v>3.0</v>
      </c>
      <c r="E605" s="66">
        <v>0.0</v>
      </c>
      <c r="F605" s="66" t="s">
        <v>3387</v>
      </c>
      <c r="G605" s="66">
        <v>3.0</v>
      </c>
      <c r="H605" s="81">
        <v>1.0</v>
      </c>
      <c r="I605" s="50">
        <v>72615.0</v>
      </c>
    </row>
    <row r="606">
      <c r="A606" s="66">
        <v>7602.0</v>
      </c>
      <c r="B606" s="66">
        <v>12.0</v>
      </c>
      <c r="C606" s="66">
        <v>7.0</v>
      </c>
      <c r="D606" s="66">
        <v>9.0</v>
      </c>
      <c r="E606" s="66">
        <v>0.0</v>
      </c>
      <c r="F606" s="66" t="s">
        <v>3388</v>
      </c>
      <c r="G606" s="66">
        <v>1.0</v>
      </c>
      <c r="H606" s="81">
        <v>4.0</v>
      </c>
      <c r="I606" s="50">
        <v>90615.0</v>
      </c>
    </row>
    <row r="607">
      <c r="A607" s="66">
        <v>7603.0</v>
      </c>
      <c r="B607" s="66">
        <v>74.0</v>
      </c>
      <c r="C607" s="66">
        <v>2.0</v>
      </c>
      <c r="D607" s="66">
        <v>4.0</v>
      </c>
      <c r="E607" s="66">
        <v>0.0</v>
      </c>
      <c r="F607" s="66" t="s">
        <v>3389</v>
      </c>
      <c r="G607" s="66">
        <v>4.0</v>
      </c>
      <c r="H607" s="81">
        <v>2.0</v>
      </c>
      <c r="I607" s="50">
        <v>41720.0</v>
      </c>
    </row>
    <row r="608">
      <c r="A608" s="66">
        <v>7604.0</v>
      </c>
      <c r="B608" s="66">
        <v>94.0</v>
      </c>
      <c r="C608" s="66">
        <v>7.0</v>
      </c>
      <c r="D608" s="66">
        <v>4.0</v>
      </c>
      <c r="E608" s="66">
        <v>0.0</v>
      </c>
      <c r="F608" s="66" t="s">
        <v>3390</v>
      </c>
      <c r="G608" s="66">
        <v>1.0</v>
      </c>
      <c r="H608" s="81">
        <v>1.0</v>
      </c>
      <c r="I608" s="50">
        <v>30516.0</v>
      </c>
    </row>
    <row r="609">
      <c r="A609" s="66">
        <v>7605.0</v>
      </c>
      <c r="B609" s="66">
        <v>53.0</v>
      </c>
      <c r="C609" s="66">
        <v>7.0</v>
      </c>
      <c r="D609" s="66">
        <v>9.0</v>
      </c>
      <c r="E609" s="66">
        <v>1.0</v>
      </c>
      <c r="F609" s="66" t="s">
        <v>3391</v>
      </c>
      <c r="G609" s="66">
        <v>9.0</v>
      </c>
      <c r="H609" s="81">
        <v>2.0</v>
      </c>
      <c r="I609" s="50">
        <v>61617.0</v>
      </c>
    </row>
    <row r="610">
      <c r="A610" s="66">
        <v>7606.0</v>
      </c>
      <c r="B610" s="66">
        <v>94.0</v>
      </c>
      <c r="C610" s="66">
        <v>7.0</v>
      </c>
      <c r="D610" s="66">
        <v>6.0</v>
      </c>
      <c r="E610" s="66">
        <v>0.0</v>
      </c>
      <c r="F610" s="66" t="s">
        <v>3392</v>
      </c>
      <c r="G610" s="66">
        <v>8.0</v>
      </c>
      <c r="H610" s="81">
        <v>2.0</v>
      </c>
      <c r="I610" s="50">
        <v>102115.0</v>
      </c>
    </row>
    <row r="611">
      <c r="A611" s="66">
        <v>7607.0</v>
      </c>
      <c r="B611" s="66">
        <v>33.0</v>
      </c>
      <c r="C611" s="66">
        <v>2.0</v>
      </c>
      <c r="D611" s="66">
        <v>7.0</v>
      </c>
      <c r="E611" s="66">
        <v>1.0</v>
      </c>
      <c r="F611" s="66" t="s">
        <v>3393</v>
      </c>
      <c r="G611" s="66">
        <v>9.0</v>
      </c>
      <c r="H611" s="81">
        <v>2.0</v>
      </c>
      <c r="I611" s="50">
        <v>50713.0</v>
      </c>
    </row>
    <row r="612">
      <c r="A612" s="66">
        <v>7608.0</v>
      </c>
      <c r="B612" s="66">
        <v>33.0</v>
      </c>
      <c r="C612" s="66">
        <v>3.0</v>
      </c>
      <c r="D612" s="66">
        <v>4.0</v>
      </c>
      <c r="E612" s="66">
        <v>1.0</v>
      </c>
      <c r="F612" s="66" t="s">
        <v>3394</v>
      </c>
      <c r="G612" s="66">
        <v>3.0</v>
      </c>
      <c r="H612" s="81">
        <v>2.0</v>
      </c>
      <c r="I612" s="50">
        <v>53115.0</v>
      </c>
    </row>
    <row r="613">
      <c r="A613" s="66">
        <v>7609.0</v>
      </c>
      <c r="B613" s="66">
        <v>33.0</v>
      </c>
      <c r="C613" s="66">
        <v>3.0</v>
      </c>
      <c r="D613" s="66">
        <v>5.0</v>
      </c>
      <c r="E613" s="66">
        <v>1.0</v>
      </c>
      <c r="F613" s="66" t="s">
        <v>3395</v>
      </c>
      <c r="G613" s="66">
        <v>9.0</v>
      </c>
      <c r="H613" s="81">
        <v>5.0</v>
      </c>
      <c r="I613" s="50">
        <v>82417.0</v>
      </c>
    </row>
    <row r="614">
      <c r="A614" s="66">
        <v>7610.0</v>
      </c>
      <c r="B614" s="66">
        <v>74.0</v>
      </c>
      <c r="C614" s="66">
        <v>3.0</v>
      </c>
      <c r="D614" s="66">
        <v>1.0</v>
      </c>
      <c r="E614" s="66">
        <v>0.0</v>
      </c>
      <c r="F614" s="66" t="s">
        <v>3396</v>
      </c>
      <c r="G614" s="66">
        <v>7.0</v>
      </c>
      <c r="H614" s="81">
        <v>3.0</v>
      </c>
      <c r="I614" s="50">
        <v>80919.0</v>
      </c>
    </row>
    <row r="615">
      <c r="A615" s="66">
        <v>7611.0</v>
      </c>
      <c r="B615" s="66">
        <v>33.0</v>
      </c>
      <c r="C615" s="66">
        <v>3.0</v>
      </c>
      <c r="D615" s="66">
        <v>7.0</v>
      </c>
      <c r="E615" s="66">
        <v>1.0</v>
      </c>
      <c r="F615" s="66" t="s">
        <v>3397</v>
      </c>
      <c r="G615" s="66">
        <v>3.0</v>
      </c>
      <c r="H615" s="81">
        <v>2.0</v>
      </c>
      <c r="I615" s="50">
        <v>110417.0</v>
      </c>
    </row>
    <row r="616">
      <c r="A616" s="66">
        <v>7612.0</v>
      </c>
      <c r="B616" s="66">
        <v>12.0</v>
      </c>
      <c r="C616" s="66">
        <v>8.0</v>
      </c>
      <c r="D616" s="66">
        <v>7.0</v>
      </c>
      <c r="E616" s="66">
        <v>1.0</v>
      </c>
      <c r="F616" s="66" t="s">
        <v>3398</v>
      </c>
      <c r="G616" s="66">
        <v>7.0</v>
      </c>
      <c r="H616" s="81">
        <v>2.0</v>
      </c>
      <c r="I616" s="50">
        <v>100218.0</v>
      </c>
    </row>
    <row r="617">
      <c r="A617" s="66">
        <v>7613.0</v>
      </c>
      <c r="B617" s="66">
        <v>33.0</v>
      </c>
      <c r="C617" s="66">
        <v>3.0</v>
      </c>
      <c r="D617" s="66">
        <v>1.0</v>
      </c>
      <c r="E617" s="66">
        <v>0.0</v>
      </c>
      <c r="F617" s="66" t="s">
        <v>3399</v>
      </c>
      <c r="G617" s="66">
        <v>9.0</v>
      </c>
      <c r="H617" s="81">
        <v>1.0</v>
      </c>
      <c r="I617" s="50">
        <v>113015.0</v>
      </c>
    </row>
    <row r="618">
      <c r="A618" s="66">
        <v>7614.0</v>
      </c>
      <c r="B618" s="66">
        <v>12.0</v>
      </c>
      <c r="C618" s="66">
        <v>8.0</v>
      </c>
      <c r="D618" s="66">
        <v>9.0</v>
      </c>
      <c r="E618" s="66">
        <v>1.0</v>
      </c>
      <c r="F618" s="66" t="s">
        <v>3400</v>
      </c>
      <c r="G618" s="66">
        <v>8.0</v>
      </c>
      <c r="H618" s="81">
        <v>3.0</v>
      </c>
      <c r="I618" s="50">
        <v>10322.0</v>
      </c>
    </row>
    <row r="619">
      <c r="A619" s="66">
        <v>7615.0</v>
      </c>
      <c r="B619" s="66">
        <v>33.0</v>
      </c>
      <c r="C619" s="66">
        <v>4.0</v>
      </c>
      <c r="D619" s="66">
        <v>1.0</v>
      </c>
      <c r="E619" s="66">
        <v>0.0</v>
      </c>
      <c r="F619" s="66" t="s">
        <v>3401</v>
      </c>
      <c r="G619" s="66">
        <v>3.0</v>
      </c>
      <c r="H619" s="81">
        <v>5.0</v>
      </c>
      <c r="I619" s="50">
        <v>70916.0</v>
      </c>
    </row>
    <row r="620">
      <c r="A620" s="66">
        <v>7616.0</v>
      </c>
      <c r="B620" s="66">
        <v>12.0</v>
      </c>
      <c r="C620" s="66">
        <v>9.0</v>
      </c>
      <c r="D620" s="66">
        <v>4.0</v>
      </c>
      <c r="E620" s="66">
        <v>0.0</v>
      </c>
      <c r="F620" s="66" t="s">
        <v>3402</v>
      </c>
      <c r="G620" s="66">
        <v>1.0</v>
      </c>
      <c r="H620" s="81">
        <v>5.0</v>
      </c>
      <c r="I620" s="50">
        <v>41313.0</v>
      </c>
    </row>
    <row r="621">
      <c r="A621" s="66">
        <v>7617.0</v>
      </c>
      <c r="B621" s="66">
        <v>33.0</v>
      </c>
      <c r="C621" s="66">
        <v>4.0</v>
      </c>
      <c r="D621" s="66">
        <v>4.0</v>
      </c>
      <c r="E621" s="66">
        <v>0.0</v>
      </c>
      <c r="F621" s="66" t="s">
        <v>3403</v>
      </c>
      <c r="G621" s="66">
        <v>7.0</v>
      </c>
      <c r="H621" s="81">
        <v>3.0</v>
      </c>
      <c r="I621" s="50">
        <v>11313.0</v>
      </c>
    </row>
    <row r="622">
      <c r="A622" s="66">
        <v>7618.0</v>
      </c>
      <c r="B622" s="66">
        <v>74.0</v>
      </c>
      <c r="C622" s="66">
        <v>4.0</v>
      </c>
      <c r="D622" s="66">
        <v>1.0</v>
      </c>
      <c r="E622" s="66">
        <v>1.0</v>
      </c>
      <c r="F622" s="66" t="s">
        <v>3404</v>
      </c>
      <c r="G622" s="66">
        <v>7.0</v>
      </c>
      <c r="H622" s="81">
        <v>5.0</v>
      </c>
      <c r="I622" s="50">
        <v>22019.0</v>
      </c>
    </row>
    <row r="623">
      <c r="A623" s="66">
        <v>7619.0</v>
      </c>
      <c r="B623" s="66">
        <v>74.0</v>
      </c>
      <c r="C623" s="66">
        <v>4.0</v>
      </c>
      <c r="D623" s="66">
        <v>3.0</v>
      </c>
      <c r="E623" s="66">
        <v>0.0</v>
      </c>
      <c r="F623" s="66" t="s">
        <v>3405</v>
      </c>
      <c r="G623" s="66">
        <v>1.0</v>
      </c>
      <c r="H623" s="81">
        <v>1.0</v>
      </c>
      <c r="I623" s="50">
        <v>121015.0</v>
      </c>
    </row>
    <row r="624">
      <c r="A624" s="66">
        <v>7620.0</v>
      </c>
      <c r="B624" s="66">
        <v>53.0</v>
      </c>
      <c r="C624" s="66">
        <v>9.0</v>
      </c>
      <c r="D624" s="66">
        <v>7.0</v>
      </c>
      <c r="E624" s="66">
        <v>0.0</v>
      </c>
      <c r="F624" s="66" t="s">
        <v>3406</v>
      </c>
      <c r="G624" s="66">
        <v>1.0</v>
      </c>
      <c r="H624" s="81">
        <v>5.0</v>
      </c>
      <c r="I624" s="50">
        <v>92522.0</v>
      </c>
    </row>
    <row r="625">
      <c r="A625" s="66">
        <v>7621.0</v>
      </c>
      <c r="B625" s="66">
        <v>94.0</v>
      </c>
      <c r="C625" s="66">
        <v>9.0</v>
      </c>
      <c r="D625" s="66">
        <v>4.0</v>
      </c>
      <c r="E625" s="66">
        <v>0.0</v>
      </c>
      <c r="F625" s="66" t="s">
        <v>3407</v>
      </c>
      <c r="G625" s="66">
        <v>5.0</v>
      </c>
      <c r="H625" s="81">
        <v>1.0</v>
      </c>
      <c r="I625" s="50">
        <v>32521.0</v>
      </c>
    </row>
    <row r="626">
      <c r="A626" s="66">
        <v>7622.0</v>
      </c>
      <c r="B626" s="66">
        <v>74.0</v>
      </c>
      <c r="C626" s="66">
        <v>4.0</v>
      </c>
      <c r="D626" s="66">
        <v>7.0</v>
      </c>
      <c r="E626" s="66">
        <v>0.0</v>
      </c>
      <c r="F626" s="66" t="s">
        <v>3408</v>
      </c>
      <c r="G626" s="66">
        <v>5.0</v>
      </c>
      <c r="H626" s="81">
        <v>2.0</v>
      </c>
      <c r="I626" s="50">
        <v>52821.0</v>
      </c>
    </row>
    <row r="627">
      <c r="A627" s="66">
        <v>7623.0</v>
      </c>
      <c r="B627" s="66">
        <v>94.0</v>
      </c>
      <c r="C627" s="66">
        <v>9.0</v>
      </c>
      <c r="D627" s="66">
        <v>7.0</v>
      </c>
      <c r="E627" s="66">
        <v>1.0</v>
      </c>
      <c r="F627" s="66" t="s">
        <v>3409</v>
      </c>
      <c r="G627" s="66">
        <v>4.0</v>
      </c>
      <c r="H627" s="81">
        <v>2.0</v>
      </c>
      <c r="I627" s="50">
        <v>72218.0</v>
      </c>
    </row>
    <row r="628">
      <c r="A628" s="66">
        <v>7624.0</v>
      </c>
      <c r="B628" s="66">
        <v>74.0</v>
      </c>
      <c r="C628" s="66">
        <v>5.0</v>
      </c>
      <c r="D628" s="66">
        <v>4.0</v>
      </c>
      <c r="E628" s="66">
        <v>1.0</v>
      </c>
      <c r="F628" s="66" t="s">
        <v>3410</v>
      </c>
      <c r="G628" s="66">
        <v>5.0</v>
      </c>
      <c r="H628" s="81">
        <v>3.0</v>
      </c>
      <c r="I628" s="50">
        <v>10820.0</v>
      </c>
    </row>
    <row r="629">
      <c r="A629" s="66">
        <v>7625.0</v>
      </c>
      <c r="B629" s="66">
        <v>54.0</v>
      </c>
      <c r="C629" s="66">
        <v>1.0</v>
      </c>
      <c r="D629" s="66">
        <v>1.0</v>
      </c>
      <c r="E629" s="66">
        <v>1.0</v>
      </c>
      <c r="F629" s="66" t="s">
        <v>3411</v>
      </c>
      <c r="G629" s="66">
        <v>4.0</v>
      </c>
      <c r="H629" s="81">
        <v>2.0</v>
      </c>
      <c r="I629" s="50">
        <v>91119.0</v>
      </c>
    </row>
    <row r="630">
      <c r="A630" s="66">
        <v>7626.0</v>
      </c>
      <c r="B630" s="66">
        <v>33.0</v>
      </c>
      <c r="C630" s="66">
        <v>6.0</v>
      </c>
      <c r="D630" s="66">
        <v>3.0</v>
      </c>
      <c r="E630" s="66">
        <v>0.0</v>
      </c>
      <c r="F630" s="66" t="s">
        <v>3412</v>
      </c>
      <c r="G630" s="66">
        <v>2.0</v>
      </c>
      <c r="H630" s="81">
        <v>2.0</v>
      </c>
      <c r="I630" s="50">
        <v>40222.0</v>
      </c>
    </row>
    <row r="631">
      <c r="A631" s="66">
        <v>7627.0</v>
      </c>
      <c r="B631" s="66">
        <v>33.0</v>
      </c>
      <c r="C631" s="66">
        <v>6.0</v>
      </c>
      <c r="D631" s="66">
        <v>4.0</v>
      </c>
      <c r="E631" s="66">
        <v>0.0</v>
      </c>
      <c r="F631" s="66" t="s">
        <v>3413</v>
      </c>
      <c r="G631" s="66">
        <v>1.0</v>
      </c>
      <c r="H631" s="81">
        <v>5.0</v>
      </c>
      <c r="I631" s="50">
        <v>121622.0</v>
      </c>
    </row>
    <row r="632">
      <c r="A632" s="66">
        <v>7628.0</v>
      </c>
      <c r="B632" s="66">
        <v>54.0</v>
      </c>
      <c r="C632" s="66">
        <v>1.0</v>
      </c>
      <c r="D632" s="66">
        <v>4.0</v>
      </c>
      <c r="E632" s="66">
        <v>1.0</v>
      </c>
      <c r="F632" s="66" t="s">
        <v>3414</v>
      </c>
      <c r="G632" s="66">
        <v>2.0</v>
      </c>
      <c r="H632" s="81">
        <v>4.0</v>
      </c>
      <c r="I632" s="50">
        <v>110420.0</v>
      </c>
    </row>
    <row r="633">
      <c r="A633" s="66">
        <v>7629.0</v>
      </c>
      <c r="B633" s="66">
        <v>74.0</v>
      </c>
      <c r="C633" s="66">
        <v>5.0</v>
      </c>
      <c r="D633" s="66">
        <v>9.0</v>
      </c>
      <c r="E633" s="66">
        <v>1.0</v>
      </c>
      <c r="F633" s="66" t="s">
        <v>3415</v>
      </c>
      <c r="G633" s="66">
        <v>1.0</v>
      </c>
      <c r="H633" s="81">
        <v>2.0</v>
      </c>
      <c r="I633" s="50">
        <v>71915.0</v>
      </c>
    </row>
    <row r="634">
      <c r="A634" s="66">
        <v>7630.0</v>
      </c>
      <c r="B634" s="66">
        <v>74.0</v>
      </c>
      <c r="C634" s="66">
        <v>6.0</v>
      </c>
      <c r="D634" s="66">
        <v>1.0</v>
      </c>
      <c r="E634" s="66">
        <v>1.0</v>
      </c>
      <c r="F634" s="66" t="s">
        <v>3416</v>
      </c>
      <c r="G634" s="66">
        <v>6.0</v>
      </c>
      <c r="H634" s="81">
        <v>3.0</v>
      </c>
      <c r="I634" s="50">
        <v>111815.0</v>
      </c>
    </row>
    <row r="635">
      <c r="A635" s="66">
        <v>7631.0</v>
      </c>
      <c r="B635" s="66">
        <v>74.0</v>
      </c>
      <c r="C635" s="66">
        <v>6.0</v>
      </c>
      <c r="D635" s="66">
        <v>5.0</v>
      </c>
      <c r="E635" s="66">
        <v>1.0</v>
      </c>
      <c r="F635" s="66" t="s">
        <v>3417</v>
      </c>
      <c r="G635" s="66">
        <v>2.0</v>
      </c>
      <c r="H635" s="81">
        <v>3.0</v>
      </c>
      <c r="I635" s="50">
        <v>72814.0</v>
      </c>
    </row>
    <row r="636">
      <c r="A636" s="66">
        <v>7632.0</v>
      </c>
      <c r="B636" s="66">
        <v>74.0</v>
      </c>
      <c r="C636" s="66">
        <v>6.0</v>
      </c>
      <c r="D636" s="66">
        <v>6.0</v>
      </c>
      <c r="E636" s="66">
        <v>1.0</v>
      </c>
      <c r="F636" s="66" t="s">
        <v>3418</v>
      </c>
      <c r="G636" s="66">
        <v>8.0</v>
      </c>
      <c r="H636" s="81">
        <v>3.0</v>
      </c>
      <c r="I636" s="50">
        <v>122920.0</v>
      </c>
    </row>
    <row r="637">
      <c r="A637" s="66">
        <v>7633.0</v>
      </c>
      <c r="B637" s="66">
        <v>95.0</v>
      </c>
      <c r="C637" s="66">
        <v>1.0</v>
      </c>
      <c r="D637" s="66">
        <v>5.0</v>
      </c>
      <c r="E637" s="66">
        <v>0.0</v>
      </c>
      <c r="F637" s="66" t="s">
        <v>3419</v>
      </c>
      <c r="G637" s="66">
        <v>9.0</v>
      </c>
      <c r="H637" s="81">
        <v>4.0</v>
      </c>
      <c r="I637" s="50">
        <v>40114.0</v>
      </c>
    </row>
    <row r="638">
      <c r="A638" s="66">
        <v>7634.0</v>
      </c>
      <c r="B638" s="66">
        <v>74.0</v>
      </c>
      <c r="C638" s="66">
        <v>7.0</v>
      </c>
      <c r="D638" s="66">
        <v>3.0</v>
      </c>
      <c r="E638" s="66">
        <v>1.0</v>
      </c>
      <c r="F638" s="66" t="s">
        <v>3420</v>
      </c>
      <c r="G638" s="66">
        <v>9.0</v>
      </c>
      <c r="H638" s="81">
        <v>5.0</v>
      </c>
      <c r="I638" s="50">
        <v>41820.0</v>
      </c>
    </row>
    <row r="639">
      <c r="A639" s="66">
        <v>7635.0</v>
      </c>
      <c r="B639" s="66">
        <v>95.0</v>
      </c>
      <c r="C639" s="66">
        <v>2.0</v>
      </c>
      <c r="D639" s="66">
        <v>7.0</v>
      </c>
      <c r="E639" s="66">
        <v>0.0</v>
      </c>
      <c r="F639" s="66" t="s">
        <v>3421</v>
      </c>
      <c r="G639" s="66">
        <v>1.0</v>
      </c>
      <c r="H639" s="81">
        <v>1.0</v>
      </c>
      <c r="I639" s="50">
        <v>11720.0</v>
      </c>
    </row>
    <row r="640">
      <c r="A640" s="66">
        <v>7636.0</v>
      </c>
      <c r="B640" s="66">
        <v>13.0</v>
      </c>
      <c r="C640" s="66">
        <v>3.0</v>
      </c>
      <c r="D640" s="66">
        <v>7.0</v>
      </c>
      <c r="E640" s="66">
        <v>0.0</v>
      </c>
      <c r="F640" s="66" t="s">
        <v>3422</v>
      </c>
      <c r="G640" s="66">
        <v>1.0</v>
      </c>
      <c r="H640" s="81">
        <v>4.0</v>
      </c>
      <c r="I640" s="50">
        <v>110520.0</v>
      </c>
    </row>
    <row r="641">
      <c r="A641" s="66">
        <v>7637.0</v>
      </c>
      <c r="B641" s="66">
        <v>74.0</v>
      </c>
      <c r="C641" s="66">
        <v>8.0</v>
      </c>
      <c r="D641" s="66">
        <v>2.0</v>
      </c>
      <c r="E641" s="66">
        <v>0.0</v>
      </c>
      <c r="F641" s="66" t="s">
        <v>3423</v>
      </c>
      <c r="G641" s="66">
        <v>6.0</v>
      </c>
      <c r="H641" s="81">
        <v>1.0</v>
      </c>
      <c r="I641" s="50">
        <v>51116.0</v>
      </c>
    </row>
    <row r="642">
      <c r="A642" s="66">
        <v>7638.0</v>
      </c>
      <c r="B642" s="66">
        <v>54.0</v>
      </c>
      <c r="C642" s="66">
        <v>3.0</v>
      </c>
      <c r="D642" s="66">
        <v>5.0</v>
      </c>
      <c r="E642" s="66">
        <v>1.0</v>
      </c>
      <c r="F642" s="66" t="s">
        <v>3424</v>
      </c>
      <c r="G642" s="66">
        <v>4.0</v>
      </c>
      <c r="H642" s="81">
        <v>5.0</v>
      </c>
      <c r="I642" s="50">
        <v>80722.0</v>
      </c>
    </row>
    <row r="643">
      <c r="A643" s="66">
        <v>7639.0</v>
      </c>
      <c r="B643" s="66">
        <v>33.0</v>
      </c>
      <c r="C643" s="66">
        <v>8.0</v>
      </c>
      <c r="D643" s="66">
        <v>7.0</v>
      </c>
      <c r="E643" s="66">
        <v>0.0</v>
      </c>
      <c r="F643" s="66" t="s">
        <v>3425</v>
      </c>
      <c r="G643" s="66">
        <v>8.0</v>
      </c>
      <c r="H643" s="81">
        <v>2.0</v>
      </c>
      <c r="I643" s="50">
        <v>70218.0</v>
      </c>
    </row>
    <row r="644">
      <c r="A644" s="66">
        <v>7640.0</v>
      </c>
      <c r="B644" s="66">
        <v>74.0</v>
      </c>
      <c r="C644" s="66">
        <v>8.0</v>
      </c>
      <c r="D644" s="66">
        <v>6.0</v>
      </c>
      <c r="E644" s="66">
        <v>1.0</v>
      </c>
      <c r="F644" s="66" t="s">
        <v>3426</v>
      </c>
      <c r="G644" s="66">
        <v>6.0</v>
      </c>
      <c r="H644" s="81">
        <v>1.0</v>
      </c>
      <c r="I644" s="50">
        <v>31622.0</v>
      </c>
    </row>
    <row r="645">
      <c r="A645" s="66">
        <v>7641.0</v>
      </c>
      <c r="B645" s="66">
        <v>13.0</v>
      </c>
      <c r="C645" s="66">
        <v>4.0</v>
      </c>
      <c r="D645" s="66">
        <v>6.0</v>
      </c>
      <c r="E645" s="66">
        <v>0.0</v>
      </c>
      <c r="F645" s="66" t="s">
        <v>3427</v>
      </c>
      <c r="G645" s="66">
        <v>5.0</v>
      </c>
      <c r="H645" s="81">
        <v>5.0</v>
      </c>
      <c r="I645" s="50">
        <v>11820.0</v>
      </c>
    </row>
    <row r="646">
      <c r="A646" s="66">
        <v>7642.0</v>
      </c>
      <c r="B646" s="66">
        <v>54.0</v>
      </c>
      <c r="C646" s="66">
        <v>4.0</v>
      </c>
      <c r="D646" s="66">
        <v>3.0</v>
      </c>
      <c r="E646" s="66">
        <v>1.0</v>
      </c>
      <c r="F646" s="66" t="s">
        <v>3428</v>
      </c>
      <c r="G646" s="66">
        <v>5.0</v>
      </c>
      <c r="H646" s="81">
        <v>5.0</v>
      </c>
      <c r="I646" s="50">
        <v>91122.0</v>
      </c>
    </row>
    <row r="647">
      <c r="A647" s="66">
        <v>7643.0</v>
      </c>
      <c r="B647" s="66">
        <v>95.0</v>
      </c>
      <c r="C647" s="66">
        <v>3.0</v>
      </c>
      <c r="D647" s="66">
        <v>9.0</v>
      </c>
      <c r="E647" s="66">
        <v>1.0</v>
      </c>
      <c r="F647" s="66" t="s">
        <v>3429</v>
      </c>
      <c r="G647" s="66">
        <v>4.0</v>
      </c>
      <c r="H647" s="81">
        <v>3.0</v>
      </c>
      <c r="I647" s="50">
        <v>103121.0</v>
      </c>
    </row>
    <row r="648">
      <c r="A648" s="66">
        <v>7644.0</v>
      </c>
      <c r="B648" s="66">
        <v>95.0</v>
      </c>
      <c r="C648" s="66">
        <v>4.0</v>
      </c>
      <c r="D648" s="66">
        <v>1.0</v>
      </c>
      <c r="E648" s="66">
        <v>0.0</v>
      </c>
      <c r="F648" s="66" t="s">
        <v>3430</v>
      </c>
      <c r="G648" s="66">
        <v>6.0</v>
      </c>
      <c r="H648" s="81">
        <v>4.0</v>
      </c>
      <c r="I648" s="50">
        <v>81914.0</v>
      </c>
    </row>
    <row r="649">
      <c r="A649" s="66">
        <v>7645.0</v>
      </c>
      <c r="B649" s="66">
        <v>95.0</v>
      </c>
      <c r="C649" s="66">
        <v>4.0</v>
      </c>
      <c r="D649" s="66">
        <v>2.0</v>
      </c>
      <c r="E649" s="66">
        <v>1.0</v>
      </c>
      <c r="F649" s="66" t="s">
        <v>3431</v>
      </c>
      <c r="G649" s="66">
        <v>7.0</v>
      </c>
      <c r="H649" s="81">
        <v>5.0</v>
      </c>
      <c r="I649" s="50">
        <v>80219.0</v>
      </c>
    </row>
    <row r="650">
      <c r="A650" s="66">
        <v>7646.0</v>
      </c>
      <c r="B650" s="66">
        <v>33.0</v>
      </c>
      <c r="C650" s="66">
        <v>9.0</v>
      </c>
      <c r="D650" s="66">
        <v>9.0</v>
      </c>
      <c r="E650" s="66">
        <v>0.0</v>
      </c>
      <c r="F650" s="66" t="s">
        <v>3432</v>
      </c>
      <c r="G650" s="66">
        <v>8.0</v>
      </c>
      <c r="H650" s="81">
        <v>5.0</v>
      </c>
      <c r="I650" s="50">
        <v>112121.0</v>
      </c>
    </row>
    <row r="651">
      <c r="A651" s="66">
        <v>7647.0</v>
      </c>
      <c r="B651" s="66">
        <v>95.0</v>
      </c>
      <c r="C651" s="66">
        <v>4.0</v>
      </c>
      <c r="D651" s="66">
        <v>3.0</v>
      </c>
      <c r="E651" s="66">
        <v>0.0</v>
      </c>
      <c r="F651" s="66" t="s">
        <v>3433</v>
      </c>
      <c r="G651" s="66">
        <v>2.0</v>
      </c>
      <c r="H651" s="81">
        <v>1.0</v>
      </c>
      <c r="I651" s="50">
        <v>92917.0</v>
      </c>
    </row>
    <row r="652">
      <c r="A652" s="66">
        <v>7648.0</v>
      </c>
      <c r="B652" s="66">
        <v>95.0</v>
      </c>
      <c r="C652" s="66">
        <v>4.0</v>
      </c>
      <c r="D652" s="66">
        <v>5.0</v>
      </c>
      <c r="E652" s="66">
        <v>0.0</v>
      </c>
      <c r="F652" s="66" t="s">
        <v>3434</v>
      </c>
      <c r="G652" s="66">
        <v>2.0</v>
      </c>
      <c r="H652" s="81">
        <v>2.0</v>
      </c>
      <c r="I652" s="50">
        <v>120521.0</v>
      </c>
    </row>
    <row r="653">
      <c r="A653" s="66">
        <v>7649.0</v>
      </c>
      <c r="B653" s="66">
        <v>54.0</v>
      </c>
      <c r="C653" s="66">
        <v>5.0</v>
      </c>
      <c r="D653" s="66">
        <v>1.0</v>
      </c>
      <c r="E653" s="66">
        <v>1.0</v>
      </c>
      <c r="F653" s="66" t="s">
        <v>3435</v>
      </c>
      <c r="G653" s="66">
        <v>5.0</v>
      </c>
      <c r="H653" s="81">
        <v>3.0</v>
      </c>
      <c r="I653" s="50">
        <v>51114.0</v>
      </c>
    </row>
    <row r="654">
      <c r="A654" s="66">
        <v>7650.0</v>
      </c>
      <c r="B654" s="66">
        <v>13.0</v>
      </c>
      <c r="C654" s="66">
        <v>5.0</v>
      </c>
      <c r="D654" s="66">
        <v>5.0</v>
      </c>
      <c r="E654" s="66">
        <v>1.0</v>
      </c>
      <c r="F654" s="66" t="s">
        <v>3436</v>
      </c>
      <c r="G654" s="66">
        <v>1.0</v>
      </c>
      <c r="H654" s="81">
        <v>4.0</v>
      </c>
      <c r="I654" s="50">
        <v>52515.0</v>
      </c>
    </row>
    <row r="655">
      <c r="A655" s="66">
        <v>7651.0</v>
      </c>
      <c r="B655" s="66">
        <v>13.0</v>
      </c>
      <c r="C655" s="66">
        <v>5.0</v>
      </c>
      <c r="D655" s="66">
        <v>7.0</v>
      </c>
      <c r="E655" s="66">
        <v>0.0</v>
      </c>
      <c r="F655" s="66" t="s">
        <v>3437</v>
      </c>
      <c r="G655" s="66">
        <v>1.0</v>
      </c>
      <c r="H655" s="81">
        <v>4.0</v>
      </c>
      <c r="I655" s="50">
        <v>121717.0</v>
      </c>
    </row>
    <row r="656">
      <c r="A656" s="66">
        <v>7652.0</v>
      </c>
      <c r="B656" s="66">
        <v>34.0</v>
      </c>
      <c r="C656" s="66">
        <v>1.0</v>
      </c>
      <c r="D656" s="66">
        <v>1.0</v>
      </c>
      <c r="E656" s="66">
        <v>0.0</v>
      </c>
      <c r="F656" s="66" t="s">
        <v>3438</v>
      </c>
      <c r="G656" s="66">
        <v>1.0</v>
      </c>
      <c r="H656" s="81">
        <v>2.0</v>
      </c>
      <c r="I656" s="50">
        <v>92015.0</v>
      </c>
    </row>
    <row r="657">
      <c r="A657" s="66">
        <v>7653.0</v>
      </c>
      <c r="B657" s="66">
        <v>13.0</v>
      </c>
      <c r="C657" s="66">
        <v>6.0</v>
      </c>
      <c r="D657" s="66">
        <v>4.0</v>
      </c>
      <c r="E657" s="66">
        <v>0.0</v>
      </c>
      <c r="F657" s="66" t="s">
        <v>3439</v>
      </c>
      <c r="G657" s="66">
        <v>4.0</v>
      </c>
      <c r="H657" s="81">
        <v>1.0</v>
      </c>
      <c r="I657" s="50">
        <v>113020.0</v>
      </c>
    </row>
    <row r="658">
      <c r="A658" s="66">
        <v>7654.0</v>
      </c>
      <c r="B658" s="66">
        <v>34.0</v>
      </c>
      <c r="C658" s="66">
        <v>1.0</v>
      </c>
      <c r="D658" s="66">
        <v>6.0</v>
      </c>
      <c r="E658" s="66">
        <v>0.0</v>
      </c>
      <c r="F658" s="66" t="s">
        <v>3440</v>
      </c>
      <c r="G658" s="66">
        <v>2.0</v>
      </c>
      <c r="H658" s="81">
        <v>5.0</v>
      </c>
      <c r="I658" s="50">
        <v>102816.0</v>
      </c>
    </row>
    <row r="659">
      <c r="A659" s="66">
        <v>7655.0</v>
      </c>
      <c r="B659" s="66">
        <v>54.0</v>
      </c>
      <c r="C659" s="66">
        <v>6.0</v>
      </c>
      <c r="D659" s="66">
        <v>6.0</v>
      </c>
      <c r="E659" s="66">
        <v>0.0</v>
      </c>
      <c r="F659" s="66" t="s">
        <v>3441</v>
      </c>
      <c r="G659" s="66">
        <v>4.0</v>
      </c>
      <c r="H659" s="81">
        <v>4.0</v>
      </c>
      <c r="I659" s="50">
        <v>72213.0</v>
      </c>
    </row>
    <row r="660">
      <c r="A660" s="66">
        <v>7656.0</v>
      </c>
      <c r="B660" s="66">
        <v>13.0</v>
      </c>
      <c r="C660" s="66">
        <v>7.0</v>
      </c>
      <c r="D660" s="66">
        <v>2.0</v>
      </c>
      <c r="E660" s="66">
        <v>0.0</v>
      </c>
      <c r="F660" s="66" t="s">
        <v>3442</v>
      </c>
      <c r="G660" s="66">
        <v>2.0</v>
      </c>
      <c r="H660" s="81">
        <v>5.0</v>
      </c>
      <c r="I660" s="50">
        <v>33016.0</v>
      </c>
    </row>
    <row r="661">
      <c r="A661" s="66">
        <v>7657.0</v>
      </c>
      <c r="B661" s="66">
        <v>95.0</v>
      </c>
      <c r="C661" s="66">
        <v>6.0</v>
      </c>
      <c r="D661" s="66">
        <v>5.0</v>
      </c>
      <c r="E661" s="66">
        <v>0.0</v>
      </c>
      <c r="F661" s="66" t="s">
        <v>3443</v>
      </c>
      <c r="G661" s="66">
        <v>4.0</v>
      </c>
      <c r="H661" s="81">
        <v>4.0</v>
      </c>
      <c r="I661" s="50">
        <v>41422.0</v>
      </c>
    </row>
    <row r="662">
      <c r="A662" s="66">
        <v>7658.0</v>
      </c>
      <c r="B662" s="66">
        <v>95.0</v>
      </c>
      <c r="C662" s="66">
        <v>6.0</v>
      </c>
      <c r="D662" s="66">
        <v>9.0</v>
      </c>
      <c r="E662" s="66">
        <v>0.0</v>
      </c>
      <c r="F662" s="66" t="s">
        <v>3444</v>
      </c>
      <c r="G662" s="66">
        <v>8.0</v>
      </c>
      <c r="H662" s="81">
        <v>2.0</v>
      </c>
      <c r="I662" s="50">
        <v>110920.0</v>
      </c>
    </row>
    <row r="663">
      <c r="A663" s="66">
        <v>7659.0</v>
      </c>
      <c r="B663" s="66">
        <v>34.0</v>
      </c>
      <c r="C663" s="66">
        <v>2.0</v>
      </c>
      <c r="D663" s="66">
        <v>6.0</v>
      </c>
      <c r="E663" s="66">
        <v>0.0</v>
      </c>
      <c r="F663" s="66" t="s">
        <v>3445</v>
      </c>
      <c r="G663" s="66">
        <v>1.0</v>
      </c>
      <c r="H663" s="81">
        <v>2.0</v>
      </c>
      <c r="I663" s="50">
        <v>50420.0</v>
      </c>
    </row>
    <row r="664">
      <c r="A664" s="66">
        <v>7660.0</v>
      </c>
      <c r="B664" s="66">
        <v>95.0</v>
      </c>
      <c r="C664" s="66">
        <v>7.0</v>
      </c>
      <c r="D664" s="66">
        <v>1.0</v>
      </c>
      <c r="E664" s="66">
        <v>0.0</v>
      </c>
      <c r="F664" s="66" t="s">
        <v>3446</v>
      </c>
      <c r="G664" s="66">
        <v>6.0</v>
      </c>
      <c r="H664" s="81">
        <v>2.0</v>
      </c>
      <c r="I664" s="50">
        <v>72518.0</v>
      </c>
    </row>
    <row r="665">
      <c r="A665" s="66">
        <v>7661.0</v>
      </c>
      <c r="B665" s="66">
        <v>95.0</v>
      </c>
      <c r="C665" s="66">
        <v>7.0</v>
      </c>
      <c r="D665" s="66">
        <v>2.0</v>
      </c>
      <c r="E665" s="66">
        <v>0.0</v>
      </c>
      <c r="F665" s="66" t="s">
        <v>3447</v>
      </c>
      <c r="G665" s="66">
        <v>4.0</v>
      </c>
      <c r="H665" s="81">
        <v>5.0</v>
      </c>
      <c r="I665" s="50">
        <v>30717.0</v>
      </c>
    </row>
    <row r="666">
      <c r="A666" s="66">
        <v>7662.0</v>
      </c>
      <c r="B666" s="66">
        <v>95.0</v>
      </c>
      <c r="C666" s="66">
        <v>7.0</v>
      </c>
      <c r="D666" s="66">
        <v>3.0</v>
      </c>
      <c r="E666" s="66">
        <v>1.0</v>
      </c>
      <c r="F666" s="66" t="s">
        <v>3448</v>
      </c>
      <c r="G666" s="66">
        <v>2.0</v>
      </c>
      <c r="H666" s="81">
        <v>1.0</v>
      </c>
      <c r="I666" s="50">
        <v>32819.0</v>
      </c>
    </row>
    <row r="667">
      <c r="A667" s="66">
        <v>7663.0</v>
      </c>
      <c r="B667" s="66">
        <v>95.0</v>
      </c>
      <c r="C667" s="66">
        <v>7.0</v>
      </c>
      <c r="D667" s="66">
        <v>4.0</v>
      </c>
      <c r="E667" s="66">
        <v>1.0</v>
      </c>
      <c r="F667" s="66" t="s">
        <v>3449</v>
      </c>
      <c r="G667" s="66">
        <v>7.0</v>
      </c>
      <c r="H667" s="81">
        <v>1.0</v>
      </c>
      <c r="I667" s="50">
        <v>111213.0</v>
      </c>
    </row>
    <row r="668">
      <c r="A668" s="66">
        <v>7664.0</v>
      </c>
      <c r="B668" s="66">
        <v>95.0</v>
      </c>
      <c r="C668" s="66">
        <v>7.0</v>
      </c>
      <c r="D668" s="66">
        <v>7.0</v>
      </c>
      <c r="E668" s="66">
        <v>0.0</v>
      </c>
      <c r="F668" s="66" t="s">
        <v>3450</v>
      </c>
      <c r="G668" s="66">
        <v>8.0</v>
      </c>
      <c r="H668" s="81">
        <v>4.0</v>
      </c>
      <c r="I668" s="50">
        <v>111416.0</v>
      </c>
    </row>
    <row r="669">
      <c r="A669" s="66">
        <v>7665.0</v>
      </c>
      <c r="B669" s="66">
        <v>54.0</v>
      </c>
      <c r="C669" s="66">
        <v>8.0</v>
      </c>
      <c r="D669" s="66">
        <v>2.0</v>
      </c>
      <c r="E669" s="66">
        <v>0.0</v>
      </c>
      <c r="F669" s="66" t="s">
        <v>3451</v>
      </c>
      <c r="G669" s="66">
        <v>2.0</v>
      </c>
      <c r="H669" s="81">
        <v>4.0</v>
      </c>
      <c r="I669" s="50">
        <v>61817.0</v>
      </c>
    </row>
    <row r="670">
      <c r="A670" s="66">
        <v>7666.0</v>
      </c>
      <c r="B670" s="66">
        <v>54.0</v>
      </c>
      <c r="C670" s="66">
        <v>8.0</v>
      </c>
      <c r="D670" s="66">
        <v>1.0</v>
      </c>
      <c r="E670" s="66">
        <v>1.0</v>
      </c>
      <c r="F670" s="66" t="s">
        <v>3452</v>
      </c>
      <c r="G670" s="66">
        <v>7.0</v>
      </c>
      <c r="H670" s="81">
        <v>5.0</v>
      </c>
      <c r="I670" s="50">
        <v>102619.0</v>
      </c>
    </row>
    <row r="671">
      <c r="A671" s="66">
        <v>7667.0</v>
      </c>
      <c r="B671" s="66">
        <v>75.0</v>
      </c>
      <c r="C671" s="66">
        <v>3.0</v>
      </c>
      <c r="D671" s="66">
        <v>2.0</v>
      </c>
      <c r="E671" s="66">
        <v>1.0</v>
      </c>
      <c r="F671" s="66" t="s">
        <v>3453</v>
      </c>
      <c r="G671" s="66">
        <v>2.0</v>
      </c>
      <c r="H671" s="81">
        <v>5.0</v>
      </c>
      <c r="I671" s="50">
        <v>70716.0</v>
      </c>
    </row>
    <row r="672">
      <c r="A672" s="66">
        <v>7668.0</v>
      </c>
      <c r="B672" s="66">
        <v>34.0</v>
      </c>
      <c r="C672" s="66">
        <v>3.0</v>
      </c>
      <c r="D672" s="66">
        <v>5.0</v>
      </c>
      <c r="E672" s="66">
        <v>1.0</v>
      </c>
      <c r="F672" s="66" t="s">
        <v>3454</v>
      </c>
      <c r="G672" s="66">
        <v>5.0</v>
      </c>
      <c r="H672" s="81">
        <v>5.0</v>
      </c>
      <c r="I672" s="50">
        <v>21417.0</v>
      </c>
    </row>
    <row r="673">
      <c r="A673" s="66">
        <v>7669.0</v>
      </c>
      <c r="B673" s="66">
        <v>34.0</v>
      </c>
      <c r="C673" s="66">
        <v>3.0</v>
      </c>
      <c r="D673" s="66">
        <v>4.0</v>
      </c>
      <c r="E673" s="66">
        <v>1.0</v>
      </c>
      <c r="F673" s="66" t="s">
        <v>3455</v>
      </c>
      <c r="G673" s="66">
        <v>6.0</v>
      </c>
      <c r="H673" s="81">
        <v>4.0</v>
      </c>
      <c r="I673" s="50">
        <v>60622.0</v>
      </c>
    </row>
    <row r="674">
      <c r="A674" s="66">
        <v>7670.0</v>
      </c>
      <c r="B674" s="66">
        <v>34.0</v>
      </c>
      <c r="C674" s="66">
        <v>3.0</v>
      </c>
      <c r="D674" s="66">
        <v>9.0</v>
      </c>
      <c r="E674" s="66">
        <v>1.0</v>
      </c>
      <c r="F674" s="66" t="s">
        <v>3456</v>
      </c>
      <c r="G674" s="66">
        <v>3.0</v>
      </c>
      <c r="H674" s="81">
        <v>4.0</v>
      </c>
      <c r="I674" s="50">
        <v>51516.0</v>
      </c>
    </row>
    <row r="675">
      <c r="A675" s="66">
        <v>7671.0</v>
      </c>
      <c r="B675" s="66">
        <v>75.0</v>
      </c>
      <c r="C675" s="66">
        <v>2.0</v>
      </c>
      <c r="D675" s="66">
        <v>9.0</v>
      </c>
      <c r="E675" s="66">
        <v>0.0</v>
      </c>
      <c r="F675" s="66" t="s">
        <v>3457</v>
      </c>
      <c r="G675" s="66">
        <v>7.0</v>
      </c>
      <c r="H675" s="81">
        <v>3.0</v>
      </c>
      <c r="I675" s="50">
        <v>121818.0</v>
      </c>
    </row>
    <row r="676">
      <c r="A676" s="66">
        <v>7672.0</v>
      </c>
      <c r="B676" s="66">
        <v>75.0</v>
      </c>
      <c r="C676" s="66">
        <v>3.0</v>
      </c>
      <c r="D676" s="66">
        <v>7.0</v>
      </c>
      <c r="E676" s="66">
        <v>0.0</v>
      </c>
      <c r="F676" s="66" t="s">
        <v>3458</v>
      </c>
      <c r="G676" s="66">
        <v>8.0</v>
      </c>
      <c r="H676" s="81">
        <v>4.0</v>
      </c>
      <c r="I676" s="50">
        <v>32815.0</v>
      </c>
    </row>
    <row r="677">
      <c r="A677" s="66">
        <v>7673.0</v>
      </c>
      <c r="B677" s="66">
        <v>34.0</v>
      </c>
      <c r="C677" s="66">
        <v>4.0</v>
      </c>
      <c r="D677" s="66">
        <v>2.0</v>
      </c>
      <c r="E677" s="66">
        <v>1.0</v>
      </c>
      <c r="F677" s="66" t="s">
        <v>3459</v>
      </c>
      <c r="G677" s="66">
        <v>2.0</v>
      </c>
      <c r="H677" s="81">
        <v>5.0</v>
      </c>
      <c r="I677" s="50">
        <v>123114.0</v>
      </c>
    </row>
    <row r="678">
      <c r="A678" s="66">
        <v>7674.0</v>
      </c>
      <c r="B678" s="66">
        <v>54.0</v>
      </c>
      <c r="C678" s="66">
        <v>9.0</v>
      </c>
      <c r="D678" s="66">
        <v>1.0</v>
      </c>
      <c r="E678" s="66">
        <v>0.0</v>
      </c>
      <c r="F678" s="66" t="s">
        <v>3460</v>
      </c>
      <c r="G678" s="66">
        <v>3.0</v>
      </c>
      <c r="H678" s="81">
        <v>2.0</v>
      </c>
      <c r="I678" s="50">
        <v>62422.0</v>
      </c>
    </row>
    <row r="679">
      <c r="A679" s="66">
        <v>7675.0</v>
      </c>
      <c r="B679" s="66">
        <v>54.0</v>
      </c>
      <c r="C679" s="66">
        <v>9.0</v>
      </c>
      <c r="D679" s="66">
        <v>2.0</v>
      </c>
      <c r="E679" s="66">
        <v>0.0</v>
      </c>
      <c r="F679" s="66" t="s">
        <v>3461</v>
      </c>
      <c r="G679" s="66">
        <v>6.0</v>
      </c>
      <c r="H679" s="81">
        <v>3.0</v>
      </c>
      <c r="I679" s="50">
        <v>122013.0</v>
      </c>
    </row>
    <row r="680">
      <c r="A680" s="66">
        <v>7676.0</v>
      </c>
      <c r="B680" s="66">
        <v>34.0</v>
      </c>
      <c r="C680" s="66">
        <v>4.0</v>
      </c>
      <c r="D680" s="66">
        <v>8.0</v>
      </c>
      <c r="E680" s="66">
        <v>1.0</v>
      </c>
      <c r="F680" s="66" t="s">
        <v>3462</v>
      </c>
      <c r="G680" s="66">
        <v>6.0</v>
      </c>
      <c r="H680" s="81">
        <v>3.0</v>
      </c>
      <c r="I680" s="50">
        <v>101113.0</v>
      </c>
    </row>
    <row r="681">
      <c r="A681" s="66">
        <v>7677.0</v>
      </c>
      <c r="B681" s="66">
        <v>95.0</v>
      </c>
      <c r="C681" s="66">
        <v>9.0</v>
      </c>
      <c r="D681" s="66">
        <v>3.0</v>
      </c>
      <c r="E681" s="66">
        <v>1.0</v>
      </c>
      <c r="F681" s="66" t="s">
        <v>3463</v>
      </c>
      <c r="G681" s="66">
        <v>7.0</v>
      </c>
      <c r="H681" s="81">
        <v>5.0</v>
      </c>
      <c r="I681" s="50">
        <v>73022.0</v>
      </c>
    </row>
    <row r="682">
      <c r="A682" s="66">
        <v>7678.0</v>
      </c>
      <c r="B682" s="66">
        <v>54.0</v>
      </c>
      <c r="C682" s="66">
        <v>9.0</v>
      </c>
      <c r="D682" s="66">
        <v>8.0</v>
      </c>
      <c r="E682" s="66">
        <v>1.0</v>
      </c>
      <c r="F682" s="66" t="s">
        <v>3464</v>
      </c>
      <c r="G682" s="66">
        <v>6.0</v>
      </c>
      <c r="H682" s="81">
        <v>5.0</v>
      </c>
      <c r="I682" s="50">
        <v>112314.0</v>
      </c>
    </row>
    <row r="683">
      <c r="A683" s="66">
        <v>7679.0</v>
      </c>
      <c r="B683" s="66">
        <v>75.0</v>
      </c>
      <c r="C683" s="66">
        <v>4.0</v>
      </c>
      <c r="D683" s="66">
        <v>4.0</v>
      </c>
      <c r="E683" s="66">
        <v>0.0</v>
      </c>
      <c r="F683" s="66" t="s">
        <v>3465</v>
      </c>
      <c r="G683" s="66">
        <v>4.0</v>
      </c>
      <c r="H683" s="81">
        <v>2.0</v>
      </c>
      <c r="I683" s="50">
        <v>61716.0</v>
      </c>
    </row>
    <row r="684">
      <c r="A684" s="66">
        <v>7680.0</v>
      </c>
      <c r="B684" s="66">
        <v>75.0</v>
      </c>
      <c r="C684" s="66">
        <v>5.0</v>
      </c>
      <c r="D684" s="66">
        <v>3.0</v>
      </c>
      <c r="E684" s="66">
        <v>1.0</v>
      </c>
      <c r="F684" s="66" t="s">
        <v>3466</v>
      </c>
      <c r="G684" s="66">
        <v>3.0</v>
      </c>
      <c r="H684" s="81">
        <v>5.0</v>
      </c>
      <c r="I684" s="50">
        <v>51313.0</v>
      </c>
    </row>
    <row r="685">
      <c r="A685" s="66">
        <v>7681.0</v>
      </c>
      <c r="B685" s="66">
        <v>34.0</v>
      </c>
      <c r="C685" s="66">
        <v>5.0</v>
      </c>
      <c r="D685" s="66">
        <v>9.0</v>
      </c>
      <c r="E685" s="66">
        <v>0.0</v>
      </c>
      <c r="F685" s="66" t="s">
        <v>3467</v>
      </c>
      <c r="G685" s="66">
        <v>1.0</v>
      </c>
      <c r="H685" s="81">
        <v>2.0</v>
      </c>
      <c r="I685" s="50">
        <v>52620.0</v>
      </c>
    </row>
    <row r="686">
      <c r="A686" s="66">
        <v>7682.0</v>
      </c>
      <c r="B686" s="66">
        <v>34.0</v>
      </c>
      <c r="C686" s="66">
        <v>6.0</v>
      </c>
      <c r="D686" s="66">
        <v>1.0</v>
      </c>
      <c r="E686" s="66">
        <v>1.0</v>
      </c>
      <c r="F686" s="66" t="s">
        <v>3468</v>
      </c>
      <c r="G686" s="66">
        <v>5.0</v>
      </c>
      <c r="H686" s="81">
        <v>3.0</v>
      </c>
      <c r="I686" s="50">
        <v>112113.0</v>
      </c>
    </row>
    <row r="687">
      <c r="A687" s="66">
        <v>7683.0</v>
      </c>
      <c r="B687" s="66">
        <v>34.0</v>
      </c>
      <c r="C687" s="66">
        <v>6.0</v>
      </c>
      <c r="D687" s="66">
        <v>4.0</v>
      </c>
      <c r="E687" s="66">
        <v>0.0</v>
      </c>
      <c r="F687" s="66" t="s">
        <v>3469</v>
      </c>
      <c r="G687" s="66">
        <v>6.0</v>
      </c>
      <c r="H687" s="81">
        <v>2.0</v>
      </c>
      <c r="I687" s="50">
        <v>72416.0</v>
      </c>
    </row>
    <row r="688">
      <c r="A688" s="66">
        <v>7684.0</v>
      </c>
      <c r="B688" s="66">
        <v>55.0</v>
      </c>
      <c r="C688" s="66">
        <v>1.0</v>
      </c>
      <c r="D688" s="66">
        <v>3.0</v>
      </c>
      <c r="E688" s="66">
        <v>1.0</v>
      </c>
      <c r="F688" s="66" t="s">
        <v>3470</v>
      </c>
      <c r="G688" s="66">
        <v>7.0</v>
      </c>
      <c r="H688" s="81">
        <v>1.0</v>
      </c>
      <c r="I688" s="50">
        <v>70622.0</v>
      </c>
    </row>
    <row r="689">
      <c r="A689" s="66">
        <v>7685.0</v>
      </c>
      <c r="B689" s="66">
        <v>14.0</v>
      </c>
      <c r="C689" s="66">
        <v>1.0</v>
      </c>
      <c r="D689" s="66">
        <v>8.0</v>
      </c>
      <c r="E689" s="66">
        <v>0.0</v>
      </c>
      <c r="F689" s="66" t="s">
        <v>3471</v>
      </c>
      <c r="G689" s="66">
        <v>4.0</v>
      </c>
      <c r="H689" s="81">
        <v>3.0</v>
      </c>
      <c r="I689" s="50">
        <v>50621.0</v>
      </c>
    </row>
    <row r="690">
      <c r="A690" s="66">
        <v>7686.0</v>
      </c>
      <c r="B690" s="66">
        <v>14.0</v>
      </c>
      <c r="C690" s="66">
        <v>1.0</v>
      </c>
      <c r="D690" s="66">
        <v>9.0</v>
      </c>
      <c r="E690" s="66">
        <v>0.0</v>
      </c>
      <c r="F690" s="66" t="s">
        <v>3472</v>
      </c>
      <c r="G690" s="66">
        <v>6.0</v>
      </c>
      <c r="H690" s="81">
        <v>2.0</v>
      </c>
      <c r="I690" s="50">
        <v>72022.0</v>
      </c>
    </row>
    <row r="691">
      <c r="A691" s="66">
        <v>7687.0</v>
      </c>
      <c r="B691" s="66">
        <v>34.0</v>
      </c>
      <c r="C691" s="66">
        <v>7.0</v>
      </c>
      <c r="D691" s="66">
        <v>1.0</v>
      </c>
      <c r="E691" s="66">
        <v>1.0</v>
      </c>
      <c r="F691" s="66" t="s">
        <v>3473</v>
      </c>
      <c r="G691" s="66">
        <v>7.0</v>
      </c>
      <c r="H691" s="81">
        <v>5.0</v>
      </c>
      <c r="I691" s="50">
        <v>13120.0</v>
      </c>
    </row>
    <row r="692">
      <c r="A692" s="66">
        <v>7688.0</v>
      </c>
      <c r="B692" s="66">
        <v>14.0</v>
      </c>
      <c r="C692" s="66">
        <v>2.0</v>
      </c>
      <c r="D692" s="66">
        <v>7.0</v>
      </c>
      <c r="E692" s="66">
        <v>0.0</v>
      </c>
      <c r="F692" s="66" t="s">
        <v>3474</v>
      </c>
      <c r="G692" s="66">
        <v>4.0</v>
      </c>
      <c r="H692" s="81">
        <v>1.0</v>
      </c>
      <c r="I692" s="50">
        <v>72619.0</v>
      </c>
    </row>
    <row r="693">
      <c r="A693" s="66">
        <v>7689.0</v>
      </c>
      <c r="B693" s="66">
        <v>14.0</v>
      </c>
      <c r="C693" s="66">
        <v>2.0</v>
      </c>
      <c r="D693" s="66">
        <v>8.0</v>
      </c>
      <c r="E693" s="66">
        <v>1.0</v>
      </c>
      <c r="F693" s="66" t="s">
        <v>3475</v>
      </c>
      <c r="G693" s="66">
        <v>3.0</v>
      </c>
      <c r="H693" s="81">
        <v>5.0</v>
      </c>
      <c r="I693" s="50">
        <v>61118.0</v>
      </c>
    </row>
    <row r="694">
      <c r="A694" s="66">
        <v>7690.0</v>
      </c>
      <c r="B694" s="66">
        <v>34.0</v>
      </c>
      <c r="C694" s="66">
        <v>7.0</v>
      </c>
      <c r="D694" s="66">
        <v>9.0</v>
      </c>
      <c r="E694" s="66">
        <v>1.0</v>
      </c>
      <c r="F694" s="66" t="s">
        <v>3476</v>
      </c>
      <c r="G694" s="66">
        <v>4.0</v>
      </c>
      <c r="H694" s="81">
        <v>5.0</v>
      </c>
      <c r="I694" s="50">
        <v>70816.0</v>
      </c>
    </row>
    <row r="695">
      <c r="A695" s="66">
        <v>7691.0</v>
      </c>
      <c r="B695" s="66">
        <v>75.0</v>
      </c>
      <c r="C695" s="66">
        <v>7.0</v>
      </c>
      <c r="D695" s="66">
        <v>5.0</v>
      </c>
      <c r="E695" s="66">
        <v>1.0</v>
      </c>
      <c r="F695" s="66" t="s">
        <v>3477</v>
      </c>
      <c r="G695" s="66">
        <v>3.0</v>
      </c>
      <c r="H695" s="81">
        <v>2.0</v>
      </c>
      <c r="I695" s="50">
        <v>91916.0</v>
      </c>
    </row>
    <row r="696">
      <c r="A696" s="66">
        <v>7692.0</v>
      </c>
      <c r="B696" s="66">
        <v>75.0</v>
      </c>
      <c r="C696" s="66">
        <v>7.0</v>
      </c>
      <c r="D696" s="66">
        <v>7.0</v>
      </c>
      <c r="E696" s="66">
        <v>0.0</v>
      </c>
      <c r="F696" s="66" t="s">
        <v>3478</v>
      </c>
      <c r="G696" s="66">
        <v>8.0</v>
      </c>
      <c r="H696" s="81">
        <v>2.0</v>
      </c>
      <c r="I696" s="50">
        <v>10715.0</v>
      </c>
    </row>
    <row r="697">
      <c r="A697" s="66">
        <v>7693.0</v>
      </c>
      <c r="B697" s="66">
        <v>55.0</v>
      </c>
      <c r="C697" s="66">
        <v>2.0</v>
      </c>
      <c r="D697" s="66">
        <v>7.0</v>
      </c>
      <c r="E697" s="66">
        <v>0.0</v>
      </c>
      <c r="F697" s="66" t="s">
        <v>3479</v>
      </c>
      <c r="G697" s="66">
        <v>7.0</v>
      </c>
      <c r="H697" s="81">
        <v>4.0</v>
      </c>
      <c r="I697" s="50">
        <v>10714.0</v>
      </c>
    </row>
    <row r="698">
      <c r="A698" s="66">
        <v>7694.0</v>
      </c>
      <c r="B698" s="66">
        <v>96.0</v>
      </c>
      <c r="C698" s="66">
        <v>2.0</v>
      </c>
      <c r="D698" s="66">
        <v>8.0</v>
      </c>
      <c r="E698" s="66">
        <v>1.0</v>
      </c>
      <c r="F698" s="66" t="s">
        <v>3480</v>
      </c>
      <c r="G698" s="66">
        <v>6.0</v>
      </c>
      <c r="H698" s="81">
        <v>1.0</v>
      </c>
      <c r="I698" s="50">
        <v>112918.0</v>
      </c>
    </row>
    <row r="699">
      <c r="A699" s="66">
        <v>7695.0</v>
      </c>
      <c r="B699" s="66">
        <v>96.0</v>
      </c>
      <c r="C699" s="66">
        <v>2.0</v>
      </c>
      <c r="D699" s="66">
        <v>9.0</v>
      </c>
      <c r="E699" s="66">
        <v>0.0</v>
      </c>
      <c r="F699" s="66" t="s">
        <v>3481</v>
      </c>
      <c r="G699" s="66">
        <v>2.0</v>
      </c>
      <c r="H699" s="81">
        <v>2.0</v>
      </c>
      <c r="I699" s="50">
        <v>12422.0</v>
      </c>
    </row>
    <row r="700">
      <c r="A700" s="66">
        <v>7696.0</v>
      </c>
      <c r="B700" s="66">
        <v>14.0</v>
      </c>
      <c r="C700" s="66">
        <v>3.0</v>
      </c>
      <c r="D700" s="66">
        <v>6.0</v>
      </c>
      <c r="E700" s="66">
        <v>1.0</v>
      </c>
      <c r="F700" s="66" t="s">
        <v>3482</v>
      </c>
      <c r="G700" s="66">
        <v>5.0</v>
      </c>
      <c r="H700" s="81">
        <v>5.0</v>
      </c>
      <c r="I700" s="50">
        <v>92613.0</v>
      </c>
    </row>
    <row r="701">
      <c r="A701" s="66">
        <v>7697.0</v>
      </c>
      <c r="B701" s="66">
        <v>34.0</v>
      </c>
      <c r="C701" s="66">
        <v>8.0</v>
      </c>
      <c r="D701" s="66">
        <v>7.0</v>
      </c>
      <c r="E701" s="66">
        <v>0.0</v>
      </c>
      <c r="F701" s="66" t="s">
        <v>3483</v>
      </c>
      <c r="G701" s="66">
        <v>6.0</v>
      </c>
      <c r="H701" s="81">
        <v>1.0</v>
      </c>
      <c r="I701" s="50">
        <v>30117.0</v>
      </c>
    </row>
    <row r="702">
      <c r="A702" s="66">
        <v>7698.0</v>
      </c>
      <c r="B702" s="66">
        <v>75.0</v>
      </c>
      <c r="C702" s="66">
        <v>8.0</v>
      </c>
      <c r="D702" s="66">
        <v>4.0</v>
      </c>
      <c r="E702" s="66">
        <v>0.0</v>
      </c>
      <c r="F702" s="66" t="s">
        <v>3484</v>
      </c>
      <c r="G702" s="66">
        <v>8.0</v>
      </c>
      <c r="H702" s="81">
        <v>1.0</v>
      </c>
      <c r="I702" s="50">
        <v>120215.0</v>
      </c>
    </row>
    <row r="703">
      <c r="A703" s="66">
        <v>7699.0</v>
      </c>
      <c r="B703" s="66">
        <v>96.0</v>
      </c>
      <c r="C703" s="66">
        <v>3.0</v>
      </c>
      <c r="D703" s="66">
        <v>1.0</v>
      </c>
      <c r="E703" s="66">
        <v>0.0</v>
      </c>
      <c r="F703" s="66" t="s">
        <v>3485</v>
      </c>
      <c r="G703" s="66">
        <v>5.0</v>
      </c>
      <c r="H703" s="81">
        <v>5.0</v>
      </c>
      <c r="I703" s="50">
        <v>92013.0</v>
      </c>
    </row>
    <row r="704">
      <c r="A704" s="66">
        <v>7700.0</v>
      </c>
      <c r="B704" s="66">
        <v>75.0</v>
      </c>
      <c r="C704" s="66">
        <v>8.0</v>
      </c>
      <c r="D704" s="66">
        <v>6.0</v>
      </c>
      <c r="E704" s="66">
        <v>1.0</v>
      </c>
      <c r="F704" s="66" t="s">
        <v>3486</v>
      </c>
      <c r="G704" s="66">
        <v>1.0</v>
      </c>
      <c r="H704" s="81">
        <v>4.0</v>
      </c>
      <c r="I704" s="50">
        <v>51617.0</v>
      </c>
    </row>
    <row r="705">
      <c r="A705" s="66">
        <v>7701.0</v>
      </c>
      <c r="B705" s="66">
        <v>14.0</v>
      </c>
      <c r="C705" s="66">
        <v>4.0</v>
      </c>
      <c r="D705" s="66">
        <v>2.0</v>
      </c>
      <c r="E705" s="66">
        <v>0.0</v>
      </c>
      <c r="F705" s="66" t="s">
        <v>3487</v>
      </c>
      <c r="G705" s="66">
        <v>7.0</v>
      </c>
      <c r="H705" s="81">
        <v>3.0</v>
      </c>
      <c r="I705" s="50">
        <v>31915.0</v>
      </c>
    </row>
    <row r="706">
      <c r="A706" s="66">
        <v>7702.0</v>
      </c>
      <c r="B706" s="66">
        <v>55.0</v>
      </c>
      <c r="C706" s="66">
        <v>4.0</v>
      </c>
      <c r="D706" s="66">
        <v>1.0</v>
      </c>
      <c r="E706" s="66">
        <v>1.0</v>
      </c>
      <c r="F706" s="66" t="s">
        <v>3488</v>
      </c>
      <c r="G706" s="66">
        <v>2.0</v>
      </c>
      <c r="H706" s="81">
        <v>4.0</v>
      </c>
      <c r="I706" s="50">
        <v>110713.0</v>
      </c>
    </row>
    <row r="707">
      <c r="A707" s="66">
        <v>7703.0</v>
      </c>
      <c r="B707" s="66">
        <v>96.0</v>
      </c>
      <c r="C707" s="66">
        <v>3.0</v>
      </c>
      <c r="D707" s="66">
        <v>8.0</v>
      </c>
      <c r="E707" s="66">
        <v>0.0</v>
      </c>
      <c r="F707" s="66" t="s">
        <v>3489</v>
      </c>
      <c r="G707" s="66">
        <v>8.0</v>
      </c>
      <c r="H707" s="81">
        <v>2.0</v>
      </c>
      <c r="I707" s="50">
        <v>33116.0</v>
      </c>
    </row>
    <row r="708">
      <c r="A708" s="66">
        <v>7704.0</v>
      </c>
      <c r="B708" s="66">
        <v>75.0</v>
      </c>
      <c r="C708" s="66">
        <v>9.0</v>
      </c>
      <c r="D708" s="66">
        <v>4.0</v>
      </c>
      <c r="E708" s="66">
        <v>0.0</v>
      </c>
      <c r="F708" s="66" t="s">
        <v>3490</v>
      </c>
      <c r="G708" s="66">
        <v>2.0</v>
      </c>
      <c r="H708" s="81">
        <v>3.0</v>
      </c>
      <c r="I708" s="50">
        <v>22217.0</v>
      </c>
    </row>
    <row r="709">
      <c r="A709" s="66">
        <v>7705.0</v>
      </c>
      <c r="B709" s="66">
        <v>34.0</v>
      </c>
      <c r="C709" s="66">
        <v>9.0</v>
      </c>
      <c r="D709" s="66">
        <v>9.0</v>
      </c>
      <c r="E709" s="66">
        <v>0.0</v>
      </c>
      <c r="F709" s="66" t="s">
        <v>3491</v>
      </c>
      <c r="G709" s="66">
        <v>5.0</v>
      </c>
      <c r="H709" s="81">
        <v>5.0</v>
      </c>
      <c r="I709" s="50">
        <v>81222.0</v>
      </c>
    </row>
    <row r="710">
      <c r="A710" s="66">
        <v>7706.0</v>
      </c>
      <c r="B710" s="66">
        <v>96.0</v>
      </c>
      <c r="C710" s="66">
        <v>4.0</v>
      </c>
      <c r="D710" s="66">
        <v>4.0</v>
      </c>
      <c r="E710" s="66">
        <v>0.0</v>
      </c>
      <c r="F710" s="66" t="s">
        <v>3492</v>
      </c>
      <c r="G710" s="66">
        <v>3.0</v>
      </c>
      <c r="H710" s="81">
        <v>3.0</v>
      </c>
      <c r="I710" s="50">
        <v>50917.0</v>
      </c>
    </row>
    <row r="711">
      <c r="A711" s="66">
        <v>7707.0</v>
      </c>
      <c r="B711" s="66">
        <v>55.0</v>
      </c>
      <c r="C711" s="66">
        <v>4.0</v>
      </c>
      <c r="D711" s="66">
        <v>9.0</v>
      </c>
      <c r="E711" s="66">
        <v>1.0</v>
      </c>
      <c r="F711" s="66" t="s">
        <v>3493</v>
      </c>
      <c r="G711" s="66">
        <v>9.0</v>
      </c>
      <c r="H711" s="81">
        <v>5.0</v>
      </c>
      <c r="I711" s="50">
        <v>42817.0</v>
      </c>
    </row>
    <row r="712">
      <c r="A712" s="66">
        <v>7708.0</v>
      </c>
      <c r="B712" s="66">
        <v>55.0</v>
      </c>
      <c r="C712" s="66">
        <v>5.0</v>
      </c>
      <c r="D712" s="66">
        <v>7.0</v>
      </c>
      <c r="E712" s="66">
        <v>1.0</v>
      </c>
      <c r="F712" s="66" t="s">
        <v>3494</v>
      </c>
      <c r="G712" s="66">
        <v>7.0</v>
      </c>
      <c r="H712" s="81">
        <v>4.0</v>
      </c>
      <c r="I712" s="50">
        <v>11816.0</v>
      </c>
    </row>
    <row r="713">
      <c r="A713" s="66">
        <v>7709.0</v>
      </c>
      <c r="B713" s="66">
        <v>14.0</v>
      </c>
      <c r="C713" s="66">
        <v>6.0</v>
      </c>
      <c r="D713" s="66">
        <v>2.0</v>
      </c>
      <c r="E713" s="66">
        <v>1.0</v>
      </c>
      <c r="F713" s="66" t="s">
        <v>3495</v>
      </c>
      <c r="G713" s="66">
        <v>4.0</v>
      </c>
      <c r="H713" s="81">
        <v>5.0</v>
      </c>
      <c r="I713" s="50">
        <v>91822.0</v>
      </c>
    </row>
    <row r="714">
      <c r="A714" s="66">
        <v>7710.0</v>
      </c>
      <c r="B714" s="66">
        <v>55.0</v>
      </c>
      <c r="C714" s="66">
        <v>6.0</v>
      </c>
      <c r="D714" s="66">
        <v>3.0</v>
      </c>
      <c r="E714" s="66">
        <v>0.0</v>
      </c>
      <c r="F714" s="66" t="s">
        <v>3496</v>
      </c>
      <c r="G714" s="66">
        <v>3.0</v>
      </c>
      <c r="H714" s="81">
        <v>3.0</v>
      </c>
      <c r="I714" s="50">
        <v>113018.0</v>
      </c>
    </row>
    <row r="715">
      <c r="A715" s="66">
        <v>7711.0</v>
      </c>
      <c r="B715" s="66">
        <v>14.0</v>
      </c>
      <c r="C715" s="66">
        <v>6.0</v>
      </c>
      <c r="D715" s="66">
        <v>8.0</v>
      </c>
      <c r="E715" s="66">
        <v>1.0</v>
      </c>
      <c r="F715" s="66" t="s">
        <v>3497</v>
      </c>
      <c r="G715" s="66">
        <v>5.0</v>
      </c>
      <c r="H715" s="81">
        <v>5.0</v>
      </c>
      <c r="I715" s="50">
        <v>111622.0</v>
      </c>
    </row>
    <row r="716">
      <c r="A716" s="66">
        <v>7712.0</v>
      </c>
      <c r="B716" s="66">
        <v>55.0</v>
      </c>
      <c r="C716" s="66">
        <v>6.0</v>
      </c>
      <c r="D716" s="66">
        <v>6.0</v>
      </c>
      <c r="E716" s="66">
        <v>0.0</v>
      </c>
      <c r="F716" s="66" t="s">
        <v>3498</v>
      </c>
      <c r="G716" s="66">
        <v>7.0</v>
      </c>
      <c r="H716" s="81">
        <v>3.0</v>
      </c>
      <c r="I716" s="50">
        <v>71922.0</v>
      </c>
    </row>
    <row r="717">
      <c r="A717" s="66">
        <v>7713.0</v>
      </c>
      <c r="B717" s="66">
        <v>55.0</v>
      </c>
      <c r="C717" s="66">
        <v>6.0</v>
      </c>
      <c r="D717" s="66">
        <v>7.0</v>
      </c>
      <c r="E717" s="66">
        <v>0.0</v>
      </c>
      <c r="F717" s="66" t="s">
        <v>3499</v>
      </c>
      <c r="G717" s="66">
        <v>1.0</v>
      </c>
      <c r="H717" s="81">
        <v>3.0</v>
      </c>
      <c r="I717" s="50">
        <v>40321.0</v>
      </c>
    </row>
    <row r="718">
      <c r="A718" s="66">
        <v>7714.0</v>
      </c>
      <c r="B718" s="66">
        <v>14.0</v>
      </c>
      <c r="C718" s="66">
        <v>7.0</v>
      </c>
      <c r="D718" s="66">
        <v>5.0</v>
      </c>
      <c r="E718" s="66">
        <v>0.0</v>
      </c>
      <c r="F718" s="66" t="s">
        <v>3500</v>
      </c>
      <c r="G718" s="66">
        <v>6.0</v>
      </c>
      <c r="H718" s="81">
        <v>3.0</v>
      </c>
      <c r="I718" s="50">
        <v>50617.0</v>
      </c>
    </row>
    <row r="719">
      <c r="A719" s="66">
        <v>7715.0</v>
      </c>
      <c r="B719" s="66">
        <v>35.0</v>
      </c>
      <c r="C719" s="66">
        <v>2.0</v>
      </c>
      <c r="D719" s="66">
        <v>6.0</v>
      </c>
      <c r="E719" s="66">
        <v>1.0</v>
      </c>
      <c r="F719" s="66" t="s">
        <v>3501</v>
      </c>
      <c r="G719" s="66">
        <v>5.0</v>
      </c>
      <c r="H719" s="81">
        <v>4.0</v>
      </c>
      <c r="I719" s="50">
        <v>42315.0</v>
      </c>
    </row>
    <row r="720">
      <c r="A720" s="66">
        <v>7716.0</v>
      </c>
      <c r="B720" s="66">
        <v>55.0</v>
      </c>
      <c r="C720" s="66">
        <v>7.0</v>
      </c>
      <c r="D720" s="66">
        <v>6.0</v>
      </c>
      <c r="E720" s="66">
        <v>1.0</v>
      </c>
      <c r="F720" s="66" t="s">
        <v>3502</v>
      </c>
      <c r="G720" s="66">
        <v>2.0</v>
      </c>
      <c r="H720" s="81">
        <v>4.0</v>
      </c>
      <c r="I720" s="50">
        <v>83118.0</v>
      </c>
    </row>
    <row r="721">
      <c r="A721" s="66">
        <v>7717.0</v>
      </c>
      <c r="B721" s="66">
        <v>35.0</v>
      </c>
      <c r="C721" s="66">
        <v>3.0</v>
      </c>
      <c r="D721" s="66">
        <v>1.0</v>
      </c>
      <c r="E721" s="66">
        <v>1.0</v>
      </c>
      <c r="F721" s="66" t="s">
        <v>3503</v>
      </c>
      <c r="G721" s="66">
        <v>1.0</v>
      </c>
      <c r="H721" s="81">
        <v>4.0</v>
      </c>
      <c r="I721" s="50">
        <v>31322.0</v>
      </c>
    </row>
    <row r="722">
      <c r="A722" s="66">
        <v>7718.0</v>
      </c>
      <c r="B722" s="66">
        <v>96.0</v>
      </c>
      <c r="C722" s="66">
        <v>7.0</v>
      </c>
      <c r="D722" s="66">
        <v>7.0</v>
      </c>
      <c r="E722" s="66">
        <v>1.0</v>
      </c>
      <c r="F722" s="66" t="s">
        <v>3504</v>
      </c>
      <c r="G722" s="66">
        <v>2.0</v>
      </c>
      <c r="H722" s="81">
        <v>2.0</v>
      </c>
      <c r="I722" s="50">
        <v>71822.0</v>
      </c>
    </row>
    <row r="723">
      <c r="A723" s="66">
        <v>7719.0</v>
      </c>
      <c r="B723" s="66">
        <v>55.0</v>
      </c>
      <c r="C723" s="66">
        <v>8.0</v>
      </c>
      <c r="D723" s="66">
        <v>3.0</v>
      </c>
      <c r="E723" s="66">
        <v>1.0</v>
      </c>
      <c r="F723" s="66" t="s">
        <v>3505</v>
      </c>
      <c r="G723" s="66">
        <v>3.0</v>
      </c>
      <c r="H723" s="81">
        <v>4.0</v>
      </c>
      <c r="I723" s="50">
        <v>82916.0</v>
      </c>
    </row>
    <row r="724">
      <c r="A724" s="66">
        <v>7720.0</v>
      </c>
      <c r="B724" s="66">
        <v>35.0</v>
      </c>
      <c r="C724" s="66">
        <v>3.0</v>
      </c>
      <c r="D724" s="66">
        <v>6.0</v>
      </c>
      <c r="E724" s="66">
        <v>0.0</v>
      </c>
      <c r="F724" s="66" t="s">
        <v>3506</v>
      </c>
      <c r="G724" s="66">
        <v>8.0</v>
      </c>
      <c r="H724" s="81">
        <v>2.0</v>
      </c>
      <c r="I724" s="50">
        <v>51422.0</v>
      </c>
    </row>
    <row r="725">
      <c r="A725" s="66">
        <v>7721.0</v>
      </c>
      <c r="B725" s="66">
        <v>35.0</v>
      </c>
      <c r="C725" s="66">
        <v>3.0</v>
      </c>
      <c r="D725" s="66">
        <v>7.0</v>
      </c>
      <c r="E725" s="66">
        <v>1.0</v>
      </c>
      <c r="F725" s="66" t="s">
        <v>3507</v>
      </c>
      <c r="G725" s="66">
        <v>7.0</v>
      </c>
      <c r="H725" s="81">
        <v>5.0</v>
      </c>
      <c r="I725" s="50">
        <v>81715.0</v>
      </c>
    </row>
    <row r="726">
      <c r="A726" s="66">
        <v>7722.0</v>
      </c>
      <c r="B726" s="66">
        <v>76.0</v>
      </c>
      <c r="C726" s="66">
        <v>3.0</v>
      </c>
      <c r="D726" s="66">
        <v>4.0</v>
      </c>
      <c r="E726" s="66">
        <v>0.0</v>
      </c>
      <c r="F726" s="66" t="s">
        <v>3508</v>
      </c>
      <c r="G726" s="66">
        <v>3.0</v>
      </c>
      <c r="H726" s="81">
        <v>4.0</v>
      </c>
      <c r="I726" s="50">
        <v>42314.0</v>
      </c>
    </row>
    <row r="727">
      <c r="A727" s="66">
        <v>7723.0</v>
      </c>
      <c r="B727" s="66">
        <v>55.0</v>
      </c>
      <c r="C727" s="66">
        <v>8.0</v>
      </c>
      <c r="D727" s="66">
        <v>5.0</v>
      </c>
      <c r="E727" s="66">
        <v>1.0</v>
      </c>
      <c r="F727" s="66" t="s">
        <v>3509</v>
      </c>
      <c r="G727" s="66">
        <v>7.0</v>
      </c>
      <c r="H727" s="81">
        <v>1.0</v>
      </c>
      <c r="I727" s="50">
        <v>20914.0</v>
      </c>
    </row>
    <row r="728">
      <c r="A728" s="66">
        <v>7724.0</v>
      </c>
      <c r="B728" s="66">
        <v>76.0</v>
      </c>
      <c r="C728" s="66">
        <v>3.0</v>
      </c>
      <c r="D728" s="66">
        <v>6.0</v>
      </c>
      <c r="E728" s="66">
        <v>0.0</v>
      </c>
      <c r="F728" s="66" t="s">
        <v>3510</v>
      </c>
      <c r="G728" s="66">
        <v>5.0</v>
      </c>
      <c r="H728" s="81">
        <v>3.0</v>
      </c>
      <c r="I728" s="50">
        <v>13018.0</v>
      </c>
    </row>
    <row r="729">
      <c r="A729" s="66">
        <v>7725.0</v>
      </c>
      <c r="B729" s="66">
        <v>96.0</v>
      </c>
      <c r="C729" s="66">
        <v>8.0</v>
      </c>
      <c r="D729" s="66">
        <v>5.0</v>
      </c>
      <c r="E729" s="66">
        <v>1.0</v>
      </c>
      <c r="F729" s="66" t="s">
        <v>3511</v>
      </c>
      <c r="G729" s="66">
        <v>7.0</v>
      </c>
      <c r="H729" s="81">
        <v>5.0</v>
      </c>
      <c r="I729" s="50">
        <v>71014.0</v>
      </c>
    </row>
    <row r="730">
      <c r="A730" s="66">
        <v>7726.0</v>
      </c>
      <c r="B730" s="66">
        <v>14.0</v>
      </c>
      <c r="C730" s="66">
        <v>9.0</v>
      </c>
      <c r="D730" s="66">
        <v>4.0</v>
      </c>
      <c r="E730" s="66">
        <v>1.0</v>
      </c>
      <c r="F730" s="66" t="s">
        <v>3512</v>
      </c>
      <c r="G730" s="66">
        <v>8.0</v>
      </c>
      <c r="H730" s="81">
        <v>5.0</v>
      </c>
      <c r="I730" s="50">
        <v>20816.0</v>
      </c>
    </row>
    <row r="731">
      <c r="A731" s="66">
        <v>7727.0</v>
      </c>
      <c r="B731" s="66">
        <v>35.0</v>
      </c>
      <c r="C731" s="66">
        <v>4.0</v>
      </c>
      <c r="D731" s="66">
        <v>2.0</v>
      </c>
      <c r="E731" s="66">
        <v>1.0</v>
      </c>
      <c r="F731" s="66" t="s">
        <v>3513</v>
      </c>
      <c r="G731" s="66">
        <v>7.0</v>
      </c>
      <c r="H731" s="81">
        <v>3.0</v>
      </c>
      <c r="I731" s="50">
        <v>50920.0</v>
      </c>
    </row>
    <row r="732">
      <c r="A732" s="66">
        <v>7728.0</v>
      </c>
      <c r="B732" s="66">
        <v>76.0</v>
      </c>
      <c r="C732" s="66">
        <v>3.0</v>
      </c>
      <c r="D732" s="66">
        <v>2.0</v>
      </c>
      <c r="E732" s="66">
        <v>1.0</v>
      </c>
      <c r="F732" s="66" t="s">
        <v>3514</v>
      </c>
      <c r="G732" s="66">
        <v>9.0</v>
      </c>
      <c r="H732" s="81">
        <v>3.0</v>
      </c>
      <c r="I732" s="50">
        <v>31919.0</v>
      </c>
    </row>
    <row r="733">
      <c r="A733" s="66">
        <v>7729.0</v>
      </c>
      <c r="B733" s="66">
        <v>35.0</v>
      </c>
      <c r="C733" s="66">
        <v>4.0</v>
      </c>
      <c r="D733" s="66">
        <v>6.0</v>
      </c>
      <c r="E733" s="66">
        <v>0.0</v>
      </c>
      <c r="F733" s="66" t="s">
        <v>3515</v>
      </c>
      <c r="G733" s="66">
        <v>8.0</v>
      </c>
      <c r="H733" s="81">
        <v>3.0</v>
      </c>
      <c r="I733" s="50">
        <v>123022.0</v>
      </c>
    </row>
    <row r="734">
      <c r="A734" s="66">
        <v>7730.0</v>
      </c>
      <c r="B734" s="66">
        <v>96.0</v>
      </c>
      <c r="C734" s="66">
        <v>9.0</v>
      </c>
      <c r="D734" s="66">
        <v>1.0</v>
      </c>
      <c r="E734" s="66">
        <v>0.0</v>
      </c>
      <c r="F734" s="66" t="s">
        <v>3516</v>
      </c>
      <c r="G734" s="66">
        <v>4.0</v>
      </c>
      <c r="H734" s="81">
        <v>3.0</v>
      </c>
      <c r="I734" s="50">
        <v>30722.0</v>
      </c>
    </row>
    <row r="735">
      <c r="A735" s="66">
        <v>7731.0</v>
      </c>
      <c r="B735" s="66">
        <v>96.0</v>
      </c>
      <c r="C735" s="66">
        <v>9.0</v>
      </c>
      <c r="D735" s="66">
        <v>2.0</v>
      </c>
      <c r="E735" s="66">
        <v>0.0</v>
      </c>
      <c r="F735" s="66" t="s">
        <v>3517</v>
      </c>
      <c r="G735" s="66">
        <v>5.0</v>
      </c>
      <c r="H735" s="81">
        <v>5.0</v>
      </c>
      <c r="I735" s="50">
        <v>103013.0</v>
      </c>
    </row>
    <row r="736">
      <c r="A736" s="66">
        <v>7732.0</v>
      </c>
      <c r="B736" s="66">
        <v>35.0</v>
      </c>
      <c r="C736" s="66">
        <v>4.0</v>
      </c>
      <c r="D736" s="66">
        <v>9.0</v>
      </c>
      <c r="E736" s="66">
        <v>1.0</v>
      </c>
      <c r="F736" s="66" t="s">
        <v>3518</v>
      </c>
      <c r="G736" s="66">
        <v>8.0</v>
      </c>
      <c r="H736" s="81">
        <v>3.0</v>
      </c>
      <c r="I736" s="50">
        <v>40313.0</v>
      </c>
    </row>
    <row r="737">
      <c r="A737" s="66">
        <v>7733.0</v>
      </c>
      <c r="B737" s="66">
        <v>96.0</v>
      </c>
      <c r="C737" s="66">
        <v>9.0</v>
      </c>
      <c r="D737" s="66">
        <v>5.0</v>
      </c>
      <c r="E737" s="66">
        <v>1.0</v>
      </c>
      <c r="F737" s="66" t="s">
        <v>3519</v>
      </c>
      <c r="G737" s="66">
        <v>9.0</v>
      </c>
      <c r="H737" s="81">
        <v>3.0</v>
      </c>
      <c r="I737" s="50">
        <v>31122.0</v>
      </c>
    </row>
    <row r="738">
      <c r="A738" s="66">
        <v>7734.0</v>
      </c>
      <c r="B738" s="66">
        <v>96.0</v>
      </c>
      <c r="C738" s="66">
        <v>9.0</v>
      </c>
      <c r="D738" s="66">
        <v>9.0</v>
      </c>
      <c r="E738" s="66">
        <v>1.0</v>
      </c>
      <c r="F738" s="66" t="s">
        <v>3520</v>
      </c>
      <c r="G738" s="66">
        <v>4.0</v>
      </c>
      <c r="H738" s="81">
        <v>1.0</v>
      </c>
      <c r="I738" s="50">
        <v>92919.0</v>
      </c>
    </row>
    <row r="739">
      <c r="A739" s="66">
        <v>7735.0</v>
      </c>
      <c r="B739" s="66">
        <v>76.0</v>
      </c>
      <c r="C739" s="66">
        <v>5.0</v>
      </c>
      <c r="D739" s="66">
        <v>3.0</v>
      </c>
      <c r="E739" s="66">
        <v>0.0</v>
      </c>
      <c r="F739" s="66" t="s">
        <v>3521</v>
      </c>
      <c r="G739" s="66">
        <v>1.0</v>
      </c>
      <c r="H739" s="81">
        <v>3.0</v>
      </c>
      <c r="I739" s="50">
        <v>122514.0</v>
      </c>
    </row>
    <row r="740">
      <c r="A740" s="66">
        <v>7736.0</v>
      </c>
      <c r="B740" s="66">
        <v>76.0</v>
      </c>
      <c r="C740" s="66">
        <v>5.0</v>
      </c>
      <c r="D740" s="66">
        <v>4.0</v>
      </c>
      <c r="E740" s="66">
        <v>0.0</v>
      </c>
      <c r="F740" s="66" t="s">
        <v>3522</v>
      </c>
      <c r="G740" s="66">
        <v>1.0</v>
      </c>
      <c r="H740" s="81">
        <v>4.0</v>
      </c>
      <c r="I740" s="50">
        <v>33014.0</v>
      </c>
    </row>
    <row r="741">
      <c r="A741" s="66">
        <v>7737.0</v>
      </c>
      <c r="B741" s="66">
        <v>35.0</v>
      </c>
      <c r="C741" s="66">
        <v>5.0</v>
      </c>
      <c r="D741" s="66">
        <v>9.0</v>
      </c>
      <c r="E741" s="66">
        <v>1.0</v>
      </c>
      <c r="F741" s="66" t="s">
        <v>3523</v>
      </c>
      <c r="G741" s="66">
        <v>3.0</v>
      </c>
      <c r="H741" s="81">
        <v>5.0</v>
      </c>
      <c r="I741" s="50">
        <v>72215.0</v>
      </c>
    </row>
    <row r="742">
      <c r="A742" s="66">
        <v>7738.0</v>
      </c>
      <c r="B742" s="66">
        <v>15.0</v>
      </c>
      <c r="C742" s="66">
        <v>1.0</v>
      </c>
      <c r="D742" s="66">
        <v>2.0</v>
      </c>
      <c r="E742" s="66">
        <v>0.0</v>
      </c>
      <c r="F742" s="66" t="s">
        <v>3524</v>
      </c>
      <c r="G742" s="66">
        <v>5.0</v>
      </c>
      <c r="H742" s="81">
        <v>2.0</v>
      </c>
      <c r="I742" s="50">
        <v>101622.0</v>
      </c>
    </row>
    <row r="743">
      <c r="A743" s="66">
        <v>7739.0</v>
      </c>
      <c r="B743" s="66">
        <v>15.0</v>
      </c>
      <c r="C743" s="66">
        <v>1.0</v>
      </c>
      <c r="D743" s="66">
        <v>1.0</v>
      </c>
      <c r="E743" s="66">
        <v>0.0</v>
      </c>
      <c r="F743" s="66" t="s">
        <v>3525</v>
      </c>
      <c r="G743" s="66">
        <v>7.0</v>
      </c>
      <c r="H743" s="81">
        <v>3.0</v>
      </c>
      <c r="I743" s="50">
        <v>21314.0</v>
      </c>
    </row>
    <row r="744">
      <c r="A744" s="66">
        <v>7740.0</v>
      </c>
      <c r="B744" s="66">
        <v>35.0</v>
      </c>
      <c r="C744" s="66">
        <v>6.0</v>
      </c>
      <c r="D744" s="66">
        <v>4.0</v>
      </c>
      <c r="E744" s="66">
        <v>0.0</v>
      </c>
      <c r="F744" s="66" t="s">
        <v>3526</v>
      </c>
      <c r="G744" s="66">
        <v>1.0</v>
      </c>
      <c r="H744" s="81">
        <v>3.0</v>
      </c>
      <c r="I744" s="50">
        <v>60322.0</v>
      </c>
    </row>
    <row r="745">
      <c r="A745" s="66">
        <v>7741.0</v>
      </c>
      <c r="B745" s="66">
        <v>76.0</v>
      </c>
      <c r="C745" s="66">
        <v>6.0</v>
      </c>
      <c r="D745" s="66">
        <v>3.0</v>
      </c>
      <c r="E745" s="66">
        <v>1.0</v>
      </c>
      <c r="F745" s="66" t="s">
        <v>3527</v>
      </c>
      <c r="G745" s="66">
        <v>8.0</v>
      </c>
      <c r="H745" s="81">
        <v>5.0</v>
      </c>
      <c r="I745" s="50">
        <v>90219.0</v>
      </c>
    </row>
    <row r="746">
      <c r="A746" s="66">
        <v>7742.0</v>
      </c>
      <c r="B746" s="66">
        <v>35.0</v>
      </c>
      <c r="C746" s="66">
        <v>6.0</v>
      </c>
      <c r="D746" s="66">
        <v>7.0</v>
      </c>
      <c r="E746" s="66">
        <v>0.0</v>
      </c>
      <c r="F746" s="66" t="s">
        <v>3528</v>
      </c>
      <c r="G746" s="66">
        <v>7.0</v>
      </c>
      <c r="H746" s="81">
        <v>4.0</v>
      </c>
      <c r="I746" s="50">
        <v>90517.0</v>
      </c>
    </row>
    <row r="747">
      <c r="A747" s="66">
        <v>7743.0</v>
      </c>
      <c r="B747" s="66">
        <v>97.0</v>
      </c>
      <c r="C747" s="66">
        <v>1.0</v>
      </c>
      <c r="D747" s="66">
        <v>3.0</v>
      </c>
      <c r="E747" s="66">
        <v>1.0</v>
      </c>
      <c r="F747" s="66" t="s">
        <v>3529</v>
      </c>
      <c r="G747" s="66">
        <v>7.0</v>
      </c>
      <c r="H747" s="81">
        <v>1.0</v>
      </c>
      <c r="I747" s="50">
        <v>110817.0</v>
      </c>
    </row>
    <row r="748">
      <c r="A748" s="66">
        <v>7744.0</v>
      </c>
      <c r="B748" s="66">
        <v>97.0</v>
      </c>
      <c r="C748" s="66">
        <v>1.0</v>
      </c>
      <c r="D748" s="66">
        <v>4.0</v>
      </c>
      <c r="E748" s="66">
        <v>0.0</v>
      </c>
      <c r="F748" s="66" t="s">
        <v>3530</v>
      </c>
      <c r="G748" s="66">
        <v>9.0</v>
      </c>
      <c r="H748" s="81">
        <v>5.0</v>
      </c>
      <c r="I748" s="50">
        <v>11717.0</v>
      </c>
    </row>
    <row r="749">
      <c r="A749" s="66">
        <v>7745.0</v>
      </c>
      <c r="B749" s="66">
        <v>35.0</v>
      </c>
      <c r="C749" s="66">
        <v>7.0</v>
      </c>
      <c r="D749" s="66">
        <v>1.0</v>
      </c>
      <c r="E749" s="66">
        <v>1.0</v>
      </c>
      <c r="F749" s="66" t="s">
        <v>3531</v>
      </c>
      <c r="G749" s="66">
        <v>8.0</v>
      </c>
      <c r="H749" s="81">
        <v>5.0</v>
      </c>
      <c r="I749" s="50">
        <v>70217.0</v>
      </c>
    </row>
    <row r="750">
      <c r="A750" s="66">
        <v>7746.0</v>
      </c>
      <c r="B750" s="66">
        <v>76.0</v>
      </c>
      <c r="C750" s="66">
        <v>6.0</v>
      </c>
      <c r="D750" s="66">
        <v>7.0</v>
      </c>
      <c r="E750" s="66">
        <v>0.0</v>
      </c>
      <c r="F750" s="66" t="s">
        <v>3532</v>
      </c>
      <c r="G750" s="66">
        <v>4.0</v>
      </c>
      <c r="H750" s="81">
        <v>4.0</v>
      </c>
      <c r="I750" s="50">
        <v>81813.0</v>
      </c>
    </row>
    <row r="751">
      <c r="A751" s="66">
        <v>7747.0</v>
      </c>
      <c r="B751" s="66">
        <v>15.0</v>
      </c>
      <c r="C751" s="66">
        <v>2.0</v>
      </c>
      <c r="D751" s="66">
        <v>5.0</v>
      </c>
      <c r="E751" s="66">
        <v>1.0</v>
      </c>
      <c r="F751" s="66" t="s">
        <v>3533</v>
      </c>
      <c r="G751" s="66">
        <v>5.0</v>
      </c>
      <c r="H751" s="81">
        <v>5.0</v>
      </c>
      <c r="I751" s="50">
        <v>101220.0</v>
      </c>
    </row>
    <row r="752">
      <c r="A752" s="66">
        <v>7748.0</v>
      </c>
      <c r="B752" s="66">
        <v>15.0</v>
      </c>
      <c r="C752" s="66">
        <v>2.0</v>
      </c>
      <c r="D752" s="66">
        <v>6.0</v>
      </c>
      <c r="E752" s="66">
        <v>1.0</v>
      </c>
      <c r="F752" s="66" t="s">
        <v>3534</v>
      </c>
      <c r="G752" s="66">
        <v>5.0</v>
      </c>
      <c r="H752" s="81">
        <v>4.0</v>
      </c>
      <c r="I752" s="50">
        <v>20317.0</v>
      </c>
    </row>
    <row r="753">
      <c r="A753" s="66">
        <v>7749.0</v>
      </c>
      <c r="B753" s="66">
        <v>56.0</v>
      </c>
      <c r="C753" s="66">
        <v>2.0</v>
      </c>
      <c r="D753" s="66">
        <v>4.0</v>
      </c>
      <c r="E753" s="66">
        <v>0.0</v>
      </c>
      <c r="F753" s="66" t="s">
        <v>3535</v>
      </c>
      <c r="G753" s="66">
        <v>2.0</v>
      </c>
      <c r="H753" s="81">
        <v>2.0</v>
      </c>
      <c r="I753" s="50">
        <v>80122.0</v>
      </c>
    </row>
    <row r="754">
      <c r="A754" s="66">
        <v>7750.0</v>
      </c>
      <c r="B754" s="66">
        <v>76.0</v>
      </c>
      <c r="C754" s="66">
        <v>7.0</v>
      </c>
      <c r="D754" s="66">
        <v>2.0</v>
      </c>
      <c r="E754" s="66">
        <v>1.0</v>
      </c>
      <c r="F754" s="66" t="s">
        <v>3536</v>
      </c>
      <c r="G754" s="66">
        <v>2.0</v>
      </c>
      <c r="H754" s="81">
        <v>3.0</v>
      </c>
      <c r="I754" s="50">
        <v>42514.0</v>
      </c>
    </row>
    <row r="755">
      <c r="A755" s="66">
        <v>7751.0</v>
      </c>
      <c r="B755" s="66">
        <v>56.0</v>
      </c>
      <c r="C755" s="66">
        <v>2.0</v>
      </c>
      <c r="D755" s="66">
        <v>6.0</v>
      </c>
      <c r="E755" s="66">
        <v>1.0</v>
      </c>
      <c r="F755" s="66" t="s">
        <v>3537</v>
      </c>
      <c r="G755" s="66">
        <v>8.0</v>
      </c>
      <c r="H755" s="81">
        <v>3.0</v>
      </c>
      <c r="I755" s="50">
        <v>52319.0</v>
      </c>
    </row>
    <row r="756">
      <c r="A756" s="66">
        <v>7752.0</v>
      </c>
      <c r="B756" s="66">
        <v>97.0</v>
      </c>
      <c r="C756" s="66">
        <v>2.0</v>
      </c>
      <c r="D756" s="66">
        <v>2.0</v>
      </c>
      <c r="E756" s="66">
        <v>1.0</v>
      </c>
      <c r="F756" s="66" t="s">
        <v>3538</v>
      </c>
      <c r="G756" s="66">
        <v>4.0</v>
      </c>
      <c r="H756" s="81">
        <v>4.0</v>
      </c>
      <c r="I756" s="50">
        <v>111116.0</v>
      </c>
    </row>
    <row r="757">
      <c r="A757" s="66">
        <v>7753.0</v>
      </c>
      <c r="B757" s="66">
        <v>35.0</v>
      </c>
      <c r="C757" s="66">
        <v>8.0</v>
      </c>
      <c r="D757" s="66">
        <v>1.0</v>
      </c>
      <c r="E757" s="66">
        <v>1.0</v>
      </c>
      <c r="F757" s="66" t="s">
        <v>3539</v>
      </c>
      <c r="G757" s="66">
        <v>7.0</v>
      </c>
      <c r="H757" s="81">
        <v>1.0</v>
      </c>
      <c r="I757" s="50">
        <v>42819.0</v>
      </c>
    </row>
    <row r="758">
      <c r="A758" s="66">
        <v>7754.0</v>
      </c>
      <c r="B758" s="66">
        <v>97.0</v>
      </c>
      <c r="C758" s="66">
        <v>2.0</v>
      </c>
      <c r="D758" s="66">
        <v>6.0</v>
      </c>
      <c r="E758" s="66">
        <v>0.0</v>
      </c>
      <c r="F758" s="66" t="s">
        <v>3540</v>
      </c>
      <c r="G758" s="66">
        <v>2.0</v>
      </c>
      <c r="H758" s="81">
        <v>4.0</v>
      </c>
      <c r="I758" s="50">
        <v>122816.0</v>
      </c>
    </row>
    <row r="759">
      <c r="A759" s="66">
        <v>7755.0</v>
      </c>
      <c r="B759" s="66">
        <v>35.0</v>
      </c>
      <c r="C759" s="66">
        <v>8.0</v>
      </c>
      <c r="D759" s="66">
        <v>3.0</v>
      </c>
      <c r="E759" s="66">
        <v>0.0</v>
      </c>
      <c r="F759" s="66" t="s">
        <v>3541</v>
      </c>
      <c r="G759" s="66">
        <v>9.0</v>
      </c>
      <c r="H759" s="81">
        <v>5.0</v>
      </c>
      <c r="I759" s="50">
        <v>30219.0</v>
      </c>
    </row>
    <row r="760">
      <c r="A760" s="66">
        <v>7756.0</v>
      </c>
      <c r="B760" s="66">
        <v>15.0</v>
      </c>
      <c r="C760" s="66">
        <v>3.0</v>
      </c>
      <c r="D760" s="66">
        <v>6.0</v>
      </c>
      <c r="E760" s="66">
        <v>1.0</v>
      </c>
      <c r="F760" s="66" t="s">
        <v>3542</v>
      </c>
      <c r="G760" s="66">
        <v>6.0</v>
      </c>
      <c r="H760" s="81">
        <v>3.0</v>
      </c>
      <c r="I760" s="50">
        <v>51919.0</v>
      </c>
    </row>
    <row r="761">
      <c r="A761" s="66">
        <v>7757.0</v>
      </c>
      <c r="B761" s="66">
        <v>76.0</v>
      </c>
      <c r="C761" s="66">
        <v>8.0</v>
      </c>
      <c r="D761" s="66">
        <v>1.0</v>
      </c>
      <c r="E761" s="66">
        <v>1.0</v>
      </c>
      <c r="F761" s="66" t="s">
        <v>3543</v>
      </c>
      <c r="G761" s="66">
        <v>5.0</v>
      </c>
      <c r="H761" s="81">
        <v>1.0</v>
      </c>
      <c r="I761" s="50">
        <v>52019.0</v>
      </c>
    </row>
    <row r="762">
      <c r="A762" s="66">
        <v>7758.0</v>
      </c>
      <c r="B762" s="66">
        <v>15.0</v>
      </c>
      <c r="C762" s="66">
        <v>3.0</v>
      </c>
      <c r="D762" s="66">
        <v>8.0</v>
      </c>
      <c r="E762" s="66">
        <v>0.0</v>
      </c>
      <c r="F762" s="66" t="s">
        <v>3544</v>
      </c>
      <c r="G762" s="66">
        <v>7.0</v>
      </c>
      <c r="H762" s="81">
        <v>5.0</v>
      </c>
      <c r="I762" s="50">
        <v>113021.0</v>
      </c>
    </row>
    <row r="763">
      <c r="A763" s="66">
        <v>7759.0</v>
      </c>
      <c r="B763" s="66">
        <v>35.0</v>
      </c>
      <c r="C763" s="66">
        <v>8.0</v>
      </c>
      <c r="D763" s="66">
        <v>5.0</v>
      </c>
      <c r="E763" s="66">
        <v>1.0</v>
      </c>
      <c r="F763" s="66" t="s">
        <v>3545</v>
      </c>
      <c r="G763" s="66">
        <v>8.0</v>
      </c>
      <c r="H763" s="81">
        <v>1.0</v>
      </c>
      <c r="I763" s="50">
        <v>42619.0</v>
      </c>
    </row>
    <row r="764">
      <c r="A764" s="66">
        <v>7760.0</v>
      </c>
      <c r="B764" s="66">
        <v>76.0</v>
      </c>
      <c r="C764" s="66">
        <v>8.0</v>
      </c>
      <c r="D764" s="66">
        <v>4.0</v>
      </c>
      <c r="E764" s="66">
        <v>0.0</v>
      </c>
      <c r="F764" s="66" t="s">
        <v>3546</v>
      </c>
      <c r="G764" s="66">
        <v>2.0</v>
      </c>
      <c r="H764" s="81">
        <v>2.0</v>
      </c>
      <c r="I764" s="50">
        <v>71814.0</v>
      </c>
    </row>
    <row r="765">
      <c r="A765" s="66">
        <v>7761.0</v>
      </c>
      <c r="B765" s="66">
        <v>56.0</v>
      </c>
      <c r="C765" s="66">
        <v>3.0</v>
      </c>
      <c r="D765" s="66">
        <v>7.0</v>
      </c>
      <c r="E765" s="66">
        <v>1.0</v>
      </c>
      <c r="F765" s="66" t="s">
        <v>3547</v>
      </c>
      <c r="G765" s="66">
        <v>8.0</v>
      </c>
      <c r="H765" s="81">
        <v>1.0</v>
      </c>
      <c r="I765" s="50">
        <v>40618.0</v>
      </c>
    </row>
    <row r="766">
      <c r="A766" s="66">
        <v>7762.0</v>
      </c>
      <c r="B766" s="66">
        <v>35.0</v>
      </c>
      <c r="C766" s="66">
        <v>8.0</v>
      </c>
      <c r="D766" s="66">
        <v>7.0</v>
      </c>
      <c r="E766" s="66">
        <v>0.0</v>
      </c>
      <c r="F766" s="66" t="s">
        <v>3548</v>
      </c>
      <c r="G766" s="66">
        <v>2.0</v>
      </c>
      <c r="H766" s="81">
        <v>4.0</v>
      </c>
      <c r="I766" s="50">
        <v>12713.0</v>
      </c>
    </row>
    <row r="767">
      <c r="A767" s="66">
        <v>7763.0</v>
      </c>
      <c r="B767" s="66">
        <v>76.0</v>
      </c>
      <c r="C767" s="66">
        <v>7.0</v>
      </c>
      <c r="D767" s="66">
        <v>8.0</v>
      </c>
      <c r="E767" s="66">
        <v>0.0</v>
      </c>
      <c r="F767" s="66" t="s">
        <v>3549</v>
      </c>
      <c r="G767" s="66">
        <v>5.0</v>
      </c>
      <c r="H767" s="81">
        <v>1.0</v>
      </c>
      <c r="I767" s="50">
        <v>100515.0</v>
      </c>
    </row>
    <row r="768">
      <c r="A768" s="66">
        <v>7764.0</v>
      </c>
      <c r="B768" s="66">
        <v>56.0</v>
      </c>
      <c r="C768" s="66">
        <v>3.0</v>
      </c>
      <c r="D768" s="66">
        <v>2.0</v>
      </c>
      <c r="E768" s="66">
        <v>0.0</v>
      </c>
      <c r="F768" s="66" t="s">
        <v>3550</v>
      </c>
      <c r="G768" s="66">
        <v>5.0</v>
      </c>
      <c r="H768" s="81">
        <v>2.0</v>
      </c>
      <c r="I768" s="50">
        <v>31415.0</v>
      </c>
    </row>
    <row r="769">
      <c r="A769" s="66">
        <v>7765.0</v>
      </c>
      <c r="B769" s="66">
        <v>35.0</v>
      </c>
      <c r="C769" s="66">
        <v>9.0</v>
      </c>
      <c r="D769" s="66">
        <v>3.0</v>
      </c>
      <c r="E769" s="66">
        <v>1.0</v>
      </c>
      <c r="F769" s="66" t="s">
        <v>3551</v>
      </c>
      <c r="G769" s="66">
        <v>2.0</v>
      </c>
      <c r="H769" s="81">
        <v>1.0</v>
      </c>
      <c r="I769" s="50">
        <v>111120.0</v>
      </c>
    </row>
    <row r="770">
      <c r="A770" s="66">
        <v>7766.0</v>
      </c>
      <c r="B770" s="66">
        <v>15.0</v>
      </c>
      <c r="C770" s="66">
        <v>4.0</v>
      </c>
      <c r="D770" s="66">
        <v>6.0</v>
      </c>
      <c r="E770" s="66">
        <v>0.0</v>
      </c>
      <c r="F770" s="66" t="s">
        <v>3552</v>
      </c>
      <c r="G770" s="66">
        <v>7.0</v>
      </c>
      <c r="H770" s="81">
        <v>5.0</v>
      </c>
      <c r="I770" s="50">
        <v>22822.0</v>
      </c>
    </row>
    <row r="771">
      <c r="A771" s="66">
        <v>7767.0</v>
      </c>
      <c r="B771" s="66">
        <v>97.0</v>
      </c>
      <c r="C771" s="66">
        <v>3.0</v>
      </c>
      <c r="D771" s="66">
        <v>9.0</v>
      </c>
      <c r="E771" s="66">
        <v>1.0</v>
      </c>
      <c r="F771" s="66" t="s">
        <v>3553</v>
      </c>
      <c r="G771" s="66">
        <v>5.0</v>
      </c>
      <c r="H771" s="81">
        <v>4.0</v>
      </c>
      <c r="I771" s="50">
        <v>30318.0</v>
      </c>
    </row>
    <row r="772">
      <c r="A772" s="66">
        <v>7768.0</v>
      </c>
      <c r="B772" s="66">
        <v>56.0</v>
      </c>
      <c r="C772" s="66">
        <v>4.0</v>
      </c>
      <c r="D772" s="66">
        <v>1.0</v>
      </c>
      <c r="E772" s="66">
        <v>1.0</v>
      </c>
      <c r="F772" s="66" t="s">
        <v>3554</v>
      </c>
      <c r="G772" s="66">
        <v>4.0</v>
      </c>
      <c r="H772" s="81">
        <v>4.0</v>
      </c>
      <c r="I772" s="50">
        <v>103019.0</v>
      </c>
    </row>
    <row r="773">
      <c r="A773" s="66">
        <v>7769.0</v>
      </c>
      <c r="B773" s="66">
        <v>76.0</v>
      </c>
      <c r="C773" s="66">
        <v>9.0</v>
      </c>
      <c r="D773" s="66">
        <v>3.0</v>
      </c>
      <c r="E773" s="66">
        <v>1.0</v>
      </c>
      <c r="F773" s="66" t="s">
        <v>3555</v>
      </c>
      <c r="G773" s="66">
        <v>4.0</v>
      </c>
      <c r="H773" s="81">
        <v>5.0</v>
      </c>
      <c r="I773" s="50">
        <v>51318.0</v>
      </c>
    </row>
    <row r="774">
      <c r="A774" s="66">
        <v>7770.0</v>
      </c>
      <c r="B774" s="66">
        <v>56.0</v>
      </c>
      <c r="C774" s="66">
        <v>4.0</v>
      </c>
      <c r="D774" s="66">
        <v>4.0</v>
      </c>
      <c r="E774" s="66">
        <v>0.0</v>
      </c>
      <c r="F774" s="66" t="s">
        <v>3556</v>
      </c>
      <c r="G774" s="66">
        <v>4.0</v>
      </c>
      <c r="H774" s="81">
        <v>3.0</v>
      </c>
      <c r="I774" s="50">
        <v>101520.0</v>
      </c>
    </row>
    <row r="775">
      <c r="A775" s="66">
        <v>7771.0</v>
      </c>
      <c r="B775" s="66">
        <v>35.0</v>
      </c>
      <c r="C775" s="66">
        <v>9.0</v>
      </c>
      <c r="D775" s="66">
        <v>9.0</v>
      </c>
      <c r="E775" s="66">
        <v>0.0</v>
      </c>
      <c r="F775" s="66" t="s">
        <v>3557</v>
      </c>
      <c r="G775" s="66">
        <v>4.0</v>
      </c>
      <c r="H775" s="81">
        <v>3.0</v>
      </c>
      <c r="I775" s="50">
        <v>21022.0</v>
      </c>
    </row>
    <row r="776">
      <c r="A776" s="66">
        <v>7772.0</v>
      </c>
      <c r="B776" s="66">
        <v>56.0</v>
      </c>
      <c r="C776" s="66">
        <v>4.0</v>
      </c>
      <c r="D776" s="66">
        <v>8.0</v>
      </c>
      <c r="E776" s="66">
        <v>1.0</v>
      </c>
      <c r="F776" s="66" t="s">
        <v>3558</v>
      </c>
      <c r="G776" s="66">
        <v>1.0</v>
      </c>
      <c r="H776" s="81">
        <v>5.0</v>
      </c>
      <c r="I776" s="50">
        <v>103122.0</v>
      </c>
    </row>
    <row r="777">
      <c r="A777" s="66">
        <v>7773.0</v>
      </c>
      <c r="B777" s="66">
        <v>76.0</v>
      </c>
      <c r="C777" s="66">
        <v>9.0</v>
      </c>
      <c r="D777" s="66">
        <v>7.0</v>
      </c>
      <c r="E777" s="66">
        <v>0.0</v>
      </c>
      <c r="F777" s="66" t="s">
        <v>3559</v>
      </c>
      <c r="G777" s="66">
        <v>9.0</v>
      </c>
      <c r="H777" s="81">
        <v>4.0</v>
      </c>
      <c r="I777" s="50">
        <v>100520.0</v>
      </c>
    </row>
    <row r="778">
      <c r="A778" s="66">
        <v>7774.0</v>
      </c>
      <c r="B778" s="66">
        <v>56.0</v>
      </c>
      <c r="C778" s="66">
        <v>4.0</v>
      </c>
      <c r="D778" s="66">
        <v>9.0</v>
      </c>
      <c r="E778" s="66">
        <v>1.0</v>
      </c>
      <c r="F778" s="66" t="s">
        <v>3560</v>
      </c>
      <c r="G778" s="66">
        <v>7.0</v>
      </c>
      <c r="H778" s="81">
        <v>3.0</v>
      </c>
      <c r="I778" s="50">
        <v>91913.0</v>
      </c>
    </row>
    <row r="779">
      <c r="A779" s="66">
        <v>7775.0</v>
      </c>
      <c r="B779" s="66">
        <v>76.0</v>
      </c>
      <c r="C779" s="66">
        <v>9.0</v>
      </c>
      <c r="D779" s="66">
        <v>9.0</v>
      </c>
      <c r="E779" s="66">
        <v>1.0</v>
      </c>
      <c r="F779" s="66" t="s">
        <v>3561</v>
      </c>
      <c r="G779" s="66">
        <v>4.0</v>
      </c>
      <c r="H779" s="81">
        <v>2.0</v>
      </c>
      <c r="I779" s="50">
        <v>81920.0</v>
      </c>
    </row>
    <row r="780">
      <c r="A780" s="66">
        <v>7776.0</v>
      </c>
      <c r="B780" s="66">
        <v>56.0</v>
      </c>
      <c r="C780" s="66">
        <v>5.0</v>
      </c>
      <c r="D780" s="66">
        <v>3.0</v>
      </c>
      <c r="E780" s="66">
        <v>1.0</v>
      </c>
      <c r="F780" s="66" t="s">
        <v>3562</v>
      </c>
      <c r="G780" s="66">
        <v>9.0</v>
      </c>
      <c r="H780" s="81">
        <v>2.0</v>
      </c>
      <c r="I780" s="50">
        <v>110814.0</v>
      </c>
    </row>
    <row r="781">
      <c r="A781" s="66">
        <v>7777.0</v>
      </c>
      <c r="B781" s="66">
        <v>97.0</v>
      </c>
      <c r="C781" s="66">
        <v>5.0</v>
      </c>
      <c r="D781" s="66">
        <v>1.0</v>
      </c>
      <c r="E781" s="66">
        <v>1.0</v>
      </c>
      <c r="F781" s="66" t="s">
        <v>3563</v>
      </c>
      <c r="G781" s="66">
        <v>4.0</v>
      </c>
      <c r="H781" s="81">
        <v>5.0</v>
      </c>
      <c r="I781" s="50">
        <v>92317.0</v>
      </c>
    </row>
    <row r="782">
      <c r="A782" s="66">
        <v>7778.0</v>
      </c>
      <c r="B782" s="66">
        <v>97.0</v>
      </c>
      <c r="C782" s="66">
        <v>5.0</v>
      </c>
      <c r="D782" s="66">
        <v>3.0</v>
      </c>
      <c r="E782" s="66">
        <v>0.0</v>
      </c>
      <c r="F782" s="66" t="s">
        <v>3564</v>
      </c>
      <c r="G782" s="66">
        <v>2.0</v>
      </c>
      <c r="H782" s="81">
        <v>5.0</v>
      </c>
      <c r="I782" s="50">
        <v>62018.0</v>
      </c>
    </row>
    <row r="783">
      <c r="A783" s="66">
        <v>7779.0</v>
      </c>
      <c r="B783" s="66">
        <v>56.0</v>
      </c>
      <c r="C783" s="66">
        <v>5.0</v>
      </c>
      <c r="D783" s="66">
        <v>8.0</v>
      </c>
      <c r="E783" s="66">
        <v>0.0</v>
      </c>
      <c r="F783" s="66" t="s">
        <v>3565</v>
      </c>
      <c r="G783" s="66">
        <v>8.0</v>
      </c>
      <c r="H783" s="81">
        <v>4.0</v>
      </c>
      <c r="I783" s="50">
        <v>101120.0</v>
      </c>
    </row>
    <row r="784">
      <c r="A784" s="66">
        <v>7780.0</v>
      </c>
      <c r="B784" s="66">
        <v>36.0</v>
      </c>
      <c r="C784" s="66">
        <v>1.0</v>
      </c>
      <c r="D784" s="66">
        <v>1.0</v>
      </c>
      <c r="E784" s="66">
        <v>0.0</v>
      </c>
      <c r="F784" s="66" t="s">
        <v>3566</v>
      </c>
      <c r="G784" s="66">
        <v>3.0</v>
      </c>
      <c r="H784" s="81">
        <v>2.0</v>
      </c>
      <c r="I784" s="50">
        <v>112021.0</v>
      </c>
    </row>
    <row r="785">
      <c r="A785" s="66">
        <v>7781.0</v>
      </c>
      <c r="B785" s="66">
        <v>15.0</v>
      </c>
      <c r="C785" s="66">
        <v>6.0</v>
      </c>
      <c r="D785" s="66">
        <v>5.0</v>
      </c>
      <c r="E785" s="66">
        <v>0.0</v>
      </c>
      <c r="F785" s="66" t="s">
        <v>3567</v>
      </c>
      <c r="G785" s="66">
        <v>6.0</v>
      </c>
      <c r="H785" s="81">
        <v>2.0</v>
      </c>
      <c r="I785" s="50">
        <v>22413.0</v>
      </c>
    </row>
    <row r="786">
      <c r="A786" s="66">
        <v>7782.0</v>
      </c>
      <c r="B786" s="66">
        <v>36.0</v>
      </c>
      <c r="C786" s="66">
        <v>1.0</v>
      </c>
      <c r="D786" s="66">
        <v>5.0</v>
      </c>
      <c r="E786" s="66">
        <v>1.0</v>
      </c>
      <c r="F786" s="66" t="s">
        <v>3568</v>
      </c>
      <c r="G786" s="66">
        <v>9.0</v>
      </c>
      <c r="H786" s="81">
        <v>1.0</v>
      </c>
      <c r="I786" s="50">
        <v>30319.0</v>
      </c>
    </row>
    <row r="787">
      <c r="A787" s="66">
        <v>7783.0</v>
      </c>
      <c r="B787" s="66">
        <v>36.0</v>
      </c>
      <c r="C787" s="66">
        <v>1.0</v>
      </c>
      <c r="D787" s="66">
        <v>7.0</v>
      </c>
      <c r="E787" s="66">
        <v>0.0</v>
      </c>
      <c r="F787" s="66" t="s">
        <v>3569</v>
      </c>
      <c r="G787" s="66">
        <v>8.0</v>
      </c>
      <c r="H787" s="81">
        <v>4.0</v>
      </c>
      <c r="I787" s="50">
        <v>50416.0</v>
      </c>
    </row>
    <row r="788">
      <c r="A788" s="66">
        <v>7784.0</v>
      </c>
      <c r="B788" s="66">
        <v>77.0</v>
      </c>
      <c r="C788" s="66">
        <v>1.0</v>
      </c>
      <c r="D788" s="66">
        <v>3.0</v>
      </c>
      <c r="E788" s="66">
        <v>1.0</v>
      </c>
      <c r="F788" s="66" t="s">
        <v>3570</v>
      </c>
      <c r="G788" s="66">
        <v>7.0</v>
      </c>
      <c r="H788" s="81">
        <v>5.0</v>
      </c>
      <c r="I788" s="50">
        <v>21521.0</v>
      </c>
    </row>
    <row r="789">
      <c r="A789" s="66">
        <v>7785.0</v>
      </c>
      <c r="B789" s="66">
        <v>97.0</v>
      </c>
      <c r="C789" s="66">
        <v>6.0</v>
      </c>
      <c r="D789" s="66">
        <v>1.0</v>
      </c>
      <c r="E789" s="66">
        <v>1.0</v>
      </c>
      <c r="F789" s="66" t="s">
        <v>3571</v>
      </c>
      <c r="G789" s="66">
        <v>5.0</v>
      </c>
      <c r="H789" s="81">
        <v>4.0</v>
      </c>
      <c r="I789" s="50">
        <v>120119.0</v>
      </c>
    </row>
    <row r="790">
      <c r="A790" s="66">
        <v>7786.0</v>
      </c>
      <c r="B790" s="66">
        <v>15.0</v>
      </c>
      <c r="C790" s="66">
        <v>7.0</v>
      </c>
      <c r="D790" s="66">
        <v>2.0</v>
      </c>
      <c r="E790" s="66">
        <v>1.0</v>
      </c>
      <c r="F790" s="66" t="s">
        <v>3572</v>
      </c>
      <c r="G790" s="66">
        <v>2.0</v>
      </c>
      <c r="H790" s="81">
        <v>3.0</v>
      </c>
      <c r="I790" s="50">
        <v>41315.0</v>
      </c>
    </row>
    <row r="791">
      <c r="A791" s="66">
        <v>7787.0</v>
      </c>
      <c r="B791" s="66">
        <v>77.0</v>
      </c>
      <c r="C791" s="66">
        <v>1.0</v>
      </c>
      <c r="D791" s="66">
        <v>8.0</v>
      </c>
      <c r="E791" s="66">
        <v>0.0</v>
      </c>
      <c r="F791" s="66" t="s">
        <v>3573</v>
      </c>
      <c r="G791" s="66">
        <v>9.0</v>
      </c>
      <c r="H791" s="81">
        <v>2.0</v>
      </c>
      <c r="I791" s="50">
        <v>92722.0</v>
      </c>
    </row>
    <row r="792">
      <c r="A792" s="66">
        <v>7788.0</v>
      </c>
      <c r="B792" s="66">
        <v>77.0</v>
      </c>
      <c r="C792" s="66">
        <v>1.0</v>
      </c>
      <c r="D792" s="66">
        <v>9.0</v>
      </c>
      <c r="E792" s="66">
        <v>0.0</v>
      </c>
      <c r="F792" s="66" t="s">
        <v>3574</v>
      </c>
      <c r="G792" s="66">
        <v>8.0</v>
      </c>
      <c r="H792" s="81">
        <v>1.0</v>
      </c>
      <c r="I792" s="50">
        <v>91918.0</v>
      </c>
    </row>
    <row r="793">
      <c r="A793" s="66">
        <v>7789.0</v>
      </c>
      <c r="B793" s="66">
        <v>56.0</v>
      </c>
      <c r="C793" s="66">
        <v>7.0</v>
      </c>
      <c r="D793" s="66">
        <v>2.0</v>
      </c>
      <c r="E793" s="66">
        <v>0.0</v>
      </c>
      <c r="F793" s="66" t="s">
        <v>3575</v>
      </c>
      <c r="G793" s="66">
        <v>6.0</v>
      </c>
      <c r="H793" s="81">
        <v>2.0</v>
      </c>
      <c r="I793" s="50">
        <v>41917.0</v>
      </c>
    </row>
    <row r="794">
      <c r="A794" s="66">
        <v>7790.0</v>
      </c>
      <c r="B794" s="66">
        <v>97.0</v>
      </c>
      <c r="C794" s="66">
        <v>6.0</v>
      </c>
      <c r="D794" s="66">
        <v>8.0</v>
      </c>
      <c r="E794" s="66">
        <v>0.0</v>
      </c>
      <c r="F794" s="66" t="s">
        <v>3576</v>
      </c>
      <c r="G794" s="66">
        <v>3.0</v>
      </c>
      <c r="H794" s="81">
        <v>3.0</v>
      </c>
      <c r="I794" s="50">
        <v>22214.0</v>
      </c>
    </row>
    <row r="795">
      <c r="A795" s="66">
        <v>7791.0</v>
      </c>
      <c r="B795" s="66">
        <v>56.0</v>
      </c>
      <c r="C795" s="66">
        <v>7.0</v>
      </c>
      <c r="D795" s="66">
        <v>4.0</v>
      </c>
      <c r="E795" s="66">
        <v>1.0</v>
      </c>
      <c r="F795" s="66" t="s">
        <v>3577</v>
      </c>
      <c r="G795" s="66">
        <v>2.0</v>
      </c>
      <c r="H795" s="81">
        <v>3.0</v>
      </c>
      <c r="I795" s="50">
        <v>100620.0</v>
      </c>
    </row>
    <row r="796">
      <c r="A796" s="66">
        <v>7792.0</v>
      </c>
      <c r="B796" s="66">
        <v>97.0</v>
      </c>
      <c r="C796" s="66">
        <v>7.0</v>
      </c>
      <c r="D796" s="66">
        <v>1.0</v>
      </c>
      <c r="E796" s="66">
        <v>1.0</v>
      </c>
      <c r="F796" s="66" t="s">
        <v>3578</v>
      </c>
      <c r="G796" s="66">
        <v>6.0</v>
      </c>
      <c r="H796" s="81">
        <v>5.0</v>
      </c>
      <c r="I796" s="50">
        <v>50919.0</v>
      </c>
    </row>
    <row r="797">
      <c r="A797" s="66">
        <v>7793.0</v>
      </c>
      <c r="B797" s="66">
        <v>77.0</v>
      </c>
      <c r="C797" s="66">
        <v>2.0</v>
      </c>
      <c r="D797" s="66">
        <v>3.0</v>
      </c>
      <c r="E797" s="66">
        <v>1.0</v>
      </c>
      <c r="F797" s="66" t="s">
        <v>3579</v>
      </c>
      <c r="G797" s="66">
        <v>2.0</v>
      </c>
      <c r="H797" s="81">
        <v>1.0</v>
      </c>
      <c r="I797" s="50">
        <v>70718.0</v>
      </c>
    </row>
    <row r="798">
      <c r="A798" s="66">
        <v>7794.0</v>
      </c>
      <c r="B798" s="66">
        <v>15.0</v>
      </c>
      <c r="C798" s="66">
        <v>8.0</v>
      </c>
      <c r="D798" s="66">
        <v>1.0</v>
      </c>
      <c r="E798" s="66">
        <v>0.0</v>
      </c>
      <c r="F798" s="66" t="s">
        <v>3580</v>
      </c>
      <c r="G798" s="66">
        <v>7.0</v>
      </c>
      <c r="H798" s="81">
        <v>4.0</v>
      </c>
      <c r="I798" s="50">
        <v>112320.0</v>
      </c>
    </row>
    <row r="799">
      <c r="A799" s="66">
        <v>7795.0</v>
      </c>
      <c r="B799" s="66">
        <v>56.0</v>
      </c>
      <c r="C799" s="66">
        <v>7.0</v>
      </c>
      <c r="D799" s="66">
        <v>8.0</v>
      </c>
      <c r="E799" s="66">
        <v>0.0</v>
      </c>
      <c r="F799" s="66" t="s">
        <v>3581</v>
      </c>
      <c r="G799" s="66">
        <v>1.0</v>
      </c>
      <c r="H799" s="81">
        <v>4.0</v>
      </c>
      <c r="I799" s="50">
        <v>41115.0</v>
      </c>
    </row>
    <row r="800">
      <c r="A800" s="66">
        <v>7796.0</v>
      </c>
      <c r="B800" s="66">
        <v>97.0</v>
      </c>
      <c r="C800" s="66">
        <v>7.0</v>
      </c>
      <c r="D800" s="66">
        <v>4.0</v>
      </c>
      <c r="E800" s="66">
        <v>1.0</v>
      </c>
      <c r="F800" s="66" t="s">
        <v>3582</v>
      </c>
      <c r="G800" s="66">
        <v>2.0</v>
      </c>
      <c r="H800" s="81">
        <v>5.0</v>
      </c>
      <c r="I800" s="50">
        <v>11819.0</v>
      </c>
    </row>
    <row r="801">
      <c r="A801" s="66">
        <v>7797.0</v>
      </c>
      <c r="B801" s="66">
        <v>77.0</v>
      </c>
      <c r="C801" s="66">
        <v>2.0</v>
      </c>
      <c r="D801" s="66">
        <v>5.0</v>
      </c>
      <c r="E801" s="66">
        <v>1.0</v>
      </c>
      <c r="F801" s="66" t="s">
        <v>3583</v>
      </c>
      <c r="G801" s="66">
        <v>7.0</v>
      </c>
      <c r="H801" s="81">
        <v>1.0</v>
      </c>
      <c r="I801" s="50">
        <v>120118.0</v>
      </c>
    </row>
    <row r="802">
      <c r="A802" s="66">
        <v>7798.0</v>
      </c>
      <c r="B802" s="66">
        <v>97.0</v>
      </c>
      <c r="C802" s="66">
        <v>6.0</v>
      </c>
      <c r="D802" s="66">
        <v>9.0</v>
      </c>
      <c r="E802" s="66">
        <v>0.0</v>
      </c>
      <c r="F802" s="66" t="s">
        <v>3584</v>
      </c>
      <c r="G802" s="66">
        <v>1.0</v>
      </c>
      <c r="H802" s="81">
        <v>3.0</v>
      </c>
      <c r="I802" s="50">
        <v>12620.0</v>
      </c>
    </row>
    <row r="803">
      <c r="A803" s="66">
        <v>7799.0</v>
      </c>
      <c r="B803" s="66">
        <v>97.0</v>
      </c>
      <c r="C803" s="66">
        <v>7.0</v>
      </c>
      <c r="D803" s="66">
        <v>8.0</v>
      </c>
      <c r="E803" s="66">
        <v>0.0</v>
      </c>
      <c r="F803" s="66" t="s">
        <v>3585</v>
      </c>
      <c r="G803" s="66">
        <v>2.0</v>
      </c>
      <c r="H803" s="81">
        <v>5.0</v>
      </c>
      <c r="I803" s="50">
        <v>101422.0</v>
      </c>
    </row>
    <row r="804">
      <c r="A804" s="66">
        <v>7800.0</v>
      </c>
      <c r="B804" s="66">
        <v>56.0</v>
      </c>
      <c r="C804" s="66">
        <v>8.0</v>
      </c>
      <c r="D804" s="66">
        <v>2.0</v>
      </c>
      <c r="E804" s="66">
        <v>0.0</v>
      </c>
      <c r="F804" s="66" t="s">
        <v>3586</v>
      </c>
      <c r="G804" s="66">
        <v>4.0</v>
      </c>
      <c r="H804" s="81">
        <v>3.0</v>
      </c>
      <c r="I804" s="50">
        <v>63018.0</v>
      </c>
    </row>
    <row r="805">
      <c r="A805" s="66">
        <v>7801.0</v>
      </c>
      <c r="B805" s="66">
        <v>36.0</v>
      </c>
      <c r="C805" s="66">
        <v>3.0</v>
      </c>
      <c r="D805" s="66">
        <v>7.0</v>
      </c>
      <c r="E805" s="66">
        <v>0.0</v>
      </c>
      <c r="F805" s="66" t="s">
        <v>3587</v>
      </c>
      <c r="G805" s="66">
        <v>8.0</v>
      </c>
      <c r="H805" s="81">
        <v>4.0</v>
      </c>
      <c r="I805" s="50">
        <v>52114.0</v>
      </c>
    </row>
    <row r="806">
      <c r="A806" s="66">
        <v>7802.0</v>
      </c>
      <c r="B806" s="66">
        <v>15.0</v>
      </c>
      <c r="C806" s="66">
        <v>8.0</v>
      </c>
      <c r="D806" s="66">
        <v>9.0</v>
      </c>
      <c r="E806" s="66">
        <v>0.0</v>
      </c>
      <c r="F806" s="66" t="s">
        <v>3588</v>
      </c>
      <c r="G806" s="66">
        <v>5.0</v>
      </c>
      <c r="H806" s="81">
        <v>3.0</v>
      </c>
      <c r="I806" s="50">
        <v>122622.0</v>
      </c>
    </row>
    <row r="807">
      <c r="A807" s="66">
        <v>7803.0</v>
      </c>
      <c r="B807" s="66">
        <v>56.0</v>
      </c>
      <c r="C807" s="66">
        <v>8.0</v>
      </c>
      <c r="D807" s="66">
        <v>7.0</v>
      </c>
      <c r="E807" s="66">
        <v>1.0</v>
      </c>
      <c r="F807" s="66" t="s">
        <v>3589</v>
      </c>
      <c r="G807" s="66">
        <v>8.0</v>
      </c>
      <c r="H807" s="81">
        <v>4.0</v>
      </c>
      <c r="I807" s="50">
        <v>52813.0</v>
      </c>
    </row>
    <row r="808">
      <c r="A808" s="66">
        <v>7804.0</v>
      </c>
      <c r="B808" s="66">
        <v>77.0</v>
      </c>
      <c r="C808" s="66">
        <v>3.0</v>
      </c>
      <c r="D808" s="66">
        <v>6.0</v>
      </c>
      <c r="E808" s="66">
        <v>1.0</v>
      </c>
      <c r="F808" s="66" t="s">
        <v>3590</v>
      </c>
      <c r="G808" s="66">
        <v>6.0</v>
      </c>
      <c r="H808" s="81">
        <v>4.0</v>
      </c>
      <c r="I808" s="50">
        <v>20513.0</v>
      </c>
    </row>
    <row r="809">
      <c r="A809" s="66">
        <v>7805.0</v>
      </c>
      <c r="B809" s="66">
        <v>56.0</v>
      </c>
      <c r="C809" s="66">
        <v>8.0</v>
      </c>
      <c r="D809" s="66">
        <v>8.0</v>
      </c>
      <c r="E809" s="66">
        <v>1.0</v>
      </c>
      <c r="F809" s="66" t="s">
        <v>3591</v>
      </c>
      <c r="G809" s="66">
        <v>8.0</v>
      </c>
      <c r="H809" s="81">
        <v>1.0</v>
      </c>
      <c r="I809" s="50">
        <v>80413.0</v>
      </c>
    </row>
    <row r="810">
      <c r="A810" s="66">
        <v>7806.0</v>
      </c>
      <c r="B810" s="66">
        <v>36.0</v>
      </c>
      <c r="C810" s="66">
        <v>3.0</v>
      </c>
      <c r="D810" s="66">
        <v>8.0</v>
      </c>
      <c r="E810" s="66">
        <v>0.0</v>
      </c>
      <c r="F810" s="66" t="s">
        <v>3592</v>
      </c>
      <c r="G810" s="66">
        <v>1.0</v>
      </c>
      <c r="H810" s="81">
        <v>5.0</v>
      </c>
      <c r="I810" s="50">
        <v>82918.0</v>
      </c>
    </row>
    <row r="811">
      <c r="A811" s="66">
        <v>7807.0</v>
      </c>
      <c r="B811" s="66">
        <v>97.0</v>
      </c>
      <c r="C811" s="66">
        <v>8.0</v>
      </c>
      <c r="D811" s="66">
        <v>6.0</v>
      </c>
      <c r="E811" s="66">
        <v>0.0</v>
      </c>
      <c r="F811" s="66" t="s">
        <v>3593</v>
      </c>
      <c r="G811" s="66">
        <v>8.0</v>
      </c>
      <c r="H811" s="81">
        <v>4.0</v>
      </c>
      <c r="I811" s="50">
        <v>90621.0</v>
      </c>
    </row>
    <row r="812">
      <c r="A812" s="66">
        <v>7808.0</v>
      </c>
      <c r="B812" s="66">
        <v>97.0</v>
      </c>
      <c r="C812" s="66">
        <v>8.0</v>
      </c>
      <c r="D812" s="66">
        <v>8.0</v>
      </c>
      <c r="E812" s="66">
        <v>0.0</v>
      </c>
      <c r="F812" s="66" t="s">
        <v>3594</v>
      </c>
      <c r="G812" s="66">
        <v>1.0</v>
      </c>
      <c r="H812" s="81">
        <v>4.0</v>
      </c>
      <c r="I812" s="50">
        <v>102522.0</v>
      </c>
    </row>
    <row r="813">
      <c r="A813" s="66">
        <v>7809.0</v>
      </c>
      <c r="B813" s="66">
        <v>36.0</v>
      </c>
      <c r="C813" s="66">
        <v>4.0</v>
      </c>
      <c r="D813" s="66">
        <v>5.0</v>
      </c>
      <c r="E813" s="66">
        <v>0.0</v>
      </c>
      <c r="F813" s="66" t="s">
        <v>3595</v>
      </c>
      <c r="G813" s="66">
        <v>3.0</v>
      </c>
      <c r="H813" s="81">
        <v>5.0</v>
      </c>
      <c r="I813" s="50">
        <v>32917.0</v>
      </c>
    </row>
    <row r="814">
      <c r="A814" s="66">
        <v>7810.0</v>
      </c>
      <c r="B814" s="66">
        <v>15.0</v>
      </c>
      <c r="C814" s="66">
        <v>9.0</v>
      </c>
      <c r="D814" s="66">
        <v>6.0</v>
      </c>
      <c r="E814" s="66">
        <v>1.0</v>
      </c>
      <c r="F814" s="66" t="s">
        <v>3596</v>
      </c>
      <c r="G814" s="66">
        <v>9.0</v>
      </c>
      <c r="H814" s="81">
        <v>2.0</v>
      </c>
      <c r="I814" s="50">
        <v>102819.0</v>
      </c>
    </row>
    <row r="815">
      <c r="A815" s="66">
        <v>7811.0</v>
      </c>
      <c r="B815" s="66">
        <v>97.0</v>
      </c>
      <c r="C815" s="66">
        <v>9.0</v>
      </c>
      <c r="D815" s="66">
        <v>1.0</v>
      </c>
      <c r="E815" s="66">
        <v>0.0</v>
      </c>
      <c r="F815" s="66" t="s">
        <v>3597</v>
      </c>
      <c r="G815" s="66">
        <v>6.0</v>
      </c>
      <c r="H815" s="81">
        <v>3.0</v>
      </c>
      <c r="I815" s="50">
        <v>72913.0</v>
      </c>
    </row>
    <row r="816">
      <c r="A816" s="66">
        <v>7812.0</v>
      </c>
      <c r="B816" s="66">
        <v>56.0</v>
      </c>
      <c r="C816" s="66">
        <v>9.0</v>
      </c>
      <c r="D816" s="66">
        <v>6.0</v>
      </c>
      <c r="E816" s="66">
        <v>1.0</v>
      </c>
      <c r="F816" s="66" t="s">
        <v>3598</v>
      </c>
      <c r="G816" s="66">
        <v>8.0</v>
      </c>
      <c r="H816" s="81">
        <v>4.0</v>
      </c>
      <c r="I816" s="50">
        <v>21015.0</v>
      </c>
    </row>
    <row r="817">
      <c r="A817" s="66">
        <v>7813.0</v>
      </c>
      <c r="B817" s="66">
        <v>97.0</v>
      </c>
      <c r="C817" s="66">
        <v>9.0</v>
      </c>
      <c r="D817" s="66">
        <v>3.0</v>
      </c>
      <c r="E817" s="66">
        <v>0.0</v>
      </c>
      <c r="F817" s="66" t="s">
        <v>3599</v>
      </c>
      <c r="G817" s="66">
        <v>5.0</v>
      </c>
      <c r="H817" s="81">
        <v>4.0</v>
      </c>
      <c r="I817" s="50">
        <v>33022.0</v>
      </c>
    </row>
    <row r="818">
      <c r="A818" s="66">
        <v>7814.0</v>
      </c>
      <c r="B818" s="66">
        <v>97.0</v>
      </c>
      <c r="C818" s="66">
        <v>9.0</v>
      </c>
      <c r="D818" s="66">
        <v>2.0</v>
      </c>
      <c r="E818" s="66">
        <v>0.0</v>
      </c>
      <c r="F818" s="66" t="s">
        <v>3600</v>
      </c>
      <c r="G818" s="66">
        <v>2.0</v>
      </c>
      <c r="H818" s="81">
        <v>2.0</v>
      </c>
      <c r="I818" s="50">
        <v>80820.0</v>
      </c>
    </row>
    <row r="819">
      <c r="A819" s="66">
        <v>7815.0</v>
      </c>
      <c r="B819" s="66">
        <v>97.0</v>
      </c>
      <c r="C819" s="66">
        <v>9.0</v>
      </c>
      <c r="D819" s="66">
        <v>5.0</v>
      </c>
      <c r="E819" s="66">
        <v>0.0</v>
      </c>
      <c r="F819" s="66" t="s">
        <v>3601</v>
      </c>
      <c r="G819" s="66">
        <v>9.0</v>
      </c>
      <c r="H819" s="81">
        <v>3.0</v>
      </c>
      <c r="I819" s="50">
        <v>121819.0</v>
      </c>
    </row>
    <row r="820">
      <c r="A820" s="66">
        <v>7816.0</v>
      </c>
      <c r="B820" s="66">
        <v>77.0</v>
      </c>
      <c r="C820" s="66">
        <v>4.0</v>
      </c>
      <c r="D820" s="66">
        <v>7.0</v>
      </c>
      <c r="E820" s="66">
        <v>1.0</v>
      </c>
      <c r="F820" s="66" t="s">
        <v>3602</v>
      </c>
      <c r="G820" s="66">
        <v>1.0</v>
      </c>
      <c r="H820" s="81">
        <v>2.0</v>
      </c>
      <c r="I820" s="50">
        <v>71619.0</v>
      </c>
    </row>
    <row r="821">
      <c r="A821" s="66">
        <v>7817.0</v>
      </c>
      <c r="B821" s="66">
        <v>36.0</v>
      </c>
      <c r="C821" s="66">
        <v>5.0</v>
      </c>
      <c r="D821" s="66">
        <v>3.0</v>
      </c>
      <c r="E821" s="66">
        <v>1.0</v>
      </c>
      <c r="F821" s="66" t="s">
        <v>3603</v>
      </c>
      <c r="G821" s="66">
        <v>4.0</v>
      </c>
      <c r="H821" s="81">
        <v>1.0</v>
      </c>
      <c r="I821" s="50">
        <v>120720.0</v>
      </c>
    </row>
    <row r="822">
      <c r="A822" s="66">
        <v>7818.0</v>
      </c>
      <c r="B822" s="66">
        <v>97.0</v>
      </c>
      <c r="C822" s="66">
        <v>9.0</v>
      </c>
      <c r="D822" s="66">
        <v>8.0</v>
      </c>
      <c r="E822" s="66">
        <v>0.0</v>
      </c>
      <c r="F822" s="66" t="s">
        <v>3604</v>
      </c>
      <c r="G822" s="66">
        <v>4.0</v>
      </c>
      <c r="H822" s="81">
        <v>1.0</v>
      </c>
      <c r="I822" s="50">
        <v>112813.0</v>
      </c>
    </row>
    <row r="823">
      <c r="A823" s="66">
        <v>7819.0</v>
      </c>
      <c r="B823" s="66">
        <v>36.0</v>
      </c>
      <c r="C823" s="66">
        <v>5.0</v>
      </c>
      <c r="D823" s="66">
        <v>8.0</v>
      </c>
      <c r="E823" s="66">
        <v>0.0</v>
      </c>
      <c r="F823" s="66" t="s">
        <v>3605</v>
      </c>
      <c r="G823" s="66">
        <v>2.0</v>
      </c>
      <c r="H823" s="81">
        <v>1.0</v>
      </c>
      <c r="I823" s="50">
        <v>50317.0</v>
      </c>
    </row>
    <row r="824">
      <c r="A824" s="66">
        <v>7820.0</v>
      </c>
      <c r="B824" s="66">
        <v>77.0</v>
      </c>
      <c r="C824" s="66">
        <v>5.0</v>
      </c>
      <c r="D824" s="66">
        <v>9.0</v>
      </c>
      <c r="E824" s="66">
        <v>1.0</v>
      </c>
      <c r="F824" s="66" t="s">
        <v>3606</v>
      </c>
      <c r="G824" s="66">
        <v>7.0</v>
      </c>
      <c r="H824" s="81">
        <v>4.0</v>
      </c>
      <c r="I824" s="50">
        <v>91019.0</v>
      </c>
    </row>
    <row r="825">
      <c r="A825" s="66">
        <v>7821.0</v>
      </c>
      <c r="B825" s="66">
        <v>57.0</v>
      </c>
      <c r="C825" s="66">
        <v>1.0</v>
      </c>
      <c r="D825" s="66">
        <v>5.0</v>
      </c>
      <c r="E825" s="66">
        <v>1.0</v>
      </c>
      <c r="F825" s="66" t="s">
        <v>3607</v>
      </c>
      <c r="G825" s="66">
        <v>8.0</v>
      </c>
      <c r="H825" s="81">
        <v>2.0</v>
      </c>
      <c r="I825" s="50">
        <v>30814.0</v>
      </c>
    </row>
    <row r="826">
      <c r="A826" s="66">
        <v>7822.0</v>
      </c>
      <c r="B826" s="66">
        <v>36.0</v>
      </c>
      <c r="C826" s="66">
        <v>6.0</v>
      </c>
      <c r="D826" s="66">
        <v>8.0</v>
      </c>
      <c r="E826" s="66">
        <v>0.0</v>
      </c>
      <c r="F826" s="66" t="s">
        <v>3608</v>
      </c>
      <c r="G826" s="66">
        <v>3.0</v>
      </c>
      <c r="H826" s="81">
        <v>3.0</v>
      </c>
      <c r="I826" s="50">
        <v>62113.0</v>
      </c>
    </row>
    <row r="827">
      <c r="A827" s="66">
        <v>7823.0</v>
      </c>
      <c r="B827" s="66">
        <v>57.0</v>
      </c>
      <c r="C827" s="66">
        <v>1.0</v>
      </c>
      <c r="D827" s="66">
        <v>6.0</v>
      </c>
      <c r="E827" s="66">
        <v>0.0</v>
      </c>
      <c r="F827" s="66" t="s">
        <v>3609</v>
      </c>
      <c r="G827" s="66">
        <v>9.0</v>
      </c>
      <c r="H827" s="81">
        <v>4.0</v>
      </c>
      <c r="I827" s="50">
        <v>61113.0</v>
      </c>
    </row>
    <row r="828">
      <c r="A828" s="66">
        <v>7824.0</v>
      </c>
      <c r="B828" s="66">
        <v>98.0</v>
      </c>
      <c r="C828" s="66">
        <v>1.0</v>
      </c>
      <c r="D828" s="66">
        <v>4.0</v>
      </c>
      <c r="E828" s="66">
        <v>1.0</v>
      </c>
      <c r="F828" s="66" t="s">
        <v>3610</v>
      </c>
      <c r="G828" s="66">
        <v>1.0</v>
      </c>
      <c r="H828" s="81">
        <v>5.0</v>
      </c>
      <c r="I828" s="50">
        <v>82721.0</v>
      </c>
    </row>
    <row r="829">
      <c r="A829" s="66">
        <v>7825.0</v>
      </c>
      <c r="B829" s="66">
        <v>16.0</v>
      </c>
      <c r="C829" s="66">
        <v>2.0</v>
      </c>
      <c r="D829" s="66">
        <v>5.0</v>
      </c>
      <c r="E829" s="66">
        <v>1.0</v>
      </c>
      <c r="F829" s="66" t="s">
        <v>3611</v>
      </c>
      <c r="G829" s="66">
        <v>6.0</v>
      </c>
      <c r="H829" s="81">
        <v>1.0</v>
      </c>
      <c r="I829" s="50">
        <v>70318.0</v>
      </c>
    </row>
    <row r="830">
      <c r="A830" s="66">
        <v>7826.0</v>
      </c>
      <c r="B830" s="66">
        <v>57.0</v>
      </c>
      <c r="C830" s="66">
        <v>2.0</v>
      </c>
      <c r="D830" s="66">
        <v>2.0</v>
      </c>
      <c r="E830" s="66">
        <v>1.0</v>
      </c>
      <c r="F830" s="66" t="s">
        <v>3612</v>
      </c>
      <c r="G830" s="66">
        <v>8.0</v>
      </c>
      <c r="H830" s="81">
        <v>1.0</v>
      </c>
      <c r="I830" s="50">
        <v>110119.0</v>
      </c>
    </row>
    <row r="831">
      <c r="A831" s="66">
        <v>7827.0</v>
      </c>
      <c r="B831" s="66">
        <v>57.0</v>
      </c>
      <c r="C831" s="66">
        <v>2.0</v>
      </c>
      <c r="D831" s="66">
        <v>3.0</v>
      </c>
      <c r="E831" s="66">
        <v>0.0</v>
      </c>
      <c r="F831" s="66" t="s">
        <v>3613</v>
      </c>
      <c r="G831" s="66">
        <v>4.0</v>
      </c>
      <c r="H831" s="81">
        <v>4.0</v>
      </c>
      <c r="I831" s="50">
        <v>121617.0</v>
      </c>
    </row>
    <row r="832">
      <c r="A832" s="66">
        <v>7828.0</v>
      </c>
      <c r="B832" s="66">
        <v>16.0</v>
      </c>
      <c r="C832" s="66">
        <v>2.0</v>
      </c>
      <c r="D832" s="66">
        <v>7.0</v>
      </c>
      <c r="E832" s="66">
        <v>0.0</v>
      </c>
      <c r="F832" s="66" t="s">
        <v>3614</v>
      </c>
      <c r="G832" s="66">
        <v>5.0</v>
      </c>
      <c r="H832" s="81">
        <v>3.0</v>
      </c>
      <c r="I832" s="50">
        <v>12414.0</v>
      </c>
    </row>
    <row r="833">
      <c r="A833" s="66">
        <v>7829.0</v>
      </c>
      <c r="B833" s="66">
        <v>57.0</v>
      </c>
      <c r="C833" s="66">
        <v>2.0</v>
      </c>
      <c r="D833" s="66">
        <v>5.0</v>
      </c>
      <c r="E833" s="66">
        <v>1.0</v>
      </c>
      <c r="F833" s="66" t="s">
        <v>3615</v>
      </c>
      <c r="G833" s="66">
        <v>1.0</v>
      </c>
      <c r="H833" s="81">
        <v>4.0</v>
      </c>
      <c r="I833" s="50">
        <v>12515.0</v>
      </c>
    </row>
    <row r="834">
      <c r="A834" s="66">
        <v>7830.0</v>
      </c>
      <c r="B834" s="66">
        <v>16.0</v>
      </c>
      <c r="C834" s="66">
        <v>3.0</v>
      </c>
      <c r="D834" s="66">
        <v>1.0</v>
      </c>
      <c r="E834" s="66">
        <v>1.0</v>
      </c>
      <c r="F834" s="66" t="s">
        <v>3616</v>
      </c>
      <c r="G834" s="66">
        <v>2.0</v>
      </c>
      <c r="H834" s="81">
        <v>4.0</v>
      </c>
      <c r="I834" s="50">
        <v>80813.0</v>
      </c>
    </row>
    <row r="835">
      <c r="A835" s="66">
        <v>7831.0</v>
      </c>
      <c r="B835" s="66">
        <v>36.0</v>
      </c>
      <c r="C835" s="66">
        <v>8.0</v>
      </c>
      <c r="D835" s="66">
        <v>5.0</v>
      </c>
      <c r="E835" s="66">
        <v>1.0</v>
      </c>
      <c r="F835" s="66" t="s">
        <v>3617</v>
      </c>
      <c r="G835" s="66">
        <v>7.0</v>
      </c>
      <c r="H835" s="81">
        <v>4.0</v>
      </c>
      <c r="I835" s="50">
        <v>92813.0</v>
      </c>
    </row>
    <row r="836">
      <c r="A836" s="66">
        <v>7832.0</v>
      </c>
      <c r="B836" s="66">
        <v>16.0</v>
      </c>
      <c r="C836" s="66">
        <v>3.0</v>
      </c>
      <c r="D836" s="66">
        <v>8.0</v>
      </c>
      <c r="E836" s="66">
        <v>1.0</v>
      </c>
      <c r="F836" s="66" t="s">
        <v>3618</v>
      </c>
      <c r="G836" s="66">
        <v>1.0</v>
      </c>
      <c r="H836" s="81">
        <v>2.0</v>
      </c>
      <c r="I836" s="50">
        <v>42320.0</v>
      </c>
    </row>
    <row r="837">
      <c r="A837" s="66">
        <v>7833.0</v>
      </c>
      <c r="B837" s="66">
        <v>77.0</v>
      </c>
      <c r="C837" s="66">
        <v>8.0</v>
      </c>
      <c r="D837" s="66">
        <v>7.0</v>
      </c>
      <c r="E837" s="66">
        <v>1.0</v>
      </c>
      <c r="F837" s="66" t="s">
        <v>3619</v>
      </c>
      <c r="G837" s="66">
        <v>5.0</v>
      </c>
      <c r="H837" s="81">
        <v>4.0</v>
      </c>
      <c r="I837" s="50">
        <v>13114.0</v>
      </c>
    </row>
    <row r="838">
      <c r="A838" s="66">
        <v>7834.0</v>
      </c>
      <c r="B838" s="66">
        <v>36.0</v>
      </c>
      <c r="C838" s="66">
        <v>9.0</v>
      </c>
      <c r="D838" s="66">
        <v>2.0</v>
      </c>
      <c r="E838" s="66">
        <v>0.0</v>
      </c>
      <c r="F838" s="66" t="s">
        <v>3620</v>
      </c>
      <c r="G838" s="66">
        <v>9.0</v>
      </c>
      <c r="H838" s="81">
        <v>2.0</v>
      </c>
      <c r="I838" s="50">
        <v>82319.0</v>
      </c>
    </row>
    <row r="839">
      <c r="A839" s="66">
        <v>7835.0</v>
      </c>
      <c r="B839" s="66">
        <v>98.0</v>
      </c>
      <c r="C839" s="66">
        <v>3.0</v>
      </c>
      <c r="D839" s="66">
        <v>7.0</v>
      </c>
      <c r="E839" s="66">
        <v>1.0</v>
      </c>
      <c r="F839" s="66" t="s">
        <v>3621</v>
      </c>
      <c r="G839" s="66">
        <v>8.0</v>
      </c>
      <c r="H839" s="81">
        <v>2.0</v>
      </c>
      <c r="I839" s="50">
        <v>51220.0</v>
      </c>
    </row>
    <row r="840">
      <c r="A840" s="66">
        <v>7836.0</v>
      </c>
      <c r="B840" s="66">
        <v>16.0</v>
      </c>
      <c r="C840" s="66">
        <v>4.0</v>
      </c>
      <c r="D840" s="66">
        <v>8.0</v>
      </c>
      <c r="E840" s="66">
        <v>1.0</v>
      </c>
      <c r="F840" s="66" t="s">
        <v>3622</v>
      </c>
      <c r="G840" s="66">
        <v>2.0</v>
      </c>
      <c r="H840" s="81">
        <v>4.0</v>
      </c>
      <c r="I840" s="50">
        <v>20917.0</v>
      </c>
    </row>
    <row r="841">
      <c r="A841" s="66">
        <v>7837.0</v>
      </c>
      <c r="B841" s="66">
        <v>57.0</v>
      </c>
      <c r="C841" s="66">
        <v>4.0</v>
      </c>
      <c r="D841" s="66">
        <v>5.0</v>
      </c>
      <c r="E841" s="66">
        <v>0.0</v>
      </c>
      <c r="F841" s="66" t="s">
        <v>3623</v>
      </c>
      <c r="G841" s="66">
        <v>1.0</v>
      </c>
      <c r="H841" s="81">
        <v>5.0</v>
      </c>
      <c r="I841" s="50">
        <v>52220.0</v>
      </c>
    </row>
    <row r="842">
      <c r="A842" s="66">
        <v>7838.0</v>
      </c>
      <c r="B842" s="66">
        <v>77.0</v>
      </c>
      <c r="C842" s="66">
        <v>9.0</v>
      </c>
      <c r="D842" s="66">
        <v>4.0</v>
      </c>
      <c r="E842" s="66">
        <v>0.0</v>
      </c>
      <c r="F842" s="66" t="s">
        <v>3624</v>
      </c>
      <c r="G842" s="66">
        <v>7.0</v>
      </c>
      <c r="H842" s="81">
        <v>1.0</v>
      </c>
      <c r="I842" s="50">
        <v>100822.0</v>
      </c>
    </row>
    <row r="843">
      <c r="A843" s="66">
        <v>7839.0</v>
      </c>
      <c r="B843" s="66">
        <v>36.0</v>
      </c>
      <c r="C843" s="66">
        <v>9.0</v>
      </c>
      <c r="D843" s="66">
        <v>6.0</v>
      </c>
      <c r="E843" s="66">
        <v>0.0</v>
      </c>
      <c r="F843" s="66" t="s">
        <v>3625</v>
      </c>
      <c r="G843" s="66">
        <v>2.0</v>
      </c>
      <c r="H843" s="81">
        <v>4.0</v>
      </c>
      <c r="I843" s="50">
        <v>42121.0</v>
      </c>
    </row>
    <row r="844">
      <c r="A844" s="66">
        <v>7840.0</v>
      </c>
      <c r="B844" s="66">
        <v>98.0</v>
      </c>
      <c r="C844" s="66">
        <v>5.0</v>
      </c>
      <c r="D844" s="66">
        <v>5.0</v>
      </c>
      <c r="E844" s="66">
        <v>1.0</v>
      </c>
      <c r="F844" s="66" t="s">
        <v>3626</v>
      </c>
      <c r="G844" s="66">
        <v>9.0</v>
      </c>
      <c r="H844" s="81">
        <v>5.0</v>
      </c>
      <c r="I844" s="50">
        <v>30316.0</v>
      </c>
    </row>
    <row r="845">
      <c r="A845" s="66">
        <v>7841.0</v>
      </c>
      <c r="B845" s="66">
        <v>98.0</v>
      </c>
      <c r="C845" s="66">
        <v>5.0</v>
      </c>
      <c r="D845" s="66">
        <v>6.0</v>
      </c>
      <c r="E845" s="66">
        <v>1.0</v>
      </c>
      <c r="F845" s="66" t="s">
        <v>3627</v>
      </c>
      <c r="G845" s="66">
        <v>7.0</v>
      </c>
      <c r="H845" s="81">
        <v>3.0</v>
      </c>
      <c r="I845" s="50">
        <v>31820.0</v>
      </c>
    </row>
    <row r="846">
      <c r="A846" s="66">
        <v>7842.0</v>
      </c>
      <c r="B846" s="66">
        <v>78.0</v>
      </c>
      <c r="C846" s="66">
        <v>1.0</v>
      </c>
      <c r="D846" s="66">
        <v>1.0</v>
      </c>
      <c r="E846" s="66">
        <v>1.0</v>
      </c>
      <c r="F846" s="66" t="s">
        <v>3628</v>
      </c>
      <c r="G846" s="66">
        <v>5.0</v>
      </c>
      <c r="H846" s="81">
        <v>3.0</v>
      </c>
      <c r="I846" s="50">
        <v>11219.0</v>
      </c>
    </row>
    <row r="847">
      <c r="A847" s="66">
        <v>7843.0</v>
      </c>
      <c r="B847" s="66">
        <v>37.0</v>
      </c>
      <c r="C847" s="66">
        <v>1.0</v>
      </c>
      <c r="D847" s="66">
        <v>7.0</v>
      </c>
      <c r="E847" s="66">
        <v>1.0</v>
      </c>
      <c r="F847" s="66" t="s">
        <v>3629</v>
      </c>
      <c r="G847" s="66">
        <v>5.0</v>
      </c>
      <c r="H847" s="81">
        <v>2.0</v>
      </c>
      <c r="I847" s="50">
        <v>71314.0</v>
      </c>
    </row>
    <row r="848">
      <c r="A848" s="66">
        <v>7844.0</v>
      </c>
      <c r="B848" s="66">
        <v>16.0</v>
      </c>
      <c r="C848" s="66">
        <v>6.0</v>
      </c>
      <c r="D848" s="66">
        <v>9.0</v>
      </c>
      <c r="E848" s="66">
        <v>0.0</v>
      </c>
      <c r="F848" s="66" t="s">
        <v>3630</v>
      </c>
      <c r="G848" s="66">
        <v>7.0</v>
      </c>
      <c r="H848" s="81">
        <v>1.0</v>
      </c>
      <c r="I848" s="50">
        <v>53022.0</v>
      </c>
    </row>
    <row r="849">
      <c r="A849" s="66">
        <v>7845.0</v>
      </c>
      <c r="B849" s="66">
        <v>78.0</v>
      </c>
      <c r="C849" s="66">
        <v>1.0</v>
      </c>
      <c r="D849" s="66">
        <v>5.0</v>
      </c>
      <c r="E849" s="66">
        <v>1.0</v>
      </c>
      <c r="F849" s="66" t="s">
        <v>3631</v>
      </c>
      <c r="G849" s="66">
        <v>2.0</v>
      </c>
      <c r="H849" s="81">
        <v>5.0</v>
      </c>
      <c r="I849" s="50">
        <v>111919.0</v>
      </c>
    </row>
    <row r="850">
      <c r="A850" s="66">
        <v>7846.0</v>
      </c>
      <c r="B850" s="66">
        <v>16.0</v>
      </c>
      <c r="C850" s="66">
        <v>7.0</v>
      </c>
      <c r="D850" s="66">
        <v>3.0</v>
      </c>
      <c r="E850" s="66">
        <v>1.0</v>
      </c>
      <c r="F850" s="66" t="s">
        <v>3632</v>
      </c>
      <c r="G850" s="66">
        <v>9.0</v>
      </c>
      <c r="H850" s="81">
        <v>2.0</v>
      </c>
      <c r="I850" s="50">
        <v>103118.0</v>
      </c>
    </row>
    <row r="851">
      <c r="A851" s="66">
        <v>7847.0</v>
      </c>
      <c r="B851" s="66">
        <v>37.0</v>
      </c>
      <c r="C851" s="66">
        <v>2.0</v>
      </c>
      <c r="D851" s="66">
        <v>1.0</v>
      </c>
      <c r="E851" s="66">
        <v>0.0</v>
      </c>
      <c r="F851" s="66" t="s">
        <v>3633</v>
      </c>
      <c r="G851" s="66">
        <v>8.0</v>
      </c>
      <c r="H851" s="81">
        <v>1.0</v>
      </c>
      <c r="I851" s="50">
        <v>30618.0</v>
      </c>
    </row>
    <row r="852">
      <c r="A852" s="66">
        <v>7848.0</v>
      </c>
      <c r="B852" s="66">
        <v>37.0</v>
      </c>
      <c r="C852" s="66">
        <v>2.0</v>
      </c>
      <c r="D852" s="66">
        <v>2.0</v>
      </c>
      <c r="E852" s="66">
        <v>1.0</v>
      </c>
      <c r="F852" s="66" t="s">
        <v>3634</v>
      </c>
      <c r="G852" s="66">
        <v>7.0</v>
      </c>
      <c r="H852" s="81">
        <v>4.0</v>
      </c>
      <c r="I852" s="50">
        <v>90922.0</v>
      </c>
    </row>
    <row r="853">
      <c r="A853" s="66">
        <v>7849.0</v>
      </c>
      <c r="B853" s="66">
        <v>98.0</v>
      </c>
      <c r="C853" s="66">
        <v>6.0</v>
      </c>
      <c r="D853" s="66">
        <v>9.0</v>
      </c>
      <c r="E853" s="66">
        <v>1.0</v>
      </c>
      <c r="F853" s="66" t="s">
        <v>3635</v>
      </c>
      <c r="G853" s="66">
        <v>6.0</v>
      </c>
      <c r="H853" s="81">
        <v>3.0</v>
      </c>
      <c r="I853" s="50">
        <v>111620.0</v>
      </c>
    </row>
    <row r="854">
      <c r="A854" s="66">
        <v>7850.0</v>
      </c>
      <c r="B854" s="66">
        <v>78.0</v>
      </c>
      <c r="C854" s="66">
        <v>2.0</v>
      </c>
      <c r="D854" s="66">
        <v>2.0</v>
      </c>
      <c r="E854" s="66">
        <v>0.0</v>
      </c>
      <c r="F854" s="66" t="s">
        <v>3636</v>
      </c>
      <c r="G854" s="66">
        <v>4.0</v>
      </c>
      <c r="H854" s="81">
        <v>4.0</v>
      </c>
      <c r="I854" s="50">
        <v>60417.0</v>
      </c>
    </row>
    <row r="855">
      <c r="A855" s="66">
        <v>7851.0</v>
      </c>
      <c r="B855" s="66">
        <v>16.0</v>
      </c>
      <c r="C855" s="66">
        <v>7.0</v>
      </c>
      <c r="D855" s="66">
        <v>9.0</v>
      </c>
      <c r="E855" s="66">
        <v>0.0</v>
      </c>
      <c r="F855" s="66" t="s">
        <v>3637</v>
      </c>
      <c r="G855" s="66">
        <v>2.0</v>
      </c>
      <c r="H855" s="81">
        <v>2.0</v>
      </c>
      <c r="I855" s="50">
        <v>80915.0</v>
      </c>
    </row>
    <row r="856">
      <c r="A856" s="66">
        <v>7852.0</v>
      </c>
      <c r="B856" s="66">
        <v>78.0</v>
      </c>
      <c r="C856" s="66">
        <v>2.0</v>
      </c>
      <c r="D856" s="66">
        <v>4.0</v>
      </c>
      <c r="E856" s="66">
        <v>0.0</v>
      </c>
      <c r="F856" s="66" t="s">
        <v>3638</v>
      </c>
      <c r="G856" s="66">
        <v>7.0</v>
      </c>
      <c r="H856" s="81">
        <v>1.0</v>
      </c>
      <c r="I856" s="50">
        <v>30720.0</v>
      </c>
    </row>
    <row r="857">
      <c r="A857" s="66">
        <v>7853.0</v>
      </c>
      <c r="B857" s="66">
        <v>57.0</v>
      </c>
      <c r="C857" s="66">
        <v>7.0</v>
      </c>
      <c r="D857" s="66">
        <v>6.0</v>
      </c>
      <c r="E857" s="66">
        <v>0.0</v>
      </c>
      <c r="F857" s="66" t="s">
        <v>3639</v>
      </c>
      <c r="G857" s="66">
        <v>6.0</v>
      </c>
      <c r="H857" s="81">
        <v>4.0</v>
      </c>
      <c r="I857" s="50">
        <v>82113.0</v>
      </c>
    </row>
    <row r="858">
      <c r="A858" s="66">
        <v>7854.0</v>
      </c>
      <c r="B858" s="66">
        <v>16.0</v>
      </c>
      <c r="C858" s="66">
        <v>8.0</v>
      </c>
      <c r="D858" s="66">
        <v>2.0</v>
      </c>
      <c r="E858" s="66">
        <v>0.0</v>
      </c>
      <c r="F858" s="66" t="s">
        <v>3640</v>
      </c>
      <c r="G858" s="66">
        <v>8.0</v>
      </c>
      <c r="H858" s="81">
        <v>5.0</v>
      </c>
      <c r="I858" s="50">
        <v>53119.0</v>
      </c>
    </row>
    <row r="859">
      <c r="A859" s="66">
        <v>7855.0</v>
      </c>
      <c r="B859" s="66">
        <v>16.0</v>
      </c>
      <c r="C859" s="66">
        <v>8.0</v>
      </c>
      <c r="D859" s="66">
        <v>3.0</v>
      </c>
      <c r="E859" s="66">
        <v>0.0</v>
      </c>
      <c r="F859" s="66" t="s">
        <v>3641</v>
      </c>
      <c r="G859" s="66">
        <v>7.0</v>
      </c>
      <c r="H859" s="81">
        <v>4.0</v>
      </c>
      <c r="I859" s="50">
        <v>71815.0</v>
      </c>
    </row>
    <row r="860">
      <c r="A860" s="66">
        <v>7856.0</v>
      </c>
      <c r="B860" s="66">
        <v>98.0</v>
      </c>
      <c r="C860" s="66">
        <v>7.0</v>
      </c>
      <c r="D860" s="66">
        <v>6.0</v>
      </c>
      <c r="E860" s="66">
        <v>0.0</v>
      </c>
      <c r="F860" s="66" t="s">
        <v>3642</v>
      </c>
      <c r="G860" s="66">
        <v>5.0</v>
      </c>
      <c r="H860" s="81">
        <v>5.0</v>
      </c>
      <c r="I860" s="50">
        <v>51717.0</v>
      </c>
    </row>
    <row r="861">
      <c r="A861" s="66">
        <v>7857.0</v>
      </c>
      <c r="B861" s="66">
        <v>16.0</v>
      </c>
      <c r="C861" s="66">
        <v>8.0</v>
      </c>
      <c r="D861" s="66">
        <v>5.0</v>
      </c>
      <c r="E861" s="66">
        <v>1.0</v>
      </c>
      <c r="F861" s="66" t="s">
        <v>3643</v>
      </c>
      <c r="G861" s="66">
        <v>5.0</v>
      </c>
      <c r="H861" s="81">
        <v>2.0</v>
      </c>
      <c r="I861" s="50">
        <v>72713.0</v>
      </c>
    </row>
    <row r="862">
      <c r="A862" s="66">
        <v>7858.0</v>
      </c>
      <c r="B862" s="66">
        <v>98.0</v>
      </c>
      <c r="C862" s="66">
        <v>7.0</v>
      </c>
      <c r="D862" s="66">
        <v>8.0</v>
      </c>
      <c r="E862" s="66">
        <v>1.0</v>
      </c>
      <c r="F862" s="66" t="s">
        <v>3644</v>
      </c>
      <c r="G862" s="66">
        <v>8.0</v>
      </c>
      <c r="H862" s="81">
        <v>1.0</v>
      </c>
      <c r="I862" s="50">
        <v>82015.0</v>
      </c>
    </row>
    <row r="863">
      <c r="A863" s="66">
        <v>7859.0</v>
      </c>
      <c r="B863" s="66">
        <v>57.0</v>
      </c>
      <c r="C863" s="66">
        <v>8.0</v>
      </c>
      <c r="D863" s="66">
        <v>2.0</v>
      </c>
      <c r="E863" s="66">
        <v>1.0</v>
      </c>
      <c r="F863" s="66" t="s">
        <v>3645</v>
      </c>
      <c r="G863" s="66">
        <v>9.0</v>
      </c>
      <c r="H863" s="81">
        <v>4.0</v>
      </c>
      <c r="I863" s="50">
        <v>120917.0</v>
      </c>
    </row>
    <row r="864">
      <c r="A864" s="66">
        <v>7860.0</v>
      </c>
      <c r="B864" s="66">
        <v>16.0</v>
      </c>
      <c r="C864" s="66">
        <v>8.0</v>
      </c>
      <c r="D864" s="66">
        <v>6.0</v>
      </c>
      <c r="E864" s="66">
        <v>1.0</v>
      </c>
      <c r="F864" s="66" t="s">
        <v>3646</v>
      </c>
      <c r="G864" s="66">
        <v>9.0</v>
      </c>
      <c r="H864" s="81">
        <v>2.0</v>
      </c>
      <c r="I864" s="50">
        <v>12322.0</v>
      </c>
    </row>
    <row r="865">
      <c r="A865" s="66">
        <v>7861.0</v>
      </c>
      <c r="B865" s="66">
        <v>78.0</v>
      </c>
      <c r="C865" s="66">
        <v>3.0</v>
      </c>
      <c r="D865" s="66">
        <v>4.0</v>
      </c>
      <c r="E865" s="66">
        <v>0.0</v>
      </c>
      <c r="F865" s="66" t="s">
        <v>3647</v>
      </c>
      <c r="G865" s="66">
        <v>7.0</v>
      </c>
      <c r="H865" s="81">
        <v>1.0</v>
      </c>
      <c r="I865" s="50">
        <v>90819.0</v>
      </c>
    </row>
    <row r="866">
      <c r="A866" s="66">
        <v>7862.0</v>
      </c>
      <c r="B866" s="66">
        <v>98.0</v>
      </c>
      <c r="C866" s="66">
        <v>8.0</v>
      </c>
      <c r="D866" s="66">
        <v>3.0</v>
      </c>
      <c r="E866" s="66">
        <v>1.0</v>
      </c>
      <c r="F866" s="66" t="s">
        <v>3648</v>
      </c>
      <c r="G866" s="66">
        <v>2.0</v>
      </c>
      <c r="H866" s="81">
        <v>5.0</v>
      </c>
      <c r="I866" s="50">
        <v>33120.0</v>
      </c>
    </row>
    <row r="867">
      <c r="A867" s="66">
        <v>7863.0</v>
      </c>
      <c r="B867" s="66">
        <v>57.0</v>
      </c>
      <c r="C867" s="66">
        <v>8.0</v>
      </c>
      <c r="D867" s="66">
        <v>6.0</v>
      </c>
      <c r="E867" s="66">
        <v>0.0</v>
      </c>
      <c r="F867" s="66" t="s">
        <v>3649</v>
      </c>
      <c r="G867" s="66">
        <v>2.0</v>
      </c>
      <c r="H867" s="81">
        <v>1.0</v>
      </c>
      <c r="I867" s="50">
        <v>31719.0</v>
      </c>
    </row>
    <row r="868">
      <c r="A868" s="66">
        <v>7864.0</v>
      </c>
      <c r="B868" s="66">
        <v>78.0</v>
      </c>
      <c r="C868" s="66">
        <v>3.0</v>
      </c>
      <c r="D868" s="66">
        <v>7.0</v>
      </c>
      <c r="E868" s="66">
        <v>1.0</v>
      </c>
      <c r="F868" s="66" t="s">
        <v>3650</v>
      </c>
      <c r="G868" s="66">
        <v>8.0</v>
      </c>
      <c r="H868" s="81">
        <v>4.0</v>
      </c>
      <c r="I868" s="50">
        <v>10815.0</v>
      </c>
    </row>
    <row r="869">
      <c r="A869" s="66">
        <v>7865.0</v>
      </c>
      <c r="B869" s="66">
        <v>78.0</v>
      </c>
      <c r="C869" s="66">
        <v>3.0</v>
      </c>
      <c r="D869" s="66">
        <v>8.0</v>
      </c>
      <c r="E869" s="66">
        <v>0.0</v>
      </c>
      <c r="F869" s="66" t="s">
        <v>3651</v>
      </c>
      <c r="G869" s="66">
        <v>5.0</v>
      </c>
      <c r="H869" s="81">
        <v>2.0</v>
      </c>
      <c r="I869" s="50">
        <v>71921.0</v>
      </c>
    </row>
    <row r="870">
      <c r="A870" s="66">
        <v>7866.0</v>
      </c>
      <c r="B870" s="66">
        <v>16.0</v>
      </c>
      <c r="C870" s="66">
        <v>9.0</v>
      </c>
      <c r="D870" s="66">
        <v>1.0</v>
      </c>
      <c r="E870" s="66">
        <v>1.0</v>
      </c>
      <c r="F870" s="66" t="s">
        <v>3652</v>
      </c>
      <c r="G870" s="66">
        <v>2.0</v>
      </c>
      <c r="H870" s="81">
        <v>3.0</v>
      </c>
      <c r="I870" s="50">
        <v>71620.0</v>
      </c>
    </row>
    <row r="871">
      <c r="A871" s="66">
        <v>7867.0</v>
      </c>
      <c r="B871" s="66">
        <v>57.0</v>
      </c>
      <c r="C871" s="66">
        <v>8.0</v>
      </c>
      <c r="D871" s="66">
        <v>7.0</v>
      </c>
      <c r="E871" s="66">
        <v>1.0</v>
      </c>
      <c r="F871" s="66" t="s">
        <v>3653</v>
      </c>
      <c r="G871" s="66">
        <v>7.0</v>
      </c>
      <c r="H871" s="81">
        <v>4.0</v>
      </c>
      <c r="I871" s="50">
        <v>62816.0</v>
      </c>
    </row>
    <row r="872">
      <c r="A872" s="66">
        <v>7868.0</v>
      </c>
      <c r="B872" s="66">
        <v>57.0</v>
      </c>
      <c r="C872" s="66">
        <v>8.0</v>
      </c>
      <c r="D872" s="66">
        <v>8.0</v>
      </c>
      <c r="E872" s="66">
        <v>1.0</v>
      </c>
      <c r="F872" s="66" t="s">
        <v>3654</v>
      </c>
      <c r="G872" s="66">
        <v>8.0</v>
      </c>
      <c r="H872" s="81">
        <v>5.0</v>
      </c>
      <c r="I872" s="50">
        <v>82622.0</v>
      </c>
    </row>
    <row r="873">
      <c r="A873" s="66">
        <v>7869.0</v>
      </c>
      <c r="B873" s="66">
        <v>16.0</v>
      </c>
      <c r="C873" s="66">
        <v>9.0</v>
      </c>
      <c r="D873" s="66">
        <v>8.0</v>
      </c>
      <c r="E873" s="66">
        <v>1.0</v>
      </c>
      <c r="F873" s="66" t="s">
        <v>3655</v>
      </c>
      <c r="G873" s="66">
        <v>3.0</v>
      </c>
      <c r="H873" s="81">
        <v>1.0</v>
      </c>
      <c r="I873" s="50">
        <v>53116.0</v>
      </c>
    </row>
    <row r="874">
      <c r="A874" s="66">
        <v>7870.0</v>
      </c>
      <c r="B874" s="66">
        <v>98.0</v>
      </c>
      <c r="C874" s="66">
        <v>9.0</v>
      </c>
      <c r="D874" s="66">
        <v>1.0</v>
      </c>
      <c r="E874" s="66">
        <v>1.0</v>
      </c>
      <c r="F874" s="66" t="s">
        <v>3656</v>
      </c>
      <c r="G874" s="66">
        <v>1.0</v>
      </c>
      <c r="H874" s="81">
        <v>5.0</v>
      </c>
      <c r="I874" s="50">
        <v>60316.0</v>
      </c>
    </row>
    <row r="875">
      <c r="A875" s="66">
        <v>7871.0</v>
      </c>
      <c r="B875" s="66">
        <v>78.0</v>
      </c>
      <c r="C875" s="66">
        <v>4.0</v>
      </c>
      <c r="D875" s="66">
        <v>3.0</v>
      </c>
      <c r="E875" s="66">
        <v>0.0</v>
      </c>
      <c r="F875" s="66" t="s">
        <v>3657</v>
      </c>
      <c r="G875" s="66">
        <v>7.0</v>
      </c>
      <c r="H875" s="81">
        <v>4.0</v>
      </c>
      <c r="I875" s="50">
        <v>51622.0</v>
      </c>
    </row>
    <row r="876">
      <c r="A876" s="66">
        <v>7872.0</v>
      </c>
      <c r="B876" s="66">
        <v>37.0</v>
      </c>
      <c r="C876" s="66">
        <v>5.0</v>
      </c>
      <c r="D876" s="66">
        <v>3.0</v>
      </c>
      <c r="E876" s="66">
        <v>0.0</v>
      </c>
      <c r="F876" s="66" t="s">
        <v>3658</v>
      </c>
      <c r="G876" s="66">
        <v>8.0</v>
      </c>
      <c r="H876" s="81">
        <v>3.0</v>
      </c>
      <c r="I876" s="50">
        <v>92219.0</v>
      </c>
    </row>
    <row r="877">
      <c r="A877" s="66">
        <v>7873.0</v>
      </c>
      <c r="B877" s="66">
        <v>37.0</v>
      </c>
      <c r="C877" s="66">
        <v>6.0</v>
      </c>
      <c r="D877" s="66">
        <v>1.0</v>
      </c>
      <c r="E877" s="66">
        <v>1.0</v>
      </c>
      <c r="F877" s="66" t="s">
        <v>3659</v>
      </c>
      <c r="G877" s="66">
        <v>2.0</v>
      </c>
      <c r="H877" s="81">
        <v>4.0</v>
      </c>
      <c r="I877" s="50">
        <v>101314.0</v>
      </c>
    </row>
    <row r="878">
      <c r="A878" s="66">
        <v>7874.0</v>
      </c>
      <c r="B878" s="66">
        <v>78.0</v>
      </c>
      <c r="C878" s="66">
        <v>5.0</v>
      </c>
      <c r="D878" s="66">
        <v>9.0</v>
      </c>
      <c r="E878" s="66">
        <v>0.0</v>
      </c>
      <c r="F878" s="66" t="s">
        <v>3660</v>
      </c>
      <c r="G878" s="66">
        <v>9.0</v>
      </c>
      <c r="H878" s="81">
        <v>1.0</v>
      </c>
      <c r="I878" s="50">
        <v>31216.0</v>
      </c>
    </row>
    <row r="879">
      <c r="A879" s="66">
        <v>7875.0</v>
      </c>
      <c r="B879" s="66">
        <v>37.0</v>
      </c>
      <c r="C879" s="66">
        <v>6.0</v>
      </c>
      <c r="D879" s="66">
        <v>3.0</v>
      </c>
      <c r="E879" s="66">
        <v>0.0</v>
      </c>
      <c r="F879" s="66" t="s">
        <v>3661</v>
      </c>
      <c r="G879" s="66">
        <v>4.0</v>
      </c>
      <c r="H879" s="81">
        <v>1.0</v>
      </c>
      <c r="I879" s="50">
        <v>30417.0</v>
      </c>
    </row>
    <row r="880">
      <c r="A880" s="66">
        <v>7876.0</v>
      </c>
      <c r="B880" s="66">
        <v>78.0</v>
      </c>
      <c r="C880" s="66">
        <v>6.0</v>
      </c>
      <c r="D880" s="66">
        <v>2.0</v>
      </c>
      <c r="E880" s="66">
        <v>1.0</v>
      </c>
      <c r="F880" s="66" t="s">
        <v>3662</v>
      </c>
      <c r="G880" s="66">
        <v>6.0</v>
      </c>
      <c r="H880" s="81">
        <v>3.0</v>
      </c>
      <c r="I880" s="50">
        <v>70418.0</v>
      </c>
    </row>
    <row r="881">
      <c r="A881" s="66">
        <v>7877.0</v>
      </c>
      <c r="B881" s="66">
        <v>17.0</v>
      </c>
      <c r="C881" s="66">
        <v>1.0</v>
      </c>
      <c r="D881" s="66">
        <v>9.0</v>
      </c>
      <c r="E881" s="66">
        <v>1.0</v>
      </c>
      <c r="F881" s="66" t="s">
        <v>3663</v>
      </c>
      <c r="G881" s="66">
        <v>8.0</v>
      </c>
      <c r="H881" s="81">
        <v>5.0</v>
      </c>
      <c r="I881" s="50">
        <v>31617.0</v>
      </c>
    </row>
    <row r="882">
      <c r="A882" s="66">
        <v>7878.0</v>
      </c>
      <c r="B882" s="66">
        <v>78.0</v>
      </c>
      <c r="C882" s="66">
        <v>6.0</v>
      </c>
      <c r="D882" s="66">
        <v>5.0</v>
      </c>
      <c r="E882" s="66">
        <v>1.0</v>
      </c>
      <c r="F882" s="66" t="s">
        <v>3664</v>
      </c>
      <c r="G882" s="66">
        <v>8.0</v>
      </c>
      <c r="H882" s="81">
        <v>5.0</v>
      </c>
      <c r="I882" s="50">
        <v>60520.0</v>
      </c>
    </row>
    <row r="883">
      <c r="A883" s="66">
        <v>7879.0</v>
      </c>
      <c r="B883" s="66">
        <v>58.0</v>
      </c>
      <c r="C883" s="66">
        <v>1.0</v>
      </c>
      <c r="D883" s="66">
        <v>9.0</v>
      </c>
      <c r="E883" s="66">
        <v>1.0</v>
      </c>
      <c r="F883" s="66" t="s">
        <v>3665</v>
      </c>
      <c r="G883" s="66">
        <v>1.0</v>
      </c>
      <c r="H883" s="81">
        <v>3.0</v>
      </c>
      <c r="I883" s="50">
        <v>73119.0</v>
      </c>
    </row>
    <row r="884">
      <c r="A884" s="66">
        <v>7880.0</v>
      </c>
      <c r="B884" s="66">
        <v>37.0</v>
      </c>
      <c r="C884" s="66">
        <v>7.0</v>
      </c>
      <c r="D884" s="66">
        <v>6.0</v>
      </c>
      <c r="E884" s="66">
        <v>0.0</v>
      </c>
      <c r="F884" s="66" t="s">
        <v>3666</v>
      </c>
      <c r="G884" s="66">
        <v>6.0</v>
      </c>
      <c r="H884" s="81">
        <v>4.0</v>
      </c>
      <c r="I884" s="50">
        <v>111813.0</v>
      </c>
    </row>
    <row r="885">
      <c r="A885" s="66">
        <v>7881.0</v>
      </c>
      <c r="B885" s="66">
        <v>99.0</v>
      </c>
      <c r="C885" s="66">
        <v>2.0</v>
      </c>
      <c r="D885" s="66">
        <v>2.0</v>
      </c>
      <c r="E885" s="66">
        <v>1.0</v>
      </c>
      <c r="F885" s="66" t="s">
        <v>3667</v>
      </c>
      <c r="G885" s="66">
        <v>9.0</v>
      </c>
      <c r="H885" s="81">
        <v>2.0</v>
      </c>
      <c r="I885" s="50">
        <v>121318.0</v>
      </c>
    </row>
    <row r="886">
      <c r="A886" s="66">
        <v>7882.0</v>
      </c>
      <c r="B886" s="66">
        <v>17.0</v>
      </c>
      <c r="C886" s="66">
        <v>3.0</v>
      </c>
      <c r="D886" s="66">
        <v>2.0</v>
      </c>
      <c r="E886" s="66">
        <v>1.0</v>
      </c>
      <c r="F886" s="66" t="s">
        <v>3668</v>
      </c>
      <c r="G886" s="66">
        <v>6.0</v>
      </c>
      <c r="H886" s="81">
        <v>2.0</v>
      </c>
      <c r="I886" s="50">
        <v>52120.0</v>
      </c>
    </row>
    <row r="887">
      <c r="A887" s="66">
        <v>7883.0</v>
      </c>
      <c r="B887" s="66">
        <v>78.0</v>
      </c>
      <c r="C887" s="66">
        <v>7.0</v>
      </c>
      <c r="D887" s="66">
        <v>8.0</v>
      </c>
      <c r="E887" s="66">
        <v>1.0</v>
      </c>
      <c r="F887" s="66" t="s">
        <v>3669</v>
      </c>
      <c r="G887" s="66">
        <v>4.0</v>
      </c>
      <c r="H887" s="81">
        <v>4.0</v>
      </c>
      <c r="I887" s="50">
        <v>101316.0</v>
      </c>
    </row>
    <row r="888">
      <c r="A888" s="66">
        <v>7884.0</v>
      </c>
      <c r="B888" s="66">
        <v>58.0</v>
      </c>
      <c r="C888" s="66">
        <v>3.0</v>
      </c>
      <c r="D888" s="66">
        <v>1.0</v>
      </c>
      <c r="E888" s="66">
        <v>0.0</v>
      </c>
      <c r="F888" s="66" t="s">
        <v>3670</v>
      </c>
      <c r="G888" s="66">
        <v>2.0</v>
      </c>
      <c r="H888" s="81">
        <v>3.0</v>
      </c>
      <c r="I888" s="50">
        <v>10414.0</v>
      </c>
    </row>
    <row r="889">
      <c r="A889" s="66">
        <v>7885.0</v>
      </c>
      <c r="B889" s="66">
        <v>99.0</v>
      </c>
      <c r="C889" s="66">
        <v>2.0</v>
      </c>
      <c r="D889" s="66">
        <v>9.0</v>
      </c>
      <c r="E889" s="66">
        <v>0.0</v>
      </c>
      <c r="F889" s="66" t="s">
        <v>3671</v>
      </c>
      <c r="G889" s="66">
        <v>9.0</v>
      </c>
      <c r="H889" s="81">
        <v>1.0</v>
      </c>
      <c r="I889" s="50">
        <v>122014.0</v>
      </c>
    </row>
    <row r="890">
      <c r="A890" s="66">
        <v>7886.0</v>
      </c>
      <c r="B890" s="66">
        <v>37.0</v>
      </c>
      <c r="C890" s="66">
        <v>8.0</v>
      </c>
      <c r="D890" s="66">
        <v>6.0</v>
      </c>
      <c r="E890" s="66">
        <v>0.0</v>
      </c>
      <c r="F890" s="66" t="s">
        <v>3672</v>
      </c>
      <c r="G890" s="66">
        <v>4.0</v>
      </c>
      <c r="H890" s="81">
        <v>3.0</v>
      </c>
      <c r="I890" s="50">
        <v>82520.0</v>
      </c>
    </row>
    <row r="891">
      <c r="A891" s="66">
        <v>7887.0</v>
      </c>
      <c r="B891" s="66">
        <v>17.0</v>
      </c>
      <c r="C891" s="66">
        <v>4.0</v>
      </c>
      <c r="D891" s="66">
        <v>2.0</v>
      </c>
      <c r="E891" s="66">
        <v>0.0</v>
      </c>
      <c r="F891" s="66" t="s">
        <v>3673</v>
      </c>
      <c r="G891" s="66">
        <v>1.0</v>
      </c>
      <c r="H891" s="81">
        <v>3.0</v>
      </c>
      <c r="I891" s="50">
        <v>70518.0</v>
      </c>
    </row>
    <row r="892">
      <c r="A892" s="66">
        <v>7888.0</v>
      </c>
      <c r="B892" s="66">
        <v>17.0</v>
      </c>
      <c r="C892" s="66">
        <v>4.0</v>
      </c>
      <c r="D892" s="66">
        <v>3.0</v>
      </c>
      <c r="E892" s="66">
        <v>0.0</v>
      </c>
      <c r="F892" s="66" t="s">
        <v>3674</v>
      </c>
      <c r="G892" s="66">
        <v>9.0</v>
      </c>
      <c r="H892" s="81">
        <v>1.0</v>
      </c>
      <c r="I892" s="50">
        <v>62514.0</v>
      </c>
    </row>
    <row r="893">
      <c r="A893" s="66">
        <v>7889.0</v>
      </c>
      <c r="B893" s="66">
        <v>99.0</v>
      </c>
      <c r="C893" s="66">
        <v>3.0</v>
      </c>
      <c r="D893" s="66">
        <v>6.0</v>
      </c>
      <c r="E893" s="66">
        <v>0.0</v>
      </c>
      <c r="F893" s="66" t="s">
        <v>3675</v>
      </c>
      <c r="G893" s="66">
        <v>9.0</v>
      </c>
      <c r="H893" s="81">
        <v>2.0</v>
      </c>
      <c r="I893" s="50">
        <v>110718.0</v>
      </c>
    </row>
    <row r="894">
      <c r="A894" s="66">
        <v>7890.0</v>
      </c>
      <c r="B894" s="66">
        <v>37.0</v>
      </c>
      <c r="C894" s="66">
        <v>9.0</v>
      </c>
      <c r="D894" s="66">
        <v>2.0</v>
      </c>
      <c r="E894" s="66">
        <v>1.0</v>
      </c>
      <c r="F894" s="66" t="s">
        <v>3676</v>
      </c>
      <c r="G894" s="66">
        <v>7.0</v>
      </c>
      <c r="H894" s="81">
        <v>5.0</v>
      </c>
      <c r="I894" s="50">
        <v>41620.0</v>
      </c>
    </row>
    <row r="895">
      <c r="A895" s="66">
        <v>7891.0</v>
      </c>
      <c r="B895" s="66">
        <v>37.0</v>
      </c>
      <c r="C895" s="66">
        <v>9.0</v>
      </c>
      <c r="D895" s="66">
        <v>6.0</v>
      </c>
      <c r="E895" s="66">
        <v>0.0</v>
      </c>
      <c r="F895" s="66" t="s">
        <v>3677</v>
      </c>
      <c r="G895" s="66">
        <v>7.0</v>
      </c>
      <c r="H895" s="81">
        <v>5.0</v>
      </c>
      <c r="I895" s="50">
        <v>52417.0</v>
      </c>
    </row>
    <row r="896">
      <c r="A896" s="66">
        <v>7892.0</v>
      </c>
      <c r="B896" s="66">
        <v>37.0</v>
      </c>
      <c r="C896" s="66">
        <v>9.0</v>
      </c>
      <c r="D896" s="66">
        <v>8.0</v>
      </c>
      <c r="E896" s="66">
        <v>0.0</v>
      </c>
      <c r="F896" s="66" t="s">
        <v>3678</v>
      </c>
      <c r="G896" s="66">
        <v>2.0</v>
      </c>
      <c r="H896" s="81">
        <v>2.0</v>
      </c>
      <c r="I896" s="50">
        <v>12722.0</v>
      </c>
    </row>
    <row r="897">
      <c r="A897" s="66">
        <v>7893.0</v>
      </c>
      <c r="B897" s="66">
        <v>17.0</v>
      </c>
      <c r="C897" s="66">
        <v>5.0</v>
      </c>
      <c r="D897" s="66">
        <v>2.0</v>
      </c>
      <c r="E897" s="66">
        <v>1.0</v>
      </c>
      <c r="F897" s="66" t="s">
        <v>3679</v>
      </c>
      <c r="G897" s="66">
        <v>5.0</v>
      </c>
      <c r="H897" s="81">
        <v>5.0</v>
      </c>
      <c r="I897" s="50">
        <v>92515.0</v>
      </c>
    </row>
    <row r="898">
      <c r="A898" s="66">
        <v>7894.0</v>
      </c>
      <c r="B898" s="66">
        <v>99.0</v>
      </c>
      <c r="C898" s="66">
        <v>4.0</v>
      </c>
      <c r="D898" s="66">
        <v>5.0</v>
      </c>
      <c r="E898" s="66">
        <v>0.0</v>
      </c>
      <c r="F898" s="66" t="s">
        <v>3680</v>
      </c>
      <c r="G898" s="66">
        <v>4.0</v>
      </c>
      <c r="H898" s="81">
        <v>5.0</v>
      </c>
      <c r="I898" s="50">
        <v>62314.0</v>
      </c>
    </row>
    <row r="899">
      <c r="A899" s="66">
        <v>7895.0</v>
      </c>
      <c r="B899" s="66">
        <v>17.0</v>
      </c>
      <c r="C899" s="66">
        <v>5.0</v>
      </c>
      <c r="D899" s="66">
        <v>5.0</v>
      </c>
      <c r="E899" s="66">
        <v>1.0</v>
      </c>
      <c r="F899" s="66" t="s">
        <v>3681</v>
      </c>
      <c r="G899" s="66">
        <v>1.0</v>
      </c>
      <c r="H899" s="81">
        <v>5.0</v>
      </c>
      <c r="I899" s="50">
        <v>61322.0</v>
      </c>
    </row>
    <row r="900">
      <c r="A900" s="66">
        <v>7896.0</v>
      </c>
      <c r="B900" s="66">
        <v>99.0</v>
      </c>
      <c r="C900" s="66">
        <v>4.0</v>
      </c>
      <c r="D900" s="66">
        <v>7.0</v>
      </c>
      <c r="E900" s="66">
        <v>1.0</v>
      </c>
      <c r="F900" s="66" t="s">
        <v>3682</v>
      </c>
      <c r="G900" s="66">
        <v>7.0</v>
      </c>
      <c r="H900" s="81">
        <v>3.0</v>
      </c>
      <c r="I900" s="50">
        <v>10215.0</v>
      </c>
    </row>
    <row r="901">
      <c r="A901" s="66">
        <v>7897.0</v>
      </c>
      <c r="B901" s="66">
        <v>58.0</v>
      </c>
      <c r="C901" s="66">
        <v>5.0</v>
      </c>
      <c r="D901" s="66">
        <v>7.0</v>
      </c>
      <c r="E901" s="66">
        <v>1.0</v>
      </c>
      <c r="F901" s="66" t="s">
        <v>3683</v>
      </c>
      <c r="G901" s="66">
        <v>9.0</v>
      </c>
      <c r="H901" s="81">
        <v>5.0</v>
      </c>
      <c r="I901" s="50">
        <v>52017.0</v>
      </c>
    </row>
    <row r="902">
      <c r="A902" s="66">
        <v>7898.0</v>
      </c>
      <c r="B902" s="66">
        <v>58.0</v>
      </c>
      <c r="C902" s="66">
        <v>5.0</v>
      </c>
      <c r="D902" s="66">
        <v>8.0</v>
      </c>
      <c r="E902" s="66">
        <v>1.0</v>
      </c>
      <c r="F902" s="66" t="s">
        <v>3684</v>
      </c>
      <c r="G902" s="66">
        <v>3.0</v>
      </c>
      <c r="H902" s="81">
        <v>4.0</v>
      </c>
      <c r="I902" s="50">
        <v>30820.0</v>
      </c>
    </row>
    <row r="903">
      <c r="A903" s="66">
        <v>7899.0</v>
      </c>
      <c r="B903" s="66">
        <v>38.0</v>
      </c>
      <c r="C903" s="66">
        <v>1.0</v>
      </c>
      <c r="D903" s="66">
        <v>1.0</v>
      </c>
      <c r="E903" s="66">
        <v>0.0</v>
      </c>
      <c r="F903" s="66" t="s">
        <v>3685</v>
      </c>
      <c r="G903" s="66">
        <v>2.0</v>
      </c>
      <c r="H903" s="81">
        <v>4.0</v>
      </c>
      <c r="I903" s="50">
        <v>32616.0</v>
      </c>
    </row>
    <row r="904">
      <c r="A904" s="66">
        <v>7900.0</v>
      </c>
      <c r="B904" s="66">
        <v>99.0</v>
      </c>
      <c r="C904" s="66">
        <v>5.0</v>
      </c>
      <c r="D904" s="66">
        <v>9.0</v>
      </c>
      <c r="E904" s="66">
        <v>1.0</v>
      </c>
      <c r="F904" s="66" t="s">
        <v>3686</v>
      </c>
      <c r="G904" s="66">
        <v>7.0</v>
      </c>
      <c r="H904" s="81">
        <v>2.0</v>
      </c>
      <c r="I904" s="50">
        <v>83021.0</v>
      </c>
    </row>
    <row r="905">
      <c r="A905" s="66">
        <v>7901.0</v>
      </c>
      <c r="B905" s="66">
        <v>58.0</v>
      </c>
      <c r="C905" s="66">
        <v>6.0</v>
      </c>
      <c r="D905" s="66">
        <v>6.0</v>
      </c>
      <c r="E905" s="66">
        <v>0.0</v>
      </c>
      <c r="F905" s="66" t="s">
        <v>3687</v>
      </c>
      <c r="G905" s="66">
        <v>6.0</v>
      </c>
      <c r="H905" s="81">
        <v>4.0</v>
      </c>
      <c r="I905" s="50">
        <v>41514.0</v>
      </c>
    </row>
    <row r="906">
      <c r="A906" s="66">
        <v>7902.0</v>
      </c>
      <c r="B906" s="66">
        <v>79.0</v>
      </c>
      <c r="C906" s="66">
        <v>1.0</v>
      </c>
      <c r="D906" s="66">
        <v>5.0</v>
      </c>
      <c r="E906" s="66">
        <v>0.0</v>
      </c>
      <c r="F906" s="66" t="s">
        <v>3688</v>
      </c>
      <c r="G906" s="66">
        <v>7.0</v>
      </c>
      <c r="H906" s="81">
        <v>2.0</v>
      </c>
      <c r="I906" s="50">
        <v>72919.0</v>
      </c>
    </row>
    <row r="907">
      <c r="A907" s="66">
        <v>7903.0</v>
      </c>
      <c r="B907" s="66">
        <v>58.0</v>
      </c>
      <c r="C907" s="66">
        <v>6.0</v>
      </c>
      <c r="D907" s="66">
        <v>9.0</v>
      </c>
      <c r="E907" s="66">
        <v>0.0</v>
      </c>
      <c r="F907" s="66" t="s">
        <v>3689</v>
      </c>
      <c r="G907" s="66">
        <v>4.0</v>
      </c>
      <c r="H907" s="81">
        <v>3.0</v>
      </c>
      <c r="I907" s="50">
        <v>71715.0</v>
      </c>
    </row>
    <row r="908">
      <c r="A908" s="66">
        <v>7904.0</v>
      </c>
      <c r="B908" s="66">
        <v>38.0</v>
      </c>
      <c r="C908" s="66">
        <v>2.0</v>
      </c>
      <c r="D908" s="66">
        <v>2.0</v>
      </c>
      <c r="E908" s="66">
        <v>1.0</v>
      </c>
      <c r="F908" s="66" t="s">
        <v>3690</v>
      </c>
      <c r="G908" s="66">
        <v>3.0</v>
      </c>
      <c r="H908" s="81">
        <v>1.0</v>
      </c>
      <c r="I908" s="50">
        <v>71721.0</v>
      </c>
    </row>
    <row r="909">
      <c r="A909" s="66">
        <v>7905.0</v>
      </c>
      <c r="B909" s="66">
        <v>17.0</v>
      </c>
      <c r="C909" s="66">
        <v>7.0</v>
      </c>
      <c r="D909" s="66">
        <v>4.0</v>
      </c>
      <c r="E909" s="66">
        <v>1.0</v>
      </c>
      <c r="F909" s="66" t="s">
        <v>3691</v>
      </c>
      <c r="G909" s="66">
        <v>6.0</v>
      </c>
      <c r="H909" s="81">
        <v>1.0</v>
      </c>
      <c r="I909" s="50">
        <v>90915.0</v>
      </c>
    </row>
    <row r="910">
      <c r="A910" s="66">
        <v>7906.0</v>
      </c>
      <c r="B910" s="66">
        <v>99.0</v>
      </c>
      <c r="C910" s="66">
        <v>6.0</v>
      </c>
      <c r="D910" s="66">
        <v>9.0</v>
      </c>
      <c r="E910" s="66">
        <v>0.0</v>
      </c>
      <c r="F910" s="66" t="s">
        <v>3692</v>
      </c>
      <c r="G910" s="66">
        <v>3.0</v>
      </c>
      <c r="H910" s="81">
        <v>3.0</v>
      </c>
      <c r="I910" s="50">
        <v>111519.0</v>
      </c>
    </row>
    <row r="911">
      <c r="A911" s="66">
        <v>7907.0</v>
      </c>
      <c r="B911" s="66">
        <v>38.0</v>
      </c>
      <c r="C911" s="66">
        <v>2.0</v>
      </c>
      <c r="D911" s="66">
        <v>9.0</v>
      </c>
      <c r="E911" s="66">
        <v>1.0</v>
      </c>
      <c r="F911" s="66" t="s">
        <v>3693</v>
      </c>
      <c r="G911" s="66">
        <v>3.0</v>
      </c>
      <c r="H911" s="81">
        <v>5.0</v>
      </c>
      <c r="I911" s="50">
        <v>10617.0</v>
      </c>
    </row>
    <row r="912">
      <c r="A912" s="66">
        <v>7908.0</v>
      </c>
      <c r="B912" s="66">
        <v>58.0</v>
      </c>
      <c r="C912" s="66">
        <v>8.0</v>
      </c>
      <c r="D912" s="66">
        <v>1.0</v>
      </c>
      <c r="E912" s="66">
        <v>1.0</v>
      </c>
      <c r="F912" s="66" t="s">
        <v>3694</v>
      </c>
      <c r="G912" s="66">
        <v>9.0</v>
      </c>
      <c r="H912" s="81">
        <v>4.0</v>
      </c>
      <c r="I912" s="50">
        <v>111018.0</v>
      </c>
    </row>
    <row r="913">
      <c r="A913" s="66">
        <v>7909.0</v>
      </c>
      <c r="B913" s="66">
        <v>17.0</v>
      </c>
      <c r="C913" s="66">
        <v>8.0</v>
      </c>
      <c r="D913" s="66">
        <v>9.0</v>
      </c>
      <c r="E913" s="66">
        <v>0.0</v>
      </c>
      <c r="F913" s="66" t="s">
        <v>3695</v>
      </c>
      <c r="G913" s="66">
        <v>6.0</v>
      </c>
      <c r="H913" s="81">
        <v>2.0</v>
      </c>
      <c r="I913" s="50">
        <v>11417.0</v>
      </c>
    </row>
    <row r="914">
      <c r="A914" s="66">
        <v>7910.0</v>
      </c>
      <c r="B914" s="66">
        <v>99.0</v>
      </c>
      <c r="C914" s="66">
        <v>8.0</v>
      </c>
      <c r="D914" s="66">
        <v>2.0</v>
      </c>
      <c r="E914" s="66">
        <v>0.0</v>
      </c>
      <c r="F914" s="66" t="s">
        <v>3696</v>
      </c>
      <c r="G914" s="66">
        <v>3.0</v>
      </c>
      <c r="H914" s="81">
        <v>4.0</v>
      </c>
      <c r="I914" s="50">
        <v>81615.0</v>
      </c>
    </row>
    <row r="915">
      <c r="A915" s="66">
        <v>7911.0</v>
      </c>
      <c r="B915" s="66">
        <v>58.0</v>
      </c>
      <c r="C915" s="66">
        <v>8.0</v>
      </c>
      <c r="D915" s="66">
        <v>5.0</v>
      </c>
      <c r="E915" s="66">
        <v>1.0</v>
      </c>
      <c r="F915" s="66" t="s">
        <v>3697</v>
      </c>
      <c r="G915" s="66">
        <v>3.0</v>
      </c>
      <c r="H915" s="81">
        <v>1.0</v>
      </c>
      <c r="I915" s="50">
        <v>91720.0</v>
      </c>
    </row>
    <row r="916">
      <c r="A916" s="66">
        <v>7912.0</v>
      </c>
      <c r="B916" s="66">
        <v>79.0</v>
      </c>
      <c r="C916" s="66">
        <v>3.0</v>
      </c>
      <c r="D916" s="66">
        <v>9.0</v>
      </c>
      <c r="E916" s="66">
        <v>1.0</v>
      </c>
      <c r="F916" s="66" t="s">
        <v>3698</v>
      </c>
      <c r="G916" s="66">
        <v>4.0</v>
      </c>
      <c r="H916" s="81">
        <v>1.0</v>
      </c>
      <c r="I916" s="50">
        <v>71415.0</v>
      </c>
    </row>
    <row r="917">
      <c r="A917" s="66">
        <v>7913.0</v>
      </c>
      <c r="B917" s="66">
        <v>58.0</v>
      </c>
      <c r="C917" s="66">
        <v>9.0</v>
      </c>
      <c r="D917" s="66">
        <v>2.0</v>
      </c>
      <c r="E917" s="66">
        <v>1.0</v>
      </c>
      <c r="F917" s="66" t="s">
        <v>3699</v>
      </c>
      <c r="G917" s="66">
        <v>7.0</v>
      </c>
      <c r="H917" s="81">
        <v>2.0</v>
      </c>
      <c r="I917" s="50">
        <v>30714.0</v>
      </c>
    </row>
    <row r="918">
      <c r="A918" s="66">
        <v>7914.0</v>
      </c>
      <c r="B918" s="66">
        <v>38.0</v>
      </c>
      <c r="C918" s="66">
        <v>4.0</v>
      </c>
      <c r="D918" s="66">
        <v>5.0</v>
      </c>
      <c r="E918" s="66">
        <v>0.0</v>
      </c>
      <c r="F918" s="66" t="s">
        <v>3700</v>
      </c>
      <c r="G918" s="66">
        <v>1.0</v>
      </c>
      <c r="H918" s="81">
        <v>2.0</v>
      </c>
      <c r="I918" s="50">
        <v>71416.0</v>
      </c>
    </row>
    <row r="919">
      <c r="A919" s="66">
        <v>7915.0</v>
      </c>
      <c r="B919" s="66">
        <v>38.0</v>
      </c>
      <c r="C919" s="66">
        <v>4.0</v>
      </c>
      <c r="D919" s="66">
        <v>6.0</v>
      </c>
      <c r="E919" s="66">
        <v>0.0</v>
      </c>
      <c r="F919" s="66" t="s">
        <v>3701</v>
      </c>
      <c r="G919" s="66">
        <v>6.0</v>
      </c>
      <c r="H919" s="81">
        <v>4.0</v>
      </c>
      <c r="I919" s="50">
        <v>91315.0</v>
      </c>
    </row>
    <row r="920">
      <c r="A920" s="66">
        <v>7916.0</v>
      </c>
      <c r="B920" s="66">
        <v>79.0</v>
      </c>
      <c r="C920" s="66">
        <v>4.0</v>
      </c>
      <c r="D920" s="66">
        <v>3.0</v>
      </c>
      <c r="E920" s="66">
        <v>1.0</v>
      </c>
      <c r="F920" s="66" t="s">
        <v>3702</v>
      </c>
      <c r="G920" s="66">
        <v>1.0</v>
      </c>
      <c r="H920" s="81">
        <v>2.0</v>
      </c>
      <c r="I920" s="50">
        <v>112022.0</v>
      </c>
    </row>
    <row r="921">
      <c r="A921" s="66">
        <v>7917.0</v>
      </c>
      <c r="B921" s="66">
        <v>38.0</v>
      </c>
      <c r="C921" s="66">
        <v>4.0</v>
      </c>
      <c r="D921" s="66">
        <v>8.0</v>
      </c>
      <c r="E921" s="66">
        <v>1.0</v>
      </c>
      <c r="F921" s="66" t="s">
        <v>3703</v>
      </c>
      <c r="G921" s="66">
        <v>4.0</v>
      </c>
      <c r="H921" s="81">
        <v>2.0</v>
      </c>
      <c r="I921" s="50">
        <v>122221.0</v>
      </c>
    </row>
    <row r="922">
      <c r="A922" s="66">
        <v>7918.0</v>
      </c>
      <c r="B922" s="66">
        <v>38.0</v>
      </c>
      <c r="C922" s="66">
        <v>5.0</v>
      </c>
      <c r="D922" s="66">
        <v>2.0</v>
      </c>
      <c r="E922" s="66">
        <v>0.0</v>
      </c>
      <c r="F922" s="66" t="s">
        <v>3704</v>
      </c>
      <c r="G922" s="66">
        <v>6.0</v>
      </c>
      <c r="H922" s="81">
        <v>1.0</v>
      </c>
      <c r="I922" s="50">
        <v>62717.0</v>
      </c>
    </row>
    <row r="923">
      <c r="A923" s="66">
        <v>7919.0</v>
      </c>
      <c r="B923" s="66">
        <v>79.0</v>
      </c>
      <c r="C923" s="66">
        <v>5.0</v>
      </c>
      <c r="D923" s="66">
        <v>1.0</v>
      </c>
      <c r="E923" s="66">
        <v>0.0</v>
      </c>
      <c r="F923" s="66" t="s">
        <v>3705</v>
      </c>
      <c r="G923" s="66">
        <v>7.0</v>
      </c>
      <c r="H923" s="81">
        <v>2.0</v>
      </c>
      <c r="I923" s="50">
        <v>61713.0</v>
      </c>
    </row>
    <row r="924">
      <c r="A924" s="66">
        <v>7920.0</v>
      </c>
      <c r="B924" s="66">
        <v>38.0</v>
      </c>
      <c r="C924" s="66">
        <v>5.0</v>
      </c>
      <c r="D924" s="66">
        <v>6.0</v>
      </c>
      <c r="E924" s="66">
        <v>1.0</v>
      </c>
      <c r="F924" s="66" t="s">
        <v>3706</v>
      </c>
      <c r="G924" s="66">
        <v>5.0</v>
      </c>
      <c r="H924" s="81">
        <v>1.0</v>
      </c>
      <c r="I924" s="50">
        <v>41118.0</v>
      </c>
    </row>
    <row r="925">
      <c r="A925" s="66">
        <v>7921.0</v>
      </c>
      <c r="B925" s="66">
        <v>38.0</v>
      </c>
      <c r="C925" s="66">
        <v>5.0</v>
      </c>
      <c r="D925" s="66">
        <v>8.0</v>
      </c>
      <c r="E925" s="66">
        <v>0.0</v>
      </c>
      <c r="F925" s="66" t="s">
        <v>3707</v>
      </c>
      <c r="G925" s="66">
        <v>9.0</v>
      </c>
      <c r="H925" s="81">
        <v>3.0</v>
      </c>
      <c r="I925" s="50">
        <v>52917.0</v>
      </c>
    </row>
    <row r="926">
      <c r="A926" s="66">
        <v>7922.0</v>
      </c>
      <c r="B926" s="66">
        <v>38.0</v>
      </c>
      <c r="C926" s="66">
        <v>6.0</v>
      </c>
      <c r="D926" s="66">
        <v>3.0</v>
      </c>
      <c r="E926" s="66">
        <v>0.0</v>
      </c>
      <c r="F926" s="66" t="s">
        <v>3708</v>
      </c>
      <c r="G926" s="66">
        <v>5.0</v>
      </c>
      <c r="H926" s="81">
        <v>1.0</v>
      </c>
      <c r="I926" s="50">
        <v>70320.0</v>
      </c>
    </row>
    <row r="927">
      <c r="A927" s="66">
        <v>7923.0</v>
      </c>
      <c r="B927" s="66">
        <v>18.0</v>
      </c>
      <c r="C927" s="66">
        <v>1.0</v>
      </c>
      <c r="D927" s="66">
        <v>6.0</v>
      </c>
      <c r="E927" s="66">
        <v>0.0</v>
      </c>
      <c r="F927" s="66" t="s">
        <v>3709</v>
      </c>
      <c r="G927" s="66">
        <v>5.0</v>
      </c>
      <c r="H927" s="81">
        <v>4.0</v>
      </c>
      <c r="I927" s="50">
        <v>82822.0</v>
      </c>
    </row>
    <row r="928">
      <c r="A928" s="66">
        <v>7924.0</v>
      </c>
      <c r="B928" s="66">
        <v>59.0</v>
      </c>
      <c r="C928" s="66">
        <v>1.0</v>
      </c>
      <c r="D928" s="66">
        <v>2.0</v>
      </c>
      <c r="E928" s="66">
        <v>0.0</v>
      </c>
      <c r="F928" s="66" t="s">
        <v>3710</v>
      </c>
      <c r="G928" s="66">
        <v>8.0</v>
      </c>
      <c r="H928" s="81">
        <v>1.0</v>
      </c>
      <c r="I928" s="50">
        <v>82121.0</v>
      </c>
    </row>
    <row r="929">
      <c r="A929" s="66">
        <v>7925.0</v>
      </c>
      <c r="B929" s="66">
        <v>59.0</v>
      </c>
      <c r="C929" s="66">
        <v>1.0</v>
      </c>
      <c r="D929" s="66">
        <v>1.0</v>
      </c>
      <c r="E929" s="66">
        <v>1.0</v>
      </c>
      <c r="F929" s="66" t="s">
        <v>3711</v>
      </c>
      <c r="G929" s="66">
        <v>8.0</v>
      </c>
      <c r="H929" s="81">
        <v>2.0</v>
      </c>
      <c r="I929" s="50">
        <v>122621.0</v>
      </c>
    </row>
    <row r="930">
      <c r="A930" s="66">
        <v>7926.0</v>
      </c>
      <c r="B930" s="66">
        <v>38.0</v>
      </c>
      <c r="C930" s="66">
        <v>6.0</v>
      </c>
      <c r="D930" s="66">
        <v>7.0</v>
      </c>
      <c r="E930" s="66">
        <v>0.0</v>
      </c>
      <c r="F930" s="66" t="s">
        <v>3712</v>
      </c>
      <c r="G930" s="66">
        <v>4.0</v>
      </c>
      <c r="H930" s="81">
        <v>1.0</v>
      </c>
      <c r="I930" s="50">
        <v>41713.0</v>
      </c>
    </row>
    <row r="931">
      <c r="A931" s="66">
        <v>7927.0</v>
      </c>
      <c r="B931" s="66">
        <v>52.0</v>
      </c>
      <c r="C931" s="66">
        <v>4.0</v>
      </c>
      <c r="D931" s="66">
        <v>6.0</v>
      </c>
      <c r="E931" s="66">
        <v>1.0</v>
      </c>
      <c r="F931" s="66" t="s">
        <v>3713</v>
      </c>
      <c r="G931" s="66">
        <v>2.0</v>
      </c>
      <c r="H931" s="81">
        <v>2.0</v>
      </c>
      <c r="I931" s="50">
        <v>31917.0</v>
      </c>
    </row>
    <row r="932">
      <c r="A932" s="66">
        <v>7928.0</v>
      </c>
      <c r="B932" s="66">
        <v>18.0</v>
      </c>
      <c r="C932" s="66">
        <v>2.0</v>
      </c>
      <c r="D932" s="66">
        <v>2.0</v>
      </c>
      <c r="E932" s="66">
        <v>1.0</v>
      </c>
      <c r="F932" s="66" t="s">
        <v>3714</v>
      </c>
      <c r="G932" s="66">
        <v>1.0</v>
      </c>
      <c r="H932" s="81">
        <v>3.0</v>
      </c>
      <c r="I932" s="50">
        <v>102218.0</v>
      </c>
    </row>
    <row r="933">
      <c r="A933" s="66">
        <v>7929.0</v>
      </c>
      <c r="B933" s="66">
        <v>18.0</v>
      </c>
      <c r="C933" s="66">
        <v>2.0</v>
      </c>
      <c r="D933" s="66">
        <v>4.0</v>
      </c>
      <c r="E933" s="66">
        <v>0.0</v>
      </c>
      <c r="F933" s="66" t="s">
        <v>3715</v>
      </c>
      <c r="G933" s="66">
        <v>8.0</v>
      </c>
      <c r="H933" s="81">
        <v>4.0</v>
      </c>
      <c r="I933" s="50">
        <v>122315.0</v>
      </c>
    </row>
    <row r="934">
      <c r="A934" s="66">
        <v>7930.0</v>
      </c>
      <c r="B934" s="66">
        <v>18.0</v>
      </c>
      <c r="C934" s="66">
        <v>2.0</v>
      </c>
      <c r="D934" s="66">
        <v>5.0</v>
      </c>
      <c r="E934" s="66">
        <v>1.0</v>
      </c>
      <c r="F934" s="66" t="s">
        <v>3716</v>
      </c>
      <c r="G934" s="66">
        <v>6.0</v>
      </c>
      <c r="H934" s="81">
        <v>3.0</v>
      </c>
      <c r="I934" s="50">
        <v>120814.0</v>
      </c>
    </row>
    <row r="935">
      <c r="A935" s="66">
        <v>7931.0</v>
      </c>
      <c r="B935" s="66">
        <v>79.0</v>
      </c>
      <c r="C935" s="66">
        <v>6.0</v>
      </c>
      <c r="D935" s="66">
        <v>8.0</v>
      </c>
      <c r="E935" s="66">
        <v>1.0</v>
      </c>
      <c r="F935" s="66" t="s">
        <v>3717</v>
      </c>
      <c r="G935" s="66">
        <v>1.0</v>
      </c>
      <c r="H935" s="81">
        <v>2.0</v>
      </c>
      <c r="I935" s="50">
        <v>20817.0</v>
      </c>
    </row>
    <row r="936">
      <c r="A936" s="66">
        <v>7932.0</v>
      </c>
      <c r="B936" s="66">
        <v>38.0</v>
      </c>
      <c r="C936" s="66">
        <v>7.0</v>
      </c>
      <c r="D936" s="66">
        <v>8.0</v>
      </c>
      <c r="E936" s="66">
        <v>0.0</v>
      </c>
      <c r="F936" s="66" t="s">
        <v>3718</v>
      </c>
      <c r="G936" s="66">
        <v>7.0</v>
      </c>
      <c r="H936" s="81">
        <v>1.0</v>
      </c>
      <c r="I936" s="50">
        <v>31315.0</v>
      </c>
    </row>
    <row r="937">
      <c r="A937" s="66">
        <v>7933.0</v>
      </c>
      <c r="B937" s="66">
        <v>18.0</v>
      </c>
      <c r="C937" s="66">
        <v>3.0</v>
      </c>
      <c r="D937" s="66">
        <v>1.0</v>
      </c>
      <c r="E937" s="66">
        <v>0.0</v>
      </c>
      <c r="F937" s="66" t="s">
        <v>3719</v>
      </c>
      <c r="G937" s="66">
        <v>9.0</v>
      </c>
      <c r="H937" s="81">
        <v>1.0</v>
      </c>
      <c r="I937" s="50">
        <v>111014.0</v>
      </c>
    </row>
    <row r="938">
      <c r="A938" s="66">
        <v>7934.0</v>
      </c>
      <c r="B938" s="66">
        <v>79.0</v>
      </c>
      <c r="C938" s="66">
        <v>7.0</v>
      </c>
      <c r="D938" s="66">
        <v>4.0</v>
      </c>
      <c r="E938" s="66">
        <v>1.0</v>
      </c>
      <c r="F938" s="66" t="s">
        <v>3720</v>
      </c>
      <c r="G938" s="66">
        <v>3.0</v>
      </c>
      <c r="H938" s="81">
        <v>2.0</v>
      </c>
      <c r="I938" s="50">
        <v>32017.0</v>
      </c>
    </row>
    <row r="939">
      <c r="A939" s="66">
        <v>7935.0</v>
      </c>
      <c r="B939" s="66">
        <v>18.0</v>
      </c>
      <c r="C939" s="66">
        <v>3.0</v>
      </c>
      <c r="D939" s="66">
        <v>3.0</v>
      </c>
      <c r="E939" s="66">
        <v>1.0</v>
      </c>
      <c r="F939" s="66" t="s">
        <v>3721</v>
      </c>
      <c r="G939" s="66">
        <v>1.0</v>
      </c>
      <c r="H939" s="81">
        <v>3.0</v>
      </c>
      <c r="I939" s="50">
        <v>121520.0</v>
      </c>
    </row>
    <row r="940">
      <c r="A940" s="66">
        <v>7936.0</v>
      </c>
      <c r="B940" s="66">
        <v>59.0</v>
      </c>
      <c r="C940" s="66">
        <v>3.0</v>
      </c>
      <c r="D940" s="66">
        <v>1.0</v>
      </c>
      <c r="E940" s="66">
        <v>1.0</v>
      </c>
      <c r="F940" s="66" t="s">
        <v>3722</v>
      </c>
      <c r="G940" s="66">
        <v>4.0</v>
      </c>
      <c r="H940" s="81">
        <v>1.0</v>
      </c>
      <c r="I940" s="50">
        <v>121013.0</v>
      </c>
    </row>
    <row r="941">
      <c r="A941" s="66">
        <v>7937.0</v>
      </c>
      <c r="B941" s="66">
        <v>59.0</v>
      </c>
      <c r="C941" s="66">
        <v>3.0</v>
      </c>
      <c r="D941" s="66">
        <v>4.0</v>
      </c>
      <c r="E941" s="66">
        <v>0.0</v>
      </c>
      <c r="F941" s="66" t="s">
        <v>3723</v>
      </c>
      <c r="G941" s="66">
        <v>6.0</v>
      </c>
      <c r="H941" s="81">
        <v>4.0</v>
      </c>
      <c r="I941" s="50">
        <v>12013.0</v>
      </c>
    </row>
    <row r="942">
      <c r="A942" s="66">
        <v>7938.0</v>
      </c>
      <c r="B942" s="66">
        <v>79.0</v>
      </c>
      <c r="C942" s="66">
        <v>8.0</v>
      </c>
      <c r="D942" s="66">
        <v>3.0</v>
      </c>
      <c r="E942" s="66">
        <v>0.0</v>
      </c>
      <c r="F942" s="66" t="s">
        <v>3724</v>
      </c>
      <c r="G942" s="66">
        <v>3.0</v>
      </c>
      <c r="H942" s="81">
        <v>4.0</v>
      </c>
      <c r="I942" s="50">
        <v>71217.0</v>
      </c>
    </row>
    <row r="943">
      <c r="A943" s="66">
        <v>7939.0</v>
      </c>
      <c r="B943" s="66">
        <v>18.0</v>
      </c>
      <c r="C943" s="66">
        <v>3.0</v>
      </c>
      <c r="D943" s="66">
        <v>9.0</v>
      </c>
      <c r="E943" s="66">
        <v>1.0</v>
      </c>
      <c r="F943" s="66" t="s">
        <v>3725</v>
      </c>
      <c r="G943" s="66">
        <v>2.0</v>
      </c>
      <c r="H943" s="81">
        <v>1.0</v>
      </c>
      <c r="I943" s="50">
        <v>110516.0</v>
      </c>
    </row>
    <row r="944">
      <c r="A944" s="66">
        <v>7940.0</v>
      </c>
      <c r="B944" s="66">
        <v>59.0</v>
      </c>
      <c r="C944" s="66">
        <v>3.0</v>
      </c>
      <c r="D944" s="66">
        <v>5.0</v>
      </c>
      <c r="E944" s="66">
        <v>1.0</v>
      </c>
      <c r="F944" s="66" t="s">
        <v>3726</v>
      </c>
      <c r="G944" s="66">
        <v>8.0</v>
      </c>
      <c r="H944" s="81">
        <v>3.0</v>
      </c>
      <c r="I944" s="50">
        <v>110922.0</v>
      </c>
    </row>
    <row r="945">
      <c r="A945" s="66">
        <v>7941.0</v>
      </c>
      <c r="B945" s="66">
        <v>18.0</v>
      </c>
      <c r="C945" s="66">
        <v>4.0</v>
      </c>
      <c r="D945" s="66">
        <v>1.0</v>
      </c>
      <c r="E945" s="66">
        <v>1.0</v>
      </c>
      <c r="F945" s="66" t="s">
        <v>3727</v>
      </c>
      <c r="G945" s="66">
        <v>2.0</v>
      </c>
      <c r="H945" s="81">
        <v>5.0</v>
      </c>
      <c r="I945" s="50">
        <v>20819.0</v>
      </c>
    </row>
    <row r="946">
      <c r="A946" s="66">
        <v>7942.0</v>
      </c>
      <c r="B946" s="66">
        <v>59.0</v>
      </c>
      <c r="C946" s="66">
        <v>3.0</v>
      </c>
      <c r="D946" s="66">
        <v>9.0</v>
      </c>
      <c r="E946" s="66">
        <v>1.0</v>
      </c>
      <c r="F946" s="66" t="s">
        <v>3728</v>
      </c>
      <c r="G946" s="66">
        <v>8.0</v>
      </c>
      <c r="H946" s="81">
        <v>4.0</v>
      </c>
      <c r="I946" s="50">
        <v>62213.0</v>
      </c>
    </row>
    <row r="947">
      <c r="A947" s="66">
        <v>7943.0</v>
      </c>
      <c r="B947" s="66">
        <v>79.0</v>
      </c>
      <c r="C947" s="66">
        <v>9.0</v>
      </c>
      <c r="D947" s="66">
        <v>3.0</v>
      </c>
      <c r="E947" s="66">
        <v>0.0</v>
      </c>
      <c r="F947" s="66" t="s">
        <v>3729</v>
      </c>
      <c r="G947" s="66">
        <v>4.0</v>
      </c>
      <c r="H947" s="81">
        <v>5.0</v>
      </c>
      <c r="I947" s="50">
        <v>22920.0</v>
      </c>
    </row>
    <row r="948">
      <c r="A948" s="66">
        <v>7944.0</v>
      </c>
      <c r="B948" s="66">
        <v>38.0</v>
      </c>
      <c r="C948" s="66">
        <v>9.0</v>
      </c>
      <c r="D948" s="66">
        <v>8.0</v>
      </c>
      <c r="E948" s="66">
        <v>0.0</v>
      </c>
      <c r="F948" s="66" t="s">
        <v>3730</v>
      </c>
      <c r="G948" s="66">
        <v>6.0</v>
      </c>
      <c r="H948" s="81">
        <v>2.0</v>
      </c>
      <c r="I948" s="50">
        <v>110918.0</v>
      </c>
    </row>
    <row r="949">
      <c r="A949" s="66">
        <v>7945.0</v>
      </c>
      <c r="B949" s="66">
        <v>18.0</v>
      </c>
      <c r="C949" s="66">
        <v>5.0</v>
      </c>
      <c r="D949" s="66">
        <v>2.0</v>
      </c>
      <c r="E949" s="66">
        <v>1.0</v>
      </c>
      <c r="F949" s="66" t="s">
        <v>3731</v>
      </c>
      <c r="G949" s="66">
        <v>5.0</v>
      </c>
      <c r="H949" s="81">
        <v>3.0</v>
      </c>
      <c r="I949" s="50">
        <v>101022.0</v>
      </c>
    </row>
    <row r="950">
      <c r="A950" s="66">
        <v>7946.0</v>
      </c>
      <c r="B950" s="66">
        <v>79.0</v>
      </c>
      <c r="C950" s="66">
        <v>9.0</v>
      </c>
      <c r="D950" s="66">
        <v>6.0</v>
      </c>
      <c r="E950" s="66">
        <v>0.0</v>
      </c>
      <c r="F950" s="66" t="s">
        <v>3732</v>
      </c>
      <c r="G950" s="66">
        <v>7.0</v>
      </c>
      <c r="H950" s="81">
        <v>5.0</v>
      </c>
      <c r="I950" s="50">
        <v>60218.0</v>
      </c>
    </row>
    <row r="951">
      <c r="A951" s="66">
        <v>7947.0</v>
      </c>
      <c r="B951" s="66">
        <v>18.0</v>
      </c>
      <c r="C951" s="66">
        <v>5.0</v>
      </c>
      <c r="D951" s="66">
        <v>3.0</v>
      </c>
      <c r="E951" s="66">
        <v>1.0</v>
      </c>
      <c r="F951" s="66" t="s">
        <v>3733</v>
      </c>
      <c r="G951" s="66">
        <v>2.0</v>
      </c>
      <c r="H951" s="81">
        <v>2.0</v>
      </c>
      <c r="I951" s="50">
        <v>42419.0</v>
      </c>
    </row>
    <row r="952">
      <c r="A952" s="66">
        <v>7948.0</v>
      </c>
      <c r="B952" s="66">
        <v>18.0</v>
      </c>
      <c r="C952" s="66">
        <v>5.0</v>
      </c>
      <c r="D952" s="66">
        <v>5.0</v>
      </c>
      <c r="E952" s="66">
        <v>1.0</v>
      </c>
      <c r="F952" s="66" t="s">
        <v>3734</v>
      </c>
      <c r="G952" s="66">
        <v>7.0</v>
      </c>
      <c r="H952" s="81">
        <v>5.0</v>
      </c>
      <c r="I952" s="50">
        <v>51822.0</v>
      </c>
    </row>
    <row r="953">
      <c r="A953" s="66">
        <v>7949.0</v>
      </c>
      <c r="B953" s="66">
        <v>18.0</v>
      </c>
      <c r="C953" s="66">
        <v>5.0</v>
      </c>
      <c r="D953" s="66">
        <v>8.0</v>
      </c>
      <c r="E953" s="66">
        <v>1.0</v>
      </c>
      <c r="F953" s="66" t="s">
        <v>3735</v>
      </c>
      <c r="G953" s="66">
        <v>1.0</v>
      </c>
      <c r="H953" s="81">
        <v>5.0</v>
      </c>
      <c r="I953" s="50">
        <v>72217.0</v>
      </c>
    </row>
    <row r="954">
      <c r="A954" s="66">
        <v>7950.0</v>
      </c>
      <c r="B954" s="66">
        <v>39.0</v>
      </c>
      <c r="C954" s="66">
        <v>1.0</v>
      </c>
      <c r="D954" s="66">
        <v>6.0</v>
      </c>
      <c r="E954" s="66">
        <v>1.0</v>
      </c>
      <c r="F954" s="66" t="s">
        <v>3736</v>
      </c>
      <c r="G954" s="66">
        <v>5.0</v>
      </c>
      <c r="H954" s="81">
        <v>2.0</v>
      </c>
      <c r="I954" s="50">
        <v>62021.0</v>
      </c>
    </row>
    <row r="955">
      <c r="A955" s="66">
        <v>7951.0</v>
      </c>
      <c r="B955" s="66">
        <v>59.0</v>
      </c>
      <c r="C955" s="66">
        <v>6.0</v>
      </c>
      <c r="D955" s="66">
        <v>5.0</v>
      </c>
      <c r="E955" s="66">
        <v>1.0</v>
      </c>
      <c r="F955" s="66" t="s">
        <v>3737</v>
      </c>
      <c r="G955" s="66">
        <v>2.0</v>
      </c>
      <c r="H955" s="81">
        <v>5.0</v>
      </c>
      <c r="I955" s="50">
        <v>11321.0</v>
      </c>
    </row>
    <row r="956">
      <c r="A956" s="66">
        <v>7952.0</v>
      </c>
      <c r="B956" s="66">
        <v>39.0</v>
      </c>
      <c r="C956" s="66">
        <v>1.0</v>
      </c>
      <c r="D956" s="66">
        <v>8.0</v>
      </c>
      <c r="E956" s="66">
        <v>1.0</v>
      </c>
      <c r="F956" s="66" t="s">
        <v>3738</v>
      </c>
      <c r="G956" s="66">
        <v>3.0</v>
      </c>
      <c r="H956" s="81">
        <v>4.0</v>
      </c>
      <c r="I956" s="50">
        <v>42117.0</v>
      </c>
    </row>
    <row r="957">
      <c r="A957" s="66">
        <v>7953.0</v>
      </c>
      <c r="B957" s="66">
        <v>59.0</v>
      </c>
      <c r="C957" s="66">
        <v>6.0</v>
      </c>
      <c r="D957" s="66">
        <v>4.0</v>
      </c>
      <c r="E957" s="66">
        <v>0.0</v>
      </c>
      <c r="F957" s="66" t="s">
        <v>3739</v>
      </c>
      <c r="G957" s="66">
        <v>2.0</v>
      </c>
      <c r="H957" s="81">
        <v>3.0</v>
      </c>
      <c r="I957" s="50">
        <v>100616.0</v>
      </c>
    </row>
    <row r="958">
      <c r="A958" s="66">
        <v>7954.0</v>
      </c>
      <c r="B958" s="66">
        <v>18.0</v>
      </c>
      <c r="C958" s="66">
        <v>6.0</v>
      </c>
      <c r="D958" s="66">
        <v>8.0</v>
      </c>
      <c r="E958" s="66">
        <v>0.0</v>
      </c>
      <c r="F958" s="66" t="s">
        <v>3740</v>
      </c>
      <c r="G958" s="66">
        <v>6.0</v>
      </c>
      <c r="H958" s="81">
        <v>3.0</v>
      </c>
      <c r="I958" s="50">
        <v>112114.0</v>
      </c>
    </row>
    <row r="959">
      <c r="A959" s="66">
        <v>7955.0</v>
      </c>
      <c r="B959" s="66">
        <v>39.0</v>
      </c>
      <c r="C959" s="66">
        <v>2.0</v>
      </c>
      <c r="D959" s="66">
        <v>1.0</v>
      </c>
      <c r="E959" s="66">
        <v>0.0</v>
      </c>
      <c r="F959" s="66" t="s">
        <v>3741</v>
      </c>
      <c r="G959" s="66">
        <v>8.0</v>
      </c>
      <c r="H959" s="81">
        <v>4.0</v>
      </c>
      <c r="I959" s="50">
        <v>90322.0</v>
      </c>
    </row>
    <row r="960">
      <c r="A960" s="66">
        <v>7956.0</v>
      </c>
      <c r="B960" s="66">
        <v>39.0</v>
      </c>
      <c r="C960" s="66">
        <v>2.0</v>
      </c>
      <c r="D960" s="66">
        <v>3.0</v>
      </c>
      <c r="E960" s="66">
        <v>1.0</v>
      </c>
      <c r="F960" s="66" t="s">
        <v>3742</v>
      </c>
      <c r="G960" s="66">
        <v>5.0</v>
      </c>
      <c r="H960" s="81">
        <v>5.0</v>
      </c>
      <c r="I960" s="50">
        <v>51417.0</v>
      </c>
    </row>
    <row r="961">
      <c r="A961" s="66">
        <v>7957.0</v>
      </c>
      <c r="B961" s="66">
        <v>39.0</v>
      </c>
      <c r="C961" s="66">
        <v>2.0</v>
      </c>
      <c r="D961" s="66">
        <v>6.0</v>
      </c>
      <c r="E961" s="66">
        <v>0.0</v>
      </c>
      <c r="F961" s="66" t="s">
        <v>3743</v>
      </c>
      <c r="G961" s="66">
        <v>3.0</v>
      </c>
      <c r="H961" s="81">
        <v>2.0</v>
      </c>
      <c r="I961" s="50">
        <v>80218.0</v>
      </c>
    </row>
    <row r="962">
      <c r="A962" s="66">
        <v>7958.0</v>
      </c>
      <c r="B962" s="66">
        <v>18.0</v>
      </c>
      <c r="C962" s="66">
        <v>7.0</v>
      </c>
      <c r="D962" s="66">
        <v>8.0</v>
      </c>
      <c r="E962" s="66">
        <v>1.0</v>
      </c>
      <c r="F962" s="66" t="s">
        <v>3744</v>
      </c>
      <c r="G962" s="66">
        <v>3.0</v>
      </c>
      <c r="H962" s="81">
        <v>1.0</v>
      </c>
      <c r="I962" s="50">
        <v>22517.0</v>
      </c>
    </row>
    <row r="963">
      <c r="A963" s="66">
        <v>7959.0</v>
      </c>
      <c r="B963" s="66">
        <v>39.0</v>
      </c>
      <c r="C963" s="66">
        <v>3.0</v>
      </c>
      <c r="D963" s="66">
        <v>4.0</v>
      </c>
      <c r="E963" s="66">
        <v>0.0</v>
      </c>
      <c r="F963" s="66" t="s">
        <v>3745</v>
      </c>
      <c r="G963" s="66">
        <v>8.0</v>
      </c>
      <c r="H963" s="81">
        <v>4.0</v>
      </c>
      <c r="I963" s="50">
        <v>110721.0</v>
      </c>
    </row>
    <row r="964">
      <c r="A964" s="66">
        <v>7960.0</v>
      </c>
      <c r="B964" s="66">
        <v>39.0</v>
      </c>
      <c r="C964" s="66">
        <v>3.0</v>
      </c>
      <c r="D964" s="66">
        <v>5.0</v>
      </c>
      <c r="E964" s="66">
        <v>0.0</v>
      </c>
      <c r="F964" s="66" t="s">
        <v>3746</v>
      </c>
      <c r="G964" s="66">
        <v>1.0</v>
      </c>
      <c r="H964" s="81">
        <v>5.0</v>
      </c>
      <c r="I964" s="50">
        <v>71616.0</v>
      </c>
    </row>
    <row r="965">
      <c r="A965" s="66">
        <v>7961.0</v>
      </c>
      <c r="B965" s="66">
        <v>59.0</v>
      </c>
      <c r="C965" s="66">
        <v>8.0</v>
      </c>
      <c r="D965" s="66">
        <v>4.0</v>
      </c>
      <c r="E965" s="66">
        <v>0.0</v>
      </c>
      <c r="F965" s="66" t="s">
        <v>3747</v>
      </c>
      <c r="G965" s="66">
        <v>7.0</v>
      </c>
      <c r="H965" s="81">
        <v>1.0</v>
      </c>
      <c r="I965" s="50">
        <v>92120.0</v>
      </c>
    </row>
    <row r="966">
      <c r="A966" s="66">
        <v>7962.0</v>
      </c>
      <c r="B966" s="66">
        <v>59.0</v>
      </c>
      <c r="C966" s="66">
        <v>9.0</v>
      </c>
      <c r="D966" s="66">
        <v>1.0</v>
      </c>
      <c r="E966" s="66">
        <v>1.0</v>
      </c>
      <c r="F966" s="66" t="s">
        <v>3748</v>
      </c>
      <c r="G966" s="66">
        <v>2.0</v>
      </c>
      <c r="H966" s="81">
        <v>1.0</v>
      </c>
      <c r="I966" s="50">
        <v>41414.0</v>
      </c>
    </row>
    <row r="967">
      <c r="A967" s="66">
        <v>7963.0</v>
      </c>
      <c r="B967" s="66">
        <v>59.0</v>
      </c>
      <c r="C967" s="66">
        <v>9.0</v>
      </c>
      <c r="D967" s="66">
        <v>2.0</v>
      </c>
      <c r="E967" s="66">
        <v>1.0</v>
      </c>
      <c r="F967" s="66" t="s">
        <v>3749</v>
      </c>
      <c r="G967" s="66">
        <v>2.0</v>
      </c>
      <c r="H967" s="81">
        <v>2.0</v>
      </c>
      <c r="I967" s="50">
        <v>50921.0</v>
      </c>
    </row>
    <row r="968">
      <c r="A968" s="66">
        <v>7964.0</v>
      </c>
      <c r="B968" s="66">
        <v>59.0</v>
      </c>
      <c r="C968" s="66">
        <v>9.0</v>
      </c>
      <c r="D968" s="66">
        <v>4.0</v>
      </c>
      <c r="E968" s="66">
        <v>0.0</v>
      </c>
      <c r="F968" s="66" t="s">
        <v>3750</v>
      </c>
      <c r="G968" s="66">
        <v>4.0</v>
      </c>
      <c r="H968" s="81">
        <v>2.0</v>
      </c>
      <c r="I968" s="50">
        <v>22221.0</v>
      </c>
    </row>
    <row r="969">
      <c r="A969" s="66">
        <v>7965.0</v>
      </c>
      <c r="B969" s="66">
        <v>39.0</v>
      </c>
      <c r="C969" s="66">
        <v>5.0</v>
      </c>
      <c r="D969" s="66">
        <v>7.0</v>
      </c>
      <c r="E969" s="66">
        <v>1.0</v>
      </c>
      <c r="F969" s="66" t="s">
        <v>3751</v>
      </c>
      <c r="G969" s="66">
        <v>1.0</v>
      </c>
      <c r="H969" s="81">
        <v>2.0</v>
      </c>
      <c r="I969" s="50">
        <v>40717.0</v>
      </c>
    </row>
    <row r="970">
      <c r="A970" s="66">
        <v>7966.0</v>
      </c>
      <c r="B970" s="66">
        <v>19.0</v>
      </c>
      <c r="C970" s="66">
        <v>1.0</v>
      </c>
      <c r="D970" s="66">
        <v>7.0</v>
      </c>
      <c r="E970" s="66">
        <v>1.0</v>
      </c>
      <c r="F970" s="66" t="s">
        <v>3752</v>
      </c>
      <c r="G970" s="66">
        <v>9.0</v>
      </c>
      <c r="H970" s="81">
        <v>5.0</v>
      </c>
      <c r="I970" s="50">
        <v>60820.0</v>
      </c>
    </row>
    <row r="971">
      <c r="A971" s="66">
        <v>7967.0</v>
      </c>
      <c r="B971" s="66">
        <v>39.0</v>
      </c>
      <c r="C971" s="66">
        <v>6.0</v>
      </c>
      <c r="D971" s="66">
        <v>5.0</v>
      </c>
      <c r="E971" s="66">
        <v>1.0</v>
      </c>
      <c r="F971" s="66" t="s">
        <v>3753</v>
      </c>
      <c r="G971" s="66">
        <v>4.0</v>
      </c>
      <c r="H971" s="81">
        <v>2.0</v>
      </c>
      <c r="I971" s="50">
        <v>30718.0</v>
      </c>
    </row>
    <row r="972">
      <c r="A972" s="66">
        <v>7968.0</v>
      </c>
      <c r="B972" s="66">
        <v>39.0</v>
      </c>
      <c r="C972" s="66">
        <v>6.0</v>
      </c>
      <c r="D972" s="66">
        <v>7.0</v>
      </c>
      <c r="E972" s="66">
        <v>0.0</v>
      </c>
      <c r="F972" s="66" t="s">
        <v>3754</v>
      </c>
      <c r="G972" s="66">
        <v>2.0</v>
      </c>
      <c r="H972" s="81">
        <v>5.0</v>
      </c>
      <c r="I972" s="50">
        <v>101716.0</v>
      </c>
    </row>
    <row r="973">
      <c r="A973" s="66">
        <v>7969.0</v>
      </c>
      <c r="B973" s="66">
        <v>39.0</v>
      </c>
      <c r="C973" s="66">
        <v>7.0</v>
      </c>
      <c r="D973" s="66">
        <v>1.0</v>
      </c>
      <c r="E973" s="66">
        <v>0.0</v>
      </c>
      <c r="F973" s="66" t="s">
        <v>3755</v>
      </c>
      <c r="G973" s="66">
        <v>9.0</v>
      </c>
      <c r="H973" s="81">
        <v>1.0</v>
      </c>
      <c r="I973" s="50">
        <v>63015.0</v>
      </c>
    </row>
    <row r="974">
      <c r="A974" s="66">
        <v>7970.0</v>
      </c>
      <c r="B974" s="66">
        <v>19.0</v>
      </c>
      <c r="C974" s="66">
        <v>2.0</v>
      </c>
      <c r="D974" s="66">
        <v>3.0</v>
      </c>
      <c r="E974" s="66">
        <v>1.0</v>
      </c>
      <c r="F974" s="66" t="s">
        <v>3756</v>
      </c>
      <c r="G974" s="66">
        <v>6.0</v>
      </c>
      <c r="H974" s="81">
        <v>5.0</v>
      </c>
      <c r="I974" s="50">
        <v>100313.0</v>
      </c>
    </row>
    <row r="975">
      <c r="A975" s="66">
        <v>7971.0</v>
      </c>
      <c r="B975" s="66">
        <v>36.0</v>
      </c>
      <c r="C975" s="66">
        <v>3.0</v>
      </c>
      <c r="D975" s="66">
        <v>9.0</v>
      </c>
      <c r="E975" s="66">
        <v>0.0</v>
      </c>
      <c r="F975" s="66" t="s">
        <v>3757</v>
      </c>
      <c r="G975" s="66">
        <v>5.0</v>
      </c>
      <c r="H975" s="81">
        <v>1.0</v>
      </c>
      <c r="I975" s="50">
        <v>12222.0</v>
      </c>
    </row>
    <row r="976">
      <c r="A976" s="66">
        <v>7972.0</v>
      </c>
      <c r="B976" s="66">
        <v>39.0</v>
      </c>
      <c r="C976" s="66">
        <v>7.0</v>
      </c>
      <c r="D976" s="66">
        <v>4.0</v>
      </c>
      <c r="E976" s="66">
        <v>0.0</v>
      </c>
      <c r="F976" s="66" t="s">
        <v>3758</v>
      </c>
      <c r="G976" s="66">
        <v>3.0</v>
      </c>
      <c r="H976" s="81">
        <v>5.0</v>
      </c>
      <c r="I976" s="50">
        <v>112118.0</v>
      </c>
    </row>
    <row r="977">
      <c r="A977" s="66">
        <v>7973.0</v>
      </c>
      <c r="B977" s="66">
        <v>39.0</v>
      </c>
      <c r="C977" s="66">
        <v>7.0</v>
      </c>
      <c r="D977" s="66">
        <v>9.0</v>
      </c>
      <c r="E977" s="66">
        <v>0.0</v>
      </c>
      <c r="F977" s="66" t="s">
        <v>3759</v>
      </c>
      <c r="G977" s="66">
        <v>9.0</v>
      </c>
      <c r="H977" s="81">
        <v>3.0</v>
      </c>
      <c r="I977" s="50">
        <v>50613.0</v>
      </c>
    </row>
    <row r="978">
      <c r="A978" s="66">
        <v>7974.0</v>
      </c>
      <c r="B978" s="66">
        <v>19.0</v>
      </c>
      <c r="C978" s="66">
        <v>3.0</v>
      </c>
      <c r="D978" s="66">
        <v>4.0</v>
      </c>
      <c r="E978" s="66">
        <v>1.0</v>
      </c>
      <c r="F978" s="66" t="s">
        <v>3760</v>
      </c>
      <c r="G978" s="66">
        <v>2.0</v>
      </c>
      <c r="H978" s="81">
        <v>4.0</v>
      </c>
      <c r="I978" s="50">
        <v>50120.0</v>
      </c>
    </row>
    <row r="979">
      <c r="A979" s="66">
        <v>7975.0</v>
      </c>
      <c r="B979" s="66">
        <v>19.0</v>
      </c>
      <c r="C979" s="66">
        <v>3.0</v>
      </c>
      <c r="D979" s="66">
        <v>5.0</v>
      </c>
      <c r="E979" s="66">
        <v>0.0</v>
      </c>
      <c r="F979" s="66" t="s">
        <v>3761</v>
      </c>
      <c r="G979" s="66">
        <v>2.0</v>
      </c>
      <c r="H979" s="81">
        <v>2.0</v>
      </c>
      <c r="I979" s="50">
        <v>92415.0</v>
      </c>
    </row>
    <row r="980">
      <c r="A980" s="66">
        <v>7976.0</v>
      </c>
      <c r="B980" s="66">
        <v>19.0</v>
      </c>
      <c r="C980" s="66">
        <v>4.0</v>
      </c>
      <c r="D980" s="66">
        <v>1.0</v>
      </c>
      <c r="E980" s="66">
        <v>1.0</v>
      </c>
      <c r="F980" s="66" t="s">
        <v>3762</v>
      </c>
      <c r="G980" s="66">
        <v>2.0</v>
      </c>
      <c r="H980" s="81">
        <v>3.0</v>
      </c>
      <c r="I980" s="50">
        <v>21213.0</v>
      </c>
    </row>
    <row r="981">
      <c r="A981" s="66">
        <v>7977.0</v>
      </c>
      <c r="B981" s="66">
        <v>39.0</v>
      </c>
      <c r="C981" s="66">
        <v>9.0</v>
      </c>
      <c r="D981" s="66">
        <v>3.0</v>
      </c>
      <c r="E981" s="66">
        <v>0.0</v>
      </c>
      <c r="F981" s="66" t="s">
        <v>3763</v>
      </c>
      <c r="G981" s="66">
        <v>8.0</v>
      </c>
      <c r="H981" s="81">
        <v>2.0</v>
      </c>
      <c r="I981" s="50">
        <v>111921.0</v>
      </c>
    </row>
    <row r="982">
      <c r="A982" s="66">
        <v>7978.0</v>
      </c>
      <c r="B982" s="66">
        <v>19.0</v>
      </c>
      <c r="C982" s="66">
        <v>4.0</v>
      </c>
      <c r="D982" s="66">
        <v>7.0</v>
      </c>
      <c r="E982" s="66">
        <v>0.0</v>
      </c>
      <c r="F982" s="66" t="s">
        <v>3764</v>
      </c>
      <c r="G982" s="66">
        <v>4.0</v>
      </c>
      <c r="H982" s="81">
        <v>1.0</v>
      </c>
      <c r="I982" s="50">
        <v>120315.0</v>
      </c>
    </row>
    <row r="983">
      <c r="A983" s="66">
        <v>7979.0</v>
      </c>
      <c r="B983" s="66">
        <v>19.0</v>
      </c>
      <c r="C983" s="66">
        <v>6.0</v>
      </c>
      <c r="D983" s="66">
        <v>2.0</v>
      </c>
      <c r="E983" s="66">
        <v>0.0</v>
      </c>
      <c r="F983" s="66" t="s">
        <v>3765</v>
      </c>
      <c r="G983" s="66">
        <v>3.0</v>
      </c>
      <c r="H983" s="81">
        <v>3.0</v>
      </c>
      <c r="I983" s="50">
        <v>70314.0</v>
      </c>
    </row>
    <row r="984">
      <c r="A984" s="66">
        <v>7980.0</v>
      </c>
      <c r="B984" s="66">
        <v>19.0</v>
      </c>
      <c r="C984" s="66">
        <v>7.0</v>
      </c>
      <c r="D984" s="66">
        <v>1.0</v>
      </c>
      <c r="E984" s="66">
        <v>1.0</v>
      </c>
      <c r="F984" s="66" t="s">
        <v>3766</v>
      </c>
      <c r="G984" s="66">
        <v>6.0</v>
      </c>
      <c r="H984" s="81">
        <v>3.0</v>
      </c>
      <c r="I984" s="50">
        <v>62319.0</v>
      </c>
    </row>
    <row r="985">
      <c r="A985" s="66">
        <v>7981.0</v>
      </c>
      <c r="B985" s="66">
        <v>81.0</v>
      </c>
      <c r="C985" s="66">
        <v>1.0</v>
      </c>
      <c r="D985" s="66">
        <v>8.0</v>
      </c>
      <c r="E985" s="66">
        <v>1.0</v>
      </c>
      <c r="F985" s="66" t="s">
        <v>3767</v>
      </c>
      <c r="G985" s="66">
        <v>3.0</v>
      </c>
      <c r="H985" s="81">
        <v>4.0</v>
      </c>
      <c r="I985" s="50">
        <v>103018.0</v>
      </c>
    </row>
    <row r="986">
      <c r="A986" s="66">
        <v>7982.0</v>
      </c>
      <c r="B986" s="66">
        <v>19.0</v>
      </c>
      <c r="C986" s="66">
        <v>7.0</v>
      </c>
      <c r="D986" s="66">
        <v>5.0</v>
      </c>
      <c r="E986" s="66">
        <v>0.0</v>
      </c>
      <c r="F986" s="66" t="s">
        <v>3768</v>
      </c>
      <c r="G986" s="66">
        <v>1.0</v>
      </c>
      <c r="H986" s="81">
        <v>2.0</v>
      </c>
      <c r="I986" s="50">
        <v>122521.0</v>
      </c>
    </row>
    <row r="987">
      <c r="A987" s="66">
        <v>7983.0</v>
      </c>
      <c r="B987" s="66">
        <v>81.0</v>
      </c>
      <c r="C987" s="66">
        <v>2.0</v>
      </c>
      <c r="D987" s="66">
        <v>1.0</v>
      </c>
      <c r="E987" s="66">
        <v>1.0</v>
      </c>
      <c r="F987" s="66" t="s">
        <v>3769</v>
      </c>
      <c r="G987" s="66">
        <v>7.0</v>
      </c>
      <c r="H987" s="81">
        <v>3.0</v>
      </c>
      <c r="I987" s="50">
        <v>62220.0</v>
      </c>
    </row>
    <row r="988">
      <c r="A988" s="66">
        <v>7984.0</v>
      </c>
      <c r="B988" s="66">
        <v>81.0</v>
      </c>
      <c r="C988" s="66">
        <v>2.0</v>
      </c>
      <c r="D988" s="66">
        <v>4.0</v>
      </c>
      <c r="E988" s="66">
        <v>0.0</v>
      </c>
      <c r="F988" s="66" t="s">
        <v>3770</v>
      </c>
      <c r="G988" s="66">
        <v>8.0</v>
      </c>
      <c r="H988" s="81">
        <v>1.0</v>
      </c>
      <c r="I988" s="50">
        <v>40518.0</v>
      </c>
    </row>
    <row r="989">
      <c r="A989" s="66">
        <v>7985.0</v>
      </c>
      <c r="B989" s="66">
        <v>81.0</v>
      </c>
      <c r="C989" s="66">
        <v>3.0</v>
      </c>
      <c r="D989" s="66">
        <v>1.0</v>
      </c>
      <c r="E989" s="66">
        <v>0.0</v>
      </c>
      <c r="F989" s="66" t="s">
        <v>3771</v>
      </c>
      <c r="G989" s="66">
        <v>2.0</v>
      </c>
      <c r="H989" s="81">
        <v>3.0</v>
      </c>
      <c r="I989" s="50">
        <v>62316.0</v>
      </c>
    </row>
    <row r="990">
      <c r="A990" s="66">
        <v>7986.0</v>
      </c>
      <c r="B990" s="66">
        <v>81.0</v>
      </c>
      <c r="C990" s="66">
        <v>3.0</v>
      </c>
      <c r="D990" s="66">
        <v>2.0</v>
      </c>
      <c r="E990" s="66">
        <v>0.0</v>
      </c>
      <c r="F990" s="66" t="s">
        <v>3772</v>
      </c>
      <c r="G990" s="66">
        <v>3.0</v>
      </c>
      <c r="H990" s="81">
        <v>2.0</v>
      </c>
      <c r="I990" s="50">
        <v>121219.0</v>
      </c>
    </row>
    <row r="991">
      <c r="A991" s="66">
        <v>7987.0</v>
      </c>
      <c r="B991" s="66">
        <v>81.0</v>
      </c>
      <c r="C991" s="66">
        <v>3.0</v>
      </c>
      <c r="D991" s="66">
        <v>7.0</v>
      </c>
      <c r="E991" s="66">
        <v>0.0</v>
      </c>
      <c r="F991" s="66" t="s">
        <v>3773</v>
      </c>
      <c r="G991" s="66">
        <v>5.0</v>
      </c>
      <c r="H991" s="81">
        <v>4.0</v>
      </c>
      <c r="I991" s="50">
        <v>40814.0</v>
      </c>
    </row>
    <row r="992">
      <c r="A992" s="66">
        <v>7988.0</v>
      </c>
      <c r="B992" s="66">
        <v>19.0</v>
      </c>
      <c r="C992" s="66">
        <v>9.0</v>
      </c>
      <c r="D992" s="66">
        <v>3.0</v>
      </c>
      <c r="E992" s="66">
        <v>0.0</v>
      </c>
      <c r="F992" s="66" t="s">
        <v>3774</v>
      </c>
      <c r="G992" s="66">
        <v>8.0</v>
      </c>
      <c r="H992" s="81">
        <v>2.0</v>
      </c>
      <c r="I992" s="50">
        <v>72414.0</v>
      </c>
    </row>
    <row r="993">
      <c r="A993" s="66">
        <v>7989.0</v>
      </c>
      <c r="B993" s="66">
        <v>19.0</v>
      </c>
      <c r="C993" s="66">
        <v>9.0</v>
      </c>
      <c r="D993" s="66">
        <v>7.0</v>
      </c>
      <c r="E993" s="66">
        <v>1.0</v>
      </c>
      <c r="F993" s="66" t="s">
        <v>3775</v>
      </c>
      <c r="G993" s="66">
        <v>1.0</v>
      </c>
      <c r="H993" s="81">
        <v>2.0</v>
      </c>
      <c r="I993" s="50">
        <v>51517.0</v>
      </c>
    </row>
    <row r="994">
      <c r="A994" s="66">
        <v>7990.0</v>
      </c>
      <c r="B994" s="66">
        <v>81.0</v>
      </c>
      <c r="C994" s="66">
        <v>5.0</v>
      </c>
      <c r="D994" s="66">
        <v>4.0</v>
      </c>
      <c r="E994" s="66">
        <v>0.0</v>
      </c>
      <c r="F994" s="66" t="s">
        <v>3776</v>
      </c>
      <c r="G994" s="66">
        <v>7.0</v>
      </c>
      <c r="H994" s="81">
        <v>4.0</v>
      </c>
      <c r="I994" s="50">
        <v>81721.0</v>
      </c>
    </row>
    <row r="995">
      <c r="A995" s="66">
        <v>7991.0</v>
      </c>
      <c r="B995" s="66">
        <v>61.0</v>
      </c>
      <c r="C995" s="66">
        <v>1.0</v>
      </c>
      <c r="D995" s="66">
        <v>7.0</v>
      </c>
      <c r="E995" s="66">
        <v>1.0</v>
      </c>
      <c r="F995" s="66" t="s">
        <v>3777</v>
      </c>
      <c r="G995" s="66">
        <v>1.0</v>
      </c>
      <c r="H995" s="81">
        <v>5.0</v>
      </c>
      <c r="I995" s="50">
        <v>81913.0</v>
      </c>
    </row>
    <row r="996">
      <c r="A996" s="66">
        <v>7992.0</v>
      </c>
      <c r="B996" s="66">
        <v>81.0</v>
      </c>
      <c r="C996" s="66">
        <v>6.0</v>
      </c>
      <c r="D996" s="66">
        <v>7.0</v>
      </c>
      <c r="E996" s="66">
        <v>1.0</v>
      </c>
      <c r="F996" s="66" t="s">
        <v>3778</v>
      </c>
      <c r="G996" s="66">
        <v>6.0</v>
      </c>
      <c r="H996" s="81">
        <v>2.0</v>
      </c>
      <c r="I996" s="50">
        <v>101019.0</v>
      </c>
    </row>
    <row r="997">
      <c r="A997" s="66">
        <v>7993.0</v>
      </c>
      <c r="B997" s="66">
        <v>81.0</v>
      </c>
      <c r="C997" s="66">
        <v>7.0</v>
      </c>
      <c r="D997" s="66">
        <v>6.0</v>
      </c>
      <c r="E997" s="66">
        <v>1.0</v>
      </c>
      <c r="F997" s="66" t="s">
        <v>3779</v>
      </c>
      <c r="G997" s="66">
        <v>9.0</v>
      </c>
      <c r="H997" s="81">
        <v>1.0</v>
      </c>
      <c r="I997" s="50">
        <v>50414.0</v>
      </c>
    </row>
    <row r="998">
      <c r="A998" s="66">
        <v>7994.0</v>
      </c>
      <c r="B998" s="66">
        <v>61.0</v>
      </c>
      <c r="C998" s="66">
        <v>3.0</v>
      </c>
      <c r="D998" s="66">
        <v>3.0</v>
      </c>
      <c r="E998" s="66">
        <v>0.0</v>
      </c>
      <c r="F998" s="66" t="s">
        <v>3780</v>
      </c>
      <c r="G998" s="66">
        <v>7.0</v>
      </c>
      <c r="H998" s="81">
        <v>5.0</v>
      </c>
      <c r="I998" s="50">
        <v>92318.0</v>
      </c>
    </row>
    <row r="999">
      <c r="A999" s="66">
        <v>7995.0</v>
      </c>
      <c r="B999" s="66">
        <v>81.0</v>
      </c>
      <c r="C999" s="66">
        <v>8.0</v>
      </c>
      <c r="D999" s="66">
        <v>2.0</v>
      </c>
      <c r="E999" s="66">
        <v>1.0</v>
      </c>
      <c r="F999" s="66" t="s">
        <v>3781</v>
      </c>
      <c r="G999" s="66">
        <v>3.0</v>
      </c>
      <c r="H999" s="81">
        <v>1.0</v>
      </c>
      <c r="I999" s="50">
        <v>21115.0</v>
      </c>
    </row>
    <row r="1000">
      <c r="A1000" s="66">
        <v>7996.0</v>
      </c>
      <c r="B1000" s="66">
        <v>81.0</v>
      </c>
      <c r="C1000" s="66">
        <v>8.0</v>
      </c>
      <c r="D1000" s="66">
        <v>3.0</v>
      </c>
      <c r="E1000" s="66">
        <v>0.0</v>
      </c>
      <c r="F1000" s="66" t="s">
        <v>3782</v>
      </c>
      <c r="G1000" s="66">
        <v>4.0</v>
      </c>
      <c r="H1000" s="81">
        <v>2.0</v>
      </c>
      <c r="I1000" s="50">
        <v>11019.0</v>
      </c>
    </row>
    <row r="1001">
      <c r="A1001" s="66">
        <v>7997.0</v>
      </c>
      <c r="B1001" s="66">
        <v>81.0</v>
      </c>
      <c r="C1001" s="66">
        <v>8.0</v>
      </c>
      <c r="D1001" s="66">
        <v>5.0</v>
      </c>
      <c r="E1001" s="66">
        <v>0.0</v>
      </c>
      <c r="F1001" s="66" t="s">
        <v>3783</v>
      </c>
      <c r="G1001" s="66">
        <v>2.0</v>
      </c>
      <c r="H1001" s="81">
        <v>1.0</v>
      </c>
      <c r="I1001" s="50">
        <v>42715.0</v>
      </c>
    </row>
    <row r="1002">
      <c r="A1002" s="66">
        <v>7998.0</v>
      </c>
      <c r="B1002" s="66">
        <v>61.0</v>
      </c>
      <c r="C1002" s="66">
        <v>3.0</v>
      </c>
      <c r="D1002" s="66">
        <v>9.0</v>
      </c>
      <c r="E1002" s="66">
        <v>0.0</v>
      </c>
      <c r="F1002" s="66" t="s">
        <v>3784</v>
      </c>
      <c r="G1002" s="66">
        <v>1.0</v>
      </c>
      <c r="H1002" s="81">
        <v>3.0</v>
      </c>
      <c r="I1002" s="50">
        <v>90914.0</v>
      </c>
    </row>
    <row r="1003">
      <c r="A1003" s="66">
        <v>7999.0</v>
      </c>
      <c r="B1003" s="66">
        <v>61.0</v>
      </c>
      <c r="C1003" s="66">
        <v>4.0</v>
      </c>
      <c r="D1003" s="66">
        <v>3.0</v>
      </c>
      <c r="E1003" s="66">
        <v>0.0</v>
      </c>
      <c r="F1003" s="66" t="s">
        <v>3785</v>
      </c>
      <c r="G1003" s="66">
        <v>3.0</v>
      </c>
      <c r="H1003" s="81">
        <v>3.0</v>
      </c>
      <c r="I1003" s="50">
        <v>51722.0</v>
      </c>
    </row>
    <row r="1004">
      <c r="A1004" s="59"/>
      <c r="B1004" s="59"/>
      <c r="C1004" s="59"/>
      <c r="D1004" s="59"/>
      <c r="E1004" s="59"/>
      <c r="F1004" s="59"/>
      <c r="G1004" s="59"/>
      <c r="H1004" s="82"/>
    </row>
    <row r="1005">
      <c r="A1005" s="59"/>
      <c r="B1005" s="59"/>
      <c r="C1005" s="59"/>
      <c r="D1005" s="59"/>
      <c r="E1005" s="59"/>
      <c r="F1005" s="59"/>
      <c r="G1005" s="59"/>
      <c r="H1005" s="82"/>
    </row>
    <row r="1006">
      <c r="A1006" s="59"/>
      <c r="B1006" s="59"/>
      <c r="C1006" s="59"/>
      <c r="D1006" s="59"/>
      <c r="E1006" s="59"/>
      <c r="F1006" s="59"/>
      <c r="G1006" s="59"/>
      <c r="H1006" s="82"/>
    </row>
    <row r="1007">
      <c r="A1007" s="59"/>
      <c r="B1007" s="59"/>
      <c r="C1007" s="59"/>
      <c r="D1007" s="59"/>
      <c r="E1007" s="59"/>
      <c r="F1007" s="59"/>
      <c r="G1007" s="59"/>
      <c r="H1007" s="82"/>
    </row>
    <row r="1008">
      <c r="A1008" s="59"/>
      <c r="B1008" s="59"/>
      <c r="C1008" s="59"/>
      <c r="D1008" s="59"/>
      <c r="E1008" s="59"/>
      <c r="F1008" s="59"/>
      <c r="G1008" s="59"/>
      <c r="H1008" s="82"/>
    </row>
    <row r="1009">
      <c r="A1009" s="59"/>
      <c r="B1009" s="59"/>
      <c r="C1009" s="59"/>
      <c r="D1009" s="59"/>
      <c r="E1009" s="59"/>
      <c r="F1009" s="59"/>
      <c r="G1009" s="59"/>
      <c r="H1009" s="82"/>
      <c r="I1009" s="59"/>
    </row>
    <row r="1010">
      <c r="A1010" s="59"/>
      <c r="B1010" s="59"/>
      <c r="C1010" s="59"/>
      <c r="D1010" s="59"/>
      <c r="E1010" s="59"/>
      <c r="F1010" s="59"/>
      <c r="G1010" s="59"/>
      <c r="H1010" s="82"/>
      <c r="I1010" s="59"/>
    </row>
    <row r="1011">
      <c r="A1011" s="59"/>
      <c r="B1011" s="59"/>
      <c r="C1011" s="59"/>
      <c r="D1011" s="59"/>
      <c r="E1011" s="59"/>
      <c r="F1011" s="59"/>
      <c r="G1011" s="59"/>
      <c r="H1011" s="82"/>
      <c r="I1011" s="59"/>
    </row>
    <row r="1012">
      <c r="A1012" s="59"/>
      <c r="B1012" s="59"/>
      <c r="C1012" s="59"/>
      <c r="D1012" s="59"/>
      <c r="E1012" s="59"/>
      <c r="F1012" s="59"/>
      <c r="G1012" s="59"/>
      <c r="H1012" s="82"/>
      <c r="I1012" s="59"/>
    </row>
    <row r="1013">
      <c r="A1013" s="59"/>
      <c r="B1013" s="59"/>
      <c r="C1013" s="59"/>
      <c r="D1013" s="59"/>
      <c r="E1013" s="59"/>
      <c r="F1013" s="59"/>
      <c r="G1013" s="59"/>
      <c r="H1013" s="82"/>
      <c r="I1013" s="59"/>
    </row>
    <row r="1014">
      <c r="A1014" s="59"/>
      <c r="B1014" s="59"/>
      <c r="C1014" s="59"/>
      <c r="D1014" s="59"/>
      <c r="E1014" s="59"/>
      <c r="F1014" s="59"/>
      <c r="G1014" s="59"/>
      <c r="H1014" s="82"/>
      <c r="I1014" s="59"/>
    </row>
    <row r="1015">
      <c r="A1015" s="59"/>
      <c r="B1015" s="59"/>
      <c r="C1015" s="59"/>
      <c r="D1015" s="59"/>
      <c r="E1015" s="59"/>
      <c r="F1015" s="59"/>
      <c r="G1015" s="59"/>
      <c r="H1015" s="82"/>
      <c r="I1015" s="59"/>
    </row>
    <row r="1016">
      <c r="A1016" s="59"/>
      <c r="B1016" s="59"/>
      <c r="C1016" s="59"/>
      <c r="D1016" s="59"/>
      <c r="E1016" s="59"/>
      <c r="F1016" s="59"/>
      <c r="G1016" s="59"/>
      <c r="H1016" s="82"/>
      <c r="I1016" s="59"/>
    </row>
    <row r="1017">
      <c r="A1017" s="59"/>
      <c r="B1017" s="59"/>
      <c r="C1017" s="59"/>
      <c r="D1017" s="59"/>
      <c r="E1017" s="59"/>
      <c r="F1017" s="59"/>
      <c r="G1017" s="59"/>
      <c r="H1017" s="82"/>
      <c r="I1017" s="59"/>
    </row>
    <row r="1018">
      <c r="A1018" s="59"/>
      <c r="B1018" s="59"/>
      <c r="C1018" s="59"/>
      <c r="D1018" s="59"/>
      <c r="E1018" s="59"/>
      <c r="F1018" s="59"/>
      <c r="G1018" s="59"/>
      <c r="H1018" s="82"/>
      <c r="I1018" s="59"/>
    </row>
    <row r="1019">
      <c r="A1019" s="59"/>
      <c r="B1019" s="59"/>
      <c r="C1019" s="59"/>
      <c r="D1019" s="59"/>
      <c r="E1019" s="59"/>
      <c r="F1019" s="59"/>
      <c r="G1019" s="59"/>
      <c r="H1019" s="82"/>
      <c r="I1019" s="59"/>
    </row>
    <row r="1020">
      <c r="A1020" s="59"/>
      <c r="B1020" s="59"/>
      <c r="C1020" s="59"/>
      <c r="D1020" s="59"/>
      <c r="E1020" s="59"/>
      <c r="F1020" s="59"/>
      <c r="G1020" s="59"/>
      <c r="H1020" s="82"/>
      <c r="I1020" s="59"/>
    </row>
    <row r="1021">
      <c r="A1021" s="59"/>
      <c r="B1021" s="59"/>
      <c r="C1021" s="59"/>
      <c r="D1021" s="59"/>
      <c r="E1021" s="59"/>
      <c r="F1021" s="59"/>
      <c r="G1021" s="59"/>
      <c r="H1021" s="82"/>
      <c r="I1021" s="59"/>
    </row>
    <row r="1022">
      <c r="A1022" s="59"/>
      <c r="B1022" s="59"/>
      <c r="C1022" s="59"/>
      <c r="D1022" s="59"/>
      <c r="E1022" s="59"/>
      <c r="F1022" s="59"/>
      <c r="G1022" s="59"/>
      <c r="H1022" s="82"/>
      <c r="I1022" s="59"/>
    </row>
    <row r="1023">
      <c r="A1023" s="59"/>
      <c r="B1023" s="59"/>
      <c r="C1023" s="59"/>
      <c r="D1023" s="59"/>
      <c r="E1023" s="59"/>
      <c r="F1023" s="59"/>
      <c r="G1023" s="59"/>
      <c r="H1023" s="82"/>
      <c r="I1023" s="59"/>
    </row>
    <row r="1024">
      <c r="A1024" s="59"/>
      <c r="B1024" s="59"/>
      <c r="C1024" s="59"/>
      <c r="D1024" s="59"/>
      <c r="E1024" s="59"/>
      <c r="F1024" s="59"/>
      <c r="G1024" s="59"/>
      <c r="H1024" s="82"/>
      <c r="I1024" s="59"/>
    </row>
    <row r="1025">
      <c r="A1025" s="59"/>
      <c r="B1025" s="59"/>
      <c r="C1025" s="59"/>
      <c r="D1025" s="59"/>
      <c r="E1025" s="59"/>
      <c r="F1025" s="59"/>
      <c r="G1025" s="59"/>
      <c r="H1025" s="82"/>
      <c r="I1025" s="59"/>
    </row>
    <row r="1026">
      <c r="A1026" s="59"/>
      <c r="B1026" s="59"/>
      <c r="C1026" s="59"/>
      <c r="D1026" s="59"/>
      <c r="E1026" s="59"/>
      <c r="F1026" s="59"/>
      <c r="G1026" s="59"/>
      <c r="H1026" s="82"/>
      <c r="I1026" s="59"/>
    </row>
    <row r="1027">
      <c r="A1027" s="59"/>
      <c r="B1027" s="59"/>
      <c r="C1027" s="59"/>
      <c r="D1027" s="59"/>
      <c r="E1027" s="59"/>
      <c r="F1027" s="59"/>
      <c r="G1027" s="59"/>
      <c r="H1027" s="82"/>
      <c r="I1027" s="59"/>
    </row>
    <row r="1028">
      <c r="A1028" s="59"/>
      <c r="B1028" s="59"/>
      <c r="C1028" s="59"/>
      <c r="D1028" s="59"/>
      <c r="E1028" s="59"/>
      <c r="F1028" s="59"/>
      <c r="G1028" s="59"/>
      <c r="H1028" s="82"/>
      <c r="I1028" s="59"/>
    </row>
    <row r="1029">
      <c r="A1029" s="59"/>
      <c r="B1029" s="59"/>
      <c r="C1029" s="59"/>
      <c r="D1029" s="59"/>
      <c r="E1029" s="59"/>
      <c r="F1029" s="59"/>
      <c r="G1029" s="59"/>
      <c r="H1029" s="82"/>
      <c r="I1029" s="59"/>
    </row>
    <row r="1030">
      <c r="A1030" s="59"/>
      <c r="B1030" s="59"/>
      <c r="C1030" s="59"/>
      <c r="D1030" s="59"/>
      <c r="E1030" s="59"/>
      <c r="F1030" s="59"/>
      <c r="G1030" s="59"/>
      <c r="H1030" s="82"/>
      <c r="I1030" s="59"/>
    </row>
    <row r="1031">
      <c r="A1031" s="59"/>
      <c r="B1031" s="59"/>
      <c r="C1031" s="59"/>
      <c r="D1031" s="59"/>
      <c r="E1031" s="59"/>
      <c r="F1031" s="59"/>
      <c r="G1031" s="59"/>
      <c r="H1031" s="82"/>
      <c r="I1031" s="59"/>
    </row>
    <row r="1032">
      <c r="A1032" s="59"/>
      <c r="B1032" s="59"/>
      <c r="C1032" s="59"/>
      <c r="D1032" s="59"/>
      <c r="E1032" s="59"/>
      <c r="F1032" s="59"/>
      <c r="G1032" s="59"/>
      <c r="H1032" s="82"/>
      <c r="I1032" s="59"/>
    </row>
    <row r="1033">
      <c r="A1033" s="59"/>
      <c r="B1033" s="59"/>
      <c r="C1033" s="59"/>
      <c r="D1033" s="59"/>
      <c r="E1033" s="59"/>
      <c r="F1033" s="59"/>
      <c r="G1033" s="59"/>
      <c r="H1033" s="82"/>
      <c r="I1033" s="59"/>
    </row>
    <row r="1034">
      <c r="A1034" s="59"/>
      <c r="B1034" s="59"/>
      <c r="C1034" s="59"/>
      <c r="D1034" s="59"/>
      <c r="E1034" s="59"/>
      <c r="F1034" s="59"/>
      <c r="G1034" s="59"/>
      <c r="H1034" s="82"/>
      <c r="I1034" s="59"/>
    </row>
    <row r="1035">
      <c r="A1035" s="59"/>
      <c r="B1035" s="59"/>
      <c r="C1035" s="59"/>
      <c r="D1035" s="59"/>
      <c r="E1035" s="59"/>
      <c r="F1035" s="59"/>
      <c r="G1035" s="59"/>
      <c r="H1035" s="82"/>
      <c r="I1035" s="59"/>
    </row>
    <row r="1036">
      <c r="A1036" s="59"/>
      <c r="B1036" s="59"/>
      <c r="C1036" s="59"/>
      <c r="D1036" s="59"/>
      <c r="E1036" s="59"/>
      <c r="F1036" s="59"/>
      <c r="G1036" s="59"/>
      <c r="H1036" s="82"/>
      <c r="I1036" s="59"/>
    </row>
    <row r="1037">
      <c r="A1037" s="59"/>
      <c r="B1037" s="59"/>
      <c r="C1037" s="59"/>
      <c r="D1037" s="59"/>
      <c r="E1037" s="59"/>
      <c r="F1037" s="59"/>
      <c r="G1037" s="59"/>
      <c r="H1037" s="82"/>
      <c r="I1037" s="59"/>
    </row>
    <row r="1038">
      <c r="A1038" s="59"/>
      <c r="B1038" s="59"/>
      <c r="C1038" s="59"/>
      <c r="D1038" s="59"/>
      <c r="E1038" s="59"/>
      <c r="F1038" s="59"/>
      <c r="G1038" s="59"/>
      <c r="H1038" s="82"/>
      <c r="I1038" s="59"/>
    </row>
    <row r="1039">
      <c r="A1039" s="59"/>
      <c r="B1039" s="59"/>
      <c r="C1039" s="59"/>
      <c r="D1039" s="59"/>
      <c r="E1039" s="59"/>
      <c r="F1039" s="59"/>
      <c r="G1039" s="59"/>
      <c r="H1039" s="82"/>
      <c r="I1039" s="59"/>
    </row>
    <row r="1040">
      <c r="A1040" s="59"/>
      <c r="B1040" s="59"/>
      <c r="C1040" s="59"/>
      <c r="D1040" s="59"/>
      <c r="E1040" s="59"/>
      <c r="F1040" s="59"/>
      <c r="G1040" s="59"/>
      <c r="H1040" s="82"/>
      <c r="I1040" s="59"/>
    </row>
    <row r="1041">
      <c r="A1041" s="59"/>
      <c r="B1041" s="59"/>
      <c r="C1041" s="59"/>
      <c r="D1041" s="59"/>
      <c r="E1041" s="59"/>
      <c r="F1041" s="59"/>
      <c r="G1041" s="59"/>
      <c r="H1041" s="82"/>
      <c r="I1041" s="59"/>
    </row>
    <row r="1042">
      <c r="A1042" s="59"/>
      <c r="B1042" s="59"/>
      <c r="C1042" s="59"/>
      <c r="D1042" s="59"/>
      <c r="E1042" s="59"/>
      <c r="F1042" s="59"/>
      <c r="G1042" s="59"/>
      <c r="H1042" s="82"/>
      <c r="I1042" s="59"/>
    </row>
    <row r="1043">
      <c r="A1043" s="59"/>
      <c r="B1043" s="59"/>
      <c r="C1043" s="59"/>
      <c r="D1043" s="59"/>
      <c r="E1043" s="59"/>
      <c r="F1043" s="59"/>
      <c r="G1043" s="59"/>
      <c r="H1043" s="82"/>
      <c r="I1043" s="59"/>
    </row>
    <row r="1044">
      <c r="A1044" s="59"/>
      <c r="B1044" s="59"/>
      <c r="C1044" s="59"/>
      <c r="D1044" s="59"/>
      <c r="E1044" s="59"/>
      <c r="F1044" s="59"/>
      <c r="G1044" s="59"/>
      <c r="H1044" s="82"/>
      <c r="I1044" s="59"/>
    </row>
    <row r="1045">
      <c r="A1045" s="59"/>
      <c r="B1045" s="59"/>
      <c r="C1045" s="59"/>
      <c r="D1045" s="59"/>
      <c r="E1045" s="59"/>
      <c r="F1045" s="59"/>
      <c r="G1045" s="59"/>
      <c r="H1045" s="82"/>
      <c r="I1045" s="59"/>
    </row>
    <row r="1046">
      <c r="A1046" s="59"/>
      <c r="B1046" s="59"/>
      <c r="C1046" s="59"/>
      <c r="D1046" s="59"/>
      <c r="E1046" s="59"/>
      <c r="F1046" s="59"/>
      <c r="G1046" s="59"/>
      <c r="H1046" s="82"/>
      <c r="I1046" s="59"/>
    </row>
    <row r="1047">
      <c r="A1047" s="59"/>
      <c r="B1047" s="59"/>
      <c r="C1047" s="59"/>
      <c r="D1047" s="59"/>
      <c r="E1047" s="59"/>
      <c r="F1047" s="59"/>
      <c r="G1047" s="59"/>
      <c r="H1047" s="82"/>
      <c r="I1047" s="59"/>
    </row>
    <row r="1048">
      <c r="A1048" s="59"/>
      <c r="B1048" s="59"/>
      <c r="C1048" s="59"/>
      <c r="D1048" s="59"/>
      <c r="E1048" s="59"/>
      <c r="F1048" s="59"/>
      <c r="G1048" s="59"/>
      <c r="H1048" s="82"/>
      <c r="I1048" s="59"/>
    </row>
    <row r="1049">
      <c r="A1049" s="59"/>
      <c r="B1049" s="59"/>
      <c r="C1049" s="59"/>
      <c r="D1049" s="59"/>
      <c r="E1049" s="59"/>
      <c r="F1049" s="59"/>
      <c r="G1049" s="59"/>
      <c r="H1049" s="82"/>
      <c r="I1049" s="59"/>
    </row>
    <row r="1050">
      <c r="A1050" s="59"/>
      <c r="B1050" s="59"/>
      <c r="C1050" s="59"/>
      <c r="D1050" s="59"/>
      <c r="E1050" s="59"/>
      <c r="F1050" s="59"/>
      <c r="G1050" s="59"/>
      <c r="H1050" s="82"/>
      <c r="I1050" s="59"/>
    </row>
    <row r="1051">
      <c r="A1051" s="59"/>
      <c r="B1051" s="59"/>
      <c r="C1051" s="59"/>
      <c r="D1051" s="59"/>
      <c r="E1051" s="59"/>
      <c r="F1051" s="59"/>
      <c r="G1051" s="59"/>
      <c r="H1051" s="82"/>
      <c r="I1051" s="59"/>
    </row>
    <row r="1052">
      <c r="A1052" s="59"/>
      <c r="B1052" s="59"/>
      <c r="C1052" s="59"/>
      <c r="D1052" s="59"/>
      <c r="E1052" s="59"/>
      <c r="F1052" s="59"/>
      <c r="G1052" s="59"/>
      <c r="H1052" s="82"/>
      <c r="I1052" s="59"/>
    </row>
    <row r="1053">
      <c r="A1053" s="59"/>
      <c r="B1053" s="59"/>
      <c r="C1053" s="59"/>
      <c r="D1053" s="59"/>
      <c r="E1053" s="59"/>
      <c r="F1053" s="59"/>
      <c r="G1053" s="59"/>
      <c r="H1053" s="82"/>
      <c r="I1053" s="59"/>
    </row>
    <row r="1054">
      <c r="A1054" s="59"/>
      <c r="B1054" s="59"/>
      <c r="C1054" s="59"/>
      <c r="D1054" s="59"/>
      <c r="E1054" s="59"/>
      <c r="F1054" s="59"/>
      <c r="G1054" s="59"/>
      <c r="H1054" s="82"/>
      <c r="I1054" s="59"/>
    </row>
    <row r="1055">
      <c r="A1055" s="59"/>
      <c r="B1055" s="59"/>
      <c r="C1055" s="59"/>
      <c r="D1055" s="59"/>
      <c r="E1055" s="59"/>
      <c r="F1055" s="59"/>
      <c r="G1055" s="59"/>
      <c r="H1055" s="82"/>
      <c r="I1055" s="59"/>
    </row>
    <row r="1056">
      <c r="A1056" s="59"/>
      <c r="B1056" s="59"/>
      <c r="C1056" s="59"/>
      <c r="D1056" s="59"/>
      <c r="E1056" s="59"/>
      <c r="F1056" s="59"/>
      <c r="G1056" s="59"/>
      <c r="H1056" s="82"/>
      <c r="I1056" s="59"/>
    </row>
    <row r="1057">
      <c r="A1057" s="59"/>
      <c r="B1057" s="59"/>
      <c r="C1057" s="59"/>
      <c r="D1057" s="59"/>
      <c r="E1057" s="59"/>
      <c r="F1057" s="59"/>
      <c r="G1057" s="59"/>
      <c r="H1057" s="82"/>
      <c r="I1057" s="59"/>
    </row>
    <row r="1058">
      <c r="A1058" s="59"/>
      <c r="B1058" s="59"/>
      <c r="C1058" s="59"/>
      <c r="D1058" s="59"/>
      <c r="E1058" s="59"/>
      <c r="F1058" s="59"/>
      <c r="G1058" s="59"/>
      <c r="H1058" s="82"/>
      <c r="I1058" s="59"/>
    </row>
    <row r="1059">
      <c r="A1059" s="59"/>
      <c r="B1059" s="59"/>
      <c r="C1059" s="59"/>
      <c r="D1059" s="59"/>
      <c r="E1059" s="59"/>
      <c r="F1059" s="59"/>
      <c r="G1059" s="59"/>
      <c r="H1059" s="82"/>
      <c r="I1059" s="59"/>
    </row>
    <row r="1060">
      <c r="A1060" s="59"/>
      <c r="B1060" s="59"/>
      <c r="C1060" s="59"/>
      <c r="D1060" s="59"/>
      <c r="E1060" s="59"/>
      <c r="F1060" s="59"/>
      <c r="G1060" s="59"/>
      <c r="H1060" s="82"/>
      <c r="I1060" s="59"/>
    </row>
    <row r="1061">
      <c r="A1061" s="59"/>
      <c r="B1061" s="59"/>
      <c r="C1061" s="59"/>
      <c r="D1061" s="59"/>
      <c r="E1061" s="59"/>
      <c r="F1061" s="59"/>
      <c r="G1061" s="59"/>
      <c r="H1061" s="82"/>
      <c r="I1061" s="59"/>
    </row>
    <row r="1062">
      <c r="A1062" s="59"/>
      <c r="B1062" s="59"/>
      <c r="C1062" s="59"/>
      <c r="D1062" s="59"/>
      <c r="E1062" s="59"/>
      <c r="F1062" s="59"/>
      <c r="G1062" s="59"/>
      <c r="H1062" s="82"/>
      <c r="I1062" s="59"/>
    </row>
    <row r="1063">
      <c r="A1063" s="59"/>
      <c r="B1063" s="59"/>
      <c r="C1063" s="59"/>
      <c r="D1063" s="59"/>
      <c r="E1063" s="59"/>
      <c r="F1063" s="59"/>
      <c r="G1063" s="59"/>
      <c r="H1063" s="82"/>
      <c r="I1063" s="59"/>
    </row>
    <row r="1064">
      <c r="A1064" s="59"/>
      <c r="B1064" s="59"/>
      <c r="C1064" s="59"/>
      <c r="D1064" s="59"/>
      <c r="E1064" s="59"/>
      <c r="F1064" s="59"/>
      <c r="G1064" s="59"/>
      <c r="H1064" s="82"/>
      <c r="I1064" s="59"/>
    </row>
    <row r="1065">
      <c r="A1065" s="59"/>
      <c r="B1065" s="59"/>
      <c r="C1065" s="59"/>
      <c r="D1065" s="59"/>
      <c r="E1065" s="59"/>
      <c r="F1065" s="59"/>
      <c r="G1065" s="59"/>
      <c r="H1065" s="82"/>
      <c r="I1065" s="59"/>
    </row>
    <row r="1066">
      <c r="A1066" s="59"/>
      <c r="B1066" s="59"/>
      <c r="C1066" s="59"/>
      <c r="D1066" s="59"/>
      <c r="E1066" s="59"/>
      <c r="F1066" s="59"/>
      <c r="G1066" s="59"/>
      <c r="H1066" s="82"/>
      <c r="I1066" s="59"/>
    </row>
    <row r="1067">
      <c r="A1067" s="59"/>
      <c r="B1067" s="59"/>
      <c r="C1067" s="59"/>
      <c r="D1067" s="59"/>
      <c r="E1067" s="59"/>
      <c r="F1067" s="59"/>
      <c r="G1067" s="59"/>
      <c r="H1067" s="82"/>
      <c r="I1067" s="59"/>
    </row>
    <row r="1068">
      <c r="A1068" s="59"/>
      <c r="B1068" s="59"/>
      <c r="C1068" s="59"/>
      <c r="D1068" s="59"/>
      <c r="E1068" s="59"/>
      <c r="F1068" s="59"/>
      <c r="G1068" s="59"/>
      <c r="H1068" s="82"/>
      <c r="I1068" s="59"/>
    </row>
    <row r="1069">
      <c r="A1069" s="59"/>
      <c r="B1069" s="59"/>
      <c r="C1069" s="59"/>
      <c r="D1069" s="59"/>
      <c r="E1069" s="59"/>
      <c r="F1069" s="59"/>
      <c r="G1069" s="59"/>
      <c r="H1069" s="82"/>
      <c r="I1069" s="59"/>
    </row>
    <row r="1070">
      <c r="A1070" s="59"/>
      <c r="B1070" s="59"/>
      <c r="C1070" s="59"/>
      <c r="D1070" s="59"/>
      <c r="E1070" s="59"/>
      <c r="F1070" s="59"/>
      <c r="G1070" s="59"/>
      <c r="H1070" s="82"/>
      <c r="I1070" s="59"/>
    </row>
    <row r="1071">
      <c r="A1071" s="59"/>
      <c r="B1071" s="59"/>
      <c r="C1071" s="59"/>
      <c r="D1071" s="59"/>
      <c r="E1071" s="59"/>
      <c r="F1071" s="59"/>
      <c r="G1071" s="59"/>
      <c r="H1071" s="82"/>
      <c r="I1071" s="59"/>
    </row>
    <row r="1072">
      <c r="A1072" s="59"/>
      <c r="B1072" s="59"/>
      <c r="C1072" s="59"/>
      <c r="D1072" s="59"/>
      <c r="E1072" s="59"/>
      <c r="F1072" s="59"/>
      <c r="G1072" s="59"/>
      <c r="H1072" s="82"/>
      <c r="I1072" s="59"/>
    </row>
    <row r="1073">
      <c r="A1073" s="59"/>
      <c r="B1073" s="59"/>
      <c r="C1073" s="59"/>
      <c r="D1073" s="59"/>
      <c r="E1073" s="59"/>
      <c r="F1073" s="59"/>
      <c r="G1073" s="59"/>
      <c r="H1073" s="82"/>
      <c r="I1073" s="59"/>
    </row>
    <row r="1074">
      <c r="A1074" s="59"/>
      <c r="B1074" s="59"/>
      <c r="C1074" s="59"/>
      <c r="D1074" s="59"/>
      <c r="E1074" s="59"/>
      <c r="F1074" s="59"/>
      <c r="G1074" s="59"/>
      <c r="H1074" s="82"/>
      <c r="I1074" s="59"/>
    </row>
    <row r="1075">
      <c r="A1075" s="59"/>
      <c r="B1075" s="59"/>
      <c r="C1075" s="59"/>
      <c r="D1075" s="59"/>
      <c r="E1075" s="59"/>
      <c r="F1075" s="59"/>
      <c r="G1075" s="59"/>
      <c r="H1075" s="82"/>
      <c r="I1075" s="59"/>
    </row>
    <row r="1076">
      <c r="A1076" s="59"/>
      <c r="B1076" s="59"/>
      <c r="C1076" s="59"/>
      <c r="D1076" s="59"/>
      <c r="E1076" s="59"/>
      <c r="F1076" s="59"/>
      <c r="G1076" s="59"/>
      <c r="H1076" s="82"/>
      <c r="I1076" s="59"/>
    </row>
    <row r="1077">
      <c r="A1077" s="59"/>
      <c r="B1077" s="59"/>
      <c r="C1077" s="59"/>
      <c r="D1077" s="59"/>
      <c r="E1077" s="59"/>
      <c r="F1077" s="59"/>
      <c r="G1077" s="59"/>
      <c r="H1077" s="82"/>
      <c r="I1077" s="59"/>
    </row>
    <row r="1078">
      <c r="A1078" s="59"/>
      <c r="B1078" s="59"/>
      <c r="C1078" s="59"/>
      <c r="D1078" s="59"/>
      <c r="E1078" s="59"/>
      <c r="F1078" s="59"/>
      <c r="G1078" s="59"/>
      <c r="H1078" s="82"/>
      <c r="I1078" s="59"/>
    </row>
    <row r="1079">
      <c r="A1079" s="59"/>
      <c r="B1079" s="59"/>
      <c r="C1079" s="59"/>
      <c r="D1079" s="59"/>
      <c r="E1079" s="59"/>
      <c r="F1079" s="59"/>
      <c r="G1079" s="59"/>
      <c r="H1079" s="82"/>
      <c r="I1079" s="59"/>
    </row>
    <row r="1080">
      <c r="A1080" s="59"/>
      <c r="B1080" s="59"/>
      <c r="C1080" s="59"/>
      <c r="D1080" s="59"/>
      <c r="E1080" s="59"/>
      <c r="F1080" s="59"/>
      <c r="G1080" s="59"/>
      <c r="H1080" s="82"/>
      <c r="I1080" s="59"/>
    </row>
    <row r="1081">
      <c r="A1081" s="59"/>
      <c r="B1081" s="59"/>
      <c r="C1081" s="59"/>
      <c r="D1081" s="59"/>
      <c r="E1081" s="59"/>
      <c r="F1081" s="59"/>
      <c r="G1081" s="59"/>
      <c r="H1081" s="82"/>
      <c r="I1081" s="59"/>
    </row>
    <row r="1082">
      <c r="A1082" s="59"/>
      <c r="B1082" s="59"/>
      <c r="C1082" s="59"/>
      <c r="D1082" s="59"/>
      <c r="E1082" s="59"/>
      <c r="F1082" s="59"/>
      <c r="G1082" s="59"/>
      <c r="H1082" s="82"/>
      <c r="I1082" s="59"/>
    </row>
    <row r="1083">
      <c r="A1083" s="59"/>
      <c r="B1083" s="59"/>
      <c r="C1083" s="59"/>
      <c r="D1083" s="59"/>
      <c r="E1083" s="59"/>
      <c r="F1083" s="59"/>
      <c r="G1083" s="59"/>
      <c r="H1083" s="82"/>
      <c r="I1083" s="59"/>
    </row>
    <row r="1084">
      <c r="A1084" s="59"/>
      <c r="B1084" s="59"/>
      <c r="C1084" s="59"/>
      <c r="D1084" s="59"/>
      <c r="E1084" s="59"/>
      <c r="F1084" s="59"/>
      <c r="G1084" s="59"/>
      <c r="H1084" s="82"/>
      <c r="I1084" s="59"/>
    </row>
    <row r="1085">
      <c r="A1085" s="59"/>
      <c r="B1085" s="59"/>
      <c r="C1085" s="59"/>
      <c r="D1085" s="59"/>
      <c r="E1085" s="59"/>
      <c r="F1085" s="59"/>
      <c r="G1085" s="59"/>
      <c r="H1085" s="82"/>
      <c r="I1085" s="59"/>
    </row>
    <row r="1086">
      <c r="A1086" s="59"/>
      <c r="B1086" s="59"/>
      <c r="C1086" s="59"/>
      <c r="D1086" s="59"/>
      <c r="E1086" s="59"/>
      <c r="F1086" s="59"/>
      <c r="G1086" s="59"/>
      <c r="H1086" s="82"/>
      <c r="I1086" s="59"/>
    </row>
    <row r="1087">
      <c r="A1087" s="59"/>
      <c r="B1087" s="59"/>
      <c r="C1087" s="59"/>
      <c r="D1087" s="59"/>
      <c r="E1087" s="59"/>
      <c r="F1087" s="59"/>
      <c r="G1087" s="59"/>
      <c r="H1087" s="82"/>
      <c r="I1087" s="59"/>
    </row>
    <row r="1088">
      <c r="A1088" s="59"/>
      <c r="B1088" s="59"/>
      <c r="C1088" s="59"/>
      <c r="D1088" s="59"/>
      <c r="E1088" s="59"/>
      <c r="F1088" s="59"/>
      <c r="G1088" s="59"/>
      <c r="H1088" s="82"/>
      <c r="I1088" s="59"/>
    </row>
    <row r="1089">
      <c r="A1089" s="59"/>
      <c r="B1089" s="59"/>
      <c r="C1089" s="59"/>
      <c r="D1089" s="59"/>
      <c r="E1089" s="59"/>
      <c r="F1089" s="59"/>
      <c r="G1089" s="59"/>
      <c r="H1089" s="82"/>
      <c r="I1089" s="59"/>
    </row>
    <row r="1090">
      <c r="A1090" s="59"/>
      <c r="B1090" s="59"/>
      <c r="C1090" s="59"/>
      <c r="D1090" s="59"/>
      <c r="E1090" s="59"/>
      <c r="F1090" s="59"/>
      <c r="G1090" s="59"/>
      <c r="H1090" s="82"/>
      <c r="I1090" s="59"/>
    </row>
    <row r="1091">
      <c r="A1091" s="59"/>
      <c r="B1091" s="59"/>
      <c r="C1091" s="59"/>
      <c r="D1091" s="59"/>
      <c r="E1091" s="59"/>
      <c r="F1091" s="59"/>
      <c r="G1091" s="59"/>
      <c r="H1091" s="82"/>
      <c r="I1091" s="59"/>
    </row>
    <row r="1092">
      <c r="A1092" s="59"/>
      <c r="B1092" s="59"/>
      <c r="C1092" s="59"/>
      <c r="D1092" s="59"/>
      <c r="E1092" s="59"/>
      <c r="F1092" s="59"/>
      <c r="G1092" s="59"/>
      <c r="H1092" s="82"/>
      <c r="I1092" s="59"/>
    </row>
    <row r="1093">
      <c r="A1093" s="59"/>
      <c r="B1093" s="59"/>
      <c r="C1093" s="59"/>
      <c r="D1093" s="59"/>
      <c r="E1093" s="59"/>
      <c r="F1093" s="59"/>
      <c r="G1093" s="59"/>
      <c r="H1093" s="82"/>
      <c r="I1093" s="59"/>
    </row>
    <row r="1094">
      <c r="A1094" s="59"/>
      <c r="B1094" s="59"/>
      <c r="C1094" s="59"/>
      <c r="D1094" s="59"/>
      <c r="E1094" s="59"/>
      <c r="F1094" s="59"/>
      <c r="G1094" s="59"/>
      <c r="H1094" s="82"/>
      <c r="I1094" s="59"/>
    </row>
    <row r="1095">
      <c r="A1095" s="59"/>
      <c r="B1095" s="59"/>
      <c r="C1095" s="59"/>
      <c r="D1095" s="59"/>
      <c r="E1095" s="59"/>
      <c r="F1095" s="59"/>
      <c r="G1095" s="59"/>
      <c r="H1095" s="82"/>
      <c r="I1095" s="59"/>
    </row>
    <row r="1096">
      <c r="A1096" s="59"/>
      <c r="B1096" s="59"/>
      <c r="C1096" s="59"/>
      <c r="D1096" s="59"/>
      <c r="E1096" s="59"/>
      <c r="F1096" s="59"/>
      <c r="G1096" s="59"/>
      <c r="H1096" s="82"/>
      <c r="I1096" s="59"/>
    </row>
    <row r="1097">
      <c r="A1097" s="59"/>
      <c r="B1097" s="59"/>
      <c r="C1097" s="59"/>
      <c r="D1097" s="59"/>
      <c r="E1097" s="59"/>
      <c r="F1097" s="59"/>
      <c r="G1097" s="59"/>
      <c r="H1097" s="82"/>
      <c r="I1097" s="59"/>
    </row>
    <row r="1098">
      <c r="A1098" s="59"/>
      <c r="B1098" s="59"/>
      <c r="C1098" s="59"/>
      <c r="D1098" s="59"/>
      <c r="E1098" s="59"/>
      <c r="F1098" s="59"/>
      <c r="G1098" s="59"/>
      <c r="H1098" s="82"/>
      <c r="I1098" s="59"/>
    </row>
    <row r="1099">
      <c r="A1099" s="59"/>
      <c r="B1099" s="59"/>
      <c r="C1099" s="59"/>
      <c r="D1099" s="59"/>
      <c r="E1099" s="59"/>
      <c r="F1099" s="59"/>
      <c r="G1099" s="59"/>
      <c r="H1099" s="82"/>
      <c r="I1099" s="59"/>
    </row>
    <row r="1100">
      <c r="A1100" s="59"/>
      <c r="B1100" s="59"/>
      <c r="C1100" s="59"/>
      <c r="D1100" s="59"/>
      <c r="E1100" s="59"/>
      <c r="F1100" s="59"/>
      <c r="G1100" s="59"/>
      <c r="H1100" s="82"/>
      <c r="I1100" s="59"/>
    </row>
    <row r="1101">
      <c r="A1101" s="59"/>
      <c r="B1101" s="59"/>
      <c r="C1101" s="59"/>
      <c r="D1101" s="59"/>
      <c r="E1101" s="59"/>
      <c r="F1101" s="59"/>
      <c r="G1101" s="59"/>
      <c r="H1101" s="82"/>
      <c r="I1101" s="59"/>
    </row>
    <row r="1102">
      <c r="A1102" s="59"/>
      <c r="B1102" s="59"/>
      <c r="C1102" s="59"/>
      <c r="D1102" s="59"/>
      <c r="E1102" s="59"/>
      <c r="F1102" s="59"/>
      <c r="G1102" s="59"/>
      <c r="H1102" s="82"/>
      <c r="I1102" s="59"/>
    </row>
    <row r="1103">
      <c r="A1103" s="59"/>
      <c r="B1103" s="59"/>
      <c r="C1103" s="59"/>
      <c r="D1103" s="59"/>
      <c r="E1103" s="59"/>
      <c r="F1103" s="59"/>
      <c r="G1103" s="59"/>
      <c r="H1103" s="82"/>
      <c r="I1103" s="59"/>
    </row>
    <row r="1104">
      <c r="A1104" s="59"/>
      <c r="B1104" s="59"/>
      <c r="C1104" s="59"/>
      <c r="D1104" s="59"/>
      <c r="E1104" s="59"/>
      <c r="F1104" s="59"/>
      <c r="G1104" s="59"/>
      <c r="H1104" s="82"/>
      <c r="I1104" s="59"/>
    </row>
    <row r="1105">
      <c r="A1105" s="59"/>
      <c r="B1105" s="59"/>
      <c r="C1105" s="59"/>
      <c r="D1105" s="59"/>
      <c r="E1105" s="59"/>
      <c r="F1105" s="59"/>
      <c r="G1105" s="59"/>
      <c r="H1105" s="82"/>
      <c r="I1105" s="59"/>
    </row>
    <row r="1106">
      <c r="A1106" s="59"/>
      <c r="B1106" s="59"/>
      <c r="C1106" s="59"/>
      <c r="D1106" s="59"/>
      <c r="E1106" s="59"/>
      <c r="F1106" s="59"/>
      <c r="G1106" s="59"/>
      <c r="H1106" s="82"/>
      <c r="I1106" s="59"/>
    </row>
    <row r="1107">
      <c r="A1107" s="59"/>
      <c r="B1107" s="59"/>
      <c r="C1107" s="59"/>
      <c r="D1107" s="59"/>
      <c r="E1107" s="59"/>
      <c r="F1107" s="59"/>
      <c r="G1107" s="59"/>
      <c r="H1107" s="82"/>
      <c r="I1107" s="59"/>
    </row>
    <row r="1108">
      <c r="A1108" s="59"/>
      <c r="B1108" s="59"/>
      <c r="C1108" s="59"/>
      <c r="D1108" s="59"/>
      <c r="E1108" s="59"/>
      <c r="F1108" s="59"/>
      <c r="G1108" s="59"/>
      <c r="H1108" s="82"/>
      <c r="I1108" s="59"/>
    </row>
    <row r="1109">
      <c r="A1109" s="59"/>
      <c r="B1109" s="59"/>
      <c r="C1109" s="59"/>
      <c r="D1109" s="59"/>
      <c r="E1109" s="59"/>
      <c r="F1109" s="59"/>
      <c r="G1109" s="59"/>
      <c r="H1109" s="82"/>
      <c r="I1109" s="59"/>
    </row>
    <row r="1110">
      <c r="A1110" s="59"/>
      <c r="B1110" s="59"/>
      <c r="C1110" s="59"/>
      <c r="D1110" s="59"/>
      <c r="E1110" s="59"/>
      <c r="F1110" s="59"/>
      <c r="G1110" s="59"/>
      <c r="H1110" s="82"/>
      <c r="I1110" s="59"/>
    </row>
    <row r="1111">
      <c r="A1111" s="59"/>
      <c r="B1111" s="59"/>
      <c r="C1111" s="59"/>
      <c r="D1111" s="59"/>
      <c r="E1111" s="59"/>
      <c r="F1111" s="59"/>
      <c r="G1111" s="59"/>
      <c r="H1111" s="82"/>
      <c r="I1111" s="59"/>
    </row>
    <row r="1112">
      <c r="A1112" s="59"/>
      <c r="B1112" s="59"/>
      <c r="C1112" s="59"/>
      <c r="D1112" s="59"/>
      <c r="E1112" s="59"/>
      <c r="F1112" s="59"/>
      <c r="G1112" s="59"/>
      <c r="H1112" s="82"/>
      <c r="I1112" s="59"/>
    </row>
    <row r="1113">
      <c r="A1113" s="59"/>
      <c r="B1113" s="59"/>
      <c r="C1113" s="59"/>
      <c r="D1113" s="59"/>
      <c r="E1113" s="59"/>
      <c r="F1113" s="59"/>
      <c r="G1113" s="59"/>
      <c r="H1113" s="82"/>
      <c r="I1113" s="59"/>
    </row>
    <row r="1114">
      <c r="A1114" s="59"/>
      <c r="B1114" s="59"/>
      <c r="C1114" s="59"/>
      <c r="D1114" s="59"/>
      <c r="E1114" s="59"/>
      <c r="F1114" s="59"/>
      <c r="G1114" s="59"/>
      <c r="H1114" s="82"/>
      <c r="I1114" s="59"/>
    </row>
    <row r="1115">
      <c r="A1115" s="59"/>
      <c r="B1115" s="59"/>
      <c r="C1115" s="59"/>
      <c r="D1115" s="59"/>
      <c r="E1115" s="59"/>
      <c r="F1115" s="59"/>
      <c r="G1115" s="59"/>
      <c r="H1115" s="82"/>
      <c r="I1115" s="59"/>
    </row>
    <row r="1116">
      <c r="A1116" s="59"/>
      <c r="B1116" s="59"/>
      <c r="C1116" s="59"/>
      <c r="D1116" s="59"/>
      <c r="E1116" s="59"/>
      <c r="F1116" s="59"/>
      <c r="G1116" s="59"/>
      <c r="H1116" s="82"/>
      <c r="I1116" s="59"/>
    </row>
    <row r="1117">
      <c r="A1117" s="59"/>
      <c r="B1117" s="59"/>
      <c r="C1117" s="59"/>
      <c r="D1117" s="59"/>
      <c r="E1117" s="59"/>
      <c r="F1117" s="59"/>
      <c r="G1117" s="59"/>
      <c r="H1117" s="82"/>
      <c r="I1117" s="59"/>
    </row>
    <row r="1118">
      <c r="A1118" s="59"/>
      <c r="B1118" s="59"/>
      <c r="C1118" s="59"/>
      <c r="D1118" s="59"/>
      <c r="E1118" s="59"/>
      <c r="F1118" s="59"/>
      <c r="G1118" s="59"/>
      <c r="H1118" s="82"/>
      <c r="I1118" s="59"/>
    </row>
    <row r="1119">
      <c r="A1119" s="59"/>
      <c r="B1119" s="59"/>
      <c r="C1119" s="59"/>
      <c r="D1119" s="59"/>
      <c r="E1119" s="59"/>
      <c r="F1119" s="59"/>
      <c r="G1119" s="59"/>
      <c r="H1119" s="82"/>
      <c r="I1119" s="59"/>
    </row>
    <row r="1120">
      <c r="A1120" s="59"/>
      <c r="B1120" s="59"/>
      <c r="C1120" s="59"/>
      <c r="D1120" s="59"/>
      <c r="E1120" s="59"/>
      <c r="F1120" s="59"/>
      <c r="G1120" s="59"/>
      <c r="H1120" s="82"/>
      <c r="I1120" s="59"/>
    </row>
    <row r="1121">
      <c r="A1121" s="59"/>
      <c r="B1121" s="59"/>
      <c r="C1121" s="59"/>
      <c r="D1121" s="59"/>
      <c r="E1121" s="59"/>
      <c r="F1121" s="59"/>
      <c r="G1121" s="59"/>
      <c r="H1121" s="82"/>
      <c r="I1121" s="59"/>
    </row>
    <row r="1122">
      <c r="A1122" s="59"/>
      <c r="B1122" s="59"/>
      <c r="C1122" s="59"/>
      <c r="D1122" s="59"/>
      <c r="E1122" s="59"/>
      <c r="F1122" s="59"/>
      <c r="G1122" s="59"/>
      <c r="H1122" s="82"/>
      <c r="I1122" s="59"/>
    </row>
    <row r="1123">
      <c r="A1123" s="59"/>
      <c r="B1123" s="59"/>
      <c r="C1123" s="59"/>
      <c r="D1123" s="59"/>
      <c r="E1123" s="59"/>
      <c r="F1123" s="59"/>
      <c r="G1123" s="59"/>
      <c r="H1123" s="82"/>
      <c r="I1123" s="59"/>
    </row>
    <row r="1124">
      <c r="A1124" s="59"/>
      <c r="B1124" s="59"/>
      <c r="C1124" s="59"/>
      <c r="D1124" s="59"/>
      <c r="E1124" s="59"/>
      <c r="F1124" s="59"/>
      <c r="G1124" s="59"/>
      <c r="H1124" s="82"/>
      <c r="I1124" s="59"/>
    </row>
    <row r="1125">
      <c r="A1125" s="59"/>
      <c r="B1125" s="59"/>
      <c r="C1125" s="59"/>
      <c r="D1125" s="59"/>
      <c r="E1125" s="59"/>
      <c r="F1125" s="59"/>
      <c r="G1125" s="59"/>
      <c r="H1125" s="82"/>
      <c r="I1125" s="59"/>
    </row>
    <row r="1126">
      <c r="A1126" s="59"/>
      <c r="B1126" s="59"/>
      <c r="C1126" s="59"/>
      <c r="D1126" s="59"/>
      <c r="E1126" s="59"/>
      <c r="F1126" s="59"/>
      <c r="G1126" s="59"/>
      <c r="H1126" s="82"/>
      <c r="I1126" s="59"/>
    </row>
    <row r="1127">
      <c r="A1127" s="59"/>
      <c r="B1127" s="59"/>
      <c r="C1127" s="59"/>
      <c r="D1127" s="59"/>
      <c r="E1127" s="59"/>
      <c r="F1127" s="59"/>
      <c r="G1127" s="59"/>
      <c r="H1127" s="82"/>
      <c r="I1127" s="59"/>
    </row>
    <row r="1128">
      <c r="A1128" s="59"/>
      <c r="B1128" s="59"/>
      <c r="C1128" s="59"/>
      <c r="D1128" s="59"/>
      <c r="E1128" s="59"/>
      <c r="F1128" s="59"/>
      <c r="G1128" s="59"/>
      <c r="H1128" s="82"/>
      <c r="I1128" s="59"/>
    </row>
    <row r="1129">
      <c r="A1129" s="59"/>
      <c r="B1129" s="59"/>
      <c r="C1129" s="59"/>
      <c r="D1129" s="59"/>
      <c r="E1129" s="59"/>
      <c r="F1129" s="59"/>
      <c r="G1129" s="59"/>
      <c r="H1129" s="82"/>
      <c r="I1129" s="59"/>
    </row>
    <row r="1130">
      <c r="A1130" s="59"/>
      <c r="B1130" s="59"/>
      <c r="C1130" s="59"/>
      <c r="D1130" s="59"/>
      <c r="E1130" s="59"/>
      <c r="F1130" s="59"/>
      <c r="G1130" s="59"/>
      <c r="H1130" s="82"/>
      <c r="I1130" s="59"/>
    </row>
    <row r="1131">
      <c r="A1131" s="59"/>
      <c r="B1131" s="59"/>
      <c r="C1131" s="59"/>
      <c r="D1131" s="59"/>
      <c r="E1131" s="59"/>
      <c r="F1131" s="59"/>
      <c r="G1131" s="59"/>
      <c r="H1131" s="82"/>
      <c r="I1131" s="59"/>
    </row>
    <row r="1132">
      <c r="A1132" s="59"/>
      <c r="B1132" s="59"/>
      <c r="C1132" s="59"/>
      <c r="D1132" s="59"/>
      <c r="E1132" s="59"/>
      <c r="F1132" s="59"/>
      <c r="G1132" s="59"/>
      <c r="H1132" s="82"/>
      <c r="I1132" s="59"/>
    </row>
    <row r="1133">
      <c r="A1133" s="59"/>
      <c r="B1133" s="59"/>
      <c r="C1133" s="59"/>
      <c r="D1133" s="59"/>
      <c r="E1133" s="59"/>
      <c r="F1133" s="59"/>
      <c r="G1133" s="59"/>
      <c r="H1133" s="82"/>
      <c r="I1133" s="59"/>
    </row>
    <row r="1134">
      <c r="A1134" s="59"/>
      <c r="B1134" s="59"/>
      <c r="C1134" s="59"/>
      <c r="D1134" s="59"/>
      <c r="E1134" s="59"/>
      <c r="F1134" s="59"/>
      <c r="G1134" s="59"/>
      <c r="H1134" s="82"/>
      <c r="I1134" s="59"/>
    </row>
    <row r="1135">
      <c r="A1135" s="59"/>
      <c r="B1135" s="59"/>
      <c r="C1135" s="59"/>
      <c r="D1135" s="59"/>
      <c r="E1135" s="59"/>
      <c r="F1135" s="59"/>
      <c r="G1135" s="59"/>
      <c r="H1135" s="82"/>
      <c r="I1135" s="59"/>
    </row>
    <row r="1136">
      <c r="A1136" s="59"/>
      <c r="B1136" s="59"/>
      <c r="C1136" s="59"/>
      <c r="D1136" s="59"/>
      <c r="E1136" s="59"/>
      <c r="F1136" s="59"/>
      <c r="G1136" s="59"/>
      <c r="H1136" s="82"/>
      <c r="I1136" s="59"/>
    </row>
    <row r="1137">
      <c r="A1137" s="59"/>
      <c r="B1137" s="59"/>
      <c r="C1137" s="59"/>
      <c r="D1137" s="59"/>
      <c r="E1137" s="59"/>
      <c r="F1137" s="59"/>
      <c r="G1137" s="59"/>
      <c r="H1137" s="82"/>
      <c r="I1137" s="59"/>
    </row>
    <row r="1138">
      <c r="A1138" s="59"/>
      <c r="B1138" s="59"/>
      <c r="C1138" s="59"/>
      <c r="D1138" s="59"/>
      <c r="E1138" s="59"/>
      <c r="F1138" s="59"/>
      <c r="G1138" s="59"/>
      <c r="H1138" s="82"/>
      <c r="I1138" s="59"/>
    </row>
    <row r="1139">
      <c r="A1139" s="59"/>
      <c r="B1139" s="59"/>
      <c r="C1139" s="59"/>
      <c r="D1139" s="59"/>
      <c r="E1139" s="59"/>
      <c r="F1139" s="59"/>
      <c r="G1139" s="59"/>
      <c r="H1139" s="82"/>
      <c r="I1139" s="59"/>
    </row>
    <row r="1140">
      <c r="A1140" s="59"/>
      <c r="B1140" s="59"/>
      <c r="C1140" s="59"/>
      <c r="D1140" s="59"/>
      <c r="E1140" s="59"/>
      <c r="F1140" s="59"/>
      <c r="G1140" s="59"/>
      <c r="H1140" s="82"/>
      <c r="I1140" s="59"/>
    </row>
    <row r="1141">
      <c r="A1141" s="59"/>
      <c r="B1141" s="59"/>
      <c r="C1141" s="59"/>
      <c r="D1141" s="59"/>
      <c r="E1141" s="59"/>
      <c r="F1141" s="59"/>
      <c r="G1141" s="59"/>
      <c r="H1141" s="82"/>
      <c r="I1141" s="59"/>
    </row>
    <row r="1142">
      <c r="A1142" s="59"/>
      <c r="B1142" s="59"/>
      <c r="C1142" s="59"/>
      <c r="D1142" s="59"/>
      <c r="E1142" s="59"/>
      <c r="F1142" s="59"/>
      <c r="G1142" s="59"/>
      <c r="H1142" s="82"/>
      <c r="I1142" s="59"/>
    </row>
    <row r="1143">
      <c r="A1143" s="59"/>
      <c r="B1143" s="59"/>
      <c r="C1143" s="59"/>
      <c r="D1143" s="59"/>
      <c r="E1143" s="59"/>
      <c r="F1143" s="59"/>
      <c r="G1143" s="59"/>
      <c r="H1143" s="82"/>
      <c r="I1143" s="59"/>
    </row>
    <row r="1144">
      <c r="A1144" s="59"/>
      <c r="B1144" s="59"/>
      <c r="C1144" s="59"/>
      <c r="D1144" s="59"/>
      <c r="E1144" s="59"/>
      <c r="F1144" s="59"/>
      <c r="G1144" s="59"/>
      <c r="H1144" s="82"/>
      <c r="I1144" s="59"/>
    </row>
    <row r="1145">
      <c r="A1145" s="59"/>
      <c r="B1145" s="59"/>
      <c r="C1145" s="59"/>
      <c r="D1145" s="59"/>
      <c r="E1145" s="59"/>
      <c r="F1145" s="59"/>
      <c r="G1145" s="59"/>
      <c r="H1145" s="82"/>
      <c r="I1145" s="59"/>
    </row>
    <row r="1146">
      <c r="A1146" s="59"/>
      <c r="B1146" s="59"/>
      <c r="C1146" s="59"/>
      <c r="D1146" s="59"/>
      <c r="E1146" s="59"/>
      <c r="F1146" s="59"/>
      <c r="G1146" s="59"/>
      <c r="H1146" s="82"/>
      <c r="I1146" s="59"/>
    </row>
    <row r="1147">
      <c r="A1147" s="59"/>
      <c r="B1147" s="59"/>
      <c r="C1147" s="59"/>
      <c r="D1147" s="59"/>
      <c r="E1147" s="59"/>
      <c r="F1147" s="59"/>
      <c r="G1147" s="59"/>
      <c r="H1147" s="82"/>
      <c r="I1147" s="59"/>
    </row>
    <row r="1148">
      <c r="A1148" s="59"/>
      <c r="B1148" s="59"/>
      <c r="C1148" s="59"/>
      <c r="D1148" s="59"/>
      <c r="E1148" s="59"/>
      <c r="F1148" s="59"/>
      <c r="G1148" s="59"/>
      <c r="H1148" s="82"/>
      <c r="I1148" s="59"/>
    </row>
    <row r="1149">
      <c r="A1149" s="59"/>
      <c r="B1149" s="59"/>
      <c r="C1149" s="59"/>
      <c r="D1149" s="59"/>
      <c r="E1149" s="59"/>
      <c r="F1149" s="59"/>
      <c r="G1149" s="59"/>
      <c r="H1149" s="82"/>
      <c r="I1149" s="59"/>
    </row>
    <row r="1150">
      <c r="A1150" s="59"/>
      <c r="B1150" s="59"/>
      <c r="C1150" s="59"/>
      <c r="D1150" s="59"/>
      <c r="E1150" s="59"/>
      <c r="F1150" s="59"/>
      <c r="G1150" s="59"/>
      <c r="H1150" s="82"/>
      <c r="I1150" s="59"/>
    </row>
    <row r="1151">
      <c r="A1151" s="59"/>
      <c r="B1151" s="59"/>
      <c r="C1151" s="59"/>
      <c r="D1151" s="59"/>
      <c r="E1151" s="59"/>
      <c r="F1151" s="59"/>
      <c r="G1151" s="59"/>
      <c r="H1151" s="82"/>
      <c r="I1151" s="59"/>
    </row>
    <row r="1152">
      <c r="A1152" s="59"/>
      <c r="B1152" s="59"/>
      <c r="C1152" s="59"/>
      <c r="D1152" s="59"/>
      <c r="E1152" s="59"/>
      <c r="F1152" s="59"/>
      <c r="G1152" s="59"/>
      <c r="H1152" s="82"/>
      <c r="I1152" s="59"/>
    </row>
    <row r="1153">
      <c r="A1153" s="59"/>
      <c r="B1153" s="59"/>
      <c r="C1153" s="59"/>
      <c r="D1153" s="59"/>
      <c r="E1153" s="59"/>
      <c r="F1153" s="59"/>
      <c r="G1153" s="59"/>
      <c r="H1153" s="82"/>
      <c r="I1153" s="59"/>
    </row>
    <row r="1154">
      <c r="A1154" s="59"/>
      <c r="B1154" s="59"/>
      <c r="C1154" s="59"/>
      <c r="D1154" s="59"/>
      <c r="E1154" s="59"/>
      <c r="F1154" s="59"/>
      <c r="G1154" s="59"/>
      <c r="H1154" s="82"/>
      <c r="I1154" s="59"/>
    </row>
    <row r="1155">
      <c r="A1155" s="59"/>
      <c r="B1155" s="59"/>
      <c r="C1155" s="59"/>
      <c r="D1155" s="59"/>
      <c r="E1155" s="59"/>
      <c r="F1155" s="59"/>
      <c r="G1155" s="59"/>
      <c r="H1155" s="82"/>
      <c r="I1155" s="59"/>
    </row>
    <row r="1156">
      <c r="A1156" s="59"/>
      <c r="B1156" s="59"/>
      <c r="C1156" s="59"/>
      <c r="D1156" s="59"/>
      <c r="E1156" s="59"/>
      <c r="F1156" s="59"/>
      <c r="G1156" s="59"/>
      <c r="H1156" s="82"/>
      <c r="I1156" s="59"/>
    </row>
    <row r="1157">
      <c r="A1157" s="59"/>
      <c r="B1157" s="59"/>
      <c r="C1157" s="59"/>
      <c r="D1157" s="59"/>
      <c r="E1157" s="59"/>
      <c r="F1157" s="59"/>
      <c r="G1157" s="59"/>
      <c r="H1157" s="82"/>
      <c r="I1157" s="59"/>
    </row>
    <row r="1158">
      <c r="A1158" s="59"/>
      <c r="B1158" s="59"/>
      <c r="C1158" s="59"/>
      <c r="D1158" s="59"/>
      <c r="E1158" s="59"/>
      <c r="F1158" s="59"/>
      <c r="G1158" s="59"/>
      <c r="H1158" s="82"/>
      <c r="I1158" s="59"/>
    </row>
    <row r="1159">
      <c r="A1159" s="59"/>
      <c r="B1159" s="59"/>
      <c r="C1159" s="59"/>
      <c r="D1159" s="59"/>
      <c r="E1159" s="59"/>
      <c r="F1159" s="59"/>
      <c r="G1159" s="59"/>
      <c r="H1159" s="82"/>
      <c r="I1159" s="59"/>
    </row>
    <row r="1160">
      <c r="A1160" s="59"/>
      <c r="B1160" s="59"/>
      <c r="C1160" s="59"/>
      <c r="D1160" s="59"/>
      <c r="E1160" s="59"/>
      <c r="F1160" s="59"/>
      <c r="G1160" s="59"/>
      <c r="H1160" s="82"/>
      <c r="I1160" s="59"/>
    </row>
    <row r="1161">
      <c r="A1161" s="59"/>
      <c r="B1161" s="59"/>
      <c r="C1161" s="59"/>
      <c r="D1161" s="59"/>
      <c r="E1161" s="59"/>
      <c r="F1161" s="59"/>
      <c r="G1161" s="59"/>
      <c r="H1161" s="82"/>
      <c r="I1161" s="59"/>
    </row>
    <row r="1162">
      <c r="A1162" s="59"/>
      <c r="B1162" s="59"/>
      <c r="C1162" s="59"/>
      <c r="D1162" s="59"/>
      <c r="E1162" s="59"/>
      <c r="F1162" s="59"/>
      <c r="G1162" s="59"/>
      <c r="H1162" s="82"/>
      <c r="I1162" s="59"/>
    </row>
    <row r="1163">
      <c r="A1163" s="59"/>
      <c r="B1163" s="59"/>
      <c r="C1163" s="59"/>
      <c r="D1163" s="59"/>
      <c r="E1163" s="59"/>
      <c r="F1163" s="59"/>
      <c r="G1163" s="59"/>
      <c r="H1163" s="82"/>
      <c r="I1163" s="59"/>
    </row>
    <row r="1164">
      <c r="A1164" s="59"/>
      <c r="B1164" s="59"/>
      <c r="C1164" s="59"/>
      <c r="D1164" s="59"/>
      <c r="E1164" s="59"/>
      <c r="F1164" s="59"/>
      <c r="G1164" s="59"/>
      <c r="H1164" s="82"/>
      <c r="I1164" s="59"/>
    </row>
    <row r="1165">
      <c r="A1165" s="59"/>
      <c r="B1165" s="59"/>
      <c r="C1165" s="59"/>
      <c r="D1165" s="59"/>
      <c r="E1165" s="59"/>
      <c r="F1165" s="59"/>
      <c r="G1165" s="59"/>
      <c r="H1165" s="82"/>
      <c r="I1165" s="59"/>
    </row>
    <row r="1166">
      <c r="A1166" s="59"/>
      <c r="B1166" s="59"/>
      <c r="C1166" s="59"/>
      <c r="D1166" s="59"/>
      <c r="E1166" s="59"/>
      <c r="F1166" s="59"/>
      <c r="G1166" s="59"/>
      <c r="H1166" s="82"/>
      <c r="I1166" s="59"/>
    </row>
    <row r="1167">
      <c r="A1167" s="59"/>
      <c r="B1167" s="59"/>
      <c r="C1167" s="59"/>
      <c r="D1167" s="59"/>
      <c r="E1167" s="59"/>
      <c r="F1167" s="59"/>
      <c r="G1167" s="59"/>
      <c r="H1167" s="82"/>
      <c r="I1167" s="59"/>
    </row>
    <row r="1168">
      <c r="A1168" s="59"/>
      <c r="B1168" s="59"/>
      <c r="C1168" s="59"/>
      <c r="D1168" s="59"/>
      <c r="E1168" s="59"/>
      <c r="F1168" s="59"/>
      <c r="G1168" s="59"/>
      <c r="H1168" s="82"/>
      <c r="I1168" s="59"/>
    </row>
    <row r="1169">
      <c r="A1169" s="59"/>
      <c r="B1169" s="59"/>
      <c r="C1169" s="59"/>
      <c r="D1169" s="59"/>
      <c r="E1169" s="59"/>
      <c r="F1169" s="59"/>
      <c r="G1169" s="59"/>
      <c r="H1169" s="82"/>
      <c r="I1169" s="59"/>
    </row>
    <row r="1170">
      <c r="A1170" s="59"/>
      <c r="B1170" s="59"/>
      <c r="C1170" s="59"/>
      <c r="D1170" s="59"/>
      <c r="E1170" s="59"/>
      <c r="F1170" s="59"/>
      <c r="G1170" s="59"/>
      <c r="H1170" s="82"/>
      <c r="I1170" s="59"/>
    </row>
    <row r="1171">
      <c r="A1171" s="59"/>
      <c r="B1171" s="59"/>
      <c r="C1171" s="59"/>
      <c r="D1171" s="59"/>
      <c r="E1171" s="59"/>
      <c r="F1171" s="59"/>
      <c r="G1171" s="59"/>
      <c r="H1171" s="82"/>
      <c r="I1171" s="59"/>
    </row>
    <row r="1172">
      <c r="A1172" s="59"/>
      <c r="B1172" s="59"/>
      <c r="C1172" s="59"/>
      <c r="D1172" s="59"/>
      <c r="E1172" s="59"/>
      <c r="F1172" s="59"/>
      <c r="G1172" s="59"/>
      <c r="H1172" s="82"/>
      <c r="I1172" s="59"/>
    </row>
    <row r="1173">
      <c r="A1173" s="59"/>
      <c r="B1173" s="59"/>
      <c r="C1173" s="59"/>
      <c r="D1173" s="59"/>
      <c r="E1173" s="59"/>
      <c r="F1173" s="59"/>
      <c r="G1173" s="59"/>
      <c r="H1173" s="82"/>
      <c r="I1173" s="59"/>
    </row>
    <row r="1174">
      <c r="A1174" s="59"/>
      <c r="B1174" s="59"/>
      <c r="C1174" s="59"/>
      <c r="D1174" s="59"/>
      <c r="E1174" s="59"/>
      <c r="F1174" s="59"/>
      <c r="G1174" s="59"/>
      <c r="H1174" s="82"/>
      <c r="I1174" s="59"/>
    </row>
    <row r="1175">
      <c r="A1175" s="59"/>
      <c r="B1175" s="59"/>
      <c r="C1175" s="59"/>
      <c r="D1175" s="59"/>
      <c r="E1175" s="59"/>
      <c r="F1175" s="59"/>
      <c r="G1175" s="59"/>
      <c r="H1175" s="82"/>
      <c r="I1175" s="59"/>
    </row>
    <row r="1176">
      <c r="A1176" s="59"/>
      <c r="B1176" s="59"/>
      <c r="C1176" s="59"/>
      <c r="D1176" s="59"/>
      <c r="E1176" s="59"/>
      <c r="F1176" s="59"/>
      <c r="G1176" s="59"/>
      <c r="H1176" s="82"/>
      <c r="I1176" s="59"/>
    </row>
    <row r="1177">
      <c r="A1177" s="59"/>
      <c r="B1177" s="59"/>
      <c r="C1177" s="59"/>
      <c r="D1177" s="59"/>
      <c r="E1177" s="59"/>
      <c r="F1177" s="59"/>
      <c r="G1177" s="59"/>
      <c r="H1177" s="82"/>
      <c r="I1177" s="59"/>
    </row>
    <row r="1178">
      <c r="A1178" s="59"/>
      <c r="B1178" s="59"/>
      <c r="C1178" s="59"/>
      <c r="D1178" s="59"/>
      <c r="E1178" s="59"/>
      <c r="F1178" s="59"/>
      <c r="G1178" s="59"/>
      <c r="H1178" s="82"/>
      <c r="I1178" s="59"/>
    </row>
    <row r="1179">
      <c r="A1179" s="59"/>
      <c r="B1179" s="59"/>
      <c r="C1179" s="59"/>
      <c r="D1179" s="59"/>
      <c r="E1179" s="59"/>
      <c r="F1179" s="59"/>
      <c r="G1179" s="59"/>
      <c r="H1179" s="82"/>
      <c r="I1179" s="59"/>
    </row>
    <row r="1180">
      <c r="A1180" s="59"/>
      <c r="B1180" s="59"/>
      <c r="C1180" s="59"/>
      <c r="D1180" s="59"/>
      <c r="E1180" s="59"/>
      <c r="F1180" s="59"/>
      <c r="G1180" s="59"/>
      <c r="H1180" s="82"/>
      <c r="I1180" s="59"/>
    </row>
    <row r="1181">
      <c r="A1181" s="59"/>
      <c r="B1181" s="59"/>
      <c r="C1181" s="59"/>
      <c r="D1181" s="59"/>
      <c r="E1181" s="59"/>
      <c r="F1181" s="59"/>
      <c r="G1181" s="59"/>
      <c r="H1181" s="82"/>
      <c r="I1181" s="59"/>
    </row>
    <row r="1182">
      <c r="A1182" s="59"/>
      <c r="B1182" s="59"/>
      <c r="C1182" s="59"/>
      <c r="D1182" s="59"/>
      <c r="E1182" s="59"/>
      <c r="F1182" s="59"/>
      <c r="G1182" s="59"/>
      <c r="H1182" s="82"/>
      <c r="I1182" s="59"/>
    </row>
    <row r="1183">
      <c r="A1183" s="59"/>
      <c r="B1183" s="59"/>
      <c r="C1183" s="59"/>
      <c r="D1183" s="59"/>
      <c r="E1183" s="59"/>
      <c r="F1183" s="59"/>
      <c r="G1183" s="59"/>
      <c r="H1183" s="82"/>
      <c r="I1183" s="59"/>
    </row>
    <row r="1184">
      <c r="A1184" s="59"/>
      <c r="B1184" s="59"/>
      <c r="C1184" s="59"/>
      <c r="D1184" s="59"/>
      <c r="E1184" s="59"/>
      <c r="F1184" s="59"/>
      <c r="G1184" s="59"/>
      <c r="H1184" s="82"/>
      <c r="I1184" s="59"/>
    </row>
    <row r="1185">
      <c r="A1185" s="59"/>
      <c r="B1185" s="59"/>
      <c r="C1185" s="59"/>
      <c r="D1185" s="59"/>
      <c r="E1185" s="59"/>
      <c r="F1185" s="59"/>
      <c r="G1185" s="59"/>
      <c r="H1185" s="82"/>
      <c r="I1185" s="59"/>
    </row>
    <row r="1186">
      <c r="A1186" s="59"/>
      <c r="B1186" s="59"/>
      <c r="C1186" s="59"/>
      <c r="D1186" s="59"/>
      <c r="E1186" s="59"/>
      <c r="F1186" s="59"/>
      <c r="G1186" s="59"/>
      <c r="H1186" s="82"/>
      <c r="I1186" s="59"/>
    </row>
    <row r="1187">
      <c r="A1187" s="59"/>
      <c r="B1187" s="59"/>
      <c r="C1187" s="59"/>
      <c r="D1187" s="59"/>
      <c r="E1187" s="59"/>
      <c r="F1187" s="59"/>
      <c r="G1187" s="59"/>
      <c r="H1187" s="82"/>
      <c r="I1187" s="59"/>
    </row>
    <row r="1188">
      <c r="A1188" s="59"/>
      <c r="B1188" s="59"/>
      <c r="C1188" s="59"/>
      <c r="D1188" s="59"/>
      <c r="E1188" s="59"/>
      <c r="F1188" s="59"/>
      <c r="G1188" s="59"/>
      <c r="H1188" s="82"/>
      <c r="I1188" s="59"/>
    </row>
    <row r="1189">
      <c r="A1189" s="59"/>
      <c r="B1189" s="59"/>
      <c r="C1189" s="59"/>
      <c r="D1189" s="59"/>
      <c r="E1189" s="59"/>
      <c r="F1189" s="59"/>
      <c r="G1189" s="59"/>
      <c r="H1189" s="82"/>
      <c r="I1189" s="59"/>
    </row>
    <row r="1190">
      <c r="A1190" s="59"/>
      <c r="B1190" s="59"/>
      <c r="C1190" s="59"/>
      <c r="D1190" s="59"/>
      <c r="E1190" s="59"/>
      <c r="F1190" s="59"/>
      <c r="G1190" s="59"/>
      <c r="H1190" s="82"/>
      <c r="I1190" s="59"/>
    </row>
    <row r="1191">
      <c r="A1191" s="59"/>
      <c r="B1191" s="59"/>
      <c r="C1191" s="59"/>
      <c r="D1191" s="59"/>
      <c r="E1191" s="59"/>
      <c r="F1191" s="59"/>
      <c r="G1191" s="59"/>
      <c r="H1191" s="82"/>
      <c r="I1191" s="59"/>
    </row>
    <row r="1192">
      <c r="A1192" s="59"/>
      <c r="B1192" s="59"/>
      <c r="C1192" s="59"/>
      <c r="D1192" s="59"/>
      <c r="E1192" s="59"/>
      <c r="F1192" s="59"/>
      <c r="G1192" s="59"/>
      <c r="H1192" s="82"/>
      <c r="I1192" s="59"/>
    </row>
    <row r="1193">
      <c r="A1193" s="59"/>
      <c r="B1193" s="59"/>
      <c r="C1193" s="59"/>
      <c r="D1193" s="59"/>
      <c r="E1193" s="59"/>
      <c r="F1193" s="59"/>
      <c r="G1193" s="59"/>
      <c r="H1193" s="82"/>
      <c r="I1193" s="59"/>
    </row>
    <row r="1194">
      <c r="A1194" s="59"/>
      <c r="B1194" s="59"/>
      <c r="C1194" s="59"/>
      <c r="D1194" s="59"/>
      <c r="E1194" s="59"/>
      <c r="F1194" s="59"/>
      <c r="G1194" s="59"/>
      <c r="H1194" s="82"/>
      <c r="I1194" s="59"/>
    </row>
    <row r="1195">
      <c r="A1195" s="59"/>
      <c r="B1195" s="59"/>
      <c r="C1195" s="59"/>
      <c r="D1195" s="59"/>
      <c r="E1195" s="59"/>
      <c r="F1195" s="59"/>
      <c r="G1195" s="59"/>
      <c r="H1195" s="82"/>
      <c r="I1195" s="59"/>
    </row>
    <row r="1196">
      <c r="A1196" s="59"/>
      <c r="B1196" s="59"/>
      <c r="C1196" s="59"/>
      <c r="D1196" s="59"/>
      <c r="E1196" s="59"/>
      <c r="F1196" s="59"/>
      <c r="G1196" s="59"/>
      <c r="H1196" s="82"/>
      <c r="I1196" s="59"/>
    </row>
    <row r="1197">
      <c r="A1197" s="59"/>
      <c r="B1197" s="59"/>
      <c r="C1197" s="59"/>
      <c r="D1197" s="59"/>
      <c r="E1197" s="59"/>
      <c r="F1197" s="59"/>
      <c r="G1197" s="59"/>
      <c r="H1197" s="82"/>
      <c r="I1197" s="59"/>
    </row>
    <row r="1198">
      <c r="A1198" s="59"/>
      <c r="B1198" s="59"/>
      <c r="C1198" s="59"/>
      <c r="D1198" s="59"/>
      <c r="E1198" s="59"/>
      <c r="F1198" s="59"/>
      <c r="G1198" s="59"/>
      <c r="H1198" s="82"/>
      <c r="I1198" s="59"/>
    </row>
    <row r="1199">
      <c r="A1199" s="59"/>
      <c r="B1199" s="59"/>
      <c r="C1199" s="59"/>
      <c r="D1199" s="59"/>
      <c r="E1199" s="59"/>
      <c r="F1199" s="59"/>
      <c r="G1199" s="59"/>
      <c r="H1199" s="82"/>
      <c r="I1199" s="59"/>
    </row>
    <row r="1200">
      <c r="A1200" s="59"/>
      <c r="B1200" s="59"/>
      <c r="C1200" s="59"/>
      <c r="D1200" s="59"/>
      <c r="E1200" s="59"/>
      <c r="F1200" s="59"/>
      <c r="G1200" s="59"/>
      <c r="H1200" s="82"/>
      <c r="I1200" s="59"/>
    </row>
    <row r="1201">
      <c r="A1201" s="59"/>
      <c r="B1201" s="59"/>
      <c r="C1201" s="59"/>
      <c r="D1201" s="59"/>
      <c r="E1201" s="59"/>
      <c r="F1201" s="59"/>
      <c r="G1201" s="59"/>
      <c r="H1201" s="82"/>
      <c r="I1201" s="59"/>
    </row>
    <row r="1202">
      <c r="A1202" s="59"/>
      <c r="B1202" s="59"/>
      <c r="C1202" s="59"/>
      <c r="D1202" s="59"/>
      <c r="E1202" s="59"/>
      <c r="F1202" s="59"/>
      <c r="G1202" s="59"/>
      <c r="H1202" s="82"/>
      <c r="I1202" s="59"/>
    </row>
    <row r="1203">
      <c r="A1203" s="59"/>
      <c r="B1203" s="59"/>
      <c r="C1203" s="59"/>
      <c r="D1203" s="59"/>
      <c r="E1203" s="59"/>
      <c r="F1203" s="59"/>
      <c r="G1203" s="59"/>
      <c r="H1203" s="82"/>
      <c r="I1203" s="59"/>
    </row>
    <row r="1204">
      <c r="A1204" s="59"/>
      <c r="B1204" s="59"/>
      <c r="C1204" s="59"/>
      <c r="D1204" s="59"/>
      <c r="E1204" s="59"/>
      <c r="F1204" s="59"/>
      <c r="G1204" s="59"/>
      <c r="H1204" s="82"/>
      <c r="I1204" s="59"/>
    </row>
    <row r="1205">
      <c r="A1205" s="59"/>
      <c r="B1205" s="59"/>
      <c r="C1205" s="59"/>
      <c r="D1205" s="59"/>
      <c r="E1205" s="59"/>
      <c r="F1205" s="59"/>
      <c r="G1205" s="59"/>
      <c r="H1205" s="82"/>
      <c r="I1205" s="59"/>
    </row>
    <row r="1206">
      <c r="A1206" s="59"/>
      <c r="B1206" s="59"/>
      <c r="C1206" s="59"/>
      <c r="D1206" s="59"/>
      <c r="E1206" s="59"/>
      <c r="F1206" s="59"/>
      <c r="G1206" s="59"/>
      <c r="H1206" s="82"/>
      <c r="I1206" s="59"/>
    </row>
    <row r="1207">
      <c r="A1207" s="59"/>
      <c r="B1207" s="59"/>
      <c r="C1207" s="59"/>
      <c r="D1207" s="59"/>
      <c r="E1207" s="59"/>
      <c r="F1207" s="59"/>
      <c r="G1207" s="59"/>
      <c r="H1207" s="82"/>
      <c r="I1207" s="59"/>
    </row>
    <row r="1208">
      <c r="A1208" s="59"/>
      <c r="B1208" s="59"/>
      <c r="C1208" s="59"/>
      <c r="D1208" s="59"/>
      <c r="E1208" s="59"/>
      <c r="F1208" s="59"/>
      <c r="G1208" s="59"/>
      <c r="H1208" s="82"/>
      <c r="I1208" s="59"/>
    </row>
    <row r="1209">
      <c r="A1209" s="59"/>
      <c r="B1209" s="59"/>
      <c r="C1209" s="59"/>
      <c r="D1209" s="59"/>
      <c r="E1209" s="59"/>
      <c r="F1209" s="59"/>
      <c r="G1209" s="59"/>
      <c r="H1209" s="82"/>
      <c r="I1209" s="59"/>
    </row>
    <row r="1210">
      <c r="A1210" s="59"/>
      <c r="B1210" s="59"/>
      <c r="C1210" s="59"/>
      <c r="D1210" s="59"/>
      <c r="E1210" s="59"/>
      <c r="F1210" s="59"/>
      <c r="G1210" s="59"/>
      <c r="H1210" s="82"/>
      <c r="I1210" s="59"/>
    </row>
    <row r="1211">
      <c r="A1211" s="59"/>
      <c r="B1211" s="59"/>
      <c r="C1211" s="59"/>
      <c r="D1211" s="59"/>
      <c r="E1211" s="59"/>
      <c r="F1211" s="59"/>
      <c r="G1211" s="59"/>
      <c r="H1211" s="82"/>
      <c r="I1211" s="59"/>
    </row>
    <row r="1212">
      <c r="A1212" s="59"/>
      <c r="B1212" s="59"/>
      <c r="C1212" s="59"/>
      <c r="D1212" s="59"/>
      <c r="E1212" s="59"/>
      <c r="F1212" s="59"/>
      <c r="G1212" s="59"/>
      <c r="H1212" s="82"/>
      <c r="I1212" s="59"/>
    </row>
    <row r="1213">
      <c r="A1213" s="59"/>
      <c r="B1213" s="59"/>
      <c r="C1213" s="59"/>
      <c r="D1213" s="59"/>
      <c r="E1213" s="59"/>
      <c r="F1213" s="59"/>
      <c r="G1213" s="59"/>
      <c r="H1213" s="82"/>
      <c r="I1213" s="59"/>
    </row>
    <row r="1214">
      <c r="A1214" s="59"/>
      <c r="B1214" s="59"/>
      <c r="C1214" s="59"/>
      <c r="D1214" s="59"/>
      <c r="E1214" s="59"/>
      <c r="F1214" s="59"/>
      <c r="G1214" s="59"/>
      <c r="H1214" s="82"/>
      <c r="I1214" s="59"/>
    </row>
    <row r="1215">
      <c r="A1215" s="59"/>
      <c r="B1215" s="59"/>
      <c r="C1215" s="59"/>
      <c r="D1215" s="59"/>
      <c r="E1215" s="59"/>
      <c r="F1215" s="59"/>
      <c r="G1215" s="59"/>
      <c r="H1215" s="82"/>
      <c r="I1215" s="59"/>
    </row>
    <row r="1216">
      <c r="A1216" s="59"/>
      <c r="B1216" s="59"/>
      <c r="C1216" s="59"/>
      <c r="D1216" s="59"/>
      <c r="E1216" s="59"/>
      <c r="F1216" s="59"/>
      <c r="G1216" s="59"/>
      <c r="H1216" s="82"/>
      <c r="I1216" s="59"/>
    </row>
    <row r="1217">
      <c r="A1217" s="59"/>
      <c r="B1217" s="59"/>
      <c r="C1217" s="59"/>
      <c r="D1217" s="59"/>
      <c r="E1217" s="59"/>
      <c r="F1217" s="59"/>
      <c r="G1217" s="59"/>
      <c r="H1217" s="82"/>
      <c r="I1217" s="59"/>
    </row>
    <row r="1218">
      <c r="A1218" s="59"/>
      <c r="B1218" s="59"/>
      <c r="C1218" s="59"/>
      <c r="D1218" s="59"/>
      <c r="E1218" s="59"/>
      <c r="F1218" s="59"/>
      <c r="G1218" s="59"/>
      <c r="H1218" s="82"/>
      <c r="I1218" s="59"/>
    </row>
    <row r="1219">
      <c r="A1219" s="59"/>
      <c r="B1219" s="59"/>
      <c r="C1219" s="59"/>
      <c r="D1219" s="59"/>
      <c r="E1219" s="59"/>
      <c r="F1219" s="59"/>
      <c r="G1219" s="59"/>
      <c r="H1219" s="82"/>
      <c r="I1219" s="59"/>
    </row>
    <row r="1220">
      <c r="A1220" s="59"/>
      <c r="B1220" s="59"/>
      <c r="C1220" s="59"/>
      <c r="D1220" s="59"/>
      <c r="E1220" s="59"/>
      <c r="F1220" s="59"/>
      <c r="G1220" s="59"/>
      <c r="H1220" s="82"/>
      <c r="I1220" s="59"/>
    </row>
    <row r="1221">
      <c r="A1221" s="59"/>
      <c r="B1221" s="59"/>
      <c r="C1221" s="59"/>
      <c r="D1221" s="59"/>
      <c r="E1221" s="59"/>
      <c r="F1221" s="59"/>
      <c r="G1221" s="59"/>
      <c r="H1221" s="82"/>
      <c r="I1221" s="59"/>
    </row>
    <row r="1222">
      <c r="A1222" s="59"/>
      <c r="B1222" s="59"/>
      <c r="C1222" s="59"/>
      <c r="D1222" s="59"/>
      <c r="E1222" s="59"/>
      <c r="F1222" s="59"/>
      <c r="G1222" s="59"/>
      <c r="H1222" s="82"/>
      <c r="I1222" s="59"/>
    </row>
    <row r="1223">
      <c r="A1223" s="59"/>
      <c r="B1223" s="59"/>
      <c r="C1223" s="59"/>
      <c r="D1223" s="59"/>
      <c r="E1223" s="59"/>
      <c r="F1223" s="59"/>
      <c r="G1223" s="59"/>
      <c r="H1223" s="82"/>
      <c r="I1223" s="59"/>
    </row>
    <row r="1224">
      <c r="A1224" s="59"/>
      <c r="B1224" s="59"/>
      <c r="C1224" s="59"/>
      <c r="D1224" s="59"/>
      <c r="E1224" s="59"/>
      <c r="F1224" s="59"/>
      <c r="G1224" s="59"/>
      <c r="H1224" s="82"/>
      <c r="I1224" s="59"/>
    </row>
    <row r="1225">
      <c r="A1225" s="59"/>
      <c r="B1225" s="59"/>
      <c r="C1225" s="59"/>
      <c r="D1225" s="59"/>
      <c r="E1225" s="59"/>
      <c r="F1225" s="59"/>
      <c r="G1225" s="59"/>
      <c r="H1225" s="82"/>
      <c r="I1225" s="59"/>
    </row>
    <row r="1226">
      <c r="A1226" s="59"/>
      <c r="B1226" s="59"/>
      <c r="C1226" s="59"/>
      <c r="D1226" s="59"/>
      <c r="E1226" s="59"/>
      <c r="F1226" s="59"/>
      <c r="G1226" s="59"/>
      <c r="H1226" s="82"/>
      <c r="I1226" s="59"/>
    </row>
    <row r="1227">
      <c r="A1227" s="59"/>
      <c r="B1227" s="59"/>
      <c r="C1227" s="59"/>
      <c r="D1227" s="59"/>
      <c r="E1227" s="59"/>
      <c r="F1227" s="59"/>
      <c r="G1227" s="59"/>
      <c r="H1227" s="82"/>
      <c r="I1227" s="59"/>
    </row>
    <row r="1228">
      <c r="A1228" s="59"/>
      <c r="B1228" s="59"/>
      <c r="C1228" s="59"/>
      <c r="D1228" s="59"/>
      <c r="E1228" s="59"/>
      <c r="F1228" s="59"/>
      <c r="G1228" s="59"/>
      <c r="H1228" s="82"/>
      <c r="I1228" s="59"/>
    </row>
    <row r="1229">
      <c r="A1229" s="59"/>
      <c r="B1229" s="59"/>
      <c r="C1229" s="59"/>
      <c r="D1229" s="59"/>
      <c r="E1229" s="59"/>
      <c r="F1229" s="59"/>
      <c r="G1229" s="59"/>
      <c r="H1229" s="82"/>
      <c r="I1229" s="59"/>
    </row>
    <row r="1230">
      <c r="A1230" s="59"/>
      <c r="B1230" s="59"/>
      <c r="C1230" s="59"/>
      <c r="D1230" s="59"/>
      <c r="E1230" s="59"/>
      <c r="F1230" s="59"/>
      <c r="G1230" s="59"/>
      <c r="H1230" s="82"/>
      <c r="I1230" s="59"/>
    </row>
    <row r="1231">
      <c r="A1231" s="59"/>
      <c r="B1231" s="59"/>
      <c r="C1231" s="59"/>
      <c r="D1231" s="59"/>
      <c r="E1231" s="59"/>
      <c r="F1231" s="59"/>
      <c r="G1231" s="59"/>
      <c r="H1231" s="82"/>
      <c r="I1231" s="59"/>
    </row>
    <row r="1232">
      <c r="A1232" s="59"/>
      <c r="B1232" s="59"/>
      <c r="C1232" s="59"/>
      <c r="D1232" s="59"/>
      <c r="E1232" s="59"/>
      <c r="F1232" s="59"/>
      <c r="G1232" s="59"/>
      <c r="H1232" s="82"/>
      <c r="I1232" s="59"/>
    </row>
    <row r="1233">
      <c r="A1233" s="59"/>
      <c r="B1233" s="59"/>
      <c r="C1233" s="59"/>
      <c r="D1233" s="59"/>
      <c r="E1233" s="59"/>
      <c r="F1233" s="59"/>
      <c r="G1233" s="59"/>
      <c r="H1233" s="82"/>
      <c r="I1233" s="59"/>
    </row>
    <row r="1234">
      <c r="A1234" s="59"/>
      <c r="B1234" s="59"/>
      <c r="C1234" s="59"/>
      <c r="D1234" s="59"/>
      <c r="E1234" s="59"/>
      <c r="F1234" s="59"/>
      <c r="G1234" s="59"/>
      <c r="H1234" s="82"/>
      <c r="I1234" s="59"/>
    </row>
    <row r="1235">
      <c r="A1235" s="59"/>
      <c r="B1235" s="59"/>
      <c r="C1235" s="59"/>
      <c r="D1235" s="59"/>
      <c r="E1235" s="59"/>
      <c r="F1235" s="59"/>
      <c r="G1235" s="59"/>
      <c r="H1235" s="82"/>
      <c r="I1235" s="59"/>
    </row>
    <row r="1236">
      <c r="A1236" s="59"/>
      <c r="B1236" s="59"/>
      <c r="C1236" s="59"/>
      <c r="D1236" s="59"/>
      <c r="E1236" s="59"/>
      <c r="F1236" s="59"/>
      <c r="G1236" s="59"/>
      <c r="H1236" s="82"/>
      <c r="I1236" s="59"/>
    </row>
    <row r="1237">
      <c r="A1237" s="59"/>
      <c r="B1237" s="59"/>
      <c r="C1237" s="59"/>
      <c r="D1237" s="59"/>
      <c r="E1237" s="59"/>
      <c r="F1237" s="59"/>
      <c r="G1237" s="59"/>
      <c r="H1237" s="82"/>
      <c r="I1237" s="59"/>
    </row>
    <row r="1238">
      <c r="A1238" s="59"/>
      <c r="B1238" s="59"/>
      <c r="C1238" s="59"/>
      <c r="D1238" s="59"/>
      <c r="E1238" s="59"/>
      <c r="F1238" s="59"/>
      <c r="G1238" s="59"/>
      <c r="H1238" s="82"/>
      <c r="I1238" s="59"/>
    </row>
    <row r="1239">
      <c r="A1239" s="59"/>
      <c r="B1239" s="59"/>
      <c r="C1239" s="59"/>
      <c r="D1239" s="59"/>
      <c r="E1239" s="59"/>
      <c r="F1239" s="59"/>
      <c r="G1239" s="59"/>
      <c r="H1239" s="82"/>
      <c r="I1239" s="59"/>
    </row>
    <row r="1240">
      <c r="A1240" s="59"/>
      <c r="B1240" s="59"/>
      <c r="C1240" s="59"/>
      <c r="D1240" s="59"/>
      <c r="E1240" s="59"/>
      <c r="F1240" s="59"/>
      <c r="G1240" s="59"/>
      <c r="H1240" s="82"/>
      <c r="I1240" s="59"/>
    </row>
    <row r="1241">
      <c r="A1241" s="59"/>
      <c r="B1241" s="59"/>
      <c r="C1241" s="59"/>
      <c r="D1241" s="59"/>
      <c r="E1241" s="59"/>
      <c r="F1241" s="59"/>
      <c r="G1241" s="59"/>
      <c r="H1241" s="82"/>
      <c r="I1241" s="59"/>
    </row>
    <row r="1242">
      <c r="A1242" s="59"/>
      <c r="B1242" s="59"/>
      <c r="C1242" s="59"/>
      <c r="D1242" s="59"/>
      <c r="E1242" s="59"/>
      <c r="F1242" s="59"/>
      <c r="G1242" s="59"/>
      <c r="H1242" s="82"/>
      <c r="I1242" s="59"/>
    </row>
    <row r="1243">
      <c r="A1243" s="59"/>
      <c r="B1243" s="59"/>
      <c r="C1243" s="59"/>
      <c r="D1243" s="59"/>
      <c r="E1243" s="59"/>
      <c r="F1243" s="59"/>
      <c r="G1243" s="59"/>
      <c r="H1243" s="82"/>
      <c r="I1243" s="59"/>
    </row>
    <row r="1244">
      <c r="A1244" s="59"/>
      <c r="B1244" s="59"/>
      <c r="C1244" s="59"/>
      <c r="D1244" s="59"/>
      <c r="E1244" s="59"/>
      <c r="F1244" s="59"/>
      <c r="G1244" s="59"/>
      <c r="H1244" s="82"/>
      <c r="I1244" s="59"/>
    </row>
    <row r="1245">
      <c r="A1245" s="59"/>
      <c r="B1245" s="59"/>
      <c r="C1245" s="59"/>
      <c r="D1245" s="59"/>
      <c r="E1245" s="59"/>
      <c r="F1245" s="59"/>
      <c r="G1245" s="59"/>
      <c r="H1245" s="82"/>
      <c r="I1245" s="59"/>
    </row>
    <row r="1246">
      <c r="A1246" s="59"/>
      <c r="B1246" s="59"/>
      <c r="C1246" s="59"/>
      <c r="D1246" s="59"/>
      <c r="E1246" s="59"/>
      <c r="F1246" s="59"/>
      <c r="G1246" s="59"/>
      <c r="H1246" s="82"/>
      <c r="I1246" s="59"/>
    </row>
    <row r="1247">
      <c r="A1247" s="59"/>
      <c r="B1247" s="59"/>
      <c r="C1247" s="59"/>
      <c r="D1247" s="59"/>
      <c r="E1247" s="59"/>
      <c r="F1247" s="59"/>
      <c r="G1247" s="59"/>
      <c r="H1247" s="82"/>
      <c r="I1247" s="59"/>
    </row>
    <row r="1248">
      <c r="A1248" s="59"/>
      <c r="B1248" s="59"/>
      <c r="C1248" s="59"/>
      <c r="D1248" s="59"/>
      <c r="E1248" s="59"/>
      <c r="F1248" s="59"/>
      <c r="G1248" s="59"/>
      <c r="H1248" s="82"/>
      <c r="I1248" s="59"/>
    </row>
    <row r="1249">
      <c r="A1249" s="59"/>
      <c r="B1249" s="59"/>
      <c r="C1249" s="59"/>
      <c r="D1249" s="59"/>
      <c r="E1249" s="59"/>
      <c r="F1249" s="59"/>
      <c r="G1249" s="59"/>
      <c r="H1249" s="82"/>
      <c r="I1249" s="59"/>
    </row>
    <row r="1250">
      <c r="A1250" s="59"/>
      <c r="B1250" s="59"/>
      <c r="C1250" s="59"/>
      <c r="D1250" s="59"/>
      <c r="E1250" s="59"/>
      <c r="F1250" s="59"/>
      <c r="G1250" s="59"/>
      <c r="H1250" s="82"/>
      <c r="I1250" s="59"/>
    </row>
    <row r="1251">
      <c r="A1251" s="59"/>
      <c r="B1251" s="59"/>
      <c r="C1251" s="59"/>
      <c r="D1251" s="59"/>
      <c r="E1251" s="59"/>
      <c r="F1251" s="59"/>
      <c r="G1251" s="59"/>
      <c r="H1251" s="82"/>
      <c r="I1251" s="59"/>
    </row>
    <row r="1252">
      <c r="A1252" s="59"/>
      <c r="B1252" s="59"/>
      <c r="C1252" s="59"/>
      <c r="D1252" s="59"/>
      <c r="E1252" s="59"/>
      <c r="F1252" s="59"/>
      <c r="G1252" s="59"/>
      <c r="H1252" s="82"/>
      <c r="I1252" s="59"/>
    </row>
    <row r="1253">
      <c r="A1253" s="59"/>
      <c r="B1253" s="59"/>
      <c r="C1253" s="59"/>
      <c r="D1253" s="59"/>
      <c r="E1253" s="59"/>
      <c r="F1253" s="59"/>
      <c r="G1253" s="59"/>
      <c r="H1253" s="82"/>
      <c r="I1253" s="59"/>
    </row>
    <row r="1254">
      <c r="A1254" s="59"/>
      <c r="B1254" s="59"/>
      <c r="C1254" s="59"/>
      <c r="D1254" s="59"/>
      <c r="E1254" s="59"/>
      <c r="F1254" s="59"/>
      <c r="G1254" s="59"/>
      <c r="H1254" s="82"/>
      <c r="I1254" s="59"/>
    </row>
    <row r="1255">
      <c r="A1255" s="59"/>
      <c r="B1255" s="59"/>
      <c r="C1255" s="59"/>
      <c r="D1255" s="59"/>
      <c r="E1255" s="59"/>
      <c r="F1255" s="59"/>
      <c r="G1255" s="59"/>
      <c r="H1255" s="82"/>
      <c r="I1255" s="59"/>
    </row>
    <row r="1256">
      <c r="A1256" s="59"/>
      <c r="B1256" s="59"/>
      <c r="C1256" s="59"/>
      <c r="D1256" s="59"/>
      <c r="E1256" s="59"/>
      <c r="F1256" s="59"/>
      <c r="G1256" s="59"/>
      <c r="H1256" s="82"/>
      <c r="I1256" s="59"/>
    </row>
    <row r="1257">
      <c r="A1257" s="59"/>
      <c r="B1257" s="59"/>
      <c r="C1257" s="59"/>
      <c r="D1257" s="59"/>
      <c r="E1257" s="59"/>
      <c r="F1257" s="59"/>
      <c r="G1257" s="59"/>
      <c r="H1257" s="82"/>
      <c r="I1257" s="59"/>
    </row>
    <row r="1258">
      <c r="A1258" s="59"/>
      <c r="B1258" s="59"/>
      <c r="C1258" s="59"/>
      <c r="D1258" s="59"/>
      <c r="E1258" s="59"/>
      <c r="F1258" s="59"/>
      <c r="G1258" s="59"/>
      <c r="H1258" s="82"/>
      <c r="I1258" s="59"/>
    </row>
    <row r="1259">
      <c r="A1259" s="59"/>
      <c r="B1259" s="59"/>
      <c r="C1259" s="59"/>
      <c r="D1259" s="59"/>
      <c r="E1259" s="59"/>
      <c r="F1259" s="59"/>
      <c r="G1259" s="59"/>
      <c r="H1259" s="82"/>
      <c r="I1259" s="59"/>
    </row>
    <row r="1260">
      <c r="A1260" s="59"/>
      <c r="B1260" s="59"/>
      <c r="C1260" s="59"/>
      <c r="D1260" s="59"/>
      <c r="E1260" s="59"/>
      <c r="F1260" s="59"/>
      <c r="G1260" s="59"/>
      <c r="H1260" s="82"/>
      <c r="I1260" s="59"/>
    </row>
    <row r="1261">
      <c r="A1261" s="59"/>
      <c r="B1261" s="59"/>
      <c r="C1261" s="59"/>
      <c r="D1261" s="59"/>
      <c r="E1261" s="59"/>
      <c r="F1261" s="59"/>
      <c r="G1261" s="59"/>
      <c r="H1261" s="82"/>
      <c r="I1261" s="59"/>
    </row>
    <row r="1262">
      <c r="A1262" s="59"/>
      <c r="B1262" s="59"/>
      <c r="C1262" s="59"/>
      <c r="D1262" s="59"/>
      <c r="E1262" s="59"/>
      <c r="F1262" s="59"/>
      <c r="G1262" s="59"/>
      <c r="H1262" s="82"/>
      <c r="I1262" s="59"/>
    </row>
    <row r="1263">
      <c r="A1263" s="59"/>
      <c r="B1263" s="59"/>
      <c r="C1263" s="59"/>
      <c r="D1263" s="59"/>
      <c r="E1263" s="59"/>
      <c r="F1263" s="59"/>
      <c r="G1263" s="59"/>
      <c r="H1263" s="82"/>
      <c r="I1263" s="59"/>
    </row>
    <row r="1264">
      <c r="A1264" s="59"/>
      <c r="B1264" s="59"/>
      <c r="C1264" s="59"/>
      <c r="D1264" s="59"/>
      <c r="E1264" s="59"/>
      <c r="F1264" s="59"/>
      <c r="G1264" s="59"/>
      <c r="H1264" s="82"/>
      <c r="I1264" s="59"/>
    </row>
    <row r="1265">
      <c r="A1265" s="59"/>
      <c r="B1265" s="59"/>
      <c r="C1265" s="59"/>
      <c r="D1265" s="59"/>
      <c r="E1265" s="59"/>
      <c r="F1265" s="59"/>
      <c r="G1265" s="59"/>
      <c r="H1265" s="82"/>
      <c r="I1265" s="59"/>
    </row>
    <row r="1266">
      <c r="A1266" s="59"/>
      <c r="B1266" s="59"/>
      <c r="C1266" s="59"/>
      <c r="D1266" s="59"/>
      <c r="E1266" s="59"/>
      <c r="F1266" s="59"/>
      <c r="G1266" s="59"/>
      <c r="H1266" s="82"/>
      <c r="I1266" s="59"/>
    </row>
    <row r="1267">
      <c r="A1267" s="59"/>
      <c r="B1267" s="59"/>
      <c r="C1267" s="59"/>
      <c r="D1267" s="59"/>
      <c r="E1267" s="59"/>
      <c r="F1267" s="59"/>
      <c r="G1267" s="59"/>
      <c r="H1267" s="82"/>
      <c r="I1267" s="59"/>
    </row>
    <row r="1268">
      <c r="A1268" s="59"/>
      <c r="B1268" s="59"/>
      <c r="C1268" s="59"/>
      <c r="D1268" s="59"/>
      <c r="E1268" s="59"/>
      <c r="F1268" s="59"/>
      <c r="G1268" s="59"/>
      <c r="H1268" s="82"/>
      <c r="I1268" s="59"/>
    </row>
    <row r="1269">
      <c r="A1269" s="59"/>
      <c r="B1269" s="59"/>
      <c r="C1269" s="59"/>
      <c r="D1269" s="59"/>
      <c r="E1269" s="59"/>
      <c r="F1269" s="59"/>
      <c r="G1269" s="59"/>
      <c r="H1269" s="82"/>
      <c r="I1269" s="59"/>
    </row>
    <row r="1270">
      <c r="A1270" s="59"/>
      <c r="B1270" s="59"/>
      <c r="C1270" s="59"/>
      <c r="D1270" s="59"/>
      <c r="E1270" s="59"/>
      <c r="F1270" s="59"/>
      <c r="G1270" s="59"/>
      <c r="H1270" s="82"/>
      <c r="I1270" s="59"/>
    </row>
    <row r="1271">
      <c r="A1271" s="59"/>
      <c r="B1271" s="59"/>
      <c r="C1271" s="59"/>
      <c r="D1271" s="59"/>
      <c r="E1271" s="59"/>
      <c r="F1271" s="59"/>
      <c r="G1271" s="59"/>
      <c r="H1271" s="82"/>
      <c r="I1271" s="59"/>
    </row>
    <row r="1272">
      <c r="A1272" s="59"/>
      <c r="B1272" s="59"/>
      <c r="C1272" s="59"/>
      <c r="D1272" s="59"/>
      <c r="E1272" s="59"/>
      <c r="F1272" s="59"/>
      <c r="G1272" s="59"/>
      <c r="H1272" s="82"/>
      <c r="I1272" s="59"/>
    </row>
    <row r="1273">
      <c r="A1273" s="59"/>
      <c r="B1273" s="59"/>
      <c r="C1273" s="59"/>
      <c r="D1273" s="59"/>
      <c r="E1273" s="59"/>
      <c r="F1273" s="59"/>
      <c r="G1273" s="59"/>
      <c r="H1273" s="82"/>
      <c r="I1273" s="59"/>
    </row>
    <row r="1274">
      <c r="A1274" s="59"/>
      <c r="B1274" s="59"/>
      <c r="C1274" s="59"/>
      <c r="D1274" s="59"/>
      <c r="E1274" s="59"/>
      <c r="F1274" s="59"/>
      <c r="G1274" s="59"/>
      <c r="H1274" s="82"/>
      <c r="I1274" s="59"/>
    </row>
    <row r="1275">
      <c r="A1275" s="59"/>
      <c r="B1275" s="59"/>
      <c r="C1275" s="59"/>
      <c r="D1275" s="59"/>
      <c r="E1275" s="59"/>
      <c r="F1275" s="59"/>
      <c r="G1275" s="59"/>
      <c r="H1275" s="82"/>
      <c r="I1275" s="59"/>
    </row>
    <row r="1276">
      <c r="A1276" s="59"/>
      <c r="B1276" s="59"/>
      <c r="C1276" s="59"/>
      <c r="D1276" s="59"/>
      <c r="E1276" s="59"/>
      <c r="F1276" s="59"/>
      <c r="G1276" s="59"/>
      <c r="H1276" s="82"/>
      <c r="I1276" s="59"/>
    </row>
    <row r="1277">
      <c r="A1277" s="59"/>
      <c r="B1277" s="59"/>
      <c r="C1277" s="59"/>
      <c r="D1277" s="59"/>
      <c r="E1277" s="59"/>
      <c r="F1277" s="59"/>
      <c r="G1277" s="59"/>
      <c r="H1277" s="82"/>
      <c r="I1277" s="59"/>
    </row>
    <row r="1278">
      <c r="A1278" s="59"/>
      <c r="B1278" s="59"/>
      <c r="C1278" s="59"/>
      <c r="D1278" s="59"/>
      <c r="E1278" s="59"/>
      <c r="F1278" s="59"/>
      <c r="G1278" s="59"/>
      <c r="H1278" s="82"/>
      <c r="I1278" s="59"/>
    </row>
    <row r="1279">
      <c r="A1279" s="59"/>
      <c r="B1279" s="59"/>
      <c r="C1279" s="59"/>
      <c r="D1279" s="59"/>
      <c r="E1279" s="59"/>
      <c r="F1279" s="59"/>
      <c r="G1279" s="59"/>
      <c r="H1279" s="82"/>
      <c r="I1279" s="59"/>
    </row>
    <row r="1280">
      <c r="A1280" s="59"/>
      <c r="B1280" s="59"/>
      <c r="C1280" s="59"/>
      <c r="D1280" s="59"/>
      <c r="E1280" s="59"/>
      <c r="F1280" s="59"/>
      <c r="G1280" s="59"/>
      <c r="H1280" s="82"/>
      <c r="I1280" s="59"/>
    </row>
    <row r="1281">
      <c r="A1281" s="59"/>
      <c r="B1281" s="59"/>
      <c r="C1281" s="59"/>
      <c r="D1281" s="59"/>
      <c r="E1281" s="59"/>
      <c r="F1281" s="59"/>
      <c r="G1281" s="59"/>
      <c r="H1281" s="82"/>
      <c r="I1281" s="59"/>
    </row>
    <row r="1282">
      <c r="A1282" s="59"/>
      <c r="B1282" s="59"/>
      <c r="C1282" s="59"/>
      <c r="D1282" s="59"/>
      <c r="E1282" s="59"/>
      <c r="F1282" s="59"/>
      <c r="G1282" s="59"/>
      <c r="H1282" s="82"/>
      <c r="I1282" s="59"/>
    </row>
    <row r="1283">
      <c r="A1283" s="59"/>
      <c r="B1283" s="59"/>
      <c r="C1283" s="59"/>
      <c r="D1283" s="59"/>
      <c r="E1283" s="59"/>
      <c r="F1283" s="59"/>
      <c r="G1283" s="59"/>
      <c r="H1283" s="82"/>
      <c r="I1283" s="59"/>
    </row>
    <row r="1284">
      <c r="A1284" s="59"/>
      <c r="B1284" s="59"/>
      <c r="C1284" s="59"/>
      <c r="D1284" s="59"/>
      <c r="E1284" s="59"/>
      <c r="F1284" s="59"/>
      <c r="G1284" s="59"/>
      <c r="H1284" s="82"/>
      <c r="I1284" s="59"/>
    </row>
    <row r="1285">
      <c r="A1285" s="59"/>
      <c r="B1285" s="59"/>
      <c r="C1285" s="59"/>
      <c r="D1285" s="59"/>
      <c r="E1285" s="59"/>
      <c r="F1285" s="59"/>
      <c r="G1285" s="59"/>
      <c r="H1285" s="82"/>
      <c r="I1285" s="59"/>
    </row>
    <row r="1286">
      <c r="A1286" s="59"/>
      <c r="B1286" s="59"/>
      <c r="C1286" s="59"/>
      <c r="D1286" s="59"/>
      <c r="E1286" s="59"/>
      <c r="F1286" s="59"/>
      <c r="G1286" s="59"/>
      <c r="H1286" s="82"/>
      <c r="I1286" s="59"/>
    </row>
    <row r="1287">
      <c r="A1287" s="59"/>
      <c r="B1287" s="59"/>
      <c r="C1287" s="59"/>
      <c r="D1287" s="59"/>
      <c r="E1287" s="59"/>
      <c r="F1287" s="59"/>
      <c r="G1287" s="59"/>
      <c r="H1287" s="82"/>
      <c r="I1287" s="59"/>
    </row>
    <row r="1288">
      <c r="A1288" s="59"/>
      <c r="B1288" s="59"/>
      <c r="C1288" s="59"/>
      <c r="D1288" s="59"/>
      <c r="E1288" s="59"/>
      <c r="F1288" s="59"/>
      <c r="G1288" s="59"/>
      <c r="H1288" s="82"/>
      <c r="I1288" s="59"/>
    </row>
    <row r="1289">
      <c r="A1289" s="59"/>
      <c r="B1289" s="59"/>
      <c r="C1289" s="59"/>
      <c r="D1289" s="59"/>
      <c r="E1289" s="59"/>
      <c r="F1289" s="59"/>
      <c r="G1289" s="59"/>
      <c r="H1289" s="82"/>
      <c r="I1289" s="59"/>
    </row>
    <row r="1290">
      <c r="A1290" s="59"/>
      <c r="B1290" s="59"/>
      <c r="C1290" s="59"/>
      <c r="D1290" s="59"/>
      <c r="E1290" s="59"/>
      <c r="F1290" s="59"/>
      <c r="G1290" s="59"/>
      <c r="H1290" s="82"/>
      <c r="I1290" s="59"/>
    </row>
    <row r="1291">
      <c r="A1291" s="59"/>
      <c r="B1291" s="59"/>
      <c r="C1291" s="59"/>
      <c r="D1291" s="59"/>
      <c r="E1291" s="59"/>
      <c r="F1291" s="59"/>
      <c r="G1291" s="59"/>
      <c r="H1291" s="82"/>
      <c r="I1291" s="59"/>
    </row>
    <row r="1292">
      <c r="A1292" s="59"/>
      <c r="B1292" s="59"/>
      <c r="C1292" s="59"/>
      <c r="D1292" s="59"/>
      <c r="E1292" s="59"/>
      <c r="F1292" s="59"/>
      <c r="G1292" s="59"/>
      <c r="H1292" s="82"/>
      <c r="I1292" s="59"/>
    </row>
    <row r="1293">
      <c r="A1293" s="59"/>
      <c r="B1293" s="59"/>
      <c r="C1293" s="59"/>
      <c r="D1293" s="59"/>
      <c r="E1293" s="59"/>
      <c r="F1293" s="59"/>
      <c r="G1293" s="59"/>
      <c r="H1293" s="82"/>
      <c r="I1293" s="59"/>
    </row>
    <row r="1294">
      <c r="A1294" s="59"/>
      <c r="B1294" s="59"/>
      <c r="C1294" s="59"/>
      <c r="D1294" s="59"/>
      <c r="E1294" s="59"/>
      <c r="F1294" s="59"/>
      <c r="G1294" s="59"/>
      <c r="H1294" s="82"/>
      <c r="I1294" s="59"/>
    </row>
    <row r="1295">
      <c r="A1295" s="59"/>
      <c r="B1295" s="59"/>
      <c r="C1295" s="59"/>
      <c r="D1295" s="59"/>
      <c r="E1295" s="59"/>
      <c r="F1295" s="59"/>
      <c r="G1295" s="59"/>
      <c r="H1295" s="82"/>
      <c r="I1295" s="59"/>
    </row>
    <row r="1296">
      <c r="A1296" s="59"/>
      <c r="B1296" s="59"/>
      <c r="C1296" s="59"/>
      <c r="D1296" s="59"/>
      <c r="E1296" s="59"/>
      <c r="F1296" s="59"/>
      <c r="G1296" s="59"/>
      <c r="H1296" s="82"/>
      <c r="I1296" s="59"/>
    </row>
    <row r="1297">
      <c r="A1297" s="59"/>
      <c r="B1297" s="59"/>
      <c r="C1297" s="59"/>
      <c r="D1297" s="59"/>
      <c r="E1297" s="59"/>
      <c r="F1297" s="59"/>
      <c r="G1297" s="59"/>
      <c r="H1297" s="82"/>
      <c r="I1297" s="59"/>
    </row>
    <row r="1298">
      <c r="A1298" s="59"/>
      <c r="B1298" s="59"/>
      <c r="C1298" s="59"/>
      <c r="D1298" s="59"/>
      <c r="E1298" s="59"/>
      <c r="F1298" s="59"/>
      <c r="G1298" s="59"/>
      <c r="H1298" s="82"/>
      <c r="I1298" s="59"/>
    </row>
    <row r="1299">
      <c r="A1299" s="59"/>
      <c r="B1299" s="59"/>
      <c r="C1299" s="59"/>
      <c r="D1299" s="59"/>
      <c r="E1299" s="59"/>
      <c r="F1299" s="59"/>
      <c r="G1299" s="59"/>
      <c r="H1299" s="82"/>
      <c r="I1299" s="59"/>
    </row>
    <row r="1300">
      <c r="A1300" s="59"/>
      <c r="B1300" s="59"/>
      <c r="C1300" s="59"/>
      <c r="D1300" s="59"/>
      <c r="E1300" s="59"/>
      <c r="F1300" s="59"/>
      <c r="G1300" s="59"/>
      <c r="H1300" s="82"/>
      <c r="I1300" s="59"/>
    </row>
    <row r="1301">
      <c r="A1301" s="59"/>
      <c r="B1301" s="59"/>
      <c r="C1301" s="59"/>
      <c r="D1301" s="59"/>
      <c r="E1301" s="59"/>
      <c r="F1301" s="59"/>
      <c r="G1301" s="59"/>
      <c r="H1301" s="82"/>
      <c r="I1301" s="59"/>
    </row>
    <row r="1302">
      <c r="A1302" s="59"/>
      <c r="B1302" s="59"/>
      <c r="C1302" s="59"/>
      <c r="D1302" s="59"/>
      <c r="E1302" s="59"/>
      <c r="F1302" s="59"/>
      <c r="G1302" s="59"/>
      <c r="H1302" s="82"/>
      <c r="I1302" s="59"/>
    </row>
    <row r="1303">
      <c r="A1303" s="59"/>
      <c r="B1303" s="59"/>
      <c r="C1303" s="59"/>
      <c r="D1303" s="59"/>
      <c r="E1303" s="59"/>
      <c r="F1303" s="59"/>
      <c r="G1303" s="59"/>
      <c r="H1303" s="82"/>
      <c r="I1303" s="59"/>
    </row>
    <row r="1304">
      <c r="A1304" s="59"/>
      <c r="B1304" s="59"/>
      <c r="C1304" s="59"/>
      <c r="D1304" s="59"/>
      <c r="E1304" s="59"/>
      <c r="F1304" s="59"/>
      <c r="G1304" s="59"/>
      <c r="H1304" s="82"/>
      <c r="I1304" s="59"/>
    </row>
    <row r="1305">
      <c r="A1305" s="59"/>
      <c r="B1305" s="59"/>
      <c r="C1305" s="59"/>
      <c r="D1305" s="59"/>
      <c r="E1305" s="59"/>
      <c r="F1305" s="59"/>
      <c r="G1305" s="59"/>
      <c r="H1305" s="82"/>
      <c r="I1305" s="59"/>
    </row>
    <row r="1306">
      <c r="A1306" s="59"/>
      <c r="B1306" s="59"/>
      <c r="C1306" s="59"/>
      <c r="D1306" s="59"/>
      <c r="E1306" s="59"/>
      <c r="F1306" s="59"/>
      <c r="G1306" s="59"/>
      <c r="H1306" s="82"/>
      <c r="I1306" s="59"/>
    </row>
    <row r="1307">
      <c r="A1307" s="59"/>
      <c r="B1307" s="59"/>
      <c r="C1307" s="59"/>
      <c r="D1307" s="59"/>
      <c r="E1307" s="59"/>
      <c r="F1307" s="59"/>
      <c r="G1307" s="59"/>
      <c r="H1307" s="82"/>
      <c r="I1307" s="59"/>
    </row>
    <row r="1308">
      <c r="A1308" s="59"/>
      <c r="B1308" s="59"/>
      <c r="C1308" s="59"/>
      <c r="D1308" s="59"/>
      <c r="E1308" s="59"/>
      <c r="F1308" s="59"/>
      <c r="G1308" s="59"/>
      <c r="H1308" s="82"/>
      <c r="I1308" s="59"/>
    </row>
    <row r="1309">
      <c r="A1309" s="59"/>
      <c r="B1309" s="59"/>
      <c r="C1309" s="59"/>
      <c r="D1309" s="59"/>
      <c r="E1309" s="59"/>
      <c r="F1309" s="59"/>
      <c r="G1309" s="59"/>
      <c r="H1309" s="82"/>
      <c r="I1309" s="59"/>
    </row>
    <row r="1310">
      <c r="A1310" s="59"/>
      <c r="B1310" s="59"/>
      <c r="C1310" s="59"/>
      <c r="D1310" s="59"/>
      <c r="E1310" s="59"/>
      <c r="F1310" s="59"/>
      <c r="G1310" s="59"/>
      <c r="H1310" s="82"/>
      <c r="I1310" s="59"/>
    </row>
    <row r="1311">
      <c r="A1311" s="59"/>
      <c r="B1311" s="59"/>
      <c r="C1311" s="59"/>
      <c r="D1311" s="59"/>
      <c r="E1311" s="59"/>
      <c r="F1311" s="59"/>
      <c r="G1311" s="59"/>
      <c r="H1311" s="82"/>
      <c r="I1311" s="59"/>
    </row>
    <row r="1312">
      <c r="A1312" s="59"/>
      <c r="B1312" s="59"/>
      <c r="C1312" s="59"/>
      <c r="D1312" s="59"/>
      <c r="E1312" s="59"/>
      <c r="F1312" s="59"/>
      <c r="G1312" s="59"/>
      <c r="H1312" s="82"/>
      <c r="I1312" s="59"/>
    </row>
    <row r="1313">
      <c r="A1313" s="59"/>
      <c r="B1313" s="59"/>
      <c r="C1313" s="59"/>
      <c r="D1313" s="59"/>
      <c r="E1313" s="59"/>
      <c r="F1313" s="59"/>
      <c r="G1313" s="59"/>
      <c r="H1313" s="82"/>
      <c r="I1313" s="59"/>
    </row>
    <row r="1314">
      <c r="A1314" s="59"/>
      <c r="B1314" s="59"/>
      <c r="C1314" s="59"/>
      <c r="D1314" s="59"/>
      <c r="E1314" s="59"/>
      <c r="F1314" s="59"/>
      <c r="G1314" s="59"/>
      <c r="H1314" s="82"/>
      <c r="I1314" s="59"/>
    </row>
    <row r="1315">
      <c r="A1315" s="59"/>
      <c r="B1315" s="59"/>
      <c r="C1315" s="59"/>
      <c r="D1315" s="59"/>
      <c r="E1315" s="59"/>
      <c r="F1315" s="59"/>
      <c r="G1315" s="59"/>
      <c r="H1315" s="82"/>
      <c r="I1315" s="59"/>
    </row>
    <row r="1316">
      <c r="A1316" s="59"/>
      <c r="B1316" s="59"/>
      <c r="C1316" s="59"/>
      <c r="D1316" s="59"/>
      <c r="E1316" s="59"/>
      <c r="F1316" s="59"/>
      <c r="G1316" s="59"/>
      <c r="H1316" s="82"/>
      <c r="I1316" s="59"/>
    </row>
    <row r="1317">
      <c r="A1317" s="59"/>
      <c r="B1317" s="59"/>
      <c r="C1317" s="59"/>
      <c r="D1317" s="59"/>
      <c r="E1317" s="59"/>
      <c r="F1317" s="59"/>
      <c r="G1317" s="59"/>
      <c r="H1317" s="82"/>
      <c r="I1317" s="59"/>
    </row>
    <row r="1318">
      <c r="A1318" s="59"/>
      <c r="B1318" s="59"/>
      <c r="C1318" s="59"/>
      <c r="D1318" s="59"/>
      <c r="E1318" s="59"/>
      <c r="F1318" s="59"/>
      <c r="G1318" s="59"/>
      <c r="H1318" s="82"/>
      <c r="I1318" s="59"/>
    </row>
    <row r="1319">
      <c r="A1319" s="59"/>
      <c r="B1319" s="59"/>
      <c r="C1319" s="59"/>
      <c r="D1319" s="59"/>
      <c r="E1319" s="59"/>
      <c r="F1319" s="59"/>
      <c r="G1319" s="59"/>
      <c r="H1319" s="82"/>
      <c r="I1319" s="59"/>
    </row>
    <row r="1320">
      <c r="A1320" s="59"/>
      <c r="B1320" s="59"/>
      <c r="C1320" s="59"/>
      <c r="D1320" s="59"/>
      <c r="E1320" s="59"/>
      <c r="F1320" s="59"/>
      <c r="G1320" s="59"/>
      <c r="H1320" s="82"/>
      <c r="I1320" s="59"/>
    </row>
    <row r="1321">
      <c r="A1321" s="59"/>
      <c r="B1321" s="59"/>
      <c r="C1321" s="59"/>
      <c r="D1321" s="59"/>
      <c r="E1321" s="59"/>
      <c r="F1321" s="59"/>
      <c r="G1321" s="59"/>
      <c r="H1321" s="82"/>
      <c r="I1321" s="59"/>
    </row>
    <row r="1322">
      <c r="A1322" s="59"/>
      <c r="B1322" s="59"/>
      <c r="C1322" s="59"/>
      <c r="D1322" s="59"/>
      <c r="E1322" s="59"/>
      <c r="F1322" s="59"/>
      <c r="G1322" s="59"/>
      <c r="H1322" s="82"/>
      <c r="I1322" s="59"/>
    </row>
    <row r="1323">
      <c r="A1323" s="59"/>
      <c r="B1323" s="59"/>
      <c r="C1323" s="59"/>
      <c r="D1323" s="59"/>
      <c r="E1323" s="59"/>
      <c r="F1323" s="59"/>
      <c r="G1323" s="59"/>
      <c r="H1323" s="82"/>
      <c r="I1323" s="59"/>
    </row>
    <row r="1324">
      <c r="A1324" s="59"/>
      <c r="B1324" s="59"/>
      <c r="C1324" s="59"/>
      <c r="D1324" s="59"/>
      <c r="E1324" s="59"/>
      <c r="F1324" s="59"/>
      <c r="G1324" s="59"/>
      <c r="H1324" s="82"/>
      <c r="I1324" s="59"/>
    </row>
    <row r="1325">
      <c r="A1325" s="59"/>
      <c r="B1325" s="59"/>
      <c r="C1325" s="59"/>
      <c r="D1325" s="59"/>
      <c r="E1325" s="59"/>
      <c r="F1325" s="59"/>
      <c r="G1325" s="59"/>
      <c r="H1325" s="82"/>
      <c r="I1325" s="59"/>
    </row>
    <row r="1326">
      <c r="A1326" s="59"/>
      <c r="B1326" s="59"/>
      <c r="C1326" s="59"/>
      <c r="D1326" s="59"/>
      <c r="E1326" s="59"/>
      <c r="F1326" s="59"/>
      <c r="G1326" s="59"/>
      <c r="H1326" s="82"/>
      <c r="I1326" s="59"/>
    </row>
    <row r="1327">
      <c r="A1327" s="59"/>
      <c r="B1327" s="59"/>
      <c r="C1327" s="59"/>
      <c r="D1327" s="59"/>
      <c r="E1327" s="59"/>
      <c r="F1327" s="59"/>
      <c r="G1327" s="59"/>
      <c r="H1327" s="82"/>
      <c r="I1327" s="59"/>
    </row>
    <row r="1328">
      <c r="A1328" s="59"/>
      <c r="B1328" s="59"/>
      <c r="C1328" s="59"/>
      <c r="D1328" s="59"/>
      <c r="E1328" s="59"/>
      <c r="F1328" s="59"/>
      <c r="G1328" s="59"/>
      <c r="H1328" s="82"/>
      <c r="I1328" s="59"/>
    </row>
    <row r="1329">
      <c r="A1329" s="59"/>
      <c r="B1329" s="59"/>
      <c r="C1329" s="59"/>
      <c r="D1329" s="59"/>
      <c r="E1329" s="59"/>
      <c r="F1329" s="59"/>
      <c r="G1329" s="59"/>
      <c r="H1329" s="82"/>
      <c r="I1329" s="59"/>
    </row>
    <row r="1330">
      <c r="A1330" s="59"/>
      <c r="B1330" s="59"/>
      <c r="C1330" s="59"/>
      <c r="D1330" s="59"/>
      <c r="E1330" s="59"/>
      <c r="F1330" s="59"/>
      <c r="G1330" s="59"/>
      <c r="H1330" s="82"/>
      <c r="I1330" s="59"/>
    </row>
    <row r="1331">
      <c r="A1331" s="59"/>
      <c r="B1331" s="59"/>
      <c r="C1331" s="59"/>
      <c r="D1331" s="59"/>
      <c r="E1331" s="59"/>
      <c r="F1331" s="59"/>
      <c r="G1331" s="59"/>
      <c r="H1331" s="82"/>
      <c r="I1331" s="59"/>
    </row>
    <row r="1332">
      <c r="A1332" s="59"/>
      <c r="B1332" s="59"/>
      <c r="C1332" s="59"/>
      <c r="D1332" s="59"/>
      <c r="E1332" s="59"/>
      <c r="F1332" s="59"/>
      <c r="G1332" s="59"/>
      <c r="H1332" s="82"/>
      <c r="I1332" s="59"/>
    </row>
    <row r="1333">
      <c r="A1333" s="59"/>
      <c r="B1333" s="59"/>
      <c r="C1333" s="59"/>
      <c r="D1333" s="59"/>
      <c r="E1333" s="59"/>
      <c r="F1333" s="59"/>
      <c r="G1333" s="59"/>
      <c r="H1333" s="82"/>
      <c r="I1333" s="59"/>
    </row>
    <row r="1334">
      <c r="A1334" s="59"/>
      <c r="B1334" s="59"/>
      <c r="C1334" s="59"/>
      <c r="D1334" s="59"/>
      <c r="E1334" s="59"/>
      <c r="F1334" s="59"/>
      <c r="G1334" s="59"/>
      <c r="H1334" s="82"/>
      <c r="I1334" s="59"/>
    </row>
    <row r="1335">
      <c r="A1335" s="59"/>
      <c r="B1335" s="59"/>
      <c r="C1335" s="59"/>
      <c r="D1335" s="59"/>
      <c r="E1335" s="59"/>
      <c r="F1335" s="59"/>
      <c r="G1335" s="59"/>
      <c r="H1335" s="82"/>
      <c r="I1335" s="59"/>
    </row>
    <row r="1336">
      <c r="A1336" s="59"/>
      <c r="B1336" s="59"/>
      <c r="C1336" s="59"/>
      <c r="D1336" s="59"/>
      <c r="E1336" s="59"/>
      <c r="F1336" s="59"/>
      <c r="G1336" s="59"/>
      <c r="H1336" s="82"/>
      <c r="I1336" s="59"/>
    </row>
    <row r="1337">
      <c r="A1337" s="59"/>
      <c r="B1337" s="59"/>
      <c r="C1337" s="59"/>
      <c r="D1337" s="59"/>
      <c r="E1337" s="59"/>
      <c r="F1337" s="59"/>
      <c r="G1337" s="59"/>
      <c r="H1337" s="82"/>
      <c r="I1337" s="59"/>
    </row>
    <row r="1338">
      <c r="A1338" s="59"/>
      <c r="B1338" s="59"/>
      <c r="C1338" s="59"/>
      <c r="D1338" s="59"/>
      <c r="E1338" s="59"/>
      <c r="F1338" s="59"/>
      <c r="G1338" s="59"/>
      <c r="H1338" s="82"/>
      <c r="I1338" s="59"/>
    </row>
    <row r="1339">
      <c r="A1339" s="59"/>
      <c r="B1339" s="59"/>
      <c r="C1339" s="59"/>
      <c r="D1339" s="59"/>
      <c r="E1339" s="59"/>
      <c r="F1339" s="59"/>
      <c r="G1339" s="59"/>
      <c r="H1339" s="82"/>
      <c r="I1339" s="59"/>
    </row>
    <row r="1340">
      <c r="A1340" s="59"/>
      <c r="B1340" s="59"/>
      <c r="C1340" s="59"/>
      <c r="D1340" s="59"/>
      <c r="E1340" s="59"/>
      <c r="F1340" s="59"/>
      <c r="G1340" s="59"/>
      <c r="H1340" s="82"/>
      <c r="I1340" s="59"/>
    </row>
    <row r="1341">
      <c r="A1341" s="59"/>
      <c r="B1341" s="59"/>
      <c r="C1341" s="59"/>
      <c r="D1341" s="59"/>
      <c r="E1341" s="59"/>
      <c r="F1341" s="59"/>
      <c r="G1341" s="59"/>
      <c r="H1341" s="82"/>
      <c r="I1341" s="59"/>
    </row>
    <row r="1342">
      <c r="A1342" s="59"/>
      <c r="B1342" s="59"/>
      <c r="C1342" s="59"/>
      <c r="D1342" s="59"/>
      <c r="E1342" s="59"/>
      <c r="F1342" s="59"/>
      <c r="G1342" s="59"/>
      <c r="H1342" s="82"/>
      <c r="I1342" s="59"/>
    </row>
    <row r="1343">
      <c r="A1343" s="59"/>
      <c r="B1343" s="59"/>
      <c r="C1343" s="59"/>
      <c r="D1343" s="59"/>
      <c r="E1343" s="59"/>
      <c r="F1343" s="59"/>
      <c r="G1343" s="59"/>
      <c r="H1343" s="82"/>
      <c r="I1343" s="59"/>
    </row>
    <row r="1344">
      <c r="A1344" s="59"/>
      <c r="B1344" s="59"/>
      <c r="C1344" s="59"/>
      <c r="D1344" s="59"/>
      <c r="E1344" s="59"/>
      <c r="F1344" s="59"/>
      <c r="G1344" s="59"/>
      <c r="H1344" s="82"/>
      <c r="I1344" s="59"/>
    </row>
    <row r="1345">
      <c r="A1345" s="59"/>
      <c r="B1345" s="59"/>
      <c r="C1345" s="59"/>
      <c r="D1345" s="59"/>
      <c r="E1345" s="59"/>
      <c r="F1345" s="59"/>
      <c r="G1345" s="59"/>
      <c r="H1345" s="82"/>
      <c r="I1345" s="59"/>
    </row>
    <row r="1346">
      <c r="A1346" s="59"/>
      <c r="B1346" s="59"/>
      <c r="C1346" s="59"/>
      <c r="D1346" s="59"/>
      <c r="E1346" s="59"/>
      <c r="F1346" s="59"/>
      <c r="G1346" s="59"/>
      <c r="H1346" s="82"/>
      <c r="I1346" s="59"/>
    </row>
    <row r="1347">
      <c r="A1347" s="59"/>
      <c r="B1347" s="59"/>
      <c r="C1347" s="59"/>
      <c r="D1347" s="59"/>
      <c r="E1347" s="59"/>
      <c r="F1347" s="59"/>
      <c r="G1347" s="59"/>
      <c r="H1347" s="82"/>
      <c r="I1347" s="59"/>
    </row>
    <row r="1348">
      <c r="A1348" s="59"/>
      <c r="B1348" s="59"/>
      <c r="C1348" s="59"/>
      <c r="D1348" s="59"/>
      <c r="E1348" s="59"/>
      <c r="F1348" s="59"/>
      <c r="G1348" s="59"/>
      <c r="H1348" s="82"/>
      <c r="I1348" s="59"/>
    </row>
    <row r="1349">
      <c r="A1349" s="59"/>
      <c r="B1349" s="59"/>
      <c r="C1349" s="59"/>
      <c r="D1349" s="59"/>
      <c r="E1349" s="59"/>
      <c r="F1349" s="59"/>
      <c r="G1349" s="59"/>
      <c r="H1349" s="82"/>
      <c r="I1349" s="59"/>
    </row>
    <row r="1350">
      <c r="A1350" s="59"/>
      <c r="B1350" s="59"/>
      <c r="C1350" s="59"/>
      <c r="D1350" s="59"/>
      <c r="E1350" s="59"/>
      <c r="F1350" s="59"/>
      <c r="G1350" s="59"/>
      <c r="H1350" s="82"/>
      <c r="I1350" s="59"/>
    </row>
    <row r="1351">
      <c r="A1351" s="59"/>
      <c r="B1351" s="59"/>
      <c r="C1351" s="59"/>
      <c r="D1351" s="59"/>
      <c r="E1351" s="59"/>
      <c r="F1351" s="59"/>
      <c r="G1351" s="59"/>
      <c r="H1351" s="82"/>
      <c r="I1351" s="59"/>
    </row>
    <row r="1352">
      <c r="A1352" s="59"/>
      <c r="B1352" s="59"/>
      <c r="C1352" s="59"/>
      <c r="D1352" s="59"/>
      <c r="E1352" s="59"/>
      <c r="F1352" s="59"/>
      <c r="G1352" s="59"/>
      <c r="H1352" s="82"/>
      <c r="I1352" s="59"/>
    </row>
    <row r="1353">
      <c r="A1353" s="59"/>
      <c r="B1353" s="59"/>
      <c r="C1353" s="59"/>
      <c r="D1353" s="59"/>
      <c r="E1353" s="59"/>
      <c r="F1353" s="59"/>
      <c r="G1353" s="59"/>
      <c r="H1353" s="82"/>
      <c r="I1353" s="59"/>
    </row>
    <row r="1354">
      <c r="A1354" s="59"/>
      <c r="B1354" s="59"/>
      <c r="C1354" s="59"/>
      <c r="D1354" s="59"/>
      <c r="E1354" s="59"/>
      <c r="F1354" s="59"/>
      <c r="G1354" s="59"/>
      <c r="H1354" s="82"/>
      <c r="I1354" s="59"/>
    </row>
    <row r="1355">
      <c r="A1355" s="59"/>
      <c r="B1355" s="59"/>
      <c r="C1355" s="59"/>
      <c r="D1355" s="59"/>
      <c r="E1355" s="59"/>
      <c r="F1355" s="59"/>
      <c r="G1355" s="59"/>
      <c r="H1355" s="82"/>
      <c r="I1355" s="59"/>
    </row>
    <row r="1356">
      <c r="A1356" s="59"/>
      <c r="B1356" s="59"/>
      <c r="C1356" s="59"/>
      <c r="D1356" s="59"/>
      <c r="E1356" s="59"/>
      <c r="F1356" s="59"/>
      <c r="G1356" s="59"/>
      <c r="H1356" s="82"/>
      <c r="I1356" s="59"/>
    </row>
    <row r="1357">
      <c r="A1357" s="59"/>
      <c r="B1357" s="59"/>
      <c r="C1357" s="59"/>
      <c r="D1357" s="59"/>
      <c r="E1357" s="59"/>
      <c r="F1357" s="59"/>
      <c r="G1357" s="59"/>
      <c r="H1357" s="82"/>
      <c r="I1357" s="59"/>
    </row>
    <row r="1358">
      <c r="A1358" s="59"/>
      <c r="B1358" s="59"/>
      <c r="C1358" s="59"/>
      <c r="D1358" s="59"/>
      <c r="E1358" s="59"/>
      <c r="F1358" s="59"/>
      <c r="G1358" s="59"/>
      <c r="H1358" s="82"/>
      <c r="I1358" s="59"/>
    </row>
    <row r="1359">
      <c r="A1359" s="59"/>
      <c r="B1359" s="59"/>
      <c r="C1359" s="59"/>
      <c r="D1359" s="59"/>
      <c r="E1359" s="59"/>
      <c r="F1359" s="59"/>
      <c r="G1359" s="59"/>
      <c r="H1359" s="82"/>
      <c r="I1359" s="59"/>
    </row>
    <row r="1360">
      <c r="A1360" s="59"/>
      <c r="B1360" s="59"/>
      <c r="C1360" s="59"/>
      <c r="D1360" s="59"/>
      <c r="E1360" s="59"/>
      <c r="F1360" s="59"/>
      <c r="G1360" s="59"/>
      <c r="H1360" s="82"/>
      <c r="I1360" s="59"/>
    </row>
    <row r="1361">
      <c r="A1361" s="59"/>
      <c r="B1361" s="59"/>
      <c r="C1361" s="59"/>
      <c r="D1361" s="59"/>
      <c r="E1361" s="59"/>
      <c r="F1361" s="59"/>
      <c r="G1361" s="59"/>
      <c r="H1361" s="82"/>
      <c r="I1361" s="59"/>
    </row>
    <row r="1362">
      <c r="A1362" s="59"/>
      <c r="B1362" s="59"/>
      <c r="C1362" s="59"/>
      <c r="D1362" s="59"/>
      <c r="E1362" s="59"/>
      <c r="F1362" s="59"/>
      <c r="G1362" s="59"/>
      <c r="H1362" s="82"/>
      <c r="I1362" s="59"/>
    </row>
    <row r="1363">
      <c r="A1363" s="59"/>
      <c r="B1363" s="59"/>
      <c r="C1363" s="59"/>
      <c r="D1363" s="59"/>
      <c r="E1363" s="59"/>
      <c r="F1363" s="59"/>
      <c r="G1363" s="59"/>
      <c r="H1363" s="82"/>
      <c r="I1363" s="59"/>
    </row>
    <row r="1364">
      <c r="A1364" s="59"/>
      <c r="B1364" s="59"/>
      <c r="C1364" s="59"/>
      <c r="D1364" s="59"/>
      <c r="E1364" s="59"/>
      <c r="F1364" s="59"/>
      <c r="G1364" s="59"/>
      <c r="H1364" s="82"/>
      <c r="I1364" s="59"/>
    </row>
    <row r="1365">
      <c r="A1365" s="59"/>
      <c r="B1365" s="59"/>
      <c r="C1365" s="59"/>
      <c r="D1365" s="59"/>
      <c r="E1365" s="59"/>
      <c r="F1365" s="59"/>
      <c r="G1365" s="59"/>
      <c r="H1365" s="82"/>
      <c r="I1365" s="59"/>
    </row>
    <row r="1366">
      <c r="A1366" s="59"/>
      <c r="B1366" s="59"/>
      <c r="C1366" s="59"/>
      <c r="D1366" s="59"/>
      <c r="E1366" s="59"/>
      <c r="F1366" s="59"/>
      <c r="G1366" s="59"/>
      <c r="H1366" s="82"/>
      <c r="I1366" s="59"/>
    </row>
    <row r="1367">
      <c r="A1367" s="59"/>
      <c r="B1367" s="59"/>
      <c r="C1367" s="59"/>
      <c r="D1367" s="59"/>
      <c r="E1367" s="59"/>
      <c r="F1367" s="59"/>
      <c r="G1367" s="59"/>
      <c r="H1367" s="82"/>
      <c r="I1367" s="59"/>
    </row>
    <row r="1368">
      <c r="A1368" s="59"/>
      <c r="B1368" s="59"/>
      <c r="C1368" s="59"/>
      <c r="D1368" s="59"/>
      <c r="E1368" s="59"/>
      <c r="F1368" s="59"/>
      <c r="G1368" s="59"/>
      <c r="H1368" s="82"/>
      <c r="I1368" s="59"/>
    </row>
    <row r="1369">
      <c r="A1369" s="59"/>
      <c r="B1369" s="59"/>
      <c r="C1369" s="59"/>
      <c r="D1369" s="59"/>
      <c r="E1369" s="59"/>
      <c r="F1369" s="59"/>
      <c r="G1369" s="59"/>
      <c r="H1369" s="82"/>
      <c r="I1369" s="59"/>
    </row>
    <row r="1370">
      <c r="A1370" s="59"/>
      <c r="B1370" s="59"/>
      <c r="C1370" s="59"/>
      <c r="D1370" s="59"/>
      <c r="E1370" s="59"/>
      <c r="F1370" s="59"/>
      <c r="G1370" s="59"/>
      <c r="H1370" s="82"/>
      <c r="I1370" s="59"/>
    </row>
    <row r="1371">
      <c r="A1371" s="59"/>
      <c r="B1371" s="59"/>
      <c r="C1371" s="59"/>
      <c r="D1371" s="59"/>
      <c r="E1371" s="59"/>
      <c r="F1371" s="59"/>
      <c r="G1371" s="59"/>
      <c r="H1371" s="82"/>
      <c r="I1371" s="59"/>
    </row>
    <row r="1372">
      <c r="A1372" s="59"/>
      <c r="B1372" s="59"/>
      <c r="C1372" s="59"/>
      <c r="D1372" s="59"/>
      <c r="E1372" s="59"/>
      <c r="F1372" s="59"/>
      <c r="G1372" s="59"/>
      <c r="H1372" s="82"/>
      <c r="I1372" s="59"/>
    </row>
    <row r="1373">
      <c r="A1373" s="59"/>
      <c r="B1373" s="59"/>
      <c r="C1373" s="59"/>
      <c r="D1373" s="59"/>
      <c r="E1373" s="59"/>
      <c r="F1373" s="59"/>
      <c r="G1373" s="59"/>
      <c r="H1373" s="82"/>
      <c r="I1373" s="59"/>
    </row>
    <row r="1374">
      <c r="A1374" s="59"/>
      <c r="B1374" s="59"/>
      <c r="C1374" s="59"/>
      <c r="D1374" s="59"/>
      <c r="E1374" s="59"/>
      <c r="F1374" s="59"/>
      <c r="G1374" s="59"/>
      <c r="H1374" s="82"/>
      <c r="I1374" s="59"/>
    </row>
    <row r="1375">
      <c r="A1375" s="59"/>
      <c r="B1375" s="59"/>
      <c r="C1375" s="59"/>
      <c r="D1375" s="59"/>
      <c r="E1375" s="59"/>
      <c r="F1375" s="59"/>
      <c r="G1375" s="59"/>
      <c r="H1375" s="82"/>
      <c r="I1375" s="59"/>
    </row>
    <row r="1376">
      <c r="A1376" s="59"/>
      <c r="B1376" s="59"/>
      <c r="C1376" s="59"/>
      <c r="D1376" s="59"/>
      <c r="E1376" s="59"/>
      <c r="F1376" s="59"/>
      <c r="G1376" s="59"/>
      <c r="H1376" s="82"/>
      <c r="I1376" s="59"/>
    </row>
    <row r="1377">
      <c r="A1377" s="59"/>
      <c r="B1377" s="59"/>
      <c r="C1377" s="59"/>
      <c r="D1377" s="59"/>
      <c r="E1377" s="59"/>
      <c r="F1377" s="59"/>
      <c r="G1377" s="59"/>
      <c r="H1377" s="82"/>
      <c r="I1377" s="59"/>
    </row>
    <row r="1378">
      <c r="A1378" s="59"/>
      <c r="B1378" s="59"/>
      <c r="C1378" s="59"/>
      <c r="D1378" s="59"/>
      <c r="E1378" s="59"/>
      <c r="F1378" s="59"/>
      <c r="G1378" s="59"/>
      <c r="H1378" s="82"/>
      <c r="I1378" s="59"/>
    </row>
    <row r="1379">
      <c r="A1379" s="59"/>
      <c r="B1379" s="59"/>
      <c r="C1379" s="59"/>
      <c r="D1379" s="59"/>
      <c r="E1379" s="59"/>
      <c r="F1379" s="59"/>
      <c r="G1379" s="59"/>
      <c r="H1379" s="82"/>
      <c r="I1379" s="59"/>
    </row>
    <row r="1380">
      <c r="A1380" s="59"/>
      <c r="B1380" s="59"/>
      <c r="C1380" s="59"/>
      <c r="D1380" s="59"/>
      <c r="E1380" s="59"/>
      <c r="F1380" s="59"/>
      <c r="G1380" s="59"/>
      <c r="H1380" s="82"/>
      <c r="I1380" s="59"/>
    </row>
    <row r="1381">
      <c r="A1381" s="59"/>
      <c r="B1381" s="59"/>
      <c r="C1381" s="59"/>
      <c r="D1381" s="59"/>
      <c r="E1381" s="59"/>
      <c r="F1381" s="59"/>
      <c r="G1381" s="59"/>
      <c r="H1381" s="82"/>
      <c r="I1381" s="59"/>
    </row>
    <row r="1382">
      <c r="A1382" s="59"/>
      <c r="B1382" s="59"/>
      <c r="C1382" s="59"/>
      <c r="D1382" s="59"/>
      <c r="E1382" s="59"/>
      <c r="F1382" s="59"/>
      <c r="G1382" s="59"/>
      <c r="H1382" s="82"/>
      <c r="I1382" s="59"/>
    </row>
    <row r="1383">
      <c r="A1383" s="59"/>
      <c r="B1383" s="59"/>
      <c r="C1383" s="59"/>
      <c r="D1383" s="59"/>
      <c r="E1383" s="59"/>
      <c r="F1383" s="59"/>
      <c r="G1383" s="59"/>
      <c r="H1383" s="82"/>
      <c r="I1383" s="59"/>
    </row>
    <row r="1384">
      <c r="A1384" s="59"/>
      <c r="B1384" s="59"/>
      <c r="C1384" s="59"/>
      <c r="D1384" s="59"/>
      <c r="E1384" s="59"/>
      <c r="F1384" s="59"/>
      <c r="G1384" s="59"/>
      <c r="H1384" s="82"/>
      <c r="I1384" s="59"/>
    </row>
    <row r="1385">
      <c r="A1385" s="59"/>
      <c r="B1385" s="59"/>
      <c r="C1385" s="59"/>
      <c r="D1385" s="59"/>
      <c r="E1385" s="59"/>
      <c r="F1385" s="59"/>
      <c r="G1385" s="59"/>
      <c r="H1385" s="82"/>
      <c r="I1385" s="59"/>
    </row>
    <row r="1386">
      <c r="A1386" s="59"/>
      <c r="B1386" s="59"/>
      <c r="C1386" s="59"/>
      <c r="D1386" s="59"/>
      <c r="E1386" s="59"/>
      <c r="F1386" s="59"/>
      <c r="G1386" s="59"/>
      <c r="H1386" s="82"/>
      <c r="I1386" s="59"/>
    </row>
    <row r="1387">
      <c r="A1387" s="59"/>
      <c r="B1387" s="59"/>
      <c r="C1387" s="59"/>
      <c r="D1387" s="59"/>
      <c r="E1387" s="59"/>
      <c r="F1387" s="59"/>
      <c r="G1387" s="59"/>
      <c r="H1387" s="82"/>
      <c r="I1387" s="59"/>
    </row>
    <row r="1388">
      <c r="A1388" s="59"/>
      <c r="B1388" s="59"/>
      <c r="C1388" s="59"/>
      <c r="D1388" s="59"/>
      <c r="E1388" s="59"/>
      <c r="F1388" s="59"/>
      <c r="G1388" s="59"/>
      <c r="H1388" s="82"/>
      <c r="I1388" s="59"/>
    </row>
    <row r="1389">
      <c r="A1389" s="59"/>
      <c r="B1389" s="59"/>
      <c r="C1389" s="59"/>
      <c r="D1389" s="59"/>
      <c r="E1389" s="59"/>
      <c r="F1389" s="59"/>
      <c r="G1389" s="59"/>
      <c r="H1389" s="82"/>
      <c r="I1389" s="59"/>
    </row>
    <row r="1390">
      <c r="A1390" s="59"/>
      <c r="B1390" s="59"/>
      <c r="C1390" s="59"/>
      <c r="D1390" s="59"/>
      <c r="E1390" s="59"/>
      <c r="F1390" s="59"/>
      <c r="G1390" s="59"/>
      <c r="H1390" s="82"/>
      <c r="I1390" s="59"/>
    </row>
    <row r="1391">
      <c r="A1391" s="59"/>
      <c r="B1391" s="59"/>
      <c r="C1391" s="59"/>
      <c r="D1391" s="59"/>
      <c r="E1391" s="59"/>
      <c r="F1391" s="59"/>
      <c r="G1391" s="59"/>
      <c r="H1391" s="82"/>
      <c r="I1391" s="59"/>
    </row>
    <row r="1392">
      <c r="A1392" s="59"/>
      <c r="B1392" s="59"/>
      <c r="C1392" s="59"/>
      <c r="D1392" s="59"/>
      <c r="E1392" s="59"/>
      <c r="F1392" s="59"/>
      <c r="G1392" s="59"/>
      <c r="H1392" s="82"/>
      <c r="I1392" s="59"/>
    </row>
    <row r="1393">
      <c r="A1393" s="59"/>
      <c r="B1393" s="59"/>
      <c r="C1393" s="59"/>
      <c r="D1393" s="59"/>
      <c r="E1393" s="59"/>
      <c r="F1393" s="59"/>
      <c r="G1393" s="59"/>
      <c r="H1393" s="82"/>
      <c r="I1393" s="59"/>
    </row>
    <row r="1394">
      <c r="A1394" s="59"/>
      <c r="B1394" s="59"/>
      <c r="C1394" s="59"/>
      <c r="D1394" s="59"/>
      <c r="E1394" s="59"/>
      <c r="F1394" s="59"/>
      <c r="G1394" s="59"/>
      <c r="H1394" s="82"/>
      <c r="I1394" s="59"/>
    </row>
    <row r="1395">
      <c r="A1395" s="59"/>
      <c r="B1395" s="59"/>
      <c r="C1395" s="59"/>
      <c r="D1395" s="59"/>
      <c r="E1395" s="59"/>
      <c r="F1395" s="59"/>
      <c r="G1395" s="59"/>
      <c r="H1395" s="82"/>
      <c r="I1395" s="59"/>
    </row>
    <row r="1396">
      <c r="A1396" s="59"/>
      <c r="B1396" s="59"/>
      <c r="C1396" s="59"/>
      <c r="D1396" s="59"/>
      <c r="E1396" s="59"/>
      <c r="F1396" s="59"/>
      <c r="G1396" s="59"/>
      <c r="H1396" s="82"/>
      <c r="I1396" s="59"/>
    </row>
    <row r="1397">
      <c r="A1397" s="59"/>
      <c r="B1397" s="59"/>
      <c r="C1397" s="59"/>
      <c r="D1397" s="59"/>
      <c r="E1397" s="59"/>
      <c r="F1397" s="59"/>
      <c r="G1397" s="59"/>
      <c r="H1397" s="82"/>
      <c r="I1397" s="59"/>
    </row>
    <row r="1398">
      <c r="A1398" s="59"/>
      <c r="B1398" s="59"/>
      <c r="C1398" s="59"/>
      <c r="D1398" s="59"/>
      <c r="E1398" s="59"/>
      <c r="F1398" s="59"/>
      <c r="G1398" s="59"/>
      <c r="H1398" s="82"/>
      <c r="I1398" s="59"/>
    </row>
    <row r="1399">
      <c r="A1399" s="59"/>
      <c r="B1399" s="59"/>
      <c r="C1399" s="59"/>
      <c r="D1399" s="59"/>
      <c r="E1399" s="59"/>
      <c r="F1399" s="59"/>
      <c r="G1399" s="59"/>
      <c r="H1399" s="82"/>
      <c r="I1399" s="59"/>
    </row>
    <row r="1400">
      <c r="A1400" s="59"/>
      <c r="B1400" s="59"/>
      <c r="C1400" s="59"/>
      <c r="D1400" s="59"/>
      <c r="E1400" s="59"/>
      <c r="F1400" s="59"/>
      <c r="G1400" s="59"/>
      <c r="H1400" s="82"/>
      <c r="I1400" s="59"/>
    </row>
    <row r="1401">
      <c r="A1401" s="59"/>
      <c r="B1401" s="59"/>
      <c r="C1401" s="59"/>
      <c r="D1401" s="59"/>
      <c r="E1401" s="59"/>
      <c r="F1401" s="59"/>
      <c r="G1401" s="59"/>
      <c r="H1401" s="82"/>
      <c r="I1401" s="59"/>
    </row>
    <row r="1402">
      <c r="A1402" s="59"/>
      <c r="B1402" s="59"/>
      <c r="C1402" s="59"/>
      <c r="D1402" s="59"/>
      <c r="E1402" s="59"/>
      <c r="F1402" s="59"/>
      <c r="G1402" s="59"/>
      <c r="H1402" s="82"/>
      <c r="I1402" s="59"/>
    </row>
    <row r="1403">
      <c r="A1403" s="59"/>
      <c r="B1403" s="59"/>
      <c r="C1403" s="59"/>
      <c r="D1403" s="59"/>
      <c r="E1403" s="59"/>
      <c r="F1403" s="59"/>
      <c r="G1403" s="59"/>
      <c r="H1403" s="82"/>
      <c r="I1403" s="59"/>
    </row>
    <row r="1404">
      <c r="A1404" s="59"/>
      <c r="B1404" s="59"/>
      <c r="C1404" s="59"/>
      <c r="D1404" s="59"/>
      <c r="E1404" s="59"/>
      <c r="F1404" s="59"/>
      <c r="G1404" s="59"/>
      <c r="H1404" s="82"/>
      <c r="I1404" s="59"/>
    </row>
    <row r="1405">
      <c r="A1405" s="59"/>
      <c r="B1405" s="59"/>
      <c r="C1405" s="59"/>
      <c r="D1405" s="59"/>
      <c r="E1405" s="59"/>
      <c r="F1405" s="59"/>
      <c r="G1405" s="59"/>
      <c r="H1405" s="82"/>
      <c r="I1405" s="59"/>
    </row>
    <row r="1406">
      <c r="A1406" s="59"/>
      <c r="B1406" s="59"/>
      <c r="C1406" s="59"/>
      <c r="D1406" s="59"/>
      <c r="E1406" s="59"/>
      <c r="F1406" s="59"/>
      <c r="G1406" s="59"/>
      <c r="H1406" s="82"/>
      <c r="I1406" s="59"/>
    </row>
    <row r="1407">
      <c r="A1407" s="59"/>
      <c r="B1407" s="59"/>
      <c r="C1407" s="59"/>
      <c r="D1407" s="59"/>
      <c r="E1407" s="59"/>
      <c r="F1407" s="59"/>
      <c r="G1407" s="59"/>
      <c r="H1407" s="82"/>
      <c r="I1407" s="59"/>
    </row>
    <row r="1408">
      <c r="A1408" s="59"/>
      <c r="B1408" s="59"/>
      <c r="C1408" s="59"/>
      <c r="D1408" s="59"/>
      <c r="E1408" s="59"/>
      <c r="F1408" s="59"/>
      <c r="G1408" s="59"/>
      <c r="H1408" s="82"/>
      <c r="I1408" s="59"/>
    </row>
    <row r="1409">
      <c r="A1409" s="59"/>
      <c r="B1409" s="59"/>
      <c r="C1409" s="59"/>
      <c r="D1409" s="59"/>
      <c r="E1409" s="59"/>
      <c r="F1409" s="59"/>
      <c r="G1409" s="59"/>
      <c r="H1409" s="82"/>
      <c r="I1409" s="59"/>
    </row>
    <row r="1410">
      <c r="A1410" s="59"/>
      <c r="B1410" s="59"/>
      <c r="C1410" s="59"/>
      <c r="D1410" s="59"/>
      <c r="E1410" s="59"/>
      <c r="F1410" s="59"/>
      <c r="G1410" s="59"/>
      <c r="H1410" s="82"/>
      <c r="I1410" s="59"/>
    </row>
    <row r="1411">
      <c r="A1411" s="59"/>
      <c r="B1411" s="59"/>
      <c r="C1411" s="59"/>
      <c r="D1411" s="59"/>
      <c r="E1411" s="59"/>
      <c r="F1411" s="59"/>
      <c r="G1411" s="59"/>
      <c r="H1411" s="82"/>
      <c r="I1411" s="59"/>
    </row>
    <row r="1412">
      <c r="A1412" s="59"/>
      <c r="B1412" s="59"/>
      <c r="C1412" s="59"/>
      <c r="D1412" s="59"/>
      <c r="E1412" s="59"/>
      <c r="F1412" s="59"/>
      <c r="G1412" s="59"/>
      <c r="H1412" s="82"/>
      <c r="I1412" s="59"/>
    </row>
    <row r="1413">
      <c r="A1413" s="59"/>
      <c r="B1413" s="59"/>
      <c r="C1413" s="59"/>
      <c r="D1413" s="59"/>
      <c r="E1413" s="59"/>
      <c r="F1413" s="59"/>
      <c r="G1413" s="59"/>
      <c r="H1413" s="82"/>
      <c r="I1413" s="59"/>
    </row>
    <row r="1414">
      <c r="A1414" s="59"/>
      <c r="B1414" s="59"/>
      <c r="C1414" s="59"/>
      <c r="D1414" s="59"/>
      <c r="E1414" s="59"/>
      <c r="F1414" s="59"/>
      <c r="G1414" s="59"/>
      <c r="H1414" s="82"/>
      <c r="I1414" s="59"/>
    </row>
    <row r="1415">
      <c r="A1415" s="59"/>
      <c r="B1415" s="59"/>
      <c r="C1415" s="59"/>
      <c r="D1415" s="59"/>
      <c r="E1415" s="59"/>
      <c r="F1415" s="59"/>
      <c r="G1415" s="59"/>
      <c r="H1415" s="82"/>
      <c r="I1415" s="59"/>
    </row>
    <row r="1416">
      <c r="A1416" s="59"/>
      <c r="B1416" s="59"/>
      <c r="C1416" s="59"/>
      <c r="D1416" s="59"/>
      <c r="E1416" s="59"/>
      <c r="F1416" s="59"/>
      <c r="G1416" s="59"/>
      <c r="H1416" s="82"/>
      <c r="I1416" s="59"/>
    </row>
    <row r="1417">
      <c r="A1417" s="59"/>
      <c r="B1417" s="59"/>
      <c r="C1417" s="59"/>
      <c r="D1417" s="59"/>
      <c r="E1417" s="59"/>
      <c r="F1417" s="59"/>
      <c r="G1417" s="59"/>
      <c r="H1417" s="82"/>
      <c r="I1417" s="59"/>
    </row>
    <row r="1418">
      <c r="A1418" s="59"/>
      <c r="B1418" s="59"/>
      <c r="C1418" s="59"/>
      <c r="D1418" s="59"/>
      <c r="E1418" s="59"/>
      <c r="F1418" s="59"/>
      <c r="G1418" s="59"/>
      <c r="H1418" s="82"/>
      <c r="I1418" s="59"/>
    </row>
    <row r="1419">
      <c r="A1419" s="59"/>
      <c r="B1419" s="59"/>
      <c r="C1419" s="59"/>
      <c r="D1419" s="59"/>
      <c r="E1419" s="59"/>
      <c r="F1419" s="59"/>
      <c r="G1419" s="59"/>
      <c r="H1419" s="82"/>
      <c r="I1419" s="59"/>
    </row>
    <row r="1420">
      <c r="A1420" s="59"/>
      <c r="B1420" s="59"/>
      <c r="C1420" s="59"/>
      <c r="D1420" s="59"/>
      <c r="E1420" s="59"/>
      <c r="F1420" s="59"/>
      <c r="G1420" s="59"/>
      <c r="H1420" s="82"/>
      <c r="I1420" s="59"/>
    </row>
    <row r="1421">
      <c r="A1421" s="59"/>
      <c r="B1421" s="59"/>
      <c r="C1421" s="59"/>
      <c r="D1421" s="59"/>
      <c r="E1421" s="59"/>
      <c r="F1421" s="59"/>
      <c r="G1421" s="59"/>
      <c r="H1421" s="82"/>
      <c r="I1421" s="59"/>
    </row>
    <row r="1422">
      <c r="A1422" s="59"/>
      <c r="B1422" s="59"/>
      <c r="C1422" s="59"/>
      <c r="D1422" s="59"/>
      <c r="E1422" s="59"/>
      <c r="F1422" s="59"/>
      <c r="G1422" s="59"/>
      <c r="H1422" s="82"/>
      <c r="I1422" s="59"/>
    </row>
    <row r="1423">
      <c r="A1423" s="59"/>
      <c r="B1423" s="59"/>
      <c r="C1423" s="59"/>
      <c r="D1423" s="59"/>
      <c r="E1423" s="59"/>
      <c r="F1423" s="59"/>
      <c r="G1423" s="59"/>
      <c r="H1423" s="82"/>
      <c r="I1423" s="59"/>
    </row>
    <row r="1424">
      <c r="A1424" s="59"/>
      <c r="B1424" s="59"/>
      <c r="C1424" s="59"/>
      <c r="D1424" s="59"/>
      <c r="E1424" s="59"/>
      <c r="F1424" s="59"/>
      <c r="G1424" s="59"/>
      <c r="H1424" s="82"/>
      <c r="I1424" s="59"/>
    </row>
    <row r="1425">
      <c r="A1425" s="59"/>
      <c r="B1425" s="59"/>
      <c r="C1425" s="59"/>
      <c r="D1425" s="59"/>
      <c r="E1425" s="59"/>
      <c r="F1425" s="59"/>
      <c r="G1425" s="59"/>
      <c r="H1425" s="82"/>
      <c r="I1425" s="59"/>
    </row>
    <row r="1426">
      <c r="A1426" s="59"/>
      <c r="B1426" s="59"/>
      <c r="C1426" s="59"/>
      <c r="D1426" s="59"/>
      <c r="E1426" s="59"/>
      <c r="F1426" s="59"/>
      <c r="G1426" s="59"/>
      <c r="H1426" s="82"/>
      <c r="I1426" s="59"/>
    </row>
    <row r="1427">
      <c r="A1427" s="59"/>
      <c r="B1427" s="59"/>
      <c r="C1427" s="59"/>
      <c r="D1427" s="59"/>
      <c r="E1427" s="59"/>
      <c r="F1427" s="59"/>
      <c r="G1427" s="59"/>
      <c r="H1427" s="82"/>
      <c r="I1427" s="59"/>
    </row>
    <row r="1428">
      <c r="A1428" s="59"/>
      <c r="B1428" s="59"/>
      <c r="C1428" s="59"/>
      <c r="D1428" s="59"/>
      <c r="E1428" s="59"/>
      <c r="F1428" s="59"/>
      <c r="G1428" s="59"/>
      <c r="H1428" s="82"/>
      <c r="I1428" s="59"/>
    </row>
    <row r="1429">
      <c r="A1429" s="59"/>
      <c r="B1429" s="59"/>
      <c r="C1429" s="59"/>
      <c r="D1429" s="59"/>
      <c r="E1429" s="59"/>
      <c r="F1429" s="59"/>
      <c r="G1429" s="59"/>
      <c r="H1429" s="82"/>
      <c r="I1429" s="59"/>
    </row>
    <row r="1430">
      <c r="A1430" s="59"/>
      <c r="B1430" s="59"/>
      <c r="C1430" s="59"/>
      <c r="D1430" s="59"/>
      <c r="E1430" s="59"/>
      <c r="F1430" s="59"/>
      <c r="G1430" s="59"/>
      <c r="H1430" s="82"/>
      <c r="I1430" s="59"/>
    </row>
    <row r="1431">
      <c r="A1431" s="59"/>
      <c r="B1431" s="59"/>
      <c r="C1431" s="59"/>
      <c r="D1431" s="59"/>
      <c r="E1431" s="59"/>
      <c r="F1431" s="59"/>
      <c r="G1431" s="59"/>
      <c r="H1431" s="82"/>
      <c r="I1431" s="59"/>
    </row>
    <row r="1432">
      <c r="A1432" s="59"/>
      <c r="B1432" s="59"/>
      <c r="C1432" s="59"/>
      <c r="D1432" s="59"/>
      <c r="E1432" s="59"/>
      <c r="F1432" s="59"/>
      <c r="G1432" s="59"/>
      <c r="H1432" s="82"/>
      <c r="I1432" s="59"/>
    </row>
    <row r="1433">
      <c r="A1433" s="59"/>
      <c r="B1433" s="59"/>
      <c r="C1433" s="59"/>
      <c r="D1433" s="59"/>
      <c r="E1433" s="59"/>
      <c r="F1433" s="59"/>
      <c r="G1433" s="59"/>
      <c r="H1433" s="82"/>
      <c r="I1433" s="59"/>
    </row>
    <row r="1434">
      <c r="A1434" s="59"/>
      <c r="B1434" s="59"/>
      <c r="C1434" s="59"/>
      <c r="D1434" s="59"/>
      <c r="E1434" s="59"/>
      <c r="F1434" s="59"/>
      <c r="G1434" s="59"/>
      <c r="H1434" s="82"/>
      <c r="I1434" s="59"/>
    </row>
    <row r="1435">
      <c r="A1435" s="59"/>
      <c r="B1435" s="59"/>
      <c r="C1435" s="59"/>
      <c r="D1435" s="59"/>
      <c r="E1435" s="59"/>
      <c r="F1435" s="59"/>
      <c r="G1435" s="59"/>
      <c r="H1435" s="82"/>
      <c r="I1435" s="59"/>
    </row>
    <row r="1436">
      <c r="A1436" s="59"/>
      <c r="B1436" s="59"/>
      <c r="C1436" s="59"/>
      <c r="D1436" s="59"/>
      <c r="E1436" s="59"/>
      <c r="F1436" s="59"/>
      <c r="G1436" s="59"/>
      <c r="H1436" s="82"/>
      <c r="I1436" s="59"/>
    </row>
    <row r="1437">
      <c r="A1437" s="59"/>
      <c r="B1437" s="59"/>
      <c r="C1437" s="59"/>
      <c r="D1437" s="59"/>
      <c r="E1437" s="59"/>
      <c r="F1437" s="59"/>
      <c r="G1437" s="59"/>
      <c r="H1437" s="82"/>
      <c r="I1437" s="59"/>
    </row>
    <row r="1438">
      <c r="A1438" s="59"/>
      <c r="B1438" s="59"/>
      <c r="C1438" s="59"/>
      <c r="D1438" s="59"/>
      <c r="E1438" s="59"/>
      <c r="F1438" s="59"/>
      <c r="G1438" s="59"/>
      <c r="H1438" s="82"/>
      <c r="I1438" s="59"/>
    </row>
    <row r="1439">
      <c r="A1439" s="59"/>
      <c r="B1439" s="59"/>
      <c r="C1439" s="59"/>
      <c r="D1439" s="59"/>
      <c r="E1439" s="59"/>
      <c r="F1439" s="59"/>
      <c r="G1439" s="59"/>
      <c r="H1439" s="82"/>
      <c r="I1439" s="59"/>
    </row>
    <row r="1440">
      <c r="A1440" s="59"/>
      <c r="B1440" s="59"/>
      <c r="C1440" s="59"/>
      <c r="D1440" s="59"/>
      <c r="E1440" s="59"/>
      <c r="F1440" s="59"/>
      <c r="G1440" s="59"/>
      <c r="H1440" s="82"/>
      <c r="I1440" s="59"/>
    </row>
    <row r="1441">
      <c r="A1441" s="59"/>
      <c r="B1441" s="59"/>
      <c r="C1441" s="59"/>
      <c r="D1441" s="59"/>
      <c r="E1441" s="59"/>
      <c r="F1441" s="59"/>
      <c r="G1441" s="59"/>
      <c r="H1441" s="82"/>
      <c r="I1441" s="59"/>
    </row>
    <row r="1442">
      <c r="A1442" s="59"/>
      <c r="B1442" s="59"/>
      <c r="C1442" s="59"/>
      <c r="D1442" s="59"/>
      <c r="E1442" s="59"/>
      <c r="F1442" s="59"/>
      <c r="G1442" s="59"/>
      <c r="H1442" s="82"/>
      <c r="I1442" s="59"/>
    </row>
    <row r="1443">
      <c r="A1443" s="59"/>
      <c r="B1443" s="59"/>
      <c r="C1443" s="59"/>
      <c r="D1443" s="59"/>
      <c r="E1443" s="59"/>
      <c r="F1443" s="59"/>
      <c r="G1443" s="59"/>
      <c r="H1443" s="82"/>
      <c r="I1443" s="59"/>
    </row>
    <row r="1444">
      <c r="A1444" s="59"/>
      <c r="B1444" s="59"/>
      <c r="C1444" s="59"/>
      <c r="D1444" s="59"/>
      <c r="E1444" s="59"/>
      <c r="F1444" s="59"/>
      <c r="G1444" s="59"/>
      <c r="H1444" s="82"/>
      <c r="I1444" s="59"/>
    </row>
    <row r="1445">
      <c r="A1445" s="59"/>
      <c r="B1445" s="59"/>
      <c r="C1445" s="59"/>
      <c r="D1445" s="59"/>
      <c r="E1445" s="59"/>
      <c r="F1445" s="59"/>
      <c r="G1445" s="59"/>
      <c r="H1445" s="82"/>
      <c r="I1445" s="59"/>
    </row>
    <row r="1446">
      <c r="A1446" s="59"/>
      <c r="B1446" s="59"/>
      <c r="C1446" s="59"/>
      <c r="D1446" s="59"/>
      <c r="E1446" s="59"/>
      <c r="F1446" s="59"/>
      <c r="G1446" s="59"/>
      <c r="H1446" s="82"/>
      <c r="I1446" s="59"/>
    </row>
    <row r="1447">
      <c r="A1447" s="59"/>
      <c r="B1447" s="59"/>
      <c r="C1447" s="59"/>
      <c r="D1447" s="59"/>
      <c r="E1447" s="59"/>
      <c r="F1447" s="59"/>
      <c r="G1447" s="59"/>
      <c r="H1447" s="82"/>
      <c r="I1447" s="59"/>
    </row>
    <row r="1448">
      <c r="A1448" s="59"/>
      <c r="B1448" s="59"/>
      <c r="C1448" s="59"/>
      <c r="D1448" s="59"/>
      <c r="E1448" s="59"/>
      <c r="F1448" s="59"/>
      <c r="G1448" s="59"/>
      <c r="H1448" s="82"/>
      <c r="I1448" s="59"/>
    </row>
    <row r="1449">
      <c r="A1449" s="59"/>
      <c r="B1449" s="59"/>
      <c r="C1449" s="59"/>
      <c r="D1449" s="59"/>
      <c r="E1449" s="59"/>
      <c r="F1449" s="59"/>
      <c r="G1449" s="59"/>
      <c r="H1449" s="82"/>
      <c r="I1449" s="59"/>
    </row>
    <row r="1450">
      <c r="A1450" s="59"/>
      <c r="B1450" s="59"/>
      <c r="C1450" s="59"/>
      <c r="D1450" s="59"/>
      <c r="E1450" s="59"/>
      <c r="F1450" s="59"/>
      <c r="G1450" s="59"/>
      <c r="H1450" s="82"/>
      <c r="I1450" s="59"/>
    </row>
    <row r="1451">
      <c r="A1451" s="59"/>
      <c r="B1451" s="59"/>
      <c r="C1451" s="59"/>
      <c r="D1451" s="59"/>
      <c r="E1451" s="59"/>
      <c r="F1451" s="59"/>
      <c r="G1451" s="59"/>
      <c r="H1451" s="82"/>
      <c r="I1451" s="59"/>
    </row>
    <row r="1452">
      <c r="A1452" s="59"/>
      <c r="B1452" s="59"/>
      <c r="C1452" s="59"/>
      <c r="D1452" s="59"/>
      <c r="E1452" s="59"/>
      <c r="F1452" s="59"/>
      <c r="G1452" s="59"/>
      <c r="H1452" s="82"/>
      <c r="I1452" s="59"/>
    </row>
    <row r="1453">
      <c r="A1453" s="59"/>
      <c r="B1453" s="59"/>
      <c r="C1453" s="59"/>
      <c r="D1453" s="59"/>
      <c r="E1453" s="59"/>
      <c r="F1453" s="59"/>
      <c r="G1453" s="59"/>
      <c r="H1453" s="82"/>
      <c r="I1453" s="59"/>
    </row>
    <row r="1454">
      <c r="A1454" s="59"/>
      <c r="B1454" s="59"/>
      <c r="C1454" s="59"/>
      <c r="D1454" s="59"/>
      <c r="E1454" s="59"/>
      <c r="F1454" s="59"/>
      <c r="G1454" s="59"/>
      <c r="H1454" s="82"/>
      <c r="I1454" s="59"/>
    </row>
    <row r="1455">
      <c r="A1455" s="59"/>
      <c r="B1455" s="59"/>
      <c r="C1455" s="59"/>
      <c r="D1455" s="59"/>
      <c r="E1455" s="59"/>
      <c r="F1455" s="59"/>
      <c r="G1455" s="59"/>
      <c r="H1455" s="82"/>
      <c r="I1455" s="59"/>
    </row>
    <row r="1456">
      <c r="A1456" s="59"/>
      <c r="B1456" s="59"/>
      <c r="C1456" s="59"/>
      <c r="D1456" s="59"/>
      <c r="E1456" s="59"/>
      <c r="F1456" s="59"/>
      <c r="G1456" s="59"/>
      <c r="H1456" s="82"/>
      <c r="I1456" s="59"/>
    </row>
    <row r="1457">
      <c r="A1457" s="59"/>
      <c r="B1457" s="59"/>
      <c r="C1457" s="59"/>
      <c r="D1457" s="59"/>
      <c r="E1457" s="59"/>
      <c r="F1457" s="59"/>
      <c r="G1457" s="59"/>
      <c r="H1457" s="82"/>
      <c r="I1457" s="59"/>
    </row>
    <row r="1458">
      <c r="A1458" s="59"/>
      <c r="B1458" s="59"/>
      <c r="C1458" s="59"/>
      <c r="D1458" s="59"/>
      <c r="E1458" s="59"/>
      <c r="F1458" s="59"/>
      <c r="G1458" s="59"/>
      <c r="H1458" s="82"/>
      <c r="I1458" s="59"/>
    </row>
    <row r="1459">
      <c r="A1459" s="59"/>
      <c r="B1459" s="59"/>
      <c r="C1459" s="59"/>
      <c r="D1459" s="59"/>
      <c r="E1459" s="59"/>
      <c r="F1459" s="59"/>
      <c r="G1459" s="59"/>
      <c r="H1459" s="82"/>
      <c r="I1459" s="59"/>
    </row>
    <row r="1460">
      <c r="A1460" s="59"/>
      <c r="B1460" s="59"/>
      <c r="C1460" s="59"/>
      <c r="D1460" s="59"/>
      <c r="E1460" s="59"/>
      <c r="F1460" s="59"/>
      <c r="G1460" s="59"/>
      <c r="H1460" s="82"/>
      <c r="I1460" s="59"/>
    </row>
    <row r="1461">
      <c r="A1461" s="59"/>
      <c r="B1461" s="59"/>
      <c r="C1461" s="59"/>
      <c r="D1461" s="59"/>
      <c r="E1461" s="59"/>
      <c r="F1461" s="59"/>
      <c r="G1461" s="59"/>
      <c r="H1461" s="82"/>
      <c r="I1461" s="59"/>
    </row>
    <row r="1462">
      <c r="A1462" s="59"/>
      <c r="B1462" s="59"/>
      <c r="C1462" s="59"/>
      <c r="D1462" s="59"/>
      <c r="E1462" s="59"/>
      <c r="F1462" s="59"/>
      <c r="G1462" s="59"/>
      <c r="H1462" s="82"/>
      <c r="I1462" s="59"/>
    </row>
    <row r="1463">
      <c r="A1463" s="59"/>
      <c r="B1463" s="59"/>
      <c r="C1463" s="59"/>
      <c r="D1463" s="59"/>
      <c r="E1463" s="59"/>
      <c r="F1463" s="59"/>
      <c r="G1463" s="59"/>
      <c r="H1463" s="82"/>
      <c r="I1463" s="59"/>
    </row>
    <row r="1464">
      <c r="A1464" s="59"/>
      <c r="B1464" s="59"/>
      <c r="C1464" s="59"/>
      <c r="D1464" s="59"/>
      <c r="E1464" s="59"/>
      <c r="F1464" s="59"/>
      <c r="G1464" s="59"/>
      <c r="H1464" s="82"/>
      <c r="I1464" s="59"/>
    </row>
    <row r="1465">
      <c r="A1465" s="59"/>
      <c r="B1465" s="59"/>
      <c r="C1465" s="59"/>
      <c r="D1465" s="59"/>
      <c r="E1465" s="59"/>
      <c r="F1465" s="59"/>
      <c r="G1465" s="59"/>
      <c r="H1465" s="82"/>
      <c r="I1465" s="59"/>
    </row>
    <row r="1466">
      <c r="A1466" s="59"/>
      <c r="B1466" s="59"/>
      <c r="C1466" s="59"/>
      <c r="D1466" s="59"/>
      <c r="E1466" s="59"/>
      <c r="F1466" s="59"/>
      <c r="G1466" s="59"/>
      <c r="H1466" s="82"/>
      <c r="I1466" s="59"/>
    </row>
    <row r="1467">
      <c r="A1467" s="59"/>
      <c r="B1467" s="59"/>
      <c r="C1467" s="59"/>
      <c r="D1467" s="59"/>
      <c r="E1467" s="59"/>
      <c r="F1467" s="59"/>
      <c r="G1467" s="59"/>
      <c r="H1467" s="82"/>
      <c r="I1467" s="59"/>
    </row>
    <row r="1468">
      <c r="A1468" s="59"/>
      <c r="B1468" s="59"/>
      <c r="C1468" s="59"/>
      <c r="D1468" s="59"/>
      <c r="E1468" s="59"/>
      <c r="F1468" s="59"/>
      <c r="G1468" s="59"/>
      <c r="H1468" s="82"/>
      <c r="I1468" s="59"/>
    </row>
    <row r="1469">
      <c r="A1469" s="59"/>
      <c r="B1469" s="59"/>
      <c r="C1469" s="59"/>
      <c r="D1469" s="59"/>
      <c r="E1469" s="59"/>
      <c r="F1469" s="59"/>
      <c r="G1469" s="59"/>
      <c r="H1469" s="82"/>
      <c r="I1469" s="59"/>
    </row>
    <row r="1470">
      <c r="A1470" s="59"/>
      <c r="B1470" s="59"/>
      <c r="C1470" s="59"/>
      <c r="D1470" s="59"/>
      <c r="E1470" s="59"/>
      <c r="F1470" s="59"/>
      <c r="G1470" s="59"/>
      <c r="H1470" s="82"/>
      <c r="I1470" s="59"/>
    </row>
    <row r="1471">
      <c r="A1471" s="59"/>
      <c r="B1471" s="59"/>
      <c r="C1471" s="59"/>
      <c r="D1471" s="59"/>
      <c r="E1471" s="59"/>
      <c r="F1471" s="59"/>
      <c r="G1471" s="59"/>
      <c r="H1471" s="82"/>
      <c r="I1471" s="59"/>
    </row>
    <row r="1472">
      <c r="A1472" s="59"/>
      <c r="B1472" s="59"/>
      <c r="C1472" s="59"/>
      <c r="D1472" s="59"/>
      <c r="E1472" s="59"/>
      <c r="F1472" s="59"/>
      <c r="G1472" s="59"/>
      <c r="H1472" s="82"/>
      <c r="I1472" s="59"/>
    </row>
    <row r="1473">
      <c r="A1473" s="59"/>
      <c r="B1473" s="59"/>
      <c r="C1473" s="59"/>
      <c r="D1473" s="59"/>
      <c r="E1473" s="59"/>
      <c r="F1473" s="59"/>
      <c r="G1473" s="59"/>
      <c r="H1473" s="82"/>
      <c r="I1473" s="59"/>
    </row>
    <row r="1474">
      <c r="A1474" s="59"/>
      <c r="B1474" s="59"/>
      <c r="C1474" s="59"/>
      <c r="D1474" s="59"/>
      <c r="E1474" s="59"/>
      <c r="F1474" s="59"/>
      <c r="G1474" s="59"/>
      <c r="H1474" s="82"/>
      <c r="I1474" s="59"/>
    </row>
    <row r="1475">
      <c r="A1475" s="59"/>
      <c r="B1475" s="59"/>
      <c r="C1475" s="59"/>
      <c r="D1475" s="59"/>
      <c r="E1475" s="59"/>
      <c r="F1475" s="59"/>
      <c r="G1475" s="59"/>
      <c r="H1475" s="82"/>
      <c r="I1475" s="59"/>
    </row>
    <row r="1476">
      <c r="A1476" s="59"/>
      <c r="B1476" s="59"/>
      <c r="C1476" s="59"/>
      <c r="D1476" s="59"/>
      <c r="E1476" s="59"/>
      <c r="F1476" s="59"/>
      <c r="G1476" s="59"/>
      <c r="H1476" s="82"/>
      <c r="I1476" s="59"/>
    </row>
    <row r="1477">
      <c r="A1477" s="59"/>
      <c r="B1477" s="59"/>
      <c r="C1477" s="59"/>
      <c r="D1477" s="59"/>
      <c r="E1477" s="59"/>
      <c r="F1477" s="59"/>
      <c r="G1477" s="59"/>
      <c r="H1477" s="82"/>
      <c r="I1477" s="59"/>
    </row>
    <row r="1478">
      <c r="A1478" s="59"/>
      <c r="B1478" s="59"/>
      <c r="C1478" s="59"/>
      <c r="D1478" s="59"/>
      <c r="E1478" s="59"/>
      <c r="F1478" s="59"/>
      <c r="G1478" s="59"/>
      <c r="H1478" s="82"/>
      <c r="I1478" s="59"/>
    </row>
    <row r="1479">
      <c r="A1479" s="59"/>
      <c r="B1479" s="59"/>
      <c r="C1479" s="59"/>
      <c r="D1479" s="59"/>
      <c r="E1479" s="59"/>
      <c r="F1479" s="59"/>
      <c r="G1479" s="59"/>
      <c r="H1479" s="82"/>
      <c r="I1479" s="59"/>
    </row>
    <row r="1480">
      <c r="A1480" s="59"/>
      <c r="B1480" s="59"/>
      <c r="C1480" s="59"/>
      <c r="D1480" s="59"/>
      <c r="E1480" s="59"/>
      <c r="F1480" s="59"/>
      <c r="G1480" s="59"/>
      <c r="H1480" s="82"/>
      <c r="I1480" s="59"/>
    </row>
    <row r="1481">
      <c r="A1481" s="59"/>
      <c r="B1481" s="59"/>
      <c r="C1481" s="59"/>
      <c r="D1481" s="59"/>
      <c r="E1481" s="59"/>
      <c r="F1481" s="59"/>
      <c r="G1481" s="59"/>
      <c r="H1481" s="82"/>
      <c r="I1481" s="59"/>
    </row>
    <row r="1482">
      <c r="A1482" s="59"/>
      <c r="B1482" s="59"/>
      <c r="C1482" s="59"/>
      <c r="D1482" s="59"/>
      <c r="E1482" s="59"/>
      <c r="F1482" s="59"/>
      <c r="G1482" s="59"/>
      <c r="H1482" s="82"/>
      <c r="I1482" s="59"/>
    </row>
    <row r="1483">
      <c r="A1483" s="59"/>
      <c r="B1483" s="59"/>
      <c r="C1483" s="59"/>
      <c r="D1483" s="59"/>
      <c r="E1483" s="59"/>
      <c r="F1483" s="59"/>
      <c r="G1483" s="59"/>
      <c r="H1483" s="82"/>
      <c r="I1483" s="59"/>
    </row>
    <row r="1484">
      <c r="A1484" s="59"/>
      <c r="B1484" s="59"/>
      <c r="C1484" s="59"/>
      <c r="D1484" s="59"/>
      <c r="E1484" s="59"/>
      <c r="F1484" s="59"/>
      <c r="G1484" s="59"/>
      <c r="H1484" s="82"/>
      <c r="I1484" s="59"/>
    </row>
    <row r="1485">
      <c r="A1485" s="59"/>
      <c r="B1485" s="59"/>
      <c r="C1485" s="59"/>
      <c r="D1485" s="59"/>
      <c r="E1485" s="59"/>
      <c r="F1485" s="59"/>
      <c r="G1485" s="59"/>
      <c r="H1485" s="82"/>
      <c r="I1485" s="59"/>
    </row>
    <row r="1486">
      <c r="A1486" s="59"/>
      <c r="B1486" s="59"/>
      <c r="C1486" s="59"/>
      <c r="D1486" s="59"/>
      <c r="E1486" s="59"/>
      <c r="F1486" s="59"/>
      <c r="G1486" s="59"/>
      <c r="H1486" s="82"/>
      <c r="I1486" s="59"/>
    </row>
    <row r="1487">
      <c r="A1487" s="59"/>
      <c r="B1487" s="59"/>
      <c r="C1487" s="59"/>
      <c r="D1487" s="59"/>
      <c r="E1487" s="59"/>
      <c r="F1487" s="59"/>
      <c r="G1487" s="59"/>
      <c r="H1487" s="82"/>
      <c r="I1487" s="59"/>
    </row>
    <row r="1488">
      <c r="A1488" s="59"/>
      <c r="B1488" s="59"/>
      <c r="C1488" s="59"/>
      <c r="D1488" s="59"/>
      <c r="E1488" s="59"/>
      <c r="F1488" s="59"/>
      <c r="G1488" s="59"/>
      <c r="H1488" s="82"/>
      <c r="I1488" s="59"/>
    </row>
    <row r="1489">
      <c r="A1489" s="59"/>
      <c r="B1489" s="59"/>
      <c r="C1489" s="59"/>
      <c r="D1489" s="59"/>
      <c r="E1489" s="59"/>
      <c r="F1489" s="59"/>
      <c r="G1489" s="59"/>
      <c r="H1489" s="82"/>
      <c r="I1489" s="59"/>
    </row>
    <row r="1490">
      <c r="A1490" s="59"/>
      <c r="B1490" s="59"/>
      <c r="C1490" s="59"/>
      <c r="D1490" s="59"/>
      <c r="E1490" s="59"/>
      <c r="F1490" s="59"/>
      <c r="G1490" s="59"/>
      <c r="H1490" s="82"/>
      <c r="I1490" s="59"/>
    </row>
    <row r="1491">
      <c r="A1491" s="59"/>
      <c r="B1491" s="59"/>
      <c r="C1491" s="59"/>
      <c r="D1491" s="59"/>
      <c r="E1491" s="59"/>
      <c r="F1491" s="59"/>
      <c r="G1491" s="59"/>
      <c r="H1491" s="82"/>
      <c r="I1491" s="59"/>
    </row>
    <row r="1492">
      <c r="A1492" s="59"/>
      <c r="B1492" s="59"/>
      <c r="C1492" s="59"/>
      <c r="D1492" s="59"/>
      <c r="E1492" s="59"/>
      <c r="F1492" s="59"/>
      <c r="G1492" s="59"/>
      <c r="H1492" s="82"/>
      <c r="I1492" s="59"/>
    </row>
    <row r="1493">
      <c r="A1493" s="59"/>
      <c r="B1493" s="59"/>
      <c r="C1493" s="59"/>
      <c r="D1493" s="59"/>
      <c r="E1493" s="59"/>
      <c r="F1493" s="59"/>
      <c r="G1493" s="59"/>
      <c r="H1493" s="82"/>
      <c r="I1493" s="59"/>
    </row>
    <row r="1494">
      <c r="A1494" s="59"/>
      <c r="B1494" s="59"/>
      <c r="C1494" s="59"/>
      <c r="D1494" s="59"/>
      <c r="E1494" s="59"/>
      <c r="F1494" s="59"/>
      <c r="G1494" s="59"/>
      <c r="H1494" s="82"/>
      <c r="I1494" s="59"/>
    </row>
    <row r="1495">
      <c r="A1495" s="59"/>
      <c r="B1495" s="59"/>
      <c r="C1495" s="59"/>
      <c r="D1495" s="59"/>
      <c r="E1495" s="59"/>
      <c r="F1495" s="59"/>
      <c r="G1495" s="59"/>
      <c r="H1495" s="82"/>
      <c r="I1495" s="59"/>
    </row>
    <row r="1496">
      <c r="A1496" s="59"/>
      <c r="B1496" s="59"/>
      <c r="C1496" s="59"/>
      <c r="D1496" s="59"/>
      <c r="E1496" s="59"/>
      <c r="F1496" s="59"/>
      <c r="G1496" s="59"/>
      <c r="H1496" s="82"/>
      <c r="I1496" s="59"/>
    </row>
    <row r="1497">
      <c r="A1497" s="59"/>
      <c r="B1497" s="59"/>
      <c r="C1497" s="59"/>
      <c r="D1497" s="59"/>
      <c r="E1497" s="59"/>
      <c r="F1497" s="59"/>
      <c r="G1497" s="59"/>
      <c r="H1497" s="82"/>
      <c r="I1497" s="59"/>
    </row>
    <row r="1498">
      <c r="A1498" s="59"/>
      <c r="B1498" s="59"/>
      <c r="C1498" s="59"/>
      <c r="D1498" s="59"/>
      <c r="E1498" s="59"/>
      <c r="F1498" s="59"/>
      <c r="G1498" s="59"/>
      <c r="H1498" s="82"/>
      <c r="I1498" s="59"/>
    </row>
    <row r="1499">
      <c r="A1499" s="59"/>
      <c r="B1499" s="59"/>
      <c r="C1499" s="59"/>
      <c r="D1499" s="59"/>
      <c r="E1499" s="59"/>
      <c r="F1499" s="59"/>
      <c r="G1499" s="59"/>
      <c r="H1499" s="82"/>
      <c r="I1499" s="59"/>
    </row>
    <row r="1500">
      <c r="A1500" s="59"/>
      <c r="B1500" s="59"/>
      <c r="C1500" s="59"/>
      <c r="D1500" s="59"/>
      <c r="E1500" s="59"/>
      <c r="F1500" s="59"/>
      <c r="G1500" s="59"/>
      <c r="H1500" s="82"/>
      <c r="I1500" s="59"/>
    </row>
    <row r="1501">
      <c r="A1501" s="59"/>
      <c r="B1501" s="59"/>
      <c r="C1501" s="59"/>
      <c r="D1501" s="59"/>
      <c r="E1501" s="59"/>
      <c r="F1501" s="59"/>
      <c r="G1501" s="59"/>
      <c r="H1501" s="82"/>
      <c r="I1501" s="59"/>
    </row>
    <row r="1502">
      <c r="A1502" s="59"/>
      <c r="B1502" s="59"/>
      <c r="C1502" s="59"/>
      <c r="D1502" s="59"/>
      <c r="E1502" s="59"/>
      <c r="F1502" s="59"/>
      <c r="G1502" s="59"/>
      <c r="H1502" s="82"/>
      <c r="I1502" s="59"/>
    </row>
    <row r="1503">
      <c r="A1503" s="59"/>
      <c r="B1503" s="59"/>
      <c r="C1503" s="59"/>
      <c r="D1503" s="59"/>
      <c r="E1503" s="59"/>
      <c r="F1503" s="59"/>
      <c r="G1503" s="59"/>
      <c r="H1503" s="82"/>
      <c r="I1503" s="59"/>
    </row>
    <row r="1504">
      <c r="A1504" s="59"/>
      <c r="B1504" s="59"/>
      <c r="C1504" s="59"/>
      <c r="D1504" s="59"/>
      <c r="E1504" s="59"/>
      <c r="F1504" s="59"/>
      <c r="G1504" s="59"/>
      <c r="H1504" s="82"/>
      <c r="I1504" s="59"/>
    </row>
    <row r="1505">
      <c r="A1505" s="59"/>
      <c r="B1505" s="59"/>
      <c r="C1505" s="59"/>
      <c r="D1505" s="59"/>
      <c r="E1505" s="59"/>
      <c r="F1505" s="59"/>
      <c r="G1505" s="59"/>
      <c r="H1505" s="82"/>
      <c r="I1505" s="59"/>
    </row>
    <row r="1506">
      <c r="A1506" s="59"/>
      <c r="B1506" s="59"/>
      <c r="C1506" s="59"/>
      <c r="D1506" s="59"/>
      <c r="E1506" s="59"/>
      <c r="F1506" s="59"/>
      <c r="G1506" s="59"/>
      <c r="H1506" s="82"/>
      <c r="I1506" s="59"/>
    </row>
    <row r="1507">
      <c r="A1507" s="59"/>
      <c r="B1507" s="59"/>
      <c r="C1507" s="59"/>
      <c r="D1507" s="59"/>
      <c r="E1507" s="59"/>
      <c r="F1507" s="59"/>
      <c r="G1507" s="59"/>
      <c r="H1507" s="82"/>
      <c r="I1507" s="59"/>
    </row>
    <row r="1508">
      <c r="A1508" s="59"/>
      <c r="B1508" s="59"/>
      <c r="C1508" s="59"/>
      <c r="D1508" s="59"/>
      <c r="E1508" s="59"/>
      <c r="F1508" s="59"/>
      <c r="G1508" s="59"/>
      <c r="H1508" s="82"/>
      <c r="I1508" s="59"/>
    </row>
    <row r="1509">
      <c r="A1509" s="59"/>
      <c r="B1509" s="59"/>
      <c r="C1509" s="59"/>
      <c r="D1509" s="59"/>
      <c r="E1509" s="59"/>
      <c r="F1509" s="59"/>
      <c r="G1509" s="59"/>
      <c r="H1509" s="82"/>
      <c r="I1509" s="59"/>
    </row>
    <row r="1510">
      <c r="A1510" s="59"/>
      <c r="B1510" s="59"/>
      <c r="C1510" s="59"/>
      <c r="D1510" s="59"/>
      <c r="E1510" s="59"/>
      <c r="F1510" s="59"/>
      <c r="G1510" s="59"/>
      <c r="H1510" s="82"/>
      <c r="I1510" s="59"/>
    </row>
    <row r="1511">
      <c r="A1511" s="59"/>
      <c r="B1511" s="59"/>
      <c r="C1511" s="59"/>
      <c r="D1511" s="59"/>
      <c r="E1511" s="59"/>
      <c r="F1511" s="59"/>
      <c r="G1511" s="59"/>
      <c r="H1511" s="82"/>
      <c r="I1511" s="59"/>
    </row>
    <row r="1512">
      <c r="A1512" s="59"/>
      <c r="B1512" s="59"/>
      <c r="C1512" s="59"/>
      <c r="D1512" s="59"/>
      <c r="E1512" s="59"/>
      <c r="F1512" s="59"/>
      <c r="G1512" s="59"/>
      <c r="H1512" s="82"/>
      <c r="I1512" s="59"/>
    </row>
    <row r="1513">
      <c r="A1513" s="59"/>
      <c r="B1513" s="59"/>
      <c r="C1513" s="59"/>
      <c r="D1513" s="59"/>
      <c r="E1513" s="59"/>
      <c r="F1513" s="59"/>
      <c r="G1513" s="59"/>
      <c r="H1513" s="82"/>
      <c r="I1513" s="59"/>
    </row>
    <row r="1514">
      <c r="A1514" s="59"/>
      <c r="B1514" s="59"/>
      <c r="C1514" s="59"/>
      <c r="D1514" s="59"/>
      <c r="E1514" s="59"/>
      <c r="F1514" s="59"/>
      <c r="G1514" s="59"/>
      <c r="H1514" s="82"/>
      <c r="I1514" s="59"/>
    </row>
    <row r="1515">
      <c r="A1515" s="59"/>
      <c r="B1515" s="59"/>
      <c r="C1515" s="59"/>
      <c r="D1515" s="59"/>
      <c r="E1515" s="59"/>
      <c r="F1515" s="59"/>
      <c r="G1515" s="59"/>
      <c r="H1515" s="82"/>
      <c r="I1515" s="59"/>
    </row>
    <row r="1516">
      <c r="A1516" s="59"/>
      <c r="B1516" s="59"/>
      <c r="C1516" s="59"/>
      <c r="D1516" s="59"/>
      <c r="E1516" s="59"/>
      <c r="F1516" s="59"/>
      <c r="G1516" s="59"/>
      <c r="H1516" s="82"/>
      <c r="I1516" s="59"/>
    </row>
    <row r="1517">
      <c r="A1517" s="59"/>
      <c r="B1517" s="59"/>
      <c r="C1517" s="59"/>
      <c r="D1517" s="59"/>
      <c r="E1517" s="59"/>
      <c r="F1517" s="59"/>
      <c r="G1517" s="59"/>
      <c r="H1517" s="82"/>
      <c r="I1517" s="59"/>
    </row>
    <row r="1518">
      <c r="A1518" s="59"/>
      <c r="B1518" s="59"/>
      <c r="C1518" s="59"/>
      <c r="D1518" s="59"/>
      <c r="E1518" s="59"/>
      <c r="F1518" s="59"/>
      <c r="G1518" s="59"/>
      <c r="H1518" s="82"/>
      <c r="I1518" s="59"/>
    </row>
    <row r="1519">
      <c r="A1519" s="59"/>
      <c r="B1519" s="59"/>
      <c r="C1519" s="59"/>
      <c r="D1519" s="59"/>
      <c r="E1519" s="59"/>
      <c r="F1519" s="59"/>
      <c r="G1519" s="59"/>
      <c r="H1519" s="82"/>
      <c r="I1519" s="59"/>
    </row>
    <row r="1520">
      <c r="A1520" s="59"/>
      <c r="B1520" s="59"/>
      <c r="C1520" s="59"/>
      <c r="D1520" s="59"/>
      <c r="E1520" s="59"/>
      <c r="F1520" s="59"/>
      <c r="G1520" s="59"/>
      <c r="H1520" s="82"/>
      <c r="I1520" s="59"/>
    </row>
    <row r="1521">
      <c r="A1521" s="59"/>
      <c r="B1521" s="59"/>
      <c r="C1521" s="59"/>
      <c r="D1521" s="59"/>
      <c r="E1521" s="59"/>
      <c r="F1521" s="59"/>
      <c r="G1521" s="59"/>
      <c r="H1521" s="82"/>
      <c r="I1521" s="59"/>
    </row>
    <row r="1522">
      <c r="A1522" s="59"/>
      <c r="B1522" s="59"/>
      <c r="C1522" s="59"/>
      <c r="D1522" s="59"/>
      <c r="E1522" s="59"/>
      <c r="F1522" s="59"/>
      <c r="G1522" s="59"/>
      <c r="H1522" s="82"/>
      <c r="I1522" s="59"/>
    </row>
    <row r="1523">
      <c r="A1523" s="59"/>
      <c r="B1523" s="59"/>
      <c r="C1523" s="59"/>
      <c r="D1523" s="59"/>
      <c r="E1523" s="59"/>
      <c r="F1523" s="59"/>
      <c r="G1523" s="59"/>
      <c r="H1523" s="82"/>
      <c r="I1523" s="59"/>
    </row>
    <row r="1524">
      <c r="A1524" s="59"/>
      <c r="B1524" s="59"/>
      <c r="C1524" s="59"/>
      <c r="D1524" s="59"/>
      <c r="E1524" s="59"/>
      <c r="F1524" s="59"/>
      <c r="G1524" s="59"/>
      <c r="H1524" s="82"/>
      <c r="I1524" s="59"/>
    </row>
    <row r="1525">
      <c r="A1525" s="59"/>
      <c r="B1525" s="59"/>
      <c r="C1525" s="59"/>
      <c r="D1525" s="59"/>
      <c r="E1525" s="59"/>
      <c r="F1525" s="59"/>
      <c r="G1525" s="59"/>
      <c r="H1525" s="82"/>
      <c r="I1525" s="59"/>
    </row>
    <row r="1526">
      <c r="A1526" s="59"/>
      <c r="B1526" s="59"/>
      <c r="C1526" s="59"/>
      <c r="D1526" s="59"/>
      <c r="E1526" s="59"/>
      <c r="F1526" s="59"/>
      <c r="G1526" s="59"/>
      <c r="H1526" s="82"/>
      <c r="I1526" s="59"/>
    </row>
    <row r="1527">
      <c r="A1527" s="59"/>
      <c r="B1527" s="59"/>
      <c r="C1527" s="59"/>
      <c r="D1527" s="59"/>
      <c r="E1527" s="59"/>
      <c r="F1527" s="59"/>
      <c r="G1527" s="59"/>
      <c r="H1527" s="82"/>
      <c r="I1527" s="59"/>
    </row>
    <row r="1528">
      <c r="A1528" s="59"/>
      <c r="B1528" s="59"/>
      <c r="C1528" s="59"/>
      <c r="D1528" s="59"/>
      <c r="E1528" s="59"/>
      <c r="F1528" s="59"/>
      <c r="G1528" s="59"/>
      <c r="H1528" s="82"/>
      <c r="I1528" s="59"/>
    </row>
    <row r="1529">
      <c r="A1529" s="59"/>
      <c r="B1529" s="59"/>
      <c r="C1529" s="59"/>
      <c r="D1529" s="59"/>
      <c r="E1529" s="59"/>
      <c r="F1529" s="59"/>
      <c r="G1529" s="59"/>
      <c r="H1529" s="82"/>
      <c r="I1529" s="59"/>
    </row>
    <row r="1530">
      <c r="A1530" s="59"/>
      <c r="B1530" s="59"/>
      <c r="C1530" s="59"/>
      <c r="D1530" s="59"/>
      <c r="E1530" s="59"/>
      <c r="F1530" s="59"/>
      <c r="G1530" s="59"/>
      <c r="H1530" s="82"/>
      <c r="I1530" s="59"/>
    </row>
    <row r="1531">
      <c r="A1531" s="59"/>
      <c r="B1531" s="59"/>
      <c r="C1531" s="59"/>
      <c r="D1531" s="59"/>
      <c r="E1531" s="59"/>
      <c r="F1531" s="59"/>
      <c r="G1531" s="59"/>
      <c r="H1531" s="82"/>
      <c r="I1531" s="59"/>
    </row>
    <row r="1532">
      <c r="A1532" s="59"/>
      <c r="B1532" s="59"/>
      <c r="C1532" s="59"/>
      <c r="D1532" s="59"/>
      <c r="E1532" s="59"/>
      <c r="F1532" s="59"/>
      <c r="G1532" s="59"/>
      <c r="H1532" s="82"/>
      <c r="I1532" s="59"/>
    </row>
    <row r="1533">
      <c r="A1533" s="59"/>
      <c r="B1533" s="59"/>
      <c r="C1533" s="59"/>
      <c r="D1533" s="59"/>
      <c r="E1533" s="59"/>
      <c r="F1533" s="59"/>
      <c r="G1533" s="59"/>
      <c r="H1533" s="82"/>
      <c r="I1533" s="59"/>
    </row>
    <row r="1534">
      <c r="A1534" s="59"/>
      <c r="B1534" s="59"/>
      <c r="C1534" s="59"/>
      <c r="D1534" s="59"/>
      <c r="E1534" s="59"/>
      <c r="F1534" s="59"/>
      <c r="G1534" s="59"/>
      <c r="H1534" s="82"/>
      <c r="I1534" s="59"/>
    </row>
    <row r="1535">
      <c r="A1535" s="59"/>
      <c r="B1535" s="59"/>
      <c r="C1535" s="59"/>
      <c r="D1535" s="59"/>
      <c r="E1535" s="59"/>
      <c r="F1535" s="59"/>
      <c r="G1535" s="59"/>
      <c r="H1535" s="82"/>
      <c r="I1535" s="59"/>
    </row>
    <row r="1536">
      <c r="A1536" s="59"/>
      <c r="B1536" s="59"/>
      <c r="C1536" s="59"/>
      <c r="D1536" s="59"/>
      <c r="E1536" s="59"/>
      <c r="F1536" s="59"/>
      <c r="G1536" s="59"/>
      <c r="H1536" s="82"/>
      <c r="I1536" s="59"/>
    </row>
    <row r="1537">
      <c r="A1537" s="59"/>
      <c r="B1537" s="59"/>
      <c r="C1537" s="59"/>
      <c r="D1537" s="59"/>
      <c r="E1537" s="59"/>
      <c r="F1537" s="59"/>
      <c r="G1537" s="59"/>
      <c r="H1537" s="82"/>
      <c r="I1537" s="59"/>
    </row>
    <row r="1538">
      <c r="A1538" s="59"/>
      <c r="B1538" s="59"/>
      <c r="C1538" s="59"/>
      <c r="D1538" s="59"/>
      <c r="E1538" s="59"/>
      <c r="F1538" s="59"/>
      <c r="G1538" s="59"/>
      <c r="H1538" s="82"/>
      <c r="I1538" s="59"/>
    </row>
    <row r="1539">
      <c r="A1539" s="59"/>
      <c r="B1539" s="59"/>
      <c r="C1539" s="59"/>
      <c r="D1539" s="59"/>
      <c r="E1539" s="59"/>
      <c r="F1539" s="59"/>
      <c r="G1539" s="59"/>
      <c r="H1539" s="82"/>
      <c r="I1539" s="59"/>
    </row>
    <row r="1540">
      <c r="A1540" s="59"/>
      <c r="B1540" s="59"/>
      <c r="C1540" s="59"/>
      <c r="D1540" s="59"/>
      <c r="E1540" s="59"/>
      <c r="F1540" s="59"/>
      <c r="G1540" s="59"/>
      <c r="H1540" s="82"/>
      <c r="I1540" s="59"/>
    </row>
    <row r="1541">
      <c r="A1541" s="59"/>
      <c r="B1541" s="59"/>
      <c r="C1541" s="59"/>
      <c r="D1541" s="59"/>
      <c r="E1541" s="59"/>
      <c r="F1541" s="59"/>
      <c r="G1541" s="59"/>
      <c r="H1541" s="82"/>
      <c r="I1541" s="59"/>
    </row>
    <row r="1542">
      <c r="A1542" s="59"/>
      <c r="B1542" s="59"/>
      <c r="C1542" s="59"/>
      <c r="D1542" s="59"/>
      <c r="E1542" s="59"/>
      <c r="F1542" s="59"/>
      <c r="G1542" s="59"/>
      <c r="H1542" s="82"/>
      <c r="I1542" s="59"/>
    </row>
    <row r="1543">
      <c r="A1543" s="59"/>
      <c r="B1543" s="59"/>
      <c r="C1543" s="59"/>
      <c r="D1543" s="59"/>
      <c r="E1543" s="59"/>
      <c r="F1543" s="59"/>
      <c r="G1543" s="59"/>
      <c r="H1543" s="82"/>
      <c r="I1543" s="59"/>
    </row>
    <row r="1544">
      <c r="A1544" s="59"/>
      <c r="B1544" s="59"/>
      <c r="C1544" s="59"/>
      <c r="D1544" s="59"/>
      <c r="E1544" s="59"/>
      <c r="F1544" s="59"/>
      <c r="G1544" s="59"/>
      <c r="H1544" s="82"/>
      <c r="I1544" s="59"/>
    </row>
    <row r="1545">
      <c r="A1545" s="59"/>
      <c r="B1545" s="59"/>
      <c r="C1545" s="59"/>
      <c r="D1545" s="59"/>
      <c r="E1545" s="59"/>
      <c r="F1545" s="59"/>
      <c r="G1545" s="59"/>
      <c r="H1545" s="82"/>
      <c r="I1545" s="59"/>
    </row>
    <row r="1546">
      <c r="A1546" s="59"/>
      <c r="B1546" s="59"/>
      <c r="C1546" s="59"/>
      <c r="D1546" s="59"/>
      <c r="E1546" s="59"/>
      <c r="F1546" s="59"/>
      <c r="G1546" s="59"/>
      <c r="H1546" s="82"/>
      <c r="I1546" s="59"/>
    </row>
    <row r="1547">
      <c r="A1547" s="59"/>
      <c r="B1547" s="59"/>
      <c r="C1547" s="59"/>
      <c r="D1547" s="59"/>
      <c r="E1547" s="59"/>
      <c r="F1547" s="59"/>
      <c r="G1547" s="59"/>
      <c r="H1547" s="82"/>
      <c r="I1547" s="59"/>
    </row>
    <row r="1548">
      <c r="A1548" s="59"/>
      <c r="B1548" s="59"/>
      <c r="C1548" s="59"/>
      <c r="D1548" s="59"/>
      <c r="E1548" s="59"/>
      <c r="F1548" s="59"/>
      <c r="G1548" s="59"/>
      <c r="H1548" s="82"/>
      <c r="I1548" s="59"/>
    </row>
    <row r="1549">
      <c r="A1549" s="59"/>
      <c r="B1549" s="59"/>
      <c r="C1549" s="59"/>
      <c r="D1549" s="59"/>
      <c r="E1549" s="59"/>
      <c r="F1549" s="59"/>
      <c r="G1549" s="59"/>
      <c r="H1549" s="82"/>
      <c r="I1549" s="59"/>
    </row>
    <row r="1550">
      <c r="A1550" s="59"/>
      <c r="B1550" s="59"/>
      <c r="C1550" s="59"/>
      <c r="D1550" s="59"/>
      <c r="E1550" s="59"/>
      <c r="F1550" s="59"/>
      <c r="G1550" s="59"/>
      <c r="H1550" s="82"/>
      <c r="I1550" s="59"/>
    </row>
    <row r="1551">
      <c r="A1551" s="59"/>
      <c r="B1551" s="59"/>
      <c r="C1551" s="59"/>
      <c r="D1551" s="59"/>
      <c r="E1551" s="59"/>
      <c r="F1551" s="59"/>
      <c r="G1551" s="59"/>
      <c r="H1551" s="82"/>
      <c r="I1551" s="59"/>
    </row>
    <row r="1552">
      <c r="A1552" s="59"/>
      <c r="B1552" s="59"/>
      <c r="C1552" s="59"/>
      <c r="D1552" s="59"/>
      <c r="E1552" s="59"/>
      <c r="F1552" s="59"/>
      <c r="G1552" s="59"/>
      <c r="H1552" s="82"/>
      <c r="I1552" s="59"/>
    </row>
    <row r="1553">
      <c r="A1553" s="59"/>
      <c r="B1553" s="59"/>
      <c r="C1553" s="59"/>
      <c r="D1553" s="59"/>
      <c r="E1553" s="59"/>
      <c r="F1553" s="59"/>
      <c r="G1553" s="59"/>
      <c r="H1553" s="82"/>
      <c r="I1553" s="59"/>
    </row>
    <row r="1554">
      <c r="A1554" s="59"/>
      <c r="B1554" s="59"/>
      <c r="C1554" s="59"/>
      <c r="D1554" s="59"/>
      <c r="E1554" s="59"/>
      <c r="F1554" s="59"/>
      <c r="G1554" s="59"/>
      <c r="H1554" s="82"/>
      <c r="I1554" s="59"/>
    </row>
    <row r="1555">
      <c r="A1555" s="59"/>
      <c r="B1555" s="59"/>
      <c r="C1555" s="59"/>
      <c r="D1555" s="59"/>
      <c r="E1555" s="59"/>
      <c r="F1555" s="59"/>
      <c r="G1555" s="59"/>
      <c r="H1555" s="82"/>
      <c r="I1555" s="59"/>
    </row>
    <row r="1556">
      <c r="A1556" s="59"/>
      <c r="B1556" s="59"/>
      <c r="C1556" s="59"/>
      <c r="D1556" s="59"/>
      <c r="E1556" s="59"/>
      <c r="F1556" s="59"/>
      <c r="G1556" s="59"/>
      <c r="H1556" s="82"/>
      <c r="I1556" s="59"/>
    </row>
    <row r="1557">
      <c r="A1557" s="59"/>
      <c r="B1557" s="59"/>
      <c r="C1557" s="59"/>
      <c r="D1557" s="59"/>
      <c r="E1557" s="59"/>
      <c r="F1557" s="59"/>
      <c r="G1557" s="59"/>
      <c r="H1557" s="82"/>
      <c r="I1557" s="59"/>
    </row>
    <row r="1558">
      <c r="A1558" s="59"/>
      <c r="B1558" s="59"/>
      <c r="C1558" s="59"/>
      <c r="D1558" s="59"/>
      <c r="E1558" s="59"/>
      <c r="F1558" s="59"/>
      <c r="G1558" s="59"/>
      <c r="H1558" s="82"/>
      <c r="I1558" s="59"/>
    </row>
    <row r="1559">
      <c r="A1559" s="59"/>
      <c r="B1559" s="59"/>
      <c r="C1559" s="59"/>
      <c r="D1559" s="59"/>
      <c r="E1559" s="59"/>
      <c r="F1559" s="59"/>
      <c r="G1559" s="59"/>
      <c r="H1559" s="82"/>
      <c r="I1559" s="59"/>
    </row>
    <row r="1560">
      <c r="A1560" s="59"/>
      <c r="B1560" s="59"/>
      <c r="C1560" s="59"/>
      <c r="D1560" s="59"/>
      <c r="E1560" s="59"/>
      <c r="F1560" s="59"/>
      <c r="G1560" s="59"/>
      <c r="H1560" s="82"/>
      <c r="I1560" s="59"/>
    </row>
    <row r="1561">
      <c r="A1561" s="59"/>
      <c r="B1561" s="59"/>
      <c r="C1561" s="59"/>
      <c r="D1561" s="59"/>
      <c r="E1561" s="59"/>
      <c r="F1561" s="59"/>
      <c r="G1561" s="59"/>
      <c r="H1561" s="82"/>
      <c r="I1561" s="59"/>
    </row>
    <row r="1562">
      <c r="A1562" s="59"/>
      <c r="B1562" s="59"/>
      <c r="C1562" s="59"/>
      <c r="D1562" s="59"/>
      <c r="E1562" s="59"/>
      <c r="F1562" s="59"/>
      <c r="G1562" s="59"/>
      <c r="H1562" s="82"/>
      <c r="I1562" s="59"/>
    </row>
    <row r="1563">
      <c r="A1563" s="59"/>
      <c r="B1563" s="59"/>
      <c r="C1563" s="59"/>
      <c r="D1563" s="59"/>
      <c r="E1563" s="59"/>
      <c r="F1563" s="59"/>
      <c r="G1563" s="59"/>
      <c r="H1563" s="82"/>
      <c r="I1563" s="59"/>
    </row>
    <row r="1564">
      <c r="A1564" s="59"/>
      <c r="B1564" s="59"/>
      <c r="C1564" s="59"/>
      <c r="D1564" s="59"/>
      <c r="E1564" s="59"/>
      <c r="F1564" s="59"/>
      <c r="G1564" s="59"/>
      <c r="H1564" s="82"/>
      <c r="I1564" s="59"/>
    </row>
    <row r="1565">
      <c r="A1565" s="59"/>
      <c r="B1565" s="59"/>
      <c r="C1565" s="59"/>
      <c r="D1565" s="59"/>
      <c r="E1565" s="59"/>
      <c r="F1565" s="59"/>
      <c r="G1565" s="59"/>
      <c r="H1565" s="82"/>
      <c r="I1565" s="59"/>
    </row>
    <row r="1566">
      <c r="A1566" s="59"/>
      <c r="B1566" s="59"/>
      <c r="C1566" s="59"/>
      <c r="D1566" s="59"/>
      <c r="E1566" s="59"/>
      <c r="F1566" s="59"/>
      <c r="G1566" s="59"/>
      <c r="H1566" s="82"/>
      <c r="I1566" s="59"/>
    </row>
    <row r="1567">
      <c r="A1567" s="59"/>
      <c r="B1567" s="59"/>
      <c r="C1567" s="59"/>
      <c r="D1567" s="59"/>
      <c r="E1567" s="59"/>
      <c r="F1567" s="59"/>
      <c r="G1567" s="59"/>
      <c r="H1567" s="82"/>
      <c r="I1567" s="59"/>
    </row>
    <row r="1568">
      <c r="A1568" s="59"/>
      <c r="B1568" s="59"/>
      <c r="C1568" s="59"/>
      <c r="D1568" s="59"/>
      <c r="E1568" s="59"/>
      <c r="F1568" s="59"/>
      <c r="G1568" s="59"/>
      <c r="H1568" s="82"/>
      <c r="I1568" s="59"/>
    </row>
    <row r="1569">
      <c r="A1569" s="59"/>
      <c r="B1569" s="59"/>
      <c r="C1569" s="59"/>
      <c r="D1569" s="59"/>
      <c r="E1569" s="59"/>
      <c r="F1569" s="59"/>
      <c r="G1569" s="59"/>
      <c r="H1569" s="82"/>
      <c r="I1569" s="59"/>
    </row>
    <row r="1570">
      <c r="A1570" s="59"/>
      <c r="B1570" s="59"/>
      <c r="C1570" s="59"/>
      <c r="D1570" s="59"/>
      <c r="E1570" s="59"/>
      <c r="F1570" s="59"/>
      <c r="G1570" s="59"/>
      <c r="H1570" s="82"/>
      <c r="I1570" s="59"/>
    </row>
    <row r="1571">
      <c r="A1571" s="59"/>
      <c r="B1571" s="59"/>
      <c r="C1571" s="59"/>
      <c r="D1571" s="59"/>
      <c r="E1571" s="59"/>
      <c r="F1571" s="59"/>
      <c r="G1571" s="59"/>
      <c r="H1571" s="82"/>
      <c r="I1571" s="59"/>
    </row>
    <row r="1572">
      <c r="A1572" s="59"/>
      <c r="B1572" s="59"/>
      <c r="C1572" s="59"/>
      <c r="D1572" s="59"/>
      <c r="E1572" s="59"/>
      <c r="F1572" s="59"/>
      <c r="G1572" s="59"/>
      <c r="H1572" s="82"/>
      <c r="I1572" s="59"/>
    </row>
    <row r="1573">
      <c r="A1573" s="59"/>
      <c r="B1573" s="59"/>
      <c r="C1573" s="59"/>
      <c r="D1573" s="59"/>
      <c r="E1573" s="59"/>
      <c r="F1573" s="59"/>
      <c r="G1573" s="59"/>
      <c r="H1573" s="82"/>
      <c r="I1573" s="59"/>
    </row>
    <row r="1574">
      <c r="A1574" s="59"/>
      <c r="B1574" s="59"/>
      <c r="C1574" s="59"/>
      <c r="D1574" s="59"/>
      <c r="E1574" s="59"/>
      <c r="F1574" s="59"/>
      <c r="G1574" s="59"/>
      <c r="H1574" s="82"/>
      <c r="I1574" s="59"/>
    </row>
    <row r="1575">
      <c r="A1575" s="59"/>
      <c r="B1575" s="59"/>
      <c r="C1575" s="59"/>
      <c r="D1575" s="59"/>
      <c r="E1575" s="59"/>
      <c r="F1575" s="59"/>
      <c r="G1575" s="59"/>
      <c r="H1575" s="82"/>
      <c r="I1575" s="59"/>
    </row>
    <row r="1576">
      <c r="A1576" s="59"/>
      <c r="B1576" s="59"/>
      <c r="C1576" s="59"/>
      <c r="D1576" s="59"/>
      <c r="E1576" s="59"/>
      <c r="F1576" s="59"/>
      <c r="G1576" s="59"/>
      <c r="H1576" s="82"/>
      <c r="I1576" s="59"/>
    </row>
    <row r="1577">
      <c r="A1577" s="59"/>
      <c r="B1577" s="59"/>
      <c r="C1577" s="59"/>
      <c r="D1577" s="59"/>
      <c r="E1577" s="59"/>
      <c r="F1577" s="59"/>
      <c r="G1577" s="59"/>
      <c r="H1577" s="82"/>
      <c r="I1577" s="59"/>
    </row>
    <row r="1578">
      <c r="A1578" s="59"/>
      <c r="B1578" s="59"/>
      <c r="C1578" s="59"/>
      <c r="D1578" s="59"/>
      <c r="E1578" s="59"/>
      <c r="F1578" s="59"/>
      <c r="G1578" s="59"/>
      <c r="H1578" s="82"/>
      <c r="I1578" s="59"/>
    </row>
    <row r="1579">
      <c r="A1579" s="59"/>
      <c r="B1579" s="59"/>
      <c r="C1579" s="59"/>
      <c r="D1579" s="59"/>
      <c r="E1579" s="59"/>
      <c r="F1579" s="59"/>
      <c r="G1579" s="59"/>
      <c r="H1579" s="82"/>
      <c r="I1579" s="59"/>
    </row>
    <row r="1580">
      <c r="A1580" s="59"/>
      <c r="B1580" s="59"/>
      <c r="C1580" s="59"/>
      <c r="D1580" s="59"/>
      <c r="E1580" s="59"/>
      <c r="F1580" s="59"/>
      <c r="G1580" s="59"/>
      <c r="H1580" s="82"/>
      <c r="I1580" s="59"/>
    </row>
    <row r="1581">
      <c r="A1581" s="59"/>
      <c r="B1581" s="59"/>
      <c r="C1581" s="59"/>
      <c r="D1581" s="59"/>
      <c r="E1581" s="59"/>
      <c r="F1581" s="59"/>
      <c r="G1581" s="59"/>
      <c r="H1581" s="82"/>
      <c r="I1581" s="59"/>
    </row>
    <row r="1582">
      <c r="A1582" s="59"/>
      <c r="B1582" s="59"/>
      <c r="C1582" s="59"/>
      <c r="D1582" s="59"/>
      <c r="E1582" s="59"/>
      <c r="F1582" s="59"/>
      <c r="G1582" s="59"/>
      <c r="H1582" s="82"/>
      <c r="I1582" s="59"/>
    </row>
    <row r="1583">
      <c r="A1583" s="59"/>
      <c r="B1583" s="59"/>
      <c r="C1583" s="59"/>
      <c r="D1583" s="59"/>
      <c r="E1583" s="59"/>
      <c r="F1583" s="59"/>
      <c r="G1583" s="59"/>
      <c r="H1583" s="82"/>
      <c r="I1583" s="59"/>
    </row>
    <row r="1584">
      <c r="A1584" s="59"/>
      <c r="B1584" s="59"/>
      <c r="C1584" s="59"/>
      <c r="D1584" s="59"/>
      <c r="E1584" s="59"/>
      <c r="F1584" s="59"/>
      <c r="G1584" s="59"/>
      <c r="H1584" s="82"/>
      <c r="I1584" s="59"/>
    </row>
    <row r="1585">
      <c r="A1585" s="59"/>
      <c r="B1585" s="59"/>
      <c r="C1585" s="59"/>
      <c r="D1585" s="59"/>
      <c r="E1585" s="59"/>
      <c r="F1585" s="59"/>
      <c r="G1585" s="59"/>
      <c r="H1585" s="82"/>
      <c r="I1585" s="59"/>
    </row>
    <row r="1586">
      <c r="A1586" s="59"/>
      <c r="B1586" s="59"/>
      <c r="C1586" s="59"/>
      <c r="D1586" s="59"/>
      <c r="E1586" s="59"/>
      <c r="F1586" s="59"/>
      <c r="G1586" s="59"/>
      <c r="H1586" s="82"/>
      <c r="I1586" s="59"/>
    </row>
    <row r="1587">
      <c r="A1587" s="59"/>
      <c r="B1587" s="59"/>
      <c r="C1587" s="59"/>
      <c r="D1587" s="59"/>
      <c r="E1587" s="59"/>
      <c r="F1587" s="59"/>
      <c r="G1587" s="59"/>
      <c r="H1587" s="82"/>
      <c r="I1587" s="59"/>
    </row>
    <row r="1588">
      <c r="A1588" s="59"/>
      <c r="B1588" s="59"/>
      <c r="C1588" s="59"/>
      <c r="D1588" s="59"/>
      <c r="E1588" s="59"/>
      <c r="F1588" s="59"/>
      <c r="G1588" s="59"/>
      <c r="H1588" s="82"/>
      <c r="I1588" s="59"/>
    </row>
    <row r="1589">
      <c r="A1589" s="59"/>
      <c r="B1589" s="59"/>
      <c r="C1589" s="59"/>
      <c r="D1589" s="59"/>
      <c r="E1589" s="59"/>
      <c r="F1589" s="59"/>
      <c r="G1589" s="59"/>
      <c r="H1589" s="82"/>
      <c r="I1589" s="59"/>
    </row>
    <row r="1590">
      <c r="A1590" s="59"/>
      <c r="B1590" s="59"/>
      <c r="C1590" s="59"/>
      <c r="D1590" s="59"/>
      <c r="E1590" s="59"/>
      <c r="F1590" s="59"/>
      <c r="G1590" s="59"/>
      <c r="H1590" s="82"/>
      <c r="I1590" s="59"/>
    </row>
    <row r="1591">
      <c r="A1591" s="59"/>
      <c r="B1591" s="59"/>
      <c r="C1591" s="59"/>
      <c r="D1591" s="59"/>
      <c r="E1591" s="59"/>
      <c r="F1591" s="59"/>
      <c r="G1591" s="59"/>
      <c r="H1591" s="82"/>
      <c r="I1591" s="59"/>
    </row>
    <row r="1592">
      <c r="A1592" s="59"/>
      <c r="B1592" s="59"/>
      <c r="C1592" s="59"/>
      <c r="D1592" s="59"/>
      <c r="E1592" s="59"/>
      <c r="F1592" s="59"/>
      <c r="G1592" s="59"/>
      <c r="H1592" s="82"/>
      <c r="I1592" s="59"/>
    </row>
    <row r="1593">
      <c r="A1593" s="59"/>
      <c r="B1593" s="59"/>
      <c r="C1593" s="59"/>
      <c r="D1593" s="59"/>
      <c r="E1593" s="59"/>
      <c r="F1593" s="59"/>
      <c r="G1593" s="59"/>
      <c r="H1593" s="82"/>
      <c r="I1593" s="59"/>
    </row>
    <row r="1594">
      <c r="A1594" s="59"/>
      <c r="B1594" s="59"/>
      <c r="C1594" s="59"/>
      <c r="D1594" s="59"/>
      <c r="E1594" s="59"/>
      <c r="F1594" s="59"/>
      <c r="G1594" s="59"/>
      <c r="H1594" s="82"/>
      <c r="I1594" s="59"/>
    </row>
    <row r="1595">
      <c r="A1595" s="59"/>
      <c r="B1595" s="59"/>
      <c r="C1595" s="59"/>
      <c r="D1595" s="59"/>
      <c r="E1595" s="59"/>
      <c r="F1595" s="59"/>
      <c r="G1595" s="59"/>
      <c r="H1595" s="82"/>
      <c r="I1595" s="59"/>
    </row>
    <row r="1596">
      <c r="A1596" s="59"/>
      <c r="B1596" s="59"/>
      <c r="C1596" s="59"/>
      <c r="D1596" s="59"/>
      <c r="E1596" s="59"/>
      <c r="F1596" s="59"/>
      <c r="G1596" s="59"/>
      <c r="H1596" s="82"/>
      <c r="I1596" s="59"/>
    </row>
    <row r="1597">
      <c r="A1597" s="59"/>
      <c r="B1597" s="59"/>
      <c r="C1597" s="59"/>
      <c r="D1597" s="59"/>
      <c r="E1597" s="59"/>
      <c r="F1597" s="59"/>
      <c r="G1597" s="59"/>
      <c r="H1597" s="82"/>
      <c r="I1597" s="59"/>
    </row>
    <row r="1598">
      <c r="A1598" s="59"/>
      <c r="B1598" s="59"/>
      <c r="C1598" s="59"/>
      <c r="D1598" s="59"/>
      <c r="E1598" s="59"/>
      <c r="F1598" s="59"/>
      <c r="G1598" s="59"/>
      <c r="H1598" s="82"/>
      <c r="I1598" s="59"/>
    </row>
    <row r="1599">
      <c r="A1599" s="59"/>
      <c r="B1599" s="59"/>
      <c r="C1599" s="59"/>
      <c r="D1599" s="59"/>
      <c r="E1599" s="59"/>
      <c r="F1599" s="59"/>
      <c r="G1599" s="59"/>
      <c r="H1599" s="82"/>
      <c r="I1599" s="59"/>
    </row>
    <row r="1600">
      <c r="A1600" s="59"/>
      <c r="B1600" s="59"/>
      <c r="C1600" s="59"/>
      <c r="D1600" s="59"/>
      <c r="E1600" s="59"/>
      <c r="F1600" s="59"/>
      <c r="G1600" s="59"/>
      <c r="H1600" s="82"/>
      <c r="I1600" s="59"/>
    </row>
    <row r="1601">
      <c r="A1601" s="59"/>
      <c r="B1601" s="59"/>
      <c r="C1601" s="59"/>
      <c r="D1601" s="59"/>
      <c r="E1601" s="59"/>
      <c r="F1601" s="59"/>
      <c r="G1601" s="59"/>
      <c r="H1601" s="82"/>
      <c r="I1601" s="59"/>
    </row>
    <row r="1602">
      <c r="A1602" s="59"/>
      <c r="B1602" s="59"/>
      <c r="C1602" s="59"/>
      <c r="D1602" s="59"/>
      <c r="E1602" s="59"/>
      <c r="F1602" s="59"/>
      <c r="G1602" s="59"/>
      <c r="H1602" s="82"/>
      <c r="I1602" s="59"/>
    </row>
    <row r="1603">
      <c r="A1603" s="59"/>
      <c r="B1603" s="59"/>
      <c r="C1603" s="59"/>
      <c r="D1603" s="59"/>
      <c r="E1603" s="59"/>
      <c r="F1603" s="59"/>
      <c r="G1603" s="59"/>
      <c r="H1603" s="82"/>
      <c r="I1603" s="59"/>
    </row>
    <row r="1604">
      <c r="A1604" s="59"/>
      <c r="B1604" s="59"/>
      <c r="C1604" s="59"/>
      <c r="D1604" s="59"/>
      <c r="E1604" s="59"/>
      <c r="F1604" s="59"/>
      <c r="G1604" s="59"/>
      <c r="H1604" s="82"/>
      <c r="I1604" s="59"/>
    </row>
    <row r="1605">
      <c r="A1605" s="59"/>
      <c r="B1605" s="59"/>
      <c r="C1605" s="59"/>
      <c r="D1605" s="59"/>
      <c r="E1605" s="59"/>
      <c r="F1605" s="59"/>
      <c r="G1605" s="59"/>
      <c r="H1605" s="82"/>
      <c r="I1605" s="59"/>
    </row>
    <row r="1606">
      <c r="A1606" s="59"/>
      <c r="B1606" s="59"/>
      <c r="C1606" s="59"/>
      <c r="D1606" s="59"/>
      <c r="E1606" s="59"/>
      <c r="F1606" s="59"/>
      <c r="G1606" s="59"/>
      <c r="H1606" s="82"/>
      <c r="I1606" s="59"/>
    </row>
    <row r="1607">
      <c r="A1607" s="59"/>
      <c r="B1607" s="59"/>
      <c r="C1607" s="59"/>
      <c r="D1607" s="59"/>
      <c r="E1607" s="59"/>
      <c r="F1607" s="59"/>
      <c r="G1607" s="59"/>
      <c r="H1607" s="82"/>
      <c r="I1607" s="59"/>
    </row>
    <row r="1608">
      <c r="A1608" s="59"/>
      <c r="B1608" s="59"/>
      <c r="C1608" s="59"/>
      <c r="D1608" s="59"/>
      <c r="E1608" s="59"/>
      <c r="F1608" s="59"/>
      <c r="G1608" s="59"/>
      <c r="H1608" s="82"/>
      <c r="I1608" s="59"/>
    </row>
    <row r="1609">
      <c r="A1609" s="59"/>
      <c r="B1609" s="59"/>
      <c r="C1609" s="59"/>
      <c r="D1609" s="59"/>
      <c r="E1609" s="59"/>
      <c r="F1609" s="59"/>
      <c r="G1609" s="59"/>
      <c r="H1609" s="82"/>
      <c r="I1609" s="59"/>
    </row>
    <row r="1610">
      <c r="A1610" s="59"/>
      <c r="B1610" s="59"/>
      <c r="C1610" s="59"/>
      <c r="D1610" s="59"/>
      <c r="E1610" s="59"/>
      <c r="F1610" s="59"/>
      <c r="G1610" s="59"/>
      <c r="H1610" s="82"/>
      <c r="I1610" s="59"/>
    </row>
    <row r="1611">
      <c r="A1611" s="59"/>
      <c r="B1611" s="59"/>
      <c r="C1611" s="59"/>
      <c r="D1611" s="59"/>
      <c r="E1611" s="59"/>
      <c r="F1611" s="59"/>
      <c r="G1611" s="59"/>
      <c r="H1611" s="82"/>
      <c r="I1611" s="59"/>
    </row>
    <row r="1612">
      <c r="A1612" s="59"/>
      <c r="B1612" s="59"/>
      <c r="C1612" s="59"/>
      <c r="D1612" s="59"/>
      <c r="E1612" s="59"/>
      <c r="F1612" s="59"/>
      <c r="G1612" s="59"/>
      <c r="H1612" s="82"/>
      <c r="I1612" s="59"/>
    </row>
    <row r="1613">
      <c r="A1613" s="59"/>
      <c r="B1613" s="59"/>
      <c r="C1613" s="59"/>
      <c r="D1613" s="59"/>
      <c r="E1613" s="59"/>
      <c r="F1613" s="59"/>
      <c r="G1613" s="59"/>
      <c r="H1613" s="82"/>
      <c r="I1613" s="59"/>
    </row>
    <row r="1614">
      <c r="A1614" s="59"/>
      <c r="B1614" s="59"/>
      <c r="C1614" s="59"/>
      <c r="D1614" s="59"/>
      <c r="E1614" s="59"/>
      <c r="F1614" s="59"/>
      <c r="G1614" s="59"/>
      <c r="H1614" s="82"/>
      <c r="I1614" s="59"/>
    </row>
    <row r="1615">
      <c r="A1615" s="59"/>
      <c r="B1615" s="59"/>
      <c r="C1615" s="59"/>
      <c r="D1615" s="59"/>
      <c r="E1615" s="59"/>
      <c r="F1615" s="59"/>
      <c r="G1615" s="59"/>
      <c r="H1615" s="82"/>
      <c r="I1615" s="59"/>
    </row>
    <row r="1616">
      <c r="A1616" s="59"/>
      <c r="B1616" s="59"/>
      <c r="C1616" s="59"/>
      <c r="D1616" s="59"/>
      <c r="E1616" s="59"/>
      <c r="F1616" s="59"/>
      <c r="G1616" s="59"/>
      <c r="H1616" s="82"/>
      <c r="I1616" s="59"/>
    </row>
    <row r="1617">
      <c r="A1617" s="59"/>
      <c r="B1617" s="59"/>
      <c r="C1617" s="59"/>
      <c r="D1617" s="59"/>
      <c r="E1617" s="59"/>
      <c r="F1617" s="59"/>
      <c r="G1617" s="59"/>
      <c r="H1617" s="82"/>
      <c r="I1617" s="59"/>
    </row>
    <row r="1618">
      <c r="A1618" s="59"/>
      <c r="B1618" s="59"/>
      <c r="C1618" s="59"/>
      <c r="D1618" s="59"/>
      <c r="E1618" s="59"/>
      <c r="F1618" s="59"/>
      <c r="G1618" s="59"/>
      <c r="H1618" s="82"/>
      <c r="I1618" s="59"/>
    </row>
    <row r="1619">
      <c r="A1619" s="59"/>
      <c r="B1619" s="59"/>
      <c r="C1619" s="59"/>
      <c r="D1619" s="59"/>
      <c r="E1619" s="59"/>
      <c r="F1619" s="59"/>
      <c r="G1619" s="59"/>
      <c r="H1619" s="82"/>
      <c r="I1619" s="59"/>
    </row>
    <row r="1620">
      <c r="A1620" s="59"/>
      <c r="B1620" s="59"/>
      <c r="C1620" s="59"/>
      <c r="D1620" s="59"/>
      <c r="E1620" s="59"/>
      <c r="F1620" s="59"/>
      <c r="G1620" s="59"/>
      <c r="H1620" s="82"/>
      <c r="I1620" s="59"/>
    </row>
    <row r="1621">
      <c r="A1621" s="59"/>
      <c r="B1621" s="59"/>
      <c r="C1621" s="59"/>
      <c r="D1621" s="59"/>
      <c r="E1621" s="59"/>
      <c r="F1621" s="59"/>
      <c r="G1621" s="59"/>
      <c r="H1621" s="82"/>
      <c r="I1621" s="59"/>
    </row>
    <row r="1622">
      <c r="A1622" s="59"/>
      <c r="B1622" s="59"/>
      <c r="C1622" s="59"/>
      <c r="D1622" s="59"/>
      <c r="E1622" s="59"/>
      <c r="F1622" s="59"/>
      <c r="G1622" s="59"/>
      <c r="H1622" s="82"/>
      <c r="I1622" s="59"/>
    </row>
    <row r="1623">
      <c r="A1623" s="59"/>
      <c r="B1623" s="59"/>
      <c r="C1623" s="59"/>
      <c r="D1623" s="59"/>
      <c r="E1623" s="59"/>
      <c r="F1623" s="59"/>
      <c r="G1623" s="59"/>
      <c r="H1623" s="82"/>
      <c r="I1623" s="59"/>
    </row>
    <row r="1624">
      <c r="A1624" s="59"/>
      <c r="B1624" s="59"/>
      <c r="C1624" s="59"/>
      <c r="D1624" s="59"/>
      <c r="E1624" s="59"/>
      <c r="F1624" s="59"/>
      <c r="G1624" s="59"/>
      <c r="H1624" s="82"/>
      <c r="I1624" s="59"/>
    </row>
    <row r="1625">
      <c r="A1625" s="59"/>
      <c r="B1625" s="59"/>
      <c r="C1625" s="59"/>
      <c r="D1625" s="59"/>
      <c r="E1625" s="59"/>
      <c r="F1625" s="59"/>
      <c r="G1625" s="59"/>
      <c r="H1625" s="82"/>
      <c r="I1625" s="59"/>
    </row>
    <row r="1626">
      <c r="A1626" s="59"/>
      <c r="B1626" s="59"/>
      <c r="C1626" s="59"/>
      <c r="D1626" s="59"/>
      <c r="E1626" s="59"/>
      <c r="F1626" s="59"/>
      <c r="G1626" s="59"/>
      <c r="H1626" s="82"/>
      <c r="I1626" s="59"/>
    </row>
    <row r="1627">
      <c r="A1627" s="59"/>
      <c r="B1627" s="59"/>
      <c r="C1627" s="59"/>
      <c r="D1627" s="59"/>
      <c r="E1627" s="59"/>
      <c r="F1627" s="59"/>
      <c r="G1627" s="59"/>
      <c r="H1627" s="82"/>
      <c r="I1627" s="59"/>
    </row>
    <row r="1628">
      <c r="A1628" s="59"/>
      <c r="B1628" s="59"/>
      <c r="C1628" s="59"/>
      <c r="D1628" s="59"/>
      <c r="E1628" s="59"/>
      <c r="F1628" s="59"/>
      <c r="G1628" s="59"/>
      <c r="H1628" s="82"/>
      <c r="I1628" s="59"/>
    </row>
    <row r="1629">
      <c r="A1629" s="59"/>
      <c r="B1629" s="59"/>
      <c r="C1629" s="59"/>
      <c r="D1629" s="59"/>
      <c r="E1629" s="59"/>
      <c r="F1629" s="59"/>
      <c r="G1629" s="59"/>
      <c r="H1629" s="82"/>
      <c r="I1629" s="59"/>
    </row>
    <row r="1630">
      <c r="A1630" s="59"/>
      <c r="B1630" s="59"/>
      <c r="C1630" s="59"/>
      <c r="D1630" s="59"/>
      <c r="E1630" s="59"/>
      <c r="F1630" s="59"/>
      <c r="G1630" s="59"/>
      <c r="H1630" s="82"/>
      <c r="I1630" s="59"/>
    </row>
    <row r="1631">
      <c r="A1631" s="59"/>
      <c r="B1631" s="59"/>
      <c r="C1631" s="59"/>
      <c r="D1631" s="59"/>
      <c r="E1631" s="59"/>
      <c r="F1631" s="59"/>
      <c r="G1631" s="59"/>
      <c r="H1631" s="82"/>
      <c r="I1631" s="59"/>
    </row>
    <row r="1632">
      <c r="A1632" s="59"/>
      <c r="B1632" s="59"/>
      <c r="C1632" s="59"/>
      <c r="D1632" s="59"/>
      <c r="E1632" s="59"/>
      <c r="F1632" s="59"/>
      <c r="G1632" s="59"/>
      <c r="H1632" s="82"/>
      <c r="I1632" s="59"/>
    </row>
    <row r="1633">
      <c r="A1633" s="59"/>
      <c r="B1633" s="59"/>
      <c r="C1633" s="59"/>
      <c r="D1633" s="59"/>
      <c r="E1633" s="59"/>
      <c r="F1633" s="59"/>
      <c r="G1633" s="59"/>
      <c r="H1633" s="82"/>
      <c r="I1633" s="59"/>
    </row>
    <row r="1634">
      <c r="A1634" s="59"/>
      <c r="B1634" s="59"/>
      <c r="C1634" s="59"/>
      <c r="D1634" s="59"/>
      <c r="E1634" s="59"/>
      <c r="F1634" s="59"/>
      <c r="G1634" s="59"/>
      <c r="H1634" s="82"/>
      <c r="I1634" s="59"/>
    </row>
    <row r="1635">
      <c r="A1635" s="59"/>
      <c r="B1635" s="59"/>
      <c r="C1635" s="59"/>
      <c r="D1635" s="59"/>
      <c r="E1635" s="59"/>
      <c r="F1635" s="59"/>
      <c r="G1635" s="59"/>
      <c r="H1635" s="82"/>
      <c r="I1635" s="59"/>
    </row>
    <row r="1636">
      <c r="A1636" s="59"/>
      <c r="B1636" s="59"/>
      <c r="C1636" s="59"/>
      <c r="D1636" s="59"/>
      <c r="E1636" s="59"/>
      <c r="F1636" s="59"/>
      <c r="G1636" s="59"/>
      <c r="H1636" s="82"/>
      <c r="I1636" s="59"/>
    </row>
    <row r="1637">
      <c r="A1637" s="59"/>
      <c r="B1637" s="59"/>
      <c r="C1637" s="59"/>
      <c r="D1637" s="59"/>
      <c r="E1637" s="59"/>
      <c r="F1637" s="59"/>
      <c r="G1637" s="59"/>
      <c r="H1637" s="82"/>
      <c r="I1637" s="59"/>
    </row>
    <row r="1638">
      <c r="A1638" s="59"/>
      <c r="B1638" s="59"/>
      <c r="C1638" s="59"/>
      <c r="D1638" s="59"/>
      <c r="E1638" s="59"/>
      <c r="F1638" s="59"/>
      <c r="G1638" s="59"/>
      <c r="H1638" s="82"/>
      <c r="I1638" s="59"/>
    </row>
    <row r="1639">
      <c r="A1639" s="59"/>
      <c r="B1639" s="59"/>
      <c r="C1639" s="59"/>
      <c r="D1639" s="59"/>
      <c r="E1639" s="59"/>
      <c r="F1639" s="59"/>
      <c r="G1639" s="59"/>
      <c r="H1639" s="82"/>
      <c r="I1639" s="59"/>
    </row>
    <row r="1640">
      <c r="A1640" s="59"/>
      <c r="B1640" s="59"/>
      <c r="C1640" s="59"/>
      <c r="D1640" s="59"/>
      <c r="E1640" s="59"/>
      <c r="F1640" s="59"/>
      <c r="G1640" s="59"/>
      <c r="H1640" s="82"/>
      <c r="I1640" s="59"/>
    </row>
    <row r="1641">
      <c r="A1641" s="59"/>
      <c r="B1641" s="59"/>
      <c r="C1641" s="59"/>
      <c r="D1641" s="59"/>
      <c r="E1641" s="59"/>
      <c r="F1641" s="59"/>
      <c r="G1641" s="59"/>
      <c r="H1641" s="82"/>
      <c r="I1641" s="59"/>
    </row>
    <row r="1642">
      <c r="A1642" s="59"/>
      <c r="B1642" s="59"/>
      <c r="C1642" s="59"/>
      <c r="D1642" s="59"/>
      <c r="E1642" s="59"/>
      <c r="F1642" s="59"/>
      <c r="G1642" s="59"/>
      <c r="H1642" s="82"/>
      <c r="I1642" s="59"/>
    </row>
    <row r="1643">
      <c r="A1643" s="59"/>
      <c r="B1643" s="59"/>
      <c r="C1643" s="59"/>
      <c r="D1643" s="59"/>
      <c r="E1643" s="59"/>
      <c r="F1643" s="59"/>
      <c r="G1643" s="59"/>
      <c r="H1643" s="82"/>
      <c r="I1643" s="59"/>
    </row>
    <row r="1644">
      <c r="A1644" s="59"/>
      <c r="B1644" s="59"/>
      <c r="C1644" s="59"/>
      <c r="D1644" s="59"/>
      <c r="E1644" s="59"/>
      <c r="F1644" s="59"/>
      <c r="G1644" s="59"/>
      <c r="H1644" s="82"/>
      <c r="I1644" s="59"/>
    </row>
    <row r="1645">
      <c r="A1645" s="59"/>
      <c r="B1645" s="59"/>
      <c r="C1645" s="59"/>
      <c r="D1645" s="59"/>
      <c r="E1645" s="59"/>
      <c r="F1645" s="59"/>
      <c r="G1645" s="59"/>
      <c r="H1645" s="82"/>
      <c r="I1645" s="59"/>
    </row>
    <row r="1646">
      <c r="A1646" s="59"/>
      <c r="B1646" s="59"/>
      <c r="C1646" s="59"/>
      <c r="D1646" s="59"/>
      <c r="E1646" s="59"/>
      <c r="F1646" s="59"/>
      <c r="G1646" s="59"/>
      <c r="H1646" s="82"/>
      <c r="I1646" s="59"/>
    </row>
    <row r="1647">
      <c r="A1647" s="59"/>
      <c r="B1647" s="59"/>
      <c r="C1647" s="59"/>
      <c r="D1647" s="59"/>
      <c r="E1647" s="59"/>
      <c r="F1647" s="59"/>
      <c r="G1647" s="59"/>
      <c r="H1647" s="82"/>
      <c r="I1647" s="59"/>
    </row>
    <row r="1648">
      <c r="A1648" s="59"/>
      <c r="B1648" s="59"/>
      <c r="C1648" s="59"/>
      <c r="D1648" s="59"/>
      <c r="E1648" s="59"/>
      <c r="F1648" s="59"/>
      <c r="G1648" s="59"/>
      <c r="H1648" s="82"/>
      <c r="I1648" s="59"/>
    </row>
    <row r="1649">
      <c r="A1649" s="59"/>
      <c r="B1649" s="59"/>
      <c r="C1649" s="59"/>
      <c r="D1649" s="59"/>
      <c r="E1649" s="59"/>
      <c r="F1649" s="59"/>
      <c r="G1649" s="59"/>
      <c r="H1649" s="82"/>
      <c r="I1649" s="59"/>
    </row>
    <row r="1650">
      <c r="A1650" s="59"/>
      <c r="B1650" s="59"/>
      <c r="C1650" s="59"/>
      <c r="D1650" s="59"/>
      <c r="E1650" s="59"/>
      <c r="F1650" s="59"/>
      <c r="G1650" s="59"/>
      <c r="H1650" s="82"/>
      <c r="I1650" s="59"/>
    </row>
    <row r="1651">
      <c r="A1651" s="59"/>
      <c r="B1651" s="59"/>
      <c r="C1651" s="59"/>
      <c r="D1651" s="59"/>
      <c r="E1651" s="59"/>
      <c r="F1651" s="59"/>
      <c r="G1651" s="59"/>
      <c r="H1651" s="82"/>
      <c r="I1651" s="59"/>
    </row>
    <row r="1652">
      <c r="A1652" s="59"/>
      <c r="B1652" s="59"/>
      <c r="C1652" s="59"/>
      <c r="D1652" s="59"/>
      <c r="E1652" s="59"/>
      <c r="F1652" s="59"/>
      <c r="G1652" s="59"/>
      <c r="H1652" s="82"/>
      <c r="I1652" s="59"/>
    </row>
    <row r="1653">
      <c r="A1653" s="59"/>
      <c r="B1653" s="59"/>
      <c r="C1653" s="59"/>
      <c r="D1653" s="59"/>
      <c r="E1653" s="59"/>
      <c r="F1653" s="59"/>
      <c r="G1653" s="59"/>
      <c r="H1653" s="82"/>
      <c r="I1653" s="59"/>
    </row>
    <row r="1654">
      <c r="A1654" s="59"/>
      <c r="B1654" s="59"/>
      <c r="C1654" s="59"/>
      <c r="D1654" s="59"/>
      <c r="E1654" s="59"/>
      <c r="F1654" s="59"/>
      <c r="G1654" s="59"/>
      <c r="H1654" s="82"/>
      <c r="I1654" s="59"/>
    </row>
    <row r="1655">
      <c r="A1655" s="59"/>
      <c r="B1655" s="59"/>
      <c r="C1655" s="59"/>
      <c r="D1655" s="59"/>
      <c r="E1655" s="59"/>
      <c r="F1655" s="59"/>
      <c r="G1655" s="59"/>
      <c r="H1655" s="82"/>
      <c r="I1655" s="59"/>
    </row>
    <row r="1656">
      <c r="A1656" s="59"/>
      <c r="B1656" s="59"/>
      <c r="C1656" s="59"/>
      <c r="D1656" s="59"/>
      <c r="E1656" s="59"/>
      <c r="F1656" s="59"/>
      <c r="G1656" s="59"/>
      <c r="H1656" s="82"/>
      <c r="I1656" s="59"/>
    </row>
    <row r="1657">
      <c r="A1657" s="59"/>
      <c r="B1657" s="59"/>
      <c r="C1657" s="59"/>
      <c r="D1657" s="59"/>
      <c r="E1657" s="59"/>
      <c r="F1657" s="59"/>
      <c r="G1657" s="59"/>
      <c r="H1657" s="82"/>
      <c r="I1657" s="59"/>
    </row>
    <row r="1658">
      <c r="A1658" s="59"/>
      <c r="B1658" s="59"/>
      <c r="C1658" s="59"/>
      <c r="D1658" s="59"/>
      <c r="E1658" s="59"/>
      <c r="F1658" s="59"/>
      <c r="G1658" s="59"/>
      <c r="H1658" s="82"/>
      <c r="I1658" s="59"/>
    </row>
    <row r="1659">
      <c r="A1659" s="59"/>
      <c r="B1659" s="59"/>
      <c r="C1659" s="59"/>
      <c r="D1659" s="59"/>
      <c r="E1659" s="59"/>
      <c r="F1659" s="59"/>
      <c r="G1659" s="59"/>
      <c r="H1659" s="82"/>
      <c r="I1659" s="59"/>
    </row>
    <row r="1660">
      <c r="A1660" s="59"/>
      <c r="B1660" s="59"/>
      <c r="C1660" s="59"/>
      <c r="D1660" s="59"/>
      <c r="E1660" s="59"/>
      <c r="F1660" s="59"/>
      <c r="G1660" s="59"/>
      <c r="H1660" s="82"/>
      <c r="I1660" s="59"/>
    </row>
    <row r="1661">
      <c r="A1661" s="59"/>
      <c r="B1661" s="59"/>
      <c r="C1661" s="59"/>
      <c r="D1661" s="59"/>
      <c r="E1661" s="59"/>
      <c r="F1661" s="59"/>
      <c r="G1661" s="59"/>
      <c r="H1661" s="82"/>
      <c r="I1661" s="59"/>
    </row>
    <row r="1662">
      <c r="A1662" s="59"/>
      <c r="B1662" s="59"/>
      <c r="C1662" s="59"/>
      <c r="D1662" s="59"/>
      <c r="E1662" s="59"/>
      <c r="F1662" s="59"/>
      <c r="G1662" s="59"/>
      <c r="H1662" s="82"/>
      <c r="I1662" s="59"/>
    </row>
    <row r="1663">
      <c r="A1663" s="59"/>
      <c r="B1663" s="59"/>
      <c r="C1663" s="59"/>
      <c r="D1663" s="59"/>
      <c r="E1663" s="59"/>
      <c r="F1663" s="59"/>
      <c r="G1663" s="59"/>
      <c r="H1663" s="82"/>
      <c r="I1663" s="59"/>
    </row>
    <row r="1664">
      <c r="A1664" s="59"/>
      <c r="B1664" s="59"/>
      <c r="C1664" s="59"/>
      <c r="D1664" s="59"/>
      <c r="E1664" s="59"/>
      <c r="F1664" s="59"/>
      <c r="G1664" s="59"/>
      <c r="H1664" s="82"/>
      <c r="I1664" s="59"/>
    </row>
    <row r="1665">
      <c r="A1665" s="59"/>
      <c r="B1665" s="59"/>
      <c r="C1665" s="59"/>
      <c r="D1665" s="59"/>
      <c r="E1665" s="59"/>
      <c r="F1665" s="59"/>
      <c r="G1665" s="59"/>
      <c r="H1665" s="82"/>
      <c r="I1665" s="59"/>
    </row>
    <row r="1666">
      <c r="A1666" s="59"/>
      <c r="B1666" s="59"/>
      <c r="C1666" s="59"/>
      <c r="D1666" s="59"/>
      <c r="E1666" s="59"/>
      <c r="F1666" s="59"/>
      <c r="G1666" s="59"/>
      <c r="H1666" s="82"/>
      <c r="I1666" s="59"/>
    </row>
    <row r="1667">
      <c r="A1667" s="59"/>
      <c r="B1667" s="59"/>
      <c r="C1667" s="59"/>
      <c r="D1667" s="59"/>
      <c r="E1667" s="59"/>
      <c r="F1667" s="59"/>
      <c r="G1667" s="59"/>
      <c r="H1667" s="82"/>
      <c r="I1667" s="59"/>
    </row>
    <row r="1668">
      <c r="A1668" s="59"/>
      <c r="B1668" s="59"/>
      <c r="C1668" s="59"/>
      <c r="D1668" s="59"/>
      <c r="E1668" s="59"/>
      <c r="F1668" s="59"/>
      <c r="G1668" s="59"/>
      <c r="H1668" s="82"/>
      <c r="I1668" s="59"/>
    </row>
    <row r="1669">
      <c r="A1669" s="59"/>
      <c r="B1669" s="59"/>
      <c r="C1669" s="59"/>
      <c r="D1669" s="59"/>
      <c r="E1669" s="59"/>
      <c r="F1669" s="59"/>
      <c r="G1669" s="59"/>
      <c r="H1669" s="82"/>
      <c r="I1669" s="59"/>
    </row>
    <row r="1670">
      <c r="A1670" s="59"/>
      <c r="B1670" s="59"/>
      <c r="C1670" s="59"/>
      <c r="D1670" s="59"/>
      <c r="E1670" s="59"/>
      <c r="F1670" s="59"/>
      <c r="G1670" s="59"/>
      <c r="H1670" s="82"/>
      <c r="I1670" s="59"/>
    </row>
    <row r="1671">
      <c r="A1671" s="59"/>
      <c r="B1671" s="59"/>
      <c r="C1671" s="59"/>
      <c r="D1671" s="59"/>
      <c r="E1671" s="59"/>
      <c r="F1671" s="59"/>
      <c r="G1671" s="59"/>
      <c r="H1671" s="82"/>
      <c r="I1671" s="59"/>
    </row>
    <row r="1672">
      <c r="A1672" s="59"/>
      <c r="B1672" s="59"/>
      <c r="C1672" s="59"/>
      <c r="D1672" s="59"/>
      <c r="E1672" s="59"/>
      <c r="F1672" s="59"/>
      <c r="G1672" s="59"/>
      <c r="H1672" s="82"/>
      <c r="I1672" s="59"/>
    </row>
    <row r="1673">
      <c r="A1673" s="59"/>
      <c r="B1673" s="59"/>
      <c r="C1673" s="59"/>
      <c r="D1673" s="59"/>
      <c r="E1673" s="59"/>
      <c r="F1673" s="59"/>
      <c r="G1673" s="59"/>
      <c r="H1673" s="82"/>
      <c r="I1673" s="59"/>
    </row>
    <row r="1674">
      <c r="A1674" s="59"/>
      <c r="B1674" s="59"/>
      <c r="C1674" s="59"/>
      <c r="D1674" s="59"/>
      <c r="E1674" s="59"/>
      <c r="F1674" s="59"/>
      <c r="G1674" s="59"/>
      <c r="H1674" s="82"/>
      <c r="I1674" s="59"/>
    </row>
    <row r="1675">
      <c r="A1675" s="59"/>
      <c r="B1675" s="59"/>
      <c r="C1675" s="59"/>
      <c r="D1675" s="59"/>
      <c r="E1675" s="59"/>
      <c r="F1675" s="59"/>
      <c r="G1675" s="59"/>
      <c r="H1675" s="82"/>
      <c r="I1675" s="59"/>
    </row>
    <row r="1676">
      <c r="A1676" s="59"/>
      <c r="B1676" s="59"/>
      <c r="C1676" s="59"/>
      <c r="D1676" s="59"/>
      <c r="E1676" s="59"/>
      <c r="F1676" s="59"/>
      <c r="G1676" s="59"/>
      <c r="H1676" s="82"/>
      <c r="I1676" s="59"/>
    </row>
    <row r="1677">
      <c r="A1677" s="59"/>
      <c r="B1677" s="59"/>
      <c r="C1677" s="59"/>
      <c r="D1677" s="59"/>
      <c r="E1677" s="59"/>
      <c r="F1677" s="59"/>
      <c r="G1677" s="59"/>
      <c r="H1677" s="82"/>
      <c r="I1677" s="59"/>
    </row>
    <row r="1678">
      <c r="A1678" s="59"/>
      <c r="B1678" s="59"/>
      <c r="C1678" s="59"/>
      <c r="D1678" s="59"/>
      <c r="E1678" s="59"/>
      <c r="F1678" s="59"/>
      <c r="G1678" s="59"/>
      <c r="H1678" s="82"/>
      <c r="I1678" s="59"/>
    </row>
    <row r="1679">
      <c r="A1679" s="59"/>
      <c r="B1679" s="59"/>
      <c r="C1679" s="59"/>
      <c r="D1679" s="59"/>
      <c r="E1679" s="59"/>
      <c r="F1679" s="59"/>
      <c r="G1679" s="59"/>
      <c r="H1679" s="82"/>
      <c r="I1679" s="59"/>
    </row>
    <row r="1680">
      <c r="A1680" s="59"/>
      <c r="B1680" s="59"/>
      <c r="C1680" s="59"/>
      <c r="D1680" s="59"/>
      <c r="E1680" s="59"/>
      <c r="F1680" s="59"/>
      <c r="G1680" s="59"/>
      <c r="H1680" s="82"/>
      <c r="I1680" s="59"/>
    </row>
    <row r="1681">
      <c r="A1681" s="59"/>
      <c r="B1681" s="59"/>
      <c r="C1681" s="59"/>
      <c r="D1681" s="59"/>
      <c r="E1681" s="59"/>
      <c r="F1681" s="59"/>
      <c r="G1681" s="59"/>
      <c r="H1681" s="82"/>
      <c r="I1681" s="59"/>
    </row>
    <row r="1682">
      <c r="A1682" s="59"/>
      <c r="B1682" s="59"/>
      <c r="C1682" s="59"/>
      <c r="D1682" s="59"/>
      <c r="E1682" s="59"/>
      <c r="F1682" s="59"/>
      <c r="G1682" s="59"/>
      <c r="H1682" s="82"/>
      <c r="I1682" s="59"/>
    </row>
    <row r="1683">
      <c r="A1683" s="59"/>
      <c r="B1683" s="59"/>
      <c r="C1683" s="59"/>
      <c r="D1683" s="59"/>
      <c r="E1683" s="59"/>
      <c r="F1683" s="59"/>
      <c r="G1683" s="59"/>
      <c r="H1683" s="82"/>
      <c r="I1683" s="59"/>
    </row>
    <row r="1684">
      <c r="A1684" s="59"/>
      <c r="B1684" s="59"/>
      <c r="C1684" s="59"/>
      <c r="D1684" s="59"/>
      <c r="E1684" s="59"/>
      <c r="F1684" s="59"/>
      <c r="G1684" s="59"/>
      <c r="H1684" s="82"/>
      <c r="I1684" s="59"/>
    </row>
    <row r="1685">
      <c r="A1685" s="59"/>
      <c r="B1685" s="59"/>
      <c r="C1685" s="59"/>
      <c r="D1685" s="59"/>
      <c r="E1685" s="59"/>
      <c r="F1685" s="59"/>
      <c r="G1685" s="59"/>
      <c r="H1685" s="82"/>
      <c r="I1685" s="59"/>
    </row>
    <row r="1686">
      <c r="A1686" s="59"/>
      <c r="B1686" s="59"/>
      <c r="C1686" s="59"/>
      <c r="D1686" s="59"/>
      <c r="E1686" s="59"/>
      <c r="F1686" s="59"/>
      <c r="G1686" s="59"/>
      <c r="H1686" s="82"/>
      <c r="I1686" s="59"/>
    </row>
    <row r="1687">
      <c r="A1687" s="59"/>
      <c r="B1687" s="59"/>
      <c r="C1687" s="59"/>
      <c r="D1687" s="59"/>
      <c r="E1687" s="59"/>
      <c r="F1687" s="59"/>
      <c r="G1687" s="59"/>
      <c r="H1687" s="82"/>
      <c r="I1687" s="59"/>
    </row>
    <row r="1688">
      <c r="A1688" s="59"/>
      <c r="B1688" s="59"/>
      <c r="C1688" s="59"/>
      <c r="D1688" s="59"/>
      <c r="E1688" s="59"/>
      <c r="F1688" s="59"/>
      <c r="G1688" s="59"/>
      <c r="H1688" s="82"/>
      <c r="I1688" s="59"/>
    </row>
    <row r="1689">
      <c r="A1689" s="59"/>
      <c r="B1689" s="59"/>
      <c r="C1689" s="59"/>
      <c r="D1689" s="59"/>
      <c r="E1689" s="59"/>
      <c r="F1689" s="59"/>
      <c r="G1689" s="59"/>
      <c r="H1689" s="82"/>
      <c r="I1689" s="59"/>
    </row>
    <row r="1690">
      <c r="A1690" s="59"/>
      <c r="B1690" s="59"/>
      <c r="C1690" s="59"/>
      <c r="D1690" s="59"/>
      <c r="E1690" s="59"/>
      <c r="F1690" s="59"/>
      <c r="G1690" s="59"/>
      <c r="H1690" s="82"/>
      <c r="I1690" s="59"/>
    </row>
    <row r="1691">
      <c r="A1691" s="59"/>
      <c r="B1691" s="59"/>
      <c r="C1691" s="59"/>
      <c r="D1691" s="59"/>
      <c r="E1691" s="59"/>
      <c r="F1691" s="59"/>
      <c r="G1691" s="59"/>
      <c r="H1691" s="82"/>
      <c r="I1691" s="59"/>
    </row>
    <row r="1692">
      <c r="A1692" s="59"/>
      <c r="B1692" s="59"/>
      <c r="C1692" s="59"/>
      <c r="D1692" s="59"/>
      <c r="E1692" s="59"/>
      <c r="F1692" s="59"/>
      <c r="G1692" s="59"/>
      <c r="H1692" s="82"/>
      <c r="I1692" s="59"/>
    </row>
    <row r="1693">
      <c r="A1693" s="59"/>
      <c r="B1693" s="59"/>
      <c r="C1693" s="59"/>
      <c r="D1693" s="59"/>
      <c r="E1693" s="59"/>
      <c r="F1693" s="59"/>
      <c r="G1693" s="59"/>
      <c r="H1693" s="82"/>
      <c r="I1693" s="59"/>
    </row>
    <row r="1694">
      <c r="A1694" s="59"/>
      <c r="B1694" s="59"/>
      <c r="C1694" s="59"/>
      <c r="D1694" s="59"/>
      <c r="E1694" s="59"/>
      <c r="F1694" s="59"/>
      <c r="G1694" s="59"/>
      <c r="H1694" s="82"/>
      <c r="I1694" s="59"/>
    </row>
    <row r="1695">
      <c r="A1695" s="59"/>
      <c r="B1695" s="59"/>
      <c r="C1695" s="59"/>
      <c r="D1695" s="59"/>
      <c r="E1695" s="59"/>
      <c r="F1695" s="59"/>
      <c r="G1695" s="59"/>
      <c r="H1695" s="82"/>
      <c r="I1695" s="59"/>
    </row>
    <row r="1696">
      <c r="A1696" s="59"/>
      <c r="B1696" s="59"/>
      <c r="C1696" s="59"/>
      <c r="D1696" s="59"/>
      <c r="E1696" s="59"/>
      <c r="F1696" s="59"/>
      <c r="G1696" s="59"/>
      <c r="H1696" s="82"/>
      <c r="I1696" s="59"/>
    </row>
    <row r="1697">
      <c r="A1697" s="59"/>
      <c r="B1697" s="59"/>
      <c r="C1697" s="59"/>
      <c r="D1697" s="59"/>
      <c r="E1697" s="59"/>
      <c r="F1697" s="59"/>
      <c r="G1697" s="59"/>
      <c r="H1697" s="82"/>
      <c r="I1697" s="59"/>
    </row>
    <row r="1698">
      <c r="A1698" s="59"/>
      <c r="B1698" s="59"/>
      <c r="C1698" s="59"/>
      <c r="D1698" s="59"/>
      <c r="E1698" s="59"/>
      <c r="F1698" s="59"/>
      <c r="G1698" s="59"/>
      <c r="H1698" s="82"/>
      <c r="I1698" s="59"/>
    </row>
    <row r="1699">
      <c r="A1699" s="59"/>
      <c r="B1699" s="59"/>
      <c r="C1699" s="59"/>
      <c r="D1699" s="59"/>
      <c r="E1699" s="59"/>
      <c r="F1699" s="59"/>
      <c r="G1699" s="59"/>
      <c r="H1699" s="82"/>
      <c r="I1699" s="59"/>
    </row>
    <row r="1700">
      <c r="A1700" s="59"/>
      <c r="B1700" s="59"/>
      <c r="C1700" s="59"/>
      <c r="D1700" s="59"/>
      <c r="E1700" s="59"/>
      <c r="F1700" s="59"/>
      <c r="G1700" s="59"/>
      <c r="H1700" s="82"/>
      <c r="I1700" s="59"/>
    </row>
    <row r="1701">
      <c r="A1701" s="59"/>
      <c r="B1701" s="59"/>
      <c r="C1701" s="59"/>
      <c r="D1701" s="59"/>
      <c r="E1701" s="59"/>
      <c r="F1701" s="59"/>
      <c r="G1701" s="59"/>
      <c r="H1701" s="82"/>
      <c r="I1701" s="59"/>
    </row>
    <row r="1702">
      <c r="A1702" s="59"/>
      <c r="B1702" s="59"/>
      <c r="C1702" s="59"/>
      <c r="D1702" s="59"/>
      <c r="E1702" s="59"/>
      <c r="F1702" s="59"/>
      <c r="G1702" s="59"/>
      <c r="H1702" s="82"/>
      <c r="I1702" s="59"/>
    </row>
    <row r="1703">
      <c r="A1703" s="59"/>
      <c r="B1703" s="59"/>
      <c r="C1703" s="59"/>
      <c r="D1703" s="59"/>
      <c r="E1703" s="59"/>
      <c r="F1703" s="59"/>
      <c r="G1703" s="59"/>
      <c r="H1703" s="82"/>
      <c r="I1703" s="59"/>
    </row>
    <row r="1704">
      <c r="A1704" s="59"/>
      <c r="B1704" s="59"/>
      <c r="C1704" s="59"/>
      <c r="D1704" s="59"/>
      <c r="E1704" s="59"/>
      <c r="F1704" s="59"/>
      <c r="G1704" s="59"/>
      <c r="H1704" s="82"/>
      <c r="I1704" s="59"/>
    </row>
    <row r="1705">
      <c r="A1705" s="59"/>
      <c r="B1705" s="59"/>
      <c r="C1705" s="59"/>
      <c r="D1705" s="59"/>
      <c r="E1705" s="59"/>
      <c r="F1705" s="59"/>
      <c r="G1705" s="59"/>
      <c r="H1705" s="82"/>
      <c r="I1705" s="59"/>
    </row>
    <row r="1706">
      <c r="A1706" s="59"/>
      <c r="B1706" s="59"/>
      <c r="C1706" s="59"/>
      <c r="D1706" s="59"/>
      <c r="E1706" s="59"/>
      <c r="F1706" s="59"/>
      <c r="G1706" s="59"/>
      <c r="H1706" s="82"/>
      <c r="I1706" s="59"/>
    </row>
    <row r="1707">
      <c r="A1707" s="59"/>
      <c r="B1707" s="59"/>
      <c r="C1707" s="59"/>
      <c r="D1707" s="59"/>
      <c r="E1707" s="59"/>
      <c r="F1707" s="59"/>
      <c r="G1707" s="59"/>
      <c r="H1707" s="82"/>
      <c r="I1707" s="59"/>
    </row>
    <row r="1708">
      <c r="A1708" s="59"/>
      <c r="B1708" s="59"/>
      <c r="C1708" s="59"/>
      <c r="D1708" s="59"/>
      <c r="E1708" s="59"/>
      <c r="F1708" s="59"/>
      <c r="G1708" s="59"/>
      <c r="H1708" s="82"/>
      <c r="I1708" s="59"/>
    </row>
    <row r="1709">
      <c r="A1709" s="59"/>
      <c r="B1709" s="59"/>
      <c r="C1709" s="59"/>
      <c r="D1709" s="59"/>
      <c r="E1709" s="59"/>
      <c r="F1709" s="59"/>
      <c r="G1709" s="59"/>
      <c r="H1709" s="82"/>
      <c r="I1709" s="59"/>
    </row>
    <row r="1710">
      <c r="A1710" s="59"/>
      <c r="B1710" s="59"/>
      <c r="C1710" s="59"/>
      <c r="D1710" s="59"/>
      <c r="E1710" s="59"/>
      <c r="F1710" s="59"/>
      <c r="G1710" s="59"/>
      <c r="H1710" s="82"/>
      <c r="I1710" s="59"/>
    </row>
    <row r="1711">
      <c r="A1711" s="59"/>
      <c r="B1711" s="59"/>
      <c r="C1711" s="59"/>
      <c r="D1711" s="59"/>
      <c r="E1711" s="59"/>
      <c r="F1711" s="59"/>
      <c r="G1711" s="59"/>
      <c r="H1711" s="82"/>
      <c r="I1711" s="59"/>
    </row>
    <row r="1712">
      <c r="A1712" s="59"/>
      <c r="B1712" s="59"/>
      <c r="C1712" s="59"/>
      <c r="D1712" s="59"/>
      <c r="E1712" s="59"/>
      <c r="F1712" s="59"/>
      <c r="G1712" s="59"/>
      <c r="H1712" s="82"/>
      <c r="I1712" s="59"/>
    </row>
    <row r="1713">
      <c r="A1713" s="59"/>
      <c r="B1713" s="59"/>
      <c r="C1713" s="59"/>
      <c r="D1713" s="59"/>
      <c r="E1713" s="59"/>
      <c r="F1713" s="59"/>
      <c r="G1713" s="59"/>
      <c r="H1713" s="82"/>
      <c r="I1713" s="59"/>
    </row>
    <row r="1714">
      <c r="A1714" s="59"/>
      <c r="B1714" s="59"/>
      <c r="C1714" s="59"/>
      <c r="D1714" s="59"/>
      <c r="E1714" s="59"/>
      <c r="F1714" s="59"/>
      <c r="G1714" s="59"/>
      <c r="H1714" s="82"/>
      <c r="I1714" s="59"/>
    </row>
    <row r="1715">
      <c r="A1715" s="59"/>
      <c r="B1715" s="59"/>
      <c r="C1715" s="59"/>
      <c r="D1715" s="59"/>
      <c r="E1715" s="59"/>
      <c r="F1715" s="59"/>
      <c r="G1715" s="59"/>
      <c r="H1715" s="82"/>
      <c r="I1715" s="59"/>
    </row>
    <row r="1716">
      <c r="A1716" s="59"/>
      <c r="B1716" s="59"/>
      <c r="C1716" s="59"/>
      <c r="D1716" s="59"/>
      <c r="E1716" s="59"/>
      <c r="F1716" s="59"/>
      <c r="G1716" s="59"/>
      <c r="H1716" s="82"/>
      <c r="I1716" s="59"/>
    </row>
    <row r="1717">
      <c r="A1717" s="59"/>
      <c r="B1717" s="59"/>
      <c r="C1717" s="59"/>
      <c r="D1717" s="59"/>
      <c r="E1717" s="59"/>
      <c r="F1717" s="59"/>
      <c r="G1717" s="59"/>
      <c r="H1717" s="82"/>
      <c r="I1717" s="59"/>
    </row>
    <row r="1718">
      <c r="A1718" s="59"/>
      <c r="B1718" s="59"/>
      <c r="C1718" s="59"/>
      <c r="D1718" s="59"/>
      <c r="E1718" s="59"/>
      <c r="F1718" s="59"/>
      <c r="G1718" s="59"/>
      <c r="H1718" s="82"/>
      <c r="I1718" s="59"/>
    </row>
    <row r="1719">
      <c r="A1719" s="59"/>
      <c r="B1719" s="59"/>
      <c r="C1719" s="59"/>
      <c r="D1719" s="59"/>
      <c r="E1719" s="59"/>
      <c r="F1719" s="59"/>
      <c r="G1719" s="59"/>
      <c r="H1719" s="82"/>
      <c r="I1719" s="59"/>
    </row>
    <row r="1720">
      <c r="A1720" s="59"/>
      <c r="B1720" s="59"/>
      <c r="C1720" s="59"/>
      <c r="D1720" s="59"/>
      <c r="E1720" s="59"/>
      <c r="F1720" s="59"/>
      <c r="G1720" s="59"/>
      <c r="H1720" s="82"/>
      <c r="I1720" s="59"/>
    </row>
    <row r="1721">
      <c r="A1721" s="59"/>
      <c r="B1721" s="59"/>
      <c r="C1721" s="59"/>
      <c r="D1721" s="59"/>
      <c r="E1721" s="59"/>
      <c r="F1721" s="59"/>
      <c r="G1721" s="59"/>
      <c r="H1721" s="82"/>
      <c r="I1721" s="59"/>
    </row>
    <row r="1722">
      <c r="A1722" s="59"/>
      <c r="B1722" s="59"/>
      <c r="C1722" s="59"/>
      <c r="D1722" s="59"/>
      <c r="E1722" s="59"/>
      <c r="F1722" s="59"/>
      <c r="G1722" s="59"/>
      <c r="H1722" s="82"/>
      <c r="I1722" s="59"/>
    </row>
    <row r="1723">
      <c r="A1723" s="59"/>
      <c r="B1723" s="59"/>
      <c r="C1723" s="59"/>
      <c r="D1723" s="59"/>
      <c r="E1723" s="59"/>
      <c r="F1723" s="59"/>
      <c r="G1723" s="59"/>
      <c r="H1723" s="82"/>
      <c r="I1723" s="59"/>
    </row>
    <row r="1724">
      <c r="A1724" s="59"/>
      <c r="B1724" s="59"/>
      <c r="C1724" s="59"/>
      <c r="D1724" s="59"/>
      <c r="E1724" s="59"/>
      <c r="F1724" s="59"/>
      <c r="G1724" s="59"/>
      <c r="H1724" s="82"/>
      <c r="I1724" s="59"/>
    </row>
    <row r="1725">
      <c r="A1725" s="59"/>
      <c r="B1725" s="59"/>
      <c r="C1725" s="59"/>
      <c r="D1725" s="59"/>
      <c r="E1725" s="59"/>
      <c r="F1725" s="59"/>
      <c r="G1725" s="59"/>
      <c r="H1725" s="82"/>
      <c r="I1725" s="59"/>
    </row>
    <row r="1726">
      <c r="A1726" s="59"/>
      <c r="B1726" s="59"/>
      <c r="C1726" s="59"/>
      <c r="D1726" s="59"/>
      <c r="E1726" s="59"/>
      <c r="F1726" s="59"/>
      <c r="G1726" s="59"/>
      <c r="H1726" s="82"/>
      <c r="I1726" s="59"/>
    </row>
    <row r="1727">
      <c r="A1727" s="59"/>
      <c r="B1727" s="59"/>
      <c r="C1727" s="59"/>
      <c r="D1727" s="59"/>
      <c r="E1727" s="59"/>
      <c r="F1727" s="59"/>
      <c r="G1727" s="59"/>
      <c r="H1727" s="82"/>
      <c r="I1727" s="59"/>
    </row>
    <row r="1728">
      <c r="A1728" s="59"/>
      <c r="B1728" s="59"/>
      <c r="C1728" s="59"/>
      <c r="D1728" s="59"/>
      <c r="E1728" s="59"/>
      <c r="F1728" s="59"/>
      <c r="G1728" s="59"/>
      <c r="H1728" s="82"/>
      <c r="I1728" s="59"/>
    </row>
    <row r="1729">
      <c r="A1729" s="59"/>
      <c r="B1729" s="59"/>
      <c r="C1729" s="59"/>
      <c r="D1729" s="59"/>
      <c r="E1729" s="59"/>
      <c r="F1729" s="59"/>
      <c r="G1729" s="59"/>
      <c r="H1729" s="82"/>
      <c r="I1729" s="59"/>
    </row>
    <row r="1730">
      <c r="A1730" s="59"/>
      <c r="B1730" s="59"/>
      <c r="C1730" s="59"/>
      <c r="D1730" s="59"/>
      <c r="E1730" s="59"/>
      <c r="F1730" s="59"/>
      <c r="G1730" s="59"/>
      <c r="H1730" s="82"/>
      <c r="I1730" s="59"/>
    </row>
    <row r="1731">
      <c r="A1731" s="59"/>
      <c r="B1731" s="59"/>
      <c r="C1731" s="59"/>
      <c r="D1731" s="59"/>
      <c r="E1731" s="59"/>
      <c r="F1731" s="59"/>
      <c r="G1731" s="59"/>
      <c r="H1731" s="82"/>
      <c r="I1731" s="59"/>
    </row>
    <row r="1732">
      <c r="A1732" s="59"/>
      <c r="B1732" s="59"/>
      <c r="C1732" s="59"/>
      <c r="D1732" s="59"/>
      <c r="E1732" s="59"/>
      <c r="F1732" s="59"/>
      <c r="G1732" s="59"/>
      <c r="H1732" s="82"/>
      <c r="I1732" s="59"/>
    </row>
    <row r="1733">
      <c r="A1733" s="59"/>
      <c r="B1733" s="59"/>
      <c r="C1733" s="59"/>
      <c r="D1733" s="59"/>
      <c r="E1733" s="59"/>
      <c r="F1733" s="59"/>
      <c r="G1733" s="59"/>
      <c r="H1733" s="82"/>
      <c r="I1733" s="59"/>
    </row>
    <row r="1734">
      <c r="A1734" s="59"/>
      <c r="B1734" s="59"/>
      <c r="C1734" s="59"/>
      <c r="D1734" s="59"/>
      <c r="E1734" s="59"/>
      <c r="F1734" s="59"/>
      <c r="G1734" s="59"/>
      <c r="H1734" s="82"/>
      <c r="I1734" s="59"/>
    </row>
    <row r="1735">
      <c r="A1735" s="59"/>
      <c r="B1735" s="59"/>
      <c r="C1735" s="59"/>
      <c r="D1735" s="59"/>
      <c r="E1735" s="59"/>
      <c r="F1735" s="59"/>
      <c r="G1735" s="59"/>
      <c r="H1735" s="82"/>
      <c r="I1735" s="59"/>
    </row>
    <row r="1736">
      <c r="A1736" s="59"/>
      <c r="B1736" s="59"/>
      <c r="C1736" s="59"/>
      <c r="D1736" s="59"/>
      <c r="E1736" s="59"/>
      <c r="F1736" s="59"/>
      <c r="G1736" s="59"/>
      <c r="H1736" s="82"/>
      <c r="I1736" s="59"/>
    </row>
    <row r="1737">
      <c r="A1737" s="59"/>
      <c r="B1737" s="59"/>
      <c r="C1737" s="59"/>
      <c r="D1737" s="59"/>
      <c r="E1737" s="59"/>
      <c r="F1737" s="59"/>
      <c r="G1737" s="59"/>
      <c r="H1737" s="82"/>
      <c r="I1737" s="59"/>
    </row>
    <row r="1738">
      <c r="A1738" s="59"/>
      <c r="B1738" s="59"/>
      <c r="C1738" s="59"/>
      <c r="D1738" s="59"/>
      <c r="E1738" s="59"/>
      <c r="F1738" s="59"/>
      <c r="G1738" s="59"/>
      <c r="H1738" s="82"/>
      <c r="I1738" s="59"/>
    </row>
    <row r="1739">
      <c r="A1739" s="59"/>
      <c r="B1739" s="59"/>
      <c r="C1739" s="59"/>
      <c r="D1739" s="59"/>
      <c r="E1739" s="59"/>
      <c r="F1739" s="59"/>
      <c r="G1739" s="59"/>
      <c r="H1739" s="82"/>
      <c r="I1739" s="59"/>
    </row>
    <row r="1740">
      <c r="A1740" s="59"/>
      <c r="B1740" s="59"/>
      <c r="C1740" s="59"/>
      <c r="D1740" s="59"/>
      <c r="E1740" s="59"/>
      <c r="F1740" s="59"/>
      <c r="G1740" s="59"/>
      <c r="H1740" s="82"/>
      <c r="I1740" s="59"/>
    </row>
    <row r="1741">
      <c r="A1741" s="59"/>
      <c r="B1741" s="59"/>
      <c r="C1741" s="59"/>
      <c r="D1741" s="59"/>
      <c r="E1741" s="59"/>
      <c r="F1741" s="59"/>
      <c r="G1741" s="59"/>
      <c r="H1741" s="82"/>
      <c r="I1741" s="59"/>
    </row>
    <row r="1742">
      <c r="A1742" s="59"/>
      <c r="B1742" s="59"/>
      <c r="C1742" s="59"/>
      <c r="D1742" s="59"/>
      <c r="E1742" s="59"/>
      <c r="F1742" s="59"/>
      <c r="G1742" s="59"/>
      <c r="H1742" s="82"/>
      <c r="I1742" s="59"/>
    </row>
    <row r="1743">
      <c r="A1743" s="59"/>
      <c r="B1743" s="59"/>
      <c r="C1743" s="59"/>
      <c r="D1743" s="59"/>
      <c r="E1743" s="59"/>
      <c r="F1743" s="59"/>
      <c r="G1743" s="59"/>
      <c r="H1743" s="82"/>
      <c r="I1743" s="59"/>
    </row>
    <row r="1744">
      <c r="A1744" s="59"/>
      <c r="B1744" s="59"/>
      <c r="C1744" s="59"/>
      <c r="D1744" s="59"/>
      <c r="E1744" s="59"/>
      <c r="F1744" s="59"/>
      <c r="G1744" s="59"/>
      <c r="H1744" s="82"/>
      <c r="I1744" s="59"/>
    </row>
    <row r="1745">
      <c r="A1745" s="59"/>
      <c r="B1745" s="59"/>
      <c r="C1745" s="59"/>
      <c r="D1745" s="59"/>
      <c r="E1745" s="59"/>
      <c r="F1745" s="59"/>
      <c r="G1745" s="59"/>
      <c r="H1745" s="82"/>
      <c r="I1745" s="59"/>
    </row>
    <row r="1746">
      <c r="A1746" s="59"/>
      <c r="B1746" s="59"/>
      <c r="C1746" s="59"/>
      <c r="D1746" s="59"/>
      <c r="E1746" s="59"/>
      <c r="F1746" s="59"/>
      <c r="G1746" s="59"/>
      <c r="H1746" s="82"/>
      <c r="I1746" s="59"/>
    </row>
    <row r="1747">
      <c r="A1747" s="59"/>
      <c r="B1747" s="59"/>
      <c r="C1747" s="59"/>
      <c r="D1747" s="59"/>
      <c r="E1747" s="59"/>
      <c r="F1747" s="59"/>
      <c r="G1747" s="59"/>
      <c r="H1747" s="82"/>
      <c r="I1747" s="59"/>
    </row>
    <row r="1748">
      <c r="A1748" s="59"/>
      <c r="B1748" s="59"/>
      <c r="C1748" s="59"/>
      <c r="D1748" s="59"/>
      <c r="E1748" s="59"/>
      <c r="F1748" s="59"/>
      <c r="G1748" s="59"/>
      <c r="H1748" s="82"/>
      <c r="I1748" s="59"/>
    </row>
    <row r="1749">
      <c r="A1749" s="59"/>
      <c r="B1749" s="59"/>
      <c r="C1749" s="59"/>
      <c r="D1749" s="59"/>
      <c r="E1749" s="59"/>
      <c r="F1749" s="59"/>
      <c r="G1749" s="59"/>
      <c r="H1749" s="82"/>
      <c r="I1749" s="59"/>
    </row>
    <row r="1750">
      <c r="A1750" s="59"/>
      <c r="B1750" s="59"/>
      <c r="C1750" s="59"/>
      <c r="D1750" s="59"/>
      <c r="E1750" s="59"/>
      <c r="F1750" s="59"/>
      <c r="G1750" s="59"/>
      <c r="H1750" s="82"/>
      <c r="I1750" s="59"/>
    </row>
    <row r="1751">
      <c r="A1751" s="59"/>
      <c r="B1751" s="59"/>
      <c r="C1751" s="59"/>
      <c r="D1751" s="59"/>
      <c r="E1751" s="59"/>
      <c r="F1751" s="59"/>
      <c r="G1751" s="59"/>
      <c r="H1751" s="82"/>
      <c r="I1751" s="59"/>
    </row>
    <row r="1752">
      <c r="A1752" s="59"/>
      <c r="B1752" s="59"/>
      <c r="C1752" s="59"/>
      <c r="D1752" s="59"/>
      <c r="E1752" s="59"/>
      <c r="F1752" s="59"/>
      <c r="G1752" s="59"/>
      <c r="H1752" s="82"/>
      <c r="I1752" s="59"/>
    </row>
    <row r="1753">
      <c r="A1753" s="59"/>
      <c r="B1753" s="59"/>
      <c r="C1753" s="59"/>
      <c r="D1753" s="59"/>
      <c r="E1753" s="59"/>
      <c r="F1753" s="59"/>
      <c r="G1753" s="59"/>
      <c r="H1753" s="82"/>
      <c r="I1753" s="59"/>
    </row>
    <row r="1754">
      <c r="A1754" s="59"/>
      <c r="B1754" s="59"/>
      <c r="C1754" s="59"/>
      <c r="D1754" s="59"/>
      <c r="E1754" s="59"/>
      <c r="F1754" s="59"/>
      <c r="G1754" s="59"/>
      <c r="H1754" s="82"/>
      <c r="I1754" s="59"/>
    </row>
    <row r="1755">
      <c r="A1755" s="59"/>
      <c r="B1755" s="59"/>
      <c r="C1755" s="59"/>
      <c r="D1755" s="59"/>
      <c r="E1755" s="59"/>
      <c r="F1755" s="59"/>
      <c r="G1755" s="59"/>
      <c r="H1755" s="82"/>
      <c r="I1755" s="59"/>
    </row>
    <row r="1756">
      <c r="A1756" s="59"/>
      <c r="B1756" s="59"/>
      <c r="C1756" s="59"/>
      <c r="D1756" s="59"/>
      <c r="E1756" s="59"/>
      <c r="F1756" s="59"/>
      <c r="G1756" s="59"/>
      <c r="H1756" s="82"/>
      <c r="I1756" s="59"/>
    </row>
    <row r="1757">
      <c r="A1757" s="59"/>
      <c r="B1757" s="59"/>
      <c r="C1757" s="59"/>
      <c r="D1757" s="59"/>
      <c r="E1757" s="59"/>
      <c r="F1757" s="59"/>
      <c r="G1757" s="59"/>
      <c r="H1757" s="82"/>
      <c r="I1757" s="59"/>
    </row>
    <row r="1758">
      <c r="A1758" s="59"/>
      <c r="B1758" s="59"/>
      <c r="C1758" s="59"/>
      <c r="D1758" s="59"/>
      <c r="E1758" s="59"/>
      <c r="F1758" s="59"/>
      <c r="G1758" s="59"/>
      <c r="H1758" s="82"/>
      <c r="I1758" s="59"/>
    </row>
    <row r="1759">
      <c r="A1759" s="59"/>
      <c r="B1759" s="59"/>
      <c r="C1759" s="59"/>
      <c r="D1759" s="59"/>
      <c r="E1759" s="59"/>
      <c r="F1759" s="59"/>
      <c r="G1759" s="59"/>
      <c r="H1759" s="82"/>
      <c r="I1759" s="59"/>
    </row>
    <row r="1760">
      <c r="A1760" s="59"/>
      <c r="B1760" s="59"/>
      <c r="C1760" s="59"/>
      <c r="D1760" s="59"/>
      <c r="E1760" s="59"/>
      <c r="F1760" s="59"/>
      <c r="G1760" s="59"/>
      <c r="H1760" s="82"/>
      <c r="I1760" s="59"/>
    </row>
    <row r="1761">
      <c r="A1761" s="59"/>
      <c r="B1761" s="59"/>
      <c r="C1761" s="59"/>
      <c r="D1761" s="59"/>
      <c r="E1761" s="59"/>
      <c r="F1761" s="59"/>
      <c r="G1761" s="59"/>
      <c r="H1761" s="82"/>
      <c r="I1761" s="59"/>
    </row>
    <row r="1762">
      <c r="A1762" s="59"/>
      <c r="B1762" s="59"/>
      <c r="C1762" s="59"/>
      <c r="D1762" s="59"/>
      <c r="E1762" s="59"/>
      <c r="F1762" s="59"/>
      <c r="G1762" s="59"/>
      <c r="H1762" s="82"/>
      <c r="I1762" s="59"/>
    </row>
    <row r="1763">
      <c r="A1763" s="59"/>
      <c r="B1763" s="59"/>
      <c r="C1763" s="59"/>
      <c r="D1763" s="59"/>
      <c r="E1763" s="59"/>
      <c r="F1763" s="59"/>
      <c r="G1763" s="59"/>
      <c r="H1763" s="82"/>
      <c r="I1763" s="59"/>
    </row>
    <row r="1764">
      <c r="A1764" s="59"/>
      <c r="B1764" s="59"/>
      <c r="C1764" s="59"/>
      <c r="D1764" s="59"/>
      <c r="E1764" s="59"/>
      <c r="F1764" s="59"/>
      <c r="G1764" s="59"/>
      <c r="H1764" s="82"/>
      <c r="I1764" s="59"/>
    </row>
    <row r="1765">
      <c r="A1765" s="59"/>
      <c r="B1765" s="59"/>
      <c r="C1765" s="59"/>
      <c r="D1765" s="59"/>
      <c r="E1765" s="59"/>
      <c r="F1765" s="59"/>
      <c r="G1765" s="59"/>
      <c r="H1765" s="82"/>
      <c r="I1765" s="59"/>
    </row>
    <row r="1766">
      <c r="A1766" s="59"/>
      <c r="B1766" s="59"/>
      <c r="C1766" s="59"/>
      <c r="D1766" s="59"/>
      <c r="E1766" s="59"/>
      <c r="F1766" s="59"/>
      <c r="G1766" s="59"/>
      <c r="H1766" s="82"/>
      <c r="I1766" s="59"/>
    </row>
    <row r="1767">
      <c r="A1767" s="59"/>
      <c r="B1767" s="59"/>
      <c r="C1767" s="59"/>
      <c r="D1767" s="59"/>
      <c r="E1767" s="59"/>
      <c r="F1767" s="59"/>
      <c r="G1767" s="59"/>
      <c r="H1767" s="82"/>
      <c r="I1767" s="59"/>
    </row>
    <row r="1768">
      <c r="A1768" s="59"/>
      <c r="B1768" s="59"/>
      <c r="C1768" s="59"/>
      <c r="D1768" s="59"/>
      <c r="E1768" s="59"/>
      <c r="F1768" s="59"/>
      <c r="G1768" s="59"/>
      <c r="H1768" s="82"/>
      <c r="I1768" s="59"/>
    </row>
    <row r="1769">
      <c r="A1769" s="59"/>
      <c r="B1769" s="59"/>
      <c r="C1769" s="59"/>
      <c r="D1769" s="59"/>
      <c r="E1769" s="59"/>
      <c r="F1769" s="59"/>
      <c r="G1769" s="59"/>
      <c r="H1769" s="82"/>
      <c r="I1769" s="59"/>
    </row>
    <row r="1770">
      <c r="A1770" s="59"/>
      <c r="B1770" s="59"/>
      <c r="C1770" s="59"/>
      <c r="D1770" s="59"/>
      <c r="E1770" s="59"/>
      <c r="F1770" s="59"/>
      <c r="G1770" s="59"/>
      <c r="H1770" s="82"/>
      <c r="I1770" s="59"/>
    </row>
    <row r="1771">
      <c r="A1771" s="59"/>
      <c r="B1771" s="59"/>
      <c r="C1771" s="59"/>
      <c r="D1771" s="59"/>
      <c r="E1771" s="59"/>
      <c r="F1771" s="59"/>
      <c r="G1771" s="59"/>
      <c r="H1771" s="82"/>
      <c r="I1771" s="59"/>
    </row>
    <row r="1772">
      <c r="A1772" s="59"/>
      <c r="B1772" s="59"/>
      <c r="C1772" s="59"/>
      <c r="D1772" s="59"/>
      <c r="E1772" s="59"/>
      <c r="F1772" s="59"/>
      <c r="G1772" s="59"/>
      <c r="H1772" s="82"/>
      <c r="I1772" s="59"/>
    </row>
    <row r="1773">
      <c r="A1773" s="59"/>
      <c r="B1773" s="59"/>
      <c r="C1773" s="59"/>
      <c r="D1773" s="59"/>
      <c r="E1773" s="59"/>
      <c r="F1773" s="59"/>
      <c r="G1773" s="59"/>
      <c r="H1773" s="82"/>
      <c r="I1773" s="59"/>
    </row>
    <row r="1774">
      <c r="A1774" s="59"/>
      <c r="B1774" s="59"/>
      <c r="C1774" s="59"/>
      <c r="D1774" s="59"/>
      <c r="E1774" s="59"/>
      <c r="F1774" s="59"/>
      <c r="G1774" s="59"/>
      <c r="H1774" s="82"/>
      <c r="I1774" s="59"/>
    </row>
    <row r="1775">
      <c r="A1775" s="59"/>
      <c r="B1775" s="59"/>
      <c r="C1775" s="59"/>
      <c r="D1775" s="59"/>
      <c r="E1775" s="59"/>
      <c r="F1775" s="59"/>
      <c r="G1775" s="59"/>
      <c r="H1775" s="82"/>
      <c r="I1775" s="59"/>
    </row>
    <row r="1776">
      <c r="A1776" s="59"/>
      <c r="B1776" s="59"/>
      <c r="C1776" s="59"/>
      <c r="D1776" s="59"/>
      <c r="E1776" s="59"/>
      <c r="F1776" s="59"/>
      <c r="G1776" s="59"/>
      <c r="H1776" s="82"/>
      <c r="I1776" s="59"/>
    </row>
    <row r="1777">
      <c r="A1777" s="59"/>
      <c r="B1777" s="59"/>
      <c r="C1777" s="59"/>
      <c r="D1777" s="59"/>
      <c r="E1777" s="59"/>
      <c r="F1777" s="59"/>
      <c r="G1777" s="59"/>
      <c r="H1777" s="82"/>
      <c r="I1777" s="59"/>
    </row>
    <row r="1778">
      <c r="A1778" s="59"/>
      <c r="B1778" s="59"/>
      <c r="C1778" s="59"/>
      <c r="D1778" s="59"/>
      <c r="E1778" s="59"/>
      <c r="F1778" s="59"/>
      <c r="G1778" s="59"/>
      <c r="H1778" s="82"/>
      <c r="I1778" s="59"/>
    </row>
    <row r="1779">
      <c r="A1779" s="59"/>
      <c r="B1779" s="59"/>
      <c r="C1779" s="59"/>
      <c r="D1779" s="59"/>
      <c r="E1779" s="59"/>
      <c r="F1779" s="59"/>
      <c r="G1779" s="59"/>
      <c r="H1779" s="82"/>
      <c r="I1779" s="59"/>
    </row>
    <row r="1780">
      <c r="A1780" s="59"/>
      <c r="B1780" s="59"/>
      <c r="C1780" s="59"/>
      <c r="D1780" s="59"/>
      <c r="E1780" s="59"/>
      <c r="F1780" s="59"/>
      <c r="G1780" s="59"/>
      <c r="H1780" s="82"/>
      <c r="I1780" s="59"/>
    </row>
    <row r="1781">
      <c r="A1781" s="59"/>
      <c r="B1781" s="59"/>
      <c r="C1781" s="59"/>
      <c r="D1781" s="59"/>
      <c r="E1781" s="59"/>
      <c r="F1781" s="59"/>
      <c r="G1781" s="59"/>
      <c r="H1781" s="82"/>
      <c r="I1781" s="59"/>
    </row>
    <row r="1782">
      <c r="A1782" s="59"/>
      <c r="B1782" s="59"/>
      <c r="C1782" s="59"/>
      <c r="D1782" s="59"/>
      <c r="E1782" s="59"/>
      <c r="F1782" s="59"/>
      <c r="G1782" s="59"/>
      <c r="H1782" s="82"/>
      <c r="I1782" s="59"/>
    </row>
    <row r="1783">
      <c r="A1783" s="59"/>
      <c r="B1783" s="59"/>
      <c r="C1783" s="59"/>
      <c r="D1783" s="59"/>
      <c r="E1783" s="59"/>
      <c r="F1783" s="59"/>
      <c r="G1783" s="59"/>
      <c r="H1783" s="82"/>
      <c r="I1783" s="59"/>
    </row>
    <row r="1784">
      <c r="A1784" s="59"/>
      <c r="B1784" s="59"/>
      <c r="C1784" s="59"/>
      <c r="D1784" s="59"/>
      <c r="E1784" s="59"/>
      <c r="F1784" s="59"/>
      <c r="G1784" s="59"/>
      <c r="H1784" s="82"/>
      <c r="I1784" s="59"/>
    </row>
    <row r="1785">
      <c r="A1785" s="59"/>
      <c r="B1785" s="59"/>
      <c r="C1785" s="59"/>
      <c r="D1785" s="59"/>
      <c r="E1785" s="59"/>
      <c r="F1785" s="59"/>
      <c r="G1785" s="59"/>
      <c r="H1785" s="82"/>
      <c r="I1785" s="59"/>
    </row>
    <row r="1786">
      <c r="A1786" s="59"/>
      <c r="B1786" s="59"/>
      <c r="C1786" s="59"/>
      <c r="D1786" s="59"/>
      <c r="E1786" s="59"/>
      <c r="F1786" s="59"/>
      <c r="G1786" s="59"/>
      <c r="H1786" s="82"/>
      <c r="I1786" s="59"/>
    </row>
    <row r="1787">
      <c r="A1787" s="59"/>
      <c r="B1787" s="59"/>
      <c r="C1787" s="59"/>
      <c r="D1787" s="59"/>
      <c r="E1787" s="59"/>
      <c r="F1787" s="59"/>
      <c r="G1787" s="59"/>
      <c r="H1787" s="82"/>
      <c r="I1787" s="59"/>
    </row>
    <row r="1788">
      <c r="A1788" s="59"/>
      <c r="B1788" s="59"/>
      <c r="C1788" s="59"/>
      <c r="D1788" s="59"/>
      <c r="E1788" s="59"/>
      <c r="F1788" s="59"/>
      <c r="G1788" s="59"/>
      <c r="H1788" s="82"/>
      <c r="I1788" s="59"/>
    </row>
    <row r="1789">
      <c r="A1789" s="59"/>
      <c r="B1789" s="59"/>
      <c r="C1789" s="59"/>
      <c r="D1789" s="59"/>
      <c r="E1789" s="59"/>
      <c r="F1789" s="59"/>
      <c r="G1789" s="59"/>
      <c r="H1789" s="82"/>
      <c r="I1789" s="59"/>
    </row>
    <row r="1790">
      <c r="A1790" s="59"/>
      <c r="B1790" s="59"/>
      <c r="C1790" s="59"/>
      <c r="D1790" s="59"/>
      <c r="E1790" s="59"/>
      <c r="F1790" s="59"/>
      <c r="G1790" s="59"/>
      <c r="H1790" s="82"/>
      <c r="I1790" s="59"/>
    </row>
    <row r="1791">
      <c r="A1791" s="59"/>
      <c r="B1791" s="59"/>
      <c r="C1791" s="59"/>
      <c r="D1791" s="59"/>
      <c r="E1791" s="59"/>
      <c r="F1791" s="59"/>
      <c r="G1791" s="59"/>
      <c r="H1791" s="82"/>
      <c r="I1791" s="59"/>
    </row>
    <row r="1792">
      <c r="A1792" s="59"/>
      <c r="B1792" s="59"/>
      <c r="C1792" s="59"/>
      <c r="D1792" s="59"/>
      <c r="E1792" s="59"/>
      <c r="F1792" s="59"/>
      <c r="G1792" s="59"/>
      <c r="H1792" s="82"/>
      <c r="I1792" s="59"/>
    </row>
    <row r="1793">
      <c r="A1793" s="59"/>
      <c r="B1793" s="59"/>
      <c r="C1793" s="59"/>
      <c r="D1793" s="59"/>
      <c r="E1793" s="59"/>
      <c r="F1793" s="59"/>
      <c r="G1793" s="59"/>
      <c r="H1793" s="82"/>
      <c r="I1793" s="59"/>
    </row>
    <row r="1794">
      <c r="A1794" s="59"/>
      <c r="B1794" s="59"/>
      <c r="C1794" s="59"/>
      <c r="D1794" s="59"/>
      <c r="E1794" s="59"/>
      <c r="F1794" s="59"/>
      <c r="G1794" s="59"/>
      <c r="H1794" s="82"/>
      <c r="I1794" s="59"/>
    </row>
    <row r="1795">
      <c r="A1795" s="59"/>
      <c r="B1795" s="59"/>
      <c r="C1795" s="59"/>
      <c r="D1795" s="59"/>
      <c r="E1795" s="59"/>
      <c r="F1795" s="59"/>
      <c r="G1795" s="59"/>
      <c r="H1795" s="82"/>
      <c r="I1795" s="59"/>
    </row>
    <row r="1796">
      <c r="A1796" s="59"/>
      <c r="B1796" s="59"/>
      <c r="C1796" s="59"/>
      <c r="D1796" s="59"/>
      <c r="E1796" s="59"/>
      <c r="F1796" s="59"/>
      <c r="G1796" s="59"/>
      <c r="H1796" s="82"/>
      <c r="I1796" s="59"/>
    </row>
    <row r="1797">
      <c r="A1797" s="59"/>
      <c r="B1797" s="59"/>
      <c r="C1797" s="59"/>
      <c r="D1797" s="59"/>
      <c r="E1797" s="59"/>
      <c r="F1797" s="59"/>
      <c r="G1797" s="59"/>
      <c r="H1797" s="82"/>
      <c r="I1797" s="59"/>
    </row>
    <row r="1798">
      <c r="A1798" s="59"/>
      <c r="B1798" s="59"/>
      <c r="C1798" s="59"/>
      <c r="D1798" s="59"/>
      <c r="E1798" s="59"/>
      <c r="F1798" s="59"/>
      <c r="G1798" s="59"/>
      <c r="H1798" s="82"/>
      <c r="I1798" s="59"/>
    </row>
    <row r="1799">
      <c r="A1799" s="59"/>
      <c r="B1799" s="59"/>
      <c r="C1799" s="59"/>
      <c r="D1799" s="59"/>
      <c r="E1799" s="59"/>
      <c r="F1799" s="59"/>
      <c r="G1799" s="59"/>
      <c r="H1799" s="82"/>
      <c r="I1799" s="59"/>
    </row>
    <row r="1800">
      <c r="A1800" s="59"/>
      <c r="B1800" s="59"/>
      <c r="C1800" s="59"/>
      <c r="D1800" s="59"/>
      <c r="E1800" s="59"/>
      <c r="F1800" s="59"/>
      <c r="G1800" s="59"/>
      <c r="H1800" s="82"/>
      <c r="I1800" s="59"/>
    </row>
    <row r="1801">
      <c r="A1801" s="59"/>
      <c r="B1801" s="59"/>
      <c r="C1801" s="59"/>
      <c r="D1801" s="59"/>
      <c r="E1801" s="59"/>
      <c r="F1801" s="59"/>
      <c r="G1801" s="59"/>
      <c r="H1801" s="82"/>
      <c r="I1801" s="59"/>
    </row>
    <row r="1802">
      <c r="A1802" s="59"/>
      <c r="B1802" s="59"/>
      <c r="C1802" s="59"/>
      <c r="D1802" s="59"/>
      <c r="E1802" s="59"/>
      <c r="F1802" s="59"/>
      <c r="G1802" s="59"/>
      <c r="H1802" s="82"/>
      <c r="I1802" s="59"/>
    </row>
    <row r="1803">
      <c r="A1803" s="59"/>
      <c r="B1803" s="59"/>
      <c r="C1803" s="59"/>
      <c r="D1803" s="59"/>
      <c r="E1803" s="59"/>
      <c r="F1803" s="59"/>
      <c r="G1803" s="59"/>
      <c r="H1803" s="82"/>
      <c r="I1803" s="59"/>
    </row>
    <row r="1804">
      <c r="A1804" s="59"/>
      <c r="B1804" s="59"/>
      <c r="C1804" s="59"/>
      <c r="D1804" s="59"/>
      <c r="E1804" s="59"/>
      <c r="F1804" s="59"/>
      <c r="G1804" s="59"/>
      <c r="H1804" s="82"/>
      <c r="I1804" s="59"/>
    </row>
    <row r="1805">
      <c r="A1805" s="59"/>
      <c r="B1805" s="59"/>
      <c r="C1805" s="59"/>
      <c r="D1805" s="59"/>
      <c r="E1805" s="59"/>
      <c r="F1805" s="59"/>
      <c r="G1805" s="59"/>
      <c r="H1805" s="82"/>
      <c r="I1805" s="59"/>
    </row>
    <row r="1806">
      <c r="A1806" s="59"/>
      <c r="B1806" s="59"/>
      <c r="C1806" s="59"/>
      <c r="D1806" s="59"/>
      <c r="E1806" s="59"/>
      <c r="F1806" s="59"/>
      <c r="G1806" s="59"/>
      <c r="H1806" s="82"/>
      <c r="I1806" s="59"/>
    </row>
    <row r="1807">
      <c r="A1807" s="59"/>
      <c r="B1807" s="59"/>
      <c r="C1807" s="59"/>
      <c r="D1807" s="59"/>
      <c r="E1807" s="59"/>
      <c r="F1807" s="59"/>
      <c r="G1807" s="59"/>
      <c r="H1807" s="82"/>
      <c r="I1807" s="59"/>
    </row>
    <row r="1808">
      <c r="A1808" s="59"/>
      <c r="B1808" s="59"/>
      <c r="C1808" s="59"/>
      <c r="D1808" s="59"/>
      <c r="E1808" s="59"/>
      <c r="F1808" s="59"/>
      <c r="G1808" s="59"/>
      <c r="H1808" s="82"/>
      <c r="I1808" s="59"/>
    </row>
    <row r="1809">
      <c r="A1809" s="59"/>
      <c r="B1809" s="59"/>
      <c r="C1809" s="59"/>
      <c r="D1809" s="59"/>
      <c r="E1809" s="59"/>
      <c r="F1809" s="59"/>
      <c r="G1809" s="59"/>
      <c r="H1809" s="82"/>
      <c r="I1809" s="59"/>
    </row>
    <row r="1810">
      <c r="A1810" s="59"/>
      <c r="B1810" s="59"/>
      <c r="C1810" s="59"/>
      <c r="D1810" s="59"/>
      <c r="E1810" s="59"/>
      <c r="F1810" s="59"/>
      <c r="G1810" s="59"/>
      <c r="H1810" s="82"/>
      <c r="I1810" s="59"/>
    </row>
    <row r="1811">
      <c r="A1811" s="59"/>
      <c r="B1811" s="59"/>
      <c r="C1811" s="59"/>
      <c r="D1811" s="59"/>
      <c r="E1811" s="59"/>
      <c r="F1811" s="59"/>
      <c r="G1811" s="59"/>
      <c r="H1811" s="82"/>
      <c r="I1811" s="59"/>
    </row>
    <row r="1812">
      <c r="A1812" s="59"/>
      <c r="B1812" s="59"/>
      <c r="C1812" s="59"/>
      <c r="D1812" s="59"/>
      <c r="E1812" s="59"/>
      <c r="F1812" s="59"/>
      <c r="G1812" s="59"/>
      <c r="H1812" s="82"/>
      <c r="I1812" s="59"/>
    </row>
    <row r="1813">
      <c r="A1813" s="59"/>
      <c r="B1813" s="59"/>
      <c r="C1813" s="59"/>
      <c r="D1813" s="59"/>
      <c r="E1813" s="59"/>
      <c r="F1813" s="59"/>
      <c r="G1813" s="59"/>
      <c r="H1813" s="82"/>
      <c r="I1813" s="59"/>
    </row>
    <row r="1814">
      <c r="A1814" s="59"/>
      <c r="B1814" s="59"/>
      <c r="C1814" s="59"/>
      <c r="D1814" s="59"/>
      <c r="E1814" s="59"/>
      <c r="F1814" s="59"/>
      <c r="G1814" s="59"/>
      <c r="H1814" s="82"/>
      <c r="I1814" s="59"/>
    </row>
    <row r="1815">
      <c r="A1815" s="59"/>
      <c r="B1815" s="59"/>
      <c r="C1815" s="59"/>
      <c r="D1815" s="59"/>
      <c r="E1815" s="59"/>
      <c r="F1815" s="59"/>
      <c r="G1815" s="59"/>
      <c r="H1815" s="82"/>
      <c r="I1815" s="59"/>
    </row>
    <row r="1816">
      <c r="A1816" s="59"/>
      <c r="B1816" s="59"/>
      <c r="C1816" s="59"/>
      <c r="D1816" s="59"/>
      <c r="E1816" s="59"/>
      <c r="F1816" s="59"/>
      <c r="G1816" s="59"/>
      <c r="H1816" s="82"/>
      <c r="I1816" s="59"/>
    </row>
    <row r="1817">
      <c r="A1817" s="59"/>
      <c r="B1817" s="59"/>
      <c r="C1817" s="59"/>
      <c r="D1817" s="59"/>
      <c r="E1817" s="59"/>
      <c r="F1817" s="59"/>
      <c r="G1817" s="59"/>
      <c r="H1817" s="82"/>
      <c r="I1817" s="59"/>
    </row>
    <row r="1818">
      <c r="A1818" s="59"/>
      <c r="B1818" s="59"/>
      <c r="C1818" s="59"/>
      <c r="D1818" s="59"/>
      <c r="E1818" s="59"/>
      <c r="F1818" s="59"/>
      <c r="G1818" s="59"/>
      <c r="H1818" s="82"/>
      <c r="I1818" s="59"/>
    </row>
    <row r="1819">
      <c r="A1819" s="59"/>
      <c r="B1819" s="59"/>
      <c r="C1819" s="59"/>
      <c r="D1819" s="59"/>
      <c r="E1819" s="59"/>
      <c r="F1819" s="59"/>
      <c r="G1819" s="59"/>
      <c r="H1819" s="82"/>
      <c r="I1819" s="59"/>
    </row>
    <row r="1820">
      <c r="A1820" s="59"/>
      <c r="B1820" s="59"/>
      <c r="C1820" s="59"/>
      <c r="D1820" s="59"/>
      <c r="E1820" s="59"/>
      <c r="F1820" s="59"/>
      <c r="G1820" s="59"/>
      <c r="H1820" s="82"/>
      <c r="I1820" s="59"/>
    </row>
    <row r="1821">
      <c r="A1821" s="59"/>
      <c r="B1821" s="59"/>
      <c r="C1821" s="59"/>
      <c r="D1821" s="59"/>
      <c r="E1821" s="59"/>
      <c r="F1821" s="59"/>
      <c r="G1821" s="59"/>
      <c r="H1821" s="82"/>
      <c r="I1821" s="59"/>
    </row>
    <row r="1822">
      <c r="A1822" s="59"/>
      <c r="B1822" s="59"/>
      <c r="C1822" s="59"/>
      <c r="D1822" s="59"/>
      <c r="E1822" s="59"/>
      <c r="F1822" s="59"/>
      <c r="G1822" s="59"/>
      <c r="H1822" s="82"/>
      <c r="I1822" s="59"/>
    </row>
    <row r="1823">
      <c r="A1823" s="59"/>
      <c r="B1823" s="59"/>
      <c r="C1823" s="59"/>
      <c r="D1823" s="59"/>
      <c r="E1823" s="59"/>
      <c r="F1823" s="59"/>
      <c r="G1823" s="59"/>
      <c r="H1823" s="82"/>
      <c r="I1823" s="59"/>
    </row>
    <row r="1824">
      <c r="A1824" s="59"/>
      <c r="B1824" s="59"/>
      <c r="C1824" s="59"/>
      <c r="D1824" s="59"/>
      <c r="E1824" s="59"/>
      <c r="F1824" s="59"/>
      <c r="G1824" s="59"/>
      <c r="H1824" s="82"/>
      <c r="I1824" s="59"/>
    </row>
    <row r="1825">
      <c r="A1825" s="59"/>
      <c r="B1825" s="59"/>
      <c r="C1825" s="59"/>
      <c r="D1825" s="59"/>
      <c r="E1825" s="59"/>
      <c r="F1825" s="59"/>
      <c r="G1825" s="59"/>
      <c r="H1825" s="82"/>
      <c r="I1825" s="59"/>
    </row>
    <row r="1826">
      <c r="A1826" s="59"/>
      <c r="B1826" s="59"/>
      <c r="C1826" s="59"/>
      <c r="D1826" s="59"/>
      <c r="E1826" s="59"/>
      <c r="F1826" s="59"/>
      <c r="G1826" s="59"/>
      <c r="H1826" s="82"/>
      <c r="I1826" s="59"/>
    </row>
    <row r="1827">
      <c r="A1827" s="59"/>
      <c r="B1827" s="59"/>
      <c r="C1827" s="59"/>
      <c r="D1827" s="59"/>
      <c r="E1827" s="59"/>
      <c r="F1827" s="59"/>
      <c r="G1827" s="59"/>
      <c r="H1827" s="82"/>
      <c r="I1827" s="59"/>
    </row>
    <row r="1828">
      <c r="A1828" s="59"/>
      <c r="B1828" s="59"/>
      <c r="C1828" s="59"/>
      <c r="D1828" s="59"/>
      <c r="E1828" s="59"/>
      <c r="F1828" s="59"/>
      <c r="G1828" s="59"/>
      <c r="H1828" s="82"/>
      <c r="I1828" s="59"/>
    </row>
    <row r="1829">
      <c r="A1829" s="59"/>
      <c r="B1829" s="59"/>
      <c r="C1829" s="59"/>
      <c r="D1829" s="59"/>
      <c r="E1829" s="59"/>
      <c r="F1829" s="59"/>
      <c r="G1829" s="59"/>
      <c r="H1829" s="82"/>
      <c r="I1829" s="59"/>
    </row>
    <row r="1830">
      <c r="A1830" s="59"/>
      <c r="B1830" s="59"/>
      <c r="C1830" s="59"/>
      <c r="D1830" s="59"/>
      <c r="E1830" s="59"/>
      <c r="F1830" s="59"/>
      <c r="G1830" s="59"/>
      <c r="H1830" s="82"/>
      <c r="I1830" s="59"/>
    </row>
    <row r="1831">
      <c r="A1831" s="59"/>
      <c r="B1831" s="59"/>
      <c r="C1831" s="59"/>
      <c r="D1831" s="59"/>
      <c r="E1831" s="59"/>
      <c r="F1831" s="59"/>
      <c r="G1831" s="59"/>
      <c r="H1831" s="82"/>
      <c r="I1831" s="59"/>
    </row>
    <row r="1832">
      <c r="A1832" s="59"/>
      <c r="B1832" s="59"/>
      <c r="C1832" s="59"/>
      <c r="D1832" s="59"/>
      <c r="E1832" s="59"/>
      <c r="F1832" s="59"/>
      <c r="G1832" s="59"/>
      <c r="H1832" s="82"/>
      <c r="I1832" s="59"/>
    </row>
    <row r="1833">
      <c r="A1833" s="59"/>
      <c r="B1833" s="59"/>
      <c r="C1833" s="59"/>
      <c r="D1833" s="59"/>
      <c r="E1833" s="59"/>
      <c r="F1833" s="59"/>
      <c r="G1833" s="59"/>
      <c r="H1833" s="82"/>
      <c r="I1833" s="59"/>
    </row>
    <row r="1834">
      <c r="A1834" s="59"/>
      <c r="B1834" s="59"/>
      <c r="C1834" s="59"/>
      <c r="D1834" s="59"/>
      <c r="E1834" s="59"/>
      <c r="F1834" s="59"/>
      <c r="G1834" s="59"/>
      <c r="H1834" s="82"/>
      <c r="I1834" s="59"/>
    </row>
    <row r="1835">
      <c r="A1835" s="59"/>
      <c r="B1835" s="59"/>
      <c r="C1835" s="59"/>
      <c r="D1835" s="59"/>
      <c r="E1835" s="59"/>
      <c r="F1835" s="59"/>
      <c r="G1835" s="59"/>
      <c r="H1835" s="82"/>
      <c r="I1835" s="59"/>
    </row>
    <row r="1836">
      <c r="A1836" s="59"/>
      <c r="B1836" s="59"/>
      <c r="C1836" s="59"/>
      <c r="D1836" s="59"/>
      <c r="E1836" s="59"/>
      <c r="F1836" s="59"/>
      <c r="G1836" s="59"/>
      <c r="H1836" s="82"/>
      <c r="I1836" s="59"/>
    </row>
    <row r="1837">
      <c r="A1837" s="59"/>
      <c r="B1837" s="59"/>
      <c r="C1837" s="59"/>
      <c r="D1837" s="59"/>
      <c r="E1837" s="59"/>
      <c r="F1837" s="59"/>
      <c r="G1837" s="59"/>
      <c r="H1837" s="82"/>
      <c r="I1837" s="59"/>
    </row>
    <row r="1838">
      <c r="A1838" s="59"/>
      <c r="B1838" s="59"/>
      <c r="C1838" s="59"/>
      <c r="D1838" s="59"/>
      <c r="E1838" s="59"/>
      <c r="F1838" s="59"/>
      <c r="G1838" s="59"/>
      <c r="H1838" s="82"/>
      <c r="I1838" s="59"/>
    </row>
    <row r="1839">
      <c r="A1839" s="59"/>
      <c r="B1839" s="59"/>
      <c r="C1839" s="59"/>
      <c r="D1839" s="59"/>
      <c r="E1839" s="59"/>
      <c r="F1839" s="59"/>
      <c r="G1839" s="59"/>
      <c r="H1839" s="82"/>
      <c r="I1839" s="59"/>
    </row>
    <row r="1840">
      <c r="A1840" s="59"/>
      <c r="B1840" s="59"/>
      <c r="C1840" s="59"/>
      <c r="D1840" s="59"/>
      <c r="E1840" s="59"/>
      <c r="F1840" s="59"/>
      <c r="G1840" s="59"/>
      <c r="H1840" s="82"/>
      <c r="I1840" s="59"/>
    </row>
    <row r="1841">
      <c r="A1841" s="59"/>
      <c r="B1841" s="59"/>
      <c r="C1841" s="59"/>
      <c r="D1841" s="59"/>
      <c r="E1841" s="59"/>
      <c r="F1841" s="59"/>
      <c r="G1841" s="59"/>
      <c r="H1841" s="82"/>
      <c r="I1841" s="59"/>
    </row>
    <row r="1842">
      <c r="A1842" s="59"/>
      <c r="B1842" s="59"/>
      <c r="C1842" s="59"/>
      <c r="D1842" s="59"/>
      <c r="E1842" s="59"/>
      <c r="F1842" s="59"/>
      <c r="G1842" s="59"/>
      <c r="H1842" s="82"/>
      <c r="I1842" s="59"/>
    </row>
    <row r="1843">
      <c r="A1843" s="59"/>
      <c r="B1843" s="59"/>
      <c r="C1843" s="59"/>
      <c r="D1843" s="59"/>
      <c r="E1843" s="59"/>
      <c r="F1843" s="59"/>
      <c r="G1843" s="59"/>
      <c r="H1843" s="82"/>
      <c r="I1843" s="59"/>
    </row>
    <row r="1844">
      <c r="A1844" s="59"/>
      <c r="B1844" s="59"/>
      <c r="C1844" s="59"/>
      <c r="D1844" s="59"/>
      <c r="E1844" s="59"/>
      <c r="F1844" s="59"/>
      <c r="G1844" s="59"/>
      <c r="H1844" s="82"/>
      <c r="I1844" s="59"/>
    </row>
    <row r="1845">
      <c r="A1845" s="59"/>
      <c r="B1845" s="59"/>
      <c r="C1845" s="59"/>
      <c r="D1845" s="59"/>
      <c r="E1845" s="59"/>
      <c r="F1845" s="59"/>
      <c r="G1845" s="59"/>
      <c r="H1845" s="82"/>
      <c r="I1845" s="59"/>
    </row>
    <row r="1846">
      <c r="A1846" s="59"/>
      <c r="B1846" s="59"/>
      <c r="C1846" s="59"/>
      <c r="D1846" s="59"/>
      <c r="E1846" s="59"/>
      <c r="F1846" s="59"/>
      <c r="G1846" s="59"/>
      <c r="H1846" s="82"/>
      <c r="I1846" s="59"/>
    </row>
    <row r="1847">
      <c r="A1847" s="59"/>
      <c r="B1847" s="59"/>
      <c r="C1847" s="59"/>
      <c r="D1847" s="59"/>
      <c r="E1847" s="59"/>
      <c r="F1847" s="59"/>
      <c r="G1847" s="59"/>
      <c r="H1847" s="82"/>
      <c r="I1847" s="59"/>
    </row>
    <row r="1848">
      <c r="A1848" s="59"/>
      <c r="B1848" s="59"/>
      <c r="C1848" s="59"/>
      <c r="D1848" s="59"/>
      <c r="E1848" s="59"/>
      <c r="F1848" s="59"/>
      <c r="G1848" s="59"/>
      <c r="H1848" s="82"/>
      <c r="I1848" s="59"/>
    </row>
    <row r="1849">
      <c r="A1849" s="59"/>
      <c r="B1849" s="59"/>
      <c r="C1849" s="59"/>
      <c r="D1849" s="59"/>
      <c r="E1849" s="59"/>
      <c r="F1849" s="59"/>
      <c r="G1849" s="59"/>
      <c r="H1849" s="82"/>
      <c r="I1849" s="59"/>
    </row>
    <row r="1850">
      <c r="A1850" s="59"/>
      <c r="B1850" s="59"/>
      <c r="C1850" s="59"/>
      <c r="D1850" s="59"/>
      <c r="E1850" s="59"/>
      <c r="F1850" s="59"/>
      <c r="G1850" s="59"/>
      <c r="H1850" s="82"/>
      <c r="I1850" s="59"/>
    </row>
    <row r="1851">
      <c r="A1851" s="59"/>
      <c r="B1851" s="59"/>
      <c r="C1851" s="59"/>
      <c r="D1851" s="59"/>
      <c r="E1851" s="59"/>
      <c r="F1851" s="59"/>
      <c r="G1851" s="59"/>
      <c r="H1851" s="82"/>
      <c r="I1851" s="59"/>
    </row>
    <row r="1852">
      <c r="A1852" s="59"/>
      <c r="B1852" s="59"/>
      <c r="C1852" s="59"/>
      <c r="D1852" s="59"/>
      <c r="E1852" s="59"/>
      <c r="F1852" s="59"/>
      <c r="G1852" s="59"/>
      <c r="H1852" s="82"/>
      <c r="I1852" s="59"/>
    </row>
    <row r="1853">
      <c r="A1853" s="59"/>
      <c r="B1853" s="59"/>
      <c r="C1853" s="59"/>
      <c r="D1853" s="59"/>
      <c r="E1853" s="59"/>
      <c r="F1853" s="59"/>
      <c r="G1853" s="59"/>
      <c r="H1853" s="82"/>
      <c r="I1853" s="59"/>
    </row>
    <row r="1854">
      <c r="A1854" s="59"/>
      <c r="B1854" s="59"/>
      <c r="C1854" s="59"/>
      <c r="D1854" s="59"/>
      <c r="E1854" s="59"/>
      <c r="F1854" s="59"/>
      <c r="G1854" s="59"/>
      <c r="H1854" s="82"/>
      <c r="I1854" s="59"/>
    </row>
    <row r="1855">
      <c r="A1855" s="59"/>
      <c r="B1855" s="59"/>
      <c r="C1855" s="59"/>
      <c r="D1855" s="59"/>
      <c r="E1855" s="59"/>
      <c r="F1855" s="59"/>
      <c r="G1855" s="59"/>
      <c r="H1855" s="82"/>
      <c r="I1855" s="59"/>
    </row>
    <row r="1856">
      <c r="A1856" s="59"/>
      <c r="B1856" s="59"/>
      <c r="C1856" s="59"/>
      <c r="D1856" s="59"/>
      <c r="E1856" s="59"/>
      <c r="F1856" s="59"/>
      <c r="G1856" s="59"/>
      <c r="H1856" s="82"/>
      <c r="I1856" s="59"/>
    </row>
    <row r="1857">
      <c r="A1857" s="59"/>
      <c r="B1857" s="59"/>
      <c r="C1857" s="59"/>
      <c r="D1857" s="59"/>
      <c r="E1857" s="59"/>
      <c r="F1857" s="59"/>
      <c r="G1857" s="59"/>
      <c r="H1857" s="82"/>
      <c r="I1857" s="59"/>
    </row>
    <row r="1858">
      <c r="A1858" s="59"/>
      <c r="B1858" s="59"/>
      <c r="C1858" s="59"/>
      <c r="D1858" s="59"/>
      <c r="E1858" s="59"/>
      <c r="F1858" s="59"/>
      <c r="G1858" s="59"/>
      <c r="H1858" s="82"/>
      <c r="I1858" s="59"/>
    </row>
    <row r="1859">
      <c r="A1859" s="59"/>
      <c r="B1859" s="59"/>
      <c r="C1859" s="59"/>
      <c r="D1859" s="59"/>
      <c r="E1859" s="59"/>
      <c r="F1859" s="59"/>
      <c r="G1859" s="59"/>
      <c r="H1859" s="82"/>
      <c r="I1859" s="59"/>
    </row>
    <row r="1860">
      <c r="A1860" s="59"/>
      <c r="B1860" s="59"/>
      <c r="C1860" s="59"/>
      <c r="D1860" s="59"/>
      <c r="E1860" s="59"/>
      <c r="F1860" s="59"/>
      <c r="G1860" s="59"/>
      <c r="H1860" s="82"/>
      <c r="I1860" s="59"/>
    </row>
    <row r="1861">
      <c r="A1861" s="59"/>
      <c r="B1861" s="59"/>
      <c r="C1861" s="59"/>
      <c r="D1861" s="59"/>
      <c r="E1861" s="59"/>
      <c r="F1861" s="59"/>
      <c r="G1861" s="59"/>
      <c r="H1861" s="82"/>
      <c r="I1861" s="59"/>
    </row>
    <row r="1862">
      <c r="A1862" s="59"/>
      <c r="B1862" s="59"/>
      <c r="C1862" s="59"/>
      <c r="D1862" s="59"/>
      <c r="E1862" s="59"/>
      <c r="F1862" s="59"/>
      <c r="G1862" s="59"/>
      <c r="H1862" s="82"/>
      <c r="I1862" s="59"/>
    </row>
    <row r="1863">
      <c r="A1863" s="59"/>
      <c r="B1863" s="59"/>
      <c r="C1863" s="59"/>
      <c r="D1863" s="59"/>
      <c r="E1863" s="59"/>
      <c r="F1863" s="59"/>
      <c r="G1863" s="59"/>
      <c r="H1863" s="82"/>
      <c r="I1863" s="59"/>
    </row>
    <row r="1864">
      <c r="A1864" s="59"/>
      <c r="B1864" s="59"/>
      <c r="C1864" s="59"/>
      <c r="D1864" s="59"/>
      <c r="E1864" s="59"/>
      <c r="F1864" s="59"/>
      <c r="G1864" s="59"/>
      <c r="H1864" s="82"/>
      <c r="I1864" s="59"/>
    </row>
    <row r="1865">
      <c r="A1865" s="59"/>
      <c r="B1865" s="59"/>
      <c r="C1865" s="59"/>
      <c r="D1865" s="59"/>
      <c r="E1865" s="59"/>
      <c r="F1865" s="59"/>
      <c r="G1865" s="59"/>
      <c r="H1865" s="82"/>
      <c r="I1865" s="59"/>
    </row>
    <row r="1866">
      <c r="A1866" s="59"/>
      <c r="B1866" s="59"/>
      <c r="C1866" s="59"/>
      <c r="D1866" s="59"/>
      <c r="E1866" s="59"/>
      <c r="F1866" s="59"/>
      <c r="G1866" s="59"/>
      <c r="H1866" s="82"/>
      <c r="I1866" s="59"/>
    </row>
    <row r="1867">
      <c r="A1867" s="59"/>
      <c r="B1867" s="59"/>
      <c r="C1867" s="59"/>
      <c r="D1867" s="59"/>
      <c r="E1867" s="59"/>
      <c r="F1867" s="59"/>
      <c r="G1867" s="59"/>
      <c r="H1867" s="82"/>
      <c r="I1867" s="59"/>
    </row>
    <row r="1868">
      <c r="A1868" s="59"/>
      <c r="B1868" s="59"/>
      <c r="C1868" s="59"/>
      <c r="D1868" s="59"/>
      <c r="E1868" s="59"/>
      <c r="F1868" s="59"/>
      <c r="G1868" s="59"/>
      <c r="H1868" s="82"/>
      <c r="I1868" s="59"/>
    </row>
    <row r="1869">
      <c r="A1869" s="59"/>
      <c r="B1869" s="59"/>
      <c r="C1869" s="59"/>
      <c r="D1869" s="59"/>
      <c r="E1869" s="59"/>
      <c r="F1869" s="59"/>
      <c r="G1869" s="59"/>
      <c r="H1869" s="82"/>
      <c r="I1869" s="59"/>
    </row>
    <row r="1870">
      <c r="A1870" s="59"/>
      <c r="B1870" s="59"/>
      <c r="C1870" s="59"/>
      <c r="D1870" s="59"/>
      <c r="E1870" s="59"/>
      <c r="F1870" s="59"/>
      <c r="G1870" s="59"/>
      <c r="H1870" s="82"/>
      <c r="I1870" s="59"/>
    </row>
    <row r="1871">
      <c r="A1871" s="59"/>
      <c r="B1871" s="59"/>
      <c r="C1871" s="59"/>
      <c r="D1871" s="59"/>
      <c r="E1871" s="59"/>
      <c r="F1871" s="59"/>
      <c r="G1871" s="59"/>
      <c r="H1871" s="82"/>
      <c r="I1871" s="59"/>
    </row>
    <row r="1872">
      <c r="A1872" s="59"/>
      <c r="B1872" s="59"/>
      <c r="C1872" s="59"/>
      <c r="D1872" s="59"/>
      <c r="E1872" s="59"/>
      <c r="F1872" s="59"/>
      <c r="G1872" s="59"/>
      <c r="H1872" s="82"/>
      <c r="I1872" s="59"/>
    </row>
    <row r="1873">
      <c r="A1873" s="59"/>
      <c r="B1873" s="59"/>
      <c r="C1873" s="59"/>
      <c r="D1873" s="59"/>
      <c r="E1873" s="59"/>
      <c r="F1873" s="59"/>
      <c r="G1873" s="59"/>
      <c r="H1873" s="82"/>
      <c r="I1873" s="59"/>
    </row>
    <row r="1874">
      <c r="A1874" s="59"/>
      <c r="B1874" s="59"/>
      <c r="C1874" s="59"/>
      <c r="D1874" s="59"/>
      <c r="E1874" s="59"/>
      <c r="F1874" s="59"/>
      <c r="G1874" s="59"/>
      <c r="H1874" s="82"/>
      <c r="I1874" s="59"/>
    </row>
    <row r="1875">
      <c r="A1875" s="59"/>
      <c r="B1875" s="59"/>
      <c r="C1875" s="59"/>
      <c r="D1875" s="59"/>
      <c r="E1875" s="59"/>
      <c r="F1875" s="59"/>
      <c r="G1875" s="59"/>
      <c r="H1875" s="82"/>
      <c r="I1875" s="59"/>
    </row>
    <row r="1876">
      <c r="A1876" s="59"/>
      <c r="B1876" s="59"/>
      <c r="C1876" s="59"/>
      <c r="D1876" s="59"/>
      <c r="E1876" s="59"/>
      <c r="F1876" s="59"/>
      <c r="G1876" s="59"/>
      <c r="H1876" s="82"/>
      <c r="I1876" s="59"/>
    </row>
    <row r="1877">
      <c r="A1877" s="59"/>
      <c r="B1877" s="59"/>
      <c r="C1877" s="59"/>
      <c r="D1877" s="59"/>
      <c r="E1877" s="59"/>
      <c r="F1877" s="59"/>
      <c r="G1877" s="59"/>
      <c r="H1877" s="82"/>
      <c r="I1877" s="59"/>
    </row>
    <row r="1878">
      <c r="A1878" s="59"/>
      <c r="B1878" s="59"/>
      <c r="C1878" s="59"/>
      <c r="D1878" s="59"/>
      <c r="E1878" s="59"/>
      <c r="F1878" s="59"/>
      <c r="G1878" s="59"/>
      <c r="H1878" s="82"/>
      <c r="I1878" s="59"/>
    </row>
    <row r="1879">
      <c r="A1879" s="59"/>
      <c r="B1879" s="59"/>
      <c r="C1879" s="59"/>
      <c r="D1879" s="59"/>
      <c r="E1879" s="59"/>
      <c r="F1879" s="59"/>
      <c r="G1879" s="59"/>
      <c r="H1879" s="82"/>
      <c r="I1879" s="59"/>
    </row>
    <row r="1880">
      <c r="A1880" s="59"/>
      <c r="B1880" s="59"/>
      <c r="C1880" s="59"/>
      <c r="D1880" s="59"/>
      <c r="E1880" s="59"/>
      <c r="F1880" s="59"/>
      <c r="G1880" s="59"/>
      <c r="H1880" s="82"/>
      <c r="I1880" s="59"/>
    </row>
    <row r="1881">
      <c r="A1881" s="59"/>
      <c r="B1881" s="59"/>
      <c r="C1881" s="59"/>
      <c r="D1881" s="59"/>
      <c r="E1881" s="59"/>
      <c r="F1881" s="59"/>
      <c r="G1881" s="59"/>
      <c r="H1881" s="82"/>
      <c r="I1881" s="59"/>
    </row>
    <row r="1882">
      <c r="A1882" s="59"/>
      <c r="B1882" s="59"/>
      <c r="C1882" s="59"/>
      <c r="D1882" s="59"/>
      <c r="E1882" s="59"/>
      <c r="F1882" s="59"/>
      <c r="G1882" s="59"/>
      <c r="H1882" s="82"/>
      <c r="I1882" s="59"/>
    </row>
    <row r="1883">
      <c r="A1883" s="59"/>
      <c r="B1883" s="59"/>
      <c r="C1883" s="59"/>
      <c r="D1883" s="59"/>
      <c r="E1883" s="59"/>
      <c r="F1883" s="59"/>
      <c r="G1883" s="59"/>
      <c r="H1883" s="82"/>
      <c r="I1883" s="59"/>
    </row>
    <row r="1884">
      <c r="A1884" s="59"/>
      <c r="B1884" s="59"/>
      <c r="C1884" s="59"/>
      <c r="D1884" s="59"/>
      <c r="E1884" s="59"/>
      <c r="F1884" s="59"/>
      <c r="G1884" s="59"/>
      <c r="H1884" s="82"/>
      <c r="I1884" s="59"/>
    </row>
    <row r="1885">
      <c r="A1885" s="59"/>
      <c r="B1885" s="59"/>
      <c r="C1885" s="59"/>
      <c r="D1885" s="59"/>
      <c r="E1885" s="59"/>
      <c r="F1885" s="59"/>
      <c r="G1885" s="59"/>
      <c r="H1885" s="82"/>
      <c r="I1885" s="59"/>
    </row>
    <row r="1886">
      <c r="A1886" s="59"/>
      <c r="B1886" s="59"/>
      <c r="C1886" s="59"/>
      <c r="D1886" s="59"/>
      <c r="E1886" s="59"/>
      <c r="F1886" s="59"/>
      <c r="G1886" s="59"/>
      <c r="H1886" s="82"/>
      <c r="I1886" s="59"/>
    </row>
    <row r="1887">
      <c r="A1887" s="59"/>
      <c r="B1887" s="59"/>
      <c r="C1887" s="59"/>
      <c r="D1887" s="59"/>
      <c r="E1887" s="59"/>
      <c r="F1887" s="59"/>
      <c r="G1887" s="59"/>
      <c r="H1887" s="82"/>
      <c r="I1887" s="59"/>
    </row>
    <row r="1888">
      <c r="A1888" s="59"/>
      <c r="B1888" s="59"/>
      <c r="C1888" s="59"/>
      <c r="D1888" s="59"/>
      <c r="E1888" s="59"/>
      <c r="F1888" s="59"/>
      <c r="G1888" s="59"/>
      <c r="H1888" s="82"/>
      <c r="I1888" s="59"/>
    </row>
    <row r="1889">
      <c r="A1889" s="59"/>
      <c r="B1889" s="59"/>
      <c r="C1889" s="59"/>
      <c r="D1889" s="59"/>
      <c r="E1889" s="59"/>
      <c r="F1889" s="59"/>
      <c r="G1889" s="59"/>
      <c r="H1889" s="82"/>
      <c r="I1889" s="59"/>
    </row>
    <row r="1890">
      <c r="A1890" s="59"/>
      <c r="B1890" s="59"/>
      <c r="C1890" s="59"/>
      <c r="D1890" s="59"/>
      <c r="E1890" s="59"/>
      <c r="F1890" s="59"/>
      <c r="G1890" s="59"/>
      <c r="H1890" s="82"/>
      <c r="I1890" s="59"/>
    </row>
    <row r="1891">
      <c r="A1891" s="59"/>
      <c r="B1891" s="59"/>
      <c r="C1891" s="59"/>
      <c r="D1891" s="59"/>
      <c r="E1891" s="59"/>
      <c r="F1891" s="59"/>
      <c r="G1891" s="59"/>
      <c r="H1891" s="82"/>
      <c r="I1891" s="59"/>
    </row>
    <row r="1892">
      <c r="A1892" s="59"/>
      <c r="B1892" s="59"/>
      <c r="C1892" s="59"/>
      <c r="D1892" s="59"/>
      <c r="E1892" s="59"/>
      <c r="F1892" s="59"/>
      <c r="G1892" s="59"/>
      <c r="H1892" s="82"/>
      <c r="I1892" s="59"/>
    </row>
    <row r="1893">
      <c r="A1893" s="59"/>
      <c r="B1893" s="59"/>
      <c r="C1893" s="59"/>
      <c r="D1893" s="59"/>
      <c r="E1893" s="59"/>
      <c r="F1893" s="59"/>
      <c r="G1893" s="59"/>
      <c r="H1893" s="82"/>
      <c r="I1893" s="59"/>
    </row>
    <row r="1894">
      <c r="A1894" s="59"/>
      <c r="B1894" s="59"/>
      <c r="C1894" s="59"/>
      <c r="D1894" s="59"/>
      <c r="E1894" s="59"/>
      <c r="F1894" s="59"/>
      <c r="G1894" s="59"/>
      <c r="H1894" s="82"/>
      <c r="I1894" s="59"/>
    </row>
    <row r="1895">
      <c r="A1895" s="59"/>
      <c r="B1895" s="59"/>
      <c r="C1895" s="59"/>
      <c r="D1895" s="59"/>
      <c r="E1895" s="59"/>
      <c r="F1895" s="59"/>
      <c r="G1895" s="59"/>
      <c r="H1895" s="82"/>
      <c r="I1895" s="59"/>
    </row>
    <row r="1896">
      <c r="A1896" s="59"/>
      <c r="B1896" s="59"/>
      <c r="C1896" s="59"/>
      <c r="D1896" s="59"/>
      <c r="E1896" s="59"/>
      <c r="F1896" s="59"/>
      <c r="G1896" s="59"/>
      <c r="H1896" s="82"/>
      <c r="I1896" s="59"/>
    </row>
    <row r="1897">
      <c r="A1897" s="59"/>
      <c r="B1897" s="59"/>
      <c r="C1897" s="59"/>
      <c r="D1897" s="59"/>
      <c r="E1897" s="59"/>
      <c r="F1897" s="59"/>
      <c r="G1897" s="59"/>
      <c r="H1897" s="82"/>
      <c r="I1897" s="59"/>
    </row>
    <row r="1898">
      <c r="A1898" s="59"/>
      <c r="B1898" s="59"/>
      <c r="C1898" s="59"/>
      <c r="D1898" s="59"/>
      <c r="E1898" s="59"/>
      <c r="F1898" s="59"/>
      <c r="G1898" s="59"/>
      <c r="H1898" s="82"/>
      <c r="I1898" s="59"/>
    </row>
    <row r="1899">
      <c r="A1899" s="59"/>
      <c r="B1899" s="59"/>
      <c r="C1899" s="59"/>
      <c r="D1899" s="59"/>
      <c r="E1899" s="59"/>
      <c r="F1899" s="59"/>
      <c r="G1899" s="59"/>
      <c r="H1899" s="82"/>
      <c r="I1899" s="59"/>
    </row>
    <row r="1900">
      <c r="A1900" s="59"/>
      <c r="B1900" s="59"/>
      <c r="C1900" s="59"/>
      <c r="D1900" s="59"/>
      <c r="E1900" s="59"/>
      <c r="F1900" s="59"/>
      <c r="G1900" s="59"/>
      <c r="H1900" s="82"/>
      <c r="I1900" s="59"/>
    </row>
    <row r="1901">
      <c r="A1901" s="59"/>
      <c r="B1901" s="59"/>
      <c r="C1901" s="59"/>
      <c r="D1901" s="59"/>
      <c r="E1901" s="59"/>
      <c r="F1901" s="59"/>
      <c r="G1901" s="59"/>
      <c r="H1901" s="82"/>
      <c r="I1901" s="59"/>
    </row>
    <row r="1902">
      <c r="A1902" s="59"/>
      <c r="B1902" s="59"/>
      <c r="C1902" s="59"/>
      <c r="D1902" s="59"/>
      <c r="E1902" s="59"/>
      <c r="F1902" s="59"/>
      <c r="G1902" s="59"/>
      <c r="H1902" s="82"/>
      <c r="I1902" s="59"/>
    </row>
    <row r="1903">
      <c r="A1903" s="59"/>
      <c r="B1903" s="59"/>
      <c r="C1903" s="59"/>
      <c r="D1903" s="59"/>
      <c r="E1903" s="59"/>
      <c r="F1903" s="59"/>
      <c r="G1903" s="59"/>
      <c r="H1903" s="82"/>
      <c r="I1903" s="59"/>
    </row>
    <row r="1904">
      <c r="A1904" s="59"/>
      <c r="B1904" s="59"/>
      <c r="C1904" s="59"/>
      <c r="D1904" s="59"/>
      <c r="E1904" s="59"/>
      <c r="F1904" s="59"/>
      <c r="G1904" s="59"/>
      <c r="H1904" s="82"/>
      <c r="I1904" s="59"/>
    </row>
    <row r="1905">
      <c r="A1905" s="59"/>
      <c r="B1905" s="59"/>
      <c r="C1905" s="59"/>
      <c r="D1905" s="59"/>
      <c r="E1905" s="59"/>
      <c r="F1905" s="59"/>
      <c r="G1905" s="59"/>
      <c r="H1905" s="82"/>
      <c r="I1905" s="59"/>
    </row>
    <row r="1906">
      <c r="A1906" s="59"/>
      <c r="B1906" s="59"/>
      <c r="C1906" s="59"/>
      <c r="D1906" s="59"/>
      <c r="E1906" s="59"/>
      <c r="F1906" s="59"/>
      <c r="G1906" s="59"/>
      <c r="H1906" s="82"/>
      <c r="I1906" s="59"/>
    </row>
    <row r="1907">
      <c r="A1907" s="59"/>
      <c r="B1907" s="59"/>
      <c r="C1907" s="59"/>
      <c r="D1907" s="59"/>
      <c r="E1907" s="59"/>
      <c r="F1907" s="59"/>
      <c r="G1907" s="59"/>
      <c r="H1907" s="82"/>
      <c r="I1907" s="59"/>
    </row>
    <row r="1908">
      <c r="A1908" s="59"/>
      <c r="B1908" s="59"/>
      <c r="C1908" s="59"/>
      <c r="D1908" s="59"/>
      <c r="E1908" s="59"/>
      <c r="F1908" s="59"/>
      <c r="G1908" s="59"/>
      <c r="H1908" s="82"/>
      <c r="I1908" s="59"/>
    </row>
    <row r="1909">
      <c r="A1909" s="59"/>
      <c r="B1909" s="59"/>
      <c r="C1909" s="59"/>
      <c r="D1909" s="59"/>
      <c r="E1909" s="59"/>
      <c r="F1909" s="59"/>
      <c r="G1909" s="59"/>
      <c r="H1909" s="82"/>
      <c r="I1909" s="59"/>
    </row>
    <row r="1910">
      <c r="A1910" s="59"/>
      <c r="B1910" s="59"/>
      <c r="C1910" s="59"/>
      <c r="D1910" s="59"/>
      <c r="E1910" s="59"/>
      <c r="F1910" s="59"/>
      <c r="G1910" s="59"/>
      <c r="H1910" s="82"/>
      <c r="I1910" s="59"/>
    </row>
    <row r="1911">
      <c r="A1911" s="59"/>
      <c r="B1911" s="59"/>
      <c r="C1911" s="59"/>
      <c r="D1911" s="59"/>
      <c r="E1911" s="59"/>
      <c r="F1911" s="59"/>
      <c r="G1911" s="59"/>
      <c r="H1911" s="82"/>
      <c r="I1911" s="59"/>
    </row>
    <row r="1912">
      <c r="A1912" s="59"/>
      <c r="B1912" s="59"/>
      <c r="C1912" s="59"/>
      <c r="D1912" s="59"/>
      <c r="E1912" s="59"/>
      <c r="F1912" s="59"/>
      <c r="G1912" s="59"/>
      <c r="H1912" s="82"/>
      <c r="I1912" s="59"/>
    </row>
    <row r="1913">
      <c r="A1913" s="59"/>
      <c r="B1913" s="59"/>
      <c r="C1913" s="59"/>
      <c r="D1913" s="59"/>
      <c r="E1913" s="59"/>
      <c r="F1913" s="59"/>
      <c r="G1913" s="59"/>
      <c r="H1913" s="82"/>
      <c r="I1913" s="59"/>
    </row>
    <row r="1914">
      <c r="A1914" s="59"/>
      <c r="B1914" s="59"/>
      <c r="C1914" s="59"/>
      <c r="D1914" s="59"/>
      <c r="E1914" s="59"/>
      <c r="F1914" s="59"/>
      <c r="G1914" s="59"/>
      <c r="H1914" s="82"/>
      <c r="I1914" s="59"/>
    </row>
    <row r="1915">
      <c r="A1915" s="59"/>
      <c r="B1915" s="59"/>
      <c r="C1915" s="59"/>
      <c r="D1915" s="59"/>
      <c r="E1915" s="59"/>
      <c r="F1915" s="59"/>
      <c r="G1915" s="59"/>
      <c r="H1915" s="82"/>
      <c r="I1915" s="59"/>
    </row>
    <row r="1916">
      <c r="A1916" s="59"/>
      <c r="B1916" s="59"/>
      <c r="C1916" s="59"/>
      <c r="D1916" s="59"/>
      <c r="E1916" s="59"/>
      <c r="F1916" s="59"/>
      <c r="G1916" s="59"/>
      <c r="H1916" s="82"/>
      <c r="I1916" s="59"/>
    </row>
    <row r="1917">
      <c r="A1917" s="59"/>
      <c r="B1917" s="59"/>
      <c r="C1917" s="59"/>
      <c r="D1917" s="59"/>
      <c r="E1917" s="59"/>
      <c r="F1917" s="59"/>
      <c r="G1917" s="59"/>
      <c r="H1917" s="82"/>
      <c r="I1917" s="59"/>
    </row>
    <row r="1918">
      <c r="A1918" s="59"/>
      <c r="B1918" s="59"/>
      <c r="C1918" s="59"/>
      <c r="D1918" s="59"/>
      <c r="E1918" s="59"/>
      <c r="F1918" s="59"/>
      <c r="G1918" s="59"/>
      <c r="H1918" s="82"/>
      <c r="I1918" s="59"/>
    </row>
    <row r="1919">
      <c r="A1919" s="59"/>
      <c r="B1919" s="59"/>
      <c r="C1919" s="59"/>
      <c r="D1919" s="59"/>
      <c r="E1919" s="59"/>
      <c r="F1919" s="59"/>
      <c r="G1919" s="59"/>
      <c r="H1919" s="82"/>
      <c r="I1919" s="59"/>
    </row>
    <row r="1920">
      <c r="A1920" s="59"/>
      <c r="B1920" s="59"/>
      <c r="C1920" s="59"/>
      <c r="D1920" s="59"/>
      <c r="E1920" s="59"/>
      <c r="F1920" s="59"/>
      <c r="G1920" s="59"/>
      <c r="H1920" s="82"/>
      <c r="I1920" s="59"/>
    </row>
    <row r="1921">
      <c r="A1921" s="59"/>
      <c r="B1921" s="59"/>
      <c r="C1921" s="59"/>
      <c r="D1921" s="59"/>
      <c r="E1921" s="59"/>
      <c r="F1921" s="59"/>
      <c r="G1921" s="59"/>
      <c r="H1921" s="82"/>
      <c r="I1921" s="59"/>
    </row>
    <row r="1922">
      <c r="A1922" s="59"/>
      <c r="B1922" s="59"/>
      <c r="C1922" s="59"/>
      <c r="D1922" s="59"/>
      <c r="E1922" s="59"/>
      <c r="F1922" s="59"/>
      <c r="G1922" s="59"/>
      <c r="H1922" s="82"/>
      <c r="I1922" s="59"/>
    </row>
    <row r="1923">
      <c r="A1923" s="59"/>
      <c r="B1923" s="59"/>
      <c r="C1923" s="59"/>
      <c r="D1923" s="59"/>
      <c r="E1923" s="59"/>
      <c r="F1923" s="59"/>
      <c r="G1923" s="59"/>
      <c r="H1923" s="82"/>
      <c r="I1923" s="59"/>
    </row>
    <row r="1924">
      <c r="A1924" s="59"/>
      <c r="B1924" s="59"/>
      <c r="C1924" s="59"/>
      <c r="D1924" s="59"/>
      <c r="E1924" s="59"/>
      <c r="F1924" s="59"/>
      <c r="G1924" s="59"/>
      <c r="H1924" s="82"/>
      <c r="I1924" s="59"/>
    </row>
    <row r="1925">
      <c r="A1925" s="59"/>
      <c r="B1925" s="59"/>
      <c r="C1925" s="59"/>
      <c r="D1925" s="59"/>
      <c r="E1925" s="59"/>
      <c r="F1925" s="59"/>
      <c r="G1925" s="59"/>
      <c r="H1925" s="82"/>
      <c r="I1925" s="59"/>
    </row>
    <row r="1926">
      <c r="A1926" s="59"/>
      <c r="B1926" s="59"/>
      <c r="C1926" s="59"/>
      <c r="D1926" s="59"/>
      <c r="E1926" s="59"/>
      <c r="F1926" s="59"/>
      <c r="G1926" s="59"/>
      <c r="H1926" s="82"/>
      <c r="I1926" s="59"/>
    </row>
    <row r="1927">
      <c r="A1927" s="59"/>
      <c r="B1927" s="59"/>
      <c r="C1927" s="59"/>
      <c r="D1927" s="59"/>
      <c r="E1927" s="59"/>
      <c r="F1927" s="59"/>
      <c r="G1927" s="59"/>
      <c r="H1927" s="82"/>
      <c r="I1927" s="59"/>
    </row>
    <row r="1928">
      <c r="A1928" s="59"/>
      <c r="B1928" s="59"/>
      <c r="C1928" s="59"/>
      <c r="D1928" s="59"/>
      <c r="E1928" s="59"/>
      <c r="F1928" s="59"/>
      <c r="G1928" s="59"/>
      <c r="H1928" s="82"/>
      <c r="I1928" s="59"/>
    </row>
    <row r="1929">
      <c r="A1929" s="59"/>
      <c r="B1929" s="59"/>
      <c r="C1929" s="59"/>
      <c r="D1929" s="59"/>
      <c r="E1929" s="59"/>
      <c r="F1929" s="59"/>
      <c r="G1929" s="59"/>
      <c r="H1929" s="82"/>
      <c r="I1929" s="59"/>
    </row>
    <row r="1930">
      <c r="A1930" s="59"/>
      <c r="B1930" s="59"/>
      <c r="C1930" s="59"/>
      <c r="D1930" s="59"/>
      <c r="E1930" s="59"/>
      <c r="F1930" s="59"/>
      <c r="G1930" s="59"/>
      <c r="H1930" s="82"/>
      <c r="I1930" s="59"/>
    </row>
    <row r="1931">
      <c r="A1931" s="59"/>
      <c r="B1931" s="59"/>
      <c r="C1931" s="59"/>
      <c r="D1931" s="59"/>
      <c r="E1931" s="59"/>
      <c r="F1931" s="59"/>
      <c r="G1931" s="59"/>
      <c r="H1931" s="82"/>
      <c r="I1931" s="59"/>
    </row>
    <row r="1932">
      <c r="A1932" s="59"/>
      <c r="B1932" s="59"/>
      <c r="C1932" s="59"/>
      <c r="D1932" s="59"/>
      <c r="E1932" s="59"/>
      <c r="F1932" s="59"/>
      <c r="G1932" s="59"/>
      <c r="H1932" s="82"/>
      <c r="I1932" s="59"/>
    </row>
    <row r="1933">
      <c r="A1933" s="59"/>
      <c r="B1933" s="59"/>
      <c r="C1933" s="59"/>
      <c r="D1933" s="59"/>
      <c r="E1933" s="59"/>
      <c r="F1933" s="59"/>
      <c r="G1933" s="59"/>
      <c r="H1933" s="82"/>
      <c r="I1933" s="59"/>
    </row>
    <row r="1934">
      <c r="A1934" s="59"/>
      <c r="B1934" s="59"/>
      <c r="C1934" s="59"/>
      <c r="D1934" s="59"/>
      <c r="E1934" s="59"/>
      <c r="F1934" s="59"/>
      <c r="G1934" s="59"/>
      <c r="H1934" s="82"/>
      <c r="I1934" s="59"/>
    </row>
    <row r="1935">
      <c r="A1935" s="59"/>
      <c r="B1935" s="59"/>
      <c r="C1935" s="59"/>
      <c r="D1935" s="59"/>
      <c r="E1935" s="59"/>
      <c r="F1935" s="59"/>
      <c r="G1935" s="59"/>
      <c r="H1935" s="82"/>
      <c r="I1935" s="59"/>
    </row>
    <row r="1936">
      <c r="A1936" s="59"/>
      <c r="B1936" s="59"/>
      <c r="C1936" s="59"/>
      <c r="D1936" s="59"/>
      <c r="E1936" s="59"/>
      <c r="F1936" s="59"/>
      <c r="G1936" s="59"/>
      <c r="H1936" s="82"/>
      <c r="I1936" s="59"/>
    </row>
    <row r="1937">
      <c r="A1937" s="59"/>
      <c r="B1937" s="59"/>
      <c r="C1937" s="59"/>
      <c r="D1937" s="59"/>
      <c r="E1937" s="59"/>
      <c r="F1937" s="59"/>
      <c r="G1937" s="59"/>
      <c r="H1937" s="82"/>
      <c r="I1937" s="59"/>
    </row>
    <row r="1938">
      <c r="A1938" s="59"/>
      <c r="B1938" s="59"/>
      <c r="C1938" s="59"/>
      <c r="D1938" s="59"/>
      <c r="E1938" s="59"/>
      <c r="F1938" s="59"/>
      <c r="G1938" s="59"/>
      <c r="H1938" s="82"/>
      <c r="I1938" s="59"/>
    </row>
    <row r="1939">
      <c r="A1939" s="59"/>
      <c r="B1939" s="59"/>
      <c r="C1939" s="59"/>
      <c r="D1939" s="59"/>
      <c r="E1939" s="59"/>
      <c r="F1939" s="59"/>
      <c r="G1939" s="59"/>
      <c r="H1939" s="82"/>
      <c r="I1939" s="59"/>
    </row>
    <row r="1940">
      <c r="A1940" s="59"/>
      <c r="B1940" s="59"/>
      <c r="C1940" s="59"/>
      <c r="D1940" s="59"/>
      <c r="E1940" s="59"/>
      <c r="F1940" s="59"/>
      <c r="G1940" s="59"/>
      <c r="H1940" s="82"/>
      <c r="I1940" s="59"/>
    </row>
    <row r="1941">
      <c r="A1941" s="59"/>
      <c r="B1941" s="59"/>
      <c r="C1941" s="59"/>
      <c r="D1941" s="59"/>
      <c r="E1941" s="59"/>
      <c r="F1941" s="59"/>
      <c r="G1941" s="59"/>
      <c r="H1941" s="82"/>
      <c r="I1941" s="59"/>
    </row>
    <row r="1942">
      <c r="A1942" s="59"/>
      <c r="B1942" s="59"/>
      <c r="C1942" s="59"/>
      <c r="D1942" s="59"/>
      <c r="E1942" s="59"/>
      <c r="F1942" s="59"/>
      <c r="G1942" s="59"/>
      <c r="H1942" s="82"/>
      <c r="I1942" s="59"/>
    </row>
    <row r="1943">
      <c r="A1943" s="59"/>
      <c r="B1943" s="59"/>
      <c r="C1943" s="59"/>
      <c r="D1943" s="59"/>
      <c r="E1943" s="59"/>
      <c r="F1943" s="59"/>
      <c r="G1943" s="59"/>
      <c r="H1943" s="82"/>
      <c r="I1943" s="59"/>
    </row>
    <row r="1944">
      <c r="A1944" s="59"/>
      <c r="B1944" s="59"/>
      <c r="C1944" s="59"/>
      <c r="D1944" s="59"/>
      <c r="E1944" s="59"/>
      <c r="F1944" s="59"/>
      <c r="G1944" s="59"/>
      <c r="H1944" s="82"/>
      <c r="I1944" s="59"/>
    </row>
    <row r="1945">
      <c r="A1945" s="59"/>
      <c r="B1945" s="59"/>
      <c r="C1945" s="59"/>
      <c r="D1945" s="59"/>
      <c r="E1945" s="59"/>
      <c r="F1945" s="59"/>
      <c r="G1945" s="59"/>
      <c r="H1945" s="82"/>
      <c r="I1945" s="59"/>
    </row>
    <row r="1946">
      <c r="A1946" s="59"/>
      <c r="B1946" s="59"/>
      <c r="C1946" s="59"/>
      <c r="D1946" s="59"/>
      <c r="E1946" s="59"/>
      <c r="F1946" s="59"/>
      <c r="G1946" s="59"/>
      <c r="H1946" s="82"/>
      <c r="I1946" s="59"/>
    </row>
    <row r="1947">
      <c r="A1947" s="59"/>
      <c r="B1947" s="59"/>
      <c r="C1947" s="59"/>
      <c r="D1947" s="59"/>
      <c r="E1947" s="59"/>
      <c r="F1947" s="59"/>
      <c r="G1947" s="59"/>
      <c r="H1947" s="82"/>
      <c r="I1947" s="59"/>
    </row>
    <row r="1948">
      <c r="A1948" s="59"/>
      <c r="B1948" s="59"/>
      <c r="C1948" s="59"/>
      <c r="D1948" s="59"/>
      <c r="E1948" s="59"/>
      <c r="F1948" s="59"/>
      <c r="G1948" s="59"/>
      <c r="H1948" s="82"/>
      <c r="I1948" s="59"/>
    </row>
    <row r="1949">
      <c r="A1949" s="59"/>
      <c r="B1949" s="59"/>
      <c r="C1949" s="59"/>
      <c r="D1949" s="59"/>
      <c r="E1949" s="59"/>
      <c r="F1949" s="59"/>
      <c r="G1949" s="59"/>
      <c r="H1949" s="82"/>
      <c r="I1949" s="59"/>
    </row>
    <row r="1950">
      <c r="A1950" s="59"/>
      <c r="B1950" s="59"/>
      <c r="C1950" s="59"/>
      <c r="D1950" s="59"/>
      <c r="E1950" s="59"/>
      <c r="F1950" s="59"/>
      <c r="G1950" s="59"/>
      <c r="H1950" s="82"/>
      <c r="I1950" s="59"/>
    </row>
    <row r="1951">
      <c r="A1951" s="59"/>
      <c r="B1951" s="59"/>
      <c r="C1951" s="59"/>
      <c r="D1951" s="59"/>
      <c r="E1951" s="59"/>
      <c r="F1951" s="59"/>
      <c r="G1951" s="59"/>
      <c r="H1951" s="82"/>
      <c r="I1951" s="59"/>
    </row>
    <row r="1952">
      <c r="A1952" s="59"/>
      <c r="B1952" s="59"/>
      <c r="C1952" s="59"/>
      <c r="D1952" s="59"/>
      <c r="E1952" s="59"/>
      <c r="F1952" s="59"/>
      <c r="G1952" s="59"/>
      <c r="H1952" s="82"/>
      <c r="I1952" s="59"/>
    </row>
    <row r="1953">
      <c r="A1953" s="59"/>
      <c r="B1953" s="59"/>
      <c r="C1953" s="59"/>
      <c r="D1953" s="59"/>
      <c r="E1953" s="59"/>
      <c r="F1953" s="59"/>
      <c r="G1953" s="59"/>
      <c r="H1953" s="82"/>
      <c r="I1953" s="59"/>
    </row>
    <row r="1954">
      <c r="A1954" s="59"/>
      <c r="B1954" s="59"/>
      <c r="C1954" s="59"/>
      <c r="D1954" s="59"/>
      <c r="E1954" s="59"/>
      <c r="F1954" s="59"/>
      <c r="G1954" s="59"/>
      <c r="H1954" s="82"/>
      <c r="I1954" s="59"/>
    </row>
    <row r="1955">
      <c r="A1955" s="59"/>
      <c r="B1955" s="59"/>
      <c r="C1955" s="59"/>
      <c r="D1955" s="59"/>
      <c r="E1955" s="59"/>
      <c r="F1955" s="59"/>
      <c r="G1955" s="59"/>
      <c r="H1955" s="82"/>
      <c r="I1955" s="59"/>
    </row>
    <row r="1956">
      <c r="A1956" s="59"/>
      <c r="B1956" s="59"/>
      <c r="C1956" s="59"/>
      <c r="D1956" s="59"/>
      <c r="E1956" s="59"/>
      <c r="F1956" s="59"/>
      <c r="G1956" s="59"/>
      <c r="H1956" s="82"/>
      <c r="I1956" s="59"/>
    </row>
    <row r="1957">
      <c r="A1957" s="59"/>
      <c r="B1957" s="59"/>
      <c r="C1957" s="59"/>
      <c r="D1957" s="59"/>
      <c r="E1957" s="59"/>
      <c r="F1957" s="59"/>
      <c r="G1957" s="59"/>
      <c r="H1957" s="82"/>
      <c r="I1957" s="59"/>
    </row>
    <row r="1958">
      <c r="A1958" s="59"/>
      <c r="B1958" s="59"/>
      <c r="C1958" s="59"/>
      <c r="D1958" s="59"/>
      <c r="E1958" s="59"/>
      <c r="F1958" s="59"/>
      <c r="G1958" s="59"/>
      <c r="H1958" s="82"/>
      <c r="I1958" s="59"/>
    </row>
    <row r="1959">
      <c r="A1959" s="59"/>
      <c r="B1959" s="59"/>
      <c r="C1959" s="59"/>
      <c r="D1959" s="59"/>
      <c r="E1959" s="59"/>
      <c r="F1959" s="59"/>
      <c r="G1959" s="59"/>
      <c r="H1959" s="82"/>
      <c r="I1959" s="59"/>
    </row>
    <row r="1960">
      <c r="A1960" s="59"/>
      <c r="B1960" s="59"/>
      <c r="C1960" s="59"/>
      <c r="D1960" s="59"/>
      <c r="E1960" s="59"/>
      <c r="F1960" s="59"/>
      <c r="G1960" s="59"/>
      <c r="H1960" s="82"/>
      <c r="I1960" s="59"/>
    </row>
    <row r="1961">
      <c r="A1961" s="59"/>
      <c r="B1961" s="59"/>
      <c r="C1961" s="59"/>
      <c r="D1961" s="59"/>
      <c r="E1961" s="59"/>
      <c r="F1961" s="59"/>
      <c r="G1961" s="59"/>
      <c r="H1961" s="82"/>
      <c r="I1961" s="59"/>
    </row>
    <row r="1962">
      <c r="A1962" s="59"/>
      <c r="B1962" s="59"/>
      <c r="C1962" s="59"/>
      <c r="D1962" s="59"/>
      <c r="E1962" s="59"/>
      <c r="F1962" s="59"/>
      <c r="G1962" s="59"/>
      <c r="H1962" s="82"/>
      <c r="I1962" s="59"/>
    </row>
    <row r="1963">
      <c r="A1963" s="59"/>
      <c r="B1963" s="59"/>
      <c r="C1963" s="59"/>
      <c r="D1963" s="59"/>
      <c r="E1963" s="59"/>
      <c r="F1963" s="59"/>
      <c r="G1963" s="59"/>
      <c r="H1963" s="82"/>
      <c r="I1963" s="59"/>
    </row>
    <row r="1964">
      <c r="A1964" s="59"/>
      <c r="B1964" s="59"/>
      <c r="C1964" s="59"/>
      <c r="D1964" s="59"/>
      <c r="E1964" s="59"/>
      <c r="F1964" s="59"/>
      <c r="G1964" s="59"/>
      <c r="H1964" s="82"/>
      <c r="I1964" s="59"/>
    </row>
    <row r="1965">
      <c r="A1965" s="59"/>
      <c r="B1965" s="59"/>
      <c r="C1965" s="59"/>
      <c r="D1965" s="59"/>
      <c r="E1965" s="59"/>
      <c r="F1965" s="59"/>
      <c r="G1965" s="59"/>
      <c r="H1965" s="82"/>
      <c r="I1965" s="59"/>
    </row>
    <row r="1966">
      <c r="A1966" s="59"/>
      <c r="B1966" s="59"/>
      <c r="C1966" s="59"/>
      <c r="D1966" s="59"/>
      <c r="E1966" s="59"/>
      <c r="F1966" s="59"/>
      <c r="G1966" s="59"/>
      <c r="H1966" s="82"/>
      <c r="I1966" s="59"/>
    </row>
    <row r="1967">
      <c r="A1967" s="59"/>
      <c r="B1967" s="59"/>
      <c r="C1967" s="59"/>
      <c r="D1967" s="59"/>
      <c r="E1967" s="59"/>
      <c r="F1967" s="59"/>
      <c r="G1967" s="59"/>
      <c r="H1967" s="82"/>
      <c r="I1967" s="59"/>
    </row>
    <row r="1968">
      <c r="A1968" s="59"/>
      <c r="B1968" s="59"/>
      <c r="C1968" s="59"/>
      <c r="D1968" s="59"/>
      <c r="E1968" s="59"/>
      <c r="F1968" s="59"/>
      <c r="G1968" s="59"/>
      <c r="H1968" s="82"/>
      <c r="I1968" s="59"/>
    </row>
    <row r="1969">
      <c r="A1969" s="59"/>
      <c r="B1969" s="59"/>
      <c r="C1969" s="59"/>
      <c r="D1969" s="59"/>
      <c r="E1969" s="59"/>
      <c r="F1969" s="59"/>
      <c r="G1969" s="59"/>
      <c r="H1969" s="82"/>
      <c r="I1969" s="59"/>
    </row>
    <row r="1970">
      <c r="A1970" s="59"/>
      <c r="B1970" s="59"/>
      <c r="C1970" s="59"/>
      <c r="D1970" s="59"/>
      <c r="E1970" s="59"/>
      <c r="F1970" s="59"/>
      <c r="G1970" s="59"/>
      <c r="H1970" s="82"/>
      <c r="I1970" s="59"/>
    </row>
    <row r="1971">
      <c r="A1971" s="59"/>
      <c r="B1971" s="59"/>
      <c r="C1971" s="59"/>
      <c r="D1971" s="59"/>
      <c r="E1971" s="59"/>
      <c r="F1971" s="59"/>
      <c r="G1971" s="59"/>
      <c r="H1971" s="82"/>
      <c r="I1971" s="59"/>
    </row>
    <row r="1972">
      <c r="A1972" s="59"/>
      <c r="B1972" s="59"/>
      <c r="C1972" s="59"/>
      <c r="D1972" s="59"/>
      <c r="E1972" s="59"/>
      <c r="F1972" s="59"/>
      <c r="G1972" s="59"/>
      <c r="H1972" s="82"/>
      <c r="I1972" s="59"/>
    </row>
    <row r="1973">
      <c r="A1973" s="59"/>
      <c r="B1973" s="59"/>
      <c r="C1973" s="59"/>
      <c r="D1973" s="59"/>
      <c r="E1973" s="59"/>
      <c r="F1973" s="59"/>
      <c r="G1973" s="59"/>
      <c r="H1973" s="82"/>
      <c r="I1973" s="59"/>
    </row>
    <row r="1974">
      <c r="A1974" s="59"/>
      <c r="B1974" s="59"/>
      <c r="C1974" s="59"/>
      <c r="D1974" s="59"/>
      <c r="E1974" s="59"/>
      <c r="F1974" s="59"/>
      <c r="G1974" s="59"/>
      <c r="H1974" s="82"/>
      <c r="I1974" s="59"/>
    </row>
    <row r="1975">
      <c r="A1975" s="59"/>
      <c r="B1975" s="59"/>
      <c r="C1975" s="59"/>
      <c r="D1975" s="59"/>
      <c r="E1975" s="59"/>
      <c r="F1975" s="59"/>
      <c r="G1975" s="59"/>
      <c r="H1975" s="82"/>
      <c r="I1975" s="59"/>
    </row>
    <row r="1976">
      <c r="A1976" s="59"/>
      <c r="B1976" s="59"/>
      <c r="C1976" s="59"/>
      <c r="D1976" s="59"/>
      <c r="E1976" s="59"/>
      <c r="F1976" s="59"/>
      <c r="G1976" s="59"/>
      <c r="H1976" s="82"/>
      <c r="I1976" s="59"/>
    </row>
    <row r="1977">
      <c r="A1977" s="59"/>
      <c r="B1977" s="59"/>
      <c r="C1977" s="59"/>
      <c r="D1977" s="59"/>
      <c r="E1977" s="59"/>
      <c r="F1977" s="59"/>
      <c r="G1977" s="59"/>
      <c r="H1977" s="82"/>
      <c r="I1977" s="59"/>
    </row>
    <row r="1978">
      <c r="A1978" s="59"/>
      <c r="B1978" s="59"/>
      <c r="C1978" s="59"/>
      <c r="D1978" s="59"/>
      <c r="E1978" s="59"/>
      <c r="F1978" s="59"/>
      <c r="G1978" s="59"/>
      <c r="H1978" s="82"/>
      <c r="I1978" s="59"/>
    </row>
    <row r="1979">
      <c r="A1979" s="59"/>
      <c r="B1979" s="59"/>
      <c r="C1979" s="59"/>
      <c r="D1979" s="59"/>
      <c r="E1979" s="59"/>
      <c r="F1979" s="59"/>
      <c r="G1979" s="59"/>
      <c r="H1979" s="82"/>
      <c r="I1979" s="59"/>
    </row>
    <row r="1980">
      <c r="A1980" s="59"/>
      <c r="B1980" s="59"/>
      <c r="C1980" s="59"/>
      <c r="D1980" s="59"/>
      <c r="E1980" s="59"/>
      <c r="F1980" s="59"/>
      <c r="G1980" s="59"/>
      <c r="H1980" s="82"/>
      <c r="I1980" s="59"/>
    </row>
    <row r="1981">
      <c r="A1981" s="59"/>
      <c r="B1981" s="59"/>
      <c r="C1981" s="59"/>
      <c r="D1981" s="59"/>
      <c r="E1981" s="59"/>
      <c r="F1981" s="59"/>
      <c r="G1981" s="59"/>
      <c r="H1981" s="82"/>
      <c r="I1981" s="59"/>
    </row>
    <row r="1982">
      <c r="A1982" s="59"/>
      <c r="B1982" s="59"/>
      <c r="C1982" s="59"/>
      <c r="D1982" s="59"/>
      <c r="E1982" s="59"/>
      <c r="F1982" s="59"/>
      <c r="G1982" s="59"/>
      <c r="H1982" s="82"/>
      <c r="I1982" s="59"/>
    </row>
    <row r="1983">
      <c r="A1983" s="59"/>
      <c r="B1983" s="59"/>
      <c r="C1983" s="59"/>
      <c r="D1983" s="59"/>
      <c r="E1983" s="59"/>
      <c r="F1983" s="59"/>
      <c r="G1983" s="59"/>
      <c r="H1983" s="82"/>
      <c r="I1983" s="59"/>
    </row>
    <row r="1984">
      <c r="A1984" s="59"/>
      <c r="B1984" s="59"/>
      <c r="C1984" s="59"/>
      <c r="D1984" s="59"/>
      <c r="E1984" s="59"/>
      <c r="F1984" s="59"/>
      <c r="G1984" s="59"/>
      <c r="H1984" s="82"/>
      <c r="I1984" s="59"/>
    </row>
    <row r="1985">
      <c r="A1985" s="59"/>
      <c r="B1985" s="59"/>
      <c r="C1985" s="59"/>
      <c r="D1985" s="59"/>
      <c r="E1985" s="59"/>
      <c r="F1985" s="59"/>
      <c r="G1985" s="59"/>
      <c r="H1985" s="82"/>
      <c r="I1985" s="59"/>
    </row>
    <row r="1986">
      <c r="A1986" s="59"/>
      <c r="B1986" s="59"/>
      <c r="C1986" s="59"/>
      <c r="D1986" s="59"/>
      <c r="E1986" s="59"/>
      <c r="F1986" s="59"/>
      <c r="G1986" s="59"/>
      <c r="H1986" s="82"/>
      <c r="I1986" s="59"/>
    </row>
    <row r="1987">
      <c r="A1987" s="59"/>
      <c r="B1987" s="59"/>
      <c r="C1987" s="59"/>
      <c r="D1987" s="59"/>
      <c r="E1987" s="59"/>
      <c r="F1987" s="59"/>
      <c r="G1987" s="59"/>
      <c r="H1987" s="82"/>
      <c r="I1987" s="59"/>
    </row>
    <row r="1988">
      <c r="A1988" s="59"/>
      <c r="B1988" s="59"/>
      <c r="C1988" s="59"/>
      <c r="D1988" s="59"/>
      <c r="E1988" s="59"/>
      <c r="F1988" s="59"/>
      <c r="G1988" s="59"/>
      <c r="H1988" s="82"/>
      <c r="I1988" s="59"/>
    </row>
    <row r="1989">
      <c r="A1989" s="59"/>
      <c r="B1989" s="59"/>
      <c r="C1989" s="59"/>
      <c r="D1989" s="59"/>
      <c r="E1989" s="59"/>
      <c r="F1989" s="59"/>
      <c r="G1989" s="59"/>
      <c r="H1989" s="82"/>
      <c r="I1989" s="59"/>
    </row>
    <row r="1990">
      <c r="A1990" s="59"/>
      <c r="B1990" s="59"/>
      <c r="C1990" s="59"/>
      <c r="D1990" s="59"/>
      <c r="E1990" s="59"/>
      <c r="F1990" s="59"/>
      <c r="G1990" s="59"/>
      <c r="H1990" s="82"/>
      <c r="I1990" s="59"/>
    </row>
    <row r="1991">
      <c r="A1991" s="59"/>
      <c r="B1991" s="59"/>
      <c r="C1991" s="59"/>
      <c r="D1991" s="59"/>
      <c r="E1991" s="59"/>
      <c r="F1991" s="59"/>
      <c r="G1991" s="59"/>
      <c r="H1991" s="82"/>
      <c r="I1991" s="59"/>
    </row>
    <row r="1992">
      <c r="A1992" s="59"/>
      <c r="B1992" s="59"/>
      <c r="C1992" s="59"/>
      <c r="D1992" s="59"/>
      <c r="E1992" s="59"/>
      <c r="F1992" s="59"/>
      <c r="G1992" s="59"/>
      <c r="H1992" s="82"/>
      <c r="I1992" s="59"/>
    </row>
    <row r="1993">
      <c r="A1993" s="59"/>
      <c r="B1993" s="59"/>
      <c r="C1993" s="59"/>
      <c r="D1993" s="59"/>
      <c r="E1993" s="59"/>
      <c r="F1993" s="59"/>
      <c r="G1993" s="59"/>
      <c r="H1993" s="82"/>
      <c r="I1993" s="59"/>
    </row>
    <row r="1994">
      <c r="A1994" s="59"/>
      <c r="B1994" s="59"/>
      <c r="C1994" s="59"/>
      <c r="D1994" s="59"/>
      <c r="E1994" s="59"/>
      <c r="F1994" s="59"/>
      <c r="G1994" s="59"/>
      <c r="H1994" s="82"/>
      <c r="I1994" s="59"/>
    </row>
    <row r="1995">
      <c r="A1995" s="59"/>
      <c r="B1995" s="59"/>
      <c r="C1995" s="59"/>
      <c r="D1995" s="59"/>
      <c r="E1995" s="59"/>
      <c r="F1995" s="59"/>
      <c r="G1995" s="59"/>
      <c r="H1995" s="82"/>
      <c r="I1995" s="59"/>
    </row>
    <row r="1996">
      <c r="A1996" s="59"/>
      <c r="B1996" s="59"/>
      <c r="C1996" s="59"/>
      <c r="D1996" s="59"/>
      <c r="E1996" s="59"/>
      <c r="F1996" s="59"/>
      <c r="G1996" s="59"/>
      <c r="H1996" s="82"/>
      <c r="I1996" s="59"/>
    </row>
    <row r="1997">
      <c r="A1997" s="59"/>
      <c r="B1997" s="59"/>
      <c r="C1997" s="59"/>
      <c r="D1997" s="59"/>
      <c r="E1997" s="59"/>
      <c r="F1997" s="59"/>
      <c r="G1997" s="59"/>
      <c r="H1997" s="82"/>
      <c r="I1997" s="59"/>
    </row>
    <row r="1998">
      <c r="A1998" s="59"/>
      <c r="B1998" s="59"/>
      <c r="C1998" s="59"/>
      <c r="D1998" s="59"/>
      <c r="E1998" s="59"/>
      <c r="F1998" s="59"/>
      <c r="G1998" s="59"/>
      <c r="H1998" s="82"/>
      <c r="I1998" s="59"/>
    </row>
    <row r="1999">
      <c r="A1999" s="59"/>
      <c r="B1999" s="59"/>
      <c r="C1999" s="59"/>
      <c r="D1999" s="59"/>
      <c r="E1999" s="59"/>
      <c r="F1999" s="59"/>
      <c r="G1999" s="59"/>
      <c r="H1999" s="82"/>
      <c r="I1999" s="59"/>
    </row>
    <row r="2000">
      <c r="A2000" s="59"/>
      <c r="B2000" s="59"/>
      <c r="C2000" s="59"/>
      <c r="D2000" s="59"/>
      <c r="E2000" s="59"/>
      <c r="F2000" s="59"/>
      <c r="G2000" s="59"/>
      <c r="H2000" s="82"/>
      <c r="I2000" s="59"/>
    </row>
    <row r="2001">
      <c r="A2001" s="59"/>
      <c r="B2001" s="59"/>
      <c r="C2001" s="59"/>
      <c r="D2001" s="59"/>
      <c r="E2001" s="59"/>
      <c r="F2001" s="59"/>
      <c r="G2001" s="59"/>
      <c r="H2001" s="82"/>
      <c r="I2001" s="59"/>
    </row>
    <row r="2002">
      <c r="A2002" s="59"/>
      <c r="B2002" s="59"/>
      <c r="C2002" s="59"/>
      <c r="D2002" s="59"/>
      <c r="E2002" s="59"/>
      <c r="F2002" s="59"/>
      <c r="G2002" s="59"/>
      <c r="H2002" s="82"/>
      <c r="I2002" s="59"/>
    </row>
    <row r="2003">
      <c r="A2003" s="59"/>
      <c r="B2003" s="59"/>
      <c r="C2003" s="59"/>
      <c r="D2003" s="59"/>
      <c r="E2003" s="59"/>
      <c r="F2003" s="59"/>
      <c r="G2003" s="59"/>
      <c r="H2003" s="82"/>
      <c r="I2003" s="59"/>
    </row>
    <row r="2004">
      <c r="A2004" s="59"/>
      <c r="B2004" s="59"/>
      <c r="C2004" s="59"/>
      <c r="D2004" s="59"/>
      <c r="E2004" s="59"/>
      <c r="F2004" s="59"/>
      <c r="G2004" s="59"/>
      <c r="H2004" s="82"/>
      <c r="I2004" s="59"/>
    </row>
    <row r="2005">
      <c r="A2005" s="59"/>
      <c r="B2005" s="59"/>
      <c r="C2005" s="59"/>
      <c r="D2005" s="59"/>
      <c r="E2005" s="59"/>
      <c r="F2005" s="59"/>
      <c r="G2005" s="59"/>
      <c r="H2005" s="82"/>
      <c r="I2005" s="59"/>
    </row>
    <row r="2006">
      <c r="A2006" s="59"/>
      <c r="B2006" s="59"/>
      <c r="C2006" s="59"/>
      <c r="D2006" s="59"/>
      <c r="E2006" s="59"/>
      <c r="F2006" s="59"/>
      <c r="G2006" s="59"/>
      <c r="H2006" s="82"/>
      <c r="I2006" s="59"/>
    </row>
    <row r="2007">
      <c r="A2007" s="59"/>
      <c r="B2007" s="59"/>
      <c r="C2007" s="59"/>
      <c r="D2007" s="59"/>
      <c r="E2007" s="59"/>
      <c r="F2007" s="59"/>
      <c r="G2007" s="59"/>
      <c r="H2007" s="82"/>
      <c r="I2007" s="59"/>
    </row>
    <row r="2008">
      <c r="A2008" s="59"/>
      <c r="B2008" s="59"/>
      <c r="C2008" s="59"/>
      <c r="D2008" s="59"/>
      <c r="E2008" s="59"/>
      <c r="F2008" s="59"/>
      <c r="G2008" s="59"/>
      <c r="H2008" s="82"/>
      <c r="I2008" s="59"/>
    </row>
    <row r="2009">
      <c r="A2009" s="59"/>
      <c r="B2009" s="59"/>
      <c r="C2009" s="59"/>
      <c r="D2009" s="59"/>
      <c r="E2009" s="59"/>
      <c r="F2009" s="59"/>
      <c r="G2009" s="59"/>
      <c r="H2009" s="82"/>
      <c r="I2009" s="59"/>
    </row>
    <row r="2010">
      <c r="A2010" s="59"/>
      <c r="B2010" s="59"/>
      <c r="C2010" s="59"/>
      <c r="D2010" s="59"/>
      <c r="E2010" s="59"/>
      <c r="F2010" s="59"/>
      <c r="G2010" s="59"/>
      <c r="H2010" s="82"/>
      <c r="I2010" s="59"/>
    </row>
    <row r="2011">
      <c r="A2011" s="59"/>
      <c r="B2011" s="59"/>
      <c r="C2011" s="59"/>
      <c r="D2011" s="59"/>
      <c r="E2011" s="59"/>
      <c r="F2011" s="59"/>
      <c r="G2011" s="59"/>
      <c r="H2011" s="82"/>
      <c r="I2011" s="59"/>
    </row>
    <row r="2012">
      <c r="A2012" s="59"/>
      <c r="B2012" s="59"/>
      <c r="C2012" s="59"/>
      <c r="D2012" s="59"/>
      <c r="E2012" s="59"/>
      <c r="F2012" s="59"/>
      <c r="G2012" s="59"/>
      <c r="H2012" s="82"/>
      <c r="I2012" s="59"/>
    </row>
    <row r="2013">
      <c r="A2013" s="59"/>
      <c r="B2013" s="59"/>
      <c r="C2013" s="59"/>
      <c r="D2013" s="59"/>
      <c r="E2013" s="59"/>
      <c r="F2013" s="59"/>
      <c r="G2013" s="59"/>
      <c r="H2013" s="82"/>
      <c r="I2013" s="59"/>
    </row>
    <row r="2014">
      <c r="A2014" s="59"/>
      <c r="B2014" s="59"/>
      <c r="C2014" s="59"/>
      <c r="D2014" s="59"/>
      <c r="E2014" s="59"/>
      <c r="F2014" s="59"/>
      <c r="G2014" s="59"/>
      <c r="H2014" s="82"/>
      <c r="I2014" s="59"/>
    </row>
    <row r="2015">
      <c r="A2015" s="59"/>
      <c r="B2015" s="59"/>
      <c r="C2015" s="59"/>
      <c r="D2015" s="59"/>
      <c r="E2015" s="59"/>
      <c r="F2015" s="59"/>
      <c r="G2015" s="59"/>
      <c r="H2015" s="82"/>
      <c r="I2015" s="59"/>
    </row>
    <row r="2016">
      <c r="A2016" s="59"/>
      <c r="B2016" s="59"/>
      <c r="C2016" s="59"/>
      <c r="D2016" s="59"/>
      <c r="E2016" s="59"/>
      <c r="F2016" s="59"/>
      <c r="G2016" s="59"/>
      <c r="H2016" s="82"/>
      <c r="I2016" s="59"/>
    </row>
    <row r="2017">
      <c r="A2017" s="59"/>
      <c r="B2017" s="59"/>
      <c r="C2017" s="59"/>
      <c r="D2017" s="59"/>
      <c r="E2017" s="59"/>
      <c r="F2017" s="59"/>
      <c r="G2017" s="59"/>
      <c r="H2017" s="82"/>
      <c r="I2017" s="59"/>
    </row>
    <row r="2018">
      <c r="A2018" s="59"/>
      <c r="B2018" s="59"/>
      <c r="C2018" s="59"/>
      <c r="D2018" s="59"/>
      <c r="E2018" s="59"/>
      <c r="F2018" s="59"/>
      <c r="G2018" s="59"/>
      <c r="H2018" s="82"/>
      <c r="I2018" s="59"/>
    </row>
    <row r="2019">
      <c r="A2019" s="59"/>
      <c r="B2019" s="59"/>
      <c r="C2019" s="59"/>
      <c r="D2019" s="59"/>
      <c r="E2019" s="59"/>
      <c r="F2019" s="59"/>
      <c r="G2019" s="59"/>
      <c r="H2019" s="82"/>
      <c r="I2019" s="59"/>
    </row>
    <row r="2020">
      <c r="A2020" s="59"/>
      <c r="B2020" s="59"/>
      <c r="C2020" s="59"/>
      <c r="D2020" s="59"/>
      <c r="E2020" s="59"/>
      <c r="F2020" s="59"/>
      <c r="G2020" s="59"/>
      <c r="H2020" s="82"/>
      <c r="I2020" s="59"/>
    </row>
    <row r="2021">
      <c r="A2021" s="59"/>
      <c r="B2021" s="59"/>
      <c r="C2021" s="59"/>
      <c r="D2021" s="59"/>
      <c r="E2021" s="59"/>
      <c r="F2021" s="59"/>
      <c r="G2021" s="59"/>
      <c r="H2021" s="82"/>
      <c r="I2021" s="59"/>
    </row>
    <row r="2022">
      <c r="A2022" s="59"/>
      <c r="B2022" s="59"/>
      <c r="C2022" s="59"/>
      <c r="D2022" s="59"/>
      <c r="E2022" s="59"/>
      <c r="F2022" s="59"/>
      <c r="G2022" s="59"/>
      <c r="H2022" s="82"/>
      <c r="I2022" s="59"/>
    </row>
    <row r="2023">
      <c r="A2023" s="59"/>
      <c r="B2023" s="59"/>
      <c r="C2023" s="59"/>
      <c r="D2023" s="59"/>
      <c r="E2023" s="59"/>
      <c r="F2023" s="59"/>
      <c r="G2023" s="59"/>
      <c r="H2023" s="82"/>
      <c r="I2023" s="59"/>
    </row>
    <row r="2024">
      <c r="A2024" s="59"/>
      <c r="B2024" s="59"/>
      <c r="C2024" s="59"/>
      <c r="D2024" s="59"/>
      <c r="E2024" s="59"/>
      <c r="F2024" s="59"/>
      <c r="G2024" s="59"/>
      <c r="H2024" s="82"/>
      <c r="I2024" s="59"/>
    </row>
    <row r="2025">
      <c r="A2025" s="59"/>
      <c r="B2025" s="59"/>
      <c r="C2025" s="59"/>
      <c r="D2025" s="59"/>
      <c r="E2025" s="59"/>
      <c r="F2025" s="59"/>
      <c r="G2025" s="59"/>
      <c r="H2025" s="82"/>
      <c r="I2025" s="59"/>
    </row>
    <row r="2026">
      <c r="A2026" s="59"/>
      <c r="B2026" s="59"/>
      <c r="C2026" s="59"/>
      <c r="D2026" s="59"/>
      <c r="E2026" s="59"/>
      <c r="F2026" s="59"/>
      <c r="G2026" s="59"/>
      <c r="H2026" s="82"/>
      <c r="I2026" s="59"/>
    </row>
    <row r="2027">
      <c r="A2027" s="59"/>
      <c r="B2027" s="59"/>
      <c r="C2027" s="59"/>
      <c r="D2027" s="59"/>
      <c r="E2027" s="59"/>
      <c r="F2027" s="59"/>
      <c r="G2027" s="59"/>
      <c r="H2027" s="82"/>
      <c r="I2027" s="59"/>
    </row>
    <row r="2028">
      <c r="A2028" s="59"/>
      <c r="B2028" s="59"/>
      <c r="C2028" s="59"/>
      <c r="D2028" s="59"/>
      <c r="E2028" s="59"/>
      <c r="F2028" s="59"/>
      <c r="G2028" s="59"/>
      <c r="H2028" s="82"/>
      <c r="I2028" s="59"/>
    </row>
    <row r="2029">
      <c r="A2029" s="59"/>
      <c r="B2029" s="59"/>
      <c r="C2029" s="59"/>
      <c r="D2029" s="59"/>
      <c r="E2029" s="59"/>
      <c r="F2029" s="59"/>
      <c r="G2029" s="59"/>
      <c r="H2029" s="82"/>
      <c r="I2029" s="59"/>
    </row>
    <row r="2030">
      <c r="A2030" s="59"/>
      <c r="B2030" s="59"/>
      <c r="C2030" s="59"/>
      <c r="D2030" s="59"/>
      <c r="E2030" s="59"/>
      <c r="F2030" s="59"/>
      <c r="G2030" s="59"/>
      <c r="H2030" s="82"/>
      <c r="I2030" s="59"/>
    </row>
    <row r="2031">
      <c r="A2031" s="59"/>
      <c r="B2031" s="59"/>
      <c r="C2031" s="59"/>
      <c r="D2031" s="59"/>
      <c r="E2031" s="59"/>
      <c r="F2031" s="59"/>
      <c r="G2031" s="59"/>
      <c r="H2031" s="82"/>
      <c r="I2031" s="59"/>
    </row>
    <row r="2032">
      <c r="A2032" s="59"/>
      <c r="B2032" s="59"/>
      <c r="C2032" s="59"/>
      <c r="D2032" s="59"/>
      <c r="E2032" s="59"/>
      <c r="F2032" s="59"/>
      <c r="G2032" s="59"/>
      <c r="H2032" s="82"/>
      <c r="I2032" s="59"/>
    </row>
    <row r="2033">
      <c r="A2033" s="59"/>
      <c r="B2033" s="59"/>
      <c r="C2033" s="59"/>
      <c r="D2033" s="59"/>
      <c r="E2033" s="59"/>
      <c r="F2033" s="59"/>
      <c r="G2033" s="59"/>
      <c r="H2033" s="82"/>
      <c r="I2033" s="59"/>
    </row>
    <row r="2034">
      <c r="A2034" s="59"/>
      <c r="B2034" s="59"/>
      <c r="C2034" s="59"/>
      <c r="D2034" s="59"/>
      <c r="E2034" s="59"/>
      <c r="F2034" s="59"/>
      <c r="G2034" s="59"/>
      <c r="H2034" s="82"/>
      <c r="I2034" s="59"/>
    </row>
    <row r="2035">
      <c r="A2035" s="59"/>
      <c r="B2035" s="59"/>
      <c r="C2035" s="59"/>
      <c r="D2035" s="59"/>
      <c r="E2035" s="59"/>
      <c r="F2035" s="59"/>
      <c r="G2035" s="59"/>
      <c r="H2035" s="82"/>
      <c r="I2035" s="59"/>
    </row>
    <row r="2036">
      <c r="A2036" s="59"/>
      <c r="B2036" s="59"/>
      <c r="C2036" s="59"/>
      <c r="D2036" s="59"/>
      <c r="E2036" s="59"/>
      <c r="F2036" s="59"/>
      <c r="G2036" s="59"/>
      <c r="H2036" s="82"/>
      <c r="I2036" s="59"/>
    </row>
    <row r="2037">
      <c r="A2037" s="59"/>
      <c r="B2037" s="59"/>
      <c r="C2037" s="59"/>
      <c r="D2037" s="59"/>
      <c r="E2037" s="59"/>
      <c r="F2037" s="59"/>
      <c r="G2037" s="59"/>
      <c r="H2037" s="82"/>
      <c r="I2037" s="59"/>
    </row>
    <row r="2038">
      <c r="A2038" s="59"/>
      <c r="B2038" s="59"/>
      <c r="C2038" s="59"/>
      <c r="D2038" s="59"/>
      <c r="E2038" s="59"/>
      <c r="F2038" s="59"/>
      <c r="G2038" s="59"/>
      <c r="H2038" s="82"/>
      <c r="I2038" s="59"/>
    </row>
    <row r="2039">
      <c r="A2039" s="59"/>
      <c r="B2039" s="59"/>
      <c r="C2039" s="59"/>
      <c r="D2039" s="59"/>
      <c r="E2039" s="59"/>
      <c r="F2039" s="59"/>
      <c r="G2039" s="59"/>
      <c r="H2039" s="82"/>
      <c r="I2039" s="59"/>
    </row>
    <row r="2040">
      <c r="A2040" s="59"/>
      <c r="B2040" s="59"/>
      <c r="C2040" s="59"/>
      <c r="D2040" s="59"/>
      <c r="E2040" s="59"/>
      <c r="F2040" s="59"/>
      <c r="G2040" s="59"/>
      <c r="H2040" s="82"/>
      <c r="I2040" s="59"/>
    </row>
    <row r="2041">
      <c r="A2041" s="59"/>
      <c r="B2041" s="59"/>
      <c r="C2041" s="59"/>
      <c r="D2041" s="59"/>
      <c r="E2041" s="59"/>
      <c r="F2041" s="59"/>
      <c r="G2041" s="59"/>
      <c r="H2041" s="82"/>
      <c r="I2041" s="59"/>
    </row>
    <row r="2042">
      <c r="A2042" s="59"/>
      <c r="B2042" s="59"/>
      <c r="C2042" s="59"/>
      <c r="D2042" s="59"/>
      <c r="E2042" s="59"/>
      <c r="F2042" s="59"/>
      <c r="G2042" s="59"/>
      <c r="H2042" s="82"/>
      <c r="I2042" s="59"/>
    </row>
    <row r="2043">
      <c r="A2043" s="59"/>
      <c r="B2043" s="59"/>
      <c r="C2043" s="59"/>
      <c r="D2043" s="59"/>
      <c r="E2043" s="59"/>
      <c r="F2043" s="59"/>
      <c r="G2043" s="59"/>
      <c r="H2043" s="82"/>
      <c r="I2043" s="59"/>
    </row>
    <row r="2044">
      <c r="A2044" s="59"/>
      <c r="B2044" s="59"/>
      <c r="C2044" s="59"/>
      <c r="D2044" s="59"/>
      <c r="E2044" s="59"/>
      <c r="F2044" s="59"/>
      <c r="G2044" s="59"/>
      <c r="H2044" s="82"/>
      <c r="I2044" s="59"/>
    </row>
    <row r="2045">
      <c r="A2045" s="59"/>
      <c r="B2045" s="59"/>
      <c r="C2045" s="59"/>
      <c r="D2045" s="59"/>
      <c r="E2045" s="59"/>
      <c r="F2045" s="59"/>
      <c r="G2045" s="59"/>
      <c r="H2045" s="82"/>
      <c r="I2045" s="59"/>
    </row>
    <row r="2046">
      <c r="A2046" s="59"/>
      <c r="B2046" s="59"/>
      <c r="C2046" s="59"/>
      <c r="D2046" s="59"/>
      <c r="E2046" s="59"/>
      <c r="F2046" s="59"/>
      <c r="G2046" s="59"/>
      <c r="H2046" s="82"/>
      <c r="I2046" s="59"/>
    </row>
    <row r="2047">
      <c r="A2047" s="59"/>
      <c r="B2047" s="59"/>
      <c r="C2047" s="59"/>
      <c r="D2047" s="59"/>
      <c r="E2047" s="59"/>
      <c r="F2047" s="59"/>
      <c r="G2047" s="59"/>
      <c r="H2047" s="82"/>
      <c r="I2047" s="59"/>
    </row>
    <row r="2048">
      <c r="A2048" s="59"/>
      <c r="B2048" s="59"/>
      <c r="C2048" s="59"/>
      <c r="D2048" s="59"/>
      <c r="E2048" s="59"/>
      <c r="F2048" s="59"/>
      <c r="G2048" s="59"/>
      <c r="H2048" s="82"/>
      <c r="I2048" s="59"/>
    </row>
    <row r="2049">
      <c r="A2049" s="59"/>
      <c r="B2049" s="59"/>
      <c r="C2049" s="59"/>
      <c r="D2049" s="59"/>
      <c r="E2049" s="59"/>
      <c r="F2049" s="59"/>
      <c r="G2049" s="59"/>
      <c r="H2049" s="82"/>
      <c r="I2049" s="59"/>
    </row>
    <row r="2050">
      <c r="A2050" s="59"/>
      <c r="B2050" s="59"/>
      <c r="C2050" s="59"/>
      <c r="D2050" s="59"/>
      <c r="E2050" s="59"/>
      <c r="F2050" s="59"/>
      <c r="G2050" s="59"/>
      <c r="H2050" s="82"/>
      <c r="I2050" s="59"/>
    </row>
    <row r="2051">
      <c r="A2051" s="59"/>
      <c r="B2051" s="59"/>
      <c r="C2051" s="59"/>
      <c r="D2051" s="59"/>
      <c r="E2051" s="59"/>
      <c r="F2051" s="59"/>
      <c r="G2051" s="59"/>
      <c r="H2051" s="82"/>
      <c r="I2051" s="59"/>
    </row>
    <row r="2052">
      <c r="A2052" s="59"/>
      <c r="B2052" s="59"/>
      <c r="C2052" s="59"/>
      <c r="D2052" s="59"/>
      <c r="E2052" s="59"/>
      <c r="F2052" s="59"/>
      <c r="G2052" s="59"/>
      <c r="H2052" s="82"/>
      <c r="I2052" s="59"/>
    </row>
    <row r="2053">
      <c r="A2053" s="59"/>
      <c r="B2053" s="59"/>
      <c r="C2053" s="59"/>
      <c r="D2053" s="59"/>
      <c r="E2053" s="59"/>
      <c r="F2053" s="59"/>
      <c r="G2053" s="59"/>
      <c r="H2053" s="82"/>
      <c r="I2053" s="59"/>
    </row>
    <row r="2054">
      <c r="A2054" s="59"/>
      <c r="B2054" s="59"/>
      <c r="C2054" s="59"/>
      <c r="D2054" s="59"/>
      <c r="E2054" s="59"/>
      <c r="F2054" s="59"/>
      <c r="G2054" s="59"/>
      <c r="H2054" s="82"/>
      <c r="I2054" s="59"/>
    </row>
    <row r="2055">
      <c r="A2055" s="59"/>
      <c r="B2055" s="59"/>
      <c r="C2055" s="59"/>
      <c r="D2055" s="59"/>
      <c r="E2055" s="59"/>
      <c r="F2055" s="59"/>
      <c r="G2055" s="59"/>
      <c r="H2055" s="82"/>
      <c r="I2055" s="59"/>
    </row>
    <row r="2056">
      <c r="A2056" s="59"/>
      <c r="B2056" s="59"/>
      <c r="C2056" s="59"/>
      <c r="D2056" s="59"/>
      <c r="E2056" s="59"/>
      <c r="F2056" s="59"/>
      <c r="G2056" s="59"/>
      <c r="H2056" s="82"/>
      <c r="I2056" s="59"/>
    </row>
    <row r="2057">
      <c r="A2057" s="59"/>
      <c r="B2057" s="59"/>
      <c r="C2057" s="59"/>
      <c r="D2057" s="59"/>
      <c r="E2057" s="59"/>
      <c r="F2057" s="59"/>
      <c r="G2057" s="59"/>
      <c r="H2057" s="82"/>
      <c r="I2057" s="59"/>
    </row>
    <row r="2058">
      <c r="A2058" s="59"/>
      <c r="B2058" s="59"/>
      <c r="C2058" s="59"/>
      <c r="D2058" s="59"/>
      <c r="E2058" s="59"/>
      <c r="F2058" s="59"/>
      <c r="G2058" s="59"/>
      <c r="H2058" s="82"/>
      <c r="I2058" s="59"/>
    </row>
    <row r="2059">
      <c r="A2059" s="59"/>
      <c r="B2059" s="59"/>
      <c r="C2059" s="59"/>
      <c r="D2059" s="59"/>
      <c r="E2059" s="59"/>
      <c r="F2059" s="59"/>
      <c r="G2059" s="59"/>
      <c r="H2059" s="82"/>
      <c r="I2059" s="59"/>
    </row>
    <row r="2060">
      <c r="A2060" s="59"/>
      <c r="B2060" s="59"/>
      <c r="C2060" s="59"/>
      <c r="D2060" s="59"/>
      <c r="E2060" s="59"/>
      <c r="F2060" s="59"/>
      <c r="G2060" s="59"/>
      <c r="H2060" s="82"/>
      <c r="I2060" s="59"/>
    </row>
    <row r="2061">
      <c r="A2061" s="59"/>
      <c r="B2061" s="59"/>
      <c r="C2061" s="59"/>
      <c r="D2061" s="59"/>
      <c r="E2061" s="59"/>
      <c r="F2061" s="59"/>
      <c r="G2061" s="59"/>
      <c r="H2061" s="82"/>
      <c r="I2061" s="59"/>
    </row>
    <row r="2062">
      <c r="A2062" s="59"/>
      <c r="B2062" s="59"/>
      <c r="C2062" s="59"/>
      <c r="D2062" s="59"/>
      <c r="E2062" s="59"/>
      <c r="F2062" s="59"/>
      <c r="G2062" s="59"/>
      <c r="H2062" s="82"/>
      <c r="I2062" s="59"/>
    </row>
    <row r="2063">
      <c r="A2063" s="59"/>
      <c r="B2063" s="59"/>
      <c r="C2063" s="59"/>
      <c r="D2063" s="59"/>
      <c r="E2063" s="59"/>
      <c r="F2063" s="59"/>
      <c r="G2063" s="59"/>
      <c r="H2063" s="82"/>
      <c r="I2063" s="59"/>
    </row>
    <row r="2064">
      <c r="A2064" s="59"/>
      <c r="B2064" s="59"/>
      <c r="C2064" s="59"/>
      <c r="D2064" s="59"/>
      <c r="E2064" s="59"/>
      <c r="F2064" s="59"/>
      <c r="G2064" s="59"/>
      <c r="H2064" s="82"/>
      <c r="I2064" s="59"/>
    </row>
    <row r="2065">
      <c r="A2065" s="59"/>
      <c r="B2065" s="59"/>
      <c r="C2065" s="59"/>
      <c r="D2065" s="59"/>
      <c r="E2065" s="59"/>
      <c r="F2065" s="59"/>
      <c r="G2065" s="59"/>
      <c r="H2065" s="82"/>
      <c r="I2065" s="59"/>
    </row>
    <row r="2066">
      <c r="A2066" s="59"/>
      <c r="B2066" s="59"/>
      <c r="C2066" s="59"/>
      <c r="D2066" s="59"/>
      <c r="E2066" s="59"/>
      <c r="F2066" s="59"/>
      <c r="G2066" s="59"/>
      <c r="H2066" s="82"/>
      <c r="I2066" s="59"/>
    </row>
    <row r="2067">
      <c r="A2067" s="59"/>
      <c r="B2067" s="59"/>
      <c r="C2067" s="59"/>
      <c r="D2067" s="59"/>
      <c r="E2067" s="59"/>
      <c r="F2067" s="59"/>
      <c r="G2067" s="59"/>
      <c r="H2067" s="82"/>
      <c r="I2067" s="59"/>
    </row>
    <row r="2068">
      <c r="A2068" s="59"/>
      <c r="B2068" s="59"/>
      <c r="C2068" s="59"/>
      <c r="D2068" s="59"/>
      <c r="E2068" s="59"/>
      <c r="F2068" s="59"/>
      <c r="G2068" s="59"/>
      <c r="H2068" s="82"/>
      <c r="I2068" s="59"/>
    </row>
    <row r="2069">
      <c r="A2069" s="59"/>
      <c r="B2069" s="59"/>
      <c r="C2069" s="59"/>
      <c r="D2069" s="59"/>
      <c r="E2069" s="59"/>
      <c r="F2069" s="59"/>
      <c r="G2069" s="59"/>
      <c r="H2069" s="82"/>
      <c r="I2069" s="59"/>
    </row>
    <row r="2070">
      <c r="A2070" s="59"/>
      <c r="B2070" s="59"/>
      <c r="C2070" s="59"/>
      <c r="D2070" s="59"/>
      <c r="E2070" s="59"/>
      <c r="F2070" s="59"/>
      <c r="G2070" s="59"/>
      <c r="H2070" s="82"/>
      <c r="I2070" s="59"/>
    </row>
    <row r="2071">
      <c r="A2071" s="59"/>
      <c r="B2071" s="59"/>
      <c r="C2071" s="59"/>
      <c r="D2071" s="59"/>
      <c r="E2071" s="59"/>
      <c r="F2071" s="59"/>
      <c r="G2071" s="59"/>
      <c r="H2071" s="82"/>
      <c r="I2071" s="59"/>
    </row>
    <row r="2072">
      <c r="A2072" s="59"/>
      <c r="B2072" s="59"/>
      <c r="C2072" s="59"/>
      <c r="D2072" s="59"/>
      <c r="E2072" s="59"/>
      <c r="F2072" s="59"/>
      <c r="G2072" s="59"/>
      <c r="H2072" s="82"/>
      <c r="I2072" s="59"/>
    </row>
    <row r="2073">
      <c r="A2073" s="59"/>
      <c r="B2073" s="59"/>
      <c r="C2073" s="59"/>
      <c r="D2073" s="59"/>
      <c r="E2073" s="59"/>
      <c r="F2073" s="59"/>
      <c r="G2073" s="59"/>
      <c r="H2073" s="82"/>
      <c r="I2073" s="59"/>
    </row>
    <row r="2074">
      <c r="A2074" s="59"/>
      <c r="B2074" s="59"/>
      <c r="C2074" s="59"/>
      <c r="D2074" s="59"/>
      <c r="E2074" s="59"/>
      <c r="F2074" s="59"/>
      <c r="G2074" s="59"/>
      <c r="H2074" s="82"/>
      <c r="I2074" s="59"/>
    </row>
    <row r="2075">
      <c r="A2075" s="59"/>
      <c r="B2075" s="59"/>
      <c r="C2075" s="59"/>
      <c r="D2075" s="59"/>
      <c r="E2075" s="59"/>
      <c r="F2075" s="59"/>
      <c r="G2075" s="59"/>
      <c r="H2075" s="82"/>
      <c r="I2075" s="59"/>
    </row>
    <row r="2076">
      <c r="A2076" s="59"/>
      <c r="B2076" s="59"/>
      <c r="C2076" s="59"/>
      <c r="D2076" s="59"/>
      <c r="E2076" s="59"/>
      <c r="F2076" s="59"/>
      <c r="G2076" s="59"/>
      <c r="H2076" s="82"/>
      <c r="I2076" s="59"/>
    </row>
    <row r="2077">
      <c r="A2077" s="59"/>
      <c r="B2077" s="59"/>
      <c r="C2077" s="59"/>
      <c r="D2077" s="59"/>
      <c r="E2077" s="59"/>
      <c r="F2077" s="59"/>
      <c r="G2077" s="59"/>
      <c r="H2077" s="82"/>
      <c r="I2077" s="59"/>
    </row>
    <row r="2078">
      <c r="A2078" s="59"/>
      <c r="B2078" s="59"/>
      <c r="C2078" s="59"/>
      <c r="D2078" s="59"/>
      <c r="E2078" s="59"/>
      <c r="F2078" s="59"/>
      <c r="G2078" s="59"/>
      <c r="H2078" s="82"/>
      <c r="I2078" s="59"/>
    </row>
    <row r="2079">
      <c r="A2079" s="59"/>
      <c r="B2079" s="59"/>
      <c r="C2079" s="59"/>
      <c r="D2079" s="59"/>
      <c r="E2079" s="59"/>
      <c r="F2079" s="59"/>
      <c r="G2079" s="59"/>
      <c r="H2079" s="82"/>
      <c r="I2079" s="59"/>
    </row>
    <row r="2080">
      <c r="A2080" s="59"/>
      <c r="B2080" s="59"/>
      <c r="C2080" s="59"/>
      <c r="D2080" s="59"/>
      <c r="E2080" s="59"/>
      <c r="F2080" s="59"/>
      <c r="G2080" s="59"/>
      <c r="H2080" s="82"/>
      <c r="I2080" s="59"/>
    </row>
    <row r="2081">
      <c r="A2081" s="59"/>
      <c r="B2081" s="59"/>
      <c r="C2081" s="59"/>
      <c r="D2081" s="59"/>
      <c r="E2081" s="59"/>
      <c r="F2081" s="59"/>
      <c r="G2081" s="59"/>
      <c r="H2081" s="82"/>
      <c r="I2081" s="59"/>
    </row>
    <row r="2082">
      <c r="A2082" s="59"/>
      <c r="B2082" s="59"/>
      <c r="C2082" s="59"/>
      <c r="D2082" s="59"/>
      <c r="E2082" s="59"/>
      <c r="F2082" s="59"/>
      <c r="G2082" s="59"/>
      <c r="H2082" s="82"/>
      <c r="I2082" s="59"/>
    </row>
    <row r="2083">
      <c r="A2083" s="59"/>
      <c r="B2083" s="59"/>
      <c r="C2083" s="59"/>
      <c r="D2083" s="59"/>
      <c r="E2083" s="59"/>
      <c r="F2083" s="59"/>
      <c r="G2083" s="59"/>
      <c r="H2083" s="82"/>
      <c r="I2083" s="59"/>
    </row>
    <row r="2084">
      <c r="A2084" s="59"/>
      <c r="B2084" s="59"/>
      <c r="C2084" s="59"/>
      <c r="D2084" s="59"/>
      <c r="E2084" s="59"/>
      <c r="F2084" s="59"/>
      <c r="G2084" s="59"/>
      <c r="H2084" s="82"/>
      <c r="I2084" s="59"/>
    </row>
    <row r="2085">
      <c r="A2085" s="59"/>
      <c r="B2085" s="59"/>
      <c r="C2085" s="59"/>
      <c r="D2085" s="59"/>
      <c r="E2085" s="59"/>
      <c r="F2085" s="59"/>
      <c r="G2085" s="59"/>
      <c r="H2085" s="82"/>
      <c r="I2085" s="59"/>
    </row>
    <row r="2086">
      <c r="A2086" s="59"/>
      <c r="B2086" s="59"/>
      <c r="C2086" s="59"/>
      <c r="D2086" s="59"/>
      <c r="E2086" s="59"/>
      <c r="F2086" s="59"/>
      <c r="G2086" s="59"/>
      <c r="H2086" s="82"/>
      <c r="I2086" s="59"/>
    </row>
    <row r="2087">
      <c r="A2087" s="59"/>
      <c r="B2087" s="59"/>
      <c r="C2087" s="59"/>
      <c r="D2087" s="59"/>
      <c r="E2087" s="59"/>
      <c r="F2087" s="59"/>
      <c r="G2087" s="59"/>
      <c r="H2087" s="82"/>
      <c r="I2087" s="59"/>
    </row>
    <row r="2088">
      <c r="A2088" s="59"/>
      <c r="B2088" s="59"/>
      <c r="C2088" s="59"/>
      <c r="D2088" s="59"/>
      <c r="E2088" s="59"/>
      <c r="F2088" s="59"/>
      <c r="G2088" s="59"/>
      <c r="H2088" s="82"/>
      <c r="I2088" s="59"/>
    </row>
    <row r="2089">
      <c r="A2089" s="59"/>
      <c r="B2089" s="59"/>
      <c r="C2089" s="59"/>
      <c r="D2089" s="59"/>
      <c r="E2089" s="59"/>
      <c r="F2089" s="59"/>
      <c r="G2089" s="59"/>
      <c r="H2089" s="82"/>
      <c r="I2089" s="59"/>
    </row>
    <row r="2090">
      <c r="A2090" s="59"/>
      <c r="B2090" s="59"/>
      <c r="C2090" s="59"/>
      <c r="D2090" s="59"/>
      <c r="E2090" s="59"/>
      <c r="F2090" s="59"/>
      <c r="G2090" s="59"/>
      <c r="H2090" s="82"/>
      <c r="I2090" s="59"/>
    </row>
    <row r="2091">
      <c r="A2091" s="59"/>
      <c r="B2091" s="59"/>
      <c r="C2091" s="59"/>
      <c r="D2091" s="59"/>
      <c r="E2091" s="59"/>
      <c r="F2091" s="59"/>
      <c r="G2091" s="59"/>
      <c r="H2091" s="82"/>
      <c r="I2091" s="59"/>
    </row>
    <row r="2092">
      <c r="A2092" s="59"/>
      <c r="B2092" s="59"/>
      <c r="C2092" s="59"/>
      <c r="D2092" s="59"/>
      <c r="E2092" s="59"/>
      <c r="F2092" s="59"/>
      <c r="G2092" s="59"/>
      <c r="H2092" s="82"/>
      <c r="I2092" s="59"/>
    </row>
    <row r="2093">
      <c r="A2093" s="59"/>
      <c r="B2093" s="59"/>
      <c r="C2093" s="59"/>
      <c r="D2093" s="59"/>
      <c r="E2093" s="59"/>
      <c r="F2093" s="59"/>
      <c r="G2093" s="59"/>
      <c r="H2093" s="82"/>
      <c r="I2093" s="59"/>
    </row>
    <row r="2094">
      <c r="A2094" s="59"/>
      <c r="B2094" s="59"/>
      <c r="C2094" s="59"/>
      <c r="D2094" s="59"/>
      <c r="E2094" s="59"/>
      <c r="F2094" s="59"/>
      <c r="G2094" s="59"/>
      <c r="H2094" s="82"/>
      <c r="I2094" s="59"/>
    </row>
    <row r="2095">
      <c r="A2095" s="59"/>
      <c r="B2095" s="59"/>
      <c r="C2095" s="59"/>
      <c r="D2095" s="59"/>
      <c r="E2095" s="59"/>
      <c r="F2095" s="59"/>
      <c r="G2095" s="59"/>
      <c r="H2095" s="82"/>
      <c r="I2095" s="59"/>
    </row>
    <row r="2096">
      <c r="A2096" s="59"/>
      <c r="B2096" s="59"/>
      <c r="C2096" s="59"/>
      <c r="D2096" s="59"/>
      <c r="E2096" s="59"/>
      <c r="F2096" s="59"/>
      <c r="G2096" s="59"/>
      <c r="H2096" s="82"/>
      <c r="I2096" s="59"/>
    </row>
    <row r="2097">
      <c r="A2097" s="59"/>
      <c r="B2097" s="59"/>
      <c r="C2097" s="59"/>
      <c r="D2097" s="59"/>
      <c r="E2097" s="59"/>
      <c r="F2097" s="59"/>
      <c r="G2097" s="59"/>
      <c r="H2097" s="82"/>
      <c r="I2097" s="59"/>
    </row>
    <row r="2098">
      <c r="A2098" s="59"/>
      <c r="B2098" s="59"/>
      <c r="C2098" s="59"/>
      <c r="D2098" s="59"/>
      <c r="E2098" s="59"/>
      <c r="F2098" s="59"/>
      <c r="G2098" s="59"/>
      <c r="H2098" s="82"/>
      <c r="I2098" s="59"/>
    </row>
    <row r="2099">
      <c r="A2099" s="59"/>
      <c r="B2099" s="59"/>
      <c r="C2099" s="59"/>
      <c r="D2099" s="59"/>
      <c r="E2099" s="59"/>
      <c r="F2099" s="59"/>
      <c r="G2099" s="59"/>
      <c r="H2099" s="82"/>
      <c r="I2099" s="59"/>
    </row>
    <row r="2100">
      <c r="A2100" s="59"/>
      <c r="B2100" s="59"/>
      <c r="C2100" s="59"/>
      <c r="D2100" s="59"/>
      <c r="E2100" s="59"/>
      <c r="F2100" s="59"/>
      <c r="G2100" s="59"/>
      <c r="H2100" s="82"/>
      <c r="I2100" s="59"/>
    </row>
    <row r="2101">
      <c r="A2101" s="59"/>
      <c r="B2101" s="59"/>
      <c r="C2101" s="59"/>
      <c r="D2101" s="59"/>
      <c r="E2101" s="59"/>
      <c r="F2101" s="59"/>
      <c r="G2101" s="59"/>
      <c r="H2101" s="82"/>
      <c r="I2101" s="59"/>
    </row>
    <row r="2102">
      <c r="A2102" s="59"/>
      <c r="B2102" s="59"/>
      <c r="C2102" s="59"/>
      <c r="D2102" s="59"/>
      <c r="E2102" s="59"/>
      <c r="F2102" s="59"/>
      <c r="G2102" s="59"/>
      <c r="H2102" s="82"/>
      <c r="I2102" s="59"/>
    </row>
    <row r="2103">
      <c r="A2103" s="59"/>
      <c r="B2103" s="59"/>
      <c r="C2103" s="59"/>
      <c r="D2103" s="59"/>
      <c r="E2103" s="59"/>
      <c r="F2103" s="59"/>
      <c r="G2103" s="59"/>
      <c r="H2103" s="82"/>
      <c r="I2103" s="59"/>
    </row>
    <row r="2104">
      <c r="A2104" s="59"/>
      <c r="B2104" s="59"/>
      <c r="C2104" s="59"/>
      <c r="D2104" s="59"/>
      <c r="E2104" s="59"/>
      <c r="F2104" s="59"/>
      <c r="G2104" s="59"/>
      <c r="H2104" s="82"/>
      <c r="I2104" s="59"/>
    </row>
    <row r="2105">
      <c r="A2105" s="59"/>
      <c r="B2105" s="59"/>
      <c r="C2105" s="59"/>
      <c r="D2105" s="59"/>
      <c r="E2105" s="59"/>
      <c r="F2105" s="59"/>
      <c r="G2105" s="59"/>
      <c r="H2105" s="82"/>
      <c r="I2105" s="59"/>
    </row>
    <row r="2106">
      <c r="A2106" s="59"/>
      <c r="B2106" s="59"/>
      <c r="C2106" s="59"/>
      <c r="D2106" s="59"/>
      <c r="E2106" s="59"/>
      <c r="F2106" s="59"/>
      <c r="G2106" s="59"/>
      <c r="H2106" s="82"/>
      <c r="I2106" s="59"/>
    </row>
    <row r="2107">
      <c r="A2107" s="59"/>
      <c r="B2107" s="59"/>
      <c r="C2107" s="59"/>
      <c r="D2107" s="59"/>
      <c r="E2107" s="59"/>
      <c r="F2107" s="59"/>
      <c r="G2107" s="59"/>
      <c r="H2107" s="82"/>
      <c r="I2107" s="59"/>
    </row>
    <row r="2108">
      <c r="A2108" s="59"/>
      <c r="B2108" s="59"/>
      <c r="C2108" s="59"/>
      <c r="D2108" s="59"/>
      <c r="E2108" s="59"/>
      <c r="F2108" s="59"/>
      <c r="G2108" s="59"/>
      <c r="H2108" s="82"/>
      <c r="I2108" s="59"/>
    </row>
    <row r="2109">
      <c r="A2109" s="59"/>
      <c r="B2109" s="59"/>
      <c r="C2109" s="59"/>
      <c r="D2109" s="59"/>
      <c r="E2109" s="59"/>
      <c r="F2109" s="59"/>
      <c r="G2109" s="59"/>
      <c r="H2109" s="82"/>
      <c r="I2109" s="59"/>
    </row>
    <row r="2110">
      <c r="A2110" s="59"/>
      <c r="B2110" s="59"/>
      <c r="C2110" s="59"/>
      <c r="D2110" s="59"/>
      <c r="E2110" s="59"/>
      <c r="F2110" s="59"/>
      <c r="G2110" s="59"/>
      <c r="H2110" s="82"/>
      <c r="I2110" s="59"/>
    </row>
    <row r="2111">
      <c r="A2111" s="59"/>
      <c r="B2111" s="59"/>
      <c r="C2111" s="59"/>
      <c r="D2111" s="59"/>
      <c r="E2111" s="59"/>
      <c r="F2111" s="59"/>
      <c r="G2111" s="59"/>
      <c r="H2111" s="82"/>
      <c r="I2111" s="59"/>
    </row>
    <row r="2112">
      <c r="A2112" s="59"/>
      <c r="B2112" s="59"/>
      <c r="C2112" s="59"/>
      <c r="D2112" s="59"/>
      <c r="E2112" s="59"/>
      <c r="F2112" s="59"/>
      <c r="G2112" s="59"/>
      <c r="H2112" s="82"/>
      <c r="I2112" s="59"/>
    </row>
    <row r="2113">
      <c r="A2113" s="59"/>
      <c r="B2113" s="59"/>
      <c r="C2113" s="59"/>
      <c r="D2113" s="59"/>
      <c r="E2113" s="59"/>
      <c r="F2113" s="59"/>
      <c r="G2113" s="59"/>
      <c r="H2113" s="82"/>
      <c r="I2113" s="59"/>
    </row>
    <row r="2114">
      <c r="A2114" s="59"/>
      <c r="B2114" s="59"/>
      <c r="C2114" s="59"/>
      <c r="D2114" s="59"/>
      <c r="E2114" s="59"/>
      <c r="F2114" s="59"/>
      <c r="G2114" s="59"/>
      <c r="H2114" s="82"/>
      <c r="I2114" s="59"/>
    </row>
    <row r="2115">
      <c r="A2115" s="59"/>
      <c r="B2115" s="59"/>
      <c r="C2115" s="59"/>
      <c r="D2115" s="59"/>
      <c r="E2115" s="59"/>
      <c r="F2115" s="59"/>
      <c r="G2115" s="59"/>
      <c r="H2115" s="82"/>
      <c r="I2115" s="59"/>
    </row>
    <row r="2116">
      <c r="A2116" s="59"/>
      <c r="B2116" s="59"/>
      <c r="C2116" s="59"/>
      <c r="D2116" s="59"/>
      <c r="E2116" s="59"/>
      <c r="F2116" s="59"/>
      <c r="G2116" s="59"/>
      <c r="H2116" s="82"/>
      <c r="I2116" s="59"/>
    </row>
    <row r="2117">
      <c r="A2117" s="59"/>
      <c r="B2117" s="59"/>
      <c r="C2117" s="59"/>
      <c r="D2117" s="59"/>
      <c r="E2117" s="59"/>
      <c r="F2117" s="59"/>
      <c r="G2117" s="59"/>
      <c r="H2117" s="82"/>
      <c r="I2117" s="59"/>
    </row>
    <row r="2118">
      <c r="A2118" s="59"/>
      <c r="B2118" s="59"/>
      <c r="C2118" s="59"/>
      <c r="D2118" s="59"/>
      <c r="E2118" s="59"/>
      <c r="F2118" s="59"/>
      <c r="G2118" s="59"/>
      <c r="H2118" s="82"/>
      <c r="I2118" s="59"/>
    </row>
    <row r="2119">
      <c r="A2119" s="59"/>
      <c r="B2119" s="59"/>
      <c r="C2119" s="59"/>
      <c r="D2119" s="59"/>
      <c r="E2119" s="59"/>
      <c r="F2119" s="59"/>
      <c r="G2119" s="59"/>
      <c r="H2119" s="82"/>
      <c r="I2119" s="59"/>
    </row>
    <row r="2120">
      <c r="A2120" s="59"/>
      <c r="B2120" s="59"/>
      <c r="C2120" s="59"/>
      <c r="D2120" s="59"/>
      <c r="E2120" s="59"/>
      <c r="F2120" s="59"/>
      <c r="G2120" s="59"/>
      <c r="H2120" s="82"/>
      <c r="I2120" s="59"/>
    </row>
    <row r="2121">
      <c r="A2121" s="59"/>
      <c r="B2121" s="59"/>
      <c r="C2121" s="59"/>
      <c r="D2121" s="59"/>
      <c r="E2121" s="59"/>
      <c r="F2121" s="59"/>
      <c r="G2121" s="59"/>
      <c r="H2121" s="82"/>
      <c r="I2121" s="59"/>
    </row>
    <row r="2122">
      <c r="A2122" s="59"/>
      <c r="B2122" s="59"/>
      <c r="C2122" s="59"/>
      <c r="D2122" s="59"/>
      <c r="E2122" s="59"/>
      <c r="F2122" s="59"/>
      <c r="G2122" s="59"/>
      <c r="H2122" s="82"/>
      <c r="I2122" s="59"/>
    </row>
    <row r="2123">
      <c r="A2123" s="59"/>
      <c r="B2123" s="59"/>
      <c r="C2123" s="59"/>
      <c r="D2123" s="59"/>
      <c r="E2123" s="59"/>
      <c r="F2123" s="59"/>
      <c r="G2123" s="59"/>
      <c r="H2123" s="82"/>
      <c r="I2123" s="59"/>
    </row>
    <row r="2124">
      <c r="A2124" s="59"/>
      <c r="B2124" s="59"/>
      <c r="C2124" s="59"/>
      <c r="D2124" s="59"/>
      <c r="E2124" s="59"/>
      <c r="F2124" s="59"/>
      <c r="G2124" s="59"/>
      <c r="H2124" s="82"/>
      <c r="I2124" s="59"/>
    </row>
    <row r="2125">
      <c r="A2125" s="59"/>
      <c r="B2125" s="59"/>
      <c r="C2125" s="59"/>
      <c r="D2125" s="59"/>
      <c r="E2125" s="59"/>
      <c r="F2125" s="59"/>
      <c r="G2125" s="59"/>
      <c r="H2125" s="82"/>
      <c r="I2125" s="59"/>
    </row>
    <row r="2126">
      <c r="A2126" s="59"/>
      <c r="B2126" s="59"/>
      <c r="C2126" s="59"/>
      <c r="D2126" s="59"/>
      <c r="E2126" s="59"/>
      <c r="F2126" s="59"/>
      <c r="G2126" s="59"/>
      <c r="H2126" s="82"/>
      <c r="I2126" s="59"/>
    </row>
    <row r="2127">
      <c r="A2127" s="59"/>
      <c r="B2127" s="59"/>
      <c r="C2127" s="59"/>
      <c r="D2127" s="59"/>
      <c r="E2127" s="59"/>
      <c r="F2127" s="59"/>
      <c r="G2127" s="59"/>
      <c r="H2127" s="82"/>
      <c r="I2127" s="59"/>
    </row>
    <row r="2128">
      <c r="A2128" s="59"/>
      <c r="B2128" s="59"/>
      <c r="C2128" s="59"/>
      <c r="D2128" s="59"/>
      <c r="E2128" s="59"/>
      <c r="F2128" s="59"/>
      <c r="G2128" s="59"/>
      <c r="H2128" s="82"/>
      <c r="I2128" s="59"/>
    </row>
    <row r="2129">
      <c r="A2129" s="59"/>
      <c r="B2129" s="59"/>
      <c r="C2129" s="59"/>
      <c r="D2129" s="59"/>
      <c r="E2129" s="59"/>
      <c r="F2129" s="59"/>
      <c r="G2129" s="59"/>
      <c r="H2129" s="82"/>
      <c r="I2129" s="59"/>
    </row>
    <row r="2130">
      <c r="A2130" s="59"/>
      <c r="B2130" s="59"/>
      <c r="C2130" s="59"/>
      <c r="D2130" s="59"/>
      <c r="E2130" s="59"/>
      <c r="F2130" s="59"/>
      <c r="G2130" s="59"/>
      <c r="H2130" s="82"/>
      <c r="I2130" s="59"/>
    </row>
    <row r="2131">
      <c r="A2131" s="59"/>
      <c r="B2131" s="59"/>
      <c r="C2131" s="59"/>
      <c r="D2131" s="59"/>
      <c r="E2131" s="59"/>
      <c r="F2131" s="59"/>
      <c r="G2131" s="59"/>
      <c r="H2131" s="82"/>
      <c r="I2131" s="59"/>
    </row>
    <row r="2132">
      <c r="A2132" s="59"/>
      <c r="B2132" s="59"/>
      <c r="C2132" s="59"/>
      <c r="D2132" s="59"/>
      <c r="E2132" s="59"/>
      <c r="F2132" s="59"/>
      <c r="G2132" s="59"/>
      <c r="H2132" s="82"/>
      <c r="I2132" s="59"/>
    </row>
    <row r="2133">
      <c r="A2133" s="59"/>
      <c r="B2133" s="59"/>
      <c r="C2133" s="59"/>
      <c r="D2133" s="59"/>
      <c r="E2133" s="59"/>
      <c r="F2133" s="59"/>
      <c r="G2133" s="59"/>
      <c r="H2133" s="82"/>
      <c r="I2133" s="59"/>
    </row>
    <row r="2134">
      <c r="A2134" s="59"/>
      <c r="B2134" s="59"/>
      <c r="C2134" s="59"/>
      <c r="D2134" s="59"/>
      <c r="E2134" s="59"/>
      <c r="F2134" s="59"/>
      <c r="G2134" s="59"/>
      <c r="H2134" s="82"/>
      <c r="I2134" s="59"/>
    </row>
    <row r="2135">
      <c r="A2135" s="59"/>
      <c r="B2135" s="59"/>
      <c r="C2135" s="59"/>
      <c r="D2135" s="59"/>
      <c r="E2135" s="59"/>
      <c r="F2135" s="59"/>
      <c r="G2135" s="59"/>
      <c r="H2135" s="82"/>
      <c r="I2135" s="59"/>
    </row>
    <row r="2136">
      <c r="A2136" s="59"/>
      <c r="B2136" s="59"/>
      <c r="C2136" s="59"/>
      <c r="D2136" s="59"/>
      <c r="E2136" s="59"/>
      <c r="F2136" s="59"/>
      <c r="G2136" s="59"/>
      <c r="H2136" s="82"/>
      <c r="I2136" s="59"/>
    </row>
    <row r="2137">
      <c r="A2137" s="59"/>
      <c r="B2137" s="59"/>
      <c r="C2137" s="59"/>
      <c r="D2137" s="59"/>
      <c r="E2137" s="59"/>
      <c r="F2137" s="59"/>
      <c r="G2137" s="59"/>
      <c r="H2137" s="82"/>
      <c r="I2137" s="59"/>
    </row>
    <row r="2138">
      <c r="A2138" s="59"/>
      <c r="B2138" s="59"/>
      <c r="C2138" s="59"/>
      <c r="D2138" s="59"/>
      <c r="E2138" s="59"/>
      <c r="F2138" s="59"/>
      <c r="G2138" s="59"/>
      <c r="H2138" s="82"/>
      <c r="I2138" s="59"/>
    </row>
    <row r="2139">
      <c r="A2139" s="59"/>
      <c r="B2139" s="59"/>
      <c r="C2139" s="59"/>
      <c r="D2139" s="59"/>
      <c r="E2139" s="59"/>
      <c r="F2139" s="59"/>
      <c r="G2139" s="59"/>
      <c r="H2139" s="82"/>
      <c r="I2139" s="59"/>
    </row>
    <row r="2140">
      <c r="A2140" s="59"/>
      <c r="B2140" s="59"/>
      <c r="C2140" s="59"/>
      <c r="D2140" s="59"/>
      <c r="E2140" s="59"/>
      <c r="F2140" s="59"/>
      <c r="G2140" s="59"/>
      <c r="H2140" s="82"/>
      <c r="I2140" s="59"/>
    </row>
    <row r="2141">
      <c r="A2141" s="59"/>
      <c r="B2141" s="59"/>
      <c r="C2141" s="59"/>
      <c r="D2141" s="59"/>
      <c r="E2141" s="59"/>
      <c r="F2141" s="59"/>
      <c r="G2141" s="59"/>
      <c r="H2141" s="82"/>
      <c r="I2141" s="59"/>
    </row>
    <row r="2142">
      <c r="A2142" s="59"/>
      <c r="B2142" s="59"/>
      <c r="C2142" s="59"/>
      <c r="D2142" s="59"/>
      <c r="E2142" s="59"/>
      <c r="F2142" s="59"/>
      <c r="G2142" s="59"/>
      <c r="H2142" s="82"/>
      <c r="I2142" s="59"/>
    </row>
    <row r="2143">
      <c r="A2143" s="59"/>
      <c r="B2143" s="59"/>
      <c r="C2143" s="59"/>
      <c r="D2143" s="59"/>
      <c r="E2143" s="59"/>
      <c r="F2143" s="59"/>
      <c r="G2143" s="59"/>
      <c r="H2143" s="82"/>
      <c r="I2143" s="59"/>
    </row>
    <row r="2144">
      <c r="A2144" s="59"/>
      <c r="B2144" s="59"/>
      <c r="C2144" s="59"/>
      <c r="D2144" s="59"/>
      <c r="E2144" s="59"/>
      <c r="F2144" s="59"/>
      <c r="G2144" s="59"/>
      <c r="H2144" s="82"/>
      <c r="I2144" s="59"/>
    </row>
    <row r="2145">
      <c r="A2145" s="59"/>
      <c r="B2145" s="59"/>
      <c r="C2145" s="59"/>
      <c r="D2145" s="59"/>
      <c r="E2145" s="59"/>
      <c r="F2145" s="59"/>
      <c r="G2145" s="59"/>
      <c r="H2145" s="82"/>
      <c r="I2145" s="59"/>
    </row>
    <row r="2146">
      <c r="A2146" s="59"/>
      <c r="B2146" s="59"/>
      <c r="C2146" s="59"/>
      <c r="D2146" s="59"/>
      <c r="E2146" s="59"/>
      <c r="F2146" s="59"/>
      <c r="G2146" s="59"/>
      <c r="H2146" s="82"/>
      <c r="I2146" s="59"/>
    </row>
    <row r="2147">
      <c r="A2147" s="59"/>
      <c r="B2147" s="59"/>
      <c r="C2147" s="59"/>
      <c r="D2147" s="59"/>
      <c r="E2147" s="59"/>
      <c r="F2147" s="59"/>
      <c r="G2147" s="59"/>
      <c r="H2147" s="82"/>
      <c r="I2147" s="59"/>
    </row>
    <row r="2148">
      <c r="A2148" s="59"/>
      <c r="B2148" s="59"/>
      <c r="C2148" s="59"/>
      <c r="D2148" s="59"/>
      <c r="E2148" s="59"/>
      <c r="F2148" s="59"/>
      <c r="G2148" s="59"/>
      <c r="H2148" s="82"/>
      <c r="I2148" s="59"/>
    </row>
    <row r="2149">
      <c r="A2149" s="59"/>
      <c r="B2149" s="59"/>
      <c r="C2149" s="59"/>
      <c r="D2149" s="59"/>
      <c r="E2149" s="59"/>
      <c r="F2149" s="59"/>
      <c r="G2149" s="59"/>
      <c r="H2149" s="82"/>
      <c r="I2149" s="59"/>
    </row>
    <row r="2150">
      <c r="A2150" s="59"/>
      <c r="B2150" s="59"/>
      <c r="C2150" s="59"/>
      <c r="D2150" s="59"/>
      <c r="E2150" s="59"/>
      <c r="F2150" s="59"/>
      <c r="G2150" s="59"/>
      <c r="H2150" s="82"/>
      <c r="I2150" s="59"/>
    </row>
    <row r="2151">
      <c r="A2151" s="59"/>
      <c r="B2151" s="59"/>
      <c r="C2151" s="59"/>
      <c r="D2151" s="59"/>
      <c r="E2151" s="59"/>
      <c r="F2151" s="59"/>
      <c r="G2151" s="59"/>
      <c r="H2151" s="82"/>
      <c r="I2151" s="59"/>
    </row>
    <row r="2152">
      <c r="A2152" s="59"/>
      <c r="B2152" s="59"/>
      <c r="C2152" s="59"/>
      <c r="D2152" s="59"/>
      <c r="E2152" s="59"/>
      <c r="F2152" s="59"/>
      <c r="G2152" s="59"/>
      <c r="H2152" s="82"/>
      <c r="I2152" s="59"/>
    </row>
    <row r="2153">
      <c r="A2153" s="59"/>
      <c r="B2153" s="59"/>
      <c r="C2153" s="59"/>
      <c r="D2153" s="59"/>
      <c r="E2153" s="59"/>
      <c r="F2153" s="59"/>
      <c r="G2153" s="59"/>
      <c r="H2153" s="82"/>
      <c r="I2153" s="59"/>
    </row>
    <row r="2154">
      <c r="A2154" s="59"/>
      <c r="B2154" s="59"/>
      <c r="C2154" s="59"/>
      <c r="D2154" s="59"/>
      <c r="E2154" s="59"/>
      <c r="F2154" s="59"/>
      <c r="G2154" s="59"/>
      <c r="H2154" s="82"/>
      <c r="I2154" s="59"/>
    </row>
    <row r="2155">
      <c r="A2155" s="59"/>
      <c r="B2155" s="59"/>
      <c r="C2155" s="59"/>
      <c r="D2155" s="59"/>
      <c r="E2155" s="59"/>
      <c r="F2155" s="59"/>
      <c r="G2155" s="59"/>
      <c r="H2155" s="82"/>
      <c r="I2155" s="59"/>
    </row>
    <row r="2156">
      <c r="A2156" s="59"/>
      <c r="B2156" s="59"/>
      <c r="C2156" s="59"/>
      <c r="D2156" s="59"/>
      <c r="E2156" s="59"/>
      <c r="F2156" s="59"/>
      <c r="G2156" s="59"/>
      <c r="H2156" s="82"/>
      <c r="I2156" s="59"/>
    </row>
    <row r="2157">
      <c r="A2157" s="59"/>
      <c r="B2157" s="59"/>
      <c r="C2157" s="59"/>
      <c r="D2157" s="59"/>
      <c r="E2157" s="59"/>
      <c r="F2157" s="59"/>
      <c r="G2157" s="59"/>
      <c r="H2157" s="82"/>
      <c r="I2157" s="59"/>
    </row>
    <row r="2158">
      <c r="A2158" s="59"/>
      <c r="B2158" s="59"/>
      <c r="C2158" s="59"/>
      <c r="D2158" s="59"/>
      <c r="E2158" s="59"/>
      <c r="F2158" s="59"/>
      <c r="G2158" s="59"/>
      <c r="H2158" s="82"/>
      <c r="I2158" s="59"/>
    </row>
    <row r="2159">
      <c r="A2159" s="59"/>
      <c r="B2159" s="59"/>
      <c r="C2159" s="59"/>
      <c r="D2159" s="59"/>
      <c r="E2159" s="59"/>
      <c r="F2159" s="59"/>
      <c r="G2159" s="59"/>
      <c r="H2159" s="82"/>
      <c r="I2159" s="59"/>
    </row>
    <row r="2160">
      <c r="A2160" s="59"/>
      <c r="B2160" s="59"/>
      <c r="C2160" s="59"/>
      <c r="D2160" s="59"/>
      <c r="E2160" s="59"/>
      <c r="F2160" s="59"/>
      <c r="G2160" s="59"/>
      <c r="H2160" s="82"/>
      <c r="I2160" s="59"/>
    </row>
    <row r="2161">
      <c r="A2161" s="59"/>
      <c r="B2161" s="59"/>
      <c r="C2161" s="59"/>
      <c r="D2161" s="59"/>
      <c r="E2161" s="59"/>
      <c r="F2161" s="59"/>
      <c r="G2161" s="59"/>
      <c r="H2161" s="82"/>
      <c r="I2161" s="59"/>
    </row>
    <row r="2162">
      <c r="A2162" s="59"/>
      <c r="B2162" s="59"/>
      <c r="C2162" s="59"/>
      <c r="D2162" s="59"/>
      <c r="E2162" s="59"/>
      <c r="F2162" s="59"/>
      <c r="G2162" s="59"/>
      <c r="H2162" s="82"/>
      <c r="I2162" s="59"/>
    </row>
    <row r="2163">
      <c r="A2163" s="59"/>
      <c r="B2163" s="59"/>
      <c r="C2163" s="59"/>
      <c r="D2163" s="59"/>
      <c r="E2163" s="59"/>
      <c r="F2163" s="59"/>
      <c r="G2163" s="59"/>
      <c r="H2163" s="82"/>
      <c r="I2163" s="59"/>
    </row>
    <row r="2164">
      <c r="A2164" s="59"/>
      <c r="B2164" s="59"/>
      <c r="C2164" s="59"/>
      <c r="D2164" s="59"/>
      <c r="E2164" s="59"/>
      <c r="F2164" s="59"/>
      <c r="G2164" s="59"/>
      <c r="H2164" s="82"/>
      <c r="I2164" s="59"/>
    </row>
    <row r="2165">
      <c r="A2165" s="59"/>
      <c r="B2165" s="59"/>
      <c r="C2165" s="59"/>
      <c r="D2165" s="59"/>
      <c r="E2165" s="59"/>
      <c r="F2165" s="59"/>
      <c r="G2165" s="59"/>
      <c r="H2165" s="82"/>
      <c r="I2165" s="59"/>
    </row>
    <row r="2166">
      <c r="A2166" s="59"/>
      <c r="B2166" s="59"/>
      <c r="C2166" s="59"/>
      <c r="D2166" s="59"/>
      <c r="E2166" s="59"/>
      <c r="F2166" s="59"/>
      <c r="G2166" s="59"/>
      <c r="H2166" s="82"/>
      <c r="I2166" s="59"/>
    </row>
    <row r="2167">
      <c r="A2167" s="59"/>
      <c r="B2167" s="59"/>
      <c r="C2167" s="59"/>
      <c r="D2167" s="59"/>
      <c r="E2167" s="59"/>
      <c r="F2167" s="59"/>
      <c r="G2167" s="59"/>
      <c r="H2167" s="82"/>
      <c r="I2167" s="59"/>
    </row>
    <row r="2168">
      <c r="A2168" s="59"/>
      <c r="B2168" s="59"/>
      <c r="C2168" s="59"/>
      <c r="D2168" s="59"/>
      <c r="E2168" s="59"/>
      <c r="F2168" s="59"/>
      <c r="G2168" s="59"/>
      <c r="H2168" s="82"/>
      <c r="I2168" s="59"/>
    </row>
    <row r="2169">
      <c r="A2169" s="59"/>
      <c r="B2169" s="59"/>
      <c r="C2169" s="59"/>
      <c r="D2169" s="59"/>
      <c r="E2169" s="59"/>
      <c r="F2169" s="59"/>
      <c r="G2169" s="59"/>
      <c r="H2169" s="82"/>
      <c r="I2169" s="59"/>
    </row>
    <row r="2170">
      <c r="A2170" s="59"/>
      <c r="B2170" s="59"/>
      <c r="C2170" s="59"/>
      <c r="D2170" s="59"/>
      <c r="E2170" s="59"/>
      <c r="F2170" s="59"/>
      <c r="G2170" s="59"/>
      <c r="H2170" s="82"/>
      <c r="I2170" s="59"/>
    </row>
    <row r="2171">
      <c r="A2171" s="59"/>
      <c r="B2171" s="59"/>
      <c r="C2171" s="59"/>
      <c r="D2171" s="59"/>
      <c r="E2171" s="59"/>
      <c r="F2171" s="59"/>
      <c r="G2171" s="59"/>
      <c r="H2171" s="82"/>
      <c r="I2171" s="59"/>
    </row>
    <row r="2172">
      <c r="A2172" s="59"/>
      <c r="B2172" s="59"/>
      <c r="C2172" s="59"/>
      <c r="D2172" s="59"/>
      <c r="E2172" s="59"/>
      <c r="F2172" s="59"/>
      <c r="G2172" s="59"/>
      <c r="H2172" s="82"/>
      <c r="I2172" s="59"/>
    </row>
    <row r="2173">
      <c r="A2173" s="59"/>
      <c r="B2173" s="59"/>
      <c r="C2173" s="59"/>
      <c r="D2173" s="59"/>
      <c r="E2173" s="59"/>
      <c r="F2173" s="59"/>
      <c r="G2173" s="59"/>
      <c r="H2173" s="82"/>
      <c r="I2173" s="59"/>
    </row>
    <row r="2174">
      <c r="A2174" s="59"/>
      <c r="B2174" s="59"/>
      <c r="C2174" s="59"/>
      <c r="D2174" s="59"/>
      <c r="E2174" s="59"/>
      <c r="F2174" s="59"/>
      <c r="G2174" s="59"/>
      <c r="H2174" s="82"/>
      <c r="I2174" s="59"/>
    </row>
    <row r="2175">
      <c r="A2175" s="59"/>
      <c r="B2175" s="59"/>
      <c r="C2175" s="59"/>
      <c r="D2175" s="59"/>
      <c r="E2175" s="59"/>
      <c r="F2175" s="59"/>
      <c r="G2175" s="59"/>
      <c r="H2175" s="82"/>
      <c r="I2175" s="59"/>
    </row>
    <row r="2176">
      <c r="A2176" s="59"/>
      <c r="B2176" s="59"/>
      <c r="C2176" s="59"/>
      <c r="D2176" s="59"/>
      <c r="E2176" s="59"/>
      <c r="F2176" s="59"/>
      <c r="G2176" s="59"/>
      <c r="H2176" s="82"/>
      <c r="I2176" s="59"/>
    </row>
    <row r="2177">
      <c r="A2177" s="59"/>
      <c r="B2177" s="59"/>
      <c r="C2177" s="59"/>
      <c r="D2177" s="59"/>
      <c r="E2177" s="59"/>
      <c r="F2177" s="59"/>
      <c r="G2177" s="59"/>
      <c r="H2177" s="82"/>
      <c r="I2177" s="59"/>
    </row>
    <row r="2178">
      <c r="A2178" s="59"/>
      <c r="B2178" s="59"/>
      <c r="C2178" s="59"/>
      <c r="D2178" s="59"/>
      <c r="E2178" s="59"/>
      <c r="F2178" s="59"/>
      <c r="G2178" s="59"/>
      <c r="H2178" s="82"/>
      <c r="I2178" s="59"/>
    </row>
    <row r="2179">
      <c r="A2179" s="59"/>
      <c r="B2179" s="59"/>
      <c r="C2179" s="59"/>
      <c r="D2179" s="59"/>
      <c r="E2179" s="59"/>
      <c r="F2179" s="59"/>
      <c r="G2179" s="59"/>
      <c r="H2179" s="82"/>
      <c r="I2179" s="59"/>
    </row>
    <row r="2180">
      <c r="A2180" s="59"/>
      <c r="B2180" s="59"/>
      <c r="C2180" s="59"/>
      <c r="D2180" s="59"/>
      <c r="E2180" s="59"/>
      <c r="F2180" s="59"/>
      <c r="G2180" s="59"/>
      <c r="H2180" s="82"/>
      <c r="I2180" s="59"/>
    </row>
    <row r="2181">
      <c r="A2181" s="59"/>
      <c r="B2181" s="59"/>
      <c r="C2181" s="59"/>
      <c r="D2181" s="59"/>
      <c r="E2181" s="59"/>
      <c r="F2181" s="59"/>
      <c r="G2181" s="59"/>
      <c r="H2181" s="82"/>
      <c r="I2181" s="59"/>
    </row>
    <row r="2182">
      <c r="A2182" s="59"/>
      <c r="B2182" s="59"/>
      <c r="C2182" s="59"/>
      <c r="D2182" s="59"/>
      <c r="E2182" s="59"/>
      <c r="F2182" s="59"/>
      <c r="G2182" s="59"/>
      <c r="H2182" s="82"/>
      <c r="I2182" s="59"/>
    </row>
    <row r="2183">
      <c r="A2183" s="59"/>
      <c r="B2183" s="59"/>
      <c r="C2183" s="59"/>
      <c r="D2183" s="59"/>
      <c r="E2183" s="59"/>
      <c r="F2183" s="59"/>
      <c r="G2183" s="59"/>
      <c r="H2183" s="82"/>
      <c r="I2183" s="59"/>
    </row>
    <row r="2184">
      <c r="A2184" s="59"/>
      <c r="B2184" s="59"/>
      <c r="C2184" s="59"/>
      <c r="D2184" s="59"/>
      <c r="E2184" s="59"/>
      <c r="F2184" s="59"/>
      <c r="G2184" s="59"/>
      <c r="H2184" s="82"/>
      <c r="I2184" s="59"/>
    </row>
    <row r="2185">
      <c r="A2185" s="59"/>
      <c r="B2185" s="59"/>
      <c r="C2185" s="59"/>
      <c r="D2185" s="59"/>
      <c r="E2185" s="59"/>
      <c r="F2185" s="59"/>
      <c r="G2185" s="59"/>
      <c r="H2185" s="82"/>
      <c r="I2185" s="59"/>
    </row>
    <row r="2186">
      <c r="A2186" s="59"/>
      <c r="B2186" s="59"/>
      <c r="C2186" s="59"/>
      <c r="D2186" s="59"/>
      <c r="E2186" s="59"/>
      <c r="F2186" s="59"/>
      <c r="G2186" s="59"/>
      <c r="H2186" s="82"/>
      <c r="I2186" s="59"/>
    </row>
    <row r="2187">
      <c r="A2187" s="59"/>
      <c r="B2187" s="59"/>
      <c r="C2187" s="59"/>
      <c r="D2187" s="59"/>
      <c r="E2187" s="59"/>
      <c r="F2187" s="59"/>
      <c r="G2187" s="59"/>
      <c r="H2187" s="82"/>
      <c r="I2187" s="59"/>
    </row>
    <row r="2188">
      <c r="A2188" s="59"/>
      <c r="B2188" s="59"/>
      <c r="C2188" s="59"/>
      <c r="D2188" s="59"/>
      <c r="E2188" s="59"/>
      <c r="F2188" s="59"/>
      <c r="G2188" s="59"/>
      <c r="H2188" s="82"/>
      <c r="I2188" s="59"/>
    </row>
    <row r="2189">
      <c r="A2189" s="59"/>
      <c r="B2189" s="59"/>
      <c r="C2189" s="59"/>
      <c r="D2189" s="59"/>
      <c r="E2189" s="59"/>
      <c r="F2189" s="59"/>
      <c r="G2189" s="59"/>
      <c r="H2189" s="82"/>
      <c r="I2189" s="59"/>
    </row>
    <row r="2190">
      <c r="A2190" s="59"/>
      <c r="B2190" s="59"/>
      <c r="C2190" s="59"/>
      <c r="D2190" s="59"/>
      <c r="E2190" s="59"/>
      <c r="F2190" s="59"/>
      <c r="G2190" s="59"/>
      <c r="H2190" s="82"/>
      <c r="I2190" s="59"/>
    </row>
    <row r="2191">
      <c r="A2191" s="59"/>
      <c r="B2191" s="59"/>
      <c r="C2191" s="59"/>
      <c r="D2191" s="59"/>
      <c r="E2191" s="59"/>
      <c r="F2191" s="59"/>
      <c r="G2191" s="59"/>
      <c r="H2191" s="82"/>
      <c r="I2191" s="59"/>
    </row>
    <row r="2192">
      <c r="A2192" s="59"/>
      <c r="B2192" s="59"/>
      <c r="C2192" s="59"/>
      <c r="D2192" s="59"/>
      <c r="E2192" s="59"/>
      <c r="F2192" s="59"/>
      <c r="G2192" s="59"/>
      <c r="H2192" s="82"/>
      <c r="I2192" s="59"/>
    </row>
    <row r="2193">
      <c r="A2193" s="59"/>
      <c r="B2193" s="59"/>
      <c r="C2193" s="59"/>
      <c r="D2193" s="59"/>
      <c r="E2193" s="59"/>
      <c r="F2193" s="59"/>
      <c r="G2193" s="59"/>
      <c r="H2193" s="82"/>
      <c r="I2193" s="59"/>
    </row>
    <row r="2194">
      <c r="A2194" s="59"/>
      <c r="B2194" s="59"/>
      <c r="C2194" s="59"/>
      <c r="D2194" s="59"/>
      <c r="E2194" s="59"/>
      <c r="F2194" s="59"/>
      <c r="G2194" s="59"/>
      <c r="H2194" s="82"/>
      <c r="I2194" s="59"/>
    </row>
    <row r="2195">
      <c r="A2195" s="59"/>
      <c r="B2195" s="59"/>
      <c r="C2195" s="59"/>
      <c r="D2195" s="59"/>
      <c r="E2195" s="59"/>
      <c r="F2195" s="59"/>
      <c r="G2195" s="59"/>
      <c r="H2195" s="82"/>
      <c r="I2195" s="59"/>
    </row>
    <row r="2196">
      <c r="A2196" s="59"/>
      <c r="B2196" s="59"/>
      <c r="C2196" s="59"/>
      <c r="D2196" s="59"/>
      <c r="E2196" s="59"/>
      <c r="F2196" s="59"/>
      <c r="G2196" s="59"/>
      <c r="H2196" s="82"/>
      <c r="I2196" s="59"/>
    </row>
    <row r="2197">
      <c r="A2197" s="59"/>
      <c r="B2197" s="59"/>
      <c r="C2197" s="59"/>
      <c r="D2197" s="59"/>
      <c r="E2197" s="59"/>
      <c r="F2197" s="59"/>
      <c r="G2197" s="59"/>
      <c r="H2197" s="82"/>
      <c r="I2197" s="59"/>
    </row>
    <row r="2198">
      <c r="A2198" s="59"/>
      <c r="B2198" s="59"/>
      <c r="C2198" s="59"/>
      <c r="D2198" s="59"/>
      <c r="E2198" s="59"/>
      <c r="F2198" s="59"/>
      <c r="G2198" s="59"/>
      <c r="H2198" s="82"/>
      <c r="I2198" s="59"/>
    </row>
    <row r="2199">
      <c r="A2199" s="59"/>
      <c r="B2199" s="59"/>
      <c r="C2199" s="59"/>
      <c r="D2199" s="59"/>
      <c r="E2199" s="59"/>
      <c r="F2199" s="59"/>
      <c r="G2199" s="59"/>
      <c r="H2199" s="82"/>
      <c r="I2199" s="59"/>
    </row>
    <row r="2200">
      <c r="A2200" s="59"/>
      <c r="B2200" s="59"/>
      <c r="C2200" s="59"/>
      <c r="D2200" s="59"/>
      <c r="E2200" s="59"/>
      <c r="F2200" s="59"/>
      <c r="G2200" s="59"/>
      <c r="H2200" s="82"/>
      <c r="I2200" s="59"/>
    </row>
    <row r="2201">
      <c r="A2201" s="59"/>
      <c r="B2201" s="59"/>
      <c r="C2201" s="59"/>
      <c r="D2201" s="59"/>
      <c r="E2201" s="59"/>
      <c r="F2201" s="59"/>
      <c r="G2201" s="59"/>
      <c r="H2201" s="82"/>
      <c r="I2201" s="59"/>
    </row>
    <row r="2202">
      <c r="A2202" s="59"/>
      <c r="B2202" s="59"/>
      <c r="C2202" s="59"/>
      <c r="D2202" s="59"/>
      <c r="E2202" s="59"/>
      <c r="F2202" s="59"/>
      <c r="G2202" s="59"/>
      <c r="H2202" s="82"/>
      <c r="I2202" s="59"/>
    </row>
    <row r="2203">
      <c r="A2203" s="59"/>
      <c r="B2203" s="59"/>
      <c r="C2203" s="59"/>
      <c r="D2203" s="59"/>
      <c r="E2203" s="59"/>
      <c r="F2203" s="59"/>
      <c r="G2203" s="59"/>
      <c r="H2203" s="82"/>
      <c r="I2203" s="59"/>
    </row>
    <row r="2204">
      <c r="A2204" s="59"/>
      <c r="B2204" s="59"/>
      <c r="C2204" s="59"/>
      <c r="D2204" s="59"/>
      <c r="E2204" s="59"/>
      <c r="F2204" s="59"/>
      <c r="G2204" s="59"/>
      <c r="H2204" s="82"/>
      <c r="I2204" s="59"/>
    </row>
    <row r="2205">
      <c r="A2205" s="59"/>
      <c r="B2205" s="59"/>
      <c r="C2205" s="59"/>
      <c r="D2205" s="59"/>
      <c r="E2205" s="59"/>
      <c r="F2205" s="59"/>
      <c r="G2205" s="59"/>
      <c r="H2205" s="82"/>
      <c r="I2205" s="59"/>
    </row>
    <row r="2206">
      <c r="A2206" s="59"/>
      <c r="B2206" s="59"/>
      <c r="C2206" s="59"/>
      <c r="D2206" s="59"/>
      <c r="E2206" s="59"/>
      <c r="F2206" s="59"/>
      <c r="G2206" s="59"/>
      <c r="H2206" s="82"/>
      <c r="I2206" s="59"/>
    </row>
    <row r="2207">
      <c r="A2207" s="59"/>
      <c r="B2207" s="59"/>
      <c r="C2207" s="59"/>
      <c r="D2207" s="59"/>
      <c r="E2207" s="59"/>
      <c r="F2207" s="59"/>
      <c r="G2207" s="59"/>
      <c r="H2207" s="82"/>
      <c r="I2207" s="59"/>
    </row>
    <row r="2208">
      <c r="A2208" s="59"/>
      <c r="B2208" s="59"/>
      <c r="C2208" s="59"/>
      <c r="D2208" s="59"/>
      <c r="E2208" s="59"/>
      <c r="F2208" s="59"/>
      <c r="G2208" s="59"/>
      <c r="H2208" s="82"/>
      <c r="I2208" s="59"/>
    </row>
    <row r="2209">
      <c r="A2209" s="59"/>
      <c r="B2209" s="59"/>
      <c r="C2209" s="59"/>
      <c r="D2209" s="59"/>
      <c r="E2209" s="59"/>
      <c r="F2209" s="59"/>
      <c r="G2209" s="59"/>
      <c r="H2209" s="82"/>
      <c r="I2209" s="59"/>
    </row>
    <row r="2210">
      <c r="A2210" s="59"/>
      <c r="B2210" s="59"/>
      <c r="C2210" s="59"/>
      <c r="D2210" s="59"/>
      <c r="E2210" s="59"/>
      <c r="F2210" s="59"/>
      <c r="G2210" s="59"/>
      <c r="H2210" s="82"/>
      <c r="I2210" s="59"/>
    </row>
    <row r="2211">
      <c r="A2211" s="59"/>
      <c r="B2211" s="59"/>
      <c r="C2211" s="59"/>
      <c r="D2211" s="59"/>
      <c r="E2211" s="59"/>
      <c r="F2211" s="59"/>
      <c r="G2211" s="59"/>
      <c r="H2211" s="82"/>
      <c r="I2211" s="59"/>
    </row>
    <row r="2212">
      <c r="A2212" s="59"/>
      <c r="B2212" s="59"/>
      <c r="C2212" s="59"/>
      <c r="D2212" s="59"/>
      <c r="E2212" s="59"/>
      <c r="F2212" s="59"/>
      <c r="G2212" s="59"/>
      <c r="H2212" s="82"/>
      <c r="I2212" s="59"/>
    </row>
    <row r="2213">
      <c r="A2213" s="59"/>
      <c r="B2213" s="59"/>
      <c r="C2213" s="59"/>
      <c r="D2213" s="59"/>
      <c r="E2213" s="59"/>
      <c r="F2213" s="59"/>
      <c r="G2213" s="59"/>
      <c r="H2213" s="82"/>
      <c r="I2213" s="59"/>
    </row>
    <row r="2214">
      <c r="A2214" s="59"/>
      <c r="B2214" s="59"/>
      <c r="C2214" s="59"/>
      <c r="D2214" s="59"/>
      <c r="E2214" s="59"/>
      <c r="F2214" s="59"/>
      <c r="G2214" s="59"/>
      <c r="H2214" s="82"/>
      <c r="I2214" s="59"/>
    </row>
    <row r="2215">
      <c r="A2215" s="59"/>
      <c r="B2215" s="59"/>
      <c r="C2215" s="59"/>
      <c r="D2215" s="59"/>
      <c r="E2215" s="59"/>
      <c r="F2215" s="59"/>
      <c r="G2215" s="59"/>
      <c r="H2215" s="82"/>
      <c r="I2215" s="59"/>
    </row>
    <row r="2216">
      <c r="A2216" s="59"/>
      <c r="B2216" s="59"/>
      <c r="C2216" s="59"/>
      <c r="D2216" s="59"/>
      <c r="E2216" s="59"/>
      <c r="F2216" s="59"/>
      <c r="G2216" s="59"/>
      <c r="H2216" s="82"/>
      <c r="I2216" s="59"/>
    </row>
    <row r="2217">
      <c r="A2217" s="59"/>
      <c r="B2217" s="59"/>
      <c r="C2217" s="59"/>
      <c r="D2217" s="59"/>
      <c r="E2217" s="59"/>
      <c r="F2217" s="59"/>
      <c r="G2217" s="59"/>
      <c r="H2217" s="82"/>
      <c r="I2217" s="59"/>
    </row>
    <row r="2218">
      <c r="A2218" s="59"/>
      <c r="B2218" s="59"/>
      <c r="C2218" s="59"/>
      <c r="D2218" s="59"/>
      <c r="E2218" s="59"/>
      <c r="F2218" s="59"/>
      <c r="G2218" s="59"/>
      <c r="H2218" s="82"/>
      <c r="I2218" s="59"/>
    </row>
    <row r="2219">
      <c r="A2219" s="59"/>
      <c r="B2219" s="59"/>
      <c r="C2219" s="59"/>
      <c r="D2219" s="59"/>
      <c r="E2219" s="59"/>
      <c r="F2219" s="59"/>
      <c r="G2219" s="59"/>
      <c r="H2219" s="82"/>
      <c r="I2219" s="59"/>
    </row>
    <row r="2220">
      <c r="A2220" s="59"/>
      <c r="B2220" s="59"/>
      <c r="C2220" s="59"/>
      <c r="D2220" s="59"/>
      <c r="E2220" s="59"/>
      <c r="F2220" s="59"/>
      <c r="G2220" s="59"/>
      <c r="H2220" s="82"/>
      <c r="I2220" s="59"/>
    </row>
    <row r="2221">
      <c r="A2221" s="59"/>
      <c r="B2221" s="59"/>
      <c r="C2221" s="59"/>
      <c r="D2221" s="59"/>
      <c r="E2221" s="59"/>
      <c r="F2221" s="59"/>
      <c r="G2221" s="59"/>
      <c r="H2221" s="82"/>
      <c r="I2221" s="59"/>
    </row>
    <row r="2222">
      <c r="A2222" s="59"/>
      <c r="B2222" s="59"/>
      <c r="C2222" s="59"/>
      <c r="D2222" s="59"/>
      <c r="E2222" s="59"/>
      <c r="F2222" s="59"/>
      <c r="G2222" s="59"/>
      <c r="H2222" s="82"/>
      <c r="I2222" s="59"/>
    </row>
    <row r="2223">
      <c r="A2223" s="59"/>
      <c r="B2223" s="59"/>
      <c r="C2223" s="59"/>
      <c r="D2223" s="59"/>
      <c r="E2223" s="59"/>
      <c r="F2223" s="59"/>
      <c r="G2223" s="59"/>
      <c r="H2223" s="82"/>
      <c r="I2223" s="59"/>
    </row>
    <row r="2224">
      <c r="A2224" s="59"/>
      <c r="B2224" s="59"/>
      <c r="C2224" s="59"/>
      <c r="D2224" s="59"/>
      <c r="E2224" s="59"/>
      <c r="F2224" s="59"/>
      <c r="G2224" s="59"/>
      <c r="H2224" s="82"/>
      <c r="I2224" s="59"/>
    </row>
    <row r="2225">
      <c r="A2225" s="59"/>
      <c r="B2225" s="59"/>
      <c r="C2225" s="59"/>
      <c r="D2225" s="59"/>
      <c r="E2225" s="59"/>
      <c r="F2225" s="59"/>
      <c r="G2225" s="59"/>
      <c r="H2225" s="82"/>
      <c r="I2225" s="59"/>
    </row>
    <row r="2226">
      <c r="A2226" s="59"/>
      <c r="B2226" s="59"/>
      <c r="C2226" s="59"/>
      <c r="D2226" s="59"/>
      <c r="E2226" s="59"/>
      <c r="F2226" s="59"/>
      <c r="G2226" s="59"/>
      <c r="H2226" s="82"/>
      <c r="I2226" s="59"/>
    </row>
    <row r="2227">
      <c r="A2227" s="59"/>
      <c r="B2227" s="59"/>
      <c r="C2227" s="59"/>
      <c r="D2227" s="59"/>
      <c r="E2227" s="59"/>
      <c r="F2227" s="59"/>
      <c r="G2227" s="59"/>
      <c r="H2227" s="82"/>
      <c r="I2227" s="59"/>
    </row>
    <row r="2228">
      <c r="A2228" s="59"/>
      <c r="B2228" s="59"/>
      <c r="C2228" s="59"/>
      <c r="D2228" s="59"/>
      <c r="E2228" s="59"/>
      <c r="F2228" s="59"/>
      <c r="G2228" s="59"/>
      <c r="H2228" s="82"/>
      <c r="I2228" s="59"/>
    </row>
    <row r="2229">
      <c r="A2229" s="59"/>
      <c r="B2229" s="59"/>
      <c r="C2229" s="59"/>
      <c r="D2229" s="59"/>
      <c r="E2229" s="59"/>
      <c r="F2229" s="59"/>
      <c r="G2229" s="59"/>
      <c r="H2229" s="82"/>
      <c r="I2229" s="59"/>
    </row>
    <row r="2230">
      <c r="A2230" s="59"/>
      <c r="B2230" s="59"/>
      <c r="C2230" s="59"/>
      <c r="D2230" s="59"/>
      <c r="E2230" s="59"/>
      <c r="F2230" s="59"/>
      <c r="G2230" s="59"/>
      <c r="H2230" s="82"/>
      <c r="I2230" s="59"/>
    </row>
    <row r="2231">
      <c r="A2231" s="59"/>
      <c r="B2231" s="59"/>
      <c r="C2231" s="59"/>
      <c r="D2231" s="59"/>
      <c r="E2231" s="59"/>
      <c r="F2231" s="59"/>
      <c r="G2231" s="59"/>
      <c r="H2231" s="82"/>
      <c r="I2231" s="59"/>
    </row>
    <row r="2232">
      <c r="A2232" s="59"/>
      <c r="B2232" s="59"/>
      <c r="C2232" s="59"/>
      <c r="D2232" s="59"/>
      <c r="E2232" s="59"/>
      <c r="F2232" s="59"/>
      <c r="G2232" s="59"/>
      <c r="H2232" s="82"/>
      <c r="I2232" s="59"/>
    </row>
    <row r="2233">
      <c r="A2233" s="59"/>
      <c r="B2233" s="59"/>
      <c r="C2233" s="59"/>
      <c r="D2233" s="59"/>
      <c r="E2233" s="59"/>
      <c r="F2233" s="59"/>
      <c r="G2233" s="59"/>
      <c r="H2233" s="82"/>
      <c r="I2233" s="59"/>
    </row>
    <row r="2234">
      <c r="A2234" s="59"/>
      <c r="B2234" s="59"/>
      <c r="C2234" s="59"/>
      <c r="D2234" s="59"/>
      <c r="E2234" s="59"/>
      <c r="F2234" s="59"/>
      <c r="G2234" s="59"/>
      <c r="H2234" s="82"/>
      <c r="I2234" s="59"/>
    </row>
    <row r="2235">
      <c r="A2235" s="59"/>
      <c r="B2235" s="59"/>
      <c r="C2235" s="59"/>
      <c r="D2235" s="59"/>
      <c r="E2235" s="59"/>
      <c r="F2235" s="59"/>
      <c r="G2235" s="59"/>
      <c r="H2235" s="82"/>
      <c r="I2235" s="59"/>
    </row>
    <row r="2236">
      <c r="A2236" s="59"/>
      <c r="B2236" s="59"/>
      <c r="C2236" s="59"/>
      <c r="D2236" s="59"/>
      <c r="E2236" s="59"/>
      <c r="F2236" s="59"/>
      <c r="G2236" s="59"/>
      <c r="H2236" s="82"/>
      <c r="I2236" s="59"/>
    </row>
    <row r="2237">
      <c r="A2237" s="59"/>
      <c r="B2237" s="59"/>
      <c r="C2237" s="59"/>
      <c r="D2237" s="59"/>
      <c r="E2237" s="59"/>
      <c r="F2237" s="59"/>
      <c r="G2237" s="59"/>
      <c r="H2237" s="82"/>
      <c r="I2237" s="59"/>
    </row>
    <row r="2238">
      <c r="A2238" s="59"/>
      <c r="B2238" s="59"/>
      <c r="C2238" s="59"/>
      <c r="D2238" s="59"/>
      <c r="E2238" s="59"/>
      <c r="F2238" s="59"/>
      <c r="G2238" s="59"/>
      <c r="H2238" s="82"/>
      <c r="I2238" s="59"/>
    </row>
    <row r="2239">
      <c r="A2239" s="59"/>
      <c r="B2239" s="59"/>
      <c r="C2239" s="59"/>
      <c r="D2239" s="59"/>
      <c r="E2239" s="59"/>
      <c r="F2239" s="59"/>
      <c r="G2239" s="59"/>
      <c r="H2239" s="82"/>
      <c r="I2239" s="59"/>
    </row>
    <row r="2240">
      <c r="A2240" s="59"/>
      <c r="B2240" s="59"/>
      <c r="C2240" s="59"/>
      <c r="D2240" s="59"/>
      <c r="E2240" s="59"/>
      <c r="F2240" s="59"/>
      <c r="G2240" s="59"/>
      <c r="H2240" s="82"/>
      <c r="I2240" s="59"/>
    </row>
    <row r="2241">
      <c r="A2241" s="59"/>
      <c r="B2241" s="59"/>
      <c r="C2241" s="59"/>
      <c r="D2241" s="59"/>
      <c r="E2241" s="59"/>
      <c r="F2241" s="59"/>
      <c r="G2241" s="59"/>
      <c r="H2241" s="82"/>
      <c r="I2241" s="59"/>
    </row>
    <row r="2242">
      <c r="A2242" s="59"/>
      <c r="B2242" s="59"/>
      <c r="C2242" s="59"/>
      <c r="D2242" s="59"/>
      <c r="E2242" s="59"/>
      <c r="F2242" s="59"/>
      <c r="G2242" s="59"/>
      <c r="H2242" s="82"/>
      <c r="I2242" s="59"/>
    </row>
    <row r="2243">
      <c r="A2243" s="59"/>
      <c r="B2243" s="59"/>
      <c r="C2243" s="59"/>
      <c r="D2243" s="59"/>
      <c r="E2243" s="59"/>
      <c r="F2243" s="59"/>
      <c r="G2243" s="59"/>
      <c r="H2243" s="82"/>
      <c r="I2243" s="59"/>
    </row>
    <row r="2244">
      <c r="A2244" s="59"/>
      <c r="B2244" s="59"/>
      <c r="C2244" s="59"/>
      <c r="D2244" s="59"/>
      <c r="E2244" s="59"/>
      <c r="F2244" s="59"/>
      <c r="G2244" s="59"/>
      <c r="H2244" s="82"/>
      <c r="I2244" s="59"/>
    </row>
    <row r="2245">
      <c r="A2245" s="59"/>
      <c r="B2245" s="59"/>
      <c r="C2245" s="59"/>
      <c r="D2245" s="59"/>
      <c r="E2245" s="59"/>
      <c r="F2245" s="59"/>
      <c r="G2245" s="59"/>
      <c r="H2245" s="82"/>
      <c r="I2245" s="59"/>
    </row>
    <row r="2246">
      <c r="A2246" s="59"/>
      <c r="B2246" s="59"/>
      <c r="C2246" s="59"/>
      <c r="D2246" s="59"/>
      <c r="E2246" s="59"/>
      <c r="F2246" s="59"/>
      <c r="G2246" s="59"/>
      <c r="H2246" s="82"/>
      <c r="I2246" s="59"/>
    </row>
    <row r="2247">
      <c r="A2247" s="59"/>
      <c r="B2247" s="59"/>
      <c r="C2247" s="59"/>
      <c r="D2247" s="59"/>
      <c r="E2247" s="59"/>
      <c r="F2247" s="59"/>
      <c r="G2247" s="59"/>
      <c r="H2247" s="82"/>
      <c r="I2247" s="59"/>
    </row>
    <row r="2248">
      <c r="A2248" s="59"/>
      <c r="B2248" s="59"/>
      <c r="C2248" s="59"/>
      <c r="D2248" s="59"/>
      <c r="E2248" s="59"/>
      <c r="F2248" s="59"/>
      <c r="G2248" s="59"/>
      <c r="H2248" s="82"/>
      <c r="I2248" s="59"/>
    </row>
    <row r="2249">
      <c r="A2249" s="59"/>
      <c r="B2249" s="59"/>
      <c r="C2249" s="59"/>
      <c r="D2249" s="59"/>
      <c r="E2249" s="59"/>
      <c r="F2249" s="59"/>
      <c r="G2249" s="59"/>
      <c r="H2249" s="82"/>
      <c r="I2249" s="59"/>
    </row>
    <row r="2250">
      <c r="A2250" s="59"/>
      <c r="B2250" s="59"/>
      <c r="C2250" s="59"/>
      <c r="D2250" s="59"/>
      <c r="E2250" s="59"/>
      <c r="F2250" s="59"/>
      <c r="G2250" s="59"/>
      <c r="H2250" s="82"/>
      <c r="I2250" s="59"/>
    </row>
    <row r="2251">
      <c r="A2251" s="59"/>
      <c r="B2251" s="59"/>
      <c r="C2251" s="59"/>
      <c r="D2251" s="59"/>
      <c r="E2251" s="59"/>
      <c r="F2251" s="59"/>
      <c r="G2251" s="59"/>
      <c r="H2251" s="82"/>
      <c r="I2251" s="59"/>
    </row>
    <row r="2252">
      <c r="A2252" s="59"/>
      <c r="B2252" s="59"/>
      <c r="C2252" s="59"/>
      <c r="D2252" s="59"/>
      <c r="E2252" s="59"/>
      <c r="F2252" s="59"/>
      <c r="G2252" s="59"/>
      <c r="H2252" s="82"/>
      <c r="I2252" s="59"/>
    </row>
    <row r="2253">
      <c r="A2253" s="59"/>
      <c r="B2253" s="59"/>
      <c r="C2253" s="59"/>
      <c r="D2253" s="59"/>
      <c r="E2253" s="59"/>
      <c r="F2253" s="59"/>
      <c r="G2253" s="59"/>
      <c r="H2253" s="82"/>
      <c r="I2253" s="59"/>
    </row>
    <row r="2254">
      <c r="A2254" s="59"/>
      <c r="B2254" s="59"/>
      <c r="C2254" s="59"/>
      <c r="D2254" s="59"/>
      <c r="E2254" s="59"/>
      <c r="F2254" s="59"/>
      <c r="G2254" s="59"/>
      <c r="H2254" s="82"/>
      <c r="I2254" s="59"/>
    </row>
    <row r="2255">
      <c r="A2255" s="59"/>
      <c r="B2255" s="59"/>
      <c r="C2255" s="59"/>
      <c r="D2255" s="59"/>
      <c r="E2255" s="59"/>
      <c r="F2255" s="59"/>
      <c r="G2255" s="59"/>
      <c r="H2255" s="82"/>
      <c r="I2255" s="59"/>
    </row>
    <row r="2256">
      <c r="A2256" s="59"/>
      <c r="B2256" s="59"/>
      <c r="C2256" s="59"/>
      <c r="D2256" s="59"/>
      <c r="E2256" s="59"/>
      <c r="F2256" s="59"/>
      <c r="G2256" s="59"/>
      <c r="H2256" s="82"/>
      <c r="I2256" s="59"/>
    </row>
    <row r="2257">
      <c r="A2257" s="59"/>
      <c r="B2257" s="59"/>
      <c r="C2257" s="59"/>
      <c r="D2257" s="59"/>
      <c r="E2257" s="59"/>
      <c r="F2257" s="59"/>
      <c r="G2257" s="59"/>
      <c r="H2257" s="82"/>
      <c r="I2257" s="59"/>
    </row>
    <row r="2258">
      <c r="A2258" s="59"/>
      <c r="B2258" s="59"/>
      <c r="C2258" s="59"/>
      <c r="D2258" s="59"/>
      <c r="E2258" s="59"/>
      <c r="F2258" s="59"/>
      <c r="G2258" s="59"/>
      <c r="H2258" s="82"/>
      <c r="I2258" s="59"/>
    </row>
    <row r="2259">
      <c r="A2259" s="59"/>
      <c r="B2259" s="59"/>
      <c r="C2259" s="59"/>
      <c r="D2259" s="59"/>
      <c r="E2259" s="59"/>
      <c r="F2259" s="59"/>
      <c r="G2259" s="59"/>
      <c r="H2259" s="82"/>
      <c r="I2259" s="59"/>
    </row>
    <row r="2260">
      <c r="A2260" s="59"/>
      <c r="B2260" s="59"/>
      <c r="C2260" s="59"/>
      <c r="D2260" s="59"/>
      <c r="E2260" s="59"/>
      <c r="F2260" s="59"/>
      <c r="G2260" s="59"/>
      <c r="H2260" s="82"/>
      <c r="I2260" s="59"/>
    </row>
    <row r="2261">
      <c r="A2261" s="59"/>
      <c r="B2261" s="59"/>
      <c r="C2261" s="59"/>
      <c r="D2261" s="59"/>
      <c r="E2261" s="59"/>
      <c r="F2261" s="59"/>
      <c r="G2261" s="59"/>
      <c r="H2261" s="82"/>
      <c r="I2261" s="59"/>
    </row>
    <row r="2262">
      <c r="A2262" s="59"/>
      <c r="B2262" s="59"/>
      <c r="C2262" s="59"/>
      <c r="D2262" s="59"/>
      <c r="E2262" s="59"/>
      <c r="F2262" s="59"/>
      <c r="G2262" s="59"/>
      <c r="H2262" s="82"/>
      <c r="I2262" s="59"/>
    </row>
    <row r="2263">
      <c r="A2263" s="59"/>
      <c r="B2263" s="59"/>
      <c r="C2263" s="59"/>
      <c r="D2263" s="59"/>
      <c r="E2263" s="59"/>
      <c r="F2263" s="59"/>
      <c r="G2263" s="59"/>
      <c r="H2263" s="82"/>
      <c r="I2263" s="59"/>
    </row>
    <row r="2264">
      <c r="A2264" s="59"/>
      <c r="B2264" s="59"/>
      <c r="C2264" s="59"/>
      <c r="D2264" s="59"/>
      <c r="E2264" s="59"/>
      <c r="F2264" s="59"/>
      <c r="G2264" s="59"/>
      <c r="H2264" s="82"/>
      <c r="I2264" s="59"/>
    </row>
    <row r="2265">
      <c r="A2265" s="59"/>
      <c r="B2265" s="59"/>
      <c r="C2265" s="59"/>
      <c r="D2265" s="59"/>
      <c r="E2265" s="59"/>
      <c r="F2265" s="59"/>
      <c r="G2265" s="59"/>
      <c r="H2265" s="82"/>
      <c r="I2265" s="59"/>
    </row>
    <row r="2266">
      <c r="A2266" s="59"/>
      <c r="B2266" s="59"/>
      <c r="C2266" s="59"/>
      <c r="D2266" s="59"/>
      <c r="E2266" s="59"/>
      <c r="F2266" s="59"/>
      <c r="G2266" s="59"/>
      <c r="H2266" s="82"/>
      <c r="I2266" s="59"/>
    </row>
    <row r="2267">
      <c r="A2267" s="59"/>
      <c r="B2267" s="59"/>
      <c r="C2267" s="59"/>
      <c r="D2267" s="59"/>
      <c r="E2267" s="59"/>
      <c r="F2267" s="59"/>
      <c r="G2267" s="59"/>
      <c r="H2267" s="82"/>
      <c r="I2267" s="59"/>
    </row>
    <row r="2268">
      <c r="A2268" s="59"/>
      <c r="B2268" s="59"/>
      <c r="C2268" s="59"/>
      <c r="D2268" s="59"/>
      <c r="E2268" s="59"/>
      <c r="F2268" s="59"/>
      <c r="G2268" s="59"/>
      <c r="H2268" s="82"/>
      <c r="I2268" s="59"/>
    </row>
    <row r="2269">
      <c r="A2269" s="59"/>
      <c r="B2269" s="59"/>
      <c r="C2269" s="59"/>
      <c r="D2269" s="59"/>
      <c r="E2269" s="59"/>
      <c r="F2269" s="59"/>
      <c r="G2269" s="59"/>
      <c r="H2269" s="82"/>
      <c r="I2269" s="59"/>
    </row>
    <row r="2270">
      <c r="A2270" s="59"/>
      <c r="B2270" s="59"/>
      <c r="C2270" s="59"/>
      <c r="D2270" s="59"/>
      <c r="E2270" s="59"/>
      <c r="F2270" s="59"/>
      <c r="G2270" s="59"/>
      <c r="H2270" s="82"/>
      <c r="I2270" s="59"/>
    </row>
    <row r="2271">
      <c r="A2271" s="59"/>
      <c r="B2271" s="59"/>
      <c r="C2271" s="59"/>
      <c r="D2271" s="59"/>
      <c r="E2271" s="59"/>
      <c r="F2271" s="59"/>
      <c r="G2271" s="59"/>
      <c r="H2271" s="82"/>
      <c r="I2271" s="59"/>
    </row>
    <row r="2272">
      <c r="A2272" s="59"/>
      <c r="B2272" s="59"/>
      <c r="C2272" s="59"/>
      <c r="D2272" s="59"/>
      <c r="E2272" s="59"/>
      <c r="F2272" s="59"/>
      <c r="G2272" s="59"/>
      <c r="H2272" s="82"/>
      <c r="I2272" s="59"/>
    </row>
    <row r="2273">
      <c r="A2273" s="59"/>
      <c r="B2273" s="59"/>
      <c r="C2273" s="59"/>
      <c r="D2273" s="59"/>
      <c r="E2273" s="59"/>
      <c r="F2273" s="59"/>
      <c r="G2273" s="59"/>
      <c r="H2273" s="82"/>
      <c r="I2273" s="59"/>
    </row>
    <row r="2274">
      <c r="A2274" s="59"/>
      <c r="B2274" s="59"/>
      <c r="C2274" s="59"/>
      <c r="D2274" s="59"/>
      <c r="E2274" s="59"/>
      <c r="F2274" s="59"/>
      <c r="G2274" s="59"/>
      <c r="H2274" s="82"/>
      <c r="I2274" s="59"/>
    </row>
    <row r="2275">
      <c r="A2275" s="59"/>
      <c r="B2275" s="59"/>
      <c r="C2275" s="59"/>
      <c r="D2275" s="59"/>
      <c r="E2275" s="59"/>
      <c r="F2275" s="59"/>
      <c r="G2275" s="59"/>
      <c r="H2275" s="82"/>
      <c r="I2275" s="59"/>
    </row>
    <row r="2276">
      <c r="A2276" s="59"/>
      <c r="B2276" s="59"/>
      <c r="C2276" s="59"/>
      <c r="D2276" s="59"/>
      <c r="E2276" s="59"/>
      <c r="F2276" s="59"/>
      <c r="G2276" s="59"/>
      <c r="H2276" s="82"/>
      <c r="I2276" s="59"/>
    </row>
    <row r="2277">
      <c r="A2277" s="59"/>
      <c r="B2277" s="59"/>
      <c r="C2277" s="59"/>
      <c r="D2277" s="59"/>
      <c r="E2277" s="59"/>
      <c r="F2277" s="59"/>
      <c r="G2277" s="59"/>
      <c r="H2277" s="82"/>
      <c r="I2277" s="59"/>
    </row>
    <row r="2278">
      <c r="A2278" s="59"/>
      <c r="B2278" s="59"/>
      <c r="C2278" s="59"/>
      <c r="D2278" s="59"/>
      <c r="E2278" s="59"/>
      <c r="F2278" s="59"/>
      <c r="G2278" s="59"/>
      <c r="H2278" s="82"/>
      <c r="I2278" s="59"/>
    </row>
    <row r="2279">
      <c r="A2279" s="59"/>
      <c r="B2279" s="59"/>
      <c r="C2279" s="59"/>
      <c r="D2279" s="59"/>
      <c r="E2279" s="59"/>
      <c r="F2279" s="59"/>
      <c r="G2279" s="59"/>
      <c r="H2279" s="82"/>
      <c r="I2279" s="59"/>
    </row>
    <row r="2280">
      <c r="A2280" s="59"/>
      <c r="B2280" s="59"/>
      <c r="C2280" s="59"/>
      <c r="D2280" s="59"/>
      <c r="E2280" s="59"/>
      <c r="F2280" s="59"/>
      <c r="G2280" s="59"/>
      <c r="H2280" s="82"/>
      <c r="I2280" s="59"/>
    </row>
    <row r="2281">
      <c r="A2281" s="59"/>
      <c r="B2281" s="59"/>
      <c r="C2281" s="59"/>
      <c r="D2281" s="59"/>
      <c r="E2281" s="59"/>
      <c r="F2281" s="59"/>
      <c r="G2281" s="59"/>
      <c r="H2281" s="82"/>
      <c r="I2281" s="59"/>
    </row>
    <row r="2282">
      <c r="A2282" s="59"/>
      <c r="B2282" s="59"/>
      <c r="C2282" s="59"/>
      <c r="D2282" s="59"/>
      <c r="E2282" s="59"/>
      <c r="F2282" s="59"/>
      <c r="G2282" s="59"/>
      <c r="H2282" s="82"/>
      <c r="I2282" s="59"/>
    </row>
    <row r="2283">
      <c r="A2283" s="59"/>
      <c r="B2283" s="59"/>
      <c r="C2283" s="59"/>
      <c r="D2283" s="59"/>
      <c r="E2283" s="59"/>
      <c r="F2283" s="59"/>
      <c r="G2283" s="59"/>
      <c r="H2283" s="82"/>
      <c r="I2283" s="59"/>
    </row>
    <row r="2284">
      <c r="A2284" s="59"/>
      <c r="B2284" s="59"/>
      <c r="C2284" s="59"/>
      <c r="D2284" s="59"/>
      <c r="E2284" s="59"/>
      <c r="F2284" s="59"/>
      <c r="G2284" s="59"/>
      <c r="H2284" s="82"/>
      <c r="I2284" s="59"/>
    </row>
    <row r="2285">
      <c r="A2285" s="59"/>
      <c r="B2285" s="59"/>
      <c r="C2285" s="59"/>
      <c r="D2285" s="59"/>
      <c r="E2285" s="59"/>
      <c r="F2285" s="59"/>
      <c r="G2285" s="59"/>
      <c r="H2285" s="82"/>
      <c r="I2285" s="59"/>
    </row>
    <row r="2286">
      <c r="A2286" s="59"/>
      <c r="B2286" s="59"/>
      <c r="C2286" s="59"/>
      <c r="D2286" s="59"/>
      <c r="E2286" s="59"/>
      <c r="F2286" s="59"/>
      <c r="G2286" s="59"/>
      <c r="H2286" s="82"/>
      <c r="I2286" s="59"/>
    </row>
    <row r="2287">
      <c r="A2287" s="59"/>
      <c r="B2287" s="59"/>
      <c r="C2287" s="59"/>
      <c r="D2287" s="59"/>
      <c r="E2287" s="59"/>
      <c r="F2287" s="59"/>
      <c r="G2287" s="59"/>
      <c r="H2287" s="82"/>
      <c r="I2287" s="59"/>
    </row>
    <row r="2288">
      <c r="A2288" s="59"/>
      <c r="B2288" s="59"/>
      <c r="C2288" s="59"/>
      <c r="D2288" s="59"/>
      <c r="E2288" s="59"/>
      <c r="F2288" s="59"/>
      <c r="G2288" s="59"/>
      <c r="H2288" s="82"/>
      <c r="I2288" s="59"/>
    </row>
    <row r="2289">
      <c r="A2289" s="59"/>
      <c r="B2289" s="59"/>
      <c r="C2289" s="59"/>
      <c r="D2289" s="59"/>
      <c r="E2289" s="59"/>
      <c r="F2289" s="59"/>
      <c r="G2289" s="59"/>
      <c r="H2289" s="82"/>
      <c r="I2289" s="59"/>
    </row>
    <row r="2290">
      <c r="A2290" s="59"/>
      <c r="B2290" s="59"/>
      <c r="C2290" s="59"/>
      <c r="D2290" s="59"/>
      <c r="E2290" s="59"/>
      <c r="F2290" s="59"/>
      <c r="G2290" s="59"/>
      <c r="H2290" s="82"/>
      <c r="I2290" s="59"/>
    </row>
    <row r="2291">
      <c r="A2291" s="59"/>
      <c r="B2291" s="59"/>
      <c r="C2291" s="59"/>
      <c r="D2291" s="59"/>
      <c r="E2291" s="59"/>
      <c r="F2291" s="59"/>
      <c r="G2291" s="59"/>
      <c r="H2291" s="82"/>
      <c r="I2291" s="59"/>
    </row>
    <row r="2292">
      <c r="A2292" s="59"/>
      <c r="B2292" s="59"/>
      <c r="C2292" s="59"/>
      <c r="D2292" s="59"/>
      <c r="E2292" s="59"/>
      <c r="F2292" s="59"/>
      <c r="G2292" s="59"/>
      <c r="H2292" s="82"/>
      <c r="I2292" s="59"/>
    </row>
    <row r="2293">
      <c r="A2293" s="59"/>
      <c r="B2293" s="59"/>
      <c r="C2293" s="59"/>
      <c r="D2293" s="59"/>
      <c r="E2293" s="59"/>
      <c r="F2293" s="59"/>
      <c r="G2293" s="59"/>
      <c r="H2293" s="82"/>
      <c r="I2293" s="59"/>
    </row>
    <row r="2294">
      <c r="A2294" s="59"/>
      <c r="B2294" s="59"/>
      <c r="C2294" s="59"/>
      <c r="D2294" s="59"/>
      <c r="E2294" s="59"/>
      <c r="F2294" s="59"/>
      <c r="G2294" s="59"/>
      <c r="H2294" s="82"/>
      <c r="I2294" s="59"/>
    </row>
    <row r="2295">
      <c r="A2295" s="59"/>
      <c r="B2295" s="59"/>
      <c r="C2295" s="59"/>
      <c r="D2295" s="59"/>
      <c r="E2295" s="59"/>
      <c r="F2295" s="59"/>
      <c r="G2295" s="59"/>
      <c r="H2295" s="82"/>
      <c r="I2295" s="59"/>
    </row>
    <row r="2296">
      <c r="A2296" s="59"/>
      <c r="B2296" s="59"/>
      <c r="C2296" s="59"/>
      <c r="D2296" s="59"/>
      <c r="E2296" s="59"/>
      <c r="F2296" s="59"/>
      <c r="G2296" s="59"/>
      <c r="H2296" s="82"/>
      <c r="I2296" s="59"/>
    </row>
    <row r="2297">
      <c r="A2297" s="59"/>
      <c r="B2297" s="59"/>
      <c r="C2297" s="59"/>
      <c r="D2297" s="59"/>
      <c r="E2297" s="59"/>
      <c r="F2297" s="59"/>
      <c r="G2297" s="59"/>
      <c r="H2297" s="82"/>
      <c r="I2297" s="59"/>
    </row>
    <row r="2298">
      <c r="A2298" s="59"/>
      <c r="B2298" s="59"/>
      <c r="C2298" s="59"/>
      <c r="D2298" s="59"/>
      <c r="E2298" s="59"/>
      <c r="F2298" s="59"/>
      <c r="G2298" s="59"/>
      <c r="H2298" s="82"/>
      <c r="I2298" s="59"/>
    </row>
    <row r="2299">
      <c r="A2299" s="59"/>
      <c r="B2299" s="59"/>
      <c r="C2299" s="59"/>
      <c r="D2299" s="59"/>
      <c r="E2299" s="59"/>
      <c r="F2299" s="59"/>
      <c r="G2299" s="59"/>
      <c r="H2299" s="82"/>
      <c r="I2299" s="59"/>
    </row>
    <row r="2300">
      <c r="A2300" s="59"/>
      <c r="B2300" s="59"/>
      <c r="C2300" s="59"/>
      <c r="D2300" s="59"/>
      <c r="E2300" s="59"/>
      <c r="F2300" s="59"/>
      <c r="G2300" s="59"/>
      <c r="H2300" s="82"/>
      <c r="I2300" s="59"/>
    </row>
    <row r="2301">
      <c r="A2301" s="59"/>
      <c r="B2301" s="59"/>
      <c r="C2301" s="59"/>
      <c r="D2301" s="59"/>
      <c r="E2301" s="59"/>
      <c r="F2301" s="59"/>
      <c r="G2301" s="59"/>
      <c r="H2301" s="82"/>
      <c r="I2301" s="59"/>
    </row>
    <row r="2302">
      <c r="A2302" s="59"/>
      <c r="B2302" s="59"/>
      <c r="C2302" s="59"/>
      <c r="D2302" s="59"/>
      <c r="E2302" s="59"/>
      <c r="F2302" s="59"/>
      <c r="G2302" s="59"/>
      <c r="H2302" s="82"/>
      <c r="I2302" s="59"/>
    </row>
    <row r="2303">
      <c r="A2303" s="59"/>
      <c r="B2303" s="59"/>
      <c r="C2303" s="59"/>
      <c r="D2303" s="59"/>
      <c r="E2303" s="59"/>
      <c r="F2303" s="59"/>
      <c r="G2303" s="59"/>
      <c r="H2303" s="82"/>
      <c r="I2303" s="59"/>
    </row>
    <row r="2304">
      <c r="A2304" s="59"/>
      <c r="B2304" s="59"/>
      <c r="C2304" s="59"/>
      <c r="D2304" s="59"/>
      <c r="E2304" s="59"/>
      <c r="F2304" s="59"/>
      <c r="G2304" s="59"/>
      <c r="H2304" s="82"/>
      <c r="I2304" s="59"/>
    </row>
    <row r="2305">
      <c r="A2305" s="59"/>
      <c r="B2305" s="59"/>
      <c r="C2305" s="59"/>
      <c r="D2305" s="59"/>
      <c r="E2305" s="59"/>
      <c r="F2305" s="59"/>
      <c r="G2305" s="59"/>
      <c r="H2305" s="82"/>
      <c r="I2305" s="59"/>
    </row>
    <row r="2306">
      <c r="A2306" s="59"/>
      <c r="B2306" s="59"/>
      <c r="C2306" s="59"/>
      <c r="D2306" s="59"/>
      <c r="E2306" s="59"/>
      <c r="F2306" s="59"/>
      <c r="G2306" s="59"/>
      <c r="H2306" s="82"/>
      <c r="I2306" s="59"/>
    </row>
    <row r="2307">
      <c r="A2307" s="59"/>
      <c r="B2307" s="59"/>
      <c r="C2307" s="59"/>
      <c r="D2307" s="59"/>
      <c r="E2307" s="59"/>
      <c r="F2307" s="59"/>
      <c r="G2307" s="59"/>
      <c r="H2307" s="82"/>
      <c r="I2307" s="59"/>
    </row>
    <row r="2308">
      <c r="A2308" s="59"/>
      <c r="B2308" s="59"/>
      <c r="C2308" s="59"/>
      <c r="D2308" s="59"/>
      <c r="E2308" s="59"/>
      <c r="F2308" s="59"/>
      <c r="G2308" s="59"/>
      <c r="H2308" s="82"/>
      <c r="I2308" s="59"/>
    </row>
    <row r="2309">
      <c r="A2309" s="59"/>
      <c r="B2309" s="59"/>
      <c r="C2309" s="59"/>
      <c r="D2309" s="59"/>
      <c r="E2309" s="59"/>
      <c r="F2309" s="59"/>
      <c r="G2309" s="59"/>
      <c r="H2309" s="82"/>
      <c r="I2309" s="59"/>
    </row>
    <row r="2310">
      <c r="A2310" s="59"/>
      <c r="B2310" s="59"/>
      <c r="C2310" s="59"/>
      <c r="D2310" s="59"/>
      <c r="E2310" s="59"/>
      <c r="F2310" s="59"/>
      <c r="G2310" s="59"/>
      <c r="H2310" s="82"/>
      <c r="I2310" s="59"/>
    </row>
    <row r="2311">
      <c r="A2311" s="59"/>
      <c r="B2311" s="59"/>
      <c r="C2311" s="59"/>
      <c r="D2311" s="59"/>
      <c r="E2311" s="59"/>
      <c r="F2311" s="59"/>
      <c r="G2311" s="59"/>
      <c r="H2311" s="82"/>
      <c r="I2311" s="59"/>
    </row>
    <row r="2312">
      <c r="A2312" s="59"/>
      <c r="B2312" s="59"/>
      <c r="C2312" s="59"/>
      <c r="D2312" s="59"/>
      <c r="E2312" s="59"/>
      <c r="F2312" s="59"/>
      <c r="G2312" s="59"/>
      <c r="H2312" s="82"/>
      <c r="I2312" s="59"/>
    </row>
    <row r="2313">
      <c r="A2313" s="59"/>
      <c r="B2313" s="59"/>
      <c r="C2313" s="59"/>
      <c r="D2313" s="59"/>
      <c r="E2313" s="59"/>
      <c r="F2313" s="59"/>
      <c r="G2313" s="59"/>
      <c r="H2313" s="82"/>
      <c r="I2313" s="59"/>
    </row>
    <row r="2314">
      <c r="A2314" s="59"/>
      <c r="B2314" s="59"/>
      <c r="C2314" s="59"/>
      <c r="D2314" s="59"/>
      <c r="E2314" s="59"/>
      <c r="F2314" s="59"/>
      <c r="G2314" s="59"/>
      <c r="H2314" s="82"/>
      <c r="I2314" s="59"/>
    </row>
    <row r="2315">
      <c r="A2315" s="59"/>
      <c r="B2315" s="59"/>
      <c r="C2315" s="59"/>
      <c r="D2315" s="59"/>
      <c r="E2315" s="59"/>
      <c r="F2315" s="59"/>
      <c r="G2315" s="59"/>
      <c r="H2315" s="82"/>
      <c r="I2315" s="59"/>
    </row>
    <row r="2316">
      <c r="A2316" s="59"/>
      <c r="B2316" s="59"/>
      <c r="C2316" s="59"/>
      <c r="D2316" s="59"/>
      <c r="E2316" s="59"/>
      <c r="F2316" s="59"/>
      <c r="G2316" s="59"/>
      <c r="H2316" s="82"/>
      <c r="I2316" s="59"/>
    </row>
    <row r="2317">
      <c r="A2317" s="59"/>
      <c r="B2317" s="59"/>
      <c r="C2317" s="59"/>
      <c r="D2317" s="59"/>
      <c r="E2317" s="59"/>
      <c r="F2317" s="59"/>
      <c r="G2317" s="59"/>
      <c r="H2317" s="82"/>
      <c r="I2317" s="59"/>
    </row>
    <row r="2318">
      <c r="A2318" s="59"/>
      <c r="B2318" s="59"/>
      <c r="C2318" s="59"/>
      <c r="D2318" s="59"/>
      <c r="E2318" s="59"/>
      <c r="F2318" s="59"/>
      <c r="G2318" s="59"/>
      <c r="H2318" s="82"/>
      <c r="I2318" s="59"/>
    </row>
    <row r="2319">
      <c r="A2319" s="59"/>
      <c r="B2319" s="59"/>
      <c r="C2319" s="59"/>
      <c r="D2319" s="59"/>
      <c r="E2319" s="59"/>
      <c r="F2319" s="59"/>
      <c r="G2319" s="59"/>
      <c r="H2319" s="82"/>
      <c r="I2319" s="59"/>
    </row>
    <row r="2320">
      <c r="A2320" s="59"/>
      <c r="B2320" s="59"/>
      <c r="C2320" s="59"/>
      <c r="D2320" s="59"/>
      <c r="E2320" s="59"/>
      <c r="F2320" s="59"/>
      <c r="G2320" s="59"/>
      <c r="H2320" s="82"/>
      <c r="I2320" s="59"/>
    </row>
    <row r="2321">
      <c r="A2321" s="59"/>
      <c r="B2321" s="59"/>
      <c r="C2321" s="59"/>
      <c r="D2321" s="59"/>
      <c r="E2321" s="59"/>
      <c r="F2321" s="59"/>
      <c r="G2321" s="59"/>
      <c r="H2321" s="82"/>
      <c r="I2321" s="59"/>
    </row>
    <row r="2322">
      <c r="A2322" s="59"/>
      <c r="B2322" s="59"/>
      <c r="C2322" s="59"/>
      <c r="D2322" s="59"/>
      <c r="E2322" s="59"/>
      <c r="F2322" s="59"/>
      <c r="G2322" s="59"/>
      <c r="H2322" s="82"/>
      <c r="I2322" s="59"/>
    </row>
    <row r="2323">
      <c r="A2323" s="59"/>
      <c r="B2323" s="59"/>
      <c r="C2323" s="59"/>
      <c r="D2323" s="59"/>
      <c r="E2323" s="59"/>
      <c r="F2323" s="59"/>
      <c r="G2323" s="59"/>
      <c r="H2323" s="82"/>
      <c r="I2323" s="59"/>
    </row>
    <row r="2324">
      <c r="A2324" s="59"/>
      <c r="B2324" s="59"/>
      <c r="C2324" s="59"/>
      <c r="D2324" s="59"/>
      <c r="E2324" s="59"/>
      <c r="F2324" s="59"/>
      <c r="G2324" s="59"/>
      <c r="H2324" s="82"/>
      <c r="I2324" s="59"/>
    </row>
    <row r="2325">
      <c r="A2325" s="59"/>
      <c r="B2325" s="59"/>
      <c r="C2325" s="59"/>
      <c r="D2325" s="59"/>
      <c r="E2325" s="59"/>
      <c r="F2325" s="59"/>
      <c r="G2325" s="59"/>
      <c r="H2325" s="82"/>
      <c r="I2325" s="59"/>
    </row>
    <row r="2326">
      <c r="A2326" s="59"/>
      <c r="B2326" s="59"/>
      <c r="C2326" s="59"/>
      <c r="D2326" s="59"/>
      <c r="E2326" s="59"/>
      <c r="F2326" s="59"/>
      <c r="G2326" s="59"/>
      <c r="H2326" s="82"/>
      <c r="I2326" s="59"/>
    </row>
    <row r="2327">
      <c r="A2327" s="59"/>
      <c r="B2327" s="59"/>
      <c r="C2327" s="59"/>
      <c r="D2327" s="59"/>
      <c r="E2327" s="59"/>
      <c r="F2327" s="59"/>
      <c r="G2327" s="59"/>
      <c r="H2327" s="82"/>
      <c r="I2327" s="59"/>
    </row>
    <row r="2328">
      <c r="A2328" s="59"/>
      <c r="B2328" s="59"/>
      <c r="C2328" s="59"/>
      <c r="D2328" s="59"/>
      <c r="E2328" s="59"/>
      <c r="F2328" s="59"/>
      <c r="G2328" s="59"/>
      <c r="H2328" s="82"/>
      <c r="I2328" s="59"/>
    </row>
    <row r="2329">
      <c r="A2329" s="59"/>
      <c r="B2329" s="59"/>
      <c r="C2329" s="59"/>
      <c r="D2329" s="59"/>
      <c r="E2329" s="59"/>
      <c r="F2329" s="59"/>
      <c r="G2329" s="59"/>
      <c r="H2329" s="82"/>
      <c r="I2329" s="59"/>
    </row>
    <row r="2330">
      <c r="A2330" s="59"/>
      <c r="B2330" s="59"/>
      <c r="C2330" s="59"/>
      <c r="D2330" s="59"/>
      <c r="E2330" s="59"/>
      <c r="F2330" s="59"/>
      <c r="G2330" s="59"/>
      <c r="H2330" s="82"/>
      <c r="I2330" s="59"/>
    </row>
    <row r="2331">
      <c r="A2331" s="59"/>
      <c r="B2331" s="59"/>
      <c r="C2331" s="59"/>
      <c r="D2331" s="59"/>
      <c r="E2331" s="59"/>
      <c r="F2331" s="59"/>
      <c r="G2331" s="59"/>
      <c r="H2331" s="82"/>
      <c r="I2331" s="59"/>
    </row>
    <row r="2332">
      <c r="A2332" s="59"/>
      <c r="B2332" s="59"/>
      <c r="C2332" s="59"/>
      <c r="D2332" s="59"/>
      <c r="E2332" s="59"/>
      <c r="F2332" s="59"/>
      <c r="G2332" s="59"/>
      <c r="H2332" s="82"/>
      <c r="I2332" s="59"/>
    </row>
    <row r="2333">
      <c r="A2333" s="59"/>
      <c r="B2333" s="59"/>
      <c r="C2333" s="59"/>
      <c r="D2333" s="59"/>
      <c r="E2333" s="59"/>
      <c r="F2333" s="59"/>
      <c r="G2333" s="59"/>
      <c r="H2333" s="82"/>
      <c r="I2333" s="59"/>
    </row>
    <row r="2334">
      <c r="A2334" s="59"/>
      <c r="B2334" s="59"/>
      <c r="C2334" s="59"/>
      <c r="D2334" s="59"/>
      <c r="E2334" s="59"/>
      <c r="F2334" s="59"/>
      <c r="G2334" s="59"/>
      <c r="H2334" s="82"/>
      <c r="I2334" s="59"/>
    </row>
    <row r="2335">
      <c r="A2335" s="59"/>
      <c r="B2335" s="59"/>
      <c r="C2335" s="59"/>
      <c r="D2335" s="59"/>
      <c r="E2335" s="59"/>
      <c r="F2335" s="59"/>
      <c r="G2335" s="59"/>
      <c r="H2335" s="82"/>
      <c r="I2335" s="59"/>
    </row>
    <row r="2336">
      <c r="A2336" s="59"/>
      <c r="B2336" s="59"/>
      <c r="C2336" s="59"/>
      <c r="D2336" s="59"/>
      <c r="E2336" s="59"/>
      <c r="F2336" s="59"/>
      <c r="G2336" s="59"/>
      <c r="H2336" s="82"/>
      <c r="I2336" s="59"/>
    </row>
    <row r="2337">
      <c r="A2337" s="59"/>
      <c r="B2337" s="59"/>
      <c r="C2337" s="59"/>
      <c r="D2337" s="59"/>
      <c r="E2337" s="59"/>
      <c r="F2337" s="59"/>
      <c r="G2337" s="59"/>
      <c r="H2337" s="82"/>
      <c r="I2337" s="59"/>
    </row>
    <row r="2338">
      <c r="A2338" s="59"/>
      <c r="B2338" s="59"/>
      <c r="C2338" s="59"/>
      <c r="D2338" s="59"/>
      <c r="E2338" s="59"/>
      <c r="F2338" s="59"/>
      <c r="G2338" s="59"/>
      <c r="H2338" s="82"/>
      <c r="I2338" s="59"/>
    </row>
    <row r="2339">
      <c r="A2339" s="59"/>
      <c r="B2339" s="59"/>
      <c r="C2339" s="59"/>
      <c r="D2339" s="59"/>
      <c r="E2339" s="59"/>
      <c r="F2339" s="59"/>
      <c r="G2339" s="59"/>
      <c r="H2339" s="82"/>
      <c r="I2339" s="59"/>
    </row>
    <row r="2340">
      <c r="A2340" s="59"/>
      <c r="B2340" s="59"/>
      <c r="C2340" s="59"/>
      <c r="D2340" s="59"/>
      <c r="E2340" s="59"/>
      <c r="F2340" s="59"/>
      <c r="G2340" s="59"/>
      <c r="H2340" s="82"/>
      <c r="I2340" s="59"/>
    </row>
    <row r="2341">
      <c r="A2341" s="59"/>
      <c r="B2341" s="59"/>
      <c r="C2341" s="59"/>
      <c r="D2341" s="59"/>
      <c r="E2341" s="59"/>
      <c r="F2341" s="59"/>
      <c r="G2341" s="59"/>
      <c r="H2341" s="82"/>
      <c r="I2341" s="59"/>
    </row>
    <row r="2342">
      <c r="A2342" s="59"/>
      <c r="B2342" s="59"/>
      <c r="C2342" s="59"/>
      <c r="D2342" s="59"/>
      <c r="E2342" s="59"/>
      <c r="F2342" s="59"/>
      <c r="G2342" s="59"/>
      <c r="H2342" s="82"/>
      <c r="I2342" s="59"/>
    </row>
    <row r="2343">
      <c r="A2343" s="59"/>
      <c r="B2343" s="59"/>
      <c r="C2343" s="59"/>
      <c r="D2343" s="59"/>
      <c r="E2343" s="59"/>
      <c r="F2343" s="59"/>
      <c r="G2343" s="59"/>
      <c r="H2343" s="82"/>
      <c r="I2343" s="59"/>
    </row>
    <row r="2344">
      <c r="A2344" s="59"/>
      <c r="B2344" s="59"/>
      <c r="C2344" s="59"/>
      <c r="D2344" s="59"/>
      <c r="E2344" s="59"/>
      <c r="F2344" s="59"/>
      <c r="G2344" s="59"/>
      <c r="H2344" s="82"/>
      <c r="I2344" s="59"/>
    </row>
    <row r="2345">
      <c r="A2345" s="59"/>
      <c r="B2345" s="59"/>
      <c r="C2345" s="59"/>
      <c r="D2345" s="59"/>
      <c r="E2345" s="59"/>
      <c r="F2345" s="59"/>
      <c r="G2345" s="59"/>
      <c r="H2345" s="82"/>
      <c r="I2345" s="59"/>
    </row>
    <row r="2346">
      <c r="A2346" s="59"/>
      <c r="B2346" s="59"/>
      <c r="C2346" s="59"/>
      <c r="D2346" s="59"/>
      <c r="E2346" s="59"/>
      <c r="F2346" s="59"/>
      <c r="G2346" s="59"/>
      <c r="H2346" s="82"/>
      <c r="I2346" s="59"/>
    </row>
    <row r="2347">
      <c r="A2347" s="59"/>
      <c r="B2347" s="59"/>
      <c r="C2347" s="59"/>
      <c r="D2347" s="59"/>
      <c r="E2347" s="59"/>
      <c r="F2347" s="59"/>
      <c r="G2347" s="59"/>
      <c r="H2347" s="82"/>
      <c r="I2347" s="59"/>
    </row>
    <row r="2348">
      <c r="A2348" s="59"/>
      <c r="B2348" s="59"/>
      <c r="C2348" s="59"/>
      <c r="D2348" s="59"/>
      <c r="E2348" s="59"/>
      <c r="F2348" s="59"/>
      <c r="G2348" s="59"/>
      <c r="H2348" s="82"/>
      <c r="I2348" s="59"/>
    </row>
    <row r="2349">
      <c r="A2349" s="59"/>
      <c r="B2349" s="59"/>
      <c r="C2349" s="59"/>
      <c r="D2349" s="59"/>
      <c r="E2349" s="59"/>
      <c r="F2349" s="59"/>
      <c r="G2349" s="59"/>
      <c r="H2349" s="82"/>
      <c r="I2349" s="59"/>
    </row>
    <row r="2350">
      <c r="A2350" s="59"/>
      <c r="B2350" s="59"/>
      <c r="C2350" s="59"/>
      <c r="D2350" s="59"/>
      <c r="E2350" s="59"/>
      <c r="F2350" s="59"/>
      <c r="G2350" s="59"/>
      <c r="H2350" s="82"/>
      <c r="I2350" s="59"/>
    </row>
    <row r="2351">
      <c r="A2351" s="59"/>
      <c r="B2351" s="59"/>
      <c r="C2351" s="59"/>
      <c r="D2351" s="59"/>
      <c r="E2351" s="59"/>
      <c r="F2351" s="59"/>
      <c r="G2351" s="59"/>
      <c r="H2351" s="82"/>
      <c r="I2351" s="59"/>
    </row>
    <row r="2352">
      <c r="A2352" s="59"/>
      <c r="B2352" s="59"/>
      <c r="C2352" s="59"/>
      <c r="D2352" s="59"/>
      <c r="E2352" s="59"/>
      <c r="F2352" s="59"/>
      <c r="G2352" s="59"/>
      <c r="H2352" s="82"/>
      <c r="I2352" s="59"/>
    </row>
    <row r="2353">
      <c r="A2353" s="59"/>
      <c r="B2353" s="59"/>
      <c r="C2353" s="59"/>
      <c r="D2353" s="59"/>
      <c r="E2353" s="59"/>
      <c r="F2353" s="59"/>
      <c r="G2353" s="59"/>
      <c r="H2353" s="82"/>
      <c r="I2353" s="59"/>
    </row>
    <row r="2354">
      <c r="A2354" s="59"/>
      <c r="B2354" s="59"/>
      <c r="C2354" s="59"/>
      <c r="D2354" s="59"/>
      <c r="E2354" s="59"/>
      <c r="F2354" s="59"/>
      <c r="G2354" s="59"/>
      <c r="H2354" s="82"/>
      <c r="I2354" s="59"/>
    </row>
    <row r="2355">
      <c r="A2355" s="59"/>
      <c r="B2355" s="59"/>
      <c r="C2355" s="59"/>
      <c r="D2355" s="59"/>
      <c r="E2355" s="59"/>
      <c r="F2355" s="59"/>
      <c r="G2355" s="59"/>
      <c r="H2355" s="82"/>
      <c r="I2355" s="59"/>
    </row>
    <row r="2356">
      <c r="A2356" s="59"/>
      <c r="B2356" s="59"/>
      <c r="C2356" s="59"/>
      <c r="D2356" s="59"/>
      <c r="E2356" s="59"/>
      <c r="F2356" s="59"/>
      <c r="G2356" s="59"/>
      <c r="H2356" s="82"/>
      <c r="I2356" s="59"/>
    </row>
    <row r="2357">
      <c r="A2357" s="59"/>
      <c r="B2357" s="59"/>
      <c r="C2357" s="59"/>
      <c r="D2357" s="59"/>
      <c r="E2357" s="59"/>
      <c r="F2357" s="59"/>
      <c r="G2357" s="59"/>
      <c r="H2357" s="82"/>
      <c r="I2357" s="59"/>
    </row>
    <row r="2358">
      <c r="A2358" s="59"/>
      <c r="B2358" s="59"/>
      <c r="C2358" s="59"/>
      <c r="D2358" s="59"/>
      <c r="E2358" s="59"/>
      <c r="F2358" s="59"/>
      <c r="G2358" s="59"/>
      <c r="H2358" s="82"/>
      <c r="I2358" s="59"/>
    </row>
    <row r="2359">
      <c r="A2359" s="59"/>
      <c r="B2359" s="59"/>
      <c r="C2359" s="59"/>
      <c r="D2359" s="59"/>
      <c r="E2359" s="59"/>
      <c r="F2359" s="59"/>
      <c r="G2359" s="59"/>
      <c r="H2359" s="82"/>
      <c r="I2359" s="59"/>
    </row>
    <row r="2360">
      <c r="A2360" s="59"/>
      <c r="B2360" s="59"/>
      <c r="C2360" s="59"/>
      <c r="D2360" s="59"/>
      <c r="E2360" s="59"/>
      <c r="F2360" s="59"/>
      <c r="G2360" s="59"/>
      <c r="H2360" s="82"/>
      <c r="I2360" s="59"/>
    </row>
    <row r="2361">
      <c r="A2361" s="59"/>
      <c r="B2361" s="59"/>
      <c r="C2361" s="59"/>
      <c r="D2361" s="59"/>
      <c r="E2361" s="59"/>
      <c r="F2361" s="59"/>
      <c r="G2361" s="59"/>
      <c r="H2361" s="82"/>
      <c r="I2361" s="59"/>
    </row>
    <row r="2362">
      <c r="A2362" s="59"/>
      <c r="B2362" s="59"/>
      <c r="C2362" s="59"/>
      <c r="D2362" s="59"/>
      <c r="E2362" s="59"/>
      <c r="F2362" s="59"/>
      <c r="G2362" s="59"/>
      <c r="H2362" s="82"/>
      <c r="I2362" s="59"/>
    </row>
    <row r="2363">
      <c r="A2363" s="59"/>
      <c r="B2363" s="59"/>
      <c r="C2363" s="59"/>
      <c r="D2363" s="59"/>
      <c r="E2363" s="59"/>
      <c r="F2363" s="59"/>
      <c r="G2363" s="59"/>
      <c r="H2363" s="82"/>
      <c r="I2363" s="59"/>
    </row>
    <row r="2364">
      <c r="A2364" s="59"/>
      <c r="B2364" s="59"/>
      <c r="C2364" s="59"/>
      <c r="D2364" s="59"/>
      <c r="E2364" s="59"/>
      <c r="F2364" s="59"/>
      <c r="G2364" s="59"/>
      <c r="H2364" s="82"/>
      <c r="I2364" s="59"/>
    </row>
    <row r="2365">
      <c r="A2365" s="59"/>
      <c r="B2365" s="59"/>
      <c r="C2365" s="59"/>
      <c r="D2365" s="59"/>
      <c r="E2365" s="59"/>
      <c r="F2365" s="59"/>
      <c r="G2365" s="59"/>
      <c r="H2365" s="82"/>
      <c r="I2365" s="59"/>
    </row>
    <row r="2366">
      <c r="A2366" s="59"/>
      <c r="B2366" s="59"/>
      <c r="C2366" s="59"/>
      <c r="D2366" s="59"/>
      <c r="E2366" s="59"/>
      <c r="F2366" s="59"/>
      <c r="G2366" s="59"/>
      <c r="H2366" s="82"/>
      <c r="I2366" s="59"/>
    </row>
    <row r="2367">
      <c r="A2367" s="59"/>
      <c r="B2367" s="59"/>
      <c r="C2367" s="59"/>
      <c r="D2367" s="59"/>
      <c r="E2367" s="59"/>
      <c r="F2367" s="59"/>
      <c r="G2367" s="59"/>
      <c r="H2367" s="82"/>
      <c r="I2367" s="59"/>
    </row>
    <row r="2368">
      <c r="A2368" s="59"/>
      <c r="B2368" s="59"/>
      <c r="C2368" s="59"/>
      <c r="D2368" s="59"/>
      <c r="E2368" s="59"/>
      <c r="F2368" s="59"/>
      <c r="G2368" s="59"/>
      <c r="H2368" s="82"/>
      <c r="I2368" s="59"/>
    </row>
    <row r="2369">
      <c r="A2369" s="59"/>
      <c r="B2369" s="59"/>
      <c r="C2369" s="59"/>
      <c r="D2369" s="59"/>
      <c r="E2369" s="59"/>
      <c r="F2369" s="59"/>
      <c r="G2369" s="59"/>
      <c r="H2369" s="82"/>
      <c r="I2369" s="59"/>
    </row>
    <row r="2370">
      <c r="A2370" s="59"/>
      <c r="B2370" s="59"/>
      <c r="C2370" s="59"/>
      <c r="D2370" s="59"/>
      <c r="E2370" s="59"/>
      <c r="F2370" s="59"/>
      <c r="G2370" s="59"/>
      <c r="H2370" s="82"/>
      <c r="I2370" s="59"/>
    </row>
    <row r="2371">
      <c r="A2371" s="59"/>
      <c r="B2371" s="59"/>
      <c r="C2371" s="59"/>
      <c r="D2371" s="59"/>
      <c r="E2371" s="59"/>
      <c r="F2371" s="59"/>
      <c r="G2371" s="59"/>
      <c r="H2371" s="82"/>
      <c r="I2371" s="59"/>
    </row>
    <row r="2372">
      <c r="A2372" s="59"/>
      <c r="B2372" s="59"/>
      <c r="C2372" s="59"/>
      <c r="D2372" s="59"/>
      <c r="E2372" s="59"/>
      <c r="F2372" s="59"/>
      <c r="G2372" s="59"/>
      <c r="H2372" s="82"/>
      <c r="I2372" s="59"/>
    </row>
    <row r="2373">
      <c r="A2373" s="59"/>
      <c r="B2373" s="59"/>
      <c r="C2373" s="59"/>
      <c r="D2373" s="59"/>
      <c r="E2373" s="59"/>
      <c r="F2373" s="59"/>
      <c r="G2373" s="59"/>
      <c r="H2373" s="82"/>
      <c r="I2373" s="59"/>
    </row>
    <row r="2374">
      <c r="A2374" s="59"/>
      <c r="B2374" s="59"/>
      <c r="C2374" s="59"/>
      <c r="D2374" s="59"/>
      <c r="E2374" s="59"/>
      <c r="F2374" s="59"/>
      <c r="G2374" s="59"/>
      <c r="H2374" s="82"/>
      <c r="I2374" s="59"/>
    </row>
    <row r="2375">
      <c r="A2375" s="59"/>
      <c r="B2375" s="59"/>
      <c r="C2375" s="59"/>
      <c r="D2375" s="59"/>
      <c r="E2375" s="59"/>
      <c r="F2375" s="59"/>
      <c r="G2375" s="59"/>
      <c r="H2375" s="82"/>
      <c r="I2375" s="59"/>
    </row>
    <row r="2376">
      <c r="A2376" s="59"/>
      <c r="B2376" s="59"/>
      <c r="C2376" s="59"/>
      <c r="D2376" s="59"/>
      <c r="E2376" s="59"/>
      <c r="F2376" s="59"/>
      <c r="G2376" s="59"/>
      <c r="H2376" s="82"/>
      <c r="I2376" s="59"/>
    </row>
    <row r="2377">
      <c r="A2377" s="59"/>
      <c r="B2377" s="59"/>
      <c r="C2377" s="59"/>
      <c r="D2377" s="59"/>
      <c r="E2377" s="59"/>
      <c r="F2377" s="59"/>
      <c r="G2377" s="59"/>
      <c r="H2377" s="82"/>
      <c r="I2377" s="59"/>
    </row>
    <row r="2378">
      <c r="A2378" s="59"/>
      <c r="B2378" s="59"/>
      <c r="C2378" s="59"/>
      <c r="D2378" s="59"/>
      <c r="E2378" s="59"/>
      <c r="F2378" s="59"/>
      <c r="G2378" s="59"/>
      <c r="H2378" s="82"/>
      <c r="I2378" s="59"/>
    </row>
    <row r="2379">
      <c r="A2379" s="59"/>
      <c r="B2379" s="59"/>
      <c r="C2379" s="59"/>
      <c r="D2379" s="59"/>
      <c r="E2379" s="59"/>
      <c r="F2379" s="59"/>
      <c r="G2379" s="59"/>
      <c r="H2379" s="82"/>
      <c r="I2379" s="59"/>
    </row>
    <row r="2380">
      <c r="A2380" s="59"/>
      <c r="B2380" s="59"/>
      <c r="C2380" s="59"/>
      <c r="D2380" s="59"/>
      <c r="E2380" s="59"/>
      <c r="F2380" s="59"/>
      <c r="G2380" s="59"/>
      <c r="H2380" s="82"/>
      <c r="I2380" s="59"/>
    </row>
    <row r="2381">
      <c r="A2381" s="59"/>
      <c r="B2381" s="59"/>
      <c r="C2381" s="59"/>
      <c r="D2381" s="59"/>
      <c r="E2381" s="59"/>
      <c r="F2381" s="59"/>
      <c r="G2381" s="59"/>
      <c r="H2381" s="82"/>
      <c r="I2381" s="59"/>
    </row>
    <row r="2382">
      <c r="A2382" s="59"/>
      <c r="B2382" s="59"/>
      <c r="C2382" s="59"/>
      <c r="D2382" s="59"/>
      <c r="E2382" s="59"/>
      <c r="F2382" s="59"/>
      <c r="G2382" s="59"/>
      <c r="H2382" s="82"/>
      <c r="I2382" s="59"/>
    </row>
    <row r="2383">
      <c r="A2383" s="59"/>
      <c r="B2383" s="59"/>
      <c r="C2383" s="59"/>
      <c r="D2383" s="59"/>
      <c r="E2383" s="59"/>
      <c r="F2383" s="59"/>
      <c r="G2383" s="59"/>
      <c r="H2383" s="82"/>
      <c r="I2383" s="59"/>
    </row>
    <row r="2384">
      <c r="A2384" s="59"/>
      <c r="B2384" s="59"/>
      <c r="C2384" s="59"/>
      <c r="D2384" s="59"/>
      <c r="E2384" s="59"/>
      <c r="F2384" s="59"/>
      <c r="G2384" s="59"/>
      <c r="H2384" s="82"/>
      <c r="I2384" s="59"/>
    </row>
    <row r="2385">
      <c r="A2385" s="59"/>
      <c r="B2385" s="59"/>
      <c r="C2385" s="59"/>
      <c r="D2385" s="59"/>
      <c r="E2385" s="59"/>
      <c r="F2385" s="59"/>
      <c r="G2385" s="59"/>
      <c r="H2385" s="82"/>
      <c r="I2385" s="59"/>
    </row>
    <row r="2386">
      <c r="A2386" s="59"/>
      <c r="B2386" s="59"/>
      <c r="C2386" s="59"/>
      <c r="D2386" s="59"/>
      <c r="E2386" s="59"/>
      <c r="F2386" s="59"/>
      <c r="G2386" s="59"/>
      <c r="H2386" s="82"/>
      <c r="I2386" s="59"/>
    </row>
    <row r="2387">
      <c r="A2387" s="59"/>
      <c r="B2387" s="59"/>
      <c r="C2387" s="59"/>
      <c r="D2387" s="59"/>
      <c r="E2387" s="59"/>
      <c r="F2387" s="59"/>
      <c r="G2387" s="59"/>
      <c r="H2387" s="82"/>
      <c r="I2387" s="59"/>
    </row>
    <row r="2388">
      <c r="A2388" s="59"/>
      <c r="B2388" s="59"/>
      <c r="C2388" s="59"/>
      <c r="D2388" s="59"/>
      <c r="E2388" s="59"/>
      <c r="F2388" s="59"/>
      <c r="G2388" s="59"/>
      <c r="H2388" s="82"/>
      <c r="I2388" s="59"/>
    </row>
    <row r="2389">
      <c r="A2389" s="59"/>
      <c r="B2389" s="59"/>
      <c r="C2389" s="59"/>
      <c r="D2389" s="59"/>
      <c r="E2389" s="59"/>
      <c r="F2389" s="59"/>
      <c r="G2389" s="59"/>
      <c r="H2389" s="82"/>
      <c r="I2389" s="59"/>
    </row>
    <row r="2390">
      <c r="A2390" s="59"/>
      <c r="B2390" s="59"/>
      <c r="C2390" s="59"/>
      <c r="D2390" s="59"/>
      <c r="E2390" s="59"/>
      <c r="F2390" s="59"/>
      <c r="G2390" s="59"/>
      <c r="H2390" s="82"/>
      <c r="I2390" s="59"/>
    </row>
    <row r="2391">
      <c r="A2391" s="59"/>
      <c r="B2391" s="59"/>
      <c r="C2391" s="59"/>
      <c r="D2391" s="59"/>
      <c r="E2391" s="59"/>
      <c r="F2391" s="59"/>
      <c r="G2391" s="59"/>
      <c r="H2391" s="82"/>
      <c r="I2391" s="59"/>
    </row>
    <row r="2392">
      <c r="A2392" s="59"/>
      <c r="B2392" s="59"/>
      <c r="C2392" s="59"/>
      <c r="D2392" s="59"/>
      <c r="E2392" s="59"/>
      <c r="F2392" s="59"/>
      <c r="G2392" s="59"/>
      <c r="H2392" s="82"/>
      <c r="I2392" s="59"/>
    </row>
    <row r="2393">
      <c r="A2393" s="59"/>
      <c r="B2393" s="59"/>
      <c r="C2393" s="59"/>
      <c r="D2393" s="59"/>
      <c r="E2393" s="59"/>
      <c r="F2393" s="59"/>
      <c r="G2393" s="59"/>
      <c r="H2393" s="82"/>
      <c r="I2393" s="59"/>
    </row>
    <row r="2394">
      <c r="A2394" s="59"/>
      <c r="B2394" s="59"/>
      <c r="C2394" s="59"/>
      <c r="D2394" s="59"/>
      <c r="E2394" s="59"/>
      <c r="F2394" s="59"/>
      <c r="G2394" s="59"/>
      <c r="H2394" s="82"/>
      <c r="I2394" s="59"/>
    </row>
    <row r="2395">
      <c r="A2395" s="59"/>
      <c r="B2395" s="59"/>
      <c r="C2395" s="59"/>
      <c r="D2395" s="59"/>
      <c r="E2395" s="59"/>
      <c r="F2395" s="59"/>
      <c r="G2395" s="59"/>
      <c r="H2395" s="82"/>
      <c r="I2395" s="59"/>
    </row>
    <row r="2396">
      <c r="A2396" s="59"/>
      <c r="B2396" s="59"/>
      <c r="C2396" s="59"/>
      <c r="D2396" s="59"/>
      <c r="E2396" s="59"/>
      <c r="F2396" s="59"/>
      <c r="G2396" s="59"/>
      <c r="H2396" s="82"/>
      <c r="I2396" s="59"/>
    </row>
    <row r="2397">
      <c r="A2397" s="59"/>
      <c r="B2397" s="59"/>
      <c r="C2397" s="59"/>
      <c r="D2397" s="59"/>
      <c r="E2397" s="59"/>
      <c r="F2397" s="59"/>
      <c r="G2397" s="59"/>
      <c r="H2397" s="82"/>
      <c r="I2397" s="59"/>
    </row>
    <row r="2398">
      <c r="A2398" s="59"/>
      <c r="B2398" s="59"/>
      <c r="C2398" s="59"/>
      <c r="D2398" s="59"/>
      <c r="E2398" s="59"/>
      <c r="F2398" s="59"/>
      <c r="G2398" s="59"/>
      <c r="H2398" s="82"/>
      <c r="I2398" s="59"/>
    </row>
    <row r="2399">
      <c r="A2399" s="59"/>
      <c r="B2399" s="59"/>
      <c r="C2399" s="59"/>
      <c r="D2399" s="59"/>
      <c r="E2399" s="59"/>
      <c r="F2399" s="59"/>
      <c r="G2399" s="59"/>
      <c r="H2399" s="82"/>
      <c r="I2399" s="59"/>
    </row>
    <row r="2400">
      <c r="A2400" s="59"/>
      <c r="B2400" s="59"/>
      <c r="C2400" s="59"/>
      <c r="D2400" s="59"/>
      <c r="E2400" s="59"/>
      <c r="F2400" s="59"/>
      <c r="G2400" s="59"/>
      <c r="H2400" s="82"/>
      <c r="I2400" s="59"/>
    </row>
    <row r="2401">
      <c r="A2401" s="59"/>
      <c r="B2401" s="59"/>
      <c r="C2401" s="59"/>
      <c r="D2401" s="59"/>
      <c r="E2401" s="59"/>
      <c r="F2401" s="59"/>
      <c r="G2401" s="59"/>
      <c r="H2401" s="82"/>
      <c r="I2401" s="59"/>
    </row>
    <row r="2402">
      <c r="A2402" s="59"/>
      <c r="B2402" s="59"/>
      <c r="C2402" s="59"/>
      <c r="D2402" s="59"/>
      <c r="E2402" s="59"/>
      <c r="F2402" s="59"/>
      <c r="G2402" s="59"/>
      <c r="H2402" s="82"/>
      <c r="I2402" s="59"/>
    </row>
    <row r="2403">
      <c r="A2403" s="59"/>
      <c r="B2403" s="59"/>
      <c r="C2403" s="59"/>
      <c r="D2403" s="59"/>
      <c r="E2403" s="59"/>
      <c r="F2403" s="59"/>
      <c r="G2403" s="59"/>
      <c r="H2403" s="82"/>
      <c r="I2403" s="59"/>
    </row>
    <row r="2404">
      <c r="A2404" s="59"/>
      <c r="B2404" s="59"/>
      <c r="C2404" s="59"/>
      <c r="D2404" s="59"/>
      <c r="E2404" s="59"/>
      <c r="F2404" s="59"/>
      <c r="G2404" s="59"/>
      <c r="H2404" s="82"/>
      <c r="I2404" s="59"/>
    </row>
    <row r="2405">
      <c r="A2405" s="59"/>
      <c r="B2405" s="59"/>
      <c r="C2405" s="59"/>
      <c r="D2405" s="59"/>
      <c r="E2405" s="59"/>
      <c r="F2405" s="59"/>
      <c r="G2405" s="59"/>
      <c r="H2405" s="82"/>
      <c r="I2405" s="59"/>
    </row>
    <row r="2406">
      <c r="A2406" s="59"/>
      <c r="B2406" s="59"/>
      <c r="C2406" s="59"/>
      <c r="D2406" s="59"/>
      <c r="E2406" s="59"/>
      <c r="F2406" s="59"/>
      <c r="G2406" s="59"/>
      <c r="H2406" s="82"/>
      <c r="I2406" s="59"/>
    </row>
    <row r="2407">
      <c r="A2407" s="59"/>
      <c r="B2407" s="59"/>
      <c r="C2407" s="59"/>
      <c r="D2407" s="59"/>
      <c r="E2407" s="59"/>
      <c r="F2407" s="59"/>
      <c r="G2407" s="59"/>
      <c r="H2407" s="82"/>
      <c r="I2407" s="59"/>
    </row>
    <row r="2408">
      <c r="A2408" s="59"/>
      <c r="B2408" s="59"/>
      <c r="C2408" s="59"/>
      <c r="D2408" s="59"/>
      <c r="E2408" s="59"/>
      <c r="F2408" s="59"/>
      <c r="G2408" s="59"/>
      <c r="H2408" s="82"/>
      <c r="I2408" s="59"/>
    </row>
    <row r="2409">
      <c r="A2409" s="59"/>
      <c r="B2409" s="59"/>
      <c r="C2409" s="59"/>
      <c r="D2409" s="59"/>
      <c r="E2409" s="59"/>
      <c r="F2409" s="59"/>
      <c r="G2409" s="59"/>
      <c r="H2409" s="82"/>
      <c r="I2409" s="59"/>
    </row>
    <row r="2410">
      <c r="A2410" s="59"/>
      <c r="B2410" s="59"/>
      <c r="C2410" s="59"/>
      <c r="D2410" s="59"/>
      <c r="E2410" s="59"/>
      <c r="F2410" s="59"/>
      <c r="G2410" s="59"/>
      <c r="H2410" s="82"/>
      <c r="I2410" s="59"/>
    </row>
    <row r="2411">
      <c r="A2411" s="59"/>
      <c r="B2411" s="59"/>
      <c r="C2411" s="59"/>
      <c r="D2411" s="59"/>
      <c r="E2411" s="59"/>
      <c r="F2411" s="59"/>
      <c r="G2411" s="59"/>
      <c r="H2411" s="82"/>
      <c r="I2411" s="59"/>
    </row>
    <row r="2412">
      <c r="A2412" s="59"/>
      <c r="B2412" s="59"/>
      <c r="C2412" s="59"/>
      <c r="D2412" s="59"/>
      <c r="E2412" s="59"/>
      <c r="F2412" s="59"/>
      <c r="G2412" s="59"/>
      <c r="H2412" s="82"/>
      <c r="I2412" s="59"/>
    </row>
    <row r="2413">
      <c r="A2413" s="59"/>
      <c r="B2413" s="59"/>
      <c r="C2413" s="59"/>
      <c r="D2413" s="59"/>
      <c r="E2413" s="59"/>
      <c r="F2413" s="59"/>
      <c r="G2413" s="59"/>
      <c r="H2413" s="82"/>
      <c r="I2413" s="59"/>
    </row>
    <row r="2414">
      <c r="A2414" s="59"/>
      <c r="B2414" s="59"/>
      <c r="C2414" s="59"/>
      <c r="D2414" s="59"/>
      <c r="E2414" s="59"/>
      <c r="F2414" s="59"/>
      <c r="G2414" s="59"/>
      <c r="H2414" s="82"/>
      <c r="I2414" s="59"/>
    </row>
    <row r="2415">
      <c r="A2415" s="59"/>
      <c r="B2415" s="59"/>
      <c r="C2415" s="59"/>
      <c r="D2415" s="59"/>
      <c r="E2415" s="59"/>
      <c r="F2415" s="59"/>
      <c r="G2415" s="59"/>
      <c r="H2415" s="82"/>
      <c r="I2415" s="59"/>
    </row>
    <row r="2416">
      <c r="A2416" s="59"/>
      <c r="B2416" s="59"/>
      <c r="C2416" s="59"/>
      <c r="D2416" s="59"/>
      <c r="E2416" s="59"/>
      <c r="F2416" s="59"/>
      <c r="G2416" s="59"/>
      <c r="H2416" s="82"/>
      <c r="I2416" s="59"/>
    </row>
    <row r="2417">
      <c r="A2417" s="59"/>
      <c r="B2417" s="59"/>
      <c r="C2417" s="59"/>
      <c r="D2417" s="59"/>
      <c r="E2417" s="59"/>
      <c r="F2417" s="59"/>
      <c r="G2417" s="59"/>
      <c r="H2417" s="82"/>
      <c r="I2417" s="59"/>
    </row>
    <row r="2418">
      <c r="A2418" s="59"/>
      <c r="B2418" s="59"/>
      <c r="C2418" s="59"/>
      <c r="D2418" s="59"/>
      <c r="E2418" s="59"/>
      <c r="F2418" s="59"/>
      <c r="G2418" s="59"/>
      <c r="H2418" s="82"/>
      <c r="I2418" s="59"/>
    </row>
    <row r="2419">
      <c r="A2419" s="59"/>
      <c r="B2419" s="59"/>
      <c r="C2419" s="59"/>
      <c r="D2419" s="59"/>
      <c r="E2419" s="59"/>
      <c r="F2419" s="59"/>
      <c r="G2419" s="59"/>
      <c r="H2419" s="82"/>
      <c r="I2419" s="59"/>
    </row>
    <row r="2420">
      <c r="A2420" s="59"/>
      <c r="B2420" s="59"/>
      <c r="C2420" s="59"/>
      <c r="D2420" s="59"/>
      <c r="E2420" s="59"/>
      <c r="F2420" s="59"/>
      <c r="G2420" s="59"/>
      <c r="H2420" s="82"/>
      <c r="I2420" s="59"/>
    </row>
    <row r="2421">
      <c r="A2421" s="59"/>
      <c r="B2421" s="59"/>
      <c r="C2421" s="59"/>
      <c r="D2421" s="59"/>
      <c r="E2421" s="59"/>
      <c r="F2421" s="59"/>
      <c r="G2421" s="59"/>
      <c r="H2421" s="82"/>
      <c r="I2421" s="59"/>
    </row>
    <row r="2422">
      <c r="A2422" s="59"/>
      <c r="B2422" s="59"/>
      <c r="C2422" s="59"/>
      <c r="D2422" s="59"/>
      <c r="E2422" s="59"/>
      <c r="F2422" s="59"/>
      <c r="G2422" s="59"/>
      <c r="H2422" s="82"/>
      <c r="I2422" s="59"/>
    </row>
    <row r="2423">
      <c r="A2423" s="59"/>
      <c r="B2423" s="59"/>
      <c r="C2423" s="59"/>
      <c r="D2423" s="59"/>
      <c r="E2423" s="59"/>
      <c r="F2423" s="59"/>
      <c r="G2423" s="59"/>
      <c r="H2423" s="82"/>
      <c r="I2423" s="59"/>
    </row>
    <row r="2424">
      <c r="A2424" s="59"/>
      <c r="B2424" s="59"/>
      <c r="C2424" s="59"/>
      <c r="D2424" s="59"/>
      <c r="E2424" s="59"/>
      <c r="F2424" s="59"/>
      <c r="G2424" s="59"/>
      <c r="H2424" s="82"/>
      <c r="I2424" s="59"/>
    </row>
    <row r="2425">
      <c r="A2425" s="59"/>
      <c r="B2425" s="59"/>
      <c r="C2425" s="59"/>
      <c r="D2425" s="59"/>
      <c r="E2425" s="59"/>
      <c r="F2425" s="59"/>
      <c r="G2425" s="59"/>
      <c r="H2425" s="82"/>
      <c r="I2425" s="59"/>
    </row>
    <row r="2426">
      <c r="A2426" s="59"/>
      <c r="B2426" s="59"/>
      <c r="C2426" s="59"/>
      <c r="D2426" s="59"/>
      <c r="E2426" s="59"/>
      <c r="F2426" s="59"/>
      <c r="G2426" s="59"/>
      <c r="H2426" s="82"/>
      <c r="I2426" s="59"/>
    </row>
    <row r="2427">
      <c r="A2427" s="59"/>
      <c r="B2427" s="59"/>
      <c r="C2427" s="59"/>
      <c r="D2427" s="59"/>
      <c r="E2427" s="59"/>
      <c r="F2427" s="59"/>
      <c r="G2427" s="59"/>
      <c r="H2427" s="82"/>
      <c r="I2427" s="59"/>
    </row>
    <row r="2428">
      <c r="A2428" s="59"/>
      <c r="B2428" s="59"/>
      <c r="C2428" s="59"/>
      <c r="D2428" s="59"/>
      <c r="E2428" s="59"/>
      <c r="F2428" s="59"/>
      <c r="G2428" s="59"/>
      <c r="H2428" s="82"/>
      <c r="I2428" s="59"/>
    </row>
    <row r="2429">
      <c r="A2429" s="59"/>
      <c r="B2429" s="59"/>
      <c r="C2429" s="59"/>
      <c r="D2429" s="59"/>
      <c r="E2429" s="59"/>
      <c r="F2429" s="59"/>
      <c r="G2429" s="59"/>
      <c r="H2429" s="82"/>
      <c r="I2429" s="59"/>
    </row>
    <row r="2430">
      <c r="A2430" s="59"/>
      <c r="B2430" s="59"/>
      <c r="C2430" s="59"/>
      <c r="D2430" s="59"/>
      <c r="E2430" s="59"/>
      <c r="F2430" s="59"/>
      <c r="G2430" s="59"/>
      <c r="H2430" s="82"/>
      <c r="I2430" s="59"/>
    </row>
    <row r="2431">
      <c r="A2431" s="59"/>
      <c r="B2431" s="59"/>
      <c r="C2431" s="59"/>
      <c r="D2431" s="59"/>
      <c r="E2431" s="59"/>
      <c r="F2431" s="59"/>
      <c r="G2431" s="59"/>
      <c r="H2431" s="82"/>
      <c r="I2431" s="59"/>
    </row>
    <row r="2432">
      <c r="A2432" s="59"/>
      <c r="B2432" s="59"/>
      <c r="C2432" s="59"/>
      <c r="D2432" s="59"/>
      <c r="E2432" s="59"/>
      <c r="F2432" s="59"/>
      <c r="G2432" s="59"/>
      <c r="H2432" s="82"/>
      <c r="I2432" s="59"/>
    </row>
    <row r="2433">
      <c r="A2433" s="59"/>
      <c r="B2433" s="59"/>
      <c r="C2433" s="59"/>
      <c r="D2433" s="59"/>
      <c r="E2433" s="59"/>
      <c r="F2433" s="59"/>
      <c r="G2433" s="59"/>
      <c r="H2433" s="82"/>
      <c r="I2433" s="59"/>
    </row>
    <row r="2434">
      <c r="A2434" s="59"/>
      <c r="B2434" s="59"/>
      <c r="C2434" s="59"/>
      <c r="D2434" s="59"/>
      <c r="E2434" s="59"/>
      <c r="F2434" s="59"/>
      <c r="G2434" s="59"/>
      <c r="H2434" s="82"/>
      <c r="I2434" s="59"/>
    </row>
    <row r="2435">
      <c r="A2435" s="59"/>
      <c r="B2435" s="59"/>
      <c r="C2435" s="59"/>
      <c r="D2435" s="59"/>
      <c r="E2435" s="59"/>
      <c r="F2435" s="59"/>
      <c r="G2435" s="59"/>
      <c r="H2435" s="82"/>
      <c r="I2435" s="59"/>
    </row>
    <row r="2436">
      <c r="A2436" s="59"/>
      <c r="B2436" s="59"/>
      <c r="C2436" s="59"/>
      <c r="D2436" s="59"/>
      <c r="E2436" s="59"/>
      <c r="F2436" s="59"/>
      <c r="G2436" s="59"/>
      <c r="H2436" s="82"/>
      <c r="I2436" s="59"/>
    </row>
    <row r="2437">
      <c r="A2437" s="59"/>
      <c r="B2437" s="59"/>
      <c r="C2437" s="59"/>
      <c r="D2437" s="59"/>
      <c r="E2437" s="59"/>
      <c r="F2437" s="59"/>
      <c r="G2437" s="59"/>
      <c r="H2437" s="82"/>
      <c r="I2437" s="59"/>
    </row>
    <row r="2438">
      <c r="A2438" s="59"/>
      <c r="B2438" s="59"/>
      <c r="C2438" s="59"/>
      <c r="D2438" s="59"/>
      <c r="E2438" s="59"/>
      <c r="F2438" s="59"/>
      <c r="G2438" s="59"/>
      <c r="H2438" s="82"/>
      <c r="I2438" s="59"/>
    </row>
    <row r="2439">
      <c r="A2439" s="59"/>
      <c r="B2439" s="59"/>
      <c r="C2439" s="59"/>
      <c r="D2439" s="59"/>
      <c r="E2439" s="59"/>
      <c r="F2439" s="59"/>
      <c r="G2439" s="59"/>
      <c r="H2439" s="82"/>
      <c r="I2439" s="59"/>
    </row>
    <row r="2440">
      <c r="A2440" s="59"/>
      <c r="B2440" s="59"/>
      <c r="C2440" s="59"/>
      <c r="D2440" s="59"/>
      <c r="E2440" s="59"/>
      <c r="F2440" s="59"/>
      <c r="G2440" s="59"/>
      <c r="H2440" s="82"/>
      <c r="I2440" s="59"/>
    </row>
    <row r="2441">
      <c r="A2441" s="59"/>
      <c r="B2441" s="59"/>
      <c r="C2441" s="59"/>
      <c r="D2441" s="59"/>
      <c r="E2441" s="59"/>
      <c r="F2441" s="59"/>
      <c r="G2441" s="59"/>
      <c r="H2441" s="82"/>
      <c r="I2441" s="59"/>
    </row>
    <row r="2442">
      <c r="A2442" s="59"/>
      <c r="B2442" s="59"/>
      <c r="C2442" s="59"/>
      <c r="D2442" s="59"/>
      <c r="E2442" s="59"/>
      <c r="F2442" s="59"/>
      <c r="G2442" s="59"/>
      <c r="H2442" s="82"/>
      <c r="I2442" s="59"/>
    </row>
    <row r="2443">
      <c r="A2443" s="59"/>
      <c r="B2443" s="59"/>
      <c r="C2443" s="59"/>
      <c r="D2443" s="59"/>
      <c r="E2443" s="59"/>
      <c r="F2443" s="59"/>
      <c r="G2443" s="59"/>
      <c r="H2443" s="82"/>
      <c r="I2443" s="59"/>
    </row>
    <row r="2444">
      <c r="A2444" s="59"/>
      <c r="B2444" s="59"/>
      <c r="C2444" s="59"/>
      <c r="D2444" s="59"/>
      <c r="E2444" s="59"/>
      <c r="F2444" s="59"/>
      <c r="G2444" s="59"/>
      <c r="H2444" s="82"/>
      <c r="I2444" s="59"/>
    </row>
    <row r="2445">
      <c r="A2445" s="59"/>
      <c r="B2445" s="59"/>
      <c r="C2445" s="59"/>
      <c r="D2445" s="59"/>
      <c r="E2445" s="59"/>
      <c r="F2445" s="59"/>
      <c r="G2445" s="59"/>
      <c r="H2445" s="82"/>
      <c r="I2445" s="59"/>
    </row>
    <row r="2446">
      <c r="A2446" s="59"/>
      <c r="B2446" s="59"/>
      <c r="C2446" s="59"/>
      <c r="D2446" s="59"/>
      <c r="E2446" s="59"/>
      <c r="F2446" s="59"/>
      <c r="G2446" s="59"/>
      <c r="H2446" s="82"/>
      <c r="I2446" s="59"/>
    </row>
    <row r="2447">
      <c r="A2447" s="59"/>
      <c r="B2447" s="59"/>
      <c r="C2447" s="59"/>
      <c r="D2447" s="59"/>
      <c r="E2447" s="59"/>
      <c r="F2447" s="59"/>
      <c r="G2447" s="59"/>
      <c r="H2447" s="82"/>
      <c r="I2447" s="59"/>
    </row>
    <row r="2448">
      <c r="A2448" s="59"/>
      <c r="B2448" s="59"/>
      <c r="C2448" s="59"/>
      <c r="D2448" s="59"/>
      <c r="E2448" s="59"/>
      <c r="F2448" s="59"/>
      <c r="G2448" s="59"/>
      <c r="H2448" s="82"/>
      <c r="I2448" s="59"/>
    </row>
    <row r="2449">
      <c r="A2449" s="59"/>
      <c r="B2449" s="59"/>
      <c r="C2449" s="59"/>
      <c r="D2449" s="59"/>
      <c r="E2449" s="59"/>
      <c r="F2449" s="59"/>
      <c r="G2449" s="59"/>
      <c r="H2449" s="82"/>
      <c r="I2449" s="59"/>
    </row>
    <row r="2450">
      <c r="A2450" s="59"/>
      <c r="B2450" s="59"/>
      <c r="C2450" s="59"/>
      <c r="D2450" s="59"/>
      <c r="E2450" s="59"/>
      <c r="F2450" s="59"/>
      <c r="G2450" s="59"/>
      <c r="H2450" s="82"/>
      <c r="I2450" s="59"/>
    </row>
    <row r="2451">
      <c r="A2451" s="59"/>
      <c r="B2451" s="59"/>
      <c r="C2451" s="59"/>
      <c r="D2451" s="59"/>
      <c r="E2451" s="59"/>
      <c r="F2451" s="59"/>
      <c r="G2451" s="59"/>
      <c r="H2451" s="82"/>
      <c r="I2451" s="59"/>
    </row>
    <row r="2452">
      <c r="A2452" s="59"/>
      <c r="B2452" s="59"/>
      <c r="C2452" s="59"/>
      <c r="D2452" s="59"/>
      <c r="E2452" s="59"/>
      <c r="F2452" s="59"/>
      <c r="G2452" s="59"/>
      <c r="H2452" s="82"/>
      <c r="I2452" s="59"/>
    </row>
    <row r="2453">
      <c r="A2453" s="59"/>
      <c r="B2453" s="59"/>
      <c r="C2453" s="59"/>
      <c r="D2453" s="59"/>
      <c r="E2453" s="59"/>
      <c r="F2453" s="59"/>
      <c r="G2453" s="59"/>
      <c r="H2453" s="82"/>
      <c r="I2453" s="59"/>
    </row>
    <row r="2454">
      <c r="A2454" s="59"/>
      <c r="B2454" s="59"/>
      <c r="C2454" s="59"/>
      <c r="D2454" s="59"/>
      <c r="E2454" s="59"/>
      <c r="F2454" s="59"/>
      <c r="G2454" s="59"/>
      <c r="H2454" s="82"/>
      <c r="I2454" s="59"/>
    </row>
    <row r="2455">
      <c r="A2455" s="59"/>
      <c r="B2455" s="59"/>
      <c r="C2455" s="59"/>
      <c r="D2455" s="59"/>
      <c r="E2455" s="59"/>
      <c r="F2455" s="59"/>
      <c r="G2455" s="59"/>
      <c r="H2455" s="82"/>
      <c r="I2455" s="59"/>
    </row>
    <row r="2456">
      <c r="A2456" s="59"/>
      <c r="B2456" s="59"/>
      <c r="C2456" s="59"/>
      <c r="D2456" s="59"/>
      <c r="E2456" s="59"/>
      <c r="F2456" s="59"/>
      <c r="G2456" s="59"/>
      <c r="H2456" s="82"/>
      <c r="I2456" s="59"/>
    </row>
    <row r="2457">
      <c r="A2457" s="59"/>
      <c r="B2457" s="59"/>
      <c r="C2457" s="59"/>
      <c r="D2457" s="59"/>
      <c r="E2457" s="59"/>
      <c r="F2457" s="59"/>
      <c r="G2457" s="59"/>
      <c r="H2457" s="82"/>
      <c r="I2457" s="59"/>
    </row>
    <row r="2458">
      <c r="A2458" s="59"/>
      <c r="B2458" s="59"/>
      <c r="C2458" s="59"/>
      <c r="D2458" s="59"/>
      <c r="E2458" s="59"/>
      <c r="F2458" s="59"/>
      <c r="G2458" s="59"/>
      <c r="H2458" s="82"/>
      <c r="I2458" s="59"/>
    </row>
    <row r="2459">
      <c r="A2459" s="59"/>
      <c r="B2459" s="59"/>
      <c r="C2459" s="59"/>
      <c r="D2459" s="59"/>
      <c r="E2459" s="59"/>
      <c r="F2459" s="59"/>
      <c r="G2459" s="59"/>
      <c r="H2459" s="82"/>
      <c r="I2459" s="59"/>
    </row>
    <row r="2460">
      <c r="A2460" s="59"/>
      <c r="B2460" s="59"/>
      <c r="C2460" s="59"/>
      <c r="D2460" s="59"/>
      <c r="E2460" s="59"/>
      <c r="F2460" s="59"/>
      <c r="G2460" s="59"/>
      <c r="H2460" s="82"/>
      <c r="I2460" s="59"/>
    </row>
    <row r="2461">
      <c r="A2461" s="59"/>
      <c r="B2461" s="59"/>
      <c r="C2461" s="59"/>
      <c r="D2461" s="59"/>
      <c r="E2461" s="59"/>
      <c r="F2461" s="59"/>
      <c r="G2461" s="59"/>
      <c r="H2461" s="82"/>
      <c r="I2461" s="59"/>
    </row>
    <row r="2462">
      <c r="A2462" s="59"/>
      <c r="B2462" s="59"/>
      <c r="C2462" s="59"/>
      <c r="D2462" s="59"/>
      <c r="E2462" s="59"/>
      <c r="F2462" s="59"/>
      <c r="G2462" s="59"/>
      <c r="H2462" s="82"/>
      <c r="I2462" s="59"/>
    </row>
    <row r="2463">
      <c r="A2463" s="59"/>
      <c r="B2463" s="59"/>
      <c r="C2463" s="59"/>
      <c r="D2463" s="59"/>
      <c r="E2463" s="59"/>
      <c r="F2463" s="59"/>
      <c r="G2463" s="59"/>
      <c r="H2463" s="82"/>
      <c r="I2463" s="59"/>
    </row>
    <row r="2464">
      <c r="A2464" s="59"/>
      <c r="B2464" s="59"/>
      <c r="C2464" s="59"/>
      <c r="D2464" s="59"/>
      <c r="E2464" s="59"/>
      <c r="F2464" s="59"/>
      <c r="G2464" s="59"/>
      <c r="H2464" s="82"/>
      <c r="I2464" s="59"/>
    </row>
    <row r="2465">
      <c r="A2465" s="59"/>
      <c r="B2465" s="59"/>
      <c r="C2465" s="59"/>
      <c r="D2465" s="59"/>
      <c r="E2465" s="59"/>
      <c r="F2465" s="59"/>
      <c r="G2465" s="59"/>
      <c r="H2465" s="82"/>
      <c r="I2465" s="59"/>
    </row>
    <row r="2466">
      <c r="A2466" s="59"/>
      <c r="B2466" s="59"/>
      <c r="C2466" s="59"/>
      <c r="D2466" s="59"/>
      <c r="E2466" s="59"/>
      <c r="F2466" s="59"/>
      <c r="G2466" s="59"/>
      <c r="H2466" s="82"/>
      <c r="I2466" s="59"/>
    </row>
    <row r="2467">
      <c r="A2467" s="59"/>
      <c r="B2467" s="59"/>
      <c r="C2467" s="59"/>
      <c r="D2467" s="59"/>
      <c r="E2467" s="59"/>
      <c r="F2467" s="59"/>
      <c r="G2467" s="59"/>
      <c r="H2467" s="82"/>
      <c r="I2467" s="59"/>
    </row>
    <row r="2468">
      <c r="A2468" s="59"/>
      <c r="B2468" s="59"/>
      <c r="C2468" s="59"/>
      <c r="D2468" s="59"/>
      <c r="E2468" s="59"/>
      <c r="F2468" s="59"/>
      <c r="G2468" s="59"/>
      <c r="H2468" s="82"/>
      <c r="I2468" s="59"/>
    </row>
    <row r="2469">
      <c r="A2469" s="59"/>
      <c r="B2469" s="59"/>
      <c r="C2469" s="59"/>
      <c r="D2469" s="59"/>
      <c r="E2469" s="59"/>
      <c r="F2469" s="59"/>
      <c r="G2469" s="59"/>
      <c r="H2469" s="82"/>
      <c r="I2469" s="59"/>
    </row>
    <row r="2470">
      <c r="A2470" s="59"/>
      <c r="B2470" s="59"/>
      <c r="C2470" s="59"/>
      <c r="D2470" s="59"/>
      <c r="E2470" s="59"/>
      <c r="F2470" s="59"/>
      <c r="G2470" s="59"/>
      <c r="H2470" s="82"/>
      <c r="I2470" s="59"/>
    </row>
    <row r="2471">
      <c r="A2471" s="59"/>
      <c r="B2471" s="59"/>
      <c r="C2471" s="59"/>
      <c r="D2471" s="59"/>
      <c r="E2471" s="59"/>
      <c r="F2471" s="59"/>
      <c r="G2471" s="59"/>
      <c r="H2471" s="82"/>
      <c r="I2471" s="59"/>
    </row>
    <row r="2472">
      <c r="A2472" s="59"/>
      <c r="B2472" s="59"/>
      <c r="C2472" s="59"/>
      <c r="D2472" s="59"/>
      <c r="E2472" s="59"/>
      <c r="F2472" s="59"/>
      <c r="G2472" s="59"/>
      <c r="H2472" s="82"/>
      <c r="I2472" s="59"/>
    </row>
    <row r="2473">
      <c r="A2473" s="59"/>
      <c r="B2473" s="59"/>
      <c r="C2473" s="59"/>
      <c r="D2473" s="59"/>
      <c r="E2473" s="59"/>
      <c r="F2473" s="59"/>
      <c r="G2473" s="59"/>
      <c r="H2473" s="82"/>
      <c r="I2473" s="59"/>
    </row>
    <row r="2474">
      <c r="A2474" s="59"/>
      <c r="B2474" s="59"/>
      <c r="C2474" s="59"/>
      <c r="D2474" s="59"/>
      <c r="E2474" s="59"/>
      <c r="F2474" s="59"/>
      <c r="G2474" s="59"/>
      <c r="H2474" s="82"/>
      <c r="I2474" s="59"/>
    </row>
    <row r="2475">
      <c r="A2475" s="59"/>
      <c r="B2475" s="59"/>
      <c r="C2475" s="59"/>
      <c r="D2475" s="59"/>
      <c r="E2475" s="59"/>
      <c r="F2475" s="59"/>
      <c r="G2475" s="59"/>
      <c r="H2475" s="82"/>
      <c r="I2475" s="59"/>
    </row>
    <row r="2476">
      <c r="A2476" s="59"/>
      <c r="B2476" s="59"/>
      <c r="C2476" s="59"/>
      <c r="D2476" s="59"/>
      <c r="E2476" s="59"/>
      <c r="F2476" s="59"/>
      <c r="G2476" s="59"/>
      <c r="H2476" s="82"/>
      <c r="I2476" s="59"/>
    </row>
    <row r="2477">
      <c r="A2477" s="59"/>
      <c r="B2477" s="59"/>
      <c r="C2477" s="59"/>
      <c r="D2477" s="59"/>
      <c r="E2477" s="59"/>
      <c r="F2477" s="59"/>
      <c r="G2477" s="59"/>
      <c r="H2477" s="82"/>
      <c r="I2477" s="59"/>
    </row>
    <row r="2478">
      <c r="A2478" s="59"/>
      <c r="B2478" s="59"/>
      <c r="C2478" s="59"/>
      <c r="D2478" s="59"/>
      <c r="E2478" s="59"/>
      <c r="F2478" s="59"/>
      <c r="G2478" s="59"/>
      <c r="H2478" s="82"/>
      <c r="I2478" s="59"/>
    </row>
    <row r="2479">
      <c r="A2479" s="59"/>
      <c r="B2479" s="59"/>
      <c r="C2479" s="59"/>
      <c r="D2479" s="59"/>
      <c r="E2479" s="59"/>
      <c r="F2479" s="59"/>
      <c r="G2479" s="59"/>
      <c r="H2479" s="82"/>
      <c r="I2479" s="59"/>
    </row>
    <row r="2480">
      <c r="A2480" s="59"/>
      <c r="B2480" s="59"/>
      <c r="C2480" s="59"/>
      <c r="D2480" s="59"/>
      <c r="E2480" s="59"/>
      <c r="F2480" s="59"/>
      <c r="G2480" s="59"/>
      <c r="H2480" s="82"/>
      <c r="I2480" s="59"/>
    </row>
    <row r="2481">
      <c r="A2481" s="59"/>
      <c r="B2481" s="59"/>
      <c r="C2481" s="59"/>
      <c r="D2481" s="59"/>
      <c r="E2481" s="59"/>
      <c r="F2481" s="59"/>
      <c r="G2481" s="59"/>
      <c r="H2481" s="82"/>
      <c r="I2481" s="59"/>
    </row>
    <row r="2482">
      <c r="A2482" s="59"/>
      <c r="B2482" s="59"/>
      <c r="C2482" s="59"/>
      <c r="D2482" s="59"/>
      <c r="E2482" s="59"/>
      <c r="F2482" s="59"/>
      <c r="G2482" s="59"/>
      <c r="H2482" s="82"/>
      <c r="I2482" s="59"/>
    </row>
    <row r="2483">
      <c r="A2483" s="59"/>
      <c r="B2483" s="59"/>
      <c r="C2483" s="59"/>
      <c r="D2483" s="59"/>
      <c r="E2483" s="59"/>
      <c r="F2483" s="59"/>
      <c r="G2483" s="59"/>
      <c r="H2483" s="82"/>
      <c r="I2483" s="59"/>
    </row>
    <row r="2484">
      <c r="A2484" s="59"/>
      <c r="B2484" s="59"/>
      <c r="C2484" s="59"/>
      <c r="D2484" s="59"/>
      <c r="E2484" s="59"/>
      <c r="F2484" s="59"/>
      <c r="G2484" s="59"/>
      <c r="H2484" s="82"/>
      <c r="I2484" s="59"/>
    </row>
    <row r="2485">
      <c r="A2485" s="59"/>
      <c r="B2485" s="59"/>
      <c r="C2485" s="59"/>
      <c r="D2485" s="59"/>
      <c r="E2485" s="59"/>
      <c r="F2485" s="59"/>
      <c r="G2485" s="59"/>
      <c r="H2485" s="82"/>
      <c r="I2485" s="59"/>
    </row>
    <row r="2486">
      <c r="A2486" s="59"/>
      <c r="B2486" s="59"/>
      <c r="C2486" s="59"/>
      <c r="D2486" s="59"/>
      <c r="E2486" s="59"/>
      <c r="F2486" s="59"/>
      <c r="G2486" s="59"/>
      <c r="H2486" s="82"/>
      <c r="I2486" s="59"/>
    </row>
    <row r="2487">
      <c r="A2487" s="59"/>
      <c r="B2487" s="59"/>
      <c r="C2487" s="59"/>
      <c r="D2487" s="59"/>
      <c r="E2487" s="59"/>
      <c r="F2487" s="59"/>
      <c r="G2487" s="59"/>
      <c r="H2487" s="82"/>
      <c r="I2487" s="59"/>
    </row>
    <row r="2488">
      <c r="A2488" s="59"/>
      <c r="B2488" s="59"/>
      <c r="C2488" s="59"/>
      <c r="D2488" s="59"/>
      <c r="E2488" s="59"/>
      <c r="F2488" s="59"/>
      <c r="G2488" s="59"/>
      <c r="H2488" s="82"/>
      <c r="I2488" s="59"/>
    </row>
    <row r="2489">
      <c r="A2489" s="59"/>
      <c r="B2489" s="59"/>
      <c r="C2489" s="59"/>
      <c r="D2489" s="59"/>
      <c r="E2489" s="59"/>
      <c r="F2489" s="59"/>
      <c r="G2489" s="59"/>
      <c r="H2489" s="82"/>
      <c r="I2489" s="59"/>
    </row>
    <row r="2490">
      <c r="A2490" s="59"/>
      <c r="B2490" s="59"/>
      <c r="C2490" s="59"/>
      <c r="D2490" s="59"/>
      <c r="E2490" s="59"/>
      <c r="F2490" s="59"/>
      <c r="G2490" s="59"/>
      <c r="H2490" s="82"/>
      <c r="I2490" s="59"/>
    </row>
    <row r="2491">
      <c r="A2491" s="59"/>
      <c r="B2491" s="59"/>
      <c r="C2491" s="59"/>
      <c r="D2491" s="59"/>
      <c r="E2491" s="59"/>
      <c r="F2491" s="59"/>
      <c r="G2491" s="59"/>
      <c r="H2491" s="82"/>
      <c r="I2491" s="59"/>
    </row>
    <row r="2492">
      <c r="A2492" s="59"/>
      <c r="B2492" s="59"/>
      <c r="C2492" s="59"/>
      <c r="D2492" s="59"/>
      <c r="E2492" s="59"/>
      <c r="F2492" s="59"/>
      <c r="G2492" s="59"/>
      <c r="H2492" s="82"/>
      <c r="I2492" s="59"/>
    </row>
    <row r="2493">
      <c r="A2493" s="59"/>
      <c r="B2493" s="59"/>
      <c r="C2493" s="59"/>
      <c r="D2493" s="59"/>
      <c r="E2493" s="59"/>
      <c r="F2493" s="59"/>
      <c r="G2493" s="59"/>
      <c r="H2493" s="82"/>
      <c r="I2493" s="59"/>
    </row>
    <row r="2494">
      <c r="A2494" s="59"/>
      <c r="B2494" s="59"/>
      <c r="C2494" s="59"/>
      <c r="D2494" s="59"/>
      <c r="E2494" s="59"/>
      <c r="F2494" s="59"/>
      <c r="G2494" s="59"/>
      <c r="H2494" s="82"/>
      <c r="I2494" s="59"/>
    </row>
    <row r="2495">
      <c r="A2495" s="59"/>
      <c r="B2495" s="59"/>
      <c r="C2495" s="59"/>
      <c r="D2495" s="59"/>
      <c r="E2495" s="59"/>
      <c r="F2495" s="59"/>
      <c r="G2495" s="59"/>
      <c r="H2495" s="82"/>
      <c r="I2495" s="59"/>
    </row>
    <row r="2496">
      <c r="A2496" s="59"/>
      <c r="B2496" s="59"/>
      <c r="C2496" s="59"/>
      <c r="D2496" s="59"/>
      <c r="E2496" s="59"/>
      <c r="F2496" s="59"/>
      <c r="G2496" s="59"/>
      <c r="H2496" s="82"/>
      <c r="I2496" s="59"/>
    </row>
    <row r="2497">
      <c r="A2497" s="59"/>
      <c r="B2497" s="59"/>
      <c r="C2497" s="59"/>
      <c r="D2497" s="59"/>
      <c r="E2497" s="59"/>
      <c r="F2497" s="59"/>
      <c r="G2497" s="59"/>
      <c r="H2497" s="82"/>
      <c r="I2497" s="59"/>
    </row>
    <row r="2498">
      <c r="A2498" s="59"/>
      <c r="B2498" s="59"/>
      <c r="C2498" s="59"/>
      <c r="D2498" s="59"/>
      <c r="E2498" s="59"/>
      <c r="F2498" s="59"/>
      <c r="G2498" s="59"/>
      <c r="H2498" s="82"/>
      <c r="I2498" s="59"/>
    </row>
    <row r="2499">
      <c r="A2499" s="59"/>
      <c r="B2499" s="59"/>
      <c r="C2499" s="59"/>
      <c r="D2499" s="59"/>
      <c r="E2499" s="59"/>
      <c r="F2499" s="59"/>
      <c r="G2499" s="59"/>
      <c r="H2499" s="82"/>
      <c r="I2499" s="59"/>
    </row>
    <row r="2500">
      <c r="A2500" s="59"/>
      <c r="B2500" s="59"/>
      <c r="C2500" s="59"/>
      <c r="D2500" s="59"/>
      <c r="E2500" s="59"/>
      <c r="F2500" s="59"/>
      <c r="G2500" s="59"/>
      <c r="H2500" s="82"/>
      <c r="I2500" s="59"/>
    </row>
    <row r="2501">
      <c r="A2501" s="59"/>
      <c r="B2501" s="59"/>
      <c r="C2501" s="59"/>
      <c r="D2501" s="59"/>
      <c r="E2501" s="59"/>
      <c r="F2501" s="59"/>
      <c r="G2501" s="59"/>
      <c r="H2501" s="82"/>
      <c r="I2501" s="59"/>
    </row>
    <row r="2502">
      <c r="A2502" s="59"/>
      <c r="B2502" s="59"/>
      <c r="C2502" s="59"/>
      <c r="D2502" s="59"/>
      <c r="E2502" s="59"/>
      <c r="F2502" s="59"/>
      <c r="G2502" s="59"/>
      <c r="H2502" s="82"/>
      <c r="I2502" s="59"/>
    </row>
    <row r="2503">
      <c r="A2503" s="59"/>
      <c r="B2503" s="59"/>
      <c r="C2503" s="59"/>
      <c r="D2503" s="59"/>
      <c r="E2503" s="59"/>
      <c r="F2503" s="59"/>
      <c r="G2503" s="59"/>
      <c r="H2503" s="82"/>
      <c r="I2503" s="59"/>
    </row>
    <row r="2504">
      <c r="A2504" s="59"/>
      <c r="B2504" s="59"/>
      <c r="C2504" s="59"/>
      <c r="D2504" s="59"/>
      <c r="E2504" s="59"/>
      <c r="F2504" s="59"/>
      <c r="G2504" s="59"/>
      <c r="H2504" s="82"/>
      <c r="I2504" s="59"/>
    </row>
    <row r="2505">
      <c r="A2505" s="59"/>
      <c r="B2505" s="59"/>
      <c r="C2505" s="59"/>
      <c r="D2505" s="59"/>
      <c r="E2505" s="59"/>
      <c r="F2505" s="59"/>
      <c r="G2505" s="59"/>
      <c r="H2505" s="82"/>
      <c r="I2505" s="59"/>
    </row>
    <row r="2506">
      <c r="A2506" s="59"/>
      <c r="B2506" s="59"/>
      <c r="C2506" s="59"/>
      <c r="D2506" s="59"/>
      <c r="E2506" s="59"/>
      <c r="F2506" s="59"/>
      <c r="G2506" s="59"/>
      <c r="H2506" s="82"/>
      <c r="I2506" s="59"/>
    </row>
    <row r="2507">
      <c r="A2507" s="59"/>
      <c r="B2507" s="59"/>
      <c r="C2507" s="59"/>
      <c r="D2507" s="59"/>
      <c r="E2507" s="59"/>
      <c r="F2507" s="59"/>
      <c r="G2507" s="59"/>
      <c r="H2507" s="82"/>
      <c r="I2507" s="59"/>
    </row>
    <row r="2508">
      <c r="A2508" s="59"/>
      <c r="B2508" s="59"/>
      <c r="C2508" s="59"/>
      <c r="D2508" s="59"/>
      <c r="E2508" s="59"/>
      <c r="F2508" s="59"/>
      <c r="G2508" s="59"/>
      <c r="H2508" s="82"/>
      <c r="I2508" s="59"/>
    </row>
    <row r="2509">
      <c r="A2509" s="59"/>
      <c r="B2509" s="59"/>
      <c r="C2509" s="59"/>
      <c r="D2509" s="59"/>
      <c r="E2509" s="59"/>
      <c r="F2509" s="59"/>
      <c r="G2509" s="59"/>
      <c r="H2509" s="82"/>
      <c r="I2509" s="59"/>
    </row>
    <row r="2510">
      <c r="A2510" s="59"/>
      <c r="B2510" s="59"/>
      <c r="C2510" s="59"/>
      <c r="D2510" s="59"/>
      <c r="E2510" s="59"/>
      <c r="F2510" s="59"/>
      <c r="G2510" s="59"/>
      <c r="H2510" s="82"/>
      <c r="I2510" s="59"/>
    </row>
    <row r="2511">
      <c r="A2511" s="59"/>
      <c r="B2511" s="59"/>
      <c r="C2511" s="59"/>
      <c r="D2511" s="59"/>
      <c r="E2511" s="59"/>
      <c r="F2511" s="59"/>
      <c r="G2511" s="59"/>
      <c r="H2511" s="82"/>
      <c r="I2511" s="59"/>
    </row>
    <row r="2512">
      <c r="A2512" s="59"/>
      <c r="B2512" s="59"/>
      <c r="C2512" s="59"/>
      <c r="D2512" s="59"/>
      <c r="E2512" s="59"/>
      <c r="F2512" s="59"/>
      <c r="G2512" s="59"/>
      <c r="H2512" s="82"/>
      <c r="I2512" s="59"/>
    </row>
    <row r="2513">
      <c r="A2513" s="59"/>
      <c r="B2513" s="59"/>
      <c r="C2513" s="59"/>
      <c r="D2513" s="59"/>
      <c r="E2513" s="59"/>
      <c r="F2513" s="59"/>
      <c r="G2513" s="59"/>
      <c r="H2513" s="82"/>
      <c r="I2513" s="59"/>
    </row>
    <row r="2514">
      <c r="A2514" s="59"/>
      <c r="B2514" s="59"/>
      <c r="C2514" s="59"/>
      <c r="D2514" s="59"/>
      <c r="E2514" s="59"/>
      <c r="F2514" s="59"/>
      <c r="G2514" s="59"/>
      <c r="H2514" s="82"/>
      <c r="I2514" s="59"/>
    </row>
    <row r="2515">
      <c r="A2515" s="59"/>
      <c r="B2515" s="59"/>
      <c r="C2515" s="59"/>
      <c r="D2515" s="59"/>
      <c r="E2515" s="59"/>
      <c r="F2515" s="59"/>
      <c r="G2515" s="59"/>
      <c r="H2515" s="82"/>
      <c r="I2515" s="59"/>
    </row>
    <row r="2516">
      <c r="A2516" s="59"/>
      <c r="B2516" s="59"/>
      <c r="C2516" s="59"/>
      <c r="D2516" s="59"/>
      <c r="E2516" s="59"/>
      <c r="F2516" s="59"/>
      <c r="G2516" s="59"/>
      <c r="H2516" s="82"/>
      <c r="I2516" s="59"/>
    </row>
    <row r="2517">
      <c r="A2517" s="59"/>
      <c r="B2517" s="59"/>
      <c r="C2517" s="59"/>
      <c r="D2517" s="59"/>
      <c r="E2517" s="59"/>
      <c r="F2517" s="59"/>
      <c r="G2517" s="59"/>
      <c r="H2517" s="82"/>
      <c r="I2517" s="59"/>
    </row>
    <row r="2518">
      <c r="A2518" s="59"/>
      <c r="B2518" s="59"/>
      <c r="C2518" s="59"/>
      <c r="D2518" s="59"/>
      <c r="E2518" s="59"/>
      <c r="F2518" s="59"/>
      <c r="G2518" s="59"/>
      <c r="H2518" s="82"/>
      <c r="I2518" s="59"/>
    </row>
    <row r="2519">
      <c r="A2519" s="59"/>
      <c r="B2519" s="59"/>
      <c r="C2519" s="59"/>
      <c r="D2519" s="59"/>
      <c r="E2519" s="59"/>
      <c r="F2519" s="59"/>
      <c r="G2519" s="59"/>
      <c r="H2519" s="82"/>
      <c r="I2519" s="59"/>
    </row>
    <row r="2520">
      <c r="A2520" s="59"/>
      <c r="B2520" s="59"/>
      <c r="C2520" s="59"/>
      <c r="D2520" s="59"/>
      <c r="E2520" s="59"/>
      <c r="F2520" s="59"/>
      <c r="G2520" s="59"/>
      <c r="H2520" s="82"/>
      <c r="I2520" s="59"/>
    </row>
    <row r="2521">
      <c r="A2521" s="59"/>
      <c r="B2521" s="59"/>
      <c r="C2521" s="59"/>
      <c r="D2521" s="59"/>
      <c r="E2521" s="59"/>
      <c r="F2521" s="59"/>
      <c r="G2521" s="59"/>
      <c r="H2521" s="82"/>
      <c r="I2521" s="59"/>
    </row>
    <row r="2522">
      <c r="A2522" s="59"/>
      <c r="B2522" s="59"/>
      <c r="C2522" s="59"/>
      <c r="D2522" s="59"/>
      <c r="E2522" s="59"/>
      <c r="F2522" s="59"/>
      <c r="G2522" s="59"/>
      <c r="H2522" s="82"/>
      <c r="I2522" s="59"/>
    </row>
    <row r="2523">
      <c r="A2523" s="59"/>
      <c r="B2523" s="59"/>
      <c r="C2523" s="59"/>
      <c r="D2523" s="59"/>
      <c r="E2523" s="59"/>
      <c r="F2523" s="59"/>
      <c r="G2523" s="59"/>
      <c r="H2523" s="82"/>
      <c r="I2523" s="59"/>
    </row>
    <row r="2524">
      <c r="A2524" s="59"/>
      <c r="B2524" s="59"/>
      <c r="C2524" s="59"/>
      <c r="D2524" s="59"/>
      <c r="E2524" s="59"/>
      <c r="F2524" s="59"/>
      <c r="G2524" s="59"/>
      <c r="H2524" s="82"/>
      <c r="I2524" s="59"/>
    </row>
    <row r="2525">
      <c r="A2525" s="59"/>
      <c r="B2525" s="59"/>
      <c r="C2525" s="59"/>
      <c r="D2525" s="59"/>
      <c r="E2525" s="59"/>
      <c r="F2525" s="59"/>
      <c r="G2525" s="59"/>
      <c r="H2525" s="82"/>
      <c r="I2525" s="59"/>
    </row>
    <row r="2526">
      <c r="A2526" s="59"/>
      <c r="B2526" s="59"/>
      <c r="C2526" s="59"/>
      <c r="D2526" s="59"/>
      <c r="E2526" s="59"/>
      <c r="F2526" s="59"/>
      <c r="G2526" s="59"/>
      <c r="H2526" s="82"/>
      <c r="I2526" s="59"/>
    </row>
    <row r="2527">
      <c r="A2527" s="59"/>
      <c r="B2527" s="59"/>
      <c r="C2527" s="59"/>
      <c r="D2527" s="59"/>
      <c r="E2527" s="59"/>
      <c r="F2527" s="59"/>
      <c r="G2527" s="59"/>
      <c r="H2527" s="82"/>
      <c r="I2527" s="59"/>
    </row>
    <row r="2528">
      <c r="A2528" s="59"/>
      <c r="B2528" s="59"/>
      <c r="C2528" s="59"/>
      <c r="D2528" s="59"/>
      <c r="E2528" s="59"/>
      <c r="F2528" s="59"/>
      <c r="G2528" s="59"/>
      <c r="H2528" s="82"/>
      <c r="I2528" s="59"/>
    </row>
    <row r="2529">
      <c r="A2529" s="59"/>
      <c r="B2529" s="59"/>
      <c r="C2529" s="59"/>
      <c r="D2529" s="59"/>
      <c r="E2529" s="59"/>
      <c r="F2529" s="59"/>
      <c r="G2529" s="59"/>
      <c r="H2529" s="82"/>
      <c r="I2529" s="59"/>
    </row>
    <row r="2530">
      <c r="A2530" s="59"/>
      <c r="B2530" s="59"/>
      <c r="C2530" s="59"/>
      <c r="D2530" s="59"/>
      <c r="E2530" s="59"/>
      <c r="F2530" s="59"/>
      <c r="G2530" s="59"/>
      <c r="H2530" s="82"/>
      <c r="I2530" s="59"/>
    </row>
    <row r="2531">
      <c r="A2531" s="59"/>
      <c r="B2531" s="59"/>
      <c r="C2531" s="59"/>
      <c r="D2531" s="59"/>
      <c r="E2531" s="59"/>
      <c r="F2531" s="59"/>
      <c r="G2531" s="59"/>
      <c r="H2531" s="82"/>
      <c r="I2531" s="59"/>
    </row>
    <row r="2532">
      <c r="A2532" s="59"/>
      <c r="B2532" s="59"/>
      <c r="C2532" s="59"/>
      <c r="D2532" s="59"/>
      <c r="E2532" s="59"/>
      <c r="F2532" s="59"/>
      <c r="G2532" s="59"/>
      <c r="H2532" s="82"/>
      <c r="I2532" s="59"/>
    </row>
    <row r="2533">
      <c r="A2533" s="59"/>
      <c r="B2533" s="59"/>
      <c r="C2533" s="59"/>
      <c r="D2533" s="59"/>
      <c r="E2533" s="59"/>
      <c r="F2533" s="59"/>
      <c r="G2533" s="59"/>
      <c r="H2533" s="82"/>
      <c r="I2533" s="59"/>
    </row>
    <row r="2534">
      <c r="A2534" s="59"/>
      <c r="B2534" s="59"/>
      <c r="C2534" s="59"/>
      <c r="D2534" s="59"/>
      <c r="E2534" s="59"/>
      <c r="F2534" s="59"/>
      <c r="G2534" s="59"/>
      <c r="H2534" s="82"/>
      <c r="I2534" s="59"/>
    </row>
    <row r="2535">
      <c r="A2535" s="59"/>
      <c r="B2535" s="59"/>
      <c r="C2535" s="59"/>
      <c r="D2535" s="59"/>
      <c r="E2535" s="59"/>
      <c r="F2535" s="59"/>
      <c r="G2535" s="59"/>
      <c r="H2535" s="82"/>
      <c r="I2535" s="59"/>
    </row>
    <row r="2536">
      <c r="A2536" s="59"/>
      <c r="B2536" s="59"/>
      <c r="C2536" s="59"/>
      <c r="D2536" s="59"/>
      <c r="E2536" s="59"/>
      <c r="F2536" s="59"/>
      <c r="G2536" s="59"/>
      <c r="H2536" s="82"/>
      <c r="I2536" s="59"/>
    </row>
    <row r="2537">
      <c r="A2537" s="59"/>
      <c r="B2537" s="59"/>
      <c r="C2537" s="59"/>
      <c r="D2537" s="59"/>
      <c r="E2537" s="59"/>
      <c r="F2537" s="59"/>
      <c r="G2537" s="59"/>
      <c r="H2537" s="82"/>
      <c r="I2537" s="59"/>
    </row>
    <row r="2538">
      <c r="A2538" s="59"/>
      <c r="B2538" s="59"/>
      <c r="C2538" s="59"/>
      <c r="D2538" s="59"/>
      <c r="E2538" s="59"/>
      <c r="F2538" s="59"/>
      <c r="G2538" s="59"/>
      <c r="H2538" s="82"/>
      <c r="I2538" s="59"/>
    </row>
    <row r="2539">
      <c r="A2539" s="59"/>
      <c r="B2539" s="59"/>
      <c r="C2539" s="59"/>
      <c r="D2539" s="59"/>
      <c r="E2539" s="59"/>
      <c r="F2539" s="59"/>
      <c r="G2539" s="59"/>
      <c r="H2539" s="82"/>
      <c r="I2539" s="59"/>
    </row>
    <row r="2540">
      <c r="A2540" s="59"/>
      <c r="B2540" s="59"/>
      <c r="C2540" s="59"/>
      <c r="D2540" s="59"/>
      <c r="E2540" s="59"/>
      <c r="F2540" s="59"/>
      <c r="G2540" s="59"/>
      <c r="H2540" s="82"/>
      <c r="I2540" s="59"/>
    </row>
    <row r="2541">
      <c r="A2541" s="59"/>
      <c r="B2541" s="59"/>
      <c r="C2541" s="59"/>
      <c r="D2541" s="59"/>
      <c r="E2541" s="59"/>
      <c r="F2541" s="59"/>
      <c r="G2541" s="59"/>
      <c r="H2541" s="82"/>
      <c r="I2541" s="59"/>
    </row>
    <row r="2542">
      <c r="A2542" s="59"/>
      <c r="B2542" s="59"/>
      <c r="C2542" s="59"/>
      <c r="D2542" s="59"/>
      <c r="E2542" s="59"/>
      <c r="F2542" s="59"/>
      <c r="G2542" s="59"/>
      <c r="H2542" s="82"/>
      <c r="I2542" s="59"/>
    </row>
    <row r="2543">
      <c r="A2543" s="59"/>
      <c r="B2543" s="59"/>
      <c r="C2543" s="59"/>
      <c r="D2543" s="59"/>
      <c r="E2543" s="59"/>
      <c r="F2543" s="59"/>
      <c r="G2543" s="59"/>
      <c r="H2543" s="82"/>
      <c r="I2543" s="59"/>
    </row>
    <row r="2544">
      <c r="A2544" s="59"/>
      <c r="B2544" s="59"/>
      <c r="C2544" s="59"/>
      <c r="D2544" s="59"/>
      <c r="E2544" s="59"/>
      <c r="F2544" s="59"/>
      <c r="G2544" s="59"/>
      <c r="H2544" s="82"/>
      <c r="I2544" s="59"/>
    </row>
    <row r="2545">
      <c r="A2545" s="59"/>
      <c r="B2545" s="59"/>
      <c r="C2545" s="59"/>
      <c r="D2545" s="59"/>
      <c r="E2545" s="59"/>
      <c r="F2545" s="59"/>
      <c r="G2545" s="59"/>
      <c r="H2545" s="82"/>
      <c r="I2545" s="59"/>
    </row>
    <row r="2546">
      <c r="A2546" s="59"/>
      <c r="B2546" s="59"/>
      <c r="C2546" s="59"/>
      <c r="D2546" s="59"/>
      <c r="E2546" s="59"/>
      <c r="F2546" s="59"/>
      <c r="G2546" s="59"/>
      <c r="H2546" s="82"/>
      <c r="I2546" s="59"/>
    </row>
    <row r="2547">
      <c r="A2547" s="59"/>
      <c r="B2547" s="59"/>
      <c r="C2547" s="59"/>
      <c r="D2547" s="59"/>
      <c r="E2547" s="59"/>
      <c r="F2547" s="59"/>
      <c r="G2547" s="59"/>
      <c r="H2547" s="82"/>
      <c r="I2547" s="59"/>
    </row>
    <row r="2548">
      <c r="A2548" s="59"/>
      <c r="B2548" s="59"/>
      <c r="C2548" s="59"/>
      <c r="D2548" s="59"/>
      <c r="E2548" s="59"/>
      <c r="F2548" s="59"/>
      <c r="G2548" s="59"/>
      <c r="H2548" s="82"/>
      <c r="I2548" s="59"/>
    </row>
    <row r="2549">
      <c r="A2549" s="59"/>
      <c r="B2549" s="59"/>
      <c r="C2549" s="59"/>
      <c r="D2549" s="59"/>
      <c r="E2549" s="59"/>
      <c r="F2549" s="59"/>
      <c r="G2549" s="59"/>
      <c r="H2549" s="82"/>
      <c r="I2549" s="59"/>
    </row>
    <row r="2550">
      <c r="A2550" s="59"/>
      <c r="B2550" s="59"/>
      <c r="C2550" s="59"/>
      <c r="D2550" s="59"/>
      <c r="E2550" s="59"/>
      <c r="F2550" s="59"/>
      <c r="G2550" s="59"/>
      <c r="H2550" s="82"/>
      <c r="I2550" s="59"/>
    </row>
    <row r="2551">
      <c r="A2551" s="59"/>
      <c r="B2551" s="59"/>
      <c r="C2551" s="59"/>
      <c r="D2551" s="59"/>
      <c r="E2551" s="59"/>
      <c r="F2551" s="59"/>
      <c r="G2551" s="59"/>
      <c r="H2551" s="82"/>
      <c r="I2551" s="59"/>
    </row>
    <row r="2552">
      <c r="A2552" s="59"/>
      <c r="B2552" s="59"/>
      <c r="C2552" s="59"/>
      <c r="D2552" s="59"/>
      <c r="E2552" s="59"/>
      <c r="F2552" s="59"/>
      <c r="G2552" s="59"/>
      <c r="H2552" s="82"/>
      <c r="I2552" s="59"/>
    </row>
    <row r="2553">
      <c r="A2553" s="59"/>
      <c r="B2553" s="59"/>
      <c r="C2553" s="59"/>
      <c r="D2553" s="59"/>
      <c r="E2553" s="59"/>
      <c r="F2553" s="59"/>
      <c r="G2553" s="59"/>
      <c r="H2553" s="82"/>
      <c r="I2553" s="59"/>
    </row>
    <row r="2554">
      <c r="A2554" s="59"/>
      <c r="B2554" s="59"/>
      <c r="C2554" s="59"/>
      <c r="D2554" s="59"/>
      <c r="E2554" s="59"/>
      <c r="F2554" s="59"/>
      <c r="G2554" s="59"/>
      <c r="H2554" s="82"/>
      <c r="I2554" s="59"/>
    </row>
    <row r="2555">
      <c r="A2555" s="59"/>
      <c r="B2555" s="59"/>
      <c r="C2555" s="59"/>
      <c r="D2555" s="59"/>
      <c r="E2555" s="59"/>
      <c r="F2555" s="59"/>
      <c r="G2555" s="59"/>
      <c r="H2555" s="82"/>
      <c r="I2555" s="59"/>
    </row>
    <row r="2556">
      <c r="A2556" s="59"/>
      <c r="B2556" s="59"/>
      <c r="C2556" s="59"/>
      <c r="D2556" s="59"/>
      <c r="E2556" s="59"/>
      <c r="F2556" s="59"/>
      <c r="G2556" s="59"/>
      <c r="H2556" s="82"/>
      <c r="I2556" s="59"/>
    </row>
    <row r="2557">
      <c r="A2557" s="59"/>
      <c r="B2557" s="59"/>
      <c r="C2557" s="59"/>
      <c r="D2557" s="59"/>
      <c r="E2557" s="59"/>
      <c r="F2557" s="59"/>
      <c r="G2557" s="59"/>
      <c r="H2557" s="82"/>
      <c r="I2557" s="59"/>
    </row>
    <row r="2558">
      <c r="A2558" s="59"/>
      <c r="B2558" s="59"/>
      <c r="C2558" s="59"/>
      <c r="D2558" s="59"/>
      <c r="E2558" s="59"/>
      <c r="F2558" s="59"/>
      <c r="G2558" s="59"/>
      <c r="H2558" s="82"/>
      <c r="I2558" s="59"/>
    </row>
    <row r="2559">
      <c r="A2559" s="59"/>
      <c r="B2559" s="59"/>
      <c r="C2559" s="59"/>
      <c r="D2559" s="59"/>
      <c r="E2559" s="59"/>
      <c r="F2559" s="59"/>
      <c r="G2559" s="59"/>
      <c r="H2559" s="82"/>
      <c r="I2559" s="59"/>
    </row>
    <row r="2560">
      <c r="A2560" s="59"/>
      <c r="B2560" s="59"/>
      <c r="C2560" s="59"/>
      <c r="D2560" s="59"/>
      <c r="E2560" s="59"/>
      <c r="F2560" s="59"/>
      <c r="G2560" s="59"/>
      <c r="H2560" s="82"/>
      <c r="I2560" s="59"/>
    </row>
    <row r="2561">
      <c r="A2561" s="59"/>
      <c r="B2561" s="59"/>
      <c r="C2561" s="59"/>
      <c r="D2561" s="59"/>
      <c r="E2561" s="59"/>
      <c r="F2561" s="59"/>
      <c r="G2561" s="59"/>
      <c r="H2561" s="82"/>
      <c r="I2561" s="59"/>
    </row>
    <row r="2562">
      <c r="A2562" s="59"/>
      <c r="B2562" s="59"/>
      <c r="C2562" s="59"/>
      <c r="D2562" s="59"/>
      <c r="E2562" s="59"/>
      <c r="F2562" s="59"/>
      <c r="G2562" s="59"/>
      <c r="H2562" s="82"/>
      <c r="I2562" s="59"/>
    </row>
    <row r="2563">
      <c r="A2563" s="59"/>
      <c r="B2563" s="59"/>
      <c r="C2563" s="59"/>
      <c r="D2563" s="59"/>
      <c r="E2563" s="59"/>
      <c r="F2563" s="59"/>
      <c r="G2563" s="59"/>
      <c r="H2563" s="82"/>
      <c r="I2563" s="59"/>
    </row>
    <row r="2564">
      <c r="A2564" s="59"/>
      <c r="B2564" s="59"/>
      <c r="C2564" s="59"/>
      <c r="D2564" s="59"/>
      <c r="E2564" s="59"/>
      <c r="F2564" s="59"/>
      <c r="G2564" s="59"/>
      <c r="H2564" s="82"/>
      <c r="I2564" s="59"/>
    </row>
    <row r="2565">
      <c r="A2565" s="59"/>
      <c r="B2565" s="59"/>
      <c r="C2565" s="59"/>
      <c r="D2565" s="59"/>
      <c r="E2565" s="59"/>
      <c r="F2565" s="59"/>
      <c r="G2565" s="59"/>
      <c r="H2565" s="82"/>
      <c r="I2565" s="59"/>
    </row>
    <row r="2566">
      <c r="A2566" s="59"/>
      <c r="B2566" s="59"/>
      <c r="C2566" s="59"/>
      <c r="D2566" s="59"/>
      <c r="E2566" s="59"/>
      <c r="F2566" s="59"/>
      <c r="G2566" s="59"/>
      <c r="H2566" s="82"/>
      <c r="I2566" s="59"/>
    </row>
    <row r="2567">
      <c r="A2567" s="59"/>
      <c r="B2567" s="59"/>
      <c r="C2567" s="59"/>
      <c r="D2567" s="59"/>
      <c r="E2567" s="59"/>
      <c r="F2567" s="59"/>
      <c r="G2567" s="59"/>
      <c r="H2567" s="82"/>
      <c r="I2567" s="59"/>
    </row>
    <row r="2568">
      <c r="A2568" s="59"/>
      <c r="B2568" s="59"/>
      <c r="C2568" s="59"/>
      <c r="D2568" s="59"/>
      <c r="E2568" s="59"/>
      <c r="F2568" s="59"/>
      <c r="G2568" s="59"/>
      <c r="H2568" s="82"/>
      <c r="I2568" s="59"/>
    </row>
    <row r="2569">
      <c r="A2569" s="59"/>
      <c r="B2569" s="59"/>
      <c r="C2569" s="59"/>
      <c r="D2569" s="59"/>
      <c r="E2569" s="59"/>
      <c r="F2569" s="59"/>
      <c r="G2569" s="59"/>
      <c r="H2569" s="82"/>
      <c r="I2569" s="59"/>
    </row>
    <row r="2570">
      <c r="A2570" s="59"/>
      <c r="B2570" s="59"/>
      <c r="C2570" s="59"/>
      <c r="D2570" s="59"/>
      <c r="E2570" s="59"/>
      <c r="F2570" s="59"/>
      <c r="G2570" s="59"/>
      <c r="H2570" s="82"/>
      <c r="I2570" s="59"/>
    </row>
    <row r="2571">
      <c r="A2571" s="59"/>
      <c r="B2571" s="59"/>
      <c r="C2571" s="59"/>
      <c r="D2571" s="59"/>
      <c r="E2571" s="59"/>
      <c r="F2571" s="59"/>
      <c r="G2571" s="59"/>
      <c r="H2571" s="82"/>
      <c r="I2571" s="59"/>
    </row>
    <row r="2572">
      <c r="A2572" s="59"/>
      <c r="B2572" s="59"/>
      <c r="C2572" s="59"/>
      <c r="D2572" s="59"/>
      <c r="E2572" s="59"/>
      <c r="F2572" s="59"/>
      <c r="G2572" s="59"/>
      <c r="H2572" s="82"/>
      <c r="I2572" s="59"/>
    </row>
    <row r="2573">
      <c r="A2573" s="59"/>
      <c r="B2573" s="59"/>
      <c r="C2573" s="59"/>
      <c r="D2573" s="59"/>
      <c r="E2573" s="59"/>
      <c r="F2573" s="59"/>
      <c r="G2573" s="59"/>
      <c r="H2573" s="82"/>
      <c r="I2573" s="59"/>
    </row>
    <row r="2574">
      <c r="A2574" s="59"/>
      <c r="B2574" s="59"/>
      <c r="C2574" s="59"/>
      <c r="D2574" s="59"/>
      <c r="E2574" s="59"/>
      <c r="F2574" s="59"/>
      <c r="G2574" s="59"/>
      <c r="H2574" s="82"/>
      <c r="I2574" s="59"/>
    </row>
    <row r="2575">
      <c r="A2575" s="59"/>
      <c r="B2575" s="59"/>
      <c r="C2575" s="59"/>
      <c r="D2575" s="59"/>
      <c r="E2575" s="59"/>
      <c r="F2575" s="59"/>
      <c r="G2575" s="59"/>
      <c r="H2575" s="82"/>
      <c r="I2575" s="59"/>
    </row>
    <row r="2576">
      <c r="A2576" s="59"/>
      <c r="B2576" s="59"/>
      <c r="C2576" s="59"/>
      <c r="D2576" s="59"/>
      <c r="E2576" s="59"/>
      <c r="F2576" s="59"/>
      <c r="G2576" s="59"/>
      <c r="H2576" s="82"/>
      <c r="I2576" s="59"/>
    </row>
    <row r="2577">
      <c r="A2577" s="59"/>
      <c r="B2577" s="59"/>
      <c r="C2577" s="59"/>
      <c r="D2577" s="59"/>
      <c r="E2577" s="59"/>
      <c r="F2577" s="59"/>
      <c r="G2577" s="59"/>
      <c r="H2577" s="82"/>
      <c r="I2577" s="59"/>
    </row>
    <row r="2578">
      <c r="A2578" s="59"/>
      <c r="B2578" s="59"/>
      <c r="C2578" s="59"/>
      <c r="D2578" s="59"/>
      <c r="E2578" s="59"/>
      <c r="F2578" s="59"/>
      <c r="G2578" s="59"/>
      <c r="H2578" s="82"/>
      <c r="I2578" s="59"/>
    </row>
    <row r="2579">
      <c r="A2579" s="59"/>
      <c r="B2579" s="59"/>
      <c r="C2579" s="59"/>
      <c r="D2579" s="59"/>
      <c r="E2579" s="59"/>
      <c r="F2579" s="59"/>
      <c r="G2579" s="59"/>
      <c r="H2579" s="82"/>
      <c r="I2579" s="59"/>
    </row>
    <row r="2580">
      <c r="A2580" s="59"/>
      <c r="B2580" s="59"/>
      <c r="C2580" s="59"/>
      <c r="D2580" s="59"/>
      <c r="E2580" s="59"/>
      <c r="F2580" s="59"/>
      <c r="G2580" s="59"/>
      <c r="H2580" s="82"/>
      <c r="I2580" s="59"/>
    </row>
    <row r="2581">
      <c r="A2581" s="59"/>
      <c r="B2581" s="59"/>
      <c r="C2581" s="59"/>
      <c r="D2581" s="59"/>
      <c r="E2581" s="59"/>
      <c r="F2581" s="59"/>
      <c r="G2581" s="59"/>
      <c r="H2581" s="82"/>
      <c r="I2581" s="59"/>
    </row>
    <row r="2582">
      <c r="A2582" s="59"/>
      <c r="B2582" s="59"/>
      <c r="C2582" s="59"/>
      <c r="D2582" s="59"/>
      <c r="E2582" s="59"/>
      <c r="F2582" s="59"/>
      <c r="G2582" s="59"/>
      <c r="H2582" s="82"/>
      <c r="I2582" s="59"/>
    </row>
    <row r="2583">
      <c r="A2583" s="59"/>
      <c r="B2583" s="59"/>
      <c r="C2583" s="59"/>
      <c r="D2583" s="59"/>
      <c r="E2583" s="59"/>
      <c r="F2583" s="59"/>
      <c r="G2583" s="59"/>
      <c r="H2583" s="82"/>
      <c r="I2583" s="59"/>
    </row>
    <row r="2584">
      <c r="A2584" s="59"/>
      <c r="B2584" s="59"/>
      <c r="C2584" s="59"/>
      <c r="D2584" s="59"/>
      <c r="E2584" s="59"/>
      <c r="F2584" s="59"/>
      <c r="G2584" s="59"/>
      <c r="H2584" s="82"/>
      <c r="I2584" s="59"/>
    </row>
    <row r="2585">
      <c r="A2585" s="59"/>
      <c r="B2585" s="59"/>
      <c r="C2585" s="59"/>
      <c r="D2585" s="59"/>
      <c r="E2585" s="59"/>
      <c r="F2585" s="59"/>
      <c r="G2585" s="59"/>
      <c r="H2585" s="82"/>
      <c r="I2585" s="59"/>
    </row>
    <row r="2586">
      <c r="A2586" s="59"/>
      <c r="B2586" s="59"/>
      <c r="C2586" s="59"/>
      <c r="D2586" s="59"/>
      <c r="E2586" s="59"/>
      <c r="F2586" s="59"/>
      <c r="G2586" s="59"/>
      <c r="H2586" s="82"/>
      <c r="I2586" s="59"/>
    </row>
    <row r="2587">
      <c r="A2587" s="59"/>
      <c r="B2587" s="59"/>
      <c r="C2587" s="59"/>
      <c r="D2587" s="59"/>
      <c r="E2587" s="59"/>
      <c r="F2587" s="59"/>
      <c r="G2587" s="59"/>
      <c r="H2587" s="82"/>
      <c r="I2587" s="59"/>
    </row>
    <row r="2588">
      <c r="A2588" s="59"/>
      <c r="B2588" s="59"/>
      <c r="C2588" s="59"/>
      <c r="D2588" s="59"/>
      <c r="E2588" s="59"/>
      <c r="F2588" s="59"/>
      <c r="G2588" s="59"/>
      <c r="H2588" s="82"/>
      <c r="I2588" s="59"/>
    </row>
    <row r="2589">
      <c r="A2589" s="59"/>
      <c r="B2589" s="59"/>
      <c r="C2589" s="59"/>
      <c r="D2589" s="59"/>
      <c r="E2589" s="59"/>
      <c r="F2589" s="59"/>
      <c r="G2589" s="59"/>
      <c r="H2589" s="82"/>
      <c r="I2589" s="59"/>
    </row>
    <row r="2590">
      <c r="A2590" s="59"/>
      <c r="B2590" s="59"/>
      <c r="C2590" s="59"/>
      <c r="D2590" s="59"/>
      <c r="E2590" s="59"/>
      <c r="F2590" s="59"/>
      <c r="G2590" s="59"/>
      <c r="H2590" s="82"/>
      <c r="I2590" s="59"/>
    </row>
    <row r="2591">
      <c r="A2591" s="59"/>
      <c r="B2591" s="59"/>
      <c r="C2591" s="59"/>
      <c r="D2591" s="59"/>
      <c r="E2591" s="59"/>
      <c r="F2591" s="59"/>
      <c r="G2591" s="59"/>
      <c r="H2591" s="82"/>
      <c r="I2591" s="59"/>
    </row>
    <row r="2592">
      <c r="A2592" s="59"/>
      <c r="B2592" s="59"/>
      <c r="C2592" s="59"/>
      <c r="D2592" s="59"/>
      <c r="E2592" s="59"/>
      <c r="F2592" s="59"/>
      <c r="G2592" s="59"/>
      <c r="H2592" s="82"/>
      <c r="I2592" s="59"/>
    </row>
    <row r="2593">
      <c r="A2593" s="59"/>
      <c r="B2593" s="59"/>
      <c r="C2593" s="59"/>
      <c r="D2593" s="59"/>
      <c r="E2593" s="59"/>
      <c r="F2593" s="59"/>
      <c r="G2593" s="59"/>
      <c r="H2593" s="82"/>
      <c r="I2593" s="59"/>
    </row>
    <row r="2594">
      <c r="A2594" s="59"/>
      <c r="B2594" s="59"/>
      <c r="C2594" s="59"/>
      <c r="D2594" s="59"/>
      <c r="E2594" s="59"/>
      <c r="F2594" s="59"/>
      <c r="G2594" s="59"/>
      <c r="H2594" s="82"/>
      <c r="I2594" s="59"/>
    </row>
    <row r="2595">
      <c r="A2595" s="59"/>
      <c r="B2595" s="59"/>
      <c r="C2595" s="59"/>
      <c r="D2595" s="59"/>
      <c r="E2595" s="59"/>
      <c r="F2595" s="59"/>
      <c r="G2595" s="59"/>
      <c r="H2595" s="82"/>
      <c r="I2595" s="59"/>
    </row>
    <row r="2596">
      <c r="A2596" s="59"/>
      <c r="B2596" s="59"/>
      <c r="C2596" s="59"/>
      <c r="D2596" s="59"/>
      <c r="E2596" s="59"/>
      <c r="F2596" s="59"/>
      <c r="G2596" s="59"/>
      <c r="H2596" s="82"/>
      <c r="I2596" s="59"/>
    </row>
    <row r="2597">
      <c r="A2597" s="59"/>
      <c r="B2597" s="59"/>
      <c r="C2597" s="59"/>
      <c r="D2597" s="59"/>
      <c r="E2597" s="59"/>
      <c r="F2597" s="59"/>
      <c r="G2597" s="59"/>
      <c r="H2597" s="82"/>
      <c r="I2597" s="59"/>
    </row>
    <row r="2598">
      <c r="A2598" s="59"/>
      <c r="B2598" s="59"/>
      <c r="C2598" s="59"/>
      <c r="D2598" s="59"/>
      <c r="E2598" s="59"/>
      <c r="F2598" s="59"/>
      <c r="G2598" s="59"/>
      <c r="H2598" s="82"/>
      <c r="I2598" s="59"/>
    </row>
    <row r="2599">
      <c r="A2599" s="59"/>
      <c r="B2599" s="59"/>
      <c r="C2599" s="59"/>
      <c r="D2599" s="59"/>
      <c r="E2599" s="59"/>
      <c r="F2599" s="59"/>
      <c r="G2599" s="59"/>
      <c r="H2599" s="82"/>
      <c r="I2599" s="59"/>
    </row>
    <row r="2600">
      <c r="A2600" s="59"/>
      <c r="B2600" s="59"/>
      <c r="C2600" s="59"/>
      <c r="D2600" s="59"/>
      <c r="E2600" s="59"/>
      <c r="F2600" s="59"/>
      <c r="G2600" s="59"/>
      <c r="H2600" s="82"/>
      <c r="I2600" s="59"/>
    </row>
    <row r="2601">
      <c r="A2601" s="59"/>
      <c r="B2601" s="59"/>
      <c r="C2601" s="59"/>
      <c r="D2601" s="59"/>
      <c r="E2601" s="59"/>
      <c r="F2601" s="59"/>
      <c r="G2601" s="59"/>
      <c r="H2601" s="82"/>
      <c r="I2601" s="59"/>
    </row>
    <row r="2602">
      <c r="A2602" s="59"/>
      <c r="B2602" s="59"/>
      <c r="C2602" s="59"/>
      <c r="D2602" s="59"/>
      <c r="E2602" s="59"/>
      <c r="F2602" s="59"/>
      <c r="G2602" s="59"/>
      <c r="H2602" s="82"/>
      <c r="I2602" s="59"/>
    </row>
    <row r="2603">
      <c r="A2603" s="59"/>
      <c r="B2603" s="59"/>
      <c r="C2603" s="59"/>
      <c r="D2603" s="59"/>
      <c r="E2603" s="59"/>
      <c r="F2603" s="59"/>
      <c r="G2603" s="59"/>
      <c r="H2603" s="82"/>
      <c r="I2603" s="59"/>
    </row>
    <row r="2604">
      <c r="A2604" s="59"/>
      <c r="B2604" s="59"/>
      <c r="C2604" s="59"/>
      <c r="D2604" s="59"/>
      <c r="E2604" s="59"/>
      <c r="F2604" s="59"/>
      <c r="G2604" s="59"/>
      <c r="H2604" s="82"/>
      <c r="I2604" s="59"/>
    </row>
    <row r="2605">
      <c r="A2605" s="59"/>
      <c r="B2605" s="59"/>
      <c r="C2605" s="59"/>
      <c r="D2605" s="59"/>
      <c r="E2605" s="59"/>
      <c r="F2605" s="59"/>
      <c r="G2605" s="59"/>
      <c r="H2605" s="82"/>
      <c r="I2605" s="59"/>
    </row>
    <row r="2606">
      <c r="A2606" s="59"/>
      <c r="B2606" s="59"/>
      <c r="C2606" s="59"/>
      <c r="D2606" s="59"/>
      <c r="E2606" s="59"/>
      <c r="F2606" s="59"/>
      <c r="G2606" s="59"/>
      <c r="H2606" s="82"/>
      <c r="I2606" s="59"/>
    </row>
    <row r="2607">
      <c r="A2607" s="59"/>
      <c r="B2607" s="59"/>
      <c r="C2607" s="59"/>
      <c r="D2607" s="59"/>
      <c r="E2607" s="59"/>
      <c r="F2607" s="59"/>
      <c r="G2607" s="59"/>
      <c r="H2607" s="82"/>
      <c r="I2607" s="59"/>
    </row>
    <row r="2608">
      <c r="A2608" s="59"/>
      <c r="B2608" s="59"/>
      <c r="C2608" s="59"/>
      <c r="D2608" s="59"/>
      <c r="E2608" s="59"/>
      <c r="F2608" s="59"/>
      <c r="G2608" s="59"/>
      <c r="H2608" s="82"/>
      <c r="I2608" s="59"/>
    </row>
    <row r="2609">
      <c r="A2609" s="59"/>
      <c r="B2609" s="59"/>
      <c r="C2609" s="59"/>
      <c r="D2609" s="59"/>
      <c r="E2609" s="59"/>
      <c r="F2609" s="59"/>
      <c r="G2609" s="59"/>
      <c r="H2609" s="82"/>
      <c r="I2609" s="59"/>
    </row>
    <row r="2610">
      <c r="A2610" s="59"/>
      <c r="B2610" s="59"/>
      <c r="C2610" s="59"/>
      <c r="D2610" s="59"/>
      <c r="E2610" s="59"/>
      <c r="F2610" s="59"/>
      <c r="G2610" s="59"/>
      <c r="H2610" s="82"/>
      <c r="I2610" s="59"/>
    </row>
    <row r="2611">
      <c r="A2611" s="59"/>
      <c r="B2611" s="59"/>
      <c r="C2611" s="59"/>
      <c r="D2611" s="59"/>
      <c r="E2611" s="59"/>
      <c r="F2611" s="59"/>
      <c r="G2611" s="59"/>
      <c r="H2611" s="82"/>
      <c r="I2611" s="59"/>
    </row>
    <row r="2612">
      <c r="A2612" s="59"/>
      <c r="B2612" s="59"/>
      <c r="C2612" s="59"/>
      <c r="D2612" s="59"/>
      <c r="E2612" s="59"/>
      <c r="F2612" s="59"/>
      <c r="G2612" s="59"/>
      <c r="H2612" s="82"/>
      <c r="I2612" s="59"/>
    </row>
    <row r="2613">
      <c r="A2613" s="59"/>
      <c r="B2613" s="59"/>
      <c r="C2613" s="59"/>
      <c r="D2613" s="59"/>
      <c r="E2613" s="59"/>
      <c r="F2613" s="59"/>
      <c r="G2613" s="59"/>
      <c r="H2613" s="82"/>
      <c r="I2613" s="59"/>
    </row>
    <row r="2614">
      <c r="A2614" s="59"/>
      <c r="B2614" s="59"/>
      <c r="C2614" s="59"/>
      <c r="D2614" s="59"/>
      <c r="E2614" s="59"/>
      <c r="F2614" s="59"/>
      <c r="G2614" s="59"/>
      <c r="H2614" s="82"/>
      <c r="I2614" s="59"/>
    </row>
    <row r="2615">
      <c r="A2615" s="59"/>
      <c r="B2615" s="59"/>
      <c r="C2615" s="59"/>
      <c r="D2615" s="59"/>
      <c r="E2615" s="59"/>
      <c r="F2615" s="59"/>
      <c r="G2615" s="59"/>
      <c r="H2615" s="82"/>
      <c r="I2615" s="59"/>
    </row>
    <row r="2616">
      <c r="A2616" s="59"/>
      <c r="B2616" s="59"/>
      <c r="C2616" s="59"/>
      <c r="D2616" s="59"/>
      <c r="E2616" s="59"/>
      <c r="F2616" s="59"/>
      <c r="G2616" s="59"/>
      <c r="H2616" s="82"/>
      <c r="I2616" s="59"/>
    </row>
    <row r="2617">
      <c r="A2617" s="59"/>
      <c r="B2617" s="59"/>
      <c r="C2617" s="59"/>
      <c r="D2617" s="59"/>
      <c r="E2617" s="59"/>
      <c r="F2617" s="59"/>
      <c r="G2617" s="59"/>
      <c r="H2617" s="82"/>
      <c r="I2617" s="59"/>
    </row>
    <row r="2618">
      <c r="A2618" s="59"/>
      <c r="B2618" s="59"/>
      <c r="C2618" s="59"/>
      <c r="D2618" s="59"/>
      <c r="E2618" s="59"/>
      <c r="F2618" s="59"/>
      <c r="G2618" s="59"/>
      <c r="H2618" s="82"/>
      <c r="I2618" s="59"/>
    </row>
    <row r="2619">
      <c r="A2619" s="59"/>
      <c r="B2619" s="59"/>
      <c r="C2619" s="59"/>
      <c r="D2619" s="59"/>
      <c r="E2619" s="59"/>
      <c r="F2619" s="59"/>
      <c r="G2619" s="59"/>
      <c r="H2619" s="82"/>
      <c r="I2619" s="59"/>
    </row>
    <row r="2620">
      <c r="A2620" s="59"/>
      <c r="B2620" s="59"/>
      <c r="C2620" s="59"/>
      <c r="D2620" s="59"/>
      <c r="E2620" s="59"/>
      <c r="F2620" s="59"/>
      <c r="G2620" s="59"/>
      <c r="H2620" s="82"/>
      <c r="I2620" s="59"/>
    </row>
    <row r="2621">
      <c r="A2621" s="59"/>
      <c r="B2621" s="59"/>
      <c r="C2621" s="59"/>
      <c r="D2621" s="59"/>
      <c r="E2621" s="59"/>
      <c r="F2621" s="59"/>
      <c r="G2621" s="59"/>
      <c r="H2621" s="82"/>
      <c r="I2621" s="59"/>
    </row>
    <row r="2622">
      <c r="A2622" s="59"/>
      <c r="B2622" s="59"/>
      <c r="C2622" s="59"/>
      <c r="D2622" s="59"/>
      <c r="E2622" s="59"/>
      <c r="F2622" s="59"/>
      <c r="G2622" s="59"/>
      <c r="H2622" s="82"/>
      <c r="I2622" s="59"/>
    </row>
    <row r="2623">
      <c r="A2623" s="59"/>
      <c r="B2623" s="59"/>
      <c r="C2623" s="59"/>
      <c r="D2623" s="59"/>
      <c r="E2623" s="59"/>
      <c r="F2623" s="59"/>
      <c r="G2623" s="59"/>
      <c r="H2623" s="82"/>
      <c r="I2623" s="59"/>
    </row>
    <row r="2624">
      <c r="A2624" s="59"/>
      <c r="B2624" s="59"/>
      <c r="C2624" s="59"/>
      <c r="D2624" s="59"/>
      <c r="E2624" s="59"/>
      <c r="F2624" s="59"/>
      <c r="G2624" s="59"/>
      <c r="H2624" s="82"/>
      <c r="I2624" s="59"/>
    </row>
    <row r="2625">
      <c r="A2625" s="59"/>
      <c r="B2625" s="59"/>
      <c r="C2625" s="59"/>
      <c r="D2625" s="59"/>
      <c r="E2625" s="59"/>
      <c r="F2625" s="59"/>
      <c r="G2625" s="59"/>
      <c r="H2625" s="82"/>
      <c r="I2625" s="59"/>
    </row>
    <row r="2626">
      <c r="A2626" s="59"/>
      <c r="B2626" s="59"/>
      <c r="C2626" s="59"/>
      <c r="D2626" s="59"/>
      <c r="E2626" s="59"/>
      <c r="F2626" s="59"/>
      <c r="G2626" s="59"/>
      <c r="H2626" s="82"/>
      <c r="I2626" s="59"/>
    </row>
    <row r="2627">
      <c r="A2627" s="59"/>
      <c r="B2627" s="59"/>
      <c r="C2627" s="59"/>
      <c r="D2627" s="59"/>
      <c r="E2627" s="59"/>
      <c r="F2627" s="59"/>
      <c r="G2627" s="59"/>
      <c r="H2627" s="82"/>
      <c r="I2627" s="59"/>
    </row>
    <row r="2628">
      <c r="A2628" s="59"/>
      <c r="B2628" s="59"/>
      <c r="C2628" s="59"/>
      <c r="D2628" s="59"/>
      <c r="E2628" s="59"/>
      <c r="F2628" s="59"/>
      <c r="G2628" s="59"/>
      <c r="H2628" s="82"/>
      <c r="I2628" s="59"/>
    </row>
    <row r="2629">
      <c r="A2629" s="59"/>
      <c r="B2629" s="59"/>
      <c r="C2629" s="59"/>
      <c r="D2629" s="59"/>
      <c r="E2629" s="59"/>
      <c r="F2629" s="59"/>
      <c r="G2629" s="59"/>
      <c r="H2629" s="82"/>
      <c r="I2629" s="59"/>
    </row>
    <row r="2630">
      <c r="A2630" s="59"/>
      <c r="B2630" s="59"/>
      <c r="C2630" s="59"/>
      <c r="D2630" s="59"/>
      <c r="E2630" s="59"/>
      <c r="F2630" s="59"/>
      <c r="G2630" s="59"/>
      <c r="H2630" s="82"/>
      <c r="I2630" s="59"/>
    </row>
    <row r="2631">
      <c r="A2631" s="59"/>
      <c r="B2631" s="59"/>
      <c r="C2631" s="59"/>
      <c r="D2631" s="59"/>
      <c r="E2631" s="59"/>
      <c r="F2631" s="59"/>
      <c r="G2631" s="59"/>
      <c r="H2631" s="82"/>
      <c r="I2631" s="59"/>
    </row>
    <row r="2632">
      <c r="A2632" s="59"/>
      <c r="B2632" s="59"/>
      <c r="C2632" s="59"/>
      <c r="D2632" s="59"/>
      <c r="E2632" s="59"/>
      <c r="F2632" s="59"/>
      <c r="G2632" s="59"/>
      <c r="H2632" s="82"/>
      <c r="I2632" s="59"/>
    </row>
    <row r="2633">
      <c r="A2633" s="59"/>
      <c r="B2633" s="59"/>
      <c r="C2633" s="59"/>
      <c r="D2633" s="59"/>
      <c r="E2633" s="59"/>
      <c r="F2633" s="59"/>
      <c r="G2633" s="59"/>
      <c r="H2633" s="82"/>
      <c r="I2633" s="59"/>
    </row>
    <row r="2634">
      <c r="A2634" s="59"/>
      <c r="B2634" s="59"/>
      <c r="C2634" s="59"/>
      <c r="D2634" s="59"/>
      <c r="E2634" s="59"/>
      <c r="F2634" s="59"/>
      <c r="G2634" s="59"/>
      <c r="H2634" s="82"/>
      <c r="I2634" s="59"/>
    </row>
    <row r="2635">
      <c r="A2635" s="59"/>
      <c r="B2635" s="59"/>
      <c r="C2635" s="59"/>
      <c r="D2635" s="59"/>
      <c r="E2635" s="59"/>
      <c r="F2635" s="59"/>
      <c r="G2635" s="59"/>
      <c r="H2635" s="82"/>
      <c r="I2635" s="59"/>
    </row>
    <row r="2636">
      <c r="A2636" s="59"/>
      <c r="B2636" s="59"/>
      <c r="C2636" s="59"/>
      <c r="D2636" s="59"/>
      <c r="E2636" s="59"/>
      <c r="F2636" s="59"/>
      <c r="G2636" s="59"/>
      <c r="H2636" s="82"/>
      <c r="I2636" s="59"/>
    </row>
    <row r="2637">
      <c r="A2637" s="59"/>
      <c r="B2637" s="59"/>
      <c r="C2637" s="59"/>
      <c r="D2637" s="59"/>
      <c r="E2637" s="59"/>
      <c r="F2637" s="59"/>
      <c r="G2637" s="59"/>
      <c r="H2637" s="82"/>
      <c r="I2637" s="59"/>
    </row>
    <row r="2638">
      <c r="A2638" s="59"/>
      <c r="B2638" s="59"/>
      <c r="C2638" s="59"/>
      <c r="D2638" s="59"/>
      <c r="E2638" s="59"/>
      <c r="F2638" s="59"/>
      <c r="G2638" s="59"/>
      <c r="H2638" s="82"/>
      <c r="I2638" s="59"/>
    </row>
    <row r="2639">
      <c r="A2639" s="59"/>
      <c r="B2639" s="59"/>
      <c r="C2639" s="59"/>
      <c r="D2639" s="59"/>
      <c r="E2639" s="59"/>
      <c r="F2639" s="59"/>
      <c r="G2639" s="59"/>
      <c r="H2639" s="82"/>
      <c r="I2639" s="59"/>
    </row>
    <row r="2640">
      <c r="A2640" s="59"/>
      <c r="B2640" s="59"/>
      <c r="C2640" s="59"/>
      <c r="D2640" s="59"/>
      <c r="E2640" s="59"/>
      <c r="F2640" s="59"/>
      <c r="G2640" s="59"/>
      <c r="H2640" s="82"/>
      <c r="I2640" s="59"/>
    </row>
    <row r="2641">
      <c r="A2641" s="59"/>
      <c r="B2641" s="59"/>
      <c r="C2641" s="59"/>
      <c r="D2641" s="59"/>
      <c r="E2641" s="59"/>
      <c r="F2641" s="59"/>
      <c r="G2641" s="59"/>
      <c r="H2641" s="82"/>
      <c r="I2641" s="59"/>
    </row>
    <row r="2642">
      <c r="A2642" s="59"/>
      <c r="B2642" s="59"/>
      <c r="C2642" s="59"/>
      <c r="D2642" s="59"/>
      <c r="E2642" s="59"/>
      <c r="F2642" s="59"/>
      <c r="G2642" s="59"/>
      <c r="H2642" s="82"/>
      <c r="I2642" s="59"/>
    </row>
    <row r="2643">
      <c r="A2643" s="59"/>
      <c r="B2643" s="59"/>
      <c r="C2643" s="59"/>
      <c r="D2643" s="59"/>
      <c r="E2643" s="59"/>
      <c r="F2643" s="59"/>
      <c r="G2643" s="59"/>
      <c r="H2643" s="82"/>
      <c r="I2643" s="59"/>
    </row>
    <row r="2644">
      <c r="A2644" s="59"/>
      <c r="B2644" s="59"/>
      <c r="C2644" s="59"/>
      <c r="D2644" s="59"/>
      <c r="E2644" s="59"/>
      <c r="F2644" s="59"/>
      <c r="G2644" s="59"/>
      <c r="H2644" s="82"/>
      <c r="I2644" s="59"/>
    </row>
    <row r="2645">
      <c r="A2645" s="59"/>
      <c r="B2645" s="59"/>
      <c r="C2645" s="59"/>
      <c r="D2645" s="59"/>
      <c r="E2645" s="59"/>
      <c r="F2645" s="59"/>
      <c r="G2645" s="59"/>
      <c r="H2645" s="82"/>
      <c r="I2645" s="59"/>
    </row>
    <row r="2646">
      <c r="A2646" s="59"/>
      <c r="B2646" s="59"/>
      <c r="C2646" s="59"/>
      <c r="D2646" s="59"/>
      <c r="E2646" s="59"/>
      <c r="F2646" s="59"/>
      <c r="G2646" s="59"/>
      <c r="H2646" s="82"/>
      <c r="I2646" s="59"/>
    </row>
    <row r="2647">
      <c r="A2647" s="59"/>
      <c r="B2647" s="59"/>
      <c r="C2647" s="59"/>
      <c r="D2647" s="59"/>
      <c r="E2647" s="59"/>
      <c r="F2647" s="59"/>
      <c r="G2647" s="59"/>
      <c r="H2647" s="82"/>
      <c r="I2647" s="59"/>
    </row>
    <row r="2648">
      <c r="A2648" s="59"/>
      <c r="B2648" s="59"/>
      <c r="C2648" s="59"/>
      <c r="D2648" s="59"/>
      <c r="E2648" s="59"/>
      <c r="F2648" s="59"/>
      <c r="G2648" s="59"/>
      <c r="H2648" s="82"/>
      <c r="I2648" s="59"/>
    </row>
    <row r="2649">
      <c r="A2649" s="59"/>
      <c r="B2649" s="59"/>
      <c r="C2649" s="59"/>
      <c r="D2649" s="59"/>
      <c r="E2649" s="59"/>
      <c r="F2649" s="59"/>
      <c r="G2649" s="59"/>
      <c r="H2649" s="82"/>
      <c r="I2649" s="59"/>
    </row>
    <row r="2650">
      <c r="A2650" s="59"/>
      <c r="B2650" s="59"/>
      <c r="C2650" s="59"/>
      <c r="D2650" s="59"/>
      <c r="E2650" s="59"/>
      <c r="F2650" s="59"/>
      <c r="G2650" s="59"/>
      <c r="H2650" s="82"/>
      <c r="I2650" s="59"/>
    </row>
    <row r="2651">
      <c r="A2651" s="59"/>
      <c r="B2651" s="59"/>
      <c r="C2651" s="59"/>
      <c r="D2651" s="59"/>
      <c r="E2651" s="59"/>
      <c r="F2651" s="59"/>
      <c r="G2651" s="59"/>
      <c r="H2651" s="82"/>
      <c r="I2651" s="59"/>
    </row>
    <row r="2652">
      <c r="A2652" s="59"/>
      <c r="B2652" s="59"/>
      <c r="C2652" s="59"/>
      <c r="D2652" s="59"/>
      <c r="E2652" s="59"/>
      <c r="F2652" s="59"/>
      <c r="G2652" s="59"/>
      <c r="H2652" s="82"/>
      <c r="I2652" s="59"/>
    </row>
    <row r="2653">
      <c r="A2653" s="59"/>
      <c r="B2653" s="59"/>
      <c r="C2653" s="59"/>
      <c r="D2653" s="59"/>
      <c r="E2653" s="59"/>
      <c r="F2653" s="59"/>
      <c r="G2653" s="59"/>
      <c r="H2653" s="82"/>
      <c r="I2653" s="59"/>
    </row>
    <row r="2654">
      <c r="A2654" s="59"/>
      <c r="B2654" s="59"/>
      <c r="C2654" s="59"/>
      <c r="D2654" s="59"/>
      <c r="E2654" s="59"/>
      <c r="F2654" s="59"/>
      <c r="G2654" s="59"/>
      <c r="H2654" s="82"/>
      <c r="I2654" s="59"/>
    </row>
    <row r="2655">
      <c r="A2655" s="59"/>
      <c r="B2655" s="59"/>
      <c r="C2655" s="59"/>
      <c r="D2655" s="59"/>
      <c r="E2655" s="59"/>
      <c r="F2655" s="59"/>
      <c r="G2655" s="59"/>
      <c r="H2655" s="82"/>
      <c r="I2655" s="59"/>
    </row>
    <row r="2656">
      <c r="A2656" s="59"/>
      <c r="B2656" s="59"/>
      <c r="C2656" s="59"/>
      <c r="D2656" s="59"/>
      <c r="E2656" s="59"/>
      <c r="F2656" s="59"/>
      <c r="G2656" s="59"/>
      <c r="H2656" s="82"/>
      <c r="I2656" s="59"/>
    </row>
    <row r="2657">
      <c r="A2657" s="59"/>
      <c r="B2657" s="59"/>
      <c r="C2657" s="59"/>
      <c r="D2657" s="59"/>
      <c r="E2657" s="59"/>
      <c r="F2657" s="59"/>
      <c r="G2657" s="59"/>
      <c r="H2657" s="82"/>
      <c r="I2657" s="59"/>
    </row>
    <row r="2658">
      <c r="A2658" s="59"/>
      <c r="B2658" s="59"/>
      <c r="C2658" s="59"/>
      <c r="D2658" s="59"/>
      <c r="E2658" s="59"/>
      <c r="F2658" s="59"/>
      <c r="G2658" s="59"/>
      <c r="H2658" s="82"/>
      <c r="I2658" s="59"/>
    </row>
    <row r="2659">
      <c r="A2659" s="59"/>
      <c r="B2659" s="59"/>
      <c r="C2659" s="59"/>
      <c r="D2659" s="59"/>
      <c r="E2659" s="59"/>
      <c r="F2659" s="59"/>
      <c r="G2659" s="59"/>
      <c r="H2659" s="82"/>
      <c r="I2659" s="59"/>
    </row>
    <row r="2660">
      <c r="A2660" s="59"/>
      <c r="B2660" s="59"/>
      <c r="C2660" s="59"/>
      <c r="D2660" s="59"/>
      <c r="E2660" s="59"/>
      <c r="F2660" s="59"/>
      <c r="G2660" s="59"/>
      <c r="H2660" s="82"/>
      <c r="I2660" s="59"/>
    </row>
    <row r="2661">
      <c r="A2661" s="59"/>
      <c r="B2661" s="59"/>
      <c r="C2661" s="59"/>
      <c r="D2661" s="59"/>
      <c r="E2661" s="59"/>
      <c r="F2661" s="59"/>
      <c r="G2661" s="59"/>
      <c r="H2661" s="82"/>
      <c r="I2661" s="59"/>
    </row>
    <row r="2662">
      <c r="A2662" s="59"/>
      <c r="B2662" s="59"/>
      <c r="C2662" s="59"/>
      <c r="D2662" s="59"/>
      <c r="E2662" s="59"/>
      <c r="F2662" s="59"/>
      <c r="G2662" s="59"/>
      <c r="H2662" s="82"/>
      <c r="I2662" s="59"/>
    </row>
    <row r="2663">
      <c r="A2663" s="59"/>
      <c r="B2663" s="59"/>
      <c r="C2663" s="59"/>
      <c r="D2663" s="59"/>
      <c r="E2663" s="59"/>
      <c r="F2663" s="59"/>
      <c r="G2663" s="59"/>
      <c r="H2663" s="82"/>
      <c r="I2663" s="59"/>
    </row>
    <row r="2664">
      <c r="A2664" s="59"/>
      <c r="B2664" s="59"/>
      <c r="C2664" s="59"/>
      <c r="D2664" s="59"/>
      <c r="E2664" s="59"/>
      <c r="F2664" s="59"/>
      <c r="G2664" s="59"/>
      <c r="H2664" s="82"/>
      <c r="I2664" s="59"/>
    </row>
    <row r="2665">
      <c r="A2665" s="59"/>
      <c r="B2665" s="59"/>
      <c r="C2665" s="59"/>
      <c r="D2665" s="59"/>
      <c r="E2665" s="59"/>
      <c r="F2665" s="59"/>
      <c r="G2665" s="59"/>
      <c r="H2665" s="82"/>
      <c r="I2665" s="59"/>
    </row>
    <row r="2666">
      <c r="A2666" s="59"/>
      <c r="B2666" s="59"/>
      <c r="C2666" s="59"/>
      <c r="D2666" s="59"/>
      <c r="E2666" s="59"/>
      <c r="F2666" s="59"/>
      <c r="G2666" s="59"/>
      <c r="H2666" s="82"/>
      <c r="I2666" s="59"/>
    </row>
    <row r="2667">
      <c r="A2667" s="59"/>
      <c r="B2667" s="59"/>
      <c r="C2667" s="59"/>
      <c r="D2667" s="59"/>
      <c r="E2667" s="59"/>
      <c r="F2667" s="59"/>
      <c r="G2667" s="59"/>
      <c r="H2667" s="82"/>
      <c r="I2667" s="59"/>
    </row>
    <row r="2668">
      <c r="A2668" s="59"/>
      <c r="B2668" s="59"/>
      <c r="C2668" s="59"/>
      <c r="D2668" s="59"/>
      <c r="E2668" s="59"/>
      <c r="F2668" s="59"/>
      <c r="G2668" s="59"/>
      <c r="H2668" s="82"/>
      <c r="I2668" s="59"/>
    </row>
    <row r="2669">
      <c r="A2669" s="59"/>
      <c r="B2669" s="59"/>
      <c r="C2669" s="59"/>
      <c r="D2669" s="59"/>
      <c r="E2669" s="59"/>
      <c r="F2669" s="59"/>
      <c r="G2669" s="59"/>
      <c r="H2669" s="82"/>
      <c r="I2669" s="59"/>
    </row>
    <row r="2670">
      <c r="A2670" s="59"/>
      <c r="B2670" s="59"/>
      <c r="C2670" s="59"/>
      <c r="D2670" s="59"/>
      <c r="E2670" s="59"/>
      <c r="F2670" s="59"/>
      <c r="G2670" s="59"/>
      <c r="H2670" s="82"/>
      <c r="I2670" s="59"/>
    </row>
    <row r="2671">
      <c r="A2671" s="59"/>
      <c r="B2671" s="59"/>
      <c r="C2671" s="59"/>
      <c r="D2671" s="59"/>
      <c r="E2671" s="59"/>
      <c r="F2671" s="59"/>
      <c r="G2671" s="59"/>
      <c r="H2671" s="82"/>
      <c r="I2671" s="59"/>
    </row>
    <row r="2672">
      <c r="A2672" s="59"/>
      <c r="B2672" s="59"/>
      <c r="C2672" s="59"/>
      <c r="D2672" s="59"/>
      <c r="E2672" s="59"/>
      <c r="F2672" s="59"/>
      <c r="G2672" s="59"/>
      <c r="H2672" s="82"/>
      <c r="I2672" s="59"/>
    </row>
    <row r="2673">
      <c r="A2673" s="59"/>
      <c r="B2673" s="59"/>
      <c r="C2673" s="59"/>
      <c r="D2673" s="59"/>
      <c r="E2673" s="59"/>
      <c r="F2673" s="59"/>
      <c r="G2673" s="59"/>
      <c r="H2673" s="82"/>
      <c r="I2673" s="59"/>
    </row>
    <row r="2674">
      <c r="A2674" s="59"/>
      <c r="B2674" s="59"/>
      <c r="C2674" s="59"/>
      <c r="D2674" s="59"/>
      <c r="E2674" s="59"/>
      <c r="F2674" s="59"/>
      <c r="G2674" s="59"/>
      <c r="H2674" s="82"/>
      <c r="I2674" s="59"/>
    </row>
    <row r="2675">
      <c r="A2675" s="59"/>
      <c r="B2675" s="59"/>
      <c r="C2675" s="59"/>
      <c r="D2675" s="59"/>
      <c r="E2675" s="59"/>
      <c r="F2675" s="59"/>
      <c r="G2675" s="59"/>
      <c r="H2675" s="82"/>
      <c r="I2675" s="59"/>
    </row>
    <row r="2676">
      <c r="A2676" s="59"/>
      <c r="B2676" s="59"/>
      <c r="C2676" s="59"/>
      <c r="D2676" s="59"/>
      <c r="E2676" s="59"/>
      <c r="F2676" s="59"/>
      <c r="G2676" s="59"/>
      <c r="H2676" s="82"/>
      <c r="I2676" s="59"/>
    </row>
    <row r="2677">
      <c r="A2677" s="59"/>
      <c r="B2677" s="59"/>
      <c r="C2677" s="59"/>
      <c r="D2677" s="59"/>
      <c r="E2677" s="59"/>
      <c r="F2677" s="59"/>
      <c r="G2677" s="59"/>
      <c r="H2677" s="82"/>
      <c r="I2677" s="59"/>
    </row>
    <row r="2678">
      <c r="A2678" s="59"/>
      <c r="B2678" s="59"/>
      <c r="C2678" s="59"/>
      <c r="D2678" s="59"/>
      <c r="E2678" s="59"/>
      <c r="F2678" s="59"/>
      <c r="G2678" s="59"/>
      <c r="H2678" s="82"/>
      <c r="I2678" s="59"/>
    </row>
    <row r="2679">
      <c r="A2679" s="59"/>
      <c r="B2679" s="59"/>
      <c r="C2679" s="59"/>
      <c r="D2679" s="59"/>
      <c r="E2679" s="59"/>
      <c r="F2679" s="59"/>
      <c r="G2679" s="59"/>
      <c r="H2679" s="82"/>
      <c r="I2679" s="59"/>
    </row>
    <row r="2680">
      <c r="A2680" s="59"/>
      <c r="B2680" s="59"/>
      <c r="C2680" s="59"/>
      <c r="D2680" s="59"/>
      <c r="E2680" s="59"/>
      <c r="F2680" s="59"/>
      <c r="G2680" s="59"/>
      <c r="H2680" s="82"/>
      <c r="I2680" s="59"/>
    </row>
    <row r="2681">
      <c r="A2681" s="59"/>
      <c r="B2681" s="59"/>
      <c r="C2681" s="59"/>
      <c r="D2681" s="59"/>
      <c r="E2681" s="59"/>
      <c r="F2681" s="59"/>
      <c r="G2681" s="59"/>
      <c r="H2681" s="82"/>
      <c r="I2681" s="59"/>
    </row>
    <row r="2682">
      <c r="A2682" s="59"/>
      <c r="B2682" s="59"/>
      <c r="C2682" s="59"/>
      <c r="D2682" s="59"/>
      <c r="E2682" s="59"/>
      <c r="F2682" s="59"/>
      <c r="G2682" s="59"/>
      <c r="H2682" s="82"/>
      <c r="I2682" s="59"/>
    </row>
    <row r="2683">
      <c r="A2683" s="59"/>
      <c r="B2683" s="59"/>
      <c r="C2683" s="59"/>
      <c r="D2683" s="59"/>
      <c r="E2683" s="59"/>
      <c r="F2683" s="59"/>
      <c r="G2683" s="59"/>
      <c r="H2683" s="82"/>
      <c r="I2683" s="59"/>
    </row>
    <row r="2684">
      <c r="A2684" s="59"/>
      <c r="B2684" s="59"/>
      <c r="C2684" s="59"/>
      <c r="D2684" s="59"/>
      <c r="E2684" s="59"/>
      <c r="F2684" s="59"/>
      <c r="G2684" s="59"/>
      <c r="H2684" s="82"/>
      <c r="I2684" s="59"/>
    </row>
    <row r="2685">
      <c r="A2685" s="59"/>
      <c r="B2685" s="59"/>
      <c r="C2685" s="59"/>
      <c r="D2685" s="59"/>
      <c r="E2685" s="59"/>
      <c r="F2685" s="59"/>
      <c r="G2685" s="59"/>
      <c r="H2685" s="82"/>
      <c r="I2685" s="59"/>
    </row>
    <row r="2686">
      <c r="A2686" s="59"/>
      <c r="B2686" s="59"/>
      <c r="C2686" s="59"/>
      <c r="D2686" s="59"/>
      <c r="E2686" s="59"/>
      <c r="F2686" s="59"/>
      <c r="G2686" s="59"/>
      <c r="H2686" s="82"/>
      <c r="I2686" s="59"/>
    </row>
    <row r="2687">
      <c r="A2687" s="59"/>
      <c r="B2687" s="59"/>
      <c r="C2687" s="59"/>
      <c r="D2687" s="59"/>
      <c r="E2687" s="59"/>
      <c r="F2687" s="59"/>
      <c r="G2687" s="59"/>
      <c r="H2687" s="82"/>
      <c r="I2687" s="59"/>
    </row>
    <row r="2688">
      <c r="A2688" s="59"/>
      <c r="B2688" s="59"/>
      <c r="C2688" s="59"/>
      <c r="D2688" s="59"/>
      <c r="E2688" s="59"/>
      <c r="F2688" s="59"/>
      <c r="G2688" s="59"/>
      <c r="H2688" s="82"/>
      <c r="I2688" s="59"/>
    </row>
    <row r="2689">
      <c r="A2689" s="59"/>
      <c r="B2689" s="59"/>
      <c r="C2689" s="59"/>
      <c r="D2689" s="59"/>
      <c r="E2689" s="59"/>
      <c r="F2689" s="59"/>
      <c r="G2689" s="59"/>
      <c r="H2689" s="82"/>
      <c r="I2689" s="59"/>
    </row>
    <row r="2690">
      <c r="A2690" s="59"/>
      <c r="B2690" s="59"/>
      <c r="C2690" s="59"/>
      <c r="D2690" s="59"/>
      <c r="E2690" s="59"/>
      <c r="F2690" s="59"/>
      <c r="G2690" s="59"/>
      <c r="H2690" s="82"/>
      <c r="I2690" s="59"/>
    </row>
    <row r="2691">
      <c r="A2691" s="59"/>
      <c r="B2691" s="59"/>
      <c r="C2691" s="59"/>
      <c r="D2691" s="59"/>
      <c r="E2691" s="59"/>
      <c r="F2691" s="59"/>
      <c r="G2691" s="59"/>
      <c r="H2691" s="82"/>
      <c r="I2691" s="59"/>
    </row>
    <row r="2692">
      <c r="A2692" s="59"/>
      <c r="B2692" s="59"/>
      <c r="C2692" s="59"/>
      <c r="D2692" s="59"/>
      <c r="E2692" s="59"/>
      <c r="F2692" s="59"/>
      <c r="G2692" s="59"/>
      <c r="H2692" s="82"/>
      <c r="I2692" s="59"/>
    </row>
    <row r="2693">
      <c r="A2693" s="59"/>
      <c r="B2693" s="59"/>
      <c r="C2693" s="59"/>
      <c r="D2693" s="59"/>
      <c r="E2693" s="59"/>
      <c r="F2693" s="59"/>
      <c r="G2693" s="59"/>
      <c r="H2693" s="82"/>
      <c r="I2693" s="59"/>
    </row>
    <row r="2694">
      <c r="A2694" s="59"/>
      <c r="B2694" s="59"/>
      <c r="C2694" s="59"/>
      <c r="D2694" s="59"/>
      <c r="E2694" s="59"/>
      <c r="F2694" s="59"/>
      <c r="G2694" s="59"/>
      <c r="H2694" s="82"/>
      <c r="I2694" s="59"/>
    </row>
    <row r="2695">
      <c r="A2695" s="59"/>
      <c r="B2695" s="59"/>
      <c r="C2695" s="59"/>
      <c r="D2695" s="59"/>
      <c r="E2695" s="59"/>
      <c r="F2695" s="59"/>
      <c r="G2695" s="59"/>
      <c r="H2695" s="82"/>
      <c r="I2695" s="59"/>
    </row>
    <row r="2696">
      <c r="A2696" s="59"/>
      <c r="B2696" s="59"/>
      <c r="C2696" s="59"/>
      <c r="D2696" s="59"/>
      <c r="E2696" s="59"/>
      <c r="F2696" s="59"/>
      <c r="G2696" s="59"/>
      <c r="H2696" s="82"/>
      <c r="I2696" s="59"/>
    </row>
    <row r="2697">
      <c r="A2697" s="59"/>
      <c r="B2697" s="59"/>
      <c r="C2697" s="59"/>
      <c r="D2697" s="59"/>
      <c r="E2697" s="59"/>
      <c r="F2697" s="59"/>
      <c r="G2697" s="59"/>
      <c r="H2697" s="82"/>
      <c r="I2697" s="59"/>
    </row>
    <row r="2698">
      <c r="A2698" s="59"/>
      <c r="B2698" s="59"/>
      <c r="C2698" s="59"/>
      <c r="D2698" s="59"/>
      <c r="E2698" s="59"/>
      <c r="F2698" s="59"/>
      <c r="G2698" s="59"/>
      <c r="H2698" s="82"/>
      <c r="I2698" s="59"/>
    </row>
    <row r="2699">
      <c r="A2699" s="59"/>
      <c r="B2699" s="59"/>
      <c r="C2699" s="59"/>
      <c r="D2699" s="59"/>
      <c r="E2699" s="59"/>
      <c r="F2699" s="59"/>
      <c r="G2699" s="59"/>
      <c r="H2699" s="82"/>
      <c r="I2699" s="59"/>
    </row>
    <row r="2700">
      <c r="A2700" s="59"/>
      <c r="B2700" s="59"/>
      <c r="C2700" s="59"/>
      <c r="D2700" s="59"/>
      <c r="E2700" s="59"/>
      <c r="F2700" s="59"/>
      <c r="G2700" s="59"/>
      <c r="H2700" s="82"/>
      <c r="I2700" s="59"/>
    </row>
    <row r="2701">
      <c r="A2701" s="59"/>
      <c r="B2701" s="59"/>
      <c r="C2701" s="59"/>
      <c r="D2701" s="59"/>
      <c r="E2701" s="59"/>
      <c r="F2701" s="59"/>
      <c r="G2701" s="59"/>
      <c r="H2701" s="82"/>
      <c r="I2701" s="59"/>
    </row>
    <row r="2702">
      <c r="A2702" s="59"/>
      <c r="B2702" s="59"/>
      <c r="C2702" s="59"/>
      <c r="D2702" s="59"/>
      <c r="E2702" s="59"/>
      <c r="F2702" s="59"/>
      <c r="G2702" s="59"/>
      <c r="H2702" s="82"/>
      <c r="I2702" s="59"/>
    </row>
    <row r="2703">
      <c r="A2703" s="59"/>
      <c r="B2703" s="59"/>
      <c r="C2703" s="59"/>
      <c r="D2703" s="59"/>
      <c r="E2703" s="59"/>
      <c r="F2703" s="59"/>
      <c r="G2703" s="59"/>
      <c r="H2703" s="82"/>
      <c r="I2703" s="59"/>
    </row>
    <row r="2704">
      <c r="A2704" s="59"/>
      <c r="B2704" s="59"/>
      <c r="C2704" s="59"/>
      <c r="D2704" s="59"/>
      <c r="E2704" s="59"/>
      <c r="F2704" s="59"/>
      <c r="G2704" s="59"/>
      <c r="H2704" s="82"/>
      <c r="I2704" s="59"/>
    </row>
    <row r="2705">
      <c r="A2705" s="59"/>
      <c r="B2705" s="59"/>
      <c r="C2705" s="59"/>
      <c r="D2705" s="59"/>
      <c r="E2705" s="59"/>
      <c r="F2705" s="59"/>
      <c r="G2705" s="59"/>
      <c r="H2705" s="82"/>
      <c r="I2705" s="59"/>
    </row>
    <row r="2706">
      <c r="A2706" s="59"/>
      <c r="B2706" s="59"/>
      <c r="C2706" s="59"/>
      <c r="D2706" s="59"/>
      <c r="E2706" s="59"/>
      <c r="F2706" s="59"/>
      <c r="G2706" s="59"/>
      <c r="H2706" s="82"/>
      <c r="I2706" s="59"/>
    </row>
    <row r="2707">
      <c r="A2707" s="59"/>
      <c r="B2707" s="59"/>
      <c r="C2707" s="59"/>
      <c r="D2707" s="59"/>
      <c r="E2707" s="59"/>
      <c r="F2707" s="59"/>
      <c r="G2707" s="59"/>
      <c r="H2707" s="82"/>
      <c r="I2707" s="59"/>
    </row>
    <row r="2708">
      <c r="A2708" s="59"/>
      <c r="B2708" s="59"/>
      <c r="C2708" s="59"/>
      <c r="D2708" s="59"/>
      <c r="E2708" s="59"/>
      <c r="F2708" s="59"/>
      <c r="G2708" s="59"/>
      <c r="H2708" s="82"/>
      <c r="I2708" s="59"/>
    </row>
    <row r="2709">
      <c r="A2709" s="59"/>
      <c r="B2709" s="59"/>
      <c r="C2709" s="59"/>
      <c r="D2709" s="59"/>
      <c r="E2709" s="59"/>
      <c r="F2709" s="59"/>
      <c r="G2709" s="59"/>
      <c r="H2709" s="82"/>
      <c r="I2709" s="59"/>
    </row>
    <row r="2710">
      <c r="A2710" s="59"/>
      <c r="B2710" s="59"/>
      <c r="C2710" s="59"/>
      <c r="D2710" s="59"/>
      <c r="E2710" s="59"/>
      <c r="F2710" s="59"/>
      <c r="G2710" s="59"/>
      <c r="H2710" s="82"/>
      <c r="I2710" s="59"/>
    </row>
    <row r="2711">
      <c r="A2711" s="59"/>
      <c r="B2711" s="59"/>
      <c r="C2711" s="59"/>
      <c r="D2711" s="59"/>
      <c r="E2711" s="59"/>
      <c r="F2711" s="59"/>
      <c r="G2711" s="59"/>
      <c r="H2711" s="82"/>
      <c r="I2711" s="59"/>
    </row>
    <row r="2712">
      <c r="A2712" s="59"/>
      <c r="B2712" s="59"/>
      <c r="C2712" s="59"/>
      <c r="D2712" s="59"/>
      <c r="E2712" s="59"/>
      <c r="F2712" s="59"/>
      <c r="G2712" s="59"/>
      <c r="H2712" s="82"/>
      <c r="I2712" s="59"/>
    </row>
    <row r="2713">
      <c r="A2713" s="59"/>
      <c r="B2713" s="59"/>
      <c r="C2713" s="59"/>
      <c r="D2713" s="59"/>
      <c r="E2713" s="59"/>
      <c r="F2713" s="59"/>
      <c r="G2713" s="59"/>
      <c r="H2713" s="82"/>
      <c r="I2713" s="59"/>
    </row>
    <row r="2714">
      <c r="A2714" s="59"/>
      <c r="B2714" s="59"/>
      <c r="C2714" s="59"/>
      <c r="D2714" s="59"/>
      <c r="E2714" s="59"/>
      <c r="F2714" s="59"/>
      <c r="G2714" s="59"/>
      <c r="H2714" s="82"/>
      <c r="I2714" s="59"/>
    </row>
    <row r="2715">
      <c r="A2715" s="59"/>
      <c r="B2715" s="59"/>
      <c r="C2715" s="59"/>
      <c r="D2715" s="59"/>
      <c r="E2715" s="59"/>
      <c r="F2715" s="59"/>
      <c r="G2715" s="59"/>
      <c r="H2715" s="82"/>
      <c r="I2715" s="59"/>
    </row>
    <row r="2716">
      <c r="A2716" s="59"/>
      <c r="B2716" s="59"/>
      <c r="C2716" s="59"/>
      <c r="D2716" s="59"/>
      <c r="E2716" s="59"/>
      <c r="F2716" s="59"/>
      <c r="G2716" s="59"/>
      <c r="H2716" s="82"/>
      <c r="I2716" s="59"/>
    </row>
    <row r="2717">
      <c r="A2717" s="59"/>
      <c r="B2717" s="59"/>
      <c r="C2717" s="59"/>
      <c r="D2717" s="59"/>
      <c r="E2717" s="59"/>
      <c r="F2717" s="59"/>
      <c r="G2717" s="59"/>
      <c r="H2717" s="82"/>
      <c r="I2717" s="59"/>
    </row>
    <row r="2718">
      <c r="A2718" s="59"/>
      <c r="B2718" s="59"/>
      <c r="C2718" s="59"/>
      <c r="D2718" s="59"/>
      <c r="E2718" s="59"/>
      <c r="F2718" s="59"/>
      <c r="G2718" s="59"/>
      <c r="H2718" s="82"/>
      <c r="I2718" s="59"/>
    </row>
    <row r="2719">
      <c r="A2719" s="59"/>
      <c r="B2719" s="59"/>
      <c r="C2719" s="59"/>
      <c r="D2719" s="59"/>
      <c r="E2719" s="59"/>
      <c r="F2719" s="59"/>
      <c r="G2719" s="59"/>
      <c r="H2719" s="82"/>
      <c r="I2719" s="59"/>
    </row>
    <row r="2720">
      <c r="A2720" s="59"/>
      <c r="B2720" s="59"/>
      <c r="C2720" s="59"/>
      <c r="D2720" s="59"/>
      <c r="E2720" s="59"/>
      <c r="F2720" s="59"/>
      <c r="G2720" s="59"/>
      <c r="H2720" s="82"/>
      <c r="I2720" s="59"/>
    </row>
    <row r="2721">
      <c r="A2721" s="59"/>
      <c r="B2721" s="59"/>
      <c r="C2721" s="59"/>
      <c r="D2721" s="59"/>
      <c r="E2721" s="59"/>
      <c r="F2721" s="59"/>
      <c r="G2721" s="59"/>
      <c r="H2721" s="82"/>
      <c r="I2721" s="59"/>
    </row>
    <row r="2722">
      <c r="A2722" s="59"/>
      <c r="B2722" s="59"/>
      <c r="C2722" s="59"/>
      <c r="D2722" s="59"/>
      <c r="E2722" s="59"/>
      <c r="F2722" s="59"/>
      <c r="G2722" s="59"/>
      <c r="H2722" s="82"/>
      <c r="I2722" s="59"/>
    </row>
    <row r="2723">
      <c r="A2723" s="59"/>
      <c r="B2723" s="59"/>
      <c r="C2723" s="59"/>
      <c r="D2723" s="59"/>
      <c r="E2723" s="59"/>
      <c r="F2723" s="59"/>
      <c r="G2723" s="59"/>
      <c r="H2723" s="82"/>
      <c r="I2723" s="59"/>
    </row>
    <row r="2724">
      <c r="A2724" s="59"/>
      <c r="B2724" s="59"/>
      <c r="C2724" s="59"/>
      <c r="D2724" s="59"/>
      <c r="E2724" s="59"/>
      <c r="F2724" s="59"/>
      <c r="G2724" s="59"/>
      <c r="H2724" s="82"/>
      <c r="I2724" s="59"/>
    </row>
    <row r="2725">
      <c r="A2725" s="59"/>
      <c r="B2725" s="59"/>
      <c r="C2725" s="59"/>
      <c r="D2725" s="59"/>
      <c r="E2725" s="59"/>
      <c r="F2725" s="59"/>
      <c r="G2725" s="59"/>
      <c r="H2725" s="82"/>
      <c r="I2725" s="59"/>
    </row>
    <row r="2726">
      <c r="A2726" s="59"/>
      <c r="B2726" s="59"/>
      <c r="C2726" s="59"/>
      <c r="D2726" s="59"/>
      <c r="E2726" s="59"/>
      <c r="F2726" s="59"/>
      <c r="G2726" s="59"/>
      <c r="H2726" s="82"/>
      <c r="I2726" s="59"/>
    </row>
    <row r="2727">
      <c r="A2727" s="59"/>
      <c r="B2727" s="59"/>
      <c r="C2727" s="59"/>
      <c r="D2727" s="59"/>
      <c r="E2727" s="59"/>
      <c r="F2727" s="59"/>
      <c r="G2727" s="59"/>
      <c r="H2727" s="82"/>
      <c r="I2727" s="59"/>
    </row>
    <row r="2728">
      <c r="A2728" s="59"/>
      <c r="B2728" s="59"/>
      <c r="C2728" s="59"/>
      <c r="D2728" s="59"/>
      <c r="E2728" s="59"/>
      <c r="F2728" s="59"/>
      <c r="G2728" s="59"/>
      <c r="H2728" s="82"/>
      <c r="I2728" s="59"/>
    </row>
    <row r="2729">
      <c r="A2729" s="59"/>
      <c r="B2729" s="59"/>
      <c r="C2729" s="59"/>
      <c r="D2729" s="59"/>
      <c r="E2729" s="59"/>
      <c r="F2729" s="59"/>
      <c r="G2729" s="59"/>
      <c r="H2729" s="82"/>
      <c r="I2729" s="59"/>
    </row>
    <row r="2730">
      <c r="A2730" s="59"/>
      <c r="B2730" s="59"/>
      <c r="C2730" s="59"/>
      <c r="D2730" s="59"/>
      <c r="E2730" s="59"/>
      <c r="F2730" s="59"/>
      <c r="G2730" s="59"/>
      <c r="H2730" s="82"/>
      <c r="I2730" s="59"/>
    </row>
    <row r="2731">
      <c r="A2731" s="59"/>
      <c r="B2731" s="59"/>
      <c r="C2731" s="59"/>
      <c r="D2731" s="59"/>
      <c r="E2731" s="59"/>
      <c r="F2731" s="59"/>
      <c r="G2731" s="59"/>
      <c r="H2731" s="82"/>
      <c r="I2731" s="59"/>
    </row>
    <row r="2732">
      <c r="A2732" s="59"/>
      <c r="B2732" s="59"/>
      <c r="C2732" s="59"/>
      <c r="D2732" s="59"/>
      <c r="E2732" s="59"/>
      <c r="F2732" s="59"/>
      <c r="G2732" s="59"/>
      <c r="H2732" s="82"/>
      <c r="I2732" s="59"/>
    </row>
    <row r="2733">
      <c r="A2733" s="59"/>
      <c r="B2733" s="59"/>
      <c r="C2733" s="59"/>
      <c r="D2733" s="59"/>
      <c r="E2733" s="59"/>
      <c r="F2733" s="59"/>
      <c r="G2733" s="59"/>
      <c r="H2733" s="82"/>
      <c r="I2733" s="59"/>
    </row>
    <row r="2734">
      <c r="A2734" s="59"/>
      <c r="B2734" s="59"/>
      <c r="C2734" s="59"/>
      <c r="D2734" s="59"/>
      <c r="E2734" s="59"/>
      <c r="F2734" s="59"/>
      <c r="G2734" s="59"/>
      <c r="H2734" s="82"/>
      <c r="I2734" s="59"/>
    </row>
    <row r="2735">
      <c r="A2735" s="59"/>
      <c r="B2735" s="59"/>
      <c r="C2735" s="59"/>
      <c r="D2735" s="59"/>
      <c r="E2735" s="59"/>
      <c r="F2735" s="59"/>
      <c r="G2735" s="59"/>
      <c r="H2735" s="82"/>
      <c r="I2735" s="59"/>
    </row>
    <row r="2736">
      <c r="A2736" s="59"/>
      <c r="B2736" s="59"/>
      <c r="C2736" s="59"/>
      <c r="D2736" s="59"/>
      <c r="E2736" s="59"/>
      <c r="F2736" s="59"/>
      <c r="G2736" s="59"/>
      <c r="H2736" s="82"/>
      <c r="I2736" s="59"/>
    </row>
    <row r="2737">
      <c r="A2737" s="59"/>
      <c r="B2737" s="59"/>
      <c r="C2737" s="59"/>
      <c r="D2737" s="59"/>
      <c r="E2737" s="59"/>
      <c r="F2737" s="59"/>
      <c r="G2737" s="59"/>
      <c r="H2737" s="82"/>
      <c r="I2737" s="59"/>
    </row>
    <row r="2738">
      <c r="A2738" s="59"/>
      <c r="B2738" s="59"/>
      <c r="C2738" s="59"/>
      <c r="D2738" s="59"/>
      <c r="E2738" s="59"/>
      <c r="F2738" s="59"/>
      <c r="G2738" s="59"/>
      <c r="H2738" s="82"/>
      <c r="I2738" s="59"/>
    </row>
    <row r="2739">
      <c r="A2739" s="59"/>
      <c r="B2739" s="59"/>
      <c r="C2739" s="59"/>
      <c r="D2739" s="59"/>
      <c r="E2739" s="59"/>
      <c r="F2739" s="59"/>
      <c r="G2739" s="59"/>
      <c r="H2739" s="82"/>
      <c r="I2739" s="59"/>
    </row>
    <row r="2740">
      <c r="A2740" s="59"/>
      <c r="B2740" s="59"/>
      <c r="C2740" s="59"/>
      <c r="D2740" s="59"/>
      <c r="E2740" s="59"/>
      <c r="F2740" s="59"/>
      <c r="G2740" s="59"/>
      <c r="H2740" s="82"/>
      <c r="I2740" s="59"/>
    </row>
    <row r="2741">
      <c r="A2741" s="59"/>
      <c r="B2741" s="59"/>
      <c r="C2741" s="59"/>
      <c r="D2741" s="59"/>
      <c r="E2741" s="59"/>
      <c r="F2741" s="59"/>
      <c r="G2741" s="59"/>
      <c r="H2741" s="82"/>
      <c r="I2741" s="59"/>
    </row>
    <row r="2742">
      <c r="A2742" s="59"/>
      <c r="B2742" s="59"/>
      <c r="C2742" s="59"/>
      <c r="D2742" s="59"/>
      <c r="E2742" s="59"/>
      <c r="F2742" s="59"/>
      <c r="G2742" s="59"/>
      <c r="H2742" s="82"/>
      <c r="I2742" s="59"/>
    </row>
    <row r="2743">
      <c r="A2743" s="59"/>
      <c r="B2743" s="59"/>
      <c r="C2743" s="59"/>
      <c r="D2743" s="59"/>
      <c r="E2743" s="59"/>
      <c r="F2743" s="59"/>
      <c r="G2743" s="59"/>
      <c r="H2743" s="82"/>
      <c r="I2743" s="59"/>
    </row>
    <row r="2744">
      <c r="A2744" s="59"/>
      <c r="B2744" s="59"/>
      <c r="C2744" s="59"/>
      <c r="D2744" s="59"/>
      <c r="E2744" s="59"/>
      <c r="F2744" s="59"/>
      <c r="G2744" s="59"/>
      <c r="H2744" s="82"/>
      <c r="I2744" s="59"/>
    </row>
    <row r="2745">
      <c r="A2745" s="59"/>
      <c r="B2745" s="59"/>
      <c r="C2745" s="59"/>
      <c r="D2745" s="59"/>
      <c r="E2745" s="59"/>
      <c r="F2745" s="59"/>
      <c r="G2745" s="59"/>
      <c r="H2745" s="82"/>
      <c r="I2745" s="59"/>
    </row>
    <row r="2746">
      <c r="A2746" s="59"/>
      <c r="B2746" s="59"/>
      <c r="C2746" s="59"/>
      <c r="D2746" s="59"/>
      <c r="E2746" s="59"/>
      <c r="F2746" s="59"/>
      <c r="G2746" s="59"/>
      <c r="H2746" s="82"/>
      <c r="I2746" s="59"/>
    </row>
    <row r="2747">
      <c r="A2747" s="59"/>
      <c r="B2747" s="59"/>
      <c r="C2747" s="59"/>
      <c r="D2747" s="59"/>
      <c r="E2747" s="59"/>
      <c r="F2747" s="59"/>
      <c r="G2747" s="59"/>
      <c r="H2747" s="82"/>
      <c r="I2747" s="59"/>
    </row>
    <row r="2748">
      <c r="A2748" s="59"/>
      <c r="B2748" s="59"/>
      <c r="C2748" s="59"/>
      <c r="D2748" s="59"/>
      <c r="E2748" s="59"/>
      <c r="F2748" s="59"/>
      <c r="G2748" s="59"/>
      <c r="H2748" s="82"/>
      <c r="I2748" s="59"/>
    </row>
    <row r="2749">
      <c r="A2749" s="59"/>
      <c r="B2749" s="59"/>
      <c r="C2749" s="59"/>
      <c r="D2749" s="59"/>
      <c r="E2749" s="59"/>
      <c r="F2749" s="59"/>
      <c r="G2749" s="59"/>
      <c r="H2749" s="82"/>
      <c r="I2749" s="59"/>
    </row>
    <row r="2750">
      <c r="A2750" s="59"/>
      <c r="B2750" s="59"/>
      <c r="C2750" s="59"/>
      <c r="D2750" s="59"/>
      <c r="E2750" s="59"/>
      <c r="F2750" s="59"/>
      <c r="G2750" s="59"/>
      <c r="H2750" s="82"/>
      <c r="I2750" s="59"/>
    </row>
    <row r="2751">
      <c r="A2751" s="59"/>
      <c r="B2751" s="59"/>
      <c r="C2751" s="59"/>
      <c r="D2751" s="59"/>
      <c r="E2751" s="59"/>
      <c r="F2751" s="59"/>
      <c r="G2751" s="59"/>
      <c r="H2751" s="82"/>
      <c r="I2751" s="59"/>
    </row>
    <row r="2752">
      <c r="A2752" s="59"/>
      <c r="B2752" s="59"/>
      <c r="C2752" s="59"/>
      <c r="D2752" s="59"/>
      <c r="E2752" s="59"/>
      <c r="F2752" s="59"/>
      <c r="G2752" s="59"/>
      <c r="H2752" s="82"/>
      <c r="I2752" s="59"/>
    </row>
    <row r="2753">
      <c r="A2753" s="59"/>
      <c r="B2753" s="59"/>
      <c r="C2753" s="59"/>
      <c r="D2753" s="59"/>
      <c r="E2753" s="59"/>
      <c r="F2753" s="59"/>
      <c r="G2753" s="59"/>
      <c r="H2753" s="82"/>
      <c r="I2753" s="59"/>
    </row>
    <row r="2754">
      <c r="A2754" s="59"/>
      <c r="B2754" s="59"/>
      <c r="C2754" s="59"/>
      <c r="D2754" s="59"/>
      <c r="E2754" s="59"/>
      <c r="F2754" s="59"/>
      <c r="G2754" s="59"/>
      <c r="H2754" s="82"/>
      <c r="I2754" s="59"/>
    </row>
    <row r="2755">
      <c r="A2755" s="59"/>
      <c r="B2755" s="59"/>
      <c r="C2755" s="59"/>
      <c r="D2755" s="59"/>
      <c r="E2755" s="59"/>
      <c r="F2755" s="59"/>
      <c r="G2755" s="59"/>
      <c r="H2755" s="82"/>
      <c r="I2755" s="59"/>
    </row>
    <row r="2756">
      <c r="A2756" s="59"/>
      <c r="B2756" s="59"/>
      <c r="C2756" s="59"/>
      <c r="D2756" s="59"/>
      <c r="E2756" s="59"/>
      <c r="F2756" s="59"/>
      <c r="G2756" s="59"/>
      <c r="H2756" s="82"/>
      <c r="I2756" s="59"/>
    </row>
    <row r="2757">
      <c r="A2757" s="59"/>
      <c r="B2757" s="59"/>
      <c r="C2757" s="59"/>
      <c r="D2757" s="59"/>
      <c r="E2757" s="59"/>
      <c r="F2757" s="59"/>
      <c r="G2757" s="59"/>
      <c r="H2757" s="82"/>
      <c r="I2757" s="59"/>
    </row>
    <row r="2758">
      <c r="A2758" s="59"/>
      <c r="B2758" s="59"/>
      <c r="C2758" s="59"/>
      <c r="D2758" s="59"/>
      <c r="E2758" s="59"/>
      <c r="F2758" s="59"/>
      <c r="G2758" s="59"/>
      <c r="H2758" s="82"/>
      <c r="I2758" s="59"/>
    </row>
    <row r="2759">
      <c r="A2759" s="59"/>
      <c r="B2759" s="59"/>
      <c r="C2759" s="59"/>
      <c r="D2759" s="59"/>
      <c r="E2759" s="59"/>
      <c r="F2759" s="59"/>
      <c r="G2759" s="59"/>
      <c r="H2759" s="82"/>
      <c r="I2759" s="59"/>
    </row>
    <row r="2760">
      <c r="A2760" s="59"/>
      <c r="B2760" s="59"/>
      <c r="C2760" s="59"/>
      <c r="D2760" s="59"/>
      <c r="E2760" s="59"/>
      <c r="F2760" s="59"/>
      <c r="G2760" s="59"/>
      <c r="H2760" s="82"/>
      <c r="I2760" s="59"/>
    </row>
    <row r="2761">
      <c r="A2761" s="59"/>
      <c r="B2761" s="59"/>
      <c r="C2761" s="59"/>
      <c r="D2761" s="59"/>
      <c r="E2761" s="59"/>
      <c r="F2761" s="59"/>
      <c r="G2761" s="59"/>
      <c r="H2761" s="82"/>
      <c r="I2761" s="59"/>
    </row>
    <row r="2762">
      <c r="A2762" s="59"/>
      <c r="B2762" s="59"/>
      <c r="C2762" s="59"/>
      <c r="D2762" s="59"/>
      <c r="E2762" s="59"/>
      <c r="F2762" s="59"/>
      <c r="G2762" s="59"/>
      <c r="H2762" s="82"/>
      <c r="I2762" s="59"/>
    </row>
    <row r="2763">
      <c r="A2763" s="59"/>
      <c r="B2763" s="59"/>
      <c r="C2763" s="59"/>
      <c r="D2763" s="59"/>
      <c r="E2763" s="59"/>
      <c r="F2763" s="59"/>
      <c r="G2763" s="59"/>
      <c r="H2763" s="82"/>
      <c r="I2763" s="59"/>
    </row>
    <row r="2764">
      <c r="A2764" s="59"/>
      <c r="B2764" s="59"/>
      <c r="C2764" s="59"/>
      <c r="D2764" s="59"/>
      <c r="E2764" s="59"/>
      <c r="F2764" s="59"/>
      <c r="G2764" s="59"/>
      <c r="H2764" s="82"/>
      <c r="I2764" s="59"/>
    </row>
    <row r="2765">
      <c r="A2765" s="59"/>
      <c r="B2765" s="59"/>
      <c r="C2765" s="59"/>
      <c r="D2765" s="59"/>
      <c r="E2765" s="59"/>
      <c r="F2765" s="59"/>
      <c r="G2765" s="59"/>
      <c r="H2765" s="82"/>
      <c r="I2765" s="59"/>
    </row>
    <row r="2766">
      <c r="A2766" s="59"/>
      <c r="B2766" s="59"/>
      <c r="C2766" s="59"/>
      <c r="D2766" s="59"/>
      <c r="E2766" s="59"/>
      <c r="F2766" s="59"/>
      <c r="G2766" s="59"/>
      <c r="H2766" s="82"/>
      <c r="I2766" s="59"/>
    </row>
    <row r="2767">
      <c r="A2767" s="59"/>
      <c r="B2767" s="59"/>
      <c r="C2767" s="59"/>
      <c r="D2767" s="59"/>
      <c r="E2767" s="59"/>
      <c r="F2767" s="59"/>
      <c r="G2767" s="59"/>
      <c r="H2767" s="82"/>
      <c r="I2767" s="59"/>
    </row>
    <row r="2768">
      <c r="A2768" s="59"/>
      <c r="B2768" s="59"/>
      <c r="C2768" s="59"/>
      <c r="D2768" s="59"/>
      <c r="E2768" s="59"/>
      <c r="F2768" s="59"/>
      <c r="G2768" s="59"/>
      <c r="H2768" s="82"/>
      <c r="I2768" s="59"/>
    </row>
    <row r="2769">
      <c r="A2769" s="59"/>
      <c r="B2769" s="59"/>
      <c r="C2769" s="59"/>
      <c r="D2769" s="59"/>
      <c r="E2769" s="59"/>
      <c r="F2769" s="59"/>
      <c r="G2769" s="59"/>
      <c r="H2769" s="82"/>
      <c r="I2769" s="59"/>
    </row>
    <row r="2770">
      <c r="A2770" s="59"/>
      <c r="B2770" s="59"/>
      <c r="C2770" s="59"/>
      <c r="D2770" s="59"/>
      <c r="E2770" s="59"/>
      <c r="F2770" s="59"/>
      <c r="G2770" s="59"/>
      <c r="H2770" s="82"/>
      <c r="I2770" s="59"/>
    </row>
    <row r="2771">
      <c r="A2771" s="59"/>
      <c r="B2771" s="59"/>
      <c r="C2771" s="59"/>
      <c r="D2771" s="59"/>
      <c r="E2771" s="59"/>
      <c r="F2771" s="59"/>
      <c r="G2771" s="59"/>
      <c r="H2771" s="82"/>
      <c r="I2771" s="59"/>
    </row>
    <row r="2772">
      <c r="A2772" s="59"/>
      <c r="B2772" s="59"/>
      <c r="C2772" s="59"/>
      <c r="D2772" s="59"/>
      <c r="E2772" s="59"/>
      <c r="F2772" s="59"/>
      <c r="G2772" s="59"/>
      <c r="H2772" s="82"/>
      <c r="I2772" s="59"/>
    </row>
    <row r="2773">
      <c r="A2773" s="59"/>
      <c r="B2773" s="59"/>
      <c r="C2773" s="59"/>
      <c r="D2773" s="59"/>
      <c r="E2773" s="59"/>
      <c r="F2773" s="59"/>
      <c r="G2773" s="59"/>
      <c r="H2773" s="82"/>
      <c r="I2773" s="59"/>
    </row>
    <row r="2774">
      <c r="A2774" s="59"/>
      <c r="B2774" s="59"/>
      <c r="C2774" s="59"/>
      <c r="D2774" s="59"/>
      <c r="E2774" s="59"/>
      <c r="F2774" s="59"/>
      <c r="G2774" s="59"/>
      <c r="H2774" s="82"/>
      <c r="I2774" s="59"/>
    </row>
    <row r="2775">
      <c r="A2775" s="59"/>
      <c r="B2775" s="59"/>
      <c r="C2775" s="59"/>
      <c r="D2775" s="59"/>
      <c r="E2775" s="59"/>
      <c r="F2775" s="59"/>
      <c r="G2775" s="59"/>
      <c r="H2775" s="82"/>
      <c r="I2775" s="59"/>
    </row>
    <row r="2776">
      <c r="A2776" s="59"/>
      <c r="B2776" s="59"/>
      <c r="C2776" s="59"/>
      <c r="D2776" s="59"/>
      <c r="E2776" s="59"/>
      <c r="F2776" s="59"/>
      <c r="G2776" s="59"/>
      <c r="H2776" s="82"/>
      <c r="I2776" s="59"/>
    </row>
    <row r="2777">
      <c r="A2777" s="59"/>
      <c r="B2777" s="59"/>
      <c r="C2777" s="59"/>
      <c r="D2777" s="59"/>
      <c r="E2777" s="59"/>
      <c r="F2777" s="59"/>
      <c r="G2777" s="59"/>
      <c r="H2777" s="82"/>
      <c r="I2777" s="59"/>
    </row>
    <row r="2778">
      <c r="A2778" s="59"/>
      <c r="B2778" s="59"/>
      <c r="C2778" s="59"/>
      <c r="D2778" s="59"/>
      <c r="E2778" s="59"/>
      <c r="F2778" s="59"/>
      <c r="G2778" s="59"/>
      <c r="H2778" s="82"/>
      <c r="I2778" s="59"/>
    </row>
    <row r="2779">
      <c r="A2779" s="59"/>
      <c r="B2779" s="59"/>
      <c r="C2779" s="59"/>
      <c r="D2779" s="59"/>
      <c r="E2779" s="59"/>
      <c r="F2779" s="59"/>
      <c r="G2779" s="59"/>
      <c r="H2779" s="82"/>
      <c r="I2779" s="59"/>
    </row>
    <row r="2780">
      <c r="A2780" s="59"/>
      <c r="B2780" s="59"/>
      <c r="C2780" s="59"/>
      <c r="D2780" s="59"/>
      <c r="E2780" s="59"/>
      <c r="F2780" s="59"/>
      <c r="G2780" s="59"/>
      <c r="H2780" s="82"/>
      <c r="I2780" s="59"/>
    </row>
    <row r="2781">
      <c r="A2781" s="59"/>
      <c r="B2781" s="59"/>
      <c r="C2781" s="59"/>
      <c r="D2781" s="59"/>
      <c r="E2781" s="59"/>
      <c r="F2781" s="59"/>
      <c r="G2781" s="59"/>
      <c r="H2781" s="82"/>
      <c r="I2781" s="59"/>
    </row>
    <row r="2782">
      <c r="A2782" s="59"/>
      <c r="B2782" s="59"/>
      <c r="C2782" s="59"/>
      <c r="D2782" s="59"/>
      <c r="E2782" s="59"/>
      <c r="F2782" s="59"/>
      <c r="G2782" s="59"/>
      <c r="H2782" s="82"/>
      <c r="I2782" s="59"/>
    </row>
    <row r="2783">
      <c r="A2783" s="59"/>
      <c r="B2783" s="59"/>
      <c r="C2783" s="59"/>
      <c r="D2783" s="59"/>
      <c r="E2783" s="59"/>
      <c r="F2783" s="59"/>
      <c r="G2783" s="59"/>
      <c r="H2783" s="82"/>
      <c r="I2783" s="59"/>
    </row>
    <row r="2784">
      <c r="A2784" s="59"/>
      <c r="B2784" s="59"/>
      <c r="C2784" s="59"/>
      <c r="D2784" s="59"/>
      <c r="E2784" s="59"/>
      <c r="F2784" s="59"/>
      <c r="G2784" s="59"/>
      <c r="H2784" s="82"/>
      <c r="I2784" s="59"/>
    </row>
    <row r="2785">
      <c r="A2785" s="59"/>
      <c r="B2785" s="59"/>
      <c r="C2785" s="59"/>
      <c r="D2785" s="59"/>
      <c r="E2785" s="59"/>
      <c r="F2785" s="59"/>
      <c r="G2785" s="59"/>
      <c r="H2785" s="82"/>
      <c r="I2785" s="59"/>
    </row>
    <row r="2786">
      <c r="A2786" s="59"/>
      <c r="B2786" s="59"/>
      <c r="C2786" s="59"/>
      <c r="D2786" s="59"/>
      <c r="E2786" s="59"/>
      <c r="F2786" s="59"/>
      <c r="G2786" s="59"/>
      <c r="H2786" s="82"/>
      <c r="I2786" s="59"/>
    </row>
    <row r="2787">
      <c r="A2787" s="59"/>
      <c r="B2787" s="59"/>
      <c r="C2787" s="59"/>
      <c r="D2787" s="59"/>
      <c r="E2787" s="59"/>
      <c r="F2787" s="59"/>
      <c r="G2787" s="59"/>
      <c r="H2787" s="82"/>
      <c r="I2787" s="59"/>
    </row>
    <row r="2788">
      <c r="A2788" s="59"/>
      <c r="B2788" s="59"/>
      <c r="C2788" s="59"/>
      <c r="D2788" s="59"/>
      <c r="E2788" s="59"/>
      <c r="F2788" s="59"/>
      <c r="G2788" s="59"/>
      <c r="H2788" s="82"/>
      <c r="I2788" s="59"/>
    </row>
    <row r="2789">
      <c r="A2789" s="59"/>
      <c r="B2789" s="59"/>
      <c r="C2789" s="59"/>
      <c r="D2789" s="59"/>
      <c r="E2789" s="59"/>
      <c r="F2789" s="59"/>
      <c r="G2789" s="59"/>
      <c r="H2789" s="82"/>
      <c r="I2789" s="59"/>
    </row>
    <row r="2790">
      <c r="A2790" s="59"/>
      <c r="B2790" s="59"/>
      <c r="C2790" s="59"/>
      <c r="D2790" s="59"/>
      <c r="E2790" s="59"/>
      <c r="F2790" s="59"/>
      <c r="G2790" s="59"/>
      <c r="H2790" s="82"/>
      <c r="I2790" s="59"/>
    </row>
    <row r="2791">
      <c r="A2791" s="59"/>
      <c r="B2791" s="59"/>
      <c r="C2791" s="59"/>
      <c r="D2791" s="59"/>
      <c r="E2791" s="59"/>
      <c r="F2791" s="59"/>
      <c r="G2791" s="59"/>
      <c r="H2791" s="82"/>
      <c r="I2791" s="59"/>
    </row>
    <row r="2792">
      <c r="A2792" s="59"/>
      <c r="B2792" s="59"/>
      <c r="C2792" s="59"/>
      <c r="D2792" s="59"/>
      <c r="E2792" s="59"/>
      <c r="F2792" s="59"/>
      <c r="G2792" s="59"/>
      <c r="H2792" s="82"/>
      <c r="I2792" s="59"/>
    </row>
    <row r="2793">
      <c r="A2793" s="59"/>
      <c r="B2793" s="59"/>
      <c r="C2793" s="59"/>
      <c r="D2793" s="59"/>
      <c r="E2793" s="59"/>
      <c r="F2793" s="59"/>
      <c r="G2793" s="59"/>
      <c r="H2793" s="82"/>
      <c r="I2793" s="59"/>
    </row>
    <row r="2794">
      <c r="A2794" s="59"/>
      <c r="B2794" s="59"/>
      <c r="C2794" s="59"/>
      <c r="D2794" s="59"/>
      <c r="E2794" s="59"/>
      <c r="F2794" s="59"/>
      <c r="G2794" s="59"/>
      <c r="H2794" s="82"/>
      <c r="I2794" s="59"/>
    </row>
    <row r="2795">
      <c r="A2795" s="59"/>
      <c r="B2795" s="59"/>
      <c r="C2795" s="59"/>
      <c r="D2795" s="59"/>
      <c r="E2795" s="59"/>
      <c r="F2795" s="59"/>
      <c r="G2795" s="59"/>
      <c r="H2795" s="82"/>
      <c r="I2795" s="59"/>
    </row>
    <row r="2796">
      <c r="A2796" s="59"/>
      <c r="B2796" s="59"/>
      <c r="C2796" s="59"/>
      <c r="D2796" s="59"/>
      <c r="E2796" s="59"/>
      <c r="F2796" s="59"/>
      <c r="G2796" s="59"/>
      <c r="H2796" s="82"/>
      <c r="I2796" s="59"/>
    </row>
    <row r="2797">
      <c r="A2797" s="59"/>
      <c r="B2797" s="59"/>
      <c r="C2797" s="59"/>
      <c r="D2797" s="59"/>
      <c r="E2797" s="59"/>
      <c r="F2797" s="59"/>
      <c r="G2797" s="59"/>
      <c r="H2797" s="82"/>
      <c r="I2797" s="59"/>
    </row>
    <row r="2798">
      <c r="A2798" s="59"/>
      <c r="B2798" s="59"/>
      <c r="C2798" s="59"/>
      <c r="D2798" s="59"/>
      <c r="E2798" s="59"/>
      <c r="F2798" s="59"/>
      <c r="G2798" s="59"/>
      <c r="H2798" s="82"/>
      <c r="I2798" s="59"/>
    </row>
    <row r="2799">
      <c r="A2799" s="59"/>
      <c r="B2799" s="59"/>
      <c r="C2799" s="59"/>
      <c r="D2799" s="59"/>
      <c r="E2799" s="59"/>
      <c r="F2799" s="59"/>
      <c r="G2799" s="59"/>
      <c r="H2799" s="82"/>
      <c r="I2799" s="59"/>
    </row>
    <row r="2800">
      <c r="A2800" s="59"/>
      <c r="B2800" s="59"/>
      <c r="C2800" s="59"/>
      <c r="D2800" s="59"/>
      <c r="E2800" s="59"/>
      <c r="F2800" s="59"/>
      <c r="G2800" s="59"/>
      <c r="H2800" s="82"/>
      <c r="I2800" s="59"/>
    </row>
    <row r="2801">
      <c r="A2801" s="59"/>
      <c r="B2801" s="59"/>
      <c r="C2801" s="59"/>
      <c r="D2801" s="59"/>
      <c r="E2801" s="59"/>
      <c r="F2801" s="59"/>
      <c r="G2801" s="59"/>
      <c r="H2801" s="82"/>
      <c r="I2801" s="59"/>
    </row>
    <row r="2802">
      <c r="A2802" s="59"/>
      <c r="B2802" s="59"/>
      <c r="C2802" s="59"/>
      <c r="D2802" s="59"/>
      <c r="E2802" s="59"/>
      <c r="F2802" s="59"/>
      <c r="G2802" s="59"/>
      <c r="H2802" s="82"/>
      <c r="I2802" s="59"/>
    </row>
    <row r="2803">
      <c r="A2803" s="59"/>
      <c r="B2803" s="59"/>
      <c r="C2803" s="59"/>
      <c r="D2803" s="59"/>
      <c r="E2803" s="59"/>
      <c r="F2803" s="59"/>
      <c r="G2803" s="59"/>
      <c r="H2803" s="82"/>
      <c r="I2803" s="59"/>
    </row>
    <row r="2804">
      <c r="A2804" s="59"/>
      <c r="B2804" s="59"/>
      <c r="C2804" s="59"/>
      <c r="D2804" s="59"/>
      <c r="E2804" s="59"/>
      <c r="F2804" s="59"/>
      <c r="G2804" s="59"/>
      <c r="H2804" s="82"/>
      <c r="I2804" s="59"/>
    </row>
    <row r="2805">
      <c r="A2805" s="59"/>
      <c r="B2805" s="59"/>
      <c r="C2805" s="59"/>
      <c r="D2805" s="59"/>
      <c r="E2805" s="59"/>
      <c r="F2805" s="59"/>
      <c r="G2805" s="59"/>
      <c r="H2805" s="82"/>
      <c r="I2805" s="59"/>
    </row>
    <row r="2806">
      <c r="A2806" s="59"/>
      <c r="B2806" s="59"/>
      <c r="C2806" s="59"/>
      <c r="D2806" s="59"/>
      <c r="E2806" s="59"/>
      <c r="F2806" s="59"/>
      <c r="G2806" s="59"/>
      <c r="H2806" s="82"/>
      <c r="I2806" s="59"/>
    </row>
    <row r="2807">
      <c r="A2807" s="59"/>
      <c r="B2807" s="59"/>
      <c r="C2807" s="59"/>
      <c r="D2807" s="59"/>
      <c r="E2807" s="59"/>
      <c r="F2807" s="59"/>
      <c r="G2807" s="59"/>
      <c r="H2807" s="82"/>
      <c r="I2807" s="59"/>
    </row>
    <row r="2808">
      <c r="A2808" s="59"/>
      <c r="B2808" s="59"/>
      <c r="C2808" s="59"/>
      <c r="D2808" s="59"/>
      <c r="E2808" s="59"/>
      <c r="F2808" s="59"/>
      <c r="G2808" s="59"/>
      <c r="H2808" s="82"/>
      <c r="I2808" s="59"/>
    </row>
    <row r="2809">
      <c r="A2809" s="59"/>
      <c r="B2809" s="59"/>
      <c r="C2809" s="59"/>
      <c r="D2809" s="59"/>
      <c r="E2809" s="59"/>
      <c r="F2809" s="59"/>
      <c r="G2809" s="59"/>
      <c r="H2809" s="82"/>
      <c r="I2809" s="59"/>
    </row>
    <row r="2810">
      <c r="A2810" s="59"/>
      <c r="B2810" s="59"/>
      <c r="C2810" s="59"/>
      <c r="D2810" s="59"/>
      <c r="E2810" s="59"/>
      <c r="F2810" s="59"/>
      <c r="G2810" s="59"/>
      <c r="H2810" s="82"/>
      <c r="I2810" s="59"/>
    </row>
    <row r="2811">
      <c r="A2811" s="59"/>
      <c r="B2811" s="59"/>
      <c r="C2811" s="59"/>
      <c r="D2811" s="59"/>
      <c r="E2811" s="59"/>
      <c r="F2811" s="59"/>
      <c r="G2811" s="59"/>
      <c r="H2811" s="82"/>
      <c r="I2811" s="59"/>
    </row>
    <row r="2812">
      <c r="A2812" s="59"/>
      <c r="B2812" s="59"/>
      <c r="C2812" s="59"/>
      <c r="D2812" s="59"/>
      <c r="E2812" s="59"/>
      <c r="F2812" s="59"/>
      <c r="G2812" s="59"/>
      <c r="H2812" s="82"/>
      <c r="I2812" s="59"/>
    </row>
    <row r="2813">
      <c r="A2813" s="59"/>
      <c r="B2813" s="59"/>
      <c r="C2813" s="59"/>
      <c r="D2813" s="59"/>
      <c r="E2813" s="59"/>
      <c r="F2813" s="59"/>
      <c r="G2813" s="59"/>
      <c r="H2813" s="82"/>
      <c r="I2813" s="59"/>
    </row>
    <row r="2814">
      <c r="A2814" s="59"/>
      <c r="B2814" s="59"/>
      <c r="C2814" s="59"/>
      <c r="D2814" s="59"/>
      <c r="E2814" s="59"/>
      <c r="F2814" s="59"/>
      <c r="G2814" s="59"/>
      <c r="H2814" s="82"/>
      <c r="I2814" s="59"/>
    </row>
    <row r="2815">
      <c r="A2815" s="59"/>
      <c r="B2815" s="59"/>
      <c r="C2815" s="59"/>
      <c r="D2815" s="59"/>
      <c r="E2815" s="59"/>
      <c r="F2815" s="59"/>
      <c r="G2815" s="59"/>
      <c r="H2815" s="82"/>
      <c r="I2815" s="59"/>
    </row>
    <row r="2816">
      <c r="A2816" s="59"/>
      <c r="B2816" s="59"/>
      <c r="C2816" s="59"/>
      <c r="D2816" s="59"/>
      <c r="E2816" s="59"/>
      <c r="F2816" s="59"/>
      <c r="G2816" s="59"/>
      <c r="H2816" s="82"/>
      <c r="I2816" s="59"/>
    </row>
    <row r="2817">
      <c r="A2817" s="59"/>
      <c r="B2817" s="59"/>
      <c r="C2817" s="59"/>
      <c r="D2817" s="59"/>
      <c r="E2817" s="59"/>
      <c r="F2817" s="59"/>
      <c r="G2817" s="59"/>
      <c r="H2817" s="82"/>
      <c r="I2817" s="59"/>
    </row>
    <row r="2818">
      <c r="A2818" s="59"/>
      <c r="B2818" s="59"/>
      <c r="C2818" s="59"/>
      <c r="D2818" s="59"/>
      <c r="E2818" s="59"/>
      <c r="F2818" s="59"/>
      <c r="G2818" s="59"/>
      <c r="H2818" s="82"/>
      <c r="I2818" s="59"/>
    </row>
    <row r="2819">
      <c r="A2819" s="59"/>
      <c r="B2819" s="59"/>
      <c r="C2819" s="59"/>
      <c r="D2819" s="59"/>
      <c r="E2819" s="59"/>
      <c r="F2819" s="59"/>
      <c r="G2819" s="59"/>
      <c r="H2819" s="82"/>
      <c r="I2819" s="59"/>
    </row>
    <row r="2820">
      <c r="A2820" s="59"/>
      <c r="B2820" s="59"/>
      <c r="C2820" s="59"/>
      <c r="D2820" s="59"/>
      <c r="E2820" s="59"/>
      <c r="F2820" s="59"/>
      <c r="G2820" s="59"/>
      <c r="H2820" s="82"/>
      <c r="I2820" s="59"/>
    </row>
    <row r="2821">
      <c r="A2821" s="59"/>
      <c r="B2821" s="59"/>
      <c r="C2821" s="59"/>
      <c r="D2821" s="59"/>
      <c r="E2821" s="59"/>
      <c r="F2821" s="59"/>
      <c r="G2821" s="59"/>
      <c r="H2821" s="82"/>
      <c r="I2821" s="59"/>
    </row>
    <row r="2822">
      <c r="A2822" s="59"/>
      <c r="B2822" s="59"/>
      <c r="C2822" s="59"/>
      <c r="D2822" s="59"/>
      <c r="E2822" s="59"/>
      <c r="F2822" s="59"/>
      <c r="G2822" s="59"/>
      <c r="H2822" s="82"/>
      <c r="I2822" s="59"/>
    </row>
    <row r="2823">
      <c r="A2823" s="59"/>
      <c r="B2823" s="59"/>
      <c r="C2823" s="59"/>
      <c r="D2823" s="59"/>
      <c r="E2823" s="59"/>
      <c r="F2823" s="59"/>
      <c r="G2823" s="59"/>
      <c r="H2823" s="82"/>
      <c r="I2823" s="59"/>
    </row>
    <row r="2824">
      <c r="A2824" s="59"/>
      <c r="B2824" s="59"/>
      <c r="C2824" s="59"/>
      <c r="D2824" s="59"/>
      <c r="E2824" s="59"/>
      <c r="F2824" s="59"/>
      <c r="G2824" s="59"/>
      <c r="H2824" s="82"/>
      <c r="I2824" s="59"/>
    </row>
    <row r="2825">
      <c r="A2825" s="59"/>
      <c r="B2825" s="59"/>
      <c r="C2825" s="59"/>
      <c r="D2825" s="59"/>
      <c r="E2825" s="59"/>
      <c r="F2825" s="59"/>
      <c r="G2825" s="59"/>
      <c r="H2825" s="82"/>
      <c r="I2825" s="59"/>
    </row>
    <row r="2826">
      <c r="A2826" s="59"/>
      <c r="B2826" s="59"/>
      <c r="C2826" s="59"/>
      <c r="D2826" s="59"/>
      <c r="E2826" s="59"/>
      <c r="F2826" s="59"/>
      <c r="G2826" s="59"/>
      <c r="H2826" s="82"/>
      <c r="I2826" s="59"/>
    </row>
    <row r="2827">
      <c r="A2827" s="59"/>
      <c r="B2827" s="59"/>
      <c r="C2827" s="59"/>
      <c r="D2827" s="59"/>
      <c r="E2827" s="59"/>
      <c r="F2827" s="59"/>
      <c r="G2827" s="59"/>
      <c r="H2827" s="82"/>
      <c r="I2827" s="59"/>
    </row>
    <row r="2828">
      <c r="A2828" s="59"/>
      <c r="B2828" s="59"/>
      <c r="C2828" s="59"/>
      <c r="D2828" s="59"/>
      <c r="E2828" s="59"/>
      <c r="F2828" s="59"/>
      <c r="G2828" s="59"/>
      <c r="H2828" s="82"/>
      <c r="I2828" s="59"/>
    </row>
    <row r="2829">
      <c r="A2829" s="59"/>
      <c r="B2829" s="59"/>
      <c r="C2829" s="59"/>
      <c r="D2829" s="59"/>
      <c r="E2829" s="59"/>
      <c r="F2829" s="59"/>
      <c r="G2829" s="59"/>
      <c r="H2829" s="82"/>
      <c r="I2829" s="59"/>
    </row>
    <row r="2830">
      <c r="A2830" s="59"/>
      <c r="B2830" s="59"/>
      <c r="C2830" s="59"/>
      <c r="D2830" s="59"/>
      <c r="E2830" s="59"/>
      <c r="F2830" s="59"/>
      <c r="G2830" s="59"/>
      <c r="H2830" s="82"/>
      <c r="I2830" s="59"/>
    </row>
    <row r="2831">
      <c r="A2831" s="59"/>
      <c r="B2831" s="59"/>
      <c r="C2831" s="59"/>
      <c r="D2831" s="59"/>
      <c r="E2831" s="59"/>
      <c r="F2831" s="59"/>
      <c r="G2831" s="59"/>
      <c r="H2831" s="82"/>
      <c r="I2831" s="59"/>
    </row>
    <row r="2832">
      <c r="A2832" s="59"/>
      <c r="B2832" s="59"/>
      <c r="C2832" s="59"/>
      <c r="D2832" s="59"/>
      <c r="E2832" s="59"/>
      <c r="F2832" s="59"/>
      <c r="G2832" s="59"/>
      <c r="H2832" s="82"/>
      <c r="I2832" s="59"/>
    </row>
    <row r="2833">
      <c r="A2833" s="59"/>
      <c r="B2833" s="59"/>
      <c r="C2833" s="59"/>
      <c r="D2833" s="59"/>
      <c r="E2833" s="59"/>
      <c r="F2833" s="59"/>
      <c r="G2833" s="59"/>
      <c r="H2833" s="82"/>
      <c r="I2833" s="59"/>
    </row>
    <row r="2834">
      <c r="A2834" s="59"/>
      <c r="B2834" s="59"/>
      <c r="C2834" s="59"/>
      <c r="D2834" s="59"/>
      <c r="E2834" s="59"/>
      <c r="F2834" s="59"/>
      <c r="G2834" s="59"/>
      <c r="H2834" s="82"/>
      <c r="I2834" s="59"/>
    </row>
    <row r="2835">
      <c r="A2835" s="59"/>
      <c r="B2835" s="59"/>
      <c r="C2835" s="59"/>
      <c r="D2835" s="59"/>
      <c r="E2835" s="59"/>
      <c r="F2835" s="59"/>
      <c r="G2835" s="59"/>
      <c r="H2835" s="82"/>
      <c r="I2835" s="59"/>
    </row>
    <row r="2836">
      <c r="A2836" s="59"/>
      <c r="B2836" s="59"/>
      <c r="C2836" s="59"/>
      <c r="D2836" s="59"/>
      <c r="E2836" s="59"/>
      <c r="F2836" s="59"/>
      <c r="G2836" s="59"/>
      <c r="H2836" s="82"/>
      <c r="I2836" s="59"/>
    </row>
    <row r="2837">
      <c r="A2837" s="59"/>
      <c r="B2837" s="59"/>
      <c r="C2837" s="59"/>
      <c r="D2837" s="59"/>
      <c r="E2837" s="59"/>
      <c r="F2837" s="59"/>
      <c r="G2837" s="59"/>
      <c r="H2837" s="82"/>
      <c r="I2837" s="59"/>
    </row>
    <row r="2838">
      <c r="A2838" s="59"/>
      <c r="B2838" s="59"/>
      <c r="C2838" s="59"/>
      <c r="D2838" s="59"/>
      <c r="E2838" s="59"/>
      <c r="F2838" s="59"/>
      <c r="G2838" s="59"/>
      <c r="H2838" s="82"/>
      <c r="I2838" s="59"/>
    </row>
    <row r="2839">
      <c r="A2839" s="59"/>
      <c r="B2839" s="59"/>
      <c r="C2839" s="59"/>
      <c r="D2839" s="59"/>
      <c r="E2839" s="59"/>
      <c r="F2839" s="59"/>
      <c r="G2839" s="59"/>
      <c r="H2839" s="82"/>
      <c r="I2839" s="59"/>
    </row>
    <row r="2840">
      <c r="A2840" s="59"/>
      <c r="B2840" s="59"/>
      <c r="C2840" s="59"/>
      <c r="D2840" s="59"/>
      <c r="E2840" s="59"/>
      <c r="F2840" s="59"/>
      <c r="G2840" s="59"/>
      <c r="H2840" s="82"/>
      <c r="I2840" s="59"/>
    </row>
    <row r="2841">
      <c r="A2841" s="59"/>
      <c r="B2841" s="59"/>
      <c r="C2841" s="59"/>
      <c r="D2841" s="59"/>
      <c r="E2841" s="59"/>
      <c r="F2841" s="59"/>
      <c r="G2841" s="59"/>
      <c r="H2841" s="82"/>
      <c r="I2841" s="59"/>
    </row>
    <row r="2842">
      <c r="A2842" s="59"/>
      <c r="B2842" s="59"/>
      <c r="C2842" s="59"/>
      <c r="D2842" s="59"/>
      <c r="E2842" s="59"/>
      <c r="F2842" s="59"/>
      <c r="G2842" s="59"/>
      <c r="H2842" s="82"/>
      <c r="I2842" s="59"/>
    </row>
    <row r="2843">
      <c r="A2843" s="59"/>
      <c r="B2843" s="59"/>
      <c r="C2843" s="59"/>
      <c r="D2843" s="59"/>
      <c r="E2843" s="59"/>
      <c r="F2843" s="59"/>
      <c r="G2843" s="59"/>
      <c r="H2843" s="82"/>
      <c r="I2843" s="59"/>
    </row>
    <row r="2844">
      <c r="A2844" s="59"/>
      <c r="B2844" s="59"/>
      <c r="C2844" s="59"/>
      <c r="D2844" s="59"/>
      <c r="E2844" s="59"/>
      <c r="F2844" s="59"/>
      <c r="G2844" s="59"/>
      <c r="H2844" s="82"/>
      <c r="I2844" s="59"/>
    </row>
    <row r="2845">
      <c r="A2845" s="59"/>
      <c r="B2845" s="59"/>
      <c r="C2845" s="59"/>
      <c r="D2845" s="59"/>
      <c r="E2845" s="59"/>
      <c r="F2845" s="59"/>
      <c r="G2845" s="59"/>
      <c r="H2845" s="82"/>
      <c r="I2845" s="59"/>
    </row>
    <row r="2846">
      <c r="A2846" s="59"/>
      <c r="B2846" s="59"/>
      <c r="C2846" s="59"/>
      <c r="D2846" s="59"/>
      <c r="E2846" s="59"/>
      <c r="F2846" s="59"/>
      <c r="G2846" s="59"/>
      <c r="H2846" s="82"/>
      <c r="I2846" s="59"/>
    </row>
    <row r="2847">
      <c r="A2847" s="59"/>
      <c r="B2847" s="59"/>
      <c r="C2847" s="59"/>
      <c r="D2847" s="59"/>
      <c r="E2847" s="59"/>
      <c r="F2847" s="59"/>
      <c r="G2847" s="59"/>
      <c r="H2847" s="82"/>
      <c r="I2847" s="59"/>
    </row>
    <row r="2848">
      <c r="A2848" s="59"/>
      <c r="B2848" s="59"/>
      <c r="C2848" s="59"/>
      <c r="D2848" s="59"/>
      <c r="E2848" s="59"/>
      <c r="F2848" s="59"/>
      <c r="G2848" s="59"/>
      <c r="H2848" s="82"/>
      <c r="I2848" s="59"/>
    </row>
    <row r="2849">
      <c r="A2849" s="59"/>
      <c r="B2849" s="59"/>
      <c r="C2849" s="59"/>
      <c r="D2849" s="59"/>
      <c r="E2849" s="59"/>
      <c r="F2849" s="59"/>
      <c r="G2849" s="59"/>
      <c r="H2849" s="82"/>
      <c r="I2849" s="59"/>
    </row>
    <row r="2850">
      <c r="A2850" s="59"/>
      <c r="B2850" s="59"/>
      <c r="C2850" s="59"/>
      <c r="D2850" s="59"/>
      <c r="E2850" s="59"/>
      <c r="F2850" s="59"/>
      <c r="G2850" s="59"/>
      <c r="H2850" s="82"/>
      <c r="I2850" s="59"/>
    </row>
    <row r="2851">
      <c r="A2851" s="59"/>
      <c r="B2851" s="59"/>
      <c r="C2851" s="59"/>
      <c r="D2851" s="59"/>
      <c r="E2851" s="59"/>
      <c r="F2851" s="59"/>
      <c r="G2851" s="59"/>
      <c r="H2851" s="82"/>
      <c r="I2851" s="59"/>
    </row>
    <row r="2852">
      <c r="A2852" s="59"/>
      <c r="B2852" s="59"/>
      <c r="C2852" s="59"/>
      <c r="D2852" s="59"/>
      <c r="E2852" s="59"/>
      <c r="F2852" s="59"/>
      <c r="G2852" s="59"/>
      <c r="H2852" s="82"/>
      <c r="I2852" s="59"/>
    </row>
    <row r="2853">
      <c r="A2853" s="59"/>
      <c r="B2853" s="59"/>
      <c r="C2853" s="59"/>
      <c r="D2853" s="59"/>
      <c r="E2853" s="59"/>
      <c r="F2853" s="59"/>
      <c r="G2853" s="59"/>
      <c r="H2853" s="82"/>
      <c r="I2853" s="59"/>
    </row>
    <row r="2854">
      <c r="A2854" s="59"/>
      <c r="B2854" s="59"/>
      <c r="C2854" s="59"/>
      <c r="D2854" s="59"/>
      <c r="E2854" s="59"/>
      <c r="F2854" s="59"/>
      <c r="G2854" s="59"/>
      <c r="H2854" s="82"/>
      <c r="I2854" s="59"/>
    </row>
    <row r="2855">
      <c r="A2855" s="59"/>
      <c r="B2855" s="59"/>
      <c r="C2855" s="59"/>
      <c r="D2855" s="59"/>
      <c r="E2855" s="59"/>
      <c r="F2855" s="59"/>
      <c r="G2855" s="59"/>
      <c r="H2855" s="82"/>
      <c r="I2855" s="59"/>
    </row>
    <row r="2856">
      <c r="A2856" s="59"/>
      <c r="B2856" s="59"/>
      <c r="C2856" s="59"/>
      <c r="D2856" s="59"/>
      <c r="E2856" s="59"/>
      <c r="F2856" s="59"/>
      <c r="G2856" s="59"/>
      <c r="H2856" s="82"/>
      <c r="I2856" s="59"/>
    </row>
    <row r="2857">
      <c r="A2857" s="59"/>
      <c r="B2857" s="59"/>
      <c r="C2857" s="59"/>
      <c r="D2857" s="59"/>
      <c r="E2857" s="59"/>
      <c r="F2857" s="59"/>
      <c r="G2857" s="59"/>
      <c r="H2857" s="82"/>
      <c r="I2857" s="59"/>
    </row>
    <row r="2858">
      <c r="A2858" s="59"/>
      <c r="B2858" s="59"/>
      <c r="C2858" s="59"/>
      <c r="D2858" s="59"/>
      <c r="E2858" s="59"/>
      <c r="F2858" s="59"/>
      <c r="G2858" s="59"/>
      <c r="H2858" s="82"/>
      <c r="I2858" s="59"/>
    </row>
    <row r="2859">
      <c r="A2859" s="59"/>
      <c r="B2859" s="59"/>
      <c r="C2859" s="59"/>
      <c r="D2859" s="59"/>
      <c r="E2859" s="59"/>
      <c r="F2859" s="59"/>
      <c r="G2859" s="59"/>
      <c r="H2859" s="82"/>
      <c r="I2859" s="59"/>
    </row>
    <row r="2860">
      <c r="A2860" s="59"/>
      <c r="B2860" s="59"/>
      <c r="C2860" s="59"/>
      <c r="D2860" s="59"/>
      <c r="E2860" s="59"/>
      <c r="F2860" s="59"/>
      <c r="G2860" s="59"/>
      <c r="H2860" s="82"/>
      <c r="I2860" s="59"/>
    </row>
    <row r="2861">
      <c r="A2861" s="59"/>
      <c r="B2861" s="59"/>
      <c r="C2861" s="59"/>
      <c r="D2861" s="59"/>
      <c r="E2861" s="59"/>
      <c r="F2861" s="59"/>
      <c r="G2861" s="59"/>
      <c r="H2861" s="82"/>
      <c r="I2861" s="59"/>
    </row>
    <row r="2862">
      <c r="A2862" s="59"/>
      <c r="B2862" s="59"/>
      <c r="C2862" s="59"/>
      <c r="D2862" s="59"/>
      <c r="E2862" s="59"/>
      <c r="F2862" s="59"/>
      <c r="G2862" s="59"/>
      <c r="H2862" s="82"/>
      <c r="I2862" s="59"/>
    </row>
    <row r="2863">
      <c r="A2863" s="59"/>
      <c r="B2863" s="59"/>
      <c r="C2863" s="59"/>
      <c r="D2863" s="59"/>
      <c r="E2863" s="59"/>
      <c r="F2863" s="59"/>
      <c r="G2863" s="59"/>
      <c r="H2863" s="82"/>
      <c r="I2863" s="59"/>
    </row>
    <row r="2864">
      <c r="A2864" s="59"/>
      <c r="B2864" s="59"/>
      <c r="C2864" s="59"/>
      <c r="D2864" s="59"/>
      <c r="E2864" s="59"/>
      <c r="F2864" s="59"/>
      <c r="G2864" s="59"/>
      <c r="H2864" s="82"/>
      <c r="I2864" s="59"/>
    </row>
    <row r="2865">
      <c r="A2865" s="59"/>
      <c r="B2865" s="59"/>
      <c r="C2865" s="59"/>
      <c r="D2865" s="59"/>
      <c r="E2865" s="59"/>
      <c r="F2865" s="59"/>
      <c r="G2865" s="59"/>
      <c r="H2865" s="82"/>
      <c r="I2865" s="59"/>
    </row>
    <row r="2866">
      <c r="A2866" s="59"/>
      <c r="B2866" s="59"/>
      <c r="C2866" s="59"/>
      <c r="D2866" s="59"/>
      <c r="E2866" s="59"/>
      <c r="F2866" s="59"/>
      <c r="G2866" s="59"/>
      <c r="H2866" s="82"/>
      <c r="I2866" s="59"/>
    </row>
    <row r="2867">
      <c r="A2867" s="59"/>
      <c r="B2867" s="59"/>
      <c r="C2867" s="59"/>
      <c r="D2867" s="59"/>
      <c r="E2867" s="59"/>
      <c r="F2867" s="59"/>
      <c r="G2867" s="59"/>
      <c r="H2867" s="82"/>
      <c r="I2867" s="59"/>
    </row>
    <row r="2868">
      <c r="A2868" s="59"/>
      <c r="B2868" s="59"/>
      <c r="C2868" s="59"/>
      <c r="D2868" s="59"/>
      <c r="E2868" s="59"/>
      <c r="F2868" s="59"/>
      <c r="G2868" s="59"/>
      <c r="H2868" s="82"/>
      <c r="I2868" s="59"/>
    </row>
    <row r="2869">
      <c r="A2869" s="59"/>
      <c r="B2869" s="59"/>
      <c r="C2869" s="59"/>
      <c r="D2869" s="59"/>
      <c r="E2869" s="59"/>
      <c r="F2869" s="59"/>
      <c r="G2869" s="59"/>
      <c r="H2869" s="82"/>
      <c r="I2869" s="59"/>
    </row>
    <row r="2870">
      <c r="A2870" s="59"/>
      <c r="B2870" s="59"/>
      <c r="C2870" s="59"/>
      <c r="D2870" s="59"/>
      <c r="E2870" s="59"/>
      <c r="F2870" s="59"/>
      <c r="G2870" s="59"/>
      <c r="H2870" s="82"/>
      <c r="I2870" s="59"/>
    </row>
    <row r="2871">
      <c r="A2871" s="59"/>
      <c r="B2871" s="59"/>
      <c r="C2871" s="59"/>
      <c r="D2871" s="59"/>
      <c r="E2871" s="59"/>
      <c r="F2871" s="59"/>
      <c r="G2871" s="59"/>
      <c r="H2871" s="82"/>
      <c r="I2871" s="59"/>
    </row>
    <row r="2872">
      <c r="A2872" s="59"/>
      <c r="B2872" s="59"/>
      <c r="C2872" s="59"/>
      <c r="D2872" s="59"/>
      <c r="E2872" s="59"/>
      <c r="F2872" s="59"/>
      <c r="G2872" s="59"/>
      <c r="H2872" s="82"/>
      <c r="I2872" s="59"/>
    </row>
    <row r="2873">
      <c r="A2873" s="59"/>
      <c r="B2873" s="59"/>
      <c r="C2873" s="59"/>
      <c r="D2873" s="59"/>
      <c r="E2873" s="59"/>
      <c r="F2873" s="59"/>
      <c r="G2873" s="59"/>
      <c r="H2873" s="82"/>
      <c r="I2873" s="59"/>
    </row>
    <row r="2874">
      <c r="A2874" s="59"/>
      <c r="B2874" s="59"/>
      <c r="C2874" s="59"/>
      <c r="D2874" s="59"/>
      <c r="E2874" s="59"/>
      <c r="F2874" s="59"/>
      <c r="G2874" s="59"/>
      <c r="H2874" s="82"/>
      <c r="I2874" s="59"/>
    </row>
    <row r="2875">
      <c r="A2875" s="59"/>
      <c r="B2875" s="59"/>
      <c r="C2875" s="59"/>
      <c r="D2875" s="59"/>
      <c r="E2875" s="59"/>
      <c r="F2875" s="59"/>
      <c r="G2875" s="59"/>
      <c r="H2875" s="82"/>
      <c r="I2875" s="59"/>
    </row>
    <row r="2876">
      <c r="A2876" s="59"/>
      <c r="B2876" s="59"/>
      <c r="C2876" s="59"/>
      <c r="D2876" s="59"/>
      <c r="E2876" s="59"/>
      <c r="F2876" s="59"/>
      <c r="G2876" s="59"/>
      <c r="H2876" s="82"/>
      <c r="I2876" s="59"/>
    </row>
    <row r="2877">
      <c r="A2877" s="59"/>
      <c r="B2877" s="59"/>
      <c r="C2877" s="59"/>
      <c r="D2877" s="59"/>
      <c r="E2877" s="59"/>
      <c r="F2877" s="59"/>
      <c r="G2877" s="59"/>
      <c r="H2877" s="82"/>
      <c r="I2877" s="59"/>
    </row>
    <row r="2878">
      <c r="A2878" s="59"/>
      <c r="B2878" s="59"/>
      <c r="C2878" s="59"/>
      <c r="D2878" s="59"/>
      <c r="E2878" s="59"/>
      <c r="F2878" s="59"/>
      <c r="G2878" s="59"/>
      <c r="H2878" s="82"/>
      <c r="I2878" s="59"/>
    </row>
    <row r="2879">
      <c r="A2879" s="59"/>
      <c r="B2879" s="59"/>
      <c r="C2879" s="59"/>
      <c r="D2879" s="59"/>
      <c r="E2879" s="59"/>
      <c r="F2879" s="59"/>
      <c r="G2879" s="59"/>
      <c r="H2879" s="82"/>
      <c r="I2879" s="59"/>
    </row>
    <row r="2880">
      <c r="A2880" s="59"/>
      <c r="B2880" s="59"/>
      <c r="C2880" s="59"/>
      <c r="D2880" s="59"/>
      <c r="E2880" s="59"/>
      <c r="F2880" s="59"/>
      <c r="G2880" s="59"/>
      <c r="H2880" s="82"/>
      <c r="I2880" s="59"/>
    </row>
    <row r="2881">
      <c r="A2881" s="59"/>
      <c r="B2881" s="59"/>
      <c r="C2881" s="59"/>
      <c r="D2881" s="59"/>
      <c r="E2881" s="59"/>
      <c r="F2881" s="59"/>
      <c r="G2881" s="59"/>
      <c r="H2881" s="82"/>
      <c r="I2881" s="59"/>
    </row>
    <row r="2882">
      <c r="A2882" s="59"/>
      <c r="B2882" s="59"/>
      <c r="C2882" s="59"/>
      <c r="D2882" s="59"/>
      <c r="E2882" s="59"/>
      <c r="F2882" s="59"/>
      <c r="G2882" s="59"/>
      <c r="H2882" s="82"/>
      <c r="I2882" s="59"/>
    </row>
    <row r="2883">
      <c r="A2883" s="59"/>
      <c r="B2883" s="59"/>
      <c r="C2883" s="59"/>
      <c r="D2883" s="59"/>
      <c r="E2883" s="59"/>
      <c r="F2883" s="59"/>
      <c r="G2883" s="59"/>
      <c r="H2883" s="82"/>
      <c r="I2883" s="59"/>
    </row>
    <row r="2884">
      <c r="A2884" s="59"/>
      <c r="B2884" s="59"/>
      <c r="C2884" s="59"/>
      <c r="D2884" s="59"/>
      <c r="E2884" s="59"/>
      <c r="F2884" s="59"/>
      <c r="G2884" s="59"/>
      <c r="H2884" s="82"/>
      <c r="I2884" s="59"/>
    </row>
    <row r="2885">
      <c r="A2885" s="59"/>
      <c r="B2885" s="59"/>
      <c r="C2885" s="59"/>
      <c r="D2885" s="59"/>
      <c r="E2885" s="59"/>
      <c r="F2885" s="59"/>
      <c r="G2885" s="59"/>
      <c r="H2885" s="82"/>
      <c r="I2885" s="59"/>
    </row>
    <row r="2886">
      <c r="A2886" s="59"/>
      <c r="B2886" s="59"/>
      <c r="C2886" s="59"/>
      <c r="D2886" s="59"/>
      <c r="E2886" s="59"/>
      <c r="F2886" s="59"/>
      <c r="G2886" s="59"/>
      <c r="H2886" s="82"/>
      <c r="I2886" s="59"/>
    </row>
    <row r="2887">
      <c r="A2887" s="59"/>
      <c r="B2887" s="59"/>
      <c r="C2887" s="59"/>
      <c r="D2887" s="59"/>
      <c r="E2887" s="59"/>
      <c r="F2887" s="59"/>
      <c r="G2887" s="59"/>
      <c r="H2887" s="82"/>
      <c r="I2887" s="59"/>
    </row>
    <row r="2888">
      <c r="A2888" s="59"/>
      <c r="B2888" s="59"/>
      <c r="C2888" s="59"/>
      <c r="D2888" s="59"/>
      <c r="E2888" s="59"/>
      <c r="F2888" s="59"/>
      <c r="G2888" s="59"/>
      <c r="H2888" s="82"/>
      <c r="I2888" s="59"/>
    </row>
    <row r="2889">
      <c r="A2889" s="59"/>
      <c r="B2889" s="59"/>
      <c r="C2889" s="59"/>
      <c r="D2889" s="59"/>
      <c r="E2889" s="59"/>
      <c r="F2889" s="59"/>
      <c r="G2889" s="59"/>
      <c r="H2889" s="82"/>
      <c r="I2889" s="59"/>
    </row>
    <row r="2890">
      <c r="A2890" s="59"/>
      <c r="B2890" s="59"/>
      <c r="C2890" s="59"/>
      <c r="D2890" s="59"/>
      <c r="E2890" s="59"/>
      <c r="F2890" s="59"/>
      <c r="G2890" s="59"/>
      <c r="H2890" s="82"/>
      <c r="I2890" s="59"/>
    </row>
    <row r="2891">
      <c r="A2891" s="59"/>
      <c r="B2891" s="59"/>
      <c r="C2891" s="59"/>
      <c r="D2891" s="59"/>
      <c r="E2891" s="59"/>
      <c r="F2891" s="59"/>
      <c r="G2891" s="59"/>
      <c r="H2891" s="82"/>
      <c r="I2891" s="59"/>
    </row>
    <row r="2892">
      <c r="A2892" s="59"/>
      <c r="B2892" s="59"/>
      <c r="C2892" s="59"/>
      <c r="D2892" s="59"/>
      <c r="E2892" s="59"/>
      <c r="F2892" s="59"/>
      <c r="G2892" s="59"/>
      <c r="H2892" s="82"/>
      <c r="I2892" s="59"/>
    </row>
    <row r="2893">
      <c r="A2893" s="59"/>
      <c r="B2893" s="59"/>
      <c r="C2893" s="59"/>
      <c r="D2893" s="59"/>
      <c r="E2893" s="59"/>
      <c r="F2893" s="59"/>
      <c r="G2893" s="59"/>
      <c r="H2893" s="82"/>
      <c r="I2893" s="59"/>
    </row>
    <row r="2894">
      <c r="A2894" s="59"/>
      <c r="B2894" s="59"/>
      <c r="C2894" s="59"/>
      <c r="D2894" s="59"/>
      <c r="E2894" s="59"/>
      <c r="F2894" s="59"/>
      <c r="G2894" s="59"/>
      <c r="H2894" s="82"/>
      <c r="I2894" s="59"/>
    </row>
    <row r="2895">
      <c r="A2895" s="59"/>
      <c r="B2895" s="59"/>
      <c r="C2895" s="59"/>
      <c r="D2895" s="59"/>
      <c r="E2895" s="59"/>
      <c r="F2895" s="59"/>
      <c r="G2895" s="59"/>
      <c r="H2895" s="82"/>
      <c r="I2895" s="59"/>
    </row>
    <row r="2896">
      <c r="A2896" s="59"/>
      <c r="B2896" s="59"/>
      <c r="C2896" s="59"/>
      <c r="D2896" s="59"/>
      <c r="E2896" s="59"/>
      <c r="F2896" s="59"/>
      <c r="G2896" s="59"/>
      <c r="H2896" s="82"/>
      <c r="I2896" s="59"/>
    </row>
    <row r="2897">
      <c r="A2897" s="59"/>
      <c r="B2897" s="59"/>
      <c r="C2897" s="59"/>
      <c r="D2897" s="59"/>
      <c r="E2897" s="59"/>
      <c r="F2897" s="59"/>
      <c r="G2897" s="59"/>
      <c r="H2897" s="82"/>
      <c r="I2897" s="59"/>
    </row>
    <row r="2898">
      <c r="A2898" s="59"/>
      <c r="B2898" s="59"/>
      <c r="C2898" s="59"/>
      <c r="D2898" s="59"/>
      <c r="E2898" s="59"/>
      <c r="F2898" s="59"/>
      <c r="G2898" s="59"/>
      <c r="H2898" s="82"/>
      <c r="I2898" s="59"/>
    </row>
    <row r="2899">
      <c r="A2899" s="59"/>
      <c r="B2899" s="59"/>
      <c r="C2899" s="59"/>
      <c r="D2899" s="59"/>
      <c r="E2899" s="59"/>
      <c r="F2899" s="59"/>
      <c r="G2899" s="59"/>
      <c r="H2899" s="82"/>
      <c r="I2899" s="59"/>
    </row>
    <row r="2900">
      <c r="A2900" s="59"/>
      <c r="B2900" s="59"/>
      <c r="C2900" s="59"/>
      <c r="D2900" s="59"/>
      <c r="E2900" s="59"/>
      <c r="F2900" s="59"/>
      <c r="G2900" s="59"/>
      <c r="H2900" s="82"/>
      <c r="I2900" s="59"/>
    </row>
    <row r="2901">
      <c r="A2901" s="59"/>
      <c r="B2901" s="59"/>
      <c r="C2901" s="59"/>
      <c r="D2901" s="59"/>
      <c r="E2901" s="59"/>
      <c r="F2901" s="59"/>
      <c r="G2901" s="59"/>
      <c r="H2901" s="82"/>
      <c r="I2901" s="59"/>
    </row>
    <row r="2902">
      <c r="A2902" s="59"/>
      <c r="B2902" s="59"/>
      <c r="C2902" s="59"/>
      <c r="D2902" s="59"/>
      <c r="E2902" s="59"/>
      <c r="F2902" s="59"/>
      <c r="G2902" s="59"/>
      <c r="H2902" s="82"/>
      <c r="I2902" s="59"/>
    </row>
    <row r="2903">
      <c r="A2903" s="59"/>
      <c r="B2903" s="59"/>
      <c r="C2903" s="59"/>
      <c r="D2903" s="59"/>
      <c r="E2903" s="59"/>
      <c r="F2903" s="59"/>
      <c r="G2903" s="59"/>
      <c r="H2903" s="82"/>
      <c r="I2903" s="59"/>
    </row>
    <row r="2904">
      <c r="A2904" s="59"/>
      <c r="B2904" s="59"/>
      <c r="C2904" s="59"/>
      <c r="D2904" s="59"/>
      <c r="E2904" s="59"/>
      <c r="F2904" s="59"/>
      <c r="G2904" s="59"/>
      <c r="H2904" s="82"/>
      <c r="I2904" s="59"/>
    </row>
    <row r="2905">
      <c r="A2905" s="59"/>
      <c r="B2905" s="59"/>
      <c r="C2905" s="59"/>
      <c r="D2905" s="59"/>
      <c r="E2905" s="59"/>
      <c r="F2905" s="59"/>
      <c r="G2905" s="59"/>
      <c r="H2905" s="82"/>
      <c r="I2905" s="59"/>
    </row>
    <row r="2906">
      <c r="A2906" s="59"/>
      <c r="B2906" s="59"/>
      <c r="C2906" s="59"/>
      <c r="D2906" s="59"/>
      <c r="E2906" s="59"/>
      <c r="F2906" s="59"/>
      <c r="G2906" s="59"/>
      <c r="H2906" s="82"/>
      <c r="I2906" s="59"/>
    </row>
    <row r="2907">
      <c r="A2907" s="59"/>
      <c r="B2907" s="59"/>
      <c r="C2907" s="59"/>
      <c r="D2907" s="59"/>
      <c r="E2907" s="59"/>
      <c r="F2907" s="59"/>
      <c r="G2907" s="59"/>
      <c r="H2907" s="82"/>
      <c r="I2907" s="59"/>
    </row>
    <row r="2908">
      <c r="A2908" s="59"/>
      <c r="B2908" s="59"/>
      <c r="C2908" s="59"/>
      <c r="D2908" s="59"/>
      <c r="E2908" s="59"/>
      <c r="F2908" s="59"/>
      <c r="G2908" s="59"/>
      <c r="H2908" s="82"/>
      <c r="I2908" s="59"/>
    </row>
    <row r="2909">
      <c r="A2909" s="59"/>
      <c r="B2909" s="59"/>
      <c r="C2909" s="59"/>
      <c r="D2909" s="59"/>
      <c r="E2909" s="59"/>
      <c r="F2909" s="59"/>
      <c r="G2909" s="59"/>
      <c r="H2909" s="82"/>
      <c r="I2909" s="59"/>
    </row>
    <row r="2910">
      <c r="A2910" s="59"/>
      <c r="B2910" s="59"/>
      <c r="C2910" s="59"/>
      <c r="D2910" s="59"/>
      <c r="E2910" s="59"/>
      <c r="F2910" s="59"/>
      <c r="G2910" s="59"/>
      <c r="H2910" s="82"/>
      <c r="I2910" s="59"/>
    </row>
    <row r="2911">
      <c r="A2911" s="59"/>
      <c r="B2911" s="59"/>
      <c r="C2911" s="59"/>
      <c r="D2911" s="59"/>
      <c r="E2911" s="59"/>
      <c r="F2911" s="59"/>
      <c r="G2911" s="59"/>
      <c r="H2911" s="82"/>
      <c r="I2911" s="59"/>
    </row>
    <row r="2912">
      <c r="A2912" s="59"/>
      <c r="B2912" s="59"/>
      <c r="C2912" s="59"/>
      <c r="D2912" s="59"/>
      <c r="E2912" s="59"/>
      <c r="F2912" s="59"/>
      <c r="G2912" s="59"/>
      <c r="H2912" s="82"/>
      <c r="I2912" s="59"/>
    </row>
    <row r="2913">
      <c r="A2913" s="59"/>
      <c r="B2913" s="59"/>
      <c r="C2913" s="59"/>
      <c r="D2913" s="59"/>
      <c r="E2913" s="59"/>
      <c r="F2913" s="59"/>
      <c r="G2913" s="59"/>
      <c r="H2913" s="82"/>
      <c r="I2913" s="59"/>
    </row>
    <row r="2914">
      <c r="A2914" s="59"/>
      <c r="B2914" s="59"/>
      <c r="C2914" s="59"/>
      <c r="D2914" s="59"/>
      <c r="E2914" s="59"/>
      <c r="F2914" s="59"/>
      <c r="G2914" s="59"/>
      <c r="H2914" s="82"/>
      <c r="I2914" s="59"/>
    </row>
    <row r="2915">
      <c r="A2915" s="59"/>
      <c r="B2915" s="59"/>
      <c r="C2915" s="59"/>
      <c r="D2915" s="59"/>
      <c r="E2915" s="59"/>
      <c r="F2915" s="59"/>
      <c r="G2915" s="59"/>
      <c r="H2915" s="82"/>
      <c r="I2915" s="59"/>
    </row>
    <row r="2916">
      <c r="A2916" s="59"/>
      <c r="B2916" s="59"/>
      <c r="C2916" s="59"/>
      <c r="D2916" s="59"/>
      <c r="E2916" s="59"/>
      <c r="F2916" s="59"/>
      <c r="G2916" s="59"/>
      <c r="H2916" s="82"/>
      <c r="I2916" s="59"/>
    </row>
    <row r="2917">
      <c r="A2917" s="59"/>
      <c r="B2917" s="59"/>
      <c r="C2917" s="59"/>
      <c r="D2917" s="59"/>
      <c r="E2917" s="59"/>
      <c r="F2917" s="59"/>
      <c r="G2917" s="59"/>
      <c r="H2917" s="82"/>
      <c r="I2917" s="59"/>
    </row>
    <row r="2918">
      <c r="A2918" s="59"/>
      <c r="B2918" s="59"/>
      <c r="C2918" s="59"/>
      <c r="D2918" s="59"/>
      <c r="E2918" s="59"/>
      <c r="F2918" s="59"/>
      <c r="G2918" s="59"/>
      <c r="H2918" s="82"/>
      <c r="I2918" s="59"/>
    </row>
    <row r="2919">
      <c r="A2919" s="59"/>
      <c r="B2919" s="59"/>
      <c r="C2919" s="59"/>
      <c r="D2919" s="59"/>
      <c r="E2919" s="59"/>
      <c r="F2919" s="59"/>
      <c r="G2919" s="59"/>
      <c r="H2919" s="82"/>
      <c r="I2919" s="59"/>
    </row>
    <row r="2920">
      <c r="A2920" s="59"/>
      <c r="B2920" s="59"/>
      <c r="C2920" s="59"/>
      <c r="D2920" s="59"/>
      <c r="E2920" s="59"/>
      <c r="F2920" s="59"/>
      <c r="G2920" s="59"/>
      <c r="H2920" s="82"/>
      <c r="I2920" s="59"/>
    </row>
    <row r="2921">
      <c r="A2921" s="59"/>
      <c r="B2921" s="59"/>
      <c r="C2921" s="59"/>
      <c r="D2921" s="59"/>
      <c r="E2921" s="59"/>
      <c r="F2921" s="59"/>
      <c r="G2921" s="59"/>
      <c r="H2921" s="82"/>
      <c r="I2921" s="59"/>
    </row>
    <row r="2922">
      <c r="A2922" s="59"/>
      <c r="B2922" s="59"/>
      <c r="C2922" s="59"/>
      <c r="D2922" s="59"/>
      <c r="E2922" s="59"/>
      <c r="F2922" s="59"/>
      <c r="G2922" s="59"/>
      <c r="H2922" s="82"/>
      <c r="I2922" s="59"/>
    </row>
    <row r="2923">
      <c r="A2923" s="59"/>
      <c r="B2923" s="59"/>
      <c r="C2923" s="59"/>
      <c r="D2923" s="59"/>
      <c r="E2923" s="59"/>
      <c r="F2923" s="59"/>
      <c r="G2923" s="59"/>
      <c r="H2923" s="82"/>
      <c r="I2923" s="59"/>
    </row>
    <row r="2924">
      <c r="A2924" s="59"/>
      <c r="B2924" s="59"/>
      <c r="C2924" s="59"/>
      <c r="D2924" s="59"/>
      <c r="E2924" s="59"/>
      <c r="F2924" s="59"/>
      <c r="G2924" s="59"/>
      <c r="H2924" s="82"/>
      <c r="I2924" s="59"/>
    </row>
    <row r="2925">
      <c r="A2925" s="59"/>
      <c r="B2925" s="59"/>
      <c r="C2925" s="59"/>
      <c r="D2925" s="59"/>
      <c r="E2925" s="59"/>
      <c r="F2925" s="59"/>
      <c r="G2925" s="59"/>
      <c r="H2925" s="82"/>
      <c r="I2925" s="59"/>
    </row>
    <row r="2926">
      <c r="A2926" s="59"/>
      <c r="B2926" s="59"/>
      <c r="C2926" s="59"/>
      <c r="D2926" s="59"/>
      <c r="E2926" s="59"/>
      <c r="F2926" s="59"/>
      <c r="G2926" s="59"/>
      <c r="H2926" s="82"/>
      <c r="I2926" s="59"/>
    </row>
    <row r="2927">
      <c r="A2927" s="59"/>
      <c r="B2927" s="59"/>
      <c r="C2927" s="59"/>
      <c r="D2927" s="59"/>
      <c r="E2927" s="59"/>
      <c r="F2927" s="59"/>
      <c r="G2927" s="59"/>
      <c r="H2927" s="82"/>
      <c r="I2927" s="59"/>
    </row>
    <row r="2928">
      <c r="A2928" s="59"/>
      <c r="B2928" s="59"/>
      <c r="C2928" s="59"/>
      <c r="D2928" s="59"/>
      <c r="E2928" s="59"/>
      <c r="F2928" s="59"/>
      <c r="G2928" s="59"/>
      <c r="H2928" s="82"/>
      <c r="I2928" s="59"/>
    </row>
    <row r="2929">
      <c r="A2929" s="59"/>
      <c r="B2929" s="59"/>
      <c r="C2929" s="59"/>
      <c r="D2929" s="59"/>
      <c r="E2929" s="59"/>
      <c r="F2929" s="59"/>
      <c r="G2929" s="59"/>
      <c r="H2929" s="82"/>
      <c r="I2929" s="59"/>
    </row>
    <row r="2930">
      <c r="A2930" s="59"/>
      <c r="B2930" s="59"/>
      <c r="C2930" s="59"/>
      <c r="D2930" s="59"/>
      <c r="E2930" s="59"/>
      <c r="F2930" s="59"/>
      <c r="G2930" s="59"/>
      <c r="H2930" s="82"/>
      <c r="I2930" s="59"/>
    </row>
    <row r="2931">
      <c r="A2931" s="59"/>
      <c r="B2931" s="59"/>
      <c r="C2931" s="59"/>
      <c r="D2931" s="59"/>
      <c r="E2931" s="59"/>
      <c r="F2931" s="59"/>
      <c r="G2931" s="59"/>
      <c r="H2931" s="82"/>
      <c r="I2931" s="59"/>
    </row>
    <row r="2932">
      <c r="A2932" s="59"/>
      <c r="B2932" s="59"/>
      <c r="C2932" s="59"/>
      <c r="D2932" s="59"/>
      <c r="E2932" s="59"/>
      <c r="F2932" s="59"/>
      <c r="G2932" s="59"/>
      <c r="H2932" s="82"/>
      <c r="I2932" s="59"/>
    </row>
    <row r="2933">
      <c r="A2933" s="59"/>
      <c r="B2933" s="59"/>
      <c r="C2933" s="59"/>
      <c r="D2933" s="59"/>
      <c r="E2933" s="59"/>
      <c r="F2933" s="59"/>
      <c r="G2933" s="59"/>
      <c r="H2933" s="82"/>
      <c r="I2933" s="59"/>
    </row>
    <row r="2934">
      <c r="A2934" s="59"/>
      <c r="B2934" s="59"/>
      <c r="C2934" s="59"/>
      <c r="D2934" s="59"/>
      <c r="E2934" s="59"/>
      <c r="F2934" s="59"/>
      <c r="G2934" s="59"/>
      <c r="H2934" s="82"/>
      <c r="I2934" s="59"/>
    </row>
    <row r="2935">
      <c r="A2935" s="59"/>
      <c r="B2935" s="59"/>
      <c r="C2935" s="59"/>
      <c r="D2935" s="59"/>
      <c r="E2935" s="59"/>
      <c r="F2935" s="59"/>
      <c r="G2935" s="59"/>
      <c r="H2935" s="82"/>
      <c r="I2935" s="59"/>
    </row>
    <row r="2936">
      <c r="A2936" s="59"/>
      <c r="B2936" s="59"/>
      <c r="C2936" s="59"/>
      <c r="D2936" s="59"/>
      <c r="E2936" s="59"/>
      <c r="F2936" s="59"/>
      <c r="G2936" s="59"/>
      <c r="H2936" s="82"/>
      <c r="I2936" s="59"/>
    </row>
    <row r="2937">
      <c r="A2937" s="59"/>
      <c r="B2937" s="59"/>
      <c r="C2937" s="59"/>
      <c r="D2937" s="59"/>
      <c r="E2937" s="59"/>
      <c r="F2937" s="59"/>
      <c r="G2937" s="59"/>
      <c r="H2937" s="82"/>
      <c r="I2937" s="59"/>
    </row>
    <row r="2938">
      <c r="A2938" s="59"/>
      <c r="B2938" s="59"/>
      <c r="C2938" s="59"/>
      <c r="D2938" s="59"/>
      <c r="E2938" s="59"/>
      <c r="F2938" s="59"/>
      <c r="G2938" s="59"/>
      <c r="H2938" s="82"/>
      <c r="I2938" s="59"/>
    </row>
    <row r="2939">
      <c r="A2939" s="59"/>
      <c r="B2939" s="59"/>
      <c r="C2939" s="59"/>
      <c r="D2939" s="59"/>
      <c r="E2939" s="59"/>
      <c r="F2939" s="59"/>
      <c r="G2939" s="59"/>
      <c r="H2939" s="82"/>
      <c r="I2939" s="59"/>
    </row>
    <row r="2940">
      <c r="A2940" s="59"/>
      <c r="B2940" s="59"/>
      <c r="C2940" s="59"/>
      <c r="D2940" s="59"/>
      <c r="E2940" s="59"/>
      <c r="F2940" s="59"/>
      <c r="G2940" s="59"/>
      <c r="H2940" s="82"/>
      <c r="I2940" s="59"/>
    </row>
    <row r="2941">
      <c r="A2941" s="59"/>
      <c r="B2941" s="59"/>
      <c r="C2941" s="59"/>
      <c r="D2941" s="59"/>
      <c r="E2941" s="59"/>
      <c r="F2941" s="59"/>
      <c r="G2941" s="59"/>
      <c r="H2941" s="82"/>
      <c r="I2941" s="59"/>
    </row>
    <row r="2942">
      <c r="A2942" s="59"/>
      <c r="B2942" s="59"/>
      <c r="C2942" s="59"/>
      <c r="D2942" s="59"/>
      <c r="E2942" s="59"/>
      <c r="F2942" s="59"/>
      <c r="G2942" s="59"/>
      <c r="H2942" s="82"/>
      <c r="I2942" s="59"/>
    </row>
    <row r="2943">
      <c r="A2943" s="59"/>
      <c r="B2943" s="59"/>
      <c r="C2943" s="59"/>
      <c r="D2943" s="59"/>
      <c r="E2943" s="59"/>
      <c r="F2943" s="59"/>
      <c r="G2943" s="59"/>
      <c r="H2943" s="82"/>
      <c r="I2943" s="59"/>
    </row>
    <row r="2944">
      <c r="A2944" s="59"/>
      <c r="B2944" s="59"/>
      <c r="C2944" s="59"/>
      <c r="D2944" s="59"/>
      <c r="E2944" s="59"/>
      <c r="F2944" s="59"/>
      <c r="G2944" s="59"/>
      <c r="H2944" s="82"/>
      <c r="I2944" s="59"/>
    </row>
    <row r="2945">
      <c r="A2945" s="59"/>
      <c r="B2945" s="59"/>
      <c r="C2945" s="59"/>
      <c r="D2945" s="59"/>
      <c r="E2945" s="59"/>
      <c r="F2945" s="59"/>
      <c r="G2945" s="59"/>
      <c r="H2945" s="82"/>
      <c r="I2945" s="59"/>
    </row>
    <row r="2946">
      <c r="A2946" s="59"/>
      <c r="B2946" s="59"/>
      <c r="C2946" s="59"/>
      <c r="D2946" s="59"/>
      <c r="E2946" s="59"/>
      <c r="F2946" s="59"/>
      <c r="G2946" s="59"/>
      <c r="H2946" s="82"/>
      <c r="I2946" s="59"/>
    </row>
    <row r="2947">
      <c r="A2947" s="59"/>
      <c r="B2947" s="59"/>
      <c r="C2947" s="59"/>
      <c r="D2947" s="59"/>
      <c r="E2947" s="59"/>
      <c r="F2947" s="59"/>
      <c r="G2947" s="59"/>
      <c r="H2947" s="82"/>
      <c r="I2947" s="59"/>
    </row>
    <row r="2948">
      <c r="A2948" s="59"/>
      <c r="B2948" s="59"/>
      <c r="C2948" s="59"/>
      <c r="D2948" s="59"/>
      <c r="E2948" s="59"/>
      <c r="F2948" s="59"/>
      <c r="G2948" s="59"/>
      <c r="H2948" s="82"/>
      <c r="I2948" s="59"/>
    </row>
    <row r="2949">
      <c r="A2949" s="59"/>
      <c r="B2949" s="59"/>
      <c r="C2949" s="59"/>
      <c r="D2949" s="59"/>
      <c r="E2949" s="59"/>
      <c r="F2949" s="59"/>
      <c r="G2949" s="59"/>
      <c r="H2949" s="82"/>
      <c r="I2949" s="59"/>
    </row>
    <row r="2950">
      <c r="A2950" s="59"/>
      <c r="B2950" s="59"/>
      <c r="C2950" s="59"/>
      <c r="D2950" s="59"/>
      <c r="E2950" s="59"/>
      <c r="F2950" s="59"/>
      <c r="G2950" s="59"/>
      <c r="H2950" s="82"/>
      <c r="I2950" s="59"/>
    </row>
    <row r="2951">
      <c r="A2951" s="59"/>
      <c r="B2951" s="59"/>
      <c r="C2951" s="59"/>
      <c r="D2951" s="59"/>
      <c r="E2951" s="59"/>
      <c r="F2951" s="59"/>
      <c r="G2951" s="59"/>
      <c r="H2951" s="82"/>
      <c r="I2951" s="59"/>
    </row>
    <row r="2952">
      <c r="A2952" s="59"/>
      <c r="B2952" s="59"/>
      <c r="C2952" s="59"/>
      <c r="D2952" s="59"/>
      <c r="E2952" s="59"/>
      <c r="F2952" s="59"/>
      <c r="G2952" s="59"/>
      <c r="H2952" s="82"/>
      <c r="I2952" s="59"/>
    </row>
    <row r="2953">
      <c r="A2953" s="59"/>
      <c r="B2953" s="59"/>
      <c r="C2953" s="59"/>
      <c r="D2953" s="59"/>
      <c r="E2953" s="59"/>
      <c r="F2953" s="59"/>
      <c r="G2953" s="59"/>
      <c r="H2953" s="82"/>
      <c r="I2953" s="59"/>
    </row>
    <row r="2954">
      <c r="A2954" s="59"/>
      <c r="B2954" s="59"/>
      <c r="C2954" s="59"/>
      <c r="D2954" s="59"/>
      <c r="E2954" s="59"/>
      <c r="F2954" s="59"/>
      <c r="G2954" s="59"/>
      <c r="H2954" s="82"/>
      <c r="I2954" s="59"/>
    </row>
    <row r="2955">
      <c r="A2955" s="59"/>
      <c r="B2955" s="59"/>
      <c r="C2955" s="59"/>
      <c r="D2955" s="59"/>
      <c r="E2955" s="59"/>
      <c r="F2955" s="59"/>
      <c r="G2955" s="59"/>
      <c r="H2955" s="82"/>
      <c r="I2955" s="59"/>
    </row>
    <row r="2956">
      <c r="A2956" s="59"/>
      <c r="B2956" s="59"/>
      <c r="C2956" s="59"/>
      <c r="D2956" s="59"/>
      <c r="E2956" s="59"/>
      <c r="F2956" s="59"/>
      <c r="G2956" s="59"/>
      <c r="H2956" s="82"/>
      <c r="I2956" s="59"/>
    </row>
    <row r="2957">
      <c r="A2957" s="59"/>
      <c r="B2957" s="59"/>
      <c r="C2957" s="59"/>
      <c r="D2957" s="59"/>
      <c r="E2957" s="59"/>
      <c r="F2957" s="59"/>
      <c r="G2957" s="59"/>
      <c r="H2957" s="82"/>
      <c r="I2957" s="59"/>
    </row>
    <row r="2958">
      <c r="A2958" s="59"/>
      <c r="B2958" s="59"/>
      <c r="C2958" s="59"/>
      <c r="D2958" s="59"/>
      <c r="E2958" s="59"/>
      <c r="F2958" s="59"/>
      <c r="G2958" s="59"/>
      <c r="H2958" s="82"/>
      <c r="I2958" s="59"/>
    </row>
    <row r="2959">
      <c r="A2959" s="59"/>
      <c r="B2959" s="59"/>
      <c r="C2959" s="59"/>
      <c r="D2959" s="59"/>
      <c r="E2959" s="59"/>
      <c r="F2959" s="59"/>
      <c r="G2959" s="59"/>
      <c r="H2959" s="82"/>
      <c r="I2959" s="59"/>
    </row>
    <row r="2960">
      <c r="A2960" s="59"/>
      <c r="B2960" s="59"/>
      <c r="C2960" s="59"/>
      <c r="D2960" s="59"/>
      <c r="E2960" s="59"/>
      <c r="F2960" s="59"/>
      <c r="G2960" s="59"/>
      <c r="H2960" s="82"/>
      <c r="I2960" s="59"/>
    </row>
    <row r="2961">
      <c r="A2961" s="59"/>
      <c r="B2961" s="59"/>
      <c r="C2961" s="59"/>
      <c r="D2961" s="59"/>
      <c r="E2961" s="59"/>
      <c r="F2961" s="59"/>
      <c r="G2961" s="59"/>
      <c r="H2961" s="82"/>
      <c r="I2961" s="59"/>
    </row>
    <row r="2962">
      <c r="A2962" s="59"/>
      <c r="B2962" s="59"/>
      <c r="C2962" s="59"/>
      <c r="D2962" s="59"/>
      <c r="E2962" s="59"/>
      <c r="F2962" s="59"/>
      <c r="G2962" s="59"/>
      <c r="H2962" s="82"/>
      <c r="I2962" s="59"/>
    </row>
    <row r="2963">
      <c r="A2963" s="59"/>
      <c r="B2963" s="59"/>
      <c r="C2963" s="59"/>
      <c r="D2963" s="59"/>
      <c r="E2963" s="59"/>
      <c r="F2963" s="59"/>
      <c r="G2963" s="59"/>
      <c r="H2963" s="82"/>
      <c r="I2963" s="59"/>
    </row>
    <row r="2964">
      <c r="A2964" s="59"/>
      <c r="B2964" s="59"/>
      <c r="C2964" s="59"/>
      <c r="D2964" s="59"/>
      <c r="E2964" s="59"/>
      <c r="F2964" s="59"/>
      <c r="G2964" s="59"/>
      <c r="H2964" s="82"/>
      <c r="I2964" s="59"/>
    </row>
    <row r="2965">
      <c r="A2965" s="59"/>
      <c r="B2965" s="59"/>
      <c r="C2965" s="59"/>
      <c r="D2965" s="59"/>
      <c r="E2965" s="59"/>
      <c r="F2965" s="59"/>
      <c r="G2965" s="59"/>
      <c r="H2965" s="82"/>
      <c r="I2965" s="59"/>
    </row>
    <row r="2966">
      <c r="A2966" s="59"/>
      <c r="B2966" s="59"/>
      <c r="C2966" s="59"/>
      <c r="D2966" s="59"/>
      <c r="E2966" s="59"/>
      <c r="F2966" s="59"/>
      <c r="G2966" s="59"/>
      <c r="H2966" s="82"/>
      <c r="I2966" s="59"/>
    </row>
    <row r="2967">
      <c r="A2967" s="59"/>
      <c r="B2967" s="59"/>
      <c r="C2967" s="59"/>
      <c r="D2967" s="59"/>
      <c r="E2967" s="59"/>
      <c r="F2967" s="59"/>
      <c r="G2967" s="59"/>
      <c r="H2967" s="82"/>
      <c r="I2967" s="59"/>
    </row>
    <row r="2968">
      <c r="A2968" s="59"/>
      <c r="B2968" s="59"/>
      <c r="C2968" s="59"/>
      <c r="D2968" s="59"/>
      <c r="E2968" s="59"/>
      <c r="F2968" s="59"/>
      <c r="G2968" s="59"/>
      <c r="H2968" s="82"/>
      <c r="I2968" s="59"/>
    </row>
    <row r="2969">
      <c r="A2969" s="59"/>
      <c r="B2969" s="59"/>
      <c r="C2969" s="59"/>
      <c r="D2969" s="59"/>
      <c r="E2969" s="59"/>
      <c r="F2969" s="59"/>
      <c r="G2969" s="59"/>
      <c r="H2969" s="82"/>
      <c r="I2969" s="59"/>
    </row>
    <row r="2970">
      <c r="A2970" s="59"/>
      <c r="B2970" s="59"/>
      <c r="C2970" s="59"/>
      <c r="D2970" s="59"/>
      <c r="E2970" s="59"/>
      <c r="F2970" s="59"/>
      <c r="G2970" s="59"/>
      <c r="H2970" s="82"/>
      <c r="I2970" s="59"/>
    </row>
    <row r="2971">
      <c r="A2971" s="59"/>
      <c r="B2971" s="59"/>
      <c r="C2971" s="59"/>
      <c r="D2971" s="59"/>
      <c r="E2971" s="59"/>
      <c r="F2971" s="59"/>
      <c r="G2971" s="59"/>
      <c r="H2971" s="82"/>
      <c r="I2971" s="59"/>
    </row>
    <row r="2972">
      <c r="A2972" s="59"/>
      <c r="B2972" s="59"/>
      <c r="C2972" s="59"/>
      <c r="D2972" s="59"/>
      <c r="E2972" s="59"/>
      <c r="F2972" s="59"/>
      <c r="G2972" s="59"/>
      <c r="H2972" s="82"/>
      <c r="I2972" s="59"/>
    </row>
    <row r="2973">
      <c r="A2973" s="59"/>
      <c r="B2973" s="59"/>
      <c r="C2973" s="59"/>
      <c r="D2973" s="59"/>
      <c r="E2973" s="59"/>
      <c r="F2973" s="59"/>
      <c r="G2973" s="59"/>
      <c r="H2973" s="82"/>
      <c r="I2973" s="59"/>
    </row>
    <row r="2974">
      <c r="A2974" s="59"/>
      <c r="B2974" s="59"/>
      <c r="C2974" s="59"/>
      <c r="D2974" s="59"/>
      <c r="E2974" s="59"/>
      <c r="F2974" s="59"/>
      <c r="G2974" s="59"/>
      <c r="H2974" s="82"/>
      <c r="I2974" s="59"/>
    </row>
    <row r="2975">
      <c r="A2975" s="59"/>
      <c r="B2975" s="59"/>
      <c r="C2975" s="59"/>
      <c r="D2975" s="59"/>
      <c r="E2975" s="59"/>
      <c r="F2975" s="59"/>
      <c r="G2975" s="59"/>
      <c r="H2975" s="82"/>
      <c r="I2975" s="59"/>
    </row>
    <row r="2976">
      <c r="A2976" s="59"/>
      <c r="B2976" s="59"/>
      <c r="C2976" s="59"/>
      <c r="D2976" s="59"/>
      <c r="E2976" s="59"/>
      <c r="F2976" s="59"/>
      <c r="G2976" s="59"/>
      <c r="H2976" s="82"/>
      <c r="I2976" s="59"/>
    </row>
    <row r="2977">
      <c r="A2977" s="59"/>
      <c r="B2977" s="59"/>
      <c r="C2977" s="59"/>
      <c r="D2977" s="59"/>
      <c r="E2977" s="59"/>
      <c r="F2977" s="59"/>
      <c r="G2977" s="59"/>
      <c r="H2977" s="82"/>
      <c r="I2977" s="59"/>
    </row>
    <row r="2978">
      <c r="A2978" s="59"/>
      <c r="B2978" s="59"/>
      <c r="C2978" s="59"/>
      <c r="D2978" s="59"/>
      <c r="E2978" s="59"/>
      <c r="F2978" s="59"/>
      <c r="G2978" s="59"/>
      <c r="H2978" s="82"/>
      <c r="I2978" s="59"/>
    </row>
    <row r="2979">
      <c r="A2979" s="59"/>
      <c r="B2979" s="59"/>
      <c r="C2979" s="59"/>
      <c r="D2979" s="59"/>
      <c r="E2979" s="59"/>
      <c r="F2979" s="59"/>
      <c r="G2979" s="59"/>
      <c r="H2979" s="82"/>
      <c r="I2979" s="59"/>
    </row>
    <row r="2980">
      <c r="A2980" s="59"/>
      <c r="B2980" s="59"/>
      <c r="C2980" s="59"/>
      <c r="D2980" s="59"/>
      <c r="E2980" s="59"/>
      <c r="F2980" s="59"/>
      <c r="G2980" s="59"/>
      <c r="H2980" s="82"/>
      <c r="I2980" s="59"/>
    </row>
    <row r="2981">
      <c r="A2981" s="59"/>
      <c r="B2981" s="59"/>
      <c r="C2981" s="59"/>
      <c r="D2981" s="59"/>
      <c r="E2981" s="59"/>
      <c r="F2981" s="59"/>
      <c r="G2981" s="59"/>
      <c r="H2981" s="82"/>
      <c r="I2981" s="59"/>
    </row>
    <row r="2982">
      <c r="A2982" s="59"/>
      <c r="B2982" s="59"/>
      <c r="C2982" s="59"/>
      <c r="D2982" s="59"/>
      <c r="E2982" s="59"/>
      <c r="F2982" s="59"/>
      <c r="G2982" s="59"/>
      <c r="H2982" s="82"/>
      <c r="I2982" s="59"/>
    </row>
    <row r="2983">
      <c r="A2983" s="59"/>
      <c r="B2983" s="59"/>
      <c r="C2983" s="59"/>
      <c r="D2983" s="59"/>
      <c r="E2983" s="59"/>
      <c r="F2983" s="59"/>
      <c r="G2983" s="59"/>
      <c r="H2983" s="82"/>
      <c r="I2983" s="59"/>
    </row>
    <row r="2984">
      <c r="A2984" s="59"/>
      <c r="B2984" s="59"/>
      <c r="C2984" s="59"/>
      <c r="D2984" s="59"/>
      <c r="E2984" s="59"/>
      <c r="F2984" s="59"/>
      <c r="G2984" s="59"/>
      <c r="H2984" s="82"/>
      <c r="I2984" s="59"/>
    </row>
    <row r="2985">
      <c r="A2985" s="59"/>
      <c r="B2985" s="59"/>
      <c r="C2985" s="59"/>
      <c r="D2985" s="59"/>
      <c r="E2985" s="59"/>
      <c r="F2985" s="59"/>
      <c r="G2985" s="59"/>
      <c r="H2985" s="82"/>
      <c r="I2985" s="59"/>
    </row>
    <row r="2986">
      <c r="A2986" s="59"/>
      <c r="B2986" s="59"/>
      <c r="C2986" s="59"/>
      <c r="D2986" s="59"/>
      <c r="E2986" s="59"/>
      <c r="F2986" s="59"/>
      <c r="G2986" s="59"/>
      <c r="H2986" s="82"/>
      <c r="I2986" s="59"/>
    </row>
    <row r="2987">
      <c r="A2987" s="59"/>
      <c r="B2987" s="59"/>
      <c r="C2987" s="59"/>
      <c r="D2987" s="59"/>
      <c r="E2987" s="59"/>
      <c r="F2987" s="59"/>
      <c r="G2987" s="59"/>
      <c r="H2987" s="82"/>
      <c r="I2987" s="59"/>
    </row>
    <row r="2988">
      <c r="A2988" s="59"/>
      <c r="B2988" s="59"/>
      <c r="C2988" s="59"/>
      <c r="D2988" s="59"/>
      <c r="E2988" s="59"/>
      <c r="F2988" s="59"/>
      <c r="G2988" s="59"/>
      <c r="H2988" s="82"/>
      <c r="I2988" s="59"/>
    </row>
    <row r="2989">
      <c r="A2989" s="59"/>
      <c r="B2989" s="59"/>
      <c r="C2989" s="59"/>
      <c r="D2989" s="59"/>
      <c r="E2989" s="59"/>
      <c r="F2989" s="59"/>
      <c r="G2989" s="59"/>
      <c r="H2989" s="82"/>
      <c r="I2989" s="59"/>
    </row>
    <row r="2990">
      <c r="A2990" s="59"/>
      <c r="B2990" s="59"/>
      <c r="C2990" s="59"/>
      <c r="D2990" s="59"/>
      <c r="E2990" s="59"/>
      <c r="F2990" s="59"/>
      <c r="G2990" s="59"/>
      <c r="H2990" s="82"/>
      <c r="I2990" s="59"/>
    </row>
    <row r="2991">
      <c r="A2991" s="59"/>
      <c r="B2991" s="59"/>
      <c r="C2991" s="59"/>
      <c r="D2991" s="59"/>
      <c r="E2991" s="59"/>
      <c r="F2991" s="59"/>
      <c r="G2991" s="59"/>
      <c r="H2991" s="82"/>
      <c r="I2991" s="59"/>
    </row>
    <row r="2992">
      <c r="A2992" s="59"/>
      <c r="B2992" s="59"/>
      <c r="C2992" s="59"/>
      <c r="D2992" s="59"/>
      <c r="E2992" s="59"/>
      <c r="F2992" s="59"/>
      <c r="G2992" s="59"/>
      <c r="H2992" s="82"/>
      <c r="I2992" s="59"/>
    </row>
    <row r="2993">
      <c r="A2993" s="59"/>
      <c r="B2993" s="59"/>
      <c r="C2993" s="59"/>
      <c r="D2993" s="59"/>
      <c r="E2993" s="59"/>
      <c r="F2993" s="59"/>
      <c r="G2993" s="59"/>
      <c r="H2993" s="82"/>
      <c r="I2993" s="59"/>
    </row>
    <row r="2994">
      <c r="A2994" s="59"/>
      <c r="B2994" s="59"/>
      <c r="C2994" s="59"/>
      <c r="D2994" s="59"/>
      <c r="E2994" s="59"/>
      <c r="F2994" s="59"/>
      <c r="G2994" s="59"/>
      <c r="H2994" s="82"/>
      <c r="I2994" s="59"/>
    </row>
    <row r="2995">
      <c r="A2995" s="59"/>
      <c r="B2995" s="59"/>
      <c r="C2995" s="59"/>
      <c r="D2995" s="59"/>
      <c r="E2995" s="59"/>
      <c r="F2995" s="59"/>
      <c r="G2995" s="59"/>
      <c r="H2995" s="82"/>
      <c r="I2995" s="59"/>
    </row>
    <row r="2996">
      <c r="A2996" s="59"/>
      <c r="B2996" s="59"/>
      <c r="C2996" s="59"/>
      <c r="D2996" s="59"/>
      <c r="E2996" s="59"/>
      <c r="F2996" s="59"/>
      <c r="G2996" s="59"/>
      <c r="H2996" s="82"/>
      <c r="I2996" s="59"/>
    </row>
    <row r="2997">
      <c r="A2997" s="59"/>
      <c r="B2997" s="59"/>
      <c r="C2997" s="59"/>
      <c r="D2997" s="59"/>
      <c r="E2997" s="59"/>
      <c r="F2997" s="59"/>
      <c r="G2997" s="59"/>
      <c r="H2997" s="82"/>
      <c r="I2997" s="59"/>
    </row>
    <row r="2998">
      <c r="A2998" s="59"/>
      <c r="B2998" s="59"/>
      <c r="C2998" s="59"/>
      <c r="D2998" s="59"/>
      <c r="E2998" s="59"/>
      <c r="F2998" s="59"/>
      <c r="G2998" s="59"/>
      <c r="H2998" s="82"/>
      <c r="I2998" s="59"/>
    </row>
    <row r="2999">
      <c r="A2999" s="59"/>
      <c r="B2999" s="59"/>
      <c r="C2999" s="59"/>
      <c r="D2999" s="59"/>
      <c r="E2999" s="59"/>
      <c r="F2999" s="59"/>
      <c r="G2999" s="59"/>
      <c r="H2999" s="82"/>
      <c r="I2999" s="59"/>
    </row>
    <row r="3000">
      <c r="A3000" s="59"/>
      <c r="B3000" s="59"/>
      <c r="C3000" s="59"/>
      <c r="D3000" s="59"/>
      <c r="E3000" s="59"/>
      <c r="F3000" s="59"/>
      <c r="G3000" s="59"/>
      <c r="H3000" s="82"/>
      <c r="I3000" s="59"/>
    </row>
    <row r="3001">
      <c r="A3001" s="59"/>
      <c r="B3001" s="59"/>
      <c r="C3001" s="59"/>
      <c r="D3001" s="59"/>
      <c r="E3001" s="59"/>
      <c r="F3001" s="59"/>
      <c r="G3001" s="59"/>
      <c r="H3001" s="82"/>
      <c r="I3001" s="59"/>
    </row>
    <row r="3002">
      <c r="A3002" s="59"/>
      <c r="B3002" s="59"/>
      <c r="C3002" s="59"/>
      <c r="D3002" s="59"/>
      <c r="E3002" s="59"/>
      <c r="F3002" s="59"/>
      <c r="G3002" s="59"/>
      <c r="H3002" s="82"/>
      <c r="I3002" s="59"/>
    </row>
    <row r="3003">
      <c r="A3003" s="59"/>
      <c r="B3003" s="59"/>
      <c r="C3003" s="59"/>
      <c r="D3003" s="59"/>
      <c r="E3003" s="59"/>
      <c r="F3003" s="59"/>
      <c r="G3003" s="59"/>
      <c r="H3003" s="82"/>
      <c r="I3003" s="59"/>
    </row>
    <row r="3004">
      <c r="A3004" s="59"/>
      <c r="B3004" s="59"/>
      <c r="C3004" s="59"/>
      <c r="D3004" s="59"/>
      <c r="E3004" s="59"/>
      <c r="F3004" s="59"/>
      <c r="G3004" s="59"/>
      <c r="H3004" s="82"/>
      <c r="I3004" s="59"/>
    </row>
    <row r="3005">
      <c r="A3005" s="59"/>
      <c r="B3005" s="59"/>
      <c r="C3005" s="59"/>
      <c r="D3005" s="59"/>
      <c r="E3005" s="59"/>
      <c r="F3005" s="59"/>
      <c r="G3005" s="59"/>
      <c r="H3005" s="82"/>
      <c r="I3005" s="59"/>
    </row>
    <row r="3006">
      <c r="A3006" s="59"/>
      <c r="B3006" s="59"/>
      <c r="C3006" s="59"/>
      <c r="D3006" s="59"/>
      <c r="E3006" s="59"/>
      <c r="F3006" s="59"/>
      <c r="G3006" s="59"/>
      <c r="H3006" s="82"/>
      <c r="I3006" s="59"/>
    </row>
    <row r="3007">
      <c r="A3007" s="59"/>
      <c r="B3007" s="59"/>
      <c r="C3007" s="59"/>
      <c r="D3007" s="59"/>
      <c r="E3007" s="59"/>
      <c r="F3007" s="59"/>
      <c r="G3007" s="59"/>
      <c r="H3007" s="82"/>
      <c r="I3007" s="59"/>
    </row>
    <row r="3008">
      <c r="A3008" s="59"/>
      <c r="B3008" s="59"/>
      <c r="C3008" s="59"/>
      <c r="D3008" s="59"/>
      <c r="E3008" s="59"/>
      <c r="F3008" s="59"/>
      <c r="G3008" s="59"/>
      <c r="H3008" s="82"/>
      <c r="I3008" s="5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4" width="33.88"/>
  </cols>
  <sheetData>
    <row r="1">
      <c r="A1" s="3" t="s">
        <v>3793</v>
      </c>
      <c r="B1" s="15" t="s">
        <v>3794</v>
      </c>
      <c r="C1" s="83" t="s">
        <v>3795</v>
      </c>
      <c r="D1" s="84" t="s">
        <v>3796</v>
      </c>
    </row>
    <row r="2">
      <c r="A2" s="85" t="s">
        <v>3797</v>
      </c>
      <c r="B2" s="86" t="s">
        <v>3798</v>
      </c>
      <c r="C2" s="87" t="s">
        <v>3799</v>
      </c>
      <c r="D2" s="88" t="s">
        <v>3800</v>
      </c>
    </row>
    <row r="3">
      <c r="A3" s="89" t="s">
        <v>3801</v>
      </c>
      <c r="B3" s="90" t="s">
        <v>3802</v>
      </c>
      <c r="C3" s="91" t="s">
        <v>3803</v>
      </c>
      <c r="D3" s="92" t="s">
        <v>3804</v>
      </c>
    </row>
    <row r="4">
      <c r="A4" s="93" t="str">
        <f t="shared" ref="A4:A1003" si="1">textjoin("",1, B4:D4)</f>
        <v>271370076260008</v>
      </c>
      <c r="B4" s="94">
        <v>27.0</v>
      </c>
      <c r="C4" s="95">
        <v>137.0</v>
      </c>
      <c r="D4" s="96">
        <v>7.6260008E7</v>
      </c>
    </row>
    <row r="5">
      <c r="A5" s="93" t="str">
        <f t="shared" si="1"/>
        <v>180990049434662</v>
      </c>
      <c r="B5" s="94">
        <v>18.0</v>
      </c>
      <c r="C5" s="95">
        <v>99.0</v>
      </c>
      <c r="D5" s="96">
        <v>4.9434662E7</v>
      </c>
    </row>
    <row r="6">
      <c r="A6" s="93" t="str">
        <f t="shared" si="1"/>
        <v>371630048515174</v>
      </c>
      <c r="B6" s="94">
        <v>37.0</v>
      </c>
      <c r="C6" s="95">
        <v>163.0</v>
      </c>
      <c r="D6" s="96">
        <v>4.8515174E7</v>
      </c>
    </row>
    <row r="7">
      <c r="A7" s="93" t="str">
        <f t="shared" si="1"/>
        <v>170110059300120</v>
      </c>
      <c r="B7" s="94">
        <v>17.0</v>
      </c>
      <c r="C7" s="95">
        <v>11.0</v>
      </c>
      <c r="D7" s="96">
        <v>5.930012E7</v>
      </c>
    </row>
    <row r="8">
      <c r="A8" s="93" t="str">
        <f t="shared" si="1"/>
        <v>310610046717643</v>
      </c>
      <c r="B8" s="94">
        <v>31.0</v>
      </c>
      <c r="C8" s="95">
        <v>61.0</v>
      </c>
      <c r="D8" s="96">
        <v>4.6717643E7</v>
      </c>
    </row>
    <row r="9">
      <c r="A9" s="93" t="str">
        <f t="shared" si="1"/>
        <v>360090044374901</v>
      </c>
      <c r="B9" s="94">
        <v>36.0</v>
      </c>
      <c r="C9" s="95">
        <v>9.0</v>
      </c>
      <c r="D9" s="96">
        <v>4.4374901E7</v>
      </c>
    </row>
    <row r="10">
      <c r="A10" s="93" t="str">
        <f t="shared" si="1"/>
        <v>270350095642663</v>
      </c>
      <c r="B10" s="94">
        <v>27.0</v>
      </c>
      <c r="C10" s="95">
        <v>35.0</v>
      </c>
      <c r="D10" s="96">
        <v>9.5642663E7</v>
      </c>
    </row>
    <row r="11">
      <c r="A11" s="93" t="str">
        <f t="shared" si="1"/>
        <v>480610037273030</v>
      </c>
      <c r="B11" s="94">
        <v>48.0</v>
      </c>
      <c r="C11" s="95">
        <v>61.0</v>
      </c>
      <c r="D11" s="96">
        <v>3.727303E7</v>
      </c>
    </row>
    <row r="12">
      <c r="A12" s="93" t="str">
        <f t="shared" si="1"/>
        <v>550050071241742</v>
      </c>
      <c r="B12" s="94">
        <v>55.0</v>
      </c>
      <c r="C12" s="95">
        <v>5.0</v>
      </c>
      <c r="D12" s="96">
        <v>7.1241742E7</v>
      </c>
    </row>
    <row r="13">
      <c r="A13" s="93" t="str">
        <f t="shared" si="1"/>
        <v>050410084428185</v>
      </c>
      <c r="B13" s="94">
        <v>5.0</v>
      </c>
      <c r="C13" s="95">
        <v>41.0</v>
      </c>
      <c r="D13" s="96">
        <v>8.4428185E7</v>
      </c>
    </row>
    <row r="14">
      <c r="A14" s="93" t="str">
        <f t="shared" si="1"/>
        <v>181630015562267</v>
      </c>
      <c r="B14" s="94">
        <v>18.0</v>
      </c>
      <c r="C14" s="95">
        <v>163.0</v>
      </c>
      <c r="D14" s="96">
        <v>1.5562267E7</v>
      </c>
    </row>
    <row r="15">
      <c r="A15" s="93" t="str">
        <f t="shared" si="1"/>
        <v>181030076530040</v>
      </c>
      <c r="B15" s="94">
        <v>18.0</v>
      </c>
      <c r="C15" s="95">
        <v>103.0</v>
      </c>
      <c r="D15" s="96">
        <v>7.653004E7</v>
      </c>
    </row>
    <row r="16">
      <c r="A16" s="93" t="str">
        <f t="shared" si="1"/>
        <v>482650078722308</v>
      </c>
      <c r="B16" s="94">
        <v>48.0</v>
      </c>
      <c r="C16" s="95">
        <v>265.0</v>
      </c>
      <c r="D16" s="96">
        <v>7.8722308E7</v>
      </c>
    </row>
    <row r="17">
      <c r="A17" s="93" t="str">
        <f t="shared" si="1"/>
        <v>401430052034403</v>
      </c>
      <c r="B17" s="94">
        <v>40.0</v>
      </c>
      <c r="C17" s="95">
        <v>143.0</v>
      </c>
      <c r="D17" s="96">
        <v>5.2034403E7</v>
      </c>
    </row>
    <row r="18">
      <c r="A18" s="93" t="str">
        <f t="shared" si="1"/>
        <v>220950018828032</v>
      </c>
      <c r="B18" s="94">
        <v>22.0</v>
      </c>
      <c r="C18" s="95">
        <v>95.0</v>
      </c>
      <c r="D18" s="96">
        <v>1.8828032E7</v>
      </c>
    </row>
    <row r="19">
      <c r="A19" s="93" t="str">
        <f t="shared" si="1"/>
        <v>310550011844551</v>
      </c>
      <c r="B19" s="94">
        <v>31.0</v>
      </c>
      <c r="C19" s="95">
        <v>55.0</v>
      </c>
      <c r="D19" s="96">
        <v>1.1844551E7</v>
      </c>
    </row>
    <row r="20">
      <c r="A20" s="93" t="str">
        <f t="shared" si="1"/>
        <v>050330035140798</v>
      </c>
      <c r="B20" s="94">
        <v>5.0</v>
      </c>
      <c r="C20" s="95">
        <v>33.0</v>
      </c>
      <c r="D20" s="96">
        <v>3.5140798E7</v>
      </c>
    </row>
    <row r="21">
      <c r="A21" s="93" t="str">
        <f t="shared" si="1"/>
        <v>511710034074143</v>
      </c>
      <c r="B21" s="94">
        <v>51.0</v>
      </c>
      <c r="C21" s="95">
        <v>171.0</v>
      </c>
      <c r="D21" s="96">
        <v>3.4074143E7</v>
      </c>
    </row>
    <row r="22">
      <c r="A22" s="93" t="str">
        <f t="shared" si="1"/>
        <v>330010050115484</v>
      </c>
      <c r="B22" s="94">
        <v>33.0</v>
      </c>
      <c r="C22" s="95">
        <v>1.0</v>
      </c>
      <c r="D22" s="96">
        <v>5.0115484E7</v>
      </c>
    </row>
    <row r="23">
      <c r="A23" s="93" t="str">
        <f t="shared" si="1"/>
        <v>050290026856922</v>
      </c>
      <c r="B23" s="94">
        <v>5.0</v>
      </c>
      <c r="C23" s="95">
        <v>29.0</v>
      </c>
      <c r="D23" s="96">
        <v>2.6856922E7</v>
      </c>
    </row>
    <row r="24">
      <c r="A24" s="93" t="str">
        <f t="shared" si="1"/>
        <v>120290021839827</v>
      </c>
      <c r="B24" s="94">
        <v>12.0</v>
      </c>
      <c r="C24" s="95">
        <v>29.0</v>
      </c>
      <c r="D24" s="96">
        <v>2.1839827E7</v>
      </c>
    </row>
    <row r="25">
      <c r="A25" s="93" t="str">
        <f t="shared" si="1"/>
        <v>201950028317107</v>
      </c>
      <c r="B25" s="94">
        <v>20.0</v>
      </c>
      <c r="C25" s="95">
        <v>195.0</v>
      </c>
      <c r="D25" s="96">
        <v>2.8317107E7</v>
      </c>
    </row>
    <row r="26">
      <c r="A26" s="93" t="str">
        <f t="shared" si="1"/>
        <v>280730010900624</v>
      </c>
      <c r="B26" s="94">
        <v>28.0</v>
      </c>
      <c r="C26" s="95">
        <v>73.0</v>
      </c>
      <c r="D26" s="96">
        <v>1.0900624E7</v>
      </c>
    </row>
    <row r="27">
      <c r="A27" s="93" t="str">
        <f t="shared" si="1"/>
        <v>560110060511808</v>
      </c>
      <c r="B27" s="94">
        <v>56.0</v>
      </c>
      <c r="C27" s="95">
        <v>11.0</v>
      </c>
      <c r="D27" s="96">
        <v>6.0511808E7</v>
      </c>
    </row>
    <row r="28">
      <c r="A28" s="93" t="str">
        <f t="shared" si="1"/>
        <v>371310067084686</v>
      </c>
      <c r="B28" s="94">
        <v>37.0</v>
      </c>
      <c r="C28" s="95">
        <v>131.0</v>
      </c>
      <c r="D28" s="96">
        <v>6.7084686E7</v>
      </c>
    </row>
    <row r="29">
      <c r="A29" s="93" t="str">
        <f t="shared" si="1"/>
        <v>471850012067708</v>
      </c>
      <c r="B29" s="94">
        <v>47.0</v>
      </c>
      <c r="C29" s="95">
        <v>185.0</v>
      </c>
      <c r="D29" s="96">
        <v>1.2067708E7</v>
      </c>
    </row>
    <row r="30">
      <c r="A30" s="93" t="str">
        <f t="shared" si="1"/>
        <v>484670021784696</v>
      </c>
      <c r="B30" s="94">
        <v>48.0</v>
      </c>
      <c r="C30" s="95">
        <v>467.0</v>
      </c>
      <c r="D30" s="96">
        <v>2.1784696E7</v>
      </c>
    </row>
    <row r="31">
      <c r="A31" s="93" t="str">
        <f t="shared" si="1"/>
        <v>310870087120329</v>
      </c>
      <c r="B31" s="94">
        <v>31.0</v>
      </c>
      <c r="C31" s="95">
        <v>87.0</v>
      </c>
      <c r="D31" s="96">
        <v>8.7120329E7</v>
      </c>
    </row>
    <row r="32">
      <c r="A32" s="93" t="str">
        <f t="shared" si="1"/>
        <v>540410032228374</v>
      </c>
      <c r="B32" s="94">
        <v>54.0</v>
      </c>
      <c r="C32" s="95">
        <v>41.0</v>
      </c>
      <c r="D32" s="96">
        <v>3.2228374E7</v>
      </c>
    </row>
    <row r="33">
      <c r="A33" s="93" t="str">
        <f t="shared" si="1"/>
        <v>515150043995138</v>
      </c>
      <c r="B33" s="94">
        <v>51.0</v>
      </c>
      <c r="C33" s="95">
        <v>515.0</v>
      </c>
      <c r="D33" s="96">
        <v>4.3995138E7</v>
      </c>
    </row>
    <row r="34">
      <c r="A34" s="93" t="str">
        <f t="shared" si="1"/>
        <v>480110058059673</v>
      </c>
      <c r="B34" s="94">
        <v>48.0</v>
      </c>
      <c r="C34" s="95">
        <v>11.0</v>
      </c>
      <c r="D34" s="96">
        <v>5.8059673E7</v>
      </c>
    </row>
    <row r="35">
      <c r="A35" s="93" t="str">
        <f t="shared" si="1"/>
        <v>483650063181942</v>
      </c>
      <c r="B35" s="94">
        <v>48.0</v>
      </c>
      <c r="C35" s="95">
        <v>365.0</v>
      </c>
      <c r="D35" s="96">
        <v>6.3181942E7</v>
      </c>
    </row>
    <row r="36">
      <c r="A36" s="93" t="str">
        <f t="shared" si="1"/>
        <v>310190079622567</v>
      </c>
      <c r="B36" s="94">
        <v>31.0</v>
      </c>
      <c r="C36" s="95">
        <v>19.0</v>
      </c>
      <c r="D36" s="96">
        <v>7.9622567E7</v>
      </c>
    </row>
    <row r="37">
      <c r="A37" s="93" t="str">
        <f t="shared" si="1"/>
        <v>271030016970266</v>
      </c>
      <c r="B37" s="94">
        <v>27.0</v>
      </c>
      <c r="C37" s="95">
        <v>103.0</v>
      </c>
      <c r="D37" s="96">
        <v>1.6970266E7</v>
      </c>
    </row>
    <row r="38">
      <c r="A38" s="93" t="str">
        <f t="shared" si="1"/>
        <v>191210025132120</v>
      </c>
      <c r="B38" s="94">
        <v>19.0</v>
      </c>
      <c r="C38" s="95">
        <v>121.0</v>
      </c>
      <c r="D38" s="96">
        <v>2.513212E7</v>
      </c>
    </row>
    <row r="39">
      <c r="A39" s="93" t="str">
        <f t="shared" si="1"/>
        <v>550810096124053</v>
      </c>
      <c r="B39" s="94">
        <v>55.0</v>
      </c>
      <c r="C39" s="95">
        <v>81.0</v>
      </c>
      <c r="D39" s="96">
        <v>9.6124053E7</v>
      </c>
    </row>
    <row r="40">
      <c r="A40" s="93" t="str">
        <f t="shared" si="1"/>
        <v>081010092899360</v>
      </c>
      <c r="B40" s="94">
        <v>8.0</v>
      </c>
      <c r="C40" s="95">
        <v>101.0</v>
      </c>
      <c r="D40" s="96">
        <v>9.289936E7</v>
      </c>
    </row>
    <row r="41">
      <c r="A41" s="93" t="str">
        <f t="shared" si="1"/>
        <v>482930083830301</v>
      </c>
      <c r="B41" s="94">
        <v>48.0</v>
      </c>
      <c r="C41" s="95">
        <v>293.0</v>
      </c>
      <c r="D41" s="96">
        <v>8.3830301E7</v>
      </c>
    </row>
    <row r="42">
      <c r="A42" s="93" t="str">
        <f t="shared" si="1"/>
        <v>410150070197143</v>
      </c>
      <c r="B42" s="94">
        <v>41.0</v>
      </c>
      <c r="C42" s="95">
        <v>15.0</v>
      </c>
      <c r="D42" s="96">
        <v>7.0197143E7</v>
      </c>
    </row>
    <row r="43">
      <c r="A43" s="93" t="str">
        <f t="shared" si="1"/>
        <v>181090029589775</v>
      </c>
      <c r="B43" s="94">
        <v>18.0</v>
      </c>
      <c r="C43" s="95">
        <v>109.0</v>
      </c>
      <c r="D43" s="96">
        <v>2.9589775E7</v>
      </c>
    </row>
    <row r="44">
      <c r="A44" s="93" t="str">
        <f t="shared" si="1"/>
        <v>310750069046532</v>
      </c>
      <c r="B44" s="94">
        <v>31.0</v>
      </c>
      <c r="C44" s="95">
        <v>75.0</v>
      </c>
      <c r="D44" s="96">
        <v>6.9046532E7</v>
      </c>
    </row>
    <row r="45">
      <c r="A45" s="93" t="str">
        <f t="shared" si="1"/>
        <v>483590043509991</v>
      </c>
      <c r="B45" s="94">
        <v>48.0</v>
      </c>
      <c r="C45" s="95">
        <v>359.0</v>
      </c>
      <c r="D45" s="96">
        <v>4.3509991E7</v>
      </c>
    </row>
    <row r="46">
      <c r="A46" s="93" t="str">
        <f t="shared" si="1"/>
        <v>180490092936137</v>
      </c>
      <c r="B46" s="94">
        <v>18.0</v>
      </c>
      <c r="C46" s="95">
        <v>49.0</v>
      </c>
      <c r="D46" s="96">
        <v>9.2936137E7</v>
      </c>
    </row>
    <row r="47">
      <c r="A47" s="93" t="str">
        <f t="shared" si="1"/>
        <v>120650030120040</v>
      </c>
      <c r="B47" s="94">
        <v>12.0</v>
      </c>
      <c r="C47" s="95">
        <v>65.0</v>
      </c>
      <c r="D47" s="96">
        <v>3.012004E7</v>
      </c>
    </row>
    <row r="48">
      <c r="A48" s="93" t="str">
        <f t="shared" si="1"/>
        <v>080130038299128</v>
      </c>
      <c r="B48" s="94">
        <v>8.0</v>
      </c>
      <c r="C48" s="95">
        <v>13.0</v>
      </c>
      <c r="D48" s="96">
        <v>3.8299128E7</v>
      </c>
    </row>
    <row r="49">
      <c r="A49" s="93" t="str">
        <f t="shared" si="1"/>
        <v>490210031906138</v>
      </c>
      <c r="B49" s="94">
        <v>49.0</v>
      </c>
      <c r="C49" s="95">
        <v>21.0</v>
      </c>
      <c r="D49" s="96">
        <v>3.1906138E7</v>
      </c>
    </row>
    <row r="50">
      <c r="A50" s="93" t="str">
        <f t="shared" si="1"/>
        <v>060570023351692</v>
      </c>
      <c r="B50" s="94">
        <v>6.0</v>
      </c>
      <c r="C50" s="95">
        <v>57.0</v>
      </c>
      <c r="D50" s="96">
        <v>2.3351692E7</v>
      </c>
    </row>
    <row r="51">
      <c r="A51" s="93" t="str">
        <f t="shared" si="1"/>
        <v>190710037918494</v>
      </c>
      <c r="B51" s="94">
        <v>19.0</v>
      </c>
      <c r="C51" s="95">
        <v>71.0</v>
      </c>
      <c r="D51" s="96">
        <v>3.7918494E7</v>
      </c>
    </row>
    <row r="52">
      <c r="A52" s="93" t="str">
        <f t="shared" si="1"/>
        <v>132410078139869</v>
      </c>
      <c r="B52" s="94">
        <v>13.0</v>
      </c>
      <c r="C52" s="95">
        <v>241.0</v>
      </c>
      <c r="D52" s="96">
        <v>7.8139869E7</v>
      </c>
    </row>
    <row r="53">
      <c r="A53" s="93" t="str">
        <f t="shared" si="1"/>
        <v>421210017330170</v>
      </c>
      <c r="B53" s="94">
        <v>42.0</v>
      </c>
      <c r="C53" s="95">
        <v>121.0</v>
      </c>
      <c r="D53" s="96">
        <v>1.733017E7</v>
      </c>
    </row>
    <row r="54">
      <c r="A54" s="93" t="str">
        <f t="shared" si="1"/>
        <v>360350076964872</v>
      </c>
      <c r="B54" s="94">
        <v>36.0</v>
      </c>
      <c r="C54" s="95">
        <v>35.0</v>
      </c>
      <c r="D54" s="96">
        <v>7.6964872E7</v>
      </c>
    </row>
    <row r="55">
      <c r="A55" s="93" t="str">
        <f t="shared" si="1"/>
        <v>420750064897086</v>
      </c>
      <c r="B55" s="94">
        <v>42.0</v>
      </c>
      <c r="C55" s="95">
        <v>75.0</v>
      </c>
      <c r="D55" s="96">
        <v>6.4897086E7</v>
      </c>
    </row>
    <row r="56">
      <c r="A56" s="93" t="str">
        <f t="shared" si="1"/>
        <v>131270093440471</v>
      </c>
      <c r="B56" s="94">
        <v>13.0</v>
      </c>
      <c r="C56" s="95">
        <v>127.0</v>
      </c>
      <c r="D56" s="96">
        <v>9.3440471E7</v>
      </c>
    </row>
    <row r="57">
      <c r="A57" s="93" t="str">
        <f t="shared" si="1"/>
        <v>391350042357381</v>
      </c>
      <c r="B57" s="94">
        <v>39.0</v>
      </c>
      <c r="C57" s="95">
        <v>135.0</v>
      </c>
      <c r="D57" s="96">
        <v>4.2357381E7</v>
      </c>
    </row>
    <row r="58">
      <c r="A58" s="93" t="str">
        <f t="shared" si="1"/>
        <v>080550038041186</v>
      </c>
      <c r="B58" s="94">
        <v>8.0</v>
      </c>
      <c r="C58" s="95">
        <v>55.0</v>
      </c>
      <c r="D58" s="96">
        <v>3.8041186E7</v>
      </c>
    </row>
    <row r="59">
      <c r="A59" s="93" t="str">
        <f t="shared" si="1"/>
        <v>271490052186445</v>
      </c>
      <c r="B59" s="94">
        <v>27.0</v>
      </c>
      <c r="C59" s="95">
        <v>149.0</v>
      </c>
      <c r="D59" s="96">
        <v>5.2186445E7</v>
      </c>
    </row>
    <row r="60">
      <c r="A60" s="93" t="str">
        <f t="shared" si="1"/>
        <v>530130030400222</v>
      </c>
      <c r="B60" s="94">
        <v>53.0</v>
      </c>
      <c r="C60" s="95">
        <v>13.0</v>
      </c>
      <c r="D60" s="96">
        <v>3.0400222E7</v>
      </c>
    </row>
    <row r="61">
      <c r="A61" s="93" t="str">
        <f t="shared" si="1"/>
        <v>371890056633353</v>
      </c>
      <c r="B61" s="94">
        <v>37.0</v>
      </c>
      <c r="C61" s="95">
        <v>189.0</v>
      </c>
      <c r="D61" s="96">
        <v>5.6633353E7</v>
      </c>
    </row>
    <row r="62">
      <c r="A62" s="93" t="str">
        <f t="shared" si="1"/>
        <v>310010076305807</v>
      </c>
      <c r="B62" s="94">
        <v>31.0</v>
      </c>
      <c r="C62" s="95">
        <v>1.0</v>
      </c>
      <c r="D62" s="96">
        <v>7.6305807E7</v>
      </c>
    </row>
    <row r="63">
      <c r="A63" s="93" t="str">
        <f t="shared" si="1"/>
        <v>360590046142446</v>
      </c>
      <c r="B63" s="94">
        <v>36.0</v>
      </c>
      <c r="C63" s="95">
        <v>59.0</v>
      </c>
      <c r="D63" s="96">
        <v>4.6142446E7</v>
      </c>
    </row>
    <row r="64">
      <c r="A64" s="93" t="str">
        <f t="shared" si="1"/>
        <v>120950081101978</v>
      </c>
      <c r="B64" s="94">
        <v>12.0</v>
      </c>
      <c r="C64" s="95">
        <v>95.0</v>
      </c>
      <c r="D64" s="96">
        <v>8.1101978E7</v>
      </c>
    </row>
    <row r="65">
      <c r="A65" s="93" t="str">
        <f t="shared" si="1"/>
        <v>211390023396398</v>
      </c>
      <c r="B65" s="94">
        <v>21.0</v>
      </c>
      <c r="C65" s="95">
        <v>139.0</v>
      </c>
      <c r="D65" s="96">
        <v>2.3396398E7</v>
      </c>
    </row>
    <row r="66">
      <c r="A66" s="93" t="str">
        <f t="shared" si="1"/>
        <v>390230031968221</v>
      </c>
      <c r="B66" s="94">
        <v>39.0</v>
      </c>
      <c r="C66" s="95">
        <v>23.0</v>
      </c>
      <c r="D66" s="96">
        <v>3.1968221E7</v>
      </c>
    </row>
    <row r="67">
      <c r="A67" s="93" t="str">
        <f t="shared" si="1"/>
        <v>291470073061002</v>
      </c>
      <c r="B67" s="94">
        <v>29.0</v>
      </c>
      <c r="C67" s="95">
        <v>147.0</v>
      </c>
      <c r="D67" s="96">
        <v>7.3061002E7</v>
      </c>
    </row>
    <row r="68">
      <c r="A68" s="93" t="str">
        <f t="shared" si="1"/>
        <v>380350093437733</v>
      </c>
      <c r="B68" s="94">
        <v>38.0</v>
      </c>
      <c r="C68" s="95">
        <v>35.0</v>
      </c>
      <c r="D68" s="96">
        <v>9.3437733E7</v>
      </c>
    </row>
    <row r="69">
      <c r="A69" s="93" t="str">
        <f t="shared" si="1"/>
        <v>211170075342369</v>
      </c>
      <c r="B69" s="94">
        <v>21.0</v>
      </c>
      <c r="C69" s="95">
        <v>117.0</v>
      </c>
      <c r="D69" s="96">
        <v>7.5342369E7</v>
      </c>
    </row>
    <row r="70">
      <c r="A70" s="93" t="str">
        <f t="shared" si="1"/>
        <v>080510031347427</v>
      </c>
      <c r="B70" s="94">
        <v>8.0</v>
      </c>
      <c r="C70" s="95">
        <v>51.0</v>
      </c>
      <c r="D70" s="96">
        <v>3.1347427E7</v>
      </c>
    </row>
    <row r="71">
      <c r="A71" s="93" t="str">
        <f t="shared" si="1"/>
        <v>400270040483691</v>
      </c>
      <c r="B71" s="94">
        <v>40.0</v>
      </c>
      <c r="C71" s="95">
        <v>27.0</v>
      </c>
      <c r="D71" s="96">
        <v>4.0483691E7</v>
      </c>
    </row>
    <row r="72">
      <c r="A72" s="93" t="str">
        <f t="shared" si="1"/>
        <v>131650036392322</v>
      </c>
      <c r="B72" s="94">
        <v>13.0</v>
      </c>
      <c r="C72" s="95">
        <v>165.0</v>
      </c>
      <c r="D72" s="96">
        <v>3.6392322E7</v>
      </c>
    </row>
    <row r="73">
      <c r="A73" s="93" t="str">
        <f t="shared" si="1"/>
        <v>400910045393697</v>
      </c>
      <c r="B73" s="94">
        <v>40.0</v>
      </c>
      <c r="C73" s="95">
        <v>91.0</v>
      </c>
      <c r="D73" s="96">
        <v>4.5393697E7</v>
      </c>
    </row>
    <row r="74">
      <c r="A74" s="93" t="str">
        <f t="shared" si="1"/>
        <v>220590014619831</v>
      </c>
      <c r="B74" s="94">
        <v>22.0</v>
      </c>
      <c r="C74" s="95">
        <v>59.0</v>
      </c>
      <c r="D74" s="96">
        <v>1.4619831E7</v>
      </c>
    </row>
    <row r="75">
      <c r="A75" s="93" t="str">
        <f t="shared" si="1"/>
        <v>360070098274377</v>
      </c>
      <c r="B75" s="94">
        <v>36.0</v>
      </c>
      <c r="C75" s="95">
        <v>7.0</v>
      </c>
      <c r="D75" s="96">
        <v>9.8274377E7</v>
      </c>
    </row>
    <row r="76">
      <c r="A76" s="93" t="str">
        <f t="shared" si="1"/>
        <v>470850057497106</v>
      </c>
      <c r="B76" s="94">
        <v>47.0</v>
      </c>
      <c r="C76" s="95">
        <v>85.0</v>
      </c>
      <c r="D76" s="96">
        <v>5.7497106E7</v>
      </c>
    </row>
    <row r="77">
      <c r="A77" s="93" t="str">
        <f t="shared" si="1"/>
        <v>191530083549247</v>
      </c>
      <c r="B77" s="94">
        <v>19.0</v>
      </c>
      <c r="C77" s="95">
        <v>153.0</v>
      </c>
      <c r="D77" s="96">
        <v>8.3549247E7</v>
      </c>
    </row>
    <row r="78">
      <c r="A78" s="93" t="str">
        <f t="shared" si="1"/>
        <v>311110052396495</v>
      </c>
      <c r="B78" s="94">
        <v>31.0</v>
      </c>
      <c r="C78" s="95">
        <v>111.0</v>
      </c>
      <c r="D78" s="96">
        <v>5.2396495E7</v>
      </c>
    </row>
    <row r="79">
      <c r="A79" s="93" t="str">
        <f t="shared" si="1"/>
        <v>540530060773180</v>
      </c>
      <c r="B79" s="94">
        <v>54.0</v>
      </c>
      <c r="C79" s="95">
        <v>53.0</v>
      </c>
      <c r="D79" s="96">
        <v>6.077318E7</v>
      </c>
    </row>
    <row r="80">
      <c r="A80" s="93" t="str">
        <f t="shared" si="1"/>
        <v>483670073524505</v>
      </c>
      <c r="B80" s="94">
        <v>48.0</v>
      </c>
      <c r="C80" s="95">
        <v>367.0</v>
      </c>
      <c r="D80" s="96">
        <v>7.3524505E7</v>
      </c>
    </row>
    <row r="81">
      <c r="A81" s="93" t="str">
        <f t="shared" si="1"/>
        <v>483750082687659</v>
      </c>
      <c r="B81" s="94">
        <v>48.0</v>
      </c>
      <c r="C81" s="95">
        <v>375.0</v>
      </c>
      <c r="D81" s="96">
        <v>8.2687659E7</v>
      </c>
    </row>
    <row r="82">
      <c r="A82" s="93" t="str">
        <f t="shared" si="1"/>
        <v>120090038863789</v>
      </c>
      <c r="B82" s="94">
        <v>12.0</v>
      </c>
      <c r="C82" s="95">
        <v>9.0</v>
      </c>
      <c r="D82" s="96">
        <v>3.8863789E7</v>
      </c>
    </row>
    <row r="83">
      <c r="A83" s="93" t="str">
        <f t="shared" si="1"/>
        <v>461370065530559</v>
      </c>
      <c r="B83" s="94">
        <v>46.0</v>
      </c>
      <c r="C83" s="95">
        <v>137.0</v>
      </c>
      <c r="D83" s="96">
        <v>6.5530559E7</v>
      </c>
    </row>
    <row r="84">
      <c r="A84" s="93" t="str">
        <f t="shared" si="1"/>
        <v>191130082216577</v>
      </c>
      <c r="B84" s="94">
        <v>19.0</v>
      </c>
      <c r="C84" s="95">
        <v>113.0</v>
      </c>
      <c r="D84" s="96">
        <v>8.2216577E7</v>
      </c>
    </row>
    <row r="85">
      <c r="A85" s="93" t="str">
        <f t="shared" si="1"/>
        <v>360390094668099</v>
      </c>
      <c r="B85" s="94">
        <v>36.0</v>
      </c>
      <c r="C85" s="95">
        <v>39.0</v>
      </c>
      <c r="D85" s="96">
        <v>9.4668099E7</v>
      </c>
    </row>
    <row r="86">
      <c r="A86" s="93" t="str">
        <f t="shared" si="1"/>
        <v>380790025557473</v>
      </c>
      <c r="B86" s="94">
        <v>38.0</v>
      </c>
      <c r="C86" s="95">
        <v>79.0</v>
      </c>
      <c r="D86" s="96">
        <v>2.5557473E7</v>
      </c>
    </row>
    <row r="87">
      <c r="A87" s="93" t="str">
        <f t="shared" si="1"/>
        <v>483310038973832</v>
      </c>
      <c r="B87" s="94">
        <v>48.0</v>
      </c>
      <c r="C87" s="95">
        <v>331.0</v>
      </c>
      <c r="D87" s="96">
        <v>3.8973832E7</v>
      </c>
    </row>
    <row r="88">
      <c r="A88" s="93" t="str">
        <f t="shared" si="1"/>
        <v>401450011063957</v>
      </c>
      <c r="B88" s="94">
        <v>40.0</v>
      </c>
      <c r="C88" s="95">
        <v>145.0</v>
      </c>
      <c r="D88" s="96">
        <v>1.1063957E7</v>
      </c>
    </row>
    <row r="89">
      <c r="A89" s="93" t="str">
        <f t="shared" si="1"/>
        <v>280490073270262</v>
      </c>
      <c r="B89" s="94">
        <v>28.0</v>
      </c>
      <c r="C89" s="95">
        <v>49.0</v>
      </c>
      <c r="D89" s="96">
        <v>7.3270262E7</v>
      </c>
    </row>
    <row r="90">
      <c r="A90" s="93" t="str">
        <f t="shared" si="1"/>
        <v>510510042111461</v>
      </c>
      <c r="B90" s="94">
        <v>51.0</v>
      </c>
      <c r="C90" s="95">
        <v>51.0</v>
      </c>
      <c r="D90" s="96">
        <v>4.2111461E7</v>
      </c>
    </row>
    <row r="91">
      <c r="A91" s="93" t="str">
        <f t="shared" si="1"/>
        <v>190770027742423</v>
      </c>
      <c r="B91" s="94">
        <v>19.0</v>
      </c>
      <c r="C91" s="95">
        <v>77.0</v>
      </c>
      <c r="D91" s="96">
        <v>2.7742423E7</v>
      </c>
    </row>
    <row r="92">
      <c r="A92" s="93" t="str">
        <f t="shared" si="1"/>
        <v>480010066171119</v>
      </c>
      <c r="B92" s="94">
        <v>48.0</v>
      </c>
      <c r="C92" s="95">
        <v>1.0</v>
      </c>
      <c r="D92" s="96">
        <v>6.6171119E7</v>
      </c>
    </row>
    <row r="93">
      <c r="A93" s="93" t="str">
        <f t="shared" si="1"/>
        <v>190230048616972</v>
      </c>
      <c r="B93" s="94">
        <v>19.0</v>
      </c>
      <c r="C93" s="95">
        <v>23.0</v>
      </c>
      <c r="D93" s="96">
        <v>4.8616972E7</v>
      </c>
    </row>
    <row r="94">
      <c r="A94" s="93" t="str">
        <f t="shared" si="1"/>
        <v>483430022093289</v>
      </c>
      <c r="B94" s="94">
        <v>48.0</v>
      </c>
      <c r="C94" s="95">
        <v>343.0</v>
      </c>
      <c r="D94" s="96">
        <v>2.2093289E7</v>
      </c>
    </row>
    <row r="95">
      <c r="A95" s="93" t="str">
        <f t="shared" si="1"/>
        <v>551270016231061</v>
      </c>
      <c r="B95" s="94">
        <v>55.0</v>
      </c>
      <c r="C95" s="95">
        <v>127.0</v>
      </c>
      <c r="D95" s="96">
        <v>1.6231061E7</v>
      </c>
    </row>
    <row r="96">
      <c r="A96" s="93" t="str">
        <f t="shared" si="1"/>
        <v>190470089116335</v>
      </c>
      <c r="B96" s="94">
        <v>19.0</v>
      </c>
      <c r="C96" s="95">
        <v>47.0</v>
      </c>
      <c r="D96" s="96">
        <v>8.9116335E7</v>
      </c>
    </row>
    <row r="97">
      <c r="A97" s="93" t="str">
        <f t="shared" si="1"/>
        <v>080610035973108</v>
      </c>
      <c r="B97" s="94">
        <v>8.0</v>
      </c>
      <c r="C97" s="95">
        <v>61.0</v>
      </c>
      <c r="D97" s="96">
        <v>3.5973108E7</v>
      </c>
    </row>
    <row r="98">
      <c r="A98" s="93" t="str">
        <f t="shared" si="1"/>
        <v>132830076547218</v>
      </c>
      <c r="B98" s="94">
        <v>13.0</v>
      </c>
      <c r="C98" s="95">
        <v>283.0</v>
      </c>
      <c r="D98" s="96">
        <v>7.6547218E7</v>
      </c>
    </row>
    <row r="99">
      <c r="A99" s="93" t="str">
        <f t="shared" si="1"/>
        <v>401390025872762</v>
      </c>
      <c r="B99" s="94">
        <v>40.0</v>
      </c>
      <c r="C99" s="95">
        <v>139.0</v>
      </c>
      <c r="D99" s="96">
        <v>2.5872762E7</v>
      </c>
    </row>
    <row r="100">
      <c r="A100" s="93" t="str">
        <f t="shared" si="1"/>
        <v>510970014412194</v>
      </c>
      <c r="B100" s="94">
        <v>51.0</v>
      </c>
      <c r="C100" s="95">
        <v>97.0</v>
      </c>
      <c r="D100" s="96">
        <v>1.4412194E7</v>
      </c>
    </row>
    <row r="101">
      <c r="A101" s="93" t="str">
        <f t="shared" si="1"/>
        <v>290270042514774</v>
      </c>
      <c r="B101" s="94">
        <v>29.0</v>
      </c>
      <c r="C101" s="95">
        <v>27.0</v>
      </c>
      <c r="D101" s="96">
        <v>4.2514774E7</v>
      </c>
    </row>
    <row r="102">
      <c r="A102" s="93" t="str">
        <f t="shared" si="1"/>
        <v>180830091605401</v>
      </c>
      <c r="B102" s="94">
        <v>18.0</v>
      </c>
      <c r="C102" s="95">
        <v>83.0</v>
      </c>
      <c r="D102" s="96">
        <v>9.1605401E7</v>
      </c>
    </row>
    <row r="103">
      <c r="A103" s="93" t="str">
        <f t="shared" si="1"/>
        <v>471710089359264</v>
      </c>
      <c r="B103" s="94">
        <v>47.0</v>
      </c>
      <c r="C103" s="95">
        <v>171.0</v>
      </c>
      <c r="D103" s="96">
        <v>8.9359264E7</v>
      </c>
    </row>
    <row r="104">
      <c r="A104" s="93" t="str">
        <f t="shared" si="1"/>
        <v>471170079173826</v>
      </c>
      <c r="B104" s="94">
        <v>47.0</v>
      </c>
      <c r="C104" s="95">
        <v>117.0</v>
      </c>
      <c r="D104" s="96">
        <v>7.9173826E7</v>
      </c>
    </row>
    <row r="105">
      <c r="A105" s="93" t="str">
        <f t="shared" si="1"/>
        <v>280970018831229</v>
      </c>
      <c r="B105" s="94">
        <v>28.0</v>
      </c>
      <c r="C105" s="95">
        <v>97.0</v>
      </c>
      <c r="D105" s="96">
        <v>1.8831229E7</v>
      </c>
    </row>
    <row r="106">
      <c r="A106" s="93" t="str">
        <f t="shared" si="1"/>
        <v>180650083940103</v>
      </c>
      <c r="B106" s="94">
        <v>18.0</v>
      </c>
      <c r="C106" s="95">
        <v>65.0</v>
      </c>
      <c r="D106" s="96">
        <v>8.3940103E7</v>
      </c>
    </row>
    <row r="107">
      <c r="A107" s="93" t="str">
        <f t="shared" si="1"/>
        <v>517700017101509</v>
      </c>
      <c r="B107" s="94">
        <v>51.0</v>
      </c>
      <c r="C107" s="95">
        <v>770.0</v>
      </c>
      <c r="D107" s="96">
        <v>1.7101509E7</v>
      </c>
    </row>
    <row r="108">
      <c r="A108" s="93" t="str">
        <f t="shared" si="1"/>
        <v>120690050717590</v>
      </c>
      <c r="B108" s="94">
        <v>12.0</v>
      </c>
      <c r="C108" s="95">
        <v>69.0</v>
      </c>
      <c r="D108" s="96">
        <v>5.071759E7</v>
      </c>
    </row>
    <row r="109">
      <c r="A109" s="93" t="str">
        <f t="shared" si="1"/>
        <v>483390020215650</v>
      </c>
      <c r="B109" s="94">
        <v>48.0</v>
      </c>
      <c r="C109" s="95">
        <v>339.0</v>
      </c>
      <c r="D109" s="96">
        <v>2.021565E7</v>
      </c>
    </row>
    <row r="110">
      <c r="A110" s="93" t="str">
        <f t="shared" si="1"/>
        <v>310070081338820</v>
      </c>
      <c r="B110" s="94">
        <v>31.0</v>
      </c>
      <c r="C110" s="95">
        <v>7.0</v>
      </c>
      <c r="D110" s="96">
        <v>8.133882E7</v>
      </c>
    </row>
    <row r="111">
      <c r="A111" s="93" t="str">
        <f t="shared" si="1"/>
        <v>202090099402618</v>
      </c>
      <c r="B111" s="94">
        <v>20.0</v>
      </c>
      <c r="C111" s="95">
        <v>209.0</v>
      </c>
      <c r="D111" s="96">
        <v>9.9402618E7</v>
      </c>
    </row>
    <row r="112">
      <c r="A112" s="93" t="str">
        <f t="shared" si="1"/>
        <v>080250016288707</v>
      </c>
      <c r="B112" s="94">
        <v>8.0</v>
      </c>
      <c r="C112" s="95">
        <v>25.0</v>
      </c>
      <c r="D112" s="96">
        <v>1.6288707E7</v>
      </c>
    </row>
    <row r="113">
      <c r="A113" s="93" t="str">
        <f t="shared" si="1"/>
        <v>550950056173135</v>
      </c>
      <c r="B113" s="94">
        <v>55.0</v>
      </c>
      <c r="C113" s="95">
        <v>95.0</v>
      </c>
      <c r="D113" s="96">
        <v>5.6173135E7</v>
      </c>
    </row>
    <row r="114">
      <c r="A114" s="93" t="str">
        <f t="shared" si="1"/>
        <v>510330082066599</v>
      </c>
      <c r="B114" s="94">
        <v>51.0</v>
      </c>
      <c r="C114" s="95">
        <v>33.0</v>
      </c>
      <c r="D114" s="96">
        <v>8.2066599E7</v>
      </c>
    </row>
    <row r="115">
      <c r="A115" s="93" t="str">
        <f t="shared" si="1"/>
        <v>280690052442760</v>
      </c>
      <c r="B115" s="94">
        <v>28.0</v>
      </c>
      <c r="C115" s="95">
        <v>69.0</v>
      </c>
      <c r="D115" s="96">
        <v>5.244276E7</v>
      </c>
    </row>
    <row r="116">
      <c r="A116" s="93" t="str">
        <f t="shared" si="1"/>
        <v>391090034661551</v>
      </c>
      <c r="B116" s="94">
        <v>39.0</v>
      </c>
      <c r="C116" s="95">
        <v>109.0</v>
      </c>
      <c r="D116" s="96">
        <v>3.4661551E7</v>
      </c>
    </row>
    <row r="117">
      <c r="A117" s="93" t="str">
        <f t="shared" si="1"/>
        <v>421010045223890</v>
      </c>
      <c r="B117" s="94">
        <v>42.0</v>
      </c>
      <c r="C117" s="95">
        <v>101.0</v>
      </c>
      <c r="D117" s="96">
        <v>4.522389E7</v>
      </c>
    </row>
    <row r="118">
      <c r="A118" s="93" t="str">
        <f t="shared" si="1"/>
        <v>482990093030362</v>
      </c>
      <c r="B118" s="94">
        <v>48.0</v>
      </c>
      <c r="C118" s="95">
        <v>299.0</v>
      </c>
      <c r="D118" s="96">
        <v>9.3030362E7</v>
      </c>
    </row>
    <row r="119">
      <c r="A119" s="93" t="str">
        <f t="shared" si="1"/>
        <v>190670076884079</v>
      </c>
      <c r="B119" s="94">
        <v>19.0</v>
      </c>
      <c r="C119" s="95">
        <v>67.0</v>
      </c>
      <c r="D119" s="96">
        <v>7.6884079E7</v>
      </c>
    </row>
    <row r="120">
      <c r="A120" s="93" t="str">
        <f t="shared" si="1"/>
        <v>530250077118324</v>
      </c>
      <c r="B120" s="94">
        <v>53.0</v>
      </c>
      <c r="C120" s="95">
        <v>25.0</v>
      </c>
      <c r="D120" s="96">
        <v>7.7118324E7</v>
      </c>
    </row>
    <row r="121">
      <c r="A121" s="93" t="str">
        <f t="shared" si="1"/>
        <v>450070035164666</v>
      </c>
      <c r="B121" s="94">
        <v>45.0</v>
      </c>
      <c r="C121" s="95">
        <v>7.0</v>
      </c>
      <c r="D121" s="96">
        <v>3.5164666E7</v>
      </c>
    </row>
    <row r="122">
      <c r="A122" s="93" t="str">
        <f t="shared" si="1"/>
        <v>261570050444148</v>
      </c>
      <c r="B122" s="94">
        <v>26.0</v>
      </c>
      <c r="C122" s="95">
        <v>157.0</v>
      </c>
      <c r="D122" s="96">
        <v>5.0444148E7</v>
      </c>
    </row>
    <row r="123">
      <c r="A123" s="93" t="str">
        <f t="shared" si="1"/>
        <v>371270044223839</v>
      </c>
      <c r="B123" s="94">
        <v>37.0</v>
      </c>
      <c r="C123" s="95">
        <v>127.0</v>
      </c>
      <c r="D123" s="96">
        <v>4.4223839E7</v>
      </c>
    </row>
    <row r="124">
      <c r="A124" s="93" t="str">
        <f t="shared" si="1"/>
        <v>260790092019032</v>
      </c>
      <c r="B124" s="94">
        <v>26.0</v>
      </c>
      <c r="C124" s="95">
        <v>79.0</v>
      </c>
      <c r="D124" s="96">
        <v>9.2019032E7</v>
      </c>
    </row>
    <row r="125">
      <c r="A125" s="93" t="str">
        <f t="shared" si="1"/>
        <v>483110023971117</v>
      </c>
      <c r="B125" s="94">
        <v>48.0</v>
      </c>
      <c r="C125" s="95">
        <v>311.0</v>
      </c>
      <c r="D125" s="96">
        <v>2.3971117E7</v>
      </c>
    </row>
    <row r="126">
      <c r="A126" s="93" t="str">
        <f t="shared" si="1"/>
        <v>482810077726066</v>
      </c>
      <c r="B126" s="94">
        <v>48.0</v>
      </c>
      <c r="C126" s="95">
        <v>281.0</v>
      </c>
      <c r="D126" s="96">
        <v>7.7726066E7</v>
      </c>
    </row>
    <row r="127">
      <c r="A127" s="93" t="str">
        <f t="shared" si="1"/>
        <v>130230041461726</v>
      </c>
      <c r="B127" s="94">
        <v>13.0</v>
      </c>
      <c r="C127" s="95">
        <v>23.0</v>
      </c>
      <c r="D127" s="96">
        <v>4.1461726E7</v>
      </c>
    </row>
    <row r="128">
      <c r="A128" s="93" t="str">
        <f t="shared" si="1"/>
        <v>517750019393454</v>
      </c>
      <c r="B128" s="94">
        <v>51.0</v>
      </c>
      <c r="C128" s="95">
        <v>775.0</v>
      </c>
      <c r="D128" s="96">
        <v>1.9393454E7</v>
      </c>
    </row>
    <row r="129">
      <c r="A129" s="93" t="str">
        <f t="shared" si="1"/>
        <v>170510044806265</v>
      </c>
      <c r="B129" s="94">
        <v>17.0</v>
      </c>
      <c r="C129" s="95">
        <v>51.0</v>
      </c>
      <c r="D129" s="96">
        <v>4.4806265E7</v>
      </c>
    </row>
    <row r="130">
      <c r="A130" s="93" t="str">
        <f t="shared" si="1"/>
        <v>132930059591296</v>
      </c>
      <c r="B130" s="94">
        <v>13.0</v>
      </c>
      <c r="C130" s="95">
        <v>293.0</v>
      </c>
      <c r="D130" s="96">
        <v>5.9591296E7</v>
      </c>
    </row>
    <row r="131">
      <c r="A131" s="93" t="str">
        <f t="shared" si="1"/>
        <v>211730041258536</v>
      </c>
      <c r="B131" s="94">
        <v>21.0</v>
      </c>
      <c r="C131" s="95">
        <v>173.0</v>
      </c>
      <c r="D131" s="96">
        <v>4.1258536E7</v>
      </c>
    </row>
    <row r="132">
      <c r="A132" s="93" t="str">
        <f t="shared" si="1"/>
        <v>170330070874007</v>
      </c>
      <c r="B132" s="94">
        <v>17.0</v>
      </c>
      <c r="C132" s="95">
        <v>33.0</v>
      </c>
      <c r="D132" s="96">
        <v>7.0874007E7</v>
      </c>
    </row>
    <row r="133">
      <c r="A133" s="93" t="str">
        <f t="shared" si="1"/>
        <v>201890090051617</v>
      </c>
      <c r="B133" s="94">
        <v>20.0</v>
      </c>
      <c r="C133" s="95">
        <v>189.0</v>
      </c>
      <c r="D133" s="96">
        <v>9.0051617E7</v>
      </c>
    </row>
    <row r="134">
      <c r="A134" s="93" t="str">
        <f t="shared" si="1"/>
        <v>300050080053345</v>
      </c>
      <c r="B134" s="94">
        <v>30.0</v>
      </c>
      <c r="C134" s="95">
        <v>5.0</v>
      </c>
      <c r="D134" s="96">
        <v>8.0053345E7</v>
      </c>
    </row>
    <row r="135">
      <c r="A135" s="93" t="str">
        <f t="shared" si="1"/>
        <v>170050025070732</v>
      </c>
      <c r="B135" s="94">
        <v>17.0</v>
      </c>
      <c r="C135" s="95">
        <v>5.0</v>
      </c>
      <c r="D135" s="96">
        <v>2.5070732E7</v>
      </c>
    </row>
    <row r="136">
      <c r="A136" s="93" t="str">
        <f t="shared" si="1"/>
        <v>470450024052749</v>
      </c>
      <c r="B136" s="94">
        <v>47.0</v>
      </c>
      <c r="C136" s="95">
        <v>45.0</v>
      </c>
      <c r="D136" s="96">
        <v>2.4052749E7</v>
      </c>
    </row>
    <row r="137">
      <c r="A137" s="93" t="str">
        <f t="shared" si="1"/>
        <v>470490061924478</v>
      </c>
      <c r="B137" s="94">
        <v>47.0</v>
      </c>
      <c r="C137" s="95">
        <v>49.0</v>
      </c>
      <c r="D137" s="96">
        <v>6.1924478E7</v>
      </c>
    </row>
    <row r="138">
      <c r="A138" s="93" t="str">
        <f t="shared" si="1"/>
        <v>360950086511390</v>
      </c>
      <c r="B138" s="94">
        <v>36.0</v>
      </c>
      <c r="C138" s="95">
        <v>95.0</v>
      </c>
      <c r="D138" s="96">
        <v>8.651139E7</v>
      </c>
    </row>
    <row r="139">
      <c r="A139" s="93" t="str">
        <f t="shared" si="1"/>
        <v>371350049976787</v>
      </c>
      <c r="B139" s="94">
        <v>37.0</v>
      </c>
      <c r="C139" s="95">
        <v>135.0</v>
      </c>
      <c r="D139" s="96">
        <v>4.9976787E7</v>
      </c>
    </row>
    <row r="140">
      <c r="A140" s="93" t="str">
        <f t="shared" si="1"/>
        <v>480190032971184</v>
      </c>
      <c r="B140" s="94">
        <v>48.0</v>
      </c>
      <c r="C140" s="95">
        <v>19.0</v>
      </c>
      <c r="D140" s="96">
        <v>3.2971184E7</v>
      </c>
    </row>
    <row r="141">
      <c r="A141" s="93" t="str">
        <f t="shared" si="1"/>
        <v>281150018551565</v>
      </c>
      <c r="B141" s="94">
        <v>28.0</v>
      </c>
      <c r="C141" s="95">
        <v>115.0</v>
      </c>
      <c r="D141" s="96">
        <v>1.8551565E7</v>
      </c>
    </row>
    <row r="142">
      <c r="A142" s="93" t="str">
        <f t="shared" si="1"/>
        <v>300970043165906</v>
      </c>
      <c r="B142" s="94">
        <v>30.0</v>
      </c>
      <c r="C142" s="95">
        <v>97.0</v>
      </c>
      <c r="D142" s="96">
        <v>4.3165906E7</v>
      </c>
    </row>
    <row r="143">
      <c r="A143" s="93" t="str">
        <f t="shared" si="1"/>
        <v>270390085206555</v>
      </c>
      <c r="B143" s="94">
        <v>27.0</v>
      </c>
      <c r="C143" s="95">
        <v>39.0</v>
      </c>
      <c r="D143" s="96">
        <v>8.5206555E7</v>
      </c>
    </row>
    <row r="144">
      <c r="A144" s="93" t="str">
        <f t="shared" si="1"/>
        <v>170930025948614</v>
      </c>
      <c r="B144" s="94">
        <v>17.0</v>
      </c>
      <c r="C144" s="95">
        <v>93.0</v>
      </c>
      <c r="D144" s="96">
        <v>2.5948614E7</v>
      </c>
    </row>
    <row r="145">
      <c r="A145" s="93" t="str">
        <f t="shared" si="1"/>
        <v>482170077946733</v>
      </c>
      <c r="B145" s="94">
        <v>48.0</v>
      </c>
      <c r="C145" s="95">
        <v>217.0</v>
      </c>
      <c r="D145" s="96">
        <v>7.7946733E7</v>
      </c>
    </row>
    <row r="146">
      <c r="A146" s="93" t="str">
        <f t="shared" si="1"/>
        <v>010610051805135</v>
      </c>
      <c r="B146" s="94">
        <v>1.0</v>
      </c>
      <c r="C146" s="95">
        <v>61.0</v>
      </c>
      <c r="D146" s="96">
        <v>5.1805135E7</v>
      </c>
    </row>
    <row r="147">
      <c r="A147" s="93" t="str">
        <f t="shared" si="1"/>
        <v>220850066095539</v>
      </c>
      <c r="B147" s="94">
        <v>22.0</v>
      </c>
      <c r="C147" s="95">
        <v>85.0</v>
      </c>
      <c r="D147" s="96">
        <v>6.6095539E7</v>
      </c>
    </row>
    <row r="148">
      <c r="A148" s="93" t="str">
        <f t="shared" si="1"/>
        <v>271510074626661</v>
      </c>
      <c r="B148" s="94">
        <v>27.0</v>
      </c>
      <c r="C148" s="95">
        <v>151.0</v>
      </c>
      <c r="D148" s="96">
        <v>7.4626661E7</v>
      </c>
    </row>
    <row r="149">
      <c r="A149" s="93" t="str">
        <f t="shared" si="1"/>
        <v>180330066414573</v>
      </c>
      <c r="B149" s="94">
        <v>18.0</v>
      </c>
      <c r="C149" s="95">
        <v>33.0</v>
      </c>
      <c r="D149" s="96">
        <v>6.6414573E7</v>
      </c>
    </row>
    <row r="150">
      <c r="A150" s="93" t="str">
        <f t="shared" si="1"/>
        <v>460930039755731</v>
      </c>
      <c r="B150" s="94">
        <v>46.0</v>
      </c>
      <c r="C150" s="95">
        <v>93.0</v>
      </c>
      <c r="D150" s="96">
        <v>3.9755731E7</v>
      </c>
    </row>
    <row r="151">
      <c r="A151" s="93" t="str">
        <f t="shared" si="1"/>
        <v>210010032961090</v>
      </c>
      <c r="B151" s="94">
        <v>21.0</v>
      </c>
      <c r="C151" s="95">
        <v>1.0</v>
      </c>
      <c r="D151" s="96">
        <v>3.296109E7</v>
      </c>
    </row>
    <row r="152">
      <c r="A152" s="93" t="str">
        <f t="shared" si="1"/>
        <v>350090019077395</v>
      </c>
      <c r="B152" s="94">
        <v>35.0</v>
      </c>
      <c r="C152" s="95">
        <v>9.0</v>
      </c>
      <c r="D152" s="96">
        <v>1.9077395E7</v>
      </c>
    </row>
    <row r="153">
      <c r="A153" s="93" t="str">
        <f t="shared" si="1"/>
        <v>261490091713891</v>
      </c>
      <c r="B153" s="94">
        <v>26.0</v>
      </c>
      <c r="C153" s="95">
        <v>149.0</v>
      </c>
      <c r="D153" s="96">
        <v>9.1713891E7</v>
      </c>
    </row>
    <row r="154">
      <c r="A154" s="93" t="str">
        <f t="shared" si="1"/>
        <v>050950023360016</v>
      </c>
      <c r="B154" s="94">
        <v>5.0</v>
      </c>
      <c r="C154" s="95">
        <v>95.0</v>
      </c>
      <c r="D154" s="96">
        <v>2.3360016E7</v>
      </c>
    </row>
    <row r="155">
      <c r="A155" s="93" t="str">
        <f t="shared" si="1"/>
        <v>190970067574637</v>
      </c>
      <c r="B155" s="94">
        <v>19.0</v>
      </c>
      <c r="C155" s="95">
        <v>97.0</v>
      </c>
      <c r="D155" s="96">
        <v>6.7574637E7</v>
      </c>
    </row>
    <row r="156">
      <c r="A156" s="93" t="str">
        <f t="shared" si="1"/>
        <v>360730050463980</v>
      </c>
      <c r="B156" s="94">
        <v>36.0</v>
      </c>
      <c r="C156" s="95">
        <v>73.0</v>
      </c>
      <c r="D156" s="96">
        <v>5.046398E7</v>
      </c>
    </row>
    <row r="157">
      <c r="A157" s="93" t="str">
        <f t="shared" si="1"/>
        <v>470250070886521</v>
      </c>
      <c r="B157" s="94">
        <v>47.0</v>
      </c>
      <c r="C157" s="95">
        <v>25.0</v>
      </c>
      <c r="D157" s="96">
        <v>7.0886521E7</v>
      </c>
    </row>
    <row r="158">
      <c r="A158" s="93" t="str">
        <f t="shared" si="1"/>
        <v>310170034282817</v>
      </c>
      <c r="B158" s="94">
        <v>31.0</v>
      </c>
      <c r="C158" s="95">
        <v>17.0</v>
      </c>
      <c r="D158" s="96">
        <v>3.4282817E7</v>
      </c>
    </row>
    <row r="159">
      <c r="A159" s="93" t="str">
        <f t="shared" si="1"/>
        <v>050690070334928</v>
      </c>
      <c r="B159" s="94">
        <v>5.0</v>
      </c>
      <c r="C159" s="95">
        <v>69.0</v>
      </c>
      <c r="D159" s="96">
        <v>7.0334928E7</v>
      </c>
    </row>
    <row r="160">
      <c r="A160" s="93" t="str">
        <f t="shared" si="1"/>
        <v>080730080826268</v>
      </c>
      <c r="B160" s="94">
        <v>8.0</v>
      </c>
      <c r="C160" s="95">
        <v>73.0</v>
      </c>
      <c r="D160" s="96">
        <v>8.0826268E7</v>
      </c>
    </row>
    <row r="161">
      <c r="A161" s="93" t="str">
        <f t="shared" si="1"/>
        <v>330150028541367</v>
      </c>
      <c r="B161" s="94">
        <v>33.0</v>
      </c>
      <c r="C161" s="95">
        <v>15.0</v>
      </c>
      <c r="D161" s="96">
        <v>2.8541367E7</v>
      </c>
    </row>
    <row r="162">
      <c r="A162" s="93" t="str">
        <f t="shared" si="1"/>
        <v>060690060588189</v>
      </c>
      <c r="B162" s="94">
        <v>6.0</v>
      </c>
      <c r="C162" s="95">
        <v>69.0</v>
      </c>
      <c r="D162" s="96">
        <v>6.0588189E7</v>
      </c>
    </row>
    <row r="163">
      <c r="A163" s="93" t="str">
        <f t="shared" si="1"/>
        <v>511270089195277</v>
      </c>
      <c r="B163" s="94">
        <v>51.0</v>
      </c>
      <c r="C163" s="95">
        <v>127.0</v>
      </c>
      <c r="D163" s="96">
        <v>8.9195277E7</v>
      </c>
    </row>
    <row r="164">
      <c r="A164" s="93" t="str">
        <f t="shared" si="1"/>
        <v>485070012946203</v>
      </c>
      <c r="B164" s="94">
        <v>48.0</v>
      </c>
      <c r="C164" s="95">
        <v>507.0</v>
      </c>
      <c r="D164" s="96">
        <v>1.2946203E7</v>
      </c>
    </row>
    <row r="165">
      <c r="A165" s="93" t="str">
        <f t="shared" si="1"/>
        <v>517800089199850</v>
      </c>
      <c r="B165" s="94">
        <v>51.0</v>
      </c>
      <c r="C165" s="95">
        <v>780.0</v>
      </c>
      <c r="D165" s="96">
        <v>8.919985E7</v>
      </c>
    </row>
    <row r="166">
      <c r="A166" s="93" t="str">
        <f t="shared" si="1"/>
        <v>330090052144869</v>
      </c>
      <c r="B166" s="94">
        <v>33.0</v>
      </c>
      <c r="C166" s="95">
        <v>9.0</v>
      </c>
      <c r="D166" s="96">
        <v>5.2144869E7</v>
      </c>
    </row>
    <row r="167">
      <c r="A167" s="93" t="str">
        <f t="shared" si="1"/>
        <v>060670057632626</v>
      </c>
      <c r="B167" s="94">
        <v>6.0</v>
      </c>
      <c r="C167" s="95">
        <v>67.0</v>
      </c>
      <c r="D167" s="96">
        <v>5.7632626E7</v>
      </c>
    </row>
    <row r="168">
      <c r="A168" s="93" t="str">
        <f t="shared" si="1"/>
        <v>361130044943707</v>
      </c>
      <c r="B168" s="94">
        <v>36.0</v>
      </c>
      <c r="C168" s="95">
        <v>113.0</v>
      </c>
      <c r="D168" s="96">
        <v>4.4943707E7</v>
      </c>
    </row>
    <row r="169">
      <c r="A169" s="93" t="str">
        <f t="shared" si="1"/>
        <v>050210084723129</v>
      </c>
      <c r="B169" s="94">
        <v>5.0</v>
      </c>
      <c r="C169" s="95">
        <v>21.0</v>
      </c>
      <c r="D169" s="96">
        <v>8.4723129E7</v>
      </c>
    </row>
    <row r="170">
      <c r="A170" s="93" t="str">
        <f t="shared" si="1"/>
        <v>200450031161179</v>
      </c>
      <c r="B170" s="94">
        <v>20.0</v>
      </c>
      <c r="C170" s="95">
        <v>45.0</v>
      </c>
      <c r="D170" s="96">
        <v>3.1161179E7</v>
      </c>
    </row>
    <row r="171">
      <c r="A171" s="93" t="str">
        <f t="shared" si="1"/>
        <v>171290083726989</v>
      </c>
      <c r="B171" s="94">
        <v>17.0</v>
      </c>
      <c r="C171" s="95">
        <v>129.0</v>
      </c>
      <c r="D171" s="96">
        <v>8.3726989E7</v>
      </c>
    </row>
    <row r="172">
      <c r="A172" s="93" t="str">
        <f t="shared" si="1"/>
        <v>131370059305962</v>
      </c>
      <c r="B172" s="94">
        <v>13.0</v>
      </c>
      <c r="C172" s="95">
        <v>137.0</v>
      </c>
      <c r="D172" s="96">
        <v>5.9305962E7</v>
      </c>
    </row>
    <row r="173">
      <c r="A173" s="93" t="str">
        <f t="shared" si="1"/>
        <v>081170086480756</v>
      </c>
      <c r="B173" s="94">
        <v>8.0</v>
      </c>
      <c r="C173" s="95">
        <v>117.0</v>
      </c>
      <c r="D173" s="96">
        <v>8.6480756E7</v>
      </c>
    </row>
    <row r="174">
      <c r="A174" s="93" t="str">
        <f t="shared" si="1"/>
        <v>210970088806943</v>
      </c>
      <c r="B174" s="94">
        <v>21.0</v>
      </c>
      <c r="C174" s="95">
        <v>97.0</v>
      </c>
      <c r="D174" s="96">
        <v>8.8806943E7</v>
      </c>
    </row>
    <row r="175">
      <c r="A175" s="93" t="str">
        <f t="shared" si="1"/>
        <v>350610032209948</v>
      </c>
      <c r="B175" s="94">
        <v>35.0</v>
      </c>
      <c r="C175" s="95">
        <v>61.0</v>
      </c>
      <c r="D175" s="96">
        <v>3.2209948E7</v>
      </c>
    </row>
    <row r="176">
      <c r="A176" s="93" t="str">
        <f t="shared" si="1"/>
        <v>371690048623020</v>
      </c>
      <c r="B176" s="94">
        <v>37.0</v>
      </c>
      <c r="C176" s="95">
        <v>169.0</v>
      </c>
      <c r="D176" s="96">
        <v>4.862302E7</v>
      </c>
    </row>
    <row r="177">
      <c r="A177" s="93" t="str">
        <f t="shared" si="1"/>
        <v>370550066444158</v>
      </c>
      <c r="B177" s="94">
        <v>37.0</v>
      </c>
      <c r="C177" s="95">
        <v>55.0</v>
      </c>
      <c r="D177" s="96">
        <v>6.6444158E7</v>
      </c>
    </row>
    <row r="178">
      <c r="A178" s="93" t="str">
        <f t="shared" si="1"/>
        <v>310150031748689</v>
      </c>
      <c r="B178" s="94">
        <v>31.0</v>
      </c>
      <c r="C178" s="95">
        <v>15.0</v>
      </c>
      <c r="D178" s="96">
        <v>3.1748689E7</v>
      </c>
    </row>
    <row r="179">
      <c r="A179" s="93" t="str">
        <f t="shared" si="1"/>
        <v>171910054156965</v>
      </c>
      <c r="B179" s="94">
        <v>17.0</v>
      </c>
      <c r="C179" s="95">
        <v>191.0</v>
      </c>
      <c r="D179" s="96">
        <v>5.4156965E7</v>
      </c>
    </row>
    <row r="180">
      <c r="A180" s="93" t="str">
        <f t="shared" si="1"/>
        <v>485010097619222</v>
      </c>
      <c r="B180" s="94">
        <v>48.0</v>
      </c>
      <c r="C180" s="95">
        <v>501.0</v>
      </c>
      <c r="D180" s="96">
        <v>9.7619222E7</v>
      </c>
    </row>
    <row r="181">
      <c r="A181" s="93" t="str">
        <f t="shared" si="1"/>
        <v>340390081839638</v>
      </c>
      <c r="B181" s="94">
        <v>34.0</v>
      </c>
      <c r="C181" s="95">
        <v>39.0</v>
      </c>
      <c r="D181" s="96">
        <v>8.1839638E7</v>
      </c>
    </row>
    <row r="182">
      <c r="A182" s="93" t="str">
        <f t="shared" si="1"/>
        <v>190550090297512</v>
      </c>
      <c r="B182" s="94">
        <v>19.0</v>
      </c>
      <c r="C182" s="95">
        <v>55.0</v>
      </c>
      <c r="D182" s="96">
        <v>9.0297512E7</v>
      </c>
    </row>
    <row r="183">
      <c r="A183" s="93" t="str">
        <f t="shared" si="1"/>
        <v>484970089704384</v>
      </c>
      <c r="B183" s="94">
        <v>48.0</v>
      </c>
      <c r="C183" s="95">
        <v>497.0</v>
      </c>
      <c r="D183" s="96">
        <v>8.9704384E7</v>
      </c>
    </row>
    <row r="184">
      <c r="A184" s="93" t="str">
        <f t="shared" si="1"/>
        <v>515700041348829</v>
      </c>
      <c r="B184" s="94">
        <v>51.0</v>
      </c>
      <c r="C184" s="95">
        <v>570.0</v>
      </c>
      <c r="D184" s="96">
        <v>4.1348829E7</v>
      </c>
    </row>
    <row r="185">
      <c r="A185" s="93" t="str">
        <f t="shared" si="1"/>
        <v>270170053886347</v>
      </c>
      <c r="B185" s="94">
        <v>27.0</v>
      </c>
      <c r="C185" s="95">
        <v>17.0</v>
      </c>
      <c r="D185" s="96">
        <v>5.3886347E7</v>
      </c>
    </row>
    <row r="186">
      <c r="A186" s="93" t="str">
        <f t="shared" si="1"/>
        <v>291110058651430</v>
      </c>
      <c r="B186" s="94">
        <v>29.0</v>
      </c>
      <c r="C186" s="95">
        <v>111.0</v>
      </c>
      <c r="D186" s="96">
        <v>5.865143E7</v>
      </c>
    </row>
    <row r="187">
      <c r="A187" s="93" t="str">
        <f t="shared" si="1"/>
        <v>022610092671331</v>
      </c>
      <c r="B187" s="94">
        <v>2.0</v>
      </c>
      <c r="C187" s="95">
        <v>261.0</v>
      </c>
      <c r="D187" s="96">
        <v>9.2671331E7</v>
      </c>
    </row>
    <row r="188">
      <c r="A188" s="93" t="str">
        <f t="shared" si="1"/>
        <v>081150046639144</v>
      </c>
      <c r="B188" s="94">
        <v>8.0</v>
      </c>
      <c r="C188" s="95">
        <v>115.0</v>
      </c>
      <c r="D188" s="96">
        <v>4.6639144E7</v>
      </c>
    </row>
    <row r="189">
      <c r="A189" s="93" t="str">
        <f t="shared" si="1"/>
        <v>330130012456507</v>
      </c>
      <c r="B189" s="94">
        <v>33.0</v>
      </c>
      <c r="C189" s="95">
        <v>13.0</v>
      </c>
      <c r="D189" s="96">
        <v>1.2456507E7</v>
      </c>
    </row>
    <row r="190">
      <c r="A190" s="93" t="str">
        <f t="shared" si="1"/>
        <v>211950034080633</v>
      </c>
      <c r="B190" s="94">
        <v>21.0</v>
      </c>
      <c r="C190" s="95">
        <v>195.0</v>
      </c>
      <c r="D190" s="96">
        <v>3.4080633E7</v>
      </c>
    </row>
    <row r="191">
      <c r="A191" s="93" t="str">
        <f t="shared" si="1"/>
        <v>401330051123129</v>
      </c>
      <c r="B191" s="94">
        <v>40.0</v>
      </c>
      <c r="C191" s="95">
        <v>133.0</v>
      </c>
      <c r="D191" s="96">
        <v>5.1123129E7</v>
      </c>
    </row>
    <row r="192">
      <c r="A192" s="93" t="str">
        <f t="shared" si="1"/>
        <v>550150082622203</v>
      </c>
      <c r="B192" s="94">
        <v>55.0</v>
      </c>
      <c r="C192" s="95">
        <v>15.0</v>
      </c>
      <c r="D192" s="96">
        <v>8.2622203E7</v>
      </c>
    </row>
    <row r="193">
      <c r="A193" s="93" t="str">
        <f t="shared" si="1"/>
        <v>460650071649315</v>
      </c>
      <c r="B193" s="94">
        <v>46.0</v>
      </c>
      <c r="C193" s="95">
        <v>65.0</v>
      </c>
      <c r="D193" s="96">
        <v>7.1649315E7</v>
      </c>
    </row>
    <row r="194">
      <c r="A194" s="93" t="str">
        <f t="shared" si="1"/>
        <v>310650035487607</v>
      </c>
      <c r="B194" s="94">
        <v>31.0</v>
      </c>
      <c r="C194" s="95">
        <v>65.0</v>
      </c>
      <c r="D194" s="96">
        <v>3.5487607E7</v>
      </c>
    </row>
    <row r="195">
      <c r="A195" s="93" t="str">
        <f t="shared" si="1"/>
        <v>360330015860278</v>
      </c>
      <c r="B195" s="94">
        <v>36.0</v>
      </c>
      <c r="C195" s="95">
        <v>33.0</v>
      </c>
      <c r="D195" s="96">
        <v>1.5860278E7</v>
      </c>
    </row>
    <row r="196">
      <c r="A196" s="93" t="str">
        <f t="shared" si="1"/>
        <v>470550059376185</v>
      </c>
      <c r="B196" s="94">
        <v>47.0</v>
      </c>
      <c r="C196" s="95">
        <v>55.0</v>
      </c>
      <c r="D196" s="96">
        <v>5.9376185E7</v>
      </c>
    </row>
    <row r="197">
      <c r="A197" s="93" t="str">
        <f t="shared" si="1"/>
        <v>484490077768144</v>
      </c>
      <c r="B197" s="94">
        <v>48.0</v>
      </c>
      <c r="C197" s="95">
        <v>449.0</v>
      </c>
      <c r="D197" s="96">
        <v>7.7768144E7</v>
      </c>
    </row>
    <row r="198">
      <c r="A198" s="93" t="str">
        <f t="shared" si="1"/>
        <v>260370021143015</v>
      </c>
      <c r="B198" s="94">
        <v>26.0</v>
      </c>
      <c r="C198" s="95">
        <v>37.0</v>
      </c>
      <c r="D198" s="96">
        <v>2.1143015E7</v>
      </c>
    </row>
    <row r="199">
      <c r="A199" s="93" t="str">
        <f t="shared" si="1"/>
        <v>160590033307914</v>
      </c>
      <c r="B199" s="94">
        <v>16.0</v>
      </c>
      <c r="C199" s="95">
        <v>59.0</v>
      </c>
      <c r="D199" s="96">
        <v>3.3307914E7</v>
      </c>
    </row>
    <row r="200">
      <c r="A200" s="93" t="str">
        <f t="shared" si="1"/>
        <v>471570070479084</v>
      </c>
      <c r="B200" s="94">
        <v>47.0</v>
      </c>
      <c r="C200" s="95">
        <v>157.0</v>
      </c>
      <c r="D200" s="96">
        <v>7.0479084E7</v>
      </c>
    </row>
    <row r="201">
      <c r="A201" s="93" t="str">
        <f t="shared" si="1"/>
        <v>050470054446833</v>
      </c>
      <c r="B201" s="94">
        <v>5.0</v>
      </c>
      <c r="C201" s="95">
        <v>47.0</v>
      </c>
      <c r="D201" s="96">
        <v>5.4446833E7</v>
      </c>
    </row>
    <row r="202">
      <c r="A202" s="93" t="str">
        <f t="shared" si="1"/>
        <v>480930090306319</v>
      </c>
      <c r="B202" s="94">
        <v>48.0</v>
      </c>
      <c r="C202" s="95">
        <v>93.0</v>
      </c>
      <c r="D202" s="96">
        <v>9.0306319E7</v>
      </c>
    </row>
    <row r="203">
      <c r="A203" s="93" t="str">
        <f t="shared" si="1"/>
        <v>310050033037187</v>
      </c>
      <c r="B203" s="94">
        <v>31.0</v>
      </c>
      <c r="C203" s="95">
        <v>5.0</v>
      </c>
      <c r="D203" s="96">
        <v>3.3037187E7</v>
      </c>
    </row>
    <row r="204">
      <c r="A204" s="93" t="str">
        <f t="shared" si="1"/>
        <v>201930050362034</v>
      </c>
      <c r="B204" s="94">
        <v>20.0</v>
      </c>
      <c r="C204" s="95">
        <v>193.0</v>
      </c>
      <c r="D204" s="96">
        <v>5.0362034E7</v>
      </c>
    </row>
    <row r="205">
      <c r="A205" s="93" t="str">
        <f t="shared" si="1"/>
        <v>460330068286679</v>
      </c>
      <c r="B205" s="94">
        <v>46.0</v>
      </c>
      <c r="C205" s="95">
        <v>33.0</v>
      </c>
      <c r="D205" s="96">
        <v>6.8286679E7</v>
      </c>
    </row>
    <row r="206">
      <c r="A206" s="93" t="str">
        <f t="shared" si="1"/>
        <v>120790066683816</v>
      </c>
      <c r="B206" s="94">
        <v>12.0</v>
      </c>
      <c r="C206" s="95">
        <v>79.0</v>
      </c>
      <c r="D206" s="96">
        <v>6.6683816E7</v>
      </c>
    </row>
    <row r="207">
      <c r="A207" s="93" t="str">
        <f t="shared" si="1"/>
        <v>201230077304592</v>
      </c>
      <c r="B207" s="94">
        <v>20.0</v>
      </c>
      <c r="C207" s="95">
        <v>123.0</v>
      </c>
      <c r="D207" s="96">
        <v>7.7304592E7</v>
      </c>
    </row>
    <row r="208">
      <c r="A208" s="93" t="str">
        <f t="shared" si="1"/>
        <v>221190056950015</v>
      </c>
      <c r="B208" s="94">
        <v>22.0</v>
      </c>
      <c r="C208" s="95">
        <v>119.0</v>
      </c>
      <c r="D208" s="96">
        <v>5.6950015E7</v>
      </c>
    </row>
    <row r="209">
      <c r="A209" s="93" t="str">
        <f t="shared" si="1"/>
        <v>010190037172741</v>
      </c>
      <c r="B209" s="94">
        <v>1.0</v>
      </c>
      <c r="C209" s="95">
        <v>19.0</v>
      </c>
      <c r="D209" s="96">
        <v>3.7172741E7</v>
      </c>
    </row>
    <row r="210">
      <c r="A210" s="93" t="str">
        <f t="shared" si="1"/>
        <v>190730089900683</v>
      </c>
      <c r="B210" s="94">
        <v>19.0</v>
      </c>
      <c r="C210" s="95">
        <v>73.0</v>
      </c>
      <c r="D210" s="96">
        <v>8.9900683E7</v>
      </c>
    </row>
    <row r="211">
      <c r="A211" s="93" t="str">
        <f t="shared" si="1"/>
        <v>300290077159606</v>
      </c>
      <c r="B211" s="94">
        <v>30.0</v>
      </c>
      <c r="C211" s="95">
        <v>29.0</v>
      </c>
      <c r="D211" s="96">
        <v>7.7159606E7</v>
      </c>
    </row>
    <row r="212">
      <c r="A212" s="93" t="str">
        <f t="shared" si="1"/>
        <v>540450028826476</v>
      </c>
      <c r="B212" s="94">
        <v>54.0</v>
      </c>
      <c r="C212" s="95">
        <v>45.0</v>
      </c>
      <c r="D212" s="96">
        <v>2.8826476E7</v>
      </c>
    </row>
    <row r="213">
      <c r="A213" s="93" t="str">
        <f t="shared" si="1"/>
        <v>420670060481347</v>
      </c>
      <c r="B213" s="94">
        <v>42.0</v>
      </c>
      <c r="C213" s="95">
        <v>67.0</v>
      </c>
      <c r="D213" s="96">
        <v>6.0481347E7</v>
      </c>
    </row>
    <row r="214">
      <c r="A214" s="93" t="str">
        <f t="shared" si="1"/>
        <v>300350071411726</v>
      </c>
      <c r="B214" s="94">
        <v>30.0</v>
      </c>
      <c r="C214" s="95">
        <v>35.0</v>
      </c>
      <c r="D214" s="96">
        <v>7.1411726E7</v>
      </c>
    </row>
    <row r="215">
      <c r="A215" s="93" t="str">
        <f t="shared" si="1"/>
        <v>401310088804318</v>
      </c>
      <c r="B215" s="94">
        <v>40.0</v>
      </c>
      <c r="C215" s="95">
        <v>131.0</v>
      </c>
      <c r="D215" s="96">
        <v>8.8804318E7</v>
      </c>
    </row>
    <row r="216">
      <c r="A216" s="93" t="str">
        <f t="shared" si="1"/>
        <v>490450015803634</v>
      </c>
      <c r="B216" s="94">
        <v>49.0</v>
      </c>
      <c r="C216" s="95">
        <v>45.0</v>
      </c>
      <c r="D216" s="96">
        <v>1.5803634E7</v>
      </c>
    </row>
    <row r="217">
      <c r="A217" s="93" t="str">
        <f t="shared" si="1"/>
        <v>480310038471535</v>
      </c>
      <c r="B217" s="94">
        <v>48.0</v>
      </c>
      <c r="C217" s="95">
        <v>31.0</v>
      </c>
      <c r="D217" s="96">
        <v>3.8471535E7</v>
      </c>
    </row>
    <row r="218">
      <c r="A218" s="93" t="str">
        <f t="shared" si="1"/>
        <v>291130065128556</v>
      </c>
      <c r="B218" s="94">
        <v>29.0</v>
      </c>
      <c r="C218" s="95">
        <v>113.0</v>
      </c>
      <c r="D218" s="96">
        <v>6.5128556E7</v>
      </c>
    </row>
    <row r="219">
      <c r="A219" s="93" t="str">
        <f t="shared" si="1"/>
        <v>420110018082802</v>
      </c>
      <c r="B219" s="94">
        <v>42.0</v>
      </c>
      <c r="C219" s="95">
        <v>11.0</v>
      </c>
      <c r="D219" s="96">
        <v>1.8082802E7</v>
      </c>
    </row>
    <row r="220">
      <c r="A220" s="93" t="str">
        <f t="shared" si="1"/>
        <v>484850044049315</v>
      </c>
      <c r="B220" s="94">
        <v>48.0</v>
      </c>
      <c r="C220" s="95">
        <v>485.0</v>
      </c>
      <c r="D220" s="96">
        <v>4.4049315E7</v>
      </c>
    </row>
    <row r="221">
      <c r="A221" s="93" t="str">
        <f t="shared" si="1"/>
        <v>371010012901455</v>
      </c>
      <c r="B221" s="94">
        <v>37.0</v>
      </c>
      <c r="C221" s="95">
        <v>101.0</v>
      </c>
      <c r="D221" s="96">
        <v>1.2901455E7</v>
      </c>
    </row>
    <row r="222">
      <c r="A222" s="93" t="str">
        <f t="shared" si="1"/>
        <v>051090045825218</v>
      </c>
      <c r="B222" s="94">
        <v>5.0</v>
      </c>
      <c r="C222" s="95">
        <v>109.0</v>
      </c>
      <c r="D222" s="96">
        <v>4.5825218E7</v>
      </c>
    </row>
    <row r="223">
      <c r="A223" s="93" t="str">
        <f t="shared" si="1"/>
        <v>181750079878498</v>
      </c>
      <c r="B223" s="94">
        <v>18.0</v>
      </c>
      <c r="C223" s="95">
        <v>175.0</v>
      </c>
      <c r="D223" s="96">
        <v>7.9878498E7</v>
      </c>
    </row>
    <row r="224">
      <c r="A224" s="93" t="str">
        <f t="shared" si="1"/>
        <v>560230067663292</v>
      </c>
      <c r="B224" s="94">
        <v>56.0</v>
      </c>
      <c r="C224" s="95">
        <v>23.0</v>
      </c>
      <c r="D224" s="96">
        <v>6.7663292E7</v>
      </c>
    </row>
    <row r="225">
      <c r="A225" s="93" t="str">
        <f t="shared" si="1"/>
        <v>080150023638627</v>
      </c>
      <c r="B225" s="94">
        <v>8.0</v>
      </c>
      <c r="C225" s="95">
        <v>15.0</v>
      </c>
      <c r="D225" s="96">
        <v>2.3638627E7</v>
      </c>
    </row>
    <row r="226">
      <c r="A226" s="93" t="str">
        <f t="shared" si="1"/>
        <v>482130025126955</v>
      </c>
      <c r="B226" s="94">
        <v>48.0</v>
      </c>
      <c r="C226" s="95">
        <v>213.0</v>
      </c>
      <c r="D226" s="96">
        <v>2.5126955E7</v>
      </c>
    </row>
    <row r="227">
      <c r="A227" s="93" t="str">
        <f t="shared" si="1"/>
        <v>470150091372039</v>
      </c>
      <c r="B227" s="94">
        <v>47.0</v>
      </c>
      <c r="C227" s="95">
        <v>15.0</v>
      </c>
      <c r="D227" s="96">
        <v>9.1372039E7</v>
      </c>
    </row>
    <row r="228">
      <c r="A228" s="93" t="str">
        <f t="shared" si="1"/>
        <v>350570028765300</v>
      </c>
      <c r="B228" s="94">
        <v>35.0</v>
      </c>
      <c r="C228" s="95">
        <v>57.0</v>
      </c>
      <c r="D228" s="96">
        <v>2.87653E7</v>
      </c>
    </row>
    <row r="229">
      <c r="A229" s="93" t="str">
        <f t="shared" si="1"/>
        <v>131830013677577</v>
      </c>
      <c r="B229" s="94">
        <v>13.0</v>
      </c>
      <c r="C229" s="95">
        <v>183.0</v>
      </c>
      <c r="D229" s="96">
        <v>1.3677577E7</v>
      </c>
    </row>
    <row r="230">
      <c r="A230" s="93" t="str">
        <f t="shared" si="1"/>
        <v>460150054661802</v>
      </c>
      <c r="B230" s="94">
        <v>46.0</v>
      </c>
      <c r="C230" s="95">
        <v>15.0</v>
      </c>
      <c r="D230" s="96">
        <v>5.4661802E7</v>
      </c>
    </row>
    <row r="231">
      <c r="A231" s="93" t="str">
        <f t="shared" si="1"/>
        <v>541070081324325</v>
      </c>
      <c r="B231" s="94">
        <v>54.0</v>
      </c>
      <c r="C231" s="95">
        <v>107.0</v>
      </c>
      <c r="D231" s="96">
        <v>8.1324325E7</v>
      </c>
    </row>
    <row r="232">
      <c r="A232" s="93" t="str">
        <f t="shared" si="1"/>
        <v>481110097457554</v>
      </c>
      <c r="B232" s="94">
        <v>48.0</v>
      </c>
      <c r="C232" s="95">
        <v>111.0</v>
      </c>
      <c r="D232" s="96">
        <v>9.7457554E7</v>
      </c>
    </row>
    <row r="233">
      <c r="A233" s="93" t="str">
        <f t="shared" si="1"/>
        <v>391510087197323</v>
      </c>
      <c r="B233" s="94">
        <v>39.0</v>
      </c>
      <c r="C233" s="95">
        <v>151.0</v>
      </c>
      <c r="D233" s="96">
        <v>8.7197323E7</v>
      </c>
    </row>
    <row r="234">
      <c r="A234" s="93" t="str">
        <f t="shared" si="1"/>
        <v>391310030921145</v>
      </c>
      <c r="B234" s="94">
        <v>39.0</v>
      </c>
      <c r="C234" s="95">
        <v>131.0</v>
      </c>
      <c r="D234" s="96">
        <v>3.0921145E7</v>
      </c>
    </row>
    <row r="235">
      <c r="A235" s="93" t="str">
        <f t="shared" si="1"/>
        <v>311450088495167</v>
      </c>
      <c r="B235" s="94">
        <v>31.0</v>
      </c>
      <c r="C235" s="95">
        <v>145.0</v>
      </c>
      <c r="D235" s="96">
        <v>8.8495167E7</v>
      </c>
    </row>
    <row r="236">
      <c r="A236" s="93" t="str">
        <f t="shared" si="1"/>
        <v>421190026519630</v>
      </c>
      <c r="B236" s="94">
        <v>42.0</v>
      </c>
      <c r="C236" s="95">
        <v>119.0</v>
      </c>
      <c r="D236" s="96">
        <v>2.651963E7</v>
      </c>
    </row>
    <row r="237">
      <c r="A237" s="93" t="str">
        <f t="shared" si="1"/>
        <v>181810088604065</v>
      </c>
      <c r="B237" s="94">
        <v>18.0</v>
      </c>
      <c r="C237" s="95">
        <v>181.0</v>
      </c>
      <c r="D237" s="96">
        <v>8.8604065E7</v>
      </c>
    </row>
    <row r="238">
      <c r="A238" s="93" t="str">
        <f t="shared" si="1"/>
        <v>410510026313240</v>
      </c>
      <c r="B238" s="94">
        <v>41.0</v>
      </c>
      <c r="C238" s="95">
        <v>51.0</v>
      </c>
      <c r="D238" s="96">
        <v>2.631324E7</v>
      </c>
    </row>
    <row r="239">
      <c r="A239" s="93" t="str">
        <f t="shared" si="1"/>
        <v>292210027960211</v>
      </c>
      <c r="B239" s="94">
        <v>29.0</v>
      </c>
      <c r="C239" s="95">
        <v>221.0</v>
      </c>
      <c r="D239" s="96">
        <v>2.7960211E7</v>
      </c>
    </row>
    <row r="240">
      <c r="A240" s="93" t="str">
        <f t="shared" si="1"/>
        <v>171510077215311</v>
      </c>
      <c r="B240" s="94">
        <v>17.0</v>
      </c>
      <c r="C240" s="95">
        <v>151.0</v>
      </c>
      <c r="D240" s="96">
        <v>7.7215311E7</v>
      </c>
    </row>
    <row r="241">
      <c r="A241" s="93" t="str">
        <f t="shared" si="1"/>
        <v>370510017962156</v>
      </c>
      <c r="B241" s="94">
        <v>37.0</v>
      </c>
      <c r="C241" s="95">
        <v>51.0</v>
      </c>
      <c r="D241" s="96">
        <v>1.7962156E7</v>
      </c>
    </row>
    <row r="242">
      <c r="A242" s="93" t="str">
        <f t="shared" si="1"/>
        <v>516100055166647</v>
      </c>
      <c r="B242" s="94">
        <v>51.0</v>
      </c>
      <c r="C242" s="95">
        <v>610.0</v>
      </c>
      <c r="D242" s="96">
        <v>5.5166647E7</v>
      </c>
    </row>
    <row r="243">
      <c r="A243" s="93" t="str">
        <f t="shared" si="1"/>
        <v>370910064853214</v>
      </c>
      <c r="B243" s="94">
        <v>37.0</v>
      </c>
      <c r="C243" s="95">
        <v>91.0</v>
      </c>
      <c r="D243" s="96">
        <v>6.4853214E7</v>
      </c>
    </row>
    <row r="244">
      <c r="A244" s="93" t="str">
        <f t="shared" si="1"/>
        <v>480270095983477</v>
      </c>
      <c r="B244" s="94">
        <v>48.0</v>
      </c>
      <c r="C244" s="95">
        <v>27.0</v>
      </c>
      <c r="D244" s="96">
        <v>9.5983477E7</v>
      </c>
    </row>
    <row r="245">
      <c r="A245" s="93" t="str">
        <f t="shared" si="1"/>
        <v>360190087487679</v>
      </c>
      <c r="B245" s="94">
        <v>36.0</v>
      </c>
      <c r="C245" s="95">
        <v>19.0</v>
      </c>
      <c r="D245" s="96">
        <v>8.7487679E7</v>
      </c>
    </row>
    <row r="246">
      <c r="A246" s="93" t="str">
        <f t="shared" si="1"/>
        <v>250110011608690</v>
      </c>
      <c r="B246" s="94">
        <v>25.0</v>
      </c>
      <c r="C246" s="95">
        <v>11.0</v>
      </c>
      <c r="D246" s="96">
        <v>1.160869E7</v>
      </c>
    </row>
    <row r="247">
      <c r="A247" s="93" t="str">
        <f t="shared" si="1"/>
        <v>080090023861108</v>
      </c>
      <c r="B247" s="94">
        <v>8.0</v>
      </c>
      <c r="C247" s="95">
        <v>9.0</v>
      </c>
      <c r="D247" s="96">
        <v>2.3861108E7</v>
      </c>
    </row>
    <row r="248">
      <c r="A248" s="93" t="str">
        <f t="shared" si="1"/>
        <v>483330021907108</v>
      </c>
      <c r="B248" s="94">
        <v>48.0</v>
      </c>
      <c r="C248" s="95">
        <v>333.0</v>
      </c>
      <c r="D248" s="96">
        <v>2.1907108E7</v>
      </c>
    </row>
    <row r="249">
      <c r="A249" s="93" t="str">
        <f t="shared" si="1"/>
        <v>130350044942607</v>
      </c>
      <c r="B249" s="94">
        <v>13.0</v>
      </c>
      <c r="C249" s="95">
        <v>35.0</v>
      </c>
      <c r="D249" s="96">
        <v>4.4942607E7</v>
      </c>
    </row>
    <row r="250">
      <c r="A250" s="93" t="str">
        <f t="shared" si="1"/>
        <v>210710093311748</v>
      </c>
      <c r="B250" s="94">
        <v>21.0</v>
      </c>
      <c r="C250" s="95">
        <v>71.0</v>
      </c>
      <c r="D250" s="96">
        <v>9.3311748E7</v>
      </c>
    </row>
    <row r="251">
      <c r="A251" s="93" t="str">
        <f t="shared" si="1"/>
        <v>131550057804713</v>
      </c>
      <c r="B251" s="94">
        <v>13.0</v>
      </c>
      <c r="C251" s="95">
        <v>155.0</v>
      </c>
      <c r="D251" s="96">
        <v>5.7804713E7</v>
      </c>
    </row>
    <row r="252">
      <c r="A252" s="93" t="str">
        <f t="shared" si="1"/>
        <v>540670096133149</v>
      </c>
      <c r="B252" s="94">
        <v>54.0</v>
      </c>
      <c r="C252" s="95">
        <v>67.0</v>
      </c>
      <c r="D252" s="96">
        <v>9.6133149E7</v>
      </c>
    </row>
    <row r="253">
      <c r="A253" s="93" t="str">
        <f t="shared" si="1"/>
        <v>290630011891448</v>
      </c>
      <c r="B253" s="94">
        <v>29.0</v>
      </c>
      <c r="C253" s="95">
        <v>63.0</v>
      </c>
      <c r="D253" s="96">
        <v>1.1891448E7</v>
      </c>
    </row>
    <row r="254">
      <c r="A254" s="93" t="str">
        <f t="shared" si="1"/>
        <v>470970068731870</v>
      </c>
      <c r="B254" s="94">
        <v>47.0</v>
      </c>
      <c r="C254" s="95">
        <v>97.0</v>
      </c>
      <c r="D254" s="96">
        <v>6.873187E7</v>
      </c>
    </row>
    <row r="255">
      <c r="A255" s="93" t="str">
        <f t="shared" si="1"/>
        <v>040010082025393</v>
      </c>
      <c r="B255" s="94">
        <v>4.0</v>
      </c>
      <c r="C255" s="95">
        <v>1.0</v>
      </c>
      <c r="D255" s="96">
        <v>8.2025393E7</v>
      </c>
    </row>
    <row r="256">
      <c r="A256" s="93" t="str">
        <f t="shared" si="1"/>
        <v>160170031723056</v>
      </c>
      <c r="B256" s="94">
        <v>16.0</v>
      </c>
      <c r="C256" s="95">
        <v>17.0</v>
      </c>
      <c r="D256" s="96">
        <v>3.1723056E7</v>
      </c>
    </row>
    <row r="257">
      <c r="A257" s="93" t="str">
        <f t="shared" si="1"/>
        <v>320090057466309</v>
      </c>
      <c r="B257" s="94">
        <v>32.0</v>
      </c>
      <c r="C257" s="95">
        <v>9.0</v>
      </c>
      <c r="D257" s="96">
        <v>5.7466309E7</v>
      </c>
    </row>
    <row r="258">
      <c r="A258" s="93" t="str">
        <f t="shared" si="1"/>
        <v>081210073146653</v>
      </c>
      <c r="B258" s="94">
        <v>8.0</v>
      </c>
      <c r="C258" s="95">
        <v>121.0</v>
      </c>
      <c r="D258" s="96">
        <v>7.3146653E7</v>
      </c>
    </row>
    <row r="259">
      <c r="A259" s="93" t="str">
        <f t="shared" si="1"/>
        <v>530630072571861</v>
      </c>
      <c r="B259" s="94">
        <v>53.0</v>
      </c>
      <c r="C259" s="95">
        <v>63.0</v>
      </c>
      <c r="D259" s="96">
        <v>7.2571861E7</v>
      </c>
    </row>
    <row r="260">
      <c r="A260" s="93" t="str">
        <f t="shared" si="1"/>
        <v>530190040434118</v>
      </c>
      <c r="B260" s="94">
        <v>53.0</v>
      </c>
      <c r="C260" s="95">
        <v>19.0</v>
      </c>
      <c r="D260" s="96">
        <v>4.0434118E7</v>
      </c>
    </row>
    <row r="261">
      <c r="A261" s="93" t="str">
        <f t="shared" si="1"/>
        <v>181110024259989</v>
      </c>
      <c r="B261" s="94">
        <v>18.0</v>
      </c>
      <c r="C261" s="95">
        <v>111.0</v>
      </c>
      <c r="D261" s="96">
        <v>2.4259989E7</v>
      </c>
    </row>
    <row r="262">
      <c r="A262" s="93" t="str">
        <f t="shared" si="1"/>
        <v>483450083289181</v>
      </c>
      <c r="B262" s="94">
        <v>48.0</v>
      </c>
      <c r="C262" s="95">
        <v>345.0</v>
      </c>
      <c r="D262" s="96">
        <v>8.3289181E7</v>
      </c>
    </row>
    <row r="263">
      <c r="A263" s="93" t="str">
        <f t="shared" si="1"/>
        <v>371110090895855</v>
      </c>
      <c r="B263" s="94">
        <v>37.0</v>
      </c>
      <c r="C263" s="95">
        <v>111.0</v>
      </c>
      <c r="D263" s="96">
        <v>9.0895855E7</v>
      </c>
    </row>
    <row r="264">
      <c r="A264" s="93" t="str">
        <f t="shared" si="1"/>
        <v>040110044847848</v>
      </c>
      <c r="B264" s="94">
        <v>4.0</v>
      </c>
      <c r="C264" s="95">
        <v>11.0</v>
      </c>
      <c r="D264" s="96">
        <v>4.4847848E7</v>
      </c>
    </row>
    <row r="265">
      <c r="A265" s="93" t="str">
        <f t="shared" si="1"/>
        <v>370330078033073</v>
      </c>
      <c r="B265" s="94">
        <v>37.0</v>
      </c>
      <c r="C265" s="95">
        <v>33.0</v>
      </c>
      <c r="D265" s="96">
        <v>7.8033073E7</v>
      </c>
    </row>
    <row r="266">
      <c r="A266" s="93" t="str">
        <f t="shared" si="1"/>
        <v>200850093753288</v>
      </c>
      <c r="B266" s="94">
        <v>20.0</v>
      </c>
      <c r="C266" s="95">
        <v>85.0</v>
      </c>
      <c r="D266" s="96">
        <v>9.3753288E7</v>
      </c>
    </row>
    <row r="267">
      <c r="A267" s="93" t="str">
        <f t="shared" si="1"/>
        <v>510850065182985</v>
      </c>
      <c r="B267" s="94">
        <v>51.0</v>
      </c>
      <c r="C267" s="95">
        <v>85.0</v>
      </c>
      <c r="D267" s="96">
        <v>6.5182985E7</v>
      </c>
    </row>
    <row r="268">
      <c r="A268" s="93" t="str">
        <f t="shared" si="1"/>
        <v>350550067174467</v>
      </c>
      <c r="B268" s="94">
        <v>35.0</v>
      </c>
      <c r="C268" s="95">
        <v>55.0</v>
      </c>
      <c r="D268" s="96">
        <v>6.7174467E7</v>
      </c>
    </row>
    <row r="269">
      <c r="A269" s="93" t="str">
        <f t="shared" si="1"/>
        <v>380030011308127</v>
      </c>
      <c r="B269" s="94">
        <v>38.0</v>
      </c>
      <c r="C269" s="95">
        <v>3.0</v>
      </c>
      <c r="D269" s="96">
        <v>1.1308127E7</v>
      </c>
    </row>
    <row r="270">
      <c r="A270" s="93" t="str">
        <f t="shared" si="1"/>
        <v>121190027737199</v>
      </c>
      <c r="B270" s="94">
        <v>12.0</v>
      </c>
      <c r="C270" s="95">
        <v>119.0</v>
      </c>
      <c r="D270" s="96">
        <v>2.7737199E7</v>
      </c>
    </row>
    <row r="271">
      <c r="A271" s="93" t="str">
        <f t="shared" si="1"/>
        <v>480490011223470</v>
      </c>
      <c r="B271" s="94">
        <v>48.0</v>
      </c>
      <c r="C271" s="95">
        <v>49.0</v>
      </c>
      <c r="D271" s="96">
        <v>1.122347E7</v>
      </c>
    </row>
    <row r="272">
      <c r="A272" s="93" t="str">
        <f t="shared" si="1"/>
        <v>482970040599389</v>
      </c>
      <c r="B272" s="94">
        <v>48.0</v>
      </c>
      <c r="C272" s="95">
        <v>297.0</v>
      </c>
      <c r="D272" s="96">
        <v>4.0599389E7</v>
      </c>
    </row>
    <row r="273">
      <c r="A273" s="93" t="str">
        <f t="shared" si="1"/>
        <v>350430048973805</v>
      </c>
      <c r="B273" s="94">
        <v>35.0</v>
      </c>
      <c r="C273" s="95">
        <v>43.0</v>
      </c>
      <c r="D273" s="96">
        <v>4.8973805E7</v>
      </c>
    </row>
    <row r="274">
      <c r="A274" s="93" t="str">
        <f t="shared" si="1"/>
        <v>133050095494488</v>
      </c>
      <c r="B274" s="94">
        <v>13.0</v>
      </c>
      <c r="C274" s="95">
        <v>305.0</v>
      </c>
      <c r="D274" s="96">
        <v>9.5494488E7</v>
      </c>
    </row>
    <row r="275">
      <c r="A275" s="93" t="str">
        <f t="shared" si="1"/>
        <v>210490071844737</v>
      </c>
      <c r="B275" s="94">
        <v>21.0</v>
      </c>
      <c r="C275" s="95">
        <v>49.0</v>
      </c>
      <c r="D275" s="96">
        <v>7.1844737E7</v>
      </c>
    </row>
    <row r="276">
      <c r="A276" s="93" t="str">
        <f t="shared" si="1"/>
        <v>518400058266508</v>
      </c>
      <c r="B276" s="94">
        <v>51.0</v>
      </c>
      <c r="C276" s="95">
        <v>840.0</v>
      </c>
      <c r="D276" s="96">
        <v>5.8266508E7</v>
      </c>
    </row>
    <row r="277">
      <c r="A277" s="93" t="str">
        <f t="shared" si="1"/>
        <v>171890061096959</v>
      </c>
      <c r="B277" s="94">
        <v>17.0</v>
      </c>
      <c r="C277" s="95">
        <v>189.0</v>
      </c>
      <c r="D277" s="96">
        <v>6.1096959E7</v>
      </c>
    </row>
    <row r="278">
      <c r="A278" s="93" t="str">
        <f t="shared" si="1"/>
        <v>220410032287813</v>
      </c>
      <c r="B278" s="94">
        <v>22.0</v>
      </c>
      <c r="C278" s="95">
        <v>41.0</v>
      </c>
      <c r="D278" s="96">
        <v>3.2287813E7</v>
      </c>
    </row>
    <row r="279">
      <c r="A279" s="93" t="str">
        <f t="shared" si="1"/>
        <v>270090099038444</v>
      </c>
      <c r="B279" s="94">
        <v>27.0</v>
      </c>
      <c r="C279" s="95">
        <v>9.0</v>
      </c>
      <c r="D279" s="96">
        <v>9.9038444E7</v>
      </c>
    </row>
    <row r="280">
      <c r="A280" s="93" t="str">
        <f t="shared" si="1"/>
        <v>550390058316703</v>
      </c>
      <c r="B280" s="94">
        <v>55.0</v>
      </c>
      <c r="C280" s="95">
        <v>39.0</v>
      </c>
      <c r="D280" s="96">
        <v>5.8316703E7</v>
      </c>
    </row>
    <row r="281">
      <c r="A281" s="93" t="str">
        <f t="shared" si="1"/>
        <v>511950051749251</v>
      </c>
      <c r="B281" s="94">
        <v>51.0</v>
      </c>
      <c r="C281" s="95">
        <v>195.0</v>
      </c>
      <c r="D281" s="96">
        <v>5.1749251E7</v>
      </c>
    </row>
    <row r="282">
      <c r="A282" s="93" t="str">
        <f t="shared" si="1"/>
        <v>311070050611791</v>
      </c>
      <c r="B282" s="94">
        <v>31.0</v>
      </c>
      <c r="C282" s="95">
        <v>107.0</v>
      </c>
      <c r="D282" s="96">
        <v>5.0611791E7</v>
      </c>
    </row>
    <row r="283">
      <c r="A283" s="93" t="str">
        <f t="shared" si="1"/>
        <v>120870036962698</v>
      </c>
      <c r="B283" s="94">
        <v>12.0</v>
      </c>
      <c r="C283" s="95">
        <v>87.0</v>
      </c>
      <c r="D283" s="96">
        <v>3.6962698E7</v>
      </c>
    </row>
    <row r="284">
      <c r="A284" s="93" t="str">
        <f t="shared" si="1"/>
        <v>511170030594175</v>
      </c>
      <c r="B284" s="94">
        <v>51.0</v>
      </c>
      <c r="C284" s="95">
        <v>117.0</v>
      </c>
      <c r="D284" s="96">
        <v>3.0594175E7</v>
      </c>
    </row>
    <row r="285">
      <c r="A285" s="93" t="str">
        <f t="shared" si="1"/>
        <v>340090010345468</v>
      </c>
      <c r="B285" s="94">
        <v>34.0</v>
      </c>
      <c r="C285" s="95">
        <v>9.0</v>
      </c>
      <c r="D285" s="96">
        <v>1.0345468E7</v>
      </c>
    </row>
    <row r="286">
      <c r="A286" s="93" t="str">
        <f t="shared" si="1"/>
        <v>482390065461027</v>
      </c>
      <c r="B286" s="94">
        <v>48.0</v>
      </c>
      <c r="C286" s="95">
        <v>239.0</v>
      </c>
      <c r="D286" s="96">
        <v>6.5461027E7</v>
      </c>
    </row>
    <row r="287">
      <c r="A287" s="93" t="str">
        <f t="shared" si="1"/>
        <v>360230017208961</v>
      </c>
      <c r="B287" s="94">
        <v>36.0</v>
      </c>
      <c r="C287" s="95">
        <v>23.0</v>
      </c>
      <c r="D287" s="96">
        <v>1.7208961E7</v>
      </c>
    </row>
    <row r="288">
      <c r="A288" s="93" t="str">
        <f t="shared" si="1"/>
        <v>191390013614763</v>
      </c>
      <c r="B288" s="94">
        <v>19.0</v>
      </c>
      <c r="C288" s="95">
        <v>139.0</v>
      </c>
      <c r="D288" s="96">
        <v>1.3614763E7</v>
      </c>
    </row>
    <row r="289">
      <c r="A289" s="93" t="str">
        <f t="shared" si="1"/>
        <v>261330013362377</v>
      </c>
      <c r="B289" s="94">
        <v>26.0</v>
      </c>
      <c r="C289" s="95">
        <v>133.0</v>
      </c>
      <c r="D289" s="96">
        <v>1.3362377E7</v>
      </c>
    </row>
    <row r="290">
      <c r="A290" s="93" t="str">
        <f t="shared" si="1"/>
        <v>170610035788486</v>
      </c>
      <c r="B290" s="94">
        <v>17.0</v>
      </c>
      <c r="C290" s="95">
        <v>61.0</v>
      </c>
      <c r="D290" s="96">
        <v>3.5788486E7</v>
      </c>
    </row>
    <row r="291">
      <c r="A291" s="93" t="str">
        <f t="shared" si="1"/>
        <v>160310032801763</v>
      </c>
      <c r="B291" s="94">
        <v>16.0</v>
      </c>
      <c r="C291" s="95">
        <v>31.0</v>
      </c>
      <c r="D291" s="96">
        <v>3.2801763E7</v>
      </c>
    </row>
    <row r="292">
      <c r="A292" s="93" t="str">
        <f t="shared" si="1"/>
        <v>220910034470488</v>
      </c>
      <c r="B292" s="94">
        <v>22.0</v>
      </c>
      <c r="C292" s="95">
        <v>91.0</v>
      </c>
      <c r="D292" s="96">
        <v>3.4470488E7</v>
      </c>
    </row>
    <row r="293">
      <c r="A293" s="93" t="str">
        <f t="shared" si="1"/>
        <v>180210080371203</v>
      </c>
      <c r="B293" s="94">
        <v>18.0</v>
      </c>
      <c r="C293" s="95">
        <v>21.0</v>
      </c>
      <c r="D293" s="96">
        <v>8.0371203E7</v>
      </c>
    </row>
    <row r="294">
      <c r="A294" s="93" t="str">
        <f t="shared" si="1"/>
        <v>510630060876663</v>
      </c>
      <c r="B294" s="94">
        <v>51.0</v>
      </c>
      <c r="C294" s="95">
        <v>63.0</v>
      </c>
      <c r="D294" s="96">
        <v>6.0876663E7</v>
      </c>
    </row>
    <row r="295">
      <c r="A295" s="93" t="str">
        <f t="shared" si="1"/>
        <v>021100059088998</v>
      </c>
      <c r="B295" s="94">
        <v>2.0</v>
      </c>
      <c r="C295" s="95">
        <v>110.0</v>
      </c>
      <c r="D295" s="96">
        <v>5.9088998E7</v>
      </c>
    </row>
    <row r="296">
      <c r="A296" s="93" t="str">
        <f t="shared" si="1"/>
        <v>310030023614218</v>
      </c>
      <c r="B296" s="94">
        <v>31.0</v>
      </c>
      <c r="C296" s="95">
        <v>3.0</v>
      </c>
      <c r="D296" s="96">
        <v>2.3614218E7</v>
      </c>
    </row>
    <row r="297">
      <c r="A297" s="93" t="str">
        <f t="shared" si="1"/>
        <v>051250021529804</v>
      </c>
      <c r="B297" s="94">
        <v>5.0</v>
      </c>
      <c r="C297" s="95">
        <v>125.0</v>
      </c>
      <c r="D297" s="96">
        <v>2.1529804E7</v>
      </c>
    </row>
    <row r="298">
      <c r="A298" s="93" t="str">
        <f t="shared" si="1"/>
        <v>340250089170102</v>
      </c>
      <c r="B298" s="94">
        <v>34.0</v>
      </c>
      <c r="C298" s="95">
        <v>25.0</v>
      </c>
      <c r="D298" s="96">
        <v>8.9170102E7</v>
      </c>
    </row>
    <row r="299">
      <c r="A299" s="93" t="str">
        <f t="shared" si="1"/>
        <v>301010065413263</v>
      </c>
      <c r="B299" s="94">
        <v>30.0</v>
      </c>
      <c r="C299" s="95">
        <v>101.0</v>
      </c>
      <c r="D299" s="96">
        <v>6.5413263E7</v>
      </c>
    </row>
    <row r="300">
      <c r="A300" s="93" t="str">
        <f t="shared" si="1"/>
        <v>132650094304688</v>
      </c>
      <c r="B300" s="94">
        <v>13.0</v>
      </c>
      <c r="C300" s="95">
        <v>265.0</v>
      </c>
      <c r="D300" s="96">
        <v>9.4304688E7</v>
      </c>
    </row>
    <row r="301">
      <c r="A301" s="93" t="str">
        <f t="shared" si="1"/>
        <v>511490059174006</v>
      </c>
      <c r="B301" s="94">
        <v>51.0</v>
      </c>
      <c r="C301" s="95">
        <v>149.0</v>
      </c>
      <c r="D301" s="96">
        <v>5.9174006E7</v>
      </c>
    </row>
    <row r="302">
      <c r="A302" s="93" t="str">
        <f t="shared" si="1"/>
        <v>560370050811708</v>
      </c>
      <c r="B302" s="94">
        <v>56.0</v>
      </c>
      <c r="C302" s="95">
        <v>37.0</v>
      </c>
      <c r="D302" s="96">
        <v>5.0811708E7</v>
      </c>
    </row>
    <row r="303">
      <c r="A303" s="93" t="str">
        <f t="shared" si="1"/>
        <v>510750099416394</v>
      </c>
      <c r="B303" s="94">
        <v>51.0</v>
      </c>
      <c r="C303" s="95">
        <v>75.0</v>
      </c>
      <c r="D303" s="96">
        <v>9.9416394E7</v>
      </c>
    </row>
    <row r="304">
      <c r="A304" s="93" t="str">
        <f t="shared" si="1"/>
        <v>170590043588094</v>
      </c>
      <c r="B304" s="94">
        <v>17.0</v>
      </c>
      <c r="C304" s="95">
        <v>59.0</v>
      </c>
      <c r="D304" s="96">
        <v>4.3588094E7</v>
      </c>
    </row>
    <row r="305">
      <c r="A305" s="93" t="str">
        <f t="shared" si="1"/>
        <v>471410031853873</v>
      </c>
      <c r="B305" s="94">
        <v>47.0</v>
      </c>
      <c r="C305" s="95">
        <v>141.0</v>
      </c>
      <c r="D305" s="96">
        <v>3.1853873E7</v>
      </c>
    </row>
    <row r="306">
      <c r="A306" s="93" t="str">
        <f t="shared" si="1"/>
        <v>271470013301842</v>
      </c>
      <c r="B306" s="94">
        <v>27.0</v>
      </c>
      <c r="C306" s="95">
        <v>147.0</v>
      </c>
      <c r="D306" s="96">
        <v>1.3301842E7</v>
      </c>
    </row>
    <row r="307">
      <c r="A307" s="93" t="str">
        <f t="shared" si="1"/>
        <v>110310074004205</v>
      </c>
      <c r="B307" s="94">
        <v>11.0</v>
      </c>
      <c r="C307" s="95">
        <v>31.0</v>
      </c>
      <c r="D307" s="96">
        <v>7.4004205E7</v>
      </c>
    </row>
    <row r="308">
      <c r="A308" s="93" t="str">
        <f t="shared" si="1"/>
        <v>211450059352586</v>
      </c>
      <c r="B308" s="94">
        <v>21.0</v>
      </c>
      <c r="C308" s="95">
        <v>145.0</v>
      </c>
      <c r="D308" s="96">
        <v>5.9352586E7</v>
      </c>
    </row>
    <row r="309">
      <c r="A309" s="93" t="str">
        <f t="shared" si="1"/>
        <v>200110012969438</v>
      </c>
      <c r="B309" s="94">
        <v>20.0</v>
      </c>
      <c r="C309" s="95">
        <v>11.0</v>
      </c>
      <c r="D309" s="96">
        <v>1.2969438E7</v>
      </c>
    </row>
    <row r="310">
      <c r="A310" s="93" t="str">
        <f t="shared" si="1"/>
        <v>190350023720439</v>
      </c>
      <c r="B310" s="94">
        <v>19.0</v>
      </c>
      <c r="C310" s="95">
        <v>35.0</v>
      </c>
      <c r="D310" s="96">
        <v>2.3720439E7</v>
      </c>
    </row>
    <row r="311">
      <c r="A311" s="93" t="str">
        <f t="shared" si="1"/>
        <v>471370081470692</v>
      </c>
      <c r="B311" s="94">
        <v>47.0</v>
      </c>
      <c r="C311" s="95">
        <v>137.0</v>
      </c>
      <c r="D311" s="96">
        <v>8.1470692E7</v>
      </c>
    </row>
    <row r="312">
      <c r="A312" s="93" t="str">
        <f t="shared" si="1"/>
        <v>181530084546162</v>
      </c>
      <c r="B312" s="94">
        <v>18.0</v>
      </c>
      <c r="C312" s="95">
        <v>153.0</v>
      </c>
      <c r="D312" s="96">
        <v>8.4546162E7</v>
      </c>
    </row>
    <row r="313">
      <c r="A313" s="93" t="str">
        <f t="shared" si="1"/>
        <v>291030040194313</v>
      </c>
      <c r="B313" s="94">
        <v>29.0</v>
      </c>
      <c r="C313" s="95">
        <v>103.0</v>
      </c>
      <c r="D313" s="96">
        <v>4.0194313E7</v>
      </c>
    </row>
    <row r="314">
      <c r="A314" s="93" t="str">
        <f t="shared" si="1"/>
        <v>050930053735604</v>
      </c>
      <c r="B314" s="94">
        <v>5.0</v>
      </c>
      <c r="C314" s="95">
        <v>93.0</v>
      </c>
      <c r="D314" s="96">
        <v>5.3735604E7</v>
      </c>
    </row>
    <row r="315">
      <c r="A315" s="93" t="str">
        <f t="shared" si="1"/>
        <v>260730055611856</v>
      </c>
      <c r="B315" s="94">
        <v>26.0</v>
      </c>
      <c r="C315" s="95">
        <v>73.0</v>
      </c>
      <c r="D315" s="96">
        <v>5.5611856E7</v>
      </c>
    </row>
    <row r="316">
      <c r="A316" s="93" t="str">
        <f t="shared" si="1"/>
        <v>500150014283517</v>
      </c>
      <c r="B316" s="94">
        <v>50.0</v>
      </c>
      <c r="C316" s="95">
        <v>15.0</v>
      </c>
      <c r="D316" s="96">
        <v>1.4283517E7</v>
      </c>
    </row>
    <row r="317">
      <c r="A317" s="93" t="str">
        <f t="shared" si="1"/>
        <v>280650080988688</v>
      </c>
      <c r="B317" s="94">
        <v>28.0</v>
      </c>
      <c r="C317" s="95">
        <v>65.0</v>
      </c>
      <c r="D317" s="96">
        <v>8.0988688E7</v>
      </c>
    </row>
    <row r="318">
      <c r="A318" s="93" t="str">
        <f t="shared" si="1"/>
        <v>300730059097843</v>
      </c>
      <c r="B318" s="94">
        <v>30.0</v>
      </c>
      <c r="C318" s="95">
        <v>73.0</v>
      </c>
      <c r="D318" s="96">
        <v>5.9097843E7</v>
      </c>
    </row>
    <row r="319">
      <c r="A319" s="93" t="str">
        <f t="shared" si="1"/>
        <v>482290026367847</v>
      </c>
      <c r="B319" s="94">
        <v>48.0</v>
      </c>
      <c r="C319" s="95">
        <v>229.0</v>
      </c>
      <c r="D319" s="96">
        <v>2.6367847E7</v>
      </c>
    </row>
    <row r="320">
      <c r="A320" s="93" t="str">
        <f t="shared" si="1"/>
        <v>040050078613427</v>
      </c>
      <c r="B320" s="94">
        <v>4.0</v>
      </c>
      <c r="C320" s="95">
        <v>5.0</v>
      </c>
      <c r="D320" s="96">
        <v>7.8613427E7</v>
      </c>
    </row>
    <row r="321">
      <c r="A321" s="93" t="str">
        <f t="shared" si="1"/>
        <v>290230021707583</v>
      </c>
      <c r="B321" s="94">
        <v>29.0</v>
      </c>
      <c r="C321" s="95">
        <v>23.0</v>
      </c>
      <c r="D321" s="96">
        <v>2.1707583E7</v>
      </c>
    </row>
    <row r="322">
      <c r="A322" s="93" t="str">
        <f t="shared" si="1"/>
        <v>484150086734077</v>
      </c>
      <c r="B322" s="94">
        <v>48.0</v>
      </c>
      <c r="C322" s="95">
        <v>415.0</v>
      </c>
      <c r="D322" s="96">
        <v>8.6734077E7</v>
      </c>
    </row>
    <row r="323">
      <c r="A323" s="93" t="str">
        <f t="shared" si="1"/>
        <v>550330035589542</v>
      </c>
      <c r="B323" s="94">
        <v>55.0</v>
      </c>
      <c r="C323" s="95">
        <v>33.0</v>
      </c>
      <c r="D323" s="96">
        <v>3.5589542E7</v>
      </c>
    </row>
    <row r="324">
      <c r="A324" s="93" t="str">
        <f t="shared" si="1"/>
        <v>191770066915758</v>
      </c>
      <c r="B324" s="94">
        <v>19.0</v>
      </c>
      <c r="C324" s="95">
        <v>177.0</v>
      </c>
      <c r="D324" s="96">
        <v>6.6915758E7</v>
      </c>
    </row>
    <row r="325">
      <c r="A325" s="93" t="str">
        <f t="shared" si="1"/>
        <v>270450037302160</v>
      </c>
      <c r="B325" s="94">
        <v>27.0</v>
      </c>
      <c r="C325" s="95">
        <v>45.0</v>
      </c>
      <c r="D325" s="96">
        <v>3.730216E7</v>
      </c>
    </row>
    <row r="326">
      <c r="A326" s="93" t="str">
        <f t="shared" si="1"/>
        <v>420210030817761</v>
      </c>
      <c r="B326" s="94">
        <v>42.0</v>
      </c>
      <c r="C326" s="95">
        <v>21.0</v>
      </c>
      <c r="D326" s="96">
        <v>3.0817761E7</v>
      </c>
    </row>
    <row r="327">
      <c r="A327" s="93" t="str">
        <f t="shared" si="1"/>
        <v>311650039097289</v>
      </c>
      <c r="B327" s="94">
        <v>31.0</v>
      </c>
      <c r="C327" s="95">
        <v>165.0</v>
      </c>
      <c r="D327" s="96">
        <v>3.9097289E7</v>
      </c>
    </row>
    <row r="328">
      <c r="A328" s="93" t="str">
        <f t="shared" si="1"/>
        <v>221090066266872</v>
      </c>
      <c r="B328" s="94">
        <v>22.0</v>
      </c>
      <c r="C328" s="95">
        <v>109.0</v>
      </c>
      <c r="D328" s="96">
        <v>6.6266872E7</v>
      </c>
    </row>
    <row r="329">
      <c r="A329" s="93" t="str">
        <f t="shared" si="1"/>
        <v>210410093443698</v>
      </c>
      <c r="B329" s="94">
        <v>21.0</v>
      </c>
      <c r="C329" s="95">
        <v>41.0</v>
      </c>
      <c r="D329" s="96">
        <v>9.3443698E7</v>
      </c>
    </row>
    <row r="330">
      <c r="A330" s="93" t="str">
        <f t="shared" si="1"/>
        <v>280070052937434</v>
      </c>
      <c r="B330" s="94">
        <v>28.0</v>
      </c>
      <c r="C330" s="95">
        <v>7.0</v>
      </c>
      <c r="D330" s="96">
        <v>5.2937434E7</v>
      </c>
    </row>
    <row r="331">
      <c r="A331" s="93" t="str">
        <f t="shared" si="1"/>
        <v>360770042911307</v>
      </c>
      <c r="B331" s="94">
        <v>36.0</v>
      </c>
      <c r="C331" s="95">
        <v>77.0</v>
      </c>
      <c r="D331" s="96">
        <v>4.2911307E7</v>
      </c>
    </row>
    <row r="332">
      <c r="A332" s="93" t="str">
        <f t="shared" si="1"/>
        <v>010030020806460</v>
      </c>
      <c r="B332" s="94">
        <v>1.0</v>
      </c>
      <c r="C332" s="95">
        <v>3.0</v>
      </c>
      <c r="D332" s="96">
        <v>2.080646E7</v>
      </c>
    </row>
    <row r="333">
      <c r="A333" s="93" t="str">
        <f t="shared" si="1"/>
        <v>391430022091799</v>
      </c>
      <c r="B333" s="94">
        <v>39.0</v>
      </c>
      <c r="C333" s="95">
        <v>143.0</v>
      </c>
      <c r="D333" s="96">
        <v>2.2091799E7</v>
      </c>
    </row>
    <row r="334">
      <c r="A334" s="93" t="str">
        <f t="shared" si="1"/>
        <v>050810075199554</v>
      </c>
      <c r="B334" s="94">
        <v>5.0</v>
      </c>
      <c r="C334" s="95">
        <v>81.0</v>
      </c>
      <c r="D334" s="96">
        <v>7.5199554E7</v>
      </c>
    </row>
    <row r="335">
      <c r="A335" s="93" t="str">
        <f t="shared" si="1"/>
        <v>260210090851134</v>
      </c>
      <c r="B335" s="94">
        <v>26.0</v>
      </c>
      <c r="C335" s="95">
        <v>21.0</v>
      </c>
      <c r="D335" s="96">
        <v>9.0851134E7</v>
      </c>
    </row>
    <row r="336">
      <c r="A336" s="93" t="str">
        <f t="shared" si="1"/>
        <v>170710028942758</v>
      </c>
      <c r="B336" s="94">
        <v>17.0</v>
      </c>
      <c r="C336" s="95">
        <v>71.0</v>
      </c>
      <c r="D336" s="96">
        <v>2.8942758E7</v>
      </c>
    </row>
    <row r="337">
      <c r="A337" s="93" t="str">
        <f t="shared" si="1"/>
        <v>170570042212558</v>
      </c>
      <c r="B337" s="94">
        <v>17.0</v>
      </c>
      <c r="C337" s="95">
        <v>57.0</v>
      </c>
      <c r="D337" s="96">
        <v>4.2212558E7</v>
      </c>
    </row>
    <row r="338">
      <c r="A338" s="93" t="str">
        <f t="shared" si="1"/>
        <v>180710059050756</v>
      </c>
      <c r="B338" s="94">
        <v>18.0</v>
      </c>
      <c r="C338" s="95">
        <v>71.0</v>
      </c>
      <c r="D338" s="96">
        <v>5.9050756E7</v>
      </c>
    </row>
    <row r="339">
      <c r="A339" s="93" t="str">
        <f t="shared" si="1"/>
        <v>380930012193512</v>
      </c>
      <c r="B339" s="94">
        <v>38.0</v>
      </c>
      <c r="C339" s="95">
        <v>93.0</v>
      </c>
      <c r="D339" s="96">
        <v>1.2193512E7</v>
      </c>
    </row>
    <row r="340">
      <c r="A340" s="93" t="str">
        <f t="shared" si="1"/>
        <v>291890071453470</v>
      </c>
      <c r="B340" s="94">
        <v>29.0</v>
      </c>
      <c r="C340" s="95">
        <v>189.0</v>
      </c>
      <c r="D340" s="96">
        <v>7.145347E7</v>
      </c>
    </row>
    <row r="341">
      <c r="A341" s="93" t="str">
        <f t="shared" si="1"/>
        <v>400190041942481</v>
      </c>
      <c r="B341" s="94">
        <v>40.0</v>
      </c>
      <c r="C341" s="95">
        <v>19.0</v>
      </c>
      <c r="D341" s="96">
        <v>4.1942481E7</v>
      </c>
    </row>
    <row r="342">
      <c r="A342" s="93" t="str">
        <f t="shared" si="1"/>
        <v>484450027083763</v>
      </c>
      <c r="B342" s="94">
        <v>48.0</v>
      </c>
      <c r="C342" s="95">
        <v>445.0</v>
      </c>
      <c r="D342" s="96">
        <v>2.7083763E7</v>
      </c>
    </row>
    <row r="343">
      <c r="A343" s="93" t="str">
        <f t="shared" si="1"/>
        <v>120510056385531</v>
      </c>
      <c r="B343" s="94">
        <v>12.0</v>
      </c>
      <c r="C343" s="95">
        <v>51.0</v>
      </c>
      <c r="D343" s="96">
        <v>5.6385531E7</v>
      </c>
    </row>
    <row r="344">
      <c r="A344" s="93" t="str">
        <f t="shared" si="1"/>
        <v>483350031380802</v>
      </c>
      <c r="B344" s="94">
        <v>48.0</v>
      </c>
      <c r="C344" s="95">
        <v>335.0</v>
      </c>
      <c r="D344" s="96">
        <v>3.1380802E7</v>
      </c>
    </row>
    <row r="345">
      <c r="A345" s="93" t="str">
        <f t="shared" si="1"/>
        <v>390870079634752</v>
      </c>
      <c r="B345" s="94">
        <v>39.0</v>
      </c>
      <c r="C345" s="95">
        <v>87.0</v>
      </c>
      <c r="D345" s="96">
        <v>7.9634752E7</v>
      </c>
    </row>
    <row r="346">
      <c r="A346" s="93" t="str">
        <f t="shared" si="1"/>
        <v>511630079888801</v>
      </c>
      <c r="B346" s="94">
        <v>51.0</v>
      </c>
      <c r="C346" s="95">
        <v>163.0</v>
      </c>
      <c r="D346" s="96">
        <v>7.9888801E7</v>
      </c>
    </row>
    <row r="347">
      <c r="A347" s="93" t="str">
        <f t="shared" si="1"/>
        <v>131510058614624</v>
      </c>
      <c r="B347" s="94">
        <v>13.0</v>
      </c>
      <c r="C347" s="95">
        <v>151.0</v>
      </c>
      <c r="D347" s="96">
        <v>5.8614624E7</v>
      </c>
    </row>
    <row r="348">
      <c r="A348" s="93" t="str">
        <f t="shared" si="1"/>
        <v>484130050729280</v>
      </c>
      <c r="B348" s="94">
        <v>48.0</v>
      </c>
      <c r="C348" s="95">
        <v>413.0</v>
      </c>
      <c r="D348" s="96">
        <v>5.072928E7</v>
      </c>
    </row>
    <row r="349">
      <c r="A349" s="93" t="str">
        <f t="shared" si="1"/>
        <v>482630013097392</v>
      </c>
      <c r="B349" s="94">
        <v>48.0</v>
      </c>
      <c r="C349" s="95">
        <v>263.0</v>
      </c>
      <c r="D349" s="96">
        <v>1.3097392E7</v>
      </c>
    </row>
    <row r="350">
      <c r="A350" s="93" t="str">
        <f t="shared" si="1"/>
        <v>484510011061475</v>
      </c>
      <c r="B350" s="94">
        <v>48.0</v>
      </c>
      <c r="C350" s="95">
        <v>451.0</v>
      </c>
      <c r="D350" s="96">
        <v>1.1061475E7</v>
      </c>
    </row>
    <row r="351">
      <c r="A351" s="93" t="str">
        <f t="shared" si="1"/>
        <v>131350011007173</v>
      </c>
      <c r="B351" s="94">
        <v>13.0</v>
      </c>
      <c r="C351" s="95">
        <v>135.0</v>
      </c>
      <c r="D351" s="96">
        <v>1.1007173E7</v>
      </c>
    </row>
    <row r="352">
      <c r="A352" s="93" t="str">
        <f t="shared" si="1"/>
        <v>210370091701500</v>
      </c>
      <c r="B352" s="94">
        <v>21.0</v>
      </c>
      <c r="C352" s="95">
        <v>37.0</v>
      </c>
      <c r="D352" s="96">
        <v>9.17015E7</v>
      </c>
    </row>
    <row r="353">
      <c r="A353" s="93" t="str">
        <f t="shared" si="1"/>
        <v>011070022577901</v>
      </c>
      <c r="B353" s="94">
        <v>1.0</v>
      </c>
      <c r="C353" s="95">
        <v>107.0</v>
      </c>
      <c r="D353" s="96">
        <v>2.2577901E7</v>
      </c>
    </row>
    <row r="354">
      <c r="A354" s="93" t="str">
        <f t="shared" si="1"/>
        <v>420170083620788</v>
      </c>
      <c r="B354" s="94">
        <v>42.0</v>
      </c>
      <c r="C354" s="95">
        <v>17.0</v>
      </c>
      <c r="D354" s="96">
        <v>8.3620788E7</v>
      </c>
    </row>
    <row r="355">
      <c r="A355" s="93" t="str">
        <f t="shared" si="1"/>
        <v>290650037007170</v>
      </c>
      <c r="B355" s="94">
        <v>29.0</v>
      </c>
      <c r="C355" s="95">
        <v>65.0</v>
      </c>
      <c r="D355" s="96">
        <v>3.700717E7</v>
      </c>
    </row>
    <row r="356">
      <c r="A356" s="93" t="str">
        <f t="shared" si="1"/>
        <v>484890033606246</v>
      </c>
      <c r="B356" s="94">
        <v>48.0</v>
      </c>
      <c r="C356" s="95">
        <v>489.0</v>
      </c>
      <c r="D356" s="96">
        <v>3.3606246E7</v>
      </c>
    </row>
    <row r="357">
      <c r="A357" s="93" t="str">
        <f t="shared" si="1"/>
        <v>540030055073956</v>
      </c>
      <c r="B357" s="94">
        <v>54.0</v>
      </c>
      <c r="C357" s="95">
        <v>3.0</v>
      </c>
      <c r="D357" s="96">
        <v>5.5073956E7</v>
      </c>
    </row>
    <row r="358">
      <c r="A358" s="93" t="str">
        <f t="shared" si="1"/>
        <v>420030075365478</v>
      </c>
      <c r="B358" s="94">
        <v>42.0</v>
      </c>
      <c r="C358" s="95">
        <v>3.0</v>
      </c>
      <c r="D358" s="96">
        <v>7.5365478E7</v>
      </c>
    </row>
    <row r="359">
      <c r="A359" s="93" t="str">
        <f t="shared" si="1"/>
        <v>450490081472487</v>
      </c>
      <c r="B359" s="94">
        <v>45.0</v>
      </c>
      <c r="C359" s="95">
        <v>49.0</v>
      </c>
      <c r="D359" s="96">
        <v>8.1472487E7</v>
      </c>
    </row>
    <row r="360">
      <c r="A360" s="93" t="str">
        <f t="shared" si="1"/>
        <v>300130032154906</v>
      </c>
      <c r="B360" s="94">
        <v>30.0</v>
      </c>
      <c r="C360" s="95">
        <v>13.0</v>
      </c>
      <c r="D360" s="96">
        <v>3.2154906E7</v>
      </c>
    </row>
    <row r="361">
      <c r="A361" s="93" t="str">
        <f t="shared" si="1"/>
        <v>401170025786812</v>
      </c>
      <c r="B361" s="94">
        <v>40.0</v>
      </c>
      <c r="C361" s="95">
        <v>117.0</v>
      </c>
      <c r="D361" s="96">
        <v>2.5786812E7</v>
      </c>
    </row>
    <row r="362">
      <c r="A362" s="93" t="str">
        <f t="shared" si="1"/>
        <v>371570030709598</v>
      </c>
      <c r="B362" s="94">
        <v>37.0</v>
      </c>
      <c r="C362" s="95">
        <v>157.0</v>
      </c>
      <c r="D362" s="96">
        <v>3.0709598E7</v>
      </c>
    </row>
    <row r="363">
      <c r="A363" s="93" t="str">
        <f t="shared" si="1"/>
        <v>160070058567057</v>
      </c>
      <c r="B363" s="94">
        <v>16.0</v>
      </c>
      <c r="C363" s="95">
        <v>7.0</v>
      </c>
      <c r="D363" s="96">
        <v>5.8567057E7</v>
      </c>
    </row>
    <row r="364">
      <c r="A364" s="93" t="str">
        <f t="shared" si="1"/>
        <v>371130084954240</v>
      </c>
      <c r="B364" s="94">
        <v>37.0</v>
      </c>
      <c r="C364" s="95">
        <v>113.0</v>
      </c>
      <c r="D364" s="96">
        <v>8.495424E7</v>
      </c>
    </row>
    <row r="365">
      <c r="A365" s="93" t="str">
        <f t="shared" si="1"/>
        <v>191750068489368</v>
      </c>
      <c r="B365" s="94">
        <v>19.0</v>
      </c>
      <c r="C365" s="95">
        <v>175.0</v>
      </c>
      <c r="D365" s="96">
        <v>6.8489368E7</v>
      </c>
    </row>
    <row r="366">
      <c r="A366" s="93" t="str">
        <f t="shared" si="1"/>
        <v>530330020599868</v>
      </c>
      <c r="B366" s="94">
        <v>53.0</v>
      </c>
      <c r="C366" s="95">
        <v>33.0</v>
      </c>
      <c r="D366" s="96">
        <v>2.0599868E7</v>
      </c>
    </row>
    <row r="367">
      <c r="A367" s="93" t="str">
        <f t="shared" si="1"/>
        <v>484690028847945</v>
      </c>
      <c r="B367" s="94">
        <v>48.0</v>
      </c>
      <c r="C367" s="95">
        <v>469.0</v>
      </c>
      <c r="D367" s="96">
        <v>2.8847945E7</v>
      </c>
    </row>
    <row r="368">
      <c r="A368" s="93" t="str">
        <f t="shared" si="1"/>
        <v>461110095068326</v>
      </c>
      <c r="B368" s="94">
        <v>46.0</v>
      </c>
      <c r="C368" s="95">
        <v>111.0</v>
      </c>
      <c r="D368" s="96">
        <v>9.5068326E7</v>
      </c>
    </row>
    <row r="369">
      <c r="A369" s="93" t="str">
        <f t="shared" si="1"/>
        <v>190990065036317</v>
      </c>
      <c r="B369" s="94">
        <v>19.0</v>
      </c>
      <c r="C369" s="95">
        <v>99.0</v>
      </c>
      <c r="D369" s="96">
        <v>6.5036317E7</v>
      </c>
    </row>
    <row r="370">
      <c r="A370" s="93" t="str">
        <f t="shared" si="1"/>
        <v>450470026635174</v>
      </c>
      <c r="B370" s="94">
        <v>45.0</v>
      </c>
      <c r="C370" s="95">
        <v>47.0</v>
      </c>
      <c r="D370" s="96">
        <v>2.6635174E7</v>
      </c>
    </row>
    <row r="371">
      <c r="A371" s="93" t="str">
        <f t="shared" si="1"/>
        <v>260390032059663</v>
      </c>
      <c r="B371" s="94">
        <v>26.0</v>
      </c>
      <c r="C371" s="95">
        <v>39.0</v>
      </c>
      <c r="D371" s="96">
        <v>3.2059663E7</v>
      </c>
    </row>
    <row r="372">
      <c r="A372" s="93" t="str">
        <f t="shared" si="1"/>
        <v>280430016355120</v>
      </c>
      <c r="B372" s="94">
        <v>28.0</v>
      </c>
      <c r="C372" s="95">
        <v>43.0</v>
      </c>
      <c r="D372" s="96">
        <v>1.635512E7</v>
      </c>
    </row>
    <row r="373">
      <c r="A373" s="93" t="str">
        <f t="shared" si="1"/>
        <v>390070036270471</v>
      </c>
      <c r="B373" s="94">
        <v>39.0</v>
      </c>
      <c r="C373" s="95">
        <v>7.0</v>
      </c>
      <c r="D373" s="96">
        <v>3.6270471E7</v>
      </c>
    </row>
    <row r="374">
      <c r="A374" s="93" t="str">
        <f t="shared" si="1"/>
        <v>200130057979156</v>
      </c>
      <c r="B374" s="94">
        <v>20.0</v>
      </c>
      <c r="C374" s="95">
        <v>13.0</v>
      </c>
      <c r="D374" s="96">
        <v>5.7979156E7</v>
      </c>
    </row>
    <row r="375">
      <c r="A375" s="93" t="str">
        <f t="shared" si="1"/>
        <v>191870082050780</v>
      </c>
      <c r="B375" s="94">
        <v>19.0</v>
      </c>
      <c r="C375" s="95">
        <v>187.0</v>
      </c>
      <c r="D375" s="96">
        <v>8.205078E7</v>
      </c>
    </row>
    <row r="376">
      <c r="A376" s="93" t="str">
        <f t="shared" si="1"/>
        <v>380530083673338</v>
      </c>
      <c r="B376" s="94">
        <v>38.0</v>
      </c>
      <c r="C376" s="95">
        <v>53.0</v>
      </c>
      <c r="D376" s="96">
        <v>8.3673338E7</v>
      </c>
    </row>
    <row r="377">
      <c r="A377" s="93" t="str">
        <f t="shared" si="1"/>
        <v>481090028063191</v>
      </c>
      <c r="B377" s="94">
        <v>48.0</v>
      </c>
      <c r="C377" s="95">
        <v>109.0</v>
      </c>
      <c r="D377" s="96">
        <v>2.8063191E7</v>
      </c>
    </row>
    <row r="378">
      <c r="A378" s="93" t="str">
        <f t="shared" si="1"/>
        <v>171390044123435</v>
      </c>
      <c r="B378" s="94">
        <v>17.0</v>
      </c>
      <c r="C378" s="95">
        <v>139.0</v>
      </c>
      <c r="D378" s="96">
        <v>4.4123435E7</v>
      </c>
    </row>
    <row r="379">
      <c r="A379" s="93" t="str">
        <f t="shared" si="1"/>
        <v>490390032193525</v>
      </c>
      <c r="B379" s="94">
        <v>49.0</v>
      </c>
      <c r="C379" s="95">
        <v>39.0</v>
      </c>
      <c r="D379" s="96">
        <v>3.2193525E7</v>
      </c>
    </row>
    <row r="380">
      <c r="A380" s="93" t="str">
        <f t="shared" si="1"/>
        <v>530510031584164</v>
      </c>
      <c r="B380" s="94">
        <v>53.0</v>
      </c>
      <c r="C380" s="95">
        <v>51.0</v>
      </c>
      <c r="D380" s="96">
        <v>3.1584164E7</v>
      </c>
    </row>
    <row r="381">
      <c r="A381" s="93" t="str">
        <f t="shared" si="1"/>
        <v>510050071713845</v>
      </c>
      <c r="B381" s="94">
        <v>51.0</v>
      </c>
      <c r="C381" s="95">
        <v>5.0</v>
      </c>
      <c r="D381" s="96">
        <v>7.1713845E7</v>
      </c>
    </row>
    <row r="382">
      <c r="A382" s="93" t="str">
        <f t="shared" si="1"/>
        <v>551070060682466</v>
      </c>
      <c r="B382" s="94">
        <v>55.0</v>
      </c>
      <c r="C382" s="95">
        <v>107.0</v>
      </c>
      <c r="D382" s="96">
        <v>6.0682466E7</v>
      </c>
    </row>
    <row r="383">
      <c r="A383" s="93" t="str">
        <f t="shared" si="1"/>
        <v>483090086861668</v>
      </c>
      <c r="B383" s="94">
        <v>48.0</v>
      </c>
      <c r="C383" s="95">
        <v>309.0</v>
      </c>
      <c r="D383" s="96">
        <v>8.6861668E7</v>
      </c>
    </row>
    <row r="384">
      <c r="A384" s="93" t="str">
        <f t="shared" si="1"/>
        <v>050870065788759</v>
      </c>
      <c r="B384" s="94">
        <v>5.0</v>
      </c>
      <c r="C384" s="95">
        <v>87.0</v>
      </c>
      <c r="D384" s="96">
        <v>6.5788759E7</v>
      </c>
    </row>
    <row r="385">
      <c r="A385" s="93" t="str">
        <f t="shared" si="1"/>
        <v>051470065495693</v>
      </c>
      <c r="B385" s="94">
        <v>5.0</v>
      </c>
      <c r="C385" s="95">
        <v>147.0</v>
      </c>
      <c r="D385" s="96">
        <v>6.5495693E7</v>
      </c>
    </row>
    <row r="386">
      <c r="A386" s="93" t="str">
        <f t="shared" si="1"/>
        <v>281070099721998</v>
      </c>
      <c r="B386" s="94">
        <v>28.0</v>
      </c>
      <c r="C386" s="95">
        <v>107.0</v>
      </c>
      <c r="D386" s="96">
        <v>9.9721998E7</v>
      </c>
    </row>
    <row r="387">
      <c r="A387" s="93" t="str">
        <f t="shared" si="1"/>
        <v>211630060025855</v>
      </c>
      <c r="B387" s="94">
        <v>21.0</v>
      </c>
      <c r="C387" s="95">
        <v>163.0</v>
      </c>
      <c r="D387" s="96">
        <v>6.0025855E7</v>
      </c>
    </row>
    <row r="388">
      <c r="A388" s="93" t="str">
        <f t="shared" si="1"/>
        <v>511130013607986</v>
      </c>
      <c r="B388" s="94">
        <v>51.0</v>
      </c>
      <c r="C388" s="95">
        <v>113.0</v>
      </c>
      <c r="D388" s="96">
        <v>1.3607986E7</v>
      </c>
    </row>
    <row r="389">
      <c r="A389" s="93" t="str">
        <f t="shared" si="1"/>
        <v>511090076926820</v>
      </c>
      <c r="B389" s="94">
        <v>51.0</v>
      </c>
      <c r="C389" s="95">
        <v>109.0</v>
      </c>
      <c r="D389" s="96">
        <v>7.692682E7</v>
      </c>
    </row>
    <row r="390">
      <c r="A390" s="93" t="str">
        <f t="shared" si="1"/>
        <v>300390070004323</v>
      </c>
      <c r="B390" s="94">
        <v>30.0</v>
      </c>
      <c r="C390" s="95">
        <v>39.0</v>
      </c>
      <c r="D390" s="96">
        <v>7.0004323E7</v>
      </c>
    </row>
    <row r="391">
      <c r="A391" s="93" t="str">
        <f t="shared" si="1"/>
        <v>421250054424280</v>
      </c>
      <c r="B391" s="94">
        <v>42.0</v>
      </c>
      <c r="C391" s="95">
        <v>125.0</v>
      </c>
      <c r="D391" s="96">
        <v>5.442428E7</v>
      </c>
    </row>
    <row r="392">
      <c r="A392" s="93" t="str">
        <f t="shared" si="1"/>
        <v>360010030994332</v>
      </c>
      <c r="B392" s="94">
        <v>36.0</v>
      </c>
      <c r="C392" s="95">
        <v>1.0</v>
      </c>
      <c r="D392" s="96">
        <v>3.0994332E7</v>
      </c>
    </row>
    <row r="393">
      <c r="A393" s="93" t="str">
        <f t="shared" si="1"/>
        <v>090030022679615</v>
      </c>
      <c r="B393" s="94">
        <v>9.0</v>
      </c>
      <c r="C393" s="95">
        <v>3.0</v>
      </c>
      <c r="D393" s="96">
        <v>2.2679615E7</v>
      </c>
    </row>
    <row r="394">
      <c r="A394" s="93" t="str">
        <f t="shared" si="1"/>
        <v>420970018927212</v>
      </c>
      <c r="B394" s="94">
        <v>42.0</v>
      </c>
      <c r="C394" s="95">
        <v>97.0</v>
      </c>
      <c r="D394" s="96">
        <v>1.8927212E7</v>
      </c>
    </row>
    <row r="395">
      <c r="A395" s="93" t="str">
        <f t="shared" si="1"/>
        <v>483130089890752</v>
      </c>
      <c r="B395" s="94">
        <v>48.0</v>
      </c>
      <c r="C395" s="95">
        <v>313.0</v>
      </c>
      <c r="D395" s="96">
        <v>8.9890752E7</v>
      </c>
    </row>
    <row r="396">
      <c r="A396" s="93" t="str">
        <f t="shared" si="1"/>
        <v>360450038194059</v>
      </c>
      <c r="B396" s="94">
        <v>36.0</v>
      </c>
      <c r="C396" s="95">
        <v>45.0</v>
      </c>
      <c r="D396" s="96">
        <v>3.8194059E7</v>
      </c>
    </row>
    <row r="397">
      <c r="A397" s="93" t="str">
        <f t="shared" si="1"/>
        <v>280010029818671</v>
      </c>
      <c r="B397" s="94">
        <v>28.0</v>
      </c>
      <c r="C397" s="95">
        <v>1.0</v>
      </c>
      <c r="D397" s="96">
        <v>2.9818671E7</v>
      </c>
    </row>
    <row r="398">
      <c r="A398" s="93" t="str">
        <f t="shared" si="1"/>
        <v>211470037429086</v>
      </c>
      <c r="B398" s="94">
        <v>21.0</v>
      </c>
      <c r="C398" s="95">
        <v>147.0</v>
      </c>
      <c r="D398" s="96">
        <v>3.7429086E7</v>
      </c>
    </row>
    <row r="399">
      <c r="A399" s="93" t="str">
        <f t="shared" si="1"/>
        <v>340150024700969</v>
      </c>
      <c r="B399" s="94">
        <v>34.0</v>
      </c>
      <c r="C399" s="95">
        <v>15.0</v>
      </c>
      <c r="D399" s="96">
        <v>2.4700969E7</v>
      </c>
    </row>
    <row r="400">
      <c r="A400" s="93" t="str">
        <f t="shared" si="1"/>
        <v>050430023312616</v>
      </c>
      <c r="B400" s="94">
        <v>5.0</v>
      </c>
      <c r="C400" s="95">
        <v>43.0</v>
      </c>
      <c r="D400" s="96">
        <v>2.3312616E7</v>
      </c>
    </row>
    <row r="401">
      <c r="A401" s="93" t="str">
        <f t="shared" si="1"/>
        <v>191650017469141</v>
      </c>
      <c r="B401" s="94">
        <v>19.0</v>
      </c>
      <c r="C401" s="95">
        <v>165.0</v>
      </c>
      <c r="D401" s="96">
        <v>1.7469141E7</v>
      </c>
    </row>
    <row r="402">
      <c r="A402" s="93" t="str">
        <f t="shared" si="1"/>
        <v>540810051369392</v>
      </c>
      <c r="B402" s="94">
        <v>54.0</v>
      </c>
      <c r="C402" s="95">
        <v>81.0</v>
      </c>
      <c r="D402" s="96">
        <v>5.1369392E7</v>
      </c>
    </row>
    <row r="403">
      <c r="A403" s="93" t="str">
        <f t="shared" si="1"/>
        <v>510430042978268</v>
      </c>
      <c r="B403" s="94">
        <v>51.0</v>
      </c>
      <c r="C403" s="95">
        <v>43.0</v>
      </c>
      <c r="D403" s="96">
        <v>4.2978268E7</v>
      </c>
    </row>
    <row r="404">
      <c r="A404" s="93" t="str">
        <f t="shared" si="1"/>
        <v>132170082209746</v>
      </c>
      <c r="B404" s="94">
        <v>13.0</v>
      </c>
      <c r="C404" s="95">
        <v>217.0</v>
      </c>
      <c r="D404" s="96">
        <v>8.2209746E7</v>
      </c>
    </row>
    <row r="405">
      <c r="A405" s="93" t="str">
        <f t="shared" si="1"/>
        <v>481030027682650</v>
      </c>
      <c r="B405" s="94">
        <v>48.0</v>
      </c>
      <c r="C405" s="95">
        <v>103.0</v>
      </c>
      <c r="D405" s="96">
        <v>2.768265E7</v>
      </c>
    </row>
    <row r="406">
      <c r="A406" s="93" t="str">
        <f t="shared" si="1"/>
        <v>191790037052078</v>
      </c>
      <c r="B406" s="94">
        <v>19.0</v>
      </c>
      <c r="C406" s="95">
        <v>179.0</v>
      </c>
      <c r="D406" s="96">
        <v>3.7052078E7</v>
      </c>
    </row>
    <row r="407">
      <c r="A407" s="93" t="str">
        <f t="shared" si="1"/>
        <v>130750087654156</v>
      </c>
      <c r="B407" s="94">
        <v>13.0</v>
      </c>
      <c r="C407" s="95">
        <v>75.0</v>
      </c>
      <c r="D407" s="96">
        <v>8.7654156E7</v>
      </c>
    </row>
    <row r="408">
      <c r="A408" s="93" t="str">
        <f t="shared" si="1"/>
        <v>270270039282232</v>
      </c>
      <c r="B408" s="94">
        <v>27.0</v>
      </c>
      <c r="C408" s="95">
        <v>27.0</v>
      </c>
      <c r="D408" s="96">
        <v>3.9282232E7</v>
      </c>
    </row>
    <row r="409">
      <c r="A409" s="93" t="str">
        <f t="shared" si="1"/>
        <v>270290010884943</v>
      </c>
      <c r="B409" s="94">
        <v>27.0</v>
      </c>
      <c r="C409" s="95">
        <v>29.0</v>
      </c>
      <c r="D409" s="96">
        <v>1.0884943E7</v>
      </c>
    </row>
    <row r="410">
      <c r="A410" s="93" t="str">
        <f t="shared" si="1"/>
        <v>516850021408738</v>
      </c>
      <c r="B410" s="94">
        <v>51.0</v>
      </c>
      <c r="C410" s="95">
        <v>685.0</v>
      </c>
      <c r="D410" s="96">
        <v>2.1408738E7</v>
      </c>
    </row>
    <row r="411">
      <c r="A411" s="93" t="str">
        <f t="shared" si="1"/>
        <v>261430073644019</v>
      </c>
      <c r="B411" s="94">
        <v>26.0</v>
      </c>
      <c r="C411" s="95">
        <v>143.0</v>
      </c>
      <c r="D411" s="96">
        <v>7.3644019E7</v>
      </c>
    </row>
    <row r="412">
      <c r="A412" s="93" t="str">
        <f t="shared" si="1"/>
        <v>270330062494024</v>
      </c>
      <c r="B412" s="94">
        <v>27.0</v>
      </c>
      <c r="C412" s="95">
        <v>33.0</v>
      </c>
      <c r="D412" s="96">
        <v>6.2494024E7</v>
      </c>
    </row>
    <row r="413">
      <c r="A413" s="93" t="str">
        <f t="shared" si="1"/>
        <v>510790052228028</v>
      </c>
      <c r="B413" s="94">
        <v>51.0</v>
      </c>
      <c r="C413" s="95">
        <v>79.0</v>
      </c>
      <c r="D413" s="96">
        <v>5.2228028E7</v>
      </c>
    </row>
    <row r="414">
      <c r="A414" s="93" t="str">
        <f t="shared" si="1"/>
        <v>482510032721506</v>
      </c>
      <c r="B414" s="94">
        <v>48.0</v>
      </c>
      <c r="C414" s="95">
        <v>251.0</v>
      </c>
      <c r="D414" s="96">
        <v>3.2721506E7</v>
      </c>
    </row>
    <row r="415">
      <c r="A415" s="93" t="str">
        <f t="shared" si="1"/>
        <v>530050075051080</v>
      </c>
      <c r="B415" s="94">
        <v>53.0</v>
      </c>
      <c r="C415" s="95">
        <v>5.0</v>
      </c>
      <c r="D415" s="96">
        <v>7.505108E7</v>
      </c>
    </row>
    <row r="416">
      <c r="A416" s="93" t="str">
        <f t="shared" si="1"/>
        <v>181130098433932</v>
      </c>
      <c r="B416" s="94">
        <v>18.0</v>
      </c>
      <c r="C416" s="95">
        <v>113.0</v>
      </c>
      <c r="D416" s="96">
        <v>9.8433932E7</v>
      </c>
    </row>
    <row r="417">
      <c r="A417" s="93" t="str">
        <f t="shared" si="1"/>
        <v>171690044999401</v>
      </c>
      <c r="B417" s="94">
        <v>17.0</v>
      </c>
      <c r="C417" s="95">
        <v>169.0</v>
      </c>
      <c r="D417" s="96">
        <v>4.4999401E7</v>
      </c>
    </row>
    <row r="418">
      <c r="A418" s="93" t="str">
        <f t="shared" si="1"/>
        <v>051050037775487</v>
      </c>
      <c r="B418" s="94">
        <v>5.0</v>
      </c>
      <c r="C418" s="95">
        <v>105.0</v>
      </c>
      <c r="D418" s="96">
        <v>3.7775487E7</v>
      </c>
    </row>
    <row r="419">
      <c r="A419" s="93" t="str">
        <f t="shared" si="1"/>
        <v>120110072817458</v>
      </c>
      <c r="B419" s="94">
        <v>12.0</v>
      </c>
      <c r="C419" s="95">
        <v>11.0</v>
      </c>
      <c r="D419" s="96">
        <v>7.2817458E7</v>
      </c>
    </row>
    <row r="420">
      <c r="A420" s="93" t="str">
        <f t="shared" si="1"/>
        <v>270770067213653</v>
      </c>
      <c r="B420" s="94">
        <v>27.0</v>
      </c>
      <c r="C420" s="95">
        <v>77.0</v>
      </c>
      <c r="D420" s="96">
        <v>6.7213653E7</v>
      </c>
    </row>
    <row r="421">
      <c r="A421" s="93" t="str">
        <f t="shared" si="1"/>
        <v>060650056331842</v>
      </c>
      <c r="B421" s="94">
        <v>6.0</v>
      </c>
      <c r="C421" s="95">
        <v>65.0</v>
      </c>
      <c r="D421" s="96">
        <v>5.6331842E7</v>
      </c>
    </row>
    <row r="422">
      <c r="A422" s="93" t="str">
        <f t="shared" si="1"/>
        <v>551410047281287</v>
      </c>
      <c r="B422" s="94">
        <v>55.0</v>
      </c>
      <c r="C422" s="95">
        <v>141.0</v>
      </c>
      <c r="D422" s="96">
        <v>4.7281287E7</v>
      </c>
    </row>
    <row r="423">
      <c r="A423" s="93" t="str">
        <f t="shared" si="1"/>
        <v>490090068027254</v>
      </c>
      <c r="B423" s="94">
        <v>49.0</v>
      </c>
      <c r="C423" s="95">
        <v>9.0</v>
      </c>
      <c r="D423" s="96">
        <v>6.8027254E7</v>
      </c>
    </row>
    <row r="424">
      <c r="A424" s="93" t="str">
        <f t="shared" si="1"/>
        <v>300330044089839</v>
      </c>
      <c r="B424" s="94">
        <v>30.0</v>
      </c>
      <c r="C424" s="95">
        <v>33.0</v>
      </c>
      <c r="D424" s="96">
        <v>4.4089839E7</v>
      </c>
    </row>
    <row r="425">
      <c r="A425" s="93" t="str">
        <f t="shared" si="1"/>
        <v>516700058912476</v>
      </c>
      <c r="B425" s="94">
        <v>51.0</v>
      </c>
      <c r="C425" s="95">
        <v>670.0</v>
      </c>
      <c r="D425" s="96">
        <v>5.8912476E7</v>
      </c>
    </row>
    <row r="426">
      <c r="A426" s="93" t="str">
        <f t="shared" si="1"/>
        <v>483270030093840</v>
      </c>
      <c r="B426" s="94">
        <v>48.0</v>
      </c>
      <c r="C426" s="95">
        <v>327.0</v>
      </c>
      <c r="D426" s="96">
        <v>3.009384E7</v>
      </c>
    </row>
    <row r="427">
      <c r="A427" s="93" t="str">
        <f t="shared" si="1"/>
        <v>370850084398420</v>
      </c>
      <c r="B427" s="94">
        <v>37.0</v>
      </c>
      <c r="C427" s="95">
        <v>85.0</v>
      </c>
      <c r="D427" s="96">
        <v>8.439842E7</v>
      </c>
    </row>
    <row r="428">
      <c r="A428" s="93" t="str">
        <f t="shared" si="1"/>
        <v>190050068363689</v>
      </c>
      <c r="B428" s="94">
        <v>19.0</v>
      </c>
      <c r="C428" s="95">
        <v>5.0</v>
      </c>
      <c r="D428" s="96">
        <v>6.8363689E7</v>
      </c>
    </row>
    <row r="429">
      <c r="A429" s="93" t="str">
        <f t="shared" si="1"/>
        <v>292270073685580</v>
      </c>
      <c r="B429" s="94">
        <v>29.0</v>
      </c>
      <c r="C429" s="95">
        <v>227.0</v>
      </c>
      <c r="D429" s="96">
        <v>7.368558E7</v>
      </c>
    </row>
    <row r="430">
      <c r="A430" s="93" t="str">
        <f t="shared" si="1"/>
        <v>081030067710659</v>
      </c>
      <c r="B430" s="94">
        <v>8.0</v>
      </c>
      <c r="C430" s="95">
        <v>103.0</v>
      </c>
      <c r="D430" s="96">
        <v>6.7710659E7</v>
      </c>
    </row>
    <row r="431">
      <c r="A431" s="93" t="str">
        <f t="shared" si="1"/>
        <v>211230087481737</v>
      </c>
      <c r="B431" s="94">
        <v>21.0</v>
      </c>
      <c r="C431" s="95">
        <v>123.0</v>
      </c>
      <c r="D431" s="96">
        <v>8.7481737E7</v>
      </c>
    </row>
    <row r="432">
      <c r="A432" s="93" t="str">
        <f t="shared" si="1"/>
        <v>261470036326256</v>
      </c>
      <c r="B432" s="94">
        <v>26.0</v>
      </c>
      <c r="C432" s="95">
        <v>147.0</v>
      </c>
      <c r="D432" s="96">
        <v>3.6326256E7</v>
      </c>
    </row>
    <row r="433">
      <c r="A433" s="93" t="str">
        <f t="shared" si="1"/>
        <v>490270028011490</v>
      </c>
      <c r="B433" s="94">
        <v>49.0</v>
      </c>
      <c r="C433" s="95">
        <v>27.0</v>
      </c>
      <c r="D433" s="96">
        <v>2.801149E7</v>
      </c>
    </row>
    <row r="434">
      <c r="A434" s="93" t="str">
        <f t="shared" si="1"/>
        <v>350450014755012</v>
      </c>
      <c r="B434" s="94">
        <v>35.0</v>
      </c>
      <c r="C434" s="95">
        <v>45.0</v>
      </c>
      <c r="D434" s="96">
        <v>1.4755012E7</v>
      </c>
    </row>
    <row r="435">
      <c r="A435" s="93" t="str">
        <f t="shared" si="1"/>
        <v>280590090277293</v>
      </c>
      <c r="B435" s="94">
        <v>28.0</v>
      </c>
      <c r="C435" s="95">
        <v>59.0</v>
      </c>
      <c r="D435" s="96">
        <v>9.0277293E7</v>
      </c>
    </row>
    <row r="436">
      <c r="A436" s="93" t="str">
        <f t="shared" si="1"/>
        <v>121110093169516</v>
      </c>
      <c r="B436" s="94">
        <v>12.0</v>
      </c>
      <c r="C436" s="95">
        <v>111.0</v>
      </c>
      <c r="D436" s="96">
        <v>9.3169516E7</v>
      </c>
    </row>
    <row r="437">
      <c r="A437" s="93" t="str">
        <f t="shared" si="1"/>
        <v>201010071482491</v>
      </c>
      <c r="B437" s="94">
        <v>20.0</v>
      </c>
      <c r="C437" s="95">
        <v>101.0</v>
      </c>
      <c r="D437" s="96">
        <v>7.1482491E7</v>
      </c>
    </row>
    <row r="438">
      <c r="A438" s="93" t="str">
        <f t="shared" si="1"/>
        <v>530090030651942</v>
      </c>
      <c r="B438" s="94">
        <v>53.0</v>
      </c>
      <c r="C438" s="95">
        <v>9.0</v>
      </c>
      <c r="D438" s="96">
        <v>3.0651942E7</v>
      </c>
    </row>
    <row r="439">
      <c r="A439" s="93" t="str">
        <f t="shared" si="1"/>
        <v>560250054505715</v>
      </c>
      <c r="B439" s="94">
        <v>56.0</v>
      </c>
      <c r="C439" s="95">
        <v>25.0</v>
      </c>
      <c r="D439" s="96">
        <v>5.4505715E7</v>
      </c>
    </row>
    <row r="440">
      <c r="A440" s="93" t="str">
        <f t="shared" si="1"/>
        <v>391330098954031</v>
      </c>
      <c r="B440" s="94">
        <v>39.0</v>
      </c>
      <c r="C440" s="95">
        <v>133.0</v>
      </c>
      <c r="D440" s="96">
        <v>9.8954031E7</v>
      </c>
    </row>
    <row r="441">
      <c r="A441" s="93" t="str">
        <f t="shared" si="1"/>
        <v>470330019637079</v>
      </c>
      <c r="B441" s="94">
        <v>47.0</v>
      </c>
      <c r="C441" s="95">
        <v>33.0</v>
      </c>
      <c r="D441" s="96">
        <v>1.9637079E7</v>
      </c>
    </row>
    <row r="442">
      <c r="A442" s="93" t="str">
        <f t="shared" si="1"/>
        <v>200630010417563</v>
      </c>
      <c r="B442" s="94">
        <v>20.0</v>
      </c>
      <c r="C442" s="95">
        <v>63.0</v>
      </c>
      <c r="D442" s="96">
        <v>1.0417563E7</v>
      </c>
    </row>
    <row r="443">
      <c r="A443" s="93" t="str">
        <f t="shared" si="1"/>
        <v>470430038415688</v>
      </c>
      <c r="B443" s="94">
        <v>47.0</v>
      </c>
      <c r="C443" s="95">
        <v>43.0</v>
      </c>
      <c r="D443" s="96">
        <v>3.8415688E7</v>
      </c>
    </row>
    <row r="444">
      <c r="A444" s="93" t="str">
        <f t="shared" si="1"/>
        <v>210790055633920</v>
      </c>
      <c r="B444" s="94">
        <v>21.0</v>
      </c>
      <c r="C444" s="95">
        <v>79.0</v>
      </c>
      <c r="D444" s="96">
        <v>5.563392E7</v>
      </c>
    </row>
    <row r="445">
      <c r="A445" s="93" t="str">
        <f t="shared" si="1"/>
        <v>131590016334262</v>
      </c>
      <c r="B445" s="94">
        <v>13.0</v>
      </c>
      <c r="C445" s="95">
        <v>159.0</v>
      </c>
      <c r="D445" s="96">
        <v>1.6334262E7</v>
      </c>
    </row>
    <row r="446">
      <c r="A446" s="93" t="str">
        <f t="shared" si="1"/>
        <v>515800069864716</v>
      </c>
      <c r="B446" s="94">
        <v>51.0</v>
      </c>
      <c r="C446" s="95">
        <v>580.0</v>
      </c>
      <c r="D446" s="96">
        <v>6.9864716E7</v>
      </c>
    </row>
    <row r="447">
      <c r="A447" s="93" t="str">
        <f t="shared" si="1"/>
        <v>201590031713012</v>
      </c>
      <c r="B447" s="94">
        <v>20.0</v>
      </c>
      <c r="C447" s="95">
        <v>159.0</v>
      </c>
      <c r="D447" s="96">
        <v>3.1713012E7</v>
      </c>
    </row>
    <row r="448">
      <c r="A448" s="93" t="str">
        <f t="shared" si="1"/>
        <v>420710020049298</v>
      </c>
      <c r="B448" s="94">
        <v>42.0</v>
      </c>
      <c r="C448" s="95">
        <v>71.0</v>
      </c>
      <c r="D448" s="96">
        <v>2.0049298E7</v>
      </c>
    </row>
    <row r="449">
      <c r="A449" s="93" t="str">
        <f t="shared" si="1"/>
        <v>290790027258203</v>
      </c>
      <c r="B449" s="94">
        <v>29.0</v>
      </c>
      <c r="C449" s="95">
        <v>79.0</v>
      </c>
      <c r="D449" s="96">
        <v>2.7258203E7</v>
      </c>
    </row>
    <row r="450">
      <c r="A450" s="93" t="str">
        <f t="shared" si="1"/>
        <v>350230097136669</v>
      </c>
      <c r="B450" s="94">
        <v>35.0</v>
      </c>
      <c r="C450" s="95">
        <v>23.0</v>
      </c>
      <c r="D450" s="96">
        <v>9.7136669E7</v>
      </c>
    </row>
    <row r="451">
      <c r="A451" s="93" t="str">
        <f t="shared" si="1"/>
        <v>530670062588952</v>
      </c>
      <c r="B451" s="94">
        <v>53.0</v>
      </c>
      <c r="C451" s="95">
        <v>67.0</v>
      </c>
      <c r="D451" s="96">
        <v>6.2588952E7</v>
      </c>
    </row>
    <row r="452">
      <c r="A452" s="93" t="str">
        <f t="shared" si="1"/>
        <v>131330060655203</v>
      </c>
      <c r="B452" s="94">
        <v>13.0</v>
      </c>
      <c r="C452" s="95">
        <v>133.0</v>
      </c>
      <c r="D452" s="96">
        <v>6.0655203E7</v>
      </c>
    </row>
    <row r="453">
      <c r="A453" s="93" t="str">
        <f t="shared" si="1"/>
        <v>133170066319557</v>
      </c>
      <c r="B453" s="94">
        <v>13.0</v>
      </c>
      <c r="C453" s="95">
        <v>317.0</v>
      </c>
      <c r="D453" s="96">
        <v>6.6319557E7</v>
      </c>
    </row>
    <row r="454">
      <c r="A454" s="93" t="str">
        <f t="shared" si="1"/>
        <v>541050063639206</v>
      </c>
      <c r="B454" s="94">
        <v>54.0</v>
      </c>
      <c r="C454" s="95">
        <v>105.0</v>
      </c>
      <c r="D454" s="96">
        <v>6.3639206E7</v>
      </c>
    </row>
    <row r="455">
      <c r="A455" s="93" t="str">
        <f t="shared" si="1"/>
        <v>221210065182205</v>
      </c>
      <c r="B455" s="94">
        <v>22.0</v>
      </c>
      <c r="C455" s="95">
        <v>121.0</v>
      </c>
      <c r="D455" s="96">
        <v>6.5182205E7</v>
      </c>
    </row>
    <row r="456">
      <c r="A456" s="93" t="str">
        <f t="shared" si="1"/>
        <v>171570073503845</v>
      </c>
      <c r="B456" s="94">
        <v>17.0</v>
      </c>
      <c r="C456" s="95">
        <v>157.0</v>
      </c>
      <c r="D456" s="96">
        <v>7.3503845E7</v>
      </c>
    </row>
    <row r="457">
      <c r="A457" s="93" t="str">
        <f t="shared" si="1"/>
        <v>270550092420308</v>
      </c>
      <c r="B457" s="94">
        <v>27.0</v>
      </c>
      <c r="C457" s="95">
        <v>55.0</v>
      </c>
      <c r="D457" s="96">
        <v>9.2420308E7</v>
      </c>
    </row>
    <row r="458">
      <c r="A458" s="93" t="str">
        <f t="shared" si="1"/>
        <v>200210045502776</v>
      </c>
      <c r="B458" s="94">
        <v>20.0</v>
      </c>
      <c r="C458" s="95">
        <v>21.0</v>
      </c>
      <c r="D458" s="96">
        <v>4.5502776E7</v>
      </c>
    </row>
    <row r="459">
      <c r="A459" s="93" t="str">
        <f t="shared" si="1"/>
        <v>060490049309745</v>
      </c>
      <c r="B459" s="94">
        <v>6.0</v>
      </c>
      <c r="C459" s="95">
        <v>49.0</v>
      </c>
      <c r="D459" s="96">
        <v>4.9309745E7</v>
      </c>
    </row>
    <row r="460">
      <c r="A460" s="93" t="str">
        <f t="shared" si="1"/>
        <v>180250040930994</v>
      </c>
      <c r="B460" s="94">
        <v>18.0</v>
      </c>
      <c r="C460" s="95">
        <v>25.0</v>
      </c>
      <c r="D460" s="96">
        <v>4.0930994E7</v>
      </c>
    </row>
    <row r="461">
      <c r="A461" s="93" t="str">
        <f t="shared" si="1"/>
        <v>190030037400581</v>
      </c>
      <c r="B461" s="94">
        <v>19.0</v>
      </c>
      <c r="C461" s="95">
        <v>3.0</v>
      </c>
      <c r="D461" s="96">
        <v>3.7400581E7</v>
      </c>
    </row>
    <row r="462">
      <c r="A462" s="93" t="str">
        <f t="shared" si="1"/>
        <v>221150021889238</v>
      </c>
      <c r="B462" s="94">
        <v>22.0</v>
      </c>
      <c r="C462" s="95">
        <v>115.0</v>
      </c>
      <c r="D462" s="96">
        <v>2.1889238E7</v>
      </c>
    </row>
    <row r="463">
      <c r="A463" s="93" t="str">
        <f t="shared" si="1"/>
        <v>450350021543199</v>
      </c>
      <c r="B463" s="94">
        <v>45.0</v>
      </c>
      <c r="C463" s="95">
        <v>35.0</v>
      </c>
      <c r="D463" s="96">
        <v>2.1543199E7</v>
      </c>
    </row>
    <row r="464">
      <c r="A464" s="93" t="str">
        <f t="shared" si="1"/>
        <v>080330039582715</v>
      </c>
      <c r="B464" s="94">
        <v>8.0</v>
      </c>
      <c r="C464" s="95">
        <v>33.0</v>
      </c>
      <c r="D464" s="96">
        <v>3.9582715E7</v>
      </c>
    </row>
    <row r="465">
      <c r="A465" s="93" t="str">
        <f t="shared" si="1"/>
        <v>170210066796722</v>
      </c>
      <c r="B465" s="94">
        <v>17.0</v>
      </c>
      <c r="C465" s="95">
        <v>21.0</v>
      </c>
      <c r="D465" s="96">
        <v>6.6796722E7</v>
      </c>
    </row>
    <row r="466">
      <c r="A466" s="93" t="str">
        <f t="shared" si="1"/>
        <v>270990082311638</v>
      </c>
      <c r="B466" s="94">
        <v>27.0</v>
      </c>
      <c r="C466" s="95">
        <v>99.0</v>
      </c>
      <c r="D466" s="96">
        <v>8.2311638E7</v>
      </c>
    </row>
    <row r="467">
      <c r="A467" s="93" t="str">
        <f t="shared" si="1"/>
        <v>420590055331585</v>
      </c>
      <c r="B467" s="94">
        <v>42.0</v>
      </c>
      <c r="C467" s="95">
        <v>59.0</v>
      </c>
      <c r="D467" s="96">
        <v>5.5331585E7</v>
      </c>
    </row>
    <row r="468">
      <c r="A468" s="93" t="str">
        <f t="shared" si="1"/>
        <v>080950070664923</v>
      </c>
      <c r="B468" s="94">
        <v>8.0</v>
      </c>
      <c r="C468" s="95">
        <v>95.0</v>
      </c>
      <c r="D468" s="96">
        <v>7.0664923E7</v>
      </c>
    </row>
    <row r="469">
      <c r="A469" s="93" t="str">
        <f t="shared" si="1"/>
        <v>380910011064457</v>
      </c>
      <c r="B469" s="94">
        <v>38.0</v>
      </c>
      <c r="C469" s="95">
        <v>91.0</v>
      </c>
      <c r="D469" s="96">
        <v>1.1064457E7</v>
      </c>
    </row>
    <row r="470">
      <c r="A470" s="93" t="str">
        <f t="shared" si="1"/>
        <v>270530028720704</v>
      </c>
      <c r="B470" s="94">
        <v>27.0</v>
      </c>
      <c r="C470" s="95">
        <v>53.0</v>
      </c>
      <c r="D470" s="96">
        <v>2.8720704E7</v>
      </c>
    </row>
    <row r="471">
      <c r="A471" s="93" t="str">
        <f t="shared" si="1"/>
        <v>370170061424589</v>
      </c>
      <c r="B471" s="94">
        <v>37.0</v>
      </c>
      <c r="C471" s="95">
        <v>17.0</v>
      </c>
      <c r="D471" s="96">
        <v>6.1424589E7</v>
      </c>
    </row>
    <row r="472">
      <c r="A472" s="93" t="str">
        <f t="shared" si="1"/>
        <v>340110014622498</v>
      </c>
      <c r="B472" s="94">
        <v>34.0</v>
      </c>
      <c r="C472" s="95">
        <v>11.0</v>
      </c>
      <c r="D472" s="96">
        <v>1.4622498E7</v>
      </c>
    </row>
    <row r="473">
      <c r="A473" s="93" t="str">
        <f t="shared" si="1"/>
        <v>370470056907123</v>
      </c>
      <c r="B473" s="94">
        <v>37.0</v>
      </c>
      <c r="C473" s="95">
        <v>47.0</v>
      </c>
      <c r="D473" s="96">
        <v>5.6907123E7</v>
      </c>
    </row>
    <row r="474">
      <c r="A474" s="93" t="str">
        <f t="shared" si="1"/>
        <v>370650015421321</v>
      </c>
      <c r="B474" s="94">
        <v>37.0</v>
      </c>
      <c r="C474" s="95">
        <v>65.0</v>
      </c>
      <c r="D474" s="96">
        <v>1.5421321E7</v>
      </c>
    </row>
    <row r="475">
      <c r="A475" s="93" t="str">
        <f t="shared" si="1"/>
        <v>171050063047472</v>
      </c>
      <c r="B475" s="94">
        <v>17.0</v>
      </c>
      <c r="C475" s="95">
        <v>105.0</v>
      </c>
      <c r="D475" s="96">
        <v>6.3047472E7</v>
      </c>
    </row>
    <row r="476">
      <c r="A476" s="93" t="str">
        <f t="shared" si="1"/>
        <v>271570075014463</v>
      </c>
      <c r="B476" s="94">
        <v>27.0</v>
      </c>
      <c r="C476" s="95">
        <v>157.0</v>
      </c>
      <c r="D476" s="96">
        <v>7.5014463E7</v>
      </c>
    </row>
    <row r="477">
      <c r="A477" s="93" t="str">
        <f t="shared" si="1"/>
        <v>380470084635341</v>
      </c>
      <c r="B477" s="94">
        <v>38.0</v>
      </c>
      <c r="C477" s="95">
        <v>47.0</v>
      </c>
      <c r="D477" s="96">
        <v>8.4635341E7</v>
      </c>
    </row>
    <row r="478">
      <c r="A478" s="93" t="str">
        <f t="shared" si="1"/>
        <v>550870072143995</v>
      </c>
      <c r="B478" s="94">
        <v>55.0</v>
      </c>
      <c r="C478" s="95">
        <v>87.0</v>
      </c>
      <c r="D478" s="96">
        <v>7.2143995E7</v>
      </c>
    </row>
    <row r="479">
      <c r="A479" s="93" t="str">
        <f t="shared" si="1"/>
        <v>010530053473563</v>
      </c>
      <c r="B479" s="94">
        <v>1.0</v>
      </c>
      <c r="C479" s="95">
        <v>53.0</v>
      </c>
      <c r="D479" s="96">
        <v>5.3473563E7</v>
      </c>
    </row>
    <row r="480">
      <c r="A480" s="93" t="str">
        <f t="shared" si="1"/>
        <v>171610073471815</v>
      </c>
      <c r="B480" s="94">
        <v>17.0</v>
      </c>
      <c r="C480" s="95">
        <v>161.0</v>
      </c>
      <c r="D480" s="96">
        <v>7.3471815E7</v>
      </c>
    </row>
    <row r="481">
      <c r="A481" s="93" t="str">
        <f t="shared" si="1"/>
        <v>080190068746130</v>
      </c>
      <c r="B481" s="94">
        <v>8.0</v>
      </c>
      <c r="C481" s="95">
        <v>19.0</v>
      </c>
      <c r="D481" s="96">
        <v>6.874613E7</v>
      </c>
    </row>
    <row r="482">
      <c r="A482" s="93" t="str">
        <f t="shared" si="1"/>
        <v>081250058832389</v>
      </c>
      <c r="B482" s="94">
        <v>8.0</v>
      </c>
      <c r="C482" s="95">
        <v>125.0</v>
      </c>
      <c r="D482" s="96">
        <v>5.8832389E7</v>
      </c>
    </row>
    <row r="483">
      <c r="A483" s="93" t="str">
        <f t="shared" si="1"/>
        <v>401050087295025</v>
      </c>
      <c r="B483" s="94">
        <v>40.0</v>
      </c>
      <c r="C483" s="95">
        <v>105.0</v>
      </c>
      <c r="D483" s="96">
        <v>8.7295025E7</v>
      </c>
    </row>
    <row r="484">
      <c r="A484" s="93" t="str">
        <f t="shared" si="1"/>
        <v>340370036447770</v>
      </c>
      <c r="B484" s="94">
        <v>34.0</v>
      </c>
      <c r="C484" s="95">
        <v>37.0</v>
      </c>
      <c r="D484" s="96">
        <v>3.644777E7</v>
      </c>
    </row>
    <row r="485">
      <c r="A485" s="93" t="str">
        <f t="shared" si="1"/>
        <v>471330073850509</v>
      </c>
      <c r="B485" s="94">
        <v>47.0</v>
      </c>
      <c r="C485" s="95">
        <v>133.0</v>
      </c>
      <c r="D485" s="96">
        <v>7.3850509E7</v>
      </c>
    </row>
    <row r="486">
      <c r="A486" s="93" t="str">
        <f t="shared" si="1"/>
        <v>280670078257755</v>
      </c>
      <c r="B486" s="94">
        <v>28.0</v>
      </c>
      <c r="C486" s="95">
        <v>67.0</v>
      </c>
      <c r="D486" s="96">
        <v>7.8257755E7</v>
      </c>
    </row>
    <row r="487">
      <c r="A487" s="93" t="str">
        <f t="shared" si="1"/>
        <v>080010068235569</v>
      </c>
      <c r="B487" s="94">
        <v>8.0</v>
      </c>
      <c r="C487" s="95">
        <v>1.0</v>
      </c>
      <c r="D487" s="96">
        <v>6.8235569E7</v>
      </c>
    </row>
    <row r="488">
      <c r="A488" s="93" t="str">
        <f t="shared" si="1"/>
        <v>340030051079418</v>
      </c>
      <c r="B488" s="94">
        <v>34.0</v>
      </c>
      <c r="C488" s="95">
        <v>3.0</v>
      </c>
      <c r="D488" s="96">
        <v>5.1079418E7</v>
      </c>
    </row>
    <row r="489">
      <c r="A489" s="93" t="str">
        <f t="shared" si="1"/>
        <v>120010031024448</v>
      </c>
      <c r="B489" s="94">
        <v>12.0</v>
      </c>
      <c r="C489" s="95">
        <v>1.0</v>
      </c>
      <c r="D489" s="96">
        <v>3.1024448E7</v>
      </c>
    </row>
    <row r="490">
      <c r="A490" s="93" t="str">
        <f t="shared" si="1"/>
        <v>120590026599534</v>
      </c>
      <c r="B490" s="94">
        <v>12.0</v>
      </c>
      <c r="C490" s="95">
        <v>59.0</v>
      </c>
      <c r="D490" s="96">
        <v>2.6599534E7</v>
      </c>
    </row>
    <row r="491">
      <c r="A491" s="93" t="str">
        <f t="shared" si="1"/>
        <v>461090049912079</v>
      </c>
      <c r="B491" s="94">
        <v>46.0</v>
      </c>
      <c r="C491" s="95">
        <v>109.0</v>
      </c>
      <c r="D491" s="96">
        <v>4.9912079E7</v>
      </c>
    </row>
    <row r="492">
      <c r="A492" s="93" t="str">
        <f t="shared" si="1"/>
        <v>171930065858776</v>
      </c>
      <c r="B492" s="94">
        <v>17.0</v>
      </c>
      <c r="C492" s="95">
        <v>193.0</v>
      </c>
      <c r="D492" s="96">
        <v>6.5858776E7</v>
      </c>
    </row>
    <row r="493">
      <c r="A493" s="93" t="str">
        <f t="shared" si="1"/>
        <v>270910046763223</v>
      </c>
      <c r="B493" s="94">
        <v>27.0</v>
      </c>
      <c r="C493" s="95">
        <v>91.0</v>
      </c>
      <c r="D493" s="96">
        <v>4.6763223E7</v>
      </c>
    </row>
    <row r="494">
      <c r="A494" s="93" t="str">
        <f t="shared" si="1"/>
        <v>160390066988175</v>
      </c>
      <c r="B494" s="94">
        <v>16.0</v>
      </c>
      <c r="C494" s="95">
        <v>39.0</v>
      </c>
      <c r="D494" s="96">
        <v>6.6988175E7</v>
      </c>
    </row>
    <row r="495">
      <c r="A495" s="93" t="str">
        <f t="shared" si="1"/>
        <v>181190083309798</v>
      </c>
      <c r="B495" s="94">
        <v>18.0</v>
      </c>
      <c r="C495" s="95">
        <v>119.0</v>
      </c>
      <c r="D495" s="96">
        <v>8.3309798E7</v>
      </c>
    </row>
    <row r="496">
      <c r="A496" s="93" t="str">
        <f t="shared" si="1"/>
        <v>240430048810098</v>
      </c>
      <c r="B496" s="94">
        <v>24.0</v>
      </c>
      <c r="C496" s="95">
        <v>43.0</v>
      </c>
      <c r="D496" s="96">
        <v>4.8810098E7</v>
      </c>
    </row>
    <row r="497">
      <c r="A497" s="93" t="str">
        <f t="shared" si="1"/>
        <v>300250030305345</v>
      </c>
      <c r="B497" s="94">
        <v>30.0</v>
      </c>
      <c r="C497" s="95">
        <v>25.0</v>
      </c>
      <c r="D497" s="96">
        <v>3.0305345E7</v>
      </c>
    </row>
    <row r="498">
      <c r="A498" s="93" t="str">
        <f t="shared" si="1"/>
        <v>460910051660648</v>
      </c>
      <c r="B498" s="94">
        <v>46.0</v>
      </c>
      <c r="C498" s="95">
        <v>91.0</v>
      </c>
      <c r="D498" s="96">
        <v>5.1660648E7</v>
      </c>
    </row>
    <row r="499">
      <c r="A499" s="93" t="str">
        <f t="shared" si="1"/>
        <v>482910050378598</v>
      </c>
      <c r="B499" s="94">
        <v>48.0</v>
      </c>
      <c r="C499" s="95">
        <v>291.0</v>
      </c>
      <c r="D499" s="96">
        <v>5.0378598E7</v>
      </c>
    </row>
    <row r="500">
      <c r="A500" s="93" t="str">
        <f t="shared" si="1"/>
        <v>370270098100962</v>
      </c>
      <c r="B500" s="94">
        <v>37.0</v>
      </c>
      <c r="C500" s="95">
        <v>27.0</v>
      </c>
      <c r="D500" s="96">
        <v>9.8100962E7</v>
      </c>
    </row>
    <row r="501">
      <c r="A501" s="93" t="str">
        <f t="shared" si="1"/>
        <v>220770092569015</v>
      </c>
      <c r="B501" s="94">
        <v>22.0</v>
      </c>
      <c r="C501" s="95">
        <v>77.0</v>
      </c>
      <c r="D501" s="96">
        <v>9.2569015E7</v>
      </c>
    </row>
    <row r="502">
      <c r="A502" s="93" t="str">
        <f t="shared" si="1"/>
        <v>190950096222697</v>
      </c>
      <c r="B502" s="94">
        <v>19.0</v>
      </c>
      <c r="C502" s="95">
        <v>95.0</v>
      </c>
      <c r="D502" s="96">
        <v>9.6222697E7</v>
      </c>
    </row>
    <row r="503">
      <c r="A503" s="93" t="str">
        <f t="shared" si="1"/>
        <v>484870035009532</v>
      </c>
      <c r="B503" s="94">
        <v>48.0</v>
      </c>
      <c r="C503" s="95">
        <v>487.0</v>
      </c>
      <c r="D503" s="96">
        <v>3.5009532E7</v>
      </c>
    </row>
    <row r="504">
      <c r="A504" s="93" t="str">
        <f t="shared" si="1"/>
        <v>400490074926175</v>
      </c>
      <c r="B504" s="94">
        <v>40.0</v>
      </c>
      <c r="C504" s="95">
        <v>49.0</v>
      </c>
      <c r="D504" s="96">
        <v>7.4926175E7</v>
      </c>
    </row>
    <row r="505">
      <c r="A505" s="93" t="str">
        <f t="shared" si="1"/>
        <v>550010075908695</v>
      </c>
      <c r="B505" s="94">
        <v>55.0</v>
      </c>
      <c r="C505" s="95">
        <v>1.0</v>
      </c>
      <c r="D505" s="96">
        <v>7.5908695E7</v>
      </c>
    </row>
    <row r="506">
      <c r="A506" s="93" t="str">
        <f t="shared" si="1"/>
        <v>212050029463713</v>
      </c>
      <c r="B506" s="94">
        <v>21.0</v>
      </c>
      <c r="C506" s="95">
        <v>205.0</v>
      </c>
      <c r="D506" s="96">
        <v>2.9463713E7</v>
      </c>
    </row>
    <row r="507">
      <c r="A507" s="93" t="str">
        <f t="shared" si="1"/>
        <v>490430031213309</v>
      </c>
      <c r="B507" s="94">
        <v>49.0</v>
      </c>
      <c r="C507" s="95">
        <v>43.0</v>
      </c>
      <c r="D507" s="96">
        <v>3.1213309E7</v>
      </c>
    </row>
    <row r="508">
      <c r="A508" s="93" t="str">
        <f t="shared" si="1"/>
        <v>390210054805188</v>
      </c>
      <c r="B508" s="94">
        <v>39.0</v>
      </c>
      <c r="C508" s="95">
        <v>21.0</v>
      </c>
      <c r="D508" s="96">
        <v>5.4805188E7</v>
      </c>
    </row>
    <row r="509">
      <c r="A509" s="93" t="str">
        <f t="shared" si="1"/>
        <v>133190060295274</v>
      </c>
      <c r="B509" s="94">
        <v>13.0</v>
      </c>
      <c r="C509" s="95">
        <v>319.0</v>
      </c>
      <c r="D509" s="96">
        <v>6.0295274E7</v>
      </c>
    </row>
    <row r="510">
      <c r="A510" s="93" t="str">
        <f t="shared" si="1"/>
        <v>021500031474360</v>
      </c>
      <c r="B510" s="94">
        <v>2.0</v>
      </c>
      <c r="C510" s="95">
        <v>150.0</v>
      </c>
      <c r="D510" s="96">
        <v>3.147436E7</v>
      </c>
    </row>
    <row r="511">
      <c r="A511" s="93" t="str">
        <f t="shared" si="1"/>
        <v>170550074460913</v>
      </c>
      <c r="B511" s="94">
        <v>17.0</v>
      </c>
      <c r="C511" s="95">
        <v>55.0</v>
      </c>
      <c r="D511" s="96">
        <v>7.4460913E7</v>
      </c>
    </row>
    <row r="512">
      <c r="A512" s="93" t="str">
        <f t="shared" si="1"/>
        <v>121090010645705</v>
      </c>
      <c r="B512" s="94">
        <v>12.0</v>
      </c>
      <c r="C512" s="95">
        <v>109.0</v>
      </c>
      <c r="D512" s="96">
        <v>1.0645705E7</v>
      </c>
    </row>
    <row r="513">
      <c r="A513" s="93" t="str">
        <f t="shared" si="1"/>
        <v>291990044622266</v>
      </c>
      <c r="B513" s="94">
        <v>29.0</v>
      </c>
      <c r="C513" s="95">
        <v>199.0</v>
      </c>
      <c r="D513" s="96">
        <v>4.4622266E7</v>
      </c>
    </row>
    <row r="514">
      <c r="A514" s="93" t="str">
        <f t="shared" si="1"/>
        <v>160350046477681</v>
      </c>
      <c r="B514" s="94">
        <v>16.0</v>
      </c>
      <c r="C514" s="95">
        <v>35.0</v>
      </c>
      <c r="D514" s="96">
        <v>4.6477681E7</v>
      </c>
    </row>
    <row r="515">
      <c r="A515" s="93" t="str">
        <f t="shared" si="1"/>
        <v>160490064257665</v>
      </c>
      <c r="B515" s="94">
        <v>16.0</v>
      </c>
      <c r="C515" s="95">
        <v>49.0</v>
      </c>
      <c r="D515" s="96">
        <v>6.4257665E7</v>
      </c>
    </row>
    <row r="516">
      <c r="A516" s="93" t="str">
        <f t="shared" si="1"/>
        <v>450310044752413</v>
      </c>
      <c r="B516" s="94">
        <v>45.0</v>
      </c>
      <c r="C516" s="95">
        <v>31.0</v>
      </c>
      <c r="D516" s="96">
        <v>4.4752413E7</v>
      </c>
    </row>
    <row r="517">
      <c r="A517" s="93" t="str">
        <f t="shared" si="1"/>
        <v>130950030626040</v>
      </c>
      <c r="B517" s="94">
        <v>13.0</v>
      </c>
      <c r="C517" s="95">
        <v>95.0</v>
      </c>
      <c r="D517" s="96">
        <v>3.062604E7</v>
      </c>
    </row>
    <row r="518">
      <c r="A518" s="93" t="str">
        <f t="shared" si="1"/>
        <v>360290092028793</v>
      </c>
      <c r="B518" s="94">
        <v>36.0</v>
      </c>
      <c r="C518" s="95">
        <v>29.0</v>
      </c>
      <c r="D518" s="96">
        <v>9.2028793E7</v>
      </c>
    </row>
    <row r="519">
      <c r="A519" s="93" t="str">
        <f t="shared" si="1"/>
        <v>460710057464759</v>
      </c>
      <c r="B519" s="94">
        <v>46.0</v>
      </c>
      <c r="C519" s="95">
        <v>71.0</v>
      </c>
      <c r="D519" s="96">
        <v>5.7464759E7</v>
      </c>
    </row>
    <row r="520">
      <c r="A520" s="93" t="str">
        <f t="shared" si="1"/>
        <v>484570048553144</v>
      </c>
      <c r="B520" s="94">
        <v>48.0</v>
      </c>
      <c r="C520" s="95">
        <v>457.0</v>
      </c>
      <c r="D520" s="96">
        <v>4.8553144E7</v>
      </c>
    </row>
    <row r="521">
      <c r="A521" s="93" t="str">
        <f t="shared" si="1"/>
        <v>291860076667060</v>
      </c>
      <c r="B521" s="94">
        <v>29.0</v>
      </c>
      <c r="C521" s="95">
        <v>186.0</v>
      </c>
      <c r="D521" s="96">
        <v>7.666706E7</v>
      </c>
    </row>
    <row r="522">
      <c r="A522" s="93" t="str">
        <f t="shared" si="1"/>
        <v>371490093782921</v>
      </c>
      <c r="B522" s="94">
        <v>37.0</v>
      </c>
      <c r="C522" s="95">
        <v>149.0</v>
      </c>
      <c r="D522" s="96">
        <v>9.3782921E7</v>
      </c>
    </row>
    <row r="523">
      <c r="A523" s="93" t="str">
        <f t="shared" si="1"/>
        <v>370050048469210</v>
      </c>
      <c r="B523" s="94">
        <v>37.0</v>
      </c>
      <c r="C523" s="95">
        <v>5.0</v>
      </c>
      <c r="D523" s="96">
        <v>4.846921E7</v>
      </c>
    </row>
    <row r="524">
      <c r="A524" s="93" t="str">
        <f t="shared" si="1"/>
        <v>550130050117459</v>
      </c>
      <c r="B524" s="94">
        <v>55.0</v>
      </c>
      <c r="C524" s="95">
        <v>13.0</v>
      </c>
      <c r="D524" s="96">
        <v>5.0117459E7</v>
      </c>
    </row>
    <row r="525">
      <c r="A525" s="93" t="str">
        <f t="shared" si="1"/>
        <v>271110081821767</v>
      </c>
      <c r="B525" s="94">
        <v>27.0</v>
      </c>
      <c r="C525" s="95">
        <v>111.0</v>
      </c>
      <c r="D525" s="96">
        <v>8.1821767E7</v>
      </c>
    </row>
    <row r="526">
      <c r="A526" s="93" t="str">
        <f t="shared" si="1"/>
        <v>120890032566853</v>
      </c>
      <c r="B526" s="94">
        <v>12.0</v>
      </c>
      <c r="C526" s="95">
        <v>89.0</v>
      </c>
      <c r="D526" s="96">
        <v>3.2566853E7</v>
      </c>
    </row>
    <row r="527">
      <c r="A527" s="93" t="str">
        <f t="shared" si="1"/>
        <v>131470065060128</v>
      </c>
      <c r="B527" s="94">
        <v>13.0</v>
      </c>
      <c r="C527" s="95">
        <v>147.0</v>
      </c>
      <c r="D527" s="96">
        <v>6.5060128E7</v>
      </c>
    </row>
    <row r="528">
      <c r="A528" s="93" t="str">
        <f t="shared" si="1"/>
        <v>391050045020517</v>
      </c>
      <c r="B528" s="94">
        <v>39.0</v>
      </c>
      <c r="C528" s="95">
        <v>105.0</v>
      </c>
      <c r="D528" s="96">
        <v>4.5020517E7</v>
      </c>
    </row>
    <row r="529">
      <c r="A529" s="93" t="str">
        <f t="shared" si="1"/>
        <v>390850086292446</v>
      </c>
      <c r="B529" s="94">
        <v>39.0</v>
      </c>
      <c r="C529" s="95">
        <v>85.0</v>
      </c>
      <c r="D529" s="96">
        <v>8.6292446E7</v>
      </c>
    </row>
    <row r="530">
      <c r="A530" s="93" t="str">
        <f t="shared" si="1"/>
        <v>400430035203330</v>
      </c>
      <c r="B530" s="94">
        <v>40.0</v>
      </c>
      <c r="C530" s="95">
        <v>43.0</v>
      </c>
      <c r="D530" s="96">
        <v>3.520333E7</v>
      </c>
    </row>
    <row r="531">
      <c r="A531" s="93" t="str">
        <f t="shared" si="1"/>
        <v>510930024325814</v>
      </c>
      <c r="B531" s="94">
        <v>51.0</v>
      </c>
      <c r="C531" s="95">
        <v>93.0</v>
      </c>
      <c r="D531" s="96">
        <v>2.4325814E7</v>
      </c>
    </row>
    <row r="532">
      <c r="A532" s="93" t="str">
        <f t="shared" si="1"/>
        <v>482790084897879</v>
      </c>
      <c r="B532" s="94">
        <v>48.0</v>
      </c>
      <c r="C532" s="95">
        <v>279.0</v>
      </c>
      <c r="D532" s="96">
        <v>8.4897879E7</v>
      </c>
    </row>
    <row r="533">
      <c r="A533" s="93" t="str">
        <f t="shared" si="1"/>
        <v>180350056964417</v>
      </c>
      <c r="B533" s="94">
        <v>18.0</v>
      </c>
      <c r="C533" s="95">
        <v>35.0</v>
      </c>
      <c r="D533" s="96">
        <v>5.6964417E7</v>
      </c>
    </row>
    <row r="534">
      <c r="A534" s="93" t="str">
        <f t="shared" si="1"/>
        <v>170390031120095</v>
      </c>
      <c r="B534" s="94">
        <v>17.0</v>
      </c>
      <c r="C534" s="95">
        <v>39.0</v>
      </c>
      <c r="D534" s="96">
        <v>3.1120095E7</v>
      </c>
    </row>
    <row r="535">
      <c r="A535" s="93" t="str">
        <f t="shared" si="1"/>
        <v>291330042740080</v>
      </c>
      <c r="B535" s="94">
        <v>29.0</v>
      </c>
      <c r="C535" s="95">
        <v>133.0</v>
      </c>
      <c r="D535" s="96">
        <v>4.274008E7</v>
      </c>
    </row>
    <row r="536">
      <c r="A536" s="93" t="str">
        <f t="shared" si="1"/>
        <v>210210043553271</v>
      </c>
      <c r="B536" s="94">
        <v>21.0</v>
      </c>
      <c r="C536" s="95">
        <v>21.0</v>
      </c>
      <c r="D536" s="96">
        <v>4.3553271E7</v>
      </c>
    </row>
    <row r="537">
      <c r="A537" s="93" t="str">
        <f t="shared" si="1"/>
        <v>481650099795539</v>
      </c>
      <c r="B537" s="94">
        <v>48.0</v>
      </c>
      <c r="C537" s="95">
        <v>165.0</v>
      </c>
      <c r="D537" s="96">
        <v>9.9795539E7</v>
      </c>
    </row>
    <row r="538">
      <c r="A538" s="93" t="str">
        <f t="shared" si="1"/>
        <v>060470051986611</v>
      </c>
      <c r="B538" s="94">
        <v>6.0</v>
      </c>
      <c r="C538" s="95">
        <v>47.0</v>
      </c>
      <c r="D538" s="96">
        <v>5.1986611E7</v>
      </c>
    </row>
    <row r="539">
      <c r="A539" s="93" t="str">
        <f t="shared" si="1"/>
        <v>220630039228425</v>
      </c>
      <c r="B539" s="94">
        <v>22.0</v>
      </c>
      <c r="C539" s="95">
        <v>63.0</v>
      </c>
      <c r="D539" s="96">
        <v>3.9228425E7</v>
      </c>
    </row>
    <row r="540">
      <c r="A540" s="93" t="str">
        <f t="shared" si="1"/>
        <v>410250071814357</v>
      </c>
      <c r="B540" s="94">
        <v>41.0</v>
      </c>
      <c r="C540" s="95">
        <v>25.0</v>
      </c>
      <c r="D540" s="96">
        <v>7.1814357E7</v>
      </c>
    </row>
    <row r="541">
      <c r="A541" s="93" t="str">
        <f t="shared" si="1"/>
        <v>481070063321516</v>
      </c>
      <c r="B541" s="94">
        <v>48.0</v>
      </c>
      <c r="C541" s="95">
        <v>107.0</v>
      </c>
      <c r="D541" s="96">
        <v>6.3321516E7</v>
      </c>
    </row>
    <row r="542">
      <c r="A542" s="93" t="str">
        <f t="shared" si="1"/>
        <v>130330098825907</v>
      </c>
      <c r="B542" s="94">
        <v>13.0</v>
      </c>
      <c r="C542" s="95">
        <v>33.0</v>
      </c>
      <c r="D542" s="96">
        <v>9.8825907E7</v>
      </c>
    </row>
    <row r="543">
      <c r="A543" s="93" t="str">
        <f t="shared" si="1"/>
        <v>260870098916415</v>
      </c>
      <c r="B543" s="94">
        <v>26.0</v>
      </c>
      <c r="C543" s="95">
        <v>87.0</v>
      </c>
      <c r="D543" s="96">
        <v>9.8916415E7</v>
      </c>
    </row>
    <row r="544">
      <c r="A544" s="93" t="str">
        <f t="shared" si="1"/>
        <v>201250042539912</v>
      </c>
      <c r="B544" s="94">
        <v>20.0</v>
      </c>
      <c r="C544" s="95">
        <v>125.0</v>
      </c>
      <c r="D544" s="96">
        <v>4.2539912E7</v>
      </c>
    </row>
    <row r="545">
      <c r="A545" s="93" t="str">
        <f t="shared" si="1"/>
        <v>130070029288811</v>
      </c>
      <c r="B545" s="94">
        <v>13.0</v>
      </c>
      <c r="C545" s="95">
        <v>7.0</v>
      </c>
      <c r="D545" s="96">
        <v>2.9288811E7</v>
      </c>
    </row>
    <row r="546">
      <c r="A546" s="93" t="str">
        <f t="shared" si="1"/>
        <v>040070080336766</v>
      </c>
      <c r="B546" s="94">
        <v>4.0</v>
      </c>
      <c r="C546" s="95">
        <v>7.0</v>
      </c>
      <c r="D546" s="96">
        <v>8.0336766E7</v>
      </c>
    </row>
    <row r="547">
      <c r="A547" s="93" t="str">
        <f t="shared" si="1"/>
        <v>191630068300833</v>
      </c>
      <c r="B547" s="94">
        <v>19.0</v>
      </c>
      <c r="C547" s="95">
        <v>163.0</v>
      </c>
      <c r="D547" s="96">
        <v>6.8300833E7</v>
      </c>
    </row>
    <row r="548">
      <c r="A548" s="93" t="str">
        <f t="shared" si="1"/>
        <v>260090050844326</v>
      </c>
      <c r="B548" s="94">
        <v>26.0</v>
      </c>
      <c r="C548" s="95">
        <v>9.0</v>
      </c>
      <c r="D548" s="96">
        <v>5.0844326E7</v>
      </c>
    </row>
    <row r="549">
      <c r="A549" s="93" t="str">
        <f t="shared" si="1"/>
        <v>220230077668069</v>
      </c>
      <c r="B549" s="94">
        <v>22.0</v>
      </c>
      <c r="C549" s="95">
        <v>23.0</v>
      </c>
      <c r="D549" s="96">
        <v>7.7668069E7</v>
      </c>
    </row>
    <row r="550">
      <c r="A550" s="93" t="str">
        <f t="shared" si="1"/>
        <v>360530033898961</v>
      </c>
      <c r="B550" s="94">
        <v>36.0</v>
      </c>
      <c r="C550" s="95">
        <v>53.0</v>
      </c>
      <c r="D550" s="96">
        <v>3.3898961E7</v>
      </c>
    </row>
    <row r="551">
      <c r="A551" s="93" t="str">
        <f t="shared" si="1"/>
        <v>290990041182190</v>
      </c>
      <c r="B551" s="94">
        <v>29.0</v>
      </c>
      <c r="C551" s="95">
        <v>99.0</v>
      </c>
      <c r="D551" s="96">
        <v>4.118219E7</v>
      </c>
    </row>
    <row r="552">
      <c r="A552" s="93" t="str">
        <f t="shared" si="1"/>
        <v>481530045644591</v>
      </c>
      <c r="B552" s="94">
        <v>48.0</v>
      </c>
      <c r="C552" s="95">
        <v>153.0</v>
      </c>
      <c r="D552" s="96">
        <v>4.5644591E7</v>
      </c>
    </row>
    <row r="553">
      <c r="A553" s="93" t="str">
        <f t="shared" si="1"/>
        <v>484530045950464</v>
      </c>
      <c r="B553" s="94">
        <v>48.0</v>
      </c>
      <c r="C553" s="95">
        <v>453.0</v>
      </c>
      <c r="D553" s="96">
        <v>4.5950464E7</v>
      </c>
    </row>
    <row r="554">
      <c r="A554" s="93" t="str">
        <f t="shared" si="1"/>
        <v>510990030061586</v>
      </c>
      <c r="B554" s="94">
        <v>51.0</v>
      </c>
      <c r="C554" s="95">
        <v>99.0</v>
      </c>
      <c r="D554" s="96">
        <v>3.0061586E7</v>
      </c>
    </row>
    <row r="555">
      <c r="A555" s="93" t="str">
        <f t="shared" si="1"/>
        <v>250050054197069</v>
      </c>
      <c r="B555" s="94">
        <v>25.0</v>
      </c>
      <c r="C555" s="95">
        <v>5.0</v>
      </c>
      <c r="D555" s="96">
        <v>5.4197069E7</v>
      </c>
    </row>
    <row r="556">
      <c r="A556" s="93" t="str">
        <f t="shared" si="1"/>
        <v>450110095992574</v>
      </c>
      <c r="B556" s="94">
        <v>45.0</v>
      </c>
      <c r="C556" s="95">
        <v>11.0</v>
      </c>
      <c r="D556" s="96">
        <v>9.5992574E7</v>
      </c>
    </row>
    <row r="557">
      <c r="A557" s="93" t="str">
        <f t="shared" si="1"/>
        <v>484950047037978</v>
      </c>
      <c r="B557" s="94">
        <v>48.0</v>
      </c>
      <c r="C557" s="95">
        <v>495.0</v>
      </c>
      <c r="D557" s="96">
        <v>4.7037978E7</v>
      </c>
    </row>
    <row r="558">
      <c r="A558" s="93" t="str">
        <f t="shared" si="1"/>
        <v>420090080036945</v>
      </c>
      <c r="B558" s="94">
        <v>42.0</v>
      </c>
      <c r="C558" s="95">
        <v>9.0</v>
      </c>
      <c r="D558" s="96">
        <v>8.0036945E7</v>
      </c>
    </row>
    <row r="559">
      <c r="A559" s="93" t="str">
        <f t="shared" si="1"/>
        <v>290390058235412</v>
      </c>
      <c r="B559" s="94">
        <v>29.0</v>
      </c>
      <c r="C559" s="95">
        <v>39.0</v>
      </c>
      <c r="D559" s="96">
        <v>5.8235412E7</v>
      </c>
    </row>
    <row r="560">
      <c r="A560" s="93" t="str">
        <f t="shared" si="1"/>
        <v>550090078770066</v>
      </c>
      <c r="B560" s="94">
        <v>55.0</v>
      </c>
      <c r="C560" s="95">
        <v>9.0</v>
      </c>
      <c r="D560" s="96">
        <v>7.8770066E7</v>
      </c>
    </row>
    <row r="561">
      <c r="A561" s="93" t="str">
        <f t="shared" si="1"/>
        <v>120130095029378</v>
      </c>
      <c r="B561" s="94">
        <v>12.0</v>
      </c>
      <c r="C561" s="95">
        <v>13.0</v>
      </c>
      <c r="D561" s="96">
        <v>9.5029378E7</v>
      </c>
    </row>
    <row r="562">
      <c r="A562" s="93" t="str">
        <f t="shared" si="1"/>
        <v>211270072428346</v>
      </c>
      <c r="B562" s="94">
        <v>21.0</v>
      </c>
      <c r="C562" s="95">
        <v>127.0</v>
      </c>
      <c r="D562" s="96">
        <v>7.2428346E7</v>
      </c>
    </row>
    <row r="563">
      <c r="A563" s="93" t="str">
        <f t="shared" si="1"/>
        <v>540010023061772</v>
      </c>
      <c r="B563" s="94">
        <v>54.0</v>
      </c>
      <c r="C563" s="95">
        <v>1.0</v>
      </c>
      <c r="D563" s="96">
        <v>2.3061772E7</v>
      </c>
    </row>
    <row r="564">
      <c r="A564" s="93" t="str">
        <f t="shared" si="1"/>
        <v>212170086511977</v>
      </c>
      <c r="B564" s="94">
        <v>21.0</v>
      </c>
      <c r="C564" s="95">
        <v>217.0</v>
      </c>
      <c r="D564" s="96">
        <v>8.6511977E7</v>
      </c>
    </row>
    <row r="565">
      <c r="A565" s="93" t="str">
        <f t="shared" si="1"/>
        <v>480170072757549</v>
      </c>
      <c r="B565" s="94">
        <v>48.0</v>
      </c>
      <c r="C565" s="95">
        <v>17.0</v>
      </c>
      <c r="D565" s="96">
        <v>7.2757549E7</v>
      </c>
    </row>
    <row r="566">
      <c r="A566" s="93" t="str">
        <f t="shared" si="1"/>
        <v>131050094011292</v>
      </c>
      <c r="B566" s="94">
        <v>13.0</v>
      </c>
      <c r="C566" s="95">
        <v>105.0</v>
      </c>
      <c r="D566" s="96">
        <v>9.4011292E7</v>
      </c>
    </row>
    <row r="567">
      <c r="A567" s="93" t="str">
        <f t="shared" si="1"/>
        <v>132230024021202</v>
      </c>
      <c r="B567" s="94">
        <v>13.0</v>
      </c>
      <c r="C567" s="95">
        <v>223.0</v>
      </c>
      <c r="D567" s="96">
        <v>2.4021202E7</v>
      </c>
    </row>
    <row r="568">
      <c r="A568" s="93" t="str">
        <f t="shared" si="1"/>
        <v>011110021913278</v>
      </c>
      <c r="B568" s="94">
        <v>1.0</v>
      </c>
      <c r="C568" s="95">
        <v>111.0</v>
      </c>
      <c r="D568" s="96">
        <v>2.1913278E7</v>
      </c>
    </row>
    <row r="569">
      <c r="A569" s="93" t="str">
        <f t="shared" si="1"/>
        <v>132370051422774</v>
      </c>
      <c r="B569" s="94">
        <v>13.0</v>
      </c>
      <c r="C569" s="95">
        <v>237.0</v>
      </c>
      <c r="D569" s="96">
        <v>5.1422774E7</v>
      </c>
    </row>
    <row r="570">
      <c r="A570" s="93" t="str">
        <f t="shared" si="1"/>
        <v>270930021259163</v>
      </c>
      <c r="B570" s="94">
        <v>27.0</v>
      </c>
      <c r="C570" s="95">
        <v>93.0</v>
      </c>
      <c r="D570" s="96">
        <v>2.1259163E7</v>
      </c>
    </row>
    <row r="571">
      <c r="A571" s="93" t="str">
        <f t="shared" si="1"/>
        <v>230030043846241</v>
      </c>
      <c r="B571" s="94">
        <v>23.0</v>
      </c>
      <c r="C571" s="95">
        <v>3.0</v>
      </c>
      <c r="D571" s="96">
        <v>4.3846241E7</v>
      </c>
    </row>
    <row r="572">
      <c r="A572" s="93" t="str">
        <f t="shared" si="1"/>
        <v>132790094390505</v>
      </c>
      <c r="B572" s="94">
        <v>13.0</v>
      </c>
      <c r="C572" s="95">
        <v>279.0</v>
      </c>
      <c r="D572" s="96">
        <v>9.4390505E7</v>
      </c>
    </row>
    <row r="573">
      <c r="A573" s="93" t="str">
        <f t="shared" si="1"/>
        <v>380170041045132</v>
      </c>
      <c r="B573" s="94">
        <v>38.0</v>
      </c>
      <c r="C573" s="95">
        <v>17.0</v>
      </c>
      <c r="D573" s="96">
        <v>4.1045132E7</v>
      </c>
    </row>
    <row r="574">
      <c r="A574" s="93" t="str">
        <f t="shared" si="1"/>
        <v>370970098105595</v>
      </c>
      <c r="B574" s="94">
        <v>37.0</v>
      </c>
      <c r="C574" s="95">
        <v>97.0</v>
      </c>
      <c r="D574" s="96">
        <v>9.8105595E7</v>
      </c>
    </row>
    <row r="575">
      <c r="A575" s="93" t="str">
        <f t="shared" si="1"/>
        <v>484410093451198</v>
      </c>
      <c r="B575" s="94">
        <v>48.0</v>
      </c>
      <c r="C575" s="95">
        <v>441.0</v>
      </c>
      <c r="D575" s="96">
        <v>9.3451198E7</v>
      </c>
    </row>
    <row r="576">
      <c r="A576" s="93" t="str">
        <f t="shared" si="1"/>
        <v>391490074786584</v>
      </c>
      <c r="B576" s="94">
        <v>39.0</v>
      </c>
      <c r="C576" s="95">
        <v>149.0</v>
      </c>
      <c r="D576" s="96">
        <v>7.4786584E7</v>
      </c>
    </row>
    <row r="577">
      <c r="A577" s="93" t="str">
        <f t="shared" si="1"/>
        <v>080590056812796</v>
      </c>
      <c r="B577" s="94">
        <v>8.0</v>
      </c>
      <c r="C577" s="95">
        <v>59.0</v>
      </c>
      <c r="D577" s="96">
        <v>5.6812796E7</v>
      </c>
    </row>
    <row r="578">
      <c r="A578" s="93" t="str">
        <f t="shared" si="1"/>
        <v>511810063634224</v>
      </c>
      <c r="B578" s="94">
        <v>51.0</v>
      </c>
      <c r="C578" s="95">
        <v>181.0</v>
      </c>
      <c r="D578" s="96">
        <v>6.3634224E7</v>
      </c>
    </row>
    <row r="579">
      <c r="A579" s="93" t="str">
        <f t="shared" si="1"/>
        <v>560190015547593</v>
      </c>
      <c r="B579" s="94">
        <v>56.0</v>
      </c>
      <c r="C579" s="95">
        <v>19.0</v>
      </c>
      <c r="D579" s="96">
        <v>1.5547593E7</v>
      </c>
    </row>
    <row r="580">
      <c r="A580" s="93" t="str">
        <f t="shared" si="1"/>
        <v>490150079024110</v>
      </c>
      <c r="B580" s="94">
        <v>49.0</v>
      </c>
      <c r="C580" s="95">
        <v>15.0</v>
      </c>
      <c r="D580" s="96">
        <v>7.902411E7</v>
      </c>
    </row>
    <row r="581">
      <c r="A581" s="93" t="str">
        <f t="shared" si="1"/>
        <v>500250098629752</v>
      </c>
      <c r="B581" s="94">
        <v>50.0</v>
      </c>
      <c r="C581" s="95">
        <v>25.0</v>
      </c>
      <c r="D581" s="96">
        <v>9.8629752E7</v>
      </c>
    </row>
    <row r="582">
      <c r="A582" s="93" t="str">
        <f t="shared" si="1"/>
        <v>490250055765673</v>
      </c>
      <c r="B582" s="94">
        <v>49.0</v>
      </c>
      <c r="C582" s="95">
        <v>25.0</v>
      </c>
      <c r="D582" s="96">
        <v>5.5765673E7</v>
      </c>
    </row>
    <row r="583">
      <c r="A583" s="93" t="str">
        <f t="shared" si="1"/>
        <v>191050026195275</v>
      </c>
      <c r="B583" s="94">
        <v>19.0</v>
      </c>
      <c r="C583" s="95">
        <v>105.0</v>
      </c>
      <c r="D583" s="96">
        <v>2.6195275E7</v>
      </c>
    </row>
    <row r="584">
      <c r="A584" s="93" t="str">
        <f t="shared" si="1"/>
        <v>160090024760818</v>
      </c>
      <c r="B584" s="94">
        <v>16.0</v>
      </c>
      <c r="C584" s="95">
        <v>9.0</v>
      </c>
      <c r="D584" s="96">
        <v>2.4760818E7</v>
      </c>
    </row>
    <row r="585">
      <c r="A585" s="93" t="str">
        <f t="shared" si="1"/>
        <v>460550097351730</v>
      </c>
      <c r="B585" s="94">
        <v>46.0</v>
      </c>
      <c r="C585" s="95">
        <v>55.0</v>
      </c>
      <c r="D585" s="96">
        <v>9.735173E7</v>
      </c>
    </row>
    <row r="586">
      <c r="A586" s="93" t="str">
        <f t="shared" si="1"/>
        <v>484390056994406</v>
      </c>
      <c r="B586" s="94">
        <v>48.0</v>
      </c>
      <c r="C586" s="95">
        <v>439.0</v>
      </c>
      <c r="D586" s="96">
        <v>5.6994406E7</v>
      </c>
    </row>
    <row r="587">
      <c r="A587" s="93" t="str">
        <f t="shared" si="1"/>
        <v>470870053434588</v>
      </c>
      <c r="B587" s="94">
        <v>47.0</v>
      </c>
      <c r="C587" s="95">
        <v>87.0</v>
      </c>
      <c r="D587" s="96">
        <v>5.3434588E7</v>
      </c>
    </row>
    <row r="588">
      <c r="A588" s="93" t="str">
        <f t="shared" si="1"/>
        <v>270490026149237</v>
      </c>
      <c r="B588" s="94">
        <v>27.0</v>
      </c>
      <c r="C588" s="95">
        <v>49.0</v>
      </c>
      <c r="D588" s="96">
        <v>2.6149237E7</v>
      </c>
    </row>
    <row r="589">
      <c r="A589" s="93" t="str">
        <f t="shared" si="1"/>
        <v>511670092408928</v>
      </c>
      <c r="B589" s="94">
        <v>51.0</v>
      </c>
      <c r="C589" s="95">
        <v>167.0</v>
      </c>
      <c r="D589" s="96">
        <v>9.2408928E7</v>
      </c>
    </row>
    <row r="590">
      <c r="A590" s="93" t="str">
        <f t="shared" si="1"/>
        <v>220450063638279</v>
      </c>
      <c r="B590" s="94">
        <v>22.0</v>
      </c>
      <c r="C590" s="95">
        <v>45.0</v>
      </c>
      <c r="D590" s="96">
        <v>6.3638279E7</v>
      </c>
    </row>
    <row r="591">
      <c r="A591" s="93" t="str">
        <f t="shared" si="1"/>
        <v>130550080794468</v>
      </c>
      <c r="B591" s="94">
        <v>13.0</v>
      </c>
      <c r="C591" s="95">
        <v>55.0</v>
      </c>
      <c r="D591" s="96">
        <v>8.0794468E7</v>
      </c>
    </row>
    <row r="592">
      <c r="A592" s="93" t="str">
        <f t="shared" si="1"/>
        <v>020500029636726</v>
      </c>
      <c r="B592" s="94">
        <v>2.0</v>
      </c>
      <c r="C592" s="95">
        <v>50.0</v>
      </c>
      <c r="D592" s="96">
        <v>2.9636726E7</v>
      </c>
    </row>
    <row r="593">
      <c r="A593" s="93" t="str">
        <f t="shared" si="1"/>
        <v>130170036489566</v>
      </c>
      <c r="B593" s="94">
        <v>13.0</v>
      </c>
      <c r="C593" s="95">
        <v>17.0</v>
      </c>
      <c r="D593" s="96">
        <v>3.6489566E7</v>
      </c>
    </row>
    <row r="594">
      <c r="A594" s="93" t="str">
        <f t="shared" si="1"/>
        <v>311390011071233</v>
      </c>
      <c r="B594" s="94">
        <v>31.0</v>
      </c>
      <c r="C594" s="95">
        <v>139.0</v>
      </c>
      <c r="D594" s="96">
        <v>1.1071233E7</v>
      </c>
    </row>
    <row r="595">
      <c r="A595" s="93" t="str">
        <f t="shared" si="1"/>
        <v>291050032637391</v>
      </c>
      <c r="B595" s="94">
        <v>29.0</v>
      </c>
      <c r="C595" s="95">
        <v>105.0</v>
      </c>
      <c r="D595" s="96">
        <v>3.2637391E7</v>
      </c>
    </row>
    <row r="596">
      <c r="A596" s="93" t="str">
        <f t="shared" si="1"/>
        <v>461210044103211</v>
      </c>
      <c r="B596" s="94">
        <v>46.0</v>
      </c>
      <c r="C596" s="95">
        <v>121.0</v>
      </c>
      <c r="D596" s="96">
        <v>4.4103211E7</v>
      </c>
    </row>
    <row r="597">
      <c r="A597" s="93" t="str">
        <f t="shared" si="1"/>
        <v>517500028898613</v>
      </c>
      <c r="B597" s="94">
        <v>51.0</v>
      </c>
      <c r="C597" s="95">
        <v>750.0</v>
      </c>
      <c r="D597" s="96">
        <v>2.8898613E7</v>
      </c>
    </row>
    <row r="598">
      <c r="A598" s="93" t="str">
        <f t="shared" si="1"/>
        <v>220150047259687</v>
      </c>
      <c r="B598" s="94">
        <v>22.0</v>
      </c>
      <c r="C598" s="95">
        <v>15.0</v>
      </c>
      <c r="D598" s="96">
        <v>4.7259687E7</v>
      </c>
    </row>
    <row r="599">
      <c r="A599" s="93" t="str">
        <f t="shared" si="1"/>
        <v>280530027135045</v>
      </c>
      <c r="B599" s="94">
        <v>28.0</v>
      </c>
      <c r="C599" s="95">
        <v>53.0</v>
      </c>
      <c r="D599" s="96">
        <v>2.7135045E7</v>
      </c>
    </row>
    <row r="600">
      <c r="A600" s="93" t="str">
        <f t="shared" si="1"/>
        <v>310670075468018</v>
      </c>
      <c r="B600" s="94">
        <v>31.0</v>
      </c>
      <c r="C600" s="95">
        <v>67.0</v>
      </c>
      <c r="D600" s="96">
        <v>7.5468018E7</v>
      </c>
    </row>
    <row r="601">
      <c r="A601" s="93" t="str">
        <f t="shared" si="1"/>
        <v>410170033845262</v>
      </c>
      <c r="B601" s="94">
        <v>41.0</v>
      </c>
      <c r="C601" s="95">
        <v>17.0</v>
      </c>
      <c r="D601" s="96">
        <v>3.3845262E7</v>
      </c>
    </row>
    <row r="602">
      <c r="A602" s="93" t="str">
        <f t="shared" si="1"/>
        <v>211670053891132</v>
      </c>
      <c r="B602" s="94">
        <v>21.0</v>
      </c>
      <c r="C602" s="95">
        <v>167.0</v>
      </c>
      <c r="D602" s="96">
        <v>5.3891132E7</v>
      </c>
    </row>
    <row r="603">
      <c r="A603" s="93" t="str">
        <f t="shared" si="1"/>
        <v>211870092159547</v>
      </c>
      <c r="B603" s="94">
        <v>21.0</v>
      </c>
      <c r="C603" s="95">
        <v>187.0</v>
      </c>
      <c r="D603" s="96">
        <v>9.2159547E7</v>
      </c>
    </row>
    <row r="604">
      <c r="A604" s="93" t="str">
        <f t="shared" si="1"/>
        <v>011030029155874</v>
      </c>
      <c r="B604" s="94">
        <v>1.0</v>
      </c>
      <c r="C604" s="95">
        <v>103.0</v>
      </c>
      <c r="D604" s="96">
        <v>2.9155874E7</v>
      </c>
    </row>
    <row r="605">
      <c r="A605" s="93" t="str">
        <f t="shared" si="1"/>
        <v>271690079354329</v>
      </c>
      <c r="B605" s="94">
        <v>27.0</v>
      </c>
      <c r="C605" s="95">
        <v>169.0</v>
      </c>
      <c r="D605" s="96">
        <v>7.9354329E7</v>
      </c>
    </row>
    <row r="606">
      <c r="A606" s="93" t="str">
        <f t="shared" si="1"/>
        <v>280930049725296</v>
      </c>
      <c r="B606" s="94">
        <v>28.0</v>
      </c>
      <c r="C606" s="95">
        <v>93.0</v>
      </c>
      <c r="D606" s="96">
        <v>4.9725296E7</v>
      </c>
    </row>
    <row r="607">
      <c r="A607" s="93" t="str">
        <f t="shared" si="1"/>
        <v>310230052212869</v>
      </c>
      <c r="B607" s="94">
        <v>31.0</v>
      </c>
      <c r="C607" s="95">
        <v>23.0</v>
      </c>
      <c r="D607" s="96">
        <v>5.2212869E7</v>
      </c>
    </row>
    <row r="608">
      <c r="A608" s="93" t="str">
        <f t="shared" si="1"/>
        <v>470570021133679</v>
      </c>
      <c r="B608" s="94">
        <v>47.0</v>
      </c>
      <c r="C608" s="95">
        <v>57.0</v>
      </c>
      <c r="D608" s="96">
        <v>2.1133679E7</v>
      </c>
    </row>
    <row r="609">
      <c r="A609" s="93" t="str">
        <f t="shared" si="1"/>
        <v>350290057517614</v>
      </c>
      <c r="B609" s="94">
        <v>35.0</v>
      </c>
      <c r="C609" s="95">
        <v>29.0</v>
      </c>
      <c r="D609" s="96">
        <v>5.7517614E7</v>
      </c>
    </row>
    <row r="610">
      <c r="A610" s="93" t="str">
        <f t="shared" si="1"/>
        <v>010410033238755</v>
      </c>
      <c r="B610" s="94">
        <v>1.0</v>
      </c>
      <c r="C610" s="95">
        <v>41.0</v>
      </c>
      <c r="D610" s="96">
        <v>3.3238755E7</v>
      </c>
    </row>
    <row r="611">
      <c r="A611" s="93" t="str">
        <f t="shared" si="1"/>
        <v>471010039610056</v>
      </c>
      <c r="B611" s="94">
        <v>47.0</v>
      </c>
      <c r="C611" s="95">
        <v>101.0</v>
      </c>
      <c r="D611" s="96">
        <v>3.9610056E7</v>
      </c>
    </row>
    <row r="612">
      <c r="A612" s="93" t="str">
        <f t="shared" si="1"/>
        <v>340050034586750</v>
      </c>
      <c r="B612" s="94">
        <v>34.0</v>
      </c>
      <c r="C612" s="95">
        <v>5.0</v>
      </c>
      <c r="D612" s="96">
        <v>3.458675E7</v>
      </c>
    </row>
    <row r="613">
      <c r="A613" s="93" t="str">
        <f t="shared" si="1"/>
        <v>390750061514230</v>
      </c>
      <c r="B613" s="94">
        <v>39.0</v>
      </c>
      <c r="C613" s="95">
        <v>75.0</v>
      </c>
      <c r="D613" s="96">
        <v>6.151423E7</v>
      </c>
    </row>
    <row r="614">
      <c r="A614" s="93" t="str">
        <f t="shared" si="1"/>
        <v>171770059140953</v>
      </c>
      <c r="B614" s="94">
        <v>17.0</v>
      </c>
      <c r="C614" s="95">
        <v>177.0</v>
      </c>
      <c r="D614" s="96">
        <v>5.9140953E7</v>
      </c>
    </row>
    <row r="615">
      <c r="A615" s="93" t="str">
        <f t="shared" si="1"/>
        <v>483250049471204</v>
      </c>
      <c r="B615" s="94">
        <v>48.0</v>
      </c>
      <c r="C615" s="95">
        <v>325.0</v>
      </c>
      <c r="D615" s="96">
        <v>4.9471204E7</v>
      </c>
    </row>
    <row r="616">
      <c r="A616" s="93" t="str">
        <f t="shared" si="1"/>
        <v>500230096555690</v>
      </c>
      <c r="B616" s="94">
        <v>50.0</v>
      </c>
      <c r="C616" s="95">
        <v>23.0</v>
      </c>
      <c r="D616" s="96">
        <v>9.655569E7</v>
      </c>
    </row>
    <row r="617">
      <c r="A617" s="93" t="str">
        <f t="shared" si="1"/>
        <v>500090072002597</v>
      </c>
      <c r="B617" s="94">
        <v>50.0</v>
      </c>
      <c r="C617" s="95">
        <v>9.0</v>
      </c>
      <c r="D617" s="96">
        <v>7.2002597E7</v>
      </c>
    </row>
    <row r="618">
      <c r="A618" s="93" t="str">
        <f t="shared" si="1"/>
        <v>180950028058075</v>
      </c>
      <c r="B618" s="94">
        <v>18.0</v>
      </c>
      <c r="C618" s="95">
        <v>95.0</v>
      </c>
      <c r="D618" s="96">
        <v>2.8058075E7</v>
      </c>
    </row>
    <row r="619">
      <c r="A619" s="93" t="str">
        <f t="shared" si="1"/>
        <v>480470022936075</v>
      </c>
      <c r="B619" s="94">
        <v>48.0</v>
      </c>
      <c r="C619" s="95">
        <v>47.0</v>
      </c>
      <c r="D619" s="96">
        <v>2.2936075E7</v>
      </c>
    </row>
    <row r="620">
      <c r="A620" s="93" t="str">
        <f t="shared" si="1"/>
        <v>380570089791153</v>
      </c>
      <c r="B620" s="94">
        <v>38.0</v>
      </c>
      <c r="C620" s="95">
        <v>57.0</v>
      </c>
      <c r="D620" s="96">
        <v>8.9791153E7</v>
      </c>
    </row>
    <row r="621">
      <c r="A621" s="93" t="str">
        <f t="shared" si="1"/>
        <v>550790032903048</v>
      </c>
      <c r="B621" s="94">
        <v>55.0</v>
      </c>
      <c r="C621" s="95">
        <v>79.0</v>
      </c>
      <c r="D621" s="96">
        <v>3.2903048E7</v>
      </c>
    </row>
    <row r="622">
      <c r="A622" s="93" t="str">
        <f t="shared" si="1"/>
        <v>050510056055098</v>
      </c>
      <c r="B622" s="94">
        <v>5.0</v>
      </c>
      <c r="C622" s="95">
        <v>51.0</v>
      </c>
      <c r="D622" s="96">
        <v>5.6055098E7</v>
      </c>
    </row>
    <row r="623">
      <c r="A623" s="93" t="str">
        <f t="shared" si="1"/>
        <v>210570052795383</v>
      </c>
      <c r="B623" s="94">
        <v>21.0</v>
      </c>
      <c r="C623" s="95">
        <v>57.0</v>
      </c>
      <c r="D623" s="96">
        <v>5.2795383E7</v>
      </c>
    </row>
    <row r="624">
      <c r="A624" s="93" t="str">
        <f t="shared" si="1"/>
        <v>260110042591807</v>
      </c>
      <c r="B624" s="94">
        <v>26.0</v>
      </c>
      <c r="C624" s="95">
        <v>11.0</v>
      </c>
      <c r="D624" s="96">
        <v>4.2591807E7</v>
      </c>
    </row>
    <row r="625">
      <c r="A625" s="93" t="str">
        <f t="shared" si="1"/>
        <v>291850051258225</v>
      </c>
      <c r="B625" s="94">
        <v>29.0</v>
      </c>
      <c r="C625" s="95">
        <v>185.0</v>
      </c>
      <c r="D625" s="96">
        <v>5.1258225E7</v>
      </c>
    </row>
    <row r="626">
      <c r="A626" s="93" t="str">
        <f t="shared" si="1"/>
        <v>211750040776746</v>
      </c>
      <c r="B626" s="94">
        <v>21.0</v>
      </c>
      <c r="C626" s="95">
        <v>175.0</v>
      </c>
      <c r="D626" s="96">
        <v>4.0776746E7</v>
      </c>
    </row>
    <row r="627">
      <c r="A627" s="93" t="str">
        <f t="shared" si="1"/>
        <v>510530032767412</v>
      </c>
      <c r="B627" s="94">
        <v>51.0</v>
      </c>
      <c r="C627" s="95">
        <v>53.0</v>
      </c>
      <c r="D627" s="96">
        <v>3.2767412E7</v>
      </c>
    </row>
    <row r="628">
      <c r="A628" s="93" t="str">
        <f t="shared" si="1"/>
        <v>200650024895152</v>
      </c>
      <c r="B628" s="94">
        <v>20.0</v>
      </c>
      <c r="C628" s="95">
        <v>65.0</v>
      </c>
      <c r="D628" s="96">
        <v>2.4895152E7</v>
      </c>
    </row>
    <row r="629">
      <c r="A629" s="93" t="str">
        <f t="shared" si="1"/>
        <v>550430088029431</v>
      </c>
      <c r="B629" s="94">
        <v>55.0</v>
      </c>
      <c r="C629" s="95">
        <v>43.0</v>
      </c>
      <c r="D629" s="96">
        <v>8.8029431E7</v>
      </c>
    </row>
    <row r="630">
      <c r="A630" s="93" t="str">
        <f t="shared" si="1"/>
        <v>171310068478694</v>
      </c>
      <c r="B630" s="94">
        <v>17.0</v>
      </c>
      <c r="C630" s="95">
        <v>131.0</v>
      </c>
      <c r="D630" s="96">
        <v>6.8478694E7</v>
      </c>
    </row>
    <row r="631">
      <c r="A631" s="93" t="str">
        <f t="shared" si="1"/>
        <v>270150078646013</v>
      </c>
      <c r="B631" s="94">
        <v>27.0</v>
      </c>
      <c r="C631" s="95">
        <v>15.0</v>
      </c>
      <c r="D631" s="96">
        <v>7.8646013E7</v>
      </c>
    </row>
    <row r="632">
      <c r="A632" s="93" t="str">
        <f t="shared" si="1"/>
        <v>390930073326290</v>
      </c>
      <c r="B632" s="94">
        <v>39.0</v>
      </c>
      <c r="C632" s="95">
        <v>93.0</v>
      </c>
      <c r="D632" s="96">
        <v>7.332629E7</v>
      </c>
    </row>
    <row r="633">
      <c r="A633" s="93" t="str">
        <f t="shared" si="1"/>
        <v>420190059206083</v>
      </c>
      <c r="B633" s="94">
        <v>42.0</v>
      </c>
      <c r="C633" s="95">
        <v>19.0</v>
      </c>
      <c r="D633" s="96">
        <v>5.9206083E7</v>
      </c>
    </row>
    <row r="634">
      <c r="A634" s="93" t="str">
        <f t="shared" si="1"/>
        <v>480390094667598</v>
      </c>
      <c r="B634" s="94">
        <v>48.0</v>
      </c>
      <c r="C634" s="95">
        <v>39.0</v>
      </c>
      <c r="D634" s="96">
        <v>9.4667598E7</v>
      </c>
    </row>
    <row r="635">
      <c r="A635" s="93" t="str">
        <f t="shared" si="1"/>
        <v>131750078864668</v>
      </c>
      <c r="B635" s="94">
        <v>13.0</v>
      </c>
      <c r="C635" s="95">
        <v>175.0</v>
      </c>
      <c r="D635" s="96">
        <v>7.8864668E7</v>
      </c>
    </row>
    <row r="636">
      <c r="A636" s="93" t="str">
        <f t="shared" si="1"/>
        <v>131970010889306</v>
      </c>
      <c r="B636" s="94">
        <v>13.0</v>
      </c>
      <c r="C636" s="95">
        <v>197.0</v>
      </c>
      <c r="D636" s="96">
        <v>1.0889306E7</v>
      </c>
    </row>
    <row r="637">
      <c r="A637" s="93" t="str">
        <f t="shared" si="1"/>
        <v>500210098008756</v>
      </c>
      <c r="B637" s="94">
        <v>50.0</v>
      </c>
      <c r="C637" s="95">
        <v>21.0</v>
      </c>
      <c r="D637" s="96">
        <v>9.8008756E7</v>
      </c>
    </row>
    <row r="638">
      <c r="A638" s="93" t="str">
        <f t="shared" si="1"/>
        <v>380230072944448</v>
      </c>
      <c r="B638" s="94">
        <v>38.0</v>
      </c>
      <c r="C638" s="95">
        <v>23.0</v>
      </c>
      <c r="D638" s="96">
        <v>7.2944448E7</v>
      </c>
    </row>
    <row r="639">
      <c r="A639" s="93" t="str">
        <f t="shared" si="1"/>
        <v>131850023403811</v>
      </c>
      <c r="B639" s="94">
        <v>13.0</v>
      </c>
      <c r="C639" s="95">
        <v>185.0</v>
      </c>
      <c r="D639" s="96">
        <v>2.3403811E7</v>
      </c>
    </row>
    <row r="640">
      <c r="A640" s="93" t="str">
        <f t="shared" si="1"/>
        <v>310790071311178</v>
      </c>
      <c r="B640" s="94">
        <v>31.0</v>
      </c>
      <c r="C640" s="95">
        <v>79.0</v>
      </c>
      <c r="D640" s="96">
        <v>7.1311178E7</v>
      </c>
    </row>
    <row r="641">
      <c r="A641" s="93" t="str">
        <f t="shared" si="1"/>
        <v>270190076652698</v>
      </c>
      <c r="B641" s="94">
        <v>27.0</v>
      </c>
      <c r="C641" s="95">
        <v>19.0</v>
      </c>
      <c r="D641" s="96">
        <v>7.6652698E7</v>
      </c>
    </row>
    <row r="642">
      <c r="A642" s="93" t="str">
        <f t="shared" si="1"/>
        <v>130250088105983</v>
      </c>
      <c r="B642" s="94">
        <v>13.0</v>
      </c>
      <c r="C642" s="95">
        <v>25.0</v>
      </c>
      <c r="D642" s="96">
        <v>8.8105983E7</v>
      </c>
    </row>
    <row r="643">
      <c r="A643" s="93" t="str">
        <f t="shared" si="1"/>
        <v>160290052212060</v>
      </c>
      <c r="B643" s="94">
        <v>16.0</v>
      </c>
      <c r="C643" s="95">
        <v>29.0</v>
      </c>
      <c r="D643" s="96">
        <v>5.221206E7</v>
      </c>
    </row>
    <row r="644">
      <c r="A644" s="93" t="str">
        <f t="shared" si="1"/>
        <v>300570097770918</v>
      </c>
      <c r="B644" s="94">
        <v>30.0</v>
      </c>
      <c r="C644" s="95">
        <v>57.0</v>
      </c>
      <c r="D644" s="96">
        <v>9.7770918E7</v>
      </c>
    </row>
    <row r="645">
      <c r="A645" s="93" t="str">
        <f t="shared" si="1"/>
        <v>050630094805940</v>
      </c>
      <c r="B645" s="94">
        <v>5.0</v>
      </c>
      <c r="C645" s="95">
        <v>63.0</v>
      </c>
      <c r="D645" s="96">
        <v>9.480594E7</v>
      </c>
    </row>
    <row r="646">
      <c r="A646" s="93" t="str">
        <f t="shared" si="1"/>
        <v>311310051699802</v>
      </c>
      <c r="B646" s="94">
        <v>31.0</v>
      </c>
      <c r="C646" s="95">
        <v>131.0</v>
      </c>
      <c r="D646" s="96">
        <v>5.1699802E7</v>
      </c>
    </row>
    <row r="647">
      <c r="A647" s="93" t="str">
        <f t="shared" si="1"/>
        <v>201150081908437</v>
      </c>
      <c r="B647" s="94">
        <v>20.0</v>
      </c>
      <c r="C647" s="95">
        <v>115.0</v>
      </c>
      <c r="D647" s="96">
        <v>8.1908437E7</v>
      </c>
    </row>
    <row r="648">
      <c r="A648" s="93" t="str">
        <f t="shared" si="1"/>
        <v>132490059703472</v>
      </c>
      <c r="B648" s="94">
        <v>13.0</v>
      </c>
      <c r="C648" s="95">
        <v>249.0</v>
      </c>
      <c r="D648" s="96">
        <v>5.9703472E7</v>
      </c>
    </row>
    <row r="649">
      <c r="A649" s="93" t="str">
        <f t="shared" si="1"/>
        <v>380410069166809</v>
      </c>
      <c r="B649" s="94">
        <v>38.0</v>
      </c>
      <c r="C649" s="95">
        <v>41.0</v>
      </c>
      <c r="D649" s="96">
        <v>6.9166809E7</v>
      </c>
    </row>
    <row r="650">
      <c r="A650" s="93" t="str">
        <f t="shared" si="1"/>
        <v>291710079310189</v>
      </c>
      <c r="B650" s="94">
        <v>29.0</v>
      </c>
      <c r="C650" s="95">
        <v>171.0</v>
      </c>
      <c r="D650" s="96">
        <v>7.9310189E7</v>
      </c>
    </row>
    <row r="651">
      <c r="A651" s="93" t="str">
        <f t="shared" si="1"/>
        <v>361110012977886</v>
      </c>
      <c r="B651" s="94">
        <v>36.0</v>
      </c>
      <c r="C651" s="95">
        <v>111.0</v>
      </c>
      <c r="D651" s="96">
        <v>1.2977886E7</v>
      </c>
    </row>
    <row r="652">
      <c r="A652" s="93" t="str">
        <f t="shared" si="1"/>
        <v>191450054579248</v>
      </c>
      <c r="B652" s="94">
        <v>19.0</v>
      </c>
      <c r="C652" s="95">
        <v>145.0</v>
      </c>
      <c r="D652" s="96">
        <v>5.4579248E7</v>
      </c>
    </row>
    <row r="653">
      <c r="A653" s="93" t="str">
        <f t="shared" si="1"/>
        <v>090110016202808</v>
      </c>
      <c r="B653" s="94">
        <v>9.0</v>
      </c>
      <c r="C653" s="95">
        <v>11.0</v>
      </c>
      <c r="D653" s="96">
        <v>1.6202808E7</v>
      </c>
    </row>
    <row r="654">
      <c r="A654" s="93" t="str">
        <f t="shared" si="1"/>
        <v>280210020206089</v>
      </c>
      <c r="B654" s="94">
        <v>28.0</v>
      </c>
      <c r="C654" s="95">
        <v>21.0</v>
      </c>
      <c r="D654" s="96">
        <v>2.0206089E7</v>
      </c>
    </row>
    <row r="655">
      <c r="A655" s="93" t="str">
        <f t="shared" si="1"/>
        <v>311510017392188</v>
      </c>
      <c r="B655" s="94">
        <v>31.0</v>
      </c>
      <c r="C655" s="95">
        <v>151.0</v>
      </c>
      <c r="D655" s="96">
        <v>1.7392188E7</v>
      </c>
    </row>
    <row r="656">
      <c r="A656" s="93" t="str">
        <f t="shared" si="1"/>
        <v>060210083721445</v>
      </c>
      <c r="B656" s="94">
        <v>6.0</v>
      </c>
      <c r="C656" s="95">
        <v>21.0</v>
      </c>
      <c r="D656" s="96">
        <v>8.3721445E7</v>
      </c>
    </row>
    <row r="657">
      <c r="A657" s="93" t="str">
        <f t="shared" si="1"/>
        <v>482110073073303</v>
      </c>
      <c r="B657" s="94">
        <v>48.0</v>
      </c>
      <c r="C657" s="95">
        <v>211.0</v>
      </c>
      <c r="D657" s="96">
        <v>7.3073303E7</v>
      </c>
    </row>
    <row r="658">
      <c r="A658" s="93" t="str">
        <f t="shared" si="1"/>
        <v>061030084937321</v>
      </c>
      <c r="B658" s="94">
        <v>6.0</v>
      </c>
      <c r="C658" s="95">
        <v>103.0</v>
      </c>
      <c r="D658" s="96">
        <v>8.4937321E7</v>
      </c>
    </row>
    <row r="659">
      <c r="A659" s="93" t="str">
        <f t="shared" si="1"/>
        <v>400610059621068</v>
      </c>
      <c r="B659" s="94">
        <v>40.0</v>
      </c>
      <c r="C659" s="95">
        <v>61.0</v>
      </c>
      <c r="D659" s="96">
        <v>5.9621068E7</v>
      </c>
    </row>
    <row r="660">
      <c r="A660" s="93" t="str">
        <f t="shared" si="1"/>
        <v>320210048779032</v>
      </c>
      <c r="B660" s="94">
        <v>32.0</v>
      </c>
      <c r="C660" s="95">
        <v>21.0</v>
      </c>
      <c r="D660" s="96">
        <v>4.8779032E7</v>
      </c>
    </row>
    <row r="661">
      <c r="A661" s="93" t="str">
        <f t="shared" si="1"/>
        <v>260750024199994</v>
      </c>
      <c r="B661" s="94">
        <v>26.0</v>
      </c>
      <c r="C661" s="95">
        <v>75.0</v>
      </c>
      <c r="D661" s="96">
        <v>2.4199994E7</v>
      </c>
    </row>
    <row r="662">
      <c r="A662" s="93" t="str">
        <f t="shared" si="1"/>
        <v>371730080473986</v>
      </c>
      <c r="B662" s="94">
        <v>37.0</v>
      </c>
      <c r="C662" s="95">
        <v>173.0</v>
      </c>
      <c r="D662" s="96">
        <v>8.0473986E7</v>
      </c>
    </row>
    <row r="663">
      <c r="A663" s="93" t="str">
        <f t="shared" si="1"/>
        <v>170810066685281</v>
      </c>
      <c r="B663" s="94">
        <v>17.0</v>
      </c>
      <c r="C663" s="95">
        <v>81.0</v>
      </c>
      <c r="D663" s="96">
        <v>6.6685281E7</v>
      </c>
    </row>
    <row r="664">
      <c r="A664" s="93" t="str">
        <f t="shared" si="1"/>
        <v>410490084619318</v>
      </c>
      <c r="B664" s="94">
        <v>41.0</v>
      </c>
      <c r="C664" s="95">
        <v>49.0</v>
      </c>
      <c r="D664" s="96">
        <v>8.4619318E7</v>
      </c>
    </row>
    <row r="665">
      <c r="A665" s="93" t="str">
        <f t="shared" si="1"/>
        <v>180910035208268</v>
      </c>
      <c r="B665" s="94">
        <v>18.0</v>
      </c>
      <c r="C665" s="95">
        <v>91.0</v>
      </c>
      <c r="D665" s="96">
        <v>3.5208268E7</v>
      </c>
    </row>
    <row r="666">
      <c r="A666" s="93" t="str">
        <f t="shared" si="1"/>
        <v>212130031141474</v>
      </c>
      <c r="B666" s="94">
        <v>21.0</v>
      </c>
      <c r="C666" s="95">
        <v>213.0</v>
      </c>
      <c r="D666" s="96">
        <v>3.1141474E7</v>
      </c>
    </row>
    <row r="667">
      <c r="A667" s="93" t="str">
        <f t="shared" si="1"/>
        <v>210230030587792</v>
      </c>
      <c r="B667" s="94">
        <v>21.0</v>
      </c>
      <c r="C667" s="95">
        <v>23.0</v>
      </c>
      <c r="D667" s="96">
        <v>3.0587792E7</v>
      </c>
    </row>
    <row r="668">
      <c r="A668" s="93" t="str">
        <f t="shared" si="1"/>
        <v>081190096105324</v>
      </c>
      <c r="B668" s="94">
        <v>8.0</v>
      </c>
      <c r="C668" s="95">
        <v>119.0</v>
      </c>
      <c r="D668" s="96">
        <v>9.6105324E7</v>
      </c>
    </row>
    <row r="669">
      <c r="A669" s="93" t="str">
        <f t="shared" si="1"/>
        <v>450150069161482</v>
      </c>
      <c r="B669" s="94">
        <v>45.0</v>
      </c>
      <c r="C669" s="95">
        <v>15.0</v>
      </c>
      <c r="D669" s="96">
        <v>6.9161482E7</v>
      </c>
    </row>
    <row r="670">
      <c r="A670" s="93" t="str">
        <f t="shared" si="1"/>
        <v>410570060701378</v>
      </c>
      <c r="B670" s="94">
        <v>41.0</v>
      </c>
      <c r="C670" s="95">
        <v>57.0</v>
      </c>
      <c r="D670" s="96">
        <v>6.0701378E7</v>
      </c>
    </row>
    <row r="671">
      <c r="A671" s="93" t="str">
        <f t="shared" si="1"/>
        <v>080710075202084</v>
      </c>
      <c r="B671" s="94">
        <v>8.0</v>
      </c>
      <c r="C671" s="95">
        <v>71.0</v>
      </c>
      <c r="D671" s="96">
        <v>7.5202084E7</v>
      </c>
    </row>
    <row r="672">
      <c r="A672" s="93" t="str">
        <f t="shared" si="1"/>
        <v>371930017535711</v>
      </c>
      <c r="B672" s="94">
        <v>37.0</v>
      </c>
      <c r="C672" s="95">
        <v>193.0</v>
      </c>
      <c r="D672" s="96">
        <v>1.7535711E7</v>
      </c>
    </row>
    <row r="673">
      <c r="A673" s="93" t="str">
        <f t="shared" si="1"/>
        <v>380730050801681</v>
      </c>
      <c r="B673" s="94">
        <v>38.0</v>
      </c>
      <c r="C673" s="95">
        <v>73.0</v>
      </c>
      <c r="D673" s="96">
        <v>5.0801681E7</v>
      </c>
    </row>
    <row r="674">
      <c r="A674" s="93" t="str">
        <f t="shared" si="1"/>
        <v>311670026549869</v>
      </c>
      <c r="B674" s="94">
        <v>31.0</v>
      </c>
      <c r="C674" s="95">
        <v>167.0</v>
      </c>
      <c r="D674" s="96">
        <v>2.6549869E7</v>
      </c>
    </row>
    <row r="675">
      <c r="A675" s="93" t="str">
        <f t="shared" si="1"/>
        <v>450670096531390</v>
      </c>
      <c r="B675" s="94">
        <v>45.0</v>
      </c>
      <c r="C675" s="95">
        <v>67.0</v>
      </c>
      <c r="D675" s="96">
        <v>9.653139E7</v>
      </c>
    </row>
    <row r="676">
      <c r="A676" s="93" t="str">
        <f t="shared" si="1"/>
        <v>131150035219238</v>
      </c>
      <c r="B676" s="94">
        <v>13.0</v>
      </c>
      <c r="C676" s="95">
        <v>115.0</v>
      </c>
      <c r="D676" s="96">
        <v>3.5219238E7</v>
      </c>
    </row>
    <row r="677">
      <c r="A677" s="93" t="str">
        <f t="shared" si="1"/>
        <v>240410024727663</v>
      </c>
      <c r="B677" s="94">
        <v>24.0</v>
      </c>
      <c r="C677" s="95">
        <v>41.0</v>
      </c>
      <c r="D677" s="96">
        <v>2.4727663E7</v>
      </c>
    </row>
    <row r="678">
      <c r="A678" s="93" t="str">
        <f t="shared" si="1"/>
        <v>180150074865247</v>
      </c>
      <c r="B678" s="94">
        <v>18.0</v>
      </c>
      <c r="C678" s="95">
        <v>15.0</v>
      </c>
      <c r="D678" s="96">
        <v>7.4865247E7</v>
      </c>
    </row>
    <row r="679">
      <c r="A679" s="93" t="str">
        <f t="shared" si="1"/>
        <v>511350021690126</v>
      </c>
      <c r="B679" s="94">
        <v>51.0</v>
      </c>
      <c r="C679" s="95">
        <v>135.0</v>
      </c>
      <c r="D679" s="96">
        <v>2.1690126E7</v>
      </c>
    </row>
    <row r="680">
      <c r="A680" s="93" t="str">
        <f t="shared" si="1"/>
        <v>400590062130658</v>
      </c>
      <c r="B680" s="94">
        <v>40.0</v>
      </c>
      <c r="C680" s="95">
        <v>59.0</v>
      </c>
      <c r="D680" s="96">
        <v>6.2130658E7</v>
      </c>
    </row>
    <row r="681">
      <c r="A681" s="93" t="str">
        <f t="shared" si="1"/>
        <v>201970092930005</v>
      </c>
      <c r="B681" s="94">
        <v>20.0</v>
      </c>
      <c r="C681" s="95">
        <v>197.0</v>
      </c>
      <c r="D681" s="96">
        <v>9.2930005E7</v>
      </c>
    </row>
    <row r="682">
      <c r="A682" s="93" t="str">
        <f t="shared" si="1"/>
        <v>270950099691549</v>
      </c>
      <c r="B682" s="94">
        <v>27.0</v>
      </c>
      <c r="C682" s="95">
        <v>95.0</v>
      </c>
      <c r="D682" s="96">
        <v>9.9691549E7</v>
      </c>
    </row>
    <row r="683">
      <c r="A683" s="93" t="str">
        <f t="shared" si="1"/>
        <v>010470057597721</v>
      </c>
      <c r="B683" s="94">
        <v>1.0</v>
      </c>
      <c r="C683" s="95">
        <v>47.0</v>
      </c>
      <c r="D683" s="96">
        <v>5.7597721E7</v>
      </c>
    </row>
    <row r="684">
      <c r="A684" s="93" t="str">
        <f t="shared" si="1"/>
        <v>311610059390501</v>
      </c>
      <c r="B684" s="94">
        <v>31.0</v>
      </c>
      <c r="C684" s="95">
        <v>161.0</v>
      </c>
      <c r="D684" s="96">
        <v>5.9390501E7</v>
      </c>
    </row>
    <row r="685">
      <c r="A685" s="93" t="str">
        <f t="shared" si="1"/>
        <v>050110056019953</v>
      </c>
      <c r="B685" s="94">
        <v>5.0</v>
      </c>
      <c r="C685" s="95">
        <v>11.0</v>
      </c>
      <c r="D685" s="96">
        <v>5.6019953E7</v>
      </c>
    </row>
    <row r="686">
      <c r="A686" s="93" t="str">
        <f t="shared" si="1"/>
        <v>280750023955139</v>
      </c>
      <c r="B686" s="94">
        <v>28.0</v>
      </c>
      <c r="C686" s="95">
        <v>75.0</v>
      </c>
      <c r="D686" s="96">
        <v>2.3955139E7</v>
      </c>
    </row>
    <row r="687">
      <c r="A687" s="93" t="str">
        <f t="shared" si="1"/>
        <v>350310046180534</v>
      </c>
      <c r="B687" s="94">
        <v>35.0</v>
      </c>
      <c r="C687" s="95">
        <v>31.0</v>
      </c>
      <c r="D687" s="96">
        <v>4.6180534E7</v>
      </c>
    </row>
    <row r="688">
      <c r="A688" s="93" t="str">
        <f t="shared" si="1"/>
        <v>390270095045392</v>
      </c>
      <c r="B688" s="94">
        <v>39.0</v>
      </c>
      <c r="C688" s="95">
        <v>27.0</v>
      </c>
      <c r="D688" s="96">
        <v>9.5045392E7</v>
      </c>
    </row>
    <row r="689">
      <c r="A689" s="93" t="str">
        <f t="shared" si="1"/>
        <v>510410041038312</v>
      </c>
      <c r="B689" s="94">
        <v>51.0</v>
      </c>
      <c r="C689" s="95">
        <v>41.0</v>
      </c>
      <c r="D689" s="96">
        <v>4.1038312E7</v>
      </c>
    </row>
    <row r="690">
      <c r="A690" s="93" t="str">
        <f t="shared" si="1"/>
        <v>210510035612509</v>
      </c>
      <c r="B690" s="94">
        <v>21.0</v>
      </c>
      <c r="C690" s="95">
        <v>51.0</v>
      </c>
      <c r="D690" s="96">
        <v>3.5612509E7</v>
      </c>
    </row>
    <row r="691">
      <c r="A691" s="93" t="str">
        <f t="shared" si="1"/>
        <v>320310027651551</v>
      </c>
      <c r="B691" s="94">
        <v>32.0</v>
      </c>
      <c r="C691" s="95">
        <v>31.0</v>
      </c>
      <c r="D691" s="96">
        <v>2.7651551E7</v>
      </c>
    </row>
    <row r="692">
      <c r="A692" s="93" t="str">
        <f t="shared" si="1"/>
        <v>281390054573375</v>
      </c>
      <c r="B692" s="94">
        <v>28.0</v>
      </c>
      <c r="C692" s="95">
        <v>139.0</v>
      </c>
      <c r="D692" s="96">
        <v>5.4573375E7</v>
      </c>
    </row>
    <row r="693">
      <c r="A693" s="93" t="str">
        <f t="shared" si="1"/>
        <v>290190051751890</v>
      </c>
      <c r="B693" s="94">
        <v>29.0</v>
      </c>
      <c r="C693" s="95">
        <v>19.0</v>
      </c>
      <c r="D693" s="96">
        <v>5.175189E7</v>
      </c>
    </row>
    <row r="694">
      <c r="A694" s="93" t="str">
        <f t="shared" si="1"/>
        <v>371790080533683</v>
      </c>
      <c r="B694" s="94">
        <v>37.0</v>
      </c>
      <c r="C694" s="95">
        <v>179.0</v>
      </c>
      <c r="D694" s="96">
        <v>8.0533683E7</v>
      </c>
    </row>
    <row r="695">
      <c r="A695" s="93" t="str">
        <f t="shared" si="1"/>
        <v>180070075610058</v>
      </c>
      <c r="B695" s="94">
        <v>18.0</v>
      </c>
      <c r="C695" s="95">
        <v>7.0</v>
      </c>
      <c r="D695" s="96">
        <v>7.5610058E7</v>
      </c>
    </row>
    <row r="696">
      <c r="A696" s="93" t="str">
        <f t="shared" si="1"/>
        <v>171010028655123</v>
      </c>
      <c r="B696" s="94">
        <v>17.0</v>
      </c>
      <c r="C696" s="95">
        <v>101.0</v>
      </c>
      <c r="D696" s="96">
        <v>2.8655123E7</v>
      </c>
    </row>
    <row r="697">
      <c r="A697" s="93" t="str">
        <f t="shared" si="1"/>
        <v>400770044416698</v>
      </c>
      <c r="B697" s="94">
        <v>40.0</v>
      </c>
      <c r="C697" s="95">
        <v>77.0</v>
      </c>
      <c r="D697" s="96">
        <v>4.4416698E7</v>
      </c>
    </row>
    <row r="698">
      <c r="A698" s="93" t="str">
        <f t="shared" si="1"/>
        <v>130910029349848</v>
      </c>
      <c r="B698" s="94">
        <v>13.0</v>
      </c>
      <c r="C698" s="95">
        <v>91.0</v>
      </c>
      <c r="D698" s="96">
        <v>2.9349848E7</v>
      </c>
    </row>
    <row r="699">
      <c r="A699" s="93" t="str">
        <f t="shared" si="1"/>
        <v>010570034311926</v>
      </c>
      <c r="B699" s="94">
        <v>1.0</v>
      </c>
      <c r="C699" s="95">
        <v>57.0</v>
      </c>
      <c r="D699" s="96">
        <v>3.4311926E7</v>
      </c>
    </row>
    <row r="700">
      <c r="A700" s="93" t="str">
        <f t="shared" si="1"/>
        <v>290110053188969</v>
      </c>
      <c r="B700" s="94">
        <v>29.0</v>
      </c>
      <c r="C700" s="95">
        <v>11.0</v>
      </c>
      <c r="D700" s="96">
        <v>5.3188969E7</v>
      </c>
    </row>
    <row r="701">
      <c r="A701" s="93" t="str">
        <f t="shared" si="1"/>
        <v>550970025635484</v>
      </c>
      <c r="B701" s="94">
        <v>55.0</v>
      </c>
      <c r="C701" s="95">
        <v>97.0</v>
      </c>
      <c r="D701" s="96">
        <v>2.5635484E7</v>
      </c>
    </row>
    <row r="702">
      <c r="A702" s="93" t="str">
        <f t="shared" si="1"/>
        <v>420950069466022</v>
      </c>
      <c r="B702" s="94">
        <v>42.0</v>
      </c>
      <c r="C702" s="95">
        <v>95.0</v>
      </c>
      <c r="D702" s="96">
        <v>6.9466022E7</v>
      </c>
    </row>
    <row r="703">
      <c r="A703" s="93" t="str">
        <f t="shared" si="1"/>
        <v>250030096820940</v>
      </c>
      <c r="B703" s="94">
        <v>25.0</v>
      </c>
      <c r="C703" s="95">
        <v>3.0</v>
      </c>
      <c r="D703" s="96">
        <v>9.682094E7</v>
      </c>
    </row>
    <row r="704">
      <c r="A704" s="93" t="str">
        <f t="shared" si="1"/>
        <v>220570015432261</v>
      </c>
      <c r="B704" s="94">
        <v>22.0</v>
      </c>
      <c r="C704" s="95">
        <v>57.0</v>
      </c>
      <c r="D704" s="96">
        <v>1.5432261E7</v>
      </c>
    </row>
    <row r="705">
      <c r="A705" s="93" t="str">
        <f t="shared" si="1"/>
        <v>380550071115351</v>
      </c>
      <c r="B705" s="94">
        <v>38.0</v>
      </c>
      <c r="C705" s="95">
        <v>55.0</v>
      </c>
      <c r="D705" s="96">
        <v>7.1115351E7</v>
      </c>
    </row>
    <row r="706">
      <c r="A706" s="93" t="str">
        <f t="shared" si="1"/>
        <v>200030092992249</v>
      </c>
      <c r="B706" s="94">
        <v>20.0</v>
      </c>
      <c r="C706" s="95">
        <v>3.0</v>
      </c>
      <c r="D706" s="96">
        <v>9.2992249E7</v>
      </c>
    </row>
    <row r="707">
      <c r="A707" s="93" t="str">
        <f t="shared" si="1"/>
        <v>202010028654046</v>
      </c>
      <c r="B707" s="94">
        <v>20.0</v>
      </c>
      <c r="C707" s="95">
        <v>201.0</v>
      </c>
      <c r="D707" s="96">
        <v>2.8654046E7</v>
      </c>
    </row>
    <row r="708">
      <c r="A708" s="93" t="str">
        <f t="shared" si="1"/>
        <v>010450071622560</v>
      </c>
      <c r="B708" s="94">
        <v>1.0</v>
      </c>
      <c r="C708" s="95">
        <v>45.0</v>
      </c>
      <c r="D708" s="96">
        <v>7.162256E7</v>
      </c>
    </row>
    <row r="709">
      <c r="A709" s="93" t="str">
        <f t="shared" si="1"/>
        <v>470190042244831</v>
      </c>
      <c r="B709" s="94">
        <v>47.0</v>
      </c>
      <c r="C709" s="95">
        <v>19.0</v>
      </c>
      <c r="D709" s="96">
        <v>4.2244831E7</v>
      </c>
    </row>
    <row r="710">
      <c r="A710" s="93" t="str">
        <f t="shared" si="1"/>
        <v>191270054917549</v>
      </c>
      <c r="B710" s="94">
        <v>19.0</v>
      </c>
      <c r="C710" s="95">
        <v>127.0</v>
      </c>
      <c r="D710" s="96">
        <v>5.4917549E7</v>
      </c>
    </row>
    <row r="711">
      <c r="A711" s="93" t="str">
        <f t="shared" si="1"/>
        <v>260250074655144</v>
      </c>
      <c r="B711" s="94">
        <v>26.0</v>
      </c>
      <c r="C711" s="95">
        <v>25.0</v>
      </c>
      <c r="D711" s="96">
        <v>7.4655144E7</v>
      </c>
    </row>
    <row r="712">
      <c r="A712" s="93" t="str">
        <f t="shared" si="1"/>
        <v>450690047218193</v>
      </c>
      <c r="B712" s="94">
        <v>45.0</v>
      </c>
      <c r="C712" s="95">
        <v>69.0</v>
      </c>
      <c r="D712" s="96">
        <v>4.7218193E7</v>
      </c>
    </row>
    <row r="713">
      <c r="A713" s="93" t="str">
        <f t="shared" si="1"/>
        <v>460270021886415</v>
      </c>
      <c r="B713" s="94">
        <v>46.0</v>
      </c>
      <c r="C713" s="95">
        <v>27.0</v>
      </c>
      <c r="D713" s="96">
        <v>2.1886415E7</v>
      </c>
    </row>
    <row r="714">
      <c r="A714" s="93" t="str">
        <f t="shared" si="1"/>
        <v>050050049988195</v>
      </c>
      <c r="B714" s="94">
        <v>5.0</v>
      </c>
      <c r="C714" s="95">
        <v>5.0</v>
      </c>
      <c r="D714" s="96">
        <v>4.9988195E7</v>
      </c>
    </row>
    <row r="715">
      <c r="A715" s="93" t="str">
        <f t="shared" si="1"/>
        <v>060770038773921</v>
      </c>
      <c r="B715" s="94">
        <v>6.0</v>
      </c>
      <c r="C715" s="95">
        <v>77.0</v>
      </c>
      <c r="D715" s="96">
        <v>3.8773921E7</v>
      </c>
    </row>
    <row r="716">
      <c r="A716" s="93" t="str">
        <f t="shared" si="1"/>
        <v>300070033424426</v>
      </c>
      <c r="B716" s="94">
        <v>30.0</v>
      </c>
      <c r="C716" s="95">
        <v>7.0</v>
      </c>
      <c r="D716" s="96">
        <v>3.3424426E7</v>
      </c>
    </row>
    <row r="717">
      <c r="A717" s="93" t="str">
        <f t="shared" si="1"/>
        <v>360610089789675</v>
      </c>
      <c r="B717" s="94">
        <v>36.0</v>
      </c>
      <c r="C717" s="95">
        <v>61.0</v>
      </c>
      <c r="D717" s="96">
        <v>8.9789675E7</v>
      </c>
    </row>
    <row r="718">
      <c r="A718" s="93" t="str">
        <f t="shared" si="1"/>
        <v>511770060056237</v>
      </c>
      <c r="B718" s="94">
        <v>51.0</v>
      </c>
      <c r="C718" s="95">
        <v>177.0</v>
      </c>
      <c r="D718" s="96">
        <v>6.0056237E7</v>
      </c>
    </row>
    <row r="719">
      <c r="A719" s="93" t="str">
        <f t="shared" si="1"/>
        <v>080450058453434</v>
      </c>
      <c r="B719" s="94">
        <v>8.0</v>
      </c>
      <c r="C719" s="95">
        <v>45.0</v>
      </c>
      <c r="D719" s="96">
        <v>5.8453434E7</v>
      </c>
    </row>
    <row r="720">
      <c r="A720" s="93" t="str">
        <f t="shared" si="1"/>
        <v>400790053035618</v>
      </c>
      <c r="B720" s="94">
        <v>40.0</v>
      </c>
      <c r="C720" s="95">
        <v>79.0</v>
      </c>
      <c r="D720" s="96">
        <v>5.3035618E7</v>
      </c>
    </row>
    <row r="721">
      <c r="A721" s="93" t="str">
        <f t="shared" si="1"/>
        <v>470390039973537</v>
      </c>
      <c r="B721" s="94">
        <v>47.0</v>
      </c>
      <c r="C721" s="95">
        <v>39.0</v>
      </c>
      <c r="D721" s="96">
        <v>3.9973537E7</v>
      </c>
    </row>
    <row r="722">
      <c r="A722" s="93" t="str">
        <f t="shared" si="1"/>
        <v>400030088697332</v>
      </c>
      <c r="B722" s="94">
        <v>40.0</v>
      </c>
      <c r="C722" s="95">
        <v>3.0</v>
      </c>
      <c r="D722" s="96">
        <v>8.8697332E7</v>
      </c>
    </row>
    <row r="723">
      <c r="A723" s="93" t="str">
        <f t="shared" si="1"/>
        <v>181510097889194</v>
      </c>
      <c r="B723" s="94">
        <v>18.0</v>
      </c>
      <c r="C723" s="95">
        <v>151.0</v>
      </c>
      <c r="D723" s="96">
        <v>9.7889194E7</v>
      </c>
    </row>
    <row r="724">
      <c r="A724" s="93" t="str">
        <f t="shared" si="1"/>
        <v>011230033216617</v>
      </c>
      <c r="B724" s="94">
        <v>1.0</v>
      </c>
      <c r="C724" s="95">
        <v>123.0</v>
      </c>
      <c r="D724" s="96">
        <v>3.3216617E7</v>
      </c>
    </row>
    <row r="725">
      <c r="A725" s="93" t="str">
        <f t="shared" si="1"/>
        <v>281130014861560</v>
      </c>
      <c r="B725" s="94">
        <v>28.0</v>
      </c>
      <c r="C725" s="95">
        <v>113.0</v>
      </c>
      <c r="D725" s="96">
        <v>1.486156E7</v>
      </c>
    </row>
    <row r="726">
      <c r="A726" s="93" t="str">
        <f t="shared" si="1"/>
        <v>311370036606107</v>
      </c>
      <c r="B726" s="94">
        <v>31.0</v>
      </c>
      <c r="C726" s="95">
        <v>137.0</v>
      </c>
      <c r="D726" s="96">
        <v>3.6606107E7</v>
      </c>
    </row>
    <row r="727">
      <c r="A727" s="93" t="str">
        <f t="shared" si="1"/>
        <v>290710034168431</v>
      </c>
      <c r="B727" s="94">
        <v>29.0</v>
      </c>
      <c r="C727" s="95">
        <v>71.0</v>
      </c>
      <c r="D727" s="96">
        <v>3.4168431E7</v>
      </c>
    </row>
    <row r="728">
      <c r="A728" s="93" t="str">
        <f t="shared" si="1"/>
        <v>480150082691513</v>
      </c>
      <c r="B728" s="94">
        <v>48.0</v>
      </c>
      <c r="C728" s="95">
        <v>15.0</v>
      </c>
      <c r="D728" s="96">
        <v>8.2691513E7</v>
      </c>
    </row>
    <row r="729">
      <c r="A729" s="93" t="str">
        <f t="shared" si="1"/>
        <v>483230061905259</v>
      </c>
      <c r="B729" s="94">
        <v>48.0</v>
      </c>
      <c r="C729" s="95">
        <v>323.0</v>
      </c>
      <c r="D729" s="96">
        <v>6.1905259E7</v>
      </c>
    </row>
    <row r="730">
      <c r="A730" s="93" t="str">
        <f t="shared" si="1"/>
        <v>130530010642100</v>
      </c>
      <c r="B730" s="94">
        <v>13.0</v>
      </c>
      <c r="C730" s="95">
        <v>53.0</v>
      </c>
      <c r="D730" s="96">
        <v>1.06421E7</v>
      </c>
    </row>
    <row r="731">
      <c r="A731" s="93" t="str">
        <f t="shared" si="1"/>
        <v>080170035201287</v>
      </c>
      <c r="B731" s="94">
        <v>8.0</v>
      </c>
      <c r="C731" s="95">
        <v>17.0</v>
      </c>
      <c r="D731" s="96">
        <v>3.5201287E7</v>
      </c>
    </row>
    <row r="732">
      <c r="A732" s="93" t="str">
        <f t="shared" si="1"/>
        <v>450650048669111</v>
      </c>
      <c r="B732" s="94">
        <v>45.0</v>
      </c>
      <c r="C732" s="95">
        <v>65.0</v>
      </c>
      <c r="D732" s="96">
        <v>4.8669111E7</v>
      </c>
    </row>
    <row r="733">
      <c r="A733" s="93" t="str">
        <f t="shared" si="1"/>
        <v>390490040457561</v>
      </c>
      <c r="B733" s="94">
        <v>39.0</v>
      </c>
      <c r="C733" s="95">
        <v>49.0</v>
      </c>
      <c r="D733" s="96">
        <v>4.0457561E7</v>
      </c>
    </row>
    <row r="734">
      <c r="A734" s="93" t="str">
        <f t="shared" si="1"/>
        <v>120270012218461</v>
      </c>
      <c r="B734" s="94">
        <v>12.0</v>
      </c>
      <c r="C734" s="95">
        <v>27.0</v>
      </c>
      <c r="D734" s="96">
        <v>1.2218461E7</v>
      </c>
    </row>
    <row r="735">
      <c r="A735" s="93" t="str">
        <f t="shared" si="1"/>
        <v>280510056618755</v>
      </c>
      <c r="B735" s="94">
        <v>28.0</v>
      </c>
      <c r="C735" s="95">
        <v>51.0</v>
      </c>
      <c r="D735" s="96">
        <v>5.6618755E7</v>
      </c>
    </row>
    <row r="736">
      <c r="A736" s="93" t="str">
        <f t="shared" si="1"/>
        <v>500050054688997</v>
      </c>
      <c r="B736" s="94">
        <v>50.0</v>
      </c>
      <c r="C736" s="95">
        <v>5.0</v>
      </c>
      <c r="D736" s="96">
        <v>5.4688997E7</v>
      </c>
    </row>
    <row r="737">
      <c r="A737" s="93" t="str">
        <f t="shared" si="1"/>
        <v>420650048823890</v>
      </c>
      <c r="B737" s="94">
        <v>42.0</v>
      </c>
      <c r="C737" s="95">
        <v>65.0</v>
      </c>
      <c r="D737" s="96">
        <v>4.882389E7</v>
      </c>
    </row>
    <row r="738">
      <c r="A738" s="93" t="str">
        <f t="shared" si="1"/>
        <v>370710072312159</v>
      </c>
      <c r="B738" s="94">
        <v>37.0</v>
      </c>
      <c r="C738" s="95">
        <v>71.0</v>
      </c>
      <c r="D738" s="96">
        <v>7.2312159E7</v>
      </c>
    </row>
    <row r="739">
      <c r="A739" s="93" t="str">
        <f t="shared" si="1"/>
        <v>060890041897458</v>
      </c>
      <c r="B739" s="94">
        <v>6.0</v>
      </c>
      <c r="C739" s="95">
        <v>89.0</v>
      </c>
      <c r="D739" s="96">
        <v>4.1897458E7</v>
      </c>
    </row>
    <row r="740">
      <c r="A740" s="93" t="str">
        <f t="shared" si="1"/>
        <v>540470064941812</v>
      </c>
      <c r="B740" s="94">
        <v>54.0</v>
      </c>
      <c r="C740" s="95">
        <v>47.0</v>
      </c>
      <c r="D740" s="96">
        <v>6.4941812E7</v>
      </c>
    </row>
    <row r="741">
      <c r="A741" s="93" t="str">
        <f t="shared" si="1"/>
        <v>550890059665777</v>
      </c>
      <c r="B741" s="94">
        <v>55.0</v>
      </c>
      <c r="C741" s="95">
        <v>89.0</v>
      </c>
      <c r="D741" s="96">
        <v>5.9665777E7</v>
      </c>
    </row>
    <row r="742">
      <c r="A742" s="93" t="str">
        <f t="shared" si="1"/>
        <v>410130063394952</v>
      </c>
      <c r="B742" s="94">
        <v>41.0</v>
      </c>
      <c r="C742" s="95">
        <v>13.0</v>
      </c>
      <c r="D742" s="96">
        <v>6.3394952E7</v>
      </c>
    </row>
    <row r="743">
      <c r="A743" s="93" t="str">
        <f t="shared" si="1"/>
        <v>291570013747808</v>
      </c>
      <c r="B743" s="94">
        <v>29.0</v>
      </c>
      <c r="C743" s="95">
        <v>157.0</v>
      </c>
      <c r="D743" s="96">
        <v>1.3747808E7</v>
      </c>
    </row>
    <row r="744">
      <c r="A744" s="93" t="str">
        <f t="shared" si="1"/>
        <v>360990028069411</v>
      </c>
      <c r="B744" s="94">
        <v>36.0</v>
      </c>
      <c r="C744" s="95">
        <v>99.0</v>
      </c>
      <c r="D744" s="96">
        <v>2.8069411E7</v>
      </c>
    </row>
    <row r="745">
      <c r="A745" s="93" t="str">
        <f t="shared" si="1"/>
        <v>470170059918271</v>
      </c>
      <c r="B745" s="94">
        <v>47.0</v>
      </c>
      <c r="C745" s="95">
        <v>17.0</v>
      </c>
      <c r="D745" s="96">
        <v>5.9918271E7</v>
      </c>
    </row>
    <row r="746">
      <c r="A746" s="93" t="str">
        <f t="shared" si="1"/>
        <v>481190039404755</v>
      </c>
      <c r="B746" s="94">
        <v>48.0</v>
      </c>
      <c r="C746" s="95">
        <v>119.0</v>
      </c>
      <c r="D746" s="96">
        <v>3.9404755E7</v>
      </c>
    </row>
    <row r="747">
      <c r="A747" s="93" t="str">
        <f t="shared" si="1"/>
        <v>160190051165908</v>
      </c>
      <c r="B747" s="94">
        <v>16.0</v>
      </c>
      <c r="C747" s="95">
        <v>19.0</v>
      </c>
      <c r="D747" s="96">
        <v>5.1165908E7</v>
      </c>
    </row>
    <row r="748">
      <c r="A748" s="93" t="str">
        <f t="shared" si="1"/>
        <v>060550064659856</v>
      </c>
      <c r="B748" s="94">
        <v>6.0</v>
      </c>
      <c r="C748" s="95">
        <v>55.0</v>
      </c>
      <c r="D748" s="96">
        <v>6.4659856E7</v>
      </c>
    </row>
    <row r="749">
      <c r="A749" s="93" t="str">
        <f t="shared" si="1"/>
        <v>401150049579507</v>
      </c>
      <c r="B749" s="94">
        <v>40.0</v>
      </c>
      <c r="C749" s="95">
        <v>115.0</v>
      </c>
      <c r="D749" s="96">
        <v>4.9579507E7</v>
      </c>
    </row>
    <row r="750">
      <c r="A750" s="93" t="str">
        <f t="shared" si="1"/>
        <v>420070055796615</v>
      </c>
      <c r="B750" s="94">
        <v>42.0</v>
      </c>
      <c r="C750" s="95">
        <v>7.0</v>
      </c>
      <c r="D750" s="96">
        <v>5.5796615E7</v>
      </c>
    </row>
    <row r="751">
      <c r="A751" s="93" t="str">
        <f t="shared" si="1"/>
        <v>200710079554903</v>
      </c>
      <c r="B751" s="94">
        <v>20.0</v>
      </c>
      <c r="C751" s="95">
        <v>71.0</v>
      </c>
      <c r="D751" s="96">
        <v>7.9554903E7</v>
      </c>
    </row>
    <row r="752">
      <c r="A752" s="93" t="str">
        <f t="shared" si="1"/>
        <v>191330096876870</v>
      </c>
      <c r="B752" s="94">
        <v>19.0</v>
      </c>
      <c r="C752" s="95">
        <v>133.0</v>
      </c>
      <c r="D752" s="96">
        <v>9.687687E7</v>
      </c>
    </row>
    <row r="753">
      <c r="A753" s="93" t="str">
        <f t="shared" si="1"/>
        <v>170250028152770</v>
      </c>
      <c r="B753" s="94">
        <v>17.0</v>
      </c>
      <c r="C753" s="95">
        <v>25.0</v>
      </c>
      <c r="D753" s="96">
        <v>2.815277E7</v>
      </c>
    </row>
    <row r="754">
      <c r="A754" s="93" t="str">
        <f t="shared" si="1"/>
        <v>410230020225580</v>
      </c>
      <c r="B754" s="94">
        <v>41.0</v>
      </c>
      <c r="C754" s="95">
        <v>23.0</v>
      </c>
      <c r="D754" s="96">
        <v>2.022558E7</v>
      </c>
    </row>
    <row r="755">
      <c r="A755" s="93" t="str">
        <f t="shared" si="1"/>
        <v>180810053790658</v>
      </c>
      <c r="B755" s="94">
        <v>18.0</v>
      </c>
      <c r="C755" s="95">
        <v>81.0</v>
      </c>
      <c r="D755" s="96">
        <v>5.3790658E7</v>
      </c>
    </row>
    <row r="756">
      <c r="A756" s="93" t="str">
        <f t="shared" si="1"/>
        <v>060350066847732</v>
      </c>
      <c r="B756" s="94">
        <v>6.0</v>
      </c>
      <c r="C756" s="95">
        <v>35.0</v>
      </c>
      <c r="D756" s="96">
        <v>6.6847732E7</v>
      </c>
    </row>
    <row r="757">
      <c r="A757" s="93" t="str">
        <f t="shared" si="1"/>
        <v>061090040285502</v>
      </c>
      <c r="B757" s="94">
        <v>6.0</v>
      </c>
      <c r="C757" s="95">
        <v>109.0</v>
      </c>
      <c r="D757" s="96">
        <v>4.0285502E7</v>
      </c>
    </row>
    <row r="758">
      <c r="A758" s="93" t="str">
        <f t="shared" si="1"/>
        <v>010070012604516</v>
      </c>
      <c r="B758" s="94">
        <v>1.0</v>
      </c>
      <c r="C758" s="95">
        <v>7.0</v>
      </c>
      <c r="D758" s="96">
        <v>1.2604516E7</v>
      </c>
    </row>
    <row r="759">
      <c r="A759" s="93" t="str">
        <f t="shared" si="1"/>
        <v>482210054494075</v>
      </c>
      <c r="B759" s="94">
        <v>48.0</v>
      </c>
      <c r="C759" s="95">
        <v>221.0</v>
      </c>
      <c r="D759" s="96">
        <v>5.4494075E7</v>
      </c>
    </row>
    <row r="760">
      <c r="A760" s="93" t="str">
        <f t="shared" si="1"/>
        <v>190850050025031</v>
      </c>
      <c r="B760" s="94">
        <v>19.0</v>
      </c>
      <c r="C760" s="95">
        <v>85.0</v>
      </c>
      <c r="D760" s="96">
        <v>5.0025031E7</v>
      </c>
    </row>
    <row r="761">
      <c r="A761" s="93" t="str">
        <f t="shared" si="1"/>
        <v>210910024595697</v>
      </c>
      <c r="B761" s="94">
        <v>21.0</v>
      </c>
      <c r="C761" s="95">
        <v>91.0</v>
      </c>
      <c r="D761" s="96">
        <v>2.4595697E7</v>
      </c>
    </row>
    <row r="762">
      <c r="A762" s="93" t="str">
        <f t="shared" si="1"/>
        <v>211110081926045</v>
      </c>
      <c r="B762" s="94">
        <v>21.0</v>
      </c>
      <c r="C762" s="95">
        <v>111.0</v>
      </c>
      <c r="D762" s="96">
        <v>8.1926045E7</v>
      </c>
    </row>
    <row r="763">
      <c r="A763" s="93" t="str">
        <f t="shared" si="1"/>
        <v>060970072331957</v>
      </c>
      <c r="B763" s="94">
        <v>6.0</v>
      </c>
      <c r="C763" s="95">
        <v>97.0</v>
      </c>
      <c r="D763" s="96">
        <v>7.2331957E7</v>
      </c>
    </row>
    <row r="764">
      <c r="A764" s="93" t="str">
        <f t="shared" si="1"/>
        <v>280610046575368</v>
      </c>
      <c r="B764" s="94">
        <v>28.0</v>
      </c>
      <c r="C764" s="95">
        <v>61.0</v>
      </c>
      <c r="D764" s="96">
        <v>4.6575368E7</v>
      </c>
    </row>
    <row r="765">
      <c r="A765" s="93" t="str">
        <f t="shared" si="1"/>
        <v>200090073324617</v>
      </c>
      <c r="B765" s="94">
        <v>20.0</v>
      </c>
      <c r="C765" s="95">
        <v>9.0</v>
      </c>
      <c r="D765" s="96">
        <v>7.3324617E7</v>
      </c>
    </row>
    <row r="766">
      <c r="A766" s="93" t="str">
        <f t="shared" si="1"/>
        <v>010150098228227</v>
      </c>
      <c r="B766" s="94">
        <v>1.0</v>
      </c>
      <c r="C766" s="95">
        <v>15.0</v>
      </c>
      <c r="D766" s="96">
        <v>9.8228227E7</v>
      </c>
    </row>
    <row r="767">
      <c r="A767" s="93" t="str">
        <f t="shared" si="1"/>
        <v>471290084566993</v>
      </c>
      <c r="B767" s="94">
        <v>47.0</v>
      </c>
      <c r="C767" s="95">
        <v>129.0</v>
      </c>
      <c r="D767" s="96">
        <v>8.4566993E7</v>
      </c>
    </row>
    <row r="768">
      <c r="A768" s="93" t="str">
        <f t="shared" si="1"/>
        <v>360510057613558</v>
      </c>
      <c r="B768" s="94">
        <v>36.0</v>
      </c>
      <c r="C768" s="95">
        <v>51.0</v>
      </c>
      <c r="D768" s="96">
        <v>5.7613558E7</v>
      </c>
    </row>
    <row r="769">
      <c r="A769" s="93" t="str">
        <f t="shared" si="1"/>
        <v>050170053656503</v>
      </c>
      <c r="B769" s="94">
        <v>5.0</v>
      </c>
      <c r="C769" s="95">
        <v>17.0</v>
      </c>
      <c r="D769" s="96">
        <v>5.3656503E7</v>
      </c>
    </row>
    <row r="770">
      <c r="A770" s="93" t="str">
        <f t="shared" si="1"/>
        <v>290450044400393</v>
      </c>
      <c r="B770" s="94">
        <v>29.0</v>
      </c>
      <c r="C770" s="95">
        <v>45.0</v>
      </c>
      <c r="D770" s="96">
        <v>4.4400393E7</v>
      </c>
    </row>
    <row r="771">
      <c r="A771" s="93" t="str">
        <f t="shared" si="1"/>
        <v>510010023169478</v>
      </c>
      <c r="B771" s="94">
        <v>51.0</v>
      </c>
      <c r="C771" s="95">
        <v>1.0</v>
      </c>
      <c r="D771" s="96">
        <v>2.3169478E7</v>
      </c>
    </row>
    <row r="772">
      <c r="A772" s="93" t="str">
        <f t="shared" si="1"/>
        <v>160510035630709</v>
      </c>
      <c r="B772" s="94">
        <v>16.0</v>
      </c>
      <c r="C772" s="95">
        <v>51.0</v>
      </c>
      <c r="D772" s="96">
        <v>3.5630709E7</v>
      </c>
    </row>
    <row r="773">
      <c r="A773" s="93" t="str">
        <f t="shared" si="1"/>
        <v>483630088633442</v>
      </c>
      <c r="B773" s="94">
        <v>48.0</v>
      </c>
      <c r="C773" s="95">
        <v>363.0</v>
      </c>
      <c r="D773" s="96">
        <v>8.8633442E7</v>
      </c>
    </row>
    <row r="774">
      <c r="A774" s="93" t="str">
        <f t="shared" si="1"/>
        <v>210130026062823</v>
      </c>
      <c r="B774" s="94">
        <v>21.0</v>
      </c>
      <c r="C774" s="95">
        <v>13.0</v>
      </c>
      <c r="D774" s="96">
        <v>2.6062823E7</v>
      </c>
    </row>
    <row r="775">
      <c r="A775" s="93" t="str">
        <f t="shared" si="1"/>
        <v>510030037139114</v>
      </c>
      <c r="B775" s="94">
        <v>51.0</v>
      </c>
      <c r="C775" s="95">
        <v>3.0</v>
      </c>
      <c r="D775" s="96">
        <v>3.7139114E7</v>
      </c>
    </row>
    <row r="776">
      <c r="A776" s="93" t="str">
        <f t="shared" si="1"/>
        <v>022320081977914</v>
      </c>
      <c r="B776" s="94">
        <v>2.0</v>
      </c>
      <c r="C776" s="95">
        <v>232.0</v>
      </c>
      <c r="D776" s="96">
        <v>8.1977914E7</v>
      </c>
    </row>
    <row r="777">
      <c r="A777" s="93" t="str">
        <f t="shared" si="1"/>
        <v>210590038117300</v>
      </c>
      <c r="B777" s="94">
        <v>21.0</v>
      </c>
      <c r="C777" s="95">
        <v>59.0</v>
      </c>
      <c r="D777" s="96">
        <v>3.81173E7</v>
      </c>
    </row>
    <row r="778">
      <c r="A778" s="93" t="str">
        <f t="shared" si="1"/>
        <v>481830050094739</v>
      </c>
      <c r="B778" s="94">
        <v>48.0</v>
      </c>
      <c r="C778" s="95">
        <v>183.0</v>
      </c>
      <c r="D778" s="96">
        <v>5.0094739E7</v>
      </c>
    </row>
    <row r="779">
      <c r="A779" s="93" t="str">
        <f t="shared" si="1"/>
        <v>400450070110388</v>
      </c>
      <c r="B779" s="94">
        <v>40.0</v>
      </c>
      <c r="C779" s="95">
        <v>45.0</v>
      </c>
      <c r="D779" s="96">
        <v>7.0110388E7</v>
      </c>
    </row>
    <row r="780">
      <c r="A780" s="93" t="str">
        <f t="shared" si="1"/>
        <v>510570065010306</v>
      </c>
      <c r="B780" s="94">
        <v>51.0</v>
      </c>
      <c r="C780" s="95">
        <v>57.0</v>
      </c>
      <c r="D780" s="96">
        <v>6.5010306E7</v>
      </c>
    </row>
    <row r="781">
      <c r="A781" s="93" t="str">
        <f t="shared" si="1"/>
        <v>510470087339060</v>
      </c>
      <c r="B781" s="94">
        <v>51.0</v>
      </c>
      <c r="C781" s="95">
        <v>47.0</v>
      </c>
      <c r="D781" s="96">
        <v>8.733906E7</v>
      </c>
    </row>
    <row r="782">
      <c r="A782" s="93" t="str">
        <f t="shared" si="1"/>
        <v>511650026994136</v>
      </c>
      <c r="B782" s="94">
        <v>51.0</v>
      </c>
      <c r="C782" s="95">
        <v>165.0</v>
      </c>
      <c r="D782" s="96">
        <v>2.6994136E7</v>
      </c>
    </row>
    <row r="783">
      <c r="A783" s="93" t="str">
        <f t="shared" si="1"/>
        <v>200530047100873</v>
      </c>
      <c r="B783" s="94">
        <v>20.0</v>
      </c>
      <c r="C783" s="95">
        <v>53.0</v>
      </c>
      <c r="D783" s="96">
        <v>4.7100873E7</v>
      </c>
    </row>
    <row r="784">
      <c r="A784" s="93" t="str">
        <f t="shared" si="1"/>
        <v>290750094634584</v>
      </c>
      <c r="B784" s="94">
        <v>29.0</v>
      </c>
      <c r="C784" s="95">
        <v>75.0</v>
      </c>
      <c r="D784" s="96">
        <v>9.4634584E7</v>
      </c>
    </row>
    <row r="785">
      <c r="A785" s="93" t="str">
        <f t="shared" si="1"/>
        <v>361210023120751</v>
      </c>
      <c r="B785" s="94">
        <v>36.0</v>
      </c>
      <c r="C785" s="95">
        <v>121.0</v>
      </c>
      <c r="D785" s="96">
        <v>2.3120751E7</v>
      </c>
    </row>
    <row r="786">
      <c r="A786" s="93" t="str">
        <f t="shared" si="1"/>
        <v>250130031633680</v>
      </c>
      <c r="B786" s="94">
        <v>25.0</v>
      </c>
      <c r="C786" s="95">
        <v>13.0</v>
      </c>
      <c r="D786" s="96">
        <v>3.163368E7</v>
      </c>
    </row>
    <row r="787">
      <c r="A787" s="93" t="str">
        <f t="shared" si="1"/>
        <v>190370085455549</v>
      </c>
      <c r="B787" s="94">
        <v>19.0</v>
      </c>
      <c r="C787" s="95">
        <v>37.0</v>
      </c>
      <c r="D787" s="96">
        <v>8.5455549E7</v>
      </c>
    </row>
    <row r="788">
      <c r="A788" s="93" t="str">
        <f t="shared" si="1"/>
        <v>130810098116874</v>
      </c>
      <c r="B788" s="94">
        <v>13.0</v>
      </c>
      <c r="C788" s="95">
        <v>81.0</v>
      </c>
      <c r="D788" s="96">
        <v>9.8116874E7</v>
      </c>
    </row>
    <row r="789">
      <c r="A789" s="93" t="str">
        <f t="shared" si="1"/>
        <v>540630021714432</v>
      </c>
      <c r="B789" s="94">
        <v>54.0</v>
      </c>
      <c r="C789" s="95">
        <v>63.0</v>
      </c>
      <c r="D789" s="96">
        <v>2.1714432E7</v>
      </c>
    </row>
    <row r="790">
      <c r="A790" s="93" t="str">
        <f t="shared" si="1"/>
        <v>281510043902556</v>
      </c>
      <c r="B790" s="94">
        <v>28.0</v>
      </c>
      <c r="C790" s="95">
        <v>151.0</v>
      </c>
      <c r="D790" s="96">
        <v>4.3902556E7</v>
      </c>
    </row>
    <row r="791">
      <c r="A791" s="93" t="str">
        <f t="shared" si="1"/>
        <v>484350013909418</v>
      </c>
      <c r="B791" s="94">
        <v>48.0</v>
      </c>
      <c r="C791" s="95">
        <v>435.0</v>
      </c>
      <c r="D791" s="96">
        <v>1.3909418E7</v>
      </c>
    </row>
    <row r="792">
      <c r="A792" s="93" t="str">
        <f t="shared" si="1"/>
        <v>160470082292342</v>
      </c>
      <c r="B792" s="94">
        <v>16.0</v>
      </c>
      <c r="C792" s="95">
        <v>47.0</v>
      </c>
      <c r="D792" s="96">
        <v>8.2292342E7</v>
      </c>
    </row>
    <row r="793">
      <c r="A793" s="93" t="str">
        <f t="shared" si="1"/>
        <v>420630091286729</v>
      </c>
      <c r="B793" s="94">
        <v>42.0</v>
      </c>
      <c r="C793" s="95">
        <v>63.0</v>
      </c>
      <c r="D793" s="96">
        <v>9.1286729E7</v>
      </c>
    </row>
    <row r="794">
      <c r="A794" s="93" t="str">
        <f t="shared" si="1"/>
        <v>080770086315183</v>
      </c>
      <c r="B794" s="94">
        <v>8.0</v>
      </c>
      <c r="C794" s="95">
        <v>77.0</v>
      </c>
      <c r="D794" s="96">
        <v>8.6315183E7</v>
      </c>
    </row>
    <row r="795">
      <c r="A795" s="93" t="str">
        <f t="shared" si="1"/>
        <v>061070042100314</v>
      </c>
      <c r="B795" s="94">
        <v>6.0</v>
      </c>
      <c r="C795" s="95">
        <v>107.0</v>
      </c>
      <c r="D795" s="96">
        <v>4.2100314E7</v>
      </c>
    </row>
    <row r="796">
      <c r="A796" s="93" t="str">
        <f t="shared" si="1"/>
        <v>510110059938884</v>
      </c>
      <c r="B796" s="94">
        <v>51.0</v>
      </c>
      <c r="C796" s="95">
        <v>11.0</v>
      </c>
      <c r="D796" s="96">
        <v>5.9938884E7</v>
      </c>
    </row>
    <row r="797">
      <c r="A797" s="93" t="str">
        <f t="shared" si="1"/>
        <v>261010076701670</v>
      </c>
      <c r="B797" s="94">
        <v>26.0</v>
      </c>
      <c r="C797" s="95">
        <v>101.0</v>
      </c>
      <c r="D797" s="96">
        <v>7.670167E7</v>
      </c>
    </row>
    <row r="798">
      <c r="A798" s="93" t="str">
        <f t="shared" si="1"/>
        <v>471430062395661</v>
      </c>
      <c r="B798" s="94">
        <v>47.0</v>
      </c>
      <c r="C798" s="95">
        <v>143.0</v>
      </c>
      <c r="D798" s="96">
        <v>6.2395661E7</v>
      </c>
    </row>
    <row r="799">
      <c r="A799" s="93" t="str">
        <f t="shared" si="1"/>
        <v>181730038085951</v>
      </c>
      <c r="B799" s="94">
        <v>18.0</v>
      </c>
      <c r="C799" s="95">
        <v>173.0</v>
      </c>
      <c r="D799" s="96">
        <v>3.8085951E7</v>
      </c>
    </row>
    <row r="800">
      <c r="A800" s="93" t="str">
        <f t="shared" si="1"/>
        <v>010970054020543</v>
      </c>
      <c r="B800" s="94">
        <v>1.0</v>
      </c>
      <c r="C800" s="95">
        <v>97.0</v>
      </c>
      <c r="D800" s="96">
        <v>5.4020543E7</v>
      </c>
    </row>
    <row r="801">
      <c r="A801" s="93" t="str">
        <f t="shared" si="1"/>
        <v>051490084968310</v>
      </c>
      <c r="B801" s="94">
        <v>5.0</v>
      </c>
      <c r="C801" s="95">
        <v>149.0</v>
      </c>
      <c r="D801" s="96">
        <v>8.496831E7</v>
      </c>
    </row>
    <row r="802">
      <c r="A802" s="93" t="str">
        <f t="shared" si="1"/>
        <v>510690017529855</v>
      </c>
      <c r="B802" s="94">
        <v>51.0</v>
      </c>
      <c r="C802" s="95">
        <v>69.0</v>
      </c>
      <c r="D802" s="96">
        <v>1.7529855E7</v>
      </c>
    </row>
    <row r="803">
      <c r="A803" s="93" t="str">
        <f t="shared" si="1"/>
        <v>191610089444699</v>
      </c>
      <c r="B803" s="94">
        <v>19.0</v>
      </c>
      <c r="C803" s="95">
        <v>161.0</v>
      </c>
      <c r="D803" s="96">
        <v>8.9444699E7</v>
      </c>
    </row>
    <row r="804">
      <c r="A804" s="93" t="str">
        <f t="shared" si="1"/>
        <v>200250030383120</v>
      </c>
      <c r="B804" s="94">
        <v>20.0</v>
      </c>
      <c r="C804" s="95">
        <v>25.0</v>
      </c>
      <c r="D804" s="96">
        <v>3.038312E7</v>
      </c>
    </row>
    <row r="805">
      <c r="A805" s="93" t="str">
        <f t="shared" si="1"/>
        <v>391250010869711</v>
      </c>
      <c r="B805" s="94">
        <v>39.0</v>
      </c>
      <c r="C805" s="95">
        <v>125.0</v>
      </c>
      <c r="D805" s="96">
        <v>1.0869711E7</v>
      </c>
    </row>
    <row r="806">
      <c r="A806" s="93" t="str">
        <f t="shared" si="1"/>
        <v>210950088362325</v>
      </c>
      <c r="B806" s="94">
        <v>21.0</v>
      </c>
      <c r="C806" s="95">
        <v>95.0</v>
      </c>
      <c r="D806" s="96">
        <v>8.8362325E7</v>
      </c>
    </row>
    <row r="807">
      <c r="A807" s="93" t="str">
        <f t="shared" si="1"/>
        <v>550930033419412</v>
      </c>
      <c r="B807" s="94">
        <v>55.0</v>
      </c>
      <c r="C807" s="95">
        <v>93.0</v>
      </c>
      <c r="D807" s="96">
        <v>3.3419412E7</v>
      </c>
    </row>
    <row r="808">
      <c r="A808" s="93" t="str">
        <f t="shared" si="1"/>
        <v>390770036440372</v>
      </c>
      <c r="B808" s="94">
        <v>39.0</v>
      </c>
      <c r="C808" s="95">
        <v>77.0</v>
      </c>
      <c r="D808" s="96">
        <v>3.6440372E7</v>
      </c>
    </row>
    <row r="809">
      <c r="A809" s="93" t="str">
        <f t="shared" si="1"/>
        <v>171230017997511</v>
      </c>
      <c r="B809" s="94">
        <v>17.0</v>
      </c>
      <c r="C809" s="95">
        <v>123.0</v>
      </c>
      <c r="D809" s="96">
        <v>1.7997511E7</v>
      </c>
    </row>
    <row r="810">
      <c r="A810" s="93" t="str">
        <f t="shared" si="1"/>
        <v>540790014414037</v>
      </c>
      <c r="B810" s="94">
        <v>54.0</v>
      </c>
      <c r="C810" s="95">
        <v>79.0</v>
      </c>
      <c r="D810" s="96">
        <v>1.4414037E7</v>
      </c>
    </row>
    <row r="811">
      <c r="A811" s="93" t="str">
        <f t="shared" si="1"/>
        <v>132330099328189</v>
      </c>
      <c r="B811" s="94">
        <v>13.0</v>
      </c>
      <c r="C811" s="95">
        <v>233.0</v>
      </c>
      <c r="D811" s="96">
        <v>9.9328189E7</v>
      </c>
    </row>
    <row r="812">
      <c r="A812" s="93" t="str">
        <f t="shared" si="1"/>
        <v>540770081359003</v>
      </c>
      <c r="B812" s="94">
        <v>54.0</v>
      </c>
      <c r="C812" s="95">
        <v>77.0</v>
      </c>
      <c r="D812" s="96">
        <v>8.1359003E7</v>
      </c>
    </row>
    <row r="813">
      <c r="A813" s="93" t="str">
        <f t="shared" si="1"/>
        <v>291790076322421</v>
      </c>
      <c r="B813" s="94">
        <v>29.0</v>
      </c>
      <c r="C813" s="95">
        <v>179.0</v>
      </c>
      <c r="D813" s="96">
        <v>7.6322421E7</v>
      </c>
    </row>
    <row r="814">
      <c r="A814" s="93" t="str">
        <f t="shared" si="1"/>
        <v>483610084087292</v>
      </c>
      <c r="B814" s="94">
        <v>48.0</v>
      </c>
      <c r="C814" s="95">
        <v>361.0</v>
      </c>
      <c r="D814" s="96">
        <v>8.4087292E7</v>
      </c>
    </row>
    <row r="815">
      <c r="A815" s="93" t="str">
        <f t="shared" si="1"/>
        <v>460090021993909</v>
      </c>
      <c r="B815" s="94">
        <v>46.0</v>
      </c>
      <c r="C815" s="95">
        <v>9.0</v>
      </c>
      <c r="D815" s="96">
        <v>2.1993909E7</v>
      </c>
    </row>
    <row r="816">
      <c r="A816" s="93" t="str">
        <f t="shared" si="1"/>
        <v>210090092988575</v>
      </c>
      <c r="B816" s="94">
        <v>21.0</v>
      </c>
      <c r="C816" s="95">
        <v>9.0</v>
      </c>
      <c r="D816" s="96">
        <v>9.2988575E7</v>
      </c>
    </row>
    <row r="817">
      <c r="A817" s="93" t="str">
        <f t="shared" si="1"/>
        <v>340170070505237</v>
      </c>
      <c r="B817" s="94">
        <v>34.0</v>
      </c>
      <c r="C817" s="95">
        <v>17.0</v>
      </c>
      <c r="D817" s="96">
        <v>7.0505237E7</v>
      </c>
    </row>
    <row r="818">
      <c r="A818" s="93" t="str">
        <f t="shared" si="1"/>
        <v>530110042694027</v>
      </c>
      <c r="B818" s="94">
        <v>53.0</v>
      </c>
      <c r="C818" s="95">
        <v>11.0</v>
      </c>
      <c r="D818" s="96">
        <v>4.2694027E7</v>
      </c>
    </row>
    <row r="819">
      <c r="A819" s="93" t="str">
        <f t="shared" si="1"/>
        <v>481470010784217</v>
      </c>
      <c r="B819" s="94">
        <v>48.0</v>
      </c>
      <c r="C819" s="95">
        <v>147.0</v>
      </c>
      <c r="D819" s="96">
        <v>1.0784217E7</v>
      </c>
    </row>
    <row r="820">
      <c r="A820" s="93" t="str">
        <f t="shared" si="1"/>
        <v>280570065377493</v>
      </c>
      <c r="B820" s="94">
        <v>28.0</v>
      </c>
      <c r="C820" s="95">
        <v>57.0</v>
      </c>
      <c r="D820" s="96">
        <v>6.5377493E7</v>
      </c>
    </row>
    <row r="821">
      <c r="A821" s="93" t="str">
        <f t="shared" si="1"/>
        <v>560150059587654</v>
      </c>
      <c r="B821" s="94">
        <v>56.0</v>
      </c>
      <c r="C821" s="95">
        <v>15.0</v>
      </c>
      <c r="D821" s="96">
        <v>5.9587654E7</v>
      </c>
    </row>
    <row r="822">
      <c r="A822" s="93" t="str">
        <f t="shared" si="1"/>
        <v>484070035743801</v>
      </c>
      <c r="B822" s="94">
        <v>48.0</v>
      </c>
      <c r="C822" s="95">
        <v>407.0</v>
      </c>
      <c r="D822" s="96">
        <v>3.5743801E7</v>
      </c>
    </row>
    <row r="823">
      <c r="A823" s="93" t="str">
        <f t="shared" si="1"/>
        <v>271550092684751</v>
      </c>
      <c r="B823" s="94">
        <v>27.0</v>
      </c>
      <c r="C823" s="95">
        <v>155.0</v>
      </c>
      <c r="D823" s="96">
        <v>9.2684751E7</v>
      </c>
    </row>
    <row r="824">
      <c r="A824" s="93" t="str">
        <f t="shared" si="1"/>
        <v>390190029463157</v>
      </c>
      <c r="B824" s="94">
        <v>39.0</v>
      </c>
      <c r="C824" s="95">
        <v>19.0</v>
      </c>
      <c r="D824" s="96">
        <v>2.9463157E7</v>
      </c>
    </row>
    <row r="825">
      <c r="A825" s="93" t="str">
        <f t="shared" si="1"/>
        <v>350410067608238</v>
      </c>
      <c r="B825" s="94">
        <v>35.0</v>
      </c>
      <c r="C825" s="95">
        <v>41.0</v>
      </c>
      <c r="D825" s="96">
        <v>6.7608238E7</v>
      </c>
    </row>
    <row r="826">
      <c r="A826" s="93" t="str">
        <f t="shared" si="1"/>
        <v>170850015662955</v>
      </c>
      <c r="B826" s="94">
        <v>17.0</v>
      </c>
      <c r="C826" s="95">
        <v>85.0</v>
      </c>
      <c r="D826" s="96">
        <v>1.5662955E7</v>
      </c>
    </row>
    <row r="827">
      <c r="A827" s="93" t="str">
        <f t="shared" si="1"/>
        <v>380050092941236</v>
      </c>
      <c r="B827" s="94">
        <v>38.0</v>
      </c>
      <c r="C827" s="95">
        <v>5.0</v>
      </c>
      <c r="D827" s="96">
        <v>9.2941236E7</v>
      </c>
    </row>
    <row r="828">
      <c r="A828" s="93" t="str">
        <f t="shared" si="1"/>
        <v>450570065797542</v>
      </c>
      <c r="B828" s="94">
        <v>45.0</v>
      </c>
      <c r="C828" s="95">
        <v>57.0</v>
      </c>
      <c r="D828" s="96">
        <v>6.5797542E7</v>
      </c>
    </row>
    <row r="829">
      <c r="A829" s="93" t="str">
        <f t="shared" si="1"/>
        <v>271070050817858</v>
      </c>
      <c r="B829" s="94">
        <v>27.0</v>
      </c>
      <c r="C829" s="95">
        <v>107.0</v>
      </c>
      <c r="D829" s="96">
        <v>5.0817858E7</v>
      </c>
    </row>
    <row r="830">
      <c r="A830" s="93" t="str">
        <f t="shared" si="1"/>
        <v>280350070436214</v>
      </c>
      <c r="B830" s="94">
        <v>28.0</v>
      </c>
      <c r="C830" s="95">
        <v>35.0</v>
      </c>
      <c r="D830" s="96">
        <v>7.0436214E7</v>
      </c>
    </row>
    <row r="831">
      <c r="A831" s="93" t="str">
        <f t="shared" si="1"/>
        <v>350030084904487</v>
      </c>
      <c r="B831" s="94">
        <v>35.0</v>
      </c>
      <c r="C831" s="95">
        <v>3.0</v>
      </c>
      <c r="D831" s="96">
        <v>8.4904487E7</v>
      </c>
    </row>
    <row r="832">
      <c r="A832" s="93" t="str">
        <f t="shared" si="1"/>
        <v>483570086186984</v>
      </c>
      <c r="B832" s="94">
        <v>48.0</v>
      </c>
      <c r="C832" s="95">
        <v>357.0</v>
      </c>
      <c r="D832" s="96">
        <v>8.6186984E7</v>
      </c>
    </row>
    <row r="833">
      <c r="A833" s="93" t="str">
        <f t="shared" si="1"/>
        <v>220750073552640</v>
      </c>
      <c r="B833" s="94">
        <v>22.0</v>
      </c>
      <c r="C833" s="95">
        <v>75.0</v>
      </c>
      <c r="D833" s="96">
        <v>7.355264E7</v>
      </c>
    </row>
    <row r="834">
      <c r="A834" s="93" t="str">
        <f t="shared" si="1"/>
        <v>200350043461555</v>
      </c>
      <c r="B834" s="94">
        <v>20.0</v>
      </c>
      <c r="C834" s="95">
        <v>35.0</v>
      </c>
      <c r="D834" s="96">
        <v>4.3461555E7</v>
      </c>
    </row>
    <row r="835">
      <c r="A835" s="93" t="str">
        <f t="shared" si="1"/>
        <v>410010057354530</v>
      </c>
      <c r="B835" s="94">
        <v>41.0</v>
      </c>
      <c r="C835" s="95">
        <v>1.0</v>
      </c>
      <c r="D835" s="96">
        <v>5.735453E7</v>
      </c>
    </row>
    <row r="836">
      <c r="A836" s="93" t="str">
        <f t="shared" si="1"/>
        <v>171070037802471</v>
      </c>
      <c r="B836" s="94">
        <v>17.0</v>
      </c>
      <c r="C836" s="95">
        <v>107.0</v>
      </c>
      <c r="D836" s="96">
        <v>3.7802471E7</v>
      </c>
    </row>
    <row r="837">
      <c r="A837" s="93" t="str">
        <f t="shared" si="1"/>
        <v>483950055560510</v>
      </c>
      <c r="B837" s="94">
        <v>48.0</v>
      </c>
      <c r="C837" s="95">
        <v>395.0</v>
      </c>
      <c r="D837" s="96">
        <v>5.556051E7</v>
      </c>
    </row>
    <row r="838">
      <c r="A838" s="93" t="str">
        <f t="shared" si="1"/>
        <v>090150097944624</v>
      </c>
      <c r="B838" s="94">
        <v>9.0</v>
      </c>
      <c r="C838" s="95">
        <v>15.0</v>
      </c>
      <c r="D838" s="96">
        <v>9.7944624E7</v>
      </c>
    </row>
    <row r="839">
      <c r="A839" s="93" t="str">
        <f t="shared" si="1"/>
        <v>160870020936264</v>
      </c>
      <c r="B839" s="94">
        <v>16.0</v>
      </c>
      <c r="C839" s="95">
        <v>87.0</v>
      </c>
      <c r="D839" s="96">
        <v>2.0936264E7</v>
      </c>
    </row>
    <row r="840">
      <c r="A840" s="93" t="str">
        <f t="shared" si="1"/>
        <v>540870014905133</v>
      </c>
      <c r="B840" s="94">
        <v>54.0</v>
      </c>
      <c r="C840" s="95">
        <v>87.0</v>
      </c>
      <c r="D840" s="96">
        <v>1.4905133E7</v>
      </c>
    </row>
    <row r="841">
      <c r="A841" s="93" t="str">
        <f t="shared" si="1"/>
        <v>080370078802310</v>
      </c>
      <c r="B841" s="94">
        <v>8.0</v>
      </c>
      <c r="C841" s="95">
        <v>37.0</v>
      </c>
      <c r="D841" s="96">
        <v>7.880231E7</v>
      </c>
    </row>
    <row r="842">
      <c r="A842" s="93" t="str">
        <f t="shared" si="1"/>
        <v>470630026976330</v>
      </c>
      <c r="B842" s="94">
        <v>47.0</v>
      </c>
      <c r="C842" s="95">
        <v>63.0</v>
      </c>
      <c r="D842" s="96">
        <v>2.697633E7</v>
      </c>
    </row>
    <row r="843">
      <c r="A843" s="93" t="str">
        <f t="shared" si="1"/>
        <v>500030080186248</v>
      </c>
      <c r="B843" s="94">
        <v>50.0</v>
      </c>
      <c r="C843" s="95">
        <v>3.0</v>
      </c>
      <c r="D843" s="96">
        <v>8.0186248E7</v>
      </c>
    </row>
    <row r="844">
      <c r="A844" s="93" t="str">
        <f t="shared" si="1"/>
        <v>120470065584641</v>
      </c>
      <c r="B844" s="94">
        <v>12.0</v>
      </c>
      <c r="C844" s="95">
        <v>47.0</v>
      </c>
      <c r="D844" s="96">
        <v>6.5584641E7</v>
      </c>
    </row>
    <row r="845">
      <c r="A845" s="93" t="str">
        <f t="shared" si="1"/>
        <v>300750033326678</v>
      </c>
      <c r="B845" s="94">
        <v>30.0</v>
      </c>
      <c r="C845" s="95">
        <v>75.0</v>
      </c>
      <c r="D845" s="96">
        <v>3.3326678E7</v>
      </c>
    </row>
    <row r="846">
      <c r="A846" s="93" t="str">
        <f t="shared" si="1"/>
        <v>120330065504331</v>
      </c>
      <c r="B846" s="94">
        <v>12.0</v>
      </c>
      <c r="C846" s="95">
        <v>33.0</v>
      </c>
      <c r="D846" s="96">
        <v>6.5504331E7</v>
      </c>
    </row>
    <row r="847">
      <c r="A847" s="93" t="str">
        <f t="shared" si="1"/>
        <v>280790061327947</v>
      </c>
      <c r="B847" s="94">
        <v>28.0</v>
      </c>
      <c r="C847" s="95">
        <v>79.0</v>
      </c>
      <c r="D847" s="96">
        <v>6.1327947E7</v>
      </c>
    </row>
    <row r="848">
      <c r="A848" s="93" t="str">
        <f t="shared" si="1"/>
        <v>311210049768053</v>
      </c>
      <c r="B848" s="94">
        <v>31.0</v>
      </c>
      <c r="C848" s="95">
        <v>121.0</v>
      </c>
      <c r="D848" s="96">
        <v>4.9768053E7</v>
      </c>
    </row>
    <row r="849">
      <c r="A849" s="93" t="str">
        <f t="shared" si="1"/>
        <v>190630018789165</v>
      </c>
      <c r="B849" s="94">
        <v>19.0</v>
      </c>
      <c r="C849" s="95">
        <v>63.0</v>
      </c>
      <c r="D849" s="96">
        <v>1.8789165E7</v>
      </c>
    </row>
    <row r="850">
      <c r="A850" s="93" t="str">
        <f t="shared" si="1"/>
        <v>380270035405461</v>
      </c>
      <c r="B850" s="94">
        <v>38.0</v>
      </c>
      <c r="C850" s="95">
        <v>27.0</v>
      </c>
      <c r="D850" s="96">
        <v>3.5405461E7</v>
      </c>
    </row>
    <row r="851">
      <c r="A851" s="93" t="str">
        <f t="shared" si="1"/>
        <v>481950010220119</v>
      </c>
      <c r="B851" s="94">
        <v>48.0</v>
      </c>
      <c r="C851" s="95">
        <v>195.0</v>
      </c>
      <c r="D851" s="96">
        <v>1.0220119E7</v>
      </c>
    </row>
    <row r="852">
      <c r="A852" s="93" t="str">
        <f t="shared" si="1"/>
        <v>330050055056025</v>
      </c>
      <c r="B852" s="94">
        <v>33.0</v>
      </c>
      <c r="C852" s="95">
        <v>5.0</v>
      </c>
      <c r="D852" s="96">
        <v>5.5056025E7</v>
      </c>
    </row>
    <row r="853">
      <c r="A853" s="93" t="str">
        <f t="shared" si="1"/>
        <v>400090016584684</v>
      </c>
      <c r="B853" s="94">
        <v>40.0</v>
      </c>
      <c r="C853" s="95">
        <v>9.0</v>
      </c>
      <c r="D853" s="96">
        <v>1.6584684E7</v>
      </c>
    </row>
    <row r="854">
      <c r="A854" s="93" t="str">
        <f t="shared" si="1"/>
        <v>515900062830521</v>
      </c>
      <c r="B854" s="94">
        <v>51.0</v>
      </c>
      <c r="C854" s="95">
        <v>590.0</v>
      </c>
      <c r="D854" s="96">
        <v>6.2830521E7</v>
      </c>
    </row>
    <row r="855">
      <c r="A855" s="93" t="str">
        <f t="shared" si="1"/>
        <v>211910041324388</v>
      </c>
      <c r="B855" s="94">
        <v>21.0</v>
      </c>
      <c r="C855" s="95">
        <v>191.0</v>
      </c>
      <c r="D855" s="96">
        <v>4.1324388E7</v>
      </c>
    </row>
    <row r="856">
      <c r="A856" s="93" t="str">
        <f t="shared" si="1"/>
        <v>281630089222032</v>
      </c>
      <c r="B856" s="94">
        <v>28.0</v>
      </c>
      <c r="C856" s="95">
        <v>163.0</v>
      </c>
      <c r="D856" s="96">
        <v>8.9222032E7</v>
      </c>
    </row>
    <row r="857">
      <c r="A857" s="93" t="str">
        <f t="shared" si="1"/>
        <v>500010050342729</v>
      </c>
      <c r="B857" s="94">
        <v>50.0</v>
      </c>
      <c r="C857" s="95">
        <v>1.0</v>
      </c>
      <c r="D857" s="96">
        <v>5.0342729E7</v>
      </c>
    </row>
    <row r="858">
      <c r="A858" s="93" t="str">
        <f t="shared" si="1"/>
        <v>421330019431018</v>
      </c>
      <c r="B858" s="94">
        <v>42.0</v>
      </c>
      <c r="C858" s="95">
        <v>133.0</v>
      </c>
      <c r="D858" s="96">
        <v>1.9431018E7</v>
      </c>
    </row>
    <row r="859">
      <c r="A859" s="93" t="str">
        <f t="shared" si="1"/>
        <v>050830022126752</v>
      </c>
      <c r="B859" s="94">
        <v>5.0</v>
      </c>
      <c r="C859" s="95">
        <v>83.0</v>
      </c>
      <c r="D859" s="96">
        <v>2.2126752E7</v>
      </c>
    </row>
    <row r="860">
      <c r="A860" s="93" t="str">
        <f t="shared" si="1"/>
        <v>220830042485435</v>
      </c>
      <c r="B860" s="94">
        <v>22.0</v>
      </c>
      <c r="C860" s="95">
        <v>83.0</v>
      </c>
      <c r="D860" s="96">
        <v>4.2485435E7</v>
      </c>
    </row>
    <row r="861">
      <c r="A861" s="93" t="str">
        <f t="shared" si="1"/>
        <v>132750073634616</v>
      </c>
      <c r="B861" s="94">
        <v>13.0</v>
      </c>
      <c r="C861" s="95">
        <v>275.0</v>
      </c>
      <c r="D861" s="96">
        <v>7.3634616E7</v>
      </c>
    </row>
    <row r="862">
      <c r="A862" s="93" t="str">
        <f t="shared" si="1"/>
        <v>190150063262985</v>
      </c>
      <c r="B862" s="94">
        <v>19.0</v>
      </c>
      <c r="C862" s="95">
        <v>15.0</v>
      </c>
      <c r="D862" s="96">
        <v>6.3262985E7</v>
      </c>
    </row>
    <row r="863">
      <c r="A863" s="93" t="str">
        <f t="shared" si="1"/>
        <v>480430051796477</v>
      </c>
      <c r="B863" s="94">
        <v>48.0</v>
      </c>
      <c r="C863" s="95">
        <v>43.0</v>
      </c>
      <c r="D863" s="96">
        <v>5.1796477E7</v>
      </c>
    </row>
    <row r="864">
      <c r="A864" s="93" t="str">
        <f t="shared" si="1"/>
        <v>450250062589981</v>
      </c>
      <c r="B864" s="94">
        <v>45.0</v>
      </c>
      <c r="C864" s="95">
        <v>25.0</v>
      </c>
      <c r="D864" s="96">
        <v>6.2589981E7</v>
      </c>
    </row>
    <row r="865">
      <c r="A865" s="93" t="str">
        <f t="shared" si="1"/>
        <v>132510077120309</v>
      </c>
      <c r="B865" s="94">
        <v>13.0</v>
      </c>
      <c r="C865" s="95">
        <v>251.0</v>
      </c>
      <c r="D865" s="96">
        <v>7.7120309E7</v>
      </c>
    </row>
    <row r="866">
      <c r="A866" s="93" t="str">
        <f t="shared" si="1"/>
        <v>371230042805615</v>
      </c>
      <c r="B866" s="94">
        <v>37.0</v>
      </c>
      <c r="C866" s="95">
        <v>123.0</v>
      </c>
      <c r="D866" s="96">
        <v>4.2805615E7</v>
      </c>
    </row>
    <row r="867">
      <c r="A867" s="93" t="str">
        <f t="shared" si="1"/>
        <v>261310068557736</v>
      </c>
      <c r="B867" s="94">
        <v>26.0</v>
      </c>
      <c r="C867" s="95">
        <v>131.0</v>
      </c>
      <c r="D867" s="96">
        <v>6.8557736E7</v>
      </c>
    </row>
    <row r="868">
      <c r="A868" s="93" t="str">
        <f t="shared" si="1"/>
        <v>490530068570850</v>
      </c>
      <c r="B868" s="94">
        <v>49.0</v>
      </c>
      <c r="C868" s="95">
        <v>53.0</v>
      </c>
      <c r="D868" s="96">
        <v>6.857085E7</v>
      </c>
    </row>
    <row r="869">
      <c r="A869" s="93" t="str">
        <f t="shared" si="1"/>
        <v>212350081591763</v>
      </c>
      <c r="B869" s="94">
        <v>21.0</v>
      </c>
      <c r="C869" s="95">
        <v>235.0</v>
      </c>
      <c r="D869" s="96">
        <v>8.1591763E7</v>
      </c>
    </row>
    <row r="870">
      <c r="A870" s="93" t="str">
        <f t="shared" si="1"/>
        <v>371190070001330</v>
      </c>
      <c r="B870" s="94">
        <v>37.0</v>
      </c>
      <c r="C870" s="95">
        <v>119.0</v>
      </c>
      <c r="D870" s="96">
        <v>7.000133E7</v>
      </c>
    </row>
    <row r="871">
      <c r="A871" s="93" t="str">
        <f t="shared" si="1"/>
        <v>511430088247533</v>
      </c>
      <c r="B871" s="94">
        <v>51.0</v>
      </c>
      <c r="C871" s="95">
        <v>143.0</v>
      </c>
      <c r="D871" s="96">
        <v>8.8247533E7</v>
      </c>
    </row>
    <row r="872">
      <c r="A872" s="93" t="str">
        <f t="shared" si="1"/>
        <v>040250078933799</v>
      </c>
      <c r="B872" s="94">
        <v>4.0</v>
      </c>
      <c r="C872" s="95">
        <v>25.0</v>
      </c>
      <c r="D872" s="96">
        <v>7.8933799E7</v>
      </c>
    </row>
    <row r="873">
      <c r="A873" s="93" t="str">
        <f t="shared" si="1"/>
        <v>360890078251784</v>
      </c>
      <c r="B873" s="94">
        <v>36.0</v>
      </c>
      <c r="C873" s="95">
        <v>89.0</v>
      </c>
      <c r="D873" s="96">
        <v>7.8251784E7</v>
      </c>
    </row>
    <row r="874">
      <c r="A874" s="93" t="str">
        <f t="shared" si="1"/>
        <v>391550066938378</v>
      </c>
      <c r="B874" s="94">
        <v>39.0</v>
      </c>
      <c r="C874" s="95">
        <v>155.0</v>
      </c>
      <c r="D874" s="96">
        <v>6.6938378E7</v>
      </c>
    </row>
    <row r="875">
      <c r="A875" s="93" t="str">
        <f t="shared" si="1"/>
        <v>191230081241136</v>
      </c>
      <c r="B875" s="94">
        <v>19.0</v>
      </c>
      <c r="C875" s="95">
        <v>123.0</v>
      </c>
      <c r="D875" s="96">
        <v>8.1241136E7</v>
      </c>
    </row>
    <row r="876">
      <c r="A876" s="93" t="str">
        <f t="shared" si="1"/>
        <v>551090066792247</v>
      </c>
      <c r="B876" s="94">
        <v>55.0</v>
      </c>
      <c r="C876" s="95">
        <v>109.0</v>
      </c>
      <c r="D876" s="96">
        <v>6.6792247E7</v>
      </c>
    </row>
    <row r="877">
      <c r="A877" s="93" t="str">
        <f t="shared" si="1"/>
        <v>482250049222785</v>
      </c>
      <c r="B877" s="94">
        <v>48.0</v>
      </c>
      <c r="C877" s="95">
        <v>225.0</v>
      </c>
      <c r="D877" s="96">
        <v>4.9222785E7</v>
      </c>
    </row>
    <row r="878">
      <c r="A878" s="93" t="str">
        <f t="shared" si="1"/>
        <v>460610095361065</v>
      </c>
      <c r="B878" s="94">
        <v>46.0</v>
      </c>
      <c r="C878" s="95">
        <v>61.0</v>
      </c>
      <c r="D878" s="96">
        <v>9.5361065E7</v>
      </c>
    </row>
    <row r="879">
      <c r="A879" s="93" t="str">
        <f t="shared" si="1"/>
        <v>518300016247604</v>
      </c>
      <c r="B879" s="94">
        <v>51.0</v>
      </c>
      <c r="C879" s="95">
        <v>830.0</v>
      </c>
      <c r="D879" s="96">
        <v>1.6247604E7</v>
      </c>
    </row>
    <row r="880">
      <c r="A880" s="93" t="str">
        <f t="shared" si="1"/>
        <v>461010023488097</v>
      </c>
      <c r="B880" s="94">
        <v>46.0</v>
      </c>
      <c r="C880" s="95">
        <v>101.0</v>
      </c>
      <c r="D880" s="96">
        <v>2.3488097E7</v>
      </c>
    </row>
    <row r="881">
      <c r="A881" s="93" t="str">
        <f t="shared" si="1"/>
        <v>401070034966351</v>
      </c>
      <c r="B881" s="94">
        <v>40.0</v>
      </c>
      <c r="C881" s="95">
        <v>107.0</v>
      </c>
      <c r="D881" s="96">
        <v>3.4966351E7</v>
      </c>
    </row>
    <row r="882">
      <c r="A882" s="93" t="str">
        <f t="shared" si="1"/>
        <v>200950096435878</v>
      </c>
      <c r="B882" s="94">
        <v>20.0</v>
      </c>
      <c r="C882" s="95">
        <v>95.0</v>
      </c>
      <c r="D882" s="96">
        <v>9.6435878E7</v>
      </c>
    </row>
    <row r="883">
      <c r="A883" s="93" t="str">
        <f t="shared" si="1"/>
        <v>390510041090401</v>
      </c>
      <c r="B883" s="94">
        <v>39.0</v>
      </c>
      <c r="C883" s="95">
        <v>51.0</v>
      </c>
      <c r="D883" s="96">
        <v>4.1090401E7</v>
      </c>
    </row>
    <row r="884">
      <c r="A884" s="93" t="str">
        <f t="shared" si="1"/>
        <v>310110077900246</v>
      </c>
      <c r="B884" s="94">
        <v>31.0</v>
      </c>
      <c r="C884" s="95">
        <v>11.0</v>
      </c>
      <c r="D884" s="96">
        <v>7.7900246E7</v>
      </c>
    </row>
    <row r="885">
      <c r="A885" s="93" t="str">
        <f t="shared" si="1"/>
        <v>180890021208028</v>
      </c>
      <c r="B885" s="94">
        <v>18.0</v>
      </c>
      <c r="C885" s="95">
        <v>89.0</v>
      </c>
      <c r="D885" s="96">
        <v>2.1208028E7</v>
      </c>
    </row>
    <row r="886">
      <c r="A886" s="93" t="str">
        <f t="shared" si="1"/>
        <v>212330091468688</v>
      </c>
      <c r="B886" s="94">
        <v>21.0</v>
      </c>
      <c r="C886" s="95">
        <v>233.0</v>
      </c>
      <c r="D886" s="96">
        <v>9.1468688E7</v>
      </c>
    </row>
    <row r="887">
      <c r="A887" s="93" t="str">
        <f t="shared" si="1"/>
        <v>380850016763169</v>
      </c>
      <c r="B887" s="94">
        <v>38.0</v>
      </c>
      <c r="C887" s="95">
        <v>85.0</v>
      </c>
      <c r="D887" s="96">
        <v>1.6763169E7</v>
      </c>
    </row>
    <row r="888">
      <c r="A888" s="93" t="str">
        <f t="shared" si="1"/>
        <v>311130090592063</v>
      </c>
      <c r="B888" s="94">
        <v>31.0</v>
      </c>
      <c r="C888" s="95">
        <v>113.0</v>
      </c>
      <c r="D888" s="96">
        <v>9.0592063E7</v>
      </c>
    </row>
    <row r="889">
      <c r="A889" s="93" t="str">
        <f t="shared" si="1"/>
        <v>190070046331544</v>
      </c>
      <c r="B889" s="94">
        <v>19.0</v>
      </c>
      <c r="C889" s="95">
        <v>7.0</v>
      </c>
      <c r="D889" s="96">
        <v>4.6331544E7</v>
      </c>
    </row>
    <row r="890">
      <c r="A890" s="93" t="str">
        <f t="shared" si="1"/>
        <v>181670051778314</v>
      </c>
      <c r="B890" s="94">
        <v>18.0</v>
      </c>
      <c r="C890" s="95">
        <v>167.0</v>
      </c>
      <c r="D890" s="96">
        <v>5.1778314E7</v>
      </c>
    </row>
    <row r="891">
      <c r="A891" s="93" t="str">
        <f t="shared" si="1"/>
        <v>120670061267202</v>
      </c>
      <c r="B891" s="94">
        <v>12.0</v>
      </c>
      <c r="C891" s="95">
        <v>67.0</v>
      </c>
      <c r="D891" s="96">
        <v>6.1267202E7</v>
      </c>
    </row>
    <row r="892">
      <c r="A892" s="93" t="str">
        <f t="shared" si="1"/>
        <v>401010057300720</v>
      </c>
      <c r="B892" s="94">
        <v>40.0</v>
      </c>
      <c r="C892" s="95">
        <v>101.0</v>
      </c>
      <c r="D892" s="96">
        <v>5.730072E7</v>
      </c>
    </row>
    <row r="893">
      <c r="A893" s="93" t="str">
        <f t="shared" si="1"/>
        <v>460750058177707</v>
      </c>
      <c r="B893" s="94">
        <v>46.0</v>
      </c>
      <c r="C893" s="95">
        <v>75.0</v>
      </c>
      <c r="D893" s="96">
        <v>5.8177707E7</v>
      </c>
    </row>
    <row r="894">
      <c r="A894" s="93" t="str">
        <f t="shared" si="1"/>
        <v>191290056946953</v>
      </c>
      <c r="B894" s="94">
        <v>19.0</v>
      </c>
      <c r="C894" s="95">
        <v>129.0</v>
      </c>
      <c r="D894" s="96">
        <v>5.6946953E7</v>
      </c>
    </row>
    <row r="895">
      <c r="A895" s="93" t="str">
        <f t="shared" si="1"/>
        <v>440050067794611</v>
      </c>
      <c r="B895" s="94">
        <v>44.0</v>
      </c>
      <c r="C895" s="95">
        <v>5.0</v>
      </c>
      <c r="D895" s="96">
        <v>6.7794611E7</v>
      </c>
    </row>
    <row r="896">
      <c r="A896" s="93" t="str">
        <f t="shared" si="1"/>
        <v>390030090250252</v>
      </c>
      <c r="B896" s="94">
        <v>39.0</v>
      </c>
      <c r="C896" s="95">
        <v>3.0</v>
      </c>
      <c r="D896" s="96">
        <v>9.0250252E7</v>
      </c>
    </row>
    <row r="897">
      <c r="A897" s="93" t="str">
        <f t="shared" si="1"/>
        <v>420470085963316</v>
      </c>
      <c r="B897" s="94">
        <v>42.0</v>
      </c>
      <c r="C897" s="95">
        <v>47.0</v>
      </c>
      <c r="D897" s="96">
        <v>8.5963316E7</v>
      </c>
    </row>
    <row r="898">
      <c r="A898" s="93" t="str">
        <f t="shared" si="1"/>
        <v>480050090261826</v>
      </c>
      <c r="B898" s="94">
        <v>48.0</v>
      </c>
      <c r="C898" s="95">
        <v>5.0</v>
      </c>
      <c r="D898" s="96">
        <v>9.0261826E7</v>
      </c>
    </row>
    <row r="899">
      <c r="A899" s="93" t="str">
        <f t="shared" si="1"/>
        <v>461350014059737</v>
      </c>
      <c r="B899" s="94">
        <v>46.0</v>
      </c>
      <c r="C899" s="95">
        <v>135.0</v>
      </c>
      <c r="D899" s="96">
        <v>1.4059737E7</v>
      </c>
    </row>
    <row r="900">
      <c r="A900" s="93" t="str">
        <f t="shared" si="1"/>
        <v>240110062071386</v>
      </c>
      <c r="B900" s="94">
        <v>24.0</v>
      </c>
      <c r="C900" s="95">
        <v>11.0</v>
      </c>
      <c r="D900" s="96">
        <v>6.2071386E7</v>
      </c>
    </row>
    <row r="901">
      <c r="A901" s="93" t="str">
        <f t="shared" si="1"/>
        <v>440030052744607</v>
      </c>
      <c r="B901" s="94">
        <v>44.0</v>
      </c>
      <c r="C901" s="95">
        <v>3.0</v>
      </c>
      <c r="D901" s="96">
        <v>5.2744607E7</v>
      </c>
    </row>
    <row r="902">
      <c r="A902" s="93" t="str">
        <f t="shared" si="1"/>
        <v>480670015050540</v>
      </c>
      <c r="B902" s="94">
        <v>48.0</v>
      </c>
      <c r="C902" s="95">
        <v>67.0</v>
      </c>
      <c r="D902" s="96">
        <v>1.505054E7</v>
      </c>
    </row>
    <row r="903">
      <c r="A903" s="93" t="str">
        <f t="shared" si="1"/>
        <v>210390019961826</v>
      </c>
      <c r="B903" s="94">
        <v>21.0</v>
      </c>
      <c r="C903" s="95">
        <v>39.0</v>
      </c>
      <c r="D903" s="96">
        <v>1.9961826E7</v>
      </c>
    </row>
    <row r="904">
      <c r="A904" s="93" t="str">
        <f t="shared" si="1"/>
        <v>510210047116531</v>
      </c>
      <c r="B904" s="94">
        <v>51.0</v>
      </c>
      <c r="C904" s="95">
        <v>21.0</v>
      </c>
      <c r="D904" s="96">
        <v>4.7116531E7</v>
      </c>
    </row>
    <row r="905">
      <c r="A905" s="93" t="str">
        <f t="shared" si="1"/>
        <v>540990018710258</v>
      </c>
      <c r="B905" s="94">
        <v>54.0</v>
      </c>
      <c r="C905" s="95">
        <v>99.0</v>
      </c>
      <c r="D905" s="96">
        <v>1.8710258E7</v>
      </c>
    </row>
    <row r="906">
      <c r="A906" s="93" t="str">
        <f t="shared" si="1"/>
        <v>371590064633346</v>
      </c>
      <c r="B906" s="94">
        <v>37.0</v>
      </c>
      <c r="C906" s="95">
        <v>159.0</v>
      </c>
      <c r="D906" s="96">
        <v>6.4633346E7</v>
      </c>
    </row>
    <row r="907">
      <c r="A907" s="93" t="str">
        <f t="shared" si="1"/>
        <v>180030048946882</v>
      </c>
      <c r="B907" s="94">
        <v>18.0</v>
      </c>
      <c r="C907" s="95">
        <v>3.0</v>
      </c>
      <c r="D907" s="96">
        <v>4.8946882E7</v>
      </c>
    </row>
    <row r="908">
      <c r="A908" s="93" t="str">
        <f t="shared" si="1"/>
        <v>516830072085748</v>
      </c>
      <c r="B908" s="94">
        <v>51.0</v>
      </c>
      <c r="C908" s="95">
        <v>683.0</v>
      </c>
      <c r="D908" s="96">
        <v>7.2085748E7</v>
      </c>
    </row>
    <row r="909">
      <c r="A909" s="93" t="str">
        <f t="shared" si="1"/>
        <v>370010048394891</v>
      </c>
      <c r="B909" s="94">
        <v>37.0</v>
      </c>
      <c r="C909" s="95">
        <v>1.0</v>
      </c>
      <c r="D909" s="96">
        <v>4.8394891E7</v>
      </c>
    </row>
    <row r="910">
      <c r="A910" s="93" t="str">
        <f t="shared" si="1"/>
        <v>240170089184217</v>
      </c>
      <c r="B910" s="94">
        <v>24.0</v>
      </c>
      <c r="C910" s="95">
        <v>17.0</v>
      </c>
      <c r="D910" s="96">
        <v>8.9184217E7</v>
      </c>
    </row>
    <row r="911">
      <c r="A911" s="93" t="str">
        <f t="shared" si="1"/>
        <v>250190018150132</v>
      </c>
      <c r="B911" s="94">
        <v>25.0</v>
      </c>
      <c r="C911" s="95">
        <v>19.0</v>
      </c>
      <c r="D911" s="96">
        <v>1.8150132E7</v>
      </c>
    </row>
    <row r="912">
      <c r="A912" s="93" t="str">
        <f t="shared" si="1"/>
        <v>160270081231359</v>
      </c>
      <c r="B912" s="94">
        <v>16.0</v>
      </c>
      <c r="C912" s="95">
        <v>27.0</v>
      </c>
      <c r="D912" s="96">
        <v>8.1231359E7</v>
      </c>
    </row>
    <row r="913">
      <c r="A913" s="93" t="str">
        <f t="shared" si="1"/>
        <v>130710074871754</v>
      </c>
      <c r="B913" s="94">
        <v>13.0</v>
      </c>
      <c r="C913" s="95">
        <v>71.0</v>
      </c>
      <c r="D913" s="96">
        <v>7.4871754E7</v>
      </c>
    </row>
    <row r="914">
      <c r="A914" s="93" t="str">
        <f t="shared" si="1"/>
        <v>132110041099337</v>
      </c>
      <c r="B914" s="94">
        <v>13.0</v>
      </c>
      <c r="C914" s="95">
        <v>211.0</v>
      </c>
      <c r="D914" s="96">
        <v>4.1099337E7</v>
      </c>
    </row>
    <row r="915">
      <c r="A915" s="93" t="str">
        <f t="shared" si="1"/>
        <v>300270025242124</v>
      </c>
      <c r="B915" s="94">
        <v>30.0</v>
      </c>
      <c r="C915" s="95">
        <v>27.0</v>
      </c>
      <c r="D915" s="96">
        <v>2.5242124E7</v>
      </c>
    </row>
    <row r="916">
      <c r="A916" s="93" t="str">
        <f t="shared" si="1"/>
        <v>483810053666656</v>
      </c>
      <c r="B916" s="94">
        <v>48.0</v>
      </c>
      <c r="C916" s="95">
        <v>381.0</v>
      </c>
      <c r="D916" s="96">
        <v>5.3666656E7</v>
      </c>
    </row>
    <row r="917">
      <c r="A917" s="93" t="str">
        <f t="shared" si="1"/>
        <v>560330064917449</v>
      </c>
      <c r="B917" s="94">
        <v>56.0</v>
      </c>
      <c r="C917" s="95">
        <v>33.0</v>
      </c>
      <c r="D917" s="96">
        <v>6.4917449E7</v>
      </c>
    </row>
    <row r="918">
      <c r="A918" s="93" t="str">
        <f t="shared" si="1"/>
        <v>131450077705181</v>
      </c>
      <c r="B918" s="94">
        <v>13.0</v>
      </c>
      <c r="C918" s="95">
        <v>145.0</v>
      </c>
      <c r="D918" s="96">
        <v>7.7705181E7</v>
      </c>
    </row>
    <row r="919">
      <c r="A919" s="93" t="str">
        <f t="shared" si="1"/>
        <v>040190058172716</v>
      </c>
      <c r="B919" s="94">
        <v>4.0</v>
      </c>
      <c r="C919" s="95">
        <v>19.0</v>
      </c>
      <c r="D919" s="96">
        <v>5.8172716E7</v>
      </c>
    </row>
    <row r="920">
      <c r="A920" s="93" t="str">
        <f t="shared" si="1"/>
        <v>471890089066195</v>
      </c>
      <c r="B920" s="94">
        <v>47.0</v>
      </c>
      <c r="C920" s="95">
        <v>189.0</v>
      </c>
      <c r="D920" s="96">
        <v>8.9066195E7</v>
      </c>
    </row>
    <row r="921">
      <c r="A921" s="93" t="str">
        <f t="shared" si="1"/>
        <v>380890035166518</v>
      </c>
      <c r="B921" s="94">
        <v>38.0</v>
      </c>
      <c r="C921" s="95">
        <v>89.0</v>
      </c>
      <c r="D921" s="96">
        <v>3.5166518E7</v>
      </c>
    </row>
    <row r="922">
      <c r="A922" s="93" t="str">
        <f t="shared" si="1"/>
        <v>390730076548519</v>
      </c>
      <c r="B922" s="94">
        <v>39.0</v>
      </c>
      <c r="C922" s="95">
        <v>73.0</v>
      </c>
      <c r="D922" s="96">
        <v>7.6548519E7</v>
      </c>
    </row>
    <row r="923">
      <c r="A923" s="93" t="str">
        <f t="shared" si="1"/>
        <v>390690051767901</v>
      </c>
      <c r="B923" s="94">
        <v>39.0</v>
      </c>
      <c r="C923" s="95">
        <v>69.0</v>
      </c>
      <c r="D923" s="96">
        <v>5.1767901E7</v>
      </c>
    </row>
    <row r="924">
      <c r="A924" s="93" t="str">
        <f t="shared" si="1"/>
        <v>131070079050589</v>
      </c>
      <c r="B924" s="94">
        <v>13.0</v>
      </c>
      <c r="C924" s="95">
        <v>107.0</v>
      </c>
      <c r="D924" s="96">
        <v>7.9050589E7</v>
      </c>
    </row>
    <row r="925">
      <c r="A925" s="93" t="str">
        <f t="shared" si="1"/>
        <v>420870021661973</v>
      </c>
      <c r="B925" s="94">
        <v>42.0</v>
      </c>
      <c r="C925" s="95">
        <v>87.0</v>
      </c>
      <c r="D925" s="96">
        <v>2.1661973E7</v>
      </c>
    </row>
    <row r="926">
      <c r="A926" s="93" t="str">
        <f t="shared" si="1"/>
        <v>060730034275745</v>
      </c>
      <c r="B926" s="94">
        <v>6.0</v>
      </c>
      <c r="C926" s="95">
        <v>73.0</v>
      </c>
      <c r="D926" s="96">
        <v>3.4275745E7</v>
      </c>
    </row>
    <row r="927">
      <c r="A927" s="93" t="str">
        <f t="shared" si="1"/>
        <v>291430082793018</v>
      </c>
      <c r="B927" s="94">
        <v>29.0</v>
      </c>
      <c r="C927" s="95">
        <v>143.0</v>
      </c>
      <c r="D927" s="96">
        <v>8.2793018E7</v>
      </c>
    </row>
    <row r="928">
      <c r="A928" s="93" t="str">
        <f t="shared" si="1"/>
        <v>400950027968041</v>
      </c>
      <c r="B928" s="94">
        <v>40.0</v>
      </c>
      <c r="C928" s="95">
        <v>95.0</v>
      </c>
      <c r="D928" s="96">
        <v>2.7968041E7</v>
      </c>
    </row>
    <row r="929">
      <c r="A929" s="93" t="str">
        <f t="shared" si="1"/>
        <v>281430058061213</v>
      </c>
      <c r="B929" s="94">
        <v>28.0</v>
      </c>
      <c r="C929" s="95">
        <v>143.0</v>
      </c>
      <c r="D929" s="96">
        <v>5.8061213E7</v>
      </c>
    </row>
    <row r="930">
      <c r="A930" s="93" t="str">
        <f t="shared" si="1"/>
        <v>022200037653122</v>
      </c>
      <c r="B930" s="94">
        <v>2.0</v>
      </c>
      <c r="C930" s="95">
        <v>220.0</v>
      </c>
      <c r="D930" s="96">
        <v>3.7653122E7</v>
      </c>
    </row>
    <row r="931">
      <c r="A931" s="93" t="str">
        <f t="shared" si="1"/>
        <v>482710075723783</v>
      </c>
      <c r="B931" s="94">
        <v>48.0</v>
      </c>
      <c r="C931" s="95">
        <v>271.0</v>
      </c>
      <c r="D931" s="96">
        <v>7.5723783E7</v>
      </c>
    </row>
    <row r="932">
      <c r="A932" s="93" t="str">
        <f t="shared" si="1"/>
        <v>320290081153896</v>
      </c>
      <c r="B932" s="94">
        <v>32.0</v>
      </c>
      <c r="C932" s="95">
        <v>29.0</v>
      </c>
      <c r="D932" s="96">
        <v>8.1153896E7</v>
      </c>
    </row>
    <row r="933">
      <c r="A933" s="93" t="str">
        <f t="shared" si="1"/>
        <v>280130074743377</v>
      </c>
      <c r="B933" s="94">
        <v>28.0</v>
      </c>
      <c r="C933" s="95">
        <v>13.0</v>
      </c>
      <c r="D933" s="96">
        <v>7.4743377E7</v>
      </c>
    </row>
    <row r="934">
      <c r="A934" s="93" t="str">
        <f t="shared" si="1"/>
        <v>260910027103068</v>
      </c>
      <c r="B934" s="94">
        <v>26.0</v>
      </c>
      <c r="C934" s="95">
        <v>91.0</v>
      </c>
      <c r="D934" s="96">
        <v>2.7103068E7</v>
      </c>
    </row>
    <row r="935">
      <c r="A935" s="93" t="str">
        <f t="shared" si="1"/>
        <v>530390088347631</v>
      </c>
      <c r="B935" s="94">
        <v>53.0</v>
      </c>
      <c r="C935" s="95">
        <v>39.0</v>
      </c>
      <c r="D935" s="96">
        <v>8.8347631E7</v>
      </c>
    </row>
    <row r="936">
      <c r="A936" s="93" t="str">
        <f t="shared" si="1"/>
        <v>350060074229098</v>
      </c>
      <c r="B936" s="94">
        <v>35.0</v>
      </c>
      <c r="C936" s="95">
        <v>6.0</v>
      </c>
      <c r="D936" s="96">
        <v>7.4229098E7</v>
      </c>
    </row>
    <row r="937">
      <c r="A937" s="93" t="str">
        <f t="shared" si="1"/>
        <v>450450076265288</v>
      </c>
      <c r="B937" s="94">
        <v>45.0</v>
      </c>
      <c r="C937" s="95">
        <v>45.0</v>
      </c>
      <c r="D937" s="96">
        <v>7.6265288E7</v>
      </c>
    </row>
    <row r="938">
      <c r="A938" s="93" t="str">
        <f t="shared" si="1"/>
        <v>310770021507315</v>
      </c>
      <c r="B938" s="94">
        <v>31.0</v>
      </c>
      <c r="C938" s="95">
        <v>77.0</v>
      </c>
      <c r="D938" s="96">
        <v>2.1507315E7</v>
      </c>
    </row>
    <row r="939">
      <c r="A939" s="93" t="str">
        <f t="shared" si="1"/>
        <v>500270071597906</v>
      </c>
      <c r="B939" s="94">
        <v>50.0</v>
      </c>
      <c r="C939" s="95">
        <v>27.0</v>
      </c>
      <c r="D939" s="96">
        <v>7.1597906E7</v>
      </c>
    </row>
    <row r="940">
      <c r="A940" s="93" t="str">
        <f t="shared" si="1"/>
        <v>311630060282055</v>
      </c>
      <c r="B940" s="94">
        <v>31.0</v>
      </c>
      <c r="C940" s="95">
        <v>163.0</v>
      </c>
      <c r="D940" s="96">
        <v>6.0282055E7</v>
      </c>
    </row>
    <row r="941">
      <c r="A941" s="93" t="str">
        <f t="shared" si="1"/>
        <v>371750082282125</v>
      </c>
      <c r="B941" s="94">
        <v>37.0</v>
      </c>
      <c r="C941" s="95">
        <v>175.0</v>
      </c>
      <c r="D941" s="96">
        <v>8.2282125E7</v>
      </c>
    </row>
    <row r="942">
      <c r="A942" s="93" t="str">
        <f t="shared" si="1"/>
        <v>300090087011774</v>
      </c>
      <c r="B942" s="94">
        <v>30.0</v>
      </c>
      <c r="C942" s="95">
        <v>9.0</v>
      </c>
      <c r="D942" s="96">
        <v>8.7011774E7</v>
      </c>
    </row>
    <row r="943">
      <c r="A943" s="93" t="str">
        <f t="shared" si="1"/>
        <v>481750075911949</v>
      </c>
      <c r="B943" s="94">
        <v>48.0</v>
      </c>
      <c r="C943" s="95">
        <v>175.0</v>
      </c>
      <c r="D943" s="96">
        <v>7.5911949E7</v>
      </c>
    </row>
    <row r="944">
      <c r="A944" s="93" t="str">
        <f t="shared" si="1"/>
        <v>190810094271502</v>
      </c>
      <c r="B944" s="94">
        <v>19.0</v>
      </c>
      <c r="C944" s="95">
        <v>81.0</v>
      </c>
      <c r="D944" s="96">
        <v>9.4271502E7</v>
      </c>
    </row>
    <row r="945">
      <c r="A945" s="93" t="str">
        <f t="shared" si="1"/>
        <v>201170061738848</v>
      </c>
      <c r="B945" s="94">
        <v>20.0</v>
      </c>
      <c r="C945" s="95">
        <v>117.0</v>
      </c>
      <c r="D945" s="96">
        <v>6.1738848E7</v>
      </c>
    </row>
    <row r="946">
      <c r="A946" s="93" t="str">
        <f t="shared" si="1"/>
        <v>511030018091316</v>
      </c>
      <c r="B946" s="94">
        <v>51.0</v>
      </c>
      <c r="C946" s="95">
        <v>103.0</v>
      </c>
      <c r="D946" s="96">
        <v>1.8091316E7</v>
      </c>
    </row>
    <row r="947">
      <c r="A947" s="93" t="str">
        <f t="shared" si="1"/>
        <v>010670090566343</v>
      </c>
      <c r="B947" s="94">
        <v>1.0</v>
      </c>
      <c r="C947" s="95">
        <v>67.0</v>
      </c>
      <c r="D947" s="96">
        <v>9.0566343E7</v>
      </c>
    </row>
    <row r="948">
      <c r="A948" s="93" t="str">
        <f t="shared" si="1"/>
        <v>221130048661586</v>
      </c>
      <c r="B948" s="94">
        <v>22.0</v>
      </c>
      <c r="C948" s="95">
        <v>113.0</v>
      </c>
      <c r="D948" s="96">
        <v>4.8661586E7</v>
      </c>
    </row>
    <row r="949">
      <c r="A949" s="93" t="str">
        <f t="shared" si="1"/>
        <v>361230035684224</v>
      </c>
      <c r="B949" s="94">
        <v>36.0</v>
      </c>
      <c r="C949" s="95">
        <v>123.0</v>
      </c>
      <c r="D949" s="96">
        <v>3.5684224E7</v>
      </c>
    </row>
    <row r="950">
      <c r="A950" s="93" t="str">
        <f t="shared" si="1"/>
        <v>550470024349299</v>
      </c>
      <c r="B950" s="94">
        <v>55.0</v>
      </c>
      <c r="C950" s="95">
        <v>47.0</v>
      </c>
      <c r="D950" s="96">
        <v>2.4349299E7</v>
      </c>
    </row>
    <row r="951">
      <c r="A951" s="93" t="str">
        <f t="shared" si="1"/>
        <v>550350071460698</v>
      </c>
      <c r="B951" s="94">
        <v>55.0</v>
      </c>
      <c r="C951" s="95">
        <v>35.0</v>
      </c>
      <c r="D951" s="96">
        <v>7.1460698E7</v>
      </c>
    </row>
    <row r="952">
      <c r="A952" s="93" t="str">
        <f t="shared" si="1"/>
        <v>260010015608877</v>
      </c>
      <c r="B952" s="94">
        <v>26.0</v>
      </c>
      <c r="C952" s="95">
        <v>1.0</v>
      </c>
      <c r="D952" s="96">
        <v>1.5608877E7</v>
      </c>
    </row>
    <row r="953">
      <c r="A953" s="93" t="str">
        <f t="shared" si="1"/>
        <v>210190016762035</v>
      </c>
      <c r="B953" s="94">
        <v>21.0</v>
      </c>
      <c r="C953" s="95">
        <v>19.0</v>
      </c>
      <c r="D953" s="96">
        <v>1.6762035E7</v>
      </c>
    </row>
    <row r="954">
      <c r="A954" s="93" t="str">
        <f t="shared" si="1"/>
        <v>370890069199541</v>
      </c>
      <c r="B954" s="94">
        <v>37.0</v>
      </c>
      <c r="C954" s="95">
        <v>89.0</v>
      </c>
      <c r="D954" s="96">
        <v>6.9199541E7</v>
      </c>
    </row>
    <row r="955">
      <c r="A955" s="93" t="str">
        <f t="shared" si="1"/>
        <v>550190093518500</v>
      </c>
      <c r="B955" s="94">
        <v>55.0</v>
      </c>
      <c r="C955" s="95">
        <v>19.0</v>
      </c>
      <c r="D955" s="96">
        <v>9.35185E7</v>
      </c>
    </row>
    <row r="956">
      <c r="A956" s="93" t="str">
        <f t="shared" si="1"/>
        <v>211010058064844</v>
      </c>
      <c r="B956" s="94">
        <v>21.0</v>
      </c>
      <c r="C956" s="95">
        <v>101.0</v>
      </c>
      <c r="D956" s="96">
        <v>5.8064844E7</v>
      </c>
    </row>
    <row r="957">
      <c r="A957" s="93" t="str">
        <f t="shared" si="1"/>
        <v>370930018465866</v>
      </c>
      <c r="B957" s="94">
        <v>37.0</v>
      </c>
      <c r="C957" s="95">
        <v>93.0</v>
      </c>
      <c r="D957" s="96">
        <v>1.8465866E7</v>
      </c>
    </row>
    <row r="958">
      <c r="A958" s="93" t="str">
        <f t="shared" si="1"/>
        <v>160250013829928</v>
      </c>
      <c r="B958" s="94">
        <v>16.0</v>
      </c>
      <c r="C958" s="95">
        <v>25.0</v>
      </c>
      <c r="D958" s="96">
        <v>1.3829928E7</v>
      </c>
    </row>
    <row r="959">
      <c r="A959" s="93" t="str">
        <f t="shared" si="1"/>
        <v>311230091592454</v>
      </c>
      <c r="B959" s="94">
        <v>31.0</v>
      </c>
      <c r="C959" s="95">
        <v>123.0</v>
      </c>
      <c r="D959" s="96">
        <v>9.1592454E7</v>
      </c>
    </row>
    <row r="960">
      <c r="A960" s="93" t="str">
        <f t="shared" si="1"/>
        <v>090090025840308</v>
      </c>
      <c r="B960" s="94">
        <v>9.0</v>
      </c>
      <c r="C960" s="95">
        <v>9.0</v>
      </c>
      <c r="D960" s="96">
        <v>2.5840308E7</v>
      </c>
    </row>
    <row r="961">
      <c r="A961" s="93" t="str">
        <f t="shared" si="1"/>
        <v>350010096050019</v>
      </c>
      <c r="B961" s="94">
        <v>35.0</v>
      </c>
      <c r="C961" s="95">
        <v>1.0</v>
      </c>
      <c r="D961" s="96">
        <v>9.6050019E7</v>
      </c>
    </row>
    <row r="962">
      <c r="A962" s="93" t="str">
        <f t="shared" si="1"/>
        <v>484330011144927</v>
      </c>
      <c r="B962" s="94">
        <v>48.0</v>
      </c>
      <c r="C962" s="95">
        <v>433.0</v>
      </c>
      <c r="D962" s="96">
        <v>1.1144927E7</v>
      </c>
    </row>
    <row r="963">
      <c r="A963" s="93" t="str">
        <f t="shared" si="1"/>
        <v>483150016452286</v>
      </c>
      <c r="B963" s="94">
        <v>48.0</v>
      </c>
      <c r="C963" s="95">
        <v>315.0</v>
      </c>
      <c r="D963" s="96">
        <v>1.6452286E7</v>
      </c>
    </row>
    <row r="964">
      <c r="A964" s="93" t="str">
        <f t="shared" si="1"/>
        <v>390990043676298</v>
      </c>
      <c r="B964" s="94">
        <v>39.0</v>
      </c>
      <c r="C964" s="95">
        <v>99.0</v>
      </c>
      <c r="D964" s="96">
        <v>4.3676298E7</v>
      </c>
    </row>
    <row r="965">
      <c r="A965" s="93" t="str">
        <f t="shared" si="1"/>
        <v>260970068587417</v>
      </c>
      <c r="B965" s="94">
        <v>26.0</v>
      </c>
      <c r="C965" s="95">
        <v>97.0</v>
      </c>
      <c r="D965" s="96">
        <v>6.8587417E7</v>
      </c>
    </row>
    <row r="966">
      <c r="A966" s="93" t="str">
        <f t="shared" si="1"/>
        <v>281370095326169</v>
      </c>
      <c r="B966" s="94">
        <v>28.0</v>
      </c>
      <c r="C966" s="95">
        <v>137.0</v>
      </c>
      <c r="D966" s="96">
        <v>9.5326169E7</v>
      </c>
    </row>
    <row r="967">
      <c r="A967" s="93" t="str">
        <f t="shared" si="1"/>
        <v>291450028147070</v>
      </c>
      <c r="B967" s="94">
        <v>29.0</v>
      </c>
      <c r="C967" s="95">
        <v>145.0</v>
      </c>
      <c r="D967" s="96">
        <v>2.814707E7</v>
      </c>
    </row>
    <row r="968">
      <c r="A968" s="93" t="str">
        <f t="shared" si="1"/>
        <v>261050069749848</v>
      </c>
      <c r="B968" s="94">
        <v>26.0</v>
      </c>
      <c r="C968" s="95">
        <v>105.0</v>
      </c>
      <c r="D968" s="96">
        <v>6.9749848E7</v>
      </c>
    </row>
    <row r="969">
      <c r="A969" s="93" t="str">
        <f t="shared" si="1"/>
        <v>480870036763865</v>
      </c>
      <c r="B969" s="94">
        <v>48.0</v>
      </c>
      <c r="C969" s="95">
        <v>87.0</v>
      </c>
      <c r="D969" s="96">
        <v>3.6763865E7</v>
      </c>
    </row>
    <row r="970">
      <c r="A970" s="93" t="str">
        <f t="shared" si="1"/>
        <v>212290050381601</v>
      </c>
      <c r="B970" s="94">
        <v>21.0</v>
      </c>
      <c r="C970" s="95">
        <v>229.0</v>
      </c>
      <c r="D970" s="96">
        <v>5.0381601E7</v>
      </c>
    </row>
    <row r="971">
      <c r="A971" s="93" t="str">
        <f t="shared" si="1"/>
        <v>040210035252675</v>
      </c>
      <c r="B971" s="94">
        <v>4.0</v>
      </c>
      <c r="C971" s="95">
        <v>21.0</v>
      </c>
      <c r="D971" s="96">
        <v>3.5252675E7</v>
      </c>
    </row>
    <row r="972">
      <c r="A972" s="93" t="str">
        <f t="shared" si="1"/>
        <v>260990077687890</v>
      </c>
      <c r="B972" s="94">
        <v>26.0</v>
      </c>
      <c r="C972" s="95">
        <v>99.0</v>
      </c>
      <c r="D972" s="96">
        <v>7.768789E7</v>
      </c>
    </row>
    <row r="973">
      <c r="A973" s="93" t="str">
        <f t="shared" si="1"/>
        <v>020900043709054</v>
      </c>
      <c r="B973" s="94">
        <v>2.0</v>
      </c>
      <c r="C973" s="95">
        <v>90.0</v>
      </c>
      <c r="D973" s="96">
        <v>4.3709054E7</v>
      </c>
    </row>
    <row r="974">
      <c r="A974" s="93" t="str">
        <f t="shared" si="1"/>
        <v>540510069435815</v>
      </c>
      <c r="B974" s="94">
        <v>54.0</v>
      </c>
      <c r="C974" s="95">
        <v>51.0</v>
      </c>
      <c r="D974" s="96">
        <v>6.9435815E7</v>
      </c>
    </row>
    <row r="975">
      <c r="A975" s="93" t="str">
        <f t="shared" si="1"/>
        <v>261170090145651</v>
      </c>
      <c r="B975" s="94">
        <v>26.0</v>
      </c>
      <c r="C975" s="95">
        <v>117.0</v>
      </c>
      <c r="D975" s="96">
        <v>9.0145651E7</v>
      </c>
    </row>
    <row r="976">
      <c r="A976" s="93" t="str">
        <f t="shared" si="1"/>
        <v>471610027942092</v>
      </c>
      <c r="B976" s="94">
        <v>47.0</v>
      </c>
      <c r="C976" s="95">
        <v>161.0</v>
      </c>
      <c r="D976" s="96">
        <v>2.7942092E7</v>
      </c>
    </row>
    <row r="977">
      <c r="A977" s="93" t="str">
        <f t="shared" si="1"/>
        <v>191110074520621</v>
      </c>
      <c r="B977" s="94">
        <v>19.0</v>
      </c>
      <c r="C977" s="95">
        <v>111.0</v>
      </c>
      <c r="D977" s="96">
        <v>7.4520621E7</v>
      </c>
    </row>
    <row r="978">
      <c r="A978" s="93" t="str">
        <f t="shared" si="1"/>
        <v>551210057458996</v>
      </c>
      <c r="B978" s="94">
        <v>55.0</v>
      </c>
      <c r="C978" s="95">
        <v>121.0</v>
      </c>
      <c r="D978" s="96">
        <v>5.7458996E7</v>
      </c>
    </row>
    <row r="979">
      <c r="A979" s="93" t="str">
        <f t="shared" si="1"/>
        <v>290730014998093</v>
      </c>
      <c r="B979" s="94">
        <v>29.0</v>
      </c>
      <c r="C979" s="95">
        <v>73.0</v>
      </c>
      <c r="D979" s="96">
        <v>1.4998093E7</v>
      </c>
    </row>
    <row r="980">
      <c r="A980" s="93" t="str">
        <f t="shared" si="1"/>
        <v>471150062445069</v>
      </c>
      <c r="B980" s="94">
        <v>47.0</v>
      </c>
      <c r="C980" s="95">
        <v>115.0</v>
      </c>
      <c r="D980" s="96">
        <v>6.2445069E7</v>
      </c>
    </row>
    <row r="981">
      <c r="A981" s="93" t="str">
        <f t="shared" si="1"/>
        <v>515950088842821</v>
      </c>
      <c r="B981" s="94">
        <v>51.0</v>
      </c>
      <c r="C981" s="95">
        <v>595.0</v>
      </c>
      <c r="D981" s="96">
        <v>8.8842821E7</v>
      </c>
    </row>
    <row r="982">
      <c r="A982" s="93" t="str">
        <f t="shared" si="1"/>
        <v>060590091788548</v>
      </c>
      <c r="B982" s="94">
        <v>6.0</v>
      </c>
      <c r="C982" s="95">
        <v>59.0</v>
      </c>
      <c r="D982" s="96">
        <v>9.1788548E7</v>
      </c>
    </row>
    <row r="983">
      <c r="A983" s="93" t="str">
        <f t="shared" si="1"/>
        <v>480330021925082</v>
      </c>
      <c r="B983" s="94">
        <v>48.0</v>
      </c>
      <c r="C983" s="95">
        <v>33.0</v>
      </c>
      <c r="D983" s="96">
        <v>2.1925082E7</v>
      </c>
    </row>
    <row r="984">
      <c r="A984" s="93" t="str">
        <f t="shared" si="1"/>
        <v>160810045200751</v>
      </c>
      <c r="B984" s="94">
        <v>16.0</v>
      </c>
      <c r="C984" s="95">
        <v>81.0</v>
      </c>
      <c r="D984" s="96">
        <v>4.5200751E7</v>
      </c>
    </row>
    <row r="985">
      <c r="A985" s="93" t="str">
        <f t="shared" si="1"/>
        <v>010810028274146</v>
      </c>
      <c r="B985" s="94">
        <v>1.0</v>
      </c>
      <c r="C985" s="95">
        <v>81.0</v>
      </c>
      <c r="D985" s="96">
        <v>2.8274146E7</v>
      </c>
    </row>
    <row r="986">
      <c r="A986" s="93" t="str">
        <f t="shared" si="1"/>
        <v>485030073375822</v>
      </c>
      <c r="B986" s="94">
        <v>48.0</v>
      </c>
      <c r="C986" s="95">
        <v>503.0</v>
      </c>
      <c r="D986" s="96">
        <v>7.3375822E7</v>
      </c>
    </row>
    <row r="987">
      <c r="A987" s="93" t="str">
        <f t="shared" si="1"/>
        <v>485050056795797</v>
      </c>
      <c r="B987" s="94">
        <v>48.0</v>
      </c>
      <c r="C987" s="95">
        <v>505.0</v>
      </c>
      <c r="D987" s="96">
        <v>5.6795797E7</v>
      </c>
    </row>
    <row r="988">
      <c r="A988" s="93" t="str">
        <f t="shared" si="1"/>
        <v>421050022621499</v>
      </c>
      <c r="B988" s="94">
        <v>42.0</v>
      </c>
      <c r="C988" s="95">
        <v>105.0</v>
      </c>
      <c r="D988" s="96">
        <v>2.2621499E7</v>
      </c>
    </row>
    <row r="989">
      <c r="A989" s="93" t="str">
        <f t="shared" si="1"/>
        <v>211570072785735</v>
      </c>
      <c r="B989" s="94">
        <v>21.0</v>
      </c>
      <c r="C989" s="95">
        <v>157.0</v>
      </c>
      <c r="D989" s="96">
        <v>7.2785735E7</v>
      </c>
    </row>
    <row r="990">
      <c r="A990" s="93" t="str">
        <f t="shared" si="1"/>
        <v>518200073633746</v>
      </c>
      <c r="B990" s="94">
        <v>51.0</v>
      </c>
      <c r="C990" s="95">
        <v>820.0</v>
      </c>
      <c r="D990" s="96">
        <v>7.3633746E7</v>
      </c>
    </row>
    <row r="991">
      <c r="A991" s="93" t="str">
        <f t="shared" si="1"/>
        <v>221030094649261</v>
      </c>
      <c r="B991" s="94">
        <v>22.0</v>
      </c>
      <c r="C991" s="95">
        <v>103.0</v>
      </c>
      <c r="D991" s="96">
        <v>9.4649261E7</v>
      </c>
    </row>
    <row r="992">
      <c r="A992" s="93" t="str">
        <f t="shared" si="1"/>
        <v>370590050836378</v>
      </c>
      <c r="B992" s="94">
        <v>37.0</v>
      </c>
      <c r="C992" s="95">
        <v>59.0</v>
      </c>
      <c r="D992" s="96">
        <v>5.0836378E7</v>
      </c>
    </row>
    <row r="993">
      <c r="A993" s="93" t="str">
        <f t="shared" si="1"/>
        <v>550590075023492</v>
      </c>
      <c r="B993" s="94">
        <v>55.0</v>
      </c>
      <c r="C993" s="95">
        <v>59.0</v>
      </c>
      <c r="D993" s="96">
        <v>7.5023492E7</v>
      </c>
    </row>
    <row r="994">
      <c r="A994" s="93" t="str">
        <f t="shared" si="1"/>
        <v>510830082793731</v>
      </c>
      <c r="B994" s="94">
        <v>51.0</v>
      </c>
      <c r="C994" s="95">
        <v>83.0</v>
      </c>
      <c r="D994" s="96">
        <v>8.2793731E7</v>
      </c>
    </row>
    <row r="995">
      <c r="A995" s="93" t="str">
        <f t="shared" si="1"/>
        <v>022820039083199</v>
      </c>
      <c r="B995" s="94">
        <v>2.0</v>
      </c>
      <c r="C995" s="95">
        <v>282.0</v>
      </c>
      <c r="D995" s="96">
        <v>3.9083199E7</v>
      </c>
    </row>
    <row r="996">
      <c r="A996" s="93" t="str">
        <f t="shared" si="1"/>
        <v>120450048007622</v>
      </c>
      <c r="B996" s="94">
        <v>12.0</v>
      </c>
      <c r="C996" s="95">
        <v>45.0</v>
      </c>
      <c r="D996" s="96">
        <v>4.8007622E7</v>
      </c>
    </row>
    <row r="997">
      <c r="A997" s="93" t="str">
        <f t="shared" si="1"/>
        <v>390370092542511</v>
      </c>
      <c r="B997" s="94">
        <v>39.0</v>
      </c>
      <c r="C997" s="95">
        <v>37.0</v>
      </c>
      <c r="D997" s="96">
        <v>9.2542511E7</v>
      </c>
    </row>
    <row r="998">
      <c r="A998" s="93" t="str">
        <f t="shared" si="1"/>
        <v>271430060140475</v>
      </c>
      <c r="B998" s="94">
        <v>27.0</v>
      </c>
      <c r="C998" s="95">
        <v>143.0</v>
      </c>
      <c r="D998" s="96">
        <v>6.0140475E7</v>
      </c>
    </row>
    <row r="999">
      <c r="A999" s="93" t="str">
        <f t="shared" si="1"/>
        <v>061050090467689</v>
      </c>
      <c r="B999" s="94">
        <v>6.0</v>
      </c>
      <c r="C999" s="95">
        <v>105.0</v>
      </c>
      <c r="D999" s="96">
        <v>9.0467689E7</v>
      </c>
    </row>
    <row r="1000">
      <c r="A1000" s="93" t="str">
        <f t="shared" si="1"/>
        <v>550990079956177</v>
      </c>
      <c r="B1000" s="94">
        <v>55.0</v>
      </c>
      <c r="C1000" s="95">
        <v>99.0</v>
      </c>
      <c r="D1000" s="96">
        <v>7.9956177E7</v>
      </c>
    </row>
    <row r="1001">
      <c r="A1001" s="93" t="str">
        <f t="shared" si="1"/>
        <v>390430054842807</v>
      </c>
      <c r="B1001" s="94">
        <v>39.0</v>
      </c>
      <c r="C1001" s="95">
        <v>43.0</v>
      </c>
      <c r="D1001" s="96">
        <v>5.4842807E7</v>
      </c>
    </row>
    <row r="1002">
      <c r="A1002" s="93" t="str">
        <f t="shared" si="1"/>
        <v>517400095259511</v>
      </c>
      <c r="B1002" s="94">
        <v>51.0</v>
      </c>
      <c r="C1002" s="95">
        <v>740.0</v>
      </c>
      <c r="D1002" s="96">
        <v>9.5259511E7</v>
      </c>
    </row>
    <row r="1003">
      <c r="A1003" s="93" t="str">
        <f t="shared" si="1"/>
        <v>300930047216491</v>
      </c>
      <c r="B1003" s="94">
        <v>30.0</v>
      </c>
      <c r="C1003" s="95">
        <v>93.0</v>
      </c>
      <c r="D1003" s="96">
        <v>4.7216491E7</v>
      </c>
    </row>
    <row r="1004">
      <c r="A1004" s="32"/>
      <c r="B1004" s="17"/>
      <c r="C1004" s="97"/>
      <c r="D1004" s="32"/>
    </row>
    <row r="1005">
      <c r="A1005" s="32"/>
      <c r="B1005" s="17"/>
      <c r="C1005" s="97"/>
      <c r="D1005" s="32"/>
    </row>
    <row r="1006">
      <c r="A1006" s="32"/>
      <c r="B1006" s="98"/>
      <c r="C1006" s="97"/>
      <c r="D1006" s="9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18.75"/>
    <col customWidth="1" min="3" max="3" width="20.38"/>
    <col customWidth="1" min="4" max="4" width="14.38"/>
    <col customWidth="1" min="5" max="5" width="14.5"/>
    <col customWidth="1" min="6" max="6" width="25.0"/>
    <col customWidth="1" min="7" max="7" width="29.38"/>
    <col customWidth="1" min="8" max="8" width="18.25"/>
    <col customWidth="1" min="9" max="9" width="14.5"/>
    <col customWidth="1" min="10" max="10" width="16.75"/>
    <col customWidth="1" min="11" max="11" width="17.88"/>
    <col customWidth="1" min="12" max="12" width="15.63"/>
    <col customWidth="1" min="13" max="13" width="16.88"/>
    <col customWidth="1" min="14" max="14" width="13.13"/>
    <col customWidth="1" min="15" max="16" width="14.88"/>
    <col customWidth="1" min="17" max="17" width="14.5"/>
    <col customWidth="1" min="18" max="18" width="20.13"/>
    <col customWidth="1" min="19" max="19" width="24.63"/>
    <col customWidth="1" min="20" max="20" width="20.13"/>
    <col customWidth="1" min="21" max="21" width="12.25"/>
    <col customWidth="1" min="22" max="23" width="14.5"/>
    <col customWidth="1" min="24" max="24" width="15.63"/>
    <col customWidth="1" min="25" max="25" width="26.88"/>
    <col customWidth="1" min="26" max="26" width="16.75"/>
    <col customWidth="1" min="27" max="27" width="11.13"/>
    <col customWidth="1" min="28" max="28" width="21.0"/>
    <col customWidth="1" min="29" max="29" width="16.75"/>
    <col customWidth="1" min="30" max="30" width="10.0"/>
  </cols>
  <sheetData>
    <row r="1">
      <c r="A1" s="3" t="s">
        <v>551</v>
      </c>
      <c r="B1" s="3" t="s">
        <v>552</v>
      </c>
      <c r="C1" s="3" t="s">
        <v>552</v>
      </c>
      <c r="D1" s="15" t="s">
        <v>551</v>
      </c>
      <c r="E1" s="3" t="s">
        <v>561</v>
      </c>
      <c r="F1" s="99" t="s">
        <v>3805</v>
      </c>
      <c r="G1" s="99" t="s">
        <v>3805</v>
      </c>
      <c r="H1" s="99" t="s">
        <v>3805</v>
      </c>
      <c r="I1" s="99" t="s">
        <v>3805</v>
      </c>
      <c r="J1" s="99" t="s">
        <v>3805</v>
      </c>
      <c r="K1" s="99" t="s">
        <v>3805</v>
      </c>
      <c r="L1" s="99" t="s">
        <v>3805</v>
      </c>
      <c r="M1" s="99" t="s">
        <v>3805</v>
      </c>
      <c r="N1" s="3" t="s">
        <v>560</v>
      </c>
      <c r="O1" s="3" t="s">
        <v>555</v>
      </c>
      <c r="P1" s="3" t="s">
        <v>555</v>
      </c>
      <c r="Q1" s="3" t="s">
        <v>555</v>
      </c>
      <c r="R1" s="3" t="s">
        <v>555</v>
      </c>
      <c r="S1" s="3" t="s">
        <v>551</v>
      </c>
      <c r="T1" s="3" t="s">
        <v>3806</v>
      </c>
      <c r="U1" s="3" t="s">
        <v>557</v>
      </c>
      <c r="V1" s="3" t="s">
        <v>3794</v>
      </c>
      <c r="W1" s="3" t="s">
        <v>561</v>
      </c>
      <c r="X1" s="100" t="s">
        <v>555</v>
      </c>
      <c r="Y1" s="100" t="s">
        <v>560</v>
      </c>
      <c r="Z1" s="3" t="s">
        <v>3807</v>
      </c>
      <c r="AA1" s="100" t="s">
        <v>560</v>
      </c>
      <c r="AB1" s="99" t="s">
        <v>3808</v>
      </c>
      <c r="AC1" s="3" t="s">
        <v>560</v>
      </c>
      <c r="AD1" s="3" t="s">
        <v>552</v>
      </c>
    </row>
    <row r="2">
      <c r="A2" s="42" t="s">
        <v>563</v>
      </c>
      <c r="B2" s="42" t="s">
        <v>563</v>
      </c>
      <c r="C2" s="42" t="s">
        <v>563</v>
      </c>
      <c r="D2" s="101" t="s">
        <v>3809</v>
      </c>
      <c r="E2" s="5" t="s">
        <v>3810</v>
      </c>
      <c r="F2" s="102" t="s">
        <v>3811</v>
      </c>
      <c r="G2" s="102" t="s">
        <v>3812</v>
      </c>
      <c r="H2" s="102" t="s">
        <v>3812</v>
      </c>
      <c r="I2" s="102" t="s">
        <v>3812</v>
      </c>
      <c r="J2" s="102" t="s">
        <v>3812</v>
      </c>
      <c r="K2" s="102" t="s">
        <v>3812</v>
      </c>
      <c r="L2" s="102" t="s">
        <v>3812</v>
      </c>
      <c r="M2" s="102" t="s">
        <v>3812</v>
      </c>
      <c r="N2" s="5" t="s">
        <v>3813</v>
      </c>
      <c r="O2" s="5" t="s">
        <v>3814</v>
      </c>
      <c r="P2" s="103" t="s">
        <v>3815</v>
      </c>
      <c r="Q2" s="5" t="s">
        <v>3816</v>
      </c>
      <c r="R2" s="60" t="s">
        <v>2776</v>
      </c>
      <c r="S2" s="104" t="s">
        <v>3817</v>
      </c>
      <c r="T2" s="5" t="s">
        <v>3818</v>
      </c>
      <c r="U2" s="5" t="s">
        <v>3819</v>
      </c>
      <c r="V2" s="5" t="s">
        <v>3820</v>
      </c>
      <c r="W2" s="5" t="s">
        <v>3821</v>
      </c>
      <c r="X2" s="105" t="s">
        <v>3822</v>
      </c>
      <c r="Y2" s="105" t="s">
        <v>3822</v>
      </c>
      <c r="Z2" s="5" t="s">
        <v>3823</v>
      </c>
      <c r="AA2" s="105" t="s">
        <v>3822</v>
      </c>
      <c r="AB2" s="102" t="s">
        <v>3824</v>
      </c>
      <c r="AC2" s="105" t="s">
        <v>3822</v>
      </c>
      <c r="AD2" s="5" t="s">
        <v>3825</v>
      </c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  <c r="BC2" s="72"/>
      <c r="BD2" s="72"/>
      <c r="BE2" s="72"/>
      <c r="BF2" s="72"/>
      <c r="BG2" s="72"/>
      <c r="BH2" s="72"/>
      <c r="BI2" s="72"/>
      <c r="BJ2" s="72"/>
      <c r="BK2" s="72"/>
      <c r="BL2" s="72"/>
      <c r="BM2" s="72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2"/>
      <c r="CB2" s="72"/>
      <c r="CC2" s="72"/>
      <c r="CD2" s="72"/>
      <c r="CE2" s="72"/>
      <c r="CF2" s="72"/>
      <c r="CG2" s="72"/>
      <c r="CH2" s="72"/>
      <c r="CI2" s="72"/>
      <c r="CJ2" s="72"/>
      <c r="CK2" s="72"/>
      <c r="CL2" s="72"/>
      <c r="CM2" s="72"/>
      <c r="CN2" s="72"/>
      <c r="CO2" s="72"/>
      <c r="CP2" s="72"/>
      <c r="CQ2" s="72"/>
      <c r="CR2" s="72"/>
      <c r="CS2" s="72"/>
      <c r="CT2" s="72"/>
      <c r="CU2" s="72"/>
      <c r="CV2" s="72"/>
      <c r="CW2" s="72"/>
      <c r="CX2" s="72"/>
      <c r="CY2" s="72"/>
      <c r="CZ2" s="72"/>
      <c r="DA2" s="72"/>
      <c r="DB2" s="72"/>
      <c r="DC2" s="72"/>
      <c r="DD2" s="72"/>
      <c r="DE2" s="72"/>
      <c r="DF2" s="72"/>
      <c r="DG2" s="72"/>
      <c r="DH2" s="72"/>
      <c r="DI2" s="72"/>
      <c r="DJ2" s="72"/>
      <c r="DK2" s="72"/>
      <c r="DL2" s="72"/>
      <c r="DM2" s="72"/>
      <c r="DN2" s="72"/>
      <c r="DO2" s="72"/>
      <c r="DP2" s="72"/>
      <c r="DQ2" s="72"/>
      <c r="DR2" s="72"/>
      <c r="DS2" s="72"/>
      <c r="DT2" s="72"/>
      <c r="DU2" s="72"/>
      <c r="DV2" s="72"/>
      <c r="DW2" s="72"/>
      <c r="DX2" s="72"/>
      <c r="DY2" s="72"/>
      <c r="DZ2" s="72"/>
      <c r="EA2" s="72"/>
      <c r="EB2" s="72"/>
      <c r="EC2" s="72"/>
      <c r="ED2" s="72"/>
      <c r="EE2" s="72"/>
      <c r="EF2" s="72"/>
      <c r="EG2" s="72"/>
      <c r="EH2" s="72"/>
      <c r="EI2" s="72"/>
      <c r="EJ2" s="72"/>
      <c r="EK2" s="72"/>
      <c r="EL2" s="72"/>
      <c r="EM2" s="72"/>
      <c r="EN2" s="72"/>
      <c r="EO2" s="72"/>
      <c r="EP2" s="72"/>
      <c r="EQ2" s="72"/>
      <c r="ER2" s="72"/>
      <c r="ES2" s="72"/>
      <c r="ET2" s="72"/>
      <c r="EU2" s="72"/>
      <c r="EV2" s="72"/>
      <c r="EW2" s="72"/>
      <c r="EX2" s="72"/>
      <c r="EY2" s="72"/>
      <c r="EZ2" s="72"/>
      <c r="FA2" s="72"/>
      <c r="FB2" s="72"/>
      <c r="FC2" s="72"/>
      <c r="FD2" s="72"/>
      <c r="FE2" s="72"/>
      <c r="FF2" s="72"/>
      <c r="FG2" s="72"/>
      <c r="FH2" s="72"/>
      <c r="FI2" s="72"/>
      <c r="FJ2" s="72"/>
      <c r="FK2" s="72"/>
      <c r="FL2" s="72"/>
      <c r="FM2" s="72"/>
      <c r="FN2" s="72"/>
      <c r="FO2" s="72"/>
      <c r="FP2" s="72"/>
      <c r="FQ2" s="72"/>
      <c r="FR2" s="72"/>
      <c r="FS2" s="72"/>
      <c r="FT2" s="72"/>
      <c r="FU2" s="72"/>
      <c r="FV2" s="72"/>
      <c r="FW2" s="72"/>
      <c r="FX2" s="72"/>
      <c r="FY2" s="72"/>
      <c r="FZ2" s="72"/>
      <c r="GA2" s="72"/>
      <c r="GB2" s="72"/>
      <c r="GC2" s="72"/>
      <c r="GD2" s="72"/>
      <c r="GE2" s="72"/>
      <c r="GF2" s="72"/>
      <c r="GG2" s="72"/>
      <c r="GH2" s="72"/>
      <c r="GI2" s="72"/>
      <c r="GJ2" s="72"/>
      <c r="GK2" s="72"/>
      <c r="GL2" s="72"/>
      <c r="GM2" s="72"/>
      <c r="GN2" s="72"/>
      <c r="GO2" s="72"/>
      <c r="GP2" s="72"/>
      <c r="GQ2" s="72"/>
      <c r="GR2" s="72"/>
      <c r="GS2" s="72"/>
      <c r="GT2" s="72"/>
      <c r="GU2" s="72"/>
      <c r="GV2" s="72"/>
      <c r="GW2" s="72"/>
      <c r="GX2" s="72"/>
      <c r="GY2" s="72"/>
      <c r="GZ2" s="72"/>
      <c r="HA2" s="72"/>
      <c r="HB2" s="72"/>
      <c r="HC2" s="72"/>
      <c r="HD2" s="72"/>
      <c r="HE2" s="72"/>
      <c r="HF2" s="72"/>
      <c r="HG2" s="72"/>
      <c r="HH2" s="72"/>
      <c r="HI2" s="72"/>
      <c r="HJ2" s="72"/>
      <c r="HK2" s="72"/>
      <c r="HL2" s="72"/>
      <c r="HM2" s="72"/>
      <c r="HN2" s="72"/>
      <c r="HO2" s="72"/>
      <c r="HP2" s="72"/>
      <c r="HQ2" s="72"/>
      <c r="HR2" s="72"/>
      <c r="HS2" s="72"/>
      <c r="HT2" s="72"/>
      <c r="HU2" s="72"/>
      <c r="HV2" s="72"/>
      <c r="HW2" s="72"/>
      <c r="HX2" s="72"/>
      <c r="HY2" s="72"/>
      <c r="HZ2" s="72"/>
      <c r="IA2" s="72"/>
      <c r="IB2" s="72"/>
      <c r="IC2" s="72"/>
      <c r="ID2" s="72"/>
      <c r="IE2" s="72"/>
      <c r="IF2" s="72"/>
      <c r="IG2" s="72"/>
      <c r="IH2" s="72"/>
      <c r="II2" s="72"/>
      <c r="IJ2" s="72"/>
      <c r="IK2" s="72"/>
      <c r="IL2" s="72"/>
      <c r="IM2" s="72"/>
      <c r="IN2" s="72"/>
      <c r="IO2" s="72"/>
      <c r="IP2" s="72"/>
      <c r="IQ2" s="72"/>
      <c r="IR2" s="72"/>
      <c r="IS2" s="72"/>
      <c r="IT2" s="72"/>
      <c r="IU2" s="72"/>
      <c r="IV2" s="72"/>
      <c r="IW2" s="72"/>
      <c r="IX2" s="72"/>
      <c r="IY2" s="72"/>
      <c r="IZ2" s="72"/>
      <c r="JA2" s="72"/>
      <c r="JB2" s="72"/>
      <c r="JC2" s="72"/>
      <c r="JD2" s="72"/>
      <c r="JE2" s="72"/>
      <c r="JF2" s="72"/>
      <c r="JG2" s="72"/>
      <c r="JH2" s="72"/>
      <c r="JI2" s="72"/>
      <c r="JJ2" s="72"/>
      <c r="JK2" s="72"/>
      <c r="JL2" s="72"/>
      <c r="JM2" s="72"/>
      <c r="JN2" s="72"/>
      <c r="JO2" s="72"/>
      <c r="JP2" s="72"/>
      <c r="JQ2" s="72"/>
      <c r="JR2" s="72"/>
      <c r="JS2" s="72"/>
      <c r="JT2" s="72"/>
      <c r="JU2" s="72"/>
      <c r="JV2" s="72"/>
      <c r="JW2" s="72"/>
      <c r="JX2" s="72"/>
      <c r="JY2" s="72"/>
      <c r="JZ2" s="72"/>
      <c r="KA2" s="72"/>
      <c r="KB2" s="72"/>
      <c r="KC2" s="72"/>
      <c r="KD2" s="72"/>
      <c r="KE2" s="72"/>
      <c r="KF2" s="72"/>
      <c r="KG2" s="72"/>
      <c r="KH2" s="72"/>
      <c r="KI2" s="72"/>
      <c r="KJ2" s="72"/>
      <c r="KK2" s="72"/>
      <c r="KL2" s="72"/>
      <c r="KM2" s="72"/>
      <c r="KN2" s="72"/>
      <c r="KO2" s="72"/>
      <c r="KP2" s="72"/>
      <c r="KQ2" s="72"/>
      <c r="KR2" s="72"/>
      <c r="KS2" s="72"/>
      <c r="KT2" s="72"/>
      <c r="KU2" s="72"/>
      <c r="KV2" s="72"/>
      <c r="KW2" s="72"/>
      <c r="KX2" s="72"/>
      <c r="KY2" s="72"/>
      <c r="KZ2" s="72"/>
      <c r="LA2" s="72"/>
      <c r="LB2" s="72"/>
      <c r="LC2" s="72"/>
      <c r="LD2" s="72"/>
      <c r="LE2" s="72"/>
      <c r="LF2" s="72"/>
      <c r="LG2" s="72"/>
      <c r="LH2" s="72"/>
      <c r="LI2" s="72"/>
      <c r="LJ2" s="72"/>
      <c r="LK2" s="72"/>
      <c r="LL2" s="72"/>
      <c r="LM2" s="72"/>
      <c r="LN2" s="72"/>
      <c r="LO2" s="72"/>
      <c r="LP2" s="72"/>
      <c r="LQ2" s="72"/>
      <c r="LR2" s="72"/>
      <c r="LS2" s="72"/>
      <c r="LT2" s="72"/>
      <c r="LU2" s="72"/>
      <c r="LV2" s="72"/>
      <c r="LW2" s="72"/>
      <c r="LX2" s="72"/>
      <c r="LY2" s="72"/>
      <c r="LZ2" s="72"/>
      <c r="MA2" s="72"/>
      <c r="MB2" s="72"/>
      <c r="MC2" s="72"/>
      <c r="MD2" s="72"/>
      <c r="ME2" s="72"/>
      <c r="MF2" s="72"/>
      <c r="MG2" s="72"/>
      <c r="MH2" s="72"/>
      <c r="MI2" s="72"/>
      <c r="MJ2" s="72"/>
      <c r="MK2" s="72"/>
      <c r="ML2" s="72"/>
      <c r="MM2" s="72"/>
      <c r="MN2" s="72"/>
      <c r="MO2" s="72"/>
      <c r="MP2" s="72"/>
      <c r="MQ2" s="72"/>
      <c r="MR2" s="72"/>
      <c r="MS2" s="72"/>
      <c r="MT2" s="72"/>
      <c r="MU2" s="72"/>
      <c r="MV2" s="72"/>
      <c r="MW2" s="72"/>
      <c r="MX2" s="72"/>
      <c r="MY2" s="72"/>
      <c r="MZ2" s="72"/>
      <c r="NA2" s="72"/>
      <c r="NB2" s="72"/>
      <c r="NC2" s="72"/>
      <c r="ND2" s="72"/>
      <c r="NE2" s="72"/>
      <c r="NF2" s="72"/>
      <c r="NG2" s="72"/>
      <c r="NH2" s="72"/>
      <c r="NI2" s="72"/>
      <c r="NJ2" s="72"/>
      <c r="NK2" s="72"/>
      <c r="NL2" s="72"/>
      <c r="NM2" s="72"/>
      <c r="NN2" s="72"/>
      <c r="NO2" s="72"/>
      <c r="NP2" s="72"/>
      <c r="NQ2" s="72"/>
      <c r="NR2" s="72"/>
      <c r="NS2" s="72"/>
      <c r="NT2" s="72"/>
      <c r="NU2" s="72"/>
      <c r="NV2" s="72"/>
      <c r="NW2" s="72"/>
      <c r="NX2" s="72"/>
      <c r="NY2" s="72"/>
      <c r="NZ2" s="72"/>
      <c r="OA2" s="72"/>
      <c r="OB2" s="72"/>
      <c r="OC2" s="72"/>
      <c r="OD2" s="72"/>
      <c r="OE2" s="72"/>
      <c r="OF2" s="72"/>
      <c r="OG2" s="72"/>
      <c r="OH2" s="72"/>
      <c r="OI2" s="72"/>
      <c r="OJ2" s="72"/>
      <c r="OK2" s="72"/>
      <c r="OL2" s="72"/>
      <c r="OM2" s="72"/>
      <c r="ON2" s="72"/>
      <c r="OO2" s="72"/>
      <c r="OP2" s="72"/>
      <c r="OQ2" s="72"/>
      <c r="OR2" s="72"/>
      <c r="OS2" s="72"/>
      <c r="OT2" s="72"/>
      <c r="OU2" s="72"/>
      <c r="OV2" s="72"/>
      <c r="OW2" s="72"/>
      <c r="OX2" s="72"/>
      <c r="OY2" s="72"/>
      <c r="OZ2" s="72"/>
      <c r="PA2" s="72"/>
      <c r="PB2" s="72"/>
      <c r="PC2" s="72"/>
      <c r="PD2" s="72"/>
      <c r="PE2" s="72"/>
      <c r="PF2" s="72"/>
      <c r="PG2" s="72"/>
      <c r="PH2" s="72"/>
      <c r="PI2" s="72"/>
      <c r="PJ2" s="72"/>
      <c r="PK2" s="72"/>
      <c r="PL2" s="72"/>
      <c r="PM2" s="72"/>
      <c r="PN2" s="72"/>
      <c r="PO2" s="72"/>
      <c r="PP2" s="72"/>
      <c r="PQ2" s="72"/>
      <c r="PR2" s="72"/>
      <c r="PS2" s="72"/>
      <c r="PT2" s="72"/>
      <c r="PU2" s="72"/>
      <c r="PV2" s="72"/>
      <c r="PW2" s="72"/>
      <c r="PX2" s="72"/>
      <c r="PY2" s="72"/>
      <c r="PZ2" s="72"/>
      <c r="QA2" s="72"/>
      <c r="QB2" s="72"/>
      <c r="QC2" s="72"/>
      <c r="QD2" s="72"/>
      <c r="QE2" s="72"/>
      <c r="QF2" s="72"/>
      <c r="QG2" s="72"/>
      <c r="QH2" s="72"/>
      <c r="QI2" s="72"/>
      <c r="QJ2" s="72"/>
      <c r="QK2" s="72"/>
      <c r="QL2" s="72"/>
      <c r="QM2" s="72"/>
      <c r="QN2" s="72"/>
      <c r="QO2" s="72"/>
      <c r="QP2" s="72"/>
      <c r="QQ2" s="72"/>
      <c r="QR2" s="72"/>
      <c r="QS2" s="72"/>
      <c r="QT2" s="72"/>
      <c r="QU2" s="72"/>
      <c r="QV2" s="72"/>
      <c r="QW2" s="72"/>
      <c r="QX2" s="72"/>
      <c r="QY2" s="72"/>
      <c r="QZ2" s="72"/>
      <c r="RA2" s="72"/>
      <c r="RB2" s="72"/>
      <c r="RC2" s="72"/>
      <c r="RD2" s="72"/>
      <c r="RE2" s="72"/>
      <c r="RF2" s="72"/>
      <c r="RG2" s="72"/>
      <c r="RH2" s="72"/>
      <c r="RI2" s="72"/>
      <c r="RJ2" s="72"/>
      <c r="RK2" s="72"/>
      <c r="RL2" s="72"/>
      <c r="RM2" s="72"/>
      <c r="RN2" s="72"/>
      <c r="RO2" s="72"/>
      <c r="RP2" s="72"/>
      <c r="RQ2" s="72"/>
      <c r="RR2" s="72"/>
      <c r="RS2" s="72"/>
      <c r="RT2" s="72"/>
      <c r="RU2" s="72"/>
      <c r="RV2" s="72"/>
      <c r="RW2" s="72"/>
      <c r="RX2" s="72"/>
      <c r="RY2" s="72"/>
      <c r="RZ2" s="72"/>
      <c r="SA2" s="72"/>
      <c r="SB2" s="72"/>
      <c r="SC2" s="72"/>
      <c r="SD2" s="72"/>
      <c r="SE2" s="72"/>
      <c r="SF2" s="72"/>
      <c r="SG2" s="72"/>
      <c r="SH2" s="72"/>
      <c r="SI2" s="72"/>
      <c r="SJ2" s="72"/>
      <c r="SK2" s="72"/>
      <c r="SL2" s="72"/>
      <c r="SM2" s="72"/>
      <c r="SN2" s="72"/>
      <c r="SO2" s="72"/>
      <c r="SP2" s="72"/>
      <c r="SQ2" s="72"/>
      <c r="SR2" s="72"/>
      <c r="SS2" s="72"/>
      <c r="ST2" s="72"/>
      <c r="SU2" s="72"/>
      <c r="SV2" s="72"/>
      <c r="SW2" s="72"/>
      <c r="SX2" s="72"/>
      <c r="SY2" s="72"/>
      <c r="SZ2" s="72"/>
      <c r="TA2" s="72"/>
      <c r="TB2" s="72"/>
      <c r="TC2" s="72"/>
      <c r="TD2" s="72"/>
      <c r="TE2" s="72"/>
      <c r="TF2" s="72"/>
      <c r="TG2" s="72"/>
      <c r="TH2" s="72"/>
      <c r="TI2" s="72"/>
      <c r="TJ2" s="72"/>
      <c r="TK2" s="72"/>
      <c r="TL2" s="72"/>
      <c r="TM2" s="72"/>
      <c r="TN2" s="72"/>
      <c r="TO2" s="72"/>
      <c r="TP2" s="72"/>
      <c r="TQ2" s="72"/>
      <c r="TR2" s="72"/>
      <c r="TS2" s="72"/>
      <c r="TT2" s="72"/>
      <c r="TU2" s="72"/>
      <c r="TV2" s="72"/>
      <c r="TW2" s="72"/>
      <c r="TX2" s="72"/>
      <c r="TY2" s="72"/>
      <c r="TZ2" s="72"/>
      <c r="UA2" s="72"/>
      <c r="UB2" s="72"/>
      <c r="UC2" s="72"/>
      <c r="UD2" s="72"/>
      <c r="UE2" s="72"/>
      <c r="UF2" s="72"/>
      <c r="UG2" s="72"/>
      <c r="UH2" s="72"/>
      <c r="UI2" s="72"/>
      <c r="UJ2" s="72"/>
      <c r="UK2" s="72"/>
      <c r="UL2" s="72"/>
      <c r="UM2" s="72"/>
      <c r="UN2" s="72"/>
      <c r="UO2" s="72"/>
      <c r="UP2" s="72"/>
      <c r="UQ2" s="72"/>
      <c r="UR2" s="72"/>
      <c r="US2" s="72"/>
      <c r="UT2" s="72"/>
      <c r="UU2" s="72"/>
      <c r="UV2" s="72"/>
      <c r="UW2" s="72"/>
      <c r="UX2" s="72"/>
      <c r="UY2" s="72"/>
      <c r="UZ2" s="72"/>
      <c r="VA2" s="72"/>
      <c r="VB2" s="72"/>
      <c r="VC2" s="72"/>
      <c r="VD2" s="72"/>
      <c r="VE2" s="72"/>
      <c r="VF2" s="72"/>
      <c r="VG2" s="72"/>
      <c r="VH2" s="72"/>
      <c r="VI2" s="72"/>
      <c r="VJ2" s="72"/>
      <c r="VK2" s="72"/>
      <c r="VL2" s="72"/>
      <c r="VM2" s="72"/>
      <c r="VN2" s="72"/>
      <c r="VO2" s="72"/>
      <c r="VP2" s="72"/>
      <c r="VQ2" s="72"/>
      <c r="VR2" s="72"/>
      <c r="VS2" s="72"/>
      <c r="VT2" s="72"/>
      <c r="VU2" s="72"/>
      <c r="VV2" s="72"/>
      <c r="VW2" s="72"/>
      <c r="VX2" s="72"/>
      <c r="VY2" s="72"/>
      <c r="VZ2" s="72"/>
      <c r="WA2" s="72"/>
      <c r="WB2" s="72"/>
      <c r="WC2" s="72"/>
      <c r="WD2" s="72"/>
      <c r="WE2" s="72"/>
      <c r="WF2" s="72"/>
      <c r="WG2" s="72"/>
      <c r="WH2" s="72"/>
      <c r="WI2" s="72"/>
      <c r="WJ2" s="72"/>
      <c r="WK2" s="72"/>
      <c r="WL2" s="72"/>
      <c r="WM2" s="72"/>
      <c r="WN2" s="72"/>
      <c r="WO2" s="72"/>
      <c r="WP2" s="72"/>
      <c r="WQ2" s="72"/>
      <c r="WR2" s="72"/>
      <c r="WS2" s="72"/>
      <c r="WT2" s="72"/>
      <c r="WU2" s="72"/>
      <c r="WV2" s="72"/>
      <c r="WW2" s="72"/>
      <c r="WX2" s="72"/>
      <c r="WY2" s="72"/>
      <c r="WZ2" s="72"/>
      <c r="XA2" s="72"/>
      <c r="XB2" s="72"/>
      <c r="XC2" s="72"/>
      <c r="XD2" s="72"/>
      <c r="XE2" s="72"/>
      <c r="XF2" s="72"/>
      <c r="XG2" s="72"/>
      <c r="XH2" s="72"/>
      <c r="XI2" s="72"/>
      <c r="XJ2" s="72"/>
      <c r="XK2" s="72"/>
      <c r="XL2" s="72"/>
      <c r="XM2" s="72"/>
      <c r="XN2" s="72"/>
      <c r="XO2" s="72"/>
      <c r="XP2" s="72"/>
      <c r="XQ2" s="72"/>
      <c r="XR2" s="72"/>
      <c r="XS2" s="72"/>
      <c r="XT2" s="72"/>
      <c r="XU2" s="72"/>
      <c r="XV2" s="72"/>
      <c r="XW2" s="72"/>
      <c r="XX2" s="72"/>
      <c r="XY2" s="72"/>
      <c r="XZ2" s="72"/>
      <c r="YA2" s="72"/>
      <c r="YB2" s="72"/>
      <c r="YC2" s="72"/>
      <c r="YD2" s="72"/>
      <c r="YE2" s="72"/>
      <c r="YF2" s="72"/>
      <c r="YG2" s="72"/>
      <c r="YH2" s="72"/>
      <c r="YI2" s="72"/>
      <c r="YJ2" s="72"/>
      <c r="YK2" s="72"/>
      <c r="YL2" s="72"/>
      <c r="YM2" s="72"/>
      <c r="YN2" s="72"/>
      <c r="YO2" s="72"/>
      <c r="YP2" s="72"/>
      <c r="YQ2" s="72"/>
      <c r="YR2" s="72"/>
      <c r="YS2" s="72"/>
      <c r="YT2" s="72"/>
      <c r="YU2" s="72"/>
      <c r="YV2" s="72"/>
      <c r="YW2" s="72"/>
      <c r="YX2" s="72"/>
      <c r="YY2" s="72"/>
      <c r="YZ2" s="72"/>
      <c r="ZA2" s="72"/>
      <c r="ZB2" s="72"/>
      <c r="ZC2" s="72"/>
      <c r="ZD2" s="72"/>
      <c r="ZE2" s="72"/>
      <c r="ZF2" s="72"/>
      <c r="ZG2" s="72"/>
      <c r="ZH2" s="72"/>
      <c r="ZI2" s="72"/>
      <c r="ZJ2" s="72"/>
      <c r="ZK2" s="72"/>
      <c r="ZL2" s="72"/>
      <c r="ZM2" s="72"/>
      <c r="ZN2" s="72"/>
      <c r="ZO2" s="72"/>
      <c r="ZP2" s="72"/>
      <c r="ZQ2" s="72"/>
      <c r="ZR2" s="72"/>
      <c r="ZS2" s="72"/>
      <c r="ZT2" s="72"/>
      <c r="ZU2" s="72"/>
      <c r="ZV2" s="72"/>
      <c r="ZW2" s="72"/>
      <c r="ZX2" s="72"/>
      <c r="ZY2" s="72"/>
      <c r="ZZ2" s="72"/>
      <c r="AAA2" s="72"/>
      <c r="AAB2" s="72"/>
      <c r="AAC2" s="72"/>
      <c r="AAD2" s="72"/>
      <c r="AAE2" s="72"/>
      <c r="AAF2" s="72"/>
      <c r="AAG2" s="72"/>
      <c r="AAH2" s="72"/>
      <c r="AAI2" s="72"/>
      <c r="AAJ2" s="72"/>
      <c r="AAK2" s="72"/>
      <c r="AAL2" s="72"/>
      <c r="AAM2" s="72"/>
      <c r="AAN2" s="72"/>
      <c r="AAO2" s="72"/>
      <c r="AAP2" s="72"/>
      <c r="AAQ2" s="72"/>
      <c r="AAR2" s="72"/>
      <c r="AAS2" s="72"/>
      <c r="AAT2" s="72"/>
      <c r="AAU2" s="72"/>
      <c r="AAV2" s="72"/>
      <c r="AAW2" s="72"/>
      <c r="AAX2" s="72"/>
      <c r="AAY2" s="72"/>
      <c r="AAZ2" s="72"/>
      <c r="ABA2" s="72"/>
      <c r="ABB2" s="72"/>
      <c r="ABC2" s="72"/>
      <c r="ABD2" s="72"/>
      <c r="ABE2" s="72"/>
      <c r="ABF2" s="72"/>
      <c r="ABG2" s="72"/>
      <c r="ABH2" s="72"/>
      <c r="ABI2" s="72"/>
      <c r="ABJ2" s="72"/>
      <c r="ABK2" s="72"/>
      <c r="ABL2" s="72"/>
      <c r="ABM2" s="72"/>
      <c r="ABN2" s="72"/>
      <c r="ABO2" s="72"/>
      <c r="ABP2" s="72"/>
      <c r="ABQ2" s="72"/>
      <c r="ABR2" s="72"/>
      <c r="ABS2" s="72"/>
      <c r="ABT2" s="72"/>
      <c r="ABU2" s="72"/>
      <c r="ABV2" s="72"/>
      <c r="ABW2" s="72"/>
      <c r="ABX2" s="72"/>
      <c r="ABY2" s="72"/>
      <c r="ABZ2" s="72"/>
      <c r="ACA2" s="72"/>
      <c r="ACB2" s="72"/>
      <c r="ACC2" s="72"/>
      <c r="ACD2" s="72"/>
      <c r="ACE2" s="72"/>
      <c r="ACF2" s="72"/>
      <c r="ACG2" s="72"/>
      <c r="ACH2" s="72"/>
      <c r="ACI2" s="72"/>
      <c r="ACJ2" s="72"/>
      <c r="ACK2" s="72"/>
      <c r="ACL2" s="72"/>
      <c r="ACM2" s="72"/>
      <c r="ACN2" s="72"/>
      <c r="ACO2" s="72"/>
      <c r="ACP2" s="72"/>
      <c r="ACQ2" s="72"/>
      <c r="ACR2" s="72"/>
      <c r="ACS2" s="72"/>
      <c r="ACT2" s="72"/>
      <c r="ACU2" s="72"/>
      <c r="ACV2" s="72"/>
      <c r="ACW2" s="72"/>
      <c r="ACX2" s="72"/>
      <c r="ACY2" s="72"/>
      <c r="ACZ2" s="72"/>
      <c r="ADA2" s="72"/>
      <c r="ADB2" s="72"/>
      <c r="ADC2" s="72"/>
      <c r="ADD2" s="72"/>
      <c r="ADE2" s="72"/>
      <c r="ADF2" s="72"/>
      <c r="ADG2" s="72"/>
      <c r="ADH2" s="72"/>
      <c r="ADI2" s="72"/>
      <c r="ADJ2" s="72"/>
      <c r="ADK2" s="72"/>
      <c r="ADL2" s="72"/>
      <c r="ADM2" s="72"/>
      <c r="ADN2" s="72"/>
      <c r="ADO2" s="72"/>
      <c r="ADP2" s="72"/>
      <c r="ADQ2" s="72"/>
      <c r="ADR2" s="72"/>
      <c r="ADS2" s="72"/>
      <c r="ADT2" s="72"/>
      <c r="ADU2" s="72"/>
      <c r="ADV2" s="72"/>
      <c r="ADW2" s="72"/>
      <c r="ADX2" s="72"/>
      <c r="ADY2" s="72"/>
      <c r="ADZ2" s="72"/>
      <c r="AEA2" s="72"/>
      <c r="AEB2" s="72"/>
      <c r="AEC2" s="72"/>
      <c r="AED2" s="72"/>
      <c r="AEE2" s="72"/>
      <c r="AEF2" s="72"/>
      <c r="AEG2" s="72"/>
      <c r="AEH2" s="72"/>
      <c r="AEI2" s="72"/>
      <c r="AEJ2" s="72"/>
      <c r="AEK2" s="72"/>
      <c r="AEL2" s="72"/>
      <c r="AEM2" s="72"/>
      <c r="AEN2" s="72"/>
      <c r="AEO2" s="72"/>
      <c r="AEP2" s="72"/>
      <c r="AEQ2" s="72"/>
      <c r="AER2" s="72"/>
      <c r="AES2" s="72"/>
      <c r="AET2" s="72"/>
      <c r="AEU2" s="72"/>
      <c r="AEV2" s="72"/>
      <c r="AEW2" s="72"/>
      <c r="AEX2" s="72"/>
      <c r="AEY2" s="72"/>
      <c r="AEZ2" s="72"/>
      <c r="AFA2" s="72"/>
      <c r="AFB2" s="72"/>
      <c r="AFC2" s="72"/>
      <c r="AFD2" s="72"/>
      <c r="AFE2" s="72"/>
      <c r="AFF2" s="72"/>
      <c r="AFG2" s="72"/>
      <c r="AFH2" s="72"/>
      <c r="AFI2" s="72"/>
      <c r="AFJ2" s="72"/>
      <c r="AFK2" s="72"/>
      <c r="AFL2" s="72"/>
      <c r="AFM2" s="72"/>
      <c r="AFN2" s="72"/>
      <c r="AFO2" s="72"/>
      <c r="AFP2" s="72"/>
      <c r="AFQ2" s="72"/>
      <c r="AFR2" s="72"/>
      <c r="AFS2" s="72"/>
      <c r="AFT2" s="72"/>
      <c r="AFU2" s="72"/>
      <c r="AFV2" s="72"/>
      <c r="AFW2" s="72"/>
      <c r="AFX2" s="72"/>
      <c r="AFY2" s="72"/>
      <c r="AFZ2" s="72"/>
      <c r="AGA2" s="72"/>
      <c r="AGB2" s="72"/>
      <c r="AGC2" s="72"/>
      <c r="AGD2" s="72"/>
      <c r="AGE2" s="72"/>
      <c r="AGF2" s="72"/>
      <c r="AGG2" s="72"/>
      <c r="AGH2" s="72"/>
      <c r="AGI2" s="72"/>
      <c r="AGJ2" s="72"/>
      <c r="AGK2" s="72"/>
      <c r="AGL2" s="72"/>
      <c r="AGM2" s="72"/>
      <c r="AGN2" s="72"/>
      <c r="AGO2" s="72"/>
      <c r="AGP2" s="72"/>
      <c r="AGQ2" s="72"/>
      <c r="AGR2" s="72"/>
      <c r="AGS2" s="72"/>
      <c r="AGT2" s="72"/>
      <c r="AGU2" s="72"/>
      <c r="AGV2" s="72"/>
      <c r="AGW2" s="72"/>
      <c r="AGX2" s="72"/>
      <c r="AGY2" s="72"/>
      <c r="AGZ2" s="72"/>
      <c r="AHA2" s="72"/>
      <c r="AHB2" s="72"/>
      <c r="AHC2" s="72"/>
      <c r="AHD2" s="72"/>
      <c r="AHE2" s="72"/>
      <c r="AHF2" s="72"/>
      <c r="AHG2" s="72"/>
      <c r="AHH2" s="72"/>
      <c r="AHI2" s="72"/>
      <c r="AHJ2" s="72"/>
      <c r="AHK2" s="72"/>
      <c r="AHL2" s="72"/>
      <c r="AHM2" s="72"/>
      <c r="AHN2" s="72"/>
      <c r="AHO2" s="72"/>
      <c r="AHP2" s="72"/>
      <c r="AHQ2" s="72"/>
      <c r="AHR2" s="72"/>
      <c r="AHS2" s="72"/>
      <c r="AHT2" s="72"/>
      <c r="AHU2" s="72"/>
      <c r="AHV2" s="72"/>
      <c r="AHW2" s="72"/>
      <c r="AHX2" s="72"/>
      <c r="AHY2" s="72"/>
      <c r="AHZ2" s="72"/>
      <c r="AIA2" s="72"/>
      <c r="AIB2" s="72"/>
      <c r="AIC2" s="72"/>
      <c r="AID2" s="72"/>
      <c r="AIE2" s="72"/>
      <c r="AIF2" s="72"/>
      <c r="AIG2" s="72"/>
      <c r="AIH2" s="72"/>
      <c r="AII2" s="72"/>
      <c r="AIJ2" s="72"/>
      <c r="AIK2" s="72"/>
      <c r="AIL2" s="72"/>
      <c r="AIM2" s="72"/>
      <c r="AIN2" s="72"/>
      <c r="AIO2" s="72"/>
      <c r="AIP2" s="72"/>
      <c r="AIQ2" s="72"/>
      <c r="AIR2" s="72"/>
      <c r="AIS2" s="72"/>
      <c r="AIT2" s="72"/>
      <c r="AIU2" s="72"/>
      <c r="AIV2" s="72"/>
      <c r="AIW2" s="72"/>
      <c r="AIX2" s="72"/>
      <c r="AIY2" s="72"/>
      <c r="AIZ2" s="72"/>
      <c r="AJA2" s="72"/>
      <c r="AJB2" s="72"/>
      <c r="AJC2" s="72"/>
      <c r="AJD2" s="72"/>
      <c r="AJE2" s="72"/>
      <c r="AJF2" s="72"/>
      <c r="AJG2" s="72"/>
      <c r="AJH2" s="72"/>
      <c r="AJI2" s="72"/>
      <c r="AJJ2" s="72"/>
      <c r="AJK2" s="72"/>
      <c r="AJL2" s="72"/>
      <c r="AJM2" s="72"/>
      <c r="AJN2" s="72"/>
      <c r="AJO2" s="72"/>
      <c r="AJP2" s="72"/>
      <c r="AJQ2" s="72"/>
      <c r="AJR2" s="72"/>
      <c r="AJS2" s="72"/>
      <c r="AJT2" s="72"/>
      <c r="AJU2" s="72"/>
      <c r="AJV2" s="72"/>
      <c r="AJW2" s="72"/>
      <c r="AJX2" s="72"/>
      <c r="AJY2" s="72"/>
      <c r="AJZ2" s="72"/>
      <c r="AKA2" s="72"/>
      <c r="AKB2" s="72"/>
      <c r="AKC2" s="72"/>
      <c r="AKD2" s="72"/>
      <c r="AKE2" s="72"/>
      <c r="AKF2" s="72"/>
      <c r="AKG2" s="72"/>
      <c r="AKH2" s="72"/>
      <c r="AKI2" s="72"/>
      <c r="AKJ2" s="72"/>
      <c r="AKK2" s="72"/>
      <c r="AKL2" s="72"/>
      <c r="AKM2" s="72"/>
      <c r="AKN2" s="72"/>
      <c r="AKO2" s="72"/>
      <c r="AKP2" s="72"/>
      <c r="AKQ2" s="72"/>
      <c r="AKR2" s="72"/>
      <c r="AKS2" s="72"/>
      <c r="AKT2" s="72"/>
      <c r="AKU2" s="72"/>
      <c r="AKV2" s="72"/>
      <c r="AKW2" s="72"/>
      <c r="AKX2" s="72"/>
      <c r="AKY2" s="72"/>
      <c r="AKZ2" s="72"/>
      <c r="ALA2" s="72"/>
      <c r="ALB2" s="72"/>
      <c r="ALC2" s="72"/>
      <c r="ALD2" s="72"/>
      <c r="ALE2" s="72"/>
      <c r="ALF2" s="72"/>
      <c r="ALG2" s="72"/>
    </row>
    <row r="3">
      <c r="A3" s="8" t="s">
        <v>576</v>
      </c>
      <c r="B3" s="8" t="s">
        <v>577</v>
      </c>
      <c r="C3" s="8" t="s">
        <v>578</v>
      </c>
      <c r="D3" s="21" t="s">
        <v>575</v>
      </c>
      <c r="E3" s="8" t="s">
        <v>3826</v>
      </c>
      <c r="F3" s="106" t="s">
        <v>3827</v>
      </c>
      <c r="G3" s="106" t="s">
        <v>3828</v>
      </c>
      <c r="H3" s="106" t="s">
        <v>3829</v>
      </c>
      <c r="I3" s="106" t="s">
        <v>3830</v>
      </c>
      <c r="J3" s="106" t="s">
        <v>3831</v>
      </c>
      <c r="K3" s="106" t="s">
        <v>3832</v>
      </c>
      <c r="L3" s="106" t="s">
        <v>3833</v>
      </c>
      <c r="M3" s="106" t="s">
        <v>3834</v>
      </c>
      <c r="N3" s="8" t="s">
        <v>3835</v>
      </c>
      <c r="O3" s="8" t="s">
        <v>3836</v>
      </c>
      <c r="P3" s="8" t="s">
        <v>3837</v>
      </c>
      <c r="Q3" s="8" t="s">
        <v>3838</v>
      </c>
      <c r="R3" s="8" t="s">
        <v>3839</v>
      </c>
      <c r="S3" s="8" t="s">
        <v>3840</v>
      </c>
      <c r="T3" s="8" t="s">
        <v>3841</v>
      </c>
      <c r="U3" s="8" t="s">
        <v>3842</v>
      </c>
      <c r="V3" s="8" t="s">
        <v>3843</v>
      </c>
      <c r="W3" s="8" t="s">
        <v>3844</v>
      </c>
      <c r="X3" s="107" t="s">
        <v>3845</v>
      </c>
      <c r="Y3" s="107" t="s">
        <v>3846</v>
      </c>
      <c r="Z3" s="8" t="s">
        <v>591</v>
      </c>
      <c r="AA3" s="107" t="s">
        <v>3847</v>
      </c>
      <c r="AB3" s="106" t="s">
        <v>3848</v>
      </c>
      <c r="AC3" s="8" t="s">
        <v>3849</v>
      </c>
      <c r="AD3" s="8" t="s">
        <v>3850</v>
      </c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</row>
    <row r="4">
      <c r="A4" s="11">
        <v>61.0</v>
      </c>
      <c r="B4" s="11">
        <v>4.0</v>
      </c>
      <c r="C4" s="11">
        <v>8.0</v>
      </c>
      <c r="D4" s="17">
        <v>34.0</v>
      </c>
      <c r="E4" s="108">
        <v>6.0</v>
      </c>
      <c r="F4" s="109">
        <v>-13685.54</v>
      </c>
      <c r="G4" s="109">
        <v>-67587.68</v>
      </c>
      <c r="H4" s="109">
        <v>67532.86</v>
      </c>
      <c r="I4" s="109">
        <v>-76803.83</v>
      </c>
      <c r="J4" s="109">
        <v>-50584.44</v>
      </c>
      <c r="K4" s="109">
        <v>-31686.59</v>
      </c>
      <c r="L4" s="109">
        <v>11484.85</v>
      </c>
      <c r="M4" s="109">
        <v>-45713.59</v>
      </c>
      <c r="N4" s="110">
        <v>90710.0</v>
      </c>
      <c r="O4" s="110">
        <v>90230.0</v>
      </c>
      <c r="P4" s="110">
        <v>51123.0</v>
      </c>
      <c r="Q4" s="110">
        <v>93030.0</v>
      </c>
      <c r="R4" s="50">
        <v>11413.0</v>
      </c>
      <c r="S4" s="111">
        <v>53.0</v>
      </c>
      <c r="T4" s="112">
        <v>70.0</v>
      </c>
      <c r="U4" s="24" t="s">
        <v>48</v>
      </c>
      <c r="V4" s="11" t="s">
        <v>3851</v>
      </c>
      <c r="W4" s="108">
        <v>8.0</v>
      </c>
      <c r="X4" s="113">
        <v>42321.0</v>
      </c>
      <c r="Y4" s="113">
        <v>122815.0</v>
      </c>
      <c r="Z4" s="11">
        <v>131.0</v>
      </c>
      <c r="AA4" s="113">
        <v>111819.0</v>
      </c>
      <c r="AB4" s="109">
        <v>36094.93</v>
      </c>
      <c r="AC4" s="113">
        <v>82521.0</v>
      </c>
      <c r="AD4" s="108">
        <v>8.0</v>
      </c>
    </row>
    <row r="5">
      <c r="A5" s="11">
        <v>81.0</v>
      </c>
      <c r="B5" s="11">
        <v>9.0</v>
      </c>
      <c r="C5" s="11">
        <v>7.0</v>
      </c>
      <c r="D5" s="17">
        <v>35.0</v>
      </c>
      <c r="E5" s="108">
        <v>7.0</v>
      </c>
      <c r="F5" s="109">
        <v>71422.17</v>
      </c>
      <c r="G5" s="109">
        <v>5875.17</v>
      </c>
      <c r="H5" s="109">
        <v>16575.69</v>
      </c>
      <c r="I5" s="109">
        <v>87689.2</v>
      </c>
      <c r="J5" s="109">
        <v>-73441.88</v>
      </c>
      <c r="K5" s="109">
        <v>47192.08</v>
      </c>
      <c r="L5" s="109">
        <v>-51238.28</v>
      </c>
      <c r="M5" s="109">
        <v>-92646.02</v>
      </c>
      <c r="N5" s="110">
        <v>50111.0</v>
      </c>
      <c r="O5" s="110">
        <v>42631.0</v>
      </c>
      <c r="P5" s="110">
        <v>52623.0</v>
      </c>
      <c r="Q5" s="110">
        <v>43031.0</v>
      </c>
      <c r="R5" s="50">
        <v>21721.0</v>
      </c>
      <c r="S5" s="111">
        <v>52.0</v>
      </c>
      <c r="T5" s="112">
        <v>58.0</v>
      </c>
      <c r="U5" s="24" t="s">
        <v>31</v>
      </c>
      <c r="V5" s="11" t="s">
        <v>3852</v>
      </c>
      <c r="W5" s="108">
        <v>3.0</v>
      </c>
      <c r="X5" s="113">
        <v>30320.0</v>
      </c>
      <c r="Y5" s="113">
        <v>42023.0</v>
      </c>
      <c r="Z5" s="11">
        <v>101.0</v>
      </c>
      <c r="AA5" s="113">
        <v>101214.0</v>
      </c>
      <c r="AB5" s="109">
        <v>-10698.76</v>
      </c>
      <c r="AC5" s="113">
        <v>21921.0</v>
      </c>
      <c r="AD5" s="108">
        <v>3.0</v>
      </c>
    </row>
    <row r="6">
      <c r="A6" s="11">
        <v>81.0</v>
      </c>
      <c r="B6" s="11">
        <v>9.0</v>
      </c>
      <c r="C6" s="11">
        <v>6.0</v>
      </c>
      <c r="D6" s="17">
        <v>67.0</v>
      </c>
      <c r="E6" s="108">
        <v>6.0</v>
      </c>
      <c r="F6" s="109">
        <v>-46558.11</v>
      </c>
      <c r="G6" s="109">
        <v>-85078.85</v>
      </c>
      <c r="H6" s="109">
        <v>41555.16</v>
      </c>
      <c r="I6" s="109">
        <v>-31481.62</v>
      </c>
      <c r="J6" s="109">
        <v>-66150.15</v>
      </c>
      <c r="K6" s="109">
        <v>-48977.06</v>
      </c>
      <c r="L6" s="109">
        <v>51079.66</v>
      </c>
      <c r="M6" s="109">
        <v>86952.13</v>
      </c>
      <c r="N6" s="110">
        <v>30612.0</v>
      </c>
      <c r="O6" s="110">
        <v>30422.0</v>
      </c>
      <c r="P6" s="110">
        <v>51123.0</v>
      </c>
      <c r="Q6" s="110">
        <v>33122.0</v>
      </c>
      <c r="R6" s="50">
        <v>11518.0</v>
      </c>
      <c r="S6" s="111">
        <v>50.0</v>
      </c>
      <c r="T6" s="112">
        <v>9.0</v>
      </c>
      <c r="U6" s="24" t="s">
        <v>31</v>
      </c>
      <c r="V6" s="11" t="s">
        <v>3853</v>
      </c>
      <c r="W6" s="108">
        <v>8.0</v>
      </c>
      <c r="X6" s="113">
        <v>40613.0</v>
      </c>
      <c r="Y6" s="113">
        <v>92318.0</v>
      </c>
      <c r="Z6" s="11">
        <v>144.0</v>
      </c>
      <c r="AA6" s="113">
        <v>121817.0</v>
      </c>
      <c r="AB6" s="109">
        <v>-28578.89</v>
      </c>
      <c r="AC6" s="113">
        <v>41520.0</v>
      </c>
      <c r="AD6" s="108">
        <v>3.0</v>
      </c>
    </row>
    <row r="7">
      <c r="A7" s="11">
        <v>61.0</v>
      </c>
      <c r="B7" s="11">
        <v>5.0</v>
      </c>
      <c r="C7" s="11">
        <v>3.0</v>
      </c>
      <c r="D7" s="17">
        <v>40.0</v>
      </c>
      <c r="E7" s="108">
        <v>2.0</v>
      </c>
      <c r="F7" s="109">
        <v>-30441.53</v>
      </c>
      <c r="G7" s="109">
        <v>59343.68</v>
      </c>
      <c r="H7" s="109">
        <v>-2228.54</v>
      </c>
      <c r="I7" s="109">
        <v>23227.16</v>
      </c>
      <c r="J7" s="109">
        <v>45158.24</v>
      </c>
      <c r="K7" s="109">
        <v>-64903.66</v>
      </c>
      <c r="L7" s="109">
        <v>57666.23</v>
      </c>
      <c r="M7" s="109">
        <v>71858.15</v>
      </c>
      <c r="N7" s="110">
        <v>40210.0</v>
      </c>
      <c r="O7" s="110">
        <v>33020.0</v>
      </c>
      <c r="P7" s="110">
        <v>50823.0</v>
      </c>
      <c r="Q7" s="110">
        <v>33120.0</v>
      </c>
      <c r="R7" s="50">
        <v>51915.0</v>
      </c>
      <c r="S7" s="111">
        <v>54.0</v>
      </c>
      <c r="T7" s="112">
        <v>92.0</v>
      </c>
      <c r="U7" s="24" t="s">
        <v>31</v>
      </c>
      <c r="V7" s="11" t="s">
        <v>3854</v>
      </c>
      <c r="W7" s="108">
        <v>3.0</v>
      </c>
      <c r="X7" s="113">
        <v>31920.0</v>
      </c>
      <c r="Y7" s="113">
        <v>111015.0</v>
      </c>
      <c r="Z7" s="11">
        <v>152.0</v>
      </c>
      <c r="AA7" s="113">
        <v>112517.0</v>
      </c>
      <c r="AB7" s="109">
        <v>-70535.55</v>
      </c>
      <c r="AC7" s="113">
        <v>51317.0</v>
      </c>
      <c r="AD7" s="108">
        <v>8.0</v>
      </c>
    </row>
    <row r="8">
      <c r="A8" s="11">
        <v>61.0</v>
      </c>
      <c r="B8" s="11">
        <v>5.0</v>
      </c>
      <c r="C8" s="11">
        <v>4.0</v>
      </c>
      <c r="D8" s="17">
        <v>77.0</v>
      </c>
      <c r="E8" s="108">
        <v>0.0</v>
      </c>
      <c r="F8" s="109">
        <v>27784.24</v>
      </c>
      <c r="G8" s="109">
        <v>-85983.68</v>
      </c>
      <c r="H8" s="109">
        <v>-84602.73</v>
      </c>
      <c r="I8" s="109">
        <v>35140.07</v>
      </c>
      <c r="J8" s="109">
        <v>-15164.58</v>
      </c>
      <c r="K8" s="109">
        <v>-31209.67</v>
      </c>
      <c r="L8" s="109">
        <v>23055.87</v>
      </c>
      <c r="M8" s="109">
        <v>-19574.67</v>
      </c>
      <c r="N8" s="110">
        <v>71011.0</v>
      </c>
      <c r="O8" s="110">
        <v>70531.0</v>
      </c>
      <c r="P8" s="110">
        <v>52723.0</v>
      </c>
      <c r="Q8" s="110">
        <v>73131.0</v>
      </c>
      <c r="R8" s="50">
        <v>122915.0</v>
      </c>
      <c r="S8" s="111">
        <v>55.0</v>
      </c>
      <c r="T8" s="112">
        <v>13.0</v>
      </c>
      <c r="U8" s="24" t="s">
        <v>603</v>
      </c>
      <c r="V8" s="11" t="s">
        <v>3855</v>
      </c>
      <c r="W8" s="108">
        <v>6.0</v>
      </c>
      <c r="X8" s="113">
        <v>101323.0</v>
      </c>
      <c r="Y8" s="113">
        <v>22123.0</v>
      </c>
      <c r="Z8" s="11">
        <v>117.0</v>
      </c>
      <c r="AA8" s="113">
        <v>31022.0</v>
      </c>
      <c r="AB8" s="109">
        <v>-18557.73</v>
      </c>
      <c r="AC8" s="113">
        <v>32121.0</v>
      </c>
      <c r="AD8" s="108">
        <v>4.0</v>
      </c>
    </row>
    <row r="9">
      <c r="A9" s="11">
        <v>61.0</v>
      </c>
      <c r="B9" s="11">
        <v>5.0</v>
      </c>
      <c r="C9" s="11">
        <v>6.0</v>
      </c>
      <c r="D9" s="17">
        <v>58.0</v>
      </c>
      <c r="E9" s="108">
        <v>6.0</v>
      </c>
      <c r="F9" s="109">
        <v>95781.56</v>
      </c>
      <c r="G9" s="109">
        <v>-39188.93</v>
      </c>
      <c r="H9" s="109">
        <v>13987.21</v>
      </c>
      <c r="I9" s="109">
        <v>66044.64</v>
      </c>
      <c r="J9" s="109">
        <v>67683.94</v>
      </c>
      <c r="K9" s="109">
        <v>-44669.72</v>
      </c>
      <c r="L9" s="109">
        <v>-70343.08</v>
      </c>
      <c r="M9" s="109">
        <v>-35994.11</v>
      </c>
      <c r="N9" s="110">
        <v>92910.0</v>
      </c>
      <c r="O9" s="110">
        <v>92620.0</v>
      </c>
      <c r="P9" s="110">
        <v>50123.0</v>
      </c>
      <c r="Q9" s="110">
        <v>93020.0</v>
      </c>
      <c r="R9" s="50">
        <v>21513.0</v>
      </c>
      <c r="S9" s="111">
        <v>50.0</v>
      </c>
      <c r="T9" s="112">
        <v>99.0</v>
      </c>
      <c r="U9" s="24" t="s">
        <v>39</v>
      </c>
      <c r="V9" s="11" t="s">
        <v>3856</v>
      </c>
      <c r="W9" s="108">
        <v>6.0</v>
      </c>
      <c r="X9" s="113">
        <v>91315.0</v>
      </c>
      <c r="Y9" s="113">
        <v>41318.0</v>
      </c>
      <c r="Z9" s="11">
        <v>178.0</v>
      </c>
      <c r="AA9" s="113">
        <v>90718.0</v>
      </c>
      <c r="AB9" s="109">
        <v>21299.02</v>
      </c>
      <c r="AC9" s="113">
        <v>42719.0</v>
      </c>
      <c r="AD9" s="108">
        <v>0.0</v>
      </c>
    </row>
    <row r="10">
      <c r="A10" s="11">
        <v>61.0</v>
      </c>
      <c r="B10" s="11">
        <v>6.0</v>
      </c>
      <c r="C10" s="11">
        <v>3.0</v>
      </c>
      <c r="D10" s="17">
        <v>48.0</v>
      </c>
      <c r="E10" s="108">
        <v>9.0</v>
      </c>
      <c r="F10" s="109">
        <v>15583.65</v>
      </c>
      <c r="G10" s="109">
        <v>-56221.88</v>
      </c>
      <c r="H10" s="109">
        <v>-81983.3</v>
      </c>
      <c r="I10" s="109">
        <v>86431.4</v>
      </c>
      <c r="J10" s="109">
        <v>-31147.82</v>
      </c>
      <c r="K10" s="109">
        <v>-39703.48</v>
      </c>
      <c r="L10" s="109">
        <v>78868.64</v>
      </c>
      <c r="M10" s="109">
        <v>-32177.56</v>
      </c>
      <c r="N10" s="110">
        <v>50811.0</v>
      </c>
      <c r="O10" s="110">
        <v>50521.0</v>
      </c>
      <c r="P10" s="110">
        <v>53023.0</v>
      </c>
      <c r="Q10" s="110">
        <v>53121.0</v>
      </c>
      <c r="R10" s="50">
        <v>61920.0</v>
      </c>
      <c r="S10" s="111">
        <v>52.0</v>
      </c>
      <c r="T10" s="112">
        <v>73.0</v>
      </c>
      <c r="U10" s="24" t="s">
        <v>48</v>
      </c>
      <c r="V10" s="11" t="s">
        <v>3857</v>
      </c>
      <c r="W10" s="108">
        <v>5.0</v>
      </c>
      <c r="X10" s="113">
        <v>91415.0</v>
      </c>
      <c r="Y10" s="113">
        <v>111419.0</v>
      </c>
      <c r="Z10" s="11">
        <v>108.0</v>
      </c>
      <c r="AA10" s="113">
        <v>52019.0</v>
      </c>
      <c r="AB10" s="109">
        <v>56658.4</v>
      </c>
      <c r="AC10" s="113">
        <v>90921.0</v>
      </c>
      <c r="AD10" s="108">
        <v>0.0</v>
      </c>
    </row>
    <row r="11">
      <c r="A11" s="11">
        <v>41.0</v>
      </c>
      <c r="B11" s="11">
        <v>1.0</v>
      </c>
      <c r="C11" s="11">
        <v>6.0</v>
      </c>
      <c r="D11" s="17">
        <v>42.0</v>
      </c>
      <c r="E11" s="108">
        <v>2.0</v>
      </c>
      <c r="F11" s="109">
        <v>15127.72</v>
      </c>
      <c r="G11" s="109">
        <v>95266.98</v>
      </c>
      <c r="H11" s="109">
        <v>87456.0</v>
      </c>
      <c r="I11" s="109">
        <v>10770.49</v>
      </c>
      <c r="J11" s="109">
        <v>12292.99</v>
      </c>
      <c r="K11" s="109">
        <v>-17935.84</v>
      </c>
      <c r="L11" s="109">
        <v>-31976.74</v>
      </c>
      <c r="M11" s="109">
        <v>-72596.08</v>
      </c>
      <c r="N11" s="110">
        <v>91911.0</v>
      </c>
      <c r="O11" s="110">
        <v>91621.0</v>
      </c>
      <c r="P11" s="110">
        <v>51923.0</v>
      </c>
      <c r="Q11" s="110">
        <v>93021.0</v>
      </c>
      <c r="R11" s="50">
        <v>112815.0</v>
      </c>
      <c r="S11" s="111">
        <v>51.0</v>
      </c>
      <c r="T11" s="112">
        <v>2.0</v>
      </c>
      <c r="U11" s="24" t="s">
        <v>603</v>
      </c>
      <c r="V11" s="11" t="s">
        <v>3858</v>
      </c>
      <c r="W11" s="108">
        <v>3.0</v>
      </c>
      <c r="X11" s="113">
        <v>51121.0</v>
      </c>
      <c r="Y11" s="113">
        <v>50114.0</v>
      </c>
      <c r="Z11" s="11">
        <v>176.0</v>
      </c>
      <c r="AA11" s="113">
        <v>10318.0</v>
      </c>
      <c r="AB11" s="109">
        <v>-22787.02</v>
      </c>
      <c r="AC11" s="113">
        <v>81114.0</v>
      </c>
      <c r="AD11" s="108">
        <v>2.0</v>
      </c>
    </row>
    <row r="12">
      <c r="A12" s="11">
        <v>61.0</v>
      </c>
      <c r="B12" s="11">
        <v>6.0</v>
      </c>
      <c r="C12" s="11">
        <v>4.0</v>
      </c>
      <c r="D12" s="17">
        <v>90.0</v>
      </c>
      <c r="E12" s="108">
        <v>3.0</v>
      </c>
      <c r="F12" s="109">
        <v>-40221.08</v>
      </c>
      <c r="G12" s="109">
        <v>43203.11</v>
      </c>
      <c r="H12" s="109">
        <v>30579.53</v>
      </c>
      <c r="I12" s="109">
        <v>-56867.17</v>
      </c>
      <c r="J12" s="109">
        <v>-2097.88</v>
      </c>
      <c r="K12" s="109">
        <v>89413.23</v>
      </c>
      <c r="L12" s="109">
        <v>17340.54</v>
      </c>
      <c r="M12" s="109">
        <v>36384.04</v>
      </c>
      <c r="N12" s="110">
        <v>100113.0</v>
      </c>
      <c r="O12" s="110">
        <v>92633.0</v>
      </c>
      <c r="P12" s="110">
        <v>50523.0</v>
      </c>
      <c r="Q12" s="110">
        <v>93033.0</v>
      </c>
      <c r="R12" s="50">
        <v>111313.0</v>
      </c>
      <c r="S12" s="111">
        <v>55.0</v>
      </c>
      <c r="T12" s="112">
        <v>32.0</v>
      </c>
      <c r="U12" s="24" t="s">
        <v>39</v>
      </c>
      <c r="V12" s="11" t="s">
        <v>3859</v>
      </c>
      <c r="W12" s="108">
        <v>4.0</v>
      </c>
      <c r="X12" s="113">
        <v>72520.0</v>
      </c>
      <c r="Y12" s="113">
        <v>20323.0</v>
      </c>
      <c r="Z12" s="11">
        <v>127.0</v>
      </c>
      <c r="AA12" s="113">
        <v>91019.0</v>
      </c>
      <c r="AB12" s="109">
        <v>-66105.39</v>
      </c>
      <c r="AC12" s="113">
        <v>20219.0</v>
      </c>
      <c r="AD12" s="108">
        <v>5.0</v>
      </c>
    </row>
    <row r="13">
      <c r="A13" s="11">
        <v>41.0</v>
      </c>
      <c r="B13" s="11">
        <v>2.0</v>
      </c>
      <c r="C13" s="11">
        <v>3.0</v>
      </c>
      <c r="D13" s="17">
        <v>80.0</v>
      </c>
      <c r="E13" s="108">
        <v>7.0</v>
      </c>
      <c r="F13" s="109">
        <v>47531.48</v>
      </c>
      <c r="G13" s="109">
        <v>-9847.14</v>
      </c>
      <c r="H13" s="109">
        <v>-26879.38</v>
      </c>
      <c r="I13" s="109">
        <v>35439.26</v>
      </c>
      <c r="J13" s="109">
        <v>-76922.76</v>
      </c>
      <c r="K13" s="109">
        <v>28704.74</v>
      </c>
      <c r="L13" s="109">
        <v>21633.94</v>
      </c>
      <c r="M13" s="109">
        <v>76402.68</v>
      </c>
      <c r="N13" s="110">
        <v>101914.0</v>
      </c>
      <c r="O13" s="110">
        <v>101624.0</v>
      </c>
      <c r="P13" s="110">
        <v>50223.0</v>
      </c>
      <c r="Q13" s="110">
        <v>103124.0</v>
      </c>
      <c r="R13" s="50">
        <v>71820.0</v>
      </c>
      <c r="S13" s="111">
        <v>52.0</v>
      </c>
      <c r="T13" s="112">
        <v>94.0</v>
      </c>
      <c r="U13" s="24" t="s">
        <v>601</v>
      </c>
      <c r="V13" s="11" t="s">
        <v>3860</v>
      </c>
      <c r="W13" s="108">
        <v>5.0</v>
      </c>
      <c r="X13" s="113">
        <v>10618.0</v>
      </c>
      <c r="Y13" s="113">
        <v>110821.0</v>
      </c>
      <c r="Z13" s="11">
        <v>191.0</v>
      </c>
      <c r="AA13" s="113">
        <v>71316.0</v>
      </c>
      <c r="AB13" s="109">
        <v>64177.27</v>
      </c>
      <c r="AC13" s="113">
        <v>70614.0</v>
      </c>
      <c r="AD13" s="108">
        <v>5.0</v>
      </c>
    </row>
    <row r="14">
      <c r="A14" s="11">
        <v>61.0</v>
      </c>
      <c r="B14" s="11">
        <v>7.0</v>
      </c>
      <c r="C14" s="11">
        <v>2.0</v>
      </c>
      <c r="D14" s="17">
        <v>93.0</v>
      </c>
      <c r="E14" s="108">
        <v>3.0</v>
      </c>
      <c r="F14" s="109">
        <v>-57645.58</v>
      </c>
      <c r="G14" s="109">
        <v>78322.21</v>
      </c>
      <c r="H14" s="109">
        <v>32357.5</v>
      </c>
      <c r="I14" s="109">
        <v>-34534.8</v>
      </c>
      <c r="J14" s="109">
        <v>62403.0</v>
      </c>
      <c r="K14" s="109">
        <v>34506.11</v>
      </c>
      <c r="L14" s="109">
        <v>-84468.69</v>
      </c>
      <c r="M14" s="109">
        <v>47697.83</v>
      </c>
      <c r="N14" s="110">
        <v>102210.0</v>
      </c>
      <c r="O14" s="110">
        <v>101440.0</v>
      </c>
      <c r="P14" s="110">
        <v>50723.0</v>
      </c>
      <c r="Q14" s="110">
        <v>103140.0</v>
      </c>
      <c r="R14" s="50">
        <v>31014.0</v>
      </c>
      <c r="S14" s="111">
        <v>52.0</v>
      </c>
      <c r="T14" s="112">
        <v>4.0</v>
      </c>
      <c r="U14" s="24" t="s">
        <v>31</v>
      </c>
      <c r="V14" s="11" t="s">
        <v>3861</v>
      </c>
      <c r="W14" s="108">
        <v>2.0</v>
      </c>
      <c r="X14" s="113">
        <v>51517.0</v>
      </c>
      <c r="Y14" s="113">
        <v>112222.0</v>
      </c>
      <c r="Z14" s="11">
        <v>101.0</v>
      </c>
      <c r="AA14" s="113">
        <v>60416.0</v>
      </c>
      <c r="AB14" s="109">
        <v>-8745.43</v>
      </c>
      <c r="AC14" s="113">
        <v>82723.0</v>
      </c>
      <c r="AD14" s="108">
        <v>5.0</v>
      </c>
    </row>
    <row r="15">
      <c r="A15" s="11">
        <v>82.0</v>
      </c>
      <c r="B15" s="11">
        <v>2.0</v>
      </c>
      <c r="C15" s="11">
        <v>4.0</v>
      </c>
      <c r="D15" s="17">
        <v>28.0</v>
      </c>
      <c r="E15" s="108">
        <v>0.0</v>
      </c>
      <c r="F15" s="109">
        <v>71348.59</v>
      </c>
      <c r="G15" s="109">
        <v>47438.09</v>
      </c>
      <c r="H15" s="109">
        <v>-84358.72</v>
      </c>
      <c r="I15" s="109">
        <v>-81564.26</v>
      </c>
      <c r="J15" s="109">
        <v>1654.7</v>
      </c>
      <c r="K15" s="109">
        <v>-76158.54</v>
      </c>
      <c r="L15" s="109">
        <v>40330.03</v>
      </c>
      <c r="M15" s="109">
        <v>-14337.25</v>
      </c>
      <c r="N15" s="110">
        <v>31413.0</v>
      </c>
      <c r="O15" s="110">
        <v>31223.0</v>
      </c>
      <c r="P15" s="110">
        <v>51523.0</v>
      </c>
      <c r="Q15" s="110">
        <v>33123.0</v>
      </c>
      <c r="R15" s="50">
        <v>71821.0</v>
      </c>
      <c r="S15" s="111">
        <v>55.0</v>
      </c>
      <c r="T15" s="112">
        <v>38.0</v>
      </c>
      <c r="U15" s="24" t="s">
        <v>603</v>
      </c>
      <c r="V15" s="11" t="s">
        <v>3862</v>
      </c>
      <c r="W15" s="108">
        <v>1.0</v>
      </c>
      <c r="X15" s="113">
        <v>21718.0</v>
      </c>
      <c r="Y15" s="113">
        <v>111520.0</v>
      </c>
      <c r="Z15" s="11">
        <v>118.0</v>
      </c>
      <c r="AA15" s="113">
        <v>42923.0</v>
      </c>
      <c r="AB15" s="109">
        <v>-22449.37</v>
      </c>
      <c r="AC15" s="113">
        <v>50919.0</v>
      </c>
      <c r="AD15" s="108">
        <v>7.0</v>
      </c>
    </row>
    <row r="16">
      <c r="A16" s="11">
        <v>61.0</v>
      </c>
      <c r="B16" s="11">
        <v>7.0</v>
      </c>
      <c r="C16" s="11">
        <v>9.0</v>
      </c>
      <c r="D16" s="17">
        <v>34.0</v>
      </c>
      <c r="E16" s="108">
        <v>6.0</v>
      </c>
      <c r="F16" s="109">
        <v>-85484.28</v>
      </c>
      <c r="G16" s="109">
        <v>46722.77</v>
      </c>
      <c r="H16" s="109">
        <v>80844.0</v>
      </c>
      <c r="I16" s="109">
        <v>38497.59</v>
      </c>
      <c r="J16" s="109">
        <v>17769.62</v>
      </c>
      <c r="K16" s="109">
        <v>14333.52</v>
      </c>
      <c r="L16" s="109">
        <v>-78808.23</v>
      </c>
      <c r="M16" s="109">
        <v>-46880.91</v>
      </c>
      <c r="N16" s="110">
        <v>91913.0</v>
      </c>
      <c r="O16" s="110">
        <v>91433.0</v>
      </c>
      <c r="P16" s="110">
        <v>50323.0</v>
      </c>
      <c r="Q16" s="110">
        <v>93033.0</v>
      </c>
      <c r="R16" s="50">
        <v>72318.0</v>
      </c>
      <c r="S16" s="111">
        <v>55.0</v>
      </c>
      <c r="T16" s="112">
        <v>6.0</v>
      </c>
      <c r="U16" s="24" t="s">
        <v>31</v>
      </c>
      <c r="V16" s="11" t="s">
        <v>3863</v>
      </c>
      <c r="W16" s="108">
        <v>1.0</v>
      </c>
      <c r="X16" s="113">
        <v>112417.0</v>
      </c>
      <c r="Y16" s="113">
        <v>91115.0</v>
      </c>
      <c r="Z16" s="11">
        <v>106.0</v>
      </c>
      <c r="AA16" s="113">
        <v>82623.0</v>
      </c>
      <c r="AB16" s="109">
        <v>-2995.16</v>
      </c>
      <c r="AC16" s="113">
        <v>110621.0</v>
      </c>
      <c r="AD16" s="108">
        <v>9.0</v>
      </c>
    </row>
    <row r="17">
      <c r="A17" s="11">
        <v>41.0</v>
      </c>
      <c r="B17" s="11">
        <v>3.0</v>
      </c>
      <c r="C17" s="11">
        <v>1.0</v>
      </c>
      <c r="D17" s="17">
        <v>65.0</v>
      </c>
      <c r="E17" s="108">
        <v>3.0</v>
      </c>
      <c r="F17" s="109">
        <v>-79972.35</v>
      </c>
      <c r="G17" s="109">
        <v>9951.44</v>
      </c>
      <c r="H17" s="109">
        <v>70413.21</v>
      </c>
      <c r="I17" s="109">
        <v>53935.37</v>
      </c>
      <c r="J17" s="109">
        <v>-74876.3</v>
      </c>
      <c r="K17" s="109">
        <v>12826.67</v>
      </c>
      <c r="L17" s="109">
        <v>-91998.32</v>
      </c>
      <c r="M17" s="109">
        <v>-64749.94</v>
      </c>
      <c r="N17" s="110">
        <v>13111.0</v>
      </c>
      <c r="O17" s="110">
        <v>12821.0</v>
      </c>
      <c r="P17" s="110">
        <v>50223.0</v>
      </c>
      <c r="Q17" s="110">
        <v>13121.0</v>
      </c>
      <c r="R17" s="50">
        <v>111621.0</v>
      </c>
      <c r="S17" s="111">
        <v>50.0</v>
      </c>
      <c r="T17" s="112">
        <v>76.0</v>
      </c>
      <c r="U17" s="24" t="s">
        <v>601</v>
      </c>
      <c r="V17" s="11" t="s">
        <v>3864</v>
      </c>
      <c r="W17" s="108">
        <v>1.0</v>
      </c>
      <c r="X17" s="113">
        <v>11421.0</v>
      </c>
      <c r="Y17" s="113">
        <v>92713.0</v>
      </c>
      <c r="Z17" s="11">
        <v>177.0</v>
      </c>
      <c r="AA17" s="113">
        <v>82923.0</v>
      </c>
      <c r="AB17" s="109">
        <v>-16762.83</v>
      </c>
      <c r="AC17" s="113">
        <v>60219.0</v>
      </c>
      <c r="AD17" s="108">
        <v>3.0</v>
      </c>
    </row>
    <row r="18">
      <c r="A18" s="11">
        <v>41.0</v>
      </c>
      <c r="B18" s="11">
        <v>3.0</v>
      </c>
      <c r="C18" s="11">
        <v>5.0</v>
      </c>
      <c r="D18" s="17">
        <v>80.0</v>
      </c>
      <c r="E18" s="108">
        <v>4.0</v>
      </c>
      <c r="F18" s="109">
        <v>3776.32</v>
      </c>
      <c r="G18" s="109">
        <v>-40648.59</v>
      </c>
      <c r="H18" s="109">
        <v>-22102.21</v>
      </c>
      <c r="I18" s="109">
        <v>-33116.98</v>
      </c>
      <c r="J18" s="109">
        <v>24268.56</v>
      </c>
      <c r="K18" s="109">
        <v>51901.59</v>
      </c>
      <c r="L18" s="109">
        <v>28917.25</v>
      </c>
      <c r="M18" s="109">
        <v>-37966.39</v>
      </c>
      <c r="N18" s="110">
        <v>91211.0</v>
      </c>
      <c r="O18" s="110">
        <v>90731.0</v>
      </c>
      <c r="P18" s="110">
        <v>52323.0</v>
      </c>
      <c r="Q18" s="110">
        <v>93031.0</v>
      </c>
      <c r="R18" s="50">
        <v>32717.0</v>
      </c>
      <c r="S18" s="111">
        <v>55.0</v>
      </c>
      <c r="T18" s="112">
        <v>29.0</v>
      </c>
      <c r="U18" s="24" t="s">
        <v>48</v>
      </c>
      <c r="V18" s="11" t="s">
        <v>3865</v>
      </c>
      <c r="W18" s="108">
        <v>5.0</v>
      </c>
      <c r="X18" s="113">
        <v>40922.0</v>
      </c>
      <c r="Y18" s="113">
        <v>113015.0</v>
      </c>
      <c r="Z18" s="11">
        <v>182.0</v>
      </c>
      <c r="AA18" s="113">
        <v>110913.0</v>
      </c>
      <c r="AB18" s="109">
        <v>42227.03</v>
      </c>
      <c r="AC18" s="113">
        <v>93014.0</v>
      </c>
      <c r="AD18" s="108">
        <v>7.0</v>
      </c>
    </row>
    <row r="19">
      <c r="A19" s="11">
        <v>82.0</v>
      </c>
      <c r="B19" s="11">
        <v>3.0</v>
      </c>
      <c r="C19" s="11">
        <v>1.0</v>
      </c>
      <c r="D19" s="17">
        <v>22.0</v>
      </c>
      <c r="E19" s="108">
        <v>7.0</v>
      </c>
      <c r="F19" s="109">
        <v>-20016.75</v>
      </c>
      <c r="G19" s="109">
        <v>19489.09</v>
      </c>
      <c r="H19" s="109">
        <v>29187.85</v>
      </c>
      <c r="I19" s="109">
        <v>-26988.91</v>
      </c>
      <c r="J19" s="109">
        <v>2811.9</v>
      </c>
      <c r="K19" s="109">
        <v>62865.53</v>
      </c>
      <c r="L19" s="109">
        <v>86189.98</v>
      </c>
      <c r="M19" s="109">
        <v>-26645.1</v>
      </c>
      <c r="N19" s="110">
        <v>62413.0</v>
      </c>
      <c r="O19" s="110">
        <v>61933.0</v>
      </c>
      <c r="P19" s="110">
        <v>51223.0</v>
      </c>
      <c r="Q19" s="110">
        <v>63033.0</v>
      </c>
      <c r="R19" s="50">
        <v>81115.0</v>
      </c>
      <c r="S19" s="111">
        <v>53.0</v>
      </c>
      <c r="T19" s="112">
        <v>40.0</v>
      </c>
      <c r="U19" s="24" t="s">
        <v>603</v>
      </c>
      <c r="V19" s="11" t="s">
        <v>3866</v>
      </c>
      <c r="W19" s="108">
        <v>3.0</v>
      </c>
      <c r="X19" s="113">
        <v>40320.0</v>
      </c>
      <c r="Y19" s="113">
        <v>72621.0</v>
      </c>
      <c r="Z19" s="11">
        <v>100.0</v>
      </c>
      <c r="AA19" s="113">
        <v>111716.0</v>
      </c>
      <c r="AB19" s="109">
        <v>5478.48</v>
      </c>
      <c r="AC19" s="113">
        <v>42014.0</v>
      </c>
      <c r="AD19" s="108">
        <v>5.0</v>
      </c>
    </row>
    <row r="20">
      <c r="A20" s="11">
        <v>41.0</v>
      </c>
      <c r="B20" s="11">
        <v>3.0</v>
      </c>
      <c r="C20" s="11">
        <v>8.0</v>
      </c>
      <c r="D20" s="17">
        <v>84.0</v>
      </c>
      <c r="E20" s="108">
        <v>6.0</v>
      </c>
      <c r="F20" s="109">
        <v>5746.69</v>
      </c>
      <c r="G20" s="109">
        <v>-67956.83</v>
      </c>
      <c r="H20" s="109">
        <v>-44922.5</v>
      </c>
      <c r="I20" s="109">
        <v>-20893.58</v>
      </c>
      <c r="J20" s="109">
        <v>-66077.55</v>
      </c>
      <c r="K20" s="109">
        <v>-13519.96</v>
      </c>
      <c r="L20" s="109">
        <v>-90693.21</v>
      </c>
      <c r="M20" s="109">
        <v>-74108.17</v>
      </c>
      <c r="N20" s="110">
        <v>21711.0</v>
      </c>
      <c r="O20" s="110">
        <v>21421.0</v>
      </c>
      <c r="P20" s="110">
        <v>50923.0</v>
      </c>
      <c r="Q20" s="110">
        <v>22821.0</v>
      </c>
      <c r="R20" s="50">
        <v>50813.0</v>
      </c>
      <c r="S20" s="111">
        <v>52.0</v>
      </c>
      <c r="T20" s="112">
        <v>25.0</v>
      </c>
      <c r="U20" s="24" t="s">
        <v>603</v>
      </c>
      <c r="V20" s="11" t="s">
        <v>3867</v>
      </c>
      <c r="W20" s="108">
        <v>5.0</v>
      </c>
      <c r="X20" s="113">
        <v>41516.0</v>
      </c>
      <c r="Y20" s="113">
        <v>72516.0</v>
      </c>
      <c r="Z20" s="11">
        <v>197.0</v>
      </c>
      <c r="AA20" s="113">
        <v>30717.0</v>
      </c>
      <c r="AB20" s="109">
        <v>-627.51</v>
      </c>
      <c r="AC20" s="113">
        <v>92823.0</v>
      </c>
      <c r="AD20" s="108">
        <v>8.0</v>
      </c>
    </row>
    <row r="21">
      <c r="A21" s="11">
        <v>41.0</v>
      </c>
      <c r="B21" s="11">
        <v>3.0</v>
      </c>
      <c r="C21" s="11">
        <v>9.0</v>
      </c>
      <c r="D21" s="17">
        <v>59.0</v>
      </c>
      <c r="E21" s="108">
        <v>8.0</v>
      </c>
      <c r="F21" s="109">
        <v>-43764.0</v>
      </c>
      <c r="G21" s="109">
        <v>-41448.46</v>
      </c>
      <c r="H21" s="109">
        <v>44403.64</v>
      </c>
      <c r="I21" s="109">
        <v>-36834.96</v>
      </c>
      <c r="J21" s="109">
        <v>-2338.17</v>
      </c>
      <c r="K21" s="109">
        <v>-33539.63</v>
      </c>
      <c r="L21" s="109">
        <v>-94056.54</v>
      </c>
      <c r="M21" s="109">
        <v>-30889.97</v>
      </c>
      <c r="N21" s="110">
        <v>91111.0</v>
      </c>
      <c r="O21" s="110">
        <v>90821.0</v>
      </c>
      <c r="P21" s="110">
        <v>52023.0</v>
      </c>
      <c r="Q21" s="110">
        <v>93021.0</v>
      </c>
      <c r="R21" s="50">
        <v>92920.0</v>
      </c>
      <c r="S21" s="111">
        <v>53.0</v>
      </c>
      <c r="T21" s="112">
        <v>35.0</v>
      </c>
      <c r="U21" s="24" t="s">
        <v>601</v>
      </c>
      <c r="V21" s="11" t="s">
        <v>3868</v>
      </c>
      <c r="W21" s="108">
        <v>7.0</v>
      </c>
      <c r="X21" s="113">
        <v>71213.0</v>
      </c>
      <c r="Y21" s="113">
        <v>80522.0</v>
      </c>
      <c r="Z21" s="11">
        <v>176.0</v>
      </c>
      <c r="AA21" s="113">
        <v>90819.0</v>
      </c>
      <c r="AB21" s="109">
        <v>77817.38</v>
      </c>
      <c r="AC21" s="113">
        <v>42013.0</v>
      </c>
      <c r="AD21" s="108">
        <v>5.0</v>
      </c>
    </row>
    <row r="22">
      <c r="A22" s="11">
        <v>61.0</v>
      </c>
      <c r="B22" s="11">
        <v>9.0</v>
      </c>
      <c r="C22" s="11">
        <v>3.0</v>
      </c>
      <c r="D22" s="17">
        <v>87.0</v>
      </c>
      <c r="E22" s="108">
        <v>4.0</v>
      </c>
      <c r="F22" s="109">
        <v>-14836.13</v>
      </c>
      <c r="G22" s="109">
        <v>-26243.3</v>
      </c>
      <c r="H22" s="109">
        <v>-26993.82</v>
      </c>
      <c r="I22" s="109">
        <v>-79455.35</v>
      </c>
      <c r="J22" s="109">
        <v>-80024.53</v>
      </c>
      <c r="K22" s="109">
        <v>-52358.57</v>
      </c>
      <c r="L22" s="109">
        <v>-1613.95</v>
      </c>
      <c r="M22" s="109">
        <v>-38901.42</v>
      </c>
      <c r="N22" s="110">
        <v>121114.0</v>
      </c>
      <c r="O22" s="110">
        <v>120824.0</v>
      </c>
      <c r="P22" s="110">
        <v>50523.0</v>
      </c>
      <c r="Q22" s="110">
        <v>123123.0</v>
      </c>
      <c r="R22" s="50">
        <v>21519.0</v>
      </c>
      <c r="S22" s="111">
        <v>55.0</v>
      </c>
      <c r="T22" s="112">
        <v>10.0</v>
      </c>
      <c r="U22" s="24" t="s">
        <v>31</v>
      </c>
      <c r="V22" s="11" t="s">
        <v>3869</v>
      </c>
      <c r="W22" s="108">
        <v>5.0</v>
      </c>
      <c r="X22" s="113">
        <v>61720.0</v>
      </c>
      <c r="Y22" s="113">
        <v>20222.0</v>
      </c>
      <c r="Z22" s="11">
        <v>169.0</v>
      </c>
      <c r="AA22" s="113">
        <v>52522.0</v>
      </c>
      <c r="AB22" s="109">
        <v>-16252.37</v>
      </c>
      <c r="AC22" s="113">
        <v>31416.0</v>
      </c>
      <c r="AD22" s="108">
        <v>9.0</v>
      </c>
    </row>
    <row r="23">
      <c r="A23" s="11">
        <v>41.0</v>
      </c>
      <c r="B23" s="11">
        <v>4.0</v>
      </c>
      <c r="C23" s="11">
        <v>6.0</v>
      </c>
      <c r="D23" s="17">
        <v>70.0</v>
      </c>
      <c r="E23" s="108">
        <v>8.0</v>
      </c>
      <c r="F23" s="109">
        <v>92590.97</v>
      </c>
      <c r="G23" s="109">
        <v>12815.87</v>
      </c>
      <c r="H23" s="109">
        <v>-37262.28</v>
      </c>
      <c r="I23" s="109">
        <v>29013.52</v>
      </c>
      <c r="J23" s="109">
        <v>35247.94</v>
      </c>
      <c r="K23" s="109">
        <v>77484.87</v>
      </c>
      <c r="L23" s="109">
        <v>-98006.54</v>
      </c>
      <c r="M23" s="109">
        <v>-5523.38</v>
      </c>
      <c r="N23" s="110">
        <v>61514.0</v>
      </c>
      <c r="O23" s="110">
        <v>61224.0</v>
      </c>
      <c r="P23" s="110">
        <v>52223.0</v>
      </c>
      <c r="Q23" s="110">
        <v>63024.0</v>
      </c>
      <c r="R23" s="50">
        <v>81220.0</v>
      </c>
      <c r="S23" s="111">
        <v>55.0</v>
      </c>
      <c r="T23" s="112">
        <v>98.0</v>
      </c>
      <c r="U23" s="24" t="s">
        <v>39</v>
      </c>
      <c r="V23" s="11" t="s">
        <v>3870</v>
      </c>
      <c r="W23" s="108">
        <v>6.0</v>
      </c>
      <c r="X23" s="113">
        <v>121921.0</v>
      </c>
      <c r="Y23" s="113">
        <v>62518.0</v>
      </c>
      <c r="Z23" s="11">
        <v>120.0</v>
      </c>
      <c r="AA23" s="113">
        <v>80622.0</v>
      </c>
      <c r="AB23" s="109">
        <v>76622.15</v>
      </c>
      <c r="AC23" s="113">
        <v>42421.0</v>
      </c>
      <c r="AD23" s="108">
        <v>0.0</v>
      </c>
    </row>
    <row r="24">
      <c r="A24" s="11">
        <v>82.0</v>
      </c>
      <c r="B24" s="11">
        <v>4.0</v>
      </c>
      <c r="C24" s="11">
        <v>5.0</v>
      </c>
      <c r="D24" s="17">
        <v>12.0</v>
      </c>
      <c r="E24" s="108">
        <v>0.0</v>
      </c>
      <c r="F24" s="109">
        <v>-49673.09</v>
      </c>
      <c r="G24" s="109">
        <v>-98736.59</v>
      </c>
      <c r="H24" s="109">
        <v>15058.92</v>
      </c>
      <c r="I24" s="109">
        <v>62095.27</v>
      </c>
      <c r="J24" s="109">
        <v>-36950.3</v>
      </c>
      <c r="K24" s="109">
        <v>49405.39</v>
      </c>
      <c r="L24" s="109">
        <v>95835.4</v>
      </c>
      <c r="M24" s="109">
        <v>37033.63</v>
      </c>
      <c r="N24" s="110">
        <v>120810.0</v>
      </c>
      <c r="O24" s="110">
        <v>120520.0</v>
      </c>
      <c r="P24" s="110">
        <v>52923.0</v>
      </c>
      <c r="Q24" s="110">
        <v>123119.0</v>
      </c>
      <c r="R24" s="50">
        <v>70918.0</v>
      </c>
      <c r="S24" s="111">
        <v>55.0</v>
      </c>
      <c r="T24" s="112">
        <v>40.0</v>
      </c>
      <c r="U24" s="24" t="s">
        <v>48</v>
      </c>
      <c r="V24" s="11" t="s">
        <v>3871</v>
      </c>
      <c r="W24" s="108">
        <v>6.0</v>
      </c>
      <c r="X24" s="113">
        <v>112621.0</v>
      </c>
      <c r="Y24" s="113">
        <v>41223.0</v>
      </c>
      <c r="Z24" s="11">
        <v>176.0</v>
      </c>
      <c r="AA24" s="113">
        <v>93019.0</v>
      </c>
      <c r="AB24" s="109">
        <v>-77931.31</v>
      </c>
      <c r="AC24" s="113">
        <v>91122.0</v>
      </c>
      <c r="AD24" s="108">
        <v>7.0</v>
      </c>
    </row>
    <row r="25">
      <c r="A25" s="11">
        <v>82.0</v>
      </c>
      <c r="B25" s="11">
        <v>4.0</v>
      </c>
      <c r="C25" s="11">
        <v>7.0</v>
      </c>
      <c r="D25" s="17">
        <v>33.0</v>
      </c>
      <c r="E25" s="108">
        <v>2.0</v>
      </c>
      <c r="F25" s="109">
        <v>43506.08</v>
      </c>
      <c r="G25" s="109">
        <v>1590.35</v>
      </c>
      <c r="H25" s="109">
        <v>77025.5</v>
      </c>
      <c r="I25" s="109">
        <v>-44429.73</v>
      </c>
      <c r="J25" s="109">
        <v>63562.52</v>
      </c>
      <c r="K25" s="109">
        <v>-86334.83</v>
      </c>
      <c r="L25" s="109">
        <v>-49908.63</v>
      </c>
      <c r="M25" s="109">
        <v>5613.0</v>
      </c>
      <c r="N25" s="110">
        <v>121912.0</v>
      </c>
      <c r="O25" s="110">
        <v>121242.0</v>
      </c>
      <c r="P25" s="110">
        <v>51223.0</v>
      </c>
      <c r="Q25" s="110">
        <v>123141.0</v>
      </c>
      <c r="R25" s="50">
        <v>120518.0</v>
      </c>
      <c r="S25" s="111">
        <v>55.0</v>
      </c>
      <c r="T25" s="112">
        <v>66.0</v>
      </c>
      <c r="U25" s="24" t="s">
        <v>39</v>
      </c>
      <c r="V25" s="11" t="s">
        <v>3872</v>
      </c>
      <c r="W25" s="108">
        <v>1.0</v>
      </c>
      <c r="X25" s="113">
        <v>30121.0</v>
      </c>
      <c r="Y25" s="113">
        <v>62015.0</v>
      </c>
      <c r="Z25" s="11">
        <v>158.0</v>
      </c>
      <c r="AA25" s="113">
        <v>72520.0</v>
      </c>
      <c r="AB25" s="109">
        <v>76631.06</v>
      </c>
      <c r="AC25" s="113">
        <v>70813.0</v>
      </c>
      <c r="AD25" s="108">
        <v>9.0</v>
      </c>
    </row>
    <row r="26">
      <c r="A26" s="11">
        <v>41.0</v>
      </c>
      <c r="B26" s="11">
        <v>5.0</v>
      </c>
      <c r="C26" s="11">
        <v>3.0</v>
      </c>
      <c r="D26" s="17">
        <v>91.0</v>
      </c>
      <c r="E26" s="108">
        <v>2.0</v>
      </c>
      <c r="F26" s="109">
        <v>-23855.96</v>
      </c>
      <c r="G26" s="109">
        <v>936.44</v>
      </c>
      <c r="H26" s="109">
        <v>-75772.53</v>
      </c>
      <c r="I26" s="109">
        <v>49966.22</v>
      </c>
      <c r="J26" s="109">
        <v>-62385.41</v>
      </c>
      <c r="K26" s="109">
        <v>12947.73</v>
      </c>
      <c r="L26" s="109">
        <v>-28729.64</v>
      </c>
      <c r="M26" s="109">
        <v>42980.55</v>
      </c>
      <c r="N26" s="110">
        <v>80910.0</v>
      </c>
      <c r="O26" s="110">
        <v>80430.0</v>
      </c>
      <c r="P26" s="110">
        <v>52523.0</v>
      </c>
      <c r="Q26" s="110">
        <v>83130.0</v>
      </c>
      <c r="R26" s="50">
        <v>120219.0</v>
      </c>
      <c r="S26" s="111">
        <v>51.0</v>
      </c>
      <c r="T26" s="112">
        <v>2.0</v>
      </c>
      <c r="U26" s="24" t="s">
        <v>39</v>
      </c>
      <c r="V26" s="11" t="s">
        <v>3873</v>
      </c>
      <c r="W26" s="108">
        <v>6.0</v>
      </c>
      <c r="X26" s="113">
        <v>41818.0</v>
      </c>
      <c r="Y26" s="113">
        <v>51919.0</v>
      </c>
      <c r="Z26" s="11">
        <v>107.0</v>
      </c>
      <c r="AA26" s="113">
        <v>43122.0</v>
      </c>
      <c r="AB26" s="109">
        <v>47875.87</v>
      </c>
      <c r="AC26" s="113">
        <v>60422.0</v>
      </c>
      <c r="AD26" s="108">
        <v>1.0</v>
      </c>
    </row>
    <row r="27">
      <c r="A27" s="11">
        <v>82.0</v>
      </c>
      <c r="B27" s="11">
        <v>5.0</v>
      </c>
      <c r="C27" s="11">
        <v>7.0</v>
      </c>
      <c r="D27" s="17">
        <v>33.0</v>
      </c>
      <c r="E27" s="108">
        <v>3.0</v>
      </c>
      <c r="F27" s="109">
        <v>76634.73</v>
      </c>
      <c r="G27" s="109">
        <v>-7395.13</v>
      </c>
      <c r="H27" s="109">
        <v>65986.46</v>
      </c>
      <c r="I27" s="109">
        <v>-75397.16</v>
      </c>
      <c r="J27" s="109">
        <v>37311.64</v>
      </c>
      <c r="K27" s="109">
        <v>20643.69</v>
      </c>
      <c r="L27" s="109">
        <v>993.89</v>
      </c>
      <c r="M27" s="109">
        <v>-59874.85</v>
      </c>
      <c r="N27" s="110">
        <v>30911.0</v>
      </c>
      <c r="O27" s="110">
        <v>30431.0</v>
      </c>
      <c r="P27" s="110">
        <v>50423.0</v>
      </c>
      <c r="Q27" s="110">
        <v>33131.0</v>
      </c>
      <c r="R27" s="50">
        <v>42614.0</v>
      </c>
      <c r="S27" s="111">
        <v>53.0</v>
      </c>
      <c r="T27" s="112">
        <v>51.0</v>
      </c>
      <c r="U27" s="24" t="s">
        <v>601</v>
      </c>
      <c r="V27" s="11" t="s">
        <v>3874</v>
      </c>
      <c r="W27" s="108">
        <v>6.0</v>
      </c>
      <c r="X27" s="113">
        <v>82116.0</v>
      </c>
      <c r="Y27" s="113">
        <v>73018.0</v>
      </c>
      <c r="Z27" s="11">
        <v>102.0</v>
      </c>
      <c r="AA27" s="113">
        <v>22022.0</v>
      </c>
      <c r="AB27" s="109">
        <v>87064.42</v>
      </c>
      <c r="AC27" s="113">
        <v>10319.0</v>
      </c>
      <c r="AD27" s="108">
        <v>8.0</v>
      </c>
    </row>
    <row r="28">
      <c r="A28" s="11">
        <v>41.0</v>
      </c>
      <c r="B28" s="11">
        <v>6.0</v>
      </c>
      <c r="C28" s="11">
        <v>1.0</v>
      </c>
      <c r="D28" s="17">
        <v>82.0</v>
      </c>
      <c r="E28" s="108">
        <v>3.0</v>
      </c>
      <c r="F28" s="109">
        <v>46025.82</v>
      </c>
      <c r="G28" s="109">
        <v>-3774.58</v>
      </c>
      <c r="H28" s="109">
        <v>74998.87</v>
      </c>
      <c r="I28" s="109">
        <v>-31726.34</v>
      </c>
      <c r="J28" s="109">
        <v>-65255.65</v>
      </c>
      <c r="K28" s="109">
        <v>73741.74</v>
      </c>
      <c r="L28" s="109">
        <v>84359.0</v>
      </c>
      <c r="M28" s="109">
        <v>47313.86</v>
      </c>
      <c r="N28" s="110">
        <v>80510.0</v>
      </c>
      <c r="O28" s="110">
        <v>72840.0</v>
      </c>
      <c r="P28" s="110">
        <v>52623.0</v>
      </c>
      <c r="Q28" s="110">
        <v>73140.0</v>
      </c>
      <c r="R28" s="50">
        <v>21220.0</v>
      </c>
      <c r="S28" s="111">
        <v>51.0</v>
      </c>
      <c r="T28" s="112">
        <v>22.0</v>
      </c>
      <c r="U28" s="24" t="s">
        <v>601</v>
      </c>
      <c r="V28" s="11" t="s">
        <v>3869</v>
      </c>
      <c r="W28" s="108">
        <v>8.0</v>
      </c>
      <c r="X28" s="113">
        <v>91116.0</v>
      </c>
      <c r="Y28" s="113">
        <v>70217.0</v>
      </c>
      <c r="Z28" s="11">
        <v>155.0</v>
      </c>
      <c r="AA28" s="113">
        <v>100922.0</v>
      </c>
      <c r="AB28" s="109">
        <v>-41071.25</v>
      </c>
      <c r="AC28" s="113">
        <v>33014.0</v>
      </c>
      <c r="AD28" s="108">
        <v>7.0</v>
      </c>
    </row>
    <row r="29">
      <c r="A29" s="11">
        <v>82.0</v>
      </c>
      <c r="B29" s="11">
        <v>6.0</v>
      </c>
      <c r="C29" s="11">
        <v>4.0</v>
      </c>
      <c r="D29" s="17">
        <v>5.0</v>
      </c>
      <c r="E29" s="108">
        <v>2.0</v>
      </c>
      <c r="F29" s="109">
        <v>65039.5</v>
      </c>
      <c r="G29" s="109">
        <v>-996.37</v>
      </c>
      <c r="H29" s="109">
        <v>-66038.11</v>
      </c>
      <c r="I29" s="109">
        <v>-823.99</v>
      </c>
      <c r="J29" s="109">
        <v>77795.31</v>
      </c>
      <c r="K29" s="109">
        <v>-4014.87</v>
      </c>
      <c r="L29" s="109">
        <v>-75281.37</v>
      </c>
      <c r="M29" s="109">
        <v>40879.22</v>
      </c>
      <c r="N29" s="110">
        <v>50910.0</v>
      </c>
      <c r="O29" s="110">
        <v>50140.0</v>
      </c>
      <c r="P29" s="110">
        <v>51723.0</v>
      </c>
      <c r="Q29" s="110">
        <v>53140.0</v>
      </c>
      <c r="R29" s="50">
        <v>60118.0</v>
      </c>
      <c r="S29" s="111">
        <v>55.0</v>
      </c>
      <c r="T29" s="112">
        <v>89.0</v>
      </c>
      <c r="U29" s="24" t="s">
        <v>603</v>
      </c>
      <c r="V29" s="11" t="s">
        <v>3875</v>
      </c>
      <c r="W29" s="108">
        <v>8.0</v>
      </c>
      <c r="X29" s="113">
        <v>11319.0</v>
      </c>
      <c r="Y29" s="113">
        <v>91815.0</v>
      </c>
      <c r="Z29" s="11">
        <v>128.0</v>
      </c>
      <c r="AA29" s="113">
        <v>41518.0</v>
      </c>
      <c r="AB29" s="109">
        <v>26495.51</v>
      </c>
      <c r="AC29" s="113">
        <v>80615.0</v>
      </c>
      <c r="AD29" s="108">
        <v>0.0</v>
      </c>
    </row>
    <row r="30">
      <c r="A30" s="11">
        <v>21.0</v>
      </c>
      <c r="B30" s="11">
        <v>2.0</v>
      </c>
      <c r="C30" s="11">
        <v>1.0</v>
      </c>
      <c r="D30" s="17">
        <v>77.0</v>
      </c>
      <c r="E30" s="108">
        <v>8.0</v>
      </c>
      <c r="F30" s="109">
        <v>-47978.06</v>
      </c>
      <c r="G30" s="109">
        <v>66622.04</v>
      </c>
      <c r="H30" s="109">
        <v>-2146.07</v>
      </c>
      <c r="I30" s="109">
        <v>22002.59</v>
      </c>
      <c r="J30" s="109">
        <v>84613.77</v>
      </c>
      <c r="K30" s="109">
        <v>-6903.63</v>
      </c>
      <c r="L30" s="109">
        <v>9047.6</v>
      </c>
      <c r="M30" s="109">
        <v>43138.09</v>
      </c>
      <c r="N30" s="110">
        <v>91914.0</v>
      </c>
      <c r="O30" s="110">
        <v>91624.0</v>
      </c>
      <c r="P30" s="110">
        <v>51723.0</v>
      </c>
      <c r="Q30" s="110">
        <v>93024.0</v>
      </c>
      <c r="R30" s="50">
        <v>41813.0</v>
      </c>
      <c r="S30" s="111">
        <v>51.0</v>
      </c>
      <c r="T30" s="112">
        <v>67.0</v>
      </c>
      <c r="U30" s="24" t="s">
        <v>601</v>
      </c>
      <c r="V30" s="11" t="s">
        <v>3876</v>
      </c>
      <c r="W30" s="108">
        <v>7.0</v>
      </c>
      <c r="X30" s="113">
        <v>51518.0</v>
      </c>
      <c r="Y30" s="113">
        <v>80615.0</v>
      </c>
      <c r="Z30" s="11">
        <v>132.0</v>
      </c>
      <c r="AA30" s="113">
        <v>100118.0</v>
      </c>
      <c r="AB30" s="109">
        <v>68681.25</v>
      </c>
      <c r="AC30" s="113">
        <v>72322.0</v>
      </c>
      <c r="AD30" s="108">
        <v>5.0</v>
      </c>
    </row>
    <row r="31">
      <c r="A31" s="11">
        <v>62.0</v>
      </c>
      <c r="B31" s="11">
        <v>1.0</v>
      </c>
      <c r="C31" s="11">
        <v>9.0</v>
      </c>
      <c r="D31" s="17">
        <v>79.0</v>
      </c>
      <c r="E31" s="108">
        <v>9.0</v>
      </c>
      <c r="F31" s="109">
        <v>88616.34</v>
      </c>
      <c r="G31" s="109">
        <v>-73004.96</v>
      </c>
      <c r="H31" s="109">
        <v>71261.08</v>
      </c>
      <c r="I31" s="109">
        <v>-64185.54</v>
      </c>
      <c r="J31" s="109">
        <v>-6694.04</v>
      </c>
      <c r="K31" s="109">
        <v>-34253.94</v>
      </c>
      <c r="L31" s="109">
        <v>57235.34</v>
      </c>
      <c r="M31" s="109">
        <v>-49412.27</v>
      </c>
      <c r="N31" s="110">
        <v>33110.0</v>
      </c>
      <c r="O31" s="110">
        <v>32820.0</v>
      </c>
      <c r="P31" s="110">
        <v>52123.0</v>
      </c>
      <c r="Q31" s="110">
        <v>33120.0</v>
      </c>
      <c r="R31" s="50">
        <v>110416.0</v>
      </c>
      <c r="S31" s="111">
        <v>53.0</v>
      </c>
      <c r="T31" s="112">
        <v>11.0</v>
      </c>
      <c r="U31" s="24" t="s">
        <v>601</v>
      </c>
      <c r="V31" s="11" t="s">
        <v>3877</v>
      </c>
      <c r="W31" s="108">
        <v>6.0</v>
      </c>
      <c r="X31" s="113">
        <v>80321.0</v>
      </c>
      <c r="Y31" s="113">
        <v>42214.0</v>
      </c>
      <c r="Z31" s="11">
        <v>125.0</v>
      </c>
      <c r="AA31" s="113">
        <v>42118.0</v>
      </c>
      <c r="AB31" s="109">
        <v>-46102.56</v>
      </c>
      <c r="AC31" s="113">
        <v>91422.0</v>
      </c>
      <c r="AD31" s="108">
        <v>5.0</v>
      </c>
    </row>
    <row r="32">
      <c r="A32" s="11">
        <v>21.0</v>
      </c>
      <c r="B32" s="11">
        <v>2.0</v>
      </c>
      <c r="C32" s="11">
        <v>5.0</v>
      </c>
      <c r="D32" s="17">
        <v>75.0</v>
      </c>
      <c r="E32" s="108">
        <v>1.0</v>
      </c>
      <c r="F32" s="109">
        <v>-93469.36</v>
      </c>
      <c r="G32" s="109">
        <v>55865.94</v>
      </c>
      <c r="H32" s="109">
        <v>78126.51</v>
      </c>
      <c r="I32" s="109">
        <v>-70007.89</v>
      </c>
      <c r="J32" s="109">
        <v>81321.24</v>
      </c>
      <c r="K32" s="109">
        <v>66691.11</v>
      </c>
      <c r="L32" s="109">
        <v>62628.08</v>
      </c>
      <c r="M32" s="109">
        <v>-77519.14</v>
      </c>
      <c r="N32" s="110">
        <v>102113.0</v>
      </c>
      <c r="O32" s="110">
        <v>101923.0</v>
      </c>
      <c r="P32" s="110">
        <v>51123.0</v>
      </c>
      <c r="Q32" s="110">
        <v>103123.0</v>
      </c>
      <c r="R32" s="50">
        <v>80922.0</v>
      </c>
      <c r="S32" s="111">
        <v>55.0</v>
      </c>
      <c r="T32" s="112">
        <v>6.0</v>
      </c>
      <c r="U32" s="24" t="s">
        <v>48</v>
      </c>
      <c r="V32" s="11" t="s">
        <v>3878</v>
      </c>
      <c r="W32" s="108">
        <v>5.0</v>
      </c>
      <c r="X32" s="113">
        <v>22018.0</v>
      </c>
      <c r="Y32" s="113">
        <v>71821.0</v>
      </c>
      <c r="Z32" s="11">
        <v>100.0</v>
      </c>
      <c r="AA32" s="113">
        <v>50219.0</v>
      </c>
      <c r="AB32" s="109">
        <v>-2126.31</v>
      </c>
      <c r="AC32" s="113">
        <v>11522.0</v>
      </c>
      <c r="AD32" s="108">
        <v>7.0</v>
      </c>
    </row>
    <row r="33">
      <c r="A33" s="11">
        <v>41.0</v>
      </c>
      <c r="B33" s="11">
        <v>7.0</v>
      </c>
      <c r="C33" s="11">
        <v>4.0</v>
      </c>
      <c r="D33" s="17">
        <v>47.0</v>
      </c>
      <c r="E33" s="108">
        <v>0.0</v>
      </c>
      <c r="F33" s="109">
        <v>18190.04</v>
      </c>
      <c r="G33" s="109">
        <v>-42155.09</v>
      </c>
      <c r="H33" s="109">
        <v>-1423.62</v>
      </c>
      <c r="I33" s="109">
        <v>43025.51</v>
      </c>
      <c r="J33" s="109">
        <v>36118.12</v>
      </c>
      <c r="K33" s="109">
        <v>97844.31</v>
      </c>
      <c r="L33" s="109">
        <v>-21917.0</v>
      </c>
      <c r="M33" s="109">
        <v>79155.93</v>
      </c>
      <c r="N33" s="110">
        <v>20712.0</v>
      </c>
      <c r="O33" s="110">
        <v>20232.0</v>
      </c>
      <c r="P33" s="110">
        <v>50723.0</v>
      </c>
      <c r="Q33" s="110">
        <v>22932.0</v>
      </c>
      <c r="R33" s="50">
        <v>52817.0</v>
      </c>
      <c r="S33" s="111">
        <v>50.0</v>
      </c>
      <c r="T33" s="112">
        <v>86.0</v>
      </c>
      <c r="U33" s="24" t="s">
        <v>601</v>
      </c>
      <c r="V33" s="11" t="s">
        <v>3879</v>
      </c>
      <c r="W33" s="108">
        <v>7.0</v>
      </c>
      <c r="X33" s="113">
        <v>60918.0</v>
      </c>
      <c r="Y33" s="113">
        <v>60514.0</v>
      </c>
      <c r="Z33" s="11">
        <v>194.0</v>
      </c>
      <c r="AA33" s="113">
        <v>122216.0</v>
      </c>
      <c r="AB33" s="109">
        <v>-17978.5</v>
      </c>
      <c r="AC33" s="113">
        <v>21223.0</v>
      </c>
      <c r="AD33" s="108">
        <v>9.0</v>
      </c>
    </row>
    <row r="34">
      <c r="A34" s="11">
        <v>62.0</v>
      </c>
      <c r="B34" s="11">
        <v>2.0</v>
      </c>
      <c r="C34" s="11">
        <v>1.0</v>
      </c>
      <c r="D34" s="17">
        <v>65.0</v>
      </c>
      <c r="E34" s="108">
        <v>2.0</v>
      </c>
      <c r="F34" s="109">
        <v>-27282.19</v>
      </c>
      <c r="G34" s="109">
        <v>99647.02</v>
      </c>
      <c r="H34" s="109">
        <v>-67948.79</v>
      </c>
      <c r="I34" s="109">
        <v>-4038.25</v>
      </c>
      <c r="J34" s="109">
        <v>-54433.04</v>
      </c>
      <c r="K34" s="109">
        <v>244.49</v>
      </c>
      <c r="L34" s="109">
        <v>26168.5</v>
      </c>
      <c r="M34" s="109">
        <v>82536.33</v>
      </c>
      <c r="N34" s="110">
        <v>80112.0</v>
      </c>
      <c r="O34" s="110">
        <v>72542.0</v>
      </c>
      <c r="P34" s="110">
        <v>52323.0</v>
      </c>
      <c r="Q34" s="110">
        <v>73142.0</v>
      </c>
      <c r="R34" s="50">
        <v>42814.0</v>
      </c>
      <c r="S34" s="111">
        <v>50.0</v>
      </c>
      <c r="T34" s="112">
        <v>94.0</v>
      </c>
      <c r="U34" s="24" t="s">
        <v>31</v>
      </c>
      <c r="V34" s="11" t="s">
        <v>3880</v>
      </c>
      <c r="W34" s="108">
        <v>7.0</v>
      </c>
      <c r="X34" s="113">
        <v>11119.0</v>
      </c>
      <c r="Y34" s="113">
        <v>31518.0</v>
      </c>
      <c r="Z34" s="11">
        <v>154.0</v>
      </c>
      <c r="AA34" s="113">
        <v>31419.0</v>
      </c>
      <c r="AB34" s="109">
        <v>69934.2</v>
      </c>
      <c r="AC34" s="113">
        <v>90221.0</v>
      </c>
      <c r="AD34" s="108">
        <v>8.0</v>
      </c>
    </row>
    <row r="35">
      <c r="A35" s="11">
        <v>62.0</v>
      </c>
      <c r="B35" s="11">
        <v>2.0</v>
      </c>
      <c r="C35" s="11">
        <v>2.0</v>
      </c>
      <c r="D35" s="17">
        <v>89.0</v>
      </c>
      <c r="E35" s="108">
        <v>1.0</v>
      </c>
      <c r="F35" s="109">
        <v>-78777.43</v>
      </c>
      <c r="G35" s="109">
        <v>12780.22</v>
      </c>
      <c r="H35" s="109">
        <v>74043.57</v>
      </c>
      <c r="I35" s="109">
        <v>70500.88</v>
      </c>
      <c r="J35" s="109">
        <v>16481.27</v>
      </c>
      <c r="K35" s="109">
        <v>9233.45</v>
      </c>
      <c r="L35" s="109">
        <v>46301.53</v>
      </c>
      <c r="M35" s="109">
        <v>65977.19</v>
      </c>
      <c r="N35" s="110">
        <v>91514.0</v>
      </c>
      <c r="O35" s="110">
        <v>90744.0</v>
      </c>
      <c r="P35" s="110">
        <v>50523.0</v>
      </c>
      <c r="Q35" s="110">
        <v>93044.0</v>
      </c>
      <c r="R35" s="50">
        <v>50514.0</v>
      </c>
      <c r="S35" s="111">
        <v>55.0</v>
      </c>
      <c r="T35" s="112">
        <v>79.0</v>
      </c>
      <c r="U35" s="24" t="s">
        <v>48</v>
      </c>
      <c r="V35" s="11" t="s">
        <v>3881</v>
      </c>
      <c r="W35" s="108">
        <v>3.0</v>
      </c>
      <c r="X35" s="113">
        <v>12513.0</v>
      </c>
      <c r="Y35" s="113">
        <v>62613.0</v>
      </c>
      <c r="Z35" s="11">
        <v>152.0</v>
      </c>
      <c r="AA35" s="113">
        <v>62919.0</v>
      </c>
      <c r="AB35" s="109">
        <v>16691.79</v>
      </c>
      <c r="AC35" s="113">
        <v>112219.0</v>
      </c>
      <c r="AD35" s="108">
        <v>7.0</v>
      </c>
    </row>
    <row r="36">
      <c r="A36" s="11">
        <v>41.0</v>
      </c>
      <c r="B36" s="11">
        <v>7.0</v>
      </c>
      <c r="C36" s="11">
        <v>7.0</v>
      </c>
      <c r="D36" s="17">
        <v>14.0</v>
      </c>
      <c r="E36" s="108">
        <v>0.0</v>
      </c>
      <c r="F36" s="109">
        <v>72296.16</v>
      </c>
      <c r="G36" s="109">
        <v>-52497.27</v>
      </c>
      <c r="H36" s="109">
        <v>92168.8</v>
      </c>
      <c r="I36" s="109">
        <v>5397.39</v>
      </c>
      <c r="J36" s="109">
        <v>-20683.82</v>
      </c>
      <c r="K36" s="109">
        <v>-71477.38</v>
      </c>
      <c r="L36" s="109">
        <v>12203.04</v>
      </c>
      <c r="M36" s="109">
        <v>75552.89</v>
      </c>
      <c r="N36" s="110">
        <v>81113.0</v>
      </c>
      <c r="O36" s="110">
        <v>80633.0</v>
      </c>
      <c r="P36" s="110">
        <v>52123.0</v>
      </c>
      <c r="Q36" s="110">
        <v>83133.0</v>
      </c>
      <c r="R36" s="50">
        <v>101415.0</v>
      </c>
      <c r="S36" s="111">
        <v>55.0</v>
      </c>
      <c r="T36" s="112">
        <v>88.0</v>
      </c>
      <c r="U36" s="24" t="s">
        <v>39</v>
      </c>
      <c r="V36" s="11" t="s">
        <v>3882</v>
      </c>
      <c r="W36" s="108">
        <v>7.0</v>
      </c>
      <c r="X36" s="113">
        <v>82615.0</v>
      </c>
      <c r="Y36" s="113">
        <v>50123.0</v>
      </c>
      <c r="Z36" s="11">
        <v>112.0</v>
      </c>
      <c r="AA36" s="113">
        <v>90220.0</v>
      </c>
      <c r="AB36" s="109">
        <v>-13063.05</v>
      </c>
      <c r="AC36" s="113">
        <v>12123.0</v>
      </c>
      <c r="AD36" s="108">
        <v>4.0</v>
      </c>
    </row>
    <row r="37">
      <c r="A37" s="11">
        <v>62.0</v>
      </c>
      <c r="B37" s="11">
        <v>2.0</v>
      </c>
      <c r="C37" s="11">
        <v>5.0</v>
      </c>
      <c r="D37" s="17">
        <v>29.0</v>
      </c>
      <c r="E37" s="108">
        <v>1.0</v>
      </c>
      <c r="F37" s="109">
        <v>92955.92</v>
      </c>
      <c r="G37" s="109">
        <v>-95937.69</v>
      </c>
      <c r="H37" s="109">
        <v>88045.5</v>
      </c>
      <c r="I37" s="109">
        <v>-52792.7</v>
      </c>
      <c r="J37" s="109">
        <v>32587.91</v>
      </c>
      <c r="K37" s="109">
        <v>47191.05</v>
      </c>
      <c r="L37" s="109">
        <v>73057.14</v>
      </c>
      <c r="M37" s="109">
        <v>11327.02</v>
      </c>
      <c r="N37" s="110">
        <v>121411.0</v>
      </c>
      <c r="O37" s="110">
        <v>121121.0</v>
      </c>
      <c r="P37" s="110">
        <v>51523.0</v>
      </c>
      <c r="Q37" s="110">
        <v>123120.0</v>
      </c>
      <c r="R37" s="50">
        <v>12215.0</v>
      </c>
      <c r="S37" s="111">
        <v>51.0</v>
      </c>
      <c r="T37" s="112">
        <v>41.0</v>
      </c>
      <c r="U37" s="24" t="s">
        <v>601</v>
      </c>
      <c r="V37" s="11" t="s">
        <v>3883</v>
      </c>
      <c r="W37" s="108">
        <v>6.0</v>
      </c>
      <c r="X37" s="113">
        <v>42319.0</v>
      </c>
      <c r="Y37" s="113">
        <v>121723.0</v>
      </c>
      <c r="Z37" s="11">
        <v>157.0</v>
      </c>
      <c r="AA37" s="113">
        <v>71518.0</v>
      </c>
      <c r="AB37" s="109">
        <v>84718.73</v>
      </c>
      <c r="AC37" s="113">
        <v>51717.0</v>
      </c>
      <c r="AD37" s="108">
        <v>4.0</v>
      </c>
    </row>
    <row r="38">
      <c r="A38" s="11">
        <v>21.0</v>
      </c>
      <c r="B38" s="11">
        <v>3.0</v>
      </c>
      <c r="C38" s="11">
        <v>1.0</v>
      </c>
      <c r="D38" s="17">
        <v>52.0</v>
      </c>
      <c r="E38" s="108">
        <v>0.0</v>
      </c>
      <c r="F38" s="109">
        <v>39024.45</v>
      </c>
      <c r="G38" s="109">
        <v>70787.28</v>
      </c>
      <c r="H38" s="109">
        <v>-21710.7</v>
      </c>
      <c r="I38" s="109">
        <v>26996.65</v>
      </c>
      <c r="J38" s="109">
        <v>67329.19</v>
      </c>
      <c r="K38" s="109">
        <v>-7967.38</v>
      </c>
      <c r="L38" s="109">
        <v>-59139.21</v>
      </c>
      <c r="M38" s="109">
        <v>85490.78</v>
      </c>
      <c r="N38" s="110">
        <v>70812.0</v>
      </c>
      <c r="O38" s="110">
        <v>70332.0</v>
      </c>
      <c r="P38" s="110">
        <v>53023.0</v>
      </c>
      <c r="Q38" s="110">
        <v>73132.0</v>
      </c>
      <c r="R38" s="50">
        <v>120220.0</v>
      </c>
      <c r="S38" s="111">
        <v>55.0</v>
      </c>
      <c r="T38" s="112">
        <v>72.0</v>
      </c>
      <c r="U38" s="24" t="s">
        <v>39</v>
      </c>
      <c r="V38" s="11" t="s">
        <v>3884</v>
      </c>
      <c r="W38" s="108">
        <v>9.0</v>
      </c>
      <c r="X38" s="113">
        <v>21920.0</v>
      </c>
      <c r="Y38" s="113">
        <v>12813.0</v>
      </c>
      <c r="Z38" s="11">
        <v>109.0</v>
      </c>
      <c r="AA38" s="113">
        <v>102023.0</v>
      </c>
      <c r="AB38" s="109">
        <v>-73259.64</v>
      </c>
      <c r="AC38" s="113">
        <v>92814.0</v>
      </c>
      <c r="AD38" s="108">
        <v>5.0</v>
      </c>
    </row>
    <row r="39">
      <c r="A39" s="11">
        <v>82.0</v>
      </c>
      <c r="B39" s="11">
        <v>7.0</v>
      </c>
      <c r="C39" s="11">
        <v>5.0</v>
      </c>
      <c r="D39" s="17">
        <v>52.0</v>
      </c>
      <c r="E39" s="108">
        <v>8.0</v>
      </c>
      <c r="F39" s="109">
        <v>-28756.17</v>
      </c>
      <c r="G39" s="109">
        <v>70594.98</v>
      </c>
      <c r="H39" s="109">
        <v>-51514.02</v>
      </c>
      <c r="I39" s="109">
        <v>-3531.66</v>
      </c>
      <c r="J39" s="109">
        <v>87414.44</v>
      </c>
      <c r="K39" s="109">
        <v>98963.35</v>
      </c>
      <c r="L39" s="109">
        <v>-88469.5</v>
      </c>
      <c r="M39" s="109">
        <v>-93508.36</v>
      </c>
      <c r="N39" s="110">
        <v>81710.0</v>
      </c>
      <c r="O39" s="110">
        <v>81420.0</v>
      </c>
      <c r="P39" s="110">
        <v>50523.0</v>
      </c>
      <c r="Q39" s="110">
        <v>83120.0</v>
      </c>
      <c r="R39" s="50">
        <v>122314.0</v>
      </c>
      <c r="S39" s="111">
        <v>54.0</v>
      </c>
      <c r="T39" s="112">
        <v>57.0</v>
      </c>
      <c r="U39" s="24" t="s">
        <v>603</v>
      </c>
      <c r="V39" s="11" t="s">
        <v>3885</v>
      </c>
      <c r="W39" s="108">
        <v>6.0</v>
      </c>
      <c r="X39" s="113">
        <v>22320.0</v>
      </c>
      <c r="Y39" s="113">
        <v>72016.0</v>
      </c>
      <c r="Z39" s="11">
        <v>168.0</v>
      </c>
      <c r="AA39" s="113">
        <v>51117.0</v>
      </c>
      <c r="AB39" s="109">
        <v>-55317.53</v>
      </c>
      <c r="AC39" s="113">
        <v>10117.0</v>
      </c>
      <c r="AD39" s="108">
        <v>8.0</v>
      </c>
    </row>
    <row r="40">
      <c r="A40" s="11">
        <v>21.0</v>
      </c>
      <c r="B40" s="11">
        <v>2.0</v>
      </c>
      <c r="C40" s="11">
        <v>6.0</v>
      </c>
      <c r="D40" s="17">
        <v>15.0</v>
      </c>
      <c r="E40" s="108">
        <v>0.0</v>
      </c>
      <c r="F40" s="109">
        <v>29876.4</v>
      </c>
      <c r="G40" s="109">
        <v>11183.49</v>
      </c>
      <c r="H40" s="109">
        <v>-68023.01</v>
      </c>
      <c r="I40" s="109">
        <v>76822.82</v>
      </c>
      <c r="J40" s="109">
        <v>-86052.79</v>
      </c>
      <c r="K40" s="109">
        <v>77027.95</v>
      </c>
      <c r="L40" s="109">
        <v>16580.77</v>
      </c>
      <c r="M40" s="109">
        <v>-44426.03</v>
      </c>
      <c r="N40" s="110">
        <v>72012.0</v>
      </c>
      <c r="O40" s="110">
        <v>71342.0</v>
      </c>
      <c r="P40" s="110">
        <v>52123.0</v>
      </c>
      <c r="Q40" s="110">
        <v>73142.0</v>
      </c>
      <c r="R40" s="50">
        <v>63021.0</v>
      </c>
      <c r="S40" s="111">
        <v>53.0</v>
      </c>
      <c r="T40" s="112">
        <v>71.0</v>
      </c>
      <c r="U40" s="24" t="s">
        <v>31</v>
      </c>
      <c r="V40" s="11" t="s">
        <v>3886</v>
      </c>
      <c r="W40" s="108">
        <v>8.0</v>
      </c>
      <c r="X40" s="113">
        <v>60420.0</v>
      </c>
      <c r="Y40" s="113">
        <v>52416.0</v>
      </c>
      <c r="Z40" s="11">
        <v>103.0</v>
      </c>
      <c r="AA40" s="113">
        <v>11414.0</v>
      </c>
      <c r="AB40" s="109">
        <v>-74321.39</v>
      </c>
      <c r="AC40" s="113">
        <v>10322.0</v>
      </c>
      <c r="AD40" s="108">
        <v>3.0</v>
      </c>
    </row>
    <row r="41">
      <c r="A41" s="11">
        <v>82.0</v>
      </c>
      <c r="B41" s="11">
        <v>7.0</v>
      </c>
      <c r="C41" s="11">
        <v>8.0</v>
      </c>
      <c r="D41" s="17">
        <v>85.0</v>
      </c>
      <c r="E41" s="108">
        <v>5.0</v>
      </c>
      <c r="F41" s="109">
        <v>-98626.56</v>
      </c>
      <c r="G41" s="109">
        <v>37550.28</v>
      </c>
      <c r="H41" s="109">
        <v>-82339.51</v>
      </c>
      <c r="I41" s="109">
        <v>-62319.0</v>
      </c>
      <c r="J41" s="109">
        <v>-40896.84</v>
      </c>
      <c r="K41" s="109">
        <v>-17827.46</v>
      </c>
      <c r="L41" s="109">
        <v>14500.58</v>
      </c>
      <c r="M41" s="109">
        <v>-25143.84</v>
      </c>
      <c r="N41" s="110">
        <v>30214.0</v>
      </c>
      <c r="O41" s="110">
        <v>22344.0</v>
      </c>
      <c r="P41" s="110">
        <v>51423.0</v>
      </c>
      <c r="Q41" s="110">
        <v>22944.0</v>
      </c>
      <c r="R41" s="50">
        <v>92922.0</v>
      </c>
      <c r="S41" s="111">
        <v>50.0</v>
      </c>
      <c r="T41" s="112">
        <v>7.0</v>
      </c>
      <c r="U41" s="24" t="s">
        <v>48</v>
      </c>
      <c r="V41" s="11" t="s">
        <v>3887</v>
      </c>
      <c r="W41" s="108">
        <v>6.0</v>
      </c>
      <c r="X41" s="113">
        <v>62113.0</v>
      </c>
      <c r="Y41" s="113">
        <v>91519.0</v>
      </c>
      <c r="Z41" s="11">
        <v>114.0</v>
      </c>
      <c r="AA41" s="113">
        <v>61220.0</v>
      </c>
      <c r="AB41" s="109">
        <v>-68453.4</v>
      </c>
      <c r="AC41" s="113">
        <v>70722.0</v>
      </c>
      <c r="AD41" s="108">
        <v>4.0</v>
      </c>
    </row>
    <row r="42">
      <c r="A42" s="11">
        <v>41.0</v>
      </c>
      <c r="B42" s="11">
        <v>8.0</v>
      </c>
      <c r="C42" s="11">
        <v>3.0</v>
      </c>
      <c r="D42" s="17">
        <v>98.0</v>
      </c>
      <c r="E42" s="108">
        <v>1.0</v>
      </c>
      <c r="F42" s="109">
        <v>-20763.63</v>
      </c>
      <c r="G42" s="109">
        <v>22475.04</v>
      </c>
      <c r="H42" s="109">
        <v>-7721.83</v>
      </c>
      <c r="I42" s="109">
        <v>-76851.33</v>
      </c>
      <c r="J42" s="109">
        <v>75762.6</v>
      </c>
      <c r="K42" s="109">
        <v>88432.77</v>
      </c>
      <c r="L42" s="109">
        <v>-89850.64</v>
      </c>
      <c r="M42" s="109">
        <v>37920.52</v>
      </c>
      <c r="N42" s="110">
        <v>81412.0</v>
      </c>
      <c r="O42" s="110">
        <v>80742.0</v>
      </c>
      <c r="P42" s="110">
        <v>52323.0</v>
      </c>
      <c r="Q42" s="110">
        <v>83142.0</v>
      </c>
      <c r="R42" s="50">
        <v>42622.0</v>
      </c>
      <c r="S42" s="111">
        <v>51.0</v>
      </c>
      <c r="T42" s="112">
        <v>82.0</v>
      </c>
      <c r="U42" s="24" t="s">
        <v>31</v>
      </c>
      <c r="V42" s="11" t="s">
        <v>3888</v>
      </c>
      <c r="W42" s="108">
        <v>7.0</v>
      </c>
      <c r="X42" s="113">
        <v>101213.0</v>
      </c>
      <c r="Y42" s="113">
        <v>20417.0</v>
      </c>
      <c r="Z42" s="11">
        <v>199.0</v>
      </c>
      <c r="AA42" s="113">
        <v>52522.0</v>
      </c>
      <c r="AB42" s="109">
        <v>27099.13</v>
      </c>
      <c r="AC42" s="113">
        <v>50218.0</v>
      </c>
      <c r="AD42" s="108">
        <v>7.0</v>
      </c>
    </row>
    <row r="43">
      <c r="A43" s="11">
        <v>21.0</v>
      </c>
      <c r="B43" s="11">
        <v>3.0</v>
      </c>
      <c r="C43" s="11">
        <v>5.0</v>
      </c>
      <c r="D43" s="17">
        <v>25.0</v>
      </c>
      <c r="E43" s="108">
        <v>8.0</v>
      </c>
      <c r="F43" s="109">
        <v>85112.24</v>
      </c>
      <c r="G43" s="109">
        <v>91389.39</v>
      </c>
      <c r="H43" s="109">
        <v>-1615.61</v>
      </c>
      <c r="I43" s="109">
        <v>-18134.78</v>
      </c>
      <c r="J43" s="109">
        <v>-31984.83</v>
      </c>
      <c r="K43" s="109">
        <v>-94930.28</v>
      </c>
      <c r="L43" s="109">
        <v>-34953.07</v>
      </c>
      <c r="M43" s="109">
        <v>86859.81</v>
      </c>
      <c r="N43" s="110">
        <v>113014.0</v>
      </c>
      <c r="O43" s="110">
        <v>112244.0</v>
      </c>
      <c r="P43" s="110">
        <v>51623.0</v>
      </c>
      <c r="Q43" s="110">
        <v>113044.0</v>
      </c>
      <c r="R43" s="50">
        <v>111616.0</v>
      </c>
      <c r="S43" s="111">
        <v>51.0</v>
      </c>
      <c r="T43" s="112">
        <v>1.0</v>
      </c>
      <c r="U43" s="24" t="s">
        <v>601</v>
      </c>
      <c r="V43" s="11" t="s">
        <v>3889</v>
      </c>
      <c r="W43" s="108">
        <v>9.0</v>
      </c>
      <c r="X43" s="113">
        <v>121323.0</v>
      </c>
      <c r="Y43" s="113">
        <v>70914.0</v>
      </c>
      <c r="Z43" s="11">
        <v>151.0</v>
      </c>
      <c r="AA43" s="113">
        <v>90218.0</v>
      </c>
      <c r="AB43" s="109">
        <v>-47289.36</v>
      </c>
      <c r="AC43" s="113">
        <v>110723.0</v>
      </c>
      <c r="AD43" s="108">
        <v>5.0</v>
      </c>
    </row>
    <row r="44">
      <c r="A44" s="11">
        <v>41.0</v>
      </c>
      <c r="B44" s="11">
        <v>8.0</v>
      </c>
      <c r="C44" s="11">
        <v>5.0</v>
      </c>
      <c r="D44" s="17">
        <v>44.0</v>
      </c>
      <c r="E44" s="108">
        <v>9.0</v>
      </c>
      <c r="F44" s="109">
        <v>-59951.68</v>
      </c>
      <c r="G44" s="109">
        <v>-74847.41</v>
      </c>
      <c r="H44" s="109">
        <v>18193.44</v>
      </c>
      <c r="I44" s="109">
        <v>95555.79</v>
      </c>
      <c r="J44" s="109">
        <v>-10054.68</v>
      </c>
      <c r="K44" s="109">
        <v>-41587.43</v>
      </c>
      <c r="L44" s="109">
        <v>-61605.17</v>
      </c>
      <c r="M44" s="109">
        <v>26647.79</v>
      </c>
      <c r="N44" s="110">
        <v>120813.0</v>
      </c>
      <c r="O44" s="110">
        <v>120143.0</v>
      </c>
      <c r="P44" s="110">
        <v>52923.0</v>
      </c>
      <c r="Q44" s="110">
        <v>123142.0</v>
      </c>
      <c r="R44" s="50">
        <v>51218.0</v>
      </c>
      <c r="S44" s="111">
        <v>55.0</v>
      </c>
      <c r="T44" s="112">
        <v>9.0</v>
      </c>
      <c r="U44" s="24" t="s">
        <v>39</v>
      </c>
      <c r="V44" s="11" t="s">
        <v>3890</v>
      </c>
      <c r="W44" s="108">
        <v>6.0</v>
      </c>
      <c r="X44" s="113">
        <v>52922.0</v>
      </c>
      <c r="Y44" s="113">
        <v>90217.0</v>
      </c>
      <c r="Z44" s="11">
        <v>161.0</v>
      </c>
      <c r="AA44" s="113">
        <v>121021.0</v>
      </c>
      <c r="AB44" s="109">
        <v>-74615.38</v>
      </c>
      <c r="AC44" s="113">
        <v>42721.0</v>
      </c>
      <c r="AD44" s="108">
        <v>3.0</v>
      </c>
    </row>
    <row r="45">
      <c r="A45" s="11">
        <v>82.0</v>
      </c>
      <c r="B45" s="11">
        <v>7.0</v>
      </c>
      <c r="C45" s="11">
        <v>6.0</v>
      </c>
      <c r="D45" s="17">
        <v>99.0</v>
      </c>
      <c r="E45" s="108">
        <v>3.0</v>
      </c>
      <c r="F45" s="109">
        <v>-94335.45</v>
      </c>
      <c r="G45" s="109">
        <v>86167.74</v>
      </c>
      <c r="H45" s="109">
        <v>-89766.83</v>
      </c>
      <c r="I45" s="109">
        <v>90467.58</v>
      </c>
      <c r="J45" s="109">
        <v>-79995.77</v>
      </c>
      <c r="K45" s="109">
        <v>-18249.09</v>
      </c>
      <c r="L45" s="109">
        <v>19238.51</v>
      </c>
      <c r="M45" s="109">
        <v>-91364.42</v>
      </c>
      <c r="N45" s="110">
        <v>80810.0</v>
      </c>
      <c r="O45" s="110">
        <v>73140.0</v>
      </c>
      <c r="P45" s="110">
        <v>50223.0</v>
      </c>
      <c r="Q45" s="110">
        <v>73140.0</v>
      </c>
      <c r="R45" s="50">
        <v>110715.0</v>
      </c>
      <c r="S45" s="111">
        <v>53.0</v>
      </c>
      <c r="T45" s="112">
        <v>74.0</v>
      </c>
      <c r="U45" s="24" t="s">
        <v>39</v>
      </c>
      <c r="V45" s="11" t="s">
        <v>3891</v>
      </c>
      <c r="W45" s="108">
        <v>8.0</v>
      </c>
      <c r="X45" s="113">
        <v>31813.0</v>
      </c>
      <c r="Y45" s="113">
        <v>50519.0</v>
      </c>
      <c r="Z45" s="11">
        <v>113.0</v>
      </c>
      <c r="AA45" s="113">
        <v>22220.0</v>
      </c>
      <c r="AB45" s="109">
        <v>-92659.62</v>
      </c>
      <c r="AC45" s="113">
        <v>60419.0</v>
      </c>
      <c r="AD45" s="108">
        <v>5.0</v>
      </c>
    </row>
    <row r="46">
      <c r="A46" s="11">
        <v>62.0</v>
      </c>
      <c r="B46" s="11">
        <v>3.0</v>
      </c>
      <c r="C46" s="11">
        <v>5.0</v>
      </c>
      <c r="D46" s="17">
        <v>51.0</v>
      </c>
      <c r="E46" s="108">
        <v>3.0</v>
      </c>
      <c r="F46" s="109">
        <v>-23036.9</v>
      </c>
      <c r="G46" s="109">
        <v>95357.03</v>
      </c>
      <c r="H46" s="109">
        <v>-3305.31</v>
      </c>
      <c r="I46" s="109">
        <v>-36258.7</v>
      </c>
      <c r="J46" s="109">
        <v>79984.69</v>
      </c>
      <c r="K46" s="109">
        <v>-10186.49</v>
      </c>
      <c r="L46" s="109">
        <v>-34091.36</v>
      </c>
      <c r="M46" s="109">
        <v>30867.34</v>
      </c>
      <c r="N46" s="110">
        <v>82311.0</v>
      </c>
      <c r="O46" s="110">
        <v>82021.0</v>
      </c>
      <c r="P46" s="110">
        <v>50423.0</v>
      </c>
      <c r="Q46" s="110">
        <v>83121.0</v>
      </c>
      <c r="R46" s="50">
        <v>92114.0</v>
      </c>
      <c r="S46" s="111">
        <v>54.0</v>
      </c>
      <c r="T46" s="112">
        <v>32.0</v>
      </c>
      <c r="U46" s="24" t="s">
        <v>603</v>
      </c>
      <c r="V46" s="11" t="s">
        <v>3892</v>
      </c>
      <c r="W46" s="108">
        <v>5.0</v>
      </c>
      <c r="X46" s="113">
        <v>82920.0</v>
      </c>
      <c r="Y46" s="113">
        <v>41217.0</v>
      </c>
      <c r="Z46" s="11">
        <v>187.0</v>
      </c>
      <c r="AA46" s="113">
        <v>62620.0</v>
      </c>
      <c r="AB46" s="109">
        <v>-89100.94</v>
      </c>
      <c r="AC46" s="113">
        <v>22320.0</v>
      </c>
      <c r="AD46" s="108">
        <v>6.0</v>
      </c>
    </row>
    <row r="47">
      <c r="A47" s="11">
        <v>41.0</v>
      </c>
      <c r="B47" s="11">
        <v>8.0</v>
      </c>
      <c r="C47" s="11">
        <v>8.0</v>
      </c>
      <c r="D47" s="17">
        <v>6.0</v>
      </c>
      <c r="E47" s="108">
        <v>2.0</v>
      </c>
      <c r="F47" s="109">
        <v>-68882.91</v>
      </c>
      <c r="G47" s="109">
        <v>33461.5</v>
      </c>
      <c r="H47" s="109">
        <v>73886.01</v>
      </c>
      <c r="I47" s="109">
        <v>-22932.03</v>
      </c>
      <c r="J47" s="109">
        <v>-38307.74</v>
      </c>
      <c r="K47" s="109">
        <v>-52579.56</v>
      </c>
      <c r="L47" s="109">
        <v>23393.97</v>
      </c>
      <c r="M47" s="109">
        <v>46911.58</v>
      </c>
      <c r="N47" s="110">
        <v>22811.0</v>
      </c>
      <c r="O47" s="110">
        <v>22331.0</v>
      </c>
      <c r="P47" s="110">
        <v>51223.0</v>
      </c>
      <c r="Q47" s="110">
        <v>22831.0</v>
      </c>
      <c r="R47" s="50">
        <v>91015.0</v>
      </c>
      <c r="S47" s="111">
        <v>55.0</v>
      </c>
      <c r="T47" s="112">
        <v>97.0</v>
      </c>
      <c r="U47" s="24" t="s">
        <v>48</v>
      </c>
      <c r="V47" s="11" t="s">
        <v>3893</v>
      </c>
      <c r="W47" s="108">
        <v>8.0</v>
      </c>
      <c r="X47" s="113">
        <v>12020.0</v>
      </c>
      <c r="Y47" s="113">
        <v>120121.0</v>
      </c>
      <c r="Z47" s="11">
        <v>189.0</v>
      </c>
      <c r="AA47" s="113">
        <v>62221.0</v>
      </c>
      <c r="AB47" s="109">
        <v>25020.95</v>
      </c>
      <c r="AC47" s="113">
        <v>53016.0</v>
      </c>
      <c r="AD47" s="108">
        <v>9.0</v>
      </c>
    </row>
    <row r="48">
      <c r="A48" s="11">
        <v>21.0</v>
      </c>
      <c r="B48" s="11">
        <v>4.0</v>
      </c>
      <c r="C48" s="11">
        <v>1.0</v>
      </c>
      <c r="D48" s="17">
        <v>73.0</v>
      </c>
      <c r="E48" s="108">
        <v>8.0</v>
      </c>
      <c r="F48" s="109">
        <v>-94266.91</v>
      </c>
      <c r="G48" s="109">
        <v>52303.94</v>
      </c>
      <c r="H48" s="109">
        <v>61554.67</v>
      </c>
      <c r="I48" s="109">
        <v>73989.19</v>
      </c>
      <c r="J48" s="109">
        <v>57927.08</v>
      </c>
      <c r="K48" s="109">
        <v>-26892.86</v>
      </c>
      <c r="L48" s="109">
        <v>-95247.54</v>
      </c>
      <c r="M48" s="109">
        <v>-73662.77</v>
      </c>
      <c r="N48" s="110">
        <v>111811.0</v>
      </c>
      <c r="O48" s="110">
        <v>111041.0</v>
      </c>
      <c r="P48" s="110">
        <v>50623.0</v>
      </c>
      <c r="Q48" s="110">
        <v>113041.0</v>
      </c>
      <c r="R48" s="50">
        <v>71121.0</v>
      </c>
      <c r="S48" s="111">
        <v>50.0</v>
      </c>
      <c r="T48" s="112">
        <v>12.0</v>
      </c>
      <c r="U48" s="24" t="s">
        <v>39</v>
      </c>
      <c r="V48" s="11" t="s">
        <v>3894</v>
      </c>
      <c r="W48" s="108">
        <v>9.0</v>
      </c>
      <c r="X48" s="113">
        <v>31619.0</v>
      </c>
      <c r="Y48" s="113">
        <v>81022.0</v>
      </c>
      <c r="Z48" s="11">
        <v>181.0</v>
      </c>
      <c r="AA48" s="113">
        <v>21423.0</v>
      </c>
      <c r="AB48" s="109">
        <v>-22823.74</v>
      </c>
      <c r="AC48" s="113">
        <v>60523.0</v>
      </c>
      <c r="AD48" s="108">
        <v>8.0</v>
      </c>
    </row>
    <row r="49">
      <c r="A49" s="11">
        <v>62.0</v>
      </c>
      <c r="B49" s="11">
        <v>3.0</v>
      </c>
      <c r="C49" s="11">
        <v>6.0</v>
      </c>
      <c r="D49" s="17">
        <v>81.0</v>
      </c>
      <c r="E49" s="108">
        <v>2.0</v>
      </c>
      <c r="F49" s="109">
        <v>-90867.7</v>
      </c>
      <c r="G49" s="109">
        <v>20002.97</v>
      </c>
      <c r="H49" s="109">
        <v>98825.13</v>
      </c>
      <c r="I49" s="109">
        <v>-17850.76</v>
      </c>
      <c r="J49" s="109">
        <v>64710.44</v>
      </c>
      <c r="K49" s="109">
        <v>-10175.67</v>
      </c>
      <c r="L49" s="109">
        <v>-64043.15</v>
      </c>
      <c r="M49" s="109">
        <v>66358.92</v>
      </c>
      <c r="N49" s="110">
        <v>10814.0</v>
      </c>
      <c r="O49" s="110">
        <v>10624.0</v>
      </c>
      <c r="P49" s="110">
        <v>51323.0</v>
      </c>
      <c r="Q49" s="110">
        <v>13124.0</v>
      </c>
      <c r="R49" s="50">
        <v>51217.0</v>
      </c>
      <c r="S49" s="111">
        <v>53.0</v>
      </c>
      <c r="T49" s="112">
        <v>84.0</v>
      </c>
      <c r="U49" s="24" t="s">
        <v>31</v>
      </c>
      <c r="V49" s="11" t="s">
        <v>3895</v>
      </c>
      <c r="W49" s="108">
        <v>2.0</v>
      </c>
      <c r="X49" s="113">
        <v>10722.0</v>
      </c>
      <c r="Y49" s="113">
        <v>12321.0</v>
      </c>
      <c r="Z49" s="11">
        <v>107.0</v>
      </c>
      <c r="AA49" s="113">
        <v>120221.0</v>
      </c>
      <c r="AB49" s="109">
        <v>-61625.83</v>
      </c>
      <c r="AC49" s="113">
        <v>102214.0</v>
      </c>
      <c r="AD49" s="108">
        <v>6.0</v>
      </c>
    </row>
    <row r="50">
      <c r="A50" s="11">
        <v>41.0</v>
      </c>
      <c r="B50" s="11">
        <v>9.0</v>
      </c>
      <c r="C50" s="11">
        <v>1.0</v>
      </c>
      <c r="D50" s="17">
        <v>19.0</v>
      </c>
      <c r="E50" s="108">
        <v>4.0</v>
      </c>
      <c r="F50" s="109">
        <v>45646.79</v>
      </c>
      <c r="G50" s="109">
        <v>30105.55</v>
      </c>
      <c r="H50" s="109">
        <v>377.25</v>
      </c>
      <c r="I50" s="109">
        <v>28221.8</v>
      </c>
      <c r="J50" s="109">
        <v>91709.3</v>
      </c>
      <c r="K50" s="109">
        <v>-64114.53</v>
      </c>
      <c r="L50" s="109">
        <v>-84076.91</v>
      </c>
      <c r="M50" s="109">
        <v>51044.81</v>
      </c>
      <c r="N50" s="110">
        <v>71813.0</v>
      </c>
      <c r="O50" s="110">
        <v>71333.0</v>
      </c>
      <c r="P50" s="110">
        <v>50923.0</v>
      </c>
      <c r="Q50" s="110">
        <v>73133.0</v>
      </c>
      <c r="R50" s="50">
        <v>73013.0</v>
      </c>
      <c r="S50" s="111">
        <v>51.0</v>
      </c>
      <c r="T50" s="112">
        <v>84.0</v>
      </c>
      <c r="U50" s="24" t="s">
        <v>48</v>
      </c>
      <c r="V50" s="11" t="s">
        <v>3857</v>
      </c>
      <c r="W50" s="108">
        <v>8.0</v>
      </c>
      <c r="X50" s="113">
        <v>21119.0</v>
      </c>
      <c r="Y50" s="113">
        <v>112216.0</v>
      </c>
      <c r="Z50" s="11">
        <v>104.0</v>
      </c>
      <c r="AA50" s="113">
        <v>42016.0</v>
      </c>
      <c r="AB50" s="109">
        <v>86366.07</v>
      </c>
      <c r="AC50" s="113">
        <v>61419.0</v>
      </c>
      <c r="AD50" s="108">
        <v>6.0</v>
      </c>
    </row>
    <row r="51">
      <c r="A51" s="11">
        <v>41.0</v>
      </c>
      <c r="B51" s="11">
        <v>9.0</v>
      </c>
      <c r="C51" s="11">
        <v>3.0</v>
      </c>
      <c r="D51" s="17">
        <v>87.0</v>
      </c>
      <c r="E51" s="108">
        <v>5.0</v>
      </c>
      <c r="F51" s="109">
        <v>-9154.89</v>
      </c>
      <c r="G51" s="109">
        <v>-1808.28</v>
      </c>
      <c r="H51" s="109">
        <v>79330.05</v>
      </c>
      <c r="I51" s="109">
        <v>75443.75</v>
      </c>
      <c r="J51" s="109">
        <v>55949.28</v>
      </c>
      <c r="K51" s="109">
        <v>-20600.24</v>
      </c>
      <c r="L51" s="109">
        <v>-42919.69</v>
      </c>
      <c r="M51" s="109">
        <v>-11441.44</v>
      </c>
      <c r="N51" s="110">
        <v>50114.0</v>
      </c>
      <c r="O51" s="110">
        <v>42824.0</v>
      </c>
      <c r="P51" s="110">
        <v>52923.0</v>
      </c>
      <c r="Q51" s="110">
        <v>43024.0</v>
      </c>
      <c r="R51" s="50">
        <v>103017.0</v>
      </c>
      <c r="S51" s="111">
        <v>55.0</v>
      </c>
      <c r="T51" s="112">
        <v>67.0</v>
      </c>
      <c r="U51" s="24" t="s">
        <v>601</v>
      </c>
      <c r="V51" s="11" t="s">
        <v>3896</v>
      </c>
      <c r="W51" s="108">
        <v>2.0</v>
      </c>
      <c r="X51" s="113">
        <v>111618.0</v>
      </c>
      <c r="Y51" s="113">
        <v>112814.0</v>
      </c>
      <c r="Z51" s="11">
        <v>195.0</v>
      </c>
      <c r="AA51" s="113">
        <v>23013.0</v>
      </c>
      <c r="AB51" s="109">
        <v>25470.54</v>
      </c>
      <c r="AC51" s="113">
        <v>101521.0</v>
      </c>
      <c r="AD51" s="108">
        <v>9.0</v>
      </c>
    </row>
    <row r="52">
      <c r="A52" s="11">
        <v>62.0</v>
      </c>
      <c r="B52" s="11">
        <v>4.0</v>
      </c>
      <c r="C52" s="11">
        <v>1.0</v>
      </c>
      <c r="D52" s="17">
        <v>75.0</v>
      </c>
      <c r="E52" s="108">
        <v>5.0</v>
      </c>
      <c r="F52" s="109">
        <v>37062.79</v>
      </c>
      <c r="G52" s="109">
        <v>22627.0</v>
      </c>
      <c r="H52" s="109">
        <v>11497.96</v>
      </c>
      <c r="I52" s="109">
        <v>-47441.25</v>
      </c>
      <c r="J52" s="109">
        <v>94766.05</v>
      </c>
      <c r="K52" s="109">
        <v>-47003.7</v>
      </c>
      <c r="L52" s="109">
        <v>68072.0</v>
      </c>
      <c r="M52" s="109">
        <v>-84975.87</v>
      </c>
      <c r="N52" s="110">
        <v>121914.0</v>
      </c>
      <c r="O52" s="110">
        <v>121144.0</v>
      </c>
      <c r="P52" s="110">
        <v>51423.0</v>
      </c>
      <c r="Q52" s="110">
        <v>123143.0</v>
      </c>
      <c r="R52" s="50">
        <v>72714.0</v>
      </c>
      <c r="S52" s="111">
        <v>54.0</v>
      </c>
      <c r="T52" s="112">
        <v>15.0</v>
      </c>
      <c r="U52" s="24" t="s">
        <v>603</v>
      </c>
      <c r="V52" s="11" t="s">
        <v>3869</v>
      </c>
      <c r="W52" s="108">
        <v>4.0</v>
      </c>
      <c r="X52" s="113">
        <v>61918.0</v>
      </c>
      <c r="Y52" s="113">
        <v>100223.0</v>
      </c>
      <c r="Z52" s="11">
        <v>170.0</v>
      </c>
      <c r="AA52" s="113">
        <v>31419.0</v>
      </c>
      <c r="AB52" s="109">
        <v>-34332.39</v>
      </c>
      <c r="AC52" s="113">
        <v>80723.0</v>
      </c>
      <c r="AD52" s="108">
        <v>4.0</v>
      </c>
    </row>
    <row r="53">
      <c r="A53" s="11">
        <v>62.0</v>
      </c>
      <c r="B53" s="11">
        <v>4.0</v>
      </c>
      <c r="C53" s="11">
        <v>3.0</v>
      </c>
      <c r="D53" s="17">
        <v>23.0</v>
      </c>
      <c r="E53" s="108">
        <v>9.0</v>
      </c>
      <c r="F53" s="109">
        <v>62097.42</v>
      </c>
      <c r="G53" s="109">
        <v>-97695.15</v>
      </c>
      <c r="H53" s="109">
        <v>-61282.22</v>
      </c>
      <c r="I53" s="109">
        <v>-40703.31</v>
      </c>
      <c r="J53" s="109">
        <v>-7930.54</v>
      </c>
      <c r="K53" s="109">
        <v>55647.39</v>
      </c>
      <c r="L53" s="109">
        <v>67632.62</v>
      </c>
      <c r="M53" s="109">
        <v>95358.5</v>
      </c>
      <c r="N53" s="110">
        <v>40312.0</v>
      </c>
      <c r="O53" s="110">
        <v>40122.0</v>
      </c>
      <c r="P53" s="110">
        <v>51523.0</v>
      </c>
      <c r="Q53" s="110">
        <v>43022.0</v>
      </c>
      <c r="R53" s="50">
        <v>101213.0</v>
      </c>
      <c r="S53" s="111">
        <v>55.0</v>
      </c>
      <c r="T53" s="112">
        <v>40.0</v>
      </c>
      <c r="U53" s="24" t="s">
        <v>31</v>
      </c>
      <c r="V53" s="11" t="s">
        <v>3897</v>
      </c>
      <c r="W53" s="108">
        <v>2.0</v>
      </c>
      <c r="X53" s="113">
        <v>60520.0</v>
      </c>
      <c r="Y53" s="113">
        <v>51213.0</v>
      </c>
      <c r="Z53" s="11">
        <v>104.0</v>
      </c>
      <c r="AA53" s="113">
        <v>20617.0</v>
      </c>
      <c r="AB53" s="109">
        <v>-54778.38</v>
      </c>
      <c r="AC53" s="113">
        <v>11720.0</v>
      </c>
      <c r="AD53" s="108">
        <v>0.0</v>
      </c>
    </row>
    <row r="54">
      <c r="A54" s="11">
        <v>82.0</v>
      </c>
      <c r="B54" s="11">
        <v>9.0</v>
      </c>
      <c r="C54" s="11">
        <v>2.0</v>
      </c>
      <c r="D54" s="17">
        <v>6.0</v>
      </c>
      <c r="E54" s="108">
        <v>5.0</v>
      </c>
      <c r="F54" s="109">
        <v>-45200.82</v>
      </c>
      <c r="G54" s="109">
        <v>-24817.21</v>
      </c>
      <c r="H54" s="109">
        <v>38852.04</v>
      </c>
      <c r="I54" s="109">
        <v>57464.83</v>
      </c>
      <c r="J54" s="109">
        <v>-56900.1</v>
      </c>
      <c r="K54" s="109">
        <v>9983.21</v>
      </c>
      <c r="L54" s="109">
        <v>25819.16</v>
      </c>
      <c r="M54" s="109">
        <v>4218.73</v>
      </c>
      <c r="N54" s="110">
        <v>71213.0</v>
      </c>
      <c r="O54" s="110">
        <v>71023.0</v>
      </c>
      <c r="P54" s="110">
        <v>52623.0</v>
      </c>
      <c r="Q54" s="110">
        <v>73123.0</v>
      </c>
      <c r="R54" s="50">
        <v>62515.0</v>
      </c>
      <c r="S54" s="111">
        <v>53.0</v>
      </c>
      <c r="T54" s="112">
        <v>25.0</v>
      </c>
      <c r="U54" s="24" t="s">
        <v>31</v>
      </c>
      <c r="V54" s="11" t="s">
        <v>3898</v>
      </c>
      <c r="W54" s="108">
        <v>7.0</v>
      </c>
      <c r="X54" s="113">
        <v>80618.0</v>
      </c>
      <c r="Y54" s="113">
        <v>51615.0</v>
      </c>
      <c r="Z54" s="11">
        <v>184.0</v>
      </c>
      <c r="AA54" s="113">
        <v>30121.0</v>
      </c>
      <c r="AB54" s="109">
        <v>-12385.04</v>
      </c>
      <c r="AC54" s="113">
        <v>41221.0</v>
      </c>
      <c r="AD54" s="108">
        <v>3.0</v>
      </c>
    </row>
    <row r="55">
      <c r="A55" s="11">
        <v>62.0</v>
      </c>
      <c r="B55" s="11">
        <v>4.0</v>
      </c>
      <c r="C55" s="11">
        <v>7.0</v>
      </c>
      <c r="D55" s="17">
        <v>79.0</v>
      </c>
      <c r="E55" s="108">
        <v>8.0</v>
      </c>
      <c r="F55" s="109">
        <v>-87160.64</v>
      </c>
      <c r="G55" s="109">
        <v>-29187.85</v>
      </c>
      <c r="H55" s="109">
        <v>99178.76</v>
      </c>
      <c r="I55" s="109">
        <v>31736.23</v>
      </c>
      <c r="J55" s="109">
        <v>24352.92</v>
      </c>
      <c r="K55" s="109">
        <v>-40715.79</v>
      </c>
      <c r="L55" s="109">
        <v>-47224.24</v>
      </c>
      <c r="M55" s="109">
        <v>-61921.73</v>
      </c>
      <c r="N55" s="110">
        <v>83114.0</v>
      </c>
      <c r="O55" s="110">
        <v>82344.0</v>
      </c>
      <c r="P55" s="110">
        <v>50523.0</v>
      </c>
      <c r="Q55" s="110">
        <v>83144.0</v>
      </c>
      <c r="R55" s="50">
        <v>32817.0</v>
      </c>
      <c r="S55" s="111">
        <v>51.0</v>
      </c>
      <c r="T55" s="112">
        <v>67.0</v>
      </c>
      <c r="U55" s="24" t="s">
        <v>31</v>
      </c>
      <c r="V55" s="11" t="s">
        <v>3899</v>
      </c>
      <c r="W55" s="108">
        <v>8.0</v>
      </c>
      <c r="X55" s="113">
        <v>70516.0</v>
      </c>
      <c r="Y55" s="113">
        <v>111719.0</v>
      </c>
      <c r="Z55" s="11">
        <v>189.0</v>
      </c>
      <c r="AA55" s="113">
        <v>50616.0</v>
      </c>
      <c r="AB55" s="109">
        <v>-57693.65</v>
      </c>
      <c r="AC55" s="113">
        <v>11522.0</v>
      </c>
      <c r="AD55" s="108">
        <v>0.0</v>
      </c>
    </row>
    <row r="56">
      <c r="A56" s="11">
        <v>62.0</v>
      </c>
      <c r="B56" s="11">
        <v>5.0</v>
      </c>
      <c r="C56" s="11">
        <v>1.0</v>
      </c>
      <c r="D56" s="17">
        <v>84.0</v>
      </c>
      <c r="E56" s="108">
        <v>6.0</v>
      </c>
      <c r="F56" s="109">
        <v>-83442.5</v>
      </c>
      <c r="G56" s="109">
        <v>-91326.78</v>
      </c>
      <c r="H56" s="109">
        <v>66918.35</v>
      </c>
      <c r="I56" s="109">
        <v>97106.92</v>
      </c>
      <c r="J56" s="109">
        <v>89536.71</v>
      </c>
      <c r="K56" s="109">
        <v>21291.32</v>
      </c>
      <c r="L56" s="109">
        <v>-39167.86</v>
      </c>
      <c r="M56" s="109">
        <v>7669.08</v>
      </c>
      <c r="N56" s="110">
        <v>102014.0</v>
      </c>
      <c r="O56" s="110">
        <v>101244.0</v>
      </c>
      <c r="P56" s="110">
        <v>51723.0</v>
      </c>
      <c r="Q56" s="110">
        <v>103144.0</v>
      </c>
      <c r="R56" s="50">
        <v>61116.0</v>
      </c>
      <c r="S56" s="111">
        <v>50.0</v>
      </c>
      <c r="T56" s="112">
        <v>2.0</v>
      </c>
      <c r="U56" s="24" t="s">
        <v>31</v>
      </c>
      <c r="V56" s="11" t="s">
        <v>3900</v>
      </c>
      <c r="W56" s="108">
        <v>6.0</v>
      </c>
      <c r="X56" s="113">
        <v>20921.0</v>
      </c>
      <c r="Y56" s="113">
        <v>43013.0</v>
      </c>
      <c r="Z56" s="11">
        <v>181.0</v>
      </c>
      <c r="AA56" s="113">
        <v>41213.0</v>
      </c>
      <c r="AB56" s="109">
        <v>-45105.55</v>
      </c>
      <c r="AC56" s="113">
        <v>111718.0</v>
      </c>
      <c r="AD56" s="108">
        <v>7.0</v>
      </c>
    </row>
    <row r="57">
      <c r="A57" s="11">
        <v>21.0</v>
      </c>
      <c r="B57" s="11">
        <v>5.0</v>
      </c>
      <c r="C57" s="11">
        <v>9.0</v>
      </c>
      <c r="D57" s="17">
        <v>96.0</v>
      </c>
      <c r="E57" s="108">
        <v>7.0</v>
      </c>
      <c r="F57" s="109">
        <v>-43598.45</v>
      </c>
      <c r="G57" s="109">
        <v>65430.59</v>
      </c>
      <c r="H57" s="109">
        <v>4798.16</v>
      </c>
      <c r="I57" s="109">
        <v>81579.72</v>
      </c>
      <c r="J57" s="109">
        <v>2709.47</v>
      </c>
      <c r="K57" s="109">
        <v>-28948.67</v>
      </c>
      <c r="L57" s="109">
        <v>-14076.89</v>
      </c>
      <c r="M57" s="109">
        <v>77426.97</v>
      </c>
      <c r="N57" s="110">
        <v>120313.0</v>
      </c>
      <c r="O57" s="110">
        <v>112833.0</v>
      </c>
      <c r="P57" s="110">
        <v>51423.0</v>
      </c>
      <c r="Q57" s="110">
        <v>113033.0</v>
      </c>
      <c r="R57" s="50">
        <v>60318.0</v>
      </c>
      <c r="S57" s="111">
        <v>54.0</v>
      </c>
      <c r="T57" s="112">
        <v>24.0</v>
      </c>
      <c r="U57" s="24" t="s">
        <v>48</v>
      </c>
      <c r="V57" s="11" t="s">
        <v>3901</v>
      </c>
      <c r="W57" s="108">
        <v>8.0</v>
      </c>
      <c r="X57" s="113">
        <v>91021.0</v>
      </c>
      <c r="Y57" s="113">
        <v>51819.0</v>
      </c>
      <c r="Z57" s="11">
        <v>159.0</v>
      </c>
      <c r="AA57" s="113">
        <v>110523.0</v>
      </c>
      <c r="AB57" s="109">
        <v>-96721.41</v>
      </c>
      <c r="AC57" s="113">
        <v>51120.0</v>
      </c>
      <c r="AD57" s="108">
        <v>0.0</v>
      </c>
    </row>
    <row r="58">
      <c r="A58" s="11">
        <v>62.0</v>
      </c>
      <c r="B58" s="11">
        <v>5.0</v>
      </c>
      <c r="C58" s="11">
        <v>6.0</v>
      </c>
      <c r="D58" s="17">
        <v>58.0</v>
      </c>
      <c r="E58" s="108">
        <v>4.0</v>
      </c>
      <c r="F58" s="109">
        <v>70108.72</v>
      </c>
      <c r="G58" s="109">
        <v>63285.27</v>
      </c>
      <c r="H58" s="109">
        <v>67714.93</v>
      </c>
      <c r="I58" s="109">
        <v>-21068.87</v>
      </c>
      <c r="J58" s="109">
        <v>-64885.81</v>
      </c>
      <c r="K58" s="109">
        <v>-44839.84</v>
      </c>
      <c r="L58" s="109">
        <v>-84488.87</v>
      </c>
      <c r="M58" s="109">
        <v>-16488.75</v>
      </c>
      <c r="N58" s="110">
        <v>61212.0</v>
      </c>
      <c r="O58" s="110">
        <v>60732.0</v>
      </c>
      <c r="P58" s="110">
        <v>52223.0</v>
      </c>
      <c r="Q58" s="110">
        <v>63032.0</v>
      </c>
      <c r="R58" s="50">
        <v>10919.0</v>
      </c>
      <c r="S58" s="111">
        <v>50.0</v>
      </c>
      <c r="T58" s="112">
        <v>83.0</v>
      </c>
      <c r="U58" s="24" t="s">
        <v>39</v>
      </c>
      <c r="V58" s="11" t="s">
        <v>3902</v>
      </c>
      <c r="W58" s="108">
        <v>2.0</v>
      </c>
      <c r="X58" s="113">
        <v>62215.0</v>
      </c>
      <c r="Y58" s="113">
        <v>81116.0</v>
      </c>
      <c r="Z58" s="11">
        <v>169.0</v>
      </c>
      <c r="AA58" s="113">
        <v>22421.0</v>
      </c>
      <c r="AB58" s="109">
        <v>75996.57</v>
      </c>
      <c r="AC58" s="113">
        <v>60222.0</v>
      </c>
      <c r="AD58" s="108">
        <v>6.0</v>
      </c>
    </row>
    <row r="59">
      <c r="A59" s="11">
        <v>42.0</v>
      </c>
      <c r="B59" s="11">
        <v>1.0</v>
      </c>
      <c r="C59" s="11">
        <v>3.0</v>
      </c>
      <c r="D59" s="17">
        <v>19.0</v>
      </c>
      <c r="E59" s="108">
        <v>8.0</v>
      </c>
      <c r="F59" s="109">
        <v>20861.9</v>
      </c>
      <c r="G59" s="109">
        <v>35600.36</v>
      </c>
      <c r="H59" s="109">
        <v>68839.54</v>
      </c>
      <c r="I59" s="109">
        <v>-97724.42</v>
      </c>
      <c r="J59" s="109">
        <v>-61052.74</v>
      </c>
      <c r="K59" s="109">
        <v>-82893.85</v>
      </c>
      <c r="L59" s="109">
        <v>37034.41</v>
      </c>
      <c r="M59" s="109">
        <v>3405.95</v>
      </c>
      <c r="N59" s="110">
        <v>22113.0</v>
      </c>
      <c r="O59" s="110">
        <v>21443.0</v>
      </c>
      <c r="P59" s="110">
        <v>51723.0</v>
      </c>
      <c r="Q59" s="110">
        <v>22843.0</v>
      </c>
      <c r="R59" s="50">
        <v>110413.0</v>
      </c>
      <c r="S59" s="111">
        <v>55.0</v>
      </c>
      <c r="T59" s="112">
        <v>7.0</v>
      </c>
      <c r="U59" s="24" t="s">
        <v>39</v>
      </c>
      <c r="V59" s="11" t="s">
        <v>3903</v>
      </c>
      <c r="W59" s="108">
        <v>6.0</v>
      </c>
      <c r="X59" s="113">
        <v>62719.0</v>
      </c>
      <c r="Y59" s="113">
        <v>81114.0</v>
      </c>
      <c r="Z59" s="11">
        <v>170.0</v>
      </c>
      <c r="AA59" s="113">
        <v>60414.0</v>
      </c>
      <c r="AB59" s="109">
        <v>-27251.89</v>
      </c>
      <c r="AC59" s="113">
        <v>21514.0</v>
      </c>
      <c r="AD59" s="108">
        <v>4.0</v>
      </c>
    </row>
    <row r="60">
      <c r="A60" s="11">
        <v>62.0</v>
      </c>
      <c r="B60" s="11">
        <v>6.0</v>
      </c>
      <c r="C60" s="11">
        <v>2.0</v>
      </c>
      <c r="D60" s="17">
        <v>79.0</v>
      </c>
      <c r="E60" s="108">
        <v>1.0</v>
      </c>
      <c r="F60" s="109">
        <v>43895.64</v>
      </c>
      <c r="G60" s="109">
        <v>-3125.61</v>
      </c>
      <c r="H60" s="109">
        <v>70370.21</v>
      </c>
      <c r="I60" s="109">
        <v>44411.76</v>
      </c>
      <c r="J60" s="109">
        <v>-33255.81</v>
      </c>
      <c r="K60" s="109">
        <v>-63407.61</v>
      </c>
      <c r="L60" s="109">
        <v>51419.74</v>
      </c>
      <c r="M60" s="109">
        <v>-14835.86</v>
      </c>
      <c r="N60" s="110">
        <v>81113.0</v>
      </c>
      <c r="O60" s="110">
        <v>80923.0</v>
      </c>
      <c r="P60" s="110">
        <v>51723.0</v>
      </c>
      <c r="Q60" s="110">
        <v>83123.0</v>
      </c>
      <c r="R60" s="50">
        <v>90519.0</v>
      </c>
      <c r="S60" s="111">
        <v>51.0</v>
      </c>
      <c r="T60" s="112">
        <v>73.0</v>
      </c>
      <c r="U60" s="24" t="s">
        <v>31</v>
      </c>
      <c r="V60" s="11" t="s">
        <v>3871</v>
      </c>
      <c r="W60" s="108">
        <v>7.0</v>
      </c>
      <c r="X60" s="113">
        <v>82013.0</v>
      </c>
      <c r="Y60" s="113">
        <v>20715.0</v>
      </c>
      <c r="Z60" s="11">
        <v>125.0</v>
      </c>
      <c r="AA60" s="113">
        <v>11223.0</v>
      </c>
      <c r="AB60" s="109">
        <v>6284.23</v>
      </c>
      <c r="AC60" s="113">
        <v>111016.0</v>
      </c>
      <c r="AD60" s="108">
        <v>5.0</v>
      </c>
    </row>
    <row r="61">
      <c r="A61" s="11">
        <v>62.0</v>
      </c>
      <c r="B61" s="11">
        <v>6.0</v>
      </c>
      <c r="C61" s="11">
        <v>4.0</v>
      </c>
      <c r="D61" s="17">
        <v>35.0</v>
      </c>
      <c r="E61" s="108">
        <v>5.0</v>
      </c>
      <c r="F61" s="109">
        <v>-28443.2</v>
      </c>
      <c r="G61" s="109">
        <v>83821.3</v>
      </c>
      <c r="H61" s="109">
        <v>-72174.03</v>
      </c>
      <c r="I61" s="109">
        <v>-4498.93</v>
      </c>
      <c r="J61" s="109">
        <v>-66181.38</v>
      </c>
      <c r="K61" s="109">
        <v>-30249.18</v>
      </c>
      <c r="L61" s="109">
        <v>-34034.92</v>
      </c>
      <c r="M61" s="109">
        <v>-3002.7</v>
      </c>
      <c r="N61" s="110">
        <v>51014.0</v>
      </c>
      <c r="O61" s="110">
        <v>50244.0</v>
      </c>
      <c r="P61" s="110">
        <v>51123.0</v>
      </c>
      <c r="Q61" s="110">
        <v>53144.0</v>
      </c>
      <c r="R61" s="50">
        <v>31713.0</v>
      </c>
      <c r="S61" s="111">
        <v>55.0</v>
      </c>
      <c r="T61" s="112">
        <v>74.0</v>
      </c>
      <c r="U61" s="24" t="s">
        <v>39</v>
      </c>
      <c r="V61" s="11" t="s">
        <v>3904</v>
      </c>
      <c r="W61" s="108">
        <v>6.0</v>
      </c>
      <c r="X61" s="113">
        <v>30116.0</v>
      </c>
      <c r="Y61" s="113">
        <v>103115.0</v>
      </c>
      <c r="Z61" s="11">
        <v>179.0</v>
      </c>
      <c r="AA61" s="113">
        <v>30321.0</v>
      </c>
      <c r="AB61" s="109">
        <v>88781.88</v>
      </c>
      <c r="AC61" s="113">
        <v>10315.0</v>
      </c>
      <c r="AD61" s="108">
        <v>6.0</v>
      </c>
    </row>
    <row r="62">
      <c r="A62" s="11">
        <v>21.0</v>
      </c>
      <c r="B62" s="11">
        <v>6.0</v>
      </c>
      <c r="C62" s="11">
        <v>8.0</v>
      </c>
      <c r="D62" s="17">
        <v>7.0</v>
      </c>
      <c r="E62" s="108">
        <v>7.0</v>
      </c>
      <c r="F62" s="109">
        <v>36399.61</v>
      </c>
      <c r="G62" s="109">
        <v>62877.86</v>
      </c>
      <c r="H62" s="109">
        <v>53531.21</v>
      </c>
      <c r="I62" s="109">
        <v>54785.37</v>
      </c>
      <c r="J62" s="109">
        <v>7294.81</v>
      </c>
      <c r="K62" s="109">
        <v>67251.51</v>
      </c>
      <c r="L62" s="109">
        <v>5859.38</v>
      </c>
      <c r="M62" s="109">
        <v>73225.15</v>
      </c>
      <c r="N62" s="110">
        <v>100812.0</v>
      </c>
      <c r="O62" s="110">
        <v>100142.0</v>
      </c>
      <c r="P62" s="110">
        <v>52723.0</v>
      </c>
      <c r="Q62" s="110">
        <v>103142.0</v>
      </c>
      <c r="R62" s="50">
        <v>62222.0</v>
      </c>
      <c r="S62" s="111">
        <v>53.0</v>
      </c>
      <c r="T62" s="112">
        <v>72.0</v>
      </c>
      <c r="U62" s="24" t="s">
        <v>603</v>
      </c>
      <c r="V62" s="11" t="s">
        <v>3905</v>
      </c>
      <c r="W62" s="108">
        <v>7.0</v>
      </c>
      <c r="X62" s="113">
        <v>22519.0</v>
      </c>
      <c r="Y62" s="113">
        <v>30316.0</v>
      </c>
      <c r="Z62" s="11">
        <v>131.0</v>
      </c>
      <c r="AA62" s="113">
        <v>91221.0</v>
      </c>
      <c r="AB62" s="109">
        <v>8082.5</v>
      </c>
      <c r="AC62" s="113">
        <v>123113.0</v>
      </c>
      <c r="AD62" s="108">
        <v>4.0</v>
      </c>
    </row>
    <row r="63">
      <c r="A63" s="11">
        <v>42.0</v>
      </c>
      <c r="B63" s="11">
        <v>1.0</v>
      </c>
      <c r="C63" s="11">
        <v>7.0</v>
      </c>
      <c r="D63" s="17">
        <v>67.0</v>
      </c>
      <c r="E63" s="108">
        <v>9.0</v>
      </c>
      <c r="F63" s="109">
        <v>83756.87</v>
      </c>
      <c r="G63" s="109">
        <v>-56425.32</v>
      </c>
      <c r="H63" s="109">
        <v>-84475.78</v>
      </c>
      <c r="I63" s="109">
        <v>29577.31</v>
      </c>
      <c r="J63" s="109">
        <v>65195.95</v>
      </c>
      <c r="K63" s="109">
        <v>-13438.74</v>
      </c>
      <c r="L63" s="109">
        <v>77405.05</v>
      </c>
      <c r="M63" s="109">
        <v>-36411.68</v>
      </c>
      <c r="N63" s="110">
        <v>60511.0</v>
      </c>
      <c r="O63" s="110">
        <v>52841.0</v>
      </c>
      <c r="P63" s="110">
        <v>51123.0</v>
      </c>
      <c r="Q63" s="110">
        <v>53141.0</v>
      </c>
      <c r="R63" s="50">
        <v>72017.0</v>
      </c>
      <c r="S63" s="111">
        <v>50.0</v>
      </c>
      <c r="T63" s="112">
        <v>45.0</v>
      </c>
      <c r="U63" s="24" t="s">
        <v>601</v>
      </c>
      <c r="V63" s="11" t="s">
        <v>3906</v>
      </c>
      <c r="W63" s="108">
        <v>9.0</v>
      </c>
      <c r="X63" s="113">
        <v>40121.0</v>
      </c>
      <c r="Y63" s="113">
        <v>122222.0</v>
      </c>
      <c r="Z63" s="11">
        <v>155.0</v>
      </c>
      <c r="AA63" s="113">
        <v>110923.0</v>
      </c>
      <c r="AB63" s="109">
        <v>85015.41</v>
      </c>
      <c r="AC63" s="113">
        <v>60320.0</v>
      </c>
      <c r="AD63" s="108">
        <v>7.0</v>
      </c>
    </row>
    <row r="64">
      <c r="A64" s="11">
        <v>83.0</v>
      </c>
      <c r="B64" s="11">
        <v>1.0</v>
      </c>
      <c r="C64" s="11">
        <v>5.0</v>
      </c>
      <c r="D64" s="17">
        <v>2.0</v>
      </c>
      <c r="E64" s="108">
        <v>0.0</v>
      </c>
      <c r="F64" s="109">
        <v>-27194.3</v>
      </c>
      <c r="G64" s="109">
        <v>-75637.46</v>
      </c>
      <c r="H64" s="109">
        <v>13076.11</v>
      </c>
      <c r="I64" s="109">
        <v>-94430.52</v>
      </c>
      <c r="J64" s="109">
        <v>-1433.58</v>
      </c>
      <c r="K64" s="109">
        <v>45234.98</v>
      </c>
      <c r="L64" s="109">
        <v>-56865.86</v>
      </c>
      <c r="M64" s="109">
        <v>57990.3</v>
      </c>
      <c r="N64" s="110">
        <v>20110.0</v>
      </c>
      <c r="O64" s="110">
        <v>13020.0</v>
      </c>
      <c r="P64" s="110">
        <v>52123.0</v>
      </c>
      <c r="Q64" s="110">
        <v>13120.0</v>
      </c>
      <c r="R64" s="50">
        <v>101320.0</v>
      </c>
      <c r="S64" s="111">
        <v>51.0</v>
      </c>
      <c r="T64" s="112">
        <v>44.0</v>
      </c>
      <c r="U64" s="24" t="s">
        <v>39</v>
      </c>
      <c r="V64" s="11" t="s">
        <v>3907</v>
      </c>
      <c r="W64" s="108">
        <v>5.0</v>
      </c>
      <c r="X64" s="113">
        <v>70821.0</v>
      </c>
      <c r="Y64" s="113">
        <v>11015.0</v>
      </c>
      <c r="Z64" s="11">
        <v>136.0</v>
      </c>
      <c r="AA64" s="113">
        <v>50614.0</v>
      </c>
      <c r="AB64" s="109">
        <v>86622.56</v>
      </c>
      <c r="AC64" s="113">
        <v>30721.0</v>
      </c>
      <c r="AD64" s="108">
        <v>2.0</v>
      </c>
    </row>
    <row r="65">
      <c r="A65" s="11">
        <v>21.0</v>
      </c>
      <c r="B65" s="11">
        <v>7.0</v>
      </c>
      <c r="C65" s="11">
        <v>1.0</v>
      </c>
      <c r="D65" s="17">
        <v>37.0</v>
      </c>
      <c r="E65" s="108">
        <v>6.0</v>
      </c>
      <c r="F65" s="109">
        <v>-92194.22</v>
      </c>
      <c r="G65" s="109">
        <v>-62869.34</v>
      </c>
      <c r="H65" s="109">
        <v>-6939.97</v>
      </c>
      <c r="I65" s="109">
        <v>63551.38</v>
      </c>
      <c r="J65" s="109">
        <v>75474.45</v>
      </c>
      <c r="K65" s="109">
        <v>19890.65</v>
      </c>
      <c r="L65" s="109">
        <v>-59429.37</v>
      </c>
      <c r="M65" s="109">
        <v>-96448.17</v>
      </c>
      <c r="N65" s="110">
        <v>81014.0</v>
      </c>
      <c r="O65" s="110">
        <v>80244.0</v>
      </c>
      <c r="P65" s="110">
        <v>52523.0</v>
      </c>
      <c r="Q65" s="110">
        <v>83144.0</v>
      </c>
      <c r="R65" s="50">
        <v>22422.0</v>
      </c>
      <c r="S65" s="111">
        <v>51.0</v>
      </c>
      <c r="T65" s="112">
        <v>92.0</v>
      </c>
      <c r="U65" s="24" t="s">
        <v>48</v>
      </c>
      <c r="V65" s="11" t="s">
        <v>3908</v>
      </c>
      <c r="W65" s="108">
        <v>9.0</v>
      </c>
      <c r="X65" s="113">
        <v>82317.0</v>
      </c>
      <c r="Y65" s="113">
        <v>53023.0</v>
      </c>
      <c r="Z65" s="11">
        <v>192.0</v>
      </c>
      <c r="AA65" s="113">
        <v>70120.0</v>
      </c>
      <c r="AB65" s="109">
        <v>40085.83</v>
      </c>
      <c r="AC65" s="113">
        <v>102715.0</v>
      </c>
      <c r="AD65" s="108">
        <v>3.0</v>
      </c>
    </row>
    <row r="66">
      <c r="A66" s="11">
        <v>83.0</v>
      </c>
      <c r="B66" s="11">
        <v>1.0</v>
      </c>
      <c r="C66" s="11">
        <v>7.0</v>
      </c>
      <c r="D66" s="17">
        <v>69.0</v>
      </c>
      <c r="E66" s="108">
        <v>9.0</v>
      </c>
      <c r="F66" s="109">
        <v>-23193.99</v>
      </c>
      <c r="G66" s="109">
        <v>-63566.89</v>
      </c>
      <c r="H66" s="109">
        <v>-52571.66</v>
      </c>
      <c r="I66" s="109">
        <v>33393.3</v>
      </c>
      <c r="J66" s="109">
        <v>-73392.56</v>
      </c>
      <c r="K66" s="109">
        <v>-62494.96</v>
      </c>
      <c r="L66" s="109">
        <v>34140.86</v>
      </c>
      <c r="M66" s="109">
        <v>63493.16</v>
      </c>
      <c r="N66" s="110">
        <v>100712.0</v>
      </c>
      <c r="O66" s="110">
        <v>100232.0</v>
      </c>
      <c r="P66" s="110">
        <v>52923.0</v>
      </c>
      <c r="Q66" s="110">
        <v>103132.0</v>
      </c>
      <c r="R66" s="50">
        <v>60813.0</v>
      </c>
      <c r="S66" s="111">
        <v>53.0</v>
      </c>
      <c r="T66" s="112">
        <v>48.0</v>
      </c>
      <c r="U66" s="24" t="s">
        <v>603</v>
      </c>
      <c r="V66" s="11" t="s">
        <v>3909</v>
      </c>
      <c r="W66" s="108">
        <v>1.0</v>
      </c>
      <c r="X66" s="113">
        <v>121113.0</v>
      </c>
      <c r="Y66" s="113">
        <v>122714.0</v>
      </c>
      <c r="Z66" s="11">
        <v>148.0</v>
      </c>
      <c r="AA66" s="113">
        <v>20516.0</v>
      </c>
      <c r="AB66" s="109">
        <v>-97872.11</v>
      </c>
      <c r="AC66" s="113">
        <v>60917.0</v>
      </c>
      <c r="AD66" s="108">
        <v>1.0</v>
      </c>
    </row>
    <row r="67">
      <c r="A67" s="11">
        <v>62.0</v>
      </c>
      <c r="B67" s="11">
        <v>7.0</v>
      </c>
      <c r="C67" s="11">
        <v>6.0</v>
      </c>
      <c r="D67" s="17">
        <v>30.0</v>
      </c>
      <c r="E67" s="108">
        <v>9.0</v>
      </c>
      <c r="F67" s="109">
        <v>49858.86</v>
      </c>
      <c r="G67" s="109">
        <v>82040.03</v>
      </c>
      <c r="H67" s="109">
        <v>12284.38</v>
      </c>
      <c r="I67" s="109">
        <v>81614.41</v>
      </c>
      <c r="J67" s="109">
        <v>-40716.85</v>
      </c>
      <c r="K67" s="109">
        <v>63012.59</v>
      </c>
      <c r="L67" s="109">
        <v>-64858.8</v>
      </c>
      <c r="M67" s="109">
        <v>-53735.56</v>
      </c>
      <c r="N67" s="110">
        <v>13010.0</v>
      </c>
      <c r="O67" s="110">
        <v>12340.0</v>
      </c>
      <c r="P67" s="110">
        <v>51523.0</v>
      </c>
      <c r="Q67" s="110">
        <v>13140.0</v>
      </c>
      <c r="R67" s="50">
        <v>93014.0</v>
      </c>
      <c r="S67" s="111">
        <v>52.0</v>
      </c>
      <c r="T67" s="112">
        <v>62.0</v>
      </c>
      <c r="U67" s="24" t="s">
        <v>48</v>
      </c>
      <c r="V67" s="11" t="s">
        <v>3910</v>
      </c>
      <c r="W67" s="108">
        <v>8.0</v>
      </c>
      <c r="X67" s="113">
        <v>21013.0</v>
      </c>
      <c r="Y67" s="113">
        <v>70817.0</v>
      </c>
      <c r="Z67" s="11">
        <v>115.0</v>
      </c>
      <c r="AA67" s="113">
        <v>12520.0</v>
      </c>
      <c r="AB67" s="109">
        <v>-96942.98</v>
      </c>
      <c r="AC67" s="113">
        <v>90617.0</v>
      </c>
      <c r="AD67" s="108">
        <v>3.0</v>
      </c>
    </row>
    <row r="68">
      <c r="A68" s="11">
        <v>83.0</v>
      </c>
      <c r="B68" s="11">
        <v>2.0</v>
      </c>
      <c r="C68" s="11">
        <v>4.0</v>
      </c>
      <c r="D68" s="17">
        <v>24.0</v>
      </c>
      <c r="E68" s="108">
        <v>6.0</v>
      </c>
      <c r="F68" s="109">
        <v>30530.62</v>
      </c>
      <c r="G68" s="109">
        <v>40520.3</v>
      </c>
      <c r="H68" s="109">
        <v>29736.94</v>
      </c>
      <c r="I68" s="109">
        <v>-21920.77</v>
      </c>
      <c r="J68" s="109">
        <v>-54608.22</v>
      </c>
      <c r="K68" s="109">
        <v>50110.16</v>
      </c>
      <c r="L68" s="109">
        <v>-90120.54</v>
      </c>
      <c r="M68" s="109">
        <v>-56545.18</v>
      </c>
      <c r="N68" s="110">
        <v>32711.0</v>
      </c>
      <c r="O68" s="110">
        <v>32421.0</v>
      </c>
      <c r="P68" s="110">
        <v>53023.0</v>
      </c>
      <c r="Q68" s="110">
        <v>33121.0</v>
      </c>
      <c r="R68" s="50">
        <v>42313.0</v>
      </c>
      <c r="S68" s="111">
        <v>50.0</v>
      </c>
      <c r="T68" s="112">
        <v>23.0</v>
      </c>
      <c r="U68" s="24" t="s">
        <v>39</v>
      </c>
      <c r="V68" s="11" t="s">
        <v>3855</v>
      </c>
      <c r="W68" s="108">
        <v>1.0</v>
      </c>
      <c r="X68" s="113">
        <v>32719.0</v>
      </c>
      <c r="Y68" s="113">
        <v>112613.0</v>
      </c>
      <c r="Z68" s="11">
        <v>119.0</v>
      </c>
      <c r="AA68" s="113">
        <v>111423.0</v>
      </c>
      <c r="AB68" s="109">
        <v>30770.86</v>
      </c>
      <c r="AC68" s="113">
        <v>52314.0</v>
      </c>
      <c r="AD68" s="108">
        <v>6.0</v>
      </c>
    </row>
    <row r="69">
      <c r="A69" s="11">
        <v>42.0</v>
      </c>
      <c r="B69" s="11">
        <v>2.0</v>
      </c>
      <c r="C69" s="11">
        <v>8.0</v>
      </c>
      <c r="D69" s="17">
        <v>29.0</v>
      </c>
      <c r="E69" s="108">
        <v>0.0</v>
      </c>
      <c r="F69" s="109">
        <v>68972.26</v>
      </c>
      <c r="G69" s="109">
        <v>41565.3</v>
      </c>
      <c r="H69" s="109">
        <v>-70796.05</v>
      </c>
      <c r="I69" s="109">
        <v>74380.65</v>
      </c>
      <c r="J69" s="109">
        <v>49461.06</v>
      </c>
      <c r="K69" s="109">
        <v>-6924.5</v>
      </c>
      <c r="L69" s="109">
        <v>-63374.44</v>
      </c>
      <c r="M69" s="109">
        <v>-10551.12</v>
      </c>
      <c r="N69" s="110">
        <v>90310.0</v>
      </c>
      <c r="O69" s="110">
        <v>82930.0</v>
      </c>
      <c r="P69" s="110">
        <v>52823.0</v>
      </c>
      <c r="Q69" s="110">
        <v>83130.0</v>
      </c>
      <c r="R69" s="50">
        <v>22020.0</v>
      </c>
      <c r="S69" s="111">
        <v>54.0</v>
      </c>
      <c r="T69" s="112">
        <v>67.0</v>
      </c>
      <c r="U69" s="24" t="s">
        <v>603</v>
      </c>
      <c r="V69" s="11" t="s">
        <v>3911</v>
      </c>
      <c r="W69" s="108">
        <v>6.0</v>
      </c>
      <c r="X69" s="113">
        <v>92619.0</v>
      </c>
      <c r="Y69" s="113">
        <v>61020.0</v>
      </c>
      <c r="Z69" s="11">
        <v>116.0</v>
      </c>
      <c r="AA69" s="113">
        <v>53021.0</v>
      </c>
      <c r="AB69" s="109">
        <v>-84211.71</v>
      </c>
      <c r="AC69" s="113">
        <v>93017.0</v>
      </c>
      <c r="AD69" s="108">
        <v>1.0</v>
      </c>
    </row>
    <row r="70">
      <c r="A70" s="11">
        <v>21.0</v>
      </c>
      <c r="B70" s="11">
        <v>8.0</v>
      </c>
      <c r="C70" s="11">
        <v>4.0</v>
      </c>
      <c r="D70" s="17">
        <v>29.0</v>
      </c>
      <c r="E70" s="108">
        <v>6.0</v>
      </c>
      <c r="F70" s="109">
        <v>10698.73</v>
      </c>
      <c r="G70" s="109">
        <v>5980.36</v>
      </c>
      <c r="H70" s="109">
        <v>-47563.78</v>
      </c>
      <c r="I70" s="109">
        <v>87274.7</v>
      </c>
      <c r="J70" s="109">
        <v>68629.42</v>
      </c>
      <c r="K70" s="109">
        <v>-43108.7</v>
      </c>
      <c r="L70" s="109">
        <v>79687.15</v>
      </c>
      <c r="M70" s="109">
        <v>2131.52</v>
      </c>
      <c r="N70" s="110">
        <v>72113.0</v>
      </c>
      <c r="O70" s="110">
        <v>71633.0</v>
      </c>
      <c r="P70" s="110">
        <v>51723.0</v>
      </c>
      <c r="Q70" s="110">
        <v>73133.0</v>
      </c>
      <c r="R70" s="50">
        <v>100914.0</v>
      </c>
      <c r="S70" s="111">
        <v>50.0</v>
      </c>
      <c r="T70" s="112">
        <v>64.0</v>
      </c>
      <c r="U70" s="24" t="s">
        <v>603</v>
      </c>
      <c r="V70" s="11" t="s">
        <v>3912</v>
      </c>
      <c r="W70" s="108">
        <v>9.0</v>
      </c>
      <c r="X70" s="113">
        <v>101317.0</v>
      </c>
      <c r="Y70" s="113">
        <v>81119.0</v>
      </c>
      <c r="Z70" s="11">
        <v>192.0</v>
      </c>
      <c r="AA70" s="113">
        <v>20115.0</v>
      </c>
      <c r="AB70" s="109">
        <v>-26592.28</v>
      </c>
      <c r="AC70" s="113">
        <v>32123.0</v>
      </c>
      <c r="AD70" s="108">
        <v>3.0</v>
      </c>
    </row>
    <row r="71">
      <c r="A71" s="11">
        <v>62.0</v>
      </c>
      <c r="B71" s="11">
        <v>8.0</v>
      </c>
      <c r="C71" s="11">
        <v>1.0</v>
      </c>
      <c r="D71" s="17">
        <v>21.0</v>
      </c>
      <c r="E71" s="108">
        <v>8.0</v>
      </c>
      <c r="F71" s="109">
        <v>47565.22</v>
      </c>
      <c r="G71" s="109">
        <v>5600.87</v>
      </c>
      <c r="H71" s="109">
        <v>60202.12</v>
      </c>
      <c r="I71" s="109">
        <v>37085.61</v>
      </c>
      <c r="J71" s="109">
        <v>12009.78</v>
      </c>
      <c r="K71" s="109">
        <v>-25129.61</v>
      </c>
      <c r="L71" s="109">
        <v>-89177.95</v>
      </c>
      <c r="M71" s="109">
        <v>-44172.9</v>
      </c>
      <c r="N71" s="110">
        <v>21813.0</v>
      </c>
      <c r="O71" s="110">
        <v>21333.0</v>
      </c>
      <c r="P71" s="110">
        <v>51223.0</v>
      </c>
      <c r="Q71" s="110">
        <v>22833.0</v>
      </c>
      <c r="R71" s="50">
        <v>111119.0</v>
      </c>
      <c r="S71" s="111">
        <v>53.0</v>
      </c>
      <c r="T71" s="112">
        <v>49.0</v>
      </c>
      <c r="U71" s="24" t="s">
        <v>601</v>
      </c>
      <c r="V71" s="11" t="s">
        <v>3898</v>
      </c>
      <c r="W71" s="108">
        <v>3.0</v>
      </c>
      <c r="X71" s="113">
        <v>31719.0</v>
      </c>
      <c r="Y71" s="113">
        <v>91718.0</v>
      </c>
      <c r="Z71" s="11">
        <v>168.0</v>
      </c>
      <c r="AA71" s="113">
        <v>32620.0</v>
      </c>
      <c r="AB71" s="109">
        <v>27455.45</v>
      </c>
      <c r="AC71" s="113">
        <v>100422.0</v>
      </c>
      <c r="AD71" s="108">
        <v>0.0</v>
      </c>
    </row>
    <row r="72">
      <c r="A72" s="11">
        <v>62.0</v>
      </c>
      <c r="B72" s="11">
        <v>8.0</v>
      </c>
      <c r="C72" s="11">
        <v>2.0</v>
      </c>
      <c r="D72" s="17">
        <v>39.0</v>
      </c>
      <c r="E72" s="108">
        <v>9.0</v>
      </c>
      <c r="F72" s="109">
        <v>-29859.64</v>
      </c>
      <c r="G72" s="109">
        <v>91467.28</v>
      </c>
      <c r="H72" s="109">
        <v>44146.18</v>
      </c>
      <c r="I72" s="109">
        <v>-23729.59</v>
      </c>
      <c r="J72" s="109">
        <v>-94238.83</v>
      </c>
      <c r="K72" s="109">
        <v>87361.51</v>
      </c>
      <c r="L72" s="109">
        <v>67947.22</v>
      </c>
      <c r="M72" s="109">
        <v>-27379.8</v>
      </c>
      <c r="N72" s="110">
        <v>13114.0</v>
      </c>
      <c r="O72" s="110">
        <v>12634.0</v>
      </c>
      <c r="P72" s="110">
        <v>52923.0</v>
      </c>
      <c r="Q72" s="110">
        <v>13134.0</v>
      </c>
      <c r="R72" s="50">
        <v>11420.0</v>
      </c>
      <c r="S72" s="111">
        <v>52.0</v>
      </c>
      <c r="T72" s="112">
        <v>91.0</v>
      </c>
      <c r="U72" s="24" t="s">
        <v>48</v>
      </c>
      <c r="V72" s="11" t="s">
        <v>3913</v>
      </c>
      <c r="W72" s="108">
        <v>1.0</v>
      </c>
      <c r="X72" s="113">
        <v>92923.0</v>
      </c>
      <c r="Y72" s="113">
        <v>60621.0</v>
      </c>
      <c r="Z72" s="11">
        <v>145.0</v>
      </c>
      <c r="AA72" s="113">
        <v>52917.0</v>
      </c>
      <c r="AB72" s="109">
        <v>31993.45</v>
      </c>
      <c r="AC72" s="113">
        <v>80422.0</v>
      </c>
      <c r="AD72" s="108">
        <v>2.0</v>
      </c>
    </row>
    <row r="73">
      <c r="A73" s="11">
        <v>42.0</v>
      </c>
      <c r="B73" s="11">
        <v>3.0</v>
      </c>
      <c r="C73" s="11">
        <v>4.0</v>
      </c>
      <c r="D73" s="17">
        <v>38.0</v>
      </c>
      <c r="E73" s="108">
        <v>8.0</v>
      </c>
      <c r="F73" s="109">
        <v>31808.36</v>
      </c>
      <c r="G73" s="109">
        <v>27384.69</v>
      </c>
      <c r="H73" s="109">
        <v>-4373.86</v>
      </c>
      <c r="I73" s="109">
        <v>-62523.75</v>
      </c>
      <c r="J73" s="109">
        <v>56445.27</v>
      </c>
      <c r="K73" s="109">
        <v>-95641.72</v>
      </c>
      <c r="L73" s="109">
        <v>-30049.1</v>
      </c>
      <c r="M73" s="109">
        <v>-20082.21</v>
      </c>
      <c r="N73" s="110">
        <v>32112.0</v>
      </c>
      <c r="O73" s="110">
        <v>31922.0</v>
      </c>
      <c r="P73" s="110">
        <v>52923.0</v>
      </c>
      <c r="Q73" s="110">
        <v>33122.0</v>
      </c>
      <c r="R73" s="50">
        <v>73121.0</v>
      </c>
      <c r="S73" s="111">
        <v>52.0</v>
      </c>
      <c r="T73" s="112">
        <v>83.0</v>
      </c>
      <c r="U73" s="24" t="s">
        <v>31</v>
      </c>
      <c r="V73" s="11" t="s">
        <v>3914</v>
      </c>
      <c r="W73" s="108">
        <v>9.0</v>
      </c>
      <c r="X73" s="113">
        <v>41722.0</v>
      </c>
      <c r="Y73" s="113">
        <v>30114.0</v>
      </c>
      <c r="Z73" s="11">
        <v>103.0</v>
      </c>
      <c r="AA73" s="113">
        <v>22115.0</v>
      </c>
      <c r="AB73" s="109">
        <v>-88497.39</v>
      </c>
      <c r="AC73" s="113">
        <v>10818.0</v>
      </c>
      <c r="AD73" s="108">
        <v>6.0</v>
      </c>
    </row>
    <row r="74">
      <c r="A74" s="11">
        <v>42.0</v>
      </c>
      <c r="B74" s="11">
        <v>3.0</v>
      </c>
      <c r="C74" s="11">
        <v>5.0</v>
      </c>
      <c r="D74" s="17">
        <v>87.0</v>
      </c>
      <c r="E74" s="108">
        <v>9.0</v>
      </c>
      <c r="F74" s="109">
        <v>-70018.53</v>
      </c>
      <c r="G74" s="109">
        <v>-86959.96</v>
      </c>
      <c r="H74" s="109">
        <v>-14366.33</v>
      </c>
      <c r="I74" s="109">
        <v>-14272.01</v>
      </c>
      <c r="J74" s="109">
        <v>-33154.59</v>
      </c>
      <c r="K74" s="109">
        <v>34469.87</v>
      </c>
      <c r="L74" s="109">
        <v>18970.47</v>
      </c>
      <c r="M74" s="109">
        <v>2316.28</v>
      </c>
      <c r="N74" s="110">
        <v>102714.0</v>
      </c>
      <c r="O74" s="110">
        <v>101944.0</v>
      </c>
      <c r="P74" s="110">
        <v>51423.0</v>
      </c>
      <c r="Q74" s="110">
        <v>103144.0</v>
      </c>
      <c r="R74" s="50">
        <v>120120.0</v>
      </c>
      <c r="S74" s="111">
        <v>54.0</v>
      </c>
      <c r="T74" s="112">
        <v>6.0</v>
      </c>
      <c r="U74" s="24" t="s">
        <v>601</v>
      </c>
      <c r="V74" s="11" t="s">
        <v>3915</v>
      </c>
      <c r="W74" s="108">
        <v>3.0</v>
      </c>
      <c r="X74" s="113">
        <v>72916.0</v>
      </c>
      <c r="Y74" s="113">
        <v>80321.0</v>
      </c>
      <c r="Z74" s="11">
        <v>185.0</v>
      </c>
      <c r="AA74" s="113">
        <v>92117.0</v>
      </c>
      <c r="AB74" s="109">
        <v>30744.49</v>
      </c>
      <c r="AC74" s="113">
        <v>122413.0</v>
      </c>
      <c r="AD74" s="108">
        <v>0.0</v>
      </c>
    </row>
    <row r="75">
      <c r="A75" s="11">
        <v>42.0</v>
      </c>
      <c r="B75" s="11">
        <v>3.0</v>
      </c>
      <c r="C75" s="11">
        <v>9.0</v>
      </c>
      <c r="D75" s="17">
        <v>68.0</v>
      </c>
      <c r="E75" s="108">
        <v>5.0</v>
      </c>
      <c r="F75" s="109">
        <v>-4192.28</v>
      </c>
      <c r="G75" s="109">
        <v>-11929.0</v>
      </c>
      <c r="H75" s="109">
        <v>-25951.08</v>
      </c>
      <c r="I75" s="109">
        <v>-20400.24</v>
      </c>
      <c r="J75" s="109">
        <v>16220.49</v>
      </c>
      <c r="K75" s="109">
        <v>-22092.54</v>
      </c>
      <c r="L75" s="109">
        <v>67037.52</v>
      </c>
      <c r="M75" s="109">
        <v>-32582.8</v>
      </c>
      <c r="N75" s="110">
        <v>42412.0</v>
      </c>
      <c r="O75" s="110">
        <v>41932.0</v>
      </c>
      <c r="P75" s="110">
        <v>52623.0</v>
      </c>
      <c r="Q75" s="110">
        <v>43032.0</v>
      </c>
      <c r="R75" s="50">
        <v>60514.0</v>
      </c>
      <c r="S75" s="111">
        <v>53.0</v>
      </c>
      <c r="T75" s="112">
        <v>70.0</v>
      </c>
      <c r="U75" s="24" t="s">
        <v>601</v>
      </c>
      <c r="V75" s="11" t="s">
        <v>3875</v>
      </c>
      <c r="W75" s="108">
        <v>8.0</v>
      </c>
      <c r="X75" s="113">
        <v>22016.0</v>
      </c>
      <c r="Y75" s="113">
        <v>72415.0</v>
      </c>
      <c r="Z75" s="11">
        <v>143.0</v>
      </c>
      <c r="AA75" s="113">
        <v>90318.0</v>
      </c>
      <c r="AB75" s="109">
        <v>19131.08</v>
      </c>
      <c r="AC75" s="113">
        <v>91915.0</v>
      </c>
      <c r="AD75" s="108">
        <v>6.0</v>
      </c>
    </row>
    <row r="76">
      <c r="A76" s="11">
        <v>62.0</v>
      </c>
      <c r="B76" s="11">
        <v>8.0</v>
      </c>
      <c r="C76" s="11">
        <v>9.0</v>
      </c>
      <c r="D76" s="17">
        <v>48.0</v>
      </c>
      <c r="E76" s="108">
        <v>3.0</v>
      </c>
      <c r="F76" s="109">
        <v>11677.94</v>
      </c>
      <c r="G76" s="109">
        <v>91180.38</v>
      </c>
      <c r="H76" s="109">
        <v>72203.78</v>
      </c>
      <c r="I76" s="109">
        <v>-77783.95</v>
      </c>
      <c r="J76" s="109">
        <v>20071.78</v>
      </c>
      <c r="K76" s="109">
        <v>64724.66</v>
      </c>
      <c r="L76" s="109">
        <v>55978.69</v>
      </c>
      <c r="M76" s="109">
        <v>51273.25</v>
      </c>
      <c r="N76" s="110">
        <v>71511.0</v>
      </c>
      <c r="O76" s="110">
        <v>71031.0</v>
      </c>
      <c r="P76" s="110">
        <v>51623.0</v>
      </c>
      <c r="Q76" s="110">
        <v>73131.0</v>
      </c>
      <c r="R76" s="50">
        <v>50122.0</v>
      </c>
      <c r="S76" s="111">
        <v>53.0</v>
      </c>
      <c r="T76" s="112">
        <v>84.0</v>
      </c>
      <c r="U76" s="24" t="s">
        <v>31</v>
      </c>
      <c r="V76" s="11" t="s">
        <v>3916</v>
      </c>
      <c r="W76" s="108">
        <v>4.0</v>
      </c>
      <c r="X76" s="113">
        <v>11623.0</v>
      </c>
      <c r="Y76" s="113">
        <v>111715.0</v>
      </c>
      <c r="Z76" s="11">
        <v>178.0</v>
      </c>
      <c r="AA76" s="113">
        <v>20413.0</v>
      </c>
      <c r="AB76" s="109">
        <v>58960.3</v>
      </c>
      <c r="AC76" s="113">
        <v>40614.0</v>
      </c>
      <c r="AD76" s="108">
        <v>8.0</v>
      </c>
    </row>
    <row r="77">
      <c r="A77" s="11">
        <v>83.0</v>
      </c>
      <c r="B77" s="11">
        <v>3.0</v>
      </c>
      <c r="C77" s="11">
        <v>8.0</v>
      </c>
      <c r="D77" s="17">
        <v>85.0</v>
      </c>
      <c r="E77" s="108">
        <v>7.0</v>
      </c>
      <c r="F77" s="109">
        <v>75710.3</v>
      </c>
      <c r="G77" s="109">
        <v>4462.63</v>
      </c>
      <c r="H77" s="109">
        <v>44261.57</v>
      </c>
      <c r="I77" s="109">
        <v>-18269.65</v>
      </c>
      <c r="J77" s="109">
        <v>99555.97</v>
      </c>
      <c r="K77" s="109">
        <v>-39262.26</v>
      </c>
      <c r="L77" s="109">
        <v>76034.75</v>
      </c>
      <c r="M77" s="109">
        <v>7818.78</v>
      </c>
      <c r="N77" s="110">
        <v>72613.0</v>
      </c>
      <c r="O77" s="110">
        <v>71943.0</v>
      </c>
      <c r="P77" s="110">
        <v>51623.0</v>
      </c>
      <c r="Q77" s="110">
        <v>73143.0</v>
      </c>
      <c r="R77" s="50">
        <v>100519.0</v>
      </c>
      <c r="S77" s="111">
        <v>50.0</v>
      </c>
      <c r="T77" s="112">
        <v>29.0</v>
      </c>
      <c r="U77" s="24" t="s">
        <v>39</v>
      </c>
      <c r="V77" s="11" t="s">
        <v>3888</v>
      </c>
      <c r="W77" s="108">
        <v>3.0</v>
      </c>
      <c r="X77" s="113">
        <v>60422.0</v>
      </c>
      <c r="Y77" s="113">
        <v>12222.0</v>
      </c>
      <c r="Z77" s="11">
        <v>146.0</v>
      </c>
      <c r="AA77" s="113">
        <v>31619.0</v>
      </c>
      <c r="AB77" s="109">
        <v>23400.48</v>
      </c>
      <c r="AC77" s="113">
        <v>102922.0</v>
      </c>
      <c r="AD77" s="108">
        <v>0.0</v>
      </c>
    </row>
    <row r="78">
      <c r="A78" s="11">
        <v>42.0</v>
      </c>
      <c r="B78" s="11">
        <v>4.0</v>
      </c>
      <c r="C78" s="11">
        <v>3.0</v>
      </c>
      <c r="D78" s="17">
        <v>19.0</v>
      </c>
      <c r="E78" s="108">
        <v>0.0</v>
      </c>
      <c r="F78" s="109">
        <v>-28808.91</v>
      </c>
      <c r="G78" s="109">
        <v>-91633.93</v>
      </c>
      <c r="H78" s="109">
        <v>68621.91</v>
      </c>
      <c r="I78" s="109">
        <v>40465.0</v>
      </c>
      <c r="J78" s="109">
        <v>97289.57</v>
      </c>
      <c r="K78" s="109">
        <v>84450.66</v>
      </c>
      <c r="L78" s="109">
        <v>29961.07</v>
      </c>
      <c r="M78" s="109">
        <v>926.93</v>
      </c>
      <c r="N78" s="110">
        <v>20114.0</v>
      </c>
      <c r="O78" s="110">
        <v>13024.0</v>
      </c>
      <c r="P78" s="110">
        <v>51723.0</v>
      </c>
      <c r="Q78" s="110">
        <v>13124.0</v>
      </c>
      <c r="R78" s="50">
        <v>102916.0</v>
      </c>
      <c r="S78" s="111">
        <v>54.0</v>
      </c>
      <c r="T78" s="112">
        <v>17.0</v>
      </c>
      <c r="U78" s="24" t="s">
        <v>48</v>
      </c>
      <c r="V78" s="11" t="s">
        <v>3917</v>
      </c>
      <c r="W78" s="108">
        <v>6.0</v>
      </c>
      <c r="X78" s="113">
        <v>32022.0</v>
      </c>
      <c r="Y78" s="113">
        <v>40120.0</v>
      </c>
      <c r="Z78" s="11">
        <v>150.0</v>
      </c>
      <c r="AA78" s="113">
        <v>120918.0</v>
      </c>
      <c r="AB78" s="109">
        <v>-90150.34</v>
      </c>
      <c r="AC78" s="113">
        <v>51715.0</v>
      </c>
      <c r="AD78" s="108">
        <v>2.0</v>
      </c>
    </row>
    <row r="79">
      <c r="A79" s="11">
        <v>21.0</v>
      </c>
      <c r="B79" s="11">
        <v>9.0</v>
      </c>
      <c r="C79" s="11">
        <v>6.0</v>
      </c>
      <c r="D79" s="17">
        <v>39.0</v>
      </c>
      <c r="E79" s="108">
        <v>8.0</v>
      </c>
      <c r="F79" s="109">
        <v>82244.83</v>
      </c>
      <c r="G79" s="109">
        <v>87873.61</v>
      </c>
      <c r="H79" s="109">
        <v>2410.01</v>
      </c>
      <c r="I79" s="109">
        <v>-51699.32</v>
      </c>
      <c r="J79" s="109">
        <v>11585.71</v>
      </c>
      <c r="K79" s="109">
        <v>863.14</v>
      </c>
      <c r="L79" s="109">
        <v>-47208.4</v>
      </c>
      <c r="M79" s="109">
        <v>-47765.87</v>
      </c>
      <c r="N79" s="110">
        <v>122812.0</v>
      </c>
      <c r="O79" s="110">
        <v>122142.0</v>
      </c>
      <c r="P79" s="110">
        <v>50123.0</v>
      </c>
      <c r="Q79" s="110">
        <v>123141.0</v>
      </c>
      <c r="R79" s="50">
        <v>100121.0</v>
      </c>
      <c r="S79" s="111">
        <v>55.0</v>
      </c>
      <c r="T79" s="112">
        <v>31.0</v>
      </c>
      <c r="U79" s="24" t="s">
        <v>48</v>
      </c>
      <c r="V79" s="11" t="s">
        <v>3918</v>
      </c>
      <c r="W79" s="108">
        <v>5.0</v>
      </c>
      <c r="X79" s="113">
        <v>72216.0</v>
      </c>
      <c r="Y79" s="113">
        <v>30720.0</v>
      </c>
      <c r="Z79" s="11">
        <v>162.0</v>
      </c>
      <c r="AA79" s="113">
        <v>91820.0</v>
      </c>
      <c r="AB79" s="109">
        <v>-16888.67</v>
      </c>
      <c r="AC79" s="113">
        <v>102113.0</v>
      </c>
      <c r="AD79" s="108">
        <v>8.0</v>
      </c>
    </row>
    <row r="80">
      <c r="A80" s="11">
        <v>62.0</v>
      </c>
      <c r="B80" s="11">
        <v>9.0</v>
      </c>
      <c r="C80" s="11">
        <v>3.0</v>
      </c>
      <c r="D80" s="17">
        <v>4.0</v>
      </c>
      <c r="E80" s="108">
        <v>1.0</v>
      </c>
      <c r="F80" s="109">
        <v>-1177.82</v>
      </c>
      <c r="G80" s="109">
        <v>-36245.95</v>
      </c>
      <c r="H80" s="109">
        <v>68238.06</v>
      </c>
      <c r="I80" s="109">
        <v>27712.85</v>
      </c>
      <c r="J80" s="109">
        <v>-50425.94</v>
      </c>
      <c r="K80" s="109">
        <v>-24267.22</v>
      </c>
      <c r="L80" s="109">
        <v>95050.85</v>
      </c>
      <c r="M80" s="109">
        <v>6890.88</v>
      </c>
      <c r="N80" s="110">
        <v>100213.0</v>
      </c>
      <c r="O80" s="110">
        <v>93023.0</v>
      </c>
      <c r="P80" s="110">
        <v>52323.0</v>
      </c>
      <c r="Q80" s="110">
        <v>93023.0</v>
      </c>
      <c r="R80" s="50">
        <v>102919.0</v>
      </c>
      <c r="S80" s="111">
        <v>51.0</v>
      </c>
      <c r="T80" s="112">
        <v>92.0</v>
      </c>
      <c r="U80" s="24" t="s">
        <v>31</v>
      </c>
      <c r="V80" s="11" t="s">
        <v>3919</v>
      </c>
      <c r="W80" s="108">
        <v>3.0</v>
      </c>
      <c r="X80" s="113">
        <v>90514.0</v>
      </c>
      <c r="Y80" s="113">
        <v>120619.0</v>
      </c>
      <c r="Z80" s="11">
        <v>136.0</v>
      </c>
      <c r="AA80" s="113">
        <v>62523.0</v>
      </c>
      <c r="AB80" s="109">
        <v>76142.26</v>
      </c>
      <c r="AC80" s="113">
        <v>82018.0</v>
      </c>
      <c r="AD80" s="108">
        <v>6.0</v>
      </c>
    </row>
    <row r="81">
      <c r="A81" s="11">
        <v>42.0</v>
      </c>
      <c r="B81" s="11">
        <v>4.0</v>
      </c>
      <c r="C81" s="11">
        <v>5.0</v>
      </c>
      <c r="D81" s="17">
        <v>16.0</v>
      </c>
      <c r="E81" s="108">
        <v>7.0</v>
      </c>
      <c r="F81" s="109">
        <v>-82185.87</v>
      </c>
      <c r="G81" s="109">
        <v>-16022.58</v>
      </c>
      <c r="H81" s="109">
        <v>13100.9</v>
      </c>
      <c r="I81" s="109">
        <v>-3817.43</v>
      </c>
      <c r="J81" s="109">
        <v>-79055.21</v>
      </c>
      <c r="K81" s="109">
        <v>-76879.84</v>
      </c>
      <c r="L81" s="109">
        <v>-8797.46</v>
      </c>
      <c r="M81" s="109">
        <v>-99788.52</v>
      </c>
      <c r="N81" s="110">
        <v>70513.0</v>
      </c>
      <c r="O81" s="110">
        <v>62843.0</v>
      </c>
      <c r="P81" s="110">
        <v>51523.0</v>
      </c>
      <c r="Q81" s="110">
        <v>63043.0</v>
      </c>
      <c r="R81" s="50">
        <v>122015.0</v>
      </c>
      <c r="S81" s="111">
        <v>55.0</v>
      </c>
      <c r="T81" s="112">
        <v>6.0</v>
      </c>
      <c r="U81" s="24" t="s">
        <v>48</v>
      </c>
      <c r="V81" s="11" t="s">
        <v>3920</v>
      </c>
      <c r="W81" s="108">
        <v>7.0</v>
      </c>
      <c r="X81" s="113">
        <v>81114.0</v>
      </c>
      <c r="Y81" s="113">
        <v>30917.0</v>
      </c>
      <c r="Z81" s="11">
        <v>106.0</v>
      </c>
      <c r="AA81" s="113">
        <v>41417.0</v>
      </c>
      <c r="AB81" s="109">
        <v>-53840.15</v>
      </c>
      <c r="AC81" s="113">
        <v>21917.0</v>
      </c>
      <c r="AD81" s="108">
        <v>7.0</v>
      </c>
    </row>
    <row r="82">
      <c r="A82" s="11">
        <v>21.0</v>
      </c>
      <c r="B82" s="11">
        <v>9.0</v>
      </c>
      <c r="C82" s="11">
        <v>3.0</v>
      </c>
      <c r="D82" s="17">
        <v>88.0</v>
      </c>
      <c r="E82" s="108">
        <v>1.0</v>
      </c>
      <c r="F82" s="109">
        <v>-17169.72</v>
      </c>
      <c r="G82" s="109">
        <v>33318.44</v>
      </c>
      <c r="H82" s="109">
        <v>44043.7</v>
      </c>
      <c r="I82" s="109">
        <v>4510.62</v>
      </c>
      <c r="J82" s="109">
        <v>98854.06</v>
      </c>
      <c r="K82" s="109">
        <v>31746.97</v>
      </c>
      <c r="L82" s="109">
        <v>4769.47</v>
      </c>
      <c r="M82" s="109">
        <v>74829.36</v>
      </c>
      <c r="N82" s="110">
        <v>10611.0</v>
      </c>
      <c r="O82" s="110">
        <v>122940.0</v>
      </c>
      <c r="P82" s="110">
        <v>52023.0</v>
      </c>
      <c r="Q82" s="110">
        <v>123139.0</v>
      </c>
      <c r="R82" s="50">
        <v>91615.0</v>
      </c>
      <c r="S82" s="111">
        <v>53.0</v>
      </c>
      <c r="T82" s="112">
        <v>63.0</v>
      </c>
      <c r="U82" s="24" t="s">
        <v>48</v>
      </c>
      <c r="V82" s="11" t="s">
        <v>3921</v>
      </c>
      <c r="W82" s="108">
        <v>4.0</v>
      </c>
      <c r="X82" s="113">
        <v>62719.0</v>
      </c>
      <c r="Y82" s="113">
        <v>122214.0</v>
      </c>
      <c r="Z82" s="11">
        <v>185.0</v>
      </c>
      <c r="AA82" s="113">
        <v>121819.0</v>
      </c>
      <c r="AB82" s="109">
        <v>93335.83</v>
      </c>
      <c r="AC82" s="113">
        <v>92418.0</v>
      </c>
      <c r="AD82" s="108">
        <v>6.0</v>
      </c>
    </row>
    <row r="83">
      <c r="A83" s="11">
        <v>83.0</v>
      </c>
      <c r="B83" s="11">
        <v>4.0</v>
      </c>
      <c r="C83" s="11">
        <v>4.0</v>
      </c>
      <c r="D83" s="17">
        <v>62.0</v>
      </c>
      <c r="E83" s="108">
        <v>0.0</v>
      </c>
      <c r="F83" s="109">
        <v>-60006.21</v>
      </c>
      <c r="G83" s="109">
        <v>-1946.18</v>
      </c>
      <c r="H83" s="109">
        <v>80596.17</v>
      </c>
      <c r="I83" s="109">
        <v>-40365.42</v>
      </c>
      <c r="J83" s="109">
        <v>994.35</v>
      </c>
      <c r="K83" s="109">
        <v>-96174.9</v>
      </c>
      <c r="L83" s="109">
        <v>66274.51</v>
      </c>
      <c r="M83" s="109">
        <v>46698.16</v>
      </c>
      <c r="N83" s="110">
        <v>100814.0</v>
      </c>
      <c r="O83" s="110">
        <v>100524.0</v>
      </c>
      <c r="P83" s="110">
        <v>51223.0</v>
      </c>
      <c r="Q83" s="110">
        <v>103124.0</v>
      </c>
      <c r="R83" s="50">
        <v>42916.0</v>
      </c>
      <c r="S83" s="111">
        <v>53.0</v>
      </c>
      <c r="T83" s="112">
        <v>15.0</v>
      </c>
      <c r="U83" s="24" t="s">
        <v>603</v>
      </c>
      <c r="V83" s="11" t="s">
        <v>3922</v>
      </c>
      <c r="W83" s="108">
        <v>4.0</v>
      </c>
      <c r="X83" s="113">
        <v>52514.0</v>
      </c>
      <c r="Y83" s="113">
        <v>21213.0</v>
      </c>
      <c r="Z83" s="11">
        <v>157.0</v>
      </c>
      <c r="AA83" s="113">
        <v>100518.0</v>
      </c>
      <c r="AB83" s="109">
        <v>-24165.24</v>
      </c>
      <c r="AC83" s="113">
        <v>31822.0</v>
      </c>
      <c r="AD83" s="108">
        <v>9.0</v>
      </c>
    </row>
    <row r="84">
      <c r="A84" s="11">
        <v>42.0</v>
      </c>
      <c r="B84" s="11">
        <v>4.0</v>
      </c>
      <c r="C84" s="11">
        <v>9.0</v>
      </c>
      <c r="D84" s="17">
        <v>1.0</v>
      </c>
      <c r="E84" s="108">
        <v>6.0</v>
      </c>
      <c r="F84" s="109">
        <v>33329.37</v>
      </c>
      <c r="G84" s="109">
        <v>-46570.79</v>
      </c>
      <c r="H84" s="109">
        <v>26223.69</v>
      </c>
      <c r="I84" s="109">
        <v>15758.3</v>
      </c>
      <c r="J84" s="109">
        <v>-20990.32</v>
      </c>
      <c r="K84" s="109">
        <v>-67124.37</v>
      </c>
      <c r="L84" s="109">
        <v>89462.77</v>
      </c>
      <c r="M84" s="109">
        <v>18642.14</v>
      </c>
      <c r="N84" s="110">
        <v>42314.0</v>
      </c>
      <c r="O84" s="110">
        <v>41544.0</v>
      </c>
      <c r="P84" s="110">
        <v>51823.0</v>
      </c>
      <c r="Q84" s="110">
        <v>43044.0</v>
      </c>
      <c r="R84" s="50">
        <v>71313.0</v>
      </c>
      <c r="S84" s="111">
        <v>54.0</v>
      </c>
      <c r="T84" s="112">
        <v>94.0</v>
      </c>
      <c r="U84" s="24" t="s">
        <v>48</v>
      </c>
      <c r="V84" s="11" t="s">
        <v>3923</v>
      </c>
      <c r="W84" s="108">
        <v>6.0</v>
      </c>
      <c r="X84" s="113">
        <v>102019.0</v>
      </c>
      <c r="Y84" s="113">
        <v>62421.0</v>
      </c>
      <c r="Z84" s="11">
        <v>134.0</v>
      </c>
      <c r="AA84" s="113">
        <v>51813.0</v>
      </c>
      <c r="AB84" s="109">
        <v>-12035.77</v>
      </c>
      <c r="AC84" s="113">
        <v>10918.0</v>
      </c>
      <c r="AD84" s="108">
        <v>2.0</v>
      </c>
    </row>
    <row r="85">
      <c r="A85" s="11">
        <v>42.0</v>
      </c>
      <c r="B85" s="11">
        <v>5.0</v>
      </c>
      <c r="C85" s="11">
        <v>1.0</v>
      </c>
      <c r="D85" s="17">
        <v>46.0</v>
      </c>
      <c r="E85" s="108">
        <v>2.0</v>
      </c>
      <c r="F85" s="109">
        <v>35193.53</v>
      </c>
      <c r="G85" s="109">
        <v>54053.14</v>
      </c>
      <c r="H85" s="109">
        <v>-16628.02</v>
      </c>
      <c r="I85" s="109">
        <v>95582.57</v>
      </c>
      <c r="J85" s="109">
        <v>-31780.81</v>
      </c>
      <c r="K85" s="109">
        <v>89491.85</v>
      </c>
      <c r="L85" s="109">
        <v>-14968.07</v>
      </c>
      <c r="M85" s="109">
        <v>-27736.8</v>
      </c>
      <c r="N85" s="110">
        <v>102011.0</v>
      </c>
      <c r="O85" s="110">
        <v>101241.0</v>
      </c>
      <c r="P85" s="110">
        <v>50623.0</v>
      </c>
      <c r="Q85" s="110">
        <v>103141.0</v>
      </c>
      <c r="R85" s="50">
        <v>110820.0</v>
      </c>
      <c r="S85" s="111">
        <v>55.0</v>
      </c>
      <c r="T85" s="112">
        <v>37.0</v>
      </c>
      <c r="U85" s="24" t="s">
        <v>601</v>
      </c>
      <c r="V85" s="11" t="s">
        <v>3916</v>
      </c>
      <c r="W85" s="108">
        <v>9.0</v>
      </c>
      <c r="X85" s="113">
        <v>80814.0</v>
      </c>
      <c r="Y85" s="113">
        <v>53016.0</v>
      </c>
      <c r="Z85" s="11">
        <v>145.0</v>
      </c>
      <c r="AA85" s="113">
        <v>92323.0</v>
      </c>
      <c r="AB85" s="109">
        <v>79349.07</v>
      </c>
      <c r="AC85" s="113">
        <v>70122.0</v>
      </c>
      <c r="AD85" s="108">
        <v>3.0</v>
      </c>
    </row>
    <row r="86">
      <c r="A86" s="11">
        <v>83.0</v>
      </c>
      <c r="B86" s="11">
        <v>4.0</v>
      </c>
      <c r="C86" s="11">
        <v>9.0</v>
      </c>
      <c r="D86" s="17">
        <v>2.0</v>
      </c>
      <c r="E86" s="108">
        <v>8.0</v>
      </c>
      <c r="F86" s="109">
        <v>-97574.27</v>
      </c>
      <c r="G86" s="109">
        <v>17989.78</v>
      </c>
      <c r="H86" s="109">
        <v>-61859.24</v>
      </c>
      <c r="I86" s="109">
        <v>72789.51</v>
      </c>
      <c r="J86" s="109">
        <v>-40495.6</v>
      </c>
      <c r="K86" s="109">
        <v>89492.84</v>
      </c>
      <c r="L86" s="109">
        <v>15983.97</v>
      </c>
      <c r="M86" s="109">
        <v>-77005.92</v>
      </c>
      <c r="N86" s="110">
        <v>32810.0</v>
      </c>
      <c r="O86" s="110">
        <v>32330.0</v>
      </c>
      <c r="P86" s="110">
        <v>51923.0</v>
      </c>
      <c r="Q86" s="110">
        <v>33130.0</v>
      </c>
      <c r="R86" s="50">
        <v>31720.0</v>
      </c>
      <c r="S86" s="111">
        <v>53.0</v>
      </c>
      <c r="T86" s="112">
        <v>18.0</v>
      </c>
      <c r="U86" s="24" t="s">
        <v>39</v>
      </c>
      <c r="V86" s="11" t="s">
        <v>3924</v>
      </c>
      <c r="W86" s="108">
        <v>5.0</v>
      </c>
      <c r="X86" s="113">
        <v>122414.0</v>
      </c>
      <c r="Y86" s="113">
        <v>112922.0</v>
      </c>
      <c r="Z86" s="11">
        <v>173.0</v>
      </c>
      <c r="AA86" s="113">
        <v>112615.0</v>
      </c>
      <c r="AB86" s="109">
        <v>72219.52</v>
      </c>
      <c r="AC86" s="113">
        <v>32419.0</v>
      </c>
      <c r="AD86" s="108">
        <v>1.0</v>
      </c>
    </row>
    <row r="87">
      <c r="A87" s="11">
        <v>83.0</v>
      </c>
      <c r="B87" s="11">
        <v>5.0</v>
      </c>
      <c r="C87" s="11">
        <v>3.0</v>
      </c>
      <c r="D87" s="17">
        <v>39.0</v>
      </c>
      <c r="E87" s="108">
        <v>3.0</v>
      </c>
      <c r="F87" s="109">
        <v>36282.16</v>
      </c>
      <c r="G87" s="109">
        <v>-39514.82</v>
      </c>
      <c r="H87" s="109">
        <v>87607.09</v>
      </c>
      <c r="I87" s="109">
        <v>-48380.16</v>
      </c>
      <c r="J87" s="109">
        <v>4371.49</v>
      </c>
      <c r="K87" s="109">
        <v>-37790.71</v>
      </c>
      <c r="L87" s="109">
        <v>62965.79</v>
      </c>
      <c r="M87" s="109">
        <v>-89772.3</v>
      </c>
      <c r="N87" s="110">
        <v>12812.0</v>
      </c>
      <c r="O87" s="110">
        <v>12042.0</v>
      </c>
      <c r="P87" s="110">
        <v>50423.0</v>
      </c>
      <c r="Q87" s="110">
        <v>13142.0</v>
      </c>
      <c r="R87" s="50">
        <v>121815.0</v>
      </c>
      <c r="S87" s="111">
        <v>53.0</v>
      </c>
      <c r="T87" s="112">
        <v>30.0</v>
      </c>
      <c r="U87" s="24" t="s">
        <v>48</v>
      </c>
      <c r="V87" s="11" t="s">
        <v>3906</v>
      </c>
      <c r="W87" s="108">
        <v>5.0</v>
      </c>
      <c r="X87" s="113">
        <v>72517.0</v>
      </c>
      <c r="Y87" s="113">
        <v>113116.0</v>
      </c>
      <c r="Z87" s="11">
        <v>151.0</v>
      </c>
      <c r="AA87" s="113">
        <v>111320.0</v>
      </c>
      <c r="AB87" s="109">
        <v>-61116.56</v>
      </c>
      <c r="AC87" s="113">
        <v>70121.0</v>
      </c>
      <c r="AD87" s="108">
        <v>7.0</v>
      </c>
    </row>
    <row r="88">
      <c r="A88" s="11">
        <v>22.0</v>
      </c>
      <c r="B88" s="11">
        <v>1.0</v>
      </c>
      <c r="C88" s="11">
        <v>9.0</v>
      </c>
      <c r="D88" s="17">
        <v>19.0</v>
      </c>
      <c r="E88" s="108">
        <v>7.0</v>
      </c>
      <c r="F88" s="109">
        <v>-93245.0</v>
      </c>
      <c r="G88" s="109">
        <v>99658.1</v>
      </c>
      <c r="H88" s="109">
        <v>-12042.32</v>
      </c>
      <c r="I88" s="109">
        <v>91841.53</v>
      </c>
      <c r="J88" s="109">
        <v>-34537.15</v>
      </c>
      <c r="K88" s="109">
        <v>60405.53</v>
      </c>
      <c r="L88" s="109">
        <v>-13654.75</v>
      </c>
      <c r="M88" s="109">
        <v>72134.93</v>
      </c>
      <c r="N88" s="110">
        <v>51811.0</v>
      </c>
      <c r="O88" s="110">
        <v>51041.0</v>
      </c>
      <c r="P88" s="110">
        <v>52523.0</v>
      </c>
      <c r="Q88" s="110">
        <v>53141.0</v>
      </c>
      <c r="R88" s="50">
        <v>10719.0</v>
      </c>
      <c r="S88" s="111">
        <v>51.0</v>
      </c>
      <c r="T88" s="112">
        <v>37.0</v>
      </c>
      <c r="U88" s="24" t="s">
        <v>603</v>
      </c>
      <c r="V88" s="11" t="s">
        <v>3925</v>
      </c>
      <c r="W88" s="108">
        <v>1.0</v>
      </c>
      <c r="X88" s="113">
        <v>110419.0</v>
      </c>
      <c r="Y88" s="113">
        <v>122922.0</v>
      </c>
      <c r="Z88" s="11">
        <v>194.0</v>
      </c>
      <c r="AA88" s="113">
        <v>53116.0</v>
      </c>
      <c r="AB88" s="109">
        <v>-62888.2</v>
      </c>
      <c r="AC88" s="113">
        <v>92916.0</v>
      </c>
      <c r="AD88" s="108">
        <v>8.0</v>
      </c>
    </row>
    <row r="89">
      <c r="A89" s="11">
        <v>42.0</v>
      </c>
      <c r="B89" s="11">
        <v>6.0</v>
      </c>
      <c r="C89" s="11">
        <v>7.0</v>
      </c>
      <c r="D89" s="17">
        <v>9.0</v>
      </c>
      <c r="E89" s="108">
        <v>3.0</v>
      </c>
      <c r="F89" s="109">
        <v>29213.01</v>
      </c>
      <c r="G89" s="109">
        <v>1449.35</v>
      </c>
      <c r="H89" s="109">
        <v>-92129.46</v>
      </c>
      <c r="I89" s="109">
        <v>3360.32</v>
      </c>
      <c r="J89" s="109">
        <v>-68417.22</v>
      </c>
      <c r="K89" s="109">
        <v>-32831.37</v>
      </c>
      <c r="L89" s="109">
        <v>63994.38</v>
      </c>
      <c r="M89" s="109">
        <v>78976.47</v>
      </c>
      <c r="N89" s="110">
        <v>81811.0</v>
      </c>
      <c r="O89" s="110">
        <v>81041.0</v>
      </c>
      <c r="P89" s="110">
        <v>51423.0</v>
      </c>
      <c r="Q89" s="110">
        <v>83141.0</v>
      </c>
      <c r="R89" s="50">
        <v>122316.0</v>
      </c>
      <c r="S89" s="111">
        <v>54.0</v>
      </c>
      <c r="T89" s="112">
        <v>78.0</v>
      </c>
      <c r="U89" s="24" t="s">
        <v>48</v>
      </c>
      <c r="V89" s="11" t="s">
        <v>3926</v>
      </c>
      <c r="W89" s="108">
        <v>5.0</v>
      </c>
      <c r="X89" s="113">
        <v>10616.0</v>
      </c>
      <c r="Y89" s="113">
        <v>91617.0</v>
      </c>
      <c r="Z89" s="11">
        <v>196.0</v>
      </c>
      <c r="AA89" s="113">
        <v>20621.0</v>
      </c>
      <c r="AB89" s="109">
        <v>137.45</v>
      </c>
      <c r="AC89" s="113">
        <v>71214.0</v>
      </c>
      <c r="AD89" s="108">
        <v>7.0</v>
      </c>
    </row>
    <row r="90">
      <c r="A90" s="11">
        <v>83.0</v>
      </c>
      <c r="B90" s="11">
        <v>6.0</v>
      </c>
      <c r="C90" s="11">
        <v>5.0</v>
      </c>
      <c r="D90" s="17">
        <v>56.0</v>
      </c>
      <c r="E90" s="108">
        <v>9.0</v>
      </c>
      <c r="F90" s="109">
        <v>17191.53</v>
      </c>
      <c r="G90" s="109">
        <v>-75858.79</v>
      </c>
      <c r="H90" s="109">
        <v>-83553.51</v>
      </c>
      <c r="I90" s="109">
        <v>-26097.94</v>
      </c>
      <c r="J90" s="109">
        <v>68390.29</v>
      </c>
      <c r="K90" s="109">
        <v>-44474.98</v>
      </c>
      <c r="L90" s="109">
        <v>61471.66</v>
      </c>
      <c r="M90" s="109">
        <v>81669.16</v>
      </c>
      <c r="N90" s="110">
        <v>81211.0</v>
      </c>
      <c r="O90" s="110">
        <v>80731.0</v>
      </c>
      <c r="P90" s="110">
        <v>51723.0</v>
      </c>
      <c r="Q90" s="110">
        <v>83131.0</v>
      </c>
      <c r="R90" s="50">
        <v>82315.0</v>
      </c>
      <c r="S90" s="111">
        <v>54.0</v>
      </c>
      <c r="T90" s="112">
        <v>88.0</v>
      </c>
      <c r="U90" s="24" t="s">
        <v>31</v>
      </c>
      <c r="V90" s="11" t="s">
        <v>3927</v>
      </c>
      <c r="W90" s="108">
        <v>7.0</v>
      </c>
      <c r="X90" s="113">
        <v>42717.0</v>
      </c>
      <c r="Y90" s="113">
        <v>61320.0</v>
      </c>
      <c r="Z90" s="11">
        <v>139.0</v>
      </c>
      <c r="AA90" s="113">
        <v>31815.0</v>
      </c>
      <c r="AB90" s="109">
        <v>59642.08</v>
      </c>
      <c r="AC90" s="113">
        <v>52220.0</v>
      </c>
      <c r="AD90" s="108">
        <v>9.0</v>
      </c>
    </row>
    <row r="91">
      <c r="A91" s="11">
        <v>22.0</v>
      </c>
      <c r="B91" s="11">
        <v>2.0</v>
      </c>
      <c r="C91" s="11">
        <v>2.0</v>
      </c>
      <c r="D91" s="17">
        <v>47.0</v>
      </c>
      <c r="E91" s="108">
        <v>9.0</v>
      </c>
      <c r="F91" s="109">
        <v>-79450.7</v>
      </c>
      <c r="G91" s="109">
        <v>21405.09</v>
      </c>
      <c r="H91" s="109">
        <v>97371.74</v>
      </c>
      <c r="I91" s="109">
        <v>-57488.44</v>
      </c>
      <c r="J91" s="109">
        <v>82250.56</v>
      </c>
      <c r="K91" s="109">
        <v>-6852.18</v>
      </c>
      <c r="L91" s="109">
        <v>44180.11</v>
      </c>
      <c r="M91" s="109">
        <v>6799.67</v>
      </c>
      <c r="N91" s="110">
        <v>112313.0</v>
      </c>
      <c r="O91" s="110">
        <v>111643.0</v>
      </c>
      <c r="P91" s="110">
        <v>51223.0</v>
      </c>
      <c r="Q91" s="110">
        <v>113043.0</v>
      </c>
      <c r="R91" s="50">
        <v>21017.0</v>
      </c>
      <c r="S91" s="111">
        <v>53.0</v>
      </c>
      <c r="T91" s="112">
        <v>25.0</v>
      </c>
      <c r="U91" s="24" t="s">
        <v>31</v>
      </c>
      <c r="V91" s="11" t="s">
        <v>3928</v>
      </c>
      <c r="W91" s="108">
        <v>8.0</v>
      </c>
      <c r="X91" s="113">
        <v>20115.0</v>
      </c>
      <c r="Y91" s="113">
        <v>82015.0</v>
      </c>
      <c r="Z91" s="11">
        <v>165.0</v>
      </c>
      <c r="AA91" s="113">
        <v>30419.0</v>
      </c>
      <c r="AB91" s="109">
        <v>40736.61</v>
      </c>
      <c r="AC91" s="113">
        <v>42914.0</v>
      </c>
      <c r="AD91" s="108">
        <v>7.0</v>
      </c>
    </row>
    <row r="92">
      <c r="A92" s="11">
        <v>63.0</v>
      </c>
      <c r="B92" s="11">
        <v>2.0</v>
      </c>
      <c r="C92" s="11">
        <v>1.0</v>
      </c>
      <c r="D92" s="17">
        <v>99.0</v>
      </c>
      <c r="E92" s="108">
        <v>4.0</v>
      </c>
      <c r="F92" s="109">
        <v>71447.62</v>
      </c>
      <c r="G92" s="109">
        <v>37332.08</v>
      </c>
      <c r="H92" s="109">
        <v>-12100.39</v>
      </c>
      <c r="I92" s="109">
        <v>-43889.52</v>
      </c>
      <c r="J92" s="109">
        <v>-85492.16</v>
      </c>
      <c r="K92" s="109">
        <v>-72874.66</v>
      </c>
      <c r="L92" s="109">
        <v>97987.49</v>
      </c>
      <c r="M92" s="109">
        <v>23667.26</v>
      </c>
      <c r="N92" s="110">
        <v>92711.0</v>
      </c>
      <c r="O92" s="110">
        <v>91941.0</v>
      </c>
      <c r="P92" s="110">
        <v>51723.0</v>
      </c>
      <c r="Q92" s="110">
        <v>93041.0</v>
      </c>
      <c r="R92" s="50">
        <v>70520.0</v>
      </c>
      <c r="S92" s="111">
        <v>55.0</v>
      </c>
      <c r="T92" s="112">
        <v>27.0</v>
      </c>
      <c r="U92" s="24" t="s">
        <v>48</v>
      </c>
      <c r="V92" s="11" t="s">
        <v>3929</v>
      </c>
      <c r="W92" s="108">
        <v>7.0</v>
      </c>
      <c r="X92" s="113">
        <v>92721.0</v>
      </c>
      <c r="Y92" s="113">
        <v>90315.0</v>
      </c>
      <c r="Z92" s="11">
        <v>117.0</v>
      </c>
      <c r="AA92" s="113">
        <v>112823.0</v>
      </c>
      <c r="AB92" s="109">
        <v>-11668.09</v>
      </c>
      <c r="AC92" s="113">
        <v>122016.0</v>
      </c>
      <c r="AD92" s="108">
        <v>4.0</v>
      </c>
    </row>
    <row r="93">
      <c r="A93" s="11">
        <v>22.0</v>
      </c>
      <c r="B93" s="11">
        <v>2.0</v>
      </c>
      <c r="C93" s="11">
        <v>6.0</v>
      </c>
      <c r="D93" s="17">
        <v>48.0</v>
      </c>
      <c r="E93" s="108">
        <v>5.0</v>
      </c>
      <c r="F93" s="109">
        <v>-36185.05</v>
      </c>
      <c r="G93" s="109">
        <v>-7894.45</v>
      </c>
      <c r="H93" s="109">
        <v>-17771.93</v>
      </c>
      <c r="I93" s="109">
        <v>16475.98</v>
      </c>
      <c r="J93" s="109">
        <v>-52538.82</v>
      </c>
      <c r="K93" s="109">
        <v>25442.37</v>
      </c>
      <c r="L93" s="109">
        <v>-51953.71</v>
      </c>
      <c r="M93" s="109">
        <v>16675.83</v>
      </c>
      <c r="N93" s="110">
        <v>112510.0</v>
      </c>
      <c r="O93" s="110">
        <v>112030.0</v>
      </c>
      <c r="P93" s="110">
        <v>51623.0</v>
      </c>
      <c r="Q93" s="110">
        <v>113030.0</v>
      </c>
      <c r="R93" s="50">
        <v>72113.0</v>
      </c>
      <c r="S93" s="111">
        <v>54.0</v>
      </c>
      <c r="T93" s="112">
        <v>11.0</v>
      </c>
      <c r="U93" s="24" t="s">
        <v>48</v>
      </c>
      <c r="V93" s="11" t="s">
        <v>3930</v>
      </c>
      <c r="W93" s="108">
        <v>8.0</v>
      </c>
      <c r="X93" s="113">
        <v>11723.0</v>
      </c>
      <c r="Y93" s="113">
        <v>60217.0</v>
      </c>
      <c r="Z93" s="11">
        <v>174.0</v>
      </c>
      <c r="AA93" s="113">
        <v>122513.0</v>
      </c>
      <c r="AB93" s="109">
        <v>14193.68</v>
      </c>
      <c r="AC93" s="113">
        <v>41117.0</v>
      </c>
      <c r="AD93" s="108">
        <v>2.0</v>
      </c>
    </row>
    <row r="94">
      <c r="A94" s="11">
        <v>42.0</v>
      </c>
      <c r="B94" s="11">
        <v>7.0</v>
      </c>
      <c r="C94" s="11">
        <v>5.0</v>
      </c>
      <c r="D94" s="17">
        <v>25.0</v>
      </c>
      <c r="E94" s="108">
        <v>0.0</v>
      </c>
      <c r="F94" s="109">
        <v>46113.87</v>
      </c>
      <c r="G94" s="109">
        <v>-68290.87</v>
      </c>
      <c r="H94" s="109">
        <v>219.56</v>
      </c>
      <c r="I94" s="109">
        <v>-17440.42</v>
      </c>
      <c r="J94" s="109">
        <v>-48152.98</v>
      </c>
      <c r="K94" s="109">
        <v>-3668.17</v>
      </c>
      <c r="L94" s="109">
        <v>-71664.4</v>
      </c>
      <c r="M94" s="109">
        <v>98577.8</v>
      </c>
      <c r="N94" s="110">
        <v>90214.0</v>
      </c>
      <c r="O94" s="110">
        <v>83024.0</v>
      </c>
      <c r="P94" s="110">
        <v>50323.0</v>
      </c>
      <c r="Q94" s="110">
        <v>83124.0</v>
      </c>
      <c r="R94" s="50">
        <v>121216.0</v>
      </c>
      <c r="S94" s="111">
        <v>50.0</v>
      </c>
      <c r="T94" s="112">
        <v>67.0</v>
      </c>
      <c r="U94" s="24" t="s">
        <v>31</v>
      </c>
      <c r="V94" s="11" t="s">
        <v>3931</v>
      </c>
      <c r="W94" s="108">
        <v>3.0</v>
      </c>
      <c r="X94" s="113">
        <v>121414.0</v>
      </c>
      <c r="Y94" s="113">
        <v>81222.0</v>
      </c>
      <c r="Z94" s="11">
        <v>163.0</v>
      </c>
      <c r="AA94" s="113">
        <v>51020.0</v>
      </c>
      <c r="AB94" s="109">
        <v>40040.32</v>
      </c>
      <c r="AC94" s="113">
        <v>41513.0</v>
      </c>
      <c r="AD94" s="108">
        <v>5.0</v>
      </c>
    </row>
    <row r="95">
      <c r="A95" s="11">
        <v>63.0</v>
      </c>
      <c r="B95" s="11">
        <v>2.0</v>
      </c>
      <c r="C95" s="11">
        <v>2.0</v>
      </c>
      <c r="D95" s="17">
        <v>26.0</v>
      </c>
      <c r="E95" s="108">
        <v>0.0</v>
      </c>
      <c r="F95" s="109">
        <v>-44836.06</v>
      </c>
      <c r="G95" s="109">
        <v>25220.95</v>
      </c>
      <c r="H95" s="109">
        <v>-83772.9</v>
      </c>
      <c r="I95" s="109">
        <v>67386.16</v>
      </c>
      <c r="J95" s="109">
        <v>-56464.28</v>
      </c>
      <c r="K95" s="109">
        <v>32001.3</v>
      </c>
      <c r="L95" s="109">
        <v>-35523.26</v>
      </c>
      <c r="M95" s="109">
        <v>4223.63</v>
      </c>
      <c r="N95" s="110">
        <v>20812.0</v>
      </c>
      <c r="O95" s="110">
        <v>20522.0</v>
      </c>
      <c r="P95" s="110">
        <v>51123.0</v>
      </c>
      <c r="Q95" s="110">
        <v>22822.0</v>
      </c>
      <c r="R95" s="50">
        <v>52119.0</v>
      </c>
      <c r="S95" s="111">
        <v>53.0</v>
      </c>
      <c r="T95" s="112">
        <v>30.0</v>
      </c>
      <c r="U95" s="24" t="s">
        <v>601</v>
      </c>
      <c r="V95" s="11" t="s">
        <v>3932</v>
      </c>
      <c r="W95" s="108">
        <v>3.0</v>
      </c>
      <c r="X95" s="113">
        <v>30818.0</v>
      </c>
      <c r="Y95" s="113">
        <v>41721.0</v>
      </c>
      <c r="Z95" s="11">
        <v>154.0</v>
      </c>
      <c r="AA95" s="113">
        <v>110719.0</v>
      </c>
      <c r="AB95" s="109">
        <v>4067.45</v>
      </c>
      <c r="AC95" s="113">
        <v>12719.0</v>
      </c>
      <c r="AD95" s="108">
        <v>0.0</v>
      </c>
    </row>
    <row r="96">
      <c r="A96" s="11">
        <v>22.0</v>
      </c>
      <c r="B96" s="11">
        <v>2.0</v>
      </c>
      <c r="C96" s="11">
        <v>9.0</v>
      </c>
      <c r="D96" s="17">
        <v>45.0</v>
      </c>
      <c r="E96" s="108">
        <v>4.0</v>
      </c>
      <c r="F96" s="109">
        <v>-28791.51</v>
      </c>
      <c r="G96" s="109">
        <v>70080.38</v>
      </c>
      <c r="H96" s="109">
        <v>91547.26</v>
      </c>
      <c r="I96" s="109">
        <v>-63418.52</v>
      </c>
      <c r="J96" s="109">
        <v>-56792.82</v>
      </c>
      <c r="K96" s="109">
        <v>84636.45</v>
      </c>
      <c r="L96" s="109">
        <v>-85367.35</v>
      </c>
      <c r="M96" s="109">
        <v>-86850.87</v>
      </c>
      <c r="N96" s="110">
        <v>10113.0</v>
      </c>
      <c r="O96" s="110">
        <v>123022.0</v>
      </c>
      <c r="P96" s="110">
        <v>50623.0</v>
      </c>
      <c r="Q96" s="110">
        <v>123121.0</v>
      </c>
      <c r="R96" s="50">
        <v>92617.0</v>
      </c>
      <c r="S96" s="111">
        <v>52.0</v>
      </c>
      <c r="T96" s="112">
        <v>48.0</v>
      </c>
      <c r="U96" s="24" t="s">
        <v>48</v>
      </c>
      <c r="V96" s="11" t="s">
        <v>3933</v>
      </c>
      <c r="W96" s="108">
        <v>6.0</v>
      </c>
      <c r="X96" s="113">
        <v>52216.0</v>
      </c>
      <c r="Y96" s="113">
        <v>22916.0</v>
      </c>
      <c r="Z96" s="11">
        <v>121.0</v>
      </c>
      <c r="AA96" s="113">
        <v>73117.0</v>
      </c>
      <c r="AB96" s="109">
        <v>58568.74</v>
      </c>
      <c r="AC96" s="113">
        <v>11919.0</v>
      </c>
      <c r="AD96" s="108">
        <v>3.0</v>
      </c>
    </row>
    <row r="97">
      <c r="A97" s="11">
        <v>63.0</v>
      </c>
      <c r="B97" s="11">
        <v>2.0</v>
      </c>
      <c r="C97" s="11">
        <v>6.0</v>
      </c>
      <c r="D97" s="17">
        <v>70.0</v>
      </c>
      <c r="E97" s="108">
        <v>1.0</v>
      </c>
      <c r="F97" s="109">
        <v>-20641.71</v>
      </c>
      <c r="G97" s="109">
        <v>-24992.05</v>
      </c>
      <c r="H97" s="109">
        <v>-93407.64</v>
      </c>
      <c r="I97" s="109">
        <v>-25417.08</v>
      </c>
      <c r="J97" s="109">
        <v>-50777.47</v>
      </c>
      <c r="K97" s="109">
        <v>24821.49</v>
      </c>
      <c r="L97" s="109">
        <v>-72349.2</v>
      </c>
      <c r="M97" s="109">
        <v>19866.57</v>
      </c>
      <c r="N97" s="110">
        <v>123112.0</v>
      </c>
      <c r="O97" s="110">
        <v>122442.0</v>
      </c>
      <c r="P97" s="110">
        <v>51323.0</v>
      </c>
      <c r="Q97" s="110">
        <v>123141.0</v>
      </c>
      <c r="R97" s="50">
        <v>31222.0</v>
      </c>
      <c r="S97" s="111">
        <v>52.0</v>
      </c>
      <c r="T97" s="112">
        <v>35.0</v>
      </c>
      <c r="U97" s="24" t="s">
        <v>31</v>
      </c>
      <c r="V97" s="11" t="s">
        <v>3920</v>
      </c>
      <c r="W97" s="108">
        <v>2.0</v>
      </c>
      <c r="X97" s="113">
        <v>32123.0</v>
      </c>
      <c r="Y97" s="113">
        <v>21720.0</v>
      </c>
      <c r="Z97" s="11">
        <v>171.0</v>
      </c>
      <c r="AA97" s="113">
        <v>62120.0</v>
      </c>
      <c r="AB97" s="109">
        <v>-15375.23</v>
      </c>
      <c r="AC97" s="113">
        <v>41321.0</v>
      </c>
      <c r="AD97" s="108">
        <v>2.0</v>
      </c>
    </row>
    <row r="98">
      <c r="A98" s="11">
        <v>42.0</v>
      </c>
      <c r="B98" s="11">
        <v>7.0</v>
      </c>
      <c r="C98" s="11">
        <v>8.0</v>
      </c>
      <c r="D98" s="17">
        <v>93.0</v>
      </c>
      <c r="E98" s="108">
        <v>4.0</v>
      </c>
      <c r="F98" s="109">
        <v>-1600.1</v>
      </c>
      <c r="G98" s="109">
        <v>-94992.51</v>
      </c>
      <c r="H98" s="109">
        <v>-9118.52</v>
      </c>
      <c r="I98" s="109">
        <v>51167.56</v>
      </c>
      <c r="J98" s="109">
        <v>-55559.81</v>
      </c>
      <c r="K98" s="109">
        <v>-63161.03</v>
      </c>
      <c r="L98" s="109">
        <v>-18110.46</v>
      </c>
      <c r="M98" s="109">
        <v>49167.99</v>
      </c>
      <c r="N98" s="110">
        <v>41710.0</v>
      </c>
      <c r="O98" s="110">
        <v>41420.0</v>
      </c>
      <c r="P98" s="110">
        <v>51323.0</v>
      </c>
      <c r="Q98" s="110">
        <v>43020.0</v>
      </c>
      <c r="R98" s="50">
        <v>121417.0</v>
      </c>
      <c r="S98" s="111">
        <v>55.0</v>
      </c>
      <c r="T98" s="112">
        <v>1.0</v>
      </c>
      <c r="U98" s="24" t="s">
        <v>31</v>
      </c>
      <c r="V98" s="11" t="s">
        <v>3934</v>
      </c>
      <c r="W98" s="108">
        <v>5.0</v>
      </c>
      <c r="X98" s="113">
        <v>12115.0</v>
      </c>
      <c r="Y98" s="113">
        <v>30419.0</v>
      </c>
      <c r="Z98" s="11">
        <v>104.0</v>
      </c>
      <c r="AA98" s="113">
        <v>70118.0</v>
      </c>
      <c r="AB98" s="109">
        <v>-65630.35</v>
      </c>
      <c r="AC98" s="113">
        <v>82721.0</v>
      </c>
      <c r="AD98" s="108">
        <v>7.0</v>
      </c>
    </row>
    <row r="99">
      <c r="A99" s="11">
        <v>63.0</v>
      </c>
      <c r="B99" s="11">
        <v>2.0</v>
      </c>
      <c r="C99" s="11">
        <v>9.0</v>
      </c>
      <c r="D99" s="17">
        <v>37.0</v>
      </c>
      <c r="E99" s="108">
        <v>7.0</v>
      </c>
      <c r="F99" s="109">
        <v>44032.32</v>
      </c>
      <c r="G99" s="109">
        <v>52795.81</v>
      </c>
      <c r="H99" s="109">
        <v>87564.28</v>
      </c>
      <c r="I99" s="109">
        <v>22141.92</v>
      </c>
      <c r="J99" s="109">
        <v>-77842.8</v>
      </c>
      <c r="K99" s="109">
        <v>-8161.0</v>
      </c>
      <c r="L99" s="109">
        <v>-942.33</v>
      </c>
      <c r="M99" s="109">
        <v>41970.54</v>
      </c>
      <c r="N99" s="110">
        <v>52513.0</v>
      </c>
      <c r="O99" s="110">
        <v>52323.0</v>
      </c>
      <c r="P99" s="110">
        <v>52623.0</v>
      </c>
      <c r="Q99" s="110">
        <v>53123.0</v>
      </c>
      <c r="R99" s="50">
        <v>50715.0</v>
      </c>
      <c r="S99" s="111">
        <v>51.0</v>
      </c>
      <c r="T99" s="112">
        <v>61.0</v>
      </c>
      <c r="U99" s="24" t="s">
        <v>39</v>
      </c>
      <c r="V99" s="11" t="s">
        <v>3879</v>
      </c>
      <c r="W99" s="108">
        <v>5.0</v>
      </c>
      <c r="X99" s="113">
        <v>120119.0</v>
      </c>
      <c r="Y99" s="113">
        <v>72815.0</v>
      </c>
      <c r="Z99" s="11">
        <v>199.0</v>
      </c>
      <c r="AA99" s="113">
        <v>21116.0</v>
      </c>
      <c r="AB99" s="109">
        <v>-46918.8</v>
      </c>
      <c r="AC99" s="113">
        <v>92216.0</v>
      </c>
      <c r="AD99" s="108">
        <v>7.0</v>
      </c>
    </row>
    <row r="100">
      <c r="A100" s="11">
        <v>83.0</v>
      </c>
      <c r="B100" s="11">
        <v>7.0</v>
      </c>
      <c r="C100" s="11">
        <v>9.0</v>
      </c>
      <c r="D100" s="17">
        <v>92.0</v>
      </c>
      <c r="E100" s="108">
        <v>7.0</v>
      </c>
      <c r="F100" s="109">
        <v>-4541.7</v>
      </c>
      <c r="G100" s="109">
        <v>-39039.96</v>
      </c>
      <c r="H100" s="109">
        <v>48861.46</v>
      </c>
      <c r="I100" s="109">
        <v>-49277.29</v>
      </c>
      <c r="J100" s="109">
        <v>54754.56</v>
      </c>
      <c r="K100" s="109">
        <v>-81586.09</v>
      </c>
      <c r="L100" s="109">
        <v>-53044.9</v>
      </c>
      <c r="M100" s="109">
        <v>82925.23</v>
      </c>
      <c r="N100" s="110">
        <v>22514.0</v>
      </c>
      <c r="O100" s="110">
        <v>22324.0</v>
      </c>
      <c r="P100" s="110">
        <v>52123.0</v>
      </c>
      <c r="Q100" s="110">
        <v>22924.0</v>
      </c>
      <c r="R100" s="50">
        <v>71114.0</v>
      </c>
      <c r="S100" s="111">
        <v>52.0</v>
      </c>
      <c r="T100" s="112">
        <v>37.0</v>
      </c>
      <c r="U100" s="24" t="s">
        <v>48</v>
      </c>
      <c r="V100" s="11" t="s">
        <v>3930</v>
      </c>
      <c r="W100" s="108">
        <v>5.0</v>
      </c>
      <c r="X100" s="113">
        <v>40915.0</v>
      </c>
      <c r="Y100" s="113">
        <v>91117.0</v>
      </c>
      <c r="Z100" s="11">
        <v>176.0</v>
      </c>
      <c r="AA100" s="113">
        <v>112613.0</v>
      </c>
      <c r="AB100" s="109">
        <v>-17119.01</v>
      </c>
      <c r="AC100" s="113">
        <v>62019.0</v>
      </c>
      <c r="AD100" s="108">
        <v>1.0</v>
      </c>
    </row>
    <row r="101">
      <c r="A101" s="11">
        <v>63.0</v>
      </c>
      <c r="B101" s="11">
        <v>3.0</v>
      </c>
      <c r="C101" s="11">
        <v>5.0</v>
      </c>
      <c r="D101" s="17">
        <v>48.0</v>
      </c>
      <c r="E101" s="108">
        <v>1.0</v>
      </c>
      <c r="F101" s="109">
        <v>-12399.7</v>
      </c>
      <c r="G101" s="109">
        <v>37378.32</v>
      </c>
      <c r="H101" s="109">
        <v>-29098.4</v>
      </c>
      <c r="I101" s="109">
        <v>78060.87</v>
      </c>
      <c r="J101" s="109">
        <v>-17480.71</v>
      </c>
      <c r="K101" s="109">
        <v>18183.61</v>
      </c>
      <c r="L101" s="109">
        <v>3228.3</v>
      </c>
      <c r="M101" s="109">
        <v>18883.39</v>
      </c>
      <c r="N101" s="110">
        <v>61510.0</v>
      </c>
      <c r="O101" s="110">
        <v>61030.0</v>
      </c>
      <c r="P101" s="110">
        <v>51823.0</v>
      </c>
      <c r="Q101" s="110">
        <v>63030.0</v>
      </c>
      <c r="R101" s="50">
        <v>52713.0</v>
      </c>
      <c r="S101" s="111">
        <v>55.0</v>
      </c>
      <c r="T101" s="112">
        <v>95.0</v>
      </c>
      <c r="U101" s="24" t="s">
        <v>31</v>
      </c>
      <c r="V101" s="11" t="s">
        <v>3935</v>
      </c>
      <c r="W101" s="108">
        <v>6.0</v>
      </c>
      <c r="X101" s="113">
        <v>61413.0</v>
      </c>
      <c r="Y101" s="113">
        <v>71622.0</v>
      </c>
      <c r="Z101" s="11">
        <v>162.0</v>
      </c>
      <c r="AA101" s="113">
        <v>101413.0</v>
      </c>
      <c r="AB101" s="109">
        <v>62119.9</v>
      </c>
      <c r="AC101" s="113">
        <v>121515.0</v>
      </c>
      <c r="AD101" s="108">
        <v>1.0</v>
      </c>
    </row>
    <row r="102">
      <c r="A102" s="11">
        <v>42.0</v>
      </c>
      <c r="B102" s="11">
        <v>8.0</v>
      </c>
      <c r="C102" s="11">
        <v>8.0</v>
      </c>
      <c r="D102" s="17">
        <v>2.0</v>
      </c>
      <c r="E102" s="108">
        <v>9.0</v>
      </c>
      <c r="F102" s="109">
        <v>-55571.8</v>
      </c>
      <c r="G102" s="109">
        <v>64823.44</v>
      </c>
      <c r="H102" s="109">
        <v>48844.94</v>
      </c>
      <c r="I102" s="109">
        <v>85491.5</v>
      </c>
      <c r="J102" s="109">
        <v>-63465.49</v>
      </c>
      <c r="K102" s="109">
        <v>-429.71</v>
      </c>
      <c r="L102" s="109">
        <v>91808.87</v>
      </c>
      <c r="M102" s="109">
        <v>19705.68</v>
      </c>
      <c r="N102" s="110">
        <v>120910.0</v>
      </c>
      <c r="O102" s="110">
        <v>120620.0</v>
      </c>
      <c r="P102" s="110">
        <v>51623.0</v>
      </c>
      <c r="Q102" s="110">
        <v>123119.0</v>
      </c>
      <c r="R102" s="50">
        <v>52113.0</v>
      </c>
      <c r="S102" s="111">
        <v>55.0</v>
      </c>
      <c r="T102" s="112">
        <v>44.0</v>
      </c>
      <c r="U102" s="24" t="s">
        <v>603</v>
      </c>
      <c r="V102" s="11" t="s">
        <v>3936</v>
      </c>
      <c r="W102" s="108">
        <v>2.0</v>
      </c>
      <c r="X102" s="113">
        <v>42415.0</v>
      </c>
      <c r="Y102" s="113">
        <v>72215.0</v>
      </c>
      <c r="Z102" s="11">
        <v>179.0</v>
      </c>
      <c r="AA102" s="113">
        <v>11423.0</v>
      </c>
      <c r="AB102" s="109">
        <v>98938.68</v>
      </c>
      <c r="AC102" s="113">
        <v>91622.0</v>
      </c>
      <c r="AD102" s="108">
        <v>0.0</v>
      </c>
    </row>
    <row r="103">
      <c r="A103" s="11">
        <v>22.0</v>
      </c>
      <c r="B103" s="11">
        <v>4.0</v>
      </c>
      <c r="C103" s="11">
        <v>1.0</v>
      </c>
      <c r="D103" s="17">
        <v>55.0</v>
      </c>
      <c r="E103" s="108">
        <v>8.0</v>
      </c>
      <c r="F103" s="109">
        <v>99056.93</v>
      </c>
      <c r="G103" s="109">
        <v>-23779.6</v>
      </c>
      <c r="H103" s="109">
        <v>23827.61</v>
      </c>
      <c r="I103" s="109">
        <v>-27106.08</v>
      </c>
      <c r="J103" s="109">
        <v>-25585.48</v>
      </c>
      <c r="K103" s="109">
        <v>-88026.7</v>
      </c>
      <c r="L103" s="109">
        <v>45602.74</v>
      </c>
      <c r="M103" s="109">
        <v>-34752.76</v>
      </c>
      <c r="N103" s="110">
        <v>30414.0</v>
      </c>
      <c r="O103" s="110">
        <v>30124.0</v>
      </c>
      <c r="P103" s="110">
        <v>50523.0</v>
      </c>
      <c r="Q103" s="110">
        <v>33124.0</v>
      </c>
      <c r="R103" s="50">
        <v>83020.0</v>
      </c>
      <c r="S103" s="111">
        <v>55.0</v>
      </c>
      <c r="T103" s="112">
        <v>68.0</v>
      </c>
      <c r="U103" s="24" t="s">
        <v>39</v>
      </c>
      <c r="V103" s="11" t="s">
        <v>3937</v>
      </c>
      <c r="W103" s="108">
        <v>8.0</v>
      </c>
      <c r="X103" s="113">
        <v>72214.0</v>
      </c>
      <c r="Y103" s="113">
        <v>33014.0</v>
      </c>
      <c r="Z103" s="11">
        <v>178.0</v>
      </c>
      <c r="AA103" s="113">
        <v>42816.0</v>
      </c>
      <c r="AB103" s="109">
        <v>61155.06</v>
      </c>
      <c r="AC103" s="113">
        <v>61514.0</v>
      </c>
      <c r="AD103" s="108">
        <v>3.0</v>
      </c>
    </row>
    <row r="104">
      <c r="A104" s="11">
        <v>63.0</v>
      </c>
      <c r="B104" s="11">
        <v>3.0</v>
      </c>
      <c r="C104" s="11">
        <v>9.0</v>
      </c>
      <c r="D104" s="17">
        <v>49.0</v>
      </c>
      <c r="E104" s="108">
        <v>4.0</v>
      </c>
      <c r="F104" s="109">
        <v>86459.33</v>
      </c>
      <c r="G104" s="109">
        <v>11817.24</v>
      </c>
      <c r="H104" s="109">
        <v>96595.49</v>
      </c>
      <c r="I104" s="109">
        <v>83857.09</v>
      </c>
      <c r="J104" s="109">
        <v>-3640.63</v>
      </c>
      <c r="K104" s="109">
        <v>19886.89</v>
      </c>
      <c r="L104" s="109">
        <v>80083.32</v>
      </c>
      <c r="M104" s="109">
        <v>-73945.62</v>
      </c>
      <c r="N104" s="110">
        <v>10114.0</v>
      </c>
      <c r="O104" s="110">
        <v>122543.0</v>
      </c>
      <c r="P104" s="110">
        <v>51223.0</v>
      </c>
      <c r="Q104" s="110">
        <v>123142.0</v>
      </c>
      <c r="R104" s="50">
        <v>32021.0</v>
      </c>
      <c r="S104" s="111">
        <v>50.0</v>
      </c>
      <c r="T104" s="112">
        <v>76.0</v>
      </c>
      <c r="U104" s="24" t="s">
        <v>48</v>
      </c>
      <c r="V104" s="11" t="s">
        <v>3913</v>
      </c>
      <c r="W104" s="108">
        <v>5.0</v>
      </c>
      <c r="X104" s="113">
        <v>22223.0</v>
      </c>
      <c r="Y104" s="113">
        <v>122017.0</v>
      </c>
      <c r="Z104" s="11">
        <v>196.0</v>
      </c>
      <c r="AA104" s="113">
        <v>93016.0</v>
      </c>
      <c r="AB104" s="109">
        <v>-2534.38</v>
      </c>
      <c r="AC104" s="113">
        <v>50621.0</v>
      </c>
      <c r="AD104" s="108">
        <v>4.0</v>
      </c>
    </row>
    <row r="105">
      <c r="A105" s="11">
        <v>42.0</v>
      </c>
      <c r="B105" s="11">
        <v>9.0</v>
      </c>
      <c r="C105" s="11">
        <v>2.0</v>
      </c>
      <c r="D105" s="17">
        <v>74.0</v>
      </c>
      <c r="E105" s="108">
        <v>9.0</v>
      </c>
      <c r="F105" s="109">
        <v>-56238.77</v>
      </c>
      <c r="G105" s="109">
        <v>-35694.58</v>
      </c>
      <c r="H105" s="109">
        <v>-74249.95</v>
      </c>
      <c r="I105" s="109">
        <v>-87304.15</v>
      </c>
      <c r="J105" s="109">
        <v>8257.58</v>
      </c>
      <c r="K105" s="109">
        <v>-55286.34</v>
      </c>
      <c r="L105" s="109">
        <v>99862.38</v>
      </c>
      <c r="M105" s="109">
        <v>98176.04</v>
      </c>
      <c r="N105" s="110">
        <v>110610.0</v>
      </c>
      <c r="O105" s="110">
        <v>110130.0</v>
      </c>
      <c r="P105" s="110">
        <v>51023.0</v>
      </c>
      <c r="Q105" s="110">
        <v>113030.0</v>
      </c>
      <c r="R105" s="50">
        <v>72019.0</v>
      </c>
      <c r="S105" s="111">
        <v>50.0</v>
      </c>
      <c r="T105" s="112">
        <v>37.0</v>
      </c>
      <c r="U105" s="24" t="s">
        <v>601</v>
      </c>
      <c r="V105" s="11" t="s">
        <v>3938</v>
      </c>
      <c r="W105" s="108">
        <v>5.0</v>
      </c>
      <c r="X105" s="113">
        <v>71123.0</v>
      </c>
      <c r="Y105" s="113">
        <v>120814.0</v>
      </c>
      <c r="Z105" s="11">
        <v>131.0</v>
      </c>
      <c r="AA105" s="113">
        <v>101721.0</v>
      </c>
      <c r="AB105" s="109">
        <v>31329.83</v>
      </c>
      <c r="AC105" s="113">
        <v>92313.0</v>
      </c>
      <c r="AD105" s="108">
        <v>8.0</v>
      </c>
    </row>
    <row r="106">
      <c r="A106" s="11">
        <v>63.0</v>
      </c>
      <c r="B106" s="11">
        <v>4.0</v>
      </c>
      <c r="C106" s="11">
        <v>1.0</v>
      </c>
      <c r="D106" s="17">
        <v>45.0</v>
      </c>
      <c r="E106" s="108">
        <v>5.0</v>
      </c>
      <c r="F106" s="109">
        <v>-44592.24</v>
      </c>
      <c r="G106" s="109">
        <v>87393.77</v>
      </c>
      <c r="H106" s="109">
        <v>13586.3</v>
      </c>
      <c r="I106" s="109">
        <v>-91028.11</v>
      </c>
      <c r="J106" s="109">
        <v>92947.39</v>
      </c>
      <c r="K106" s="109">
        <v>90747.58</v>
      </c>
      <c r="L106" s="109">
        <v>-85557.62</v>
      </c>
      <c r="M106" s="109">
        <v>88344.91</v>
      </c>
      <c r="N106" s="110">
        <v>100812.0</v>
      </c>
      <c r="O106" s="110">
        <v>100622.0</v>
      </c>
      <c r="P106" s="110">
        <v>51323.0</v>
      </c>
      <c r="Q106" s="110">
        <v>103122.0</v>
      </c>
      <c r="R106" s="50">
        <v>72515.0</v>
      </c>
      <c r="S106" s="111">
        <v>53.0</v>
      </c>
      <c r="T106" s="112">
        <v>17.0</v>
      </c>
      <c r="U106" s="24" t="s">
        <v>31</v>
      </c>
      <c r="V106" s="11" t="s">
        <v>3939</v>
      </c>
      <c r="W106" s="108">
        <v>9.0</v>
      </c>
      <c r="X106" s="113">
        <v>20519.0</v>
      </c>
      <c r="Y106" s="113">
        <v>71716.0</v>
      </c>
      <c r="Z106" s="11">
        <v>151.0</v>
      </c>
      <c r="AA106" s="113">
        <v>100822.0</v>
      </c>
      <c r="AB106" s="109">
        <v>-76125.35</v>
      </c>
      <c r="AC106" s="113">
        <v>31822.0</v>
      </c>
      <c r="AD106" s="108">
        <v>5.0</v>
      </c>
    </row>
    <row r="107">
      <c r="A107" s="11">
        <v>42.0</v>
      </c>
      <c r="B107" s="11">
        <v>9.0</v>
      </c>
      <c r="C107" s="11">
        <v>3.0</v>
      </c>
      <c r="D107" s="17">
        <v>45.0</v>
      </c>
      <c r="E107" s="108">
        <v>9.0</v>
      </c>
      <c r="F107" s="109">
        <v>-10397.63</v>
      </c>
      <c r="G107" s="109">
        <v>-98683.33</v>
      </c>
      <c r="H107" s="109">
        <v>27363.85</v>
      </c>
      <c r="I107" s="109">
        <v>-54333.18</v>
      </c>
      <c r="J107" s="109">
        <v>-79472.87</v>
      </c>
      <c r="K107" s="109">
        <v>-40870.3</v>
      </c>
      <c r="L107" s="109">
        <v>86322.85</v>
      </c>
      <c r="M107" s="109">
        <v>-41065.84</v>
      </c>
      <c r="N107" s="110">
        <v>60111.0</v>
      </c>
      <c r="O107" s="110">
        <v>52731.0</v>
      </c>
      <c r="P107" s="110">
        <v>51423.0</v>
      </c>
      <c r="Q107" s="110">
        <v>53131.0</v>
      </c>
      <c r="R107" s="50">
        <v>51514.0</v>
      </c>
      <c r="S107" s="111">
        <v>51.0</v>
      </c>
      <c r="T107" s="112">
        <v>95.0</v>
      </c>
      <c r="U107" s="24" t="s">
        <v>48</v>
      </c>
      <c r="V107" s="11" t="s">
        <v>3882</v>
      </c>
      <c r="W107" s="108">
        <v>8.0</v>
      </c>
      <c r="X107" s="113">
        <v>82621.0</v>
      </c>
      <c r="Y107" s="113">
        <v>101916.0</v>
      </c>
      <c r="Z107" s="11">
        <v>199.0</v>
      </c>
      <c r="AA107" s="113">
        <v>62916.0</v>
      </c>
      <c r="AB107" s="109">
        <v>54165.01</v>
      </c>
      <c r="AC107" s="113">
        <v>121915.0</v>
      </c>
      <c r="AD107" s="108">
        <v>0.0</v>
      </c>
    </row>
    <row r="108">
      <c r="A108" s="11">
        <v>22.0</v>
      </c>
      <c r="B108" s="11">
        <v>4.0</v>
      </c>
      <c r="C108" s="11">
        <v>6.0</v>
      </c>
      <c r="D108" s="17">
        <v>15.0</v>
      </c>
      <c r="E108" s="108">
        <v>6.0</v>
      </c>
      <c r="F108" s="109">
        <v>-89742.02</v>
      </c>
      <c r="G108" s="109">
        <v>12439.93</v>
      </c>
      <c r="H108" s="109">
        <v>10624.06</v>
      </c>
      <c r="I108" s="109">
        <v>86014.59</v>
      </c>
      <c r="J108" s="109">
        <v>-52996.6</v>
      </c>
      <c r="K108" s="109">
        <v>12454.09</v>
      </c>
      <c r="L108" s="109">
        <v>83043.47</v>
      </c>
      <c r="M108" s="109">
        <v>-17259.28</v>
      </c>
      <c r="N108" s="110">
        <v>122014.0</v>
      </c>
      <c r="O108" s="110">
        <v>121244.0</v>
      </c>
      <c r="P108" s="110">
        <v>51423.0</v>
      </c>
      <c r="Q108" s="110">
        <v>123143.0</v>
      </c>
      <c r="R108" s="50">
        <v>50221.0</v>
      </c>
      <c r="S108" s="111">
        <v>54.0</v>
      </c>
      <c r="T108" s="112">
        <v>52.0</v>
      </c>
      <c r="U108" s="24" t="s">
        <v>31</v>
      </c>
      <c r="V108" s="11" t="s">
        <v>3940</v>
      </c>
      <c r="W108" s="108">
        <v>2.0</v>
      </c>
      <c r="X108" s="113">
        <v>41415.0</v>
      </c>
      <c r="Y108" s="113">
        <v>11421.0</v>
      </c>
      <c r="Z108" s="11">
        <v>128.0</v>
      </c>
      <c r="AA108" s="113">
        <v>32921.0</v>
      </c>
      <c r="AB108" s="109">
        <v>-4981.98</v>
      </c>
      <c r="AC108" s="113">
        <v>50914.0</v>
      </c>
      <c r="AD108" s="108">
        <v>5.0</v>
      </c>
    </row>
    <row r="109">
      <c r="A109" s="11">
        <v>22.0</v>
      </c>
      <c r="B109" s="11">
        <v>4.0</v>
      </c>
      <c r="C109" s="11">
        <v>9.0</v>
      </c>
      <c r="D109" s="17">
        <v>28.0</v>
      </c>
      <c r="E109" s="108">
        <v>0.0</v>
      </c>
      <c r="F109" s="109">
        <v>3591.34</v>
      </c>
      <c r="G109" s="109">
        <v>31513.78</v>
      </c>
      <c r="H109" s="109">
        <v>-22676.18</v>
      </c>
      <c r="I109" s="109">
        <v>-27885.07</v>
      </c>
      <c r="J109" s="109">
        <v>73067.75</v>
      </c>
      <c r="K109" s="109">
        <v>-88889.89</v>
      </c>
      <c r="L109" s="109">
        <v>11781.65</v>
      </c>
      <c r="M109" s="109">
        <v>96634.71</v>
      </c>
      <c r="N109" s="110">
        <v>91811.0</v>
      </c>
      <c r="O109" s="110">
        <v>91521.0</v>
      </c>
      <c r="P109" s="110">
        <v>50123.0</v>
      </c>
      <c r="Q109" s="110">
        <v>93021.0</v>
      </c>
      <c r="R109" s="50">
        <v>121614.0</v>
      </c>
      <c r="S109" s="111">
        <v>52.0</v>
      </c>
      <c r="T109" s="112">
        <v>77.0</v>
      </c>
      <c r="U109" s="24" t="s">
        <v>48</v>
      </c>
      <c r="V109" s="11" t="s">
        <v>3941</v>
      </c>
      <c r="W109" s="108">
        <v>5.0</v>
      </c>
      <c r="X109" s="113">
        <v>63016.0</v>
      </c>
      <c r="Y109" s="113">
        <v>110615.0</v>
      </c>
      <c r="Z109" s="11">
        <v>140.0</v>
      </c>
      <c r="AA109" s="113">
        <v>62217.0</v>
      </c>
      <c r="AB109" s="109">
        <v>-83374.45</v>
      </c>
      <c r="AC109" s="113">
        <v>32214.0</v>
      </c>
      <c r="AD109" s="108">
        <v>3.0</v>
      </c>
    </row>
    <row r="110">
      <c r="A110" s="11">
        <v>22.0</v>
      </c>
      <c r="B110" s="11">
        <v>5.0</v>
      </c>
      <c r="C110" s="11">
        <v>2.0</v>
      </c>
      <c r="D110" s="17">
        <v>75.0</v>
      </c>
      <c r="E110" s="108">
        <v>9.0</v>
      </c>
      <c r="F110" s="109">
        <v>17332.12</v>
      </c>
      <c r="G110" s="109">
        <v>32511.72</v>
      </c>
      <c r="H110" s="109">
        <v>-59853.03</v>
      </c>
      <c r="I110" s="109">
        <v>59482.99</v>
      </c>
      <c r="J110" s="109">
        <v>-56258.59</v>
      </c>
      <c r="K110" s="109">
        <v>-43253.84</v>
      </c>
      <c r="L110" s="109">
        <v>77589.41</v>
      </c>
      <c r="M110" s="109">
        <v>534.09</v>
      </c>
      <c r="N110" s="110">
        <v>111010.0</v>
      </c>
      <c r="O110" s="110">
        <v>110720.0</v>
      </c>
      <c r="P110" s="110">
        <v>50923.0</v>
      </c>
      <c r="Q110" s="110">
        <v>113020.0</v>
      </c>
      <c r="R110" s="50">
        <v>40414.0</v>
      </c>
      <c r="S110" s="111">
        <v>50.0</v>
      </c>
      <c r="T110" s="112">
        <v>80.0</v>
      </c>
      <c r="U110" s="24" t="s">
        <v>48</v>
      </c>
      <c r="V110" s="11" t="s">
        <v>3942</v>
      </c>
      <c r="W110" s="108">
        <v>4.0</v>
      </c>
      <c r="X110" s="113">
        <v>10514.0</v>
      </c>
      <c r="Y110" s="113">
        <v>60119.0</v>
      </c>
      <c r="Z110" s="11">
        <v>196.0</v>
      </c>
      <c r="AA110" s="113">
        <v>33116.0</v>
      </c>
      <c r="AB110" s="109">
        <v>46937.61</v>
      </c>
      <c r="AC110" s="113">
        <v>11817.0</v>
      </c>
      <c r="AD110" s="108">
        <v>8.0</v>
      </c>
    </row>
    <row r="111">
      <c r="A111" s="11">
        <v>63.0</v>
      </c>
      <c r="B111" s="11">
        <v>5.0</v>
      </c>
      <c r="C111" s="11">
        <v>1.0</v>
      </c>
      <c r="D111" s="17">
        <v>91.0</v>
      </c>
      <c r="E111" s="108">
        <v>9.0</v>
      </c>
      <c r="F111" s="109">
        <v>-99810.39</v>
      </c>
      <c r="G111" s="109">
        <v>-28773.19</v>
      </c>
      <c r="H111" s="109">
        <v>31041.83</v>
      </c>
      <c r="I111" s="109">
        <v>-6268.9</v>
      </c>
      <c r="J111" s="109">
        <v>62114.02</v>
      </c>
      <c r="K111" s="109">
        <v>-62614.3</v>
      </c>
      <c r="L111" s="109">
        <v>28344.87</v>
      </c>
      <c r="M111" s="109">
        <v>71699.0</v>
      </c>
      <c r="N111" s="110">
        <v>30612.0</v>
      </c>
      <c r="O111" s="110">
        <v>30422.0</v>
      </c>
      <c r="P111" s="110">
        <v>52723.0</v>
      </c>
      <c r="Q111" s="110">
        <v>33122.0</v>
      </c>
      <c r="R111" s="50">
        <v>53122.0</v>
      </c>
      <c r="S111" s="111">
        <v>50.0</v>
      </c>
      <c r="T111" s="112">
        <v>89.0</v>
      </c>
      <c r="U111" s="24" t="s">
        <v>603</v>
      </c>
      <c r="V111" s="11" t="s">
        <v>3943</v>
      </c>
      <c r="W111" s="108">
        <v>2.0</v>
      </c>
      <c r="X111" s="113">
        <v>82122.0</v>
      </c>
      <c r="Y111" s="113">
        <v>72714.0</v>
      </c>
      <c r="Z111" s="11">
        <v>117.0</v>
      </c>
      <c r="AA111" s="113">
        <v>101116.0</v>
      </c>
      <c r="AB111" s="109">
        <v>43588.96</v>
      </c>
      <c r="AC111" s="113">
        <v>22520.0</v>
      </c>
      <c r="AD111" s="108">
        <v>0.0</v>
      </c>
    </row>
    <row r="112">
      <c r="A112" s="11">
        <v>22.0</v>
      </c>
      <c r="B112" s="11">
        <v>6.0</v>
      </c>
      <c r="C112" s="11">
        <v>4.0</v>
      </c>
      <c r="D112" s="17">
        <v>48.0</v>
      </c>
      <c r="E112" s="108">
        <v>1.0</v>
      </c>
      <c r="F112" s="109">
        <v>17477.34</v>
      </c>
      <c r="G112" s="109">
        <v>-62232.04</v>
      </c>
      <c r="H112" s="109">
        <v>23815.4</v>
      </c>
      <c r="I112" s="109">
        <v>-37829.09</v>
      </c>
      <c r="J112" s="109">
        <v>-37178.84</v>
      </c>
      <c r="K112" s="109">
        <v>-51181.49</v>
      </c>
      <c r="L112" s="109">
        <v>-7359.9</v>
      </c>
      <c r="M112" s="109">
        <v>36196.89</v>
      </c>
      <c r="N112" s="110">
        <v>52810.0</v>
      </c>
      <c r="O112" s="110">
        <v>52330.0</v>
      </c>
      <c r="P112" s="110">
        <v>52223.0</v>
      </c>
      <c r="Q112" s="110">
        <v>53130.0</v>
      </c>
      <c r="R112" s="50">
        <v>22315.0</v>
      </c>
      <c r="S112" s="111">
        <v>54.0</v>
      </c>
      <c r="T112" s="112">
        <v>39.0</v>
      </c>
      <c r="U112" s="24" t="s">
        <v>603</v>
      </c>
      <c r="V112" s="11" t="s">
        <v>3855</v>
      </c>
      <c r="W112" s="108">
        <v>7.0</v>
      </c>
      <c r="X112" s="113">
        <v>63020.0</v>
      </c>
      <c r="Y112" s="113">
        <v>12116.0</v>
      </c>
      <c r="Z112" s="11">
        <v>104.0</v>
      </c>
      <c r="AA112" s="113">
        <v>43122.0</v>
      </c>
      <c r="AB112" s="109">
        <v>92949.33</v>
      </c>
      <c r="AC112" s="113">
        <v>10122.0</v>
      </c>
      <c r="AD112" s="108">
        <v>0.0</v>
      </c>
    </row>
    <row r="113">
      <c r="A113" s="11">
        <v>63.0</v>
      </c>
      <c r="B113" s="11">
        <v>6.0</v>
      </c>
      <c r="C113" s="11">
        <v>1.0</v>
      </c>
      <c r="D113" s="17">
        <v>78.0</v>
      </c>
      <c r="E113" s="108">
        <v>8.0</v>
      </c>
      <c r="F113" s="109">
        <v>-73503.0</v>
      </c>
      <c r="G113" s="109">
        <v>71518.05</v>
      </c>
      <c r="H113" s="109">
        <v>-82319.32</v>
      </c>
      <c r="I113" s="109">
        <v>-17494.88</v>
      </c>
      <c r="J113" s="109">
        <v>24753.69</v>
      </c>
      <c r="K113" s="109">
        <v>57416.47</v>
      </c>
      <c r="L113" s="109">
        <v>-84090.63</v>
      </c>
      <c r="M113" s="109">
        <v>79566.71</v>
      </c>
      <c r="N113" s="110">
        <v>51011.0</v>
      </c>
      <c r="O113" s="110">
        <v>50721.0</v>
      </c>
      <c r="P113" s="110">
        <v>51023.0</v>
      </c>
      <c r="Q113" s="110">
        <v>53121.0</v>
      </c>
      <c r="R113" s="50">
        <v>112416.0</v>
      </c>
      <c r="S113" s="111">
        <v>53.0</v>
      </c>
      <c r="T113" s="112">
        <v>1.0</v>
      </c>
      <c r="U113" s="24" t="s">
        <v>39</v>
      </c>
      <c r="V113" s="11" t="s">
        <v>3906</v>
      </c>
      <c r="W113" s="108">
        <v>1.0</v>
      </c>
      <c r="X113" s="113">
        <v>112314.0</v>
      </c>
      <c r="Y113" s="113">
        <v>70117.0</v>
      </c>
      <c r="Z113" s="11">
        <v>166.0</v>
      </c>
      <c r="AA113" s="113">
        <v>61216.0</v>
      </c>
      <c r="AB113" s="109">
        <v>86839.28</v>
      </c>
      <c r="AC113" s="113">
        <v>111621.0</v>
      </c>
      <c r="AD113" s="108">
        <v>1.0</v>
      </c>
    </row>
    <row r="114">
      <c r="A114" s="11">
        <v>63.0</v>
      </c>
      <c r="B114" s="11">
        <v>6.0</v>
      </c>
      <c r="C114" s="11">
        <v>6.0</v>
      </c>
      <c r="D114" s="17">
        <v>67.0</v>
      </c>
      <c r="E114" s="108">
        <v>2.0</v>
      </c>
      <c r="F114" s="109">
        <v>56773.32</v>
      </c>
      <c r="G114" s="109">
        <v>-67422.27</v>
      </c>
      <c r="H114" s="109">
        <v>-57840.54</v>
      </c>
      <c r="I114" s="109">
        <v>71744.97</v>
      </c>
      <c r="J114" s="109">
        <v>-73555.56</v>
      </c>
      <c r="K114" s="109">
        <v>63179.94</v>
      </c>
      <c r="L114" s="109">
        <v>92668.81</v>
      </c>
      <c r="M114" s="109">
        <v>-63270.31</v>
      </c>
      <c r="N114" s="110">
        <v>80710.0</v>
      </c>
      <c r="O114" s="110">
        <v>80230.0</v>
      </c>
      <c r="P114" s="110">
        <v>52723.0</v>
      </c>
      <c r="Q114" s="110">
        <v>83130.0</v>
      </c>
      <c r="R114" s="50">
        <v>52421.0</v>
      </c>
      <c r="S114" s="111">
        <v>52.0</v>
      </c>
      <c r="T114" s="112">
        <v>68.0</v>
      </c>
      <c r="U114" s="24" t="s">
        <v>48</v>
      </c>
      <c r="V114" s="11" t="s">
        <v>3921</v>
      </c>
      <c r="W114" s="108">
        <v>6.0</v>
      </c>
      <c r="X114" s="113">
        <v>22813.0</v>
      </c>
      <c r="Y114" s="113">
        <v>52319.0</v>
      </c>
      <c r="Z114" s="11">
        <v>174.0</v>
      </c>
      <c r="AA114" s="113">
        <v>91218.0</v>
      </c>
      <c r="AB114" s="109">
        <v>61274.65</v>
      </c>
      <c r="AC114" s="113">
        <v>42413.0</v>
      </c>
      <c r="AD114" s="108">
        <v>5.0</v>
      </c>
    </row>
    <row r="115">
      <c r="A115" s="11">
        <v>43.0</v>
      </c>
      <c r="B115" s="11">
        <v>1.0</v>
      </c>
      <c r="C115" s="11">
        <v>8.0</v>
      </c>
      <c r="D115" s="17">
        <v>42.0</v>
      </c>
      <c r="E115" s="108">
        <v>7.0</v>
      </c>
      <c r="F115" s="109">
        <v>27951.05</v>
      </c>
      <c r="G115" s="109">
        <v>16068.68</v>
      </c>
      <c r="H115" s="109">
        <v>-74207.65</v>
      </c>
      <c r="I115" s="109">
        <v>63458.72</v>
      </c>
      <c r="J115" s="109">
        <v>-51903.42</v>
      </c>
      <c r="K115" s="109">
        <v>-2742.18</v>
      </c>
      <c r="L115" s="109">
        <v>48488.08</v>
      </c>
      <c r="M115" s="109">
        <v>91914.51</v>
      </c>
      <c r="N115" s="110">
        <v>63012.0</v>
      </c>
      <c r="O115" s="110">
        <v>62532.0</v>
      </c>
      <c r="P115" s="110">
        <v>52123.0</v>
      </c>
      <c r="Q115" s="110">
        <v>63032.0</v>
      </c>
      <c r="R115" s="50">
        <v>53014.0</v>
      </c>
      <c r="S115" s="111">
        <v>55.0</v>
      </c>
      <c r="T115" s="112">
        <v>99.0</v>
      </c>
      <c r="U115" s="24" t="s">
        <v>39</v>
      </c>
      <c r="V115" s="11" t="s">
        <v>3944</v>
      </c>
      <c r="W115" s="108">
        <v>5.0</v>
      </c>
      <c r="X115" s="113">
        <v>112213.0</v>
      </c>
      <c r="Y115" s="113">
        <v>80816.0</v>
      </c>
      <c r="Z115" s="11">
        <v>123.0</v>
      </c>
      <c r="AA115" s="113">
        <v>91216.0</v>
      </c>
      <c r="AB115" s="109">
        <v>53161.9</v>
      </c>
      <c r="AC115" s="113">
        <v>81523.0</v>
      </c>
      <c r="AD115" s="108">
        <v>6.0</v>
      </c>
    </row>
    <row r="116">
      <c r="A116" s="11">
        <v>84.0</v>
      </c>
      <c r="B116" s="11">
        <v>1.0</v>
      </c>
      <c r="C116" s="11">
        <v>7.0</v>
      </c>
      <c r="D116" s="17">
        <v>87.0</v>
      </c>
      <c r="E116" s="108">
        <v>2.0</v>
      </c>
      <c r="F116" s="109">
        <v>40719.0</v>
      </c>
      <c r="G116" s="109">
        <v>7079.83</v>
      </c>
      <c r="H116" s="109">
        <v>79576.45</v>
      </c>
      <c r="I116" s="109">
        <v>22635.63</v>
      </c>
      <c r="J116" s="109">
        <v>69192.81</v>
      </c>
      <c r="K116" s="109">
        <v>37637.78</v>
      </c>
      <c r="L116" s="109">
        <v>-33043.75</v>
      </c>
      <c r="M116" s="109">
        <v>-19564.67</v>
      </c>
      <c r="N116" s="110">
        <v>52112.0</v>
      </c>
      <c r="O116" s="110">
        <v>51632.0</v>
      </c>
      <c r="P116" s="110">
        <v>52723.0</v>
      </c>
      <c r="Q116" s="110">
        <v>53132.0</v>
      </c>
      <c r="R116" s="50">
        <v>42119.0</v>
      </c>
      <c r="S116" s="111">
        <v>54.0</v>
      </c>
      <c r="T116" s="112">
        <v>11.0</v>
      </c>
      <c r="U116" s="24" t="s">
        <v>603</v>
      </c>
      <c r="V116" s="11" t="s">
        <v>3945</v>
      </c>
      <c r="W116" s="108">
        <v>2.0</v>
      </c>
      <c r="X116" s="113">
        <v>91123.0</v>
      </c>
      <c r="Y116" s="113">
        <v>80221.0</v>
      </c>
      <c r="Z116" s="11">
        <v>198.0</v>
      </c>
      <c r="AA116" s="113">
        <v>90320.0</v>
      </c>
      <c r="AB116" s="109">
        <v>14838.26</v>
      </c>
      <c r="AC116" s="113">
        <v>72321.0</v>
      </c>
      <c r="AD116" s="108">
        <v>5.0</v>
      </c>
    </row>
    <row r="117">
      <c r="A117" s="11">
        <v>84.0</v>
      </c>
      <c r="B117" s="11">
        <v>1.0</v>
      </c>
      <c r="C117" s="11">
        <v>8.0</v>
      </c>
      <c r="D117" s="17">
        <v>47.0</v>
      </c>
      <c r="E117" s="108">
        <v>2.0</v>
      </c>
      <c r="F117" s="109">
        <v>24741.02</v>
      </c>
      <c r="G117" s="109">
        <v>-10438.27</v>
      </c>
      <c r="H117" s="109">
        <v>-15172.61</v>
      </c>
      <c r="I117" s="109">
        <v>-96675.04</v>
      </c>
      <c r="J117" s="109">
        <v>21106.54</v>
      </c>
      <c r="K117" s="109">
        <v>62668.94</v>
      </c>
      <c r="L117" s="109">
        <v>-73770.07</v>
      </c>
      <c r="M117" s="109">
        <v>-8354.28</v>
      </c>
      <c r="N117" s="110">
        <v>21311.0</v>
      </c>
      <c r="O117" s="110">
        <v>20541.0</v>
      </c>
      <c r="P117" s="110">
        <v>51723.0</v>
      </c>
      <c r="Q117" s="110">
        <v>22841.0</v>
      </c>
      <c r="R117" s="50">
        <v>60216.0</v>
      </c>
      <c r="S117" s="111">
        <v>51.0</v>
      </c>
      <c r="T117" s="112">
        <v>97.0</v>
      </c>
      <c r="U117" s="24" t="s">
        <v>601</v>
      </c>
      <c r="V117" s="11" t="s">
        <v>3942</v>
      </c>
      <c r="W117" s="108">
        <v>6.0</v>
      </c>
      <c r="X117" s="113">
        <v>72015.0</v>
      </c>
      <c r="Y117" s="113">
        <v>40821.0</v>
      </c>
      <c r="Z117" s="11">
        <v>125.0</v>
      </c>
      <c r="AA117" s="113">
        <v>111020.0</v>
      </c>
      <c r="AB117" s="109">
        <v>93129.89</v>
      </c>
      <c r="AC117" s="113">
        <v>70513.0</v>
      </c>
      <c r="AD117" s="108">
        <v>1.0</v>
      </c>
    </row>
    <row r="118">
      <c r="A118" s="11">
        <v>84.0</v>
      </c>
      <c r="B118" s="11">
        <v>1.0</v>
      </c>
      <c r="C118" s="11">
        <v>9.0</v>
      </c>
      <c r="D118" s="17">
        <v>8.0</v>
      </c>
      <c r="E118" s="108">
        <v>6.0</v>
      </c>
      <c r="F118" s="109">
        <v>2520.9</v>
      </c>
      <c r="G118" s="109">
        <v>86037.55</v>
      </c>
      <c r="H118" s="109">
        <v>-86926.2</v>
      </c>
      <c r="I118" s="109">
        <v>94659.23</v>
      </c>
      <c r="J118" s="109">
        <v>97781.28</v>
      </c>
      <c r="K118" s="109">
        <v>27585.35</v>
      </c>
      <c r="L118" s="109">
        <v>46599.73</v>
      </c>
      <c r="M118" s="109">
        <v>89200.08</v>
      </c>
      <c r="N118" s="110">
        <v>80411.0</v>
      </c>
      <c r="O118" s="110">
        <v>80121.0</v>
      </c>
      <c r="P118" s="110">
        <v>50323.0</v>
      </c>
      <c r="Q118" s="110">
        <v>83121.0</v>
      </c>
      <c r="R118" s="50">
        <v>72021.0</v>
      </c>
      <c r="S118" s="111">
        <v>53.0</v>
      </c>
      <c r="T118" s="112">
        <v>26.0</v>
      </c>
      <c r="U118" s="24" t="s">
        <v>31</v>
      </c>
      <c r="V118" s="11" t="s">
        <v>3946</v>
      </c>
      <c r="W118" s="108">
        <v>9.0</v>
      </c>
      <c r="X118" s="113">
        <v>63113.0</v>
      </c>
      <c r="Y118" s="113">
        <v>60123.0</v>
      </c>
      <c r="Z118" s="11">
        <v>109.0</v>
      </c>
      <c r="AA118" s="113">
        <v>91319.0</v>
      </c>
      <c r="AB118" s="109">
        <v>-94914.33</v>
      </c>
      <c r="AC118" s="113">
        <v>41913.0</v>
      </c>
      <c r="AD118" s="108">
        <v>7.0</v>
      </c>
    </row>
    <row r="119">
      <c r="A119" s="11">
        <v>22.0</v>
      </c>
      <c r="B119" s="11">
        <v>7.0</v>
      </c>
      <c r="C119" s="11">
        <v>6.0</v>
      </c>
      <c r="D119" s="17">
        <v>6.0</v>
      </c>
      <c r="E119" s="108">
        <v>1.0</v>
      </c>
      <c r="F119" s="109">
        <v>12928.02</v>
      </c>
      <c r="G119" s="109">
        <v>72569.3</v>
      </c>
      <c r="H119" s="109">
        <v>-17508.61</v>
      </c>
      <c r="I119" s="109">
        <v>303.62</v>
      </c>
      <c r="J119" s="109">
        <v>-34270.15</v>
      </c>
      <c r="K119" s="109">
        <v>-12439.45</v>
      </c>
      <c r="L119" s="109">
        <v>87228.18</v>
      </c>
      <c r="M119" s="109">
        <v>6259.89</v>
      </c>
      <c r="N119" s="110">
        <v>80914.0</v>
      </c>
      <c r="O119" s="110">
        <v>80144.0</v>
      </c>
      <c r="P119" s="110">
        <v>52123.0</v>
      </c>
      <c r="Q119" s="110">
        <v>83144.0</v>
      </c>
      <c r="R119" s="50">
        <v>111722.0</v>
      </c>
      <c r="S119" s="111">
        <v>50.0</v>
      </c>
      <c r="T119" s="112">
        <v>46.0</v>
      </c>
      <c r="U119" s="24" t="s">
        <v>48</v>
      </c>
      <c r="V119" s="11" t="s">
        <v>3947</v>
      </c>
      <c r="W119" s="108">
        <v>9.0</v>
      </c>
      <c r="X119" s="113">
        <v>22414.0</v>
      </c>
      <c r="Y119" s="113">
        <v>91019.0</v>
      </c>
      <c r="Z119" s="11">
        <v>182.0</v>
      </c>
      <c r="AA119" s="113">
        <v>82619.0</v>
      </c>
      <c r="AB119" s="109">
        <v>-34988.9</v>
      </c>
      <c r="AC119" s="113">
        <v>81314.0</v>
      </c>
      <c r="AD119" s="108">
        <v>9.0</v>
      </c>
    </row>
    <row r="120">
      <c r="A120" s="11">
        <v>22.0</v>
      </c>
      <c r="B120" s="11">
        <v>7.0</v>
      </c>
      <c r="C120" s="11">
        <v>7.0</v>
      </c>
      <c r="D120" s="17">
        <v>76.0</v>
      </c>
      <c r="E120" s="108">
        <v>3.0</v>
      </c>
      <c r="F120" s="109">
        <v>12710.54</v>
      </c>
      <c r="G120" s="109">
        <v>-36950.93</v>
      </c>
      <c r="H120" s="109">
        <v>56893.61</v>
      </c>
      <c r="I120" s="109">
        <v>-32093.87</v>
      </c>
      <c r="J120" s="109">
        <v>17980.88</v>
      </c>
      <c r="K120" s="109">
        <v>-65588.96</v>
      </c>
      <c r="L120" s="109">
        <v>-25223.75</v>
      </c>
      <c r="M120" s="109">
        <v>-30418.07</v>
      </c>
      <c r="N120" s="110">
        <v>70510.0</v>
      </c>
      <c r="O120" s="110">
        <v>70220.0</v>
      </c>
      <c r="P120" s="110">
        <v>50523.0</v>
      </c>
      <c r="Q120" s="110">
        <v>73120.0</v>
      </c>
      <c r="R120" s="50">
        <v>90913.0</v>
      </c>
      <c r="S120" s="111">
        <v>53.0</v>
      </c>
      <c r="T120" s="112">
        <v>35.0</v>
      </c>
      <c r="U120" s="24" t="s">
        <v>48</v>
      </c>
      <c r="V120" s="11" t="s">
        <v>3948</v>
      </c>
      <c r="W120" s="108">
        <v>7.0</v>
      </c>
      <c r="X120" s="113">
        <v>42423.0</v>
      </c>
      <c r="Y120" s="113">
        <v>110921.0</v>
      </c>
      <c r="Z120" s="11">
        <v>138.0</v>
      </c>
      <c r="AA120" s="113">
        <v>110119.0</v>
      </c>
      <c r="AB120" s="109">
        <v>45892.47</v>
      </c>
      <c r="AC120" s="113">
        <v>91923.0</v>
      </c>
      <c r="AD120" s="108">
        <v>2.0</v>
      </c>
    </row>
    <row r="121">
      <c r="A121" s="11">
        <v>43.0</v>
      </c>
      <c r="B121" s="11">
        <v>2.0</v>
      </c>
      <c r="C121" s="11">
        <v>3.0</v>
      </c>
      <c r="D121" s="17">
        <v>55.0</v>
      </c>
      <c r="E121" s="108">
        <v>8.0</v>
      </c>
      <c r="F121" s="109">
        <v>28638.93</v>
      </c>
      <c r="G121" s="109">
        <v>-9020.08</v>
      </c>
      <c r="H121" s="109">
        <v>44771.74</v>
      </c>
      <c r="I121" s="109">
        <v>-11432.73</v>
      </c>
      <c r="J121" s="109">
        <v>34282.27</v>
      </c>
      <c r="K121" s="109">
        <v>8705.05</v>
      </c>
      <c r="L121" s="109">
        <v>-33016.21</v>
      </c>
      <c r="M121" s="109">
        <v>11711.77</v>
      </c>
      <c r="N121" s="110">
        <v>31310.0</v>
      </c>
      <c r="O121" s="110">
        <v>30540.0</v>
      </c>
      <c r="P121" s="110">
        <v>50323.0</v>
      </c>
      <c r="Q121" s="110">
        <v>33140.0</v>
      </c>
      <c r="R121" s="50">
        <v>10816.0</v>
      </c>
      <c r="S121" s="111">
        <v>53.0</v>
      </c>
      <c r="T121" s="112">
        <v>93.0</v>
      </c>
      <c r="U121" s="24" t="s">
        <v>601</v>
      </c>
      <c r="V121" s="11" t="s">
        <v>3865</v>
      </c>
      <c r="W121" s="108">
        <v>5.0</v>
      </c>
      <c r="X121" s="113">
        <v>121421.0</v>
      </c>
      <c r="Y121" s="113">
        <v>30518.0</v>
      </c>
      <c r="Z121" s="11">
        <v>179.0</v>
      </c>
      <c r="AA121" s="113">
        <v>72722.0</v>
      </c>
      <c r="AB121" s="109">
        <v>-82724.24</v>
      </c>
      <c r="AC121" s="113">
        <v>91118.0</v>
      </c>
      <c r="AD121" s="108">
        <v>2.0</v>
      </c>
    </row>
    <row r="122">
      <c r="A122" s="11">
        <v>81.0</v>
      </c>
      <c r="B122" s="11">
        <v>8.0</v>
      </c>
      <c r="C122" s="11">
        <v>7.0</v>
      </c>
      <c r="D122" s="17">
        <v>68.0</v>
      </c>
      <c r="E122" s="108">
        <v>8.0</v>
      </c>
      <c r="F122" s="109">
        <v>-43493.46</v>
      </c>
      <c r="G122" s="109">
        <v>77131.92</v>
      </c>
      <c r="H122" s="109">
        <v>-46320.62</v>
      </c>
      <c r="I122" s="109">
        <v>65068.59</v>
      </c>
      <c r="J122" s="109">
        <v>-82281.82</v>
      </c>
      <c r="K122" s="109">
        <v>92276.87</v>
      </c>
      <c r="L122" s="109">
        <v>-16587.54</v>
      </c>
      <c r="M122" s="109">
        <v>6561.44</v>
      </c>
      <c r="N122" s="110">
        <v>31312.0</v>
      </c>
      <c r="O122" s="110">
        <v>31122.0</v>
      </c>
      <c r="P122" s="110">
        <v>51123.0</v>
      </c>
      <c r="Q122" s="110">
        <v>33122.0</v>
      </c>
      <c r="R122" s="50">
        <v>120418.0</v>
      </c>
      <c r="S122" s="111">
        <v>51.0</v>
      </c>
      <c r="T122" s="112">
        <v>88.0</v>
      </c>
      <c r="U122" s="24" t="s">
        <v>48</v>
      </c>
      <c r="V122" s="11" t="s">
        <v>3949</v>
      </c>
      <c r="W122" s="108">
        <v>6.0</v>
      </c>
      <c r="X122" s="113">
        <v>110821.0</v>
      </c>
      <c r="Y122" s="113">
        <v>82922.0</v>
      </c>
      <c r="Z122" s="11">
        <v>176.0</v>
      </c>
      <c r="AA122" s="113">
        <v>80214.0</v>
      </c>
      <c r="AB122" s="109">
        <v>-99391.4</v>
      </c>
      <c r="AC122" s="113">
        <v>20422.0</v>
      </c>
      <c r="AD122" s="108">
        <v>2.0</v>
      </c>
    </row>
    <row r="123">
      <c r="A123" s="11">
        <v>63.0</v>
      </c>
      <c r="B123" s="11">
        <v>8.0</v>
      </c>
      <c r="C123" s="11">
        <v>2.0</v>
      </c>
      <c r="D123" s="17">
        <v>28.0</v>
      </c>
      <c r="E123" s="108">
        <v>8.0</v>
      </c>
      <c r="F123" s="109">
        <v>-86189.72</v>
      </c>
      <c r="G123" s="109">
        <v>54326.4</v>
      </c>
      <c r="H123" s="109">
        <v>89171.41</v>
      </c>
      <c r="I123" s="109">
        <v>-52314.14</v>
      </c>
      <c r="J123" s="109">
        <v>-71035.32</v>
      </c>
      <c r="K123" s="109">
        <v>68476.64</v>
      </c>
      <c r="L123" s="109">
        <v>95643.53</v>
      </c>
      <c r="M123" s="109">
        <v>2914.78</v>
      </c>
      <c r="N123" s="110">
        <v>62411.0</v>
      </c>
      <c r="O123" s="110">
        <v>61641.0</v>
      </c>
      <c r="P123" s="110">
        <v>52523.0</v>
      </c>
      <c r="Q123" s="110">
        <v>63041.0</v>
      </c>
      <c r="R123" s="50">
        <v>102016.0</v>
      </c>
      <c r="S123" s="111">
        <v>52.0</v>
      </c>
      <c r="T123" s="112">
        <v>9.0</v>
      </c>
      <c r="U123" s="24" t="s">
        <v>39</v>
      </c>
      <c r="V123" s="11" t="s">
        <v>3950</v>
      </c>
      <c r="W123" s="108">
        <v>2.0</v>
      </c>
      <c r="X123" s="113">
        <v>90622.0</v>
      </c>
      <c r="Y123" s="113">
        <v>52419.0</v>
      </c>
      <c r="Z123" s="11">
        <v>152.0</v>
      </c>
      <c r="AA123" s="113">
        <v>51415.0</v>
      </c>
      <c r="AB123" s="109">
        <v>-41689.91</v>
      </c>
      <c r="AC123" s="113">
        <v>82320.0</v>
      </c>
      <c r="AD123" s="108">
        <v>4.0</v>
      </c>
    </row>
    <row r="124">
      <c r="A124" s="11">
        <v>43.0</v>
      </c>
      <c r="B124" s="11">
        <v>3.0</v>
      </c>
      <c r="C124" s="11">
        <v>6.0</v>
      </c>
      <c r="D124" s="17">
        <v>12.0</v>
      </c>
      <c r="E124" s="108">
        <v>0.0</v>
      </c>
      <c r="F124" s="109">
        <v>-97472.92</v>
      </c>
      <c r="G124" s="109">
        <v>-67621.94</v>
      </c>
      <c r="H124" s="109">
        <v>-64655.5</v>
      </c>
      <c r="I124" s="109">
        <v>-36724.24</v>
      </c>
      <c r="J124" s="109">
        <v>-63532.31</v>
      </c>
      <c r="K124" s="109">
        <v>97983.37</v>
      </c>
      <c r="L124" s="109">
        <v>-16530.54</v>
      </c>
      <c r="M124" s="109">
        <v>-21148.67</v>
      </c>
      <c r="N124" s="110">
        <v>122711.0</v>
      </c>
      <c r="O124" s="110">
        <v>121941.0</v>
      </c>
      <c r="P124" s="110">
        <v>52623.0</v>
      </c>
      <c r="Q124" s="110">
        <v>123140.0</v>
      </c>
      <c r="R124" s="50">
        <v>113017.0</v>
      </c>
      <c r="S124" s="111">
        <v>53.0</v>
      </c>
      <c r="T124" s="112">
        <v>26.0</v>
      </c>
      <c r="U124" s="24" t="s">
        <v>48</v>
      </c>
      <c r="V124" s="11" t="s">
        <v>3951</v>
      </c>
      <c r="W124" s="108">
        <v>9.0</v>
      </c>
      <c r="X124" s="113">
        <v>72415.0</v>
      </c>
      <c r="Y124" s="113">
        <v>20521.0</v>
      </c>
      <c r="Z124" s="11">
        <v>160.0</v>
      </c>
      <c r="AA124" s="113">
        <v>113116.0</v>
      </c>
      <c r="AB124" s="109">
        <v>69930.12</v>
      </c>
      <c r="AC124" s="113">
        <v>81721.0</v>
      </c>
      <c r="AD124" s="108">
        <v>9.0</v>
      </c>
    </row>
    <row r="125">
      <c r="A125" s="11">
        <v>22.0</v>
      </c>
      <c r="B125" s="11">
        <v>9.0</v>
      </c>
      <c r="C125" s="11">
        <v>2.0</v>
      </c>
      <c r="D125" s="17">
        <v>63.0</v>
      </c>
      <c r="E125" s="108">
        <v>1.0</v>
      </c>
      <c r="F125" s="109">
        <v>-86222.65</v>
      </c>
      <c r="G125" s="109">
        <v>-63051.85</v>
      </c>
      <c r="H125" s="109">
        <v>35580.62</v>
      </c>
      <c r="I125" s="109">
        <v>-8298.18</v>
      </c>
      <c r="J125" s="109">
        <v>-16361.78</v>
      </c>
      <c r="K125" s="109">
        <v>-21065.22</v>
      </c>
      <c r="L125" s="109">
        <v>15004.5</v>
      </c>
      <c r="M125" s="109">
        <v>-99371.15</v>
      </c>
      <c r="N125" s="110">
        <v>110512.0</v>
      </c>
      <c r="O125" s="110">
        <v>102942.0</v>
      </c>
      <c r="P125" s="110">
        <v>50723.0</v>
      </c>
      <c r="Q125" s="110">
        <v>103142.0</v>
      </c>
      <c r="R125" s="50">
        <v>80718.0</v>
      </c>
      <c r="S125" s="111">
        <v>53.0</v>
      </c>
      <c r="T125" s="112">
        <v>34.0</v>
      </c>
      <c r="U125" s="24" t="s">
        <v>603</v>
      </c>
      <c r="V125" s="11" t="s">
        <v>3952</v>
      </c>
      <c r="W125" s="108">
        <v>7.0</v>
      </c>
      <c r="X125" s="113">
        <v>110116.0</v>
      </c>
      <c r="Y125" s="113">
        <v>102716.0</v>
      </c>
      <c r="Z125" s="11">
        <v>153.0</v>
      </c>
      <c r="AA125" s="113">
        <v>92216.0</v>
      </c>
      <c r="AB125" s="109">
        <v>36920.3</v>
      </c>
      <c r="AC125" s="113">
        <v>91818.0</v>
      </c>
      <c r="AD125" s="108">
        <v>4.0</v>
      </c>
    </row>
    <row r="126">
      <c r="A126" s="11">
        <v>43.0</v>
      </c>
      <c r="B126" s="11">
        <v>4.0</v>
      </c>
      <c r="C126" s="11">
        <v>2.0</v>
      </c>
      <c r="D126" s="17">
        <v>80.0</v>
      </c>
      <c r="E126" s="108">
        <v>3.0</v>
      </c>
      <c r="F126" s="109">
        <v>-44413.27</v>
      </c>
      <c r="G126" s="109">
        <v>-50444.41</v>
      </c>
      <c r="H126" s="109">
        <v>38238.34</v>
      </c>
      <c r="I126" s="109">
        <v>-97369.89</v>
      </c>
      <c r="J126" s="109">
        <v>5263.32</v>
      </c>
      <c r="K126" s="109">
        <v>86644.71</v>
      </c>
      <c r="L126" s="109">
        <v>-5000.65</v>
      </c>
      <c r="M126" s="109">
        <v>32448.49</v>
      </c>
      <c r="N126" s="110">
        <v>71410.0</v>
      </c>
      <c r="O126" s="110">
        <v>70640.0</v>
      </c>
      <c r="P126" s="110">
        <v>51123.0</v>
      </c>
      <c r="Q126" s="110">
        <v>73140.0</v>
      </c>
      <c r="R126" s="50">
        <v>50818.0</v>
      </c>
      <c r="S126" s="111">
        <v>53.0</v>
      </c>
      <c r="T126" s="112">
        <v>26.0</v>
      </c>
      <c r="U126" s="24" t="s">
        <v>39</v>
      </c>
      <c r="V126" s="11" t="s">
        <v>3953</v>
      </c>
      <c r="W126" s="108">
        <v>4.0</v>
      </c>
      <c r="X126" s="113">
        <v>22020.0</v>
      </c>
      <c r="Y126" s="113">
        <v>21922.0</v>
      </c>
      <c r="Z126" s="11">
        <v>163.0</v>
      </c>
      <c r="AA126" s="113">
        <v>12020.0</v>
      </c>
      <c r="AB126" s="109">
        <v>-60083.99</v>
      </c>
      <c r="AC126" s="113">
        <v>101916.0</v>
      </c>
      <c r="AD126" s="108">
        <v>3.0</v>
      </c>
    </row>
    <row r="127">
      <c r="A127" s="11">
        <v>84.0</v>
      </c>
      <c r="B127" s="11">
        <v>4.0</v>
      </c>
      <c r="C127" s="11">
        <v>1.0</v>
      </c>
      <c r="D127" s="17">
        <v>84.0</v>
      </c>
      <c r="E127" s="108">
        <v>6.0</v>
      </c>
      <c r="F127" s="109">
        <v>-67802.3</v>
      </c>
      <c r="G127" s="109">
        <v>-86641.6</v>
      </c>
      <c r="H127" s="109">
        <v>-6641.7</v>
      </c>
      <c r="I127" s="109">
        <v>79319.25</v>
      </c>
      <c r="J127" s="109">
        <v>-15943.15</v>
      </c>
      <c r="K127" s="109">
        <v>-68242.69</v>
      </c>
      <c r="L127" s="109">
        <v>32177.25</v>
      </c>
      <c r="M127" s="109">
        <v>-92920.72</v>
      </c>
      <c r="N127" s="110">
        <v>102014.0</v>
      </c>
      <c r="O127" s="110">
        <v>101244.0</v>
      </c>
      <c r="P127" s="110">
        <v>52723.0</v>
      </c>
      <c r="Q127" s="110">
        <v>103144.0</v>
      </c>
      <c r="R127" s="50">
        <v>22515.0</v>
      </c>
      <c r="S127" s="111">
        <v>53.0</v>
      </c>
      <c r="T127" s="112">
        <v>10.0</v>
      </c>
      <c r="U127" s="24" t="s">
        <v>601</v>
      </c>
      <c r="V127" s="11" t="s">
        <v>3954</v>
      </c>
      <c r="W127" s="108">
        <v>8.0</v>
      </c>
      <c r="X127" s="113">
        <v>21322.0</v>
      </c>
      <c r="Y127" s="113">
        <v>101814.0</v>
      </c>
      <c r="Z127" s="11">
        <v>102.0</v>
      </c>
      <c r="AA127" s="113">
        <v>12817.0</v>
      </c>
      <c r="AB127" s="109">
        <v>26153.75</v>
      </c>
      <c r="AC127" s="113">
        <v>101313.0</v>
      </c>
      <c r="AD127" s="108">
        <v>9.0</v>
      </c>
    </row>
    <row r="128">
      <c r="A128" s="11">
        <v>63.0</v>
      </c>
      <c r="B128" s="11">
        <v>9.0</v>
      </c>
      <c r="C128" s="11">
        <v>5.0</v>
      </c>
      <c r="D128" s="17">
        <v>27.0</v>
      </c>
      <c r="E128" s="108">
        <v>9.0</v>
      </c>
      <c r="F128" s="109">
        <v>-22392.03</v>
      </c>
      <c r="G128" s="109">
        <v>23928.59</v>
      </c>
      <c r="H128" s="109">
        <v>96127.46</v>
      </c>
      <c r="I128" s="109">
        <v>-91711.4</v>
      </c>
      <c r="J128" s="109">
        <v>-28888.46</v>
      </c>
      <c r="K128" s="109">
        <v>61093.32</v>
      </c>
      <c r="L128" s="109">
        <v>-8879.38</v>
      </c>
      <c r="M128" s="109">
        <v>78988.77</v>
      </c>
      <c r="N128" s="110">
        <v>123010.0</v>
      </c>
      <c r="O128" s="110">
        <v>122720.0</v>
      </c>
      <c r="P128" s="110">
        <v>51223.0</v>
      </c>
      <c r="Q128" s="110">
        <v>123119.0</v>
      </c>
      <c r="R128" s="50">
        <v>33119.0</v>
      </c>
      <c r="S128" s="111">
        <v>50.0</v>
      </c>
      <c r="T128" s="112">
        <v>30.0</v>
      </c>
      <c r="U128" s="24" t="s">
        <v>48</v>
      </c>
      <c r="V128" s="11" t="s">
        <v>3955</v>
      </c>
      <c r="W128" s="108">
        <v>7.0</v>
      </c>
      <c r="X128" s="113">
        <v>63115.0</v>
      </c>
      <c r="Y128" s="113">
        <v>100122.0</v>
      </c>
      <c r="Z128" s="11">
        <v>150.0</v>
      </c>
      <c r="AA128" s="113">
        <v>120122.0</v>
      </c>
      <c r="AB128" s="109">
        <v>-91185.72</v>
      </c>
      <c r="AC128" s="113">
        <v>100323.0</v>
      </c>
      <c r="AD128" s="108">
        <v>0.0</v>
      </c>
    </row>
    <row r="129">
      <c r="A129" s="11">
        <v>43.0</v>
      </c>
      <c r="B129" s="11">
        <v>4.0</v>
      </c>
      <c r="C129" s="11">
        <v>8.0</v>
      </c>
      <c r="D129" s="17">
        <v>94.0</v>
      </c>
      <c r="E129" s="108">
        <v>7.0</v>
      </c>
      <c r="F129" s="109">
        <v>88600.02</v>
      </c>
      <c r="G129" s="109">
        <v>91627.31</v>
      </c>
      <c r="H129" s="109">
        <v>-33358.43</v>
      </c>
      <c r="I129" s="109">
        <v>-37249.7</v>
      </c>
      <c r="J129" s="109">
        <v>67881.55</v>
      </c>
      <c r="K129" s="109">
        <v>-13256.0</v>
      </c>
      <c r="L129" s="109">
        <v>3062.25</v>
      </c>
      <c r="M129" s="109">
        <v>-67114.5</v>
      </c>
      <c r="N129" s="110">
        <v>120412.0</v>
      </c>
      <c r="O129" s="110">
        <v>112742.0</v>
      </c>
      <c r="P129" s="110">
        <v>51023.0</v>
      </c>
      <c r="Q129" s="110">
        <v>113042.0</v>
      </c>
      <c r="R129" s="50">
        <v>122715.0</v>
      </c>
      <c r="S129" s="111">
        <v>53.0</v>
      </c>
      <c r="T129" s="112">
        <v>22.0</v>
      </c>
      <c r="U129" s="24" t="s">
        <v>48</v>
      </c>
      <c r="V129" s="11" t="s">
        <v>3855</v>
      </c>
      <c r="W129" s="108">
        <v>5.0</v>
      </c>
      <c r="X129" s="113">
        <v>50613.0</v>
      </c>
      <c r="Y129" s="113">
        <v>10223.0</v>
      </c>
      <c r="Z129" s="11">
        <v>187.0</v>
      </c>
      <c r="AA129" s="113">
        <v>92514.0</v>
      </c>
      <c r="AB129" s="109">
        <v>11960.31</v>
      </c>
      <c r="AC129" s="113">
        <v>22516.0</v>
      </c>
      <c r="AD129" s="108">
        <v>9.0</v>
      </c>
    </row>
    <row r="130">
      <c r="A130" s="11">
        <v>43.0</v>
      </c>
      <c r="B130" s="11">
        <v>4.0</v>
      </c>
      <c r="C130" s="11">
        <v>9.0</v>
      </c>
      <c r="D130" s="17">
        <v>20.0</v>
      </c>
      <c r="E130" s="108">
        <v>6.0</v>
      </c>
      <c r="F130" s="109">
        <v>28847.06</v>
      </c>
      <c r="G130" s="109">
        <v>11990.3</v>
      </c>
      <c r="H130" s="109">
        <v>-10286.11</v>
      </c>
      <c r="I130" s="109">
        <v>83846.0</v>
      </c>
      <c r="J130" s="109">
        <v>26357.43</v>
      </c>
      <c r="K130" s="109">
        <v>-57399.87</v>
      </c>
      <c r="L130" s="109">
        <v>40066.43</v>
      </c>
      <c r="M130" s="109">
        <v>11684.66</v>
      </c>
      <c r="N130" s="110">
        <v>10713.0</v>
      </c>
      <c r="O130" s="110">
        <v>123142.0</v>
      </c>
      <c r="P130" s="110">
        <v>52223.0</v>
      </c>
      <c r="Q130" s="110">
        <v>123141.0</v>
      </c>
      <c r="R130" s="50">
        <v>21718.0</v>
      </c>
      <c r="S130" s="111">
        <v>55.0</v>
      </c>
      <c r="T130" s="112">
        <v>37.0</v>
      </c>
      <c r="U130" s="24" t="s">
        <v>48</v>
      </c>
      <c r="V130" s="11" t="s">
        <v>3948</v>
      </c>
      <c r="W130" s="108">
        <v>5.0</v>
      </c>
      <c r="X130" s="113">
        <v>60714.0</v>
      </c>
      <c r="Y130" s="113">
        <v>22514.0</v>
      </c>
      <c r="Z130" s="11">
        <v>142.0</v>
      </c>
      <c r="AA130" s="113">
        <v>83120.0</v>
      </c>
      <c r="AB130" s="109">
        <v>87655.79</v>
      </c>
      <c r="AC130" s="113">
        <v>72713.0</v>
      </c>
      <c r="AD130" s="108">
        <v>0.0</v>
      </c>
    </row>
    <row r="131">
      <c r="A131" s="11">
        <v>84.0</v>
      </c>
      <c r="B131" s="11">
        <v>4.0</v>
      </c>
      <c r="C131" s="11">
        <v>5.0</v>
      </c>
      <c r="D131" s="17">
        <v>50.0</v>
      </c>
      <c r="E131" s="108">
        <v>2.0</v>
      </c>
      <c r="F131" s="109">
        <v>8974.75</v>
      </c>
      <c r="G131" s="109">
        <v>75999.05</v>
      </c>
      <c r="H131" s="109">
        <v>75994.95</v>
      </c>
      <c r="I131" s="109">
        <v>-33561.1</v>
      </c>
      <c r="J131" s="109">
        <v>-51961.35</v>
      </c>
      <c r="K131" s="109">
        <v>44272.85</v>
      </c>
      <c r="L131" s="109">
        <v>-59383.15</v>
      </c>
      <c r="M131" s="109">
        <v>-77869.34</v>
      </c>
      <c r="N131" s="110">
        <v>40813.0</v>
      </c>
      <c r="O131" s="110">
        <v>40143.0</v>
      </c>
      <c r="P131" s="110">
        <v>51423.0</v>
      </c>
      <c r="Q131" s="110">
        <v>43043.0</v>
      </c>
      <c r="R131" s="50">
        <v>61519.0</v>
      </c>
      <c r="S131" s="111">
        <v>50.0</v>
      </c>
      <c r="T131" s="112">
        <v>77.0</v>
      </c>
      <c r="U131" s="24" t="s">
        <v>48</v>
      </c>
      <c r="V131" s="11" t="s">
        <v>3956</v>
      </c>
      <c r="W131" s="108">
        <v>9.0</v>
      </c>
      <c r="X131" s="113">
        <v>91516.0</v>
      </c>
      <c r="Y131" s="113">
        <v>31817.0</v>
      </c>
      <c r="Z131" s="11">
        <v>138.0</v>
      </c>
      <c r="AA131" s="113">
        <v>31513.0</v>
      </c>
      <c r="AB131" s="109">
        <v>-48238.06</v>
      </c>
      <c r="AC131" s="113">
        <v>80919.0</v>
      </c>
      <c r="AD131" s="108">
        <v>3.0</v>
      </c>
    </row>
    <row r="132">
      <c r="A132" s="11">
        <v>63.0</v>
      </c>
      <c r="B132" s="11">
        <v>9.0</v>
      </c>
      <c r="C132" s="11">
        <v>8.0</v>
      </c>
      <c r="D132" s="17">
        <v>91.0</v>
      </c>
      <c r="E132" s="108">
        <v>5.0</v>
      </c>
      <c r="F132" s="109">
        <v>-19115.57</v>
      </c>
      <c r="G132" s="109">
        <v>97447.67</v>
      </c>
      <c r="H132" s="109">
        <v>-93438.08</v>
      </c>
      <c r="I132" s="109">
        <v>-17819.93</v>
      </c>
      <c r="J132" s="109">
        <v>-34494.9</v>
      </c>
      <c r="K132" s="109">
        <v>-17757.77</v>
      </c>
      <c r="L132" s="109">
        <v>-32411.3</v>
      </c>
      <c r="M132" s="109">
        <v>22144.08</v>
      </c>
      <c r="N132" s="110">
        <v>70213.0</v>
      </c>
      <c r="O132" s="110">
        <v>62543.0</v>
      </c>
      <c r="P132" s="110">
        <v>50723.0</v>
      </c>
      <c r="Q132" s="110">
        <v>63043.0</v>
      </c>
      <c r="R132" s="50">
        <v>30321.0</v>
      </c>
      <c r="S132" s="111">
        <v>52.0</v>
      </c>
      <c r="T132" s="112">
        <v>94.0</v>
      </c>
      <c r="U132" s="24" t="s">
        <v>603</v>
      </c>
      <c r="V132" s="11" t="s">
        <v>3957</v>
      </c>
      <c r="W132" s="108">
        <v>6.0</v>
      </c>
      <c r="X132" s="113">
        <v>42622.0</v>
      </c>
      <c r="Y132" s="113">
        <v>60614.0</v>
      </c>
      <c r="Z132" s="11">
        <v>143.0</v>
      </c>
      <c r="AA132" s="113">
        <v>113123.0</v>
      </c>
      <c r="AB132" s="109">
        <v>76998.79</v>
      </c>
      <c r="AC132" s="113">
        <v>110520.0</v>
      </c>
      <c r="AD132" s="108">
        <v>0.0</v>
      </c>
    </row>
    <row r="133">
      <c r="A133" s="11">
        <v>43.0</v>
      </c>
      <c r="B133" s="11">
        <v>5.0</v>
      </c>
      <c r="C133" s="11">
        <v>1.0</v>
      </c>
      <c r="D133" s="17">
        <v>26.0</v>
      </c>
      <c r="E133" s="108">
        <v>2.0</v>
      </c>
      <c r="F133" s="109">
        <v>-87777.51</v>
      </c>
      <c r="G133" s="109">
        <v>37415.92</v>
      </c>
      <c r="H133" s="109">
        <v>-65427.05</v>
      </c>
      <c r="I133" s="109">
        <v>-96002.91</v>
      </c>
      <c r="J133" s="109">
        <v>2232.55</v>
      </c>
      <c r="K133" s="109">
        <v>9765.32</v>
      </c>
      <c r="L133" s="109">
        <v>72726.76</v>
      </c>
      <c r="M133" s="109">
        <v>-86204.55</v>
      </c>
      <c r="N133" s="110">
        <v>31912.0</v>
      </c>
      <c r="O133" s="110">
        <v>31722.0</v>
      </c>
      <c r="P133" s="110">
        <v>50823.0</v>
      </c>
      <c r="Q133" s="110">
        <v>33122.0</v>
      </c>
      <c r="R133" s="50">
        <v>20321.0</v>
      </c>
      <c r="S133" s="111">
        <v>52.0</v>
      </c>
      <c r="T133" s="112">
        <v>12.0</v>
      </c>
      <c r="U133" s="24" t="s">
        <v>31</v>
      </c>
      <c r="V133" s="11" t="s">
        <v>3958</v>
      </c>
      <c r="W133" s="108">
        <v>3.0</v>
      </c>
      <c r="X133" s="113">
        <v>21113.0</v>
      </c>
      <c r="Y133" s="113">
        <v>122420.0</v>
      </c>
      <c r="Z133" s="11">
        <v>197.0</v>
      </c>
      <c r="AA133" s="113">
        <v>80622.0</v>
      </c>
      <c r="AB133" s="109">
        <v>53799.33</v>
      </c>
      <c r="AC133" s="113">
        <v>32516.0</v>
      </c>
      <c r="AD133" s="108">
        <v>2.0</v>
      </c>
    </row>
    <row r="134">
      <c r="A134" s="11">
        <v>63.0</v>
      </c>
      <c r="B134" s="11">
        <v>9.0</v>
      </c>
      <c r="C134" s="11">
        <v>6.0</v>
      </c>
      <c r="D134" s="17">
        <v>27.0</v>
      </c>
      <c r="E134" s="108">
        <v>0.0</v>
      </c>
      <c r="F134" s="109">
        <v>-66058.54</v>
      </c>
      <c r="G134" s="109">
        <v>-73428.4</v>
      </c>
      <c r="H134" s="109">
        <v>67110.25</v>
      </c>
      <c r="I134" s="109">
        <v>-9289.54</v>
      </c>
      <c r="J134" s="109">
        <v>-62026.82</v>
      </c>
      <c r="K134" s="109">
        <v>89246.21</v>
      </c>
      <c r="L134" s="109">
        <v>46532.59</v>
      </c>
      <c r="M134" s="109">
        <v>14159.81</v>
      </c>
      <c r="N134" s="110">
        <v>100111.0</v>
      </c>
      <c r="O134" s="110">
        <v>92821.0</v>
      </c>
      <c r="P134" s="110">
        <v>50123.0</v>
      </c>
      <c r="Q134" s="110">
        <v>93021.0</v>
      </c>
      <c r="R134" s="50">
        <v>91416.0</v>
      </c>
      <c r="S134" s="111">
        <v>53.0</v>
      </c>
      <c r="T134" s="112">
        <v>99.0</v>
      </c>
      <c r="U134" s="24" t="s">
        <v>601</v>
      </c>
      <c r="V134" s="11" t="s">
        <v>3882</v>
      </c>
      <c r="W134" s="108">
        <v>5.0</v>
      </c>
      <c r="X134" s="113">
        <v>10916.0</v>
      </c>
      <c r="Y134" s="113">
        <v>20622.0</v>
      </c>
      <c r="Z134" s="11">
        <v>102.0</v>
      </c>
      <c r="AA134" s="113">
        <v>32116.0</v>
      </c>
      <c r="AB134" s="109">
        <v>2832.44</v>
      </c>
      <c r="AC134" s="113">
        <v>30122.0</v>
      </c>
      <c r="AD134" s="108">
        <v>5.0</v>
      </c>
    </row>
    <row r="135">
      <c r="A135" s="11">
        <v>84.0</v>
      </c>
      <c r="B135" s="11">
        <v>4.0</v>
      </c>
      <c r="C135" s="11">
        <v>9.0</v>
      </c>
      <c r="D135" s="17">
        <v>56.0</v>
      </c>
      <c r="E135" s="108">
        <v>5.0</v>
      </c>
      <c r="F135" s="109">
        <v>-25199.8</v>
      </c>
      <c r="G135" s="109">
        <v>-31375.0</v>
      </c>
      <c r="H135" s="109">
        <v>-39829.53</v>
      </c>
      <c r="I135" s="109">
        <v>-67147.87</v>
      </c>
      <c r="J135" s="109">
        <v>43812.37</v>
      </c>
      <c r="K135" s="109">
        <v>-74546.21</v>
      </c>
      <c r="L135" s="109">
        <v>19218.61</v>
      </c>
      <c r="M135" s="109">
        <v>-42455.58</v>
      </c>
      <c r="N135" s="110">
        <v>51410.0</v>
      </c>
      <c r="O135" s="110">
        <v>50930.0</v>
      </c>
      <c r="P135" s="110">
        <v>51323.0</v>
      </c>
      <c r="Q135" s="110">
        <v>53130.0</v>
      </c>
      <c r="R135" s="50">
        <v>112013.0</v>
      </c>
      <c r="S135" s="111">
        <v>53.0</v>
      </c>
      <c r="T135" s="112">
        <v>1.0</v>
      </c>
      <c r="U135" s="24" t="s">
        <v>603</v>
      </c>
      <c r="V135" s="11" t="s">
        <v>3959</v>
      </c>
      <c r="W135" s="108">
        <v>6.0</v>
      </c>
      <c r="X135" s="113">
        <v>120318.0</v>
      </c>
      <c r="Y135" s="113">
        <v>50718.0</v>
      </c>
      <c r="Z135" s="11">
        <v>113.0</v>
      </c>
      <c r="AA135" s="113">
        <v>11522.0</v>
      </c>
      <c r="AB135" s="109">
        <v>1376.43</v>
      </c>
      <c r="AC135" s="113">
        <v>71618.0</v>
      </c>
      <c r="AD135" s="108">
        <v>0.0</v>
      </c>
    </row>
    <row r="136">
      <c r="A136" s="11">
        <v>84.0</v>
      </c>
      <c r="B136" s="11">
        <v>5.0</v>
      </c>
      <c r="C136" s="11">
        <v>3.0</v>
      </c>
      <c r="D136" s="17">
        <v>52.0</v>
      </c>
      <c r="E136" s="108">
        <v>6.0</v>
      </c>
      <c r="F136" s="109">
        <v>-45811.99</v>
      </c>
      <c r="G136" s="109">
        <v>-74622.44</v>
      </c>
      <c r="H136" s="109">
        <v>869.32</v>
      </c>
      <c r="I136" s="109">
        <v>49937.6</v>
      </c>
      <c r="J136" s="109">
        <v>-99463.8</v>
      </c>
      <c r="K136" s="109">
        <v>37540.7</v>
      </c>
      <c r="L136" s="109">
        <v>-46161.76</v>
      </c>
      <c r="M136" s="109">
        <v>42096.23</v>
      </c>
      <c r="N136" s="110">
        <v>33110.0</v>
      </c>
      <c r="O136" s="110">
        <v>32820.0</v>
      </c>
      <c r="P136" s="110">
        <v>50423.0</v>
      </c>
      <c r="Q136" s="110">
        <v>33120.0</v>
      </c>
      <c r="R136" s="50">
        <v>32014.0</v>
      </c>
      <c r="S136" s="111">
        <v>51.0</v>
      </c>
      <c r="T136" s="112">
        <v>67.0</v>
      </c>
      <c r="U136" s="24" t="s">
        <v>31</v>
      </c>
      <c r="V136" s="11" t="s">
        <v>3939</v>
      </c>
      <c r="W136" s="108">
        <v>9.0</v>
      </c>
      <c r="X136" s="113">
        <v>71821.0</v>
      </c>
      <c r="Y136" s="113">
        <v>113117.0</v>
      </c>
      <c r="Z136" s="11">
        <v>130.0</v>
      </c>
      <c r="AA136" s="113">
        <v>22521.0</v>
      </c>
      <c r="AB136" s="109">
        <v>45604.18</v>
      </c>
      <c r="AC136" s="113">
        <v>102215.0</v>
      </c>
      <c r="AD136" s="108">
        <v>2.0</v>
      </c>
    </row>
    <row r="137">
      <c r="A137" s="11">
        <v>23.0</v>
      </c>
      <c r="B137" s="11">
        <v>1.0</v>
      </c>
      <c r="C137" s="11">
        <v>3.0</v>
      </c>
      <c r="D137" s="17">
        <v>8.0</v>
      </c>
      <c r="E137" s="108">
        <v>5.0</v>
      </c>
      <c r="F137" s="109">
        <v>20907.54</v>
      </c>
      <c r="G137" s="109">
        <v>-53685.27</v>
      </c>
      <c r="H137" s="109">
        <v>-92209.35</v>
      </c>
      <c r="I137" s="109">
        <v>-47218.5</v>
      </c>
      <c r="J137" s="109">
        <v>23084.54</v>
      </c>
      <c r="K137" s="109">
        <v>-55089.11</v>
      </c>
      <c r="L137" s="109">
        <v>59797.35</v>
      </c>
      <c r="M137" s="109">
        <v>67803.41</v>
      </c>
      <c r="N137" s="110">
        <v>80313.0</v>
      </c>
      <c r="O137" s="110">
        <v>72933.0</v>
      </c>
      <c r="P137" s="110">
        <v>52023.0</v>
      </c>
      <c r="Q137" s="110">
        <v>73133.0</v>
      </c>
      <c r="R137" s="50">
        <v>112216.0</v>
      </c>
      <c r="S137" s="111">
        <v>54.0</v>
      </c>
      <c r="T137" s="112">
        <v>5.0</v>
      </c>
      <c r="U137" s="24" t="s">
        <v>603</v>
      </c>
      <c r="V137" s="11" t="s">
        <v>3894</v>
      </c>
      <c r="W137" s="108">
        <v>4.0</v>
      </c>
      <c r="X137" s="113">
        <v>91218.0</v>
      </c>
      <c r="Y137" s="113">
        <v>20417.0</v>
      </c>
      <c r="Z137" s="11">
        <v>123.0</v>
      </c>
      <c r="AA137" s="113">
        <v>23015.0</v>
      </c>
      <c r="AB137" s="109">
        <v>50870.97</v>
      </c>
      <c r="AC137" s="113">
        <v>51518.0</v>
      </c>
      <c r="AD137" s="108">
        <v>7.0</v>
      </c>
    </row>
    <row r="138">
      <c r="A138" s="11">
        <v>84.0</v>
      </c>
      <c r="B138" s="11">
        <v>5.0</v>
      </c>
      <c r="C138" s="11">
        <v>8.0</v>
      </c>
      <c r="D138" s="17">
        <v>16.0</v>
      </c>
      <c r="E138" s="108">
        <v>4.0</v>
      </c>
      <c r="F138" s="109">
        <v>59444.72</v>
      </c>
      <c r="G138" s="109">
        <v>60503.97</v>
      </c>
      <c r="H138" s="109">
        <v>64260.24</v>
      </c>
      <c r="I138" s="109">
        <v>68043.67</v>
      </c>
      <c r="J138" s="109">
        <v>-35758.42</v>
      </c>
      <c r="K138" s="109">
        <v>40092.12</v>
      </c>
      <c r="L138" s="109">
        <v>-38365.05</v>
      </c>
      <c r="M138" s="109">
        <v>-20172.15</v>
      </c>
      <c r="N138" s="110">
        <v>101012.0</v>
      </c>
      <c r="O138" s="110">
        <v>100532.0</v>
      </c>
      <c r="P138" s="110">
        <v>52423.0</v>
      </c>
      <c r="Q138" s="110">
        <v>103132.0</v>
      </c>
      <c r="R138" s="50">
        <v>52219.0</v>
      </c>
      <c r="S138" s="111">
        <v>54.0</v>
      </c>
      <c r="T138" s="112">
        <v>21.0</v>
      </c>
      <c r="U138" s="24" t="s">
        <v>603</v>
      </c>
      <c r="V138" s="11" t="s">
        <v>3960</v>
      </c>
      <c r="W138" s="108">
        <v>3.0</v>
      </c>
      <c r="X138" s="113">
        <v>70918.0</v>
      </c>
      <c r="Y138" s="113">
        <v>21014.0</v>
      </c>
      <c r="Z138" s="11">
        <v>189.0</v>
      </c>
      <c r="AA138" s="113">
        <v>60216.0</v>
      </c>
      <c r="AB138" s="109">
        <v>58332.57</v>
      </c>
      <c r="AC138" s="113">
        <v>10717.0</v>
      </c>
      <c r="AD138" s="108">
        <v>1.0</v>
      </c>
    </row>
    <row r="139">
      <c r="A139" s="11">
        <v>23.0</v>
      </c>
      <c r="B139" s="11">
        <v>1.0</v>
      </c>
      <c r="C139" s="11">
        <v>5.0</v>
      </c>
      <c r="D139" s="17">
        <v>49.0</v>
      </c>
      <c r="E139" s="108">
        <v>9.0</v>
      </c>
      <c r="F139" s="109">
        <v>26027.81</v>
      </c>
      <c r="G139" s="109">
        <v>9584.0</v>
      </c>
      <c r="H139" s="109">
        <v>67351.77</v>
      </c>
      <c r="I139" s="109">
        <v>-14251.52</v>
      </c>
      <c r="J139" s="109">
        <v>96309.88</v>
      </c>
      <c r="K139" s="109">
        <v>8695.25</v>
      </c>
      <c r="L139" s="109">
        <v>69110.1</v>
      </c>
      <c r="M139" s="109">
        <v>85004.79</v>
      </c>
      <c r="N139" s="110">
        <v>31410.0</v>
      </c>
      <c r="O139" s="110">
        <v>30640.0</v>
      </c>
      <c r="P139" s="110">
        <v>50523.0</v>
      </c>
      <c r="Q139" s="110">
        <v>33140.0</v>
      </c>
      <c r="R139" s="50">
        <v>31613.0</v>
      </c>
      <c r="S139" s="111">
        <v>50.0</v>
      </c>
      <c r="T139" s="112">
        <v>70.0</v>
      </c>
      <c r="U139" s="24" t="s">
        <v>39</v>
      </c>
      <c r="V139" s="11" t="s">
        <v>3961</v>
      </c>
      <c r="W139" s="108">
        <v>7.0</v>
      </c>
      <c r="X139" s="113">
        <v>91817.0</v>
      </c>
      <c r="Y139" s="113">
        <v>90417.0</v>
      </c>
      <c r="Z139" s="11">
        <v>191.0</v>
      </c>
      <c r="AA139" s="113">
        <v>21221.0</v>
      </c>
      <c r="AB139" s="109">
        <v>37968.12</v>
      </c>
      <c r="AC139" s="113">
        <v>52619.0</v>
      </c>
      <c r="AD139" s="108">
        <v>2.0</v>
      </c>
    </row>
    <row r="140">
      <c r="A140" s="11">
        <v>43.0</v>
      </c>
      <c r="B140" s="11">
        <v>6.0</v>
      </c>
      <c r="C140" s="11">
        <v>4.0</v>
      </c>
      <c r="D140" s="17">
        <v>78.0</v>
      </c>
      <c r="E140" s="108">
        <v>2.0</v>
      </c>
      <c r="F140" s="109">
        <v>-56849.51</v>
      </c>
      <c r="G140" s="109">
        <v>85361.62</v>
      </c>
      <c r="H140" s="109">
        <v>-69667.62</v>
      </c>
      <c r="I140" s="109">
        <v>86302.55</v>
      </c>
      <c r="J140" s="109">
        <v>27907.69</v>
      </c>
      <c r="K140" s="109">
        <v>80378.31</v>
      </c>
      <c r="L140" s="109">
        <v>-59779.45</v>
      </c>
      <c r="M140" s="109">
        <v>-49676.42</v>
      </c>
      <c r="N140" s="110">
        <v>10110.0</v>
      </c>
      <c r="O140" s="110">
        <v>123019.0</v>
      </c>
      <c r="P140" s="110">
        <v>52923.0</v>
      </c>
      <c r="Q140" s="110">
        <v>123118.0</v>
      </c>
      <c r="R140" s="50">
        <v>62414.0</v>
      </c>
      <c r="S140" s="111">
        <v>51.0</v>
      </c>
      <c r="T140" s="112">
        <v>29.0</v>
      </c>
      <c r="U140" s="24" t="s">
        <v>39</v>
      </c>
      <c r="V140" s="11" t="s">
        <v>3943</v>
      </c>
      <c r="W140" s="108">
        <v>3.0</v>
      </c>
      <c r="X140" s="113">
        <v>11915.0</v>
      </c>
      <c r="Y140" s="113">
        <v>112520.0</v>
      </c>
      <c r="Z140" s="11">
        <v>131.0</v>
      </c>
      <c r="AA140" s="113">
        <v>60621.0</v>
      </c>
      <c r="AB140" s="109">
        <v>-40949.65</v>
      </c>
      <c r="AC140" s="113">
        <v>82719.0</v>
      </c>
      <c r="AD140" s="108">
        <v>0.0</v>
      </c>
    </row>
    <row r="141">
      <c r="A141" s="11">
        <v>64.0</v>
      </c>
      <c r="B141" s="11">
        <v>1.0</v>
      </c>
      <c r="C141" s="11">
        <v>4.0</v>
      </c>
      <c r="D141" s="17">
        <v>83.0</v>
      </c>
      <c r="E141" s="108">
        <v>4.0</v>
      </c>
      <c r="F141" s="109">
        <v>5790.8</v>
      </c>
      <c r="G141" s="109">
        <v>290.49</v>
      </c>
      <c r="H141" s="109">
        <v>-70880.91</v>
      </c>
      <c r="I141" s="109">
        <v>50212.58</v>
      </c>
      <c r="J141" s="109">
        <v>-823.84</v>
      </c>
      <c r="K141" s="109">
        <v>97024.8</v>
      </c>
      <c r="L141" s="109">
        <v>80147.66</v>
      </c>
      <c r="M141" s="109">
        <v>72310.8</v>
      </c>
      <c r="N141" s="110">
        <v>12912.0</v>
      </c>
      <c r="O141" s="110">
        <v>12142.0</v>
      </c>
      <c r="P141" s="110">
        <v>52823.0</v>
      </c>
      <c r="Q141" s="110">
        <v>13142.0</v>
      </c>
      <c r="R141" s="50">
        <v>71720.0</v>
      </c>
      <c r="S141" s="111">
        <v>55.0</v>
      </c>
      <c r="T141" s="112">
        <v>18.0</v>
      </c>
      <c r="U141" s="24" t="s">
        <v>48</v>
      </c>
      <c r="V141" s="11" t="s">
        <v>3898</v>
      </c>
      <c r="W141" s="108">
        <v>9.0</v>
      </c>
      <c r="X141" s="113">
        <v>72016.0</v>
      </c>
      <c r="Y141" s="113">
        <v>62221.0</v>
      </c>
      <c r="Z141" s="11">
        <v>139.0</v>
      </c>
      <c r="AA141" s="113">
        <v>10720.0</v>
      </c>
      <c r="AB141" s="109">
        <v>51909.24</v>
      </c>
      <c r="AC141" s="113">
        <v>83121.0</v>
      </c>
      <c r="AD141" s="108">
        <v>3.0</v>
      </c>
    </row>
    <row r="142">
      <c r="A142" s="11">
        <v>64.0</v>
      </c>
      <c r="B142" s="11">
        <v>1.0</v>
      </c>
      <c r="C142" s="11">
        <v>5.0</v>
      </c>
      <c r="D142" s="17">
        <v>98.0</v>
      </c>
      <c r="E142" s="108">
        <v>1.0</v>
      </c>
      <c r="F142" s="109">
        <v>-50666.53</v>
      </c>
      <c r="G142" s="109">
        <v>-22956.43</v>
      </c>
      <c r="H142" s="109">
        <v>-53690.25</v>
      </c>
      <c r="I142" s="109">
        <v>-96582.24</v>
      </c>
      <c r="J142" s="109">
        <v>16297.86</v>
      </c>
      <c r="K142" s="109">
        <v>-88374.82</v>
      </c>
      <c r="L142" s="109">
        <v>90796.47</v>
      </c>
      <c r="M142" s="109">
        <v>-91099.92</v>
      </c>
      <c r="N142" s="110">
        <v>12914.0</v>
      </c>
      <c r="O142" s="110">
        <v>12244.0</v>
      </c>
      <c r="P142" s="110">
        <v>51623.0</v>
      </c>
      <c r="Q142" s="110">
        <v>13144.0</v>
      </c>
      <c r="R142" s="50">
        <v>111117.0</v>
      </c>
      <c r="S142" s="111">
        <v>55.0</v>
      </c>
      <c r="T142" s="112">
        <v>51.0</v>
      </c>
      <c r="U142" s="24" t="s">
        <v>39</v>
      </c>
      <c r="V142" s="11" t="s">
        <v>3940</v>
      </c>
      <c r="W142" s="108">
        <v>3.0</v>
      </c>
      <c r="X142" s="113">
        <v>120617.0</v>
      </c>
      <c r="Y142" s="113">
        <v>12821.0</v>
      </c>
      <c r="Z142" s="11">
        <v>103.0</v>
      </c>
      <c r="AA142" s="113">
        <v>91516.0</v>
      </c>
      <c r="AB142" s="109">
        <v>5026.35</v>
      </c>
      <c r="AC142" s="113">
        <v>31013.0</v>
      </c>
      <c r="AD142" s="108">
        <v>3.0</v>
      </c>
    </row>
    <row r="143">
      <c r="A143" s="11">
        <v>64.0</v>
      </c>
      <c r="B143" s="11">
        <v>1.0</v>
      </c>
      <c r="C143" s="11">
        <v>7.0</v>
      </c>
      <c r="D143" s="17">
        <v>34.0</v>
      </c>
      <c r="E143" s="108">
        <v>4.0</v>
      </c>
      <c r="F143" s="109">
        <v>-64814.12</v>
      </c>
      <c r="G143" s="109">
        <v>-61069.06</v>
      </c>
      <c r="H143" s="109">
        <v>70146.69</v>
      </c>
      <c r="I143" s="109">
        <v>14696.69</v>
      </c>
      <c r="J143" s="109">
        <v>-15878.39</v>
      </c>
      <c r="K143" s="109">
        <v>76506.67</v>
      </c>
      <c r="L143" s="109">
        <v>-71649.57</v>
      </c>
      <c r="M143" s="109">
        <v>69287.01</v>
      </c>
      <c r="N143" s="110">
        <v>100514.0</v>
      </c>
      <c r="O143" s="110">
        <v>93034.0</v>
      </c>
      <c r="P143" s="110">
        <v>52223.0</v>
      </c>
      <c r="Q143" s="110">
        <v>93034.0</v>
      </c>
      <c r="R143" s="50">
        <v>93020.0</v>
      </c>
      <c r="S143" s="111">
        <v>52.0</v>
      </c>
      <c r="T143" s="112">
        <v>82.0</v>
      </c>
      <c r="U143" s="24" t="s">
        <v>39</v>
      </c>
      <c r="V143" s="11" t="s">
        <v>3947</v>
      </c>
      <c r="W143" s="108">
        <v>4.0</v>
      </c>
      <c r="X143" s="113">
        <v>32820.0</v>
      </c>
      <c r="Y143" s="113">
        <v>82818.0</v>
      </c>
      <c r="Z143" s="11">
        <v>189.0</v>
      </c>
      <c r="AA143" s="113">
        <v>92015.0</v>
      </c>
      <c r="AB143" s="109">
        <v>-77440.16</v>
      </c>
      <c r="AC143" s="113">
        <v>92321.0</v>
      </c>
      <c r="AD143" s="108">
        <v>1.0</v>
      </c>
    </row>
    <row r="144">
      <c r="A144" s="11">
        <v>43.0</v>
      </c>
      <c r="B144" s="11">
        <v>7.0</v>
      </c>
      <c r="C144" s="11">
        <v>1.0</v>
      </c>
      <c r="D144" s="17">
        <v>28.0</v>
      </c>
      <c r="E144" s="108">
        <v>3.0</v>
      </c>
      <c r="F144" s="109">
        <v>6847.43</v>
      </c>
      <c r="G144" s="109">
        <v>-48862.63</v>
      </c>
      <c r="H144" s="109">
        <v>55916.4</v>
      </c>
      <c r="I144" s="109">
        <v>66205.78</v>
      </c>
      <c r="J144" s="109">
        <v>7421.31</v>
      </c>
      <c r="K144" s="109">
        <v>-67443.93</v>
      </c>
      <c r="L144" s="109">
        <v>-24907.79</v>
      </c>
      <c r="M144" s="109">
        <v>47929.94</v>
      </c>
      <c r="N144" s="110">
        <v>41910.0</v>
      </c>
      <c r="O144" s="110">
        <v>41430.0</v>
      </c>
      <c r="P144" s="110">
        <v>50223.0</v>
      </c>
      <c r="Q144" s="110">
        <v>43030.0</v>
      </c>
      <c r="R144" s="50">
        <v>71321.0</v>
      </c>
      <c r="S144" s="111">
        <v>54.0</v>
      </c>
      <c r="T144" s="112">
        <v>34.0</v>
      </c>
      <c r="U144" s="24" t="s">
        <v>601</v>
      </c>
      <c r="V144" s="11" t="s">
        <v>3962</v>
      </c>
      <c r="W144" s="108">
        <v>5.0</v>
      </c>
      <c r="X144" s="113">
        <v>81421.0</v>
      </c>
      <c r="Y144" s="113">
        <v>30513.0</v>
      </c>
      <c r="Z144" s="11">
        <v>193.0</v>
      </c>
      <c r="AA144" s="113">
        <v>90621.0</v>
      </c>
      <c r="AB144" s="109">
        <v>-12494.92</v>
      </c>
      <c r="AC144" s="113">
        <v>10819.0</v>
      </c>
      <c r="AD144" s="108">
        <v>3.0</v>
      </c>
    </row>
    <row r="145">
      <c r="A145" s="11">
        <v>64.0</v>
      </c>
      <c r="B145" s="11">
        <v>2.0</v>
      </c>
      <c r="C145" s="11">
        <v>1.0</v>
      </c>
      <c r="D145" s="17">
        <v>36.0</v>
      </c>
      <c r="E145" s="108">
        <v>3.0</v>
      </c>
      <c r="F145" s="109">
        <v>-97305.75</v>
      </c>
      <c r="G145" s="109">
        <v>89894.24</v>
      </c>
      <c r="H145" s="109">
        <v>-92067.63</v>
      </c>
      <c r="I145" s="109">
        <v>-5607.14</v>
      </c>
      <c r="J145" s="109">
        <v>38344.13</v>
      </c>
      <c r="K145" s="109">
        <v>-2497.29</v>
      </c>
      <c r="L145" s="109">
        <v>-42617.01</v>
      </c>
      <c r="M145" s="109">
        <v>-10113.59</v>
      </c>
      <c r="N145" s="110">
        <v>22213.0</v>
      </c>
      <c r="O145" s="110">
        <v>22023.0</v>
      </c>
      <c r="P145" s="110">
        <v>50123.0</v>
      </c>
      <c r="Q145" s="110">
        <v>22823.0</v>
      </c>
      <c r="R145" s="50">
        <v>101116.0</v>
      </c>
      <c r="S145" s="111">
        <v>51.0</v>
      </c>
      <c r="T145" s="112">
        <v>59.0</v>
      </c>
      <c r="U145" s="24" t="s">
        <v>603</v>
      </c>
      <c r="V145" s="11" t="s">
        <v>3851</v>
      </c>
      <c r="W145" s="108">
        <v>3.0</v>
      </c>
      <c r="X145" s="113">
        <v>41015.0</v>
      </c>
      <c r="Y145" s="113">
        <v>100323.0</v>
      </c>
      <c r="Z145" s="11">
        <v>119.0</v>
      </c>
      <c r="AA145" s="113">
        <v>11813.0</v>
      </c>
      <c r="AB145" s="109">
        <v>-55650.28</v>
      </c>
      <c r="AC145" s="113">
        <v>82518.0</v>
      </c>
      <c r="AD145" s="108">
        <v>6.0</v>
      </c>
    </row>
    <row r="146">
      <c r="A146" s="11">
        <v>64.0</v>
      </c>
      <c r="B146" s="11">
        <v>2.0</v>
      </c>
      <c r="C146" s="11">
        <v>2.0</v>
      </c>
      <c r="D146" s="17">
        <v>83.0</v>
      </c>
      <c r="E146" s="108">
        <v>2.0</v>
      </c>
      <c r="F146" s="109">
        <v>33316.33</v>
      </c>
      <c r="G146" s="109">
        <v>15676.62</v>
      </c>
      <c r="H146" s="109">
        <v>-12167.89</v>
      </c>
      <c r="I146" s="109">
        <v>-45579.85</v>
      </c>
      <c r="J146" s="109">
        <v>-59830.21</v>
      </c>
      <c r="K146" s="109">
        <v>-44665.91</v>
      </c>
      <c r="L146" s="109">
        <v>30818.19</v>
      </c>
      <c r="M146" s="109">
        <v>35028.97</v>
      </c>
      <c r="N146" s="110">
        <v>82011.0</v>
      </c>
      <c r="O146" s="110">
        <v>81241.0</v>
      </c>
      <c r="P146" s="110">
        <v>51123.0</v>
      </c>
      <c r="Q146" s="110">
        <v>83141.0</v>
      </c>
      <c r="R146" s="50">
        <v>10413.0</v>
      </c>
      <c r="S146" s="111">
        <v>52.0</v>
      </c>
      <c r="T146" s="112">
        <v>96.0</v>
      </c>
      <c r="U146" s="24" t="s">
        <v>601</v>
      </c>
      <c r="V146" s="11" t="s">
        <v>3963</v>
      </c>
      <c r="W146" s="108">
        <v>4.0</v>
      </c>
      <c r="X146" s="113">
        <v>42021.0</v>
      </c>
      <c r="Y146" s="113">
        <v>21119.0</v>
      </c>
      <c r="Z146" s="11">
        <v>146.0</v>
      </c>
      <c r="AA146" s="113">
        <v>110820.0</v>
      </c>
      <c r="AB146" s="109">
        <v>5372.66</v>
      </c>
      <c r="AC146" s="113">
        <v>80423.0</v>
      </c>
      <c r="AD146" s="108">
        <v>6.0</v>
      </c>
    </row>
    <row r="147">
      <c r="A147" s="11">
        <v>43.0</v>
      </c>
      <c r="B147" s="11">
        <v>7.0</v>
      </c>
      <c r="C147" s="11">
        <v>5.0</v>
      </c>
      <c r="D147" s="17">
        <v>83.0</v>
      </c>
      <c r="E147" s="108">
        <v>8.0</v>
      </c>
      <c r="F147" s="109">
        <v>14309.58</v>
      </c>
      <c r="G147" s="109">
        <v>-88909.0</v>
      </c>
      <c r="H147" s="109">
        <v>-63724.92</v>
      </c>
      <c r="I147" s="109">
        <v>-30538.05</v>
      </c>
      <c r="J147" s="109">
        <v>-80688.32</v>
      </c>
      <c r="K147" s="109">
        <v>-13.72</v>
      </c>
      <c r="L147" s="109">
        <v>7683.86</v>
      </c>
      <c r="M147" s="109">
        <v>-38257.91</v>
      </c>
      <c r="N147" s="110">
        <v>91610.0</v>
      </c>
      <c r="O147" s="110">
        <v>90840.0</v>
      </c>
      <c r="P147" s="110">
        <v>52423.0</v>
      </c>
      <c r="Q147" s="110">
        <v>93040.0</v>
      </c>
      <c r="R147" s="50">
        <v>42016.0</v>
      </c>
      <c r="S147" s="111">
        <v>50.0</v>
      </c>
      <c r="T147" s="112">
        <v>36.0</v>
      </c>
      <c r="U147" s="24" t="s">
        <v>31</v>
      </c>
      <c r="V147" s="11" t="s">
        <v>3907</v>
      </c>
      <c r="W147" s="108">
        <v>4.0</v>
      </c>
      <c r="X147" s="113">
        <v>80821.0</v>
      </c>
      <c r="Y147" s="113">
        <v>120620.0</v>
      </c>
      <c r="Z147" s="11">
        <v>187.0</v>
      </c>
      <c r="AA147" s="113">
        <v>10519.0</v>
      </c>
      <c r="AB147" s="109">
        <v>61619.22</v>
      </c>
      <c r="AC147" s="113">
        <v>102621.0</v>
      </c>
      <c r="AD147" s="108">
        <v>6.0</v>
      </c>
    </row>
    <row r="148">
      <c r="A148" s="11">
        <v>64.0</v>
      </c>
      <c r="B148" s="11">
        <v>2.0</v>
      </c>
      <c r="C148" s="11">
        <v>6.0</v>
      </c>
      <c r="D148" s="17">
        <v>57.0</v>
      </c>
      <c r="E148" s="108">
        <v>6.0</v>
      </c>
      <c r="F148" s="109">
        <v>30034.07</v>
      </c>
      <c r="G148" s="109">
        <v>-29667.45</v>
      </c>
      <c r="H148" s="109">
        <v>26803.2</v>
      </c>
      <c r="I148" s="109">
        <v>42692.94</v>
      </c>
      <c r="J148" s="109">
        <v>47183.27</v>
      </c>
      <c r="K148" s="109">
        <v>52247.26</v>
      </c>
      <c r="L148" s="109">
        <v>98681.17</v>
      </c>
      <c r="M148" s="109">
        <v>25408.14</v>
      </c>
      <c r="N148" s="110">
        <v>61513.0</v>
      </c>
      <c r="O148" s="110">
        <v>61323.0</v>
      </c>
      <c r="P148" s="110">
        <v>51723.0</v>
      </c>
      <c r="Q148" s="110">
        <v>63023.0</v>
      </c>
      <c r="R148" s="50">
        <v>72016.0</v>
      </c>
      <c r="S148" s="111">
        <v>55.0</v>
      </c>
      <c r="T148" s="112">
        <v>87.0</v>
      </c>
      <c r="U148" s="24" t="s">
        <v>31</v>
      </c>
      <c r="V148" s="11" t="s">
        <v>3964</v>
      </c>
      <c r="W148" s="108">
        <v>8.0</v>
      </c>
      <c r="X148" s="113">
        <v>92621.0</v>
      </c>
      <c r="Y148" s="113">
        <v>63022.0</v>
      </c>
      <c r="Z148" s="11">
        <v>111.0</v>
      </c>
      <c r="AA148" s="113">
        <v>20217.0</v>
      </c>
      <c r="AB148" s="109">
        <v>-55791.41</v>
      </c>
      <c r="AC148" s="113">
        <v>60720.0</v>
      </c>
      <c r="AD148" s="108">
        <v>7.0</v>
      </c>
    </row>
    <row r="149">
      <c r="A149" s="11">
        <v>23.0</v>
      </c>
      <c r="B149" s="11">
        <v>3.0</v>
      </c>
      <c r="C149" s="11">
        <v>2.0</v>
      </c>
      <c r="D149" s="17">
        <v>60.0</v>
      </c>
      <c r="E149" s="108">
        <v>1.0</v>
      </c>
      <c r="F149" s="109">
        <v>79995.08</v>
      </c>
      <c r="G149" s="109">
        <v>-85203.4</v>
      </c>
      <c r="H149" s="109">
        <v>782.67</v>
      </c>
      <c r="I149" s="109">
        <v>37403.11</v>
      </c>
      <c r="J149" s="109">
        <v>-15710.0</v>
      </c>
      <c r="K149" s="109">
        <v>-20009.82</v>
      </c>
      <c r="L149" s="109">
        <v>-66471.17</v>
      </c>
      <c r="M149" s="109">
        <v>70107.76</v>
      </c>
      <c r="N149" s="110">
        <v>12410.0</v>
      </c>
      <c r="O149" s="110">
        <v>11930.0</v>
      </c>
      <c r="P149" s="110">
        <v>51823.0</v>
      </c>
      <c r="Q149" s="110">
        <v>13130.0</v>
      </c>
      <c r="R149" s="50">
        <v>32419.0</v>
      </c>
      <c r="S149" s="111">
        <v>51.0</v>
      </c>
      <c r="T149" s="112">
        <v>43.0</v>
      </c>
      <c r="U149" s="24" t="s">
        <v>603</v>
      </c>
      <c r="V149" s="11" t="s">
        <v>3883</v>
      </c>
      <c r="W149" s="108">
        <v>3.0</v>
      </c>
      <c r="X149" s="113">
        <v>101221.0</v>
      </c>
      <c r="Y149" s="113">
        <v>32522.0</v>
      </c>
      <c r="Z149" s="11">
        <v>198.0</v>
      </c>
      <c r="AA149" s="113">
        <v>121114.0</v>
      </c>
      <c r="AB149" s="109">
        <v>-92812.77</v>
      </c>
      <c r="AC149" s="113">
        <v>103121.0</v>
      </c>
      <c r="AD149" s="108">
        <v>6.0</v>
      </c>
    </row>
    <row r="150">
      <c r="A150" s="11">
        <v>84.0</v>
      </c>
      <c r="B150" s="11">
        <v>7.0</v>
      </c>
      <c r="C150" s="11">
        <v>7.0</v>
      </c>
      <c r="D150" s="17">
        <v>19.0</v>
      </c>
      <c r="E150" s="108">
        <v>4.0</v>
      </c>
      <c r="F150" s="109">
        <v>18162.43</v>
      </c>
      <c r="G150" s="109">
        <v>-79673.88</v>
      </c>
      <c r="H150" s="109">
        <v>96545.17</v>
      </c>
      <c r="I150" s="109">
        <v>31520.42</v>
      </c>
      <c r="J150" s="109">
        <v>91962.78</v>
      </c>
      <c r="K150" s="109">
        <v>-41390.04</v>
      </c>
      <c r="L150" s="109">
        <v>-55823.49</v>
      </c>
      <c r="M150" s="109">
        <v>21806.48</v>
      </c>
      <c r="N150" s="110">
        <v>102814.0</v>
      </c>
      <c r="O150" s="110">
        <v>102334.0</v>
      </c>
      <c r="P150" s="110">
        <v>52023.0</v>
      </c>
      <c r="Q150" s="110">
        <v>103134.0</v>
      </c>
      <c r="R150" s="50">
        <v>70416.0</v>
      </c>
      <c r="S150" s="111">
        <v>54.0</v>
      </c>
      <c r="T150" s="112">
        <v>15.0</v>
      </c>
      <c r="U150" s="24" t="s">
        <v>601</v>
      </c>
      <c r="V150" s="11" t="s">
        <v>3944</v>
      </c>
      <c r="W150" s="108">
        <v>6.0</v>
      </c>
      <c r="X150" s="113">
        <v>70919.0</v>
      </c>
      <c r="Y150" s="113">
        <v>31721.0</v>
      </c>
      <c r="Z150" s="11">
        <v>141.0</v>
      </c>
      <c r="AA150" s="113">
        <v>11714.0</v>
      </c>
      <c r="AB150" s="109">
        <v>-19303.17</v>
      </c>
      <c r="AC150" s="113">
        <v>71816.0</v>
      </c>
      <c r="AD150" s="108">
        <v>3.0</v>
      </c>
    </row>
    <row r="151">
      <c r="A151" s="11">
        <v>23.0</v>
      </c>
      <c r="B151" s="11">
        <v>3.0</v>
      </c>
      <c r="C151" s="11">
        <v>6.0</v>
      </c>
      <c r="D151" s="17">
        <v>33.0</v>
      </c>
      <c r="E151" s="108">
        <v>7.0</v>
      </c>
      <c r="F151" s="109">
        <v>90417.69</v>
      </c>
      <c r="G151" s="109">
        <v>92679.3</v>
      </c>
      <c r="H151" s="109">
        <v>-21041.49</v>
      </c>
      <c r="I151" s="109">
        <v>-19565.21</v>
      </c>
      <c r="J151" s="109">
        <v>-89394.07</v>
      </c>
      <c r="K151" s="109">
        <v>20668.04</v>
      </c>
      <c r="L151" s="109">
        <v>-92905.24</v>
      </c>
      <c r="M151" s="109">
        <v>98304.44</v>
      </c>
      <c r="N151" s="110">
        <v>22614.0</v>
      </c>
      <c r="O151" s="110">
        <v>21944.0</v>
      </c>
      <c r="P151" s="110">
        <v>50323.0</v>
      </c>
      <c r="Q151" s="110">
        <v>22944.0</v>
      </c>
      <c r="R151" s="50">
        <v>81122.0</v>
      </c>
      <c r="S151" s="111">
        <v>54.0</v>
      </c>
      <c r="T151" s="112">
        <v>22.0</v>
      </c>
      <c r="U151" s="24" t="s">
        <v>48</v>
      </c>
      <c r="V151" s="11" t="s">
        <v>3885</v>
      </c>
      <c r="W151" s="108">
        <v>9.0</v>
      </c>
      <c r="X151" s="113">
        <v>32723.0</v>
      </c>
      <c r="Y151" s="113">
        <v>20916.0</v>
      </c>
      <c r="Z151" s="11">
        <v>105.0</v>
      </c>
      <c r="AA151" s="113">
        <v>11016.0</v>
      </c>
      <c r="AB151" s="109">
        <v>70792.38</v>
      </c>
      <c r="AC151" s="113">
        <v>72221.0</v>
      </c>
      <c r="AD151" s="108">
        <v>5.0</v>
      </c>
    </row>
    <row r="152">
      <c r="A152" s="11">
        <v>43.0</v>
      </c>
      <c r="B152" s="11">
        <v>8.0</v>
      </c>
      <c r="C152" s="11">
        <v>6.0</v>
      </c>
      <c r="D152" s="17">
        <v>56.0</v>
      </c>
      <c r="E152" s="108">
        <v>2.0</v>
      </c>
      <c r="F152" s="109">
        <v>57571.15</v>
      </c>
      <c r="G152" s="109">
        <v>-96529.07</v>
      </c>
      <c r="H152" s="109">
        <v>76928.87</v>
      </c>
      <c r="I152" s="109">
        <v>-85313.92</v>
      </c>
      <c r="J152" s="109">
        <v>-86674.57</v>
      </c>
      <c r="K152" s="109">
        <v>94955.2</v>
      </c>
      <c r="L152" s="109">
        <v>38553.24</v>
      </c>
      <c r="M152" s="109">
        <v>-16280.41</v>
      </c>
      <c r="N152" s="110">
        <v>82110.0</v>
      </c>
      <c r="O152" s="110">
        <v>81630.0</v>
      </c>
      <c r="P152" s="110">
        <v>50523.0</v>
      </c>
      <c r="Q152" s="110">
        <v>83130.0</v>
      </c>
      <c r="R152" s="50">
        <v>61718.0</v>
      </c>
      <c r="S152" s="111">
        <v>52.0</v>
      </c>
      <c r="T152" s="112">
        <v>58.0</v>
      </c>
      <c r="U152" s="24" t="s">
        <v>39</v>
      </c>
      <c r="V152" s="11" t="s">
        <v>3965</v>
      </c>
      <c r="W152" s="108">
        <v>5.0</v>
      </c>
      <c r="X152" s="113">
        <v>103015.0</v>
      </c>
      <c r="Y152" s="113">
        <v>33020.0</v>
      </c>
      <c r="Z152" s="11">
        <v>195.0</v>
      </c>
      <c r="AA152" s="113">
        <v>10715.0</v>
      </c>
      <c r="AB152" s="109">
        <v>21473.34</v>
      </c>
      <c r="AC152" s="113">
        <v>92113.0</v>
      </c>
      <c r="AD152" s="108">
        <v>4.0</v>
      </c>
    </row>
    <row r="153">
      <c r="A153" s="11">
        <v>23.0</v>
      </c>
      <c r="B153" s="11">
        <v>3.0</v>
      </c>
      <c r="C153" s="11">
        <v>9.0</v>
      </c>
      <c r="D153" s="17">
        <v>14.0</v>
      </c>
      <c r="E153" s="108">
        <v>5.0</v>
      </c>
      <c r="F153" s="109">
        <v>18623.76</v>
      </c>
      <c r="G153" s="109">
        <v>5746.0</v>
      </c>
      <c r="H153" s="109">
        <v>-7256.8</v>
      </c>
      <c r="I153" s="109">
        <v>-34419.35</v>
      </c>
      <c r="J153" s="109">
        <v>17766.82</v>
      </c>
      <c r="K153" s="109">
        <v>29398.06</v>
      </c>
      <c r="L153" s="109">
        <v>52269.26</v>
      </c>
      <c r="M153" s="109">
        <v>-59652.13</v>
      </c>
      <c r="N153" s="110">
        <v>72611.0</v>
      </c>
      <c r="O153" s="110">
        <v>71841.0</v>
      </c>
      <c r="P153" s="110">
        <v>51423.0</v>
      </c>
      <c r="Q153" s="110">
        <v>73141.0</v>
      </c>
      <c r="R153" s="50">
        <v>110818.0</v>
      </c>
      <c r="S153" s="111">
        <v>53.0</v>
      </c>
      <c r="T153" s="112">
        <v>58.0</v>
      </c>
      <c r="U153" s="24" t="s">
        <v>31</v>
      </c>
      <c r="V153" s="11" t="s">
        <v>3966</v>
      </c>
      <c r="W153" s="108">
        <v>5.0</v>
      </c>
      <c r="X153" s="113">
        <v>62715.0</v>
      </c>
      <c r="Y153" s="113">
        <v>70318.0</v>
      </c>
      <c r="Z153" s="11">
        <v>159.0</v>
      </c>
      <c r="AA153" s="113">
        <v>82714.0</v>
      </c>
      <c r="AB153" s="109">
        <v>38234.26</v>
      </c>
      <c r="AC153" s="113">
        <v>40617.0</v>
      </c>
      <c r="AD153" s="108">
        <v>4.0</v>
      </c>
    </row>
    <row r="154">
      <c r="A154" s="11">
        <v>64.0</v>
      </c>
      <c r="B154" s="11">
        <v>3.0</v>
      </c>
      <c r="C154" s="11">
        <v>6.0</v>
      </c>
      <c r="D154" s="17">
        <v>4.0</v>
      </c>
      <c r="E154" s="108">
        <v>9.0</v>
      </c>
      <c r="F154" s="109">
        <v>-48124.3</v>
      </c>
      <c r="G154" s="109">
        <v>-88215.69</v>
      </c>
      <c r="H154" s="109">
        <v>86945.71</v>
      </c>
      <c r="I154" s="109">
        <v>-83779.98</v>
      </c>
      <c r="J154" s="109">
        <v>-80302.43</v>
      </c>
      <c r="K154" s="109">
        <v>-82403.54</v>
      </c>
      <c r="L154" s="109">
        <v>-30418.49</v>
      </c>
      <c r="M154" s="109">
        <v>3908.49</v>
      </c>
      <c r="N154" s="110">
        <v>92611.0</v>
      </c>
      <c r="O154" s="110">
        <v>91841.0</v>
      </c>
      <c r="P154" s="110">
        <v>51523.0</v>
      </c>
      <c r="Q154" s="110">
        <v>93041.0</v>
      </c>
      <c r="R154" s="50">
        <v>60918.0</v>
      </c>
      <c r="S154" s="111">
        <v>54.0</v>
      </c>
      <c r="T154" s="112">
        <v>94.0</v>
      </c>
      <c r="U154" s="24" t="s">
        <v>48</v>
      </c>
      <c r="V154" s="11" t="s">
        <v>3967</v>
      </c>
      <c r="W154" s="108">
        <v>1.0</v>
      </c>
      <c r="X154" s="113">
        <v>62323.0</v>
      </c>
      <c r="Y154" s="113">
        <v>112818.0</v>
      </c>
      <c r="Z154" s="11">
        <v>133.0</v>
      </c>
      <c r="AA154" s="113">
        <v>60220.0</v>
      </c>
      <c r="AB154" s="109">
        <v>26895.61</v>
      </c>
      <c r="AC154" s="113">
        <v>70721.0</v>
      </c>
      <c r="AD154" s="108">
        <v>3.0</v>
      </c>
    </row>
    <row r="155">
      <c r="A155" s="11">
        <v>84.0</v>
      </c>
      <c r="B155" s="11">
        <v>8.0</v>
      </c>
      <c r="C155" s="11">
        <v>3.0</v>
      </c>
      <c r="D155" s="17">
        <v>52.0</v>
      </c>
      <c r="E155" s="108">
        <v>3.0</v>
      </c>
      <c r="F155" s="109">
        <v>8178.1</v>
      </c>
      <c r="G155" s="109">
        <v>10668.38</v>
      </c>
      <c r="H155" s="109">
        <v>-88583.08</v>
      </c>
      <c r="I155" s="109">
        <v>-10197.35</v>
      </c>
      <c r="J155" s="109">
        <v>-5299.87</v>
      </c>
      <c r="K155" s="109">
        <v>-15032.39</v>
      </c>
      <c r="L155" s="109">
        <v>-54721.33</v>
      </c>
      <c r="M155" s="109">
        <v>-35055.5</v>
      </c>
      <c r="N155" s="110">
        <v>22411.0</v>
      </c>
      <c r="O155" s="110">
        <v>21931.0</v>
      </c>
      <c r="P155" s="110">
        <v>50923.0</v>
      </c>
      <c r="Q155" s="110">
        <v>22831.0</v>
      </c>
      <c r="R155" s="50">
        <v>82717.0</v>
      </c>
      <c r="S155" s="111">
        <v>53.0</v>
      </c>
      <c r="T155" s="112">
        <v>65.0</v>
      </c>
      <c r="U155" s="24" t="s">
        <v>39</v>
      </c>
      <c r="V155" s="11" t="s">
        <v>3881</v>
      </c>
      <c r="W155" s="108">
        <v>7.0</v>
      </c>
      <c r="X155" s="113">
        <v>102017.0</v>
      </c>
      <c r="Y155" s="113">
        <v>10123.0</v>
      </c>
      <c r="Z155" s="11">
        <v>133.0</v>
      </c>
      <c r="AA155" s="113">
        <v>90915.0</v>
      </c>
      <c r="AB155" s="109">
        <v>-63313.88</v>
      </c>
      <c r="AC155" s="113">
        <v>12617.0</v>
      </c>
      <c r="AD155" s="108">
        <v>6.0</v>
      </c>
    </row>
    <row r="156">
      <c r="A156" s="11">
        <v>43.0</v>
      </c>
      <c r="B156" s="11">
        <v>8.0</v>
      </c>
      <c r="C156" s="11">
        <v>8.0</v>
      </c>
      <c r="D156" s="17">
        <v>97.0</v>
      </c>
      <c r="E156" s="108">
        <v>6.0</v>
      </c>
      <c r="F156" s="109">
        <v>10167.31</v>
      </c>
      <c r="G156" s="109">
        <v>-82261.81</v>
      </c>
      <c r="H156" s="109">
        <v>18814.7</v>
      </c>
      <c r="I156" s="109">
        <v>5414.0</v>
      </c>
      <c r="J156" s="109">
        <v>-42803.94</v>
      </c>
      <c r="K156" s="109">
        <v>-98178.84</v>
      </c>
      <c r="L156" s="109">
        <v>48290.71</v>
      </c>
      <c r="M156" s="109">
        <v>9472.19</v>
      </c>
      <c r="N156" s="110">
        <v>50913.0</v>
      </c>
      <c r="O156" s="110">
        <v>50433.0</v>
      </c>
      <c r="P156" s="110">
        <v>51723.0</v>
      </c>
      <c r="Q156" s="110">
        <v>53133.0</v>
      </c>
      <c r="R156" s="50">
        <v>21621.0</v>
      </c>
      <c r="S156" s="111">
        <v>50.0</v>
      </c>
      <c r="T156" s="112">
        <v>53.0</v>
      </c>
      <c r="U156" s="24" t="s">
        <v>39</v>
      </c>
      <c r="V156" s="11" t="s">
        <v>3968</v>
      </c>
      <c r="W156" s="108">
        <v>3.0</v>
      </c>
      <c r="X156" s="113">
        <v>40416.0</v>
      </c>
      <c r="Y156" s="113">
        <v>100320.0</v>
      </c>
      <c r="Z156" s="11">
        <v>177.0</v>
      </c>
      <c r="AA156" s="113">
        <v>61718.0</v>
      </c>
      <c r="AB156" s="109">
        <v>54058.33</v>
      </c>
      <c r="AC156" s="113">
        <v>61821.0</v>
      </c>
      <c r="AD156" s="108">
        <v>2.0</v>
      </c>
    </row>
    <row r="157">
      <c r="A157" s="11">
        <v>43.0</v>
      </c>
      <c r="B157" s="11">
        <v>8.0</v>
      </c>
      <c r="C157" s="11">
        <v>9.0</v>
      </c>
      <c r="D157" s="17">
        <v>72.0</v>
      </c>
      <c r="E157" s="108">
        <v>9.0</v>
      </c>
      <c r="F157" s="109">
        <v>87792.59</v>
      </c>
      <c r="G157" s="109">
        <v>-92343.95</v>
      </c>
      <c r="H157" s="109">
        <v>36405.67</v>
      </c>
      <c r="I157" s="109">
        <v>74787.61</v>
      </c>
      <c r="J157" s="109">
        <v>55654.02</v>
      </c>
      <c r="K157" s="109">
        <v>-82468.84</v>
      </c>
      <c r="L157" s="109">
        <v>-56864.3</v>
      </c>
      <c r="M157" s="109">
        <v>29335.64</v>
      </c>
      <c r="N157" s="110">
        <v>121810.0</v>
      </c>
      <c r="O157" s="110">
        <v>121040.0</v>
      </c>
      <c r="P157" s="110">
        <v>50423.0</v>
      </c>
      <c r="Q157" s="110">
        <v>123139.0</v>
      </c>
      <c r="R157" s="50">
        <v>22216.0</v>
      </c>
      <c r="S157" s="111">
        <v>50.0</v>
      </c>
      <c r="T157" s="112">
        <v>85.0</v>
      </c>
      <c r="U157" s="24" t="s">
        <v>603</v>
      </c>
      <c r="V157" s="11" t="s">
        <v>3969</v>
      </c>
      <c r="W157" s="108">
        <v>6.0</v>
      </c>
      <c r="X157" s="113">
        <v>80621.0</v>
      </c>
      <c r="Y157" s="113">
        <v>30913.0</v>
      </c>
      <c r="Z157" s="11">
        <v>155.0</v>
      </c>
      <c r="AA157" s="113">
        <v>30517.0</v>
      </c>
      <c r="AB157" s="109">
        <v>33220.27</v>
      </c>
      <c r="AC157" s="113">
        <v>102220.0</v>
      </c>
      <c r="AD157" s="108">
        <v>2.0</v>
      </c>
    </row>
    <row r="158">
      <c r="A158" s="11">
        <v>84.0</v>
      </c>
      <c r="B158" s="11">
        <v>8.0</v>
      </c>
      <c r="C158" s="11">
        <v>2.0</v>
      </c>
      <c r="D158" s="17">
        <v>97.0</v>
      </c>
      <c r="E158" s="108">
        <v>4.0</v>
      </c>
      <c r="F158" s="109">
        <v>67088.82</v>
      </c>
      <c r="G158" s="109">
        <v>72657.73</v>
      </c>
      <c r="H158" s="109">
        <v>-51834.27</v>
      </c>
      <c r="I158" s="109">
        <v>84515.32</v>
      </c>
      <c r="J158" s="109">
        <v>44660.07</v>
      </c>
      <c r="K158" s="109">
        <v>78076.9</v>
      </c>
      <c r="L158" s="109">
        <v>-40113.67</v>
      </c>
      <c r="M158" s="109">
        <v>28103.74</v>
      </c>
      <c r="N158" s="110">
        <v>31714.0</v>
      </c>
      <c r="O158" s="110">
        <v>30944.0</v>
      </c>
      <c r="P158" s="110">
        <v>53023.0</v>
      </c>
      <c r="Q158" s="110">
        <v>33144.0</v>
      </c>
      <c r="R158" s="50">
        <v>50922.0</v>
      </c>
      <c r="S158" s="111">
        <v>50.0</v>
      </c>
      <c r="T158" s="112">
        <v>16.0</v>
      </c>
      <c r="U158" s="24" t="s">
        <v>601</v>
      </c>
      <c r="V158" s="11" t="s">
        <v>3937</v>
      </c>
      <c r="W158" s="108">
        <v>9.0</v>
      </c>
      <c r="X158" s="113">
        <v>21818.0</v>
      </c>
      <c r="Y158" s="113">
        <v>12118.0</v>
      </c>
      <c r="Z158" s="11">
        <v>130.0</v>
      </c>
      <c r="AA158" s="113">
        <v>101813.0</v>
      </c>
      <c r="AB158" s="109">
        <v>36016.46</v>
      </c>
      <c r="AC158" s="113">
        <v>110715.0</v>
      </c>
      <c r="AD158" s="108">
        <v>7.0</v>
      </c>
    </row>
    <row r="159">
      <c r="A159" s="11">
        <v>23.0</v>
      </c>
      <c r="B159" s="11">
        <v>4.0</v>
      </c>
      <c r="C159" s="11">
        <v>6.0</v>
      </c>
      <c r="D159" s="17">
        <v>36.0</v>
      </c>
      <c r="E159" s="108">
        <v>9.0</v>
      </c>
      <c r="F159" s="109">
        <v>-93014.14</v>
      </c>
      <c r="G159" s="109">
        <v>-20272.78</v>
      </c>
      <c r="H159" s="109">
        <v>-35315.91</v>
      </c>
      <c r="I159" s="109">
        <v>72378.52</v>
      </c>
      <c r="J159" s="109">
        <v>95621.44</v>
      </c>
      <c r="K159" s="109">
        <v>99412.94</v>
      </c>
      <c r="L159" s="109">
        <v>-22124.8</v>
      </c>
      <c r="M159" s="109">
        <v>-78972.29</v>
      </c>
      <c r="N159" s="110">
        <v>101911.0</v>
      </c>
      <c r="O159" s="110">
        <v>101621.0</v>
      </c>
      <c r="P159" s="110">
        <v>51523.0</v>
      </c>
      <c r="Q159" s="110">
        <v>103121.0</v>
      </c>
      <c r="R159" s="50">
        <v>82621.0</v>
      </c>
      <c r="S159" s="111">
        <v>52.0</v>
      </c>
      <c r="T159" s="112">
        <v>85.0</v>
      </c>
      <c r="U159" s="24" t="s">
        <v>31</v>
      </c>
      <c r="V159" s="11" t="s">
        <v>3856</v>
      </c>
      <c r="W159" s="108">
        <v>7.0</v>
      </c>
      <c r="X159" s="113">
        <v>43021.0</v>
      </c>
      <c r="Y159" s="113">
        <v>122423.0</v>
      </c>
      <c r="Z159" s="11">
        <v>107.0</v>
      </c>
      <c r="AA159" s="113">
        <v>121717.0</v>
      </c>
      <c r="AB159" s="109">
        <v>75062.99</v>
      </c>
      <c r="AC159" s="113">
        <v>42814.0</v>
      </c>
      <c r="AD159" s="108">
        <v>8.0</v>
      </c>
    </row>
    <row r="160">
      <c r="A160" s="11">
        <v>23.0</v>
      </c>
      <c r="B160" s="11">
        <v>4.0</v>
      </c>
      <c r="C160" s="11">
        <v>7.0</v>
      </c>
      <c r="D160" s="17">
        <v>58.0</v>
      </c>
      <c r="E160" s="108">
        <v>4.0</v>
      </c>
      <c r="F160" s="109">
        <v>18155.54</v>
      </c>
      <c r="G160" s="109">
        <v>-77125.37</v>
      </c>
      <c r="H160" s="109">
        <v>8543.27</v>
      </c>
      <c r="I160" s="109">
        <v>-73002.44</v>
      </c>
      <c r="J160" s="109">
        <v>26216.71</v>
      </c>
      <c r="K160" s="109">
        <v>-14249.88</v>
      </c>
      <c r="L160" s="109">
        <v>33579.01</v>
      </c>
      <c r="M160" s="109">
        <v>42126.45</v>
      </c>
      <c r="N160" s="110">
        <v>60712.0</v>
      </c>
      <c r="O160" s="110">
        <v>60232.0</v>
      </c>
      <c r="P160" s="110">
        <v>52423.0</v>
      </c>
      <c r="Q160" s="110">
        <v>63032.0</v>
      </c>
      <c r="R160" s="50">
        <v>32120.0</v>
      </c>
      <c r="S160" s="111">
        <v>53.0</v>
      </c>
      <c r="T160" s="112">
        <v>44.0</v>
      </c>
      <c r="U160" s="24" t="s">
        <v>39</v>
      </c>
      <c r="V160" s="11" t="s">
        <v>3970</v>
      </c>
      <c r="W160" s="108">
        <v>4.0</v>
      </c>
      <c r="X160" s="113">
        <v>100820.0</v>
      </c>
      <c r="Y160" s="113">
        <v>80419.0</v>
      </c>
      <c r="Z160" s="11">
        <v>155.0</v>
      </c>
      <c r="AA160" s="113">
        <v>50113.0</v>
      </c>
      <c r="AB160" s="109">
        <v>-45792.52</v>
      </c>
      <c r="AC160" s="113">
        <v>33118.0</v>
      </c>
      <c r="AD160" s="108">
        <v>2.0</v>
      </c>
    </row>
    <row r="161">
      <c r="A161" s="11">
        <v>64.0</v>
      </c>
      <c r="B161" s="11">
        <v>4.0</v>
      </c>
      <c r="C161" s="11">
        <v>4.0</v>
      </c>
      <c r="D161" s="17">
        <v>3.0</v>
      </c>
      <c r="E161" s="108">
        <v>0.0</v>
      </c>
      <c r="F161" s="109">
        <v>17756.06</v>
      </c>
      <c r="G161" s="109">
        <v>-29920.8</v>
      </c>
      <c r="H161" s="109">
        <v>87327.17</v>
      </c>
      <c r="I161" s="109">
        <v>-66117.26</v>
      </c>
      <c r="J161" s="109">
        <v>-92673.39</v>
      </c>
      <c r="K161" s="109">
        <v>50810.49</v>
      </c>
      <c r="L161" s="109">
        <v>-95030.71</v>
      </c>
      <c r="M161" s="109">
        <v>-69004.93</v>
      </c>
      <c r="N161" s="110">
        <v>112013.0</v>
      </c>
      <c r="O161" s="110">
        <v>111533.0</v>
      </c>
      <c r="P161" s="110">
        <v>52923.0</v>
      </c>
      <c r="Q161" s="110">
        <v>113033.0</v>
      </c>
      <c r="R161" s="50">
        <v>41117.0</v>
      </c>
      <c r="S161" s="111">
        <v>52.0</v>
      </c>
      <c r="T161" s="112">
        <v>3.0</v>
      </c>
      <c r="U161" s="24" t="s">
        <v>603</v>
      </c>
      <c r="V161" s="11" t="s">
        <v>3966</v>
      </c>
      <c r="W161" s="108">
        <v>3.0</v>
      </c>
      <c r="X161" s="113">
        <v>80413.0</v>
      </c>
      <c r="Y161" s="113">
        <v>62716.0</v>
      </c>
      <c r="Z161" s="11">
        <v>145.0</v>
      </c>
      <c r="AA161" s="113">
        <v>12222.0</v>
      </c>
      <c r="AB161" s="109">
        <v>-2425.96</v>
      </c>
      <c r="AC161" s="113">
        <v>71620.0</v>
      </c>
      <c r="AD161" s="108">
        <v>3.0</v>
      </c>
    </row>
    <row r="162">
      <c r="A162" s="11">
        <v>23.0</v>
      </c>
      <c r="B162" s="11">
        <v>5.0</v>
      </c>
      <c r="C162" s="11">
        <v>3.0</v>
      </c>
      <c r="D162" s="17">
        <v>80.0</v>
      </c>
      <c r="E162" s="108">
        <v>3.0</v>
      </c>
      <c r="F162" s="109">
        <v>74097.33</v>
      </c>
      <c r="G162" s="109">
        <v>-54091.55</v>
      </c>
      <c r="H162" s="109">
        <v>9655.19</v>
      </c>
      <c r="I162" s="109">
        <v>-71425.32</v>
      </c>
      <c r="J162" s="109">
        <v>-51898.64</v>
      </c>
      <c r="K162" s="109">
        <v>84280.94</v>
      </c>
      <c r="L162" s="109">
        <v>42878.73</v>
      </c>
      <c r="M162" s="109">
        <v>-85456.0</v>
      </c>
      <c r="N162" s="110">
        <v>102913.0</v>
      </c>
      <c r="O162" s="110">
        <v>102723.0</v>
      </c>
      <c r="P162" s="110">
        <v>52723.0</v>
      </c>
      <c r="Q162" s="110">
        <v>103123.0</v>
      </c>
      <c r="R162" s="50">
        <v>91716.0</v>
      </c>
      <c r="S162" s="111">
        <v>52.0</v>
      </c>
      <c r="T162" s="112">
        <v>86.0</v>
      </c>
      <c r="U162" s="24" t="s">
        <v>31</v>
      </c>
      <c r="V162" s="11" t="s">
        <v>3971</v>
      </c>
      <c r="W162" s="108">
        <v>1.0</v>
      </c>
      <c r="X162" s="113">
        <v>52822.0</v>
      </c>
      <c r="Y162" s="113">
        <v>31017.0</v>
      </c>
      <c r="Z162" s="11">
        <v>129.0</v>
      </c>
      <c r="AA162" s="113">
        <v>92219.0</v>
      </c>
      <c r="AB162" s="109">
        <v>49362.79</v>
      </c>
      <c r="AC162" s="113">
        <v>22614.0</v>
      </c>
      <c r="AD162" s="108">
        <v>7.0</v>
      </c>
    </row>
    <row r="163">
      <c r="A163" s="11">
        <v>84.0</v>
      </c>
      <c r="B163" s="11">
        <v>9.0</v>
      </c>
      <c r="C163" s="11">
        <v>9.0</v>
      </c>
      <c r="D163" s="17">
        <v>87.0</v>
      </c>
      <c r="E163" s="108">
        <v>4.0</v>
      </c>
      <c r="F163" s="109">
        <v>-38298.14</v>
      </c>
      <c r="G163" s="109">
        <v>96851.79</v>
      </c>
      <c r="H163" s="109">
        <v>-84833.71</v>
      </c>
      <c r="I163" s="109">
        <v>96317.76</v>
      </c>
      <c r="J163" s="109">
        <v>91371.89</v>
      </c>
      <c r="K163" s="109">
        <v>91045.76</v>
      </c>
      <c r="L163" s="109">
        <v>-54281.16</v>
      </c>
      <c r="M163" s="109">
        <v>81008.89</v>
      </c>
      <c r="N163" s="110">
        <v>42511.0</v>
      </c>
      <c r="O163" s="110">
        <v>42031.0</v>
      </c>
      <c r="P163" s="110">
        <v>52923.0</v>
      </c>
      <c r="Q163" s="110">
        <v>43031.0</v>
      </c>
      <c r="R163" s="50">
        <v>22013.0</v>
      </c>
      <c r="S163" s="111">
        <v>53.0</v>
      </c>
      <c r="T163" s="112">
        <v>98.0</v>
      </c>
      <c r="U163" s="24" t="s">
        <v>39</v>
      </c>
      <c r="V163" s="11" t="s">
        <v>3972</v>
      </c>
      <c r="W163" s="108">
        <v>5.0</v>
      </c>
      <c r="X163" s="113">
        <v>22520.0</v>
      </c>
      <c r="Y163" s="113">
        <v>110917.0</v>
      </c>
      <c r="Z163" s="11">
        <v>174.0</v>
      </c>
      <c r="AA163" s="113">
        <v>101314.0</v>
      </c>
      <c r="AB163" s="109">
        <v>67836.92</v>
      </c>
      <c r="AC163" s="113">
        <v>110319.0</v>
      </c>
      <c r="AD163" s="108">
        <v>9.0</v>
      </c>
    </row>
    <row r="164">
      <c r="A164" s="11">
        <v>64.0</v>
      </c>
      <c r="B164" s="11">
        <v>5.0</v>
      </c>
      <c r="C164" s="11">
        <v>2.0</v>
      </c>
      <c r="D164" s="17">
        <v>19.0</v>
      </c>
      <c r="E164" s="108">
        <v>3.0</v>
      </c>
      <c r="F164" s="109">
        <v>42700.65</v>
      </c>
      <c r="G164" s="109">
        <v>-40897.13</v>
      </c>
      <c r="H164" s="109">
        <v>-53410.6</v>
      </c>
      <c r="I164" s="109">
        <v>50186.86</v>
      </c>
      <c r="J164" s="109">
        <v>32520.68</v>
      </c>
      <c r="K164" s="109">
        <v>43213.16</v>
      </c>
      <c r="L164" s="109">
        <v>-26708.44</v>
      </c>
      <c r="M164" s="109">
        <v>84719.82</v>
      </c>
      <c r="N164" s="110">
        <v>40712.0</v>
      </c>
      <c r="O164" s="110">
        <v>40232.0</v>
      </c>
      <c r="P164" s="110">
        <v>50123.0</v>
      </c>
      <c r="Q164" s="110">
        <v>43032.0</v>
      </c>
      <c r="R164" s="50">
        <v>101013.0</v>
      </c>
      <c r="S164" s="111">
        <v>55.0</v>
      </c>
      <c r="T164" s="112">
        <v>4.0</v>
      </c>
      <c r="U164" s="24" t="s">
        <v>31</v>
      </c>
      <c r="V164" s="11" t="s">
        <v>3973</v>
      </c>
      <c r="W164" s="108">
        <v>3.0</v>
      </c>
      <c r="X164" s="113">
        <v>50616.0</v>
      </c>
      <c r="Y164" s="113">
        <v>71922.0</v>
      </c>
      <c r="Z164" s="11">
        <v>157.0</v>
      </c>
      <c r="AA164" s="113">
        <v>40214.0</v>
      </c>
      <c r="AB164" s="109">
        <v>-94673.76</v>
      </c>
      <c r="AC164" s="113">
        <v>41123.0</v>
      </c>
      <c r="AD164" s="108">
        <v>5.0</v>
      </c>
    </row>
    <row r="165">
      <c r="A165" s="11">
        <v>23.0</v>
      </c>
      <c r="B165" s="11">
        <v>5.0</v>
      </c>
      <c r="C165" s="11">
        <v>9.0</v>
      </c>
      <c r="D165" s="17">
        <v>29.0</v>
      </c>
      <c r="E165" s="108">
        <v>1.0</v>
      </c>
      <c r="F165" s="109">
        <v>80526.71</v>
      </c>
      <c r="G165" s="109">
        <v>25346.31</v>
      </c>
      <c r="H165" s="109">
        <v>20278.65</v>
      </c>
      <c r="I165" s="109">
        <v>89388.68</v>
      </c>
      <c r="J165" s="109">
        <v>35904.27</v>
      </c>
      <c r="K165" s="109">
        <v>-59775.38</v>
      </c>
      <c r="L165" s="109">
        <v>-12120.23</v>
      </c>
      <c r="M165" s="109">
        <v>-59923.33</v>
      </c>
      <c r="N165" s="110">
        <v>82010.0</v>
      </c>
      <c r="O165" s="110">
        <v>81530.0</v>
      </c>
      <c r="P165" s="110">
        <v>52623.0</v>
      </c>
      <c r="Q165" s="110">
        <v>83130.0</v>
      </c>
      <c r="R165" s="50">
        <v>42813.0</v>
      </c>
      <c r="S165" s="111">
        <v>52.0</v>
      </c>
      <c r="T165" s="112">
        <v>21.0</v>
      </c>
      <c r="U165" s="24" t="s">
        <v>601</v>
      </c>
      <c r="V165" s="11" t="s">
        <v>3932</v>
      </c>
      <c r="W165" s="108">
        <v>7.0</v>
      </c>
      <c r="X165" s="113">
        <v>111222.0</v>
      </c>
      <c r="Y165" s="113">
        <v>20915.0</v>
      </c>
      <c r="Z165" s="11">
        <v>195.0</v>
      </c>
      <c r="AA165" s="113">
        <v>111414.0</v>
      </c>
      <c r="AB165" s="109">
        <v>-80222.72</v>
      </c>
      <c r="AC165" s="113">
        <v>41817.0</v>
      </c>
      <c r="AD165" s="108">
        <v>7.0</v>
      </c>
    </row>
    <row r="166">
      <c r="A166" s="11">
        <v>64.0</v>
      </c>
      <c r="B166" s="11">
        <v>5.0</v>
      </c>
      <c r="C166" s="11">
        <v>8.0</v>
      </c>
      <c r="D166" s="17">
        <v>17.0</v>
      </c>
      <c r="E166" s="108">
        <v>1.0</v>
      </c>
      <c r="F166" s="109">
        <v>48285.35</v>
      </c>
      <c r="G166" s="109">
        <v>-74082.39</v>
      </c>
      <c r="H166" s="109">
        <v>54635.17</v>
      </c>
      <c r="I166" s="109">
        <v>-61825.13</v>
      </c>
      <c r="J166" s="109">
        <v>11998.99</v>
      </c>
      <c r="K166" s="109">
        <v>65138.58</v>
      </c>
      <c r="L166" s="109">
        <v>-70969.46</v>
      </c>
      <c r="M166" s="109">
        <v>-53841.2</v>
      </c>
      <c r="N166" s="110">
        <v>71413.0</v>
      </c>
      <c r="O166" s="110">
        <v>71223.0</v>
      </c>
      <c r="P166" s="110">
        <v>50423.0</v>
      </c>
      <c r="Q166" s="110">
        <v>73123.0</v>
      </c>
      <c r="R166" s="50">
        <v>92019.0</v>
      </c>
      <c r="S166" s="111">
        <v>55.0</v>
      </c>
      <c r="T166" s="112">
        <v>7.0</v>
      </c>
      <c r="U166" s="24" t="s">
        <v>603</v>
      </c>
      <c r="V166" s="11" t="s">
        <v>3974</v>
      </c>
      <c r="W166" s="108">
        <v>2.0</v>
      </c>
      <c r="X166" s="113">
        <v>92316.0</v>
      </c>
      <c r="Y166" s="113">
        <v>111213.0</v>
      </c>
      <c r="Z166" s="11">
        <v>177.0</v>
      </c>
      <c r="AA166" s="113">
        <v>83122.0</v>
      </c>
      <c r="AB166" s="109">
        <v>28147.67</v>
      </c>
      <c r="AC166" s="113">
        <v>52215.0</v>
      </c>
      <c r="AD166" s="108">
        <v>0.0</v>
      </c>
    </row>
    <row r="167">
      <c r="A167" s="11">
        <v>44.0</v>
      </c>
      <c r="B167" s="11">
        <v>1.0</v>
      </c>
      <c r="C167" s="11">
        <v>2.0</v>
      </c>
      <c r="D167" s="17">
        <v>38.0</v>
      </c>
      <c r="E167" s="108">
        <v>8.0</v>
      </c>
      <c r="F167" s="109">
        <v>-56267.92</v>
      </c>
      <c r="G167" s="109">
        <v>90179.42</v>
      </c>
      <c r="H167" s="109">
        <v>59106.98</v>
      </c>
      <c r="I167" s="109">
        <v>-66837.97</v>
      </c>
      <c r="J167" s="109">
        <v>37718.53</v>
      </c>
      <c r="K167" s="109">
        <v>-57694.12</v>
      </c>
      <c r="L167" s="109">
        <v>75942.09</v>
      </c>
      <c r="M167" s="109">
        <v>23841.24</v>
      </c>
      <c r="N167" s="110">
        <v>60413.0</v>
      </c>
      <c r="O167" s="110">
        <v>52843.0</v>
      </c>
      <c r="P167" s="110">
        <v>52223.0</v>
      </c>
      <c r="Q167" s="110">
        <v>53143.0</v>
      </c>
      <c r="R167" s="50">
        <v>82321.0</v>
      </c>
      <c r="S167" s="111">
        <v>52.0</v>
      </c>
      <c r="T167" s="112">
        <v>40.0</v>
      </c>
      <c r="U167" s="24" t="s">
        <v>39</v>
      </c>
      <c r="V167" s="11" t="s">
        <v>3879</v>
      </c>
      <c r="W167" s="108">
        <v>3.0</v>
      </c>
      <c r="X167" s="113">
        <v>122220.0</v>
      </c>
      <c r="Y167" s="113">
        <v>71521.0</v>
      </c>
      <c r="Z167" s="11">
        <v>165.0</v>
      </c>
      <c r="AA167" s="113">
        <v>92722.0</v>
      </c>
      <c r="AB167" s="109">
        <v>-32063.38</v>
      </c>
      <c r="AC167" s="113">
        <v>60517.0</v>
      </c>
      <c r="AD167" s="108">
        <v>9.0</v>
      </c>
    </row>
    <row r="168">
      <c r="A168" s="11">
        <v>64.0</v>
      </c>
      <c r="B168" s="11">
        <v>6.0</v>
      </c>
      <c r="C168" s="11">
        <v>3.0</v>
      </c>
      <c r="D168" s="17">
        <v>25.0</v>
      </c>
      <c r="E168" s="108">
        <v>8.0</v>
      </c>
      <c r="F168" s="109">
        <v>11016.12</v>
      </c>
      <c r="G168" s="109">
        <v>-62672.27</v>
      </c>
      <c r="H168" s="109">
        <v>39183.98</v>
      </c>
      <c r="I168" s="109">
        <v>74134.82</v>
      </c>
      <c r="J168" s="109">
        <v>30448.97</v>
      </c>
      <c r="K168" s="109">
        <v>33642.32</v>
      </c>
      <c r="L168" s="109">
        <v>-39789.67</v>
      </c>
      <c r="M168" s="109">
        <v>10354.98</v>
      </c>
      <c r="N168" s="110">
        <v>100413.0</v>
      </c>
      <c r="O168" s="110">
        <v>100223.0</v>
      </c>
      <c r="P168" s="110">
        <v>51223.0</v>
      </c>
      <c r="Q168" s="110">
        <v>103123.0</v>
      </c>
      <c r="R168" s="50">
        <v>42113.0</v>
      </c>
      <c r="S168" s="111">
        <v>51.0</v>
      </c>
      <c r="T168" s="112">
        <v>50.0</v>
      </c>
      <c r="U168" s="24" t="s">
        <v>601</v>
      </c>
      <c r="V168" s="11" t="s">
        <v>3947</v>
      </c>
      <c r="W168" s="108">
        <v>6.0</v>
      </c>
      <c r="X168" s="113">
        <v>72217.0</v>
      </c>
      <c r="Y168" s="113">
        <v>113118.0</v>
      </c>
      <c r="Z168" s="11">
        <v>159.0</v>
      </c>
      <c r="AA168" s="113">
        <v>51518.0</v>
      </c>
      <c r="AB168" s="109">
        <v>35461.37</v>
      </c>
      <c r="AC168" s="113">
        <v>71623.0</v>
      </c>
      <c r="AD168" s="108">
        <v>2.0</v>
      </c>
    </row>
    <row r="169">
      <c r="A169" s="11">
        <v>23.0</v>
      </c>
      <c r="B169" s="11">
        <v>7.0</v>
      </c>
      <c r="C169" s="11">
        <v>1.0</v>
      </c>
      <c r="D169" s="17">
        <v>15.0</v>
      </c>
      <c r="E169" s="108">
        <v>6.0</v>
      </c>
      <c r="F169" s="109">
        <v>14080.65</v>
      </c>
      <c r="G169" s="109">
        <v>-56249.69</v>
      </c>
      <c r="H169" s="109">
        <v>-44741.81</v>
      </c>
      <c r="I169" s="109">
        <v>-17214.13</v>
      </c>
      <c r="J169" s="109">
        <v>-67283.63</v>
      </c>
      <c r="K169" s="109">
        <v>-31518.83</v>
      </c>
      <c r="L169" s="109">
        <v>19676.36</v>
      </c>
      <c r="M169" s="109">
        <v>78735.85</v>
      </c>
      <c r="N169" s="110">
        <v>122512.0</v>
      </c>
      <c r="O169" s="110">
        <v>122032.0</v>
      </c>
      <c r="P169" s="110">
        <v>52923.0</v>
      </c>
      <c r="Q169" s="110">
        <v>123131.0</v>
      </c>
      <c r="R169" s="50">
        <v>101914.0</v>
      </c>
      <c r="S169" s="111">
        <v>54.0</v>
      </c>
      <c r="T169" s="112">
        <v>58.0</v>
      </c>
      <c r="U169" s="24" t="s">
        <v>31</v>
      </c>
      <c r="V169" s="11" t="s">
        <v>3975</v>
      </c>
      <c r="W169" s="108">
        <v>2.0</v>
      </c>
      <c r="X169" s="113">
        <v>22913.0</v>
      </c>
      <c r="Y169" s="113">
        <v>111319.0</v>
      </c>
      <c r="Z169" s="11">
        <v>110.0</v>
      </c>
      <c r="AA169" s="113">
        <v>122214.0</v>
      </c>
      <c r="AB169" s="109">
        <v>-16000.6</v>
      </c>
      <c r="AC169" s="113">
        <v>62923.0</v>
      </c>
      <c r="AD169" s="108">
        <v>7.0</v>
      </c>
    </row>
    <row r="170">
      <c r="A170" s="11">
        <v>23.0</v>
      </c>
      <c r="B170" s="11">
        <v>7.0</v>
      </c>
      <c r="C170" s="11">
        <v>3.0</v>
      </c>
      <c r="D170" s="17">
        <v>99.0</v>
      </c>
      <c r="E170" s="108">
        <v>1.0</v>
      </c>
      <c r="F170" s="109">
        <v>88997.61</v>
      </c>
      <c r="G170" s="109">
        <v>-89403.33</v>
      </c>
      <c r="H170" s="109">
        <v>-61124.56</v>
      </c>
      <c r="I170" s="109">
        <v>45605.4</v>
      </c>
      <c r="J170" s="109">
        <v>34212.79</v>
      </c>
      <c r="K170" s="109">
        <v>-87262.7</v>
      </c>
      <c r="L170" s="109">
        <v>-87910.76</v>
      </c>
      <c r="M170" s="109">
        <v>-76981.58</v>
      </c>
      <c r="N170" s="110">
        <v>42813.0</v>
      </c>
      <c r="O170" s="110">
        <v>42333.0</v>
      </c>
      <c r="P170" s="110">
        <v>51923.0</v>
      </c>
      <c r="Q170" s="110">
        <v>43033.0</v>
      </c>
      <c r="R170" s="50">
        <v>92221.0</v>
      </c>
      <c r="S170" s="111">
        <v>54.0</v>
      </c>
      <c r="T170" s="112">
        <v>50.0</v>
      </c>
      <c r="U170" s="24" t="s">
        <v>48</v>
      </c>
      <c r="V170" s="11" t="s">
        <v>3976</v>
      </c>
      <c r="W170" s="108">
        <v>6.0</v>
      </c>
      <c r="X170" s="113">
        <v>81723.0</v>
      </c>
      <c r="Y170" s="113">
        <v>40621.0</v>
      </c>
      <c r="Z170" s="11">
        <v>179.0</v>
      </c>
      <c r="AA170" s="113">
        <v>101923.0</v>
      </c>
      <c r="AB170" s="109">
        <v>-42407.32</v>
      </c>
      <c r="AC170" s="113">
        <v>122919.0</v>
      </c>
      <c r="AD170" s="108">
        <v>7.0</v>
      </c>
    </row>
    <row r="171">
      <c r="A171" s="11">
        <v>64.0</v>
      </c>
      <c r="B171" s="11">
        <v>6.0</v>
      </c>
      <c r="C171" s="11">
        <v>9.0</v>
      </c>
      <c r="D171" s="17">
        <v>6.0</v>
      </c>
      <c r="E171" s="108">
        <v>2.0</v>
      </c>
      <c r="F171" s="109">
        <v>57840.74</v>
      </c>
      <c r="G171" s="109">
        <v>54300.22</v>
      </c>
      <c r="H171" s="109">
        <v>75103.71</v>
      </c>
      <c r="I171" s="109">
        <v>-51905.4</v>
      </c>
      <c r="J171" s="109">
        <v>-70822.9</v>
      </c>
      <c r="K171" s="109">
        <v>-4834.08</v>
      </c>
      <c r="L171" s="109">
        <v>94888.47</v>
      </c>
      <c r="M171" s="109">
        <v>68506.4</v>
      </c>
      <c r="N171" s="110">
        <v>52212.0</v>
      </c>
      <c r="O171" s="110">
        <v>51542.0</v>
      </c>
      <c r="P171" s="110">
        <v>50823.0</v>
      </c>
      <c r="Q171" s="110">
        <v>53142.0</v>
      </c>
      <c r="R171" s="50">
        <v>111419.0</v>
      </c>
      <c r="S171" s="111">
        <v>52.0</v>
      </c>
      <c r="T171" s="112">
        <v>24.0</v>
      </c>
      <c r="U171" s="24" t="s">
        <v>601</v>
      </c>
      <c r="V171" s="11" t="s">
        <v>3977</v>
      </c>
      <c r="W171" s="108">
        <v>8.0</v>
      </c>
      <c r="X171" s="113">
        <v>121017.0</v>
      </c>
      <c r="Y171" s="113">
        <v>60521.0</v>
      </c>
      <c r="Z171" s="11">
        <v>175.0</v>
      </c>
      <c r="AA171" s="113">
        <v>30819.0</v>
      </c>
      <c r="AB171" s="109">
        <v>7593.51</v>
      </c>
      <c r="AC171" s="113">
        <v>70315.0</v>
      </c>
      <c r="AD171" s="108">
        <v>2.0</v>
      </c>
    </row>
    <row r="172">
      <c r="A172" s="11">
        <v>85.0</v>
      </c>
      <c r="B172" s="11">
        <v>1.0</v>
      </c>
      <c r="C172" s="11">
        <v>9.0</v>
      </c>
      <c r="D172" s="17">
        <v>17.0</v>
      </c>
      <c r="E172" s="108">
        <v>6.0</v>
      </c>
      <c r="F172" s="109">
        <v>-38010.25</v>
      </c>
      <c r="G172" s="109">
        <v>31099.21</v>
      </c>
      <c r="H172" s="109">
        <v>72433.51</v>
      </c>
      <c r="I172" s="109">
        <v>27647.73</v>
      </c>
      <c r="J172" s="109">
        <v>-46946.61</v>
      </c>
      <c r="K172" s="109">
        <v>27032.12</v>
      </c>
      <c r="L172" s="109">
        <v>-64182.64</v>
      </c>
      <c r="M172" s="109">
        <v>-31638.62</v>
      </c>
      <c r="N172" s="110">
        <v>51110.0</v>
      </c>
      <c r="O172" s="110">
        <v>50820.0</v>
      </c>
      <c r="P172" s="110">
        <v>50723.0</v>
      </c>
      <c r="Q172" s="110">
        <v>53120.0</v>
      </c>
      <c r="R172" s="50">
        <v>51720.0</v>
      </c>
      <c r="S172" s="111">
        <v>54.0</v>
      </c>
      <c r="T172" s="112">
        <v>96.0</v>
      </c>
      <c r="U172" s="24" t="s">
        <v>48</v>
      </c>
      <c r="V172" s="11" t="s">
        <v>3978</v>
      </c>
      <c r="W172" s="108">
        <v>6.0</v>
      </c>
      <c r="X172" s="113">
        <v>112319.0</v>
      </c>
      <c r="Y172" s="113">
        <v>121919.0</v>
      </c>
      <c r="Z172" s="11">
        <v>160.0</v>
      </c>
      <c r="AA172" s="113">
        <v>62820.0</v>
      </c>
      <c r="AB172" s="109">
        <v>-50027.63</v>
      </c>
      <c r="AC172" s="113">
        <v>71919.0</v>
      </c>
      <c r="AD172" s="108">
        <v>4.0</v>
      </c>
    </row>
    <row r="173">
      <c r="A173" s="11">
        <v>44.0</v>
      </c>
      <c r="B173" s="11">
        <v>2.0</v>
      </c>
      <c r="C173" s="11">
        <v>5.0</v>
      </c>
      <c r="D173" s="17">
        <v>32.0</v>
      </c>
      <c r="E173" s="108">
        <v>0.0</v>
      </c>
      <c r="F173" s="109">
        <v>3174.01</v>
      </c>
      <c r="G173" s="109">
        <v>72716.31</v>
      </c>
      <c r="H173" s="109">
        <v>2174.57</v>
      </c>
      <c r="I173" s="109">
        <v>-58002.51</v>
      </c>
      <c r="J173" s="109">
        <v>67919.72</v>
      </c>
      <c r="K173" s="109">
        <v>-66614.02</v>
      </c>
      <c r="L173" s="109">
        <v>47166.62</v>
      </c>
      <c r="M173" s="109">
        <v>-720.38</v>
      </c>
      <c r="N173" s="110">
        <v>111110.0</v>
      </c>
      <c r="O173" s="110">
        <v>110630.0</v>
      </c>
      <c r="P173" s="110">
        <v>51523.0</v>
      </c>
      <c r="Q173" s="110">
        <v>113030.0</v>
      </c>
      <c r="R173" s="50">
        <v>82920.0</v>
      </c>
      <c r="S173" s="111">
        <v>53.0</v>
      </c>
      <c r="T173" s="112">
        <v>94.0</v>
      </c>
      <c r="U173" s="24" t="s">
        <v>48</v>
      </c>
      <c r="V173" s="11" t="s">
        <v>3859</v>
      </c>
      <c r="W173" s="108">
        <v>4.0</v>
      </c>
      <c r="X173" s="113">
        <v>113118.0</v>
      </c>
      <c r="Y173" s="113">
        <v>81220.0</v>
      </c>
      <c r="Z173" s="11">
        <v>151.0</v>
      </c>
      <c r="AA173" s="113">
        <v>41015.0</v>
      </c>
      <c r="AB173" s="109">
        <v>-61784.8</v>
      </c>
      <c r="AC173" s="113">
        <v>110420.0</v>
      </c>
      <c r="AD173" s="108">
        <v>4.0</v>
      </c>
    </row>
    <row r="174">
      <c r="A174" s="11">
        <v>85.0</v>
      </c>
      <c r="B174" s="11">
        <v>2.0</v>
      </c>
      <c r="C174" s="11">
        <v>2.0</v>
      </c>
      <c r="D174" s="17">
        <v>84.0</v>
      </c>
      <c r="E174" s="108">
        <v>4.0</v>
      </c>
      <c r="F174" s="109">
        <v>-75315.6</v>
      </c>
      <c r="G174" s="109">
        <v>-43003.16</v>
      </c>
      <c r="H174" s="109">
        <v>86414.73</v>
      </c>
      <c r="I174" s="109">
        <v>-21902.67</v>
      </c>
      <c r="J174" s="109">
        <v>9289.1</v>
      </c>
      <c r="K174" s="109">
        <v>57433.19</v>
      </c>
      <c r="L174" s="109">
        <v>-88426.39</v>
      </c>
      <c r="M174" s="109">
        <v>4893.6</v>
      </c>
      <c r="N174" s="110">
        <v>92410.0</v>
      </c>
      <c r="O174" s="110">
        <v>91640.0</v>
      </c>
      <c r="P174" s="110">
        <v>51323.0</v>
      </c>
      <c r="Q174" s="110">
        <v>93040.0</v>
      </c>
      <c r="R174" s="50">
        <v>111819.0</v>
      </c>
      <c r="S174" s="111">
        <v>52.0</v>
      </c>
      <c r="T174" s="112">
        <v>54.0</v>
      </c>
      <c r="U174" s="24" t="s">
        <v>31</v>
      </c>
      <c r="V174" s="11" t="s">
        <v>3979</v>
      </c>
      <c r="W174" s="108">
        <v>6.0</v>
      </c>
      <c r="X174" s="113">
        <v>111213.0</v>
      </c>
      <c r="Y174" s="113">
        <v>111323.0</v>
      </c>
      <c r="Z174" s="11">
        <v>152.0</v>
      </c>
      <c r="AA174" s="113">
        <v>12020.0</v>
      </c>
      <c r="AB174" s="109">
        <v>-10326.79</v>
      </c>
      <c r="AC174" s="113">
        <v>92821.0</v>
      </c>
      <c r="AD174" s="108">
        <v>5.0</v>
      </c>
    </row>
    <row r="175">
      <c r="A175" s="11">
        <v>23.0</v>
      </c>
      <c r="B175" s="11">
        <v>7.0</v>
      </c>
      <c r="C175" s="11">
        <v>7.0</v>
      </c>
      <c r="D175" s="17">
        <v>3.0</v>
      </c>
      <c r="E175" s="108">
        <v>7.0</v>
      </c>
      <c r="F175" s="109">
        <v>-77034.95</v>
      </c>
      <c r="G175" s="109">
        <v>-35470.75</v>
      </c>
      <c r="H175" s="109">
        <v>35874.13</v>
      </c>
      <c r="I175" s="109">
        <v>-37679.68</v>
      </c>
      <c r="J175" s="109">
        <v>5688.54</v>
      </c>
      <c r="K175" s="109">
        <v>-31389.13</v>
      </c>
      <c r="L175" s="109">
        <v>-64397.19</v>
      </c>
      <c r="M175" s="109">
        <v>53814.32</v>
      </c>
      <c r="N175" s="110">
        <v>51512.0</v>
      </c>
      <c r="O175" s="110">
        <v>51032.0</v>
      </c>
      <c r="P175" s="110">
        <v>52223.0</v>
      </c>
      <c r="Q175" s="110">
        <v>53132.0</v>
      </c>
      <c r="R175" s="50">
        <v>81717.0</v>
      </c>
      <c r="S175" s="111">
        <v>53.0</v>
      </c>
      <c r="T175" s="112">
        <v>51.0</v>
      </c>
      <c r="U175" s="24" t="s">
        <v>48</v>
      </c>
      <c r="V175" s="11" t="s">
        <v>3868</v>
      </c>
      <c r="W175" s="108">
        <v>8.0</v>
      </c>
      <c r="X175" s="113">
        <v>80214.0</v>
      </c>
      <c r="Y175" s="113">
        <v>122121.0</v>
      </c>
      <c r="Z175" s="11">
        <v>118.0</v>
      </c>
      <c r="AA175" s="113">
        <v>62221.0</v>
      </c>
      <c r="AB175" s="109">
        <v>72837.2</v>
      </c>
      <c r="AC175" s="113">
        <v>70218.0</v>
      </c>
      <c r="AD175" s="108">
        <v>9.0</v>
      </c>
    </row>
    <row r="176">
      <c r="A176" s="11">
        <v>64.0</v>
      </c>
      <c r="B176" s="11">
        <v>7.0</v>
      </c>
      <c r="C176" s="11">
        <v>6.0</v>
      </c>
      <c r="D176" s="17">
        <v>25.0</v>
      </c>
      <c r="E176" s="108">
        <v>9.0</v>
      </c>
      <c r="F176" s="109">
        <v>89773.51</v>
      </c>
      <c r="G176" s="109">
        <v>81883.62</v>
      </c>
      <c r="H176" s="109">
        <v>42279.18</v>
      </c>
      <c r="I176" s="109">
        <v>44629.2</v>
      </c>
      <c r="J176" s="109">
        <v>-1101.74</v>
      </c>
      <c r="K176" s="109">
        <v>-48811.89</v>
      </c>
      <c r="L176" s="109">
        <v>-79804.96</v>
      </c>
      <c r="M176" s="109">
        <v>-68801.63</v>
      </c>
      <c r="N176" s="110">
        <v>21511.0</v>
      </c>
      <c r="O176" s="110">
        <v>21031.0</v>
      </c>
      <c r="P176" s="110">
        <v>50523.0</v>
      </c>
      <c r="Q176" s="110">
        <v>22831.0</v>
      </c>
      <c r="R176" s="50">
        <v>50521.0</v>
      </c>
      <c r="S176" s="111">
        <v>51.0</v>
      </c>
      <c r="T176" s="112">
        <v>45.0</v>
      </c>
      <c r="U176" s="24" t="s">
        <v>31</v>
      </c>
      <c r="V176" s="11" t="s">
        <v>3875</v>
      </c>
      <c r="W176" s="108">
        <v>5.0</v>
      </c>
      <c r="X176" s="113">
        <v>40323.0</v>
      </c>
      <c r="Y176" s="113">
        <v>52415.0</v>
      </c>
      <c r="Z176" s="11">
        <v>184.0</v>
      </c>
      <c r="AA176" s="113">
        <v>30320.0</v>
      </c>
      <c r="AB176" s="109">
        <v>-49094.34</v>
      </c>
      <c r="AC176" s="113">
        <v>70116.0</v>
      </c>
      <c r="AD176" s="108">
        <v>9.0</v>
      </c>
    </row>
    <row r="177">
      <c r="A177" s="11">
        <v>44.0</v>
      </c>
      <c r="B177" s="11">
        <v>2.0</v>
      </c>
      <c r="C177" s="11">
        <v>9.0</v>
      </c>
      <c r="D177" s="17">
        <v>3.0</v>
      </c>
      <c r="E177" s="108">
        <v>5.0</v>
      </c>
      <c r="F177" s="109">
        <v>-79840.14</v>
      </c>
      <c r="G177" s="109">
        <v>-63018.15</v>
      </c>
      <c r="H177" s="109">
        <v>-28948.63</v>
      </c>
      <c r="I177" s="109">
        <v>40941.05</v>
      </c>
      <c r="J177" s="109">
        <v>81211.37</v>
      </c>
      <c r="K177" s="109">
        <v>27422.64</v>
      </c>
      <c r="L177" s="109">
        <v>-46831.75</v>
      </c>
      <c r="M177" s="109">
        <v>11706.73</v>
      </c>
      <c r="N177" s="110">
        <v>60414.0</v>
      </c>
      <c r="O177" s="110">
        <v>60124.0</v>
      </c>
      <c r="P177" s="110">
        <v>51923.0</v>
      </c>
      <c r="Q177" s="110">
        <v>63024.0</v>
      </c>
      <c r="R177" s="50">
        <v>101917.0</v>
      </c>
      <c r="S177" s="111">
        <v>52.0</v>
      </c>
      <c r="T177" s="112">
        <v>11.0</v>
      </c>
      <c r="U177" s="24" t="s">
        <v>601</v>
      </c>
      <c r="V177" s="11" t="s">
        <v>3980</v>
      </c>
      <c r="W177" s="108">
        <v>6.0</v>
      </c>
      <c r="X177" s="113">
        <v>22116.0</v>
      </c>
      <c r="Y177" s="113">
        <v>82823.0</v>
      </c>
      <c r="Z177" s="11">
        <v>168.0</v>
      </c>
      <c r="AA177" s="113">
        <v>110415.0</v>
      </c>
      <c r="AB177" s="109">
        <v>9454.25</v>
      </c>
      <c r="AC177" s="113">
        <v>42218.0</v>
      </c>
      <c r="AD177" s="108">
        <v>3.0</v>
      </c>
    </row>
    <row r="178">
      <c r="A178" s="11">
        <v>44.0</v>
      </c>
      <c r="B178" s="11">
        <v>3.0</v>
      </c>
      <c r="C178" s="11">
        <v>1.0</v>
      </c>
      <c r="D178" s="17">
        <v>39.0</v>
      </c>
      <c r="E178" s="108">
        <v>5.0</v>
      </c>
      <c r="F178" s="109">
        <v>-73849.07</v>
      </c>
      <c r="G178" s="109">
        <v>-62276.01</v>
      </c>
      <c r="H178" s="109">
        <v>-30552.12</v>
      </c>
      <c r="I178" s="109">
        <v>-3625.76</v>
      </c>
      <c r="J178" s="109">
        <v>-16254.04</v>
      </c>
      <c r="K178" s="109">
        <v>8693.61</v>
      </c>
      <c r="L178" s="109">
        <v>-85992.43</v>
      </c>
      <c r="M178" s="109">
        <v>90734.78</v>
      </c>
      <c r="N178" s="110">
        <v>31412.0</v>
      </c>
      <c r="O178" s="110">
        <v>30742.0</v>
      </c>
      <c r="P178" s="110">
        <v>50423.0</v>
      </c>
      <c r="Q178" s="110">
        <v>33142.0</v>
      </c>
      <c r="R178" s="50">
        <v>61913.0</v>
      </c>
      <c r="S178" s="111">
        <v>54.0</v>
      </c>
      <c r="T178" s="112">
        <v>77.0</v>
      </c>
      <c r="U178" s="24" t="s">
        <v>39</v>
      </c>
      <c r="V178" s="11" t="s">
        <v>3981</v>
      </c>
      <c r="W178" s="108">
        <v>8.0</v>
      </c>
      <c r="X178" s="113">
        <v>100716.0</v>
      </c>
      <c r="Y178" s="113">
        <v>83013.0</v>
      </c>
      <c r="Z178" s="11">
        <v>166.0</v>
      </c>
      <c r="AA178" s="113">
        <v>91421.0</v>
      </c>
      <c r="AB178" s="109">
        <v>-30195.46</v>
      </c>
      <c r="AC178" s="113">
        <v>91419.0</v>
      </c>
      <c r="AD178" s="108">
        <v>9.0</v>
      </c>
    </row>
    <row r="179">
      <c r="A179" s="11">
        <v>64.0</v>
      </c>
      <c r="B179" s="11">
        <v>8.0</v>
      </c>
      <c r="C179" s="11">
        <v>3.0</v>
      </c>
      <c r="D179" s="17">
        <v>2.0</v>
      </c>
      <c r="E179" s="108">
        <v>5.0</v>
      </c>
      <c r="F179" s="109">
        <v>65706.44</v>
      </c>
      <c r="G179" s="109">
        <v>-58859.48</v>
      </c>
      <c r="H179" s="109">
        <v>-98344.93</v>
      </c>
      <c r="I179" s="109">
        <v>94662.53</v>
      </c>
      <c r="J179" s="109">
        <v>86401.36</v>
      </c>
      <c r="K179" s="109">
        <v>69034.01</v>
      </c>
      <c r="L179" s="109">
        <v>76705.95</v>
      </c>
      <c r="M179" s="109">
        <v>-40155.78</v>
      </c>
      <c r="N179" s="110">
        <v>60911.0</v>
      </c>
      <c r="O179" s="110">
        <v>60621.0</v>
      </c>
      <c r="P179" s="110">
        <v>51623.0</v>
      </c>
      <c r="Q179" s="110">
        <v>63021.0</v>
      </c>
      <c r="R179" s="50">
        <v>91317.0</v>
      </c>
      <c r="S179" s="111">
        <v>55.0</v>
      </c>
      <c r="T179" s="112">
        <v>40.0</v>
      </c>
      <c r="U179" s="24" t="s">
        <v>601</v>
      </c>
      <c r="V179" s="11" t="s">
        <v>3982</v>
      </c>
      <c r="W179" s="108">
        <v>7.0</v>
      </c>
      <c r="X179" s="113">
        <v>113118.0</v>
      </c>
      <c r="Y179" s="113">
        <v>92222.0</v>
      </c>
      <c r="Z179" s="11">
        <v>110.0</v>
      </c>
      <c r="AA179" s="113">
        <v>101819.0</v>
      </c>
      <c r="AB179" s="109">
        <v>-42209.93</v>
      </c>
      <c r="AC179" s="113">
        <v>50616.0</v>
      </c>
      <c r="AD179" s="108">
        <v>5.0</v>
      </c>
    </row>
    <row r="180">
      <c r="A180" s="11">
        <v>44.0</v>
      </c>
      <c r="B180" s="11">
        <v>3.0</v>
      </c>
      <c r="C180" s="11">
        <v>8.0</v>
      </c>
      <c r="D180" s="17">
        <v>77.0</v>
      </c>
      <c r="E180" s="108">
        <v>0.0</v>
      </c>
      <c r="F180" s="109">
        <v>56440.07</v>
      </c>
      <c r="G180" s="109">
        <v>63347.55</v>
      </c>
      <c r="H180" s="109">
        <v>92827.86</v>
      </c>
      <c r="I180" s="109">
        <v>-76638.33</v>
      </c>
      <c r="J180" s="109">
        <v>-60572.78</v>
      </c>
      <c r="K180" s="109">
        <v>-24533.43</v>
      </c>
      <c r="L180" s="109">
        <v>-19110.42</v>
      </c>
      <c r="M180" s="109">
        <v>34658.73</v>
      </c>
      <c r="N180" s="110">
        <v>62614.0</v>
      </c>
      <c r="O180" s="110">
        <v>62134.0</v>
      </c>
      <c r="P180" s="110">
        <v>50723.0</v>
      </c>
      <c r="Q180" s="110">
        <v>63034.0</v>
      </c>
      <c r="R180" s="50">
        <v>82618.0</v>
      </c>
      <c r="S180" s="111">
        <v>54.0</v>
      </c>
      <c r="T180" s="112">
        <v>69.0</v>
      </c>
      <c r="U180" s="24" t="s">
        <v>603</v>
      </c>
      <c r="V180" s="11" t="s">
        <v>3868</v>
      </c>
      <c r="W180" s="108">
        <v>9.0</v>
      </c>
      <c r="X180" s="113">
        <v>51713.0</v>
      </c>
      <c r="Y180" s="113">
        <v>120422.0</v>
      </c>
      <c r="Z180" s="11">
        <v>133.0</v>
      </c>
      <c r="AA180" s="113">
        <v>62218.0</v>
      </c>
      <c r="AB180" s="109">
        <v>-27103.06</v>
      </c>
      <c r="AC180" s="113">
        <v>32614.0</v>
      </c>
      <c r="AD180" s="108">
        <v>4.0</v>
      </c>
    </row>
    <row r="181">
      <c r="A181" s="11">
        <v>44.0</v>
      </c>
      <c r="B181" s="11">
        <v>3.0</v>
      </c>
      <c r="C181" s="11">
        <v>9.0</v>
      </c>
      <c r="D181" s="17">
        <v>13.0</v>
      </c>
      <c r="E181" s="108">
        <v>3.0</v>
      </c>
      <c r="F181" s="109">
        <v>-18365.09</v>
      </c>
      <c r="G181" s="109">
        <v>7995.15</v>
      </c>
      <c r="H181" s="109">
        <v>34977.21</v>
      </c>
      <c r="I181" s="109">
        <v>94979.79</v>
      </c>
      <c r="J181" s="109">
        <v>-87578.08</v>
      </c>
      <c r="K181" s="109">
        <v>-27701.33</v>
      </c>
      <c r="L181" s="109">
        <v>-33576.16</v>
      </c>
      <c r="M181" s="109">
        <v>-96922.81</v>
      </c>
      <c r="N181" s="110">
        <v>60110.0</v>
      </c>
      <c r="O181" s="110">
        <v>52440.0</v>
      </c>
      <c r="P181" s="110">
        <v>52123.0</v>
      </c>
      <c r="Q181" s="110">
        <v>53140.0</v>
      </c>
      <c r="R181" s="50">
        <v>81121.0</v>
      </c>
      <c r="S181" s="111">
        <v>54.0</v>
      </c>
      <c r="T181" s="112">
        <v>64.0</v>
      </c>
      <c r="U181" s="24" t="s">
        <v>39</v>
      </c>
      <c r="V181" s="11" t="s">
        <v>3891</v>
      </c>
      <c r="W181" s="108">
        <v>3.0</v>
      </c>
      <c r="X181" s="113">
        <v>111819.0</v>
      </c>
      <c r="Y181" s="113">
        <v>91218.0</v>
      </c>
      <c r="Z181" s="11">
        <v>152.0</v>
      </c>
      <c r="AA181" s="113">
        <v>121316.0</v>
      </c>
      <c r="AB181" s="109">
        <v>-57478.42</v>
      </c>
      <c r="AC181" s="113">
        <v>32316.0</v>
      </c>
      <c r="AD181" s="108">
        <v>3.0</v>
      </c>
    </row>
    <row r="182">
      <c r="A182" s="11">
        <v>85.0</v>
      </c>
      <c r="B182" s="11">
        <v>3.0</v>
      </c>
      <c r="C182" s="11">
        <v>6.0</v>
      </c>
      <c r="D182" s="17">
        <v>86.0</v>
      </c>
      <c r="E182" s="108">
        <v>8.0</v>
      </c>
      <c r="F182" s="109">
        <v>-2922.65</v>
      </c>
      <c r="G182" s="109">
        <v>-99871.11</v>
      </c>
      <c r="H182" s="109">
        <v>-95331.63</v>
      </c>
      <c r="I182" s="109">
        <v>-60205.9</v>
      </c>
      <c r="J182" s="109">
        <v>-1787.95</v>
      </c>
      <c r="K182" s="109">
        <v>52866.15</v>
      </c>
      <c r="L182" s="109">
        <v>-19659.67</v>
      </c>
      <c r="M182" s="109">
        <v>53208.48</v>
      </c>
      <c r="N182" s="110">
        <v>11213.0</v>
      </c>
      <c r="O182" s="110">
        <v>10543.0</v>
      </c>
      <c r="P182" s="110">
        <v>52623.0</v>
      </c>
      <c r="Q182" s="110">
        <v>13143.0</v>
      </c>
      <c r="R182" s="50">
        <v>40914.0</v>
      </c>
      <c r="S182" s="111">
        <v>55.0</v>
      </c>
      <c r="T182" s="112">
        <v>30.0</v>
      </c>
      <c r="U182" s="24" t="s">
        <v>39</v>
      </c>
      <c r="V182" s="11" t="s">
        <v>3983</v>
      </c>
      <c r="W182" s="108">
        <v>9.0</v>
      </c>
      <c r="X182" s="113">
        <v>70622.0</v>
      </c>
      <c r="Y182" s="113">
        <v>31016.0</v>
      </c>
      <c r="Z182" s="11">
        <v>111.0</v>
      </c>
      <c r="AA182" s="113">
        <v>91813.0</v>
      </c>
      <c r="AB182" s="109">
        <v>-22798.98</v>
      </c>
      <c r="AC182" s="113">
        <v>42521.0</v>
      </c>
      <c r="AD182" s="108">
        <v>1.0</v>
      </c>
    </row>
    <row r="183">
      <c r="A183" s="11">
        <v>23.0</v>
      </c>
      <c r="B183" s="11">
        <v>9.0</v>
      </c>
      <c r="C183" s="11">
        <v>2.0</v>
      </c>
      <c r="D183" s="17">
        <v>77.0</v>
      </c>
      <c r="E183" s="108">
        <v>3.0</v>
      </c>
      <c r="F183" s="109">
        <v>73198.9</v>
      </c>
      <c r="G183" s="109">
        <v>17984.93</v>
      </c>
      <c r="H183" s="109">
        <v>56870.5</v>
      </c>
      <c r="I183" s="109">
        <v>-10320.69</v>
      </c>
      <c r="J183" s="109">
        <v>83809.16</v>
      </c>
      <c r="K183" s="109">
        <v>89936.2</v>
      </c>
      <c r="L183" s="109">
        <v>8257.89</v>
      </c>
      <c r="M183" s="109">
        <v>98109.27</v>
      </c>
      <c r="N183" s="110">
        <v>82711.0</v>
      </c>
      <c r="O183" s="110">
        <v>81941.0</v>
      </c>
      <c r="P183" s="110">
        <v>52723.0</v>
      </c>
      <c r="Q183" s="110">
        <v>83141.0</v>
      </c>
      <c r="R183" s="50">
        <v>93022.0</v>
      </c>
      <c r="S183" s="111">
        <v>50.0</v>
      </c>
      <c r="T183" s="112">
        <v>61.0</v>
      </c>
      <c r="U183" s="24" t="s">
        <v>39</v>
      </c>
      <c r="V183" s="11" t="s">
        <v>3984</v>
      </c>
      <c r="W183" s="108">
        <v>8.0</v>
      </c>
      <c r="X183" s="113">
        <v>52019.0</v>
      </c>
      <c r="Y183" s="113">
        <v>80713.0</v>
      </c>
      <c r="Z183" s="11">
        <v>192.0</v>
      </c>
      <c r="AA183" s="113">
        <v>72616.0</v>
      </c>
      <c r="AB183" s="109">
        <v>-55845.19</v>
      </c>
      <c r="AC183" s="113">
        <v>20717.0</v>
      </c>
      <c r="AD183" s="108">
        <v>6.0</v>
      </c>
    </row>
    <row r="184">
      <c r="A184" s="11">
        <v>85.0</v>
      </c>
      <c r="B184" s="11">
        <v>3.0</v>
      </c>
      <c r="C184" s="11">
        <v>8.0</v>
      </c>
      <c r="D184" s="17">
        <v>57.0</v>
      </c>
      <c r="E184" s="108">
        <v>4.0</v>
      </c>
      <c r="F184" s="109">
        <v>-32027.15</v>
      </c>
      <c r="G184" s="109">
        <v>75685.26</v>
      </c>
      <c r="H184" s="109">
        <v>-23505.32</v>
      </c>
      <c r="I184" s="109">
        <v>-15357.58</v>
      </c>
      <c r="J184" s="109">
        <v>72410.29</v>
      </c>
      <c r="K184" s="109">
        <v>-65590.78</v>
      </c>
      <c r="L184" s="109">
        <v>-6305.42</v>
      </c>
      <c r="M184" s="109">
        <v>-72392.8</v>
      </c>
      <c r="N184" s="110">
        <v>122812.0</v>
      </c>
      <c r="O184" s="110">
        <v>122622.0</v>
      </c>
      <c r="P184" s="110">
        <v>51823.0</v>
      </c>
      <c r="Q184" s="110">
        <v>123121.0</v>
      </c>
      <c r="R184" s="50">
        <v>10116.0</v>
      </c>
      <c r="S184" s="111">
        <v>54.0</v>
      </c>
      <c r="T184" s="112">
        <v>98.0</v>
      </c>
      <c r="U184" s="24" t="s">
        <v>48</v>
      </c>
      <c r="V184" s="11" t="s">
        <v>3985</v>
      </c>
      <c r="W184" s="108">
        <v>1.0</v>
      </c>
      <c r="X184" s="113">
        <v>71323.0</v>
      </c>
      <c r="Y184" s="113">
        <v>90223.0</v>
      </c>
      <c r="Z184" s="11">
        <v>108.0</v>
      </c>
      <c r="AA184" s="113">
        <v>40814.0</v>
      </c>
      <c r="AB184" s="109">
        <v>86173.79</v>
      </c>
      <c r="AC184" s="113">
        <v>90817.0</v>
      </c>
      <c r="AD184" s="108">
        <v>2.0</v>
      </c>
    </row>
    <row r="185">
      <c r="A185" s="11">
        <v>64.0</v>
      </c>
      <c r="B185" s="11">
        <v>9.0</v>
      </c>
      <c r="C185" s="11">
        <v>3.0</v>
      </c>
      <c r="D185" s="17">
        <v>57.0</v>
      </c>
      <c r="E185" s="108">
        <v>3.0</v>
      </c>
      <c r="F185" s="109">
        <v>-403.93</v>
      </c>
      <c r="G185" s="109">
        <v>-77124.98</v>
      </c>
      <c r="H185" s="109">
        <v>-63568.14</v>
      </c>
      <c r="I185" s="109">
        <v>49734.18</v>
      </c>
      <c r="J185" s="109">
        <v>69558.89</v>
      </c>
      <c r="K185" s="109">
        <v>-56836.3</v>
      </c>
      <c r="L185" s="109">
        <v>58769.48</v>
      </c>
      <c r="M185" s="109">
        <v>-50131.99</v>
      </c>
      <c r="N185" s="110">
        <v>103011.0</v>
      </c>
      <c r="O185" s="110">
        <v>102241.0</v>
      </c>
      <c r="P185" s="110">
        <v>51623.0</v>
      </c>
      <c r="Q185" s="110">
        <v>103141.0</v>
      </c>
      <c r="R185" s="50">
        <v>53118.0</v>
      </c>
      <c r="S185" s="111">
        <v>52.0</v>
      </c>
      <c r="T185" s="112">
        <v>88.0</v>
      </c>
      <c r="U185" s="24" t="s">
        <v>39</v>
      </c>
      <c r="V185" s="11" t="s">
        <v>3986</v>
      </c>
      <c r="W185" s="108">
        <v>9.0</v>
      </c>
      <c r="X185" s="113">
        <v>80121.0</v>
      </c>
      <c r="Y185" s="113">
        <v>82319.0</v>
      </c>
      <c r="Z185" s="11">
        <v>193.0</v>
      </c>
      <c r="AA185" s="113">
        <v>61620.0</v>
      </c>
      <c r="AB185" s="109">
        <v>87498.61</v>
      </c>
      <c r="AC185" s="113">
        <v>72414.0</v>
      </c>
      <c r="AD185" s="108">
        <v>8.0</v>
      </c>
    </row>
    <row r="186">
      <c r="A186" s="11">
        <v>85.0</v>
      </c>
      <c r="B186" s="11">
        <v>4.0</v>
      </c>
      <c r="C186" s="11">
        <v>2.0</v>
      </c>
      <c r="D186" s="17">
        <v>28.0</v>
      </c>
      <c r="E186" s="108">
        <v>6.0</v>
      </c>
      <c r="F186" s="109">
        <v>92682.01</v>
      </c>
      <c r="G186" s="109">
        <v>-59762.34</v>
      </c>
      <c r="H186" s="109">
        <v>30642.86</v>
      </c>
      <c r="I186" s="109">
        <v>36596.07</v>
      </c>
      <c r="J186" s="109">
        <v>88780.33</v>
      </c>
      <c r="K186" s="109">
        <v>-58051.1</v>
      </c>
      <c r="L186" s="109">
        <v>-4665.63</v>
      </c>
      <c r="M186" s="109">
        <v>81590.96</v>
      </c>
      <c r="N186" s="110">
        <v>111111.0</v>
      </c>
      <c r="O186" s="110">
        <v>110631.0</v>
      </c>
      <c r="P186" s="110">
        <v>51223.0</v>
      </c>
      <c r="Q186" s="110">
        <v>113031.0</v>
      </c>
      <c r="R186" s="50">
        <v>82014.0</v>
      </c>
      <c r="S186" s="111">
        <v>53.0</v>
      </c>
      <c r="T186" s="112">
        <v>74.0</v>
      </c>
      <c r="U186" s="24" t="s">
        <v>39</v>
      </c>
      <c r="V186" s="11" t="s">
        <v>3925</v>
      </c>
      <c r="W186" s="108">
        <v>5.0</v>
      </c>
      <c r="X186" s="113">
        <v>42416.0</v>
      </c>
      <c r="Y186" s="113">
        <v>72513.0</v>
      </c>
      <c r="Z186" s="11">
        <v>103.0</v>
      </c>
      <c r="AA186" s="113">
        <v>60223.0</v>
      </c>
      <c r="AB186" s="109">
        <v>-20354.34</v>
      </c>
      <c r="AC186" s="113">
        <v>22917.0</v>
      </c>
      <c r="AD186" s="108">
        <v>5.0</v>
      </c>
    </row>
    <row r="187">
      <c r="A187" s="11">
        <v>85.0</v>
      </c>
      <c r="B187" s="11">
        <v>4.0</v>
      </c>
      <c r="C187" s="11">
        <v>9.0</v>
      </c>
      <c r="D187" s="17">
        <v>5.0</v>
      </c>
      <c r="E187" s="108">
        <v>2.0</v>
      </c>
      <c r="F187" s="109">
        <v>-32730.22</v>
      </c>
      <c r="G187" s="109">
        <v>-70497.36</v>
      </c>
      <c r="H187" s="109">
        <v>-74236.57</v>
      </c>
      <c r="I187" s="109">
        <v>41191.4</v>
      </c>
      <c r="J187" s="109">
        <v>93382.99</v>
      </c>
      <c r="K187" s="109">
        <v>49631.96</v>
      </c>
      <c r="L187" s="109">
        <v>-42775.67</v>
      </c>
      <c r="M187" s="109">
        <v>95698.72</v>
      </c>
      <c r="N187" s="110">
        <v>80511.0</v>
      </c>
      <c r="O187" s="110">
        <v>72841.0</v>
      </c>
      <c r="P187" s="110">
        <v>51023.0</v>
      </c>
      <c r="Q187" s="110">
        <v>73141.0</v>
      </c>
      <c r="R187" s="50">
        <v>20320.0</v>
      </c>
      <c r="S187" s="111">
        <v>51.0</v>
      </c>
      <c r="T187" s="112">
        <v>15.0</v>
      </c>
      <c r="U187" s="24" t="s">
        <v>48</v>
      </c>
      <c r="V187" s="11" t="s">
        <v>3875</v>
      </c>
      <c r="W187" s="108">
        <v>7.0</v>
      </c>
      <c r="X187" s="113">
        <v>42319.0</v>
      </c>
      <c r="Y187" s="113">
        <v>120321.0</v>
      </c>
      <c r="Z187" s="11">
        <v>179.0</v>
      </c>
      <c r="AA187" s="113">
        <v>83121.0</v>
      </c>
      <c r="AB187" s="109">
        <v>-8757.83</v>
      </c>
      <c r="AC187" s="113">
        <v>42818.0</v>
      </c>
      <c r="AD187" s="108">
        <v>1.0</v>
      </c>
    </row>
    <row r="188">
      <c r="A188" s="11">
        <v>24.0</v>
      </c>
      <c r="B188" s="11">
        <v>1.0</v>
      </c>
      <c r="C188" s="11">
        <v>2.0</v>
      </c>
      <c r="D188" s="17">
        <v>99.0</v>
      </c>
      <c r="E188" s="108">
        <v>3.0</v>
      </c>
      <c r="F188" s="109">
        <v>31823.05</v>
      </c>
      <c r="G188" s="109">
        <v>75045.52</v>
      </c>
      <c r="H188" s="109">
        <v>20941.78</v>
      </c>
      <c r="I188" s="109">
        <v>-48560.63</v>
      </c>
      <c r="J188" s="109">
        <v>869.03</v>
      </c>
      <c r="K188" s="109">
        <v>36913.71</v>
      </c>
      <c r="L188" s="109">
        <v>90667.77</v>
      </c>
      <c r="M188" s="109">
        <v>54939.9</v>
      </c>
      <c r="N188" s="110">
        <v>111211.0</v>
      </c>
      <c r="O188" s="110">
        <v>110921.0</v>
      </c>
      <c r="P188" s="110">
        <v>50223.0</v>
      </c>
      <c r="Q188" s="110">
        <v>113021.0</v>
      </c>
      <c r="R188" s="50">
        <v>32313.0</v>
      </c>
      <c r="S188" s="111">
        <v>50.0</v>
      </c>
      <c r="T188" s="112">
        <v>88.0</v>
      </c>
      <c r="U188" s="24" t="s">
        <v>39</v>
      </c>
      <c r="V188" s="11" t="s">
        <v>3987</v>
      </c>
      <c r="W188" s="108">
        <v>3.0</v>
      </c>
      <c r="X188" s="113">
        <v>101822.0</v>
      </c>
      <c r="Y188" s="113">
        <v>92622.0</v>
      </c>
      <c r="Z188" s="11">
        <v>139.0</v>
      </c>
      <c r="AA188" s="113">
        <v>20514.0</v>
      </c>
      <c r="AB188" s="109">
        <v>78879.07</v>
      </c>
      <c r="AC188" s="113">
        <v>50314.0</v>
      </c>
      <c r="AD188" s="108">
        <v>9.0</v>
      </c>
    </row>
    <row r="189">
      <c r="A189" s="11">
        <v>65.0</v>
      </c>
      <c r="B189" s="11">
        <v>1.0</v>
      </c>
      <c r="C189" s="11">
        <v>1.0</v>
      </c>
      <c r="D189" s="17">
        <v>19.0</v>
      </c>
      <c r="E189" s="108">
        <v>0.0</v>
      </c>
      <c r="F189" s="109">
        <v>-59824.41</v>
      </c>
      <c r="G189" s="109">
        <v>9211.25</v>
      </c>
      <c r="H189" s="109">
        <v>-42946.16</v>
      </c>
      <c r="I189" s="109">
        <v>331.35</v>
      </c>
      <c r="J189" s="109">
        <v>-38678.59</v>
      </c>
      <c r="K189" s="109">
        <v>-65534.15</v>
      </c>
      <c r="L189" s="109">
        <v>-35785.11</v>
      </c>
      <c r="M189" s="109">
        <v>47949.71</v>
      </c>
      <c r="N189" s="110">
        <v>80713.0</v>
      </c>
      <c r="O189" s="110">
        <v>80523.0</v>
      </c>
      <c r="P189" s="110">
        <v>51423.0</v>
      </c>
      <c r="Q189" s="110">
        <v>83123.0</v>
      </c>
      <c r="R189" s="50">
        <v>73116.0</v>
      </c>
      <c r="S189" s="111">
        <v>52.0</v>
      </c>
      <c r="T189" s="112">
        <v>15.0</v>
      </c>
      <c r="U189" s="24" t="s">
        <v>39</v>
      </c>
      <c r="V189" s="11" t="s">
        <v>3955</v>
      </c>
      <c r="W189" s="108">
        <v>8.0</v>
      </c>
      <c r="X189" s="113">
        <v>110619.0</v>
      </c>
      <c r="Y189" s="113">
        <v>121314.0</v>
      </c>
      <c r="Z189" s="11">
        <v>179.0</v>
      </c>
      <c r="AA189" s="113">
        <v>101219.0</v>
      </c>
      <c r="AB189" s="109">
        <v>53285.9</v>
      </c>
      <c r="AC189" s="113">
        <v>82023.0</v>
      </c>
      <c r="AD189" s="108">
        <v>2.0</v>
      </c>
    </row>
    <row r="190">
      <c r="A190" s="11">
        <v>44.0</v>
      </c>
      <c r="B190" s="11">
        <v>6.0</v>
      </c>
      <c r="C190" s="11">
        <v>4.0</v>
      </c>
      <c r="D190" s="17">
        <v>16.0</v>
      </c>
      <c r="E190" s="108">
        <v>6.0</v>
      </c>
      <c r="F190" s="109">
        <v>-88324.41</v>
      </c>
      <c r="G190" s="109">
        <v>-21029.32</v>
      </c>
      <c r="H190" s="109">
        <v>-65277.21</v>
      </c>
      <c r="I190" s="109">
        <v>-9676.02</v>
      </c>
      <c r="J190" s="109">
        <v>14864.0</v>
      </c>
      <c r="K190" s="109">
        <v>38788.16</v>
      </c>
      <c r="L190" s="109">
        <v>31977.79</v>
      </c>
      <c r="M190" s="109">
        <v>-10993.66</v>
      </c>
      <c r="N190" s="110">
        <v>61413.0</v>
      </c>
      <c r="O190" s="110">
        <v>61223.0</v>
      </c>
      <c r="P190" s="110">
        <v>52523.0</v>
      </c>
      <c r="Q190" s="110">
        <v>63023.0</v>
      </c>
      <c r="R190" s="50">
        <v>91620.0</v>
      </c>
      <c r="S190" s="111">
        <v>54.0</v>
      </c>
      <c r="T190" s="112">
        <v>51.0</v>
      </c>
      <c r="U190" s="24" t="s">
        <v>31</v>
      </c>
      <c r="V190" s="11" t="s">
        <v>3916</v>
      </c>
      <c r="W190" s="108">
        <v>1.0</v>
      </c>
      <c r="X190" s="113">
        <v>111222.0</v>
      </c>
      <c r="Y190" s="113">
        <v>83018.0</v>
      </c>
      <c r="Z190" s="11">
        <v>172.0</v>
      </c>
      <c r="AA190" s="113">
        <v>50416.0</v>
      </c>
      <c r="AB190" s="109">
        <v>-68101.55</v>
      </c>
      <c r="AC190" s="113">
        <v>43016.0</v>
      </c>
      <c r="AD190" s="108">
        <v>6.0</v>
      </c>
    </row>
    <row r="191">
      <c r="A191" s="11">
        <v>85.0</v>
      </c>
      <c r="B191" s="11">
        <v>6.0</v>
      </c>
      <c r="C191" s="11">
        <v>1.0</v>
      </c>
      <c r="D191" s="17">
        <v>55.0</v>
      </c>
      <c r="E191" s="108">
        <v>8.0</v>
      </c>
      <c r="F191" s="109">
        <v>-91548.73</v>
      </c>
      <c r="G191" s="109">
        <v>70607.71</v>
      </c>
      <c r="H191" s="109">
        <v>9100.4</v>
      </c>
      <c r="I191" s="109">
        <v>56130.57</v>
      </c>
      <c r="J191" s="109">
        <v>10788.75</v>
      </c>
      <c r="K191" s="109">
        <v>1318.85</v>
      </c>
      <c r="L191" s="109">
        <v>-23969.69</v>
      </c>
      <c r="M191" s="109">
        <v>-54225.33</v>
      </c>
      <c r="N191" s="110">
        <v>41412.0</v>
      </c>
      <c r="O191" s="110">
        <v>40932.0</v>
      </c>
      <c r="P191" s="110">
        <v>51023.0</v>
      </c>
      <c r="Q191" s="110">
        <v>43032.0</v>
      </c>
      <c r="R191" s="50">
        <v>40714.0</v>
      </c>
      <c r="S191" s="111">
        <v>53.0</v>
      </c>
      <c r="T191" s="112">
        <v>54.0</v>
      </c>
      <c r="U191" s="24" t="s">
        <v>603</v>
      </c>
      <c r="V191" s="11" t="s">
        <v>3876</v>
      </c>
      <c r="W191" s="108">
        <v>9.0</v>
      </c>
      <c r="X191" s="113">
        <v>110613.0</v>
      </c>
      <c r="Y191" s="113">
        <v>102615.0</v>
      </c>
      <c r="Z191" s="11">
        <v>116.0</v>
      </c>
      <c r="AA191" s="113">
        <v>71523.0</v>
      </c>
      <c r="AB191" s="109">
        <v>36916.14</v>
      </c>
      <c r="AC191" s="113">
        <v>82220.0</v>
      </c>
      <c r="AD191" s="108">
        <v>2.0</v>
      </c>
    </row>
    <row r="192">
      <c r="A192" s="11">
        <v>44.0</v>
      </c>
      <c r="B192" s="11">
        <v>6.0</v>
      </c>
      <c r="C192" s="11">
        <v>6.0</v>
      </c>
      <c r="D192" s="17">
        <v>14.0</v>
      </c>
      <c r="E192" s="108">
        <v>5.0</v>
      </c>
      <c r="F192" s="109">
        <v>84263.05</v>
      </c>
      <c r="G192" s="109">
        <v>-20164.5</v>
      </c>
      <c r="H192" s="109">
        <v>44564.65</v>
      </c>
      <c r="I192" s="109">
        <v>18738.23</v>
      </c>
      <c r="J192" s="109">
        <v>79119.44</v>
      </c>
      <c r="K192" s="109">
        <v>-99931.6</v>
      </c>
      <c r="L192" s="109">
        <v>-62395.78</v>
      </c>
      <c r="M192" s="109">
        <v>83555.44</v>
      </c>
      <c r="N192" s="110">
        <v>73014.0</v>
      </c>
      <c r="O192" s="110">
        <v>72534.0</v>
      </c>
      <c r="P192" s="110">
        <v>50823.0</v>
      </c>
      <c r="Q192" s="110">
        <v>73134.0</v>
      </c>
      <c r="R192" s="50">
        <v>92622.0</v>
      </c>
      <c r="S192" s="111">
        <v>51.0</v>
      </c>
      <c r="T192" s="112">
        <v>74.0</v>
      </c>
      <c r="U192" s="24" t="s">
        <v>31</v>
      </c>
      <c r="V192" s="11" t="s">
        <v>3988</v>
      </c>
      <c r="W192" s="108">
        <v>9.0</v>
      </c>
      <c r="X192" s="113">
        <v>41019.0</v>
      </c>
      <c r="Y192" s="113">
        <v>110921.0</v>
      </c>
      <c r="Z192" s="11">
        <v>147.0</v>
      </c>
      <c r="AA192" s="113">
        <v>31713.0</v>
      </c>
      <c r="AB192" s="109">
        <v>62222.13</v>
      </c>
      <c r="AC192" s="113">
        <v>40313.0</v>
      </c>
      <c r="AD192" s="108">
        <v>5.0</v>
      </c>
    </row>
    <row r="193">
      <c r="A193" s="11">
        <v>85.0</v>
      </c>
      <c r="B193" s="11">
        <v>6.0</v>
      </c>
      <c r="C193" s="11">
        <v>5.0</v>
      </c>
      <c r="D193" s="17">
        <v>8.0</v>
      </c>
      <c r="E193" s="108">
        <v>7.0</v>
      </c>
      <c r="F193" s="109">
        <v>3384.68</v>
      </c>
      <c r="G193" s="109">
        <v>-27506.62</v>
      </c>
      <c r="H193" s="109">
        <v>16154.96</v>
      </c>
      <c r="I193" s="109">
        <v>-99642.66</v>
      </c>
      <c r="J193" s="109">
        <v>70747.93</v>
      </c>
      <c r="K193" s="109">
        <v>98741.1</v>
      </c>
      <c r="L193" s="109">
        <v>21832.89</v>
      </c>
      <c r="M193" s="109">
        <v>-25002.72</v>
      </c>
      <c r="N193" s="110">
        <v>121112.0</v>
      </c>
      <c r="O193" s="110">
        <v>120632.0</v>
      </c>
      <c r="P193" s="110">
        <v>50723.0</v>
      </c>
      <c r="Q193" s="110">
        <v>123131.0</v>
      </c>
      <c r="R193" s="50">
        <v>101016.0</v>
      </c>
      <c r="S193" s="111">
        <v>55.0</v>
      </c>
      <c r="T193" s="112">
        <v>39.0</v>
      </c>
      <c r="U193" s="24" t="s">
        <v>31</v>
      </c>
      <c r="V193" s="11" t="s">
        <v>3989</v>
      </c>
      <c r="W193" s="108">
        <v>6.0</v>
      </c>
      <c r="X193" s="113">
        <v>11320.0</v>
      </c>
      <c r="Y193" s="113">
        <v>80722.0</v>
      </c>
      <c r="Z193" s="11">
        <v>191.0</v>
      </c>
      <c r="AA193" s="113">
        <v>61514.0</v>
      </c>
      <c r="AB193" s="109">
        <v>-58745.55</v>
      </c>
      <c r="AC193" s="113">
        <v>21523.0</v>
      </c>
      <c r="AD193" s="108">
        <v>6.0</v>
      </c>
    </row>
    <row r="194">
      <c r="A194" s="11">
        <v>65.0</v>
      </c>
      <c r="B194" s="11">
        <v>1.0</v>
      </c>
      <c r="C194" s="11">
        <v>7.0</v>
      </c>
      <c r="D194" s="17">
        <v>16.0</v>
      </c>
      <c r="E194" s="108">
        <v>6.0</v>
      </c>
      <c r="F194" s="109">
        <v>-74823.39</v>
      </c>
      <c r="G194" s="109">
        <v>54709.44</v>
      </c>
      <c r="H194" s="109">
        <v>51659.47</v>
      </c>
      <c r="I194" s="109">
        <v>6144.51</v>
      </c>
      <c r="J194" s="109">
        <v>97898.22</v>
      </c>
      <c r="K194" s="109">
        <v>-77881.91</v>
      </c>
      <c r="L194" s="109">
        <v>-42640.55</v>
      </c>
      <c r="M194" s="109">
        <v>-81009.94</v>
      </c>
      <c r="N194" s="110">
        <v>112512.0</v>
      </c>
      <c r="O194" s="110">
        <v>112032.0</v>
      </c>
      <c r="P194" s="110">
        <v>50223.0</v>
      </c>
      <c r="Q194" s="110">
        <v>113032.0</v>
      </c>
      <c r="R194" s="50">
        <v>92715.0</v>
      </c>
      <c r="S194" s="111">
        <v>50.0</v>
      </c>
      <c r="T194" s="112">
        <v>83.0</v>
      </c>
      <c r="U194" s="24" t="s">
        <v>39</v>
      </c>
      <c r="V194" s="11" t="s">
        <v>3990</v>
      </c>
      <c r="W194" s="108">
        <v>3.0</v>
      </c>
      <c r="X194" s="113">
        <v>41118.0</v>
      </c>
      <c r="Y194" s="113">
        <v>101317.0</v>
      </c>
      <c r="Z194" s="11">
        <v>146.0</v>
      </c>
      <c r="AA194" s="113">
        <v>121619.0</v>
      </c>
      <c r="AB194" s="109">
        <v>87592.44</v>
      </c>
      <c r="AC194" s="113">
        <v>40216.0</v>
      </c>
      <c r="AD194" s="108">
        <v>6.0</v>
      </c>
    </row>
    <row r="195">
      <c r="A195" s="11">
        <v>24.0</v>
      </c>
      <c r="B195" s="11">
        <v>2.0</v>
      </c>
      <c r="C195" s="11">
        <v>7.0</v>
      </c>
      <c r="D195" s="17">
        <v>88.0</v>
      </c>
      <c r="E195" s="108">
        <v>2.0</v>
      </c>
      <c r="F195" s="109">
        <v>-23922.0</v>
      </c>
      <c r="G195" s="109">
        <v>-24874.15</v>
      </c>
      <c r="H195" s="109">
        <v>37483.09</v>
      </c>
      <c r="I195" s="109">
        <v>-54567.77</v>
      </c>
      <c r="J195" s="109">
        <v>-14369.92</v>
      </c>
      <c r="K195" s="109">
        <v>-65246.9</v>
      </c>
      <c r="L195" s="109">
        <v>30674.07</v>
      </c>
      <c r="M195" s="109">
        <v>84542.81</v>
      </c>
      <c r="N195" s="110">
        <v>21312.0</v>
      </c>
      <c r="O195" s="110">
        <v>20542.0</v>
      </c>
      <c r="P195" s="110">
        <v>52223.0</v>
      </c>
      <c r="Q195" s="110">
        <v>22842.0</v>
      </c>
      <c r="R195" s="50">
        <v>102318.0</v>
      </c>
      <c r="S195" s="111">
        <v>54.0</v>
      </c>
      <c r="T195" s="112">
        <v>93.0</v>
      </c>
      <c r="U195" s="24" t="s">
        <v>48</v>
      </c>
      <c r="V195" s="11" t="s">
        <v>3911</v>
      </c>
      <c r="W195" s="108">
        <v>8.0</v>
      </c>
      <c r="X195" s="113">
        <v>71520.0</v>
      </c>
      <c r="Y195" s="113">
        <v>102821.0</v>
      </c>
      <c r="Z195" s="11">
        <v>146.0</v>
      </c>
      <c r="AA195" s="113">
        <v>71116.0</v>
      </c>
      <c r="AB195" s="109">
        <v>29959.15</v>
      </c>
      <c r="AC195" s="113">
        <v>12822.0</v>
      </c>
      <c r="AD195" s="108">
        <v>9.0</v>
      </c>
    </row>
    <row r="196">
      <c r="A196" s="11">
        <v>24.0</v>
      </c>
      <c r="B196" s="11">
        <v>2.0</v>
      </c>
      <c r="C196" s="11">
        <v>9.0</v>
      </c>
      <c r="D196" s="17">
        <v>97.0</v>
      </c>
      <c r="E196" s="108">
        <v>3.0</v>
      </c>
      <c r="F196" s="109">
        <v>98160.84</v>
      </c>
      <c r="G196" s="109">
        <v>54384.51</v>
      </c>
      <c r="H196" s="109">
        <v>88293.26</v>
      </c>
      <c r="I196" s="109">
        <v>5475.71</v>
      </c>
      <c r="J196" s="109">
        <v>53160.6</v>
      </c>
      <c r="K196" s="109">
        <v>-51914.74</v>
      </c>
      <c r="L196" s="109">
        <v>-1834.21</v>
      </c>
      <c r="M196" s="109">
        <v>84160.79</v>
      </c>
      <c r="N196" s="110">
        <v>50713.0</v>
      </c>
      <c r="O196" s="110">
        <v>50523.0</v>
      </c>
      <c r="P196" s="110">
        <v>50623.0</v>
      </c>
      <c r="Q196" s="110">
        <v>53123.0</v>
      </c>
      <c r="R196" s="50">
        <v>80418.0</v>
      </c>
      <c r="S196" s="111">
        <v>54.0</v>
      </c>
      <c r="T196" s="112">
        <v>93.0</v>
      </c>
      <c r="U196" s="24" t="s">
        <v>603</v>
      </c>
      <c r="V196" s="11" t="s">
        <v>3882</v>
      </c>
      <c r="W196" s="108">
        <v>8.0</v>
      </c>
      <c r="X196" s="113">
        <v>60415.0</v>
      </c>
      <c r="Y196" s="113">
        <v>102819.0</v>
      </c>
      <c r="Z196" s="11">
        <v>151.0</v>
      </c>
      <c r="AA196" s="113">
        <v>20822.0</v>
      </c>
      <c r="AB196" s="109">
        <v>-51979.21</v>
      </c>
      <c r="AC196" s="113">
        <v>31816.0</v>
      </c>
      <c r="AD196" s="108">
        <v>3.0</v>
      </c>
    </row>
    <row r="197">
      <c r="A197" s="11">
        <v>85.0</v>
      </c>
      <c r="B197" s="11">
        <v>7.0</v>
      </c>
      <c r="C197" s="11">
        <v>3.0</v>
      </c>
      <c r="D197" s="17">
        <v>46.0</v>
      </c>
      <c r="E197" s="108">
        <v>7.0</v>
      </c>
      <c r="F197" s="109">
        <v>-25144.54</v>
      </c>
      <c r="G197" s="109">
        <v>-45479.46</v>
      </c>
      <c r="H197" s="109">
        <v>-64420.47</v>
      </c>
      <c r="I197" s="109">
        <v>35722.2</v>
      </c>
      <c r="J197" s="109">
        <v>54975.91</v>
      </c>
      <c r="K197" s="109">
        <v>-69310.15</v>
      </c>
      <c r="L197" s="109">
        <v>13218.17</v>
      </c>
      <c r="M197" s="109">
        <v>46555.79</v>
      </c>
      <c r="N197" s="110">
        <v>31110.0</v>
      </c>
      <c r="O197" s="110">
        <v>30340.0</v>
      </c>
      <c r="P197" s="110">
        <v>52223.0</v>
      </c>
      <c r="Q197" s="110">
        <v>33140.0</v>
      </c>
      <c r="R197" s="50">
        <v>40115.0</v>
      </c>
      <c r="S197" s="111">
        <v>55.0</v>
      </c>
      <c r="T197" s="112">
        <v>74.0</v>
      </c>
      <c r="U197" s="24" t="s">
        <v>48</v>
      </c>
      <c r="V197" s="11" t="s">
        <v>3926</v>
      </c>
      <c r="W197" s="108">
        <v>2.0</v>
      </c>
      <c r="X197" s="113">
        <v>10814.0</v>
      </c>
      <c r="Y197" s="113">
        <v>121123.0</v>
      </c>
      <c r="Z197" s="11">
        <v>174.0</v>
      </c>
      <c r="AA197" s="113">
        <v>10520.0</v>
      </c>
      <c r="AB197" s="109">
        <v>62238.66</v>
      </c>
      <c r="AC197" s="113">
        <v>122522.0</v>
      </c>
      <c r="AD197" s="108">
        <v>6.0</v>
      </c>
    </row>
    <row r="198">
      <c r="A198" s="11">
        <v>44.0</v>
      </c>
      <c r="B198" s="11">
        <v>8.0</v>
      </c>
      <c r="C198" s="11">
        <v>1.0</v>
      </c>
      <c r="D198" s="17">
        <v>74.0</v>
      </c>
      <c r="E198" s="108">
        <v>7.0</v>
      </c>
      <c r="F198" s="109">
        <v>31672.83</v>
      </c>
      <c r="G198" s="109">
        <v>50135.87</v>
      </c>
      <c r="H198" s="109">
        <v>-63915.14</v>
      </c>
      <c r="I198" s="109">
        <v>-22986.32</v>
      </c>
      <c r="J198" s="109">
        <v>-29589.66</v>
      </c>
      <c r="K198" s="109">
        <v>-10253.46</v>
      </c>
      <c r="L198" s="109">
        <v>-90166.95</v>
      </c>
      <c r="M198" s="109">
        <v>22234.51</v>
      </c>
      <c r="N198" s="110">
        <v>41811.0</v>
      </c>
      <c r="O198" s="110">
        <v>41041.0</v>
      </c>
      <c r="P198" s="110">
        <v>50923.0</v>
      </c>
      <c r="Q198" s="110">
        <v>43041.0</v>
      </c>
      <c r="R198" s="50">
        <v>53019.0</v>
      </c>
      <c r="S198" s="111">
        <v>53.0</v>
      </c>
      <c r="T198" s="112">
        <v>13.0</v>
      </c>
      <c r="U198" s="24" t="s">
        <v>603</v>
      </c>
      <c r="V198" s="11" t="s">
        <v>3975</v>
      </c>
      <c r="W198" s="108">
        <v>8.0</v>
      </c>
      <c r="X198" s="113">
        <v>51223.0</v>
      </c>
      <c r="Y198" s="113">
        <v>102917.0</v>
      </c>
      <c r="Z198" s="11">
        <v>183.0</v>
      </c>
      <c r="AA198" s="113">
        <v>70317.0</v>
      </c>
      <c r="AB198" s="109">
        <v>-13311.14</v>
      </c>
      <c r="AC198" s="113">
        <v>62722.0</v>
      </c>
      <c r="AD198" s="108">
        <v>6.0</v>
      </c>
    </row>
    <row r="199">
      <c r="A199" s="11">
        <v>85.0</v>
      </c>
      <c r="B199" s="11">
        <v>7.0</v>
      </c>
      <c r="C199" s="11">
        <v>9.0</v>
      </c>
      <c r="D199" s="17">
        <v>20.0</v>
      </c>
      <c r="E199" s="108">
        <v>9.0</v>
      </c>
      <c r="F199" s="109">
        <v>11485.4</v>
      </c>
      <c r="G199" s="109">
        <v>27414.55</v>
      </c>
      <c r="H199" s="109">
        <v>-71052.95</v>
      </c>
      <c r="I199" s="109">
        <v>84500.51</v>
      </c>
      <c r="J199" s="109">
        <v>-21785.58</v>
      </c>
      <c r="K199" s="109">
        <v>-8370.02</v>
      </c>
      <c r="L199" s="109">
        <v>93572.13</v>
      </c>
      <c r="M199" s="109">
        <v>43874.02</v>
      </c>
      <c r="N199" s="110">
        <v>20312.0</v>
      </c>
      <c r="O199" s="110">
        <v>13122.0</v>
      </c>
      <c r="P199" s="110">
        <v>50623.0</v>
      </c>
      <c r="Q199" s="110">
        <v>13122.0</v>
      </c>
      <c r="R199" s="50">
        <v>123016.0</v>
      </c>
      <c r="S199" s="111">
        <v>53.0</v>
      </c>
      <c r="T199" s="112">
        <v>49.0</v>
      </c>
      <c r="U199" s="24" t="s">
        <v>31</v>
      </c>
      <c r="V199" s="11" t="s">
        <v>3991</v>
      </c>
      <c r="W199" s="108">
        <v>4.0</v>
      </c>
      <c r="X199" s="113">
        <v>61921.0</v>
      </c>
      <c r="Y199" s="113">
        <v>41218.0</v>
      </c>
      <c r="Z199" s="11">
        <v>189.0</v>
      </c>
      <c r="AA199" s="113">
        <v>91722.0</v>
      </c>
      <c r="AB199" s="109">
        <v>-95190.21</v>
      </c>
      <c r="AC199" s="113">
        <v>61922.0</v>
      </c>
      <c r="AD199" s="108">
        <v>0.0</v>
      </c>
    </row>
    <row r="200">
      <c r="A200" s="11">
        <v>85.0</v>
      </c>
      <c r="B200" s="11">
        <v>8.0</v>
      </c>
      <c r="C200" s="11">
        <v>2.0</v>
      </c>
      <c r="D200" s="17">
        <v>11.0</v>
      </c>
      <c r="E200" s="108">
        <v>8.0</v>
      </c>
      <c r="F200" s="109">
        <v>-98618.97</v>
      </c>
      <c r="G200" s="109">
        <v>71243.96</v>
      </c>
      <c r="H200" s="109">
        <v>-76131.92</v>
      </c>
      <c r="I200" s="109">
        <v>-90251.72</v>
      </c>
      <c r="J200" s="109">
        <v>54708.15</v>
      </c>
      <c r="K200" s="109">
        <v>-40738.0</v>
      </c>
      <c r="L200" s="109">
        <v>-18995.79</v>
      </c>
      <c r="M200" s="109">
        <v>29079.73</v>
      </c>
      <c r="N200" s="110">
        <v>70811.0</v>
      </c>
      <c r="O200" s="110">
        <v>63041.0</v>
      </c>
      <c r="P200" s="110">
        <v>51123.0</v>
      </c>
      <c r="Q200" s="110">
        <v>63041.0</v>
      </c>
      <c r="R200" s="50">
        <v>112914.0</v>
      </c>
      <c r="S200" s="111">
        <v>52.0</v>
      </c>
      <c r="T200" s="112">
        <v>23.0</v>
      </c>
      <c r="U200" s="24" t="s">
        <v>603</v>
      </c>
      <c r="V200" s="11" t="s">
        <v>3992</v>
      </c>
      <c r="W200" s="108">
        <v>2.0</v>
      </c>
      <c r="X200" s="113">
        <v>70619.0</v>
      </c>
      <c r="Y200" s="113">
        <v>81713.0</v>
      </c>
      <c r="Z200" s="11">
        <v>196.0</v>
      </c>
      <c r="AA200" s="113">
        <v>102215.0</v>
      </c>
      <c r="AB200" s="109">
        <v>-62590.98</v>
      </c>
      <c r="AC200" s="113">
        <v>62420.0</v>
      </c>
      <c r="AD200" s="108">
        <v>9.0</v>
      </c>
    </row>
    <row r="201">
      <c r="A201" s="11">
        <v>85.0</v>
      </c>
      <c r="B201" s="11">
        <v>8.0</v>
      </c>
      <c r="C201" s="11">
        <v>4.0</v>
      </c>
      <c r="D201" s="17">
        <v>79.0</v>
      </c>
      <c r="E201" s="108">
        <v>0.0</v>
      </c>
      <c r="F201" s="109">
        <v>-88507.09</v>
      </c>
      <c r="G201" s="109">
        <v>-55202.76</v>
      </c>
      <c r="H201" s="109">
        <v>-18291.51</v>
      </c>
      <c r="I201" s="109">
        <v>-70412.54</v>
      </c>
      <c r="J201" s="109">
        <v>-17195.17</v>
      </c>
      <c r="K201" s="109">
        <v>11287.64</v>
      </c>
      <c r="L201" s="109">
        <v>19912.91</v>
      </c>
      <c r="M201" s="109">
        <v>-48773.76</v>
      </c>
      <c r="N201" s="110">
        <v>70712.0</v>
      </c>
      <c r="O201" s="110">
        <v>70522.0</v>
      </c>
      <c r="P201" s="110">
        <v>52123.0</v>
      </c>
      <c r="Q201" s="110">
        <v>73122.0</v>
      </c>
      <c r="R201" s="50">
        <v>22021.0</v>
      </c>
      <c r="S201" s="111">
        <v>50.0</v>
      </c>
      <c r="T201" s="112">
        <v>90.0</v>
      </c>
      <c r="U201" s="24" t="s">
        <v>48</v>
      </c>
      <c r="V201" s="11" t="s">
        <v>3891</v>
      </c>
      <c r="W201" s="108">
        <v>8.0</v>
      </c>
      <c r="X201" s="113">
        <v>102913.0</v>
      </c>
      <c r="Y201" s="113">
        <v>61221.0</v>
      </c>
      <c r="Z201" s="11">
        <v>187.0</v>
      </c>
      <c r="AA201" s="113">
        <v>20319.0</v>
      </c>
      <c r="AB201" s="109">
        <v>-22312.38</v>
      </c>
      <c r="AC201" s="113">
        <v>10616.0</v>
      </c>
      <c r="AD201" s="108">
        <v>8.0</v>
      </c>
    </row>
    <row r="202">
      <c r="A202" s="11">
        <v>85.0</v>
      </c>
      <c r="B202" s="11">
        <v>8.0</v>
      </c>
      <c r="C202" s="11">
        <v>9.0</v>
      </c>
      <c r="D202" s="17">
        <v>58.0</v>
      </c>
      <c r="E202" s="108">
        <v>3.0</v>
      </c>
      <c r="F202" s="109">
        <v>-64103.4</v>
      </c>
      <c r="G202" s="109">
        <v>78282.6</v>
      </c>
      <c r="H202" s="109">
        <v>92209.26</v>
      </c>
      <c r="I202" s="109">
        <v>-18739.2</v>
      </c>
      <c r="J202" s="109">
        <v>78460.13</v>
      </c>
      <c r="K202" s="109">
        <v>35200.31</v>
      </c>
      <c r="L202" s="109">
        <v>-86651.33</v>
      </c>
      <c r="M202" s="109">
        <v>-23050.15</v>
      </c>
      <c r="N202" s="110">
        <v>90514.0</v>
      </c>
      <c r="O202" s="110">
        <v>90224.0</v>
      </c>
      <c r="P202" s="110">
        <v>52323.0</v>
      </c>
      <c r="Q202" s="110">
        <v>93024.0</v>
      </c>
      <c r="R202" s="50">
        <v>60616.0</v>
      </c>
      <c r="S202" s="111">
        <v>55.0</v>
      </c>
      <c r="T202" s="112">
        <v>59.0</v>
      </c>
      <c r="U202" s="24" t="s">
        <v>601</v>
      </c>
      <c r="V202" s="11" t="s">
        <v>3942</v>
      </c>
      <c r="W202" s="108">
        <v>2.0</v>
      </c>
      <c r="X202" s="113">
        <v>62720.0</v>
      </c>
      <c r="Y202" s="113">
        <v>62622.0</v>
      </c>
      <c r="Z202" s="11">
        <v>169.0</v>
      </c>
      <c r="AA202" s="113">
        <v>11018.0</v>
      </c>
      <c r="AB202" s="109">
        <v>8402.28</v>
      </c>
      <c r="AC202" s="113">
        <v>10814.0</v>
      </c>
      <c r="AD202" s="108">
        <v>3.0</v>
      </c>
    </row>
    <row r="203">
      <c r="A203" s="11">
        <v>65.0</v>
      </c>
      <c r="B203" s="11">
        <v>4.0</v>
      </c>
      <c r="C203" s="11">
        <v>2.0</v>
      </c>
      <c r="D203" s="17">
        <v>74.0</v>
      </c>
      <c r="E203" s="108">
        <v>2.0</v>
      </c>
      <c r="F203" s="109">
        <v>-16038.74</v>
      </c>
      <c r="G203" s="109">
        <v>-13929.47</v>
      </c>
      <c r="H203" s="109">
        <v>57755.27</v>
      </c>
      <c r="I203" s="109">
        <v>62108.5</v>
      </c>
      <c r="J203" s="109">
        <v>-53818.09</v>
      </c>
      <c r="K203" s="109">
        <v>-61777.64</v>
      </c>
      <c r="L203" s="109">
        <v>66982.68</v>
      </c>
      <c r="M203" s="109">
        <v>3770.31</v>
      </c>
      <c r="N203" s="110">
        <v>102813.0</v>
      </c>
      <c r="O203" s="110">
        <v>102333.0</v>
      </c>
      <c r="P203" s="110">
        <v>51723.0</v>
      </c>
      <c r="Q203" s="110">
        <v>103133.0</v>
      </c>
      <c r="R203" s="50">
        <v>52015.0</v>
      </c>
      <c r="S203" s="111">
        <v>55.0</v>
      </c>
      <c r="T203" s="112">
        <v>5.0</v>
      </c>
      <c r="U203" s="24" t="s">
        <v>48</v>
      </c>
      <c r="V203" s="11" t="s">
        <v>3993</v>
      </c>
      <c r="W203" s="108">
        <v>9.0</v>
      </c>
      <c r="X203" s="113">
        <v>10814.0</v>
      </c>
      <c r="Y203" s="113">
        <v>10120.0</v>
      </c>
      <c r="Z203" s="11">
        <v>172.0</v>
      </c>
      <c r="AA203" s="113">
        <v>121116.0</v>
      </c>
      <c r="AB203" s="109">
        <v>-28020.65</v>
      </c>
      <c r="AC203" s="113">
        <v>93015.0</v>
      </c>
      <c r="AD203" s="108">
        <v>1.0</v>
      </c>
    </row>
    <row r="204">
      <c r="A204" s="11">
        <v>44.0</v>
      </c>
      <c r="B204" s="11">
        <v>9.0</v>
      </c>
      <c r="C204" s="11">
        <v>4.0</v>
      </c>
      <c r="D204" s="17">
        <v>91.0</v>
      </c>
      <c r="E204" s="108">
        <v>5.0</v>
      </c>
      <c r="F204" s="109">
        <v>-81702.73</v>
      </c>
      <c r="G204" s="109">
        <v>24705.52</v>
      </c>
      <c r="H204" s="109">
        <v>56391.23</v>
      </c>
      <c r="I204" s="109">
        <v>63310.15</v>
      </c>
      <c r="J204" s="109">
        <v>10241.12</v>
      </c>
      <c r="K204" s="109">
        <v>47110.55</v>
      </c>
      <c r="L204" s="109">
        <v>88381.35</v>
      </c>
      <c r="M204" s="109">
        <v>-39497.23</v>
      </c>
      <c r="N204" s="110">
        <v>62313.0</v>
      </c>
      <c r="O204" s="110">
        <v>61833.0</v>
      </c>
      <c r="P204" s="110">
        <v>52023.0</v>
      </c>
      <c r="Q204" s="110">
        <v>63033.0</v>
      </c>
      <c r="R204" s="50">
        <v>11522.0</v>
      </c>
      <c r="S204" s="111">
        <v>51.0</v>
      </c>
      <c r="T204" s="112">
        <v>2.0</v>
      </c>
      <c r="U204" s="24" t="s">
        <v>48</v>
      </c>
      <c r="V204" s="11" t="s">
        <v>3890</v>
      </c>
      <c r="W204" s="108">
        <v>8.0</v>
      </c>
      <c r="X204" s="113">
        <v>90513.0</v>
      </c>
      <c r="Y204" s="113">
        <v>20120.0</v>
      </c>
      <c r="Z204" s="11">
        <v>199.0</v>
      </c>
      <c r="AA204" s="113">
        <v>22921.0</v>
      </c>
      <c r="AB204" s="109">
        <v>89914.36</v>
      </c>
      <c r="AC204" s="113">
        <v>52021.0</v>
      </c>
      <c r="AD204" s="108">
        <v>0.0</v>
      </c>
    </row>
    <row r="205">
      <c r="A205" s="11">
        <v>65.0</v>
      </c>
      <c r="B205" s="11">
        <v>4.0</v>
      </c>
      <c r="C205" s="11">
        <v>4.0</v>
      </c>
      <c r="D205" s="17">
        <v>95.0</v>
      </c>
      <c r="E205" s="108">
        <v>2.0</v>
      </c>
      <c r="F205" s="109">
        <v>-34977.12</v>
      </c>
      <c r="G205" s="109">
        <v>-87089.34</v>
      </c>
      <c r="H205" s="109">
        <v>-57065.77</v>
      </c>
      <c r="I205" s="109">
        <v>-28938.33</v>
      </c>
      <c r="J205" s="109">
        <v>-38378.26</v>
      </c>
      <c r="K205" s="109">
        <v>16670.82</v>
      </c>
      <c r="L205" s="109">
        <v>-4408.02</v>
      </c>
      <c r="M205" s="109">
        <v>20413.9</v>
      </c>
      <c r="N205" s="110">
        <v>112014.0</v>
      </c>
      <c r="O205" s="110">
        <v>111534.0</v>
      </c>
      <c r="P205" s="110">
        <v>52223.0</v>
      </c>
      <c r="Q205" s="110">
        <v>113034.0</v>
      </c>
      <c r="R205" s="50">
        <v>71517.0</v>
      </c>
      <c r="S205" s="111">
        <v>54.0</v>
      </c>
      <c r="T205" s="112">
        <v>95.0</v>
      </c>
      <c r="U205" s="24" t="s">
        <v>39</v>
      </c>
      <c r="V205" s="11" t="s">
        <v>3994</v>
      </c>
      <c r="W205" s="108">
        <v>7.0</v>
      </c>
      <c r="X205" s="113">
        <v>122418.0</v>
      </c>
      <c r="Y205" s="113">
        <v>13117.0</v>
      </c>
      <c r="Z205" s="11">
        <v>185.0</v>
      </c>
      <c r="AA205" s="113">
        <v>102614.0</v>
      </c>
      <c r="AB205" s="109">
        <v>87126.11</v>
      </c>
      <c r="AC205" s="113">
        <v>23018.0</v>
      </c>
      <c r="AD205" s="108">
        <v>0.0</v>
      </c>
    </row>
    <row r="206">
      <c r="A206" s="11">
        <v>85.0</v>
      </c>
      <c r="B206" s="11">
        <v>9.0</v>
      </c>
      <c r="C206" s="11">
        <v>3.0</v>
      </c>
      <c r="D206" s="17">
        <v>25.0</v>
      </c>
      <c r="E206" s="108">
        <v>3.0</v>
      </c>
      <c r="F206" s="109">
        <v>58578.52</v>
      </c>
      <c r="G206" s="109">
        <v>82340.83</v>
      </c>
      <c r="H206" s="109">
        <v>54244.84</v>
      </c>
      <c r="I206" s="109">
        <v>49750.55</v>
      </c>
      <c r="J206" s="109">
        <v>53313.22</v>
      </c>
      <c r="K206" s="109">
        <v>-20196.06</v>
      </c>
      <c r="L206" s="109">
        <v>-70862.31</v>
      </c>
      <c r="M206" s="109">
        <v>25919.86</v>
      </c>
      <c r="N206" s="110">
        <v>42910.0</v>
      </c>
      <c r="O206" s="110">
        <v>42430.0</v>
      </c>
      <c r="P206" s="110">
        <v>50423.0</v>
      </c>
      <c r="Q206" s="110">
        <v>43030.0</v>
      </c>
      <c r="R206" s="50">
        <v>91014.0</v>
      </c>
      <c r="S206" s="111">
        <v>53.0</v>
      </c>
      <c r="T206" s="112">
        <v>85.0</v>
      </c>
      <c r="U206" s="24" t="s">
        <v>603</v>
      </c>
      <c r="V206" s="11" t="s">
        <v>3868</v>
      </c>
      <c r="W206" s="108">
        <v>9.0</v>
      </c>
      <c r="X206" s="113">
        <v>100916.0</v>
      </c>
      <c r="Y206" s="113">
        <v>21513.0</v>
      </c>
      <c r="Z206" s="11">
        <v>125.0</v>
      </c>
      <c r="AA206" s="113">
        <v>111022.0</v>
      </c>
      <c r="AB206" s="109">
        <v>-89068.8</v>
      </c>
      <c r="AC206" s="113">
        <v>70720.0</v>
      </c>
      <c r="AD206" s="108">
        <v>2.0</v>
      </c>
    </row>
    <row r="207">
      <c r="A207" s="11">
        <v>44.0</v>
      </c>
      <c r="B207" s="11">
        <v>9.0</v>
      </c>
      <c r="C207" s="11">
        <v>7.0</v>
      </c>
      <c r="D207" s="17">
        <v>13.0</v>
      </c>
      <c r="E207" s="108">
        <v>5.0</v>
      </c>
      <c r="F207" s="109">
        <v>-34826.22</v>
      </c>
      <c r="G207" s="109">
        <v>-90270.22</v>
      </c>
      <c r="H207" s="109">
        <v>60562.34</v>
      </c>
      <c r="I207" s="109">
        <v>66386.59</v>
      </c>
      <c r="J207" s="109">
        <v>58101.12</v>
      </c>
      <c r="K207" s="109">
        <v>35833.0</v>
      </c>
      <c r="L207" s="109">
        <v>80999.67</v>
      </c>
      <c r="M207" s="109">
        <v>-91221.33</v>
      </c>
      <c r="N207" s="110">
        <v>73112.0</v>
      </c>
      <c r="O207" s="110">
        <v>72922.0</v>
      </c>
      <c r="P207" s="110">
        <v>52523.0</v>
      </c>
      <c r="Q207" s="110">
        <v>73122.0</v>
      </c>
      <c r="R207" s="50">
        <v>30116.0</v>
      </c>
      <c r="S207" s="111">
        <v>53.0</v>
      </c>
      <c r="T207" s="112">
        <v>46.0</v>
      </c>
      <c r="U207" s="24" t="s">
        <v>31</v>
      </c>
      <c r="V207" s="11" t="s">
        <v>3851</v>
      </c>
      <c r="W207" s="108">
        <v>8.0</v>
      </c>
      <c r="X207" s="113">
        <v>82617.0</v>
      </c>
      <c r="Y207" s="113">
        <v>110322.0</v>
      </c>
      <c r="Z207" s="11">
        <v>185.0</v>
      </c>
      <c r="AA207" s="113">
        <v>82915.0</v>
      </c>
      <c r="AB207" s="109">
        <v>88589.34</v>
      </c>
      <c r="AC207" s="113">
        <v>51815.0</v>
      </c>
      <c r="AD207" s="108">
        <v>9.0</v>
      </c>
    </row>
    <row r="208">
      <c r="A208" s="11">
        <v>85.0</v>
      </c>
      <c r="B208" s="11">
        <v>9.0</v>
      </c>
      <c r="C208" s="11">
        <v>4.0</v>
      </c>
      <c r="D208" s="17">
        <v>50.0</v>
      </c>
      <c r="E208" s="108">
        <v>6.0</v>
      </c>
      <c r="F208" s="109">
        <v>-29442.55</v>
      </c>
      <c r="G208" s="109">
        <v>-95265.01</v>
      </c>
      <c r="H208" s="109">
        <v>19653.23</v>
      </c>
      <c r="I208" s="109">
        <v>30462.76</v>
      </c>
      <c r="J208" s="109">
        <v>-66149.84</v>
      </c>
      <c r="K208" s="109">
        <v>-1446.97</v>
      </c>
      <c r="L208" s="109">
        <v>-54517.77</v>
      </c>
      <c r="M208" s="109">
        <v>-41217.48</v>
      </c>
      <c r="N208" s="110">
        <v>121012.0</v>
      </c>
      <c r="O208" s="110">
        <v>120342.0</v>
      </c>
      <c r="P208" s="110">
        <v>52723.0</v>
      </c>
      <c r="Q208" s="110">
        <v>123141.0</v>
      </c>
      <c r="R208" s="50">
        <v>90521.0</v>
      </c>
      <c r="S208" s="111">
        <v>52.0</v>
      </c>
      <c r="T208" s="112">
        <v>53.0</v>
      </c>
      <c r="U208" s="24" t="s">
        <v>601</v>
      </c>
      <c r="V208" s="11" t="s">
        <v>3914</v>
      </c>
      <c r="W208" s="108">
        <v>7.0</v>
      </c>
      <c r="X208" s="113">
        <v>91321.0</v>
      </c>
      <c r="Y208" s="113">
        <v>91816.0</v>
      </c>
      <c r="Z208" s="11">
        <v>126.0</v>
      </c>
      <c r="AA208" s="113">
        <v>82819.0</v>
      </c>
      <c r="AB208" s="109">
        <v>-44170.19</v>
      </c>
      <c r="AC208" s="113">
        <v>31117.0</v>
      </c>
      <c r="AD208" s="108">
        <v>9.0</v>
      </c>
    </row>
    <row r="209">
      <c r="A209" s="11">
        <v>85.0</v>
      </c>
      <c r="B209" s="11">
        <v>9.0</v>
      </c>
      <c r="C209" s="11">
        <v>7.0</v>
      </c>
      <c r="D209" s="17">
        <v>86.0</v>
      </c>
      <c r="E209" s="108">
        <v>9.0</v>
      </c>
      <c r="F209" s="109">
        <v>83806.22</v>
      </c>
      <c r="G209" s="109">
        <v>-59390.64</v>
      </c>
      <c r="H209" s="109">
        <v>-61477.35</v>
      </c>
      <c r="I209" s="109">
        <v>50020.28</v>
      </c>
      <c r="J209" s="109">
        <v>-74535.56</v>
      </c>
      <c r="K209" s="109">
        <v>59931.04</v>
      </c>
      <c r="L209" s="109">
        <v>-34533.71</v>
      </c>
      <c r="M209" s="109">
        <v>93242.11</v>
      </c>
      <c r="N209" s="110">
        <v>70912.0</v>
      </c>
      <c r="O209" s="110">
        <v>70722.0</v>
      </c>
      <c r="P209" s="110">
        <v>50423.0</v>
      </c>
      <c r="Q209" s="110">
        <v>73122.0</v>
      </c>
      <c r="R209" s="50">
        <v>50216.0</v>
      </c>
      <c r="S209" s="111">
        <v>55.0</v>
      </c>
      <c r="T209" s="112">
        <v>68.0</v>
      </c>
      <c r="U209" s="24" t="s">
        <v>601</v>
      </c>
      <c r="V209" s="11" t="s">
        <v>3862</v>
      </c>
      <c r="W209" s="108">
        <v>6.0</v>
      </c>
      <c r="X209" s="113">
        <v>82120.0</v>
      </c>
      <c r="Y209" s="113">
        <v>72516.0</v>
      </c>
      <c r="Z209" s="11">
        <v>143.0</v>
      </c>
      <c r="AA209" s="113">
        <v>101714.0</v>
      </c>
      <c r="AB209" s="109">
        <v>-31098.6</v>
      </c>
      <c r="AC209" s="113">
        <v>11823.0</v>
      </c>
      <c r="AD209" s="108">
        <v>9.0</v>
      </c>
    </row>
    <row r="210">
      <c r="A210" s="11">
        <v>65.0</v>
      </c>
      <c r="B210" s="11">
        <v>4.0</v>
      </c>
      <c r="C210" s="11">
        <v>9.0</v>
      </c>
      <c r="D210" s="17">
        <v>34.0</v>
      </c>
      <c r="E210" s="108">
        <v>3.0</v>
      </c>
      <c r="F210" s="109">
        <v>-62360.02</v>
      </c>
      <c r="G210" s="109">
        <v>53178.57</v>
      </c>
      <c r="H210" s="109">
        <v>-82273.98</v>
      </c>
      <c r="I210" s="109">
        <v>86666.03</v>
      </c>
      <c r="J210" s="109">
        <v>16043.54</v>
      </c>
      <c r="K210" s="109">
        <v>21572.03</v>
      </c>
      <c r="L210" s="109">
        <v>-25697.53</v>
      </c>
      <c r="M210" s="109">
        <v>81757.43</v>
      </c>
      <c r="N210" s="110">
        <v>122111.0</v>
      </c>
      <c r="O210" s="110">
        <v>121631.0</v>
      </c>
      <c r="P210" s="110">
        <v>52023.0</v>
      </c>
      <c r="Q210" s="110">
        <v>123130.0</v>
      </c>
      <c r="R210" s="50">
        <v>92815.0</v>
      </c>
      <c r="S210" s="111">
        <v>51.0</v>
      </c>
      <c r="T210" s="112">
        <v>97.0</v>
      </c>
      <c r="U210" s="24" t="s">
        <v>31</v>
      </c>
      <c r="V210" s="11" t="s">
        <v>3962</v>
      </c>
      <c r="W210" s="108">
        <v>8.0</v>
      </c>
      <c r="X210" s="113">
        <v>50918.0</v>
      </c>
      <c r="Y210" s="113">
        <v>12717.0</v>
      </c>
      <c r="Z210" s="11">
        <v>101.0</v>
      </c>
      <c r="AA210" s="113">
        <v>43113.0</v>
      </c>
      <c r="AB210" s="109">
        <v>-68557.38</v>
      </c>
      <c r="AC210" s="113">
        <v>90823.0</v>
      </c>
      <c r="AD210" s="108">
        <v>2.0</v>
      </c>
    </row>
    <row r="211">
      <c r="A211" s="11">
        <v>24.0</v>
      </c>
      <c r="B211" s="11">
        <v>5.0</v>
      </c>
      <c r="C211" s="11">
        <v>6.0</v>
      </c>
      <c r="D211" s="17">
        <v>22.0</v>
      </c>
      <c r="E211" s="108">
        <v>9.0</v>
      </c>
      <c r="F211" s="109">
        <v>7497.86</v>
      </c>
      <c r="G211" s="109">
        <v>92844.6</v>
      </c>
      <c r="H211" s="109">
        <v>21115.46</v>
      </c>
      <c r="I211" s="109">
        <v>82742.54</v>
      </c>
      <c r="J211" s="109">
        <v>-93193.48</v>
      </c>
      <c r="K211" s="109">
        <v>-6219.78</v>
      </c>
      <c r="L211" s="109">
        <v>-73251.29</v>
      </c>
      <c r="M211" s="109">
        <v>-69387.29</v>
      </c>
      <c r="N211" s="110">
        <v>122211.0</v>
      </c>
      <c r="O211" s="110">
        <v>121921.0</v>
      </c>
      <c r="P211" s="110">
        <v>50923.0</v>
      </c>
      <c r="Q211" s="110">
        <v>123120.0</v>
      </c>
      <c r="R211" s="50">
        <v>122714.0</v>
      </c>
      <c r="S211" s="111">
        <v>54.0</v>
      </c>
      <c r="T211" s="112">
        <v>68.0</v>
      </c>
      <c r="U211" s="24" t="s">
        <v>48</v>
      </c>
      <c r="V211" s="11" t="s">
        <v>3851</v>
      </c>
      <c r="W211" s="108">
        <v>1.0</v>
      </c>
      <c r="X211" s="113">
        <v>101322.0</v>
      </c>
      <c r="Y211" s="113">
        <v>52016.0</v>
      </c>
      <c r="Z211" s="11">
        <v>121.0</v>
      </c>
      <c r="AA211" s="113">
        <v>32616.0</v>
      </c>
      <c r="AB211" s="109">
        <v>-44450.23</v>
      </c>
      <c r="AC211" s="113">
        <v>41322.0</v>
      </c>
      <c r="AD211" s="108">
        <v>5.0</v>
      </c>
    </row>
    <row r="212">
      <c r="A212" s="11">
        <v>65.0</v>
      </c>
      <c r="B212" s="11">
        <v>5.0</v>
      </c>
      <c r="C212" s="11">
        <v>4.0</v>
      </c>
      <c r="D212" s="17">
        <v>97.0</v>
      </c>
      <c r="E212" s="108">
        <v>9.0</v>
      </c>
      <c r="F212" s="109">
        <v>-19672.57</v>
      </c>
      <c r="G212" s="109">
        <v>56378.9</v>
      </c>
      <c r="H212" s="109">
        <v>-55020.47</v>
      </c>
      <c r="I212" s="109">
        <v>83770.76</v>
      </c>
      <c r="J212" s="109">
        <v>11155.4</v>
      </c>
      <c r="K212" s="109">
        <v>84520.64</v>
      </c>
      <c r="L212" s="109">
        <v>-24388.51</v>
      </c>
      <c r="M212" s="109">
        <v>97391.91</v>
      </c>
      <c r="N212" s="110">
        <v>20214.0</v>
      </c>
      <c r="O212" s="110">
        <v>13124.0</v>
      </c>
      <c r="P212" s="110">
        <v>51223.0</v>
      </c>
      <c r="Q212" s="110">
        <v>13124.0</v>
      </c>
      <c r="R212" s="50">
        <v>32015.0</v>
      </c>
      <c r="S212" s="111">
        <v>50.0</v>
      </c>
      <c r="T212" s="112">
        <v>76.0</v>
      </c>
      <c r="U212" s="24" t="s">
        <v>31</v>
      </c>
      <c r="V212" s="11" t="s">
        <v>3995</v>
      </c>
      <c r="W212" s="108">
        <v>2.0</v>
      </c>
      <c r="X212" s="113">
        <v>81221.0</v>
      </c>
      <c r="Y212" s="113">
        <v>81823.0</v>
      </c>
      <c r="Z212" s="11">
        <v>108.0</v>
      </c>
      <c r="AA212" s="113">
        <v>62520.0</v>
      </c>
      <c r="AB212" s="109">
        <v>70179.88</v>
      </c>
      <c r="AC212" s="113">
        <v>72115.0</v>
      </c>
      <c r="AD212" s="108">
        <v>2.0</v>
      </c>
    </row>
    <row r="213">
      <c r="A213" s="11">
        <v>65.0</v>
      </c>
      <c r="B213" s="11">
        <v>5.0</v>
      </c>
      <c r="C213" s="11">
        <v>5.0</v>
      </c>
      <c r="D213" s="17">
        <v>46.0</v>
      </c>
      <c r="E213" s="108">
        <v>1.0</v>
      </c>
      <c r="F213" s="109">
        <v>43161.98</v>
      </c>
      <c r="G213" s="109">
        <v>4155.92</v>
      </c>
      <c r="H213" s="109">
        <v>90185.9</v>
      </c>
      <c r="I213" s="109">
        <v>-18936.28</v>
      </c>
      <c r="J213" s="109">
        <v>-24834.92</v>
      </c>
      <c r="K213" s="109">
        <v>15415.33</v>
      </c>
      <c r="L213" s="109">
        <v>30741.13</v>
      </c>
      <c r="M213" s="109">
        <v>-72479.55</v>
      </c>
      <c r="N213" s="110">
        <v>32910.0</v>
      </c>
      <c r="O213" s="110">
        <v>32140.0</v>
      </c>
      <c r="P213" s="110">
        <v>51223.0</v>
      </c>
      <c r="Q213" s="110">
        <v>33140.0</v>
      </c>
      <c r="R213" s="50">
        <v>72620.0</v>
      </c>
      <c r="S213" s="111">
        <v>55.0</v>
      </c>
      <c r="T213" s="112">
        <v>33.0</v>
      </c>
      <c r="U213" s="24" t="s">
        <v>603</v>
      </c>
      <c r="V213" s="11" t="s">
        <v>3885</v>
      </c>
      <c r="W213" s="108">
        <v>1.0</v>
      </c>
      <c r="X213" s="113">
        <v>103015.0</v>
      </c>
      <c r="Y213" s="113">
        <v>50816.0</v>
      </c>
      <c r="Z213" s="11">
        <v>189.0</v>
      </c>
      <c r="AA213" s="113">
        <v>112613.0</v>
      </c>
      <c r="AB213" s="109">
        <v>77983.36</v>
      </c>
      <c r="AC213" s="113">
        <v>112223.0</v>
      </c>
      <c r="AD213" s="108">
        <v>1.0</v>
      </c>
    </row>
    <row r="214">
      <c r="A214" s="11">
        <v>65.0</v>
      </c>
      <c r="B214" s="11">
        <v>5.0</v>
      </c>
      <c r="C214" s="11">
        <v>7.0</v>
      </c>
      <c r="D214" s="17">
        <v>67.0</v>
      </c>
      <c r="E214" s="108">
        <v>6.0</v>
      </c>
      <c r="F214" s="109">
        <v>54579.52</v>
      </c>
      <c r="G214" s="109">
        <v>-53807.62</v>
      </c>
      <c r="H214" s="109">
        <v>-5338.77</v>
      </c>
      <c r="I214" s="109">
        <v>10142.74</v>
      </c>
      <c r="J214" s="109">
        <v>-42726.13</v>
      </c>
      <c r="K214" s="109">
        <v>93170.23</v>
      </c>
      <c r="L214" s="109">
        <v>-41664.42</v>
      </c>
      <c r="M214" s="109">
        <v>-31948.89</v>
      </c>
      <c r="N214" s="110">
        <v>13113.0</v>
      </c>
      <c r="O214" s="110">
        <v>12923.0</v>
      </c>
      <c r="P214" s="110">
        <v>50223.0</v>
      </c>
      <c r="Q214" s="110">
        <v>13123.0</v>
      </c>
      <c r="R214" s="50">
        <v>101214.0</v>
      </c>
      <c r="S214" s="111">
        <v>54.0</v>
      </c>
      <c r="T214" s="112">
        <v>86.0</v>
      </c>
      <c r="U214" s="24" t="s">
        <v>603</v>
      </c>
      <c r="V214" s="11" t="s">
        <v>3996</v>
      </c>
      <c r="W214" s="108">
        <v>7.0</v>
      </c>
      <c r="X214" s="113">
        <v>91720.0</v>
      </c>
      <c r="Y214" s="113">
        <v>62722.0</v>
      </c>
      <c r="Z214" s="11">
        <v>153.0</v>
      </c>
      <c r="AA214" s="113">
        <v>100421.0</v>
      </c>
      <c r="AB214" s="109">
        <v>-1230.45</v>
      </c>
      <c r="AC214" s="113">
        <v>50617.0</v>
      </c>
      <c r="AD214" s="108">
        <v>7.0</v>
      </c>
    </row>
    <row r="215">
      <c r="A215" s="11">
        <v>24.0</v>
      </c>
      <c r="B215" s="11">
        <v>6.0</v>
      </c>
      <c r="C215" s="11">
        <v>2.0</v>
      </c>
      <c r="D215" s="17">
        <v>25.0</v>
      </c>
      <c r="E215" s="108">
        <v>5.0</v>
      </c>
      <c r="F215" s="109">
        <v>-84951.33</v>
      </c>
      <c r="G215" s="109">
        <v>-28230.28</v>
      </c>
      <c r="H215" s="109">
        <v>4173.66</v>
      </c>
      <c r="I215" s="109">
        <v>-3717.52</v>
      </c>
      <c r="J215" s="109">
        <v>43414.03</v>
      </c>
      <c r="K215" s="109">
        <v>-95418.84</v>
      </c>
      <c r="L215" s="109">
        <v>50486.14</v>
      </c>
      <c r="M215" s="109">
        <v>35797.64</v>
      </c>
      <c r="N215" s="110">
        <v>12213.0</v>
      </c>
      <c r="O215" s="110">
        <v>11543.0</v>
      </c>
      <c r="P215" s="110">
        <v>52823.0</v>
      </c>
      <c r="Q215" s="110">
        <v>13143.0</v>
      </c>
      <c r="R215" s="50">
        <v>71714.0</v>
      </c>
      <c r="S215" s="111">
        <v>52.0</v>
      </c>
      <c r="T215" s="112">
        <v>73.0</v>
      </c>
      <c r="U215" s="24" t="s">
        <v>48</v>
      </c>
      <c r="V215" s="11" t="s">
        <v>3997</v>
      </c>
      <c r="W215" s="108">
        <v>7.0</v>
      </c>
      <c r="X215" s="113">
        <v>122118.0</v>
      </c>
      <c r="Y215" s="113">
        <v>90418.0</v>
      </c>
      <c r="Z215" s="11">
        <v>109.0</v>
      </c>
      <c r="AA215" s="113">
        <v>110121.0</v>
      </c>
      <c r="AB215" s="109">
        <v>-67570.42</v>
      </c>
      <c r="AC215" s="113">
        <v>120616.0</v>
      </c>
      <c r="AD215" s="108">
        <v>9.0</v>
      </c>
    </row>
    <row r="216">
      <c r="A216" s="11">
        <v>24.0</v>
      </c>
      <c r="B216" s="11">
        <v>6.0</v>
      </c>
      <c r="C216" s="11">
        <v>5.0</v>
      </c>
      <c r="D216" s="17">
        <v>89.0</v>
      </c>
      <c r="E216" s="108">
        <v>1.0</v>
      </c>
      <c r="F216" s="109">
        <v>40136.14</v>
      </c>
      <c r="G216" s="109">
        <v>90526.08</v>
      </c>
      <c r="H216" s="109">
        <v>-23298.08</v>
      </c>
      <c r="I216" s="109">
        <v>12715.78</v>
      </c>
      <c r="J216" s="109">
        <v>93325.25</v>
      </c>
      <c r="K216" s="109">
        <v>-81471.89</v>
      </c>
      <c r="L216" s="109">
        <v>52078.51</v>
      </c>
      <c r="M216" s="109">
        <v>55679.0</v>
      </c>
      <c r="N216" s="110">
        <v>21210.0</v>
      </c>
      <c r="O216" s="110">
        <v>21020.0</v>
      </c>
      <c r="P216" s="110">
        <v>50623.0</v>
      </c>
      <c r="Q216" s="110">
        <v>22920.0</v>
      </c>
      <c r="R216" s="50">
        <v>60419.0</v>
      </c>
      <c r="S216" s="111">
        <v>51.0</v>
      </c>
      <c r="T216" s="112">
        <v>34.0</v>
      </c>
      <c r="U216" s="24" t="s">
        <v>48</v>
      </c>
      <c r="V216" s="11" t="s">
        <v>3861</v>
      </c>
      <c r="W216" s="108">
        <v>2.0</v>
      </c>
      <c r="X216" s="113">
        <v>90915.0</v>
      </c>
      <c r="Y216" s="113">
        <v>52517.0</v>
      </c>
      <c r="Z216" s="11">
        <v>168.0</v>
      </c>
      <c r="AA216" s="113">
        <v>122223.0</v>
      </c>
      <c r="AB216" s="109">
        <v>-51905.59</v>
      </c>
      <c r="AC216" s="113">
        <v>32023.0</v>
      </c>
      <c r="AD216" s="108">
        <v>1.0</v>
      </c>
    </row>
    <row r="217">
      <c r="A217" s="11">
        <v>24.0</v>
      </c>
      <c r="B217" s="11">
        <v>6.0</v>
      </c>
      <c r="C217" s="11">
        <v>8.0</v>
      </c>
      <c r="D217" s="17">
        <v>36.0</v>
      </c>
      <c r="E217" s="108">
        <v>9.0</v>
      </c>
      <c r="F217" s="109">
        <v>-27833.7</v>
      </c>
      <c r="G217" s="109">
        <v>-78978.32</v>
      </c>
      <c r="H217" s="109">
        <v>1253.63</v>
      </c>
      <c r="I217" s="109">
        <v>59310.69</v>
      </c>
      <c r="J217" s="109">
        <v>38647.6</v>
      </c>
      <c r="K217" s="109">
        <v>-87340.05</v>
      </c>
      <c r="L217" s="109">
        <v>-35180.43</v>
      </c>
      <c r="M217" s="109">
        <v>-28242.06</v>
      </c>
      <c r="N217" s="110">
        <v>82212.0</v>
      </c>
      <c r="O217" s="110">
        <v>82022.0</v>
      </c>
      <c r="P217" s="110">
        <v>50623.0</v>
      </c>
      <c r="Q217" s="110">
        <v>83122.0</v>
      </c>
      <c r="R217" s="50">
        <v>62322.0</v>
      </c>
      <c r="S217" s="111">
        <v>51.0</v>
      </c>
      <c r="T217" s="112">
        <v>54.0</v>
      </c>
      <c r="U217" s="24" t="s">
        <v>601</v>
      </c>
      <c r="V217" s="11" t="s">
        <v>3998</v>
      </c>
      <c r="W217" s="108">
        <v>8.0</v>
      </c>
      <c r="X217" s="113">
        <v>81523.0</v>
      </c>
      <c r="Y217" s="113">
        <v>53123.0</v>
      </c>
      <c r="Z217" s="11">
        <v>189.0</v>
      </c>
      <c r="AA217" s="113">
        <v>90620.0</v>
      </c>
      <c r="AB217" s="109">
        <v>18540.03</v>
      </c>
      <c r="AC217" s="113">
        <v>51416.0</v>
      </c>
      <c r="AD217" s="108">
        <v>4.0</v>
      </c>
    </row>
    <row r="218">
      <c r="A218" s="11">
        <v>86.0</v>
      </c>
      <c r="B218" s="11">
        <v>1.0</v>
      </c>
      <c r="C218" s="11">
        <v>2.0</v>
      </c>
      <c r="D218" s="17">
        <v>35.0</v>
      </c>
      <c r="E218" s="108">
        <v>2.0</v>
      </c>
      <c r="F218" s="109">
        <v>11324.48</v>
      </c>
      <c r="G218" s="109">
        <v>6606.26</v>
      </c>
      <c r="H218" s="109">
        <v>-13777.94</v>
      </c>
      <c r="I218" s="109">
        <v>-26705.37</v>
      </c>
      <c r="J218" s="109">
        <v>49372.72</v>
      </c>
      <c r="K218" s="109">
        <v>28633.2</v>
      </c>
      <c r="L218" s="109">
        <v>29884.49</v>
      </c>
      <c r="M218" s="109">
        <v>-65914.37</v>
      </c>
      <c r="N218" s="110">
        <v>112912.0</v>
      </c>
      <c r="O218" s="110">
        <v>112242.0</v>
      </c>
      <c r="P218" s="110">
        <v>50523.0</v>
      </c>
      <c r="Q218" s="110">
        <v>113042.0</v>
      </c>
      <c r="R218" s="50">
        <v>82118.0</v>
      </c>
      <c r="S218" s="111">
        <v>55.0</v>
      </c>
      <c r="T218" s="112">
        <v>64.0</v>
      </c>
      <c r="U218" s="24" t="s">
        <v>39</v>
      </c>
      <c r="V218" s="11" t="s">
        <v>3999</v>
      </c>
      <c r="W218" s="108">
        <v>4.0</v>
      </c>
      <c r="X218" s="113">
        <v>81116.0</v>
      </c>
      <c r="Y218" s="113">
        <v>20318.0</v>
      </c>
      <c r="Z218" s="11">
        <v>113.0</v>
      </c>
      <c r="AA218" s="113">
        <v>21815.0</v>
      </c>
      <c r="AB218" s="109">
        <v>-16576.34</v>
      </c>
      <c r="AC218" s="113">
        <v>92813.0</v>
      </c>
      <c r="AD218" s="108">
        <v>0.0</v>
      </c>
    </row>
    <row r="219">
      <c r="A219" s="11">
        <v>65.0</v>
      </c>
      <c r="B219" s="11">
        <v>6.0</v>
      </c>
      <c r="C219" s="11">
        <v>6.0</v>
      </c>
      <c r="D219" s="17">
        <v>87.0</v>
      </c>
      <c r="E219" s="108">
        <v>0.0</v>
      </c>
      <c r="F219" s="109">
        <v>73117.88</v>
      </c>
      <c r="G219" s="109">
        <v>-34874.34</v>
      </c>
      <c r="H219" s="109">
        <v>-93071.35</v>
      </c>
      <c r="I219" s="109">
        <v>-91971.92</v>
      </c>
      <c r="J219" s="109">
        <v>-33080.82</v>
      </c>
      <c r="K219" s="109">
        <v>71549.92</v>
      </c>
      <c r="L219" s="109">
        <v>42675.06</v>
      </c>
      <c r="M219" s="109">
        <v>98174.34</v>
      </c>
      <c r="N219" s="110">
        <v>42511.0</v>
      </c>
      <c r="O219" s="110">
        <v>42031.0</v>
      </c>
      <c r="P219" s="110">
        <v>52223.0</v>
      </c>
      <c r="Q219" s="110">
        <v>43031.0</v>
      </c>
      <c r="R219" s="50">
        <v>120322.0</v>
      </c>
      <c r="S219" s="111">
        <v>50.0</v>
      </c>
      <c r="T219" s="112">
        <v>17.0</v>
      </c>
      <c r="U219" s="24" t="s">
        <v>601</v>
      </c>
      <c r="V219" s="11" t="s">
        <v>4000</v>
      </c>
      <c r="W219" s="108">
        <v>9.0</v>
      </c>
      <c r="X219" s="113">
        <v>101815.0</v>
      </c>
      <c r="Y219" s="113">
        <v>41016.0</v>
      </c>
      <c r="Z219" s="11">
        <v>120.0</v>
      </c>
      <c r="AA219" s="113">
        <v>121114.0</v>
      </c>
      <c r="AB219" s="109">
        <v>-24651.49</v>
      </c>
      <c r="AC219" s="113">
        <v>13022.0</v>
      </c>
      <c r="AD219" s="108">
        <v>0.0</v>
      </c>
    </row>
    <row r="220">
      <c r="A220" s="11">
        <v>65.0</v>
      </c>
      <c r="B220" s="11">
        <v>6.0</v>
      </c>
      <c r="C220" s="11">
        <v>7.0</v>
      </c>
      <c r="D220" s="17">
        <v>78.0</v>
      </c>
      <c r="E220" s="108">
        <v>7.0</v>
      </c>
      <c r="F220" s="109">
        <v>-97022.91</v>
      </c>
      <c r="G220" s="109">
        <v>-27331.15</v>
      </c>
      <c r="H220" s="109">
        <v>-16457.8</v>
      </c>
      <c r="I220" s="109">
        <v>-25539.96</v>
      </c>
      <c r="J220" s="109">
        <v>-94239.84</v>
      </c>
      <c r="K220" s="109">
        <v>-64220.95</v>
      </c>
      <c r="L220" s="109">
        <v>4971.22</v>
      </c>
      <c r="M220" s="109">
        <v>-35369.28</v>
      </c>
      <c r="N220" s="110">
        <v>110611.0</v>
      </c>
      <c r="O220" s="110">
        <v>110131.0</v>
      </c>
      <c r="P220" s="110">
        <v>52223.0</v>
      </c>
      <c r="Q220" s="110">
        <v>113031.0</v>
      </c>
      <c r="R220" s="50">
        <v>52621.0</v>
      </c>
      <c r="S220" s="111">
        <v>52.0</v>
      </c>
      <c r="T220" s="112">
        <v>64.0</v>
      </c>
      <c r="U220" s="24" t="s">
        <v>39</v>
      </c>
      <c r="V220" s="11" t="s">
        <v>3905</v>
      </c>
      <c r="W220" s="108">
        <v>7.0</v>
      </c>
      <c r="X220" s="113">
        <v>70720.0</v>
      </c>
      <c r="Y220" s="113">
        <v>70915.0</v>
      </c>
      <c r="Z220" s="11">
        <v>198.0</v>
      </c>
      <c r="AA220" s="113">
        <v>61315.0</v>
      </c>
      <c r="AB220" s="109">
        <v>-93862.86</v>
      </c>
      <c r="AC220" s="113">
        <v>122721.0</v>
      </c>
      <c r="AD220" s="108">
        <v>1.0</v>
      </c>
    </row>
    <row r="221">
      <c r="A221" s="11">
        <v>24.0</v>
      </c>
      <c r="B221" s="11">
        <v>7.0</v>
      </c>
      <c r="C221" s="11">
        <v>3.0</v>
      </c>
      <c r="D221" s="17">
        <v>53.0</v>
      </c>
      <c r="E221" s="108">
        <v>5.0</v>
      </c>
      <c r="F221" s="109">
        <v>-34235.69</v>
      </c>
      <c r="G221" s="109">
        <v>32914.27</v>
      </c>
      <c r="H221" s="109">
        <v>77112.77</v>
      </c>
      <c r="I221" s="109">
        <v>83996.44</v>
      </c>
      <c r="J221" s="109">
        <v>-75969.57</v>
      </c>
      <c r="K221" s="109">
        <v>11894.9</v>
      </c>
      <c r="L221" s="109">
        <v>47644.15</v>
      </c>
      <c r="M221" s="109">
        <v>-13871.92</v>
      </c>
      <c r="N221" s="110">
        <v>51214.0</v>
      </c>
      <c r="O221" s="110">
        <v>50924.0</v>
      </c>
      <c r="P221" s="110">
        <v>51223.0</v>
      </c>
      <c r="Q221" s="110">
        <v>53124.0</v>
      </c>
      <c r="R221" s="50">
        <v>10213.0</v>
      </c>
      <c r="S221" s="111">
        <v>51.0</v>
      </c>
      <c r="T221" s="112">
        <v>12.0</v>
      </c>
      <c r="U221" s="24" t="s">
        <v>31</v>
      </c>
      <c r="V221" s="11" t="s">
        <v>3887</v>
      </c>
      <c r="W221" s="108">
        <v>4.0</v>
      </c>
      <c r="X221" s="113">
        <v>71019.0</v>
      </c>
      <c r="Y221" s="113">
        <v>92913.0</v>
      </c>
      <c r="Z221" s="11">
        <v>176.0</v>
      </c>
      <c r="AA221" s="113">
        <v>70813.0</v>
      </c>
      <c r="AB221" s="109">
        <v>-97029.92</v>
      </c>
      <c r="AC221" s="113">
        <v>91915.0</v>
      </c>
      <c r="AD221" s="108">
        <v>3.0</v>
      </c>
    </row>
    <row r="222">
      <c r="A222" s="11">
        <v>24.0</v>
      </c>
      <c r="B222" s="11">
        <v>7.0</v>
      </c>
      <c r="C222" s="11">
        <v>4.0</v>
      </c>
      <c r="D222" s="17">
        <v>63.0</v>
      </c>
      <c r="E222" s="108">
        <v>5.0</v>
      </c>
      <c r="F222" s="109">
        <v>-95303.0</v>
      </c>
      <c r="G222" s="109">
        <v>84636.28</v>
      </c>
      <c r="H222" s="109">
        <v>29659.09</v>
      </c>
      <c r="I222" s="109">
        <v>77314.37</v>
      </c>
      <c r="J222" s="109">
        <v>-86199.41</v>
      </c>
      <c r="K222" s="109">
        <v>46043.12</v>
      </c>
      <c r="L222" s="109">
        <v>-3633.5</v>
      </c>
      <c r="M222" s="109">
        <v>-42541.82</v>
      </c>
      <c r="N222" s="110">
        <v>121011.0</v>
      </c>
      <c r="O222" s="110">
        <v>120241.0</v>
      </c>
      <c r="P222" s="110">
        <v>52923.0</v>
      </c>
      <c r="Q222" s="110">
        <v>123140.0</v>
      </c>
      <c r="R222" s="50">
        <v>100118.0</v>
      </c>
      <c r="S222" s="111">
        <v>55.0</v>
      </c>
      <c r="T222" s="112">
        <v>73.0</v>
      </c>
      <c r="U222" s="24" t="s">
        <v>601</v>
      </c>
      <c r="V222" s="11" t="s">
        <v>3932</v>
      </c>
      <c r="W222" s="108">
        <v>8.0</v>
      </c>
      <c r="X222" s="113">
        <v>121419.0</v>
      </c>
      <c r="Y222" s="113">
        <v>31815.0</v>
      </c>
      <c r="Z222" s="11">
        <v>171.0</v>
      </c>
      <c r="AA222" s="113">
        <v>112617.0</v>
      </c>
      <c r="AB222" s="109">
        <v>-61942.64</v>
      </c>
      <c r="AC222" s="113">
        <v>32014.0</v>
      </c>
      <c r="AD222" s="108">
        <v>0.0</v>
      </c>
    </row>
    <row r="223">
      <c r="A223" s="11">
        <v>86.0</v>
      </c>
      <c r="B223" s="11">
        <v>1.0</v>
      </c>
      <c r="C223" s="11">
        <v>7.0</v>
      </c>
      <c r="D223" s="17">
        <v>33.0</v>
      </c>
      <c r="E223" s="108">
        <v>4.0</v>
      </c>
      <c r="F223" s="109">
        <v>-51228.98</v>
      </c>
      <c r="G223" s="109">
        <v>-52041.28</v>
      </c>
      <c r="H223" s="109">
        <v>5297.85</v>
      </c>
      <c r="I223" s="109">
        <v>-27005.85</v>
      </c>
      <c r="J223" s="109">
        <v>67580.04</v>
      </c>
      <c r="K223" s="109">
        <v>-79506.37</v>
      </c>
      <c r="L223" s="109">
        <v>-34408.88</v>
      </c>
      <c r="M223" s="109">
        <v>-33187.12</v>
      </c>
      <c r="N223" s="110">
        <v>111211.0</v>
      </c>
      <c r="O223" s="110">
        <v>110731.0</v>
      </c>
      <c r="P223" s="110">
        <v>50723.0</v>
      </c>
      <c r="Q223" s="110">
        <v>113031.0</v>
      </c>
      <c r="R223" s="50">
        <v>31314.0</v>
      </c>
      <c r="S223" s="111">
        <v>50.0</v>
      </c>
      <c r="T223" s="112">
        <v>29.0</v>
      </c>
      <c r="U223" s="24" t="s">
        <v>48</v>
      </c>
      <c r="V223" s="11" t="s">
        <v>3959</v>
      </c>
      <c r="W223" s="108">
        <v>7.0</v>
      </c>
      <c r="X223" s="113">
        <v>31919.0</v>
      </c>
      <c r="Y223" s="113">
        <v>101921.0</v>
      </c>
      <c r="Z223" s="11">
        <v>146.0</v>
      </c>
      <c r="AA223" s="113">
        <v>31617.0</v>
      </c>
      <c r="AB223" s="109">
        <v>-91981.21</v>
      </c>
      <c r="AC223" s="113">
        <v>92513.0</v>
      </c>
      <c r="AD223" s="108">
        <v>8.0</v>
      </c>
    </row>
    <row r="224">
      <c r="A224" s="11">
        <v>65.0</v>
      </c>
      <c r="B224" s="11">
        <v>7.0</v>
      </c>
      <c r="C224" s="11">
        <v>2.0</v>
      </c>
      <c r="D224" s="17">
        <v>3.0</v>
      </c>
      <c r="E224" s="108">
        <v>9.0</v>
      </c>
      <c r="F224" s="109">
        <v>56385.07</v>
      </c>
      <c r="G224" s="109">
        <v>37027.28</v>
      </c>
      <c r="H224" s="109">
        <v>-7156.11</v>
      </c>
      <c r="I224" s="109">
        <v>44658.08</v>
      </c>
      <c r="J224" s="109">
        <v>45570.92</v>
      </c>
      <c r="K224" s="109">
        <v>-67384.63</v>
      </c>
      <c r="L224" s="109">
        <v>522.77</v>
      </c>
      <c r="M224" s="109">
        <v>99825.11</v>
      </c>
      <c r="N224" s="110">
        <v>92213.0</v>
      </c>
      <c r="O224" s="110">
        <v>91543.0</v>
      </c>
      <c r="P224" s="110">
        <v>53023.0</v>
      </c>
      <c r="Q224" s="110">
        <v>93043.0</v>
      </c>
      <c r="R224" s="50">
        <v>70317.0</v>
      </c>
      <c r="S224" s="111">
        <v>53.0</v>
      </c>
      <c r="T224" s="112">
        <v>24.0</v>
      </c>
      <c r="U224" s="24" t="s">
        <v>601</v>
      </c>
      <c r="V224" s="11" t="s">
        <v>4001</v>
      </c>
      <c r="W224" s="108">
        <v>3.0</v>
      </c>
      <c r="X224" s="113">
        <v>62520.0</v>
      </c>
      <c r="Y224" s="113">
        <v>80821.0</v>
      </c>
      <c r="Z224" s="11">
        <v>118.0</v>
      </c>
      <c r="AA224" s="113">
        <v>41120.0</v>
      </c>
      <c r="AB224" s="109">
        <v>71397.89</v>
      </c>
      <c r="AC224" s="113">
        <v>41213.0</v>
      </c>
      <c r="AD224" s="108">
        <v>4.0</v>
      </c>
    </row>
    <row r="225">
      <c r="A225" s="11">
        <v>45.0</v>
      </c>
      <c r="B225" s="11">
        <v>2.0</v>
      </c>
      <c r="C225" s="11">
        <v>6.0</v>
      </c>
      <c r="D225" s="17">
        <v>89.0</v>
      </c>
      <c r="E225" s="108">
        <v>5.0</v>
      </c>
      <c r="F225" s="109">
        <v>-86690.95</v>
      </c>
      <c r="G225" s="109">
        <v>-76980.06</v>
      </c>
      <c r="H225" s="109">
        <v>39733.13</v>
      </c>
      <c r="I225" s="109">
        <v>751.17</v>
      </c>
      <c r="J225" s="109">
        <v>81902.31</v>
      </c>
      <c r="K225" s="109">
        <v>-82091.47</v>
      </c>
      <c r="L225" s="109">
        <v>-18084.64</v>
      </c>
      <c r="M225" s="109">
        <v>96749.57</v>
      </c>
      <c r="N225" s="110">
        <v>60313.0</v>
      </c>
      <c r="O225" s="110">
        <v>52743.0</v>
      </c>
      <c r="P225" s="110">
        <v>52523.0</v>
      </c>
      <c r="Q225" s="110">
        <v>53143.0</v>
      </c>
      <c r="R225" s="50">
        <v>50116.0</v>
      </c>
      <c r="S225" s="111">
        <v>53.0</v>
      </c>
      <c r="T225" s="112">
        <v>89.0</v>
      </c>
      <c r="U225" s="24" t="s">
        <v>48</v>
      </c>
      <c r="V225" s="11" t="s">
        <v>3994</v>
      </c>
      <c r="W225" s="108">
        <v>2.0</v>
      </c>
      <c r="X225" s="113">
        <v>30115.0</v>
      </c>
      <c r="Y225" s="113">
        <v>20917.0</v>
      </c>
      <c r="Z225" s="11">
        <v>111.0</v>
      </c>
      <c r="AA225" s="113">
        <v>70216.0</v>
      </c>
      <c r="AB225" s="109">
        <v>91643.26</v>
      </c>
      <c r="AC225" s="113">
        <v>41614.0</v>
      </c>
      <c r="AD225" s="108">
        <v>2.0</v>
      </c>
    </row>
    <row r="226">
      <c r="A226" s="11">
        <v>45.0</v>
      </c>
      <c r="B226" s="11">
        <v>3.0</v>
      </c>
      <c r="C226" s="11">
        <v>3.0</v>
      </c>
      <c r="D226" s="17">
        <v>31.0</v>
      </c>
      <c r="E226" s="108">
        <v>0.0</v>
      </c>
      <c r="F226" s="109">
        <v>65524.3</v>
      </c>
      <c r="G226" s="109">
        <v>50235.96</v>
      </c>
      <c r="H226" s="109">
        <v>-18142.55</v>
      </c>
      <c r="I226" s="109">
        <v>-96675.37</v>
      </c>
      <c r="J226" s="109">
        <v>80094.49</v>
      </c>
      <c r="K226" s="109">
        <v>-20899.41</v>
      </c>
      <c r="L226" s="109">
        <v>-17602.49</v>
      </c>
      <c r="M226" s="109">
        <v>-24391.11</v>
      </c>
      <c r="N226" s="110">
        <v>43011.0</v>
      </c>
      <c r="O226" s="110">
        <v>42721.0</v>
      </c>
      <c r="P226" s="110">
        <v>50223.0</v>
      </c>
      <c r="Q226" s="110">
        <v>43021.0</v>
      </c>
      <c r="R226" s="50">
        <v>11316.0</v>
      </c>
      <c r="S226" s="111">
        <v>53.0</v>
      </c>
      <c r="T226" s="112">
        <v>78.0</v>
      </c>
      <c r="U226" s="24" t="s">
        <v>48</v>
      </c>
      <c r="V226" s="11" t="s">
        <v>3995</v>
      </c>
      <c r="W226" s="108">
        <v>4.0</v>
      </c>
      <c r="X226" s="113">
        <v>82317.0</v>
      </c>
      <c r="Y226" s="113">
        <v>91617.0</v>
      </c>
      <c r="Z226" s="11">
        <v>135.0</v>
      </c>
      <c r="AA226" s="113">
        <v>110221.0</v>
      </c>
      <c r="AB226" s="109">
        <v>-25123.53</v>
      </c>
      <c r="AC226" s="113">
        <v>61819.0</v>
      </c>
      <c r="AD226" s="108">
        <v>3.0</v>
      </c>
    </row>
    <row r="227">
      <c r="A227" s="11">
        <v>65.0</v>
      </c>
      <c r="B227" s="11">
        <v>8.0</v>
      </c>
      <c r="C227" s="11">
        <v>2.0</v>
      </c>
      <c r="D227" s="17">
        <v>17.0</v>
      </c>
      <c r="E227" s="108">
        <v>2.0</v>
      </c>
      <c r="F227" s="109">
        <v>-22826.26</v>
      </c>
      <c r="G227" s="109">
        <v>38358.96</v>
      </c>
      <c r="H227" s="109">
        <v>67164.57</v>
      </c>
      <c r="I227" s="109">
        <v>15930.31</v>
      </c>
      <c r="J227" s="109">
        <v>93107.96</v>
      </c>
      <c r="K227" s="109">
        <v>1542.35</v>
      </c>
      <c r="L227" s="109">
        <v>26508.39</v>
      </c>
      <c r="M227" s="109">
        <v>-95374.46</v>
      </c>
      <c r="N227" s="110">
        <v>12912.0</v>
      </c>
      <c r="O227" s="110">
        <v>12142.0</v>
      </c>
      <c r="P227" s="110">
        <v>50423.0</v>
      </c>
      <c r="Q227" s="110">
        <v>13142.0</v>
      </c>
      <c r="R227" s="50">
        <v>121016.0</v>
      </c>
      <c r="S227" s="111">
        <v>51.0</v>
      </c>
      <c r="T227" s="112">
        <v>10.0</v>
      </c>
      <c r="U227" s="24" t="s">
        <v>48</v>
      </c>
      <c r="V227" s="11" t="s">
        <v>3914</v>
      </c>
      <c r="W227" s="108">
        <v>5.0</v>
      </c>
      <c r="X227" s="113">
        <v>110718.0</v>
      </c>
      <c r="Y227" s="113">
        <v>72622.0</v>
      </c>
      <c r="Z227" s="11">
        <v>157.0</v>
      </c>
      <c r="AA227" s="113">
        <v>70620.0</v>
      </c>
      <c r="AB227" s="109">
        <v>81047.36</v>
      </c>
      <c r="AC227" s="113">
        <v>91214.0</v>
      </c>
      <c r="AD227" s="108">
        <v>0.0</v>
      </c>
    </row>
    <row r="228">
      <c r="A228" s="11">
        <v>24.0</v>
      </c>
      <c r="B228" s="11">
        <v>8.0</v>
      </c>
      <c r="C228" s="11">
        <v>5.0</v>
      </c>
      <c r="D228" s="17">
        <v>71.0</v>
      </c>
      <c r="E228" s="108">
        <v>8.0</v>
      </c>
      <c r="F228" s="109">
        <v>-88046.43</v>
      </c>
      <c r="G228" s="109">
        <v>-50433.2</v>
      </c>
      <c r="H228" s="109">
        <v>23486.4</v>
      </c>
      <c r="I228" s="109">
        <v>28715.35</v>
      </c>
      <c r="J228" s="109">
        <v>-40271.41</v>
      </c>
      <c r="K228" s="109">
        <v>-90875.28</v>
      </c>
      <c r="L228" s="109">
        <v>79573.71</v>
      </c>
      <c r="M228" s="109">
        <v>21810.64</v>
      </c>
      <c r="N228" s="110">
        <v>40913.0</v>
      </c>
      <c r="O228" s="110">
        <v>40243.0</v>
      </c>
      <c r="P228" s="110">
        <v>50523.0</v>
      </c>
      <c r="Q228" s="110">
        <v>43043.0</v>
      </c>
      <c r="R228" s="50">
        <v>41120.0</v>
      </c>
      <c r="S228" s="111">
        <v>50.0</v>
      </c>
      <c r="T228" s="112">
        <v>80.0</v>
      </c>
      <c r="U228" s="24" t="s">
        <v>31</v>
      </c>
      <c r="V228" s="11" t="s">
        <v>3892</v>
      </c>
      <c r="W228" s="108">
        <v>5.0</v>
      </c>
      <c r="X228" s="113">
        <v>111313.0</v>
      </c>
      <c r="Y228" s="113">
        <v>62719.0</v>
      </c>
      <c r="Z228" s="11">
        <v>186.0</v>
      </c>
      <c r="AA228" s="113">
        <v>42814.0</v>
      </c>
      <c r="AB228" s="109">
        <v>71035.81</v>
      </c>
      <c r="AC228" s="113">
        <v>30613.0</v>
      </c>
      <c r="AD228" s="108">
        <v>1.0</v>
      </c>
    </row>
    <row r="229">
      <c r="A229" s="11">
        <v>86.0</v>
      </c>
      <c r="B229" s="11">
        <v>3.0</v>
      </c>
      <c r="C229" s="11">
        <v>2.0</v>
      </c>
      <c r="D229" s="17">
        <v>99.0</v>
      </c>
      <c r="E229" s="108">
        <v>4.0</v>
      </c>
      <c r="F229" s="109">
        <v>36531.26</v>
      </c>
      <c r="G229" s="109">
        <v>-75390.95</v>
      </c>
      <c r="H229" s="109">
        <v>-24346.24</v>
      </c>
      <c r="I229" s="109">
        <v>79866.62</v>
      </c>
      <c r="J229" s="109">
        <v>-34885.37</v>
      </c>
      <c r="K229" s="109">
        <v>-51842.68</v>
      </c>
      <c r="L229" s="109">
        <v>48279.68</v>
      </c>
      <c r="M229" s="109">
        <v>-8991.9</v>
      </c>
      <c r="N229" s="110">
        <v>22013.0</v>
      </c>
      <c r="O229" s="110">
        <v>21343.0</v>
      </c>
      <c r="P229" s="110">
        <v>52923.0</v>
      </c>
      <c r="Q229" s="110">
        <v>22843.0</v>
      </c>
      <c r="R229" s="50">
        <v>90422.0</v>
      </c>
      <c r="S229" s="111">
        <v>51.0</v>
      </c>
      <c r="T229" s="112">
        <v>50.0</v>
      </c>
      <c r="U229" s="24" t="s">
        <v>603</v>
      </c>
      <c r="V229" s="11" t="s">
        <v>3965</v>
      </c>
      <c r="W229" s="108">
        <v>6.0</v>
      </c>
      <c r="X229" s="113">
        <v>42713.0</v>
      </c>
      <c r="Y229" s="113">
        <v>72714.0</v>
      </c>
      <c r="Z229" s="11">
        <v>112.0</v>
      </c>
      <c r="AA229" s="113">
        <v>61816.0</v>
      </c>
      <c r="AB229" s="109">
        <v>43609.97</v>
      </c>
      <c r="AC229" s="113">
        <v>90515.0</v>
      </c>
      <c r="AD229" s="108">
        <v>1.0</v>
      </c>
    </row>
    <row r="230">
      <c r="A230" s="11">
        <v>45.0</v>
      </c>
      <c r="B230" s="11">
        <v>3.0</v>
      </c>
      <c r="C230" s="11">
        <v>7.0</v>
      </c>
      <c r="D230" s="17">
        <v>49.0</v>
      </c>
      <c r="E230" s="108">
        <v>8.0</v>
      </c>
      <c r="F230" s="109">
        <v>26890.85</v>
      </c>
      <c r="G230" s="109">
        <v>-5109.08</v>
      </c>
      <c r="H230" s="109">
        <v>-46032.27</v>
      </c>
      <c r="I230" s="109">
        <v>-62166.04</v>
      </c>
      <c r="J230" s="109">
        <v>95940.44</v>
      </c>
      <c r="K230" s="109">
        <v>-30931.83</v>
      </c>
      <c r="L230" s="109">
        <v>-79333.15</v>
      </c>
      <c r="M230" s="109">
        <v>-1693.45</v>
      </c>
      <c r="N230" s="110">
        <v>50313.0</v>
      </c>
      <c r="O230" s="110">
        <v>42833.0</v>
      </c>
      <c r="P230" s="110">
        <v>50823.0</v>
      </c>
      <c r="Q230" s="110">
        <v>43033.0</v>
      </c>
      <c r="R230" s="50">
        <v>11320.0</v>
      </c>
      <c r="S230" s="111">
        <v>50.0</v>
      </c>
      <c r="T230" s="112">
        <v>79.0</v>
      </c>
      <c r="U230" s="24" t="s">
        <v>31</v>
      </c>
      <c r="V230" s="11" t="s">
        <v>4002</v>
      </c>
      <c r="W230" s="108">
        <v>5.0</v>
      </c>
      <c r="X230" s="113">
        <v>81020.0</v>
      </c>
      <c r="Y230" s="113">
        <v>41821.0</v>
      </c>
      <c r="Z230" s="11">
        <v>118.0</v>
      </c>
      <c r="AA230" s="113">
        <v>80615.0</v>
      </c>
      <c r="AB230" s="109">
        <v>-18929.63</v>
      </c>
      <c r="AC230" s="113">
        <v>20316.0</v>
      </c>
      <c r="AD230" s="108">
        <v>4.0</v>
      </c>
    </row>
    <row r="231">
      <c r="A231" s="11">
        <v>86.0</v>
      </c>
      <c r="B231" s="11">
        <v>3.0</v>
      </c>
      <c r="C231" s="11">
        <v>4.0</v>
      </c>
      <c r="D231" s="17">
        <v>86.0</v>
      </c>
      <c r="E231" s="108">
        <v>2.0</v>
      </c>
      <c r="F231" s="109">
        <v>-58997.36</v>
      </c>
      <c r="G231" s="109">
        <v>-33498.47</v>
      </c>
      <c r="H231" s="109">
        <v>-91901.64</v>
      </c>
      <c r="I231" s="109">
        <v>-13779.04</v>
      </c>
      <c r="J231" s="109">
        <v>-38211.99</v>
      </c>
      <c r="K231" s="109">
        <v>26615.23</v>
      </c>
      <c r="L231" s="109">
        <v>69493.23</v>
      </c>
      <c r="M231" s="109">
        <v>-36440.76</v>
      </c>
      <c r="N231" s="110">
        <v>80411.0</v>
      </c>
      <c r="O231" s="110">
        <v>80121.0</v>
      </c>
      <c r="P231" s="110">
        <v>52723.0</v>
      </c>
      <c r="Q231" s="110">
        <v>83121.0</v>
      </c>
      <c r="R231" s="50">
        <v>70618.0</v>
      </c>
      <c r="S231" s="111">
        <v>53.0</v>
      </c>
      <c r="T231" s="112">
        <v>85.0</v>
      </c>
      <c r="U231" s="24" t="s">
        <v>601</v>
      </c>
      <c r="V231" s="11" t="s">
        <v>4003</v>
      </c>
      <c r="W231" s="108">
        <v>1.0</v>
      </c>
      <c r="X231" s="113">
        <v>11820.0</v>
      </c>
      <c r="Y231" s="113">
        <v>12419.0</v>
      </c>
      <c r="Z231" s="11">
        <v>103.0</v>
      </c>
      <c r="AA231" s="113">
        <v>13116.0</v>
      </c>
      <c r="AB231" s="109">
        <v>49588.0</v>
      </c>
      <c r="AC231" s="113">
        <v>103019.0</v>
      </c>
      <c r="AD231" s="108">
        <v>7.0</v>
      </c>
    </row>
    <row r="232">
      <c r="A232" s="11">
        <v>65.0</v>
      </c>
      <c r="B232" s="11">
        <v>8.0</v>
      </c>
      <c r="C232" s="11">
        <v>6.0</v>
      </c>
      <c r="D232" s="17">
        <v>14.0</v>
      </c>
      <c r="E232" s="108">
        <v>2.0</v>
      </c>
      <c r="F232" s="109">
        <v>90367.63</v>
      </c>
      <c r="G232" s="109">
        <v>91828.85</v>
      </c>
      <c r="H232" s="109">
        <v>1043.14</v>
      </c>
      <c r="I232" s="109">
        <v>96456.61</v>
      </c>
      <c r="J232" s="109">
        <v>-6261.34</v>
      </c>
      <c r="K232" s="109">
        <v>-5955.78</v>
      </c>
      <c r="L232" s="109">
        <v>90353.28</v>
      </c>
      <c r="M232" s="109">
        <v>27346.27</v>
      </c>
      <c r="N232" s="110">
        <v>61114.0</v>
      </c>
      <c r="O232" s="110">
        <v>60634.0</v>
      </c>
      <c r="P232" s="110">
        <v>50823.0</v>
      </c>
      <c r="Q232" s="110">
        <v>63034.0</v>
      </c>
      <c r="R232" s="50">
        <v>101017.0</v>
      </c>
      <c r="S232" s="111">
        <v>54.0</v>
      </c>
      <c r="T232" s="112">
        <v>3.0</v>
      </c>
      <c r="U232" s="24" t="s">
        <v>31</v>
      </c>
      <c r="V232" s="11" t="s">
        <v>3956</v>
      </c>
      <c r="W232" s="108">
        <v>8.0</v>
      </c>
      <c r="X232" s="113">
        <v>51019.0</v>
      </c>
      <c r="Y232" s="113">
        <v>71316.0</v>
      </c>
      <c r="Z232" s="11">
        <v>135.0</v>
      </c>
      <c r="AA232" s="113">
        <v>20123.0</v>
      </c>
      <c r="AB232" s="109">
        <v>79788.61</v>
      </c>
      <c r="AC232" s="113">
        <v>50514.0</v>
      </c>
      <c r="AD232" s="108">
        <v>4.0</v>
      </c>
    </row>
    <row r="233">
      <c r="A233" s="11">
        <v>45.0</v>
      </c>
      <c r="B233" s="11">
        <v>4.0</v>
      </c>
      <c r="C233" s="11">
        <v>1.0</v>
      </c>
      <c r="D233" s="17">
        <v>43.0</v>
      </c>
      <c r="E233" s="108">
        <v>4.0</v>
      </c>
      <c r="F233" s="109">
        <v>22267.83</v>
      </c>
      <c r="G233" s="109">
        <v>66762.72</v>
      </c>
      <c r="H233" s="109">
        <v>-72121.48</v>
      </c>
      <c r="I233" s="109">
        <v>-92626.2</v>
      </c>
      <c r="J233" s="109">
        <v>-49598.77</v>
      </c>
      <c r="K233" s="109">
        <v>19694.07</v>
      </c>
      <c r="L233" s="109">
        <v>-49310.93</v>
      </c>
      <c r="M233" s="109">
        <v>10489.72</v>
      </c>
      <c r="N233" s="110">
        <v>92911.0</v>
      </c>
      <c r="O233" s="110">
        <v>92621.0</v>
      </c>
      <c r="P233" s="110">
        <v>51223.0</v>
      </c>
      <c r="Q233" s="110">
        <v>93021.0</v>
      </c>
      <c r="R233" s="50">
        <v>72121.0</v>
      </c>
      <c r="S233" s="111">
        <v>53.0</v>
      </c>
      <c r="T233" s="112">
        <v>28.0</v>
      </c>
      <c r="U233" s="24" t="s">
        <v>48</v>
      </c>
      <c r="V233" s="11" t="s">
        <v>3870</v>
      </c>
      <c r="W233" s="108">
        <v>5.0</v>
      </c>
      <c r="X233" s="113">
        <v>122019.0</v>
      </c>
      <c r="Y233" s="113">
        <v>110620.0</v>
      </c>
      <c r="Z233" s="11">
        <v>148.0</v>
      </c>
      <c r="AA233" s="113">
        <v>101513.0</v>
      </c>
      <c r="AB233" s="109">
        <v>-27253.59</v>
      </c>
      <c r="AC233" s="113">
        <v>120620.0</v>
      </c>
      <c r="AD233" s="108">
        <v>1.0</v>
      </c>
    </row>
    <row r="234">
      <c r="A234" s="11">
        <v>24.0</v>
      </c>
      <c r="B234" s="11">
        <v>9.0</v>
      </c>
      <c r="C234" s="11">
        <v>5.0</v>
      </c>
      <c r="D234" s="17">
        <v>18.0</v>
      </c>
      <c r="E234" s="108">
        <v>6.0</v>
      </c>
      <c r="F234" s="109">
        <v>-34546.69</v>
      </c>
      <c r="G234" s="109">
        <v>6768.84</v>
      </c>
      <c r="H234" s="109">
        <v>-94185.5</v>
      </c>
      <c r="I234" s="109">
        <v>-28492.91</v>
      </c>
      <c r="J234" s="109">
        <v>38692.38</v>
      </c>
      <c r="K234" s="109">
        <v>-35032.93</v>
      </c>
      <c r="L234" s="109">
        <v>6327.6</v>
      </c>
      <c r="M234" s="109">
        <v>-56130.46</v>
      </c>
      <c r="N234" s="110">
        <v>120411.0</v>
      </c>
      <c r="O234" s="110">
        <v>112931.0</v>
      </c>
      <c r="P234" s="110">
        <v>51123.0</v>
      </c>
      <c r="Q234" s="110">
        <v>113031.0</v>
      </c>
      <c r="R234" s="50">
        <v>110116.0</v>
      </c>
      <c r="S234" s="111">
        <v>52.0</v>
      </c>
      <c r="T234" s="112">
        <v>85.0</v>
      </c>
      <c r="U234" s="24" t="s">
        <v>39</v>
      </c>
      <c r="V234" s="11" t="s">
        <v>3929</v>
      </c>
      <c r="W234" s="108">
        <v>5.0</v>
      </c>
      <c r="X234" s="113">
        <v>50922.0</v>
      </c>
      <c r="Y234" s="113">
        <v>81619.0</v>
      </c>
      <c r="Z234" s="11">
        <v>100.0</v>
      </c>
      <c r="AA234" s="113">
        <v>90222.0</v>
      </c>
      <c r="AB234" s="109">
        <v>-63916.62</v>
      </c>
      <c r="AC234" s="113">
        <v>73117.0</v>
      </c>
      <c r="AD234" s="108">
        <v>6.0</v>
      </c>
    </row>
    <row r="235">
      <c r="A235" s="11">
        <v>24.0</v>
      </c>
      <c r="B235" s="11">
        <v>9.0</v>
      </c>
      <c r="C235" s="11">
        <v>6.0</v>
      </c>
      <c r="D235" s="17">
        <v>59.0</v>
      </c>
      <c r="E235" s="108">
        <v>5.0</v>
      </c>
      <c r="F235" s="109">
        <v>56667.48</v>
      </c>
      <c r="G235" s="109">
        <v>-75527.5</v>
      </c>
      <c r="H235" s="109">
        <v>50659.33</v>
      </c>
      <c r="I235" s="109">
        <v>1629.78</v>
      </c>
      <c r="J235" s="109">
        <v>26529.23</v>
      </c>
      <c r="K235" s="109">
        <v>-94667.91</v>
      </c>
      <c r="L235" s="109">
        <v>68212.09</v>
      </c>
      <c r="M235" s="109">
        <v>-48605.77</v>
      </c>
      <c r="N235" s="110">
        <v>20914.0</v>
      </c>
      <c r="O235" s="110">
        <v>20244.0</v>
      </c>
      <c r="P235" s="110">
        <v>52223.0</v>
      </c>
      <c r="Q235" s="110">
        <v>22944.0</v>
      </c>
      <c r="R235" s="50">
        <v>21120.0</v>
      </c>
      <c r="S235" s="111">
        <v>55.0</v>
      </c>
      <c r="T235" s="112">
        <v>38.0</v>
      </c>
      <c r="U235" s="24" t="s">
        <v>48</v>
      </c>
      <c r="V235" s="11" t="s">
        <v>4004</v>
      </c>
      <c r="W235" s="108">
        <v>9.0</v>
      </c>
      <c r="X235" s="113">
        <v>22413.0</v>
      </c>
      <c r="Y235" s="113">
        <v>31318.0</v>
      </c>
      <c r="Z235" s="11">
        <v>169.0</v>
      </c>
      <c r="AA235" s="113">
        <v>31118.0</v>
      </c>
      <c r="AB235" s="109">
        <v>17256.07</v>
      </c>
      <c r="AC235" s="113">
        <v>22215.0</v>
      </c>
      <c r="AD235" s="108">
        <v>5.0</v>
      </c>
    </row>
    <row r="236">
      <c r="A236" s="11">
        <v>45.0</v>
      </c>
      <c r="B236" s="11">
        <v>4.0</v>
      </c>
      <c r="C236" s="11">
        <v>5.0</v>
      </c>
      <c r="D236" s="17">
        <v>55.0</v>
      </c>
      <c r="E236" s="108">
        <v>0.0</v>
      </c>
      <c r="F236" s="109">
        <v>-82023.43</v>
      </c>
      <c r="G236" s="109">
        <v>-64694.29</v>
      </c>
      <c r="H236" s="109">
        <v>-12540.15</v>
      </c>
      <c r="I236" s="109">
        <v>59669.91</v>
      </c>
      <c r="J236" s="109">
        <v>-53183.31</v>
      </c>
      <c r="K236" s="109">
        <v>99600.05</v>
      </c>
      <c r="L236" s="109">
        <v>-27553.52</v>
      </c>
      <c r="M236" s="109">
        <v>-29048.97</v>
      </c>
      <c r="N236" s="110">
        <v>70813.0</v>
      </c>
      <c r="O236" s="110">
        <v>70333.0</v>
      </c>
      <c r="P236" s="110">
        <v>50823.0</v>
      </c>
      <c r="Q236" s="110">
        <v>73133.0</v>
      </c>
      <c r="R236" s="50">
        <v>31821.0</v>
      </c>
      <c r="S236" s="111">
        <v>54.0</v>
      </c>
      <c r="T236" s="112">
        <v>16.0</v>
      </c>
      <c r="U236" s="24" t="s">
        <v>39</v>
      </c>
      <c r="V236" s="11" t="s">
        <v>3881</v>
      </c>
      <c r="W236" s="108">
        <v>9.0</v>
      </c>
      <c r="X236" s="113">
        <v>61919.0</v>
      </c>
      <c r="Y236" s="113">
        <v>50819.0</v>
      </c>
      <c r="Z236" s="11">
        <v>115.0</v>
      </c>
      <c r="AA236" s="113">
        <v>10917.0</v>
      </c>
      <c r="AB236" s="109">
        <v>42918.81</v>
      </c>
      <c r="AC236" s="113">
        <v>60215.0</v>
      </c>
      <c r="AD236" s="108">
        <v>7.0</v>
      </c>
    </row>
    <row r="237">
      <c r="A237" s="11">
        <v>45.0</v>
      </c>
      <c r="B237" s="11">
        <v>4.0</v>
      </c>
      <c r="C237" s="11">
        <v>4.0</v>
      </c>
      <c r="D237" s="17">
        <v>66.0</v>
      </c>
      <c r="E237" s="108">
        <v>5.0</v>
      </c>
      <c r="F237" s="109">
        <v>-88383.04</v>
      </c>
      <c r="G237" s="109">
        <v>21367.68</v>
      </c>
      <c r="H237" s="109">
        <v>-53247.19</v>
      </c>
      <c r="I237" s="109">
        <v>-63873.29</v>
      </c>
      <c r="J237" s="109">
        <v>59182.09</v>
      </c>
      <c r="K237" s="109">
        <v>98419.72</v>
      </c>
      <c r="L237" s="109">
        <v>5603.43</v>
      </c>
      <c r="M237" s="109">
        <v>36820.28</v>
      </c>
      <c r="N237" s="110">
        <v>120312.0</v>
      </c>
      <c r="O237" s="110">
        <v>120122.0</v>
      </c>
      <c r="P237" s="110">
        <v>52723.0</v>
      </c>
      <c r="Q237" s="110">
        <v>123121.0</v>
      </c>
      <c r="R237" s="50">
        <v>90713.0</v>
      </c>
      <c r="S237" s="111">
        <v>55.0</v>
      </c>
      <c r="T237" s="112">
        <v>18.0</v>
      </c>
      <c r="U237" s="24" t="s">
        <v>31</v>
      </c>
      <c r="V237" s="11" t="s">
        <v>4005</v>
      </c>
      <c r="W237" s="108">
        <v>2.0</v>
      </c>
      <c r="X237" s="113">
        <v>60121.0</v>
      </c>
      <c r="Y237" s="113">
        <v>121516.0</v>
      </c>
      <c r="Z237" s="11">
        <v>185.0</v>
      </c>
      <c r="AA237" s="113">
        <v>50420.0</v>
      </c>
      <c r="AB237" s="109">
        <v>22101.89</v>
      </c>
      <c r="AC237" s="113">
        <v>93114.0</v>
      </c>
      <c r="AD237" s="108">
        <v>4.0</v>
      </c>
    </row>
    <row r="238">
      <c r="A238" s="11">
        <v>45.0</v>
      </c>
      <c r="B238" s="11">
        <v>4.0</v>
      </c>
      <c r="C238" s="11">
        <v>9.0</v>
      </c>
      <c r="D238" s="17">
        <v>28.0</v>
      </c>
      <c r="E238" s="108">
        <v>1.0</v>
      </c>
      <c r="F238" s="109">
        <v>91968.28</v>
      </c>
      <c r="G238" s="109">
        <v>-26839.37</v>
      </c>
      <c r="H238" s="109">
        <v>-22714.73</v>
      </c>
      <c r="I238" s="109">
        <v>-62154.39</v>
      </c>
      <c r="J238" s="109">
        <v>-19908.41</v>
      </c>
      <c r="K238" s="109">
        <v>-62447.11</v>
      </c>
      <c r="L238" s="109">
        <v>-58813.87</v>
      </c>
      <c r="M238" s="109">
        <v>11755.48</v>
      </c>
      <c r="N238" s="110">
        <v>80611.0</v>
      </c>
      <c r="O238" s="110">
        <v>72941.0</v>
      </c>
      <c r="P238" s="110">
        <v>51923.0</v>
      </c>
      <c r="Q238" s="110">
        <v>73141.0</v>
      </c>
      <c r="R238" s="50">
        <v>50214.0</v>
      </c>
      <c r="S238" s="111">
        <v>52.0</v>
      </c>
      <c r="T238" s="112">
        <v>72.0</v>
      </c>
      <c r="U238" s="24" t="s">
        <v>603</v>
      </c>
      <c r="V238" s="11" t="s">
        <v>3992</v>
      </c>
      <c r="W238" s="108">
        <v>6.0</v>
      </c>
      <c r="X238" s="113">
        <v>50918.0</v>
      </c>
      <c r="Y238" s="113">
        <v>62021.0</v>
      </c>
      <c r="Z238" s="11">
        <v>144.0</v>
      </c>
      <c r="AA238" s="113">
        <v>72518.0</v>
      </c>
      <c r="AB238" s="109">
        <v>-42102.78</v>
      </c>
      <c r="AC238" s="113">
        <v>32520.0</v>
      </c>
      <c r="AD238" s="108">
        <v>0.0</v>
      </c>
    </row>
    <row r="239">
      <c r="A239" s="11">
        <v>86.0</v>
      </c>
      <c r="B239" s="11">
        <v>4.0</v>
      </c>
      <c r="C239" s="11">
        <v>6.0</v>
      </c>
      <c r="D239" s="17">
        <v>11.0</v>
      </c>
      <c r="E239" s="108">
        <v>0.0</v>
      </c>
      <c r="F239" s="109">
        <v>42736.97</v>
      </c>
      <c r="G239" s="109">
        <v>51721.25</v>
      </c>
      <c r="H239" s="109">
        <v>89276.42</v>
      </c>
      <c r="I239" s="109">
        <v>29118.76</v>
      </c>
      <c r="J239" s="109">
        <v>81720.71</v>
      </c>
      <c r="K239" s="109">
        <v>34746.15</v>
      </c>
      <c r="L239" s="109">
        <v>-96159.43</v>
      </c>
      <c r="M239" s="109">
        <v>95827.67</v>
      </c>
      <c r="N239" s="110">
        <v>121013.0</v>
      </c>
      <c r="O239" s="110">
        <v>120823.0</v>
      </c>
      <c r="P239" s="110">
        <v>51723.0</v>
      </c>
      <c r="Q239" s="110">
        <v>123122.0</v>
      </c>
      <c r="R239" s="50">
        <v>123115.0</v>
      </c>
      <c r="S239" s="111">
        <v>55.0</v>
      </c>
      <c r="T239" s="112">
        <v>82.0</v>
      </c>
      <c r="U239" s="24" t="s">
        <v>31</v>
      </c>
      <c r="V239" s="11" t="s">
        <v>4006</v>
      </c>
      <c r="W239" s="108">
        <v>7.0</v>
      </c>
      <c r="X239" s="113">
        <v>41123.0</v>
      </c>
      <c r="Y239" s="113">
        <v>122920.0</v>
      </c>
      <c r="Z239" s="11">
        <v>199.0</v>
      </c>
      <c r="AA239" s="113">
        <v>11515.0</v>
      </c>
      <c r="AB239" s="109">
        <v>22884.65</v>
      </c>
      <c r="AC239" s="113">
        <v>60723.0</v>
      </c>
      <c r="AD239" s="108">
        <v>2.0</v>
      </c>
    </row>
    <row r="240">
      <c r="A240" s="11">
        <v>86.0</v>
      </c>
      <c r="B240" s="11">
        <v>4.0</v>
      </c>
      <c r="C240" s="11">
        <v>8.0</v>
      </c>
      <c r="D240" s="17">
        <v>77.0</v>
      </c>
      <c r="E240" s="108">
        <v>0.0</v>
      </c>
      <c r="F240" s="109">
        <v>68939.8</v>
      </c>
      <c r="G240" s="109">
        <v>-65035.45</v>
      </c>
      <c r="H240" s="109">
        <v>64660.2</v>
      </c>
      <c r="I240" s="109">
        <v>49971.31</v>
      </c>
      <c r="J240" s="109">
        <v>-86811.5</v>
      </c>
      <c r="K240" s="109">
        <v>78226.8</v>
      </c>
      <c r="L240" s="109">
        <v>-12931.44</v>
      </c>
      <c r="M240" s="109">
        <v>-34655.78</v>
      </c>
      <c r="N240" s="110">
        <v>70110.0</v>
      </c>
      <c r="O240" s="110">
        <v>62630.0</v>
      </c>
      <c r="P240" s="110">
        <v>51223.0</v>
      </c>
      <c r="Q240" s="110">
        <v>63030.0</v>
      </c>
      <c r="R240" s="50">
        <v>31620.0</v>
      </c>
      <c r="S240" s="111">
        <v>50.0</v>
      </c>
      <c r="T240" s="112">
        <v>64.0</v>
      </c>
      <c r="U240" s="24" t="s">
        <v>48</v>
      </c>
      <c r="V240" s="11" t="s">
        <v>3951</v>
      </c>
      <c r="W240" s="108">
        <v>9.0</v>
      </c>
      <c r="X240" s="113">
        <v>73120.0</v>
      </c>
      <c r="Y240" s="113">
        <v>90614.0</v>
      </c>
      <c r="Z240" s="11">
        <v>166.0</v>
      </c>
      <c r="AA240" s="113">
        <v>102316.0</v>
      </c>
      <c r="AB240" s="109">
        <v>-81873.4</v>
      </c>
      <c r="AC240" s="113">
        <v>122413.0</v>
      </c>
      <c r="AD240" s="108">
        <v>8.0</v>
      </c>
    </row>
    <row r="241">
      <c r="A241" s="11">
        <v>45.0</v>
      </c>
      <c r="B241" s="11">
        <v>5.0</v>
      </c>
      <c r="C241" s="11">
        <v>2.0</v>
      </c>
      <c r="D241" s="17">
        <v>36.0</v>
      </c>
      <c r="E241" s="108">
        <v>3.0</v>
      </c>
      <c r="F241" s="109">
        <v>-57909.4</v>
      </c>
      <c r="G241" s="109">
        <v>-52587.16</v>
      </c>
      <c r="H241" s="109">
        <v>84571.15</v>
      </c>
      <c r="I241" s="109">
        <v>-83829.66</v>
      </c>
      <c r="J241" s="109">
        <v>-46642.29</v>
      </c>
      <c r="K241" s="109">
        <v>-78425.92</v>
      </c>
      <c r="L241" s="109">
        <v>77691.64</v>
      </c>
      <c r="M241" s="109">
        <v>63322.87</v>
      </c>
      <c r="N241" s="110">
        <v>10512.0</v>
      </c>
      <c r="O241" s="110">
        <v>123131.0</v>
      </c>
      <c r="P241" s="110">
        <v>51423.0</v>
      </c>
      <c r="Q241" s="110">
        <v>123130.0</v>
      </c>
      <c r="R241" s="50">
        <v>102915.0</v>
      </c>
      <c r="S241" s="111">
        <v>54.0</v>
      </c>
      <c r="T241" s="112">
        <v>36.0</v>
      </c>
      <c r="U241" s="24" t="s">
        <v>601</v>
      </c>
      <c r="V241" s="11" t="s">
        <v>3867</v>
      </c>
      <c r="W241" s="108">
        <v>5.0</v>
      </c>
      <c r="X241" s="113">
        <v>83022.0</v>
      </c>
      <c r="Y241" s="113">
        <v>11319.0</v>
      </c>
      <c r="Z241" s="11">
        <v>107.0</v>
      </c>
      <c r="AA241" s="113">
        <v>20613.0</v>
      </c>
      <c r="AB241" s="109">
        <v>-67980.49</v>
      </c>
      <c r="AC241" s="113">
        <v>10419.0</v>
      </c>
      <c r="AD241" s="108">
        <v>0.0</v>
      </c>
    </row>
    <row r="242">
      <c r="A242" s="11">
        <v>25.0</v>
      </c>
      <c r="B242" s="11">
        <v>1.0</v>
      </c>
      <c r="C242" s="11">
        <v>1.0</v>
      </c>
      <c r="D242" s="17">
        <v>47.0</v>
      </c>
      <c r="E242" s="108">
        <v>1.0</v>
      </c>
      <c r="F242" s="109">
        <v>-58135.96</v>
      </c>
      <c r="G242" s="109">
        <v>25538.69</v>
      </c>
      <c r="H242" s="109">
        <v>24943.76</v>
      </c>
      <c r="I242" s="109">
        <v>4703.13</v>
      </c>
      <c r="J242" s="109">
        <v>43270.11</v>
      </c>
      <c r="K242" s="109">
        <v>4834.92</v>
      </c>
      <c r="L242" s="109">
        <v>-51606.38</v>
      </c>
      <c r="M242" s="109">
        <v>-82647.67</v>
      </c>
      <c r="N242" s="110">
        <v>13112.0</v>
      </c>
      <c r="O242" s="110">
        <v>12342.0</v>
      </c>
      <c r="P242" s="110">
        <v>52723.0</v>
      </c>
      <c r="Q242" s="110">
        <v>13142.0</v>
      </c>
      <c r="R242" s="50">
        <v>70319.0</v>
      </c>
      <c r="S242" s="111">
        <v>51.0</v>
      </c>
      <c r="T242" s="112">
        <v>69.0</v>
      </c>
      <c r="U242" s="24" t="s">
        <v>601</v>
      </c>
      <c r="V242" s="11" t="s">
        <v>3998</v>
      </c>
      <c r="W242" s="108">
        <v>7.0</v>
      </c>
      <c r="X242" s="113">
        <v>42422.0</v>
      </c>
      <c r="Y242" s="113">
        <v>60319.0</v>
      </c>
      <c r="Z242" s="11">
        <v>145.0</v>
      </c>
      <c r="AA242" s="113">
        <v>52816.0</v>
      </c>
      <c r="AB242" s="109">
        <v>94336.33</v>
      </c>
      <c r="AC242" s="113">
        <v>121423.0</v>
      </c>
      <c r="AD242" s="108">
        <v>5.0</v>
      </c>
    </row>
    <row r="243">
      <c r="A243" s="11">
        <v>86.0</v>
      </c>
      <c r="B243" s="11">
        <v>5.0</v>
      </c>
      <c r="C243" s="11">
        <v>9.0</v>
      </c>
      <c r="D243" s="17">
        <v>40.0</v>
      </c>
      <c r="E243" s="108">
        <v>1.0</v>
      </c>
      <c r="F243" s="109">
        <v>409.03</v>
      </c>
      <c r="G243" s="109">
        <v>-92826.0</v>
      </c>
      <c r="H243" s="109">
        <v>-23302.99</v>
      </c>
      <c r="I243" s="109">
        <v>-81790.8</v>
      </c>
      <c r="J243" s="109">
        <v>86745.46</v>
      </c>
      <c r="K243" s="109">
        <v>47352.16</v>
      </c>
      <c r="L243" s="109">
        <v>31493.34</v>
      </c>
      <c r="M243" s="109">
        <v>-69087.89</v>
      </c>
      <c r="N243" s="110">
        <v>101914.0</v>
      </c>
      <c r="O243" s="110">
        <v>101144.0</v>
      </c>
      <c r="P243" s="110">
        <v>50923.0</v>
      </c>
      <c r="Q243" s="110">
        <v>103144.0</v>
      </c>
      <c r="R243" s="50">
        <v>50217.0</v>
      </c>
      <c r="S243" s="111">
        <v>50.0</v>
      </c>
      <c r="T243" s="112">
        <v>18.0</v>
      </c>
      <c r="U243" s="24" t="s">
        <v>603</v>
      </c>
      <c r="V243" s="11" t="s">
        <v>3946</v>
      </c>
      <c r="W243" s="108">
        <v>6.0</v>
      </c>
      <c r="X243" s="113">
        <v>73117.0</v>
      </c>
      <c r="Y243" s="113">
        <v>122616.0</v>
      </c>
      <c r="Z243" s="11">
        <v>183.0</v>
      </c>
      <c r="AA243" s="113">
        <v>50317.0</v>
      </c>
      <c r="AB243" s="109">
        <v>53974.58</v>
      </c>
      <c r="AC243" s="113">
        <v>50818.0</v>
      </c>
      <c r="AD243" s="108">
        <v>3.0</v>
      </c>
    </row>
    <row r="244">
      <c r="A244" s="11">
        <v>66.0</v>
      </c>
      <c r="B244" s="11">
        <v>1.0</v>
      </c>
      <c r="C244" s="11">
        <v>2.0</v>
      </c>
      <c r="D244" s="17">
        <v>81.0</v>
      </c>
      <c r="E244" s="108">
        <v>3.0</v>
      </c>
      <c r="F244" s="109">
        <v>46329.37</v>
      </c>
      <c r="G244" s="109">
        <v>-46920.12</v>
      </c>
      <c r="H244" s="109">
        <v>91844.85</v>
      </c>
      <c r="I244" s="109">
        <v>64107.52</v>
      </c>
      <c r="J244" s="109">
        <v>76253.77</v>
      </c>
      <c r="K244" s="109">
        <v>-21378.72</v>
      </c>
      <c r="L244" s="109">
        <v>71960.73</v>
      </c>
      <c r="M244" s="109">
        <v>-77217.62</v>
      </c>
      <c r="N244" s="110">
        <v>83014.0</v>
      </c>
      <c r="O244" s="110">
        <v>82534.0</v>
      </c>
      <c r="P244" s="110">
        <v>50823.0</v>
      </c>
      <c r="Q244" s="110">
        <v>83134.0</v>
      </c>
      <c r="R244" s="50">
        <v>91516.0</v>
      </c>
      <c r="S244" s="111">
        <v>55.0</v>
      </c>
      <c r="T244" s="112">
        <v>22.0</v>
      </c>
      <c r="U244" s="24" t="s">
        <v>39</v>
      </c>
      <c r="V244" s="11" t="s">
        <v>4007</v>
      </c>
      <c r="W244" s="108">
        <v>3.0</v>
      </c>
      <c r="X244" s="113">
        <v>122419.0</v>
      </c>
      <c r="Y244" s="113">
        <v>12519.0</v>
      </c>
      <c r="Z244" s="11">
        <v>101.0</v>
      </c>
      <c r="AA244" s="113">
        <v>70822.0</v>
      </c>
      <c r="AB244" s="109">
        <v>-25853.58</v>
      </c>
      <c r="AC244" s="113">
        <v>52222.0</v>
      </c>
      <c r="AD244" s="108">
        <v>6.0</v>
      </c>
    </row>
    <row r="245">
      <c r="A245" s="11">
        <v>66.0</v>
      </c>
      <c r="B245" s="11">
        <v>1.0</v>
      </c>
      <c r="C245" s="11">
        <v>1.0</v>
      </c>
      <c r="D245" s="17">
        <v>90.0</v>
      </c>
      <c r="E245" s="108">
        <v>2.0</v>
      </c>
      <c r="F245" s="109">
        <v>66716.91</v>
      </c>
      <c r="G245" s="109">
        <v>25903.5</v>
      </c>
      <c r="H245" s="109">
        <v>-76266.8</v>
      </c>
      <c r="I245" s="109">
        <v>96410.87</v>
      </c>
      <c r="J245" s="109">
        <v>66029.68</v>
      </c>
      <c r="K245" s="109">
        <v>52112.18</v>
      </c>
      <c r="L245" s="109">
        <v>72028.94</v>
      </c>
      <c r="M245" s="109">
        <v>72674.89</v>
      </c>
      <c r="N245" s="110">
        <v>90713.0</v>
      </c>
      <c r="O245" s="110">
        <v>83143.0</v>
      </c>
      <c r="P245" s="110">
        <v>50423.0</v>
      </c>
      <c r="Q245" s="110">
        <v>83143.0</v>
      </c>
      <c r="R245" s="50">
        <v>52514.0</v>
      </c>
      <c r="S245" s="111">
        <v>54.0</v>
      </c>
      <c r="T245" s="112">
        <v>44.0</v>
      </c>
      <c r="U245" s="24" t="s">
        <v>601</v>
      </c>
      <c r="V245" s="11" t="s">
        <v>4008</v>
      </c>
      <c r="W245" s="108">
        <v>7.0</v>
      </c>
      <c r="X245" s="113">
        <v>102023.0</v>
      </c>
      <c r="Y245" s="113">
        <v>72313.0</v>
      </c>
      <c r="Z245" s="11">
        <v>140.0</v>
      </c>
      <c r="AA245" s="113">
        <v>90620.0</v>
      </c>
      <c r="AB245" s="109">
        <v>44887.67</v>
      </c>
      <c r="AC245" s="113">
        <v>31413.0</v>
      </c>
      <c r="AD245" s="108">
        <v>6.0</v>
      </c>
    </row>
    <row r="246">
      <c r="A246" s="11">
        <v>45.0</v>
      </c>
      <c r="B246" s="11">
        <v>6.0</v>
      </c>
      <c r="C246" s="11">
        <v>6.0</v>
      </c>
      <c r="D246" s="17">
        <v>73.0</v>
      </c>
      <c r="E246" s="108">
        <v>9.0</v>
      </c>
      <c r="F246" s="109">
        <v>-14903.2</v>
      </c>
      <c r="G246" s="109">
        <v>-98891.14</v>
      </c>
      <c r="H246" s="109">
        <v>-53728.61</v>
      </c>
      <c r="I246" s="109">
        <v>-62328.94</v>
      </c>
      <c r="J246" s="109">
        <v>76765.38</v>
      </c>
      <c r="K246" s="109">
        <v>12831.02</v>
      </c>
      <c r="L246" s="109">
        <v>-24803.83</v>
      </c>
      <c r="M246" s="109">
        <v>-29925.38</v>
      </c>
      <c r="N246" s="110">
        <v>22314.0</v>
      </c>
      <c r="O246" s="110">
        <v>21644.0</v>
      </c>
      <c r="P246" s="110">
        <v>52623.0</v>
      </c>
      <c r="Q246" s="110">
        <v>22944.0</v>
      </c>
      <c r="R246" s="50">
        <v>42518.0</v>
      </c>
      <c r="S246" s="111">
        <v>55.0</v>
      </c>
      <c r="T246" s="112">
        <v>36.0</v>
      </c>
      <c r="U246" s="24" t="s">
        <v>603</v>
      </c>
      <c r="V246" s="11" t="s">
        <v>4009</v>
      </c>
      <c r="W246" s="108">
        <v>4.0</v>
      </c>
      <c r="X246" s="113">
        <v>100817.0</v>
      </c>
      <c r="Y246" s="113">
        <v>112523.0</v>
      </c>
      <c r="Z246" s="11">
        <v>109.0</v>
      </c>
      <c r="AA246" s="113">
        <v>90616.0</v>
      </c>
      <c r="AB246" s="109">
        <v>-97669.24</v>
      </c>
      <c r="AC246" s="113">
        <v>41220.0</v>
      </c>
      <c r="AD246" s="108">
        <v>9.0</v>
      </c>
    </row>
    <row r="247">
      <c r="A247" s="11">
        <v>25.0</v>
      </c>
      <c r="B247" s="11">
        <v>1.0</v>
      </c>
      <c r="C247" s="11">
        <v>9.0</v>
      </c>
      <c r="D247" s="17">
        <v>93.0</v>
      </c>
      <c r="E247" s="108">
        <v>0.0</v>
      </c>
      <c r="F247" s="109">
        <v>-74152.28</v>
      </c>
      <c r="G247" s="109">
        <v>23499.31</v>
      </c>
      <c r="H247" s="109">
        <v>-78724.33</v>
      </c>
      <c r="I247" s="109">
        <v>-33891.28</v>
      </c>
      <c r="J247" s="109">
        <v>54449.31</v>
      </c>
      <c r="K247" s="109">
        <v>-51539.39</v>
      </c>
      <c r="L247" s="109">
        <v>30297.5</v>
      </c>
      <c r="M247" s="109">
        <v>28659.07</v>
      </c>
      <c r="N247" s="110">
        <v>53012.0</v>
      </c>
      <c r="O247" s="110">
        <v>52342.0</v>
      </c>
      <c r="P247" s="110">
        <v>52323.0</v>
      </c>
      <c r="Q247" s="110">
        <v>53142.0</v>
      </c>
      <c r="R247" s="50">
        <v>100716.0</v>
      </c>
      <c r="S247" s="111">
        <v>52.0</v>
      </c>
      <c r="T247" s="112">
        <v>20.0</v>
      </c>
      <c r="U247" s="24" t="s">
        <v>31</v>
      </c>
      <c r="V247" s="11" t="s">
        <v>3946</v>
      </c>
      <c r="W247" s="108">
        <v>8.0</v>
      </c>
      <c r="X247" s="113">
        <v>72915.0</v>
      </c>
      <c r="Y247" s="113">
        <v>62317.0</v>
      </c>
      <c r="Z247" s="11">
        <v>116.0</v>
      </c>
      <c r="AA247" s="113">
        <v>81217.0</v>
      </c>
      <c r="AB247" s="109">
        <v>-16389.34</v>
      </c>
      <c r="AC247" s="113">
        <v>30319.0</v>
      </c>
      <c r="AD247" s="108">
        <v>9.0</v>
      </c>
    </row>
    <row r="248">
      <c r="A248" s="11">
        <v>66.0</v>
      </c>
      <c r="B248" s="11">
        <v>1.0</v>
      </c>
      <c r="C248" s="11">
        <v>7.0</v>
      </c>
      <c r="D248" s="17">
        <v>10.0</v>
      </c>
      <c r="E248" s="108">
        <v>8.0</v>
      </c>
      <c r="F248" s="109">
        <v>76024.05</v>
      </c>
      <c r="G248" s="109">
        <v>-67766.09</v>
      </c>
      <c r="H248" s="109">
        <v>84984.86</v>
      </c>
      <c r="I248" s="109">
        <v>67343.19</v>
      </c>
      <c r="J248" s="109">
        <v>17783.27</v>
      </c>
      <c r="K248" s="109">
        <v>-89542.86</v>
      </c>
      <c r="L248" s="109">
        <v>-11188.61</v>
      </c>
      <c r="M248" s="109">
        <v>-64762.07</v>
      </c>
      <c r="N248" s="110">
        <v>90411.0</v>
      </c>
      <c r="O248" s="110">
        <v>83031.0</v>
      </c>
      <c r="P248" s="110">
        <v>50323.0</v>
      </c>
      <c r="Q248" s="110">
        <v>83131.0</v>
      </c>
      <c r="R248" s="50">
        <v>81619.0</v>
      </c>
      <c r="S248" s="111">
        <v>52.0</v>
      </c>
      <c r="T248" s="112">
        <v>70.0</v>
      </c>
      <c r="U248" s="24" t="s">
        <v>48</v>
      </c>
      <c r="V248" s="11" t="s">
        <v>4010</v>
      </c>
      <c r="W248" s="108">
        <v>6.0</v>
      </c>
      <c r="X248" s="113">
        <v>72814.0</v>
      </c>
      <c r="Y248" s="113">
        <v>32114.0</v>
      </c>
      <c r="Z248" s="11">
        <v>173.0</v>
      </c>
      <c r="AA248" s="113">
        <v>32416.0</v>
      </c>
      <c r="AB248" s="109">
        <v>-4455.51</v>
      </c>
      <c r="AC248" s="113">
        <v>101718.0</v>
      </c>
      <c r="AD248" s="108">
        <v>9.0</v>
      </c>
    </row>
    <row r="249">
      <c r="A249" s="11">
        <v>25.0</v>
      </c>
      <c r="B249" s="11">
        <v>2.0</v>
      </c>
      <c r="C249" s="11">
        <v>1.0</v>
      </c>
      <c r="D249" s="17">
        <v>86.0</v>
      </c>
      <c r="E249" s="108">
        <v>5.0</v>
      </c>
      <c r="F249" s="109">
        <v>19697.83</v>
      </c>
      <c r="G249" s="109">
        <v>3112.34</v>
      </c>
      <c r="H249" s="109">
        <v>84392.01</v>
      </c>
      <c r="I249" s="109">
        <v>-83332.95</v>
      </c>
      <c r="J249" s="109">
        <v>5867.52</v>
      </c>
      <c r="K249" s="109">
        <v>-75686.08</v>
      </c>
      <c r="L249" s="109">
        <v>32518.49</v>
      </c>
      <c r="M249" s="109">
        <v>32023.21</v>
      </c>
      <c r="N249" s="110">
        <v>102612.0</v>
      </c>
      <c r="O249" s="110">
        <v>101942.0</v>
      </c>
      <c r="P249" s="110">
        <v>52523.0</v>
      </c>
      <c r="Q249" s="110">
        <v>103142.0</v>
      </c>
      <c r="R249" s="50">
        <v>102613.0</v>
      </c>
      <c r="S249" s="111">
        <v>50.0</v>
      </c>
      <c r="T249" s="112">
        <v>32.0</v>
      </c>
      <c r="U249" s="24" t="s">
        <v>601</v>
      </c>
      <c r="V249" s="11" t="s">
        <v>3936</v>
      </c>
      <c r="W249" s="108">
        <v>3.0</v>
      </c>
      <c r="X249" s="113">
        <v>112817.0</v>
      </c>
      <c r="Y249" s="113">
        <v>32514.0</v>
      </c>
      <c r="Z249" s="11">
        <v>182.0</v>
      </c>
      <c r="AA249" s="113">
        <v>20922.0</v>
      </c>
      <c r="AB249" s="109">
        <v>-48758.11</v>
      </c>
      <c r="AC249" s="113">
        <v>71917.0</v>
      </c>
      <c r="AD249" s="108">
        <v>5.0</v>
      </c>
    </row>
    <row r="250">
      <c r="A250" s="11">
        <v>86.0</v>
      </c>
      <c r="B250" s="11">
        <v>6.0</v>
      </c>
      <c r="C250" s="11">
        <v>8.0</v>
      </c>
      <c r="D250" s="17">
        <v>83.0</v>
      </c>
      <c r="E250" s="108">
        <v>4.0</v>
      </c>
      <c r="F250" s="109">
        <v>-79722.66</v>
      </c>
      <c r="G250" s="109">
        <v>-95020.86</v>
      </c>
      <c r="H250" s="109">
        <v>50424.91</v>
      </c>
      <c r="I250" s="109">
        <v>63706.4</v>
      </c>
      <c r="J250" s="109">
        <v>-52389.18</v>
      </c>
      <c r="K250" s="109">
        <v>55964.66</v>
      </c>
      <c r="L250" s="109">
        <v>-37660.32</v>
      </c>
      <c r="M250" s="109">
        <v>68509.84</v>
      </c>
      <c r="N250" s="110">
        <v>70310.0</v>
      </c>
      <c r="O250" s="110">
        <v>62540.0</v>
      </c>
      <c r="P250" s="110">
        <v>52523.0</v>
      </c>
      <c r="Q250" s="110">
        <v>63040.0</v>
      </c>
      <c r="R250" s="50">
        <v>51119.0</v>
      </c>
      <c r="S250" s="111">
        <v>51.0</v>
      </c>
      <c r="T250" s="112">
        <v>84.0</v>
      </c>
      <c r="U250" s="24" t="s">
        <v>601</v>
      </c>
      <c r="V250" s="11" t="s">
        <v>4011</v>
      </c>
      <c r="W250" s="108">
        <v>2.0</v>
      </c>
      <c r="X250" s="113">
        <v>11322.0</v>
      </c>
      <c r="Y250" s="113">
        <v>10213.0</v>
      </c>
      <c r="Z250" s="11">
        <v>160.0</v>
      </c>
      <c r="AA250" s="113">
        <v>32515.0</v>
      </c>
      <c r="AB250" s="109">
        <v>44268.76</v>
      </c>
      <c r="AC250" s="113">
        <v>31219.0</v>
      </c>
      <c r="AD250" s="108">
        <v>7.0</v>
      </c>
    </row>
    <row r="251">
      <c r="A251" s="11">
        <v>45.0</v>
      </c>
      <c r="B251" s="11">
        <v>7.0</v>
      </c>
      <c r="C251" s="11">
        <v>6.0</v>
      </c>
      <c r="D251" s="17">
        <v>97.0</v>
      </c>
      <c r="E251" s="108">
        <v>5.0</v>
      </c>
      <c r="F251" s="109">
        <v>-38436.71</v>
      </c>
      <c r="G251" s="109">
        <v>-32207.97</v>
      </c>
      <c r="H251" s="109">
        <v>-958.85</v>
      </c>
      <c r="I251" s="109">
        <v>92439.31</v>
      </c>
      <c r="J251" s="109">
        <v>62063.05</v>
      </c>
      <c r="K251" s="109">
        <v>92390.39</v>
      </c>
      <c r="L251" s="109">
        <v>39700.95</v>
      </c>
      <c r="M251" s="109">
        <v>-81696.34</v>
      </c>
      <c r="N251" s="110">
        <v>112114.0</v>
      </c>
      <c r="O251" s="110">
        <v>111634.0</v>
      </c>
      <c r="P251" s="110">
        <v>51823.0</v>
      </c>
      <c r="Q251" s="110">
        <v>113034.0</v>
      </c>
      <c r="R251" s="50">
        <v>71016.0</v>
      </c>
      <c r="S251" s="111">
        <v>55.0</v>
      </c>
      <c r="T251" s="112">
        <v>84.0</v>
      </c>
      <c r="U251" s="24" t="s">
        <v>48</v>
      </c>
      <c r="V251" s="11" t="s">
        <v>3934</v>
      </c>
      <c r="W251" s="108">
        <v>5.0</v>
      </c>
      <c r="X251" s="113">
        <v>91519.0</v>
      </c>
      <c r="Y251" s="113">
        <v>112523.0</v>
      </c>
      <c r="Z251" s="11">
        <v>146.0</v>
      </c>
      <c r="AA251" s="113">
        <v>21520.0</v>
      </c>
      <c r="AB251" s="109">
        <v>-497.67</v>
      </c>
      <c r="AC251" s="113">
        <v>90117.0</v>
      </c>
      <c r="AD251" s="108">
        <v>7.0</v>
      </c>
    </row>
    <row r="252">
      <c r="A252" s="11">
        <v>66.0</v>
      </c>
      <c r="B252" s="11">
        <v>2.0</v>
      </c>
      <c r="C252" s="11">
        <v>5.0</v>
      </c>
      <c r="D252" s="17">
        <v>62.0</v>
      </c>
      <c r="E252" s="108">
        <v>0.0</v>
      </c>
      <c r="F252" s="109">
        <v>-4415.69</v>
      </c>
      <c r="G252" s="109">
        <v>-95296.56</v>
      </c>
      <c r="H252" s="109">
        <v>57193.82</v>
      </c>
      <c r="I252" s="109">
        <v>-32561.19</v>
      </c>
      <c r="J252" s="109">
        <v>33888.94</v>
      </c>
      <c r="K252" s="109">
        <v>-63865.24</v>
      </c>
      <c r="L252" s="109">
        <v>-86385.53</v>
      </c>
      <c r="M252" s="109">
        <v>12462.04</v>
      </c>
      <c r="N252" s="110">
        <v>91610.0</v>
      </c>
      <c r="O252" s="110">
        <v>91320.0</v>
      </c>
      <c r="P252" s="110">
        <v>51323.0</v>
      </c>
      <c r="Q252" s="110">
        <v>93020.0</v>
      </c>
      <c r="R252" s="50">
        <v>72418.0</v>
      </c>
      <c r="S252" s="111">
        <v>51.0</v>
      </c>
      <c r="T252" s="112">
        <v>89.0</v>
      </c>
      <c r="U252" s="24" t="s">
        <v>31</v>
      </c>
      <c r="V252" s="11" t="s">
        <v>4012</v>
      </c>
      <c r="W252" s="108">
        <v>4.0</v>
      </c>
      <c r="X252" s="113">
        <v>52515.0</v>
      </c>
      <c r="Y252" s="113">
        <v>52919.0</v>
      </c>
      <c r="Z252" s="11">
        <v>121.0</v>
      </c>
      <c r="AA252" s="113">
        <v>90718.0</v>
      </c>
      <c r="AB252" s="109">
        <v>89748.54</v>
      </c>
      <c r="AC252" s="113">
        <v>12218.0</v>
      </c>
      <c r="AD252" s="108">
        <v>2.0</v>
      </c>
    </row>
    <row r="253">
      <c r="A253" s="11">
        <v>86.0</v>
      </c>
      <c r="B253" s="11">
        <v>7.0</v>
      </c>
      <c r="C253" s="11">
        <v>2.0</v>
      </c>
      <c r="D253" s="17">
        <v>96.0</v>
      </c>
      <c r="E253" s="108">
        <v>7.0</v>
      </c>
      <c r="F253" s="109">
        <v>-60720.1</v>
      </c>
      <c r="G253" s="109">
        <v>-28808.2</v>
      </c>
      <c r="H253" s="109">
        <v>61514.5</v>
      </c>
      <c r="I253" s="109">
        <v>-39182.65</v>
      </c>
      <c r="J253" s="109">
        <v>-17860.62</v>
      </c>
      <c r="K253" s="109">
        <v>33617.68</v>
      </c>
      <c r="L253" s="109">
        <v>94798.14</v>
      </c>
      <c r="M253" s="109">
        <v>35882.33</v>
      </c>
      <c r="N253" s="110">
        <v>51412.0</v>
      </c>
      <c r="O253" s="110">
        <v>51222.0</v>
      </c>
      <c r="P253" s="110">
        <v>50523.0</v>
      </c>
      <c r="Q253" s="110">
        <v>53122.0</v>
      </c>
      <c r="R253" s="50">
        <v>50622.0</v>
      </c>
      <c r="S253" s="111">
        <v>52.0</v>
      </c>
      <c r="T253" s="112">
        <v>22.0</v>
      </c>
      <c r="U253" s="24" t="s">
        <v>39</v>
      </c>
      <c r="V253" s="11" t="s">
        <v>3851</v>
      </c>
      <c r="W253" s="108">
        <v>2.0</v>
      </c>
      <c r="X253" s="113">
        <v>41920.0</v>
      </c>
      <c r="Y253" s="113">
        <v>22220.0</v>
      </c>
      <c r="Z253" s="11">
        <v>107.0</v>
      </c>
      <c r="AA253" s="113">
        <v>12320.0</v>
      </c>
      <c r="AB253" s="109">
        <v>-77399.46</v>
      </c>
      <c r="AC253" s="113">
        <v>91817.0</v>
      </c>
      <c r="AD253" s="108">
        <v>8.0</v>
      </c>
    </row>
    <row r="254">
      <c r="A254" s="11">
        <v>45.0</v>
      </c>
      <c r="B254" s="11">
        <v>7.0</v>
      </c>
      <c r="C254" s="11">
        <v>9.0</v>
      </c>
      <c r="D254" s="17">
        <v>1.0</v>
      </c>
      <c r="E254" s="108">
        <v>2.0</v>
      </c>
      <c r="F254" s="109">
        <v>-45291.44</v>
      </c>
      <c r="G254" s="109">
        <v>41081.15</v>
      </c>
      <c r="H254" s="109">
        <v>-66625.3</v>
      </c>
      <c r="I254" s="109">
        <v>-20427.96</v>
      </c>
      <c r="J254" s="109">
        <v>-55141.51</v>
      </c>
      <c r="K254" s="109">
        <v>48037.75</v>
      </c>
      <c r="L254" s="109">
        <v>26839.42</v>
      </c>
      <c r="M254" s="109">
        <v>64678.33</v>
      </c>
      <c r="N254" s="110">
        <v>111213.0</v>
      </c>
      <c r="O254" s="110">
        <v>110733.0</v>
      </c>
      <c r="P254" s="110">
        <v>50423.0</v>
      </c>
      <c r="Q254" s="110">
        <v>113033.0</v>
      </c>
      <c r="R254" s="50">
        <v>82818.0</v>
      </c>
      <c r="S254" s="111">
        <v>52.0</v>
      </c>
      <c r="T254" s="112">
        <v>68.0</v>
      </c>
      <c r="U254" s="24" t="s">
        <v>48</v>
      </c>
      <c r="V254" s="11" t="s">
        <v>3920</v>
      </c>
      <c r="W254" s="108">
        <v>2.0</v>
      </c>
      <c r="X254" s="113">
        <v>82818.0</v>
      </c>
      <c r="Y254" s="113">
        <v>70721.0</v>
      </c>
      <c r="Z254" s="11">
        <v>187.0</v>
      </c>
      <c r="AA254" s="113">
        <v>112013.0</v>
      </c>
      <c r="AB254" s="109">
        <v>88595.7</v>
      </c>
      <c r="AC254" s="113">
        <v>70323.0</v>
      </c>
      <c r="AD254" s="108">
        <v>0.0</v>
      </c>
    </row>
    <row r="255">
      <c r="A255" s="11">
        <v>25.0</v>
      </c>
      <c r="B255" s="11">
        <v>3.0</v>
      </c>
      <c r="C255" s="11">
        <v>2.0</v>
      </c>
      <c r="D255" s="17">
        <v>47.0</v>
      </c>
      <c r="E255" s="108">
        <v>3.0</v>
      </c>
      <c r="F255" s="109">
        <v>-89793.57</v>
      </c>
      <c r="G255" s="109">
        <v>-67105.25</v>
      </c>
      <c r="H255" s="109">
        <v>-91986.68</v>
      </c>
      <c r="I255" s="109">
        <v>61592.95</v>
      </c>
      <c r="J255" s="109">
        <v>-93958.24</v>
      </c>
      <c r="K255" s="109">
        <v>-84764.4</v>
      </c>
      <c r="L255" s="109">
        <v>-79753.8</v>
      </c>
      <c r="M255" s="109">
        <v>-60709.23</v>
      </c>
      <c r="N255" s="110">
        <v>70713.0</v>
      </c>
      <c r="O255" s="110">
        <v>70523.0</v>
      </c>
      <c r="P255" s="110">
        <v>50123.0</v>
      </c>
      <c r="Q255" s="110">
        <v>73123.0</v>
      </c>
      <c r="R255" s="50">
        <v>71322.0</v>
      </c>
      <c r="S255" s="111">
        <v>52.0</v>
      </c>
      <c r="T255" s="112">
        <v>99.0</v>
      </c>
      <c r="U255" s="24" t="s">
        <v>39</v>
      </c>
      <c r="V255" s="11" t="s">
        <v>3863</v>
      </c>
      <c r="W255" s="108">
        <v>3.0</v>
      </c>
      <c r="X255" s="113">
        <v>61415.0</v>
      </c>
      <c r="Y255" s="113">
        <v>22623.0</v>
      </c>
      <c r="Z255" s="11">
        <v>123.0</v>
      </c>
      <c r="AA255" s="113">
        <v>111823.0</v>
      </c>
      <c r="AB255" s="109">
        <v>72157.1</v>
      </c>
      <c r="AC255" s="113">
        <v>112113.0</v>
      </c>
      <c r="AD255" s="108">
        <v>6.0</v>
      </c>
    </row>
    <row r="256">
      <c r="A256" s="11">
        <v>25.0</v>
      </c>
      <c r="B256" s="11">
        <v>3.0</v>
      </c>
      <c r="C256" s="11">
        <v>3.0</v>
      </c>
      <c r="D256" s="17">
        <v>36.0</v>
      </c>
      <c r="E256" s="108">
        <v>1.0</v>
      </c>
      <c r="F256" s="109">
        <v>-98679.12</v>
      </c>
      <c r="G256" s="109">
        <v>86608.52</v>
      </c>
      <c r="H256" s="109">
        <v>3112.16</v>
      </c>
      <c r="I256" s="109">
        <v>-4141.83</v>
      </c>
      <c r="J256" s="109">
        <v>14559.45</v>
      </c>
      <c r="K256" s="109">
        <v>-42287.7</v>
      </c>
      <c r="L256" s="109">
        <v>37262.03</v>
      </c>
      <c r="M256" s="109">
        <v>34562.8</v>
      </c>
      <c r="N256" s="110">
        <v>30210.0</v>
      </c>
      <c r="O256" s="110">
        <v>22820.0</v>
      </c>
      <c r="P256" s="110">
        <v>50823.0</v>
      </c>
      <c r="Q256" s="110">
        <v>22920.0</v>
      </c>
      <c r="R256" s="50">
        <v>51815.0</v>
      </c>
      <c r="S256" s="111">
        <v>53.0</v>
      </c>
      <c r="T256" s="112">
        <v>24.0</v>
      </c>
      <c r="U256" s="24" t="s">
        <v>48</v>
      </c>
      <c r="V256" s="11" t="s">
        <v>3976</v>
      </c>
      <c r="W256" s="108">
        <v>5.0</v>
      </c>
      <c r="X256" s="113">
        <v>22314.0</v>
      </c>
      <c r="Y256" s="113">
        <v>51916.0</v>
      </c>
      <c r="Z256" s="11">
        <v>126.0</v>
      </c>
      <c r="AA256" s="113">
        <v>11616.0</v>
      </c>
      <c r="AB256" s="109">
        <v>52179.5</v>
      </c>
      <c r="AC256" s="113">
        <v>110618.0</v>
      </c>
      <c r="AD256" s="108">
        <v>8.0</v>
      </c>
    </row>
    <row r="257">
      <c r="A257" s="11">
        <v>45.0</v>
      </c>
      <c r="B257" s="11">
        <v>8.0</v>
      </c>
      <c r="C257" s="11">
        <v>2.0</v>
      </c>
      <c r="D257" s="17">
        <v>95.0</v>
      </c>
      <c r="E257" s="108">
        <v>6.0</v>
      </c>
      <c r="F257" s="109">
        <v>74037.69</v>
      </c>
      <c r="G257" s="109">
        <v>-4921.07</v>
      </c>
      <c r="H257" s="109">
        <v>50653.13</v>
      </c>
      <c r="I257" s="109">
        <v>-74959.44</v>
      </c>
      <c r="J257" s="109">
        <v>-30304.17</v>
      </c>
      <c r="K257" s="109">
        <v>44148.51</v>
      </c>
      <c r="L257" s="109">
        <v>-78098.82</v>
      </c>
      <c r="M257" s="109">
        <v>24013.81</v>
      </c>
      <c r="N257" s="110">
        <v>122912.0</v>
      </c>
      <c r="O257" s="110">
        <v>122722.0</v>
      </c>
      <c r="P257" s="110">
        <v>50323.0</v>
      </c>
      <c r="Q257" s="110">
        <v>123121.0</v>
      </c>
      <c r="R257" s="50">
        <v>11221.0</v>
      </c>
      <c r="S257" s="111">
        <v>52.0</v>
      </c>
      <c r="T257" s="112">
        <v>17.0</v>
      </c>
      <c r="U257" s="24" t="s">
        <v>31</v>
      </c>
      <c r="V257" s="11" t="s">
        <v>4013</v>
      </c>
      <c r="W257" s="108">
        <v>8.0</v>
      </c>
      <c r="X257" s="113">
        <v>90214.0</v>
      </c>
      <c r="Y257" s="113">
        <v>62920.0</v>
      </c>
      <c r="Z257" s="11">
        <v>145.0</v>
      </c>
      <c r="AA257" s="113">
        <v>41422.0</v>
      </c>
      <c r="AB257" s="109">
        <v>44252.63</v>
      </c>
      <c r="AC257" s="113">
        <v>10523.0</v>
      </c>
      <c r="AD257" s="108">
        <v>4.0</v>
      </c>
    </row>
    <row r="258">
      <c r="A258" s="11">
        <v>86.0</v>
      </c>
      <c r="B258" s="11">
        <v>7.0</v>
      </c>
      <c r="C258" s="11">
        <v>9.0</v>
      </c>
      <c r="D258" s="17">
        <v>95.0</v>
      </c>
      <c r="E258" s="108">
        <v>1.0</v>
      </c>
      <c r="F258" s="109">
        <v>-32390.91</v>
      </c>
      <c r="G258" s="109">
        <v>-44433.19</v>
      </c>
      <c r="H258" s="109">
        <v>83284.51</v>
      </c>
      <c r="I258" s="109">
        <v>78545.88</v>
      </c>
      <c r="J258" s="109">
        <v>64837.52</v>
      </c>
      <c r="K258" s="109">
        <v>-92022.96</v>
      </c>
      <c r="L258" s="109">
        <v>-53503.2</v>
      </c>
      <c r="M258" s="109">
        <v>-17949.41</v>
      </c>
      <c r="N258" s="110">
        <v>121313.0</v>
      </c>
      <c r="O258" s="110">
        <v>121123.0</v>
      </c>
      <c r="P258" s="110">
        <v>50323.0</v>
      </c>
      <c r="Q258" s="110">
        <v>123122.0</v>
      </c>
      <c r="R258" s="50">
        <v>32122.0</v>
      </c>
      <c r="S258" s="111">
        <v>51.0</v>
      </c>
      <c r="T258" s="112">
        <v>30.0</v>
      </c>
      <c r="U258" s="24" t="s">
        <v>601</v>
      </c>
      <c r="V258" s="11" t="s">
        <v>3986</v>
      </c>
      <c r="W258" s="108">
        <v>3.0</v>
      </c>
      <c r="X258" s="113">
        <v>111021.0</v>
      </c>
      <c r="Y258" s="113">
        <v>72116.0</v>
      </c>
      <c r="Z258" s="11">
        <v>105.0</v>
      </c>
      <c r="AA258" s="113">
        <v>91319.0</v>
      </c>
      <c r="AB258" s="109">
        <v>64833.26</v>
      </c>
      <c r="AC258" s="113">
        <v>61122.0</v>
      </c>
      <c r="AD258" s="108">
        <v>0.0</v>
      </c>
    </row>
    <row r="259">
      <c r="A259" s="11">
        <v>45.0</v>
      </c>
      <c r="B259" s="11">
        <v>8.0</v>
      </c>
      <c r="C259" s="11">
        <v>4.0</v>
      </c>
      <c r="D259" s="17">
        <v>52.0</v>
      </c>
      <c r="E259" s="108">
        <v>1.0</v>
      </c>
      <c r="F259" s="109">
        <v>-59260.17</v>
      </c>
      <c r="G259" s="109">
        <v>-17945.72</v>
      </c>
      <c r="H259" s="109">
        <v>-70915.54</v>
      </c>
      <c r="I259" s="109">
        <v>64550.81</v>
      </c>
      <c r="J259" s="109">
        <v>-82923.78</v>
      </c>
      <c r="K259" s="109">
        <v>-61036.12</v>
      </c>
      <c r="L259" s="109">
        <v>-47403.33</v>
      </c>
      <c r="M259" s="109">
        <v>-37091.56</v>
      </c>
      <c r="N259" s="110">
        <v>112310.0</v>
      </c>
      <c r="O259" s="110">
        <v>112020.0</v>
      </c>
      <c r="P259" s="110">
        <v>50923.0</v>
      </c>
      <c r="Q259" s="110">
        <v>113020.0</v>
      </c>
      <c r="R259" s="50">
        <v>30819.0</v>
      </c>
      <c r="S259" s="111">
        <v>53.0</v>
      </c>
      <c r="T259" s="112">
        <v>21.0</v>
      </c>
      <c r="U259" s="24" t="s">
        <v>603</v>
      </c>
      <c r="V259" s="11" t="s">
        <v>3974</v>
      </c>
      <c r="W259" s="108">
        <v>6.0</v>
      </c>
      <c r="X259" s="113">
        <v>71217.0</v>
      </c>
      <c r="Y259" s="113">
        <v>92516.0</v>
      </c>
      <c r="Z259" s="11">
        <v>188.0</v>
      </c>
      <c r="AA259" s="113">
        <v>22717.0</v>
      </c>
      <c r="AB259" s="109">
        <v>12094.76</v>
      </c>
      <c r="AC259" s="113">
        <v>52420.0</v>
      </c>
      <c r="AD259" s="108">
        <v>7.0</v>
      </c>
    </row>
    <row r="260">
      <c r="A260" s="11">
        <v>45.0</v>
      </c>
      <c r="B260" s="11">
        <v>8.0</v>
      </c>
      <c r="C260" s="11">
        <v>5.0</v>
      </c>
      <c r="D260" s="17">
        <v>93.0</v>
      </c>
      <c r="E260" s="108">
        <v>7.0</v>
      </c>
      <c r="F260" s="109">
        <v>84571.01</v>
      </c>
      <c r="G260" s="109">
        <v>21690.39</v>
      </c>
      <c r="H260" s="109">
        <v>80952.25</v>
      </c>
      <c r="I260" s="109">
        <v>68585.35</v>
      </c>
      <c r="J260" s="109">
        <v>19417.53</v>
      </c>
      <c r="K260" s="109">
        <v>75581.85</v>
      </c>
      <c r="L260" s="109">
        <v>99075.99</v>
      </c>
      <c r="M260" s="109">
        <v>-85967.41</v>
      </c>
      <c r="N260" s="110">
        <v>62012.0</v>
      </c>
      <c r="O260" s="110">
        <v>61342.0</v>
      </c>
      <c r="P260" s="110">
        <v>50523.0</v>
      </c>
      <c r="Q260" s="110">
        <v>63042.0</v>
      </c>
      <c r="R260" s="50">
        <v>60917.0</v>
      </c>
      <c r="S260" s="111">
        <v>53.0</v>
      </c>
      <c r="T260" s="112">
        <v>78.0</v>
      </c>
      <c r="U260" s="24" t="s">
        <v>48</v>
      </c>
      <c r="V260" s="11" t="s">
        <v>3907</v>
      </c>
      <c r="W260" s="108">
        <v>8.0</v>
      </c>
      <c r="X260" s="113">
        <v>92314.0</v>
      </c>
      <c r="Y260" s="113">
        <v>102622.0</v>
      </c>
      <c r="Z260" s="11">
        <v>139.0</v>
      </c>
      <c r="AA260" s="113">
        <v>82518.0</v>
      </c>
      <c r="AB260" s="109">
        <v>91478.0</v>
      </c>
      <c r="AC260" s="113">
        <v>32318.0</v>
      </c>
      <c r="AD260" s="108">
        <v>8.0</v>
      </c>
    </row>
    <row r="261">
      <c r="A261" s="11">
        <v>66.0</v>
      </c>
      <c r="B261" s="11">
        <v>3.0</v>
      </c>
      <c r="C261" s="11">
        <v>4.0</v>
      </c>
      <c r="D261" s="17">
        <v>60.0</v>
      </c>
      <c r="E261" s="108">
        <v>7.0</v>
      </c>
      <c r="F261" s="109">
        <v>88323.63</v>
      </c>
      <c r="G261" s="109">
        <v>-78474.71</v>
      </c>
      <c r="H261" s="109">
        <v>46579.48</v>
      </c>
      <c r="I261" s="109">
        <v>5392.93</v>
      </c>
      <c r="J261" s="109">
        <v>-16633.86</v>
      </c>
      <c r="K261" s="109">
        <v>82674.69</v>
      </c>
      <c r="L261" s="109">
        <v>82039.56</v>
      </c>
      <c r="M261" s="109">
        <v>36168.49</v>
      </c>
      <c r="N261" s="110">
        <v>10314.0</v>
      </c>
      <c r="O261" s="110">
        <v>10124.0</v>
      </c>
      <c r="P261" s="110">
        <v>51823.0</v>
      </c>
      <c r="Q261" s="110">
        <v>13124.0</v>
      </c>
      <c r="R261" s="50">
        <v>12015.0</v>
      </c>
      <c r="S261" s="111">
        <v>53.0</v>
      </c>
      <c r="T261" s="112">
        <v>53.0</v>
      </c>
      <c r="U261" s="24" t="s">
        <v>603</v>
      </c>
      <c r="V261" s="11" t="s">
        <v>4014</v>
      </c>
      <c r="W261" s="108">
        <v>2.0</v>
      </c>
      <c r="X261" s="113">
        <v>51214.0</v>
      </c>
      <c r="Y261" s="113">
        <v>63119.0</v>
      </c>
      <c r="Z261" s="11">
        <v>166.0</v>
      </c>
      <c r="AA261" s="113">
        <v>93121.0</v>
      </c>
      <c r="AB261" s="109">
        <v>-33766.15</v>
      </c>
      <c r="AC261" s="113">
        <v>22716.0</v>
      </c>
      <c r="AD261" s="108">
        <v>7.0</v>
      </c>
    </row>
    <row r="262">
      <c r="A262" s="11">
        <v>21.0</v>
      </c>
      <c r="B262" s="11">
        <v>3.0</v>
      </c>
      <c r="C262" s="11">
        <v>2.0</v>
      </c>
      <c r="D262" s="17">
        <v>39.0</v>
      </c>
      <c r="E262" s="108">
        <v>4.0</v>
      </c>
      <c r="F262" s="109">
        <v>44952.11</v>
      </c>
      <c r="G262" s="109">
        <v>-52290.6</v>
      </c>
      <c r="H262" s="109">
        <v>-86515.64</v>
      </c>
      <c r="I262" s="109">
        <v>33562.62</v>
      </c>
      <c r="J262" s="109">
        <v>-95866.8</v>
      </c>
      <c r="K262" s="109">
        <v>65975.52</v>
      </c>
      <c r="L262" s="109">
        <v>-94680.34</v>
      </c>
      <c r="M262" s="109">
        <v>57692.05</v>
      </c>
      <c r="N262" s="110">
        <v>110910.0</v>
      </c>
      <c r="O262" s="110">
        <v>110430.0</v>
      </c>
      <c r="P262" s="110">
        <v>50223.0</v>
      </c>
      <c r="Q262" s="110">
        <v>113030.0</v>
      </c>
      <c r="R262" s="50">
        <v>31214.0</v>
      </c>
      <c r="S262" s="111">
        <v>53.0</v>
      </c>
      <c r="T262" s="112">
        <v>20.0</v>
      </c>
      <c r="U262" s="24" t="s">
        <v>39</v>
      </c>
      <c r="V262" s="11" t="s">
        <v>4015</v>
      </c>
      <c r="W262" s="108">
        <v>6.0</v>
      </c>
      <c r="X262" s="113">
        <v>51113.0</v>
      </c>
      <c r="Y262" s="113">
        <v>92018.0</v>
      </c>
      <c r="Z262" s="11">
        <v>138.0</v>
      </c>
      <c r="AA262" s="113">
        <v>20613.0</v>
      </c>
      <c r="AB262" s="109">
        <v>-64389.82</v>
      </c>
      <c r="AC262" s="113">
        <v>51617.0</v>
      </c>
      <c r="AD262" s="108">
        <v>7.0</v>
      </c>
    </row>
    <row r="263">
      <c r="A263" s="11">
        <v>45.0</v>
      </c>
      <c r="B263" s="11">
        <v>8.0</v>
      </c>
      <c r="C263" s="11">
        <v>6.0</v>
      </c>
      <c r="D263" s="17">
        <v>68.0</v>
      </c>
      <c r="E263" s="108">
        <v>3.0</v>
      </c>
      <c r="F263" s="109">
        <v>60075.22</v>
      </c>
      <c r="G263" s="109">
        <v>-57115.03</v>
      </c>
      <c r="H263" s="109">
        <v>13875.09</v>
      </c>
      <c r="I263" s="109">
        <v>-52430.45</v>
      </c>
      <c r="J263" s="109">
        <v>69424.39</v>
      </c>
      <c r="K263" s="109">
        <v>49900.1</v>
      </c>
      <c r="L263" s="109">
        <v>11693.05</v>
      </c>
      <c r="M263" s="109">
        <v>-6910.49</v>
      </c>
      <c r="N263" s="110">
        <v>10511.0</v>
      </c>
      <c r="O263" s="110">
        <v>122840.0</v>
      </c>
      <c r="P263" s="110">
        <v>51123.0</v>
      </c>
      <c r="Q263" s="110">
        <v>123139.0</v>
      </c>
      <c r="R263" s="50">
        <v>90717.0</v>
      </c>
      <c r="S263" s="111">
        <v>52.0</v>
      </c>
      <c r="T263" s="112">
        <v>71.0</v>
      </c>
      <c r="U263" s="24" t="s">
        <v>601</v>
      </c>
      <c r="V263" s="11" t="s">
        <v>4016</v>
      </c>
      <c r="W263" s="108">
        <v>1.0</v>
      </c>
      <c r="X263" s="113">
        <v>102020.0</v>
      </c>
      <c r="Y263" s="113">
        <v>111113.0</v>
      </c>
      <c r="Z263" s="11">
        <v>100.0</v>
      </c>
      <c r="AA263" s="113">
        <v>32616.0</v>
      </c>
      <c r="AB263" s="109">
        <v>-75731.09</v>
      </c>
      <c r="AC263" s="113">
        <v>101619.0</v>
      </c>
      <c r="AD263" s="108">
        <v>2.0</v>
      </c>
    </row>
    <row r="264">
      <c r="A264" s="11">
        <v>45.0</v>
      </c>
      <c r="B264" s="11">
        <v>8.0</v>
      </c>
      <c r="C264" s="11">
        <v>9.0</v>
      </c>
      <c r="D264" s="17">
        <v>97.0</v>
      </c>
      <c r="E264" s="108">
        <v>2.0</v>
      </c>
      <c r="F264" s="109">
        <v>-97448.61</v>
      </c>
      <c r="G264" s="109">
        <v>-8672.81</v>
      </c>
      <c r="H264" s="109">
        <v>53848.27</v>
      </c>
      <c r="I264" s="109">
        <v>57728.28</v>
      </c>
      <c r="J264" s="109">
        <v>42787.02</v>
      </c>
      <c r="K264" s="109">
        <v>21343.84</v>
      </c>
      <c r="L264" s="109">
        <v>-51168.5</v>
      </c>
      <c r="M264" s="109">
        <v>-53319.41</v>
      </c>
      <c r="N264" s="110">
        <v>10513.0</v>
      </c>
      <c r="O264" s="110">
        <v>10323.0</v>
      </c>
      <c r="P264" s="110">
        <v>50823.0</v>
      </c>
      <c r="Q264" s="110">
        <v>13123.0</v>
      </c>
      <c r="R264" s="50">
        <v>22316.0</v>
      </c>
      <c r="S264" s="111">
        <v>51.0</v>
      </c>
      <c r="T264" s="112">
        <v>73.0</v>
      </c>
      <c r="U264" s="24" t="s">
        <v>31</v>
      </c>
      <c r="V264" s="11" t="s">
        <v>3915</v>
      </c>
      <c r="W264" s="108">
        <v>1.0</v>
      </c>
      <c r="X264" s="113">
        <v>80814.0</v>
      </c>
      <c r="Y264" s="113">
        <v>100820.0</v>
      </c>
      <c r="Z264" s="11">
        <v>145.0</v>
      </c>
      <c r="AA264" s="113">
        <v>71219.0</v>
      </c>
      <c r="AB264" s="109">
        <v>-64087.97</v>
      </c>
      <c r="AC264" s="113">
        <v>81122.0</v>
      </c>
      <c r="AD264" s="108">
        <v>6.0</v>
      </c>
    </row>
    <row r="265">
      <c r="A265" s="11">
        <v>86.0</v>
      </c>
      <c r="B265" s="11">
        <v>9.0</v>
      </c>
      <c r="C265" s="11">
        <v>7.0</v>
      </c>
      <c r="D265" s="17">
        <v>22.0</v>
      </c>
      <c r="E265" s="108">
        <v>2.0</v>
      </c>
      <c r="F265" s="109">
        <v>-48857.6</v>
      </c>
      <c r="G265" s="109">
        <v>-68789.06</v>
      </c>
      <c r="H265" s="109">
        <v>-36372.37</v>
      </c>
      <c r="I265" s="109">
        <v>-45191.97</v>
      </c>
      <c r="J265" s="109">
        <v>-98873.44</v>
      </c>
      <c r="K265" s="109">
        <v>13169.71</v>
      </c>
      <c r="L265" s="109">
        <v>-16279.55</v>
      </c>
      <c r="M265" s="109">
        <v>92260.6</v>
      </c>
      <c r="N265" s="110">
        <v>82112.0</v>
      </c>
      <c r="O265" s="110">
        <v>81922.0</v>
      </c>
      <c r="P265" s="110">
        <v>51523.0</v>
      </c>
      <c r="Q265" s="110">
        <v>83122.0</v>
      </c>
      <c r="R265" s="50">
        <v>112422.0</v>
      </c>
      <c r="S265" s="111">
        <v>50.0</v>
      </c>
      <c r="T265" s="112">
        <v>71.0</v>
      </c>
      <c r="U265" s="24" t="s">
        <v>39</v>
      </c>
      <c r="V265" s="11" t="s">
        <v>4017</v>
      </c>
      <c r="W265" s="108">
        <v>7.0</v>
      </c>
      <c r="X265" s="113">
        <v>81717.0</v>
      </c>
      <c r="Y265" s="113">
        <v>51715.0</v>
      </c>
      <c r="Z265" s="11">
        <v>133.0</v>
      </c>
      <c r="AA265" s="113">
        <v>71815.0</v>
      </c>
      <c r="AB265" s="109">
        <v>-26022.37</v>
      </c>
      <c r="AC265" s="113">
        <v>92413.0</v>
      </c>
      <c r="AD265" s="108">
        <v>8.0</v>
      </c>
    </row>
    <row r="266">
      <c r="A266" s="11">
        <v>86.0</v>
      </c>
      <c r="B266" s="11">
        <v>9.0</v>
      </c>
      <c r="C266" s="11">
        <v>8.0</v>
      </c>
      <c r="D266" s="17">
        <v>89.0</v>
      </c>
      <c r="E266" s="108">
        <v>3.0</v>
      </c>
      <c r="F266" s="109">
        <v>3517.87</v>
      </c>
      <c r="G266" s="109">
        <v>62260.47</v>
      </c>
      <c r="H266" s="109">
        <v>-64980.18</v>
      </c>
      <c r="I266" s="109">
        <v>63280.56</v>
      </c>
      <c r="J266" s="109">
        <v>-43593.71</v>
      </c>
      <c r="K266" s="109">
        <v>-71251.4</v>
      </c>
      <c r="L266" s="109">
        <v>-86859.93</v>
      </c>
      <c r="M266" s="109">
        <v>84199.36</v>
      </c>
      <c r="N266" s="110">
        <v>42313.0</v>
      </c>
      <c r="O266" s="110">
        <v>41643.0</v>
      </c>
      <c r="P266" s="110">
        <v>52323.0</v>
      </c>
      <c r="Q266" s="110">
        <v>43043.0</v>
      </c>
      <c r="R266" s="50">
        <v>122914.0</v>
      </c>
      <c r="S266" s="111">
        <v>55.0</v>
      </c>
      <c r="T266" s="112">
        <v>15.0</v>
      </c>
      <c r="U266" s="24" t="s">
        <v>601</v>
      </c>
      <c r="V266" s="11" t="s">
        <v>4016</v>
      </c>
      <c r="W266" s="108">
        <v>2.0</v>
      </c>
      <c r="X266" s="113">
        <v>83114.0</v>
      </c>
      <c r="Y266" s="113">
        <v>70119.0</v>
      </c>
      <c r="Z266" s="11">
        <v>170.0</v>
      </c>
      <c r="AA266" s="113">
        <v>71715.0</v>
      </c>
      <c r="AB266" s="109">
        <v>66396.02</v>
      </c>
      <c r="AC266" s="113">
        <v>102220.0</v>
      </c>
      <c r="AD266" s="108">
        <v>5.0</v>
      </c>
    </row>
    <row r="267">
      <c r="A267" s="11">
        <v>25.0</v>
      </c>
      <c r="B267" s="11">
        <v>5.0</v>
      </c>
      <c r="C267" s="11">
        <v>5.0</v>
      </c>
      <c r="D267" s="17">
        <v>65.0</v>
      </c>
      <c r="E267" s="108">
        <v>5.0</v>
      </c>
      <c r="F267" s="109">
        <v>-17837.45</v>
      </c>
      <c r="G267" s="109">
        <v>40414.61</v>
      </c>
      <c r="H267" s="109">
        <v>14083.21</v>
      </c>
      <c r="I267" s="109">
        <v>98087.0</v>
      </c>
      <c r="J267" s="109">
        <v>6280.89</v>
      </c>
      <c r="K267" s="109">
        <v>51399.07</v>
      </c>
      <c r="L267" s="109">
        <v>-94854.2</v>
      </c>
      <c r="M267" s="109">
        <v>42742.32</v>
      </c>
      <c r="N267" s="110">
        <v>11612.0</v>
      </c>
      <c r="O267" s="110">
        <v>10842.0</v>
      </c>
      <c r="P267" s="110">
        <v>52823.0</v>
      </c>
      <c r="Q267" s="110">
        <v>13142.0</v>
      </c>
      <c r="R267" s="50">
        <v>72114.0</v>
      </c>
      <c r="S267" s="111">
        <v>51.0</v>
      </c>
      <c r="T267" s="112">
        <v>43.0</v>
      </c>
      <c r="U267" s="24" t="s">
        <v>31</v>
      </c>
      <c r="V267" s="11" t="s">
        <v>4018</v>
      </c>
      <c r="W267" s="108">
        <v>7.0</v>
      </c>
      <c r="X267" s="113">
        <v>80620.0</v>
      </c>
      <c r="Y267" s="113">
        <v>50616.0</v>
      </c>
      <c r="Z267" s="11">
        <v>190.0</v>
      </c>
      <c r="AA267" s="113">
        <v>102320.0</v>
      </c>
      <c r="AB267" s="109">
        <v>685.57</v>
      </c>
      <c r="AC267" s="113">
        <v>91914.0</v>
      </c>
      <c r="AD267" s="108">
        <v>7.0</v>
      </c>
    </row>
    <row r="268">
      <c r="A268" s="11">
        <v>25.0</v>
      </c>
      <c r="B268" s="11">
        <v>5.0</v>
      </c>
      <c r="C268" s="11">
        <v>8.0</v>
      </c>
      <c r="D268" s="17">
        <v>87.0</v>
      </c>
      <c r="E268" s="108">
        <v>3.0</v>
      </c>
      <c r="F268" s="109">
        <v>-55873.02</v>
      </c>
      <c r="G268" s="109">
        <v>-44986.87</v>
      </c>
      <c r="H268" s="109">
        <v>82467.08</v>
      </c>
      <c r="I268" s="109">
        <v>45550.57</v>
      </c>
      <c r="J268" s="109">
        <v>-22227.21</v>
      </c>
      <c r="K268" s="109">
        <v>-60883.7</v>
      </c>
      <c r="L268" s="109">
        <v>-42761.93</v>
      </c>
      <c r="M268" s="109">
        <v>-81707.25</v>
      </c>
      <c r="N268" s="110">
        <v>11714.0</v>
      </c>
      <c r="O268" s="110">
        <v>11234.0</v>
      </c>
      <c r="P268" s="110">
        <v>51323.0</v>
      </c>
      <c r="Q268" s="110">
        <v>13134.0</v>
      </c>
      <c r="R268" s="50">
        <v>41014.0</v>
      </c>
      <c r="S268" s="111">
        <v>51.0</v>
      </c>
      <c r="T268" s="112">
        <v>13.0</v>
      </c>
      <c r="U268" s="24" t="s">
        <v>48</v>
      </c>
      <c r="V268" s="11" t="s">
        <v>3874</v>
      </c>
      <c r="W268" s="108">
        <v>2.0</v>
      </c>
      <c r="X268" s="113">
        <v>61922.0</v>
      </c>
      <c r="Y268" s="113">
        <v>82519.0</v>
      </c>
      <c r="Z268" s="11">
        <v>106.0</v>
      </c>
      <c r="AA268" s="113">
        <v>60821.0</v>
      </c>
      <c r="AB268" s="109">
        <v>18284.3</v>
      </c>
      <c r="AC268" s="113">
        <v>42219.0</v>
      </c>
      <c r="AD268" s="108">
        <v>6.0</v>
      </c>
    </row>
    <row r="269">
      <c r="A269" s="11">
        <v>25.0</v>
      </c>
      <c r="B269" s="11">
        <v>6.0</v>
      </c>
      <c r="C269" s="11">
        <v>5.0</v>
      </c>
      <c r="D269" s="17">
        <v>6.0</v>
      </c>
      <c r="E269" s="108">
        <v>5.0</v>
      </c>
      <c r="F269" s="109">
        <v>-82640.59</v>
      </c>
      <c r="G269" s="109">
        <v>66860.57</v>
      </c>
      <c r="H269" s="109">
        <v>14809.76</v>
      </c>
      <c r="I269" s="109">
        <v>-76666.75</v>
      </c>
      <c r="J269" s="109">
        <v>3894.66</v>
      </c>
      <c r="K269" s="109">
        <v>88370.04</v>
      </c>
      <c r="L269" s="109">
        <v>31417.51</v>
      </c>
      <c r="M269" s="109">
        <v>70442.99</v>
      </c>
      <c r="N269" s="110">
        <v>22811.0</v>
      </c>
      <c r="O269" s="110">
        <v>22521.0</v>
      </c>
      <c r="P269" s="110">
        <v>52723.0</v>
      </c>
      <c r="Q269" s="110">
        <v>22821.0</v>
      </c>
      <c r="R269" s="50">
        <v>12221.0</v>
      </c>
      <c r="S269" s="111">
        <v>55.0</v>
      </c>
      <c r="T269" s="112">
        <v>55.0</v>
      </c>
      <c r="U269" s="24" t="s">
        <v>601</v>
      </c>
      <c r="V269" s="11" t="s">
        <v>3918</v>
      </c>
      <c r="W269" s="108">
        <v>7.0</v>
      </c>
      <c r="X269" s="113">
        <v>71015.0</v>
      </c>
      <c r="Y269" s="113">
        <v>92820.0</v>
      </c>
      <c r="Z269" s="11">
        <v>129.0</v>
      </c>
      <c r="AA269" s="113">
        <v>32914.0</v>
      </c>
      <c r="AB269" s="109">
        <v>-11526.81</v>
      </c>
      <c r="AC269" s="113">
        <v>121715.0</v>
      </c>
      <c r="AD269" s="108">
        <v>9.0</v>
      </c>
    </row>
    <row r="270">
      <c r="A270" s="11">
        <v>87.0</v>
      </c>
      <c r="B270" s="11">
        <v>1.0</v>
      </c>
      <c r="C270" s="11">
        <v>3.0</v>
      </c>
      <c r="D270" s="17">
        <v>11.0</v>
      </c>
      <c r="E270" s="108">
        <v>9.0</v>
      </c>
      <c r="F270" s="109">
        <v>-15568.61</v>
      </c>
      <c r="G270" s="109">
        <v>50573.81</v>
      </c>
      <c r="H270" s="109">
        <v>84550.79</v>
      </c>
      <c r="I270" s="109">
        <v>6658.86</v>
      </c>
      <c r="J270" s="109">
        <v>-84873.01</v>
      </c>
      <c r="K270" s="109">
        <v>68128.35</v>
      </c>
      <c r="L270" s="109">
        <v>-34242.12</v>
      </c>
      <c r="M270" s="109">
        <v>28275.78</v>
      </c>
      <c r="N270" s="110">
        <v>40410.0</v>
      </c>
      <c r="O270" s="110">
        <v>32740.0</v>
      </c>
      <c r="P270" s="110">
        <v>51923.0</v>
      </c>
      <c r="Q270" s="110">
        <v>33140.0</v>
      </c>
      <c r="R270" s="50">
        <v>102321.0</v>
      </c>
      <c r="S270" s="111">
        <v>53.0</v>
      </c>
      <c r="T270" s="112">
        <v>36.0</v>
      </c>
      <c r="U270" s="24" t="s">
        <v>48</v>
      </c>
      <c r="V270" s="11" t="s">
        <v>3852</v>
      </c>
      <c r="W270" s="108">
        <v>2.0</v>
      </c>
      <c r="X270" s="113">
        <v>51818.0</v>
      </c>
      <c r="Y270" s="113">
        <v>101616.0</v>
      </c>
      <c r="Z270" s="11">
        <v>107.0</v>
      </c>
      <c r="AA270" s="113">
        <v>100417.0</v>
      </c>
      <c r="AB270" s="109">
        <v>-79768.67</v>
      </c>
      <c r="AC270" s="113">
        <v>10518.0</v>
      </c>
      <c r="AD270" s="108">
        <v>9.0</v>
      </c>
    </row>
    <row r="271">
      <c r="A271" s="11">
        <v>66.0</v>
      </c>
      <c r="B271" s="11">
        <v>6.0</v>
      </c>
      <c r="C271" s="11">
        <v>8.0</v>
      </c>
      <c r="D271" s="17">
        <v>40.0</v>
      </c>
      <c r="E271" s="108">
        <v>6.0</v>
      </c>
      <c r="F271" s="109">
        <v>-31981.35</v>
      </c>
      <c r="G271" s="109">
        <v>-3005.67</v>
      </c>
      <c r="H271" s="109">
        <v>-90632.2</v>
      </c>
      <c r="I271" s="109">
        <v>65633.59</v>
      </c>
      <c r="J271" s="109">
        <v>44933.49</v>
      </c>
      <c r="K271" s="109">
        <v>-57839.21</v>
      </c>
      <c r="L271" s="109">
        <v>34637.3</v>
      </c>
      <c r="M271" s="109">
        <v>-52487.43</v>
      </c>
      <c r="N271" s="110">
        <v>52411.0</v>
      </c>
      <c r="O271" s="110">
        <v>52121.0</v>
      </c>
      <c r="P271" s="110">
        <v>50323.0</v>
      </c>
      <c r="Q271" s="110">
        <v>53121.0</v>
      </c>
      <c r="R271" s="50">
        <v>30913.0</v>
      </c>
      <c r="S271" s="111">
        <v>50.0</v>
      </c>
      <c r="T271" s="112">
        <v>15.0</v>
      </c>
      <c r="U271" s="24" t="s">
        <v>601</v>
      </c>
      <c r="V271" s="11" t="s">
        <v>4019</v>
      </c>
      <c r="W271" s="108">
        <v>4.0</v>
      </c>
      <c r="X271" s="113">
        <v>41815.0</v>
      </c>
      <c r="Y271" s="113">
        <v>92616.0</v>
      </c>
      <c r="Z271" s="11">
        <v>105.0</v>
      </c>
      <c r="AA271" s="113">
        <v>122015.0</v>
      </c>
      <c r="AB271" s="109">
        <v>20551.67</v>
      </c>
      <c r="AC271" s="113">
        <v>22216.0</v>
      </c>
      <c r="AD271" s="108">
        <v>6.0</v>
      </c>
    </row>
    <row r="272">
      <c r="A272" s="11">
        <v>66.0</v>
      </c>
      <c r="B272" s="11">
        <v>6.0</v>
      </c>
      <c r="C272" s="11">
        <v>9.0</v>
      </c>
      <c r="D272" s="17">
        <v>18.0</v>
      </c>
      <c r="E272" s="108">
        <v>3.0</v>
      </c>
      <c r="F272" s="109">
        <v>-97919.77</v>
      </c>
      <c r="G272" s="109">
        <v>-1712.39</v>
      </c>
      <c r="H272" s="109">
        <v>32318.71</v>
      </c>
      <c r="I272" s="109">
        <v>33680.37</v>
      </c>
      <c r="J272" s="109">
        <v>-93276.37</v>
      </c>
      <c r="K272" s="109">
        <v>-82306.5</v>
      </c>
      <c r="L272" s="109">
        <v>89140.1</v>
      </c>
      <c r="M272" s="109">
        <v>-55284.1</v>
      </c>
      <c r="N272" s="110">
        <v>81813.0</v>
      </c>
      <c r="O272" s="110">
        <v>81333.0</v>
      </c>
      <c r="P272" s="110">
        <v>51423.0</v>
      </c>
      <c r="Q272" s="110">
        <v>83133.0</v>
      </c>
      <c r="R272" s="50">
        <v>41815.0</v>
      </c>
      <c r="S272" s="111">
        <v>54.0</v>
      </c>
      <c r="T272" s="112">
        <v>46.0</v>
      </c>
      <c r="U272" s="24" t="s">
        <v>39</v>
      </c>
      <c r="V272" s="11" t="s">
        <v>3962</v>
      </c>
      <c r="W272" s="108">
        <v>9.0</v>
      </c>
      <c r="X272" s="113">
        <v>12722.0</v>
      </c>
      <c r="Y272" s="113">
        <v>70716.0</v>
      </c>
      <c r="Z272" s="11">
        <v>170.0</v>
      </c>
      <c r="AA272" s="113">
        <v>110719.0</v>
      </c>
      <c r="AB272" s="109">
        <v>18615.0</v>
      </c>
      <c r="AC272" s="113">
        <v>100416.0</v>
      </c>
      <c r="AD272" s="108">
        <v>0.0</v>
      </c>
    </row>
    <row r="273">
      <c r="A273" s="11">
        <v>25.0</v>
      </c>
      <c r="B273" s="11">
        <v>7.0</v>
      </c>
      <c r="C273" s="11">
        <v>3.0</v>
      </c>
      <c r="D273" s="17">
        <v>40.0</v>
      </c>
      <c r="E273" s="108">
        <v>6.0</v>
      </c>
      <c r="F273" s="109">
        <v>97022.12</v>
      </c>
      <c r="G273" s="109">
        <v>-92999.84</v>
      </c>
      <c r="H273" s="109">
        <v>-38588.01</v>
      </c>
      <c r="I273" s="109">
        <v>66496.93</v>
      </c>
      <c r="J273" s="109">
        <v>59474.78</v>
      </c>
      <c r="K273" s="109">
        <v>4794.95</v>
      </c>
      <c r="L273" s="109">
        <v>-98537.16</v>
      </c>
      <c r="M273" s="109">
        <v>-42643.9</v>
      </c>
      <c r="N273" s="110">
        <v>61211.0</v>
      </c>
      <c r="O273" s="110">
        <v>60441.0</v>
      </c>
      <c r="P273" s="110">
        <v>50823.0</v>
      </c>
      <c r="Q273" s="110">
        <v>63041.0</v>
      </c>
      <c r="R273" s="50">
        <v>123116.0</v>
      </c>
      <c r="S273" s="111">
        <v>51.0</v>
      </c>
      <c r="T273" s="112">
        <v>94.0</v>
      </c>
      <c r="U273" s="24" t="s">
        <v>48</v>
      </c>
      <c r="V273" s="11" t="s">
        <v>4020</v>
      </c>
      <c r="W273" s="108">
        <v>1.0</v>
      </c>
      <c r="X273" s="113">
        <v>112419.0</v>
      </c>
      <c r="Y273" s="113">
        <v>81120.0</v>
      </c>
      <c r="Z273" s="11">
        <v>106.0</v>
      </c>
      <c r="AA273" s="113">
        <v>111423.0</v>
      </c>
      <c r="AB273" s="109">
        <v>-32018.14</v>
      </c>
      <c r="AC273" s="113">
        <v>31917.0</v>
      </c>
      <c r="AD273" s="108">
        <v>1.0</v>
      </c>
    </row>
    <row r="274">
      <c r="A274" s="11">
        <v>87.0</v>
      </c>
      <c r="B274" s="11">
        <v>1.0</v>
      </c>
      <c r="C274" s="11">
        <v>9.0</v>
      </c>
      <c r="D274" s="17">
        <v>77.0</v>
      </c>
      <c r="E274" s="108">
        <v>9.0</v>
      </c>
      <c r="F274" s="109">
        <v>47834.7</v>
      </c>
      <c r="G274" s="109">
        <v>90052.53</v>
      </c>
      <c r="H274" s="109">
        <v>48979.97</v>
      </c>
      <c r="I274" s="109">
        <v>25653.62</v>
      </c>
      <c r="J274" s="109">
        <v>63231.84</v>
      </c>
      <c r="K274" s="109">
        <v>-64158.49</v>
      </c>
      <c r="L274" s="109">
        <v>-81977.22</v>
      </c>
      <c r="M274" s="109">
        <v>381.48</v>
      </c>
      <c r="N274" s="110">
        <v>82911.0</v>
      </c>
      <c r="O274" s="110">
        <v>82621.0</v>
      </c>
      <c r="P274" s="110">
        <v>51823.0</v>
      </c>
      <c r="Q274" s="110">
        <v>83121.0</v>
      </c>
      <c r="R274" s="50">
        <v>31514.0</v>
      </c>
      <c r="S274" s="111">
        <v>54.0</v>
      </c>
      <c r="T274" s="112">
        <v>28.0</v>
      </c>
      <c r="U274" s="24" t="s">
        <v>31</v>
      </c>
      <c r="V274" s="11" t="s">
        <v>4021</v>
      </c>
      <c r="W274" s="108">
        <v>4.0</v>
      </c>
      <c r="X274" s="113">
        <v>120322.0</v>
      </c>
      <c r="Y274" s="113">
        <v>60523.0</v>
      </c>
      <c r="Z274" s="11">
        <v>146.0</v>
      </c>
      <c r="AA274" s="113">
        <v>92519.0</v>
      </c>
      <c r="AB274" s="109">
        <v>96916.76</v>
      </c>
      <c r="AC274" s="113">
        <v>83021.0</v>
      </c>
      <c r="AD274" s="108">
        <v>9.0</v>
      </c>
    </row>
    <row r="275">
      <c r="A275" s="11">
        <v>46.0</v>
      </c>
      <c r="B275" s="11">
        <v>2.0</v>
      </c>
      <c r="C275" s="11">
        <v>4.0</v>
      </c>
      <c r="D275" s="17">
        <v>58.0</v>
      </c>
      <c r="E275" s="108">
        <v>2.0</v>
      </c>
      <c r="F275" s="109">
        <v>11710.41</v>
      </c>
      <c r="G275" s="109">
        <v>-40334.6</v>
      </c>
      <c r="H275" s="109">
        <v>-42695.01</v>
      </c>
      <c r="I275" s="109">
        <v>10752.91</v>
      </c>
      <c r="J275" s="109">
        <v>-54065.63</v>
      </c>
      <c r="K275" s="109">
        <v>-96568.5</v>
      </c>
      <c r="L275" s="109">
        <v>-6214.39</v>
      </c>
      <c r="M275" s="109">
        <v>-11560.68</v>
      </c>
      <c r="N275" s="110">
        <v>110410.0</v>
      </c>
      <c r="O275" s="110">
        <v>103030.0</v>
      </c>
      <c r="P275" s="110">
        <v>51423.0</v>
      </c>
      <c r="Q275" s="110">
        <v>103130.0</v>
      </c>
      <c r="R275" s="50">
        <v>120913.0</v>
      </c>
      <c r="S275" s="111">
        <v>55.0</v>
      </c>
      <c r="T275" s="112">
        <v>52.0</v>
      </c>
      <c r="U275" s="24" t="s">
        <v>601</v>
      </c>
      <c r="V275" s="11" t="s">
        <v>4022</v>
      </c>
      <c r="W275" s="108">
        <v>8.0</v>
      </c>
      <c r="X275" s="113">
        <v>41118.0</v>
      </c>
      <c r="Y275" s="113">
        <v>102813.0</v>
      </c>
      <c r="Z275" s="11">
        <v>137.0</v>
      </c>
      <c r="AA275" s="113">
        <v>101616.0</v>
      </c>
      <c r="AB275" s="109">
        <v>-83623.78</v>
      </c>
      <c r="AC275" s="113">
        <v>20414.0</v>
      </c>
      <c r="AD275" s="108">
        <v>0.0</v>
      </c>
    </row>
    <row r="276">
      <c r="A276" s="11">
        <v>25.0</v>
      </c>
      <c r="B276" s="11">
        <v>8.0</v>
      </c>
      <c r="C276" s="11">
        <v>2.0</v>
      </c>
      <c r="D276" s="17">
        <v>93.0</v>
      </c>
      <c r="E276" s="108">
        <v>1.0</v>
      </c>
      <c r="F276" s="109">
        <v>-7140.17</v>
      </c>
      <c r="G276" s="109">
        <v>68033.04</v>
      </c>
      <c r="H276" s="109">
        <v>-7621.26</v>
      </c>
      <c r="I276" s="109">
        <v>-21933.89</v>
      </c>
      <c r="J276" s="109">
        <v>97658.72</v>
      </c>
      <c r="K276" s="109">
        <v>62542.33</v>
      </c>
      <c r="L276" s="109">
        <v>-7065.51</v>
      </c>
      <c r="M276" s="109">
        <v>-93116.13</v>
      </c>
      <c r="N276" s="110">
        <v>32814.0</v>
      </c>
      <c r="O276" s="110">
        <v>32334.0</v>
      </c>
      <c r="P276" s="110">
        <v>52223.0</v>
      </c>
      <c r="Q276" s="110">
        <v>33134.0</v>
      </c>
      <c r="R276" s="50">
        <v>81119.0</v>
      </c>
      <c r="S276" s="111">
        <v>50.0</v>
      </c>
      <c r="T276" s="112">
        <v>47.0</v>
      </c>
      <c r="U276" s="24" t="s">
        <v>603</v>
      </c>
      <c r="V276" s="11" t="s">
        <v>3868</v>
      </c>
      <c r="W276" s="108">
        <v>1.0</v>
      </c>
      <c r="X276" s="113">
        <v>51621.0</v>
      </c>
      <c r="Y276" s="113">
        <v>20622.0</v>
      </c>
      <c r="Z276" s="11">
        <v>136.0</v>
      </c>
      <c r="AA276" s="113">
        <v>80422.0</v>
      </c>
      <c r="AB276" s="109">
        <v>54687.85</v>
      </c>
      <c r="AC276" s="113">
        <v>40614.0</v>
      </c>
      <c r="AD276" s="108">
        <v>9.0</v>
      </c>
    </row>
    <row r="277">
      <c r="A277" s="11">
        <v>25.0</v>
      </c>
      <c r="B277" s="11">
        <v>8.0</v>
      </c>
      <c r="C277" s="11">
        <v>3.0</v>
      </c>
      <c r="D277" s="17">
        <v>64.0</v>
      </c>
      <c r="E277" s="108">
        <v>4.0</v>
      </c>
      <c r="F277" s="109">
        <v>-10240.36</v>
      </c>
      <c r="G277" s="109">
        <v>-82834.3</v>
      </c>
      <c r="H277" s="109">
        <v>-93069.05</v>
      </c>
      <c r="I277" s="109">
        <v>-48643.45</v>
      </c>
      <c r="J277" s="109">
        <v>80272.33</v>
      </c>
      <c r="K277" s="109">
        <v>62805.34</v>
      </c>
      <c r="L277" s="109">
        <v>58527.82</v>
      </c>
      <c r="M277" s="109">
        <v>58691.31</v>
      </c>
      <c r="N277" s="110">
        <v>42613.0</v>
      </c>
      <c r="O277" s="110">
        <v>42133.0</v>
      </c>
      <c r="P277" s="110">
        <v>51623.0</v>
      </c>
      <c r="Q277" s="110">
        <v>43033.0</v>
      </c>
      <c r="R277" s="50">
        <v>92519.0</v>
      </c>
      <c r="S277" s="111">
        <v>52.0</v>
      </c>
      <c r="T277" s="112">
        <v>33.0</v>
      </c>
      <c r="U277" s="24" t="s">
        <v>48</v>
      </c>
      <c r="V277" s="11" t="s">
        <v>4023</v>
      </c>
      <c r="W277" s="108">
        <v>7.0</v>
      </c>
      <c r="X277" s="113">
        <v>40919.0</v>
      </c>
      <c r="Y277" s="113">
        <v>70215.0</v>
      </c>
      <c r="Z277" s="11">
        <v>195.0</v>
      </c>
      <c r="AA277" s="113">
        <v>52819.0</v>
      </c>
      <c r="AB277" s="109">
        <v>2493.98</v>
      </c>
      <c r="AC277" s="113">
        <v>81216.0</v>
      </c>
      <c r="AD277" s="108">
        <v>2.0</v>
      </c>
    </row>
    <row r="278">
      <c r="A278" s="11">
        <v>46.0</v>
      </c>
      <c r="B278" s="11">
        <v>3.0</v>
      </c>
      <c r="C278" s="11">
        <v>3.0</v>
      </c>
      <c r="D278" s="17">
        <v>7.0</v>
      </c>
      <c r="E278" s="108">
        <v>4.0</v>
      </c>
      <c r="F278" s="109">
        <v>41328.07</v>
      </c>
      <c r="G278" s="109">
        <v>-66539.29</v>
      </c>
      <c r="H278" s="109">
        <v>-6464.72</v>
      </c>
      <c r="I278" s="109">
        <v>-17725.72</v>
      </c>
      <c r="J278" s="109">
        <v>-54937.39</v>
      </c>
      <c r="K278" s="109">
        <v>-14454.08</v>
      </c>
      <c r="L278" s="109">
        <v>-27667.3</v>
      </c>
      <c r="M278" s="109">
        <v>82185.21</v>
      </c>
      <c r="N278" s="110">
        <v>70914.0</v>
      </c>
      <c r="O278" s="110">
        <v>70624.0</v>
      </c>
      <c r="P278" s="110">
        <v>50323.0</v>
      </c>
      <c r="Q278" s="110">
        <v>73124.0</v>
      </c>
      <c r="R278" s="50">
        <v>22616.0</v>
      </c>
      <c r="S278" s="111">
        <v>52.0</v>
      </c>
      <c r="T278" s="112">
        <v>65.0</v>
      </c>
      <c r="U278" s="24" t="s">
        <v>601</v>
      </c>
      <c r="V278" s="11" t="s">
        <v>4024</v>
      </c>
      <c r="W278" s="108">
        <v>4.0</v>
      </c>
      <c r="X278" s="113">
        <v>32115.0</v>
      </c>
      <c r="Y278" s="113">
        <v>63123.0</v>
      </c>
      <c r="Z278" s="11">
        <v>143.0</v>
      </c>
      <c r="AA278" s="113">
        <v>40818.0</v>
      </c>
      <c r="AB278" s="109">
        <v>31482.52</v>
      </c>
      <c r="AC278" s="113">
        <v>111823.0</v>
      </c>
      <c r="AD278" s="108">
        <v>5.0</v>
      </c>
    </row>
    <row r="279">
      <c r="A279" s="11">
        <v>25.0</v>
      </c>
      <c r="B279" s="11">
        <v>8.0</v>
      </c>
      <c r="C279" s="11">
        <v>6.0</v>
      </c>
      <c r="D279" s="17">
        <v>10.0</v>
      </c>
      <c r="E279" s="108">
        <v>3.0</v>
      </c>
      <c r="F279" s="109">
        <v>98437.25</v>
      </c>
      <c r="G279" s="109">
        <v>71039.27</v>
      </c>
      <c r="H279" s="109">
        <v>-55762.6</v>
      </c>
      <c r="I279" s="109">
        <v>-55305.72</v>
      </c>
      <c r="J279" s="109">
        <v>-89631.53</v>
      </c>
      <c r="K279" s="109">
        <v>57783.11</v>
      </c>
      <c r="L279" s="109">
        <v>-62550.38</v>
      </c>
      <c r="M279" s="109">
        <v>-55711.25</v>
      </c>
      <c r="N279" s="110">
        <v>12412.0</v>
      </c>
      <c r="O279" s="110">
        <v>11932.0</v>
      </c>
      <c r="P279" s="110">
        <v>50423.0</v>
      </c>
      <c r="Q279" s="110">
        <v>13132.0</v>
      </c>
      <c r="R279" s="50">
        <v>112721.0</v>
      </c>
      <c r="S279" s="111">
        <v>54.0</v>
      </c>
      <c r="T279" s="112">
        <v>80.0</v>
      </c>
      <c r="U279" s="24" t="s">
        <v>31</v>
      </c>
      <c r="V279" s="11" t="s">
        <v>4004</v>
      </c>
      <c r="W279" s="108">
        <v>1.0</v>
      </c>
      <c r="X279" s="113">
        <v>101414.0</v>
      </c>
      <c r="Y279" s="113">
        <v>31817.0</v>
      </c>
      <c r="Z279" s="11">
        <v>188.0</v>
      </c>
      <c r="AA279" s="113">
        <v>123018.0</v>
      </c>
      <c r="AB279" s="109">
        <v>61287.29</v>
      </c>
      <c r="AC279" s="113">
        <v>22616.0</v>
      </c>
      <c r="AD279" s="108">
        <v>3.0</v>
      </c>
    </row>
    <row r="280">
      <c r="A280" s="11">
        <v>87.0</v>
      </c>
      <c r="B280" s="11">
        <v>3.0</v>
      </c>
      <c r="C280" s="11">
        <v>2.0</v>
      </c>
      <c r="D280" s="17">
        <v>50.0</v>
      </c>
      <c r="E280" s="108">
        <v>3.0</v>
      </c>
      <c r="F280" s="109">
        <v>-9640.05</v>
      </c>
      <c r="G280" s="109">
        <v>-93099.57</v>
      </c>
      <c r="H280" s="109">
        <v>5753.53</v>
      </c>
      <c r="I280" s="109">
        <v>42034.91</v>
      </c>
      <c r="J280" s="109">
        <v>-71800.68</v>
      </c>
      <c r="K280" s="109">
        <v>15218.04</v>
      </c>
      <c r="L280" s="109">
        <v>87691.86</v>
      </c>
      <c r="M280" s="109">
        <v>-92974.79</v>
      </c>
      <c r="N280" s="110">
        <v>120212.0</v>
      </c>
      <c r="O280" s="110">
        <v>112542.0</v>
      </c>
      <c r="P280" s="110">
        <v>50723.0</v>
      </c>
      <c r="Q280" s="110">
        <v>113042.0</v>
      </c>
      <c r="R280" s="50">
        <v>92915.0</v>
      </c>
      <c r="S280" s="111">
        <v>52.0</v>
      </c>
      <c r="T280" s="112">
        <v>90.0</v>
      </c>
      <c r="U280" s="24" t="s">
        <v>601</v>
      </c>
      <c r="V280" s="11" t="s">
        <v>4025</v>
      </c>
      <c r="W280" s="108">
        <v>9.0</v>
      </c>
      <c r="X280" s="113">
        <v>31614.0</v>
      </c>
      <c r="Y280" s="113">
        <v>62221.0</v>
      </c>
      <c r="Z280" s="11">
        <v>126.0</v>
      </c>
      <c r="AA280" s="113">
        <v>100619.0</v>
      </c>
      <c r="AB280" s="109">
        <v>-84250.79</v>
      </c>
      <c r="AC280" s="113">
        <v>81213.0</v>
      </c>
      <c r="AD280" s="108">
        <v>0.0</v>
      </c>
    </row>
    <row r="281">
      <c r="A281" s="11">
        <v>46.0</v>
      </c>
      <c r="B281" s="11">
        <v>3.0</v>
      </c>
      <c r="C281" s="11">
        <v>6.0</v>
      </c>
      <c r="D281" s="17">
        <v>74.0</v>
      </c>
      <c r="E281" s="108">
        <v>1.0</v>
      </c>
      <c r="F281" s="109">
        <v>49783.57</v>
      </c>
      <c r="G281" s="109">
        <v>-46333.5</v>
      </c>
      <c r="H281" s="109">
        <v>15560.67</v>
      </c>
      <c r="I281" s="109">
        <v>-29974.83</v>
      </c>
      <c r="J281" s="109">
        <v>91989.37</v>
      </c>
      <c r="K281" s="109">
        <v>97874.48</v>
      </c>
      <c r="L281" s="109">
        <v>68047.99</v>
      </c>
      <c r="M281" s="109">
        <v>50969.7</v>
      </c>
      <c r="N281" s="110">
        <v>80111.0</v>
      </c>
      <c r="O281" s="110">
        <v>72921.0</v>
      </c>
      <c r="P281" s="110">
        <v>51723.0</v>
      </c>
      <c r="Q281" s="110">
        <v>73121.0</v>
      </c>
      <c r="R281" s="50">
        <v>91013.0</v>
      </c>
      <c r="S281" s="111">
        <v>52.0</v>
      </c>
      <c r="T281" s="112">
        <v>54.0</v>
      </c>
      <c r="U281" s="24" t="s">
        <v>31</v>
      </c>
      <c r="V281" s="11" t="s">
        <v>3941</v>
      </c>
      <c r="W281" s="108">
        <v>3.0</v>
      </c>
      <c r="X281" s="113">
        <v>20813.0</v>
      </c>
      <c r="Y281" s="113">
        <v>82718.0</v>
      </c>
      <c r="Z281" s="11">
        <v>194.0</v>
      </c>
      <c r="AA281" s="113">
        <v>82819.0</v>
      </c>
      <c r="AB281" s="109">
        <v>25408.78</v>
      </c>
      <c r="AC281" s="113">
        <v>111713.0</v>
      </c>
      <c r="AD281" s="108">
        <v>8.0</v>
      </c>
    </row>
    <row r="282">
      <c r="A282" s="11">
        <v>46.0</v>
      </c>
      <c r="B282" s="11">
        <v>3.0</v>
      </c>
      <c r="C282" s="11">
        <v>8.0</v>
      </c>
      <c r="D282" s="17">
        <v>71.0</v>
      </c>
      <c r="E282" s="108">
        <v>1.0</v>
      </c>
      <c r="F282" s="109">
        <v>70711.11</v>
      </c>
      <c r="G282" s="109">
        <v>-64329.62</v>
      </c>
      <c r="H282" s="109">
        <v>-22177.92</v>
      </c>
      <c r="I282" s="109">
        <v>2420.24</v>
      </c>
      <c r="J282" s="109">
        <v>69534.67</v>
      </c>
      <c r="K282" s="109">
        <v>-70116.77</v>
      </c>
      <c r="L282" s="109">
        <v>-70831.34</v>
      </c>
      <c r="M282" s="109">
        <v>28253.33</v>
      </c>
      <c r="N282" s="110">
        <v>21110.0</v>
      </c>
      <c r="O282" s="110">
        <v>20630.0</v>
      </c>
      <c r="P282" s="110">
        <v>50823.0</v>
      </c>
      <c r="Q282" s="110">
        <v>22830.0</v>
      </c>
      <c r="R282" s="50">
        <v>31421.0</v>
      </c>
      <c r="S282" s="111">
        <v>53.0</v>
      </c>
      <c r="T282" s="112">
        <v>74.0</v>
      </c>
      <c r="U282" s="24" t="s">
        <v>48</v>
      </c>
      <c r="V282" s="11" t="s">
        <v>4026</v>
      </c>
      <c r="W282" s="108">
        <v>7.0</v>
      </c>
      <c r="X282" s="113">
        <v>10823.0</v>
      </c>
      <c r="Y282" s="113">
        <v>32017.0</v>
      </c>
      <c r="Z282" s="11">
        <v>181.0</v>
      </c>
      <c r="AA282" s="113">
        <v>22122.0</v>
      </c>
      <c r="AB282" s="109">
        <v>-65101.68</v>
      </c>
      <c r="AC282" s="113">
        <v>112617.0</v>
      </c>
      <c r="AD282" s="108">
        <v>5.0</v>
      </c>
    </row>
    <row r="283">
      <c r="A283" s="11">
        <v>66.0</v>
      </c>
      <c r="B283" s="11">
        <v>8.0</v>
      </c>
      <c r="C283" s="11">
        <v>6.0</v>
      </c>
      <c r="D283" s="17">
        <v>69.0</v>
      </c>
      <c r="E283" s="108">
        <v>1.0</v>
      </c>
      <c r="F283" s="109">
        <v>-17412.08</v>
      </c>
      <c r="G283" s="109">
        <v>53973.3</v>
      </c>
      <c r="H283" s="109">
        <v>42669.76</v>
      </c>
      <c r="I283" s="109">
        <v>71955.81</v>
      </c>
      <c r="J283" s="109">
        <v>16644.64</v>
      </c>
      <c r="K283" s="109">
        <v>-29534.05</v>
      </c>
      <c r="L283" s="109">
        <v>-24966.71</v>
      </c>
      <c r="M283" s="109">
        <v>-89717.22</v>
      </c>
      <c r="N283" s="110">
        <v>11710.0</v>
      </c>
      <c r="O283" s="110">
        <v>11040.0</v>
      </c>
      <c r="P283" s="110">
        <v>52523.0</v>
      </c>
      <c r="Q283" s="110">
        <v>13140.0</v>
      </c>
      <c r="R283" s="50">
        <v>100821.0</v>
      </c>
      <c r="S283" s="111">
        <v>51.0</v>
      </c>
      <c r="T283" s="112">
        <v>27.0</v>
      </c>
      <c r="U283" s="24" t="s">
        <v>31</v>
      </c>
      <c r="V283" s="11" t="s">
        <v>3861</v>
      </c>
      <c r="W283" s="108">
        <v>7.0</v>
      </c>
      <c r="X283" s="113">
        <v>82017.0</v>
      </c>
      <c r="Y283" s="113">
        <v>31821.0</v>
      </c>
      <c r="Z283" s="11">
        <v>164.0</v>
      </c>
      <c r="AA283" s="113">
        <v>30516.0</v>
      </c>
      <c r="AB283" s="109">
        <v>-1841.01</v>
      </c>
      <c r="AC283" s="113">
        <v>71420.0</v>
      </c>
      <c r="AD283" s="108">
        <v>3.0</v>
      </c>
    </row>
    <row r="284">
      <c r="A284" s="11">
        <v>87.0</v>
      </c>
      <c r="B284" s="11">
        <v>3.0</v>
      </c>
      <c r="C284" s="11">
        <v>6.0</v>
      </c>
      <c r="D284" s="17">
        <v>34.0</v>
      </c>
      <c r="E284" s="108">
        <v>8.0</v>
      </c>
      <c r="F284" s="109">
        <v>-40602.19</v>
      </c>
      <c r="G284" s="109">
        <v>24625.76</v>
      </c>
      <c r="H284" s="109">
        <v>38102.98</v>
      </c>
      <c r="I284" s="109">
        <v>-73860.15</v>
      </c>
      <c r="J284" s="109">
        <v>1837.74</v>
      </c>
      <c r="K284" s="109">
        <v>6187.84</v>
      </c>
      <c r="L284" s="109">
        <v>23161.36</v>
      </c>
      <c r="M284" s="109">
        <v>-8700.91</v>
      </c>
      <c r="N284" s="110">
        <v>111214.0</v>
      </c>
      <c r="O284" s="110">
        <v>110924.0</v>
      </c>
      <c r="P284" s="110">
        <v>52423.0</v>
      </c>
      <c r="Q284" s="110">
        <v>113024.0</v>
      </c>
      <c r="R284" s="50">
        <v>81020.0</v>
      </c>
      <c r="S284" s="111">
        <v>52.0</v>
      </c>
      <c r="T284" s="112">
        <v>97.0</v>
      </c>
      <c r="U284" s="24" t="s">
        <v>603</v>
      </c>
      <c r="V284" s="11" t="s">
        <v>4027</v>
      </c>
      <c r="W284" s="108">
        <v>9.0</v>
      </c>
      <c r="X284" s="113">
        <v>11221.0</v>
      </c>
      <c r="Y284" s="113">
        <v>10621.0</v>
      </c>
      <c r="Z284" s="11">
        <v>164.0</v>
      </c>
      <c r="AA284" s="113">
        <v>22322.0</v>
      </c>
      <c r="AB284" s="109">
        <v>56805.29</v>
      </c>
      <c r="AC284" s="113">
        <v>120914.0</v>
      </c>
      <c r="AD284" s="108">
        <v>2.0</v>
      </c>
    </row>
    <row r="285">
      <c r="A285" s="11">
        <v>87.0</v>
      </c>
      <c r="B285" s="11">
        <v>3.0</v>
      </c>
      <c r="C285" s="11">
        <v>7.0</v>
      </c>
      <c r="D285" s="17">
        <v>49.0</v>
      </c>
      <c r="E285" s="108">
        <v>4.0</v>
      </c>
      <c r="F285" s="109">
        <v>-78573.54</v>
      </c>
      <c r="G285" s="109">
        <v>71719.95</v>
      </c>
      <c r="H285" s="109">
        <v>95681.65</v>
      </c>
      <c r="I285" s="109">
        <v>21598.19</v>
      </c>
      <c r="J285" s="109">
        <v>-39750.02</v>
      </c>
      <c r="K285" s="109">
        <v>-24209.6</v>
      </c>
      <c r="L285" s="109">
        <v>-94132.3</v>
      </c>
      <c r="M285" s="109">
        <v>-12329.61</v>
      </c>
      <c r="N285" s="110">
        <v>20313.0</v>
      </c>
      <c r="O285" s="110">
        <v>20123.0</v>
      </c>
      <c r="P285" s="110">
        <v>50723.0</v>
      </c>
      <c r="Q285" s="110">
        <v>22823.0</v>
      </c>
      <c r="R285" s="50">
        <v>51917.0</v>
      </c>
      <c r="S285" s="111">
        <v>53.0</v>
      </c>
      <c r="T285" s="112">
        <v>96.0</v>
      </c>
      <c r="U285" s="24" t="s">
        <v>601</v>
      </c>
      <c r="V285" s="11" t="s">
        <v>4028</v>
      </c>
      <c r="W285" s="108">
        <v>4.0</v>
      </c>
      <c r="X285" s="113">
        <v>71523.0</v>
      </c>
      <c r="Y285" s="113">
        <v>32014.0</v>
      </c>
      <c r="Z285" s="11">
        <v>173.0</v>
      </c>
      <c r="AA285" s="113">
        <v>90816.0</v>
      </c>
      <c r="AB285" s="109">
        <v>-12032.65</v>
      </c>
      <c r="AC285" s="113">
        <v>42913.0</v>
      </c>
      <c r="AD285" s="108">
        <v>2.0</v>
      </c>
    </row>
    <row r="286">
      <c r="A286" s="11">
        <v>66.0</v>
      </c>
      <c r="B286" s="11">
        <v>8.0</v>
      </c>
      <c r="C286" s="11">
        <v>9.0</v>
      </c>
      <c r="D286" s="17">
        <v>16.0</v>
      </c>
      <c r="E286" s="108">
        <v>9.0</v>
      </c>
      <c r="F286" s="109">
        <v>-67098.82</v>
      </c>
      <c r="G286" s="109">
        <v>-75668.77</v>
      </c>
      <c r="H286" s="109">
        <v>-47329.11</v>
      </c>
      <c r="I286" s="109">
        <v>37979.34</v>
      </c>
      <c r="J286" s="109">
        <v>-64851.49</v>
      </c>
      <c r="K286" s="109">
        <v>38921.39</v>
      </c>
      <c r="L286" s="109">
        <v>-78317.47</v>
      </c>
      <c r="M286" s="109">
        <v>33903.46</v>
      </c>
      <c r="N286" s="110">
        <v>51714.0</v>
      </c>
      <c r="O286" s="110">
        <v>50944.0</v>
      </c>
      <c r="P286" s="110">
        <v>50423.0</v>
      </c>
      <c r="Q286" s="110">
        <v>53144.0</v>
      </c>
      <c r="R286" s="50">
        <v>101117.0</v>
      </c>
      <c r="S286" s="111">
        <v>54.0</v>
      </c>
      <c r="T286" s="112">
        <v>71.0</v>
      </c>
      <c r="U286" s="24" t="s">
        <v>39</v>
      </c>
      <c r="V286" s="11" t="s">
        <v>3919</v>
      </c>
      <c r="W286" s="108">
        <v>7.0</v>
      </c>
      <c r="X286" s="113">
        <v>111414.0</v>
      </c>
      <c r="Y286" s="113">
        <v>50419.0</v>
      </c>
      <c r="Z286" s="11">
        <v>103.0</v>
      </c>
      <c r="AA286" s="113">
        <v>32613.0</v>
      </c>
      <c r="AB286" s="109">
        <v>57021.44</v>
      </c>
      <c r="AC286" s="113">
        <v>21717.0</v>
      </c>
      <c r="AD286" s="108">
        <v>1.0</v>
      </c>
    </row>
    <row r="287">
      <c r="A287" s="11">
        <v>66.0</v>
      </c>
      <c r="B287" s="11">
        <v>8.0</v>
      </c>
      <c r="C287" s="11">
        <v>5.0</v>
      </c>
      <c r="D287" s="17">
        <v>64.0</v>
      </c>
      <c r="E287" s="108">
        <v>2.0</v>
      </c>
      <c r="F287" s="109">
        <v>99814.52</v>
      </c>
      <c r="G287" s="109">
        <v>32367.56</v>
      </c>
      <c r="H287" s="109">
        <v>-42423.82</v>
      </c>
      <c r="I287" s="109">
        <v>10574.02</v>
      </c>
      <c r="J287" s="109">
        <v>97263.86</v>
      </c>
      <c r="K287" s="109">
        <v>-90259.02</v>
      </c>
      <c r="L287" s="109">
        <v>-42136.56</v>
      </c>
      <c r="M287" s="109">
        <v>-68889.86</v>
      </c>
      <c r="N287" s="110">
        <v>71213.0</v>
      </c>
      <c r="O287" s="110">
        <v>71023.0</v>
      </c>
      <c r="P287" s="110">
        <v>52423.0</v>
      </c>
      <c r="Q287" s="110">
        <v>73123.0</v>
      </c>
      <c r="R287" s="50">
        <v>112819.0</v>
      </c>
      <c r="S287" s="111">
        <v>50.0</v>
      </c>
      <c r="T287" s="112">
        <v>55.0</v>
      </c>
      <c r="U287" s="24" t="s">
        <v>48</v>
      </c>
      <c r="V287" s="11" t="s">
        <v>3978</v>
      </c>
      <c r="W287" s="108">
        <v>7.0</v>
      </c>
      <c r="X287" s="113">
        <v>10822.0</v>
      </c>
      <c r="Y287" s="113">
        <v>40520.0</v>
      </c>
      <c r="Z287" s="11">
        <v>168.0</v>
      </c>
      <c r="AA287" s="113">
        <v>20619.0</v>
      </c>
      <c r="AB287" s="109">
        <v>59197.91</v>
      </c>
      <c r="AC287" s="113">
        <v>51815.0</v>
      </c>
      <c r="AD287" s="108">
        <v>4.0</v>
      </c>
    </row>
    <row r="288">
      <c r="A288" s="11">
        <v>66.0</v>
      </c>
      <c r="B288" s="11">
        <v>9.0</v>
      </c>
      <c r="C288" s="11">
        <v>3.0</v>
      </c>
      <c r="D288" s="17">
        <v>41.0</v>
      </c>
      <c r="E288" s="108">
        <v>8.0</v>
      </c>
      <c r="F288" s="109">
        <v>-53353.81</v>
      </c>
      <c r="G288" s="109">
        <v>48179.39</v>
      </c>
      <c r="H288" s="109">
        <v>-57729.84</v>
      </c>
      <c r="I288" s="109">
        <v>-33737.5</v>
      </c>
      <c r="J288" s="109">
        <v>-7502.76</v>
      </c>
      <c r="K288" s="109">
        <v>3570.98</v>
      </c>
      <c r="L288" s="109">
        <v>66571.43</v>
      </c>
      <c r="M288" s="109">
        <v>-48390.88</v>
      </c>
      <c r="N288" s="110">
        <v>51411.0</v>
      </c>
      <c r="O288" s="110">
        <v>50931.0</v>
      </c>
      <c r="P288" s="110">
        <v>51223.0</v>
      </c>
      <c r="Q288" s="110">
        <v>53131.0</v>
      </c>
      <c r="R288" s="50">
        <v>100915.0</v>
      </c>
      <c r="S288" s="111">
        <v>51.0</v>
      </c>
      <c r="T288" s="112">
        <v>74.0</v>
      </c>
      <c r="U288" s="24" t="s">
        <v>603</v>
      </c>
      <c r="V288" s="11" t="s">
        <v>3891</v>
      </c>
      <c r="W288" s="108">
        <v>5.0</v>
      </c>
      <c r="X288" s="113">
        <v>70623.0</v>
      </c>
      <c r="Y288" s="113">
        <v>30913.0</v>
      </c>
      <c r="Z288" s="11">
        <v>135.0</v>
      </c>
      <c r="AA288" s="113">
        <v>71113.0</v>
      </c>
      <c r="AB288" s="109">
        <v>5902.36</v>
      </c>
      <c r="AC288" s="113">
        <v>12913.0</v>
      </c>
      <c r="AD288" s="108">
        <v>4.0</v>
      </c>
    </row>
    <row r="289">
      <c r="A289" s="11">
        <v>66.0</v>
      </c>
      <c r="B289" s="11">
        <v>9.0</v>
      </c>
      <c r="C289" s="11">
        <v>4.0</v>
      </c>
      <c r="D289" s="17">
        <v>82.0</v>
      </c>
      <c r="E289" s="108">
        <v>0.0</v>
      </c>
      <c r="F289" s="109">
        <v>64060.16</v>
      </c>
      <c r="G289" s="109">
        <v>71029.07</v>
      </c>
      <c r="H289" s="109">
        <v>-96274.85</v>
      </c>
      <c r="I289" s="109">
        <v>-99538.08</v>
      </c>
      <c r="J289" s="109">
        <v>-95240.69</v>
      </c>
      <c r="K289" s="109">
        <v>-3477.85</v>
      </c>
      <c r="L289" s="109">
        <v>38025.01</v>
      </c>
      <c r="M289" s="109">
        <v>30222.75</v>
      </c>
      <c r="N289" s="110">
        <v>31113.0</v>
      </c>
      <c r="O289" s="110">
        <v>30443.0</v>
      </c>
      <c r="P289" s="110">
        <v>51023.0</v>
      </c>
      <c r="Q289" s="110">
        <v>33143.0</v>
      </c>
      <c r="R289" s="50">
        <v>91618.0</v>
      </c>
      <c r="S289" s="111">
        <v>54.0</v>
      </c>
      <c r="T289" s="112">
        <v>82.0</v>
      </c>
      <c r="U289" s="24" t="s">
        <v>39</v>
      </c>
      <c r="V289" s="11" t="s">
        <v>3875</v>
      </c>
      <c r="W289" s="108">
        <v>3.0</v>
      </c>
      <c r="X289" s="113">
        <v>111916.0</v>
      </c>
      <c r="Y289" s="113">
        <v>62713.0</v>
      </c>
      <c r="Z289" s="11">
        <v>105.0</v>
      </c>
      <c r="AA289" s="113">
        <v>102316.0</v>
      </c>
      <c r="AB289" s="109">
        <v>-25724.19</v>
      </c>
      <c r="AC289" s="113">
        <v>20315.0</v>
      </c>
      <c r="AD289" s="108">
        <v>6.0</v>
      </c>
    </row>
    <row r="290">
      <c r="A290" s="11">
        <v>87.0</v>
      </c>
      <c r="B290" s="11">
        <v>4.0</v>
      </c>
      <c r="C290" s="11">
        <v>2.0</v>
      </c>
      <c r="D290" s="17">
        <v>10.0</v>
      </c>
      <c r="E290" s="108">
        <v>1.0</v>
      </c>
      <c r="F290" s="109">
        <v>68678.77</v>
      </c>
      <c r="G290" s="109">
        <v>-15030.76</v>
      </c>
      <c r="H290" s="109">
        <v>-92730.04</v>
      </c>
      <c r="I290" s="109">
        <v>53795.78</v>
      </c>
      <c r="J290" s="109">
        <v>59806.3</v>
      </c>
      <c r="K290" s="109">
        <v>3457.39</v>
      </c>
      <c r="L290" s="109">
        <v>-30239.83</v>
      </c>
      <c r="M290" s="109">
        <v>-15153.03</v>
      </c>
      <c r="N290" s="110">
        <v>41214.0</v>
      </c>
      <c r="O290" s="110">
        <v>40734.0</v>
      </c>
      <c r="P290" s="110">
        <v>52723.0</v>
      </c>
      <c r="Q290" s="110">
        <v>43034.0</v>
      </c>
      <c r="R290" s="50">
        <v>82515.0</v>
      </c>
      <c r="S290" s="111">
        <v>55.0</v>
      </c>
      <c r="T290" s="112">
        <v>18.0</v>
      </c>
      <c r="U290" s="24" t="s">
        <v>39</v>
      </c>
      <c r="V290" s="11" t="s">
        <v>4029</v>
      </c>
      <c r="W290" s="108">
        <v>8.0</v>
      </c>
      <c r="X290" s="113">
        <v>83123.0</v>
      </c>
      <c r="Y290" s="113">
        <v>71321.0</v>
      </c>
      <c r="Z290" s="11">
        <v>130.0</v>
      </c>
      <c r="AA290" s="113">
        <v>72920.0</v>
      </c>
      <c r="AB290" s="109">
        <v>39660.11</v>
      </c>
      <c r="AC290" s="113">
        <v>70321.0</v>
      </c>
      <c r="AD290" s="108">
        <v>3.0</v>
      </c>
    </row>
    <row r="291">
      <c r="A291" s="11">
        <v>87.0</v>
      </c>
      <c r="B291" s="11">
        <v>4.0</v>
      </c>
      <c r="C291" s="11">
        <v>4.0</v>
      </c>
      <c r="D291" s="17">
        <v>43.0</v>
      </c>
      <c r="E291" s="108">
        <v>5.0</v>
      </c>
      <c r="F291" s="109">
        <v>-69752.85</v>
      </c>
      <c r="G291" s="109">
        <v>-10145.35</v>
      </c>
      <c r="H291" s="109">
        <v>16531.19</v>
      </c>
      <c r="I291" s="109">
        <v>-77680.17</v>
      </c>
      <c r="J291" s="109">
        <v>73343.51</v>
      </c>
      <c r="K291" s="109">
        <v>-95904.21</v>
      </c>
      <c r="L291" s="109">
        <v>33915.87</v>
      </c>
      <c r="M291" s="109">
        <v>55016.41</v>
      </c>
      <c r="N291" s="110">
        <v>31712.0</v>
      </c>
      <c r="O291" s="110">
        <v>31232.0</v>
      </c>
      <c r="P291" s="110">
        <v>50223.0</v>
      </c>
      <c r="Q291" s="110">
        <v>33132.0</v>
      </c>
      <c r="R291" s="50">
        <v>50321.0</v>
      </c>
      <c r="S291" s="111">
        <v>53.0</v>
      </c>
      <c r="T291" s="112">
        <v>18.0</v>
      </c>
      <c r="U291" s="24" t="s">
        <v>48</v>
      </c>
      <c r="V291" s="11" t="s">
        <v>3864</v>
      </c>
      <c r="W291" s="108">
        <v>4.0</v>
      </c>
      <c r="X291" s="113">
        <v>92416.0</v>
      </c>
      <c r="Y291" s="113">
        <v>31720.0</v>
      </c>
      <c r="Z291" s="11">
        <v>137.0</v>
      </c>
      <c r="AA291" s="113">
        <v>83016.0</v>
      </c>
      <c r="AB291" s="109">
        <v>-39821.36</v>
      </c>
      <c r="AC291" s="113">
        <v>11818.0</v>
      </c>
      <c r="AD291" s="108">
        <v>7.0</v>
      </c>
    </row>
    <row r="292">
      <c r="A292" s="11">
        <v>25.0</v>
      </c>
      <c r="B292" s="11">
        <v>9.0</v>
      </c>
      <c r="C292" s="11">
        <v>9.0</v>
      </c>
      <c r="D292" s="17">
        <v>90.0</v>
      </c>
      <c r="E292" s="108">
        <v>1.0</v>
      </c>
      <c r="F292" s="109">
        <v>-39047.92</v>
      </c>
      <c r="G292" s="109">
        <v>-3428.71</v>
      </c>
      <c r="H292" s="109">
        <v>4886.28</v>
      </c>
      <c r="I292" s="109">
        <v>21008.12</v>
      </c>
      <c r="J292" s="109">
        <v>41814.48</v>
      </c>
      <c r="K292" s="109">
        <v>28109.64</v>
      </c>
      <c r="L292" s="109">
        <v>21602.26</v>
      </c>
      <c r="M292" s="109">
        <v>-63522.18</v>
      </c>
      <c r="N292" s="110">
        <v>122112.0</v>
      </c>
      <c r="O292" s="110">
        <v>121632.0</v>
      </c>
      <c r="P292" s="110">
        <v>51523.0</v>
      </c>
      <c r="Q292" s="110">
        <v>123131.0</v>
      </c>
      <c r="R292" s="50">
        <v>120414.0</v>
      </c>
      <c r="S292" s="111">
        <v>53.0</v>
      </c>
      <c r="T292" s="112">
        <v>72.0</v>
      </c>
      <c r="U292" s="24" t="s">
        <v>601</v>
      </c>
      <c r="V292" s="11" t="s">
        <v>3981</v>
      </c>
      <c r="W292" s="108">
        <v>6.0</v>
      </c>
      <c r="X292" s="113">
        <v>13114.0</v>
      </c>
      <c r="Y292" s="113">
        <v>112313.0</v>
      </c>
      <c r="Z292" s="11">
        <v>115.0</v>
      </c>
      <c r="AA292" s="113">
        <v>72618.0</v>
      </c>
      <c r="AB292" s="109">
        <v>1513.51</v>
      </c>
      <c r="AC292" s="113">
        <v>101123.0</v>
      </c>
      <c r="AD292" s="108">
        <v>0.0</v>
      </c>
    </row>
    <row r="293">
      <c r="A293" s="11">
        <v>87.0</v>
      </c>
      <c r="B293" s="11">
        <v>4.0</v>
      </c>
      <c r="C293" s="11">
        <v>7.0</v>
      </c>
      <c r="D293" s="17">
        <v>12.0</v>
      </c>
      <c r="E293" s="108">
        <v>4.0</v>
      </c>
      <c r="F293" s="109">
        <v>-61820.51</v>
      </c>
      <c r="G293" s="109">
        <v>86143.23</v>
      </c>
      <c r="H293" s="109">
        <v>6378.62</v>
      </c>
      <c r="I293" s="109">
        <v>49159.49</v>
      </c>
      <c r="J293" s="109">
        <v>-99325.27</v>
      </c>
      <c r="K293" s="109">
        <v>4478.55</v>
      </c>
      <c r="L293" s="109">
        <v>23883.53</v>
      </c>
      <c r="M293" s="109">
        <v>35997.27</v>
      </c>
      <c r="N293" s="110">
        <v>71313.0</v>
      </c>
      <c r="O293" s="110">
        <v>70643.0</v>
      </c>
      <c r="P293" s="110">
        <v>52123.0</v>
      </c>
      <c r="Q293" s="110">
        <v>73143.0</v>
      </c>
      <c r="R293" s="50">
        <v>91815.0</v>
      </c>
      <c r="S293" s="111">
        <v>51.0</v>
      </c>
      <c r="T293" s="112">
        <v>34.0</v>
      </c>
      <c r="U293" s="24" t="s">
        <v>603</v>
      </c>
      <c r="V293" s="11" t="s">
        <v>4030</v>
      </c>
      <c r="W293" s="108">
        <v>5.0</v>
      </c>
      <c r="X293" s="113">
        <v>82716.0</v>
      </c>
      <c r="Y293" s="113">
        <v>70222.0</v>
      </c>
      <c r="Z293" s="11">
        <v>143.0</v>
      </c>
      <c r="AA293" s="113">
        <v>91620.0</v>
      </c>
      <c r="AB293" s="109">
        <v>8433.43</v>
      </c>
      <c r="AC293" s="113">
        <v>81618.0</v>
      </c>
      <c r="AD293" s="108">
        <v>0.0</v>
      </c>
    </row>
    <row r="294">
      <c r="A294" s="11">
        <v>46.0</v>
      </c>
      <c r="B294" s="11">
        <v>5.0</v>
      </c>
      <c r="C294" s="11">
        <v>3.0</v>
      </c>
      <c r="D294" s="17">
        <v>18.0</v>
      </c>
      <c r="E294" s="108">
        <v>5.0</v>
      </c>
      <c r="F294" s="109">
        <v>23994.41</v>
      </c>
      <c r="G294" s="109">
        <v>-83995.97</v>
      </c>
      <c r="H294" s="109">
        <v>-73878.89</v>
      </c>
      <c r="I294" s="109">
        <v>30154.32</v>
      </c>
      <c r="J294" s="109">
        <v>-47021.39</v>
      </c>
      <c r="K294" s="109">
        <v>-32352.12</v>
      </c>
      <c r="L294" s="109">
        <v>57964.93</v>
      </c>
      <c r="M294" s="109">
        <v>91044.75</v>
      </c>
      <c r="N294" s="110">
        <v>31112.0</v>
      </c>
      <c r="O294" s="110">
        <v>30442.0</v>
      </c>
      <c r="P294" s="110">
        <v>51623.0</v>
      </c>
      <c r="Q294" s="110">
        <v>33142.0</v>
      </c>
      <c r="R294" s="50">
        <v>91314.0</v>
      </c>
      <c r="S294" s="111">
        <v>51.0</v>
      </c>
      <c r="T294" s="112">
        <v>71.0</v>
      </c>
      <c r="U294" s="24" t="s">
        <v>601</v>
      </c>
      <c r="V294" s="11" t="s">
        <v>3940</v>
      </c>
      <c r="W294" s="108">
        <v>2.0</v>
      </c>
      <c r="X294" s="113">
        <v>72116.0</v>
      </c>
      <c r="Y294" s="113">
        <v>81613.0</v>
      </c>
      <c r="Z294" s="11">
        <v>124.0</v>
      </c>
      <c r="AA294" s="113">
        <v>103120.0</v>
      </c>
      <c r="AB294" s="109">
        <v>-89723.59</v>
      </c>
      <c r="AC294" s="113">
        <v>101423.0</v>
      </c>
      <c r="AD294" s="108">
        <v>5.0</v>
      </c>
    </row>
    <row r="295">
      <c r="A295" s="11">
        <v>26.0</v>
      </c>
      <c r="B295" s="11">
        <v>1.0</v>
      </c>
      <c r="C295" s="11">
        <v>2.0</v>
      </c>
      <c r="D295" s="17">
        <v>30.0</v>
      </c>
      <c r="E295" s="108">
        <v>2.0</v>
      </c>
      <c r="F295" s="109">
        <v>94660.09</v>
      </c>
      <c r="G295" s="109">
        <v>-73939.21</v>
      </c>
      <c r="H295" s="109">
        <v>73326.92</v>
      </c>
      <c r="I295" s="109">
        <v>-58608.49</v>
      </c>
      <c r="J295" s="109">
        <v>-89320.03</v>
      </c>
      <c r="K295" s="109">
        <v>69027.86</v>
      </c>
      <c r="L295" s="109">
        <v>-59537.51</v>
      </c>
      <c r="M295" s="109">
        <v>-57893.34</v>
      </c>
      <c r="N295" s="110">
        <v>30814.0</v>
      </c>
      <c r="O295" s="110">
        <v>30334.0</v>
      </c>
      <c r="P295" s="110">
        <v>50423.0</v>
      </c>
      <c r="Q295" s="110">
        <v>33134.0</v>
      </c>
      <c r="R295" s="50">
        <v>91215.0</v>
      </c>
      <c r="S295" s="111">
        <v>53.0</v>
      </c>
      <c r="T295" s="112">
        <v>36.0</v>
      </c>
      <c r="U295" s="24" t="s">
        <v>48</v>
      </c>
      <c r="V295" s="11" t="s">
        <v>3900</v>
      </c>
      <c r="W295" s="108">
        <v>8.0</v>
      </c>
      <c r="X295" s="113">
        <v>22217.0</v>
      </c>
      <c r="Y295" s="113">
        <v>111116.0</v>
      </c>
      <c r="Z295" s="11">
        <v>154.0</v>
      </c>
      <c r="AA295" s="113">
        <v>81219.0</v>
      </c>
      <c r="AB295" s="109">
        <v>94616.52</v>
      </c>
      <c r="AC295" s="113">
        <v>52116.0</v>
      </c>
      <c r="AD295" s="108">
        <v>7.0</v>
      </c>
    </row>
    <row r="296">
      <c r="A296" s="11">
        <v>46.0</v>
      </c>
      <c r="B296" s="11">
        <v>6.0</v>
      </c>
      <c r="C296" s="11">
        <v>1.0</v>
      </c>
      <c r="D296" s="17">
        <v>59.0</v>
      </c>
      <c r="E296" s="108">
        <v>9.0</v>
      </c>
      <c r="F296" s="109">
        <v>85642.3</v>
      </c>
      <c r="G296" s="109">
        <v>-32487.33</v>
      </c>
      <c r="H296" s="109">
        <v>-85860.0</v>
      </c>
      <c r="I296" s="109">
        <v>12306.69</v>
      </c>
      <c r="J296" s="109">
        <v>-63742.08</v>
      </c>
      <c r="K296" s="109">
        <v>-46866.25</v>
      </c>
      <c r="L296" s="109">
        <v>-24260.9</v>
      </c>
      <c r="M296" s="109">
        <v>-89693.48</v>
      </c>
      <c r="N296" s="110">
        <v>10611.0</v>
      </c>
      <c r="O296" s="110">
        <v>122940.0</v>
      </c>
      <c r="P296" s="110">
        <v>51523.0</v>
      </c>
      <c r="Q296" s="110">
        <v>123139.0</v>
      </c>
      <c r="R296" s="50">
        <v>62218.0</v>
      </c>
      <c r="S296" s="111">
        <v>50.0</v>
      </c>
      <c r="T296" s="112">
        <v>64.0</v>
      </c>
      <c r="U296" s="24" t="s">
        <v>39</v>
      </c>
      <c r="V296" s="11" t="s">
        <v>3939</v>
      </c>
      <c r="W296" s="108">
        <v>1.0</v>
      </c>
      <c r="X296" s="113">
        <v>13018.0</v>
      </c>
      <c r="Y296" s="113">
        <v>71416.0</v>
      </c>
      <c r="Z296" s="11">
        <v>185.0</v>
      </c>
      <c r="AA296" s="113">
        <v>41417.0</v>
      </c>
      <c r="AB296" s="109">
        <v>10624.32</v>
      </c>
      <c r="AC296" s="113">
        <v>111014.0</v>
      </c>
      <c r="AD296" s="108">
        <v>9.0</v>
      </c>
    </row>
    <row r="297">
      <c r="A297" s="11">
        <v>26.0</v>
      </c>
      <c r="B297" s="11">
        <v>1.0</v>
      </c>
      <c r="C297" s="11">
        <v>4.0</v>
      </c>
      <c r="D297" s="17">
        <v>91.0</v>
      </c>
      <c r="E297" s="108">
        <v>5.0</v>
      </c>
      <c r="F297" s="109">
        <v>47661.76</v>
      </c>
      <c r="G297" s="109">
        <v>-76096.68</v>
      </c>
      <c r="H297" s="109">
        <v>-51484.46</v>
      </c>
      <c r="I297" s="109">
        <v>-89398.23</v>
      </c>
      <c r="J297" s="109">
        <v>-93947.82</v>
      </c>
      <c r="K297" s="109">
        <v>4010.03</v>
      </c>
      <c r="L297" s="109">
        <v>-64198.06</v>
      </c>
      <c r="M297" s="109">
        <v>77407.38</v>
      </c>
      <c r="N297" s="110">
        <v>100712.0</v>
      </c>
      <c r="O297" s="110">
        <v>100522.0</v>
      </c>
      <c r="P297" s="110">
        <v>51423.0</v>
      </c>
      <c r="Q297" s="110">
        <v>103122.0</v>
      </c>
      <c r="R297" s="50">
        <v>52916.0</v>
      </c>
      <c r="S297" s="111">
        <v>55.0</v>
      </c>
      <c r="T297" s="112">
        <v>1.0</v>
      </c>
      <c r="U297" s="24" t="s">
        <v>48</v>
      </c>
      <c r="V297" s="11" t="s">
        <v>3937</v>
      </c>
      <c r="W297" s="108">
        <v>9.0</v>
      </c>
      <c r="X297" s="113">
        <v>70718.0</v>
      </c>
      <c r="Y297" s="113">
        <v>112917.0</v>
      </c>
      <c r="Z297" s="11">
        <v>143.0</v>
      </c>
      <c r="AA297" s="113">
        <v>111023.0</v>
      </c>
      <c r="AB297" s="109">
        <v>-58652.42</v>
      </c>
      <c r="AC297" s="113">
        <v>12021.0</v>
      </c>
      <c r="AD297" s="108">
        <v>3.0</v>
      </c>
    </row>
    <row r="298">
      <c r="A298" s="11">
        <v>26.0</v>
      </c>
      <c r="B298" s="11">
        <v>1.0</v>
      </c>
      <c r="C298" s="11">
        <v>5.0</v>
      </c>
      <c r="D298" s="17">
        <v>63.0</v>
      </c>
      <c r="E298" s="108">
        <v>7.0</v>
      </c>
      <c r="F298" s="109">
        <v>47311.97</v>
      </c>
      <c r="G298" s="109">
        <v>11623.48</v>
      </c>
      <c r="H298" s="109">
        <v>99813.55</v>
      </c>
      <c r="I298" s="109">
        <v>2917.17</v>
      </c>
      <c r="J298" s="109">
        <v>54609.13</v>
      </c>
      <c r="K298" s="109">
        <v>-16590.99</v>
      </c>
      <c r="L298" s="109">
        <v>82986.34</v>
      </c>
      <c r="M298" s="109">
        <v>68272.53</v>
      </c>
      <c r="N298" s="110">
        <v>10912.0</v>
      </c>
      <c r="O298" s="110">
        <v>10622.0</v>
      </c>
      <c r="P298" s="110">
        <v>52723.0</v>
      </c>
      <c r="Q298" s="110">
        <v>13122.0</v>
      </c>
      <c r="R298" s="50">
        <v>72616.0</v>
      </c>
      <c r="S298" s="111">
        <v>53.0</v>
      </c>
      <c r="T298" s="112">
        <v>34.0</v>
      </c>
      <c r="U298" s="24" t="s">
        <v>39</v>
      </c>
      <c r="V298" s="11" t="s">
        <v>3881</v>
      </c>
      <c r="W298" s="108">
        <v>7.0</v>
      </c>
      <c r="X298" s="113">
        <v>92622.0</v>
      </c>
      <c r="Y298" s="113">
        <v>62016.0</v>
      </c>
      <c r="Z298" s="11">
        <v>183.0</v>
      </c>
      <c r="AA298" s="113">
        <v>60914.0</v>
      </c>
      <c r="AB298" s="109">
        <v>-27949.72</v>
      </c>
      <c r="AC298" s="113">
        <v>71716.0</v>
      </c>
      <c r="AD298" s="108">
        <v>1.0</v>
      </c>
    </row>
    <row r="299">
      <c r="A299" s="11">
        <v>26.0</v>
      </c>
      <c r="B299" s="11">
        <v>1.0</v>
      </c>
      <c r="C299" s="11">
        <v>6.0</v>
      </c>
      <c r="D299" s="17">
        <v>98.0</v>
      </c>
      <c r="E299" s="108">
        <v>3.0</v>
      </c>
      <c r="F299" s="109">
        <v>-28616.07</v>
      </c>
      <c r="G299" s="109">
        <v>99178.67</v>
      </c>
      <c r="H299" s="109">
        <v>-95386.16</v>
      </c>
      <c r="I299" s="109">
        <v>-92435.66</v>
      </c>
      <c r="J299" s="109">
        <v>23241.94</v>
      </c>
      <c r="K299" s="109">
        <v>-9625.77</v>
      </c>
      <c r="L299" s="109">
        <v>71216.13</v>
      </c>
      <c r="M299" s="109">
        <v>-10798.69</v>
      </c>
      <c r="N299" s="110">
        <v>20813.0</v>
      </c>
      <c r="O299" s="110">
        <v>20623.0</v>
      </c>
      <c r="P299" s="110">
        <v>52323.0</v>
      </c>
      <c r="Q299" s="110">
        <v>22823.0</v>
      </c>
      <c r="R299" s="50">
        <v>10113.0</v>
      </c>
      <c r="S299" s="111">
        <v>52.0</v>
      </c>
      <c r="T299" s="112">
        <v>36.0</v>
      </c>
      <c r="U299" s="24" t="s">
        <v>603</v>
      </c>
      <c r="V299" s="11" t="s">
        <v>3913</v>
      </c>
      <c r="W299" s="108">
        <v>5.0</v>
      </c>
      <c r="X299" s="113">
        <v>93114.0</v>
      </c>
      <c r="Y299" s="113">
        <v>72917.0</v>
      </c>
      <c r="Z299" s="11">
        <v>152.0</v>
      </c>
      <c r="AA299" s="113">
        <v>63019.0</v>
      </c>
      <c r="AB299" s="109">
        <v>94645.34</v>
      </c>
      <c r="AC299" s="113">
        <v>50922.0</v>
      </c>
      <c r="AD299" s="108">
        <v>5.0</v>
      </c>
    </row>
    <row r="300">
      <c r="A300" s="11">
        <v>87.0</v>
      </c>
      <c r="B300" s="11">
        <v>6.0</v>
      </c>
      <c r="C300" s="11">
        <v>1.0</v>
      </c>
      <c r="D300" s="17">
        <v>91.0</v>
      </c>
      <c r="E300" s="108">
        <v>6.0</v>
      </c>
      <c r="F300" s="109">
        <v>85473.14</v>
      </c>
      <c r="G300" s="109">
        <v>1848.51</v>
      </c>
      <c r="H300" s="109">
        <v>54523.19</v>
      </c>
      <c r="I300" s="109">
        <v>-73508.15</v>
      </c>
      <c r="J300" s="109">
        <v>-24346.03</v>
      </c>
      <c r="K300" s="109">
        <v>42640.18</v>
      </c>
      <c r="L300" s="109">
        <v>81986.4</v>
      </c>
      <c r="M300" s="109">
        <v>93885.96</v>
      </c>
      <c r="N300" s="110">
        <v>42414.0</v>
      </c>
      <c r="O300" s="110">
        <v>42124.0</v>
      </c>
      <c r="P300" s="110">
        <v>50623.0</v>
      </c>
      <c r="Q300" s="110">
        <v>43024.0</v>
      </c>
      <c r="R300" s="50">
        <v>120320.0</v>
      </c>
      <c r="S300" s="111">
        <v>51.0</v>
      </c>
      <c r="T300" s="112">
        <v>63.0</v>
      </c>
      <c r="U300" s="24" t="s">
        <v>31</v>
      </c>
      <c r="V300" s="11" t="s">
        <v>4031</v>
      </c>
      <c r="W300" s="108">
        <v>2.0</v>
      </c>
      <c r="X300" s="113">
        <v>41817.0</v>
      </c>
      <c r="Y300" s="113">
        <v>42821.0</v>
      </c>
      <c r="Z300" s="11">
        <v>138.0</v>
      </c>
      <c r="AA300" s="113">
        <v>80915.0</v>
      </c>
      <c r="AB300" s="109">
        <v>-19310.93</v>
      </c>
      <c r="AC300" s="113">
        <v>50113.0</v>
      </c>
      <c r="AD300" s="108">
        <v>7.0</v>
      </c>
    </row>
    <row r="301">
      <c r="A301" s="11">
        <v>46.0</v>
      </c>
      <c r="B301" s="11">
        <v>6.0</v>
      </c>
      <c r="C301" s="11">
        <v>5.0</v>
      </c>
      <c r="D301" s="17">
        <v>90.0</v>
      </c>
      <c r="E301" s="108">
        <v>4.0</v>
      </c>
      <c r="F301" s="109">
        <v>-45167.98</v>
      </c>
      <c r="G301" s="109">
        <v>-51936.58</v>
      </c>
      <c r="H301" s="109">
        <v>-64159.19</v>
      </c>
      <c r="I301" s="109">
        <v>-96378.71</v>
      </c>
      <c r="J301" s="109">
        <v>53879.57</v>
      </c>
      <c r="K301" s="109">
        <v>-61176.94</v>
      </c>
      <c r="L301" s="109">
        <v>-70275.94</v>
      </c>
      <c r="M301" s="109">
        <v>17302.18</v>
      </c>
      <c r="N301" s="110">
        <v>112711.0</v>
      </c>
      <c r="O301" s="110">
        <v>112421.0</v>
      </c>
      <c r="P301" s="110">
        <v>50323.0</v>
      </c>
      <c r="Q301" s="110">
        <v>113021.0</v>
      </c>
      <c r="R301" s="50">
        <v>110521.0</v>
      </c>
      <c r="S301" s="111">
        <v>53.0</v>
      </c>
      <c r="T301" s="112">
        <v>46.0</v>
      </c>
      <c r="U301" s="24" t="s">
        <v>31</v>
      </c>
      <c r="V301" s="11" t="s">
        <v>4032</v>
      </c>
      <c r="W301" s="108">
        <v>9.0</v>
      </c>
      <c r="X301" s="113">
        <v>102517.0</v>
      </c>
      <c r="Y301" s="113">
        <v>70819.0</v>
      </c>
      <c r="Z301" s="11">
        <v>179.0</v>
      </c>
      <c r="AA301" s="113">
        <v>41116.0</v>
      </c>
      <c r="AB301" s="109">
        <v>-9982.77</v>
      </c>
      <c r="AC301" s="113">
        <v>80122.0</v>
      </c>
      <c r="AD301" s="108">
        <v>1.0</v>
      </c>
    </row>
    <row r="302">
      <c r="A302" s="11">
        <v>26.0</v>
      </c>
      <c r="B302" s="11">
        <v>1.0</v>
      </c>
      <c r="C302" s="11">
        <v>7.0</v>
      </c>
      <c r="D302" s="17">
        <v>98.0</v>
      </c>
      <c r="E302" s="108">
        <v>6.0</v>
      </c>
      <c r="F302" s="109">
        <v>55099.23</v>
      </c>
      <c r="G302" s="109">
        <v>-3314.39</v>
      </c>
      <c r="H302" s="109">
        <v>91684.59</v>
      </c>
      <c r="I302" s="109">
        <v>-38676.39</v>
      </c>
      <c r="J302" s="109">
        <v>-11440.01</v>
      </c>
      <c r="K302" s="109">
        <v>-50687.33</v>
      </c>
      <c r="L302" s="109">
        <v>-14777.4</v>
      </c>
      <c r="M302" s="109">
        <v>-61278.55</v>
      </c>
      <c r="N302" s="110">
        <v>10310.0</v>
      </c>
      <c r="O302" s="110">
        <v>122739.0</v>
      </c>
      <c r="P302" s="110">
        <v>51923.0</v>
      </c>
      <c r="Q302" s="110">
        <v>123138.0</v>
      </c>
      <c r="R302" s="50">
        <v>21121.0</v>
      </c>
      <c r="S302" s="111">
        <v>52.0</v>
      </c>
      <c r="T302" s="112">
        <v>60.0</v>
      </c>
      <c r="U302" s="24" t="s">
        <v>39</v>
      </c>
      <c r="V302" s="11" t="s">
        <v>3912</v>
      </c>
      <c r="W302" s="108">
        <v>3.0</v>
      </c>
      <c r="X302" s="113">
        <v>101119.0</v>
      </c>
      <c r="Y302" s="113">
        <v>80322.0</v>
      </c>
      <c r="Z302" s="11">
        <v>185.0</v>
      </c>
      <c r="AA302" s="113">
        <v>41120.0</v>
      </c>
      <c r="AB302" s="109">
        <v>27376.2</v>
      </c>
      <c r="AC302" s="113">
        <v>40618.0</v>
      </c>
      <c r="AD302" s="108">
        <v>7.0</v>
      </c>
    </row>
    <row r="303">
      <c r="A303" s="11">
        <v>46.0</v>
      </c>
      <c r="B303" s="11">
        <v>6.0</v>
      </c>
      <c r="C303" s="11">
        <v>8.0</v>
      </c>
      <c r="D303" s="17">
        <v>84.0</v>
      </c>
      <c r="E303" s="108">
        <v>4.0</v>
      </c>
      <c r="F303" s="109">
        <v>29513.44</v>
      </c>
      <c r="G303" s="109">
        <v>-4223.91</v>
      </c>
      <c r="H303" s="109">
        <v>-15620.99</v>
      </c>
      <c r="I303" s="109">
        <v>56838.92</v>
      </c>
      <c r="J303" s="109">
        <v>11915.73</v>
      </c>
      <c r="K303" s="109">
        <v>-17465.14</v>
      </c>
      <c r="L303" s="109">
        <v>82801.2</v>
      </c>
      <c r="M303" s="109">
        <v>73278.19</v>
      </c>
      <c r="N303" s="110">
        <v>31311.0</v>
      </c>
      <c r="O303" s="110">
        <v>31021.0</v>
      </c>
      <c r="P303" s="110">
        <v>51923.0</v>
      </c>
      <c r="Q303" s="110">
        <v>33121.0</v>
      </c>
      <c r="R303" s="50">
        <v>100122.0</v>
      </c>
      <c r="S303" s="111">
        <v>54.0</v>
      </c>
      <c r="T303" s="112">
        <v>89.0</v>
      </c>
      <c r="U303" s="24" t="s">
        <v>48</v>
      </c>
      <c r="V303" s="11" t="s">
        <v>3887</v>
      </c>
      <c r="W303" s="108">
        <v>2.0</v>
      </c>
      <c r="X303" s="113">
        <v>60916.0</v>
      </c>
      <c r="Y303" s="113">
        <v>71713.0</v>
      </c>
      <c r="Z303" s="11">
        <v>114.0</v>
      </c>
      <c r="AA303" s="113">
        <v>113016.0</v>
      </c>
      <c r="AB303" s="109">
        <v>73859.92</v>
      </c>
      <c r="AC303" s="113">
        <v>10118.0</v>
      </c>
      <c r="AD303" s="108">
        <v>5.0</v>
      </c>
    </row>
    <row r="304">
      <c r="A304" s="11">
        <v>26.0</v>
      </c>
      <c r="B304" s="11">
        <v>2.0</v>
      </c>
      <c r="C304" s="11">
        <v>2.0</v>
      </c>
      <c r="D304" s="17">
        <v>73.0</v>
      </c>
      <c r="E304" s="108">
        <v>5.0</v>
      </c>
      <c r="F304" s="109">
        <v>89560.33</v>
      </c>
      <c r="G304" s="109">
        <v>-63033.77</v>
      </c>
      <c r="H304" s="109">
        <v>73531.34</v>
      </c>
      <c r="I304" s="109">
        <v>-67910.07</v>
      </c>
      <c r="J304" s="109">
        <v>60183.65</v>
      </c>
      <c r="K304" s="109">
        <v>55768.32</v>
      </c>
      <c r="L304" s="109">
        <v>85983.81</v>
      </c>
      <c r="M304" s="109">
        <v>-88892.72</v>
      </c>
      <c r="N304" s="110">
        <v>101411.0</v>
      </c>
      <c r="O304" s="110">
        <v>100931.0</v>
      </c>
      <c r="P304" s="110">
        <v>53023.0</v>
      </c>
      <c r="Q304" s="110">
        <v>103131.0</v>
      </c>
      <c r="R304" s="50">
        <v>53013.0</v>
      </c>
      <c r="S304" s="111">
        <v>53.0</v>
      </c>
      <c r="T304" s="112">
        <v>67.0</v>
      </c>
      <c r="U304" s="24" t="s">
        <v>39</v>
      </c>
      <c r="V304" s="11" t="s">
        <v>3902</v>
      </c>
      <c r="W304" s="108">
        <v>3.0</v>
      </c>
      <c r="X304" s="113">
        <v>11422.0</v>
      </c>
      <c r="Y304" s="113">
        <v>32014.0</v>
      </c>
      <c r="Z304" s="11">
        <v>121.0</v>
      </c>
      <c r="AA304" s="113">
        <v>70120.0</v>
      </c>
      <c r="AB304" s="109">
        <v>-2108.32</v>
      </c>
      <c r="AC304" s="113">
        <v>121514.0</v>
      </c>
      <c r="AD304" s="108">
        <v>6.0</v>
      </c>
    </row>
    <row r="305">
      <c r="A305" s="11">
        <v>46.0</v>
      </c>
      <c r="B305" s="11">
        <v>7.0</v>
      </c>
      <c r="C305" s="11">
        <v>3.0</v>
      </c>
      <c r="D305" s="17">
        <v>25.0</v>
      </c>
      <c r="E305" s="108">
        <v>1.0</v>
      </c>
      <c r="F305" s="109">
        <v>33150.96</v>
      </c>
      <c r="G305" s="109">
        <v>-65137.97</v>
      </c>
      <c r="H305" s="109">
        <v>91729.27</v>
      </c>
      <c r="I305" s="109">
        <v>-93991.07</v>
      </c>
      <c r="J305" s="109">
        <v>-50531.46</v>
      </c>
      <c r="K305" s="109">
        <v>-53639.43</v>
      </c>
      <c r="L305" s="109">
        <v>-24367.78</v>
      </c>
      <c r="M305" s="109">
        <v>86218.55</v>
      </c>
      <c r="N305" s="110">
        <v>42811.0</v>
      </c>
      <c r="O305" s="110">
        <v>42041.0</v>
      </c>
      <c r="P305" s="110">
        <v>52823.0</v>
      </c>
      <c r="Q305" s="110">
        <v>43041.0</v>
      </c>
      <c r="R305" s="50">
        <v>70922.0</v>
      </c>
      <c r="S305" s="111">
        <v>54.0</v>
      </c>
      <c r="T305" s="112">
        <v>19.0</v>
      </c>
      <c r="U305" s="24" t="s">
        <v>601</v>
      </c>
      <c r="V305" s="11" t="s">
        <v>3864</v>
      </c>
      <c r="W305" s="108">
        <v>5.0</v>
      </c>
      <c r="X305" s="113">
        <v>30622.0</v>
      </c>
      <c r="Y305" s="113">
        <v>32013.0</v>
      </c>
      <c r="Z305" s="11">
        <v>156.0</v>
      </c>
      <c r="AA305" s="113">
        <v>100422.0</v>
      </c>
      <c r="AB305" s="109">
        <v>-43566.99</v>
      </c>
      <c r="AC305" s="113">
        <v>42019.0</v>
      </c>
      <c r="AD305" s="108">
        <v>1.0</v>
      </c>
    </row>
    <row r="306">
      <c r="A306" s="11">
        <v>67.0</v>
      </c>
      <c r="B306" s="11">
        <v>2.0</v>
      </c>
      <c r="C306" s="11">
        <v>2.0</v>
      </c>
      <c r="D306" s="17">
        <v>16.0</v>
      </c>
      <c r="E306" s="108">
        <v>6.0</v>
      </c>
      <c r="F306" s="109">
        <v>67630.2</v>
      </c>
      <c r="G306" s="109">
        <v>-50748.52</v>
      </c>
      <c r="H306" s="109">
        <v>92315.28</v>
      </c>
      <c r="I306" s="109">
        <v>-9081.73</v>
      </c>
      <c r="J306" s="109">
        <v>-63477.46</v>
      </c>
      <c r="K306" s="109">
        <v>27476.94</v>
      </c>
      <c r="L306" s="109">
        <v>57894.04</v>
      </c>
      <c r="M306" s="109">
        <v>-77001.96</v>
      </c>
      <c r="N306" s="110">
        <v>52010.0</v>
      </c>
      <c r="O306" s="110">
        <v>51240.0</v>
      </c>
      <c r="P306" s="110">
        <v>50223.0</v>
      </c>
      <c r="Q306" s="110">
        <v>53140.0</v>
      </c>
      <c r="R306" s="50">
        <v>51715.0</v>
      </c>
      <c r="S306" s="111">
        <v>50.0</v>
      </c>
      <c r="T306" s="112">
        <v>64.0</v>
      </c>
      <c r="U306" s="24" t="s">
        <v>39</v>
      </c>
      <c r="V306" s="11" t="s">
        <v>3915</v>
      </c>
      <c r="W306" s="108">
        <v>7.0</v>
      </c>
      <c r="X306" s="113">
        <v>100118.0</v>
      </c>
      <c r="Y306" s="113">
        <v>90814.0</v>
      </c>
      <c r="Z306" s="11">
        <v>147.0</v>
      </c>
      <c r="AA306" s="113">
        <v>71521.0</v>
      </c>
      <c r="AB306" s="109">
        <v>-52721.48</v>
      </c>
      <c r="AC306" s="113">
        <v>121320.0</v>
      </c>
      <c r="AD306" s="108">
        <v>1.0</v>
      </c>
    </row>
    <row r="307">
      <c r="A307" s="11">
        <v>67.0</v>
      </c>
      <c r="B307" s="11">
        <v>2.0</v>
      </c>
      <c r="C307" s="11">
        <v>4.0</v>
      </c>
      <c r="D307" s="17">
        <v>44.0</v>
      </c>
      <c r="E307" s="108">
        <v>2.0</v>
      </c>
      <c r="F307" s="109">
        <v>-43103.69</v>
      </c>
      <c r="G307" s="109">
        <v>48098.97</v>
      </c>
      <c r="H307" s="109">
        <v>10488.78</v>
      </c>
      <c r="I307" s="109">
        <v>-86495.63</v>
      </c>
      <c r="J307" s="109">
        <v>77857.09</v>
      </c>
      <c r="K307" s="109">
        <v>-51493.84</v>
      </c>
      <c r="L307" s="109">
        <v>-18686.14</v>
      </c>
      <c r="M307" s="109">
        <v>-13055.13</v>
      </c>
      <c r="N307" s="110">
        <v>41813.0</v>
      </c>
      <c r="O307" s="110">
        <v>41333.0</v>
      </c>
      <c r="P307" s="110">
        <v>50523.0</v>
      </c>
      <c r="Q307" s="110">
        <v>43033.0</v>
      </c>
      <c r="R307" s="50">
        <v>70420.0</v>
      </c>
      <c r="S307" s="111">
        <v>52.0</v>
      </c>
      <c r="T307" s="112">
        <v>10.0</v>
      </c>
      <c r="U307" s="24" t="s">
        <v>603</v>
      </c>
      <c r="V307" s="11" t="s">
        <v>3956</v>
      </c>
      <c r="W307" s="108">
        <v>6.0</v>
      </c>
      <c r="X307" s="113">
        <v>10517.0</v>
      </c>
      <c r="Y307" s="113">
        <v>122320.0</v>
      </c>
      <c r="Z307" s="11">
        <v>110.0</v>
      </c>
      <c r="AA307" s="113">
        <v>121913.0</v>
      </c>
      <c r="AB307" s="109">
        <v>-64191.14</v>
      </c>
      <c r="AC307" s="113">
        <v>30819.0</v>
      </c>
      <c r="AD307" s="108">
        <v>2.0</v>
      </c>
    </row>
    <row r="308">
      <c r="A308" s="11">
        <v>87.0</v>
      </c>
      <c r="B308" s="11">
        <v>7.0</v>
      </c>
      <c r="C308" s="11">
        <v>3.0</v>
      </c>
      <c r="D308" s="17">
        <v>22.0</v>
      </c>
      <c r="E308" s="108">
        <v>9.0</v>
      </c>
      <c r="F308" s="109">
        <v>91426.08</v>
      </c>
      <c r="G308" s="109">
        <v>85768.92</v>
      </c>
      <c r="H308" s="109">
        <v>17638.47</v>
      </c>
      <c r="I308" s="109">
        <v>-29937.41</v>
      </c>
      <c r="J308" s="109">
        <v>-6853.67</v>
      </c>
      <c r="K308" s="109">
        <v>90128.58</v>
      </c>
      <c r="L308" s="109">
        <v>-52718.61</v>
      </c>
      <c r="M308" s="109">
        <v>16344.32</v>
      </c>
      <c r="N308" s="110">
        <v>21512.0</v>
      </c>
      <c r="O308" s="110">
        <v>21222.0</v>
      </c>
      <c r="P308" s="110">
        <v>50523.0</v>
      </c>
      <c r="Q308" s="110">
        <v>22822.0</v>
      </c>
      <c r="R308" s="50">
        <v>62714.0</v>
      </c>
      <c r="S308" s="111">
        <v>51.0</v>
      </c>
      <c r="T308" s="112">
        <v>77.0</v>
      </c>
      <c r="U308" s="24" t="s">
        <v>31</v>
      </c>
      <c r="V308" s="11" t="s">
        <v>3864</v>
      </c>
      <c r="W308" s="108">
        <v>2.0</v>
      </c>
      <c r="X308" s="113">
        <v>110722.0</v>
      </c>
      <c r="Y308" s="113">
        <v>22813.0</v>
      </c>
      <c r="Z308" s="11">
        <v>128.0</v>
      </c>
      <c r="AA308" s="113">
        <v>101321.0</v>
      </c>
      <c r="AB308" s="109">
        <v>19854.71</v>
      </c>
      <c r="AC308" s="113">
        <v>23114.0</v>
      </c>
      <c r="AD308" s="108">
        <v>6.0</v>
      </c>
    </row>
    <row r="309">
      <c r="A309" s="11">
        <v>87.0</v>
      </c>
      <c r="B309" s="11">
        <v>7.0</v>
      </c>
      <c r="C309" s="11">
        <v>4.0</v>
      </c>
      <c r="D309" s="17">
        <v>88.0</v>
      </c>
      <c r="E309" s="108">
        <v>3.0</v>
      </c>
      <c r="F309" s="109">
        <v>-69296.01</v>
      </c>
      <c r="G309" s="109">
        <v>-39082.81</v>
      </c>
      <c r="H309" s="109">
        <v>-92647.99</v>
      </c>
      <c r="I309" s="109">
        <v>-44671.05</v>
      </c>
      <c r="J309" s="109">
        <v>30672.72</v>
      </c>
      <c r="K309" s="109">
        <v>-65687.14</v>
      </c>
      <c r="L309" s="109">
        <v>-81672.0</v>
      </c>
      <c r="M309" s="109">
        <v>89485.12</v>
      </c>
      <c r="N309" s="110">
        <v>42512.0</v>
      </c>
      <c r="O309" s="110">
        <v>41842.0</v>
      </c>
      <c r="P309" s="110">
        <v>51523.0</v>
      </c>
      <c r="Q309" s="110">
        <v>43042.0</v>
      </c>
      <c r="R309" s="50">
        <v>92420.0</v>
      </c>
      <c r="S309" s="111">
        <v>53.0</v>
      </c>
      <c r="T309" s="112">
        <v>27.0</v>
      </c>
      <c r="U309" s="24" t="s">
        <v>603</v>
      </c>
      <c r="V309" s="11" t="s">
        <v>4033</v>
      </c>
      <c r="W309" s="108">
        <v>5.0</v>
      </c>
      <c r="X309" s="113">
        <v>101720.0</v>
      </c>
      <c r="Y309" s="113">
        <v>112319.0</v>
      </c>
      <c r="Z309" s="11">
        <v>163.0</v>
      </c>
      <c r="AA309" s="113">
        <v>102514.0</v>
      </c>
      <c r="AB309" s="109">
        <v>14789.92</v>
      </c>
      <c r="AC309" s="113">
        <v>20518.0</v>
      </c>
      <c r="AD309" s="108">
        <v>5.0</v>
      </c>
    </row>
    <row r="310">
      <c r="A310" s="11">
        <v>26.0</v>
      </c>
      <c r="B310" s="11">
        <v>3.0</v>
      </c>
      <c r="C310" s="11">
        <v>1.0</v>
      </c>
      <c r="D310" s="17">
        <v>90.0</v>
      </c>
      <c r="E310" s="108">
        <v>1.0</v>
      </c>
      <c r="F310" s="109">
        <v>-32625.07</v>
      </c>
      <c r="G310" s="109">
        <v>-421.73</v>
      </c>
      <c r="H310" s="109">
        <v>-70090.87</v>
      </c>
      <c r="I310" s="109">
        <v>-66001.5</v>
      </c>
      <c r="J310" s="109">
        <v>90104.91</v>
      </c>
      <c r="K310" s="109">
        <v>-70456.7</v>
      </c>
      <c r="L310" s="109">
        <v>86064.92</v>
      </c>
      <c r="M310" s="109">
        <v>2821.9</v>
      </c>
      <c r="N310" s="110">
        <v>10510.0</v>
      </c>
      <c r="O310" s="110">
        <v>122939.0</v>
      </c>
      <c r="P310" s="110">
        <v>51123.0</v>
      </c>
      <c r="Q310" s="110">
        <v>123138.0</v>
      </c>
      <c r="R310" s="50">
        <v>111522.0</v>
      </c>
      <c r="S310" s="111">
        <v>51.0</v>
      </c>
      <c r="T310" s="112">
        <v>92.0</v>
      </c>
      <c r="U310" s="24" t="s">
        <v>39</v>
      </c>
      <c r="V310" s="11" t="s">
        <v>3935</v>
      </c>
      <c r="W310" s="108">
        <v>7.0</v>
      </c>
      <c r="X310" s="113">
        <v>32722.0</v>
      </c>
      <c r="Y310" s="113">
        <v>50118.0</v>
      </c>
      <c r="Z310" s="11">
        <v>168.0</v>
      </c>
      <c r="AA310" s="113">
        <v>101217.0</v>
      </c>
      <c r="AB310" s="109">
        <v>1470.02</v>
      </c>
      <c r="AC310" s="113">
        <v>11421.0</v>
      </c>
      <c r="AD310" s="108">
        <v>9.0</v>
      </c>
    </row>
    <row r="311">
      <c r="A311" s="11">
        <v>67.0</v>
      </c>
      <c r="B311" s="11">
        <v>2.0</v>
      </c>
      <c r="C311" s="11">
        <v>6.0</v>
      </c>
      <c r="D311" s="17">
        <v>92.0</v>
      </c>
      <c r="E311" s="108">
        <v>1.0</v>
      </c>
      <c r="F311" s="109">
        <v>-8538.94</v>
      </c>
      <c r="G311" s="109">
        <v>59971.26</v>
      </c>
      <c r="H311" s="109">
        <v>-70951.0</v>
      </c>
      <c r="I311" s="109">
        <v>97787.58</v>
      </c>
      <c r="J311" s="109">
        <v>90480.99</v>
      </c>
      <c r="K311" s="109">
        <v>-72365.28</v>
      </c>
      <c r="L311" s="109">
        <v>96158.77</v>
      </c>
      <c r="M311" s="109">
        <v>-90750.48</v>
      </c>
      <c r="N311" s="110">
        <v>11110.0</v>
      </c>
      <c r="O311" s="110">
        <v>10440.0</v>
      </c>
      <c r="P311" s="110">
        <v>52223.0</v>
      </c>
      <c r="Q311" s="110">
        <v>13140.0</v>
      </c>
      <c r="R311" s="50">
        <v>20114.0</v>
      </c>
      <c r="S311" s="111">
        <v>52.0</v>
      </c>
      <c r="T311" s="112">
        <v>87.0</v>
      </c>
      <c r="U311" s="24" t="s">
        <v>603</v>
      </c>
      <c r="V311" s="11" t="s">
        <v>3945</v>
      </c>
      <c r="W311" s="108">
        <v>3.0</v>
      </c>
      <c r="X311" s="113">
        <v>31614.0</v>
      </c>
      <c r="Y311" s="113">
        <v>32714.0</v>
      </c>
      <c r="Z311" s="11">
        <v>193.0</v>
      </c>
      <c r="AA311" s="113">
        <v>112523.0</v>
      </c>
      <c r="AB311" s="109">
        <v>41251.77</v>
      </c>
      <c r="AC311" s="113">
        <v>101214.0</v>
      </c>
      <c r="AD311" s="108">
        <v>0.0</v>
      </c>
    </row>
    <row r="312">
      <c r="A312" s="11">
        <v>26.0</v>
      </c>
      <c r="B312" s="11">
        <v>3.0</v>
      </c>
      <c r="C312" s="11">
        <v>2.0</v>
      </c>
      <c r="D312" s="17">
        <v>28.0</v>
      </c>
      <c r="E312" s="108">
        <v>0.0</v>
      </c>
      <c r="F312" s="109">
        <v>81815.46</v>
      </c>
      <c r="G312" s="109">
        <v>-66540.56</v>
      </c>
      <c r="H312" s="109">
        <v>-79442.83</v>
      </c>
      <c r="I312" s="109">
        <v>45434.33</v>
      </c>
      <c r="J312" s="109">
        <v>62004.49</v>
      </c>
      <c r="K312" s="109">
        <v>32430.84</v>
      </c>
      <c r="L312" s="109">
        <v>97163.39</v>
      </c>
      <c r="M312" s="109">
        <v>76846.32</v>
      </c>
      <c r="N312" s="110">
        <v>101810.0</v>
      </c>
      <c r="O312" s="110">
        <v>101330.0</v>
      </c>
      <c r="P312" s="110">
        <v>52823.0</v>
      </c>
      <c r="Q312" s="110">
        <v>103130.0</v>
      </c>
      <c r="R312" s="50">
        <v>12621.0</v>
      </c>
      <c r="S312" s="111">
        <v>52.0</v>
      </c>
      <c r="T312" s="112">
        <v>6.0</v>
      </c>
      <c r="U312" s="24" t="s">
        <v>48</v>
      </c>
      <c r="V312" s="11" t="s">
        <v>4019</v>
      </c>
      <c r="W312" s="108">
        <v>2.0</v>
      </c>
      <c r="X312" s="113">
        <v>120515.0</v>
      </c>
      <c r="Y312" s="113">
        <v>121815.0</v>
      </c>
      <c r="Z312" s="11">
        <v>166.0</v>
      </c>
      <c r="AA312" s="113">
        <v>102214.0</v>
      </c>
      <c r="AB312" s="109">
        <v>-66649.67</v>
      </c>
      <c r="AC312" s="113">
        <v>22622.0</v>
      </c>
      <c r="AD312" s="108">
        <v>9.0</v>
      </c>
    </row>
    <row r="313">
      <c r="A313" s="11">
        <v>46.0</v>
      </c>
      <c r="B313" s="11">
        <v>7.0</v>
      </c>
      <c r="C313" s="11">
        <v>6.0</v>
      </c>
      <c r="D313" s="17">
        <v>18.0</v>
      </c>
      <c r="E313" s="108">
        <v>3.0</v>
      </c>
      <c r="F313" s="109">
        <v>-93294.88</v>
      </c>
      <c r="G313" s="109">
        <v>25472.19</v>
      </c>
      <c r="H313" s="109">
        <v>-4825.3</v>
      </c>
      <c r="I313" s="109">
        <v>28711.54</v>
      </c>
      <c r="J313" s="109">
        <v>18681.88</v>
      </c>
      <c r="K313" s="109">
        <v>73306.39</v>
      </c>
      <c r="L313" s="109">
        <v>-90602.01</v>
      </c>
      <c r="M313" s="109">
        <v>30290.84</v>
      </c>
      <c r="N313" s="110">
        <v>72712.0</v>
      </c>
      <c r="O313" s="110">
        <v>72042.0</v>
      </c>
      <c r="P313" s="110">
        <v>50123.0</v>
      </c>
      <c r="Q313" s="110">
        <v>73142.0</v>
      </c>
      <c r="R313" s="50">
        <v>61522.0</v>
      </c>
      <c r="S313" s="111">
        <v>55.0</v>
      </c>
      <c r="T313" s="112">
        <v>3.0</v>
      </c>
      <c r="U313" s="24" t="s">
        <v>48</v>
      </c>
      <c r="V313" s="11" t="s">
        <v>3991</v>
      </c>
      <c r="W313" s="108">
        <v>6.0</v>
      </c>
      <c r="X313" s="113">
        <v>61219.0</v>
      </c>
      <c r="Y313" s="113">
        <v>50616.0</v>
      </c>
      <c r="Z313" s="11">
        <v>109.0</v>
      </c>
      <c r="AA313" s="113">
        <v>52720.0</v>
      </c>
      <c r="AB313" s="109">
        <v>9718.82</v>
      </c>
      <c r="AC313" s="113">
        <v>22623.0</v>
      </c>
      <c r="AD313" s="108">
        <v>8.0</v>
      </c>
    </row>
    <row r="314">
      <c r="A314" s="11">
        <v>67.0</v>
      </c>
      <c r="B314" s="11">
        <v>3.0</v>
      </c>
      <c r="C314" s="11">
        <v>3.0</v>
      </c>
      <c r="D314" s="17">
        <v>9.0</v>
      </c>
      <c r="E314" s="108">
        <v>0.0</v>
      </c>
      <c r="F314" s="109">
        <v>-89201.71</v>
      </c>
      <c r="G314" s="109">
        <v>56971.2</v>
      </c>
      <c r="H314" s="109">
        <v>-69461.25</v>
      </c>
      <c r="I314" s="109">
        <v>55468.67</v>
      </c>
      <c r="J314" s="109">
        <v>-58764.87</v>
      </c>
      <c r="K314" s="109">
        <v>-78849.68</v>
      </c>
      <c r="L314" s="109">
        <v>32168.02</v>
      </c>
      <c r="M314" s="109">
        <v>-16070.07</v>
      </c>
      <c r="N314" s="110">
        <v>92712.0</v>
      </c>
      <c r="O314" s="110">
        <v>92232.0</v>
      </c>
      <c r="P314" s="110">
        <v>51323.0</v>
      </c>
      <c r="Q314" s="110">
        <v>93032.0</v>
      </c>
      <c r="R314" s="50">
        <v>81915.0</v>
      </c>
      <c r="S314" s="111">
        <v>50.0</v>
      </c>
      <c r="T314" s="112">
        <v>82.0</v>
      </c>
      <c r="U314" s="24" t="s">
        <v>603</v>
      </c>
      <c r="V314" s="11" t="s">
        <v>4021</v>
      </c>
      <c r="W314" s="108">
        <v>1.0</v>
      </c>
      <c r="X314" s="113">
        <v>90223.0</v>
      </c>
      <c r="Y314" s="113">
        <v>61323.0</v>
      </c>
      <c r="Z314" s="11">
        <v>180.0</v>
      </c>
      <c r="AA314" s="113">
        <v>72316.0</v>
      </c>
      <c r="AB314" s="109">
        <v>12294.4</v>
      </c>
      <c r="AC314" s="113">
        <v>22715.0</v>
      </c>
      <c r="AD314" s="108">
        <v>4.0</v>
      </c>
    </row>
    <row r="315">
      <c r="A315" s="11">
        <v>87.0</v>
      </c>
      <c r="B315" s="11">
        <v>8.0</v>
      </c>
      <c r="C315" s="11">
        <v>2.0</v>
      </c>
      <c r="D315" s="17">
        <v>52.0</v>
      </c>
      <c r="E315" s="108">
        <v>4.0</v>
      </c>
      <c r="F315" s="109">
        <v>21699.1</v>
      </c>
      <c r="G315" s="109">
        <v>-97196.93</v>
      </c>
      <c r="H315" s="109">
        <v>6410.53</v>
      </c>
      <c r="I315" s="109">
        <v>17145.49</v>
      </c>
      <c r="J315" s="109">
        <v>-36941.23</v>
      </c>
      <c r="K315" s="109">
        <v>29391.69</v>
      </c>
      <c r="L315" s="109">
        <v>-47851.96</v>
      </c>
      <c r="M315" s="109">
        <v>-69156.41</v>
      </c>
      <c r="N315" s="110">
        <v>121510.0</v>
      </c>
      <c r="O315" s="110">
        <v>121030.0</v>
      </c>
      <c r="P315" s="110">
        <v>52423.0</v>
      </c>
      <c r="Q315" s="110">
        <v>123129.0</v>
      </c>
      <c r="R315" s="50">
        <v>120115.0</v>
      </c>
      <c r="S315" s="111">
        <v>54.0</v>
      </c>
      <c r="T315" s="112">
        <v>83.0</v>
      </c>
      <c r="U315" s="24" t="s">
        <v>48</v>
      </c>
      <c r="V315" s="11" t="s">
        <v>3872</v>
      </c>
      <c r="W315" s="108">
        <v>4.0</v>
      </c>
      <c r="X315" s="113">
        <v>71316.0</v>
      </c>
      <c r="Y315" s="113">
        <v>60416.0</v>
      </c>
      <c r="Z315" s="11">
        <v>176.0</v>
      </c>
      <c r="AA315" s="113">
        <v>40620.0</v>
      </c>
      <c r="AB315" s="109">
        <v>42120.14</v>
      </c>
      <c r="AC315" s="113">
        <v>61617.0</v>
      </c>
      <c r="AD315" s="108">
        <v>1.0</v>
      </c>
    </row>
    <row r="316">
      <c r="A316" s="11">
        <v>26.0</v>
      </c>
      <c r="B316" s="11">
        <v>3.0</v>
      </c>
      <c r="C316" s="11">
        <v>9.0</v>
      </c>
      <c r="D316" s="17">
        <v>23.0</v>
      </c>
      <c r="E316" s="108">
        <v>6.0</v>
      </c>
      <c r="F316" s="109">
        <v>66476.79</v>
      </c>
      <c r="G316" s="109">
        <v>-1082.31</v>
      </c>
      <c r="H316" s="109">
        <v>3515.48</v>
      </c>
      <c r="I316" s="109">
        <v>39488.31</v>
      </c>
      <c r="J316" s="109">
        <v>82868.74</v>
      </c>
      <c r="K316" s="109">
        <v>-40038.85</v>
      </c>
      <c r="L316" s="109">
        <v>68533.63</v>
      </c>
      <c r="M316" s="109">
        <v>-87134.46</v>
      </c>
      <c r="N316" s="110">
        <v>70414.0</v>
      </c>
      <c r="O316" s="110">
        <v>62934.0</v>
      </c>
      <c r="P316" s="110">
        <v>52223.0</v>
      </c>
      <c r="Q316" s="110">
        <v>63034.0</v>
      </c>
      <c r="R316" s="50">
        <v>100315.0</v>
      </c>
      <c r="S316" s="111">
        <v>51.0</v>
      </c>
      <c r="T316" s="112">
        <v>11.0</v>
      </c>
      <c r="U316" s="24" t="s">
        <v>39</v>
      </c>
      <c r="V316" s="11" t="s">
        <v>4001</v>
      </c>
      <c r="W316" s="108">
        <v>8.0</v>
      </c>
      <c r="X316" s="113">
        <v>83123.0</v>
      </c>
      <c r="Y316" s="113">
        <v>71823.0</v>
      </c>
      <c r="Z316" s="11">
        <v>123.0</v>
      </c>
      <c r="AA316" s="113">
        <v>23123.0</v>
      </c>
      <c r="AB316" s="109">
        <v>51802.2</v>
      </c>
      <c r="AC316" s="113">
        <v>111916.0</v>
      </c>
      <c r="AD316" s="108">
        <v>1.0</v>
      </c>
    </row>
    <row r="317">
      <c r="A317" s="11">
        <v>46.0</v>
      </c>
      <c r="B317" s="11">
        <v>8.0</v>
      </c>
      <c r="C317" s="11">
        <v>6.0</v>
      </c>
      <c r="D317" s="17">
        <v>25.0</v>
      </c>
      <c r="E317" s="108">
        <v>5.0</v>
      </c>
      <c r="F317" s="109">
        <v>22117.57</v>
      </c>
      <c r="G317" s="109">
        <v>-45808.5</v>
      </c>
      <c r="H317" s="109">
        <v>10063.71</v>
      </c>
      <c r="I317" s="109">
        <v>-21230.66</v>
      </c>
      <c r="J317" s="109">
        <v>83800.52</v>
      </c>
      <c r="K317" s="109">
        <v>-1149.29</v>
      </c>
      <c r="L317" s="109">
        <v>-10734.0</v>
      </c>
      <c r="M317" s="109">
        <v>76874.09</v>
      </c>
      <c r="N317" s="110">
        <v>51910.0</v>
      </c>
      <c r="O317" s="110">
        <v>51620.0</v>
      </c>
      <c r="P317" s="110">
        <v>52123.0</v>
      </c>
      <c r="Q317" s="110">
        <v>53120.0</v>
      </c>
      <c r="R317" s="50">
        <v>121117.0</v>
      </c>
      <c r="S317" s="111">
        <v>51.0</v>
      </c>
      <c r="T317" s="112">
        <v>79.0</v>
      </c>
      <c r="U317" s="24" t="s">
        <v>48</v>
      </c>
      <c r="V317" s="11" t="s">
        <v>3947</v>
      </c>
      <c r="W317" s="108">
        <v>9.0</v>
      </c>
      <c r="X317" s="113">
        <v>71222.0</v>
      </c>
      <c r="Y317" s="113">
        <v>52520.0</v>
      </c>
      <c r="Z317" s="11">
        <v>109.0</v>
      </c>
      <c r="AA317" s="113">
        <v>60113.0</v>
      </c>
      <c r="AB317" s="109">
        <v>-60704.36</v>
      </c>
      <c r="AC317" s="113">
        <v>101213.0</v>
      </c>
      <c r="AD317" s="108">
        <v>4.0</v>
      </c>
    </row>
    <row r="318">
      <c r="A318" s="11">
        <v>26.0</v>
      </c>
      <c r="B318" s="11">
        <v>4.0</v>
      </c>
      <c r="C318" s="11">
        <v>2.0</v>
      </c>
      <c r="D318" s="17">
        <v>68.0</v>
      </c>
      <c r="E318" s="108">
        <v>2.0</v>
      </c>
      <c r="F318" s="109">
        <v>61411.29</v>
      </c>
      <c r="G318" s="109">
        <v>-99061.32</v>
      </c>
      <c r="H318" s="109">
        <v>1831.66</v>
      </c>
      <c r="I318" s="109">
        <v>92675.9</v>
      </c>
      <c r="J318" s="109">
        <v>15967.6</v>
      </c>
      <c r="K318" s="109">
        <v>34705.04</v>
      </c>
      <c r="L318" s="109">
        <v>42540.03</v>
      </c>
      <c r="M318" s="109">
        <v>-32303.46</v>
      </c>
      <c r="N318" s="110">
        <v>20910.0</v>
      </c>
      <c r="O318" s="110">
        <v>20720.0</v>
      </c>
      <c r="P318" s="110">
        <v>52423.0</v>
      </c>
      <c r="Q318" s="110">
        <v>22920.0</v>
      </c>
      <c r="R318" s="50">
        <v>102120.0</v>
      </c>
      <c r="S318" s="111">
        <v>54.0</v>
      </c>
      <c r="T318" s="112">
        <v>40.0</v>
      </c>
      <c r="U318" s="24" t="s">
        <v>31</v>
      </c>
      <c r="V318" s="11" t="s">
        <v>3888</v>
      </c>
      <c r="W318" s="108">
        <v>9.0</v>
      </c>
      <c r="X318" s="113">
        <v>50721.0</v>
      </c>
      <c r="Y318" s="113">
        <v>30821.0</v>
      </c>
      <c r="Z318" s="11">
        <v>184.0</v>
      </c>
      <c r="AA318" s="113">
        <v>11018.0</v>
      </c>
      <c r="AB318" s="109">
        <v>-88639.39</v>
      </c>
      <c r="AC318" s="113">
        <v>20121.0</v>
      </c>
      <c r="AD318" s="108">
        <v>7.0</v>
      </c>
    </row>
    <row r="319">
      <c r="A319" s="11">
        <v>67.0</v>
      </c>
      <c r="B319" s="11">
        <v>3.0</v>
      </c>
      <c r="C319" s="11">
        <v>9.0</v>
      </c>
      <c r="D319" s="17">
        <v>38.0</v>
      </c>
      <c r="E319" s="108">
        <v>2.0</v>
      </c>
      <c r="F319" s="109">
        <v>11142.93</v>
      </c>
      <c r="G319" s="109">
        <v>-32063.22</v>
      </c>
      <c r="H319" s="109">
        <v>-91671.9</v>
      </c>
      <c r="I319" s="109">
        <v>22780.14</v>
      </c>
      <c r="J319" s="109">
        <v>83756.72</v>
      </c>
      <c r="K319" s="109">
        <v>6000.95</v>
      </c>
      <c r="L319" s="109">
        <v>832.88</v>
      </c>
      <c r="M319" s="109">
        <v>34762.14</v>
      </c>
      <c r="N319" s="110">
        <v>41411.0</v>
      </c>
      <c r="O319" s="110">
        <v>40931.0</v>
      </c>
      <c r="P319" s="110">
        <v>51023.0</v>
      </c>
      <c r="Q319" s="110">
        <v>43031.0</v>
      </c>
      <c r="R319" s="50">
        <v>92618.0</v>
      </c>
      <c r="S319" s="111">
        <v>51.0</v>
      </c>
      <c r="T319" s="112">
        <v>32.0</v>
      </c>
      <c r="U319" s="24" t="s">
        <v>48</v>
      </c>
      <c r="V319" s="11" t="s">
        <v>4005</v>
      </c>
      <c r="W319" s="108">
        <v>2.0</v>
      </c>
      <c r="X319" s="113">
        <v>102614.0</v>
      </c>
      <c r="Y319" s="113">
        <v>31516.0</v>
      </c>
      <c r="Z319" s="11">
        <v>199.0</v>
      </c>
      <c r="AA319" s="113">
        <v>111115.0</v>
      </c>
      <c r="AB319" s="109">
        <v>13365.36</v>
      </c>
      <c r="AC319" s="113">
        <v>72518.0</v>
      </c>
      <c r="AD319" s="108">
        <v>8.0</v>
      </c>
    </row>
    <row r="320">
      <c r="A320" s="11">
        <v>26.0</v>
      </c>
      <c r="B320" s="11">
        <v>4.0</v>
      </c>
      <c r="C320" s="11">
        <v>4.0</v>
      </c>
      <c r="D320" s="17">
        <v>86.0</v>
      </c>
      <c r="E320" s="108">
        <v>4.0</v>
      </c>
      <c r="F320" s="109">
        <v>8272.82</v>
      </c>
      <c r="G320" s="109">
        <v>13122.24</v>
      </c>
      <c r="H320" s="109">
        <v>-10062.94</v>
      </c>
      <c r="I320" s="109">
        <v>-68372.93</v>
      </c>
      <c r="J320" s="109">
        <v>34687.04</v>
      </c>
      <c r="K320" s="109">
        <v>-92534.37</v>
      </c>
      <c r="L320" s="109">
        <v>-52591.85</v>
      </c>
      <c r="M320" s="109">
        <v>54914.92</v>
      </c>
      <c r="N320" s="110">
        <v>122611.0</v>
      </c>
      <c r="O320" s="110">
        <v>122321.0</v>
      </c>
      <c r="P320" s="110">
        <v>51823.0</v>
      </c>
      <c r="Q320" s="110">
        <v>123120.0</v>
      </c>
      <c r="R320" s="50">
        <v>110513.0</v>
      </c>
      <c r="S320" s="111">
        <v>53.0</v>
      </c>
      <c r="T320" s="112">
        <v>29.0</v>
      </c>
      <c r="U320" s="24" t="s">
        <v>31</v>
      </c>
      <c r="V320" s="11" t="s">
        <v>3966</v>
      </c>
      <c r="W320" s="108">
        <v>7.0</v>
      </c>
      <c r="X320" s="113">
        <v>121822.0</v>
      </c>
      <c r="Y320" s="113">
        <v>50123.0</v>
      </c>
      <c r="Z320" s="11">
        <v>117.0</v>
      </c>
      <c r="AA320" s="113">
        <v>31315.0</v>
      </c>
      <c r="AB320" s="109">
        <v>-5869.17</v>
      </c>
      <c r="AC320" s="113">
        <v>12420.0</v>
      </c>
      <c r="AD320" s="108">
        <v>8.0</v>
      </c>
    </row>
    <row r="321">
      <c r="A321" s="11">
        <v>46.0</v>
      </c>
      <c r="B321" s="11">
        <v>9.0</v>
      </c>
      <c r="C321" s="11">
        <v>7.0</v>
      </c>
      <c r="D321" s="17">
        <v>88.0</v>
      </c>
      <c r="E321" s="108">
        <v>1.0</v>
      </c>
      <c r="F321" s="109">
        <v>46128.68</v>
      </c>
      <c r="G321" s="109">
        <v>-12841.94</v>
      </c>
      <c r="H321" s="109">
        <v>-91726.76</v>
      </c>
      <c r="I321" s="109">
        <v>-70630.66</v>
      </c>
      <c r="J321" s="109">
        <v>-31848.31</v>
      </c>
      <c r="K321" s="109">
        <v>-90323.82</v>
      </c>
      <c r="L321" s="109">
        <v>-60831.3</v>
      </c>
      <c r="M321" s="109">
        <v>68995.8</v>
      </c>
      <c r="N321" s="110">
        <v>52912.0</v>
      </c>
      <c r="O321" s="110">
        <v>52432.0</v>
      </c>
      <c r="P321" s="110">
        <v>52823.0</v>
      </c>
      <c r="Q321" s="110">
        <v>53132.0</v>
      </c>
      <c r="R321" s="50">
        <v>121518.0</v>
      </c>
      <c r="S321" s="111">
        <v>52.0</v>
      </c>
      <c r="T321" s="112">
        <v>43.0</v>
      </c>
      <c r="U321" s="24" t="s">
        <v>601</v>
      </c>
      <c r="V321" s="11" t="s">
        <v>3958</v>
      </c>
      <c r="W321" s="108">
        <v>1.0</v>
      </c>
      <c r="X321" s="113">
        <v>111920.0</v>
      </c>
      <c r="Y321" s="113">
        <v>100114.0</v>
      </c>
      <c r="Z321" s="11">
        <v>159.0</v>
      </c>
      <c r="AA321" s="113">
        <v>122420.0</v>
      </c>
      <c r="AB321" s="109">
        <v>-38033.2</v>
      </c>
      <c r="AC321" s="113">
        <v>30520.0</v>
      </c>
      <c r="AD321" s="108">
        <v>8.0</v>
      </c>
    </row>
    <row r="322">
      <c r="A322" s="11">
        <v>87.0</v>
      </c>
      <c r="B322" s="11">
        <v>9.0</v>
      </c>
      <c r="C322" s="11">
        <v>5.0</v>
      </c>
      <c r="D322" s="17">
        <v>28.0</v>
      </c>
      <c r="E322" s="108">
        <v>9.0</v>
      </c>
      <c r="F322" s="109">
        <v>77072.13</v>
      </c>
      <c r="G322" s="109">
        <v>-29525.54</v>
      </c>
      <c r="H322" s="109">
        <v>-84863.37</v>
      </c>
      <c r="I322" s="109">
        <v>31188.35</v>
      </c>
      <c r="J322" s="109">
        <v>29865.55</v>
      </c>
      <c r="K322" s="109">
        <v>-63444.18</v>
      </c>
      <c r="L322" s="109">
        <v>-90453.25</v>
      </c>
      <c r="M322" s="109">
        <v>93394.84</v>
      </c>
      <c r="N322" s="110">
        <v>70510.0</v>
      </c>
      <c r="O322" s="110">
        <v>62740.0</v>
      </c>
      <c r="P322" s="110">
        <v>51123.0</v>
      </c>
      <c r="Q322" s="110">
        <v>63040.0</v>
      </c>
      <c r="R322" s="50">
        <v>81814.0</v>
      </c>
      <c r="S322" s="111">
        <v>50.0</v>
      </c>
      <c r="T322" s="112">
        <v>40.0</v>
      </c>
      <c r="U322" s="24" t="s">
        <v>601</v>
      </c>
      <c r="V322" s="11" t="s">
        <v>4034</v>
      </c>
      <c r="W322" s="108">
        <v>8.0</v>
      </c>
      <c r="X322" s="113">
        <v>101013.0</v>
      </c>
      <c r="Y322" s="113">
        <v>41920.0</v>
      </c>
      <c r="Z322" s="11">
        <v>182.0</v>
      </c>
      <c r="AA322" s="113">
        <v>120117.0</v>
      </c>
      <c r="AB322" s="109">
        <v>82696.51</v>
      </c>
      <c r="AC322" s="113">
        <v>41022.0</v>
      </c>
      <c r="AD322" s="108">
        <v>5.0</v>
      </c>
    </row>
    <row r="323">
      <c r="A323" s="11">
        <v>26.0</v>
      </c>
      <c r="B323" s="11">
        <v>5.0</v>
      </c>
      <c r="C323" s="11">
        <v>3.0</v>
      </c>
      <c r="D323" s="17">
        <v>23.0</v>
      </c>
      <c r="E323" s="108">
        <v>5.0</v>
      </c>
      <c r="F323" s="109">
        <v>-11645.43</v>
      </c>
      <c r="G323" s="109">
        <v>-87055.45</v>
      </c>
      <c r="H323" s="109">
        <v>-37604.19</v>
      </c>
      <c r="I323" s="109">
        <v>-78951.03</v>
      </c>
      <c r="J323" s="109">
        <v>97672.63</v>
      </c>
      <c r="K323" s="109">
        <v>65877.6</v>
      </c>
      <c r="L323" s="109">
        <v>-832.95</v>
      </c>
      <c r="M323" s="109">
        <v>-33143.01</v>
      </c>
      <c r="N323" s="110">
        <v>111512.0</v>
      </c>
      <c r="O323" s="110">
        <v>111032.0</v>
      </c>
      <c r="P323" s="110">
        <v>52523.0</v>
      </c>
      <c r="Q323" s="110">
        <v>113032.0</v>
      </c>
      <c r="R323" s="50">
        <v>102416.0</v>
      </c>
      <c r="S323" s="111">
        <v>53.0</v>
      </c>
      <c r="T323" s="112">
        <v>20.0</v>
      </c>
      <c r="U323" s="24" t="s">
        <v>39</v>
      </c>
      <c r="V323" s="11" t="s">
        <v>4032</v>
      </c>
      <c r="W323" s="108">
        <v>4.0</v>
      </c>
      <c r="X323" s="113">
        <v>62217.0</v>
      </c>
      <c r="Y323" s="113">
        <v>12117.0</v>
      </c>
      <c r="Z323" s="11">
        <v>128.0</v>
      </c>
      <c r="AA323" s="113">
        <v>92822.0</v>
      </c>
      <c r="AB323" s="109">
        <v>-53142.75</v>
      </c>
      <c r="AC323" s="113">
        <v>81623.0</v>
      </c>
      <c r="AD323" s="108">
        <v>4.0</v>
      </c>
    </row>
    <row r="324">
      <c r="A324" s="11">
        <v>67.0</v>
      </c>
      <c r="B324" s="11">
        <v>5.0</v>
      </c>
      <c r="C324" s="11">
        <v>6.0</v>
      </c>
      <c r="D324" s="17">
        <v>69.0</v>
      </c>
      <c r="E324" s="108">
        <v>9.0</v>
      </c>
      <c r="F324" s="109">
        <v>65463.82</v>
      </c>
      <c r="G324" s="109">
        <v>77364.57</v>
      </c>
      <c r="H324" s="109">
        <v>23482.86</v>
      </c>
      <c r="I324" s="109">
        <v>-54746.76</v>
      </c>
      <c r="J324" s="109">
        <v>-18414.48</v>
      </c>
      <c r="K324" s="109">
        <v>20784.04</v>
      </c>
      <c r="L324" s="109">
        <v>97680.23</v>
      </c>
      <c r="M324" s="109">
        <v>37372.03</v>
      </c>
      <c r="N324" s="110">
        <v>111114.0</v>
      </c>
      <c r="O324" s="110">
        <v>110634.0</v>
      </c>
      <c r="P324" s="110">
        <v>52123.0</v>
      </c>
      <c r="Q324" s="110">
        <v>113034.0</v>
      </c>
      <c r="R324" s="50">
        <v>61416.0</v>
      </c>
      <c r="S324" s="111">
        <v>54.0</v>
      </c>
      <c r="T324" s="112">
        <v>82.0</v>
      </c>
      <c r="U324" s="24" t="s">
        <v>39</v>
      </c>
      <c r="V324" s="11" t="s">
        <v>4008</v>
      </c>
      <c r="W324" s="108">
        <v>4.0</v>
      </c>
      <c r="X324" s="113">
        <v>11720.0</v>
      </c>
      <c r="Y324" s="113">
        <v>13114.0</v>
      </c>
      <c r="Z324" s="11">
        <v>174.0</v>
      </c>
      <c r="AA324" s="113">
        <v>101119.0</v>
      </c>
      <c r="AB324" s="109">
        <v>-1597.04</v>
      </c>
      <c r="AC324" s="113">
        <v>70918.0</v>
      </c>
      <c r="AD324" s="108">
        <v>7.0</v>
      </c>
    </row>
    <row r="325">
      <c r="A325" s="11">
        <v>26.0</v>
      </c>
      <c r="B325" s="11">
        <v>6.0</v>
      </c>
      <c r="C325" s="11">
        <v>4.0</v>
      </c>
      <c r="D325" s="17">
        <v>1.0</v>
      </c>
      <c r="E325" s="108">
        <v>3.0</v>
      </c>
      <c r="F325" s="109">
        <v>-5362.17</v>
      </c>
      <c r="G325" s="109">
        <v>-38502.48</v>
      </c>
      <c r="H325" s="109">
        <v>74076.11</v>
      </c>
      <c r="I325" s="109">
        <v>94050.99</v>
      </c>
      <c r="J325" s="109">
        <v>-85382.51</v>
      </c>
      <c r="K325" s="109">
        <v>-48141.25</v>
      </c>
      <c r="L325" s="109">
        <v>37222.44</v>
      </c>
      <c r="M325" s="109">
        <v>-86727.07</v>
      </c>
      <c r="N325" s="110">
        <v>21611.0</v>
      </c>
      <c r="O325" s="110">
        <v>21321.0</v>
      </c>
      <c r="P325" s="110">
        <v>50923.0</v>
      </c>
      <c r="Q325" s="110">
        <v>22821.0</v>
      </c>
      <c r="R325" s="50">
        <v>60720.0</v>
      </c>
      <c r="S325" s="111">
        <v>55.0</v>
      </c>
      <c r="T325" s="112">
        <v>28.0</v>
      </c>
      <c r="U325" s="24" t="s">
        <v>603</v>
      </c>
      <c r="V325" s="11" t="s">
        <v>3883</v>
      </c>
      <c r="W325" s="108">
        <v>2.0</v>
      </c>
      <c r="X325" s="113">
        <v>121823.0</v>
      </c>
      <c r="Y325" s="113">
        <v>121316.0</v>
      </c>
      <c r="Z325" s="11">
        <v>124.0</v>
      </c>
      <c r="AA325" s="113">
        <v>42618.0</v>
      </c>
      <c r="AB325" s="109">
        <v>-98942.09</v>
      </c>
      <c r="AC325" s="113">
        <v>32115.0</v>
      </c>
      <c r="AD325" s="108">
        <v>6.0</v>
      </c>
    </row>
    <row r="326">
      <c r="A326" s="11">
        <v>47.0</v>
      </c>
      <c r="B326" s="11">
        <v>1.0</v>
      </c>
      <c r="C326" s="11">
        <v>4.0</v>
      </c>
      <c r="D326" s="17">
        <v>37.0</v>
      </c>
      <c r="E326" s="108">
        <v>1.0</v>
      </c>
      <c r="F326" s="109">
        <v>-33805.13</v>
      </c>
      <c r="G326" s="109">
        <v>-59474.97</v>
      </c>
      <c r="H326" s="109">
        <v>60686.05</v>
      </c>
      <c r="I326" s="109">
        <v>84902.05</v>
      </c>
      <c r="J326" s="109">
        <v>-41695.31</v>
      </c>
      <c r="K326" s="109">
        <v>-73446.97</v>
      </c>
      <c r="L326" s="109">
        <v>-31670.78</v>
      </c>
      <c r="M326" s="109">
        <v>-97896.3</v>
      </c>
      <c r="N326" s="110">
        <v>121212.0</v>
      </c>
      <c r="O326" s="110">
        <v>120542.0</v>
      </c>
      <c r="P326" s="110">
        <v>50523.0</v>
      </c>
      <c r="Q326" s="110">
        <v>123141.0</v>
      </c>
      <c r="R326" s="50">
        <v>91921.0</v>
      </c>
      <c r="S326" s="111">
        <v>54.0</v>
      </c>
      <c r="T326" s="112">
        <v>29.0</v>
      </c>
      <c r="U326" s="24" t="s">
        <v>48</v>
      </c>
      <c r="V326" s="11" t="s">
        <v>3996</v>
      </c>
      <c r="W326" s="108">
        <v>5.0</v>
      </c>
      <c r="X326" s="113">
        <v>100819.0</v>
      </c>
      <c r="Y326" s="113">
        <v>31821.0</v>
      </c>
      <c r="Z326" s="11">
        <v>153.0</v>
      </c>
      <c r="AA326" s="113">
        <v>70521.0</v>
      </c>
      <c r="AB326" s="109">
        <v>-37532.3</v>
      </c>
      <c r="AC326" s="113">
        <v>41113.0</v>
      </c>
      <c r="AD326" s="108">
        <v>0.0</v>
      </c>
    </row>
    <row r="327">
      <c r="A327" s="11">
        <v>47.0</v>
      </c>
      <c r="B327" s="11">
        <v>1.0</v>
      </c>
      <c r="C327" s="11">
        <v>7.0</v>
      </c>
      <c r="D327" s="17">
        <v>94.0</v>
      </c>
      <c r="E327" s="108">
        <v>6.0</v>
      </c>
      <c r="F327" s="109">
        <v>-47694.62</v>
      </c>
      <c r="G327" s="109">
        <v>-72431.34</v>
      </c>
      <c r="H327" s="109">
        <v>31064.89</v>
      </c>
      <c r="I327" s="109">
        <v>-4425.0</v>
      </c>
      <c r="J327" s="109">
        <v>-77841.84</v>
      </c>
      <c r="K327" s="109">
        <v>-98410.86</v>
      </c>
      <c r="L327" s="109">
        <v>-68766.48</v>
      </c>
      <c r="M327" s="109">
        <v>8675.63</v>
      </c>
      <c r="N327" s="110">
        <v>112614.0</v>
      </c>
      <c r="O327" s="110">
        <v>112134.0</v>
      </c>
      <c r="P327" s="110">
        <v>51023.0</v>
      </c>
      <c r="Q327" s="110">
        <v>113034.0</v>
      </c>
      <c r="R327" s="50">
        <v>30114.0</v>
      </c>
      <c r="S327" s="111">
        <v>54.0</v>
      </c>
      <c r="T327" s="112">
        <v>98.0</v>
      </c>
      <c r="U327" s="24" t="s">
        <v>603</v>
      </c>
      <c r="V327" s="11" t="s">
        <v>4028</v>
      </c>
      <c r="W327" s="108">
        <v>5.0</v>
      </c>
      <c r="X327" s="113">
        <v>100215.0</v>
      </c>
      <c r="Y327" s="113">
        <v>43115.0</v>
      </c>
      <c r="Z327" s="11">
        <v>117.0</v>
      </c>
      <c r="AA327" s="113">
        <v>120217.0</v>
      </c>
      <c r="AB327" s="109">
        <v>-97212.28</v>
      </c>
      <c r="AC327" s="113">
        <v>110914.0</v>
      </c>
      <c r="AD327" s="108">
        <v>2.0</v>
      </c>
    </row>
    <row r="328">
      <c r="A328" s="11">
        <v>67.0</v>
      </c>
      <c r="B328" s="11">
        <v>8.0</v>
      </c>
      <c r="C328" s="11">
        <v>1.0</v>
      </c>
      <c r="D328" s="17">
        <v>80.0</v>
      </c>
      <c r="E328" s="108">
        <v>0.0</v>
      </c>
      <c r="F328" s="109">
        <v>-93466.22</v>
      </c>
      <c r="G328" s="109">
        <v>-32365.83</v>
      </c>
      <c r="H328" s="109">
        <v>-68047.16</v>
      </c>
      <c r="I328" s="109">
        <v>-37117.71</v>
      </c>
      <c r="J328" s="109">
        <v>-50609.57</v>
      </c>
      <c r="K328" s="109">
        <v>-45084.87</v>
      </c>
      <c r="L328" s="109">
        <v>12064.12</v>
      </c>
      <c r="M328" s="109">
        <v>4664.65</v>
      </c>
      <c r="N328" s="110">
        <v>91010.0</v>
      </c>
      <c r="O328" s="110">
        <v>90720.0</v>
      </c>
      <c r="P328" s="110">
        <v>52723.0</v>
      </c>
      <c r="Q328" s="110">
        <v>93020.0</v>
      </c>
      <c r="R328" s="50">
        <v>51413.0</v>
      </c>
      <c r="S328" s="111">
        <v>50.0</v>
      </c>
      <c r="T328" s="112">
        <v>93.0</v>
      </c>
      <c r="U328" s="24" t="s">
        <v>601</v>
      </c>
      <c r="V328" s="11" t="s">
        <v>3893</v>
      </c>
      <c r="W328" s="108">
        <v>4.0</v>
      </c>
      <c r="X328" s="113">
        <v>42719.0</v>
      </c>
      <c r="Y328" s="113">
        <v>81322.0</v>
      </c>
      <c r="Z328" s="11">
        <v>150.0</v>
      </c>
      <c r="AA328" s="113">
        <v>100718.0</v>
      </c>
      <c r="AB328" s="109">
        <v>6045.55</v>
      </c>
      <c r="AC328" s="113">
        <v>72614.0</v>
      </c>
      <c r="AD328" s="108">
        <v>4.0</v>
      </c>
    </row>
    <row r="329">
      <c r="A329" s="11">
        <v>26.0</v>
      </c>
      <c r="B329" s="11">
        <v>8.0</v>
      </c>
      <c r="C329" s="11">
        <v>9.0</v>
      </c>
      <c r="D329" s="17">
        <v>23.0</v>
      </c>
      <c r="E329" s="108">
        <v>2.0</v>
      </c>
      <c r="F329" s="109">
        <v>50652.0</v>
      </c>
      <c r="G329" s="109">
        <v>-49130.63</v>
      </c>
      <c r="H329" s="109">
        <v>-73736.8</v>
      </c>
      <c r="I329" s="109">
        <v>25776.34</v>
      </c>
      <c r="J329" s="109">
        <v>68739.41</v>
      </c>
      <c r="K329" s="109">
        <v>-11044.14</v>
      </c>
      <c r="L329" s="109">
        <v>-40094.25</v>
      </c>
      <c r="M329" s="109">
        <v>23119.21</v>
      </c>
      <c r="N329" s="110">
        <v>82014.0</v>
      </c>
      <c r="O329" s="110">
        <v>81244.0</v>
      </c>
      <c r="P329" s="110">
        <v>51823.0</v>
      </c>
      <c r="Q329" s="110">
        <v>83144.0</v>
      </c>
      <c r="R329" s="50">
        <v>82521.0</v>
      </c>
      <c r="S329" s="111">
        <v>55.0</v>
      </c>
      <c r="T329" s="112">
        <v>10.0</v>
      </c>
      <c r="U329" s="24" t="s">
        <v>39</v>
      </c>
      <c r="V329" s="11" t="s">
        <v>3949</v>
      </c>
      <c r="W329" s="108">
        <v>2.0</v>
      </c>
      <c r="X329" s="113">
        <v>41718.0</v>
      </c>
      <c r="Y329" s="113">
        <v>40416.0</v>
      </c>
      <c r="Z329" s="11">
        <v>200.0</v>
      </c>
      <c r="AA329" s="113">
        <v>92018.0</v>
      </c>
      <c r="AB329" s="109">
        <v>-3324.11</v>
      </c>
      <c r="AC329" s="113">
        <v>22519.0</v>
      </c>
      <c r="AD329" s="108">
        <v>2.0</v>
      </c>
    </row>
    <row r="330">
      <c r="A330" s="11">
        <v>67.0</v>
      </c>
      <c r="B330" s="11">
        <v>8.0</v>
      </c>
      <c r="C330" s="11">
        <v>7.0</v>
      </c>
      <c r="D330" s="17">
        <v>94.0</v>
      </c>
      <c r="E330" s="108">
        <v>6.0</v>
      </c>
      <c r="F330" s="109">
        <v>-27086.67</v>
      </c>
      <c r="G330" s="109">
        <v>-4592.81</v>
      </c>
      <c r="H330" s="109">
        <v>-30706.19</v>
      </c>
      <c r="I330" s="109">
        <v>-23368.15</v>
      </c>
      <c r="J330" s="109">
        <v>-81625.62</v>
      </c>
      <c r="K330" s="109">
        <v>58646.61</v>
      </c>
      <c r="L330" s="109">
        <v>27110.7</v>
      </c>
      <c r="M330" s="109">
        <v>-90231.81</v>
      </c>
      <c r="N330" s="110">
        <v>62313.0</v>
      </c>
      <c r="O330" s="110">
        <v>61643.0</v>
      </c>
      <c r="P330" s="110">
        <v>51823.0</v>
      </c>
      <c r="Q330" s="110">
        <v>63043.0</v>
      </c>
      <c r="R330" s="50">
        <v>70119.0</v>
      </c>
      <c r="S330" s="111">
        <v>54.0</v>
      </c>
      <c r="T330" s="112">
        <v>77.0</v>
      </c>
      <c r="U330" s="24" t="s">
        <v>31</v>
      </c>
      <c r="V330" s="11" t="s">
        <v>3984</v>
      </c>
      <c r="W330" s="108">
        <v>1.0</v>
      </c>
      <c r="X330" s="113">
        <v>83120.0</v>
      </c>
      <c r="Y330" s="113">
        <v>72814.0</v>
      </c>
      <c r="Z330" s="11">
        <v>136.0</v>
      </c>
      <c r="AA330" s="113">
        <v>122718.0</v>
      </c>
      <c r="AB330" s="109">
        <v>11336.6</v>
      </c>
      <c r="AC330" s="113">
        <v>31319.0</v>
      </c>
      <c r="AD330" s="108">
        <v>4.0</v>
      </c>
    </row>
    <row r="331">
      <c r="A331" s="11">
        <v>47.0</v>
      </c>
      <c r="B331" s="11">
        <v>3.0</v>
      </c>
      <c r="C331" s="11">
        <v>9.0</v>
      </c>
      <c r="D331" s="17">
        <v>25.0</v>
      </c>
      <c r="E331" s="108">
        <v>6.0</v>
      </c>
      <c r="F331" s="109">
        <v>-87711.53</v>
      </c>
      <c r="G331" s="109">
        <v>35322.26</v>
      </c>
      <c r="H331" s="109">
        <v>-45068.07</v>
      </c>
      <c r="I331" s="109">
        <v>-66308.94</v>
      </c>
      <c r="J331" s="109">
        <v>-56653.98</v>
      </c>
      <c r="K331" s="109">
        <v>64616.11</v>
      </c>
      <c r="L331" s="109">
        <v>-49332.32</v>
      </c>
      <c r="M331" s="109">
        <v>75772.47</v>
      </c>
      <c r="N331" s="110">
        <v>50613.0</v>
      </c>
      <c r="O331" s="110">
        <v>50133.0</v>
      </c>
      <c r="P331" s="110">
        <v>52223.0</v>
      </c>
      <c r="Q331" s="110">
        <v>53133.0</v>
      </c>
      <c r="R331" s="50">
        <v>70617.0</v>
      </c>
      <c r="S331" s="111">
        <v>52.0</v>
      </c>
      <c r="T331" s="112">
        <v>70.0</v>
      </c>
      <c r="U331" s="24" t="s">
        <v>603</v>
      </c>
      <c r="V331" s="11" t="s">
        <v>4008</v>
      </c>
      <c r="W331" s="108">
        <v>2.0</v>
      </c>
      <c r="X331" s="113">
        <v>21019.0</v>
      </c>
      <c r="Y331" s="113">
        <v>123116.0</v>
      </c>
      <c r="Z331" s="11">
        <v>126.0</v>
      </c>
      <c r="AA331" s="113">
        <v>92017.0</v>
      </c>
      <c r="AB331" s="109">
        <v>-7024.85</v>
      </c>
      <c r="AC331" s="113">
        <v>33113.0</v>
      </c>
      <c r="AD331" s="108">
        <v>9.0</v>
      </c>
    </row>
    <row r="332">
      <c r="A332" s="11">
        <v>47.0</v>
      </c>
      <c r="B332" s="11">
        <v>4.0</v>
      </c>
      <c r="C332" s="11">
        <v>5.0</v>
      </c>
      <c r="D332" s="17">
        <v>2.0</v>
      </c>
      <c r="E332" s="108">
        <v>2.0</v>
      </c>
      <c r="F332" s="109">
        <v>7430.72</v>
      </c>
      <c r="G332" s="109">
        <v>96650.52</v>
      </c>
      <c r="H332" s="109">
        <v>-87497.89</v>
      </c>
      <c r="I332" s="109">
        <v>-19191.37</v>
      </c>
      <c r="J332" s="109">
        <v>-94995.13</v>
      </c>
      <c r="K332" s="109">
        <v>-27666.0</v>
      </c>
      <c r="L332" s="109">
        <v>-55514.41</v>
      </c>
      <c r="M332" s="109">
        <v>93255.44</v>
      </c>
      <c r="N332" s="110">
        <v>81612.0</v>
      </c>
      <c r="O332" s="110">
        <v>81132.0</v>
      </c>
      <c r="P332" s="110">
        <v>52023.0</v>
      </c>
      <c r="Q332" s="110">
        <v>83132.0</v>
      </c>
      <c r="R332" s="50">
        <v>102917.0</v>
      </c>
      <c r="S332" s="111">
        <v>51.0</v>
      </c>
      <c r="T332" s="112">
        <v>66.0</v>
      </c>
      <c r="U332" s="24" t="s">
        <v>601</v>
      </c>
      <c r="V332" s="11" t="s">
        <v>4016</v>
      </c>
      <c r="W332" s="108">
        <v>5.0</v>
      </c>
      <c r="X332" s="113">
        <v>42423.0</v>
      </c>
      <c r="Y332" s="113">
        <v>20322.0</v>
      </c>
      <c r="Z332" s="11">
        <v>197.0</v>
      </c>
      <c r="AA332" s="113">
        <v>82817.0</v>
      </c>
      <c r="AB332" s="109">
        <v>77086.68</v>
      </c>
      <c r="AC332" s="113">
        <v>21723.0</v>
      </c>
      <c r="AD332" s="108">
        <v>4.0</v>
      </c>
    </row>
    <row r="333">
      <c r="A333" s="11">
        <v>67.0</v>
      </c>
      <c r="B333" s="11">
        <v>9.0</v>
      </c>
      <c r="C333" s="11">
        <v>3.0</v>
      </c>
      <c r="D333" s="17">
        <v>33.0</v>
      </c>
      <c r="E333" s="108">
        <v>2.0</v>
      </c>
      <c r="F333" s="109">
        <v>-15245.97</v>
      </c>
      <c r="G333" s="109">
        <v>88188.84</v>
      </c>
      <c r="H333" s="109">
        <v>-26627.21</v>
      </c>
      <c r="I333" s="109">
        <v>-73493.85</v>
      </c>
      <c r="J333" s="109">
        <v>50349.87</v>
      </c>
      <c r="K333" s="109">
        <v>-64758.52</v>
      </c>
      <c r="L333" s="109">
        <v>60492.31</v>
      </c>
      <c r="M333" s="109">
        <v>-36059.42</v>
      </c>
      <c r="N333" s="110">
        <v>122711.0</v>
      </c>
      <c r="O333" s="110">
        <v>122421.0</v>
      </c>
      <c r="P333" s="110">
        <v>52923.0</v>
      </c>
      <c r="Q333" s="110">
        <v>123120.0</v>
      </c>
      <c r="R333" s="50">
        <v>82318.0</v>
      </c>
      <c r="S333" s="111">
        <v>51.0</v>
      </c>
      <c r="T333" s="112">
        <v>29.0</v>
      </c>
      <c r="U333" s="24" t="s">
        <v>601</v>
      </c>
      <c r="V333" s="11" t="s">
        <v>3977</v>
      </c>
      <c r="W333" s="108">
        <v>3.0</v>
      </c>
      <c r="X333" s="113">
        <v>51622.0</v>
      </c>
      <c r="Y333" s="113">
        <v>12817.0</v>
      </c>
      <c r="Z333" s="11">
        <v>159.0</v>
      </c>
      <c r="AA333" s="113">
        <v>103015.0</v>
      </c>
      <c r="AB333" s="109">
        <v>-30944.96</v>
      </c>
      <c r="AC333" s="113">
        <v>120221.0</v>
      </c>
      <c r="AD333" s="108">
        <v>1.0</v>
      </c>
    </row>
    <row r="334">
      <c r="A334" s="11">
        <v>67.0</v>
      </c>
      <c r="B334" s="11">
        <v>9.0</v>
      </c>
      <c r="C334" s="11">
        <v>6.0</v>
      </c>
      <c r="D334" s="17">
        <v>27.0</v>
      </c>
      <c r="E334" s="108">
        <v>0.0</v>
      </c>
      <c r="F334" s="109">
        <v>98017.64</v>
      </c>
      <c r="G334" s="109">
        <v>-26820.55</v>
      </c>
      <c r="H334" s="109">
        <v>5475.0</v>
      </c>
      <c r="I334" s="109">
        <v>-34768.29</v>
      </c>
      <c r="J334" s="109">
        <v>-96265.31</v>
      </c>
      <c r="K334" s="109">
        <v>62705.11</v>
      </c>
      <c r="L334" s="109">
        <v>-32853.79</v>
      </c>
      <c r="M334" s="109">
        <v>-73272.73</v>
      </c>
      <c r="N334" s="110">
        <v>42814.0</v>
      </c>
      <c r="O334" s="110">
        <v>42044.0</v>
      </c>
      <c r="P334" s="110">
        <v>53023.0</v>
      </c>
      <c r="Q334" s="110">
        <v>43044.0</v>
      </c>
      <c r="R334" s="50">
        <v>120718.0</v>
      </c>
      <c r="S334" s="111">
        <v>55.0</v>
      </c>
      <c r="T334" s="112">
        <v>98.0</v>
      </c>
      <c r="U334" s="24" t="s">
        <v>39</v>
      </c>
      <c r="V334" s="11" t="s">
        <v>3961</v>
      </c>
      <c r="W334" s="108">
        <v>3.0</v>
      </c>
      <c r="X334" s="113">
        <v>51017.0</v>
      </c>
      <c r="Y334" s="113">
        <v>121516.0</v>
      </c>
      <c r="Z334" s="11">
        <v>176.0</v>
      </c>
      <c r="AA334" s="113">
        <v>11115.0</v>
      </c>
      <c r="AB334" s="109">
        <v>97630.48</v>
      </c>
      <c r="AC334" s="113">
        <v>92422.0</v>
      </c>
      <c r="AD334" s="108">
        <v>5.0</v>
      </c>
    </row>
    <row r="335">
      <c r="A335" s="11">
        <v>88.0</v>
      </c>
      <c r="B335" s="11">
        <v>4.0</v>
      </c>
      <c r="C335" s="11">
        <v>7.0</v>
      </c>
      <c r="D335" s="17">
        <v>24.0</v>
      </c>
      <c r="E335" s="108">
        <v>3.0</v>
      </c>
      <c r="F335" s="109">
        <v>-32330.16</v>
      </c>
      <c r="G335" s="109">
        <v>71641.41</v>
      </c>
      <c r="H335" s="109">
        <v>-86710.62</v>
      </c>
      <c r="I335" s="109">
        <v>84086.9</v>
      </c>
      <c r="J335" s="109">
        <v>-1886.2</v>
      </c>
      <c r="K335" s="109">
        <v>-74109.48</v>
      </c>
      <c r="L335" s="109">
        <v>-25609.07</v>
      </c>
      <c r="M335" s="109">
        <v>-34305.39</v>
      </c>
      <c r="N335" s="110">
        <v>82314.0</v>
      </c>
      <c r="O335" s="110">
        <v>81544.0</v>
      </c>
      <c r="P335" s="110">
        <v>51723.0</v>
      </c>
      <c r="Q335" s="110">
        <v>83144.0</v>
      </c>
      <c r="R335" s="50">
        <v>81918.0</v>
      </c>
      <c r="S335" s="111">
        <v>53.0</v>
      </c>
      <c r="T335" s="112">
        <v>56.0</v>
      </c>
      <c r="U335" s="24" t="s">
        <v>601</v>
      </c>
      <c r="V335" s="11" t="s">
        <v>3996</v>
      </c>
      <c r="W335" s="108">
        <v>5.0</v>
      </c>
      <c r="X335" s="113">
        <v>102215.0</v>
      </c>
      <c r="Y335" s="113">
        <v>30213.0</v>
      </c>
      <c r="Z335" s="11">
        <v>135.0</v>
      </c>
      <c r="AA335" s="113">
        <v>20121.0</v>
      </c>
      <c r="AB335" s="109">
        <v>-19429.83</v>
      </c>
      <c r="AC335" s="113">
        <v>32815.0</v>
      </c>
      <c r="AD335" s="108">
        <v>2.0</v>
      </c>
    </row>
    <row r="336">
      <c r="A336" s="11">
        <v>47.0</v>
      </c>
      <c r="B336" s="11">
        <v>5.0</v>
      </c>
      <c r="C336" s="11">
        <v>3.0</v>
      </c>
      <c r="D336" s="17">
        <v>93.0</v>
      </c>
      <c r="E336" s="108">
        <v>8.0</v>
      </c>
      <c r="F336" s="109">
        <v>30939.51</v>
      </c>
      <c r="G336" s="109">
        <v>48112.1</v>
      </c>
      <c r="H336" s="109">
        <v>-7781.24</v>
      </c>
      <c r="I336" s="109">
        <v>-64295.68</v>
      </c>
      <c r="J336" s="109">
        <v>24071.41</v>
      </c>
      <c r="K336" s="109">
        <v>-26655.7</v>
      </c>
      <c r="L336" s="109">
        <v>-9011.91</v>
      </c>
      <c r="M336" s="109">
        <v>94115.8</v>
      </c>
      <c r="N336" s="110">
        <v>21511.0</v>
      </c>
      <c r="O336" s="110">
        <v>21221.0</v>
      </c>
      <c r="P336" s="110">
        <v>52623.0</v>
      </c>
      <c r="Q336" s="110">
        <v>22821.0</v>
      </c>
      <c r="R336" s="50">
        <v>42615.0</v>
      </c>
      <c r="S336" s="111">
        <v>51.0</v>
      </c>
      <c r="T336" s="112">
        <v>57.0</v>
      </c>
      <c r="U336" s="24" t="s">
        <v>31</v>
      </c>
      <c r="V336" s="11" t="s">
        <v>4035</v>
      </c>
      <c r="W336" s="108">
        <v>3.0</v>
      </c>
      <c r="X336" s="113">
        <v>32618.0</v>
      </c>
      <c r="Y336" s="113">
        <v>82823.0</v>
      </c>
      <c r="Z336" s="11">
        <v>122.0</v>
      </c>
      <c r="AA336" s="113">
        <v>43116.0</v>
      </c>
      <c r="AB336" s="109">
        <v>-68197.44</v>
      </c>
      <c r="AC336" s="113">
        <v>61615.0</v>
      </c>
      <c r="AD336" s="108">
        <v>4.0</v>
      </c>
    </row>
    <row r="337">
      <c r="A337" s="11">
        <v>47.0</v>
      </c>
      <c r="B337" s="11">
        <v>5.0</v>
      </c>
      <c r="C337" s="11">
        <v>5.0</v>
      </c>
      <c r="D337" s="17">
        <v>20.0</v>
      </c>
      <c r="E337" s="108">
        <v>2.0</v>
      </c>
      <c r="F337" s="109">
        <v>-39887.7</v>
      </c>
      <c r="G337" s="109">
        <v>-78386.35</v>
      </c>
      <c r="H337" s="109">
        <v>-54450.76</v>
      </c>
      <c r="I337" s="109">
        <v>82888.45</v>
      </c>
      <c r="J337" s="109">
        <v>37775.53</v>
      </c>
      <c r="K337" s="109">
        <v>-24775.11</v>
      </c>
      <c r="L337" s="109">
        <v>-43197.58</v>
      </c>
      <c r="M337" s="109">
        <v>48374.82</v>
      </c>
      <c r="N337" s="110">
        <v>101414.0</v>
      </c>
      <c r="O337" s="110">
        <v>100934.0</v>
      </c>
      <c r="P337" s="110">
        <v>51923.0</v>
      </c>
      <c r="Q337" s="110">
        <v>103134.0</v>
      </c>
      <c r="R337" s="50">
        <v>30918.0</v>
      </c>
      <c r="S337" s="111">
        <v>51.0</v>
      </c>
      <c r="T337" s="112">
        <v>95.0</v>
      </c>
      <c r="U337" s="24" t="s">
        <v>31</v>
      </c>
      <c r="V337" s="11" t="s">
        <v>3861</v>
      </c>
      <c r="W337" s="108">
        <v>6.0</v>
      </c>
      <c r="X337" s="113">
        <v>42417.0</v>
      </c>
      <c r="Y337" s="113">
        <v>52819.0</v>
      </c>
      <c r="Z337" s="11">
        <v>178.0</v>
      </c>
      <c r="AA337" s="113">
        <v>62117.0</v>
      </c>
      <c r="AB337" s="109">
        <v>48598.37</v>
      </c>
      <c r="AC337" s="113">
        <v>93016.0</v>
      </c>
      <c r="AD337" s="108">
        <v>3.0</v>
      </c>
    </row>
    <row r="338">
      <c r="A338" s="11">
        <v>47.0</v>
      </c>
      <c r="B338" s="11">
        <v>5.0</v>
      </c>
      <c r="C338" s="11">
        <v>7.0</v>
      </c>
      <c r="D338" s="17">
        <v>93.0</v>
      </c>
      <c r="E338" s="108">
        <v>4.0</v>
      </c>
      <c r="F338" s="109">
        <v>-63364.49</v>
      </c>
      <c r="G338" s="109">
        <v>12315.86</v>
      </c>
      <c r="H338" s="109">
        <v>16633.81</v>
      </c>
      <c r="I338" s="109">
        <v>-59555.42</v>
      </c>
      <c r="J338" s="109">
        <v>27701.0</v>
      </c>
      <c r="K338" s="109">
        <v>-29449.92</v>
      </c>
      <c r="L338" s="109">
        <v>3315.84</v>
      </c>
      <c r="M338" s="109">
        <v>-93764.02</v>
      </c>
      <c r="N338" s="110">
        <v>30714.0</v>
      </c>
      <c r="O338" s="110">
        <v>30234.0</v>
      </c>
      <c r="P338" s="110">
        <v>51723.0</v>
      </c>
      <c r="Q338" s="110">
        <v>33134.0</v>
      </c>
      <c r="R338" s="50">
        <v>11620.0</v>
      </c>
      <c r="S338" s="111">
        <v>51.0</v>
      </c>
      <c r="T338" s="112">
        <v>35.0</v>
      </c>
      <c r="U338" s="24" t="s">
        <v>603</v>
      </c>
      <c r="V338" s="11" t="s">
        <v>4018</v>
      </c>
      <c r="W338" s="108">
        <v>3.0</v>
      </c>
      <c r="X338" s="113">
        <v>81616.0</v>
      </c>
      <c r="Y338" s="113">
        <v>42122.0</v>
      </c>
      <c r="Z338" s="11">
        <v>187.0</v>
      </c>
      <c r="AA338" s="113">
        <v>60713.0</v>
      </c>
      <c r="AB338" s="109">
        <v>3840.55</v>
      </c>
      <c r="AC338" s="113">
        <v>71617.0</v>
      </c>
      <c r="AD338" s="108">
        <v>5.0</v>
      </c>
    </row>
    <row r="339">
      <c r="A339" s="11">
        <v>47.0</v>
      </c>
      <c r="B339" s="11">
        <v>5.0</v>
      </c>
      <c r="C339" s="11">
        <v>8.0</v>
      </c>
      <c r="D339" s="17">
        <v>69.0</v>
      </c>
      <c r="E339" s="108">
        <v>2.0</v>
      </c>
      <c r="F339" s="109">
        <v>-75650.4</v>
      </c>
      <c r="G339" s="109">
        <v>20666.33</v>
      </c>
      <c r="H339" s="109">
        <v>-336.05</v>
      </c>
      <c r="I339" s="109">
        <v>-68256.97</v>
      </c>
      <c r="J339" s="109">
        <v>-7652.46</v>
      </c>
      <c r="K339" s="109">
        <v>-31194.52</v>
      </c>
      <c r="L339" s="109">
        <v>-16561.35</v>
      </c>
      <c r="M339" s="109">
        <v>-90872.84</v>
      </c>
      <c r="N339" s="110">
        <v>90613.0</v>
      </c>
      <c r="O339" s="110">
        <v>83043.0</v>
      </c>
      <c r="P339" s="110">
        <v>50123.0</v>
      </c>
      <c r="Q339" s="110">
        <v>83143.0</v>
      </c>
      <c r="R339" s="50">
        <v>101819.0</v>
      </c>
      <c r="S339" s="111">
        <v>53.0</v>
      </c>
      <c r="T339" s="112">
        <v>61.0</v>
      </c>
      <c r="U339" s="24" t="s">
        <v>601</v>
      </c>
      <c r="V339" s="11" t="s">
        <v>4036</v>
      </c>
      <c r="W339" s="108">
        <v>2.0</v>
      </c>
      <c r="X339" s="113">
        <v>92818.0</v>
      </c>
      <c r="Y339" s="113">
        <v>22913.0</v>
      </c>
      <c r="Z339" s="11">
        <v>140.0</v>
      </c>
      <c r="AA339" s="113">
        <v>90223.0</v>
      </c>
      <c r="AB339" s="109">
        <v>-73692.49</v>
      </c>
      <c r="AC339" s="113">
        <v>100221.0</v>
      </c>
      <c r="AD339" s="108">
        <v>3.0</v>
      </c>
    </row>
    <row r="340">
      <c r="A340" s="11">
        <v>88.0</v>
      </c>
      <c r="B340" s="11">
        <v>5.0</v>
      </c>
      <c r="C340" s="11">
        <v>4.0</v>
      </c>
      <c r="D340" s="17">
        <v>58.0</v>
      </c>
      <c r="E340" s="108">
        <v>5.0</v>
      </c>
      <c r="F340" s="109">
        <v>-36911.33</v>
      </c>
      <c r="G340" s="109">
        <v>-1244.65</v>
      </c>
      <c r="H340" s="109">
        <v>73947.4</v>
      </c>
      <c r="I340" s="109">
        <v>-2240.29</v>
      </c>
      <c r="J340" s="109">
        <v>-71391.14</v>
      </c>
      <c r="K340" s="109">
        <v>-66314.76</v>
      </c>
      <c r="L340" s="109">
        <v>-62740.63</v>
      </c>
      <c r="M340" s="109">
        <v>-57007.95</v>
      </c>
      <c r="N340" s="110">
        <v>20714.0</v>
      </c>
      <c r="O340" s="110">
        <v>20524.0</v>
      </c>
      <c r="P340" s="110">
        <v>50723.0</v>
      </c>
      <c r="Q340" s="110">
        <v>22924.0</v>
      </c>
      <c r="R340" s="50">
        <v>22519.0</v>
      </c>
      <c r="S340" s="111">
        <v>54.0</v>
      </c>
      <c r="T340" s="112">
        <v>9.0</v>
      </c>
      <c r="U340" s="24" t="s">
        <v>603</v>
      </c>
      <c r="V340" s="11" t="s">
        <v>4018</v>
      </c>
      <c r="W340" s="108">
        <v>7.0</v>
      </c>
      <c r="X340" s="113">
        <v>12618.0</v>
      </c>
      <c r="Y340" s="113">
        <v>101813.0</v>
      </c>
      <c r="Z340" s="11">
        <v>134.0</v>
      </c>
      <c r="AA340" s="113">
        <v>122414.0</v>
      </c>
      <c r="AB340" s="109">
        <v>49065.76</v>
      </c>
      <c r="AC340" s="113">
        <v>90819.0</v>
      </c>
      <c r="AD340" s="108">
        <v>2.0</v>
      </c>
    </row>
    <row r="341">
      <c r="A341" s="11">
        <v>27.0</v>
      </c>
      <c r="B341" s="11">
        <v>1.0</v>
      </c>
      <c r="C341" s="11">
        <v>3.0</v>
      </c>
      <c r="D341" s="17">
        <v>64.0</v>
      </c>
      <c r="E341" s="108">
        <v>2.0</v>
      </c>
      <c r="F341" s="109">
        <v>94261.1</v>
      </c>
      <c r="G341" s="109">
        <v>-77264.65</v>
      </c>
      <c r="H341" s="109">
        <v>88087.04</v>
      </c>
      <c r="I341" s="109">
        <v>55248.57</v>
      </c>
      <c r="J341" s="109">
        <v>62214.76</v>
      </c>
      <c r="K341" s="109">
        <v>-19027.76</v>
      </c>
      <c r="L341" s="109">
        <v>-55582.32</v>
      </c>
      <c r="M341" s="109">
        <v>4146.06</v>
      </c>
      <c r="N341" s="110">
        <v>11311.0</v>
      </c>
      <c r="O341" s="110">
        <v>10541.0</v>
      </c>
      <c r="P341" s="110">
        <v>50123.0</v>
      </c>
      <c r="Q341" s="110">
        <v>13141.0</v>
      </c>
      <c r="R341" s="50">
        <v>72118.0</v>
      </c>
      <c r="S341" s="111">
        <v>54.0</v>
      </c>
      <c r="T341" s="112">
        <v>20.0</v>
      </c>
      <c r="U341" s="24" t="s">
        <v>39</v>
      </c>
      <c r="V341" s="11" t="s">
        <v>3930</v>
      </c>
      <c r="W341" s="108">
        <v>5.0</v>
      </c>
      <c r="X341" s="113">
        <v>70920.0</v>
      </c>
      <c r="Y341" s="113">
        <v>22216.0</v>
      </c>
      <c r="Z341" s="11">
        <v>128.0</v>
      </c>
      <c r="AA341" s="113">
        <v>82220.0</v>
      </c>
      <c r="AB341" s="109">
        <v>15708.03</v>
      </c>
      <c r="AC341" s="113">
        <v>11523.0</v>
      </c>
      <c r="AD341" s="108">
        <v>3.0</v>
      </c>
    </row>
    <row r="342">
      <c r="A342" s="11">
        <v>47.0</v>
      </c>
      <c r="B342" s="11">
        <v>6.0</v>
      </c>
      <c r="C342" s="11">
        <v>3.0</v>
      </c>
      <c r="D342" s="17">
        <v>87.0</v>
      </c>
      <c r="E342" s="108">
        <v>7.0</v>
      </c>
      <c r="F342" s="109">
        <v>-21252.9</v>
      </c>
      <c r="G342" s="109">
        <v>-84543.06</v>
      </c>
      <c r="H342" s="109">
        <v>61806.25</v>
      </c>
      <c r="I342" s="109">
        <v>46906.06</v>
      </c>
      <c r="J342" s="109">
        <v>-45901.18</v>
      </c>
      <c r="K342" s="109">
        <v>81601.53</v>
      </c>
      <c r="L342" s="109">
        <v>-24669.81</v>
      </c>
      <c r="M342" s="109">
        <v>49386.12</v>
      </c>
      <c r="N342" s="110">
        <v>123014.0</v>
      </c>
      <c r="O342" s="110">
        <v>122244.0</v>
      </c>
      <c r="P342" s="110">
        <v>51423.0</v>
      </c>
      <c r="Q342" s="110">
        <v>123143.0</v>
      </c>
      <c r="R342" s="50">
        <v>102514.0</v>
      </c>
      <c r="S342" s="111">
        <v>52.0</v>
      </c>
      <c r="T342" s="112">
        <v>50.0</v>
      </c>
      <c r="U342" s="24" t="s">
        <v>603</v>
      </c>
      <c r="V342" s="11" t="s">
        <v>3931</v>
      </c>
      <c r="W342" s="108">
        <v>4.0</v>
      </c>
      <c r="X342" s="113">
        <v>110321.0</v>
      </c>
      <c r="Y342" s="113">
        <v>112618.0</v>
      </c>
      <c r="Z342" s="11">
        <v>170.0</v>
      </c>
      <c r="AA342" s="113">
        <v>82120.0</v>
      </c>
      <c r="AB342" s="109">
        <v>-65220.53</v>
      </c>
      <c r="AC342" s="113">
        <v>121313.0</v>
      </c>
      <c r="AD342" s="108">
        <v>8.0</v>
      </c>
    </row>
    <row r="343">
      <c r="A343" s="11">
        <v>88.0</v>
      </c>
      <c r="B343" s="11">
        <v>6.0</v>
      </c>
      <c r="C343" s="11">
        <v>1.0</v>
      </c>
      <c r="D343" s="17">
        <v>37.0</v>
      </c>
      <c r="E343" s="108">
        <v>0.0</v>
      </c>
      <c r="F343" s="109">
        <v>-78339.1</v>
      </c>
      <c r="G343" s="109">
        <v>-6640.24</v>
      </c>
      <c r="H343" s="109">
        <v>-90551.63</v>
      </c>
      <c r="I343" s="109">
        <v>-76526.28</v>
      </c>
      <c r="J343" s="109">
        <v>73109.66</v>
      </c>
      <c r="K343" s="109">
        <v>-50601.79</v>
      </c>
      <c r="L343" s="109">
        <v>-99958.37</v>
      </c>
      <c r="M343" s="109">
        <v>13762.35</v>
      </c>
      <c r="N343" s="110">
        <v>70414.0</v>
      </c>
      <c r="O343" s="110">
        <v>62934.0</v>
      </c>
      <c r="P343" s="110">
        <v>50423.0</v>
      </c>
      <c r="Q343" s="110">
        <v>63034.0</v>
      </c>
      <c r="R343" s="50">
        <v>60117.0</v>
      </c>
      <c r="S343" s="111">
        <v>55.0</v>
      </c>
      <c r="T343" s="112">
        <v>70.0</v>
      </c>
      <c r="U343" s="24" t="s">
        <v>39</v>
      </c>
      <c r="V343" s="11" t="s">
        <v>3942</v>
      </c>
      <c r="W343" s="108">
        <v>4.0</v>
      </c>
      <c r="X343" s="113">
        <v>41120.0</v>
      </c>
      <c r="Y343" s="113">
        <v>111916.0</v>
      </c>
      <c r="Z343" s="11">
        <v>191.0</v>
      </c>
      <c r="AA343" s="113">
        <v>12819.0</v>
      </c>
      <c r="AB343" s="109">
        <v>-83917.37</v>
      </c>
      <c r="AC343" s="113">
        <v>40322.0</v>
      </c>
      <c r="AD343" s="108">
        <v>3.0</v>
      </c>
    </row>
    <row r="344">
      <c r="A344" s="11">
        <v>27.0</v>
      </c>
      <c r="B344" s="11">
        <v>1.0</v>
      </c>
      <c r="C344" s="11">
        <v>8.0</v>
      </c>
      <c r="D344" s="17">
        <v>98.0</v>
      </c>
      <c r="E344" s="108">
        <v>6.0</v>
      </c>
      <c r="F344" s="109">
        <v>40376.63</v>
      </c>
      <c r="G344" s="109">
        <v>-14236.61</v>
      </c>
      <c r="H344" s="109">
        <v>74360.77</v>
      </c>
      <c r="I344" s="109">
        <v>-83377.71</v>
      </c>
      <c r="J344" s="109">
        <v>-95731.87</v>
      </c>
      <c r="K344" s="109">
        <v>95698.31</v>
      </c>
      <c r="L344" s="109">
        <v>28210.89</v>
      </c>
      <c r="M344" s="109">
        <v>-1166.77</v>
      </c>
      <c r="N344" s="110">
        <v>20511.0</v>
      </c>
      <c r="O344" s="110">
        <v>13131.0</v>
      </c>
      <c r="P344" s="110">
        <v>50723.0</v>
      </c>
      <c r="Q344" s="110">
        <v>13131.0</v>
      </c>
      <c r="R344" s="50">
        <v>110118.0</v>
      </c>
      <c r="S344" s="111">
        <v>54.0</v>
      </c>
      <c r="T344" s="112">
        <v>54.0</v>
      </c>
      <c r="U344" s="24" t="s">
        <v>601</v>
      </c>
      <c r="V344" s="11" t="s">
        <v>3900</v>
      </c>
      <c r="W344" s="108">
        <v>2.0</v>
      </c>
      <c r="X344" s="113">
        <v>111320.0</v>
      </c>
      <c r="Y344" s="113">
        <v>102419.0</v>
      </c>
      <c r="Z344" s="11">
        <v>176.0</v>
      </c>
      <c r="AA344" s="113">
        <v>60115.0</v>
      </c>
      <c r="AB344" s="109">
        <v>-22613.93</v>
      </c>
      <c r="AC344" s="113">
        <v>51213.0</v>
      </c>
      <c r="AD344" s="108">
        <v>5.0</v>
      </c>
    </row>
    <row r="345">
      <c r="A345" s="11">
        <v>68.0</v>
      </c>
      <c r="B345" s="11">
        <v>1.0</v>
      </c>
      <c r="C345" s="11">
        <v>8.0</v>
      </c>
      <c r="D345" s="17">
        <v>33.0</v>
      </c>
      <c r="E345" s="108">
        <v>0.0</v>
      </c>
      <c r="F345" s="109">
        <v>3483.29</v>
      </c>
      <c r="G345" s="109">
        <v>36287.01</v>
      </c>
      <c r="H345" s="109">
        <v>41986.05</v>
      </c>
      <c r="I345" s="109">
        <v>73411.34</v>
      </c>
      <c r="J345" s="109">
        <v>115.27</v>
      </c>
      <c r="K345" s="109">
        <v>-80907.84</v>
      </c>
      <c r="L345" s="109">
        <v>-18057.69</v>
      </c>
      <c r="M345" s="109">
        <v>-51678.41</v>
      </c>
      <c r="N345" s="110">
        <v>71612.0</v>
      </c>
      <c r="O345" s="110">
        <v>71132.0</v>
      </c>
      <c r="P345" s="110">
        <v>51823.0</v>
      </c>
      <c r="Q345" s="110">
        <v>73132.0</v>
      </c>
      <c r="R345" s="50">
        <v>70517.0</v>
      </c>
      <c r="S345" s="111">
        <v>53.0</v>
      </c>
      <c r="T345" s="112">
        <v>18.0</v>
      </c>
      <c r="U345" s="24" t="s">
        <v>48</v>
      </c>
      <c r="V345" s="11" t="s">
        <v>4037</v>
      </c>
      <c r="W345" s="108">
        <v>1.0</v>
      </c>
      <c r="X345" s="113">
        <v>122720.0</v>
      </c>
      <c r="Y345" s="113">
        <v>110922.0</v>
      </c>
      <c r="Z345" s="11">
        <v>103.0</v>
      </c>
      <c r="AA345" s="113">
        <v>120415.0</v>
      </c>
      <c r="AB345" s="109">
        <v>-95518.53</v>
      </c>
      <c r="AC345" s="113">
        <v>100918.0</v>
      </c>
      <c r="AD345" s="108">
        <v>6.0</v>
      </c>
    </row>
    <row r="346">
      <c r="A346" s="11">
        <v>68.0</v>
      </c>
      <c r="B346" s="11">
        <v>2.0</v>
      </c>
      <c r="C346" s="11">
        <v>2.0</v>
      </c>
      <c r="D346" s="17">
        <v>96.0</v>
      </c>
      <c r="E346" s="108">
        <v>7.0</v>
      </c>
      <c r="F346" s="109">
        <v>37912.77</v>
      </c>
      <c r="G346" s="109">
        <v>32177.91</v>
      </c>
      <c r="H346" s="109">
        <v>-72736.1</v>
      </c>
      <c r="I346" s="109">
        <v>-2603.49</v>
      </c>
      <c r="J346" s="109">
        <v>67488.33</v>
      </c>
      <c r="K346" s="109">
        <v>67391.12</v>
      </c>
      <c r="L346" s="109">
        <v>-77507.18</v>
      </c>
      <c r="M346" s="109">
        <v>43096.71</v>
      </c>
      <c r="N346" s="110">
        <v>92612.0</v>
      </c>
      <c r="O346" s="110">
        <v>92132.0</v>
      </c>
      <c r="P346" s="110">
        <v>51323.0</v>
      </c>
      <c r="Q346" s="110">
        <v>93032.0</v>
      </c>
      <c r="R346" s="50">
        <v>81016.0</v>
      </c>
      <c r="S346" s="111">
        <v>50.0</v>
      </c>
      <c r="T346" s="112">
        <v>98.0</v>
      </c>
      <c r="U346" s="24" t="s">
        <v>39</v>
      </c>
      <c r="V346" s="11" t="s">
        <v>4013</v>
      </c>
      <c r="W346" s="108">
        <v>5.0</v>
      </c>
      <c r="X346" s="113">
        <v>51421.0</v>
      </c>
      <c r="Y346" s="113">
        <v>101623.0</v>
      </c>
      <c r="Z346" s="11">
        <v>114.0</v>
      </c>
      <c r="AA346" s="113">
        <v>80617.0</v>
      </c>
      <c r="AB346" s="109">
        <v>84997.88</v>
      </c>
      <c r="AC346" s="113">
        <v>22323.0</v>
      </c>
      <c r="AD346" s="108">
        <v>8.0</v>
      </c>
    </row>
    <row r="347">
      <c r="A347" s="11">
        <v>27.0</v>
      </c>
      <c r="B347" s="11">
        <v>2.0</v>
      </c>
      <c r="C347" s="11">
        <v>8.0</v>
      </c>
      <c r="D347" s="17">
        <v>97.0</v>
      </c>
      <c r="E347" s="108">
        <v>5.0</v>
      </c>
      <c r="F347" s="109">
        <v>-93954.98</v>
      </c>
      <c r="G347" s="109">
        <v>60207.08</v>
      </c>
      <c r="H347" s="109">
        <v>-5144.18</v>
      </c>
      <c r="I347" s="109">
        <v>-48071.22</v>
      </c>
      <c r="J347" s="109">
        <v>22122.72</v>
      </c>
      <c r="K347" s="109">
        <v>-11737.03</v>
      </c>
      <c r="L347" s="109">
        <v>-59517.86</v>
      </c>
      <c r="M347" s="109">
        <v>73060.37</v>
      </c>
      <c r="N347" s="110">
        <v>71710.0</v>
      </c>
      <c r="O347" s="110">
        <v>70940.0</v>
      </c>
      <c r="P347" s="110">
        <v>52423.0</v>
      </c>
      <c r="Q347" s="110">
        <v>73140.0</v>
      </c>
      <c r="R347" s="50">
        <v>31413.0</v>
      </c>
      <c r="S347" s="111">
        <v>50.0</v>
      </c>
      <c r="T347" s="112">
        <v>8.0</v>
      </c>
      <c r="U347" s="24" t="s">
        <v>603</v>
      </c>
      <c r="V347" s="11" t="s">
        <v>3928</v>
      </c>
      <c r="W347" s="108">
        <v>8.0</v>
      </c>
      <c r="X347" s="113">
        <v>12615.0</v>
      </c>
      <c r="Y347" s="113">
        <v>12418.0</v>
      </c>
      <c r="Z347" s="11">
        <v>113.0</v>
      </c>
      <c r="AA347" s="113">
        <v>50422.0</v>
      </c>
      <c r="AB347" s="109">
        <v>-59618.45</v>
      </c>
      <c r="AC347" s="113">
        <v>33017.0</v>
      </c>
      <c r="AD347" s="108">
        <v>6.0</v>
      </c>
    </row>
    <row r="348">
      <c r="A348" s="11">
        <v>68.0</v>
      </c>
      <c r="B348" s="11">
        <v>2.0</v>
      </c>
      <c r="C348" s="11">
        <v>7.0</v>
      </c>
      <c r="D348" s="17">
        <v>98.0</v>
      </c>
      <c r="E348" s="108">
        <v>8.0</v>
      </c>
      <c r="F348" s="109">
        <v>94666.71</v>
      </c>
      <c r="G348" s="109">
        <v>823.06</v>
      </c>
      <c r="H348" s="109">
        <v>-3267.42</v>
      </c>
      <c r="I348" s="109">
        <v>91520.97</v>
      </c>
      <c r="J348" s="109">
        <v>65307.55</v>
      </c>
      <c r="K348" s="109">
        <v>-58208.99</v>
      </c>
      <c r="L348" s="109">
        <v>-55440.77</v>
      </c>
      <c r="M348" s="109">
        <v>-7454.91</v>
      </c>
      <c r="N348" s="110">
        <v>92410.0</v>
      </c>
      <c r="O348" s="110">
        <v>92120.0</v>
      </c>
      <c r="P348" s="110">
        <v>51523.0</v>
      </c>
      <c r="Q348" s="110">
        <v>93020.0</v>
      </c>
      <c r="R348" s="50">
        <v>21318.0</v>
      </c>
      <c r="S348" s="111">
        <v>53.0</v>
      </c>
      <c r="T348" s="112">
        <v>51.0</v>
      </c>
      <c r="U348" s="24" t="s">
        <v>601</v>
      </c>
      <c r="V348" s="11" t="s">
        <v>3876</v>
      </c>
      <c r="W348" s="108">
        <v>3.0</v>
      </c>
      <c r="X348" s="113">
        <v>90417.0</v>
      </c>
      <c r="Y348" s="113">
        <v>82317.0</v>
      </c>
      <c r="Z348" s="11">
        <v>144.0</v>
      </c>
      <c r="AA348" s="113">
        <v>83116.0</v>
      </c>
      <c r="AB348" s="109">
        <v>-67262.87</v>
      </c>
      <c r="AC348" s="113">
        <v>61518.0</v>
      </c>
      <c r="AD348" s="108">
        <v>6.0</v>
      </c>
    </row>
    <row r="349">
      <c r="A349" s="11">
        <v>27.0</v>
      </c>
      <c r="B349" s="11">
        <v>3.0</v>
      </c>
      <c r="C349" s="11">
        <v>3.0</v>
      </c>
      <c r="D349" s="17">
        <v>35.0</v>
      </c>
      <c r="E349" s="108">
        <v>6.0</v>
      </c>
      <c r="F349" s="109">
        <v>-45210.71</v>
      </c>
      <c r="G349" s="109">
        <v>-62651.64</v>
      </c>
      <c r="H349" s="109">
        <v>31111.56</v>
      </c>
      <c r="I349" s="109">
        <v>6740.83</v>
      </c>
      <c r="J349" s="109">
        <v>-60211.65</v>
      </c>
      <c r="K349" s="109">
        <v>52091.36</v>
      </c>
      <c r="L349" s="109">
        <v>-66631.28</v>
      </c>
      <c r="M349" s="109">
        <v>-71710.38</v>
      </c>
      <c r="N349" s="110">
        <v>121910.0</v>
      </c>
      <c r="O349" s="110">
        <v>121620.0</v>
      </c>
      <c r="P349" s="110">
        <v>51823.0</v>
      </c>
      <c r="Q349" s="110">
        <v>123119.0</v>
      </c>
      <c r="R349" s="50">
        <v>113022.0</v>
      </c>
      <c r="S349" s="111">
        <v>55.0</v>
      </c>
      <c r="T349" s="112">
        <v>99.0</v>
      </c>
      <c r="U349" s="24" t="s">
        <v>39</v>
      </c>
      <c r="V349" s="11" t="s">
        <v>3905</v>
      </c>
      <c r="W349" s="108">
        <v>2.0</v>
      </c>
      <c r="X349" s="113">
        <v>101523.0</v>
      </c>
      <c r="Y349" s="113">
        <v>91915.0</v>
      </c>
      <c r="Z349" s="11">
        <v>180.0</v>
      </c>
      <c r="AA349" s="113">
        <v>82216.0</v>
      </c>
      <c r="AB349" s="109">
        <v>82609.38</v>
      </c>
      <c r="AC349" s="113">
        <v>121723.0</v>
      </c>
      <c r="AD349" s="108">
        <v>6.0</v>
      </c>
    </row>
    <row r="350">
      <c r="A350" s="11">
        <v>88.0</v>
      </c>
      <c r="B350" s="11">
        <v>8.0</v>
      </c>
      <c r="C350" s="11">
        <v>3.0</v>
      </c>
      <c r="D350" s="17">
        <v>52.0</v>
      </c>
      <c r="E350" s="108">
        <v>2.0</v>
      </c>
      <c r="F350" s="109">
        <v>17158.4</v>
      </c>
      <c r="G350" s="109">
        <v>96480.21</v>
      </c>
      <c r="H350" s="109">
        <v>90784.46</v>
      </c>
      <c r="I350" s="109">
        <v>39860.55</v>
      </c>
      <c r="J350" s="109">
        <v>-52798.2</v>
      </c>
      <c r="K350" s="109">
        <v>-59413.13</v>
      </c>
      <c r="L350" s="109">
        <v>30390.9</v>
      </c>
      <c r="M350" s="109">
        <v>15020.79</v>
      </c>
      <c r="N350" s="110">
        <v>10710.0</v>
      </c>
      <c r="O350" s="110">
        <v>10520.0</v>
      </c>
      <c r="P350" s="110">
        <v>51023.0</v>
      </c>
      <c r="Q350" s="110">
        <v>13120.0</v>
      </c>
      <c r="R350" s="50">
        <v>100416.0</v>
      </c>
      <c r="S350" s="111">
        <v>55.0</v>
      </c>
      <c r="T350" s="112">
        <v>17.0</v>
      </c>
      <c r="U350" s="24" t="s">
        <v>39</v>
      </c>
      <c r="V350" s="11" t="s">
        <v>4012</v>
      </c>
      <c r="W350" s="108">
        <v>1.0</v>
      </c>
      <c r="X350" s="113">
        <v>71218.0</v>
      </c>
      <c r="Y350" s="113">
        <v>51020.0</v>
      </c>
      <c r="Z350" s="11">
        <v>147.0</v>
      </c>
      <c r="AA350" s="113">
        <v>21918.0</v>
      </c>
      <c r="AB350" s="109">
        <v>37999.57</v>
      </c>
      <c r="AC350" s="113">
        <v>21618.0</v>
      </c>
      <c r="AD350" s="108">
        <v>1.0</v>
      </c>
    </row>
    <row r="351">
      <c r="A351" s="11">
        <v>47.0</v>
      </c>
      <c r="B351" s="11">
        <v>8.0</v>
      </c>
      <c r="C351" s="11">
        <v>7.0</v>
      </c>
      <c r="D351" s="17">
        <v>79.0</v>
      </c>
      <c r="E351" s="108">
        <v>7.0</v>
      </c>
      <c r="F351" s="109">
        <v>3734.78</v>
      </c>
      <c r="G351" s="109">
        <v>-16.99</v>
      </c>
      <c r="H351" s="109">
        <v>-62108.23</v>
      </c>
      <c r="I351" s="109">
        <v>48077.43</v>
      </c>
      <c r="J351" s="109">
        <v>-39773.6</v>
      </c>
      <c r="K351" s="109">
        <v>76016.36</v>
      </c>
      <c r="L351" s="109">
        <v>62034.49</v>
      </c>
      <c r="M351" s="109">
        <v>-14304.79</v>
      </c>
      <c r="N351" s="110">
        <v>111113.0</v>
      </c>
      <c r="O351" s="110">
        <v>110443.0</v>
      </c>
      <c r="P351" s="110">
        <v>51923.0</v>
      </c>
      <c r="Q351" s="110">
        <v>113043.0</v>
      </c>
      <c r="R351" s="50">
        <v>20913.0</v>
      </c>
      <c r="S351" s="111">
        <v>54.0</v>
      </c>
      <c r="T351" s="112">
        <v>86.0</v>
      </c>
      <c r="U351" s="24" t="s">
        <v>603</v>
      </c>
      <c r="V351" s="11" t="s">
        <v>3974</v>
      </c>
      <c r="W351" s="108">
        <v>8.0</v>
      </c>
      <c r="X351" s="113">
        <v>22221.0</v>
      </c>
      <c r="Y351" s="113">
        <v>111118.0</v>
      </c>
      <c r="Z351" s="11">
        <v>152.0</v>
      </c>
      <c r="AA351" s="113">
        <v>52319.0</v>
      </c>
      <c r="AB351" s="109">
        <v>80273.05</v>
      </c>
      <c r="AC351" s="113">
        <v>62520.0</v>
      </c>
      <c r="AD351" s="108">
        <v>3.0</v>
      </c>
    </row>
    <row r="352">
      <c r="A352" s="11">
        <v>68.0</v>
      </c>
      <c r="B352" s="11">
        <v>3.0</v>
      </c>
      <c r="C352" s="11">
        <v>9.0</v>
      </c>
      <c r="D352" s="17">
        <v>12.0</v>
      </c>
      <c r="E352" s="108">
        <v>4.0</v>
      </c>
      <c r="F352" s="109">
        <v>52801.68</v>
      </c>
      <c r="G352" s="109">
        <v>-32796.78</v>
      </c>
      <c r="H352" s="109">
        <v>59008.96</v>
      </c>
      <c r="I352" s="109">
        <v>-34808.58</v>
      </c>
      <c r="J352" s="109">
        <v>85485.04</v>
      </c>
      <c r="K352" s="109">
        <v>68828.89</v>
      </c>
      <c r="L352" s="109">
        <v>-68985.05</v>
      </c>
      <c r="M352" s="109">
        <v>41258.46</v>
      </c>
      <c r="N352" s="110">
        <v>122414.0</v>
      </c>
      <c r="O352" s="110">
        <v>121644.0</v>
      </c>
      <c r="P352" s="110">
        <v>52823.0</v>
      </c>
      <c r="Q352" s="110">
        <v>123143.0</v>
      </c>
      <c r="R352" s="50">
        <v>52221.0</v>
      </c>
      <c r="S352" s="111">
        <v>51.0</v>
      </c>
      <c r="T352" s="112">
        <v>25.0</v>
      </c>
      <c r="U352" s="24" t="s">
        <v>601</v>
      </c>
      <c r="V352" s="11" t="s">
        <v>4038</v>
      </c>
      <c r="W352" s="108">
        <v>9.0</v>
      </c>
      <c r="X352" s="113">
        <v>42314.0</v>
      </c>
      <c r="Y352" s="113">
        <v>100313.0</v>
      </c>
      <c r="Z352" s="11">
        <v>145.0</v>
      </c>
      <c r="AA352" s="113">
        <v>21618.0</v>
      </c>
      <c r="AB352" s="109">
        <v>20880.02</v>
      </c>
      <c r="AC352" s="113">
        <v>91722.0</v>
      </c>
      <c r="AD352" s="108">
        <v>4.0</v>
      </c>
    </row>
    <row r="353">
      <c r="A353" s="11">
        <v>47.0</v>
      </c>
      <c r="B353" s="11">
        <v>9.0</v>
      </c>
      <c r="C353" s="11">
        <v>2.0</v>
      </c>
      <c r="D353" s="17">
        <v>11.0</v>
      </c>
      <c r="E353" s="108">
        <v>0.0</v>
      </c>
      <c r="F353" s="109">
        <v>-86114.3</v>
      </c>
      <c r="G353" s="109">
        <v>11853.38</v>
      </c>
      <c r="H353" s="109">
        <v>-64174.63</v>
      </c>
      <c r="I353" s="109">
        <v>-878.33</v>
      </c>
      <c r="J353" s="109">
        <v>-81023.4</v>
      </c>
      <c r="K353" s="109">
        <v>-60615.34</v>
      </c>
      <c r="L353" s="109">
        <v>43341.11</v>
      </c>
      <c r="M353" s="109">
        <v>-76881.96</v>
      </c>
      <c r="N353" s="110">
        <v>32610.0</v>
      </c>
      <c r="O353" s="110">
        <v>32320.0</v>
      </c>
      <c r="P353" s="110">
        <v>50923.0</v>
      </c>
      <c r="Q353" s="110">
        <v>33120.0</v>
      </c>
      <c r="R353" s="50">
        <v>11318.0</v>
      </c>
      <c r="S353" s="111">
        <v>52.0</v>
      </c>
      <c r="T353" s="112">
        <v>88.0</v>
      </c>
      <c r="U353" s="24" t="s">
        <v>39</v>
      </c>
      <c r="V353" s="11" t="s">
        <v>3897</v>
      </c>
      <c r="W353" s="108">
        <v>9.0</v>
      </c>
      <c r="X353" s="113">
        <v>81823.0</v>
      </c>
      <c r="Y353" s="113">
        <v>122317.0</v>
      </c>
      <c r="Z353" s="11">
        <v>140.0</v>
      </c>
      <c r="AA353" s="113">
        <v>82421.0</v>
      </c>
      <c r="AB353" s="109">
        <v>13638.8</v>
      </c>
      <c r="AC353" s="113">
        <v>42523.0</v>
      </c>
      <c r="AD353" s="108">
        <v>9.0</v>
      </c>
    </row>
    <row r="354">
      <c r="A354" s="11">
        <v>27.0</v>
      </c>
      <c r="B354" s="11">
        <v>4.0</v>
      </c>
      <c r="C354" s="11">
        <v>4.0</v>
      </c>
      <c r="D354" s="17">
        <v>60.0</v>
      </c>
      <c r="E354" s="108">
        <v>2.0</v>
      </c>
      <c r="F354" s="109">
        <v>-24100.29</v>
      </c>
      <c r="G354" s="109">
        <v>68008.01</v>
      </c>
      <c r="H354" s="109">
        <v>-83627.12</v>
      </c>
      <c r="I354" s="109">
        <v>99998.4</v>
      </c>
      <c r="J354" s="109">
        <v>-72889.72</v>
      </c>
      <c r="K354" s="109">
        <v>-89803.38</v>
      </c>
      <c r="L354" s="109">
        <v>83016.72</v>
      </c>
      <c r="M354" s="109">
        <v>-65263.1</v>
      </c>
      <c r="N354" s="110">
        <v>120612.0</v>
      </c>
      <c r="O354" s="110">
        <v>120422.0</v>
      </c>
      <c r="P354" s="110">
        <v>50523.0</v>
      </c>
      <c r="Q354" s="110">
        <v>123121.0</v>
      </c>
      <c r="R354" s="50">
        <v>121321.0</v>
      </c>
      <c r="S354" s="111">
        <v>51.0</v>
      </c>
      <c r="T354" s="112">
        <v>2.0</v>
      </c>
      <c r="U354" s="24" t="s">
        <v>39</v>
      </c>
      <c r="V354" s="11" t="s">
        <v>3917</v>
      </c>
      <c r="W354" s="108">
        <v>3.0</v>
      </c>
      <c r="X354" s="113">
        <v>20421.0</v>
      </c>
      <c r="Y354" s="113">
        <v>100319.0</v>
      </c>
      <c r="Z354" s="11">
        <v>100.0</v>
      </c>
      <c r="AA354" s="113">
        <v>43115.0</v>
      </c>
      <c r="AB354" s="109">
        <v>52032.06</v>
      </c>
      <c r="AC354" s="113">
        <v>50515.0</v>
      </c>
      <c r="AD354" s="108">
        <v>9.0</v>
      </c>
    </row>
    <row r="355">
      <c r="A355" s="11">
        <v>27.0</v>
      </c>
      <c r="B355" s="11">
        <v>4.0</v>
      </c>
      <c r="C355" s="11">
        <v>7.0</v>
      </c>
      <c r="D355" s="17">
        <v>12.0</v>
      </c>
      <c r="E355" s="108">
        <v>9.0</v>
      </c>
      <c r="F355" s="109">
        <v>-76962.57</v>
      </c>
      <c r="G355" s="109">
        <v>57171.78</v>
      </c>
      <c r="H355" s="109">
        <v>-23321.99</v>
      </c>
      <c r="I355" s="109">
        <v>38844.75</v>
      </c>
      <c r="J355" s="109">
        <v>-10141.92</v>
      </c>
      <c r="K355" s="109">
        <v>43275.89</v>
      </c>
      <c r="L355" s="109">
        <v>-18747.48</v>
      </c>
      <c r="M355" s="109">
        <v>-54355.35</v>
      </c>
      <c r="N355" s="110">
        <v>21710.0</v>
      </c>
      <c r="O355" s="110">
        <v>21520.0</v>
      </c>
      <c r="P355" s="110">
        <v>50223.0</v>
      </c>
      <c r="Q355" s="110">
        <v>22920.0</v>
      </c>
      <c r="R355" s="50">
        <v>80417.0</v>
      </c>
      <c r="S355" s="111">
        <v>54.0</v>
      </c>
      <c r="T355" s="112">
        <v>21.0</v>
      </c>
      <c r="U355" s="24" t="s">
        <v>601</v>
      </c>
      <c r="V355" s="11" t="s">
        <v>4001</v>
      </c>
      <c r="W355" s="108">
        <v>8.0</v>
      </c>
      <c r="X355" s="113">
        <v>111913.0</v>
      </c>
      <c r="Y355" s="113">
        <v>72513.0</v>
      </c>
      <c r="Z355" s="11">
        <v>181.0</v>
      </c>
      <c r="AA355" s="113">
        <v>112613.0</v>
      </c>
      <c r="AB355" s="109">
        <v>51804.09</v>
      </c>
      <c r="AC355" s="113">
        <v>110223.0</v>
      </c>
      <c r="AD355" s="108">
        <v>3.0</v>
      </c>
    </row>
    <row r="356">
      <c r="A356" s="11">
        <v>88.0</v>
      </c>
      <c r="B356" s="11">
        <v>9.0</v>
      </c>
      <c r="C356" s="11">
        <v>2.0</v>
      </c>
      <c r="D356" s="17">
        <v>34.0</v>
      </c>
      <c r="E356" s="108">
        <v>7.0</v>
      </c>
      <c r="F356" s="109">
        <v>-41550.46</v>
      </c>
      <c r="G356" s="109">
        <v>42924.71</v>
      </c>
      <c r="H356" s="109">
        <v>-34015.7</v>
      </c>
      <c r="I356" s="109">
        <v>-20465.21</v>
      </c>
      <c r="J356" s="109">
        <v>22655.71</v>
      </c>
      <c r="K356" s="109">
        <v>91458.81</v>
      </c>
      <c r="L356" s="109">
        <v>-8111.4</v>
      </c>
      <c r="M356" s="109">
        <v>-11251.34</v>
      </c>
      <c r="N356" s="110">
        <v>102312.0</v>
      </c>
      <c r="O356" s="110">
        <v>102122.0</v>
      </c>
      <c r="P356" s="110">
        <v>51723.0</v>
      </c>
      <c r="Q356" s="110">
        <v>103122.0</v>
      </c>
      <c r="R356" s="50">
        <v>80721.0</v>
      </c>
      <c r="S356" s="111">
        <v>55.0</v>
      </c>
      <c r="T356" s="112">
        <v>13.0</v>
      </c>
      <c r="U356" s="24" t="s">
        <v>601</v>
      </c>
      <c r="V356" s="11" t="s">
        <v>3900</v>
      </c>
      <c r="W356" s="108">
        <v>8.0</v>
      </c>
      <c r="X356" s="113">
        <v>23121.0</v>
      </c>
      <c r="Y356" s="113">
        <v>80723.0</v>
      </c>
      <c r="Z356" s="11">
        <v>159.0</v>
      </c>
      <c r="AA356" s="113">
        <v>60822.0</v>
      </c>
      <c r="AB356" s="109">
        <v>-57840.82</v>
      </c>
      <c r="AC356" s="113">
        <v>30121.0</v>
      </c>
      <c r="AD356" s="108">
        <v>9.0</v>
      </c>
    </row>
    <row r="357">
      <c r="A357" s="11">
        <v>68.0</v>
      </c>
      <c r="B357" s="11">
        <v>4.0</v>
      </c>
      <c r="C357" s="11">
        <v>6.0</v>
      </c>
      <c r="D357" s="17">
        <v>5.0</v>
      </c>
      <c r="E357" s="108">
        <v>4.0</v>
      </c>
      <c r="F357" s="109">
        <v>92001.86</v>
      </c>
      <c r="G357" s="109">
        <v>-12634.35</v>
      </c>
      <c r="H357" s="109">
        <v>68034.33</v>
      </c>
      <c r="I357" s="109">
        <v>16219.24</v>
      </c>
      <c r="J357" s="109">
        <v>92345.98</v>
      </c>
      <c r="K357" s="109">
        <v>88937.3</v>
      </c>
      <c r="L357" s="109">
        <v>-10870.86</v>
      </c>
      <c r="M357" s="109">
        <v>77926.65</v>
      </c>
      <c r="N357" s="110">
        <v>32212.0</v>
      </c>
      <c r="O357" s="110">
        <v>31542.0</v>
      </c>
      <c r="P357" s="110">
        <v>52123.0</v>
      </c>
      <c r="Q357" s="110">
        <v>33142.0</v>
      </c>
      <c r="R357" s="50">
        <v>111214.0</v>
      </c>
      <c r="S357" s="111">
        <v>53.0</v>
      </c>
      <c r="T357" s="112">
        <v>26.0</v>
      </c>
      <c r="U357" s="24" t="s">
        <v>39</v>
      </c>
      <c r="V357" s="11" t="s">
        <v>3908</v>
      </c>
      <c r="W357" s="108">
        <v>7.0</v>
      </c>
      <c r="X357" s="113">
        <v>82717.0</v>
      </c>
      <c r="Y357" s="113">
        <v>62921.0</v>
      </c>
      <c r="Z357" s="11">
        <v>156.0</v>
      </c>
      <c r="AA357" s="113">
        <v>30415.0</v>
      </c>
      <c r="AB357" s="109">
        <v>55174.27</v>
      </c>
      <c r="AC357" s="113">
        <v>102713.0</v>
      </c>
      <c r="AD357" s="108">
        <v>3.0</v>
      </c>
    </row>
    <row r="358">
      <c r="A358" s="11">
        <v>88.0</v>
      </c>
      <c r="B358" s="11">
        <v>9.0</v>
      </c>
      <c r="C358" s="11">
        <v>6.0</v>
      </c>
      <c r="D358" s="17">
        <v>86.0</v>
      </c>
      <c r="E358" s="108">
        <v>5.0</v>
      </c>
      <c r="F358" s="109">
        <v>-82510.26</v>
      </c>
      <c r="G358" s="109">
        <v>71400.73</v>
      </c>
      <c r="H358" s="109">
        <v>56971.19</v>
      </c>
      <c r="I358" s="109">
        <v>-42021.36</v>
      </c>
      <c r="J358" s="109">
        <v>66935.43</v>
      </c>
      <c r="K358" s="109">
        <v>41682.88</v>
      </c>
      <c r="L358" s="109">
        <v>92448.16</v>
      </c>
      <c r="M358" s="109">
        <v>22194.5</v>
      </c>
      <c r="N358" s="110">
        <v>12113.0</v>
      </c>
      <c r="O358" s="110">
        <v>11923.0</v>
      </c>
      <c r="P358" s="110">
        <v>51523.0</v>
      </c>
      <c r="Q358" s="110">
        <v>13123.0</v>
      </c>
      <c r="R358" s="50">
        <v>61513.0</v>
      </c>
      <c r="S358" s="111">
        <v>55.0</v>
      </c>
      <c r="T358" s="112">
        <v>48.0</v>
      </c>
      <c r="U358" s="24" t="s">
        <v>31</v>
      </c>
      <c r="V358" s="11" t="s">
        <v>4039</v>
      </c>
      <c r="W358" s="108">
        <v>6.0</v>
      </c>
      <c r="X358" s="113">
        <v>62618.0</v>
      </c>
      <c r="Y358" s="113">
        <v>91922.0</v>
      </c>
      <c r="Z358" s="11">
        <v>131.0</v>
      </c>
      <c r="AA358" s="113">
        <v>72114.0</v>
      </c>
      <c r="AB358" s="109">
        <v>-48889.85</v>
      </c>
      <c r="AC358" s="113">
        <v>110418.0</v>
      </c>
      <c r="AD358" s="108">
        <v>1.0</v>
      </c>
    </row>
    <row r="359">
      <c r="A359" s="11">
        <v>27.0</v>
      </c>
      <c r="B359" s="11">
        <v>5.0</v>
      </c>
      <c r="C359" s="11">
        <v>3.0</v>
      </c>
      <c r="D359" s="17">
        <v>42.0</v>
      </c>
      <c r="E359" s="108">
        <v>7.0</v>
      </c>
      <c r="F359" s="109">
        <v>-17095.71</v>
      </c>
      <c r="G359" s="109">
        <v>28911.04</v>
      </c>
      <c r="H359" s="109">
        <v>-13791.27</v>
      </c>
      <c r="I359" s="109">
        <v>45724.97</v>
      </c>
      <c r="J359" s="109">
        <v>27491.3</v>
      </c>
      <c r="K359" s="109">
        <v>92568.32</v>
      </c>
      <c r="L359" s="109">
        <v>39826.26</v>
      </c>
      <c r="M359" s="109">
        <v>73421.58</v>
      </c>
      <c r="N359" s="110">
        <v>103111.0</v>
      </c>
      <c r="O359" s="110">
        <v>102341.0</v>
      </c>
      <c r="P359" s="110">
        <v>52623.0</v>
      </c>
      <c r="Q359" s="110">
        <v>103141.0</v>
      </c>
      <c r="R359" s="50">
        <v>51013.0</v>
      </c>
      <c r="S359" s="111">
        <v>52.0</v>
      </c>
      <c r="T359" s="112">
        <v>22.0</v>
      </c>
      <c r="U359" s="24" t="s">
        <v>601</v>
      </c>
      <c r="V359" s="11" t="s">
        <v>4040</v>
      </c>
      <c r="W359" s="108">
        <v>4.0</v>
      </c>
      <c r="X359" s="113">
        <v>42815.0</v>
      </c>
      <c r="Y359" s="113">
        <v>51423.0</v>
      </c>
      <c r="Z359" s="11">
        <v>124.0</v>
      </c>
      <c r="AA359" s="113">
        <v>101815.0</v>
      </c>
      <c r="AB359" s="109">
        <v>-45238.05</v>
      </c>
      <c r="AC359" s="113">
        <v>51816.0</v>
      </c>
      <c r="AD359" s="108">
        <v>3.0</v>
      </c>
    </row>
    <row r="360">
      <c r="A360" s="11">
        <v>27.0</v>
      </c>
      <c r="B360" s="11">
        <v>5.0</v>
      </c>
      <c r="C360" s="11">
        <v>4.0</v>
      </c>
      <c r="D360" s="17">
        <v>61.0</v>
      </c>
      <c r="E360" s="108">
        <v>3.0</v>
      </c>
      <c r="F360" s="109">
        <v>46768.92</v>
      </c>
      <c r="G360" s="109">
        <v>-57178.09</v>
      </c>
      <c r="H360" s="109">
        <v>-35062.14</v>
      </c>
      <c r="I360" s="109">
        <v>-57354.62</v>
      </c>
      <c r="J360" s="109">
        <v>80027.58</v>
      </c>
      <c r="K360" s="109">
        <v>6812.47</v>
      </c>
      <c r="L360" s="109">
        <v>-6227.63</v>
      </c>
      <c r="M360" s="109">
        <v>-67806.61</v>
      </c>
      <c r="N360" s="110">
        <v>80214.0</v>
      </c>
      <c r="O360" s="110">
        <v>72834.0</v>
      </c>
      <c r="P360" s="110">
        <v>52523.0</v>
      </c>
      <c r="Q360" s="110">
        <v>73134.0</v>
      </c>
      <c r="R360" s="50">
        <v>42914.0</v>
      </c>
      <c r="S360" s="111">
        <v>53.0</v>
      </c>
      <c r="T360" s="112">
        <v>82.0</v>
      </c>
      <c r="U360" s="24" t="s">
        <v>601</v>
      </c>
      <c r="V360" s="11" t="s">
        <v>3900</v>
      </c>
      <c r="W360" s="108">
        <v>5.0</v>
      </c>
      <c r="X360" s="113">
        <v>52219.0</v>
      </c>
      <c r="Y360" s="113">
        <v>51821.0</v>
      </c>
      <c r="Z360" s="11">
        <v>132.0</v>
      </c>
      <c r="AA360" s="113">
        <v>42013.0</v>
      </c>
      <c r="AB360" s="109">
        <v>-45629.31</v>
      </c>
      <c r="AC360" s="113">
        <v>120417.0</v>
      </c>
      <c r="AD360" s="108">
        <v>3.0</v>
      </c>
    </row>
    <row r="361">
      <c r="A361" s="11">
        <v>88.0</v>
      </c>
      <c r="B361" s="11">
        <v>9.0</v>
      </c>
      <c r="C361" s="11">
        <v>9.0</v>
      </c>
      <c r="D361" s="17">
        <v>50.0</v>
      </c>
      <c r="E361" s="108">
        <v>1.0</v>
      </c>
      <c r="F361" s="109">
        <v>31789.64</v>
      </c>
      <c r="G361" s="109">
        <v>84656.56</v>
      </c>
      <c r="H361" s="109">
        <v>17194.62</v>
      </c>
      <c r="I361" s="109">
        <v>42713.52</v>
      </c>
      <c r="J361" s="109">
        <v>86117.93</v>
      </c>
      <c r="K361" s="109">
        <v>39503.44</v>
      </c>
      <c r="L361" s="109">
        <v>93802.79</v>
      </c>
      <c r="M361" s="109">
        <v>96111.26</v>
      </c>
      <c r="N361" s="110">
        <v>112914.0</v>
      </c>
      <c r="O361" s="110">
        <v>112144.0</v>
      </c>
      <c r="P361" s="110">
        <v>52123.0</v>
      </c>
      <c r="Q361" s="110">
        <v>113044.0</v>
      </c>
      <c r="R361" s="50">
        <v>110217.0</v>
      </c>
      <c r="S361" s="111">
        <v>54.0</v>
      </c>
      <c r="T361" s="112">
        <v>35.0</v>
      </c>
      <c r="U361" s="24" t="s">
        <v>39</v>
      </c>
      <c r="V361" s="11" t="s">
        <v>3921</v>
      </c>
      <c r="W361" s="108">
        <v>2.0</v>
      </c>
      <c r="X361" s="113">
        <v>71018.0</v>
      </c>
      <c r="Y361" s="113">
        <v>121321.0</v>
      </c>
      <c r="Z361" s="11">
        <v>145.0</v>
      </c>
      <c r="AA361" s="113">
        <v>80114.0</v>
      </c>
      <c r="AB361" s="109">
        <v>72510.83</v>
      </c>
      <c r="AC361" s="113">
        <v>11016.0</v>
      </c>
      <c r="AD361" s="108">
        <v>7.0</v>
      </c>
    </row>
    <row r="362">
      <c r="A362" s="11">
        <v>27.0</v>
      </c>
      <c r="B362" s="11">
        <v>5.0</v>
      </c>
      <c r="C362" s="11">
        <v>8.0</v>
      </c>
      <c r="D362" s="17">
        <v>83.0</v>
      </c>
      <c r="E362" s="108">
        <v>6.0</v>
      </c>
      <c r="F362" s="109">
        <v>45514.57</v>
      </c>
      <c r="G362" s="109">
        <v>28606.71</v>
      </c>
      <c r="H362" s="109">
        <v>36404.16</v>
      </c>
      <c r="I362" s="109">
        <v>76488.9</v>
      </c>
      <c r="J362" s="109">
        <v>-38361.64</v>
      </c>
      <c r="K362" s="109">
        <v>33290.91</v>
      </c>
      <c r="L362" s="109">
        <v>-90130.0</v>
      </c>
      <c r="M362" s="109">
        <v>-18764.77</v>
      </c>
      <c r="N362" s="110">
        <v>62913.0</v>
      </c>
      <c r="O362" s="110">
        <v>62723.0</v>
      </c>
      <c r="P362" s="110">
        <v>50323.0</v>
      </c>
      <c r="Q362" s="110">
        <v>63023.0</v>
      </c>
      <c r="R362" s="50">
        <v>121821.0</v>
      </c>
      <c r="S362" s="111">
        <v>54.0</v>
      </c>
      <c r="T362" s="112">
        <v>16.0</v>
      </c>
      <c r="U362" s="24" t="s">
        <v>31</v>
      </c>
      <c r="V362" s="11" t="s">
        <v>3925</v>
      </c>
      <c r="W362" s="108">
        <v>9.0</v>
      </c>
      <c r="X362" s="113">
        <v>120423.0</v>
      </c>
      <c r="Y362" s="113">
        <v>51416.0</v>
      </c>
      <c r="Z362" s="11">
        <v>200.0</v>
      </c>
      <c r="AA362" s="113">
        <v>12723.0</v>
      </c>
      <c r="AB362" s="109">
        <v>87104.25</v>
      </c>
      <c r="AC362" s="113">
        <v>80222.0</v>
      </c>
      <c r="AD362" s="108">
        <v>0.0</v>
      </c>
    </row>
    <row r="363">
      <c r="A363" s="11">
        <v>27.0</v>
      </c>
      <c r="B363" s="11">
        <v>6.0</v>
      </c>
      <c r="C363" s="11">
        <v>1.0</v>
      </c>
      <c r="D363" s="17">
        <v>98.0</v>
      </c>
      <c r="E363" s="108">
        <v>3.0</v>
      </c>
      <c r="F363" s="109">
        <v>23242.2</v>
      </c>
      <c r="G363" s="109">
        <v>-43731.29</v>
      </c>
      <c r="H363" s="109">
        <v>-38622.51</v>
      </c>
      <c r="I363" s="109">
        <v>43320.83</v>
      </c>
      <c r="J363" s="109">
        <v>-68143.75</v>
      </c>
      <c r="K363" s="109">
        <v>-62722.51</v>
      </c>
      <c r="L363" s="109">
        <v>-98347.39</v>
      </c>
      <c r="M363" s="109">
        <v>-96383.19</v>
      </c>
      <c r="N363" s="110">
        <v>121912.0</v>
      </c>
      <c r="O363" s="110">
        <v>121242.0</v>
      </c>
      <c r="P363" s="110">
        <v>50123.0</v>
      </c>
      <c r="Q363" s="110">
        <v>123141.0</v>
      </c>
      <c r="R363" s="50">
        <v>32713.0</v>
      </c>
      <c r="S363" s="111">
        <v>54.0</v>
      </c>
      <c r="T363" s="112">
        <v>48.0</v>
      </c>
      <c r="U363" s="24" t="s">
        <v>48</v>
      </c>
      <c r="V363" s="11" t="s">
        <v>4041</v>
      </c>
      <c r="W363" s="108">
        <v>9.0</v>
      </c>
      <c r="X363" s="113">
        <v>11718.0</v>
      </c>
      <c r="Y363" s="113">
        <v>30519.0</v>
      </c>
      <c r="Z363" s="11">
        <v>124.0</v>
      </c>
      <c r="AA363" s="113">
        <v>20113.0</v>
      </c>
      <c r="AB363" s="109">
        <v>40670.8</v>
      </c>
      <c r="AC363" s="113">
        <v>72720.0</v>
      </c>
      <c r="AD363" s="108">
        <v>8.0</v>
      </c>
    </row>
    <row r="364">
      <c r="A364" s="11">
        <v>68.0</v>
      </c>
      <c r="B364" s="11">
        <v>5.0</v>
      </c>
      <c r="C364" s="11">
        <v>9.0</v>
      </c>
      <c r="D364" s="17">
        <v>11.0</v>
      </c>
      <c r="E364" s="108">
        <v>0.0</v>
      </c>
      <c r="F364" s="109">
        <v>98238.23</v>
      </c>
      <c r="G364" s="109">
        <v>94297.58</v>
      </c>
      <c r="H364" s="109">
        <v>-19239.45</v>
      </c>
      <c r="I364" s="109">
        <v>-41842.55</v>
      </c>
      <c r="J364" s="109">
        <v>3118.09</v>
      </c>
      <c r="K364" s="109">
        <v>33949.42</v>
      </c>
      <c r="L364" s="109">
        <v>-8227.63</v>
      </c>
      <c r="M364" s="109">
        <v>-20523.05</v>
      </c>
      <c r="N364" s="110">
        <v>70910.0</v>
      </c>
      <c r="O364" s="110">
        <v>70430.0</v>
      </c>
      <c r="P364" s="110">
        <v>50923.0</v>
      </c>
      <c r="Q364" s="110">
        <v>73130.0</v>
      </c>
      <c r="R364" s="50">
        <v>10417.0</v>
      </c>
      <c r="S364" s="111">
        <v>55.0</v>
      </c>
      <c r="T364" s="112">
        <v>83.0</v>
      </c>
      <c r="U364" s="24" t="s">
        <v>603</v>
      </c>
      <c r="V364" s="11" t="s">
        <v>4003</v>
      </c>
      <c r="W364" s="108">
        <v>5.0</v>
      </c>
      <c r="X364" s="113">
        <v>70518.0</v>
      </c>
      <c r="Y364" s="113">
        <v>111722.0</v>
      </c>
      <c r="Z364" s="11">
        <v>196.0</v>
      </c>
      <c r="AA364" s="113">
        <v>110616.0</v>
      </c>
      <c r="AB364" s="109">
        <v>-81224.14</v>
      </c>
      <c r="AC364" s="113">
        <v>41716.0</v>
      </c>
      <c r="AD364" s="108">
        <v>4.0</v>
      </c>
    </row>
    <row r="365">
      <c r="A365" s="11">
        <v>48.0</v>
      </c>
      <c r="B365" s="11">
        <v>1.0</v>
      </c>
      <c r="C365" s="11">
        <v>2.0</v>
      </c>
      <c r="D365" s="17">
        <v>86.0</v>
      </c>
      <c r="E365" s="108">
        <v>1.0</v>
      </c>
      <c r="F365" s="109">
        <v>-76298.43</v>
      </c>
      <c r="G365" s="109">
        <v>-26073.96</v>
      </c>
      <c r="H365" s="109">
        <v>-54164.49</v>
      </c>
      <c r="I365" s="109">
        <v>-16137.42</v>
      </c>
      <c r="J365" s="109">
        <v>26936.61</v>
      </c>
      <c r="K365" s="109">
        <v>-73623.07</v>
      </c>
      <c r="L365" s="109">
        <v>62223.14</v>
      </c>
      <c r="M365" s="109">
        <v>-46894.73</v>
      </c>
      <c r="N365" s="110">
        <v>111712.0</v>
      </c>
      <c r="O365" s="110">
        <v>111522.0</v>
      </c>
      <c r="P365" s="110">
        <v>52423.0</v>
      </c>
      <c r="Q365" s="110">
        <v>113022.0</v>
      </c>
      <c r="R365" s="50">
        <v>12213.0</v>
      </c>
      <c r="S365" s="111">
        <v>54.0</v>
      </c>
      <c r="T365" s="112">
        <v>3.0</v>
      </c>
      <c r="U365" s="24" t="s">
        <v>603</v>
      </c>
      <c r="V365" s="11" t="s">
        <v>3913</v>
      </c>
      <c r="W365" s="108">
        <v>6.0</v>
      </c>
      <c r="X365" s="113">
        <v>102817.0</v>
      </c>
      <c r="Y365" s="113">
        <v>30216.0</v>
      </c>
      <c r="Z365" s="11">
        <v>107.0</v>
      </c>
      <c r="AA365" s="113">
        <v>12323.0</v>
      </c>
      <c r="AB365" s="109">
        <v>-74639.36</v>
      </c>
      <c r="AC365" s="113">
        <v>90122.0</v>
      </c>
      <c r="AD365" s="108">
        <v>2.0</v>
      </c>
    </row>
    <row r="366">
      <c r="A366" s="11">
        <v>27.0</v>
      </c>
      <c r="B366" s="11">
        <v>6.0</v>
      </c>
      <c r="C366" s="11">
        <v>4.0</v>
      </c>
      <c r="D366" s="17">
        <v>16.0</v>
      </c>
      <c r="E366" s="108">
        <v>9.0</v>
      </c>
      <c r="F366" s="109">
        <v>89163.49</v>
      </c>
      <c r="G366" s="109">
        <v>40362.06</v>
      </c>
      <c r="H366" s="109">
        <v>7212.7</v>
      </c>
      <c r="I366" s="109">
        <v>-47322.17</v>
      </c>
      <c r="J366" s="109">
        <v>-32268.24</v>
      </c>
      <c r="K366" s="109">
        <v>77931.05</v>
      </c>
      <c r="L366" s="109">
        <v>32237.15</v>
      </c>
      <c r="M366" s="109">
        <v>-13690.9</v>
      </c>
      <c r="N366" s="110">
        <v>51712.0</v>
      </c>
      <c r="O366" s="110">
        <v>51522.0</v>
      </c>
      <c r="P366" s="110">
        <v>52123.0</v>
      </c>
      <c r="Q366" s="110">
        <v>53122.0</v>
      </c>
      <c r="R366" s="50">
        <v>22115.0</v>
      </c>
      <c r="S366" s="111">
        <v>55.0</v>
      </c>
      <c r="T366" s="112">
        <v>67.0</v>
      </c>
      <c r="U366" s="24" t="s">
        <v>48</v>
      </c>
      <c r="V366" s="11" t="s">
        <v>3936</v>
      </c>
      <c r="W366" s="108">
        <v>1.0</v>
      </c>
      <c r="X366" s="113">
        <v>51522.0</v>
      </c>
      <c r="Y366" s="113">
        <v>91322.0</v>
      </c>
      <c r="Z366" s="11">
        <v>121.0</v>
      </c>
      <c r="AA366" s="113">
        <v>102923.0</v>
      </c>
      <c r="AB366" s="109">
        <v>38528.36</v>
      </c>
      <c r="AC366" s="113">
        <v>10416.0</v>
      </c>
      <c r="AD366" s="108">
        <v>6.0</v>
      </c>
    </row>
    <row r="367">
      <c r="A367" s="11">
        <v>68.0</v>
      </c>
      <c r="B367" s="11">
        <v>6.0</v>
      </c>
      <c r="C367" s="11">
        <v>3.0</v>
      </c>
      <c r="D367" s="17">
        <v>28.0</v>
      </c>
      <c r="E367" s="108">
        <v>8.0</v>
      </c>
      <c r="F367" s="109">
        <v>-14314.21</v>
      </c>
      <c r="G367" s="109">
        <v>93045.98</v>
      </c>
      <c r="H367" s="109">
        <v>12818.26</v>
      </c>
      <c r="I367" s="109">
        <v>73945.83</v>
      </c>
      <c r="J367" s="109">
        <v>79919.87</v>
      </c>
      <c r="K367" s="109">
        <v>89234.68</v>
      </c>
      <c r="L367" s="109">
        <v>57885.4</v>
      </c>
      <c r="M367" s="109">
        <v>28040.0</v>
      </c>
      <c r="N367" s="110">
        <v>20314.0</v>
      </c>
      <c r="O367" s="110">
        <v>12744.0</v>
      </c>
      <c r="P367" s="110">
        <v>52723.0</v>
      </c>
      <c r="Q367" s="110">
        <v>13144.0</v>
      </c>
      <c r="R367" s="50">
        <v>40615.0</v>
      </c>
      <c r="S367" s="111">
        <v>55.0</v>
      </c>
      <c r="T367" s="112">
        <v>20.0</v>
      </c>
      <c r="U367" s="24" t="s">
        <v>39</v>
      </c>
      <c r="V367" s="11" t="s">
        <v>4042</v>
      </c>
      <c r="W367" s="108">
        <v>3.0</v>
      </c>
      <c r="X367" s="113">
        <v>30517.0</v>
      </c>
      <c r="Y367" s="113">
        <v>60315.0</v>
      </c>
      <c r="Z367" s="11">
        <v>143.0</v>
      </c>
      <c r="AA367" s="113">
        <v>121217.0</v>
      </c>
      <c r="AB367" s="109">
        <v>-86363.42</v>
      </c>
      <c r="AC367" s="113">
        <v>21515.0</v>
      </c>
      <c r="AD367" s="108">
        <v>1.0</v>
      </c>
    </row>
    <row r="368">
      <c r="A368" s="11">
        <v>89.0</v>
      </c>
      <c r="B368" s="11">
        <v>1.0</v>
      </c>
      <c r="C368" s="11">
        <v>3.0</v>
      </c>
      <c r="D368" s="17">
        <v>13.0</v>
      </c>
      <c r="E368" s="108">
        <v>2.0</v>
      </c>
      <c r="F368" s="109">
        <v>-51713.97</v>
      </c>
      <c r="G368" s="109">
        <v>-5282.44</v>
      </c>
      <c r="H368" s="109">
        <v>55026.36</v>
      </c>
      <c r="I368" s="109">
        <v>-31439.12</v>
      </c>
      <c r="J368" s="109">
        <v>55223.12</v>
      </c>
      <c r="K368" s="109">
        <v>-45204.75</v>
      </c>
      <c r="L368" s="109">
        <v>-66971.63</v>
      </c>
      <c r="M368" s="109">
        <v>-54507.67</v>
      </c>
      <c r="N368" s="110">
        <v>21213.0</v>
      </c>
      <c r="O368" s="110">
        <v>20733.0</v>
      </c>
      <c r="P368" s="110">
        <v>52423.0</v>
      </c>
      <c r="Q368" s="110">
        <v>22833.0</v>
      </c>
      <c r="R368" s="50">
        <v>21920.0</v>
      </c>
      <c r="S368" s="111">
        <v>52.0</v>
      </c>
      <c r="T368" s="112">
        <v>19.0</v>
      </c>
      <c r="U368" s="24" t="s">
        <v>31</v>
      </c>
      <c r="V368" s="11" t="s">
        <v>3994</v>
      </c>
      <c r="W368" s="108">
        <v>6.0</v>
      </c>
      <c r="X368" s="113">
        <v>61216.0</v>
      </c>
      <c r="Y368" s="113">
        <v>60516.0</v>
      </c>
      <c r="Z368" s="11">
        <v>108.0</v>
      </c>
      <c r="AA368" s="113">
        <v>70916.0</v>
      </c>
      <c r="AB368" s="109">
        <v>-7600.5</v>
      </c>
      <c r="AC368" s="113">
        <v>21814.0</v>
      </c>
      <c r="AD368" s="108">
        <v>9.0</v>
      </c>
    </row>
    <row r="369">
      <c r="A369" s="11">
        <v>27.0</v>
      </c>
      <c r="B369" s="11">
        <v>7.0</v>
      </c>
      <c r="C369" s="11">
        <v>1.0</v>
      </c>
      <c r="D369" s="17">
        <v>86.0</v>
      </c>
      <c r="E369" s="108">
        <v>1.0</v>
      </c>
      <c r="F369" s="109">
        <v>98495.24</v>
      </c>
      <c r="G369" s="109">
        <v>62903.35</v>
      </c>
      <c r="H369" s="109">
        <v>84150.93</v>
      </c>
      <c r="I369" s="109">
        <v>-82621.25</v>
      </c>
      <c r="J369" s="109">
        <v>42055.3</v>
      </c>
      <c r="K369" s="109">
        <v>98209.99</v>
      </c>
      <c r="L369" s="109">
        <v>63305.31</v>
      </c>
      <c r="M369" s="109">
        <v>49619.44</v>
      </c>
      <c r="N369" s="110">
        <v>112511.0</v>
      </c>
      <c r="O369" s="110">
        <v>111741.0</v>
      </c>
      <c r="P369" s="110">
        <v>51923.0</v>
      </c>
      <c r="Q369" s="110">
        <v>113041.0</v>
      </c>
      <c r="R369" s="50">
        <v>61819.0</v>
      </c>
      <c r="S369" s="111">
        <v>52.0</v>
      </c>
      <c r="T369" s="112">
        <v>6.0</v>
      </c>
      <c r="U369" s="24" t="s">
        <v>603</v>
      </c>
      <c r="V369" s="11" t="s">
        <v>3897</v>
      </c>
      <c r="W369" s="108">
        <v>2.0</v>
      </c>
      <c r="X369" s="113">
        <v>32418.0</v>
      </c>
      <c r="Y369" s="113">
        <v>71516.0</v>
      </c>
      <c r="Z369" s="11">
        <v>157.0</v>
      </c>
      <c r="AA369" s="113">
        <v>101714.0</v>
      </c>
      <c r="AB369" s="109">
        <v>37062.68</v>
      </c>
      <c r="AC369" s="113">
        <v>123120.0</v>
      </c>
      <c r="AD369" s="108">
        <v>3.0</v>
      </c>
    </row>
    <row r="370">
      <c r="A370" s="11">
        <v>68.0</v>
      </c>
      <c r="B370" s="11">
        <v>6.0</v>
      </c>
      <c r="C370" s="11">
        <v>7.0</v>
      </c>
      <c r="D370" s="17">
        <v>93.0</v>
      </c>
      <c r="E370" s="108">
        <v>3.0</v>
      </c>
      <c r="F370" s="109">
        <v>-28754.81</v>
      </c>
      <c r="G370" s="109">
        <v>-75337.12</v>
      </c>
      <c r="H370" s="109">
        <v>-81728.52</v>
      </c>
      <c r="I370" s="109">
        <v>-65396.51</v>
      </c>
      <c r="J370" s="109">
        <v>9215.75</v>
      </c>
      <c r="K370" s="109">
        <v>94326.79</v>
      </c>
      <c r="L370" s="109">
        <v>-30506.18</v>
      </c>
      <c r="M370" s="109">
        <v>72639.71</v>
      </c>
      <c r="N370" s="110">
        <v>41614.0</v>
      </c>
      <c r="O370" s="110">
        <v>40844.0</v>
      </c>
      <c r="P370" s="110">
        <v>50723.0</v>
      </c>
      <c r="Q370" s="110">
        <v>43044.0</v>
      </c>
      <c r="R370" s="50">
        <v>120921.0</v>
      </c>
      <c r="S370" s="111">
        <v>54.0</v>
      </c>
      <c r="T370" s="112">
        <v>36.0</v>
      </c>
      <c r="U370" s="24" t="s">
        <v>39</v>
      </c>
      <c r="V370" s="11" t="s">
        <v>4043</v>
      </c>
      <c r="W370" s="108">
        <v>2.0</v>
      </c>
      <c r="X370" s="113">
        <v>11618.0</v>
      </c>
      <c r="Y370" s="113">
        <v>51915.0</v>
      </c>
      <c r="Z370" s="11">
        <v>185.0</v>
      </c>
      <c r="AA370" s="113">
        <v>30117.0</v>
      </c>
      <c r="AB370" s="109">
        <v>-84078.56</v>
      </c>
      <c r="AC370" s="113">
        <v>30421.0</v>
      </c>
      <c r="AD370" s="108">
        <v>1.0</v>
      </c>
    </row>
    <row r="371">
      <c r="A371" s="11">
        <v>68.0</v>
      </c>
      <c r="B371" s="11">
        <v>6.0</v>
      </c>
      <c r="C371" s="11">
        <v>9.0</v>
      </c>
      <c r="D371" s="17">
        <v>57.0</v>
      </c>
      <c r="E371" s="108">
        <v>0.0</v>
      </c>
      <c r="F371" s="109">
        <v>44367.94</v>
      </c>
      <c r="G371" s="109">
        <v>20763.0</v>
      </c>
      <c r="H371" s="109">
        <v>-20298.99</v>
      </c>
      <c r="I371" s="109">
        <v>-84423.16</v>
      </c>
      <c r="J371" s="109">
        <v>97547.7</v>
      </c>
      <c r="K371" s="109">
        <v>-93295.02</v>
      </c>
      <c r="L371" s="109">
        <v>-9861.82</v>
      </c>
      <c r="M371" s="109">
        <v>-45728.78</v>
      </c>
      <c r="N371" s="110">
        <v>72310.0</v>
      </c>
      <c r="O371" s="110">
        <v>71540.0</v>
      </c>
      <c r="P371" s="110">
        <v>50123.0</v>
      </c>
      <c r="Q371" s="110">
        <v>73140.0</v>
      </c>
      <c r="R371" s="50">
        <v>110822.0</v>
      </c>
      <c r="S371" s="111">
        <v>55.0</v>
      </c>
      <c r="T371" s="112">
        <v>29.0</v>
      </c>
      <c r="U371" s="24" t="s">
        <v>603</v>
      </c>
      <c r="V371" s="11" t="s">
        <v>3851</v>
      </c>
      <c r="W371" s="108">
        <v>1.0</v>
      </c>
      <c r="X371" s="113">
        <v>120123.0</v>
      </c>
      <c r="Y371" s="113">
        <v>30913.0</v>
      </c>
      <c r="Z371" s="11">
        <v>103.0</v>
      </c>
      <c r="AA371" s="113">
        <v>82417.0</v>
      </c>
      <c r="AB371" s="109">
        <v>4787.62</v>
      </c>
      <c r="AC371" s="113">
        <v>101316.0</v>
      </c>
      <c r="AD371" s="108">
        <v>4.0</v>
      </c>
    </row>
    <row r="372">
      <c r="A372" s="11">
        <v>68.0</v>
      </c>
      <c r="B372" s="11">
        <v>6.0</v>
      </c>
      <c r="C372" s="11">
        <v>8.0</v>
      </c>
      <c r="D372" s="17">
        <v>35.0</v>
      </c>
      <c r="E372" s="108">
        <v>7.0</v>
      </c>
      <c r="F372" s="109">
        <v>-94986.2</v>
      </c>
      <c r="G372" s="109">
        <v>57397.76</v>
      </c>
      <c r="H372" s="109">
        <v>30054.72</v>
      </c>
      <c r="I372" s="109">
        <v>85433.85</v>
      </c>
      <c r="J372" s="109">
        <v>-82921.04</v>
      </c>
      <c r="K372" s="109">
        <v>92810.42</v>
      </c>
      <c r="L372" s="109">
        <v>11644.01</v>
      </c>
      <c r="M372" s="109">
        <v>73429.25</v>
      </c>
      <c r="N372" s="110">
        <v>10612.0</v>
      </c>
      <c r="O372" s="110">
        <v>10132.0</v>
      </c>
      <c r="P372" s="110">
        <v>50923.0</v>
      </c>
      <c r="Q372" s="110">
        <v>13132.0</v>
      </c>
      <c r="R372" s="50">
        <v>61413.0</v>
      </c>
      <c r="S372" s="111">
        <v>50.0</v>
      </c>
      <c r="T372" s="112">
        <v>7.0</v>
      </c>
      <c r="U372" s="24" t="s">
        <v>603</v>
      </c>
      <c r="V372" s="11" t="s">
        <v>3964</v>
      </c>
      <c r="W372" s="108">
        <v>3.0</v>
      </c>
      <c r="X372" s="113">
        <v>10214.0</v>
      </c>
      <c r="Y372" s="113">
        <v>90916.0</v>
      </c>
      <c r="Z372" s="11">
        <v>158.0</v>
      </c>
      <c r="AA372" s="113">
        <v>31114.0</v>
      </c>
      <c r="AB372" s="109">
        <v>-72239.68</v>
      </c>
      <c r="AC372" s="113">
        <v>62222.0</v>
      </c>
      <c r="AD372" s="108">
        <v>7.0</v>
      </c>
    </row>
    <row r="373">
      <c r="A373" s="11">
        <v>27.0</v>
      </c>
      <c r="B373" s="11">
        <v>7.0</v>
      </c>
      <c r="C373" s="11">
        <v>5.0</v>
      </c>
      <c r="D373" s="17">
        <v>94.0</v>
      </c>
      <c r="E373" s="108">
        <v>4.0</v>
      </c>
      <c r="F373" s="109">
        <v>64478.78</v>
      </c>
      <c r="G373" s="109">
        <v>-93381.14</v>
      </c>
      <c r="H373" s="109">
        <v>-77764.08</v>
      </c>
      <c r="I373" s="109">
        <v>33267.6</v>
      </c>
      <c r="J373" s="109">
        <v>97304.48</v>
      </c>
      <c r="K373" s="109">
        <v>61021.95</v>
      </c>
      <c r="L373" s="109">
        <v>48857.91</v>
      </c>
      <c r="M373" s="109">
        <v>47794.86</v>
      </c>
      <c r="N373" s="110">
        <v>60711.0</v>
      </c>
      <c r="O373" s="110">
        <v>60421.0</v>
      </c>
      <c r="P373" s="110">
        <v>52523.0</v>
      </c>
      <c r="Q373" s="110">
        <v>63021.0</v>
      </c>
      <c r="R373" s="50">
        <v>110813.0</v>
      </c>
      <c r="S373" s="111">
        <v>51.0</v>
      </c>
      <c r="T373" s="112">
        <v>98.0</v>
      </c>
      <c r="U373" s="24" t="s">
        <v>603</v>
      </c>
      <c r="V373" s="11" t="s">
        <v>4017</v>
      </c>
      <c r="W373" s="108">
        <v>5.0</v>
      </c>
      <c r="X373" s="113">
        <v>13114.0</v>
      </c>
      <c r="Y373" s="113">
        <v>90413.0</v>
      </c>
      <c r="Z373" s="11">
        <v>149.0</v>
      </c>
      <c r="AA373" s="113">
        <v>51218.0</v>
      </c>
      <c r="AB373" s="109">
        <v>-13310.43</v>
      </c>
      <c r="AC373" s="113">
        <v>60719.0</v>
      </c>
      <c r="AD373" s="108">
        <v>2.0</v>
      </c>
    </row>
    <row r="374">
      <c r="A374" s="11">
        <v>48.0</v>
      </c>
      <c r="B374" s="11">
        <v>2.0</v>
      </c>
      <c r="C374" s="11">
        <v>5.0</v>
      </c>
      <c r="D374" s="17">
        <v>81.0</v>
      </c>
      <c r="E374" s="108">
        <v>1.0</v>
      </c>
      <c r="F374" s="109">
        <v>-65878.98</v>
      </c>
      <c r="G374" s="109">
        <v>-16979.41</v>
      </c>
      <c r="H374" s="109">
        <v>9907.58</v>
      </c>
      <c r="I374" s="109">
        <v>-24738.73</v>
      </c>
      <c r="J374" s="109">
        <v>10894.53</v>
      </c>
      <c r="K374" s="109">
        <v>75241.18</v>
      </c>
      <c r="L374" s="109">
        <v>-40019.34</v>
      </c>
      <c r="M374" s="109">
        <v>-79314.95</v>
      </c>
      <c r="N374" s="110">
        <v>10114.0</v>
      </c>
      <c r="O374" s="110">
        <v>123023.0</v>
      </c>
      <c r="P374" s="110">
        <v>50423.0</v>
      </c>
      <c r="Q374" s="110">
        <v>123122.0</v>
      </c>
      <c r="R374" s="50">
        <v>100622.0</v>
      </c>
      <c r="S374" s="111">
        <v>55.0</v>
      </c>
      <c r="T374" s="112">
        <v>93.0</v>
      </c>
      <c r="U374" s="24" t="s">
        <v>39</v>
      </c>
      <c r="V374" s="11" t="s">
        <v>3870</v>
      </c>
      <c r="W374" s="108">
        <v>3.0</v>
      </c>
      <c r="X374" s="113">
        <v>50421.0</v>
      </c>
      <c r="Y374" s="113">
        <v>90218.0</v>
      </c>
      <c r="Z374" s="11">
        <v>139.0</v>
      </c>
      <c r="AA374" s="113">
        <v>32917.0</v>
      </c>
      <c r="AB374" s="109">
        <v>-16329.06</v>
      </c>
      <c r="AC374" s="113">
        <v>121823.0</v>
      </c>
      <c r="AD374" s="108">
        <v>1.0</v>
      </c>
    </row>
    <row r="375">
      <c r="A375" s="11">
        <v>27.0</v>
      </c>
      <c r="B375" s="11">
        <v>7.0</v>
      </c>
      <c r="C375" s="11">
        <v>9.0</v>
      </c>
      <c r="D375" s="17">
        <v>67.0</v>
      </c>
      <c r="E375" s="108">
        <v>8.0</v>
      </c>
      <c r="F375" s="109">
        <v>90232.02</v>
      </c>
      <c r="G375" s="109">
        <v>86590.81</v>
      </c>
      <c r="H375" s="109">
        <v>-33884.85</v>
      </c>
      <c r="I375" s="109">
        <v>12011.22</v>
      </c>
      <c r="J375" s="109">
        <v>-39220.14</v>
      </c>
      <c r="K375" s="109">
        <v>-6768.05</v>
      </c>
      <c r="L375" s="109">
        <v>67654.63</v>
      </c>
      <c r="M375" s="109">
        <v>-42772.01</v>
      </c>
      <c r="N375" s="110">
        <v>120714.0</v>
      </c>
      <c r="O375" s="110">
        <v>120234.0</v>
      </c>
      <c r="P375" s="110">
        <v>53023.0</v>
      </c>
      <c r="Q375" s="110">
        <v>123133.0</v>
      </c>
      <c r="R375" s="50">
        <v>72119.0</v>
      </c>
      <c r="S375" s="111">
        <v>52.0</v>
      </c>
      <c r="T375" s="112">
        <v>7.0</v>
      </c>
      <c r="U375" s="24" t="s">
        <v>31</v>
      </c>
      <c r="V375" s="11" t="s">
        <v>4044</v>
      </c>
      <c r="W375" s="108">
        <v>5.0</v>
      </c>
      <c r="X375" s="113">
        <v>62316.0</v>
      </c>
      <c r="Y375" s="113">
        <v>31417.0</v>
      </c>
      <c r="Z375" s="11">
        <v>159.0</v>
      </c>
      <c r="AA375" s="113">
        <v>20420.0</v>
      </c>
      <c r="AB375" s="109">
        <v>-19327.2</v>
      </c>
      <c r="AC375" s="113">
        <v>72921.0</v>
      </c>
      <c r="AD375" s="108">
        <v>1.0</v>
      </c>
    </row>
    <row r="376">
      <c r="A376" s="11">
        <v>48.0</v>
      </c>
      <c r="B376" s="11">
        <v>2.0</v>
      </c>
      <c r="C376" s="11">
        <v>9.0</v>
      </c>
      <c r="D376" s="17">
        <v>51.0</v>
      </c>
      <c r="E376" s="108">
        <v>3.0</v>
      </c>
      <c r="F376" s="109">
        <v>22309.76</v>
      </c>
      <c r="G376" s="109">
        <v>24744.09</v>
      </c>
      <c r="H376" s="109">
        <v>10766.18</v>
      </c>
      <c r="I376" s="109">
        <v>-58828.26</v>
      </c>
      <c r="J376" s="109">
        <v>44078.77</v>
      </c>
      <c r="K376" s="109">
        <v>-12001.57</v>
      </c>
      <c r="L376" s="109">
        <v>-68088.71</v>
      </c>
      <c r="M376" s="109">
        <v>55180.92</v>
      </c>
      <c r="N376" s="110">
        <v>111911.0</v>
      </c>
      <c r="O376" s="110">
        <v>111141.0</v>
      </c>
      <c r="P376" s="110">
        <v>52823.0</v>
      </c>
      <c r="Q376" s="110">
        <v>113041.0</v>
      </c>
      <c r="R376" s="50">
        <v>11515.0</v>
      </c>
      <c r="S376" s="111">
        <v>52.0</v>
      </c>
      <c r="T376" s="112">
        <v>79.0</v>
      </c>
      <c r="U376" s="24" t="s">
        <v>39</v>
      </c>
      <c r="V376" s="11" t="s">
        <v>3981</v>
      </c>
      <c r="W376" s="108">
        <v>4.0</v>
      </c>
      <c r="X376" s="113">
        <v>71222.0</v>
      </c>
      <c r="Y376" s="113">
        <v>52114.0</v>
      </c>
      <c r="Z376" s="11">
        <v>179.0</v>
      </c>
      <c r="AA376" s="113">
        <v>30518.0</v>
      </c>
      <c r="AB376" s="109">
        <v>-30545.46</v>
      </c>
      <c r="AC376" s="113">
        <v>80520.0</v>
      </c>
      <c r="AD376" s="108">
        <v>1.0</v>
      </c>
    </row>
    <row r="377">
      <c r="A377" s="11">
        <v>27.0</v>
      </c>
      <c r="B377" s="11">
        <v>8.0</v>
      </c>
      <c r="C377" s="11">
        <v>1.0</v>
      </c>
      <c r="D377" s="17">
        <v>3.0</v>
      </c>
      <c r="E377" s="108">
        <v>8.0</v>
      </c>
      <c r="F377" s="109">
        <v>-6112.66</v>
      </c>
      <c r="G377" s="109">
        <v>9810.07</v>
      </c>
      <c r="H377" s="109">
        <v>85465.49</v>
      </c>
      <c r="I377" s="109">
        <v>7795.09</v>
      </c>
      <c r="J377" s="109">
        <v>-93605.36</v>
      </c>
      <c r="K377" s="109">
        <v>-2588.5</v>
      </c>
      <c r="L377" s="109">
        <v>37124.09</v>
      </c>
      <c r="M377" s="109">
        <v>-28562.55</v>
      </c>
      <c r="N377" s="110">
        <v>82712.0</v>
      </c>
      <c r="O377" s="110">
        <v>82042.0</v>
      </c>
      <c r="P377" s="110">
        <v>50223.0</v>
      </c>
      <c r="Q377" s="110">
        <v>83142.0</v>
      </c>
      <c r="R377" s="50">
        <v>43020.0</v>
      </c>
      <c r="S377" s="111">
        <v>50.0</v>
      </c>
      <c r="T377" s="112">
        <v>85.0</v>
      </c>
      <c r="U377" s="24" t="s">
        <v>603</v>
      </c>
      <c r="V377" s="11" t="s">
        <v>4043</v>
      </c>
      <c r="W377" s="108">
        <v>5.0</v>
      </c>
      <c r="X377" s="113">
        <v>32017.0</v>
      </c>
      <c r="Y377" s="113">
        <v>90113.0</v>
      </c>
      <c r="Z377" s="11">
        <v>183.0</v>
      </c>
      <c r="AA377" s="113">
        <v>91114.0</v>
      </c>
      <c r="AB377" s="109">
        <v>94666.63</v>
      </c>
      <c r="AC377" s="113">
        <v>21717.0</v>
      </c>
      <c r="AD377" s="108">
        <v>9.0</v>
      </c>
    </row>
    <row r="378">
      <c r="A378" s="11">
        <v>89.0</v>
      </c>
      <c r="B378" s="11">
        <v>2.0</v>
      </c>
      <c r="C378" s="11">
        <v>8.0</v>
      </c>
      <c r="D378" s="17">
        <v>95.0</v>
      </c>
      <c r="E378" s="108">
        <v>1.0</v>
      </c>
      <c r="F378" s="109">
        <v>-81303.19</v>
      </c>
      <c r="G378" s="109">
        <v>-98827.73</v>
      </c>
      <c r="H378" s="109">
        <v>65655.0</v>
      </c>
      <c r="I378" s="109">
        <v>-42031.21</v>
      </c>
      <c r="J378" s="109">
        <v>99694.15</v>
      </c>
      <c r="K378" s="109">
        <v>80404.12</v>
      </c>
      <c r="L378" s="109">
        <v>15441.7</v>
      </c>
      <c r="M378" s="109">
        <v>10597.33</v>
      </c>
      <c r="N378" s="110">
        <v>62411.0</v>
      </c>
      <c r="O378" s="110">
        <v>62121.0</v>
      </c>
      <c r="P378" s="110">
        <v>50823.0</v>
      </c>
      <c r="Q378" s="110">
        <v>63021.0</v>
      </c>
      <c r="R378" s="50">
        <v>20915.0</v>
      </c>
      <c r="S378" s="111">
        <v>54.0</v>
      </c>
      <c r="T378" s="112">
        <v>10.0</v>
      </c>
      <c r="U378" s="24" t="s">
        <v>31</v>
      </c>
      <c r="V378" s="11" t="s">
        <v>4045</v>
      </c>
      <c r="W378" s="108">
        <v>6.0</v>
      </c>
      <c r="X378" s="113">
        <v>42713.0</v>
      </c>
      <c r="Y378" s="113">
        <v>81522.0</v>
      </c>
      <c r="Z378" s="11">
        <v>156.0</v>
      </c>
      <c r="AA378" s="113">
        <v>21417.0</v>
      </c>
      <c r="AB378" s="109">
        <v>-85512.37</v>
      </c>
      <c r="AC378" s="113">
        <v>100217.0</v>
      </c>
      <c r="AD378" s="108">
        <v>4.0</v>
      </c>
    </row>
    <row r="379">
      <c r="A379" s="11">
        <v>48.0</v>
      </c>
      <c r="B379" s="11">
        <v>3.0</v>
      </c>
      <c r="C379" s="11">
        <v>3.0</v>
      </c>
      <c r="D379" s="17">
        <v>97.0</v>
      </c>
      <c r="E379" s="108">
        <v>6.0</v>
      </c>
      <c r="F379" s="109">
        <v>14996.31</v>
      </c>
      <c r="G379" s="109">
        <v>5966.79</v>
      </c>
      <c r="H379" s="109">
        <v>-88423.62</v>
      </c>
      <c r="I379" s="109">
        <v>-26991.36</v>
      </c>
      <c r="J379" s="109">
        <v>-65000.63</v>
      </c>
      <c r="K379" s="109">
        <v>56294.18</v>
      </c>
      <c r="L379" s="109">
        <v>-51562.51</v>
      </c>
      <c r="M379" s="109">
        <v>13462.08</v>
      </c>
      <c r="N379" s="110">
        <v>101510.0</v>
      </c>
      <c r="O379" s="110">
        <v>101220.0</v>
      </c>
      <c r="P379" s="110">
        <v>50623.0</v>
      </c>
      <c r="Q379" s="110">
        <v>103120.0</v>
      </c>
      <c r="R379" s="50">
        <v>111918.0</v>
      </c>
      <c r="S379" s="111">
        <v>54.0</v>
      </c>
      <c r="T379" s="112">
        <v>5.0</v>
      </c>
      <c r="U379" s="24" t="s">
        <v>601</v>
      </c>
      <c r="V379" s="11" t="s">
        <v>3853</v>
      </c>
      <c r="W379" s="108">
        <v>5.0</v>
      </c>
      <c r="X379" s="113">
        <v>121220.0</v>
      </c>
      <c r="Y379" s="113">
        <v>80322.0</v>
      </c>
      <c r="Z379" s="11">
        <v>168.0</v>
      </c>
      <c r="AA379" s="113">
        <v>61314.0</v>
      </c>
      <c r="AB379" s="109">
        <v>96188.47</v>
      </c>
      <c r="AC379" s="113">
        <v>101014.0</v>
      </c>
      <c r="AD379" s="108">
        <v>9.0</v>
      </c>
    </row>
    <row r="380">
      <c r="A380" s="11">
        <v>27.0</v>
      </c>
      <c r="B380" s="11">
        <v>8.0</v>
      </c>
      <c r="C380" s="11">
        <v>6.0</v>
      </c>
      <c r="D380" s="17">
        <v>18.0</v>
      </c>
      <c r="E380" s="108">
        <v>8.0</v>
      </c>
      <c r="F380" s="109">
        <v>-43596.92</v>
      </c>
      <c r="G380" s="109">
        <v>44490.82</v>
      </c>
      <c r="H380" s="109">
        <v>-79062.17</v>
      </c>
      <c r="I380" s="109">
        <v>6455.47</v>
      </c>
      <c r="J380" s="109">
        <v>21672.99</v>
      </c>
      <c r="K380" s="109">
        <v>-79831.99</v>
      </c>
      <c r="L380" s="109">
        <v>48121.39</v>
      </c>
      <c r="M380" s="109">
        <v>68150.46</v>
      </c>
      <c r="N380" s="110">
        <v>72910.0</v>
      </c>
      <c r="O380" s="110">
        <v>72430.0</v>
      </c>
      <c r="P380" s="110">
        <v>51023.0</v>
      </c>
      <c r="Q380" s="110">
        <v>73130.0</v>
      </c>
      <c r="R380" s="50">
        <v>72922.0</v>
      </c>
      <c r="S380" s="111">
        <v>50.0</v>
      </c>
      <c r="T380" s="112">
        <v>1.0</v>
      </c>
      <c r="U380" s="24" t="s">
        <v>48</v>
      </c>
      <c r="V380" s="11" t="s">
        <v>3882</v>
      </c>
      <c r="W380" s="108">
        <v>4.0</v>
      </c>
      <c r="X380" s="113">
        <v>12522.0</v>
      </c>
      <c r="Y380" s="113">
        <v>50422.0</v>
      </c>
      <c r="Z380" s="11">
        <v>112.0</v>
      </c>
      <c r="AA380" s="113">
        <v>92116.0</v>
      </c>
      <c r="AB380" s="109">
        <v>46888.63</v>
      </c>
      <c r="AC380" s="113">
        <v>112517.0</v>
      </c>
      <c r="AD380" s="108">
        <v>3.0</v>
      </c>
    </row>
    <row r="381">
      <c r="A381" s="11">
        <v>27.0</v>
      </c>
      <c r="B381" s="11">
        <v>8.0</v>
      </c>
      <c r="C381" s="11">
        <v>5.0</v>
      </c>
      <c r="D381" s="17">
        <v>35.0</v>
      </c>
      <c r="E381" s="108">
        <v>2.0</v>
      </c>
      <c r="F381" s="109">
        <v>73706.33</v>
      </c>
      <c r="G381" s="109">
        <v>-66005.78</v>
      </c>
      <c r="H381" s="109">
        <v>12550.04</v>
      </c>
      <c r="I381" s="109">
        <v>81405.52</v>
      </c>
      <c r="J381" s="109">
        <v>-44780.24</v>
      </c>
      <c r="K381" s="109">
        <v>-95526.57</v>
      </c>
      <c r="L381" s="109">
        <v>73387.83</v>
      </c>
      <c r="M381" s="109">
        <v>-12223.33</v>
      </c>
      <c r="N381" s="110">
        <v>11813.0</v>
      </c>
      <c r="O381" s="110">
        <v>11623.0</v>
      </c>
      <c r="P381" s="110">
        <v>50323.0</v>
      </c>
      <c r="Q381" s="110">
        <v>13123.0</v>
      </c>
      <c r="R381" s="50">
        <v>50817.0</v>
      </c>
      <c r="S381" s="111">
        <v>52.0</v>
      </c>
      <c r="T381" s="112">
        <v>93.0</v>
      </c>
      <c r="U381" s="24" t="s">
        <v>603</v>
      </c>
      <c r="V381" s="11" t="s">
        <v>3946</v>
      </c>
      <c r="W381" s="108">
        <v>8.0</v>
      </c>
      <c r="X381" s="113">
        <v>22318.0</v>
      </c>
      <c r="Y381" s="113">
        <v>52513.0</v>
      </c>
      <c r="Z381" s="11">
        <v>136.0</v>
      </c>
      <c r="AA381" s="113">
        <v>82221.0</v>
      </c>
      <c r="AB381" s="109">
        <v>-2309.86</v>
      </c>
      <c r="AC381" s="113">
        <v>62420.0</v>
      </c>
      <c r="AD381" s="108">
        <v>3.0</v>
      </c>
    </row>
    <row r="382">
      <c r="A382" s="11">
        <v>27.0</v>
      </c>
      <c r="B382" s="11">
        <v>8.0</v>
      </c>
      <c r="C382" s="11">
        <v>8.0</v>
      </c>
      <c r="D382" s="17">
        <v>18.0</v>
      </c>
      <c r="E382" s="108">
        <v>7.0</v>
      </c>
      <c r="F382" s="109">
        <v>68464.4</v>
      </c>
      <c r="G382" s="109">
        <v>-14267.56</v>
      </c>
      <c r="H382" s="109">
        <v>73073.54</v>
      </c>
      <c r="I382" s="109">
        <v>-78709.21</v>
      </c>
      <c r="J382" s="109">
        <v>-41683.52</v>
      </c>
      <c r="K382" s="109">
        <v>-36950.31</v>
      </c>
      <c r="L382" s="109">
        <v>-33556.38</v>
      </c>
      <c r="M382" s="109">
        <v>87448.8</v>
      </c>
      <c r="N382" s="110">
        <v>22113.0</v>
      </c>
      <c r="O382" s="110">
        <v>21443.0</v>
      </c>
      <c r="P382" s="110">
        <v>51423.0</v>
      </c>
      <c r="Q382" s="110">
        <v>22843.0</v>
      </c>
      <c r="R382" s="50">
        <v>82821.0</v>
      </c>
      <c r="S382" s="111">
        <v>55.0</v>
      </c>
      <c r="T382" s="112">
        <v>18.0</v>
      </c>
      <c r="U382" s="24" t="s">
        <v>31</v>
      </c>
      <c r="V382" s="11" t="s">
        <v>4025</v>
      </c>
      <c r="W382" s="108">
        <v>8.0</v>
      </c>
      <c r="X382" s="113">
        <v>62714.0</v>
      </c>
      <c r="Y382" s="113">
        <v>63113.0</v>
      </c>
      <c r="Z382" s="11">
        <v>105.0</v>
      </c>
      <c r="AA382" s="113">
        <v>63014.0</v>
      </c>
      <c r="AB382" s="109">
        <v>30667.82</v>
      </c>
      <c r="AC382" s="113">
        <v>10516.0</v>
      </c>
      <c r="AD382" s="108">
        <v>4.0</v>
      </c>
    </row>
    <row r="383">
      <c r="A383" s="11">
        <v>68.0</v>
      </c>
      <c r="B383" s="11">
        <v>8.0</v>
      </c>
      <c r="C383" s="11">
        <v>6.0</v>
      </c>
      <c r="D383" s="17">
        <v>36.0</v>
      </c>
      <c r="E383" s="108">
        <v>4.0</v>
      </c>
      <c r="F383" s="109">
        <v>14866.17</v>
      </c>
      <c r="G383" s="109">
        <v>83768.43</v>
      </c>
      <c r="H383" s="109">
        <v>-71404.71</v>
      </c>
      <c r="I383" s="109">
        <v>-20374.61</v>
      </c>
      <c r="J383" s="109">
        <v>45123.39</v>
      </c>
      <c r="K383" s="109">
        <v>24440.87</v>
      </c>
      <c r="L383" s="109">
        <v>97495.31</v>
      </c>
      <c r="M383" s="109">
        <v>26036.64</v>
      </c>
      <c r="N383" s="110">
        <v>82313.0</v>
      </c>
      <c r="O383" s="110">
        <v>82123.0</v>
      </c>
      <c r="P383" s="110">
        <v>50423.0</v>
      </c>
      <c r="Q383" s="110">
        <v>83123.0</v>
      </c>
      <c r="R383" s="50">
        <v>52116.0</v>
      </c>
      <c r="S383" s="111">
        <v>50.0</v>
      </c>
      <c r="T383" s="112">
        <v>5.0</v>
      </c>
      <c r="U383" s="24" t="s">
        <v>31</v>
      </c>
      <c r="V383" s="11" t="s">
        <v>3894</v>
      </c>
      <c r="W383" s="108">
        <v>6.0</v>
      </c>
      <c r="X383" s="113">
        <v>82714.0</v>
      </c>
      <c r="Y383" s="113">
        <v>91714.0</v>
      </c>
      <c r="Z383" s="11">
        <v>200.0</v>
      </c>
      <c r="AA383" s="113">
        <v>60120.0</v>
      </c>
      <c r="AB383" s="109">
        <v>-21966.83</v>
      </c>
      <c r="AC383" s="113">
        <v>43116.0</v>
      </c>
      <c r="AD383" s="108">
        <v>1.0</v>
      </c>
    </row>
    <row r="384">
      <c r="A384" s="11">
        <v>27.0</v>
      </c>
      <c r="B384" s="11">
        <v>9.0</v>
      </c>
      <c r="C384" s="11">
        <v>2.0</v>
      </c>
      <c r="D384" s="17">
        <v>40.0</v>
      </c>
      <c r="E384" s="108">
        <v>7.0</v>
      </c>
      <c r="F384" s="109">
        <v>18893.04</v>
      </c>
      <c r="G384" s="109">
        <v>36846.57</v>
      </c>
      <c r="H384" s="109">
        <v>74922.79</v>
      </c>
      <c r="I384" s="109">
        <v>48124.96</v>
      </c>
      <c r="J384" s="109">
        <v>-89668.05</v>
      </c>
      <c r="K384" s="109">
        <v>81974.56</v>
      </c>
      <c r="L384" s="109">
        <v>69600.62</v>
      </c>
      <c r="M384" s="109">
        <v>67.1</v>
      </c>
      <c r="N384" s="110">
        <v>52614.0</v>
      </c>
      <c r="O384" s="110">
        <v>52324.0</v>
      </c>
      <c r="P384" s="110">
        <v>52723.0</v>
      </c>
      <c r="Q384" s="110">
        <v>53124.0</v>
      </c>
      <c r="R384" s="50">
        <v>51321.0</v>
      </c>
      <c r="S384" s="111">
        <v>51.0</v>
      </c>
      <c r="T384" s="112">
        <v>44.0</v>
      </c>
      <c r="U384" s="24" t="s">
        <v>31</v>
      </c>
      <c r="V384" s="11" t="s">
        <v>4039</v>
      </c>
      <c r="W384" s="108">
        <v>7.0</v>
      </c>
      <c r="X384" s="113">
        <v>73116.0</v>
      </c>
      <c r="Y384" s="113">
        <v>82719.0</v>
      </c>
      <c r="Z384" s="11">
        <v>115.0</v>
      </c>
      <c r="AA384" s="113">
        <v>23022.0</v>
      </c>
      <c r="AB384" s="109">
        <v>28586.89</v>
      </c>
      <c r="AC384" s="113">
        <v>102014.0</v>
      </c>
      <c r="AD384" s="108">
        <v>6.0</v>
      </c>
    </row>
    <row r="385">
      <c r="A385" s="11">
        <v>48.0</v>
      </c>
      <c r="B385" s="11">
        <v>4.0</v>
      </c>
      <c r="C385" s="11">
        <v>1.0</v>
      </c>
      <c r="D385" s="17">
        <v>98.0</v>
      </c>
      <c r="E385" s="108">
        <v>0.0</v>
      </c>
      <c r="F385" s="109">
        <v>61825.71</v>
      </c>
      <c r="G385" s="109">
        <v>-86435.01</v>
      </c>
      <c r="H385" s="109">
        <v>-2748.33</v>
      </c>
      <c r="I385" s="109">
        <v>7562.7</v>
      </c>
      <c r="J385" s="109">
        <v>-89418.73</v>
      </c>
      <c r="K385" s="109">
        <v>76088.13</v>
      </c>
      <c r="L385" s="109">
        <v>25794.01</v>
      </c>
      <c r="M385" s="109">
        <v>44956.3</v>
      </c>
      <c r="N385" s="110">
        <v>90913.0</v>
      </c>
      <c r="O385" s="110">
        <v>90243.0</v>
      </c>
      <c r="P385" s="110">
        <v>52823.0</v>
      </c>
      <c r="Q385" s="110">
        <v>93043.0</v>
      </c>
      <c r="R385" s="50">
        <v>100522.0</v>
      </c>
      <c r="S385" s="111">
        <v>52.0</v>
      </c>
      <c r="T385" s="112">
        <v>19.0</v>
      </c>
      <c r="U385" s="24" t="s">
        <v>601</v>
      </c>
      <c r="V385" s="11" t="s">
        <v>3952</v>
      </c>
      <c r="W385" s="108">
        <v>3.0</v>
      </c>
      <c r="X385" s="113">
        <v>40115.0</v>
      </c>
      <c r="Y385" s="113">
        <v>100921.0</v>
      </c>
      <c r="Z385" s="11">
        <v>174.0</v>
      </c>
      <c r="AA385" s="113">
        <v>80815.0</v>
      </c>
      <c r="AB385" s="109">
        <v>18825.32</v>
      </c>
      <c r="AC385" s="113">
        <v>110223.0</v>
      </c>
      <c r="AD385" s="108">
        <v>2.0</v>
      </c>
    </row>
    <row r="386">
      <c r="A386" s="11">
        <v>27.0</v>
      </c>
      <c r="B386" s="11">
        <v>9.0</v>
      </c>
      <c r="C386" s="11">
        <v>5.0</v>
      </c>
      <c r="D386" s="17">
        <v>31.0</v>
      </c>
      <c r="E386" s="108">
        <v>1.0</v>
      </c>
      <c r="F386" s="109">
        <v>43574.73</v>
      </c>
      <c r="G386" s="109">
        <v>-50723.25</v>
      </c>
      <c r="H386" s="109">
        <v>23712.72</v>
      </c>
      <c r="I386" s="109">
        <v>31311.37</v>
      </c>
      <c r="J386" s="109">
        <v>-9399.92</v>
      </c>
      <c r="K386" s="109">
        <v>-66650.03</v>
      </c>
      <c r="L386" s="109">
        <v>-46912.29</v>
      </c>
      <c r="M386" s="109">
        <v>38445.6</v>
      </c>
      <c r="N386" s="110">
        <v>91811.0</v>
      </c>
      <c r="O386" s="110">
        <v>91521.0</v>
      </c>
      <c r="P386" s="110">
        <v>51123.0</v>
      </c>
      <c r="Q386" s="110">
        <v>93021.0</v>
      </c>
      <c r="R386" s="50">
        <v>11314.0</v>
      </c>
      <c r="S386" s="111">
        <v>55.0</v>
      </c>
      <c r="T386" s="112">
        <v>15.0</v>
      </c>
      <c r="U386" s="24" t="s">
        <v>601</v>
      </c>
      <c r="V386" s="11" t="s">
        <v>3998</v>
      </c>
      <c r="W386" s="108">
        <v>8.0</v>
      </c>
      <c r="X386" s="113">
        <v>32720.0</v>
      </c>
      <c r="Y386" s="113">
        <v>11519.0</v>
      </c>
      <c r="Z386" s="11">
        <v>184.0</v>
      </c>
      <c r="AA386" s="113">
        <v>120322.0</v>
      </c>
      <c r="AB386" s="109">
        <v>-22597.49</v>
      </c>
      <c r="AC386" s="113">
        <v>10723.0</v>
      </c>
      <c r="AD386" s="108">
        <v>6.0</v>
      </c>
    </row>
    <row r="387">
      <c r="A387" s="11">
        <v>27.0</v>
      </c>
      <c r="B387" s="11">
        <v>9.0</v>
      </c>
      <c r="C387" s="11">
        <v>6.0</v>
      </c>
      <c r="D387" s="17">
        <v>95.0</v>
      </c>
      <c r="E387" s="108">
        <v>8.0</v>
      </c>
      <c r="F387" s="109">
        <v>48218.28</v>
      </c>
      <c r="G387" s="109">
        <v>-17955.18</v>
      </c>
      <c r="H387" s="109">
        <v>-78540.53</v>
      </c>
      <c r="I387" s="109">
        <v>-28036.73</v>
      </c>
      <c r="J387" s="109">
        <v>-9004.37</v>
      </c>
      <c r="K387" s="109">
        <v>17605.56</v>
      </c>
      <c r="L387" s="109">
        <v>-88064.24</v>
      </c>
      <c r="M387" s="109">
        <v>65982.22</v>
      </c>
      <c r="N387" s="110">
        <v>30713.0</v>
      </c>
      <c r="O387" s="110">
        <v>30233.0</v>
      </c>
      <c r="P387" s="110">
        <v>52323.0</v>
      </c>
      <c r="Q387" s="110">
        <v>33133.0</v>
      </c>
      <c r="R387" s="50">
        <v>102718.0</v>
      </c>
      <c r="S387" s="111">
        <v>51.0</v>
      </c>
      <c r="T387" s="112">
        <v>94.0</v>
      </c>
      <c r="U387" s="24" t="s">
        <v>39</v>
      </c>
      <c r="V387" s="11" t="s">
        <v>3929</v>
      </c>
      <c r="W387" s="108">
        <v>1.0</v>
      </c>
      <c r="X387" s="113">
        <v>111923.0</v>
      </c>
      <c r="Y387" s="113">
        <v>61414.0</v>
      </c>
      <c r="Z387" s="11">
        <v>113.0</v>
      </c>
      <c r="AA387" s="113">
        <v>121319.0</v>
      </c>
      <c r="AB387" s="109">
        <v>26758.26</v>
      </c>
      <c r="AC387" s="113">
        <v>41322.0</v>
      </c>
      <c r="AD387" s="108">
        <v>7.0</v>
      </c>
    </row>
    <row r="388">
      <c r="A388" s="11">
        <v>48.0</v>
      </c>
      <c r="B388" s="11">
        <v>4.0</v>
      </c>
      <c r="C388" s="11">
        <v>3.0</v>
      </c>
      <c r="D388" s="17">
        <v>15.0</v>
      </c>
      <c r="E388" s="108">
        <v>8.0</v>
      </c>
      <c r="F388" s="109">
        <v>31144.59</v>
      </c>
      <c r="G388" s="109">
        <v>29610.85</v>
      </c>
      <c r="H388" s="109">
        <v>29453.06</v>
      </c>
      <c r="I388" s="109">
        <v>-983.41</v>
      </c>
      <c r="J388" s="109">
        <v>-7302.02</v>
      </c>
      <c r="K388" s="109">
        <v>81127.08</v>
      </c>
      <c r="L388" s="109">
        <v>59625.56</v>
      </c>
      <c r="M388" s="109">
        <v>81015.68</v>
      </c>
      <c r="N388" s="110">
        <v>92313.0</v>
      </c>
      <c r="O388" s="110">
        <v>91833.0</v>
      </c>
      <c r="P388" s="110">
        <v>51923.0</v>
      </c>
      <c r="Q388" s="110">
        <v>93033.0</v>
      </c>
      <c r="R388" s="50">
        <v>33122.0</v>
      </c>
      <c r="S388" s="111">
        <v>51.0</v>
      </c>
      <c r="T388" s="112">
        <v>1.0</v>
      </c>
      <c r="U388" s="24" t="s">
        <v>603</v>
      </c>
      <c r="V388" s="11" t="s">
        <v>4046</v>
      </c>
      <c r="W388" s="108">
        <v>1.0</v>
      </c>
      <c r="X388" s="113">
        <v>101415.0</v>
      </c>
      <c r="Y388" s="113">
        <v>100617.0</v>
      </c>
      <c r="Z388" s="11">
        <v>149.0</v>
      </c>
      <c r="AA388" s="113">
        <v>61313.0</v>
      </c>
      <c r="AB388" s="109">
        <v>89729.42</v>
      </c>
      <c r="AC388" s="113">
        <v>13017.0</v>
      </c>
      <c r="AD388" s="108">
        <v>7.0</v>
      </c>
    </row>
    <row r="389">
      <c r="A389" s="11">
        <v>68.0</v>
      </c>
      <c r="B389" s="11">
        <v>9.0</v>
      </c>
      <c r="C389" s="11">
        <v>1.0</v>
      </c>
      <c r="D389" s="17">
        <v>90.0</v>
      </c>
      <c r="E389" s="108">
        <v>6.0</v>
      </c>
      <c r="F389" s="109">
        <v>46969.71</v>
      </c>
      <c r="G389" s="109">
        <v>-44292.4</v>
      </c>
      <c r="H389" s="109">
        <v>-58255.38</v>
      </c>
      <c r="I389" s="109">
        <v>13658.91</v>
      </c>
      <c r="J389" s="109">
        <v>12476.59</v>
      </c>
      <c r="K389" s="109">
        <v>53307.79</v>
      </c>
      <c r="L389" s="109">
        <v>-10945.03</v>
      </c>
      <c r="M389" s="109">
        <v>-91083.52</v>
      </c>
      <c r="N389" s="110">
        <v>21913.0</v>
      </c>
      <c r="O389" s="110">
        <v>21433.0</v>
      </c>
      <c r="P389" s="110">
        <v>52123.0</v>
      </c>
      <c r="Q389" s="110">
        <v>22833.0</v>
      </c>
      <c r="R389" s="50">
        <v>43016.0</v>
      </c>
      <c r="S389" s="111">
        <v>53.0</v>
      </c>
      <c r="T389" s="112">
        <v>3.0</v>
      </c>
      <c r="U389" s="24" t="s">
        <v>31</v>
      </c>
      <c r="V389" s="11" t="s">
        <v>3969</v>
      </c>
      <c r="W389" s="108">
        <v>3.0</v>
      </c>
      <c r="X389" s="113">
        <v>73117.0</v>
      </c>
      <c r="Y389" s="113">
        <v>51513.0</v>
      </c>
      <c r="Z389" s="11">
        <v>114.0</v>
      </c>
      <c r="AA389" s="113">
        <v>121516.0</v>
      </c>
      <c r="AB389" s="109">
        <v>73905.71</v>
      </c>
      <c r="AC389" s="113">
        <v>33118.0</v>
      </c>
      <c r="AD389" s="108">
        <v>7.0</v>
      </c>
    </row>
    <row r="390">
      <c r="A390" s="11">
        <v>68.0</v>
      </c>
      <c r="B390" s="11">
        <v>9.0</v>
      </c>
      <c r="C390" s="11">
        <v>2.0</v>
      </c>
      <c r="D390" s="17">
        <v>45.0</v>
      </c>
      <c r="E390" s="108">
        <v>3.0</v>
      </c>
      <c r="F390" s="109">
        <v>-1408.04</v>
      </c>
      <c r="G390" s="109">
        <v>-65572.47</v>
      </c>
      <c r="H390" s="109">
        <v>-56896.92</v>
      </c>
      <c r="I390" s="109">
        <v>60387.3</v>
      </c>
      <c r="J390" s="109">
        <v>-76865.56</v>
      </c>
      <c r="K390" s="109">
        <v>-42580.2</v>
      </c>
      <c r="L390" s="109">
        <v>-58456.82</v>
      </c>
      <c r="M390" s="109">
        <v>40628.23</v>
      </c>
      <c r="N390" s="110">
        <v>62713.0</v>
      </c>
      <c r="O390" s="110">
        <v>62523.0</v>
      </c>
      <c r="P390" s="110">
        <v>50723.0</v>
      </c>
      <c r="Q390" s="110">
        <v>63023.0</v>
      </c>
      <c r="R390" s="50">
        <v>122219.0</v>
      </c>
      <c r="S390" s="111">
        <v>54.0</v>
      </c>
      <c r="T390" s="112">
        <v>74.0</v>
      </c>
      <c r="U390" s="24" t="s">
        <v>601</v>
      </c>
      <c r="V390" s="11" t="s">
        <v>3867</v>
      </c>
      <c r="W390" s="108">
        <v>5.0</v>
      </c>
      <c r="X390" s="113">
        <v>50722.0</v>
      </c>
      <c r="Y390" s="113">
        <v>61317.0</v>
      </c>
      <c r="Z390" s="11">
        <v>191.0</v>
      </c>
      <c r="AA390" s="113">
        <v>120815.0</v>
      </c>
      <c r="AB390" s="109">
        <v>59989.3</v>
      </c>
      <c r="AC390" s="113">
        <v>100620.0</v>
      </c>
      <c r="AD390" s="108">
        <v>0.0</v>
      </c>
    </row>
    <row r="391">
      <c r="A391" s="11">
        <v>48.0</v>
      </c>
      <c r="B391" s="11">
        <v>4.0</v>
      </c>
      <c r="C391" s="11">
        <v>5.0</v>
      </c>
      <c r="D391" s="17">
        <v>66.0</v>
      </c>
      <c r="E391" s="108">
        <v>2.0</v>
      </c>
      <c r="F391" s="109">
        <v>-91382.72</v>
      </c>
      <c r="G391" s="109">
        <v>16569.45</v>
      </c>
      <c r="H391" s="109">
        <v>28770.88</v>
      </c>
      <c r="I391" s="109">
        <v>28046.99</v>
      </c>
      <c r="J391" s="109">
        <v>-95885.31</v>
      </c>
      <c r="K391" s="109">
        <v>42407.28</v>
      </c>
      <c r="L391" s="109">
        <v>47601.15</v>
      </c>
      <c r="M391" s="109">
        <v>-69318.69</v>
      </c>
      <c r="N391" s="110">
        <v>81114.0</v>
      </c>
      <c r="O391" s="110">
        <v>80824.0</v>
      </c>
      <c r="P391" s="110">
        <v>52923.0</v>
      </c>
      <c r="Q391" s="110">
        <v>83124.0</v>
      </c>
      <c r="R391" s="50">
        <v>102521.0</v>
      </c>
      <c r="S391" s="111">
        <v>50.0</v>
      </c>
      <c r="T391" s="112">
        <v>37.0</v>
      </c>
      <c r="U391" s="24" t="s">
        <v>603</v>
      </c>
      <c r="V391" s="11" t="s">
        <v>4047</v>
      </c>
      <c r="W391" s="108">
        <v>1.0</v>
      </c>
      <c r="X391" s="113">
        <v>90720.0</v>
      </c>
      <c r="Y391" s="113">
        <v>113114.0</v>
      </c>
      <c r="Z391" s="11">
        <v>119.0</v>
      </c>
      <c r="AA391" s="113">
        <v>51516.0</v>
      </c>
      <c r="AB391" s="109">
        <v>95491.27</v>
      </c>
      <c r="AC391" s="113">
        <v>121520.0</v>
      </c>
      <c r="AD391" s="108">
        <v>0.0</v>
      </c>
    </row>
    <row r="392">
      <c r="A392" s="11">
        <v>48.0</v>
      </c>
      <c r="B392" s="11">
        <v>4.0</v>
      </c>
      <c r="C392" s="11">
        <v>9.0</v>
      </c>
      <c r="D392" s="17">
        <v>43.0</v>
      </c>
      <c r="E392" s="108">
        <v>9.0</v>
      </c>
      <c r="F392" s="109">
        <v>-24657.75</v>
      </c>
      <c r="G392" s="109">
        <v>-85888.85</v>
      </c>
      <c r="H392" s="109">
        <v>71429.92</v>
      </c>
      <c r="I392" s="109">
        <v>22413.88</v>
      </c>
      <c r="J392" s="109">
        <v>-18768.52</v>
      </c>
      <c r="K392" s="109">
        <v>81845.79</v>
      </c>
      <c r="L392" s="109">
        <v>-79369.96</v>
      </c>
      <c r="M392" s="109">
        <v>-22612.62</v>
      </c>
      <c r="N392" s="110">
        <v>72414.0</v>
      </c>
      <c r="O392" s="110">
        <v>71644.0</v>
      </c>
      <c r="P392" s="110">
        <v>52523.0</v>
      </c>
      <c r="Q392" s="110">
        <v>73144.0</v>
      </c>
      <c r="R392" s="50">
        <v>40817.0</v>
      </c>
      <c r="S392" s="111">
        <v>54.0</v>
      </c>
      <c r="T392" s="112">
        <v>68.0</v>
      </c>
      <c r="U392" s="24" t="s">
        <v>601</v>
      </c>
      <c r="V392" s="11" t="s">
        <v>3981</v>
      </c>
      <c r="W392" s="108">
        <v>6.0</v>
      </c>
      <c r="X392" s="113">
        <v>120715.0</v>
      </c>
      <c r="Y392" s="113">
        <v>82514.0</v>
      </c>
      <c r="Z392" s="11">
        <v>111.0</v>
      </c>
      <c r="AA392" s="113">
        <v>92723.0</v>
      </c>
      <c r="AB392" s="109">
        <v>-6169.35</v>
      </c>
      <c r="AC392" s="113">
        <v>61122.0</v>
      </c>
      <c r="AD392" s="108">
        <v>5.0</v>
      </c>
    </row>
    <row r="393">
      <c r="A393" s="11">
        <v>68.0</v>
      </c>
      <c r="B393" s="11">
        <v>9.0</v>
      </c>
      <c r="C393" s="11">
        <v>6.0</v>
      </c>
      <c r="D393" s="17">
        <v>5.0</v>
      </c>
      <c r="E393" s="108">
        <v>6.0</v>
      </c>
      <c r="F393" s="109">
        <v>55680.49</v>
      </c>
      <c r="G393" s="109">
        <v>29235.44</v>
      </c>
      <c r="H393" s="109">
        <v>2619.47</v>
      </c>
      <c r="I393" s="109">
        <v>74293.57</v>
      </c>
      <c r="J393" s="109">
        <v>-66615.48</v>
      </c>
      <c r="K393" s="109">
        <v>95460.35</v>
      </c>
      <c r="L393" s="109">
        <v>78494.28</v>
      </c>
      <c r="M393" s="109">
        <v>-30829.42</v>
      </c>
      <c r="N393" s="110">
        <v>31510.0</v>
      </c>
      <c r="O393" s="110">
        <v>31030.0</v>
      </c>
      <c r="P393" s="110">
        <v>52023.0</v>
      </c>
      <c r="Q393" s="110">
        <v>33130.0</v>
      </c>
      <c r="R393" s="50">
        <v>82713.0</v>
      </c>
      <c r="S393" s="111">
        <v>55.0</v>
      </c>
      <c r="T393" s="112">
        <v>17.0</v>
      </c>
      <c r="U393" s="24" t="s">
        <v>603</v>
      </c>
      <c r="V393" s="11" t="s">
        <v>4048</v>
      </c>
      <c r="W393" s="108">
        <v>9.0</v>
      </c>
      <c r="X393" s="113">
        <v>101523.0</v>
      </c>
      <c r="Y393" s="113">
        <v>10220.0</v>
      </c>
      <c r="Z393" s="11">
        <v>177.0</v>
      </c>
      <c r="AA393" s="113">
        <v>33014.0</v>
      </c>
      <c r="AB393" s="109">
        <v>-96270.54</v>
      </c>
      <c r="AC393" s="113">
        <v>41116.0</v>
      </c>
      <c r="AD393" s="108">
        <v>1.0</v>
      </c>
    </row>
    <row r="394">
      <c r="A394" s="11">
        <v>48.0</v>
      </c>
      <c r="B394" s="11">
        <v>5.0</v>
      </c>
      <c r="C394" s="11">
        <v>4.0</v>
      </c>
      <c r="D394" s="17">
        <v>59.0</v>
      </c>
      <c r="E394" s="108">
        <v>3.0</v>
      </c>
      <c r="F394" s="109">
        <v>84707.31</v>
      </c>
      <c r="G394" s="109">
        <v>-90883.49</v>
      </c>
      <c r="H394" s="109">
        <v>-59030.81</v>
      </c>
      <c r="I394" s="109">
        <v>-92258.87</v>
      </c>
      <c r="J394" s="109">
        <v>-63362.18</v>
      </c>
      <c r="K394" s="109">
        <v>58775.16</v>
      </c>
      <c r="L394" s="109">
        <v>-42541.49</v>
      </c>
      <c r="M394" s="109">
        <v>-43439.94</v>
      </c>
      <c r="N394" s="110">
        <v>71112.0</v>
      </c>
      <c r="O394" s="110">
        <v>70442.0</v>
      </c>
      <c r="P394" s="110">
        <v>50323.0</v>
      </c>
      <c r="Q394" s="110">
        <v>73142.0</v>
      </c>
      <c r="R394" s="50">
        <v>62313.0</v>
      </c>
      <c r="S394" s="111">
        <v>51.0</v>
      </c>
      <c r="T394" s="112">
        <v>26.0</v>
      </c>
      <c r="U394" s="24" t="s">
        <v>48</v>
      </c>
      <c r="V394" s="11" t="s">
        <v>4049</v>
      </c>
      <c r="W394" s="108">
        <v>9.0</v>
      </c>
      <c r="X394" s="113">
        <v>62223.0</v>
      </c>
      <c r="Y394" s="113">
        <v>20618.0</v>
      </c>
      <c r="Z394" s="11">
        <v>193.0</v>
      </c>
      <c r="AA394" s="113">
        <v>40520.0</v>
      </c>
      <c r="AB394" s="109">
        <v>22832.64</v>
      </c>
      <c r="AC394" s="113">
        <v>12718.0</v>
      </c>
      <c r="AD394" s="108">
        <v>7.0</v>
      </c>
    </row>
    <row r="395">
      <c r="A395" s="11">
        <v>89.0</v>
      </c>
      <c r="B395" s="11">
        <v>5.0</v>
      </c>
      <c r="C395" s="11">
        <v>3.0</v>
      </c>
      <c r="D395" s="17">
        <v>43.0</v>
      </c>
      <c r="E395" s="108">
        <v>8.0</v>
      </c>
      <c r="F395" s="109">
        <v>73929.32</v>
      </c>
      <c r="G395" s="109">
        <v>-14881.59</v>
      </c>
      <c r="H395" s="109">
        <v>-46487.07</v>
      </c>
      <c r="I395" s="109">
        <v>24777.19</v>
      </c>
      <c r="J395" s="109">
        <v>-15572.72</v>
      </c>
      <c r="K395" s="109">
        <v>-59458.03</v>
      </c>
      <c r="L395" s="109">
        <v>66634.06</v>
      </c>
      <c r="M395" s="109">
        <v>-98703.83</v>
      </c>
      <c r="N395" s="110">
        <v>110614.0</v>
      </c>
      <c r="O395" s="110">
        <v>102944.0</v>
      </c>
      <c r="P395" s="110">
        <v>52123.0</v>
      </c>
      <c r="Q395" s="110">
        <v>103144.0</v>
      </c>
      <c r="R395" s="50">
        <v>22116.0</v>
      </c>
      <c r="S395" s="111">
        <v>54.0</v>
      </c>
      <c r="T395" s="112">
        <v>82.0</v>
      </c>
      <c r="U395" s="24" t="s">
        <v>39</v>
      </c>
      <c r="V395" s="11" t="s">
        <v>3871</v>
      </c>
      <c r="W395" s="108">
        <v>1.0</v>
      </c>
      <c r="X395" s="113">
        <v>82720.0</v>
      </c>
      <c r="Y395" s="113">
        <v>73016.0</v>
      </c>
      <c r="Z395" s="11">
        <v>173.0</v>
      </c>
      <c r="AA395" s="113">
        <v>53022.0</v>
      </c>
      <c r="AB395" s="109">
        <v>46745.34</v>
      </c>
      <c r="AC395" s="113">
        <v>102222.0</v>
      </c>
      <c r="AD395" s="108">
        <v>2.0</v>
      </c>
    </row>
    <row r="396">
      <c r="A396" s="11">
        <v>48.0</v>
      </c>
      <c r="B396" s="11">
        <v>5.0</v>
      </c>
      <c r="C396" s="11">
        <v>9.0</v>
      </c>
      <c r="D396" s="17">
        <v>49.0</v>
      </c>
      <c r="E396" s="108">
        <v>1.0</v>
      </c>
      <c r="F396" s="109">
        <v>-19275.32</v>
      </c>
      <c r="G396" s="109">
        <v>41558.85</v>
      </c>
      <c r="H396" s="109">
        <v>43185.01</v>
      </c>
      <c r="I396" s="109">
        <v>39582.48</v>
      </c>
      <c r="J396" s="109">
        <v>-91195.75</v>
      </c>
      <c r="K396" s="109">
        <v>-20022.88</v>
      </c>
      <c r="L396" s="109">
        <v>-89895.86</v>
      </c>
      <c r="M396" s="109">
        <v>13719.39</v>
      </c>
      <c r="N396" s="110">
        <v>112611.0</v>
      </c>
      <c r="O396" s="110">
        <v>112131.0</v>
      </c>
      <c r="P396" s="110">
        <v>50523.0</v>
      </c>
      <c r="Q396" s="110">
        <v>113031.0</v>
      </c>
      <c r="R396" s="50">
        <v>60618.0</v>
      </c>
      <c r="S396" s="111">
        <v>54.0</v>
      </c>
      <c r="T396" s="112">
        <v>6.0</v>
      </c>
      <c r="U396" s="24" t="s">
        <v>601</v>
      </c>
      <c r="V396" s="11" t="s">
        <v>3962</v>
      </c>
      <c r="W396" s="108">
        <v>2.0</v>
      </c>
      <c r="X396" s="113">
        <v>112622.0</v>
      </c>
      <c r="Y396" s="113">
        <v>103122.0</v>
      </c>
      <c r="Z396" s="11">
        <v>173.0</v>
      </c>
      <c r="AA396" s="113">
        <v>20922.0</v>
      </c>
      <c r="AB396" s="109">
        <v>-61879.13</v>
      </c>
      <c r="AC396" s="113">
        <v>72016.0</v>
      </c>
      <c r="AD396" s="108">
        <v>0.0</v>
      </c>
    </row>
    <row r="397">
      <c r="A397" s="11">
        <v>89.0</v>
      </c>
      <c r="B397" s="11">
        <v>5.0</v>
      </c>
      <c r="C397" s="11">
        <v>5.0</v>
      </c>
      <c r="D397" s="17">
        <v>18.0</v>
      </c>
      <c r="E397" s="108">
        <v>8.0</v>
      </c>
      <c r="F397" s="109">
        <v>-74973.33</v>
      </c>
      <c r="G397" s="109">
        <v>23661.61</v>
      </c>
      <c r="H397" s="109">
        <v>90326.37</v>
      </c>
      <c r="I397" s="109">
        <v>-4484.85</v>
      </c>
      <c r="J397" s="109">
        <v>-40565.85</v>
      </c>
      <c r="K397" s="109">
        <v>25327.39</v>
      </c>
      <c r="L397" s="109">
        <v>-91614.92</v>
      </c>
      <c r="M397" s="109">
        <v>-23576.51</v>
      </c>
      <c r="N397" s="110">
        <v>112612.0</v>
      </c>
      <c r="O397" s="110">
        <v>111942.0</v>
      </c>
      <c r="P397" s="110">
        <v>52023.0</v>
      </c>
      <c r="Q397" s="110">
        <v>113042.0</v>
      </c>
      <c r="R397" s="50">
        <v>100316.0</v>
      </c>
      <c r="S397" s="111">
        <v>53.0</v>
      </c>
      <c r="T397" s="112">
        <v>46.0</v>
      </c>
      <c r="U397" s="24" t="s">
        <v>48</v>
      </c>
      <c r="V397" s="11" t="s">
        <v>3902</v>
      </c>
      <c r="W397" s="108">
        <v>7.0</v>
      </c>
      <c r="X397" s="113">
        <v>100916.0</v>
      </c>
      <c r="Y397" s="113">
        <v>82219.0</v>
      </c>
      <c r="Z397" s="11">
        <v>134.0</v>
      </c>
      <c r="AA397" s="113">
        <v>111118.0</v>
      </c>
      <c r="AB397" s="109">
        <v>-72445.77</v>
      </c>
      <c r="AC397" s="113">
        <v>101723.0</v>
      </c>
      <c r="AD397" s="108">
        <v>2.0</v>
      </c>
    </row>
    <row r="398">
      <c r="A398" s="11">
        <v>69.0</v>
      </c>
      <c r="B398" s="11">
        <v>1.0</v>
      </c>
      <c r="C398" s="11">
        <v>1.0</v>
      </c>
      <c r="D398" s="17">
        <v>57.0</v>
      </c>
      <c r="E398" s="108">
        <v>6.0</v>
      </c>
      <c r="F398" s="109">
        <v>-20726.71</v>
      </c>
      <c r="G398" s="109">
        <v>68051.5</v>
      </c>
      <c r="H398" s="109">
        <v>-40479.47</v>
      </c>
      <c r="I398" s="109">
        <v>-44664.17</v>
      </c>
      <c r="J398" s="109">
        <v>-27162.21</v>
      </c>
      <c r="K398" s="109">
        <v>-44424.11</v>
      </c>
      <c r="L398" s="109">
        <v>-53425.03</v>
      </c>
      <c r="M398" s="109">
        <v>26061.02</v>
      </c>
      <c r="N398" s="110">
        <v>92212.0</v>
      </c>
      <c r="O398" s="110">
        <v>92022.0</v>
      </c>
      <c r="P398" s="110">
        <v>52323.0</v>
      </c>
      <c r="Q398" s="110">
        <v>93022.0</v>
      </c>
      <c r="R398" s="50">
        <v>51716.0</v>
      </c>
      <c r="S398" s="111">
        <v>52.0</v>
      </c>
      <c r="T398" s="112">
        <v>28.0</v>
      </c>
      <c r="U398" s="24" t="s">
        <v>39</v>
      </c>
      <c r="V398" s="11" t="s">
        <v>4023</v>
      </c>
      <c r="W398" s="108">
        <v>2.0</v>
      </c>
      <c r="X398" s="113">
        <v>121018.0</v>
      </c>
      <c r="Y398" s="113">
        <v>60317.0</v>
      </c>
      <c r="Z398" s="11">
        <v>152.0</v>
      </c>
      <c r="AA398" s="113">
        <v>82820.0</v>
      </c>
      <c r="AB398" s="109">
        <v>89408.71</v>
      </c>
      <c r="AC398" s="113">
        <v>31814.0</v>
      </c>
      <c r="AD398" s="108">
        <v>1.0</v>
      </c>
    </row>
    <row r="399">
      <c r="A399" s="11">
        <v>48.0</v>
      </c>
      <c r="B399" s="11">
        <v>6.0</v>
      </c>
      <c r="C399" s="11">
        <v>4.0</v>
      </c>
      <c r="D399" s="17">
        <v>71.0</v>
      </c>
      <c r="E399" s="108">
        <v>6.0</v>
      </c>
      <c r="F399" s="109">
        <v>-77965.32</v>
      </c>
      <c r="G399" s="109">
        <v>-23692.55</v>
      </c>
      <c r="H399" s="109">
        <v>68035.5</v>
      </c>
      <c r="I399" s="109">
        <v>-13002.81</v>
      </c>
      <c r="J399" s="109">
        <v>-97011.4</v>
      </c>
      <c r="K399" s="109">
        <v>-84254.51</v>
      </c>
      <c r="L399" s="109">
        <v>-42469.09</v>
      </c>
      <c r="M399" s="109">
        <v>71579.9</v>
      </c>
      <c r="N399" s="110">
        <v>91710.0</v>
      </c>
      <c r="O399" s="110">
        <v>91230.0</v>
      </c>
      <c r="P399" s="110">
        <v>52923.0</v>
      </c>
      <c r="Q399" s="110">
        <v>93030.0</v>
      </c>
      <c r="R399" s="50">
        <v>91919.0</v>
      </c>
      <c r="S399" s="111">
        <v>52.0</v>
      </c>
      <c r="T399" s="112">
        <v>2.0</v>
      </c>
      <c r="U399" s="24" t="s">
        <v>601</v>
      </c>
      <c r="V399" s="11" t="s">
        <v>3983</v>
      </c>
      <c r="W399" s="108">
        <v>3.0</v>
      </c>
      <c r="X399" s="113">
        <v>42419.0</v>
      </c>
      <c r="Y399" s="113">
        <v>50922.0</v>
      </c>
      <c r="Z399" s="11">
        <v>161.0</v>
      </c>
      <c r="AA399" s="113">
        <v>72721.0</v>
      </c>
      <c r="AB399" s="109">
        <v>39677.75</v>
      </c>
      <c r="AC399" s="113">
        <v>62221.0</v>
      </c>
      <c r="AD399" s="108">
        <v>0.0</v>
      </c>
    </row>
    <row r="400">
      <c r="A400" s="11">
        <v>28.0</v>
      </c>
      <c r="B400" s="11">
        <v>1.0</v>
      </c>
      <c r="C400" s="11">
        <v>5.0</v>
      </c>
      <c r="D400" s="17">
        <v>49.0</v>
      </c>
      <c r="E400" s="108">
        <v>7.0</v>
      </c>
      <c r="F400" s="109">
        <v>44100.77</v>
      </c>
      <c r="G400" s="109">
        <v>4142.66</v>
      </c>
      <c r="H400" s="109">
        <v>44923.5</v>
      </c>
      <c r="I400" s="109">
        <v>99222.08</v>
      </c>
      <c r="J400" s="109">
        <v>49059.6</v>
      </c>
      <c r="K400" s="109">
        <v>37208.31</v>
      </c>
      <c r="L400" s="109">
        <v>-80234.39</v>
      </c>
      <c r="M400" s="109">
        <v>-76118.25</v>
      </c>
      <c r="N400" s="110">
        <v>22410.0</v>
      </c>
      <c r="O400" s="110">
        <v>21740.0</v>
      </c>
      <c r="P400" s="110">
        <v>51623.0</v>
      </c>
      <c r="Q400" s="110">
        <v>22940.0</v>
      </c>
      <c r="R400" s="50">
        <v>100220.0</v>
      </c>
      <c r="S400" s="111">
        <v>51.0</v>
      </c>
      <c r="T400" s="112">
        <v>68.0</v>
      </c>
      <c r="U400" s="24" t="s">
        <v>31</v>
      </c>
      <c r="V400" s="11" t="s">
        <v>3969</v>
      </c>
      <c r="W400" s="108">
        <v>8.0</v>
      </c>
      <c r="X400" s="113">
        <v>40922.0</v>
      </c>
      <c r="Y400" s="113">
        <v>90913.0</v>
      </c>
      <c r="Z400" s="11">
        <v>124.0</v>
      </c>
      <c r="AA400" s="113">
        <v>11317.0</v>
      </c>
      <c r="AB400" s="109">
        <v>-66691.89</v>
      </c>
      <c r="AC400" s="113">
        <v>40322.0</v>
      </c>
      <c r="AD400" s="108">
        <v>7.0</v>
      </c>
    </row>
    <row r="401">
      <c r="A401" s="11">
        <v>28.0</v>
      </c>
      <c r="B401" s="11">
        <v>1.0</v>
      </c>
      <c r="C401" s="11">
        <v>9.0</v>
      </c>
      <c r="D401" s="17">
        <v>51.0</v>
      </c>
      <c r="E401" s="108">
        <v>6.0</v>
      </c>
      <c r="F401" s="109">
        <v>-61217.84</v>
      </c>
      <c r="G401" s="109">
        <v>10634.15</v>
      </c>
      <c r="H401" s="109">
        <v>-65113.33</v>
      </c>
      <c r="I401" s="109">
        <v>-77999.63</v>
      </c>
      <c r="J401" s="109">
        <v>-77451.89</v>
      </c>
      <c r="K401" s="109">
        <v>15046.12</v>
      </c>
      <c r="L401" s="109">
        <v>62216.38</v>
      </c>
      <c r="M401" s="109">
        <v>98392.24</v>
      </c>
      <c r="N401" s="110">
        <v>50214.0</v>
      </c>
      <c r="O401" s="110">
        <v>42734.0</v>
      </c>
      <c r="P401" s="110">
        <v>51123.0</v>
      </c>
      <c r="Q401" s="110">
        <v>43034.0</v>
      </c>
      <c r="R401" s="50">
        <v>21322.0</v>
      </c>
      <c r="S401" s="111">
        <v>55.0</v>
      </c>
      <c r="T401" s="112">
        <v>39.0</v>
      </c>
      <c r="U401" s="24" t="s">
        <v>39</v>
      </c>
      <c r="V401" s="11" t="s">
        <v>4019</v>
      </c>
      <c r="W401" s="108">
        <v>6.0</v>
      </c>
      <c r="X401" s="113">
        <v>31321.0</v>
      </c>
      <c r="Y401" s="113">
        <v>91019.0</v>
      </c>
      <c r="Z401" s="11">
        <v>196.0</v>
      </c>
      <c r="AA401" s="113">
        <v>11819.0</v>
      </c>
      <c r="AB401" s="109">
        <v>13639.22</v>
      </c>
      <c r="AC401" s="113">
        <v>10816.0</v>
      </c>
      <c r="AD401" s="108">
        <v>4.0</v>
      </c>
    </row>
    <row r="402">
      <c r="A402" s="11">
        <v>28.0</v>
      </c>
      <c r="B402" s="11">
        <v>2.0</v>
      </c>
      <c r="C402" s="11">
        <v>2.0</v>
      </c>
      <c r="D402" s="17">
        <v>38.0</v>
      </c>
      <c r="E402" s="108">
        <v>9.0</v>
      </c>
      <c r="F402" s="109">
        <v>63873.57</v>
      </c>
      <c r="G402" s="109">
        <v>-82651.69</v>
      </c>
      <c r="H402" s="109">
        <v>74071.44</v>
      </c>
      <c r="I402" s="109">
        <v>-97519.75</v>
      </c>
      <c r="J402" s="109">
        <v>14753.46</v>
      </c>
      <c r="K402" s="109">
        <v>59008.19</v>
      </c>
      <c r="L402" s="109">
        <v>-38385.48</v>
      </c>
      <c r="M402" s="109">
        <v>-2147.13</v>
      </c>
      <c r="N402" s="110">
        <v>60413.0</v>
      </c>
      <c r="O402" s="110">
        <v>53033.0</v>
      </c>
      <c r="P402" s="110">
        <v>52023.0</v>
      </c>
      <c r="Q402" s="110">
        <v>53133.0</v>
      </c>
      <c r="R402" s="50">
        <v>30620.0</v>
      </c>
      <c r="S402" s="111">
        <v>51.0</v>
      </c>
      <c r="T402" s="112">
        <v>60.0</v>
      </c>
      <c r="U402" s="24" t="s">
        <v>48</v>
      </c>
      <c r="V402" s="11" t="s">
        <v>4040</v>
      </c>
      <c r="W402" s="108">
        <v>8.0</v>
      </c>
      <c r="X402" s="113">
        <v>81014.0</v>
      </c>
      <c r="Y402" s="113">
        <v>81122.0</v>
      </c>
      <c r="Z402" s="11">
        <v>180.0</v>
      </c>
      <c r="AA402" s="113">
        <v>72713.0</v>
      </c>
      <c r="AB402" s="109">
        <v>-47093.61</v>
      </c>
      <c r="AC402" s="113">
        <v>82119.0</v>
      </c>
      <c r="AD402" s="108">
        <v>0.0</v>
      </c>
    </row>
    <row r="403">
      <c r="A403" s="11">
        <v>28.0</v>
      </c>
      <c r="B403" s="11">
        <v>2.0</v>
      </c>
      <c r="C403" s="11">
        <v>5.0</v>
      </c>
      <c r="D403" s="17">
        <v>47.0</v>
      </c>
      <c r="E403" s="108">
        <v>8.0</v>
      </c>
      <c r="F403" s="109">
        <v>-21659.99</v>
      </c>
      <c r="G403" s="109">
        <v>-90390.65</v>
      </c>
      <c r="H403" s="109">
        <v>59389.24</v>
      </c>
      <c r="I403" s="109">
        <v>-67447.59</v>
      </c>
      <c r="J403" s="109">
        <v>-19547.42</v>
      </c>
      <c r="K403" s="109">
        <v>16948.29</v>
      </c>
      <c r="L403" s="109">
        <v>-13062.19</v>
      </c>
      <c r="M403" s="109">
        <v>70900.83</v>
      </c>
      <c r="N403" s="110">
        <v>40413.0</v>
      </c>
      <c r="O403" s="110">
        <v>32843.0</v>
      </c>
      <c r="P403" s="110">
        <v>52123.0</v>
      </c>
      <c r="Q403" s="110">
        <v>33143.0</v>
      </c>
      <c r="R403" s="50">
        <v>71220.0</v>
      </c>
      <c r="S403" s="111">
        <v>51.0</v>
      </c>
      <c r="T403" s="112">
        <v>65.0</v>
      </c>
      <c r="U403" s="24" t="s">
        <v>31</v>
      </c>
      <c r="V403" s="11" t="s">
        <v>4050</v>
      </c>
      <c r="W403" s="108">
        <v>1.0</v>
      </c>
      <c r="X403" s="113">
        <v>60318.0</v>
      </c>
      <c r="Y403" s="113">
        <v>80520.0</v>
      </c>
      <c r="Z403" s="11">
        <v>138.0</v>
      </c>
      <c r="AA403" s="113">
        <v>62818.0</v>
      </c>
      <c r="AB403" s="109">
        <v>66903.32</v>
      </c>
      <c r="AC403" s="113">
        <v>122018.0</v>
      </c>
      <c r="AD403" s="108">
        <v>7.0</v>
      </c>
    </row>
    <row r="404">
      <c r="A404" s="11">
        <v>28.0</v>
      </c>
      <c r="B404" s="11">
        <v>2.0</v>
      </c>
      <c r="C404" s="11">
        <v>8.0</v>
      </c>
      <c r="D404" s="17">
        <v>32.0</v>
      </c>
      <c r="E404" s="108">
        <v>5.0</v>
      </c>
      <c r="F404" s="109">
        <v>68702.62</v>
      </c>
      <c r="G404" s="109">
        <v>1225.05</v>
      </c>
      <c r="H404" s="109">
        <v>-23742.4</v>
      </c>
      <c r="I404" s="109">
        <v>-4518.58</v>
      </c>
      <c r="J404" s="109">
        <v>-28685.36</v>
      </c>
      <c r="K404" s="109">
        <v>52103.5</v>
      </c>
      <c r="L404" s="109">
        <v>-48517.07</v>
      </c>
      <c r="M404" s="109">
        <v>5081.67</v>
      </c>
      <c r="N404" s="110">
        <v>101411.0</v>
      </c>
      <c r="O404" s="110">
        <v>100641.0</v>
      </c>
      <c r="P404" s="110">
        <v>50123.0</v>
      </c>
      <c r="Q404" s="110">
        <v>103141.0</v>
      </c>
      <c r="R404" s="50">
        <v>71221.0</v>
      </c>
      <c r="S404" s="111">
        <v>51.0</v>
      </c>
      <c r="T404" s="112">
        <v>3.0</v>
      </c>
      <c r="U404" s="24" t="s">
        <v>603</v>
      </c>
      <c r="V404" s="11" t="s">
        <v>3913</v>
      </c>
      <c r="W404" s="108">
        <v>8.0</v>
      </c>
      <c r="X404" s="113">
        <v>43118.0</v>
      </c>
      <c r="Y404" s="113">
        <v>113123.0</v>
      </c>
      <c r="Z404" s="11">
        <v>107.0</v>
      </c>
      <c r="AA404" s="113">
        <v>33019.0</v>
      </c>
      <c r="AB404" s="109">
        <v>-37403.09</v>
      </c>
      <c r="AC404" s="113">
        <v>90715.0</v>
      </c>
      <c r="AD404" s="108">
        <v>2.0</v>
      </c>
    </row>
    <row r="405">
      <c r="A405" s="11">
        <v>89.0</v>
      </c>
      <c r="B405" s="11">
        <v>7.0</v>
      </c>
      <c r="C405" s="11">
        <v>3.0</v>
      </c>
      <c r="D405" s="17">
        <v>4.0</v>
      </c>
      <c r="E405" s="108">
        <v>9.0</v>
      </c>
      <c r="F405" s="109">
        <v>-25405.25</v>
      </c>
      <c r="G405" s="109">
        <v>93473.69</v>
      </c>
      <c r="H405" s="109">
        <v>83850.36</v>
      </c>
      <c r="I405" s="109">
        <v>86058.17</v>
      </c>
      <c r="J405" s="109">
        <v>6292.35</v>
      </c>
      <c r="K405" s="109">
        <v>-66653.0</v>
      </c>
      <c r="L405" s="109">
        <v>-50591.39</v>
      </c>
      <c r="M405" s="109">
        <v>16124.82</v>
      </c>
      <c r="N405" s="110">
        <v>100712.0</v>
      </c>
      <c r="O405" s="110">
        <v>100232.0</v>
      </c>
      <c r="P405" s="110">
        <v>51323.0</v>
      </c>
      <c r="Q405" s="110">
        <v>103132.0</v>
      </c>
      <c r="R405" s="50">
        <v>53021.0</v>
      </c>
      <c r="S405" s="111">
        <v>51.0</v>
      </c>
      <c r="T405" s="112">
        <v>32.0</v>
      </c>
      <c r="U405" s="24" t="s">
        <v>601</v>
      </c>
      <c r="V405" s="11" t="s">
        <v>3996</v>
      </c>
      <c r="W405" s="108">
        <v>7.0</v>
      </c>
      <c r="X405" s="113">
        <v>82621.0</v>
      </c>
      <c r="Y405" s="113">
        <v>91223.0</v>
      </c>
      <c r="Z405" s="11">
        <v>187.0</v>
      </c>
      <c r="AA405" s="113">
        <v>51323.0</v>
      </c>
      <c r="AB405" s="109">
        <v>-33685.28</v>
      </c>
      <c r="AC405" s="113">
        <v>71021.0</v>
      </c>
      <c r="AD405" s="108">
        <v>7.0</v>
      </c>
    </row>
    <row r="406">
      <c r="A406" s="11">
        <v>48.0</v>
      </c>
      <c r="B406" s="11">
        <v>7.0</v>
      </c>
      <c r="C406" s="11">
        <v>9.0</v>
      </c>
      <c r="D406" s="17">
        <v>44.0</v>
      </c>
      <c r="E406" s="108">
        <v>6.0</v>
      </c>
      <c r="F406" s="109">
        <v>-40017.72</v>
      </c>
      <c r="G406" s="109">
        <v>6536.88</v>
      </c>
      <c r="H406" s="109">
        <v>-2240.31</v>
      </c>
      <c r="I406" s="109">
        <v>3919.6</v>
      </c>
      <c r="J406" s="109">
        <v>-97646.99</v>
      </c>
      <c r="K406" s="109">
        <v>-6149.47</v>
      </c>
      <c r="L406" s="109">
        <v>-42570.68</v>
      </c>
      <c r="M406" s="109">
        <v>-72356.84</v>
      </c>
      <c r="N406" s="110">
        <v>92612.0</v>
      </c>
      <c r="O406" s="110">
        <v>92422.0</v>
      </c>
      <c r="P406" s="110">
        <v>51423.0</v>
      </c>
      <c r="Q406" s="110">
        <v>93022.0</v>
      </c>
      <c r="R406" s="50">
        <v>62615.0</v>
      </c>
      <c r="S406" s="111">
        <v>50.0</v>
      </c>
      <c r="T406" s="112">
        <v>18.0</v>
      </c>
      <c r="U406" s="24" t="s">
        <v>39</v>
      </c>
      <c r="V406" s="11" t="s">
        <v>3983</v>
      </c>
      <c r="W406" s="108">
        <v>3.0</v>
      </c>
      <c r="X406" s="113">
        <v>112818.0</v>
      </c>
      <c r="Y406" s="113">
        <v>90419.0</v>
      </c>
      <c r="Z406" s="11">
        <v>134.0</v>
      </c>
      <c r="AA406" s="113">
        <v>70623.0</v>
      </c>
      <c r="AB406" s="109">
        <v>25353.08</v>
      </c>
      <c r="AC406" s="113">
        <v>32523.0</v>
      </c>
      <c r="AD406" s="108">
        <v>4.0</v>
      </c>
    </row>
    <row r="407">
      <c r="A407" s="11">
        <v>89.0</v>
      </c>
      <c r="B407" s="11">
        <v>7.0</v>
      </c>
      <c r="C407" s="11">
        <v>6.0</v>
      </c>
      <c r="D407" s="17">
        <v>24.0</v>
      </c>
      <c r="E407" s="108">
        <v>9.0</v>
      </c>
      <c r="F407" s="109">
        <v>96473.58</v>
      </c>
      <c r="G407" s="109">
        <v>-34867.18</v>
      </c>
      <c r="H407" s="109">
        <v>-14158.38</v>
      </c>
      <c r="I407" s="109">
        <v>43824.39</v>
      </c>
      <c r="J407" s="109">
        <v>-96083.77</v>
      </c>
      <c r="K407" s="109">
        <v>-8982.23</v>
      </c>
      <c r="L407" s="109">
        <v>-16065.9</v>
      </c>
      <c r="M407" s="109">
        <v>16254.49</v>
      </c>
      <c r="N407" s="110">
        <v>11910.0</v>
      </c>
      <c r="O407" s="110">
        <v>11720.0</v>
      </c>
      <c r="P407" s="110">
        <v>51723.0</v>
      </c>
      <c r="Q407" s="110">
        <v>13120.0</v>
      </c>
      <c r="R407" s="50">
        <v>80819.0</v>
      </c>
      <c r="S407" s="111">
        <v>55.0</v>
      </c>
      <c r="T407" s="112">
        <v>52.0</v>
      </c>
      <c r="U407" s="24" t="s">
        <v>31</v>
      </c>
      <c r="V407" s="11" t="s">
        <v>4015</v>
      </c>
      <c r="W407" s="108">
        <v>1.0</v>
      </c>
      <c r="X407" s="113">
        <v>120418.0</v>
      </c>
      <c r="Y407" s="113">
        <v>82921.0</v>
      </c>
      <c r="Z407" s="11">
        <v>171.0</v>
      </c>
      <c r="AA407" s="113">
        <v>60523.0</v>
      </c>
      <c r="AB407" s="109">
        <v>48923.68</v>
      </c>
      <c r="AC407" s="113">
        <v>22715.0</v>
      </c>
      <c r="AD407" s="108">
        <v>0.0</v>
      </c>
    </row>
    <row r="408">
      <c r="A408" s="11">
        <v>28.0</v>
      </c>
      <c r="B408" s="11">
        <v>3.0</v>
      </c>
      <c r="C408" s="11">
        <v>5.0</v>
      </c>
      <c r="D408" s="17">
        <v>51.0</v>
      </c>
      <c r="E408" s="108">
        <v>2.0</v>
      </c>
      <c r="F408" s="109">
        <v>-84257.1</v>
      </c>
      <c r="G408" s="109">
        <v>37867.34</v>
      </c>
      <c r="H408" s="109">
        <v>-93039.23</v>
      </c>
      <c r="I408" s="109">
        <v>40320.53</v>
      </c>
      <c r="J408" s="109">
        <v>-4450.87</v>
      </c>
      <c r="K408" s="109">
        <v>-65640.32</v>
      </c>
      <c r="L408" s="109">
        <v>-55204.96</v>
      </c>
      <c r="M408" s="109">
        <v>-88359.07</v>
      </c>
      <c r="N408" s="110">
        <v>32114.0</v>
      </c>
      <c r="O408" s="110">
        <v>31344.0</v>
      </c>
      <c r="P408" s="110">
        <v>50423.0</v>
      </c>
      <c r="Q408" s="110">
        <v>33144.0</v>
      </c>
      <c r="R408" s="50">
        <v>121921.0</v>
      </c>
      <c r="S408" s="111">
        <v>52.0</v>
      </c>
      <c r="T408" s="112">
        <v>69.0</v>
      </c>
      <c r="U408" s="24" t="s">
        <v>31</v>
      </c>
      <c r="V408" s="11" t="s">
        <v>3997</v>
      </c>
      <c r="W408" s="108">
        <v>7.0</v>
      </c>
      <c r="X408" s="113">
        <v>71716.0</v>
      </c>
      <c r="Y408" s="113">
        <v>12618.0</v>
      </c>
      <c r="Z408" s="11">
        <v>150.0</v>
      </c>
      <c r="AA408" s="113">
        <v>62120.0</v>
      </c>
      <c r="AB408" s="109">
        <v>45189.54</v>
      </c>
      <c r="AC408" s="113">
        <v>31722.0</v>
      </c>
      <c r="AD408" s="108">
        <v>3.0</v>
      </c>
    </row>
    <row r="409">
      <c r="A409" s="11">
        <v>69.0</v>
      </c>
      <c r="B409" s="11">
        <v>3.0</v>
      </c>
      <c r="C409" s="11">
        <v>2.0</v>
      </c>
      <c r="D409" s="17">
        <v>23.0</v>
      </c>
      <c r="E409" s="108">
        <v>0.0</v>
      </c>
      <c r="F409" s="109">
        <v>69899.81</v>
      </c>
      <c r="G409" s="109">
        <v>22334.69</v>
      </c>
      <c r="H409" s="109">
        <v>-17927.37</v>
      </c>
      <c r="I409" s="109">
        <v>-27496.0</v>
      </c>
      <c r="J409" s="109">
        <v>-39818.27</v>
      </c>
      <c r="K409" s="109">
        <v>56849.32</v>
      </c>
      <c r="L409" s="109">
        <v>5465.36</v>
      </c>
      <c r="M409" s="109">
        <v>40810.58</v>
      </c>
      <c r="N409" s="110">
        <v>52613.0</v>
      </c>
      <c r="O409" s="110">
        <v>52133.0</v>
      </c>
      <c r="P409" s="110">
        <v>50423.0</v>
      </c>
      <c r="Q409" s="110">
        <v>53133.0</v>
      </c>
      <c r="R409" s="50">
        <v>70421.0</v>
      </c>
      <c r="S409" s="111">
        <v>54.0</v>
      </c>
      <c r="T409" s="112">
        <v>87.0</v>
      </c>
      <c r="U409" s="24" t="s">
        <v>39</v>
      </c>
      <c r="V409" s="11" t="s">
        <v>3965</v>
      </c>
      <c r="W409" s="108">
        <v>3.0</v>
      </c>
      <c r="X409" s="113">
        <v>80423.0</v>
      </c>
      <c r="Y409" s="113">
        <v>121022.0</v>
      </c>
      <c r="Z409" s="11">
        <v>146.0</v>
      </c>
      <c r="AA409" s="113">
        <v>61115.0</v>
      </c>
      <c r="AB409" s="109">
        <v>8465.64</v>
      </c>
      <c r="AC409" s="113">
        <v>101814.0</v>
      </c>
      <c r="AD409" s="108">
        <v>1.0</v>
      </c>
    </row>
    <row r="410">
      <c r="A410" s="11">
        <v>89.0</v>
      </c>
      <c r="B410" s="11">
        <v>8.0</v>
      </c>
      <c r="C410" s="11">
        <v>1.0</v>
      </c>
      <c r="D410" s="17">
        <v>69.0</v>
      </c>
      <c r="E410" s="108">
        <v>1.0</v>
      </c>
      <c r="F410" s="109">
        <v>64594.61</v>
      </c>
      <c r="G410" s="109">
        <v>-13576.64</v>
      </c>
      <c r="H410" s="109">
        <v>-18379.34</v>
      </c>
      <c r="I410" s="109">
        <v>61443.5</v>
      </c>
      <c r="J410" s="109">
        <v>-14129.46</v>
      </c>
      <c r="K410" s="109">
        <v>77014.16</v>
      </c>
      <c r="L410" s="109">
        <v>64289.92</v>
      </c>
      <c r="M410" s="109">
        <v>45892.66</v>
      </c>
      <c r="N410" s="110">
        <v>92713.0</v>
      </c>
      <c r="O410" s="110">
        <v>92233.0</v>
      </c>
      <c r="P410" s="110">
        <v>52123.0</v>
      </c>
      <c r="Q410" s="110">
        <v>93033.0</v>
      </c>
      <c r="R410" s="50">
        <v>30619.0</v>
      </c>
      <c r="S410" s="111">
        <v>54.0</v>
      </c>
      <c r="T410" s="112">
        <v>58.0</v>
      </c>
      <c r="U410" s="24" t="s">
        <v>603</v>
      </c>
      <c r="V410" s="11" t="s">
        <v>4045</v>
      </c>
      <c r="W410" s="108">
        <v>8.0</v>
      </c>
      <c r="X410" s="113">
        <v>23122.0</v>
      </c>
      <c r="Y410" s="113">
        <v>32016.0</v>
      </c>
      <c r="Z410" s="11">
        <v>129.0</v>
      </c>
      <c r="AA410" s="113">
        <v>50219.0</v>
      </c>
      <c r="AB410" s="109">
        <v>-98401.98</v>
      </c>
      <c r="AC410" s="113">
        <v>110214.0</v>
      </c>
      <c r="AD410" s="108">
        <v>1.0</v>
      </c>
    </row>
    <row r="411">
      <c r="A411" s="11">
        <v>48.0</v>
      </c>
      <c r="B411" s="11">
        <v>8.0</v>
      </c>
      <c r="C411" s="11">
        <v>7.0</v>
      </c>
      <c r="D411" s="17">
        <v>33.0</v>
      </c>
      <c r="E411" s="108">
        <v>4.0</v>
      </c>
      <c r="F411" s="109">
        <v>-12863.12</v>
      </c>
      <c r="G411" s="109">
        <v>20311.48</v>
      </c>
      <c r="H411" s="109">
        <v>-30288.9</v>
      </c>
      <c r="I411" s="109">
        <v>78098.4</v>
      </c>
      <c r="J411" s="109">
        <v>13170.09</v>
      </c>
      <c r="K411" s="109">
        <v>-98227.88</v>
      </c>
      <c r="L411" s="109">
        <v>-14034.38</v>
      </c>
      <c r="M411" s="109">
        <v>-79197.08</v>
      </c>
      <c r="N411" s="110">
        <v>112810.0</v>
      </c>
      <c r="O411" s="110">
        <v>112040.0</v>
      </c>
      <c r="P411" s="110">
        <v>50923.0</v>
      </c>
      <c r="Q411" s="110">
        <v>113040.0</v>
      </c>
      <c r="R411" s="50">
        <v>91115.0</v>
      </c>
      <c r="S411" s="111">
        <v>55.0</v>
      </c>
      <c r="T411" s="112">
        <v>42.0</v>
      </c>
      <c r="U411" s="24" t="s">
        <v>601</v>
      </c>
      <c r="V411" s="11" t="s">
        <v>3990</v>
      </c>
      <c r="W411" s="108">
        <v>6.0</v>
      </c>
      <c r="X411" s="113">
        <v>102622.0</v>
      </c>
      <c r="Y411" s="113">
        <v>51114.0</v>
      </c>
      <c r="Z411" s="11">
        <v>169.0</v>
      </c>
      <c r="AA411" s="113">
        <v>82614.0</v>
      </c>
      <c r="AB411" s="109">
        <v>10406.5</v>
      </c>
      <c r="AC411" s="113">
        <v>92822.0</v>
      </c>
      <c r="AD411" s="108">
        <v>1.0</v>
      </c>
    </row>
    <row r="412">
      <c r="A412" s="11">
        <v>69.0</v>
      </c>
      <c r="B412" s="11">
        <v>3.0</v>
      </c>
      <c r="C412" s="11">
        <v>6.0</v>
      </c>
      <c r="D412" s="17">
        <v>92.0</v>
      </c>
      <c r="E412" s="108">
        <v>7.0</v>
      </c>
      <c r="F412" s="109">
        <v>-22804.02</v>
      </c>
      <c r="G412" s="109">
        <v>-97590.52</v>
      </c>
      <c r="H412" s="109">
        <v>52189.03</v>
      </c>
      <c r="I412" s="109">
        <v>-19769.66</v>
      </c>
      <c r="J412" s="109">
        <v>23223.52</v>
      </c>
      <c r="K412" s="109">
        <v>69087.44</v>
      </c>
      <c r="L412" s="109">
        <v>68682.98</v>
      </c>
      <c r="M412" s="109">
        <v>44261.46</v>
      </c>
      <c r="N412" s="110">
        <v>12910.0</v>
      </c>
      <c r="O412" s="110">
        <v>12720.0</v>
      </c>
      <c r="P412" s="110">
        <v>51823.0</v>
      </c>
      <c r="Q412" s="110">
        <v>13120.0</v>
      </c>
      <c r="R412" s="50">
        <v>122018.0</v>
      </c>
      <c r="S412" s="111">
        <v>55.0</v>
      </c>
      <c r="T412" s="112">
        <v>37.0</v>
      </c>
      <c r="U412" s="24" t="s">
        <v>39</v>
      </c>
      <c r="V412" s="11" t="s">
        <v>4015</v>
      </c>
      <c r="W412" s="108">
        <v>9.0</v>
      </c>
      <c r="X412" s="113">
        <v>11118.0</v>
      </c>
      <c r="Y412" s="113">
        <v>20219.0</v>
      </c>
      <c r="Z412" s="11">
        <v>200.0</v>
      </c>
      <c r="AA412" s="113">
        <v>50914.0</v>
      </c>
      <c r="AB412" s="109">
        <v>28112.39</v>
      </c>
      <c r="AC412" s="113">
        <v>122616.0</v>
      </c>
      <c r="AD412" s="108">
        <v>7.0</v>
      </c>
    </row>
    <row r="413">
      <c r="A413" s="11">
        <v>89.0</v>
      </c>
      <c r="B413" s="11">
        <v>8.0</v>
      </c>
      <c r="C413" s="11">
        <v>6.0</v>
      </c>
      <c r="D413" s="17">
        <v>25.0</v>
      </c>
      <c r="E413" s="108">
        <v>0.0</v>
      </c>
      <c r="F413" s="109">
        <v>-75827.22</v>
      </c>
      <c r="G413" s="109">
        <v>95502.85</v>
      </c>
      <c r="H413" s="109">
        <v>63552.94</v>
      </c>
      <c r="I413" s="109">
        <v>12319.43</v>
      </c>
      <c r="J413" s="109">
        <v>38225.63</v>
      </c>
      <c r="K413" s="109">
        <v>10017.36</v>
      </c>
      <c r="L413" s="109">
        <v>-10578.67</v>
      </c>
      <c r="M413" s="109">
        <v>85720.03</v>
      </c>
      <c r="N413" s="110">
        <v>90514.0</v>
      </c>
      <c r="O413" s="110">
        <v>83134.0</v>
      </c>
      <c r="P413" s="110">
        <v>52423.0</v>
      </c>
      <c r="Q413" s="110">
        <v>83134.0</v>
      </c>
      <c r="R413" s="50">
        <v>92216.0</v>
      </c>
      <c r="S413" s="111">
        <v>53.0</v>
      </c>
      <c r="T413" s="112">
        <v>15.0</v>
      </c>
      <c r="U413" s="24" t="s">
        <v>601</v>
      </c>
      <c r="V413" s="11" t="s">
        <v>4040</v>
      </c>
      <c r="W413" s="108">
        <v>9.0</v>
      </c>
      <c r="X413" s="113">
        <v>10516.0</v>
      </c>
      <c r="Y413" s="113">
        <v>72418.0</v>
      </c>
      <c r="Z413" s="11">
        <v>173.0</v>
      </c>
      <c r="AA413" s="113">
        <v>11517.0</v>
      </c>
      <c r="AB413" s="109">
        <v>9200.24</v>
      </c>
      <c r="AC413" s="113">
        <v>61918.0</v>
      </c>
      <c r="AD413" s="108">
        <v>3.0</v>
      </c>
    </row>
    <row r="414">
      <c r="A414" s="11">
        <v>28.0</v>
      </c>
      <c r="B414" s="11">
        <v>4.0</v>
      </c>
      <c r="C414" s="11">
        <v>3.0</v>
      </c>
      <c r="D414" s="17">
        <v>96.0</v>
      </c>
      <c r="E414" s="108">
        <v>5.0</v>
      </c>
      <c r="F414" s="109">
        <v>54316.77</v>
      </c>
      <c r="G414" s="109">
        <v>-63637.21</v>
      </c>
      <c r="H414" s="109">
        <v>-86748.87</v>
      </c>
      <c r="I414" s="109">
        <v>-83450.17</v>
      </c>
      <c r="J414" s="109">
        <v>86368.92</v>
      </c>
      <c r="K414" s="109">
        <v>-81780.6</v>
      </c>
      <c r="L414" s="109">
        <v>30962.67</v>
      </c>
      <c r="M414" s="109">
        <v>-96324.91</v>
      </c>
      <c r="N414" s="110">
        <v>111813.0</v>
      </c>
      <c r="O414" s="110">
        <v>111623.0</v>
      </c>
      <c r="P414" s="110">
        <v>50323.0</v>
      </c>
      <c r="Q414" s="110">
        <v>113023.0</v>
      </c>
      <c r="R414" s="50">
        <v>93013.0</v>
      </c>
      <c r="S414" s="111">
        <v>53.0</v>
      </c>
      <c r="T414" s="112">
        <v>34.0</v>
      </c>
      <c r="U414" s="24" t="s">
        <v>603</v>
      </c>
      <c r="V414" s="11" t="s">
        <v>3975</v>
      </c>
      <c r="W414" s="108">
        <v>7.0</v>
      </c>
      <c r="X414" s="113">
        <v>41817.0</v>
      </c>
      <c r="Y414" s="113">
        <v>20421.0</v>
      </c>
      <c r="Z414" s="11">
        <v>153.0</v>
      </c>
      <c r="AA414" s="113">
        <v>102421.0</v>
      </c>
      <c r="AB414" s="109">
        <v>77302.06</v>
      </c>
      <c r="AC414" s="113">
        <v>71022.0</v>
      </c>
      <c r="AD414" s="108">
        <v>8.0</v>
      </c>
    </row>
    <row r="415">
      <c r="A415" s="11">
        <v>48.0</v>
      </c>
      <c r="B415" s="11">
        <v>9.0</v>
      </c>
      <c r="C415" s="11">
        <v>1.0</v>
      </c>
      <c r="D415" s="17">
        <v>20.0</v>
      </c>
      <c r="E415" s="108">
        <v>8.0</v>
      </c>
      <c r="F415" s="109">
        <v>18308.13</v>
      </c>
      <c r="G415" s="109">
        <v>26919.42</v>
      </c>
      <c r="H415" s="109">
        <v>59925.16</v>
      </c>
      <c r="I415" s="109">
        <v>91430.94</v>
      </c>
      <c r="J415" s="109">
        <v>-46058.14</v>
      </c>
      <c r="K415" s="109">
        <v>25134.73</v>
      </c>
      <c r="L415" s="109">
        <v>42836.11</v>
      </c>
      <c r="M415" s="109">
        <v>-34561.16</v>
      </c>
      <c r="N415" s="110">
        <v>120410.0</v>
      </c>
      <c r="O415" s="110">
        <v>112640.0</v>
      </c>
      <c r="P415" s="110">
        <v>52823.0</v>
      </c>
      <c r="Q415" s="110">
        <v>113040.0</v>
      </c>
      <c r="R415" s="50">
        <v>81520.0</v>
      </c>
      <c r="S415" s="111">
        <v>52.0</v>
      </c>
      <c r="T415" s="112">
        <v>53.0</v>
      </c>
      <c r="U415" s="24" t="s">
        <v>48</v>
      </c>
      <c r="V415" s="11" t="s">
        <v>4051</v>
      </c>
      <c r="W415" s="108">
        <v>4.0</v>
      </c>
      <c r="X415" s="113">
        <v>60317.0</v>
      </c>
      <c r="Y415" s="113">
        <v>102318.0</v>
      </c>
      <c r="Z415" s="11">
        <v>188.0</v>
      </c>
      <c r="AA415" s="113">
        <v>12020.0</v>
      </c>
      <c r="AB415" s="109">
        <v>-44807.04</v>
      </c>
      <c r="AC415" s="113">
        <v>101521.0</v>
      </c>
      <c r="AD415" s="108">
        <v>5.0</v>
      </c>
    </row>
    <row r="416">
      <c r="A416" s="11">
        <v>89.0</v>
      </c>
      <c r="B416" s="11">
        <v>8.0</v>
      </c>
      <c r="C416" s="11">
        <v>9.0</v>
      </c>
      <c r="D416" s="17">
        <v>75.0</v>
      </c>
      <c r="E416" s="108">
        <v>4.0</v>
      </c>
      <c r="F416" s="109">
        <v>1764.67</v>
      </c>
      <c r="G416" s="109">
        <v>38132.14</v>
      </c>
      <c r="H416" s="109">
        <v>-20245.01</v>
      </c>
      <c r="I416" s="109">
        <v>45786.93</v>
      </c>
      <c r="J416" s="109">
        <v>-11804.19</v>
      </c>
      <c r="K416" s="109">
        <v>86533.98</v>
      </c>
      <c r="L416" s="109">
        <v>51678.74</v>
      </c>
      <c r="M416" s="109">
        <v>-24098.5</v>
      </c>
      <c r="N416" s="110">
        <v>12814.0</v>
      </c>
      <c r="O416" s="110">
        <v>12624.0</v>
      </c>
      <c r="P416" s="110">
        <v>51323.0</v>
      </c>
      <c r="Q416" s="110">
        <v>13124.0</v>
      </c>
      <c r="R416" s="50">
        <v>31013.0</v>
      </c>
      <c r="S416" s="111">
        <v>51.0</v>
      </c>
      <c r="T416" s="112">
        <v>73.0</v>
      </c>
      <c r="U416" s="24" t="s">
        <v>603</v>
      </c>
      <c r="V416" s="11" t="s">
        <v>3862</v>
      </c>
      <c r="W416" s="108">
        <v>6.0</v>
      </c>
      <c r="X416" s="113">
        <v>50320.0</v>
      </c>
      <c r="Y416" s="113">
        <v>92420.0</v>
      </c>
      <c r="Z416" s="11">
        <v>117.0</v>
      </c>
      <c r="AA416" s="113">
        <v>30619.0</v>
      </c>
      <c r="AB416" s="109">
        <v>-7758.46</v>
      </c>
      <c r="AC416" s="113">
        <v>23117.0</v>
      </c>
      <c r="AD416" s="108">
        <v>8.0</v>
      </c>
    </row>
    <row r="417">
      <c r="A417" s="11">
        <v>69.0</v>
      </c>
      <c r="B417" s="11">
        <v>4.0</v>
      </c>
      <c r="C417" s="11">
        <v>1.0</v>
      </c>
      <c r="D417" s="17">
        <v>7.0</v>
      </c>
      <c r="E417" s="108">
        <v>7.0</v>
      </c>
      <c r="F417" s="109">
        <v>88508.95</v>
      </c>
      <c r="G417" s="109">
        <v>17833.25</v>
      </c>
      <c r="H417" s="109">
        <v>-40679.16</v>
      </c>
      <c r="I417" s="109">
        <v>4305.6</v>
      </c>
      <c r="J417" s="109">
        <v>80076.38</v>
      </c>
      <c r="K417" s="109">
        <v>34416.03</v>
      </c>
      <c r="L417" s="109">
        <v>-86463.82</v>
      </c>
      <c r="M417" s="109">
        <v>-86952.91</v>
      </c>
      <c r="N417" s="110">
        <v>80812.0</v>
      </c>
      <c r="O417" s="110">
        <v>80622.0</v>
      </c>
      <c r="P417" s="110">
        <v>51223.0</v>
      </c>
      <c r="Q417" s="110">
        <v>83122.0</v>
      </c>
      <c r="R417" s="50">
        <v>110214.0</v>
      </c>
      <c r="S417" s="111">
        <v>55.0</v>
      </c>
      <c r="T417" s="112">
        <v>7.0</v>
      </c>
      <c r="U417" s="24" t="s">
        <v>39</v>
      </c>
      <c r="V417" s="11" t="s">
        <v>3998</v>
      </c>
      <c r="W417" s="108">
        <v>2.0</v>
      </c>
      <c r="X417" s="113">
        <v>40122.0</v>
      </c>
      <c r="Y417" s="113">
        <v>50621.0</v>
      </c>
      <c r="Z417" s="11">
        <v>189.0</v>
      </c>
      <c r="AA417" s="113">
        <v>120218.0</v>
      </c>
      <c r="AB417" s="109">
        <v>-1017.26</v>
      </c>
      <c r="AC417" s="113">
        <v>90619.0</v>
      </c>
      <c r="AD417" s="108">
        <v>1.0</v>
      </c>
    </row>
    <row r="418">
      <c r="A418" s="11">
        <v>28.0</v>
      </c>
      <c r="B418" s="11">
        <v>5.0</v>
      </c>
      <c r="C418" s="11">
        <v>5.0</v>
      </c>
      <c r="D418" s="17">
        <v>77.0</v>
      </c>
      <c r="E418" s="108">
        <v>9.0</v>
      </c>
      <c r="F418" s="109">
        <v>41567.55</v>
      </c>
      <c r="G418" s="109">
        <v>89825.56</v>
      </c>
      <c r="H418" s="109">
        <v>7637.5</v>
      </c>
      <c r="I418" s="109">
        <v>-75421.92</v>
      </c>
      <c r="J418" s="109">
        <v>93312.21</v>
      </c>
      <c r="K418" s="109">
        <v>23836.32</v>
      </c>
      <c r="L418" s="109">
        <v>95153.24</v>
      </c>
      <c r="M418" s="109">
        <v>41432.36</v>
      </c>
      <c r="N418" s="110">
        <v>52011.0</v>
      </c>
      <c r="O418" s="110">
        <v>51721.0</v>
      </c>
      <c r="P418" s="110">
        <v>52123.0</v>
      </c>
      <c r="Q418" s="110">
        <v>53121.0</v>
      </c>
      <c r="R418" s="50">
        <v>50819.0</v>
      </c>
      <c r="S418" s="111">
        <v>50.0</v>
      </c>
      <c r="T418" s="112">
        <v>36.0</v>
      </c>
      <c r="U418" s="24" t="s">
        <v>39</v>
      </c>
      <c r="V418" s="11" t="s">
        <v>3883</v>
      </c>
      <c r="W418" s="108">
        <v>3.0</v>
      </c>
      <c r="X418" s="113">
        <v>42116.0</v>
      </c>
      <c r="Y418" s="113">
        <v>61413.0</v>
      </c>
      <c r="Z418" s="11">
        <v>193.0</v>
      </c>
      <c r="AA418" s="113">
        <v>52215.0</v>
      </c>
      <c r="AB418" s="109">
        <v>92318.27</v>
      </c>
      <c r="AC418" s="113">
        <v>43113.0</v>
      </c>
      <c r="AD418" s="108">
        <v>4.0</v>
      </c>
    </row>
    <row r="419">
      <c r="A419" s="11">
        <v>28.0</v>
      </c>
      <c r="B419" s="11">
        <v>5.0</v>
      </c>
      <c r="C419" s="11">
        <v>6.0</v>
      </c>
      <c r="D419" s="17">
        <v>60.0</v>
      </c>
      <c r="E419" s="108">
        <v>2.0</v>
      </c>
      <c r="F419" s="109">
        <v>84731.76</v>
      </c>
      <c r="G419" s="109">
        <v>1139.55</v>
      </c>
      <c r="H419" s="109">
        <v>14238.91</v>
      </c>
      <c r="I419" s="109">
        <v>-55013.85</v>
      </c>
      <c r="J419" s="109">
        <v>-91693.16</v>
      </c>
      <c r="K419" s="109">
        <v>88401.36</v>
      </c>
      <c r="L419" s="109">
        <v>42405.43</v>
      </c>
      <c r="M419" s="109">
        <v>-75275.92</v>
      </c>
      <c r="N419" s="110">
        <v>42310.0</v>
      </c>
      <c r="O419" s="110">
        <v>42020.0</v>
      </c>
      <c r="P419" s="110">
        <v>52323.0</v>
      </c>
      <c r="Q419" s="110">
        <v>43020.0</v>
      </c>
      <c r="R419" s="50">
        <v>111115.0</v>
      </c>
      <c r="S419" s="111">
        <v>54.0</v>
      </c>
      <c r="T419" s="112">
        <v>36.0</v>
      </c>
      <c r="U419" s="24" t="s">
        <v>601</v>
      </c>
      <c r="V419" s="11" t="s">
        <v>3960</v>
      </c>
      <c r="W419" s="108">
        <v>5.0</v>
      </c>
      <c r="X419" s="113">
        <v>81713.0</v>
      </c>
      <c r="Y419" s="113">
        <v>41614.0</v>
      </c>
      <c r="Z419" s="11">
        <v>151.0</v>
      </c>
      <c r="AA419" s="113">
        <v>60317.0</v>
      </c>
      <c r="AB419" s="109">
        <v>41224.73</v>
      </c>
      <c r="AC419" s="113">
        <v>120214.0</v>
      </c>
      <c r="AD419" s="108">
        <v>4.0</v>
      </c>
    </row>
    <row r="420">
      <c r="A420" s="11">
        <v>69.0</v>
      </c>
      <c r="B420" s="11">
        <v>5.0</v>
      </c>
      <c r="C420" s="11">
        <v>3.0</v>
      </c>
      <c r="D420" s="17">
        <v>15.0</v>
      </c>
      <c r="E420" s="108">
        <v>6.0</v>
      </c>
      <c r="F420" s="109">
        <v>-29886.79</v>
      </c>
      <c r="G420" s="109">
        <v>10075.02</v>
      </c>
      <c r="H420" s="109">
        <v>99244.24</v>
      </c>
      <c r="I420" s="109">
        <v>4544.96</v>
      </c>
      <c r="J420" s="109">
        <v>-36022.51</v>
      </c>
      <c r="K420" s="109">
        <v>-4373.38</v>
      </c>
      <c r="L420" s="109">
        <v>-33496.44</v>
      </c>
      <c r="M420" s="109">
        <v>-21738.55</v>
      </c>
      <c r="N420" s="110">
        <v>62513.0</v>
      </c>
      <c r="O420" s="110">
        <v>62323.0</v>
      </c>
      <c r="P420" s="110">
        <v>50823.0</v>
      </c>
      <c r="Q420" s="110">
        <v>63023.0</v>
      </c>
      <c r="R420" s="50">
        <v>62920.0</v>
      </c>
      <c r="S420" s="111">
        <v>54.0</v>
      </c>
      <c r="T420" s="112">
        <v>48.0</v>
      </c>
      <c r="U420" s="24" t="s">
        <v>48</v>
      </c>
      <c r="V420" s="11" t="s">
        <v>4012</v>
      </c>
      <c r="W420" s="108">
        <v>2.0</v>
      </c>
      <c r="X420" s="113">
        <v>51319.0</v>
      </c>
      <c r="Y420" s="113">
        <v>60814.0</v>
      </c>
      <c r="Z420" s="11">
        <v>109.0</v>
      </c>
      <c r="AA420" s="113">
        <v>121120.0</v>
      </c>
      <c r="AB420" s="109">
        <v>-54868.1</v>
      </c>
      <c r="AC420" s="113">
        <v>20721.0</v>
      </c>
      <c r="AD420" s="108">
        <v>6.0</v>
      </c>
    </row>
    <row r="421">
      <c r="A421" s="11">
        <v>28.0</v>
      </c>
      <c r="B421" s="11">
        <v>5.0</v>
      </c>
      <c r="C421" s="11">
        <v>9.0</v>
      </c>
      <c r="D421" s="17">
        <v>93.0</v>
      </c>
      <c r="E421" s="108">
        <v>4.0</v>
      </c>
      <c r="F421" s="109">
        <v>-99949.55</v>
      </c>
      <c r="G421" s="109">
        <v>97729.42</v>
      </c>
      <c r="H421" s="109">
        <v>2872.27</v>
      </c>
      <c r="I421" s="109">
        <v>28682.68</v>
      </c>
      <c r="J421" s="109">
        <v>-98513.37</v>
      </c>
      <c r="K421" s="109">
        <v>98642.96</v>
      </c>
      <c r="L421" s="109">
        <v>-21754.72</v>
      </c>
      <c r="M421" s="109">
        <v>62630.3</v>
      </c>
      <c r="N421" s="110">
        <v>111212.0</v>
      </c>
      <c r="O421" s="110">
        <v>110732.0</v>
      </c>
      <c r="P421" s="110">
        <v>52423.0</v>
      </c>
      <c r="Q421" s="110">
        <v>113032.0</v>
      </c>
      <c r="R421" s="50">
        <v>110117.0</v>
      </c>
      <c r="S421" s="111">
        <v>52.0</v>
      </c>
      <c r="T421" s="112">
        <v>48.0</v>
      </c>
      <c r="U421" s="24" t="s">
        <v>48</v>
      </c>
      <c r="V421" s="11" t="s">
        <v>4052</v>
      </c>
      <c r="W421" s="108">
        <v>2.0</v>
      </c>
      <c r="X421" s="113">
        <v>20917.0</v>
      </c>
      <c r="Y421" s="113">
        <v>100319.0</v>
      </c>
      <c r="Z421" s="11">
        <v>196.0</v>
      </c>
      <c r="AA421" s="113">
        <v>31223.0</v>
      </c>
      <c r="AB421" s="109">
        <v>-87265.35</v>
      </c>
      <c r="AC421" s="113">
        <v>41113.0</v>
      </c>
      <c r="AD421" s="108">
        <v>9.0</v>
      </c>
    </row>
    <row r="422">
      <c r="A422" s="11">
        <v>28.0</v>
      </c>
      <c r="B422" s="11">
        <v>6.0</v>
      </c>
      <c r="C422" s="11">
        <v>5.0</v>
      </c>
      <c r="D422" s="17">
        <v>65.0</v>
      </c>
      <c r="E422" s="108">
        <v>9.0</v>
      </c>
      <c r="F422" s="109">
        <v>-63146.45</v>
      </c>
      <c r="G422" s="109">
        <v>98251.82</v>
      </c>
      <c r="H422" s="109">
        <v>97911.84</v>
      </c>
      <c r="I422" s="109">
        <v>-52152.12</v>
      </c>
      <c r="J422" s="109">
        <v>-59710.74</v>
      </c>
      <c r="K422" s="109">
        <v>-70191.27</v>
      </c>
      <c r="L422" s="109">
        <v>-25721.65</v>
      </c>
      <c r="M422" s="109">
        <v>-31900.95</v>
      </c>
      <c r="N422" s="110">
        <v>110110.0</v>
      </c>
      <c r="O422" s="110">
        <v>102730.0</v>
      </c>
      <c r="P422" s="110">
        <v>52623.0</v>
      </c>
      <c r="Q422" s="110">
        <v>103130.0</v>
      </c>
      <c r="R422" s="50">
        <v>50517.0</v>
      </c>
      <c r="S422" s="111">
        <v>54.0</v>
      </c>
      <c r="T422" s="112">
        <v>43.0</v>
      </c>
      <c r="U422" s="24" t="s">
        <v>603</v>
      </c>
      <c r="V422" s="11" t="s">
        <v>4028</v>
      </c>
      <c r="W422" s="108">
        <v>9.0</v>
      </c>
      <c r="X422" s="113">
        <v>102014.0</v>
      </c>
      <c r="Y422" s="113">
        <v>21119.0</v>
      </c>
      <c r="Z422" s="11">
        <v>147.0</v>
      </c>
      <c r="AA422" s="113">
        <v>62221.0</v>
      </c>
      <c r="AB422" s="109">
        <v>-80063.01</v>
      </c>
      <c r="AC422" s="113">
        <v>103116.0</v>
      </c>
      <c r="AD422" s="108">
        <v>6.0</v>
      </c>
    </row>
    <row r="423">
      <c r="A423" s="11">
        <v>28.0</v>
      </c>
      <c r="B423" s="11">
        <v>6.0</v>
      </c>
      <c r="C423" s="11">
        <v>7.0</v>
      </c>
      <c r="D423" s="17">
        <v>98.0</v>
      </c>
      <c r="E423" s="108">
        <v>6.0</v>
      </c>
      <c r="F423" s="109">
        <v>-95038.08</v>
      </c>
      <c r="G423" s="109">
        <v>-58501.09</v>
      </c>
      <c r="H423" s="109">
        <v>-33236.14</v>
      </c>
      <c r="I423" s="109">
        <v>71892.32</v>
      </c>
      <c r="J423" s="109">
        <v>75213.56</v>
      </c>
      <c r="K423" s="109">
        <v>8548.06</v>
      </c>
      <c r="L423" s="109">
        <v>-76726.03</v>
      </c>
      <c r="M423" s="109">
        <v>57993.14</v>
      </c>
      <c r="N423" s="110">
        <v>102611.0</v>
      </c>
      <c r="O423" s="110">
        <v>102321.0</v>
      </c>
      <c r="P423" s="110">
        <v>52223.0</v>
      </c>
      <c r="Q423" s="110">
        <v>103121.0</v>
      </c>
      <c r="R423" s="50">
        <v>32215.0</v>
      </c>
      <c r="S423" s="111">
        <v>52.0</v>
      </c>
      <c r="T423" s="112">
        <v>25.0</v>
      </c>
      <c r="U423" s="24" t="s">
        <v>601</v>
      </c>
      <c r="V423" s="11" t="s">
        <v>4017</v>
      </c>
      <c r="W423" s="108">
        <v>9.0</v>
      </c>
      <c r="X423" s="113">
        <v>102421.0</v>
      </c>
      <c r="Y423" s="113">
        <v>121413.0</v>
      </c>
      <c r="Z423" s="11">
        <v>166.0</v>
      </c>
      <c r="AA423" s="113">
        <v>110320.0</v>
      </c>
      <c r="AB423" s="109">
        <v>-9117.8</v>
      </c>
      <c r="AC423" s="113">
        <v>102614.0</v>
      </c>
      <c r="AD423" s="108">
        <v>1.0</v>
      </c>
    </row>
    <row r="424">
      <c r="A424" s="11">
        <v>28.0</v>
      </c>
      <c r="B424" s="11">
        <v>6.0</v>
      </c>
      <c r="C424" s="11">
        <v>8.0</v>
      </c>
      <c r="D424" s="17">
        <v>30.0</v>
      </c>
      <c r="E424" s="108">
        <v>8.0</v>
      </c>
      <c r="F424" s="109">
        <v>-772.74</v>
      </c>
      <c r="G424" s="109">
        <v>14185.62</v>
      </c>
      <c r="H424" s="109">
        <v>3156.3</v>
      </c>
      <c r="I424" s="109">
        <v>66831.51</v>
      </c>
      <c r="J424" s="109">
        <v>32573.75</v>
      </c>
      <c r="K424" s="109">
        <v>51356.36</v>
      </c>
      <c r="L424" s="109">
        <v>81824.45</v>
      </c>
      <c r="M424" s="109">
        <v>-76822.5</v>
      </c>
      <c r="N424" s="110">
        <v>100211.0</v>
      </c>
      <c r="O424" s="110">
        <v>92731.0</v>
      </c>
      <c r="P424" s="110">
        <v>50923.0</v>
      </c>
      <c r="Q424" s="110">
        <v>93031.0</v>
      </c>
      <c r="R424" s="50">
        <v>122616.0</v>
      </c>
      <c r="S424" s="111">
        <v>53.0</v>
      </c>
      <c r="T424" s="112">
        <v>94.0</v>
      </c>
      <c r="U424" s="24" t="s">
        <v>39</v>
      </c>
      <c r="V424" s="11" t="s">
        <v>4053</v>
      </c>
      <c r="W424" s="108">
        <v>9.0</v>
      </c>
      <c r="X424" s="113">
        <v>100315.0</v>
      </c>
      <c r="Y424" s="113">
        <v>82223.0</v>
      </c>
      <c r="Z424" s="11">
        <v>147.0</v>
      </c>
      <c r="AA424" s="113">
        <v>90714.0</v>
      </c>
      <c r="AB424" s="109">
        <v>-81025.32</v>
      </c>
      <c r="AC424" s="113">
        <v>110523.0</v>
      </c>
      <c r="AD424" s="108">
        <v>8.0</v>
      </c>
    </row>
    <row r="425">
      <c r="A425" s="11">
        <v>28.0</v>
      </c>
      <c r="B425" s="11">
        <v>6.0</v>
      </c>
      <c r="C425" s="11">
        <v>9.0</v>
      </c>
      <c r="D425" s="17">
        <v>88.0</v>
      </c>
      <c r="E425" s="108">
        <v>5.0</v>
      </c>
      <c r="F425" s="109">
        <v>22413.8</v>
      </c>
      <c r="G425" s="109">
        <v>-88077.74</v>
      </c>
      <c r="H425" s="109">
        <v>14974.49</v>
      </c>
      <c r="I425" s="109">
        <v>-48615.41</v>
      </c>
      <c r="J425" s="109">
        <v>-86160.19</v>
      </c>
      <c r="K425" s="109">
        <v>-99923.83</v>
      </c>
      <c r="L425" s="109">
        <v>-95696.78</v>
      </c>
      <c r="M425" s="109">
        <v>-24496.14</v>
      </c>
      <c r="N425" s="110">
        <v>61314.0</v>
      </c>
      <c r="O425" s="110">
        <v>60544.0</v>
      </c>
      <c r="P425" s="110">
        <v>52823.0</v>
      </c>
      <c r="Q425" s="110">
        <v>63044.0</v>
      </c>
      <c r="R425" s="50">
        <v>73115.0</v>
      </c>
      <c r="S425" s="111">
        <v>52.0</v>
      </c>
      <c r="T425" s="112">
        <v>55.0</v>
      </c>
      <c r="U425" s="24" t="s">
        <v>603</v>
      </c>
      <c r="V425" s="11" t="s">
        <v>3870</v>
      </c>
      <c r="W425" s="108">
        <v>6.0</v>
      </c>
      <c r="X425" s="113">
        <v>101318.0</v>
      </c>
      <c r="Y425" s="113">
        <v>72920.0</v>
      </c>
      <c r="Z425" s="11">
        <v>181.0</v>
      </c>
      <c r="AA425" s="113">
        <v>101523.0</v>
      </c>
      <c r="AB425" s="109">
        <v>-19391.99</v>
      </c>
      <c r="AC425" s="113">
        <v>60614.0</v>
      </c>
      <c r="AD425" s="108">
        <v>5.0</v>
      </c>
    </row>
    <row r="426">
      <c r="A426" s="11">
        <v>69.0</v>
      </c>
      <c r="B426" s="11">
        <v>6.0</v>
      </c>
      <c r="C426" s="11">
        <v>7.0</v>
      </c>
      <c r="D426" s="17">
        <v>49.0</v>
      </c>
      <c r="E426" s="108">
        <v>1.0</v>
      </c>
      <c r="F426" s="109">
        <v>-95297.66</v>
      </c>
      <c r="G426" s="109">
        <v>-6831.67</v>
      </c>
      <c r="H426" s="109">
        <v>-10293.22</v>
      </c>
      <c r="I426" s="109">
        <v>-95721.46</v>
      </c>
      <c r="J426" s="109">
        <v>96871.08</v>
      </c>
      <c r="K426" s="109">
        <v>-40895.65</v>
      </c>
      <c r="L426" s="109">
        <v>65538.86</v>
      </c>
      <c r="M426" s="109">
        <v>-65692.31</v>
      </c>
      <c r="N426" s="110">
        <v>121110.0</v>
      </c>
      <c r="O426" s="110">
        <v>120340.0</v>
      </c>
      <c r="P426" s="110">
        <v>51123.0</v>
      </c>
      <c r="Q426" s="110">
        <v>123139.0</v>
      </c>
      <c r="R426" s="50">
        <v>123014.0</v>
      </c>
      <c r="S426" s="111">
        <v>54.0</v>
      </c>
      <c r="T426" s="112">
        <v>22.0</v>
      </c>
      <c r="U426" s="24" t="s">
        <v>48</v>
      </c>
      <c r="V426" s="11" t="s">
        <v>4054</v>
      </c>
      <c r="W426" s="108">
        <v>4.0</v>
      </c>
      <c r="X426" s="113">
        <v>62919.0</v>
      </c>
      <c r="Y426" s="113">
        <v>30514.0</v>
      </c>
      <c r="Z426" s="11">
        <v>195.0</v>
      </c>
      <c r="AA426" s="113">
        <v>31114.0</v>
      </c>
      <c r="AB426" s="109">
        <v>-66091.58</v>
      </c>
      <c r="AC426" s="113">
        <v>112018.0</v>
      </c>
      <c r="AD426" s="108">
        <v>7.0</v>
      </c>
    </row>
    <row r="427">
      <c r="A427" s="11">
        <v>49.0</v>
      </c>
      <c r="B427" s="11">
        <v>1.0</v>
      </c>
      <c r="C427" s="11">
        <v>9.0</v>
      </c>
      <c r="D427" s="17">
        <v>95.0</v>
      </c>
      <c r="E427" s="108">
        <v>1.0</v>
      </c>
      <c r="F427" s="109">
        <v>58236.42</v>
      </c>
      <c r="G427" s="109">
        <v>-32435.05</v>
      </c>
      <c r="H427" s="109">
        <v>42660.81</v>
      </c>
      <c r="I427" s="109">
        <v>-40926.81</v>
      </c>
      <c r="J427" s="109">
        <v>91388.2</v>
      </c>
      <c r="K427" s="109">
        <v>82614.48</v>
      </c>
      <c r="L427" s="109">
        <v>-48072.69</v>
      </c>
      <c r="M427" s="109">
        <v>-52991.58</v>
      </c>
      <c r="N427" s="110">
        <v>123112.0</v>
      </c>
      <c r="O427" s="110">
        <v>122632.0</v>
      </c>
      <c r="P427" s="110">
        <v>50323.0</v>
      </c>
      <c r="Q427" s="110">
        <v>123131.0</v>
      </c>
      <c r="R427" s="50">
        <v>123119.0</v>
      </c>
      <c r="S427" s="111">
        <v>50.0</v>
      </c>
      <c r="T427" s="112">
        <v>8.0</v>
      </c>
      <c r="U427" s="24" t="s">
        <v>39</v>
      </c>
      <c r="V427" s="11" t="s">
        <v>4055</v>
      </c>
      <c r="W427" s="108">
        <v>3.0</v>
      </c>
      <c r="X427" s="113">
        <v>32417.0</v>
      </c>
      <c r="Y427" s="113">
        <v>110416.0</v>
      </c>
      <c r="Z427" s="11">
        <v>124.0</v>
      </c>
      <c r="AA427" s="113">
        <v>101318.0</v>
      </c>
      <c r="AB427" s="109">
        <v>-66431.09</v>
      </c>
      <c r="AC427" s="113">
        <v>11619.0</v>
      </c>
      <c r="AD427" s="108">
        <v>1.0</v>
      </c>
    </row>
    <row r="428">
      <c r="A428" s="11">
        <v>28.0</v>
      </c>
      <c r="B428" s="11">
        <v>7.0</v>
      </c>
      <c r="C428" s="11">
        <v>4.0</v>
      </c>
      <c r="D428" s="17">
        <v>27.0</v>
      </c>
      <c r="E428" s="108">
        <v>8.0</v>
      </c>
      <c r="F428" s="109">
        <v>22168.59</v>
      </c>
      <c r="G428" s="109">
        <v>57031.07</v>
      </c>
      <c r="H428" s="109">
        <v>81415.59</v>
      </c>
      <c r="I428" s="109">
        <v>-625.38</v>
      </c>
      <c r="J428" s="109">
        <v>68100.96</v>
      </c>
      <c r="K428" s="109">
        <v>36968.81</v>
      </c>
      <c r="L428" s="109">
        <v>81517.26</v>
      </c>
      <c r="M428" s="109">
        <v>-53167.03</v>
      </c>
      <c r="N428" s="110">
        <v>51811.0</v>
      </c>
      <c r="O428" s="110">
        <v>51521.0</v>
      </c>
      <c r="P428" s="110">
        <v>52723.0</v>
      </c>
      <c r="Q428" s="110">
        <v>53121.0</v>
      </c>
      <c r="R428" s="50">
        <v>41415.0</v>
      </c>
      <c r="S428" s="111">
        <v>53.0</v>
      </c>
      <c r="T428" s="112">
        <v>22.0</v>
      </c>
      <c r="U428" s="24" t="s">
        <v>603</v>
      </c>
      <c r="V428" s="11" t="s">
        <v>3898</v>
      </c>
      <c r="W428" s="108">
        <v>9.0</v>
      </c>
      <c r="X428" s="113">
        <v>32217.0</v>
      </c>
      <c r="Y428" s="113">
        <v>81814.0</v>
      </c>
      <c r="Z428" s="11">
        <v>132.0</v>
      </c>
      <c r="AA428" s="113">
        <v>32017.0</v>
      </c>
      <c r="AB428" s="109">
        <v>-44413.0</v>
      </c>
      <c r="AC428" s="113">
        <v>122421.0</v>
      </c>
      <c r="AD428" s="108">
        <v>8.0</v>
      </c>
    </row>
    <row r="429">
      <c r="A429" s="11">
        <v>69.0</v>
      </c>
      <c r="B429" s="11">
        <v>7.0</v>
      </c>
      <c r="C429" s="11">
        <v>2.0</v>
      </c>
      <c r="D429" s="17">
        <v>63.0</v>
      </c>
      <c r="E429" s="108">
        <v>5.0</v>
      </c>
      <c r="F429" s="109">
        <v>33856.68</v>
      </c>
      <c r="G429" s="109">
        <v>37930.69</v>
      </c>
      <c r="H429" s="109">
        <v>52659.8</v>
      </c>
      <c r="I429" s="109">
        <v>69520.73</v>
      </c>
      <c r="J429" s="109">
        <v>64666.06</v>
      </c>
      <c r="K429" s="109">
        <v>-15634.57</v>
      </c>
      <c r="L429" s="109">
        <v>1285.56</v>
      </c>
      <c r="M429" s="109">
        <v>1472.12</v>
      </c>
      <c r="N429" s="110">
        <v>11011.0</v>
      </c>
      <c r="O429" s="110">
        <v>10531.0</v>
      </c>
      <c r="P429" s="110">
        <v>51723.0</v>
      </c>
      <c r="Q429" s="110">
        <v>13131.0</v>
      </c>
      <c r="R429" s="50">
        <v>12419.0</v>
      </c>
      <c r="S429" s="111">
        <v>52.0</v>
      </c>
      <c r="T429" s="112">
        <v>62.0</v>
      </c>
      <c r="U429" s="24" t="s">
        <v>48</v>
      </c>
      <c r="V429" s="11" t="s">
        <v>3971</v>
      </c>
      <c r="W429" s="108">
        <v>7.0</v>
      </c>
      <c r="X429" s="113">
        <v>111720.0</v>
      </c>
      <c r="Y429" s="113">
        <v>110722.0</v>
      </c>
      <c r="Z429" s="11">
        <v>142.0</v>
      </c>
      <c r="AA429" s="113">
        <v>62415.0</v>
      </c>
      <c r="AB429" s="109">
        <v>93616.16</v>
      </c>
      <c r="AC429" s="113">
        <v>10514.0</v>
      </c>
      <c r="AD429" s="108">
        <v>0.0</v>
      </c>
    </row>
    <row r="430">
      <c r="A430" s="11">
        <v>49.0</v>
      </c>
      <c r="B430" s="11">
        <v>2.0</v>
      </c>
      <c r="C430" s="11">
        <v>5.0</v>
      </c>
      <c r="D430" s="17">
        <v>30.0</v>
      </c>
      <c r="E430" s="108">
        <v>3.0</v>
      </c>
      <c r="F430" s="109">
        <v>66862.22</v>
      </c>
      <c r="G430" s="109">
        <v>95110.76</v>
      </c>
      <c r="H430" s="109">
        <v>-52725.76</v>
      </c>
      <c r="I430" s="109">
        <v>73527.89</v>
      </c>
      <c r="J430" s="109">
        <v>12325.38</v>
      </c>
      <c r="K430" s="109">
        <v>72227.59</v>
      </c>
      <c r="L430" s="109">
        <v>-53082.24</v>
      </c>
      <c r="M430" s="109">
        <v>-56101.9</v>
      </c>
      <c r="N430" s="110">
        <v>60311.0</v>
      </c>
      <c r="O430" s="110">
        <v>52931.0</v>
      </c>
      <c r="P430" s="110">
        <v>50123.0</v>
      </c>
      <c r="Q430" s="110">
        <v>53131.0</v>
      </c>
      <c r="R430" s="50">
        <v>61213.0</v>
      </c>
      <c r="S430" s="111">
        <v>50.0</v>
      </c>
      <c r="T430" s="112">
        <v>93.0</v>
      </c>
      <c r="U430" s="24" t="s">
        <v>601</v>
      </c>
      <c r="V430" s="11" t="s">
        <v>4019</v>
      </c>
      <c r="W430" s="108">
        <v>2.0</v>
      </c>
      <c r="X430" s="113">
        <v>32014.0</v>
      </c>
      <c r="Y430" s="113">
        <v>32013.0</v>
      </c>
      <c r="Z430" s="11">
        <v>172.0</v>
      </c>
      <c r="AA430" s="113">
        <v>42918.0</v>
      </c>
      <c r="AB430" s="109">
        <v>-2744.84</v>
      </c>
      <c r="AC430" s="113">
        <v>30718.0</v>
      </c>
      <c r="AD430" s="108">
        <v>4.0</v>
      </c>
    </row>
    <row r="431">
      <c r="A431" s="11">
        <v>49.0</v>
      </c>
      <c r="B431" s="11">
        <v>2.0</v>
      </c>
      <c r="C431" s="11">
        <v>8.0</v>
      </c>
      <c r="D431" s="17">
        <v>25.0</v>
      </c>
      <c r="E431" s="108">
        <v>0.0</v>
      </c>
      <c r="F431" s="109">
        <v>-6023.44</v>
      </c>
      <c r="G431" s="109">
        <v>-52063.83</v>
      </c>
      <c r="H431" s="109">
        <v>-37565.13</v>
      </c>
      <c r="I431" s="109">
        <v>34961.0</v>
      </c>
      <c r="J431" s="109">
        <v>54802.73</v>
      </c>
      <c r="K431" s="109">
        <v>-20653.11</v>
      </c>
      <c r="L431" s="109">
        <v>20834.7</v>
      </c>
      <c r="M431" s="109">
        <v>-28484.74</v>
      </c>
      <c r="N431" s="110">
        <v>70711.0</v>
      </c>
      <c r="O431" s="110">
        <v>70231.0</v>
      </c>
      <c r="P431" s="110">
        <v>50823.0</v>
      </c>
      <c r="Q431" s="110">
        <v>73131.0</v>
      </c>
      <c r="R431" s="50">
        <v>101218.0</v>
      </c>
      <c r="S431" s="111">
        <v>53.0</v>
      </c>
      <c r="T431" s="112">
        <v>4.0</v>
      </c>
      <c r="U431" s="24" t="s">
        <v>603</v>
      </c>
      <c r="V431" s="11" t="s">
        <v>3938</v>
      </c>
      <c r="W431" s="108">
        <v>6.0</v>
      </c>
      <c r="X431" s="113">
        <v>70822.0</v>
      </c>
      <c r="Y431" s="113">
        <v>62021.0</v>
      </c>
      <c r="Z431" s="11">
        <v>120.0</v>
      </c>
      <c r="AA431" s="113">
        <v>40523.0</v>
      </c>
      <c r="AB431" s="109">
        <v>88521.79</v>
      </c>
      <c r="AC431" s="113">
        <v>80221.0</v>
      </c>
      <c r="AD431" s="108">
        <v>0.0</v>
      </c>
    </row>
    <row r="432">
      <c r="A432" s="11">
        <v>69.0</v>
      </c>
      <c r="B432" s="11">
        <v>7.0</v>
      </c>
      <c r="C432" s="11">
        <v>7.0</v>
      </c>
      <c r="D432" s="17">
        <v>97.0</v>
      </c>
      <c r="E432" s="108">
        <v>8.0</v>
      </c>
      <c r="F432" s="109">
        <v>-27742.8</v>
      </c>
      <c r="G432" s="109">
        <v>7287.4</v>
      </c>
      <c r="H432" s="109">
        <v>-69076.24</v>
      </c>
      <c r="I432" s="109">
        <v>-57076.46</v>
      </c>
      <c r="J432" s="109">
        <v>-36727.74</v>
      </c>
      <c r="K432" s="109">
        <v>-13529.58</v>
      </c>
      <c r="L432" s="109">
        <v>80661.46</v>
      </c>
      <c r="M432" s="109">
        <v>90617.97</v>
      </c>
      <c r="N432" s="110">
        <v>120813.0</v>
      </c>
      <c r="O432" s="110">
        <v>120623.0</v>
      </c>
      <c r="P432" s="110">
        <v>52723.0</v>
      </c>
      <c r="Q432" s="110">
        <v>123122.0</v>
      </c>
      <c r="R432" s="50">
        <v>111321.0</v>
      </c>
      <c r="S432" s="111">
        <v>52.0</v>
      </c>
      <c r="T432" s="112">
        <v>10.0</v>
      </c>
      <c r="U432" s="24" t="s">
        <v>48</v>
      </c>
      <c r="V432" s="11" t="s">
        <v>4056</v>
      </c>
      <c r="W432" s="108">
        <v>8.0</v>
      </c>
      <c r="X432" s="113">
        <v>50921.0</v>
      </c>
      <c r="Y432" s="113">
        <v>92323.0</v>
      </c>
      <c r="Z432" s="11">
        <v>168.0</v>
      </c>
      <c r="AA432" s="113">
        <v>11914.0</v>
      </c>
      <c r="AB432" s="109">
        <v>88746.65</v>
      </c>
      <c r="AC432" s="113">
        <v>61018.0</v>
      </c>
      <c r="AD432" s="108">
        <v>3.0</v>
      </c>
    </row>
    <row r="433">
      <c r="A433" s="11">
        <v>49.0</v>
      </c>
      <c r="B433" s="11">
        <v>2.0</v>
      </c>
      <c r="C433" s="11">
        <v>9.0</v>
      </c>
      <c r="D433" s="17">
        <v>16.0</v>
      </c>
      <c r="E433" s="108">
        <v>6.0</v>
      </c>
      <c r="F433" s="109">
        <v>-78393.8</v>
      </c>
      <c r="G433" s="109">
        <v>22511.94</v>
      </c>
      <c r="H433" s="109">
        <v>60101.78</v>
      </c>
      <c r="I433" s="109">
        <v>-59490.38</v>
      </c>
      <c r="J433" s="109">
        <v>-3622.82</v>
      </c>
      <c r="K433" s="109">
        <v>-46302.52</v>
      </c>
      <c r="L433" s="109">
        <v>-2568.99</v>
      </c>
      <c r="M433" s="109">
        <v>67857.19</v>
      </c>
      <c r="N433" s="110">
        <v>42214.0</v>
      </c>
      <c r="O433" s="110">
        <v>41924.0</v>
      </c>
      <c r="P433" s="110">
        <v>51423.0</v>
      </c>
      <c r="Q433" s="110">
        <v>43024.0</v>
      </c>
      <c r="R433" s="50">
        <v>90513.0</v>
      </c>
      <c r="S433" s="111">
        <v>54.0</v>
      </c>
      <c r="T433" s="112">
        <v>45.0</v>
      </c>
      <c r="U433" s="24" t="s">
        <v>39</v>
      </c>
      <c r="V433" s="11" t="s">
        <v>4057</v>
      </c>
      <c r="W433" s="108">
        <v>6.0</v>
      </c>
      <c r="X433" s="113">
        <v>20313.0</v>
      </c>
      <c r="Y433" s="113">
        <v>92313.0</v>
      </c>
      <c r="Z433" s="11">
        <v>122.0</v>
      </c>
      <c r="AA433" s="113">
        <v>72416.0</v>
      </c>
      <c r="AB433" s="109">
        <v>91145.5</v>
      </c>
      <c r="AC433" s="113">
        <v>103019.0</v>
      </c>
      <c r="AD433" s="108">
        <v>6.0</v>
      </c>
    </row>
    <row r="434">
      <c r="A434" s="11">
        <v>49.0</v>
      </c>
      <c r="B434" s="11">
        <v>3.0</v>
      </c>
      <c r="C434" s="11">
        <v>8.0</v>
      </c>
      <c r="D434" s="17">
        <v>18.0</v>
      </c>
      <c r="E434" s="108">
        <v>5.0</v>
      </c>
      <c r="F434" s="109">
        <v>-53538.81</v>
      </c>
      <c r="G434" s="109">
        <v>-44558.94</v>
      </c>
      <c r="H434" s="109">
        <v>-94659.29</v>
      </c>
      <c r="I434" s="109">
        <v>74857.9</v>
      </c>
      <c r="J434" s="109">
        <v>88704.06</v>
      </c>
      <c r="K434" s="109">
        <v>-46367.7</v>
      </c>
      <c r="L434" s="109">
        <v>-17254.59</v>
      </c>
      <c r="M434" s="109">
        <v>70250.28</v>
      </c>
      <c r="N434" s="110">
        <v>63010.0</v>
      </c>
      <c r="O434" s="110">
        <v>62720.0</v>
      </c>
      <c r="P434" s="110">
        <v>50723.0</v>
      </c>
      <c r="Q434" s="110">
        <v>63020.0</v>
      </c>
      <c r="R434" s="50">
        <v>90814.0</v>
      </c>
      <c r="S434" s="111">
        <v>50.0</v>
      </c>
      <c r="T434" s="112">
        <v>54.0</v>
      </c>
      <c r="U434" s="24" t="s">
        <v>603</v>
      </c>
      <c r="V434" s="11" t="s">
        <v>3919</v>
      </c>
      <c r="W434" s="108">
        <v>5.0</v>
      </c>
      <c r="X434" s="113">
        <v>52614.0</v>
      </c>
      <c r="Y434" s="113">
        <v>11613.0</v>
      </c>
      <c r="Z434" s="11">
        <v>139.0</v>
      </c>
      <c r="AA434" s="113">
        <v>100719.0</v>
      </c>
      <c r="AB434" s="109">
        <v>27081.41</v>
      </c>
      <c r="AC434" s="113">
        <v>82117.0</v>
      </c>
      <c r="AD434" s="108">
        <v>4.0</v>
      </c>
    </row>
    <row r="435">
      <c r="A435" s="11">
        <v>49.0</v>
      </c>
      <c r="B435" s="11">
        <v>4.0</v>
      </c>
      <c r="C435" s="11">
        <v>1.0</v>
      </c>
      <c r="D435" s="17">
        <v>69.0</v>
      </c>
      <c r="E435" s="108">
        <v>9.0</v>
      </c>
      <c r="F435" s="109">
        <v>-38891.65</v>
      </c>
      <c r="G435" s="109">
        <v>-48420.92</v>
      </c>
      <c r="H435" s="109">
        <v>43448.69</v>
      </c>
      <c r="I435" s="109">
        <v>93973.09</v>
      </c>
      <c r="J435" s="109">
        <v>53160.12</v>
      </c>
      <c r="K435" s="109">
        <v>95663.04</v>
      </c>
      <c r="L435" s="109">
        <v>-30077.14</v>
      </c>
      <c r="M435" s="109">
        <v>-73466.67</v>
      </c>
      <c r="N435" s="110">
        <v>41610.0</v>
      </c>
      <c r="O435" s="110">
        <v>40840.0</v>
      </c>
      <c r="P435" s="110">
        <v>50223.0</v>
      </c>
      <c r="Q435" s="110">
        <v>43040.0</v>
      </c>
      <c r="R435" s="50">
        <v>82216.0</v>
      </c>
      <c r="S435" s="111">
        <v>50.0</v>
      </c>
      <c r="T435" s="112">
        <v>83.0</v>
      </c>
      <c r="U435" s="24" t="s">
        <v>48</v>
      </c>
      <c r="V435" s="11" t="s">
        <v>3901</v>
      </c>
      <c r="W435" s="108">
        <v>5.0</v>
      </c>
      <c r="X435" s="113">
        <v>92115.0</v>
      </c>
      <c r="Y435" s="113">
        <v>121123.0</v>
      </c>
      <c r="Z435" s="11">
        <v>128.0</v>
      </c>
      <c r="AA435" s="113">
        <v>112621.0</v>
      </c>
      <c r="AB435" s="109">
        <v>-29996.17</v>
      </c>
      <c r="AC435" s="113">
        <v>82121.0</v>
      </c>
      <c r="AD435" s="108">
        <v>3.0</v>
      </c>
    </row>
    <row r="436">
      <c r="A436" s="11">
        <v>28.0</v>
      </c>
      <c r="B436" s="11">
        <v>9.0</v>
      </c>
      <c r="C436" s="11">
        <v>4.0</v>
      </c>
      <c r="D436" s="17">
        <v>80.0</v>
      </c>
      <c r="E436" s="108">
        <v>2.0</v>
      </c>
      <c r="F436" s="109">
        <v>-90746.03</v>
      </c>
      <c r="G436" s="109">
        <v>288.67</v>
      </c>
      <c r="H436" s="109">
        <v>94143.06</v>
      </c>
      <c r="I436" s="109">
        <v>9362.49</v>
      </c>
      <c r="J436" s="109">
        <v>74640.12</v>
      </c>
      <c r="K436" s="109">
        <v>-84356.7</v>
      </c>
      <c r="L436" s="109">
        <v>-70630.23</v>
      </c>
      <c r="M436" s="109">
        <v>78036.98</v>
      </c>
      <c r="N436" s="110">
        <v>40813.0</v>
      </c>
      <c r="O436" s="110">
        <v>40143.0</v>
      </c>
      <c r="P436" s="110">
        <v>50323.0</v>
      </c>
      <c r="Q436" s="110">
        <v>43043.0</v>
      </c>
      <c r="R436" s="50">
        <v>53117.0</v>
      </c>
      <c r="S436" s="111">
        <v>50.0</v>
      </c>
      <c r="T436" s="112">
        <v>8.0</v>
      </c>
      <c r="U436" s="24" t="s">
        <v>601</v>
      </c>
      <c r="V436" s="11" t="s">
        <v>4055</v>
      </c>
      <c r="W436" s="108">
        <v>2.0</v>
      </c>
      <c r="X436" s="113">
        <v>121418.0</v>
      </c>
      <c r="Y436" s="113">
        <v>71720.0</v>
      </c>
      <c r="Z436" s="11">
        <v>187.0</v>
      </c>
      <c r="AA436" s="113">
        <v>70415.0</v>
      </c>
      <c r="AB436" s="109">
        <v>-3579.73</v>
      </c>
      <c r="AC436" s="113">
        <v>40715.0</v>
      </c>
      <c r="AD436" s="108">
        <v>6.0</v>
      </c>
    </row>
    <row r="437">
      <c r="A437" s="11">
        <v>28.0</v>
      </c>
      <c r="B437" s="11">
        <v>9.0</v>
      </c>
      <c r="C437" s="11">
        <v>7.0</v>
      </c>
      <c r="D437" s="17">
        <v>11.0</v>
      </c>
      <c r="E437" s="108">
        <v>1.0</v>
      </c>
      <c r="F437" s="109">
        <v>-10401.53</v>
      </c>
      <c r="G437" s="109">
        <v>-53852.42</v>
      </c>
      <c r="H437" s="109">
        <v>-57451.25</v>
      </c>
      <c r="I437" s="109">
        <v>30751.41</v>
      </c>
      <c r="J437" s="109">
        <v>22014.36</v>
      </c>
      <c r="K437" s="109">
        <v>91468.75</v>
      </c>
      <c r="L437" s="109">
        <v>-11244.0</v>
      </c>
      <c r="M437" s="109">
        <v>94769.78</v>
      </c>
      <c r="N437" s="110">
        <v>112713.0</v>
      </c>
      <c r="O437" s="110">
        <v>112523.0</v>
      </c>
      <c r="P437" s="110">
        <v>50123.0</v>
      </c>
      <c r="Q437" s="110">
        <v>113023.0</v>
      </c>
      <c r="R437" s="50">
        <v>82422.0</v>
      </c>
      <c r="S437" s="111">
        <v>53.0</v>
      </c>
      <c r="T437" s="112">
        <v>83.0</v>
      </c>
      <c r="U437" s="24" t="s">
        <v>31</v>
      </c>
      <c r="V437" s="11" t="s">
        <v>4058</v>
      </c>
      <c r="W437" s="108">
        <v>1.0</v>
      </c>
      <c r="X437" s="113">
        <v>21523.0</v>
      </c>
      <c r="Y437" s="113">
        <v>50815.0</v>
      </c>
      <c r="Z437" s="11">
        <v>141.0</v>
      </c>
      <c r="AA437" s="113">
        <v>110617.0</v>
      </c>
      <c r="AB437" s="109">
        <v>48577.46</v>
      </c>
      <c r="AC437" s="113">
        <v>92618.0</v>
      </c>
      <c r="AD437" s="108">
        <v>0.0</v>
      </c>
    </row>
    <row r="438">
      <c r="A438" s="11">
        <v>69.0</v>
      </c>
      <c r="B438" s="11">
        <v>9.0</v>
      </c>
      <c r="C438" s="11">
        <v>3.0</v>
      </c>
      <c r="D438" s="17">
        <v>25.0</v>
      </c>
      <c r="E438" s="108">
        <v>8.0</v>
      </c>
      <c r="F438" s="109">
        <v>29826.72</v>
      </c>
      <c r="G438" s="109">
        <v>20159.61</v>
      </c>
      <c r="H438" s="109">
        <v>-30860.65</v>
      </c>
      <c r="I438" s="109">
        <v>47022.61</v>
      </c>
      <c r="J438" s="109">
        <v>-88508.36</v>
      </c>
      <c r="K438" s="109">
        <v>42945.81</v>
      </c>
      <c r="L438" s="109">
        <v>36281.86</v>
      </c>
      <c r="M438" s="109">
        <v>23986.44</v>
      </c>
      <c r="N438" s="110">
        <v>12610.0</v>
      </c>
      <c r="O438" s="110">
        <v>12130.0</v>
      </c>
      <c r="P438" s="110">
        <v>52523.0</v>
      </c>
      <c r="Q438" s="110">
        <v>13130.0</v>
      </c>
      <c r="R438" s="50">
        <v>11818.0</v>
      </c>
      <c r="S438" s="111">
        <v>54.0</v>
      </c>
      <c r="T438" s="112">
        <v>45.0</v>
      </c>
      <c r="U438" s="24" t="s">
        <v>601</v>
      </c>
      <c r="V438" s="11" t="s">
        <v>4000</v>
      </c>
      <c r="W438" s="108">
        <v>4.0</v>
      </c>
      <c r="X438" s="113">
        <v>12813.0</v>
      </c>
      <c r="Y438" s="113">
        <v>111323.0</v>
      </c>
      <c r="Z438" s="11">
        <v>193.0</v>
      </c>
      <c r="AA438" s="113">
        <v>120721.0</v>
      </c>
      <c r="AB438" s="109">
        <v>87121.46</v>
      </c>
      <c r="AC438" s="113">
        <v>91523.0</v>
      </c>
      <c r="AD438" s="108">
        <v>3.0</v>
      </c>
    </row>
    <row r="439">
      <c r="A439" s="11">
        <v>69.0</v>
      </c>
      <c r="B439" s="11">
        <v>9.0</v>
      </c>
      <c r="C439" s="11">
        <v>5.0</v>
      </c>
      <c r="D439" s="17">
        <v>84.0</v>
      </c>
      <c r="E439" s="108">
        <v>5.0</v>
      </c>
      <c r="F439" s="109">
        <v>-8959.54</v>
      </c>
      <c r="G439" s="109">
        <v>64254.11</v>
      </c>
      <c r="H439" s="109">
        <v>97087.48</v>
      </c>
      <c r="I439" s="109">
        <v>62215.42</v>
      </c>
      <c r="J439" s="109">
        <v>-82735.87</v>
      </c>
      <c r="K439" s="109">
        <v>-74999.61</v>
      </c>
      <c r="L439" s="109">
        <v>-9406.26</v>
      </c>
      <c r="M439" s="109">
        <v>-77738.66</v>
      </c>
      <c r="N439" s="110">
        <v>71414.0</v>
      </c>
      <c r="O439" s="110">
        <v>70934.0</v>
      </c>
      <c r="P439" s="110">
        <v>50123.0</v>
      </c>
      <c r="Q439" s="110">
        <v>73134.0</v>
      </c>
      <c r="R439" s="50">
        <v>21319.0</v>
      </c>
      <c r="S439" s="111">
        <v>51.0</v>
      </c>
      <c r="T439" s="112">
        <v>80.0</v>
      </c>
      <c r="U439" s="24" t="s">
        <v>31</v>
      </c>
      <c r="V439" s="11" t="s">
        <v>4025</v>
      </c>
      <c r="W439" s="108">
        <v>5.0</v>
      </c>
      <c r="X439" s="113">
        <v>40722.0</v>
      </c>
      <c r="Y439" s="113">
        <v>110218.0</v>
      </c>
      <c r="Z439" s="11">
        <v>110.0</v>
      </c>
      <c r="AA439" s="113">
        <v>32520.0</v>
      </c>
      <c r="AB439" s="109">
        <v>-36064.19</v>
      </c>
      <c r="AC439" s="113">
        <v>102717.0</v>
      </c>
      <c r="AD439" s="108">
        <v>4.0</v>
      </c>
    </row>
    <row r="440">
      <c r="A440" s="11">
        <v>49.0</v>
      </c>
      <c r="B440" s="11">
        <v>4.0</v>
      </c>
      <c r="C440" s="11">
        <v>9.0</v>
      </c>
      <c r="D440" s="17">
        <v>33.0</v>
      </c>
      <c r="E440" s="108">
        <v>1.0</v>
      </c>
      <c r="F440" s="109">
        <v>-95669.27</v>
      </c>
      <c r="G440" s="109">
        <v>34975.26</v>
      </c>
      <c r="H440" s="109">
        <v>19474.42</v>
      </c>
      <c r="I440" s="109">
        <v>-22158.72</v>
      </c>
      <c r="J440" s="109">
        <v>-34421.36</v>
      </c>
      <c r="K440" s="109">
        <v>-23414.75</v>
      </c>
      <c r="L440" s="109">
        <v>10036.55</v>
      </c>
      <c r="M440" s="109">
        <v>-7762.0</v>
      </c>
      <c r="N440" s="110">
        <v>31012.0</v>
      </c>
      <c r="O440" s="110">
        <v>30822.0</v>
      </c>
      <c r="P440" s="110">
        <v>52323.0</v>
      </c>
      <c r="Q440" s="110">
        <v>33122.0</v>
      </c>
      <c r="R440" s="50">
        <v>40819.0</v>
      </c>
      <c r="S440" s="111">
        <v>51.0</v>
      </c>
      <c r="T440" s="112">
        <v>30.0</v>
      </c>
      <c r="U440" s="24" t="s">
        <v>601</v>
      </c>
      <c r="V440" s="11" t="s">
        <v>4043</v>
      </c>
      <c r="W440" s="108">
        <v>9.0</v>
      </c>
      <c r="X440" s="113">
        <v>101017.0</v>
      </c>
      <c r="Y440" s="113">
        <v>13120.0</v>
      </c>
      <c r="Z440" s="11">
        <v>153.0</v>
      </c>
      <c r="AA440" s="113">
        <v>22119.0</v>
      </c>
      <c r="AB440" s="109">
        <v>75117.01</v>
      </c>
      <c r="AC440" s="113">
        <v>110920.0</v>
      </c>
      <c r="AD440" s="108">
        <v>7.0</v>
      </c>
    </row>
    <row r="441">
      <c r="A441" s="11">
        <v>69.0</v>
      </c>
      <c r="B441" s="11">
        <v>9.0</v>
      </c>
      <c r="C441" s="11">
        <v>9.0</v>
      </c>
      <c r="D441" s="17">
        <v>59.0</v>
      </c>
      <c r="E441" s="108">
        <v>6.0</v>
      </c>
      <c r="F441" s="109">
        <v>-12149.05</v>
      </c>
      <c r="G441" s="109">
        <v>28192.0</v>
      </c>
      <c r="H441" s="109">
        <v>-44683.08</v>
      </c>
      <c r="I441" s="109">
        <v>93637.05</v>
      </c>
      <c r="J441" s="109">
        <v>-13282.13</v>
      </c>
      <c r="K441" s="109">
        <v>-82469.82</v>
      </c>
      <c r="L441" s="109">
        <v>98502.72</v>
      </c>
      <c r="M441" s="109">
        <v>99838.39</v>
      </c>
      <c r="N441" s="110">
        <v>70212.0</v>
      </c>
      <c r="O441" s="110">
        <v>62732.0</v>
      </c>
      <c r="P441" s="110">
        <v>50223.0</v>
      </c>
      <c r="Q441" s="110">
        <v>63032.0</v>
      </c>
      <c r="R441" s="50">
        <v>92713.0</v>
      </c>
      <c r="S441" s="111">
        <v>52.0</v>
      </c>
      <c r="T441" s="112">
        <v>17.0</v>
      </c>
      <c r="U441" s="24" t="s">
        <v>48</v>
      </c>
      <c r="V441" s="11" t="s">
        <v>4059</v>
      </c>
      <c r="W441" s="108">
        <v>5.0</v>
      </c>
      <c r="X441" s="113">
        <v>80921.0</v>
      </c>
      <c r="Y441" s="113">
        <v>62221.0</v>
      </c>
      <c r="Z441" s="11">
        <v>136.0</v>
      </c>
      <c r="AA441" s="113">
        <v>80319.0</v>
      </c>
      <c r="AB441" s="109">
        <v>86721.44</v>
      </c>
      <c r="AC441" s="113">
        <v>31414.0</v>
      </c>
      <c r="AD441" s="108">
        <v>4.0</v>
      </c>
    </row>
    <row r="442">
      <c r="A442" s="11">
        <v>49.0</v>
      </c>
      <c r="B442" s="11">
        <v>5.0</v>
      </c>
      <c r="C442" s="11">
        <v>8.0</v>
      </c>
      <c r="D442" s="17">
        <v>44.0</v>
      </c>
      <c r="E442" s="108">
        <v>8.0</v>
      </c>
      <c r="F442" s="109">
        <v>-87657.1</v>
      </c>
      <c r="G442" s="109">
        <v>-70030.64</v>
      </c>
      <c r="H442" s="109">
        <v>-60333.04</v>
      </c>
      <c r="I442" s="109">
        <v>60026.38</v>
      </c>
      <c r="J442" s="109">
        <v>-85067.67</v>
      </c>
      <c r="K442" s="109">
        <v>37425.08</v>
      </c>
      <c r="L442" s="109">
        <v>6318.86</v>
      </c>
      <c r="M442" s="109">
        <v>58529.12</v>
      </c>
      <c r="N442" s="110">
        <v>70313.0</v>
      </c>
      <c r="O442" s="110">
        <v>62833.0</v>
      </c>
      <c r="P442" s="110">
        <v>51523.0</v>
      </c>
      <c r="Q442" s="110">
        <v>63033.0</v>
      </c>
      <c r="R442" s="50">
        <v>31218.0</v>
      </c>
      <c r="S442" s="111">
        <v>53.0</v>
      </c>
      <c r="T442" s="112">
        <v>26.0</v>
      </c>
      <c r="U442" s="24" t="s">
        <v>48</v>
      </c>
      <c r="V442" s="11" t="s">
        <v>3911</v>
      </c>
      <c r="W442" s="108">
        <v>4.0</v>
      </c>
      <c r="X442" s="113">
        <v>121418.0</v>
      </c>
      <c r="Y442" s="113">
        <v>11023.0</v>
      </c>
      <c r="Z442" s="11">
        <v>187.0</v>
      </c>
      <c r="AA442" s="113">
        <v>72916.0</v>
      </c>
      <c r="AB442" s="109">
        <v>-50524.48</v>
      </c>
      <c r="AC442" s="113">
        <v>110619.0</v>
      </c>
      <c r="AD442" s="108">
        <v>8.0</v>
      </c>
    </row>
    <row r="443">
      <c r="A443" s="11">
        <v>49.0</v>
      </c>
      <c r="B443" s="11">
        <v>6.0</v>
      </c>
      <c r="C443" s="11">
        <v>1.0</v>
      </c>
      <c r="D443" s="17">
        <v>85.0</v>
      </c>
      <c r="E443" s="108">
        <v>3.0</v>
      </c>
      <c r="F443" s="109">
        <v>-22602.71</v>
      </c>
      <c r="G443" s="109">
        <v>-52422.12</v>
      </c>
      <c r="H443" s="109">
        <v>11965.03</v>
      </c>
      <c r="I443" s="109">
        <v>1219.49</v>
      </c>
      <c r="J443" s="109">
        <v>-74492.93</v>
      </c>
      <c r="K443" s="109">
        <v>-38106.43</v>
      </c>
      <c r="L443" s="109">
        <v>93686.85</v>
      </c>
      <c r="M443" s="109">
        <v>-1907.85</v>
      </c>
      <c r="N443" s="110">
        <v>52111.0</v>
      </c>
      <c r="O443" s="110">
        <v>51341.0</v>
      </c>
      <c r="P443" s="110">
        <v>51823.0</v>
      </c>
      <c r="Q443" s="110">
        <v>53141.0</v>
      </c>
      <c r="R443" s="50">
        <v>82120.0</v>
      </c>
      <c r="S443" s="111">
        <v>54.0</v>
      </c>
      <c r="T443" s="112">
        <v>38.0</v>
      </c>
      <c r="U443" s="24" t="s">
        <v>31</v>
      </c>
      <c r="V443" s="11" t="s">
        <v>3903</v>
      </c>
      <c r="W443" s="108">
        <v>6.0</v>
      </c>
      <c r="X443" s="113">
        <v>71316.0</v>
      </c>
      <c r="Y443" s="113">
        <v>33119.0</v>
      </c>
      <c r="Z443" s="11">
        <v>141.0</v>
      </c>
      <c r="AA443" s="113">
        <v>30920.0</v>
      </c>
      <c r="AB443" s="109">
        <v>-97713.86</v>
      </c>
      <c r="AC443" s="113">
        <v>110823.0</v>
      </c>
      <c r="AD443" s="108">
        <v>2.0</v>
      </c>
    </row>
    <row r="444">
      <c r="A444" s="11">
        <v>49.0</v>
      </c>
      <c r="B444" s="11">
        <v>6.0</v>
      </c>
      <c r="C444" s="11">
        <v>3.0</v>
      </c>
      <c r="D444" s="17">
        <v>46.0</v>
      </c>
      <c r="E444" s="108">
        <v>5.0</v>
      </c>
      <c r="F444" s="109">
        <v>-95102.14</v>
      </c>
      <c r="G444" s="109">
        <v>-35114.56</v>
      </c>
      <c r="H444" s="109">
        <v>5875.22</v>
      </c>
      <c r="I444" s="109">
        <v>69721.38</v>
      </c>
      <c r="J444" s="109">
        <v>-24290.32</v>
      </c>
      <c r="K444" s="109">
        <v>8094.21</v>
      </c>
      <c r="L444" s="109">
        <v>-8412.19</v>
      </c>
      <c r="M444" s="109">
        <v>22797.31</v>
      </c>
      <c r="N444" s="110">
        <v>101410.0</v>
      </c>
      <c r="O444" s="110">
        <v>101120.0</v>
      </c>
      <c r="P444" s="110">
        <v>53023.0</v>
      </c>
      <c r="Q444" s="110">
        <v>103120.0</v>
      </c>
      <c r="R444" s="50">
        <v>52819.0</v>
      </c>
      <c r="S444" s="111">
        <v>55.0</v>
      </c>
      <c r="T444" s="112">
        <v>48.0</v>
      </c>
      <c r="U444" s="24" t="s">
        <v>603</v>
      </c>
      <c r="V444" s="11" t="s">
        <v>3935</v>
      </c>
      <c r="W444" s="108">
        <v>7.0</v>
      </c>
      <c r="X444" s="113">
        <v>93122.0</v>
      </c>
      <c r="Y444" s="113">
        <v>101221.0</v>
      </c>
      <c r="Z444" s="11">
        <v>157.0</v>
      </c>
      <c r="AA444" s="113">
        <v>62723.0</v>
      </c>
      <c r="AB444" s="109">
        <v>14147.22</v>
      </c>
      <c r="AC444" s="113">
        <v>31616.0</v>
      </c>
      <c r="AD444" s="108">
        <v>8.0</v>
      </c>
    </row>
    <row r="445">
      <c r="A445" s="11">
        <v>29.0</v>
      </c>
      <c r="B445" s="11">
        <v>2.0</v>
      </c>
      <c r="C445" s="11">
        <v>1.0</v>
      </c>
      <c r="D445" s="17">
        <v>13.0</v>
      </c>
      <c r="E445" s="108">
        <v>3.0</v>
      </c>
      <c r="F445" s="109">
        <v>69602.2</v>
      </c>
      <c r="G445" s="109">
        <v>54923.1</v>
      </c>
      <c r="H445" s="109">
        <v>-13006.46</v>
      </c>
      <c r="I445" s="109">
        <v>22854.65</v>
      </c>
      <c r="J445" s="109">
        <v>63400.98</v>
      </c>
      <c r="K445" s="109">
        <v>90648.28</v>
      </c>
      <c r="L445" s="109">
        <v>65954.25</v>
      </c>
      <c r="M445" s="109">
        <v>-96212.53</v>
      </c>
      <c r="N445" s="110">
        <v>62113.0</v>
      </c>
      <c r="O445" s="110">
        <v>61923.0</v>
      </c>
      <c r="P445" s="110">
        <v>52523.0</v>
      </c>
      <c r="Q445" s="110">
        <v>63023.0</v>
      </c>
      <c r="R445" s="50">
        <v>120820.0</v>
      </c>
      <c r="S445" s="111">
        <v>50.0</v>
      </c>
      <c r="T445" s="112">
        <v>74.0</v>
      </c>
      <c r="U445" s="24" t="s">
        <v>603</v>
      </c>
      <c r="V445" s="11" t="s">
        <v>3926</v>
      </c>
      <c r="W445" s="108">
        <v>4.0</v>
      </c>
      <c r="X445" s="113">
        <v>62222.0</v>
      </c>
      <c r="Y445" s="113">
        <v>92622.0</v>
      </c>
      <c r="Z445" s="11">
        <v>137.0</v>
      </c>
      <c r="AA445" s="113">
        <v>52017.0</v>
      </c>
      <c r="AB445" s="109">
        <v>59294.73</v>
      </c>
      <c r="AC445" s="113">
        <v>60513.0</v>
      </c>
      <c r="AD445" s="108">
        <v>0.0</v>
      </c>
    </row>
    <row r="446">
      <c r="A446" s="11">
        <v>29.0</v>
      </c>
      <c r="B446" s="11">
        <v>2.0</v>
      </c>
      <c r="C446" s="11">
        <v>2.0</v>
      </c>
      <c r="D446" s="17">
        <v>96.0</v>
      </c>
      <c r="E446" s="108">
        <v>9.0</v>
      </c>
      <c r="F446" s="109">
        <v>-73571.78</v>
      </c>
      <c r="G446" s="109">
        <v>57930.19</v>
      </c>
      <c r="H446" s="109">
        <v>63724.32</v>
      </c>
      <c r="I446" s="109">
        <v>-76294.83</v>
      </c>
      <c r="J446" s="109">
        <v>77907.62</v>
      </c>
      <c r="K446" s="109">
        <v>-86404.57</v>
      </c>
      <c r="L446" s="109">
        <v>-71831.53</v>
      </c>
      <c r="M446" s="109">
        <v>61038.6</v>
      </c>
      <c r="N446" s="110">
        <v>101314.0</v>
      </c>
      <c r="O446" s="110">
        <v>100834.0</v>
      </c>
      <c r="P446" s="110">
        <v>52823.0</v>
      </c>
      <c r="Q446" s="110">
        <v>103134.0</v>
      </c>
      <c r="R446" s="50">
        <v>31714.0</v>
      </c>
      <c r="S446" s="111">
        <v>53.0</v>
      </c>
      <c r="T446" s="112">
        <v>64.0</v>
      </c>
      <c r="U446" s="24" t="s">
        <v>48</v>
      </c>
      <c r="V446" s="11" t="s">
        <v>3918</v>
      </c>
      <c r="W446" s="108">
        <v>5.0</v>
      </c>
      <c r="X446" s="113">
        <v>81421.0</v>
      </c>
      <c r="Y446" s="113">
        <v>101215.0</v>
      </c>
      <c r="Z446" s="11">
        <v>186.0</v>
      </c>
      <c r="AA446" s="113">
        <v>91923.0</v>
      </c>
      <c r="AB446" s="109">
        <v>-47430.27</v>
      </c>
      <c r="AC446" s="113">
        <v>100517.0</v>
      </c>
      <c r="AD446" s="108">
        <v>9.0</v>
      </c>
    </row>
    <row r="447">
      <c r="A447" s="11">
        <v>29.0</v>
      </c>
      <c r="B447" s="11">
        <v>2.0</v>
      </c>
      <c r="C447" s="11">
        <v>6.0</v>
      </c>
      <c r="D447" s="17">
        <v>61.0</v>
      </c>
      <c r="E447" s="108">
        <v>7.0</v>
      </c>
      <c r="F447" s="109">
        <v>-24714.43</v>
      </c>
      <c r="G447" s="109">
        <v>-34282.59</v>
      </c>
      <c r="H447" s="109">
        <v>13934.38</v>
      </c>
      <c r="I447" s="109">
        <v>-90084.86</v>
      </c>
      <c r="J447" s="109">
        <v>91156.42</v>
      </c>
      <c r="K447" s="109">
        <v>-29298.26</v>
      </c>
      <c r="L447" s="109">
        <v>-12393.78</v>
      </c>
      <c r="M447" s="109">
        <v>-82861.83</v>
      </c>
      <c r="N447" s="110">
        <v>50913.0</v>
      </c>
      <c r="O447" s="110">
        <v>50433.0</v>
      </c>
      <c r="P447" s="110">
        <v>51923.0</v>
      </c>
      <c r="Q447" s="110">
        <v>53133.0</v>
      </c>
      <c r="R447" s="50">
        <v>21113.0</v>
      </c>
      <c r="S447" s="111">
        <v>55.0</v>
      </c>
      <c r="T447" s="112">
        <v>40.0</v>
      </c>
      <c r="U447" s="24" t="s">
        <v>39</v>
      </c>
      <c r="V447" s="11" t="s">
        <v>3963</v>
      </c>
      <c r="W447" s="108">
        <v>1.0</v>
      </c>
      <c r="X447" s="113">
        <v>90320.0</v>
      </c>
      <c r="Y447" s="113">
        <v>100519.0</v>
      </c>
      <c r="Z447" s="11">
        <v>178.0</v>
      </c>
      <c r="AA447" s="113">
        <v>110115.0</v>
      </c>
      <c r="AB447" s="109">
        <v>-50286.4</v>
      </c>
      <c r="AC447" s="113">
        <v>62422.0</v>
      </c>
      <c r="AD447" s="108">
        <v>7.0</v>
      </c>
    </row>
    <row r="448">
      <c r="A448" s="11">
        <v>49.0</v>
      </c>
      <c r="B448" s="11">
        <v>7.0</v>
      </c>
      <c r="C448" s="11">
        <v>5.0</v>
      </c>
      <c r="D448" s="17">
        <v>44.0</v>
      </c>
      <c r="E448" s="108">
        <v>9.0</v>
      </c>
      <c r="F448" s="109">
        <v>-94519.46</v>
      </c>
      <c r="G448" s="109">
        <v>15177.46</v>
      </c>
      <c r="H448" s="109">
        <v>-59947.99</v>
      </c>
      <c r="I448" s="109">
        <v>72206.22</v>
      </c>
      <c r="J448" s="109">
        <v>53612.14</v>
      </c>
      <c r="K448" s="109">
        <v>-89752.02</v>
      </c>
      <c r="L448" s="109">
        <v>68317.55</v>
      </c>
      <c r="M448" s="109">
        <v>-35996.21</v>
      </c>
      <c r="N448" s="110">
        <v>72313.0</v>
      </c>
      <c r="O448" s="110">
        <v>71833.0</v>
      </c>
      <c r="P448" s="110">
        <v>50523.0</v>
      </c>
      <c r="Q448" s="110">
        <v>73133.0</v>
      </c>
      <c r="R448" s="50">
        <v>110622.0</v>
      </c>
      <c r="S448" s="111">
        <v>53.0</v>
      </c>
      <c r="T448" s="112">
        <v>75.0</v>
      </c>
      <c r="U448" s="24" t="s">
        <v>603</v>
      </c>
      <c r="V448" s="11" t="s">
        <v>4010</v>
      </c>
      <c r="W448" s="108">
        <v>6.0</v>
      </c>
      <c r="X448" s="113">
        <v>81819.0</v>
      </c>
      <c r="Y448" s="113">
        <v>31519.0</v>
      </c>
      <c r="Z448" s="11">
        <v>104.0</v>
      </c>
      <c r="AA448" s="113">
        <v>42223.0</v>
      </c>
      <c r="AB448" s="109">
        <v>93832.09</v>
      </c>
      <c r="AC448" s="113">
        <v>92622.0</v>
      </c>
      <c r="AD448" s="108">
        <v>6.0</v>
      </c>
    </row>
    <row r="449">
      <c r="A449" s="11">
        <v>49.0</v>
      </c>
      <c r="B449" s="11">
        <v>8.0</v>
      </c>
      <c r="C449" s="11">
        <v>2.0</v>
      </c>
      <c r="D449" s="17">
        <v>74.0</v>
      </c>
      <c r="E449" s="108">
        <v>0.0</v>
      </c>
      <c r="F449" s="109">
        <v>-90682.58</v>
      </c>
      <c r="G449" s="109">
        <v>-91449.18</v>
      </c>
      <c r="H449" s="109">
        <v>-13656.39</v>
      </c>
      <c r="I449" s="109">
        <v>61255.0</v>
      </c>
      <c r="J449" s="109">
        <v>53889.49</v>
      </c>
      <c r="K449" s="109">
        <v>-76398.72</v>
      </c>
      <c r="L449" s="109">
        <v>47797.62</v>
      </c>
      <c r="M449" s="109">
        <v>46619.85</v>
      </c>
      <c r="N449" s="110">
        <v>90410.0</v>
      </c>
      <c r="O449" s="110">
        <v>90120.0</v>
      </c>
      <c r="P449" s="110">
        <v>52423.0</v>
      </c>
      <c r="Q449" s="110">
        <v>93020.0</v>
      </c>
      <c r="R449" s="50">
        <v>80116.0</v>
      </c>
      <c r="S449" s="111">
        <v>54.0</v>
      </c>
      <c r="T449" s="112">
        <v>59.0</v>
      </c>
      <c r="U449" s="24" t="s">
        <v>39</v>
      </c>
      <c r="V449" s="11" t="s">
        <v>3909</v>
      </c>
      <c r="W449" s="108">
        <v>7.0</v>
      </c>
      <c r="X449" s="113">
        <v>100823.0</v>
      </c>
      <c r="Y449" s="113">
        <v>112515.0</v>
      </c>
      <c r="Z449" s="11">
        <v>197.0</v>
      </c>
      <c r="AA449" s="113">
        <v>81517.0</v>
      </c>
      <c r="AB449" s="109">
        <v>86620.04</v>
      </c>
      <c r="AC449" s="113">
        <v>121815.0</v>
      </c>
      <c r="AD449" s="108">
        <v>6.0</v>
      </c>
    </row>
    <row r="450">
      <c r="A450" s="11">
        <v>49.0</v>
      </c>
      <c r="B450" s="11">
        <v>8.0</v>
      </c>
      <c r="C450" s="11">
        <v>5.0</v>
      </c>
      <c r="D450" s="17">
        <v>14.0</v>
      </c>
      <c r="E450" s="108">
        <v>0.0</v>
      </c>
      <c r="F450" s="109">
        <v>-90477.05</v>
      </c>
      <c r="G450" s="109">
        <v>3005.8</v>
      </c>
      <c r="H450" s="109">
        <v>-82618.69</v>
      </c>
      <c r="I450" s="109">
        <v>-86958.46</v>
      </c>
      <c r="J450" s="109">
        <v>-80104.92</v>
      </c>
      <c r="K450" s="109">
        <v>35819.32</v>
      </c>
      <c r="L450" s="109">
        <v>93075.04</v>
      </c>
      <c r="M450" s="109">
        <v>86421.56</v>
      </c>
      <c r="N450" s="110">
        <v>70411.0</v>
      </c>
      <c r="O450" s="110">
        <v>70121.0</v>
      </c>
      <c r="P450" s="110">
        <v>50923.0</v>
      </c>
      <c r="Q450" s="110">
        <v>73121.0</v>
      </c>
      <c r="R450" s="50">
        <v>70920.0</v>
      </c>
      <c r="S450" s="111">
        <v>52.0</v>
      </c>
      <c r="T450" s="112">
        <v>76.0</v>
      </c>
      <c r="U450" s="24" t="s">
        <v>48</v>
      </c>
      <c r="V450" s="11" t="s">
        <v>3978</v>
      </c>
      <c r="W450" s="108">
        <v>2.0</v>
      </c>
      <c r="X450" s="113">
        <v>31618.0</v>
      </c>
      <c r="Y450" s="113">
        <v>30814.0</v>
      </c>
      <c r="Z450" s="11">
        <v>114.0</v>
      </c>
      <c r="AA450" s="113">
        <v>70113.0</v>
      </c>
      <c r="AB450" s="109">
        <v>-3215.33</v>
      </c>
      <c r="AC450" s="113">
        <v>100720.0</v>
      </c>
      <c r="AD450" s="108">
        <v>6.0</v>
      </c>
    </row>
    <row r="451">
      <c r="A451" s="11">
        <v>29.0</v>
      </c>
      <c r="B451" s="11">
        <v>3.0</v>
      </c>
      <c r="C451" s="11">
        <v>7.0</v>
      </c>
      <c r="D451" s="17">
        <v>80.0</v>
      </c>
      <c r="E451" s="108">
        <v>8.0</v>
      </c>
      <c r="F451" s="109">
        <v>-10698.1</v>
      </c>
      <c r="G451" s="109">
        <v>67194.07</v>
      </c>
      <c r="H451" s="109">
        <v>-97221.03</v>
      </c>
      <c r="I451" s="109">
        <v>-27109.81</v>
      </c>
      <c r="J451" s="109">
        <v>80108.29</v>
      </c>
      <c r="K451" s="109">
        <v>-49063.73</v>
      </c>
      <c r="L451" s="109">
        <v>44805.24</v>
      </c>
      <c r="M451" s="109">
        <v>-10630.35</v>
      </c>
      <c r="N451" s="110">
        <v>120812.0</v>
      </c>
      <c r="O451" s="110">
        <v>120622.0</v>
      </c>
      <c r="P451" s="110">
        <v>50723.0</v>
      </c>
      <c r="Q451" s="110">
        <v>123121.0</v>
      </c>
      <c r="R451" s="50">
        <v>80522.0</v>
      </c>
      <c r="S451" s="111">
        <v>55.0</v>
      </c>
      <c r="T451" s="112">
        <v>77.0</v>
      </c>
      <c r="U451" s="24" t="s">
        <v>31</v>
      </c>
      <c r="V451" s="11" t="s">
        <v>3954</v>
      </c>
      <c r="W451" s="108">
        <v>2.0</v>
      </c>
      <c r="X451" s="113">
        <v>52818.0</v>
      </c>
      <c r="Y451" s="113">
        <v>21723.0</v>
      </c>
      <c r="Z451" s="11">
        <v>157.0</v>
      </c>
      <c r="AA451" s="113">
        <v>121220.0</v>
      </c>
      <c r="AB451" s="109">
        <v>15821.74</v>
      </c>
      <c r="AC451" s="113">
        <v>30614.0</v>
      </c>
      <c r="AD451" s="108">
        <v>0.0</v>
      </c>
    </row>
    <row r="452">
      <c r="A452" s="11">
        <v>49.0</v>
      </c>
      <c r="B452" s="11">
        <v>8.0</v>
      </c>
      <c r="C452" s="11">
        <v>6.0</v>
      </c>
      <c r="D452" s="17">
        <v>7.0</v>
      </c>
      <c r="E452" s="108">
        <v>5.0</v>
      </c>
      <c r="F452" s="109">
        <v>-63231.01</v>
      </c>
      <c r="G452" s="109">
        <v>-4313.86</v>
      </c>
      <c r="H452" s="109">
        <v>84061.71</v>
      </c>
      <c r="I452" s="109">
        <v>80422.06</v>
      </c>
      <c r="J452" s="109">
        <v>-74586.5</v>
      </c>
      <c r="K452" s="109">
        <v>72638.74</v>
      </c>
      <c r="L452" s="109">
        <v>99562.18</v>
      </c>
      <c r="M452" s="109">
        <v>-45266.53</v>
      </c>
      <c r="N452" s="110">
        <v>83012.0</v>
      </c>
      <c r="O452" s="110">
        <v>82342.0</v>
      </c>
      <c r="P452" s="110">
        <v>50923.0</v>
      </c>
      <c r="Q452" s="110">
        <v>83142.0</v>
      </c>
      <c r="R452" s="50">
        <v>42114.0</v>
      </c>
      <c r="S452" s="111">
        <v>50.0</v>
      </c>
      <c r="T452" s="112">
        <v>87.0</v>
      </c>
      <c r="U452" s="24" t="s">
        <v>31</v>
      </c>
      <c r="V452" s="11" t="s">
        <v>4060</v>
      </c>
      <c r="W452" s="108">
        <v>4.0</v>
      </c>
      <c r="X452" s="113">
        <v>11423.0</v>
      </c>
      <c r="Y452" s="113">
        <v>50517.0</v>
      </c>
      <c r="Z452" s="11">
        <v>157.0</v>
      </c>
      <c r="AA452" s="113">
        <v>41116.0</v>
      </c>
      <c r="AB452" s="109">
        <v>-74047.83</v>
      </c>
      <c r="AC452" s="113">
        <v>82813.0</v>
      </c>
      <c r="AD452" s="108">
        <v>7.0</v>
      </c>
    </row>
    <row r="453">
      <c r="A453" s="11">
        <v>49.0</v>
      </c>
      <c r="B453" s="11">
        <v>8.0</v>
      </c>
      <c r="C453" s="11">
        <v>8.0</v>
      </c>
      <c r="D453" s="17">
        <v>25.0</v>
      </c>
      <c r="E453" s="108">
        <v>3.0</v>
      </c>
      <c r="F453" s="109">
        <v>52715.94</v>
      </c>
      <c r="G453" s="109">
        <v>55487.34</v>
      </c>
      <c r="H453" s="109">
        <v>-47126.86</v>
      </c>
      <c r="I453" s="109">
        <v>28359.72</v>
      </c>
      <c r="J453" s="109">
        <v>88144.13</v>
      </c>
      <c r="K453" s="109">
        <v>16656.67</v>
      </c>
      <c r="L453" s="109">
        <v>-99643.55</v>
      </c>
      <c r="M453" s="109">
        <v>99829.06</v>
      </c>
      <c r="N453" s="110">
        <v>121712.0</v>
      </c>
      <c r="O453" s="110">
        <v>121042.0</v>
      </c>
      <c r="P453" s="110">
        <v>50923.0</v>
      </c>
      <c r="Q453" s="110">
        <v>123141.0</v>
      </c>
      <c r="R453" s="50">
        <v>51222.0</v>
      </c>
      <c r="S453" s="111">
        <v>55.0</v>
      </c>
      <c r="T453" s="112">
        <v>12.0</v>
      </c>
      <c r="U453" s="24" t="s">
        <v>601</v>
      </c>
      <c r="V453" s="11" t="s">
        <v>3881</v>
      </c>
      <c r="W453" s="108">
        <v>3.0</v>
      </c>
      <c r="X453" s="113">
        <v>21413.0</v>
      </c>
      <c r="Y453" s="113">
        <v>81522.0</v>
      </c>
      <c r="Z453" s="11">
        <v>167.0</v>
      </c>
      <c r="AA453" s="113">
        <v>20621.0</v>
      </c>
      <c r="AB453" s="109">
        <v>61961.4</v>
      </c>
      <c r="AC453" s="113">
        <v>72416.0</v>
      </c>
      <c r="AD453" s="108">
        <v>0.0</v>
      </c>
    </row>
    <row r="454">
      <c r="A454" s="11">
        <v>49.0</v>
      </c>
      <c r="B454" s="11">
        <v>9.0</v>
      </c>
      <c r="C454" s="11">
        <v>1.0</v>
      </c>
      <c r="D454" s="17">
        <v>2.0</v>
      </c>
      <c r="E454" s="108">
        <v>8.0</v>
      </c>
      <c r="F454" s="109">
        <v>64413.75</v>
      </c>
      <c r="G454" s="109">
        <v>32913.73</v>
      </c>
      <c r="H454" s="109">
        <v>90609.5</v>
      </c>
      <c r="I454" s="109">
        <v>80586.4</v>
      </c>
      <c r="J454" s="109">
        <v>-19657.25</v>
      </c>
      <c r="K454" s="109">
        <v>93811.71</v>
      </c>
      <c r="L454" s="109">
        <v>23644.66</v>
      </c>
      <c r="M454" s="109">
        <v>1556.48</v>
      </c>
      <c r="N454" s="110">
        <v>122412.0</v>
      </c>
      <c r="O454" s="110">
        <v>122222.0</v>
      </c>
      <c r="P454" s="110">
        <v>52523.0</v>
      </c>
      <c r="Q454" s="110">
        <v>123121.0</v>
      </c>
      <c r="R454" s="50">
        <v>22222.0</v>
      </c>
      <c r="S454" s="111">
        <v>52.0</v>
      </c>
      <c r="T454" s="112">
        <v>17.0</v>
      </c>
      <c r="U454" s="24" t="s">
        <v>31</v>
      </c>
      <c r="V454" s="11" t="s">
        <v>3920</v>
      </c>
      <c r="W454" s="108">
        <v>2.0</v>
      </c>
      <c r="X454" s="113">
        <v>122019.0</v>
      </c>
      <c r="Y454" s="113">
        <v>21219.0</v>
      </c>
      <c r="Z454" s="11">
        <v>132.0</v>
      </c>
      <c r="AA454" s="113">
        <v>100615.0</v>
      </c>
      <c r="AB454" s="109">
        <v>-66839.7</v>
      </c>
      <c r="AC454" s="113">
        <v>60420.0</v>
      </c>
      <c r="AD454" s="108">
        <v>8.0</v>
      </c>
    </row>
    <row r="455">
      <c r="A455" s="11">
        <v>49.0</v>
      </c>
      <c r="B455" s="11">
        <v>9.0</v>
      </c>
      <c r="C455" s="11">
        <v>2.0</v>
      </c>
      <c r="D455" s="17">
        <v>66.0</v>
      </c>
      <c r="E455" s="108">
        <v>8.0</v>
      </c>
      <c r="F455" s="109">
        <v>-8292.14</v>
      </c>
      <c r="G455" s="109">
        <v>20409.47</v>
      </c>
      <c r="H455" s="109">
        <v>53610.01</v>
      </c>
      <c r="I455" s="109">
        <v>-45273.58</v>
      </c>
      <c r="J455" s="109">
        <v>36375.02</v>
      </c>
      <c r="K455" s="109">
        <v>-86239.4</v>
      </c>
      <c r="L455" s="109">
        <v>-87504.52</v>
      </c>
      <c r="M455" s="109">
        <v>-97990.67</v>
      </c>
      <c r="N455" s="110">
        <v>42313.0</v>
      </c>
      <c r="O455" s="110">
        <v>42123.0</v>
      </c>
      <c r="P455" s="110">
        <v>51123.0</v>
      </c>
      <c r="Q455" s="110">
        <v>43023.0</v>
      </c>
      <c r="R455" s="50">
        <v>11715.0</v>
      </c>
      <c r="S455" s="111">
        <v>53.0</v>
      </c>
      <c r="T455" s="112">
        <v>43.0</v>
      </c>
      <c r="U455" s="24" t="s">
        <v>603</v>
      </c>
      <c r="V455" s="11" t="s">
        <v>3899</v>
      </c>
      <c r="W455" s="108">
        <v>8.0</v>
      </c>
      <c r="X455" s="113">
        <v>71119.0</v>
      </c>
      <c r="Y455" s="113">
        <v>30316.0</v>
      </c>
      <c r="Z455" s="11">
        <v>100.0</v>
      </c>
      <c r="AA455" s="113">
        <v>102513.0</v>
      </c>
      <c r="AB455" s="109">
        <v>-89545.79</v>
      </c>
      <c r="AC455" s="113">
        <v>70313.0</v>
      </c>
      <c r="AD455" s="108">
        <v>5.0</v>
      </c>
    </row>
    <row r="456">
      <c r="A456" s="11">
        <v>29.0</v>
      </c>
      <c r="B456" s="11">
        <v>6.0</v>
      </c>
      <c r="C456" s="11">
        <v>3.0</v>
      </c>
      <c r="D456" s="17">
        <v>28.0</v>
      </c>
      <c r="E456" s="108">
        <v>5.0</v>
      </c>
      <c r="F456" s="109">
        <v>-9548.16</v>
      </c>
      <c r="G456" s="109">
        <v>86520.89</v>
      </c>
      <c r="H456" s="109">
        <v>-11624.0</v>
      </c>
      <c r="I456" s="109">
        <v>-84082.12</v>
      </c>
      <c r="J456" s="109">
        <v>90772.58</v>
      </c>
      <c r="K456" s="109">
        <v>77509.74</v>
      </c>
      <c r="L456" s="109">
        <v>66473.17</v>
      </c>
      <c r="M456" s="109">
        <v>-12815.82</v>
      </c>
      <c r="N456" s="110">
        <v>40514.0</v>
      </c>
      <c r="O456" s="110">
        <v>32844.0</v>
      </c>
      <c r="P456" s="110">
        <v>50623.0</v>
      </c>
      <c r="Q456" s="110">
        <v>33144.0</v>
      </c>
      <c r="R456" s="50">
        <v>80617.0</v>
      </c>
      <c r="S456" s="111">
        <v>50.0</v>
      </c>
      <c r="T456" s="112">
        <v>68.0</v>
      </c>
      <c r="U456" s="24" t="s">
        <v>31</v>
      </c>
      <c r="V456" s="11" t="s">
        <v>3940</v>
      </c>
      <c r="W456" s="108">
        <v>3.0</v>
      </c>
      <c r="X456" s="113">
        <v>122518.0</v>
      </c>
      <c r="Y456" s="113">
        <v>120119.0</v>
      </c>
      <c r="Z456" s="11">
        <v>155.0</v>
      </c>
      <c r="AA456" s="113">
        <v>122019.0</v>
      </c>
      <c r="AB456" s="109">
        <v>68145.57</v>
      </c>
      <c r="AC456" s="113">
        <v>81622.0</v>
      </c>
      <c r="AD456" s="108">
        <v>2.0</v>
      </c>
    </row>
    <row r="457">
      <c r="A457" s="11">
        <v>29.0</v>
      </c>
      <c r="B457" s="11">
        <v>6.0</v>
      </c>
      <c r="C457" s="11">
        <v>6.0</v>
      </c>
      <c r="D457" s="17">
        <v>33.0</v>
      </c>
      <c r="E457" s="108">
        <v>5.0</v>
      </c>
      <c r="F457" s="109">
        <v>46630.73</v>
      </c>
      <c r="G457" s="109">
        <v>97387.68</v>
      </c>
      <c r="H457" s="109">
        <v>-4557.42</v>
      </c>
      <c r="I457" s="109">
        <v>74438.82</v>
      </c>
      <c r="J457" s="109">
        <v>97745.71</v>
      </c>
      <c r="K457" s="109">
        <v>95336.6</v>
      </c>
      <c r="L457" s="109">
        <v>68066.7</v>
      </c>
      <c r="M457" s="109">
        <v>60796.41</v>
      </c>
      <c r="N457" s="110">
        <v>60914.0</v>
      </c>
      <c r="O457" s="110">
        <v>60144.0</v>
      </c>
      <c r="P457" s="110">
        <v>52723.0</v>
      </c>
      <c r="Q457" s="110">
        <v>63044.0</v>
      </c>
      <c r="R457" s="50">
        <v>90618.0</v>
      </c>
      <c r="S457" s="111">
        <v>55.0</v>
      </c>
      <c r="T457" s="112">
        <v>16.0</v>
      </c>
      <c r="U457" s="24" t="s">
        <v>601</v>
      </c>
      <c r="V457" s="11" t="s">
        <v>3869</v>
      </c>
      <c r="W457" s="108">
        <v>5.0</v>
      </c>
      <c r="X457" s="113">
        <v>90318.0</v>
      </c>
      <c r="Y457" s="113">
        <v>22823.0</v>
      </c>
      <c r="Z457" s="11">
        <v>106.0</v>
      </c>
      <c r="AA457" s="113">
        <v>60718.0</v>
      </c>
      <c r="AB457" s="109">
        <v>96214.48</v>
      </c>
      <c r="AC457" s="113">
        <v>52117.0</v>
      </c>
      <c r="AD457" s="108">
        <v>3.0</v>
      </c>
    </row>
    <row r="458">
      <c r="A458" s="11">
        <v>29.0</v>
      </c>
      <c r="B458" s="11">
        <v>6.0</v>
      </c>
      <c r="C458" s="11">
        <v>7.0</v>
      </c>
      <c r="D458" s="17">
        <v>46.0</v>
      </c>
      <c r="E458" s="108">
        <v>1.0</v>
      </c>
      <c r="F458" s="109">
        <v>39433.2</v>
      </c>
      <c r="G458" s="109">
        <v>58825.47</v>
      </c>
      <c r="H458" s="109">
        <v>96711.94</v>
      </c>
      <c r="I458" s="109">
        <v>51773.98</v>
      </c>
      <c r="J458" s="109">
        <v>-57048.72</v>
      </c>
      <c r="K458" s="109">
        <v>29467.98</v>
      </c>
      <c r="L458" s="109">
        <v>76632.43</v>
      </c>
      <c r="M458" s="109">
        <v>-96115.82</v>
      </c>
      <c r="N458" s="110">
        <v>92612.0</v>
      </c>
      <c r="O458" s="110">
        <v>91942.0</v>
      </c>
      <c r="P458" s="110">
        <v>52223.0</v>
      </c>
      <c r="Q458" s="110">
        <v>93042.0</v>
      </c>
      <c r="R458" s="50">
        <v>52318.0</v>
      </c>
      <c r="S458" s="111">
        <v>51.0</v>
      </c>
      <c r="T458" s="112">
        <v>45.0</v>
      </c>
      <c r="U458" s="24" t="s">
        <v>601</v>
      </c>
      <c r="V458" s="11" t="s">
        <v>4008</v>
      </c>
      <c r="W458" s="108">
        <v>9.0</v>
      </c>
      <c r="X458" s="113">
        <v>100423.0</v>
      </c>
      <c r="Y458" s="113">
        <v>121920.0</v>
      </c>
      <c r="Z458" s="11">
        <v>185.0</v>
      </c>
      <c r="AA458" s="113">
        <v>43117.0</v>
      </c>
      <c r="AB458" s="109">
        <v>95142.3</v>
      </c>
      <c r="AC458" s="113">
        <v>92320.0</v>
      </c>
      <c r="AD458" s="108">
        <v>4.0</v>
      </c>
    </row>
    <row r="459">
      <c r="A459" s="11">
        <v>91.0</v>
      </c>
      <c r="B459" s="11">
        <v>1.0</v>
      </c>
      <c r="C459" s="11">
        <v>2.0</v>
      </c>
      <c r="D459" s="17">
        <v>97.0</v>
      </c>
      <c r="E459" s="108">
        <v>4.0</v>
      </c>
      <c r="F459" s="109">
        <v>52269.63</v>
      </c>
      <c r="G459" s="109">
        <v>-97204.85</v>
      </c>
      <c r="H459" s="109">
        <v>-97334.94</v>
      </c>
      <c r="I459" s="109">
        <v>-1205.89</v>
      </c>
      <c r="J459" s="109">
        <v>22744.11</v>
      </c>
      <c r="K459" s="109">
        <v>-8067.4</v>
      </c>
      <c r="L459" s="109">
        <v>-2808.19</v>
      </c>
      <c r="M459" s="109">
        <v>-82787.42</v>
      </c>
      <c r="N459" s="110">
        <v>61213.0</v>
      </c>
      <c r="O459" s="110">
        <v>60543.0</v>
      </c>
      <c r="P459" s="110">
        <v>52723.0</v>
      </c>
      <c r="Q459" s="110">
        <v>63043.0</v>
      </c>
      <c r="R459" s="50">
        <v>42221.0</v>
      </c>
      <c r="S459" s="111">
        <v>55.0</v>
      </c>
      <c r="T459" s="112">
        <v>71.0</v>
      </c>
      <c r="U459" s="24" t="s">
        <v>48</v>
      </c>
      <c r="V459" s="11" t="s">
        <v>4061</v>
      </c>
      <c r="W459" s="108">
        <v>1.0</v>
      </c>
      <c r="X459" s="113">
        <v>82313.0</v>
      </c>
      <c r="Y459" s="113">
        <v>21115.0</v>
      </c>
      <c r="Z459" s="11">
        <v>185.0</v>
      </c>
      <c r="AA459" s="113">
        <v>92119.0</v>
      </c>
      <c r="AB459" s="109">
        <v>70177.75</v>
      </c>
      <c r="AC459" s="113">
        <v>52820.0</v>
      </c>
      <c r="AD459" s="108">
        <v>0.0</v>
      </c>
    </row>
    <row r="460">
      <c r="A460" s="11">
        <v>29.0</v>
      </c>
      <c r="B460" s="11">
        <v>6.0</v>
      </c>
      <c r="C460" s="11">
        <v>9.0</v>
      </c>
      <c r="D460" s="17">
        <v>50.0</v>
      </c>
      <c r="E460" s="108">
        <v>5.0</v>
      </c>
      <c r="F460" s="109">
        <v>18305.06</v>
      </c>
      <c r="G460" s="109">
        <v>24275.05</v>
      </c>
      <c r="H460" s="109">
        <v>77057.3</v>
      </c>
      <c r="I460" s="109">
        <v>17157.44</v>
      </c>
      <c r="J460" s="109">
        <v>-11242.87</v>
      </c>
      <c r="K460" s="109">
        <v>-85366.95</v>
      </c>
      <c r="L460" s="109">
        <v>72388.36</v>
      </c>
      <c r="M460" s="109">
        <v>-84489.04</v>
      </c>
      <c r="N460" s="110">
        <v>72010.0</v>
      </c>
      <c r="O460" s="110">
        <v>71530.0</v>
      </c>
      <c r="P460" s="110">
        <v>53023.0</v>
      </c>
      <c r="Q460" s="110">
        <v>73130.0</v>
      </c>
      <c r="R460" s="50">
        <v>110821.0</v>
      </c>
      <c r="S460" s="111">
        <v>50.0</v>
      </c>
      <c r="T460" s="112">
        <v>33.0</v>
      </c>
      <c r="U460" s="24" t="s">
        <v>601</v>
      </c>
      <c r="V460" s="11" t="s">
        <v>4006</v>
      </c>
      <c r="W460" s="108">
        <v>8.0</v>
      </c>
      <c r="X460" s="113">
        <v>22620.0</v>
      </c>
      <c r="Y460" s="113">
        <v>63121.0</v>
      </c>
      <c r="Z460" s="11">
        <v>110.0</v>
      </c>
      <c r="AA460" s="113">
        <v>121921.0</v>
      </c>
      <c r="AB460" s="109">
        <v>-38727.61</v>
      </c>
      <c r="AC460" s="113">
        <v>40913.0</v>
      </c>
      <c r="AD460" s="108">
        <v>7.0</v>
      </c>
    </row>
    <row r="461">
      <c r="A461" s="11">
        <v>91.0</v>
      </c>
      <c r="B461" s="11">
        <v>2.0</v>
      </c>
      <c r="C461" s="11">
        <v>2.0</v>
      </c>
      <c r="D461" s="17">
        <v>94.0</v>
      </c>
      <c r="E461" s="108">
        <v>1.0</v>
      </c>
      <c r="F461" s="109">
        <v>-40853.47</v>
      </c>
      <c r="G461" s="109">
        <v>91757.82</v>
      </c>
      <c r="H461" s="109">
        <v>95084.15</v>
      </c>
      <c r="I461" s="109">
        <v>-48075.72</v>
      </c>
      <c r="J461" s="109">
        <v>-90039.93</v>
      </c>
      <c r="K461" s="109">
        <v>88875.29</v>
      </c>
      <c r="L461" s="109">
        <v>1929.25</v>
      </c>
      <c r="M461" s="109">
        <v>-18444.7</v>
      </c>
      <c r="N461" s="110">
        <v>90212.0</v>
      </c>
      <c r="O461" s="110">
        <v>82642.0</v>
      </c>
      <c r="P461" s="110">
        <v>51923.0</v>
      </c>
      <c r="Q461" s="110">
        <v>83142.0</v>
      </c>
      <c r="R461" s="50">
        <v>121514.0</v>
      </c>
      <c r="S461" s="111">
        <v>52.0</v>
      </c>
      <c r="T461" s="112">
        <v>59.0</v>
      </c>
      <c r="U461" s="24" t="s">
        <v>601</v>
      </c>
      <c r="V461" s="11" t="s">
        <v>3960</v>
      </c>
      <c r="W461" s="108">
        <v>1.0</v>
      </c>
      <c r="X461" s="113">
        <v>72719.0</v>
      </c>
      <c r="Y461" s="113">
        <v>31820.0</v>
      </c>
      <c r="Z461" s="11">
        <v>137.0</v>
      </c>
      <c r="AA461" s="113">
        <v>21718.0</v>
      </c>
      <c r="AB461" s="109">
        <v>-91785.15</v>
      </c>
      <c r="AC461" s="113">
        <v>42717.0</v>
      </c>
      <c r="AD461" s="108">
        <v>5.0</v>
      </c>
    </row>
    <row r="462">
      <c r="A462" s="11">
        <v>29.0</v>
      </c>
      <c r="B462" s="11">
        <v>7.0</v>
      </c>
      <c r="C462" s="11">
        <v>9.0</v>
      </c>
      <c r="D462" s="17">
        <v>51.0</v>
      </c>
      <c r="E462" s="108">
        <v>1.0</v>
      </c>
      <c r="F462" s="109">
        <v>1330.71</v>
      </c>
      <c r="G462" s="109">
        <v>62807.05</v>
      </c>
      <c r="H462" s="109">
        <v>-29796.64</v>
      </c>
      <c r="I462" s="109">
        <v>77677.26</v>
      </c>
      <c r="J462" s="109">
        <v>32488.23</v>
      </c>
      <c r="K462" s="109">
        <v>36153.69</v>
      </c>
      <c r="L462" s="109">
        <v>-43202.7</v>
      </c>
      <c r="M462" s="109">
        <v>-56691.86</v>
      </c>
      <c r="N462" s="110">
        <v>52411.0</v>
      </c>
      <c r="O462" s="110">
        <v>51931.0</v>
      </c>
      <c r="P462" s="110">
        <v>52923.0</v>
      </c>
      <c r="Q462" s="110">
        <v>53131.0</v>
      </c>
      <c r="R462" s="50">
        <v>21813.0</v>
      </c>
      <c r="S462" s="111">
        <v>53.0</v>
      </c>
      <c r="T462" s="112">
        <v>26.0</v>
      </c>
      <c r="U462" s="24" t="s">
        <v>31</v>
      </c>
      <c r="V462" s="11" t="s">
        <v>3977</v>
      </c>
      <c r="W462" s="108">
        <v>8.0</v>
      </c>
      <c r="X462" s="113">
        <v>122023.0</v>
      </c>
      <c r="Y462" s="113">
        <v>60522.0</v>
      </c>
      <c r="Z462" s="11">
        <v>166.0</v>
      </c>
      <c r="AA462" s="113">
        <v>112223.0</v>
      </c>
      <c r="AB462" s="109">
        <v>-83210.89</v>
      </c>
      <c r="AC462" s="113">
        <v>92215.0</v>
      </c>
      <c r="AD462" s="108">
        <v>2.0</v>
      </c>
    </row>
    <row r="463">
      <c r="A463" s="11">
        <v>29.0</v>
      </c>
      <c r="B463" s="11">
        <v>8.0</v>
      </c>
      <c r="C463" s="11">
        <v>3.0</v>
      </c>
      <c r="D463" s="17">
        <v>88.0</v>
      </c>
      <c r="E463" s="108">
        <v>9.0</v>
      </c>
      <c r="F463" s="109">
        <v>93721.9</v>
      </c>
      <c r="G463" s="109">
        <v>8298.7</v>
      </c>
      <c r="H463" s="109">
        <v>-40184.78</v>
      </c>
      <c r="I463" s="109">
        <v>-75625.21</v>
      </c>
      <c r="J463" s="109">
        <v>-98337.02</v>
      </c>
      <c r="K463" s="109">
        <v>-94086.73</v>
      </c>
      <c r="L463" s="109">
        <v>-25150.72</v>
      </c>
      <c r="M463" s="109">
        <v>-10022.97</v>
      </c>
      <c r="N463" s="110">
        <v>72912.0</v>
      </c>
      <c r="O463" s="110">
        <v>72242.0</v>
      </c>
      <c r="P463" s="110">
        <v>50323.0</v>
      </c>
      <c r="Q463" s="110">
        <v>73142.0</v>
      </c>
      <c r="R463" s="50">
        <v>81720.0</v>
      </c>
      <c r="S463" s="111">
        <v>54.0</v>
      </c>
      <c r="T463" s="112">
        <v>60.0</v>
      </c>
      <c r="U463" s="24" t="s">
        <v>603</v>
      </c>
      <c r="V463" s="11" t="s">
        <v>4062</v>
      </c>
      <c r="W463" s="108">
        <v>5.0</v>
      </c>
      <c r="X463" s="113">
        <v>10619.0</v>
      </c>
      <c r="Y463" s="113">
        <v>120615.0</v>
      </c>
      <c r="Z463" s="11">
        <v>199.0</v>
      </c>
      <c r="AA463" s="113">
        <v>10814.0</v>
      </c>
      <c r="AB463" s="109">
        <v>76844.0</v>
      </c>
      <c r="AC463" s="113">
        <v>92819.0</v>
      </c>
      <c r="AD463" s="108">
        <v>4.0</v>
      </c>
    </row>
    <row r="464">
      <c r="A464" s="11">
        <v>91.0</v>
      </c>
      <c r="B464" s="11">
        <v>3.0</v>
      </c>
      <c r="C464" s="11">
        <v>1.0</v>
      </c>
      <c r="D464" s="17">
        <v>73.0</v>
      </c>
      <c r="E464" s="108">
        <v>4.0</v>
      </c>
      <c r="F464" s="109">
        <v>-29621.79</v>
      </c>
      <c r="G464" s="109">
        <v>63520.53</v>
      </c>
      <c r="H464" s="109">
        <v>-53549.76</v>
      </c>
      <c r="I464" s="109">
        <v>60048.48</v>
      </c>
      <c r="J464" s="109">
        <v>67766.84</v>
      </c>
      <c r="K464" s="109">
        <v>-16379.88</v>
      </c>
      <c r="L464" s="109">
        <v>28725.34</v>
      </c>
      <c r="M464" s="109">
        <v>48169.49</v>
      </c>
      <c r="N464" s="110">
        <v>60112.0</v>
      </c>
      <c r="O464" s="110">
        <v>52732.0</v>
      </c>
      <c r="P464" s="110">
        <v>52123.0</v>
      </c>
      <c r="Q464" s="110">
        <v>53132.0</v>
      </c>
      <c r="R464" s="50">
        <v>50318.0</v>
      </c>
      <c r="S464" s="111">
        <v>54.0</v>
      </c>
      <c r="T464" s="112">
        <v>69.0</v>
      </c>
      <c r="U464" s="24" t="s">
        <v>48</v>
      </c>
      <c r="V464" s="11" t="s">
        <v>3964</v>
      </c>
      <c r="W464" s="108">
        <v>4.0</v>
      </c>
      <c r="X464" s="113">
        <v>82217.0</v>
      </c>
      <c r="Y464" s="113">
        <v>60723.0</v>
      </c>
      <c r="Z464" s="11">
        <v>115.0</v>
      </c>
      <c r="AA464" s="113">
        <v>40419.0</v>
      </c>
      <c r="AB464" s="109">
        <v>20965.5</v>
      </c>
      <c r="AC464" s="113">
        <v>101719.0</v>
      </c>
      <c r="AD464" s="108">
        <v>2.0</v>
      </c>
    </row>
    <row r="465">
      <c r="A465" s="11">
        <v>91.0</v>
      </c>
      <c r="B465" s="11">
        <v>4.0</v>
      </c>
      <c r="C465" s="11">
        <v>2.0</v>
      </c>
      <c r="D465" s="17">
        <v>25.0</v>
      </c>
      <c r="E465" s="108">
        <v>0.0</v>
      </c>
      <c r="F465" s="109">
        <v>33894.58</v>
      </c>
      <c r="G465" s="109">
        <v>-60219.45</v>
      </c>
      <c r="H465" s="109">
        <v>-21320.9</v>
      </c>
      <c r="I465" s="109">
        <v>27242.66</v>
      </c>
      <c r="J465" s="109">
        <v>-89606.31</v>
      </c>
      <c r="K465" s="109">
        <v>-89349.67</v>
      </c>
      <c r="L465" s="109">
        <v>70267.04</v>
      </c>
      <c r="M465" s="109">
        <v>50740.76</v>
      </c>
      <c r="N465" s="110">
        <v>80910.0</v>
      </c>
      <c r="O465" s="110">
        <v>80430.0</v>
      </c>
      <c r="P465" s="110">
        <v>51523.0</v>
      </c>
      <c r="Q465" s="110">
        <v>83130.0</v>
      </c>
      <c r="R465" s="50">
        <v>73122.0</v>
      </c>
      <c r="S465" s="111">
        <v>53.0</v>
      </c>
      <c r="T465" s="112">
        <v>58.0</v>
      </c>
      <c r="U465" s="24" t="s">
        <v>601</v>
      </c>
      <c r="V465" s="11" t="s">
        <v>4063</v>
      </c>
      <c r="W465" s="108">
        <v>3.0</v>
      </c>
      <c r="X465" s="113">
        <v>122523.0</v>
      </c>
      <c r="Y465" s="113">
        <v>12818.0</v>
      </c>
      <c r="Z465" s="11">
        <v>195.0</v>
      </c>
      <c r="AA465" s="113">
        <v>11019.0</v>
      </c>
      <c r="AB465" s="109">
        <v>32255.33</v>
      </c>
      <c r="AC465" s="113">
        <v>110813.0</v>
      </c>
      <c r="AD465" s="108">
        <v>4.0</v>
      </c>
    </row>
    <row r="466">
      <c r="A466" s="11">
        <v>91.0</v>
      </c>
      <c r="B466" s="11">
        <v>4.0</v>
      </c>
      <c r="C466" s="11">
        <v>6.0</v>
      </c>
      <c r="D466" s="17">
        <v>43.0</v>
      </c>
      <c r="E466" s="108">
        <v>7.0</v>
      </c>
      <c r="F466" s="109">
        <v>18715.94</v>
      </c>
      <c r="G466" s="109">
        <v>79841.25</v>
      </c>
      <c r="H466" s="109">
        <v>-7767.72</v>
      </c>
      <c r="I466" s="109">
        <v>-52637.54</v>
      </c>
      <c r="J466" s="109">
        <v>40732.69</v>
      </c>
      <c r="K466" s="109">
        <v>-73285.58</v>
      </c>
      <c r="L466" s="109">
        <v>79296.01</v>
      </c>
      <c r="M466" s="109">
        <v>-19565.38</v>
      </c>
      <c r="N466" s="110">
        <v>52312.0</v>
      </c>
      <c r="O466" s="110">
        <v>52122.0</v>
      </c>
      <c r="P466" s="110">
        <v>51323.0</v>
      </c>
      <c r="Q466" s="110">
        <v>53122.0</v>
      </c>
      <c r="R466" s="50">
        <v>81818.0</v>
      </c>
      <c r="S466" s="111">
        <v>53.0</v>
      </c>
      <c r="T466" s="112">
        <v>67.0</v>
      </c>
      <c r="U466" s="24" t="s">
        <v>48</v>
      </c>
      <c r="V466" s="11" t="s">
        <v>3868</v>
      </c>
      <c r="W466" s="108">
        <v>9.0</v>
      </c>
      <c r="X466" s="113">
        <v>82220.0</v>
      </c>
      <c r="Y466" s="113">
        <v>80123.0</v>
      </c>
      <c r="Z466" s="11">
        <v>155.0</v>
      </c>
      <c r="AA466" s="113">
        <v>102519.0</v>
      </c>
      <c r="AB466" s="109">
        <v>-65398.92</v>
      </c>
      <c r="AC466" s="113">
        <v>42821.0</v>
      </c>
      <c r="AD466" s="108">
        <v>2.0</v>
      </c>
    </row>
    <row r="467">
      <c r="A467" s="11">
        <v>91.0</v>
      </c>
      <c r="B467" s="11">
        <v>4.0</v>
      </c>
      <c r="C467" s="11">
        <v>9.0</v>
      </c>
      <c r="D467" s="17">
        <v>41.0</v>
      </c>
      <c r="E467" s="108">
        <v>5.0</v>
      </c>
      <c r="F467" s="109">
        <v>-86387.81</v>
      </c>
      <c r="G467" s="109">
        <v>-60041.13</v>
      </c>
      <c r="H467" s="109">
        <v>54730.51</v>
      </c>
      <c r="I467" s="109">
        <v>26329.38</v>
      </c>
      <c r="J467" s="109">
        <v>18501.49</v>
      </c>
      <c r="K467" s="109">
        <v>94802.01</v>
      </c>
      <c r="L467" s="109">
        <v>58682.75</v>
      </c>
      <c r="M467" s="109">
        <v>-86794.46</v>
      </c>
      <c r="N467" s="110">
        <v>100614.0</v>
      </c>
      <c r="O467" s="110">
        <v>100134.0</v>
      </c>
      <c r="P467" s="110">
        <v>52423.0</v>
      </c>
      <c r="Q467" s="110">
        <v>103134.0</v>
      </c>
      <c r="R467" s="50">
        <v>121213.0</v>
      </c>
      <c r="S467" s="111">
        <v>51.0</v>
      </c>
      <c r="T467" s="112">
        <v>93.0</v>
      </c>
      <c r="U467" s="24" t="s">
        <v>31</v>
      </c>
      <c r="V467" s="11" t="s">
        <v>4064</v>
      </c>
      <c r="W467" s="108">
        <v>5.0</v>
      </c>
      <c r="X467" s="113">
        <v>111323.0</v>
      </c>
      <c r="Y467" s="113">
        <v>60819.0</v>
      </c>
      <c r="Z467" s="11">
        <v>112.0</v>
      </c>
      <c r="AA467" s="113">
        <v>32015.0</v>
      </c>
      <c r="AB467" s="109">
        <v>-53829.65</v>
      </c>
      <c r="AC467" s="113">
        <v>72518.0</v>
      </c>
      <c r="AD467" s="108">
        <v>0.0</v>
      </c>
    </row>
    <row r="468">
      <c r="A468" s="11">
        <v>91.0</v>
      </c>
      <c r="B468" s="11">
        <v>5.0</v>
      </c>
      <c r="C468" s="11">
        <v>5.0</v>
      </c>
      <c r="D468" s="17">
        <v>36.0</v>
      </c>
      <c r="E468" s="108">
        <v>6.0</v>
      </c>
      <c r="F468" s="109">
        <v>76713.0</v>
      </c>
      <c r="G468" s="109">
        <v>31270.59</v>
      </c>
      <c r="H468" s="109">
        <v>-34271.23</v>
      </c>
      <c r="I468" s="109">
        <v>-90297.97</v>
      </c>
      <c r="J468" s="109">
        <v>-59901.94</v>
      </c>
      <c r="K468" s="109">
        <v>63438.78</v>
      </c>
      <c r="L468" s="109">
        <v>58191.89</v>
      </c>
      <c r="M468" s="109">
        <v>-349.29</v>
      </c>
      <c r="N468" s="110">
        <v>120510.0</v>
      </c>
      <c r="O468" s="110">
        <v>120220.0</v>
      </c>
      <c r="P468" s="110">
        <v>52823.0</v>
      </c>
      <c r="Q468" s="110">
        <v>123119.0</v>
      </c>
      <c r="R468" s="50">
        <v>111413.0</v>
      </c>
      <c r="S468" s="111">
        <v>55.0</v>
      </c>
      <c r="T468" s="112">
        <v>76.0</v>
      </c>
      <c r="U468" s="24" t="s">
        <v>48</v>
      </c>
      <c r="V468" s="11" t="s">
        <v>3880</v>
      </c>
      <c r="W468" s="108">
        <v>1.0</v>
      </c>
      <c r="X468" s="113">
        <v>111423.0</v>
      </c>
      <c r="Y468" s="113">
        <v>61913.0</v>
      </c>
      <c r="Z468" s="11">
        <v>183.0</v>
      </c>
      <c r="AA468" s="113">
        <v>33113.0</v>
      </c>
      <c r="AB468" s="109">
        <v>65253.81</v>
      </c>
      <c r="AC468" s="113">
        <v>112823.0</v>
      </c>
      <c r="AD468" s="108">
        <v>8.0</v>
      </c>
    </row>
    <row r="469">
      <c r="A469" s="11">
        <v>91.0</v>
      </c>
      <c r="B469" s="11">
        <v>5.0</v>
      </c>
      <c r="C469" s="11">
        <v>8.0</v>
      </c>
      <c r="D469" s="17">
        <v>35.0</v>
      </c>
      <c r="E469" s="108">
        <v>4.0</v>
      </c>
      <c r="F469" s="109">
        <v>59642.15</v>
      </c>
      <c r="G469" s="109">
        <v>-37524.78</v>
      </c>
      <c r="H469" s="109">
        <v>-89679.72</v>
      </c>
      <c r="I469" s="109">
        <v>57520.12</v>
      </c>
      <c r="J469" s="109">
        <v>51027.16</v>
      </c>
      <c r="K469" s="109">
        <v>-53804.86</v>
      </c>
      <c r="L469" s="109">
        <v>95002.65</v>
      </c>
      <c r="M469" s="109">
        <v>-21941.44</v>
      </c>
      <c r="N469" s="110">
        <v>10511.0</v>
      </c>
      <c r="O469" s="110">
        <v>122840.0</v>
      </c>
      <c r="P469" s="110">
        <v>52523.0</v>
      </c>
      <c r="Q469" s="110">
        <v>123139.0</v>
      </c>
      <c r="R469" s="50">
        <v>112214.0</v>
      </c>
      <c r="S469" s="111">
        <v>51.0</v>
      </c>
      <c r="T469" s="112">
        <v>16.0</v>
      </c>
      <c r="U469" s="24" t="s">
        <v>601</v>
      </c>
      <c r="V469" s="11" t="s">
        <v>4064</v>
      </c>
      <c r="W469" s="108">
        <v>9.0</v>
      </c>
      <c r="X469" s="113">
        <v>62117.0</v>
      </c>
      <c r="Y469" s="113">
        <v>91113.0</v>
      </c>
      <c r="Z469" s="11">
        <v>108.0</v>
      </c>
      <c r="AA469" s="113">
        <v>51414.0</v>
      </c>
      <c r="AB469" s="109">
        <v>-81471.63</v>
      </c>
      <c r="AC469" s="113">
        <v>93021.0</v>
      </c>
      <c r="AD469" s="108">
        <v>1.0</v>
      </c>
    </row>
    <row r="470">
      <c r="A470" s="11">
        <v>91.0</v>
      </c>
      <c r="B470" s="11">
        <v>6.0</v>
      </c>
      <c r="C470" s="11">
        <v>3.0</v>
      </c>
      <c r="D470" s="17">
        <v>61.0</v>
      </c>
      <c r="E470" s="108">
        <v>3.0</v>
      </c>
      <c r="F470" s="109">
        <v>50404.73</v>
      </c>
      <c r="G470" s="109">
        <v>31945.99</v>
      </c>
      <c r="H470" s="109">
        <v>6586.19</v>
      </c>
      <c r="I470" s="109">
        <v>-88059.83</v>
      </c>
      <c r="J470" s="109">
        <v>-48027.9</v>
      </c>
      <c r="K470" s="109">
        <v>15578.85</v>
      </c>
      <c r="L470" s="109">
        <v>-70245.96</v>
      </c>
      <c r="M470" s="109">
        <v>15350.07</v>
      </c>
      <c r="N470" s="110">
        <v>31013.0</v>
      </c>
      <c r="O470" s="110">
        <v>30343.0</v>
      </c>
      <c r="P470" s="110">
        <v>51323.0</v>
      </c>
      <c r="Q470" s="110">
        <v>33143.0</v>
      </c>
      <c r="R470" s="50">
        <v>61919.0</v>
      </c>
      <c r="S470" s="111">
        <v>50.0</v>
      </c>
      <c r="T470" s="112">
        <v>13.0</v>
      </c>
      <c r="U470" s="24" t="s">
        <v>31</v>
      </c>
      <c r="V470" s="11" t="s">
        <v>4065</v>
      </c>
      <c r="W470" s="108">
        <v>4.0</v>
      </c>
      <c r="X470" s="113">
        <v>53013.0</v>
      </c>
      <c r="Y470" s="113">
        <v>50522.0</v>
      </c>
      <c r="Z470" s="11">
        <v>171.0</v>
      </c>
      <c r="AA470" s="113">
        <v>52619.0</v>
      </c>
      <c r="AB470" s="109">
        <v>-41439.09</v>
      </c>
      <c r="AC470" s="113">
        <v>20120.0</v>
      </c>
      <c r="AD470" s="108">
        <v>6.0</v>
      </c>
    </row>
    <row r="471">
      <c r="A471" s="11">
        <v>91.0</v>
      </c>
      <c r="B471" s="11">
        <v>7.0</v>
      </c>
      <c r="C471" s="11">
        <v>5.0</v>
      </c>
      <c r="D471" s="17">
        <v>68.0</v>
      </c>
      <c r="E471" s="108">
        <v>6.0</v>
      </c>
      <c r="F471" s="109">
        <v>2685.76</v>
      </c>
      <c r="G471" s="109">
        <v>-59369.23</v>
      </c>
      <c r="H471" s="109">
        <v>74274.95</v>
      </c>
      <c r="I471" s="109">
        <v>78977.26</v>
      </c>
      <c r="J471" s="109">
        <v>-25898.29</v>
      </c>
      <c r="K471" s="109">
        <v>-4370.23</v>
      </c>
      <c r="L471" s="109">
        <v>-82789.9</v>
      </c>
      <c r="M471" s="109">
        <v>85801.42</v>
      </c>
      <c r="N471" s="110">
        <v>91813.0</v>
      </c>
      <c r="O471" s="110">
        <v>91333.0</v>
      </c>
      <c r="P471" s="110">
        <v>50623.0</v>
      </c>
      <c r="Q471" s="110">
        <v>93033.0</v>
      </c>
      <c r="R471" s="50">
        <v>100113.0</v>
      </c>
      <c r="S471" s="111">
        <v>55.0</v>
      </c>
      <c r="T471" s="112">
        <v>29.0</v>
      </c>
      <c r="U471" s="24" t="s">
        <v>601</v>
      </c>
      <c r="V471" s="11" t="s">
        <v>3900</v>
      </c>
      <c r="W471" s="108">
        <v>5.0</v>
      </c>
      <c r="X471" s="113">
        <v>91519.0</v>
      </c>
      <c r="Y471" s="113">
        <v>42513.0</v>
      </c>
      <c r="Z471" s="11">
        <v>137.0</v>
      </c>
      <c r="AA471" s="113">
        <v>120516.0</v>
      </c>
      <c r="AB471" s="109">
        <v>40916.26</v>
      </c>
      <c r="AC471" s="113">
        <v>112323.0</v>
      </c>
      <c r="AD471" s="108">
        <v>2.0</v>
      </c>
    </row>
    <row r="472">
      <c r="A472" s="11">
        <v>91.0</v>
      </c>
      <c r="B472" s="11">
        <v>7.0</v>
      </c>
      <c r="C472" s="11">
        <v>9.0</v>
      </c>
      <c r="D472" s="17">
        <v>33.0</v>
      </c>
      <c r="E472" s="108">
        <v>9.0</v>
      </c>
      <c r="F472" s="109">
        <v>96654.93</v>
      </c>
      <c r="G472" s="109">
        <v>90426.65</v>
      </c>
      <c r="H472" s="109">
        <v>37791.08</v>
      </c>
      <c r="I472" s="109">
        <v>1025.64</v>
      </c>
      <c r="J472" s="109">
        <v>-97454.81</v>
      </c>
      <c r="K472" s="109">
        <v>-51184.62</v>
      </c>
      <c r="L472" s="109">
        <v>44238.2</v>
      </c>
      <c r="M472" s="109">
        <v>41804.95</v>
      </c>
      <c r="N472" s="110">
        <v>100313.0</v>
      </c>
      <c r="O472" s="110">
        <v>92643.0</v>
      </c>
      <c r="P472" s="110">
        <v>51423.0</v>
      </c>
      <c r="Q472" s="110">
        <v>93043.0</v>
      </c>
      <c r="R472" s="50">
        <v>60113.0</v>
      </c>
      <c r="S472" s="111">
        <v>55.0</v>
      </c>
      <c r="T472" s="112">
        <v>94.0</v>
      </c>
      <c r="U472" s="24" t="s">
        <v>603</v>
      </c>
      <c r="V472" s="11" t="s">
        <v>4023</v>
      </c>
      <c r="W472" s="108">
        <v>1.0</v>
      </c>
      <c r="X472" s="113">
        <v>11518.0</v>
      </c>
      <c r="Y472" s="113">
        <v>52517.0</v>
      </c>
      <c r="Z472" s="11">
        <v>130.0</v>
      </c>
      <c r="AA472" s="113">
        <v>102921.0</v>
      </c>
      <c r="AB472" s="109">
        <v>28541.59</v>
      </c>
      <c r="AC472" s="113">
        <v>111919.0</v>
      </c>
      <c r="AD472" s="108">
        <v>5.0</v>
      </c>
    </row>
    <row r="473">
      <c r="A473" s="11">
        <v>71.0</v>
      </c>
      <c r="B473" s="11">
        <v>3.0</v>
      </c>
      <c r="C473" s="11">
        <v>6.0</v>
      </c>
      <c r="D473" s="17">
        <v>95.0</v>
      </c>
      <c r="E473" s="108">
        <v>0.0</v>
      </c>
      <c r="F473" s="109">
        <v>75700.88</v>
      </c>
      <c r="G473" s="109">
        <v>-96954.07</v>
      </c>
      <c r="H473" s="109">
        <v>-46414.73</v>
      </c>
      <c r="I473" s="109">
        <v>-38935.77</v>
      </c>
      <c r="J473" s="109">
        <v>37988.86</v>
      </c>
      <c r="K473" s="109">
        <v>-61319.96</v>
      </c>
      <c r="L473" s="109">
        <v>86278.79</v>
      </c>
      <c r="M473" s="109">
        <v>48414.2</v>
      </c>
      <c r="N473" s="110">
        <v>41410.0</v>
      </c>
      <c r="O473" s="110">
        <v>40640.0</v>
      </c>
      <c r="P473" s="110">
        <v>52723.0</v>
      </c>
      <c r="Q473" s="110">
        <v>43040.0</v>
      </c>
      <c r="R473" s="50">
        <v>62518.0</v>
      </c>
      <c r="S473" s="111">
        <v>52.0</v>
      </c>
      <c r="T473" s="112">
        <v>84.0</v>
      </c>
      <c r="U473" s="24" t="s">
        <v>603</v>
      </c>
      <c r="V473" s="11" t="s">
        <v>3900</v>
      </c>
      <c r="W473" s="108">
        <v>1.0</v>
      </c>
      <c r="X473" s="113">
        <v>22122.0</v>
      </c>
      <c r="Y473" s="113">
        <v>32821.0</v>
      </c>
      <c r="Z473" s="11">
        <v>101.0</v>
      </c>
      <c r="AA473" s="113">
        <v>21023.0</v>
      </c>
      <c r="AB473" s="109">
        <v>91820.04</v>
      </c>
      <c r="AC473" s="113">
        <v>51715.0</v>
      </c>
      <c r="AD473" s="108">
        <v>3.0</v>
      </c>
    </row>
    <row r="474">
      <c r="A474" s="11">
        <v>71.0</v>
      </c>
      <c r="B474" s="11">
        <v>3.0</v>
      </c>
      <c r="C474" s="11">
        <v>7.0</v>
      </c>
      <c r="D474" s="17">
        <v>42.0</v>
      </c>
      <c r="E474" s="108">
        <v>0.0</v>
      </c>
      <c r="F474" s="109">
        <v>-61928.52</v>
      </c>
      <c r="G474" s="109">
        <v>41548.23</v>
      </c>
      <c r="H474" s="109">
        <v>55950.45</v>
      </c>
      <c r="I474" s="109">
        <v>4037.87</v>
      </c>
      <c r="J474" s="109">
        <v>-51186.81</v>
      </c>
      <c r="K474" s="109">
        <v>-13235.44</v>
      </c>
      <c r="L474" s="109">
        <v>50763.15</v>
      </c>
      <c r="M474" s="109">
        <v>66789.94</v>
      </c>
      <c r="N474" s="110">
        <v>52111.0</v>
      </c>
      <c r="O474" s="110">
        <v>51821.0</v>
      </c>
      <c r="P474" s="110">
        <v>52123.0</v>
      </c>
      <c r="Q474" s="110">
        <v>53121.0</v>
      </c>
      <c r="R474" s="50">
        <v>71213.0</v>
      </c>
      <c r="S474" s="111">
        <v>53.0</v>
      </c>
      <c r="T474" s="112">
        <v>57.0</v>
      </c>
      <c r="U474" s="24" t="s">
        <v>601</v>
      </c>
      <c r="V474" s="11" t="s">
        <v>3875</v>
      </c>
      <c r="W474" s="108">
        <v>8.0</v>
      </c>
      <c r="X474" s="113">
        <v>60615.0</v>
      </c>
      <c r="Y474" s="113">
        <v>60915.0</v>
      </c>
      <c r="Z474" s="11">
        <v>120.0</v>
      </c>
      <c r="AA474" s="113">
        <v>51614.0</v>
      </c>
      <c r="AB474" s="109">
        <v>98221.32</v>
      </c>
      <c r="AC474" s="113">
        <v>22223.0</v>
      </c>
      <c r="AD474" s="108">
        <v>3.0</v>
      </c>
    </row>
    <row r="475">
      <c r="A475" s="11">
        <v>91.0</v>
      </c>
      <c r="B475" s="11">
        <v>9.0</v>
      </c>
      <c r="C475" s="11">
        <v>3.0</v>
      </c>
      <c r="D475" s="17">
        <v>11.0</v>
      </c>
      <c r="E475" s="108">
        <v>3.0</v>
      </c>
      <c r="F475" s="109">
        <v>14632.97</v>
      </c>
      <c r="G475" s="109">
        <v>-55126.09</v>
      </c>
      <c r="H475" s="109">
        <v>-5979.84</v>
      </c>
      <c r="I475" s="109">
        <v>16855.56</v>
      </c>
      <c r="J475" s="109">
        <v>-46214.08</v>
      </c>
      <c r="K475" s="109">
        <v>84531.65</v>
      </c>
      <c r="L475" s="109">
        <v>93344.53</v>
      </c>
      <c r="M475" s="109">
        <v>56967.82</v>
      </c>
      <c r="N475" s="110">
        <v>80912.0</v>
      </c>
      <c r="O475" s="110">
        <v>80722.0</v>
      </c>
      <c r="P475" s="110">
        <v>51223.0</v>
      </c>
      <c r="Q475" s="110">
        <v>83122.0</v>
      </c>
      <c r="R475" s="50">
        <v>11516.0</v>
      </c>
      <c r="S475" s="111">
        <v>55.0</v>
      </c>
      <c r="T475" s="112">
        <v>59.0</v>
      </c>
      <c r="U475" s="24" t="s">
        <v>31</v>
      </c>
      <c r="V475" s="11" t="s">
        <v>4066</v>
      </c>
      <c r="W475" s="108">
        <v>2.0</v>
      </c>
      <c r="X475" s="113">
        <v>110322.0</v>
      </c>
      <c r="Y475" s="113">
        <v>10516.0</v>
      </c>
      <c r="Z475" s="11">
        <v>147.0</v>
      </c>
      <c r="AA475" s="113">
        <v>82521.0</v>
      </c>
      <c r="AB475" s="109">
        <v>63586.48</v>
      </c>
      <c r="AC475" s="113">
        <v>22816.0</v>
      </c>
      <c r="AD475" s="108">
        <v>3.0</v>
      </c>
    </row>
    <row r="476">
      <c r="A476" s="11">
        <v>71.0</v>
      </c>
      <c r="B476" s="11">
        <v>4.0</v>
      </c>
      <c r="C476" s="11">
        <v>9.0</v>
      </c>
      <c r="D476" s="17">
        <v>73.0</v>
      </c>
      <c r="E476" s="108">
        <v>1.0</v>
      </c>
      <c r="F476" s="109">
        <v>-32828.65</v>
      </c>
      <c r="G476" s="109">
        <v>-88143.99</v>
      </c>
      <c r="H476" s="109">
        <v>-3764.66</v>
      </c>
      <c r="I476" s="109">
        <v>26996.29</v>
      </c>
      <c r="J476" s="109">
        <v>15182.11</v>
      </c>
      <c r="K476" s="109">
        <v>99511.38</v>
      </c>
      <c r="L476" s="109">
        <v>-39128.24</v>
      </c>
      <c r="M476" s="109">
        <v>-24324.41</v>
      </c>
      <c r="N476" s="110">
        <v>10610.0</v>
      </c>
      <c r="O476" s="110">
        <v>10130.0</v>
      </c>
      <c r="P476" s="110">
        <v>51523.0</v>
      </c>
      <c r="Q476" s="110">
        <v>13130.0</v>
      </c>
      <c r="R476" s="50">
        <v>12114.0</v>
      </c>
      <c r="S476" s="111">
        <v>53.0</v>
      </c>
      <c r="T476" s="112">
        <v>59.0</v>
      </c>
      <c r="U476" s="24" t="s">
        <v>601</v>
      </c>
      <c r="V476" s="11" t="s">
        <v>3994</v>
      </c>
      <c r="W476" s="108">
        <v>9.0</v>
      </c>
      <c r="X476" s="113">
        <v>51323.0</v>
      </c>
      <c r="Y476" s="113">
        <v>10515.0</v>
      </c>
      <c r="Z476" s="11">
        <v>131.0</v>
      </c>
      <c r="AA476" s="113">
        <v>70319.0</v>
      </c>
      <c r="AB476" s="109">
        <v>57803.15</v>
      </c>
      <c r="AC476" s="113">
        <v>20616.0</v>
      </c>
      <c r="AD476" s="108">
        <v>1.0</v>
      </c>
    </row>
    <row r="477">
      <c r="A477" s="11">
        <v>71.0</v>
      </c>
      <c r="B477" s="11">
        <v>5.0</v>
      </c>
      <c r="C477" s="11">
        <v>5.0</v>
      </c>
      <c r="D477" s="17">
        <v>29.0</v>
      </c>
      <c r="E477" s="108">
        <v>9.0</v>
      </c>
      <c r="F477" s="109">
        <v>43471.83</v>
      </c>
      <c r="G477" s="109">
        <v>-85152.77</v>
      </c>
      <c r="H477" s="109">
        <v>70488.72</v>
      </c>
      <c r="I477" s="109">
        <v>47786.7</v>
      </c>
      <c r="J477" s="109">
        <v>33225.78</v>
      </c>
      <c r="K477" s="109">
        <v>35462.4</v>
      </c>
      <c r="L477" s="109">
        <v>26865.86</v>
      </c>
      <c r="M477" s="109">
        <v>24288.9</v>
      </c>
      <c r="N477" s="110">
        <v>40313.0</v>
      </c>
      <c r="O477" s="110">
        <v>32743.0</v>
      </c>
      <c r="P477" s="110">
        <v>52823.0</v>
      </c>
      <c r="Q477" s="110">
        <v>33143.0</v>
      </c>
      <c r="R477" s="50">
        <v>81316.0</v>
      </c>
      <c r="S477" s="111">
        <v>54.0</v>
      </c>
      <c r="T477" s="112">
        <v>35.0</v>
      </c>
      <c r="U477" s="24" t="s">
        <v>39</v>
      </c>
      <c r="V477" s="11" t="s">
        <v>3991</v>
      </c>
      <c r="W477" s="108">
        <v>3.0</v>
      </c>
      <c r="X477" s="113">
        <v>112319.0</v>
      </c>
      <c r="Y477" s="113">
        <v>20316.0</v>
      </c>
      <c r="Z477" s="11">
        <v>115.0</v>
      </c>
      <c r="AA477" s="113">
        <v>111317.0</v>
      </c>
      <c r="AB477" s="109">
        <v>84583.07</v>
      </c>
      <c r="AC477" s="113">
        <v>90820.0</v>
      </c>
      <c r="AD477" s="108">
        <v>6.0</v>
      </c>
    </row>
    <row r="478">
      <c r="A478" s="11">
        <v>71.0</v>
      </c>
      <c r="B478" s="11">
        <v>5.0</v>
      </c>
      <c r="C478" s="11">
        <v>9.0</v>
      </c>
      <c r="D478" s="17">
        <v>39.0</v>
      </c>
      <c r="E478" s="108">
        <v>5.0</v>
      </c>
      <c r="F478" s="109">
        <v>-52052.25</v>
      </c>
      <c r="G478" s="109">
        <v>29288.45</v>
      </c>
      <c r="H478" s="109">
        <v>60992.5</v>
      </c>
      <c r="I478" s="109">
        <v>-45615.93</v>
      </c>
      <c r="J478" s="109">
        <v>-20207.02</v>
      </c>
      <c r="K478" s="109">
        <v>45622.22</v>
      </c>
      <c r="L478" s="109">
        <v>-65485.65</v>
      </c>
      <c r="M478" s="109">
        <v>-97996.13</v>
      </c>
      <c r="N478" s="110">
        <v>61410.0</v>
      </c>
      <c r="O478" s="110">
        <v>60930.0</v>
      </c>
      <c r="P478" s="110">
        <v>51223.0</v>
      </c>
      <c r="Q478" s="110">
        <v>63030.0</v>
      </c>
      <c r="R478" s="50">
        <v>63013.0</v>
      </c>
      <c r="S478" s="111">
        <v>55.0</v>
      </c>
      <c r="T478" s="112">
        <v>87.0</v>
      </c>
      <c r="U478" s="24" t="s">
        <v>601</v>
      </c>
      <c r="V478" s="11" t="s">
        <v>3875</v>
      </c>
      <c r="W478" s="108">
        <v>9.0</v>
      </c>
      <c r="X478" s="113">
        <v>22219.0</v>
      </c>
      <c r="Y478" s="113">
        <v>91017.0</v>
      </c>
      <c r="Z478" s="11">
        <v>169.0</v>
      </c>
      <c r="AA478" s="113">
        <v>72815.0</v>
      </c>
      <c r="AB478" s="109">
        <v>-76143.64</v>
      </c>
      <c r="AC478" s="113">
        <v>101519.0</v>
      </c>
      <c r="AD478" s="108">
        <v>7.0</v>
      </c>
    </row>
    <row r="479">
      <c r="A479" s="11">
        <v>51.0</v>
      </c>
      <c r="B479" s="11">
        <v>1.0</v>
      </c>
      <c r="C479" s="11">
        <v>6.0</v>
      </c>
      <c r="D479" s="17">
        <v>29.0</v>
      </c>
      <c r="E479" s="108">
        <v>7.0</v>
      </c>
      <c r="F479" s="109">
        <v>14618.08</v>
      </c>
      <c r="G479" s="109">
        <v>-13470.48</v>
      </c>
      <c r="H479" s="109">
        <v>25710.92</v>
      </c>
      <c r="I479" s="109">
        <v>41132.08</v>
      </c>
      <c r="J479" s="109">
        <v>94781.45</v>
      </c>
      <c r="K479" s="109">
        <v>-96251.95</v>
      </c>
      <c r="L479" s="109">
        <v>26678.91</v>
      </c>
      <c r="M479" s="109">
        <v>-37725.67</v>
      </c>
      <c r="N479" s="110">
        <v>122913.0</v>
      </c>
      <c r="O479" s="110">
        <v>122723.0</v>
      </c>
      <c r="P479" s="110">
        <v>50623.0</v>
      </c>
      <c r="Q479" s="110">
        <v>123122.0</v>
      </c>
      <c r="R479" s="50">
        <v>102616.0</v>
      </c>
      <c r="S479" s="111">
        <v>55.0</v>
      </c>
      <c r="T479" s="112">
        <v>98.0</v>
      </c>
      <c r="U479" s="24" t="s">
        <v>603</v>
      </c>
      <c r="V479" s="11" t="s">
        <v>4049</v>
      </c>
      <c r="W479" s="108">
        <v>6.0</v>
      </c>
      <c r="X479" s="113">
        <v>121123.0</v>
      </c>
      <c r="Y479" s="113">
        <v>30822.0</v>
      </c>
      <c r="Z479" s="11">
        <v>176.0</v>
      </c>
      <c r="AA479" s="113">
        <v>72422.0</v>
      </c>
      <c r="AB479" s="109">
        <v>-17122.42</v>
      </c>
      <c r="AC479" s="113">
        <v>111018.0</v>
      </c>
      <c r="AD479" s="108">
        <v>8.0</v>
      </c>
    </row>
    <row r="480">
      <c r="A480" s="11">
        <v>71.0</v>
      </c>
      <c r="B480" s="11">
        <v>6.0</v>
      </c>
      <c r="C480" s="11">
        <v>4.0</v>
      </c>
      <c r="D480" s="17">
        <v>18.0</v>
      </c>
      <c r="E480" s="108">
        <v>0.0</v>
      </c>
      <c r="F480" s="109">
        <v>4518.48</v>
      </c>
      <c r="G480" s="109">
        <v>53537.04</v>
      </c>
      <c r="H480" s="109">
        <v>40441.94</v>
      </c>
      <c r="I480" s="109">
        <v>10359.82</v>
      </c>
      <c r="J480" s="109">
        <v>75199.79</v>
      </c>
      <c r="K480" s="109">
        <v>67237.46</v>
      </c>
      <c r="L480" s="109">
        <v>-57449.86</v>
      </c>
      <c r="M480" s="109">
        <v>22505.43</v>
      </c>
      <c r="N480" s="110">
        <v>32014.0</v>
      </c>
      <c r="O480" s="110">
        <v>31724.0</v>
      </c>
      <c r="P480" s="110">
        <v>50623.0</v>
      </c>
      <c r="Q480" s="110">
        <v>33124.0</v>
      </c>
      <c r="R480" s="50">
        <v>30314.0</v>
      </c>
      <c r="S480" s="111">
        <v>52.0</v>
      </c>
      <c r="T480" s="112">
        <v>43.0</v>
      </c>
      <c r="U480" s="24" t="s">
        <v>601</v>
      </c>
      <c r="V480" s="11" t="s">
        <v>4005</v>
      </c>
      <c r="W480" s="108">
        <v>9.0</v>
      </c>
      <c r="X480" s="113">
        <v>62219.0</v>
      </c>
      <c r="Y480" s="113">
        <v>120622.0</v>
      </c>
      <c r="Z480" s="11">
        <v>157.0</v>
      </c>
      <c r="AA480" s="113">
        <v>60613.0</v>
      </c>
      <c r="AB480" s="109">
        <v>60404.93</v>
      </c>
      <c r="AC480" s="113">
        <v>102418.0</v>
      </c>
      <c r="AD480" s="108">
        <v>0.0</v>
      </c>
    </row>
    <row r="481">
      <c r="A481" s="11">
        <v>71.0</v>
      </c>
      <c r="B481" s="11">
        <v>7.0</v>
      </c>
      <c r="C481" s="11">
        <v>5.0</v>
      </c>
      <c r="D481" s="17">
        <v>76.0</v>
      </c>
      <c r="E481" s="108">
        <v>5.0</v>
      </c>
      <c r="F481" s="109">
        <v>-26963.48</v>
      </c>
      <c r="G481" s="109">
        <v>68544.4</v>
      </c>
      <c r="H481" s="109">
        <v>-59101.79</v>
      </c>
      <c r="I481" s="109">
        <v>62223.98</v>
      </c>
      <c r="J481" s="109">
        <v>30836.98</v>
      </c>
      <c r="K481" s="109">
        <v>12107.28</v>
      </c>
      <c r="L481" s="109">
        <v>-15294.63</v>
      </c>
      <c r="M481" s="109">
        <v>-73509.42</v>
      </c>
      <c r="N481" s="110">
        <v>62812.0</v>
      </c>
      <c r="O481" s="110">
        <v>62332.0</v>
      </c>
      <c r="P481" s="110">
        <v>50323.0</v>
      </c>
      <c r="Q481" s="110">
        <v>63032.0</v>
      </c>
      <c r="R481" s="50">
        <v>42818.0</v>
      </c>
      <c r="S481" s="111">
        <v>54.0</v>
      </c>
      <c r="T481" s="112">
        <v>27.0</v>
      </c>
      <c r="U481" s="24" t="s">
        <v>48</v>
      </c>
      <c r="V481" s="11" t="s">
        <v>4067</v>
      </c>
      <c r="W481" s="108">
        <v>8.0</v>
      </c>
      <c r="X481" s="113">
        <v>30919.0</v>
      </c>
      <c r="Y481" s="113">
        <v>121013.0</v>
      </c>
      <c r="Z481" s="11">
        <v>181.0</v>
      </c>
      <c r="AA481" s="113">
        <v>62820.0</v>
      </c>
      <c r="AB481" s="109">
        <v>-24309.06</v>
      </c>
      <c r="AC481" s="113">
        <v>61922.0</v>
      </c>
      <c r="AD481" s="108">
        <v>2.0</v>
      </c>
    </row>
    <row r="482">
      <c r="A482" s="11">
        <v>92.0</v>
      </c>
      <c r="B482" s="11">
        <v>2.0</v>
      </c>
      <c r="C482" s="11">
        <v>9.0</v>
      </c>
      <c r="D482" s="17">
        <v>82.0</v>
      </c>
      <c r="E482" s="108">
        <v>4.0</v>
      </c>
      <c r="F482" s="109">
        <v>56507.95</v>
      </c>
      <c r="G482" s="109">
        <v>-60962.16</v>
      </c>
      <c r="H482" s="109">
        <v>74150.0</v>
      </c>
      <c r="I482" s="109">
        <v>44352.16</v>
      </c>
      <c r="J482" s="109">
        <v>-14874.76</v>
      </c>
      <c r="K482" s="109">
        <v>-62956.26</v>
      </c>
      <c r="L482" s="109">
        <v>24607.81</v>
      </c>
      <c r="M482" s="109">
        <v>32847.25</v>
      </c>
      <c r="N482" s="110">
        <v>12111.0</v>
      </c>
      <c r="O482" s="110">
        <v>11821.0</v>
      </c>
      <c r="P482" s="110">
        <v>51923.0</v>
      </c>
      <c r="Q482" s="110">
        <v>13121.0</v>
      </c>
      <c r="R482" s="50">
        <v>102419.0</v>
      </c>
      <c r="S482" s="111">
        <v>55.0</v>
      </c>
      <c r="T482" s="112">
        <v>89.0</v>
      </c>
      <c r="U482" s="24" t="s">
        <v>603</v>
      </c>
      <c r="V482" s="11" t="s">
        <v>4068</v>
      </c>
      <c r="W482" s="108">
        <v>9.0</v>
      </c>
      <c r="X482" s="113">
        <v>71817.0</v>
      </c>
      <c r="Y482" s="113">
        <v>113117.0</v>
      </c>
      <c r="Z482" s="11">
        <v>132.0</v>
      </c>
      <c r="AA482" s="113">
        <v>90323.0</v>
      </c>
      <c r="AB482" s="109">
        <v>29433.32</v>
      </c>
      <c r="AC482" s="113">
        <v>43017.0</v>
      </c>
      <c r="AD482" s="108">
        <v>8.0</v>
      </c>
    </row>
    <row r="483">
      <c r="A483" s="11">
        <v>71.0</v>
      </c>
      <c r="B483" s="11">
        <v>8.0</v>
      </c>
      <c r="C483" s="11">
        <v>1.0</v>
      </c>
      <c r="D483" s="17">
        <v>9.0</v>
      </c>
      <c r="E483" s="108">
        <v>9.0</v>
      </c>
      <c r="F483" s="109">
        <v>-59089.32</v>
      </c>
      <c r="G483" s="109">
        <v>-81840.54</v>
      </c>
      <c r="H483" s="109">
        <v>76376.48</v>
      </c>
      <c r="I483" s="109">
        <v>-41993.48</v>
      </c>
      <c r="J483" s="109">
        <v>-90113.93</v>
      </c>
      <c r="K483" s="109">
        <v>-43391.79</v>
      </c>
      <c r="L483" s="109">
        <v>99726.74</v>
      </c>
      <c r="M483" s="109">
        <v>43241.56</v>
      </c>
      <c r="N483" s="110">
        <v>70814.0</v>
      </c>
      <c r="O483" s="110">
        <v>70334.0</v>
      </c>
      <c r="P483" s="110">
        <v>51223.0</v>
      </c>
      <c r="Q483" s="110">
        <v>73134.0</v>
      </c>
      <c r="R483" s="50">
        <v>52018.0</v>
      </c>
      <c r="S483" s="111">
        <v>50.0</v>
      </c>
      <c r="T483" s="112">
        <v>15.0</v>
      </c>
      <c r="U483" s="24" t="s">
        <v>603</v>
      </c>
      <c r="V483" s="11" t="s">
        <v>3857</v>
      </c>
      <c r="W483" s="108">
        <v>7.0</v>
      </c>
      <c r="X483" s="113">
        <v>123016.0</v>
      </c>
      <c r="Y483" s="113">
        <v>82522.0</v>
      </c>
      <c r="Z483" s="11">
        <v>146.0</v>
      </c>
      <c r="AA483" s="113">
        <v>110722.0</v>
      </c>
      <c r="AB483" s="109">
        <v>65730.22</v>
      </c>
      <c r="AC483" s="113">
        <v>22821.0</v>
      </c>
      <c r="AD483" s="108">
        <v>4.0</v>
      </c>
    </row>
    <row r="484">
      <c r="A484" s="11">
        <v>71.0</v>
      </c>
      <c r="B484" s="11">
        <v>8.0</v>
      </c>
      <c r="C484" s="11">
        <v>5.0</v>
      </c>
      <c r="D484" s="17">
        <v>63.0</v>
      </c>
      <c r="E484" s="108">
        <v>6.0</v>
      </c>
      <c r="F484" s="109">
        <v>52027.14</v>
      </c>
      <c r="G484" s="109">
        <v>-35174.55</v>
      </c>
      <c r="H484" s="109">
        <v>-52653.42</v>
      </c>
      <c r="I484" s="109">
        <v>-86784.31</v>
      </c>
      <c r="J484" s="109">
        <v>45089.67</v>
      </c>
      <c r="K484" s="109">
        <v>-70776.74</v>
      </c>
      <c r="L484" s="109">
        <v>-8800.26</v>
      </c>
      <c r="M484" s="109">
        <v>-95417.99</v>
      </c>
      <c r="N484" s="110">
        <v>41014.0</v>
      </c>
      <c r="O484" s="110">
        <v>40244.0</v>
      </c>
      <c r="P484" s="110">
        <v>50723.0</v>
      </c>
      <c r="Q484" s="110">
        <v>43044.0</v>
      </c>
      <c r="R484" s="50">
        <v>22117.0</v>
      </c>
      <c r="S484" s="111">
        <v>55.0</v>
      </c>
      <c r="T484" s="112">
        <v>13.0</v>
      </c>
      <c r="U484" s="24" t="s">
        <v>603</v>
      </c>
      <c r="V484" s="11" t="s">
        <v>3859</v>
      </c>
      <c r="W484" s="108">
        <v>5.0</v>
      </c>
      <c r="X484" s="113">
        <v>101513.0</v>
      </c>
      <c r="Y484" s="113">
        <v>80718.0</v>
      </c>
      <c r="Z484" s="11">
        <v>198.0</v>
      </c>
      <c r="AA484" s="113">
        <v>121717.0</v>
      </c>
      <c r="AB484" s="109">
        <v>-65560.33</v>
      </c>
      <c r="AC484" s="113">
        <v>42318.0</v>
      </c>
      <c r="AD484" s="108">
        <v>6.0</v>
      </c>
    </row>
    <row r="485">
      <c r="A485" s="11">
        <v>71.0</v>
      </c>
      <c r="B485" s="11">
        <v>8.0</v>
      </c>
      <c r="C485" s="11">
        <v>9.0</v>
      </c>
      <c r="D485" s="17">
        <v>75.0</v>
      </c>
      <c r="E485" s="108">
        <v>3.0</v>
      </c>
      <c r="F485" s="109">
        <v>-51188.16</v>
      </c>
      <c r="G485" s="109">
        <v>95664.24</v>
      </c>
      <c r="H485" s="109">
        <v>12232.67</v>
      </c>
      <c r="I485" s="109">
        <v>52810.74</v>
      </c>
      <c r="J485" s="109">
        <v>85064.51</v>
      </c>
      <c r="K485" s="109">
        <v>-54972.35</v>
      </c>
      <c r="L485" s="109">
        <v>82702.37</v>
      </c>
      <c r="M485" s="109">
        <v>-23146.93</v>
      </c>
      <c r="N485" s="110">
        <v>50311.0</v>
      </c>
      <c r="O485" s="110">
        <v>43021.0</v>
      </c>
      <c r="P485" s="110">
        <v>51623.0</v>
      </c>
      <c r="Q485" s="110">
        <v>43021.0</v>
      </c>
      <c r="R485" s="50">
        <v>41420.0</v>
      </c>
      <c r="S485" s="111">
        <v>51.0</v>
      </c>
      <c r="T485" s="112">
        <v>1.0</v>
      </c>
      <c r="U485" s="24" t="s">
        <v>603</v>
      </c>
      <c r="V485" s="11" t="s">
        <v>3887</v>
      </c>
      <c r="W485" s="108">
        <v>2.0</v>
      </c>
      <c r="X485" s="113">
        <v>92918.0</v>
      </c>
      <c r="Y485" s="113">
        <v>41814.0</v>
      </c>
      <c r="Z485" s="11">
        <v>139.0</v>
      </c>
      <c r="AA485" s="113">
        <v>31817.0</v>
      </c>
      <c r="AB485" s="109">
        <v>77873.5</v>
      </c>
      <c r="AC485" s="113">
        <v>60214.0</v>
      </c>
      <c r="AD485" s="108">
        <v>2.0</v>
      </c>
    </row>
    <row r="486">
      <c r="A486" s="11">
        <v>51.0</v>
      </c>
      <c r="B486" s="11">
        <v>4.0</v>
      </c>
      <c r="C486" s="11">
        <v>3.0</v>
      </c>
      <c r="D486" s="17">
        <v>98.0</v>
      </c>
      <c r="E486" s="108">
        <v>7.0</v>
      </c>
      <c r="F486" s="109">
        <v>-44448.04</v>
      </c>
      <c r="G486" s="109">
        <v>41478.59</v>
      </c>
      <c r="H486" s="109">
        <v>69436.35</v>
      </c>
      <c r="I486" s="109">
        <v>89591.59</v>
      </c>
      <c r="J486" s="109">
        <v>28564.25</v>
      </c>
      <c r="K486" s="109">
        <v>85800.26</v>
      </c>
      <c r="L486" s="109">
        <v>65086.64</v>
      </c>
      <c r="M486" s="109">
        <v>-57743.86</v>
      </c>
      <c r="N486" s="110">
        <v>50912.0</v>
      </c>
      <c r="O486" s="110">
        <v>50432.0</v>
      </c>
      <c r="P486" s="110">
        <v>50423.0</v>
      </c>
      <c r="Q486" s="110">
        <v>53132.0</v>
      </c>
      <c r="R486" s="50">
        <v>31213.0</v>
      </c>
      <c r="S486" s="111">
        <v>53.0</v>
      </c>
      <c r="T486" s="112">
        <v>60.0</v>
      </c>
      <c r="U486" s="24" t="s">
        <v>48</v>
      </c>
      <c r="V486" s="11" t="s">
        <v>3902</v>
      </c>
      <c r="W486" s="108">
        <v>2.0</v>
      </c>
      <c r="X486" s="113">
        <v>92723.0</v>
      </c>
      <c r="Y486" s="113">
        <v>82715.0</v>
      </c>
      <c r="Z486" s="11">
        <v>195.0</v>
      </c>
      <c r="AA486" s="113">
        <v>120216.0</v>
      </c>
      <c r="AB486" s="109">
        <v>62445.74</v>
      </c>
      <c r="AC486" s="113">
        <v>120120.0</v>
      </c>
      <c r="AD486" s="108">
        <v>4.0</v>
      </c>
    </row>
    <row r="487">
      <c r="A487" s="11">
        <v>51.0</v>
      </c>
      <c r="B487" s="11">
        <v>5.0</v>
      </c>
      <c r="C487" s="11">
        <v>4.0</v>
      </c>
      <c r="D487" s="17">
        <v>54.0</v>
      </c>
      <c r="E487" s="108">
        <v>3.0</v>
      </c>
      <c r="F487" s="109">
        <v>767.51</v>
      </c>
      <c r="G487" s="109">
        <v>-61186.27</v>
      </c>
      <c r="H487" s="109">
        <v>-80911.83</v>
      </c>
      <c r="I487" s="109">
        <v>42008.35</v>
      </c>
      <c r="J487" s="109">
        <v>-67582.0</v>
      </c>
      <c r="K487" s="109">
        <v>70973.68</v>
      </c>
      <c r="L487" s="109">
        <v>24741.8</v>
      </c>
      <c r="M487" s="109">
        <v>-13537.77</v>
      </c>
      <c r="N487" s="110">
        <v>80412.0</v>
      </c>
      <c r="O487" s="110">
        <v>72842.0</v>
      </c>
      <c r="P487" s="110">
        <v>52523.0</v>
      </c>
      <c r="Q487" s="110">
        <v>73142.0</v>
      </c>
      <c r="R487" s="50">
        <v>40117.0</v>
      </c>
      <c r="S487" s="111">
        <v>51.0</v>
      </c>
      <c r="T487" s="112">
        <v>1.0</v>
      </c>
      <c r="U487" s="24" t="s">
        <v>39</v>
      </c>
      <c r="V487" s="11" t="s">
        <v>4043</v>
      </c>
      <c r="W487" s="108">
        <v>6.0</v>
      </c>
      <c r="X487" s="113">
        <v>51222.0</v>
      </c>
      <c r="Y487" s="113">
        <v>111217.0</v>
      </c>
      <c r="Z487" s="11">
        <v>158.0</v>
      </c>
      <c r="AA487" s="113">
        <v>91917.0</v>
      </c>
      <c r="AB487" s="109">
        <v>-92507.26</v>
      </c>
      <c r="AC487" s="113">
        <v>112323.0</v>
      </c>
      <c r="AD487" s="108">
        <v>0.0</v>
      </c>
    </row>
    <row r="488">
      <c r="A488" s="11">
        <v>51.0</v>
      </c>
      <c r="B488" s="11">
        <v>6.0</v>
      </c>
      <c r="C488" s="11">
        <v>4.0</v>
      </c>
      <c r="D488" s="17">
        <v>80.0</v>
      </c>
      <c r="E488" s="108">
        <v>6.0</v>
      </c>
      <c r="F488" s="109">
        <v>48858.1</v>
      </c>
      <c r="G488" s="109">
        <v>-63025.74</v>
      </c>
      <c r="H488" s="109">
        <v>9720.72</v>
      </c>
      <c r="I488" s="109">
        <v>-21663.58</v>
      </c>
      <c r="J488" s="109">
        <v>3691.22</v>
      </c>
      <c r="K488" s="109">
        <v>-36739.75</v>
      </c>
      <c r="L488" s="109">
        <v>-1093.3</v>
      </c>
      <c r="M488" s="109">
        <v>59755.69</v>
      </c>
      <c r="N488" s="110">
        <v>71310.0</v>
      </c>
      <c r="O488" s="110">
        <v>71020.0</v>
      </c>
      <c r="P488" s="110">
        <v>51123.0</v>
      </c>
      <c r="Q488" s="110">
        <v>73120.0</v>
      </c>
      <c r="R488" s="50">
        <v>12615.0</v>
      </c>
      <c r="S488" s="111">
        <v>53.0</v>
      </c>
      <c r="T488" s="112">
        <v>91.0</v>
      </c>
      <c r="U488" s="24" t="s">
        <v>48</v>
      </c>
      <c r="V488" s="11" t="s">
        <v>3968</v>
      </c>
      <c r="W488" s="108">
        <v>2.0</v>
      </c>
      <c r="X488" s="113">
        <v>101022.0</v>
      </c>
      <c r="Y488" s="113">
        <v>41914.0</v>
      </c>
      <c r="Z488" s="11">
        <v>121.0</v>
      </c>
      <c r="AA488" s="113">
        <v>12316.0</v>
      </c>
      <c r="AB488" s="109">
        <v>-6097.41</v>
      </c>
      <c r="AC488" s="113">
        <v>60416.0</v>
      </c>
      <c r="AD488" s="108">
        <v>8.0</v>
      </c>
    </row>
    <row r="489">
      <c r="A489" s="11">
        <v>51.0</v>
      </c>
      <c r="B489" s="11">
        <v>6.0</v>
      </c>
      <c r="C489" s="11">
        <v>6.0</v>
      </c>
      <c r="D489" s="17">
        <v>99.0</v>
      </c>
      <c r="E489" s="108">
        <v>8.0</v>
      </c>
      <c r="F489" s="109">
        <v>40197.3</v>
      </c>
      <c r="G489" s="109">
        <v>81498.63</v>
      </c>
      <c r="H489" s="109">
        <v>45501.37</v>
      </c>
      <c r="I489" s="109">
        <v>83235.14</v>
      </c>
      <c r="J489" s="109">
        <v>92001.3</v>
      </c>
      <c r="K489" s="109">
        <v>15642.69</v>
      </c>
      <c r="L489" s="109">
        <v>-54759.01</v>
      </c>
      <c r="M489" s="109">
        <v>-91193.22</v>
      </c>
      <c r="N489" s="110">
        <v>81214.0</v>
      </c>
      <c r="O489" s="110">
        <v>80924.0</v>
      </c>
      <c r="P489" s="110">
        <v>50823.0</v>
      </c>
      <c r="Q489" s="110">
        <v>83124.0</v>
      </c>
      <c r="R489" s="50">
        <v>61515.0</v>
      </c>
      <c r="S489" s="111">
        <v>51.0</v>
      </c>
      <c r="T489" s="112">
        <v>30.0</v>
      </c>
      <c r="U489" s="24" t="s">
        <v>48</v>
      </c>
      <c r="V489" s="11" t="s">
        <v>3884</v>
      </c>
      <c r="W489" s="108">
        <v>2.0</v>
      </c>
      <c r="X489" s="113">
        <v>90521.0</v>
      </c>
      <c r="Y489" s="113">
        <v>21318.0</v>
      </c>
      <c r="Z489" s="11">
        <v>153.0</v>
      </c>
      <c r="AA489" s="113">
        <v>90114.0</v>
      </c>
      <c r="AB489" s="109">
        <v>-42037.17</v>
      </c>
      <c r="AC489" s="113">
        <v>70623.0</v>
      </c>
      <c r="AD489" s="108">
        <v>3.0</v>
      </c>
    </row>
    <row r="490">
      <c r="A490" s="11">
        <v>92.0</v>
      </c>
      <c r="B490" s="11">
        <v>6.0</v>
      </c>
      <c r="C490" s="11">
        <v>3.0</v>
      </c>
      <c r="D490" s="17">
        <v>38.0</v>
      </c>
      <c r="E490" s="108">
        <v>3.0</v>
      </c>
      <c r="F490" s="109">
        <v>48797.45</v>
      </c>
      <c r="G490" s="109">
        <v>-20659.7</v>
      </c>
      <c r="H490" s="109">
        <v>-5943.43</v>
      </c>
      <c r="I490" s="109">
        <v>5662.21</v>
      </c>
      <c r="J490" s="109">
        <v>-41567.04</v>
      </c>
      <c r="K490" s="109">
        <v>34121.61</v>
      </c>
      <c r="L490" s="109">
        <v>93680.92</v>
      </c>
      <c r="M490" s="109">
        <v>-62817.61</v>
      </c>
      <c r="N490" s="110">
        <v>83012.0</v>
      </c>
      <c r="O490" s="110">
        <v>82342.0</v>
      </c>
      <c r="P490" s="110">
        <v>50523.0</v>
      </c>
      <c r="Q490" s="110">
        <v>83142.0</v>
      </c>
      <c r="R490" s="50">
        <v>100913.0</v>
      </c>
      <c r="S490" s="111">
        <v>55.0</v>
      </c>
      <c r="T490" s="112">
        <v>33.0</v>
      </c>
      <c r="U490" s="24" t="s">
        <v>48</v>
      </c>
      <c r="V490" s="11" t="s">
        <v>4021</v>
      </c>
      <c r="W490" s="108">
        <v>6.0</v>
      </c>
      <c r="X490" s="113">
        <v>101415.0</v>
      </c>
      <c r="Y490" s="113">
        <v>52913.0</v>
      </c>
      <c r="Z490" s="11">
        <v>182.0</v>
      </c>
      <c r="AA490" s="113">
        <v>50716.0</v>
      </c>
      <c r="AB490" s="109">
        <v>-75104.62</v>
      </c>
      <c r="AC490" s="113">
        <v>61615.0</v>
      </c>
      <c r="AD490" s="108">
        <v>5.0</v>
      </c>
    </row>
    <row r="491">
      <c r="A491" s="11">
        <v>72.0</v>
      </c>
      <c r="B491" s="11">
        <v>1.0</v>
      </c>
      <c r="C491" s="11">
        <v>4.0</v>
      </c>
      <c r="D491" s="17">
        <v>69.0</v>
      </c>
      <c r="E491" s="108">
        <v>4.0</v>
      </c>
      <c r="F491" s="109">
        <v>45330.95</v>
      </c>
      <c r="G491" s="109">
        <v>58568.45</v>
      </c>
      <c r="H491" s="109">
        <v>-81238.59</v>
      </c>
      <c r="I491" s="109">
        <v>-88590.19</v>
      </c>
      <c r="J491" s="109">
        <v>68441.55</v>
      </c>
      <c r="K491" s="109">
        <v>-23896.39</v>
      </c>
      <c r="L491" s="109">
        <v>-28570.46</v>
      </c>
      <c r="M491" s="109">
        <v>38354.6</v>
      </c>
      <c r="N491" s="110">
        <v>60712.0</v>
      </c>
      <c r="O491" s="110">
        <v>60522.0</v>
      </c>
      <c r="P491" s="110">
        <v>52623.0</v>
      </c>
      <c r="Q491" s="110">
        <v>63022.0</v>
      </c>
      <c r="R491" s="50">
        <v>80118.0</v>
      </c>
      <c r="S491" s="111">
        <v>53.0</v>
      </c>
      <c r="T491" s="112">
        <v>72.0</v>
      </c>
      <c r="U491" s="24" t="s">
        <v>601</v>
      </c>
      <c r="V491" s="11" t="s">
        <v>4051</v>
      </c>
      <c r="W491" s="108">
        <v>2.0</v>
      </c>
      <c r="X491" s="113">
        <v>110814.0</v>
      </c>
      <c r="Y491" s="113">
        <v>63113.0</v>
      </c>
      <c r="Z491" s="11">
        <v>161.0</v>
      </c>
      <c r="AA491" s="113">
        <v>13116.0</v>
      </c>
      <c r="AB491" s="109">
        <v>-91748.4</v>
      </c>
      <c r="AC491" s="113">
        <v>13115.0</v>
      </c>
      <c r="AD491" s="108">
        <v>3.0</v>
      </c>
    </row>
    <row r="492">
      <c r="A492" s="11">
        <v>31.0</v>
      </c>
      <c r="B492" s="11">
        <v>2.0</v>
      </c>
      <c r="C492" s="11">
        <v>1.0</v>
      </c>
      <c r="D492" s="17">
        <v>27.0</v>
      </c>
      <c r="E492" s="108">
        <v>5.0</v>
      </c>
      <c r="F492" s="109">
        <v>-65481.84</v>
      </c>
      <c r="G492" s="109">
        <v>2524.54</v>
      </c>
      <c r="H492" s="109">
        <v>-34558.61</v>
      </c>
      <c r="I492" s="109">
        <v>-96106.35</v>
      </c>
      <c r="J492" s="109">
        <v>-72622.82</v>
      </c>
      <c r="K492" s="109">
        <v>95614.61</v>
      </c>
      <c r="L492" s="109">
        <v>92596.11</v>
      </c>
      <c r="M492" s="109">
        <v>27198.5</v>
      </c>
      <c r="N492" s="110">
        <v>60813.0</v>
      </c>
      <c r="O492" s="110">
        <v>60143.0</v>
      </c>
      <c r="P492" s="110">
        <v>52123.0</v>
      </c>
      <c r="Q492" s="110">
        <v>63043.0</v>
      </c>
      <c r="R492" s="50">
        <v>110916.0</v>
      </c>
      <c r="S492" s="111">
        <v>50.0</v>
      </c>
      <c r="T492" s="112">
        <v>54.0</v>
      </c>
      <c r="U492" s="24" t="s">
        <v>31</v>
      </c>
      <c r="V492" s="11" t="s">
        <v>3909</v>
      </c>
      <c r="W492" s="108">
        <v>1.0</v>
      </c>
      <c r="X492" s="113">
        <v>121214.0</v>
      </c>
      <c r="Y492" s="113">
        <v>83117.0</v>
      </c>
      <c r="Z492" s="11">
        <v>180.0</v>
      </c>
      <c r="AA492" s="113">
        <v>120717.0</v>
      </c>
      <c r="AB492" s="109">
        <v>-98370.96</v>
      </c>
      <c r="AC492" s="113">
        <v>60713.0</v>
      </c>
      <c r="AD492" s="108">
        <v>7.0</v>
      </c>
    </row>
    <row r="493">
      <c r="A493" s="11">
        <v>51.0</v>
      </c>
      <c r="B493" s="11">
        <v>7.0</v>
      </c>
      <c r="C493" s="11">
        <v>1.0</v>
      </c>
      <c r="D493" s="17">
        <v>34.0</v>
      </c>
      <c r="E493" s="108">
        <v>3.0</v>
      </c>
      <c r="F493" s="109">
        <v>83403.26</v>
      </c>
      <c r="G493" s="109">
        <v>46308.48</v>
      </c>
      <c r="H493" s="109">
        <v>88569.78</v>
      </c>
      <c r="I493" s="109">
        <v>-90729.09</v>
      </c>
      <c r="J493" s="109">
        <v>-44643.37</v>
      </c>
      <c r="K493" s="109">
        <v>43599.54</v>
      </c>
      <c r="L493" s="109">
        <v>-85578.14</v>
      </c>
      <c r="M493" s="109">
        <v>12962.51</v>
      </c>
      <c r="N493" s="110">
        <v>83111.0</v>
      </c>
      <c r="O493" s="110">
        <v>82341.0</v>
      </c>
      <c r="P493" s="110">
        <v>50323.0</v>
      </c>
      <c r="Q493" s="110">
        <v>83141.0</v>
      </c>
      <c r="R493" s="50">
        <v>112421.0</v>
      </c>
      <c r="S493" s="111">
        <v>55.0</v>
      </c>
      <c r="T493" s="112">
        <v>78.0</v>
      </c>
      <c r="U493" s="24" t="s">
        <v>48</v>
      </c>
      <c r="V493" s="11" t="s">
        <v>4069</v>
      </c>
      <c r="W493" s="108">
        <v>8.0</v>
      </c>
      <c r="X493" s="113">
        <v>90121.0</v>
      </c>
      <c r="Y493" s="113">
        <v>101120.0</v>
      </c>
      <c r="Z493" s="11">
        <v>174.0</v>
      </c>
      <c r="AA493" s="113">
        <v>72719.0</v>
      </c>
      <c r="AB493" s="109">
        <v>99873.92</v>
      </c>
      <c r="AC493" s="113">
        <v>71414.0</v>
      </c>
      <c r="AD493" s="108">
        <v>0.0</v>
      </c>
    </row>
    <row r="494">
      <c r="A494" s="11">
        <v>72.0</v>
      </c>
      <c r="B494" s="11">
        <v>2.0</v>
      </c>
      <c r="C494" s="11">
        <v>8.0</v>
      </c>
      <c r="D494" s="17">
        <v>26.0</v>
      </c>
      <c r="E494" s="108">
        <v>2.0</v>
      </c>
      <c r="F494" s="109">
        <v>98110.14</v>
      </c>
      <c r="G494" s="109">
        <v>24490.31</v>
      </c>
      <c r="H494" s="109">
        <v>27487.69</v>
      </c>
      <c r="I494" s="109">
        <v>80325.65</v>
      </c>
      <c r="J494" s="109">
        <v>-94960.39</v>
      </c>
      <c r="K494" s="109">
        <v>-17129.98</v>
      </c>
      <c r="L494" s="109">
        <v>-61735.5</v>
      </c>
      <c r="M494" s="109">
        <v>-61682.19</v>
      </c>
      <c r="N494" s="110">
        <v>11812.0</v>
      </c>
      <c r="O494" s="110">
        <v>11042.0</v>
      </c>
      <c r="P494" s="110">
        <v>51623.0</v>
      </c>
      <c r="Q494" s="110">
        <v>13142.0</v>
      </c>
      <c r="R494" s="50">
        <v>10917.0</v>
      </c>
      <c r="S494" s="111">
        <v>53.0</v>
      </c>
      <c r="T494" s="112">
        <v>91.0</v>
      </c>
      <c r="U494" s="24" t="s">
        <v>48</v>
      </c>
      <c r="V494" s="11" t="s">
        <v>3867</v>
      </c>
      <c r="W494" s="108">
        <v>8.0</v>
      </c>
      <c r="X494" s="113">
        <v>111919.0</v>
      </c>
      <c r="Y494" s="113">
        <v>80321.0</v>
      </c>
      <c r="Z494" s="11">
        <v>105.0</v>
      </c>
      <c r="AA494" s="113">
        <v>61817.0</v>
      </c>
      <c r="AB494" s="109">
        <v>10984.12</v>
      </c>
      <c r="AC494" s="113">
        <v>92922.0</v>
      </c>
      <c r="AD494" s="108">
        <v>1.0</v>
      </c>
    </row>
    <row r="495">
      <c r="A495" s="11">
        <v>51.0</v>
      </c>
      <c r="B495" s="11">
        <v>8.0</v>
      </c>
      <c r="C495" s="11">
        <v>2.0</v>
      </c>
      <c r="D495" s="17">
        <v>2.0</v>
      </c>
      <c r="E495" s="108">
        <v>5.0</v>
      </c>
      <c r="F495" s="109">
        <v>37226.44</v>
      </c>
      <c r="G495" s="109">
        <v>-62390.7</v>
      </c>
      <c r="H495" s="109">
        <v>-68893.17</v>
      </c>
      <c r="I495" s="109">
        <v>40097.86</v>
      </c>
      <c r="J495" s="109">
        <v>93771.02</v>
      </c>
      <c r="K495" s="109">
        <v>-4036.64</v>
      </c>
      <c r="L495" s="109">
        <v>-25016.08</v>
      </c>
      <c r="M495" s="109">
        <v>40890.28</v>
      </c>
      <c r="N495" s="110">
        <v>72811.0</v>
      </c>
      <c r="O495" s="110">
        <v>72521.0</v>
      </c>
      <c r="P495" s="110">
        <v>51523.0</v>
      </c>
      <c r="Q495" s="110">
        <v>73121.0</v>
      </c>
      <c r="R495" s="50">
        <v>12017.0</v>
      </c>
      <c r="S495" s="111">
        <v>55.0</v>
      </c>
      <c r="T495" s="112">
        <v>28.0</v>
      </c>
      <c r="U495" s="24" t="s">
        <v>31</v>
      </c>
      <c r="V495" s="11" t="s">
        <v>3880</v>
      </c>
      <c r="W495" s="108">
        <v>3.0</v>
      </c>
      <c r="X495" s="113">
        <v>61620.0</v>
      </c>
      <c r="Y495" s="113">
        <v>121915.0</v>
      </c>
      <c r="Z495" s="11">
        <v>161.0</v>
      </c>
      <c r="AA495" s="113">
        <v>72915.0</v>
      </c>
      <c r="AB495" s="109">
        <v>39188.01</v>
      </c>
      <c r="AC495" s="113">
        <v>30520.0</v>
      </c>
      <c r="AD495" s="108">
        <v>1.0</v>
      </c>
    </row>
    <row r="496">
      <c r="A496" s="11">
        <v>92.0</v>
      </c>
      <c r="B496" s="11">
        <v>7.0</v>
      </c>
      <c r="C496" s="11">
        <v>9.0</v>
      </c>
      <c r="D496" s="17">
        <v>51.0</v>
      </c>
      <c r="E496" s="108">
        <v>3.0</v>
      </c>
      <c r="F496" s="109">
        <v>-7379.35</v>
      </c>
      <c r="G496" s="109">
        <v>61093.18</v>
      </c>
      <c r="H496" s="109">
        <v>6090.77</v>
      </c>
      <c r="I496" s="109">
        <v>-67702.03</v>
      </c>
      <c r="J496" s="109">
        <v>34400.75</v>
      </c>
      <c r="K496" s="109">
        <v>21424.29</v>
      </c>
      <c r="L496" s="109">
        <v>71790.48</v>
      </c>
      <c r="M496" s="109">
        <v>95869.1</v>
      </c>
      <c r="N496" s="110">
        <v>71414.0</v>
      </c>
      <c r="O496" s="110">
        <v>71124.0</v>
      </c>
      <c r="P496" s="110">
        <v>50823.0</v>
      </c>
      <c r="Q496" s="110">
        <v>73124.0</v>
      </c>
      <c r="R496" s="50">
        <v>111821.0</v>
      </c>
      <c r="S496" s="111">
        <v>55.0</v>
      </c>
      <c r="T496" s="112">
        <v>69.0</v>
      </c>
      <c r="U496" s="24" t="s">
        <v>39</v>
      </c>
      <c r="V496" s="11" t="s">
        <v>4042</v>
      </c>
      <c r="W496" s="108">
        <v>4.0</v>
      </c>
      <c r="X496" s="113">
        <v>90818.0</v>
      </c>
      <c r="Y496" s="113">
        <v>100219.0</v>
      </c>
      <c r="Z496" s="11">
        <v>160.0</v>
      </c>
      <c r="AA496" s="113">
        <v>101422.0</v>
      </c>
      <c r="AB496" s="109">
        <v>2278.17</v>
      </c>
      <c r="AC496" s="113">
        <v>121819.0</v>
      </c>
      <c r="AD496" s="108">
        <v>8.0</v>
      </c>
    </row>
    <row r="497">
      <c r="A497" s="11">
        <v>51.0</v>
      </c>
      <c r="B497" s="11">
        <v>8.0</v>
      </c>
      <c r="C497" s="11">
        <v>4.0</v>
      </c>
      <c r="D497" s="17">
        <v>81.0</v>
      </c>
      <c r="E497" s="108">
        <v>1.0</v>
      </c>
      <c r="F497" s="109">
        <v>-99931.56</v>
      </c>
      <c r="G497" s="109">
        <v>79755.66</v>
      </c>
      <c r="H497" s="109">
        <v>-82667.88</v>
      </c>
      <c r="I497" s="109">
        <v>52414.47</v>
      </c>
      <c r="J497" s="109">
        <v>70130.08</v>
      </c>
      <c r="K497" s="109">
        <v>94896.17</v>
      </c>
      <c r="L497" s="109">
        <v>95826.9</v>
      </c>
      <c r="M497" s="109">
        <v>54685.91</v>
      </c>
      <c r="N497" s="110">
        <v>61813.0</v>
      </c>
      <c r="O497" s="110">
        <v>61623.0</v>
      </c>
      <c r="P497" s="110">
        <v>51923.0</v>
      </c>
      <c r="Q497" s="110">
        <v>63023.0</v>
      </c>
      <c r="R497" s="50">
        <v>40718.0</v>
      </c>
      <c r="S497" s="111">
        <v>54.0</v>
      </c>
      <c r="T497" s="112">
        <v>41.0</v>
      </c>
      <c r="U497" s="24" t="s">
        <v>603</v>
      </c>
      <c r="V497" s="11" t="s">
        <v>3983</v>
      </c>
      <c r="W497" s="108">
        <v>6.0</v>
      </c>
      <c r="X497" s="113">
        <v>22416.0</v>
      </c>
      <c r="Y497" s="113">
        <v>122814.0</v>
      </c>
      <c r="Z497" s="11">
        <v>160.0</v>
      </c>
      <c r="AA497" s="113">
        <v>31214.0</v>
      </c>
      <c r="AB497" s="109">
        <v>-65366.81</v>
      </c>
      <c r="AC497" s="113">
        <v>41614.0</v>
      </c>
      <c r="AD497" s="108">
        <v>8.0</v>
      </c>
    </row>
    <row r="498">
      <c r="A498" s="11">
        <v>92.0</v>
      </c>
      <c r="B498" s="11">
        <v>8.0</v>
      </c>
      <c r="C498" s="11">
        <v>1.0</v>
      </c>
      <c r="D498" s="17">
        <v>60.0</v>
      </c>
      <c r="E498" s="108">
        <v>1.0</v>
      </c>
      <c r="F498" s="109">
        <v>-60967.26</v>
      </c>
      <c r="G498" s="109">
        <v>67075.5</v>
      </c>
      <c r="H498" s="109">
        <v>36009.06</v>
      </c>
      <c r="I498" s="109">
        <v>19506.07</v>
      </c>
      <c r="J498" s="109">
        <v>62511.07</v>
      </c>
      <c r="K498" s="109">
        <v>-48498.41</v>
      </c>
      <c r="L498" s="109">
        <v>60015.85</v>
      </c>
      <c r="M498" s="109">
        <v>-46862.66</v>
      </c>
      <c r="N498" s="110">
        <v>103110.0</v>
      </c>
      <c r="O498" s="110">
        <v>102340.0</v>
      </c>
      <c r="P498" s="110">
        <v>50523.0</v>
      </c>
      <c r="Q498" s="110">
        <v>103140.0</v>
      </c>
      <c r="R498" s="50">
        <v>10218.0</v>
      </c>
      <c r="S498" s="111">
        <v>50.0</v>
      </c>
      <c r="T498" s="112">
        <v>64.0</v>
      </c>
      <c r="U498" s="24" t="s">
        <v>39</v>
      </c>
      <c r="V498" s="11" t="s">
        <v>3894</v>
      </c>
      <c r="W498" s="108">
        <v>8.0</v>
      </c>
      <c r="X498" s="113">
        <v>42521.0</v>
      </c>
      <c r="Y498" s="113">
        <v>30423.0</v>
      </c>
      <c r="Z498" s="11">
        <v>147.0</v>
      </c>
      <c r="AA498" s="113">
        <v>32222.0</v>
      </c>
      <c r="AB498" s="109">
        <v>871.39</v>
      </c>
      <c r="AC498" s="113">
        <v>121022.0</v>
      </c>
      <c r="AD498" s="108">
        <v>5.0</v>
      </c>
    </row>
    <row r="499">
      <c r="A499" s="11">
        <v>51.0</v>
      </c>
      <c r="B499" s="11">
        <v>8.0</v>
      </c>
      <c r="C499" s="11">
        <v>5.0</v>
      </c>
      <c r="D499" s="17">
        <v>42.0</v>
      </c>
      <c r="E499" s="108">
        <v>6.0</v>
      </c>
      <c r="F499" s="109">
        <v>61609.5</v>
      </c>
      <c r="G499" s="109">
        <v>-65882.28</v>
      </c>
      <c r="H499" s="109">
        <v>18368.58</v>
      </c>
      <c r="I499" s="109">
        <v>11069.43</v>
      </c>
      <c r="J499" s="109">
        <v>64553.3</v>
      </c>
      <c r="K499" s="109">
        <v>80908.31</v>
      </c>
      <c r="L499" s="109">
        <v>63761.04</v>
      </c>
      <c r="M499" s="109">
        <v>-20534.09</v>
      </c>
      <c r="N499" s="110">
        <v>41810.0</v>
      </c>
      <c r="O499" s="110">
        <v>41040.0</v>
      </c>
      <c r="P499" s="110">
        <v>52623.0</v>
      </c>
      <c r="Q499" s="110">
        <v>43040.0</v>
      </c>
      <c r="R499" s="50">
        <v>121413.0</v>
      </c>
      <c r="S499" s="111">
        <v>53.0</v>
      </c>
      <c r="T499" s="112">
        <v>34.0</v>
      </c>
      <c r="U499" s="24" t="s">
        <v>603</v>
      </c>
      <c r="V499" s="11" t="s">
        <v>3954</v>
      </c>
      <c r="W499" s="108">
        <v>3.0</v>
      </c>
      <c r="X499" s="113">
        <v>111018.0</v>
      </c>
      <c r="Y499" s="113">
        <v>121018.0</v>
      </c>
      <c r="Z499" s="11">
        <v>169.0</v>
      </c>
      <c r="AA499" s="113">
        <v>30113.0</v>
      </c>
      <c r="AB499" s="109">
        <v>7657.24</v>
      </c>
      <c r="AC499" s="113">
        <v>121320.0</v>
      </c>
      <c r="AD499" s="108">
        <v>0.0</v>
      </c>
    </row>
    <row r="500">
      <c r="A500" s="11">
        <v>51.0</v>
      </c>
      <c r="B500" s="11">
        <v>8.0</v>
      </c>
      <c r="C500" s="11">
        <v>7.0</v>
      </c>
      <c r="D500" s="17">
        <v>8.0</v>
      </c>
      <c r="E500" s="108">
        <v>6.0</v>
      </c>
      <c r="F500" s="109">
        <v>-42817.91</v>
      </c>
      <c r="G500" s="109">
        <v>23778.35</v>
      </c>
      <c r="H500" s="109">
        <v>68694.74</v>
      </c>
      <c r="I500" s="109">
        <v>-12017.74</v>
      </c>
      <c r="J500" s="109">
        <v>3804.58</v>
      </c>
      <c r="K500" s="109">
        <v>78133.17</v>
      </c>
      <c r="L500" s="109">
        <v>64973.04</v>
      </c>
      <c r="M500" s="109">
        <v>5811.77</v>
      </c>
      <c r="N500" s="110">
        <v>112313.0</v>
      </c>
      <c r="O500" s="110">
        <v>111833.0</v>
      </c>
      <c r="P500" s="110">
        <v>51523.0</v>
      </c>
      <c r="Q500" s="110">
        <v>113033.0</v>
      </c>
      <c r="R500" s="50">
        <v>120613.0</v>
      </c>
      <c r="S500" s="111">
        <v>51.0</v>
      </c>
      <c r="T500" s="112">
        <v>68.0</v>
      </c>
      <c r="U500" s="24" t="s">
        <v>601</v>
      </c>
      <c r="V500" s="11" t="s">
        <v>4019</v>
      </c>
      <c r="W500" s="108">
        <v>1.0</v>
      </c>
      <c r="X500" s="113">
        <v>51922.0</v>
      </c>
      <c r="Y500" s="113">
        <v>72422.0</v>
      </c>
      <c r="Z500" s="11">
        <v>106.0</v>
      </c>
      <c r="AA500" s="113">
        <v>100218.0</v>
      </c>
      <c r="AB500" s="109">
        <v>-38277.28</v>
      </c>
      <c r="AC500" s="113">
        <v>62313.0</v>
      </c>
      <c r="AD500" s="108">
        <v>3.0</v>
      </c>
    </row>
    <row r="501">
      <c r="A501" s="11">
        <v>92.0</v>
      </c>
      <c r="B501" s="11">
        <v>8.0</v>
      </c>
      <c r="C501" s="11">
        <v>3.0</v>
      </c>
      <c r="D501" s="17">
        <v>64.0</v>
      </c>
      <c r="E501" s="108">
        <v>1.0</v>
      </c>
      <c r="F501" s="109">
        <v>97093.05</v>
      </c>
      <c r="G501" s="109">
        <v>-47709.58</v>
      </c>
      <c r="H501" s="109">
        <v>-51317.68</v>
      </c>
      <c r="I501" s="109">
        <v>-57576.52</v>
      </c>
      <c r="J501" s="109">
        <v>52051.7</v>
      </c>
      <c r="K501" s="109">
        <v>29464.09</v>
      </c>
      <c r="L501" s="109">
        <v>108.08</v>
      </c>
      <c r="M501" s="109">
        <v>-14720.86</v>
      </c>
      <c r="N501" s="110">
        <v>10913.0</v>
      </c>
      <c r="O501" s="110">
        <v>10723.0</v>
      </c>
      <c r="P501" s="110">
        <v>51123.0</v>
      </c>
      <c r="Q501" s="110">
        <v>13123.0</v>
      </c>
      <c r="R501" s="50">
        <v>41517.0</v>
      </c>
      <c r="S501" s="111">
        <v>52.0</v>
      </c>
      <c r="T501" s="112">
        <v>74.0</v>
      </c>
      <c r="U501" s="24" t="s">
        <v>48</v>
      </c>
      <c r="V501" s="11" t="s">
        <v>4045</v>
      </c>
      <c r="W501" s="108">
        <v>7.0</v>
      </c>
      <c r="X501" s="113">
        <v>21813.0</v>
      </c>
      <c r="Y501" s="113">
        <v>102118.0</v>
      </c>
      <c r="Z501" s="11">
        <v>177.0</v>
      </c>
      <c r="AA501" s="113">
        <v>52221.0</v>
      </c>
      <c r="AB501" s="109">
        <v>-28438.64</v>
      </c>
      <c r="AC501" s="113">
        <v>120315.0</v>
      </c>
      <c r="AD501" s="108">
        <v>2.0</v>
      </c>
    </row>
    <row r="502">
      <c r="A502" s="11">
        <v>72.0</v>
      </c>
      <c r="B502" s="11">
        <v>3.0</v>
      </c>
      <c r="C502" s="11">
        <v>6.0</v>
      </c>
      <c r="D502" s="17">
        <v>80.0</v>
      </c>
      <c r="E502" s="108">
        <v>6.0</v>
      </c>
      <c r="F502" s="109">
        <v>48740.93</v>
      </c>
      <c r="G502" s="109">
        <v>98212.24</v>
      </c>
      <c r="H502" s="109">
        <v>-8754.66</v>
      </c>
      <c r="I502" s="109">
        <v>66234.2</v>
      </c>
      <c r="J502" s="109">
        <v>-55766.33</v>
      </c>
      <c r="K502" s="109">
        <v>-65291.71</v>
      </c>
      <c r="L502" s="109">
        <v>60888.74</v>
      </c>
      <c r="M502" s="109">
        <v>84081.68</v>
      </c>
      <c r="N502" s="110">
        <v>102110.0</v>
      </c>
      <c r="O502" s="110">
        <v>101630.0</v>
      </c>
      <c r="P502" s="110">
        <v>50823.0</v>
      </c>
      <c r="Q502" s="110">
        <v>103130.0</v>
      </c>
      <c r="R502" s="50">
        <v>121618.0</v>
      </c>
      <c r="S502" s="111">
        <v>50.0</v>
      </c>
      <c r="T502" s="112">
        <v>75.0</v>
      </c>
      <c r="U502" s="24" t="s">
        <v>601</v>
      </c>
      <c r="V502" s="11" t="s">
        <v>3954</v>
      </c>
      <c r="W502" s="108">
        <v>4.0</v>
      </c>
      <c r="X502" s="113">
        <v>81313.0</v>
      </c>
      <c r="Y502" s="113">
        <v>20423.0</v>
      </c>
      <c r="Z502" s="11">
        <v>186.0</v>
      </c>
      <c r="AA502" s="113">
        <v>83021.0</v>
      </c>
      <c r="AB502" s="109">
        <v>-27551.14</v>
      </c>
      <c r="AC502" s="113">
        <v>10223.0</v>
      </c>
      <c r="AD502" s="108">
        <v>1.0</v>
      </c>
    </row>
    <row r="503">
      <c r="A503" s="11">
        <v>92.0</v>
      </c>
      <c r="B503" s="11">
        <v>8.0</v>
      </c>
      <c r="C503" s="11">
        <v>2.0</v>
      </c>
      <c r="D503" s="17">
        <v>63.0</v>
      </c>
      <c r="E503" s="108">
        <v>9.0</v>
      </c>
      <c r="F503" s="109">
        <v>74914.98</v>
      </c>
      <c r="G503" s="109">
        <v>98458.23</v>
      </c>
      <c r="H503" s="109">
        <v>76581.72</v>
      </c>
      <c r="I503" s="109">
        <v>-66103.53</v>
      </c>
      <c r="J503" s="109">
        <v>21323.7</v>
      </c>
      <c r="K503" s="109">
        <v>-81619.68</v>
      </c>
      <c r="L503" s="109">
        <v>-88528.83</v>
      </c>
      <c r="M503" s="109">
        <v>-87848.46</v>
      </c>
      <c r="N503" s="110">
        <v>120311.0</v>
      </c>
      <c r="O503" s="110">
        <v>113021.0</v>
      </c>
      <c r="P503" s="110">
        <v>53023.0</v>
      </c>
      <c r="Q503" s="110">
        <v>113021.0</v>
      </c>
      <c r="R503" s="50">
        <v>31522.0</v>
      </c>
      <c r="S503" s="111">
        <v>53.0</v>
      </c>
      <c r="T503" s="112">
        <v>3.0</v>
      </c>
      <c r="U503" s="24" t="s">
        <v>39</v>
      </c>
      <c r="V503" s="11" t="s">
        <v>4038</v>
      </c>
      <c r="W503" s="108">
        <v>2.0</v>
      </c>
      <c r="X503" s="113">
        <v>50916.0</v>
      </c>
      <c r="Y503" s="113">
        <v>11114.0</v>
      </c>
      <c r="Z503" s="11">
        <v>100.0</v>
      </c>
      <c r="AA503" s="113">
        <v>102121.0</v>
      </c>
      <c r="AB503" s="109">
        <v>93531.21</v>
      </c>
      <c r="AC503" s="113">
        <v>122019.0</v>
      </c>
      <c r="AD503" s="108">
        <v>2.0</v>
      </c>
    </row>
    <row r="504">
      <c r="A504" s="11">
        <v>72.0</v>
      </c>
      <c r="B504" s="11">
        <v>4.0</v>
      </c>
      <c r="C504" s="11">
        <v>1.0</v>
      </c>
      <c r="D504" s="17">
        <v>97.0</v>
      </c>
      <c r="E504" s="108">
        <v>7.0</v>
      </c>
      <c r="F504" s="109">
        <v>40401.49</v>
      </c>
      <c r="G504" s="109">
        <v>-99947.19</v>
      </c>
      <c r="H504" s="109">
        <v>92154.35</v>
      </c>
      <c r="I504" s="109">
        <v>-50097.19</v>
      </c>
      <c r="J504" s="109">
        <v>38155.01</v>
      </c>
      <c r="K504" s="109">
        <v>-55113.51</v>
      </c>
      <c r="L504" s="109">
        <v>34885.17</v>
      </c>
      <c r="M504" s="109">
        <v>58895.56</v>
      </c>
      <c r="N504" s="110">
        <v>101012.0</v>
      </c>
      <c r="O504" s="110">
        <v>100342.0</v>
      </c>
      <c r="P504" s="110">
        <v>52523.0</v>
      </c>
      <c r="Q504" s="110">
        <v>103142.0</v>
      </c>
      <c r="R504" s="50">
        <v>70220.0</v>
      </c>
      <c r="S504" s="111">
        <v>54.0</v>
      </c>
      <c r="T504" s="112">
        <v>14.0</v>
      </c>
      <c r="U504" s="24" t="s">
        <v>39</v>
      </c>
      <c r="V504" s="11" t="s">
        <v>4070</v>
      </c>
      <c r="W504" s="108">
        <v>3.0</v>
      </c>
      <c r="X504" s="113">
        <v>41313.0</v>
      </c>
      <c r="Y504" s="113">
        <v>111422.0</v>
      </c>
      <c r="Z504" s="11">
        <v>104.0</v>
      </c>
      <c r="AA504" s="113">
        <v>81317.0</v>
      </c>
      <c r="AB504" s="109">
        <v>14385.43</v>
      </c>
      <c r="AC504" s="113">
        <v>43021.0</v>
      </c>
      <c r="AD504" s="108">
        <v>1.0</v>
      </c>
    </row>
    <row r="505">
      <c r="A505" s="11">
        <v>51.0</v>
      </c>
      <c r="B505" s="11">
        <v>9.0</v>
      </c>
      <c r="C505" s="11">
        <v>3.0</v>
      </c>
      <c r="D505" s="17">
        <v>17.0</v>
      </c>
      <c r="E505" s="108">
        <v>1.0</v>
      </c>
      <c r="F505" s="109">
        <v>-58405.54</v>
      </c>
      <c r="G505" s="109">
        <v>57979.78</v>
      </c>
      <c r="H505" s="109">
        <v>-36559.11</v>
      </c>
      <c r="I505" s="109">
        <v>-71650.65</v>
      </c>
      <c r="J505" s="109">
        <v>64564.17</v>
      </c>
      <c r="K505" s="109">
        <v>26318.97</v>
      </c>
      <c r="L505" s="109">
        <v>90201.1</v>
      </c>
      <c r="M505" s="109">
        <v>24716.84</v>
      </c>
      <c r="N505" s="110">
        <v>52413.0</v>
      </c>
      <c r="O505" s="110">
        <v>51743.0</v>
      </c>
      <c r="P505" s="110">
        <v>52423.0</v>
      </c>
      <c r="Q505" s="110">
        <v>53143.0</v>
      </c>
      <c r="R505" s="50">
        <v>121822.0</v>
      </c>
      <c r="S505" s="111">
        <v>52.0</v>
      </c>
      <c r="T505" s="112">
        <v>12.0</v>
      </c>
      <c r="U505" s="24" t="s">
        <v>48</v>
      </c>
      <c r="V505" s="11" t="s">
        <v>4071</v>
      </c>
      <c r="W505" s="108">
        <v>5.0</v>
      </c>
      <c r="X505" s="113">
        <v>80514.0</v>
      </c>
      <c r="Y505" s="113">
        <v>31723.0</v>
      </c>
      <c r="Z505" s="11">
        <v>177.0</v>
      </c>
      <c r="AA505" s="113">
        <v>91722.0</v>
      </c>
      <c r="AB505" s="109">
        <v>-87270.22</v>
      </c>
      <c r="AC505" s="113">
        <v>52223.0</v>
      </c>
      <c r="AD505" s="108">
        <v>0.0</v>
      </c>
    </row>
    <row r="506">
      <c r="A506" s="11">
        <v>92.0</v>
      </c>
      <c r="B506" s="11">
        <v>8.0</v>
      </c>
      <c r="C506" s="11">
        <v>9.0</v>
      </c>
      <c r="D506" s="17">
        <v>60.0</v>
      </c>
      <c r="E506" s="108">
        <v>8.0</v>
      </c>
      <c r="F506" s="109">
        <v>24516.98</v>
      </c>
      <c r="G506" s="109">
        <v>80448.19</v>
      </c>
      <c r="H506" s="109">
        <v>22061.71</v>
      </c>
      <c r="I506" s="109">
        <v>50464.01</v>
      </c>
      <c r="J506" s="109">
        <v>-1553.22</v>
      </c>
      <c r="K506" s="109">
        <v>-19068.58</v>
      </c>
      <c r="L506" s="109">
        <v>68971.63</v>
      </c>
      <c r="M506" s="109">
        <v>-73353.06</v>
      </c>
      <c r="N506" s="110">
        <v>11914.0</v>
      </c>
      <c r="O506" s="110">
        <v>11244.0</v>
      </c>
      <c r="P506" s="110">
        <v>51823.0</v>
      </c>
      <c r="Q506" s="110">
        <v>13144.0</v>
      </c>
      <c r="R506" s="50">
        <v>61720.0</v>
      </c>
      <c r="S506" s="111">
        <v>55.0</v>
      </c>
      <c r="T506" s="112">
        <v>78.0</v>
      </c>
      <c r="U506" s="24" t="s">
        <v>603</v>
      </c>
      <c r="V506" s="11" t="s">
        <v>3853</v>
      </c>
      <c r="W506" s="108">
        <v>3.0</v>
      </c>
      <c r="X506" s="113">
        <v>40617.0</v>
      </c>
      <c r="Y506" s="113">
        <v>120114.0</v>
      </c>
      <c r="Z506" s="11">
        <v>195.0</v>
      </c>
      <c r="AA506" s="113">
        <v>80122.0</v>
      </c>
      <c r="AB506" s="109">
        <v>23065.63</v>
      </c>
      <c r="AC506" s="113">
        <v>72219.0</v>
      </c>
      <c r="AD506" s="108">
        <v>9.0</v>
      </c>
    </row>
    <row r="507">
      <c r="A507" s="11">
        <v>92.0</v>
      </c>
      <c r="B507" s="11">
        <v>9.0</v>
      </c>
      <c r="C507" s="11">
        <v>2.0</v>
      </c>
      <c r="D507" s="17">
        <v>58.0</v>
      </c>
      <c r="E507" s="108">
        <v>6.0</v>
      </c>
      <c r="F507" s="109">
        <v>-61128.97</v>
      </c>
      <c r="G507" s="109">
        <v>-13039.62</v>
      </c>
      <c r="H507" s="109">
        <v>36302.97</v>
      </c>
      <c r="I507" s="109">
        <v>-39920.66</v>
      </c>
      <c r="J507" s="109">
        <v>-38751.46</v>
      </c>
      <c r="K507" s="109">
        <v>42456.49</v>
      </c>
      <c r="L507" s="109">
        <v>-16484.7</v>
      </c>
      <c r="M507" s="109">
        <v>19200.07</v>
      </c>
      <c r="N507" s="110">
        <v>71111.0</v>
      </c>
      <c r="O507" s="110">
        <v>70631.0</v>
      </c>
      <c r="P507" s="110">
        <v>52123.0</v>
      </c>
      <c r="Q507" s="110">
        <v>73131.0</v>
      </c>
      <c r="R507" s="50">
        <v>120817.0</v>
      </c>
      <c r="S507" s="111">
        <v>52.0</v>
      </c>
      <c r="T507" s="112">
        <v>50.0</v>
      </c>
      <c r="U507" s="24" t="s">
        <v>48</v>
      </c>
      <c r="V507" s="11" t="s">
        <v>4072</v>
      </c>
      <c r="W507" s="108">
        <v>9.0</v>
      </c>
      <c r="X507" s="113">
        <v>101820.0</v>
      </c>
      <c r="Y507" s="113">
        <v>122714.0</v>
      </c>
      <c r="Z507" s="11">
        <v>130.0</v>
      </c>
      <c r="AA507" s="113">
        <v>70517.0</v>
      </c>
      <c r="AB507" s="109">
        <v>-61140.66</v>
      </c>
      <c r="AC507" s="113">
        <v>10918.0</v>
      </c>
      <c r="AD507" s="108">
        <v>3.0</v>
      </c>
    </row>
    <row r="508">
      <c r="A508" s="11">
        <v>92.0</v>
      </c>
      <c r="B508" s="11">
        <v>9.0</v>
      </c>
      <c r="C508" s="11">
        <v>3.0</v>
      </c>
      <c r="D508" s="17">
        <v>18.0</v>
      </c>
      <c r="E508" s="108">
        <v>6.0</v>
      </c>
      <c r="F508" s="109">
        <v>-82380.38</v>
      </c>
      <c r="G508" s="109">
        <v>36464.94</v>
      </c>
      <c r="H508" s="109">
        <v>78874.0</v>
      </c>
      <c r="I508" s="109">
        <v>-97970.99</v>
      </c>
      <c r="J508" s="109">
        <v>7175.71</v>
      </c>
      <c r="K508" s="109">
        <v>69118.55</v>
      </c>
      <c r="L508" s="109">
        <v>34311.42</v>
      </c>
      <c r="M508" s="109">
        <v>-23445.73</v>
      </c>
      <c r="N508" s="110">
        <v>81512.0</v>
      </c>
      <c r="O508" s="110">
        <v>80842.0</v>
      </c>
      <c r="P508" s="110">
        <v>50223.0</v>
      </c>
      <c r="Q508" s="110">
        <v>83142.0</v>
      </c>
      <c r="R508" s="50">
        <v>82221.0</v>
      </c>
      <c r="S508" s="111">
        <v>54.0</v>
      </c>
      <c r="T508" s="112">
        <v>93.0</v>
      </c>
      <c r="U508" s="24" t="s">
        <v>31</v>
      </c>
      <c r="V508" s="11" t="s">
        <v>4065</v>
      </c>
      <c r="W508" s="108">
        <v>1.0</v>
      </c>
      <c r="X508" s="113">
        <v>61414.0</v>
      </c>
      <c r="Y508" s="113">
        <v>12522.0</v>
      </c>
      <c r="Z508" s="11">
        <v>164.0</v>
      </c>
      <c r="AA508" s="113">
        <v>42720.0</v>
      </c>
      <c r="AB508" s="109">
        <v>-84681.5</v>
      </c>
      <c r="AC508" s="113">
        <v>71219.0</v>
      </c>
      <c r="AD508" s="108">
        <v>4.0</v>
      </c>
    </row>
    <row r="509">
      <c r="A509" s="11">
        <v>51.0</v>
      </c>
      <c r="B509" s="11">
        <v>9.0</v>
      </c>
      <c r="C509" s="11">
        <v>5.0</v>
      </c>
      <c r="D509" s="17">
        <v>10.0</v>
      </c>
      <c r="E509" s="108">
        <v>7.0</v>
      </c>
      <c r="F509" s="109">
        <v>-91428.7</v>
      </c>
      <c r="G509" s="109">
        <v>-54801.68</v>
      </c>
      <c r="H509" s="109">
        <v>22510.4</v>
      </c>
      <c r="I509" s="109">
        <v>-37779.21</v>
      </c>
      <c r="J509" s="109">
        <v>-26229.85</v>
      </c>
      <c r="K509" s="109">
        <v>-89387.21</v>
      </c>
      <c r="L509" s="109">
        <v>33858.22</v>
      </c>
      <c r="M509" s="109">
        <v>-53482.77</v>
      </c>
      <c r="N509" s="110">
        <v>112714.0</v>
      </c>
      <c r="O509" s="110">
        <v>112234.0</v>
      </c>
      <c r="P509" s="110">
        <v>50123.0</v>
      </c>
      <c r="Q509" s="110">
        <v>113034.0</v>
      </c>
      <c r="R509" s="50">
        <v>102317.0</v>
      </c>
      <c r="S509" s="111">
        <v>55.0</v>
      </c>
      <c r="T509" s="112">
        <v>62.0</v>
      </c>
      <c r="U509" s="24" t="s">
        <v>31</v>
      </c>
      <c r="V509" s="11" t="s">
        <v>4062</v>
      </c>
      <c r="W509" s="108">
        <v>6.0</v>
      </c>
      <c r="X509" s="113">
        <v>122113.0</v>
      </c>
      <c r="Y509" s="113">
        <v>53118.0</v>
      </c>
      <c r="Z509" s="11">
        <v>104.0</v>
      </c>
      <c r="AA509" s="113">
        <v>112019.0</v>
      </c>
      <c r="AB509" s="109">
        <v>-50840.37</v>
      </c>
      <c r="AC509" s="113">
        <v>101921.0</v>
      </c>
      <c r="AD509" s="108">
        <v>5.0</v>
      </c>
    </row>
    <row r="510">
      <c r="A510" s="11">
        <v>72.0</v>
      </c>
      <c r="B510" s="11">
        <v>5.0</v>
      </c>
      <c r="C510" s="11">
        <v>1.0</v>
      </c>
      <c r="D510" s="17">
        <v>76.0</v>
      </c>
      <c r="E510" s="108">
        <v>1.0</v>
      </c>
      <c r="F510" s="109">
        <v>2754.21</v>
      </c>
      <c r="G510" s="109">
        <v>-52296.97</v>
      </c>
      <c r="H510" s="109">
        <v>-90611.65</v>
      </c>
      <c r="I510" s="109">
        <v>51765.75</v>
      </c>
      <c r="J510" s="109">
        <v>-46591.28</v>
      </c>
      <c r="K510" s="109">
        <v>-74067.36</v>
      </c>
      <c r="L510" s="109">
        <v>-27935.21</v>
      </c>
      <c r="M510" s="109">
        <v>6477.5</v>
      </c>
      <c r="N510" s="110">
        <v>62312.0</v>
      </c>
      <c r="O510" s="110">
        <v>61642.0</v>
      </c>
      <c r="P510" s="110">
        <v>50523.0</v>
      </c>
      <c r="Q510" s="110">
        <v>63042.0</v>
      </c>
      <c r="R510" s="50">
        <v>41714.0</v>
      </c>
      <c r="S510" s="111">
        <v>53.0</v>
      </c>
      <c r="T510" s="112">
        <v>46.0</v>
      </c>
      <c r="U510" s="24" t="s">
        <v>601</v>
      </c>
      <c r="V510" s="11" t="s">
        <v>3870</v>
      </c>
      <c r="W510" s="108">
        <v>1.0</v>
      </c>
      <c r="X510" s="113">
        <v>71918.0</v>
      </c>
      <c r="Y510" s="113">
        <v>90415.0</v>
      </c>
      <c r="Z510" s="11">
        <v>123.0</v>
      </c>
      <c r="AA510" s="113">
        <v>100816.0</v>
      </c>
      <c r="AB510" s="109">
        <v>-72715.43</v>
      </c>
      <c r="AC510" s="113">
        <v>92619.0</v>
      </c>
      <c r="AD510" s="108">
        <v>4.0</v>
      </c>
    </row>
    <row r="511">
      <c r="A511" s="11">
        <v>92.0</v>
      </c>
      <c r="B511" s="11">
        <v>9.0</v>
      </c>
      <c r="C511" s="11">
        <v>9.0</v>
      </c>
      <c r="D511" s="17">
        <v>2.0</v>
      </c>
      <c r="E511" s="108">
        <v>3.0</v>
      </c>
      <c r="F511" s="109">
        <v>86277.48</v>
      </c>
      <c r="G511" s="109">
        <v>-67369.51</v>
      </c>
      <c r="H511" s="109">
        <v>63433.6</v>
      </c>
      <c r="I511" s="109">
        <v>83601.95</v>
      </c>
      <c r="J511" s="109">
        <v>70247.23</v>
      </c>
      <c r="K511" s="109">
        <v>8038.79</v>
      </c>
      <c r="L511" s="109">
        <v>14672.47</v>
      </c>
      <c r="M511" s="109">
        <v>-12713.07</v>
      </c>
      <c r="N511" s="110">
        <v>122513.0</v>
      </c>
      <c r="O511" s="110">
        <v>121843.0</v>
      </c>
      <c r="P511" s="110">
        <v>52123.0</v>
      </c>
      <c r="Q511" s="110">
        <v>123142.0</v>
      </c>
      <c r="R511" s="50">
        <v>70813.0</v>
      </c>
      <c r="S511" s="111">
        <v>52.0</v>
      </c>
      <c r="T511" s="112">
        <v>25.0</v>
      </c>
      <c r="U511" s="24" t="s">
        <v>48</v>
      </c>
      <c r="V511" s="11" t="s">
        <v>3910</v>
      </c>
      <c r="W511" s="108">
        <v>8.0</v>
      </c>
      <c r="X511" s="113">
        <v>52717.0</v>
      </c>
      <c r="Y511" s="113">
        <v>11823.0</v>
      </c>
      <c r="Z511" s="11">
        <v>144.0</v>
      </c>
      <c r="AA511" s="113">
        <v>81420.0</v>
      </c>
      <c r="AB511" s="109">
        <v>98188.74</v>
      </c>
      <c r="AC511" s="113">
        <v>11818.0</v>
      </c>
      <c r="AD511" s="108">
        <v>6.0</v>
      </c>
    </row>
    <row r="512">
      <c r="A512" s="11">
        <v>31.0</v>
      </c>
      <c r="B512" s="11">
        <v>5.0</v>
      </c>
      <c r="C512" s="11">
        <v>7.0</v>
      </c>
      <c r="D512" s="17">
        <v>25.0</v>
      </c>
      <c r="E512" s="108">
        <v>0.0</v>
      </c>
      <c r="F512" s="109">
        <v>2708.22</v>
      </c>
      <c r="G512" s="109">
        <v>7021.32</v>
      </c>
      <c r="H512" s="109">
        <v>84669.68</v>
      </c>
      <c r="I512" s="109">
        <v>42715.56</v>
      </c>
      <c r="J512" s="109">
        <v>69194.43</v>
      </c>
      <c r="K512" s="109">
        <v>96664.69</v>
      </c>
      <c r="L512" s="109">
        <v>23728.51</v>
      </c>
      <c r="M512" s="109">
        <v>4165.71</v>
      </c>
      <c r="N512" s="110">
        <v>73113.0</v>
      </c>
      <c r="O512" s="110">
        <v>72443.0</v>
      </c>
      <c r="P512" s="110">
        <v>50823.0</v>
      </c>
      <c r="Q512" s="110">
        <v>73143.0</v>
      </c>
      <c r="R512" s="50">
        <v>110719.0</v>
      </c>
      <c r="S512" s="111">
        <v>51.0</v>
      </c>
      <c r="T512" s="112">
        <v>40.0</v>
      </c>
      <c r="U512" s="24" t="s">
        <v>39</v>
      </c>
      <c r="V512" s="11" t="s">
        <v>3986</v>
      </c>
      <c r="W512" s="108">
        <v>6.0</v>
      </c>
      <c r="X512" s="113">
        <v>31223.0</v>
      </c>
      <c r="Y512" s="113">
        <v>51714.0</v>
      </c>
      <c r="Z512" s="11">
        <v>163.0</v>
      </c>
      <c r="AA512" s="113">
        <v>20822.0</v>
      </c>
      <c r="AB512" s="109">
        <v>-42896.05</v>
      </c>
      <c r="AC512" s="113">
        <v>62322.0</v>
      </c>
      <c r="AD512" s="108">
        <v>9.0</v>
      </c>
    </row>
    <row r="513">
      <c r="A513" s="11">
        <v>31.0</v>
      </c>
      <c r="B513" s="11">
        <v>6.0</v>
      </c>
      <c r="C513" s="11">
        <v>2.0</v>
      </c>
      <c r="D513" s="17">
        <v>65.0</v>
      </c>
      <c r="E513" s="108">
        <v>0.0</v>
      </c>
      <c r="F513" s="109">
        <v>19088.93</v>
      </c>
      <c r="G513" s="109">
        <v>91431.67</v>
      </c>
      <c r="H513" s="109">
        <v>-89131.91</v>
      </c>
      <c r="I513" s="109">
        <v>37388.0</v>
      </c>
      <c r="J513" s="109">
        <v>37601.72</v>
      </c>
      <c r="K513" s="109">
        <v>51440.27</v>
      </c>
      <c r="L513" s="109">
        <v>-8251.9</v>
      </c>
      <c r="M513" s="109">
        <v>85462.65</v>
      </c>
      <c r="N513" s="110">
        <v>61510.0</v>
      </c>
      <c r="O513" s="110">
        <v>60740.0</v>
      </c>
      <c r="P513" s="110">
        <v>50423.0</v>
      </c>
      <c r="Q513" s="110">
        <v>63040.0</v>
      </c>
      <c r="R513" s="50">
        <v>41818.0</v>
      </c>
      <c r="S513" s="111">
        <v>55.0</v>
      </c>
      <c r="T513" s="112">
        <v>67.0</v>
      </c>
      <c r="U513" s="24" t="s">
        <v>603</v>
      </c>
      <c r="V513" s="11" t="s">
        <v>4017</v>
      </c>
      <c r="W513" s="108">
        <v>7.0</v>
      </c>
      <c r="X513" s="113">
        <v>100822.0</v>
      </c>
      <c r="Y513" s="113">
        <v>121017.0</v>
      </c>
      <c r="Z513" s="11">
        <v>128.0</v>
      </c>
      <c r="AA513" s="113">
        <v>51723.0</v>
      </c>
      <c r="AB513" s="109">
        <v>-71758.06</v>
      </c>
      <c r="AC513" s="113">
        <v>82720.0</v>
      </c>
      <c r="AD513" s="108">
        <v>9.0</v>
      </c>
    </row>
    <row r="514">
      <c r="A514" s="11">
        <v>31.0</v>
      </c>
      <c r="B514" s="11">
        <v>6.0</v>
      </c>
      <c r="C514" s="11">
        <v>3.0</v>
      </c>
      <c r="D514" s="17">
        <v>56.0</v>
      </c>
      <c r="E514" s="108">
        <v>4.0</v>
      </c>
      <c r="F514" s="109">
        <v>74727.83</v>
      </c>
      <c r="G514" s="109">
        <v>-25046.56</v>
      </c>
      <c r="H514" s="109">
        <v>-22084.84</v>
      </c>
      <c r="I514" s="109">
        <v>32171.9</v>
      </c>
      <c r="J514" s="109">
        <v>7185.55</v>
      </c>
      <c r="K514" s="109">
        <v>53636.03</v>
      </c>
      <c r="L514" s="109">
        <v>-53268.24</v>
      </c>
      <c r="M514" s="109">
        <v>76710.85</v>
      </c>
      <c r="N514" s="110">
        <v>71814.0</v>
      </c>
      <c r="O514" s="110">
        <v>71524.0</v>
      </c>
      <c r="P514" s="110">
        <v>50823.0</v>
      </c>
      <c r="Q514" s="110">
        <v>73124.0</v>
      </c>
      <c r="R514" s="50">
        <v>71422.0</v>
      </c>
      <c r="S514" s="111">
        <v>54.0</v>
      </c>
      <c r="T514" s="112">
        <v>83.0</v>
      </c>
      <c r="U514" s="24" t="s">
        <v>601</v>
      </c>
      <c r="V514" s="11" t="s">
        <v>3940</v>
      </c>
      <c r="W514" s="108">
        <v>7.0</v>
      </c>
      <c r="X514" s="113">
        <v>20313.0</v>
      </c>
      <c r="Y514" s="113">
        <v>71621.0</v>
      </c>
      <c r="Z514" s="11">
        <v>192.0</v>
      </c>
      <c r="AA514" s="113">
        <v>42318.0</v>
      </c>
      <c r="AB514" s="109">
        <v>-12476.16</v>
      </c>
      <c r="AC514" s="113">
        <v>40215.0</v>
      </c>
      <c r="AD514" s="108">
        <v>5.0</v>
      </c>
    </row>
    <row r="515">
      <c r="A515" s="11">
        <v>52.0</v>
      </c>
      <c r="B515" s="11">
        <v>1.0</v>
      </c>
      <c r="C515" s="11">
        <v>2.0</v>
      </c>
      <c r="D515" s="17">
        <v>91.0</v>
      </c>
      <c r="E515" s="108">
        <v>0.0</v>
      </c>
      <c r="F515" s="109">
        <v>-77945.05</v>
      </c>
      <c r="G515" s="109">
        <v>-65297.12</v>
      </c>
      <c r="H515" s="109">
        <v>87853.51</v>
      </c>
      <c r="I515" s="109">
        <v>12831.3</v>
      </c>
      <c r="J515" s="109">
        <v>-92879.86</v>
      </c>
      <c r="K515" s="109">
        <v>-52806.44</v>
      </c>
      <c r="L515" s="109">
        <v>47988.18</v>
      </c>
      <c r="M515" s="109">
        <v>78942.01</v>
      </c>
      <c r="N515" s="110">
        <v>62114.0</v>
      </c>
      <c r="O515" s="110">
        <v>61344.0</v>
      </c>
      <c r="P515" s="110">
        <v>52423.0</v>
      </c>
      <c r="Q515" s="110">
        <v>63044.0</v>
      </c>
      <c r="R515" s="50">
        <v>11814.0</v>
      </c>
      <c r="S515" s="111">
        <v>51.0</v>
      </c>
      <c r="T515" s="112">
        <v>74.0</v>
      </c>
      <c r="U515" s="24" t="s">
        <v>601</v>
      </c>
      <c r="V515" s="11" t="s">
        <v>3909</v>
      </c>
      <c r="W515" s="108">
        <v>2.0</v>
      </c>
      <c r="X515" s="113">
        <v>112918.0</v>
      </c>
      <c r="Y515" s="113">
        <v>81718.0</v>
      </c>
      <c r="Z515" s="11">
        <v>111.0</v>
      </c>
      <c r="AA515" s="113">
        <v>31522.0</v>
      </c>
      <c r="AB515" s="109">
        <v>36480.2</v>
      </c>
      <c r="AC515" s="113">
        <v>12014.0</v>
      </c>
      <c r="AD515" s="108">
        <v>6.0</v>
      </c>
    </row>
    <row r="516">
      <c r="A516" s="11">
        <v>52.0</v>
      </c>
      <c r="B516" s="11">
        <v>1.0</v>
      </c>
      <c r="C516" s="11">
        <v>3.0</v>
      </c>
      <c r="D516" s="17">
        <v>94.0</v>
      </c>
      <c r="E516" s="108">
        <v>5.0</v>
      </c>
      <c r="F516" s="109">
        <v>61968.0</v>
      </c>
      <c r="G516" s="109">
        <v>55934.82</v>
      </c>
      <c r="H516" s="109">
        <v>-91879.65</v>
      </c>
      <c r="I516" s="109">
        <v>54711.62</v>
      </c>
      <c r="J516" s="109">
        <v>-8493.26</v>
      </c>
      <c r="K516" s="109">
        <v>-15290.94</v>
      </c>
      <c r="L516" s="109">
        <v>42839.85</v>
      </c>
      <c r="M516" s="109">
        <v>-96994.66</v>
      </c>
      <c r="N516" s="110">
        <v>51711.0</v>
      </c>
      <c r="O516" s="110">
        <v>50941.0</v>
      </c>
      <c r="P516" s="110">
        <v>52323.0</v>
      </c>
      <c r="Q516" s="110">
        <v>53141.0</v>
      </c>
      <c r="R516" s="50">
        <v>21522.0</v>
      </c>
      <c r="S516" s="111">
        <v>55.0</v>
      </c>
      <c r="T516" s="112">
        <v>7.0</v>
      </c>
      <c r="U516" s="24" t="s">
        <v>31</v>
      </c>
      <c r="V516" s="11" t="s">
        <v>4021</v>
      </c>
      <c r="W516" s="108">
        <v>2.0</v>
      </c>
      <c r="X516" s="113">
        <v>83123.0</v>
      </c>
      <c r="Y516" s="113">
        <v>11817.0</v>
      </c>
      <c r="Z516" s="11">
        <v>132.0</v>
      </c>
      <c r="AA516" s="113">
        <v>120913.0</v>
      </c>
      <c r="AB516" s="109">
        <v>8777.11</v>
      </c>
      <c r="AC516" s="113">
        <v>61016.0</v>
      </c>
      <c r="AD516" s="108">
        <v>6.0</v>
      </c>
    </row>
    <row r="517">
      <c r="A517" s="11">
        <v>72.0</v>
      </c>
      <c r="B517" s="11">
        <v>6.0</v>
      </c>
      <c r="C517" s="11">
        <v>3.0</v>
      </c>
      <c r="D517" s="17">
        <v>75.0</v>
      </c>
      <c r="E517" s="108">
        <v>1.0</v>
      </c>
      <c r="F517" s="109">
        <v>-66174.15</v>
      </c>
      <c r="G517" s="109">
        <v>-98774.05</v>
      </c>
      <c r="H517" s="109">
        <v>88806.7</v>
      </c>
      <c r="I517" s="109">
        <v>-99802.26</v>
      </c>
      <c r="J517" s="109">
        <v>82012.27</v>
      </c>
      <c r="K517" s="109">
        <v>79258.96</v>
      </c>
      <c r="L517" s="109">
        <v>-78361.5</v>
      </c>
      <c r="M517" s="109">
        <v>54180.18</v>
      </c>
      <c r="N517" s="110">
        <v>101312.0</v>
      </c>
      <c r="O517" s="110">
        <v>100832.0</v>
      </c>
      <c r="P517" s="110">
        <v>51323.0</v>
      </c>
      <c r="Q517" s="110">
        <v>103132.0</v>
      </c>
      <c r="R517" s="50">
        <v>10314.0</v>
      </c>
      <c r="S517" s="111">
        <v>51.0</v>
      </c>
      <c r="T517" s="112">
        <v>68.0</v>
      </c>
      <c r="U517" s="24" t="s">
        <v>603</v>
      </c>
      <c r="V517" s="11" t="s">
        <v>3967</v>
      </c>
      <c r="W517" s="108">
        <v>8.0</v>
      </c>
      <c r="X517" s="113">
        <v>70614.0</v>
      </c>
      <c r="Y517" s="113">
        <v>11721.0</v>
      </c>
      <c r="Z517" s="11">
        <v>180.0</v>
      </c>
      <c r="AA517" s="113">
        <v>21023.0</v>
      </c>
      <c r="AB517" s="109">
        <v>90658.14</v>
      </c>
      <c r="AC517" s="113">
        <v>101918.0</v>
      </c>
      <c r="AD517" s="108">
        <v>5.0</v>
      </c>
    </row>
    <row r="518">
      <c r="A518" s="11">
        <v>11.0</v>
      </c>
      <c r="B518" s="11">
        <v>2.0</v>
      </c>
      <c r="C518" s="11">
        <v>1.0</v>
      </c>
      <c r="D518" s="17">
        <v>31.0</v>
      </c>
      <c r="E518" s="108">
        <v>7.0</v>
      </c>
      <c r="F518" s="109">
        <v>-72808.99</v>
      </c>
      <c r="G518" s="109">
        <v>2755.55</v>
      </c>
      <c r="H518" s="109">
        <v>-14773.66</v>
      </c>
      <c r="I518" s="109">
        <v>38771.01</v>
      </c>
      <c r="J518" s="109">
        <v>69357.46</v>
      </c>
      <c r="K518" s="109">
        <v>-69433.2</v>
      </c>
      <c r="L518" s="109">
        <v>73318.23</v>
      </c>
      <c r="M518" s="109">
        <v>-47350.94</v>
      </c>
      <c r="N518" s="110">
        <v>11810.0</v>
      </c>
      <c r="O518" s="110">
        <v>11140.0</v>
      </c>
      <c r="P518" s="110">
        <v>52423.0</v>
      </c>
      <c r="Q518" s="110">
        <v>13140.0</v>
      </c>
      <c r="R518" s="50">
        <v>121915.0</v>
      </c>
      <c r="S518" s="111">
        <v>51.0</v>
      </c>
      <c r="T518" s="112">
        <v>36.0</v>
      </c>
      <c r="U518" s="24" t="s">
        <v>39</v>
      </c>
      <c r="V518" s="11" t="s">
        <v>4027</v>
      </c>
      <c r="W518" s="108">
        <v>2.0</v>
      </c>
      <c r="X518" s="113">
        <v>110717.0</v>
      </c>
      <c r="Y518" s="113">
        <v>80815.0</v>
      </c>
      <c r="Z518" s="11">
        <v>118.0</v>
      </c>
      <c r="AA518" s="113">
        <v>61819.0</v>
      </c>
      <c r="AB518" s="109">
        <v>-28517.85</v>
      </c>
      <c r="AC518" s="113">
        <v>32613.0</v>
      </c>
      <c r="AD518" s="108">
        <v>2.0</v>
      </c>
    </row>
    <row r="519">
      <c r="A519" s="11">
        <v>52.0</v>
      </c>
      <c r="B519" s="11">
        <v>1.0</v>
      </c>
      <c r="C519" s="11">
        <v>7.0</v>
      </c>
      <c r="D519" s="17">
        <v>24.0</v>
      </c>
      <c r="E519" s="108">
        <v>9.0</v>
      </c>
      <c r="F519" s="109">
        <v>64753.0</v>
      </c>
      <c r="G519" s="109">
        <v>-51647.02</v>
      </c>
      <c r="H519" s="109">
        <v>-86248.81</v>
      </c>
      <c r="I519" s="109">
        <v>-70340.15</v>
      </c>
      <c r="J519" s="109">
        <v>-89073.22</v>
      </c>
      <c r="K519" s="109">
        <v>46235.51</v>
      </c>
      <c r="L519" s="109">
        <v>-51196.56</v>
      </c>
      <c r="M519" s="109">
        <v>93514.27</v>
      </c>
      <c r="N519" s="110">
        <v>110613.0</v>
      </c>
      <c r="O519" s="110">
        <v>110423.0</v>
      </c>
      <c r="P519" s="110">
        <v>50623.0</v>
      </c>
      <c r="Q519" s="110">
        <v>113023.0</v>
      </c>
      <c r="R519" s="50">
        <v>40619.0</v>
      </c>
      <c r="S519" s="111">
        <v>55.0</v>
      </c>
      <c r="T519" s="112">
        <v>56.0</v>
      </c>
      <c r="U519" s="24" t="s">
        <v>48</v>
      </c>
      <c r="V519" s="11" t="s">
        <v>3861</v>
      </c>
      <c r="W519" s="108">
        <v>6.0</v>
      </c>
      <c r="X519" s="113">
        <v>61118.0</v>
      </c>
      <c r="Y519" s="113">
        <v>100913.0</v>
      </c>
      <c r="Z519" s="11">
        <v>165.0</v>
      </c>
      <c r="AA519" s="113">
        <v>122619.0</v>
      </c>
      <c r="AB519" s="109">
        <v>-30502.71</v>
      </c>
      <c r="AC519" s="113">
        <v>120916.0</v>
      </c>
      <c r="AD519" s="108">
        <v>4.0</v>
      </c>
    </row>
    <row r="520">
      <c r="A520" s="11">
        <v>93.0</v>
      </c>
      <c r="B520" s="11">
        <v>1.0</v>
      </c>
      <c r="C520" s="11">
        <v>6.0</v>
      </c>
      <c r="D520" s="17">
        <v>93.0</v>
      </c>
      <c r="E520" s="108">
        <v>6.0</v>
      </c>
      <c r="F520" s="109">
        <v>-60474.44</v>
      </c>
      <c r="G520" s="109">
        <v>79407.83</v>
      </c>
      <c r="H520" s="109">
        <v>33277.97</v>
      </c>
      <c r="I520" s="109">
        <v>-65227.29</v>
      </c>
      <c r="J520" s="109">
        <v>-72556.21</v>
      </c>
      <c r="K520" s="109">
        <v>95838.61</v>
      </c>
      <c r="L520" s="109">
        <v>-36932.59</v>
      </c>
      <c r="M520" s="109">
        <v>-60493.73</v>
      </c>
      <c r="N520" s="110">
        <v>102410.0</v>
      </c>
      <c r="O520" s="110">
        <v>102120.0</v>
      </c>
      <c r="P520" s="110">
        <v>52123.0</v>
      </c>
      <c r="Q520" s="110">
        <v>103120.0</v>
      </c>
      <c r="R520" s="50">
        <v>121217.0</v>
      </c>
      <c r="S520" s="111">
        <v>54.0</v>
      </c>
      <c r="T520" s="112">
        <v>21.0</v>
      </c>
      <c r="U520" s="24" t="s">
        <v>603</v>
      </c>
      <c r="V520" s="11" t="s">
        <v>3927</v>
      </c>
      <c r="W520" s="108">
        <v>3.0</v>
      </c>
      <c r="X520" s="113">
        <v>101616.0</v>
      </c>
      <c r="Y520" s="113">
        <v>52618.0</v>
      </c>
      <c r="Z520" s="11">
        <v>200.0</v>
      </c>
      <c r="AA520" s="113">
        <v>82123.0</v>
      </c>
      <c r="AB520" s="109">
        <v>81834.67</v>
      </c>
      <c r="AC520" s="113">
        <v>82521.0</v>
      </c>
      <c r="AD520" s="108">
        <v>2.0</v>
      </c>
    </row>
    <row r="521">
      <c r="A521" s="11">
        <v>11.0</v>
      </c>
      <c r="B521" s="11">
        <v>2.0</v>
      </c>
      <c r="C521" s="11">
        <v>4.0</v>
      </c>
      <c r="D521" s="17">
        <v>63.0</v>
      </c>
      <c r="E521" s="108">
        <v>8.0</v>
      </c>
      <c r="F521" s="109">
        <v>57315.61</v>
      </c>
      <c r="G521" s="109">
        <v>61781.6</v>
      </c>
      <c r="H521" s="109">
        <v>22278.49</v>
      </c>
      <c r="I521" s="109">
        <v>83025.21</v>
      </c>
      <c r="J521" s="109">
        <v>-46828.54</v>
      </c>
      <c r="K521" s="109">
        <v>-10385.23</v>
      </c>
      <c r="L521" s="109">
        <v>57828.52</v>
      </c>
      <c r="M521" s="109">
        <v>45785.76</v>
      </c>
      <c r="N521" s="110">
        <v>50413.0</v>
      </c>
      <c r="O521" s="110">
        <v>42743.0</v>
      </c>
      <c r="P521" s="110">
        <v>51123.0</v>
      </c>
      <c r="Q521" s="110">
        <v>43043.0</v>
      </c>
      <c r="R521" s="50">
        <v>42216.0</v>
      </c>
      <c r="S521" s="111">
        <v>55.0</v>
      </c>
      <c r="T521" s="112">
        <v>34.0</v>
      </c>
      <c r="U521" s="24" t="s">
        <v>603</v>
      </c>
      <c r="V521" s="11" t="s">
        <v>4068</v>
      </c>
      <c r="W521" s="108">
        <v>7.0</v>
      </c>
      <c r="X521" s="113">
        <v>120618.0</v>
      </c>
      <c r="Y521" s="113">
        <v>90619.0</v>
      </c>
      <c r="Z521" s="11">
        <v>156.0</v>
      </c>
      <c r="AA521" s="113">
        <v>60421.0</v>
      </c>
      <c r="AB521" s="109">
        <v>66992.2</v>
      </c>
      <c r="AC521" s="113">
        <v>60420.0</v>
      </c>
      <c r="AD521" s="108">
        <v>0.0</v>
      </c>
    </row>
    <row r="522">
      <c r="A522" s="11">
        <v>52.0</v>
      </c>
      <c r="B522" s="11">
        <v>2.0</v>
      </c>
      <c r="C522" s="11">
        <v>1.0</v>
      </c>
      <c r="D522" s="17">
        <v>19.0</v>
      </c>
      <c r="E522" s="108">
        <v>3.0</v>
      </c>
      <c r="F522" s="109">
        <v>-62787.91</v>
      </c>
      <c r="G522" s="109">
        <v>-44006.35</v>
      </c>
      <c r="H522" s="109">
        <v>-43511.15</v>
      </c>
      <c r="I522" s="109">
        <v>-53786.73</v>
      </c>
      <c r="J522" s="109">
        <v>42974.89</v>
      </c>
      <c r="K522" s="109">
        <v>-27546.34</v>
      </c>
      <c r="L522" s="109">
        <v>-71839.23</v>
      </c>
      <c r="M522" s="109">
        <v>-66214.73</v>
      </c>
      <c r="N522" s="110">
        <v>122514.0</v>
      </c>
      <c r="O522" s="110">
        <v>122224.0</v>
      </c>
      <c r="P522" s="110">
        <v>50123.0</v>
      </c>
      <c r="Q522" s="110">
        <v>123123.0</v>
      </c>
      <c r="R522" s="50">
        <v>43021.0</v>
      </c>
      <c r="S522" s="111">
        <v>51.0</v>
      </c>
      <c r="T522" s="112">
        <v>61.0</v>
      </c>
      <c r="U522" s="24" t="s">
        <v>601</v>
      </c>
      <c r="V522" s="11" t="s">
        <v>3965</v>
      </c>
      <c r="W522" s="108">
        <v>4.0</v>
      </c>
      <c r="X522" s="113">
        <v>50123.0</v>
      </c>
      <c r="Y522" s="113">
        <v>93120.0</v>
      </c>
      <c r="Z522" s="11">
        <v>100.0</v>
      </c>
      <c r="AA522" s="113">
        <v>110516.0</v>
      </c>
      <c r="AB522" s="109">
        <v>93491.97</v>
      </c>
      <c r="AC522" s="113">
        <v>31320.0</v>
      </c>
      <c r="AD522" s="108">
        <v>2.0</v>
      </c>
    </row>
    <row r="523">
      <c r="A523" s="11">
        <v>93.0</v>
      </c>
      <c r="B523" s="11">
        <v>1.0</v>
      </c>
      <c r="C523" s="11">
        <v>8.0</v>
      </c>
      <c r="D523" s="17">
        <v>57.0</v>
      </c>
      <c r="E523" s="108">
        <v>5.0</v>
      </c>
      <c r="F523" s="109">
        <v>-81832.07</v>
      </c>
      <c r="G523" s="109">
        <v>-17940.49</v>
      </c>
      <c r="H523" s="109">
        <v>99408.58</v>
      </c>
      <c r="I523" s="109">
        <v>17133.14</v>
      </c>
      <c r="J523" s="109">
        <v>69814.97</v>
      </c>
      <c r="K523" s="109">
        <v>-98705.94</v>
      </c>
      <c r="L523" s="109">
        <v>1383.07</v>
      </c>
      <c r="M523" s="109">
        <v>-176.62</v>
      </c>
      <c r="N523" s="110">
        <v>112310.0</v>
      </c>
      <c r="O523" s="110">
        <v>111540.0</v>
      </c>
      <c r="P523" s="110">
        <v>50523.0</v>
      </c>
      <c r="Q523" s="110">
        <v>113040.0</v>
      </c>
      <c r="R523" s="50">
        <v>100215.0</v>
      </c>
      <c r="S523" s="111">
        <v>52.0</v>
      </c>
      <c r="T523" s="112">
        <v>20.0</v>
      </c>
      <c r="U523" s="24" t="s">
        <v>31</v>
      </c>
      <c r="V523" s="11" t="s">
        <v>3913</v>
      </c>
      <c r="W523" s="108">
        <v>9.0</v>
      </c>
      <c r="X523" s="113">
        <v>120519.0</v>
      </c>
      <c r="Y523" s="113">
        <v>22917.0</v>
      </c>
      <c r="Z523" s="11">
        <v>107.0</v>
      </c>
      <c r="AA523" s="113">
        <v>22818.0</v>
      </c>
      <c r="AB523" s="109">
        <v>-34568.05</v>
      </c>
      <c r="AC523" s="113">
        <v>90822.0</v>
      </c>
      <c r="AD523" s="108">
        <v>4.0</v>
      </c>
    </row>
    <row r="524">
      <c r="A524" s="11">
        <v>31.0</v>
      </c>
      <c r="B524" s="11">
        <v>7.0</v>
      </c>
      <c r="C524" s="11">
        <v>6.0</v>
      </c>
      <c r="D524" s="17">
        <v>86.0</v>
      </c>
      <c r="E524" s="108">
        <v>4.0</v>
      </c>
      <c r="F524" s="109">
        <v>39024.71</v>
      </c>
      <c r="G524" s="109">
        <v>87852.3</v>
      </c>
      <c r="H524" s="109">
        <v>28115.1</v>
      </c>
      <c r="I524" s="109">
        <v>23155.34</v>
      </c>
      <c r="J524" s="109">
        <v>-66449.43</v>
      </c>
      <c r="K524" s="109">
        <v>95852.57</v>
      </c>
      <c r="L524" s="109">
        <v>42073.58</v>
      </c>
      <c r="M524" s="109">
        <v>6204.72</v>
      </c>
      <c r="N524" s="110">
        <v>42711.0</v>
      </c>
      <c r="O524" s="110">
        <v>42421.0</v>
      </c>
      <c r="P524" s="110">
        <v>52723.0</v>
      </c>
      <c r="Q524" s="110">
        <v>43021.0</v>
      </c>
      <c r="R524" s="50">
        <v>42617.0</v>
      </c>
      <c r="S524" s="111">
        <v>50.0</v>
      </c>
      <c r="T524" s="112">
        <v>90.0</v>
      </c>
      <c r="U524" s="24" t="s">
        <v>39</v>
      </c>
      <c r="V524" s="11" t="s">
        <v>3927</v>
      </c>
      <c r="W524" s="108">
        <v>3.0</v>
      </c>
      <c r="X524" s="113">
        <v>122523.0</v>
      </c>
      <c r="Y524" s="113">
        <v>61721.0</v>
      </c>
      <c r="Z524" s="11">
        <v>141.0</v>
      </c>
      <c r="AA524" s="113">
        <v>30618.0</v>
      </c>
      <c r="AB524" s="109">
        <v>13336.84</v>
      </c>
      <c r="AC524" s="113">
        <v>52823.0</v>
      </c>
      <c r="AD524" s="108">
        <v>2.0</v>
      </c>
    </row>
    <row r="525">
      <c r="A525" s="11">
        <v>93.0</v>
      </c>
      <c r="B525" s="11">
        <v>2.0</v>
      </c>
      <c r="C525" s="11">
        <v>5.0</v>
      </c>
      <c r="D525" s="17">
        <v>4.0</v>
      </c>
      <c r="E525" s="108">
        <v>5.0</v>
      </c>
      <c r="F525" s="109">
        <v>36921.33</v>
      </c>
      <c r="G525" s="109">
        <v>-86404.06</v>
      </c>
      <c r="H525" s="109">
        <v>-43867.11</v>
      </c>
      <c r="I525" s="109">
        <v>32528.2</v>
      </c>
      <c r="J525" s="109">
        <v>-58001.31</v>
      </c>
      <c r="K525" s="109">
        <v>-95996.85</v>
      </c>
      <c r="L525" s="109">
        <v>9144.48</v>
      </c>
      <c r="M525" s="109">
        <v>22037.76</v>
      </c>
      <c r="N525" s="110">
        <v>10910.0</v>
      </c>
      <c r="O525" s="110">
        <v>10720.0</v>
      </c>
      <c r="P525" s="110">
        <v>52023.0</v>
      </c>
      <c r="Q525" s="110">
        <v>13120.0</v>
      </c>
      <c r="R525" s="50">
        <v>51520.0</v>
      </c>
      <c r="S525" s="111">
        <v>55.0</v>
      </c>
      <c r="T525" s="112">
        <v>30.0</v>
      </c>
      <c r="U525" s="24" t="s">
        <v>48</v>
      </c>
      <c r="V525" s="11" t="s">
        <v>4006</v>
      </c>
      <c r="W525" s="108">
        <v>1.0</v>
      </c>
      <c r="X525" s="113">
        <v>121017.0</v>
      </c>
      <c r="Y525" s="113">
        <v>30116.0</v>
      </c>
      <c r="Z525" s="11">
        <v>102.0</v>
      </c>
      <c r="AA525" s="113">
        <v>110215.0</v>
      </c>
      <c r="AB525" s="109">
        <v>-26633.79</v>
      </c>
      <c r="AC525" s="113">
        <v>112517.0</v>
      </c>
      <c r="AD525" s="108">
        <v>4.0</v>
      </c>
    </row>
    <row r="526">
      <c r="A526" s="11">
        <v>72.0</v>
      </c>
      <c r="B526" s="11">
        <v>7.0</v>
      </c>
      <c r="C526" s="11">
        <v>8.0</v>
      </c>
      <c r="D526" s="17">
        <v>31.0</v>
      </c>
      <c r="E526" s="108">
        <v>5.0</v>
      </c>
      <c r="F526" s="109">
        <v>47547.89</v>
      </c>
      <c r="G526" s="109">
        <v>-60938.7</v>
      </c>
      <c r="H526" s="109">
        <v>-72238.33</v>
      </c>
      <c r="I526" s="109">
        <v>9338.69</v>
      </c>
      <c r="J526" s="109">
        <v>-34063.95</v>
      </c>
      <c r="K526" s="109">
        <v>39993.01</v>
      </c>
      <c r="L526" s="109">
        <v>73045.01</v>
      </c>
      <c r="M526" s="109">
        <v>87938.35</v>
      </c>
      <c r="N526" s="110">
        <v>60111.0</v>
      </c>
      <c r="O526" s="110">
        <v>52921.0</v>
      </c>
      <c r="P526" s="110">
        <v>53023.0</v>
      </c>
      <c r="Q526" s="110">
        <v>53121.0</v>
      </c>
      <c r="R526" s="50">
        <v>50315.0</v>
      </c>
      <c r="S526" s="111">
        <v>50.0</v>
      </c>
      <c r="T526" s="112">
        <v>17.0</v>
      </c>
      <c r="U526" s="24" t="s">
        <v>39</v>
      </c>
      <c r="V526" s="11" t="s">
        <v>4073</v>
      </c>
      <c r="W526" s="108">
        <v>4.0</v>
      </c>
      <c r="X526" s="113">
        <v>52714.0</v>
      </c>
      <c r="Y526" s="113">
        <v>11416.0</v>
      </c>
      <c r="Z526" s="11">
        <v>150.0</v>
      </c>
      <c r="AA526" s="113">
        <v>20422.0</v>
      </c>
      <c r="AB526" s="109">
        <v>-26059.17</v>
      </c>
      <c r="AC526" s="113">
        <v>10113.0</v>
      </c>
      <c r="AD526" s="108">
        <v>1.0</v>
      </c>
    </row>
    <row r="527">
      <c r="A527" s="11">
        <v>52.0</v>
      </c>
      <c r="B527" s="11">
        <v>2.0</v>
      </c>
      <c r="C527" s="11">
        <v>9.0</v>
      </c>
      <c r="D527" s="17">
        <v>37.0</v>
      </c>
      <c r="E527" s="108">
        <v>8.0</v>
      </c>
      <c r="F527" s="109">
        <v>-40215.86</v>
      </c>
      <c r="G527" s="109">
        <v>40587.08</v>
      </c>
      <c r="H527" s="109">
        <v>-81298.76</v>
      </c>
      <c r="I527" s="109">
        <v>-55984.62</v>
      </c>
      <c r="J527" s="109">
        <v>-10165.29</v>
      </c>
      <c r="K527" s="109">
        <v>-36557.82</v>
      </c>
      <c r="L527" s="109">
        <v>-8454.45</v>
      </c>
      <c r="M527" s="109">
        <v>78867.19</v>
      </c>
      <c r="N527" s="110">
        <v>72814.0</v>
      </c>
      <c r="O527" s="110">
        <v>72044.0</v>
      </c>
      <c r="P527" s="110">
        <v>50423.0</v>
      </c>
      <c r="Q527" s="110">
        <v>73144.0</v>
      </c>
      <c r="R527" s="50">
        <v>93019.0</v>
      </c>
      <c r="S527" s="111">
        <v>54.0</v>
      </c>
      <c r="T527" s="112">
        <v>90.0</v>
      </c>
      <c r="U527" s="24" t="s">
        <v>48</v>
      </c>
      <c r="V527" s="11" t="s">
        <v>3994</v>
      </c>
      <c r="W527" s="108">
        <v>6.0</v>
      </c>
      <c r="X527" s="113">
        <v>102322.0</v>
      </c>
      <c r="Y527" s="113">
        <v>41716.0</v>
      </c>
      <c r="Z527" s="11">
        <v>106.0</v>
      </c>
      <c r="AA527" s="113">
        <v>60114.0</v>
      </c>
      <c r="AB527" s="109">
        <v>73227.82</v>
      </c>
      <c r="AC527" s="113">
        <v>81113.0</v>
      </c>
      <c r="AD527" s="108">
        <v>4.0</v>
      </c>
    </row>
    <row r="528">
      <c r="A528" s="11">
        <v>11.0</v>
      </c>
      <c r="B528" s="11">
        <v>3.0</v>
      </c>
      <c r="C528" s="11">
        <v>6.0</v>
      </c>
      <c r="D528" s="17">
        <v>13.0</v>
      </c>
      <c r="E528" s="108">
        <v>9.0</v>
      </c>
      <c r="F528" s="109">
        <v>4902.72</v>
      </c>
      <c r="G528" s="109">
        <v>94094.09</v>
      </c>
      <c r="H528" s="109">
        <v>-75136.34</v>
      </c>
      <c r="I528" s="109">
        <v>13569.65</v>
      </c>
      <c r="J528" s="109">
        <v>-35023.08</v>
      </c>
      <c r="K528" s="109">
        <v>-37590.97</v>
      </c>
      <c r="L528" s="109">
        <v>-84360.89</v>
      </c>
      <c r="M528" s="109">
        <v>-44330.27</v>
      </c>
      <c r="N528" s="110">
        <v>91011.0</v>
      </c>
      <c r="O528" s="110">
        <v>90721.0</v>
      </c>
      <c r="P528" s="110">
        <v>51723.0</v>
      </c>
      <c r="Q528" s="110">
        <v>93021.0</v>
      </c>
      <c r="R528" s="50">
        <v>61315.0</v>
      </c>
      <c r="S528" s="111">
        <v>55.0</v>
      </c>
      <c r="T528" s="112">
        <v>9.0</v>
      </c>
      <c r="U528" s="24" t="s">
        <v>603</v>
      </c>
      <c r="V528" s="11" t="s">
        <v>3900</v>
      </c>
      <c r="W528" s="108">
        <v>5.0</v>
      </c>
      <c r="X528" s="113">
        <v>121619.0</v>
      </c>
      <c r="Y528" s="113">
        <v>80417.0</v>
      </c>
      <c r="Z528" s="11">
        <v>107.0</v>
      </c>
      <c r="AA528" s="113">
        <v>111813.0</v>
      </c>
      <c r="AB528" s="109">
        <v>17957.61</v>
      </c>
      <c r="AC528" s="113">
        <v>20514.0</v>
      </c>
      <c r="AD528" s="108">
        <v>9.0</v>
      </c>
    </row>
    <row r="529">
      <c r="A529" s="11">
        <v>72.0</v>
      </c>
      <c r="B529" s="11">
        <v>8.0</v>
      </c>
      <c r="C529" s="11">
        <v>1.0</v>
      </c>
      <c r="D529" s="17">
        <v>85.0</v>
      </c>
      <c r="E529" s="108">
        <v>1.0</v>
      </c>
      <c r="F529" s="109">
        <v>57638.19</v>
      </c>
      <c r="G529" s="109">
        <v>31513.34</v>
      </c>
      <c r="H529" s="109">
        <v>-75392.4</v>
      </c>
      <c r="I529" s="109">
        <v>56912.16</v>
      </c>
      <c r="J529" s="109">
        <v>-44616.22</v>
      </c>
      <c r="K529" s="109">
        <v>11522.39</v>
      </c>
      <c r="L529" s="109">
        <v>-42649.62</v>
      </c>
      <c r="M529" s="109">
        <v>-93631.52</v>
      </c>
      <c r="N529" s="110">
        <v>62314.0</v>
      </c>
      <c r="O529" s="110">
        <v>61834.0</v>
      </c>
      <c r="P529" s="110">
        <v>50823.0</v>
      </c>
      <c r="Q529" s="110">
        <v>63034.0</v>
      </c>
      <c r="R529" s="50">
        <v>122419.0</v>
      </c>
      <c r="S529" s="111">
        <v>52.0</v>
      </c>
      <c r="T529" s="112">
        <v>95.0</v>
      </c>
      <c r="U529" s="24" t="s">
        <v>48</v>
      </c>
      <c r="V529" s="11" t="s">
        <v>4074</v>
      </c>
      <c r="W529" s="108">
        <v>4.0</v>
      </c>
      <c r="X529" s="113">
        <v>70114.0</v>
      </c>
      <c r="Y529" s="113">
        <v>30514.0</v>
      </c>
      <c r="Z529" s="11">
        <v>161.0</v>
      </c>
      <c r="AA529" s="113">
        <v>92014.0</v>
      </c>
      <c r="AB529" s="109">
        <v>65487.68</v>
      </c>
      <c r="AC529" s="113">
        <v>10616.0</v>
      </c>
      <c r="AD529" s="108">
        <v>5.0</v>
      </c>
    </row>
    <row r="530">
      <c r="A530" s="11">
        <v>11.0</v>
      </c>
      <c r="B530" s="11">
        <v>3.0</v>
      </c>
      <c r="C530" s="11">
        <v>9.0</v>
      </c>
      <c r="D530" s="17">
        <v>91.0</v>
      </c>
      <c r="E530" s="108">
        <v>0.0</v>
      </c>
      <c r="F530" s="109">
        <v>-24934.96</v>
      </c>
      <c r="G530" s="109">
        <v>-3945.8</v>
      </c>
      <c r="H530" s="109">
        <v>-29988.97</v>
      </c>
      <c r="I530" s="109">
        <v>63354.6</v>
      </c>
      <c r="J530" s="109">
        <v>71810.92</v>
      </c>
      <c r="K530" s="109">
        <v>-49199.63</v>
      </c>
      <c r="L530" s="109">
        <v>35808.03</v>
      </c>
      <c r="M530" s="109">
        <v>36645.58</v>
      </c>
      <c r="N530" s="110">
        <v>62212.0</v>
      </c>
      <c r="O530" s="110">
        <v>61542.0</v>
      </c>
      <c r="P530" s="110">
        <v>51223.0</v>
      </c>
      <c r="Q530" s="110">
        <v>63042.0</v>
      </c>
      <c r="R530" s="50">
        <v>120413.0</v>
      </c>
      <c r="S530" s="111">
        <v>51.0</v>
      </c>
      <c r="T530" s="112">
        <v>17.0</v>
      </c>
      <c r="U530" s="24" t="s">
        <v>39</v>
      </c>
      <c r="V530" s="11" t="s">
        <v>3866</v>
      </c>
      <c r="W530" s="108">
        <v>9.0</v>
      </c>
      <c r="X530" s="113">
        <v>101316.0</v>
      </c>
      <c r="Y530" s="113">
        <v>113019.0</v>
      </c>
      <c r="Z530" s="11">
        <v>185.0</v>
      </c>
      <c r="AA530" s="113">
        <v>31114.0</v>
      </c>
      <c r="AB530" s="109">
        <v>90031.12</v>
      </c>
      <c r="AC530" s="113">
        <v>102213.0</v>
      </c>
      <c r="AD530" s="108">
        <v>3.0</v>
      </c>
    </row>
    <row r="531">
      <c r="A531" s="11">
        <v>11.0</v>
      </c>
      <c r="B531" s="11">
        <v>4.0</v>
      </c>
      <c r="C531" s="11">
        <v>3.0</v>
      </c>
      <c r="D531" s="17">
        <v>16.0</v>
      </c>
      <c r="E531" s="108">
        <v>9.0</v>
      </c>
      <c r="F531" s="109">
        <v>56369.37</v>
      </c>
      <c r="G531" s="109">
        <v>-7315.22</v>
      </c>
      <c r="H531" s="109">
        <v>78269.32</v>
      </c>
      <c r="I531" s="109">
        <v>96751.6</v>
      </c>
      <c r="J531" s="109">
        <v>65042.55</v>
      </c>
      <c r="K531" s="109">
        <v>-41731.17</v>
      </c>
      <c r="L531" s="109">
        <v>98465.39</v>
      </c>
      <c r="M531" s="109">
        <v>81649.66</v>
      </c>
      <c r="N531" s="110">
        <v>12112.0</v>
      </c>
      <c r="O531" s="110">
        <v>11342.0</v>
      </c>
      <c r="P531" s="110">
        <v>51023.0</v>
      </c>
      <c r="Q531" s="110">
        <v>13142.0</v>
      </c>
      <c r="R531" s="50">
        <v>11120.0</v>
      </c>
      <c r="S531" s="111">
        <v>52.0</v>
      </c>
      <c r="T531" s="112">
        <v>81.0</v>
      </c>
      <c r="U531" s="24" t="s">
        <v>601</v>
      </c>
      <c r="V531" s="11" t="s">
        <v>3858</v>
      </c>
      <c r="W531" s="108">
        <v>6.0</v>
      </c>
      <c r="X531" s="113">
        <v>120414.0</v>
      </c>
      <c r="Y531" s="113">
        <v>32920.0</v>
      </c>
      <c r="Z531" s="11">
        <v>161.0</v>
      </c>
      <c r="AA531" s="113">
        <v>50421.0</v>
      </c>
      <c r="AB531" s="109">
        <v>-64432.69</v>
      </c>
      <c r="AC531" s="113">
        <v>81120.0</v>
      </c>
      <c r="AD531" s="108">
        <v>6.0</v>
      </c>
    </row>
    <row r="532">
      <c r="A532" s="11">
        <v>31.0</v>
      </c>
      <c r="B532" s="11">
        <v>9.0</v>
      </c>
      <c r="C532" s="11">
        <v>2.0</v>
      </c>
      <c r="D532" s="17">
        <v>22.0</v>
      </c>
      <c r="E532" s="108">
        <v>1.0</v>
      </c>
      <c r="F532" s="109">
        <v>54695.8</v>
      </c>
      <c r="G532" s="109">
        <v>53408.48</v>
      </c>
      <c r="H532" s="109">
        <v>-34347.22</v>
      </c>
      <c r="I532" s="109">
        <v>79276.82</v>
      </c>
      <c r="J532" s="109">
        <v>-14061.02</v>
      </c>
      <c r="K532" s="109">
        <v>83693.48</v>
      </c>
      <c r="L532" s="109">
        <v>-12569.02</v>
      </c>
      <c r="M532" s="109">
        <v>85485.04</v>
      </c>
      <c r="N532" s="110">
        <v>102710.0</v>
      </c>
      <c r="O532" s="110">
        <v>102230.0</v>
      </c>
      <c r="P532" s="110">
        <v>50623.0</v>
      </c>
      <c r="Q532" s="110">
        <v>103130.0</v>
      </c>
      <c r="R532" s="50">
        <v>103119.0</v>
      </c>
      <c r="S532" s="111">
        <v>51.0</v>
      </c>
      <c r="T532" s="112">
        <v>70.0</v>
      </c>
      <c r="U532" s="24" t="s">
        <v>48</v>
      </c>
      <c r="V532" s="11" t="s">
        <v>3937</v>
      </c>
      <c r="W532" s="108">
        <v>5.0</v>
      </c>
      <c r="X532" s="113">
        <v>51520.0</v>
      </c>
      <c r="Y532" s="113">
        <v>91617.0</v>
      </c>
      <c r="Z532" s="11">
        <v>134.0</v>
      </c>
      <c r="AA532" s="113">
        <v>113016.0</v>
      </c>
      <c r="AB532" s="109">
        <v>26934.19</v>
      </c>
      <c r="AC532" s="113">
        <v>21823.0</v>
      </c>
      <c r="AD532" s="108">
        <v>5.0</v>
      </c>
    </row>
    <row r="533">
      <c r="A533" s="11">
        <v>72.0</v>
      </c>
      <c r="B533" s="11">
        <v>9.0</v>
      </c>
      <c r="C533" s="11">
        <v>2.0</v>
      </c>
      <c r="D533" s="17">
        <v>53.0</v>
      </c>
      <c r="E533" s="108">
        <v>0.0</v>
      </c>
      <c r="F533" s="109">
        <v>58230.29</v>
      </c>
      <c r="G533" s="109">
        <v>-87048.8</v>
      </c>
      <c r="H533" s="109">
        <v>-36970.51</v>
      </c>
      <c r="I533" s="109">
        <v>-58345.89</v>
      </c>
      <c r="J533" s="109">
        <v>62050.68</v>
      </c>
      <c r="K533" s="109">
        <v>-98387.18</v>
      </c>
      <c r="L533" s="109">
        <v>83619.32</v>
      </c>
      <c r="M533" s="109">
        <v>-23569.26</v>
      </c>
      <c r="N533" s="110">
        <v>61713.0</v>
      </c>
      <c r="O533" s="110">
        <v>61043.0</v>
      </c>
      <c r="P533" s="110">
        <v>52423.0</v>
      </c>
      <c r="Q533" s="110">
        <v>63043.0</v>
      </c>
      <c r="R533" s="50">
        <v>31313.0</v>
      </c>
      <c r="S533" s="111">
        <v>52.0</v>
      </c>
      <c r="T533" s="112">
        <v>23.0</v>
      </c>
      <c r="U533" s="24" t="s">
        <v>601</v>
      </c>
      <c r="V533" s="11" t="s">
        <v>4036</v>
      </c>
      <c r="W533" s="108">
        <v>9.0</v>
      </c>
      <c r="X533" s="113">
        <v>101923.0</v>
      </c>
      <c r="Y533" s="113">
        <v>22917.0</v>
      </c>
      <c r="Z533" s="11">
        <v>199.0</v>
      </c>
      <c r="AA533" s="113">
        <v>11018.0</v>
      </c>
      <c r="AB533" s="109">
        <v>-26539.25</v>
      </c>
      <c r="AC533" s="113">
        <v>72913.0</v>
      </c>
      <c r="AD533" s="108">
        <v>8.0</v>
      </c>
    </row>
    <row r="534">
      <c r="A534" s="11">
        <v>31.0</v>
      </c>
      <c r="B534" s="11">
        <v>9.0</v>
      </c>
      <c r="C534" s="11">
        <v>8.0</v>
      </c>
      <c r="D534" s="17">
        <v>40.0</v>
      </c>
      <c r="E534" s="108">
        <v>9.0</v>
      </c>
      <c r="F534" s="109">
        <v>29819.61</v>
      </c>
      <c r="G534" s="109">
        <v>61846.61</v>
      </c>
      <c r="H534" s="109">
        <v>75076.82</v>
      </c>
      <c r="I534" s="109">
        <v>87946.82</v>
      </c>
      <c r="J534" s="109">
        <v>41338.27</v>
      </c>
      <c r="K534" s="109">
        <v>65188.59</v>
      </c>
      <c r="L534" s="109">
        <v>41746.87</v>
      </c>
      <c r="M534" s="109">
        <v>-16228.15</v>
      </c>
      <c r="N534" s="110">
        <v>100112.0</v>
      </c>
      <c r="O534" s="110">
        <v>92632.0</v>
      </c>
      <c r="P534" s="110">
        <v>50723.0</v>
      </c>
      <c r="Q534" s="110">
        <v>93032.0</v>
      </c>
      <c r="R534" s="50">
        <v>21918.0</v>
      </c>
      <c r="S534" s="111">
        <v>53.0</v>
      </c>
      <c r="T534" s="112">
        <v>88.0</v>
      </c>
      <c r="U534" s="24" t="s">
        <v>48</v>
      </c>
      <c r="V534" s="11" t="s">
        <v>4008</v>
      </c>
      <c r="W534" s="108">
        <v>8.0</v>
      </c>
      <c r="X534" s="113">
        <v>60313.0</v>
      </c>
      <c r="Y534" s="113">
        <v>40323.0</v>
      </c>
      <c r="Z534" s="11">
        <v>137.0</v>
      </c>
      <c r="AA534" s="113">
        <v>31923.0</v>
      </c>
      <c r="AB534" s="109">
        <v>52458.72</v>
      </c>
      <c r="AC534" s="113">
        <v>72820.0</v>
      </c>
      <c r="AD534" s="108">
        <v>7.0</v>
      </c>
    </row>
    <row r="535">
      <c r="A535" s="11">
        <v>72.0</v>
      </c>
      <c r="B535" s="11">
        <v>9.0</v>
      </c>
      <c r="C535" s="11">
        <v>5.0</v>
      </c>
      <c r="D535" s="17">
        <v>30.0</v>
      </c>
      <c r="E535" s="108">
        <v>3.0</v>
      </c>
      <c r="F535" s="109">
        <v>-46986.36</v>
      </c>
      <c r="G535" s="109">
        <v>69282.96</v>
      </c>
      <c r="H535" s="109">
        <v>49914.43</v>
      </c>
      <c r="I535" s="109">
        <v>45779.95</v>
      </c>
      <c r="J535" s="109">
        <v>-89630.6</v>
      </c>
      <c r="K535" s="109">
        <v>77523.21</v>
      </c>
      <c r="L535" s="109">
        <v>12954.48</v>
      </c>
      <c r="M535" s="109">
        <v>-65300.49</v>
      </c>
      <c r="N535" s="110">
        <v>121413.0</v>
      </c>
      <c r="O535" s="110">
        <v>120743.0</v>
      </c>
      <c r="P535" s="110">
        <v>52923.0</v>
      </c>
      <c r="Q535" s="110">
        <v>123142.0</v>
      </c>
      <c r="R535" s="50">
        <v>12516.0</v>
      </c>
      <c r="S535" s="111">
        <v>50.0</v>
      </c>
      <c r="T535" s="112">
        <v>51.0</v>
      </c>
      <c r="U535" s="24" t="s">
        <v>48</v>
      </c>
      <c r="V535" s="11" t="s">
        <v>4014</v>
      </c>
      <c r="W535" s="108">
        <v>3.0</v>
      </c>
      <c r="X535" s="113">
        <v>70321.0</v>
      </c>
      <c r="Y535" s="113">
        <v>51221.0</v>
      </c>
      <c r="Z535" s="11">
        <v>144.0</v>
      </c>
      <c r="AA535" s="113">
        <v>10618.0</v>
      </c>
      <c r="AB535" s="109">
        <v>22592.57</v>
      </c>
      <c r="AC535" s="113">
        <v>72813.0</v>
      </c>
      <c r="AD535" s="108">
        <v>7.0</v>
      </c>
    </row>
    <row r="536">
      <c r="A536" s="11">
        <v>11.0</v>
      </c>
      <c r="B536" s="11">
        <v>5.0</v>
      </c>
      <c r="C536" s="11">
        <v>2.0</v>
      </c>
      <c r="D536" s="17">
        <v>89.0</v>
      </c>
      <c r="E536" s="108">
        <v>1.0</v>
      </c>
      <c r="F536" s="109">
        <v>-29415.04</v>
      </c>
      <c r="G536" s="109">
        <v>37428.87</v>
      </c>
      <c r="H536" s="109">
        <v>-24880.17</v>
      </c>
      <c r="I536" s="109">
        <v>91662.35</v>
      </c>
      <c r="J536" s="109">
        <v>6335.33</v>
      </c>
      <c r="K536" s="109">
        <v>-15955.42</v>
      </c>
      <c r="L536" s="109">
        <v>-24768.35</v>
      </c>
      <c r="M536" s="109">
        <v>98862.52</v>
      </c>
      <c r="N536" s="110">
        <v>80814.0</v>
      </c>
      <c r="O536" s="110">
        <v>80524.0</v>
      </c>
      <c r="P536" s="110">
        <v>51323.0</v>
      </c>
      <c r="Q536" s="110">
        <v>83124.0</v>
      </c>
      <c r="R536" s="50">
        <v>20421.0</v>
      </c>
      <c r="S536" s="111">
        <v>55.0</v>
      </c>
      <c r="T536" s="112">
        <v>61.0</v>
      </c>
      <c r="U536" s="24" t="s">
        <v>31</v>
      </c>
      <c r="V536" s="11" t="s">
        <v>4075</v>
      </c>
      <c r="W536" s="108">
        <v>1.0</v>
      </c>
      <c r="X536" s="113">
        <v>111117.0</v>
      </c>
      <c r="Y536" s="113">
        <v>100418.0</v>
      </c>
      <c r="Z536" s="11">
        <v>107.0</v>
      </c>
      <c r="AA536" s="113">
        <v>12913.0</v>
      </c>
      <c r="AB536" s="109">
        <v>-80331.66</v>
      </c>
      <c r="AC536" s="113">
        <v>20918.0</v>
      </c>
      <c r="AD536" s="108">
        <v>6.0</v>
      </c>
    </row>
    <row r="537">
      <c r="A537" s="11">
        <v>11.0</v>
      </c>
      <c r="B537" s="11">
        <v>5.0</v>
      </c>
      <c r="C537" s="11">
        <v>7.0</v>
      </c>
      <c r="D537" s="17">
        <v>28.0</v>
      </c>
      <c r="E537" s="108">
        <v>5.0</v>
      </c>
      <c r="F537" s="109">
        <v>98285.75</v>
      </c>
      <c r="G537" s="109">
        <v>-25864.82</v>
      </c>
      <c r="H537" s="109">
        <v>-92974.24</v>
      </c>
      <c r="I537" s="109">
        <v>86756.35</v>
      </c>
      <c r="J537" s="109">
        <v>-68768.02</v>
      </c>
      <c r="K537" s="109">
        <v>66245.74</v>
      </c>
      <c r="L537" s="109">
        <v>68659.19</v>
      </c>
      <c r="M537" s="109">
        <v>41332.61</v>
      </c>
      <c r="N537" s="110">
        <v>100312.0</v>
      </c>
      <c r="O537" s="110">
        <v>92832.0</v>
      </c>
      <c r="P537" s="110">
        <v>52523.0</v>
      </c>
      <c r="Q537" s="110">
        <v>93032.0</v>
      </c>
      <c r="R537" s="50">
        <v>21717.0</v>
      </c>
      <c r="S537" s="111">
        <v>53.0</v>
      </c>
      <c r="T537" s="112">
        <v>1.0</v>
      </c>
      <c r="U537" s="24" t="s">
        <v>603</v>
      </c>
      <c r="V537" s="11" t="s">
        <v>4076</v>
      </c>
      <c r="W537" s="108">
        <v>1.0</v>
      </c>
      <c r="X537" s="113">
        <v>60413.0</v>
      </c>
      <c r="Y537" s="113">
        <v>61219.0</v>
      </c>
      <c r="Z537" s="11">
        <v>189.0</v>
      </c>
      <c r="AA537" s="113">
        <v>110621.0</v>
      </c>
      <c r="AB537" s="109">
        <v>-81436.62</v>
      </c>
      <c r="AC537" s="113">
        <v>61916.0</v>
      </c>
      <c r="AD537" s="108">
        <v>8.0</v>
      </c>
    </row>
    <row r="538">
      <c r="A538" s="11">
        <v>93.0</v>
      </c>
      <c r="B538" s="11">
        <v>5.0</v>
      </c>
      <c r="C538" s="11">
        <v>3.0</v>
      </c>
      <c r="D538" s="17">
        <v>91.0</v>
      </c>
      <c r="E538" s="108">
        <v>2.0</v>
      </c>
      <c r="F538" s="109">
        <v>70312.0</v>
      </c>
      <c r="G538" s="109">
        <v>-56495.37</v>
      </c>
      <c r="H538" s="109">
        <v>-91889.91</v>
      </c>
      <c r="I538" s="109">
        <v>-77029.19</v>
      </c>
      <c r="J538" s="109">
        <v>-71188.58</v>
      </c>
      <c r="K538" s="109">
        <v>-58586.49</v>
      </c>
      <c r="L538" s="109">
        <v>-79445.85</v>
      </c>
      <c r="M538" s="109">
        <v>51668.75</v>
      </c>
      <c r="N538" s="110">
        <v>121712.0</v>
      </c>
      <c r="O538" s="110">
        <v>121232.0</v>
      </c>
      <c r="P538" s="110">
        <v>50923.0</v>
      </c>
      <c r="Q538" s="110">
        <v>123131.0</v>
      </c>
      <c r="R538" s="50">
        <v>81722.0</v>
      </c>
      <c r="S538" s="111">
        <v>52.0</v>
      </c>
      <c r="T538" s="112">
        <v>68.0</v>
      </c>
      <c r="U538" s="24" t="s">
        <v>48</v>
      </c>
      <c r="V538" s="11" t="s">
        <v>3884</v>
      </c>
      <c r="W538" s="108">
        <v>5.0</v>
      </c>
      <c r="X538" s="113">
        <v>91622.0</v>
      </c>
      <c r="Y538" s="113">
        <v>21122.0</v>
      </c>
      <c r="Z538" s="11">
        <v>117.0</v>
      </c>
      <c r="AA538" s="113">
        <v>82518.0</v>
      </c>
      <c r="AB538" s="109">
        <v>-33520.58</v>
      </c>
      <c r="AC538" s="113">
        <v>70222.0</v>
      </c>
      <c r="AD538" s="108">
        <v>4.0</v>
      </c>
    </row>
    <row r="539">
      <c r="A539" s="11">
        <v>93.0</v>
      </c>
      <c r="B539" s="11">
        <v>5.0</v>
      </c>
      <c r="C539" s="11">
        <v>4.0</v>
      </c>
      <c r="D539" s="17">
        <v>54.0</v>
      </c>
      <c r="E539" s="108">
        <v>6.0</v>
      </c>
      <c r="F539" s="109">
        <v>70506.49</v>
      </c>
      <c r="G539" s="109">
        <v>30849.67</v>
      </c>
      <c r="H539" s="109">
        <v>14182.91</v>
      </c>
      <c r="I539" s="109">
        <v>82871.12</v>
      </c>
      <c r="J539" s="109">
        <v>-72508.65</v>
      </c>
      <c r="K539" s="109">
        <v>-88485.05</v>
      </c>
      <c r="L539" s="109">
        <v>19587.29</v>
      </c>
      <c r="M539" s="109">
        <v>-73142.38</v>
      </c>
      <c r="N539" s="110">
        <v>111813.0</v>
      </c>
      <c r="O539" s="110">
        <v>111333.0</v>
      </c>
      <c r="P539" s="110">
        <v>53023.0</v>
      </c>
      <c r="Q539" s="110">
        <v>113033.0</v>
      </c>
      <c r="R539" s="50">
        <v>10514.0</v>
      </c>
      <c r="S539" s="111">
        <v>52.0</v>
      </c>
      <c r="T539" s="112">
        <v>56.0</v>
      </c>
      <c r="U539" s="24" t="s">
        <v>31</v>
      </c>
      <c r="V539" s="11" t="s">
        <v>3881</v>
      </c>
      <c r="W539" s="108">
        <v>2.0</v>
      </c>
      <c r="X539" s="113">
        <v>60217.0</v>
      </c>
      <c r="Y539" s="113">
        <v>70821.0</v>
      </c>
      <c r="Z539" s="11">
        <v>188.0</v>
      </c>
      <c r="AA539" s="113">
        <v>52316.0</v>
      </c>
      <c r="AB539" s="109">
        <v>-71014.56</v>
      </c>
      <c r="AC539" s="113">
        <v>111222.0</v>
      </c>
      <c r="AD539" s="108">
        <v>6.0</v>
      </c>
    </row>
    <row r="540">
      <c r="A540" s="11">
        <v>32.0</v>
      </c>
      <c r="B540" s="11">
        <v>1.0</v>
      </c>
      <c r="C540" s="11">
        <v>1.0</v>
      </c>
      <c r="D540" s="17">
        <v>80.0</v>
      </c>
      <c r="E540" s="108">
        <v>0.0</v>
      </c>
      <c r="F540" s="109">
        <v>16141.9</v>
      </c>
      <c r="G540" s="109">
        <v>-36649.47</v>
      </c>
      <c r="H540" s="109">
        <v>54269.0</v>
      </c>
      <c r="I540" s="109">
        <v>-34235.22</v>
      </c>
      <c r="J540" s="109">
        <v>46001.04</v>
      </c>
      <c r="K540" s="109">
        <v>12700.61</v>
      </c>
      <c r="L540" s="109">
        <v>34482.87</v>
      </c>
      <c r="M540" s="109">
        <v>5331.04</v>
      </c>
      <c r="N540" s="110">
        <v>11810.0</v>
      </c>
      <c r="O540" s="110">
        <v>11330.0</v>
      </c>
      <c r="P540" s="110">
        <v>52323.0</v>
      </c>
      <c r="Q540" s="110">
        <v>13130.0</v>
      </c>
      <c r="R540" s="50">
        <v>90516.0</v>
      </c>
      <c r="S540" s="111">
        <v>54.0</v>
      </c>
      <c r="T540" s="112">
        <v>89.0</v>
      </c>
      <c r="U540" s="24" t="s">
        <v>31</v>
      </c>
      <c r="V540" s="11" t="s">
        <v>4028</v>
      </c>
      <c r="W540" s="108">
        <v>7.0</v>
      </c>
      <c r="X540" s="113">
        <v>22521.0</v>
      </c>
      <c r="Y540" s="113">
        <v>91223.0</v>
      </c>
      <c r="Z540" s="11">
        <v>199.0</v>
      </c>
      <c r="AA540" s="113">
        <v>51022.0</v>
      </c>
      <c r="AB540" s="109">
        <v>-65624.28</v>
      </c>
      <c r="AC540" s="113">
        <v>42719.0</v>
      </c>
      <c r="AD540" s="108">
        <v>8.0</v>
      </c>
    </row>
    <row r="541">
      <c r="A541" s="11">
        <v>11.0</v>
      </c>
      <c r="B541" s="11">
        <v>6.0</v>
      </c>
      <c r="C541" s="11">
        <v>4.0</v>
      </c>
      <c r="D541" s="17">
        <v>56.0</v>
      </c>
      <c r="E541" s="108">
        <v>9.0</v>
      </c>
      <c r="F541" s="109">
        <v>51434.5</v>
      </c>
      <c r="G541" s="109">
        <v>94403.22</v>
      </c>
      <c r="H541" s="109">
        <v>17982.38</v>
      </c>
      <c r="I541" s="109">
        <v>-65927.9</v>
      </c>
      <c r="J541" s="109">
        <v>-23258.62</v>
      </c>
      <c r="K541" s="109">
        <v>-1426.7</v>
      </c>
      <c r="L541" s="109">
        <v>406.81</v>
      </c>
      <c r="M541" s="109">
        <v>98467.18</v>
      </c>
      <c r="N541" s="110">
        <v>92513.0</v>
      </c>
      <c r="O541" s="110">
        <v>91843.0</v>
      </c>
      <c r="P541" s="110">
        <v>50223.0</v>
      </c>
      <c r="Q541" s="110">
        <v>93043.0</v>
      </c>
      <c r="R541" s="50">
        <v>10722.0</v>
      </c>
      <c r="S541" s="111">
        <v>53.0</v>
      </c>
      <c r="T541" s="112">
        <v>26.0</v>
      </c>
      <c r="U541" s="24" t="s">
        <v>31</v>
      </c>
      <c r="V541" s="11" t="s">
        <v>3982</v>
      </c>
      <c r="W541" s="108">
        <v>2.0</v>
      </c>
      <c r="X541" s="113">
        <v>22918.0</v>
      </c>
      <c r="Y541" s="113">
        <v>101815.0</v>
      </c>
      <c r="Z541" s="11">
        <v>199.0</v>
      </c>
      <c r="AA541" s="113">
        <v>42617.0</v>
      </c>
      <c r="AB541" s="109">
        <v>56049.47</v>
      </c>
      <c r="AC541" s="113">
        <v>22813.0</v>
      </c>
      <c r="AD541" s="108">
        <v>3.0</v>
      </c>
    </row>
    <row r="542">
      <c r="A542" s="11">
        <v>93.0</v>
      </c>
      <c r="B542" s="11">
        <v>6.0</v>
      </c>
      <c r="C542" s="11">
        <v>1.0</v>
      </c>
      <c r="D542" s="17">
        <v>52.0</v>
      </c>
      <c r="E542" s="108">
        <v>7.0</v>
      </c>
      <c r="F542" s="109">
        <v>-25441.74</v>
      </c>
      <c r="G542" s="109">
        <v>-71856.7</v>
      </c>
      <c r="H542" s="109">
        <v>-88620.13</v>
      </c>
      <c r="I542" s="109">
        <v>-33609.21</v>
      </c>
      <c r="J542" s="109">
        <v>92875.26</v>
      </c>
      <c r="K542" s="109">
        <v>543.78</v>
      </c>
      <c r="L542" s="109">
        <v>-34366.4</v>
      </c>
      <c r="M542" s="109">
        <v>24600.58</v>
      </c>
      <c r="N542" s="110">
        <v>40611.0</v>
      </c>
      <c r="O542" s="110">
        <v>40131.0</v>
      </c>
      <c r="P542" s="110">
        <v>52923.0</v>
      </c>
      <c r="Q542" s="110">
        <v>43031.0</v>
      </c>
      <c r="R542" s="50">
        <v>111220.0</v>
      </c>
      <c r="S542" s="111">
        <v>51.0</v>
      </c>
      <c r="T542" s="112">
        <v>96.0</v>
      </c>
      <c r="U542" s="24" t="s">
        <v>31</v>
      </c>
      <c r="V542" s="11" t="s">
        <v>4065</v>
      </c>
      <c r="W542" s="108">
        <v>9.0</v>
      </c>
      <c r="X542" s="113">
        <v>22122.0</v>
      </c>
      <c r="Y542" s="113">
        <v>111822.0</v>
      </c>
      <c r="Z542" s="11">
        <v>130.0</v>
      </c>
      <c r="AA542" s="113">
        <v>32520.0</v>
      </c>
      <c r="AB542" s="109">
        <v>15832.01</v>
      </c>
      <c r="AC542" s="113">
        <v>102017.0</v>
      </c>
      <c r="AD542" s="108">
        <v>5.0</v>
      </c>
    </row>
    <row r="543">
      <c r="A543" s="11">
        <v>73.0</v>
      </c>
      <c r="B543" s="11">
        <v>1.0</v>
      </c>
      <c r="C543" s="11">
        <v>8.0</v>
      </c>
      <c r="D543" s="17">
        <v>97.0</v>
      </c>
      <c r="E543" s="108">
        <v>8.0</v>
      </c>
      <c r="F543" s="109">
        <v>84458.07</v>
      </c>
      <c r="G543" s="109">
        <v>-94103.06</v>
      </c>
      <c r="H543" s="109">
        <v>-56060.26</v>
      </c>
      <c r="I543" s="109">
        <v>63475.29</v>
      </c>
      <c r="J543" s="109">
        <v>7702.48</v>
      </c>
      <c r="K543" s="109">
        <v>14246.1</v>
      </c>
      <c r="L543" s="109">
        <v>-38625.47</v>
      </c>
      <c r="M543" s="109">
        <v>18072.32</v>
      </c>
      <c r="N543" s="110">
        <v>40513.0</v>
      </c>
      <c r="O543" s="110">
        <v>40323.0</v>
      </c>
      <c r="P543" s="110">
        <v>50823.0</v>
      </c>
      <c r="Q543" s="110">
        <v>43023.0</v>
      </c>
      <c r="R543" s="50">
        <v>32614.0</v>
      </c>
      <c r="S543" s="111">
        <v>54.0</v>
      </c>
      <c r="T543" s="112">
        <v>88.0</v>
      </c>
      <c r="U543" s="24" t="s">
        <v>31</v>
      </c>
      <c r="V543" s="11" t="s">
        <v>3918</v>
      </c>
      <c r="W543" s="108">
        <v>9.0</v>
      </c>
      <c r="X543" s="113">
        <v>80714.0</v>
      </c>
      <c r="Y543" s="113">
        <v>20415.0</v>
      </c>
      <c r="Z543" s="11">
        <v>122.0</v>
      </c>
      <c r="AA543" s="113">
        <v>92218.0</v>
      </c>
      <c r="AB543" s="109">
        <v>-96198.51</v>
      </c>
      <c r="AC543" s="113">
        <v>121613.0</v>
      </c>
      <c r="AD543" s="108">
        <v>0.0</v>
      </c>
    </row>
    <row r="544">
      <c r="A544" s="11">
        <v>93.0</v>
      </c>
      <c r="B544" s="11">
        <v>6.0</v>
      </c>
      <c r="C544" s="11">
        <v>7.0</v>
      </c>
      <c r="D544" s="17">
        <v>56.0</v>
      </c>
      <c r="E544" s="108">
        <v>2.0</v>
      </c>
      <c r="F544" s="109">
        <v>-24240.64</v>
      </c>
      <c r="G544" s="109">
        <v>-3485.26</v>
      </c>
      <c r="H544" s="109">
        <v>7047.18</v>
      </c>
      <c r="I544" s="109">
        <v>49417.59</v>
      </c>
      <c r="J544" s="109">
        <v>-73662.17</v>
      </c>
      <c r="K544" s="109">
        <v>14263.26</v>
      </c>
      <c r="L544" s="109">
        <v>36973.89</v>
      </c>
      <c r="M544" s="109">
        <v>-36093.85</v>
      </c>
      <c r="N544" s="110">
        <v>53013.0</v>
      </c>
      <c r="O544" s="110">
        <v>52343.0</v>
      </c>
      <c r="P544" s="110">
        <v>51023.0</v>
      </c>
      <c r="Q544" s="110">
        <v>53143.0</v>
      </c>
      <c r="R544" s="50">
        <v>20521.0</v>
      </c>
      <c r="S544" s="111">
        <v>50.0</v>
      </c>
      <c r="T544" s="112">
        <v>6.0</v>
      </c>
      <c r="U544" s="24" t="s">
        <v>31</v>
      </c>
      <c r="V544" s="11" t="s">
        <v>4020</v>
      </c>
      <c r="W544" s="108">
        <v>5.0</v>
      </c>
      <c r="X544" s="113">
        <v>42813.0</v>
      </c>
      <c r="Y544" s="113">
        <v>110214.0</v>
      </c>
      <c r="Z544" s="11">
        <v>178.0</v>
      </c>
      <c r="AA544" s="113">
        <v>103022.0</v>
      </c>
      <c r="AB544" s="109">
        <v>98116.37</v>
      </c>
      <c r="AC544" s="113">
        <v>122417.0</v>
      </c>
      <c r="AD544" s="108">
        <v>7.0</v>
      </c>
    </row>
    <row r="545">
      <c r="A545" s="11">
        <v>93.0</v>
      </c>
      <c r="B545" s="11">
        <v>6.0</v>
      </c>
      <c r="C545" s="11">
        <v>8.0</v>
      </c>
      <c r="D545" s="17">
        <v>56.0</v>
      </c>
      <c r="E545" s="108">
        <v>9.0</v>
      </c>
      <c r="F545" s="109">
        <v>56909.36</v>
      </c>
      <c r="G545" s="109">
        <v>1482.42</v>
      </c>
      <c r="H545" s="109">
        <v>35330.45</v>
      </c>
      <c r="I545" s="109">
        <v>-96876.03</v>
      </c>
      <c r="J545" s="109">
        <v>21038.21</v>
      </c>
      <c r="K545" s="109">
        <v>-46283.87</v>
      </c>
      <c r="L545" s="109">
        <v>28245.81</v>
      </c>
      <c r="M545" s="109">
        <v>48850.86</v>
      </c>
      <c r="N545" s="110">
        <v>40611.0</v>
      </c>
      <c r="O545" s="110">
        <v>40321.0</v>
      </c>
      <c r="P545" s="110">
        <v>50823.0</v>
      </c>
      <c r="Q545" s="110">
        <v>43021.0</v>
      </c>
      <c r="R545" s="50">
        <v>111814.0</v>
      </c>
      <c r="S545" s="111">
        <v>51.0</v>
      </c>
      <c r="T545" s="112">
        <v>7.0</v>
      </c>
      <c r="U545" s="24" t="s">
        <v>39</v>
      </c>
      <c r="V545" s="11" t="s">
        <v>3947</v>
      </c>
      <c r="W545" s="108">
        <v>8.0</v>
      </c>
      <c r="X545" s="113">
        <v>21418.0</v>
      </c>
      <c r="Y545" s="113">
        <v>42423.0</v>
      </c>
      <c r="Z545" s="11">
        <v>180.0</v>
      </c>
      <c r="AA545" s="113">
        <v>83016.0</v>
      </c>
      <c r="AB545" s="109">
        <v>-34175.87</v>
      </c>
      <c r="AC545" s="113">
        <v>12017.0</v>
      </c>
      <c r="AD545" s="108">
        <v>3.0</v>
      </c>
    </row>
    <row r="546">
      <c r="A546" s="11">
        <v>32.0</v>
      </c>
      <c r="B546" s="11">
        <v>2.0</v>
      </c>
      <c r="C546" s="11">
        <v>6.0</v>
      </c>
      <c r="D546" s="17">
        <v>18.0</v>
      </c>
      <c r="E546" s="108">
        <v>1.0</v>
      </c>
      <c r="F546" s="109">
        <v>68038.11</v>
      </c>
      <c r="G546" s="109">
        <v>-2485.99</v>
      </c>
      <c r="H546" s="109">
        <v>13234.19</v>
      </c>
      <c r="I546" s="109">
        <v>-23379.5</v>
      </c>
      <c r="J546" s="109">
        <v>92093.85</v>
      </c>
      <c r="K546" s="109">
        <v>46610.15</v>
      </c>
      <c r="L546" s="109">
        <v>-76663.96</v>
      </c>
      <c r="M546" s="109">
        <v>72325.26</v>
      </c>
      <c r="N546" s="110">
        <v>112212.0</v>
      </c>
      <c r="O546" s="110">
        <v>111732.0</v>
      </c>
      <c r="P546" s="110">
        <v>50123.0</v>
      </c>
      <c r="Q546" s="110">
        <v>113032.0</v>
      </c>
      <c r="R546" s="50">
        <v>10321.0</v>
      </c>
      <c r="S546" s="111">
        <v>52.0</v>
      </c>
      <c r="T546" s="112">
        <v>22.0</v>
      </c>
      <c r="U546" s="24" t="s">
        <v>601</v>
      </c>
      <c r="V546" s="11" t="s">
        <v>4009</v>
      </c>
      <c r="W546" s="108">
        <v>1.0</v>
      </c>
      <c r="X546" s="113">
        <v>12222.0</v>
      </c>
      <c r="Y546" s="113">
        <v>62820.0</v>
      </c>
      <c r="Z546" s="11">
        <v>199.0</v>
      </c>
      <c r="AA546" s="113">
        <v>120713.0</v>
      </c>
      <c r="AB546" s="109">
        <v>-9426.16</v>
      </c>
      <c r="AC546" s="113">
        <v>90617.0</v>
      </c>
      <c r="AD546" s="108">
        <v>1.0</v>
      </c>
    </row>
    <row r="547">
      <c r="A547" s="11">
        <v>32.0</v>
      </c>
      <c r="B547" s="11">
        <v>3.0</v>
      </c>
      <c r="C547" s="11">
        <v>2.0</v>
      </c>
      <c r="D547" s="17">
        <v>59.0</v>
      </c>
      <c r="E547" s="108">
        <v>1.0</v>
      </c>
      <c r="F547" s="109">
        <v>92879.84</v>
      </c>
      <c r="G547" s="109">
        <v>-20800.86</v>
      </c>
      <c r="H547" s="109">
        <v>19022.97</v>
      </c>
      <c r="I547" s="109">
        <v>56487.98</v>
      </c>
      <c r="J547" s="109">
        <v>-507.98</v>
      </c>
      <c r="K547" s="109">
        <v>91705.49</v>
      </c>
      <c r="L547" s="109">
        <v>-26053.37</v>
      </c>
      <c r="M547" s="109">
        <v>75190.39</v>
      </c>
      <c r="N547" s="110">
        <v>121710.0</v>
      </c>
      <c r="O547" s="110">
        <v>121420.0</v>
      </c>
      <c r="P547" s="110">
        <v>51923.0</v>
      </c>
      <c r="Q547" s="110">
        <v>123119.0</v>
      </c>
      <c r="R547" s="50">
        <v>21818.0</v>
      </c>
      <c r="S547" s="111">
        <v>53.0</v>
      </c>
      <c r="T547" s="112">
        <v>46.0</v>
      </c>
      <c r="U547" s="24" t="s">
        <v>601</v>
      </c>
      <c r="V547" s="11" t="s">
        <v>3946</v>
      </c>
      <c r="W547" s="108">
        <v>2.0</v>
      </c>
      <c r="X547" s="113">
        <v>62821.0</v>
      </c>
      <c r="Y547" s="113">
        <v>80920.0</v>
      </c>
      <c r="Z547" s="11">
        <v>195.0</v>
      </c>
      <c r="AA547" s="113">
        <v>80915.0</v>
      </c>
      <c r="AB547" s="109">
        <v>95477.08</v>
      </c>
      <c r="AC547" s="113">
        <v>12823.0</v>
      </c>
      <c r="AD547" s="108">
        <v>1.0</v>
      </c>
    </row>
    <row r="548">
      <c r="A548" s="11">
        <v>11.0</v>
      </c>
      <c r="B548" s="11">
        <v>8.0</v>
      </c>
      <c r="C548" s="11">
        <v>5.0</v>
      </c>
      <c r="D548" s="17">
        <v>41.0</v>
      </c>
      <c r="E548" s="108">
        <v>5.0</v>
      </c>
      <c r="F548" s="109">
        <v>-57300.91</v>
      </c>
      <c r="G548" s="109">
        <v>85043.9</v>
      </c>
      <c r="H548" s="109">
        <v>-64983.37</v>
      </c>
      <c r="I548" s="109">
        <v>63804.61</v>
      </c>
      <c r="J548" s="109">
        <v>59981.77</v>
      </c>
      <c r="K548" s="109">
        <v>-57110.72</v>
      </c>
      <c r="L548" s="109">
        <v>44586.3</v>
      </c>
      <c r="M548" s="109">
        <v>-50798.58</v>
      </c>
      <c r="N548" s="110">
        <v>12810.0</v>
      </c>
      <c r="O548" s="110">
        <v>12620.0</v>
      </c>
      <c r="P548" s="110">
        <v>51123.0</v>
      </c>
      <c r="Q548" s="110">
        <v>13120.0</v>
      </c>
      <c r="R548" s="50">
        <v>102617.0</v>
      </c>
      <c r="S548" s="111">
        <v>52.0</v>
      </c>
      <c r="T548" s="112">
        <v>63.0</v>
      </c>
      <c r="U548" s="24" t="s">
        <v>601</v>
      </c>
      <c r="V548" s="11" t="s">
        <v>4050</v>
      </c>
      <c r="W548" s="108">
        <v>9.0</v>
      </c>
      <c r="X548" s="113">
        <v>30522.0</v>
      </c>
      <c r="Y548" s="113">
        <v>90621.0</v>
      </c>
      <c r="Z548" s="11">
        <v>131.0</v>
      </c>
      <c r="AA548" s="113">
        <v>92518.0</v>
      </c>
      <c r="AB548" s="109">
        <v>8882.51</v>
      </c>
      <c r="AC548" s="113">
        <v>50922.0</v>
      </c>
      <c r="AD548" s="108">
        <v>1.0</v>
      </c>
    </row>
    <row r="549">
      <c r="A549" s="11">
        <v>32.0</v>
      </c>
      <c r="B549" s="11">
        <v>3.0</v>
      </c>
      <c r="C549" s="11">
        <v>5.0</v>
      </c>
      <c r="D549" s="17">
        <v>83.0</v>
      </c>
      <c r="E549" s="108">
        <v>5.0</v>
      </c>
      <c r="F549" s="109">
        <v>8079.8</v>
      </c>
      <c r="G549" s="109">
        <v>-92662.12</v>
      </c>
      <c r="H549" s="109">
        <v>-31460.6</v>
      </c>
      <c r="I549" s="109">
        <v>48949.02</v>
      </c>
      <c r="J549" s="109">
        <v>21169.2</v>
      </c>
      <c r="K549" s="109">
        <v>-23910.0</v>
      </c>
      <c r="L549" s="109">
        <v>-27499.68</v>
      </c>
      <c r="M549" s="109">
        <v>-86449.62</v>
      </c>
      <c r="N549" s="110">
        <v>22411.0</v>
      </c>
      <c r="O549" s="110">
        <v>21641.0</v>
      </c>
      <c r="P549" s="110">
        <v>51823.0</v>
      </c>
      <c r="Q549" s="110">
        <v>22841.0</v>
      </c>
      <c r="R549" s="50">
        <v>102019.0</v>
      </c>
      <c r="S549" s="111">
        <v>55.0</v>
      </c>
      <c r="T549" s="112">
        <v>50.0</v>
      </c>
      <c r="U549" s="24" t="s">
        <v>31</v>
      </c>
      <c r="V549" s="11" t="s">
        <v>3922</v>
      </c>
      <c r="W549" s="108">
        <v>2.0</v>
      </c>
      <c r="X549" s="113">
        <v>32118.0</v>
      </c>
      <c r="Y549" s="113">
        <v>62719.0</v>
      </c>
      <c r="Z549" s="11">
        <v>162.0</v>
      </c>
      <c r="AA549" s="113">
        <v>22120.0</v>
      </c>
      <c r="AB549" s="109">
        <v>-2267.52</v>
      </c>
      <c r="AC549" s="113">
        <v>51223.0</v>
      </c>
      <c r="AD549" s="108">
        <v>4.0</v>
      </c>
    </row>
    <row r="550">
      <c r="A550" s="11">
        <v>73.0</v>
      </c>
      <c r="B550" s="11">
        <v>3.0</v>
      </c>
      <c r="C550" s="11">
        <v>3.0</v>
      </c>
      <c r="D550" s="17">
        <v>49.0</v>
      </c>
      <c r="E550" s="108">
        <v>2.0</v>
      </c>
      <c r="F550" s="109">
        <v>-68978.27</v>
      </c>
      <c r="G550" s="109">
        <v>76924.94</v>
      </c>
      <c r="H550" s="109">
        <v>-21668.87</v>
      </c>
      <c r="I550" s="109">
        <v>-33141.38</v>
      </c>
      <c r="J550" s="109">
        <v>-77776.89</v>
      </c>
      <c r="K550" s="109">
        <v>-32906.58</v>
      </c>
      <c r="L550" s="109">
        <v>-66874.44</v>
      </c>
      <c r="M550" s="109">
        <v>-13563.31</v>
      </c>
      <c r="N550" s="110">
        <v>102414.0</v>
      </c>
      <c r="O550" s="110">
        <v>101644.0</v>
      </c>
      <c r="P550" s="110">
        <v>51723.0</v>
      </c>
      <c r="Q550" s="110">
        <v>103144.0</v>
      </c>
      <c r="R550" s="50">
        <v>70819.0</v>
      </c>
      <c r="S550" s="111">
        <v>54.0</v>
      </c>
      <c r="T550" s="112">
        <v>86.0</v>
      </c>
      <c r="U550" s="24" t="s">
        <v>39</v>
      </c>
      <c r="V550" s="11" t="s">
        <v>4075</v>
      </c>
      <c r="W550" s="108">
        <v>9.0</v>
      </c>
      <c r="X550" s="113">
        <v>90815.0</v>
      </c>
      <c r="Y550" s="113">
        <v>90822.0</v>
      </c>
      <c r="Z550" s="11">
        <v>111.0</v>
      </c>
      <c r="AA550" s="113">
        <v>10514.0</v>
      </c>
      <c r="AB550" s="109">
        <v>97025.8</v>
      </c>
      <c r="AC550" s="113">
        <v>91521.0</v>
      </c>
      <c r="AD550" s="108">
        <v>2.0</v>
      </c>
    </row>
    <row r="551">
      <c r="A551" s="11">
        <v>11.0</v>
      </c>
      <c r="B551" s="11">
        <v>8.0</v>
      </c>
      <c r="C551" s="11">
        <v>9.0</v>
      </c>
      <c r="D551" s="17">
        <v>36.0</v>
      </c>
      <c r="E551" s="108">
        <v>6.0</v>
      </c>
      <c r="F551" s="109">
        <v>44475.07</v>
      </c>
      <c r="G551" s="109">
        <v>3571.66</v>
      </c>
      <c r="H551" s="109">
        <v>5746.91</v>
      </c>
      <c r="I551" s="109">
        <v>86244.36</v>
      </c>
      <c r="J551" s="109">
        <v>-80842.69</v>
      </c>
      <c r="K551" s="109">
        <v>8351.07</v>
      </c>
      <c r="L551" s="109">
        <v>60529.28</v>
      </c>
      <c r="M551" s="109">
        <v>-34370.41</v>
      </c>
      <c r="N551" s="110">
        <v>70314.0</v>
      </c>
      <c r="O551" s="110">
        <v>62834.0</v>
      </c>
      <c r="P551" s="110">
        <v>50523.0</v>
      </c>
      <c r="Q551" s="110">
        <v>63034.0</v>
      </c>
      <c r="R551" s="50">
        <v>40121.0</v>
      </c>
      <c r="S551" s="111">
        <v>52.0</v>
      </c>
      <c r="T551" s="112">
        <v>63.0</v>
      </c>
      <c r="U551" s="24" t="s">
        <v>601</v>
      </c>
      <c r="V551" s="11" t="s">
        <v>3885</v>
      </c>
      <c r="W551" s="108">
        <v>8.0</v>
      </c>
      <c r="X551" s="113">
        <v>12415.0</v>
      </c>
      <c r="Y551" s="113">
        <v>111015.0</v>
      </c>
      <c r="Z551" s="11">
        <v>148.0</v>
      </c>
      <c r="AA551" s="113">
        <v>51320.0</v>
      </c>
      <c r="AB551" s="109">
        <v>57662.6</v>
      </c>
      <c r="AC551" s="113">
        <v>71013.0</v>
      </c>
      <c r="AD551" s="108">
        <v>6.0</v>
      </c>
    </row>
    <row r="552">
      <c r="A552" s="11">
        <v>52.0</v>
      </c>
      <c r="B552" s="11">
        <v>8.0</v>
      </c>
      <c r="C552" s="11">
        <v>9.0</v>
      </c>
      <c r="D552" s="17">
        <v>18.0</v>
      </c>
      <c r="E552" s="108">
        <v>3.0</v>
      </c>
      <c r="F552" s="109">
        <v>958.85</v>
      </c>
      <c r="G552" s="109">
        <v>2885.15</v>
      </c>
      <c r="H552" s="109">
        <v>-6720.92</v>
      </c>
      <c r="I552" s="109">
        <v>-65960.83</v>
      </c>
      <c r="J552" s="109">
        <v>59409.34</v>
      </c>
      <c r="K552" s="109">
        <v>56387.34</v>
      </c>
      <c r="L552" s="109">
        <v>-67946.78</v>
      </c>
      <c r="M552" s="109">
        <v>-10032.05</v>
      </c>
      <c r="N552" s="110">
        <v>71614.0</v>
      </c>
      <c r="O552" s="110">
        <v>71324.0</v>
      </c>
      <c r="P552" s="110">
        <v>51423.0</v>
      </c>
      <c r="Q552" s="110">
        <v>73124.0</v>
      </c>
      <c r="R552" s="50">
        <v>101719.0</v>
      </c>
      <c r="S552" s="111">
        <v>53.0</v>
      </c>
      <c r="T552" s="112">
        <v>8.0</v>
      </c>
      <c r="U552" s="24" t="s">
        <v>601</v>
      </c>
      <c r="V552" s="11" t="s">
        <v>3925</v>
      </c>
      <c r="W552" s="108">
        <v>5.0</v>
      </c>
      <c r="X552" s="113">
        <v>32016.0</v>
      </c>
      <c r="Y552" s="113">
        <v>82616.0</v>
      </c>
      <c r="Z552" s="11">
        <v>132.0</v>
      </c>
      <c r="AA552" s="113">
        <v>51018.0</v>
      </c>
      <c r="AB552" s="109">
        <v>21055.81</v>
      </c>
      <c r="AC552" s="113">
        <v>82421.0</v>
      </c>
      <c r="AD552" s="108">
        <v>3.0</v>
      </c>
    </row>
    <row r="553">
      <c r="A553" s="11">
        <v>11.0</v>
      </c>
      <c r="B553" s="11">
        <v>9.0</v>
      </c>
      <c r="C553" s="11">
        <v>4.0</v>
      </c>
      <c r="D553" s="17">
        <v>29.0</v>
      </c>
      <c r="E553" s="108">
        <v>4.0</v>
      </c>
      <c r="F553" s="109">
        <v>-47833.39</v>
      </c>
      <c r="G553" s="109">
        <v>-84828.15</v>
      </c>
      <c r="H553" s="109">
        <v>58522.21</v>
      </c>
      <c r="I553" s="109">
        <v>-73370.97</v>
      </c>
      <c r="J553" s="109">
        <v>96548.45</v>
      </c>
      <c r="K553" s="109">
        <v>31924.04</v>
      </c>
      <c r="L553" s="109">
        <v>32839.84</v>
      </c>
      <c r="M553" s="109">
        <v>14598.11</v>
      </c>
      <c r="N553" s="110">
        <v>110114.0</v>
      </c>
      <c r="O553" s="110">
        <v>102924.0</v>
      </c>
      <c r="P553" s="110">
        <v>51723.0</v>
      </c>
      <c r="Q553" s="110">
        <v>103124.0</v>
      </c>
      <c r="R553" s="50">
        <v>31417.0</v>
      </c>
      <c r="S553" s="111">
        <v>51.0</v>
      </c>
      <c r="T553" s="112">
        <v>89.0</v>
      </c>
      <c r="U553" s="24" t="s">
        <v>603</v>
      </c>
      <c r="V553" s="11" t="s">
        <v>3966</v>
      </c>
      <c r="W553" s="108">
        <v>3.0</v>
      </c>
      <c r="X553" s="113">
        <v>92617.0</v>
      </c>
      <c r="Y553" s="113">
        <v>111923.0</v>
      </c>
      <c r="Z553" s="11">
        <v>117.0</v>
      </c>
      <c r="AA553" s="113">
        <v>11519.0</v>
      </c>
      <c r="AB553" s="109">
        <v>22228.79</v>
      </c>
      <c r="AC553" s="113">
        <v>40618.0</v>
      </c>
      <c r="AD553" s="108">
        <v>9.0</v>
      </c>
    </row>
    <row r="554">
      <c r="A554" s="11">
        <v>32.0</v>
      </c>
      <c r="B554" s="11">
        <v>4.0</v>
      </c>
      <c r="C554" s="11">
        <v>3.0</v>
      </c>
      <c r="D554" s="17">
        <v>55.0</v>
      </c>
      <c r="E554" s="108">
        <v>8.0</v>
      </c>
      <c r="F554" s="109">
        <v>90814.46</v>
      </c>
      <c r="G554" s="109">
        <v>14315.88</v>
      </c>
      <c r="H554" s="109">
        <v>-96783.97</v>
      </c>
      <c r="I554" s="109">
        <v>48100.93</v>
      </c>
      <c r="J554" s="109">
        <v>3.91</v>
      </c>
      <c r="K554" s="109">
        <v>-4186.6</v>
      </c>
      <c r="L554" s="109">
        <v>79980.83</v>
      </c>
      <c r="M554" s="109">
        <v>-78292.86</v>
      </c>
      <c r="N554" s="110">
        <v>11710.0</v>
      </c>
      <c r="O554" s="110">
        <v>11520.0</v>
      </c>
      <c r="P554" s="110">
        <v>51023.0</v>
      </c>
      <c r="Q554" s="110">
        <v>13120.0</v>
      </c>
      <c r="R554" s="50">
        <v>102117.0</v>
      </c>
      <c r="S554" s="111">
        <v>50.0</v>
      </c>
      <c r="T554" s="112">
        <v>43.0</v>
      </c>
      <c r="U554" s="24" t="s">
        <v>601</v>
      </c>
      <c r="V554" s="11" t="s">
        <v>4062</v>
      </c>
      <c r="W554" s="108">
        <v>9.0</v>
      </c>
      <c r="X554" s="113">
        <v>81615.0</v>
      </c>
      <c r="Y554" s="113">
        <v>82521.0</v>
      </c>
      <c r="Z554" s="11">
        <v>163.0</v>
      </c>
      <c r="AA554" s="113">
        <v>120319.0</v>
      </c>
      <c r="AB554" s="109">
        <v>54959.16</v>
      </c>
      <c r="AC554" s="113">
        <v>100119.0</v>
      </c>
      <c r="AD554" s="108">
        <v>2.0</v>
      </c>
    </row>
    <row r="555">
      <c r="A555" s="11">
        <v>93.0</v>
      </c>
      <c r="B555" s="11">
        <v>8.0</v>
      </c>
      <c r="C555" s="11">
        <v>8.0</v>
      </c>
      <c r="D555" s="17">
        <v>14.0</v>
      </c>
      <c r="E555" s="108">
        <v>8.0</v>
      </c>
      <c r="F555" s="109">
        <v>11998.04</v>
      </c>
      <c r="G555" s="109">
        <v>-54872.79</v>
      </c>
      <c r="H555" s="109">
        <v>80238.91</v>
      </c>
      <c r="I555" s="109">
        <v>-44225.99</v>
      </c>
      <c r="J555" s="109">
        <v>98299.16</v>
      </c>
      <c r="K555" s="109">
        <v>63653.19</v>
      </c>
      <c r="L555" s="109">
        <v>-9231.29</v>
      </c>
      <c r="M555" s="109">
        <v>-80676.32</v>
      </c>
      <c r="N555" s="110">
        <v>80613.0</v>
      </c>
      <c r="O555" s="110">
        <v>80423.0</v>
      </c>
      <c r="P555" s="110">
        <v>51723.0</v>
      </c>
      <c r="Q555" s="110">
        <v>83123.0</v>
      </c>
      <c r="R555" s="50">
        <v>30822.0</v>
      </c>
      <c r="S555" s="111">
        <v>50.0</v>
      </c>
      <c r="T555" s="112">
        <v>95.0</v>
      </c>
      <c r="U555" s="24" t="s">
        <v>48</v>
      </c>
      <c r="V555" s="11" t="s">
        <v>4076</v>
      </c>
      <c r="W555" s="108">
        <v>7.0</v>
      </c>
      <c r="X555" s="113">
        <v>42116.0</v>
      </c>
      <c r="Y555" s="113">
        <v>42414.0</v>
      </c>
      <c r="Z555" s="11">
        <v>161.0</v>
      </c>
      <c r="AA555" s="113">
        <v>41617.0</v>
      </c>
      <c r="AB555" s="109">
        <v>-77876.29</v>
      </c>
      <c r="AC555" s="113">
        <v>21421.0</v>
      </c>
      <c r="AD555" s="108">
        <v>4.0</v>
      </c>
    </row>
    <row r="556">
      <c r="A556" s="11">
        <v>32.0</v>
      </c>
      <c r="B556" s="11">
        <v>4.0</v>
      </c>
      <c r="C556" s="11">
        <v>6.0</v>
      </c>
      <c r="D556" s="17">
        <v>44.0</v>
      </c>
      <c r="E556" s="108">
        <v>4.0</v>
      </c>
      <c r="F556" s="109">
        <v>-55324.16</v>
      </c>
      <c r="G556" s="109">
        <v>78745.54</v>
      </c>
      <c r="H556" s="109">
        <v>-33768.33</v>
      </c>
      <c r="I556" s="109">
        <v>89575.89</v>
      </c>
      <c r="J556" s="109">
        <v>1570.93</v>
      </c>
      <c r="K556" s="109">
        <v>60727.65</v>
      </c>
      <c r="L556" s="109">
        <v>-28220.17</v>
      </c>
      <c r="M556" s="109">
        <v>32184.27</v>
      </c>
      <c r="N556" s="110">
        <v>72614.0</v>
      </c>
      <c r="O556" s="110">
        <v>72134.0</v>
      </c>
      <c r="P556" s="110">
        <v>51223.0</v>
      </c>
      <c r="Q556" s="110">
        <v>73134.0</v>
      </c>
      <c r="R556" s="50">
        <v>33114.0</v>
      </c>
      <c r="S556" s="111">
        <v>52.0</v>
      </c>
      <c r="T556" s="112">
        <v>9.0</v>
      </c>
      <c r="U556" s="24" t="s">
        <v>48</v>
      </c>
      <c r="V556" s="11" t="s">
        <v>3934</v>
      </c>
      <c r="W556" s="108">
        <v>3.0</v>
      </c>
      <c r="X556" s="113">
        <v>72323.0</v>
      </c>
      <c r="Y556" s="113">
        <v>120414.0</v>
      </c>
      <c r="Z556" s="11">
        <v>145.0</v>
      </c>
      <c r="AA556" s="113">
        <v>43114.0</v>
      </c>
      <c r="AB556" s="109">
        <v>60979.28</v>
      </c>
      <c r="AC556" s="113">
        <v>90913.0</v>
      </c>
      <c r="AD556" s="108">
        <v>3.0</v>
      </c>
    </row>
    <row r="557">
      <c r="A557" s="11">
        <v>32.0</v>
      </c>
      <c r="B557" s="11">
        <v>4.0</v>
      </c>
      <c r="C557" s="11">
        <v>7.0</v>
      </c>
      <c r="D557" s="17">
        <v>97.0</v>
      </c>
      <c r="E557" s="108">
        <v>0.0</v>
      </c>
      <c r="F557" s="109">
        <v>15486.37</v>
      </c>
      <c r="G557" s="109">
        <v>75040.86</v>
      </c>
      <c r="H557" s="109">
        <v>-81025.66</v>
      </c>
      <c r="I557" s="109">
        <v>22455.67</v>
      </c>
      <c r="J557" s="109">
        <v>-25728.51</v>
      </c>
      <c r="K557" s="109">
        <v>37664.54</v>
      </c>
      <c r="L557" s="109">
        <v>17711.46</v>
      </c>
      <c r="M557" s="109">
        <v>94924.85</v>
      </c>
      <c r="N557" s="110">
        <v>41211.0</v>
      </c>
      <c r="O557" s="110">
        <v>40731.0</v>
      </c>
      <c r="P557" s="110">
        <v>52723.0</v>
      </c>
      <c r="Q557" s="110">
        <v>43031.0</v>
      </c>
      <c r="R557" s="50">
        <v>82616.0</v>
      </c>
      <c r="S557" s="111">
        <v>52.0</v>
      </c>
      <c r="T557" s="112">
        <v>83.0</v>
      </c>
      <c r="U557" s="24" t="s">
        <v>601</v>
      </c>
      <c r="V557" s="11" t="s">
        <v>3934</v>
      </c>
      <c r="W557" s="108">
        <v>9.0</v>
      </c>
      <c r="X557" s="113">
        <v>43013.0</v>
      </c>
      <c r="Y557" s="113">
        <v>91123.0</v>
      </c>
      <c r="Z557" s="11">
        <v>171.0</v>
      </c>
      <c r="AA557" s="113">
        <v>61521.0</v>
      </c>
      <c r="AB557" s="109">
        <v>-7502.76</v>
      </c>
      <c r="AC557" s="113">
        <v>110920.0</v>
      </c>
      <c r="AD557" s="108">
        <v>1.0</v>
      </c>
    </row>
    <row r="558">
      <c r="A558" s="11">
        <v>73.0</v>
      </c>
      <c r="B558" s="11">
        <v>4.0</v>
      </c>
      <c r="C558" s="11">
        <v>5.0</v>
      </c>
      <c r="D558" s="17">
        <v>50.0</v>
      </c>
      <c r="E558" s="108">
        <v>7.0</v>
      </c>
      <c r="F558" s="109">
        <v>-74758.18</v>
      </c>
      <c r="G558" s="109">
        <v>86450.54</v>
      </c>
      <c r="H558" s="109">
        <v>34951.79</v>
      </c>
      <c r="I558" s="109">
        <v>-82157.96</v>
      </c>
      <c r="J558" s="109">
        <v>-74163.55</v>
      </c>
      <c r="K558" s="109">
        <v>2200.93</v>
      </c>
      <c r="L558" s="109">
        <v>82669.75</v>
      </c>
      <c r="M558" s="109">
        <v>-96287.77</v>
      </c>
      <c r="N558" s="110">
        <v>12011.0</v>
      </c>
      <c r="O558" s="110">
        <v>11531.0</v>
      </c>
      <c r="P558" s="110">
        <v>50623.0</v>
      </c>
      <c r="Q558" s="110">
        <v>13131.0</v>
      </c>
      <c r="R558" s="50">
        <v>72519.0</v>
      </c>
      <c r="S558" s="111">
        <v>53.0</v>
      </c>
      <c r="T558" s="112">
        <v>36.0</v>
      </c>
      <c r="U558" s="24" t="s">
        <v>601</v>
      </c>
      <c r="V558" s="11" t="s">
        <v>3890</v>
      </c>
      <c r="W558" s="108">
        <v>8.0</v>
      </c>
      <c r="X558" s="113">
        <v>71816.0</v>
      </c>
      <c r="Y558" s="113">
        <v>32215.0</v>
      </c>
      <c r="Z558" s="11">
        <v>171.0</v>
      </c>
      <c r="AA558" s="113">
        <v>61314.0</v>
      </c>
      <c r="AB558" s="109">
        <v>26199.47</v>
      </c>
      <c r="AC558" s="113">
        <v>81718.0</v>
      </c>
      <c r="AD558" s="108">
        <v>0.0</v>
      </c>
    </row>
    <row r="559">
      <c r="A559" s="11">
        <v>93.0</v>
      </c>
      <c r="B559" s="11">
        <v>9.0</v>
      </c>
      <c r="C559" s="11">
        <v>4.0</v>
      </c>
      <c r="D559" s="17">
        <v>34.0</v>
      </c>
      <c r="E559" s="108">
        <v>6.0</v>
      </c>
      <c r="F559" s="109">
        <v>-62170.66</v>
      </c>
      <c r="G559" s="109">
        <v>3506.34</v>
      </c>
      <c r="H559" s="109">
        <v>-2785.44</v>
      </c>
      <c r="I559" s="109">
        <v>-80699.98</v>
      </c>
      <c r="J559" s="109">
        <v>-47786.46</v>
      </c>
      <c r="K559" s="109">
        <v>-21284.63</v>
      </c>
      <c r="L559" s="109">
        <v>-61602.35</v>
      </c>
      <c r="M559" s="109">
        <v>-93097.6</v>
      </c>
      <c r="N559" s="110">
        <v>70714.0</v>
      </c>
      <c r="O559" s="110">
        <v>70424.0</v>
      </c>
      <c r="P559" s="110">
        <v>52723.0</v>
      </c>
      <c r="Q559" s="110">
        <v>73124.0</v>
      </c>
      <c r="R559" s="50">
        <v>21217.0</v>
      </c>
      <c r="S559" s="111">
        <v>53.0</v>
      </c>
      <c r="T559" s="112">
        <v>31.0</v>
      </c>
      <c r="U559" s="24" t="s">
        <v>48</v>
      </c>
      <c r="V559" s="11" t="s">
        <v>3985</v>
      </c>
      <c r="W559" s="108">
        <v>7.0</v>
      </c>
      <c r="X559" s="113">
        <v>111517.0</v>
      </c>
      <c r="Y559" s="113">
        <v>101823.0</v>
      </c>
      <c r="Z559" s="11">
        <v>135.0</v>
      </c>
      <c r="AA559" s="113">
        <v>20422.0</v>
      </c>
      <c r="AB559" s="109">
        <v>39700.2</v>
      </c>
      <c r="AC559" s="113">
        <v>50222.0</v>
      </c>
      <c r="AD559" s="108">
        <v>0.0</v>
      </c>
    </row>
    <row r="560">
      <c r="A560" s="11">
        <v>73.0</v>
      </c>
      <c r="B560" s="11">
        <v>4.0</v>
      </c>
      <c r="C560" s="11">
        <v>6.0</v>
      </c>
      <c r="D560" s="17">
        <v>7.0</v>
      </c>
      <c r="E560" s="108">
        <v>7.0</v>
      </c>
      <c r="F560" s="109">
        <v>-21002.35</v>
      </c>
      <c r="G560" s="109">
        <v>-36201.13</v>
      </c>
      <c r="H560" s="109">
        <v>-49884.09</v>
      </c>
      <c r="I560" s="109">
        <v>-84160.39</v>
      </c>
      <c r="J560" s="109">
        <v>66634.36</v>
      </c>
      <c r="K560" s="109">
        <v>87699.68</v>
      </c>
      <c r="L560" s="109">
        <v>74631.25</v>
      </c>
      <c r="M560" s="109">
        <v>-79219.47</v>
      </c>
      <c r="N560" s="110">
        <v>10814.0</v>
      </c>
      <c r="O560" s="110">
        <v>10144.0</v>
      </c>
      <c r="P560" s="110">
        <v>50323.0</v>
      </c>
      <c r="Q560" s="110">
        <v>13144.0</v>
      </c>
      <c r="R560" s="50">
        <v>11418.0</v>
      </c>
      <c r="S560" s="111">
        <v>52.0</v>
      </c>
      <c r="T560" s="112">
        <v>84.0</v>
      </c>
      <c r="U560" s="24" t="s">
        <v>39</v>
      </c>
      <c r="V560" s="11" t="s">
        <v>3867</v>
      </c>
      <c r="W560" s="108">
        <v>7.0</v>
      </c>
      <c r="X560" s="113">
        <v>41815.0</v>
      </c>
      <c r="Y560" s="113">
        <v>122518.0</v>
      </c>
      <c r="Z560" s="11">
        <v>186.0</v>
      </c>
      <c r="AA560" s="113">
        <v>70521.0</v>
      </c>
      <c r="AB560" s="109">
        <v>6333.33</v>
      </c>
      <c r="AC560" s="113">
        <v>21420.0</v>
      </c>
      <c r="AD560" s="108">
        <v>6.0</v>
      </c>
    </row>
    <row r="561">
      <c r="A561" s="11">
        <v>93.0</v>
      </c>
      <c r="B561" s="11">
        <v>9.0</v>
      </c>
      <c r="C561" s="11">
        <v>8.0</v>
      </c>
      <c r="D561" s="17">
        <v>74.0</v>
      </c>
      <c r="E561" s="108">
        <v>8.0</v>
      </c>
      <c r="F561" s="109">
        <v>-88877.03</v>
      </c>
      <c r="G561" s="109">
        <v>-11426.04</v>
      </c>
      <c r="H561" s="109">
        <v>71952.77</v>
      </c>
      <c r="I561" s="109">
        <v>18483.26</v>
      </c>
      <c r="J561" s="109">
        <v>33056.21</v>
      </c>
      <c r="K561" s="109">
        <v>9483.49</v>
      </c>
      <c r="L561" s="109">
        <v>1910.42</v>
      </c>
      <c r="M561" s="109">
        <v>-68158.21</v>
      </c>
      <c r="N561" s="110">
        <v>71110.0</v>
      </c>
      <c r="O561" s="110">
        <v>70820.0</v>
      </c>
      <c r="P561" s="110">
        <v>51623.0</v>
      </c>
      <c r="Q561" s="110">
        <v>73120.0</v>
      </c>
      <c r="R561" s="50">
        <v>82122.0</v>
      </c>
      <c r="S561" s="111">
        <v>54.0</v>
      </c>
      <c r="T561" s="112">
        <v>53.0</v>
      </c>
      <c r="U561" s="24" t="s">
        <v>601</v>
      </c>
      <c r="V561" s="11" t="s">
        <v>4027</v>
      </c>
      <c r="W561" s="108">
        <v>2.0</v>
      </c>
      <c r="X561" s="113">
        <v>51517.0</v>
      </c>
      <c r="Y561" s="113">
        <v>32214.0</v>
      </c>
      <c r="Z561" s="11">
        <v>175.0</v>
      </c>
      <c r="AA561" s="113">
        <v>51521.0</v>
      </c>
      <c r="AB561" s="109">
        <v>26743.54</v>
      </c>
      <c r="AC561" s="113">
        <v>80917.0</v>
      </c>
      <c r="AD561" s="108">
        <v>4.0</v>
      </c>
    </row>
    <row r="562">
      <c r="A562" s="11">
        <v>32.0</v>
      </c>
      <c r="B562" s="11">
        <v>5.0</v>
      </c>
      <c r="C562" s="11">
        <v>4.0</v>
      </c>
      <c r="D562" s="17">
        <v>8.0</v>
      </c>
      <c r="E562" s="108">
        <v>8.0</v>
      </c>
      <c r="F562" s="109">
        <v>86611.25</v>
      </c>
      <c r="G562" s="109">
        <v>16858.41</v>
      </c>
      <c r="H562" s="109">
        <v>-81915.82</v>
      </c>
      <c r="I562" s="109">
        <v>19753.29</v>
      </c>
      <c r="J562" s="109">
        <v>-94775.6</v>
      </c>
      <c r="K562" s="109">
        <v>30969.18</v>
      </c>
      <c r="L562" s="109">
        <v>93902.33</v>
      </c>
      <c r="M562" s="109">
        <v>46147.43</v>
      </c>
      <c r="N562" s="110">
        <v>32513.0</v>
      </c>
      <c r="O562" s="110">
        <v>32323.0</v>
      </c>
      <c r="P562" s="110">
        <v>52423.0</v>
      </c>
      <c r="Q562" s="110">
        <v>33123.0</v>
      </c>
      <c r="R562" s="50">
        <v>52614.0</v>
      </c>
      <c r="S562" s="111">
        <v>52.0</v>
      </c>
      <c r="T562" s="112">
        <v>81.0</v>
      </c>
      <c r="U562" s="24" t="s">
        <v>601</v>
      </c>
      <c r="V562" s="11" t="s">
        <v>4077</v>
      </c>
      <c r="W562" s="108">
        <v>8.0</v>
      </c>
      <c r="X562" s="113">
        <v>33114.0</v>
      </c>
      <c r="Y562" s="113">
        <v>122514.0</v>
      </c>
      <c r="Z562" s="11">
        <v>122.0</v>
      </c>
      <c r="AA562" s="113">
        <v>41322.0</v>
      </c>
      <c r="AB562" s="109">
        <v>49240.2</v>
      </c>
      <c r="AC562" s="113">
        <v>101620.0</v>
      </c>
      <c r="AD562" s="108">
        <v>7.0</v>
      </c>
    </row>
    <row r="563">
      <c r="A563" s="11">
        <v>32.0</v>
      </c>
      <c r="B563" s="11">
        <v>5.0</v>
      </c>
      <c r="C563" s="11">
        <v>5.0</v>
      </c>
      <c r="D563" s="17">
        <v>55.0</v>
      </c>
      <c r="E563" s="108">
        <v>4.0</v>
      </c>
      <c r="F563" s="109">
        <v>35265.17</v>
      </c>
      <c r="G563" s="109">
        <v>3037.15</v>
      </c>
      <c r="H563" s="109">
        <v>-48036.24</v>
      </c>
      <c r="I563" s="109">
        <v>11248.66</v>
      </c>
      <c r="J563" s="109">
        <v>59720.62</v>
      </c>
      <c r="K563" s="109">
        <v>-62979.06</v>
      </c>
      <c r="L563" s="109">
        <v>-39155.73</v>
      </c>
      <c r="M563" s="109">
        <v>-89446.34</v>
      </c>
      <c r="N563" s="110">
        <v>112810.0</v>
      </c>
      <c r="O563" s="110">
        <v>112330.0</v>
      </c>
      <c r="P563" s="110">
        <v>51423.0</v>
      </c>
      <c r="Q563" s="110">
        <v>113030.0</v>
      </c>
      <c r="R563" s="50">
        <v>90818.0</v>
      </c>
      <c r="S563" s="111">
        <v>53.0</v>
      </c>
      <c r="T563" s="112">
        <v>24.0</v>
      </c>
      <c r="U563" s="24" t="s">
        <v>48</v>
      </c>
      <c r="V563" s="11" t="s">
        <v>3966</v>
      </c>
      <c r="W563" s="108">
        <v>4.0</v>
      </c>
      <c r="X563" s="113">
        <v>72117.0</v>
      </c>
      <c r="Y563" s="113">
        <v>31817.0</v>
      </c>
      <c r="Z563" s="11">
        <v>106.0</v>
      </c>
      <c r="AA563" s="113">
        <v>32318.0</v>
      </c>
      <c r="AB563" s="109">
        <v>74256.91</v>
      </c>
      <c r="AC563" s="113">
        <v>21920.0</v>
      </c>
      <c r="AD563" s="108">
        <v>4.0</v>
      </c>
    </row>
    <row r="564">
      <c r="A564" s="11">
        <v>73.0</v>
      </c>
      <c r="B564" s="11">
        <v>5.0</v>
      </c>
      <c r="C564" s="11">
        <v>4.0</v>
      </c>
      <c r="D564" s="17">
        <v>23.0</v>
      </c>
      <c r="E564" s="108">
        <v>4.0</v>
      </c>
      <c r="F564" s="109">
        <v>20887.9</v>
      </c>
      <c r="G564" s="109">
        <v>48366.84</v>
      </c>
      <c r="H564" s="109">
        <v>-36907.04</v>
      </c>
      <c r="I564" s="109">
        <v>-51138.24</v>
      </c>
      <c r="J564" s="109">
        <v>20185.98</v>
      </c>
      <c r="K564" s="109">
        <v>-93780.7</v>
      </c>
      <c r="L564" s="109">
        <v>-91702.77</v>
      </c>
      <c r="M564" s="109">
        <v>-59171.0</v>
      </c>
      <c r="N564" s="110">
        <v>30814.0</v>
      </c>
      <c r="O564" s="110">
        <v>22944.0</v>
      </c>
      <c r="P564" s="110">
        <v>52223.0</v>
      </c>
      <c r="Q564" s="110">
        <v>22944.0</v>
      </c>
      <c r="R564" s="50">
        <v>122822.0</v>
      </c>
      <c r="S564" s="111">
        <v>52.0</v>
      </c>
      <c r="T564" s="112">
        <v>13.0</v>
      </c>
      <c r="U564" s="24" t="s">
        <v>601</v>
      </c>
      <c r="V564" s="11" t="s">
        <v>3963</v>
      </c>
      <c r="W564" s="108">
        <v>8.0</v>
      </c>
      <c r="X564" s="113">
        <v>62519.0</v>
      </c>
      <c r="Y564" s="113">
        <v>60221.0</v>
      </c>
      <c r="Z564" s="11">
        <v>130.0</v>
      </c>
      <c r="AA564" s="113">
        <v>70915.0</v>
      </c>
      <c r="AB564" s="109">
        <v>38926.68</v>
      </c>
      <c r="AC564" s="113">
        <v>63021.0</v>
      </c>
      <c r="AD564" s="108">
        <v>5.0</v>
      </c>
    </row>
    <row r="565">
      <c r="A565" s="11">
        <v>73.0</v>
      </c>
      <c r="B565" s="11">
        <v>5.0</v>
      </c>
      <c r="C565" s="11">
        <v>6.0</v>
      </c>
      <c r="D565" s="17">
        <v>80.0</v>
      </c>
      <c r="E565" s="108">
        <v>8.0</v>
      </c>
      <c r="F565" s="109">
        <v>26069.51</v>
      </c>
      <c r="G565" s="109">
        <v>58990.94</v>
      </c>
      <c r="H565" s="109">
        <v>96686.96</v>
      </c>
      <c r="I565" s="109">
        <v>44249.65</v>
      </c>
      <c r="J565" s="109">
        <v>74606.37</v>
      </c>
      <c r="K565" s="109">
        <v>-22742.16</v>
      </c>
      <c r="L565" s="109">
        <v>-93114.69</v>
      </c>
      <c r="M565" s="109">
        <v>-58503.77</v>
      </c>
      <c r="N565" s="110">
        <v>72411.0</v>
      </c>
      <c r="O565" s="110">
        <v>71931.0</v>
      </c>
      <c r="P565" s="110">
        <v>50123.0</v>
      </c>
      <c r="Q565" s="110">
        <v>73131.0</v>
      </c>
      <c r="R565" s="50">
        <v>122114.0</v>
      </c>
      <c r="S565" s="111">
        <v>55.0</v>
      </c>
      <c r="T565" s="112">
        <v>86.0</v>
      </c>
      <c r="U565" s="24" t="s">
        <v>39</v>
      </c>
      <c r="V565" s="11" t="s">
        <v>4078</v>
      </c>
      <c r="W565" s="108">
        <v>2.0</v>
      </c>
      <c r="X565" s="113">
        <v>81021.0</v>
      </c>
      <c r="Y565" s="113">
        <v>72420.0</v>
      </c>
      <c r="Z565" s="11">
        <v>187.0</v>
      </c>
      <c r="AA565" s="113">
        <v>100921.0</v>
      </c>
      <c r="AB565" s="109">
        <v>40699.77</v>
      </c>
      <c r="AC565" s="113">
        <v>60313.0</v>
      </c>
      <c r="AD565" s="108">
        <v>4.0</v>
      </c>
    </row>
    <row r="566">
      <c r="A566" s="11">
        <v>12.0</v>
      </c>
      <c r="B566" s="11">
        <v>1.0</v>
      </c>
      <c r="C566" s="11">
        <v>3.0</v>
      </c>
      <c r="D566" s="17">
        <v>95.0</v>
      </c>
      <c r="E566" s="108">
        <v>7.0</v>
      </c>
      <c r="F566" s="109">
        <v>-3807.57</v>
      </c>
      <c r="G566" s="109">
        <v>-37285.69</v>
      </c>
      <c r="H566" s="109">
        <v>9707.18</v>
      </c>
      <c r="I566" s="109">
        <v>-16919.97</v>
      </c>
      <c r="J566" s="109">
        <v>-50285.95</v>
      </c>
      <c r="K566" s="109">
        <v>52242.96</v>
      </c>
      <c r="L566" s="109">
        <v>54246.36</v>
      </c>
      <c r="M566" s="109">
        <v>36195.42</v>
      </c>
      <c r="N566" s="110">
        <v>120710.0</v>
      </c>
      <c r="O566" s="110">
        <v>112940.0</v>
      </c>
      <c r="P566" s="110">
        <v>52623.0</v>
      </c>
      <c r="Q566" s="110">
        <v>113040.0</v>
      </c>
      <c r="R566" s="50">
        <v>52413.0</v>
      </c>
      <c r="S566" s="111">
        <v>50.0</v>
      </c>
      <c r="T566" s="112">
        <v>65.0</v>
      </c>
      <c r="U566" s="24" t="s">
        <v>31</v>
      </c>
      <c r="V566" s="11" t="s">
        <v>3897</v>
      </c>
      <c r="W566" s="108">
        <v>7.0</v>
      </c>
      <c r="X566" s="113">
        <v>21018.0</v>
      </c>
      <c r="Y566" s="113">
        <v>32820.0</v>
      </c>
      <c r="Z566" s="11">
        <v>156.0</v>
      </c>
      <c r="AA566" s="113">
        <v>21922.0</v>
      </c>
      <c r="AB566" s="109">
        <v>35249.5</v>
      </c>
      <c r="AC566" s="113">
        <v>92119.0</v>
      </c>
      <c r="AD566" s="108">
        <v>0.0</v>
      </c>
    </row>
    <row r="567">
      <c r="A567" s="11">
        <v>73.0</v>
      </c>
      <c r="B567" s="11">
        <v>5.0</v>
      </c>
      <c r="C567" s="11">
        <v>7.0</v>
      </c>
      <c r="D567" s="17">
        <v>49.0</v>
      </c>
      <c r="E567" s="108">
        <v>6.0</v>
      </c>
      <c r="F567" s="109">
        <v>16668.18</v>
      </c>
      <c r="G567" s="109">
        <v>87386.16</v>
      </c>
      <c r="H567" s="109">
        <v>26542.8</v>
      </c>
      <c r="I567" s="109">
        <v>-25379.64</v>
      </c>
      <c r="J567" s="109">
        <v>99626.5</v>
      </c>
      <c r="K567" s="109">
        <v>53134.04</v>
      </c>
      <c r="L567" s="109">
        <v>83533.36</v>
      </c>
      <c r="M567" s="109">
        <v>-8369.52</v>
      </c>
      <c r="N567" s="110">
        <v>10711.0</v>
      </c>
      <c r="O567" s="110">
        <v>123040.0</v>
      </c>
      <c r="P567" s="110">
        <v>50823.0</v>
      </c>
      <c r="Q567" s="110">
        <v>123139.0</v>
      </c>
      <c r="R567" s="50">
        <v>81221.0</v>
      </c>
      <c r="S567" s="111">
        <v>52.0</v>
      </c>
      <c r="T567" s="112">
        <v>91.0</v>
      </c>
      <c r="U567" s="24" t="s">
        <v>601</v>
      </c>
      <c r="V567" s="11" t="s">
        <v>3952</v>
      </c>
      <c r="W567" s="108">
        <v>3.0</v>
      </c>
      <c r="X567" s="113">
        <v>92816.0</v>
      </c>
      <c r="Y567" s="113">
        <v>93120.0</v>
      </c>
      <c r="Z567" s="11">
        <v>100.0</v>
      </c>
      <c r="AA567" s="113">
        <v>60717.0</v>
      </c>
      <c r="AB567" s="109">
        <v>18017.52</v>
      </c>
      <c r="AC567" s="113">
        <v>50821.0</v>
      </c>
      <c r="AD567" s="108">
        <v>5.0</v>
      </c>
    </row>
    <row r="568">
      <c r="A568" s="11">
        <v>32.0</v>
      </c>
      <c r="B568" s="11">
        <v>6.0</v>
      </c>
      <c r="C568" s="11">
        <v>3.0</v>
      </c>
      <c r="D568" s="17">
        <v>12.0</v>
      </c>
      <c r="E568" s="108">
        <v>5.0</v>
      </c>
      <c r="F568" s="109">
        <v>1027.88</v>
      </c>
      <c r="G568" s="109">
        <v>-2074.76</v>
      </c>
      <c r="H568" s="109">
        <v>45575.24</v>
      </c>
      <c r="I568" s="109">
        <v>-32382.59</v>
      </c>
      <c r="J568" s="109">
        <v>62791.61</v>
      </c>
      <c r="K568" s="109">
        <v>67868.8</v>
      </c>
      <c r="L568" s="109">
        <v>15526.57</v>
      </c>
      <c r="M568" s="109">
        <v>-59731.94</v>
      </c>
      <c r="N568" s="110">
        <v>51414.0</v>
      </c>
      <c r="O568" s="110">
        <v>50644.0</v>
      </c>
      <c r="P568" s="110">
        <v>52623.0</v>
      </c>
      <c r="Q568" s="110">
        <v>53144.0</v>
      </c>
      <c r="R568" s="50">
        <v>21615.0</v>
      </c>
      <c r="S568" s="111">
        <v>51.0</v>
      </c>
      <c r="T568" s="112">
        <v>96.0</v>
      </c>
      <c r="U568" s="24" t="s">
        <v>31</v>
      </c>
      <c r="V568" s="11" t="s">
        <v>3925</v>
      </c>
      <c r="W568" s="108">
        <v>7.0</v>
      </c>
      <c r="X568" s="113">
        <v>32220.0</v>
      </c>
      <c r="Y568" s="113">
        <v>103015.0</v>
      </c>
      <c r="Z568" s="11">
        <v>127.0</v>
      </c>
      <c r="AA568" s="113">
        <v>110219.0</v>
      </c>
      <c r="AB568" s="109">
        <v>17835.4</v>
      </c>
      <c r="AC568" s="113">
        <v>51018.0</v>
      </c>
      <c r="AD568" s="108">
        <v>5.0</v>
      </c>
    </row>
    <row r="569">
      <c r="A569" s="11">
        <v>12.0</v>
      </c>
      <c r="B569" s="11">
        <v>1.0</v>
      </c>
      <c r="C569" s="11">
        <v>7.0</v>
      </c>
      <c r="D569" s="17">
        <v>2.0</v>
      </c>
      <c r="E569" s="108">
        <v>8.0</v>
      </c>
      <c r="F569" s="109">
        <v>62414.18</v>
      </c>
      <c r="G569" s="109">
        <v>26009.34</v>
      </c>
      <c r="H569" s="109">
        <v>20793.91</v>
      </c>
      <c r="I569" s="109">
        <v>-5566.73</v>
      </c>
      <c r="J569" s="109">
        <v>75624.89</v>
      </c>
      <c r="K569" s="109">
        <v>-15470.2</v>
      </c>
      <c r="L569" s="109">
        <v>32497.05</v>
      </c>
      <c r="M569" s="109">
        <v>75224.14</v>
      </c>
      <c r="N569" s="110">
        <v>110113.0</v>
      </c>
      <c r="O569" s="110">
        <v>102733.0</v>
      </c>
      <c r="P569" s="110">
        <v>51923.0</v>
      </c>
      <c r="Q569" s="110">
        <v>103133.0</v>
      </c>
      <c r="R569" s="50">
        <v>101516.0</v>
      </c>
      <c r="S569" s="111">
        <v>50.0</v>
      </c>
      <c r="T569" s="112">
        <v>70.0</v>
      </c>
      <c r="U569" s="24" t="s">
        <v>603</v>
      </c>
      <c r="V569" s="11" t="s">
        <v>3962</v>
      </c>
      <c r="W569" s="108">
        <v>6.0</v>
      </c>
      <c r="X569" s="113">
        <v>60618.0</v>
      </c>
      <c r="Y569" s="113">
        <v>20423.0</v>
      </c>
      <c r="Z569" s="11">
        <v>109.0</v>
      </c>
      <c r="AA569" s="113">
        <v>80623.0</v>
      </c>
      <c r="AB569" s="109">
        <v>-48358.79</v>
      </c>
      <c r="AC569" s="113">
        <v>73018.0</v>
      </c>
      <c r="AD569" s="108">
        <v>8.0</v>
      </c>
    </row>
    <row r="570">
      <c r="A570" s="11">
        <v>32.0</v>
      </c>
      <c r="B570" s="11">
        <v>6.0</v>
      </c>
      <c r="C570" s="11">
        <v>6.0</v>
      </c>
      <c r="D570" s="17">
        <v>95.0</v>
      </c>
      <c r="E570" s="108">
        <v>3.0</v>
      </c>
      <c r="F570" s="109">
        <v>-11568.06</v>
      </c>
      <c r="G570" s="109">
        <v>-34666.01</v>
      </c>
      <c r="H570" s="109">
        <v>-91408.04</v>
      </c>
      <c r="I570" s="109">
        <v>19125.99</v>
      </c>
      <c r="J570" s="109">
        <v>61820.75</v>
      </c>
      <c r="K570" s="109">
        <v>3398.53</v>
      </c>
      <c r="L570" s="109">
        <v>-63850.2</v>
      </c>
      <c r="M570" s="109">
        <v>-76927.24</v>
      </c>
      <c r="N570" s="110">
        <v>51213.0</v>
      </c>
      <c r="O570" s="110">
        <v>51023.0</v>
      </c>
      <c r="P570" s="110">
        <v>52223.0</v>
      </c>
      <c r="Q570" s="110">
        <v>53123.0</v>
      </c>
      <c r="R570" s="50">
        <v>21416.0</v>
      </c>
      <c r="S570" s="111">
        <v>54.0</v>
      </c>
      <c r="T570" s="112">
        <v>61.0</v>
      </c>
      <c r="U570" s="24" t="s">
        <v>31</v>
      </c>
      <c r="V570" s="11" t="s">
        <v>3906</v>
      </c>
      <c r="W570" s="108">
        <v>6.0</v>
      </c>
      <c r="X570" s="113">
        <v>112218.0</v>
      </c>
      <c r="Y570" s="113">
        <v>10214.0</v>
      </c>
      <c r="Z570" s="11">
        <v>134.0</v>
      </c>
      <c r="AA570" s="113">
        <v>40817.0</v>
      </c>
      <c r="AB570" s="109">
        <v>33966.28</v>
      </c>
      <c r="AC570" s="113">
        <v>91115.0</v>
      </c>
      <c r="AD570" s="108">
        <v>6.0</v>
      </c>
    </row>
    <row r="571">
      <c r="A571" s="11">
        <v>12.0</v>
      </c>
      <c r="B571" s="11">
        <v>1.0</v>
      </c>
      <c r="C571" s="11">
        <v>9.0</v>
      </c>
      <c r="D571" s="17">
        <v>4.0</v>
      </c>
      <c r="E571" s="108">
        <v>4.0</v>
      </c>
      <c r="F571" s="109">
        <v>-89235.58</v>
      </c>
      <c r="G571" s="109">
        <v>-59260.21</v>
      </c>
      <c r="H571" s="109">
        <v>19190.31</v>
      </c>
      <c r="I571" s="109">
        <v>-3104.9</v>
      </c>
      <c r="J571" s="109">
        <v>89991.42</v>
      </c>
      <c r="K571" s="109">
        <v>-64587.07</v>
      </c>
      <c r="L571" s="109">
        <v>82839.03</v>
      </c>
      <c r="M571" s="109">
        <v>7897.31</v>
      </c>
      <c r="N571" s="110">
        <v>110412.0</v>
      </c>
      <c r="O571" s="110">
        <v>103032.0</v>
      </c>
      <c r="P571" s="110">
        <v>50223.0</v>
      </c>
      <c r="Q571" s="110">
        <v>103132.0</v>
      </c>
      <c r="R571" s="50">
        <v>91116.0</v>
      </c>
      <c r="S571" s="111">
        <v>54.0</v>
      </c>
      <c r="T571" s="112">
        <v>13.0</v>
      </c>
      <c r="U571" s="24" t="s">
        <v>48</v>
      </c>
      <c r="V571" s="11" t="s">
        <v>3931</v>
      </c>
      <c r="W571" s="108">
        <v>6.0</v>
      </c>
      <c r="X571" s="113">
        <v>30421.0</v>
      </c>
      <c r="Y571" s="113">
        <v>81322.0</v>
      </c>
      <c r="Z571" s="11">
        <v>185.0</v>
      </c>
      <c r="AA571" s="113">
        <v>113015.0</v>
      </c>
      <c r="AB571" s="109">
        <v>-57656.76</v>
      </c>
      <c r="AC571" s="113">
        <v>12517.0</v>
      </c>
      <c r="AD571" s="108">
        <v>9.0</v>
      </c>
    </row>
    <row r="572">
      <c r="A572" s="11">
        <v>94.0</v>
      </c>
      <c r="B572" s="11">
        <v>1.0</v>
      </c>
      <c r="C572" s="11">
        <v>2.0</v>
      </c>
      <c r="D572" s="17">
        <v>61.0</v>
      </c>
      <c r="E572" s="108">
        <v>7.0</v>
      </c>
      <c r="F572" s="109">
        <v>-21935.36</v>
      </c>
      <c r="G572" s="109">
        <v>48932.57</v>
      </c>
      <c r="H572" s="109">
        <v>-71331.85</v>
      </c>
      <c r="I572" s="109">
        <v>-48426.05</v>
      </c>
      <c r="J572" s="109">
        <v>-61800.53</v>
      </c>
      <c r="K572" s="109">
        <v>-50893.32</v>
      </c>
      <c r="L572" s="109">
        <v>18452.07</v>
      </c>
      <c r="M572" s="109">
        <v>-63913.5</v>
      </c>
      <c r="N572" s="110">
        <v>90511.0</v>
      </c>
      <c r="O572" s="110">
        <v>90221.0</v>
      </c>
      <c r="P572" s="110">
        <v>50123.0</v>
      </c>
      <c r="Q572" s="110">
        <v>93021.0</v>
      </c>
      <c r="R572" s="50">
        <v>42215.0</v>
      </c>
      <c r="S572" s="111">
        <v>51.0</v>
      </c>
      <c r="T572" s="112">
        <v>35.0</v>
      </c>
      <c r="U572" s="24" t="s">
        <v>48</v>
      </c>
      <c r="V572" s="11" t="s">
        <v>4057</v>
      </c>
      <c r="W572" s="108">
        <v>3.0</v>
      </c>
      <c r="X572" s="113">
        <v>40919.0</v>
      </c>
      <c r="Y572" s="113">
        <v>121913.0</v>
      </c>
      <c r="Z572" s="11">
        <v>174.0</v>
      </c>
      <c r="AA572" s="113">
        <v>72321.0</v>
      </c>
      <c r="AB572" s="109">
        <v>-92594.46</v>
      </c>
      <c r="AC572" s="113">
        <v>91513.0</v>
      </c>
      <c r="AD572" s="108">
        <v>8.0</v>
      </c>
    </row>
    <row r="573">
      <c r="A573" s="11">
        <v>32.0</v>
      </c>
      <c r="B573" s="11">
        <v>6.0</v>
      </c>
      <c r="C573" s="11">
        <v>9.0</v>
      </c>
      <c r="D573" s="17">
        <v>49.0</v>
      </c>
      <c r="E573" s="108">
        <v>4.0</v>
      </c>
      <c r="F573" s="109">
        <v>-31273.05</v>
      </c>
      <c r="G573" s="109">
        <v>-48302.73</v>
      </c>
      <c r="H573" s="109">
        <v>-64376.13</v>
      </c>
      <c r="I573" s="109">
        <v>-73847.71</v>
      </c>
      <c r="J573" s="109">
        <v>42016.76</v>
      </c>
      <c r="K573" s="109">
        <v>1769.6</v>
      </c>
      <c r="L573" s="109">
        <v>8917.16</v>
      </c>
      <c r="M573" s="109">
        <v>-52832.85</v>
      </c>
      <c r="N573" s="110">
        <v>11111.0</v>
      </c>
      <c r="O573" s="110">
        <v>10631.0</v>
      </c>
      <c r="P573" s="110">
        <v>51923.0</v>
      </c>
      <c r="Q573" s="110">
        <v>13131.0</v>
      </c>
      <c r="R573" s="50">
        <v>111316.0</v>
      </c>
      <c r="S573" s="111">
        <v>54.0</v>
      </c>
      <c r="T573" s="112">
        <v>55.0</v>
      </c>
      <c r="U573" s="24" t="s">
        <v>601</v>
      </c>
      <c r="V573" s="11" t="s">
        <v>4012</v>
      </c>
      <c r="W573" s="108">
        <v>3.0</v>
      </c>
      <c r="X573" s="113">
        <v>83118.0</v>
      </c>
      <c r="Y573" s="113">
        <v>20823.0</v>
      </c>
      <c r="Z573" s="11">
        <v>125.0</v>
      </c>
      <c r="AA573" s="113">
        <v>52420.0</v>
      </c>
      <c r="AB573" s="109">
        <v>9.81</v>
      </c>
      <c r="AC573" s="113">
        <v>23121.0</v>
      </c>
      <c r="AD573" s="108">
        <v>3.0</v>
      </c>
    </row>
    <row r="574">
      <c r="A574" s="11">
        <v>73.0</v>
      </c>
      <c r="B574" s="11">
        <v>6.0</v>
      </c>
      <c r="C574" s="11">
        <v>6.0</v>
      </c>
      <c r="D574" s="17">
        <v>48.0</v>
      </c>
      <c r="E574" s="108">
        <v>6.0</v>
      </c>
      <c r="F574" s="109">
        <v>74504.87</v>
      </c>
      <c r="G574" s="109">
        <v>-12663.77</v>
      </c>
      <c r="H574" s="109">
        <v>23498.09</v>
      </c>
      <c r="I574" s="109">
        <v>-26009.41</v>
      </c>
      <c r="J574" s="109">
        <v>5540.88</v>
      </c>
      <c r="K574" s="109">
        <v>-67876.29</v>
      </c>
      <c r="L574" s="109">
        <v>71639.88</v>
      </c>
      <c r="M574" s="109">
        <v>-95465.94</v>
      </c>
      <c r="N574" s="110">
        <v>120412.0</v>
      </c>
      <c r="O574" s="110">
        <v>120222.0</v>
      </c>
      <c r="P574" s="110">
        <v>51523.0</v>
      </c>
      <c r="Q574" s="110">
        <v>123121.0</v>
      </c>
      <c r="R574" s="50">
        <v>62815.0</v>
      </c>
      <c r="S574" s="111">
        <v>55.0</v>
      </c>
      <c r="T574" s="112">
        <v>64.0</v>
      </c>
      <c r="U574" s="24" t="s">
        <v>31</v>
      </c>
      <c r="V574" s="11" t="s">
        <v>4079</v>
      </c>
      <c r="W574" s="108">
        <v>3.0</v>
      </c>
      <c r="X574" s="113">
        <v>70721.0</v>
      </c>
      <c r="Y574" s="113">
        <v>32614.0</v>
      </c>
      <c r="Z574" s="11">
        <v>150.0</v>
      </c>
      <c r="AA574" s="113">
        <v>62118.0</v>
      </c>
      <c r="AB574" s="109">
        <v>-23766.05</v>
      </c>
      <c r="AC574" s="113">
        <v>111423.0</v>
      </c>
      <c r="AD574" s="108">
        <v>3.0</v>
      </c>
    </row>
    <row r="575">
      <c r="A575" s="11">
        <v>94.0</v>
      </c>
      <c r="B575" s="11">
        <v>1.0</v>
      </c>
      <c r="C575" s="11">
        <v>1.0</v>
      </c>
      <c r="D575" s="17">
        <v>35.0</v>
      </c>
      <c r="E575" s="108">
        <v>0.0</v>
      </c>
      <c r="F575" s="109">
        <v>41239.56</v>
      </c>
      <c r="G575" s="109">
        <v>-12444.39</v>
      </c>
      <c r="H575" s="109">
        <v>-51821.8</v>
      </c>
      <c r="I575" s="109">
        <v>65581.64</v>
      </c>
      <c r="J575" s="109">
        <v>-49158.53</v>
      </c>
      <c r="K575" s="109">
        <v>67791.85</v>
      </c>
      <c r="L575" s="109">
        <v>9819.92</v>
      </c>
      <c r="M575" s="109">
        <v>23375.6</v>
      </c>
      <c r="N575" s="110">
        <v>111910.0</v>
      </c>
      <c r="O575" s="110">
        <v>111430.0</v>
      </c>
      <c r="P575" s="110">
        <v>51423.0</v>
      </c>
      <c r="Q575" s="110">
        <v>113030.0</v>
      </c>
      <c r="R575" s="50">
        <v>43015.0</v>
      </c>
      <c r="S575" s="111">
        <v>50.0</v>
      </c>
      <c r="T575" s="112">
        <v>53.0</v>
      </c>
      <c r="U575" s="24" t="s">
        <v>39</v>
      </c>
      <c r="V575" s="11" t="s">
        <v>3928</v>
      </c>
      <c r="W575" s="108">
        <v>6.0</v>
      </c>
      <c r="X575" s="113">
        <v>80419.0</v>
      </c>
      <c r="Y575" s="113">
        <v>12513.0</v>
      </c>
      <c r="Z575" s="11">
        <v>125.0</v>
      </c>
      <c r="AA575" s="113">
        <v>110213.0</v>
      </c>
      <c r="AB575" s="109">
        <v>82666.79</v>
      </c>
      <c r="AC575" s="113">
        <v>52216.0</v>
      </c>
      <c r="AD575" s="108">
        <v>3.0</v>
      </c>
    </row>
    <row r="576">
      <c r="A576" s="11">
        <v>73.0</v>
      </c>
      <c r="B576" s="11">
        <v>6.0</v>
      </c>
      <c r="C576" s="11">
        <v>8.0</v>
      </c>
      <c r="D576" s="17">
        <v>76.0</v>
      </c>
      <c r="E576" s="108">
        <v>0.0</v>
      </c>
      <c r="F576" s="109">
        <v>-14610.86</v>
      </c>
      <c r="G576" s="109">
        <v>38844.76</v>
      </c>
      <c r="H576" s="109">
        <v>2226.47</v>
      </c>
      <c r="I576" s="109">
        <v>75123.85</v>
      </c>
      <c r="J576" s="109">
        <v>35619.39</v>
      </c>
      <c r="K576" s="109">
        <v>-8407.64</v>
      </c>
      <c r="L576" s="109">
        <v>67996.84</v>
      </c>
      <c r="M576" s="109">
        <v>-19663.31</v>
      </c>
      <c r="N576" s="110">
        <v>30212.0</v>
      </c>
      <c r="O576" s="110">
        <v>22632.0</v>
      </c>
      <c r="P576" s="110">
        <v>50123.0</v>
      </c>
      <c r="Q576" s="110">
        <v>22932.0</v>
      </c>
      <c r="R576" s="50">
        <v>32213.0</v>
      </c>
      <c r="S576" s="111">
        <v>52.0</v>
      </c>
      <c r="T576" s="112">
        <v>76.0</v>
      </c>
      <c r="U576" s="24" t="s">
        <v>48</v>
      </c>
      <c r="V576" s="11" t="s">
        <v>4026</v>
      </c>
      <c r="W576" s="108">
        <v>8.0</v>
      </c>
      <c r="X576" s="113">
        <v>121714.0</v>
      </c>
      <c r="Y576" s="113">
        <v>93113.0</v>
      </c>
      <c r="Z576" s="11">
        <v>188.0</v>
      </c>
      <c r="AA576" s="113">
        <v>80919.0</v>
      </c>
      <c r="AB576" s="109">
        <v>63212.34</v>
      </c>
      <c r="AC576" s="113">
        <v>10817.0</v>
      </c>
      <c r="AD576" s="108">
        <v>1.0</v>
      </c>
    </row>
    <row r="577">
      <c r="A577" s="11">
        <v>32.0</v>
      </c>
      <c r="B577" s="11">
        <v>7.0</v>
      </c>
      <c r="C577" s="11">
        <v>2.0</v>
      </c>
      <c r="D577" s="17">
        <v>54.0</v>
      </c>
      <c r="E577" s="108">
        <v>7.0</v>
      </c>
      <c r="F577" s="109">
        <v>-5734.19</v>
      </c>
      <c r="G577" s="109">
        <v>81852.38</v>
      </c>
      <c r="H577" s="109">
        <v>-52738.46</v>
      </c>
      <c r="I577" s="109">
        <v>-15.48</v>
      </c>
      <c r="J577" s="109">
        <v>83195.87</v>
      </c>
      <c r="K577" s="109">
        <v>76646.31</v>
      </c>
      <c r="L577" s="109">
        <v>-73757.68</v>
      </c>
      <c r="M577" s="109">
        <v>41725.37</v>
      </c>
      <c r="N577" s="110">
        <v>10910.0</v>
      </c>
      <c r="O577" s="110">
        <v>10240.0</v>
      </c>
      <c r="P577" s="110">
        <v>52723.0</v>
      </c>
      <c r="Q577" s="110">
        <v>13140.0</v>
      </c>
      <c r="R577" s="50">
        <v>32513.0</v>
      </c>
      <c r="S577" s="111">
        <v>53.0</v>
      </c>
      <c r="T577" s="112">
        <v>63.0</v>
      </c>
      <c r="U577" s="24" t="s">
        <v>48</v>
      </c>
      <c r="V577" s="11" t="s">
        <v>3959</v>
      </c>
      <c r="W577" s="108">
        <v>3.0</v>
      </c>
      <c r="X577" s="113">
        <v>91315.0</v>
      </c>
      <c r="Y577" s="113">
        <v>101415.0</v>
      </c>
      <c r="Z577" s="11">
        <v>159.0</v>
      </c>
      <c r="AA577" s="113">
        <v>112116.0</v>
      </c>
      <c r="AB577" s="109">
        <v>64185.74</v>
      </c>
      <c r="AC577" s="113">
        <v>82322.0</v>
      </c>
      <c r="AD577" s="108">
        <v>0.0</v>
      </c>
    </row>
    <row r="578">
      <c r="A578" s="11">
        <v>94.0</v>
      </c>
      <c r="B578" s="11">
        <v>1.0</v>
      </c>
      <c r="C578" s="11">
        <v>4.0</v>
      </c>
      <c r="D578" s="17">
        <v>3.0</v>
      </c>
      <c r="E578" s="108">
        <v>2.0</v>
      </c>
      <c r="F578" s="109">
        <v>-42174.53</v>
      </c>
      <c r="G578" s="109">
        <v>89142.99</v>
      </c>
      <c r="H578" s="109">
        <v>-65722.99</v>
      </c>
      <c r="I578" s="109">
        <v>-8669.38</v>
      </c>
      <c r="J578" s="109">
        <v>47851.31</v>
      </c>
      <c r="K578" s="109">
        <v>51500.88</v>
      </c>
      <c r="L578" s="109">
        <v>-72911.56</v>
      </c>
      <c r="M578" s="109">
        <v>-56794.18</v>
      </c>
      <c r="N578" s="110">
        <v>122513.0</v>
      </c>
      <c r="O578" s="110">
        <v>122033.0</v>
      </c>
      <c r="P578" s="110">
        <v>51223.0</v>
      </c>
      <c r="Q578" s="110">
        <v>123132.0</v>
      </c>
      <c r="R578" s="50">
        <v>71018.0</v>
      </c>
      <c r="S578" s="111">
        <v>54.0</v>
      </c>
      <c r="T578" s="112">
        <v>92.0</v>
      </c>
      <c r="U578" s="24" t="s">
        <v>48</v>
      </c>
      <c r="V578" s="11" t="s">
        <v>4022</v>
      </c>
      <c r="W578" s="108">
        <v>1.0</v>
      </c>
      <c r="X578" s="113">
        <v>90719.0</v>
      </c>
      <c r="Y578" s="113">
        <v>61022.0</v>
      </c>
      <c r="Z578" s="11">
        <v>171.0</v>
      </c>
      <c r="AA578" s="113">
        <v>10920.0</v>
      </c>
      <c r="AB578" s="109">
        <v>55687.46</v>
      </c>
      <c r="AC578" s="113">
        <v>42822.0</v>
      </c>
      <c r="AD578" s="108">
        <v>5.0</v>
      </c>
    </row>
    <row r="579">
      <c r="A579" s="11">
        <v>73.0</v>
      </c>
      <c r="B579" s="11">
        <v>7.0</v>
      </c>
      <c r="C579" s="11">
        <v>1.0</v>
      </c>
      <c r="D579" s="17">
        <v>78.0</v>
      </c>
      <c r="E579" s="108">
        <v>4.0</v>
      </c>
      <c r="F579" s="109">
        <v>-30747.27</v>
      </c>
      <c r="G579" s="109">
        <v>28461.51</v>
      </c>
      <c r="H579" s="109">
        <v>-41858.47</v>
      </c>
      <c r="I579" s="109">
        <v>-57373.52</v>
      </c>
      <c r="J579" s="109">
        <v>-3053.82</v>
      </c>
      <c r="K579" s="109">
        <v>-17053.03</v>
      </c>
      <c r="L579" s="109">
        <v>13977.68</v>
      </c>
      <c r="M579" s="109">
        <v>54614.65</v>
      </c>
      <c r="N579" s="110">
        <v>91710.0</v>
      </c>
      <c r="O579" s="110">
        <v>91230.0</v>
      </c>
      <c r="P579" s="110">
        <v>52823.0</v>
      </c>
      <c r="Q579" s="110">
        <v>93030.0</v>
      </c>
      <c r="R579" s="50">
        <v>60517.0</v>
      </c>
      <c r="S579" s="111">
        <v>51.0</v>
      </c>
      <c r="T579" s="112">
        <v>58.0</v>
      </c>
      <c r="U579" s="24" t="s">
        <v>48</v>
      </c>
      <c r="V579" s="11" t="s">
        <v>3906</v>
      </c>
      <c r="W579" s="108">
        <v>4.0</v>
      </c>
      <c r="X579" s="113">
        <v>20419.0</v>
      </c>
      <c r="Y579" s="113">
        <v>61719.0</v>
      </c>
      <c r="Z579" s="11">
        <v>165.0</v>
      </c>
      <c r="AA579" s="113">
        <v>110919.0</v>
      </c>
      <c r="AB579" s="109">
        <v>-85604.57</v>
      </c>
      <c r="AC579" s="113">
        <v>51316.0</v>
      </c>
      <c r="AD579" s="108">
        <v>4.0</v>
      </c>
    </row>
    <row r="580">
      <c r="A580" s="11">
        <v>94.0</v>
      </c>
      <c r="B580" s="11">
        <v>2.0</v>
      </c>
      <c r="C580" s="11">
        <v>1.0</v>
      </c>
      <c r="D580" s="17">
        <v>98.0</v>
      </c>
      <c r="E580" s="108">
        <v>8.0</v>
      </c>
      <c r="F580" s="109">
        <v>-48094.01</v>
      </c>
      <c r="G580" s="109">
        <v>-70029.46</v>
      </c>
      <c r="H580" s="109">
        <v>54817.15</v>
      </c>
      <c r="I580" s="109">
        <v>-64951.52</v>
      </c>
      <c r="J580" s="109">
        <v>-99118.75</v>
      </c>
      <c r="K580" s="109">
        <v>90081.09</v>
      </c>
      <c r="L580" s="109">
        <v>-77505.13</v>
      </c>
      <c r="M580" s="109">
        <v>-3219.91</v>
      </c>
      <c r="N580" s="110">
        <v>41713.0</v>
      </c>
      <c r="O580" s="110">
        <v>41043.0</v>
      </c>
      <c r="P580" s="110">
        <v>52223.0</v>
      </c>
      <c r="Q580" s="110">
        <v>43043.0</v>
      </c>
      <c r="R580" s="50">
        <v>60522.0</v>
      </c>
      <c r="S580" s="111">
        <v>53.0</v>
      </c>
      <c r="T580" s="112">
        <v>10.0</v>
      </c>
      <c r="U580" s="24" t="s">
        <v>603</v>
      </c>
      <c r="V580" s="11" t="s">
        <v>4078</v>
      </c>
      <c r="W580" s="108">
        <v>2.0</v>
      </c>
      <c r="X580" s="113">
        <v>100215.0</v>
      </c>
      <c r="Y580" s="113">
        <v>90720.0</v>
      </c>
      <c r="Z580" s="11">
        <v>153.0</v>
      </c>
      <c r="AA580" s="113">
        <v>41221.0</v>
      </c>
      <c r="AB580" s="109">
        <v>31208.1</v>
      </c>
      <c r="AC580" s="113">
        <v>40822.0</v>
      </c>
      <c r="AD580" s="108">
        <v>4.0</v>
      </c>
    </row>
    <row r="581">
      <c r="A581" s="11">
        <v>73.0</v>
      </c>
      <c r="B581" s="11">
        <v>7.0</v>
      </c>
      <c r="C581" s="11">
        <v>5.0</v>
      </c>
      <c r="D581" s="17">
        <v>78.0</v>
      </c>
      <c r="E581" s="108">
        <v>0.0</v>
      </c>
      <c r="F581" s="109">
        <v>76732.1</v>
      </c>
      <c r="G581" s="109">
        <v>-78926.98</v>
      </c>
      <c r="H581" s="109">
        <v>56043.9</v>
      </c>
      <c r="I581" s="109">
        <v>32409.64</v>
      </c>
      <c r="J581" s="109">
        <v>-51410.88</v>
      </c>
      <c r="K581" s="109">
        <v>-13482.0</v>
      </c>
      <c r="L581" s="109">
        <v>67035.63</v>
      </c>
      <c r="M581" s="109">
        <v>22831.23</v>
      </c>
      <c r="N581" s="110">
        <v>22211.0</v>
      </c>
      <c r="O581" s="110">
        <v>21921.0</v>
      </c>
      <c r="P581" s="110">
        <v>52823.0</v>
      </c>
      <c r="Q581" s="110">
        <v>22821.0</v>
      </c>
      <c r="R581" s="50">
        <v>61020.0</v>
      </c>
      <c r="S581" s="111">
        <v>50.0</v>
      </c>
      <c r="T581" s="112">
        <v>48.0</v>
      </c>
      <c r="U581" s="24" t="s">
        <v>31</v>
      </c>
      <c r="V581" s="11" t="s">
        <v>4053</v>
      </c>
      <c r="W581" s="108">
        <v>8.0</v>
      </c>
      <c r="X581" s="113">
        <v>20222.0</v>
      </c>
      <c r="Y581" s="113">
        <v>50622.0</v>
      </c>
      <c r="Z581" s="11">
        <v>197.0</v>
      </c>
      <c r="AA581" s="113">
        <v>100416.0</v>
      </c>
      <c r="AB581" s="109">
        <v>92862.3</v>
      </c>
      <c r="AC581" s="113">
        <v>52022.0</v>
      </c>
      <c r="AD581" s="108">
        <v>6.0</v>
      </c>
    </row>
    <row r="582">
      <c r="A582" s="11">
        <v>12.0</v>
      </c>
      <c r="B582" s="11">
        <v>3.0</v>
      </c>
      <c r="C582" s="11">
        <v>1.0</v>
      </c>
      <c r="D582" s="17">
        <v>67.0</v>
      </c>
      <c r="E582" s="108">
        <v>7.0</v>
      </c>
      <c r="F582" s="109">
        <v>78772.54</v>
      </c>
      <c r="G582" s="109">
        <v>77821.71</v>
      </c>
      <c r="H582" s="109">
        <v>-86755.79</v>
      </c>
      <c r="I582" s="109">
        <v>-41261.06</v>
      </c>
      <c r="J582" s="109">
        <v>-37028.85</v>
      </c>
      <c r="K582" s="109">
        <v>-79952.14</v>
      </c>
      <c r="L582" s="109">
        <v>-69160.24</v>
      </c>
      <c r="M582" s="109">
        <v>79430.03</v>
      </c>
      <c r="N582" s="110">
        <v>71510.0</v>
      </c>
      <c r="O582" s="110">
        <v>71220.0</v>
      </c>
      <c r="P582" s="110">
        <v>53023.0</v>
      </c>
      <c r="Q582" s="110">
        <v>73120.0</v>
      </c>
      <c r="R582" s="50">
        <v>81215.0</v>
      </c>
      <c r="S582" s="111">
        <v>51.0</v>
      </c>
      <c r="T582" s="112">
        <v>25.0</v>
      </c>
      <c r="U582" s="24" t="s">
        <v>39</v>
      </c>
      <c r="V582" s="11" t="s">
        <v>3888</v>
      </c>
      <c r="W582" s="108">
        <v>7.0</v>
      </c>
      <c r="X582" s="113">
        <v>70813.0</v>
      </c>
      <c r="Y582" s="113">
        <v>80122.0</v>
      </c>
      <c r="Z582" s="11">
        <v>138.0</v>
      </c>
      <c r="AA582" s="113">
        <v>70713.0</v>
      </c>
      <c r="AB582" s="109">
        <v>-96570.24</v>
      </c>
      <c r="AC582" s="113">
        <v>20817.0</v>
      </c>
      <c r="AD582" s="108">
        <v>1.0</v>
      </c>
    </row>
    <row r="583">
      <c r="A583" s="11">
        <v>32.0</v>
      </c>
      <c r="B583" s="11">
        <v>8.0</v>
      </c>
      <c r="C583" s="11">
        <v>1.0</v>
      </c>
      <c r="D583" s="17">
        <v>72.0</v>
      </c>
      <c r="E583" s="108">
        <v>6.0</v>
      </c>
      <c r="F583" s="109">
        <v>-10981.01</v>
      </c>
      <c r="G583" s="109">
        <v>-55605.7</v>
      </c>
      <c r="H583" s="109">
        <v>-53032.02</v>
      </c>
      <c r="I583" s="109">
        <v>26960.09</v>
      </c>
      <c r="J583" s="109">
        <v>-47141.89</v>
      </c>
      <c r="K583" s="109">
        <v>-61923.07</v>
      </c>
      <c r="L583" s="109">
        <v>-44090.45</v>
      </c>
      <c r="M583" s="109">
        <v>-85804.95</v>
      </c>
      <c r="N583" s="110">
        <v>80712.0</v>
      </c>
      <c r="O583" s="110">
        <v>80522.0</v>
      </c>
      <c r="P583" s="110">
        <v>51823.0</v>
      </c>
      <c r="Q583" s="110">
        <v>83122.0</v>
      </c>
      <c r="R583" s="50">
        <v>82314.0</v>
      </c>
      <c r="S583" s="111">
        <v>53.0</v>
      </c>
      <c r="T583" s="112">
        <v>30.0</v>
      </c>
      <c r="U583" s="24" t="s">
        <v>39</v>
      </c>
      <c r="V583" s="11" t="s">
        <v>4007</v>
      </c>
      <c r="W583" s="108">
        <v>7.0</v>
      </c>
      <c r="X583" s="113">
        <v>112619.0</v>
      </c>
      <c r="Y583" s="113">
        <v>72419.0</v>
      </c>
      <c r="Z583" s="11">
        <v>200.0</v>
      </c>
      <c r="AA583" s="113">
        <v>61220.0</v>
      </c>
      <c r="AB583" s="109">
        <v>53465.02</v>
      </c>
      <c r="AC583" s="113">
        <v>22115.0</v>
      </c>
      <c r="AD583" s="108">
        <v>9.0</v>
      </c>
    </row>
    <row r="584">
      <c r="A584" s="11">
        <v>94.0</v>
      </c>
      <c r="B584" s="11">
        <v>2.0</v>
      </c>
      <c r="C584" s="11">
        <v>6.0</v>
      </c>
      <c r="D584" s="17">
        <v>57.0</v>
      </c>
      <c r="E584" s="108">
        <v>0.0</v>
      </c>
      <c r="F584" s="109">
        <v>85560.39</v>
      </c>
      <c r="G584" s="109">
        <v>36277.24</v>
      </c>
      <c r="H584" s="109">
        <v>35844.75</v>
      </c>
      <c r="I584" s="109">
        <v>-50112.63</v>
      </c>
      <c r="J584" s="109">
        <v>9523.54</v>
      </c>
      <c r="K584" s="109">
        <v>-77058.58</v>
      </c>
      <c r="L584" s="109">
        <v>-80492.2</v>
      </c>
      <c r="M584" s="109">
        <v>-69542.24</v>
      </c>
      <c r="N584" s="110">
        <v>51110.0</v>
      </c>
      <c r="O584" s="110">
        <v>50340.0</v>
      </c>
      <c r="P584" s="110">
        <v>52323.0</v>
      </c>
      <c r="Q584" s="110">
        <v>53140.0</v>
      </c>
      <c r="R584" s="50">
        <v>51920.0</v>
      </c>
      <c r="S584" s="111">
        <v>52.0</v>
      </c>
      <c r="T584" s="112">
        <v>17.0</v>
      </c>
      <c r="U584" s="24" t="s">
        <v>39</v>
      </c>
      <c r="V584" s="11" t="s">
        <v>3970</v>
      </c>
      <c r="W584" s="108">
        <v>2.0</v>
      </c>
      <c r="X584" s="113">
        <v>72921.0</v>
      </c>
      <c r="Y584" s="113">
        <v>80123.0</v>
      </c>
      <c r="Z584" s="11">
        <v>195.0</v>
      </c>
      <c r="AA584" s="113">
        <v>92523.0</v>
      </c>
      <c r="AB584" s="109">
        <v>-38342.69</v>
      </c>
      <c r="AC584" s="113">
        <v>111019.0</v>
      </c>
      <c r="AD584" s="108">
        <v>0.0</v>
      </c>
    </row>
    <row r="585">
      <c r="A585" s="11">
        <v>12.0</v>
      </c>
      <c r="B585" s="11">
        <v>3.0</v>
      </c>
      <c r="C585" s="11">
        <v>4.0</v>
      </c>
      <c r="D585" s="17">
        <v>17.0</v>
      </c>
      <c r="E585" s="108">
        <v>7.0</v>
      </c>
      <c r="F585" s="109">
        <v>-67554.8</v>
      </c>
      <c r="G585" s="109">
        <v>21975.55</v>
      </c>
      <c r="H585" s="109">
        <v>-37752.97</v>
      </c>
      <c r="I585" s="109">
        <v>62933.39</v>
      </c>
      <c r="J585" s="109">
        <v>71663.49</v>
      </c>
      <c r="K585" s="109">
        <v>-98242.33</v>
      </c>
      <c r="L585" s="109">
        <v>-99007.87</v>
      </c>
      <c r="M585" s="109">
        <v>95150.15</v>
      </c>
      <c r="N585" s="110">
        <v>81914.0</v>
      </c>
      <c r="O585" s="110">
        <v>81434.0</v>
      </c>
      <c r="P585" s="110">
        <v>51523.0</v>
      </c>
      <c r="Q585" s="110">
        <v>83134.0</v>
      </c>
      <c r="R585" s="50">
        <v>91814.0</v>
      </c>
      <c r="S585" s="111">
        <v>54.0</v>
      </c>
      <c r="T585" s="112">
        <v>76.0</v>
      </c>
      <c r="U585" s="24" t="s">
        <v>603</v>
      </c>
      <c r="V585" s="11" t="s">
        <v>3869</v>
      </c>
      <c r="W585" s="108">
        <v>3.0</v>
      </c>
      <c r="X585" s="113">
        <v>21023.0</v>
      </c>
      <c r="Y585" s="113">
        <v>11016.0</v>
      </c>
      <c r="Z585" s="11">
        <v>200.0</v>
      </c>
      <c r="AA585" s="113">
        <v>120215.0</v>
      </c>
      <c r="AB585" s="109">
        <v>-79539.06</v>
      </c>
      <c r="AC585" s="113">
        <v>112618.0</v>
      </c>
      <c r="AD585" s="108">
        <v>1.0</v>
      </c>
    </row>
    <row r="586">
      <c r="A586" s="11">
        <v>32.0</v>
      </c>
      <c r="B586" s="11">
        <v>8.0</v>
      </c>
      <c r="C586" s="11">
        <v>4.0</v>
      </c>
      <c r="D586" s="17">
        <v>81.0</v>
      </c>
      <c r="E586" s="108">
        <v>8.0</v>
      </c>
      <c r="F586" s="109">
        <v>96783.26</v>
      </c>
      <c r="G586" s="109">
        <v>-92113.77</v>
      </c>
      <c r="H586" s="109">
        <v>-28341.1</v>
      </c>
      <c r="I586" s="109">
        <v>-84588.16</v>
      </c>
      <c r="J586" s="109">
        <v>-83381.71</v>
      </c>
      <c r="K586" s="109">
        <v>-87573.53</v>
      </c>
      <c r="L586" s="109">
        <v>55983.28</v>
      </c>
      <c r="M586" s="109">
        <v>73913.09</v>
      </c>
      <c r="N586" s="110">
        <v>92614.0</v>
      </c>
      <c r="O586" s="110">
        <v>92134.0</v>
      </c>
      <c r="P586" s="110">
        <v>51023.0</v>
      </c>
      <c r="Q586" s="110">
        <v>93034.0</v>
      </c>
      <c r="R586" s="50">
        <v>60418.0</v>
      </c>
      <c r="S586" s="111">
        <v>54.0</v>
      </c>
      <c r="T586" s="112">
        <v>14.0</v>
      </c>
      <c r="U586" s="24" t="s">
        <v>601</v>
      </c>
      <c r="V586" s="11" t="s">
        <v>4054</v>
      </c>
      <c r="W586" s="108">
        <v>8.0</v>
      </c>
      <c r="X586" s="113">
        <v>51415.0</v>
      </c>
      <c r="Y586" s="113">
        <v>11122.0</v>
      </c>
      <c r="Z586" s="11">
        <v>157.0</v>
      </c>
      <c r="AA586" s="113">
        <v>23119.0</v>
      </c>
      <c r="AB586" s="109">
        <v>-20632.25</v>
      </c>
      <c r="AC586" s="113">
        <v>22221.0</v>
      </c>
      <c r="AD586" s="108">
        <v>2.0</v>
      </c>
    </row>
    <row r="587">
      <c r="A587" s="11">
        <v>12.0</v>
      </c>
      <c r="B587" s="11">
        <v>3.0</v>
      </c>
      <c r="C587" s="11">
        <v>6.0</v>
      </c>
      <c r="D587" s="17">
        <v>62.0</v>
      </c>
      <c r="E587" s="108">
        <v>3.0</v>
      </c>
      <c r="F587" s="109">
        <v>60939.87</v>
      </c>
      <c r="G587" s="109">
        <v>-77035.57</v>
      </c>
      <c r="H587" s="109">
        <v>-61807.6</v>
      </c>
      <c r="I587" s="109">
        <v>29143.35</v>
      </c>
      <c r="J587" s="109">
        <v>61359.11</v>
      </c>
      <c r="K587" s="109">
        <v>-43650.63</v>
      </c>
      <c r="L587" s="109">
        <v>-46590.6</v>
      </c>
      <c r="M587" s="109">
        <v>-12846.41</v>
      </c>
      <c r="N587" s="110">
        <v>41113.0</v>
      </c>
      <c r="O587" s="110">
        <v>40923.0</v>
      </c>
      <c r="P587" s="110">
        <v>52723.0</v>
      </c>
      <c r="Q587" s="110">
        <v>43023.0</v>
      </c>
      <c r="R587" s="50">
        <v>80713.0</v>
      </c>
      <c r="S587" s="111">
        <v>55.0</v>
      </c>
      <c r="T587" s="112">
        <v>8.0</v>
      </c>
      <c r="U587" s="24" t="s">
        <v>31</v>
      </c>
      <c r="V587" s="11" t="s">
        <v>3913</v>
      </c>
      <c r="W587" s="108">
        <v>6.0</v>
      </c>
      <c r="X587" s="113">
        <v>100523.0</v>
      </c>
      <c r="Y587" s="113">
        <v>72821.0</v>
      </c>
      <c r="Z587" s="11">
        <v>176.0</v>
      </c>
      <c r="AA587" s="113">
        <v>50517.0</v>
      </c>
      <c r="AB587" s="109">
        <v>-97299.13</v>
      </c>
      <c r="AC587" s="113">
        <v>72619.0</v>
      </c>
      <c r="AD587" s="108">
        <v>3.0</v>
      </c>
    </row>
    <row r="588">
      <c r="A588" s="11">
        <v>32.0</v>
      </c>
      <c r="B588" s="11">
        <v>8.0</v>
      </c>
      <c r="C588" s="11">
        <v>8.0</v>
      </c>
      <c r="D588" s="17">
        <v>1.0</v>
      </c>
      <c r="E588" s="108">
        <v>2.0</v>
      </c>
      <c r="F588" s="109">
        <v>21539.11</v>
      </c>
      <c r="G588" s="109">
        <v>-34823.52</v>
      </c>
      <c r="H588" s="109">
        <v>74534.79</v>
      </c>
      <c r="I588" s="109">
        <v>42860.21</v>
      </c>
      <c r="J588" s="109">
        <v>75968.41</v>
      </c>
      <c r="K588" s="109">
        <v>43233.79</v>
      </c>
      <c r="L588" s="109">
        <v>-96634.81</v>
      </c>
      <c r="M588" s="109">
        <v>70028.8</v>
      </c>
      <c r="N588" s="110">
        <v>70312.0</v>
      </c>
      <c r="O588" s="110">
        <v>62642.0</v>
      </c>
      <c r="P588" s="110">
        <v>50423.0</v>
      </c>
      <c r="Q588" s="110">
        <v>63042.0</v>
      </c>
      <c r="R588" s="50">
        <v>71519.0</v>
      </c>
      <c r="S588" s="111">
        <v>55.0</v>
      </c>
      <c r="T588" s="112">
        <v>80.0</v>
      </c>
      <c r="U588" s="24" t="s">
        <v>601</v>
      </c>
      <c r="V588" s="11" t="s">
        <v>4057</v>
      </c>
      <c r="W588" s="108">
        <v>1.0</v>
      </c>
      <c r="X588" s="113">
        <v>52813.0</v>
      </c>
      <c r="Y588" s="113">
        <v>91720.0</v>
      </c>
      <c r="Z588" s="11">
        <v>197.0</v>
      </c>
      <c r="AA588" s="113">
        <v>111613.0</v>
      </c>
      <c r="AB588" s="109">
        <v>-89805.71</v>
      </c>
      <c r="AC588" s="113">
        <v>61422.0</v>
      </c>
      <c r="AD588" s="108">
        <v>2.0</v>
      </c>
    </row>
    <row r="589">
      <c r="A589" s="11">
        <v>32.0</v>
      </c>
      <c r="B589" s="11">
        <v>8.0</v>
      </c>
      <c r="C589" s="11">
        <v>9.0</v>
      </c>
      <c r="D589" s="17">
        <v>36.0</v>
      </c>
      <c r="E589" s="108">
        <v>1.0</v>
      </c>
      <c r="F589" s="109">
        <v>30621.66</v>
      </c>
      <c r="G589" s="109">
        <v>83594.75</v>
      </c>
      <c r="H589" s="109">
        <v>-74695.39</v>
      </c>
      <c r="I589" s="109">
        <v>-44953.51</v>
      </c>
      <c r="J589" s="109">
        <v>-6488.32</v>
      </c>
      <c r="K589" s="109">
        <v>-39732.9</v>
      </c>
      <c r="L589" s="109">
        <v>67566.54</v>
      </c>
      <c r="M589" s="109">
        <v>37224.07</v>
      </c>
      <c r="N589" s="110">
        <v>52612.0</v>
      </c>
      <c r="O589" s="110">
        <v>52422.0</v>
      </c>
      <c r="P589" s="110">
        <v>52823.0</v>
      </c>
      <c r="Q589" s="110">
        <v>53122.0</v>
      </c>
      <c r="R589" s="50">
        <v>122022.0</v>
      </c>
      <c r="S589" s="111">
        <v>51.0</v>
      </c>
      <c r="T589" s="112">
        <v>45.0</v>
      </c>
      <c r="U589" s="24" t="s">
        <v>31</v>
      </c>
      <c r="V589" s="11" t="s">
        <v>3916</v>
      </c>
      <c r="W589" s="108">
        <v>7.0</v>
      </c>
      <c r="X589" s="113">
        <v>90714.0</v>
      </c>
      <c r="Y589" s="113">
        <v>21323.0</v>
      </c>
      <c r="Z589" s="11">
        <v>147.0</v>
      </c>
      <c r="AA589" s="113">
        <v>61921.0</v>
      </c>
      <c r="AB589" s="109">
        <v>-37917.5</v>
      </c>
      <c r="AC589" s="113">
        <v>30421.0</v>
      </c>
      <c r="AD589" s="108">
        <v>6.0</v>
      </c>
    </row>
    <row r="590">
      <c r="A590" s="11">
        <v>12.0</v>
      </c>
      <c r="B590" s="11">
        <v>4.0</v>
      </c>
      <c r="C590" s="11">
        <v>3.0</v>
      </c>
      <c r="D590" s="17">
        <v>99.0</v>
      </c>
      <c r="E590" s="108">
        <v>5.0</v>
      </c>
      <c r="F590" s="109">
        <v>-48157.8</v>
      </c>
      <c r="G590" s="109">
        <v>-44336.0</v>
      </c>
      <c r="H590" s="109">
        <v>31470.01</v>
      </c>
      <c r="I590" s="109">
        <v>-99656.92</v>
      </c>
      <c r="J590" s="109">
        <v>-96100.7</v>
      </c>
      <c r="K590" s="109">
        <v>21404.41</v>
      </c>
      <c r="L590" s="109">
        <v>-18418.95</v>
      </c>
      <c r="M590" s="109">
        <v>30049.04</v>
      </c>
      <c r="N590" s="110">
        <v>70714.0</v>
      </c>
      <c r="O590" s="110">
        <v>70234.0</v>
      </c>
      <c r="P590" s="110">
        <v>50123.0</v>
      </c>
      <c r="Q590" s="110">
        <v>73134.0</v>
      </c>
      <c r="R590" s="50">
        <v>92817.0</v>
      </c>
      <c r="S590" s="111">
        <v>55.0</v>
      </c>
      <c r="T590" s="112">
        <v>59.0</v>
      </c>
      <c r="U590" s="24" t="s">
        <v>601</v>
      </c>
      <c r="V590" s="11" t="s">
        <v>3989</v>
      </c>
      <c r="W590" s="108">
        <v>1.0</v>
      </c>
      <c r="X590" s="113">
        <v>30922.0</v>
      </c>
      <c r="Y590" s="113">
        <v>31723.0</v>
      </c>
      <c r="Z590" s="11">
        <v>194.0</v>
      </c>
      <c r="AA590" s="113">
        <v>100318.0</v>
      </c>
      <c r="AB590" s="109">
        <v>-62933.55</v>
      </c>
      <c r="AC590" s="113">
        <v>11218.0</v>
      </c>
      <c r="AD590" s="108">
        <v>5.0</v>
      </c>
    </row>
    <row r="591">
      <c r="A591" s="11">
        <v>73.0</v>
      </c>
      <c r="B591" s="11">
        <v>8.0</v>
      </c>
      <c r="C591" s="11">
        <v>9.0</v>
      </c>
      <c r="D591" s="17">
        <v>82.0</v>
      </c>
      <c r="E591" s="108">
        <v>4.0</v>
      </c>
      <c r="F591" s="109">
        <v>-89629.13</v>
      </c>
      <c r="G591" s="109">
        <v>84983.89</v>
      </c>
      <c r="H591" s="109">
        <v>-90927.78</v>
      </c>
      <c r="I591" s="109">
        <v>6079.87</v>
      </c>
      <c r="J591" s="109">
        <v>25630.5</v>
      </c>
      <c r="K591" s="109">
        <v>-53103.57</v>
      </c>
      <c r="L591" s="109">
        <v>2523.76</v>
      </c>
      <c r="M591" s="109">
        <v>28426.7</v>
      </c>
      <c r="N591" s="110">
        <v>72414.0</v>
      </c>
      <c r="O591" s="110">
        <v>72124.0</v>
      </c>
      <c r="P591" s="110">
        <v>52223.0</v>
      </c>
      <c r="Q591" s="110">
        <v>73124.0</v>
      </c>
      <c r="R591" s="50">
        <v>102615.0</v>
      </c>
      <c r="S591" s="111">
        <v>50.0</v>
      </c>
      <c r="T591" s="112">
        <v>6.0</v>
      </c>
      <c r="U591" s="24" t="s">
        <v>39</v>
      </c>
      <c r="V591" s="11" t="s">
        <v>4056</v>
      </c>
      <c r="W591" s="108">
        <v>9.0</v>
      </c>
      <c r="X591" s="113">
        <v>10214.0</v>
      </c>
      <c r="Y591" s="113">
        <v>40716.0</v>
      </c>
      <c r="Z591" s="11">
        <v>129.0</v>
      </c>
      <c r="AA591" s="113">
        <v>102920.0</v>
      </c>
      <c r="AB591" s="109">
        <v>-69612.08</v>
      </c>
      <c r="AC591" s="113">
        <v>102518.0</v>
      </c>
      <c r="AD591" s="108">
        <v>4.0</v>
      </c>
    </row>
    <row r="592">
      <c r="A592" s="11">
        <v>73.0</v>
      </c>
      <c r="B592" s="11">
        <v>9.0</v>
      </c>
      <c r="C592" s="11">
        <v>3.0</v>
      </c>
      <c r="D592" s="17">
        <v>4.0</v>
      </c>
      <c r="E592" s="108">
        <v>1.0</v>
      </c>
      <c r="F592" s="109">
        <v>-4170.33</v>
      </c>
      <c r="G592" s="109">
        <v>-54774.29</v>
      </c>
      <c r="H592" s="109">
        <v>67197.53</v>
      </c>
      <c r="I592" s="109">
        <v>-92715.94</v>
      </c>
      <c r="J592" s="109">
        <v>91082.66</v>
      </c>
      <c r="K592" s="109">
        <v>1157.31</v>
      </c>
      <c r="L592" s="109">
        <v>-85024.93</v>
      </c>
      <c r="M592" s="109">
        <v>-53894.71</v>
      </c>
      <c r="N592" s="110">
        <v>11411.0</v>
      </c>
      <c r="O592" s="110">
        <v>11121.0</v>
      </c>
      <c r="P592" s="110">
        <v>52023.0</v>
      </c>
      <c r="Q592" s="110">
        <v>13121.0</v>
      </c>
      <c r="R592" s="50">
        <v>11016.0</v>
      </c>
      <c r="S592" s="111">
        <v>50.0</v>
      </c>
      <c r="T592" s="112">
        <v>43.0</v>
      </c>
      <c r="U592" s="24" t="s">
        <v>39</v>
      </c>
      <c r="V592" s="11" t="s">
        <v>4054</v>
      </c>
      <c r="W592" s="108">
        <v>7.0</v>
      </c>
      <c r="X592" s="113">
        <v>111917.0</v>
      </c>
      <c r="Y592" s="113">
        <v>80314.0</v>
      </c>
      <c r="Z592" s="11">
        <v>167.0</v>
      </c>
      <c r="AA592" s="113">
        <v>71718.0</v>
      </c>
      <c r="AB592" s="109">
        <v>-70719.01</v>
      </c>
      <c r="AC592" s="113">
        <v>91018.0</v>
      </c>
      <c r="AD592" s="108">
        <v>5.0</v>
      </c>
    </row>
    <row r="593">
      <c r="A593" s="11">
        <v>94.0</v>
      </c>
      <c r="B593" s="11">
        <v>4.0</v>
      </c>
      <c r="C593" s="11">
        <v>2.0</v>
      </c>
      <c r="D593" s="17">
        <v>40.0</v>
      </c>
      <c r="E593" s="108">
        <v>1.0</v>
      </c>
      <c r="F593" s="109">
        <v>-44921.25</v>
      </c>
      <c r="G593" s="109">
        <v>70874.09</v>
      </c>
      <c r="H593" s="109">
        <v>37458.83</v>
      </c>
      <c r="I593" s="109">
        <v>28572.86</v>
      </c>
      <c r="J593" s="109">
        <v>-23163.77</v>
      </c>
      <c r="K593" s="109">
        <v>74973.55</v>
      </c>
      <c r="L593" s="109">
        <v>89983.4</v>
      </c>
      <c r="M593" s="109">
        <v>42604.67</v>
      </c>
      <c r="N593" s="110">
        <v>100212.0</v>
      </c>
      <c r="O593" s="110">
        <v>92732.0</v>
      </c>
      <c r="P593" s="110">
        <v>52323.0</v>
      </c>
      <c r="Q593" s="110">
        <v>93032.0</v>
      </c>
      <c r="R593" s="50">
        <v>50522.0</v>
      </c>
      <c r="S593" s="111">
        <v>52.0</v>
      </c>
      <c r="T593" s="112">
        <v>72.0</v>
      </c>
      <c r="U593" s="24" t="s">
        <v>603</v>
      </c>
      <c r="V593" s="11" t="s">
        <v>3987</v>
      </c>
      <c r="W593" s="108">
        <v>2.0</v>
      </c>
      <c r="X593" s="113">
        <v>20418.0</v>
      </c>
      <c r="Y593" s="113">
        <v>80621.0</v>
      </c>
      <c r="Z593" s="11">
        <v>196.0</v>
      </c>
      <c r="AA593" s="113">
        <v>21323.0</v>
      </c>
      <c r="AB593" s="109">
        <v>-48268.12</v>
      </c>
      <c r="AC593" s="113">
        <v>62822.0</v>
      </c>
      <c r="AD593" s="108">
        <v>2.0</v>
      </c>
    </row>
    <row r="594">
      <c r="A594" s="11">
        <v>53.0</v>
      </c>
      <c r="B594" s="11">
        <v>4.0</v>
      </c>
      <c r="C594" s="11">
        <v>7.0</v>
      </c>
      <c r="D594" s="17">
        <v>63.0</v>
      </c>
      <c r="E594" s="108">
        <v>9.0</v>
      </c>
      <c r="F594" s="109">
        <v>71985.65</v>
      </c>
      <c r="G594" s="109">
        <v>77521.83</v>
      </c>
      <c r="H594" s="109">
        <v>-48331.6</v>
      </c>
      <c r="I594" s="109">
        <v>-50623.84</v>
      </c>
      <c r="J594" s="109">
        <v>-54882.75</v>
      </c>
      <c r="K594" s="109">
        <v>48522.94</v>
      </c>
      <c r="L594" s="109">
        <v>-60405.54</v>
      </c>
      <c r="M594" s="109">
        <v>32147.12</v>
      </c>
      <c r="N594" s="110">
        <v>22412.0</v>
      </c>
      <c r="O594" s="110">
        <v>22122.0</v>
      </c>
      <c r="P594" s="110">
        <v>50523.0</v>
      </c>
      <c r="Q594" s="110">
        <v>22822.0</v>
      </c>
      <c r="R594" s="50">
        <v>122214.0</v>
      </c>
      <c r="S594" s="111">
        <v>54.0</v>
      </c>
      <c r="T594" s="112">
        <v>22.0</v>
      </c>
      <c r="U594" s="24" t="s">
        <v>603</v>
      </c>
      <c r="V594" s="11" t="s">
        <v>4080</v>
      </c>
      <c r="W594" s="108">
        <v>8.0</v>
      </c>
      <c r="X594" s="113">
        <v>122114.0</v>
      </c>
      <c r="Y594" s="113">
        <v>73116.0</v>
      </c>
      <c r="Z594" s="11">
        <v>161.0</v>
      </c>
      <c r="AA594" s="113">
        <v>102415.0</v>
      </c>
      <c r="AB594" s="109">
        <v>-51082.6</v>
      </c>
      <c r="AC594" s="113">
        <v>32422.0</v>
      </c>
      <c r="AD594" s="108">
        <v>6.0</v>
      </c>
    </row>
    <row r="595">
      <c r="A595" s="11">
        <v>53.0</v>
      </c>
      <c r="B595" s="11">
        <v>4.0</v>
      </c>
      <c r="C595" s="11">
        <v>5.0</v>
      </c>
      <c r="D595" s="17">
        <v>97.0</v>
      </c>
      <c r="E595" s="108">
        <v>5.0</v>
      </c>
      <c r="F595" s="109">
        <v>-628.78</v>
      </c>
      <c r="G595" s="109">
        <v>4474.57</v>
      </c>
      <c r="H595" s="109">
        <v>12945.66</v>
      </c>
      <c r="I595" s="109">
        <v>-75360.1</v>
      </c>
      <c r="J595" s="109">
        <v>2987.25</v>
      </c>
      <c r="K595" s="109">
        <v>35789.71</v>
      </c>
      <c r="L595" s="109">
        <v>64969.62</v>
      </c>
      <c r="M595" s="109">
        <v>-42126.42</v>
      </c>
      <c r="N595" s="110">
        <v>50512.0</v>
      </c>
      <c r="O595" s="110">
        <v>43032.0</v>
      </c>
      <c r="P595" s="110">
        <v>50923.0</v>
      </c>
      <c r="Q595" s="110">
        <v>43032.0</v>
      </c>
      <c r="R595" s="50">
        <v>72618.0</v>
      </c>
      <c r="S595" s="111">
        <v>54.0</v>
      </c>
      <c r="T595" s="112">
        <v>24.0</v>
      </c>
      <c r="U595" s="24" t="s">
        <v>39</v>
      </c>
      <c r="V595" s="11" t="s">
        <v>4081</v>
      </c>
      <c r="W595" s="108">
        <v>1.0</v>
      </c>
      <c r="X595" s="113">
        <v>70921.0</v>
      </c>
      <c r="Y595" s="113">
        <v>82317.0</v>
      </c>
      <c r="Z595" s="11">
        <v>129.0</v>
      </c>
      <c r="AA595" s="113">
        <v>61722.0</v>
      </c>
      <c r="AB595" s="109">
        <v>26794.63</v>
      </c>
      <c r="AC595" s="113">
        <v>42113.0</v>
      </c>
      <c r="AD595" s="108">
        <v>6.0</v>
      </c>
    </row>
    <row r="596">
      <c r="A596" s="11">
        <v>32.0</v>
      </c>
      <c r="B596" s="11">
        <v>9.0</v>
      </c>
      <c r="C596" s="11">
        <v>8.0</v>
      </c>
      <c r="D596" s="17">
        <v>77.0</v>
      </c>
      <c r="E596" s="108">
        <v>2.0</v>
      </c>
      <c r="F596" s="109">
        <v>-42402.32</v>
      </c>
      <c r="G596" s="109">
        <v>83808.24</v>
      </c>
      <c r="H596" s="109">
        <v>-10393.98</v>
      </c>
      <c r="I596" s="109">
        <v>15171.83</v>
      </c>
      <c r="J596" s="109">
        <v>-90123.95</v>
      </c>
      <c r="K596" s="109">
        <v>-77805.7</v>
      </c>
      <c r="L596" s="109">
        <v>92072.06</v>
      </c>
      <c r="M596" s="109">
        <v>72990.0</v>
      </c>
      <c r="N596" s="110">
        <v>20212.0</v>
      </c>
      <c r="O596" s="110">
        <v>13022.0</v>
      </c>
      <c r="P596" s="110">
        <v>50923.0</v>
      </c>
      <c r="Q596" s="110">
        <v>13122.0</v>
      </c>
      <c r="R596" s="50">
        <v>42115.0</v>
      </c>
      <c r="S596" s="111">
        <v>52.0</v>
      </c>
      <c r="T596" s="112">
        <v>29.0</v>
      </c>
      <c r="U596" s="24" t="s">
        <v>31</v>
      </c>
      <c r="V596" s="11" t="s">
        <v>4073</v>
      </c>
      <c r="W596" s="108">
        <v>1.0</v>
      </c>
      <c r="X596" s="113">
        <v>82119.0</v>
      </c>
      <c r="Y596" s="113">
        <v>43023.0</v>
      </c>
      <c r="Z596" s="11">
        <v>117.0</v>
      </c>
      <c r="AA596" s="113">
        <v>71118.0</v>
      </c>
      <c r="AB596" s="109">
        <v>-8075.29</v>
      </c>
      <c r="AC596" s="113">
        <v>102616.0</v>
      </c>
      <c r="AD596" s="108">
        <v>5.0</v>
      </c>
    </row>
    <row r="597">
      <c r="A597" s="11">
        <v>53.0</v>
      </c>
      <c r="B597" s="11">
        <v>5.0</v>
      </c>
      <c r="C597" s="11">
        <v>4.0</v>
      </c>
      <c r="D597" s="17">
        <v>76.0</v>
      </c>
      <c r="E597" s="108">
        <v>6.0</v>
      </c>
      <c r="F597" s="109">
        <v>43166.17</v>
      </c>
      <c r="G597" s="109">
        <v>-33387.6</v>
      </c>
      <c r="H597" s="109">
        <v>-29272.7</v>
      </c>
      <c r="I597" s="109">
        <v>-62100.27</v>
      </c>
      <c r="J597" s="109">
        <v>42290.33</v>
      </c>
      <c r="K597" s="109">
        <v>24527.7</v>
      </c>
      <c r="L597" s="109">
        <v>79695.25</v>
      </c>
      <c r="M597" s="109">
        <v>22915.22</v>
      </c>
      <c r="N597" s="110">
        <v>22311.0</v>
      </c>
      <c r="O597" s="110">
        <v>22021.0</v>
      </c>
      <c r="P597" s="110">
        <v>50823.0</v>
      </c>
      <c r="Q597" s="110">
        <v>22821.0</v>
      </c>
      <c r="R597" s="50">
        <v>91619.0</v>
      </c>
      <c r="S597" s="111">
        <v>54.0</v>
      </c>
      <c r="T597" s="112">
        <v>12.0</v>
      </c>
      <c r="U597" s="24" t="s">
        <v>48</v>
      </c>
      <c r="V597" s="11" t="s">
        <v>3922</v>
      </c>
      <c r="W597" s="108">
        <v>7.0</v>
      </c>
      <c r="X597" s="113">
        <v>120615.0</v>
      </c>
      <c r="Y597" s="113">
        <v>52119.0</v>
      </c>
      <c r="Z597" s="11">
        <v>154.0</v>
      </c>
      <c r="AA597" s="113">
        <v>33120.0</v>
      </c>
      <c r="AB597" s="109">
        <v>-14717.85</v>
      </c>
      <c r="AC597" s="113">
        <v>60221.0</v>
      </c>
      <c r="AD597" s="108">
        <v>9.0</v>
      </c>
    </row>
    <row r="598">
      <c r="A598" s="11">
        <v>12.0</v>
      </c>
      <c r="B598" s="11">
        <v>5.0</v>
      </c>
      <c r="C598" s="11">
        <v>9.0</v>
      </c>
      <c r="D598" s="17">
        <v>10.0</v>
      </c>
      <c r="E598" s="108">
        <v>8.0</v>
      </c>
      <c r="F598" s="109">
        <v>24234.18</v>
      </c>
      <c r="G598" s="109">
        <v>-66526.4</v>
      </c>
      <c r="H598" s="109">
        <v>82500.83</v>
      </c>
      <c r="I598" s="109">
        <v>-97011.6</v>
      </c>
      <c r="J598" s="109">
        <v>-89077.81</v>
      </c>
      <c r="K598" s="109">
        <v>-15191.22</v>
      </c>
      <c r="L598" s="109">
        <v>-20946.01</v>
      </c>
      <c r="M598" s="109">
        <v>19420.61</v>
      </c>
      <c r="N598" s="110">
        <v>70313.0</v>
      </c>
      <c r="O598" s="110">
        <v>62833.0</v>
      </c>
      <c r="P598" s="110">
        <v>51523.0</v>
      </c>
      <c r="Q598" s="110">
        <v>63033.0</v>
      </c>
      <c r="R598" s="50">
        <v>33115.0</v>
      </c>
      <c r="S598" s="111">
        <v>52.0</v>
      </c>
      <c r="T598" s="112">
        <v>61.0</v>
      </c>
      <c r="U598" s="24" t="s">
        <v>48</v>
      </c>
      <c r="V598" s="11" t="s">
        <v>3906</v>
      </c>
      <c r="W598" s="108">
        <v>7.0</v>
      </c>
      <c r="X598" s="113">
        <v>12317.0</v>
      </c>
      <c r="Y598" s="113">
        <v>31620.0</v>
      </c>
      <c r="Z598" s="11">
        <v>136.0</v>
      </c>
      <c r="AA598" s="113">
        <v>122320.0</v>
      </c>
      <c r="AB598" s="109">
        <v>42712.99</v>
      </c>
      <c r="AC598" s="113">
        <v>21513.0</v>
      </c>
      <c r="AD598" s="108">
        <v>2.0</v>
      </c>
    </row>
    <row r="599">
      <c r="A599" s="11">
        <v>12.0</v>
      </c>
      <c r="B599" s="11">
        <v>6.0</v>
      </c>
      <c r="C599" s="11">
        <v>3.0</v>
      </c>
      <c r="D599" s="17">
        <v>32.0</v>
      </c>
      <c r="E599" s="108">
        <v>8.0</v>
      </c>
      <c r="F599" s="109">
        <v>-24902.42</v>
      </c>
      <c r="G599" s="109">
        <v>-90710.58</v>
      </c>
      <c r="H599" s="109">
        <v>-57834.37</v>
      </c>
      <c r="I599" s="109">
        <v>-79150.98</v>
      </c>
      <c r="J599" s="109">
        <v>-24362.69</v>
      </c>
      <c r="K599" s="109">
        <v>6437.27</v>
      </c>
      <c r="L599" s="109">
        <v>18124.95</v>
      </c>
      <c r="M599" s="109">
        <v>-43473.04</v>
      </c>
      <c r="N599" s="110">
        <v>71213.0</v>
      </c>
      <c r="O599" s="110">
        <v>70543.0</v>
      </c>
      <c r="P599" s="110">
        <v>50223.0</v>
      </c>
      <c r="Q599" s="110">
        <v>73143.0</v>
      </c>
      <c r="R599" s="50">
        <v>42120.0</v>
      </c>
      <c r="S599" s="111">
        <v>51.0</v>
      </c>
      <c r="T599" s="112">
        <v>68.0</v>
      </c>
      <c r="U599" s="24" t="s">
        <v>31</v>
      </c>
      <c r="V599" s="11" t="s">
        <v>4026</v>
      </c>
      <c r="W599" s="108">
        <v>6.0</v>
      </c>
      <c r="X599" s="113">
        <v>20215.0</v>
      </c>
      <c r="Y599" s="113">
        <v>32516.0</v>
      </c>
      <c r="Z599" s="11">
        <v>135.0</v>
      </c>
      <c r="AA599" s="113">
        <v>92221.0</v>
      </c>
      <c r="AB599" s="109">
        <v>-85703.14</v>
      </c>
      <c r="AC599" s="113">
        <v>102322.0</v>
      </c>
      <c r="AD599" s="108">
        <v>6.0</v>
      </c>
    </row>
    <row r="600">
      <c r="A600" s="11">
        <v>12.0</v>
      </c>
      <c r="B600" s="11">
        <v>6.0</v>
      </c>
      <c r="C600" s="11">
        <v>7.0</v>
      </c>
      <c r="D600" s="17">
        <v>25.0</v>
      </c>
      <c r="E600" s="108">
        <v>9.0</v>
      </c>
      <c r="F600" s="109">
        <v>-97712.16</v>
      </c>
      <c r="G600" s="109">
        <v>68134.72</v>
      </c>
      <c r="H600" s="109">
        <v>-2440.02</v>
      </c>
      <c r="I600" s="109">
        <v>-75140.44</v>
      </c>
      <c r="J600" s="109">
        <v>-11076.14</v>
      </c>
      <c r="K600" s="109">
        <v>-35964.02</v>
      </c>
      <c r="L600" s="109">
        <v>-41416.6</v>
      </c>
      <c r="M600" s="109">
        <v>71244.58</v>
      </c>
      <c r="N600" s="110">
        <v>50512.0</v>
      </c>
      <c r="O600" s="110">
        <v>50322.0</v>
      </c>
      <c r="P600" s="110">
        <v>50523.0</v>
      </c>
      <c r="Q600" s="110">
        <v>53122.0</v>
      </c>
      <c r="R600" s="50">
        <v>22916.0</v>
      </c>
      <c r="S600" s="111">
        <v>55.0</v>
      </c>
      <c r="T600" s="112">
        <v>1.0</v>
      </c>
      <c r="U600" s="24" t="s">
        <v>31</v>
      </c>
      <c r="V600" s="11" t="s">
        <v>3871</v>
      </c>
      <c r="W600" s="108">
        <v>1.0</v>
      </c>
      <c r="X600" s="113">
        <v>31021.0</v>
      </c>
      <c r="Y600" s="113">
        <v>121323.0</v>
      </c>
      <c r="Z600" s="11">
        <v>159.0</v>
      </c>
      <c r="AA600" s="113">
        <v>91421.0</v>
      </c>
      <c r="AB600" s="109">
        <v>-49473.63</v>
      </c>
      <c r="AC600" s="113">
        <v>92313.0</v>
      </c>
      <c r="AD600" s="108">
        <v>0.0</v>
      </c>
    </row>
    <row r="601">
      <c r="A601" s="11">
        <v>33.0</v>
      </c>
      <c r="B601" s="11">
        <v>1.0</v>
      </c>
      <c r="C601" s="11">
        <v>5.0</v>
      </c>
      <c r="D601" s="17">
        <v>61.0</v>
      </c>
      <c r="E601" s="108">
        <v>0.0</v>
      </c>
      <c r="F601" s="109">
        <v>98474.46</v>
      </c>
      <c r="G601" s="109">
        <v>-3123.04</v>
      </c>
      <c r="H601" s="109">
        <v>-93344.72</v>
      </c>
      <c r="I601" s="109">
        <v>-15922.59</v>
      </c>
      <c r="J601" s="109">
        <v>68357.66</v>
      </c>
      <c r="K601" s="109">
        <v>-30540.8</v>
      </c>
      <c r="L601" s="109">
        <v>-6795.92</v>
      </c>
      <c r="M601" s="109">
        <v>-39410.77</v>
      </c>
      <c r="N601" s="110">
        <v>91612.0</v>
      </c>
      <c r="O601" s="110">
        <v>91422.0</v>
      </c>
      <c r="P601" s="110">
        <v>51123.0</v>
      </c>
      <c r="Q601" s="110">
        <v>93022.0</v>
      </c>
      <c r="R601" s="50">
        <v>100414.0</v>
      </c>
      <c r="S601" s="111">
        <v>52.0</v>
      </c>
      <c r="T601" s="112">
        <v>33.0</v>
      </c>
      <c r="U601" s="24" t="s">
        <v>601</v>
      </c>
      <c r="V601" s="11" t="s">
        <v>3910</v>
      </c>
      <c r="W601" s="108">
        <v>8.0</v>
      </c>
      <c r="X601" s="113">
        <v>63121.0</v>
      </c>
      <c r="Y601" s="113">
        <v>80520.0</v>
      </c>
      <c r="Z601" s="11">
        <v>114.0</v>
      </c>
      <c r="AA601" s="113">
        <v>72816.0</v>
      </c>
      <c r="AB601" s="109">
        <v>12866.65</v>
      </c>
      <c r="AC601" s="113">
        <v>90817.0</v>
      </c>
      <c r="AD601" s="108">
        <v>4.0</v>
      </c>
    </row>
    <row r="602">
      <c r="A602" s="11">
        <v>12.0</v>
      </c>
      <c r="B602" s="11">
        <v>6.0</v>
      </c>
      <c r="C602" s="11">
        <v>9.0</v>
      </c>
      <c r="D602" s="17">
        <v>81.0</v>
      </c>
      <c r="E602" s="108">
        <v>7.0</v>
      </c>
      <c r="F602" s="109">
        <v>46775.57</v>
      </c>
      <c r="G602" s="109">
        <v>19169.47</v>
      </c>
      <c r="H602" s="109">
        <v>67269.11</v>
      </c>
      <c r="I602" s="109">
        <v>-58421.26</v>
      </c>
      <c r="J602" s="109">
        <v>-77291.61</v>
      </c>
      <c r="K602" s="109">
        <v>6924.99</v>
      </c>
      <c r="L602" s="109">
        <v>-85478.63</v>
      </c>
      <c r="M602" s="109">
        <v>75499.6</v>
      </c>
      <c r="N602" s="110">
        <v>70212.0</v>
      </c>
      <c r="O602" s="110">
        <v>62732.0</v>
      </c>
      <c r="P602" s="110">
        <v>51723.0</v>
      </c>
      <c r="Q602" s="110">
        <v>63032.0</v>
      </c>
      <c r="R602" s="50">
        <v>22018.0</v>
      </c>
      <c r="S602" s="111">
        <v>53.0</v>
      </c>
      <c r="T602" s="112">
        <v>70.0</v>
      </c>
      <c r="U602" s="24" t="s">
        <v>31</v>
      </c>
      <c r="V602" s="11" t="s">
        <v>3969</v>
      </c>
      <c r="W602" s="108">
        <v>5.0</v>
      </c>
      <c r="X602" s="113">
        <v>120217.0</v>
      </c>
      <c r="Y602" s="113">
        <v>121923.0</v>
      </c>
      <c r="Z602" s="11">
        <v>100.0</v>
      </c>
      <c r="AA602" s="113">
        <v>21015.0</v>
      </c>
      <c r="AB602" s="109">
        <v>-94508.27</v>
      </c>
      <c r="AC602" s="113">
        <v>92919.0</v>
      </c>
      <c r="AD602" s="108">
        <v>5.0</v>
      </c>
    </row>
    <row r="603">
      <c r="A603" s="11">
        <v>74.0</v>
      </c>
      <c r="B603" s="11">
        <v>1.0</v>
      </c>
      <c r="C603" s="11">
        <v>6.0</v>
      </c>
      <c r="D603" s="17">
        <v>71.0</v>
      </c>
      <c r="E603" s="108">
        <v>6.0</v>
      </c>
      <c r="F603" s="109">
        <v>95088.44</v>
      </c>
      <c r="G603" s="109">
        <v>-20472.59</v>
      </c>
      <c r="H603" s="109">
        <v>-37593.91</v>
      </c>
      <c r="I603" s="109">
        <v>-85947.49</v>
      </c>
      <c r="J603" s="109">
        <v>-29752.5</v>
      </c>
      <c r="K603" s="109">
        <v>96348.25</v>
      </c>
      <c r="L603" s="109">
        <v>16454.73</v>
      </c>
      <c r="M603" s="109">
        <v>-4749.95</v>
      </c>
      <c r="N603" s="110">
        <v>110712.0</v>
      </c>
      <c r="O603" s="110">
        <v>110522.0</v>
      </c>
      <c r="P603" s="110">
        <v>50923.0</v>
      </c>
      <c r="Q603" s="110">
        <v>113022.0</v>
      </c>
      <c r="R603" s="50">
        <v>110716.0</v>
      </c>
      <c r="S603" s="111">
        <v>52.0</v>
      </c>
      <c r="T603" s="112">
        <v>67.0</v>
      </c>
      <c r="U603" s="24" t="s">
        <v>601</v>
      </c>
      <c r="V603" s="11" t="s">
        <v>3989</v>
      </c>
      <c r="W603" s="108">
        <v>6.0</v>
      </c>
      <c r="X603" s="113">
        <v>50715.0</v>
      </c>
      <c r="Y603" s="113">
        <v>112220.0</v>
      </c>
      <c r="Z603" s="11">
        <v>156.0</v>
      </c>
      <c r="AA603" s="113">
        <v>83113.0</v>
      </c>
      <c r="AB603" s="109">
        <v>70632.11</v>
      </c>
      <c r="AC603" s="113">
        <v>12222.0</v>
      </c>
      <c r="AD603" s="108">
        <v>0.0</v>
      </c>
    </row>
    <row r="604">
      <c r="A604" s="11">
        <v>53.0</v>
      </c>
      <c r="B604" s="11">
        <v>7.0</v>
      </c>
      <c r="C604" s="11">
        <v>2.0</v>
      </c>
      <c r="D604" s="17">
        <v>52.0</v>
      </c>
      <c r="E604" s="108">
        <v>7.0</v>
      </c>
      <c r="F604" s="109">
        <v>58717.51</v>
      </c>
      <c r="G604" s="109">
        <v>88285.1</v>
      </c>
      <c r="H604" s="109">
        <v>51750.22</v>
      </c>
      <c r="I604" s="109">
        <v>-3668.0</v>
      </c>
      <c r="J604" s="109">
        <v>72641.85</v>
      </c>
      <c r="K604" s="109">
        <v>56542.4</v>
      </c>
      <c r="L604" s="109">
        <v>60942.16</v>
      </c>
      <c r="M604" s="109">
        <v>-54425.85</v>
      </c>
      <c r="N604" s="110">
        <v>42013.0</v>
      </c>
      <c r="O604" s="110">
        <v>41343.0</v>
      </c>
      <c r="P604" s="110">
        <v>50523.0</v>
      </c>
      <c r="Q604" s="110">
        <v>43043.0</v>
      </c>
      <c r="R604" s="50">
        <v>72816.0</v>
      </c>
      <c r="S604" s="111">
        <v>53.0</v>
      </c>
      <c r="T604" s="112">
        <v>84.0</v>
      </c>
      <c r="U604" s="24" t="s">
        <v>39</v>
      </c>
      <c r="V604" s="11" t="s">
        <v>3861</v>
      </c>
      <c r="W604" s="108">
        <v>9.0</v>
      </c>
      <c r="X604" s="113">
        <v>40723.0</v>
      </c>
      <c r="Y604" s="113">
        <v>32314.0</v>
      </c>
      <c r="Z604" s="11">
        <v>148.0</v>
      </c>
      <c r="AA604" s="113">
        <v>120822.0</v>
      </c>
      <c r="AB604" s="109">
        <v>-77002.98</v>
      </c>
      <c r="AC604" s="113">
        <v>113122.0</v>
      </c>
      <c r="AD604" s="108">
        <v>1.0</v>
      </c>
    </row>
    <row r="605">
      <c r="A605" s="11">
        <v>94.0</v>
      </c>
      <c r="B605" s="11">
        <v>6.0</v>
      </c>
      <c r="C605" s="11">
        <v>8.0</v>
      </c>
      <c r="D605" s="17">
        <v>97.0</v>
      </c>
      <c r="E605" s="108">
        <v>8.0</v>
      </c>
      <c r="F605" s="109">
        <v>31932.95</v>
      </c>
      <c r="G605" s="109">
        <v>45201.6</v>
      </c>
      <c r="H605" s="109">
        <v>-54431.09</v>
      </c>
      <c r="I605" s="109">
        <v>-32918.37</v>
      </c>
      <c r="J605" s="109">
        <v>70876.79</v>
      </c>
      <c r="K605" s="109">
        <v>20103.24</v>
      </c>
      <c r="L605" s="109">
        <v>23566.19</v>
      </c>
      <c r="M605" s="109">
        <v>54.46</v>
      </c>
      <c r="N605" s="110">
        <v>121910.0</v>
      </c>
      <c r="O605" s="110">
        <v>121620.0</v>
      </c>
      <c r="P605" s="110">
        <v>51223.0</v>
      </c>
      <c r="Q605" s="110">
        <v>123119.0</v>
      </c>
      <c r="R605" s="50">
        <v>72615.0</v>
      </c>
      <c r="S605" s="111">
        <v>53.0</v>
      </c>
      <c r="T605" s="112">
        <v>8.0</v>
      </c>
      <c r="U605" s="24" t="s">
        <v>39</v>
      </c>
      <c r="V605" s="11" t="s">
        <v>3993</v>
      </c>
      <c r="W605" s="108">
        <v>1.0</v>
      </c>
      <c r="X605" s="113">
        <v>80619.0</v>
      </c>
      <c r="Y605" s="113">
        <v>62917.0</v>
      </c>
      <c r="Z605" s="11">
        <v>156.0</v>
      </c>
      <c r="AA605" s="113">
        <v>100215.0</v>
      </c>
      <c r="AB605" s="109">
        <v>3597.78</v>
      </c>
      <c r="AC605" s="113">
        <v>52419.0</v>
      </c>
      <c r="AD605" s="108">
        <v>5.0</v>
      </c>
    </row>
    <row r="606">
      <c r="A606" s="11">
        <v>12.0</v>
      </c>
      <c r="B606" s="11">
        <v>7.0</v>
      </c>
      <c r="C606" s="11">
        <v>8.0</v>
      </c>
      <c r="D606" s="17">
        <v>94.0</v>
      </c>
      <c r="E606" s="108">
        <v>7.0</v>
      </c>
      <c r="F606" s="109">
        <v>-50370.51</v>
      </c>
      <c r="G606" s="109">
        <v>-44108.73</v>
      </c>
      <c r="H606" s="109">
        <v>71792.62</v>
      </c>
      <c r="I606" s="109">
        <v>-84698.19</v>
      </c>
      <c r="J606" s="109">
        <v>-21593.47</v>
      </c>
      <c r="K606" s="109">
        <v>-15892.88</v>
      </c>
      <c r="L606" s="109">
        <v>19911.77</v>
      </c>
      <c r="M606" s="109">
        <v>-72331.22</v>
      </c>
      <c r="N606" s="110">
        <v>72910.0</v>
      </c>
      <c r="O606" s="110">
        <v>72620.0</v>
      </c>
      <c r="P606" s="110">
        <v>52123.0</v>
      </c>
      <c r="Q606" s="110">
        <v>73120.0</v>
      </c>
      <c r="R606" s="50">
        <v>90615.0</v>
      </c>
      <c r="S606" s="111">
        <v>53.0</v>
      </c>
      <c r="T606" s="112">
        <v>82.0</v>
      </c>
      <c r="U606" s="24" t="s">
        <v>31</v>
      </c>
      <c r="V606" s="11" t="s">
        <v>4044</v>
      </c>
      <c r="W606" s="108">
        <v>3.0</v>
      </c>
      <c r="X606" s="113">
        <v>51617.0</v>
      </c>
      <c r="Y606" s="113">
        <v>121515.0</v>
      </c>
      <c r="Z606" s="11">
        <v>147.0</v>
      </c>
      <c r="AA606" s="113">
        <v>92023.0</v>
      </c>
      <c r="AB606" s="109">
        <v>87336.51</v>
      </c>
      <c r="AC606" s="113">
        <v>41423.0</v>
      </c>
      <c r="AD606" s="108">
        <v>9.0</v>
      </c>
    </row>
    <row r="607">
      <c r="A607" s="11">
        <v>53.0</v>
      </c>
      <c r="B607" s="11">
        <v>7.0</v>
      </c>
      <c r="C607" s="11">
        <v>3.0</v>
      </c>
      <c r="D607" s="17">
        <v>5.0</v>
      </c>
      <c r="E607" s="108">
        <v>1.0</v>
      </c>
      <c r="F607" s="109">
        <v>6289.99</v>
      </c>
      <c r="G607" s="109">
        <v>-26346.45</v>
      </c>
      <c r="H607" s="109">
        <v>18251.54</v>
      </c>
      <c r="I607" s="109">
        <v>869.41</v>
      </c>
      <c r="J607" s="109">
        <v>62463.9</v>
      </c>
      <c r="K607" s="109">
        <v>63059.64</v>
      </c>
      <c r="L607" s="109">
        <v>39287.62</v>
      </c>
      <c r="M607" s="109">
        <v>-80846.13</v>
      </c>
      <c r="N607" s="110">
        <v>81411.0</v>
      </c>
      <c r="O607" s="110">
        <v>80931.0</v>
      </c>
      <c r="P607" s="110">
        <v>50123.0</v>
      </c>
      <c r="Q607" s="110">
        <v>83131.0</v>
      </c>
      <c r="R607" s="50">
        <v>41720.0</v>
      </c>
      <c r="S607" s="111">
        <v>55.0</v>
      </c>
      <c r="T607" s="112">
        <v>25.0</v>
      </c>
      <c r="U607" s="24" t="s">
        <v>48</v>
      </c>
      <c r="V607" s="11" t="s">
        <v>3873</v>
      </c>
      <c r="W607" s="108">
        <v>6.0</v>
      </c>
      <c r="X607" s="113">
        <v>52019.0</v>
      </c>
      <c r="Y607" s="113">
        <v>120518.0</v>
      </c>
      <c r="Z607" s="11">
        <v>116.0</v>
      </c>
      <c r="AA607" s="113">
        <v>100220.0</v>
      </c>
      <c r="AB607" s="109">
        <v>-54233.84</v>
      </c>
      <c r="AC607" s="113">
        <v>21623.0</v>
      </c>
      <c r="AD607" s="108">
        <v>9.0</v>
      </c>
    </row>
    <row r="608">
      <c r="A608" s="11">
        <v>33.0</v>
      </c>
      <c r="B608" s="11">
        <v>2.0</v>
      </c>
      <c r="C608" s="11">
        <v>9.0</v>
      </c>
      <c r="D608" s="17">
        <v>49.0</v>
      </c>
      <c r="E608" s="108">
        <v>9.0</v>
      </c>
      <c r="F608" s="109">
        <v>31834.46</v>
      </c>
      <c r="G608" s="109">
        <v>42370.87</v>
      </c>
      <c r="H608" s="109">
        <v>53914.47</v>
      </c>
      <c r="I608" s="109">
        <v>-13621.15</v>
      </c>
      <c r="J608" s="109">
        <v>-42776.33</v>
      </c>
      <c r="K608" s="109">
        <v>-97329.6</v>
      </c>
      <c r="L608" s="109">
        <v>-73214.66</v>
      </c>
      <c r="M608" s="109">
        <v>6949.36</v>
      </c>
      <c r="N608" s="110">
        <v>31411.0</v>
      </c>
      <c r="O608" s="110">
        <v>30931.0</v>
      </c>
      <c r="P608" s="110">
        <v>50723.0</v>
      </c>
      <c r="Q608" s="110">
        <v>33131.0</v>
      </c>
      <c r="R608" s="50">
        <v>30516.0</v>
      </c>
      <c r="S608" s="111">
        <v>55.0</v>
      </c>
      <c r="T608" s="112">
        <v>82.0</v>
      </c>
      <c r="U608" s="24" t="s">
        <v>48</v>
      </c>
      <c r="V608" s="11" t="s">
        <v>3992</v>
      </c>
      <c r="W608" s="108">
        <v>8.0</v>
      </c>
      <c r="X608" s="113">
        <v>100423.0</v>
      </c>
      <c r="Y608" s="113">
        <v>12321.0</v>
      </c>
      <c r="Z608" s="11">
        <v>191.0</v>
      </c>
      <c r="AA608" s="113">
        <v>90618.0</v>
      </c>
      <c r="AB608" s="109">
        <v>49847.87</v>
      </c>
      <c r="AC608" s="113">
        <v>100218.0</v>
      </c>
      <c r="AD608" s="108">
        <v>6.0</v>
      </c>
    </row>
    <row r="609">
      <c r="A609" s="11">
        <v>74.0</v>
      </c>
      <c r="B609" s="11">
        <v>2.0</v>
      </c>
      <c r="C609" s="11">
        <v>7.0</v>
      </c>
      <c r="D609" s="17">
        <v>94.0</v>
      </c>
      <c r="E609" s="108">
        <v>3.0</v>
      </c>
      <c r="F609" s="109">
        <v>36450.77</v>
      </c>
      <c r="G609" s="109">
        <v>-7230.96</v>
      </c>
      <c r="H609" s="109">
        <v>-39523.0</v>
      </c>
      <c r="I609" s="109">
        <v>2335.34</v>
      </c>
      <c r="J609" s="109">
        <v>78782.19</v>
      </c>
      <c r="K609" s="109">
        <v>30497.35</v>
      </c>
      <c r="L609" s="109">
        <v>20725.19</v>
      </c>
      <c r="M609" s="109">
        <v>26786.2</v>
      </c>
      <c r="N609" s="110">
        <v>121710.0</v>
      </c>
      <c r="O609" s="110">
        <v>120940.0</v>
      </c>
      <c r="P609" s="110">
        <v>51623.0</v>
      </c>
      <c r="Q609" s="110">
        <v>123139.0</v>
      </c>
      <c r="R609" s="50">
        <v>61617.0</v>
      </c>
      <c r="S609" s="111">
        <v>55.0</v>
      </c>
      <c r="T609" s="112">
        <v>20.0</v>
      </c>
      <c r="U609" s="24" t="s">
        <v>48</v>
      </c>
      <c r="V609" s="11" t="s">
        <v>4055</v>
      </c>
      <c r="W609" s="108">
        <v>1.0</v>
      </c>
      <c r="X609" s="113">
        <v>92920.0</v>
      </c>
      <c r="Y609" s="113">
        <v>112320.0</v>
      </c>
      <c r="Z609" s="11">
        <v>155.0</v>
      </c>
      <c r="AA609" s="113">
        <v>90513.0</v>
      </c>
      <c r="AB609" s="109">
        <v>-89880.04</v>
      </c>
      <c r="AC609" s="113">
        <v>40917.0</v>
      </c>
      <c r="AD609" s="108">
        <v>4.0</v>
      </c>
    </row>
    <row r="610">
      <c r="A610" s="11">
        <v>33.0</v>
      </c>
      <c r="B610" s="11">
        <v>3.0</v>
      </c>
      <c r="C610" s="11">
        <v>3.0</v>
      </c>
      <c r="D610" s="17">
        <v>33.0</v>
      </c>
      <c r="E610" s="108">
        <v>7.0</v>
      </c>
      <c r="F610" s="109">
        <v>-8524.05</v>
      </c>
      <c r="G610" s="109">
        <v>54272.81</v>
      </c>
      <c r="H610" s="109">
        <v>-8755.73</v>
      </c>
      <c r="I610" s="109">
        <v>55446.15</v>
      </c>
      <c r="J610" s="109">
        <v>79551.22</v>
      </c>
      <c r="K610" s="109">
        <v>1296.82</v>
      </c>
      <c r="L610" s="109">
        <v>-76411.7</v>
      </c>
      <c r="M610" s="109">
        <v>-85443.09</v>
      </c>
      <c r="N610" s="110">
        <v>61714.0</v>
      </c>
      <c r="O610" s="110">
        <v>61234.0</v>
      </c>
      <c r="P610" s="110">
        <v>51823.0</v>
      </c>
      <c r="Q610" s="110">
        <v>63034.0</v>
      </c>
      <c r="R610" s="50">
        <v>102115.0</v>
      </c>
      <c r="S610" s="111">
        <v>50.0</v>
      </c>
      <c r="T610" s="112">
        <v>54.0</v>
      </c>
      <c r="U610" s="24" t="s">
        <v>601</v>
      </c>
      <c r="V610" s="11" t="s">
        <v>3953</v>
      </c>
      <c r="W610" s="108">
        <v>2.0</v>
      </c>
      <c r="X610" s="113">
        <v>41017.0</v>
      </c>
      <c r="Y610" s="113">
        <v>10723.0</v>
      </c>
      <c r="Z610" s="11">
        <v>109.0</v>
      </c>
      <c r="AA610" s="113">
        <v>22922.0</v>
      </c>
      <c r="AB610" s="109">
        <v>-60430.88</v>
      </c>
      <c r="AC610" s="113">
        <v>41313.0</v>
      </c>
      <c r="AD610" s="108">
        <v>8.0</v>
      </c>
    </row>
    <row r="611">
      <c r="A611" s="11">
        <v>94.0</v>
      </c>
      <c r="B611" s="11">
        <v>7.0</v>
      </c>
      <c r="C611" s="11">
        <v>7.0</v>
      </c>
      <c r="D611" s="17">
        <v>94.0</v>
      </c>
      <c r="E611" s="108">
        <v>9.0</v>
      </c>
      <c r="F611" s="109">
        <v>-45254.16</v>
      </c>
      <c r="G611" s="109">
        <v>-61320.97</v>
      </c>
      <c r="H611" s="109">
        <v>-82609.8</v>
      </c>
      <c r="I611" s="109">
        <v>-62260.25</v>
      </c>
      <c r="J611" s="109">
        <v>-39818.58</v>
      </c>
      <c r="K611" s="109">
        <v>76752.47</v>
      </c>
      <c r="L611" s="109">
        <v>70414.11</v>
      </c>
      <c r="M611" s="109">
        <v>-41797.19</v>
      </c>
      <c r="N611" s="110">
        <v>41813.0</v>
      </c>
      <c r="O611" s="110">
        <v>41333.0</v>
      </c>
      <c r="P611" s="110">
        <v>50323.0</v>
      </c>
      <c r="Q611" s="110">
        <v>43033.0</v>
      </c>
      <c r="R611" s="50">
        <v>50713.0</v>
      </c>
      <c r="S611" s="111">
        <v>53.0</v>
      </c>
      <c r="T611" s="112">
        <v>26.0</v>
      </c>
      <c r="U611" s="24" t="s">
        <v>603</v>
      </c>
      <c r="V611" s="11" t="s">
        <v>4015</v>
      </c>
      <c r="W611" s="108">
        <v>3.0</v>
      </c>
      <c r="X611" s="113">
        <v>122420.0</v>
      </c>
      <c r="Y611" s="113">
        <v>20722.0</v>
      </c>
      <c r="Z611" s="11">
        <v>146.0</v>
      </c>
      <c r="AA611" s="113">
        <v>72216.0</v>
      </c>
      <c r="AB611" s="109">
        <v>-80617.43</v>
      </c>
      <c r="AC611" s="113">
        <v>110621.0</v>
      </c>
      <c r="AD611" s="108">
        <v>7.0</v>
      </c>
    </row>
    <row r="612">
      <c r="A612" s="11">
        <v>53.0</v>
      </c>
      <c r="B612" s="11">
        <v>8.0</v>
      </c>
      <c r="C612" s="11">
        <v>3.0</v>
      </c>
      <c r="D612" s="17">
        <v>77.0</v>
      </c>
      <c r="E612" s="108">
        <v>4.0</v>
      </c>
      <c r="F612" s="109">
        <v>2086.27</v>
      </c>
      <c r="G612" s="109">
        <v>93341.86</v>
      </c>
      <c r="H612" s="109">
        <v>65763.2</v>
      </c>
      <c r="I612" s="109">
        <v>-10480.56</v>
      </c>
      <c r="J612" s="109">
        <v>56611.44</v>
      </c>
      <c r="K612" s="109">
        <v>8909.54</v>
      </c>
      <c r="L612" s="109">
        <v>63248.85</v>
      </c>
      <c r="M612" s="109">
        <v>-44801.81</v>
      </c>
      <c r="N612" s="110">
        <v>102313.0</v>
      </c>
      <c r="O612" s="110">
        <v>102123.0</v>
      </c>
      <c r="P612" s="110">
        <v>51723.0</v>
      </c>
      <c r="Q612" s="110">
        <v>103123.0</v>
      </c>
      <c r="R612" s="50">
        <v>53115.0</v>
      </c>
      <c r="S612" s="111">
        <v>55.0</v>
      </c>
      <c r="T612" s="112">
        <v>53.0</v>
      </c>
      <c r="U612" s="24" t="s">
        <v>31</v>
      </c>
      <c r="V612" s="11" t="s">
        <v>3910</v>
      </c>
      <c r="W612" s="108">
        <v>8.0</v>
      </c>
      <c r="X612" s="113">
        <v>70113.0</v>
      </c>
      <c r="Y612" s="113">
        <v>32819.0</v>
      </c>
      <c r="Z612" s="11">
        <v>120.0</v>
      </c>
      <c r="AA612" s="113">
        <v>92123.0</v>
      </c>
      <c r="AB612" s="109">
        <v>79245.03</v>
      </c>
      <c r="AC612" s="113">
        <v>112113.0</v>
      </c>
      <c r="AD612" s="108">
        <v>5.0</v>
      </c>
    </row>
    <row r="613">
      <c r="A613" s="11">
        <v>74.0</v>
      </c>
      <c r="B613" s="11">
        <v>3.0</v>
      </c>
      <c r="C613" s="11">
        <v>2.0</v>
      </c>
      <c r="D613" s="17">
        <v>51.0</v>
      </c>
      <c r="E613" s="108">
        <v>4.0</v>
      </c>
      <c r="F613" s="109">
        <v>23539.52</v>
      </c>
      <c r="G613" s="109">
        <v>21850.28</v>
      </c>
      <c r="H613" s="109">
        <v>-31819.58</v>
      </c>
      <c r="I613" s="109">
        <v>50578.09</v>
      </c>
      <c r="J613" s="109">
        <v>61471.15</v>
      </c>
      <c r="K613" s="109">
        <v>13697.09</v>
      </c>
      <c r="L613" s="109">
        <v>42976.46</v>
      </c>
      <c r="M613" s="109">
        <v>-55699.32</v>
      </c>
      <c r="N613" s="110">
        <v>91210.0</v>
      </c>
      <c r="O613" s="110">
        <v>90920.0</v>
      </c>
      <c r="P613" s="110">
        <v>52523.0</v>
      </c>
      <c r="Q613" s="110">
        <v>93020.0</v>
      </c>
      <c r="R613" s="50">
        <v>82417.0</v>
      </c>
      <c r="S613" s="111">
        <v>54.0</v>
      </c>
      <c r="T613" s="112">
        <v>53.0</v>
      </c>
      <c r="U613" s="24" t="s">
        <v>31</v>
      </c>
      <c r="V613" s="11" t="s">
        <v>4005</v>
      </c>
      <c r="W613" s="108">
        <v>3.0</v>
      </c>
      <c r="X613" s="113">
        <v>40316.0</v>
      </c>
      <c r="Y613" s="113">
        <v>111513.0</v>
      </c>
      <c r="Z613" s="11">
        <v>144.0</v>
      </c>
      <c r="AA613" s="113">
        <v>22822.0</v>
      </c>
      <c r="AB613" s="109">
        <v>54117.38</v>
      </c>
      <c r="AC613" s="113">
        <v>31322.0</v>
      </c>
      <c r="AD613" s="108">
        <v>1.0</v>
      </c>
    </row>
    <row r="614">
      <c r="A614" s="11">
        <v>33.0</v>
      </c>
      <c r="B614" s="11">
        <v>3.0</v>
      </c>
      <c r="C614" s="11">
        <v>7.0</v>
      </c>
      <c r="D614" s="17">
        <v>63.0</v>
      </c>
      <c r="E614" s="108">
        <v>9.0</v>
      </c>
      <c r="F614" s="109">
        <v>88704.18</v>
      </c>
      <c r="G614" s="109">
        <v>-95635.6</v>
      </c>
      <c r="H614" s="109">
        <v>-60223.56</v>
      </c>
      <c r="I614" s="109">
        <v>-68228.96</v>
      </c>
      <c r="J614" s="109">
        <v>97932.96</v>
      </c>
      <c r="K614" s="109">
        <v>-67777.0</v>
      </c>
      <c r="L614" s="109">
        <v>60647.18</v>
      </c>
      <c r="M614" s="109">
        <v>-83668.93</v>
      </c>
      <c r="N614" s="110">
        <v>22613.0</v>
      </c>
      <c r="O614" s="110">
        <v>22133.0</v>
      </c>
      <c r="P614" s="110">
        <v>52223.0</v>
      </c>
      <c r="Q614" s="110">
        <v>22833.0</v>
      </c>
      <c r="R614" s="50">
        <v>80919.0</v>
      </c>
      <c r="S614" s="111">
        <v>52.0</v>
      </c>
      <c r="T614" s="112">
        <v>24.0</v>
      </c>
      <c r="U614" s="24" t="s">
        <v>48</v>
      </c>
      <c r="V614" s="11" t="s">
        <v>3991</v>
      </c>
      <c r="W614" s="108">
        <v>3.0</v>
      </c>
      <c r="X614" s="113">
        <v>80420.0</v>
      </c>
      <c r="Y614" s="113">
        <v>102322.0</v>
      </c>
      <c r="Z614" s="11">
        <v>129.0</v>
      </c>
      <c r="AA614" s="113">
        <v>12213.0</v>
      </c>
      <c r="AB614" s="109">
        <v>-98046.26</v>
      </c>
      <c r="AC614" s="113">
        <v>62717.0</v>
      </c>
      <c r="AD614" s="108">
        <v>3.0</v>
      </c>
    </row>
    <row r="615">
      <c r="A615" s="11">
        <v>94.0</v>
      </c>
      <c r="B615" s="11">
        <v>8.0</v>
      </c>
      <c r="C615" s="11">
        <v>3.0</v>
      </c>
      <c r="D615" s="17">
        <v>77.0</v>
      </c>
      <c r="E615" s="108">
        <v>1.0</v>
      </c>
      <c r="F615" s="109">
        <v>23175.61</v>
      </c>
      <c r="G615" s="109">
        <v>58249.32</v>
      </c>
      <c r="H615" s="109">
        <v>-73415.14</v>
      </c>
      <c r="I615" s="109">
        <v>-43440.82</v>
      </c>
      <c r="J615" s="109">
        <v>56097.94</v>
      </c>
      <c r="K615" s="109">
        <v>-36417.87</v>
      </c>
      <c r="L615" s="109">
        <v>-17809.54</v>
      </c>
      <c r="M615" s="109">
        <v>-16100.21</v>
      </c>
      <c r="N615" s="110">
        <v>41612.0</v>
      </c>
      <c r="O615" s="110">
        <v>40942.0</v>
      </c>
      <c r="P615" s="110">
        <v>50423.0</v>
      </c>
      <c r="Q615" s="110">
        <v>43042.0</v>
      </c>
      <c r="R615" s="50">
        <v>110417.0</v>
      </c>
      <c r="S615" s="111">
        <v>54.0</v>
      </c>
      <c r="T615" s="112">
        <v>22.0</v>
      </c>
      <c r="U615" s="24" t="s">
        <v>31</v>
      </c>
      <c r="V615" s="11" t="s">
        <v>3872</v>
      </c>
      <c r="W615" s="108">
        <v>4.0</v>
      </c>
      <c r="X615" s="113">
        <v>40422.0</v>
      </c>
      <c r="Y615" s="113">
        <v>42022.0</v>
      </c>
      <c r="Z615" s="11">
        <v>102.0</v>
      </c>
      <c r="AA615" s="113">
        <v>122113.0</v>
      </c>
      <c r="AB615" s="109">
        <v>75569.97</v>
      </c>
      <c r="AC615" s="113">
        <v>42721.0</v>
      </c>
      <c r="AD615" s="108">
        <v>1.0</v>
      </c>
    </row>
    <row r="616">
      <c r="A616" s="11">
        <v>53.0</v>
      </c>
      <c r="B616" s="11">
        <v>8.0</v>
      </c>
      <c r="C616" s="11">
        <v>8.0</v>
      </c>
      <c r="D616" s="17">
        <v>9.0</v>
      </c>
      <c r="E616" s="108">
        <v>3.0</v>
      </c>
      <c r="F616" s="109">
        <v>58339.53</v>
      </c>
      <c r="G616" s="109">
        <v>-30553.55</v>
      </c>
      <c r="H616" s="109">
        <v>48997.11</v>
      </c>
      <c r="I616" s="109">
        <v>-24480.43</v>
      </c>
      <c r="J616" s="109">
        <v>-70093.43</v>
      </c>
      <c r="K616" s="109">
        <v>-6881.6</v>
      </c>
      <c r="L616" s="109">
        <v>5957.05</v>
      </c>
      <c r="M616" s="109">
        <v>-66188.44</v>
      </c>
      <c r="N616" s="110">
        <v>61410.0</v>
      </c>
      <c r="O616" s="110">
        <v>60930.0</v>
      </c>
      <c r="P616" s="110">
        <v>51523.0</v>
      </c>
      <c r="Q616" s="110">
        <v>63030.0</v>
      </c>
      <c r="R616" s="50">
        <v>100218.0</v>
      </c>
      <c r="S616" s="111">
        <v>52.0</v>
      </c>
      <c r="T616" s="112">
        <v>11.0</v>
      </c>
      <c r="U616" s="24" t="s">
        <v>603</v>
      </c>
      <c r="V616" s="11" t="s">
        <v>4022</v>
      </c>
      <c r="W616" s="108">
        <v>4.0</v>
      </c>
      <c r="X616" s="113">
        <v>11715.0</v>
      </c>
      <c r="Y616" s="113">
        <v>31123.0</v>
      </c>
      <c r="Z616" s="11">
        <v>148.0</v>
      </c>
      <c r="AA616" s="113">
        <v>70521.0</v>
      </c>
      <c r="AB616" s="109">
        <v>8533.2</v>
      </c>
      <c r="AC616" s="113">
        <v>41119.0</v>
      </c>
      <c r="AD616" s="108">
        <v>6.0</v>
      </c>
    </row>
    <row r="617">
      <c r="A617" s="11">
        <v>12.0</v>
      </c>
      <c r="B617" s="11">
        <v>9.0</v>
      </c>
      <c r="C617" s="11">
        <v>4.0</v>
      </c>
      <c r="D617" s="17">
        <v>51.0</v>
      </c>
      <c r="E617" s="108">
        <v>1.0</v>
      </c>
      <c r="F617" s="109">
        <v>-32629.95</v>
      </c>
      <c r="G617" s="109">
        <v>99023.05</v>
      </c>
      <c r="H617" s="109">
        <v>11880.87</v>
      </c>
      <c r="I617" s="109">
        <v>-62316.16</v>
      </c>
      <c r="J617" s="109">
        <v>74806.99</v>
      </c>
      <c r="K617" s="109">
        <v>-71873.73</v>
      </c>
      <c r="L617" s="109">
        <v>9297.62</v>
      </c>
      <c r="M617" s="109">
        <v>57449.47</v>
      </c>
      <c r="N617" s="110">
        <v>92513.0</v>
      </c>
      <c r="O617" s="110">
        <v>92323.0</v>
      </c>
      <c r="P617" s="110">
        <v>52123.0</v>
      </c>
      <c r="Q617" s="110">
        <v>93023.0</v>
      </c>
      <c r="R617" s="50">
        <v>113015.0</v>
      </c>
      <c r="S617" s="111">
        <v>55.0</v>
      </c>
      <c r="T617" s="112">
        <v>26.0</v>
      </c>
      <c r="U617" s="24" t="s">
        <v>48</v>
      </c>
      <c r="V617" s="11" t="s">
        <v>3868</v>
      </c>
      <c r="W617" s="108">
        <v>6.0</v>
      </c>
      <c r="X617" s="113">
        <v>11217.0</v>
      </c>
      <c r="Y617" s="113">
        <v>82721.0</v>
      </c>
      <c r="Z617" s="11">
        <v>192.0</v>
      </c>
      <c r="AA617" s="113">
        <v>82722.0</v>
      </c>
      <c r="AB617" s="109">
        <v>-39549.28</v>
      </c>
      <c r="AC617" s="113">
        <v>60422.0</v>
      </c>
      <c r="AD617" s="108">
        <v>6.0</v>
      </c>
    </row>
    <row r="618">
      <c r="A618" s="11">
        <v>53.0</v>
      </c>
      <c r="B618" s="11">
        <v>9.0</v>
      </c>
      <c r="C618" s="11">
        <v>3.0</v>
      </c>
      <c r="D618" s="17">
        <v>56.0</v>
      </c>
      <c r="E618" s="108">
        <v>8.0</v>
      </c>
      <c r="F618" s="109">
        <v>-77628.89</v>
      </c>
      <c r="G618" s="109">
        <v>4541.1</v>
      </c>
      <c r="H618" s="109">
        <v>64733.89</v>
      </c>
      <c r="I618" s="109">
        <v>-93385.35</v>
      </c>
      <c r="J618" s="109">
        <v>25300.23</v>
      </c>
      <c r="K618" s="109">
        <v>82011.82</v>
      </c>
      <c r="L618" s="109">
        <v>89498.36</v>
      </c>
      <c r="M618" s="109">
        <v>39435.94</v>
      </c>
      <c r="N618" s="110">
        <v>91114.0</v>
      </c>
      <c r="O618" s="110">
        <v>90634.0</v>
      </c>
      <c r="P618" s="110">
        <v>50423.0</v>
      </c>
      <c r="Q618" s="110">
        <v>93034.0</v>
      </c>
      <c r="R618" s="50">
        <v>10322.0</v>
      </c>
      <c r="S618" s="111">
        <v>54.0</v>
      </c>
      <c r="T618" s="112">
        <v>49.0</v>
      </c>
      <c r="U618" s="24" t="s">
        <v>39</v>
      </c>
      <c r="V618" s="11" t="s">
        <v>3895</v>
      </c>
      <c r="W618" s="108">
        <v>3.0</v>
      </c>
      <c r="X618" s="113">
        <v>72721.0</v>
      </c>
      <c r="Y618" s="113">
        <v>100718.0</v>
      </c>
      <c r="Z618" s="11">
        <v>155.0</v>
      </c>
      <c r="AA618" s="113">
        <v>41721.0</v>
      </c>
      <c r="AB618" s="109">
        <v>73656.15</v>
      </c>
      <c r="AC618" s="113">
        <v>51714.0</v>
      </c>
      <c r="AD618" s="108">
        <v>9.0</v>
      </c>
    </row>
    <row r="619">
      <c r="A619" s="11">
        <v>94.0</v>
      </c>
      <c r="B619" s="11">
        <v>8.0</v>
      </c>
      <c r="C619" s="11">
        <v>9.0</v>
      </c>
      <c r="D619" s="17">
        <v>41.0</v>
      </c>
      <c r="E619" s="108">
        <v>5.0</v>
      </c>
      <c r="F619" s="109">
        <v>97462.37</v>
      </c>
      <c r="G619" s="109">
        <v>-83422.33</v>
      </c>
      <c r="H619" s="109">
        <v>10966.63</v>
      </c>
      <c r="I619" s="109">
        <v>56813.66</v>
      </c>
      <c r="J619" s="109">
        <v>94898.45</v>
      </c>
      <c r="K619" s="109">
        <v>37576.02</v>
      </c>
      <c r="L619" s="109">
        <v>-21031.77</v>
      </c>
      <c r="M619" s="109">
        <v>-72559.64</v>
      </c>
      <c r="N619" s="110">
        <v>121711.0</v>
      </c>
      <c r="O619" s="110">
        <v>121421.0</v>
      </c>
      <c r="P619" s="110">
        <v>50923.0</v>
      </c>
      <c r="Q619" s="110">
        <v>123120.0</v>
      </c>
      <c r="R619" s="50">
        <v>70916.0</v>
      </c>
      <c r="S619" s="111">
        <v>54.0</v>
      </c>
      <c r="T619" s="112">
        <v>88.0</v>
      </c>
      <c r="U619" s="24" t="s">
        <v>48</v>
      </c>
      <c r="V619" s="11" t="s">
        <v>3963</v>
      </c>
      <c r="W619" s="108">
        <v>3.0</v>
      </c>
      <c r="X619" s="113">
        <v>71319.0</v>
      </c>
      <c r="Y619" s="113">
        <v>22014.0</v>
      </c>
      <c r="Z619" s="11">
        <v>197.0</v>
      </c>
      <c r="AA619" s="113">
        <v>70318.0</v>
      </c>
      <c r="AB619" s="109">
        <v>-52945.61</v>
      </c>
      <c r="AC619" s="113">
        <v>81015.0</v>
      </c>
      <c r="AD619" s="108">
        <v>9.0</v>
      </c>
    </row>
    <row r="620">
      <c r="A620" s="11">
        <v>33.0</v>
      </c>
      <c r="B620" s="11">
        <v>4.0</v>
      </c>
      <c r="C620" s="11">
        <v>9.0</v>
      </c>
      <c r="D620" s="17">
        <v>22.0</v>
      </c>
      <c r="E620" s="108">
        <v>5.0</v>
      </c>
      <c r="F620" s="109">
        <v>14556.62</v>
      </c>
      <c r="G620" s="109">
        <v>-39654.11</v>
      </c>
      <c r="H620" s="109">
        <v>-4664.22</v>
      </c>
      <c r="I620" s="109">
        <v>-42431.05</v>
      </c>
      <c r="J620" s="109">
        <v>93297.65</v>
      </c>
      <c r="K620" s="109">
        <v>-28976.49</v>
      </c>
      <c r="L620" s="109">
        <v>30705.64</v>
      </c>
      <c r="M620" s="109">
        <v>6548.55</v>
      </c>
      <c r="N620" s="110">
        <v>71414.0</v>
      </c>
      <c r="O620" s="110">
        <v>70934.0</v>
      </c>
      <c r="P620" s="110">
        <v>51923.0</v>
      </c>
      <c r="Q620" s="110">
        <v>73134.0</v>
      </c>
      <c r="R620" s="50">
        <v>41313.0</v>
      </c>
      <c r="S620" s="111">
        <v>51.0</v>
      </c>
      <c r="T620" s="112">
        <v>51.0</v>
      </c>
      <c r="U620" s="24" t="s">
        <v>31</v>
      </c>
      <c r="V620" s="11" t="s">
        <v>3852</v>
      </c>
      <c r="W620" s="108">
        <v>4.0</v>
      </c>
      <c r="X620" s="113">
        <v>120317.0</v>
      </c>
      <c r="Y620" s="113">
        <v>72423.0</v>
      </c>
      <c r="Z620" s="11">
        <v>127.0</v>
      </c>
      <c r="AA620" s="113">
        <v>111821.0</v>
      </c>
      <c r="AB620" s="109">
        <v>-63869.29</v>
      </c>
      <c r="AC620" s="113">
        <v>92417.0</v>
      </c>
      <c r="AD620" s="108">
        <v>4.0</v>
      </c>
    </row>
    <row r="621">
      <c r="A621" s="11">
        <v>94.0</v>
      </c>
      <c r="B621" s="11">
        <v>9.0</v>
      </c>
      <c r="C621" s="11">
        <v>4.0</v>
      </c>
      <c r="D621" s="17">
        <v>41.0</v>
      </c>
      <c r="E621" s="108">
        <v>4.0</v>
      </c>
      <c r="F621" s="109">
        <v>46143.48</v>
      </c>
      <c r="G621" s="109">
        <v>77852.62</v>
      </c>
      <c r="H621" s="109">
        <v>16314.91</v>
      </c>
      <c r="I621" s="109">
        <v>15651.47</v>
      </c>
      <c r="J621" s="109">
        <v>-67359.05</v>
      </c>
      <c r="K621" s="109">
        <v>-96605.81</v>
      </c>
      <c r="L621" s="109">
        <v>-65529.17</v>
      </c>
      <c r="M621" s="109">
        <v>-61199.69</v>
      </c>
      <c r="N621" s="110">
        <v>10411.0</v>
      </c>
      <c r="O621" s="110">
        <v>123030.0</v>
      </c>
      <c r="P621" s="110">
        <v>51723.0</v>
      </c>
      <c r="Q621" s="110">
        <v>123129.0</v>
      </c>
      <c r="R621" s="50">
        <v>11313.0</v>
      </c>
      <c r="S621" s="111">
        <v>53.0</v>
      </c>
      <c r="T621" s="112">
        <v>20.0</v>
      </c>
      <c r="U621" s="24" t="s">
        <v>603</v>
      </c>
      <c r="V621" s="11" t="s">
        <v>4019</v>
      </c>
      <c r="W621" s="108">
        <v>4.0</v>
      </c>
      <c r="X621" s="113">
        <v>70416.0</v>
      </c>
      <c r="Y621" s="113">
        <v>71523.0</v>
      </c>
      <c r="Z621" s="11">
        <v>154.0</v>
      </c>
      <c r="AA621" s="113">
        <v>53014.0</v>
      </c>
      <c r="AB621" s="109">
        <v>-82172.91</v>
      </c>
      <c r="AC621" s="113">
        <v>42818.0</v>
      </c>
      <c r="AD621" s="108">
        <v>1.0</v>
      </c>
    </row>
    <row r="622">
      <c r="A622" s="11">
        <v>74.0</v>
      </c>
      <c r="B622" s="11">
        <v>4.0</v>
      </c>
      <c r="C622" s="11">
        <v>8.0</v>
      </c>
      <c r="D622" s="17">
        <v>27.0</v>
      </c>
      <c r="E622" s="108">
        <v>7.0</v>
      </c>
      <c r="F622" s="109">
        <v>-59041.29</v>
      </c>
      <c r="G622" s="109">
        <v>-32559.18</v>
      </c>
      <c r="H622" s="109">
        <v>76208.68</v>
      </c>
      <c r="I622" s="109">
        <v>91606.42</v>
      </c>
      <c r="J622" s="109">
        <v>27718.68</v>
      </c>
      <c r="K622" s="109">
        <v>-91061.66</v>
      </c>
      <c r="L622" s="109">
        <v>-75106.62</v>
      </c>
      <c r="M622" s="109">
        <v>-61518.74</v>
      </c>
      <c r="N622" s="110">
        <v>11212.0</v>
      </c>
      <c r="O622" s="110">
        <v>10732.0</v>
      </c>
      <c r="P622" s="110">
        <v>52023.0</v>
      </c>
      <c r="Q622" s="110">
        <v>13132.0</v>
      </c>
      <c r="R622" s="50">
        <v>22019.0</v>
      </c>
      <c r="S622" s="111">
        <v>53.0</v>
      </c>
      <c r="T622" s="112">
        <v>37.0</v>
      </c>
      <c r="U622" s="24" t="s">
        <v>31</v>
      </c>
      <c r="V622" s="11" t="s">
        <v>3964</v>
      </c>
      <c r="W622" s="108">
        <v>5.0</v>
      </c>
      <c r="X622" s="113">
        <v>90417.0</v>
      </c>
      <c r="Y622" s="113">
        <v>102513.0</v>
      </c>
      <c r="Z622" s="11">
        <v>166.0</v>
      </c>
      <c r="AA622" s="113">
        <v>40323.0</v>
      </c>
      <c r="AB622" s="109">
        <v>18971.04</v>
      </c>
      <c r="AC622" s="113">
        <v>81915.0</v>
      </c>
      <c r="AD622" s="108">
        <v>3.0</v>
      </c>
    </row>
    <row r="623">
      <c r="A623" s="11">
        <v>74.0</v>
      </c>
      <c r="B623" s="11">
        <v>4.0</v>
      </c>
      <c r="C623" s="11">
        <v>9.0</v>
      </c>
      <c r="D623" s="17">
        <v>66.0</v>
      </c>
      <c r="E623" s="108">
        <v>8.0</v>
      </c>
      <c r="F623" s="109">
        <v>82736.85</v>
      </c>
      <c r="G623" s="109">
        <v>55480.68</v>
      </c>
      <c r="H623" s="109">
        <v>-65511.29</v>
      </c>
      <c r="I623" s="109">
        <v>62140.33</v>
      </c>
      <c r="J623" s="109">
        <v>-54315.45</v>
      </c>
      <c r="K623" s="109">
        <v>-20841.6</v>
      </c>
      <c r="L623" s="109">
        <v>-35016.97</v>
      </c>
      <c r="M623" s="109">
        <v>-84517.64</v>
      </c>
      <c r="N623" s="110">
        <v>122414.0</v>
      </c>
      <c r="O623" s="110">
        <v>121934.0</v>
      </c>
      <c r="P623" s="110">
        <v>50823.0</v>
      </c>
      <c r="Q623" s="110">
        <v>123133.0</v>
      </c>
      <c r="R623" s="50">
        <v>121015.0</v>
      </c>
      <c r="S623" s="111">
        <v>52.0</v>
      </c>
      <c r="T623" s="112">
        <v>14.0</v>
      </c>
      <c r="U623" s="24" t="s">
        <v>39</v>
      </c>
      <c r="V623" s="11" t="s">
        <v>4038</v>
      </c>
      <c r="W623" s="108">
        <v>4.0</v>
      </c>
      <c r="X623" s="113">
        <v>62020.0</v>
      </c>
      <c r="Y623" s="113">
        <v>31316.0</v>
      </c>
      <c r="Z623" s="11">
        <v>156.0</v>
      </c>
      <c r="AA623" s="113">
        <v>121123.0</v>
      </c>
      <c r="AB623" s="109">
        <v>-47260.04</v>
      </c>
      <c r="AC623" s="113">
        <v>20219.0</v>
      </c>
      <c r="AD623" s="108">
        <v>8.0</v>
      </c>
    </row>
    <row r="624">
      <c r="A624" s="11">
        <v>33.0</v>
      </c>
      <c r="B624" s="11">
        <v>5.0</v>
      </c>
      <c r="C624" s="11">
        <v>3.0</v>
      </c>
      <c r="D624" s="17">
        <v>1.0</v>
      </c>
      <c r="E624" s="108">
        <v>0.0</v>
      </c>
      <c r="F624" s="109">
        <v>-75946.28</v>
      </c>
      <c r="G624" s="109">
        <v>-81003.99</v>
      </c>
      <c r="H624" s="109">
        <v>-46307.34</v>
      </c>
      <c r="I624" s="109">
        <v>-50717.98</v>
      </c>
      <c r="J624" s="109">
        <v>-38128.8</v>
      </c>
      <c r="K624" s="109">
        <v>-34273.03</v>
      </c>
      <c r="L624" s="109">
        <v>-48080.35</v>
      </c>
      <c r="M624" s="109">
        <v>22843.24</v>
      </c>
      <c r="N624" s="110">
        <v>112813.0</v>
      </c>
      <c r="O624" s="110">
        <v>112333.0</v>
      </c>
      <c r="P624" s="110">
        <v>51723.0</v>
      </c>
      <c r="Q624" s="110">
        <v>113033.0</v>
      </c>
      <c r="R624" s="50">
        <v>92522.0</v>
      </c>
      <c r="S624" s="111">
        <v>52.0</v>
      </c>
      <c r="T624" s="112">
        <v>81.0</v>
      </c>
      <c r="U624" s="24" t="s">
        <v>39</v>
      </c>
      <c r="V624" s="11" t="s">
        <v>3936</v>
      </c>
      <c r="W624" s="108">
        <v>4.0</v>
      </c>
      <c r="X624" s="113">
        <v>90416.0</v>
      </c>
      <c r="Y624" s="113">
        <v>31518.0</v>
      </c>
      <c r="Z624" s="11">
        <v>180.0</v>
      </c>
      <c r="AA624" s="113">
        <v>61916.0</v>
      </c>
      <c r="AB624" s="109">
        <v>-57668.13</v>
      </c>
      <c r="AC624" s="113">
        <v>23015.0</v>
      </c>
      <c r="AD624" s="108">
        <v>3.0</v>
      </c>
    </row>
    <row r="625">
      <c r="A625" s="11">
        <v>94.0</v>
      </c>
      <c r="B625" s="11">
        <v>9.0</v>
      </c>
      <c r="C625" s="11">
        <v>8.0</v>
      </c>
      <c r="D625" s="17">
        <v>13.0</v>
      </c>
      <c r="E625" s="108">
        <v>7.0</v>
      </c>
      <c r="F625" s="109">
        <v>37544.98</v>
      </c>
      <c r="G625" s="109">
        <v>-46991.09</v>
      </c>
      <c r="H625" s="109">
        <v>-12737.16</v>
      </c>
      <c r="I625" s="109">
        <v>-57988.51</v>
      </c>
      <c r="J625" s="109">
        <v>-3724.96</v>
      </c>
      <c r="K625" s="109">
        <v>-38279.0</v>
      </c>
      <c r="L625" s="109">
        <v>89607.19</v>
      </c>
      <c r="M625" s="109">
        <v>-10198.69</v>
      </c>
      <c r="N625" s="110">
        <v>32614.0</v>
      </c>
      <c r="O625" s="110">
        <v>32324.0</v>
      </c>
      <c r="P625" s="110">
        <v>50923.0</v>
      </c>
      <c r="Q625" s="110">
        <v>33124.0</v>
      </c>
      <c r="R625" s="50">
        <v>32521.0</v>
      </c>
      <c r="S625" s="111">
        <v>55.0</v>
      </c>
      <c r="T625" s="112">
        <v>88.0</v>
      </c>
      <c r="U625" s="24" t="s">
        <v>601</v>
      </c>
      <c r="V625" s="11" t="s">
        <v>4031</v>
      </c>
      <c r="W625" s="108">
        <v>1.0</v>
      </c>
      <c r="X625" s="113">
        <v>41515.0</v>
      </c>
      <c r="Y625" s="113">
        <v>90216.0</v>
      </c>
      <c r="Z625" s="11">
        <v>180.0</v>
      </c>
      <c r="AA625" s="113">
        <v>101417.0</v>
      </c>
      <c r="AB625" s="109">
        <v>27759.51</v>
      </c>
      <c r="AC625" s="113">
        <v>100923.0</v>
      </c>
      <c r="AD625" s="108">
        <v>7.0</v>
      </c>
    </row>
    <row r="626">
      <c r="A626" s="11">
        <v>74.0</v>
      </c>
      <c r="B626" s="11">
        <v>5.0</v>
      </c>
      <c r="C626" s="11">
        <v>4.0</v>
      </c>
      <c r="D626" s="17">
        <v>89.0</v>
      </c>
      <c r="E626" s="108">
        <v>2.0</v>
      </c>
      <c r="F626" s="109">
        <v>10556.72</v>
      </c>
      <c r="G626" s="109">
        <v>80357.57</v>
      </c>
      <c r="H626" s="109">
        <v>36699.36</v>
      </c>
      <c r="I626" s="109">
        <v>-20564.73</v>
      </c>
      <c r="J626" s="109">
        <v>-96071.39</v>
      </c>
      <c r="K626" s="109">
        <v>-9751.56</v>
      </c>
      <c r="L626" s="109">
        <v>51697.76</v>
      </c>
      <c r="M626" s="109">
        <v>-28366.04</v>
      </c>
      <c r="N626" s="110">
        <v>12413.0</v>
      </c>
      <c r="O626" s="110">
        <v>12223.0</v>
      </c>
      <c r="P626" s="110">
        <v>52823.0</v>
      </c>
      <c r="Q626" s="110">
        <v>13123.0</v>
      </c>
      <c r="R626" s="50">
        <v>52821.0</v>
      </c>
      <c r="S626" s="111">
        <v>51.0</v>
      </c>
      <c r="T626" s="112">
        <v>36.0</v>
      </c>
      <c r="U626" s="24" t="s">
        <v>48</v>
      </c>
      <c r="V626" s="11" t="s">
        <v>3979</v>
      </c>
      <c r="W626" s="108">
        <v>3.0</v>
      </c>
      <c r="X626" s="113">
        <v>43020.0</v>
      </c>
      <c r="Y626" s="113">
        <v>31316.0</v>
      </c>
      <c r="Z626" s="11">
        <v>199.0</v>
      </c>
      <c r="AA626" s="113">
        <v>40817.0</v>
      </c>
      <c r="AB626" s="109">
        <v>338.56</v>
      </c>
      <c r="AC626" s="113">
        <v>12714.0</v>
      </c>
      <c r="AD626" s="108">
        <v>2.0</v>
      </c>
    </row>
    <row r="627">
      <c r="A627" s="11">
        <v>13.0</v>
      </c>
      <c r="B627" s="11">
        <v>1.0</v>
      </c>
      <c r="C627" s="11">
        <v>1.0</v>
      </c>
      <c r="D627" s="17">
        <v>72.0</v>
      </c>
      <c r="E627" s="108">
        <v>2.0</v>
      </c>
      <c r="F627" s="109">
        <v>-87048.87</v>
      </c>
      <c r="G627" s="109">
        <v>-25665.1</v>
      </c>
      <c r="H627" s="109">
        <v>-14057.61</v>
      </c>
      <c r="I627" s="109">
        <v>35294.18</v>
      </c>
      <c r="J627" s="109">
        <v>37832.04</v>
      </c>
      <c r="K627" s="109">
        <v>57515.73</v>
      </c>
      <c r="L627" s="109">
        <v>-60989.56</v>
      </c>
      <c r="M627" s="109">
        <v>16833.62</v>
      </c>
      <c r="N627" s="110">
        <v>21613.0</v>
      </c>
      <c r="O627" s="110">
        <v>21423.0</v>
      </c>
      <c r="P627" s="110">
        <v>50523.0</v>
      </c>
      <c r="Q627" s="110">
        <v>22823.0</v>
      </c>
      <c r="R627" s="50">
        <v>72218.0</v>
      </c>
      <c r="S627" s="111">
        <v>53.0</v>
      </c>
      <c r="T627" s="112">
        <v>22.0</v>
      </c>
      <c r="U627" s="24" t="s">
        <v>601</v>
      </c>
      <c r="V627" s="11" t="s">
        <v>3977</v>
      </c>
      <c r="W627" s="108">
        <v>6.0</v>
      </c>
      <c r="X627" s="113">
        <v>111620.0</v>
      </c>
      <c r="Y627" s="113">
        <v>122813.0</v>
      </c>
      <c r="Z627" s="11">
        <v>149.0</v>
      </c>
      <c r="AA627" s="113">
        <v>51114.0</v>
      </c>
      <c r="AB627" s="109">
        <v>-7148.96</v>
      </c>
      <c r="AC627" s="113">
        <v>92923.0</v>
      </c>
      <c r="AD627" s="108">
        <v>6.0</v>
      </c>
    </row>
    <row r="628">
      <c r="A628" s="11">
        <v>74.0</v>
      </c>
      <c r="B628" s="11">
        <v>5.0</v>
      </c>
      <c r="C628" s="11">
        <v>7.0</v>
      </c>
      <c r="D628" s="17">
        <v>81.0</v>
      </c>
      <c r="E628" s="108">
        <v>2.0</v>
      </c>
      <c r="F628" s="109">
        <v>91386.8</v>
      </c>
      <c r="G628" s="109">
        <v>-86295.26</v>
      </c>
      <c r="H628" s="109">
        <v>-71795.41</v>
      </c>
      <c r="I628" s="109">
        <v>-42918.41</v>
      </c>
      <c r="J628" s="109">
        <v>56945.07</v>
      </c>
      <c r="K628" s="109">
        <v>80340.97</v>
      </c>
      <c r="L628" s="109">
        <v>55344.95</v>
      </c>
      <c r="M628" s="109">
        <v>84131.43</v>
      </c>
      <c r="N628" s="110">
        <v>100410.0</v>
      </c>
      <c r="O628" s="110">
        <v>100120.0</v>
      </c>
      <c r="P628" s="110">
        <v>51523.0</v>
      </c>
      <c r="Q628" s="110">
        <v>103120.0</v>
      </c>
      <c r="R628" s="50">
        <v>10820.0</v>
      </c>
      <c r="S628" s="111">
        <v>51.0</v>
      </c>
      <c r="T628" s="112">
        <v>14.0</v>
      </c>
      <c r="U628" s="24" t="s">
        <v>48</v>
      </c>
      <c r="V628" s="11" t="s">
        <v>4052</v>
      </c>
      <c r="W628" s="108">
        <v>3.0</v>
      </c>
      <c r="X628" s="113">
        <v>101413.0</v>
      </c>
      <c r="Y628" s="113">
        <v>112022.0</v>
      </c>
      <c r="Z628" s="11">
        <v>119.0</v>
      </c>
      <c r="AA628" s="113">
        <v>10315.0</v>
      </c>
      <c r="AB628" s="109">
        <v>-43116.67</v>
      </c>
      <c r="AC628" s="113">
        <v>100614.0</v>
      </c>
      <c r="AD628" s="108">
        <v>8.0</v>
      </c>
    </row>
    <row r="629">
      <c r="A629" s="11">
        <v>13.0</v>
      </c>
      <c r="B629" s="11">
        <v>1.0</v>
      </c>
      <c r="C629" s="11">
        <v>4.0</v>
      </c>
      <c r="D629" s="17">
        <v>16.0</v>
      </c>
      <c r="E629" s="108">
        <v>5.0</v>
      </c>
      <c r="F629" s="109">
        <v>-38763.94</v>
      </c>
      <c r="G629" s="109">
        <v>10109.08</v>
      </c>
      <c r="H629" s="109">
        <v>4999.79</v>
      </c>
      <c r="I629" s="109">
        <v>-77244.37</v>
      </c>
      <c r="J629" s="109">
        <v>28511.28</v>
      </c>
      <c r="K629" s="109">
        <v>-45750.22</v>
      </c>
      <c r="L629" s="109">
        <v>43426.22</v>
      </c>
      <c r="M629" s="109">
        <v>-33579.83</v>
      </c>
      <c r="N629" s="110">
        <v>80212.0</v>
      </c>
      <c r="O629" s="110">
        <v>72832.0</v>
      </c>
      <c r="P629" s="110">
        <v>51123.0</v>
      </c>
      <c r="Q629" s="110">
        <v>73132.0</v>
      </c>
      <c r="R629" s="50">
        <v>91119.0</v>
      </c>
      <c r="S629" s="111">
        <v>54.0</v>
      </c>
      <c r="T629" s="112">
        <v>17.0</v>
      </c>
      <c r="U629" s="24" t="s">
        <v>601</v>
      </c>
      <c r="V629" s="11" t="s">
        <v>3867</v>
      </c>
      <c r="W629" s="108">
        <v>1.0</v>
      </c>
      <c r="X629" s="113">
        <v>42318.0</v>
      </c>
      <c r="Y629" s="113">
        <v>50223.0</v>
      </c>
      <c r="Z629" s="11">
        <v>104.0</v>
      </c>
      <c r="AA629" s="113">
        <v>60913.0</v>
      </c>
      <c r="AB629" s="109">
        <v>-81709.81</v>
      </c>
      <c r="AC629" s="113">
        <v>81822.0</v>
      </c>
      <c r="AD629" s="108">
        <v>8.0</v>
      </c>
    </row>
    <row r="630">
      <c r="A630" s="11">
        <v>33.0</v>
      </c>
      <c r="B630" s="11">
        <v>6.0</v>
      </c>
      <c r="C630" s="11">
        <v>3.0</v>
      </c>
      <c r="D630" s="17">
        <v>34.0</v>
      </c>
      <c r="E630" s="108">
        <v>3.0</v>
      </c>
      <c r="F630" s="109">
        <v>29743.86</v>
      </c>
      <c r="G630" s="109">
        <v>53971.23</v>
      </c>
      <c r="H630" s="109">
        <v>25377.31</v>
      </c>
      <c r="I630" s="109">
        <v>-15017.77</v>
      </c>
      <c r="J630" s="109">
        <v>-16385.23</v>
      </c>
      <c r="K630" s="109">
        <v>-8664.21</v>
      </c>
      <c r="L630" s="109">
        <v>15554.78</v>
      </c>
      <c r="M630" s="109">
        <v>-4014.43</v>
      </c>
      <c r="N630" s="110">
        <v>111211.0</v>
      </c>
      <c r="O630" s="110">
        <v>110731.0</v>
      </c>
      <c r="P630" s="110">
        <v>50523.0</v>
      </c>
      <c r="Q630" s="110">
        <v>113031.0</v>
      </c>
      <c r="R630" s="50">
        <v>40222.0</v>
      </c>
      <c r="S630" s="111">
        <v>52.0</v>
      </c>
      <c r="T630" s="112">
        <v>65.0</v>
      </c>
      <c r="U630" s="24" t="s">
        <v>603</v>
      </c>
      <c r="V630" s="11" t="s">
        <v>4082</v>
      </c>
      <c r="W630" s="108">
        <v>6.0</v>
      </c>
      <c r="X630" s="113">
        <v>52814.0</v>
      </c>
      <c r="Y630" s="113">
        <v>10520.0</v>
      </c>
      <c r="Z630" s="11">
        <v>163.0</v>
      </c>
      <c r="AA630" s="113">
        <v>21423.0</v>
      </c>
      <c r="AB630" s="109">
        <v>58208.86</v>
      </c>
      <c r="AC630" s="113">
        <v>73014.0</v>
      </c>
      <c r="AD630" s="108">
        <v>8.0</v>
      </c>
    </row>
    <row r="631">
      <c r="A631" s="11">
        <v>33.0</v>
      </c>
      <c r="B631" s="11">
        <v>6.0</v>
      </c>
      <c r="C631" s="11">
        <v>4.0</v>
      </c>
      <c r="D631" s="17">
        <v>28.0</v>
      </c>
      <c r="E631" s="108">
        <v>1.0</v>
      </c>
      <c r="F631" s="109">
        <v>-38123.01</v>
      </c>
      <c r="G631" s="109">
        <v>30575.04</v>
      </c>
      <c r="H631" s="109">
        <v>64866.95</v>
      </c>
      <c r="I631" s="109">
        <v>-72606.44</v>
      </c>
      <c r="J631" s="109">
        <v>-54960.32</v>
      </c>
      <c r="K631" s="109">
        <v>13702.75</v>
      </c>
      <c r="L631" s="109">
        <v>85801.88</v>
      </c>
      <c r="M631" s="109">
        <v>69599.23</v>
      </c>
      <c r="N631" s="110">
        <v>22713.0</v>
      </c>
      <c r="O631" s="110">
        <v>22233.0</v>
      </c>
      <c r="P631" s="110">
        <v>50423.0</v>
      </c>
      <c r="Q631" s="110">
        <v>22833.0</v>
      </c>
      <c r="R631" s="50">
        <v>121622.0</v>
      </c>
      <c r="S631" s="111">
        <v>54.0</v>
      </c>
      <c r="T631" s="112">
        <v>5.0</v>
      </c>
      <c r="U631" s="24" t="s">
        <v>31</v>
      </c>
      <c r="V631" s="11" t="s">
        <v>4066</v>
      </c>
      <c r="W631" s="108">
        <v>2.0</v>
      </c>
      <c r="X631" s="113">
        <v>21013.0</v>
      </c>
      <c r="Y631" s="113">
        <v>81821.0</v>
      </c>
      <c r="Z631" s="11">
        <v>192.0</v>
      </c>
      <c r="AA631" s="113">
        <v>102517.0</v>
      </c>
      <c r="AB631" s="109">
        <v>68980.49</v>
      </c>
      <c r="AC631" s="113">
        <v>12117.0</v>
      </c>
      <c r="AD631" s="108">
        <v>0.0</v>
      </c>
    </row>
    <row r="632">
      <c r="A632" s="11">
        <v>54.0</v>
      </c>
      <c r="B632" s="11">
        <v>1.0</v>
      </c>
      <c r="C632" s="11">
        <v>3.0</v>
      </c>
      <c r="D632" s="17">
        <v>72.0</v>
      </c>
      <c r="E632" s="108">
        <v>0.0</v>
      </c>
      <c r="F632" s="109">
        <v>63547.37</v>
      </c>
      <c r="G632" s="109">
        <v>-11544.16</v>
      </c>
      <c r="H632" s="109">
        <v>-67313.51</v>
      </c>
      <c r="I632" s="109">
        <v>-78087.36</v>
      </c>
      <c r="J632" s="109">
        <v>2129.35</v>
      </c>
      <c r="K632" s="109">
        <v>34687.63</v>
      </c>
      <c r="L632" s="109">
        <v>53913.08</v>
      </c>
      <c r="M632" s="109">
        <v>-97241.9</v>
      </c>
      <c r="N632" s="110">
        <v>31813.0</v>
      </c>
      <c r="O632" s="110">
        <v>31143.0</v>
      </c>
      <c r="P632" s="110">
        <v>52423.0</v>
      </c>
      <c r="Q632" s="110">
        <v>33143.0</v>
      </c>
      <c r="R632" s="50">
        <v>110420.0</v>
      </c>
      <c r="S632" s="111">
        <v>52.0</v>
      </c>
      <c r="T632" s="112">
        <v>60.0</v>
      </c>
      <c r="U632" s="24" t="s">
        <v>48</v>
      </c>
      <c r="V632" s="11" t="s">
        <v>4034</v>
      </c>
      <c r="W632" s="108">
        <v>5.0</v>
      </c>
      <c r="X632" s="113">
        <v>90917.0</v>
      </c>
      <c r="Y632" s="113">
        <v>11319.0</v>
      </c>
      <c r="Z632" s="11">
        <v>172.0</v>
      </c>
      <c r="AA632" s="113">
        <v>51522.0</v>
      </c>
      <c r="AB632" s="109">
        <v>78155.77</v>
      </c>
      <c r="AC632" s="113">
        <v>62214.0</v>
      </c>
      <c r="AD632" s="108">
        <v>4.0</v>
      </c>
    </row>
    <row r="633">
      <c r="A633" s="11">
        <v>13.0</v>
      </c>
      <c r="B633" s="11">
        <v>1.0</v>
      </c>
      <c r="C633" s="11">
        <v>9.0</v>
      </c>
      <c r="D633" s="17">
        <v>47.0</v>
      </c>
      <c r="E633" s="108">
        <v>1.0</v>
      </c>
      <c r="F633" s="109">
        <v>-49349.13</v>
      </c>
      <c r="G633" s="109">
        <v>-66141.82</v>
      </c>
      <c r="H633" s="109">
        <v>-97101.21</v>
      </c>
      <c r="I633" s="109">
        <v>-15229.73</v>
      </c>
      <c r="J633" s="109">
        <v>-29507.82</v>
      </c>
      <c r="K633" s="109">
        <v>39005.53</v>
      </c>
      <c r="L633" s="109">
        <v>47108.36</v>
      </c>
      <c r="M633" s="109">
        <v>-10808.98</v>
      </c>
      <c r="N633" s="110">
        <v>10911.0</v>
      </c>
      <c r="O633" s="110">
        <v>10621.0</v>
      </c>
      <c r="P633" s="110">
        <v>50723.0</v>
      </c>
      <c r="Q633" s="110">
        <v>13121.0</v>
      </c>
      <c r="R633" s="50">
        <v>71915.0</v>
      </c>
      <c r="S633" s="111">
        <v>51.0</v>
      </c>
      <c r="T633" s="112">
        <v>22.0</v>
      </c>
      <c r="U633" s="24" t="s">
        <v>39</v>
      </c>
      <c r="V633" s="11" t="s">
        <v>4045</v>
      </c>
      <c r="W633" s="108">
        <v>6.0</v>
      </c>
      <c r="X633" s="113">
        <v>70913.0</v>
      </c>
      <c r="Y633" s="113">
        <v>32319.0</v>
      </c>
      <c r="Z633" s="11">
        <v>100.0</v>
      </c>
      <c r="AA633" s="113">
        <v>121313.0</v>
      </c>
      <c r="AB633" s="109">
        <v>-86752.11</v>
      </c>
      <c r="AC633" s="113">
        <v>12223.0</v>
      </c>
      <c r="AD633" s="108">
        <v>4.0</v>
      </c>
    </row>
    <row r="634">
      <c r="A634" s="11">
        <v>54.0</v>
      </c>
      <c r="B634" s="11">
        <v>1.0</v>
      </c>
      <c r="C634" s="11">
        <v>5.0</v>
      </c>
      <c r="D634" s="17">
        <v>65.0</v>
      </c>
      <c r="E634" s="108">
        <v>5.0</v>
      </c>
      <c r="F634" s="109">
        <v>20008.07</v>
      </c>
      <c r="G634" s="109">
        <v>73842.51</v>
      </c>
      <c r="H634" s="109">
        <v>70108.51</v>
      </c>
      <c r="I634" s="109">
        <v>-44507.26</v>
      </c>
      <c r="J634" s="109">
        <v>41836.48</v>
      </c>
      <c r="K634" s="109">
        <v>-17369.77</v>
      </c>
      <c r="L634" s="109">
        <v>-27363.31</v>
      </c>
      <c r="M634" s="109">
        <v>78553.62</v>
      </c>
      <c r="N634" s="110">
        <v>30810.0</v>
      </c>
      <c r="O634" s="110">
        <v>30330.0</v>
      </c>
      <c r="P634" s="110">
        <v>51323.0</v>
      </c>
      <c r="Q634" s="110">
        <v>33130.0</v>
      </c>
      <c r="R634" s="50">
        <v>111815.0</v>
      </c>
      <c r="S634" s="111">
        <v>51.0</v>
      </c>
      <c r="T634" s="112">
        <v>83.0</v>
      </c>
      <c r="U634" s="24" t="s">
        <v>601</v>
      </c>
      <c r="V634" s="11" t="s">
        <v>3974</v>
      </c>
      <c r="W634" s="108">
        <v>4.0</v>
      </c>
      <c r="X634" s="113">
        <v>61113.0</v>
      </c>
      <c r="Y634" s="113">
        <v>80820.0</v>
      </c>
      <c r="Z634" s="11">
        <v>123.0</v>
      </c>
      <c r="AA634" s="113">
        <v>90723.0</v>
      </c>
      <c r="AB634" s="109">
        <v>3329.85</v>
      </c>
      <c r="AC634" s="113">
        <v>32222.0</v>
      </c>
      <c r="AD634" s="108">
        <v>5.0</v>
      </c>
    </row>
    <row r="635">
      <c r="A635" s="11">
        <v>95.0</v>
      </c>
      <c r="B635" s="11">
        <v>1.0</v>
      </c>
      <c r="C635" s="11">
        <v>3.0</v>
      </c>
      <c r="D635" s="17">
        <v>56.0</v>
      </c>
      <c r="E635" s="108">
        <v>3.0</v>
      </c>
      <c r="F635" s="109">
        <v>-48046.25</v>
      </c>
      <c r="G635" s="109">
        <v>49468.47</v>
      </c>
      <c r="H635" s="109">
        <v>-31389.94</v>
      </c>
      <c r="I635" s="109">
        <v>-57223.08</v>
      </c>
      <c r="J635" s="109">
        <v>-96267.26</v>
      </c>
      <c r="K635" s="109">
        <v>10993.24</v>
      </c>
      <c r="L635" s="109">
        <v>20368.44</v>
      </c>
      <c r="M635" s="109">
        <v>74868.8</v>
      </c>
      <c r="N635" s="110">
        <v>60513.0</v>
      </c>
      <c r="O635" s="110">
        <v>53133.0</v>
      </c>
      <c r="P635" s="110">
        <v>53023.0</v>
      </c>
      <c r="Q635" s="110">
        <v>53133.0</v>
      </c>
      <c r="R635" s="50">
        <v>72814.0</v>
      </c>
      <c r="S635" s="111">
        <v>55.0</v>
      </c>
      <c r="T635" s="112">
        <v>37.0</v>
      </c>
      <c r="U635" s="24" t="s">
        <v>603</v>
      </c>
      <c r="V635" s="11" t="s">
        <v>3889</v>
      </c>
      <c r="W635" s="108">
        <v>7.0</v>
      </c>
      <c r="X635" s="113">
        <v>30221.0</v>
      </c>
      <c r="Y635" s="113">
        <v>122821.0</v>
      </c>
      <c r="Z635" s="11">
        <v>163.0</v>
      </c>
      <c r="AA635" s="113">
        <v>61122.0</v>
      </c>
      <c r="AB635" s="109">
        <v>-63483.95</v>
      </c>
      <c r="AC635" s="113">
        <v>112222.0</v>
      </c>
      <c r="AD635" s="108">
        <v>0.0</v>
      </c>
    </row>
    <row r="636">
      <c r="A636" s="11">
        <v>54.0</v>
      </c>
      <c r="B636" s="11">
        <v>1.0</v>
      </c>
      <c r="C636" s="11">
        <v>8.0</v>
      </c>
      <c r="D636" s="17">
        <v>51.0</v>
      </c>
      <c r="E636" s="108">
        <v>1.0</v>
      </c>
      <c r="F636" s="109">
        <v>-86696.87</v>
      </c>
      <c r="G636" s="109">
        <v>-37861.2</v>
      </c>
      <c r="H636" s="109">
        <v>-80876.29</v>
      </c>
      <c r="I636" s="109">
        <v>74876.17</v>
      </c>
      <c r="J636" s="109">
        <v>-2588.31</v>
      </c>
      <c r="K636" s="109">
        <v>-61423.95</v>
      </c>
      <c r="L636" s="109">
        <v>-21435.85</v>
      </c>
      <c r="M636" s="109">
        <v>72723.09</v>
      </c>
      <c r="N636" s="110">
        <v>70114.0</v>
      </c>
      <c r="O636" s="110">
        <v>62344.0</v>
      </c>
      <c r="P636" s="110">
        <v>52823.0</v>
      </c>
      <c r="Q636" s="110">
        <v>63044.0</v>
      </c>
      <c r="R636" s="50">
        <v>122920.0</v>
      </c>
      <c r="S636" s="111">
        <v>55.0</v>
      </c>
      <c r="T636" s="112">
        <v>24.0</v>
      </c>
      <c r="U636" s="24" t="s">
        <v>601</v>
      </c>
      <c r="V636" s="11" t="s">
        <v>4010</v>
      </c>
      <c r="W636" s="108">
        <v>9.0</v>
      </c>
      <c r="X636" s="113">
        <v>50614.0</v>
      </c>
      <c r="Y636" s="113">
        <v>102218.0</v>
      </c>
      <c r="Z636" s="11">
        <v>105.0</v>
      </c>
      <c r="AA636" s="113">
        <v>22518.0</v>
      </c>
      <c r="AB636" s="109">
        <v>88685.76</v>
      </c>
      <c r="AC636" s="113">
        <v>120620.0</v>
      </c>
      <c r="AD636" s="108">
        <v>5.0</v>
      </c>
    </row>
    <row r="637">
      <c r="A637" s="11">
        <v>95.0</v>
      </c>
      <c r="B637" s="11">
        <v>1.0</v>
      </c>
      <c r="C637" s="11">
        <v>4.0</v>
      </c>
      <c r="D637" s="17">
        <v>51.0</v>
      </c>
      <c r="E637" s="108">
        <v>4.0</v>
      </c>
      <c r="F637" s="109">
        <v>-36644.55</v>
      </c>
      <c r="G637" s="109">
        <v>-84045.95</v>
      </c>
      <c r="H637" s="109">
        <v>-58857.36</v>
      </c>
      <c r="I637" s="109">
        <v>-31707.23</v>
      </c>
      <c r="J637" s="109">
        <v>-63105.84</v>
      </c>
      <c r="K637" s="109">
        <v>45999.95</v>
      </c>
      <c r="L637" s="109">
        <v>5871.76</v>
      </c>
      <c r="M637" s="109">
        <v>47554.29</v>
      </c>
      <c r="N637" s="110">
        <v>111814.0</v>
      </c>
      <c r="O637" s="110">
        <v>111524.0</v>
      </c>
      <c r="P637" s="110">
        <v>52823.0</v>
      </c>
      <c r="Q637" s="110">
        <v>113024.0</v>
      </c>
      <c r="R637" s="50">
        <v>40114.0</v>
      </c>
      <c r="S637" s="111">
        <v>51.0</v>
      </c>
      <c r="T637" s="112">
        <v>36.0</v>
      </c>
      <c r="U637" s="24" t="s">
        <v>603</v>
      </c>
      <c r="V637" s="11" t="s">
        <v>4004</v>
      </c>
      <c r="W637" s="108">
        <v>9.0</v>
      </c>
      <c r="X637" s="113">
        <v>120815.0</v>
      </c>
      <c r="Y637" s="113">
        <v>110422.0</v>
      </c>
      <c r="Z637" s="11">
        <v>112.0</v>
      </c>
      <c r="AA637" s="113">
        <v>70314.0</v>
      </c>
      <c r="AB637" s="109">
        <v>7521.06</v>
      </c>
      <c r="AC637" s="113">
        <v>100918.0</v>
      </c>
      <c r="AD637" s="108">
        <v>2.0</v>
      </c>
    </row>
    <row r="638">
      <c r="A638" s="11">
        <v>74.0</v>
      </c>
      <c r="B638" s="11">
        <v>6.0</v>
      </c>
      <c r="C638" s="11">
        <v>8.0</v>
      </c>
      <c r="D638" s="17">
        <v>39.0</v>
      </c>
      <c r="E638" s="108">
        <v>1.0</v>
      </c>
      <c r="F638" s="109">
        <v>9871.67</v>
      </c>
      <c r="G638" s="109">
        <v>62823.06</v>
      </c>
      <c r="H638" s="109">
        <v>-63045.34</v>
      </c>
      <c r="I638" s="109">
        <v>86926.86</v>
      </c>
      <c r="J638" s="109">
        <v>85354.2</v>
      </c>
      <c r="K638" s="109">
        <v>27019.87</v>
      </c>
      <c r="L638" s="109">
        <v>58817.37</v>
      </c>
      <c r="M638" s="109">
        <v>-84367.01</v>
      </c>
      <c r="N638" s="110">
        <v>72510.0</v>
      </c>
      <c r="O638" s="110">
        <v>72030.0</v>
      </c>
      <c r="P638" s="110">
        <v>52823.0</v>
      </c>
      <c r="Q638" s="110">
        <v>73130.0</v>
      </c>
      <c r="R638" s="50">
        <v>41820.0</v>
      </c>
      <c r="S638" s="111">
        <v>55.0</v>
      </c>
      <c r="T638" s="112">
        <v>23.0</v>
      </c>
      <c r="U638" s="24" t="s">
        <v>31</v>
      </c>
      <c r="V638" s="11" t="s">
        <v>3932</v>
      </c>
      <c r="W638" s="108">
        <v>9.0</v>
      </c>
      <c r="X638" s="113">
        <v>100921.0</v>
      </c>
      <c r="Y638" s="113">
        <v>41121.0</v>
      </c>
      <c r="Z638" s="11">
        <v>190.0</v>
      </c>
      <c r="AA638" s="113">
        <v>22514.0</v>
      </c>
      <c r="AB638" s="109">
        <v>-40369.88</v>
      </c>
      <c r="AC638" s="113">
        <v>21913.0</v>
      </c>
      <c r="AD638" s="108">
        <v>6.0</v>
      </c>
    </row>
    <row r="639">
      <c r="A639" s="11">
        <v>74.0</v>
      </c>
      <c r="B639" s="11">
        <v>6.0</v>
      </c>
      <c r="C639" s="11">
        <v>9.0</v>
      </c>
      <c r="D639" s="17">
        <v>77.0</v>
      </c>
      <c r="E639" s="108">
        <v>6.0</v>
      </c>
      <c r="F639" s="109">
        <v>67062.67</v>
      </c>
      <c r="G639" s="109">
        <v>-70812.27</v>
      </c>
      <c r="H639" s="109">
        <v>6371.62</v>
      </c>
      <c r="I639" s="109">
        <v>-994.53</v>
      </c>
      <c r="J639" s="109">
        <v>24141.64</v>
      </c>
      <c r="K639" s="109">
        <v>3182.39</v>
      </c>
      <c r="L639" s="109">
        <v>-44643.12</v>
      </c>
      <c r="M639" s="109">
        <v>-50503.94</v>
      </c>
      <c r="N639" s="110">
        <v>110110.0</v>
      </c>
      <c r="O639" s="110">
        <v>102730.0</v>
      </c>
      <c r="P639" s="110">
        <v>51123.0</v>
      </c>
      <c r="Q639" s="110">
        <v>103130.0</v>
      </c>
      <c r="R639" s="50">
        <v>11720.0</v>
      </c>
      <c r="S639" s="111">
        <v>53.0</v>
      </c>
      <c r="T639" s="112">
        <v>39.0</v>
      </c>
      <c r="U639" s="24" t="s">
        <v>39</v>
      </c>
      <c r="V639" s="11" t="s">
        <v>4056</v>
      </c>
      <c r="W639" s="108">
        <v>4.0</v>
      </c>
      <c r="X639" s="113">
        <v>100116.0</v>
      </c>
      <c r="Y639" s="113">
        <v>121218.0</v>
      </c>
      <c r="Z639" s="11">
        <v>122.0</v>
      </c>
      <c r="AA639" s="113">
        <v>122519.0</v>
      </c>
      <c r="AB639" s="109">
        <v>-3595.66</v>
      </c>
      <c r="AC639" s="113">
        <v>61915.0</v>
      </c>
      <c r="AD639" s="108">
        <v>2.0</v>
      </c>
    </row>
    <row r="640">
      <c r="A640" s="11">
        <v>13.0</v>
      </c>
      <c r="B640" s="11">
        <v>2.0</v>
      </c>
      <c r="C640" s="11">
        <v>6.0</v>
      </c>
      <c r="D640" s="17">
        <v>31.0</v>
      </c>
      <c r="E640" s="108">
        <v>5.0</v>
      </c>
      <c r="F640" s="109">
        <v>-29597.98</v>
      </c>
      <c r="G640" s="109">
        <v>-23389.71</v>
      </c>
      <c r="H640" s="109">
        <v>-50429.21</v>
      </c>
      <c r="I640" s="109">
        <v>92960.92</v>
      </c>
      <c r="J640" s="109">
        <v>-71943.85</v>
      </c>
      <c r="K640" s="109">
        <v>-23472.44</v>
      </c>
      <c r="L640" s="109">
        <v>-52279.08</v>
      </c>
      <c r="M640" s="109">
        <v>61871.19</v>
      </c>
      <c r="N640" s="110">
        <v>111313.0</v>
      </c>
      <c r="O640" s="110">
        <v>111123.0</v>
      </c>
      <c r="P640" s="110">
        <v>52223.0</v>
      </c>
      <c r="Q640" s="110">
        <v>113023.0</v>
      </c>
      <c r="R640" s="50">
        <v>110520.0</v>
      </c>
      <c r="S640" s="111">
        <v>50.0</v>
      </c>
      <c r="T640" s="112">
        <v>11.0</v>
      </c>
      <c r="U640" s="24" t="s">
        <v>39</v>
      </c>
      <c r="V640" s="11" t="s">
        <v>3875</v>
      </c>
      <c r="W640" s="108">
        <v>4.0</v>
      </c>
      <c r="X640" s="113">
        <v>60314.0</v>
      </c>
      <c r="Y640" s="113">
        <v>110220.0</v>
      </c>
      <c r="Z640" s="11">
        <v>156.0</v>
      </c>
      <c r="AA640" s="113">
        <v>102821.0</v>
      </c>
      <c r="AB640" s="109">
        <v>78788.95</v>
      </c>
      <c r="AC640" s="113">
        <v>72523.0</v>
      </c>
      <c r="AD640" s="108">
        <v>5.0</v>
      </c>
    </row>
    <row r="641">
      <c r="A641" s="11">
        <v>54.0</v>
      </c>
      <c r="B641" s="11">
        <v>2.0</v>
      </c>
      <c r="C641" s="11">
        <v>4.0</v>
      </c>
      <c r="D641" s="17">
        <v>54.0</v>
      </c>
      <c r="E641" s="108">
        <v>6.0</v>
      </c>
      <c r="F641" s="109">
        <v>-72449.54</v>
      </c>
      <c r="G641" s="109">
        <v>-39366.83</v>
      </c>
      <c r="H641" s="109">
        <v>63390.99</v>
      </c>
      <c r="I641" s="109">
        <v>-41907.35</v>
      </c>
      <c r="J641" s="109">
        <v>-34508.16</v>
      </c>
      <c r="K641" s="109">
        <v>92024.91</v>
      </c>
      <c r="L641" s="109">
        <v>-30204.04</v>
      </c>
      <c r="M641" s="109">
        <v>73519.11</v>
      </c>
      <c r="N641" s="110">
        <v>112912.0</v>
      </c>
      <c r="O641" s="110">
        <v>112722.0</v>
      </c>
      <c r="P641" s="110">
        <v>52023.0</v>
      </c>
      <c r="Q641" s="110">
        <v>113022.0</v>
      </c>
      <c r="R641" s="50">
        <v>51116.0</v>
      </c>
      <c r="S641" s="111">
        <v>54.0</v>
      </c>
      <c r="T641" s="112">
        <v>79.0</v>
      </c>
      <c r="U641" s="24" t="s">
        <v>31</v>
      </c>
      <c r="V641" s="11" t="s">
        <v>3888</v>
      </c>
      <c r="W641" s="108">
        <v>2.0</v>
      </c>
      <c r="X641" s="113">
        <v>40913.0</v>
      </c>
      <c r="Y641" s="113">
        <v>62420.0</v>
      </c>
      <c r="Z641" s="11">
        <v>179.0</v>
      </c>
      <c r="AA641" s="113">
        <v>123020.0</v>
      </c>
      <c r="AB641" s="109">
        <v>-60194.06</v>
      </c>
      <c r="AC641" s="113">
        <v>91523.0</v>
      </c>
      <c r="AD641" s="108">
        <v>3.0</v>
      </c>
    </row>
    <row r="642">
      <c r="A642" s="11">
        <v>74.0</v>
      </c>
      <c r="B642" s="11">
        <v>7.0</v>
      </c>
      <c r="C642" s="11">
        <v>2.0</v>
      </c>
      <c r="D642" s="17">
        <v>54.0</v>
      </c>
      <c r="E642" s="108">
        <v>8.0</v>
      </c>
      <c r="F642" s="109">
        <v>-79205.68</v>
      </c>
      <c r="G642" s="109">
        <v>96924.26</v>
      </c>
      <c r="H642" s="109">
        <v>57947.74</v>
      </c>
      <c r="I642" s="109">
        <v>26079.05</v>
      </c>
      <c r="J642" s="109">
        <v>85533.21</v>
      </c>
      <c r="K642" s="109">
        <v>10172.07</v>
      </c>
      <c r="L642" s="109">
        <v>46839.39</v>
      </c>
      <c r="M642" s="109">
        <v>11480.0</v>
      </c>
      <c r="N642" s="110">
        <v>10612.0</v>
      </c>
      <c r="O642" s="110">
        <v>10132.0</v>
      </c>
      <c r="P642" s="110">
        <v>51923.0</v>
      </c>
      <c r="Q642" s="110">
        <v>13132.0</v>
      </c>
      <c r="R642" s="50">
        <v>80722.0</v>
      </c>
      <c r="S642" s="111">
        <v>51.0</v>
      </c>
      <c r="T642" s="112">
        <v>67.0</v>
      </c>
      <c r="U642" s="24" t="s">
        <v>601</v>
      </c>
      <c r="V642" s="11" t="s">
        <v>4065</v>
      </c>
      <c r="W642" s="108">
        <v>5.0</v>
      </c>
      <c r="X642" s="113">
        <v>111921.0</v>
      </c>
      <c r="Y642" s="113">
        <v>121323.0</v>
      </c>
      <c r="Z642" s="11">
        <v>127.0</v>
      </c>
      <c r="AA642" s="113">
        <v>62817.0</v>
      </c>
      <c r="AB642" s="109">
        <v>26680.55</v>
      </c>
      <c r="AC642" s="113">
        <v>61514.0</v>
      </c>
      <c r="AD642" s="108">
        <v>3.0</v>
      </c>
    </row>
    <row r="643">
      <c r="A643" s="11">
        <v>95.0</v>
      </c>
      <c r="B643" s="11">
        <v>2.0</v>
      </c>
      <c r="C643" s="11">
        <v>2.0</v>
      </c>
      <c r="D643" s="17">
        <v>29.0</v>
      </c>
      <c r="E643" s="108">
        <v>1.0</v>
      </c>
      <c r="F643" s="109">
        <v>58424.49</v>
      </c>
      <c r="G643" s="109">
        <v>-53286.21</v>
      </c>
      <c r="H643" s="109">
        <v>89672.21</v>
      </c>
      <c r="I643" s="109">
        <v>-20314.99</v>
      </c>
      <c r="J643" s="109">
        <v>78315.67</v>
      </c>
      <c r="K643" s="109">
        <v>-12031.99</v>
      </c>
      <c r="L643" s="109">
        <v>98858.48</v>
      </c>
      <c r="M643" s="109">
        <v>87285.54</v>
      </c>
      <c r="N643" s="110">
        <v>72711.0</v>
      </c>
      <c r="O643" s="110">
        <v>72421.0</v>
      </c>
      <c r="P643" s="110">
        <v>51623.0</v>
      </c>
      <c r="Q643" s="110">
        <v>73121.0</v>
      </c>
      <c r="R643" s="50">
        <v>70218.0</v>
      </c>
      <c r="S643" s="111">
        <v>53.0</v>
      </c>
      <c r="T643" s="112">
        <v>94.0</v>
      </c>
      <c r="U643" s="24" t="s">
        <v>39</v>
      </c>
      <c r="V643" s="11" t="s">
        <v>3881</v>
      </c>
      <c r="W643" s="108">
        <v>8.0</v>
      </c>
      <c r="X643" s="113">
        <v>101313.0</v>
      </c>
      <c r="Y643" s="113">
        <v>21716.0</v>
      </c>
      <c r="Z643" s="11">
        <v>118.0</v>
      </c>
      <c r="AA643" s="113">
        <v>12221.0</v>
      </c>
      <c r="AB643" s="109">
        <v>46736.19</v>
      </c>
      <c r="AC643" s="113">
        <v>90223.0</v>
      </c>
      <c r="AD643" s="108">
        <v>7.0</v>
      </c>
    </row>
    <row r="644">
      <c r="A644" s="11">
        <v>95.0</v>
      </c>
      <c r="B644" s="11">
        <v>2.0</v>
      </c>
      <c r="C644" s="11">
        <v>3.0</v>
      </c>
      <c r="D644" s="17">
        <v>49.0</v>
      </c>
      <c r="E644" s="108">
        <v>3.0</v>
      </c>
      <c r="F644" s="109">
        <v>93827.72</v>
      </c>
      <c r="G644" s="109">
        <v>-17931.15</v>
      </c>
      <c r="H644" s="109">
        <v>43543.65</v>
      </c>
      <c r="I644" s="109">
        <v>86477.34</v>
      </c>
      <c r="J644" s="109">
        <v>73273.95</v>
      </c>
      <c r="K644" s="109">
        <v>24556.34</v>
      </c>
      <c r="L644" s="109">
        <v>24365.02</v>
      </c>
      <c r="M644" s="109">
        <v>-44841.81</v>
      </c>
      <c r="N644" s="110">
        <v>80314.0</v>
      </c>
      <c r="O644" s="110">
        <v>72934.0</v>
      </c>
      <c r="P644" s="110">
        <v>51523.0</v>
      </c>
      <c r="Q644" s="110">
        <v>73134.0</v>
      </c>
      <c r="R644" s="50">
        <v>31622.0</v>
      </c>
      <c r="S644" s="111">
        <v>53.0</v>
      </c>
      <c r="T644" s="112">
        <v>83.0</v>
      </c>
      <c r="U644" s="24" t="s">
        <v>603</v>
      </c>
      <c r="V644" s="11" t="s">
        <v>3935</v>
      </c>
      <c r="W644" s="108">
        <v>3.0</v>
      </c>
      <c r="X644" s="113">
        <v>122319.0</v>
      </c>
      <c r="Y644" s="113">
        <v>51214.0</v>
      </c>
      <c r="Z644" s="11">
        <v>161.0</v>
      </c>
      <c r="AA644" s="113">
        <v>112119.0</v>
      </c>
      <c r="AB644" s="109">
        <v>59262.11</v>
      </c>
      <c r="AC644" s="113">
        <v>41620.0</v>
      </c>
      <c r="AD644" s="108">
        <v>7.0</v>
      </c>
    </row>
    <row r="645">
      <c r="A645" s="11">
        <v>95.0</v>
      </c>
      <c r="B645" s="11">
        <v>2.0</v>
      </c>
      <c r="C645" s="11">
        <v>5.0</v>
      </c>
      <c r="D645" s="17">
        <v>85.0</v>
      </c>
      <c r="E645" s="108">
        <v>6.0</v>
      </c>
      <c r="F645" s="109">
        <v>-70942.48</v>
      </c>
      <c r="G645" s="109">
        <v>28086.87</v>
      </c>
      <c r="H645" s="109">
        <v>41505.27</v>
      </c>
      <c r="I645" s="109">
        <v>58609.11</v>
      </c>
      <c r="J645" s="109">
        <v>-39930.34</v>
      </c>
      <c r="K645" s="109">
        <v>55680.42</v>
      </c>
      <c r="L645" s="109">
        <v>-77.44</v>
      </c>
      <c r="M645" s="109">
        <v>-69918.03</v>
      </c>
      <c r="N645" s="110">
        <v>72413.0</v>
      </c>
      <c r="O645" s="110">
        <v>71743.0</v>
      </c>
      <c r="P645" s="110">
        <v>51723.0</v>
      </c>
      <c r="Q645" s="110">
        <v>73143.0</v>
      </c>
      <c r="R645" s="50">
        <v>11820.0</v>
      </c>
      <c r="S645" s="111">
        <v>54.0</v>
      </c>
      <c r="T645" s="112">
        <v>42.0</v>
      </c>
      <c r="U645" s="24" t="s">
        <v>603</v>
      </c>
      <c r="V645" s="11" t="s">
        <v>3927</v>
      </c>
      <c r="W645" s="108">
        <v>3.0</v>
      </c>
      <c r="X645" s="113">
        <v>40922.0</v>
      </c>
      <c r="Y645" s="113">
        <v>41423.0</v>
      </c>
      <c r="Z645" s="11">
        <v>177.0</v>
      </c>
      <c r="AA645" s="113">
        <v>40923.0</v>
      </c>
      <c r="AB645" s="109">
        <v>29993.0</v>
      </c>
      <c r="AC645" s="113">
        <v>101620.0</v>
      </c>
      <c r="AD645" s="108">
        <v>1.0</v>
      </c>
    </row>
    <row r="646">
      <c r="A646" s="11">
        <v>33.0</v>
      </c>
      <c r="B646" s="11">
        <v>8.0</v>
      </c>
      <c r="C646" s="11">
        <v>5.0</v>
      </c>
      <c r="D646" s="17">
        <v>81.0</v>
      </c>
      <c r="E646" s="108">
        <v>3.0</v>
      </c>
      <c r="F646" s="109">
        <v>-20694.28</v>
      </c>
      <c r="G646" s="109">
        <v>-42985.89</v>
      </c>
      <c r="H646" s="109">
        <v>84090.45</v>
      </c>
      <c r="I646" s="109">
        <v>36743.15</v>
      </c>
      <c r="J646" s="109">
        <v>-62092.19</v>
      </c>
      <c r="K646" s="109">
        <v>46398.38</v>
      </c>
      <c r="L646" s="109">
        <v>-74496.29</v>
      </c>
      <c r="M646" s="109">
        <v>-53648.63</v>
      </c>
      <c r="N646" s="110">
        <v>120213.0</v>
      </c>
      <c r="O646" s="110">
        <v>112543.0</v>
      </c>
      <c r="P646" s="110">
        <v>51723.0</v>
      </c>
      <c r="Q646" s="110">
        <v>113043.0</v>
      </c>
      <c r="R646" s="50">
        <v>91122.0</v>
      </c>
      <c r="S646" s="111">
        <v>51.0</v>
      </c>
      <c r="T646" s="112">
        <v>93.0</v>
      </c>
      <c r="U646" s="24" t="s">
        <v>601</v>
      </c>
      <c r="V646" s="11" t="s">
        <v>4078</v>
      </c>
      <c r="W646" s="108">
        <v>1.0</v>
      </c>
      <c r="X646" s="113">
        <v>70218.0</v>
      </c>
      <c r="Y646" s="113">
        <v>71720.0</v>
      </c>
      <c r="Z646" s="11">
        <v>175.0</v>
      </c>
      <c r="AA646" s="113">
        <v>80716.0</v>
      </c>
      <c r="AB646" s="109">
        <v>7290.34</v>
      </c>
      <c r="AC646" s="113">
        <v>52217.0</v>
      </c>
      <c r="AD646" s="108">
        <v>6.0</v>
      </c>
    </row>
    <row r="647">
      <c r="A647" s="11">
        <v>13.0</v>
      </c>
      <c r="B647" s="11">
        <v>3.0</v>
      </c>
      <c r="C647" s="11">
        <v>8.0</v>
      </c>
      <c r="D647" s="17">
        <v>64.0</v>
      </c>
      <c r="E647" s="108">
        <v>0.0</v>
      </c>
      <c r="F647" s="109">
        <v>56764.6</v>
      </c>
      <c r="G647" s="109">
        <v>52542.94</v>
      </c>
      <c r="H647" s="109">
        <v>-75854.15</v>
      </c>
      <c r="I647" s="109">
        <v>-96128.07</v>
      </c>
      <c r="J647" s="109">
        <v>-86311.27</v>
      </c>
      <c r="K647" s="109">
        <v>98806.74</v>
      </c>
      <c r="L647" s="109">
        <v>-68939.86</v>
      </c>
      <c r="M647" s="109">
        <v>-45186.75</v>
      </c>
      <c r="N647" s="110">
        <v>50711.0</v>
      </c>
      <c r="O647" s="110">
        <v>50421.0</v>
      </c>
      <c r="P647" s="110">
        <v>52923.0</v>
      </c>
      <c r="Q647" s="110">
        <v>53121.0</v>
      </c>
      <c r="R647" s="50">
        <v>103121.0</v>
      </c>
      <c r="S647" s="111">
        <v>54.0</v>
      </c>
      <c r="T647" s="112">
        <v>69.0</v>
      </c>
      <c r="U647" s="24" t="s">
        <v>603</v>
      </c>
      <c r="V647" s="11" t="s">
        <v>3865</v>
      </c>
      <c r="W647" s="108">
        <v>9.0</v>
      </c>
      <c r="X647" s="113">
        <v>121322.0</v>
      </c>
      <c r="Y647" s="113">
        <v>73023.0</v>
      </c>
      <c r="Z647" s="11">
        <v>182.0</v>
      </c>
      <c r="AA647" s="113">
        <v>10118.0</v>
      </c>
      <c r="AB647" s="109">
        <v>-44739.36</v>
      </c>
      <c r="AC647" s="113">
        <v>21122.0</v>
      </c>
      <c r="AD647" s="108">
        <v>8.0</v>
      </c>
    </row>
    <row r="648">
      <c r="A648" s="11">
        <v>74.0</v>
      </c>
      <c r="B648" s="11">
        <v>8.0</v>
      </c>
      <c r="C648" s="11">
        <v>3.0</v>
      </c>
      <c r="D648" s="17">
        <v>72.0</v>
      </c>
      <c r="E648" s="108">
        <v>6.0</v>
      </c>
      <c r="F648" s="109">
        <v>-80556.01</v>
      </c>
      <c r="G648" s="109">
        <v>-79065.37</v>
      </c>
      <c r="H648" s="109">
        <v>-8365.25</v>
      </c>
      <c r="I648" s="109">
        <v>47675.45</v>
      </c>
      <c r="J648" s="109">
        <v>37187.25</v>
      </c>
      <c r="K648" s="109">
        <v>5051.32</v>
      </c>
      <c r="L648" s="109">
        <v>-6121.4</v>
      </c>
      <c r="M648" s="109">
        <v>-84853.65</v>
      </c>
      <c r="N648" s="110">
        <v>91310.0</v>
      </c>
      <c r="O648" s="110">
        <v>90830.0</v>
      </c>
      <c r="P648" s="110">
        <v>50323.0</v>
      </c>
      <c r="Q648" s="110">
        <v>93030.0</v>
      </c>
      <c r="R648" s="50">
        <v>81914.0</v>
      </c>
      <c r="S648" s="111">
        <v>52.0</v>
      </c>
      <c r="T648" s="112">
        <v>41.0</v>
      </c>
      <c r="U648" s="24" t="s">
        <v>31</v>
      </c>
      <c r="V648" s="11" t="s">
        <v>4079</v>
      </c>
      <c r="W648" s="108">
        <v>9.0</v>
      </c>
      <c r="X648" s="113">
        <v>61614.0</v>
      </c>
      <c r="Y648" s="113">
        <v>111016.0</v>
      </c>
      <c r="Z648" s="11">
        <v>123.0</v>
      </c>
      <c r="AA648" s="113">
        <v>50213.0</v>
      </c>
      <c r="AB648" s="109">
        <v>89542.48</v>
      </c>
      <c r="AC648" s="113">
        <v>41322.0</v>
      </c>
      <c r="AD648" s="108">
        <v>5.0</v>
      </c>
    </row>
    <row r="649">
      <c r="A649" s="11">
        <v>33.0</v>
      </c>
      <c r="B649" s="11">
        <v>9.0</v>
      </c>
      <c r="C649" s="11">
        <v>1.0</v>
      </c>
      <c r="D649" s="17">
        <v>40.0</v>
      </c>
      <c r="E649" s="108">
        <v>3.0</v>
      </c>
      <c r="F649" s="109">
        <v>2566.38</v>
      </c>
      <c r="G649" s="109">
        <v>-68600.48</v>
      </c>
      <c r="H649" s="109">
        <v>-69619.01</v>
      </c>
      <c r="I649" s="109">
        <v>-76104.76</v>
      </c>
      <c r="J649" s="109">
        <v>38017.65</v>
      </c>
      <c r="K649" s="109">
        <v>19159.44</v>
      </c>
      <c r="L649" s="109">
        <v>-83436.75</v>
      </c>
      <c r="M649" s="109">
        <v>-40139.4</v>
      </c>
      <c r="N649" s="110">
        <v>121514.0</v>
      </c>
      <c r="O649" s="110">
        <v>120744.0</v>
      </c>
      <c r="P649" s="110">
        <v>52423.0</v>
      </c>
      <c r="Q649" s="110">
        <v>123143.0</v>
      </c>
      <c r="R649" s="50">
        <v>80219.0</v>
      </c>
      <c r="S649" s="111">
        <v>55.0</v>
      </c>
      <c r="T649" s="112">
        <v>73.0</v>
      </c>
      <c r="U649" s="24" t="s">
        <v>31</v>
      </c>
      <c r="V649" s="11" t="s">
        <v>3983</v>
      </c>
      <c r="W649" s="108">
        <v>7.0</v>
      </c>
      <c r="X649" s="113">
        <v>62221.0</v>
      </c>
      <c r="Y649" s="113">
        <v>93015.0</v>
      </c>
      <c r="Z649" s="11">
        <v>121.0</v>
      </c>
      <c r="AA649" s="113">
        <v>81320.0</v>
      </c>
      <c r="AB649" s="109">
        <v>-53383.66</v>
      </c>
      <c r="AC649" s="113">
        <v>71620.0</v>
      </c>
      <c r="AD649" s="108">
        <v>1.0</v>
      </c>
    </row>
    <row r="650">
      <c r="A650" s="11">
        <v>33.0</v>
      </c>
      <c r="B650" s="11">
        <v>9.0</v>
      </c>
      <c r="C650" s="11">
        <v>2.0</v>
      </c>
      <c r="D650" s="17">
        <v>1.0</v>
      </c>
      <c r="E650" s="108">
        <v>0.0</v>
      </c>
      <c r="F650" s="109">
        <v>54336.31</v>
      </c>
      <c r="G650" s="109">
        <v>89395.75</v>
      </c>
      <c r="H650" s="109">
        <v>67784.12</v>
      </c>
      <c r="I650" s="109">
        <v>3085.97</v>
      </c>
      <c r="J650" s="109">
        <v>-35688.55</v>
      </c>
      <c r="K650" s="109">
        <v>56411.08</v>
      </c>
      <c r="L650" s="109">
        <v>69645.08</v>
      </c>
      <c r="M650" s="109">
        <v>80063.27</v>
      </c>
      <c r="N650" s="110">
        <v>111114.0</v>
      </c>
      <c r="O650" s="110">
        <v>110634.0</v>
      </c>
      <c r="P650" s="110">
        <v>52523.0</v>
      </c>
      <c r="Q650" s="110">
        <v>113034.0</v>
      </c>
      <c r="R650" s="50">
        <v>112121.0</v>
      </c>
      <c r="S650" s="111">
        <v>53.0</v>
      </c>
      <c r="T650" s="112">
        <v>78.0</v>
      </c>
      <c r="U650" s="24" t="s">
        <v>48</v>
      </c>
      <c r="V650" s="11" t="s">
        <v>3852</v>
      </c>
      <c r="W650" s="108">
        <v>4.0</v>
      </c>
      <c r="X650" s="113">
        <v>120920.0</v>
      </c>
      <c r="Y650" s="113">
        <v>82517.0</v>
      </c>
      <c r="Z650" s="11">
        <v>115.0</v>
      </c>
      <c r="AA650" s="113">
        <v>92615.0</v>
      </c>
      <c r="AB650" s="109">
        <v>-94960.26</v>
      </c>
      <c r="AC650" s="113">
        <v>70623.0</v>
      </c>
      <c r="AD650" s="108">
        <v>0.0</v>
      </c>
    </row>
    <row r="651">
      <c r="A651" s="11">
        <v>54.0</v>
      </c>
      <c r="B651" s="11">
        <v>4.0</v>
      </c>
      <c r="C651" s="11">
        <v>4.0</v>
      </c>
      <c r="D651" s="17">
        <v>64.0</v>
      </c>
      <c r="E651" s="108">
        <v>9.0</v>
      </c>
      <c r="F651" s="109">
        <v>-2375.53</v>
      </c>
      <c r="G651" s="109">
        <v>70867.08</v>
      </c>
      <c r="H651" s="109">
        <v>88826.52</v>
      </c>
      <c r="I651" s="109">
        <v>-35034.94</v>
      </c>
      <c r="J651" s="109">
        <v>18436.23</v>
      </c>
      <c r="K651" s="109">
        <v>-40493.65</v>
      </c>
      <c r="L651" s="109">
        <v>84935.79</v>
      </c>
      <c r="M651" s="109">
        <v>67281.13</v>
      </c>
      <c r="N651" s="110">
        <v>71411.0</v>
      </c>
      <c r="O651" s="110">
        <v>71121.0</v>
      </c>
      <c r="P651" s="110">
        <v>51523.0</v>
      </c>
      <c r="Q651" s="110">
        <v>73121.0</v>
      </c>
      <c r="R651" s="50">
        <v>92917.0</v>
      </c>
      <c r="S651" s="111">
        <v>53.0</v>
      </c>
      <c r="T651" s="112">
        <v>37.0</v>
      </c>
      <c r="U651" s="24" t="s">
        <v>48</v>
      </c>
      <c r="V651" s="11" t="s">
        <v>4083</v>
      </c>
      <c r="W651" s="108">
        <v>6.0</v>
      </c>
      <c r="X651" s="113">
        <v>71113.0</v>
      </c>
      <c r="Y651" s="113">
        <v>70923.0</v>
      </c>
      <c r="Z651" s="11">
        <v>144.0</v>
      </c>
      <c r="AA651" s="113">
        <v>73114.0</v>
      </c>
      <c r="AB651" s="109">
        <v>-93796.67</v>
      </c>
      <c r="AC651" s="113">
        <v>80620.0</v>
      </c>
      <c r="AD651" s="108">
        <v>9.0</v>
      </c>
    </row>
    <row r="652">
      <c r="A652" s="11">
        <v>54.0</v>
      </c>
      <c r="B652" s="11">
        <v>4.0</v>
      </c>
      <c r="C652" s="11">
        <v>6.0</v>
      </c>
      <c r="D652" s="17">
        <v>64.0</v>
      </c>
      <c r="E652" s="108">
        <v>7.0</v>
      </c>
      <c r="F652" s="109">
        <v>-66584.7</v>
      </c>
      <c r="G652" s="109">
        <v>19104.12</v>
      </c>
      <c r="H652" s="109">
        <v>-2961.69</v>
      </c>
      <c r="I652" s="109">
        <v>-4660.28</v>
      </c>
      <c r="J652" s="109">
        <v>65578.74</v>
      </c>
      <c r="K652" s="109">
        <v>-75265.09</v>
      </c>
      <c r="L652" s="109">
        <v>79192.8</v>
      </c>
      <c r="M652" s="109">
        <v>66937.83</v>
      </c>
      <c r="N652" s="110">
        <v>60211.0</v>
      </c>
      <c r="O652" s="110">
        <v>52541.0</v>
      </c>
      <c r="P652" s="110">
        <v>52123.0</v>
      </c>
      <c r="Q652" s="110">
        <v>53141.0</v>
      </c>
      <c r="R652" s="50">
        <v>120521.0</v>
      </c>
      <c r="S652" s="111">
        <v>52.0</v>
      </c>
      <c r="T652" s="112">
        <v>30.0</v>
      </c>
      <c r="U652" s="24" t="s">
        <v>31</v>
      </c>
      <c r="V652" s="11" t="s">
        <v>4075</v>
      </c>
      <c r="W652" s="108">
        <v>3.0</v>
      </c>
      <c r="X652" s="113">
        <v>80520.0</v>
      </c>
      <c r="Y652" s="113">
        <v>102119.0</v>
      </c>
      <c r="Z652" s="11">
        <v>118.0</v>
      </c>
      <c r="AA652" s="113">
        <v>50321.0</v>
      </c>
      <c r="AB652" s="109">
        <v>-69606.14</v>
      </c>
      <c r="AC652" s="113">
        <v>22613.0</v>
      </c>
      <c r="AD652" s="108">
        <v>3.0</v>
      </c>
    </row>
    <row r="653">
      <c r="A653" s="11">
        <v>13.0</v>
      </c>
      <c r="B653" s="11">
        <v>5.0</v>
      </c>
      <c r="C653" s="11">
        <v>1.0</v>
      </c>
      <c r="D653" s="17">
        <v>13.0</v>
      </c>
      <c r="E653" s="108">
        <v>9.0</v>
      </c>
      <c r="F653" s="109">
        <v>7574.54</v>
      </c>
      <c r="G653" s="109">
        <v>41321.59</v>
      </c>
      <c r="H653" s="109">
        <v>3543.27</v>
      </c>
      <c r="I653" s="109">
        <v>-4808.29</v>
      </c>
      <c r="J653" s="109">
        <v>-84054.95</v>
      </c>
      <c r="K653" s="109">
        <v>-65912.4</v>
      </c>
      <c r="L653" s="109">
        <v>8793.14</v>
      </c>
      <c r="M653" s="109">
        <v>41095.73</v>
      </c>
      <c r="N653" s="110">
        <v>60410.0</v>
      </c>
      <c r="O653" s="110">
        <v>53030.0</v>
      </c>
      <c r="P653" s="110">
        <v>50823.0</v>
      </c>
      <c r="Q653" s="110">
        <v>53130.0</v>
      </c>
      <c r="R653" s="50">
        <v>51114.0</v>
      </c>
      <c r="S653" s="111">
        <v>55.0</v>
      </c>
      <c r="T653" s="112">
        <v>39.0</v>
      </c>
      <c r="U653" s="24" t="s">
        <v>39</v>
      </c>
      <c r="V653" s="11" t="s">
        <v>3856</v>
      </c>
      <c r="W653" s="108">
        <v>6.0</v>
      </c>
      <c r="X653" s="113">
        <v>81517.0</v>
      </c>
      <c r="Y653" s="113">
        <v>12415.0</v>
      </c>
      <c r="Z653" s="11">
        <v>113.0</v>
      </c>
      <c r="AA653" s="113">
        <v>51018.0</v>
      </c>
      <c r="AB653" s="109">
        <v>-45816.53</v>
      </c>
      <c r="AC653" s="113">
        <v>30915.0</v>
      </c>
      <c r="AD653" s="108">
        <v>1.0</v>
      </c>
    </row>
    <row r="654">
      <c r="A654" s="11">
        <v>95.0</v>
      </c>
      <c r="B654" s="11">
        <v>4.0</v>
      </c>
      <c r="C654" s="11">
        <v>4.0</v>
      </c>
      <c r="D654" s="17">
        <v>90.0</v>
      </c>
      <c r="E654" s="108">
        <v>8.0</v>
      </c>
      <c r="F654" s="109">
        <v>28533.81</v>
      </c>
      <c r="G654" s="109">
        <v>-40691.3</v>
      </c>
      <c r="H654" s="109">
        <v>132.73</v>
      </c>
      <c r="I654" s="109">
        <v>-74479.47</v>
      </c>
      <c r="J654" s="109">
        <v>-86666.53</v>
      </c>
      <c r="K654" s="109">
        <v>36864.65</v>
      </c>
      <c r="L654" s="109">
        <v>38586.77</v>
      </c>
      <c r="M654" s="109">
        <v>93751.06</v>
      </c>
      <c r="N654" s="110">
        <v>92614.0</v>
      </c>
      <c r="O654" s="110">
        <v>91844.0</v>
      </c>
      <c r="P654" s="110">
        <v>51923.0</v>
      </c>
      <c r="Q654" s="110">
        <v>93044.0</v>
      </c>
      <c r="R654" s="50">
        <v>52515.0</v>
      </c>
      <c r="S654" s="111">
        <v>54.0</v>
      </c>
      <c r="T654" s="112">
        <v>79.0</v>
      </c>
      <c r="U654" s="24" t="s">
        <v>31</v>
      </c>
      <c r="V654" s="11" t="s">
        <v>4035</v>
      </c>
      <c r="W654" s="108">
        <v>4.0</v>
      </c>
      <c r="X654" s="113">
        <v>91322.0</v>
      </c>
      <c r="Y654" s="113">
        <v>92821.0</v>
      </c>
      <c r="Z654" s="11">
        <v>196.0</v>
      </c>
      <c r="AA654" s="113">
        <v>12718.0</v>
      </c>
      <c r="AB654" s="109">
        <v>53387.15</v>
      </c>
      <c r="AC654" s="113">
        <v>21521.0</v>
      </c>
      <c r="AD654" s="108">
        <v>7.0</v>
      </c>
    </row>
    <row r="655">
      <c r="A655" s="11">
        <v>13.0</v>
      </c>
      <c r="B655" s="11">
        <v>5.0</v>
      </c>
      <c r="C655" s="11">
        <v>3.0</v>
      </c>
      <c r="D655" s="17">
        <v>56.0</v>
      </c>
      <c r="E655" s="108">
        <v>3.0</v>
      </c>
      <c r="F655" s="109">
        <v>63646.65</v>
      </c>
      <c r="G655" s="109">
        <v>58339.59</v>
      </c>
      <c r="H655" s="109">
        <v>85199.21</v>
      </c>
      <c r="I655" s="109">
        <v>-16027.57</v>
      </c>
      <c r="J655" s="109">
        <v>37204.15</v>
      </c>
      <c r="K655" s="109">
        <v>-99390.4</v>
      </c>
      <c r="L655" s="109">
        <v>-78796.11</v>
      </c>
      <c r="M655" s="109">
        <v>42596.87</v>
      </c>
      <c r="N655" s="110">
        <v>80212.0</v>
      </c>
      <c r="O655" s="110">
        <v>73122.0</v>
      </c>
      <c r="P655" s="110">
        <v>51423.0</v>
      </c>
      <c r="Q655" s="110">
        <v>73122.0</v>
      </c>
      <c r="R655" s="50">
        <v>121717.0</v>
      </c>
      <c r="S655" s="111">
        <v>52.0</v>
      </c>
      <c r="T655" s="112">
        <v>51.0</v>
      </c>
      <c r="U655" s="24" t="s">
        <v>39</v>
      </c>
      <c r="V655" s="11" t="s">
        <v>3904</v>
      </c>
      <c r="W655" s="108">
        <v>7.0</v>
      </c>
      <c r="X655" s="113">
        <v>43120.0</v>
      </c>
      <c r="Y655" s="113">
        <v>82717.0</v>
      </c>
      <c r="Z655" s="11">
        <v>101.0</v>
      </c>
      <c r="AA655" s="113">
        <v>61613.0</v>
      </c>
      <c r="AB655" s="109">
        <v>-55810.06</v>
      </c>
      <c r="AC655" s="113">
        <v>81817.0</v>
      </c>
      <c r="AD655" s="108">
        <v>4.0</v>
      </c>
    </row>
    <row r="656">
      <c r="A656" s="11">
        <v>74.0</v>
      </c>
      <c r="B656" s="11">
        <v>9.0</v>
      </c>
      <c r="C656" s="11">
        <v>6.0</v>
      </c>
      <c r="D656" s="17">
        <v>29.0</v>
      </c>
      <c r="E656" s="108">
        <v>2.0</v>
      </c>
      <c r="F656" s="109">
        <v>-48737.82</v>
      </c>
      <c r="G656" s="109">
        <v>-90183.03</v>
      </c>
      <c r="H656" s="109">
        <v>-54891.69</v>
      </c>
      <c r="I656" s="109">
        <v>-90071.53</v>
      </c>
      <c r="J656" s="109">
        <v>42744.24</v>
      </c>
      <c r="K656" s="109">
        <v>21765.36</v>
      </c>
      <c r="L656" s="109">
        <v>-24394.66</v>
      </c>
      <c r="M656" s="109">
        <v>-34267.01</v>
      </c>
      <c r="N656" s="110">
        <v>101711.0</v>
      </c>
      <c r="O656" s="110">
        <v>101421.0</v>
      </c>
      <c r="P656" s="110">
        <v>51323.0</v>
      </c>
      <c r="Q656" s="110">
        <v>103121.0</v>
      </c>
      <c r="R656" s="50">
        <v>92015.0</v>
      </c>
      <c r="S656" s="111">
        <v>52.0</v>
      </c>
      <c r="T656" s="112">
        <v>61.0</v>
      </c>
      <c r="U656" s="24" t="s">
        <v>39</v>
      </c>
      <c r="V656" s="11" t="s">
        <v>4064</v>
      </c>
      <c r="W656" s="108">
        <v>4.0</v>
      </c>
      <c r="X656" s="113">
        <v>81114.0</v>
      </c>
      <c r="Y656" s="113">
        <v>10514.0</v>
      </c>
      <c r="Z656" s="11">
        <v>182.0</v>
      </c>
      <c r="AA656" s="113">
        <v>101021.0</v>
      </c>
      <c r="AB656" s="109">
        <v>64097.77</v>
      </c>
      <c r="AC656" s="113">
        <v>100223.0</v>
      </c>
      <c r="AD656" s="108">
        <v>8.0</v>
      </c>
    </row>
    <row r="657">
      <c r="A657" s="11">
        <v>74.0</v>
      </c>
      <c r="B657" s="11">
        <v>9.0</v>
      </c>
      <c r="C657" s="11">
        <v>8.0</v>
      </c>
      <c r="D657" s="17">
        <v>5.0</v>
      </c>
      <c r="E657" s="108">
        <v>1.0</v>
      </c>
      <c r="F657" s="109">
        <v>98749.54</v>
      </c>
      <c r="G657" s="109">
        <v>-26917.87</v>
      </c>
      <c r="H657" s="109">
        <v>91101.98</v>
      </c>
      <c r="I657" s="109">
        <v>92382.49</v>
      </c>
      <c r="J657" s="109">
        <v>53356.27</v>
      </c>
      <c r="K657" s="109">
        <v>45638.47</v>
      </c>
      <c r="L657" s="109">
        <v>66683.07</v>
      </c>
      <c r="M657" s="109">
        <v>66492.79</v>
      </c>
      <c r="N657" s="110">
        <v>101910.0</v>
      </c>
      <c r="O657" s="110">
        <v>101140.0</v>
      </c>
      <c r="P657" s="110">
        <v>50123.0</v>
      </c>
      <c r="Q657" s="110">
        <v>103140.0</v>
      </c>
      <c r="R657" s="50">
        <v>113020.0</v>
      </c>
      <c r="S657" s="111">
        <v>50.0</v>
      </c>
      <c r="T657" s="112">
        <v>47.0</v>
      </c>
      <c r="U657" s="24" t="s">
        <v>601</v>
      </c>
      <c r="V657" s="11" t="s">
        <v>4084</v>
      </c>
      <c r="W657" s="108">
        <v>9.0</v>
      </c>
      <c r="X657" s="113">
        <v>81722.0</v>
      </c>
      <c r="Y657" s="113">
        <v>113113.0</v>
      </c>
      <c r="Z657" s="11">
        <v>119.0</v>
      </c>
      <c r="AA657" s="113">
        <v>110114.0</v>
      </c>
      <c r="AB657" s="109">
        <v>32445.47</v>
      </c>
      <c r="AC657" s="113">
        <v>32315.0</v>
      </c>
      <c r="AD657" s="108">
        <v>3.0</v>
      </c>
    </row>
    <row r="658">
      <c r="A658" s="11">
        <v>13.0</v>
      </c>
      <c r="B658" s="11">
        <v>5.0</v>
      </c>
      <c r="C658" s="11">
        <v>6.0</v>
      </c>
      <c r="D658" s="17">
        <v>56.0</v>
      </c>
      <c r="E658" s="108">
        <v>4.0</v>
      </c>
      <c r="F658" s="109">
        <v>-67717.78</v>
      </c>
      <c r="G658" s="109">
        <v>86350.34</v>
      </c>
      <c r="H658" s="109">
        <v>-26379.99</v>
      </c>
      <c r="I658" s="109">
        <v>-57824.94</v>
      </c>
      <c r="J658" s="109">
        <v>15234.57</v>
      </c>
      <c r="K658" s="109">
        <v>53596.73</v>
      </c>
      <c r="L658" s="109">
        <v>49899.02</v>
      </c>
      <c r="M658" s="109">
        <v>-89821.92</v>
      </c>
      <c r="N658" s="110">
        <v>81511.0</v>
      </c>
      <c r="O658" s="110">
        <v>80741.0</v>
      </c>
      <c r="P658" s="110">
        <v>50423.0</v>
      </c>
      <c r="Q658" s="110">
        <v>83141.0</v>
      </c>
      <c r="R658" s="50">
        <v>102816.0</v>
      </c>
      <c r="S658" s="111">
        <v>53.0</v>
      </c>
      <c r="T658" s="112">
        <v>42.0</v>
      </c>
      <c r="U658" s="24" t="s">
        <v>601</v>
      </c>
      <c r="V658" s="11" t="s">
        <v>3955</v>
      </c>
      <c r="W658" s="108">
        <v>9.0</v>
      </c>
      <c r="X658" s="113">
        <v>11114.0</v>
      </c>
      <c r="Y658" s="113">
        <v>12614.0</v>
      </c>
      <c r="Z658" s="11">
        <v>177.0</v>
      </c>
      <c r="AA658" s="113">
        <v>91113.0</v>
      </c>
      <c r="AB658" s="109">
        <v>-66616.1</v>
      </c>
      <c r="AC658" s="113">
        <v>10123.0</v>
      </c>
      <c r="AD658" s="108">
        <v>4.0</v>
      </c>
    </row>
    <row r="659">
      <c r="A659" s="11">
        <v>13.0</v>
      </c>
      <c r="B659" s="11">
        <v>5.0</v>
      </c>
      <c r="C659" s="11">
        <v>7.0</v>
      </c>
      <c r="D659" s="17">
        <v>96.0</v>
      </c>
      <c r="E659" s="108">
        <v>2.0</v>
      </c>
      <c r="F659" s="109">
        <v>32701.47</v>
      </c>
      <c r="G659" s="109">
        <v>-26851.15</v>
      </c>
      <c r="H659" s="109">
        <v>-90821.7</v>
      </c>
      <c r="I659" s="109">
        <v>-73494.9</v>
      </c>
      <c r="J659" s="109">
        <v>61795.27</v>
      </c>
      <c r="K659" s="109">
        <v>57906.22</v>
      </c>
      <c r="L659" s="109">
        <v>73687.76</v>
      </c>
      <c r="M659" s="109">
        <v>-97972.94</v>
      </c>
      <c r="N659" s="110">
        <v>122014.0</v>
      </c>
      <c r="O659" s="110">
        <v>121534.0</v>
      </c>
      <c r="P659" s="110">
        <v>52923.0</v>
      </c>
      <c r="Q659" s="110">
        <v>123133.0</v>
      </c>
      <c r="R659" s="50">
        <v>72213.0</v>
      </c>
      <c r="S659" s="111">
        <v>50.0</v>
      </c>
      <c r="T659" s="112">
        <v>64.0</v>
      </c>
      <c r="U659" s="24" t="s">
        <v>601</v>
      </c>
      <c r="V659" s="11" t="s">
        <v>3874</v>
      </c>
      <c r="W659" s="108">
        <v>3.0</v>
      </c>
      <c r="X659" s="113">
        <v>71813.0</v>
      </c>
      <c r="Y659" s="113">
        <v>51314.0</v>
      </c>
      <c r="Z659" s="11">
        <v>106.0</v>
      </c>
      <c r="AA659" s="113">
        <v>41419.0</v>
      </c>
      <c r="AB659" s="109">
        <v>-50189.05</v>
      </c>
      <c r="AC659" s="113">
        <v>42219.0</v>
      </c>
      <c r="AD659" s="108">
        <v>2.0</v>
      </c>
    </row>
    <row r="660">
      <c r="A660" s="11">
        <v>54.0</v>
      </c>
      <c r="B660" s="11">
        <v>5.0</v>
      </c>
      <c r="C660" s="11">
        <v>6.0</v>
      </c>
      <c r="D660" s="17">
        <v>8.0</v>
      </c>
      <c r="E660" s="108">
        <v>0.0</v>
      </c>
      <c r="F660" s="109">
        <v>-15541.8</v>
      </c>
      <c r="G660" s="109">
        <v>92251.52</v>
      </c>
      <c r="H660" s="109">
        <v>31594.92</v>
      </c>
      <c r="I660" s="109">
        <v>38949.2</v>
      </c>
      <c r="J660" s="109">
        <v>66950.02</v>
      </c>
      <c r="K660" s="109">
        <v>97027.78</v>
      </c>
      <c r="L660" s="109">
        <v>-5165.1</v>
      </c>
      <c r="M660" s="109">
        <v>50566.84</v>
      </c>
      <c r="N660" s="110">
        <v>40813.0</v>
      </c>
      <c r="O660" s="110">
        <v>40623.0</v>
      </c>
      <c r="P660" s="110">
        <v>50523.0</v>
      </c>
      <c r="Q660" s="110">
        <v>43023.0</v>
      </c>
      <c r="R660" s="50">
        <v>33016.0</v>
      </c>
      <c r="S660" s="111">
        <v>51.0</v>
      </c>
      <c r="T660" s="112">
        <v>96.0</v>
      </c>
      <c r="U660" s="24" t="s">
        <v>601</v>
      </c>
      <c r="V660" s="11" t="s">
        <v>3890</v>
      </c>
      <c r="W660" s="108">
        <v>1.0</v>
      </c>
      <c r="X660" s="113">
        <v>111120.0</v>
      </c>
      <c r="Y660" s="113">
        <v>40615.0</v>
      </c>
      <c r="Z660" s="11">
        <v>135.0</v>
      </c>
      <c r="AA660" s="113">
        <v>41219.0</v>
      </c>
      <c r="AB660" s="109">
        <v>28398.59</v>
      </c>
      <c r="AC660" s="113">
        <v>70520.0</v>
      </c>
      <c r="AD660" s="108">
        <v>7.0</v>
      </c>
    </row>
    <row r="661">
      <c r="A661" s="11">
        <v>13.0</v>
      </c>
      <c r="B661" s="11">
        <v>6.0</v>
      </c>
      <c r="C661" s="11">
        <v>1.0</v>
      </c>
      <c r="D661" s="17">
        <v>58.0</v>
      </c>
      <c r="E661" s="108">
        <v>8.0</v>
      </c>
      <c r="F661" s="109">
        <v>-83969.7</v>
      </c>
      <c r="G661" s="109">
        <v>-41508.86</v>
      </c>
      <c r="H661" s="109">
        <v>10701.91</v>
      </c>
      <c r="I661" s="109">
        <v>-41198.14</v>
      </c>
      <c r="J661" s="109">
        <v>13441.48</v>
      </c>
      <c r="K661" s="109">
        <v>-22692.61</v>
      </c>
      <c r="L661" s="109">
        <v>47902.1</v>
      </c>
      <c r="M661" s="109">
        <v>75032.86</v>
      </c>
      <c r="N661" s="110">
        <v>30413.0</v>
      </c>
      <c r="O661" s="110">
        <v>22543.0</v>
      </c>
      <c r="P661" s="110">
        <v>50523.0</v>
      </c>
      <c r="Q661" s="110">
        <v>22843.0</v>
      </c>
      <c r="R661" s="50">
        <v>41422.0</v>
      </c>
      <c r="S661" s="111">
        <v>55.0</v>
      </c>
      <c r="T661" s="112">
        <v>57.0</v>
      </c>
      <c r="U661" s="24" t="s">
        <v>601</v>
      </c>
      <c r="V661" s="11" t="s">
        <v>3927</v>
      </c>
      <c r="W661" s="108">
        <v>6.0</v>
      </c>
      <c r="X661" s="113">
        <v>52015.0</v>
      </c>
      <c r="Y661" s="113">
        <v>111822.0</v>
      </c>
      <c r="Z661" s="11">
        <v>111.0</v>
      </c>
      <c r="AA661" s="113">
        <v>62120.0</v>
      </c>
      <c r="AB661" s="109">
        <v>82118.56</v>
      </c>
      <c r="AC661" s="113">
        <v>92713.0</v>
      </c>
      <c r="AD661" s="108">
        <v>6.0</v>
      </c>
    </row>
    <row r="662">
      <c r="A662" s="11">
        <v>13.0</v>
      </c>
      <c r="B662" s="11">
        <v>6.0</v>
      </c>
      <c r="C662" s="11">
        <v>3.0</v>
      </c>
      <c r="D662" s="17">
        <v>45.0</v>
      </c>
      <c r="E662" s="108">
        <v>4.0</v>
      </c>
      <c r="F662" s="109">
        <v>30169.39</v>
      </c>
      <c r="G662" s="109">
        <v>81748.21</v>
      </c>
      <c r="H662" s="109">
        <v>11850.36</v>
      </c>
      <c r="I662" s="109">
        <v>-20152.51</v>
      </c>
      <c r="J662" s="109">
        <v>-37230.72</v>
      </c>
      <c r="K662" s="109">
        <v>-85620.05</v>
      </c>
      <c r="L662" s="109">
        <v>-80665.32</v>
      </c>
      <c r="M662" s="109">
        <v>-50223.03</v>
      </c>
      <c r="N662" s="110">
        <v>112614.0</v>
      </c>
      <c r="O662" s="110">
        <v>111844.0</v>
      </c>
      <c r="P662" s="110">
        <v>50523.0</v>
      </c>
      <c r="Q662" s="110">
        <v>113044.0</v>
      </c>
      <c r="R662" s="50">
        <v>110920.0</v>
      </c>
      <c r="S662" s="111">
        <v>53.0</v>
      </c>
      <c r="T662" s="112">
        <v>83.0</v>
      </c>
      <c r="U662" s="24" t="s">
        <v>603</v>
      </c>
      <c r="V662" s="11" t="s">
        <v>3884</v>
      </c>
      <c r="W662" s="108">
        <v>8.0</v>
      </c>
      <c r="X662" s="113">
        <v>82518.0</v>
      </c>
      <c r="Y662" s="113">
        <v>71914.0</v>
      </c>
      <c r="Z662" s="11">
        <v>160.0</v>
      </c>
      <c r="AA662" s="113">
        <v>20216.0</v>
      </c>
      <c r="AB662" s="109">
        <v>70921.65</v>
      </c>
      <c r="AC662" s="113">
        <v>90419.0</v>
      </c>
      <c r="AD662" s="108">
        <v>0.0</v>
      </c>
    </row>
    <row r="663">
      <c r="A663" s="11">
        <v>34.0</v>
      </c>
      <c r="B663" s="11">
        <v>1.0</v>
      </c>
      <c r="C663" s="11">
        <v>2.0</v>
      </c>
      <c r="D663" s="17">
        <v>60.0</v>
      </c>
      <c r="E663" s="108">
        <v>4.0</v>
      </c>
      <c r="F663" s="109">
        <v>36839.64</v>
      </c>
      <c r="G663" s="109">
        <v>69847.3</v>
      </c>
      <c r="H663" s="109">
        <v>-69090.33</v>
      </c>
      <c r="I663" s="109">
        <v>-80681.65</v>
      </c>
      <c r="J663" s="109">
        <v>2168.61</v>
      </c>
      <c r="K663" s="109">
        <v>-58657.09</v>
      </c>
      <c r="L663" s="109">
        <v>55673.62</v>
      </c>
      <c r="M663" s="109">
        <v>78611.33</v>
      </c>
      <c r="N663" s="110">
        <v>122114.0</v>
      </c>
      <c r="O663" s="110">
        <v>121824.0</v>
      </c>
      <c r="P663" s="110">
        <v>52723.0</v>
      </c>
      <c r="Q663" s="110">
        <v>123123.0</v>
      </c>
      <c r="R663" s="50">
        <v>50420.0</v>
      </c>
      <c r="S663" s="111">
        <v>54.0</v>
      </c>
      <c r="T663" s="112">
        <v>53.0</v>
      </c>
      <c r="U663" s="24" t="s">
        <v>603</v>
      </c>
      <c r="V663" s="11" t="s">
        <v>4076</v>
      </c>
      <c r="W663" s="108">
        <v>3.0</v>
      </c>
      <c r="X663" s="113">
        <v>31318.0</v>
      </c>
      <c r="Y663" s="113">
        <v>41514.0</v>
      </c>
      <c r="Z663" s="11">
        <v>194.0</v>
      </c>
      <c r="AA663" s="113">
        <v>60920.0</v>
      </c>
      <c r="AB663" s="109">
        <v>-12297.7</v>
      </c>
      <c r="AC663" s="113">
        <v>40518.0</v>
      </c>
      <c r="AD663" s="108">
        <v>8.0</v>
      </c>
    </row>
    <row r="664">
      <c r="A664" s="11">
        <v>34.0</v>
      </c>
      <c r="B664" s="11">
        <v>1.0</v>
      </c>
      <c r="C664" s="11">
        <v>1.0</v>
      </c>
      <c r="D664" s="17">
        <v>38.0</v>
      </c>
      <c r="E664" s="108">
        <v>4.0</v>
      </c>
      <c r="F664" s="109">
        <v>-27446.34</v>
      </c>
      <c r="G664" s="109">
        <v>-28766.64</v>
      </c>
      <c r="H664" s="109">
        <v>-6107.49</v>
      </c>
      <c r="I664" s="109">
        <v>6111.3</v>
      </c>
      <c r="J664" s="109">
        <v>13732.47</v>
      </c>
      <c r="K664" s="109">
        <v>-91142.26</v>
      </c>
      <c r="L664" s="109">
        <v>12492.88</v>
      </c>
      <c r="M664" s="109">
        <v>18531.05</v>
      </c>
      <c r="N664" s="110">
        <v>62014.0</v>
      </c>
      <c r="O664" s="110">
        <v>61724.0</v>
      </c>
      <c r="P664" s="110">
        <v>52023.0</v>
      </c>
      <c r="Q664" s="110">
        <v>63024.0</v>
      </c>
      <c r="R664" s="50">
        <v>72518.0</v>
      </c>
      <c r="S664" s="111">
        <v>52.0</v>
      </c>
      <c r="T664" s="112">
        <v>64.0</v>
      </c>
      <c r="U664" s="24" t="s">
        <v>39</v>
      </c>
      <c r="V664" s="11" t="s">
        <v>3985</v>
      </c>
      <c r="W664" s="108">
        <v>8.0</v>
      </c>
      <c r="X664" s="113">
        <v>101114.0</v>
      </c>
      <c r="Y664" s="113">
        <v>80922.0</v>
      </c>
      <c r="Z664" s="11">
        <v>112.0</v>
      </c>
      <c r="AA664" s="113">
        <v>122923.0</v>
      </c>
      <c r="AB664" s="109">
        <v>-58855.12</v>
      </c>
      <c r="AC664" s="113">
        <v>60219.0</v>
      </c>
      <c r="AD664" s="108">
        <v>1.0</v>
      </c>
    </row>
    <row r="665">
      <c r="A665" s="11">
        <v>95.0</v>
      </c>
      <c r="B665" s="11">
        <v>5.0</v>
      </c>
      <c r="C665" s="11">
        <v>5.0</v>
      </c>
      <c r="D665" s="17">
        <v>58.0</v>
      </c>
      <c r="E665" s="108">
        <v>8.0</v>
      </c>
      <c r="F665" s="109">
        <v>-58382.96</v>
      </c>
      <c r="G665" s="109">
        <v>-84608.72</v>
      </c>
      <c r="H665" s="109">
        <v>-21952.41</v>
      </c>
      <c r="I665" s="109">
        <v>-70662.79</v>
      </c>
      <c r="J665" s="109">
        <v>26491.62</v>
      </c>
      <c r="K665" s="109">
        <v>42707.78</v>
      </c>
      <c r="L665" s="109">
        <v>-29333.07</v>
      </c>
      <c r="M665" s="109">
        <v>-51403.97</v>
      </c>
      <c r="N665" s="110">
        <v>71713.0</v>
      </c>
      <c r="O665" s="110">
        <v>71523.0</v>
      </c>
      <c r="P665" s="110">
        <v>53023.0</v>
      </c>
      <c r="Q665" s="110">
        <v>73123.0</v>
      </c>
      <c r="R665" s="50">
        <v>30717.0</v>
      </c>
      <c r="S665" s="111">
        <v>55.0</v>
      </c>
      <c r="T665" s="112">
        <v>51.0</v>
      </c>
      <c r="U665" s="24" t="s">
        <v>601</v>
      </c>
      <c r="V665" s="11" t="s">
        <v>3898</v>
      </c>
      <c r="W665" s="108">
        <v>8.0</v>
      </c>
      <c r="X665" s="113">
        <v>52615.0</v>
      </c>
      <c r="Y665" s="113">
        <v>92516.0</v>
      </c>
      <c r="Z665" s="11">
        <v>115.0</v>
      </c>
      <c r="AA665" s="113">
        <v>71619.0</v>
      </c>
      <c r="AB665" s="109">
        <v>-60621.7</v>
      </c>
      <c r="AC665" s="113">
        <v>60618.0</v>
      </c>
      <c r="AD665" s="108">
        <v>7.0</v>
      </c>
    </row>
    <row r="666">
      <c r="A666" s="11">
        <v>95.0</v>
      </c>
      <c r="B666" s="11">
        <v>5.0</v>
      </c>
      <c r="C666" s="11">
        <v>9.0</v>
      </c>
      <c r="D666" s="17">
        <v>98.0</v>
      </c>
      <c r="E666" s="108">
        <v>5.0</v>
      </c>
      <c r="F666" s="109">
        <v>62071.84</v>
      </c>
      <c r="G666" s="109">
        <v>46560.18</v>
      </c>
      <c r="H666" s="109">
        <v>93764.6</v>
      </c>
      <c r="I666" s="109">
        <v>88440.89</v>
      </c>
      <c r="J666" s="109">
        <v>-39509.31</v>
      </c>
      <c r="K666" s="109">
        <v>-23427.82</v>
      </c>
      <c r="L666" s="109">
        <v>-52965.28</v>
      </c>
      <c r="M666" s="109">
        <v>-32605.36</v>
      </c>
      <c r="N666" s="110">
        <v>10112.0</v>
      </c>
      <c r="O666" s="110">
        <v>122441.0</v>
      </c>
      <c r="P666" s="110">
        <v>53023.0</v>
      </c>
      <c r="Q666" s="110">
        <v>123140.0</v>
      </c>
      <c r="R666" s="50">
        <v>32819.0</v>
      </c>
      <c r="S666" s="111">
        <v>52.0</v>
      </c>
      <c r="T666" s="112">
        <v>72.0</v>
      </c>
      <c r="U666" s="24" t="s">
        <v>603</v>
      </c>
      <c r="V666" s="11" t="s">
        <v>3866</v>
      </c>
      <c r="W666" s="108">
        <v>4.0</v>
      </c>
      <c r="X666" s="113">
        <v>42814.0</v>
      </c>
      <c r="Y666" s="113">
        <v>82915.0</v>
      </c>
      <c r="Z666" s="11">
        <v>116.0</v>
      </c>
      <c r="AA666" s="113">
        <v>72619.0</v>
      </c>
      <c r="AB666" s="109">
        <v>-52435.97</v>
      </c>
      <c r="AC666" s="113">
        <v>52923.0</v>
      </c>
      <c r="AD666" s="108">
        <v>3.0</v>
      </c>
    </row>
    <row r="667">
      <c r="A667" s="11">
        <v>13.0</v>
      </c>
      <c r="B667" s="11">
        <v>6.0</v>
      </c>
      <c r="C667" s="11">
        <v>4.0</v>
      </c>
      <c r="D667" s="17">
        <v>63.0</v>
      </c>
      <c r="E667" s="108">
        <v>4.0</v>
      </c>
      <c r="F667" s="109">
        <v>-41320.81</v>
      </c>
      <c r="G667" s="109">
        <v>42088.6</v>
      </c>
      <c r="H667" s="109">
        <v>34828.07</v>
      </c>
      <c r="I667" s="109">
        <v>-60142.59</v>
      </c>
      <c r="J667" s="109">
        <v>15743.78</v>
      </c>
      <c r="K667" s="109">
        <v>-63942.99</v>
      </c>
      <c r="L667" s="109">
        <v>-33215.23</v>
      </c>
      <c r="M667" s="109">
        <v>42395.19</v>
      </c>
      <c r="N667" s="110">
        <v>11411.0</v>
      </c>
      <c r="O667" s="110">
        <v>11121.0</v>
      </c>
      <c r="P667" s="110">
        <v>52423.0</v>
      </c>
      <c r="Q667" s="110">
        <v>13121.0</v>
      </c>
      <c r="R667" s="50">
        <v>111213.0</v>
      </c>
      <c r="S667" s="111">
        <v>54.0</v>
      </c>
      <c r="T667" s="112">
        <v>48.0</v>
      </c>
      <c r="U667" s="24" t="s">
        <v>48</v>
      </c>
      <c r="V667" s="11" t="s">
        <v>3962</v>
      </c>
      <c r="W667" s="108">
        <v>4.0</v>
      </c>
      <c r="X667" s="113">
        <v>42017.0</v>
      </c>
      <c r="Y667" s="113">
        <v>41022.0</v>
      </c>
      <c r="Z667" s="11">
        <v>131.0</v>
      </c>
      <c r="AA667" s="113">
        <v>81921.0</v>
      </c>
      <c r="AB667" s="109">
        <v>61094.67</v>
      </c>
      <c r="AC667" s="113">
        <v>11113.0</v>
      </c>
      <c r="AD667" s="108">
        <v>5.0</v>
      </c>
    </row>
    <row r="668">
      <c r="A668" s="11">
        <v>95.0</v>
      </c>
      <c r="B668" s="11">
        <v>6.0</v>
      </c>
      <c r="C668" s="11">
        <v>1.0</v>
      </c>
      <c r="D668" s="17">
        <v>88.0</v>
      </c>
      <c r="E668" s="108">
        <v>7.0</v>
      </c>
      <c r="F668" s="109">
        <v>-38702.47</v>
      </c>
      <c r="G668" s="109">
        <v>-9344.5</v>
      </c>
      <c r="H668" s="109">
        <v>-70733.38</v>
      </c>
      <c r="I668" s="109">
        <v>75972.89</v>
      </c>
      <c r="J668" s="109">
        <v>-70202.01</v>
      </c>
      <c r="K668" s="109">
        <v>52675.44</v>
      </c>
      <c r="L668" s="109">
        <v>75424.32</v>
      </c>
      <c r="M668" s="109">
        <v>-53625.86</v>
      </c>
      <c r="N668" s="110">
        <v>10614.0</v>
      </c>
      <c r="O668" s="110">
        <v>10424.0</v>
      </c>
      <c r="P668" s="110">
        <v>51823.0</v>
      </c>
      <c r="Q668" s="110">
        <v>13124.0</v>
      </c>
      <c r="R668" s="50">
        <v>111416.0</v>
      </c>
      <c r="S668" s="111">
        <v>50.0</v>
      </c>
      <c r="T668" s="112">
        <v>66.0</v>
      </c>
      <c r="U668" s="24" t="s">
        <v>48</v>
      </c>
      <c r="V668" s="11" t="s">
        <v>3981</v>
      </c>
      <c r="W668" s="108">
        <v>4.0</v>
      </c>
      <c r="X668" s="113">
        <v>102916.0</v>
      </c>
      <c r="Y668" s="113">
        <v>122119.0</v>
      </c>
      <c r="Z668" s="11">
        <v>170.0</v>
      </c>
      <c r="AA668" s="113">
        <v>11818.0</v>
      </c>
      <c r="AB668" s="109">
        <v>13698.77</v>
      </c>
      <c r="AC668" s="113">
        <v>81314.0</v>
      </c>
      <c r="AD668" s="108">
        <v>8.0</v>
      </c>
    </row>
    <row r="669">
      <c r="A669" s="11">
        <v>54.0</v>
      </c>
      <c r="B669" s="11">
        <v>6.0</v>
      </c>
      <c r="C669" s="11">
        <v>8.0</v>
      </c>
      <c r="D669" s="17">
        <v>73.0</v>
      </c>
      <c r="E669" s="108">
        <v>3.0</v>
      </c>
      <c r="F669" s="109">
        <v>61288.75</v>
      </c>
      <c r="G669" s="109">
        <v>-2242.24</v>
      </c>
      <c r="H669" s="109">
        <v>33358.01</v>
      </c>
      <c r="I669" s="109">
        <v>-26696.48</v>
      </c>
      <c r="J669" s="109">
        <v>28575.28</v>
      </c>
      <c r="K669" s="109">
        <v>88038.99</v>
      </c>
      <c r="L669" s="109">
        <v>-67179.54</v>
      </c>
      <c r="M669" s="109">
        <v>-31427.23</v>
      </c>
      <c r="N669" s="110">
        <v>40713.0</v>
      </c>
      <c r="O669" s="110">
        <v>40523.0</v>
      </c>
      <c r="P669" s="110">
        <v>51323.0</v>
      </c>
      <c r="Q669" s="110">
        <v>43023.0</v>
      </c>
      <c r="R669" s="50">
        <v>61817.0</v>
      </c>
      <c r="S669" s="111">
        <v>55.0</v>
      </c>
      <c r="T669" s="112">
        <v>85.0</v>
      </c>
      <c r="U669" s="24" t="s">
        <v>48</v>
      </c>
      <c r="V669" s="11" t="s">
        <v>4085</v>
      </c>
      <c r="W669" s="108">
        <v>6.0</v>
      </c>
      <c r="X669" s="113">
        <v>20119.0</v>
      </c>
      <c r="Y669" s="113">
        <v>42322.0</v>
      </c>
      <c r="Z669" s="11">
        <v>111.0</v>
      </c>
      <c r="AA669" s="113">
        <v>91120.0</v>
      </c>
      <c r="AB669" s="109">
        <v>-49852.46</v>
      </c>
      <c r="AC669" s="113">
        <v>90423.0</v>
      </c>
      <c r="AD669" s="108">
        <v>6.0</v>
      </c>
    </row>
    <row r="670">
      <c r="A670" s="11">
        <v>75.0</v>
      </c>
      <c r="B670" s="11">
        <v>1.0</v>
      </c>
      <c r="C670" s="11">
        <v>7.0</v>
      </c>
      <c r="D670" s="17">
        <v>7.0</v>
      </c>
      <c r="E670" s="108">
        <v>2.0</v>
      </c>
      <c r="F670" s="109">
        <v>-55488.89</v>
      </c>
      <c r="G670" s="109">
        <v>13288.19</v>
      </c>
      <c r="H670" s="109">
        <v>-70788.24</v>
      </c>
      <c r="I670" s="109">
        <v>35065.46</v>
      </c>
      <c r="J670" s="109">
        <v>-71479.31</v>
      </c>
      <c r="K670" s="109">
        <v>96092.84</v>
      </c>
      <c r="L670" s="109">
        <v>82339.33</v>
      </c>
      <c r="M670" s="109">
        <v>-86339.69</v>
      </c>
      <c r="N670" s="110">
        <v>112211.0</v>
      </c>
      <c r="O670" s="110">
        <v>111441.0</v>
      </c>
      <c r="P670" s="110">
        <v>53023.0</v>
      </c>
      <c r="Q670" s="110">
        <v>113041.0</v>
      </c>
      <c r="R670" s="50">
        <v>102619.0</v>
      </c>
      <c r="S670" s="111">
        <v>51.0</v>
      </c>
      <c r="T670" s="112">
        <v>35.0</v>
      </c>
      <c r="U670" s="24" t="s">
        <v>31</v>
      </c>
      <c r="V670" s="11" t="s">
        <v>3880</v>
      </c>
      <c r="W670" s="108">
        <v>5.0</v>
      </c>
      <c r="X670" s="113">
        <v>42617.0</v>
      </c>
      <c r="Y670" s="113">
        <v>32219.0</v>
      </c>
      <c r="Z670" s="11">
        <v>103.0</v>
      </c>
      <c r="AA670" s="113">
        <v>71421.0</v>
      </c>
      <c r="AB670" s="109">
        <v>51155.96</v>
      </c>
      <c r="AC670" s="113">
        <v>90320.0</v>
      </c>
      <c r="AD670" s="108">
        <v>2.0</v>
      </c>
    </row>
    <row r="671">
      <c r="A671" s="11">
        <v>13.0</v>
      </c>
      <c r="B671" s="11">
        <v>7.0</v>
      </c>
      <c r="C671" s="11">
        <v>4.0</v>
      </c>
      <c r="D671" s="17">
        <v>1.0</v>
      </c>
      <c r="E671" s="108">
        <v>0.0</v>
      </c>
      <c r="F671" s="109">
        <v>-6805.23</v>
      </c>
      <c r="G671" s="109">
        <v>63616.32</v>
      </c>
      <c r="H671" s="109">
        <v>81775.55</v>
      </c>
      <c r="I671" s="109">
        <v>-6696.32</v>
      </c>
      <c r="J671" s="109">
        <v>29476.69</v>
      </c>
      <c r="K671" s="109">
        <v>18333.67</v>
      </c>
      <c r="L671" s="109">
        <v>3806.47</v>
      </c>
      <c r="M671" s="109">
        <v>54511.97</v>
      </c>
      <c r="N671" s="110">
        <v>90314.0</v>
      </c>
      <c r="O671" s="110">
        <v>82934.0</v>
      </c>
      <c r="P671" s="110">
        <v>51323.0</v>
      </c>
      <c r="Q671" s="110">
        <v>83134.0</v>
      </c>
      <c r="R671" s="50">
        <v>70716.0</v>
      </c>
      <c r="S671" s="111">
        <v>50.0</v>
      </c>
      <c r="T671" s="112">
        <v>19.0</v>
      </c>
      <c r="U671" s="24" t="s">
        <v>31</v>
      </c>
      <c r="V671" s="11" t="s">
        <v>3882</v>
      </c>
      <c r="W671" s="108">
        <v>1.0</v>
      </c>
      <c r="X671" s="113">
        <v>102322.0</v>
      </c>
      <c r="Y671" s="113">
        <v>32115.0</v>
      </c>
      <c r="Z671" s="11">
        <v>173.0</v>
      </c>
      <c r="AA671" s="113">
        <v>121816.0</v>
      </c>
      <c r="AB671" s="109">
        <v>-49055.33</v>
      </c>
      <c r="AC671" s="113">
        <v>52815.0</v>
      </c>
      <c r="AD671" s="108">
        <v>7.0</v>
      </c>
    </row>
    <row r="672">
      <c r="A672" s="11">
        <v>95.0</v>
      </c>
      <c r="B672" s="11">
        <v>6.0</v>
      </c>
      <c r="C672" s="11">
        <v>7.0</v>
      </c>
      <c r="D672" s="17">
        <v>25.0</v>
      </c>
      <c r="E672" s="108">
        <v>4.0</v>
      </c>
      <c r="F672" s="109">
        <v>-38854.57</v>
      </c>
      <c r="G672" s="109">
        <v>61921.45</v>
      </c>
      <c r="H672" s="109">
        <v>14316.81</v>
      </c>
      <c r="I672" s="109">
        <v>98655.21</v>
      </c>
      <c r="J672" s="109">
        <v>45345.7</v>
      </c>
      <c r="K672" s="109">
        <v>-21457.24</v>
      </c>
      <c r="L672" s="109">
        <v>-69931.2</v>
      </c>
      <c r="M672" s="109">
        <v>20009.44</v>
      </c>
      <c r="N672" s="110">
        <v>31311.0</v>
      </c>
      <c r="O672" s="110">
        <v>31021.0</v>
      </c>
      <c r="P672" s="110">
        <v>51123.0</v>
      </c>
      <c r="Q672" s="110">
        <v>33121.0</v>
      </c>
      <c r="R672" s="50">
        <v>21417.0</v>
      </c>
      <c r="S672" s="111">
        <v>54.0</v>
      </c>
      <c r="T672" s="112">
        <v>5.0</v>
      </c>
      <c r="U672" s="24" t="s">
        <v>603</v>
      </c>
      <c r="V672" s="11" t="s">
        <v>3989</v>
      </c>
      <c r="W672" s="108">
        <v>6.0</v>
      </c>
      <c r="X672" s="113">
        <v>92817.0</v>
      </c>
      <c r="Y672" s="113">
        <v>53114.0</v>
      </c>
      <c r="Z672" s="11">
        <v>131.0</v>
      </c>
      <c r="AA672" s="113">
        <v>103014.0</v>
      </c>
      <c r="AB672" s="109">
        <v>-4697.76</v>
      </c>
      <c r="AC672" s="113">
        <v>90313.0</v>
      </c>
      <c r="AD672" s="108">
        <v>1.0</v>
      </c>
    </row>
    <row r="673">
      <c r="A673" s="11">
        <v>13.0</v>
      </c>
      <c r="B673" s="11">
        <v>7.0</v>
      </c>
      <c r="C673" s="11">
        <v>8.0</v>
      </c>
      <c r="D673" s="17">
        <v>3.0</v>
      </c>
      <c r="E673" s="108">
        <v>9.0</v>
      </c>
      <c r="F673" s="109">
        <v>-7429.89</v>
      </c>
      <c r="G673" s="109">
        <v>63124.57</v>
      </c>
      <c r="H673" s="109">
        <v>42032.07</v>
      </c>
      <c r="I673" s="109">
        <v>-61645.45</v>
      </c>
      <c r="J673" s="109">
        <v>-21555.6</v>
      </c>
      <c r="K673" s="109">
        <v>79368.01</v>
      </c>
      <c r="L673" s="109">
        <v>74319.53</v>
      </c>
      <c r="M673" s="109">
        <v>-52353.56</v>
      </c>
      <c r="N673" s="110">
        <v>92413.0</v>
      </c>
      <c r="O673" s="110">
        <v>92223.0</v>
      </c>
      <c r="P673" s="110">
        <v>50523.0</v>
      </c>
      <c r="Q673" s="110">
        <v>93023.0</v>
      </c>
      <c r="R673" s="50">
        <v>60622.0</v>
      </c>
      <c r="S673" s="111">
        <v>55.0</v>
      </c>
      <c r="T673" s="112">
        <v>52.0</v>
      </c>
      <c r="U673" s="24" t="s">
        <v>39</v>
      </c>
      <c r="V673" s="11" t="s">
        <v>3929</v>
      </c>
      <c r="W673" s="108">
        <v>5.0</v>
      </c>
      <c r="X673" s="113">
        <v>42919.0</v>
      </c>
      <c r="Y673" s="113">
        <v>110718.0</v>
      </c>
      <c r="Z673" s="11">
        <v>183.0</v>
      </c>
      <c r="AA673" s="113">
        <v>42319.0</v>
      </c>
      <c r="AB673" s="109">
        <v>49061.27</v>
      </c>
      <c r="AC673" s="113">
        <v>30113.0</v>
      </c>
      <c r="AD673" s="108">
        <v>0.0</v>
      </c>
    </row>
    <row r="674">
      <c r="A674" s="11">
        <v>95.0</v>
      </c>
      <c r="B674" s="11">
        <v>7.0</v>
      </c>
      <c r="C674" s="11">
        <v>1.0</v>
      </c>
      <c r="D674" s="17">
        <v>50.0</v>
      </c>
      <c r="E674" s="108">
        <v>6.0</v>
      </c>
      <c r="F674" s="109">
        <v>31809.27</v>
      </c>
      <c r="G674" s="109">
        <v>3361.78</v>
      </c>
      <c r="H674" s="109">
        <v>35721.14</v>
      </c>
      <c r="I674" s="109">
        <v>10510.46</v>
      </c>
      <c r="J674" s="109">
        <v>-66755.28</v>
      </c>
      <c r="K674" s="109">
        <v>-58668.37</v>
      </c>
      <c r="L674" s="109">
        <v>-63547.65</v>
      </c>
      <c r="M674" s="109">
        <v>-74040.27</v>
      </c>
      <c r="N674" s="110">
        <v>63013.0</v>
      </c>
      <c r="O674" s="110">
        <v>62823.0</v>
      </c>
      <c r="P674" s="110">
        <v>52023.0</v>
      </c>
      <c r="Q674" s="110">
        <v>63023.0</v>
      </c>
      <c r="R674" s="50">
        <v>51516.0</v>
      </c>
      <c r="S674" s="111">
        <v>55.0</v>
      </c>
      <c r="T674" s="112">
        <v>18.0</v>
      </c>
      <c r="U674" s="24" t="s">
        <v>39</v>
      </c>
      <c r="V674" s="11" t="s">
        <v>3933</v>
      </c>
      <c r="W674" s="108">
        <v>2.0</v>
      </c>
      <c r="X674" s="113">
        <v>33113.0</v>
      </c>
      <c r="Y674" s="113">
        <v>82714.0</v>
      </c>
      <c r="Z674" s="11">
        <v>190.0</v>
      </c>
      <c r="AA674" s="113">
        <v>42623.0</v>
      </c>
      <c r="AB674" s="109">
        <v>-69705.07</v>
      </c>
      <c r="AC674" s="113">
        <v>91317.0</v>
      </c>
      <c r="AD674" s="108">
        <v>4.0</v>
      </c>
    </row>
    <row r="675">
      <c r="A675" s="11">
        <v>54.0</v>
      </c>
      <c r="B675" s="11">
        <v>7.0</v>
      </c>
      <c r="C675" s="11">
        <v>8.0</v>
      </c>
      <c r="D675" s="17">
        <v>69.0</v>
      </c>
      <c r="E675" s="108">
        <v>7.0</v>
      </c>
      <c r="F675" s="109">
        <v>96260.89</v>
      </c>
      <c r="G675" s="109">
        <v>-35305.13</v>
      </c>
      <c r="H675" s="109">
        <v>95226.22</v>
      </c>
      <c r="I675" s="109">
        <v>-16490.69</v>
      </c>
      <c r="J675" s="109">
        <v>-34030.13</v>
      </c>
      <c r="K675" s="109">
        <v>74383.13</v>
      </c>
      <c r="L675" s="109">
        <v>-87279.15</v>
      </c>
      <c r="M675" s="109">
        <v>-23880.34</v>
      </c>
      <c r="N675" s="110">
        <v>11714.0</v>
      </c>
      <c r="O675" s="110">
        <v>11234.0</v>
      </c>
      <c r="P675" s="110">
        <v>50223.0</v>
      </c>
      <c r="Q675" s="110">
        <v>13134.0</v>
      </c>
      <c r="R675" s="50">
        <v>121818.0</v>
      </c>
      <c r="S675" s="111">
        <v>50.0</v>
      </c>
      <c r="T675" s="112">
        <v>15.0</v>
      </c>
      <c r="U675" s="24" t="s">
        <v>48</v>
      </c>
      <c r="V675" s="11" t="s">
        <v>4086</v>
      </c>
      <c r="W675" s="108">
        <v>5.0</v>
      </c>
      <c r="X675" s="113">
        <v>40120.0</v>
      </c>
      <c r="Y675" s="113">
        <v>30415.0</v>
      </c>
      <c r="Z675" s="11">
        <v>130.0</v>
      </c>
      <c r="AA675" s="113">
        <v>81814.0</v>
      </c>
      <c r="AB675" s="109">
        <v>91927.15</v>
      </c>
      <c r="AC675" s="113">
        <v>61423.0</v>
      </c>
      <c r="AD675" s="108">
        <v>0.0</v>
      </c>
    </row>
    <row r="676">
      <c r="A676" s="11">
        <v>13.0</v>
      </c>
      <c r="B676" s="11">
        <v>8.0</v>
      </c>
      <c r="C676" s="11">
        <v>2.0</v>
      </c>
      <c r="D676" s="17">
        <v>46.0</v>
      </c>
      <c r="E676" s="108">
        <v>9.0</v>
      </c>
      <c r="F676" s="109">
        <v>84537.53</v>
      </c>
      <c r="G676" s="109">
        <v>-49419.43</v>
      </c>
      <c r="H676" s="109">
        <v>-756.75</v>
      </c>
      <c r="I676" s="109">
        <v>24913.16</v>
      </c>
      <c r="J676" s="109">
        <v>82789.43</v>
      </c>
      <c r="K676" s="109">
        <v>-14178.42</v>
      </c>
      <c r="L676" s="109">
        <v>20581.25</v>
      </c>
      <c r="M676" s="109">
        <v>60761.74</v>
      </c>
      <c r="N676" s="110">
        <v>92014.0</v>
      </c>
      <c r="O676" s="110">
        <v>91244.0</v>
      </c>
      <c r="P676" s="110">
        <v>50423.0</v>
      </c>
      <c r="Q676" s="110">
        <v>93044.0</v>
      </c>
      <c r="R676" s="50">
        <v>32815.0</v>
      </c>
      <c r="S676" s="111">
        <v>55.0</v>
      </c>
      <c r="T676" s="112">
        <v>42.0</v>
      </c>
      <c r="U676" s="24" t="s">
        <v>31</v>
      </c>
      <c r="V676" s="11" t="s">
        <v>4087</v>
      </c>
      <c r="W676" s="108">
        <v>2.0</v>
      </c>
      <c r="X676" s="113">
        <v>30220.0</v>
      </c>
      <c r="Y676" s="113">
        <v>81319.0</v>
      </c>
      <c r="Z676" s="11">
        <v>177.0</v>
      </c>
      <c r="AA676" s="113">
        <v>13113.0</v>
      </c>
      <c r="AB676" s="109">
        <v>74518.28</v>
      </c>
      <c r="AC676" s="113">
        <v>51417.0</v>
      </c>
      <c r="AD676" s="108">
        <v>2.0</v>
      </c>
    </row>
    <row r="677">
      <c r="A677" s="11">
        <v>34.0</v>
      </c>
      <c r="B677" s="11">
        <v>3.0</v>
      </c>
      <c r="C677" s="11">
        <v>1.0</v>
      </c>
      <c r="D677" s="17">
        <v>96.0</v>
      </c>
      <c r="E677" s="108">
        <v>7.0</v>
      </c>
      <c r="F677" s="109">
        <v>38978.99</v>
      </c>
      <c r="G677" s="109">
        <v>72544.59</v>
      </c>
      <c r="H677" s="109">
        <v>-72968.98</v>
      </c>
      <c r="I677" s="109">
        <v>-99270.12</v>
      </c>
      <c r="J677" s="109">
        <v>54909.2</v>
      </c>
      <c r="K677" s="109">
        <v>-71484.78</v>
      </c>
      <c r="L677" s="109">
        <v>-72264.27</v>
      </c>
      <c r="M677" s="109">
        <v>-48375.12</v>
      </c>
      <c r="N677" s="110">
        <v>11513.0</v>
      </c>
      <c r="O677" s="110">
        <v>11323.0</v>
      </c>
      <c r="P677" s="110">
        <v>50723.0</v>
      </c>
      <c r="Q677" s="110">
        <v>13123.0</v>
      </c>
      <c r="R677" s="50">
        <v>123114.0</v>
      </c>
      <c r="S677" s="111">
        <v>54.0</v>
      </c>
      <c r="T677" s="112">
        <v>44.0</v>
      </c>
      <c r="U677" s="24" t="s">
        <v>601</v>
      </c>
      <c r="V677" s="11" t="s">
        <v>4071</v>
      </c>
      <c r="W677" s="108">
        <v>3.0</v>
      </c>
      <c r="X677" s="113">
        <v>32020.0</v>
      </c>
      <c r="Y677" s="113">
        <v>81423.0</v>
      </c>
      <c r="Z677" s="11">
        <v>195.0</v>
      </c>
      <c r="AA677" s="113">
        <v>121815.0</v>
      </c>
      <c r="AB677" s="109">
        <v>92667.09</v>
      </c>
      <c r="AC677" s="113">
        <v>70117.0</v>
      </c>
      <c r="AD677" s="108">
        <v>1.0</v>
      </c>
    </row>
    <row r="678">
      <c r="A678" s="11">
        <v>54.0</v>
      </c>
      <c r="B678" s="11">
        <v>8.0</v>
      </c>
      <c r="C678" s="11">
        <v>1.0</v>
      </c>
      <c r="D678" s="17">
        <v>52.0</v>
      </c>
      <c r="E678" s="108">
        <v>5.0</v>
      </c>
      <c r="F678" s="109">
        <v>42392.04</v>
      </c>
      <c r="G678" s="109">
        <v>-55628.14</v>
      </c>
      <c r="H678" s="109">
        <v>-79835.14</v>
      </c>
      <c r="I678" s="109">
        <v>-28479.06</v>
      </c>
      <c r="J678" s="109">
        <v>37442.76</v>
      </c>
      <c r="K678" s="109">
        <v>8084.2</v>
      </c>
      <c r="L678" s="109">
        <v>30369.13</v>
      </c>
      <c r="M678" s="109">
        <v>-29302.47</v>
      </c>
      <c r="N678" s="110">
        <v>111410.0</v>
      </c>
      <c r="O678" s="110">
        <v>111120.0</v>
      </c>
      <c r="P678" s="110">
        <v>51023.0</v>
      </c>
      <c r="Q678" s="110">
        <v>113020.0</v>
      </c>
      <c r="R678" s="50">
        <v>62422.0</v>
      </c>
      <c r="S678" s="111">
        <v>55.0</v>
      </c>
      <c r="T678" s="112">
        <v>2.0</v>
      </c>
      <c r="U678" s="24" t="s">
        <v>601</v>
      </c>
      <c r="V678" s="11" t="s">
        <v>4073</v>
      </c>
      <c r="W678" s="108">
        <v>9.0</v>
      </c>
      <c r="X678" s="113">
        <v>71722.0</v>
      </c>
      <c r="Y678" s="113">
        <v>123016.0</v>
      </c>
      <c r="Z678" s="11">
        <v>165.0</v>
      </c>
      <c r="AA678" s="113">
        <v>63122.0</v>
      </c>
      <c r="AB678" s="109">
        <v>-33852.95</v>
      </c>
      <c r="AC678" s="113">
        <v>93018.0</v>
      </c>
      <c r="AD678" s="108">
        <v>3.0</v>
      </c>
    </row>
    <row r="679">
      <c r="A679" s="11">
        <v>13.0</v>
      </c>
      <c r="B679" s="11">
        <v>8.0</v>
      </c>
      <c r="C679" s="11">
        <v>3.0</v>
      </c>
      <c r="D679" s="17">
        <v>80.0</v>
      </c>
      <c r="E679" s="108">
        <v>1.0</v>
      </c>
      <c r="F679" s="109">
        <v>31985.94</v>
      </c>
      <c r="G679" s="109">
        <v>-31005.77</v>
      </c>
      <c r="H679" s="109">
        <v>-99208.22</v>
      </c>
      <c r="I679" s="109">
        <v>43743.72</v>
      </c>
      <c r="J679" s="109">
        <v>-14583.11</v>
      </c>
      <c r="K679" s="109">
        <v>32846.09</v>
      </c>
      <c r="L679" s="109">
        <v>33041.19</v>
      </c>
      <c r="M679" s="109">
        <v>3745.59</v>
      </c>
      <c r="N679" s="110">
        <v>52310.0</v>
      </c>
      <c r="O679" s="110">
        <v>52020.0</v>
      </c>
      <c r="P679" s="110">
        <v>50423.0</v>
      </c>
      <c r="Q679" s="110">
        <v>53120.0</v>
      </c>
      <c r="R679" s="50">
        <v>122013.0</v>
      </c>
      <c r="S679" s="111">
        <v>52.0</v>
      </c>
      <c r="T679" s="112">
        <v>81.0</v>
      </c>
      <c r="U679" s="24" t="s">
        <v>39</v>
      </c>
      <c r="V679" s="11" t="s">
        <v>4088</v>
      </c>
      <c r="W679" s="108">
        <v>4.0</v>
      </c>
      <c r="X679" s="113">
        <v>31018.0</v>
      </c>
      <c r="Y679" s="113">
        <v>23023.0</v>
      </c>
      <c r="Z679" s="11">
        <v>131.0</v>
      </c>
      <c r="AA679" s="113">
        <v>32214.0</v>
      </c>
      <c r="AB679" s="109">
        <v>66828.46</v>
      </c>
      <c r="AC679" s="113">
        <v>31820.0</v>
      </c>
      <c r="AD679" s="108">
        <v>7.0</v>
      </c>
    </row>
    <row r="680">
      <c r="A680" s="11">
        <v>95.0</v>
      </c>
      <c r="B680" s="11">
        <v>7.0</v>
      </c>
      <c r="C680" s="11">
        <v>4.0</v>
      </c>
      <c r="D680" s="17">
        <v>3.0</v>
      </c>
      <c r="E680" s="108">
        <v>2.0</v>
      </c>
      <c r="F680" s="109">
        <v>10089.07</v>
      </c>
      <c r="G680" s="109">
        <v>72657.64</v>
      </c>
      <c r="H680" s="109">
        <v>83524.67</v>
      </c>
      <c r="I680" s="109">
        <v>-6466.45</v>
      </c>
      <c r="J680" s="109">
        <v>48993.37</v>
      </c>
      <c r="K680" s="109">
        <v>41716.06</v>
      </c>
      <c r="L680" s="109">
        <v>16094.07</v>
      </c>
      <c r="M680" s="109">
        <v>-93170.9</v>
      </c>
      <c r="N680" s="110">
        <v>92110.0</v>
      </c>
      <c r="O680" s="110">
        <v>91820.0</v>
      </c>
      <c r="P680" s="110">
        <v>52723.0</v>
      </c>
      <c r="Q680" s="110">
        <v>93020.0</v>
      </c>
      <c r="R680" s="50">
        <v>101113.0</v>
      </c>
      <c r="S680" s="111">
        <v>55.0</v>
      </c>
      <c r="T680" s="112">
        <v>26.0</v>
      </c>
      <c r="U680" s="24" t="s">
        <v>601</v>
      </c>
      <c r="V680" s="11" t="s">
        <v>4074</v>
      </c>
      <c r="W680" s="108">
        <v>5.0</v>
      </c>
      <c r="X680" s="113">
        <v>31417.0</v>
      </c>
      <c r="Y680" s="113">
        <v>101113.0</v>
      </c>
      <c r="Z680" s="11">
        <v>121.0</v>
      </c>
      <c r="AA680" s="113">
        <v>80320.0</v>
      </c>
      <c r="AB680" s="109">
        <v>-57430.3</v>
      </c>
      <c r="AC680" s="113">
        <v>82813.0</v>
      </c>
      <c r="AD680" s="108">
        <v>9.0</v>
      </c>
    </row>
    <row r="681">
      <c r="A681" s="11">
        <v>34.0</v>
      </c>
      <c r="B681" s="11">
        <v>3.0</v>
      </c>
      <c r="C681" s="11">
        <v>6.0</v>
      </c>
      <c r="D681" s="17">
        <v>41.0</v>
      </c>
      <c r="E681" s="108">
        <v>4.0</v>
      </c>
      <c r="F681" s="109">
        <v>-46776.26</v>
      </c>
      <c r="G681" s="109">
        <v>8006.83</v>
      </c>
      <c r="H681" s="109">
        <v>-42381.76</v>
      </c>
      <c r="I681" s="109">
        <v>-48977.18</v>
      </c>
      <c r="J681" s="109">
        <v>-37488.94</v>
      </c>
      <c r="K681" s="109">
        <v>20868.98</v>
      </c>
      <c r="L681" s="109">
        <v>-62484.74</v>
      </c>
      <c r="M681" s="109">
        <v>39526.54</v>
      </c>
      <c r="N681" s="110">
        <v>92112.0</v>
      </c>
      <c r="O681" s="110">
        <v>91442.0</v>
      </c>
      <c r="P681" s="110">
        <v>52623.0</v>
      </c>
      <c r="Q681" s="110">
        <v>93042.0</v>
      </c>
      <c r="R681" s="50">
        <v>73022.0</v>
      </c>
      <c r="S681" s="111">
        <v>51.0</v>
      </c>
      <c r="T681" s="112">
        <v>97.0</v>
      </c>
      <c r="U681" s="24" t="s">
        <v>48</v>
      </c>
      <c r="V681" s="11" t="s">
        <v>4078</v>
      </c>
      <c r="W681" s="108">
        <v>9.0</v>
      </c>
      <c r="X681" s="113">
        <v>42717.0</v>
      </c>
      <c r="Y681" s="113">
        <v>50813.0</v>
      </c>
      <c r="Z681" s="11">
        <v>168.0</v>
      </c>
      <c r="AA681" s="113">
        <v>72415.0</v>
      </c>
      <c r="AB681" s="109">
        <v>-9106.73</v>
      </c>
      <c r="AC681" s="113">
        <v>81615.0</v>
      </c>
      <c r="AD681" s="108">
        <v>5.0</v>
      </c>
    </row>
    <row r="682">
      <c r="A682" s="11">
        <v>54.0</v>
      </c>
      <c r="B682" s="11">
        <v>8.0</v>
      </c>
      <c r="C682" s="11">
        <v>5.0</v>
      </c>
      <c r="D682" s="17">
        <v>86.0</v>
      </c>
      <c r="E682" s="108">
        <v>3.0</v>
      </c>
      <c r="F682" s="109">
        <v>31518.26</v>
      </c>
      <c r="G682" s="109">
        <v>-32981.77</v>
      </c>
      <c r="H682" s="109">
        <v>80672.29</v>
      </c>
      <c r="I682" s="109">
        <v>99000.11</v>
      </c>
      <c r="J682" s="109">
        <v>93267.72</v>
      </c>
      <c r="K682" s="109">
        <v>33384.72</v>
      </c>
      <c r="L682" s="109">
        <v>12089.69</v>
      </c>
      <c r="M682" s="109">
        <v>-2483.42</v>
      </c>
      <c r="N682" s="110">
        <v>21412.0</v>
      </c>
      <c r="O682" s="110">
        <v>20932.0</v>
      </c>
      <c r="P682" s="110">
        <v>52423.0</v>
      </c>
      <c r="Q682" s="110">
        <v>22932.0</v>
      </c>
      <c r="R682" s="50">
        <v>112314.0</v>
      </c>
      <c r="S682" s="111">
        <v>51.0</v>
      </c>
      <c r="T682" s="112">
        <v>77.0</v>
      </c>
      <c r="U682" s="24" t="s">
        <v>601</v>
      </c>
      <c r="V682" s="11" t="s">
        <v>3942</v>
      </c>
      <c r="W682" s="108">
        <v>7.0</v>
      </c>
      <c r="X682" s="113">
        <v>22620.0</v>
      </c>
      <c r="Y682" s="113">
        <v>51716.0</v>
      </c>
      <c r="Z682" s="11">
        <v>197.0</v>
      </c>
      <c r="AA682" s="113">
        <v>21119.0</v>
      </c>
      <c r="AB682" s="109">
        <v>-90367.5</v>
      </c>
      <c r="AC682" s="113">
        <v>103018.0</v>
      </c>
      <c r="AD682" s="108">
        <v>3.0</v>
      </c>
    </row>
    <row r="683">
      <c r="A683" s="11">
        <v>75.0</v>
      </c>
      <c r="B683" s="11">
        <v>3.0</v>
      </c>
      <c r="C683" s="11">
        <v>4.0</v>
      </c>
      <c r="D683" s="17">
        <v>15.0</v>
      </c>
      <c r="E683" s="108">
        <v>0.0</v>
      </c>
      <c r="F683" s="109">
        <v>-7971.8</v>
      </c>
      <c r="G683" s="109">
        <v>66751.15</v>
      </c>
      <c r="H683" s="109">
        <v>97949.38</v>
      </c>
      <c r="I683" s="109">
        <v>71365.27</v>
      </c>
      <c r="J683" s="109">
        <v>-32592.85</v>
      </c>
      <c r="K683" s="109">
        <v>26390.22</v>
      </c>
      <c r="L683" s="109">
        <v>-68247.08</v>
      </c>
      <c r="M683" s="109">
        <v>29075.65</v>
      </c>
      <c r="N683" s="110">
        <v>13111.0</v>
      </c>
      <c r="O683" s="110">
        <v>12341.0</v>
      </c>
      <c r="P683" s="110">
        <v>52923.0</v>
      </c>
      <c r="Q683" s="110">
        <v>13141.0</v>
      </c>
      <c r="R683" s="50">
        <v>61716.0</v>
      </c>
      <c r="S683" s="111">
        <v>52.0</v>
      </c>
      <c r="T683" s="112">
        <v>25.0</v>
      </c>
      <c r="U683" s="24" t="s">
        <v>601</v>
      </c>
      <c r="V683" s="11" t="s">
        <v>3879</v>
      </c>
      <c r="W683" s="108">
        <v>3.0</v>
      </c>
      <c r="X683" s="113">
        <v>22617.0</v>
      </c>
      <c r="Y683" s="113">
        <v>90722.0</v>
      </c>
      <c r="Z683" s="11">
        <v>183.0</v>
      </c>
      <c r="AA683" s="113">
        <v>90721.0</v>
      </c>
      <c r="AB683" s="109">
        <v>-30352.85</v>
      </c>
      <c r="AC683" s="113">
        <v>101021.0</v>
      </c>
      <c r="AD683" s="108">
        <v>3.0</v>
      </c>
    </row>
    <row r="684">
      <c r="A684" s="11">
        <v>75.0</v>
      </c>
      <c r="B684" s="11">
        <v>2.0</v>
      </c>
      <c r="C684" s="11">
        <v>9.0</v>
      </c>
      <c r="D684" s="17">
        <v>82.0</v>
      </c>
      <c r="E684" s="108">
        <v>7.0</v>
      </c>
      <c r="F684" s="109">
        <v>-90438.11</v>
      </c>
      <c r="G684" s="109">
        <v>-94814.44</v>
      </c>
      <c r="H684" s="109">
        <v>56750.05</v>
      </c>
      <c r="I684" s="109">
        <v>-45770.9</v>
      </c>
      <c r="J684" s="109">
        <v>-9565.99</v>
      </c>
      <c r="K684" s="109">
        <v>-38050.91</v>
      </c>
      <c r="L684" s="109">
        <v>64959.43</v>
      </c>
      <c r="M684" s="109">
        <v>61898.03</v>
      </c>
      <c r="N684" s="110">
        <v>12312.0</v>
      </c>
      <c r="O684" s="110">
        <v>12022.0</v>
      </c>
      <c r="P684" s="110">
        <v>51423.0</v>
      </c>
      <c r="Q684" s="110">
        <v>13122.0</v>
      </c>
      <c r="R684" s="50">
        <v>51313.0</v>
      </c>
      <c r="S684" s="111">
        <v>55.0</v>
      </c>
      <c r="T684" s="112">
        <v>76.0</v>
      </c>
      <c r="U684" s="24" t="s">
        <v>31</v>
      </c>
      <c r="V684" s="11" t="s">
        <v>3974</v>
      </c>
      <c r="W684" s="108">
        <v>2.0</v>
      </c>
      <c r="X684" s="113">
        <v>120319.0</v>
      </c>
      <c r="Y684" s="113">
        <v>71821.0</v>
      </c>
      <c r="Z684" s="11">
        <v>116.0</v>
      </c>
      <c r="AA684" s="113">
        <v>71916.0</v>
      </c>
      <c r="AB684" s="109">
        <v>86375.67</v>
      </c>
      <c r="AC684" s="113">
        <v>92714.0</v>
      </c>
      <c r="AD684" s="108">
        <v>3.0</v>
      </c>
    </row>
    <row r="685">
      <c r="A685" s="11">
        <v>34.0</v>
      </c>
      <c r="B685" s="11">
        <v>3.0</v>
      </c>
      <c r="C685" s="11">
        <v>2.0</v>
      </c>
      <c r="D685" s="17">
        <v>48.0</v>
      </c>
      <c r="E685" s="108">
        <v>9.0</v>
      </c>
      <c r="F685" s="109">
        <v>1632.32</v>
      </c>
      <c r="G685" s="109">
        <v>-49982.72</v>
      </c>
      <c r="H685" s="109">
        <v>-5880.59</v>
      </c>
      <c r="I685" s="109">
        <v>88237.21</v>
      </c>
      <c r="J685" s="109">
        <v>-34867.17</v>
      </c>
      <c r="K685" s="109">
        <v>-12502.01</v>
      </c>
      <c r="L685" s="109">
        <v>43899.11</v>
      </c>
      <c r="M685" s="109">
        <v>76013.14</v>
      </c>
      <c r="N685" s="110">
        <v>122713.0</v>
      </c>
      <c r="O685" s="110">
        <v>122523.0</v>
      </c>
      <c r="P685" s="110">
        <v>51923.0</v>
      </c>
      <c r="Q685" s="110">
        <v>123122.0</v>
      </c>
      <c r="R685" s="50">
        <v>52620.0</v>
      </c>
      <c r="S685" s="111">
        <v>55.0</v>
      </c>
      <c r="T685" s="112">
        <v>39.0</v>
      </c>
      <c r="U685" s="24" t="s">
        <v>601</v>
      </c>
      <c r="V685" s="11" t="s">
        <v>3971</v>
      </c>
      <c r="W685" s="108">
        <v>1.0</v>
      </c>
      <c r="X685" s="113">
        <v>22121.0</v>
      </c>
      <c r="Y685" s="113">
        <v>60714.0</v>
      </c>
      <c r="Z685" s="11">
        <v>102.0</v>
      </c>
      <c r="AA685" s="113">
        <v>50818.0</v>
      </c>
      <c r="AB685" s="109">
        <v>-26283.59</v>
      </c>
      <c r="AC685" s="113">
        <v>122915.0</v>
      </c>
      <c r="AD685" s="108">
        <v>4.0</v>
      </c>
    </row>
    <row r="686">
      <c r="A686" s="11">
        <v>34.0</v>
      </c>
      <c r="B686" s="11">
        <v>4.0</v>
      </c>
      <c r="C686" s="11">
        <v>1.0</v>
      </c>
      <c r="D686" s="17">
        <v>65.0</v>
      </c>
      <c r="E686" s="108">
        <v>3.0</v>
      </c>
      <c r="F686" s="109">
        <v>49920.21</v>
      </c>
      <c r="G686" s="109">
        <v>-53404.83</v>
      </c>
      <c r="H686" s="109">
        <v>31978.39</v>
      </c>
      <c r="I686" s="109">
        <v>-26968.7</v>
      </c>
      <c r="J686" s="109">
        <v>49727.54</v>
      </c>
      <c r="K686" s="109">
        <v>-79975.69</v>
      </c>
      <c r="L686" s="109">
        <v>6767.85</v>
      </c>
      <c r="M686" s="109">
        <v>-79984.91</v>
      </c>
      <c r="N686" s="110">
        <v>121814.0</v>
      </c>
      <c r="O686" s="110">
        <v>121524.0</v>
      </c>
      <c r="P686" s="110">
        <v>52523.0</v>
      </c>
      <c r="Q686" s="110">
        <v>123123.0</v>
      </c>
      <c r="R686" s="50">
        <v>112113.0</v>
      </c>
      <c r="S686" s="111">
        <v>54.0</v>
      </c>
      <c r="T686" s="112">
        <v>43.0</v>
      </c>
      <c r="U686" s="24" t="s">
        <v>603</v>
      </c>
      <c r="V686" s="11" t="s">
        <v>3982</v>
      </c>
      <c r="W686" s="108">
        <v>4.0</v>
      </c>
      <c r="X686" s="113">
        <v>41316.0</v>
      </c>
      <c r="Y686" s="113">
        <v>61819.0</v>
      </c>
      <c r="Z686" s="11">
        <v>168.0</v>
      </c>
      <c r="AA686" s="113">
        <v>80218.0</v>
      </c>
      <c r="AB686" s="109">
        <v>96560.49</v>
      </c>
      <c r="AC686" s="113">
        <v>121415.0</v>
      </c>
      <c r="AD686" s="108">
        <v>5.0</v>
      </c>
    </row>
    <row r="687">
      <c r="A687" s="11">
        <v>34.0</v>
      </c>
      <c r="B687" s="11">
        <v>4.0</v>
      </c>
      <c r="C687" s="11">
        <v>3.0</v>
      </c>
      <c r="D687" s="17">
        <v>27.0</v>
      </c>
      <c r="E687" s="108">
        <v>9.0</v>
      </c>
      <c r="F687" s="109">
        <v>-68084.64</v>
      </c>
      <c r="G687" s="109">
        <v>28992.5</v>
      </c>
      <c r="H687" s="109">
        <v>56064.25</v>
      </c>
      <c r="I687" s="109">
        <v>-88529.77</v>
      </c>
      <c r="J687" s="109">
        <v>-16822.71</v>
      </c>
      <c r="K687" s="109">
        <v>-50598.96</v>
      </c>
      <c r="L687" s="109">
        <v>46334.24</v>
      </c>
      <c r="M687" s="109">
        <v>-62951.23</v>
      </c>
      <c r="N687" s="110">
        <v>70912.0</v>
      </c>
      <c r="O687" s="110">
        <v>70432.0</v>
      </c>
      <c r="P687" s="110">
        <v>50223.0</v>
      </c>
      <c r="Q687" s="110">
        <v>73132.0</v>
      </c>
      <c r="R687" s="50">
        <v>72416.0</v>
      </c>
      <c r="S687" s="111">
        <v>55.0</v>
      </c>
      <c r="T687" s="112">
        <v>33.0</v>
      </c>
      <c r="U687" s="24" t="s">
        <v>39</v>
      </c>
      <c r="V687" s="11" t="s">
        <v>3947</v>
      </c>
      <c r="W687" s="108">
        <v>7.0</v>
      </c>
      <c r="X687" s="113">
        <v>22516.0</v>
      </c>
      <c r="Y687" s="113">
        <v>101419.0</v>
      </c>
      <c r="Z687" s="11">
        <v>145.0</v>
      </c>
      <c r="AA687" s="113">
        <v>100121.0</v>
      </c>
      <c r="AB687" s="109">
        <v>97584.16</v>
      </c>
      <c r="AC687" s="113">
        <v>52714.0</v>
      </c>
      <c r="AD687" s="108">
        <v>4.0</v>
      </c>
    </row>
    <row r="688">
      <c r="A688" s="11">
        <v>13.0</v>
      </c>
      <c r="B688" s="11">
        <v>9.0</v>
      </c>
      <c r="C688" s="11">
        <v>7.0</v>
      </c>
      <c r="D688" s="17">
        <v>59.0</v>
      </c>
      <c r="E688" s="108">
        <v>7.0</v>
      </c>
      <c r="F688" s="109">
        <v>-22317.29</v>
      </c>
      <c r="G688" s="109">
        <v>97581.9</v>
      </c>
      <c r="H688" s="109">
        <v>-28139.18</v>
      </c>
      <c r="I688" s="109">
        <v>40470.09</v>
      </c>
      <c r="J688" s="109">
        <v>45441.11</v>
      </c>
      <c r="K688" s="109">
        <v>-55770.61</v>
      </c>
      <c r="L688" s="109">
        <v>82076.76</v>
      </c>
      <c r="M688" s="109">
        <v>7671.32</v>
      </c>
      <c r="N688" s="110">
        <v>112114.0</v>
      </c>
      <c r="O688" s="110">
        <v>111634.0</v>
      </c>
      <c r="P688" s="110">
        <v>50723.0</v>
      </c>
      <c r="Q688" s="110">
        <v>113034.0</v>
      </c>
      <c r="R688" s="50">
        <v>70622.0</v>
      </c>
      <c r="S688" s="111">
        <v>51.0</v>
      </c>
      <c r="T688" s="112">
        <v>74.0</v>
      </c>
      <c r="U688" s="24" t="s">
        <v>603</v>
      </c>
      <c r="V688" s="11" t="s">
        <v>3988</v>
      </c>
      <c r="W688" s="108">
        <v>1.0</v>
      </c>
      <c r="X688" s="113">
        <v>80815.0</v>
      </c>
      <c r="Y688" s="113">
        <v>113019.0</v>
      </c>
      <c r="Z688" s="11">
        <v>190.0</v>
      </c>
      <c r="AA688" s="113">
        <v>41722.0</v>
      </c>
      <c r="AB688" s="109">
        <v>90658.33</v>
      </c>
      <c r="AC688" s="113">
        <v>82218.0</v>
      </c>
      <c r="AD688" s="108">
        <v>1.0</v>
      </c>
    </row>
    <row r="689">
      <c r="A689" s="11">
        <v>75.0</v>
      </c>
      <c r="B689" s="11">
        <v>4.0</v>
      </c>
      <c r="C689" s="11">
        <v>1.0</v>
      </c>
      <c r="D689" s="17">
        <v>61.0</v>
      </c>
      <c r="E689" s="108">
        <v>7.0</v>
      </c>
      <c r="F689" s="109">
        <v>50947.43</v>
      </c>
      <c r="G689" s="109">
        <v>75486.32</v>
      </c>
      <c r="H689" s="109">
        <v>-79309.55</v>
      </c>
      <c r="I689" s="109">
        <v>-46716.38</v>
      </c>
      <c r="J689" s="109">
        <v>36528.69</v>
      </c>
      <c r="K689" s="109">
        <v>-75414.63</v>
      </c>
      <c r="L689" s="109">
        <v>55264.64</v>
      </c>
      <c r="M689" s="109">
        <v>75437.18</v>
      </c>
      <c r="N689" s="110">
        <v>60314.0</v>
      </c>
      <c r="O689" s="110">
        <v>53124.0</v>
      </c>
      <c r="P689" s="110">
        <v>51623.0</v>
      </c>
      <c r="Q689" s="110">
        <v>53124.0</v>
      </c>
      <c r="R689" s="50">
        <v>50621.0</v>
      </c>
      <c r="S689" s="111">
        <v>50.0</v>
      </c>
      <c r="T689" s="112">
        <v>64.0</v>
      </c>
      <c r="U689" s="24" t="s">
        <v>39</v>
      </c>
      <c r="V689" s="11" t="s">
        <v>3885</v>
      </c>
      <c r="W689" s="108">
        <v>8.0</v>
      </c>
      <c r="X689" s="113">
        <v>90716.0</v>
      </c>
      <c r="Y689" s="113">
        <v>120918.0</v>
      </c>
      <c r="Z689" s="11">
        <v>126.0</v>
      </c>
      <c r="AA689" s="113">
        <v>121113.0</v>
      </c>
      <c r="AB689" s="109">
        <v>-98489.22</v>
      </c>
      <c r="AC689" s="113">
        <v>31017.0</v>
      </c>
      <c r="AD689" s="108">
        <v>7.0</v>
      </c>
    </row>
    <row r="690">
      <c r="A690" s="11">
        <v>75.0</v>
      </c>
      <c r="B690" s="11">
        <v>4.0</v>
      </c>
      <c r="C690" s="11">
        <v>2.0</v>
      </c>
      <c r="D690" s="17">
        <v>52.0</v>
      </c>
      <c r="E690" s="108">
        <v>7.0</v>
      </c>
      <c r="F690" s="109">
        <v>-37090.29</v>
      </c>
      <c r="G690" s="109">
        <v>-48387.22</v>
      </c>
      <c r="H690" s="109">
        <v>-61317.36</v>
      </c>
      <c r="I690" s="109">
        <v>51905.67</v>
      </c>
      <c r="J690" s="109">
        <v>-87599.85</v>
      </c>
      <c r="K690" s="109">
        <v>-34182.52</v>
      </c>
      <c r="L690" s="109">
        <v>-75371.99</v>
      </c>
      <c r="M690" s="109">
        <v>53885.57</v>
      </c>
      <c r="N690" s="110">
        <v>42414.0</v>
      </c>
      <c r="O690" s="110">
        <v>41934.0</v>
      </c>
      <c r="P690" s="110">
        <v>51823.0</v>
      </c>
      <c r="Q690" s="110">
        <v>43034.0</v>
      </c>
      <c r="R690" s="50">
        <v>72022.0</v>
      </c>
      <c r="S690" s="111">
        <v>51.0</v>
      </c>
      <c r="T690" s="112">
        <v>39.0</v>
      </c>
      <c r="U690" s="24" t="s">
        <v>39</v>
      </c>
      <c r="V690" s="11" t="s">
        <v>3990</v>
      </c>
      <c r="W690" s="108">
        <v>1.0</v>
      </c>
      <c r="X690" s="113">
        <v>21015.0</v>
      </c>
      <c r="Y690" s="113">
        <v>61519.0</v>
      </c>
      <c r="Z690" s="11">
        <v>122.0</v>
      </c>
      <c r="AA690" s="113">
        <v>61323.0</v>
      </c>
      <c r="AB690" s="109">
        <v>-90498.42</v>
      </c>
      <c r="AC690" s="113">
        <v>70113.0</v>
      </c>
      <c r="AD690" s="108">
        <v>6.0</v>
      </c>
    </row>
    <row r="691">
      <c r="A691" s="11">
        <v>75.0</v>
      </c>
      <c r="B691" s="11">
        <v>4.0</v>
      </c>
      <c r="C691" s="11">
        <v>4.0</v>
      </c>
      <c r="D691" s="17">
        <v>80.0</v>
      </c>
      <c r="E691" s="108">
        <v>9.0</v>
      </c>
      <c r="F691" s="109">
        <v>54477.23</v>
      </c>
      <c r="G691" s="109">
        <v>84443.59</v>
      </c>
      <c r="H691" s="109">
        <v>70231.26</v>
      </c>
      <c r="I691" s="109">
        <v>-89822.85</v>
      </c>
      <c r="J691" s="109">
        <v>46960.71</v>
      </c>
      <c r="K691" s="109">
        <v>28093.68</v>
      </c>
      <c r="L691" s="109">
        <v>96501.78</v>
      </c>
      <c r="M691" s="109">
        <v>-53091.75</v>
      </c>
      <c r="N691" s="110">
        <v>60911.0</v>
      </c>
      <c r="O691" s="110">
        <v>60141.0</v>
      </c>
      <c r="P691" s="110">
        <v>51823.0</v>
      </c>
      <c r="Q691" s="110">
        <v>63041.0</v>
      </c>
      <c r="R691" s="50">
        <v>13120.0</v>
      </c>
      <c r="S691" s="111">
        <v>55.0</v>
      </c>
      <c r="T691" s="112">
        <v>95.0</v>
      </c>
      <c r="U691" s="24" t="s">
        <v>601</v>
      </c>
      <c r="V691" s="11" t="s">
        <v>3864</v>
      </c>
      <c r="W691" s="108">
        <v>4.0</v>
      </c>
      <c r="X691" s="113">
        <v>71518.0</v>
      </c>
      <c r="Y691" s="113">
        <v>92823.0</v>
      </c>
      <c r="Z691" s="11">
        <v>157.0</v>
      </c>
      <c r="AA691" s="113">
        <v>40319.0</v>
      </c>
      <c r="AB691" s="109">
        <v>12691.61</v>
      </c>
      <c r="AC691" s="113">
        <v>52620.0</v>
      </c>
      <c r="AD691" s="108">
        <v>9.0</v>
      </c>
    </row>
    <row r="692">
      <c r="A692" s="11">
        <v>34.0</v>
      </c>
      <c r="B692" s="11">
        <v>5.0</v>
      </c>
      <c r="C692" s="11">
        <v>1.0</v>
      </c>
      <c r="D692" s="17">
        <v>51.0</v>
      </c>
      <c r="E692" s="108">
        <v>2.0</v>
      </c>
      <c r="F692" s="109">
        <v>-38535.07</v>
      </c>
      <c r="G692" s="109">
        <v>-52790.5</v>
      </c>
      <c r="H692" s="109">
        <v>98757.57</v>
      </c>
      <c r="I692" s="109">
        <v>-21066.25</v>
      </c>
      <c r="J692" s="109">
        <v>98545.47</v>
      </c>
      <c r="K692" s="109">
        <v>-17974.39</v>
      </c>
      <c r="L692" s="109">
        <v>84324.07</v>
      </c>
      <c r="M692" s="109">
        <v>54073.4</v>
      </c>
      <c r="N692" s="110">
        <v>33012.0</v>
      </c>
      <c r="O692" s="110">
        <v>32822.0</v>
      </c>
      <c r="P692" s="110">
        <v>52323.0</v>
      </c>
      <c r="Q692" s="110">
        <v>33122.0</v>
      </c>
      <c r="R692" s="50">
        <v>72619.0</v>
      </c>
      <c r="S692" s="111">
        <v>51.0</v>
      </c>
      <c r="T692" s="112">
        <v>11.0</v>
      </c>
      <c r="U692" s="24" t="s">
        <v>39</v>
      </c>
      <c r="V692" s="11" t="s">
        <v>3861</v>
      </c>
      <c r="W692" s="108">
        <v>2.0</v>
      </c>
      <c r="X692" s="113">
        <v>51613.0</v>
      </c>
      <c r="Y692" s="113">
        <v>122122.0</v>
      </c>
      <c r="Z692" s="11">
        <v>137.0</v>
      </c>
      <c r="AA692" s="113">
        <v>62423.0</v>
      </c>
      <c r="AB692" s="109">
        <v>-86341.02</v>
      </c>
      <c r="AC692" s="113">
        <v>31018.0</v>
      </c>
      <c r="AD692" s="108">
        <v>1.0</v>
      </c>
    </row>
    <row r="693">
      <c r="A693" s="11">
        <v>34.0</v>
      </c>
      <c r="B693" s="11">
        <v>5.0</v>
      </c>
      <c r="C693" s="11">
        <v>4.0</v>
      </c>
      <c r="D693" s="17">
        <v>91.0</v>
      </c>
      <c r="E693" s="108">
        <v>6.0</v>
      </c>
      <c r="F693" s="109">
        <v>-19434.19</v>
      </c>
      <c r="G693" s="109">
        <v>8830.92</v>
      </c>
      <c r="H693" s="109">
        <v>89318.55</v>
      </c>
      <c r="I693" s="109">
        <v>-16631.06</v>
      </c>
      <c r="J693" s="109">
        <v>-65436.95</v>
      </c>
      <c r="K693" s="109">
        <v>-7149.38</v>
      </c>
      <c r="L693" s="109">
        <v>-18763.85</v>
      </c>
      <c r="M693" s="109">
        <v>97541.1</v>
      </c>
      <c r="N693" s="110">
        <v>92613.0</v>
      </c>
      <c r="O693" s="110">
        <v>92133.0</v>
      </c>
      <c r="P693" s="110">
        <v>50323.0</v>
      </c>
      <c r="Q693" s="110">
        <v>93033.0</v>
      </c>
      <c r="R693" s="50">
        <v>61118.0</v>
      </c>
      <c r="S693" s="111">
        <v>50.0</v>
      </c>
      <c r="T693" s="112">
        <v>17.0</v>
      </c>
      <c r="U693" s="24" t="s">
        <v>48</v>
      </c>
      <c r="V693" s="11" t="s">
        <v>3967</v>
      </c>
      <c r="W693" s="108">
        <v>3.0</v>
      </c>
      <c r="X693" s="113">
        <v>72213.0</v>
      </c>
      <c r="Y693" s="113">
        <v>30414.0</v>
      </c>
      <c r="Z693" s="11">
        <v>129.0</v>
      </c>
      <c r="AA693" s="113">
        <v>52213.0</v>
      </c>
      <c r="AB693" s="109">
        <v>-97945.12</v>
      </c>
      <c r="AC693" s="113">
        <v>50418.0</v>
      </c>
      <c r="AD693" s="108">
        <v>9.0</v>
      </c>
    </row>
    <row r="694">
      <c r="A694" s="11">
        <v>75.0</v>
      </c>
      <c r="B694" s="11">
        <v>5.0</v>
      </c>
      <c r="C694" s="11">
        <v>3.0</v>
      </c>
      <c r="D694" s="17">
        <v>38.0</v>
      </c>
      <c r="E694" s="108">
        <v>1.0</v>
      </c>
      <c r="F694" s="109">
        <v>-89820.87</v>
      </c>
      <c r="G694" s="109">
        <v>-49234.55</v>
      </c>
      <c r="H694" s="109">
        <v>84816.94</v>
      </c>
      <c r="I694" s="109">
        <v>10502.36</v>
      </c>
      <c r="J694" s="109">
        <v>52772.7</v>
      </c>
      <c r="K694" s="109">
        <v>98191.52</v>
      </c>
      <c r="L694" s="109">
        <v>-14392.66</v>
      </c>
      <c r="M694" s="109">
        <v>-85162.14</v>
      </c>
      <c r="N694" s="110">
        <v>22314.0</v>
      </c>
      <c r="O694" s="110">
        <v>21644.0</v>
      </c>
      <c r="P694" s="110">
        <v>51423.0</v>
      </c>
      <c r="Q694" s="110">
        <v>22944.0</v>
      </c>
      <c r="R694" s="50">
        <v>70816.0</v>
      </c>
      <c r="S694" s="111">
        <v>52.0</v>
      </c>
      <c r="T694" s="112">
        <v>29.0</v>
      </c>
      <c r="U694" s="24" t="s">
        <v>48</v>
      </c>
      <c r="V694" s="11" t="s">
        <v>4050</v>
      </c>
      <c r="W694" s="108">
        <v>7.0</v>
      </c>
      <c r="X694" s="113">
        <v>112515.0</v>
      </c>
      <c r="Y694" s="113">
        <v>73014.0</v>
      </c>
      <c r="Z694" s="11">
        <v>107.0</v>
      </c>
      <c r="AA694" s="113">
        <v>51223.0</v>
      </c>
      <c r="AB694" s="109">
        <v>51869.72</v>
      </c>
      <c r="AC694" s="113">
        <v>50215.0</v>
      </c>
      <c r="AD694" s="108">
        <v>9.0</v>
      </c>
    </row>
    <row r="695">
      <c r="A695" s="11">
        <v>14.0</v>
      </c>
      <c r="B695" s="11">
        <v>1.0</v>
      </c>
      <c r="C695" s="11">
        <v>2.0</v>
      </c>
      <c r="D695" s="17">
        <v>39.0</v>
      </c>
      <c r="E695" s="108">
        <v>7.0</v>
      </c>
      <c r="F695" s="109">
        <v>3285.88</v>
      </c>
      <c r="G695" s="109">
        <v>49860.68</v>
      </c>
      <c r="H695" s="109">
        <v>-28169.03</v>
      </c>
      <c r="I695" s="109">
        <v>-17807.46</v>
      </c>
      <c r="J695" s="109">
        <v>929.55</v>
      </c>
      <c r="K695" s="109">
        <v>67624.28</v>
      </c>
      <c r="L695" s="109">
        <v>16485.68</v>
      </c>
      <c r="M695" s="109">
        <v>-34012.59</v>
      </c>
      <c r="N695" s="110">
        <v>92210.0</v>
      </c>
      <c r="O695" s="110">
        <v>91730.0</v>
      </c>
      <c r="P695" s="110">
        <v>50923.0</v>
      </c>
      <c r="Q695" s="110">
        <v>93030.0</v>
      </c>
      <c r="R695" s="50">
        <v>91916.0</v>
      </c>
      <c r="S695" s="111">
        <v>55.0</v>
      </c>
      <c r="T695" s="112">
        <v>29.0</v>
      </c>
      <c r="U695" s="24" t="s">
        <v>39</v>
      </c>
      <c r="V695" s="11" t="s">
        <v>3906</v>
      </c>
      <c r="W695" s="108">
        <v>5.0</v>
      </c>
      <c r="X695" s="113">
        <v>63123.0</v>
      </c>
      <c r="Y695" s="113">
        <v>13118.0</v>
      </c>
      <c r="Z695" s="11">
        <v>133.0</v>
      </c>
      <c r="AA695" s="113">
        <v>120617.0</v>
      </c>
      <c r="AB695" s="109">
        <v>17981.19</v>
      </c>
      <c r="AC695" s="113">
        <v>51122.0</v>
      </c>
      <c r="AD695" s="108">
        <v>6.0</v>
      </c>
    </row>
    <row r="696">
      <c r="A696" s="11">
        <v>75.0</v>
      </c>
      <c r="B696" s="11">
        <v>5.0</v>
      </c>
      <c r="C696" s="11">
        <v>8.0</v>
      </c>
      <c r="D696" s="17">
        <v>5.0</v>
      </c>
      <c r="E696" s="108">
        <v>8.0</v>
      </c>
      <c r="F696" s="109">
        <v>-84683.87</v>
      </c>
      <c r="G696" s="109">
        <v>-95953.6</v>
      </c>
      <c r="H696" s="109">
        <v>29628.36</v>
      </c>
      <c r="I696" s="109">
        <v>10058.83</v>
      </c>
      <c r="J696" s="109">
        <v>73354.95</v>
      </c>
      <c r="K696" s="109">
        <v>23856.61</v>
      </c>
      <c r="L696" s="109">
        <v>8685.49</v>
      </c>
      <c r="M696" s="109">
        <v>-31905.7</v>
      </c>
      <c r="N696" s="110">
        <v>90814.0</v>
      </c>
      <c r="O696" s="110">
        <v>90334.0</v>
      </c>
      <c r="P696" s="110">
        <v>51723.0</v>
      </c>
      <c r="Q696" s="110">
        <v>93034.0</v>
      </c>
      <c r="R696" s="50">
        <v>10715.0</v>
      </c>
      <c r="S696" s="111">
        <v>53.0</v>
      </c>
      <c r="T696" s="112">
        <v>83.0</v>
      </c>
      <c r="U696" s="24" t="s">
        <v>601</v>
      </c>
      <c r="V696" s="11" t="s">
        <v>3866</v>
      </c>
      <c r="W696" s="108">
        <v>4.0</v>
      </c>
      <c r="X696" s="113">
        <v>51915.0</v>
      </c>
      <c r="Y696" s="113">
        <v>42718.0</v>
      </c>
      <c r="Z696" s="11">
        <v>102.0</v>
      </c>
      <c r="AA696" s="113">
        <v>41023.0</v>
      </c>
      <c r="AB696" s="109">
        <v>-30136.12</v>
      </c>
      <c r="AC696" s="113">
        <v>71614.0</v>
      </c>
      <c r="AD696" s="108">
        <v>5.0</v>
      </c>
    </row>
    <row r="697">
      <c r="A697" s="11">
        <v>34.0</v>
      </c>
      <c r="B697" s="11">
        <v>6.0</v>
      </c>
      <c r="C697" s="11">
        <v>3.0</v>
      </c>
      <c r="D697" s="17">
        <v>80.0</v>
      </c>
      <c r="E697" s="108">
        <v>8.0</v>
      </c>
      <c r="F697" s="109">
        <v>43645.82</v>
      </c>
      <c r="G697" s="109">
        <v>-51913.48</v>
      </c>
      <c r="H697" s="109">
        <v>-57586.24</v>
      </c>
      <c r="I697" s="109">
        <v>-6766.99</v>
      </c>
      <c r="J697" s="109">
        <v>-14884.02</v>
      </c>
      <c r="K697" s="109">
        <v>77889.79</v>
      </c>
      <c r="L697" s="109">
        <v>-3026.75</v>
      </c>
      <c r="M697" s="109">
        <v>15488.66</v>
      </c>
      <c r="N697" s="110">
        <v>31014.0</v>
      </c>
      <c r="O697" s="110">
        <v>30724.0</v>
      </c>
      <c r="P697" s="110">
        <v>51723.0</v>
      </c>
      <c r="Q697" s="110">
        <v>33124.0</v>
      </c>
      <c r="R697" s="50">
        <v>10714.0</v>
      </c>
      <c r="S697" s="111">
        <v>54.0</v>
      </c>
      <c r="T697" s="112">
        <v>73.0</v>
      </c>
      <c r="U697" s="24" t="s">
        <v>603</v>
      </c>
      <c r="V697" s="11" t="s">
        <v>4032</v>
      </c>
      <c r="W697" s="108">
        <v>9.0</v>
      </c>
      <c r="X697" s="113">
        <v>82216.0</v>
      </c>
      <c r="Y697" s="113">
        <v>42915.0</v>
      </c>
      <c r="Z697" s="11">
        <v>177.0</v>
      </c>
      <c r="AA697" s="113">
        <v>51623.0</v>
      </c>
      <c r="AB697" s="109">
        <v>-69196.5</v>
      </c>
      <c r="AC697" s="113">
        <v>51116.0</v>
      </c>
      <c r="AD697" s="108">
        <v>6.0</v>
      </c>
    </row>
    <row r="698">
      <c r="A698" s="11">
        <v>55.0</v>
      </c>
      <c r="B698" s="11">
        <v>1.0</v>
      </c>
      <c r="C698" s="11">
        <v>4.0</v>
      </c>
      <c r="D698" s="17">
        <v>86.0</v>
      </c>
      <c r="E698" s="108">
        <v>9.0</v>
      </c>
      <c r="F698" s="109">
        <v>10388.26</v>
      </c>
      <c r="G698" s="109">
        <v>-47951.13</v>
      </c>
      <c r="H698" s="109">
        <v>59735.12</v>
      </c>
      <c r="I698" s="109">
        <v>-10425.51</v>
      </c>
      <c r="J698" s="109">
        <v>-48493.71</v>
      </c>
      <c r="K698" s="109">
        <v>-60449.99</v>
      </c>
      <c r="L698" s="109">
        <v>-51608.9</v>
      </c>
      <c r="M698" s="109">
        <v>-161.76</v>
      </c>
      <c r="N698" s="110">
        <v>110313.0</v>
      </c>
      <c r="O698" s="110">
        <v>102743.0</v>
      </c>
      <c r="P698" s="110">
        <v>52223.0</v>
      </c>
      <c r="Q698" s="110">
        <v>103143.0</v>
      </c>
      <c r="R698" s="50">
        <v>112918.0</v>
      </c>
      <c r="S698" s="111">
        <v>55.0</v>
      </c>
      <c r="T698" s="112">
        <v>78.0</v>
      </c>
      <c r="U698" s="24" t="s">
        <v>39</v>
      </c>
      <c r="V698" s="11" t="s">
        <v>4089</v>
      </c>
      <c r="W698" s="108">
        <v>6.0</v>
      </c>
      <c r="X698" s="113">
        <v>21721.0</v>
      </c>
      <c r="Y698" s="113">
        <v>41423.0</v>
      </c>
      <c r="Z698" s="11">
        <v>131.0</v>
      </c>
      <c r="AA698" s="113">
        <v>71118.0</v>
      </c>
      <c r="AB698" s="109">
        <v>-55504.84</v>
      </c>
      <c r="AC698" s="113">
        <v>92115.0</v>
      </c>
      <c r="AD698" s="108">
        <v>6.0</v>
      </c>
    </row>
    <row r="699">
      <c r="A699" s="11">
        <v>75.0</v>
      </c>
      <c r="B699" s="11">
        <v>6.0</v>
      </c>
      <c r="C699" s="11">
        <v>6.0</v>
      </c>
      <c r="D699" s="17">
        <v>44.0</v>
      </c>
      <c r="E699" s="108">
        <v>0.0</v>
      </c>
      <c r="F699" s="109">
        <v>52966.71</v>
      </c>
      <c r="G699" s="109">
        <v>-43157.09</v>
      </c>
      <c r="H699" s="109">
        <v>-71467.25</v>
      </c>
      <c r="I699" s="109">
        <v>63070.98</v>
      </c>
      <c r="J699" s="109">
        <v>-90225.05</v>
      </c>
      <c r="K699" s="109">
        <v>88741.11</v>
      </c>
      <c r="L699" s="109">
        <v>-47438.59</v>
      </c>
      <c r="M699" s="109">
        <v>-20054.67</v>
      </c>
      <c r="N699" s="110">
        <v>61710.0</v>
      </c>
      <c r="O699" s="110">
        <v>61420.0</v>
      </c>
      <c r="P699" s="110">
        <v>51123.0</v>
      </c>
      <c r="Q699" s="110">
        <v>63020.0</v>
      </c>
      <c r="R699" s="50">
        <v>12422.0</v>
      </c>
      <c r="S699" s="111">
        <v>53.0</v>
      </c>
      <c r="T699" s="112">
        <v>57.0</v>
      </c>
      <c r="U699" s="24" t="s">
        <v>31</v>
      </c>
      <c r="V699" s="11" t="s">
        <v>3941</v>
      </c>
      <c r="W699" s="108">
        <v>7.0</v>
      </c>
      <c r="X699" s="113">
        <v>91616.0</v>
      </c>
      <c r="Y699" s="113">
        <v>52016.0</v>
      </c>
      <c r="Z699" s="11">
        <v>186.0</v>
      </c>
      <c r="AA699" s="113">
        <v>90919.0</v>
      </c>
      <c r="AB699" s="109">
        <v>-34643.89</v>
      </c>
      <c r="AC699" s="113">
        <v>20517.0</v>
      </c>
      <c r="AD699" s="108">
        <v>6.0</v>
      </c>
    </row>
    <row r="700">
      <c r="A700" s="11">
        <v>14.0</v>
      </c>
      <c r="B700" s="11">
        <v>2.0</v>
      </c>
      <c r="C700" s="11">
        <v>3.0</v>
      </c>
      <c r="D700" s="17">
        <v>93.0</v>
      </c>
      <c r="E700" s="108">
        <v>1.0</v>
      </c>
      <c r="F700" s="109">
        <v>8476.96</v>
      </c>
      <c r="G700" s="109">
        <v>24053.65</v>
      </c>
      <c r="H700" s="109">
        <v>-80278.16</v>
      </c>
      <c r="I700" s="109">
        <v>-88919.89</v>
      </c>
      <c r="J700" s="109">
        <v>-81390.45</v>
      </c>
      <c r="K700" s="109">
        <v>7654.42</v>
      </c>
      <c r="L700" s="109">
        <v>31639.47</v>
      </c>
      <c r="M700" s="109">
        <v>-97544.83</v>
      </c>
      <c r="N700" s="110">
        <v>61810.0</v>
      </c>
      <c r="O700" s="110">
        <v>61040.0</v>
      </c>
      <c r="P700" s="110">
        <v>51623.0</v>
      </c>
      <c r="Q700" s="110">
        <v>63040.0</v>
      </c>
      <c r="R700" s="50">
        <v>92613.0</v>
      </c>
      <c r="S700" s="111">
        <v>52.0</v>
      </c>
      <c r="T700" s="112">
        <v>87.0</v>
      </c>
      <c r="U700" s="24" t="s">
        <v>39</v>
      </c>
      <c r="V700" s="11" t="s">
        <v>4090</v>
      </c>
      <c r="W700" s="108">
        <v>6.0</v>
      </c>
      <c r="X700" s="113">
        <v>32117.0</v>
      </c>
      <c r="Y700" s="113">
        <v>101622.0</v>
      </c>
      <c r="Z700" s="11">
        <v>181.0</v>
      </c>
      <c r="AA700" s="113">
        <v>81523.0</v>
      </c>
      <c r="AB700" s="109">
        <v>80363.66</v>
      </c>
      <c r="AC700" s="113">
        <v>80314.0</v>
      </c>
      <c r="AD700" s="108">
        <v>7.0</v>
      </c>
    </row>
    <row r="701">
      <c r="A701" s="11">
        <v>34.0</v>
      </c>
      <c r="B701" s="11">
        <v>7.0</v>
      </c>
      <c r="C701" s="11">
        <v>1.0</v>
      </c>
      <c r="D701" s="17">
        <v>93.0</v>
      </c>
      <c r="E701" s="108">
        <v>2.0</v>
      </c>
      <c r="F701" s="109">
        <v>-95316.63</v>
      </c>
      <c r="G701" s="109">
        <v>-66276.0</v>
      </c>
      <c r="H701" s="109">
        <v>-55210.98</v>
      </c>
      <c r="I701" s="109">
        <v>80094.12</v>
      </c>
      <c r="J701" s="109">
        <v>-2633.42</v>
      </c>
      <c r="K701" s="109">
        <v>70026.33</v>
      </c>
      <c r="L701" s="109">
        <v>43812.85</v>
      </c>
      <c r="M701" s="109">
        <v>-3405.08</v>
      </c>
      <c r="N701" s="110">
        <v>31013.0</v>
      </c>
      <c r="O701" s="110">
        <v>30823.0</v>
      </c>
      <c r="P701" s="110">
        <v>53023.0</v>
      </c>
      <c r="Q701" s="110">
        <v>33123.0</v>
      </c>
      <c r="R701" s="50">
        <v>30117.0</v>
      </c>
      <c r="S701" s="111">
        <v>50.0</v>
      </c>
      <c r="T701" s="112">
        <v>79.0</v>
      </c>
      <c r="U701" s="24" t="s">
        <v>601</v>
      </c>
      <c r="V701" s="11" t="s">
        <v>3985</v>
      </c>
      <c r="W701" s="108">
        <v>1.0</v>
      </c>
      <c r="X701" s="113">
        <v>21619.0</v>
      </c>
      <c r="Y701" s="113">
        <v>70316.0</v>
      </c>
      <c r="Z701" s="11">
        <v>121.0</v>
      </c>
      <c r="AA701" s="113">
        <v>50620.0</v>
      </c>
      <c r="AB701" s="109">
        <v>-35642.39</v>
      </c>
      <c r="AC701" s="113">
        <v>91721.0</v>
      </c>
      <c r="AD701" s="108">
        <v>1.0</v>
      </c>
    </row>
    <row r="702">
      <c r="A702" s="11">
        <v>96.0</v>
      </c>
      <c r="B702" s="11">
        <v>1.0</v>
      </c>
      <c r="C702" s="11">
        <v>4.0</v>
      </c>
      <c r="D702" s="17">
        <v>29.0</v>
      </c>
      <c r="E702" s="108">
        <v>1.0</v>
      </c>
      <c r="F702" s="109">
        <v>-91993.0</v>
      </c>
      <c r="G702" s="109">
        <v>5431.24</v>
      </c>
      <c r="H702" s="109">
        <v>-15460.36</v>
      </c>
      <c r="I702" s="109">
        <v>-61776.17</v>
      </c>
      <c r="J702" s="109">
        <v>550.93</v>
      </c>
      <c r="K702" s="109">
        <v>-10214.03</v>
      </c>
      <c r="L702" s="109">
        <v>-39286.91</v>
      </c>
      <c r="M702" s="109">
        <v>-527.48</v>
      </c>
      <c r="N702" s="110">
        <v>90212.0</v>
      </c>
      <c r="O702" s="110">
        <v>82642.0</v>
      </c>
      <c r="P702" s="110">
        <v>50123.0</v>
      </c>
      <c r="Q702" s="110">
        <v>83142.0</v>
      </c>
      <c r="R702" s="50">
        <v>120215.0</v>
      </c>
      <c r="S702" s="111">
        <v>50.0</v>
      </c>
      <c r="T702" s="112">
        <v>48.0</v>
      </c>
      <c r="U702" s="24" t="s">
        <v>31</v>
      </c>
      <c r="V702" s="11" t="s">
        <v>3936</v>
      </c>
      <c r="W702" s="108">
        <v>1.0</v>
      </c>
      <c r="X702" s="113">
        <v>100819.0</v>
      </c>
      <c r="Y702" s="113">
        <v>72317.0</v>
      </c>
      <c r="Z702" s="11">
        <v>116.0</v>
      </c>
      <c r="AA702" s="113">
        <v>32715.0</v>
      </c>
      <c r="AB702" s="109">
        <v>-92570.74</v>
      </c>
      <c r="AC702" s="113">
        <v>51623.0</v>
      </c>
      <c r="AD702" s="108">
        <v>4.0</v>
      </c>
    </row>
    <row r="703">
      <c r="A703" s="11">
        <v>96.0</v>
      </c>
      <c r="B703" s="11">
        <v>1.0</v>
      </c>
      <c r="C703" s="11">
        <v>8.0</v>
      </c>
      <c r="D703" s="17">
        <v>91.0</v>
      </c>
      <c r="E703" s="108">
        <v>8.0</v>
      </c>
      <c r="F703" s="109">
        <v>-84480.75</v>
      </c>
      <c r="G703" s="109">
        <v>24400.9</v>
      </c>
      <c r="H703" s="109">
        <v>54760.16</v>
      </c>
      <c r="I703" s="109">
        <v>67365.24</v>
      </c>
      <c r="J703" s="109">
        <v>10228.11</v>
      </c>
      <c r="K703" s="109">
        <v>92630.57</v>
      </c>
      <c r="L703" s="109">
        <v>30435.21</v>
      </c>
      <c r="M703" s="109">
        <v>81869.35</v>
      </c>
      <c r="N703" s="110">
        <v>42714.0</v>
      </c>
      <c r="O703" s="110">
        <v>42234.0</v>
      </c>
      <c r="P703" s="110">
        <v>51623.0</v>
      </c>
      <c r="Q703" s="110">
        <v>43034.0</v>
      </c>
      <c r="R703" s="50">
        <v>92013.0</v>
      </c>
      <c r="S703" s="111">
        <v>53.0</v>
      </c>
      <c r="T703" s="112">
        <v>83.0</v>
      </c>
      <c r="U703" s="24" t="s">
        <v>48</v>
      </c>
      <c r="V703" s="11" t="s">
        <v>3942</v>
      </c>
      <c r="W703" s="108">
        <v>3.0</v>
      </c>
      <c r="X703" s="113">
        <v>61217.0</v>
      </c>
      <c r="Y703" s="113">
        <v>42817.0</v>
      </c>
      <c r="Z703" s="11">
        <v>180.0</v>
      </c>
      <c r="AA703" s="113">
        <v>40313.0</v>
      </c>
      <c r="AB703" s="109">
        <v>-72260.6</v>
      </c>
      <c r="AC703" s="113">
        <v>80617.0</v>
      </c>
      <c r="AD703" s="108">
        <v>8.0</v>
      </c>
    </row>
    <row r="704">
      <c r="A704" s="11">
        <v>75.0</v>
      </c>
      <c r="B704" s="11">
        <v>7.0</v>
      </c>
      <c r="C704" s="11">
        <v>3.0</v>
      </c>
      <c r="D704" s="17">
        <v>44.0</v>
      </c>
      <c r="E704" s="108">
        <v>3.0</v>
      </c>
      <c r="F704" s="109">
        <v>34303.46</v>
      </c>
      <c r="G704" s="109">
        <v>98473.63</v>
      </c>
      <c r="H704" s="109">
        <v>56741.9</v>
      </c>
      <c r="I704" s="109">
        <v>16548.34</v>
      </c>
      <c r="J704" s="109">
        <v>-93333.47</v>
      </c>
      <c r="K704" s="109">
        <v>-5881.54</v>
      </c>
      <c r="L704" s="109">
        <v>37420.92</v>
      </c>
      <c r="M704" s="109">
        <v>84395.61</v>
      </c>
      <c r="N704" s="110">
        <v>20913.0</v>
      </c>
      <c r="O704" s="110">
        <v>20723.0</v>
      </c>
      <c r="P704" s="110">
        <v>51823.0</v>
      </c>
      <c r="Q704" s="110">
        <v>22823.0</v>
      </c>
      <c r="R704" s="50">
        <v>51617.0</v>
      </c>
      <c r="S704" s="111">
        <v>51.0</v>
      </c>
      <c r="T704" s="112">
        <v>56.0</v>
      </c>
      <c r="U704" s="24" t="s">
        <v>48</v>
      </c>
      <c r="V704" s="11" t="s">
        <v>4024</v>
      </c>
      <c r="W704" s="108">
        <v>9.0</v>
      </c>
      <c r="X704" s="113">
        <v>31617.0</v>
      </c>
      <c r="Y704" s="113">
        <v>20523.0</v>
      </c>
      <c r="Z704" s="11">
        <v>103.0</v>
      </c>
      <c r="AA704" s="113">
        <v>103119.0</v>
      </c>
      <c r="AB704" s="109">
        <v>81361.5</v>
      </c>
      <c r="AC704" s="113">
        <v>12022.0</v>
      </c>
      <c r="AD704" s="108">
        <v>0.0</v>
      </c>
    </row>
    <row r="705">
      <c r="A705" s="11">
        <v>96.0</v>
      </c>
      <c r="B705" s="11">
        <v>2.0</v>
      </c>
      <c r="C705" s="11">
        <v>6.0</v>
      </c>
      <c r="D705" s="17">
        <v>59.0</v>
      </c>
      <c r="E705" s="108">
        <v>3.0</v>
      </c>
      <c r="F705" s="109">
        <v>-82173.84</v>
      </c>
      <c r="G705" s="109">
        <v>99064.28</v>
      </c>
      <c r="H705" s="109">
        <v>14205.88</v>
      </c>
      <c r="I705" s="109">
        <v>-2658.38</v>
      </c>
      <c r="J705" s="109">
        <v>-78069.7</v>
      </c>
      <c r="K705" s="109">
        <v>90542.12</v>
      </c>
      <c r="L705" s="109">
        <v>-71478.48</v>
      </c>
      <c r="M705" s="109">
        <v>-41856.1</v>
      </c>
      <c r="N705" s="110">
        <v>21113.0</v>
      </c>
      <c r="O705" s="110">
        <v>20633.0</v>
      </c>
      <c r="P705" s="110">
        <v>51023.0</v>
      </c>
      <c r="Q705" s="110">
        <v>22833.0</v>
      </c>
      <c r="R705" s="50">
        <v>31915.0</v>
      </c>
      <c r="S705" s="111">
        <v>54.0</v>
      </c>
      <c r="T705" s="112">
        <v>35.0</v>
      </c>
      <c r="U705" s="24" t="s">
        <v>603</v>
      </c>
      <c r="V705" s="11" t="s">
        <v>4035</v>
      </c>
      <c r="W705" s="108">
        <v>5.0</v>
      </c>
      <c r="X705" s="113">
        <v>21321.0</v>
      </c>
      <c r="Y705" s="113">
        <v>63123.0</v>
      </c>
      <c r="Z705" s="11">
        <v>169.0</v>
      </c>
      <c r="AA705" s="113">
        <v>23122.0</v>
      </c>
      <c r="AB705" s="109">
        <v>48011.49</v>
      </c>
      <c r="AC705" s="113">
        <v>102219.0</v>
      </c>
      <c r="AD705" s="108">
        <v>3.0</v>
      </c>
    </row>
    <row r="706">
      <c r="A706" s="11">
        <v>75.0</v>
      </c>
      <c r="B706" s="11">
        <v>7.0</v>
      </c>
      <c r="C706" s="11">
        <v>9.0</v>
      </c>
      <c r="D706" s="17">
        <v>10.0</v>
      </c>
      <c r="E706" s="108">
        <v>4.0</v>
      </c>
      <c r="F706" s="109">
        <v>-82921.41</v>
      </c>
      <c r="G706" s="109">
        <v>-65065.27</v>
      </c>
      <c r="H706" s="109">
        <v>73028.67</v>
      </c>
      <c r="I706" s="109">
        <v>-69391.54</v>
      </c>
      <c r="J706" s="109">
        <v>32851.22</v>
      </c>
      <c r="K706" s="109">
        <v>-35660.92</v>
      </c>
      <c r="L706" s="109">
        <v>-54393.9</v>
      </c>
      <c r="M706" s="109">
        <v>55417.19</v>
      </c>
      <c r="N706" s="110">
        <v>20211.0</v>
      </c>
      <c r="O706" s="110">
        <v>13021.0</v>
      </c>
      <c r="P706" s="110">
        <v>50123.0</v>
      </c>
      <c r="Q706" s="110">
        <v>13121.0</v>
      </c>
      <c r="R706" s="50">
        <v>110713.0</v>
      </c>
      <c r="S706" s="111">
        <v>50.0</v>
      </c>
      <c r="T706" s="112">
        <v>66.0</v>
      </c>
      <c r="U706" s="24" t="s">
        <v>603</v>
      </c>
      <c r="V706" s="11" t="s">
        <v>3979</v>
      </c>
      <c r="W706" s="108">
        <v>7.0</v>
      </c>
      <c r="X706" s="113">
        <v>52720.0</v>
      </c>
      <c r="Y706" s="113">
        <v>81816.0</v>
      </c>
      <c r="Z706" s="11">
        <v>152.0</v>
      </c>
      <c r="AA706" s="113">
        <v>90913.0</v>
      </c>
      <c r="AB706" s="109">
        <v>8187.12</v>
      </c>
      <c r="AC706" s="113">
        <v>10420.0</v>
      </c>
      <c r="AD706" s="108">
        <v>9.0</v>
      </c>
    </row>
    <row r="707">
      <c r="A707" s="11">
        <v>14.0</v>
      </c>
      <c r="B707" s="11">
        <v>3.0</v>
      </c>
      <c r="C707" s="11">
        <v>6.0</v>
      </c>
      <c r="D707" s="17">
        <v>80.0</v>
      </c>
      <c r="E707" s="108">
        <v>8.0</v>
      </c>
      <c r="F707" s="109">
        <v>-48125.93</v>
      </c>
      <c r="G707" s="109">
        <v>-21596.39</v>
      </c>
      <c r="H707" s="109">
        <v>-75976.88</v>
      </c>
      <c r="I707" s="109">
        <v>63058.7</v>
      </c>
      <c r="J707" s="109">
        <v>-23204.23</v>
      </c>
      <c r="K707" s="109">
        <v>10347.72</v>
      </c>
      <c r="L707" s="109">
        <v>-46529.48</v>
      </c>
      <c r="M707" s="109">
        <v>38576.56</v>
      </c>
      <c r="N707" s="110">
        <v>62712.0</v>
      </c>
      <c r="O707" s="110">
        <v>62042.0</v>
      </c>
      <c r="P707" s="110">
        <v>52223.0</v>
      </c>
      <c r="Q707" s="110">
        <v>63042.0</v>
      </c>
      <c r="R707" s="50">
        <v>33116.0</v>
      </c>
      <c r="S707" s="111">
        <v>50.0</v>
      </c>
      <c r="T707" s="112">
        <v>26.0</v>
      </c>
      <c r="U707" s="24" t="s">
        <v>39</v>
      </c>
      <c r="V707" s="11" t="s">
        <v>3907</v>
      </c>
      <c r="W707" s="108">
        <v>9.0</v>
      </c>
      <c r="X707" s="113">
        <v>100919.0</v>
      </c>
      <c r="Y707" s="113">
        <v>112320.0</v>
      </c>
      <c r="Z707" s="11">
        <v>176.0</v>
      </c>
      <c r="AA707" s="113">
        <v>72521.0</v>
      </c>
      <c r="AB707" s="109">
        <v>-71922.99</v>
      </c>
      <c r="AC707" s="113">
        <v>41817.0</v>
      </c>
      <c r="AD707" s="108">
        <v>5.0</v>
      </c>
    </row>
    <row r="708">
      <c r="A708" s="11">
        <v>75.0</v>
      </c>
      <c r="B708" s="11">
        <v>8.0</v>
      </c>
      <c r="C708" s="11">
        <v>1.0</v>
      </c>
      <c r="D708" s="17">
        <v>87.0</v>
      </c>
      <c r="E708" s="108">
        <v>0.0</v>
      </c>
      <c r="F708" s="109">
        <v>-2853.21</v>
      </c>
      <c r="G708" s="109">
        <v>-12593.7</v>
      </c>
      <c r="H708" s="109">
        <v>-91395.27</v>
      </c>
      <c r="I708" s="109">
        <v>63799.89</v>
      </c>
      <c r="J708" s="109">
        <v>-5167.95</v>
      </c>
      <c r="K708" s="109">
        <v>25990.17</v>
      </c>
      <c r="L708" s="109">
        <v>20854.96</v>
      </c>
      <c r="M708" s="109">
        <v>71998.58</v>
      </c>
      <c r="N708" s="110">
        <v>91313.0</v>
      </c>
      <c r="O708" s="110">
        <v>91123.0</v>
      </c>
      <c r="P708" s="110">
        <v>50623.0</v>
      </c>
      <c r="Q708" s="110">
        <v>93023.0</v>
      </c>
      <c r="R708" s="50">
        <v>22217.0</v>
      </c>
      <c r="S708" s="111">
        <v>51.0</v>
      </c>
      <c r="T708" s="112">
        <v>42.0</v>
      </c>
      <c r="U708" s="24" t="s">
        <v>48</v>
      </c>
      <c r="V708" s="11" t="s">
        <v>4054</v>
      </c>
      <c r="W708" s="108">
        <v>3.0</v>
      </c>
      <c r="X708" s="113">
        <v>63015.0</v>
      </c>
      <c r="Y708" s="113">
        <v>52613.0</v>
      </c>
      <c r="Z708" s="11">
        <v>141.0</v>
      </c>
      <c r="AA708" s="113">
        <v>30621.0</v>
      </c>
      <c r="AB708" s="109">
        <v>25678.58</v>
      </c>
      <c r="AC708" s="113">
        <v>20517.0</v>
      </c>
      <c r="AD708" s="108">
        <v>2.0</v>
      </c>
    </row>
    <row r="709">
      <c r="A709" s="11">
        <v>55.0</v>
      </c>
      <c r="B709" s="11">
        <v>3.0</v>
      </c>
      <c r="C709" s="11">
        <v>4.0</v>
      </c>
      <c r="D709" s="17">
        <v>29.0</v>
      </c>
      <c r="E709" s="108">
        <v>2.0</v>
      </c>
      <c r="F709" s="109">
        <v>8351.02</v>
      </c>
      <c r="G709" s="109">
        <v>71879.44</v>
      </c>
      <c r="H709" s="109">
        <v>-56344.4</v>
      </c>
      <c r="I709" s="109">
        <v>5903.35</v>
      </c>
      <c r="J709" s="109">
        <v>-37084.79</v>
      </c>
      <c r="K709" s="109">
        <v>-48053.36</v>
      </c>
      <c r="L709" s="109">
        <v>50004.77</v>
      </c>
      <c r="M709" s="109">
        <v>48381.26</v>
      </c>
      <c r="N709" s="110">
        <v>31610.0</v>
      </c>
      <c r="O709" s="110">
        <v>31320.0</v>
      </c>
      <c r="P709" s="110">
        <v>51823.0</v>
      </c>
      <c r="Q709" s="110">
        <v>33120.0</v>
      </c>
      <c r="R709" s="50">
        <v>81222.0</v>
      </c>
      <c r="S709" s="111">
        <v>50.0</v>
      </c>
      <c r="T709" s="112">
        <v>74.0</v>
      </c>
      <c r="U709" s="24" t="s">
        <v>603</v>
      </c>
      <c r="V709" s="11" t="s">
        <v>3962</v>
      </c>
      <c r="W709" s="108">
        <v>9.0</v>
      </c>
      <c r="X709" s="113">
        <v>92115.0</v>
      </c>
      <c r="Y709" s="113">
        <v>21122.0</v>
      </c>
      <c r="Z709" s="11">
        <v>143.0</v>
      </c>
      <c r="AA709" s="113">
        <v>41215.0</v>
      </c>
      <c r="AB709" s="109">
        <v>-96699.16</v>
      </c>
      <c r="AC709" s="113">
        <v>121816.0</v>
      </c>
      <c r="AD709" s="108">
        <v>7.0</v>
      </c>
    </row>
    <row r="710">
      <c r="A710" s="11">
        <v>14.0</v>
      </c>
      <c r="B710" s="11">
        <v>3.0</v>
      </c>
      <c r="C710" s="11">
        <v>8.0</v>
      </c>
      <c r="D710" s="17">
        <v>28.0</v>
      </c>
      <c r="E710" s="108">
        <v>9.0</v>
      </c>
      <c r="F710" s="109">
        <v>70768.34</v>
      </c>
      <c r="G710" s="109">
        <v>19639.83</v>
      </c>
      <c r="H710" s="109">
        <v>-86340.28</v>
      </c>
      <c r="I710" s="109">
        <v>-20215.51</v>
      </c>
      <c r="J710" s="109">
        <v>50803.86</v>
      </c>
      <c r="K710" s="109">
        <v>54280.55</v>
      </c>
      <c r="L710" s="109">
        <v>46815.67</v>
      </c>
      <c r="M710" s="109">
        <v>23550.95</v>
      </c>
      <c r="N710" s="110">
        <v>80111.0</v>
      </c>
      <c r="O710" s="110">
        <v>72921.0</v>
      </c>
      <c r="P710" s="110">
        <v>51923.0</v>
      </c>
      <c r="Q710" s="110">
        <v>73121.0</v>
      </c>
      <c r="R710" s="50">
        <v>50917.0</v>
      </c>
      <c r="S710" s="111">
        <v>50.0</v>
      </c>
      <c r="T710" s="112">
        <v>7.0</v>
      </c>
      <c r="U710" s="24" t="s">
        <v>31</v>
      </c>
      <c r="V710" s="11" t="s">
        <v>4028</v>
      </c>
      <c r="W710" s="108">
        <v>6.0</v>
      </c>
      <c r="X710" s="113">
        <v>100213.0</v>
      </c>
      <c r="Y710" s="113">
        <v>81821.0</v>
      </c>
      <c r="Z710" s="11">
        <v>112.0</v>
      </c>
      <c r="AA710" s="113">
        <v>93120.0</v>
      </c>
      <c r="AB710" s="109">
        <v>75176.27</v>
      </c>
      <c r="AC710" s="113">
        <v>52115.0</v>
      </c>
      <c r="AD710" s="108">
        <v>8.0</v>
      </c>
    </row>
    <row r="711">
      <c r="A711" s="11">
        <v>75.0</v>
      </c>
      <c r="B711" s="11">
        <v>8.0</v>
      </c>
      <c r="C711" s="11">
        <v>5.0</v>
      </c>
      <c r="D711" s="17">
        <v>95.0</v>
      </c>
      <c r="E711" s="108">
        <v>6.0</v>
      </c>
      <c r="F711" s="109">
        <v>-27385.36</v>
      </c>
      <c r="G711" s="109">
        <v>82082.25</v>
      </c>
      <c r="H711" s="109">
        <v>10029.45</v>
      </c>
      <c r="I711" s="109">
        <v>-30631.45</v>
      </c>
      <c r="J711" s="109">
        <v>89056.79</v>
      </c>
      <c r="K711" s="109">
        <v>-62280.24</v>
      </c>
      <c r="L711" s="109">
        <v>92731.45</v>
      </c>
      <c r="M711" s="109">
        <v>43143.63</v>
      </c>
      <c r="N711" s="110">
        <v>50313.0</v>
      </c>
      <c r="O711" s="110">
        <v>50123.0</v>
      </c>
      <c r="P711" s="110">
        <v>50123.0</v>
      </c>
      <c r="Q711" s="110">
        <v>53123.0</v>
      </c>
      <c r="R711" s="50">
        <v>42817.0</v>
      </c>
      <c r="S711" s="111">
        <v>54.0</v>
      </c>
      <c r="T711" s="112">
        <v>56.0</v>
      </c>
      <c r="U711" s="24" t="s">
        <v>48</v>
      </c>
      <c r="V711" s="11" t="s">
        <v>3942</v>
      </c>
      <c r="W711" s="108">
        <v>2.0</v>
      </c>
      <c r="X711" s="113">
        <v>71621.0</v>
      </c>
      <c r="Y711" s="113">
        <v>61213.0</v>
      </c>
      <c r="Z711" s="11">
        <v>149.0</v>
      </c>
      <c r="AA711" s="113">
        <v>70917.0</v>
      </c>
      <c r="AB711" s="109">
        <v>15906.27</v>
      </c>
      <c r="AC711" s="113">
        <v>82714.0</v>
      </c>
      <c r="AD711" s="108">
        <v>2.0</v>
      </c>
    </row>
    <row r="712">
      <c r="A712" s="11">
        <v>14.0</v>
      </c>
      <c r="B712" s="11">
        <v>4.0</v>
      </c>
      <c r="C712" s="11">
        <v>3.0</v>
      </c>
      <c r="D712" s="17">
        <v>97.0</v>
      </c>
      <c r="E712" s="108">
        <v>2.0</v>
      </c>
      <c r="F712" s="109">
        <v>15767.31</v>
      </c>
      <c r="G712" s="109">
        <v>28359.47</v>
      </c>
      <c r="H712" s="109">
        <v>-50839.82</v>
      </c>
      <c r="I712" s="109">
        <v>75927.67</v>
      </c>
      <c r="J712" s="109">
        <v>51708.73</v>
      </c>
      <c r="K712" s="109">
        <v>5213.76</v>
      </c>
      <c r="L712" s="109">
        <v>-28777.96</v>
      </c>
      <c r="M712" s="109">
        <v>39100.69</v>
      </c>
      <c r="N712" s="110">
        <v>70411.0</v>
      </c>
      <c r="O712" s="110">
        <v>62931.0</v>
      </c>
      <c r="P712" s="110">
        <v>51923.0</v>
      </c>
      <c r="Q712" s="110">
        <v>63031.0</v>
      </c>
      <c r="R712" s="50">
        <v>11816.0</v>
      </c>
      <c r="S712" s="111">
        <v>53.0</v>
      </c>
      <c r="T712" s="112">
        <v>82.0</v>
      </c>
      <c r="U712" s="24" t="s">
        <v>603</v>
      </c>
      <c r="V712" s="11" t="s">
        <v>3992</v>
      </c>
      <c r="W712" s="108">
        <v>4.0</v>
      </c>
      <c r="X712" s="113">
        <v>100114.0</v>
      </c>
      <c r="Y712" s="113">
        <v>72319.0</v>
      </c>
      <c r="Z712" s="11">
        <v>186.0</v>
      </c>
      <c r="AA712" s="113">
        <v>52722.0</v>
      </c>
      <c r="AB712" s="109">
        <v>45249.72</v>
      </c>
      <c r="AC712" s="113">
        <v>102114.0</v>
      </c>
      <c r="AD712" s="108">
        <v>1.0</v>
      </c>
    </row>
    <row r="713">
      <c r="A713" s="11">
        <v>34.0</v>
      </c>
      <c r="B713" s="11">
        <v>9.0</v>
      </c>
      <c r="C713" s="11">
        <v>3.0</v>
      </c>
      <c r="D713" s="17">
        <v>55.0</v>
      </c>
      <c r="E713" s="108">
        <v>0.0</v>
      </c>
      <c r="F713" s="109">
        <v>19257.15</v>
      </c>
      <c r="G713" s="109">
        <v>-11855.8</v>
      </c>
      <c r="H713" s="109">
        <v>32594.73</v>
      </c>
      <c r="I713" s="109">
        <v>-27021.51</v>
      </c>
      <c r="J713" s="109">
        <v>38533.47</v>
      </c>
      <c r="K713" s="109">
        <v>96407.9</v>
      </c>
      <c r="L713" s="109">
        <v>-37439.62</v>
      </c>
      <c r="M713" s="109">
        <v>53451.52</v>
      </c>
      <c r="N713" s="110">
        <v>50411.0</v>
      </c>
      <c r="O713" s="110">
        <v>50121.0</v>
      </c>
      <c r="P713" s="110">
        <v>53023.0</v>
      </c>
      <c r="Q713" s="110">
        <v>53121.0</v>
      </c>
      <c r="R713" s="50">
        <v>91822.0</v>
      </c>
      <c r="S713" s="111">
        <v>52.0</v>
      </c>
      <c r="T713" s="112">
        <v>96.0</v>
      </c>
      <c r="U713" s="24" t="s">
        <v>31</v>
      </c>
      <c r="V713" s="11" t="s">
        <v>4082</v>
      </c>
      <c r="W713" s="108">
        <v>3.0</v>
      </c>
      <c r="X713" s="113">
        <v>70619.0</v>
      </c>
      <c r="Y713" s="113">
        <v>11020.0</v>
      </c>
      <c r="Z713" s="11">
        <v>123.0</v>
      </c>
      <c r="AA713" s="113">
        <v>62223.0</v>
      </c>
      <c r="AB713" s="109">
        <v>-15398.43</v>
      </c>
      <c r="AC713" s="113">
        <v>110418.0</v>
      </c>
      <c r="AD713" s="108">
        <v>4.0</v>
      </c>
    </row>
    <row r="714">
      <c r="A714" s="11">
        <v>75.0</v>
      </c>
      <c r="B714" s="11">
        <v>8.0</v>
      </c>
      <c r="C714" s="11">
        <v>9.0</v>
      </c>
      <c r="D714" s="17">
        <v>22.0</v>
      </c>
      <c r="E714" s="108">
        <v>9.0</v>
      </c>
      <c r="F714" s="109">
        <v>64681.83</v>
      </c>
      <c r="G714" s="109">
        <v>29561.5</v>
      </c>
      <c r="H714" s="109">
        <v>66368.84</v>
      </c>
      <c r="I714" s="109">
        <v>54048.95</v>
      </c>
      <c r="J714" s="109">
        <v>-11354.99</v>
      </c>
      <c r="K714" s="109">
        <v>-44636.12</v>
      </c>
      <c r="L714" s="109">
        <v>99726.36</v>
      </c>
      <c r="M714" s="109">
        <v>-96712.45</v>
      </c>
      <c r="N714" s="110">
        <v>12713.0</v>
      </c>
      <c r="O714" s="110">
        <v>12043.0</v>
      </c>
      <c r="P714" s="110">
        <v>52223.0</v>
      </c>
      <c r="Q714" s="110">
        <v>13143.0</v>
      </c>
      <c r="R714" s="50">
        <v>113018.0</v>
      </c>
      <c r="S714" s="111">
        <v>53.0</v>
      </c>
      <c r="T714" s="112">
        <v>34.0</v>
      </c>
      <c r="U714" s="24" t="s">
        <v>31</v>
      </c>
      <c r="V714" s="11" t="s">
        <v>3982</v>
      </c>
      <c r="W714" s="108">
        <v>1.0</v>
      </c>
      <c r="X714" s="113">
        <v>110118.0</v>
      </c>
      <c r="Y714" s="113">
        <v>112622.0</v>
      </c>
      <c r="Z714" s="11">
        <v>194.0</v>
      </c>
      <c r="AA714" s="113">
        <v>71718.0</v>
      </c>
      <c r="AB714" s="109">
        <v>-90551.18</v>
      </c>
      <c r="AC714" s="113">
        <v>80920.0</v>
      </c>
      <c r="AD714" s="108">
        <v>5.0</v>
      </c>
    </row>
    <row r="715">
      <c r="A715" s="11">
        <v>75.0</v>
      </c>
      <c r="B715" s="11">
        <v>9.0</v>
      </c>
      <c r="C715" s="11">
        <v>3.0</v>
      </c>
      <c r="D715" s="17">
        <v>86.0</v>
      </c>
      <c r="E715" s="108">
        <v>7.0</v>
      </c>
      <c r="F715" s="109">
        <v>14039.48</v>
      </c>
      <c r="G715" s="109">
        <v>-92779.69</v>
      </c>
      <c r="H715" s="109">
        <v>-48657.43</v>
      </c>
      <c r="I715" s="109">
        <v>-84037.08</v>
      </c>
      <c r="J715" s="109">
        <v>-89469.39</v>
      </c>
      <c r="K715" s="109">
        <v>6183.74</v>
      </c>
      <c r="L715" s="109">
        <v>82626.74</v>
      </c>
      <c r="M715" s="109">
        <v>95726.0</v>
      </c>
      <c r="N715" s="110">
        <v>62910.0</v>
      </c>
      <c r="O715" s="110">
        <v>62140.0</v>
      </c>
      <c r="P715" s="110">
        <v>51823.0</v>
      </c>
      <c r="Q715" s="110">
        <v>63040.0</v>
      </c>
      <c r="R715" s="50">
        <v>111622.0</v>
      </c>
      <c r="S715" s="111">
        <v>50.0</v>
      </c>
      <c r="T715" s="112">
        <v>78.0</v>
      </c>
      <c r="U715" s="24" t="s">
        <v>603</v>
      </c>
      <c r="V715" s="11" t="s">
        <v>3936</v>
      </c>
      <c r="W715" s="108">
        <v>8.0</v>
      </c>
      <c r="X715" s="113">
        <v>70913.0</v>
      </c>
      <c r="Y715" s="113">
        <v>52214.0</v>
      </c>
      <c r="Z715" s="11">
        <v>160.0</v>
      </c>
      <c r="AA715" s="113">
        <v>10816.0</v>
      </c>
      <c r="AB715" s="109">
        <v>18629.97</v>
      </c>
      <c r="AC715" s="113">
        <v>82018.0</v>
      </c>
      <c r="AD715" s="108">
        <v>1.0</v>
      </c>
    </row>
    <row r="716">
      <c r="A716" s="11">
        <v>55.0</v>
      </c>
      <c r="B716" s="11">
        <v>4.0</v>
      </c>
      <c r="C716" s="11">
        <v>6.0</v>
      </c>
      <c r="D716" s="17">
        <v>47.0</v>
      </c>
      <c r="E716" s="108">
        <v>9.0</v>
      </c>
      <c r="F716" s="109">
        <v>1134.31</v>
      </c>
      <c r="G716" s="109">
        <v>-82039.44</v>
      </c>
      <c r="H716" s="109">
        <v>-55570.44</v>
      </c>
      <c r="I716" s="109">
        <v>-90499.73</v>
      </c>
      <c r="J716" s="109">
        <v>67075.3</v>
      </c>
      <c r="K716" s="109">
        <v>90498.01</v>
      </c>
      <c r="L716" s="109">
        <v>14546.26</v>
      </c>
      <c r="M716" s="109">
        <v>24426.23</v>
      </c>
      <c r="N716" s="110">
        <v>21414.0</v>
      </c>
      <c r="O716" s="110">
        <v>20744.0</v>
      </c>
      <c r="P716" s="110">
        <v>50323.0</v>
      </c>
      <c r="Q716" s="110">
        <v>22944.0</v>
      </c>
      <c r="R716" s="50">
        <v>71922.0</v>
      </c>
      <c r="S716" s="111">
        <v>55.0</v>
      </c>
      <c r="T716" s="112">
        <v>9.0</v>
      </c>
      <c r="U716" s="24" t="s">
        <v>48</v>
      </c>
      <c r="V716" s="11" t="s">
        <v>3937</v>
      </c>
      <c r="W716" s="108">
        <v>1.0</v>
      </c>
      <c r="X716" s="113">
        <v>81120.0</v>
      </c>
      <c r="Y716" s="113">
        <v>21513.0</v>
      </c>
      <c r="Z716" s="11">
        <v>111.0</v>
      </c>
      <c r="AA716" s="113">
        <v>80223.0</v>
      </c>
      <c r="AB716" s="109">
        <v>12492.62</v>
      </c>
      <c r="AC716" s="113">
        <v>101323.0</v>
      </c>
      <c r="AD716" s="108">
        <v>8.0</v>
      </c>
    </row>
    <row r="717">
      <c r="A717" s="11">
        <v>75.0</v>
      </c>
      <c r="B717" s="11">
        <v>9.0</v>
      </c>
      <c r="C717" s="11">
        <v>4.0</v>
      </c>
      <c r="D717" s="17">
        <v>6.0</v>
      </c>
      <c r="E717" s="108">
        <v>2.0</v>
      </c>
      <c r="F717" s="109">
        <v>-63013.64</v>
      </c>
      <c r="G717" s="109">
        <v>-33595.78</v>
      </c>
      <c r="H717" s="109">
        <v>-14157.63</v>
      </c>
      <c r="I717" s="109">
        <v>76661.39</v>
      </c>
      <c r="J717" s="109">
        <v>90540.2</v>
      </c>
      <c r="K717" s="109">
        <v>59849.37</v>
      </c>
      <c r="L717" s="109">
        <v>22453.44</v>
      </c>
      <c r="M717" s="109">
        <v>-18089.67</v>
      </c>
      <c r="N717" s="110">
        <v>32010.0</v>
      </c>
      <c r="O717" s="110">
        <v>31720.0</v>
      </c>
      <c r="P717" s="110">
        <v>51223.0</v>
      </c>
      <c r="Q717" s="110">
        <v>33120.0</v>
      </c>
      <c r="R717" s="50">
        <v>40321.0</v>
      </c>
      <c r="S717" s="111">
        <v>51.0</v>
      </c>
      <c r="T717" s="112">
        <v>47.0</v>
      </c>
      <c r="U717" s="24" t="s">
        <v>48</v>
      </c>
      <c r="V717" s="11" t="s">
        <v>3965</v>
      </c>
      <c r="W717" s="108">
        <v>6.0</v>
      </c>
      <c r="X717" s="113">
        <v>40222.0</v>
      </c>
      <c r="Y717" s="113">
        <v>71121.0</v>
      </c>
      <c r="Z717" s="11">
        <v>191.0</v>
      </c>
      <c r="AA717" s="113">
        <v>82922.0</v>
      </c>
      <c r="AB717" s="109">
        <v>78915.65</v>
      </c>
      <c r="AC717" s="113">
        <v>22118.0</v>
      </c>
      <c r="AD717" s="108">
        <v>3.0</v>
      </c>
    </row>
    <row r="718">
      <c r="A718" s="11">
        <v>75.0</v>
      </c>
      <c r="B718" s="11">
        <v>9.0</v>
      </c>
      <c r="C718" s="11">
        <v>8.0</v>
      </c>
      <c r="D718" s="17">
        <v>38.0</v>
      </c>
      <c r="E718" s="108">
        <v>1.0</v>
      </c>
      <c r="F718" s="109">
        <v>85417.1</v>
      </c>
      <c r="G718" s="109">
        <v>-26823.59</v>
      </c>
      <c r="H718" s="109">
        <v>-87561.46</v>
      </c>
      <c r="I718" s="109">
        <v>-81861.04</v>
      </c>
      <c r="J718" s="109">
        <v>94413.84</v>
      </c>
      <c r="K718" s="109">
        <v>85346.44</v>
      </c>
      <c r="L718" s="109">
        <v>75554.6</v>
      </c>
      <c r="M718" s="109">
        <v>86478.87</v>
      </c>
      <c r="N718" s="110">
        <v>52613.0</v>
      </c>
      <c r="O718" s="110">
        <v>52423.0</v>
      </c>
      <c r="P718" s="110">
        <v>51723.0</v>
      </c>
      <c r="Q718" s="110">
        <v>53123.0</v>
      </c>
      <c r="R718" s="50">
        <v>50617.0</v>
      </c>
      <c r="S718" s="111">
        <v>53.0</v>
      </c>
      <c r="T718" s="112">
        <v>51.0</v>
      </c>
      <c r="U718" s="24" t="s">
        <v>601</v>
      </c>
      <c r="V718" s="11" t="s">
        <v>3865</v>
      </c>
      <c r="W718" s="108">
        <v>7.0</v>
      </c>
      <c r="X718" s="113">
        <v>60520.0</v>
      </c>
      <c r="Y718" s="113">
        <v>10918.0</v>
      </c>
      <c r="Z718" s="11">
        <v>172.0</v>
      </c>
      <c r="AA718" s="113">
        <v>80917.0</v>
      </c>
      <c r="AB718" s="109">
        <v>86351.99</v>
      </c>
      <c r="AC718" s="113">
        <v>40717.0</v>
      </c>
      <c r="AD718" s="108">
        <v>5.0</v>
      </c>
    </row>
    <row r="719">
      <c r="A719" s="11">
        <v>96.0</v>
      </c>
      <c r="B719" s="11">
        <v>4.0</v>
      </c>
      <c r="C719" s="11">
        <v>9.0</v>
      </c>
      <c r="D719" s="17">
        <v>65.0</v>
      </c>
      <c r="E719" s="108">
        <v>9.0</v>
      </c>
      <c r="F719" s="109">
        <v>27234.12</v>
      </c>
      <c r="G719" s="109">
        <v>-58200.09</v>
      </c>
      <c r="H719" s="109">
        <v>-79380.42</v>
      </c>
      <c r="I719" s="109">
        <v>-40532.24</v>
      </c>
      <c r="J719" s="109">
        <v>1547.78</v>
      </c>
      <c r="K719" s="109">
        <v>-76850.44</v>
      </c>
      <c r="L719" s="109">
        <v>-87376.01</v>
      </c>
      <c r="M719" s="109">
        <v>-33990.62</v>
      </c>
      <c r="N719" s="110">
        <v>70513.0</v>
      </c>
      <c r="O719" s="110">
        <v>63033.0</v>
      </c>
      <c r="P719" s="110">
        <v>51523.0</v>
      </c>
      <c r="Q719" s="110">
        <v>63033.0</v>
      </c>
      <c r="R719" s="50">
        <v>42315.0</v>
      </c>
      <c r="S719" s="111">
        <v>51.0</v>
      </c>
      <c r="T719" s="112">
        <v>44.0</v>
      </c>
      <c r="U719" s="24" t="s">
        <v>601</v>
      </c>
      <c r="V719" s="11" t="s">
        <v>4003</v>
      </c>
      <c r="W719" s="108">
        <v>5.0</v>
      </c>
      <c r="X719" s="113">
        <v>80721.0</v>
      </c>
      <c r="Y719" s="113">
        <v>20814.0</v>
      </c>
      <c r="Z719" s="11">
        <v>168.0</v>
      </c>
      <c r="AA719" s="113">
        <v>20715.0</v>
      </c>
      <c r="AB719" s="109">
        <v>-92058.31</v>
      </c>
      <c r="AC719" s="113">
        <v>101421.0</v>
      </c>
      <c r="AD719" s="108">
        <v>5.0</v>
      </c>
    </row>
    <row r="720">
      <c r="A720" s="11">
        <v>96.0</v>
      </c>
      <c r="B720" s="11">
        <v>5.0</v>
      </c>
      <c r="C720" s="11">
        <v>2.0</v>
      </c>
      <c r="D720" s="17">
        <v>59.0</v>
      </c>
      <c r="E720" s="108">
        <v>8.0</v>
      </c>
      <c r="F720" s="109">
        <v>27851.84</v>
      </c>
      <c r="G720" s="109">
        <v>6611.41</v>
      </c>
      <c r="H720" s="109">
        <v>-57914.06</v>
      </c>
      <c r="I720" s="109">
        <v>-31715.26</v>
      </c>
      <c r="J720" s="109">
        <v>71191.15</v>
      </c>
      <c r="K720" s="109">
        <v>-84714.44</v>
      </c>
      <c r="L720" s="109">
        <v>21173.73</v>
      </c>
      <c r="M720" s="109">
        <v>3747.35</v>
      </c>
      <c r="N720" s="110">
        <v>41912.0</v>
      </c>
      <c r="O720" s="110">
        <v>41722.0</v>
      </c>
      <c r="P720" s="110">
        <v>53023.0</v>
      </c>
      <c r="Q720" s="110">
        <v>43022.0</v>
      </c>
      <c r="R720" s="50">
        <v>83118.0</v>
      </c>
      <c r="S720" s="111">
        <v>50.0</v>
      </c>
      <c r="T720" s="112">
        <v>34.0</v>
      </c>
      <c r="U720" s="24" t="s">
        <v>603</v>
      </c>
      <c r="V720" s="11" t="s">
        <v>4001</v>
      </c>
      <c r="W720" s="108">
        <v>7.0</v>
      </c>
      <c r="X720" s="113">
        <v>91723.0</v>
      </c>
      <c r="Y720" s="113">
        <v>110315.0</v>
      </c>
      <c r="Z720" s="11">
        <v>149.0</v>
      </c>
      <c r="AA720" s="113">
        <v>82814.0</v>
      </c>
      <c r="AB720" s="109">
        <v>-84981.87</v>
      </c>
      <c r="AC720" s="113">
        <v>42923.0</v>
      </c>
      <c r="AD720" s="108">
        <v>1.0</v>
      </c>
    </row>
    <row r="721">
      <c r="A721" s="11">
        <v>14.0</v>
      </c>
      <c r="B721" s="11">
        <v>6.0</v>
      </c>
      <c r="C721" s="11">
        <v>1.0</v>
      </c>
      <c r="D721" s="17">
        <v>34.0</v>
      </c>
      <c r="E721" s="108">
        <v>9.0</v>
      </c>
      <c r="F721" s="109">
        <v>64154.36</v>
      </c>
      <c r="G721" s="109">
        <v>86435.36</v>
      </c>
      <c r="H721" s="109">
        <v>-14262.34</v>
      </c>
      <c r="I721" s="109">
        <v>92510.46</v>
      </c>
      <c r="J721" s="109">
        <v>27102.17</v>
      </c>
      <c r="K721" s="109">
        <v>8216.47</v>
      </c>
      <c r="L721" s="109">
        <v>-51784.1</v>
      </c>
      <c r="M721" s="109">
        <v>-43466.6</v>
      </c>
      <c r="N721" s="110">
        <v>11211.0</v>
      </c>
      <c r="O721" s="110">
        <v>10441.0</v>
      </c>
      <c r="P721" s="110">
        <v>50423.0</v>
      </c>
      <c r="Q721" s="110">
        <v>13141.0</v>
      </c>
      <c r="R721" s="50">
        <v>31322.0</v>
      </c>
      <c r="S721" s="111">
        <v>51.0</v>
      </c>
      <c r="T721" s="112">
        <v>47.0</v>
      </c>
      <c r="U721" s="24" t="s">
        <v>31</v>
      </c>
      <c r="V721" s="11" t="s">
        <v>3884</v>
      </c>
      <c r="W721" s="108">
        <v>5.0</v>
      </c>
      <c r="X721" s="113">
        <v>112517.0</v>
      </c>
      <c r="Y721" s="113">
        <v>20222.0</v>
      </c>
      <c r="Z721" s="11">
        <v>130.0</v>
      </c>
      <c r="AA721" s="113">
        <v>40318.0</v>
      </c>
      <c r="AB721" s="109">
        <v>-14368.89</v>
      </c>
      <c r="AC721" s="113">
        <v>110719.0</v>
      </c>
      <c r="AD721" s="108">
        <v>8.0</v>
      </c>
    </row>
    <row r="722">
      <c r="A722" s="11">
        <v>96.0</v>
      </c>
      <c r="B722" s="11">
        <v>5.0</v>
      </c>
      <c r="C722" s="11">
        <v>3.0</v>
      </c>
      <c r="D722" s="17">
        <v>32.0</v>
      </c>
      <c r="E722" s="108">
        <v>5.0</v>
      </c>
      <c r="F722" s="109">
        <v>-22967.77</v>
      </c>
      <c r="G722" s="109">
        <v>60657.59</v>
      </c>
      <c r="H722" s="109">
        <v>-84866.85</v>
      </c>
      <c r="I722" s="109">
        <v>88738.63</v>
      </c>
      <c r="J722" s="109">
        <v>-26898.57</v>
      </c>
      <c r="K722" s="109">
        <v>38476.18</v>
      </c>
      <c r="L722" s="109">
        <v>-15300.57</v>
      </c>
      <c r="M722" s="109">
        <v>93863.62</v>
      </c>
      <c r="N722" s="110">
        <v>62710.0</v>
      </c>
      <c r="O722" s="110">
        <v>61940.0</v>
      </c>
      <c r="P722" s="110">
        <v>51423.0</v>
      </c>
      <c r="Q722" s="110">
        <v>63040.0</v>
      </c>
      <c r="R722" s="50">
        <v>71822.0</v>
      </c>
      <c r="S722" s="111">
        <v>54.0</v>
      </c>
      <c r="T722" s="112">
        <v>73.0</v>
      </c>
      <c r="U722" s="24" t="s">
        <v>601</v>
      </c>
      <c r="V722" s="11" t="s">
        <v>4034</v>
      </c>
      <c r="W722" s="108">
        <v>3.0</v>
      </c>
      <c r="X722" s="113">
        <v>71316.0</v>
      </c>
      <c r="Y722" s="113">
        <v>120422.0</v>
      </c>
      <c r="Z722" s="11">
        <v>193.0</v>
      </c>
      <c r="AA722" s="113">
        <v>31022.0</v>
      </c>
      <c r="AB722" s="109">
        <v>-6124.3</v>
      </c>
      <c r="AC722" s="113">
        <v>30619.0</v>
      </c>
      <c r="AD722" s="108">
        <v>4.0</v>
      </c>
    </row>
    <row r="723">
      <c r="A723" s="11">
        <v>55.0</v>
      </c>
      <c r="B723" s="11">
        <v>5.0</v>
      </c>
      <c r="C723" s="11">
        <v>9.0</v>
      </c>
      <c r="D723" s="17">
        <v>76.0</v>
      </c>
      <c r="E723" s="108">
        <v>3.0</v>
      </c>
      <c r="F723" s="109">
        <v>98066.37</v>
      </c>
      <c r="G723" s="109">
        <v>35382.16</v>
      </c>
      <c r="H723" s="109">
        <v>-66399.93</v>
      </c>
      <c r="I723" s="109">
        <v>35374.53</v>
      </c>
      <c r="J723" s="109">
        <v>-47329.64</v>
      </c>
      <c r="K723" s="109">
        <v>32183.39</v>
      </c>
      <c r="L723" s="109">
        <v>-22584.87</v>
      </c>
      <c r="M723" s="109">
        <v>13859.37</v>
      </c>
      <c r="N723" s="110">
        <v>52613.0</v>
      </c>
      <c r="O723" s="110">
        <v>52423.0</v>
      </c>
      <c r="P723" s="110">
        <v>50223.0</v>
      </c>
      <c r="Q723" s="110">
        <v>53123.0</v>
      </c>
      <c r="R723" s="50">
        <v>82916.0</v>
      </c>
      <c r="S723" s="111">
        <v>53.0</v>
      </c>
      <c r="T723" s="112">
        <v>37.0</v>
      </c>
      <c r="U723" s="24" t="s">
        <v>31</v>
      </c>
      <c r="V723" s="11" t="s">
        <v>3881</v>
      </c>
      <c r="W723" s="108">
        <v>7.0</v>
      </c>
      <c r="X723" s="113">
        <v>50423.0</v>
      </c>
      <c r="Y723" s="113">
        <v>100617.0</v>
      </c>
      <c r="Z723" s="11">
        <v>187.0</v>
      </c>
      <c r="AA723" s="113">
        <v>33120.0</v>
      </c>
      <c r="AB723" s="109">
        <v>64650.45</v>
      </c>
      <c r="AC723" s="113">
        <v>62321.0</v>
      </c>
      <c r="AD723" s="108">
        <v>6.0</v>
      </c>
    </row>
    <row r="724">
      <c r="A724" s="11">
        <v>14.0</v>
      </c>
      <c r="B724" s="11">
        <v>6.0</v>
      </c>
      <c r="C724" s="11">
        <v>4.0</v>
      </c>
      <c r="D724" s="17">
        <v>72.0</v>
      </c>
      <c r="E724" s="108">
        <v>7.0</v>
      </c>
      <c r="F724" s="109">
        <v>-62355.13</v>
      </c>
      <c r="G724" s="109">
        <v>97751.04</v>
      </c>
      <c r="H724" s="109">
        <v>11228.02</v>
      </c>
      <c r="I724" s="109">
        <v>-60685.32</v>
      </c>
      <c r="J724" s="109">
        <v>53016.9</v>
      </c>
      <c r="K724" s="109">
        <v>-85442.07</v>
      </c>
      <c r="L724" s="109">
        <v>-49935.33</v>
      </c>
      <c r="M724" s="109">
        <v>19407.04</v>
      </c>
      <c r="N724" s="110">
        <v>30110.0</v>
      </c>
      <c r="O724" s="110">
        <v>22240.0</v>
      </c>
      <c r="P724" s="110">
        <v>52523.0</v>
      </c>
      <c r="Q724" s="110">
        <v>22940.0</v>
      </c>
      <c r="R724" s="50">
        <v>51422.0</v>
      </c>
      <c r="S724" s="111">
        <v>53.0</v>
      </c>
      <c r="T724" s="112">
        <v>99.0</v>
      </c>
      <c r="U724" s="24" t="s">
        <v>603</v>
      </c>
      <c r="V724" s="11" t="s">
        <v>3865</v>
      </c>
      <c r="W724" s="108">
        <v>2.0</v>
      </c>
      <c r="X724" s="113">
        <v>100718.0</v>
      </c>
      <c r="Y724" s="113">
        <v>92318.0</v>
      </c>
      <c r="Z724" s="11">
        <v>195.0</v>
      </c>
      <c r="AA724" s="113">
        <v>71622.0</v>
      </c>
      <c r="AB724" s="109">
        <v>2278.62</v>
      </c>
      <c r="AC724" s="113">
        <v>120518.0</v>
      </c>
      <c r="AD724" s="108">
        <v>7.0</v>
      </c>
    </row>
    <row r="725">
      <c r="A725" s="11">
        <v>96.0</v>
      </c>
      <c r="B725" s="11">
        <v>5.0</v>
      </c>
      <c r="C725" s="11">
        <v>7.0</v>
      </c>
      <c r="D725" s="17">
        <v>55.0</v>
      </c>
      <c r="E725" s="108">
        <v>8.0</v>
      </c>
      <c r="F725" s="109">
        <v>-22696.62</v>
      </c>
      <c r="G725" s="109">
        <v>-78454.33</v>
      </c>
      <c r="H725" s="109">
        <v>-67112.71</v>
      </c>
      <c r="I725" s="109">
        <v>-51389.94</v>
      </c>
      <c r="J725" s="109">
        <v>-44455.95</v>
      </c>
      <c r="K725" s="109">
        <v>-62822.99</v>
      </c>
      <c r="L725" s="109">
        <v>44168.31</v>
      </c>
      <c r="M725" s="109">
        <v>-35906.68</v>
      </c>
      <c r="N725" s="110">
        <v>80212.0</v>
      </c>
      <c r="O725" s="110">
        <v>72642.0</v>
      </c>
      <c r="P725" s="110">
        <v>50123.0</v>
      </c>
      <c r="Q725" s="110">
        <v>73142.0</v>
      </c>
      <c r="R725" s="50">
        <v>81715.0</v>
      </c>
      <c r="S725" s="111">
        <v>55.0</v>
      </c>
      <c r="T725" s="112">
        <v>31.0</v>
      </c>
      <c r="U725" s="24" t="s">
        <v>601</v>
      </c>
      <c r="V725" s="11" t="s">
        <v>3920</v>
      </c>
      <c r="W725" s="108">
        <v>2.0</v>
      </c>
      <c r="X725" s="113">
        <v>112623.0</v>
      </c>
      <c r="Y725" s="113">
        <v>50622.0</v>
      </c>
      <c r="Z725" s="11">
        <v>199.0</v>
      </c>
      <c r="AA725" s="113">
        <v>111618.0</v>
      </c>
      <c r="AB725" s="109">
        <v>-78176.59</v>
      </c>
      <c r="AC725" s="113">
        <v>90922.0</v>
      </c>
      <c r="AD725" s="108">
        <v>4.0</v>
      </c>
    </row>
    <row r="726">
      <c r="A726" s="11">
        <v>55.0</v>
      </c>
      <c r="B726" s="11">
        <v>6.0</v>
      </c>
      <c r="C726" s="11">
        <v>1.0</v>
      </c>
      <c r="D726" s="17">
        <v>99.0</v>
      </c>
      <c r="E726" s="108">
        <v>1.0</v>
      </c>
      <c r="F726" s="109">
        <v>54769.13</v>
      </c>
      <c r="G726" s="109">
        <v>76421.76</v>
      </c>
      <c r="H726" s="109">
        <v>87457.79</v>
      </c>
      <c r="I726" s="109">
        <v>-78123.19</v>
      </c>
      <c r="J726" s="109">
        <v>-21976.99</v>
      </c>
      <c r="K726" s="109">
        <v>20160.44</v>
      </c>
      <c r="L726" s="109">
        <v>22739.56</v>
      </c>
      <c r="M726" s="109">
        <v>-98798.29</v>
      </c>
      <c r="N726" s="110">
        <v>80913.0</v>
      </c>
      <c r="O726" s="110">
        <v>80723.0</v>
      </c>
      <c r="P726" s="110">
        <v>53023.0</v>
      </c>
      <c r="Q726" s="110">
        <v>83123.0</v>
      </c>
      <c r="R726" s="50">
        <v>42314.0</v>
      </c>
      <c r="S726" s="111">
        <v>54.0</v>
      </c>
      <c r="T726" s="112">
        <v>28.0</v>
      </c>
      <c r="U726" s="24" t="s">
        <v>601</v>
      </c>
      <c r="V726" s="11" t="s">
        <v>4062</v>
      </c>
      <c r="W726" s="108">
        <v>5.0</v>
      </c>
      <c r="X726" s="113">
        <v>82013.0</v>
      </c>
      <c r="Y726" s="113">
        <v>52917.0</v>
      </c>
      <c r="Z726" s="11">
        <v>107.0</v>
      </c>
      <c r="AA726" s="113">
        <v>41422.0</v>
      </c>
      <c r="AB726" s="109">
        <v>60822.0</v>
      </c>
      <c r="AC726" s="113">
        <v>41916.0</v>
      </c>
      <c r="AD726" s="108">
        <v>7.0</v>
      </c>
    </row>
    <row r="727">
      <c r="A727" s="11">
        <v>96.0</v>
      </c>
      <c r="B727" s="11">
        <v>5.0</v>
      </c>
      <c r="C727" s="11">
        <v>9.0</v>
      </c>
      <c r="D727" s="17">
        <v>71.0</v>
      </c>
      <c r="E727" s="108">
        <v>0.0</v>
      </c>
      <c r="F727" s="109">
        <v>42861.67</v>
      </c>
      <c r="G727" s="109">
        <v>20138.66</v>
      </c>
      <c r="H727" s="109">
        <v>-86609.37</v>
      </c>
      <c r="I727" s="109">
        <v>-8851.01</v>
      </c>
      <c r="J727" s="109">
        <v>6239.99</v>
      </c>
      <c r="K727" s="109">
        <v>-51550.23</v>
      </c>
      <c r="L727" s="109">
        <v>-42446.71</v>
      </c>
      <c r="M727" s="109">
        <v>-45156.38</v>
      </c>
      <c r="N727" s="110">
        <v>50411.0</v>
      </c>
      <c r="O727" s="110">
        <v>42641.0</v>
      </c>
      <c r="P727" s="110">
        <v>52423.0</v>
      </c>
      <c r="Q727" s="110">
        <v>43041.0</v>
      </c>
      <c r="R727" s="50">
        <v>20914.0</v>
      </c>
      <c r="S727" s="111">
        <v>52.0</v>
      </c>
      <c r="T727" s="112">
        <v>54.0</v>
      </c>
      <c r="U727" s="24" t="s">
        <v>39</v>
      </c>
      <c r="V727" s="11" t="s">
        <v>4015</v>
      </c>
      <c r="W727" s="108">
        <v>3.0</v>
      </c>
      <c r="X727" s="113">
        <v>71222.0</v>
      </c>
      <c r="Y727" s="113">
        <v>120721.0</v>
      </c>
      <c r="Z727" s="11">
        <v>128.0</v>
      </c>
      <c r="AA727" s="113">
        <v>60418.0</v>
      </c>
      <c r="AB727" s="109">
        <v>3055.21</v>
      </c>
      <c r="AC727" s="113">
        <v>92518.0</v>
      </c>
      <c r="AD727" s="108">
        <v>0.0</v>
      </c>
    </row>
    <row r="728">
      <c r="A728" s="11">
        <v>35.0</v>
      </c>
      <c r="B728" s="11">
        <v>1.0</v>
      </c>
      <c r="C728" s="11">
        <v>1.0</v>
      </c>
      <c r="D728" s="17">
        <v>2.0</v>
      </c>
      <c r="E728" s="108">
        <v>8.0</v>
      </c>
      <c r="F728" s="109">
        <v>57258.78</v>
      </c>
      <c r="G728" s="109">
        <v>30946.01</v>
      </c>
      <c r="H728" s="109">
        <v>-71142.93</v>
      </c>
      <c r="I728" s="109">
        <v>-10829.11</v>
      </c>
      <c r="J728" s="109">
        <v>-50029.07</v>
      </c>
      <c r="K728" s="109">
        <v>-74773.04</v>
      </c>
      <c r="L728" s="109">
        <v>60256.99</v>
      </c>
      <c r="M728" s="109">
        <v>-89629.49</v>
      </c>
      <c r="N728" s="110">
        <v>70610.0</v>
      </c>
      <c r="O728" s="110">
        <v>70320.0</v>
      </c>
      <c r="P728" s="110">
        <v>52323.0</v>
      </c>
      <c r="Q728" s="110">
        <v>73120.0</v>
      </c>
      <c r="R728" s="50">
        <v>13018.0</v>
      </c>
      <c r="S728" s="111">
        <v>51.0</v>
      </c>
      <c r="T728" s="112">
        <v>93.0</v>
      </c>
      <c r="U728" s="24" t="s">
        <v>39</v>
      </c>
      <c r="V728" s="11" t="s">
        <v>4034</v>
      </c>
      <c r="W728" s="108">
        <v>2.0</v>
      </c>
      <c r="X728" s="113">
        <v>10820.0</v>
      </c>
      <c r="Y728" s="113">
        <v>70914.0</v>
      </c>
      <c r="Z728" s="11">
        <v>105.0</v>
      </c>
      <c r="AA728" s="113">
        <v>33021.0</v>
      </c>
      <c r="AB728" s="109">
        <v>56216.42</v>
      </c>
      <c r="AC728" s="113">
        <v>123015.0</v>
      </c>
      <c r="AD728" s="108">
        <v>3.0</v>
      </c>
    </row>
    <row r="729">
      <c r="A729" s="11">
        <v>35.0</v>
      </c>
      <c r="B729" s="11">
        <v>1.0</v>
      </c>
      <c r="C729" s="11">
        <v>7.0</v>
      </c>
      <c r="D729" s="17">
        <v>77.0</v>
      </c>
      <c r="E729" s="108">
        <v>9.0</v>
      </c>
      <c r="F729" s="109">
        <v>53385.07</v>
      </c>
      <c r="G729" s="109">
        <v>-15619.49</v>
      </c>
      <c r="H729" s="109">
        <v>-93364.66</v>
      </c>
      <c r="I729" s="109">
        <v>-31818.2</v>
      </c>
      <c r="J729" s="109">
        <v>23330.58</v>
      </c>
      <c r="K729" s="109">
        <v>11971.65</v>
      </c>
      <c r="L729" s="109">
        <v>-59184.62</v>
      </c>
      <c r="M729" s="109">
        <v>61242.74</v>
      </c>
      <c r="N729" s="110">
        <v>40313.0</v>
      </c>
      <c r="O729" s="110">
        <v>40123.0</v>
      </c>
      <c r="P729" s="110">
        <v>50423.0</v>
      </c>
      <c r="Q729" s="110">
        <v>43023.0</v>
      </c>
      <c r="R729" s="50">
        <v>71014.0</v>
      </c>
      <c r="S729" s="111">
        <v>55.0</v>
      </c>
      <c r="T729" s="112">
        <v>45.0</v>
      </c>
      <c r="U729" s="24" t="s">
        <v>39</v>
      </c>
      <c r="V729" s="11" t="s">
        <v>3880</v>
      </c>
      <c r="W729" s="108">
        <v>3.0</v>
      </c>
      <c r="X729" s="113">
        <v>122417.0</v>
      </c>
      <c r="Y729" s="113">
        <v>111114.0</v>
      </c>
      <c r="Z729" s="11">
        <v>104.0</v>
      </c>
      <c r="AA729" s="113">
        <v>52413.0</v>
      </c>
      <c r="AB729" s="109">
        <v>-42546.05</v>
      </c>
      <c r="AC729" s="113">
        <v>42218.0</v>
      </c>
      <c r="AD729" s="108">
        <v>4.0</v>
      </c>
    </row>
    <row r="730">
      <c r="A730" s="11">
        <v>96.0</v>
      </c>
      <c r="B730" s="11">
        <v>6.0</v>
      </c>
      <c r="C730" s="11">
        <v>1.0</v>
      </c>
      <c r="D730" s="17">
        <v>26.0</v>
      </c>
      <c r="E730" s="108">
        <v>5.0</v>
      </c>
      <c r="F730" s="109">
        <v>86844.27</v>
      </c>
      <c r="G730" s="109">
        <v>-50749.53</v>
      </c>
      <c r="H730" s="109">
        <v>-35780.93</v>
      </c>
      <c r="I730" s="109">
        <v>-9249.87</v>
      </c>
      <c r="J730" s="109">
        <v>66150.67</v>
      </c>
      <c r="K730" s="109">
        <v>-88889.35</v>
      </c>
      <c r="L730" s="109">
        <v>-2072.48</v>
      </c>
      <c r="M730" s="109">
        <v>-65474.89</v>
      </c>
      <c r="N730" s="110">
        <v>72410.0</v>
      </c>
      <c r="O730" s="110">
        <v>72120.0</v>
      </c>
      <c r="P730" s="110">
        <v>50523.0</v>
      </c>
      <c r="Q730" s="110">
        <v>73120.0</v>
      </c>
      <c r="R730" s="50">
        <v>20816.0</v>
      </c>
      <c r="S730" s="111">
        <v>54.0</v>
      </c>
      <c r="T730" s="112">
        <v>70.0</v>
      </c>
      <c r="U730" s="24" t="s">
        <v>601</v>
      </c>
      <c r="V730" s="11" t="s">
        <v>3933</v>
      </c>
      <c r="W730" s="108">
        <v>5.0</v>
      </c>
      <c r="X730" s="113">
        <v>60616.0</v>
      </c>
      <c r="Y730" s="113">
        <v>40616.0</v>
      </c>
      <c r="Z730" s="11">
        <v>178.0</v>
      </c>
      <c r="AA730" s="113">
        <v>80117.0</v>
      </c>
      <c r="AB730" s="109">
        <v>52241.93</v>
      </c>
      <c r="AC730" s="113">
        <v>70123.0</v>
      </c>
      <c r="AD730" s="108">
        <v>5.0</v>
      </c>
    </row>
    <row r="731">
      <c r="A731" s="11">
        <v>76.0</v>
      </c>
      <c r="B731" s="11">
        <v>1.0</v>
      </c>
      <c r="C731" s="11">
        <v>3.0</v>
      </c>
      <c r="D731" s="17">
        <v>39.0</v>
      </c>
      <c r="E731" s="108">
        <v>6.0</v>
      </c>
      <c r="F731" s="109">
        <v>57848.68</v>
      </c>
      <c r="G731" s="109">
        <v>-92421.71</v>
      </c>
      <c r="H731" s="109">
        <v>83585.0</v>
      </c>
      <c r="I731" s="109">
        <v>-42784.52</v>
      </c>
      <c r="J731" s="109">
        <v>62517.43</v>
      </c>
      <c r="K731" s="109">
        <v>-72441.26</v>
      </c>
      <c r="L731" s="109">
        <v>20261.1</v>
      </c>
      <c r="M731" s="109">
        <v>-4089.32</v>
      </c>
      <c r="N731" s="110">
        <v>80113.0</v>
      </c>
      <c r="O731" s="110">
        <v>72543.0</v>
      </c>
      <c r="P731" s="110">
        <v>52323.0</v>
      </c>
      <c r="Q731" s="110">
        <v>73143.0</v>
      </c>
      <c r="R731" s="50">
        <v>50920.0</v>
      </c>
      <c r="S731" s="111">
        <v>50.0</v>
      </c>
      <c r="T731" s="112">
        <v>64.0</v>
      </c>
      <c r="U731" s="24" t="s">
        <v>603</v>
      </c>
      <c r="V731" s="11" t="s">
        <v>3954</v>
      </c>
      <c r="W731" s="108">
        <v>5.0</v>
      </c>
      <c r="X731" s="113">
        <v>42820.0</v>
      </c>
      <c r="Y731" s="113">
        <v>10515.0</v>
      </c>
      <c r="Z731" s="11">
        <v>154.0</v>
      </c>
      <c r="AA731" s="113">
        <v>31313.0</v>
      </c>
      <c r="AB731" s="109">
        <v>-87307.09</v>
      </c>
      <c r="AC731" s="113">
        <v>11420.0</v>
      </c>
      <c r="AD731" s="108">
        <v>4.0</v>
      </c>
    </row>
    <row r="732">
      <c r="A732" s="11">
        <v>55.0</v>
      </c>
      <c r="B732" s="11">
        <v>6.0</v>
      </c>
      <c r="C732" s="11">
        <v>7.0</v>
      </c>
      <c r="D732" s="17">
        <v>1.0</v>
      </c>
      <c r="E732" s="108">
        <v>3.0</v>
      </c>
      <c r="F732" s="109">
        <v>-93446.85</v>
      </c>
      <c r="G732" s="109">
        <v>87833.38</v>
      </c>
      <c r="H732" s="109">
        <v>3357.31</v>
      </c>
      <c r="I732" s="109">
        <v>46640.57</v>
      </c>
      <c r="J732" s="109">
        <v>19668.5</v>
      </c>
      <c r="K732" s="109">
        <v>-28109.24</v>
      </c>
      <c r="L732" s="109">
        <v>-79267.55</v>
      </c>
      <c r="M732" s="109">
        <v>58649.32</v>
      </c>
      <c r="N732" s="110">
        <v>62711.0</v>
      </c>
      <c r="O732" s="110">
        <v>62231.0</v>
      </c>
      <c r="P732" s="110">
        <v>51523.0</v>
      </c>
      <c r="Q732" s="110">
        <v>63031.0</v>
      </c>
      <c r="R732" s="50">
        <v>31919.0</v>
      </c>
      <c r="S732" s="111">
        <v>54.0</v>
      </c>
      <c r="T732" s="112">
        <v>93.0</v>
      </c>
      <c r="U732" s="24" t="s">
        <v>48</v>
      </c>
      <c r="V732" s="11" t="s">
        <v>3854</v>
      </c>
      <c r="W732" s="108">
        <v>1.0</v>
      </c>
      <c r="X732" s="113">
        <v>62421.0</v>
      </c>
      <c r="Y732" s="113">
        <v>61622.0</v>
      </c>
      <c r="Z732" s="11">
        <v>117.0</v>
      </c>
      <c r="AA732" s="113">
        <v>42517.0</v>
      </c>
      <c r="AB732" s="109">
        <v>77193.98</v>
      </c>
      <c r="AC732" s="113">
        <v>51719.0</v>
      </c>
      <c r="AD732" s="108">
        <v>3.0</v>
      </c>
    </row>
    <row r="733">
      <c r="A733" s="11">
        <v>35.0</v>
      </c>
      <c r="B733" s="11">
        <v>2.0</v>
      </c>
      <c r="C733" s="11">
        <v>3.0</v>
      </c>
      <c r="D733" s="17">
        <v>75.0</v>
      </c>
      <c r="E733" s="108">
        <v>0.0</v>
      </c>
      <c r="F733" s="109">
        <v>26683.4</v>
      </c>
      <c r="G733" s="109">
        <v>95329.11</v>
      </c>
      <c r="H733" s="109">
        <v>-83370.8</v>
      </c>
      <c r="I733" s="109">
        <v>27202.82</v>
      </c>
      <c r="J733" s="109">
        <v>-63461.9</v>
      </c>
      <c r="K733" s="109">
        <v>2577.14</v>
      </c>
      <c r="L733" s="109">
        <v>-82676.95</v>
      </c>
      <c r="M733" s="109">
        <v>98139.7</v>
      </c>
      <c r="N733" s="110">
        <v>50913.0</v>
      </c>
      <c r="O733" s="110">
        <v>50433.0</v>
      </c>
      <c r="P733" s="110">
        <v>51923.0</v>
      </c>
      <c r="Q733" s="110">
        <v>53133.0</v>
      </c>
      <c r="R733" s="50">
        <v>123022.0</v>
      </c>
      <c r="S733" s="111">
        <v>55.0</v>
      </c>
      <c r="T733" s="112">
        <v>66.0</v>
      </c>
      <c r="U733" s="24" t="s">
        <v>48</v>
      </c>
      <c r="V733" s="11" t="s">
        <v>3991</v>
      </c>
      <c r="W733" s="108">
        <v>7.0</v>
      </c>
      <c r="X733" s="113">
        <v>41915.0</v>
      </c>
      <c r="Y733" s="113">
        <v>62719.0</v>
      </c>
      <c r="Z733" s="11">
        <v>193.0</v>
      </c>
      <c r="AA733" s="113">
        <v>121716.0</v>
      </c>
      <c r="AB733" s="109">
        <v>-33914.35</v>
      </c>
      <c r="AC733" s="113">
        <v>91715.0</v>
      </c>
      <c r="AD733" s="108">
        <v>5.0</v>
      </c>
    </row>
    <row r="734">
      <c r="A734" s="11">
        <v>96.0</v>
      </c>
      <c r="B734" s="11">
        <v>6.0</v>
      </c>
      <c r="C734" s="11">
        <v>9.0</v>
      </c>
      <c r="D734" s="17">
        <v>1.0</v>
      </c>
      <c r="E734" s="108">
        <v>8.0</v>
      </c>
      <c r="F734" s="109">
        <v>-63546.46</v>
      </c>
      <c r="G734" s="109">
        <v>-37428.05</v>
      </c>
      <c r="H734" s="109">
        <v>46501.31</v>
      </c>
      <c r="I734" s="109">
        <v>-28901.7</v>
      </c>
      <c r="J734" s="109">
        <v>-95539.86</v>
      </c>
      <c r="K734" s="109">
        <v>77750.24</v>
      </c>
      <c r="L734" s="109">
        <v>-13313.21</v>
      </c>
      <c r="M734" s="109">
        <v>78678.39</v>
      </c>
      <c r="N734" s="110">
        <v>32914.0</v>
      </c>
      <c r="O734" s="110">
        <v>32144.0</v>
      </c>
      <c r="P734" s="110">
        <v>52323.0</v>
      </c>
      <c r="Q734" s="110">
        <v>33144.0</v>
      </c>
      <c r="R734" s="50">
        <v>30722.0</v>
      </c>
      <c r="S734" s="111">
        <v>51.0</v>
      </c>
      <c r="T734" s="112">
        <v>32.0</v>
      </c>
      <c r="U734" s="24" t="s">
        <v>601</v>
      </c>
      <c r="V734" s="11" t="s">
        <v>3925</v>
      </c>
      <c r="W734" s="108">
        <v>1.0</v>
      </c>
      <c r="X734" s="113">
        <v>51213.0</v>
      </c>
      <c r="Y734" s="113">
        <v>100218.0</v>
      </c>
      <c r="Z734" s="11">
        <v>142.0</v>
      </c>
      <c r="AA734" s="113">
        <v>23120.0</v>
      </c>
      <c r="AB734" s="109">
        <v>54127.67</v>
      </c>
      <c r="AC734" s="113">
        <v>10921.0</v>
      </c>
      <c r="AD734" s="108">
        <v>0.0</v>
      </c>
    </row>
    <row r="735">
      <c r="A735" s="11">
        <v>55.0</v>
      </c>
      <c r="B735" s="11">
        <v>7.0</v>
      </c>
      <c r="C735" s="11">
        <v>4.0</v>
      </c>
      <c r="D735" s="17">
        <v>91.0</v>
      </c>
      <c r="E735" s="108">
        <v>7.0</v>
      </c>
      <c r="F735" s="109">
        <v>-60322.23</v>
      </c>
      <c r="G735" s="109">
        <v>-95093.34</v>
      </c>
      <c r="H735" s="109">
        <v>-78613.84</v>
      </c>
      <c r="I735" s="109">
        <v>-69146.66</v>
      </c>
      <c r="J735" s="109">
        <v>74745.18</v>
      </c>
      <c r="K735" s="109">
        <v>-20753.9</v>
      </c>
      <c r="L735" s="109">
        <v>-71634.92</v>
      </c>
      <c r="M735" s="109">
        <v>13555.19</v>
      </c>
      <c r="N735" s="110">
        <v>40310.0</v>
      </c>
      <c r="O735" s="110">
        <v>32930.0</v>
      </c>
      <c r="P735" s="110">
        <v>50623.0</v>
      </c>
      <c r="Q735" s="110">
        <v>33130.0</v>
      </c>
      <c r="R735" s="50">
        <v>103013.0</v>
      </c>
      <c r="S735" s="111">
        <v>52.0</v>
      </c>
      <c r="T735" s="112">
        <v>14.0</v>
      </c>
      <c r="U735" s="24" t="s">
        <v>603</v>
      </c>
      <c r="V735" s="11" t="s">
        <v>3971</v>
      </c>
      <c r="W735" s="108">
        <v>9.0</v>
      </c>
      <c r="X735" s="113">
        <v>82823.0</v>
      </c>
      <c r="Y735" s="113">
        <v>90123.0</v>
      </c>
      <c r="Z735" s="11">
        <v>171.0</v>
      </c>
      <c r="AA735" s="113">
        <v>122620.0</v>
      </c>
      <c r="AB735" s="109">
        <v>81804.69</v>
      </c>
      <c r="AC735" s="113">
        <v>50113.0</v>
      </c>
      <c r="AD735" s="108">
        <v>9.0</v>
      </c>
    </row>
    <row r="736">
      <c r="A736" s="11">
        <v>55.0</v>
      </c>
      <c r="B736" s="11">
        <v>7.0</v>
      </c>
      <c r="C736" s="11">
        <v>5.0</v>
      </c>
      <c r="D736" s="17">
        <v>16.0</v>
      </c>
      <c r="E736" s="108">
        <v>2.0</v>
      </c>
      <c r="F736" s="109">
        <v>-49620.94</v>
      </c>
      <c r="G736" s="109">
        <v>26521.86</v>
      </c>
      <c r="H736" s="109">
        <v>-83277.39</v>
      </c>
      <c r="I736" s="109">
        <v>5834.71</v>
      </c>
      <c r="J736" s="109">
        <v>-47446.23</v>
      </c>
      <c r="K736" s="109">
        <v>-53640.3</v>
      </c>
      <c r="L736" s="109">
        <v>10464.47</v>
      </c>
      <c r="M736" s="109">
        <v>80476.33</v>
      </c>
      <c r="N736" s="110">
        <v>92412.0</v>
      </c>
      <c r="O736" s="110">
        <v>91932.0</v>
      </c>
      <c r="P736" s="110">
        <v>50523.0</v>
      </c>
      <c r="Q736" s="110">
        <v>93032.0</v>
      </c>
      <c r="R736" s="50">
        <v>40313.0</v>
      </c>
      <c r="S736" s="111">
        <v>54.0</v>
      </c>
      <c r="T736" s="112">
        <v>52.0</v>
      </c>
      <c r="U736" s="24" t="s">
        <v>48</v>
      </c>
      <c r="V736" s="11" t="s">
        <v>3866</v>
      </c>
      <c r="W736" s="108">
        <v>7.0</v>
      </c>
      <c r="X736" s="113">
        <v>11420.0</v>
      </c>
      <c r="Y736" s="113">
        <v>80220.0</v>
      </c>
      <c r="Z736" s="11">
        <v>196.0</v>
      </c>
      <c r="AA736" s="113">
        <v>61518.0</v>
      </c>
      <c r="AB736" s="109">
        <v>68603.15</v>
      </c>
      <c r="AC736" s="113">
        <v>92621.0</v>
      </c>
      <c r="AD736" s="108">
        <v>2.0</v>
      </c>
    </row>
    <row r="737">
      <c r="A737" s="11">
        <v>35.0</v>
      </c>
      <c r="B737" s="11">
        <v>2.0</v>
      </c>
      <c r="C737" s="11">
        <v>8.0</v>
      </c>
      <c r="D737" s="17">
        <v>96.0</v>
      </c>
      <c r="E737" s="108">
        <v>5.0</v>
      </c>
      <c r="F737" s="109">
        <v>26053.34</v>
      </c>
      <c r="G737" s="109">
        <v>-51987.1</v>
      </c>
      <c r="H737" s="109">
        <v>50335.92</v>
      </c>
      <c r="I737" s="109">
        <v>83268.21</v>
      </c>
      <c r="J737" s="109">
        <v>-4872.3</v>
      </c>
      <c r="K737" s="109">
        <v>6791.09</v>
      </c>
      <c r="L737" s="109">
        <v>-66356.38</v>
      </c>
      <c r="M737" s="109">
        <v>-83209.31</v>
      </c>
      <c r="N737" s="110">
        <v>30113.0</v>
      </c>
      <c r="O737" s="110">
        <v>22243.0</v>
      </c>
      <c r="P737" s="110">
        <v>50623.0</v>
      </c>
      <c r="Q737" s="110">
        <v>22843.0</v>
      </c>
      <c r="R737" s="50">
        <v>31122.0</v>
      </c>
      <c r="S737" s="111">
        <v>54.0</v>
      </c>
      <c r="T737" s="112">
        <v>78.0</v>
      </c>
      <c r="U737" s="24" t="s">
        <v>39</v>
      </c>
      <c r="V737" s="11" t="s">
        <v>4072</v>
      </c>
      <c r="W737" s="108">
        <v>9.0</v>
      </c>
      <c r="X737" s="113">
        <v>40913.0</v>
      </c>
      <c r="Y737" s="113">
        <v>12323.0</v>
      </c>
      <c r="Z737" s="11">
        <v>127.0</v>
      </c>
      <c r="AA737" s="113">
        <v>20918.0</v>
      </c>
      <c r="AB737" s="109">
        <v>91165.02</v>
      </c>
      <c r="AC737" s="113">
        <v>31517.0</v>
      </c>
      <c r="AD737" s="108">
        <v>1.0</v>
      </c>
    </row>
    <row r="738">
      <c r="A738" s="11">
        <v>35.0</v>
      </c>
      <c r="B738" s="11">
        <v>2.0</v>
      </c>
      <c r="C738" s="11">
        <v>9.0</v>
      </c>
      <c r="D738" s="17">
        <v>86.0</v>
      </c>
      <c r="E738" s="108">
        <v>8.0</v>
      </c>
      <c r="F738" s="109">
        <v>-61730.21</v>
      </c>
      <c r="G738" s="109">
        <v>10924.16</v>
      </c>
      <c r="H738" s="109">
        <v>-74099.51</v>
      </c>
      <c r="I738" s="109">
        <v>-57666.51</v>
      </c>
      <c r="J738" s="109">
        <v>37282.62</v>
      </c>
      <c r="K738" s="109">
        <v>90551.23</v>
      </c>
      <c r="L738" s="109">
        <v>25795.54</v>
      </c>
      <c r="M738" s="109">
        <v>34907.46</v>
      </c>
      <c r="N738" s="110">
        <v>90711.0</v>
      </c>
      <c r="O738" s="110">
        <v>90231.0</v>
      </c>
      <c r="P738" s="110">
        <v>52923.0</v>
      </c>
      <c r="Q738" s="110">
        <v>93031.0</v>
      </c>
      <c r="R738" s="50">
        <v>92919.0</v>
      </c>
      <c r="S738" s="111">
        <v>52.0</v>
      </c>
      <c r="T738" s="112">
        <v>53.0</v>
      </c>
      <c r="U738" s="24" t="s">
        <v>39</v>
      </c>
      <c r="V738" s="11" t="s">
        <v>3965</v>
      </c>
      <c r="W738" s="108">
        <v>9.0</v>
      </c>
      <c r="X738" s="113">
        <v>62119.0</v>
      </c>
      <c r="Y738" s="113">
        <v>123122.0</v>
      </c>
      <c r="Z738" s="11">
        <v>180.0</v>
      </c>
      <c r="AA738" s="113">
        <v>121822.0</v>
      </c>
      <c r="AB738" s="109">
        <v>-29224.37</v>
      </c>
      <c r="AC738" s="113">
        <v>52513.0</v>
      </c>
      <c r="AD738" s="108">
        <v>3.0</v>
      </c>
    </row>
    <row r="739">
      <c r="A739" s="11">
        <v>76.0</v>
      </c>
      <c r="B739" s="11">
        <v>2.0</v>
      </c>
      <c r="C739" s="11">
        <v>6.0</v>
      </c>
      <c r="D739" s="17">
        <v>72.0</v>
      </c>
      <c r="E739" s="108">
        <v>3.0</v>
      </c>
      <c r="F739" s="109">
        <v>-27023.29</v>
      </c>
      <c r="G739" s="109">
        <v>-99475.42</v>
      </c>
      <c r="H739" s="109">
        <v>-62654.18</v>
      </c>
      <c r="I739" s="109">
        <v>76179.0</v>
      </c>
      <c r="J739" s="109">
        <v>-17373.7</v>
      </c>
      <c r="K739" s="109">
        <v>40120.41</v>
      </c>
      <c r="L739" s="109">
        <v>40929.76</v>
      </c>
      <c r="M739" s="109">
        <v>-46881.44</v>
      </c>
      <c r="N739" s="110">
        <v>62912.0</v>
      </c>
      <c r="O739" s="110">
        <v>62722.0</v>
      </c>
      <c r="P739" s="110">
        <v>50123.0</v>
      </c>
      <c r="Q739" s="110">
        <v>63022.0</v>
      </c>
      <c r="R739" s="50">
        <v>122514.0</v>
      </c>
      <c r="S739" s="111">
        <v>55.0</v>
      </c>
      <c r="T739" s="112">
        <v>67.0</v>
      </c>
      <c r="U739" s="24" t="s">
        <v>48</v>
      </c>
      <c r="V739" s="11" t="s">
        <v>3994</v>
      </c>
      <c r="W739" s="108">
        <v>2.0</v>
      </c>
      <c r="X739" s="113">
        <v>122614.0</v>
      </c>
      <c r="Y739" s="113">
        <v>73021.0</v>
      </c>
      <c r="Z739" s="11">
        <v>158.0</v>
      </c>
      <c r="AA739" s="113">
        <v>41616.0</v>
      </c>
      <c r="AB739" s="109">
        <v>52455.85</v>
      </c>
      <c r="AC739" s="113">
        <v>23023.0</v>
      </c>
      <c r="AD739" s="108">
        <v>4.0</v>
      </c>
    </row>
    <row r="740">
      <c r="A740" s="11">
        <v>35.0</v>
      </c>
      <c r="B740" s="11">
        <v>3.0</v>
      </c>
      <c r="C740" s="11">
        <v>1.0</v>
      </c>
      <c r="D740" s="17">
        <v>78.0</v>
      </c>
      <c r="E740" s="108">
        <v>6.0</v>
      </c>
      <c r="F740" s="109">
        <v>-39882.67</v>
      </c>
      <c r="G740" s="109">
        <v>-95829.88</v>
      </c>
      <c r="H740" s="109">
        <v>55327.49</v>
      </c>
      <c r="I740" s="109">
        <v>58163.49</v>
      </c>
      <c r="J740" s="109">
        <v>-60731.6</v>
      </c>
      <c r="K740" s="109">
        <v>-79137.0</v>
      </c>
      <c r="L740" s="109">
        <v>-73998.62</v>
      </c>
      <c r="M740" s="109">
        <v>-49545.42</v>
      </c>
      <c r="N740" s="110">
        <v>11612.0</v>
      </c>
      <c r="O740" s="110">
        <v>11322.0</v>
      </c>
      <c r="P740" s="110">
        <v>51723.0</v>
      </c>
      <c r="Q740" s="110">
        <v>13122.0</v>
      </c>
      <c r="R740" s="50">
        <v>33014.0</v>
      </c>
      <c r="S740" s="111">
        <v>53.0</v>
      </c>
      <c r="T740" s="112">
        <v>50.0</v>
      </c>
      <c r="U740" s="24" t="s">
        <v>601</v>
      </c>
      <c r="V740" s="11" t="s">
        <v>4051</v>
      </c>
      <c r="W740" s="108">
        <v>7.0</v>
      </c>
      <c r="X740" s="113">
        <v>23021.0</v>
      </c>
      <c r="Y740" s="113">
        <v>62415.0</v>
      </c>
      <c r="Z740" s="11">
        <v>195.0</v>
      </c>
      <c r="AA740" s="113">
        <v>100117.0</v>
      </c>
      <c r="AB740" s="109">
        <v>-1009.16</v>
      </c>
      <c r="AC740" s="113">
        <v>100323.0</v>
      </c>
      <c r="AD740" s="108">
        <v>7.0</v>
      </c>
    </row>
    <row r="741">
      <c r="A741" s="11">
        <v>14.0</v>
      </c>
      <c r="B741" s="11">
        <v>8.0</v>
      </c>
      <c r="C741" s="11">
        <v>4.0</v>
      </c>
      <c r="D741" s="17">
        <v>26.0</v>
      </c>
      <c r="E741" s="108">
        <v>0.0</v>
      </c>
      <c r="F741" s="109">
        <v>85529.06</v>
      </c>
      <c r="G741" s="109">
        <v>-65073.26</v>
      </c>
      <c r="H741" s="109">
        <v>-44876.01</v>
      </c>
      <c r="I741" s="109">
        <v>-72411.98</v>
      </c>
      <c r="J741" s="109">
        <v>5547.99</v>
      </c>
      <c r="K741" s="109">
        <v>47704.65</v>
      </c>
      <c r="L741" s="109">
        <v>20822.33</v>
      </c>
      <c r="M741" s="109">
        <v>-25978.07</v>
      </c>
      <c r="N741" s="110">
        <v>92011.0</v>
      </c>
      <c r="O741" s="110">
        <v>91721.0</v>
      </c>
      <c r="P741" s="110">
        <v>50623.0</v>
      </c>
      <c r="Q741" s="110">
        <v>93021.0</v>
      </c>
      <c r="R741" s="50">
        <v>72215.0</v>
      </c>
      <c r="S741" s="111">
        <v>53.0</v>
      </c>
      <c r="T741" s="112">
        <v>7.0</v>
      </c>
      <c r="U741" s="24" t="s">
        <v>603</v>
      </c>
      <c r="V741" s="11" t="s">
        <v>4074</v>
      </c>
      <c r="W741" s="108">
        <v>8.0</v>
      </c>
      <c r="X741" s="113">
        <v>122614.0</v>
      </c>
      <c r="Y741" s="113">
        <v>122820.0</v>
      </c>
      <c r="Z741" s="11">
        <v>165.0</v>
      </c>
      <c r="AA741" s="113">
        <v>50715.0</v>
      </c>
      <c r="AB741" s="109">
        <v>2487.3</v>
      </c>
      <c r="AC741" s="113">
        <v>112320.0</v>
      </c>
      <c r="AD741" s="108">
        <v>5.0</v>
      </c>
    </row>
    <row r="742">
      <c r="A742" s="11">
        <v>55.0</v>
      </c>
      <c r="B742" s="11">
        <v>8.0</v>
      </c>
      <c r="C742" s="11">
        <v>1.0</v>
      </c>
      <c r="D742" s="17">
        <v>89.0</v>
      </c>
      <c r="E742" s="108">
        <v>3.0</v>
      </c>
      <c r="F742" s="109">
        <v>39776.96</v>
      </c>
      <c r="G742" s="109">
        <v>2404.29</v>
      </c>
      <c r="H742" s="109">
        <v>9979.33</v>
      </c>
      <c r="I742" s="109">
        <v>79395.46</v>
      </c>
      <c r="J742" s="109">
        <v>-57584.43</v>
      </c>
      <c r="K742" s="109">
        <v>74839.37</v>
      </c>
      <c r="L742" s="109">
        <v>-15249.11</v>
      </c>
      <c r="M742" s="109">
        <v>-41513.98</v>
      </c>
      <c r="N742" s="110">
        <v>51110.0</v>
      </c>
      <c r="O742" s="110">
        <v>50340.0</v>
      </c>
      <c r="P742" s="110">
        <v>50723.0</v>
      </c>
      <c r="Q742" s="110">
        <v>53140.0</v>
      </c>
      <c r="R742" s="50">
        <v>101622.0</v>
      </c>
      <c r="S742" s="111">
        <v>52.0</v>
      </c>
      <c r="T742" s="112">
        <v>7.0</v>
      </c>
      <c r="U742" s="24" t="s">
        <v>31</v>
      </c>
      <c r="V742" s="11" t="s">
        <v>3985</v>
      </c>
      <c r="W742" s="108">
        <v>2.0</v>
      </c>
      <c r="X742" s="113">
        <v>41519.0</v>
      </c>
      <c r="Y742" s="113">
        <v>70519.0</v>
      </c>
      <c r="Z742" s="11">
        <v>136.0</v>
      </c>
      <c r="AA742" s="113">
        <v>72616.0</v>
      </c>
      <c r="AB742" s="109">
        <v>18699.43</v>
      </c>
      <c r="AC742" s="113">
        <v>62817.0</v>
      </c>
      <c r="AD742" s="108">
        <v>6.0</v>
      </c>
    </row>
    <row r="743">
      <c r="A743" s="11">
        <v>76.0</v>
      </c>
      <c r="B743" s="11">
        <v>3.0</v>
      </c>
      <c r="C743" s="11">
        <v>2.0</v>
      </c>
      <c r="D743" s="17">
        <v>85.0</v>
      </c>
      <c r="E743" s="108">
        <v>9.0</v>
      </c>
      <c r="F743" s="109">
        <v>54092.41</v>
      </c>
      <c r="G743" s="109">
        <v>-99828.33</v>
      </c>
      <c r="H743" s="109">
        <v>-96315.72</v>
      </c>
      <c r="I743" s="109">
        <v>-64625.34</v>
      </c>
      <c r="J743" s="109">
        <v>88075.39</v>
      </c>
      <c r="K743" s="109">
        <v>-48623.72</v>
      </c>
      <c r="L743" s="109">
        <v>97997.03</v>
      </c>
      <c r="M743" s="109">
        <v>59732.41</v>
      </c>
      <c r="N743" s="110">
        <v>42914.0</v>
      </c>
      <c r="O743" s="110">
        <v>42434.0</v>
      </c>
      <c r="P743" s="110">
        <v>52223.0</v>
      </c>
      <c r="Q743" s="110">
        <v>43034.0</v>
      </c>
      <c r="R743" s="50">
        <v>21314.0</v>
      </c>
      <c r="S743" s="111">
        <v>50.0</v>
      </c>
      <c r="T743" s="112">
        <v>86.0</v>
      </c>
      <c r="U743" s="24" t="s">
        <v>48</v>
      </c>
      <c r="V743" s="11" t="s">
        <v>3897</v>
      </c>
      <c r="W743" s="108">
        <v>6.0</v>
      </c>
      <c r="X743" s="113">
        <v>72022.0</v>
      </c>
      <c r="Y743" s="113">
        <v>72323.0</v>
      </c>
      <c r="Z743" s="11">
        <v>118.0</v>
      </c>
      <c r="AA743" s="113">
        <v>31419.0</v>
      </c>
      <c r="AB743" s="109">
        <v>92719.65</v>
      </c>
      <c r="AC743" s="113">
        <v>90619.0</v>
      </c>
      <c r="AD743" s="108">
        <v>1.0</v>
      </c>
    </row>
    <row r="744">
      <c r="A744" s="11">
        <v>35.0</v>
      </c>
      <c r="B744" s="11">
        <v>3.0</v>
      </c>
      <c r="C744" s="11">
        <v>7.0</v>
      </c>
      <c r="D744" s="17">
        <v>72.0</v>
      </c>
      <c r="E744" s="108">
        <v>7.0</v>
      </c>
      <c r="F744" s="109">
        <v>24838.49</v>
      </c>
      <c r="G744" s="109">
        <v>54159.4</v>
      </c>
      <c r="H744" s="109">
        <v>47358.68</v>
      </c>
      <c r="I744" s="109">
        <v>80670.34</v>
      </c>
      <c r="J744" s="109">
        <v>46797.93</v>
      </c>
      <c r="K744" s="109">
        <v>-71926.92</v>
      </c>
      <c r="L744" s="109">
        <v>65517.63</v>
      </c>
      <c r="M744" s="109">
        <v>-60399.5</v>
      </c>
      <c r="N744" s="110">
        <v>70712.0</v>
      </c>
      <c r="O744" s="110">
        <v>70522.0</v>
      </c>
      <c r="P744" s="110">
        <v>50123.0</v>
      </c>
      <c r="Q744" s="110">
        <v>73122.0</v>
      </c>
      <c r="R744" s="50">
        <v>60322.0</v>
      </c>
      <c r="S744" s="111">
        <v>52.0</v>
      </c>
      <c r="T744" s="112">
        <v>77.0</v>
      </c>
      <c r="U744" s="24" t="s">
        <v>31</v>
      </c>
      <c r="V744" s="11" t="s">
        <v>4019</v>
      </c>
      <c r="W744" s="108">
        <v>2.0</v>
      </c>
      <c r="X744" s="113">
        <v>71516.0</v>
      </c>
      <c r="Y744" s="113">
        <v>52522.0</v>
      </c>
      <c r="Z744" s="11">
        <v>146.0</v>
      </c>
      <c r="AA744" s="113">
        <v>110418.0</v>
      </c>
      <c r="AB744" s="109">
        <v>5698.52</v>
      </c>
      <c r="AC744" s="113">
        <v>10616.0</v>
      </c>
      <c r="AD744" s="108">
        <v>3.0</v>
      </c>
    </row>
    <row r="745">
      <c r="A745" s="11">
        <v>76.0</v>
      </c>
      <c r="B745" s="11">
        <v>3.0</v>
      </c>
      <c r="C745" s="11">
        <v>8.0</v>
      </c>
      <c r="D745" s="17">
        <v>69.0</v>
      </c>
      <c r="E745" s="108">
        <v>4.0</v>
      </c>
      <c r="F745" s="109">
        <v>77196.99</v>
      </c>
      <c r="G745" s="109">
        <v>99072.96</v>
      </c>
      <c r="H745" s="109">
        <v>313.69</v>
      </c>
      <c r="I745" s="109">
        <v>-31708.22</v>
      </c>
      <c r="J745" s="109">
        <v>-76209.99</v>
      </c>
      <c r="K745" s="109">
        <v>-10050.36</v>
      </c>
      <c r="L745" s="109">
        <v>-73360.55</v>
      </c>
      <c r="M745" s="109">
        <v>-81185.81</v>
      </c>
      <c r="N745" s="110">
        <v>41511.0</v>
      </c>
      <c r="O745" s="110">
        <v>40741.0</v>
      </c>
      <c r="P745" s="110">
        <v>52223.0</v>
      </c>
      <c r="Q745" s="110">
        <v>43041.0</v>
      </c>
      <c r="R745" s="50">
        <v>90219.0</v>
      </c>
      <c r="S745" s="111">
        <v>51.0</v>
      </c>
      <c r="T745" s="112">
        <v>33.0</v>
      </c>
      <c r="U745" s="24" t="s">
        <v>603</v>
      </c>
      <c r="V745" s="11" t="s">
        <v>3923</v>
      </c>
      <c r="W745" s="108">
        <v>2.0</v>
      </c>
      <c r="X745" s="113">
        <v>32914.0</v>
      </c>
      <c r="Y745" s="113">
        <v>61519.0</v>
      </c>
      <c r="Z745" s="11">
        <v>176.0</v>
      </c>
      <c r="AA745" s="113">
        <v>70423.0</v>
      </c>
      <c r="AB745" s="109">
        <v>-70462.59</v>
      </c>
      <c r="AC745" s="113">
        <v>90319.0</v>
      </c>
      <c r="AD745" s="108">
        <v>8.0</v>
      </c>
    </row>
    <row r="746">
      <c r="A746" s="11">
        <v>35.0</v>
      </c>
      <c r="B746" s="11">
        <v>4.0</v>
      </c>
      <c r="C746" s="11">
        <v>3.0</v>
      </c>
      <c r="D746" s="17">
        <v>91.0</v>
      </c>
      <c r="E746" s="108">
        <v>9.0</v>
      </c>
      <c r="F746" s="109">
        <v>-49327.57</v>
      </c>
      <c r="G746" s="109">
        <v>-37502.3</v>
      </c>
      <c r="H746" s="109">
        <v>-77147.04</v>
      </c>
      <c r="I746" s="109">
        <v>42632.42</v>
      </c>
      <c r="J746" s="109">
        <v>8774.24</v>
      </c>
      <c r="K746" s="109">
        <v>-76234.9</v>
      </c>
      <c r="L746" s="109">
        <v>92729.53</v>
      </c>
      <c r="M746" s="109">
        <v>-28155.47</v>
      </c>
      <c r="N746" s="110">
        <v>100613.0</v>
      </c>
      <c r="O746" s="110">
        <v>100423.0</v>
      </c>
      <c r="P746" s="110">
        <v>52523.0</v>
      </c>
      <c r="Q746" s="110">
        <v>103123.0</v>
      </c>
      <c r="R746" s="50">
        <v>90517.0</v>
      </c>
      <c r="S746" s="111">
        <v>54.0</v>
      </c>
      <c r="T746" s="112">
        <v>60.0</v>
      </c>
      <c r="U746" s="24" t="s">
        <v>48</v>
      </c>
      <c r="V746" s="11" t="s">
        <v>4070</v>
      </c>
      <c r="W746" s="108">
        <v>8.0</v>
      </c>
      <c r="X746" s="113">
        <v>60516.0</v>
      </c>
      <c r="Y746" s="113">
        <v>101120.0</v>
      </c>
      <c r="Z746" s="11">
        <v>195.0</v>
      </c>
      <c r="AA746" s="113">
        <v>82713.0</v>
      </c>
      <c r="AB746" s="109">
        <v>32208.5</v>
      </c>
      <c r="AC746" s="113">
        <v>41414.0</v>
      </c>
      <c r="AD746" s="108">
        <v>5.0</v>
      </c>
    </row>
    <row r="747">
      <c r="A747" s="11">
        <v>55.0</v>
      </c>
      <c r="B747" s="11">
        <v>9.0</v>
      </c>
      <c r="C747" s="11">
        <v>3.0</v>
      </c>
      <c r="D747" s="17">
        <v>73.0</v>
      </c>
      <c r="E747" s="108">
        <v>0.0</v>
      </c>
      <c r="F747" s="109">
        <v>49674.73</v>
      </c>
      <c r="G747" s="109">
        <v>6677.97</v>
      </c>
      <c r="H747" s="109">
        <v>9290.22</v>
      </c>
      <c r="I747" s="109">
        <v>4461.61</v>
      </c>
      <c r="J747" s="109">
        <v>-76284.63</v>
      </c>
      <c r="K747" s="109">
        <v>77457.84</v>
      </c>
      <c r="L747" s="109">
        <v>9836.12</v>
      </c>
      <c r="M747" s="109">
        <v>-24561.37</v>
      </c>
      <c r="N747" s="110">
        <v>72613.0</v>
      </c>
      <c r="O747" s="110">
        <v>72133.0</v>
      </c>
      <c r="P747" s="110">
        <v>51823.0</v>
      </c>
      <c r="Q747" s="110">
        <v>73133.0</v>
      </c>
      <c r="R747" s="50">
        <v>110817.0</v>
      </c>
      <c r="S747" s="111">
        <v>52.0</v>
      </c>
      <c r="T747" s="112">
        <v>24.0</v>
      </c>
      <c r="U747" s="24" t="s">
        <v>39</v>
      </c>
      <c r="V747" s="11" t="s">
        <v>3985</v>
      </c>
      <c r="W747" s="108">
        <v>2.0</v>
      </c>
      <c r="X747" s="113">
        <v>30315.0</v>
      </c>
      <c r="Y747" s="113">
        <v>21119.0</v>
      </c>
      <c r="Z747" s="11">
        <v>109.0</v>
      </c>
      <c r="AA747" s="113">
        <v>22918.0</v>
      </c>
      <c r="AB747" s="109">
        <v>-32100.81</v>
      </c>
      <c r="AC747" s="113">
        <v>92818.0</v>
      </c>
      <c r="AD747" s="108">
        <v>1.0</v>
      </c>
    </row>
    <row r="748">
      <c r="A748" s="11">
        <v>76.0</v>
      </c>
      <c r="B748" s="11">
        <v>4.0</v>
      </c>
      <c r="C748" s="11">
        <v>1.0</v>
      </c>
      <c r="D748" s="17">
        <v>75.0</v>
      </c>
      <c r="E748" s="108">
        <v>5.0</v>
      </c>
      <c r="F748" s="109">
        <v>-1334.65</v>
      </c>
      <c r="G748" s="109">
        <v>76956.46</v>
      </c>
      <c r="H748" s="109">
        <v>-36957.76</v>
      </c>
      <c r="I748" s="109">
        <v>69426.86</v>
      </c>
      <c r="J748" s="109">
        <v>-24935.06</v>
      </c>
      <c r="K748" s="109">
        <v>-38130.51</v>
      </c>
      <c r="L748" s="109">
        <v>-60917.34</v>
      </c>
      <c r="M748" s="109">
        <v>25476.47</v>
      </c>
      <c r="N748" s="110">
        <v>10514.0</v>
      </c>
      <c r="O748" s="110">
        <v>123133.0</v>
      </c>
      <c r="P748" s="110">
        <v>52423.0</v>
      </c>
      <c r="Q748" s="110">
        <v>123132.0</v>
      </c>
      <c r="R748" s="50">
        <v>11717.0</v>
      </c>
      <c r="S748" s="111">
        <v>53.0</v>
      </c>
      <c r="T748" s="112">
        <v>95.0</v>
      </c>
      <c r="U748" s="24" t="s">
        <v>603</v>
      </c>
      <c r="V748" s="11" t="s">
        <v>3987</v>
      </c>
      <c r="W748" s="108">
        <v>4.0</v>
      </c>
      <c r="X748" s="113">
        <v>82613.0</v>
      </c>
      <c r="Y748" s="113">
        <v>11220.0</v>
      </c>
      <c r="Z748" s="11">
        <v>102.0</v>
      </c>
      <c r="AA748" s="113">
        <v>101213.0</v>
      </c>
      <c r="AB748" s="109">
        <v>-357.29</v>
      </c>
      <c r="AC748" s="113">
        <v>11214.0</v>
      </c>
      <c r="AD748" s="108">
        <v>6.0</v>
      </c>
    </row>
    <row r="749">
      <c r="A749" s="11">
        <v>14.0</v>
      </c>
      <c r="B749" s="11">
        <v>9.0</v>
      </c>
      <c r="C749" s="11">
        <v>8.0</v>
      </c>
      <c r="D749" s="17">
        <v>30.0</v>
      </c>
      <c r="E749" s="108">
        <v>4.0</v>
      </c>
      <c r="F749" s="109">
        <v>38248.86</v>
      </c>
      <c r="G749" s="109">
        <v>-42753.35</v>
      </c>
      <c r="H749" s="109">
        <v>-69146.29</v>
      </c>
      <c r="I749" s="109">
        <v>37259.77</v>
      </c>
      <c r="J749" s="109">
        <v>1210.24</v>
      </c>
      <c r="K749" s="109">
        <v>94742.91</v>
      </c>
      <c r="L749" s="109">
        <v>30398.94</v>
      </c>
      <c r="M749" s="109">
        <v>-52092.13</v>
      </c>
      <c r="N749" s="110">
        <v>121410.0</v>
      </c>
      <c r="O749" s="110">
        <v>120640.0</v>
      </c>
      <c r="P749" s="110">
        <v>52923.0</v>
      </c>
      <c r="Q749" s="110">
        <v>123139.0</v>
      </c>
      <c r="R749" s="50">
        <v>70217.0</v>
      </c>
      <c r="S749" s="111">
        <v>51.0</v>
      </c>
      <c r="T749" s="112">
        <v>38.0</v>
      </c>
      <c r="U749" s="24" t="s">
        <v>48</v>
      </c>
      <c r="V749" s="11" t="s">
        <v>3930</v>
      </c>
      <c r="W749" s="108">
        <v>8.0</v>
      </c>
      <c r="X749" s="113">
        <v>81918.0</v>
      </c>
      <c r="Y749" s="113">
        <v>70716.0</v>
      </c>
      <c r="Z749" s="11">
        <v>199.0</v>
      </c>
      <c r="AA749" s="113">
        <v>21013.0</v>
      </c>
      <c r="AB749" s="109">
        <v>-29870.34</v>
      </c>
      <c r="AC749" s="113">
        <v>50614.0</v>
      </c>
      <c r="AD749" s="108">
        <v>7.0</v>
      </c>
    </row>
    <row r="750">
      <c r="A750" s="11">
        <v>14.0</v>
      </c>
      <c r="B750" s="11">
        <v>9.0</v>
      </c>
      <c r="C750" s="11">
        <v>9.0</v>
      </c>
      <c r="D750" s="17">
        <v>61.0</v>
      </c>
      <c r="E750" s="108">
        <v>6.0</v>
      </c>
      <c r="F750" s="109">
        <v>-64844.39</v>
      </c>
      <c r="G750" s="109">
        <v>79048.54</v>
      </c>
      <c r="H750" s="109">
        <v>-18052.83</v>
      </c>
      <c r="I750" s="109">
        <v>46693.45</v>
      </c>
      <c r="J750" s="109">
        <v>38208.28</v>
      </c>
      <c r="K750" s="109">
        <v>17256.92</v>
      </c>
      <c r="L750" s="109">
        <v>-94745.6</v>
      </c>
      <c r="M750" s="109">
        <v>66944.23</v>
      </c>
      <c r="N750" s="110">
        <v>80111.0</v>
      </c>
      <c r="O750" s="110">
        <v>72731.0</v>
      </c>
      <c r="P750" s="110">
        <v>51423.0</v>
      </c>
      <c r="Q750" s="110">
        <v>73131.0</v>
      </c>
      <c r="R750" s="50">
        <v>81813.0</v>
      </c>
      <c r="S750" s="111">
        <v>51.0</v>
      </c>
      <c r="T750" s="112">
        <v>22.0</v>
      </c>
      <c r="U750" s="24" t="s">
        <v>48</v>
      </c>
      <c r="V750" s="11" t="s">
        <v>4039</v>
      </c>
      <c r="W750" s="108">
        <v>8.0</v>
      </c>
      <c r="X750" s="113">
        <v>92619.0</v>
      </c>
      <c r="Y750" s="113">
        <v>121217.0</v>
      </c>
      <c r="Z750" s="11">
        <v>178.0</v>
      </c>
      <c r="AA750" s="113">
        <v>92922.0</v>
      </c>
      <c r="AB750" s="109">
        <v>-90448.82</v>
      </c>
      <c r="AC750" s="113">
        <v>10920.0</v>
      </c>
      <c r="AD750" s="108">
        <v>9.0</v>
      </c>
    </row>
    <row r="751">
      <c r="A751" s="11">
        <v>55.0</v>
      </c>
      <c r="B751" s="11">
        <v>9.0</v>
      </c>
      <c r="C751" s="11">
        <v>9.0</v>
      </c>
      <c r="D751" s="17">
        <v>75.0</v>
      </c>
      <c r="E751" s="108">
        <v>3.0</v>
      </c>
      <c r="F751" s="109">
        <v>31218.38</v>
      </c>
      <c r="G751" s="109">
        <v>-48270.25</v>
      </c>
      <c r="H751" s="109">
        <v>-80499.74</v>
      </c>
      <c r="I751" s="109">
        <v>87107.04</v>
      </c>
      <c r="J751" s="109">
        <v>36416.84</v>
      </c>
      <c r="K751" s="109">
        <v>-62235.57</v>
      </c>
      <c r="L751" s="109">
        <v>-28201.83</v>
      </c>
      <c r="M751" s="109">
        <v>4521.58</v>
      </c>
      <c r="N751" s="110">
        <v>91211.0</v>
      </c>
      <c r="O751" s="110">
        <v>90921.0</v>
      </c>
      <c r="P751" s="110">
        <v>53023.0</v>
      </c>
      <c r="Q751" s="110">
        <v>93021.0</v>
      </c>
      <c r="R751" s="50">
        <v>101220.0</v>
      </c>
      <c r="S751" s="111">
        <v>55.0</v>
      </c>
      <c r="T751" s="112">
        <v>7.0</v>
      </c>
      <c r="U751" s="24" t="s">
        <v>39</v>
      </c>
      <c r="V751" s="11" t="s">
        <v>3860</v>
      </c>
      <c r="W751" s="108">
        <v>1.0</v>
      </c>
      <c r="X751" s="113">
        <v>62520.0</v>
      </c>
      <c r="Y751" s="113">
        <v>90316.0</v>
      </c>
      <c r="Z751" s="11">
        <v>184.0</v>
      </c>
      <c r="AA751" s="113">
        <v>82019.0</v>
      </c>
      <c r="AB751" s="109">
        <v>-65954.49</v>
      </c>
      <c r="AC751" s="113">
        <v>103113.0</v>
      </c>
      <c r="AD751" s="108">
        <v>0.0</v>
      </c>
    </row>
    <row r="752">
      <c r="A752" s="11">
        <v>76.0</v>
      </c>
      <c r="B752" s="11">
        <v>4.0</v>
      </c>
      <c r="C752" s="11">
        <v>8.0</v>
      </c>
      <c r="D752" s="17">
        <v>60.0</v>
      </c>
      <c r="E752" s="108">
        <v>1.0</v>
      </c>
      <c r="F752" s="109">
        <v>37250.07</v>
      </c>
      <c r="G752" s="109">
        <v>47524.42</v>
      </c>
      <c r="H752" s="109">
        <v>-56541.46</v>
      </c>
      <c r="I752" s="109">
        <v>4095.39</v>
      </c>
      <c r="J752" s="109">
        <v>91348.42</v>
      </c>
      <c r="K752" s="109">
        <v>-48438.96</v>
      </c>
      <c r="L752" s="109">
        <v>48180.81</v>
      </c>
      <c r="M752" s="109">
        <v>26049.58</v>
      </c>
      <c r="N752" s="110">
        <v>111912.0</v>
      </c>
      <c r="O752" s="110">
        <v>111432.0</v>
      </c>
      <c r="P752" s="110">
        <v>51423.0</v>
      </c>
      <c r="Q752" s="110">
        <v>113032.0</v>
      </c>
      <c r="R752" s="50">
        <v>20317.0</v>
      </c>
      <c r="S752" s="111">
        <v>55.0</v>
      </c>
      <c r="T752" s="112">
        <v>37.0</v>
      </c>
      <c r="U752" s="24" t="s">
        <v>603</v>
      </c>
      <c r="V752" s="11" t="s">
        <v>3992</v>
      </c>
      <c r="W752" s="108">
        <v>4.0</v>
      </c>
      <c r="X752" s="113">
        <v>13116.0</v>
      </c>
      <c r="Y752" s="113">
        <v>21919.0</v>
      </c>
      <c r="Z752" s="11">
        <v>156.0</v>
      </c>
      <c r="AA752" s="113">
        <v>63014.0</v>
      </c>
      <c r="AB752" s="109">
        <v>41745.11</v>
      </c>
      <c r="AC752" s="113">
        <v>31721.0</v>
      </c>
      <c r="AD752" s="108">
        <v>5.0</v>
      </c>
    </row>
    <row r="753">
      <c r="A753" s="11">
        <v>96.0</v>
      </c>
      <c r="B753" s="11">
        <v>9.0</v>
      </c>
      <c r="C753" s="11">
        <v>8.0</v>
      </c>
      <c r="D753" s="17">
        <v>70.0</v>
      </c>
      <c r="E753" s="108">
        <v>8.0</v>
      </c>
      <c r="F753" s="109">
        <v>-67108.08</v>
      </c>
      <c r="G753" s="109">
        <v>79291.53</v>
      </c>
      <c r="H753" s="109">
        <v>29711.61</v>
      </c>
      <c r="I753" s="109">
        <v>-61573.59</v>
      </c>
      <c r="J753" s="109">
        <v>-80440.06</v>
      </c>
      <c r="K753" s="109">
        <v>-41513.16</v>
      </c>
      <c r="L753" s="109">
        <v>78270.55</v>
      </c>
      <c r="M753" s="109">
        <v>62131.33</v>
      </c>
      <c r="N753" s="110">
        <v>90513.0</v>
      </c>
      <c r="O753" s="110">
        <v>82943.0</v>
      </c>
      <c r="P753" s="110">
        <v>52023.0</v>
      </c>
      <c r="Q753" s="110">
        <v>83143.0</v>
      </c>
      <c r="R753" s="50">
        <v>80122.0</v>
      </c>
      <c r="S753" s="111">
        <v>51.0</v>
      </c>
      <c r="T753" s="112">
        <v>37.0</v>
      </c>
      <c r="U753" s="24" t="s">
        <v>603</v>
      </c>
      <c r="V753" s="11" t="s">
        <v>3963</v>
      </c>
      <c r="W753" s="108">
        <v>7.0</v>
      </c>
      <c r="X753" s="113">
        <v>62117.0</v>
      </c>
      <c r="Y753" s="113">
        <v>83015.0</v>
      </c>
      <c r="Z753" s="11">
        <v>184.0</v>
      </c>
      <c r="AA753" s="113">
        <v>90922.0</v>
      </c>
      <c r="AB753" s="109">
        <v>-9317.55</v>
      </c>
      <c r="AC753" s="113">
        <v>30520.0</v>
      </c>
      <c r="AD753" s="108">
        <v>9.0</v>
      </c>
    </row>
    <row r="754">
      <c r="A754" s="11">
        <v>76.0</v>
      </c>
      <c r="B754" s="11">
        <v>5.0</v>
      </c>
      <c r="C754" s="11">
        <v>1.0</v>
      </c>
      <c r="D754" s="17">
        <v>65.0</v>
      </c>
      <c r="E754" s="108">
        <v>5.0</v>
      </c>
      <c r="F754" s="109">
        <v>-77557.13</v>
      </c>
      <c r="G754" s="109">
        <v>45303.58</v>
      </c>
      <c r="H754" s="109">
        <v>96394.26</v>
      </c>
      <c r="I754" s="109">
        <v>-6019.1</v>
      </c>
      <c r="J754" s="109">
        <v>47437.99</v>
      </c>
      <c r="K754" s="109">
        <v>39405.46</v>
      </c>
      <c r="L754" s="109">
        <v>-60288.04</v>
      </c>
      <c r="M754" s="109">
        <v>-39111.17</v>
      </c>
      <c r="N754" s="110">
        <v>51913.0</v>
      </c>
      <c r="O754" s="110">
        <v>51723.0</v>
      </c>
      <c r="P754" s="110">
        <v>52423.0</v>
      </c>
      <c r="Q754" s="110">
        <v>53123.0</v>
      </c>
      <c r="R754" s="50">
        <v>42514.0</v>
      </c>
      <c r="S754" s="111">
        <v>51.0</v>
      </c>
      <c r="T754" s="112">
        <v>99.0</v>
      </c>
      <c r="U754" s="24" t="s">
        <v>601</v>
      </c>
      <c r="V754" s="11" t="s">
        <v>3971</v>
      </c>
      <c r="W754" s="108">
        <v>7.0</v>
      </c>
      <c r="X754" s="113">
        <v>10220.0</v>
      </c>
      <c r="Y754" s="113">
        <v>20820.0</v>
      </c>
      <c r="Z754" s="11">
        <v>179.0</v>
      </c>
      <c r="AA754" s="113">
        <v>80220.0</v>
      </c>
      <c r="AB754" s="109">
        <v>79880.74</v>
      </c>
      <c r="AC754" s="113">
        <v>50921.0</v>
      </c>
      <c r="AD754" s="108">
        <v>6.0</v>
      </c>
    </row>
    <row r="755">
      <c r="A755" s="11">
        <v>76.0</v>
      </c>
      <c r="B755" s="11">
        <v>5.0</v>
      </c>
      <c r="C755" s="11">
        <v>2.0</v>
      </c>
      <c r="D755" s="17">
        <v>3.0</v>
      </c>
      <c r="E755" s="108">
        <v>8.0</v>
      </c>
      <c r="F755" s="109">
        <v>46609.07</v>
      </c>
      <c r="G755" s="109">
        <v>94040.01</v>
      </c>
      <c r="H755" s="109">
        <v>24394.38</v>
      </c>
      <c r="I755" s="109">
        <v>94082.4</v>
      </c>
      <c r="J755" s="109">
        <v>-33432.85</v>
      </c>
      <c r="K755" s="109">
        <v>-77721.67</v>
      </c>
      <c r="L755" s="109">
        <v>55535.72</v>
      </c>
      <c r="M755" s="109">
        <v>-14038.61</v>
      </c>
      <c r="N755" s="110">
        <v>121813.0</v>
      </c>
      <c r="O755" s="110">
        <v>121333.0</v>
      </c>
      <c r="P755" s="110">
        <v>52123.0</v>
      </c>
      <c r="Q755" s="110">
        <v>123132.0</v>
      </c>
      <c r="R755" s="50">
        <v>52319.0</v>
      </c>
      <c r="S755" s="111">
        <v>55.0</v>
      </c>
      <c r="T755" s="112">
        <v>7.0</v>
      </c>
      <c r="U755" s="24" t="s">
        <v>601</v>
      </c>
      <c r="V755" s="11" t="s">
        <v>4052</v>
      </c>
      <c r="W755" s="108">
        <v>3.0</v>
      </c>
      <c r="X755" s="113">
        <v>30915.0</v>
      </c>
      <c r="Y755" s="113">
        <v>30717.0</v>
      </c>
      <c r="Z755" s="11">
        <v>118.0</v>
      </c>
      <c r="AA755" s="113">
        <v>41716.0</v>
      </c>
      <c r="AB755" s="109">
        <v>-22962.39</v>
      </c>
      <c r="AC755" s="113">
        <v>101118.0</v>
      </c>
      <c r="AD755" s="108">
        <v>5.0</v>
      </c>
    </row>
    <row r="756">
      <c r="A756" s="11">
        <v>76.0</v>
      </c>
      <c r="B756" s="11">
        <v>5.0</v>
      </c>
      <c r="C756" s="11">
        <v>4.0</v>
      </c>
      <c r="D756" s="17">
        <v>21.0</v>
      </c>
      <c r="E756" s="108">
        <v>8.0</v>
      </c>
      <c r="F756" s="109">
        <v>-11563.0</v>
      </c>
      <c r="G756" s="109">
        <v>-19126.37</v>
      </c>
      <c r="H756" s="109">
        <v>-76148.04</v>
      </c>
      <c r="I756" s="109">
        <v>-42624.19</v>
      </c>
      <c r="J756" s="109">
        <v>63537.36</v>
      </c>
      <c r="K756" s="109">
        <v>-42452.21</v>
      </c>
      <c r="L756" s="109">
        <v>-84109.7</v>
      </c>
      <c r="M756" s="109">
        <v>28951.2</v>
      </c>
      <c r="N756" s="110">
        <v>91811.0</v>
      </c>
      <c r="O756" s="110">
        <v>91521.0</v>
      </c>
      <c r="P756" s="110">
        <v>51423.0</v>
      </c>
      <c r="Q756" s="110">
        <v>93021.0</v>
      </c>
      <c r="R756" s="50">
        <v>111116.0</v>
      </c>
      <c r="S756" s="111">
        <v>51.0</v>
      </c>
      <c r="T756" s="112">
        <v>62.0</v>
      </c>
      <c r="U756" s="24" t="s">
        <v>39</v>
      </c>
      <c r="V756" s="11" t="s">
        <v>3930</v>
      </c>
      <c r="W756" s="108">
        <v>8.0</v>
      </c>
      <c r="X756" s="113">
        <v>52218.0</v>
      </c>
      <c r="Y756" s="113">
        <v>120813.0</v>
      </c>
      <c r="Z756" s="11">
        <v>177.0</v>
      </c>
      <c r="AA756" s="113">
        <v>91022.0</v>
      </c>
      <c r="AB756" s="109">
        <v>-7509.7</v>
      </c>
      <c r="AC756" s="113">
        <v>20914.0</v>
      </c>
      <c r="AD756" s="108">
        <v>4.0</v>
      </c>
    </row>
    <row r="757">
      <c r="A757" s="11">
        <v>35.0</v>
      </c>
      <c r="B757" s="11">
        <v>5.0</v>
      </c>
      <c r="C757" s="11">
        <v>8.0</v>
      </c>
      <c r="D757" s="17">
        <v>38.0</v>
      </c>
      <c r="E757" s="108">
        <v>6.0</v>
      </c>
      <c r="F757" s="109">
        <v>-98885.71</v>
      </c>
      <c r="G757" s="109">
        <v>27687.96</v>
      </c>
      <c r="H757" s="109">
        <v>33269.55</v>
      </c>
      <c r="I757" s="109">
        <v>34207.04</v>
      </c>
      <c r="J757" s="109">
        <v>24431.28</v>
      </c>
      <c r="K757" s="109">
        <v>78634.38</v>
      </c>
      <c r="L757" s="109">
        <v>36880.67</v>
      </c>
      <c r="M757" s="109">
        <v>-10542.39</v>
      </c>
      <c r="N757" s="110">
        <v>61910.0</v>
      </c>
      <c r="O757" s="110">
        <v>61140.0</v>
      </c>
      <c r="P757" s="110">
        <v>51923.0</v>
      </c>
      <c r="Q757" s="110">
        <v>63040.0</v>
      </c>
      <c r="R757" s="50">
        <v>42819.0</v>
      </c>
      <c r="S757" s="111">
        <v>51.0</v>
      </c>
      <c r="T757" s="112">
        <v>89.0</v>
      </c>
      <c r="U757" s="24" t="s">
        <v>48</v>
      </c>
      <c r="V757" s="11" t="s">
        <v>4003</v>
      </c>
      <c r="W757" s="108">
        <v>8.0</v>
      </c>
      <c r="X757" s="113">
        <v>100819.0</v>
      </c>
      <c r="Y757" s="113">
        <v>81216.0</v>
      </c>
      <c r="Z757" s="11">
        <v>134.0</v>
      </c>
      <c r="AA757" s="113">
        <v>11415.0</v>
      </c>
      <c r="AB757" s="109">
        <v>-45560.41</v>
      </c>
      <c r="AC757" s="113">
        <v>22017.0</v>
      </c>
      <c r="AD757" s="108">
        <v>3.0</v>
      </c>
    </row>
    <row r="758">
      <c r="A758" s="11">
        <v>15.0</v>
      </c>
      <c r="B758" s="11">
        <v>1.0</v>
      </c>
      <c r="C758" s="11">
        <v>4.0</v>
      </c>
      <c r="D758" s="17">
        <v>16.0</v>
      </c>
      <c r="E758" s="108">
        <v>1.0</v>
      </c>
      <c r="F758" s="109">
        <v>52698.05</v>
      </c>
      <c r="G758" s="109">
        <v>-15027.79</v>
      </c>
      <c r="H758" s="109">
        <v>99134.09</v>
      </c>
      <c r="I758" s="109">
        <v>-60412.17</v>
      </c>
      <c r="J758" s="109">
        <v>-24333.92</v>
      </c>
      <c r="K758" s="109">
        <v>18634.46</v>
      </c>
      <c r="L758" s="109">
        <v>-2191.15</v>
      </c>
      <c r="M758" s="109">
        <v>3427.97</v>
      </c>
      <c r="N758" s="110">
        <v>11214.0</v>
      </c>
      <c r="O758" s="110">
        <v>10734.0</v>
      </c>
      <c r="P758" s="110">
        <v>51823.0</v>
      </c>
      <c r="Q758" s="110">
        <v>13134.0</v>
      </c>
      <c r="R758" s="50">
        <v>122816.0</v>
      </c>
      <c r="S758" s="111">
        <v>54.0</v>
      </c>
      <c r="T758" s="112">
        <v>40.0</v>
      </c>
      <c r="U758" s="24" t="s">
        <v>603</v>
      </c>
      <c r="V758" s="11" t="s">
        <v>3873</v>
      </c>
      <c r="W758" s="108">
        <v>5.0</v>
      </c>
      <c r="X758" s="113">
        <v>72721.0</v>
      </c>
      <c r="Y758" s="113">
        <v>82516.0</v>
      </c>
      <c r="Z758" s="11">
        <v>175.0</v>
      </c>
      <c r="AA758" s="113">
        <v>31421.0</v>
      </c>
      <c r="AB758" s="109">
        <v>-38027.29</v>
      </c>
      <c r="AC758" s="113">
        <v>111217.0</v>
      </c>
      <c r="AD758" s="108">
        <v>7.0</v>
      </c>
    </row>
    <row r="759">
      <c r="A759" s="11">
        <v>56.0</v>
      </c>
      <c r="B759" s="11">
        <v>1.0</v>
      </c>
      <c r="C759" s="11">
        <v>2.0</v>
      </c>
      <c r="D759" s="17">
        <v>6.0</v>
      </c>
      <c r="E759" s="108">
        <v>4.0</v>
      </c>
      <c r="F759" s="109">
        <v>69903.61</v>
      </c>
      <c r="G759" s="109">
        <v>8498.09</v>
      </c>
      <c r="H759" s="109">
        <v>-7609.94</v>
      </c>
      <c r="I759" s="109">
        <v>-35213.22</v>
      </c>
      <c r="J759" s="109">
        <v>57032.5</v>
      </c>
      <c r="K759" s="109">
        <v>-36230.76</v>
      </c>
      <c r="L759" s="109">
        <v>80128.14</v>
      </c>
      <c r="M759" s="109">
        <v>-6545.71</v>
      </c>
      <c r="N759" s="110">
        <v>101513.0</v>
      </c>
      <c r="O759" s="110">
        <v>101323.0</v>
      </c>
      <c r="P759" s="110">
        <v>51123.0</v>
      </c>
      <c r="Q759" s="110">
        <v>103123.0</v>
      </c>
      <c r="R759" s="50">
        <v>30219.0</v>
      </c>
      <c r="S759" s="111">
        <v>50.0</v>
      </c>
      <c r="T759" s="112">
        <v>72.0</v>
      </c>
      <c r="U759" s="24" t="s">
        <v>601</v>
      </c>
      <c r="V759" s="11" t="s">
        <v>3924</v>
      </c>
      <c r="W759" s="108">
        <v>5.0</v>
      </c>
      <c r="X759" s="113">
        <v>62014.0</v>
      </c>
      <c r="Y759" s="113">
        <v>81116.0</v>
      </c>
      <c r="Z759" s="11">
        <v>117.0</v>
      </c>
      <c r="AA759" s="113">
        <v>61719.0</v>
      </c>
      <c r="AB759" s="109">
        <v>91695.5</v>
      </c>
      <c r="AC759" s="113">
        <v>92214.0</v>
      </c>
      <c r="AD759" s="108">
        <v>8.0</v>
      </c>
    </row>
    <row r="760">
      <c r="A760" s="11">
        <v>76.0</v>
      </c>
      <c r="B760" s="11">
        <v>6.0</v>
      </c>
      <c r="C760" s="11">
        <v>2.0</v>
      </c>
      <c r="D760" s="17">
        <v>39.0</v>
      </c>
      <c r="E760" s="108">
        <v>0.0</v>
      </c>
      <c r="F760" s="109">
        <v>54281.56</v>
      </c>
      <c r="G760" s="109">
        <v>-71154.02</v>
      </c>
      <c r="H760" s="109">
        <v>-82020.4</v>
      </c>
      <c r="I760" s="109">
        <v>78885.05</v>
      </c>
      <c r="J760" s="109">
        <v>-68248.81</v>
      </c>
      <c r="K760" s="109">
        <v>55600.82</v>
      </c>
      <c r="L760" s="109">
        <v>38983.96</v>
      </c>
      <c r="M760" s="109">
        <v>6412.77</v>
      </c>
      <c r="N760" s="110">
        <v>102010.0</v>
      </c>
      <c r="O760" s="110">
        <v>101530.0</v>
      </c>
      <c r="P760" s="110">
        <v>51523.0</v>
      </c>
      <c r="Q760" s="110">
        <v>103130.0</v>
      </c>
      <c r="R760" s="50">
        <v>51919.0</v>
      </c>
      <c r="S760" s="111">
        <v>51.0</v>
      </c>
      <c r="T760" s="112">
        <v>37.0</v>
      </c>
      <c r="U760" s="24" t="s">
        <v>31</v>
      </c>
      <c r="V760" s="11" t="s">
        <v>3959</v>
      </c>
      <c r="W760" s="108">
        <v>5.0</v>
      </c>
      <c r="X760" s="113">
        <v>90423.0</v>
      </c>
      <c r="Y760" s="113">
        <v>22317.0</v>
      </c>
      <c r="Z760" s="11">
        <v>160.0</v>
      </c>
      <c r="AA760" s="113">
        <v>50316.0</v>
      </c>
      <c r="AB760" s="109">
        <v>-10039.0</v>
      </c>
      <c r="AC760" s="113">
        <v>102816.0</v>
      </c>
      <c r="AD760" s="108">
        <v>1.0</v>
      </c>
    </row>
    <row r="761">
      <c r="A761" s="11">
        <v>35.0</v>
      </c>
      <c r="B761" s="11">
        <v>6.0</v>
      </c>
      <c r="C761" s="11">
        <v>6.0</v>
      </c>
      <c r="D761" s="17">
        <v>45.0</v>
      </c>
      <c r="E761" s="108">
        <v>4.0</v>
      </c>
      <c r="F761" s="109">
        <v>-42017.1</v>
      </c>
      <c r="G761" s="109">
        <v>45118.97</v>
      </c>
      <c r="H761" s="109">
        <v>66806.22</v>
      </c>
      <c r="I761" s="109">
        <v>-25546.24</v>
      </c>
      <c r="J761" s="109">
        <v>-37929.88</v>
      </c>
      <c r="K761" s="109">
        <v>-30892.7</v>
      </c>
      <c r="L761" s="109">
        <v>-79640.7</v>
      </c>
      <c r="M761" s="109">
        <v>-93391.78</v>
      </c>
      <c r="N761" s="110">
        <v>71714.0</v>
      </c>
      <c r="O761" s="110">
        <v>70944.0</v>
      </c>
      <c r="P761" s="110">
        <v>50323.0</v>
      </c>
      <c r="Q761" s="110">
        <v>73144.0</v>
      </c>
      <c r="R761" s="50">
        <v>52019.0</v>
      </c>
      <c r="S761" s="111">
        <v>54.0</v>
      </c>
      <c r="T761" s="112">
        <v>49.0</v>
      </c>
      <c r="U761" s="24" t="s">
        <v>31</v>
      </c>
      <c r="V761" s="11" t="s">
        <v>3995</v>
      </c>
      <c r="W761" s="108">
        <v>1.0</v>
      </c>
      <c r="X761" s="113">
        <v>71319.0</v>
      </c>
      <c r="Y761" s="113">
        <v>71622.0</v>
      </c>
      <c r="Z761" s="11">
        <v>156.0</v>
      </c>
      <c r="AA761" s="113">
        <v>123016.0</v>
      </c>
      <c r="AB761" s="109">
        <v>48320.37</v>
      </c>
      <c r="AC761" s="113">
        <v>52021.0</v>
      </c>
      <c r="AD761" s="108">
        <v>6.0</v>
      </c>
    </row>
    <row r="762">
      <c r="A762" s="11">
        <v>35.0</v>
      </c>
      <c r="B762" s="11">
        <v>6.0</v>
      </c>
      <c r="C762" s="11">
        <v>8.0</v>
      </c>
      <c r="D762" s="17">
        <v>94.0</v>
      </c>
      <c r="E762" s="108">
        <v>7.0</v>
      </c>
      <c r="F762" s="109">
        <v>38462.58</v>
      </c>
      <c r="G762" s="109">
        <v>-47404.75</v>
      </c>
      <c r="H762" s="109">
        <v>-48023.31</v>
      </c>
      <c r="I762" s="109">
        <v>-63003.02</v>
      </c>
      <c r="J762" s="109">
        <v>-34025.04</v>
      </c>
      <c r="K762" s="109">
        <v>21614.33</v>
      </c>
      <c r="L762" s="109">
        <v>48416.25</v>
      </c>
      <c r="M762" s="109">
        <v>-63419.61</v>
      </c>
      <c r="N762" s="110">
        <v>110412.0</v>
      </c>
      <c r="O762" s="110">
        <v>103032.0</v>
      </c>
      <c r="P762" s="110">
        <v>53023.0</v>
      </c>
      <c r="Q762" s="110">
        <v>103132.0</v>
      </c>
      <c r="R762" s="50">
        <v>113021.0</v>
      </c>
      <c r="S762" s="111">
        <v>54.0</v>
      </c>
      <c r="T762" s="112">
        <v>38.0</v>
      </c>
      <c r="U762" s="24" t="s">
        <v>31</v>
      </c>
      <c r="V762" s="11" t="s">
        <v>3935</v>
      </c>
      <c r="W762" s="108">
        <v>8.0</v>
      </c>
      <c r="X762" s="113">
        <v>81021.0</v>
      </c>
      <c r="Y762" s="113">
        <v>120215.0</v>
      </c>
      <c r="Z762" s="11">
        <v>198.0</v>
      </c>
      <c r="AA762" s="113">
        <v>93014.0</v>
      </c>
      <c r="AB762" s="109">
        <v>-70868.0</v>
      </c>
      <c r="AC762" s="113">
        <v>40421.0</v>
      </c>
      <c r="AD762" s="108">
        <v>6.0</v>
      </c>
    </row>
    <row r="763">
      <c r="A763" s="11">
        <v>15.0</v>
      </c>
      <c r="B763" s="11">
        <v>2.0</v>
      </c>
      <c r="C763" s="11">
        <v>5.0</v>
      </c>
      <c r="D763" s="17">
        <v>57.0</v>
      </c>
      <c r="E763" s="108">
        <v>4.0</v>
      </c>
      <c r="F763" s="109">
        <v>26785.76</v>
      </c>
      <c r="G763" s="109">
        <v>-38247.1</v>
      </c>
      <c r="H763" s="109">
        <v>55788.66</v>
      </c>
      <c r="I763" s="109">
        <v>1291.39</v>
      </c>
      <c r="J763" s="109">
        <v>93961.53</v>
      </c>
      <c r="K763" s="109">
        <v>-4055.37</v>
      </c>
      <c r="L763" s="109">
        <v>93815.03</v>
      </c>
      <c r="M763" s="109">
        <v>18227.13</v>
      </c>
      <c r="N763" s="110">
        <v>91414.0</v>
      </c>
      <c r="O763" s="110">
        <v>90644.0</v>
      </c>
      <c r="P763" s="110">
        <v>51123.0</v>
      </c>
      <c r="Q763" s="110">
        <v>93044.0</v>
      </c>
      <c r="R763" s="50">
        <v>42619.0</v>
      </c>
      <c r="S763" s="111">
        <v>50.0</v>
      </c>
      <c r="T763" s="112">
        <v>30.0</v>
      </c>
      <c r="U763" s="24" t="s">
        <v>39</v>
      </c>
      <c r="V763" s="11" t="s">
        <v>4011</v>
      </c>
      <c r="W763" s="108">
        <v>6.0</v>
      </c>
      <c r="X763" s="113">
        <v>90622.0</v>
      </c>
      <c r="Y763" s="113">
        <v>21422.0</v>
      </c>
      <c r="Z763" s="11">
        <v>196.0</v>
      </c>
      <c r="AA763" s="113">
        <v>52313.0</v>
      </c>
      <c r="AB763" s="109">
        <v>-86426.59</v>
      </c>
      <c r="AC763" s="113">
        <v>81518.0</v>
      </c>
      <c r="AD763" s="108">
        <v>1.0</v>
      </c>
    </row>
    <row r="764">
      <c r="A764" s="11">
        <v>56.0</v>
      </c>
      <c r="B764" s="11">
        <v>2.0</v>
      </c>
      <c r="C764" s="11">
        <v>2.0</v>
      </c>
      <c r="D764" s="17">
        <v>58.0</v>
      </c>
      <c r="E764" s="108">
        <v>0.0</v>
      </c>
      <c r="F764" s="109">
        <v>-78463.57</v>
      </c>
      <c r="G764" s="109">
        <v>74532.51</v>
      </c>
      <c r="H764" s="109">
        <v>-2586.12</v>
      </c>
      <c r="I764" s="109">
        <v>-44494.68</v>
      </c>
      <c r="J764" s="109">
        <v>7392.6</v>
      </c>
      <c r="K764" s="109">
        <v>36925.94</v>
      </c>
      <c r="L764" s="109">
        <v>26570.4</v>
      </c>
      <c r="M764" s="109">
        <v>43791.3</v>
      </c>
      <c r="N764" s="110">
        <v>21113.0</v>
      </c>
      <c r="O764" s="110">
        <v>20633.0</v>
      </c>
      <c r="P764" s="110">
        <v>50723.0</v>
      </c>
      <c r="Q764" s="110">
        <v>22833.0</v>
      </c>
      <c r="R764" s="50">
        <v>71814.0</v>
      </c>
      <c r="S764" s="111">
        <v>51.0</v>
      </c>
      <c r="T764" s="112">
        <v>58.0</v>
      </c>
      <c r="U764" s="24" t="s">
        <v>601</v>
      </c>
      <c r="V764" s="11" t="s">
        <v>4091</v>
      </c>
      <c r="W764" s="108">
        <v>1.0</v>
      </c>
      <c r="X764" s="113">
        <v>11014.0</v>
      </c>
      <c r="Y764" s="113">
        <v>12122.0</v>
      </c>
      <c r="Z764" s="11">
        <v>131.0</v>
      </c>
      <c r="AA764" s="113">
        <v>20718.0</v>
      </c>
      <c r="AB764" s="109">
        <v>-97371.09</v>
      </c>
      <c r="AC764" s="113">
        <v>70320.0</v>
      </c>
      <c r="AD764" s="108">
        <v>5.0</v>
      </c>
    </row>
    <row r="765">
      <c r="A765" s="11">
        <v>15.0</v>
      </c>
      <c r="B765" s="11">
        <v>2.0</v>
      </c>
      <c r="C765" s="11">
        <v>8.0</v>
      </c>
      <c r="D765" s="17">
        <v>23.0</v>
      </c>
      <c r="E765" s="108">
        <v>3.0</v>
      </c>
      <c r="F765" s="109">
        <v>-18929.43</v>
      </c>
      <c r="G765" s="109">
        <v>90662.67</v>
      </c>
      <c r="H765" s="109">
        <v>-5209.01</v>
      </c>
      <c r="I765" s="109">
        <v>-78928.91</v>
      </c>
      <c r="J765" s="109">
        <v>42535.29</v>
      </c>
      <c r="K765" s="109">
        <v>99235.39</v>
      </c>
      <c r="L765" s="109">
        <v>79420.89</v>
      </c>
      <c r="M765" s="109">
        <v>78952.14</v>
      </c>
      <c r="N765" s="110">
        <v>110513.0</v>
      </c>
      <c r="O765" s="110">
        <v>110323.0</v>
      </c>
      <c r="P765" s="110">
        <v>51223.0</v>
      </c>
      <c r="Q765" s="110">
        <v>113023.0</v>
      </c>
      <c r="R765" s="50">
        <v>40618.0</v>
      </c>
      <c r="S765" s="111">
        <v>50.0</v>
      </c>
      <c r="T765" s="112">
        <v>54.0</v>
      </c>
      <c r="U765" s="24" t="s">
        <v>603</v>
      </c>
      <c r="V765" s="11" t="s">
        <v>4010</v>
      </c>
      <c r="W765" s="108">
        <v>9.0</v>
      </c>
      <c r="X765" s="113">
        <v>111721.0</v>
      </c>
      <c r="Y765" s="113">
        <v>32514.0</v>
      </c>
      <c r="Z765" s="11">
        <v>187.0</v>
      </c>
      <c r="AA765" s="113">
        <v>100718.0</v>
      </c>
      <c r="AB765" s="109">
        <v>-7386.89</v>
      </c>
      <c r="AC765" s="113">
        <v>50816.0</v>
      </c>
      <c r="AD765" s="108">
        <v>1.0</v>
      </c>
    </row>
    <row r="766">
      <c r="A766" s="11">
        <v>56.0</v>
      </c>
      <c r="B766" s="11">
        <v>2.0</v>
      </c>
      <c r="C766" s="11">
        <v>4.0</v>
      </c>
      <c r="D766" s="17">
        <v>59.0</v>
      </c>
      <c r="E766" s="108">
        <v>9.0</v>
      </c>
      <c r="F766" s="109">
        <v>-6257.3</v>
      </c>
      <c r="G766" s="109">
        <v>-27380.77</v>
      </c>
      <c r="H766" s="109">
        <v>18100.81</v>
      </c>
      <c r="I766" s="109">
        <v>-94649.19</v>
      </c>
      <c r="J766" s="109">
        <v>-38942.72</v>
      </c>
      <c r="K766" s="109">
        <v>-56140.76</v>
      </c>
      <c r="L766" s="109">
        <v>31245.59</v>
      </c>
      <c r="M766" s="109">
        <v>20707.91</v>
      </c>
      <c r="N766" s="110">
        <v>122313.0</v>
      </c>
      <c r="O766" s="110">
        <v>121643.0</v>
      </c>
      <c r="P766" s="110">
        <v>52123.0</v>
      </c>
      <c r="Q766" s="110">
        <v>123142.0</v>
      </c>
      <c r="R766" s="50">
        <v>12713.0</v>
      </c>
      <c r="S766" s="111">
        <v>50.0</v>
      </c>
      <c r="T766" s="112">
        <v>80.0</v>
      </c>
      <c r="U766" s="24" t="s">
        <v>603</v>
      </c>
      <c r="V766" s="11" t="s">
        <v>4077</v>
      </c>
      <c r="W766" s="108">
        <v>2.0</v>
      </c>
      <c r="X766" s="113">
        <v>30723.0</v>
      </c>
      <c r="Y766" s="113">
        <v>10122.0</v>
      </c>
      <c r="Z766" s="11">
        <v>133.0</v>
      </c>
      <c r="AA766" s="113">
        <v>101921.0</v>
      </c>
      <c r="AB766" s="109">
        <v>-45415.4</v>
      </c>
      <c r="AC766" s="113">
        <v>90422.0</v>
      </c>
      <c r="AD766" s="108">
        <v>3.0</v>
      </c>
    </row>
    <row r="767">
      <c r="A767" s="11">
        <v>15.0</v>
      </c>
      <c r="B767" s="11">
        <v>3.0</v>
      </c>
      <c r="C767" s="11">
        <v>1.0</v>
      </c>
      <c r="D767" s="17">
        <v>12.0</v>
      </c>
      <c r="E767" s="108">
        <v>2.0</v>
      </c>
      <c r="F767" s="109">
        <v>45684.15</v>
      </c>
      <c r="G767" s="109">
        <v>-72903.0</v>
      </c>
      <c r="H767" s="109">
        <v>-73332.29</v>
      </c>
      <c r="I767" s="109">
        <v>85170.63</v>
      </c>
      <c r="J767" s="109">
        <v>48510.57</v>
      </c>
      <c r="K767" s="109">
        <v>-69289.77</v>
      </c>
      <c r="L767" s="109">
        <v>36858.57</v>
      </c>
      <c r="M767" s="109">
        <v>47804.6</v>
      </c>
      <c r="N767" s="110">
        <v>12911.0</v>
      </c>
      <c r="O767" s="110">
        <v>12431.0</v>
      </c>
      <c r="P767" s="110">
        <v>51123.0</v>
      </c>
      <c r="Q767" s="110">
        <v>13131.0</v>
      </c>
      <c r="R767" s="50">
        <v>100515.0</v>
      </c>
      <c r="S767" s="111">
        <v>53.0</v>
      </c>
      <c r="T767" s="112">
        <v>37.0</v>
      </c>
      <c r="U767" s="24" t="s">
        <v>31</v>
      </c>
      <c r="V767" s="11" t="s">
        <v>4013</v>
      </c>
      <c r="W767" s="108">
        <v>1.0</v>
      </c>
      <c r="X767" s="113">
        <v>32617.0</v>
      </c>
      <c r="Y767" s="113">
        <v>30814.0</v>
      </c>
      <c r="Z767" s="11">
        <v>187.0</v>
      </c>
      <c r="AA767" s="113">
        <v>111913.0</v>
      </c>
      <c r="AB767" s="109">
        <v>-62896.03</v>
      </c>
      <c r="AC767" s="113">
        <v>10818.0</v>
      </c>
      <c r="AD767" s="108">
        <v>2.0</v>
      </c>
    </row>
    <row r="768">
      <c r="A768" s="11">
        <v>35.0</v>
      </c>
      <c r="B768" s="11">
        <v>7.0</v>
      </c>
      <c r="C768" s="11">
        <v>9.0</v>
      </c>
      <c r="D768" s="17">
        <v>30.0</v>
      </c>
      <c r="E768" s="108">
        <v>8.0</v>
      </c>
      <c r="F768" s="109">
        <v>-39149.46</v>
      </c>
      <c r="G768" s="109">
        <v>-29573.2</v>
      </c>
      <c r="H768" s="109">
        <v>-20493.96</v>
      </c>
      <c r="I768" s="109">
        <v>-45055.45</v>
      </c>
      <c r="J768" s="109">
        <v>35343.68</v>
      </c>
      <c r="K768" s="109">
        <v>-54611.47</v>
      </c>
      <c r="L768" s="109">
        <v>-46035.37</v>
      </c>
      <c r="M768" s="109">
        <v>-5368.76</v>
      </c>
      <c r="N768" s="110">
        <v>81111.0</v>
      </c>
      <c r="O768" s="110">
        <v>80341.0</v>
      </c>
      <c r="P768" s="110">
        <v>52723.0</v>
      </c>
      <c r="Q768" s="110">
        <v>83141.0</v>
      </c>
      <c r="R768" s="50">
        <v>31415.0</v>
      </c>
      <c r="S768" s="111">
        <v>51.0</v>
      </c>
      <c r="T768" s="112">
        <v>96.0</v>
      </c>
      <c r="U768" s="24" t="s">
        <v>39</v>
      </c>
      <c r="V768" s="11" t="s">
        <v>4028</v>
      </c>
      <c r="W768" s="108">
        <v>3.0</v>
      </c>
      <c r="X768" s="113">
        <v>80814.0</v>
      </c>
      <c r="Y768" s="113">
        <v>111313.0</v>
      </c>
      <c r="Z768" s="11">
        <v>175.0</v>
      </c>
      <c r="AA768" s="113">
        <v>41819.0</v>
      </c>
      <c r="AB768" s="109">
        <v>37239.82</v>
      </c>
      <c r="AC768" s="113">
        <v>112919.0</v>
      </c>
      <c r="AD768" s="108">
        <v>1.0</v>
      </c>
    </row>
    <row r="769">
      <c r="A769" s="11">
        <v>56.0</v>
      </c>
      <c r="B769" s="11">
        <v>2.0</v>
      </c>
      <c r="C769" s="11">
        <v>7.0</v>
      </c>
      <c r="D769" s="17">
        <v>43.0</v>
      </c>
      <c r="E769" s="108">
        <v>2.0</v>
      </c>
      <c r="F769" s="109">
        <v>98719.5</v>
      </c>
      <c r="G769" s="109">
        <v>57208.44</v>
      </c>
      <c r="H769" s="109">
        <v>-4395.22</v>
      </c>
      <c r="I769" s="109">
        <v>18794.93</v>
      </c>
      <c r="J769" s="109">
        <v>52870.06</v>
      </c>
      <c r="K769" s="109">
        <v>47760.5</v>
      </c>
      <c r="L769" s="109">
        <v>-42850.06</v>
      </c>
      <c r="M769" s="109">
        <v>68952.9</v>
      </c>
      <c r="N769" s="110">
        <v>32810.0</v>
      </c>
      <c r="O769" s="110">
        <v>32330.0</v>
      </c>
      <c r="P769" s="110">
        <v>52223.0</v>
      </c>
      <c r="Q769" s="110">
        <v>33130.0</v>
      </c>
      <c r="R769" s="50">
        <v>111120.0</v>
      </c>
      <c r="S769" s="111">
        <v>50.0</v>
      </c>
      <c r="T769" s="112">
        <v>91.0</v>
      </c>
      <c r="U769" s="24" t="s">
        <v>39</v>
      </c>
      <c r="V769" s="11" t="s">
        <v>3856</v>
      </c>
      <c r="W769" s="108">
        <v>7.0</v>
      </c>
      <c r="X769" s="113">
        <v>92620.0</v>
      </c>
      <c r="Y769" s="113">
        <v>100513.0</v>
      </c>
      <c r="Z769" s="11">
        <v>160.0</v>
      </c>
      <c r="AA769" s="113">
        <v>31121.0</v>
      </c>
      <c r="AB769" s="109">
        <v>37687.64</v>
      </c>
      <c r="AC769" s="113">
        <v>101920.0</v>
      </c>
      <c r="AD769" s="108">
        <v>5.0</v>
      </c>
    </row>
    <row r="770">
      <c r="A770" s="11">
        <v>97.0</v>
      </c>
      <c r="B770" s="11">
        <v>2.0</v>
      </c>
      <c r="C770" s="11">
        <v>9.0</v>
      </c>
      <c r="D770" s="17">
        <v>30.0</v>
      </c>
      <c r="E770" s="108">
        <v>6.0</v>
      </c>
      <c r="F770" s="109">
        <v>-8409.76</v>
      </c>
      <c r="G770" s="109">
        <v>72122.57</v>
      </c>
      <c r="H770" s="109">
        <v>77089.23</v>
      </c>
      <c r="I770" s="109">
        <v>82850.05</v>
      </c>
      <c r="J770" s="109">
        <v>-51594.77</v>
      </c>
      <c r="K770" s="109">
        <v>85735.17</v>
      </c>
      <c r="L770" s="109">
        <v>48621.26</v>
      </c>
      <c r="M770" s="109">
        <v>-77774.59</v>
      </c>
      <c r="N770" s="110">
        <v>12210.0</v>
      </c>
      <c r="O770" s="110">
        <v>11540.0</v>
      </c>
      <c r="P770" s="110">
        <v>50923.0</v>
      </c>
      <c r="Q770" s="110">
        <v>13140.0</v>
      </c>
      <c r="R770" s="50">
        <v>22822.0</v>
      </c>
      <c r="S770" s="111">
        <v>51.0</v>
      </c>
      <c r="T770" s="112">
        <v>58.0</v>
      </c>
      <c r="U770" s="24" t="s">
        <v>31</v>
      </c>
      <c r="V770" s="11" t="s">
        <v>4092</v>
      </c>
      <c r="W770" s="108">
        <v>9.0</v>
      </c>
      <c r="X770" s="113">
        <v>52413.0</v>
      </c>
      <c r="Y770" s="113">
        <v>100821.0</v>
      </c>
      <c r="Z770" s="11">
        <v>182.0</v>
      </c>
      <c r="AA770" s="113">
        <v>120716.0</v>
      </c>
      <c r="AB770" s="109">
        <v>46374.59</v>
      </c>
      <c r="AC770" s="113">
        <v>102215.0</v>
      </c>
      <c r="AD770" s="108">
        <v>5.0</v>
      </c>
    </row>
    <row r="771">
      <c r="A771" s="11">
        <v>56.0</v>
      </c>
      <c r="B771" s="11">
        <v>3.0</v>
      </c>
      <c r="C771" s="11">
        <v>5.0</v>
      </c>
      <c r="D771" s="17">
        <v>49.0</v>
      </c>
      <c r="E771" s="108">
        <v>2.0</v>
      </c>
      <c r="F771" s="109">
        <v>-93525.4</v>
      </c>
      <c r="G771" s="109">
        <v>-83694.48</v>
      </c>
      <c r="H771" s="109">
        <v>-76887.12</v>
      </c>
      <c r="I771" s="109">
        <v>-85404.74</v>
      </c>
      <c r="J771" s="109">
        <v>3794.69</v>
      </c>
      <c r="K771" s="109">
        <v>56248.32</v>
      </c>
      <c r="L771" s="109">
        <v>26472.18</v>
      </c>
      <c r="M771" s="109">
        <v>13994.62</v>
      </c>
      <c r="N771" s="110">
        <v>30512.0</v>
      </c>
      <c r="O771" s="110">
        <v>30322.0</v>
      </c>
      <c r="P771" s="110">
        <v>51823.0</v>
      </c>
      <c r="Q771" s="110">
        <v>33122.0</v>
      </c>
      <c r="R771" s="50">
        <v>30318.0</v>
      </c>
      <c r="S771" s="111">
        <v>52.0</v>
      </c>
      <c r="T771" s="112">
        <v>26.0</v>
      </c>
      <c r="U771" s="24" t="s">
        <v>603</v>
      </c>
      <c r="V771" s="11" t="s">
        <v>3997</v>
      </c>
      <c r="W771" s="108">
        <v>1.0</v>
      </c>
      <c r="X771" s="113">
        <v>71817.0</v>
      </c>
      <c r="Y771" s="113">
        <v>92523.0</v>
      </c>
      <c r="Z771" s="11">
        <v>111.0</v>
      </c>
      <c r="AA771" s="113">
        <v>12217.0</v>
      </c>
      <c r="AB771" s="109">
        <v>-90759.13</v>
      </c>
      <c r="AC771" s="113">
        <v>52920.0</v>
      </c>
      <c r="AD771" s="108">
        <v>4.0</v>
      </c>
    </row>
    <row r="772">
      <c r="A772" s="11">
        <v>76.0</v>
      </c>
      <c r="B772" s="11">
        <v>8.0</v>
      </c>
      <c r="C772" s="11">
        <v>4.0</v>
      </c>
      <c r="D772" s="17">
        <v>85.0</v>
      </c>
      <c r="E772" s="108">
        <v>5.0</v>
      </c>
      <c r="F772" s="109">
        <v>-44721.54</v>
      </c>
      <c r="G772" s="109">
        <v>-65294.4</v>
      </c>
      <c r="H772" s="109">
        <v>-66944.2</v>
      </c>
      <c r="I772" s="109">
        <v>-26571.31</v>
      </c>
      <c r="J772" s="109">
        <v>-48369.13</v>
      </c>
      <c r="K772" s="109">
        <v>-35925.39</v>
      </c>
      <c r="L772" s="109">
        <v>-74367.75</v>
      </c>
      <c r="M772" s="109">
        <v>-46548.31</v>
      </c>
      <c r="N772" s="110">
        <v>62211.0</v>
      </c>
      <c r="O772" s="110">
        <v>61441.0</v>
      </c>
      <c r="P772" s="110">
        <v>50723.0</v>
      </c>
      <c r="Q772" s="110">
        <v>63041.0</v>
      </c>
      <c r="R772" s="50">
        <v>103019.0</v>
      </c>
      <c r="S772" s="111">
        <v>52.0</v>
      </c>
      <c r="T772" s="112">
        <v>18.0</v>
      </c>
      <c r="U772" s="24" t="s">
        <v>31</v>
      </c>
      <c r="V772" s="11" t="s">
        <v>3876</v>
      </c>
      <c r="W772" s="108">
        <v>6.0</v>
      </c>
      <c r="X772" s="113">
        <v>90715.0</v>
      </c>
      <c r="Y772" s="113">
        <v>92022.0</v>
      </c>
      <c r="Z772" s="11">
        <v>134.0</v>
      </c>
      <c r="AA772" s="113">
        <v>60914.0</v>
      </c>
      <c r="AB772" s="109">
        <v>75283.1</v>
      </c>
      <c r="AC772" s="113">
        <v>52423.0</v>
      </c>
      <c r="AD772" s="108">
        <v>7.0</v>
      </c>
    </row>
    <row r="773">
      <c r="A773" s="11">
        <v>76.0</v>
      </c>
      <c r="B773" s="11">
        <v>8.0</v>
      </c>
      <c r="C773" s="11">
        <v>3.0</v>
      </c>
      <c r="D773" s="17">
        <v>88.0</v>
      </c>
      <c r="E773" s="108">
        <v>2.0</v>
      </c>
      <c r="F773" s="109">
        <v>24172.41</v>
      </c>
      <c r="G773" s="109">
        <v>-65300.45</v>
      </c>
      <c r="H773" s="109">
        <v>-9554.07</v>
      </c>
      <c r="I773" s="109">
        <v>66596.44</v>
      </c>
      <c r="J773" s="109">
        <v>-93265.24</v>
      </c>
      <c r="K773" s="109">
        <v>67327.47</v>
      </c>
      <c r="L773" s="109">
        <v>31576.37</v>
      </c>
      <c r="M773" s="109">
        <v>7792.8</v>
      </c>
      <c r="N773" s="110">
        <v>111510.0</v>
      </c>
      <c r="O773" s="110">
        <v>111030.0</v>
      </c>
      <c r="P773" s="110">
        <v>52723.0</v>
      </c>
      <c r="Q773" s="110">
        <v>113030.0</v>
      </c>
      <c r="R773" s="50">
        <v>51318.0</v>
      </c>
      <c r="S773" s="111">
        <v>54.0</v>
      </c>
      <c r="T773" s="112">
        <v>42.0</v>
      </c>
      <c r="U773" s="24" t="s">
        <v>39</v>
      </c>
      <c r="V773" s="11" t="s">
        <v>3941</v>
      </c>
      <c r="W773" s="108">
        <v>8.0</v>
      </c>
      <c r="X773" s="113">
        <v>52118.0</v>
      </c>
      <c r="Y773" s="113">
        <v>102318.0</v>
      </c>
      <c r="Z773" s="11">
        <v>151.0</v>
      </c>
      <c r="AA773" s="113">
        <v>61013.0</v>
      </c>
      <c r="AB773" s="109">
        <v>5556.26</v>
      </c>
      <c r="AC773" s="113">
        <v>50119.0</v>
      </c>
      <c r="AD773" s="108">
        <v>1.0</v>
      </c>
    </row>
    <row r="774">
      <c r="A774" s="11">
        <v>35.0</v>
      </c>
      <c r="B774" s="11">
        <v>8.0</v>
      </c>
      <c r="C774" s="11">
        <v>7.0</v>
      </c>
      <c r="D774" s="17">
        <v>59.0</v>
      </c>
      <c r="E774" s="108">
        <v>5.0</v>
      </c>
      <c r="F774" s="109">
        <v>-62648.62</v>
      </c>
      <c r="G774" s="109">
        <v>83958.46</v>
      </c>
      <c r="H774" s="109">
        <v>-77251.05</v>
      </c>
      <c r="I774" s="109">
        <v>77760.58</v>
      </c>
      <c r="J774" s="109">
        <v>-83509.29</v>
      </c>
      <c r="K774" s="109">
        <v>32981.27</v>
      </c>
      <c r="L774" s="109">
        <v>38925.4</v>
      </c>
      <c r="M774" s="109">
        <v>-51178.67</v>
      </c>
      <c r="N774" s="110">
        <v>82410.0</v>
      </c>
      <c r="O774" s="110">
        <v>82120.0</v>
      </c>
      <c r="P774" s="110">
        <v>52923.0</v>
      </c>
      <c r="Q774" s="110">
        <v>83120.0</v>
      </c>
      <c r="R774" s="50">
        <v>101520.0</v>
      </c>
      <c r="S774" s="111">
        <v>54.0</v>
      </c>
      <c r="T774" s="112">
        <v>80.0</v>
      </c>
      <c r="U774" s="24" t="s">
        <v>601</v>
      </c>
      <c r="V774" s="11" t="s">
        <v>3893</v>
      </c>
      <c r="W774" s="108">
        <v>7.0</v>
      </c>
      <c r="X774" s="113">
        <v>51820.0</v>
      </c>
      <c r="Y774" s="113">
        <v>122021.0</v>
      </c>
      <c r="Z774" s="11">
        <v>149.0</v>
      </c>
      <c r="AA774" s="113">
        <v>23113.0</v>
      </c>
      <c r="AB774" s="109">
        <v>41578.61</v>
      </c>
      <c r="AC774" s="113">
        <v>110420.0</v>
      </c>
      <c r="AD774" s="108">
        <v>6.0</v>
      </c>
    </row>
    <row r="775">
      <c r="A775" s="11">
        <v>15.0</v>
      </c>
      <c r="B775" s="11">
        <v>4.0</v>
      </c>
      <c r="C775" s="11">
        <v>4.0</v>
      </c>
      <c r="D775" s="17">
        <v>29.0</v>
      </c>
      <c r="E775" s="108">
        <v>2.0</v>
      </c>
      <c r="F775" s="109">
        <v>45718.66</v>
      </c>
      <c r="G775" s="109">
        <v>-41918.73</v>
      </c>
      <c r="H775" s="109">
        <v>-4346.63</v>
      </c>
      <c r="I775" s="109">
        <v>22727.52</v>
      </c>
      <c r="J775" s="109">
        <v>-69145.87</v>
      </c>
      <c r="K775" s="109">
        <v>64539.65</v>
      </c>
      <c r="L775" s="109">
        <v>-49916.99</v>
      </c>
      <c r="M775" s="109">
        <v>-49416.73</v>
      </c>
      <c r="N775" s="110">
        <v>62110.0</v>
      </c>
      <c r="O775" s="110">
        <v>61630.0</v>
      </c>
      <c r="P775" s="110">
        <v>53023.0</v>
      </c>
      <c r="Q775" s="110">
        <v>63030.0</v>
      </c>
      <c r="R775" s="50">
        <v>21022.0</v>
      </c>
      <c r="S775" s="111">
        <v>55.0</v>
      </c>
      <c r="T775" s="112">
        <v>25.0</v>
      </c>
      <c r="U775" s="24" t="s">
        <v>31</v>
      </c>
      <c r="V775" s="11" t="s">
        <v>4042</v>
      </c>
      <c r="W775" s="108">
        <v>4.0</v>
      </c>
      <c r="X775" s="113">
        <v>122718.0</v>
      </c>
      <c r="Y775" s="113">
        <v>112023.0</v>
      </c>
      <c r="Z775" s="11">
        <v>164.0</v>
      </c>
      <c r="AA775" s="113">
        <v>60414.0</v>
      </c>
      <c r="AB775" s="109">
        <v>-9840.44</v>
      </c>
      <c r="AC775" s="113">
        <v>93016.0</v>
      </c>
      <c r="AD775" s="108">
        <v>1.0</v>
      </c>
    </row>
    <row r="776">
      <c r="A776" s="11">
        <v>35.0</v>
      </c>
      <c r="B776" s="11">
        <v>9.0</v>
      </c>
      <c r="C776" s="11">
        <v>4.0</v>
      </c>
      <c r="D776" s="17">
        <v>80.0</v>
      </c>
      <c r="E776" s="108">
        <v>4.0</v>
      </c>
      <c r="F776" s="109">
        <v>-67898.61</v>
      </c>
      <c r="G776" s="109">
        <v>76061.06</v>
      </c>
      <c r="H776" s="109">
        <v>-58973.73</v>
      </c>
      <c r="I776" s="109">
        <v>-86706.13</v>
      </c>
      <c r="J776" s="109">
        <v>54375.19</v>
      </c>
      <c r="K776" s="109">
        <v>41135.44</v>
      </c>
      <c r="L776" s="109">
        <v>-36266.12</v>
      </c>
      <c r="M776" s="109">
        <v>24367.47</v>
      </c>
      <c r="N776" s="110">
        <v>60911.0</v>
      </c>
      <c r="O776" s="110">
        <v>60141.0</v>
      </c>
      <c r="P776" s="110">
        <v>52823.0</v>
      </c>
      <c r="Q776" s="110">
        <v>63041.0</v>
      </c>
      <c r="R776" s="50">
        <v>103122.0</v>
      </c>
      <c r="S776" s="111">
        <v>54.0</v>
      </c>
      <c r="T776" s="112">
        <v>76.0</v>
      </c>
      <c r="U776" s="24" t="s">
        <v>48</v>
      </c>
      <c r="V776" s="11" t="s">
        <v>3925</v>
      </c>
      <c r="W776" s="108">
        <v>5.0</v>
      </c>
      <c r="X776" s="113">
        <v>32316.0</v>
      </c>
      <c r="Y776" s="113">
        <v>82813.0</v>
      </c>
      <c r="Z776" s="11">
        <v>112.0</v>
      </c>
      <c r="AA776" s="113">
        <v>92723.0</v>
      </c>
      <c r="AB776" s="109">
        <v>13218.83</v>
      </c>
      <c r="AC776" s="113">
        <v>92419.0</v>
      </c>
      <c r="AD776" s="108">
        <v>6.0</v>
      </c>
    </row>
    <row r="777">
      <c r="A777" s="11">
        <v>15.0</v>
      </c>
      <c r="B777" s="11">
        <v>4.0</v>
      </c>
      <c r="C777" s="11">
        <v>9.0</v>
      </c>
      <c r="D777" s="17">
        <v>11.0</v>
      </c>
      <c r="E777" s="108">
        <v>9.0</v>
      </c>
      <c r="F777" s="109">
        <v>-73876.43</v>
      </c>
      <c r="G777" s="109">
        <v>17587.22</v>
      </c>
      <c r="H777" s="109">
        <v>-78637.03</v>
      </c>
      <c r="I777" s="109">
        <v>43973.97</v>
      </c>
      <c r="J777" s="109">
        <v>-50871.73</v>
      </c>
      <c r="K777" s="109">
        <v>14875.26</v>
      </c>
      <c r="L777" s="109">
        <v>-20825.6</v>
      </c>
      <c r="M777" s="109">
        <v>-33630.53</v>
      </c>
      <c r="N777" s="110">
        <v>52911.0</v>
      </c>
      <c r="O777" s="110">
        <v>52141.0</v>
      </c>
      <c r="P777" s="110">
        <v>52923.0</v>
      </c>
      <c r="Q777" s="110">
        <v>53141.0</v>
      </c>
      <c r="R777" s="50">
        <v>100520.0</v>
      </c>
      <c r="S777" s="111">
        <v>52.0</v>
      </c>
      <c r="T777" s="112">
        <v>51.0</v>
      </c>
      <c r="U777" s="24" t="s">
        <v>39</v>
      </c>
      <c r="V777" s="11" t="s">
        <v>4054</v>
      </c>
      <c r="W777" s="108">
        <v>2.0</v>
      </c>
      <c r="X777" s="113">
        <v>22820.0</v>
      </c>
      <c r="Y777" s="113">
        <v>41622.0</v>
      </c>
      <c r="Z777" s="11">
        <v>133.0</v>
      </c>
      <c r="AA777" s="113">
        <v>100713.0</v>
      </c>
      <c r="AB777" s="109">
        <v>15756.28</v>
      </c>
      <c r="AC777" s="113">
        <v>112617.0</v>
      </c>
      <c r="AD777" s="108">
        <v>7.0</v>
      </c>
    </row>
    <row r="778">
      <c r="A778" s="11">
        <v>56.0</v>
      </c>
      <c r="B778" s="11">
        <v>4.0</v>
      </c>
      <c r="C778" s="11">
        <v>6.0</v>
      </c>
      <c r="D778" s="17">
        <v>11.0</v>
      </c>
      <c r="E778" s="108">
        <v>2.0</v>
      </c>
      <c r="F778" s="109">
        <v>8991.66</v>
      </c>
      <c r="G778" s="109">
        <v>-57022.3</v>
      </c>
      <c r="H778" s="109">
        <v>-91175.58</v>
      </c>
      <c r="I778" s="109">
        <v>26058.95</v>
      </c>
      <c r="J778" s="109">
        <v>-66556.22</v>
      </c>
      <c r="K778" s="109">
        <v>-55432.79</v>
      </c>
      <c r="L778" s="109">
        <v>-32032.86</v>
      </c>
      <c r="M778" s="109">
        <v>64569.19</v>
      </c>
      <c r="N778" s="110">
        <v>50212.0</v>
      </c>
      <c r="O778" s="110">
        <v>42542.0</v>
      </c>
      <c r="P778" s="110">
        <v>52623.0</v>
      </c>
      <c r="Q778" s="110">
        <v>43042.0</v>
      </c>
      <c r="R778" s="50">
        <v>91913.0</v>
      </c>
      <c r="S778" s="111">
        <v>53.0</v>
      </c>
      <c r="T778" s="112">
        <v>4.0</v>
      </c>
      <c r="U778" s="24" t="s">
        <v>603</v>
      </c>
      <c r="V778" s="11" t="s">
        <v>3924</v>
      </c>
      <c r="W778" s="108">
        <v>2.0</v>
      </c>
      <c r="X778" s="113">
        <v>70217.0</v>
      </c>
      <c r="Y778" s="113">
        <v>22914.0</v>
      </c>
      <c r="Z778" s="11">
        <v>178.0</v>
      </c>
      <c r="AA778" s="113">
        <v>32517.0</v>
      </c>
      <c r="AB778" s="109">
        <v>86646.8</v>
      </c>
      <c r="AC778" s="113">
        <v>122623.0</v>
      </c>
      <c r="AD778" s="108">
        <v>3.0</v>
      </c>
    </row>
    <row r="779">
      <c r="A779" s="11">
        <v>56.0</v>
      </c>
      <c r="B779" s="11">
        <v>4.0</v>
      </c>
      <c r="C779" s="11">
        <v>7.0</v>
      </c>
      <c r="D779" s="17">
        <v>43.0</v>
      </c>
      <c r="E779" s="108">
        <v>9.0</v>
      </c>
      <c r="F779" s="109">
        <v>-74843.37</v>
      </c>
      <c r="G779" s="109">
        <v>21502.2</v>
      </c>
      <c r="H779" s="109">
        <v>-79347.78</v>
      </c>
      <c r="I779" s="109">
        <v>9236.86</v>
      </c>
      <c r="J779" s="109">
        <v>22834.06</v>
      </c>
      <c r="K779" s="109">
        <v>-4508.04</v>
      </c>
      <c r="L779" s="109">
        <v>57263.93</v>
      </c>
      <c r="M779" s="109">
        <v>57561.27</v>
      </c>
      <c r="N779" s="110">
        <v>110713.0</v>
      </c>
      <c r="O779" s="110">
        <v>103143.0</v>
      </c>
      <c r="P779" s="110">
        <v>50323.0</v>
      </c>
      <c r="Q779" s="110">
        <v>103143.0</v>
      </c>
      <c r="R779" s="50">
        <v>81920.0</v>
      </c>
      <c r="S779" s="111">
        <v>53.0</v>
      </c>
      <c r="T779" s="112">
        <v>10.0</v>
      </c>
      <c r="U779" s="24" t="s">
        <v>603</v>
      </c>
      <c r="V779" s="11" t="s">
        <v>4036</v>
      </c>
      <c r="W779" s="108">
        <v>9.0</v>
      </c>
      <c r="X779" s="113">
        <v>13015.0</v>
      </c>
      <c r="Y779" s="113">
        <v>42515.0</v>
      </c>
      <c r="Z779" s="11">
        <v>142.0</v>
      </c>
      <c r="AA779" s="113">
        <v>90315.0</v>
      </c>
      <c r="AB779" s="109">
        <v>-92398.86</v>
      </c>
      <c r="AC779" s="113">
        <v>102820.0</v>
      </c>
      <c r="AD779" s="108">
        <v>2.0</v>
      </c>
    </row>
    <row r="780">
      <c r="A780" s="11">
        <v>97.0</v>
      </c>
      <c r="B780" s="11">
        <v>4.0</v>
      </c>
      <c r="C780" s="11">
        <v>4.0</v>
      </c>
      <c r="D780" s="17">
        <v>66.0</v>
      </c>
      <c r="E780" s="108">
        <v>9.0</v>
      </c>
      <c r="F780" s="109">
        <v>-61648.44</v>
      </c>
      <c r="G780" s="109">
        <v>-56912.6</v>
      </c>
      <c r="H780" s="109">
        <v>-78828.34</v>
      </c>
      <c r="I780" s="109">
        <v>-95398.05</v>
      </c>
      <c r="J780" s="109">
        <v>22735.65</v>
      </c>
      <c r="K780" s="109">
        <v>94884.16</v>
      </c>
      <c r="L780" s="109">
        <v>4174.73</v>
      </c>
      <c r="M780" s="109">
        <v>-99849.59</v>
      </c>
      <c r="N780" s="110">
        <v>22014.0</v>
      </c>
      <c r="O780" s="110">
        <v>21344.0</v>
      </c>
      <c r="P780" s="110">
        <v>51323.0</v>
      </c>
      <c r="Q780" s="110">
        <v>22944.0</v>
      </c>
      <c r="R780" s="50">
        <v>110814.0</v>
      </c>
      <c r="S780" s="111">
        <v>52.0</v>
      </c>
      <c r="T780" s="112">
        <v>79.0</v>
      </c>
      <c r="U780" s="24" t="s">
        <v>48</v>
      </c>
      <c r="V780" s="11" t="s">
        <v>4033</v>
      </c>
      <c r="W780" s="108">
        <v>5.0</v>
      </c>
      <c r="X780" s="113">
        <v>51415.0</v>
      </c>
      <c r="Y780" s="113">
        <v>102820.0</v>
      </c>
      <c r="Z780" s="11">
        <v>198.0</v>
      </c>
      <c r="AA780" s="113">
        <v>30113.0</v>
      </c>
      <c r="AB780" s="109">
        <v>-2728.4</v>
      </c>
      <c r="AC780" s="113">
        <v>61519.0</v>
      </c>
      <c r="AD780" s="108">
        <v>2.0</v>
      </c>
    </row>
    <row r="781">
      <c r="A781" s="11">
        <v>15.0</v>
      </c>
      <c r="B781" s="11">
        <v>5.0</v>
      </c>
      <c r="C781" s="11">
        <v>5.0</v>
      </c>
      <c r="D781" s="17">
        <v>29.0</v>
      </c>
      <c r="E781" s="108">
        <v>0.0</v>
      </c>
      <c r="F781" s="109">
        <v>-96362.87</v>
      </c>
      <c r="G781" s="109">
        <v>-31600.32</v>
      </c>
      <c r="H781" s="109">
        <v>-32381.78</v>
      </c>
      <c r="I781" s="109">
        <v>-41141.87</v>
      </c>
      <c r="J781" s="109">
        <v>-70568.38</v>
      </c>
      <c r="K781" s="109">
        <v>49232.39</v>
      </c>
      <c r="L781" s="109">
        <v>-82360.16</v>
      </c>
      <c r="M781" s="109">
        <v>-59151.29</v>
      </c>
      <c r="N781" s="110">
        <v>111012.0</v>
      </c>
      <c r="O781" s="110">
        <v>110532.0</v>
      </c>
      <c r="P781" s="110">
        <v>52923.0</v>
      </c>
      <c r="Q781" s="110">
        <v>113032.0</v>
      </c>
      <c r="R781" s="50">
        <v>92317.0</v>
      </c>
      <c r="S781" s="111">
        <v>50.0</v>
      </c>
      <c r="T781" s="112">
        <v>20.0</v>
      </c>
      <c r="U781" s="24" t="s">
        <v>601</v>
      </c>
      <c r="V781" s="11" t="s">
        <v>3980</v>
      </c>
      <c r="W781" s="108">
        <v>6.0</v>
      </c>
      <c r="X781" s="113">
        <v>62013.0</v>
      </c>
      <c r="Y781" s="113">
        <v>32615.0</v>
      </c>
      <c r="Z781" s="11">
        <v>165.0</v>
      </c>
      <c r="AA781" s="113">
        <v>60818.0</v>
      </c>
      <c r="AB781" s="109">
        <v>-86721.76</v>
      </c>
      <c r="AC781" s="113">
        <v>121821.0</v>
      </c>
      <c r="AD781" s="108">
        <v>4.0</v>
      </c>
    </row>
    <row r="782">
      <c r="A782" s="11">
        <v>56.0</v>
      </c>
      <c r="B782" s="11">
        <v>5.0</v>
      </c>
      <c r="C782" s="11">
        <v>5.0</v>
      </c>
      <c r="D782" s="17">
        <v>26.0</v>
      </c>
      <c r="E782" s="108">
        <v>5.0</v>
      </c>
      <c r="F782" s="109">
        <v>-87335.34</v>
      </c>
      <c r="G782" s="109">
        <v>-47126.7</v>
      </c>
      <c r="H782" s="109">
        <v>-6359.5</v>
      </c>
      <c r="I782" s="109">
        <v>-67101.58</v>
      </c>
      <c r="J782" s="109">
        <v>-52785.33</v>
      </c>
      <c r="K782" s="109">
        <v>-26759.86</v>
      </c>
      <c r="L782" s="109">
        <v>69138.01</v>
      </c>
      <c r="M782" s="109">
        <v>90311.96</v>
      </c>
      <c r="N782" s="110">
        <v>111610.0</v>
      </c>
      <c r="O782" s="110">
        <v>111320.0</v>
      </c>
      <c r="P782" s="110">
        <v>51623.0</v>
      </c>
      <c r="Q782" s="110">
        <v>113020.0</v>
      </c>
      <c r="R782" s="50">
        <v>62018.0</v>
      </c>
      <c r="S782" s="111">
        <v>50.0</v>
      </c>
      <c r="T782" s="112">
        <v>51.0</v>
      </c>
      <c r="U782" s="24" t="s">
        <v>39</v>
      </c>
      <c r="V782" s="11" t="s">
        <v>3959</v>
      </c>
      <c r="W782" s="108">
        <v>7.0</v>
      </c>
      <c r="X782" s="113">
        <v>21916.0</v>
      </c>
      <c r="Y782" s="113">
        <v>110723.0</v>
      </c>
      <c r="Z782" s="11">
        <v>161.0</v>
      </c>
      <c r="AA782" s="113">
        <v>60223.0</v>
      </c>
      <c r="AB782" s="109">
        <v>-3052.37</v>
      </c>
      <c r="AC782" s="113">
        <v>32917.0</v>
      </c>
      <c r="AD782" s="108">
        <v>6.0</v>
      </c>
    </row>
    <row r="783">
      <c r="A783" s="11">
        <v>97.0</v>
      </c>
      <c r="B783" s="11">
        <v>5.0</v>
      </c>
      <c r="C783" s="11">
        <v>2.0</v>
      </c>
      <c r="D783" s="17">
        <v>7.0</v>
      </c>
      <c r="E783" s="108">
        <v>4.0</v>
      </c>
      <c r="F783" s="109">
        <v>50938.95</v>
      </c>
      <c r="G783" s="109">
        <v>18571.93</v>
      </c>
      <c r="H783" s="109">
        <v>15662.9</v>
      </c>
      <c r="I783" s="109">
        <v>38748.77</v>
      </c>
      <c r="J783" s="109">
        <v>-36333.6</v>
      </c>
      <c r="K783" s="109">
        <v>-82698.11</v>
      </c>
      <c r="L783" s="109">
        <v>-46739.08</v>
      </c>
      <c r="M783" s="109">
        <v>38014.02</v>
      </c>
      <c r="N783" s="110">
        <v>10713.0</v>
      </c>
      <c r="O783" s="110">
        <v>123142.0</v>
      </c>
      <c r="P783" s="110">
        <v>50223.0</v>
      </c>
      <c r="Q783" s="110">
        <v>123141.0</v>
      </c>
      <c r="R783" s="50">
        <v>101120.0</v>
      </c>
      <c r="S783" s="111">
        <v>53.0</v>
      </c>
      <c r="T783" s="112">
        <v>4.0</v>
      </c>
      <c r="U783" s="24" t="s">
        <v>603</v>
      </c>
      <c r="V783" s="11" t="s">
        <v>4027</v>
      </c>
      <c r="W783" s="108">
        <v>8.0</v>
      </c>
      <c r="X783" s="113">
        <v>60815.0</v>
      </c>
      <c r="Y783" s="113">
        <v>12818.0</v>
      </c>
      <c r="Z783" s="11">
        <v>173.0</v>
      </c>
      <c r="AA783" s="113">
        <v>21417.0</v>
      </c>
      <c r="AB783" s="109">
        <v>19609.34</v>
      </c>
      <c r="AC783" s="113">
        <v>100913.0</v>
      </c>
      <c r="AD783" s="108">
        <v>5.0</v>
      </c>
    </row>
    <row r="784">
      <c r="A784" s="11">
        <v>56.0</v>
      </c>
      <c r="B784" s="11">
        <v>5.0</v>
      </c>
      <c r="C784" s="11">
        <v>7.0</v>
      </c>
      <c r="D784" s="17">
        <v>9.0</v>
      </c>
      <c r="E784" s="108">
        <v>4.0</v>
      </c>
      <c r="F784" s="109">
        <v>2030.93</v>
      </c>
      <c r="G784" s="109">
        <v>46079.62</v>
      </c>
      <c r="H784" s="109">
        <v>-32119.82</v>
      </c>
      <c r="I784" s="109">
        <v>-55497.9</v>
      </c>
      <c r="J784" s="109">
        <v>-47315.14</v>
      </c>
      <c r="K784" s="109">
        <v>-79131.5</v>
      </c>
      <c r="L784" s="109">
        <v>26688.45</v>
      </c>
      <c r="M784" s="109">
        <v>27765.68</v>
      </c>
      <c r="N784" s="110">
        <v>100411.0</v>
      </c>
      <c r="O784" s="110">
        <v>100121.0</v>
      </c>
      <c r="P784" s="110">
        <v>50123.0</v>
      </c>
      <c r="Q784" s="110">
        <v>103121.0</v>
      </c>
      <c r="R784" s="50">
        <v>112021.0</v>
      </c>
      <c r="S784" s="111">
        <v>53.0</v>
      </c>
      <c r="T784" s="112">
        <v>71.0</v>
      </c>
      <c r="U784" s="24" t="s">
        <v>39</v>
      </c>
      <c r="V784" s="11" t="s">
        <v>3966</v>
      </c>
      <c r="W784" s="108">
        <v>9.0</v>
      </c>
      <c r="X784" s="113">
        <v>12823.0</v>
      </c>
      <c r="Y784" s="113">
        <v>111323.0</v>
      </c>
      <c r="Z784" s="11">
        <v>159.0</v>
      </c>
      <c r="AA784" s="113">
        <v>51717.0</v>
      </c>
      <c r="AB784" s="109">
        <v>-88169.02</v>
      </c>
      <c r="AC784" s="113">
        <v>92220.0</v>
      </c>
      <c r="AD784" s="108">
        <v>5.0</v>
      </c>
    </row>
    <row r="785">
      <c r="A785" s="11">
        <v>97.0</v>
      </c>
      <c r="B785" s="11">
        <v>5.0</v>
      </c>
      <c r="C785" s="11">
        <v>4.0</v>
      </c>
      <c r="D785" s="17">
        <v>7.0</v>
      </c>
      <c r="E785" s="108">
        <v>2.0</v>
      </c>
      <c r="F785" s="109">
        <v>-89060.37</v>
      </c>
      <c r="G785" s="109">
        <v>-76244.35</v>
      </c>
      <c r="H785" s="109">
        <v>42808.8</v>
      </c>
      <c r="I785" s="109">
        <v>-78495.34</v>
      </c>
      <c r="J785" s="109">
        <v>82486.88</v>
      </c>
      <c r="K785" s="109">
        <v>-82367.28</v>
      </c>
      <c r="L785" s="109">
        <v>89511.75</v>
      </c>
      <c r="M785" s="109">
        <v>76680.57</v>
      </c>
      <c r="N785" s="110">
        <v>121014.0</v>
      </c>
      <c r="O785" s="110">
        <v>120534.0</v>
      </c>
      <c r="P785" s="110">
        <v>50823.0</v>
      </c>
      <c r="Q785" s="110">
        <v>123133.0</v>
      </c>
      <c r="R785" s="50">
        <v>22413.0</v>
      </c>
      <c r="S785" s="111">
        <v>51.0</v>
      </c>
      <c r="T785" s="112">
        <v>84.0</v>
      </c>
      <c r="U785" s="24" t="s">
        <v>48</v>
      </c>
      <c r="V785" s="11" t="s">
        <v>3945</v>
      </c>
      <c r="W785" s="108">
        <v>3.0</v>
      </c>
      <c r="X785" s="113">
        <v>60120.0</v>
      </c>
      <c r="Y785" s="113">
        <v>100316.0</v>
      </c>
      <c r="Z785" s="11">
        <v>183.0</v>
      </c>
      <c r="AA785" s="113">
        <v>82018.0</v>
      </c>
      <c r="AB785" s="109">
        <v>16510.78</v>
      </c>
      <c r="AC785" s="113">
        <v>10917.0</v>
      </c>
      <c r="AD785" s="108">
        <v>7.0</v>
      </c>
    </row>
    <row r="786">
      <c r="A786" s="11">
        <v>97.0</v>
      </c>
      <c r="B786" s="11">
        <v>5.0</v>
      </c>
      <c r="C786" s="11">
        <v>5.0</v>
      </c>
      <c r="D786" s="17">
        <v>95.0</v>
      </c>
      <c r="E786" s="108">
        <v>6.0</v>
      </c>
      <c r="F786" s="109">
        <v>-65111.22</v>
      </c>
      <c r="G786" s="109">
        <v>-28616.09</v>
      </c>
      <c r="H786" s="109">
        <v>-12652.96</v>
      </c>
      <c r="I786" s="109">
        <v>71747.23</v>
      </c>
      <c r="J786" s="109">
        <v>21726.07</v>
      </c>
      <c r="K786" s="109">
        <v>-36885.32</v>
      </c>
      <c r="L786" s="109">
        <v>44795.18</v>
      </c>
      <c r="M786" s="109">
        <v>-92322.91</v>
      </c>
      <c r="N786" s="110">
        <v>61810.0</v>
      </c>
      <c r="O786" s="110">
        <v>61040.0</v>
      </c>
      <c r="P786" s="110">
        <v>52823.0</v>
      </c>
      <c r="Q786" s="110">
        <v>63040.0</v>
      </c>
      <c r="R786" s="50">
        <v>30319.0</v>
      </c>
      <c r="S786" s="111">
        <v>55.0</v>
      </c>
      <c r="T786" s="112">
        <v>9.0</v>
      </c>
      <c r="U786" s="24" t="s">
        <v>31</v>
      </c>
      <c r="V786" s="11" t="s">
        <v>4093</v>
      </c>
      <c r="W786" s="108">
        <v>5.0</v>
      </c>
      <c r="X786" s="113">
        <v>50716.0</v>
      </c>
      <c r="Y786" s="113">
        <v>71221.0</v>
      </c>
      <c r="Z786" s="11">
        <v>175.0</v>
      </c>
      <c r="AA786" s="113">
        <v>41923.0</v>
      </c>
      <c r="AB786" s="109">
        <v>5966.72</v>
      </c>
      <c r="AC786" s="113">
        <v>52215.0</v>
      </c>
      <c r="AD786" s="108">
        <v>3.0</v>
      </c>
    </row>
    <row r="787">
      <c r="A787" s="11">
        <v>56.0</v>
      </c>
      <c r="B787" s="11">
        <v>5.0</v>
      </c>
      <c r="C787" s="11">
        <v>9.0</v>
      </c>
      <c r="D787" s="17">
        <v>5.0</v>
      </c>
      <c r="E787" s="108">
        <v>5.0</v>
      </c>
      <c r="F787" s="109">
        <v>31301.84</v>
      </c>
      <c r="G787" s="109">
        <v>52868.32</v>
      </c>
      <c r="H787" s="109">
        <v>-61664.97</v>
      </c>
      <c r="I787" s="109">
        <v>-70502.38</v>
      </c>
      <c r="J787" s="109">
        <v>95488.26</v>
      </c>
      <c r="K787" s="109">
        <v>91844.39</v>
      </c>
      <c r="L787" s="109">
        <v>-12926.54</v>
      </c>
      <c r="M787" s="109">
        <v>-97589.54</v>
      </c>
      <c r="N787" s="110">
        <v>20310.0</v>
      </c>
      <c r="O787" s="110">
        <v>12930.0</v>
      </c>
      <c r="P787" s="110">
        <v>52123.0</v>
      </c>
      <c r="Q787" s="110">
        <v>13130.0</v>
      </c>
      <c r="R787" s="50">
        <v>50416.0</v>
      </c>
      <c r="S787" s="111">
        <v>55.0</v>
      </c>
      <c r="T787" s="112">
        <v>19.0</v>
      </c>
      <c r="U787" s="24" t="s">
        <v>48</v>
      </c>
      <c r="V787" s="11" t="s">
        <v>4060</v>
      </c>
      <c r="W787" s="108">
        <v>7.0</v>
      </c>
      <c r="X787" s="113">
        <v>80118.0</v>
      </c>
      <c r="Y787" s="113">
        <v>70613.0</v>
      </c>
      <c r="Z787" s="11">
        <v>126.0</v>
      </c>
      <c r="AA787" s="113">
        <v>30418.0</v>
      </c>
      <c r="AB787" s="109">
        <v>-97962.07</v>
      </c>
      <c r="AC787" s="113">
        <v>90513.0</v>
      </c>
      <c r="AD787" s="108">
        <v>0.0</v>
      </c>
    </row>
    <row r="788">
      <c r="A788" s="11">
        <v>15.0</v>
      </c>
      <c r="B788" s="11">
        <v>6.0</v>
      </c>
      <c r="C788" s="11">
        <v>5.0</v>
      </c>
      <c r="D788" s="17">
        <v>47.0</v>
      </c>
      <c r="E788" s="108">
        <v>3.0</v>
      </c>
      <c r="F788" s="109">
        <v>-82952.69</v>
      </c>
      <c r="G788" s="109">
        <v>89494.2</v>
      </c>
      <c r="H788" s="109">
        <v>-50321.65</v>
      </c>
      <c r="I788" s="109">
        <v>98887.93</v>
      </c>
      <c r="J788" s="109">
        <v>-35176.16</v>
      </c>
      <c r="K788" s="109">
        <v>-16321.9</v>
      </c>
      <c r="L788" s="109">
        <v>22887.55</v>
      </c>
      <c r="M788" s="109">
        <v>-95688.53</v>
      </c>
      <c r="N788" s="110">
        <v>111314.0</v>
      </c>
      <c r="O788" s="110">
        <v>110544.0</v>
      </c>
      <c r="P788" s="110">
        <v>52823.0</v>
      </c>
      <c r="Q788" s="110">
        <v>113044.0</v>
      </c>
      <c r="R788" s="50">
        <v>21521.0</v>
      </c>
      <c r="S788" s="111">
        <v>52.0</v>
      </c>
      <c r="T788" s="112">
        <v>33.0</v>
      </c>
      <c r="U788" s="24" t="s">
        <v>603</v>
      </c>
      <c r="V788" s="11" t="s">
        <v>4094</v>
      </c>
      <c r="W788" s="108">
        <v>9.0</v>
      </c>
      <c r="X788" s="113">
        <v>111918.0</v>
      </c>
      <c r="Y788" s="113">
        <v>101715.0</v>
      </c>
      <c r="Z788" s="11">
        <v>113.0</v>
      </c>
      <c r="AA788" s="113">
        <v>11819.0</v>
      </c>
      <c r="AB788" s="109">
        <v>-5479.85</v>
      </c>
      <c r="AC788" s="113">
        <v>70517.0</v>
      </c>
      <c r="AD788" s="108">
        <v>4.0</v>
      </c>
    </row>
    <row r="789">
      <c r="A789" s="11">
        <v>56.0</v>
      </c>
      <c r="B789" s="11">
        <v>6.0</v>
      </c>
      <c r="C789" s="11">
        <v>5.0</v>
      </c>
      <c r="D789" s="17">
        <v>71.0</v>
      </c>
      <c r="E789" s="108">
        <v>8.0</v>
      </c>
      <c r="F789" s="109">
        <v>-88643.05</v>
      </c>
      <c r="G789" s="109">
        <v>-38640.61</v>
      </c>
      <c r="H789" s="109">
        <v>-452.8</v>
      </c>
      <c r="I789" s="109">
        <v>-72684.87</v>
      </c>
      <c r="J789" s="109">
        <v>52167.73</v>
      </c>
      <c r="K789" s="109">
        <v>-20223.58</v>
      </c>
      <c r="L789" s="109">
        <v>87021.44</v>
      </c>
      <c r="M789" s="109">
        <v>11449.32</v>
      </c>
      <c r="N789" s="110">
        <v>31813.0</v>
      </c>
      <c r="O789" s="110">
        <v>31623.0</v>
      </c>
      <c r="P789" s="110">
        <v>50323.0</v>
      </c>
      <c r="Q789" s="110">
        <v>33123.0</v>
      </c>
      <c r="R789" s="50">
        <v>120119.0</v>
      </c>
      <c r="S789" s="111">
        <v>51.0</v>
      </c>
      <c r="T789" s="112">
        <v>86.0</v>
      </c>
      <c r="U789" s="24" t="s">
        <v>31</v>
      </c>
      <c r="V789" s="11" t="s">
        <v>3868</v>
      </c>
      <c r="W789" s="108">
        <v>9.0</v>
      </c>
      <c r="X789" s="113">
        <v>21523.0</v>
      </c>
      <c r="Y789" s="113">
        <v>51720.0</v>
      </c>
      <c r="Z789" s="11">
        <v>160.0</v>
      </c>
      <c r="AA789" s="113">
        <v>11219.0</v>
      </c>
      <c r="AB789" s="109">
        <v>-96632.69</v>
      </c>
      <c r="AC789" s="113">
        <v>32213.0</v>
      </c>
      <c r="AD789" s="108">
        <v>6.0</v>
      </c>
    </row>
    <row r="790">
      <c r="A790" s="11">
        <v>36.0</v>
      </c>
      <c r="B790" s="11">
        <v>2.0</v>
      </c>
      <c r="C790" s="11">
        <v>1.0</v>
      </c>
      <c r="D790" s="17">
        <v>49.0</v>
      </c>
      <c r="E790" s="108">
        <v>0.0</v>
      </c>
      <c r="F790" s="109">
        <v>-962.23</v>
      </c>
      <c r="G790" s="109">
        <v>48472.73</v>
      </c>
      <c r="H790" s="109">
        <v>-89.26</v>
      </c>
      <c r="I790" s="109">
        <v>-84549.91</v>
      </c>
      <c r="J790" s="109">
        <v>-31137.67</v>
      </c>
      <c r="K790" s="109">
        <v>48948.27</v>
      </c>
      <c r="L790" s="109">
        <v>94561.53</v>
      </c>
      <c r="M790" s="109">
        <v>99115.66</v>
      </c>
      <c r="N790" s="110">
        <v>112610.0</v>
      </c>
      <c r="O790" s="110">
        <v>112130.0</v>
      </c>
      <c r="P790" s="110">
        <v>51623.0</v>
      </c>
      <c r="Q790" s="110">
        <v>113030.0</v>
      </c>
      <c r="R790" s="50">
        <v>41315.0</v>
      </c>
      <c r="S790" s="111">
        <v>50.0</v>
      </c>
      <c r="T790" s="112">
        <v>98.0</v>
      </c>
      <c r="U790" s="24" t="s">
        <v>31</v>
      </c>
      <c r="V790" s="11" t="s">
        <v>3976</v>
      </c>
      <c r="W790" s="108">
        <v>8.0</v>
      </c>
      <c r="X790" s="113">
        <v>30814.0</v>
      </c>
      <c r="Y790" s="113">
        <v>11918.0</v>
      </c>
      <c r="Z790" s="11">
        <v>123.0</v>
      </c>
      <c r="AA790" s="113">
        <v>62017.0</v>
      </c>
      <c r="AB790" s="109">
        <v>29569.56</v>
      </c>
      <c r="AC790" s="113">
        <v>122416.0</v>
      </c>
      <c r="AD790" s="108">
        <v>2.0</v>
      </c>
    </row>
    <row r="791">
      <c r="A791" s="11">
        <v>77.0</v>
      </c>
      <c r="B791" s="11">
        <v>1.0</v>
      </c>
      <c r="C791" s="11">
        <v>7.0</v>
      </c>
      <c r="D791" s="17">
        <v>63.0</v>
      </c>
      <c r="E791" s="108">
        <v>8.0</v>
      </c>
      <c r="F791" s="109">
        <v>47335.37</v>
      </c>
      <c r="G791" s="109">
        <v>-52771.7</v>
      </c>
      <c r="H791" s="109">
        <v>81518.09</v>
      </c>
      <c r="I791" s="109">
        <v>8807.74</v>
      </c>
      <c r="J791" s="109">
        <v>52367.96</v>
      </c>
      <c r="K791" s="109">
        <v>51053.66</v>
      </c>
      <c r="L791" s="109">
        <v>25934.65</v>
      </c>
      <c r="M791" s="109">
        <v>-99530.85</v>
      </c>
      <c r="N791" s="110">
        <v>51211.0</v>
      </c>
      <c r="O791" s="110">
        <v>50441.0</v>
      </c>
      <c r="P791" s="110">
        <v>50223.0</v>
      </c>
      <c r="Q791" s="110">
        <v>53141.0</v>
      </c>
      <c r="R791" s="50">
        <v>92722.0</v>
      </c>
      <c r="S791" s="111">
        <v>53.0</v>
      </c>
      <c r="T791" s="112">
        <v>7.0</v>
      </c>
      <c r="U791" s="24" t="s">
        <v>31</v>
      </c>
      <c r="V791" s="11" t="s">
        <v>3881</v>
      </c>
      <c r="W791" s="108">
        <v>1.0</v>
      </c>
      <c r="X791" s="113">
        <v>30622.0</v>
      </c>
      <c r="Y791" s="113">
        <v>12219.0</v>
      </c>
      <c r="Z791" s="11">
        <v>185.0</v>
      </c>
      <c r="AA791" s="113">
        <v>70814.0</v>
      </c>
      <c r="AB791" s="109">
        <v>-40949.26</v>
      </c>
      <c r="AC791" s="113">
        <v>70115.0</v>
      </c>
      <c r="AD791" s="108">
        <v>2.0</v>
      </c>
    </row>
    <row r="792">
      <c r="A792" s="11">
        <v>36.0</v>
      </c>
      <c r="B792" s="11">
        <v>2.0</v>
      </c>
      <c r="C792" s="11">
        <v>3.0</v>
      </c>
      <c r="D792" s="17">
        <v>74.0</v>
      </c>
      <c r="E792" s="108">
        <v>0.0</v>
      </c>
      <c r="F792" s="109">
        <v>42608.06</v>
      </c>
      <c r="G792" s="109">
        <v>11248.2</v>
      </c>
      <c r="H792" s="109">
        <v>-99223.02</v>
      </c>
      <c r="I792" s="109">
        <v>-80119.77</v>
      </c>
      <c r="J792" s="109">
        <v>24837.84</v>
      </c>
      <c r="K792" s="109">
        <v>-30221.77</v>
      </c>
      <c r="L792" s="109">
        <v>-22689.62</v>
      </c>
      <c r="M792" s="109">
        <v>46088.57</v>
      </c>
      <c r="N792" s="110">
        <v>52911.0</v>
      </c>
      <c r="O792" s="110">
        <v>52431.0</v>
      </c>
      <c r="P792" s="110">
        <v>52823.0</v>
      </c>
      <c r="Q792" s="110">
        <v>53131.0</v>
      </c>
      <c r="R792" s="50">
        <v>91918.0</v>
      </c>
      <c r="S792" s="111">
        <v>50.0</v>
      </c>
      <c r="T792" s="112">
        <v>43.0</v>
      </c>
      <c r="U792" s="24" t="s">
        <v>31</v>
      </c>
      <c r="V792" s="11" t="s">
        <v>3898</v>
      </c>
      <c r="W792" s="108">
        <v>8.0</v>
      </c>
      <c r="X792" s="113">
        <v>60523.0</v>
      </c>
      <c r="Y792" s="113">
        <v>71017.0</v>
      </c>
      <c r="Z792" s="11">
        <v>163.0</v>
      </c>
      <c r="AA792" s="113">
        <v>50518.0</v>
      </c>
      <c r="AB792" s="109">
        <v>-86938.28</v>
      </c>
      <c r="AC792" s="113">
        <v>72116.0</v>
      </c>
      <c r="AD792" s="108">
        <v>2.0</v>
      </c>
    </row>
    <row r="793">
      <c r="A793" s="11">
        <v>97.0</v>
      </c>
      <c r="B793" s="11">
        <v>6.0</v>
      </c>
      <c r="C793" s="11">
        <v>5.0</v>
      </c>
      <c r="D793" s="17">
        <v>39.0</v>
      </c>
      <c r="E793" s="108">
        <v>1.0</v>
      </c>
      <c r="F793" s="109">
        <v>64994.4</v>
      </c>
      <c r="G793" s="109">
        <v>97049.94</v>
      </c>
      <c r="H793" s="109">
        <v>-80348.16</v>
      </c>
      <c r="I793" s="109">
        <v>-95466.34</v>
      </c>
      <c r="J793" s="109">
        <v>-29444.88</v>
      </c>
      <c r="K793" s="109">
        <v>-20075.23</v>
      </c>
      <c r="L793" s="109">
        <v>87043.34</v>
      </c>
      <c r="M793" s="109">
        <v>2700.26</v>
      </c>
      <c r="N793" s="110">
        <v>81910.0</v>
      </c>
      <c r="O793" s="110">
        <v>81430.0</v>
      </c>
      <c r="P793" s="110">
        <v>50423.0</v>
      </c>
      <c r="Q793" s="110">
        <v>83130.0</v>
      </c>
      <c r="R793" s="50">
        <v>41917.0</v>
      </c>
      <c r="S793" s="111">
        <v>55.0</v>
      </c>
      <c r="T793" s="112">
        <v>43.0</v>
      </c>
      <c r="U793" s="24" t="s">
        <v>601</v>
      </c>
      <c r="V793" s="11" t="s">
        <v>3890</v>
      </c>
      <c r="W793" s="108">
        <v>6.0</v>
      </c>
      <c r="X793" s="113">
        <v>80414.0</v>
      </c>
      <c r="Y793" s="113">
        <v>62419.0</v>
      </c>
      <c r="Z793" s="11">
        <v>117.0</v>
      </c>
      <c r="AA793" s="113">
        <v>60719.0</v>
      </c>
      <c r="AB793" s="109">
        <v>-93541.99</v>
      </c>
      <c r="AC793" s="113">
        <v>51723.0</v>
      </c>
      <c r="AD793" s="108">
        <v>8.0</v>
      </c>
    </row>
    <row r="794">
      <c r="A794" s="11">
        <v>97.0</v>
      </c>
      <c r="B794" s="11">
        <v>6.0</v>
      </c>
      <c r="C794" s="11">
        <v>9.0</v>
      </c>
      <c r="D794" s="17">
        <v>64.0</v>
      </c>
      <c r="E794" s="108">
        <v>2.0</v>
      </c>
      <c r="F794" s="109">
        <v>13909.95</v>
      </c>
      <c r="G794" s="109">
        <v>-21461.48</v>
      </c>
      <c r="H794" s="109">
        <v>7261.96</v>
      </c>
      <c r="I794" s="109">
        <v>-61883.48</v>
      </c>
      <c r="J794" s="109">
        <v>-26839.83</v>
      </c>
      <c r="K794" s="109">
        <v>20227.08</v>
      </c>
      <c r="L794" s="109">
        <v>-35162.87</v>
      </c>
      <c r="M794" s="109">
        <v>41166.7</v>
      </c>
      <c r="N794" s="110">
        <v>111814.0</v>
      </c>
      <c r="O794" s="110">
        <v>111334.0</v>
      </c>
      <c r="P794" s="110">
        <v>52323.0</v>
      </c>
      <c r="Q794" s="110">
        <v>113034.0</v>
      </c>
      <c r="R794" s="50">
        <v>22214.0</v>
      </c>
      <c r="S794" s="111">
        <v>53.0</v>
      </c>
      <c r="T794" s="112">
        <v>13.0</v>
      </c>
      <c r="U794" s="24" t="s">
        <v>603</v>
      </c>
      <c r="V794" s="11" t="s">
        <v>3922</v>
      </c>
      <c r="W794" s="108">
        <v>3.0</v>
      </c>
      <c r="X794" s="113">
        <v>72323.0</v>
      </c>
      <c r="Y794" s="113">
        <v>111819.0</v>
      </c>
      <c r="Z794" s="11">
        <v>200.0</v>
      </c>
      <c r="AA794" s="113">
        <v>111314.0</v>
      </c>
      <c r="AB794" s="109">
        <v>74818.38</v>
      </c>
      <c r="AC794" s="113">
        <v>81620.0</v>
      </c>
      <c r="AD794" s="108">
        <v>1.0</v>
      </c>
    </row>
    <row r="795">
      <c r="A795" s="11">
        <v>56.0</v>
      </c>
      <c r="B795" s="11">
        <v>7.0</v>
      </c>
      <c r="C795" s="11">
        <v>4.0</v>
      </c>
      <c r="D795" s="17">
        <v>89.0</v>
      </c>
      <c r="E795" s="108">
        <v>7.0</v>
      </c>
      <c r="F795" s="109">
        <v>41073.24</v>
      </c>
      <c r="G795" s="109">
        <v>19640.95</v>
      </c>
      <c r="H795" s="109">
        <v>-13458.75</v>
      </c>
      <c r="I795" s="109">
        <v>-20753.81</v>
      </c>
      <c r="J795" s="109">
        <v>41745.49</v>
      </c>
      <c r="K795" s="109">
        <v>32631.19</v>
      </c>
      <c r="L795" s="109">
        <v>-4712.05</v>
      </c>
      <c r="M795" s="109">
        <v>-95140.57</v>
      </c>
      <c r="N795" s="110">
        <v>101610.0</v>
      </c>
      <c r="O795" s="110">
        <v>101320.0</v>
      </c>
      <c r="P795" s="110">
        <v>50123.0</v>
      </c>
      <c r="Q795" s="110">
        <v>103120.0</v>
      </c>
      <c r="R795" s="50">
        <v>100620.0</v>
      </c>
      <c r="S795" s="111">
        <v>52.0</v>
      </c>
      <c r="T795" s="112">
        <v>59.0</v>
      </c>
      <c r="U795" s="24" t="s">
        <v>31</v>
      </c>
      <c r="V795" s="11" t="s">
        <v>3959</v>
      </c>
      <c r="W795" s="108">
        <v>4.0</v>
      </c>
      <c r="X795" s="113">
        <v>63121.0</v>
      </c>
      <c r="Y795" s="113">
        <v>72015.0</v>
      </c>
      <c r="Z795" s="11">
        <v>160.0</v>
      </c>
      <c r="AA795" s="113">
        <v>72817.0</v>
      </c>
      <c r="AB795" s="109">
        <v>-72459.57</v>
      </c>
      <c r="AC795" s="113">
        <v>92316.0</v>
      </c>
      <c r="AD795" s="108">
        <v>5.0</v>
      </c>
    </row>
    <row r="796">
      <c r="A796" s="11">
        <v>15.0</v>
      </c>
      <c r="B796" s="11">
        <v>7.0</v>
      </c>
      <c r="C796" s="11">
        <v>9.0</v>
      </c>
      <c r="D796" s="17">
        <v>78.0</v>
      </c>
      <c r="E796" s="108">
        <v>2.0</v>
      </c>
      <c r="F796" s="109">
        <v>-8920.25</v>
      </c>
      <c r="G796" s="109">
        <v>40813.37</v>
      </c>
      <c r="H796" s="109">
        <v>26427.72</v>
      </c>
      <c r="I796" s="109">
        <v>-94985.45</v>
      </c>
      <c r="J796" s="109">
        <v>-66546.02</v>
      </c>
      <c r="K796" s="109">
        <v>36593.33</v>
      </c>
      <c r="L796" s="109">
        <v>52333.51</v>
      </c>
      <c r="M796" s="109">
        <v>-63860.95</v>
      </c>
      <c r="N796" s="110">
        <v>93010.0</v>
      </c>
      <c r="O796" s="110">
        <v>92530.0</v>
      </c>
      <c r="P796" s="110">
        <v>51323.0</v>
      </c>
      <c r="Q796" s="110">
        <v>93030.0</v>
      </c>
      <c r="R796" s="50">
        <v>50919.0</v>
      </c>
      <c r="S796" s="111">
        <v>53.0</v>
      </c>
      <c r="T796" s="112">
        <v>21.0</v>
      </c>
      <c r="U796" s="24" t="s">
        <v>601</v>
      </c>
      <c r="V796" s="11" t="s">
        <v>3913</v>
      </c>
      <c r="W796" s="108">
        <v>3.0</v>
      </c>
      <c r="X796" s="113">
        <v>70814.0</v>
      </c>
      <c r="Y796" s="113">
        <v>52714.0</v>
      </c>
      <c r="Z796" s="11">
        <v>130.0</v>
      </c>
      <c r="AA796" s="113">
        <v>102615.0</v>
      </c>
      <c r="AB796" s="109">
        <v>-63374.13</v>
      </c>
      <c r="AC796" s="113">
        <v>50213.0</v>
      </c>
      <c r="AD796" s="108">
        <v>0.0</v>
      </c>
    </row>
    <row r="797">
      <c r="A797" s="11">
        <v>97.0</v>
      </c>
      <c r="B797" s="11">
        <v>7.0</v>
      </c>
      <c r="C797" s="11">
        <v>2.0</v>
      </c>
      <c r="D797" s="17">
        <v>1.0</v>
      </c>
      <c r="E797" s="108">
        <v>6.0</v>
      </c>
      <c r="F797" s="109">
        <v>-41071.48</v>
      </c>
      <c r="G797" s="109">
        <v>-39302.64</v>
      </c>
      <c r="H797" s="109">
        <v>-68115.05</v>
      </c>
      <c r="I797" s="109">
        <v>75288.17</v>
      </c>
      <c r="J797" s="109">
        <v>-58921.62</v>
      </c>
      <c r="K797" s="109">
        <v>1421.43</v>
      </c>
      <c r="L797" s="109">
        <v>46903.95</v>
      </c>
      <c r="M797" s="109">
        <v>64035.78</v>
      </c>
      <c r="N797" s="110">
        <v>42411.0</v>
      </c>
      <c r="O797" s="110">
        <v>41931.0</v>
      </c>
      <c r="P797" s="110">
        <v>50223.0</v>
      </c>
      <c r="Q797" s="110">
        <v>43031.0</v>
      </c>
      <c r="R797" s="50">
        <v>70718.0</v>
      </c>
      <c r="S797" s="111">
        <v>51.0</v>
      </c>
      <c r="T797" s="112">
        <v>8.0</v>
      </c>
      <c r="U797" s="24" t="s">
        <v>48</v>
      </c>
      <c r="V797" s="11" t="s">
        <v>4033</v>
      </c>
      <c r="W797" s="108">
        <v>1.0</v>
      </c>
      <c r="X797" s="113">
        <v>92020.0</v>
      </c>
      <c r="Y797" s="113">
        <v>70513.0</v>
      </c>
      <c r="Z797" s="11">
        <v>184.0</v>
      </c>
      <c r="AA797" s="113">
        <v>31023.0</v>
      </c>
      <c r="AB797" s="109">
        <v>-51020.54</v>
      </c>
      <c r="AC797" s="113">
        <v>51023.0</v>
      </c>
      <c r="AD797" s="108">
        <v>0.0</v>
      </c>
    </row>
    <row r="798">
      <c r="A798" s="11">
        <v>56.0</v>
      </c>
      <c r="B798" s="11">
        <v>7.0</v>
      </c>
      <c r="C798" s="11">
        <v>5.0</v>
      </c>
      <c r="D798" s="17">
        <v>96.0</v>
      </c>
      <c r="E798" s="108">
        <v>5.0</v>
      </c>
      <c r="F798" s="109">
        <v>6975.37</v>
      </c>
      <c r="G798" s="109">
        <v>93983.69</v>
      </c>
      <c r="H798" s="109">
        <v>-23214.02</v>
      </c>
      <c r="I798" s="109">
        <v>90969.91</v>
      </c>
      <c r="J798" s="109">
        <v>-10361.06</v>
      </c>
      <c r="K798" s="109">
        <v>27016.38</v>
      </c>
      <c r="L798" s="109">
        <v>74369.31</v>
      </c>
      <c r="M798" s="109">
        <v>-19708.0</v>
      </c>
      <c r="N798" s="110">
        <v>30414.0</v>
      </c>
      <c r="O798" s="110">
        <v>22544.0</v>
      </c>
      <c r="P798" s="110">
        <v>50823.0</v>
      </c>
      <c r="Q798" s="110">
        <v>22944.0</v>
      </c>
      <c r="R798" s="50">
        <v>112320.0</v>
      </c>
      <c r="S798" s="111">
        <v>51.0</v>
      </c>
      <c r="T798" s="112">
        <v>43.0</v>
      </c>
      <c r="U798" s="24" t="s">
        <v>48</v>
      </c>
      <c r="V798" s="11" t="s">
        <v>3999</v>
      </c>
      <c r="W798" s="108">
        <v>2.0</v>
      </c>
      <c r="X798" s="113">
        <v>80816.0</v>
      </c>
      <c r="Y798" s="113">
        <v>81115.0</v>
      </c>
      <c r="Z798" s="11">
        <v>107.0</v>
      </c>
      <c r="AA798" s="113">
        <v>80323.0</v>
      </c>
      <c r="AB798" s="109">
        <v>88962.72</v>
      </c>
      <c r="AC798" s="113">
        <v>122118.0</v>
      </c>
      <c r="AD798" s="108">
        <v>4.0</v>
      </c>
    </row>
    <row r="799">
      <c r="A799" s="11">
        <v>97.0</v>
      </c>
      <c r="B799" s="11">
        <v>7.0</v>
      </c>
      <c r="C799" s="11">
        <v>4.0</v>
      </c>
      <c r="D799" s="17">
        <v>41.0</v>
      </c>
      <c r="E799" s="108">
        <v>0.0</v>
      </c>
      <c r="F799" s="109">
        <v>-2279.87</v>
      </c>
      <c r="G799" s="109">
        <v>-66181.54</v>
      </c>
      <c r="H799" s="109">
        <v>68782.97</v>
      </c>
      <c r="I799" s="109">
        <v>49121.81</v>
      </c>
      <c r="J799" s="109">
        <v>-35812.5</v>
      </c>
      <c r="K799" s="109">
        <v>-88867.2</v>
      </c>
      <c r="L799" s="109">
        <v>11244.77</v>
      </c>
      <c r="M799" s="109">
        <v>-35211.79</v>
      </c>
      <c r="N799" s="110">
        <v>81712.0</v>
      </c>
      <c r="O799" s="110">
        <v>81232.0</v>
      </c>
      <c r="P799" s="110">
        <v>51923.0</v>
      </c>
      <c r="Q799" s="110">
        <v>83132.0</v>
      </c>
      <c r="R799" s="50">
        <v>41115.0</v>
      </c>
      <c r="S799" s="111">
        <v>50.0</v>
      </c>
      <c r="T799" s="112">
        <v>18.0</v>
      </c>
      <c r="U799" s="24" t="s">
        <v>48</v>
      </c>
      <c r="V799" s="11" t="s">
        <v>4073</v>
      </c>
      <c r="W799" s="108">
        <v>1.0</v>
      </c>
      <c r="X799" s="113">
        <v>62916.0</v>
      </c>
      <c r="Y799" s="113">
        <v>22914.0</v>
      </c>
      <c r="Z799" s="11">
        <v>183.0</v>
      </c>
      <c r="AA799" s="113">
        <v>121121.0</v>
      </c>
      <c r="AB799" s="109">
        <v>-75141.82</v>
      </c>
      <c r="AC799" s="113">
        <v>71820.0</v>
      </c>
      <c r="AD799" s="108">
        <v>8.0</v>
      </c>
    </row>
    <row r="800">
      <c r="A800" s="11">
        <v>15.0</v>
      </c>
      <c r="B800" s="11">
        <v>8.0</v>
      </c>
      <c r="C800" s="11">
        <v>3.0</v>
      </c>
      <c r="D800" s="17">
        <v>56.0</v>
      </c>
      <c r="E800" s="108">
        <v>7.0</v>
      </c>
      <c r="F800" s="109">
        <v>-69679.0</v>
      </c>
      <c r="G800" s="109">
        <v>-46711.98</v>
      </c>
      <c r="H800" s="109">
        <v>-36979.02</v>
      </c>
      <c r="I800" s="109">
        <v>-56765.1</v>
      </c>
      <c r="J800" s="109">
        <v>35407.16</v>
      </c>
      <c r="K800" s="109">
        <v>72748.97</v>
      </c>
      <c r="L800" s="109">
        <v>-32212.36</v>
      </c>
      <c r="M800" s="109">
        <v>-52061.14</v>
      </c>
      <c r="N800" s="110">
        <v>91813.0</v>
      </c>
      <c r="O800" s="110">
        <v>91623.0</v>
      </c>
      <c r="P800" s="110">
        <v>51823.0</v>
      </c>
      <c r="Q800" s="110">
        <v>93023.0</v>
      </c>
      <c r="R800" s="50">
        <v>11819.0</v>
      </c>
      <c r="S800" s="111">
        <v>50.0</v>
      </c>
      <c r="T800" s="112">
        <v>85.0</v>
      </c>
      <c r="U800" s="24" t="s">
        <v>48</v>
      </c>
      <c r="V800" s="11" t="s">
        <v>3943</v>
      </c>
      <c r="W800" s="108">
        <v>5.0</v>
      </c>
      <c r="X800" s="113">
        <v>40217.0</v>
      </c>
      <c r="Y800" s="113">
        <v>21619.0</v>
      </c>
      <c r="Z800" s="11">
        <v>188.0</v>
      </c>
      <c r="AA800" s="113">
        <v>61619.0</v>
      </c>
      <c r="AB800" s="109">
        <v>-69448.07</v>
      </c>
      <c r="AC800" s="113">
        <v>52922.0</v>
      </c>
      <c r="AD800" s="108">
        <v>5.0</v>
      </c>
    </row>
    <row r="801">
      <c r="A801" s="11">
        <v>77.0</v>
      </c>
      <c r="B801" s="11">
        <v>2.0</v>
      </c>
      <c r="C801" s="11">
        <v>3.0</v>
      </c>
      <c r="D801" s="17">
        <v>67.0</v>
      </c>
      <c r="E801" s="108">
        <v>8.0</v>
      </c>
      <c r="F801" s="109">
        <v>42906.36</v>
      </c>
      <c r="G801" s="109">
        <v>18843.93</v>
      </c>
      <c r="H801" s="109">
        <v>65160.54</v>
      </c>
      <c r="I801" s="109">
        <v>-78246.04</v>
      </c>
      <c r="J801" s="109">
        <v>-61206.07</v>
      </c>
      <c r="K801" s="109">
        <v>-16365.26</v>
      </c>
      <c r="L801" s="109">
        <v>41434.39</v>
      </c>
      <c r="M801" s="109">
        <v>82613.8</v>
      </c>
      <c r="N801" s="110">
        <v>110414.0</v>
      </c>
      <c r="O801" s="110">
        <v>102744.0</v>
      </c>
      <c r="P801" s="110">
        <v>52323.0</v>
      </c>
      <c r="Q801" s="110">
        <v>103144.0</v>
      </c>
      <c r="R801" s="50">
        <v>120118.0</v>
      </c>
      <c r="S801" s="111">
        <v>55.0</v>
      </c>
      <c r="T801" s="112">
        <v>56.0</v>
      </c>
      <c r="U801" s="24" t="s">
        <v>31</v>
      </c>
      <c r="V801" s="11" t="s">
        <v>4095</v>
      </c>
      <c r="W801" s="108">
        <v>1.0</v>
      </c>
      <c r="X801" s="113">
        <v>82320.0</v>
      </c>
      <c r="Y801" s="113">
        <v>42620.0</v>
      </c>
      <c r="Z801" s="11">
        <v>135.0</v>
      </c>
      <c r="AA801" s="113">
        <v>82816.0</v>
      </c>
      <c r="AB801" s="109">
        <v>-83871.52</v>
      </c>
      <c r="AC801" s="113">
        <v>110123.0</v>
      </c>
      <c r="AD801" s="108">
        <v>6.0</v>
      </c>
    </row>
    <row r="802">
      <c r="A802" s="11">
        <v>97.0</v>
      </c>
      <c r="B802" s="11">
        <v>7.0</v>
      </c>
      <c r="C802" s="11">
        <v>7.0</v>
      </c>
      <c r="D802" s="17">
        <v>48.0</v>
      </c>
      <c r="E802" s="108">
        <v>2.0</v>
      </c>
      <c r="F802" s="109">
        <v>-33769.72</v>
      </c>
      <c r="G802" s="109">
        <v>84274.5</v>
      </c>
      <c r="H802" s="109">
        <v>28292.92</v>
      </c>
      <c r="I802" s="109">
        <v>51695.81</v>
      </c>
      <c r="J802" s="109">
        <v>64136.46</v>
      </c>
      <c r="K802" s="109">
        <v>85480.3</v>
      </c>
      <c r="L802" s="109">
        <v>97285.18</v>
      </c>
      <c r="M802" s="109">
        <v>16480.0</v>
      </c>
      <c r="N802" s="110">
        <v>71513.0</v>
      </c>
      <c r="O802" s="110">
        <v>71033.0</v>
      </c>
      <c r="P802" s="110">
        <v>52423.0</v>
      </c>
      <c r="Q802" s="110">
        <v>73133.0</v>
      </c>
      <c r="R802" s="50">
        <v>12620.0</v>
      </c>
      <c r="S802" s="111">
        <v>52.0</v>
      </c>
      <c r="T802" s="112">
        <v>1.0</v>
      </c>
      <c r="U802" s="24" t="s">
        <v>48</v>
      </c>
      <c r="V802" s="11" t="s">
        <v>3863</v>
      </c>
      <c r="W802" s="108">
        <v>9.0</v>
      </c>
      <c r="X802" s="113">
        <v>51614.0</v>
      </c>
      <c r="Y802" s="113">
        <v>60423.0</v>
      </c>
      <c r="Z802" s="11">
        <v>154.0</v>
      </c>
      <c r="AA802" s="113">
        <v>111021.0</v>
      </c>
      <c r="AB802" s="109">
        <v>-23098.13</v>
      </c>
      <c r="AC802" s="113">
        <v>30215.0</v>
      </c>
      <c r="AD802" s="108">
        <v>7.0</v>
      </c>
    </row>
    <row r="803">
      <c r="A803" s="11">
        <v>97.0</v>
      </c>
      <c r="B803" s="11">
        <v>7.0</v>
      </c>
      <c r="C803" s="11">
        <v>8.0</v>
      </c>
      <c r="D803" s="17">
        <v>15.0</v>
      </c>
      <c r="E803" s="108">
        <v>3.0</v>
      </c>
      <c r="F803" s="109">
        <v>-5188.97</v>
      </c>
      <c r="G803" s="109">
        <v>42015.69</v>
      </c>
      <c r="H803" s="109">
        <v>53293.46</v>
      </c>
      <c r="I803" s="109">
        <v>49845.16</v>
      </c>
      <c r="J803" s="109">
        <v>-15626.11</v>
      </c>
      <c r="K803" s="109">
        <v>50763.17</v>
      </c>
      <c r="L803" s="109">
        <v>-50135.71</v>
      </c>
      <c r="M803" s="109">
        <v>-56905.17</v>
      </c>
      <c r="N803" s="110">
        <v>11410.0</v>
      </c>
      <c r="O803" s="110">
        <v>10740.0</v>
      </c>
      <c r="P803" s="110">
        <v>51123.0</v>
      </c>
      <c r="Q803" s="110">
        <v>13140.0</v>
      </c>
      <c r="R803" s="50">
        <v>101422.0</v>
      </c>
      <c r="S803" s="111">
        <v>54.0</v>
      </c>
      <c r="T803" s="112">
        <v>32.0</v>
      </c>
      <c r="U803" s="24" t="s">
        <v>31</v>
      </c>
      <c r="V803" s="11" t="s">
        <v>3872</v>
      </c>
      <c r="W803" s="108">
        <v>5.0</v>
      </c>
      <c r="X803" s="113">
        <v>10216.0</v>
      </c>
      <c r="Y803" s="113">
        <v>12017.0</v>
      </c>
      <c r="Z803" s="11">
        <v>132.0</v>
      </c>
      <c r="AA803" s="113">
        <v>92014.0</v>
      </c>
      <c r="AB803" s="109">
        <v>-52432.65</v>
      </c>
      <c r="AC803" s="113">
        <v>90119.0</v>
      </c>
      <c r="AD803" s="108">
        <v>7.0</v>
      </c>
    </row>
    <row r="804">
      <c r="A804" s="11">
        <v>77.0</v>
      </c>
      <c r="B804" s="11">
        <v>3.0</v>
      </c>
      <c r="C804" s="11">
        <v>3.0</v>
      </c>
      <c r="D804" s="17">
        <v>49.0</v>
      </c>
      <c r="E804" s="108">
        <v>4.0</v>
      </c>
      <c r="F804" s="109">
        <v>-78391.6</v>
      </c>
      <c r="G804" s="109">
        <v>-65420.15</v>
      </c>
      <c r="H804" s="109">
        <v>35319.23</v>
      </c>
      <c r="I804" s="109">
        <v>-30791.8</v>
      </c>
      <c r="J804" s="109">
        <v>96871.56</v>
      </c>
      <c r="K804" s="109">
        <v>-53726.12</v>
      </c>
      <c r="L804" s="109">
        <v>-58582.54</v>
      </c>
      <c r="M804" s="109">
        <v>95936.53</v>
      </c>
      <c r="N804" s="110">
        <v>81913.0</v>
      </c>
      <c r="O804" s="110">
        <v>81243.0</v>
      </c>
      <c r="P804" s="110">
        <v>52323.0</v>
      </c>
      <c r="Q804" s="110">
        <v>83143.0</v>
      </c>
      <c r="R804" s="50">
        <v>63018.0</v>
      </c>
      <c r="S804" s="111">
        <v>52.0</v>
      </c>
      <c r="T804" s="112">
        <v>39.0</v>
      </c>
      <c r="U804" s="24" t="s">
        <v>31</v>
      </c>
      <c r="V804" s="11" t="s">
        <v>4092</v>
      </c>
      <c r="W804" s="108">
        <v>2.0</v>
      </c>
      <c r="X804" s="113">
        <v>62816.0</v>
      </c>
      <c r="Y804" s="113">
        <v>33015.0</v>
      </c>
      <c r="Z804" s="11">
        <v>179.0</v>
      </c>
      <c r="AA804" s="113">
        <v>30817.0</v>
      </c>
      <c r="AB804" s="109">
        <v>87693.24</v>
      </c>
      <c r="AC804" s="113">
        <v>40614.0</v>
      </c>
      <c r="AD804" s="108">
        <v>2.0</v>
      </c>
    </row>
    <row r="805">
      <c r="A805" s="11">
        <v>97.0</v>
      </c>
      <c r="B805" s="11">
        <v>8.0</v>
      </c>
      <c r="C805" s="11">
        <v>1.0</v>
      </c>
      <c r="D805" s="17">
        <v>18.0</v>
      </c>
      <c r="E805" s="108">
        <v>4.0</v>
      </c>
      <c r="F805" s="109">
        <v>-71788.59</v>
      </c>
      <c r="G805" s="109">
        <v>-29935.1</v>
      </c>
      <c r="H805" s="109">
        <v>33572.12</v>
      </c>
      <c r="I805" s="109">
        <v>-43166.85</v>
      </c>
      <c r="J805" s="109">
        <v>38328.82</v>
      </c>
      <c r="K805" s="109">
        <v>-18441.98</v>
      </c>
      <c r="L805" s="109">
        <v>36433.33</v>
      </c>
      <c r="M805" s="109">
        <v>-44866.98</v>
      </c>
      <c r="N805" s="110">
        <v>92010.0</v>
      </c>
      <c r="O805" s="110">
        <v>91720.0</v>
      </c>
      <c r="P805" s="110">
        <v>52223.0</v>
      </c>
      <c r="Q805" s="110">
        <v>93020.0</v>
      </c>
      <c r="R805" s="50">
        <v>52114.0</v>
      </c>
      <c r="S805" s="111">
        <v>50.0</v>
      </c>
      <c r="T805" s="112">
        <v>30.0</v>
      </c>
      <c r="U805" s="24" t="s">
        <v>601</v>
      </c>
      <c r="V805" s="11" t="s">
        <v>4089</v>
      </c>
      <c r="W805" s="108">
        <v>9.0</v>
      </c>
      <c r="X805" s="113">
        <v>62818.0</v>
      </c>
      <c r="Y805" s="113">
        <v>92815.0</v>
      </c>
      <c r="Z805" s="11">
        <v>168.0</v>
      </c>
      <c r="AA805" s="113">
        <v>40518.0</v>
      </c>
      <c r="AB805" s="109">
        <v>70690.62</v>
      </c>
      <c r="AC805" s="113">
        <v>32423.0</v>
      </c>
      <c r="AD805" s="108">
        <v>7.0</v>
      </c>
    </row>
    <row r="806">
      <c r="A806" s="11">
        <v>77.0</v>
      </c>
      <c r="B806" s="11">
        <v>3.0</v>
      </c>
      <c r="C806" s="11">
        <v>6.0</v>
      </c>
      <c r="D806" s="17">
        <v>47.0</v>
      </c>
      <c r="E806" s="108">
        <v>9.0</v>
      </c>
      <c r="F806" s="109">
        <v>67320.07</v>
      </c>
      <c r="G806" s="109">
        <v>57102.49</v>
      </c>
      <c r="H806" s="109">
        <v>75421.37</v>
      </c>
      <c r="I806" s="109">
        <v>21163.8</v>
      </c>
      <c r="J806" s="109">
        <v>-8153.42</v>
      </c>
      <c r="K806" s="109">
        <v>86727.51</v>
      </c>
      <c r="L806" s="109">
        <v>70828.57</v>
      </c>
      <c r="M806" s="109">
        <v>3901.52</v>
      </c>
      <c r="N806" s="110">
        <v>21011.0</v>
      </c>
      <c r="O806" s="110">
        <v>20531.0</v>
      </c>
      <c r="P806" s="110">
        <v>51023.0</v>
      </c>
      <c r="Q806" s="110">
        <v>22831.0</v>
      </c>
      <c r="R806" s="50">
        <v>122622.0</v>
      </c>
      <c r="S806" s="111">
        <v>53.0</v>
      </c>
      <c r="T806" s="112">
        <v>31.0</v>
      </c>
      <c r="U806" s="24" t="s">
        <v>39</v>
      </c>
      <c r="V806" s="11" t="s">
        <v>3982</v>
      </c>
      <c r="W806" s="108">
        <v>4.0</v>
      </c>
      <c r="X806" s="113">
        <v>23121.0</v>
      </c>
      <c r="Y806" s="113">
        <v>111514.0</v>
      </c>
      <c r="Z806" s="11">
        <v>158.0</v>
      </c>
      <c r="AA806" s="113">
        <v>42420.0</v>
      </c>
      <c r="AB806" s="109">
        <v>-64998.67</v>
      </c>
      <c r="AC806" s="113">
        <v>12023.0</v>
      </c>
      <c r="AD806" s="108">
        <v>6.0</v>
      </c>
    </row>
    <row r="807">
      <c r="A807" s="11">
        <v>97.0</v>
      </c>
      <c r="B807" s="11">
        <v>8.0</v>
      </c>
      <c r="C807" s="11">
        <v>6.0</v>
      </c>
      <c r="D807" s="17">
        <v>61.0</v>
      </c>
      <c r="E807" s="108">
        <v>0.0</v>
      </c>
      <c r="F807" s="109">
        <v>48721.46</v>
      </c>
      <c r="G807" s="109">
        <v>15130.04</v>
      </c>
      <c r="H807" s="109">
        <v>11744.45</v>
      </c>
      <c r="I807" s="109">
        <v>27240.59</v>
      </c>
      <c r="J807" s="109">
        <v>-42646.78</v>
      </c>
      <c r="K807" s="109">
        <v>-17949.53</v>
      </c>
      <c r="L807" s="109">
        <v>43849.07</v>
      </c>
      <c r="M807" s="109">
        <v>42347.02</v>
      </c>
      <c r="N807" s="110">
        <v>120813.0</v>
      </c>
      <c r="O807" s="110">
        <v>120623.0</v>
      </c>
      <c r="P807" s="110">
        <v>52923.0</v>
      </c>
      <c r="Q807" s="110">
        <v>123122.0</v>
      </c>
      <c r="R807" s="50">
        <v>52813.0</v>
      </c>
      <c r="S807" s="111">
        <v>50.0</v>
      </c>
      <c r="T807" s="112">
        <v>19.0</v>
      </c>
      <c r="U807" s="24" t="s">
        <v>31</v>
      </c>
      <c r="V807" s="11" t="s">
        <v>3957</v>
      </c>
      <c r="W807" s="108">
        <v>8.0</v>
      </c>
      <c r="X807" s="113">
        <v>122321.0</v>
      </c>
      <c r="Y807" s="113">
        <v>31713.0</v>
      </c>
      <c r="Z807" s="11">
        <v>108.0</v>
      </c>
      <c r="AA807" s="113">
        <v>100816.0</v>
      </c>
      <c r="AB807" s="109">
        <v>-62151.19</v>
      </c>
      <c r="AC807" s="113">
        <v>92513.0</v>
      </c>
      <c r="AD807" s="108">
        <v>3.0</v>
      </c>
    </row>
    <row r="808">
      <c r="A808" s="11">
        <v>15.0</v>
      </c>
      <c r="B808" s="11">
        <v>9.0</v>
      </c>
      <c r="C808" s="11">
        <v>5.0</v>
      </c>
      <c r="D808" s="17">
        <v>11.0</v>
      </c>
      <c r="E808" s="108">
        <v>0.0</v>
      </c>
      <c r="F808" s="109">
        <v>-15210.46</v>
      </c>
      <c r="G808" s="109">
        <v>21350.77</v>
      </c>
      <c r="H808" s="109">
        <v>36176.42</v>
      </c>
      <c r="I808" s="109">
        <v>-73304.46</v>
      </c>
      <c r="J808" s="109">
        <v>4057.62</v>
      </c>
      <c r="K808" s="109">
        <v>80557.92</v>
      </c>
      <c r="L808" s="109">
        <v>30498.33</v>
      </c>
      <c r="M808" s="109">
        <v>-5033.16</v>
      </c>
      <c r="N808" s="110">
        <v>111714.0</v>
      </c>
      <c r="O808" s="110">
        <v>111424.0</v>
      </c>
      <c r="P808" s="110">
        <v>50723.0</v>
      </c>
      <c r="Q808" s="110">
        <v>113024.0</v>
      </c>
      <c r="R808" s="50">
        <v>20513.0</v>
      </c>
      <c r="S808" s="111">
        <v>54.0</v>
      </c>
      <c r="T808" s="112">
        <v>35.0</v>
      </c>
      <c r="U808" s="24" t="s">
        <v>31</v>
      </c>
      <c r="V808" s="11" t="s">
        <v>3978</v>
      </c>
      <c r="W808" s="108">
        <v>8.0</v>
      </c>
      <c r="X808" s="113">
        <v>22415.0</v>
      </c>
      <c r="Y808" s="113">
        <v>91615.0</v>
      </c>
      <c r="Z808" s="11">
        <v>104.0</v>
      </c>
      <c r="AA808" s="113">
        <v>100421.0</v>
      </c>
      <c r="AB808" s="109">
        <v>-57535.15</v>
      </c>
      <c r="AC808" s="113">
        <v>12123.0</v>
      </c>
      <c r="AD808" s="108">
        <v>4.0</v>
      </c>
    </row>
    <row r="809">
      <c r="A809" s="11">
        <v>97.0</v>
      </c>
      <c r="B809" s="11">
        <v>8.0</v>
      </c>
      <c r="C809" s="11">
        <v>7.0</v>
      </c>
      <c r="D809" s="17">
        <v>82.0</v>
      </c>
      <c r="E809" s="108">
        <v>4.0</v>
      </c>
      <c r="F809" s="109">
        <v>-5826.05</v>
      </c>
      <c r="G809" s="109">
        <v>43121.82</v>
      </c>
      <c r="H809" s="109">
        <v>8559.4</v>
      </c>
      <c r="I809" s="109">
        <v>85511.62</v>
      </c>
      <c r="J809" s="109">
        <v>5672.71</v>
      </c>
      <c r="K809" s="109">
        <v>-8194.3</v>
      </c>
      <c r="L809" s="109">
        <v>-81613.72</v>
      </c>
      <c r="M809" s="109">
        <v>64095.83</v>
      </c>
      <c r="N809" s="110">
        <v>113010.0</v>
      </c>
      <c r="O809" s="110">
        <v>112530.0</v>
      </c>
      <c r="P809" s="110">
        <v>50423.0</v>
      </c>
      <c r="Q809" s="110">
        <v>113030.0</v>
      </c>
      <c r="R809" s="50">
        <v>80413.0</v>
      </c>
      <c r="S809" s="111">
        <v>50.0</v>
      </c>
      <c r="T809" s="112">
        <v>71.0</v>
      </c>
      <c r="U809" s="24" t="s">
        <v>31</v>
      </c>
      <c r="V809" s="11" t="s">
        <v>3881</v>
      </c>
      <c r="W809" s="108">
        <v>8.0</v>
      </c>
      <c r="X809" s="113">
        <v>11018.0</v>
      </c>
      <c r="Y809" s="113">
        <v>111821.0</v>
      </c>
      <c r="Z809" s="11">
        <v>154.0</v>
      </c>
      <c r="AA809" s="113">
        <v>72523.0</v>
      </c>
      <c r="AB809" s="109">
        <v>-10694.92</v>
      </c>
      <c r="AC809" s="113">
        <v>42614.0</v>
      </c>
      <c r="AD809" s="108">
        <v>8.0</v>
      </c>
    </row>
    <row r="810">
      <c r="A810" s="11">
        <v>15.0</v>
      </c>
      <c r="B810" s="11">
        <v>9.0</v>
      </c>
      <c r="C810" s="11">
        <v>8.0</v>
      </c>
      <c r="D810" s="17">
        <v>1.0</v>
      </c>
      <c r="E810" s="108">
        <v>9.0</v>
      </c>
      <c r="F810" s="109">
        <v>74927.01</v>
      </c>
      <c r="G810" s="109">
        <v>56551.39</v>
      </c>
      <c r="H810" s="109">
        <v>-15998.12</v>
      </c>
      <c r="I810" s="109">
        <v>-19090.07</v>
      </c>
      <c r="J810" s="109">
        <v>93858.12</v>
      </c>
      <c r="K810" s="109">
        <v>-75536.58</v>
      </c>
      <c r="L810" s="109">
        <v>31507.57</v>
      </c>
      <c r="M810" s="109">
        <v>29627.43</v>
      </c>
      <c r="N810" s="110">
        <v>50813.0</v>
      </c>
      <c r="O810" s="110">
        <v>50623.0</v>
      </c>
      <c r="P810" s="110">
        <v>50623.0</v>
      </c>
      <c r="Q810" s="110">
        <v>53123.0</v>
      </c>
      <c r="R810" s="50">
        <v>82918.0</v>
      </c>
      <c r="S810" s="111">
        <v>55.0</v>
      </c>
      <c r="T810" s="112">
        <v>63.0</v>
      </c>
      <c r="U810" s="24" t="s">
        <v>603</v>
      </c>
      <c r="V810" s="11" t="s">
        <v>3907</v>
      </c>
      <c r="W810" s="108">
        <v>2.0</v>
      </c>
      <c r="X810" s="113">
        <v>71822.0</v>
      </c>
      <c r="Y810" s="113">
        <v>90414.0</v>
      </c>
      <c r="Z810" s="11">
        <v>102.0</v>
      </c>
      <c r="AA810" s="113">
        <v>80613.0</v>
      </c>
      <c r="AB810" s="109">
        <v>82590.94</v>
      </c>
      <c r="AC810" s="113">
        <v>122821.0</v>
      </c>
      <c r="AD810" s="108">
        <v>4.0</v>
      </c>
    </row>
    <row r="811">
      <c r="A811" s="11">
        <v>36.0</v>
      </c>
      <c r="B811" s="11">
        <v>4.0</v>
      </c>
      <c r="C811" s="11">
        <v>8.0</v>
      </c>
      <c r="D811" s="17">
        <v>73.0</v>
      </c>
      <c r="E811" s="108">
        <v>8.0</v>
      </c>
      <c r="F811" s="109">
        <v>25099.71</v>
      </c>
      <c r="G811" s="109">
        <v>-67673.86</v>
      </c>
      <c r="H811" s="109">
        <v>50712.8</v>
      </c>
      <c r="I811" s="109">
        <v>-7810.54</v>
      </c>
      <c r="J811" s="109">
        <v>78209.0</v>
      </c>
      <c r="K811" s="109">
        <v>49202.8</v>
      </c>
      <c r="L811" s="109">
        <v>93873.46</v>
      </c>
      <c r="M811" s="109">
        <v>15871.15</v>
      </c>
      <c r="N811" s="110">
        <v>51413.0</v>
      </c>
      <c r="O811" s="110">
        <v>50933.0</v>
      </c>
      <c r="P811" s="110">
        <v>52423.0</v>
      </c>
      <c r="Q811" s="110">
        <v>53133.0</v>
      </c>
      <c r="R811" s="50">
        <v>90621.0</v>
      </c>
      <c r="S811" s="111">
        <v>52.0</v>
      </c>
      <c r="T811" s="112">
        <v>8.0</v>
      </c>
      <c r="U811" s="24" t="s">
        <v>48</v>
      </c>
      <c r="V811" s="11" t="s">
        <v>3866</v>
      </c>
      <c r="W811" s="108">
        <v>6.0</v>
      </c>
      <c r="X811" s="113">
        <v>72123.0</v>
      </c>
      <c r="Y811" s="113">
        <v>11116.0</v>
      </c>
      <c r="Z811" s="11">
        <v>132.0</v>
      </c>
      <c r="AA811" s="113">
        <v>102118.0</v>
      </c>
      <c r="AB811" s="109">
        <v>41141.07</v>
      </c>
      <c r="AC811" s="113">
        <v>41223.0</v>
      </c>
      <c r="AD811" s="108">
        <v>4.0</v>
      </c>
    </row>
    <row r="812">
      <c r="A812" s="11">
        <v>77.0</v>
      </c>
      <c r="B812" s="11">
        <v>4.0</v>
      </c>
      <c r="C812" s="11">
        <v>5.0</v>
      </c>
      <c r="D812" s="17">
        <v>11.0</v>
      </c>
      <c r="E812" s="108">
        <v>8.0</v>
      </c>
      <c r="F812" s="109">
        <v>32680.21</v>
      </c>
      <c r="G812" s="109">
        <v>96870.98</v>
      </c>
      <c r="H812" s="109">
        <v>-24420.71</v>
      </c>
      <c r="I812" s="109">
        <v>36669.22</v>
      </c>
      <c r="J812" s="109">
        <v>1043.21</v>
      </c>
      <c r="K812" s="109">
        <v>12880.77</v>
      </c>
      <c r="L812" s="109">
        <v>-36161.75</v>
      </c>
      <c r="M812" s="109">
        <v>35536.8</v>
      </c>
      <c r="N812" s="110">
        <v>100110.0</v>
      </c>
      <c r="O812" s="110">
        <v>92630.0</v>
      </c>
      <c r="P812" s="110">
        <v>53023.0</v>
      </c>
      <c r="Q812" s="110">
        <v>93030.0</v>
      </c>
      <c r="R812" s="50">
        <v>102522.0</v>
      </c>
      <c r="S812" s="111">
        <v>52.0</v>
      </c>
      <c r="T812" s="112">
        <v>12.0</v>
      </c>
      <c r="U812" s="24" t="s">
        <v>39</v>
      </c>
      <c r="V812" s="11" t="s">
        <v>4014</v>
      </c>
      <c r="W812" s="108">
        <v>7.0</v>
      </c>
      <c r="X812" s="113">
        <v>103118.0</v>
      </c>
      <c r="Y812" s="113">
        <v>20320.0</v>
      </c>
      <c r="Z812" s="11">
        <v>152.0</v>
      </c>
      <c r="AA812" s="113">
        <v>52520.0</v>
      </c>
      <c r="AB812" s="109">
        <v>-2274.5</v>
      </c>
      <c r="AC812" s="113">
        <v>82519.0</v>
      </c>
      <c r="AD812" s="108">
        <v>0.0</v>
      </c>
    </row>
    <row r="813">
      <c r="A813" s="11">
        <v>56.0</v>
      </c>
      <c r="B813" s="11">
        <v>9.0</v>
      </c>
      <c r="C813" s="11">
        <v>7.0</v>
      </c>
      <c r="D813" s="17">
        <v>30.0</v>
      </c>
      <c r="E813" s="108">
        <v>3.0</v>
      </c>
      <c r="F813" s="109">
        <v>15639.47</v>
      </c>
      <c r="G813" s="109">
        <v>-72172.66</v>
      </c>
      <c r="H813" s="109">
        <v>91489.87</v>
      </c>
      <c r="I813" s="109">
        <v>59229.06</v>
      </c>
      <c r="J813" s="109">
        <v>-3533.17</v>
      </c>
      <c r="K813" s="109">
        <v>-94134.64</v>
      </c>
      <c r="L813" s="109">
        <v>19789.69</v>
      </c>
      <c r="M813" s="109">
        <v>-18374.64</v>
      </c>
      <c r="N813" s="110">
        <v>122213.0</v>
      </c>
      <c r="O813" s="110">
        <v>121543.0</v>
      </c>
      <c r="P813" s="110">
        <v>50823.0</v>
      </c>
      <c r="Q813" s="110">
        <v>123142.0</v>
      </c>
      <c r="R813" s="50">
        <v>32917.0</v>
      </c>
      <c r="S813" s="111">
        <v>54.0</v>
      </c>
      <c r="T813" s="112">
        <v>27.0</v>
      </c>
      <c r="U813" s="24" t="s">
        <v>48</v>
      </c>
      <c r="V813" s="11" t="s">
        <v>4003</v>
      </c>
      <c r="W813" s="108">
        <v>1.0</v>
      </c>
      <c r="X813" s="113">
        <v>61314.0</v>
      </c>
      <c r="Y813" s="113">
        <v>81714.0</v>
      </c>
      <c r="Z813" s="11">
        <v>151.0</v>
      </c>
      <c r="AA813" s="113">
        <v>62721.0</v>
      </c>
      <c r="AB813" s="109">
        <v>77485.95</v>
      </c>
      <c r="AC813" s="113">
        <v>12615.0</v>
      </c>
      <c r="AD813" s="108">
        <v>8.0</v>
      </c>
    </row>
    <row r="814">
      <c r="A814" s="11">
        <v>97.0</v>
      </c>
      <c r="B814" s="11">
        <v>9.0</v>
      </c>
      <c r="C814" s="11">
        <v>3.0</v>
      </c>
      <c r="D814" s="17">
        <v>68.0</v>
      </c>
      <c r="E814" s="108">
        <v>7.0</v>
      </c>
      <c r="F814" s="109">
        <v>52878.75</v>
      </c>
      <c r="G814" s="109">
        <v>-79150.76</v>
      </c>
      <c r="H814" s="109">
        <v>53822.36</v>
      </c>
      <c r="I814" s="109">
        <v>48861.84</v>
      </c>
      <c r="J814" s="109">
        <v>-97130.71</v>
      </c>
      <c r="K814" s="109">
        <v>74278.61</v>
      </c>
      <c r="L814" s="109">
        <v>78644.57</v>
      </c>
      <c r="M814" s="109">
        <v>85112.27</v>
      </c>
      <c r="N814" s="110">
        <v>70113.0</v>
      </c>
      <c r="O814" s="110">
        <v>62633.0</v>
      </c>
      <c r="P814" s="110">
        <v>52523.0</v>
      </c>
      <c r="Q814" s="110">
        <v>63033.0</v>
      </c>
      <c r="R814" s="50">
        <v>102819.0</v>
      </c>
      <c r="S814" s="111">
        <v>55.0</v>
      </c>
      <c r="T814" s="112">
        <v>2.0</v>
      </c>
      <c r="U814" s="24" t="s">
        <v>601</v>
      </c>
      <c r="V814" s="11" t="s">
        <v>4033</v>
      </c>
      <c r="W814" s="108">
        <v>9.0</v>
      </c>
      <c r="X814" s="113">
        <v>52422.0</v>
      </c>
      <c r="Y814" s="113">
        <v>70215.0</v>
      </c>
      <c r="Z814" s="11">
        <v>136.0</v>
      </c>
      <c r="AA814" s="113">
        <v>21013.0</v>
      </c>
      <c r="AB814" s="109">
        <v>51491.07</v>
      </c>
      <c r="AC814" s="113">
        <v>61818.0</v>
      </c>
      <c r="AD814" s="108">
        <v>0.0</v>
      </c>
    </row>
    <row r="815">
      <c r="A815" s="11">
        <v>77.0</v>
      </c>
      <c r="B815" s="11">
        <v>4.0</v>
      </c>
      <c r="C815" s="11">
        <v>9.0</v>
      </c>
      <c r="D815" s="17">
        <v>15.0</v>
      </c>
      <c r="E815" s="108">
        <v>7.0</v>
      </c>
      <c r="F815" s="109">
        <v>-73854.36</v>
      </c>
      <c r="G815" s="109">
        <v>89874.6</v>
      </c>
      <c r="H815" s="109">
        <v>30170.81</v>
      </c>
      <c r="I815" s="109">
        <v>-68010.48</v>
      </c>
      <c r="J815" s="109">
        <v>40220.98</v>
      </c>
      <c r="K815" s="109">
        <v>-17042.16</v>
      </c>
      <c r="L815" s="109">
        <v>76891.69</v>
      </c>
      <c r="M815" s="109">
        <v>-57116.16</v>
      </c>
      <c r="N815" s="110">
        <v>32914.0</v>
      </c>
      <c r="O815" s="110">
        <v>32624.0</v>
      </c>
      <c r="P815" s="110">
        <v>50623.0</v>
      </c>
      <c r="Q815" s="110">
        <v>33124.0</v>
      </c>
      <c r="R815" s="50">
        <v>72913.0</v>
      </c>
      <c r="S815" s="111">
        <v>54.0</v>
      </c>
      <c r="T815" s="112">
        <v>15.0</v>
      </c>
      <c r="U815" s="24" t="s">
        <v>31</v>
      </c>
      <c r="V815" s="11" t="s">
        <v>4065</v>
      </c>
      <c r="W815" s="108">
        <v>9.0</v>
      </c>
      <c r="X815" s="113">
        <v>32222.0</v>
      </c>
      <c r="Y815" s="113">
        <v>22515.0</v>
      </c>
      <c r="Z815" s="11">
        <v>186.0</v>
      </c>
      <c r="AA815" s="113">
        <v>81623.0</v>
      </c>
      <c r="AB815" s="109">
        <v>32262.54</v>
      </c>
      <c r="AC815" s="113">
        <v>51820.0</v>
      </c>
      <c r="AD815" s="108">
        <v>2.0</v>
      </c>
    </row>
    <row r="816">
      <c r="A816" s="11">
        <v>36.0</v>
      </c>
      <c r="B816" s="11">
        <v>5.0</v>
      </c>
      <c r="C816" s="11">
        <v>5.0</v>
      </c>
      <c r="D816" s="17">
        <v>39.0</v>
      </c>
      <c r="E816" s="108">
        <v>8.0</v>
      </c>
      <c r="F816" s="109">
        <v>34359.32</v>
      </c>
      <c r="G816" s="109">
        <v>30117.1</v>
      </c>
      <c r="H816" s="109">
        <v>31368.56</v>
      </c>
      <c r="I816" s="109">
        <v>-64769.52</v>
      </c>
      <c r="J816" s="109">
        <v>66913.62</v>
      </c>
      <c r="K816" s="109">
        <v>-68869.3</v>
      </c>
      <c r="L816" s="109">
        <v>9791.66</v>
      </c>
      <c r="M816" s="109">
        <v>25431.35</v>
      </c>
      <c r="N816" s="110">
        <v>71310.0</v>
      </c>
      <c r="O816" s="110">
        <v>70830.0</v>
      </c>
      <c r="P816" s="110">
        <v>50423.0</v>
      </c>
      <c r="Q816" s="110">
        <v>73130.0</v>
      </c>
      <c r="R816" s="50">
        <v>21015.0</v>
      </c>
      <c r="S816" s="111">
        <v>50.0</v>
      </c>
      <c r="T816" s="112">
        <v>53.0</v>
      </c>
      <c r="U816" s="24" t="s">
        <v>601</v>
      </c>
      <c r="V816" s="11" t="s">
        <v>3943</v>
      </c>
      <c r="W816" s="108">
        <v>2.0</v>
      </c>
      <c r="X816" s="113">
        <v>32221.0</v>
      </c>
      <c r="Y816" s="113">
        <v>71517.0</v>
      </c>
      <c r="Z816" s="11">
        <v>134.0</v>
      </c>
      <c r="AA816" s="113">
        <v>121519.0</v>
      </c>
      <c r="AB816" s="109">
        <v>83721.07</v>
      </c>
      <c r="AC816" s="113">
        <v>50315.0</v>
      </c>
      <c r="AD816" s="108">
        <v>6.0</v>
      </c>
    </row>
    <row r="817">
      <c r="A817" s="11">
        <v>77.0</v>
      </c>
      <c r="B817" s="11">
        <v>5.0</v>
      </c>
      <c r="C817" s="11">
        <v>2.0</v>
      </c>
      <c r="D817" s="17">
        <v>85.0</v>
      </c>
      <c r="E817" s="108">
        <v>4.0</v>
      </c>
      <c r="F817" s="109">
        <v>-52178.5</v>
      </c>
      <c r="G817" s="109">
        <v>30056.47</v>
      </c>
      <c r="H817" s="109">
        <v>97766.88</v>
      </c>
      <c r="I817" s="109">
        <v>-41825.71</v>
      </c>
      <c r="J817" s="109">
        <v>54945.42</v>
      </c>
      <c r="K817" s="109">
        <v>48096.57</v>
      </c>
      <c r="L817" s="109">
        <v>-13655.72</v>
      </c>
      <c r="M817" s="109">
        <v>-70726.58</v>
      </c>
      <c r="N817" s="110">
        <v>121614.0</v>
      </c>
      <c r="O817" s="110">
        <v>121324.0</v>
      </c>
      <c r="P817" s="110">
        <v>52023.0</v>
      </c>
      <c r="Q817" s="110">
        <v>123123.0</v>
      </c>
      <c r="R817" s="50">
        <v>33022.0</v>
      </c>
      <c r="S817" s="111">
        <v>55.0</v>
      </c>
      <c r="T817" s="112">
        <v>6.0</v>
      </c>
      <c r="U817" s="24" t="s">
        <v>48</v>
      </c>
      <c r="V817" s="11" t="s">
        <v>3906</v>
      </c>
      <c r="W817" s="108">
        <v>6.0</v>
      </c>
      <c r="X817" s="113">
        <v>61023.0</v>
      </c>
      <c r="Y817" s="113">
        <v>120814.0</v>
      </c>
      <c r="Z817" s="11">
        <v>116.0</v>
      </c>
      <c r="AA817" s="113">
        <v>100717.0</v>
      </c>
      <c r="AB817" s="109">
        <v>84417.25</v>
      </c>
      <c r="AC817" s="113">
        <v>61713.0</v>
      </c>
      <c r="AD817" s="108">
        <v>6.0</v>
      </c>
    </row>
    <row r="818">
      <c r="A818" s="11">
        <v>77.0</v>
      </c>
      <c r="B818" s="11">
        <v>5.0</v>
      </c>
      <c r="C818" s="11">
        <v>3.0</v>
      </c>
      <c r="D818" s="17">
        <v>54.0</v>
      </c>
      <c r="E818" s="108">
        <v>2.0</v>
      </c>
      <c r="F818" s="109">
        <v>-77657.68</v>
      </c>
      <c r="G818" s="109">
        <v>3508.62</v>
      </c>
      <c r="H818" s="109">
        <v>34327.61</v>
      </c>
      <c r="I818" s="109">
        <v>-71028.78</v>
      </c>
      <c r="J818" s="109">
        <v>-86202.1</v>
      </c>
      <c r="K818" s="109">
        <v>-89870.1</v>
      </c>
      <c r="L818" s="109">
        <v>13645.74</v>
      </c>
      <c r="M818" s="109">
        <v>80008.01</v>
      </c>
      <c r="N818" s="110">
        <v>30713.0</v>
      </c>
      <c r="O818" s="110">
        <v>22843.0</v>
      </c>
      <c r="P818" s="110">
        <v>52723.0</v>
      </c>
      <c r="Q818" s="110">
        <v>22843.0</v>
      </c>
      <c r="R818" s="50">
        <v>80820.0</v>
      </c>
      <c r="S818" s="111">
        <v>50.0</v>
      </c>
      <c r="T818" s="112">
        <v>94.0</v>
      </c>
      <c r="U818" s="24" t="s">
        <v>31</v>
      </c>
      <c r="V818" s="11" t="s">
        <v>4015</v>
      </c>
      <c r="W818" s="108">
        <v>9.0</v>
      </c>
      <c r="X818" s="113">
        <v>123014.0</v>
      </c>
      <c r="Y818" s="113">
        <v>42521.0</v>
      </c>
      <c r="Z818" s="11">
        <v>159.0</v>
      </c>
      <c r="AA818" s="113">
        <v>11714.0</v>
      </c>
      <c r="AB818" s="109">
        <v>71950.57</v>
      </c>
      <c r="AC818" s="113">
        <v>82218.0</v>
      </c>
      <c r="AD818" s="108">
        <v>2.0</v>
      </c>
    </row>
    <row r="819">
      <c r="A819" s="11">
        <v>77.0</v>
      </c>
      <c r="B819" s="11">
        <v>5.0</v>
      </c>
      <c r="C819" s="11">
        <v>6.0</v>
      </c>
      <c r="D819" s="17">
        <v>30.0</v>
      </c>
      <c r="E819" s="108">
        <v>3.0</v>
      </c>
      <c r="F819" s="109">
        <v>-71603.23</v>
      </c>
      <c r="G819" s="109">
        <v>-91709.55</v>
      </c>
      <c r="H819" s="109">
        <v>46346.54</v>
      </c>
      <c r="I819" s="109">
        <v>17966.54</v>
      </c>
      <c r="J819" s="109">
        <v>-22124.73</v>
      </c>
      <c r="K819" s="109">
        <v>37336.38</v>
      </c>
      <c r="L819" s="109">
        <v>-21314.34</v>
      </c>
      <c r="M819" s="109">
        <v>70989.26</v>
      </c>
      <c r="N819" s="110">
        <v>71613.0</v>
      </c>
      <c r="O819" s="110">
        <v>70943.0</v>
      </c>
      <c r="P819" s="110">
        <v>50123.0</v>
      </c>
      <c r="Q819" s="110">
        <v>73143.0</v>
      </c>
      <c r="R819" s="50">
        <v>121819.0</v>
      </c>
      <c r="S819" s="111">
        <v>50.0</v>
      </c>
      <c r="T819" s="112">
        <v>42.0</v>
      </c>
      <c r="U819" s="24" t="s">
        <v>601</v>
      </c>
      <c r="V819" s="11" t="s">
        <v>4036</v>
      </c>
      <c r="W819" s="108">
        <v>4.0</v>
      </c>
      <c r="X819" s="113">
        <v>100516.0</v>
      </c>
      <c r="Y819" s="113">
        <v>41821.0</v>
      </c>
      <c r="Z819" s="11">
        <v>113.0</v>
      </c>
      <c r="AA819" s="113">
        <v>32419.0</v>
      </c>
      <c r="AB819" s="109">
        <v>-15988.54</v>
      </c>
      <c r="AC819" s="113">
        <v>91820.0</v>
      </c>
      <c r="AD819" s="108">
        <v>7.0</v>
      </c>
    </row>
    <row r="820">
      <c r="A820" s="11">
        <v>77.0</v>
      </c>
      <c r="B820" s="11">
        <v>6.0</v>
      </c>
      <c r="C820" s="11">
        <v>1.0</v>
      </c>
      <c r="D820" s="17">
        <v>39.0</v>
      </c>
      <c r="E820" s="108">
        <v>5.0</v>
      </c>
      <c r="F820" s="109">
        <v>65525.79</v>
      </c>
      <c r="G820" s="109">
        <v>5671.3</v>
      </c>
      <c r="H820" s="109">
        <v>-50688.26</v>
      </c>
      <c r="I820" s="109">
        <v>-19207.25</v>
      </c>
      <c r="J820" s="109">
        <v>37442.43</v>
      </c>
      <c r="K820" s="109">
        <v>-86068.11</v>
      </c>
      <c r="L820" s="109">
        <v>66963.07</v>
      </c>
      <c r="M820" s="109">
        <v>5807.88</v>
      </c>
      <c r="N820" s="110">
        <v>62711.0</v>
      </c>
      <c r="O820" s="110">
        <v>61941.0</v>
      </c>
      <c r="P820" s="110">
        <v>52723.0</v>
      </c>
      <c r="Q820" s="110">
        <v>63041.0</v>
      </c>
      <c r="R820" s="50">
        <v>71619.0</v>
      </c>
      <c r="S820" s="111">
        <v>52.0</v>
      </c>
      <c r="T820" s="112">
        <v>68.0</v>
      </c>
      <c r="U820" s="24" t="s">
        <v>39</v>
      </c>
      <c r="V820" s="11" t="s">
        <v>4088</v>
      </c>
      <c r="W820" s="108">
        <v>5.0</v>
      </c>
      <c r="X820" s="113">
        <v>20414.0</v>
      </c>
      <c r="Y820" s="113">
        <v>52617.0</v>
      </c>
      <c r="Z820" s="11">
        <v>160.0</v>
      </c>
      <c r="AA820" s="113">
        <v>121918.0</v>
      </c>
      <c r="AB820" s="109">
        <v>57885.99</v>
      </c>
      <c r="AC820" s="113">
        <v>101720.0</v>
      </c>
      <c r="AD820" s="108">
        <v>0.0</v>
      </c>
    </row>
    <row r="821">
      <c r="A821" s="11">
        <v>98.0</v>
      </c>
      <c r="B821" s="11">
        <v>1.0</v>
      </c>
      <c r="C821" s="11">
        <v>3.0</v>
      </c>
      <c r="D821" s="17">
        <v>73.0</v>
      </c>
      <c r="E821" s="108">
        <v>4.0</v>
      </c>
      <c r="F821" s="109">
        <v>-55523.98</v>
      </c>
      <c r="G821" s="109">
        <v>52486.12</v>
      </c>
      <c r="H821" s="109">
        <v>-77340.26</v>
      </c>
      <c r="I821" s="109">
        <v>-44668.94</v>
      </c>
      <c r="J821" s="109">
        <v>-69975.98</v>
      </c>
      <c r="K821" s="109">
        <v>95714.28</v>
      </c>
      <c r="L821" s="109">
        <v>-53935.82</v>
      </c>
      <c r="M821" s="109">
        <v>-16929.4</v>
      </c>
      <c r="N821" s="110">
        <v>72710.0</v>
      </c>
      <c r="O821" s="110">
        <v>72230.0</v>
      </c>
      <c r="P821" s="110">
        <v>51023.0</v>
      </c>
      <c r="Q821" s="110">
        <v>73130.0</v>
      </c>
      <c r="R821" s="50">
        <v>120720.0</v>
      </c>
      <c r="S821" s="111">
        <v>53.0</v>
      </c>
      <c r="T821" s="112">
        <v>29.0</v>
      </c>
      <c r="U821" s="24" t="s">
        <v>31</v>
      </c>
      <c r="V821" s="11" t="s">
        <v>4096</v>
      </c>
      <c r="W821" s="108">
        <v>2.0</v>
      </c>
      <c r="X821" s="113">
        <v>11515.0</v>
      </c>
      <c r="Y821" s="113">
        <v>61821.0</v>
      </c>
      <c r="Z821" s="11">
        <v>102.0</v>
      </c>
      <c r="AA821" s="113">
        <v>81414.0</v>
      </c>
      <c r="AB821" s="109">
        <v>-8718.1</v>
      </c>
      <c r="AC821" s="113">
        <v>52517.0</v>
      </c>
      <c r="AD821" s="108">
        <v>5.0</v>
      </c>
    </row>
    <row r="822">
      <c r="A822" s="11">
        <v>77.0</v>
      </c>
      <c r="B822" s="11">
        <v>6.0</v>
      </c>
      <c r="C822" s="11">
        <v>8.0</v>
      </c>
      <c r="D822" s="17">
        <v>83.0</v>
      </c>
      <c r="E822" s="108">
        <v>1.0</v>
      </c>
      <c r="F822" s="109">
        <v>-39332.99</v>
      </c>
      <c r="G822" s="109">
        <v>89599.57</v>
      </c>
      <c r="H822" s="109">
        <v>-43321.86</v>
      </c>
      <c r="I822" s="109">
        <v>73111.37</v>
      </c>
      <c r="J822" s="109">
        <v>17790.02</v>
      </c>
      <c r="K822" s="109">
        <v>81915.42</v>
      </c>
      <c r="L822" s="109">
        <v>-12357.24</v>
      </c>
      <c r="M822" s="109">
        <v>-23497.11</v>
      </c>
      <c r="N822" s="110">
        <v>41913.0</v>
      </c>
      <c r="O822" s="110">
        <v>41723.0</v>
      </c>
      <c r="P822" s="110">
        <v>50423.0</v>
      </c>
      <c r="Q822" s="110">
        <v>43023.0</v>
      </c>
      <c r="R822" s="50">
        <v>112813.0</v>
      </c>
      <c r="S822" s="111">
        <v>51.0</v>
      </c>
      <c r="T822" s="112">
        <v>74.0</v>
      </c>
      <c r="U822" s="24" t="s">
        <v>603</v>
      </c>
      <c r="V822" s="11" t="s">
        <v>3951</v>
      </c>
      <c r="W822" s="108">
        <v>5.0</v>
      </c>
      <c r="X822" s="113">
        <v>40219.0</v>
      </c>
      <c r="Y822" s="113">
        <v>111918.0</v>
      </c>
      <c r="Z822" s="11">
        <v>185.0</v>
      </c>
      <c r="AA822" s="113">
        <v>22320.0</v>
      </c>
      <c r="AB822" s="109">
        <v>32584.26</v>
      </c>
      <c r="AC822" s="113">
        <v>10515.0</v>
      </c>
      <c r="AD822" s="108">
        <v>7.0</v>
      </c>
    </row>
    <row r="823">
      <c r="A823" s="11">
        <v>98.0</v>
      </c>
      <c r="B823" s="11">
        <v>1.0</v>
      </c>
      <c r="C823" s="11">
        <v>7.0</v>
      </c>
      <c r="D823" s="17">
        <v>47.0</v>
      </c>
      <c r="E823" s="108">
        <v>7.0</v>
      </c>
      <c r="F823" s="109">
        <v>41182.8</v>
      </c>
      <c r="G823" s="109">
        <v>-30595.92</v>
      </c>
      <c r="H823" s="109">
        <v>-60800.84</v>
      </c>
      <c r="I823" s="109">
        <v>86177.36</v>
      </c>
      <c r="J823" s="109">
        <v>55079.38</v>
      </c>
      <c r="K823" s="109">
        <v>48609.59</v>
      </c>
      <c r="L823" s="109">
        <v>-37537.71</v>
      </c>
      <c r="M823" s="109">
        <v>-76383.45</v>
      </c>
      <c r="N823" s="110">
        <v>21413.0</v>
      </c>
      <c r="O823" s="110">
        <v>20933.0</v>
      </c>
      <c r="P823" s="110">
        <v>52623.0</v>
      </c>
      <c r="Q823" s="110">
        <v>22833.0</v>
      </c>
      <c r="R823" s="50">
        <v>50317.0</v>
      </c>
      <c r="S823" s="111">
        <v>54.0</v>
      </c>
      <c r="T823" s="112">
        <v>17.0</v>
      </c>
      <c r="U823" s="24" t="s">
        <v>48</v>
      </c>
      <c r="V823" s="11" t="s">
        <v>4045</v>
      </c>
      <c r="W823" s="108">
        <v>6.0</v>
      </c>
      <c r="X823" s="113">
        <v>23121.0</v>
      </c>
      <c r="Y823" s="113">
        <v>91814.0</v>
      </c>
      <c r="Z823" s="11">
        <v>107.0</v>
      </c>
      <c r="AA823" s="113">
        <v>42513.0</v>
      </c>
      <c r="AB823" s="109">
        <v>-22971.85</v>
      </c>
      <c r="AC823" s="113">
        <v>92823.0</v>
      </c>
      <c r="AD823" s="108">
        <v>1.0</v>
      </c>
    </row>
    <row r="824">
      <c r="A824" s="11">
        <v>57.0</v>
      </c>
      <c r="B824" s="11">
        <v>2.0</v>
      </c>
      <c r="C824" s="11">
        <v>4.0</v>
      </c>
      <c r="D824" s="17">
        <v>82.0</v>
      </c>
      <c r="E824" s="108">
        <v>7.0</v>
      </c>
      <c r="F824" s="109">
        <v>-89339.28</v>
      </c>
      <c r="G824" s="109">
        <v>13387.09</v>
      </c>
      <c r="H824" s="109">
        <v>65923.36</v>
      </c>
      <c r="I824" s="109">
        <v>-76400.96</v>
      </c>
      <c r="J824" s="109">
        <v>41311.19</v>
      </c>
      <c r="K824" s="109">
        <v>-77334.29</v>
      </c>
      <c r="L824" s="109">
        <v>35281.24</v>
      </c>
      <c r="M824" s="109">
        <v>91703.5</v>
      </c>
      <c r="N824" s="110">
        <v>51810.0</v>
      </c>
      <c r="O824" s="110">
        <v>51330.0</v>
      </c>
      <c r="P824" s="110">
        <v>52923.0</v>
      </c>
      <c r="Q824" s="110">
        <v>53130.0</v>
      </c>
      <c r="R824" s="50">
        <v>91019.0</v>
      </c>
      <c r="S824" s="111">
        <v>53.0</v>
      </c>
      <c r="T824" s="112">
        <v>84.0</v>
      </c>
      <c r="U824" s="24" t="s">
        <v>31</v>
      </c>
      <c r="V824" s="11" t="s">
        <v>3862</v>
      </c>
      <c r="W824" s="108">
        <v>7.0</v>
      </c>
      <c r="X824" s="113">
        <v>40414.0</v>
      </c>
      <c r="Y824" s="113">
        <v>42917.0</v>
      </c>
      <c r="Z824" s="11">
        <v>169.0</v>
      </c>
      <c r="AA824" s="113">
        <v>41714.0</v>
      </c>
      <c r="AB824" s="109">
        <v>-82949.43</v>
      </c>
      <c r="AC824" s="113">
        <v>90423.0</v>
      </c>
      <c r="AD824" s="108">
        <v>0.0</v>
      </c>
    </row>
    <row r="825">
      <c r="A825" s="11">
        <v>77.0</v>
      </c>
      <c r="B825" s="11">
        <v>7.0</v>
      </c>
      <c r="C825" s="11">
        <v>3.0</v>
      </c>
      <c r="D825" s="17">
        <v>61.0</v>
      </c>
      <c r="E825" s="108">
        <v>3.0</v>
      </c>
      <c r="F825" s="109">
        <v>-46867.56</v>
      </c>
      <c r="G825" s="109">
        <v>-27347.52</v>
      </c>
      <c r="H825" s="109">
        <v>88244.02</v>
      </c>
      <c r="I825" s="109">
        <v>-49670.62</v>
      </c>
      <c r="J825" s="109">
        <v>-9613.67</v>
      </c>
      <c r="K825" s="109">
        <v>92949.95</v>
      </c>
      <c r="L825" s="109">
        <v>-62748.98</v>
      </c>
      <c r="M825" s="109">
        <v>16835.4</v>
      </c>
      <c r="N825" s="110">
        <v>22111.0</v>
      </c>
      <c r="O825" s="110">
        <v>21341.0</v>
      </c>
      <c r="P825" s="110">
        <v>50723.0</v>
      </c>
      <c r="Q825" s="110">
        <v>22841.0</v>
      </c>
      <c r="R825" s="50">
        <v>30814.0</v>
      </c>
      <c r="S825" s="111">
        <v>54.0</v>
      </c>
      <c r="T825" s="112">
        <v>13.0</v>
      </c>
      <c r="U825" s="24" t="s">
        <v>39</v>
      </c>
      <c r="V825" s="11" t="s">
        <v>3899</v>
      </c>
      <c r="W825" s="108">
        <v>4.0</v>
      </c>
      <c r="X825" s="113">
        <v>82720.0</v>
      </c>
      <c r="Y825" s="113">
        <v>30913.0</v>
      </c>
      <c r="Z825" s="11">
        <v>176.0</v>
      </c>
      <c r="AA825" s="113">
        <v>10218.0</v>
      </c>
      <c r="AB825" s="109">
        <v>-81468.83</v>
      </c>
      <c r="AC825" s="113">
        <v>100515.0</v>
      </c>
      <c r="AD825" s="108">
        <v>7.0</v>
      </c>
    </row>
    <row r="826">
      <c r="A826" s="11">
        <v>77.0</v>
      </c>
      <c r="B826" s="11">
        <v>7.0</v>
      </c>
      <c r="C826" s="11">
        <v>4.0</v>
      </c>
      <c r="D826" s="17">
        <v>87.0</v>
      </c>
      <c r="E826" s="108">
        <v>8.0</v>
      </c>
      <c r="F826" s="109">
        <v>-10504.46</v>
      </c>
      <c r="G826" s="109">
        <v>-27165.28</v>
      </c>
      <c r="H826" s="109">
        <v>-96270.4</v>
      </c>
      <c r="I826" s="109">
        <v>35299.2</v>
      </c>
      <c r="J826" s="109">
        <v>-53521.9</v>
      </c>
      <c r="K826" s="109">
        <v>-21611.22</v>
      </c>
      <c r="L826" s="109">
        <v>-20537.19</v>
      </c>
      <c r="M826" s="109">
        <v>68374.65</v>
      </c>
      <c r="N826" s="110">
        <v>20412.0</v>
      </c>
      <c r="O826" s="110">
        <v>13032.0</v>
      </c>
      <c r="P826" s="110">
        <v>52123.0</v>
      </c>
      <c r="Q826" s="110">
        <v>13132.0</v>
      </c>
      <c r="R826" s="50">
        <v>62113.0</v>
      </c>
      <c r="S826" s="111">
        <v>50.0</v>
      </c>
      <c r="T826" s="112">
        <v>40.0</v>
      </c>
      <c r="U826" s="24" t="s">
        <v>48</v>
      </c>
      <c r="V826" s="11" t="s">
        <v>4058</v>
      </c>
      <c r="W826" s="108">
        <v>2.0</v>
      </c>
      <c r="X826" s="113">
        <v>32821.0</v>
      </c>
      <c r="Y826" s="113">
        <v>70514.0</v>
      </c>
      <c r="Z826" s="11">
        <v>164.0</v>
      </c>
      <c r="AA826" s="113">
        <v>80514.0</v>
      </c>
      <c r="AB826" s="109">
        <v>-53631.26</v>
      </c>
      <c r="AC826" s="113">
        <v>81515.0</v>
      </c>
      <c r="AD826" s="108">
        <v>6.0</v>
      </c>
    </row>
    <row r="827">
      <c r="A827" s="11">
        <v>16.0</v>
      </c>
      <c r="B827" s="11">
        <v>2.0</v>
      </c>
      <c r="C827" s="11">
        <v>9.0</v>
      </c>
      <c r="D827" s="17">
        <v>14.0</v>
      </c>
      <c r="E827" s="108">
        <v>5.0</v>
      </c>
      <c r="F827" s="109">
        <v>33953.41</v>
      </c>
      <c r="G827" s="109">
        <v>-9272.45</v>
      </c>
      <c r="H827" s="109">
        <v>18697.94</v>
      </c>
      <c r="I827" s="109">
        <v>72153.6</v>
      </c>
      <c r="J827" s="109">
        <v>-38089.03</v>
      </c>
      <c r="K827" s="109">
        <v>30616.8</v>
      </c>
      <c r="L827" s="109">
        <v>70281.69</v>
      </c>
      <c r="M827" s="109">
        <v>-28297.96</v>
      </c>
      <c r="N827" s="110">
        <v>121411.0</v>
      </c>
      <c r="O827" s="110">
        <v>120931.0</v>
      </c>
      <c r="P827" s="110">
        <v>50523.0</v>
      </c>
      <c r="Q827" s="110">
        <v>123130.0</v>
      </c>
      <c r="R827" s="50">
        <v>61113.0</v>
      </c>
      <c r="S827" s="111">
        <v>50.0</v>
      </c>
      <c r="T827" s="112">
        <v>26.0</v>
      </c>
      <c r="U827" s="24" t="s">
        <v>601</v>
      </c>
      <c r="V827" s="11" t="s">
        <v>4097</v>
      </c>
      <c r="W827" s="108">
        <v>1.0</v>
      </c>
      <c r="X827" s="113">
        <v>113117.0</v>
      </c>
      <c r="Y827" s="113">
        <v>110517.0</v>
      </c>
      <c r="Z827" s="11">
        <v>130.0</v>
      </c>
      <c r="AA827" s="113">
        <v>32419.0</v>
      </c>
      <c r="AB827" s="109">
        <v>-71862.23</v>
      </c>
      <c r="AC827" s="113">
        <v>71620.0</v>
      </c>
      <c r="AD827" s="108">
        <v>9.0</v>
      </c>
    </row>
    <row r="828">
      <c r="A828" s="11">
        <v>77.0</v>
      </c>
      <c r="B828" s="11">
        <v>7.0</v>
      </c>
      <c r="C828" s="11">
        <v>6.0</v>
      </c>
      <c r="D828" s="17">
        <v>56.0</v>
      </c>
      <c r="E828" s="108">
        <v>0.0</v>
      </c>
      <c r="F828" s="109">
        <v>-64226.83</v>
      </c>
      <c r="G828" s="109">
        <v>-53513.22</v>
      </c>
      <c r="H828" s="109">
        <v>78808.5</v>
      </c>
      <c r="I828" s="109">
        <v>-51118.17</v>
      </c>
      <c r="J828" s="109">
        <v>-6707.89</v>
      </c>
      <c r="K828" s="109">
        <v>-60699.45</v>
      </c>
      <c r="L828" s="109">
        <v>35030.34</v>
      </c>
      <c r="M828" s="109">
        <v>-37430.6</v>
      </c>
      <c r="N828" s="110">
        <v>11412.0</v>
      </c>
      <c r="O828" s="110">
        <v>11122.0</v>
      </c>
      <c r="P828" s="110">
        <v>51323.0</v>
      </c>
      <c r="Q828" s="110">
        <v>13122.0</v>
      </c>
      <c r="R828" s="50">
        <v>82721.0</v>
      </c>
      <c r="S828" s="111">
        <v>54.0</v>
      </c>
      <c r="T828" s="112">
        <v>3.0</v>
      </c>
      <c r="U828" s="24" t="s">
        <v>39</v>
      </c>
      <c r="V828" s="11" t="s">
        <v>3946</v>
      </c>
      <c r="W828" s="108">
        <v>5.0</v>
      </c>
      <c r="X828" s="113">
        <v>30317.0</v>
      </c>
      <c r="Y828" s="113">
        <v>123021.0</v>
      </c>
      <c r="Z828" s="11">
        <v>148.0</v>
      </c>
      <c r="AA828" s="113">
        <v>62420.0</v>
      </c>
      <c r="AB828" s="109">
        <v>-21128.03</v>
      </c>
      <c r="AC828" s="113">
        <v>90221.0</v>
      </c>
      <c r="AD828" s="108">
        <v>2.0</v>
      </c>
    </row>
    <row r="829">
      <c r="A829" s="11">
        <v>98.0</v>
      </c>
      <c r="B829" s="11">
        <v>2.0</v>
      </c>
      <c r="C829" s="11">
        <v>2.0</v>
      </c>
      <c r="D829" s="17">
        <v>23.0</v>
      </c>
      <c r="E829" s="108">
        <v>5.0</v>
      </c>
      <c r="F829" s="109">
        <v>74238.76</v>
      </c>
      <c r="G829" s="109">
        <v>1559.31</v>
      </c>
      <c r="H829" s="109">
        <v>-99812.86</v>
      </c>
      <c r="I829" s="109">
        <v>54819.39</v>
      </c>
      <c r="J829" s="109">
        <v>-92569.18</v>
      </c>
      <c r="K829" s="109">
        <v>46331.73</v>
      </c>
      <c r="L829" s="109">
        <v>-37019.57</v>
      </c>
      <c r="M829" s="109">
        <v>-41414.27</v>
      </c>
      <c r="N829" s="110">
        <v>81711.0</v>
      </c>
      <c r="O829" s="110">
        <v>80941.0</v>
      </c>
      <c r="P829" s="110">
        <v>50723.0</v>
      </c>
      <c r="Q829" s="110">
        <v>83141.0</v>
      </c>
      <c r="R829" s="50">
        <v>70318.0</v>
      </c>
      <c r="S829" s="111">
        <v>52.0</v>
      </c>
      <c r="T829" s="112">
        <v>35.0</v>
      </c>
      <c r="U829" s="24" t="s">
        <v>601</v>
      </c>
      <c r="V829" s="11" t="s">
        <v>3969</v>
      </c>
      <c r="W829" s="108">
        <v>2.0</v>
      </c>
      <c r="X829" s="113">
        <v>101022.0</v>
      </c>
      <c r="Y829" s="113">
        <v>110519.0</v>
      </c>
      <c r="Z829" s="11">
        <v>165.0</v>
      </c>
      <c r="AA829" s="113">
        <v>43018.0</v>
      </c>
      <c r="AB829" s="109">
        <v>-5356.05</v>
      </c>
      <c r="AC829" s="113">
        <v>43015.0</v>
      </c>
      <c r="AD829" s="108">
        <v>1.0</v>
      </c>
    </row>
    <row r="830">
      <c r="A830" s="11">
        <v>36.0</v>
      </c>
      <c r="B830" s="11">
        <v>8.0</v>
      </c>
      <c r="C830" s="11">
        <v>2.0</v>
      </c>
      <c r="D830" s="17">
        <v>93.0</v>
      </c>
      <c r="E830" s="108">
        <v>7.0</v>
      </c>
      <c r="F830" s="109">
        <v>-75969.0</v>
      </c>
      <c r="G830" s="109">
        <v>-34056.09</v>
      </c>
      <c r="H830" s="109">
        <v>-66201.38</v>
      </c>
      <c r="I830" s="109">
        <v>-81104.03</v>
      </c>
      <c r="J830" s="109">
        <v>43868.72</v>
      </c>
      <c r="K830" s="109">
        <v>-83044.86</v>
      </c>
      <c r="L830" s="109">
        <v>90090.25</v>
      </c>
      <c r="M830" s="109">
        <v>-93009.87</v>
      </c>
      <c r="N830" s="110">
        <v>101710.0</v>
      </c>
      <c r="O830" s="110">
        <v>101420.0</v>
      </c>
      <c r="P830" s="110">
        <v>52423.0</v>
      </c>
      <c r="Q830" s="110">
        <v>103120.0</v>
      </c>
      <c r="R830" s="50">
        <v>110119.0</v>
      </c>
      <c r="S830" s="111">
        <v>51.0</v>
      </c>
      <c r="T830" s="112">
        <v>41.0</v>
      </c>
      <c r="U830" s="24" t="s">
        <v>601</v>
      </c>
      <c r="V830" s="11" t="s">
        <v>3945</v>
      </c>
      <c r="W830" s="108">
        <v>1.0</v>
      </c>
      <c r="X830" s="113">
        <v>32619.0</v>
      </c>
      <c r="Y830" s="113">
        <v>31916.0</v>
      </c>
      <c r="Z830" s="11">
        <v>102.0</v>
      </c>
      <c r="AA830" s="113">
        <v>70918.0</v>
      </c>
      <c r="AB830" s="109">
        <v>-27308.21</v>
      </c>
      <c r="AC830" s="113">
        <v>82917.0</v>
      </c>
      <c r="AD830" s="108">
        <v>2.0</v>
      </c>
    </row>
    <row r="831">
      <c r="A831" s="11">
        <v>77.0</v>
      </c>
      <c r="B831" s="11">
        <v>7.0</v>
      </c>
      <c r="C831" s="11">
        <v>8.0</v>
      </c>
      <c r="D831" s="17">
        <v>22.0</v>
      </c>
      <c r="E831" s="108">
        <v>0.0</v>
      </c>
      <c r="F831" s="109">
        <v>72542.64</v>
      </c>
      <c r="G831" s="109">
        <v>-66995.85</v>
      </c>
      <c r="H831" s="109">
        <v>6280.65</v>
      </c>
      <c r="I831" s="109">
        <v>-67052.33</v>
      </c>
      <c r="J831" s="109">
        <v>84246.55</v>
      </c>
      <c r="K831" s="109">
        <v>12698.86</v>
      </c>
      <c r="L831" s="109">
        <v>33535.11</v>
      </c>
      <c r="M831" s="109">
        <v>33319.96</v>
      </c>
      <c r="N831" s="110">
        <v>92012.0</v>
      </c>
      <c r="O831" s="110">
        <v>91342.0</v>
      </c>
      <c r="P831" s="110">
        <v>51123.0</v>
      </c>
      <c r="Q831" s="110">
        <v>93042.0</v>
      </c>
      <c r="R831" s="50">
        <v>121617.0</v>
      </c>
      <c r="S831" s="111">
        <v>51.0</v>
      </c>
      <c r="T831" s="112">
        <v>54.0</v>
      </c>
      <c r="U831" s="24" t="s">
        <v>601</v>
      </c>
      <c r="V831" s="11" t="s">
        <v>3868</v>
      </c>
      <c r="W831" s="108">
        <v>5.0</v>
      </c>
      <c r="X831" s="113">
        <v>111119.0</v>
      </c>
      <c r="Y831" s="113">
        <v>121820.0</v>
      </c>
      <c r="Z831" s="11">
        <v>112.0</v>
      </c>
      <c r="AA831" s="113">
        <v>61314.0</v>
      </c>
      <c r="AB831" s="109">
        <v>51268.86</v>
      </c>
      <c r="AC831" s="113">
        <v>30113.0</v>
      </c>
      <c r="AD831" s="108">
        <v>5.0</v>
      </c>
    </row>
    <row r="832">
      <c r="A832" s="11">
        <v>36.0</v>
      </c>
      <c r="B832" s="11">
        <v>8.0</v>
      </c>
      <c r="C832" s="11">
        <v>5.0</v>
      </c>
      <c r="D832" s="17">
        <v>55.0</v>
      </c>
      <c r="E832" s="108">
        <v>9.0</v>
      </c>
      <c r="F832" s="109">
        <v>-56102.54</v>
      </c>
      <c r="G832" s="109">
        <v>-70138.43</v>
      </c>
      <c r="H832" s="109">
        <v>-90449.23</v>
      </c>
      <c r="I832" s="109">
        <v>-6399.06</v>
      </c>
      <c r="J832" s="109">
        <v>76207.95</v>
      </c>
      <c r="K832" s="109">
        <v>23321.43</v>
      </c>
      <c r="L832" s="109">
        <v>-92336.73</v>
      </c>
      <c r="M832" s="109">
        <v>-73139.87</v>
      </c>
      <c r="N832" s="110">
        <v>10412.0</v>
      </c>
      <c r="O832" s="110">
        <v>10122.0</v>
      </c>
      <c r="P832" s="110">
        <v>52023.0</v>
      </c>
      <c r="Q832" s="110">
        <v>13122.0</v>
      </c>
      <c r="R832" s="50">
        <v>12414.0</v>
      </c>
      <c r="S832" s="111">
        <v>54.0</v>
      </c>
      <c r="T832" s="112">
        <v>77.0</v>
      </c>
      <c r="U832" s="24" t="s">
        <v>39</v>
      </c>
      <c r="V832" s="11" t="s">
        <v>3991</v>
      </c>
      <c r="W832" s="108">
        <v>1.0</v>
      </c>
      <c r="X832" s="113">
        <v>21316.0</v>
      </c>
      <c r="Y832" s="113">
        <v>102921.0</v>
      </c>
      <c r="Z832" s="11">
        <v>163.0</v>
      </c>
      <c r="AA832" s="113">
        <v>111014.0</v>
      </c>
      <c r="AB832" s="109">
        <v>-29763.7</v>
      </c>
      <c r="AC832" s="113">
        <v>72313.0</v>
      </c>
      <c r="AD832" s="108">
        <v>6.0</v>
      </c>
    </row>
    <row r="833">
      <c r="A833" s="11">
        <v>36.0</v>
      </c>
      <c r="B833" s="11">
        <v>8.0</v>
      </c>
      <c r="C833" s="11">
        <v>6.0</v>
      </c>
      <c r="D833" s="17">
        <v>39.0</v>
      </c>
      <c r="E833" s="108">
        <v>2.0</v>
      </c>
      <c r="F833" s="109">
        <v>76808.59</v>
      </c>
      <c r="G833" s="109">
        <v>-85924.68</v>
      </c>
      <c r="H833" s="109">
        <v>82416.55</v>
      </c>
      <c r="I833" s="109">
        <v>31688.4</v>
      </c>
      <c r="J833" s="109">
        <v>-77015.3</v>
      </c>
      <c r="K833" s="109">
        <v>-51246.18</v>
      </c>
      <c r="L833" s="109">
        <v>-408.93</v>
      </c>
      <c r="M833" s="109">
        <v>18743.99</v>
      </c>
      <c r="N833" s="110">
        <v>40314.0</v>
      </c>
      <c r="O833" s="110">
        <v>32644.0</v>
      </c>
      <c r="P833" s="110">
        <v>50823.0</v>
      </c>
      <c r="Q833" s="110">
        <v>33144.0</v>
      </c>
      <c r="R833" s="50">
        <v>12515.0</v>
      </c>
      <c r="S833" s="111">
        <v>55.0</v>
      </c>
      <c r="T833" s="112">
        <v>70.0</v>
      </c>
      <c r="U833" s="24" t="s">
        <v>39</v>
      </c>
      <c r="V833" s="11" t="s">
        <v>4059</v>
      </c>
      <c r="W833" s="108">
        <v>8.0</v>
      </c>
      <c r="X833" s="113">
        <v>21415.0</v>
      </c>
      <c r="Y833" s="113">
        <v>91619.0</v>
      </c>
      <c r="Z833" s="11">
        <v>112.0</v>
      </c>
      <c r="AA833" s="113">
        <v>100121.0</v>
      </c>
      <c r="AB833" s="109">
        <v>14938.46</v>
      </c>
      <c r="AC833" s="113">
        <v>122323.0</v>
      </c>
      <c r="AD833" s="108">
        <v>2.0</v>
      </c>
    </row>
    <row r="834">
      <c r="A834" s="11">
        <v>57.0</v>
      </c>
      <c r="B834" s="11">
        <v>3.0</v>
      </c>
      <c r="C834" s="11">
        <v>7.0</v>
      </c>
      <c r="D834" s="17">
        <v>12.0</v>
      </c>
      <c r="E834" s="108">
        <v>4.0</v>
      </c>
      <c r="F834" s="109">
        <v>-19249.96</v>
      </c>
      <c r="G834" s="109">
        <v>-32238.94</v>
      </c>
      <c r="H834" s="109">
        <v>-90813.45</v>
      </c>
      <c r="I834" s="109">
        <v>6863.62</v>
      </c>
      <c r="J834" s="109">
        <v>10438.87</v>
      </c>
      <c r="K834" s="109">
        <v>59021.24</v>
      </c>
      <c r="L834" s="109">
        <v>-80340.62</v>
      </c>
      <c r="M834" s="109">
        <v>-24249.56</v>
      </c>
      <c r="N834" s="110">
        <v>112512.0</v>
      </c>
      <c r="O834" s="110">
        <v>112032.0</v>
      </c>
      <c r="P834" s="110">
        <v>52723.0</v>
      </c>
      <c r="Q834" s="110">
        <v>113032.0</v>
      </c>
      <c r="R834" s="50">
        <v>80813.0</v>
      </c>
      <c r="S834" s="111">
        <v>55.0</v>
      </c>
      <c r="T834" s="112">
        <v>48.0</v>
      </c>
      <c r="U834" s="24" t="s">
        <v>603</v>
      </c>
      <c r="V834" s="11" t="s">
        <v>4083</v>
      </c>
      <c r="W834" s="108">
        <v>9.0</v>
      </c>
      <c r="X834" s="113">
        <v>82221.0</v>
      </c>
      <c r="Y834" s="113">
        <v>52317.0</v>
      </c>
      <c r="Z834" s="11">
        <v>154.0</v>
      </c>
      <c r="AA834" s="113">
        <v>92721.0</v>
      </c>
      <c r="AB834" s="109">
        <v>-4602.87</v>
      </c>
      <c r="AC834" s="113">
        <v>82819.0</v>
      </c>
      <c r="AD834" s="108">
        <v>0.0</v>
      </c>
    </row>
    <row r="835">
      <c r="A835" s="11">
        <v>57.0</v>
      </c>
      <c r="B835" s="11">
        <v>3.0</v>
      </c>
      <c r="C835" s="11">
        <v>8.0</v>
      </c>
      <c r="D835" s="17">
        <v>82.0</v>
      </c>
      <c r="E835" s="108">
        <v>4.0</v>
      </c>
      <c r="F835" s="109">
        <v>21370.96</v>
      </c>
      <c r="G835" s="109">
        <v>-99590.38</v>
      </c>
      <c r="H835" s="109">
        <v>69919.84</v>
      </c>
      <c r="I835" s="109">
        <v>5216.73</v>
      </c>
      <c r="J835" s="109">
        <v>1608.83</v>
      </c>
      <c r="K835" s="109">
        <v>26363.6</v>
      </c>
      <c r="L835" s="109">
        <v>-66154.48</v>
      </c>
      <c r="M835" s="109">
        <v>81812.74</v>
      </c>
      <c r="N835" s="110">
        <v>121110.0</v>
      </c>
      <c r="O835" s="110">
        <v>120340.0</v>
      </c>
      <c r="P835" s="110">
        <v>51323.0</v>
      </c>
      <c r="Q835" s="110">
        <v>123139.0</v>
      </c>
      <c r="R835" s="50">
        <v>92813.0</v>
      </c>
      <c r="S835" s="111">
        <v>54.0</v>
      </c>
      <c r="T835" s="112">
        <v>85.0</v>
      </c>
      <c r="U835" s="24" t="s">
        <v>603</v>
      </c>
      <c r="V835" s="11" t="s">
        <v>4083</v>
      </c>
      <c r="W835" s="108">
        <v>5.0</v>
      </c>
      <c r="X835" s="113">
        <v>42222.0</v>
      </c>
      <c r="Y835" s="113">
        <v>10220.0</v>
      </c>
      <c r="Z835" s="11">
        <v>186.0</v>
      </c>
      <c r="AA835" s="113">
        <v>11218.0</v>
      </c>
      <c r="AB835" s="109">
        <v>32558.52</v>
      </c>
      <c r="AC835" s="113">
        <v>83120.0</v>
      </c>
      <c r="AD835" s="108">
        <v>1.0</v>
      </c>
    </row>
    <row r="836">
      <c r="A836" s="11">
        <v>36.0</v>
      </c>
      <c r="B836" s="11">
        <v>9.0</v>
      </c>
      <c r="C836" s="11">
        <v>3.0</v>
      </c>
      <c r="D836" s="17">
        <v>32.0</v>
      </c>
      <c r="E836" s="108">
        <v>3.0</v>
      </c>
      <c r="F836" s="109">
        <v>86546.62</v>
      </c>
      <c r="G836" s="109">
        <v>-54860.68</v>
      </c>
      <c r="H836" s="109">
        <v>86766.52</v>
      </c>
      <c r="I836" s="109">
        <v>-21247.35</v>
      </c>
      <c r="J836" s="109">
        <v>11339.82</v>
      </c>
      <c r="K836" s="109">
        <v>-52442.65</v>
      </c>
      <c r="L836" s="109">
        <v>32920.9</v>
      </c>
      <c r="M836" s="109">
        <v>52131.67</v>
      </c>
      <c r="N836" s="110">
        <v>122310.0</v>
      </c>
      <c r="O836" s="110">
        <v>121830.0</v>
      </c>
      <c r="P836" s="110">
        <v>52323.0</v>
      </c>
      <c r="Q836" s="110">
        <v>123129.0</v>
      </c>
      <c r="R836" s="50">
        <v>42320.0</v>
      </c>
      <c r="S836" s="111">
        <v>55.0</v>
      </c>
      <c r="T836" s="112">
        <v>1.0</v>
      </c>
      <c r="U836" s="24" t="s">
        <v>39</v>
      </c>
      <c r="V836" s="11" t="s">
        <v>3993</v>
      </c>
      <c r="W836" s="108">
        <v>2.0</v>
      </c>
      <c r="X836" s="113">
        <v>112113.0</v>
      </c>
      <c r="Y836" s="113">
        <v>12219.0</v>
      </c>
      <c r="Z836" s="11">
        <v>190.0</v>
      </c>
      <c r="AA836" s="113">
        <v>101921.0</v>
      </c>
      <c r="AB836" s="109">
        <v>-31426.18</v>
      </c>
      <c r="AC836" s="113">
        <v>31521.0</v>
      </c>
      <c r="AD836" s="108">
        <v>5.0</v>
      </c>
    </row>
    <row r="837">
      <c r="A837" s="11">
        <v>16.0</v>
      </c>
      <c r="B837" s="11">
        <v>4.0</v>
      </c>
      <c r="C837" s="11">
        <v>6.0</v>
      </c>
      <c r="D837" s="17">
        <v>9.0</v>
      </c>
      <c r="E837" s="108">
        <v>6.0</v>
      </c>
      <c r="F837" s="109">
        <v>35429.08</v>
      </c>
      <c r="G837" s="109">
        <v>95125.8</v>
      </c>
      <c r="H837" s="109">
        <v>19530.61</v>
      </c>
      <c r="I837" s="109">
        <v>-22034.17</v>
      </c>
      <c r="J837" s="109">
        <v>15755.99</v>
      </c>
      <c r="K837" s="109">
        <v>51643.83</v>
      </c>
      <c r="L837" s="109">
        <v>46073.07</v>
      </c>
      <c r="M837" s="109">
        <v>57300.69</v>
      </c>
      <c r="N837" s="110">
        <v>111310.0</v>
      </c>
      <c r="O837" s="110">
        <v>111020.0</v>
      </c>
      <c r="P837" s="110">
        <v>51923.0</v>
      </c>
      <c r="Q837" s="110">
        <v>113020.0</v>
      </c>
      <c r="R837" s="50">
        <v>13114.0</v>
      </c>
      <c r="S837" s="111">
        <v>53.0</v>
      </c>
      <c r="T837" s="112">
        <v>2.0</v>
      </c>
      <c r="U837" s="24" t="s">
        <v>601</v>
      </c>
      <c r="V837" s="11" t="s">
        <v>4049</v>
      </c>
      <c r="W837" s="108">
        <v>6.0</v>
      </c>
      <c r="X837" s="113">
        <v>121316.0</v>
      </c>
      <c r="Y837" s="113">
        <v>120523.0</v>
      </c>
      <c r="Z837" s="11">
        <v>146.0</v>
      </c>
      <c r="AA837" s="113">
        <v>100223.0</v>
      </c>
      <c r="AB837" s="109">
        <v>92924.0</v>
      </c>
      <c r="AC837" s="113">
        <v>40816.0</v>
      </c>
      <c r="AD837" s="108">
        <v>7.0</v>
      </c>
    </row>
    <row r="838">
      <c r="A838" s="11">
        <v>57.0</v>
      </c>
      <c r="B838" s="11">
        <v>4.0</v>
      </c>
      <c r="C838" s="11">
        <v>3.0</v>
      </c>
      <c r="D838" s="17">
        <v>30.0</v>
      </c>
      <c r="E838" s="108">
        <v>6.0</v>
      </c>
      <c r="F838" s="109">
        <v>75909.4</v>
      </c>
      <c r="G838" s="109">
        <v>32190.96</v>
      </c>
      <c r="H838" s="109">
        <v>19860.33</v>
      </c>
      <c r="I838" s="109">
        <v>-15988.44</v>
      </c>
      <c r="J838" s="109">
        <v>22022.28</v>
      </c>
      <c r="K838" s="109">
        <v>91422.29</v>
      </c>
      <c r="L838" s="109">
        <v>-47486.83</v>
      </c>
      <c r="M838" s="109">
        <v>32312.56</v>
      </c>
      <c r="N838" s="110">
        <v>10413.0</v>
      </c>
      <c r="O838" s="110">
        <v>122842.0</v>
      </c>
      <c r="P838" s="110">
        <v>50123.0</v>
      </c>
      <c r="Q838" s="110">
        <v>123141.0</v>
      </c>
      <c r="R838" s="50">
        <v>82319.0</v>
      </c>
      <c r="S838" s="111">
        <v>50.0</v>
      </c>
      <c r="T838" s="112">
        <v>90.0</v>
      </c>
      <c r="U838" s="24" t="s">
        <v>601</v>
      </c>
      <c r="V838" s="11" t="s">
        <v>3928</v>
      </c>
      <c r="W838" s="108">
        <v>8.0</v>
      </c>
      <c r="X838" s="113">
        <v>20718.0</v>
      </c>
      <c r="Y838" s="113">
        <v>122422.0</v>
      </c>
      <c r="Z838" s="11">
        <v>116.0</v>
      </c>
      <c r="AA838" s="113">
        <v>22916.0</v>
      </c>
      <c r="AB838" s="109">
        <v>-83890.25</v>
      </c>
      <c r="AC838" s="113">
        <v>61919.0</v>
      </c>
      <c r="AD838" s="108">
        <v>8.0</v>
      </c>
    </row>
    <row r="839">
      <c r="A839" s="11">
        <v>16.0</v>
      </c>
      <c r="B839" s="11">
        <v>4.0</v>
      </c>
      <c r="C839" s="11">
        <v>8.0</v>
      </c>
      <c r="D839" s="17">
        <v>71.0</v>
      </c>
      <c r="E839" s="108">
        <v>2.0</v>
      </c>
      <c r="F839" s="109">
        <v>29816.27</v>
      </c>
      <c r="G839" s="109">
        <v>49321.1</v>
      </c>
      <c r="H839" s="109">
        <v>20989.03</v>
      </c>
      <c r="I839" s="109">
        <v>-43554.72</v>
      </c>
      <c r="J839" s="109">
        <v>-13766.0</v>
      </c>
      <c r="K839" s="109">
        <v>10334.53</v>
      </c>
      <c r="L839" s="109">
        <v>-88029.84</v>
      </c>
      <c r="M839" s="109">
        <v>-85840.47</v>
      </c>
      <c r="N839" s="110">
        <v>110214.0</v>
      </c>
      <c r="O839" s="110">
        <v>103024.0</v>
      </c>
      <c r="P839" s="110">
        <v>50723.0</v>
      </c>
      <c r="Q839" s="110">
        <v>103124.0</v>
      </c>
      <c r="R839" s="50">
        <v>51220.0</v>
      </c>
      <c r="S839" s="111">
        <v>51.0</v>
      </c>
      <c r="T839" s="112">
        <v>24.0</v>
      </c>
      <c r="U839" s="24" t="s">
        <v>31</v>
      </c>
      <c r="V839" s="11" t="s">
        <v>3903</v>
      </c>
      <c r="W839" s="108">
        <v>2.0</v>
      </c>
      <c r="X839" s="113">
        <v>110523.0</v>
      </c>
      <c r="Y839" s="113">
        <v>103013.0</v>
      </c>
      <c r="Z839" s="11">
        <v>109.0</v>
      </c>
      <c r="AA839" s="113">
        <v>43021.0</v>
      </c>
      <c r="AB839" s="109">
        <v>40797.88</v>
      </c>
      <c r="AC839" s="113">
        <v>80515.0</v>
      </c>
      <c r="AD839" s="108">
        <v>8.0</v>
      </c>
    </row>
    <row r="840">
      <c r="A840" s="11">
        <v>98.0</v>
      </c>
      <c r="B840" s="11">
        <v>4.0</v>
      </c>
      <c r="C840" s="11">
        <v>2.0</v>
      </c>
      <c r="D840" s="17">
        <v>92.0</v>
      </c>
      <c r="E840" s="108">
        <v>0.0</v>
      </c>
      <c r="F840" s="109">
        <v>76858.89</v>
      </c>
      <c r="G840" s="109">
        <v>-47869.57</v>
      </c>
      <c r="H840" s="109">
        <v>-17737.58</v>
      </c>
      <c r="I840" s="109">
        <v>3074.32</v>
      </c>
      <c r="J840" s="109">
        <v>-90958.72</v>
      </c>
      <c r="K840" s="109">
        <v>-22116.78</v>
      </c>
      <c r="L840" s="109">
        <v>-62459.63</v>
      </c>
      <c r="M840" s="109">
        <v>49925.63</v>
      </c>
      <c r="N840" s="110">
        <v>32914.0</v>
      </c>
      <c r="O840" s="110">
        <v>32434.0</v>
      </c>
      <c r="P840" s="110">
        <v>52823.0</v>
      </c>
      <c r="Q840" s="110">
        <v>33134.0</v>
      </c>
      <c r="R840" s="50">
        <v>20917.0</v>
      </c>
      <c r="S840" s="111">
        <v>50.0</v>
      </c>
      <c r="T840" s="112">
        <v>62.0</v>
      </c>
      <c r="U840" s="24" t="s">
        <v>48</v>
      </c>
      <c r="V840" s="11" t="s">
        <v>3991</v>
      </c>
      <c r="W840" s="108">
        <v>4.0</v>
      </c>
      <c r="X840" s="113">
        <v>30815.0</v>
      </c>
      <c r="Y840" s="113">
        <v>41617.0</v>
      </c>
      <c r="Z840" s="11">
        <v>171.0</v>
      </c>
      <c r="AA840" s="113">
        <v>111323.0</v>
      </c>
      <c r="AB840" s="109">
        <v>81003.58</v>
      </c>
      <c r="AC840" s="113">
        <v>61615.0</v>
      </c>
      <c r="AD840" s="108">
        <v>0.0</v>
      </c>
    </row>
    <row r="841">
      <c r="A841" s="11">
        <v>16.0</v>
      </c>
      <c r="B841" s="11">
        <v>5.0</v>
      </c>
      <c r="C841" s="11">
        <v>1.0</v>
      </c>
      <c r="D841" s="17">
        <v>93.0</v>
      </c>
      <c r="E841" s="108">
        <v>9.0</v>
      </c>
      <c r="F841" s="109">
        <v>-68492.69</v>
      </c>
      <c r="G841" s="109">
        <v>-85337.61</v>
      </c>
      <c r="H841" s="109">
        <v>-86539.32</v>
      </c>
      <c r="I841" s="109">
        <v>91369.14</v>
      </c>
      <c r="J841" s="109">
        <v>56476.1</v>
      </c>
      <c r="K841" s="109">
        <v>-24976.72</v>
      </c>
      <c r="L841" s="109">
        <v>-41193.77</v>
      </c>
      <c r="M841" s="109">
        <v>-1858.09</v>
      </c>
      <c r="N841" s="110">
        <v>121114.0</v>
      </c>
      <c r="O841" s="110">
        <v>120344.0</v>
      </c>
      <c r="P841" s="110">
        <v>51823.0</v>
      </c>
      <c r="Q841" s="110">
        <v>123143.0</v>
      </c>
      <c r="R841" s="50">
        <v>52220.0</v>
      </c>
      <c r="S841" s="111">
        <v>53.0</v>
      </c>
      <c r="T841" s="112">
        <v>34.0</v>
      </c>
      <c r="U841" s="24" t="s">
        <v>39</v>
      </c>
      <c r="V841" s="11" t="s">
        <v>3923</v>
      </c>
      <c r="W841" s="108">
        <v>2.0</v>
      </c>
      <c r="X841" s="113">
        <v>120121.0</v>
      </c>
      <c r="Y841" s="113">
        <v>41616.0</v>
      </c>
      <c r="Z841" s="11">
        <v>199.0</v>
      </c>
      <c r="AA841" s="113">
        <v>52619.0</v>
      </c>
      <c r="AB841" s="109">
        <v>-70501.44</v>
      </c>
      <c r="AC841" s="113">
        <v>81718.0</v>
      </c>
      <c r="AD841" s="108">
        <v>5.0</v>
      </c>
    </row>
    <row r="842">
      <c r="A842" s="11">
        <v>77.0</v>
      </c>
      <c r="B842" s="11">
        <v>9.0</v>
      </c>
      <c r="C842" s="11">
        <v>6.0</v>
      </c>
      <c r="D842" s="17">
        <v>59.0</v>
      </c>
      <c r="E842" s="108">
        <v>4.0</v>
      </c>
      <c r="F842" s="109">
        <v>-11691.67</v>
      </c>
      <c r="G842" s="109">
        <v>77076.95</v>
      </c>
      <c r="H842" s="109">
        <v>87884.43</v>
      </c>
      <c r="I842" s="109">
        <v>12580.34</v>
      </c>
      <c r="J842" s="109">
        <v>84307.77</v>
      </c>
      <c r="K842" s="109">
        <v>-26007.73</v>
      </c>
      <c r="L842" s="109">
        <v>-44098.77</v>
      </c>
      <c r="M842" s="109">
        <v>-82917.72</v>
      </c>
      <c r="N842" s="110">
        <v>123010.0</v>
      </c>
      <c r="O842" s="110">
        <v>122720.0</v>
      </c>
      <c r="P842" s="110">
        <v>50723.0</v>
      </c>
      <c r="Q842" s="110">
        <v>123119.0</v>
      </c>
      <c r="R842" s="50">
        <v>100822.0</v>
      </c>
      <c r="S842" s="111">
        <v>54.0</v>
      </c>
      <c r="T842" s="112">
        <v>55.0</v>
      </c>
      <c r="U842" s="24" t="s">
        <v>31</v>
      </c>
      <c r="V842" s="11" t="s">
        <v>3912</v>
      </c>
      <c r="W842" s="108">
        <v>9.0</v>
      </c>
      <c r="X842" s="113">
        <v>71622.0</v>
      </c>
      <c r="Y842" s="113">
        <v>43015.0</v>
      </c>
      <c r="Z842" s="11">
        <v>193.0</v>
      </c>
      <c r="AA842" s="113">
        <v>32018.0</v>
      </c>
      <c r="AB842" s="109">
        <v>28188.98</v>
      </c>
      <c r="AC842" s="113">
        <v>52020.0</v>
      </c>
      <c r="AD842" s="108">
        <v>3.0</v>
      </c>
    </row>
    <row r="843">
      <c r="A843" s="11">
        <v>16.0</v>
      </c>
      <c r="B843" s="11">
        <v>5.0</v>
      </c>
      <c r="C843" s="11">
        <v>3.0</v>
      </c>
      <c r="D843" s="17">
        <v>25.0</v>
      </c>
      <c r="E843" s="108">
        <v>1.0</v>
      </c>
      <c r="F843" s="109">
        <v>-58151.63</v>
      </c>
      <c r="G843" s="109">
        <v>44798.69</v>
      </c>
      <c r="H843" s="109">
        <v>27661.22</v>
      </c>
      <c r="I843" s="109">
        <v>80590.41</v>
      </c>
      <c r="J843" s="109">
        <v>-99534.5</v>
      </c>
      <c r="K843" s="109">
        <v>35237.61</v>
      </c>
      <c r="L843" s="109">
        <v>-40792.95</v>
      </c>
      <c r="M843" s="109">
        <v>46773.43</v>
      </c>
      <c r="N843" s="110">
        <v>21913.0</v>
      </c>
      <c r="O843" s="110">
        <v>21723.0</v>
      </c>
      <c r="P843" s="110">
        <v>50423.0</v>
      </c>
      <c r="Q843" s="110">
        <v>22823.0</v>
      </c>
      <c r="R843" s="50">
        <v>42121.0</v>
      </c>
      <c r="S843" s="111">
        <v>51.0</v>
      </c>
      <c r="T843" s="112">
        <v>94.0</v>
      </c>
      <c r="U843" s="24" t="s">
        <v>48</v>
      </c>
      <c r="V843" s="11" t="s">
        <v>3898</v>
      </c>
      <c r="W843" s="108">
        <v>2.0</v>
      </c>
      <c r="X843" s="113">
        <v>32821.0</v>
      </c>
      <c r="Y843" s="113">
        <v>52819.0</v>
      </c>
      <c r="Z843" s="11">
        <v>138.0</v>
      </c>
      <c r="AA843" s="113">
        <v>12721.0</v>
      </c>
      <c r="AB843" s="109">
        <v>66852.34</v>
      </c>
      <c r="AC843" s="113">
        <v>60323.0</v>
      </c>
      <c r="AD843" s="108">
        <v>2.0</v>
      </c>
    </row>
    <row r="844">
      <c r="A844" s="11">
        <v>57.0</v>
      </c>
      <c r="B844" s="11">
        <v>4.0</v>
      </c>
      <c r="C844" s="11">
        <v>7.0</v>
      </c>
      <c r="D844" s="17">
        <v>56.0</v>
      </c>
      <c r="E844" s="108">
        <v>5.0</v>
      </c>
      <c r="F844" s="109">
        <v>-93982.95</v>
      </c>
      <c r="G844" s="109">
        <v>54125.36</v>
      </c>
      <c r="H844" s="109">
        <v>-75250.73</v>
      </c>
      <c r="I844" s="109">
        <v>39597.51</v>
      </c>
      <c r="J844" s="109">
        <v>-36367.96</v>
      </c>
      <c r="K844" s="109">
        <v>-38813.9</v>
      </c>
      <c r="L844" s="109">
        <v>-372.43</v>
      </c>
      <c r="M844" s="109">
        <v>-40013.15</v>
      </c>
      <c r="N844" s="110">
        <v>81811.0</v>
      </c>
      <c r="O844" s="110">
        <v>81521.0</v>
      </c>
      <c r="P844" s="110">
        <v>51423.0</v>
      </c>
      <c r="Q844" s="110">
        <v>83121.0</v>
      </c>
      <c r="R844" s="50">
        <v>30316.0</v>
      </c>
      <c r="S844" s="111">
        <v>52.0</v>
      </c>
      <c r="T844" s="112">
        <v>8.0</v>
      </c>
      <c r="U844" s="24" t="s">
        <v>603</v>
      </c>
      <c r="V844" s="11" t="s">
        <v>3869</v>
      </c>
      <c r="W844" s="108">
        <v>5.0</v>
      </c>
      <c r="X844" s="113">
        <v>100916.0</v>
      </c>
      <c r="Y844" s="113">
        <v>31921.0</v>
      </c>
      <c r="Z844" s="11">
        <v>190.0</v>
      </c>
      <c r="AA844" s="113">
        <v>121020.0</v>
      </c>
      <c r="AB844" s="109">
        <v>-1807.38</v>
      </c>
      <c r="AC844" s="113">
        <v>122614.0</v>
      </c>
      <c r="AD844" s="108">
        <v>8.0</v>
      </c>
    </row>
    <row r="845">
      <c r="A845" s="11">
        <v>57.0</v>
      </c>
      <c r="B845" s="11">
        <v>5.0</v>
      </c>
      <c r="C845" s="11">
        <v>1.0</v>
      </c>
      <c r="D845" s="17">
        <v>18.0</v>
      </c>
      <c r="E845" s="108">
        <v>5.0</v>
      </c>
      <c r="F845" s="109">
        <v>55761.66</v>
      </c>
      <c r="G845" s="109">
        <v>-4952.08</v>
      </c>
      <c r="H845" s="109">
        <v>6068.41</v>
      </c>
      <c r="I845" s="109">
        <v>-17502.42</v>
      </c>
      <c r="J845" s="109">
        <v>-83458.87</v>
      </c>
      <c r="K845" s="109">
        <v>-14271.27</v>
      </c>
      <c r="L845" s="109">
        <v>8023.77</v>
      </c>
      <c r="M845" s="109">
        <v>7957.35</v>
      </c>
      <c r="N845" s="110">
        <v>100413.0</v>
      </c>
      <c r="O845" s="110">
        <v>92933.0</v>
      </c>
      <c r="P845" s="110">
        <v>50723.0</v>
      </c>
      <c r="Q845" s="110">
        <v>93033.0</v>
      </c>
      <c r="R845" s="50">
        <v>31820.0</v>
      </c>
      <c r="S845" s="111">
        <v>51.0</v>
      </c>
      <c r="T845" s="112">
        <v>17.0</v>
      </c>
      <c r="U845" s="24" t="s">
        <v>603</v>
      </c>
      <c r="V845" s="11" t="s">
        <v>3980</v>
      </c>
      <c r="W845" s="108">
        <v>8.0</v>
      </c>
      <c r="X845" s="113">
        <v>41421.0</v>
      </c>
      <c r="Y845" s="113">
        <v>42719.0</v>
      </c>
      <c r="Z845" s="11">
        <v>125.0</v>
      </c>
      <c r="AA845" s="113">
        <v>60823.0</v>
      </c>
      <c r="AB845" s="109">
        <v>29442.35</v>
      </c>
      <c r="AC845" s="113">
        <v>42221.0</v>
      </c>
      <c r="AD845" s="108">
        <v>4.0</v>
      </c>
    </row>
    <row r="846">
      <c r="A846" s="11">
        <v>16.0</v>
      </c>
      <c r="B846" s="11">
        <v>6.0</v>
      </c>
      <c r="C846" s="11">
        <v>3.0</v>
      </c>
      <c r="D846" s="17">
        <v>23.0</v>
      </c>
      <c r="E846" s="108">
        <v>9.0</v>
      </c>
      <c r="F846" s="109">
        <v>24807.17</v>
      </c>
      <c r="G846" s="109">
        <v>-92069.61</v>
      </c>
      <c r="H846" s="109">
        <v>-73675.97</v>
      </c>
      <c r="I846" s="109">
        <v>-26409.11</v>
      </c>
      <c r="J846" s="109">
        <v>77305.92</v>
      </c>
      <c r="K846" s="109">
        <v>-30469.04</v>
      </c>
      <c r="L846" s="109">
        <v>86076.88</v>
      </c>
      <c r="M846" s="109">
        <v>-64156.7</v>
      </c>
      <c r="N846" s="110">
        <v>60910.0</v>
      </c>
      <c r="O846" s="110">
        <v>60140.0</v>
      </c>
      <c r="P846" s="110">
        <v>51123.0</v>
      </c>
      <c r="Q846" s="110">
        <v>63040.0</v>
      </c>
      <c r="R846" s="50">
        <v>11219.0</v>
      </c>
      <c r="S846" s="111">
        <v>50.0</v>
      </c>
      <c r="T846" s="112">
        <v>86.0</v>
      </c>
      <c r="U846" s="24" t="s">
        <v>601</v>
      </c>
      <c r="V846" s="11" t="s">
        <v>3970</v>
      </c>
      <c r="W846" s="108">
        <v>9.0</v>
      </c>
      <c r="X846" s="113">
        <v>111715.0</v>
      </c>
      <c r="Y846" s="113">
        <v>42318.0</v>
      </c>
      <c r="Z846" s="11">
        <v>103.0</v>
      </c>
      <c r="AA846" s="113">
        <v>41619.0</v>
      </c>
      <c r="AB846" s="109">
        <v>3461.84</v>
      </c>
      <c r="AC846" s="113">
        <v>102120.0</v>
      </c>
      <c r="AD846" s="108">
        <v>0.0</v>
      </c>
    </row>
    <row r="847">
      <c r="A847" s="11">
        <v>37.0</v>
      </c>
      <c r="B847" s="11">
        <v>1.0</v>
      </c>
      <c r="C847" s="11">
        <v>1.0</v>
      </c>
      <c r="D847" s="17">
        <v>92.0</v>
      </c>
      <c r="E847" s="108">
        <v>1.0</v>
      </c>
      <c r="F847" s="109">
        <v>20791.71</v>
      </c>
      <c r="G847" s="109">
        <v>5001.36</v>
      </c>
      <c r="H847" s="109">
        <v>16416.69</v>
      </c>
      <c r="I847" s="109">
        <v>76938.94</v>
      </c>
      <c r="J847" s="109">
        <v>72140.36</v>
      </c>
      <c r="K847" s="109">
        <v>18233.21</v>
      </c>
      <c r="L847" s="109">
        <v>19955.59</v>
      </c>
      <c r="M847" s="109">
        <v>-31320.3</v>
      </c>
      <c r="N847" s="110">
        <v>110211.0</v>
      </c>
      <c r="O847" s="110">
        <v>102831.0</v>
      </c>
      <c r="P847" s="110">
        <v>51723.0</v>
      </c>
      <c r="Q847" s="110">
        <v>103131.0</v>
      </c>
      <c r="R847" s="50">
        <v>71314.0</v>
      </c>
      <c r="S847" s="111">
        <v>53.0</v>
      </c>
      <c r="T847" s="112">
        <v>21.0</v>
      </c>
      <c r="U847" s="24" t="s">
        <v>48</v>
      </c>
      <c r="V847" s="11" t="s">
        <v>4038</v>
      </c>
      <c r="W847" s="108">
        <v>9.0</v>
      </c>
      <c r="X847" s="113">
        <v>20123.0</v>
      </c>
      <c r="Y847" s="113">
        <v>93014.0</v>
      </c>
      <c r="Z847" s="11">
        <v>114.0</v>
      </c>
      <c r="AA847" s="113">
        <v>61915.0</v>
      </c>
      <c r="AB847" s="109">
        <v>-97265.4</v>
      </c>
      <c r="AC847" s="113">
        <v>100820.0</v>
      </c>
      <c r="AD847" s="108">
        <v>4.0</v>
      </c>
    </row>
    <row r="848">
      <c r="A848" s="11">
        <v>16.0</v>
      </c>
      <c r="B848" s="11">
        <v>6.0</v>
      </c>
      <c r="C848" s="11">
        <v>5.0</v>
      </c>
      <c r="D848" s="17">
        <v>48.0</v>
      </c>
      <c r="E848" s="108">
        <v>5.0</v>
      </c>
      <c r="F848" s="109">
        <v>58893.71</v>
      </c>
      <c r="G848" s="109">
        <v>-26858.67</v>
      </c>
      <c r="H848" s="109">
        <v>44503.29</v>
      </c>
      <c r="I848" s="109">
        <v>-67188.63</v>
      </c>
      <c r="J848" s="109">
        <v>-14268.77</v>
      </c>
      <c r="K848" s="109">
        <v>64541.29</v>
      </c>
      <c r="L848" s="109">
        <v>-62747.62</v>
      </c>
      <c r="M848" s="109">
        <v>80752.09</v>
      </c>
      <c r="N848" s="110">
        <v>82514.0</v>
      </c>
      <c r="O848" s="110">
        <v>82224.0</v>
      </c>
      <c r="P848" s="110">
        <v>50623.0</v>
      </c>
      <c r="Q848" s="110">
        <v>83124.0</v>
      </c>
      <c r="R848" s="50">
        <v>53022.0</v>
      </c>
      <c r="S848" s="111">
        <v>54.0</v>
      </c>
      <c r="T848" s="112">
        <v>70.0</v>
      </c>
      <c r="U848" s="24" t="s">
        <v>31</v>
      </c>
      <c r="V848" s="11" t="s">
        <v>4012</v>
      </c>
      <c r="W848" s="108">
        <v>1.0</v>
      </c>
      <c r="X848" s="113">
        <v>63120.0</v>
      </c>
      <c r="Y848" s="113">
        <v>12223.0</v>
      </c>
      <c r="Z848" s="11">
        <v>177.0</v>
      </c>
      <c r="AA848" s="113">
        <v>72217.0</v>
      </c>
      <c r="AB848" s="109">
        <v>37735.52</v>
      </c>
      <c r="AC848" s="113">
        <v>112820.0</v>
      </c>
      <c r="AD848" s="108">
        <v>8.0</v>
      </c>
    </row>
    <row r="849">
      <c r="A849" s="11">
        <v>98.0</v>
      </c>
      <c r="B849" s="11">
        <v>5.0</v>
      </c>
      <c r="C849" s="11">
        <v>9.0</v>
      </c>
      <c r="D849" s="17">
        <v>81.0</v>
      </c>
      <c r="E849" s="108">
        <v>2.0</v>
      </c>
      <c r="F849" s="109">
        <v>3884.58</v>
      </c>
      <c r="G849" s="109">
        <v>-83024.59</v>
      </c>
      <c r="H849" s="109">
        <v>-23576.31</v>
      </c>
      <c r="I849" s="109">
        <v>47632.28</v>
      </c>
      <c r="J849" s="109">
        <v>11947.95</v>
      </c>
      <c r="K849" s="109">
        <v>92058.69</v>
      </c>
      <c r="L849" s="109">
        <v>21192.34</v>
      </c>
      <c r="M849" s="109">
        <v>-37393.52</v>
      </c>
      <c r="N849" s="110">
        <v>63013.0</v>
      </c>
      <c r="O849" s="110">
        <v>62533.0</v>
      </c>
      <c r="P849" s="110">
        <v>50723.0</v>
      </c>
      <c r="Q849" s="110">
        <v>63033.0</v>
      </c>
      <c r="R849" s="50">
        <v>111919.0</v>
      </c>
      <c r="S849" s="111">
        <v>50.0</v>
      </c>
      <c r="T849" s="112">
        <v>72.0</v>
      </c>
      <c r="U849" s="24" t="s">
        <v>39</v>
      </c>
      <c r="V849" s="11" t="s">
        <v>3916</v>
      </c>
      <c r="W849" s="108">
        <v>2.0</v>
      </c>
      <c r="X849" s="113">
        <v>100617.0</v>
      </c>
      <c r="Y849" s="113">
        <v>72517.0</v>
      </c>
      <c r="Z849" s="11">
        <v>115.0</v>
      </c>
      <c r="AA849" s="113">
        <v>71016.0</v>
      </c>
      <c r="AB849" s="109">
        <v>11260.8</v>
      </c>
      <c r="AC849" s="113">
        <v>11821.0</v>
      </c>
      <c r="AD849" s="108">
        <v>8.0</v>
      </c>
    </row>
    <row r="850">
      <c r="A850" s="11">
        <v>57.0</v>
      </c>
      <c r="B850" s="11">
        <v>6.0</v>
      </c>
      <c r="C850" s="11">
        <v>4.0</v>
      </c>
      <c r="D850" s="17">
        <v>47.0</v>
      </c>
      <c r="E850" s="108">
        <v>0.0</v>
      </c>
      <c r="F850" s="109">
        <v>-47535.4</v>
      </c>
      <c r="G850" s="109">
        <v>94746.39</v>
      </c>
      <c r="H850" s="109">
        <v>3460.41</v>
      </c>
      <c r="I850" s="109">
        <v>-21684.52</v>
      </c>
      <c r="J850" s="109">
        <v>32829.61</v>
      </c>
      <c r="K850" s="109">
        <v>16487.18</v>
      </c>
      <c r="L850" s="109">
        <v>28175.46</v>
      </c>
      <c r="M850" s="109">
        <v>-21674.2</v>
      </c>
      <c r="N850" s="110">
        <v>20110.0</v>
      </c>
      <c r="O850" s="110">
        <v>13020.0</v>
      </c>
      <c r="P850" s="110">
        <v>50523.0</v>
      </c>
      <c r="Q850" s="110">
        <v>13120.0</v>
      </c>
      <c r="R850" s="50">
        <v>103118.0</v>
      </c>
      <c r="S850" s="111">
        <v>53.0</v>
      </c>
      <c r="T850" s="112">
        <v>95.0</v>
      </c>
      <c r="U850" s="24" t="s">
        <v>48</v>
      </c>
      <c r="V850" s="11" t="s">
        <v>3889</v>
      </c>
      <c r="W850" s="108">
        <v>6.0</v>
      </c>
      <c r="X850" s="113">
        <v>40420.0</v>
      </c>
      <c r="Y850" s="113">
        <v>30620.0</v>
      </c>
      <c r="Z850" s="11">
        <v>189.0</v>
      </c>
      <c r="AA850" s="113">
        <v>80515.0</v>
      </c>
      <c r="AB850" s="109">
        <v>95198.72</v>
      </c>
      <c r="AC850" s="113">
        <v>101518.0</v>
      </c>
      <c r="AD850" s="108">
        <v>6.0</v>
      </c>
    </row>
    <row r="851">
      <c r="A851" s="11">
        <v>98.0</v>
      </c>
      <c r="B851" s="11">
        <v>6.0</v>
      </c>
      <c r="C851" s="11">
        <v>1.0</v>
      </c>
      <c r="D851" s="17">
        <v>65.0</v>
      </c>
      <c r="E851" s="108">
        <v>8.0</v>
      </c>
      <c r="F851" s="109">
        <v>43871.76</v>
      </c>
      <c r="G851" s="109">
        <v>-67518.07</v>
      </c>
      <c r="H851" s="109">
        <v>79163.61</v>
      </c>
      <c r="I851" s="109">
        <v>79342.42</v>
      </c>
      <c r="J851" s="109">
        <v>46814.14</v>
      </c>
      <c r="K851" s="109">
        <v>-28622.63</v>
      </c>
      <c r="L851" s="109">
        <v>-49521.53</v>
      </c>
      <c r="M851" s="109">
        <v>85486.58</v>
      </c>
      <c r="N851" s="110">
        <v>12814.0</v>
      </c>
      <c r="O851" s="110">
        <v>12144.0</v>
      </c>
      <c r="P851" s="110">
        <v>52623.0</v>
      </c>
      <c r="Q851" s="110">
        <v>13144.0</v>
      </c>
      <c r="R851" s="50">
        <v>30618.0</v>
      </c>
      <c r="S851" s="111">
        <v>55.0</v>
      </c>
      <c r="T851" s="112">
        <v>38.0</v>
      </c>
      <c r="U851" s="24" t="s">
        <v>603</v>
      </c>
      <c r="V851" s="11" t="s">
        <v>3934</v>
      </c>
      <c r="W851" s="108">
        <v>7.0</v>
      </c>
      <c r="X851" s="113">
        <v>20216.0</v>
      </c>
      <c r="Y851" s="113">
        <v>60317.0</v>
      </c>
      <c r="Z851" s="11">
        <v>140.0</v>
      </c>
      <c r="AA851" s="113">
        <v>21214.0</v>
      </c>
      <c r="AB851" s="109">
        <v>95461.93</v>
      </c>
      <c r="AC851" s="113">
        <v>42518.0</v>
      </c>
      <c r="AD851" s="108">
        <v>4.0</v>
      </c>
    </row>
    <row r="852">
      <c r="A852" s="11">
        <v>16.0</v>
      </c>
      <c r="B852" s="11">
        <v>6.0</v>
      </c>
      <c r="C852" s="11">
        <v>9.0</v>
      </c>
      <c r="D852" s="17">
        <v>64.0</v>
      </c>
      <c r="E852" s="108">
        <v>7.0</v>
      </c>
      <c r="F852" s="109">
        <v>-3786.64</v>
      </c>
      <c r="G852" s="109">
        <v>-24714.52</v>
      </c>
      <c r="H852" s="109">
        <v>68557.14</v>
      </c>
      <c r="I852" s="109">
        <v>-57947.44</v>
      </c>
      <c r="J852" s="109">
        <v>-72083.59</v>
      </c>
      <c r="K852" s="109">
        <v>-7823.64</v>
      </c>
      <c r="L852" s="109">
        <v>-43617.1</v>
      </c>
      <c r="M852" s="109">
        <v>26665.06</v>
      </c>
      <c r="N852" s="110">
        <v>62914.0</v>
      </c>
      <c r="O852" s="110">
        <v>62624.0</v>
      </c>
      <c r="P852" s="110">
        <v>50423.0</v>
      </c>
      <c r="Q852" s="110">
        <v>63024.0</v>
      </c>
      <c r="R852" s="50">
        <v>90922.0</v>
      </c>
      <c r="S852" s="111">
        <v>53.0</v>
      </c>
      <c r="T852" s="112">
        <v>28.0</v>
      </c>
      <c r="U852" s="24" t="s">
        <v>39</v>
      </c>
      <c r="V852" s="11" t="s">
        <v>3985</v>
      </c>
      <c r="W852" s="108">
        <v>8.0</v>
      </c>
      <c r="X852" s="113">
        <v>21722.0</v>
      </c>
      <c r="Y852" s="113">
        <v>112121.0</v>
      </c>
      <c r="Z852" s="11">
        <v>140.0</v>
      </c>
      <c r="AA852" s="113">
        <v>20621.0</v>
      </c>
      <c r="AB852" s="109">
        <v>21820.77</v>
      </c>
      <c r="AC852" s="113">
        <v>61019.0</v>
      </c>
      <c r="AD852" s="108">
        <v>8.0</v>
      </c>
    </row>
    <row r="853">
      <c r="A853" s="11">
        <v>78.0</v>
      </c>
      <c r="B853" s="11">
        <v>1.0</v>
      </c>
      <c r="C853" s="11">
        <v>5.0</v>
      </c>
      <c r="D853" s="17">
        <v>19.0</v>
      </c>
      <c r="E853" s="108">
        <v>2.0</v>
      </c>
      <c r="F853" s="109">
        <v>-97035.98</v>
      </c>
      <c r="G853" s="109">
        <v>-91681.59</v>
      </c>
      <c r="H853" s="109">
        <v>-970.98</v>
      </c>
      <c r="I853" s="109">
        <v>78431.59</v>
      </c>
      <c r="J853" s="109">
        <v>-99821.68</v>
      </c>
      <c r="K853" s="109">
        <v>99838.46</v>
      </c>
      <c r="L853" s="109">
        <v>-92061.26</v>
      </c>
      <c r="M853" s="109">
        <v>-36693.3</v>
      </c>
      <c r="N853" s="110">
        <v>81914.0</v>
      </c>
      <c r="O853" s="110">
        <v>81624.0</v>
      </c>
      <c r="P853" s="110">
        <v>53023.0</v>
      </c>
      <c r="Q853" s="110">
        <v>83124.0</v>
      </c>
      <c r="R853" s="50">
        <v>111620.0</v>
      </c>
      <c r="S853" s="111">
        <v>50.0</v>
      </c>
      <c r="T853" s="112">
        <v>89.0</v>
      </c>
      <c r="U853" s="24" t="s">
        <v>31</v>
      </c>
      <c r="V853" s="11" t="s">
        <v>4048</v>
      </c>
      <c r="W853" s="108">
        <v>2.0</v>
      </c>
      <c r="X853" s="113">
        <v>61615.0</v>
      </c>
      <c r="Y853" s="113">
        <v>102619.0</v>
      </c>
      <c r="Z853" s="11">
        <v>138.0</v>
      </c>
      <c r="AA853" s="113">
        <v>122922.0</v>
      </c>
      <c r="AB853" s="109">
        <v>66798.15</v>
      </c>
      <c r="AC853" s="113">
        <v>63021.0</v>
      </c>
      <c r="AD853" s="108">
        <v>7.0</v>
      </c>
    </row>
    <row r="854">
      <c r="A854" s="11">
        <v>37.0</v>
      </c>
      <c r="B854" s="11">
        <v>1.0</v>
      </c>
      <c r="C854" s="11">
        <v>9.0</v>
      </c>
      <c r="D854" s="17">
        <v>78.0</v>
      </c>
      <c r="E854" s="108">
        <v>8.0</v>
      </c>
      <c r="F854" s="109">
        <v>-42885.5</v>
      </c>
      <c r="G854" s="109">
        <v>-60180.77</v>
      </c>
      <c r="H854" s="109">
        <v>-12292.62</v>
      </c>
      <c r="I854" s="109">
        <v>-98203.27</v>
      </c>
      <c r="J854" s="109">
        <v>66160.57</v>
      </c>
      <c r="K854" s="109">
        <v>3379.51</v>
      </c>
      <c r="L854" s="109">
        <v>-43014.58</v>
      </c>
      <c r="M854" s="109">
        <v>97067.22</v>
      </c>
      <c r="N854" s="110">
        <v>122314.0</v>
      </c>
      <c r="O854" s="110">
        <v>122024.0</v>
      </c>
      <c r="P854" s="110">
        <v>52423.0</v>
      </c>
      <c r="Q854" s="110">
        <v>123123.0</v>
      </c>
      <c r="R854" s="50">
        <v>60417.0</v>
      </c>
      <c r="S854" s="111">
        <v>53.0</v>
      </c>
      <c r="T854" s="112">
        <v>62.0</v>
      </c>
      <c r="U854" s="24" t="s">
        <v>39</v>
      </c>
      <c r="V854" s="11" t="s">
        <v>4062</v>
      </c>
      <c r="W854" s="108">
        <v>1.0</v>
      </c>
      <c r="X854" s="113">
        <v>60114.0</v>
      </c>
      <c r="Y854" s="113">
        <v>31115.0</v>
      </c>
      <c r="Z854" s="11">
        <v>174.0</v>
      </c>
      <c r="AA854" s="113">
        <v>11613.0</v>
      </c>
      <c r="AB854" s="109">
        <v>-1832.92</v>
      </c>
      <c r="AC854" s="113">
        <v>120920.0</v>
      </c>
      <c r="AD854" s="108">
        <v>5.0</v>
      </c>
    </row>
    <row r="855">
      <c r="A855" s="11">
        <v>37.0</v>
      </c>
      <c r="B855" s="11">
        <v>1.0</v>
      </c>
      <c r="C855" s="11">
        <v>5.0</v>
      </c>
      <c r="D855" s="17">
        <v>30.0</v>
      </c>
      <c r="E855" s="108">
        <v>5.0</v>
      </c>
      <c r="F855" s="109">
        <v>35644.7</v>
      </c>
      <c r="G855" s="109">
        <v>38908.7</v>
      </c>
      <c r="H855" s="109">
        <v>-6575.09</v>
      </c>
      <c r="I855" s="109">
        <v>94649.75</v>
      </c>
      <c r="J855" s="109">
        <v>-7872.38</v>
      </c>
      <c r="K855" s="109">
        <v>18247.7</v>
      </c>
      <c r="L855" s="109">
        <v>31881.47</v>
      </c>
      <c r="M855" s="109">
        <v>20932.89</v>
      </c>
      <c r="N855" s="110">
        <v>111213.0</v>
      </c>
      <c r="O855" s="110">
        <v>110733.0</v>
      </c>
      <c r="P855" s="110">
        <v>52023.0</v>
      </c>
      <c r="Q855" s="110">
        <v>113033.0</v>
      </c>
      <c r="R855" s="50">
        <v>80915.0</v>
      </c>
      <c r="S855" s="111">
        <v>50.0</v>
      </c>
      <c r="T855" s="112">
        <v>59.0</v>
      </c>
      <c r="U855" s="24" t="s">
        <v>603</v>
      </c>
      <c r="V855" s="11" t="s">
        <v>3970</v>
      </c>
      <c r="W855" s="108">
        <v>4.0</v>
      </c>
      <c r="X855" s="113">
        <v>70719.0</v>
      </c>
      <c r="Y855" s="113">
        <v>42113.0</v>
      </c>
      <c r="Z855" s="11">
        <v>157.0</v>
      </c>
      <c r="AA855" s="113">
        <v>51216.0</v>
      </c>
      <c r="AB855" s="109">
        <v>9818.16</v>
      </c>
      <c r="AC855" s="113">
        <v>31018.0</v>
      </c>
      <c r="AD855" s="108">
        <v>1.0</v>
      </c>
    </row>
    <row r="856">
      <c r="A856" s="11">
        <v>57.0</v>
      </c>
      <c r="B856" s="11">
        <v>6.0</v>
      </c>
      <c r="C856" s="11">
        <v>3.0</v>
      </c>
      <c r="D856" s="17">
        <v>76.0</v>
      </c>
      <c r="E856" s="108">
        <v>7.0</v>
      </c>
      <c r="F856" s="109">
        <v>-17187.46</v>
      </c>
      <c r="G856" s="109">
        <v>-55484.49</v>
      </c>
      <c r="H856" s="109">
        <v>66873.26</v>
      </c>
      <c r="I856" s="109">
        <v>-64820.81</v>
      </c>
      <c r="J856" s="109">
        <v>93602.8</v>
      </c>
      <c r="K856" s="109">
        <v>84767.66</v>
      </c>
      <c r="L856" s="109">
        <v>-60815.0</v>
      </c>
      <c r="M856" s="109">
        <v>-16939.91</v>
      </c>
      <c r="N856" s="110">
        <v>22214.0</v>
      </c>
      <c r="O856" s="110">
        <v>21544.0</v>
      </c>
      <c r="P856" s="110">
        <v>50123.0</v>
      </c>
      <c r="Q856" s="110">
        <v>22944.0</v>
      </c>
      <c r="R856" s="50">
        <v>30720.0</v>
      </c>
      <c r="S856" s="111">
        <v>50.0</v>
      </c>
      <c r="T856" s="112">
        <v>9.0</v>
      </c>
      <c r="U856" s="24" t="s">
        <v>31</v>
      </c>
      <c r="V856" s="11" t="s">
        <v>3981</v>
      </c>
      <c r="W856" s="108">
        <v>1.0</v>
      </c>
      <c r="X856" s="113">
        <v>82817.0</v>
      </c>
      <c r="Y856" s="113">
        <v>70720.0</v>
      </c>
      <c r="Z856" s="11">
        <v>186.0</v>
      </c>
      <c r="AA856" s="113">
        <v>12223.0</v>
      </c>
      <c r="AB856" s="109">
        <v>47528.7</v>
      </c>
      <c r="AC856" s="113">
        <v>52621.0</v>
      </c>
      <c r="AD856" s="108">
        <v>0.0</v>
      </c>
    </row>
    <row r="857">
      <c r="A857" s="11">
        <v>78.0</v>
      </c>
      <c r="B857" s="11">
        <v>1.0</v>
      </c>
      <c r="C857" s="11">
        <v>2.0</v>
      </c>
      <c r="D857" s="17">
        <v>68.0</v>
      </c>
      <c r="E857" s="108">
        <v>6.0</v>
      </c>
      <c r="F857" s="109">
        <v>46926.58</v>
      </c>
      <c r="G857" s="109">
        <v>-39170.72</v>
      </c>
      <c r="H857" s="109">
        <v>97903.51</v>
      </c>
      <c r="I857" s="109">
        <v>61329.21</v>
      </c>
      <c r="J857" s="109">
        <v>-35516.09</v>
      </c>
      <c r="K857" s="109">
        <v>-70491.06</v>
      </c>
      <c r="L857" s="109">
        <v>89053.76</v>
      </c>
      <c r="M857" s="109">
        <v>-51356.68</v>
      </c>
      <c r="N857" s="110">
        <v>20911.0</v>
      </c>
      <c r="O857" s="110">
        <v>20431.0</v>
      </c>
      <c r="P857" s="110">
        <v>51823.0</v>
      </c>
      <c r="Q857" s="110">
        <v>22831.0</v>
      </c>
      <c r="R857" s="50">
        <v>82113.0</v>
      </c>
      <c r="S857" s="111">
        <v>54.0</v>
      </c>
      <c r="T857" s="112">
        <v>25.0</v>
      </c>
      <c r="U857" s="24" t="s">
        <v>31</v>
      </c>
      <c r="V857" s="11" t="s">
        <v>4098</v>
      </c>
      <c r="W857" s="108">
        <v>2.0</v>
      </c>
      <c r="X857" s="113">
        <v>42314.0</v>
      </c>
      <c r="Y857" s="113">
        <v>30420.0</v>
      </c>
      <c r="Z857" s="11">
        <v>148.0</v>
      </c>
      <c r="AA857" s="113">
        <v>52421.0</v>
      </c>
      <c r="AB857" s="109">
        <v>35881.91</v>
      </c>
      <c r="AC857" s="113">
        <v>11913.0</v>
      </c>
      <c r="AD857" s="108">
        <v>9.0</v>
      </c>
    </row>
    <row r="858">
      <c r="A858" s="11">
        <v>78.0</v>
      </c>
      <c r="B858" s="11">
        <v>2.0</v>
      </c>
      <c r="C858" s="11">
        <v>2.0</v>
      </c>
      <c r="D858" s="17">
        <v>34.0</v>
      </c>
      <c r="E858" s="108">
        <v>1.0</v>
      </c>
      <c r="F858" s="109">
        <v>-20379.27</v>
      </c>
      <c r="G858" s="109">
        <v>84459.05</v>
      </c>
      <c r="H858" s="109">
        <v>-52886.8</v>
      </c>
      <c r="I858" s="109">
        <v>68037.0</v>
      </c>
      <c r="J858" s="109">
        <v>41025.56</v>
      </c>
      <c r="K858" s="109">
        <v>-71617.5</v>
      </c>
      <c r="L858" s="109">
        <v>22304.44</v>
      </c>
      <c r="M858" s="109">
        <v>-23627.33</v>
      </c>
      <c r="N858" s="110">
        <v>40312.0</v>
      </c>
      <c r="O858" s="110">
        <v>40122.0</v>
      </c>
      <c r="P858" s="110">
        <v>50123.0</v>
      </c>
      <c r="Q858" s="110">
        <v>43022.0</v>
      </c>
      <c r="R858" s="50">
        <v>53119.0</v>
      </c>
      <c r="S858" s="111">
        <v>53.0</v>
      </c>
      <c r="T858" s="112">
        <v>82.0</v>
      </c>
      <c r="U858" s="24" t="s">
        <v>39</v>
      </c>
      <c r="V858" s="11" t="s">
        <v>4021</v>
      </c>
      <c r="W858" s="108">
        <v>4.0</v>
      </c>
      <c r="X858" s="113">
        <v>41617.0</v>
      </c>
      <c r="Y858" s="113">
        <v>101921.0</v>
      </c>
      <c r="Z858" s="11">
        <v>156.0</v>
      </c>
      <c r="AA858" s="113">
        <v>31121.0</v>
      </c>
      <c r="AB858" s="109">
        <v>-81288.7</v>
      </c>
      <c r="AC858" s="113">
        <v>80818.0</v>
      </c>
      <c r="AD858" s="108">
        <v>5.0</v>
      </c>
    </row>
    <row r="859">
      <c r="A859" s="11">
        <v>37.0</v>
      </c>
      <c r="B859" s="11">
        <v>2.0</v>
      </c>
      <c r="C859" s="11">
        <v>7.0</v>
      </c>
      <c r="D859" s="17">
        <v>9.0</v>
      </c>
      <c r="E859" s="108">
        <v>8.0</v>
      </c>
      <c r="F859" s="109">
        <v>-50699.38</v>
      </c>
      <c r="G859" s="109">
        <v>-7608.19</v>
      </c>
      <c r="H859" s="109">
        <v>17696.3</v>
      </c>
      <c r="I859" s="109">
        <v>13896.35</v>
      </c>
      <c r="J859" s="109">
        <v>-47259.26</v>
      </c>
      <c r="K859" s="109">
        <v>86368.56</v>
      </c>
      <c r="L859" s="109">
        <v>-6631.66</v>
      </c>
      <c r="M859" s="109">
        <v>-93315.56</v>
      </c>
      <c r="N859" s="110">
        <v>122511.0</v>
      </c>
      <c r="O859" s="110">
        <v>122031.0</v>
      </c>
      <c r="P859" s="110">
        <v>50223.0</v>
      </c>
      <c r="Q859" s="110">
        <v>123130.0</v>
      </c>
      <c r="R859" s="50">
        <v>71815.0</v>
      </c>
      <c r="S859" s="111">
        <v>53.0</v>
      </c>
      <c r="T859" s="112">
        <v>51.0</v>
      </c>
      <c r="U859" s="24" t="s">
        <v>48</v>
      </c>
      <c r="V859" s="11" t="s">
        <v>4070</v>
      </c>
      <c r="W859" s="108">
        <v>1.0</v>
      </c>
      <c r="X859" s="113">
        <v>12919.0</v>
      </c>
      <c r="Y859" s="113">
        <v>42823.0</v>
      </c>
      <c r="Z859" s="11">
        <v>105.0</v>
      </c>
      <c r="AA859" s="113">
        <v>101215.0</v>
      </c>
      <c r="AB859" s="109">
        <v>55863.93</v>
      </c>
      <c r="AC859" s="113">
        <v>110114.0</v>
      </c>
      <c r="AD859" s="108">
        <v>7.0</v>
      </c>
    </row>
    <row r="860">
      <c r="A860" s="11">
        <v>98.0</v>
      </c>
      <c r="B860" s="11">
        <v>7.0</v>
      </c>
      <c r="C860" s="11">
        <v>4.0</v>
      </c>
      <c r="D860" s="17">
        <v>47.0</v>
      </c>
      <c r="E860" s="108">
        <v>8.0</v>
      </c>
      <c r="F860" s="109">
        <v>-78981.99</v>
      </c>
      <c r="G860" s="109">
        <v>88695.75</v>
      </c>
      <c r="H860" s="109">
        <v>58795.84</v>
      </c>
      <c r="I860" s="109">
        <v>83059.68</v>
      </c>
      <c r="J860" s="109">
        <v>-67590.94</v>
      </c>
      <c r="K860" s="109">
        <v>-8253.79</v>
      </c>
      <c r="L860" s="109">
        <v>-12341.47</v>
      </c>
      <c r="M860" s="109">
        <v>46524.16</v>
      </c>
      <c r="N860" s="110">
        <v>120411.0</v>
      </c>
      <c r="O860" s="110">
        <v>112931.0</v>
      </c>
      <c r="P860" s="110">
        <v>52023.0</v>
      </c>
      <c r="Q860" s="110">
        <v>113031.0</v>
      </c>
      <c r="R860" s="50">
        <v>51717.0</v>
      </c>
      <c r="S860" s="111">
        <v>53.0</v>
      </c>
      <c r="T860" s="112">
        <v>35.0</v>
      </c>
      <c r="U860" s="24" t="s">
        <v>39</v>
      </c>
      <c r="V860" s="11" t="s">
        <v>4099</v>
      </c>
      <c r="W860" s="108">
        <v>4.0</v>
      </c>
      <c r="X860" s="113">
        <v>52419.0</v>
      </c>
      <c r="Y860" s="113">
        <v>91822.0</v>
      </c>
      <c r="Z860" s="11">
        <v>148.0</v>
      </c>
      <c r="AA860" s="113">
        <v>81817.0</v>
      </c>
      <c r="AB860" s="109">
        <v>22185.24</v>
      </c>
      <c r="AC860" s="113">
        <v>51117.0</v>
      </c>
      <c r="AD860" s="108">
        <v>4.0</v>
      </c>
    </row>
    <row r="861">
      <c r="A861" s="11">
        <v>16.0</v>
      </c>
      <c r="B861" s="11">
        <v>8.0</v>
      </c>
      <c r="C861" s="11">
        <v>5.0</v>
      </c>
      <c r="D861" s="17">
        <v>58.0</v>
      </c>
      <c r="E861" s="108">
        <v>9.0</v>
      </c>
      <c r="F861" s="109">
        <v>-51564.59</v>
      </c>
      <c r="G861" s="109">
        <v>69260.84</v>
      </c>
      <c r="H861" s="109">
        <v>-55344.14</v>
      </c>
      <c r="I861" s="109">
        <v>-59073.79</v>
      </c>
      <c r="J861" s="109">
        <v>-45253.2</v>
      </c>
      <c r="K861" s="109">
        <v>-21178.77</v>
      </c>
      <c r="L861" s="109">
        <v>21292.92</v>
      </c>
      <c r="M861" s="109">
        <v>-85328.96</v>
      </c>
      <c r="N861" s="110">
        <v>111012.0</v>
      </c>
      <c r="O861" s="110">
        <v>110342.0</v>
      </c>
      <c r="P861" s="110">
        <v>51423.0</v>
      </c>
      <c r="Q861" s="110">
        <v>113042.0</v>
      </c>
      <c r="R861" s="50">
        <v>72713.0</v>
      </c>
      <c r="S861" s="111">
        <v>55.0</v>
      </c>
      <c r="T861" s="112">
        <v>16.0</v>
      </c>
      <c r="U861" s="24" t="s">
        <v>31</v>
      </c>
      <c r="V861" s="11" t="s">
        <v>3984</v>
      </c>
      <c r="W861" s="108">
        <v>6.0</v>
      </c>
      <c r="X861" s="113">
        <v>22015.0</v>
      </c>
      <c r="Y861" s="113">
        <v>91614.0</v>
      </c>
      <c r="Z861" s="11">
        <v>154.0</v>
      </c>
      <c r="AA861" s="113">
        <v>20118.0</v>
      </c>
      <c r="AB861" s="109">
        <v>98526.58</v>
      </c>
      <c r="AC861" s="113">
        <v>31616.0</v>
      </c>
      <c r="AD861" s="108">
        <v>3.0</v>
      </c>
    </row>
    <row r="862">
      <c r="A862" s="11">
        <v>16.0</v>
      </c>
      <c r="B862" s="11">
        <v>8.0</v>
      </c>
      <c r="C862" s="11">
        <v>6.0</v>
      </c>
      <c r="D862" s="17">
        <v>25.0</v>
      </c>
      <c r="E862" s="108">
        <v>6.0</v>
      </c>
      <c r="F862" s="109">
        <v>54632.36</v>
      </c>
      <c r="G862" s="109">
        <v>91386.72</v>
      </c>
      <c r="H862" s="109">
        <v>3964.26</v>
      </c>
      <c r="I862" s="109">
        <v>85862.25</v>
      </c>
      <c r="J862" s="109">
        <v>-80268.47</v>
      </c>
      <c r="K862" s="109">
        <v>-77045.76</v>
      </c>
      <c r="L862" s="109">
        <v>81049.44</v>
      </c>
      <c r="M862" s="109">
        <v>24060.41</v>
      </c>
      <c r="N862" s="110">
        <v>71314.0</v>
      </c>
      <c r="O862" s="110">
        <v>70834.0</v>
      </c>
      <c r="P862" s="110">
        <v>52023.0</v>
      </c>
      <c r="Q862" s="110">
        <v>73134.0</v>
      </c>
      <c r="R862" s="50">
        <v>82015.0</v>
      </c>
      <c r="S862" s="111">
        <v>52.0</v>
      </c>
      <c r="T862" s="112">
        <v>96.0</v>
      </c>
      <c r="U862" s="24" t="s">
        <v>601</v>
      </c>
      <c r="V862" s="11" t="s">
        <v>3959</v>
      </c>
      <c r="W862" s="108">
        <v>5.0</v>
      </c>
      <c r="X862" s="113">
        <v>21419.0</v>
      </c>
      <c r="Y862" s="113">
        <v>32319.0</v>
      </c>
      <c r="Z862" s="11">
        <v>196.0</v>
      </c>
      <c r="AA862" s="113">
        <v>52117.0</v>
      </c>
      <c r="AB862" s="109">
        <v>12474.34</v>
      </c>
      <c r="AC862" s="113">
        <v>102519.0</v>
      </c>
      <c r="AD862" s="108">
        <v>9.0</v>
      </c>
    </row>
    <row r="863">
      <c r="A863" s="11">
        <v>57.0</v>
      </c>
      <c r="B863" s="11">
        <v>8.0</v>
      </c>
      <c r="C863" s="11">
        <v>5.0</v>
      </c>
      <c r="D863" s="17">
        <v>14.0</v>
      </c>
      <c r="E863" s="108">
        <v>7.0</v>
      </c>
      <c r="F863" s="109">
        <v>-34865.58</v>
      </c>
      <c r="G863" s="109">
        <v>-28300.61</v>
      </c>
      <c r="H863" s="109">
        <v>-51102.96</v>
      </c>
      <c r="I863" s="109">
        <v>71845.02</v>
      </c>
      <c r="J863" s="109">
        <v>-42267.39</v>
      </c>
      <c r="K863" s="109">
        <v>97945.1</v>
      </c>
      <c r="L863" s="109">
        <v>-31004.6</v>
      </c>
      <c r="M863" s="109">
        <v>-42943.34</v>
      </c>
      <c r="N863" s="110">
        <v>32914.0</v>
      </c>
      <c r="O863" s="110">
        <v>32624.0</v>
      </c>
      <c r="P863" s="110">
        <v>52923.0</v>
      </c>
      <c r="Q863" s="110">
        <v>33124.0</v>
      </c>
      <c r="R863" s="50">
        <v>120917.0</v>
      </c>
      <c r="S863" s="111">
        <v>55.0</v>
      </c>
      <c r="T863" s="112">
        <v>84.0</v>
      </c>
      <c r="U863" s="24" t="s">
        <v>31</v>
      </c>
      <c r="V863" s="11" t="s">
        <v>3942</v>
      </c>
      <c r="W863" s="108">
        <v>2.0</v>
      </c>
      <c r="X863" s="113">
        <v>121522.0</v>
      </c>
      <c r="Y863" s="113">
        <v>121621.0</v>
      </c>
      <c r="Z863" s="11">
        <v>187.0</v>
      </c>
      <c r="AA863" s="113">
        <v>90721.0</v>
      </c>
      <c r="AB863" s="109">
        <v>23582.7</v>
      </c>
      <c r="AC863" s="113">
        <v>40122.0</v>
      </c>
      <c r="AD863" s="108">
        <v>1.0</v>
      </c>
    </row>
    <row r="864">
      <c r="A864" s="11">
        <v>37.0</v>
      </c>
      <c r="B864" s="11">
        <v>3.0</v>
      </c>
      <c r="C864" s="11">
        <v>7.0</v>
      </c>
      <c r="D864" s="17">
        <v>2.0</v>
      </c>
      <c r="E864" s="108">
        <v>2.0</v>
      </c>
      <c r="F864" s="109">
        <v>-6163.99</v>
      </c>
      <c r="G864" s="109">
        <v>-71363.54</v>
      </c>
      <c r="H864" s="109">
        <v>74247.95</v>
      </c>
      <c r="I864" s="109">
        <v>-82766.17</v>
      </c>
      <c r="J864" s="109">
        <v>28043.2</v>
      </c>
      <c r="K864" s="109">
        <v>82994.59</v>
      </c>
      <c r="L864" s="109">
        <v>35283.99</v>
      </c>
      <c r="M864" s="109">
        <v>60807.55</v>
      </c>
      <c r="N864" s="110">
        <v>92210.0</v>
      </c>
      <c r="O864" s="110">
        <v>91440.0</v>
      </c>
      <c r="P864" s="110">
        <v>52323.0</v>
      </c>
      <c r="Q864" s="110">
        <v>93040.0</v>
      </c>
      <c r="R864" s="50">
        <v>12322.0</v>
      </c>
      <c r="S864" s="111">
        <v>50.0</v>
      </c>
      <c r="T864" s="112">
        <v>3.0</v>
      </c>
      <c r="U864" s="24" t="s">
        <v>603</v>
      </c>
      <c r="V864" s="11" t="s">
        <v>4022</v>
      </c>
      <c r="W864" s="108">
        <v>6.0</v>
      </c>
      <c r="X864" s="113">
        <v>23122.0</v>
      </c>
      <c r="Y864" s="113">
        <v>31418.0</v>
      </c>
      <c r="Z864" s="11">
        <v>174.0</v>
      </c>
      <c r="AA864" s="113">
        <v>111417.0</v>
      </c>
      <c r="AB864" s="109">
        <v>-39567.93</v>
      </c>
      <c r="AC864" s="113">
        <v>40615.0</v>
      </c>
      <c r="AD864" s="108">
        <v>8.0</v>
      </c>
    </row>
    <row r="865">
      <c r="A865" s="11">
        <v>98.0</v>
      </c>
      <c r="B865" s="11">
        <v>8.0</v>
      </c>
      <c r="C865" s="11">
        <v>4.0</v>
      </c>
      <c r="D865" s="17">
        <v>61.0</v>
      </c>
      <c r="E865" s="108">
        <v>0.0</v>
      </c>
      <c r="F865" s="109">
        <v>-90545.32</v>
      </c>
      <c r="G865" s="109">
        <v>-2401.63</v>
      </c>
      <c r="H865" s="109">
        <v>54301.14</v>
      </c>
      <c r="I865" s="109">
        <v>9742.46</v>
      </c>
      <c r="J865" s="109">
        <v>-31229.67</v>
      </c>
      <c r="K865" s="109">
        <v>-14933.76</v>
      </c>
      <c r="L865" s="109">
        <v>-87299.2</v>
      </c>
      <c r="M865" s="109">
        <v>-6944.25</v>
      </c>
      <c r="N865" s="110">
        <v>32510.0</v>
      </c>
      <c r="O865" s="110">
        <v>32220.0</v>
      </c>
      <c r="P865" s="110">
        <v>52723.0</v>
      </c>
      <c r="Q865" s="110">
        <v>33120.0</v>
      </c>
      <c r="R865" s="50">
        <v>90819.0</v>
      </c>
      <c r="S865" s="111">
        <v>54.0</v>
      </c>
      <c r="T865" s="112">
        <v>63.0</v>
      </c>
      <c r="U865" s="24" t="s">
        <v>39</v>
      </c>
      <c r="V865" s="11" t="s">
        <v>3961</v>
      </c>
      <c r="W865" s="108">
        <v>3.0</v>
      </c>
      <c r="X865" s="113">
        <v>52218.0</v>
      </c>
      <c r="Y865" s="113">
        <v>31313.0</v>
      </c>
      <c r="Z865" s="11">
        <v>113.0</v>
      </c>
      <c r="AA865" s="113">
        <v>120218.0</v>
      </c>
      <c r="AB865" s="109">
        <v>19081.07</v>
      </c>
      <c r="AC865" s="113">
        <v>12113.0</v>
      </c>
      <c r="AD865" s="108">
        <v>7.0</v>
      </c>
    </row>
    <row r="866">
      <c r="A866" s="11">
        <v>16.0</v>
      </c>
      <c r="B866" s="11">
        <v>9.0</v>
      </c>
      <c r="C866" s="11">
        <v>5.0</v>
      </c>
      <c r="D866" s="17">
        <v>80.0</v>
      </c>
      <c r="E866" s="108">
        <v>1.0</v>
      </c>
      <c r="F866" s="109">
        <v>-71413.64</v>
      </c>
      <c r="G866" s="109">
        <v>-21036.6</v>
      </c>
      <c r="H866" s="109">
        <v>-52125.81</v>
      </c>
      <c r="I866" s="109">
        <v>-44219.89</v>
      </c>
      <c r="J866" s="109">
        <v>-93945.21</v>
      </c>
      <c r="K866" s="109">
        <v>-13311.51</v>
      </c>
      <c r="L866" s="109">
        <v>49764.89</v>
      </c>
      <c r="M866" s="109">
        <v>-58603.91</v>
      </c>
      <c r="N866" s="110">
        <v>102012.0</v>
      </c>
      <c r="O866" s="110">
        <v>101532.0</v>
      </c>
      <c r="P866" s="110">
        <v>52023.0</v>
      </c>
      <c r="Q866" s="110">
        <v>103132.0</v>
      </c>
      <c r="R866" s="50">
        <v>33120.0</v>
      </c>
      <c r="S866" s="111">
        <v>51.0</v>
      </c>
      <c r="T866" s="112">
        <v>16.0</v>
      </c>
      <c r="U866" s="24" t="s">
        <v>601</v>
      </c>
      <c r="V866" s="11" t="s">
        <v>3881</v>
      </c>
      <c r="W866" s="108">
        <v>8.0</v>
      </c>
      <c r="X866" s="113">
        <v>120820.0</v>
      </c>
      <c r="Y866" s="113">
        <v>112114.0</v>
      </c>
      <c r="Z866" s="11">
        <v>169.0</v>
      </c>
      <c r="AA866" s="113">
        <v>60723.0</v>
      </c>
      <c r="AB866" s="109">
        <v>-29461.18</v>
      </c>
      <c r="AC866" s="113">
        <v>72520.0</v>
      </c>
      <c r="AD866" s="108">
        <v>6.0</v>
      </c>
    </row>
    <row r="867">
      <c r="A867" s="11">
        <v>98.0</v>
      </c>
      <c r="B867" s="11">
        <v>8.0</v>
      </c>
      <c r="C867" s="11">
        <v>7.0</v>
      </c>
      <c r="D867" s="17">
        <v>12.0</v>
      </c>
      <c r="E867" s="108">
        <v>8.0</v>
      </c>
      <c r="F867" s="109">
        <v>33647.54</v>
      </c>
      <c r="G867" s="109">
        <v>66932.43</v>
      </c>
      <c r="H867" s="109">
        <v>-59771.23</v>
      </c>
      <c r="I867" s="109">
        <v>13760.34</v>
      </c>
      <c r="J867" s="109">
        <v>24825.38</v>
      </c>
      <c r="K867" s="109">
        <v>19792.97</v>
      </c>
      <c r="L867" s="109">
        <v>37967.96</v>
      </c>
      <c r="M867" s="109">
        <v>-86898.31</v>
      </c>
      <c r="N867" s="110">
        <v>101113.0</v>
      </c>
      <c r="O867" s="110">
        <v>100633.0</v>
      </c>
      <c r="P867" s="110">
        <v>51423.0</v>
      </c>
      <c r="Q867" s="110">
        <v>103133.0</v>
      </c>
      <c r="R867" s="50">
        <v>31719.0</v>
      </c>
      <c r="S867" s="111">
        <v>54.0</v>
      </c>
      <c r="T867" s="112">
        <v>77.0</v>
      </c>
      <c r="U867" s="24" t="s">
        <v>31</v>
      </c>
      <c r="V867" s="11" t="s">
        <v>3970</v>
      </c>
      <c r="W867" s="108">
        <v>7.0</v>
      </c>
      <c r="X867" s="113">
        <v>40722.0</v>
      </c>
      <c r="Y867" s="113">
        <v>72214.0</v>
      </c>
      <c r="Z867" s="11">
        <v>163.0</v>
      </c>
      <c r="AA867" s="113">
        <v>20817.0</v>
      </c>
      <c r="AB867" s="109">
        <v>64841.76</v>
      </c>
      <c r="AC867" s="113">
        <v>40915.0</v>
      </c>
      <c r="AD867" s="108">
        <v>0.0</v>
      </c>
    </row>
    <row r="868">
      <c r="A868" s="11">
        <v>78.0</v>
      </c>
      <c r="B868" s="11">
        <v>4.0</v>
      </c>
      <c r="C868" s="11">
        <v>1.0</v>
      </c>
      <c r="D868" s="17">
        <v>81.0</v>
      </c>
      <c r="E868" s="108">
        <v>0.0</v>
      </c>
      <c r="F868" s="109">
        <v>22836.28</v>
      </c>
      <c r="G868" s="109">
        <v>-11782.41</v>
      </c>
      <c r="H868" s="109">
        <v>66968.49</v>
      </c>
      <c r="I868" s="109">
        <v>-2397.21</v>
      </c>
      <c r="J868" s="109">
        <v>92429.6</v>
      </c>
      <c r="K868" s="109">
        <v>87285.05</v>
      </c>
      <c r="L868" s="109">
        <v>991.96</v>
      </c>
      <c r="M868" s="109">
        <v>-22010.99</v>
      </c>
      <c r="N868" s="110">
        <v>10812.0</v>
      </c>
      <c r="O868" s="110">
        <v>10332.0</v>
      </c>
      <c r="P868" s="110">
        <v>50823.0</v>
      </c>
      <c r="Q868" s="110">
        <v>13132.0</v>
      </c>
      <c r="R868" s="50">
        <v>10815.0</v>
      </c>
      <c r="S868" s="111">
        <v>51.0</v>
      </c>
      <c r="T868" s="112">
        <v>51.0</v>
      </c>
      <c r="U868" s="24" t="s">
        <v>603</v>
      </c>
      <c r="V868" s="11" t="s">
        <v>4088</v>
      </c>
      <c r="W868" s="108">
        <v>1.0</v>
      </c>
      <c r="X868" s="113">
        <v>83123.0</v>
      </c>
      <c r="Y868" s="113">
        <v>91717.0</v>
      </c>
      <c r="Z868" s="11">
        <v>112.0</v>
      </c>
      <c r="AA868" s="113">
        <v>71022.0</v>
      </c>
      <c r="AB868" s="109">
        <v>-2619.3</v>
      </c>
      <c r="AC868" s="113">
        <v>72422.0</v>
      </c>
      <c r="AD868" s="108">
        <v>1.0</v>
      </c>
    </row>
    <row r="869">
      <c r="A869" s="11">
        <v>57.0</v>
      </c>
      <c r="B869" s="11">
        <v>9.0</v>
      </c>
      <c r="C869" s="11">
        <v>3.0</v>
      </c>
      <c r="D869" s="17">
        <v>36.0</v>
      </c>
      <c r="E869" s="108">
        <v>9.0</v>
      </c>
      <c r="F869" s="109">
        <v>59875.35</v>
      </c>
      <c r="G869" s="109">
        <v>-97015.35</v>
      </c>
      <c r="H869" s="109">
        <v>15592.68</v>
      </c>
      <c r="I869" s="109">
        <v>-53589.34</v>
      </c>
      <c r="J869" s="109">
        <v>22220.51</v>
      </c>
      <c r="K869" s="109">
        <v>-8674.43</v>
      </c>
      <c r="L869" s="109">
        <v>94294.75</v>
      </c>
      <c r="M869" s="109">
        <v>41229.16</v>
      </c>
      <c r="N869" s="110">
        <v>81012.0</v>
      </c>
      <c r="O869" s="110">
        <v>80822.0</v>
      </c>
      <c r="P869" s="110">
        <v>51923.0</v>
      </c>
      <c r="Q869" s="110">
        <v>83122.0</v>
      </c>
      <c r="R869" s="50">
        <v>71921.0</v>
      </c>
      <c r="S869" s="111">
        <v>53.0</v>
      </c>
      <c r="T869" s="112">
        <v>17.0</v>
      </c>
      <c r="U869" s="24" t="s">
        <v>39</v>
      </c>
      <c r="V869" s="11" t="s">
        <v>3898</v>
      </c>
      <c r="W869" s="108">
        <v>1.0</v>
      </c>
      <c r="X869" s="113">
        <v>103114.0</v>
      </c>
      <c r="Y869" s="113">
        <v>23014.0</v>
      </c>
      <c r="Z869" s="11">
        <v>107.0</v>
      </c>
      <c r="AA869" s="113">
        <v>51715.0</v>
      </c>
      <c r="AB869" s="109">
        <v>90339.3</v>
      </c>
      <c r="AC869" s="113">
        <v>50115.0</v>
      </c>
      <c r="AD869" s="108">
        <v>3.0</v>
      </c>
    </row>
    <row r="870">
      <c r="A870" s="11">
        <v>57.0</v>
      </c>
      <c r="B870" s="11">
        <v>9.0</v>
      </c>
      <c r="C870" s="11">
        <v>5.0</v>
      </c>
      <c r="D870" s="17">
        <v>96.0</v>
      </c>
      <c r="E870" s="108">
        <v>9.0</v>
      </c>
      <c r="F870" s="109">
        <v>-84046.81</v>
      </c>
      <c r="G870" s="109">
        <v>98138.28</v>
      </c>
      <c r="H870" s="109">
        <v>-36311.57</v>
      </c>
      <c r="I870" s="109">
        <v>69443.15</v>
      </c>
      <c r="J870" s="109">
        <v>-82276.83</v>
      </c>
      <c r="K870" s="109">
        <v>30614.53</v>
      </c>
      <c r="L870" s="109">
        <v>35232.88</v>
      </c>
      <c r="M870" s="109">
        <v>67954.43</v>
      </c>
      <c r="N870" s="110">
        <v>121812.0</v>
      </c>
      <c r="O870" s="110">
        <v>121332.0</v>
      </c>
      <c r="P870" s="110">
        <v>52123.0</v>
      </c>
      <c r="Q870" s="110">
        <v>123131.0</v>
      </c>
      <c r="R870" s="50">
        <v>71620.0</v>
      </c>
      <c r="S870" s="111">
        <v>54.0</v>
      </c>
      <c r="T870" s="112">
        <v>82.0</v>
      </c>
      <c r="U870" s="24" t="s">
        <v>603</v>
      </c>
      <c r="V870" s="11" t="s">
        <v>4087</v>
      </c>
      <c r="W870" s="108">
        <v>4.0</v>
      </c>
      <c r="X870" s="113">
        <v>80618.0</v>
      </c>
      <c r="Y870" s="113">
        <v>40817.0</v>
      </c>
      <c r="Z870" s="11">
        <v>145.0</v>
      </c>
      <c r="AA870" s="113">
        <v>10722.0</v>
      </c>
      <c r="AB870" s="109">
        <v>-72286.09</v>
      </c>
      <c r="AC870" s="113">
        <v>31519.0</v>
      </c>
      <c r="AD870" s="108">
        <v>0.0</v>
      </c>
    </row>
    <row r="871">
      <c r="A871" s="11">
        <v>37.0</v>
      </c>
      <c r="B871" s="11">
        <v>4.0</v>
      </c>
      <c r="C871" s="11">
        <v>7.0</v>
      </c>
      <c r="D871" s="17">
        <v>15.0</v>
      </c>
      <c r="E871" s="108">
        <v>0.0</v>
      </c>
      <c r="F871" s="109">
        <v>4443.78</v>
      </c>
      <c r="G871" s="109">
        <v>65676.99</v>
      </c>
      <c r="H871" s="109">
        <v>10451.37</v>
      </c>
      <c r="I871" s="109">
        <v>30613.03</v>
      </c>
      <c r="J871" s="109">
        <v>30995.43</v>
      </c>
      <c r="K871" s="109">
        <v>83197.41</v>
      </c>
      <c r="L871" s="109">
        <v>21499.46</v>
      </c>
      <c r="M871" s="109">
        <v>-44408.2</v>
      </c>
      <c r="N871" s="110">
        <v>81410.0</v>
      </c>
      <c r="O871" s="110">
        <v>80930.0</v>
      </c>
      <c r="P871" s="110">
        <v>51923.0</v>
      </c>
      <c r="Q871" s="110">
        <v>83130.0</v>
      </c>
      <c r="R871" s="50">
        <v>62816.0</v>
      </c>
      <c r="S871" s="111">
        <v>53.0</v>
      </c>
      <c r="T871" s="112">
        <v>49.0</v>
      </c>
      <c r="U871" s="24" t="s">
        <v>31</v>
      </c>
      <c r="V871" s="11" t="s">
        <v>4100</v>
      </c>
      <c r="W871" s="108">
        <v>6.0</v>
      </c>
      <c r="X871" s="113">
        <v>11822.0</v>
      </c>
      <c r="Y871" s="113">
        <v>63121.0</v>
      </c>
      <c r="Z871" s="11">
        <v>175.0</v>
      </c>
      <c r="AA871" s="113">
        <v>71023.0</v>
      </c>
      <c r="AB871" s="109">
        <v>11122.53</v>
      </c>
      <c r="AC871" s="113">
        <v>21315.0</v>
      </c>
      <c r="AD871" s="108">
        <v>7.0</v>
      </c>
    </row>
    <row r="872">
      <c r="A872" s="11">
        <v>37.0</v>
      </c>
      <c r="B872" s="11">
        <v>4.0</v>
      </c>
      <c r="C872" s="11">
        <v>5.0</v>
      </c>
      <c r="D872" s="17">
        <v>45.0</v>
      </c>
      <c r="E872" s="108">
        <v>9.0</v>
      </c>
      <c r="F872" s="109">
        <v>97550.55</v>
      </c>
      <c r="G872" s="109">
        <v>-77406.58</v>
      </c>
      <c r="H872" s="109">
        <v>-96170.0</v>
      </c>
      <c r="I872" s="109">
        <v>-43491.42</v>
      </c>
      <c r="J872" s="109">
        <v>74795.84</v>
      </c>
      <c r="K872" s="109">
        <v>-88947.32</v>
      </c>
      <c r="L872" s="109">
        <v>-53553.45</v>
      </c>
      <c r="M872" s="109">
        <v>-30805.12</v>
      </c>
      <c r="N872" s="110">
        <v>50410.0</v>
      </c>
      <c r="O872" s="110">
        <v>50120.0</v>
      </c>
      <c r="P872" s="110">
        <v>51123.0</v>
      </c>
      <c r="Q872" s="110">
        <v>53120.0</v>
      </c>
      <c r="R872" s="50">
        <v>82622.0</v>
      </c>
      <c r="S872" s="111">
        <v>50.0</v>
      </c>
      <c r="T872" s="112">
        <v>87.0</v>
      </c>
      <c r="U872" s="24" t="s">
        <v>48</v>
      </c>
      <c r="V872" s="11" t="s">
        <v>3956</v>
      </c>
      <c r="W872" s="108">
        <v>1.0</v>
      </c>
      <c r="X872" s="113">
        <v>73119.0</v>
      </c>
      <c r="Y872" s="113">
        <v>71713.0</v>
      </c>
      <c r="Z872" s="11">
        <v>191.0</v>
      </c>
      <c r="AA872" s="113">
        <v>42521.0</v>
      </c>
      <c r="AB872" s="109">
        <v>-21198.11</v>
      </c>
      <c r="AC872" s="113">
        <v>11016.0</v>
      </c>
      <c r="AD872" s="108">
        <v>7.0</v>
      </c>
    </row>
    <row r="873">
      <c r="A873" s="11">
        <v>78.0</v>
      </c>
      <c r="B873" s="11">
        <v>4.0</v>
      </c>
      <c r="C873" s="11">
        <v>6.0</v>
      </c>
      <c r="D873" s="17">
        <v>21.0</v>
      </c>
      <c r="E873" s="108">
        <v>5.0</v>
      </c>
      <c r="F873" s="109">
        <v>-89399.88</v>
      </c>
      <c r="G873" s="109">
        <v>-93765.57</v>
      </c>
      <c r="H873" s="109">
        <v>-53863.48</v>
      </c>
      <c r="I873" s="109">
        <v>-35424.74</v>
      </c>
      <c r="J873" s="109">
        <v>28101.38</v>
      </c>
      <c r="K873" s="109">
        <v>-31001.56</v>
      </c>
      <c r="L873" s="109">
        <v>-734.88</v>
      </c>
      <c r="M873" s="109">
        <v>43351.85</v>
      </c>
      <c r="N873" s="110">
        <v>111412.0</v>
      </c>
      <c r="O873" s="110">
        <v>110742.0</v>
      </c>
      <c r="P873" s="110">
        <v>51523.0</v>
      </c>
      <c r="Q873" s="110">
        <v>113042.0</v>
      </c>
      <c r="R873" s="50">
        <v>53116.0</v>
      </c>
      <c r="S873" s="111">
        <v>53.0</v>
      </c>
      <c r="T873" s="112">
        <v>20.0</v>
      </c>
      <c r="U873" s="24" t="s">
        <v>39</v>
      </c>
      <c r="V873" s="11" t="s">
        <v>3904</v>
      </c>
      <c r="W873" s="108">
        <v>8.0</v>
      </c>
      <c r="X873" s="113">
        <v>122518.0</v>
      </c>
      <c r="Y873" s="113">
        <v>52623.0</v>
      </c>
      <c r="Z873" s="11">
        <v>191.0</v>
      </c>
      <c r="AA873" s="113">
        <v>41118.0</v>
      </c>
      <c r="AB873" s="109">
        <v>-80670.8</v>
      </c>
      <c r="AC873" s="113">
        <v>70223.0</v>
      </c>
      <c r="AD873" s="108">
        <v>8.0</v>
      </c>
    </row>
    <row r="874">
      <c r="A874" s="11">
        <v>78.0</v>
      </c>
      <c r="B874" s="11">
        <v>4.0</v>
      </c>
      <c r="C874" s="11">
        <v>9.0</v>
      </c>
      <c r="D874" s="17">
        <v>3.0</v>
      </c>
      <c r="E874" s="108">
        <v>6.0</v>
      </c>
      <c r="F874" s="109">
        <v>64037.85</v>
      </c>
      <c r="G874" s="109">
        <v>-41517.65</v>
      </c>
      <c r="H874" s="109">
        <v>-22241.44</v>
      </c>
      <c r="I874" s="109">
        <v>-89692.68</v>
      </c>
      <c r="J874" s="109">
        <v>25949.1</v>
      </c>
      <c r="K874" s="109">
        <v>98764.78</v>
      </c>
      <c r="L874" s="109">
        <v>60045.49</v>
      </c>
      <c r="M874" s="109">
        <v>-83597.62</v>
      </c>
      <c r="N874" s="110">
        <v>120710.0</v>
      </c>
      <c r="O874" s="110">
        <v>120420.0</v>
      </c>
      <c r="P874" s="110">
        <v>53023.0</v>
      </c>
      <c r="Q874" s="110">
        <v>123119.0</v>
      </c>
      <c r="R874" s="50">
        <v>60316.0</v>
      </c>
      <c r="S874" s="111">
        <v>54.0</v>
      </c>
      <c r="T874" s="112">
        <v>64.0</v>
      </c>
      <c r="U874" s="24" t="s">
        <v>39</v>
      </c>
      <c r="V874" s="11" t="s">
        <v>4078</v>
      </c>
      <c r="W874" s="108">
        <v>4.0</v>
      </c>
      <c r="X874" s="113">
        <v>101420.0</v>
      </c>
      <c r="Y874" s="113">
        <v>42013.0</v>
      </c>
      <c r="Z874" s="11">
        <v>127.0</v>
      </c>
      <c r="AA874" s="113">
        <v>72322.0</v>
      </c>
      <c r="AB874" s="109">
        <v>-95981.46</v>
      </c>
      <c r="AC874" s="113">
        <v>61015.0</v>
      </c>
      <c r="AD874" s="108">
        <v>8.0</v>
      </c>
    </row>
    <row r="875">
      <c r="A875" s="11">
        <v>37.0</v>
      </c>
      <c r="B875" s="11">
        <v>5.0</v>
      </c>
      <c r="C875" s="11">
        <v>6.0</v>
      </c>
      <c r="D875" s="17">
        <v>66.0</v>
      </c>
      <c r="E875" s="108">
        <v>2.0</v>
      </c>
      <c r="F875" s="109">
        <v>-96170.84</v>
      </c>
      <c r="G875" s="109">
        <v>-94359.53</v>
      </c>
      <c r="H875" s="109">
        <v>-38343.66</v>
      </c>
      <c r="I875" s="109">
        <v>-79166.42</v>
      </c>
      <c r="J875" s="109">
        <v>-63811.0</v>
      </c>
      <c r="K875" s="109">
        <v>91534.39</v>
      </c>
      <c r="L875" s="109">
        <v>4890.15</v>
      </c>
      <c r="M875" s="109">
        <v>-6574.56</v>
      </c>
      <c r="N875" s="110">
        <v>90812.0</v>
      </c>
      <c r="O875" s="110">
        <v>90142.0</v>
      </c>
      <c r="P875" s="110">
        <v>50923.0</v>
      </c>
      <c r="Q875" s="110">
        <v>93042.0</v>
      </c>
      <c r="R875" s="50">
        <v>51622.0</v>
      </c>
      <c r="S875" s="111">
        <v>54.0</v>
      </c>
      <c r="T875" s="112">
        <v>68.0</v>
      </c>
      <c r="U875" s="24" t="s">
        <v>603</v>
      </c>
      <c r="V875" s="11" t="s">
        <v>3862</v>
      </c>
      <c r="W875" s="108">
        <v>4.0</v>
      </c>
      <c r="X875" s="113">
        <v>43118.0</v>
      </c>
      <c r="Y875" s="113">
        <v>82119.0</v>
      </c>
      <c r="Z875" s="11">
        <v>181.0</v>
      </c>
      <c r="AA875" s="113">
        <v>61120.0</v>
      </c>
      <c r="AB875" s="109">
        <v>44266.73</v>
      </c>
      <c r="AC875" s="113">
        <v>91723.0</v>
      </c>
      <c r="AD875" s="108">
        <v>2.0</v>
      </c>
    </row>
    <row r="876">
      <c r="A876" s="11">
        <v>78.0</v>
      </c>
      <c r="B876" s="11">
        <v>5.0</v>
      </c>
      <c r="C876" s="11">
        <v>4.0</v>
      </c>
      <c r="D876" s="17">
        <v>7.0</v>
      </c>
      <c r="E876" s="108">
        <v>3.0</v>
      </c>
      <c r="F876" s="109">
        <v>-68392.59</v>
      </c>
      <c r="G876" s="109">
        <v>25220.04</v>
      </c>
      <c r="H876" s="109">
        <v>-87135.02</v>
      </c>
      <c r="I876" s="109">
        <v>-75722.61</v>
      </c>
      <c r="J876" s="109">
        <v>-7832.48</v>
      </c>
      <c r="K876" s="109">
        <v>29315.92</v>
      </c>
      <c r="L876" s="109">
        <v>-77272.75</v>
      </c>
      <c r="M876" s="109">
        <v>91851.69</v>
      </c>
      <c r="N876" s="110">
        <v>62412.0</v>
      </c>
      <c r="O876" s="110">
        <v>62222.0</v>
      </c>
      <c r="P876" s="110">
        <v>52823.0</v>
      </c>
      <c r="Q876" s="110">
        <v>63022.0</v>
      </c>
      <c r="R876" s="50">
        <v>92219.0</v>
      </c>
      <c r="S876" s="111">
        <v>55.0</v>
      </c>
      <c r="T876" s="112">
        <v>10.0</v>
      </c>
      <c r="U876" s="24" t="s">
        <v>601</v>
      </c>
      <c r="V876" s="11" t="s">
        <v>3994</v>
      </c>
      <c r="W876" s="108">
        <v>3.0</v>
      </c>
      <c r="X876" s="113">
        <v>100621.0</v>
      </c>
      <c r="Y876" s="113">
        <v>71222.0</v>
      </c>
      <c r="Z876" s="11">
        <v>111.0</v>
      </c>
      <c r="AA876" s="113">
        <v>41323.0</v>
      </c>
      <c r="AB876" s="109">
        <v>35573.8</v>
      </c>
      <c r="AC876" s="113">
        <v>60217.0</v>
      </c>
      <c r="AD876" s="108">
        <v>5.0</v>
      </c>
    </row>
    <row r="877">
      <c r="A877" s="11">
        <v>37.0</v>
      </c>
      <c r="B877" s="11">
        <v>6.0</v>
      </c>
      <c r="C877" s="11">
        <v>1.0</v>
      </c>
      <c r="D877" s="17">
        <v>98.0</v>
      </c>
      <c r="E877" s="108">
        <v>3.0</v>
      </c>
      <c r="F877" s="109">
        <v>-30720.89</v>
      </c>
      <c r="G877" s="109">
        <v>-19993.81</v>
      </c>
      <c r="H877" s="109">
        <v>-45532.97</v>
      </c>
      <c r="I877" s="109">
        <v>-30839.02</v>
      </c>
      <c r="J877" s="109">
        <v>-43228.22</v>
      </c>
      <c r="K877" s="109">
        <v>73969.64</v>
      </c>
      <c r="L877" s="109">
        <v>72250.71</v>
      </c>
      <c r="M877" s="109">
        <v>-56281.75</v>
      </c>
      <c r="N877" s="110">
        <v>41614.0</v>
      </c>
      <c r="O877" s="110">
        <v>40844.0</v>
      </c>
      <c r="P877" s="110">
        <v>50823.0</v>
      </c>
      <c r="Q877" s="110">
        <v>43044.0</v>
      </c>
      <c r="R877" s="50">
        <v>101314.0</v>
      </c>
      <c r="S877" s="111">
        <v>53.0</v>
      </c>
      <c r="T877" s="112">
        <v>57.0</v>
      </c>
      <c r="U877" s="24" t="s">
        <v>603</v>
      </c>
      <c r="V877" s="11" t="s">
        <v>3977</v>
      </c>
      <c r="W877" s="108">
        <v>4.0</v>
      </c>
      <c r="X877" s="113">
        <v>62422.0</v>
      </c>
      <c r="Y877" s="113">
        <v>52222.0</v>
      </c>
      <c r="Z877" s="11">
        <v>104.0</v>
      </c>
      <c r="AA877" s="113">
        <v>32622.0</v>
      </c>
      <c r="AB877" s="109">
        <v>20057.24</v>
      </c>
      <c r="AC877" s="113">
        <v>31317.0</v>
      </c>
      <c r="AD877" s="108">
        <v>9.0</v>
      </c>
    </row>
    <row r="878">
      <c r="A878" s="11">
        <v>17.0</v>
      </c>
      <c r="B878" s="11">
        <v>1.0</v>
      </c>
      <c r="C878" s="11">
        <v>5.0</v>
      </c>
      <c r="D878" s="17">
        <v>44.0</v>
      </c>
      <c r="E878" s="108">
        <v>6.0</v>
      </c>
      <c r="F878" s="109">
        <v>-87491.28</v>
      </c>
      <c r="G878" s="109">
        <v>-53330.3</v>
      </c>
      <c r="H878" s="109">
        <v>7976.23</v>
      </c>
      <c r="I878" s="109">
        <v>97102.62</v>
      </c>
      <c r="J878" s="109">
        <v>-46854.74</v>
      </c>
      <c r="K878" s="109">
        <v>-54203.96</v>
      </c>
      <c r="L878" s="109">
        <v>93543.1</v>
      </c>
      <c r="M878" s="109">
        <v>-94178.27</v>
      </c>
      <c r="N878" s="110">
        <v>91213.0</v>
      </c>
      <c r="O878" s="110">
        <v>90543.0</v>
      </c>
      <c r="P878" s="110">
        <v>51923.0</v>
      </c>
      <c r="Q878" s="110">
        <v>93043.0</v>
      </c>
      <c r="R878" s="50">
        <v>31216.0</v>
      </c>
      <c r="S878" s="111">
        <v>51.0</v>
      </c>
      <c r="T878" s="112">
        <v>67.0</v>
      </c>
      <c r="U878" s="24" t="s">
        <v>31</v>
      </c>
      <c r="V878" s="11" t="s">
        <v>4090</v>
      </c>
      <c r="W878" s="108">
        <v>8.0</v>
      </c>
      <c r="X878" s="113">
        <v>42214.0</v>
      </c>
      <c r="Y878" s="113">
        <v>10213.0</v>
      </c>
      <c r="Z878" s="11">
        <v>117.0</v>
      </c>
      <c r="AA878" s="113">
        <v>103115.0</v>
      </c>
      <c r="AB878" s="109">
        <v>-19545.62</v>
      </c>
      <c r="AC878" s="113">
        <v>121023.0</v>
      </c>
      <c r="AD878" s="108">
        <v>6.0</v>
      </c>
    </row>
    <row r="879">
      <c r="A879" s="11">
        <v>17.0</v>
      </c>
      <c r="B879" s="11">
        <v>1.0</v>
      </c>
      <c r="C879" s="11">
        <v>6.0</v>
      </c>
      <c r="D879" s="17">
        <v>37.0</v>
      </c>
      <c r="E879" s="108">
        <v>4.0</v>
      </c>
      <c r="F879" s="109">
        <v>-35584.65</v>
      </c>
      <c r="G879" s="109">
        <v>21897.23</v>
      </c>
      <c r="H879" s="109">
        <v>31464.56</v>
      </c>
      <c r="I879" s="109">
        <v>68455.19</v>
      </c>
      <c r="J879" s="109">
        <v>-2507.75</v>
      </c>
      <c r="K879" s="109">
        <v>-52749.22</v>
      </c>
      <c r="L879" s="109">
        <v>49003.9</v>
      </c>
      <c r="M879" s="109">
        <v>70419.86</v>
      </c>
      <c r="N879" s="110">
        <v>32414.0</v>
      </c>
      <c r="O879" s="110">
        <v>31934.0</v>
      </c>
      <c r="P879" s="110">
        <v>52923.0</v>
      </c>
      <c r="Q879" s="110">
        <v>33134.0</v>
      </c>
      <c r="R879" s="50">
        <v>30417.0</v>
      </c>
      <c r="S879" s="111">
        <v>51.0</v>
      </c>
      <c r="T879" s="112">
        <v>14.0</v>
      </c>
      <c r="U879" s="24" t="s">
        <v>39</v>
      </c>
      <c r="V879" s="11" t="s">
        <v>4077</v>
      </c>
      <c r="W879" s="108">
        <v>5.0</v>
      </c>
      <c r="X879" s="113">
        <v>61921.0</v>
      </c>
      <c r="Y879" s="113">
        <v>71618.0</v>
      </c>
      <c r="Z879" s="11">
        <v>132.0</v>
      </c>
      <c r="AA879" s="113">
        <v>122123.0</v>
      </c>
      <c r="AB879" s="109">
        <v>-20742.5</v>
      </c>
      <c r="AC879" s="113">
        <v>61817.0</v>
      </c>
      <c r="AD879" s="108">
        <v>3.0</v>
      </c>
    </row>
    <row r="880">
      <c r="A880" s="11">
        <v>78.0</v>
      </c>
      <c r="B880" s="11">
        <v>6.0</v>
      </c>
      <c r="C880" s="11">
        <v>5.0</v>
      </c>
      <c r="D880" s="17">
        <v>26.0</v>
      </c>
      <c r="E880" s="108">
        <v>8.0</v>
      </c>
      <c r="F880" s="109">
        <v>-19847.68</v>
      </c>
      <c r="G880" s="109">
        <v>51352.95</v>
      </c>
      <c r="H880" s="109">
        <v>-68262.23</v>
      </c>
      <c r="I880" s="109">
        <v>75656.72</v>
      </c>
      <c r="J880" s="109">
        <v>-83953.84</v>
      </c>
      <c r="K880" s="109">
        <v>-14631.27</v>
      </c>
      <c r="L880" s="109">
        <v>94886.2</v>
      </c>
      <c r="M880" s="109">
        <v>-872.41</v>
      </c>
      <c r="N880" s="110">
        <v>62410.0</v>
      </c>
      <c r="O880" s="110">
        <v>61640.0</v>
      </c>
      <c r="P880" s="110">
        <v>51923.0</v>
      </c>
      <c r="Q880" s="110">
        <v>63040.0</v>
      </c>
      <c r="R880" s="50">
        <v>70418.0</v>
      </c>
      <c r="S880" s="111">
        <v>50.0</v>
      </c>
      <c r="T880" s="112">
        <v>26.0</v>
      </c>
      <c r="U880" s="24" t="s">
        <v>31</v>
      </c>
      <c r="V880" s="11" t="s">
        <v>4004</v>
      </c>
      <c r="W880" s="108">
        <v>2.0</v>
      </c>
      <c r="X880" s="113">
        <v>122117.0</v>
      </c>
      <c r="Y880" s="113">
        <v>111922.0</v>
      </c>
      <c r="Z880" s="11">
        <v>139.0</v>
      </c>
      <c r="AA880" s="113">
        <v>40520.0</v>
      </c>
      <c r="AB880" s="109">
        <v>-6655.98</v>
      </c>
      <c r="AC880" s="113">
        <v>120520.0</v>
      </c>
      <c r="AD880" s="108">
        <v>2.0</v>
      </c>
    </row>
    <row r="881">
      <c r="A881" s="11">
        <v>99.0</v>
      </c>
      <c r="B881" s="11">
        <v>1.0</v>
      </c>
      <c r="C881" s="11">
        <v>4.0</v>
      </c>
      <c r="D881" s="17">
        <v>76.0</v>
      </c>
      <c r="E881" s="108">
        <v>8.0</v>
      </c>
      <c r="F881" s="109">
        <v>30875.07</v>
      </c>
      <c r="G881" s="109">
        <v>-90344.45</v>
      </c>
      <c r="H881" s="109">
        <v>-18616.26</v>
      </c>
      <c r="I881" s="109">
        <v>63134.82</v>
      </c>
      <c r="J881" s="109">
        <v>-83283.13</v>
      </c>
      <c r="K881" s="109">
        <v>12033.26</v>
      </c>
      <c r="L881" s="109">
        <v>-73135.16</v>
      </c>
      <c r="M881" s="109">
        <v>13943.26</v>
      </c>
      <c r="N881" s="110">
        <v>102314.0</v>
      </c>
      <c r="O881" s="110">
        <v>101544.0</v>
      </c>
      <c r="P881" s="110">
        <v>51623.0</v>
      </c>
      <c r="Q881" s="110">
        <v>103144.0</v>
      </c>
      <c r="R881" s="50">
        <v>31617.0</v>
      </c>
      <c r="S881" s="111">
        <v>54.0</v>
      </c>
      <c r="T881" s="112">
        <v>22.0</v>
      </c>
      <c r="U881" s="24" t="s">
        <v>31</v>
      </c>
      <c r="V881" s="11" t="s">
        <v>3922</v>
      </c>
      <c r="W881" s="108">
        <v>4.0</v>
      </c>
      <c r="X881" s="113">
        <v>80817.0</v>
      </c>
      <c r="Y881" s="113">
        <v>121917.0</v>
      </c>
      <c r="Z881" s="11">
        <v>164.0</v>
      </c>
      <c r="AA881" s="113">
        <v>112421.0</v>
      </c>
      <c r="AB881" s="109">
        <v>8941.95</v>
      </c>
      <c r="AC881" s="113">
        <v>120814.0</v>
      </c>
      <c r="AD881" s="108">
        <v>0.0</v>
      </c>
    </row>
    <row r="882">
      <c r="A882" s="11">
        <v>78.0</v>
      </c>
      <c r="B882" s="11">
        <v>6.0</v>
      </c>
      <c r="C882" s="11">
        <v>8.0</v>
      </c>
      <c r="D882" s="17">
        <v>90.0</v>
      </c>
      <c r="E882" s="108">
        <v>8.0</v>
      </c>
      <c r="F882" s="109">
        <v>16191.45</v>
      </c>
      <c r="G882" s="109">
        <v>-53761.91</v>
      </c>
      <c r="H882" s="109">
        <v>85239.04</v>
      </c>
      <c r="I882" s="109">
        <v>74495.84</v>
      </c>
      <c r="J882" s="109">
        <v>25927.98</v>
      </c>
      <c r="K882" s="109">
        <v>97933.81</v>
      </c>
      <c r="L882" s="109">
        <v>-81892.65</v>
      </c>
      <c r="M882" s="109">
        <v>3080.97</v>
      </c>
      <c r="N882" s="110">
        <v>12111.0</v>
      </c>
      <c r="O882" s="110">
        <v>11631.0</v>
      </c>
      <c r="P882" s="110">
        <v>51723.0</v>
      </c>
      <c r="Q882" s="110">
        <v>13131.0</v>
      </c>
      <c r="R882" s="50">
        <v>60520.0</v>
      </c>
      <c r="S882" s="111">
        <v>53.0</v>
      </c>
      <c r="T882" s="112">
        <v>15.0</v>
      </c>
      <c r="U882" s="24" t="s">
        <v>603</v>
      </c>
      <c r="V882" s="11" t="s">
        <v>3922</v>
      </c>
      <c r="W882" s="108">
        <v>1.0</v>
      </c>
      <c r="X882" s="113">
        <v>91913.0</v>
      </c>
      <c r="Y882" s="113">
        <v>110815.0</v>
      </c>
      <c r="Z882" s="11">
        <v>106.0</v>
      </c>
      <c r="AA882" s="113">
        <v>111118.0</v>
      </c>
      <c r="AB882" s="109">
        <v>-25674.58</v>
      </c>
      <c r="AC882" s="113">
        <v>111018.0</v>
      </c>
      <c r="AD882" s="108">
        <v>7.0</v>
      </c>
    </row>
    <row r="883">
      <c r="A883" s="11">
        <v>58.0</v>
      </c>
      <c r="B883" s="11">
        <v>2.0</v>
      </c>
      <c r="C883" s="11">
        <v>2.0</v>
      </c>
      <c r="D883" s="17">
        <v>4.0</v>
      </c>
      <c r="E883" s="108">
        <v>9.0</v>
      </c>
      <c r="F883" s="109">
        <v>-54103.88</v>
      </c>
      <c r="G883" s="109">
        <v>78792.42</v>
      </c>
      <c r="H883" s="109">
        <v>12070.13</v>
      </c>
      <c r="I883" s="109">
        <v>-96489.02</v>
      </c>
      <c r="J883" s="109">
        <v>-53528.73</v>
      </c>
      <c r="K883" s="109">
        <v>-91711.46</v>
      </c>
      <c r="L883" s="109">
        <v>51888.39</v>
      </c>
      <c r="M883" s="109">
        <v>97319.46</v>
      </c>
      <c r="N883" s="110">
        <v>120410.0</v>
      </c>
      <c r="O883" s="110">
        <v>112640.0</v>
      </c>
      <c r="P883" s="110">
        <v>52323.0</v>
      </c>
      <c r="Q883" s="110">
        <v>113040.0</v>
      </c>
      <c r="R883" s="50">
        <v>73119.0</v>
      </c>
      <c r="S883" s="111">
        <v>55.0</v>
      </c>
      <c r="T883" s="112">
        <v>69.0</v>
      </c>
      <c r="U883" s="24" t="s">
        <v>601</v>
      </c>
      <c r="V883" s="11" t="s">
        <v>3966</v>
      </c>
      <c r="W883" s="108">
        <v>1.0</v>
      </c>
      <c r="X883" s="113">
        <v>122014.0</v>
      </c>
      <c r="Y883" s="113">
        <v>41616.0</v>
      </c>
      <c r="Z883" s="11">
        <v>172.0</v>
      </c>
      <c r="AA883" s="113">
        <v>121316.0</v>
      </c>
      <c r="AB883" s="109">
        <v>97826.73</v>
      </c>
      <c r="AC883" s="113">
        <v>111815.0</v>
      </c>
      <c r="AD883" s="108">
        <v>7.0</v>
      </c>
    </row>
    <row r="884">
      <c r="A884" s="11">
        <v>17.0</v>
      </c>
      <c r="B884" s="11">
        <v>2.0</v>
      </c>
      <c r="C884" s="11">
        <v>7.0</v>
      </c>
      <c r="D884" s="17">
        <v>48.0</v>
      </c>
      <c r="E884" s="108">
        <v>1.0</v>
      </c>
      <c r="F884" s="109">
        <v>-42341.55</v>
      </c>
      <c r="G884" s="109">
        <v>58201.98</v>
      </c>
      <c r="H884" s="109">
        <v>-52321.6</v>
      </c>
      <c r="I884" s="109">
        <v>79887.23</v>
      </c>
      <c r="J884" s="109">
        <v>96943.68</v>
      </c>
      <c r="K884" s="109">
        <v>-71309.22</v>
      </c>
      <c r="L884" s="109">
        <v>50853.51</v>
      </c>
      <c r="M884" s="109">
        <v>-81251.81</v>
      </c>
      <c r="N884" s="110">
        <v>110113.0</v>
      </c>
      <c r="O884" s="110">
        <v>102733.0</v>
      </c>
      <c r="P884" s="110">
        <v>52323.0</v>
      </c>
      <c r="Q884" s="110">
        <v>103133.0</v>
      </c>
      <c r="R884" s="50">
        <v>111813.0</v>
      </c>
      <c r="S884" s="111">
        <v>54.0</v>
      </c>
      <c r="T884" s="112">
        <v>39.0</v>
      </c>
      <c r="U884" s="24" t="s">
        <v>48</v>
      </c>
      <c r="V884" s="11" t="s">
        <v>3898</v>
      </c>
      <c r="W884" s="108">
        <v>3.0</v>
      </c>
      <c r="X884" s="113">
        <v>121517.0</v>
      </c>
      <c r="Y884" s="113">
        <v>22613.0</v>
      </c>
      <c r="Z884" s="11">
        <v>181.0</v>
      </c>
      <c r="AA884" s="113">
        <v>51319.0</v>
      </c>
      <c r="AB884" s="109">
        <v>46892.61</v>
      </c>
      <c r="AC884" s="113">
        <v>42216.0</v>
      </c>
      <c r="AD884" s="108">
        <v>7.0</v>
      </c>
    </row>
    <row r="885">
      <c r="A885" s="11">
        <v>17.0</v>
      </c>
      <c r="B885" s="11">
        <v>2.0</v>
      </c>
      <c r="C885" s="11">
        <v>6.0</v>
      </c>
      <c r="D885" s="17">
        <v>62.0</v>
      </c>
      <c r="E885" s="108">
        <v>6.0</v>
      </c>
      <c r="F885" s="109">
        <v>48206.53</v>
      </c>
      <c r="G885" s="109">
        <v>-99989.44</v>
      </c>
      <c r="H885" s="109">
        <v>90176.62</v>
      </c>
      <c r="I885" s="109">
        <v>-74532.18</v>
      </c>
      <c r="J885" s="109">
        <v>26589.46</v>
      </c>
      <c r="K885" s="109">
        <v>-46244.91</v>
      </c>
      <c r="L885" s="109">
        <v>-13766.72</v>
      </c>
      <c r="M885" s="109">
        <v>24777.69</v>
      </c>
      <c r="N885" s="110">
        <v>102812.0</v>
      </c>
      <c r="O885" s="110">
        <v>102142.0</v>
      </c>
      <c r="P885" s="110">
        <v>50423.0</v>
      </c>
      <c r="Q885" s="110">
        <v>103142.0</v>
      </c>
      <c r="R885" s="50">
        <v>121318.0</v>
      </c>
      <c r="S885" s="111">
        <v>53.0</v>
      </c>
      <c r="T885" s="112">
        <v>99.0</v>
      </c>
      <c r="U885" s="24" t="s">
        <v>31</v>
      </c>
      <c r="V885" s="11" t="s">
        <v>4100</v>
      </c>
      <c r="W885" s="108">
        <v>1.0</v>
      </c>
      <c r="X885" s="113">
        <v>70314.0</v>
      </c>
      <c r="Y885" s="113">
        <v>11221.0</v>
      </c>
      <c r="Z885" s="11">
        <v>135.0</v>
      </c>
      <c r="AA885" s="113">
        <v>120216.0</v>
      </c>
      <c r="AB885" s="109">
        <v>-42084.91</v>
      </c>
      <c r="AC885" s="113">
        <v>121816.0</v>
      </c>
      <c r="AD885" s="108">
        <v>7.0</v>
      </c>
    </row>
    <row r="886">
      <c r="A886" s="11">
        <v>78.0</v>
      </c>
      <c r="B886" s="11">
        <v>7.0</v>
      </c>
      <c r="C886" s="11">
        <v>3.0</v>
      </c>
      <c r="D886" s="17">
        <v>70.0</v>
      </c>
      <c r="E886" s="108">
        <v>7.0</v>
      </c>
      <c r="F886" s="109">
        <v>-34667.79</v>
      </c>
      <c r="G886" s="109">
        <v>-95500.31</v>
      </c>
      <c r="H886" s="109">
        <v>-8804.2</v>
      </c>
      <c r="I886" s="109">
        <v>45015.96</v>
      </c>
      <c r="J886" s="109">
        <v>43058.82</v>
      </c>
      <c r="K886" s="109">
        <v>-39122.19</v>
      </c>
      <c r="L886" s="109">
        <v>52688.26</v>
      </c>
      <c r="M886" s="109">
        <v>-3534.64</v>
      </c>
      <c r="N886" s="110">
        <v>101410.0</v>
      </c>
      <c r="O886" s="110">
        <v>101120.0</v>
      </c>
      <c r="P886" s="110">
        <v>52323.0</v>
      </c>
      <c r="Q886" s="110">
        <v>103120.0</v>
      </c>
      <c r="R886" s="50">
        <v>52120.0</v>
      </c>
      <c r="S886" s="111">
        <v>52.0</v>
      </c>
      <c r="T886" s="112">
        <v>4.0</v>
      </c>
      <c r="U886" s="24" t="s">
        <v>48</v>
      </c>
      <c r="V886" s="11" t="s">
        <v>4041</v>
      </c>
      <c r="W886" s="108">
        <v>8.0</v>
      </c>
      <c r="X886" s="113">
        <v>80819.0</v>
      </c>
      <c r="Y886" s="113">
        <v>101217.0</v>
      </c>
      <c r="Z886" s="11">
        <v>138.0</v>
      </c>
      <c r="AA886" s="113">
        <v>41120.0</v>
      </c>
      <c r="AB886" s="109">
        <v>-45463.89</v>
      </c>
      <c r="AC886" s="113">
        <v>32616.0</v>
      </c>
      <c r="AD886" s="108">
        <v>2.0</v>
      </c>
    </row>
    <row r="887">
      <c r="A887" s="11">
        <v>99.0</v>
      </c>
      <c r="B887" s="11">
        <v>2.0</v>
      </c>
      <c r="C887" s="11">
        <v>1.0</v>
      </c>
      <c r="D887" s="17">
        <v>76.0</v>
      </c>
      <c r="E887" s="108">
        <v>4.0</v>
      </c>
      <c r="F887" s="109">
        <v>-65143.11</v>
      </c>
      <c r="G887" s="109">
        <v>-49619.87</v>
      </c>
      <c r="H887" s="109">
        <v>13463.41</v>
      </c>
      <c r="I887" s="109">
        <v>-12112.22</v>
      </c>
      <c r="J887" s="109">
        <v>99006.64</v>
      </c>
      <c r="K887" s="109">
        <v>-88497.04</v>
      </c>
      <c r="L887" s="109">
        <v>-9705.97</v>
      </c>
      <c r="M887" s="109">
        <v>26827.23</v>
      </c>
      <c r="N887" s="110">
        <v>31414.0</v>
      </c>
      <c r="O887" s="110">
        <v>30934.0</v>
      </c>
      <c r="P887" s="110">
        <v>52323.0</v>
      </c>
      <c r="Q887" s="110">
        <v>33134.0</v>
      </c>
      <c r="R887" s="50">
        <v>101316.0</v>
      </c>
      <c r="S887" s="111">
        <v>53.0</v>
      </c>
      <c r="T887" s="112">
        <v>4.0</v>
      </c>
      <c r="U887" s="24" t="s">
        <v>31</v>
      </c>
      <c r="V887" s="11" t="s">
        <v>4027</v>
      </c>
      <c r="W887" s="108">
        <v>3.0</v>
      </c>
      <c r="X887" s="113">
        <v>81421.0</v>
      </c>
      <c r="Y887" s="113">
        <v>32216.0</v>
      </c>
      <c r="Z887" s="11">
        <v>168.0</v>
      </c>
      <c r="AA887" s="113">
        <v>52414.0</v>
      </c>
      <c r="AB887" s="109">
        <v>-47681.04</v>
      </c>
      <c r="AC887" s="113">
        <v>60720.0</v>
      </c>
      <c r="AD887" s="108">
        <v>2.0</v>
      </c>
    </row>
    <row r="888">
      <c r="A888" s="11">
        <v>99.0</v>
      </c>
      <c r="B888" s="11">
        <v>2.0</v>
      </c>
      <c r="C888" s="11">
        <v>7.0</v>
      </c>
      <c r="D888" s="17">
        <v>13.0</v>
      </c>
      <c r="E888" s="108">
        <v>9.0</v>
      </c>
      <c r="F888" s="109">
        <v>79452.5</v>
      </c>
      <c r="G888" s="109">
        <v>-88301.56</v>
      </c>
      <c r="H888" s="109">
        <v>16036.98</v>
      </c>
      <c r="I888" s="109">
        <v>50320.41</v>
      </c>
      <c r="J888" s="109">
        <v>91043.04</v>
      </c>
      <c r="K888" s="109">
        <v>-53252.77</v>
      </c>
      <c r="L888" s="109">
        <v>85292.06</v>
      </c>
      <c r="M888" s="109">
        <v>-306.29</v>
      </c>
      <c r="N888" s="110">
        <v>111913.0</v>
      </c>
      <c r="O888" s="110">
        <v>111723.0</v>
      </c>
      <c r="P888" s="110">
        <v>52023.0</v>
      </c>
      <c r="Q888" s="110">
        <v>113023.0</v>
      </c>
      <c r="R888" s="50">
        <v>10414.0</v>
      </c>
      <c r="S888" s="111">
        <v>51.0</v>
      </c>
      <c r="T888" s="112">
        <v>73.0</v>
      </c>
      <c r="U888" s="24" t="s">
        <v>603</v>
      </c>
      <c r="V888" s="11" t="s">
        <v>3949</v>
      </c>
      <c r="W888" s="108">
        <v>7.0</v>
      </c>
      <c r="X888" s="113">
        <v>61419.0</v>
      </c>
      <c r="Y888" s="113">
        <v>41720.0</v>
      </c>
      <c r="Z888" s="11">
        <v>100.0</v>
      </c>
      <c r="AA888" s="113">
        <v>92520.0</v>
      </c>
      <c r="AB888" s="109">
        <v>-13137.19</v>
      </c>
      <c r="AC888" s="113">
        <v>112821.0</v>
      </c>
      <c r="AD888" s="108">
        <v>9.0</v>
      </c>
    </row>
    <row r="889">
      <c r="A889" s="11">
        <v>99.0</v>
      </c>
      <c r="B889" s="11">
        <v>2.0</v>
      </c>
      <c r="C889" s="11">
        <v>8.0</v>
      </c>
      <c r="D889" s="17">
        <v>43.0</v>
      </c>
      <c r="E889" s="108">
        <v>3.0</v>
      </c>
      <c r="F889" s="109">
        <v>-8263.08</v>
      </c>
      <c r="G889" s="109">
        <v>86332.79</v>
      </c>
      <c r="H889" s="109">
        <v>-2411.46</v>
      </c>
      <c r="I889" s="109">
        <v>-59395.89</v>
      </c>
      <c r="J889" s="109">
        <v>-94591.42</v>
      </c>
      <c r="K889" s="109">
        <v>-50507.39</v>
      </c>
      <c r="L889" s="109">
        <v>-61133.31</v>
      </c>
      <c r="M889" s="109">
        <v>80667.12</v>
      </c>
      <c r="N889" s="110">
        <v>60912.0</v>
      </c>
      <c r="O889" s="110">
        <v>60722.0</v>
      </c>
      <c r="P889" s="110">
        <v>50123.0</v>
      </c>
      <c r="Q889" s="110">
        <v>63022.0</v>
      </c>
      <c r="R889" s="50">
        <v>122014.0</v>
      </c>
      <c r="S889" s="111">
        <v>53.0</v>
      </c>
      <c r="T889" s="112">
        <v>49.0</v>
      </c>
      <c r="U889" s="24" t="s">
        <v>48</v>
      </c>
      <c r="V889" s="11" t="s">
        <v>4033</v>
      </c>
      <c r="W889" s="108">
        <v>3.0</v>
      </c>
      <c r="X889" s="113">
        <v>51614.0</v>
      </c>
      <c r="Y889" s="113">
        <v>40413.0</v>
      </c>
      <c r="Z889" s="11">
        <v>119.0</v>
      </c>
      <c r="AA889" s="113">
        <v>10915.0</v>
      </c>
      <c r="AB889" s="109">
        <v>-10532.71</v>
      </c>
      <c r="AC889" s="113">
        <v>122621.0</v>
      </c>
      <c r="AD889" s="108">
        <v>7.0</v>
      </c>
    </row>
    <row r="890">
      <c r="A890" s="11">
        <v>99.0</v>
      </c>
      <c r="B890" s="11">
        <v>2.0</v>
      </c>
      <c r="C890" s="11">
        <v>9.0</v>
      </c>
      <c r="D890" s="17">
        <v>42.0</v>
      </c>
      <c r="E890" s="108">
        <v>6.0</v>
      </c>
      <c r="F890" s="109">
        <v>31310.88</v>
      </c>
      <c r="G890" s="109">
        <v>-13976.4</v>
      </c>
      <c r="H890" s="109">
        <v>-66682.29</v>
      </c>
      <c r="I890" s="109">
        <v>99054.16</v>
      </c>
      <c r="J890" s="109">
        <v>72822.91</v>
      </c>
      <c r="K890" s="109">
        <v>-13965.23</v>
      </c>
      <c r="L890" s="109">
        <v>-74862.19</v>
      </c>
      <c r="M890" s="109">
        <v>-53892.1</v>
      </c>
      <c r="N890" s="110">
        <v>123013.0</v>
      </c>
      <c r="O890" s="110">
        <v>122343.0</v>
      </c>
      <c r="P890" s="110">
        <v>50823.0</v>
      </c>
      <c r="Q890" s="110">
        <v>123142.0</v>
      </c>
      <c r="R890" s="50">
        <v>82520.0</v>
      </c>
      <c r="S890" s="111">
        <v>51.0</v>
      </c>
      <c r="T890" s="112">
        <v>31.0</v>
      </c>
      <c r="U890" s="24" t="s">
        <v>31</v>
      </c>
      <c r="V890" s="11" t="s">
        <v>4066</v>
      </c>
      <c r="W890" s="108">
        <v>7.0</v>
      </c>
      <c r="X890" s="113">
        <v>62621.0</v>
      </c>
      <c r="Y890" s="113">
        <v>81618.0</v>
      </c>
      <c r="Z890" s="11">
        <v>145.0</v>
      </c>
      <c r="AA890" s="113">
        <v>50415.0</v>
      </c>
      <c r="AB890" s="109">
        <v>-39067.41</v>
      </c>
      <c r="AC890" s="113">
        <v>80917.0</v>
      </c>
      <c r="AD890" s="108">
        <v>3.0</v>
      </c>
    </row>
    <row r="891">
      <c r="A891" s="11">
        <v>37.0</v>
      </c>
      <c r="B891" s="11">
        <v>8.0</v>
      </c>
      <c r="C891" s="11">
        <v>6.0</v>
      </c>
      <c r="D891" s="17">
        <v>75.0</v>
      </c>
      <c r="E891" s="108">
        <v>7.0</v>
      </c>
      <c r="F891" s="109">
        <v>-17153.91</v>
      </c>
      <c r="G891" s="109">
        <v>69513.18</v>
      </c>
      <c r="H891" s="109">
        <v>-51867.21</v>
      </c>
      <c r="I891" s="109">
        <v>-25466.06</v>
      </c>
      <c r="J891" s="109">
        <v>30197.24</v>
      </c>
      <c r="K891" s="109">
        <v>-28216.74</v>
      </c>
      <c r="L891" s="109">
        <v>-72466.23</v>
      </c>
      <c r="M891" s="109">
        <v>2119.87</v>
      </c>
      <c r="N891" s="110">
        <v>21510.0</v>
      </c>
      <c r="O891" s="110">
        <v>21030.0</v>
      </c>
      <c r="P891" s="110">
        <v>51823.0</v>
      </c>
      <c r="Q891" s="110">
        <v>22830.0</v>
      </c>
      <c r="R891" s="50">
        <v>70518.0</v>
      </c>
      <c r="S891" s="111">
        <v>52.0</v>
      </c>
      <c r="T891" s="112">
        <v>57.0</v>
      </c>
      <c r="U891" s="24" t="s">
        <v>48</v>
      </c>
      <c r="V891" s="11" t="s">
        <v>4043</v>
      </c>
      <c r="W891" s="108">
        <v>8.0</v>
      </c>
      <c r="X891" s="113">
        <v>10918.0</v>
      </c>
      <c r="Y891" s="113">
        <v>62617.0</v>
      </c>
      <c r="Z891" s="11">
        <v>198.0</v>
      </c>
      <c r="AA891" s="113">
        <v>73016.0</v>
      </c>
      <c r="AB891" s="109">
        <v>18079.18</v>
      </c>
      <c r="AC891" s="113">
        <v>70621.0</v>
      </c>
      <c r="AD891" s="108">
        <v>3.0</v>
      </c>
    </row>
    <row r="892">
      <c r="A892" s="11">
        <v>78.0</v>
      </c>
      <c r="B892" s="11">
        <v>8.0</v>
      </c>
      <c r="C892" s="11">
        <v>3.0</v>
      </c>
      <c r="D892" s="17">
        <v>60.0</v>
      </c>
      <c r="E892" s="108">
        <v>2.0</v>
      </c>
      <c r="F892" s="109">
        <v>-41490.1</v>
      </c>
      <c r="G892" s="109">
        <v>72764.13</v>
      </c>
      <c r="H892" s="109">
        <v>-17096.78</v>
      </c>
      <c r="I892" s="109">
        <v>-61080.82</v>
      </c>
      <c r="J892" s="109">
        <v>-28628.57</v>
      </c>
      <c r="K892" s="109">
        <v>68606.91</v>
      </c>
      <c r="L892" s="109">
        <v>-93141.14</v>
      </c>
      <c r="M892" s="109">
        <v>-78192.11</v>
      </c>
      <c r="N892" s="110">
        <v>10214.0</v>
      </c>
      <c r="O892" s="110">
        <v>122643.0</v>
      </c>
      <c r="P892" s="110">
        <v>52623.0</v>
      </c>
      <c r="Q892" s="110">
        <v>123142.0</v>
      </c>
      <c r="R892" s="50">
        <v>62514.0</v>
      </c>
      <c r="S892" s="111">
        <v>55.0</v>
      </c>
      <c r="T892" s="112">
        <v>76.0</v>
      </c>
      <c r="U892" s="24" t="s">
        <v>603</v>
      </c>
      <c r="V892" s="11" t="s">
        <v>3899</v>
      </c>
      <c r="W892" s="108">
        <v>6.0</v>
      </c>
      <c r="X892" s="113">
        <v>61021.0</v>
      </c>
      <c r="Y892" s="113">
        <v>62722.0</v>
      </c>
      <c r="Z892" s="11">
        <v>170.0</v>
      </c>
      <c r="AA892" s="113">
        <v>62122.0</v>
      </c>
      <c r="AB892" s="109">
        <v>-27357.04</v>
      </c>
      <c r="AC892" s="113">
        <v>92222.0</v>
      </c>
      <c r="AD892" s="108">
        <v>9.0</v>
      </c>
    </row>
    <row r="893">
      <c r="A893" s="11">
        <v>17.0</v>
      </c>
      <c r="B893" s="11">
        <v>3.0</v>
      </c>
      <c r="C893" s="11">
        <v>9.0</v>
      </c>
      <c r="D893" s="17">
        <v>12.0</v>
      </c>
      <c r="E893" s="108">
        <v>5.0</v>
      </c>
      <c r="F893" s="109">
        <v>24196.26</v>
      </c>
      <c r="G893" s="109">
        <v>10826.19</v>
      </c>
      <c r="H893" s="109">
        <v>64532.55</v>
      </c>
      <c r="I893" s="109">
        <v>43492.23</v>
      </c>
      <c r="J893" s="109">
        <v>-32281.23</v>
      </c>
      <c r="K893" s="109">
        <v>-13161.41</v>
      </c>
      <c r="L893" s="109">
        <v>67861.85</v>
      </c>
      <c r="M893" s="109">
        <v>45461.07</v>
      </c>
      <c r="N893" s="110">
        <v>31511.0</v>
      </c>
      <c r="O893" s="110">
        <v>30741.0</v>
      </c>
      <c r="P893" s="110">
        <v>52223.0</v>
      </c>
      <c r="Q893" s="110">
        <v>33141.0</v>
      </c>
      <c r="R893" s="50">
        <v>110718.0</v>
      </c>
      <c r="S893" s="111">
        <v>52.0</v>
      </c>
      <c r="T893" s="112">
        <v>35.0</v>
      </c>
      <c r="U893" s="24" t="s">
        <v>603</v>
      </c>
      <c r="V893" s="11" t="s">
        <v>4087</v>
      </c>
      <c r="W893" s="108">
        <v>5.0</v>
      </c>
      <c r="X893" s="113">
        <v>12014.0</v>
      </c>
      <c r="Y893" s="113">
        <v>82122.0</v>
      </c>
      <c r="Z893" s="11">
        <v>197.0</v>
      </c>
      <c r="AA893" s="113">
        <v>92823.0</v>
      </c>
      <c r="AB893" s="109">
        <v>-57290.85</v>
      </c>
      <c r="AC893" s="113">
        <v>112917.0</v>
      </c>
      <c r="AD893" s="108">
        <v>7.0</v>
      </c>
    </row>
    <row r="894">
      <c r="A894" s="11">
        <v>37.0</v>
      </c>
      <c r="B894" s="11">
        <v>8.0</v>
      </c>
      <c r="C894" s="11">
        <v>9.0</v>
      </c>
      <c r="D894" s="17">
        <v>40.0</v>
      </c>
      <c r="E894" s="108">
        <v>0.0</v>
      </c>
      <c r="F894" s="109">
        <v>-59678.64</v>
      </c>
      <c r="G894" s="109">
        <v>-75590.91</v>
      </c>
      <c r="H894" s="109">
        <v>98473.56</v>
      </c>
      <c r="I894" s="109">
        <v>27796.42</v>
      </c>
      <c r="J894" s="109">
        <v>-24996.37</v>
      </c>
      <c r="K894" s="109">
        <v>21047.75</v>
      </c>
      <c r="L894" s="109">
        <v>19046.14</v>
      </c>
      <c r="M894" s="109">
        <v>-98707.77</v>
      </c>
      <c r="N894" s="110">
        <v>120814.0</v>
      </c>
      <c r="O894" s="110">
        <v>113044.0</v>
      </c>
      <c r="P894" s="110">
        <v>51623.0</v>
      </c>
      <c r="Q894" s="110">
        <v>113044.0</v>
      </c>
      <c r="R894" s="50">
        <v>41620.0</v>
      </c>
      <c r="S894" s="111">
        <v>55.0</v>
      </c>
      <c r="T894" s="112">
        <v>92.0</v>
      </c>
      <c r="U894" s="24" t="s">
        <v>601</v>
      </c>
      <c r="V894" s="11" t="s">
        <v>3883</v>
      </c>
      <c r="W894" s="108">
        <v>7.0</v>
      </c>
      <c r="X894" s="113">
        <v>120522.0</v>
      </c>
      <c r="Y894" s="113">
        <v>61622.0</v>
      </c>
      <c r="Z894" s="11">
        <v>155.0</v>
      </c>
      <c r="AA894" s="113">
        <v>92219.0</v>
      </c>
      <c r="AB894" s="109">
        <v>53054.16</v>
      </c>
      <c r="AC894" s="113">
        <v>121715.0</v>
      </c>
      <c r="AD894" s="108">
        <v>9.0</v>
      </c>
    </row>
    <row r="895">
      <c r="A895" s="11">
        <v>58.0</v>
      </c>
      <c r="B895" s="11">
        <v>3.0</v>
      </c>
      <c r="C895" s="11">
        <v>8.0</v>
      </c>
      <c r="D895" s="17">
        <v>37.0</v>
      </c>
      <c r="E895" s="108">
        <v>0.0</v>
      </c>
      <c r="F895" s="109">
        <v>64751.91</v>
      </c>
      <c r="G895" s="109">
        <v>80141.95</v>
      </c>
      <c r="H895" s="109">
        <v>41252.96</v>
      </c>
      <c r="I895" s="109">
        <v>-91858.04</v>
      </c>
      <c r="J895" s="109">
        <v>22688.7</v>
      </c>
      <c r="K895" s="109">
        <v>16359.65</v>
      </c>
      <c r="L895" s="109">
        <v>-90942.6</v>
      </c>
      <c r="M895" s="109">
        <v>16661.78</v>
      </c>
      <c r="N895" s="110">
        <v>102313.0</v>
      </c>
      <c r="O895" s="110">
        <v>101643.0</v>
      </c>
      <c r="P895" s="110">
        <v>52323.0</v>
      </c>
      <c r="Q895" s="110">
        <v>103143.0</v>
      </c>
      <c r="R895" s="50">
        <v>52417.0</v>
      </c>
      <c r="S895" s="111">
        <v>54.0</v>
      </c>
      <c r="T895" s="112">
        <v>91.0</v>
      </c>
      <c r="U895" s="24" t="s">
        <v>48</v>
      </c>
      <c r="V895" s="11" t="s">
        <v>3961</v>
      </c>
      <c r="W895" s="108">
        <v>6.0</v>
      </c>
      <c r="X895" s="113">
        <v>52322.0</v>
      </c>
      <c r="Y895" s="113">
        <v>33013.0</v>
      </c>
      <c r="Z895" s="11">
        <v>149.0</v>
      </c>
      <c r="AA895" s="113">
        <v>40614.0</v>
      </c>
      <c r="AB895" s="109">
        <v>70797.36</v>
      </c>
      <c r="AC895" s="113">
        <v>80720.0</v>
      </c>
      <c r="AD895" s="108">
        <v>9.0</v>
      </c>
    </row>
    <row r="896">
      <c r="A896" s="11">
        <v>17.0</v>
      </c>
      <c r="B896" s="11">
        <v>3.0</v>
      </c>
      <c r="C896" s="11">
        <v>6.0</v>
      </c>
      <c r="D896" s="17">
        <v>5.0</v>
      </c>
      <c r="E896" s="108">
        <v>2.0</v>
      </c>
      <c r="F896" s="109">
        <v>24846.72</v>
      </c>
      <c r="G896" s="109">
        <v>-26539.45</v>
      </c>
      <c r="H896" s="109">
        <v>-92225.09</v>
      </c>
      <c r="I896" s="109">
        <v>-15564.2</v>
      </c>
      <c r="J896" s="109">
        <v>-8463.73</v>
      </c>
      <c r="K896" s="109">
        <v>-61797.9</v>
      </c>
      <c r="L896" s="109">
        <v>-56743.67</v>
      </c>
      <c r="M896" s="109">
        <v>22872.29</v>
      </c>
      <c r="N896" s="110">
        <v>72412.0</v>
      </c>
      <c r="O896" s="110">
        <v>71742.0</v>
      </c>
      <c r="P896" s="110">
        <v>52523.0</v>
      </c>
      <c r="Q896" s="110">
        <v>73142.0</v>
      </c>
      <c r="R896" s="50">
        <v>12722.0</v>
      </c>
      <c r="S896" s="111">
        <v>54.0</v>
      </c>
      <c r="T896" s="112">
        <v>58.0</v>
      </c>
      <c r="U896" s="24" t="s">
        <v>39</v>
      </c>
      <c r="V896" s="11" t="s">
        <v>3881</v>
      </c>
      <c r="W896" s="108">
        <v>5.0</v>
      </c>
      <c r="X896" s="113">
        <v>41613.0</v>
      </c>
      <c r="Y896" s="113">
        <v>122013.0</v>
      </c>
      <c r="Z896" s="11">
        <v>118.0</v>
      </c>
      <c r="AA896" s="113">
        <v>12117.0</v>
      </c>
      <c r="AB896" s="109">
        <v>-15930.59</v>
      </c>
      <c r="AC896" s="113">
        <v>40520.0</v>
      </c>
      <c r="AD896" s="108">
        <v>3.0</v>
      </c>
    </row>
    <row r="897">
      <c r="A897" s="11">
        <v>37.0</v>
      </c>
      <c r="B897" s="11">
        <v>9.0</v>
      </c>
      <c r="C897" s="11">
        <v>2.0</v>
      </c>
      <c r="D897" s="17">
        <v>5.0</v>
      </c>
      <c r="E897" s="108">
        <v>0.0</v>
      </c>
      <c r="F897" s="109">
        <v>-67421.23</v>
      </c>
      <c r="G897" s="109">
        <v>-87183.36</v>
      </c>
      <c r="H897" s="109">
        <v>92084.39</v>
      </c>
      <c r="I897" s="109">
        <v>-52839.72</v>
      </c>
      <c r="J897" s="109">
        <v>-32584.5</v>
      </c>
      <c r="K897" s="109">
        <v>-23259.4</v>
      </c>
      <c r="L897" s="109">
        <v>177.13</v>
      </c>
      <c r="M897" s="109">
        <v>99806.58</v>
      </c>
      <c r="N897" s="110">
        <v>50912.0</v>
      </c>
      <c r="O897" s="110">
        <v>50722.0</v>
      </c>
      <c r="P897" s="110">
        <v>52523.0</v>
      </c>
      <c r="Q897" s="110">
        <v>53122.0</v>
      </c>
      <c r="R897" s="50">
        <v>92515.0</v>
      </c>
      <c r="S897" s="111">
        <v>53.0</v>
      </c>
      <c r="T897" s="112">
        <v>22.0</v>
      </c>
      <c r="U897" s="24" t="s">
        <v>601</v>
      </c>
      <c r="V897" s="11" t="s">
        <v>4095</v>
      </c>
      <c r="W897" s="108">
        <v>3.0</v>
      </c>
      <c r="X897" s="113">
        <v>81422.0</v>
      </c>
      <c r="Y897" s="113">
        <v>60815.0</v>
      </c>
      <c r="Z897" s="11">
        <v>198.0</v>
      </c>
      <c r="AA897" s="113">
        <v>121120.0</v>
      </c>
      <c r="AB897" s="109">
        <v>58082.39</v>
      </c>
      <c r="AC897" s="113">
        <v>22215.0</v>
      </c>
      <c r="AD897" s="108">
        <v>6.0</v>
      </c>
    </row>
    <row r="898">
      <c r="A898" s="11">
        <v>78.0</v>
      </c>
      <c r="B898" s="11">
        <v>8.0</v>
      </c>
      <c r="C898" s="11">
        <v>8.0</v>
      </c>
      <c r="D898" s="17">
        <v>39.0</v>
      </c>
      <c r="E898" s="108">
        <v>8.0</v>
      </c>
      <c r="F898" s="109">
        <v>34658.33</v>
      </c>
      <c r="G898" s="109">
        <v>-20561.44</v>
      </c>
      <c r="H898" s="109">
        <v>39186.88</v>
      </c>
      <c r="I898" s="109">
        <v>63269.92</v>
      </c>
      <c r="J898" s="109">
        <v>-68094.9</v>
      </c>
      <c r="K898" s="109">
        <v>76952.4</v>
      </c>
      <c r="L898" s="109">
        <v>-31520.49</v>
      </c>
      <c r="M898" s="109">
        <v>1553.08</v>
      </c>
      <c r="N898" s="110">
        <v>122711.0</v>
      </c>
      <c r="O898" s="110">
        <v>121941.0</v>
      </c>
      <c r="P898" s="110">
        <v>51923.0</v>
      </c>
      <c r="Q898" s="110">
        <v>123140.0</v>
      </c>
      <c r="R898" s="50">
        <v>62314.0</v>
      </c>
      <c r="S898" s="111">
        <v>51.0</v>
      </c>
      <c r="T898" s="112">
        <v>1.0</v>
      </c>
      <c r="U898" s="24" t="s">
        <v>601</v>
      </c>
      <c r="V898" s="11" t="s">
        <v>3895</v>
      </c>
      <c r="W898" s="108">
        <v>8.0</v>
      </c>
      <c r="X898" s="113">
        <v>51317.0</v>
      </c>
      <c r="Y898" s="113">
        <v>71021.0</v>
      </c>
      <c r="Z898" s="11">
        <v>160.0</v>
      </c>
      <c r="AA898" s="113">
        <v>100913.0</v>
      </c>
      <c r="AB898" s="109">
        <v>37491.26</v>
      </c>
      <c r="AC898" s="113">
        <v>33021.0</v>
      </c>
      <c r="AD898" s="108">
        <v>3.0</v>
      </c>
    </row>
    <row r="899">
      <c r="A899" s="11">
        <v>17.0</v>
      </c>
      <c r="B899" s="11">
        <v>4.0</v>
      </c>
      <c r="C899" s="11">
        <v>3.0</v>
      </c>
      <c r="D899" s="17">
        <v>9.0</v>
      </c>
      <c r="E899" s="108">
        <v>2.0</v>
      </c>
      <c r="F899" s="109">
        <v>-74965.22</v>
      </c>
      <c r="G899" s="109">
        <v>-58560.35</v>
      </c>
      <c r="H899" s="109">
        <v>-25204.27</v>
      </c>
      <c r="I899" s="109">
        <v>51299.62</v>
      </c>
      <c r="J899" s="109">
        <v>-45100.47</v>
      </c>
      <c r="K899" s="109">
        <v>-29906.7</v>
      </c>
      <c r="L899" s="109">
        <v>-52516.81</v>
      </c>
      <c r="M899" s="109">
        <v>1916.21</v>
      </c>
      <c r="N899" s="110">
        <v>41811.0</v>
      </c>
      <c r="O899" s="110">
        <v>41521.0</v>
      </c>
      <c r="P899" s="110">
        <v>51823.0</v>
      </c>
      <c r="Q899" s="110">
        <v>43021.0</v>
      </c>
      <c r="R899" s="50">
        <v>61322.0</v>
      </c>
      <c r="S899" s="111">
        <v>50.0</v>
      </c>
      <c r="T899" s="112">
        <v>1.0</v>
      </c>
      <c r="U899" s="24" t="s">
        <v>603</v>
      </c>
      <c r="V899" s="11" t="s">
        <v>4062</v>
      </c>
      <c r="W899" s="108">
        <v>6.0</v>
      </c>
      <c r="X899" s="113">
        <v>121616.0</v>
      </c>
      <c r="Y899" s="113">
        <v>111921.0</v>
      </c>
      <c r="Z899" s="11">
        <v>144.0</v>
      </c>
      <c r="AA899" s="113">
        <v>122719.0</v>
      </c>
      <c r="AB899" s="109">
        <v>-72275.34</v>
      </c>
      <c r="AC899" s="113">
        <v>50223.0</v>
      </c>
      <c r="AD899" s="108">
        <v>0.0</v>
      </c>
    </row>
    <row r="900">
      <c r="A900" s="11">
        <v>78.0</v>
      </c>
      <c r="B900" s="11">
        <v>8.0</v>
      </c>
      <c r="C900" s="11">
        <v>9.0</v>
      </c>
      <c r="D900" s="17">
        <v>23.0</v>
      </c>
      <c r="E900" s="108">
        <v>6.0</v>
      </c>
      <c r="F900" s="109">
        <v>-23015.75</v>
      </c>
      <c r="G900" s="109">
        <v>-75339.94</v>
      </c>
      <c r="H900" s="109">
        <v>-573.33</v>
      </c>
      <c r="I900" s="109">
        <v>34972.74</v>
      </c>
      <c r="J900" s="109">
        <v>72283.23</v>
      </c>
      <c r="K900" s="109">
        <v>-63321.25</v>
      </c>
      <c r="L900" s="109">
        <v>11048.57</v>
      </c>
      <c r="M900" s="109">
        <v>-44785.61</v>
      </c>
      <c r="N900" s="110">
        <v>70514.0</v>
      </c>
      <c r="O900" s="110">
        <v>63034.0</v>
      </c>
      <c r="P900" s="110">
        <v>52923.0</v>
      </c>
      <c r="Q900" s="110">
        <v>63034.0</v>
      </c>
      <c r="R900" s="50">
        <v>10215.0</v>
      </c>
      <c r="S900" s="111">
        <v>51.0</v>
      </c>
      <c r="T900" s="112">
        <v>99.0</v>
      </c>
      <c r="U900" s="24" t="s">
        <v>601</v>
      </c>
      <c r="V900" s="11" t="s">
        <v>4018</v>
      </c>
      <c r="W900" s="108">
        <v>4.0</v>
      </c>
      <c r="X900" s="113">
        <v>101717.0</v>
      </c>
      <c r="Y900" s="113">
        <v>100715.0</v>
      </c>
      <c r="Z900" s="11">
        <v>181.0</v>
      </c>
      <c r="AA900" s="113">
        <v>42914.0</v>
      </c>
      <c r="AB900" s="109">
        <v>84158.61</v>
      </c>
      <c r="AC900" s="113">
        <v>51921.0</v>
      </c>
      <c r="AD900" s="108">
        <v>8.0</v>
      </c>
    </row>
    <row r="901">
      <c r="A901" s="11">
        <v>17.0</v>
      </c>
      <c r="B901" s="11">
        <v>4.0</v>
      </c>
      <c r="C901" s="11">
        <v>8.0</v>
      </c>
      <c r="D901" s="17">
        <v>92.0</v>
      </c>
      <c r="E901" s="108">
        <v>9.0</v>
      </c>
      <c r="F901" s="109">
        <v>-83819.78</v>
      </c>
      <c r="G901" s="109">
        <v>25985.55</v>
      </c>
      <c r="H901" s="109">
        <v>-18176.77</v>
      </c>
      <c r="I901" s="109">
        <v>-14284.07</v>
      </c>
      <c r="J901" s="109">
        <v>83339.31</v>
      </c>
      <c r="K901" s="109">
        <v>29249.39</v>
      </c>
      <c r="L901" s="109">
        <v>-15875.36</v>
      </c>
      <c r="M901" s="109">
        <v>247.67</v>
      </c>
      <c r="N901" s="110">
        <v>82713.0</v>
      </c>
      <c r="O901" s="110">
        <v>82233.0</v>
      </c>
      <c r="P901" s="110">
        <v>52123.0</v>
      </c>
      <c r="Q901" s="110">
        <v>83133.0</v>
      </c>
      <c r="R901" s="50">
        <v>52017.0</v>
      </c>
      <c r="S901" s="111">
        <v>55.0</v>
      </c>
      <c r="T901" s="112">
        <v>46.0</v>
      </c>
      <c r="U901" s="24" t="s">
        <v>39</v>
      </c>
      <c r="V901" s="11" t="s">
        <v>3932</v>
      </c>
      <c r="W901" s="108">
        <v>6.0</v>
      </c>
      <c r="X901" s="113">
        <v>92422.0</v>
      </c>
      <c r="Y901" s="113">
        <v>62518.0</v>
      </c>
      <c r="Z901" s="11">
        <v>193.0</v>
      </c>
      <c r="AA901" s="113">
        <v>102521.0</v>
      </c>
      <c r="AB901" s="109">
        <v>-47359.68</v>
      </c>
      <c r="AC901" s="113">
        <v>123119.0</v>
      </c>
      <c r="AD901" s="108">
        <v>0.0</v>
      </c>
    </row>
    <row r="902">
      <c r="A902" s="11">
        <v>17.0</v>
      </c>
      <c r="B902" s="11">
        <v>4.0</v>
      </c>
      <c r="C902" s="11">
        <v>1.0</v>
      </c>
      <c r="D902" s="17">
        <v>44.0</v>
      </c>
      <c r="E902" s="108">
        <v>1.0</v>
      </c>
      <c r="F902" s="109">
        <v>71329.38</v>
      </c>
      <c r="G902" s="109">
        <v>98455.2</v>
      </c>
      <c r="H902" s="109">
        <v>-11036.96</v>
      </c>
      <c r="I902" s="109">
        <v>24333.65</v>
      </c>
      <c r="J902" s="109">
        <v>14185.91</v>
      </c>
      <c r="K902" s="109">
        <v>51.67</v>
      </c>
      <c r="L902" s="109">
        <v>-34599.96</v>
      </c>
      <c r="M902" s="109">
        <v>14076.16</v>
      </c>
      <c r="N902" s="110">
        <v>40314.0</v>
      </c>
      <c r="O902" s="110">
        <v>33124.0</v>
      </c>
      <c r="P902" s="110">
        <v>51123.0</v>
      </c>
      <c r="Q902" s="110">
        <v>33124.0</v>
      </c>
      <c r="R902" s="50">
        <v>30820.0</v>
      </c>
      <c r="S902" s="111">
        <v>54.0</v>
      </c>
      <c r="T902" s="112">
        <v>85.0</v>
      </c>
      <c r="U902" s="24" t="s">
        <v>31</v>
      </c>
      <c r="V902" s="11" t="s">
        <v>3912</v>
      </c>
      <c r="W902" s="108">
        <v>1.0</v>
      </c>
      <c r="X902" s="113">
        <v>103120.0</v>
      </c>
      <c r="Y902" s="113">
        <v>92318.0</v>
      </c>
      <c r="Z902" s="11">
        <v>120.0</v>
      </c>
      <c r="AA902" s="113">
        <v>81715.0</v>
      </c>
      <c r="AB902" s="109">
        <v>35040.86</v>
      </c>
      <c r="AC902" s="113">
        <v>101515.0</v>
      </c>
      <c r="AD902" s="108">
        <v>7.0</v>
      </c>
    </row>
    <row r="903">
      <c r="A903" s="11">
        <v>78.0</v>
      </c>
      <c r="B903" s="11">
        <v>9.0</v>
      </c>
      <c r="C903" s="11">
        <v>4.0</v>
      </c>
      <c r="D903" s="17">
        <v>68.0</v>
      </c>
      <c r="E903" s="108">
        <v>1.0</v>
      </c>
      <c r="F903" s="109">
        <v>-92346.34</v>
      </c>
      <c r="G903" s="109">
        <v>-49767.42</v>
      </c>
      <c r="H903" s="109">
        <v>-73423.24</v>
      </c>
      <c r="I903" s="109">
        <v>-28815.61</v>
      </c>
      <c r="J903" s="109">
        <v>73866.4</v>
      </c>
      <c r="K903" s="109">
        <v>-47457.33</v>
      </c>
      <c r="L903" s="109">
        <v>-20166.74</v>
      </c>
      <c r="M903" s="109">
        <v>-44111.68</v>
      </c>
      <c r="N903" s="110">
        <v>22311.0</v>
      </c>
      <c r="O903" s="110">
        <v>21541.0</v>
      </c>
      <c r="P903" s="110">
        <v>50723.0</v>
      </c>
      <c r="Q903" s="110">
        <v>22841.0</v>
      </c>
      <c r="R903" s="50">
        <v>32616.0</v>
      </c>
      <c r="S903" s="111">
        <v>51.0</v>
      </c>
      <c r="T903" s="112">
        <v>77.0</v>
      </c>
      <c r="U903" s="24" t="s">
        <v>48</v>
      </c>
      <c r="V903" s="11" t="s">
        <v>3938</v>
      </c>
      <c r="W903" s="108">
        <v>8.0</v>
      </c>
      <c r="X903" s="113">
        <v>90821.0</v>
      </c>
      <c r="Y903" s="113">
        <v>32915.0</v>
      </c>
      <c r="Z903" s="11">
        <v>197.0</v>
      </c>
      <c r="AA903" s="113">
        <v>122019.0</v>
      </c>
      <c r="AB903" s="109">
        <v>-64559.8</v>
      </c>
      <c r="AC903" s="113">
        <v>102814.0</v>
      </c>
      <c r="AD903" s="108">
        <v>0.0</v>
      </c>
    </row>
    <row r="904">
      <c r="A904" s="11">
        <v>37.0</v>
      </c>
      <c r="B904" s="11">
        <v>9.0</v>
      </c>
      <c r="C904" s="11">
        <v>9.0</v>
      </c>
      <c r="D904" s="17">
        <v>5.0</v>
      </c>
      <c r="E904" s="108">
        <v>6.0</v>
      </c>
      <c r="F904" s="109">
        <v>42165.42</v>
      </c>
      <c r="G904" s="109">
        <v>-31976.13</v>
      </c>
      <c r="H904" s="109">
        <v>-30439.52</v>
      </c>
      <c r="I904" s="109">
        <v>-1844.6</v>
      </c>
      <c r="J904" s="109">
        <v>-60203.42</v>
      </c>
      <c r="K904" s="109">
        <v>66171.61</v>
      </c>
      <c r="L904" s="109">
        <v>-51646.8</v>
      </c>
      <c r="M904" s="109">
        <v>73385.76</v>
      </c>
      <c r="N904" s="110">
        <v>100514.0</v>
      </c>
      <c r="O904" s="110">
        <v>92744.0</v>
      </c>
      <c r="P904" s="110">
        <v>50723.0</v>
      </c>
      <c r="Q904" s="110">
        <v>93044.0</v>
      </c>
      <c r="R904" s="50">
        <v>83021.0</v>
      </c>
      <c r="S904" s="111">
        <v>53.0</v>
      </c>
      <c r="T904" s="112">
        <v>71.0</v>
      </c>
      <c r="U904" s="24" t="s">
        <v>48</v>
      </c>
      <c r="V904" s="11" t="s">
        <v>3991</v>
      </c>
      <c r="W904" s="108">
        <v>9.0</v>
      </c>
      <c r="X904" s="113">
        <v>80918.0</v>
      </c>
      <c r="Y904" s="113">
        <v>112815.0</v>
      </c>
      <c r="Z904" s="11">
        <v>132.0</v>
      </c>
      <c r="AA904" s="113">
        <v>23117.0</v>
      </c>
      <c r="AB904" s="109">
        <v>80603.82</v>
      </c>
      <c r="AC904" s="113">
        <v>30213.0</v>
      </c>
      <c r="AD904" s="108">
        <v>7.0</v>
      </c>
    </row>
    <row r="905">
      <c r="A905" s="11">
        <v>37.0</v>
      </c>
      <c r="B905" s="11">
        <v>9.0</v>
      </c>
      <c r="C905" s="11">
        <v>6.0</v>
      </c>
      <c r="D905" s="17">
        <v>79.0</v>
      </c>
      <c r="E905" s="108">
        <v>8.0</v>
      </c>
      <c r="F905" s="109">
        <v>78944.09</v>
      </c>
      <c r="G905" s="109">
        <v>7197.21</v>
      </c>
      <c r="H905" s="109">
        <v>-85846.15</v>
      </c>
      <c r="I905" s="109">
        <v>26427.11</v>
      </c>
      <c r="J905" s="109">
        <v>21957.03</v>
      </c>
      <c r="K905" s="109">
        <v>56971.94</v>
      </c>
      <c r="L905" s="109">
        <v>73026.38</v>
      </c>
      <c r="M905" s="109">
        <v>-81010.39</v>
      </c>
      <c r="N905" s="110">
        <v>120513.0</v>
      </c>
      <c r="O905" s="110">
        <v>120323.0</v>
      </c>
      <c r="P905" s="110">
        <v>50823.0</v>
      </c>
      <c r="Q905" s="110">
        <v>123122.0</v>
      </c>
      <c r="R905" s="50">
        <v>41514.0</v>
      </c>
      <c r="S905" s="111">
        <v>53.0</v>
      </c>
      <c r="T905" s="112">
        <v>36.0</v>
      </c>
      <c r="U905" s="24" t="s">
        <v>31</v>
      </c>
      <c r="V905" s="11" t="s">
        <v>3888</v>
      </c>
      <c r="W905" s="108">
        <v>2.0</v>
      </c>
      <c r="X905" s="113">
        <v>110214.0</v>
      </c>
      <c r="Y905" s="113">
        <v>110320.0</v>
      </c>
      <c r="Z905" s="11">
        <v>149.0</v>
      </c>
      <c r="AA905" s="113">
        <v>43013.0</v>
      </c>
      <c r="AB905" s="109">
        <v>-87517.24</v>
      </c>
      <c r="AC905" s="113">
        <v>52921.0</v>
      </c>
      <c r="AD905" s="108">
        <v>7.0</v>
      </c>
    </row>
    <row r="906">
      <c r="A906" s="11">
        <v>17.0</v>
      </c>
      <c r="B906" s="11">
        <v>5.0</v>
      </c>
      <c r="C906" s="11">
        <v>3.0</v>
      </c>
      <c r="D906" s="17">
        <v>38.0</v>
      </c>
      <c r="E906" s="108">
        <v>6.0</v>
      </c>
      <c r="F906" s="109">
        <v>-1301.1</v>
      </c>
      <c r="G906" s="109">
        <v>-14795.93</v>
      </c>
      <c r="H906" s="109">
        <v>96817.11</v>
      </c>
      <c r="I906" s="109">
        <v>-59246.5</v>
      </c>
      <c r="J906" s="109">
        <v>-15977.39</v>
      </c>
      <c r="K906" s="109">
        <v>-6832.23</v>
      </c>
      <c r="L906" s="109">
        <v>-75303.25</v>
      </c>
      <c r="M906" s="109">
        <v>-57033.38</v>
      </c>
      <c r="N906" s="110">
        <v>12212.0</v>
      </c>
      <c r="O906" s="110">
        <v>11442.0</v>
      </c>
      <c r="P906" s="110">
        <v>50423.0</v>
      </c>
      <c r="Q906" s="110">
        <v>13142.0</v>
      </c>
      <c r="R906" s="50">
        <v>72919.0</v>
      </c>
      <c r="S906" s="111">
        <v>54.0</v>
      </c>
      <c r="T906" s="112">
        <v>86.0</v>
      </c>
      <c r="U906" s="24" t="s">
        <v>603</v>
      </c>
      <c r="V906" s="11" t="s">
        <v>3929</v>
      </c>
      <c r="W906" s="108">
        <v>9.0</v>
      </c>
      <c r="X906" s="113">
        <v>100919.0</v>
      </c>
      <c r="Y906" s="113">
        <v>50813.0</v>
      </c>
      <c r="Z906" s="11">
        <v>117.0</v>
      </c>
      <c r="AA906" s="113">
        <v>31113.0</v>
      </c>
      <c r="AB906" s="109">
        <v>-54915.6</v>
      </c>
      <c r="AC906" s="113">
        <v>82119.0</v>
      </c>
      <c r="AD906" s="108">
        <v>8.0</v>
      </c>
    </row>
    <row r="907">
      <c r="A907" s="11">
        <v>17.0</v>
      </c>
      <c r="B907" s="11">
        <v>5.0</v>
      </c>
      <c r="C907" s="11">
        <v>6.0</v>
      </c>
      <c r="D907" s="17">
        <v>79.0</v>
      </c>
      <c r="E907" s="108">
        <v>1.0</v>
      </c>
      <c r="F907" s="109">
        <v>-9010.48</v>
      </c>
      <c r="G907" s="109">
        <v>29546.86</v>
      </c>
      <c r="H907" s="109">
        <v>22163.68</v>
      </c>
      <c r="I907" s="109">
        <v>63728.33</v>
      </c>
      <c r="J907" s="109">
        <v>4538.45</v>
      </c>
      <c r="K907" s="109">
        <v>65053.11</v>
      </c>
      <c r="L907" s="109">
        <v>81695.58</v>
      </c>
      <c r="M907" s="109">
        <v>-81248.91</v>
      </c>
      <c r="N907" s="110">
        <v>81612.0</v>
      </c>
      <c r="O907" s="110">
        <v>80942.0</v>
      </c>
      <c r="P907" s="110">
        <v>52223.0</v>
      </c>
      <c r="Q907" s="110">
        <v>83142.0</v>
      </c>
      <c r="R907" s="50">
        <v>71715.0</v>
      </c>
      <c r="S907" s="111">
        <v>54.0</v>
      </c>
      <c r="T907" s="112">
        <v>61.0</v>
      </c>
      <c r="U907" s="24" t="s">
        <v>48</v>
      </c>
      <c r="V907" s="11" t="s">
        <v>4026</v>
      </c>
      <c r="W907" s="108">
        <v>2.0</v>
      </c>
      <c r="X907" s="113">
        <v>51522.0</v>
      </c>
      <c r="Y907" s="113">
        <v>60717.0</v>
      </c>
      <c r="Z907" s="11">
        <v>146.0</v>
      </c>
      <c r="AA907" s="113">
        <v>110921.0</v>
      </c>
      <c r="AB907" s="109">
        <v>36474.55</v>
      </c>
      <c r="AC907" s="113">
        <v>120516.0</v>
      </c>
      <c r="AD907" s="108">
        <v>8.0</v>
      </c>
    </row>
    <row r="908">
      <c r="A908" s="11">
        <v>99.0</v>
      </c>
      <c r="B908" s="11">
        <v>5.0</v>
      </c>
      <c r="C908" s="11">
        <v>3.0</v>
      </c>
      <c r="D908" s="17">
        <v>4.0</v>
      </c>
      <c r="E908" s="108">
        <v>8.0</v>
      </c>
      <c r="F908" s="109">
        <v>-46141.04</v>
      </c>
      <c r="G908" s="109">
        <v>64510.2</v>
      </c>
      <c r="H908" s="109">
        <v>-95499.75</v>
      </c>
      <c r="I908" s="109">
        <v>96823.0</v>
      </c>
      <c r="J908" s="109">
        <v>-33578.13</v>
      </c>
      <c r="K908" s="109">
        <v>57258.42</v>
      </c>
      <c r="L908" s="109">
        <v>-86517.49</v>
      </c>
      <c r="M908" s="109">
        <v>61874.28</v>
      </c>
      <c r="N908" s="110">
        <v>101312.0</v>
      </c>
      <c r="O908" s="110">
        <v>100832.0</v>
      </c>
      <c r="P908" s="110">
        <v>51323.0</v>
      </c>
      <c r="Q908" s="110">
        <v>103132.0</v>
      </c>
      <c r="R908" s="50">
        <v>71721.0</v>
      </c>
      <c r="S908" s="111">
        <v>55.0</v>
      </c>
      <c r="T908" s="112">
        <v>77.0</v>
      </c>
      <c r="U908" s="24" t="s">
        <v>39</v>
      </c>
      <c r="V908" s="11" t="s">
        <v>4055</v>
      </c>
      <c r="W908" s="108">
        <v>2.0</v>
      </c>
      <c r="X908" s="113">
        <v>10616.0</v>
      </c>
      <c r="Y908" s="113">
        <v>21523.0</v>
      </c>
      <c r="Z908" s="11">
        <v>128.0</v>
      </c>
      <c r="AA908" s="113">
        <v>110814.0</v>
      </c>
      <c r="AB908" s="109">
        <v>58198.45</v>
      </c>
      <c r="AC908" s="113">
        <v>121713.0</v>
      </c>
      <c r="AD908" s="108">
        <v>5.0</v>
      </c>
    </row>
    <row r="909">
      <c r="A909" s="11">
        <v>58.0</v>
      </c>
      <c r="B909" s="11">
        <v>5.0</v>
      </c>
      <c r="C909" s="11">
        <v>7.0</v>
      </c>
      <c r="D909" s="17">
        <v>49.0</v>
      </c>
      <c r="E909" s="108">
        <v>8.0</v>
      </c>
      <c r="F909" s="109">
        <v>-69878.94</v>
      </c>
      <c r="G909" s="109">
        <v>13411.32</v>
      </c>
      <c r="H909" s="109">
        <v>21362.41</v>
      </c>
      <c r="I909" s="109">
        <v>-16386.33</v>
      </c>
      <c r="J909" s="109">
        <v>-55256.21</v>
      </c>
      <c r="K909" s="109">
        <v>31389.41</v>
      </c>
      <c r="L909" s="109">
        <v>7876.69</v>
      </c>
      <c r="M909" s="109">
        <v>-56786.73</v>
      </c>
      <c r="N909" s="110">
        <v>41814.0</v>
      </c>
      <c r="O909" s="110">
        <v>41524.0</v>
      </c>
      <c r="P909" s="110">
        <v>51623.0</v>
      </c>
      <c r="Q909" s="110">
        <v>43024.0</v>
      </c>
      <c r="R909" s="50">
        <v>90915.0</v>
      </c>
      <c r="S909" s="111">
        <v>51.0</v>
      </c>
      <c r="T909" s="112">
        <v>36.0</v>
      </c>
      <c r="U909" s="24" t="s">
        <v>603</v>
      </c>
      <c r="V909" s="11" t="s">
        <v>3912</v>
      </c>
      <c r="W909" s="108">
        <v>3.0</v>
      </c>
      <c r="X909" s="113">
        <v>80916.0</v>
      </c>
      <c r="Y909" s="113">
        <v>101918.0</v>
      </c>
      <c r="Z909" s="11">
        <v>110.0</v>
      </c>
      <c r="AA909" s="113">
        <v>112022.0</v>
      </c>
      <c r="AB909" s="109">
        <v>51814.29</v>
      </c>
      <c r="AC909" s="113">
        <v>80318.0</v>
      </c>
      <c r="AD909" s="108">
        <v>3.0</v>
      </c>
    </row>
    <row r="910">
      <c r="A910" s="11">
        <v>58.0</v>
      </c>
      <c r="B910" s="11">
        <v>5.0</v>
      </c>
      <c r="C910" s="11">
        <v>9.0</v>
      </c>
      <c r="D910" s="17">
        <v>52.0</v>
      </c>
      <c r="E910" s="108">
        <v>4.0</v>
      </c>
      <c r="F910" s="109">
        <v>-4791.84</v>
      </c>
      <c r="G910" s="109">
        <v>-64509.78</v>
      </c>
      <c r="H910" s="109">
        <v>58415.58</v>
      </c>
      <c r="I910" s="109">
        <v>57572.77</v>
      </c>
      <c r="J910" s="109">
        <v>57116.98</v>
      </c>
      <c r="K910" s="109">
        <v>-61245.4</v>
      </c>
      <c r="L910" s="109">
        <v>-20071.03</v>
      </c>
      <c r="M910" s="109">
        <v>95606.9</v>
      </c>
      <c r="N910" s="110">
        <v>82212.0</v>
      </c>
      <c r="O910" s="110">
        <v>81732.0</v>
      </c>
      <c r="P910" s="110">
        <v>50323.0</v>
      </c>
      <c r="Q910" s="110">
        <v>83132.0</v>
      </c>
      <c r="R910" s="50">
        <v>111519.0</v>
      </c>
      <c r="S910" s="111">
        <v>52.0</v>
      </c>
      <c r="T910" s="112">
        <v>25.0</v>
      </c>
      <c r="U910" s="24" t="s">
        <v>48</v>
      </c>
      <c r="V910" s="11" t="s">
        <v>4009</v>
      </c>
      <c r="W910" s="108">
        <v>3.0</v>
      </c>
      <c r="X910" s="113">
        <v>41413.0</v>
      </c>
      <c r="Y910" s="113">
        <v>22215.0</v>
      </c>
      <c r="Z910" s="11">
        <v>126.0</v>
      </c>
      <c r="AA910" s="113">
        <v>91815.0</v>
      </c>
      <c r="AB910" s="109">
        <v>-7639.92</v>
      </c>
      <c r="AC910" s="113">
        <v>80716.0</v>
      </c>
      <c r="AD910" s="108">
        <v>8.0</v>
      </c>
    </row>
    <row r="911">
      <c r="A911" s="11">
        <v>38.0</v>
      </c>
      <c r="B911" s="11">
        <v>1.0</v>
      </c>
      <c r="C911" s="11">
        <v>3.0</v>
      </c>
      <c r="D911" s="17">
        <v>61.0</v>
      </c>
      <c r="E911" s="108">
        <v>6.0</v>
      </c>
      <c r="F911" s="109">
        <v>59259.15</v>
      </c>
      <c r="G911" s="109">
        <v>-49745.42</v>
      </c>
      <c r="H911" s="109">
        <v>74043.74</v>
      </c>
      <c r="I911" s="109">
        <v>-9410.84</v>
      </c>
      <c r="J911" s="109">
        <v>-46621.33</v>
      </c>
      <c r="K911" s="109">
        <v>-72177.24</v>
      </c>
      <c r="L911" s="109">
        <v>-89795.96</v>
      </c>
      <c r="M911" s="109">
        <v>-91307.29</v>
      </c>
      <c r="N911" s="110">
        <v>40811.0</v>
      </c>
      <c r="O911" s="110">
        <v>40521.0</v>
      </c>
      <c r="P911" s="110">
        <v>51223.0</v>
      </c>
      <c r="Q911" s="110">
        <v>43021.0</v>
      </c>
      <c r="R911" s="50">
        <v>10617.0</v>
      </c>
      <c r="S911" s="111">
        <v>52.0</v>
      </c>
      <c r="T911" s="112">
        <v>92.0</v>
      </c>
      <c r="U911" s="24" t="s">
        <v>601</v>
      </c>
      <c r="V911" s="11" t="s">
        <v>3872</v>
      </c>
      <c r="W911" s="108">
        <v>1.0</v>
      </c>
      <c r="X911" s="113">
        <v>122816.0</v>
      </c>
      <c r="Y911" s="113">
        <v>32113.0</v>
      </c>
      <c r="Z911" s="11">
        <v>115.0</v>
      </c>
      <c r="AA911" s="113">
        <v>101618.0</v>
      </c>
      <c r="AB911" s="109">
        <v>-31850.08</v>
      </c>
      <c r="AC911" s="113">
        <v>61817.0</v>
      </c>
      <c r="AD911" s="108">
        <v>2.0</v>
      </c>
    </row>
    <row r="912">
      <c r="A912" s="11">
        <v>99.0</v>
      </c>
      <c r="B912" s="11">
        <v>6.0</v>
      </c>
      <c r="C912" s="11">
        <v>2.0</v>
      </c>
      <c r="D912" s="17">
        <v>29.0</v>
      </c>
      <c r="E912" s="108">
        <v>5.0</v>
      </c>
      <c r="F912" s="109">
        <v>31680.75</v>
      </c>
      <c r="G912" s="109">
        <v>39086.38</v>
      </c>
      <c r="H912" s="109">
        <v>-25259.35</v>
      </c>
      <c r="I912" s="109">
        <v>57679.94</v>
      </c>
      <c r="J912" s="109">
        <v>-59090.13</v>
      </c>
      <c r="K912" s="109">
        <v>-62064.02</v>
      </c>
      <c r="L912" s="109">
        <v>-29906.11</v>
      </c>
      <c r="M912" s="109">
        <v>59401.21</v>
      </c>
      <c r="N912" s="110">
        <v>32314.0</v>
      </c>
      <c r="O912" s="110">
        <v>31544.0</v>
      </c>
      <c r="P912" s="110">
        <v>52923.0</v>
      </c>
      <c r="Q912" s="110">
        <v>33144.0</v>
      </c>
      <c r="R912" s="50">
        <v>111018.0</v>
      </c>
      <c r="S912" s="111">
        <v>53.0</v>
      </c>
      <c r="T912" s="112">
        <v>82.0</v>
      </c>
      <c r="U912" s="24" t="s">
        <v>31</v>
      </c>
      <c r="V912" s="11" t="s">
        <v>4078</v>
      </c>
      <c r="W912" s="108">
        <v>8.0</v>
      </c>
      <c r="X912" s="113">
        <v>41814.0</v>
      </c>
      <c r="Y912" s="113">
        <v>30414.0</v>
      </c>
      <c r="Z912" s="11">
        <v>102.0</v>
      </c>
      <c r="AA912" s="113">
        <v>81517.0</v>
      </c>
      <c r="AB912" s="109">
        <v>62273.16</v>
      </c>
      <c r="AC912" s="113">
        <v>82718.0</v>
      </c>
      <c r="AD912" s="108">
        <v>8.0</v>
      </c>
    </row>
    <row r="913">
      <c r="A913" s="11">
        <v>38.0</v>
      </c>
      <c r="B913" s="11">
        <v>1.0</v>
      </c>
      <c r="C913" s="11">
        <v>8.0</v>
      </c>
      <c r="D913" s="17">
        <v>46.0</v>
      </c>
      <c r="E913" s="108">
        <v>5.0</v>
      </c>
      <c r="F913" s="109">
        <v>-47692.88</v>
      </c>
      <c r="G913" s="109">
        <v>-28288.37</v>
      </c>
      <c r="H913" s="109">
        <v>2542.98</v>
      </c>
      <c r="I913" s="109">
        <v>34101.37</v>
      </c>
      <c r="J913" s="109">
        <v>57215.12</v>
      </c>
      <c r="K913" s="109">
        <v>-45890.73</v>
      </c>
      <c r="L913" s="109">
        <v>-8324.72</v>
      </c>
      <c r="M913" s="109">
        <v>-59626.15</v>
      </c>
      <c r="N913" s="110">
        <v>12612.0</v>
      </c>
      <c r="O913" s="110">
        <v>12322.0</v>
      </c>
      <c r="P913" s="110">
        <v>50823.0</v>
      </c>
      <c r="Q913" s="110">
        <v>13122.0</v>
      </c>
      <c r="R913" s="50">
        <v>11417.0</v>
      </c>
      <c r="S913" s="111">
        <v>53.0</v>
      </c>
      <c r="T913" s="112">
        <v>65.0</v>
      </c>
      <c r="U913" s="24" t="s">
        <v>603</v>
      </c>
      <c r="V913" s="11" t="s">
        <v>3861</v>
      </c>
      <c r="W913" s="108">
        <v>8.0</v>
      </c>
      <c r="X913" s="113">
        <v>50213.0</v>
      </c>
      <c r="Y913" s="113">
        <v>61216.0</v>
      </c>
      <c r="Z913" s="11">
        <v>119.0</v>
      </c>
      <c r="AA913" s="113">
        <v>62817.0</v>
      </c>
      <c r="AB913" s="109">
        <v>13296.03</v>
      </c>
      <c r="AC913" s="113">
        <v>71920.0</v>
      </c>
      <c r="AD913" s="108">
        <v>8.0</v>
      </c>
    </row>
    <row r="914">
      <c r="A914" s="11">
        <v>58.0</v>
      </c>
      <c r="B914" s="11">
        <v>6.0</v>
      </c>
      <c r="C914" s="11">
        <v>6.0</v>
      </c>
      <c r="D914" s="17">
        <v>82.0</v>
      </c>
      <c r="E914" s="108">
        <v>3.0</v>
      </c>
      <c r="F914" s="109">
        <v>76352.03</v>
      </c>
      <c r="G914" s="109">
        <v>-29314.92</v>
      </c>
      <c r="H914" s="109">
        <v>-63519.29</v>
      </c>
      <c r="I914" s="109">
        <v>-60167.16</v>
      </c>
      <c r="J914" s="109">
        <v>-24880.33</v>
      </c>
      <c r="K914" s="109">
        <v>49241.98</v>
      </c>
      <c r="L914" s="109">
        <v>-64238.93</v>
      </c>
      <c r="M914" s="109">
        <v>16071.12</v>
      </c>
      <c r="N914" s="110">
        <v>63011.0</v>
      </c>
      <c r="O914" s="110">
        <v>62241.0</v>
      </c>
      <c r="P914" s="110">
        <v>50423.0</v>
      </c>
      <c r="Q914" s="110">
        <v>63041.0</v>
      </c>
      <c r="R914" s="50">
        <v>81615.0</v>
      </c>
      <c r="S914" s="111">
        <v>54.0</v>
      </c>
      <c r="T914" s="112">
        <v>22.0</v>
      </c>
      <c r="U914" s="24" t="s">
        <v>48</v>
      </c>
      <c r="V914" s="11" t="s">
        <v>3954</v>
      </c>
      <c r="W914" s="108">
        <v>8.0</v>
      </c>
      <c r="X914" s="113">
        <v>23014.0</v>
      </c>
      <c r="Y914" s="113">
        <v>101918.0</v>
      </c>
      <c r="Z914" s="11">
        <v>152.0</v>
      </c>
      <c r="AA914" s="113">
        <v>70218.0</v>
      </c>
      <c r="AB914" s="109">
        <v>50836.79</v>
      </c>
      <c r="AC914" s="113">
        <v>62114.0</v>
      </c>
      <c r="AD914" s="108">
        <v>6.0</v>
      </c>
    </row>
    <row r="915">
      <c r="A915" s="11">
        <v>38.0</v>
      </c>
      <c r="B915" s="11">
        <v>2.0</v>
      </c>
      <c r="C915" s="11">
        <v>2.0</v>
      </c>
      <c r="D915" s="17">
        <v>68.0</v>
      </c>
      <c r="E915" s="108">
        <v>5.0</v>
      </c>
      <c r="F915" s="109">
        <v>-53265.91</v>
      </c>
      <c r="G915" s="109">
        <v>77629.11</v>
      </c>
      <c r="H915" s="109">
        <v>-18521.97</v>
      </c>
      <c r="I915" s="109">
        <v>36330.29</v>
      </c>
      <c r="J915" s="109">
        <v>15875.1</v>
      </c>
      <c r="K915" s="109">
        <v>29283.35</v>
      </c>
      <c r="L915" s="109">
        <v>59000.93</v>
      </c>
      <c r="M915" s="109">
        <v>-65182.06</v>
      </c>
      <c r="N915" s="110">
        <v>100811.0</v>
      </c>
      <c r="O915" s="110">
        <v>100521.0</v>
      </c>
      <c r="P915" s="110">
        <v>50523.0</v>
      </c>
      <c r="Q915" s="110">
        <v>103121.0</v>
      </c>
      <c r="R915" s="50">
        <v>91720.0</v>
      </c>
      <c r="S915" s="111">
        <v>54.0</v>
      </c>
      <c r="T915" s="112">
        <v>87.0</v>
      </c>
      <c r="U915" s="24" t="s">
        <v>31</v>
      </c>
      <c r="V915" s="11" t="s">
        <v>4061</v>
      </c>
      <c r="W915" s="108">
        <v>7.0</v>
      </c>
      <c r="X915" s="113">
        <v>102221.0</v>
      </c>
      <c r="Y915" s="113">
        <v>92119.0</v>
      </c>
      <c r="Z915" s="11">
        <v>108.0</v>
      </c>
      <c r="AA915" s="113">
        <v>101820.0</v>
      </c>
      <c r="AB915" s="109">
        <v>-72920.62</v>
      </c>
      <c r="AC915" s="113">
        <v>62318.0</v>
      </c>
      <c r="AD915" s="108">
        <v>7.0</v>
      </c>
    </row>
    <row r="916">
      <c r="A916" s="11">
        <v>99.0</v>
      </c>
      <c r="B916" s="11">
        <v>7.0</v>
      </c>
      <c r="C916" s="11">
        <v>1.0</v>
      </c>
      <c r="D916" s="17">
        <v>70.0</v>
      </c>
      <c r="E916" s="108">
        <v>6.0</v>
      </c>
      <c r="F916" s="109">
        <v>41077.59</v>
      </c>
      <c r="G916" s="109">
        <v>3895.34</v>
      </c>
      <c r="H916" s="109">
        <v>11855.43</v>
      </c>
      <c r="I916" s="109">
        <v>51402.59</v>
      </c>
      <c r="J916" s="109">
        <v>46034.3</v>
      </c>
      <c r="K916" s="109">
        <v>-90243.5</v>
      </c>
      <c r="L916" s="109">
        <v>14923.5</v>
      </c>
      <c r="M916" s="109">
        <v>-61273.57</v>
      </c>
      <c r="N916" s="110">
        <v>51113.0</v>
      </c>
      <c r="O916" s="110">
        <v>50923.0</v>
      </c>
      <c r="P916" s="110">
        <v>52323.0</v>
      </c>
      <c r="Q916" s="110">
        <v>53123.0</v>
      </c>
      <c r="R916" s="50">
        <v>71415.0</v>
      </c>
      <c r="S916" s="111">
        <v>52.0</v>
      </c>
      <c r="T916" s="112">
        <v>48.0</v>
      </c>
      <c r="U916" s="24" t="s">
        <v>31</v>
      </c>
      <c r="V916" s="11" t="s">
        <v>4045</v>
      </c>
      <c r="W916" s="108">
        <v>9.0</v>
      </c>
      <c r="X916" s="113">
        <v>90220.0</v>
      </c>
      <c r="Y916" s="113">
        <v>21015.0</v>
      </c>
      <c r="Z916" s="11">
        <v>165.0</v>
      </c>
      <c r="AA916" s="113">
        <v>20320.0</v>
      </c>
      <c r="AB916" s="109">
        <v>-25244.32</v>
      </c>
      <c r="AC916" s="113">
        <v>102923.0</v>
      </c>
      <c r="AD916" s="108">
        <v>7.0</v>
      </c>
    </row>
    <row r="917">
      <c r="A917" s="11">
        <v>99.0</v>
      </c>
      <c r="B917" s="11">
        <v>7.0</v>
      </c>
      <c r="C917" s="11">
        <v>4.0</v>
      </c>
      <c r="D917" s="17">
        <v>13.0</v>
      </c>
      <c r="E917" s="108">
        <v>3.0</v>
      </c>
      <c r="F917" s="109">
        <v>17732.71</v>
      </c>
      <c r="G917" s="109">
        <v>91838.98</v>
      </c>
      <c r="H917" s="109">
        <v>-61502.52</v>
      </c>
      <c r="I917" s="109">
        <v>17581.4</v>
      </c>
      <c r="J917" s="109">
        <v>-65465.08</v>
      </c>
      <c r="K917" s="109">
        <v>-46570.57</v>
      </c>
      <c r="L917" s="109">
        <v>75389.45</v>
      </c>
      <c r="M917" s="109">
        <v>56827.89</v>
      </c>
      <c r="N917" s="110">
        <v>111512.0</v>
      </c>
      <c r="O917" s="110">
        <v>111032.0</v>
      </c>
      <c r="P917" s="110">
        <v>52023.0</v>
      </c>
      <c r="Q917" s="110">
        <v>113032.0</v>
      </c>
      <c r="R917" s="50">
        <v>30714.0</v>
      </c>
      <c r="S917" s="111">
        <v>55.0</v>
      </c>
      <c r="T917" s="112">
        <v>43.0</v>
      </c>
      <c r="U917" s="24" t="s">
        <v>601</v>
      </c>
      <c r="V917" s="11" t="s">
        <v>4063</v>
      </c>
      <c r="W917" s="108">
        <v>4.0</v>
      </c>
      <c r="X917" s="113">
        <v>103021.0</v>
      </c>
      <c r="Y917" s="113">
        <v>111715.0</v>
      </c>
      <c r="Z917" s="11">
        <v>181.0</v>
      </c>
      <c r="AA917" s="113">
        <v>20213.0</v>
      </c>
      <c r="AB917" s="109">
        <v>-6257.02</v>
      </c>
      <c r="AC917" s="113">
        <v>32819.0</v>
      </c>
      <c r="AD917" s="108">
        <v>5.0</v>
      </c>
    </row>
    <row r="918">
      <c r="A918" s="11">
        <v>58.0</v>
      </c>
      <c r="B918" s="11">
        <v>8.0</v>
      </c>
      <c r="C918" s="11">
        <v>1.0</v>
      </c>
      <c r="D918" s="17">
        <v>51.0</v>
      </c>
      <c r="E918" s="108">
        <v>6.0</v>
      </c>
      <c r="F918" s="109">
        <v>-72982.56</v>
      </c>
      <c r="G918" s="109">
        <v>16703.53</v>
      </c>
      <c r="H918" s="109">
        <v>-73834.41</v>
      </c>
      <c r="I918" s="109">
        <v>41613.18</v>
      </c>
      <c r="J918" s="109">
        <v>31903.05</v>
      </c>
      <c r="K918" s="109">
        <v>-70542.7</v>
      </c>
      <c r="L918" s="109">
        <v>-28787.0</v>
      </c>
      <c r="M918" s="109">
        <v>-58216.86</v>
      </c>
      <c r="N918" s="110">
        <v>100413.0</v>
      </c>
      <c r="O918" s="110">
        <v>92743.0</v>
      </c>
      <c r="P918" s="110">
        <v>51723.0</v>
      </c>
      <c r="Q918" s="110">
        <v>93043.0</v>
      </c>
      <c r="R918" s="50">
        <v>71416.0</v>
      </c>
      <c r="S918" s="111">
        <v>52.0</v>
      </c>
      <c r="T918" s="112">
        <v>80.0</v>
      </c>
      <c r="U918" s="24" t="s">
        <v>39</v>
      </c>
      <c r="V918" s="11" t="s">
        <v>3936</v>
      </c>
      <c r="W918" s="108">
        <v>5.0</v>
      </c>
      <c r="X918" s="113">
        <v>41422.0</v>
      </c>
      <c r="Y918" s="113">
        <v>90313.0</v>
      </c>
      <c r="Z918" s="11">
        <v>152.0</v>
      </c>
      <c r="AA918" s="113">
        <v>112214.0</v>
      </c>
      <c r="AB918" s="109">
        <v>39334.13</v>
      </c>
      <c r="AC918" s="113">
        <v>50419.0</v>
      </c>
      <c r="AD918" s="108">
        <v>8.0</v>
      </c>
    </row>
    <row r="919">
      <c r="A919" s="11">
        <v>17.0</v>
      </c>
      <c r="B919" s="11">
        <v>8.0</v>
      </c>
      <c r="C919" s="11">
        <v>6.0</v>
      </c>
      <c r="D919" s="17">
        <v>43.0</v>
      </c>
      <c r="E919" s="108">
        <v>5.0</v>
      </c>
      <c r="F919" s="109">
        <v>21195.31</v>
      </c>
      <c r="G919" s="109">
        <v>-40433.62</v>
      </c>
      <c r="H919" s="109">
        <v>50469.42</v>
      </c>
      <c r="I919" s="109">
        <v>-22511.89</v>
      </c>
      <c r="J919" s="109">
        <v>68934.18</v>
      </c>
      <c r="K919" s="109">
        <v>-75387.4</v>
      </c>
      <c r="L919" s="109">
        <v>67178.76</v>
      </c>
      <c r="M919" s="109">
        <v>2097.64</v>
      </c>
      <c r="N919" s="110">
        <v>102413.0</v>
      </c>
      <c r="O919" s="110">
        <v>101743.0</v>
      </c>
      <c r="P919" s="110">
        <v>52023.0</v>
      </c>
      <c r="Q919" s="110">
        <v>103143.0</v>
      </c>
      <c r="R919" s="50">
        <v>91315.0</v>
      </c>
      <c r="S919" s="111">
        <v>51.0</v>
      </c>
      <c r="T919" s="112">
        <v>37.0</v>
      </c>
      <c r="U919" s="24" t="s">
        <v>48</v>
      </c>
      <c r="V919" s="11" t="s">
        <v>4085</v>
      </c>
      <c r="W919" s="108">
        <v>1.0</v>
      </c>
      <c r="X919" s="113">
        <v>50917.0</v>
      </c>
      <c r="Y919" s="113">
        <v>71518.0</v>
      </c>
      <c r="Z919" s="11">
        <v>154.0</v>
      </c>
      <c r="AA919" s="113">
        <v>52822.0</v>
      </c>
      <c r="AB919" s="109">
        <v>-65660.14</v>
      </c>
      <c r="AC919" s="113">
        <v>42416.0</v>
      </c>
      <c r="AD919" s="108">
        <v>2.0</v>
      </c>
    </row>
    <row r="920">
      <c r="A920" s="11">
        <v>58.0</v>
      </c>
      <c r="B920" s="11">
        <v>8.0</v>
      </c>
      <c r="C920" s="11">
        <v>3.0</v>
      </c>
      <c r="D920" s="17">
        <v>53.0</v>
      </c>
      <c r="E920" s="108">
        <v>4.0</v>
      </c>
      <c r="F920" s="109">
        <v>-94947.5</v>
      </c>
      <c r="G920" s="109">
        <v>27655.65</v>
      </c>
      <c r="H920" s="109">
        <v>70469.66</v>
      </c>
      <c r="I920" s="109">
        <v>32883.86</v>
      </c>
      <c r="J920" s="109">
        <v>95846.58</v>
      </c>
      <c r="K920" s="109">
        <v>-39651.52</v>
      </c>
      <c r="L920" s="109">
        <v>70954.25</v>
      </c>
      <c r="M920" s="109">
        <v>82978.81</v>
      </c>
      <c r="N920" s="110">
        <v>71814.0</v>
      </c>
      <c r="O920" s="110">
        <v>71334.0</v>
      </c>
      <c r="P920" s="110">
        <v>52423.0</v>
      </c>
      <c r="Q920" s="110">
        <v>73134.0</v>
      </c>
      <c r="R920" s="50">
        <v>112022.0</v>
      </c>
      <c r="S920" s="111">
        <v>53.0</v>
      </c>
      <c r="T920" s="112">
        <v>9.0</v>
      </c>
      <c r="U920" s="24" t="s">
        <v>31</v>
      </c>
      <c r="V920" s="11" t="s">
        <v>4074</v>
      </c>
      <c r="W920" s="108">
        <v>4.0</v>
      </c>
      <c r="X920" s="113">
        <v>21418.0</v>
      </c>
      <c r="Y920" s="113">
        <v>91618.0</v>
      </c>
      <c r="Z920" s="11">
        <v>134.0</v>
      </c>
      <c r="AA920" s="113">
        <v>22321.0</v>
      </c>
      <c r="AB920" s="109">
        <v>-79132.47</v>
      </c>
      <c r="AC920" s="113">
        <v>41715.0</v>
      </c>
      <c r="AD920" s="108">
        <v>0.0</v>
      </c>
    </row>
    <row r="921">
      <c r="A921" s="11">
        <v>58.0</v>
      </c>
      <c r="B921" s="11">
        <v>8.0</v>
      </c>
      <c r="C921" s="11">
        <v>4.0</v>
      </c>
      <c r="D921" s="17">
        <v>38.0</v>
      </c>
      <c r="E921" s="108">
        <v>7.0</v>
      </c>
      <c r="F921" s="109">
        <v>64445.45</v>
      </c>
      <c r="G921" s="109">
        <v>99852.7</v>
      </c>
      <c r="H921" s="109">
        <v>-90440.86</v>
      </c>
      <c r="I921" s="109">
        <v>37913.5</v>
      </c>
      <c r="J921" s="109">
        <v>78975.43</v>
      </c>
      <c r="K921" s="109">
        <v>-15972.97</v>
      </c>
      <c r="L921" s="109">
        <v>76928.6</v>
      </c>
      <c r="M921" s="109">
        <v>71282.93</v>
      </c>
      <c r="N921" s="110">
        <v>62213.0</v>
      </c>
      <c r="O921" s="110">
        <v>61733.0</v>
      </c>
      <c r="P921" s="110">
        <v>51823.0</v>
      </c>
      <c r="Q921" s="110">
        <v>63033.0</v>
      </c>
      <c r="R921" s="50">
        <v>122221.0</v>
      </c>
      <c r="S921" s="111">
        <v>51.0</v>
      </c>
      <c r="T921" s="112">
        <v>70.0</v>
      </c>
      <c r="U921" s="24" t="s">
        <v>39</v>
      </c>
      <c r="V921" s="11" t="s">
        <v>4022</v>
      </c>
      <c r="W921" s="108">
        <v>6.0</v>
      </c>
      <c r="X921" s="113">
        <v>92815.0</v>
      </c>
      <c r="Y921" s="113">
        <v>81323.0</v>
      </c>
      <c r="Z921" s="11">
        <v>174.0</v>
      </c>
      <c r="AA921" s="113">
        <v>123123.0</v>
      </c>
      <c r="AB921" s="109">
        <v>27440.88</v>
      </c>
      <c r="AC921" s="113">
        <v>22713.0</v>
      </c>
      <c r="AD921" s="108">
        <v>8.0</v>
      </c>
    </row>
    <row r="922">
      <c r="A922" s="11">
        <v>79.0</v>
      </c>
      <c r="B922" s="11">
        <v>3.0</v>
      </c>
      <c r="C922" s="11">
        <v>4.0</v>
      </c>
      <c r="D922" s="17">
        <v>43.0</v>
      </c>
      <c r="E922" s="108">
        <v>2.0</v>
      </c>
      <c r="F922" s="109">
        <v>-58153.06</v>
      </c>
      <c r="G922" s="109">
        <v>-89940.9</v>
      </c>
      <c r="H922" s="109">
        <v>18086.14</v>
      </c>
      <c r="I922" s="109">
        <v>-53791.13</v>
      </c>
      <c r="J922" s="109">
        <v>5602.35</v>
      </c>
      <c r="K922" s="109">
        <v>-54111.31</v>
      </c>
      <c r="L922" s="109">
        <v>95323.32</v>
      </c>
      <c r="M922" s="109">
        <v>-31617.47</v>
      </c>
      <c r="N922" s="110">
        <v>10511.0</v>
      </c>
      <c r="O922" s="110">
        <v>122840.0</v>
      </c>
      <c r="P922" s="110">
        <v>52123.0</v>
      </c>
      <c r="Q922" s="110">
        <v>123139.0</v>
      </c>
      <c r="R922" s="50">
        <v>62717.0</v>
      </c>
      <c r="S922" s="111">
        <v>54.0</v>
      </c>
      <c r="T922" s="112">
        <v>15.0</v>
      </c>
      <c r="U922" s="24" t="s">
        <v>601</v>
      </c>
      <c r="V922" s="11" t="s">
        <v>4039</v>
      </c>
      <c r="W922" s="108">
        <v>7.0</v>
      </c>
      <c r="X922" s="113">
        <v>32717.0</v>
      </c>
      <c r="Y922" s="113">
        <v>92513.0</v>
      </c>
      <c r="Z922" s="11">
        <v>191.0</v>
      </c>
      <c r="AA922" s="113">
        <v>110916.0</v>
      </c>
      <c r="AB922" s="109">
        <v>36319.32</v>
      </c>
      <c r="AC922" s="113">
        <v>50818.0</v>
      </c>
      <c r="AD922" s="108">
        <v>9.0</v>
      </c>
    </row>
    <row r="923">
      <c r="A923" s="11">
        <v>17.0</v>
      </c>
      <c r="B923" s="11">
        <v>9.0</v>
      </c>
      <c r="C923" s="11">
        <v>2.0</v>
      </c>
      <c r="D923" s="17">
        <v>17.0</v>
      </c>
      <c r="E923" s="108">
        <v>8.0</v>
      </c>
      <c r="F923" s="109">
        <v>-13898.61</v>
      </c>
      <c r="G923" s="109">
        <v>-98762.41</v>
      </c>
      <c r="H923" s="109">
        <v>82433.63</v>
      </c>
      <c r="I923" s="109">
        <v>-19767.39</v>
      </c>
      <c r="J923" s="109">
        <v>-12029.85</v>
      </c>
      <c r="K923" s="109">
        <v>45879.0</v>
      </c>
      <c r="L923" s="109">
        <v>81887.5</v>
      </c>
      <c r="M923" s="109">
        <v>-75469.0</v>
      </c>
      <c r="N923" s="110">
        <v>72112.0</v>
      </c>
      <c r="O923" s="110">
        <v>71632.0</v>
      </c>
      <c r="P923" s="110">
        <v>52123.0</v>
      </c>
      <c r="Q923" s="110">
        <v>73132.0</v>
      </c>
      <c r="R923" s="50">
        <v>61713.0</v>
      </c>
      <c r="S923" s="111">
        <v>54.0</v>
      </c>
      <c r="T923" s="112">
        <v>27.0</v>
      </c>
      <c r="U923" s="24" t="s">
        <v>48</v>
      </c>
      <c r="V923" s="11" t="s">
        <v>3889</v>
      </c>
      <c r="W923" s="108">
        <v>2.0</v>
      </c>
      <c r="X923" s="113">
        <v>101717.0</v>
      </c>
      <c r="Y923" s="113">
        <v>112722.0</v>
      </c>
      <c r="Z923" s="11">
        <v>180.0</v>
      </c>
      <c r="AA923" s="113">
        <v>11920.0</v>
      </c>
      <c r="AB923" s="109">
        <v>47436.8</v>
      </c>
      <c r="AC923" s="113">
        <v>103013.0</v>
      </c>
      <c r="AD923" s="108">
        <v>1.0</v>
      </c>
    </row>
    <row r="924">
      <c r="A924" s="11">
        <v>38.0</v>
      </c>
      <c r="B924" s="11">
        <v>4.0</v>
      </c>
      <c r="C924" s="11">
        <v>2.0</v>
      </c>
      <c r="D924" s="17">
        <v>54.0</v>
      </c>
      <c r="E924" s="108">
        <v>3.0</v>
      </c>
      <c r="F924" s="109">
        <v>56818.91</v>
      </c>
      <c r="G924" s="109">
        <v>-95941.32</v>
      </c>
      <c r="H924" s="109">
        <v>51044.87</v>
      </c>
      <c r="I924" s="109">
        <v>-79312.95</v>
      </c>
      <c r="J924" s="109">
        <v>5757.89</v>
      </c>
      <c r="K924" s="109">
        <v>36001.23</v>
      </c>
      <c r="L924" s="109">
        <v>44934.71</v>
      </c>
      <c r="M924" s="109">
        <v>-33241.96</v>
      </c>
      <c r="N924" s="110">
        <v>110510.0</v>
      </c>
      <c r="O924" s="110">
        <v>103130.0</v>
      </c>
      <c r="P924" s="110">
        <v>51123.0</v>
      </c>
      <c r="Q924" s="110">
        <v>103130.0</v>
      </c>
      <c r="R924" s="50">
        <v>41118.0</v>
      </c>
      <c r="S924" s="111">
        <v>54.0</v>
      </c>
      <c r="T924" s="112">
        <v>60.0</v>
      </c>
      <c r="U924" s="24" t="s">
        <v>603</v>
      </c>
      <c r="V924" s="11" t="s">
        <v>4029</v>
      </c>
      <c r="W924" s="108">
        <v>4.0</v>
      </c>
      <c r="X924" s="113">
        <v>41120.0</v>
      </c>
      <c r="Y924" s="113">
        <v>90319.0</v>
      </c>
      <c r="Z924" s="11">
        <v>101.0</v>
      </c>
      <c r="AA924" s="113">
        <v>71321.0</v>
      </c>
      <c r="AB924" s="109">
        <v>-62191.86</v>
      </c>
      <c r="AC924" s="113">
        <v>32720.0</v>
      </c>
      <c r="AD924" s="108">
        <v>8.0</v>
      </c>
    </row>
    <row r="925">
      <c r="A925" s="11">
        <v>79.0</v>
      </c>
      <c r="B925" s="11">
        <v>3.0</v>
      </c>
      <c r="C925" s="11">
        <v>9.0</v>
      </c>
      <c r="D925" s="17">
        <v>16.0</v>
      </c>
      <c r="E925" s="108">
        <v>0.0</v>
      </c>
      <c r="F925" s="109">
        <v>-78531.83</v>
      </c>
      <c r="G925" s="109">
        <v>82326.9</v>
      </c>
      <c r="H925" s="109">
        <v>72565.25</v>
      </c>
      <c r="I925" s="109">
        <v>-90116.46</v>
      </c>
      <c r="J925" s="109">
        <v>-40028.58</v>
      </c>
      <c r="K925" s="109">
        <v>-10254.81</v>
      </c>
      <c r="L925" s="109">
        <v>-62053.74</v>
      </c>
      <c r="M925" s="109">
        <v>89761.44</v>
      </c>
      <c r="N925" s="110">
        <v>10314.0</v>
      </c>
      <c r="O925" s="110">
        <v>10124.0</v>
      </c>
      <c r="P925" s="110">
        <v>51223.0</v>
      </c>
      <c r="Q925" s="110">
        <v>13124.0</v>
      </c>
      <c r="R925" s="50">
        <v>52917.0</v>
      </c>
      <c r="S925" s="111">
        <v>51.0</v>
      </c>
      <c r="T925" s="112">
        <v>23.0</v>
      </c>
      <c r="U925" s="24" t="s">
        <v>48</v>
      </c>
      <c r="V925" s="11" t="s">
        <v>3892</v>
      </c>
      <c r="W925" s="108">
        <v>2.0</v>
      </c>
      <c r="X925" s="113">
        <v>93021.0</v>
      </c>
      <c r="Y925" s="113">
        <v>71616.0</v>
      </c>
      <c r="Z925" s="11">
        <v>147.0</v>
      </c>
      <c r="AA925" s="113">
        <v>120816.0</v>
      </c>
      <c r="AB925" s="109">
        <v>80618.0</v>
      </c>
      <c r="AC925" s="113">
        <v>62421.0</v>
      </c>
      <c r="AD925" s="108">
        <v>9.0</v>
      </c>
    </row>
    <row r="926">
      <c r="A926" s="11">
        <v>58.0</v>
      </c>
      <c r="B926" s="11">
        <v>9.0</v>
      </c>
      <c r="C926" s="11">
        <v>2.0</v>
      </c>
      <c r="D926" s="17">
        <v>66.0</v>
      </c>
      <c r="E926" s="108">
        <v>5.0</v>
      </c>
      <c r="F926" s="109">
        <v>-36247.14</v>
      </c>
      <c r="G926" s="109">
        <v>-88648.96</v>
      </c>
      <c r="H926" s="109">
        <v>-65158.53</v>
      </c>
      <c r="I926" s="109">
        <v>-73962.28</v>
      </c>
      <c r="J926" s="109">
        <v>-54834.15</v>
      </c>
      <c r="K926" s="109">
        <v>93694.86</v>
      </c>
      <c r="L926" s="109">
        <v>-98314.75</v>
      </c>
      <c r="M926" s="109">
        <v>-11436.67</v>
      </c>
      <c r="N926" s="110">
        <v>72212.0</v>
      </c>
      <c r="O926" s="110">
        <v>71732.0</v>
      </c>
      <c r="P926" s="110">
        <v>50423.0</v>
      </c>
      <c r="Q926" s="110">
        <v>73132.0</v>
      </c>
      <c r="R926" s="50">
        <v>70320.0</v>
      </c>
      <c r="S926" s="111">
        <v>52.0</v>
      </c>
      <c r="T926" s="112">
        <v>90.0</v>
      </c>
      <c r="U926" s="24" t="s">
        <v>39</v>
      </c>
      <c r="V926" s="11" t="s">
        <v>4029</v>
      </c>
      <c r="W926" s="108">
        <v>9.0</v>
      </c>
      <c r="X926" s="113">
        <v>22922.0</v>
      </c>
      <c r="Y926" s="113">
        <v>111816.0</v>
      </c>
      <c r="Z926" s="11">
        <v>186.0</v>
      </c>
      <c r="AA926" s="113">
        <v>72021.0</v>
      </c>
      <c r="AB926" s="109">
        <v>84035.67</v>
      </c>
      <c r="AC926" s="113">
        <v>42718.0</v>
      </c>
      <c r="AD926" s="108">
        <v>8.0</v>
      </c>
    </row>
    <row r="927">
      <c r="A927" s="11">
        <v>38.0</v>
      </c>
      <c r="B927" s="11">
        <v>4.0</v>
      </c>
      <c r="C927" s="11">
        <v>5.0</v>
      </c>
      <c r="D927" s="17">
        <v>50.0</v>
      </c>
      <c r="E927" s="108">
        <v>2.0</v>
      </c>
      <c r="F927" s="109">
        <v>7785.22</v>
      </c>
      <c r="G927" s="109">
        <v>-66107.35</v>
      </c>
      <c r="H927" s="109">
        <v>-55715.44</v>
      </c>
      <c r="I927" s="109">
        <v>-71080.77</v>
      </c>
      <c r="J927" s="109">
        <v>-90153.0</v>
      </c>
      <c r="K927" s="109">
        <v>-41713.37</v>
      </c>
      <c r="L927" s="109">
        <v>99948.69</v>
      </c>
      <c r="M927" s="109">
        <v>69549.3</v>
      </c>
      <c r="N927" s="110">
        <v>51414.0</v>
      </c>
      <c r="O927" s="110">
        <v>50934.0</v>
      </c>
      <c r="P927" s="110">
        <v>50223.0</v>
      </c>
      <c r="Q927" s="110">
        <v>53134.0</v>
      </c>
      <c r="R927" s="50">
        <v>82822.0</v>
      </c>
      <c r="S927" s="111">
        <v>50.0</v>
      </c>
      <c r="T927" s="112">
        <v>50.0</v>
      </c>
      <c r="U927" s="24" t="s">
        <v>601</v>
      </c>
      <c r="V927" s="11" t="s">
        <v>3947</v>
      </c>
      <c r="W927" s="108">
        <v>1.0</v>
      </c>
      <c r="X927" s="113">
        <v>22723.0</v>
      </c>
      <c r="Y927" s="113">
        <v>41713.0</v>
      </c>
      <c r="Z927" s="11">
        <v>160.0</v>
      </c>
      <c r="AA927" s="113">
        <v>60323.0</v>
      </c>
      <c r="AB927" s="109">
        <v>52907.2</v>
      </c>
      <c r="AC927" s="113">
        <v>82714.0</v>
      </c>
      <c r="AD927" s="108">
        <v>6.0</v>
      </c>
    </row>
    <row r="928">
      <c r="A928" s="11">
        <v>79.0</v>
      </c>
      <c r="B928" s="11">
        <v>4.0</v>
      </c>
      <c r="C928" s="11">
        <v>1.0</v>
      </c>
      <c r="D928" s="17">
        <v>70.0</v>
      </c>
      <c r="E928" s="108">
        <v>8.0</v>
      </c>
      <c r="F928" s="109">
        <v>97166.69</v>
      </c>
      <c r="G928" s="109">
        <v>-64894.53</v>
      </c>
      <c r="H928" s="109">
        <v>-11906.59</v>
      </c>
      <c r="I928" s="109">
        <v>-56671.96</v>
      </c>
      <c r="J928" s="109">
        <v>-6418.85</v>
      </c>
      <c r="K928" s="109">
        <v>53677.72</v>
      </c>
      <c r="L928" s="109">
        <v>-12453.17</v>
      </c>
      <c r="M928" s="109">
        <v>58334.53</v>
      </c>
      <c r="N928" s="110">
        <v>103013.0</v>
      </c>
      <c r="O928" s="110">
        <v>102343.0</v>
      </c>
      <c r="P928" s="110">
        <v>52623.0</v>
      </c>
      <c r="Q928" s="110">
        <v>103143.0</v>
      </c>
      <c r="R928" s="50">
        <v>82121.0</v>
      </c>
      <c r="S928" s="111">
        <v>54.0</v>
      </c>
      <c r="T928" s="112">
        <v>8.0</v>
      </c>
      <c r="U928" s="24" t="s">
        <v>48</v>
      </c>
      <c r="V928" s="11" t="s">
        <v>3894</v>
      </c>
      <c r="W928" s="108">
        <v>5.0</v>
      </c>
      <c r="X928" s="113">
        <v>61122.0</v>
      </c>
      <c r="Y928" s="113">
        <v>81919.0</v>
      </c>
      <c r="Z928" s="11">
        <v>177.0</v>
      </c>
      <c r="AA928" s="113">
        <v>30322.0</v>
      </c>
      <c r="AB928" s="109">
        <v>-24056.88</v>
      </c>
      <c r="AC928" s="113">
        <v>31117.0</v>
      </c>
      <c r="AD928" s="108">
        <v>3.0</v>
      </c>
    </row>
    <row r="929">
      <c r="A929" s="11">
        <v>58.0</v>
      </c>
      <c r="B929" s="11">
        <v>9.0</v>
      </c>
      <c r="C929" s="11">
        <v>4.0</v>
      </c>
      <c r="D929" s="17">
        <v>74.0</v>
      </c>
      <c r="E929" s="108">
        <v>1.0</v>
      </c>
      <c r="F929" s="109">
        <v>-97748.76</v>
      </c>
      <c r="G929" s="109">
        <v>-97845.04</v>
      </c>
      <c r="H929" s="109">
        <v>-23589.48</v>
      </c>
      <c r="I929" s="109">
        <v>79504.11</v>
      </c>
      <c r="J929" s="109">
        <v>61447.54</v>
      </c>
      <c r="K929" s="109">
        <v>-1858.23</v>
      </c>
      <c r="L929" s="109">
        <v>89767.03</v>
      </c>
      <c r="M929" s="109">
        <v>30488.91</v>
      </c>
      <c r="N929" s="110">
        <v>21314.0</v>
      </c>
      <c r="O929" s="110">
        <v>21124.0</v>
      </c>
      <c r="P929" s="110">
        <v>51223.0</v>
      </c>
      <c r="Q929" s="110">
        <v>22924.0</v>
      </c>
      <c r="R929" s="50">
        <v>122621.0</v>
      </c>
      <c r="S929" s="111">
        <v>51.0</v>
      </c>
      <c r="T929" s="112">
        <v>88.0</v>
      </c>
      <c r="U929" s="24" t="s">
        <v>48</v>
      </c>
      <c r="V929" s="11" t="s">
        <v>3965</v>
      </c>
      <c r="W929" s="108">
        <v>7.0</v>
      </c>
      <c r="X929" s="113">
        <v>22313.0</v>
      </c>
      <c r="Y929" s="113">
        <v>70622.0</v>
      </c>
      <c r="Z929" s="11">
        <v>195.0</v>
      </c>
      <c r="AA929" s="113">
        <v>51616.0</v>
      </c>
      <c r="AB929" s="109">
        <v>59838.78</v>
      </c>
      <c r="AC929" s="113">
        <v>10717.0</v>
      </c>
      <c r="AD929" s="108">
        <v>7.0</v>
      </c>
    </row>
    <row r="930">
      <c r="A930" s="11">
        <v>99.0</v>
      </c>
      <c r="B930" s="11">
        <v>9.0</v>
      </c>
      <c r="C930" s="11">
        <v>3.0</v>
      </c>
      <c r="D930" s="17">
        <v>73.0</v>
      </c>
      <c r="E930" s="108">
        <v>4.0</v>
      </c>
      <c r="F930" s="109">
        <v>52369.55</v>
      </c>
      <c r="G930" s="109">
        <v>41922.81</v>
      </c>
      <c r="H930" s="109">
        <v>61433.02</v>
      </c>
      <c r="I930" s="109">
        <v>-30063.14</v>
      </c>
      <c r="J930" s="109">
        <v>31375.44</v>
      </c>
      <c r="K930" s="109">
        <v>-32738.42</v>
      </c>
      <c r="L930" s="109">
        <v>-13120.72</v>
      </c>
      <c r="M930" s="109">
        <v>-6464.84</v>
      </c>
      <c r="N930" s="110">
        <v>90310.0</v>
      </c>
      <c r="O930" s="110">
        <v>82930.0</v>
      </c>
      <c r="P930" s="110">
        <v>52423.0</v>
      </c>
      <c r="Q930" s="110">
        <v>83130.0</v>
      </c>
      <c r="R930" s="50">
        <v>41713.0</v>
      </c>
      <c r="S930" s="111">
        <v>50.0</v>
      </c>
      <c r="T930" s="112">
        <v>75.0</v>
      </c>
      <c r="U930" s="24" t="s">
        <v>39</v>
      </c>
      <c r="V930" s="11" t="s">
        <v>4027</v>
      </c>
      <c r="W930" s="108">
        <v>5.0</v>
      </c>
      <c r="X930" s="113">
        <v>93121.0</v>
      </c>
      <c r="Y930" s="113">
        <v>31923.0</v>
      </c>
      <c r="Z930" s="11">
        <v>183.0</v>
      </c>
      <c r="AA930" s="113">
        <v>101016.0</v>
      </c>
      <c r="AB930" s="109">
        <v>-48682.06</v>
      </c>
      <c r="AC930" s="113">
        <v>22020.0</v>
      </c>
      <c r="AD930" s="108">
        <v>7.0</v>
      </c>
    </row>
    <row r="931">
      <c r="A931" s="11">
        <v>58.0</v>
      </c>
      <c r="B931" s="11">
        <v>9.0</v>
      </c>
      <c r="C931" s="11">
        <v>8.0</v>
      </c>
      <c r="D931" s="17">
        <v>50.0</v>
      </c>
      <c r="E931" s="108">
        <v>1.0</v>
      </c>
      <c r="F931" s="109">
        <v>-22265.24</v>
      </c>
      <c r="G931" s="109">
        <v>27869.79</v>
      </c>
      <c r="H931" s="109">
        <v>-34048.37</v>
      </c>
      <c r="I931" s="109">
        <v>19813.07</v>
      </c>
      <c r="J931" s="109">
        <v>53086.6</v>
      </c>
      <c r="K931" s="109">
        <v>47761.66</v>
      </c>
      <c r="L931" s="109">
        <v>-96911.11</v>
      </c>
      <c r="M931" s="109">
        <v>47991.45</v>
      </c>
      <c r="N931" s="110">
        <v>121313.0</v>
      </c>
      <c r="O931" s="110">
        <v>121123.0</v>
      </c>
      <c r="P931" s="110">
        <v>52623.0</v>
      </c>
      <c r="Q931" s="110">
        <v>123122.0</v>
      </c>
      <c r="R931" s="50">
        <v>31917.0</v>
      </c>
      <c r="S931" s="111">
        <v>52.0</v>
      </c>
      <c r="T931" s="112">
        <v>46.0</v>
      </c>
      <c r="U931" s="24" t="s">
        <v>603</v>
      </c>
      <c r="V931" s="11" t="s">
        <v>3912</v>
      </c>
      <c r="W931" s="108">
        <v>5.0</v>
      </c>
      <c r="X931" s="113">
        <v>42919.0</v>
      </c>
      <c r="Y931" s="113">
        <v>51923.0</v>
      </c>
      <c r="Z931" s="11">
        <v>123.0</v>
      </c>
      <c r="AA931" s="113">
        <v>71218.0</v>
      </c>
      <c r="AB931" s="109">
        <v>-24251.25</v>
      </c>
      <c r="AC931" s="113">
        <v>12217.0</v>
      </c>
      <c r="AD931" s="108">
        <v>7.0</v>
      </c>
    </row>
    <row r="932">
      <c r="A932" s="11">
        <v>99.0</v>
      </c>
      <c r="B932" s="11">
        <v>9.0</v>
      </c>
      <c r="C932" s="11">
        <v>5.0</v>
      </c>
      <c r="D932" s="17">
        <v>47.0</v>
      </c>
      <c r="E932" s="108">
        <v>9.0</v>
      </c>
      <c r="F932" s="109">
        <v>-15374.94</v>
      </c>
      <c r="G932" s="109">
        <v>-93734.98</v>
      </c>
      <c r="H932" s="109">
        <v>4171.18</v>
      </c>
      <c r="I932" s="109">
        <v>88971.91</v>
      </c>
      <c r="J932" s="109">
        <v>13937.22</v>
      </c>
      <c r="K932" s="109">
        <v>79561.81</v>
      </c>
      <c r="L932" s="109">
        <v>-16300.77</v>
      </c>
      <c r="M932" s="109">
        <v>-9593.19</v>
      </c>
      <c r="N932" s="110">
        <v>90313.0</v>
      </c>
      <c r="O932" s="110">
        <v>82743.0</v>
      </c>
      <c r="P932" s="110">
        <v>51823.0</v>
      </c>
      <c r="Q932" s="110">
        <v>83143.0</v>
      </c>
      <c r="R932" s="50">
        <v>102218.0</v>
      </c>
      <c r="S932" s="111">
        <v>54.0</v>
      </c>
      <c r="T932" s="112">
        <v>92.0</v>
      </c>
      <c r="U932" s="24" t="s">
        <v>603</v>
      </c>
      <c r="V932" s="11" t="s">
        <v>4017</v>
      </c>
      <c r="W932" s="108">
        <v>2.0</v>
      </c>
      <c r="X932" s="113">
        <v>32421.0</v>
      </c>
      <c r="Y932" s="113">
        <v>12020.0</v>
      </c>
      <c r="Z932" s="11">
        <v>191.0</v>
      </c>
      <c r="AA932" s="113">
        <v>41723.0</v>
      </c>
      <c r="AB932" s="109">
        <v>85253.48</v>
      </c>
      <c r="AC932" s="113">
        <v>71217.0</v>
      </c>
      <c r="AD932" s="108">
        <v>0.0</v>
      </c>
    </row>
    <row r="933">
      <c r="A933" s="11">
        <v>38.0</v>
      </c>
      <c r="B933" s="11">
        <v>5.0</v>
      </c>
      <c r="C933" s="11">
        <v>6.0</v>
      </c>
      <c r="D933" s="17">
        <v>57.0</v>
      </c>
      <c r="E933" s="108">
        <v>3.0</v>
      </c>
      <c r="F933" s="109">
        <v>82498.65</v>
      </c>
      <c r="G933" s="109">
        <v>-83578.73</v>
      </c>
      <c r="H933" s="109">
        <v>55352.24</v>
      </c>
      <c r="I933" s="109">
        <v>-72347.06</v>
      </c>
      <c r="J933" s="109">
        <v>-96938.09</v>
      </c>
      <c r="K933" s="109">
        <v>-5782.0</v>
      </c>
      <c r="L933" s="109">
        <v>-31391.29</v>
      </c>
      <c r="M933" s="109">
        <v>94374.3</v>
      </c>
      <c r="N933" s="110">
        <v>102511.0</v>
      </c>
      <c r="O933" s="110">
        <v>102031.0</v>
      </c>
      <c r="P933" s="110">
        <v>50623.0</v>
      </c>
      <c r="Q933" s="110">
        <v>103131.0</v>
      </c>
      <c r="R933" s="50">
        <v>122315.0</v>
      </c>
      <c r="S933" s="111">
        <v>50.0</v>
      </c>
      <c r="T933" s="112">
        <v>58.0</v>
      </c>
      <c r="U933" s="24" t="s">
        <v>31</v>
      </c>
      <c r="V933" s="11" t="s">
        <v>3994</v>
      </c>
      <c r="W933" s="108">
        <v>4.0</v>
      </c>
      <c r="X933" s="113">
        <v>91121.0</v>
      </c>
      <c r="Y933" s="113">
        <v>82516.0</v>
      </c>
      <c r="Z933" s="11">
        <v>149.0</v>
      </c>
      <c r="AA933" s="113">
        <v>40415.0</v>
      </c>
      <c r="AB933" s="109">
        <v>-67774.78</v>
      </c>
      <c r="AC933" s="113">
        <v>51013.0</v>
      </c>
      <c r="AD933" s="108">
        <v>8.0</v>
      </c>
    </row>
    <row r="934">
      <c r="A934" s="11">
        <v>38.0</v>
      </c>
      <c r="B934" s="11">
        <v>5.0</v>
      </c>
      <c r="C934" s="11">
        <v>9.0</v>
      </c>
      <c r="D934" s="17">
        <v>51.0</v>
      </c>
      <c r="E934" s="108">
        <v>7.0</v>
      </c>
      <c r="F934" s="109">
        <v>-97759.99</v>
      </c>
      <c r="G934" s="109">
        <v>-89208.12</v>
      </c>
      <c r="H934" s="109">
        <v>79131.12</v>
      </c>
      <c r="I934" s="109">
        <v>16131.65</v>
      </c>
      <c r="J934" s="109">
        <v>-20098.09</v>
      </c>
      <c r="K934" s="109">
        <v>20812.82</v>
      </c>
      <c r="L934" s="109">
        <v>-63657.31</v>
      </c>
      <c r="M934" s="109">
        <v>3863.39</v>
      </c>
      <c r="N934" s="110">
        <v>11411.0</v>
      </c>
      <c r="O934" s="110">
        <v>10641.0</v>
      </c>
      <c r="P934" s="110">
        <v>52223.0</v>
      </c>
      <c r="Q934" s="110">
        <v>13141.0</v>
      </c>
      <c r="R934" s="50">
        <v>120814.0</v>
      </c>
      <c r="S934" s="111">
        <v>52.0</v>
      </c>
      <c r="T934" s="112">
        <v>46.0</v>
      </c>
      <c r="U934" s="24" t="s">
        <v>601</v>
      </c>
      <c r="V934" s="11" t="s">
        <v>4101</v>
      </c>
      <c r="W934" s="108">
        <v>1.0</v>
      </c>
      <c r="X934" s="113">
        <v>101916.0</v>
      </c>
      <c r="Y934" s="113">
        <v>21213.0</v>
      </c>
      <c r="Z934" s="11">
        <v>132.0</v>
      </c>
      <c r="AA934" s="113">
        <v>43018.0</v>
      </c>
      <c r="AB934" s="109">
        <v>-30463.67</v>
      </c>
      <c r="AC934" s="113">
        <v>80622.0</v>
      </c>
      <c r="AD934" s="108">
        <v>8.0</v>
      </c>
    </row>
    <row r="935">
      <c r="A935" s="11">
        <v>18.0</v>
      </c>
      <c r="B935" s="11">
        <v>1.0</v>
      </c>
      <c r="C935" s="11">
        <v>2.0</v>
      </c>
      <c r="D935" s="17">
        <v>73.0</v>
      </c>
      <c r="E935" s="108">
        <v>0.0</v>
      </c>
      <c r="F935" s="109">
        <v>-82218.68</v>
      </c>
      <c r="G935" s="109">
        <v>57352.78</v>
      </c>
      <c r="H935" s="109">
        <v>-4952.66</v>
      </c>
      <c r="I935" s="109">
        <v>-36944.91</v>
      </c>
      <c r="J935" s="109">
        <v>-76341.98</v>
      </c>
      <c r="K935" s="109">
        <v>59920.87</v>
      </c>
      <c r="L935" s="109">
        <v>90208.24</v>
      </c>
      <c r="M935" s="109">
        <v>-80859.59</v>
      </c>
      <c r="N935" s="110">
        <v>83110.0</v>
      </c>
      <c r="O935" s="110">
        <v>82340.0</v>
      </c>
      <c r="P935" s="110">
        <v>52923.0</v>
      </c>
      <c r="Q935" s="110">
        <v>83140.0</v>
      </c>
      <c r="R935" s="50">
        <v>20817.0</v>
      </c>
      <c r="S935" s="111">
        <v>53.0</v>
      </c>
      <c r="T935" s="112">
        <v>21.0</v>
      </c>
      <c r="U935" s="24" t="s">
        <v>31</v>
      </c>
      <c r="V935" s="11" t="s">
        <v>4026</v>
      </c>
      <c r="W935" s="108">
        <v>9.0</v>
      </c>
      <c r="X935" s="113">
        <v>43018.0</v>
      </c>
      <c r="Y935" s="113">
        <v>42522.0</v>
      </c>
      <c r="Z935" s="11">
        <v>158.0</v>
      </c>
      <c r="AA935" s="113">
        <v>110315.0</v>
      </c>
      <c r="AB935" s="109">
        <v>34529.74</v>
      </c>
      <c r="AC935" s="113">
        <v>51914.0</v>
      </c>
      <c r="AD935" s="108">
        <v>6.0</v>
      </c>
    </row>
    <row r="936">
      <c r="A936" s="11">
        <v>18.0</v>
      </c>
      <c r="B936" s="11">
        <v>1.0</v>
      </c>
      <c r="C936" s="11">
        <v>3.0</v>
      </c>
      <c r="D936" s="17">
        <v>40.0</v>
      </c>
      <c r="E936" s="108">
        <v>1.0</v>
      </c>
      <c r="F936" s="109">
        <v>19820.84</v>
      </c>
      <c r="G936" s="109">
        <v>-51210.37</v>
      </c>
      <c r="H936" s="109">
        <v>88053.99</v>
      </c>
      <c r="I936" s="109">
        <v>67510.88</v>
      </c>
      <c r="J936" s="109">
        <v>-90524.96</v>
      </c>
      <c r="K936" s="109">
        <v>97951.06</v>
      </c>
      <c r="L936" s="109">
        <v>40992.55</v>
      </c>
      <c r="M936" s="109">
        <v>75228.98</v>
      </c>
      <c r="N936" s="110">
        <v>112910.0</v>
      </c>
      <c r="O936" s="110">
        <v>112140.0</v>
      </c>
      <c r="P936" s="110">
        <v>52523.0</v>
      </c>
      <c r="Q936" s="110">
        <v>113040.0</v>
      </c>
      <c r="R936" s="50">
        <v>31315.0</v>
      </c>
      <c r="S936" s="111">
        <v>51.0</v>
      </c>
      <c r="T936" s="112">
        <v>44.0</v>
      </c>
      <c r="U936" s="24" t="s">
        <v>603</v>
      </c>
      <c r="V936" s="11" t="s">
        <v>3962</v>
      </c>
      <c r="W936" s="108">
        <v>9.0</v>
      </c>
      <c r="X936" s="113">
        <v>41422.0</v>
      </c>
      <c r="Y936" s="113">
        <v>70817.0</v>
      </c>
      <c r="Z936" s="11">
        <v>167.0</v>
      </c>
      <c r="AA936" s="113">
        <v>10214.0</v>
      </c>
      <c r="AB936" s="109">
        <v>78825.87</v>
      </c>
      <c r="AC936" s="113">
        <v>12115.0</v>
      </c>
      <c r="AD936" s="108">
        <v>5.0</v>
      </c>
    </row>
    <row r="937">
      <c r="A937" s="11">
        <v>79.0</v>
      </c>
      <c r="B937" s="11">
        <v>5.0</v>
      </c>
      <c r="C937" s="11">
        <v>7.0</v>
      </c>
      <c r="D937" s="17">
        <v>49.0</v>
      </c>
      <c r="E937" s="108">
        <v>8.0</v>
      </c>
      <c r="F937" s="109">
        <v>-77318.12</v>
      </c>
      <c r="G937" s="109">
        <v>-67262.58</v>
      </c>
      <c r="H937" s="109">
        <v>16203.46</v>
      </c>
      <c r="I937" s="109">
        <v>-70027.68</v>
      </c>
      <c r="J937" s="109">
        <v>17504.06</v>
      </c>
      <c r="K937" s="109">
        <v>-17053.9</v>
      </c>
      <c r="L937" s="109">
        <v>-17429.47</v>
      </c>
      <c r="M937" s="109">
        <v>-49766.7</v>
      </c>
      <c r="N937" s="110">
        <v>41313.0</v>
      </c>
      <c r="O937" s="110">
        <v>40643.0</v>
      </c>
      <c r="P937" s="110">
        <v>51023.0</v>
      </c>
      <c r="Q937" s="110">
        <v>43043.0</v>
      </c>
      <c r="R937" s="50">
        <v>111014.0</v>
      </c>
      <c r="S937" s="111">
        <v>53.0</v>
      </c>
      <c r="T937" s="112">
        <v>95.0</v>
      </c>
      <c r="U937" s="24" t="s">
        <v>601</v>
      </c>
      <c r="V937" s="11" t="s">
        <v>3920</v>
      </c>
      <c r="W937" s="108">
        <v>9.0</v>
      </c>
      <c r="X937" s="113">
        <v>50320.0</v>
      </c>
      <c r="Y937" s="113">
        <v>21314.0</v>
      </c>
      <c r="Z937" s="11">
        <v>121.0</v>
      </c>
      <c r="AA937" s="113">
        <v>100216.0</v>
      </c>
      <c r="AB937" s="109">
        <v>-12093.24</v>
      </c>
      <c r="AC937" s="113">
        <v>112114.0</v>
      </c>
      <c r="AD937" s="108">
        <v>3.0</v>
      </c>
    </row>
    <row r="938">
      <c r="A938" s="11">
        <v>59.0</v>
      </c>
      <c r="B938" s="11">
        <v>1.0</v>
      </c>
      <c r="C938" s="11">
        <v>3.0</v>
      </c>
      <c r="D938" s="17">
        <v>31.0</v>
      </c>
      <c r="E938" s="108">
        <v>0.0</v>
      </c>
      <c r="F938" s="109">
        <v>-99099.64</v>
      </c>
      <c r="G938" s="109">
        <v>-91765.06</v>
      </c>
      <c r="H938" s="109">
        <v>78647.76</v>
      </c>
      <c r="I938" s="109">
        <v>-81893.48</v>
      </c>
      <c r="J938" s="109">
        <v>3290.94</v>
      </c>
      <c r="K938" s="109">
        <v>-28867.55</v>
      </c>
      <c r="L938" s="109">
        <v>-70480.15</v>
      </c>
      <c r="M938" s="109">
        <v>11694.83</v>
      </c>
      <c r="N938" s="110">
        <v>42314.0</v>
      </c>
      <c r="O938" s="110">
        <v>42024.0</v>
      </c>
      <c r="P938" s="110">
        <v>52523.0</v>
      </c>
      <c r="Q938" s="110">
        <v>43024.0</v>
      </c>
      <c r="R938" s="50">
        <v>32017.0</v>
      </c>
      <c r="S938" s="111">
        <v>50.0</v>
      </c>
      <c r="T938" s="112">
        <v>69.0</v>
      </c>
      <c r="U938" s="24" t="s">
        <v>31</v>
      </c>
      <c r="V938" s="11" t="s">
        <v>3870</v>
      </c>
      <c r="W938" s="108">
        <v>6.0</v>
      </c>
      <c r="X938" s="113">
        <v>32916.0</v>
      </c>
      <c r="Y938" s="113">
        <v>100914.0</v>
      </c>
      <c r="Z938" s="11">
        <v>136.0</v>
      </c>
      <c r="AA938" s="113">
        <v>41021.0</v>
      </c>
      <c r="AB938" s="109">
        <v>41027.2</v>
      </c>
      <c r="AC938" s="113">
        <v>91718.0</v>
      </c>
      <c r="AD938" s="108">
        <v>7.0</v>
      </c>
    </row>
    <row r="939">
      <c r="A939" s="11">
        <v>38.0</v>
      </c>
      <c r="B939" s="11">
        <v>6.0</v>
      </c>
      <c r="C939" s="11">
        <v>9.0</v>
      </c>
      <c r="D939" s="17">
        <v>41.0</v>
      </c>
      <c r="E939" s="108">
        <v>6.0</v>
      </c>
      <c r="F939" s="109">
        <v>-97678.53</v>
      </c>
      <c r="G939" s="109">
        <v>42176.85</v>
      </c>
      <c r="H939" s="109">
        <v>-17651.54</v>
      </c>
      <c r="I939" s="109">
        <v>87955.43</v>
      </c>
      <c r="J939" s="109">
        <v>42880.18</v>
      </c>
      <c r="K939" s="109">
        <v>20064.61</v>
      </c>
      <c r="L939" s="109">
        <v>69198.86</v>
      </c>
      <c r="M939" s="109">
        <v>-15970.89</v>
      </c>
      <c r="N939" s="110">
        <v>22514.0</v>
      </c>
      <c r="O939" s="110">
        <v>21844.0</v>
      </c>
      <c r="P939" s="110">
        <v>51923.0</v>
      </c>
      <c r="Q939" s="110">
        <v>22944.0</v>
      </c>
      <c r="R939" s="50">
        <v>121520.0</v>
      </c>
      <c r="S939" s="111">
        <v>55.0</v>
      </c>
      <c r="T939" s="112">
        <v>72.0</v>
      </c>
      <c r="U939" s="24" t="s">
        <v>31</v>
      </c>
      <c r="V939" s="11" t="s">
        <v>3876</v>
      </c>
      <c r="W939" s="108">
        <v>5.0</v>
      </c>
      <c r="X939" s="113">
        <v>102419.0</v>
      </c>
      <c r="Y939" s="113">
        <v>91020.0</v>
      </c>
      <c r="Z939" s="11">
        <v>190.0</v>
      </c>
      <c r="AA939" s="113">
        <v>122319.0</v>
      </c>
      <c r="AB939" s="109">
        <v>99386.98</v>
      </c>
      <c r="AC939" s="113">
        <v>42315.0</v>
      </c>
      <c r="AD939" s="108">
        <v>3.0</v>
      </c>
    </row>
    <row r="940">
      <c r="A940" s="11">
        <v>38.0</v>
      </c>
      <c r="B940" s="11">
        <v>7.0</v>
      </c>
      <c r="C940" s="11">
        <v>2.0</v>
      </c>
      <c r="D940" s="17">
        <v>64.0</v>
      </c>
      <c r="E940" s="108">
        <v>0.0</v>
      </c>
      <c r="F940" s="109">
        <v>-33057.97</v>
      </c>
      <c r="G940" s="109">
        <v>76227.39</v>
      </c>
      <c r="H940" s="109">
        <v>19008.06</v>
      </c>
      <c r="I940" s="109">
        <v>-93296.7</v>
      </c>
      <c r="J940" s="109">
        <v>68269.47</v>
      </c>
      <c r="K940" s="109">
        <v>36700.29</v>
      </c>
      <c r="L940" s="109">
        <v>-50343.9</v>
      </c>
      <c r="M940" s="109">
        <v>23921.74</v>
      </c>
      <c r="N940" s="110">
        <v>122313.0</v>
      </c>
      <c r="O940" s="110">
        <v>121833.0</v>
      </c>
      <c r="P940" s="110">
        <v>52823.0</v>
      </c>
      <c r="Q940" s="110">
        <v>123132.0</v>
      </c>
      <c r="R940" s="50">
        <v>121013.0</v>
      </c>
      <c r="S940" s="111">
        <v>50.0</v>
      </c>
      <c r="T940" s="112">
        <v>18.0</v>
      </c>
      <c r="U940" s="24" t="s">
        <v>31</v>
      </c>
      <c r="V940" s="11" t="s">
        <v>3892</v>
      </c>
      <c r="W940" s="108">
        <v>6.0</v>
      </c>
      <c r="X940" s="113">
        <v>92821.0</v>
      </c>
      <c r="Y940" s="113">
        <v>72515.0</v>
      </c>
      <c r="Z940" s="11">
        <v>161.0</v>
      </c>
      <c r="AA940" s="113">
        <v>21023.0</v>
      </c>
      <c r="AB940" s="109">
        <v>31949.86</v>
      </c>
      <c r="AC940" s="113">
        <v>72415.0</v>
      </c>
      <c r="AD940" s="108">
        <v>0.0</v>
      </c>
    </row>
    <row r="941">
      <c r="A941" s="11">
        <v>79.0</v>
      </c>
      <c r="B941" s="11">
        <v>6.0</v>
      </c>
      <c r="C941" s="11">
        <v>8.0</v>
      </c>
      <c r="D941" s="17">
        <v>53.0</v>
      </c>
      <c r="E941" s="108">
        <v>9.0</v>
      </c>
      <c r="F941" s="109">
        <v>31059.84</v>
      </c>
      <c r="G941" s="109">
        <v>1240.53</v>
      </c>
      <c r="H941" s="109">
        <v>-73619.08</v>
      </c>
      <c r="I941" s="109">
        <v>-33072.42</v>
      </c>
      <c r="J941" s="109">
        <v>11627.89</v>
      </c>
      <c r="K941" s="109">
        <v>-96821.72</v>
      </c>
      <c r="L941" s="109">
        <v>77754.1</v>
      </c>
      <c r="M941" s="109">
        <v>87431.09</v>
      </c>
      <c r="N941" s="110">
        <v>53012.0</v>
      </c>
      <c r="O941" s="110">
        <v>52342.0</v>
      </c>
      <c r="P941" s="110">
        <v>50723.0</v>
      </c>
      <c r="Q941" s="110">
        <v>53142.0</v>
      </c>
      <c r="R941" s="50">
        <v>12013.0</v>
      </c>
      <c r="S941" s="111">
        <v>53.0</v>
      </c>
      <c r="T941" s="112">
        <v>69.0</v>
      </c>
      <c r="U941" s="24" t="s">
        <v>601</v>
      </c>
      <c r="V941" s="11" t="s">
        <v>4032</v>
      </c>
      <c r="W941" s="108">
        <v>5.0</v>
      </c>
      <c r="X941" s="113">
        <v>20319.0</v>
      </c>
      <c r="Y941" s="113">
        <v>81123.0</v>
      </c>
      <c r="Z941" s="11">
        <v>167.0</v>
      </c>
      <c r="AA941" s="113">
        <v>112716.0</v>
      </c>
      <c r="AB941" s="109">
        <v>-43730.69</v>
      </c>
      <c r="AC941" s="113">
        <v>111120.0</v>
      </c>
      <c r="AD941" s="108">
        <v>8.0</v>
      </c>
    </row>
    <row r="942">
      <c r="A942" s="11">
        <v>59.0</v>
      </c>
      <c r="B942" s="11">
        <v>2.0</v>
      </c>
      <c r="C942" s="11">
        <v>2.0</v>
      </c>
      <c r="D942" s="17">
        <v>72.0</v>
      </c>
      <c r="E942" s="108">
        <v>1.0</v>
      </c>
      <c r="F942" s="109">
        <v>-18685.53</v>
      </c>
      <c r="G942" s="109">
        <v>6630.98</v>
      </c>
      <c r="H942" s="109">
        <v>-93515.54</v>
      </c>
      <c r="I942" s="109">
        <v>-42999.0</v>
      </c>
      <c r="J942" s="109">
        <v>-74968.73</v>
      </c>
      <c r="K942" s="109">
        <v>34709.62</v>
      </c>
      <c r="L942" s="109">
        <v>14596.56</v>
      </c>
      <c r="M942" s="109">
        <v>17144.14</v>
      </c>
      <c r="N942" s="110">
        <v>32414.0</v>
      </c>
      <c r="O942" s="110">
        <v>32124.0</v>
      </c>
      <c r="P942" s="110">
        <v>53023.0</v>
      </c>
      <c r="Q942" s="110">
        <v>33124.0</v>
      </c>
      <c r="R942" s="50">
        <v>71217.0</v>
      </c>
      <c r="S942" s="111">
        <v>54.0</v>
      </c>
      <c r="T942" s="112">
        <v>69.0</v>
      </c>
      <c r="U942" s="24" t="s">
        <v>39</v>
      </c>
      <c r="V942" s="11" t="s">
        <v>3949</v>
      </c>
      <c r="W942" s="108">
        <v>7.0</v>
      </c>
      <c r="X942" s="113">
        <v>42519.0</v>
      </c>
      <c r="Y942" s="113">
        <v>111421.0</v>
      </c>
      <c r="Z942" s="11">
        <v>154.0</v>
      </c>
      <c r="AA942" s="113">
        <v>32315.0</v>
      </c>
      <c r="AB942" s="109">
        <v>37790.98</v>
      </c>
      <c r="AC942" s="113">
        <v>32613.0</v>
      </c>
      <c r="AD942" s="108">
        <v>0.0</v>
      </c>
    </row>
    <row r="943">
      <c r="A943" s="11">
        <v>59.0</v>
      </c>
      <c r="B943" s="11">
        <v>2.0</v>
      </c>
      <c r="C943" s="11">
        <v>5.0</v>
      </c>
      <c r="D943" s="17">
        <v>99.0</v>
      </c>
      <c r="E943" s="108">
        <v>1.0</v>
      </c>
      <c r="F943" s="109">
        <v>87732.5</v>
      </c>
      <c r="G943" s="109">
        <v>84965.9</v>
      </c>
      <c r="H943" s="109">
        <v>-52789.11</v>
      </c>
      <c r="I943" s="109">
        <v>-649.78</v>
      </c>
      <c r="J943" s="109">
        <v>26017.54</v>
      </c>
      <c r="K943" s="109">
        <v>41491.76</v>
      </c>
      <c r="L943" s="109">
        <v>-11029.82</v>
      </c>
      <c r="M943" s="109">
        <v>97591.41</v>
      </c>
      <c r="N943" s="110">
        <v>122412.0</v>
      </c>
      <c r="O943" s="110">
        <v>121932.0</v>
      </c>
      <c r="P943" s="110">
        <v>50823.0</v>
      </c>
      <c r="Q943" s="110">
        <v>123131.0</v>
      </c>
      <c r="R943" s="50">
        <v>110516.0</v>
      </c>
      <c r="S943" s="111">
        <v>50.0</v>
      </c>
      <c r="T943" s="112">
        <v>26.0</v>
      </c>
      <c r="U943" s="24" t="s">
        <v>31</v>
      </c>
      <c r="V943" s="11" t="s">
        <v>3958</v>
      </c>
      <c r="W943" s="108">
        <v>9.0</v>
      </c>
      <c r="X943" s="113">
        <v>90920.0</v>
      </c>
      <c r="Y943" s="113">
        <v>100723.0</v>
      </c>
      <c r="Z943" s="11">
        <v>134.0</v>
      </c>
      <c r="AA943" s="113">
        <v>100322.0</v>
      </c>
      <c r="AB943" s="109">
        <v>7911.27</v>
      </c>
      <c r="AC943" s="113">
        <v>10618.0</v>
      </c>
      <c r="AD943" s="108">
        <v>0.0</v>
      </c>
    </row>
    <row r="944">
      <c r="A944" s="11">
        <v>38.0</v>
      </c>
      <c r="B944" s="11">
        <v>7.0</v>
      </c>
      <c r="C944" s="11">
        <v>7.0</v>
      </c>
      <c r="D944" s="17">
        <v>74.0</v>
      </c>
      <c r="E944" s="108">
        <v>7.0</v>
      </c>
      <c r="F944" s="109">
        <v>10029.51</v>
      </c>
      <c r="G944" s="109">
        <v>-29675.87</v>
      </c>
      <c r="H944" s="109">
        <v>-92212.17</v>
      </c>
      <c r="I944" s="109">
        <v>-60898.83</v>
      </c>
      <c r="J944" s="109">
        <v>66955.0</v>
      </c>
      <c r="K944" s="109">
        <v>54598.18</v>
      </c>
      <c r="L944" s="109">
        <v>-62233.97</v>
      </c>
      <c r="M944" s="109">
        <v>-49746.16</v>
      </c>
      <c r="N944" s="110">
        <v>121111.0</v>
      </c>
      <c r="O944" s="110">
        <v>120631.0</v>
      </c>
      <c r="P944" s="110">
        <v>52623.0</v>
      </c>
      <c r="Q944" s="110">
        <v>123130.0</v>
      </c>
      <c r="R944" s="50">
        <v>110922.0</v>
      </c>
      <c r="S944" s="111">
        <v>50.0</v>
      </c>
      <c r="T944" s="112">
        <v>43.0</v>
      </c>
      <c r="U944" s="24" t="s">
        <v>48</v>
      </c>
      <c r="V944" s="11" t="s">
        <v>3949</v>
      </c>
      <c r="W944" s="108">
        <v>2.0</v>
      </c>
      <c r="X944" s="113">
        <v>61114.0</v>
      </c>
      <c r="Y944" s="113">
        <v>90923.0</v>
      </c>
      <c r="Z944" s="11">
        <v>113.0</v>
      </c>
      <c r="AA944" s="113">
        <v>42819.0</v>
      </c>
      <c r="AB944" s="109">
        <v>-34033.63</v>
      </c>
      <c r="AC944" s="113">
        <v>120121.0</v>
      </c>
      <c r="AD944" s="108">
        <v>3.0</v>
      </c>
    </row>
    <row r="945">
      <c r="A945" s="11">
        <v>79.0</v>
      </c>
      <c r="B945" s="11">
        <v>7.0</v>
      </c>
      <c r="C945" s="11">
        <v>6.0</v>
      </c>
      <c r="D945" s="17">
        <v>31.0</v>
      </c>
      <c r="E945" s="108">
        <v>2.0</v>
      </c>
      <c r="F945" s="109">
        <v>9166.41</v>
      </c>
      <c r="G945" s="109">
        <v>-3817.48</v>
      </c>
      <c r="H945" s="109">
        <v>-5455.25</v>
      </c>
      <c r="I945" s="109">
        <v>85997.61</v>
      </c>
      <c r="J945" s="109">
        <v>-12975.36</v>
      </c>
      <c r="K945" s="109">
        <v>-54287.48</v>
      </c>
      <c r="L945" s="109">
        <v>85149.91</v>
      </c>
      <c r="M945" s="109">
        <v>-16089.62</v>
      </c>
      <c r="N945" s="110">
        <v>40514.0</v>
      </c>
      <c r="O945" s="110">
        <v>32844.0</v>
      </c>
      <c r="P945" s="110">
        <v>50123.0</v>
      </c>
      <c r="Q945" s="110">
        <v>33144.0</v>
      </c>
      <c r="R945" s="50">
        <v>20819.0</v>
      </c>
      <c r="S945" s="111">
        <v>55.0</v>
      </c>
      <c r="T945" s="112">
        <v>2.0</v>
      </c>
      <c r="U945" s="24" t="s">
        <v>601</v>
      </c>
      <c r="V945" s="11" t="s">
        <v>4023</v>
      </c>
      <c r="W945" s="108">
        <v>6.0</v>
      </c>
      <c r="X945" s="113">
        <v>40317.0</v>
      </c>
      <c r="Y945" s="113">
        <v>91121.0</v>
      </c>
      <c r="Z945" s="11">
        <v>116.0</v>
      </c>
      <c r="AA945" s="113">
        <v>122917.0</v>
      </c>
      <c r="AB945" s="109">
        <v>73670.83</v>
      </c>
      <c r="AC945" s="113">
        <v>42518.0</v>
      </c>
      <c r="AD945" s="108">
        <v>3.0</v>
      </c>
    </row>
    <row r="946">
      <c r="A946" s="11">
        <v>59.0</v>
      </c>
      <c r="B946" s="11">
        <v>3.0</v>
      </c>
      <c r="C946" s="11">
        <v>2.0</v>
      </c>
      <c r="D946" s="17">
        <v>53.0</v>
      </c>
      <c r="E946" s="108">
        <v>8.0</v>
      </c>
      <c r="F946" s="109">
        <v>62510.54</v>
      </c>
      <c r="G946" s="109">
        <v>-29780.27</v>
      </c>
      <c r="H946" s="109">
        <v>-27027.74</v>
      </c>
      <c r="I946" s="109">
        <v>92906.69</v>
      </c>
      <c r="J946" s="109">
        <v>-91562.85</v>
      </c>
      <c r="K946" s="109">
        <v>47799.53</v>
      </c>
      <c r="L946" s="109">
        <v>-43252.84</v>
      </c>
      <c r="M946" s="109">
        <v>-65982.35</v>
      </c>
      <c r="N946" s="110">
        <v>70610.0</v>
      </c>
      <c r="O946" s="110">
        <v>70130.0</v>
      </c>
      <c r="P946" s="110">
        <v>51823.0</v>
      </c>
      <c r="Q946" s="110">
        <v>73130.0</v>
      </c>
      <c r="R946" s="50">
        <v>62213.0</v>
      </c>
      <c r="S946" s="111">
        <v>55.0</v>
      </c>
      <c r="T946" s="112">
        <v>51.0</v>
      </c>
      <c r="U946" s="24" t="s">
        <v>39</v>
      </c>
      <c r="V946" s="11" t="s">
        <v>3894</v>
      </c>
      <c r="W946" s="108">
        <v>6.0</v>
      </c>
      <c r="X946" s="113">
        <v>103017.0</v>
      </c>
      <c r="Y946" s="113">
        <v>70520.0</v>
      </c>
      <c r="Z946" s="11">
        <v>198.0</v>
      </c>
      <c r="AA946" s="113">
        <v>11721.0</v>
      </c>
      <c r="AB946" s="109">
        <v>5636.71</v>
      </c>
      <c r="AC946" s="113">
        <v>51622.0</v>
      </c>
      <c r="AD946" s="108">
        <v>0.0</v>
      </c>
    </row>
    <row r="947">
      <c r="A947" s="11">
        <v>18.0</v>
      </c>
      <c r="B947" s="11">
        <v>3.0</v>
      </c>
      <c r="C947" s="11">
        <v>7.0</v>
      </c>
      <c r="D947" s="17">
        <v>9.0</v>
      </c>
      <c r="E947" s="108">
        <v>9.0</v>
      </c>
      <c r="F947" s="109">
        <v>48275.51</v>
      </c>
      <c r="G947" s="109">
        <v>61458.48</v>
      </c>
      <c r="H947" s="109">
        <v>59306.57</v>
      </c>
      <c r="I947" s="109">
        <v>-79183.91</v>
      </c>
      <c r="J947" s="109">
        <v>-65055.02</v>
      </c>
      <c r="K947" s="109">
        <v>-96474.39</v>
      </c>
      <c r="L947" s="109">
        <v>79742.09</v>
      </c>
      <c r="M947" s="109">
        <v>14727.12</v>
      </c>
      <c r="N947" s="110">
        <v>12713.0</v>
      </c>
      <c r="O947" s="110">
        <v>12043.0</v>
      </c>
      <c r="P947" s="110">
        <v>52923.0</v>
      </c>
      <c r="Q947" s="110">
        <v>13143.0</v>
      </c>
      <c r="R947" s="50">
        <v>22920.0</v>
      </c>
      <c r="S947" s="111">
        <v>54.0</v>
      </c>
      <c r="T947" s="112">
        <v>94.0</v>
      </c>
      <c r="U947" s="24" t="s">
        <v>601</v>
      </c>
      <c r="V947" s="11" t="s">
        <v>3906</v>
      </c>
      <c r="W947" s="108">
        <v>8.0</v>
      </c>
      <c r="X947" s="113">
        <v>42320.0</v>
      </c>
      <c r="Y947" s="113">
        <v>92521.0</v>
      </c>
      <c r="Z947" s="11">
        <v>191.0</v>
      </c>
      <c r="AA947" s="113">
        <v>82922.0</v>
      </c>
      <c r="AB947" s="109">
        <v>-99992.78</v>
      </c>
      <c r="AC947" s="113">
        <v>12920.0</v>
      </c>
      <c r="AD947" s="108">
        <v>7.0</v>
      </c>
    </row>
    <row r="948">
      <c r="A948" s="11">
        <v>38.0</v>
      </c>
      <c r="B948" s="11">
        <v>8.0</v>
      </c>
      <c r="C948" s="11">
        <v>9.0</v>
      </c>
      <c r="D948" s="17">
        <v>92.0</v>
      </c>
      <c r="E948" s="108">
        <v>2.0</v>
      </c>
      <c r="F948" s="109">
        <v>87192.31</v>
      </c>
      <c r="G948" s="109">
        <v>-92435.49</v>
      </c>
      <c r="H948" s="109">
        <v>91467.66</v>
      </c>
      <c r="I948" s="109">
        <v>-1005.9</v>
      </c>
      <c r="J948" s="109">
        <v>-67957.1</v>
      </c>
      <c r="K948" s="109">
        <v>-33234.77</v>
      </c>
      <c r="L948" s="109">
        <v>78421.41</v>
      </c>
      <c r="M948" s="109">
        <v>96234.1</v>
      </c>
      <c r="N948" s="110">
        <v>21314.0</v>
      </c>
      <c r="O948" s="110">
        <v>20644.0</v>
      </c>
      <c r="P948" s="110">
        <v>53023.0</v>
      </c>
      <c r="Q948" s="110">
        <v>22944.0</v>
      </c>
      <c r="R948" s="50">
        <v>110918.0</v>
      </c>
      <c r="S948" s="111">
        <v>51.0</v>
      </c>
      <c r="T948" s="112">
        <v>33.0</v>
      </c>
      <c r="U948" s="24" t="s">
        <v>48</v>
      </c>
      <c r="V948" s="11" t="s">
        <v>3877</v>
      </c>
      <c r="W948" s="108">
        <v>8.0</v>
      </c>
      <c r="X948" s="113">
        <v>70913.0</v>
      </c>
      <c r="Y948" s="113">
        <v>40313.0</v>
      </c>
      <c r="Z948" s="11">
        <v>140.0</v>
      </c>
      <c r="AA948" s="113">
        <v>82620.0</v>
      </c>
      <c r="AB948" s="109">
        <v>57092.83</v>
      </c>
      <c r="AC948" s="113">
        <v>121114.0</v>
      </c>
      <c r="AD948" s="108">
        <v>5.0</v>
      </c>
    </row>
    <row r="949">
      <c r="A949" s="11">
        <v>59.0</v>
      </c>
      <c r="B949" s="11">
        <v>3.0</v>
      </c>
      <c r="C949" s="11">
        <v>8.0</v>
      </c>
      <c r="D949" s="17">
        <v>44.0</v>
      </c>
      <c r="E949" s="108">
        <v>5.0</v>
      </c>
      <c r="F949" s="109">
        <v>46844.01</v>
      </c>
      <c r="G949" s="109">
        <v>24820.96</v>
      </c>
      <c r="H949" s="109">
        <v>61950.06</v>
      </c>
      <c r="I949" s="109">
        <v>-19363.68</v>
      </c>
      <c r="J949" s="109">
        <v>-93112.16</v>
      </c>
      <c r="K949" s="109">
        <v>-53378.53</v>
      </c>
      <c r="L949" s="109">
        <v>13347.07</v>
      </c>
      <c r="M949" s="109">
        <v>53476.11</v>
      </c>
      <c r="N949" s="110">
        <v>121112.0</v>
      </c>
      <c r="O949" s="110">
        <v>120922.0</v>
      </c>
      <c r="P949" s="110">
        <v>52323.0</v>
      </c>
      <c r="Q949" s="110">
        <v>123121.0</v>
      </c>
      <c r="R949" s="50">
        <v>101022.0</v>
      </c>
      <c r="S949" s="111">
        <v>51.0</v>
      </c>
      <c r="T949" s="112">
        <v>35.0</v>
      </c>
      <c r="U949" s="24" t="s">
        <v>603</v>
      </c>
      <c r="V949" s="11" t="s">
        <v>3901</v>
      </c>
      <c r="W949" s="108">
        <v>8.0</v>
      </c>
      <c r="X949" s="113">
        <v>111016.0</v>
      </c>
      <c r="Y949" s="113">
        <v>52415.0</v>
      </c>
      <c r="Z949" s="11">
        <v>108.0</v>
      </c>
      <c r="AA949" s="113">
        <v>120616.0</v>
      </c>
      <c r="AB949" s="109">
        <v>60043.96</v>
      </c>
      <c r="AC949" s="113">
        <v>71421.0</v>
      </c>
      <c r="AD949" s="108">
        <v>4.0</v>
      </c>
    </row>
    <row r="950">
      <c r="A950" s="11">
        <v>59.0</v>
      </c>
      <c r="B950" s="11">
        <v>3.0</v>
      </c>
      <c r="C950" s="11">
        <v>9.0</v>
      </c>
      <c r="D950" s="17">
        <v>34.0</v>
      </c>
      <c r="E950" s="108">
        <v>0.0</v>
      </c>
      <c r="F950" s="109">
        <v>29467.47</v>
      </c>
      <c r="G950" s="109">
        <v>14074.91</v>
      </c>
      <c r="H950" s="109">
        <v>62977.74</v>
      </c>
      <c r="I950" s="109">
        <v>-92832.9</v>
      </c>
      <c r="J950" s="109">
        <v>95165.71</v>
      </c>
      <c r="K950" s="109">
        <v>-88874.63</v>
      </c>
      <c r="L950" s="109">
        <v>28015.13</v>
      </c>
      <c r="M950" s="109">
        <v>53909.24</v>
      </c>
      <c r="N950" s="110">
        <v>50814.0</v>
      </c>
      <c r="O950" s="110">
        <v>50334.0</v>
      </c>
      <c r="P950" s="110">
        <v>50223.0</v>
      </c>
      <c r="Q950" s="110">
        <v>53134.0</v>
      </c>
      <c r="R950" s="50">
        <v>60218.0</v>
      </c>
      <c r="S950" s="111">
        <v>51.0</v>
      </c>
      <c r="T950" s="112">
        <v>58.0</v>
      </c>
      <c r="U950" s="24" t="s">
        <v>603</v>
      </c>
      <c r="V950" s="11" t="s">
        <v>4033</v>
      </c>
      <c r="W950" s="108">
        <v>8.0</v>
      </c>
      <c r="X950" s="113">
        <v>90822.0</v>
      </c>
      <c r="Y950" s="113">
        <v>81821.0</v>
      </c>
      <c r="Z950" s="11">
        <v>164.0</v>
      </c>
      <c r="AA950" s="113">
        <v>60713.0</v>
      </c>
      <c r="AB950" s="109">
        <v>80660.68</v>
      </c>
      <c r="AC950" s="113">
        <v>120214.0</v>
      </c>
      <c r="AD950" s="108">
        <v>9.0</v>
      </c>
    </row>
    <row r="951">
      <c r="A951" s="11">
        <v>59.0</v>
      </c>
      <c r="B951" s="11">
        <v>3.0</v>
      </c>
      <c r="C951" s="11">
        <v>7.0</v>
      </c>
      <c r="D951" s="17">
        <v>81.0</v>
      </c>
      <c r="E951" s="108">
        <v>2.0</v>
      </c>
      <c r="F951" s="109">
        <v>56617.87</v>
      </c>
      <c r="G951" s="109">
        <v>-25842.65</v>
      </c>
      <c r="H951" s="109">
        <v>23489.6</v>
      </c>
      <c r="I951" s="109">
        <v>-10323.46</v>
      </c>
      <c r="J951" s="109">
        <v>36245.89</v>
      </c>
      <c r="K951" s="109">
        <v>-77599.53</v>
      </c>
      <c r="L951" s="109">
        <v>-80582.42</v>
      </c>
      <c r="M951" s="109">
        <v>-8214.07</v>
      </c>
      <c r="N951" s="110">
        <v>102911.0</v>
      </c>
      <c r="O951" s="110">
        <v>102621.0</v>
      </c>
      <c r="P951" s="110">
        <v>50823.0</v>
      </c>
      <c r="Q951" s="110">
        <v>103121.0</v>
      </c>
      <c r="R951" s="50">
        <v>42419.0</v>
      </c>
      <c r="S951" s="111">
        <v>54.0</v>
      </c>
      <c r="T951" s="112">
        <v>56.0</v>
      </c>
      <c r="U951" s="24" t="s">
        <v>603</v>
      </c>
      <c r="V951" s="11" t="s">
        <v>3932</v>
      </c>
      <c r="W951" s="108">
        <v>6.0</v>
      </c>
      <c r="X951" s="113">
        <v>121315.0</v>
      </c>
      <c r="Y951" s="113">
        <v>80121.0</v>
      </c>
      <c r="Z951" s="11">
        <v>148.0</v>
      </c>
      <c r="AA951" s="113">
        <v>20918.0</v>
      </c>
      <c r="AB951" s="109">
        <v>-32981.89</v>
      </c>
      <c r="AC951" s="113">
        <v>42519.0</v>
      </c>
      <c r="AD951" s="108">
        <v>8.0</v>
      </c>
    </row>
    <row r="952">
      <c r="A952" s="11">
        <v>79.0</v>
      </c>
      <c r="B952" s="11">
        <v>9.0</v>
      </c>
      <c r="C952" s="11">
        <v>1.0</v>
      </c>
      <c r="D952" s="17">
        <v>9.0</v>
      </c>
      <c r="E952" s="108">
        <v>4.0</v>
      </c>
      <c r="F952" s="109">
        <v>-66995.56</v>
      </c>
      <c r="G952" s="109">
        <v>48922.3</v>
      </c>
      <c r="H952" s="109">
        <v>-2518.52</v>
      </c>
      <c r="I952" s="109">
        <v>-41634.64</v>
      </c>
      <c r="J952" s="109">
        <v>87501.87</v>
      </c>
      <c r="K952" s="109">
        <v>-27394.93</v>
      </c>
      <c r="L952" s="109">
        <v>8856.69</v>
      </c>
      <c r="M952" s="109">
        <v>28432.84</v>
      </c>
      <c r="N952" s="110">
        <v>101014.0</v>
      </c>
      <c r="O952" s="110">
        <v>100724.0</v>
      </c>
      <c r="P952" s="110">
        <v>51123.0</v>
      </c>
      <c r="Q952" s="110">
        <v>103124.0</v>
      </c>
      <c r="R952" s="50">
        <v>51822.0</v>
      </c>
      <c r="S952" s="111">
        <v>53.0</v>
      </c>
      <c r="T952" s="112">
        <v>80.0</v>
      </c>
      <c r="U952" s="24" t="s">
        <v>601</v>
      </c>
      <c r="V952" s="11" t="s">
        <v>3925</v>
      </c>
      <c r="W952" s="108">
        <v>9.0</v>
      </c>
      <c r="X952" s="113">
        <v>111513.0</v>
      </c>
      <c r="Y952" s="113">
        <v>71522.0</v>
      </c>
      <c r="Z952" s="11">
        <v>163.0</v>
      </c>
      <c r="AA952" s="113">
        <v>20616.0</v>
      </c>
      <c r="AB952" s="109">
        <v>-29334.19</v>
      </c>
      <c r="AC952" s="113">
        <v>61516.0</v>
      </c>
      <c r="AD952" s="108">
        <v>4.0</v>
      </c>
    </row>
    <row r="953">
      <c r="A953" s="11">
        <v>38.0</v>
      </c>
      <c r="B953" s="11">
        <v>9.0</v>
      </c>
      <c r="C953" s="11">
        <v>6.0</v>
      </c>
      <c r="D953" s="17">
        <v>58.0</v>
      </c>
      <c r="E953" s="108">
        <v>2.0</v>
      </c>
      <c r="F953" s="109">
        <v>-3958.04</v>
      </c>
      <c r="G953" s="109">
        <v>-95793.01</v>
      </c>
      <c r="H953" s="109">
        <v>79550.95</v>
      </c>
      <c r="I953" s="109">
        <v>82158.9</v>
      </c>
      <c r="J953" s="109">
        <v>14473.84</v>
      </c>
      <c r="K953" s="109">
        <v>90798.89</v>
      </c>
      <c r="L953" s="109">
        <v>26820.6</v>
      </c>
      <c r="M953" s="109">
        <v>74659.73</v>
      </c>
      <c r="N953" s="110">
        <v>122010.0</v>
      </c>
      <c r="O953" s="110">
        <v>121240.0</v>
      </c>
      <c r="P953" s="110">
        <v>51423.0</v>
      </c>
      <c r="Q953" s="110">
        <v>123139.0</v>
      </c>
      <c r="R953" s="50">
        <v>72217.0</v>
      </c>
      <c r="S953" s="111">
        <v>54.0</v>
      </c>
      <c r="T953" s="112">
        <v>16.0</v>
      </c>
      <c r="U953" s="24" t="s">
        <v>603</v>
      </c>
      <c r="V953" s="11" t="s">
        <v>4065</v>
      </c>
      <c r="W953" s="108">
        <v>7.0</v>
      </c>
      <c r="X953" s="113">
        <v>120717.0</v>
      </c>
      <c r="Y953" s="113">
        <v>51614.0</v>
      </c>
      <c r="Z953" s="11">
        <v>200.0</v>
      </c>
      <c r="AA953" s="113">
        <v>102017.0</v>
      </c>
      <c r="AB953" s="109">
        <v>-71646.63</v>
      </c>
      <c r="AC953" s="113">
        <v>92113.0</v>
      </c>
      <c r="AD953" s="108">
        <v>1.0</v>
      </c>
    </row>
    <row r="954">
      <c r="A954" s="11">
        <v>18.0</v>
      </c>
      <c r="B954" s="11">
        <v>5.0</v>
      </c>
      <c r="C954" s="11">
        <v>2.0</v>
      </c>
      <c r="D954" s="17">
        <v>97.0</v>
      </c>
      <c r="E954" s="108">
        <v>7.0</v>
      </c>
      <c r="F954" s="109">
        <v>18713.47</v>
      </c>
      <c r="G954" s="109">
        <v>-94771.08</v>
      </c>
      <c r="H954" s="109">
        <v>95712.38</v>
      </c>
      <c r="I954" s="109">
        <v>17418.95</v>
      </c>
      <c r="J954" s="109">
        <v>51377.42</v>
      </c>
      <c r="K954" s="109">
        <v>-30486.74</v>
      </c>
      <c r="L954" s="109">
        <v>-34566.84</v>
      </c>
      <c r="M954" s="109">
        <v>-21400.75</v>
      </c>
      <c r="N954" s="110">
        <v>61113.0</v>
      </c>
      <c r="O954" s="110">
        <v>60443.0</v>
      </c>
      <c r="P954" s="110">
        <v>50823.0</v>
      </c>
      <c r="Q954" s="110">
        <v>63043.0</v>
      </c>
      <c r="R954" s="50">
        <v>62021.0</v>
      </c>
      <c r="S954" s="111">
        <v>55.0</v>
      </c>
      <c r="T954" s="112">
        <v>79.0</v>
      </c>
      <c r="U954" s="24" t="s">
        <v>603</v>
      </c>
      <c r="V954" s="11" t="s">
        <v>3977</v>
      </c>
      <c r="W954" s="108">
        <v>2.0</v>
      </c>
      <c r="X954" s="113">
        <v>101413.0</v>
      </c>
      <c r="Y954" s="113">
        <v>61322.0</v>
      </c>
      <c r="Z954" s="11">
        <v>195.0</v>
      </c>
      <c r="AA954" s="113">
        <v>10822.0</v>
      </c>
      <c r="AB954" s="109">
        <v>-54910.35</v>
      </c>
      <c r="AC954" s="113">
        <v>110520.0</v>
      </c>
      <c r="AD954" s="108">
        <v>0.0</v>
      </c>
    </row>
    <row r="955">
      <c r="A955" s="11">
        <v>79.0</v>
      </c>
      <c r="B955" s="11">
        <v>9.0</v>
      </c>
      <c r="C955" s="11">
        <v>9.0</v>
      </c>
      <c r="D955" s="17">
        <v>83.0</v>
      </c>
      <c r="E955" s="108">
        <v>7.0</v>
      </c>
      <c r="F955" s="109">
        <v>-11536.11</v>
      </c>
      <c r="G955" s="109">
        <v>-34588.06</v>
      </c>
      <c r="H955" s="109">
        <v>-9855.16</v>
      </c>
      <c r="I955" s="109">
        <v>24275.55</v>
      </c>
      <c r="J955" s="109">
        <v>73167.2</v>
      </c>
      <c r="K955" s="109">
        <v>-44640.21</v>
      </c>
      <c r="L955" s="109">
        <v>-72287.19</v>
      </c>
      <c r="M955" s="109">
        <v>28145.38</v>
      </c>
      <c r="N955" s="110">
        <v>80110.0</v>
      </c>
      <c r="O955" s="110">
        <v>72920.0</v>
      </c>
      <c r="P955" s="110">
        <v>51923.0</v>
      </c>
      <c r="Q955" s="110">
        <v>73120.0</v>
      </c>
      <c r="R955" s="50">
        <v>11321.0</v>
      </c>
      <c r="S955" s="111">
        <v>54.0</v>
      </c>
      <c r="T955" s="112">
        <v>19.0</v>
      </c>
      <c r="U955" s="24" t="s">
        <v>603</v>
      </c>
      <c r="V955" s="11" t="s">
        <v>3863</v>
      </c>
      <c r="W955" s="108">
        <v>4.0</v>
      </c>
      <c r="X955" s="113">
        <v>82918.0</v>
      </c>
      <c r="Y955" s="113">
        <v>91416.0</v>
      </c>
      <c r="Z955" s="11">
        <v>173.0</v>
      </c>
      <c r="AA955" s="113">
        <v>70321.0</v>
      </c>
      <c r="AB955" s="109">
        <v>55571.86</v>
      </c>
      <c r="AC955" s="113">
        <v>12215.0</v>
      </c>
      <c r="AD955" s="108">
        <v>6.0</v>
      </c>
    </row>
    <row r="956">
      <c r="A956" s="11">
        <v>59.0</v>
      </c>
      <c r="B956" s="11">
        <v>5.0</v>
      </c>
      <c r="C956" s="11">
        <v>4.0</v>
      </c>
      <c r="D956" s="17">
        <v>56.0</v>
      </c>
      <c r="E956" s="108">
        <v>8.0</v>
      </c>
      <c r="F956" s="109">
        <v>-51403.11</v>
      </c>
      <c r="G956" s="109">
        <v>-67741.99</v>
      </c>
      <c r="H956" s="109">
        <v>90972.47</v>
      </c>
      <c r="I956" s="109">
        <v>58199.49</v>
      </c>
      <c r="J956" s="109">
        <v>-16536.99</v>
      </c>
      <c r="K956" s="109">
        <v>70877.6</v>
      </c>
      <c r="L956" s="109">
        <v>44722.93</v>
      </c>
      <c r="M956" s="109">
        <v>-22802.27</v>
      </c>
      <c r="N956" s="110">
        <v>111910.0</v>
      </c>
      <c r="O956" s="110">
        <v>111430.0</v>
      </c>
      <c r="P956" s="110">
        <v>52523.0</v>
      </c>
      <c r="Q956" s="110">
        <v>113030.0</v>
      </c>
      <c r="R956" s="50">
        <v>42117.0</v>
      </c>
      <c r="S956" s="111">
        <v>52.0</v>
      </c>
      <c r="T956" s="112">
        <v>61.0</v>
      </c>
      <c r="U956" s="24" t="s">
        <v>31</v>
      </c>
      <c r="V956" s="11" t="s">
        <v>4016</v>
      </c>
      <c r="W956" s="108">
        <v>5.0</v>
      </c>
      <c r="X956" s="113">
        <v>73016.0</v>
      </c>
      <c r="Y956" s="113">
        <v>112417.0</v>
      </c>
      <c r="Z956" s="11">
        <v>150.0</v>
      </c>
      <c r="AA956" s="113">
        <v>70913.0</v>
      </c>
      <c r="AB956" s="109">
        <v>65389.32</v>
      </c>
      <c r="AC956" s="113">
        <v>72319.0</v>
      </c>
      <c r="AD956" s="108">
        <v>0.0</v>
      </c>
    </row>
    <row r="957">
      <c r="A957" s="11">
        <v>18.0</v>
      </c>
      <c r="B957" s="11">
        <v>6.0</v>
      </c>
      <c r="C957" s="11">
        <v>1.0</v>
      </c>
      <c r="D957" s="17">
        <v>10.0</v>
      </c>
      <c r="E957" s="108">
        <v>0.0</v>
      </c>
      <c r="F957" s="109">
        <v>17512.66</v>
      </c>
      <c r="G957" s="109">
        <v>-30303.98</v>
      </c>
      <c r="H957" s="109">
        <v>76257.56</v>
      </c>
      <c r="I957" s="109">
        <v>98291.4</v>
      </c>
      <c r="J957" s="109">
        <v>-96041.4</v>
      </c>
      <c r="K957" s="109">
        <v>-18048.34</v>
      </c>
      <c r="L957" s="109">
        <v>-53495.0</v>
      </c>
      <c r="M957" s="109">
        <v>7316.16</v>
      </c>
      <c r="N957" s="110">
        <v>92914.0</v>
      </c>
      <c r="O957" s="110">
        <v>92434.0</v>
      </c>
      <c r="P957" s="110">
        <v>50323.0</v>
      </c>
      <c r="Q957" s="110">
        <v>93034.0</v>
      </c>
      <c r="R957" s="50">
        <v>100616.0</v>
      </c>
      <c r="S957" s="111">
        <v>54.0</v>
      </c>
      <c r="T957" s="112">
        <v>39.0</v>
      </c>
      <c r="U957" s="24" t="s">
        <v>48</v>
      </c>
      <c r="V957" s="11" t="s">
        <v>4034</v>
      </c>
      <c r="W957" s="108">
        <v>1.0</v>
      </c>
      <c r="X957" s="113">
        <v>40322.0</v>
      </c>
      <c r="Y957" s="113">
        <v>32213.0</v>
      </c>
      <c r="Z957" s="11">
        <v>168.0</v>
      </c>
      <c r="AA957" s="113">
        <v>21720.0</v>
      </c>
      <c r="AB957" s="109">
        <v>44206.47</v>
      </c>
      <c r="AC957" s="113">
        <v>112718.0</v>
      </c>
      <c r="AD957" s="108">
        <v>7.0</v>
      </c>
    </row>
    <row r="958">
      <c r="A958" s="11">
        <v>18.0</v>
      </c>
      <c r="B958" s="11">
        <v>6.0</v>
      </c>
      <c r="C958" s="11">
        <v>3.0</v>
      </c>
      <c r="D958" s="17">
        <v>30.0</v>
      </c>
      <c r="E958" s="108">
        <v>0.0</v>
      </c>
      <c r="F958" s="109">
        <v>37021.26</v>
      </c>
      <c r="G958" s="109">
        <v>40722.7</v>
      </c>
      <c r="H958" s="109">
        <v>73017.5</v>
      </c>
      <c r="I958" s="109">
        <v>24832.05</v>
      </c>
      <c r="J958" s="109">
        <v>-53818.43</v>
      </c>
      <c r="K958" s="109">
        <v>34292.24</v>
      </c>
      <c r="L958" s="109">
        <v>-75833.1</v>
      </c>
      <c r="M958" s="109">
        <v>31917.2</v>
      </c>
      <c r="N958" s="110">
        <v>41514.0</v>
      </c>
      <c r="O958" s="110">
        <v>41034.0</v>
      </c>
      <c r="P958" s="110">
        <v>52123.0</v>
      </c>
      <c r="Q958" s="110">
        <v>43034.0</v>
      </c>
      <c r="R958" s="50">
        <v>112114.0</v>
      </c>
      <c r="S958" s="111">
        <v>51.0</v>
      </c>
      <c r="T958" s="112">
        <v>79.0</v>
      </c>
      <c r="U958" s="24" t="s">
        <v>39</v>
      </c>
      <c r="V958" s="11" t="s">
        <v>3985</v>
      </c>
      <c r="W958" s="108">
        <v>9.0</v>
      </c>
      <c r="X958" s="113">
        <v>80417.0</v>
      </c>
      <c r="Y958" s="113">
        <v>81816.0</v>
      </c>
      <c r="Z958" s="11">
        <v>176.0</v>
      </c>
      <c r="AA958" s="113">
        <v>101420.0</v>
      </c>
      <c r="AB958" s="109">
        <v>-94987.98</v>
      </c>
      <c r="AC958" s="113">
        <v>70113.0</v>
      </c>
      <c r="AD958" s="108">
        <v>9.0</v>
      </c>
    </row>
    <row r="959">
      <c r="A959" s="11">
        <v>39.0</v>
      </c>
      <c r="B959" s="11">
        <v>1.0</v>
      </c>
      <c r="C959" s="11">
        <v>1.0</v>
      </c>
      <c r="D959" s="17">
        <v>58.0</v>
      </c>
      <c r="E959" s="108">
        <v>9.0</v>
      </c>
      <c r="F959" s="109">
        <v>15565.2</v>
      </c>
      <c r="G959" s="109">
        <v>49673.42</v>
      </c>
      <c r="H959" s="109">
        <v>-79016.5</v>
      </c>
      <c r="I959" s="109">
        <v>-52641.32</v>
      </c>
      <c r="J959" s="109">
        <v>46628.52</v>
      </c>
      <c r="K959" s="109">
        <v>2120.62</v>
      </c>
      <c r="L959" s="109">
        <v>94644.03</v>
      </c>
      <c r="M959" s="109">
        <v>-18237.38</v>
      </c>
      <c r="N959" s="110">
        <v>42210.0</v>
      </c>
      <c r="O959" s="110">
        <v>41730.0</v>
      </c>
      <c r="P959" s="110">
        <v>53023.0</v>
      </c>
      <c r="Q959" s="110">
        <v>43030.0</v>
      </c>
      <c r="R959" s="50">
        <v>90322.0</v>
      </c>
      <c r="S959" s="111">
        <v>51.0</v>
      </c>
      <c r="T959" s="112">
        <v>41.0</v>
      </c>
      <c r="U959" s="24" t="s">
        <v>39</v>
      </c>
      <c r="V959" s="11" t="s">
        <v>3893</v>
      </c>
      <c r="W959" s="108">
        <v>8.0</v>
      </c>
      <c r="X959" s="113">
        <v>40721.0</v>
      </c>
      <c r="Y959" s="113">
        <v>102813.0</v>
      </c>
      <c r="Z959" s="11">
        <v>142.0</v>
      </c>
      <c r="AA959" s="113">
        <v>31423.0</v>
      </c>
      <c r="AB959" s="109">
        <v>51596.73</v>
      </c>
      <c r="AC959" s="113">
        <v>92915.0</v>
      </c>
      <c r="AD959" s="108">
        <v>9.0</v>
      </c>
    </row>
    <row r="960">
      <c r="A960" s="11">
        <v>18.0</v>
      </c>
      <c r="B960" s="11">
        <v>6.0</v>
      </c>
      <c r="C960" s="11">
        <v>8.0</v>
      </c>
      <c r="D960" s="17">
        <v>13.0</v>
      </c>
      <c r="E960" s="108">
        <v>2.0</v>
      </c>
      <c r="F960" s="109">
        <v>62431.67</v>
      </c>
      <c r="G960" s="109">
        <v>58068.82</v>
      </c>
      <c r="H960" s="109">
        <v>518.24</v>
      </c>
      <c r="I960" s="109">
        <v>5621.8</v>
      </c>
      <c r="J960" s="109">
        <v>-96687.32</v>
      </c>
      <c r="K960" s="109">
        <v>-80795.68</v>
      </c>
      <c r="L960" s="109">
        <v>35493.08</v>
      </c>
      <c r="M960" s="109">
        <v>34791.3</v>
      </c>
      <c r="N960" s="110">
        <v>71011.0</v>
      </c>
      <c r="O960" s="110">
        <v>70721.0</v>
      </c>
      <c r="P960" s="110">
        <v>50323.0</v>
      </c>
      <c r="Q960" s="110">
        <v>73121.0</v>
      </c>
      <c r="R960" s="50">
        <v>51417.0</v>
      </c>
      <c r="S960" s="111">
        <v>55.0</v>
      </c>
      <c r="T960" s="112">
        <v>58.0</v>
      </c>
      <c r="U960" s="24" t="s">
        <v>31</v>
      </c>
      <c r="V960" s="11" t="s">
        <v>4021</v>
      </c>
      <c r="W960" s="108">
        <v>5.0</v>
      </c>
      <c r="X960" s="113">
        <v>50720.0</v>
      </c>
      <c r="Y960" s="113">
        <v>62720.0</v>
      </c>
      <c r="Z960" s="11">
        <v>156.0</v>
      </c>
      <c r="AA960" s="113">
        <v>91922.0</v>
      </c>
      <c r="AB960" s="109">
        <v>60438.51</v>
      </c>
      <c r="AC960" s="113">
        <v>82422.0</v>
      </c>
      <c r="AD960" s="108">
        <v>0.0</v>
      </c>
    </row>
    <row r="961">
      <c r="A961" s="11">
        <v>59.0</v>
      </c>
      <c r="B961" s="11">
        <v>7.0</v>
      </c>
      <c r="C961" s="11">
        <v>1.0</v>
      </c>
      <c r="D961" s="17">
        <v>8.0</v>
      </c>
      <c r="E961" s="108">
        <v>7.0</v>
      </c>
      <c r="F961" s="109">
        <v>23081.21</v>
      </c>
      <c r="G961" s="109">
        <v>-5635.59</v>
      </c>
      <c r="H961" s="109">
        <v>-71803.92</v>
      </c>
      <c r="I961" s="109">
        <v>-33042.95</v>
      </c>
      <c r="J961" s="109">
        <v>-24677.77</v>
      </c>
      <c r="K961" s="109">
        <v>48446.39</v>
      </c>
      <c r="L961" s="109">
        <v>-73949.99</v>
      </c>
      <c r="M961" s="109">
        <v>-12181.41</v>
      </c>
      <c r="N961" s="110">
        <v>101714.0</v>
      </c>
      <c r="O961" s="110">
        <v>100944.0</v>
      </c>
      <c r="P961" s="110">
        <v>51323.0</v>
      </c>
      <c r="Q961" s="110">
        <v>103144.0</v>
      </c>
      <c r="R961" s="50">
        <v>80218.0</v>
      </c>
      <c r="S961" s="111">
        <v>55.0</v>
      </c>
      <c r="T961" s="112">
        <v>23.0</v>
      </c>
      <c r="U961" s="24" t="s">
        <v>603</v>
      </c>
      <c r="V961" s="11" t="s">
        <v>4070</v>
      </c>
      <c r="W961" s="108">
        <v>8.0</v>
      </c>
      <c r="X961" s="113">
        <v>122622.0</v>
      </c>
      <c r="Y961" s="113">
        <v>52719.0</v>
      </c>
      <c r="Z961" s="11">
        <v>121.0</v>
      </c>
      <c r="AA961" s="113">
        <v>111623.0</v>
      </c>
      <c r="AB961" s="109">
        <v>-20533.27</v>
      </c>
      <c r="AC961" s="113">
        <v>42618.0</v>
      </c>
      <c r="AD961" s="108">
        <v>6.0</v>
      </c>
    </row>
    <row r="962">
      <c r="A962" s="11">
        <v>18.0</v>
      </c>
      <c r="B962" s="11">
        <v>7.0</v>
      </c>
      <c r="C962" s="11">
        <v>6.0</v>
      </c>
      <c r="D962" s="17">
        <v>60.0</v>
      </c>
      <c r="E962" s="108">
        <v>1.0</v>
      </c>
      <c r="F962" s="109">
        <v>-27448.99</v>
      </c>
      <c r="G962" s="109">
        <v>4176.82</v>
      </c>
      <c r="H962" s="109">
        <v>-22670.28</v>
      </c>
      <c r="I962" s="109">
        <v>7516.43</v>
      </c>
      <c r="J962" s="109">
        <v>30967.66</v>
      </c>
      <c r="K962" s="109">
        <v>-34520.37</v>
      </c>
      <c r="L962" s="109">
        <v>-61181.56</v>
      </c>
      <c r="M962" s="109">
        <v>-94778.96</v>
      </c>
      <c r="N962" s="110">
        <v>100111.0</v>
      </c>
      <c r="O962" s="110">
        <v>92341.0</v>
      </c>
      <c r="P962" s="110">
        <v>52723.0</v>
      </c>
      <c r="Q962" s="110">
        <v>93041.0</v>
      </c>
      <c r="R962" s="50">
        <v>22517.0</v>
      </c>
      <c r="S962" s="111">
        <v>54.0</v>
      </c>
      <c r="T962" s="112">
        <v>7.0</v>
      </c>
      <c r="U962" s="24" t="s">
        <v>601</v>
      </c>
      <c r="V962" s="11" t="s">
        <v>3963</v>
      </c>
      <c r="W962" s="108">
        <v>7.0</v>
      </c>
      <c r="X962" s="113">
        <v>101915.0</v>
      </c>
      <c r="Y962" s="113">
        <v>101216.0</v>
      </c>
      <c r="Z962" s="11">
        <v>111.0</v>
      </c>
      <c r="AA962" s="113">
        <v>101418.0</v>
      </c>
      <c r="AB962" s="109">
        <v>98071.82</v>
      </c>
      <c r="AC962" s="113">
        <v>102613.0</v>
      </c>
      <c r="AD962" s="108">
        <v>8.0</v>
      </c>
    </row>
    <row r="963">
      <c r="A963" s="11">
        <v>18.0</v>
      </c>
      <c r="B963" s="11">
        <v>7.0</v>
      </c>
      <c r="C963" s="11">
        <v>9.0</v>
      </c>
      <c r="D963" s="17">
        <v>46.0</v>
      </c>
      <c r="E963" s="108">
        <v>3.0</v>
      </c>
      <c r="F963" s="109">
        <v>27813.49</v>
      </c>
      <c r="G963" s="109">
        <v>-14770.2</v>
      </c>
      <c r="H963" s="109">
        <v>6111.1</v>
      </c>
      <c r="I963" s="109">
        <v>-16884.22</v>
      </c>
      <c r="J963" s="109">
        <v>99815.68</v>
      </c>
      <c r="K963" s="109">
        <v>-88103.92</v>
      </c>
      <c r="L963" s="109">
        <v>-45758.48</v>
      </c>
      <c r="M963" s="109">
        <v>-43732.87</v>
      </c>
      <c r="N963" s="110">
        <v>51110.0</v>
      </c>
      <c r="O963" s="110">
        <v>50630.0</v>
      </c>
      <c r="P963" s="110">
        <v>50323.0</v>
      </c>
      <c r="Q963" s="110">
        <v>53130.0</v>
      </c>
      <c r="R963" s="50">
        <v>110721.0</v>
      </c>
      <c r="S963" s="111">
        <v>54.0</v>
      </c>
      <c r="T963" s="112">
        <v>90.0</v>
      </c>
      <c r="U963" s="24" t="s">
        <v>601</v>
      </c>
      <c r="V963" s="11" t="s">
        <v>3907</v>
      </c>
      <c r="W963" s="108">
        <v>1.0</v>
      </c>
      <c r="X963" s="113">
        <v>120613.0</v>
      </c>
      <c r="Y963" s="113">
        <v>71223.0</v>
      </c>
      <c r="Z963" s="11">
        <v>130.0</v>
      </c>
      <c r="AA963" s="113">
        <v>92916.0</v>
      </c>
      <c r="AB963" s="109">
        <v>-87473.91</v>
      </c>
      <c r="AC963" s="113">
        <v>12319.0</v>
      </c>
      <c r="AD963" s="108">
        <v>3.0</v>
      </c>
    </row>
    <row r="964">
      <c r="A964" s="11">
        <v>18.0</v>
      </c>
      <c r="B964" s="11">
        <v>8.0</v>
      </c>
      <c r="C964" s="11">
        <v>4.0</v>
      </c>
      <c r="D964" s="17">
        <v>58.0</v>
      </c>
      <c r="E964" s="108">
        <v>8.0</v>
      </c>
      <c r="F964" s="109">
        <v>-67640.37</v>
      </c>
      <c r="G964" s="109">
        <v>-16159.8</v>
      </c>
      <c r="H964" s="109">
        <v>38001.01</v>
      </c>
      <c r="I964" s="109">
        <v>64415.41</v>
      </c>
      <c r="J964" s="109">
        <v>97275.89</v>
      </c>
      <c r="K964" s="109">
        <v>-35920.8</v>
      </c>
      <c r="L964" s="109">
        <v>-77464.46</v>
      </c>
      <c r="M964" s="109">
        <v>-77619.67</v>
      </c>
      <c r="N964" s="110">
        <v>31810.0</v>
      </c>
      <c r="O964" s="110">
        <v>31520.0</v>
      </c>
      <c r="P964" s="110">
        <v>50223.0</v>
      </c>
      <c r="Q964" s="110">
        <v>33120.0</v>
      </c>
      <c r="R964" s="50">
        <v>71616.0</v>
      </c>
      <c r="S964" s="111">
        <v>54.0</v>
      </c>
      <c r="T964" s="112">
        <v>49.0</v>
      </c>
      <c r="U964" s="24" t="s">
        <v>603</v>
      </c>
      <c r="V964" s="11" t="s">
        <v>3982</v>
      </c>
      <c r="W964" s="108">
        <v>8.0</v>
      </c>
      <c r="X964" s="113">
        <v>100315.0</v>
      </c>
      <c r="Y964" s="113">
        <v>122913.0</v>
      </c>
      <c r="Z964" s="11">
        <v>191.0</v>
      </c>
      <c r="AA964" s="113">
        <v>91523.0</v>
      </c>
      <c r="AB964" s="109">
        <v>-56961.45</v>
      </c>
      <c r="AC964" s="113">
        <v>92516.0</v>
      </c>
      <c r="AD964" s="108">
        <v>9.0</v>
      </c>
    </row>
    <row r="965">
      <c r="A965" s="11">
        <v>39.0</v>
      </c>
      <c r="B965" s="11">
        <v>3.0</v>
      </c>
      <c r="C965" s="11">
        <v>5.0</v>
      </c>
      <c r="D965" s="17">
        <v>77.0</v>
      </c>
      <c r="E965" s="108">
        <v>0.0</v>
      </c>
      <c r="F965" s="109">
        <v>10019.57</v>
      </c>
      <c r="G965" s="109">
        <v>-30340.02</v>
      </c>
      <c r="H965" s="109">
        <v>-73409.97</v>
      </c>
      <c r="I965" s="109">
        <v>77908.34</v>
      </c>
      <c r="J965" s="109">
        <v>48784.84</v>
      </c>
      <c r="K965" s="109">
        <v>-77110.35</v>
      </c>
      <c r="L965" s="109">
        <v>15864.08</v>
      </c>
      <c r="M965" s="109">
        <v>-82.81</v>
      </c>
      <c r="N965" s="110">
        <v>41112.0</v>
      </c>
      <c r="O965" s="110">
        <v>40442.0</v>
      </c>
      <c r="P965" s="110">
        <v>50923.0</v>
      </c>
      <c r="Q965" s="110">
        <v>43042.0</v>
      </c>
      <c r="R965" s="50">
        <v>92120.0</v>
      </c>
      <c r="S965" s="111">
        <v>52.0</v>
      </c>
      <c r="T965" s="112">
        <v>25.0</v>
      </c>
      <c r="U965" s="24" t="s">
        <v>31</v>
      </c>
      <c r="V965" s="11" t="s">
        <v>3937</v>
      </c>
      <c r="W965" s="108">
        <v>5.0</v>
      </c>
      <c r="X965" s="113">
        <v>60414.0</v>
      </c>
      <c r="Y965" s="113">
        <v>82615.0</v>
      </c>
      <c r="Z965" s="11">
        <v>113.0</v>
      </c>
      <c r="AA965" s="113">
        <v>102317.0</v>
      </c>
      <c r="AB965" s="109">
        <v>9278.74</v>
      </c>
      <c r="AC965" s="113">
        <v>52915.0</v>
      </c>
      <c r="AD965" s="108">
        <v>9.0</v>
      </c>
    </row>
    <row r="966">
      <c r="A966" s="11">
        <v>18.0</v>
      </c>
      <c r="B966" s="11">
        <v>8.0</v>
      </c>
      <c r="C966" s="11">
        <v>8.0</v>
      </c>
      <c r="D966" s="17">
        <v>28.0</v>
      </c>
      <c r="E966" s="108">
        <v>4.0</v>
      </c>
      <c r="F966" s="109">
        <v>-33579.9</v>
      </c>
      <c r="G966" s="109">
        <v>71338.65</v>
      </c>
      <c r="H966" s="109">
        <v>-95588.17</v>
      </c>
      <c r="I966" s="109">
        <v>-11584.37</v>
      </c>
      <c r="J966" s="109">
        <v>853.65</v>
      </c>
      <c r="K966" s="109">
        <v>92498.4</v>
      </c>
      <c r="L966" s="109">
        <v>-27781.66</v>
      </c>
      <c r="M966" s="109">
        <v>-56524.0</v>
      </c>
      <c r="N966" s="110">
        <v>80513.0</v>
      </c>
      <c r="O966" s="110">
        <v>80323.0</v>
      </c>
      <c r="P966" s="110">
        <v>52423.0</v>
      </c>
      <c r="Q966" s="110">
        <v>83123.0</v>
      </c>
      <c r="R966" s="50">
        <v>41414.0</v>
      </c>
      <c r="S966" s="111">
        <v>54.0</v>
      </c>
      <c r="T966" s="112">
        <v>65.0</v>
      </c>
      <c r="U966" s="24" t="s">
        <v>31</v>
      </c>
      <c r="V966" s="11" t="s">
        <v>3887</v>
      </c>
      <c r="W966" s="108">
        <v>7.0</v>
      </c>
      <c r="X966" s="113">
        <v>52718.0</v>
      </c>
      <c r="Y966" s="113">
        <v>122921.0</v>
      </c>
      <c r="Z966" s="11">
        <v>191.0</v>
      </c>
      <c r="AA966" s="113">
        <v>52722.0</v>
      </c>
      <c r="AB966" s="109">
        <v>-78833.71</v>
      </c>
      <c r="AC966" s="113">
        <v>71918.0</v>
      </c>
      <c r="AD966" s="108">
        <v>0.0</v>
      </c>
    </row>
    <row r="967">
      <c r="A967" s="11">
        <v>39.0</v>
      </c>
      <c r="B967" s="11">
        <v>3.0</v>
      </c>
      <c r="C967" s="11">
        <v>6.0</v>
      </c>
      <c r="D967" s="17">
        <v>25.0</v>
      </c>
      <c r="E967" s="108">
        <v>1.0</v>
      </c>
      <c r="F967" s="109">
        <v>65270.77</v>
      </c>
      <c r="G967" s="109">
        <v>-12291.9</v>
      </c>
      <c r="H967" s="109">
        <v>-57850.74</v>
      </c>
      <c r="I967" s="109">
        <v>86021.0</v>
      </c>
      <c r="J967" s="109">
        <v>35322.79</v>
      </c>
      <c r="K967" s="109">
        <v>-30387.44</v>
      </c>
      <c r="L967" s="109">
        <v>-70813.8</v>
      </c>
      <c r="M967" s="109">
        <v>-69224.47</v>
      </c>
      <c r="N967" s="110">
        <v>102414.0</v>
      </c>
      <c r="O967" s="110">
        <v>101934.0</v>
      </c>
      <c r="P967" s="110">
        <v>50523.0</v>
      </c>
      <c r="Q967" s="110">
        <v>103134.0</v>
      </c>
      <c r="R967" s="50">
        <v>50921.0</v>
      </c>
      <c r="S967" s="111">
        <v>51.0</v>
      </c>
      <c r="T967" s="112">
        <v>54.0</v>
      </c>
      <c r="U967" s="24" t="s">
        <v>39</v>
      </c>
      <c r="V967" s="11" t="s">
        <v>3945</v>
      </c>
      <c r="W967" s="108">
        <v>6.0</v>
      </c>
      <c r="X967" s="113">
        <v>122414.0</v>
      </c>
      <c r="Y967" s="113">
        <v>43015.0</v>
      </c>
      <c r="Z967" s="11">
        <v>168.0</v>
      </c>
      <c r="AA967" s="113">
        <v>122317.0</v>
      </c>
      <c r="AB967" s="109">
        <v>46883.49</v>
      </c>
      <c r="AC967" s="113">
        <v>123021.0</v>
      </c>
      <c r="AD967" s="108">
        <v>8.0</v>
      </c>
    </row>
    <row r="968">
      <c r="A968" s="11">
        <v>59.0</v>
      </c>
      <c r="B968" s="11">
        <v>8.0</v>
      </c>
      <c r="C968" s="11">
        <v>9.0</v>
      </c>
      <c r="D968" s="17">
        <v>12.0</v>
      </c>
      <c r="E968" s="108">
        <v>1.0</v>
      </c>
      <c r="F968" s="109">
        <v>92510.6</v>
      </c>
      <c r="G968" s="109">
        <v>-64533.71</v>
      </c>
      <c r="H968" s="109">
        <v>-30875.41</v>
      </c>
      <c r="I968" s="109">
        <v>2837.8</v>
      </c>
      <c r="J968" s="109">
        <v>68631.59</v>
      </c>
      <c r="K968" s="109">
        <v>18663.19</v>
      </c>
      <c r="L968" s="109">
        <v>-76607.32</v>
      </c>
      <c r="M968" s="109">
        <v>25055.12</v>
      </c>
      <c r="N968" s="110">
        <v>20810.0</v>
      </c>
      <c r="O968" s="110">
        <v>20330.0</v>
      </c>
      <c r="P968" s="110">
        <v>50623.0</v>
      </c>
      <c r="Q968" s="110">
        <v>22830.0</v>
      </c>
      <c r="R968" s="50">
        <v>22221.0</v>
      </c>
      <c r="S968" s="111">
        <v>53.0</v>
      </c>
      <c r="T968" s="112">
        <v>97.0</v>
      </c>
      <c r="U968" s="24" t="s">
        <v>31</v>
      </c>
      <c r="V968" s="11" t="s">
        <v>3901</v>
      </c>
      <c r="W968" s="108">
        <v>5.0</v>
      </c>
      <c r="X968" s="113">
        <v>32916.0</v>
      </c>
      <c r="Y968" s="113">
        <v>91319.0</v>
      </c>
      <c r="Z968" s="11">
        <v>139.0</v>
      </c>
      <c r="AA968" s="113">
        <v>80616.0</v>
      </c>
      <c r="AB968" s="109">
        <v>-11408.26</v>
      </c>
      <c r="AC968" s="113">
        <v>62019.0</v>
      </c>
      <c r="AD968" s="108">
        <v>4.0</v>
      </c>
    </row>
    <row r="969">
      <c r="A969" s="11">
        <v>39.0</v>
      </c>
      <c r="B969" s="11">
        <v>4.0</v>
      </c>
      <c r="C969" s="11">
        <v>5.0</v>
      </c>
      <c r="D969" s="17">
        <v>96.0</v>
      </c>
      <c r="E969" s="108">
        <v>6.0</v>
      </c>
      <c r="F969" s="109">
        <v>-2498.79</v>
      </c>
      <c r="G969" s="109">
        <v>27339.48</v>
      </c>
      <c r="H969" s="109">
        <v>14454.67</v>
      </c>
      <c r="I969" s="109">
        <v>-44997.35</v>
      </c>
      <c r="J969" s="109">
        <v>-38385.3</v>
      </c>
      <c r="K969" s="109">
        <v>-20936.33</v>
      </c>
      <c r="L969" s="109">
        <v>-23492.99</v>
      </c>
      <c r="M969" s="109">
        <v>43312.49</v>
      </c>
      <c r="N969" s="110">
        <v>111914.0</v>
      </c>
      <c r="O969" s="110">
        <v>111144.0</v>
      </c>
      <c r="P969" s="110">
        <v>51223.0</v>
      </c>
      <c r="Q969" s="110">
        <v>113044.0</v>
      </c>
      <c r="R969" s="50">
        <v>40717.0</v>
      </c>
      <c r="S969" s="111">
        <v>50.0</v>
      </c>
      <c r="T969" s="112">
        <v>67.0</v>
      </c>
      <c r="U969" s="24" t="s">
        <v>31</v>
      </c>
      <c r="V969" s="11" t="s">
        <v>4038</v>
      </c>
      <c r="W969" s="108">
        <v>1.0</v>
      </c>
      <c r="X969" s="113">
        <v>12020.0</v>
      </c>
      <c r="Y969" s="113">
        <v>71523.0</v>
      </c>
      <c r="Z969" s="11">
        <v>167.0</v>
      </c>
      <c r="AA969" s="113">
        <v>81222.0</v>
      </c>
      <c r="AB969" s="109">
        <v>67688.55</v>
      </c>
      <c r="AC969" s="113">
        <v>83020.0</v>
      </c>
      <c r="AD969" s="108">
        <v>8.0</v>
      </c>
    </row>
    <row r="970">
      <c r="A970" s="11">
        <v>19.0</v>
      </c>
      <c r="B970" s="11">
        <v>1.0</v>
      </c>
      <c r="C970" s="11">
        <v>2.0</v>
      </c>
      <c r="D970" s="17">
        <v>74.0</v>
      </c>
      <c r="E970" s="108">
        <v>0.0</v>
      </c>
      <c r="F970" s="109">
        <v>57829.88</v>
      </c>
      <c r="G970" s="109">
        <v>-8613.0</v>
      </c>
      <c r="H970" s="109">
        <v>85813.16</v>
      </c>
      <c r="I970" s="109">
        <v>99657.91</v>
      </c>
      <c r="J970" s="109">
        <v>-25825.68</v>
      </c>
      <c r="K970" s="109">
        <v>-50656.11</v>
      </c>
      <c r="L970" s="109">
        <v>-55717.46</v>
      </c>
      <c r="M970" s="109">
        <v>52363.73</v>
      </c>
      <c r="N970" s="110">
        <v>51511.0</v>
      </c>
      <c r="O970" s="110">
        <v>51031.0</v>
      </c>
      <c r="P970" s="110">
        <v>50123.0</v>
      </c>
      <c r="Q970" s="110">
        <v>53131.0</v>
      </c>
      <c r="R970" s="50">
        <v>60820.0</v>
      </c>
      <c r="S970" s="111">
        <v>50.0</v>
      </c>
      <c r="T970" s="112">
        <v>84.0</v>
      </c>
      <c r="U970" s="24" t="s">
        <v>601</v>
      </c>
      <c r="V970" s="11" t="s">
        <v>3855</v>
      </c>
      <c r="W970" s="108">
        <v>2.0</v>
      </c>
      <c r="X970" s="113">
        <v>60117.0</v>
      </c>
      <c r="Y970" s="113">
        <v>82721.0</v>
      </c>
      <c r="Z970" s="11">
        <v>177.0</v>
      </c>
      <c r="AA970" s="113">
        <v>102215.0</v>
      </c>
      <c r="AB970" s="109">
        <v>24729.96</v>
      </c>
      <c r="AC970" s="113">
        <v>41320.0</v>
      </c>
      <c r="AD970" s="108">
        <v>3.0</v>
      </c>
    </row>
    <row r="971">
      <c r="A971" s="11">
        <v>39.0</v>
      </c>
      <c r="B971" s="11">
        <v>6.0</v>
      </c>
      <c r="C971" s="11">
        <v>3.0</v>
      </c>
      <c r="D971" s="17">
        <v>23.0</v>
      </c>
      <c r="E971" s="108">
        <v>0.0</v>
      </c>
      <c r="F971" s="109">
        <v>32817.74</v>
      </c>
      <c r="G971" s="109">
        <v>-93468.21</v>
      </c>
      <c r="H971" s="109">
        <v>88205.06</v>
      </c>
      <c r="I971" s="109">
        <v>-90927.79</v>
      </c>
      <c r="J971" s="109">
        <v>-22532.28</v>
      </c>
      <c r="K971" s="109">
        <v>71715.58</v>
      </c>
      <c r="L971" s="109">
        <v>-56159.96</v>
      </c>
      <c r="M971" s="109">
        <v>6435.66</v>
      </c>
      <c r="N971" s="110">
        <v>81012.0</v>
      </c>
      <c r="O971" s="110">
        <v>80342.0</v>
      </c>
      <c r="P971" s="110">
        <v>51523.0</v>
      </c>
      <c r="Q971" s="110">
        <v>83142.0</v>
      </c>
      <c r="R971" s="50">
        <v>30718.0</v>
      </c>
      <c r="S971" s="111">
        <v>51.0</v>
      </c>
      <c r="T971" s="112">
        <v>32.0</v>
      </c>
      <c r="U971" s="24" t="s">
        <v>601</v>
      </c>
      <c r="V971" s="11" t="s">
        <v>3867</v>
      </c>
      <c r="W971" s="108">
        <v>5.0</v>
      </c>
      <c r="X971" s="113">
        <v>71922.0</v>
      </c>
      <c r="Y971" s="113">
        <v>31923.0</v>
      </c>
      <c r="Z971" s="11">
        <v>179.0</v>
      </c>
      <c r="AA971" s="113">
        <v>101716.0</v>
      </c>
      <c r="AB971" s="109">
        <v>60903.33</v>
      </c>
      <c r="AC971" s="113">
        <v>41519.0</v>
      </c>
      <c r="AD971" s="108">
        <v>2.0</v>
      </c>
    </row>
    <row r="972">
      <c r="A972" s="11">
        <v>19.0</v>
      </c>
      <c r="B972" s="11">
        <v>1.0</v>
      </c>
      <c r="C972" s="11">
        <v>6.0</v>
      </c>
      <c r="D972" s="17">
        <v>33.0</v>
      </c>
      <c r="E972" s="108">
        <v>8.0</v>
      </c>
      <c r="F972" s="109">
        <v>-37732.33</v>
      </c>
      <c r="G972" s="109">
        <v>46200.74</v>
      </c>
      <c r="H972" s="109">
        <v>95363.26</v>
      </c>
      <c r="I972" s="109">
        <v>30268.61</v>
      </c>
      <c r="J972" s="109">
        <v>94326.75</v>
      </c>
      <c r="K972" s="109">
        <v>-35016.41</v>
      </c>
      <c r="L972" s="109">
        <v>-79851.6</v>
      </c>
      <c r="M972" s="109">
        <v>-12465.99</v>
      </c>
      <c r="N972" s="110">
        <v>122113.0</v>
      </c>
      <c r="O972" s="110">
        <v>121443.0</v>
      </c>
      <c r="P972" s="110">
        <v>50123.0</v>
      </c>
      <c r="Q972" s="110">
        <v>123142.0</v>
      </c>
      <c r="R972" s="50">
        <v>101716.0</v>
      </c>
      <c r="S972" s="111">
        <v>51.0</v>
      </c>
      <c r="T972" s="112">
        <v>12.0</v>
      </c>
      <c r="U972" s="24" t="s">
        <v>603</v>
      </c>
      <c r="V972" s="11" t="s">
        <v>4068</v>
      </c>
      <c r="W972" s="108">
        <v>2.0</v>
      </c>
      <c r="X972" s="113">
        <v>20918.0</v>
      </c>
      <c r="Y972" s="113">
        <v>50621.0</v>
      </c>
      <c r="Z972" s="11">
        <v>122.0</v>
      </c>
      <c r="AA972" s="113">
        <v>42523.0</v>
      </c>
      <c r="AB972" s="109">
        <v>-66592.27</v>
      </c>
      <c r="AC972" s="113">
        <v>110513.0</v>
      </c>
      <c r="AD972" s="108">
        <v>7.0</v>
      </c>
    </row>
    <row r="973">
      <c r="A973" s="11">
        <v>56.0</v>
      </c>
      <c r="B973" s="11">
        <v>7.0</v>
      </c>
      <c r="C973" s="11">
        <v>3.0</v>
      </c>
      <c r="D973" s="17">
        <v>53.0</v>
      </c>
      <c r="E973" s="108">
        <v>6.0</v>
      </c>
      <c r="F973" s="109">
        <v>96145.9</v>
      </c>
      <c r="G973" s="109">
        <v>1039.74</v>
      </c>
      <c r="H973" s="109">
        <v>34920.32</v>
      </c>
      <c r="I973" s="109">
        <v>8351.14</v>
      </c>
      <c r="J973" s="109">
        <v>15983.33</v>
      </c>
      <c r="K973" s="109">
        <v>4391.67</v>
      </c>
      <c r="L973" s="109">
        <v>-48990.0</v>
      </c>
      <c r="M973" s="109">
        <v>-45609.94</v>
      </c>
      <c r="N973" s="110">
        <v>111612.0</v>
      </c>
      <c r="O973" s="110">
        <v>111422.0</v>
      </c>
      <c r="P973" s="110">
        <v>51923.0</v>
      </c>
      <c r="Q973" s="110">
        <v>113022.0</v>
      </c>
      <c r="R973" s="50">
        <v>63015.0</v>
      </c>
      <c r="S973" s="111">
        <v>50.0</v>
      </c>
      <c r="T973" s="112">
        <v>12.0</v>
      </c>
      <c r="U973" s="24" t="s">
        <v>48</v>
      </c>
      <c r="V973" s="11" t="s">
        <v>4078</v>
      </c>
      <c r="W973" s="108">
        <v>2.0</v>
      </c>
      <c r="X973" s="113">
        <v>20213.0</v>
      </c>
      <c r="Y973" s="113">
        <v>112420.0</v>
      </c>
      <c r="Z973" s="11">
        <v>165.0</v>
      </c>
      <c r="AA973" s="113">
        <v>91415.0</v>
      </c>
      <c r="AB973" s="109">
        <v>-37144.3</v>
      </c>
      <c r="AC973" s="113">
        <v>110820.0</v>
      </c>
      <c r="AD973" s="108">
        <v>5.0</v>
      </c>
    </row>
    <row r="974">
      <c r="A974" s="11">
        <v>39.0</v>
      </c>
      <c r="B974" s="11">
        <v>7.0</v>
      </c>
      <c r="C974" s="11">
        <v>4.0</v>
      </c>
      <c r="D974" s="17">
        <v>3.0</v>
      </c>
      <c r="E974" s="108">
        <v>0.0</v>
      </c>
      <c r="F974" s="109">
        <v>-9759.46</v>
      </c>
      <c r="G974" s="109">
        <v>-85596.58</v>
      </c>
      <c r="H974" s="109">
        <v>69644.53</v>
      </c>
      <c r="I974" s="109">
        <v>19863.14</v>
      </c>
      <c r="J974" s="109">
        <v>71846.61</v>
      </c>
      <c r="K974" s="109">
        <v>-75990.07</v>
      </c>
      <c r="L974" s="109">
        <v>59698.85</v>
      </c>
      <c r="M974" s="109">
        <v>34729.28</v>
      </c>
      <c r="N974" s="110">
        <v>43011.0</v>
      </c>
      <c r="O974" s="110">
        <v>42241.0</v>
      </c>
      <c r="P974" s="110">
        <v>50123.0</v>
      </c>
      <c r="Q974" s="110">
        <v>43041.0</v>
      </c>
      <c r="R974" s="50">
        <v>100313.0</v>
      </c>
      <c r="S974" s="111">
        <v>55.0</v>
      </c>
      <c r="T974" s="112">
        <v>15.0</v>
      </c>
      <c r="U974" s="24" t="s">
        <v>603</v>
      </c>
      <c r="V974" s="11" t="s">
        <v>4095</v>
      </c>
      <c r="W974" s="108">
        <v>2.0</v>
      </c>
      <c r="X974" s="113">
        <v>82118.0</v>
      </c>
      <c r="Y974" s="113">
        <v>92015.0</v>
      </c>
      <c r="Z974" s="11">
        <v>116.0</v>
      </c>
      <c r="AA974" s="113">
        <v>30220.0</v>
      </c>
      <c r="AB974" s="109">
        <v>40267.1</v>
      </c>
      <c r="AC974" s="113">
        <v>72423.0</v>
      </c>
      <c r="AD974" s="108">
        <v>0.0</v>
      </c>
    </row>
    <row r="975">
      <c r="A975" s="11">
        <v>39.0</v>
      </c>
      <c r="B975" s="11">
        <v>8.0</v>
      </c>
      <c r="C975" s="11">
        <v>4.0</v>
      </c>
      <c r="D975" s="17">
        <v>34.0</v>
      </c>
      <c r="E975" s="108">
        <v>7.0</v>
      </c>
      <c r="F975" s="109">
        <v>-69910.49</v>
      </c>
      <c r="G975" s="109">
        <v>57534.14</v>
      </c>
      <c r="H975" s="109">
        <v>-24202.31</v>
      </c>
      <c r="I975" s="109">
        <v>17304.95</v>
      </c>
      <c r="J975" s="109">
        <v>-49178.28</v>
      </c>
      <c r="K975" s="109">
        <v>21897.66</v>
      </c>
      <c r="L975" s="109">
        <v>57835.81</v>
      </c>
      <c r="M975" s="109">
        <v>-61813.91</v>
      </c>
      <c r="N975" s="110">
        <v>61012.0</v>
      </c>
      <c r="O975" s="110">
        <v>60342.0</v>
      </c>
      <c r="P975" s="110">
        <v>52723.0</v>
      </c>
      <c r="Q975" s="110">
        <v>63042.0</v>
      </c>
      <c r="R975" s="50">
        <v>12222.0</v>
      </c>
      <c r="S975" s="111">
        <v>51.0</v>
      </c>
      <c r="T975" s="112">
        <v>49.0</v>
      </c>
      <c r="U975" s="24" t="s">
        <v>48</v>
      </c>
      <c r="V975" s="11" t="s">
        <v>3922</v>
      </c>
      <c r="W975" s="108">
        <v>2.0</v>
      </c>
      <c r="X975" s="113">
        <v>100519.0</v>
      </c>
      <c r="Y975" s="113">
        <v>90619.0</v>
      </c>
      <c r="Z975" s="11">
        <v>164.0</v>
      </c>
      <c r="AA975" s="113">
        <v>30118.0</v>
      </c>
      <c r="AB975" s="109">
        <v>-85800.62</v>
      </c>
      <c r="AC975" s="113">
        <v>30323.0</v>
      </c>
      <c r="AD975" s="108">
        <v>5.0</v>
      </c>
    </row>
    <row r="976">
      <c r="A976" s="11">
        <v>39.0</v>
      </c>
      <c r="B976" s="11">
        <v>8.0</v>
      </c>
      <c r="C976" s="11">
        <v>8.0</v>
      </c>
      <c r="D976" s="17">
        <v>15.0</v>
      </c>
      <c r="E976" s="108">
        <v>8.0</v>
      </c>
      <c r="F976" s="109">
        <v>46462.39</v>
      </c>
      <c r="G976" s="109">
        <v>21824.47</v>
      </c>
      <c r="H976" s="109">
        <v>-46806.21</v>
      </c>
      <c r="I976" s="109">
        <v>19775.03</v>
      </c>
      <c r="J976" s="109">
        <v>-61856.49</v>
      </c>
      <c r="K976" s="109">
        <v>34665.26</v>
      </c>
      <c r="L976" s="109">
        <v>-45655.32</v>
      </c>
      <c r="M976" s="109">
        <v>-50083.85</v>
      </c>
      <c r="N976" s="110">
        <v>52711.0</v>
      </c>
      <c r="O976" s="110">
        <v>51941.0</v>
      </c>
      <c r="P976" s="110">
        <v>52123.0</v>
      </c>
      <c r="Q976" s="110">
        <v>53141.0</v>
      </c>
      <c r="R976" s="50">
        <v>112118.0</v>
      </c>
      <c r="S976" s="111">
        <v>51.0</v>
      </c>
      <c r="T976" s="112">
        <v>34.0</v>
      </c>
      <c r="U976" s="24" t="s">
        <v>603</v>
      </c>
      <c r="V976" s="11" t="s">
        <v>3879</v>
      </c>
      <c r="W976" s="108">
        <v>8.0</v>
      </c>
      <c r="X976" s="113">
        <v>50815.0</v>
      </c>
      <c r="Y976" s="113">
        <v>120921.0</v>
      </c>
      <c r="Z976" s="11">
        <v>106.0</v>
      </c>
      <c r="AA976" s="113">
        <v>92020.0</v>
      </c>
      <c r="AB976" s="109">
        <v>-75661.55</v>
      </c>
      <c r="AC976" s="113">
        <v>101722.0</v>
      </c>
      <c r="AD976" s="108">
        <v>9.0</v>
      </c>
    </row>
    <row r="977">
      <c r="A977" s="11">
        <v>19.0</v>
      </c>
      <c r="B977" s="11">
        <v>4.0</v>
      </c>
      <c r="C977" s="11">
        <v>7.0</v>
      </c>
      <c r="D977" s="17">
        <v>20.0</v>
      </c>
      <c r="E977" s="108">
        <v>0.0</v>
      </c>
      <c r="F977" s="109">
        <v>46435.56</v>
      </c>
      <c r="G977" s="109">
        <v>53386.51</v>
      </c>
      <c r="H977" s="109">
        <v>-5119.64</v>
      </c>
      <c r="I977" s="109">
        <v>4222.19</v>
      </c>
      <c r="J977" s="109">
        <v>-75440.18</v>
      </c>
      <c r="K977" s="109">
        <v>-68847.62</v>
      </c>
      <c r="L977" s="109">
        <v>-36069.65</v>
      </c>
      <c r="M977" s="109">
        <v>97820.35</v>
      </c>
      <c r="N977" s="110">
        <v>111412.0</v>
      </c>
      <c r="O977" s="110">
        <v>110932.0</v>
      </c>
      <c r="P977" s="110">
        <v>53023.0</v>
      </c>
      <c r="Q977" s="110">
        <v>113032.0</v>
      </c>
      <c r="R977" s="50">
        <v>50613.0</v>
      </c>
      <c r="S977" s="111">
        <v>51.0</v>
      </c>
      <c r="T977" s="112">
        <v>31.0</v>
      </c>
      <c r="U977" s="24" t="s">
        <v>31</v>
      </c>
      <c r="V977" s="11" t="s">
        <v>4097</v>
      </c>
      <c r="W977" s="108">
        <v>3.0</v>
      </c>
      <c r="X977" s="113">
        <v>63113.0</v>
      </c>
      <c r="Y977" s="113">
        <v>120721.0</v>
      </c>
      <c r="Z977" s="11">
        <v>180.0</v>
      </c>
      <c r="AA977" s="113">
        <v>61923.0</v>
      </c>
      <c r="AB977" s="109">
        <v>-27103.1</v>
      </c>
      <c r="AC977" s="113">
        <v>41617.0</v>
      </c>
      <c r="AD977" s="108">
        <v>7.0</v>
      </c>
    </row>
    <row r="978">
      <c r="A978" s="11">
        <v>19.0</v>
      </c>
      <c r="B978" s="11">
        <v>4.0</v>
      </c>
      <c r="C978" s="11">
        <v>9.0</v>
      </c>
      <c r="D978" s="17">
        <v>54.0</v>
      </c>
      <c r="E978" s="108">
        <v>4.0</v>
      </c>
      <c r="F978" s="109">
        <v>-39554.93</v>
      </c>
      <c r="G978" s="109">
        <v>40015.53</v>
      </c>
      <c r="H978" s="109">
        <v>34550.29</v>
      </c>
      <c r="I978" s="109">
        <v>74328.64</v>
      </c>
      <c r="J978" s="109">
        <v>69994.68</v>
      </c>
      <c r="K978" s="109">
        <v>56024.74</v>
      </c>
      <c r="L978" s="109">
        <v>-58738.34</v>
      </c>
      <c r="M978" s="109">
        <v>21523.02</v>
      </c>
      <c r="N978" s="110">
        <v>71812.0</v>
      </c>
      <c r="O978" s="110">
        <v>71622.0</v>
      </c>
      <c r="P978" s="110">
        <v>52923.0</v>
      </c>
      <c r="Q978" s="110">
        <v>73122.0</v>
      </c>
      <c r="R978" s="50">
        <v>50120.0</v>
      </c>
      <c r="S978" s="111">
        <v>50.0</v>
      </c>
      <c r="T978" s="112">
        <v>86.0</v>
      </c>
      <c r="U978" s="24" t="s">
        <v>39</v>
      </c>
      <c r="V978" s="11" t="s">
        <v>4056</v>
      </c>
      <c r="W978" s="108">
        <v>4.0</v>
      </c>
      <c r="X978" s="113">
        <v>80119.0</v>
      </c>
      <c r="Y978" s="113">
        <v>82213.0</v>
      </c>
      <c r="Z978" s="11">
        <v>185.0</v>
      </c>
      <c r="AA978" s="113">
        <v>90521.0</v>
      </c>
      <c r="AB978" s="109">
        <v>-86344.72</v>
      </c>
      <c r="AC978" s="113">
        <v>31623.0</v>
      </c>
      <c r="AD978" s="108">
        <v>7.0</v>
      </c>
    </row>
    <row r="979">
      <c r="A979" s="11">
        <v>19.0</v>
      </c>
      <c r="B979" s="11">
        <v>5.0</v>
      </c>
      <c r="C979" s="11">
        <v>1.0</v>
      </c>
      <c r="D979" s="17">
        <v>74.0</v>
      </c>
      <c r="E979" s="108">
        <v>1.0</v>
      </c>
      <c r="F979" s="109">
        <v>30362.91</v>
      </c>
      <c r="G979" s="109">
        <v>22334.82</v>
      </c>
      <c r="H979" s="109">
        <v>97437.08</v>
      </c>
      <c r="I979" s="109">
        <v>-26047.43</v>
      </c>
      <c r="J979" s="109">
        <v>90685.93</v>
      </c>
      <c r="K979" s="109">
        <v>90562.51</v>
      </c>
      <c r="L979" s="109">
        <v>-80120.31</v>
      </c>
      <c r="M979" s="109">
        <v>-65916.18</v>
      </c>
      <c r="N979" s="110">
        <v>80812.0</v>
      </c>
      <c r="O979" s="110">
        <v>80332.0</v>
      </c>
      <c r="P979" s="110">
        <v>52223.0</v>
      </c>
      <c r="Q979" s="110">
        <v>83132.0</v>
      </c>
      <c r="R979" s="50">
        <v>92415.0</v>
      </c>
      <c r="S979" s="111">
        <v>50.0</v>
      </c>
      <c r="T979" s="112">
        <v>77.0</v>
      </c>
      <c r="U979" s="24" t="s">
        <v>31</v>
      </c>
      <c r="V979" s="11" t="s">
        <v>3883</v>
      </c>
      <c r="W979" s="108">
        <v>8.0</v>
      </c>
      <c r="X979" s="113">
        <v>121918.0</v>
      </c>
      <c r="Y979" s="113">
        <v>100617.0</v>
      </c>
      <c r="Z979" s="11">
        <v>178.0</v>
      </c>
      <c r="AA979" s="113">
        <v>10913.0</v>
      </c>
      <c r="AB979" s="109">
        <v>50764.65</v>
      </c>
      <c r="AC979" s="113">
        <v>52221.0</v>
      </c>
      <c r="AD979" s="108">
        <v>7.0</v>
      </c>
    </row>
    <row r="980">
      <c r="A980" s="11">
        <v>39.0</v>
      </c>
      <c r="B980" s="11">
        <v>9.0</v>
      </c>
      <c r="C980" s="11">
        <v>9.0</v>
      </c>
      <c r="D980" s="17">
        <v>17.0</v>
      </c>
      <c r="E980" s="108">
        <v>5.0</v>
      </c>
      <c r="F980" s="109">
        <v>52395.8</v>
      </c>
      <c r="G980" s="109">
        <v>42117.47</v>
      </c>
      <c r="H980" s="109">
        <v>-96888.22</v>
      </c>
      <c r="I980" s="109">
        <v>-4291.75</v>
      </c>
      <c r="J980" s="109">
        <v>-45075.98</v>
      </c>
      <c r="K980" s="109">
        <v>-75414.8</v>
      </c>
      <c r="L980" s="109">
        <v>52071.08</v>
      </c>
      <c r="M980" s="109">
        <v>-943.39</v>
      </c>
      <c r="N980" s="110">
        <v>51511.0</v>
      </c>
      <c r="O980" s="110">
        <v>51221.0</v>
      </c>
      <c r="P980" s="110">
        <v>52023.0</v>
      </c>
      <c r="Q980" s="110">
        <v>53121.0</v>
      </c>
      <c r="R980" s="50">
        <v>21213.0</v>
      </c>
      <c r="S980" s="111">
        <v>55.0</v>
      </c>
      <c r="T980" s="112">
        <v>26.0</v>
      </c>
      <c r="U980" s="24" t="s">
        <v>39</v>
      </c>
      <c r="V980" s="11" t="s">
        <v>4089</v>
      </c>
      <c r="W980" s="108">
        <v>4.0</v>
      </c>
      <c r="X980" s="113">
        <v>20214.0</v>
      </c>
      <c r="Y980" s="113">
        <v>100117.0</v>
      </c>
      <c r="Z980" s="11">
        <v>129.0</v>
      </c>
      <c r="AA980" s="113">
        <v>82319.0</v>
      </c>
      <c r="AB980" s="109">
        <v>45624.4</v>
      </c>
      <c r="AC980" s="113">
        <v>61622.0</v>
      </c>
      <c r="AD980" s="108">
        <v>5.0</v>
      </c>
    </row>
    <row r="981">
      <c r="A981" s="11">
        <v>19.0</v>
      </c>
      <c r="B981" s="11">
        <v>5.0</v>
      </c>
      <c r="C981" s="11">
        <v>3.0</v>
      </c>
      <c r="D981" s="17">
        <v>64.0</v>
      </c>
      <c r="E981" s="108">
        <v>6.0</v>
      </c>
      <c r="F981" s="109">
        <v>-61859.82</v>
      </c>
      <c r="G981" s="109">
        <v>18554.59</v>
      </c>
      <c r="H981" s="109">
        <v>11907.74</v>
      </c>
      <c r="I981" s="109">
        <v>-51184.38</v>
      </c>
      <c r="J981" s="109">
        <v>72384.85</v>
      </c>
      <c r="K981" s="109">
        <v>96517.5</v>
      </c>
      <c r="L981" s="109">
        <v>98959.6</v>
      </c>
      <c r="M981" s="109">
        <v>-65819.88</v>
      </c>
      <c r="N981" s="110">
        <v>102310.0</v>
      </c>
      <c r="O981" s="110">
        <v>101830.0</v>
      </c>
      <c r="P981" s="110">
        <v>51023.0</v>
      </c>
      <c r="Q981" s="110">
        <v>103130.0</v>
      </c>
      <c r="R981" s="50">
        <v>111921.0</v>
      </c>
      <c r="S981" s="111">
        <v>50.0</v>
      </c>
      <c r="T981" s="112">
        <v>64.0</v>
      </c>
      <c r="U981" s="24" t="s">
        <v>39</v>
      </c>
      <c r="V981" s="11" t="s">
        <v>3952</v>
      </c>
      <c r="W981" s="108">
        <v>4.0</v>
      </c>
      <c r="X981" s="113">
        <v>21119.0</v>
      </c>
      <c r="Y981" s="113">
        <v>43118.0</v>
      </c>
      <c r="Z981" s="11">
        <v>130.0</v>
      </c>
      <c r="AA981" s="113">
        <v>50213.0</v>
      </c>
      <c r="AB981" s="109">
        <v>53805.5</v>
      </c>
      <c r="AC981" s="113">
        <v>120213.0</v>
      </c>
      <c r="AD981" s="108">
        <v>0.0</v>
      </c>
    </row>
    <row r="982">
      <c r="A982" s="11">
        <v>19.0</v>
      </c>
      <c r="B982" s="11">
        <v>5.0</v>
      </c>
      <c r="C982" s="11">
        <v>6.0</v>
      </c>
      <c r="D982" s="17">
        <v>79.0</v>
      </c>
      <c r="E982" s="108">
        <v>3.0</v>
      </c>
      <c r="F982" s="109">
        <v>-77894.38</v>
      </c>
      <c r="G982" s="109">
        <v>-56344.66</v>
      </c>
      <c r="H982" s="109">
        <v>-69692.7</v>
      </c>
      <c r="I982" s="109">
        <v>42938.97</v>
      </c>
      <c r="J982" s="109">
        <v>-93814.29</v>
      </c>
      <c r="K982" s="109">
        <v>-80333.58</v>
      </c>
      <c r="L982" s="109">
        <v>10936.91</v>
      </c>
      <c r="M982" s="109">
        <v>11974.6</v>
      </c>
      <c r="N982" s="110">
        <v>60112.0</v>
      </c>
      <c r="O982" s="110">
        <v>53022.0</v>
      </c>
      <c r="P982" s="110">
        <v>50523.0</v>
      </c>
      <c r="Q982" s="110">
        <v>53122.0</v>
      </c>
      <c r="R982" s="50">
        <v>120315.0</v>
      </c>
      <c r="S982" s="111">
        <v>54.0</v>
      </c>
      <c r="T982" s="112">
        <v>95.0</v>
      </c>
      <c r="U982" s="24" t="s">
        <v>48</v>
      </c>
      <c r="V982" s="11" t="s">
        <v>3981</v>
      </c>
      <c r="W982" s="108">
        <v>9.0</v>
      </c>
      <c r="X982" s="113">
        <v>61522.0</v>
      </c>
      <c r="Y982" s="113">
        <v>80619.0</v>
      </c>
      <c r="Z982" s="11">
        <v>148.0</v>
      </c>
      <c r="AA982" s="113">
        <v>22318.0</v>
      </c>
      <c r="AB982" s="109">
        <v>59742.36</v>
      </c>
      <c r="AC982" s="113">
        <v>111722.0</v>
      </c>
      <c r="AD982" s="108">
        <v>6.0</v>
      </c>
    </row>
    <row r="983">
      <c r="A983" s="11">
        <v>19.0</v>
      </c>
      <c r="B983" s="11">
        <v>5.0</v>
      </c>
      <c r="C983" s="11">
        <v>8.0</v>
      </c>
      <c r="D983" s="17">
        <v>17.0</v>
      </c>
      <c r="E983" s="108">
        <v>2.0</v>
      </c>
      <c r="F983" s="109">
        <v>-43661.77</v>
      </c>
      <c r="G983" s="109">
        <v>71897.75</v>
      </c>
      <c r="H983" s="109">
        <v>-72983.3</v>
      </c>
      <c r="I983" s="109">
        <v>-65364.49</v>
      </c>
      <c r="J983" s="109">
        <v>84787.99</v>
      </c>
      <c r="K983" s="109">
        <v>-10882.78</v>
      </c>
      <c r="L983" s="109">
        <v>79582.98</v>
      </c>
      <c r="M983" s="109">
        <v>-63523.27</v>
      </c>
      <c r="N983" s="110">
        <v>110912.0</v>
      </c>
      <c r="O983" s="110">
        <v>110432.0</v>
      </c>
      <c r="P983" s="110">
        <v>52823.0</v>
      </c>
      <c r="Q983" s="110">
        <v>113032.0</v>
      </c>
      <c r="R983" s="50">
        <v>70314.0</v>
      </c>
      <c r="S983" s="111">
        <v>53.0</v>
      </c>
      <c r="T983" s="112">
        <v>97.0</v>
      </c>
      <c r="U983" s="24" t="s">
        <v>603</v>
      </c>
      <c r="V983" s="11" t="s">
        <v>3955</v>
      </c>
      <c r="W983" s="108">
        <v>8.0</v>
      </c>
      <c r="X983" s="113">
        <v>60215.0</v>
      </c>
      <c r="Y983" s="113">
        <v>52622.0</v>
      </c>
      <c r="Z983" s="11">
        <v>103.0</v>
      </c>
      <c r="AA983" s="113">
        <v>112716.0</v>
      </c>
      <c r="AB983" s="109">
        <v>58927.48</v>
      </c>
      <c r="AC983" s="113">
        <v>42719.0</v>
      </c>
      <c r="AD983" s="108">
        <v>7.0</v>
      </c>
    </row>
    <row r="984">
      <c r="A984" s="11">
        <v>19.0</v>
      </c>
      <c r="B984" s="11">
        <v>6.0</v>
      </c>
      <c r="C984" s="11">
        <v>4.0</v>
      </c>
      <c r="D984" s="17">
        <v>75.0</v>
      </c>
      <c r="E984" s="108">
        <v>8.0</v>
      </c>
      <c r="F984" s="109">
        <v>-44412.99</v>
      </c>
      <c r="G984" s="109">
        <v>-54741.93</v>
      </c>
      <c r="H984" s="109">
        <v>23146.9</v>
      </c>
      <c r="I984" s="109">
        <v>3204.61</v>
      </c>
      <c r="J984" s="109">
        <v>11041.18</v>
      </c>
      <c r="K984" s="109">
        <v>-55355.55</v>
      </c>
      <c r="L984" s="109">
        <v>-28089.51</v>
      </c>
      <c r="M984" s="109">
        <v>69044.06</v>
      </c>
      <c r="N984" s="110">
        <v>61211.0</v>
      </c>
      <c r="O984" s="110">
        <v>60441.0</v>
      </c>
      <c r="P984" s="110">
        <v>52123.0</v>
      </c>
      <c r="Q984" s="110">
        <v>63041.0</v>
      </c>
      <c r="R984" s="50">
        <v>62319.0</v>
      </c>
      <c r="S984" s="111">
        <v>54.0</v>
      </c>
      <c r="T984" s="112">
        <v>66.0</v>
      </c>
      <c r="U984" s="24" t="s">
        <v>31</v>
      </c>
      <c r="V984" s="11" t="s">
        <v>4006</v>
      </c>
      <c r="W984" s="108">
        <v>9.0</v>
      </c>
      <c r="X984" s="113">
        <v>30721.0</v>
      </c>
      <c r="Y984" s="113">
        <v>62321.0</v>
      </c>
      <c r="Z984" s="11">
        <v>175.0</v>
      </c>
      <c r="AA984" s="113">
        <v>72118.0</v>
      </c>
      <c r="AB984" s="109">
        <v>-57210.8</v>
      </c>
      <c r="AC984" s="113">
        <v>72222.0</v>
      </c>
      <c r="AD984" s="108">
        <v>6.0</v>
      </c>
    </row>
    <row r="985">
      <c r="A985" s="11">
        <v>19.0</v>
      </c>
      <c r="B985" s="11">
        <v>6.0</v>
      </c>
      <c r="C985" s="11">
        <v>7.0</v>
      </c>
      <c r="D985" s="17">
        <v>8.0</v>
      </c>
      <c r="E985" s="108">
        <v>3.0</v>
      </c>
      <c r="F985" s="109">
        <v>38364.6</v>
      </c>
      <c r="G985" s="109">
        <v>768.78</v>
      </c>
      <c r="H985" s="109">
        <v>99030.63</v>
      </c>
      <c r="I985" s="109">
        <v>-42649.76</v>
      </c>
      <c r="J985" s="109">
        <v>82899.33</v>
      </c>
      <c r="K985" s="109">
        <v>-16488.96</v>
      </c>
      <c r="L985" s="109">
        <v>-6031.19</v>
      </c>
      <c r="M985" s="109">
        <v>-66361.18</v>
      </c>
      <c r="N985" s="110">
        <v>20713.0</v>
      </c>
      <c r="O985" s="110">
        <v>13143.0</v>
      </c>
      <c r="P985" s="110">
        <v>50823.0</v>
      </c>
      <c r="Q985" s="110">
        <v>13143.0</v>
      </c>
      <c r="R985" s="50">
        <v>103018.0</v>
      </c>
      <c r="S985" s="111">
        <v>53.0</v>
      </c>
      <c r="T985" s="112">
        <v>23.0</v>
      </c>
      <c r="U985" s="24" t="s">
        <v>31</v>
      </c>
      <c r="V985" s="11" t="s">
        <v>4081</v>
      </c>
      <c r="W985" s="108">
        <v>8.0</v>
      </c>
      <c r="X985" s="113">
        <v>81721.0</v>
      </c>
      <c r="Y985" s="113">
        <v>112722.0</v>
      </c>
      <c r="Z985" s="11">
        <v>177.0</v>
      </c>
      <c r="AA985" s="113">
        <v>20420.0</v>
      </c>
      <c r="AB985" s="109">
        <v>46945.22</v>
      </c>
      <c r="AC985" s="113">
        <v>120520.0</v>
      </c>
      <c r="AD985" s="108">
        <v>9.0</v>
      </c>
    </row>
    <row r="986">
      <c r="A986" s="11">
        <v>81.0</v>
      </c>
      <c r="B986" s="11">
        <v>1.0</v>
      </c>
      <c r="C986" s="11">
        <v>5.0</v>
      </c>
      <c r="D986" s="17">
        <v>92.0</v>
      </c>
      <c r="E986" s="108">
        <v>2.0</v>
      </c>
      <c r="F986" s="109">
        <v>-70879.63</v>
      </c>
      <c r="G986" s="109">
        <v>83000.13</v>
      </c>
      <c r="H986" s="109">
        <v>-92584.25</v>
      </c>
      <c r="I986" s="109">
        <v>-56650.3</v>
      </c>
      <c r="J986" s="109">
        <v>-78625.53</v>
      </c>
      <c r="K986" s="109">
        <v>90548.04</v>
      </c>
      <c r="L986" s="109">
        <v>-12199.88</v>
      </c>
      <c r="M986" s="109">
        <v>17072.67</v>
      </c>
      <c r="N986" s="110">
        <v>122514.0</v>
      </c>
      <c r="O986" s="110">
        <v>122034.0</v>
      </c>
      <c r="P986" s="110">
        <v>50723.0</v>
      </c>
      <c r="Q986" s="110">
        <v>123133.0</v>
      </c>
      <c r="R986" s="50">
        <v>122521.0</v>
      </c>
      <c r="S986" s="111">
        <v>52.0</v>
      </c>
      <c r="T986" s="112">
        <v>25.0</v>
      </c>
      <c r="U986" s="24" t="s">
        <v>31</v>
      </c>
      <c r="V986" s="11" t="s">
        <v>4039</v>
      </c>
      <c r="W986" s="108">
        <v>1.0</v>
      </c>
      <c r="X986" s="113">
        <v>80920.0</v>
      </c>
      <c r="Y986" s="113">
        <v>111617.0</v>
      </c>
      <c r="Z986" s="11">
        <v>112.0</v>
      </c>
      <c r="AA986" s="113">
        <v>21921.0</v>
      </c>
      <c r="AB986" s="109">
        <v>-34146.0</v>
      </c>
      <c r="AC986" s="113">
        <v>50620.0</v>
      </c>
      <c r="AD986" s="108">
        <v>1.0</v>
      </c>
    </row>
    <row r="987">
      <c r="A987" s="11">
        <v>81.0</v>
      </c>
      <c r="B987" s="11">
        <v>1.0</v>
      </c>
      <c r="C987" s="11">
        <v>9.0</v>
      </c>
      <c r="D987" s="17">
        <v>10.0</v>
      </c>
      <c r="E987" s="108">
        <v>1.0</v>
      </c>
      <c r="F987" s="109">
        <v>-53481.05</v>
      </c>
      <c r="G987" s="109">
        <v>37930.85</v>
      </c>
      <c r="H987" s="109">
        <v>-46857.74</v>
      </c>
      <c r="I987" s="109">
        <v>-12537.27</v>
      </c>
      <c r="J987" s="109">
        <v>-21725.23</v>
      </c>
      <c r="K987" s="109">
        <v>-30992.67</v>
      </c>
      <c r="L987" s="109">
        <v>31723.73</v>
      </c>
      <c r="M987" s="109">
        <v>48575.3</v>
      </c>
      <c r="N987" s="110">
        <v>102914.0</v>
      </c>
      <c r="O987" s="110">
        <v>102434.0</v>
      </c>
      <c r="P987" s="110">
        <v>50723.0</v>
      </c>
      <c r="Q987" s="110">
        <v>103134.0</v>
      </c>
      <c r="R987" s="50">
        <v>62220.0</v>
      </c>
      <c r="S987" s="111">
        <v>50.0</v>
      </c>
      <c r="T987" s="112">
        <v>35.0</v>
      </c>
      <c r="U987" s="24" t="s">
        <v>601</v>
      </c>
      <c r="V987" s="11" t="s">
        <v>3864</v>
      </c>
      <c r="W987" s="108">
        <v>4.0</v>
      </c>
      <c r="X987" s="113">
        <v>13114.0</v>
      </c>
      <c r="Y987" s="113">
        <v>30918.0</v>
      </c>
      <c r="Z987" s="11">
        <v>153.0</v>
      </c>
      <c r="AA987" s="113">
        <v>11223.0</v>
      </c>
      <c r="AB987" s="109">
        <v>-78636.94</v>
      </c>
      <c r="AC987" s="113">
        <v>111016.0</v>
      </c>
      <c r="AD987" s="108">
        <v>9.0</v>
      </c>
    </row>
    <row r="988">
      <c r="A988" s="11">
        <v>19.0</v>
      </c>
      <c r="B988" s="11">
        <v>7.0</v>
      </c>
      <c r="C988" s="11">
        <v>6.0</v>
      </c>
      <c r="D988" s="17">
        <v>25.0</v>
      </c>
      <c r="E988" s="108">
        <v>2.0</v>
      </c>
      <c r="F988" s="109">
        <v>-18329.96</v>
      </c>
      <c r="G988" s="109">
        <v>-20143.55</v>
      </c>
      <c r="H988" s="109">
        <v>-68993.45</v>
      </c>
      <c r="I988" s="109">
        <v>93106.34</v>
      </c>
      <c r="J988" s="109">
        <v>97380.45</v>
      </c>
      <c r="K988" s="109">
        <v>70870.81</v>
      </c>
      <c r="L988" s="109">
        <v>-90546.92</v>
      </c>
      <c r="M988" s="109">
        <v>90070.09</v>
      </c>
      <c r="N988" s="110">
        <v>82110.0</v>
      </c>
      <c r="O988" s="110">
        <v>81630.0</v>
      </c>
      <c r="P988" s="110">
        <v>51323.0</v>
      </c>
      <c r="Q988" s="110">
        <v>83130.0</v>
      </c>
      <c r="R988" s="50">
        <v>40518.0</v>
      </c>
      <c r="S988" s="111">
        <v>54.0</v>
      </c>
      <c r="T988" s="112">
        <v>77.0</v>
      </c>
      <c r="U988" s="24" t="s">
        <v>39</v>
      </c>
      <c r="V988" s="11" t="s">
        <v>4086</v>
      </c>
      <c r="W988" s="108">
        <v>5.0</v>
      </c>
      <c r="X988" s="113">
        <v>91723.0</v>
      </c>
      <c r="Y988" s="113">
        <v>113121.0</v>
      </c>
      <c r="Z988" s="11">
        <v>195.0</v>
      </c>
      <c r="AA988" s="113">
        <v>101217.0</v>
      </c>
      <c r="AB988" s="109">
        <v>-92901.21</v>
      </c>
      <c r="AC988" s="113">
        <v>81222.0</v>
      </c>
      <c r="AD988" s="108">
        <v>4.0</v>
      </c>
    </row>
    <row r="989">
      <c r="A989" s="11">
        <v>19.0</v>
      </c>
      <c r="B989" s="11">
        <v>9.0</v>
      </c>
      <c r="C989" s="11">
        <v>1.0</v>
      </c>
      <c r="D989" s="17">
        <v>37.0</v>
      </c>
      <c r="E989" s="108">
        <v>9.0</v>
      </c>
      <c r="F989" s="109">
        <v>31968.99</v>
      </c>
      <c r="G989" s="109">
        <v>-51917.19</v>
      </c>
      <c r="H989" s="109">
        <v>44846.75</v>
      </c>
      <c r="I989" s="109">
        <v>60334.09</v>
      </c>
      <c r="J989" s="109">
        <v>-73005.61</v>
      </c>
      <c r="K989" s="109">
        <v>-21683.81</v>
      </c>
      <c r="L989" s="109">
        <v>85742.59</v>
      </c>
      <c r="M989" s="109">
        <v>46137.77</v>
      </c>
      <c r="N989" s="110">
        <v>42712.0</v>
      </c>
      <c r="O989" s="110">
        <v>42522.0</v>
      </c>
      <c r="P989" s="110">
        <v>52123.0</v>
      </c>
      <c r="Q989" s="110">
        <v>43022.0</v>
      </c>
      <c r="R989" s="50">
        <v>62316.0</v>
      </c>
      <c r="S989" s="111">
        <v>50.0</v>
      </c>
      <c r="T989" s="112">
        <v>74.0</v>
      </c>
      <c r="U989" s="24" t="s">
        <v>48</v>
      </c>
      <c r="V989" s="11" t="s">
        <v>3890</v>
      </c>
      <c r="W989" s="108">
        <v>5.0</v>
      </c>
      <c r="X989" s="113">
        <v>42323.0</v>
      </c>
      <c r="Y989" s="113">
        <v>32413.0</v>
      </c>
      <c r="Z989" s="11">
        <v>154.0</v>
      </c>
      <c r="AA989" s="113">
        <v>22322.0</v>
      </c>
      <c r="AB989" s="109">
        <v>38205.3</v>
      </c>
      <c r="AC989" s="113">
        <v>42617.0</v>
      </c>
      <c r="AD989" s="108">
        <v>8.0</v>
      </c>
    </row>
    <row r="990">
      <c r="A990" s="11">
        <v>81.0</v>
      </c>
      <c r="B990" s="11">
        <v>3.0</v>
      </c>
      <c r="C990" s="11">
        <v>6.0</v>
      </c>
      <c r="D990" s="17">
        <v>29.0</v>
      </c>
      <c r="E990" s="108">
        <v>0.0</v>
      </c>
      <c r="F990" s="109">
        <v>-37834.82</v>
      </c>
      <c r="G990" s="109">
        <v>41239.14</v>
      </c>
      <c r="H990" s="109">
        <v>-86021.04</v>
      </c>
      <c r="I990" s="109">
        <v>-27776.01</v>
      </c>
      <c r="J990" s="109">
        <v>-4823.95</v>
      </c>
      <c r="K990" s="109">
        <v>-29143.56</v>
      </c>
      <c r="L990" s="109">
        <v>-95389.42</v>
      </c>
      <c r="M990" s="109">
        <v>54062.65</v>
      </c>
      <c r="N990" s="110">
        <v>41814.0</v>
      </c>
      <c r="O990" s="110">
        <v>41334.0</v>
      </c>
      <c r="P990" s="110">
        <v>50223.0</v>
      </c>
      <c r="Q990" s="110">
        <v>43034.0</v>
      </c>
      <c r="R990" s="50">
        <v>121219.0</v>
      </c>
      <c r="S990" s="111">
        <v>54.0</v>
      </c>
      <c r="T990" s="112">
        <v>96.0</v>
      </c>
      <c r="U990" s="24" t="s">
        <v>601</v>
      </c>
      <c r="V990" s="11" t="s">
        <v>3999</v>
      </c>
      <c r="W990" s="108">
        <v>3.0</v>
      </c>
      <c r="X990" s="113">
        <v>93119.0</v>
      </c>
      <c r="Y990" s="113">
        <v>32013.0</v>
      </c>
      <c r="Z990" s="11">
        <v>165.0</v>
      </c>
      <c r="AA990" s="113">
        <v>82213.0</v>
      </c>
      <c r="AB990" s="109">
        <v>95250.85</v>
      </c>
      <c r="AC990" s="113">
        <v>113122.0</v>
      </c>
      <c r="AD990" s="108">
        <v>1.0</v>
      </c>
    </row>
    <row r="991">
      <c r="A991" s="11">
        <v>81.0</v>
      </c>
      <c r="B991" s="11">
        <v>3.0</v>
      </c>
      <c r="C991" s="11">
        <v>7.0</v>
      </c>
      <c r="D991" s="17">
        <v>14.0</v>
      </c>
      <c r="E991" s="108">
        <v>7.0</v>
      </c>
      <c r="F991" s="109">
        <v>96945.58</v>
      </c>
      <c r="G991" s="109">
        <v>40230.8</v>
      </c>
      <c r="H991" s="109">
        <v>-85832.41</v>
      </c>
      <c r="I991" s="109">
        <v>-68907.63</v>
      </c>
      <c r="J991" s="109">
        <v>-39599.05</v>
      </c>
      <c r="K991" s="109">
        <v>41288.18</v>
      </c>
      <c r="L991" s="109">
        <v>-25403.34</v>
      </c>
      <c r="M991" s="109">
        <v>55588.92</v>
      </c>
      <c r="N991" s="110">
        <v>110510.0</v>
      </c>
      <c r="O991" s="110">
        <v>110220.0</v>
      </c>
      <c r="P991" s="110">
        <v>50723.0</v>
      </c>
      <c r="Q991" s="110">
        <v>113020.0</v>
      </c>
      <c r="R991" s="50">
        <v>40814.0</v>
      </c>
      <c r="S991" s="111">
        <v>50.0</v>
      </c>
      <c r="T991" s="112">
        <v>63.0</v>
      </c>
      <c r="U991" s="24" t="s">
        <v>48</v>
      </c>
      <c r="V991" s="11" t="s">
        <v>4051</v>
      </c>
      <c r="W991" s="108">
        <v>1.0</v>
      </c>
      <c r="X991" s="113">
        <v>60420.0</v>
      </c>
      <c r="Y991" s="113">
        <v>121416.0</v>
      </c>
      <c r="Z991" s="11">
        <v>192.0</v>
      </c>
      <c r="AA991" s="113">
        <v>92420.0</v>
      </c>
      <c r="AB991" s="109">
        <v>82072.98</v>
      </c>
      <c r="AC991" s="113">
        <v>81714.0</v>
      </c>
      <c r="AD991" s="108">
        <v>0.0</v>
      </c>
    </row>
    <row r="992">
      <c r="A992" s="11">
        <v>19.0</v>
      </c>
      <c r="B992" s="11">
        <v>9.0</v>
      </c>
      <c r="C992" s="11">
        <v>6.0</v>
      </c>
      <c r="D992" s="17">
        <v>94.0</v>
      </c>
      <c r="E992" s="108">
        <v>1.0</v>
      </c>
      <c r="F992" s="109">
        <v>79720.58</v>
      </c>
      <c r="G992" s="109">
        <v>-97002.07</v>
      </c>
      <c r="H992" s="109">
        <v>1085.53</v>
      </c>
      <c r="I992" s="109">
        <v>-57408.36</v>
      </c>
      <c r="J992" s="109">
        <v>-68334.7</v>
      </c>
      <c r="K992" s="109">
        <v>-84987.5</v>
      </c>
      <c r="L992" s="109">
        <v>72514.85</v>
      </c>
      <c r="M992" s="109">
        <v>-1961.37</v>
      </c>
      <c r="N992" s="110">
        <v>62113.0</v>
      </c>
      <c r="O992" s="110">
        <v>61443.0</v>
      </c>
      <c r="P992" s="110">
        <v>50523.0</v>
      </c>
      <c r="Q992" s="110">
        <v>63043.0</v>
      </c>
      <c r="R992" s="50">
        <v>72414.0</v>
      </c>
      <c r="S992" s="111">
        <v>53.0</v>
      </c>
      <c r="T992" s="112">
        <v>87.0</v>
      </c>
      <c r="U992" s="24" t="s">
        <v>48</v>
      </c>
      <c r="V992" s="11" t="s">
        <v>3948</v>
      </c>
      <c r="W992" s="108">
        <v>7.0</v>
      </c>
      <c r="X992" s="113">
        <v>50714.0</v>
      </c>
      <c r="Y992" s="113">
        <v>82713.0</v>
      </c>
      <c r="Z992" s="11">
        <v>196.0</v>
      </c>
      <c r="AA992" s="113">
        <v>102818.0</v>
      </c>
      <c r="AB992" s="109">
        <v>86185.23</v>
      </c>
      <c r="AC992" s="113">
        <v>122223.0</v>
      </c>
      <c r="AD992" s="108">
        <v>9.0</v>
      </c>
    </row>
    <row r="993">
      <c r="A993" s="11">
        <v>81.0</v>
      </c>
      <c r="B993" s="11">
        <v>6.0</v>
      </c>
      <c r="C993" s="11">
        <v>5.0</v>
      </c>
      <c r="D993" s="17">
        <v>36.0</v>
      </c>
      <c r="E993" s="108">
        <v>7.0</v>
      </c>
      <c r="F993" s="109">
        <v>-30654.63</v>
      </c>
      <c r="G993" s="109">
        <v>-43407.8</v>
      </c>
      <c r="H993" s="109">
        <v>68618.11</v>
      </c>
      <c r="I993" s="109">
        <v>-39229.13</v>
      </c>
      <c r="J993" s="109">
        <v>-25352.47</v>
      </c>
      <c r="K993" s="109">
        <v>20715.61</v>
      </c>
      <c r="L993" s="109">
        <v>-13779.64</v>
      </c>
      <c r="M993" s="109">
        <v>47402.21</v>
      </c>
      <c r="N993" s="110">
        <v>52713.0</v>
      </c>
      <c r="O993" s="110">
        <v>52233.0</v>
      </c>
      <c r="P993" s="110">
        <v>50223.0</v>
      </c>
      <c r="Q993" s="110">
        <v>53133.0</v>
      </c>
      <c r="R993" s="50">
        <v>51517.0</v>
      </c>
      <c r="S993" s="111">
        <v>55.0</v>
      </c>
      <c r="T993" s="112">
        <v>45.0</v>
      </c>
      <c r="U993" s="24" t="s">
        <v>601</v>
      </c>
      <c r="V993" s="11" t="s">
        <v>3966</v>
      </c>
      <c r="W993" s="108">
        <v>9.0</v>
      </c>
      <c r="X993" s="113">
        <v>22818.0</v>
      </c>
      <c r="Y993" s="113">
        <v>92116.0</v>
      </c>
      <c r="Z993" s="11">
        <v>192.0</v>
      </c>
      <c r="AA993" s="113">
        <v>122816.0</v>
      </c>
      <c r="AB993" s="109">
        <v>-50297.39</v>
      </c>
      <c r="AC993" s="113">
        <v>41021.0</v>
      </c>
      <c r="AD993" s="108">
        <v>8.0</v>
      </c>
    </row>
    <row r="994">
      <c r="A994" s="11">
        <v>81.0</v>
      </c>
      <c r="B994" s="11">
        <v>6.0</v>
      </c>
      <c r="C994" s="11">
        <v>9.0</v>
      </c>
      <c r="D994" s="17">
        <v>58.0</v>
      </c>
      <c r="E994" s="108">
        <v>1.0</v>
      </c>
      <c r="F994" s="109">
        <v>70663.06</v>
      </c>
      <c r="G994" s="109">
        <v>-38300.38</v>
      </c>
      <c r="H994" s="109">
        <v>-37537.6</v>
      </c>
      <c r="I994" s="109">
        <v>71178.0</v>
      </c>
      <c r="J994" s="109">
        <v>-94798.1</v>
      </c>
      <c r="K994" s="109">
        <v>8122.51</v>
      </c>
      <c r="L994" s="109">
        <v>-76258.37</v>
      </c>
      <c r="M994" s="109">
        <v>21687.89</v>
      </c>
      <c r="N994" s="110">
        <v>51513.0</v>
      </c>
      <c r="O994" s="110">
        <v>51033.0</v>
      </c>
      <c r="P994" s="110">
        <v>50323.0</v>
      </c>
      <c r="Q994" s="110">
        <v>53133.0</v>
      </c>
      <c r="R994" s="50">
        <v>81721.0</v>
      </c>
      <c r="S994" s="111">
        <v>54.0</v>
      </c>
      <c r="T994" s="112">
        <v>40.0</v>
      </c>
      <c r="U994" s="24" t="s">
        <v>603</v>
      </c>
      <c r="V994" s="11" t="s">
        <v>3983</v>
      </c>
      <c r="W994" s="108">
        <v>3.0</v>
      </c>
      <c r="X994" s="113">
        <v>70920.0</v>
      </c>
      <c r="Y994" s="113">
        <v>42420.0</v>
      </c>
      <c r="Z994" s="11">
        <v>194.0</v>
      </c>
      <c r="AA994" s="113">
        <v>40520.0</v>
      </c>
      <c r="AB994" s="109">
        <v>-38003.16</v>
      </c>
      <c r="AC994" s="113">
        <v>113020.0</v>
      </c>
      <c r="AD994" s="108">
        <v>2.0</v>
      </c>
    </row>
    <row r="995">
      <c r="A995" s="11">
        <v>61.0</v>
      </c>
      <c r="B995" s="11">
        <v>2.0</v>
      </c>
      <c r="C995" s="11">
        <v>3.0</v>
      </c>
      <c r="D995" s="17">
        <v>91.0</v>
      </c>
      <c r="E995" s="108">
        <v>3.0</v>
      </c>
      <c r="F995" s="109">
        <v>40251.73</v>
      </c>
      <c r="G995" s="109">
        <v>89837.97</v>
      </c>
      <c r="H995" s="109">
        <v>79984.08</v>
      </c>
      <c r="I995" s="109">
        <v>86826.04</v>
      </c>
      <c r="J995" s="109">
        <v>89528.2</v>
      </c>
      <c r="K995" s="109">
        <v>-93548.67</v>
      </c>
      <c r="L995" s="109">
        <v>-88707.04</v>
      </c>
      <c r="M995" s="109">
        <v>-2891.44</v>
      </c>
      <c r="N995" s="110">
        <v>51711.0</v>
      </c>
      <c r="O995" s="110">
        <v>51231.0</v>
      </c>
      <c r="P995" s="110">
        <v>53023.0</v>
      </c>
      <c r="Q995" s="110">
        <v>53131.0</v>
      </c>
      <c r="R995" s="50">
        <v>81913.0</v>
      </c>
      <c r="S995" s="111">
        <v>50.0</v>
      </c>
      <c r="T995" s="112">
        <v>66.0</v>
      </c>
      <c r="U995" s="24" t="s">
        <v>39</v>
      </c>
      <c r="V995" s="11" t="s">
        <v>3960</v>
      </c>
      <c r="W995" s="108">
        <v>3.0</v>
      </c>
      <c r="X995" s="113">
        <v>81813.0</v>
      </c>
      <c r="Y995" s="113">
        <v>122421.0</v>
      </c>
      <c r="Z995" s="11">
        <v>138.0</v>
      </c>
      <c r="AA995" s="113">
        <v>82219.0</v>
      </c>
      <c r="AB995" s="109">
        <v>-11444.58</v>
      </c>
      <c r="AC995" s="113">
        <v>91217.0</v>
      </c>
      <c r="AD995" s="108">
        <v>2.0</v>
      </c>
    </row>
    <row r="996">
      <c r="A996" s="11">
        <v>61.0</v>
      </c>
      <c r="B996" s="11">
        <v>2.0</v>
      </c>
      <c r="C996" s="11">
        <v>4.0</v>
      </c>
      <c r="D996" s="17">
        <v>72.0</v>
      </c>
      <c r="E996" s="108">
        <v>4.0</v>
      </c>
      <c r="F996" s="109">
        <v>-40325.95</v>
      </c>
      <c r="G996" s="109">
        <v>52785.77</v>
      </c>
      <c r="H996" s="109">
        <v>14823.04</v>
      </c>
      <c r="I996" s="109">
        <v>-55491.67</v>
      </c>
      <c r="J996" s="109">
        <v>10830.56</v>
      </c>
      <c r="K996" s="109">
        <v>44614.38</v>
      </c>
      <c r="L996" s="109">
        <v>38683.05</v>
      </c>
      <c r="M996" s="109">
        <v>-83827.8</v>
      </c>
      <c r="N996" s="110">
        <v>13013.0</v>
      </c>
      <c r="O996" s="110">
        <v>12343.0</v>
      </c>
      <c r="P996" s="110">
        <v>51423.0</v>
      </c>
      <c r="Q996" s="110">
        <v>13143.0</v>
      </c>
      <c r="R996" s="50">
        <v>101019.0</v>
      </c>
      <c r="S996" s="111">
        <v>51.0</v>
      </c>
      <c r="T996" s="112">
        <v>76.0</v>
      </c>
      <c r="U996" s="24" t="s">
        <v>31</v>
      </c>
      <c r="V996" s="11" t="s">
        <v>3918</v>
      </c>
      <c r="W996" s="108">
        <v>6.0</v>
      </c>
      <c r="X996" s="113">
        <v>21714.0</v>
      </c>
      <c r="Y996" s="113">
        <v>52618.0</v>
      </c>
      <c r="Z996" s="11">
        <v>177.0</v>
      </c>
      <c r="AA996" s="113">
        <v>50121.0</v>
      </c>
      <c r="AB996" s="109">
        <v>83107.94</v>
      </c>
      <c r="AC996" s="113">
        <v>91518.0</v>
      </c>
      <c r="AD996" s="108">
        <v>3.0</v>
      </c>
    </row>
    <row r="997">
      <c r="A997" s="11">
        <v>81.0</v>
      </c>
      <c r="B997" s="11">
        <v>7.0</v>
      </c>
      <c r="C997" s="11">
        <v>2.0</v>
      </c>
      <c r="D997" s="17">
        <v>86.0</v>
      </c>
      <c r="E997" s="108">
        <v>0.0</v>
      </c>
      <c r="F997" s="109">
        <v>21023.02</v>
      </c>
      <c r="G997" s="109">
        <v>34696.98</v>
      </c>
      <c r="H997" s="109">
        <v>-89441.94</v>
      </c>
      <c r="I997" s="109">
        <v>-66506.89</v>
      </c>
      <c r="J997" s="109">
        <v>77298.33</v>
      </c>
      <c r="K997" s="109">
        <v>-90751.54</v>
      </c>
      <c r="L997" s="109">
        <v>30232.62</v>
      </c>
      <c r="M997" s="109">
        <v>82356.79</v>
      </c>
      <c r="N997" s="110">
        <v>22114.0</v>
      </c>
      <c r="O997" s="110">
        <v>21924.0</v>
      </c>
      <c r="P997" s="110">
        <v>52623.0</v>
      </c>
      <c r="Q997" s="110">
        <v>22924.0</v>
      </c>
      <c r="R997" s="50">
        <v>50414.0</v>
      </c>
      <c r="S997" s="111">
        <v>55.0</v>
      </c>
      <c r="T997" s="112">
        <v>82.0</v>
      </c>
      <c r="U997" s="24" t="s">
        <v>601</v>
      </c>
      <c r="V997" s="11" t="s">
        <v>4102</v>
      </c>
      <c r="W997" s="108">
        <v>6.0</v>
      </c>
      <c r="X997" s="113">
        <v>71615.0</v>
      </c>
      <c r="Y997" s="113">
        <v>51715.0</v>
      </c>
      <c r="Z997" s="11">
        <v>167.0</v>
      </c>
      <c r="AA997" s="113">
        <v>41220.0</v>
      </c>
      <c r="AB997" s="109">
        <v>-21953.7</v>
      </c>
      <c r="AC997" s="113">
        <v>92716.0</v>
      </c>
      <c r="AD997" s="108">
        <v>3.0</v>
      </c>
    </row>
    <row r="998">
      <c r="A998" s="11">
        <v>61.0</v>
      </c>
      <c r="B998" s="11">
        <v>2.0</v>
      </c>
      <c r="C998" s="11">
        <v>7.0</v>
      </c>
      <c r="D998" s="17">
        <v>42.0</v>
      </c>
      <c r="E998" s="108">
        <v>7.0</v>
      </c>
      <c r="F998" s="109">
        <v>-35718.61</v>
      </c>
      <c r="G998" s="109">
        <v>-20116.03</v>
      </c>
      <c r="H998" s="109">
        <v>94295.92</v>
      </c>
      <c r="I998" s="109">
        <v>-6989.39</v>
      </c>
      <c r="J998" s="109">
        <v>-47090.69</v>
      </c>
      <c r="K998" s="109">
        <v>-42639.54</v>
      </c>
      <c r="L998" s="109">
        <v>-51252.31</v>
      </c>
      <c r="M998" s="109">
        <v>34191.17</v>
      </c>
      <c r="N998" s="110">
        <v>112214.0</v>
      </c>
      <c r="O998" s="110">
        <v>111444.0</v>
      </c>
      <c r="P998" s="110">
        <v>50323.0</v>
      </c>
      <c r="Q998" s="110">
        <v>113044.0</v>
      </c>
      <c r="R998" s="50">
        <v>92318.0</v>
      </c>
      <c r="S998" s="111">
        <v>54.0</v>
      </c>
      <c r="T998" s="112">
        <v>32.0</v>
      </c>
      <c r="U998" s="24" t="s">
        <v>603</v>
      </c>
      <c r="V998" s="11" t="s">
        <v>4071</v>
      </c>
      <c r="W998" s="108">
        <v>3.0</v>
      </c>
      <c r="X998" s="113">
        <v>93113.0</v>
      </c>
      <c r="Y998" s="113">
        <v>30623.0</v>
      </c>
      <c r="Z998" s="11">
        <v>119.0</v>
      </c>
      <c r="AA998" s="113">
        <v>102816.0</v>
      </c>
      <c r="AB998" s="109">
        <v>-54401.86</v>
      </c>
      <c r="AC998" s="113">
        <v>40615.0</v>
      </c>
      <c r="AD998" s="108">
        <v>1.0</v>
      </c>
    </row>
    <row r="999">
      <c r="A999" s="11">
        <v>61.0</v>
      </c>
      <c r="B999" s="11">
        <v>2.0</v>
      </c>
      <c r="C999" s="11">
        <v>8.0</v>
      </c>
      <c r="D999" s="17">
        <v>90.0</v>
      </c>
      <c r="E999" s="108">
        <v>2.0</v>
      </c>
      <c r="F999" s="109">
        <v>7160.87</v>
      </c>
      <c r="G999" s="109">
        <v>49421.78</v>
      </c>
      <c r="H999" s="109">
        <v>72576.98</v>
      </c>
      <c r="I999" s="109">
        <v>25760.33</v>
      </c>
      <c r="J999" s="109">
        <v>-16060.85</v>
      </c>
      <c r="K999" s="109">
        <v>-21522.6</v>
      </c>
      <c r="L999" s="109">
        <v>-27467.14</v>
      </c>
      <c r="M999" s="109">
        <v>25364.38</v>
      </c>
      <c r="N999" s="110">
        <v>80613.0</v>
      </c>
      <c r="O999" s="110">
        <v>80133.0</v>
      </c>
      <c r="P999" s="110">
        <v>50123.0</v>
      </c>
      <c r="Q999" s="110">
        <v>83133.0</v>
      </c>
      <c r="R999" s="50">
        <v>21115.0</v>
      </c>
      <c r="S999" s="111">
        <v>54.0</v>
      </c>
      <c r="T999" s="112">
        <v>82.0</v>
      </c>
      <c r="U999" s="24" t="s">
        <v>601</v>
      </c>
      <c r="V999" s="11" t="s">
        <v>4016</v>
      </c>
      <c r="W999" s="108">
        <v>5.0</v>
      </c>
      <c r="X999" s="113">
        <v>52219.0</v>
      </c>
      <c r="Y999" s="113">
        <v>50213.0</v>
      </c>
      <c r="Z999" s="11">
        <v>137.0</v>
      </c>
      <c r="AA999" s="113">
        <v>80220.0</v>
      </c>
      <c r="AB999" s="109">
        <v>-68737.65</v>
      </c>
      <c r="AC999" s="113">
        <v>90623.0</v>
      </c>
      <c r="AD999" s="108">
        <v>3.0</v>
      </c>
    </row>
    <row r="1000">
      <c r="A1000" s="11">
        <v>81.0</v>
      </c>
      <c r="B1000" s="11">
        <v>7.0</v>
      </c>
      <c r="C1000" s="11">
        <v>6.0</v>
      </c>
      <c r="D1000" s="17">
        <v>34.0</v>
      </c>
      <c r="E1000" s="108">
        <v>4.0</v>
      </c>
      <c r="F1000" s="109">
        <v>-16198.3</v>
      </c>
      <c r="G1000" s="109">
        <v>59754.69</v>
      </c>
      <c r="H1000" s="109">
        <v>-12514.48</v>
      </c>
      <c r="I1000" s="109">
        <v>-25264.7</v>
      </c>
      <c r="J1000" s="109">
        <v>98650.49</v>
      </c>
      <c r="K1000" s="109">
        <v>24091.67</v>
      </c>
      <c r="L1000" s="109">
        <v>15586.36</v>
      </c>
      <c r="M1000" s="109">
        <v>-90946.17</v>
      </c>
      <c r="N1000" s="110">
        <v>11912.0</v>
      </c>
      <c r="O1000" s="110">
        <v>11432.0</v>
      </c>
      <c r="P1000" s="110">
        <v>53023.0</v>
      </c>
      <c r="Q1000" s="110">
        <v>13132.0</v>
      </c>
      <c r="R1000" s="50">
        <v>11019.0</v>
      </c>
      <c r="S1000" s="111">
        <v>55.0</v>
      </c>
      <c r="T1000" s="112">
        <v>11.0</v>
      </c>
      <c r="U1000" s="24" t="s">
        <v>39</v>
      </c>
      <c r="V1000" s="11" t="s">
        <v>3923</v>
      </c>
      <c r="W1000" s="108">
        <v>8.0</v>
      </c>
      <c r="X1000" s="113">
        <v>51717.0</v>
      </c>
      <c r="Y1000" s="113">
        <v>62216.0</v>
      </c>
      <c r="Z1000" s="11">
        <v>104.0</v>
      </c>
      <c r="AA1000" s="113">
        <v>70320.0</v>
      </c>
      <c r="AB1000" s="109">
        <v>-50828.36</v>
      </c>
      <c r="AC1000" s="113">
        <v>82123.0</v>
      </c>
      <c r="AD1000" s="108">
        <v>5.0</v>
      </c>
    </row>
    <row r="1001">
      <c r="A1001" s="11">
        <v>81.0</v>
      </c>
      <c r="B1001" s="11">
        <v>8.0</v>
      </c>
      <c r="C1001" s="11">
        <v>5.0</v>
      </c>
      <c r="D1001" s="17">
        <v>45.0</v>
      </c>
      <c r="E1001" s="108">
        <v>0.0</v>
      </c>
      <c r="F1001" s="109">
        <v>14853.39</v>
      </c>
      <c r="G1001" s="109">
        <v>-41686.93</v>
      </c>
      <c r="H1001" s="109">
        <v>11170.66</v>
      </c>
      <c r="I1001" s="109">
        <v>14535.29</v>
      </c>
      <c r="J1001" s="109">
        <v>-48745.08</v>
      </c>
      <c r="K1001" s="109">
        <v>-1869.81</v>
      </c>
      <c r="L1001" s="109">
        <v>24640.69</v>
      </c>
      <c r="M1001" s="109">
        <v>-15880.18</v>
      </c>
      <c r="N1001" s="110">
        <v>12514.0</v>
      </c>
      <c r="O1001" s="110">
        <v>11844.0</v>
      </c>
      <c r="P1001" s="110">
        <v>50223.0</v>
      </c>
      <c r="Q1001" s="110">
        <v>13144.0</v>
      </c>
      <c r="R1001" s="50">
        <v>42715.0</v>
      </c>
      <c r="S1001" s="111">
        <v>54.0</v>
      </c>
      <c r="T1001" s="112">
        <v>55.0</v>
      </c>
      <c r="U1001" s="24" t="s">
        <v>48</v>
      </c>
      <c r="V1001" s="11" t="s">
        <v>4000</v>
      </c>
      <c r="W1001" s="108">
        <v>5.0</v>
      </c>
      <c r="X1001" s="113">
        <v>122119.0</v>
      </c>
      <c r="Y1001" s="113">
        <v>41418.0</v>
      </c>
      <c r="Z1001" s="11">
        <v>134.0</v>
      </c>
      <c r="AA1001" s="113">
        <v>72317.0</v>
      </c>
      <c r="AB1001" s="109">
        <v>-31534.76</v>
      </c>
      <c r="AC1001" s="113">
        <v>12022.0</v>
      </c>
      <c r="AD1001" s="108">
        <v>4.0</v>
      </c>
    </row>
    <row r="1002">
      <c r="A1002" s="11">
        <v>61.0</v>
      </c>
      <c r="B1002" s="11">
        <v>3.0</v>
      </c>
      <c r="C1002" s="11">
        <v>9.0</v>
      </c>
      <c r="D1002" s="17">
        <v>57.0</v>
      </c>
      <c r="E1002" s="108">
        <v>6.0</v>
      </c>
      <c r="F1002" s="109">
        <v>-21541.81</v>
      </c>
      <c r="G1002" s="109">
        <v>86550.93</v>
      </c>
      <c r="H1002" s="109">
        <v>68406.37</v>
      </c>
      <c r="I1002" s="109">
        <v>58508.42</v>
      </c>
      <c r="J1002" s="109">
        <v>-98944.45</v>
      </c>
      <c r="K1002" s="109">
        <v>38720.51</v>
      </c>
      <c r="L1002" s="109">
        <v>-22550.77</v>
      </c>
      <c r="M1002" s="109">
        <v>-51862.67</v>
      </c>
      <c r="N1002" s="110">
        <v>41711.0</v>
      </c>
      <c r="O1002" s="110">
        <v>41421.0</v>
      </c>
      <c r="P1002" s="110">
        <v>50623.0</v>
      </c>
      <c r="Q1002" s="110">
        <v>43021.0</v>
      </c>
      <c r="R1002" s="50">
        <v>90914.0</v>
      </c>
      <c r="S1002" s="111">
        <v>51.0</v>
      </c>
      <c r="T1002" s="112">
        <v>24.0</v>
      </c>
      <c r="U1002" s="24" t="s">
        <v>31</v>
      </c>
      <c r="V1002" s="11" t="s">
        <v>3883</v>
      </c>
      <c r="W1002" s="108">
        <v>1.0</v>
      </c>
      <c r="X1002" s="113">
        <v>113022.0</v>
      </c>
      <c r="Y1002" s="113">
        <v>52418.0</v>
      </c>
      <c r="Z1002" s="11">
        <v>142.0</v>
      </c>
      <c r="AA1002" s="113">
        <v>53118.0</v>
      </c>
      <c r="AB1002" s="109">
        <v>-17845.43</v>
      </c>
      <c r="AC1002" s="113">
        <v>102619.0</v>
      </c>
      <c r="AD1002" s="108">
        <v>5.0</v>
      </c>
    </row>
    <row r="1003">
      <c r="A1003" s="11">
        <v>81.0</v>
      </c>
      <c r="B1003" s="11">
        <v>9.0</v>
      </c>
      <c r="C1003" s="11">
        <v>1.0</v>
      </c>
      <c r="D1003" s="17">
        <v>40.0</v>
      </c>
      <c r="E1003" s="108">
        <v>0.0</v>
      </c>
      <c r="F1003" s="109">
        <v>88178.27</v>
      </c>
      <c r="G1003" s="109">
        <v>-21954.4</v>
      </c>
      <c r="H1003" s="109">
        <v>45629.53</v>
      </c>
      <c r="I1003" s="109">
        <v>66255.52</v>
      </c>
      <c r="J1003" s="109">
        <v>83411.62</v>
      </c>
      <c r="K1003" s="109">
        <v>2583.97</v>
      </c>
      <c r="L1003" s="109">
        <v>58820.08</v>
      </c>
      <c r="M1003" s="109">
        <v>29503.25</v>
      </c>
      <c r="N1003" s="110">
        <v>31313.0</v>
      </c>
      <c r="O1003" s="110">
        <v>31123.0</v>
      </c>
      <c r="P1003" s="110">
        <v>50923.0</v>
      </c>
      <c r="Q1003" s="110">
        <v>33123.0</v>
      </c>
      <c r="R1003" s="50">
        <v>51722.0</v>
      </c>
      <c r="S1003" s="111">
        <v>52.0</v>
      </c>
      <c r="T1003" s="112">
        <v>96.0</v>
      </c>
      <c r="U1003" s="24" t="s">
        <v>39</v>
      </c>
      <c r="V1003" s="11" t="s">
        <v>3930</v>
      </c>
      <c r="W1003" s="108">
        <v>7.0</v>
      </c>
      <c r="X1003" s="113">
        <v>112917.0</v>
      </c>
      <c r="Y1003" s="113">
        <v>61114.0</v>
      </c>
      <c r="Z1003" s="11">
        <v>108.0</v>
      </c>
      <c r="AA1003" s="113">
        <v>42819.0</v>
      </c>
      <c r="AB1003" s="109">
        <v>25545.86</v>
      </c>
      <c r="AC1003" s="113">
        <v>111016.0</v>
      </c>
      <c r="AD1003" s="108">
        <v>1.0</v>
      </c>
    </row>
    <row r="1004">
      <c r="A1004" s="24"/>
      <c r="B1004" s="24"/>
      <c r="C1004" s="24"/>
      <c r="D1004" s="22"/>
      <c r="F1004" s="114"/>
      <c r="G1004" s="114"/>
      <c r="H1004" s="114"/>
      <c r="I1004" s="114"/>
      <c r="J1004" s="114"/>
      <c r="K1004" s="114"/>
      <c r="L1004" s="114"/>
      <c r="M1004" s="114"/>
      <c r="X1004" s="56"/>
      <c r="Y1004" s="56"/>
      <c r="AA1004" s="56"/>
      <c r="AB1004" s="114"/>
    </row>
    <row r="1005">
      <c r="A1005" s="24"/>
      <c r="B1005" s="24"/>
      <c r="C1005" s="24"/>
      <c r="D1005" s="22"/>
      <c r="F1005" s="114"/>
      <c r="G1005" s="114"/>
      <c r="H1005" s="114"/>
      <c r="I1005" s="114"/>
      <c r="J1005" s="114"/>
      <c r="K1005" s="114"/>
      <c r="L1005" s="114"/>
      <c r="M1005" s="114"/>
      <c r="X1005" s="56"/>
      <c r="Y1005" s="56"/>
      <c r="AA1005" s="56"/>
      <c r="AB1005" s="114"/>
    </row>
    <row r="1006">
      <c r="A1006" s="24"/>
      <c r="B1006" s="24"/>
      <c r="C1006" s="24"/>
      <c r="D1006" s="22"/>
      <c r="F1006" s="114"/>
      <c r="G1006" s="114"/>
      <c r="H1006" s="114"/>
      <c r="I1006" s="114"/>
      <c r="J1006" s="114"/>
      <c r="K1006" s="114"/>
      <c r="L1006" s="114"/>
      <c r="M1006" s="114"/>
      <c r="X1006" s="56"/>
      <c r="Y1006" s="56"/>
      <c r="AA1006" s="56"/>
      <c r="AB1006" s="114"/>
    </row>
    <row r="1007">
      <c r="A1007" s="24"/>
      <c r="B1007" s="24"/>
      <c r="C1007" s="24"/>
      <c r="D1007" s="22"/>
      <c r="F1007" s="114"/>
      <c r="G1007" s="114"/>
      <c r="H1007" s="114"/>
      <c r="I1007" s="114"/>
      <c r="J1007" s="114"/>
      <c r="K1007" s="114"/>
      <c r="L1007" s="114"/>
      <c r="M1007" s="114"/>
      <c r="X1007" s="56"/>
      <c r="Y1007" s="56"/>
      <c r="AA1007" s="56"/>
      <c r="AB1007" s="114"/>
    </row>
    <row r="1008">
      <c r="A1008" s="24"/>
      <c r="B1008" s="24"/>
      <c r="C1008" s="24"/>
      <c r="D1008" s="22"/>
      <c r="F1008" s="114"/>
      <c r="G1008" s="114"/>
      <c r="H1008" s="114"/>
      <c r="I1008" s="114"/>
      <c r="J1008" s="114"/>
      <c r="K1008" s="114"/>
      <c r="L1008" s="114"/>
      <c r="M1008" s="114"/>
      <c r="X1008" s="56"/>
      <c r="Y1008" s="56"/>
      <c r="AA1008" s="56"/>
      <c r="AB1008" s="114"/>
    </row>
    <row r="1009">
      <c r="A1009" s="24"/>
      <c r="B1009" s="24"/>
      <c r="C1009" s="24"/>
      <c r="D1009" s="22"/>
      <c r="F1009" s="114"/>
      <c r="G1009" s="114"/>
      <c r="H1009" s="114"/>
      <c r="I1009" s="114"/>
      <c r="J1009" s="114"/>
      <c r="K1009" s="114"/>
      <c r="L1009" s="114"/>
      <c r="M1009" s="114"/>
      <c r="X1009" s="56"/>
      <c r="Y1009" s="56"/>
      <c r="AA1009" s="56"/>
      <c r="AB1009" s="114"/>
    </row>
    <row r="1010">
      <c r="A1010" s="24"/>
      <c r="B1010" s="24"/>
      <c r="C1010" s="24"/>
      <c r="D1010" s="22"/>
      <c r="F1010" s="114"/>
      <c r="G1010" s="114"/>
      <c r="H1010" s="114"/>
      <c r="I1010" s="114"/>
      <c r="J1010" s="114"/>
      <c r="K1010" s="114"/>
      <c r="L1010" s="114"/>
      <c r="M1010" s="114"/>
      <c r="X1010" s="56"/>
      <c r="Y1010" s="56"/>
      <c r="AA1010" s="56"/>
      <c r="AB1010" s="114"/>
    </row>
    <row r="1011">
      <c r="A1011" s="24"/>
      <c r="B1011" s="24"/>
      <c r="C1011" s="24"/>
      <c r="D1011" s="22"/>
      <c r="F1011" s="114"/>
      <c r="G1011" s="114"/>
      <c r="H1011" s="114"/>
      <c r="I1011" s="114"/>
      <c r="J1011" s="114"/>
      <c r="K1011" s="114"/>
      <c r="L1011" s="114"/>
      <c r="M1011" s="114"/>
      <c r="X1011" s="56"/>
      <c r="Y1011" s="56"/>
      <c r="AA1011" s="56"/>
      <c r="AB1011" s="114"/>
    </row>
    <row r="1012">
      <c r="A1012" s="24"/>
      <c r="B1012" s="24"/>
      <c r="C1012" s="24"/>
      <c r="D1012" s="22"/>
      <c r="F1012" s="114"/>
      <c r="G1012" s="114"/>
      <c r="H1012" s="114"/>
      <c r="I1012" s="114"/>
      <c r="J1012" s="114"/>
      <c r="K1012" s="114"/>
      <c r="L1012" s="114"/>
      <c r="M1012" s="114"/>
      <c r="X1012" s="56"/>
      <c r="Y1012" s="56"/>
      <c r="AA1012" s="56"/>
      <c r="AB1012" s="114"/>
    </row>
    <row r="1013">
      <c r="A1013" s="24"/>
      <c r="B1013" s="24"/>
      <c r="C1013" s="24"/>
      <c r="D1013" s="22"/>
      <c r="F1013" s="114"/>
      <c r="G1013" s="114"/>
      <c r="H1013" s="114"/>
      <c r="I1013" s="114"/>
      <c r="J1013" s="114"/>
      <c r="K1013" s="114"/>
      <c r="L1013" s="114"/>
      <c r="M1013" s="114"/>
      <c r="X1013" s="56"/>
      <c r="Y1013" s="56"/>
      <c r="AA1013" s="56"/>
      <c r="AB1013" s="114"/>
    </row>
    <row r="1014">
      <c r="A1014" s="24"/>
      <c r="B1014" s="24"/>
      <c r="C1014" s="24"/>
      <c r="D1014" s="22"/>
      <c r="F1014" s="114"/>
      <c r="G1014" s="114"/>
      <c r="H1014" s="114"/>
      <c r="I1014" s="114"/>
      <c r="J1014" s="114"/>
      <c r="K1014" s="114"/>
      <c r="L1014" s="114"/>
      <c r="M1014" s="114"/>
      <c r="X1014" s="56"/>
      <c r="Y1014" s="56"/>
      <c r="AA1014" s="56"/>
      <c r="AB1014" s="114"/>
    </row>
    <row r="1015">
      <c r="A1015" s="24"/>
      <c r="B1015" s="24"/>
      <c r="C1015" s="24"/>
      <c r="D1015" s="22"/>
      <c r="F1015" s="114"/>
      <c r="G1015" s="114"/>
      <c r="H1015" s="114"/>
      <c r="I1015" s="114"/>
      <c r="J1015" s="114"/>
      <c r="K1015" s="114"/>
      <c r="L1015" s="114"/>
      <c r="M1015" s="114"/>
      <c r="X1015" s="56"/>
      <c r="Y1015" s="56"/>
      <c r="AA1015" s="56"/>
      <c r="AB1015" s="114"/>
    </row>
    <row r="1016">
      <c r="A1016" s="24"/>
      <c r="B1016" s="24"/>
      <c r="C1016" s="24"/>
      <c r="D1016" s="22"/>
      <c r="F1016" s="114"/>
      <c r="G1016" s="114"/>
      <c r="H1016" s="114"/>
      <c r="I1016" s="114"/>
      <c r="J1016" s="114"/>
      <c r="K1016" s="114"/>
      <c r="L1016" s="114"/>
      <c r="M1016" s="114"/>
      <c r="X1016" s="56"/>
      <c r="Y1016" s="56"/>
      <c r="AA1016" s="56"/>
      <c r="AB1016" s="114"/>
    </row>
    <row r="1017">
      <c r="A1017" s="24"/>
      <c r="B1017" s="24"/>
      <c r="C1017" s="24"/>
      <c r="D1017" s="22"/>
      <c r="F1017" s="114"/>
      <c r="G1017" s="114"/>
      <c r="H1017" s="114"/>
      <c r="I1017" s="114"/>
      <c r="J1017" s="114"/>
      <c r="K1017" s="114"/>
      <c r="L1017" s="114"/>
      <c r="M1017" s="114"/>
      <c r="X1017" s="56"/>
      <c r="Y1017" s="56"/>
      <c r="AA1017" s="56"/>
      <c r="AB1017" s="114"/>
    </row>
    <row r="1018">
      <c r="A1018" s="24"/>
      <c r="B1018" s="24"/>
      <c r="C1018" s="24"/>
      <c r="D1018" s="22"/>
      <c r="F1018" s="114"/>
      <c r="G1018" s="114"/>
      <c r="H1018" s="114"/>
      <c r="I1018" s="114"/>
      <c r="J1018" s="114"/>
      <c r="K1018" s="114"/>
      <c r="L1018" s="114"/>
      <c r="M1018" s="114"/>
      <c r="X1018" s="56"/>
      <c r="Y1018" s="56"/>
      <c r="AA1018" s="56"/>
      <c r="AB1018" s="114"/>
    </row>
    <row r="1019">
      <c r="A1019" s="24"/>
      <c r="B1019" s="24"/>
      <c r="C1019" s="24"/>
      <c r="D1019" s="22"/>
      <c r="F1019" s="114"/>
      <c r="G1019" s="114"/>
      <c r="H1019" s="114"/>
      <c r="I1019" s="114"/>
      <c r="J1019" s="114"/>
      <c r="K1019" s="114"/>
      <c r="L1019" s="114"/>
      <c r="M1019" s="114"/>
      <c r="X1019" s="56"/>
      <c r="Y1019" s="56"/>
      <c r="AA1019" s="56"/>
      <c r="AB1019" s="114"/>
    </row>
    <row r="1020">
      <c r="A1020" s="24"/>
      <c r="B1020" s="24"/>
      <c r="C1020" s="24"/>
      <c r="D1020" s="22"/>
      <c r="F1020" s="114"/>
      <c r="G1020" s="114"/>
      <c r="H1020" s="114"/>
      <c r="I1020" s="114"/>
      <c r="J1020" s="114"/>
      <c r="K1020" s="114"/>
      <c r="L1020" s="114"/>
      <c r="M1020" s="114"/>
      <c r="X1020" s="56"/>
      <c r="Y1020" s="56"/>
      <c r="AA1020" s="56"/>
      <c r="AB1020" s="114"/>
    </row>
    <row r="1021">
      <c r="A1021" s="24"/>
      <c r="B1021" s="24"/>
      <c r="C1021" s="24"/>
      <c r="D1021" s="22"/>
      <c r="F1021" s="114"/>
      <c r="G1021" s="114"/>
      <c r="H1021" s="114"/>
      <c r="I1021" s="114"/>
      <c r="J1021" s="114"/>
      <c r="K1021" s="114"/>
      <c r="L1021" s="114"/>
      <c r="M1021" s="114"/>
      <c r="X1021" s="56"/>
      <c r="Y1021" s="56"/>
      <c r="AA1021" s="56"/>
      <c r="AB1021" s="114"/>
    </row>
    <row r="1022">
      <c r="A1022" s="24"/>
      <c r="B1022" s="24"/>
      <c r="C1022" s="24"/>
      <c r="D1022" s="22"/>
      <c r="F1022" s="114"/>
      <c r="G1022" s="114"/>
      <c r="H1022" s="114"/>
      <c r="I1022" s="114"/>
      <c r="J1022" s="114"/>
      <c r="K1022" s="114"/>
      <c r="L1022" s="114"/>
      <c r="M1022" s="114"/>
      <c r="X1022" s="56"/>
      <c r="Y1022" s="56"/>
      <c r="AA1022" s="56"/>
      <c r="AB1022" s="114"/>
    </row>
    <row r="1023">
      <c r="A1023" s="24"/>
      <c r="B1023" s="24"/>
      <c r="C1023" s="24"/>
      <c r="D1023" s="22"/>
      <c r="F1023" s="114"/>
      <c r="G1023" s="114"/>
      <c r="H1023" s="114"/>
      <c r="I1023" s="114"/>
      <c r="J1023" s="114"/>
      <c r="K1023" s="114"/>
      <c r="L1023" s="114"/>
      <c r="M1023" s="114"/>
      <c r="X1023" s="56"/>
      <c r="Y1023" s="56"/>
      <c r="AA1023" s="56"/>
      <c r="AB1023" s="114"/>
    </row>
    <row r="1024">
      <c r="A1024" s="24"/>
      <c r="B1024" s="24"/>
      <c r="C1024" s="24"/>
      <c r="D1024" s="22"/>
      <c r="F1024" s="114"/>
      <c r="G1024" s="114"/>
      <c r="H1024" s="114"/>
      <c r="I1024" s="114"/>
      <c r="J1024" s="114"/>
      <c r="K1024" s="114"/>
      <c r="L1024" s="114"/>
      <c r="M1024" s="114"/>
      <c r="X1024" s="56"/>
      <c r="Y1024" s="56"/>
      <c r="AA1024" s="56"/>
      <c r="AB1024" s="114"/>
    </row>
    <row r="1025">
      <c r="A1025" s="24"/>
      <c r="B1025" s="24"/>
      <c r="C1025" s="24"/>
      <c r="D1025" s="22"/>
      <c r="F1025" s="114"/>
      <c r="G1025" s="114"/>
      <c r="H1025" s="114"/>
      <c r="I1025" s="114"/>
      <c r="J1025" s="114"/>
      <c r="K1025" s="114"/>
      <c r="L1025" s="114"/>
      <c r="M1025" s="114"/>
      <c r="X1025" s="56"/>
      <c r="Y1025" s="56"/>
      <c r="AA1025" s="56"/>
      <c r="AB1025" s="114"/>
    </row>
    <row r="1026">
      <c r="A1026" s="24"/>
      <c r="B1026" s="24"/>
      <c r="C1026" s="24"/>
      <c r="D1026" s="22"/>
      <c r="F1026" s="114"/>
      <c r="G1026" s="114"/>
      <c r="H1026" s="114"/>
      <c r="I1026" s="114"/>
      <c r="J1026" s="114"/>
      <c r="K1026" s="114"/>
      <c r="L1026" s="114"/>
      <c r="M1026" s="114"/>
      <c r="X1026" s="56"/>
      <c r="Y1026" s="56"/>
      <c r="AA1026" s="56"/>
      <c r="AB1026" s="114"/>
    </row>
    <row r="1027">
      <c r="A1027" s="24"/>
      <c r="B1027" s="24"/>
      <c r="C1027" s="24"/>
      <c r="D1027" s="22"/>
      <c r="F1027" s="114"/>
      <c r="G1027" s="114"/>
      <c r="H1027" s="114"/>
      <c r="I1027" s="114"/>
      <c r="J1027" s="114"/>
      <c r="K1027" s="114"/>
      <c r="L1027" s="114"/>
      <c r="M1027" s="114"/>
      <c r="X1027" s="56"/>
      <c r="Y1027" s="56"/>
      <c r="AA1027" s="56"/>
      <c r="AB1027" s="114"/>
    </row>
    <row r="1028">
      <c r="A1028" s="24"/>
      <c r="B1028" s="24"/>
      <c r="C1028" s="24"/>
      <c r="D1028" s="22"/>
      <c r="F1028" s="114"/>
      <c r="G1028" s="114"/>
      <c r="H1028" s="114"/>
      <c r="I1028" s="114"/>
      <c r="J1028" s="114"/>
      <c r="K1028" s="114"/>
      <c r="L1028" s="114"/>
      <c r="M1028" s="114"/>
      <c r="X1028" s="56"/>
      <c r="Y1028" s="56"/>
      <c r="AA1028" s="56"/>
      <c r="AB1028" s="114"/>
    </row>
    <row r="1029">
      <c r="A1029" s="24"/>
      <c r="B1029" s="24"/>
      <c r="C1029" s="24"/>
      <c r="D1029" s="22"/>
      <c r="F1029" s="114"/>
      <c r="G1029" s="114"/>
      <c r="H1029" s="114"/>
      <c r="I1029" s="114"/>
      <c r="J1029" s="114"/>
      <c r="K1029" s="114"/>
      <c r="L1029" s="114"/>
      <c r="M1029" s="114"/>
      <c r="X1029" s="56"/>
      <c r="Y1029" s="56"/>
      <c r="AA1029" s="56"/>
      <c r="AB1029" s="114"/>
    </row>
    <row r="1030">
      <c r="A1030" s="24"/>
      <c r="B1030" s="24"/>
      <c r="C1030" s="24"/>
      <c r="D1030" s="22"/>
      <c r="F1030" s="114"/>
      <c r="G1030" s="114"/>
      <c r="H1030" s="114"/>
      <c r="I1030" s="114"/>
      <c r="J1030" s="114"/>
      <c r="K1030" s="114"/>
      <c r="L1030" s="114"/>
      <c r="M1030" s="114"/>
      <c r="X1030" s="56"/>
      <c r="Y1030" s="56"/>
      <c r="AA1030" s="56"/>
      <c r="AB1030" s="114"/>
    </row>
    <row r="1031">
      <c r="A1031" s="24"/>
      <c r="B1031" s="24"/>
      <c r="C1031" s="24"/>
      <c r="D1031" s="22"/>
      <c r="F1031" s="114"/>
      <c r="G1031" s="114"/>
      <c r="H1031" s="114"/>
      <c r="I1031" s="114"/>
      <c r="J1031" s="114"/>
      <c r="K1031" s="114"/>
      <c r="L1031" s="114"/>
      <c r="M1031" s="114"/>
      <c r="X1031" s="56"/>
      <c r="Y1031" s="56"/>
      <c r="AA1031" s="56"/>
      <c r="AB1031" s="114"/>
    </row>
    <row r="1032">
      <c r="A1032" s="24"/>
      <c r="B1032" s="24"/>
      <c r="C1032" s="24"/>
      <c r="D1032" s="22"/>
      <c r="F1032" s="114"/>
      <c r="G1032" s="114"/>
      <c r="H1032" s="114"/>
      <c r="I1032" s="114"/>
      <c r="J1032" s="114"/>
      <c r="K1032" s="114"/>
      <c r="L1032" s="114"/>
      <c r="M1032" s="114"/>
      <c r="X1032" s="56"/>
      <c r="Y1032" s="56"/>
      <c r="AA1032" s="56"/>
      <c r="AB1032" s="114"/>
    </row>
    <row r="1033">
      <c r="A1033" s="24"/>
      <c r="B1033" s="24"/>
      <c r="C1033" s="24"/>
      <c r="D1033" s="22"/>
      <c r="F1033" s="114"/>
      <c r="G1033" s="114"/>
      <c r="H1033" s="114"/>
      <c r="I1033" s="114"/>
      <c r="J1033" s="114"/>
      <c r="K1033" s="114"/>
      <c r="L1033" s="114"/>
      <c r="M1033" s="114"/>
      <c r="X1033" s="56"/>
      <c r="Y1033" s="56"/>
      <c r="AA1033" s="56"/>
      <c r="AB1033" s="114"/>
    </row>
    <row r="1034">
      <c r="A1034" s="24"/>
      <c r="B1034" s="24"/>
      <c r="C1034" s="24"/>
      <c r="D1034" s="22"/>
      <c r="F1034" s="114"/>
      <c r="G1034" s="114"/>
      <c r="H1034" s="114"/>
      <c r="I1034" s="114"/>
      <c r="J1034" s="114"/>
      <c r="K1034" s="114"/>
      <c r="L1034" s="114"/>
      <c r="M1034" s="114"/>
      <c r="X1034" s="56"/>
      <c r="Y1034" s="56"/>
      <c r="AA1034" s="56"/>
      <c r="AB1034" s="114"/>
    </row>
    <row r="1035">
      <c r="A1035" s="24"/>
      <c r="B1035" s="24"/>
      <c r="C1035" s="24"/>
      <c r="D1035" s="22"/>
      <c r="F1035" s="114"/>
      <c r="G1035" s="114"/>
      <c r="H1035" s="114"/>
      <c r="I1035" s="114"/>
      <c r="J1035" s="114"/>
      <c r="K1035" s="114"/>
      <c r="L1035" s="114"/>
      <c r="M1035" s="114"/>
      <c r="X1035" s="56"/>
      <c r="Y1035" s="56"/>
      <c r="AA1035" s="56"/>
      <c r="AB1035" s="114"/>
    </row>
    <row r="1036">
      <c r="A1036" s="24"/>
      <c r="B1036" s="24"/>
      <c r="C1036" s="24"/>
      <c r="D1036" s="22"/>
      <c r="F1036" s="114"/>
      <c r="G1036" s="114"/>
      <c r="H1036" s="114"/>
      <c r="I1036" s="114"/>
      <c r="J1036" s="114"/>
      <c r="K1036" s="114"/>
      <c r="L1036" s="114"/>
      <c r="M1036" s="114"/>
      <c r="X1036" s="56"/>
      <c r="Y1036" s="56"/>
      <c r="AA1036" s="56"/>
      <c r="AB1036" s="114"/>
    </row>
    <row r="1037">
      <c r="A1037" s="24"/>
      <c r="B1037" s="24"/>
      <c r="C1037" s="24"/>
      <c r="D1037" s="22"/>
      <c r="F1037" s="114"/>
      <c r="G1037" s="114"/>
      <c r="H1037" s="114"/>
      <c r="I1037" s="114"/>
      <c r="J1037" s="114"/>
      <c r="K1037" s="114"/>
      <c r="L1037" s="114"/>
      <c r="M1037" s="114"/>
      <c r="X1037" s="56"/>
      <c r="Y1037" s="56"/>
      <c r="AA1037" s="56"/>
      <c r="AB1037" s="114"/>
    </row>
    <row r="1038">
      <c r="A1038" s="24"/>
      <c r="B1038" s="24"/>
      <c r="C1038" s="24"/>
      <c r="D1038" s="22"/>
      <c r="F1038" s="114"/>
      <c r="G1038" s="114"/>
      <c r="H1038" s="114"/>
      <c r="I1038" s="114"/>
      <c r="J1038" s="114"/>
      <c r="K1038" s="114"/>
      <c r="L1038" s="114"/>
      <c r="M1038" s="114"/>
      <c r="X1038" s="56"/>
      <c r="Y1038" s="56"/>
      <c r="AA1038" s="56"/>
      <c r="AB1038" s="114"/>
    </row>
    <row r="1039">
      <c r="A1039" s="24"/>
      <c r="B1039" s="24"/>
      <c r="C1039" s="24"/>
      <c r="D1039" s="22"/>
      <c r="F1039" s="114"/>
      <c r="G1039" s="114"/>
      <c r="H1039" s="114"/>
      <c r="I1039" s="114"/>
      <c r="J1039" s="114"/>
      <c r="K1039" s="114"/>
      <c r="L1039" s="114"/>
      <c r="M1039" s="114"/>
      <c r="X1039" s="56"/>
      <c r="Y1039" s="56"/>
      <c r="AA1039" s="56"/>
      <c r="AB1039" s="114"/>
    </row>
    <row r="1040">
      <c r="A1040" s="24"/>
      <c r="B1040" s="24"/>
      <c r="C1040" s="24"/>
      <c r="D1040" s="22"/>
      <c r="F1040" s="114"/>
      <c r="G1040" s="114"/>
      <c r="H1040" s="114"/>
      <c r="I1040" s="114"/>
      <c r="J1040" s="114"/>
      <c r="K1040" s="114"/>
      <c r="L1040" s="114"/>
      <c r="M1040" s="114"/>
      <c r="X1040" s="56"/>
      <c r="Y1040" s="56"/>
      <c r="AA1040" s="56"/>
      <c r="AB1040" s="114"/>
    </row>
    <row r="1041">
      <c r="A1041" s="24"/>
      <c r="B1041" s="24"/>
      <c r="C1041" s="24"/>
      <c r="D1041" s="22"/>
      <c r="F1041" s="114"/>
      <c r="G1041" s="114"/>
      <c r="H1041" s="114"/>
      <c r="I1041" s="114"/>
      <c r="J1041" s="114"/>
      <c r="K1041" s="114"/>
      <c r="L1041" s="114"/>
      <c r="M1041" s="114"/>
      <c r="X1041" s="56"/>
      <c r="Y1041" s="56"/>
      <c r="AA1041" s="56"/>
      <c r="AB1041" s="114"/>
    </row>
    <row r="1042">
      <c r="A1042" s="24"/>
      <c r="B1042" s="24"/>
      <c r="C1042" s="24"/>
      <c r="D1042" s="22"/>
      <c r="F1042" s="114"/>
      <c r="G1042" s="114"/>
      <c r="H1042" s="114"/>
      <c r="I1042" s="114"/>
      <c r="J1042" s="114"/>
      <c r="K1042" s="114"/>
      <c r="L1042" s="114"/>
      <c r="M1042" s="114"/>
      <c r="X1042" s="56"/>
      <c r="Y1042" s="56"/>
      <c r="AA1042" s="56"/>
      <c r="AB1042" s="114"/>
    </row>
    <row r="1043">
      <c r="A1043" s="24"/>
      <c r="B1043" s="24"/>
      <c r="C1043" s="24"/>
      <c r="D1043" s="22"/>
      <c r="F1043" s="114"/>
      <c r="G1043" s="114"/>
      <c r="H1043" s="114"/>
      <c r="I1043" s="114"/>
      <c r="J1043" s="114"/>
      <c r="K1043" s="114"/>
      <c r="L1043" s="114"/>
      <c r="M1043" s="114"/>
      <c r="X1043" s="56"/>
      <c r="Y1043" s="56"/>
      <c r="AA1043" s="56"/>
      <c r="AB1043" s="114"/>
    </row>
    <row r="1044">
      <c r="A1044" s="24"/>
      <c r="B1044" s="24"/>
      <c r="C1044" s="24"/>
      <c r="D1044" s="22"/>
      <c r="F1044" s="114"/>
      <c r="G1044" s="114"/>
      <c r="H1044" s="114"/>
      <c r="I1044" s="114"/>
      <c r="J1044" s="114"/>
      <c r="K1044" s="114"/>
      <c r="L1044" s="114"/>
      <c r="M1044" s="114"/>
      <c r="X1044" s="56"/>
      <c r="Y1044" s="56"/>
      <c r="AA1044" s="56"/>
      <c r="AB1044" s="114"/>
    </row>
    <row r="1045">
      <c r="A1045" s="24"/>
      <c r="B1045" s="24"/>
      <c r="C1045" s="24"/>
      <c r="D1045" s="22"/>
      <c r="F1045" s="114"/>
      <c r="G1045" s="114"/>
      <c r="H1045" s="114"/>
      <c r="I1045" s="114"/>
      <c r="J1045" s="114"/>
      <c r="K1045" s="114"/>
      <c r="L1045" s="114"/>
      <c r="M1045" s="114"/>
      <c r="X1045" s="56"/>
      <c r="Y1045" s="56"/>
      <c r="AA1045" s="56"/>
      <c r="AB1045" s="114"/>
    </row>
    <row r="1046">
      <c r="A1046" s="24"/>
      <c r="B1046" s="24"/>
      <c r="C1046" s="24"/>
      <c r="D1046" s="22"/>
      <c r="F1046" s="114"/>
      <c r="G1046" s="114"/>
      <c r="H1046" s="114"/>
      <c r="I1046" s="114"/>
      <c r="J1046" s="114"/>
      <c r="K1046" s="114"/>
      <c r="L1046" s="114"/>
      <c r="M1046" s="114"/>
      <c r="X1046" s="56"/>
      <c r="Y1046" s="56"/>
      <c r="AA1046" s="56"/>
      <c r="AB1046" s="114"/>
    </row>
    <row r="1047">
      <c r="A1047" s="24"/>
      <c r="B1047" s="24"/>
      <c r="C1047" s="24"/>
      <c r="D1047" s="22"/>
      <c r="F1047" s="114"/>
      <c r="G1047" s="114"/>
      <c r="H1047" s="114"/>
      <c r="I1047" s="114"/>
      <c r="J1047" s="114"/>
      <c r="K1047" s="114"/>
      <c r="L1047" s="114"/>
      <c r="M1047" s="114"/>
      <c r="X1047" s="56"/>
      <c r="Y1047" s="56"/>
      <c r="AA1047" s="56"/>
      <c r="AB1047" s="114"/>
    </row>
    <row r="1048">
      <c r="A1048" s="24"/>
      <c r="B1048" s="24"/>
      <c r="C1048" s="24"/>
      <c r="D1048" s="22"/>
      <c r="F1048" s="114"/>
      <c r="G1048" s="114"/>
      <c r="H1048" s="114"/>
      <c r="I1048" s="114"/>
      <c r="J1048" s="114"/>
      <c r="K1048" s="114"/>
      <c r="L1048" s="114"/>
      <c r="M1048" s="114"/>
      <c r="X1048" s="56"/>
      <c r="Y1048" s="56"/>
      <c r="AA1048" s="56"/>
      <c r="AB1048" s="114"/>
    </row>
    <row r="1049">
      <c r="A1049" s="24"/>
      <c r="B1049" s="24"/>
      <c r="C1049" s="24"/>
      <c r="D1049" s="22"/>
      <c r="F1049" s="114"/>
      <c r="G1049" s="114"/>
      <c r="H1049" s="114"/>
      <c r="I1049" s="114"/>
      <c r="J1049" s="114"/>
      <c r="K1049" s="114"/>
      <c r="L1049" s="114"/>
      <c r="M1049" s="114"/>
      <c r="X1049" s="56"/>
      <c r="Y1049" s="56"/>
      <c r="AA1049" s="56"/>
      <c r="AB1049" s="114"/>
    </row>
    <row r="1050">
      <c r="A1050" s="24"/>
      <c r="B1050" s="24"/>
      <c r="C1050" s="24"/>
      <c r="D1050" s="22"/>
      <c r="F1050" s="114"/>
      <c r="G1050" s="114"/>
      <c r="H1050" s="114"/>
      <c r="I1050" s="114"/>
      <c r="J1050" s="114"/>
      <c r="K1050" s="114"/>
      <c r="L1050" s="114"/>
      <c r="M1050" s="114"/>
      <c r="X1050" s="56"/>
      <c r="Y1050" s="56"/>
      <c r="AA1050" s="56"/>
      <c r="AB1050" s="114"/>
    </row>
    <row r="1051">
      <c r="A1051" s="24"/>
      <c r="B1051" s="24"/>
      <c r="C1051" s="24"/>
      <c r="D1051" s="22"/>
      <c r="F1051" s="114"/>
      <c r="G1051" s="114"/>
      <c r="H1051" s="114"/>
      <c r="I1051" s="114"/>
      <c r="J1051" s="114"/>
      <c r="K1051" s="114"/>
      <c r="L1051" s="114"/>
      <c r="M1051" s="114"/>
      <c r="X1051" s="56"/>
      <c r="Y1051" s="56"/>
      <c r="AA1051" s="56"/>
      <c r="AB1051" s="114"/>
    </row>
    <row r="1052">
      <c r="A1052" s="24"/>
      <c r="B1052" s="24"/>
      <c r="C1052" s="24"/>
      <c r="D1052" s="22"/>
      <c r="F1052" s="114"/>
      <c r="G1052" s="114"/>
      <c r="H1052" s="114"/>
      <c r="I1052" s="114"/>
      <c r="J1052" s="114"/>
      <c r="K1052" s="114"/>
      <c r="L1052" s="114"/>
      <c r="M1052" s="114"/>
      <c r="X1052" s="56"/>
      <c r="Y1052" s="56"/>
      <c r="AA1052" s="56"/>
      <c r="AB1052" s="114"/>
    </row>
    <row r="1053">
      <c r="A1053" s="24"/>
      <c r="B1053" s="24"/>
      <c r="C1053" s="24"/>
      <c r="D1053" s="22"/>
      <c r="F1053" s="114"/>
      <c r="G1053" s="114"/>
      <c r="H1053" s="114"/>
      <c r="I1053" s="114"/>
      <c r="J1053" s="114"/>
      <c r="K1053" s="114"/>
      <c r="L1053" s="114"/>
      <c r="M1053" s="114"/>
      <c r="X1053" s="56"/>
      <c r="Y1053" s="56"/>
      <c r="AA1053" s="56"/>
      <c r="AB1053" s="114"/>
    </row>
    <row r="1054">
      <c r="A1054" s="24"/>
      <c r="B1054" s="24"/>
      <c r="C1054" s="24"/>
      <c r="D1054" s="22"/>
      <c r="F1054" s="114"/>
      <c r="G1054" s="114"/>
      <c r="H1054" s="114"/>
      <c r="I1054" s="114"/>
      <c r="J1054" s="114"/>
      <c r="K1054" s="114"/>
      <c r="L1054" s="114"/>
      <c r="M1054" s="114"/>
      <c r="X1054" s="56"/>
      <c r="Y1054" s="56"/>
      <c r="AA1054" s="56"/>
      <c r="AB1054" s="114"/>
    </row>
    <row r="1055">
      <c r="A1055" s="24"/>
      <c r="B1055" s="24"/>
      <c r="C1055" s="24"/>
      <c r="D1055" s="22"/>
      <c r="F1055" s="114"/>
      <c r="G1055" s="114"/>
      <c r="H1055" s="114"/>
      <c r="I1055" s="114"/>
      <c r="J1055" s="114"/>
      <c r="K1055" s="114"/>
      <c r="L1055" s="114"/>
      <c r="M1055" s="114"/>
      <c r="X1055" s="56"/>
      <c r="Y1055" s="56"/>
      <c r="AA1055" s="56"/>
      <c r="AB1055" s="114"/>
    </row>
    <row r="1056">
      <c r="A1056" s="24"/>
      <c r="B1056" s="24"/>
      <c r="C1056" s="24"/>
      <c r="D1056" s="22"/>
      <c r="F1056" s="114"/>
      <c r="G1056" s="114"/>
      <c r="H1056" s="114"/>
      <c r="I1056" s="114"/>
      <c r="J1056" s="114"/>
      <c r="K1056" s="114"/>
      <c r="L1056" s="114"/>
      <c r="M1056" s="114"/>
      <c r="X1056" s="56"/>
      <c r="Y1056" s="56"/>
      <c r="AA1056" s="56"/>
      <c r="AB1056" s="114"/>
    </row>
    <row r="1057">
      <c r="A1057" s="24"/>
      <c r="B1057" s="24"/>
      <c r="C1057" s="24"/>
      <c r="D1057" s="22"/>
      <c r="F1057" s="114"/>
      <c r="G1057" s="114"/>
      <c r="H1057" s="114"/>
      <c r="I1057" s="114"/>
      <c r="J1057" s="114"/>
      <c r="K1057" s="114"/>
      <c r="L1057" s="114"/>
      <c r="M1057" s="114"/>
      <c r="X1057" s="56"/>
      <c r="Y1057" s="56"/>
      <c r="AA1057" s="56"/>
      <c r="AB1057" s="114"/>
    </row>
    <row r="1058">
      <c r="A1058" s="24"/>
      <c r="B1058" s="24"/>
      <c r="C1058" s="24"/>
      <c r="D1058" s="22"/>
      <c r="F1058" s="114"/>
      <c r="G1058" s="114"/>
      <c r="H1058" s="114"/>
      <c r="I1058" s="114"/>
      <c r="J1058" s="114"/>
      <c r="K1058" s="114"/>
      <c r="L1058" s="114"/>
      <c r="M1058" s="114"/>
      <c r="X1058" s="56"/>
      <c r="Y1058" s="56"/>
      <c r="AA1058" s="56"/>
      <c r="AB1058" s="114"/>
    </row>
    <row r="1059">
      <c r="A1059" s="24"/>
      <c r="B1059" s="24"/>
      <c r="C1059" s="24"/>
      <c r="D1059" s="22"/>
      <c r="F1059" s="114"/>
      <c r="G1059" s="114"/>
      <c r="H1059" s="114"/>
      <c r="I1059" s="114"/>
      <c r="J1059" s="114"/>
      <c r="K1059" s="114"/>
      <c r="L1059" s="114"/>
      <c r="M1059" s="114"/>
      <c r="X1059" s="56"/>
      <c r="Y1059" s="56"/>
      <c r="AA1059" s="56"/>
      <c r="AB1059" s="114"/>
    </row>
    <row r="1060">
      <c r="A1060" s="24"/>
      <c r="B1060" s="24"/>
      <c r="C1060" s="24"/>
      <c r="D1060" s="22"/>
      <c r="F1060" s="114"/>
      <c r="G1060" s="114"/>
      <c r="H1060" s="114"/>
      <c r="I1060" s="114"/>
      <c r="J1060" s="114"/>
      <c r="K1060" s="114"/>
      <c r="L1060" s="114"/>
      <c r="M1060" s="114"/>
      <c r="X1060" s="56"/>
      <c r="Y1060" s="56"/>
      <c r="AA1060" s="56"/>
      <c r="AB1060" s="114"/>
    </row>
    <row r="1061">
      <c r="A1061" s="24"/>
      <c r="B1061" s="24"/>
      <c r="C1061" s="24"/>
      <c r="D1061" s="22"/>
      <c r="F1061" s="114"/>
      <c r="G1061" s="114"/>
      <c r="H1061" s="114"/>
      <c r="I1061" s="114"/>
      <c r="J1061" s="114"/>
      <c r="K1061" s="114"/>
      <c r="L1061" s="114"/>
      <c r="M1061" s="114"/>
      <c r="X1061" s="56"/>
      <c r="Y1061" s="56"/>
      <c r="AA1061" s="56"/>
      <c r="AB1061" s="114"/>
    </row>
    <row r="1062">
      <c r="A1062" s="24"/>
      <c r="B1062" s="24"/>
      <c r="C1062" s="24"/>
      <c r="D1062" s="22"/>
      <c r="F1062" s="114"/>
      <c r="G1062" s="114"/>
      <c r="H1062" s="114"/>
      <c r="I1062" s="114"/>
      <c r="J1062" s="114"/>
      <c r="K1062" s="114"/>
      <c r="L1062" s="114"/>
      <c r="M1062" s="114"/>
      <c r="X1062" s="56"/>
      <c r="Y1062" s="56"/>
      <c r="AA1062" s="56"/>
      <c r="AB1062" s="114"/>
    </row>
    <row r="1063">
      <c r="A1063" s="24"/>
      <c r="B1063" s="24"/>
      <c r="C1063" s="24"/>
      <c r="D1063" s="22"/>
      <c r="F1063" s="114"/>
      <c r="G1063" s="114"/>
      <c r="H1063" s="114"/>
      <c r="I1063" s="114"/>
      <c r="J1063" s="114"/>
      <c r="K1063" s="114"/>
      <c r="L1063" s="114"/>
      <c r="M1063" s="114"/>
      <c r="X1063" s="56"/>
      <c r="Y1063" s="56"/>
      <c r="AA1063" s="56"/>
      <c r="AB1063" s="114"/>
    </row>
    <row r="1064">
      <c r="A1064" s="24"/>
      <c r="B1064" s="24"/>
      <c r="C1064" s="24"/>
      <c r="D1064" s="22"/>
      <c r="F1064" s="114"/>
      <c r="G1064" s="114"/>
      <c r="H1064" s="114"/>
      <c r="I1064" s="114"/>
      <c r="J1064" s="114"/>
      <c r="K1064" s="114"/>
      <c r="L1064" s="114"/>
      <c r="M1064" s="114"/>
      <c r="X1064" s="56"/>
      <c r="Y1064" s="56"/>
      <c r="AA1064" s="56"/>
      <c r="AB1064" s="114"/>
    </row>
    <row r="1065">
      <c r="A1065" s="24"/>
      <c r="B1065" s="24"/>
      <c r="C1065" s="24"/>
      <c r="D1065" s="22"/>
      <c r="F1065" s="114"/>
      <c r="G1065" s="114"/>
      <c r="H1065" s="114"/>
      <c r="I1065" s="114"/>
      <c r="J1065" s="114"/>
      <c r="K1065" s="114"/>
      <c r="L1065" s="114"/>
      <c r="M1065" s="114"/>
      <c r="X1065" s="56"/>
      <c r="Y1065" s="56"/>
      <c r="AA1065" s="56"/>
      <c r="AB1065" s="114"/>
    </row>
    <row r="1066">
      <c r="A1066" s="24"/>
      <c r="B1066" s="24"/>
      <c r="C1066" s="24"/>
      <c r="D1066" s="22"/>
      <c r="F1066" s="114"/>
      <c r="G1066" s="114"/>
      <c r="H1066" s="114"/>
      <c r="I1066" s="114"/>
      <c r="J1066" s="114"/>
      <c r="K1066" s="114"/>
      <c r="L1066" s="114"/>
      <c r="M1066" s="114"/>
      <c r="X1066" s="56"/>
      <c r="Y1066" s="56"/>
      <c r="AA1066" s="56"/>
      <c r="AB1066" s="114"/>
    </row>
    <row r="1067">
      <c r="A1067" s="24"/>
      <c r="B1067" s="24"/>
      <c r="C1067" s="24"/>
      <c r="D1067" s="22"/>
      <c r="F1067" s="114"/>
      <c r="G1067" s="114"/>
      <c r="H1067" s="114"/>
      <c r="I1067" s="114"/>
      <c r="J1067" s="114"/>
      <c r="K1067" s="114"/>
      <c r="L1067" s="114"/>
      <c r="M1067" s="114"/>
      <c r="X1067" s="56"/>
      <c r="Y1067" s="56"/>
      <c r="AA1067" s="56"/>
      <c r="AB1067" s="114"/>
    </row>
    <row r="1068">
      <c r="A1068" s="24"/>
      <c r="B1068" s="24"/>
      <c r="C1068" s="24"/>
      <c r="D1068" s="22"/>
      <c r="F1068" s="114"/>
      <c r="G1068" s="114"/>
      <c r="H1068" s="114"/>
      <c r="I1068" s="114"/>
      <c r="J1068" s="114"/>
      <c r="K1068" s="114"/>
      <c r="L1068" s="114"/>
      <c r="M1068" s="114"/>
      <c r="X1068" s="56"/>
      <c r="Y1068" s="56"/>
      <c r="AA1068" s="56"/>
      <c r="AB1068" s="114"/>
    </row>
    <row r="1069">
      <c r="A1069" s="24"/>
      <c r="B1069" s="24"/>
      <c r="C1069" s="24"/>
      <c r="D1069" s="22"/>
      <c r="F1069" s="114"/>
      <c r="G1069" s="114"/>
      <c r="H1069" s="114"/>
      <c r="I1069" s="114"/>
      <c r="J1069" s="114"/>
      <c r="K1069" s="114"/>
      <c r="L1069" s="114"/>
      <c r="M1069" s="114"/>
      <c r="X1069" s="56"/>
      <c r="Y1069" s="56"/>
      <c r="AA1069" s="56"/>
      <c r="AB1069" s="114"/>
    </row>
    <row r="1070">
      <c r="A1070" s="24"/>
      <c r="B1070" s="24"/>
      <c r="C1070" s="24"/>
      <c r="D1070" s="22"/>
      <c r="F1070" s="114"/>
      <c r="G1070" s="114"/>
      <c r="H1070" s="114"/>
      <c r="I1070" s="114"/>
      <c r="J1070" s="114"/>
      <c r="K1070" s="114"/>
      <c r="L1070" s="114"/>
      <c r="M1070" s="114"/>
      <c r="X1070" s="56"/>
      <c r="Y1070" s="56"/>
      <c r="AA1070" s="56"/>
      <c r="AB1070" s="114"/>
    </row>
    <row r="1071">
      <c r="A1071" s="24"/>
      <c r="B1071" s="24"/>
      <c r="C1071" s="24"/>
      <c r="D1071" s="22"/>
      <c r="F1071" s="114"/>
      <c r="G1071" s="114"/>
      <c r="H1071" s="114"/>
      <c r="I1071" s="114"/>
      <c r="J1071" s="114"/>
      <c r="K1071" s="114"/>
      <c r="L1071" s="114"/>
      <c r="M1071" s="114"/>
      <c r="X1071" s="56"/>
      <c r="Y1071" s="56"/>
      <c r="AA1071" s="56"/>
      <c r="AB1071" s="114"/>
    </row>
    <row r="1072">
      <c r="A1072" s="24"/>
      <c r="B1072" s="24"/>
      <c r="C1072" s="24"/>
      <c r="D1072" s="22"/>
      <c r="F1072" s="114"/>
      <c r="G1072" s="114"/>
      <c r="H1072" s="114"/>
      <c r="I1072" s="114"/>
      <c r="J1072" s="114"/>
      <c r="K1072" s="114"/>
      <c r="L1072" s="114"/>
      <c r="M1072" s="114"/>
      <c r="X1072" s="56"/>
      <c r="Y1072" s="56"/>
      <c r="AA1072" s="56"/>
      <c r="AB1072" s="114"/>
    </row>
    <row r="1073">
      <c r="A1073" s="24"/>
      <c r="B1073" s="24"/>
      <c r="C1073" s="24"/>
      <c r="D1073" s="22"/>
      <c r="F1073" s="114"/>
      <c r="G1073" s="114"/>
      <c r="H1073" s="114"/>
      <c r="I1073" s="114"/>
      <c r="J1073" s="114"/>
      <c r="K1073" s="114"/>
      <c r="L1073" s="114"/>
      <c r="M1073" s="114"/>
      <c r="X1073" s="56"/>
      <c r="Y1073" s="56"/>
      <c r="AA1073" s="56"/>
      <c r="AB1073" s="114"/>
    </row>
    <row r="1074">
      <c r="A1074" s="24"/>
      <c r="B1074" s="24"/>
      <c r="C1074" s="24"/>
      <c r="D1074" s="22"/>
      <c r="F1074" s="114"/>
      <c r="G1074" s="114"/>
      <c r="H1074" s="114"/>
      <c r="I1074" s="114"/>
      <c r="J1074" s="114"/>
      <c r="K1074" s="114"/>
      <c r="L1074" s="114"/>
      <c r="M1074" s="114"/>
      <c r="X1074" s="56"/>
      <c r="Y1074" s="56"/>
      <c r="AA1074" s="56"/>
      <c r="AB1074" s="114"/>
    </row>
    <row r="1075">
      <c r="A1075" s="24"/>
      <c r="B1075" s="24"/>
      <c r="C1075" s="24"/>
      <c r="D1075" s="22"/>
      <c r="F1075" s="114"/>
      <c r="G1075" s="114"/>
      <c r="H1075" s="114"/>
      <c r="I1075" s="114"/>
      <c r="J1075" s="114"/>
      <c r="K1075" s="114"/>
      <c r="L1075" s="114"/>
      <c r="M1075" s="114"/>
      <c r="X1075" s="56"/>
      <c r="Y1075" s="56"/>
      <c r="AA1075" s="56"/>
      <c r="AB1075" s="114"/>
    </row>
    <row r="1076">
      <c r="A1076" s="24"/>
      <c r="B1076" s="24"/>
      <c r="C1076" s="24"/>
      <c r="D1076" s="22"/>
      <c r="F1076" s="114"/>
      <c r="G1076" s="114"/>
      <c r="H1076" s="114"/>
      <c r="I1076" s="114"/>
      <c r="J1076" s="114"/>
      <c r="K1076" s="114"/>
      <c r="L1076" s="114"/>
      <c r="M1076" s="114"/>
      <c r="X1076" s="56"/>
      <c r="Y1076" s="56"/>
      <c r="AA1076" s="56"/>
      <c r="AB1076" s="114"/>
    </row>
    <row r="1077">
      <c r="A1077" s="24"/>
      <c r="B1077" s="24"/>
      <c r="C1077" s="24"/>
      <c r="D1077" s="22"/>
      <c r="F1077" s="114"/>
      <c r="G1077" s="114"/>
      <c r="H1077" s="114"/>
      <c r="I1077" s="114"/>
      <c r="J1077" s="114"/>
      <c r="K1077" s="114"/>
      <c r="L1077" s="114"/>
      <c r="M1077" s="114"/>
      <c r="X1077" s="56"/>
      <c r="Y1077" s="56"/>
      <c r="AA1077" s="56"/>
      <c r="AB1077" s="114"/>
    </row>
    <row r="1078">
      <c r="A1078" s="24"/>
      <c r="B1078" s="24"/>
      <c r="C1078" s="24"/>
      <c r="D1078" s="22"/>
      <c r="F1078" s="114"/>
      <c r="G1078" s="114"/>
      <c r="H1078" s="114"/>
      <c r="I1078" s="114"/>
      <c r="J1078" s="114"/>
      <c r="K1078" s="114"/>
      <c r="L1078" s="114"/>
      <c r="M1078" s="114"/>
      <c r="X1078" s="56"/>
      <c r="Y1078" s="56"/>
      <c r="AA1078" s="56"/>
      <c r="AB1078" s="114"/>
    </row>
    <row r="1079">
      <c r="A1079" s="24"/>
      <c r="B1079" s="24"/>
      <c r="C1079" s="24"/>
      <c r="D1079" s="22"/>
      <c r="F1079" s="114"/>
      <c r="G1079" s="114"/>
      <c r="H1079" s="114"/>
      <c r="I1079" s="114"/>
      <c r="J1079" s="114"/>
      <c r="K1079" s="114"/>
      <c r="L1079" s="114"/>
      <c r="M1079" s="114"/>
      <c r="X1079" s="56"/>
      <c r="Y1079" s="56"/>
      <c r="AA1079" s="56"/>
      <c r="AB1079" s="114"/>
    </row>
    <row r="1080">
      <c r="A1080" s="24"/>
      <c r="B1080" s="24"/>
      <c r="C1080" s="24"/>
      <c r="D1080" s="22"/>
      <c r="F1080" s="114"/>
      <c r="G1080" s="114"/>
      <c r="H1080" s="114"/>
      <c r="I1080" s="114"/>
      <c r="J1080" s="114"/>
      <c r="K1080" s="114"/>
      <c r="L1080" s="114"/>
      <c r="M1080" s="114"/>
      <c r="X1080" s="56"/>
      <c r="Y1080" s="56"/>
      <c r="AA1080" s="56"/>
      <c r="AB1080" s="114"/>
    </row>
    <row r="1081">
      <c r="A1081" s="24"/>
      <c r="B1081" s="24"/>
      <c r="C1081" s="24"/>
      <c r="D1081" s="22"/>
      <c r="F1081" s="114"/>
      <c r="G1081" s="114"/>
      <c r="H1081" s="114"/>
      <c r="I1081" s="114"/>
      <c r="J1081" s="114"/>
      <c r="K1081" s="114"/>
      <c r="L1081" s="114"/>
      <c r="M1081" s="114"/>
      <c r="X1081" s="56"/>
      <c r="Y1081" s="56"/>
      <c r="AA1081" s="56"/>
      <c r="AB1081" s="114"/>
    </row>
    <row r="1082">
      <c r="A1082" s="24"/>
      <c r="B1082" s="24"/>
      <c r="C1082" s="24"/>
      <c r="D1082" s="22"/>
      <c r="F1082" s="114"/>
      <c r="G1082" s="114"/>
      <c r="H1082" s="114"/>
      <c r="I1082" s="114"/>
      <c r="J1082" s="114"/>
      <c r="K1082" s="114"/>
      <c r="L1082" s="114"/>
      <c r="M1082" s="114"/>
      <c r="X1082" s="56"/>
      <c r="Y1082" s="56"/>
      <c r="AA1082" s="56"/>
      <c r="AB1082" s="114"/>
    </row>
    <row r="1083">
      <c r="A1083" s="24"/>
      <c r="B1083" s="24"/>
      <c r="C1083" s="24"/>
      <c r="D1083" s="22"/>
      <c r="F1083" s="114"/>
      <c r="G1083" s="114"/>
      <c r="H1083" s="114"/>
      <c r="I1083" s="114"/>
      <c r="J1083" s="114"/>
      <c r="K1083" s="114"/>
      <c r="L1083" s="114"/>
      <c r="M1083" s="114"/>
      <c r="X1083" s="56"/>
      <c r="Y1083" s="56"/>
      <c r="AA1083" s="56"/>
      <c r="AB1083" s="114"/>
    </row>
    <row r="1084">
      <c r="A1084" s="24"/>
      <c r="B1084" s="24"/>
      <c r="C1084" s="24"/>
      <c r="D1084" s="22"/>
      <c r="F1084" s="114"/>
      <c r="G1084" s="114"/>
      <c r="H1084" s="114"/>
      <c r="I1084" s="114"/>
      <c r="J1084" s="114"/>
      <c r="K1084" s="114"/>
      <c r="L1084" s="114"/>
      <c r="M1084" s="114"/>
      <c r="X1084" s="56"/>
      <c r="Y1084" s="56"/>
      <c r="AA1084" s="56"/>
      <c r="AB1084" s="114"/>
    </row>
    <row r="1085">
      <c r="A1085" s="24"/>
      <c r="B1085" s="24"/>
      <c r="C1085" s="24"/>
      <c r="D1085" s="22"/>
      <c r="F1085" s="114"/>
      <c r="G1085" s="114"/>
      <c r="H1085" s="114"/>
      <c r="I1085" s="114"/>
      <c r="J1085" s="114"/>
      <c r="K1085" s="114"/>
      <c r="L1085" s="114"/>
      <c r="M1085" s="114"/>
      <c r="X1085" s="56"/>
      <c r="Y1085" s="56"/>
      <c r="AA1085" s="56"/>
      <c r="AB1085" s="114"/>
    </row>
    <row r="1086">
      <c r="A1086" s="24"/>
      <c r="B1086" s="24"/>
      <c r="C1086" s="24"/>
      <c r="D1086" s="22"/>
      <c r="F1086" s="114"/>
      <c r="G1086" s="114"/>
      <c r="H1086" s="114"/>
      <c r="I1086" s="114"/>
      <c r="J1086" s="114"/>
      <c r="K1086" s="114"/>
      <c r="L1086" s="114"/>
      <c r="M1086" s="114"/>
      <c r="X1086" s="56"/>
      <c r="Y1086" s="56"/>
      <c r="AA1086" s="56"/>
      <c r="AB1086" s="114"/>
    </row>
    <row r="1087">
      <c r="A1087" s="24"/>
      <c r="B1087" s="24"/>
      <c r="C1087" s="24"/>
      <c r="D1087" s="22"/>
      <c r="F1087" s="114"/>
      <c r="G1087" s="114"/>
      <c r="H1087" s="114"/>
      <c r="I1087" s="114"/>
      <c r="J1087" s="114"/>
      <c r="K1087" s="114"/>
      <c r="L1087" s="114"/>
      <c r="M1087" s="114"/>
      <c r="X1087" s="56"/>
      <c r="Y1087" s="56"/>
      <c r="AA1087" s="56"/>
      <c r="AB1087" s="114"/>
    </row>
    <row r="1088">
      <c r="A1088" s="24"/>
      <c r="B1088" s="24"/>
      <c r="C1088" s="24"/>
      <c r="D1088" s="22"/>
      <c r="F1088" s="114"/>
      <c r="G1088" s="114"/>
      <c r="H1088" s="114"/>
      <c r="I1088" s="114"/>
      <c r="J1088" s="114"/>
      <c r="K1088" s="114"/>
      <c r="L1088" s="114"/>
      <c r="M1088" s="114"/>
      <c r="X1088" s="56"/>
      <c r="Y1088" s="56"/>
      <c r="AA1088" s="56"/>
      <c r="AB1088" s="114"/>
    </row>
    <row r="1089">
      <c r="A1089" s="24"/>
      <c r="B1089" s="24"/>
      <c r="C1089" s="24"/>
      <c r="D1089" s="22"/>
      <c r="F1089" s="114"/>
      <c r="G1089" s="114"/>
      <c r="H1089" s="114"/>
      <c r="I1089" s="114"/>
      <c r="J1089" s="114"/>
      <c r="K1089" s="114"/>
      <c r="L1089" s="114"/>
      <c r="M1089" s="114"/>
      <c r="X1089" s="56"/>
      <c r="Y1089" s="56"/>
      <c r="AA1089" s="56"/>
      <c r="AB1089" s="114"/>
    </row>
    <row r="1090">
      <c r="A1090" s="24"/>
      <c r="B1090" s="24"/>
      <c r="C1090" s="24"/>
      <c r="D1090" s="22"/>
      <c r="F1090" s="114"/>
      <c r="G1090" s="114"/>
      <c r="H1090" s="114"/>
      <c r="I1090" s="114"/>
      <c r="J1090" s="114"/>
      <c r="K1090" s="114"/>
      <c r="L1090" s="114"/>
      <c r="M1090" s="114"/>
      <c r="X1090" s="56"/>
      <c r="Y1090" s="56"/>
      <c r="AA1090" s="56"/>
      <c r="AB1090" s="114"/>
    </row>
    <row r="1091">
      <c r="A1091" s="24"/>
      <c r="B1091" s="24"/>
      <c r="C1091" s="24"/>
      <c r="D1091" s="22"/>
      <c r="F1091" s="114"/>
      <c r="G1091" s="114"/>
      <c r="H1091" s="114"/>
      <c r="I1091" s="114"/>
      <c r="J1091" s="114"/>
      <c r="K1091" s="114"/>
      <c r="L1091" s="114"/>
      <c r="M1091" s="114"/>
      <c r="X1091" s="56"/>
      <c r="Y1091" s="56"/>
      <c r="AA1091" s="56"/>
      <c r="AB1091" s="114"/>
    </row>
    <row r="1092">
      <c r="A1092" s="24"/>
      <c r="B1092" s="24"/>
      <c r="C1092" s="24"/>
      <c r="D1092" s="22"/>
      <c r="F1092" s="114"/>
      <c r="G1092" s="114"/>
      <c r="H1092" s="114"/>
      <c r="I1092" s="114"/>
      <c r="J1092" s="114"/>
      <c r="K1092" s="114"/>
      <c r="L1092" s="114"/>
      <c r="M1092" s="114"/>
      <c r="X1092" s="56"/>
      <c r="Y1092" s="56"/>
      <c r="AA1092" s="56"/>
      <c r="AB1092" s="114"/>
    </row>
    <row r="1093">
      <c r="A1093" s="24"/>
      <c r="B1093" s="24"/>
      <c r="C1093" s="24"/>
      <c r="D1093" s="22"/>
      <c r="F1093" s="114"/>
      <c r="G1093" s="114"/>
      <c r="H1093" s="114"/>
      <c r="I1093" s="114"/>
      <c r="J1093" s="114"/>
      <c r="K1093" s="114"/>
      <c r="L1093" s="114"/>
      <c r="M1093" s="114"/>
      <c r="X1093" s="56"/>
      <c r="Y1093" s="56"/>
      <c r="AA1093" s="56"/>
      <c r="AB1093" s="114"/>
    </row>
    <row r="1094">
      <c r="A1094" s="24"/>
      <c r="B1094" s="24"/>
      <c r="C1094" s="24"/>
      <c r="D1094" s="22"/>
      <c r="F1094" s="114"/>
      <c r="G1094" s="114"/>
      <c r="H1094" s="114"/>
      <c r="I1094" s="114"/>
      <c r="J1094" s="114"/>
      <c r="K1094" s="114"/>
      <c r="L1094" s="114"/>
      <c r="M1094" s="114"/>
      <c r="X1094" s="56"/>
      <c r="Y1094" s="56"/>
      <c r="AA1094" s="56"/>
      <c r="AB1094" s="114"/>
    </row>
    <row r="1095">
      <c r="A1095" s="24"/>
      <c r="B1095" s="24"/>
      <c r="C1095" s="24"/>
      <c r="D1095" s="22"/>
      <c r="F1095" s="114"/>
      <c r="G1095" s="114"/>
      <c r="H1095" s="114"/>
      <c r="I1095" s="114"/>
      <c r="J1095" s="114"/>
      <c r="K1095" s="114"/>
      <c r="L1095" s="114"/>
      <c r="M1095" s="114"/>
      <c r="X1095" s="56"/>
      <c r="Y1095" s="56"/>
      <c r="AA1095" s="56"/>
      <c r="AB1095" s="114"/>
    </row>
    <row r="1096">
      <c r="A1096" s="24"/>
      <c r="B1096" s="24"/>
      <c r="C1096" s="24"/>
      <c r="D1096" s="22"/>
      <c r="F1096" s="114"/>
      <c r="G1096" s="114"/>
      <c r="H1096" s="114"/>
      <c r="I1096" s="114"/>
      <c r="J1096" s="114"/>
      <c r="K1096" s="114"/>
      <c r="L1096" s="114"/>
      <c r="M1096" s="114"/>
      <c r="X1096" s="56"/>
      <c r="Y1096" s="56"/>
      <c r="AA1096" s="56"/>
      <c r="AB1096" s="114"/>
    </row>
    <row r="1097">
      <c r="A1097" s="24"/>
      <c r="B1097" s="24"/>
      <c r="C1097" s="24"/>
      <c r="D1097" s="22"/>
      <c r="F1097" s="114"/>
      <c r="G1097" s="114"/>
      <c r="H1097" s="114"/>
      <c r="I1097" s="114"/>
      <c r="J1097" s="114"/>
      <c r="K1097" s="114"/>
      <c r="L1097" s="114"/>
      <c r="M1097" s="114"/>
      <c r="X1097" s="56"/>
      <c r="Y1097" s="56"/>
      <c r="AA1097" s="56"/>
      <c r="AB1097" s="114"/>
    </row>
    <row r="1098">
      <c r="A1098" s="24"/>
      <c r="B1098" s="24"/>
      <c r="C1098" s="24"/>
      <c r="D1098" s="22"/>
      <c r="F1098" s="114"/>
      <c r="G1098" s="114"/>
      <c r="H1098" s="114"/>
      <c r="I1098" s="114"/>
      <c r="J1098" s="114"/>
      <c r="K1098" s="114"/>
      <c r="L1098" s="114"/>
      <c r="M1098" s="114"/>
      <c r="X1098" s="56"/>
      <c r="Y1098" s="56"/>
      <c r="AA1098" s="56"/>
      <c r="AB1098" s="114"/>
    </row>
    <row r="1099">
      <c r="A1099" s="24"/>
      <c r="B1099" s="24"/>
      <c r="C1099" s="24"/>
      <c r="D1099" s="22"/>
      <c r="F1099" s="114"/>
      <c r="G1099" s="114"/>
      <c r="H1099" s="114"/>
      <c r="I1099" s="114"/>
      <c r="J1099" s="114"/>
      <c r="K1099" s="114"/>
      <c r="L1099" s="114"/>
      <c r="M1099" s="114"/>
      <c r="X1099" s="56"/>
      <c r="Y1099" s="56"/>
      <c r="AA1099" s="56"/>
      <c r="AB1099" s="114"/>
    </row>
    <row r="1100">
      <c r="A1100" s="24"/>
      <c r="B1100" s="24"/>
      <c r="C1100" s="24"/>
      <c r="D1100" s="22"/>
      <c r="F1100" s="114"/>
      <c r="G1100" s="114"/>
      <c r="H1100" s="114"/>
      <c r="I1100" s="114"/>
      <c r="J1100" s="114"/>
      <c r="K1100" s="114"/>
      <c r="L1100" s="114"/>
      <c r="M1100" s="114"/>
      <c r="X1100" s="56"/>
      <c r="Y1100" s="56"/>
      <c r="AA1100" s="56"/>
      <c r="AB1100" s="114"/>
    </row>
    <row r="1101">
      <c r="A1101" s="24"/>
      <c r="B1101" s="24"/>
      <c r="C1101" s="24"/>
      <c r="D1101" s="22"/>
      <c r="F1101" s="114"/>
      <c r="G1101" s="114"/>
      <c r="H1101" s="114"/>
      <c r="I1101" s="114"/>
      <c r="J1101" s="114"/>
      <c r="K1101" s="114"/>
      <c r="L1101" s="114"/>
      <c r="M1101" s="114"/>
      <c r="X1101" s="56"/>
      <c r="Y1101" s="56"/>
      <c r="AA1101" s="56"/>
      <c r="AB1101" s="114"/>
    </row>
    <row r="1102">
      <c r="A1102" s="24"/>
      <c r="B1102" s="24"/>
      <c r="C1102" s="24"/>
      <c r="D1102" s="22"/>
      <c r="F1102" s="114"/>
      <c r="G1102" s="114"/>
      <c r="H1102" s="114"/>
      <c r="I1102" s="114"/>
      <c r="J1102" s="114"/>
      <c r="K1102" s="114"/>
      <c r="L1102" s="114"/>
      <c r="M1102" s="114"/>
      <c r="X1102" s="56"/>
      <c r="Y1102" s="56"/>
      <c r="AA1102" s="56"/>
      <c r="AB1102" s="114"/>
    </row>
    <row r="1103">
      <c r="A1103" s="24"/>
      <c r="B1103" s="24"/>
      <c r="C1103" s="24"/>
      <c r="D1103" s="22"/>
      <c r="F1103" s="114"/>
      <c r="G1103" s="114"/>
      <c r="H1103" s="114"/>
      <c r="I1103" s="114"/>
      <c r="J1103" s="114"/>
      <c r="K1103" s="114"/>
      <c r="L1103" s="114"/>
      <c r="M1103" s="114"/>
      <c r="X1103" s="56"/>
      <c r="Y1103" s="56"/>
      <c r="AA1103" s="56"/>
      <c r="AB1103" s="114"/>
    </row>
    <row r="1104">
      <c r="A1104" s="24"/>
      <c r="B1104" s="24"/>
      <c r="C1104" s="24"/>
      <c r="D1104" s="22"/>
      <c r="F1104" s="114"/>
      <c r="G1104" s="114"/>
      <c r="H1104" s="114"/>
      <c r="I1104" s="114"/>
      <c r="J1104" s="114"/>
      <c r="K1104" s="114"/>
      <c r="L1104" s="114"/>
      <c r="M1104" s="114"/>
      <c r="X1104" s="56"/>
      <c r="Y1104" s="56"/>
      <c r="AA1104" s="56"/>
      <c r="AB1104" s="114"/>
    </row>
    <row r="1105">
      <c r="A1105" s="24"/>
      <c r="B1105" s="24"/>
      <c r="C1105" s="24"/>
      <c r="D1105" s="22"/>
      <c r="F1105" s="114"/>
      <c r="G1105" s="114"/>
      <c r="H1105" s="114"/>
      <c r="I1105" s="114"/>
      <c r="J1105" s="114"/>
      <c r="K1105" s="114"/>
      <c r="L1105" s="114"/>
      <c r="M1105" s="114"/>
      <c r="X1105" s="56"/>
      <c r="Y1105" s="56"/>
      <c r="AA1105" s="56"/>
      <c r="AB1105" s="114"/>
    </row>
    <row r="1106">
      <c r="A1106" s="24"/>
      <c r="B1106" s="24"/>
      <c r="C1106" s="24"/>
      <c r="D1106" s="22"/>
      <c r="F1106" s="114"/>
      <c r="G1106" s="114"/>
      <c r="H1106" s="114"/>
      <c r="I1106" s="114"/>
      <c r="J1106" s="114"/>
      <c r="K1106" s="114"/>
      <c r="L1106" s="114"/>
      <c r="M1106" s="114"/>
      <c r="X1106" s="56"/>
      <c r="Y1106" s="56"/>
      <c r="AA1106" s="56"/>
      <c r="AB1106" s="114"/>
    </row>
    <row r="1107">
      <c r="A1107" s="24"/>
      <c r="B1107" s="24"/>
      <c r="C1107" s="24"/>
      <c r="D1107" s="22"/>
      <c r="F1107" s="114"/>
      <c r="G1107" s="114"/>
      <c r="H1107" s="114"/>
      <c r="I1107" s="114"/>
      <c r="J1107" s="114"/>
      <c r="K1107" s="114"/>
      <c r="L1107" s="114"/>
      <c r="M1107" s="114"/>
      <c r="X1107" s="56"/>
      <c r="Y1107" s="56"/>
      <c r="AA1107" s="56"/>
      <c r="AB1107" s="114"/>
    </row>
    <row r="1108">
      <c r="A1108" s="24"/>
      <c r="B1108" s="24"/>
      <c r="C1108" s="24"/>
      <c r="D1108" s="22"/>
      <c r="F1108" s="114"/>
      <c r="G1108" s="114"/>
      <c r="H1108" s="114"/>
      <c r="I1108" s="114"/>
      <c r="J1108" s="114"/>
      <c r="K1108" s="114"/>
      <c r="L1108" s="114"/>
      <c r="M1108" s="114"/>
      <c r="X1108" s="56"/>
      <c r="Y1108" s="56"/>
      <c r="AA1108" s="56"/>
      <c r="AB1108" s="114"/>
    </row>
    <row r="1109">
      <c r="A1109" s="24"/>
      <c r="B1109" s="24"/>
      <c r="C1109" s="24"/>
      <c r="D1109" s="22"/>
      <c r="F1109" s="114"/>
      <c r="G1109" s="114"/>
      <c r="H1109" s="114"/>
      <c r="I1109" s="114"/>
      <c r="J1109" s="114"/>
      <c r="K1109" s="114"/>
      <c r="L1109" s="114"/>
      <c r="M1109" s="114"/>
      <c r="X1109" s="56"/>
      <c r="Y1109" s="56"/>
      <c r="AA1109" s="56"/>
      <c r="AB1109" s="114"/>
    </row>
    <row r="1110">
      <c r="A1110" s="24"/>
      <c r="B1110" s="24"/>
      <c r="C1110" s="24"/>
      <c r="D1110" s="22"/>
      <c r="F1110" s="114"/>
      <c r="G1110" s="114"/>
      <c r="H1110" s="114"/>
      <c r="I1110" s="114"/>
      <c r="J1110" s="114"/>
      <c r="K1110" s="114"/>
      <c r="L1110" s="114"/>
      <c r="M1110" s="114"/>
      <c r="X1110" s="56"/>
      <c r="Y1110" s="56"/>
      <c r="AA1110" s="56"/>
      <c r="AB1110" s="114"/>
    </row>
    <row r="1111">
      <c r="A1111" s="24"/>
      <c r="B1111" s="24"/>
      <c r="C1111" s="24"/>
      <c r="D1111" s="22"/>
      <c r="F1111" s="114"/>
      <c r="G1111" s="114"/>
      <c r="H1111" s="114"/>
      <c r="I1111" s="114"/>
      <c r="J1111" s="114"/>
      <c r="K1111" s="114"/>
      <c r="L1111" s="114"/>
      <c r="M1111" s="114"/>
      <c r="X1111" s="56"/>
      <c r="Y1111" s="56"/>
      <c r="AA1111" s="56"/>
      <c r="AB1111" s="114"/>
    </row>
    <row r="1112">
      <c r="A1112" s="24"/>
      <c r="B1112" s="24"/>
      <c r="C1112" s="24"/>
      <c r="D1112" s="22"/>
      <c r="F1112" s="114"/>
      <c r="G1112" s="114"/>
      <c r="H1112" s="114"/>
      <c r="I1112" s="114"/>
      <c r="J1112" s="114"/>
      <c r="K1112" s="114"/>
      <c r="L1112" s="114"/>
      <c r="M1112" s="114"/>
      <c r="X1112" s="56"/>
      <c r="Y1112" s="56"/>
      <c r="AA1112" s="56"/>
      <c r="AB1112" s="114"/>
    </row>
    <row r="1113">
      <c r="A1113" s="24"/>
      <c r="B1113" s="24"/>
      <c r="C1113" s="24"/>
      <c r="D1113" s="22"/>
      <c r="F1113" s="114"/>
      <c r="G1113" s="114"/>
      <c r="H1113" s="114"/>
      <c r="I1113" s="114"/>
      <c r="J1113" s="114"/>
      <c r="K1113" s="114"/>
      <c r="L1113" s="114"/>
      <c r="M1113" s="114"/>
      <c r="X1113" s="56"/>
      <c r="Y1113" s="56"/>
      <c r="AA1113" s="56"/>
      <c r="AB1113" s="114"/>
    </row>
    <row r="1114">
      <c r="A1114" s="24"/>
      <c r="B1114" s="24"/>
      <c r="C1114" s="24"/>
      <c r="D1114" s="22"/>
      <c r="F1114" s="114"/>
      <c r="G1114" s="114"/>
      <c r="H1114" s="114"/>
      <c r="I1114" s="114"/>
      <c r="J1114" s="114"/>
      <c r="K1114" s="114"/>
      <c r="L1114" s="114"/>
      <c r="M1114" s="114"/>
      <c r="X1114" s="56"/>
      <c r="Y1114" s="56"/>
      <c r="AA1114" s="56"/>
      <c r="AB1114" s="114"/>
    </row>
    <row r="1115">
      <c r="A1115" s="24"/>
      <c r="B1115" s="24"/>
      <c r="C1115" s="24"/>
      <c r="D1115" s="22"/>
      <c r="F1115" s="114"/>
      <c r="G1115" s="114"/>
      <c r="H1115" s="114"/>
      <c r="I1115" s="114"/>
      <c r="J1115" s="114"/>
      <c r="K1115" s="114"/>
      <c r="L1115" s="114"/>
      <c r="M1115" s="114"/>
      <c r="X1115" s="56"/>
      <c r="Y1115" s="56"/>
      <c r="AA1115" s="56"/>
      <c r="AB1115" s="114"/>
    </row>
    <row r="1116">
      <c r="A1116" s="24"/>
      <c r="B1116" s="24"/>
      <c r="C1116" s="24"/>
      <c r="D1116" s="22"/>
      <c r="F1116" s="114"/>
      <c r="G1116" s="114"/>
      <c r="H1116" s="114"/>
      <c r="I1116" s="114"/>
      <c r="J1116" s="114"/>
      <c r="K1116" s="114"/>
      <c r="L1116" s="114"/>
      <c r="M1116" s="114"/>
      <c r="X1116" s="56"/>
      <c r="Y1116" s="56"/>
      <c r="AA1116" s="56"/>
      <c r="AB1116" s="114"/>
    </row>
    <row r="1117">
      <c r="A1117" s="24"/>
      <c r="B1117" s="24"/>
      <c r="C1117" s="24"/>
      <c r="D1117" s="22"/>
      <c r="F1117" s="114"/>
      <c r="G1117" s="114"/>
      <c r="H1117" s="114"/>
      <c r="I1117" s="114"/>
      <c r="J1117" s="114"/>
      <c r="K1117" s="114"/>
      <c r="L1117" s="114"/>
      <c r="M1117" s="114"/>
      <c r="X1117" s="56"/>
      <c r="Y1117" s="56"/>
      <c r="AA1117" s="56"/>
      <c r="AB1117" s="114"/>
    </row>
    <row r="1118">
      <c r="A1118" s="24"/>
      <c r="B1118" s="24"/>
      <c r="C1118" s="24"/>
      <c r="D1118" s="22"/>
      <c r="F1118" s="114"/>
      <c r="G1118" s="114"/>
      <c r="H1118" s="114"/>
      <c r="I1118" s="114"/>
      <c r="J1118" s="114"/>
      <c r="K1118" s="114"/>
      <c r="L1118" s="114"/>
      <c r="M1118" s="114"/>
      <c r="X1118" s="56"/>
      <c r="Y1118" s="56"/>
      <c r="AA1118" s="56"/>
      <c r="AB1118" s="114"/>
    </row>
    <row r="1119">
      <c r="A1119" s="24"/>
      <c r="B1119" s="24"/>
      <c r="C1119" s="24"/>
      <c r="D1119" s="22"/>
      <c r="F1119" s="114"/>
      <c r="G1119" s="114"/>
      <c r="H1119" s="114"/>
      <c r="I1119" s="114"/>
      <c r="J1119" s="114"/>
      <c r="K1119" s="114"/>
      <c r="L1119" s="114"/>
      <c r="M1119" s="114"/>
      <c r="X1119" s="56"/>
      <c r="Y1119" s="56"/>
      <c r="AA1119" s="56"/>
      <c r="AB1119" s="114"/>
    </row>
    <row r="1120">
      <c r="A1120" s="24"/>
      <c r="B1120" s="24"/>
      <c r="C1120" s="24"/>
      <c r="D1120" s="22"/>
      <c r="F1120" s="114"/>
      <c r="G1120" s="114"/>
      <c r="H1120" s="114"/>
      <c r="I1120" s="114"/>
      <c r="J1120" s="114"/>
      <c r="K1120" s="114"/>
      <c r="L1120" s="114"/>
      <c r="M1120" s="114"/>
      <c r="X1120" s="56"/>
      <c r="Y1120" s="56"/>
      <c r="AA1120" s="56"/>
      <c r="AB1120" s="114"/>
    </row>
    <row r="1121">
      <c r="A1121" s="24"/>
      <c r="B1121" s="24"/>
      <c r="C1121" s="24"/>
      <c r="D1121" s="22"/>
      <c r="F1121" s="114"/>
      <c r="G1121" s="114"/>
      <c r="H1121" s="114"/>
      <c r="I1121" s="114"/>
      <c r="J1121" s="114"/>
      <c r="K1121" s="114"/>
      <c r="L1121" s="114"/>
      <c r="M1121" s="114"/>
      <c r="X1121" s="56"/>
      <c r="Y1121" s="56"/>
      <c r="AA1121" s="56"/>
      <c r="AB1121" s="114"/>
    </row>
    <row r="1122">
      <c r="A1122" s="24"/>
      <c r="B1122" s="24"/>
      <c r="C1122" s="24"/>
      <c r="D1122" s="22"/>
      <c r="F1122" s="114"/>
      <c r="G1122" s="114"/>
      <c r="H1122" s="114"/>
      <c r="I1122" s="114"/>
      <c r="J1122" s="114"/>
      <c r="K1122" s="114"/>
      <c r="L1122" s="114"/>
      <c r="M1122" s="114"/>
      <c r="X1122" s="56"/>
      <c r="Y1122" s="56"/>
      <c r="AA1122" s="56"/>
      <c r="AB1122" s="114"/>
    </row>
    <row r="1123">
      <c r="A1123" s="24"/>
      <c r="B1123" s="24"/>
      <c r="C1123" s="24"/>
      <c r="D1123" s="22"/>
      <c r="F1123" s="114"/>
      <c r="G1123" s="114"/>
      <c r="H1123" s="114"/>
      <c r="I1123" s="114"/>
      <c r="J1123" s="114"/>
      <c r="K1123" s="114"/>
      <c r="L1123" s="114"/>
      <c r="M1123" s="114"/>
      <c r="X1123" s="56"/>
      <c r="Y1123" s="56"/>
      <c r="AA1123" s="56"/>
      <c r="AB1123" s="114"/>
    </row>
    <row r="1124">
      <c r="A1124" s="24"/>
      <c r="B1124" s="24"/>
      <c r="C1124" s="24"/>
      <c r="D1124" s="22"/>
      <c r="F1124" s="114"/>
      <c r="G1124" s="114"/>
      <c r="H1124" s="114"/>
      <c r="I1124" s="114"/>
      <c r="J1124" s="114"/>
      <c r="K1124" s="114"/>
      <c r="L1124" s="114"/>
      <c r="M1124" s="114"/>
      <c r="X1124" s="56"/>
      <c r="Y1124" s="56"/>
      <c r="AA1124" s="56"/>
      <c r="AB1124" s="114"/>
    </row>
    <row r="1125">
      <c r="A1125" s="24"/>
      <c r="B1125" s="24"/>
      <c r="C1125" s="24"/>
      <c r="D1125" s="22"/>
      <c r="F1125" s="114"/>
      <c r="G1125" s="114"/>
      <c r="H1125" s="114"/>
      <c r="I1125" s="114"/>
      <c r="J1125" s="114"/>
      <c r="K1125" s="114"/>
      <c r="L1125" s="114"/>
      <c r="M1125" s="114"/>
      <c r="X1125" s="56"/>
      <c r="Y1125" s="56"/>
      <c r="AA1125" s="56"/>
      <c r="AB1125" s="114"/>
    </row>
    <row r="1126">
      <c r="A1126" s="24"/>
      <c r="B1126" s="24"/>
      <c r="C1126" s="24"/>
      <c r="D1126" s="22"/>
      <c r="F1126" s="114"/>
      <c r="G1126" s="114"/>
      <c r="H1126" s="114"/>
      <c r="I1126" s="114"/>
      <c r="J1126" s="114"/>
      <c r="K1126" s="114"/>
      <c r="L1126" s="114"/>
      <c r="M1126" s="114"/>
      <c r="X1126" s="56"/>
      <c r="Y1126" s="56"/>
      <c r="AA1126" s="56"/>
      <c r="AB1126" s="114"/>
    </row>
    <row r="1127">
      <c r="A1127" s="24"/>
      <c r="B1127" s="24"/>
      <c r="C1127" s="24"/>
      <c r="D1127" s="22"/>
      <c r="F1127" s="114"/>
      <c r="G1127" s="114"/>
      <c r="H1127" s="114"/>
      <c r="I1127" s="114"/>
      <c r="J1127" s="114"/>
      <c r="K1127" s="114"/>
      <c r="L1127" s="114"/>
      <c r="M1127" s="114"/>
      <c r="X1127" s="56"/>
      <c r="Y1127" s="56"/>
      <c r="AA1127" s="56"/>
      <c r="AB1127" s="114"/>
    </row>
    <row r="1128">
      <c r="A1128" s="24"/>
      <c r="B1128" s="24"/>
      <c r="C1128" s="24"/>
      <c r="D1128" s="22"/>
      <c r="F1128" s="114"/>
      <c r="G1128" s="114"/>
      <c r="H1128" s="114"/>
      <c r="I1128" s="114"/>
      <c r="J1128" s="114"/>
      <c r="K1128" s="114"/>
      <c r="L1128" s="114"/>
      <c r="M1128" s="114"/>
      <c r="X1128" s="56"/>
      <c r="Y1128" s="56"/>
      <c r="AA1128" s="56"/>
      <c r="AB1128" s="114"/>
    </row>
    <row r="1129">
      <c r="A1129" s="24"/>
      <c r="B1129" s="24"/>
      <c r="C1129" s="24"/>
      <c r="D1129" s="22"/>
      <c r="F1129" s="114"/>
      <c r="G1129" s="114"/>
      <c r="H1129" s="114"/>
      <c r="I1129" s="114"/>
      <c r="J1129" s="114"/>
      <c r="K1129" s="114"/>
      <c r="L1129" s="114"/>
      <c r="M1129" s="114"/>
      <c r="X1129" s="56"/>
      <c r="Y1129" s="56"/>
      <c r="AA1129" s="56"/>
      <c r="AB1129" s="114"/>
    </row>
    <row r="1130">
      <c r="A1130" s="24"/>
      <c r="B1130" s="24"/>
      <c r="C1130" s="24"/>
      <c r="D1130" s="22"/>
      <c r="F1130" s="114"/>
      <c r="G1130" s="114"/>
      <c r="H1130" s="114"/>
      <c r="I1130" s="114"/>
      <c r="J1130" s="114"/>
      <c r="K1130" s="114"/>
      <c r="L1130" s="114"/>
      <c r="M1130" s="114"/>
      <c r="X1130" s="56"/>
      <c r="Y1130" s="56"/>
      <c r="AA1130" s="56"/>
      <c r="AB1130" s="114"/>
    </row>
    <row r="1131">
      <c r="A1131" s="24"/>
      <c r="B1131" s="24"/>
      <c r="C1131" s="24"/>
      <c r="D1131" s="22"/>
      <c r="F1131" s="114"/>
      <c r="G1131" s="114"/>
      <c r="H1131" s="114"/>
      <c r="I1131" s="114"/>
      <c r="J1131" s="114"/>
      <c r="K1131" s="114"/>
      <c r="L1131" s="114"/>
      <c r="M1131" s="114"/>
      <c r="X1131" s="56"/>
      <c r="Y1131" s="56"/>
      <c r="AA1131" s="56"/>
      <c r="AB1131" s="114"/>
    </row>
    <row r="1132">
      <c r="A1132" s="24"/>
      <c r="B1132" s="24"/>
      <c r="C1132" s="24"/>
      <c r="D1132" s="22"/>
      <c r="F1132" s="114"/>
      <c r="G1132" s="114"/>
      <c r="H1132" s="114"/>
      <c r="I1132" s="114"/>
      <c r="J1132" s="114"/>
      <c r="K1132" s="114"/>
      <c r="L1132" s="114"/>
      <c r="M1132" s="114"/>
      <c r="X1132" s="56"/>
      <c r="Y1132" s="56"/>
      <c r="AA1132" s="56"/>
      <c r="AB1132" s="114"/>
    </row>
    <row r="1133">
      <c r="A1133" s="24"/>
      <c r="B1133" s="24"/>
      <c r="C1133" s="24"/>
      <c r="D1133" s="22"/>
      <c r="F1133" s="114"/>
      <c r="G1133" s="114"/>
      <c r="H1133" s="114"/>
      <c r="I1133" s="114"/>
      <c r="J1133" s="114"/>
      <c r="K1133" s="114"/>
      <c r="L1133" s="114"/>
      <c r="M1133" s="114"/>
      <c r="X1133" s="56"/>
      <c r="Y1133" s="56"/>
      <c r="AA1133" s="56"/>
      <c r="AB1133" s="114"/>
    </row>
    <row r="1134">
      <c r="A1134" s="24"/>
      <c r="B1134" s="24"/>
      <c r="C1134" s="24"/>
      <c r="D1134" s="22"/>
      <c r="F1134" s="114"/>
      <c r="G1134" s="114"/>
      <c r="H1134" s="114"/>
      <c r="I1134" s="114"/>
      <c r="J1134" s="114"/>
      <c r="K1134" s="114"/>
      <c r="L1134" s="114"/>
      <c r="M1134" s="114"/>
      <c r="X1134" s="56"/>
      <c r="Y1134" s="56"/>
      <c r="AA1134" s="56"/>
      <c r="AB1134" s="114"/>
    </row>
    <row r="1135">
      <c r="A1135" s="24"/>
      <c r="B1135" s="24"/>
      <c r="C1135" s="24"/>
      <c r="D1135" s="22"/>
      <c r="F1135" s="114"/>
      <c r="G1135" s="114"/>
      <c r="H1135" s="114"/>
      <c r="I1135" s="114"/>
      <c r="J1135" s="114"/>
      <c r="K1135" s="114"/>
      <c r="L1135" s="114"/>
      <c r="M1135" s="114"/>
      <c r="X1135" s="56"/>
      <c r="Y1135" s="56"/>
      <c r="AA1135" s="56"/>
      <c r="AB1135" s="114"/>
    </row>
    <row r="1136">
      <c r="A1136" s="24"/>
      <c r="B1136" s="24"/>
      <c r="C1136" s="24"/>
      <c r="D1136" s="22"/>
      <c r="F1136" s="114"/>
      <c r="G1136" s="114"/>
      <c r="H1136" s="114"/>
      <c r="I1136" s="114"/>
      <c r="J1136" s="114"/>
      <c r="K1136" s="114"/>
      <c r="L1136" s="114"/>
      <c r="M1136" s="114"/>
      <c r="X1136" s="56"/>
      <c r="Y1136" s="56"/>
      <c r="AA1136" s="56"/>
      <c r="AB1136" s="114"/>
    </row>
    <row r="1137">
      <c r="A1137" s="24"/>
      <c r="B1137" s="24"/>
      <c r="C1137" s="24"/>
      <c r="D1137" s="22"/>
      <c r="F1137" s="114"/>
      <c r="G1137" s="114"/>
      <c r="H1137" s="114"/>
      <c r="I1137" s="114"/>
      <c r="J1137" s="114"/>
      <c r="K1137" s="114"/>
      <c r="L1137" s="114"/>
      <c r="M1137" s="114"/>
      <c r="X1137" s="56"/>
      <c r="Y1137" s="56"/>
      <c r="AA1137" s="56"/>
      <c r="AB1137" s="114"/>
    </row>
    <row r="1138">
      <c r="A1138" s="24"/>
      <c r="B1138" s="24"/>
      <c r="C1138" s="24"/>
      <c r="D1138" s="22"/>
      <c r="F1138" s="114"/>
      <c r="G1138" s="114"/>
      <c r="H1138" s="114"/>
      <c r="I1138" s="114"/>
      <c r="J1138" s="114"/>
      <c r="K1138" s="114"/>
      <c r="L1138" s="114"/>
      <c r="M1138" s="114"/>
      <c r="X1138" s="56"/>
      <c r="Y1138" s="56"/>
      <c r="AA1138" s="56"/>
      <c r="AB1138" s="114"/>
    </row>
    <row r="1139">
      <c r="A1139" s="24"/>
      <c r="B1139" s="24"/>
      <c r="C1139" s="24"/>
      <c r="D1139" s="22"/>
      <c r="F1139" s="114"/>
      <c r="G1139" s="114"/>
      <c r="H1139" s="114"/>
      <c r="I1139" s="114"/>
      <c r="J1139" s="114"/>
      <c r="K1139" s="114"/>
      <c r="L1139" s="114"/>
      <c r="M1139" s="114"/>
      <c r="X1139" s="56"/>
      <c r="Y1139" s="56"/>
      <c r="AA1139" s="56"/>
      <c r="AB1139" s="114"/>
    </row>
    <row r="1140">
      <c r="A1140" s="24"/>
      <c r="B1140" s="24"/>
      <c r="C1140" s="24"/>
      <c r="D1140" s="22"/>
      <c r="F1140" s="114"/>
      <c r="G1140" s="114"/>
      <c r="H1140" s="114"/>
      <c r="I1140" s="114"/>
      <c r="J1140" s="114"/>
      <c r="K1140" s="114"/>
      <c r="L1140" s="114"/>
      <c r="M1140" s="114"/>
      <c r="X1140" s="56"/>
      <c r="Y1140" s="56"/>
      <c r="AA1140" s="56"/>
      <c r="AB1140" s="114"/>
    </row>
    <row r="1141">
      <c r="A1141" s="24"/>
      <c r="B1141" s="24"/>
      <c r="C1141" s="24"/>
      <c r="D1141" s="22"/>
      <c r="F1141" s="114"/>
      <c r="G1141" s="114"/>
      <c r="H1141" s="114"/>
      <c r="I1141" s="114"/>
      <c r="J1141" s="114"/>
      <c r="K1141" s="114"/>
      <c r="L1141" s="114"/>
      <c r="M1141" s="114"/>
      <c r="X1141" s="56"/>
      <c r="Y1141" s="56"/>
      <c r="AA1141" s="56"/>
      <c r="AB1141" s="114"/>
    </row>
    <row r="1142">
      <c r="A1142" s="24"/>
      <c r="B1142" s="24"/>
      <c r="C1142" s="24"/>
      <c r="D1142" s="22"/>
      <c r="F1142" s="114"/>
      <c r="G1142" s="114"/>
      <c r="H1142" s="114"/>
      <c r="I1142" s="114"/>
      <c r="J1142" s="114"/>
      <c r="K1142" s="114"/>
      <c r="L1142" s="114"/>
      <c r="M1142" s="114"/>
      <c r="X1142" s="56"/>
      <c r="Y1142" s="56"/>
      <c r="AA1142" s="56"/>
      <c r="AB1142" s="114"/>
    </row>
    <row r="1143">
      <c r="A1143" s="24"/>
      <c r="B1143" s="24"/>
      <c r="C1143" s="24"/>
      <c r="D1143" s="22"/>
      <c r="F1143" s="114"/>
      <c r="G1143" s="114"/>
      <c r="H1143" s="114"/>
      <c r="I1143" s="114"/>
      <c r="J1143" s="114"/>
      <c r="K1143" s="114"/>
      <c r="L1143" s="114"/>
      <c r="M1143" s="114"/>
      <c r="X1143" s="56"/>
      <c r="Y1143" s="56"/>
      <c r="AA1143" s="56"/>
      <c r="AB1143" s="114"/>
    </row>
    <row r="1144">
      <c r="A1144" s="24"/>
      <c r="B1144" s="24"/>
      <c r="C1144" s="24"/>
      <c r="D1144" s="22"/>
      <c r="F1144" s="114"/>
      <c r="G1144" s="114"/>
      <c r="H1144" s="114"/>
      <c r="I1144" s="114"/>
      <c r="J1144" s="114"/>
      <c r="K1144" s="114"/>
      <c r="L1144" s="114"/>
      <c r="M1144" s="114"/>
      <c r="X1144" s="56"/>
      <c r="Y1144" s="56"/>
      <c r="AA1144" s="56"/>
      <c r="AB1144" s="114"/>
    </row>
    <row r="1145">
      <c r="A1145" s="24"/>
      <c r="B1145" s="24"/>
      <c r="C1145" s="24"/>
      <c r="D1145" s="22"/>
      <c r="F1145" s="114"/>
      <c r="G1145" s="114"/>
      <c r="H1145" s="114"/>
      <c r="I1145" s="114"/>
      <c r="J1145" s="114"/>
      <c r="K1145" s="114"/>
      <c r="L1145" s="114"/>
      <c r="M1145" s="114"/>
      <c r="X1145" s="56"/>
      <c r="Y1145" s="56"/>
      <c r="AA1145" s="56"/>
      <c r="AB1145" s="114"/>
    </row>
    <row r="1146">
      <c r="A1146" s="24"/>
      <c r="B1146" s="24"/>
      <c r="C1146" s="24"/>
      <c r="D1146" s="22"/>
      <c r="F1146" s="114"/>
      <c r="G1146" s="114"/>
      <c r="H1146" s="114"/>
      <c r="I1146" s="114"/>
      <c r="J1146" s="114"/>
      <c r="K1146" s="114"/>
      <c r="L1146" s="114"/>
      <c r="M1146" s="114"/>
      <c r="X1146" s="56"/>
      <c r="Y1146" s="56"/>
      <c r="AA1146" s="56"/>
      <c r="AB1146" s="114"/>
    </row>
    <row r="1147">
      <c r="A1147" s="24"/>
      <c r="B1147" s="24"/>
      <c r="C1147" s="24"/>
      <c r="D1147" s="22"/>
      <c r="F1147" s="114"/>
      <c r="G1147" s="114"/>
      <c r="H1147" s="114"/>
      <c r="I1147" s="114"/>
      <c r="J1147" s="114"/>
      <c r="K1147" s="114"/>
      <c r="L1147" s="114"/>
      <c r="M1147" s="114"/>
      <c r="X1147" s="56"/>
      <c r="Y1147" s="56"/>
      <c r="AA1147" s="56"/>
      <c r="AB1147" s="114"/>
    </row>
    <row r="1148">
      <c r="A1148" s="24"/>
      <c r="B1148" s="24"/>
      <c r="C1148" s="24"/>
      <c r="D1148" s="22"/>
      <c r="F1148" s="114"/>
      <c r="G1148" s="114"/>
      <c r="H1148" s="114"/>
      <c r="I1148" s="114"/>
      <c r="J1148" s="114"/>
      <c r="K1148" s="114"/>
      <c r="L1148" s="114"/>
      <c r="M1148" s="114"/>
      <c r="X1148" s="56"/>
      <c r="Y1148" s="56"/>
      <c r="AA1148" s="56"/>
      <c r="AB1148" s="114"/>
    </row>
    <row r="1149">
      <c r="A1149" s="24"/>
      <c r="B1149" s="24"/>
      <c r="C1149" s="24"/>
      <c r="D1149" s="22"/>
      <c r="F1149" s="114"/>
      <c r="G1149" s="114"/>
      <c r="H1149" s="114"/>
      <c r="I1149" s="114"/>
      <c r="J1149" s="114"/>
      <c r="K1149" s="114"/>
      <c r="L1149" s="114"/>
      <c r="M1149" s="114"/>
      <c r="X1149" s="56"/>
      <c r="Y1149" s="56"/>
      <c r="AA1149" s="56"/>
      <c r="AB1149" s="114"/>
    </row>
    <row r="1150">
      <c r="A1150" s="24"/>
      <c r="B1150" s="24"/>
      <c r="C1150" s="24"/>
      <c r="D1150" s="22"/>
      <c r="F1150" s="114"/>
      <c r="G1150" s="114"/>
      <c r="H1150" s="114"/>
      <c r="I1150" s="114"/>
      <c r="J1150" s="114"/>
      <c r="K1150" s="114"/>
      <c r="L1150" s="114"/>
      <c r="M1150" s="114"/>
      <c r="X1150" s="56"/>
      <c r="Y1150" s="56"/>
      <c r="AA1150" s="56"/>
      <c r="AB1150" s="114"/>
    </row>
    <row r="1151">
      <c r="A1151" s="24"/>
      <c r="B1151" s="24"/>
      <c r="C1151" s="24"/>
      <c r="D1151" s="22"/>
      <c r="F1151" s="114"/>
      <c r="G1151" s="114"/>
      <c r="H1151" s="114"/>
      <c r="I1151" s="114"/>
      <c r="J1151" s="114"/>
      <c r="K1151" s="114"/>
      <c r="L1151" s="114"/>
      <c r="M1151" s="114"/>
      <c r="X1151" s="56"/>
      <c r="Y1151" s="56"/>
      <c r="AA1151" s="56"/>
      <c r="AB1151" s="114"/>
    </row>
    <row r="1152">
      <c r="A1152" s="24"/>
      <c r="B1152" s="24"/>
      <c r="C1152" s="24"/>
      <c r="D1152" s="22"/>
      <c r="F1152" s="114"/>
      <c r="G1152" s="114"/>
      <c r="H1152" s="114"/>
      <c r="I1152" s="114"/>
      <c r="J1152" s="114"/>
      <c r="K1152" s="114"/>
      <c r="L1152" s="114"/>
      <c r="M1152" s="114"/>
      <c r="X1152" s="56"/>
      <c r="Y1152" s="56"/>
      <c r="AA1152" s="56"/>
      <c r="AB1152" s="114"/>
    </row>
    <row r="1153">
      <c r="A1153" s="24"/>
      <c r="B1153" s="24"/>
      <c r="C1153" s="24"/>
      <c r="D1153" s="22"/>
      <c r="F1153" s="114"/>
      <c r="G1153" s="114"/>
      <c r="H1153" s="114"/>
      <c r="I1153" s="114"/>
      <c r="J1153" s="114"/>
      <c r="K1153" s="114"/>
      <c r="L1153" s="114"/>
      <c r="M1153" s="114"/>
      <c r="X1153" s="56"/>
      <c r="Y1153" s="56"/>
      <c r="AA1153" s="56"/>
      <c r="AB1153" s="114"/>
    </row>
    <row r="1154">
      <c r="A1154" s="24"/>
      <c r="B1154" s="24"/>
      <c r="C1154" s="24"/>
      <c r="D1154" s="22"/>
      <c r="F1154" s="114"/>
      <c r="G1154" s="114"/>
      <c r="H1154" s="114"/>
      <c r="I1154" s="114"/>
      <c r="J1154" s="114"/>
      <c r="K1154" s="114"/>
      <c r="L1154" s="114"/>
      <c r="M1154" s="114"/>
      <c r="X1154" s="56"/>
      <c r="Y1154" s="56"/>
      <c r="AA1154" s="56"/>
      <c r="AB1154" s="114"/>
    </row>
    <row r="1155">
      <c r="A1155" s="24"/>
      <c r="B1155" s="24"/>
      <c r="C1155" s="24"/>
      <c r="D1155" s="22"/>
      <c r="F1155" s="114"/>
      <c r="G1155" s="114"/>
      <c r="H1155" s="114"/>
      <c r="I1155" s="114"/>
      <c r="J1155" s="114"/>
      <c r="K1155" s="114"/>
      <c r="L1155" s="114"/>
      <c r="M1155" s="114"/>
      <c r="X1155" s="56"/>
      <c r="Y1155" s="56"/>
      <c r="AA1155" s="56"/>
      <c r="AB1155" s="114"/>
    </row>
    <row r="1156">
      <c r="A1156" s="24"/>
      <c r="B1156" s="24"/>
      <c r="C1156" s="24"/>
      <c r="D1156" s="22"/>
      <c r="F1156" s="114"/>
      <c r="G1156" s="114"/>
      <c r="H1156" s="114"/>
      <c r="I1156" s="114"/>
      <c r="J1156" s="114"/>
      <c r="K1156" s="114"/>
      <c r="L1156" s="114"/>
      <c r="M1156" s="114"/>
      <c r="X1156" s="56"/>
      <c r="Y1156" s="56"/>
      <c r="AA1156" s="56"/>
      <c r="AB1156" s="114"/>
    </row>
    <row r="1157">
      <c r="A1157" s="24"/>
      <c r="B1157" s="24"/>
      <c r="C1157" s="24"/>
      <c r="D1157" s="22"/>
      <c r="F1157" s="114"/>
      <c r="G1157" s="114"/>
      <c r="H1157" s="114"/>
      <c r="I1157" s="114"/>
      <c r="J1157" s="114"/>
      <c r="K1157" s="114"/>
      <c r="L1157" s="114"/>
      <c r="M1157" s="114"/>
      <c r="X1157" s="56"/>
      <c r="Y1157" s="56"/>
      <c r="AA1157" s="56"/>
      <c r="AB1157" s="114"/>
    </row>
    <row r="1158">
      <c r="A1158" s="24"/>
      <c r="B1158" s="24"/>
      <c r="C1158" s="24"/>
      <c r="D1158" s="22"/>
      <c r="F1158" s="114"/>
      <c r="G1158" s="114"/>
      <c r="H1158" s="114"/>
      <c r="I1158" s="114"/>
      <c r="J1158" s="114"/>
      <c r="K1158" s="114"/>
      <c r="L1158" s="114"/>
      <c r="M1158" s="114"/>
      <c r="X1158" s="56"/>
      <c r="Y1158" s="56"/>
      <c r="AA1158" s="56"/>
      <c r="AB1158" s="114"/>
    </row>
    <row r="1159">
      <c r="A1159" s="24"/>
      <c r="B1159" s="24"/>
      <c r="C1159" s="24"/>
      <c r="D1159" s="22"/>
      <c r="F1159" s="114"/>
      <c r="G1159" s="114"/>
      <c r="H1159" s="114"/>
      <c r="I1159" s="114"/>
      <c r="J1159" s="114"/>
      <c r="K1159" s="114"/>
      <c r="L1159" s="114"/>
      <c r="M1159" s="114"/>
      <c r="X1159" s="56"/>
      <c r="Y1159" s="56"/>
      <c r="AA1159" s="56"/>
      <c r="AB1159" s="114"/>
    </row>
    <row r="1160">
      <c r="A1160" s="24"/>
      <c r="B1160" s="24"/>
      <c r="C1160" s="24"/>
      <c r="D1160" s="22"/>
      <c r="F1160" s="114"/>
      <c r="G1160" s="114"/>
      <c r="H1160" s="114"/>
      <c r="I1160" s="114"/>
      <c r="J1160" s="114"/>
      <c r="K1160" s="114"/>
      <c r="L1160" s="114"/>
      <c r="M1160" s="114"/>
      <c r="X1160" s="56"/>
      <c r="Y1160" s="56"/>
      <c r="AA1160" s="56"/>
      <c r="AB1160" s="114"/>
    </row>
    <row r="1161">
      <c r="A1161" s="24"/>
      <c r="B1161" s="24"/>
      <c r="C1161" s="24"/>
      <c r="D1161" s="22"/>
      <c r="F1161" s="114"/>
      <c r="G1161" s="114"/>
      <c r="H1161" s="114"/>
      <c r="I1161" s="114"/>
      <c r="J1161" s="114"/>
      <c r="K1161" s="114"/>
      <c r="L1161" s="114"/>
      <c r="M1161" s="114"/>
      <c r="X1161" s="56"/>
      <c r="Y1161" s="56"/>
      <c r="AA1161" s="56"/>
      <c r="AB1161" s="114"/>
    </row>
    <row r="1162">
      <c r="A1162" s="24"/>
      <c r="B1162" s="24"/>
      <c r="C1162" s="24"/>
      <c r="D1162" s="22"/>
      <c r="F1162" s="114"/>
      <c r="G1162" s="114"/>
      <c r="H1162" s="114"/>
      <c r="I1162" s="114"/>
      <c r="J1162" s="114"/>
      <c r="K1162" s="114"/>
      <c r="L1162" s="114"/>
      <c r="M1162" s="114"/>
      <c r="X1162" s="56"/>
      <c r="Y1162" s="56"/>
      <c r="AA1162" s="56"/>
      <c r="AB1162" s="114"/>
    </row>
    <row r="1163">
      <c r="A1163" s="24"/>
      <c r="B1163" s="24"/>
      <c r="C1163" s="24"/>
      <c r="D1163" s="22"/>
      <c r="F1163" s="114"/>
      <c r="G1163" s="114"/>
      <c r="H1163" s="114"/>
      <c r="I1163" s="114"/>
      <c r="J1163" s="114"/>
      <c r="K1163" s="114"/>
      <c r="L1163" s="114"/>
      <c r="M1163" s="114"/>
      <c r="X1163" s="56"/>
      <c r="Y1163" s="56"/>
      <c r="AA1163" s="56"/>
      <c r="AB1163" s="114"/>
    </row>
    <row r="1164">
      <c r="A1164" s="24"/>
      <c r="B1164" s="24"/>
      <c r="C1164" s="24"/>
      <c r="D1164" s="22"/>
      <c r="F1164" s="114"/>
      <c r="G1164" s="114"/>
      <c r="H1164" s="114"/>
      <c r="I1164" s="114"/>
      <c r="J1164" s="114"/>
      <c r="K1164" s="114"/>
      <c r="L1164" s="114"/>
      <c r="M1164" s="114"/>
      <c r="X1164" s="56"/>
      <c r="Y1164" s="56"/>
      <c r="AA1164" s="56"/>
      <c r="AB1164" s="114"/>
    </row>
    <row r="1165">
      <c r="A1165" s="24"/>
      <c r="B1165" s="24"/>
      <c r="C1165" s="24"/>
      <c r="D1165" s="22"/>
      <c r="F1165" s="114"/>
      <c r="G1165" s="114"/>
      <c r="H1165" s="114"/>
      <c r="I1165" s="114"/>
      <c r="J1165" s="114"/>
      <c r="K1165" s="114"/>
      <c r="L1165" s="114"/>
      <c r="M1165" s="114"/>
      <c r="X1165" s="56"/>
      <c r="Y1165" s="56"/>
      <c r="AA1165" s="56"/>
      <c r="AB1165" s="114"/>
    </row>
    <row r="1166">
      <c r="A1166" s="24"/>
      <c r="B1166" s="24"/>
      <c r="C1166" s="24"/>
      <c r="D1166" s="22"/>
      <c r="F1166" s="114"/>
      <c r="G1166" s="114"/>
      <c r="H1166" s="114"/>
      <c r="I1166" s="114"/>
      <c r="J1166" s="114"/>
      <c r="K1166" s="114"/>
      <c r="L1166" s="114"/>
      <c r="M1166" s="114"/>
      <c r="X1166" s="56"/>
      <c r="Y1166" s="56"/>
      <c r="AA1166" s="56"/>
      <c r="AB1166" s="114"/>
    </row>
    <row r="1167">
      <c r="A1167" s="24"/>
      <c r="B1167" s="24"/>
      <c r="C1167" s="24"/>
      <c r="D1167" s="22"/>
      <c r="F1167" s="114"/>
      <c r="G1167" s="114"/>
      <c r="H1167" s="114"/>
      <c r="I1167" s="114"/>
      <c r="J1167" s="114"/>
      <c r="K1167" s="114"/>
      <c r="L1167" s="114"/>
      <c r="M1167" s="114"/>
      <c r="X1167" s="56"/>
      <c r="Y1167" s="56"/>
      <c r="AA1167" s="56"/>
      <c r="AB1167" s="114"/>
    </row>
    <row r="1168">
      <c r="A1168" s="24"/>
      <c r="B1168" s="24"/>
      <c r="C1168" s="24"/>
      <c r="D1168" s="22"/>
      <c r="F1168" s="114"/>
      <c r="G1168" s="114"/>
      <c r="H1168" s="114"/>
      <c r="I1168" s="114"/>
      <c r="J1168" s="114"/>
      <c r="K1168" s="114"/>
      <c r="L1168" s="114"/>
      <c r="M1168" s="114"/>
      <c r="X1168" s="56"/>
      <c r="Y1168" s="56"/>
      <c r="AA1168" s="56"/>
      <c r="AB1168" s="114"/>
    </row>
    <row r="1169">
      <c r="A1169" s="24"/>
      <c r="B1169" s="24"/>
      <c r="C1169" s="24"/>
      <c r="D1169" s="22"/>
      <c r="F1169" s="114"/>
      <c r="G1169" s="114"/>
      <c r="H1169" s="114"/>
      <c r="I1169" s="114"/>
      <c r="J1169" s="114"/>
      <c r="K1169" s="114"/>
      <c r="L1169" s="114"/>
      <c r="M1169" s="114"/>
      <c r="X1169" s="56"/>
      <c r="Y1169" s="56"/>
      <c r="AA1169" s="56"/>
      <c r="AB1169" s="114"/>
    </row>
    <row r="1170">
      <c r="A1170" s="24"/>
      <c r="B1170" s="24"/>
      <c r="C1170" s="24"/>
      <c r="D1170" s="22"/>
      <c r="F1170" s="114"/>
      <c r="G1170" s="114"/>
      <c r="H1170" s="114"/>
      <c r="I1170" s="114"/>
      <c r="J1170" s="114"/>
      <c r="K1170" s="114"/>
      <c r="L1170" s="114"/>
      <c r="M1170" s="114"/>
      <c r="X1170" s="56"/>
      <c r="Y1170" s="56"/>
      <c r="AA1170" s="56"/>
      <c r="AB1170" s="114"/>
    </row>
    <row r="1171">
      <c r="A1171" s="24"/>
      <c r="B1171" s="24"/>
      <c r="C1171" s="24"/>
      <c r="D1171" s="22"/>
      <c r="F1171" s="114"/>
      <c r="G1171" s="114"/>
      <c r="H1171" s="114"/>
      <c r="I1171" s="114"/>
      <c r="J1171" s="114"/>
      <c r="K1171" s="114"/>
      <c r="L1171" s="114"/>
      <c r="M1171" s="114"/>
      <c r="X1171" s="56"/>
      <c r="Y1171" s="56"/>
      <c r="AA1171" s="56"/>
      <c r="AB1171" s="114"/>
    </row>
    <row r="1172">
      <c r="A1172" s="24"/>
      <c r="B1172" s="24"/>
      <c r="C1172" s="24"/>
      <c r="D1172" s="22"/>
      <c r="F1172" s="114"/>
      <c r="G1172" s="114"/>
      <c r="H1172" s="114"/>
      <c r="I1172" s="114"/>
      <c r="J1172" s="114"/>
      <c r="K1172" s="114"/>
      <c r="L1172" s="114"/>
      <c r="M1172" s="114"/>
      <c r="X1172" s="56"/>
      <c r="Y1172" s="56"/>
      <c r="AA1172" s="56"/>
      <c r="AB1172" s="114"/>
    </row>
    <row r="1173">
      <c r="A1173" s="24"/>
      <c r="B1173" s="24"/>
      <c r="C1173" s="24"/>
      <c r="D1173" s="22"/>
      <c r="F1173" s="114"/>
      <c r="G1173" s="114"/>
      <c r="H1173" s="114"/>
      <c r="I1173" s="114"/>
      <c r="J1173" s="114"/>
      <c r="K1173" s="114"/>
      <c r="L1173" s="114"/>
      <c r="M1173" s="114"/>
      <c r="X1173" s="56"/>
      <c r="Y1173" s="56"/>
      <c r="AA1173" s="56"/>
      <c r="AB1173" s="114"/>
    </row>
    <row r="1174">
      <c r="A1174" s="24"/>
      <c r="B1174" s="24"/>
      <c r="C1174" s="24"/>
      <c r="D1174" s="22"/>
      <c r="F1174" s="114"/>
      <c r="G1174" s="114"/>
      <c r="H1174" s="114"/>
      <c r="I1174" s="114"/>
      <c r="J1174" s="114"/>
      <c r="K1174" s="114"/>
      <c r="L1174" s="114"/>
      <c r="M1174" s="114"/>
      <c r="X1174" s="56"/>
      <c r="Y1174" s="56"/>
      <c r="AA1174" s="56"/>
      <c r="AB1174" s="114"/>
    </row>
    <row r="1175">
      <c r="A1175" s="24"/>
      <c r="B1175" s="24"/>
      <c r="C1175" s="24"/>
      <c r="D1175" s="22"/>
      <c r="F1175" s="114"/>
      <c r="G1175" s="114"/>
      <c r="H1175" s="114"/>
      <c r="I1175" s="114"/>
      <c r="J1175" s="114"/>
      <c r="K1175" s="114"/>
      <c r="L1175" s="114"/>
      <c r="M1175" s="114"/>
      <c r="X1175" s="56"/>
      <c r="Y1175" s="56"/>
      <c r="AA1175" s="56"/>
      <c r="AB1175" s="114"/>
    </row>
    <row r="1176">
      <c r="A1176" s="24"/>
      <c r="B1176" s="24"/>
      <c r="C1176" s="24"/>
      <c r="D1176" s="22"/>
      <c r="F1176" s="114"/>
      <c r="G1176" s="114"/>
      <c r="H1176" s="114"/>
      <c r="I1176" s="114"/>
      <c r="J1176" s="114"/>
      <c r="K1176" s="114"/>
      <c r="L1176" s="114"/>
      <c r="M1176" s="114"/>
      <c r="X1176" s="56"/>
      <c r="Y1176" s="56"/>
      <c r="AA1176" s="56"/>
      <c r="AB1176" s="114"/>
    </row>
    <row r="1177">
      <c r="A1177" s="24"/>
      <c r="B1177" s="24"/>
      <c r="C1177" s="24"/>
      <c r="D1177" s="22"/>
      <c r="F1177" s="114"/>
      <c r="G1177" s="114"/>
      <c r="H1177" s="114"/>
      <c r="I1177" s="114"/>
      <c r="J1177" s="114"/>
      <c r="K1177" s="114"/>
      <c r="L1177" s="114"/>
      <c r="M1177" s="114"/>
      <c r="X1177" s="56"/>
      <c r="Y1177" s="56"/>
      <c r="AA1177" s="56"/>
      <c r="AB1177" s="114"/>
    </row>
    <row r="1178">
      <c r="A1178" s="24"/>
      <c r="B1178" s="24"/>
      <c r="C1178" s="24"/>
      <c r="D1178" s="22"/>
      <c r="F1178" s="114"/>
      <c r="G1178" s="114"/>
      <c r="H1178" s="114"/>
      <c r="I1178" s="114"/>
      <c r="J1178" s="114"/>
      <c r="K1178" s="114"/>
      <c r="L1178" s="114"/>
      <c r="M1178" s="114"/>
      <c r="X1178" s="56"/>
      <c r="Y1178" s="56"/>
      <c r="AA1178" s="56"/>
      <c r="AB1178" s="114"/>
    </row>
    <row r="1179">
      <c r="A1179" s="24"/>
      <c r="B1179" s="24"/>
      <c r="C1179" s="24"/>
      <c r="D1179" s="22"/>
      <c r="F1179" s="114"/>
      <c r="G1179" s="114"/>
      <c r="H1179" s="114"/>
      <c r="I1179" s="114"/>
      <c r="J1179" s="114"/>
      <c r="K1179" s="114"/>
      <c r="L1179" s="114"/>
      <c r="M1179" s="114"/>
      <c r="X1179" s="56"/>
      <c r="Y1179" s="56"/>
      <c r="AA1179" s="56"/>
      <c r="AB1179" s="114"/>
    </row>
    <row r="1180">
      <c r="A1180" s="24"/>
      <c r="B1180" s="24"/>
      <c r="C1180" s="24"/>
      <c r="D1180" s="22"/>
      <c r="F1180" s="114"/>
      <c r="G1180" s="114"/>
      <c r="H1180" s="114"/>
      <c r="I1180" s="114"/>
      <c r="J1180" s="114"/>
      <c r="K1180" s="114"/>
      <c r="L1180" s="114"/>
      <c r="M1180" s="114"/>
      <c r="X1180" s="56"/>
      <c r="Y1180" s="56"/>
      <c r="AA1180" s="56"/>
      <c r="AB1180" s="114"/>
    </row>
    <row r="1181">
      <c r="A1181" s="24"/>
      <c r="B1181" s="24"/>
      <c r="C1181" s="24"/>
      <c r="D1181" s="22"/>
      <c r="F1181" s="114"/>
      <c r="G1181" s="114"/>
      <c r="H1181" s="114"/>
      <c r="I1181" s="114"/>
      <c r="J1181" s="114"/>
      <c r="K1181" s="114"/>
      <c r="L1181" s="114"/>
      <c r="M1181" s="114"/>
      <c r="X1181" s="56"/>
      <c r="Y1181" s="56"/>
      <c r="AA1181" s="56"/>
      <c r="AB1181" s="114"/>
    </row>
    <row r="1182">
      <c r="A1182" s="24"/>
      <c r="B1182" s="24"/>
      <c r="C1182" s="24"/>
      <c r="D1182" s="22"/>
      <c r="F1182" s="114"/>
      <c r="G1182" s="114"/>
      <c r="H1182" s="114"/>
      <c r="I1182" s="114"/>
      <c r="J1182" s="114"/>
      <c r="K1182" s="114"/>
      <c r="L1182" s="114"/>
      <c r="M1182" s="114"/>
      <c r="X1182" s="56"/>
      <c r="Y1182" s="56"/>
      <c r="AA1182" s="56"/>
      <c r="AB1182" s="114"/>
    </row>
    <row r="1183">
      <c r="A1183" s="24"/>
      <c r="B1183" s="24"/>
      <c r="C1183" s="24"/>
      <c r="D1183" s="22"/>
      <c r="F1183" s="114"/>
      <c r="G1183" s="114"/>
      <c r="H1183" s="114"/>
      <c r="I1183" s="114"/>
      <c r="J1183" s="114"/>
      <c r="K1183" s="114"/>
      <c r="L1183" s="114"/>
      <c r="M1183" s="114"/>
      <c r="X1183" s="56"/>
      <c r="Y1183" s="56"/>
      <c r="AA1183" s="56"/>
      <c r="AB1183" s="114"/>
    </row>
    <row r="1184">
      <c r="A1184" s="24"/>
      <c r="B1184" s="24"/>
      <c r="C1184" s="24"/>
      <c r="D1184" s="22"/>
      <c r="F1184" s="114"/>
      <c r="G1184" s="114"/>
      <c r="H1184" s="114"/>
      <c r="I1184" s="114"/>
      <c r="J1184" s="114"/>
      <c r="K1184" s="114"/>
      <c r="L1184" s="114"/>
      <c r="M1184" s="114"/>
      <c r="X1184" s="56"/>
      <c r="Y1184" s="56"/>
      <c r="AA1184" s="56"/>
      <c r="AB1184" s="114"/>
    </row>
    <row r="1185">
      <c r="A1185" s="24"/>
      <c r="B1185" s="24"/>
      <c r="C1185" s="24"/>
      <c r="D1185" s="22"/>
      <c r="F1185" s="114"/>
      <c r="G1185" s="114"/>
      <c r="H1185" s="114"/>
      <c r="I1185" s="114"/>
      <c r="J1185" s="114"/>
      <c r="K1185" s="114"/>
      <c r="L1185" s="114"/>
      <c r="M1185" s="114"/>
      <c r="X1185" s="56"/>
      <c r="Y1185" s="56"/>
      <c r="AA1185" s="56"/>
      <c r="AB1185" s="114"/>
    </row>
    <row r="1186">
      <c r="A1186" s="24"/>
      <c r="B1186" s="24"/>
      <c r="C1186" s="24"/>
      <c r="D1186" s="22"/>
      <c r="F1186" s="114"/>
      <c r="G1186" s="114"/>
      <c r="H1186" s="114"/>
      <c r="I1186" s="114"/>
      <c r="J1186" s="114"/>
      <c r="K1186" s="114"/>
      <c r="L1186" s="114"/>
      <c r="M1186" s="114"/>
      <c r="X1186" s="56"/>
      <c r="Y1186" s="56"/>
      <c r="AA1186" s="56"/>
      <c r="AB1186" s="114"/>
    </row>
    <row r="1187">
      <c r="A1187" s="24"/>
      <c r="B1187" s="24"/>
      <c r="C1187" s="24"/>
      <c r="D1187" s="22"/>
      <c r="F1187" s="114"/>
      <c r="G1187" s="114"/>
      <c r="H1187" s="114"/>
      <c r="I1187" s="114"/>
      <c r="J1187" s="114"/>
      <c r="K1187" s="114"/>
      <c r="L1187" s="114"/>
      <c r="M1187" s="114"/>
      <c r="X1187" s="56"/>
      <c r="Y1187" s="56"/>
      <c r="AA1187" s="56"/>
      <c r="AB1187" s="114"/>
    </row>
    <row r="1188">
      <c r="A1188" s="24"/>
      <c r="B1188" s="24"/>
      <c r="C1188" s="24"/>
      <c r="D1188" s="22"/>
      <c r="F1188" s="114"/>
      <c r="G1188" s="114"/>
      <c r="H1188" s="114"/>
      <c r="I1188" s="114"/>
      <c r="J1188" s="114"/>
      <c r="K1188" s="114"/>
      <c r="L1188" s="114"/>
      <c r="M1188" s="114"/>
      <c r="X1188" s="56"/>
      <c r="Y1188" s="56"/>
      <c r="AA1188" s="56"/>
      <c r="AB1188" s="114"/>
    </row>
    <row r="1189">
      <c r="A1189" s="24"/>
      <c r="B1189" s="24"/>
      <c r="C1189" s="24"/>
      <c r="D1189" s="22"/>
      <c r="F1189" s="114"/>
      <c r="G1189" s="114"/>
      <c r="H1189" s="114"/>
      <c r="I1189" s="114"/>
      <c r="J1189" s="114"/>
      <c r="K1189" s="114"/>
      <c r="L1189" s="114"/>
      <c r="M1189" s="114"/>
      <c r="X1189" s="56"/>
      <c r="Y1189" s="56"/>
      <c r="AA1189" s="56"/>
      <c r="AB1189" s="114"/>
    </row>
    <row r="1190">
      <c r="A1190" s="24"/>
      <c r="B1190" s="24"/>
      <c r="C1190" s="24"/>
      <c r="D1190" s="22"/>
      <c r="F1190" s="114"/>
      <c r="G1190" s="114"/>
      <c r="H1190" s="114"/>
      <c r="I1190" s="114"/>
      <c r="J1190" s="114"/>
      <c r="K1190" s="114"/>
      <c r="L1190" s="114"/>
      <c r="M1190" s="114"/>
      <c r="X1190" s="56"/>
      <c r="Y1190" s="56"/>
      <c r="AA1190" s="56"/>
      <c r="AB1190" s="114"/>
    </row>
    <row r="1191">
      <c r="A1191" s="24"/>
      <c r="B1191" s="24"/>
      <c r="C1191" s="24"/>
      <c r="D1191" s="22"/>
      <c r="F1191" s="114"/>
      <c r="G1191" s="114"/>
      <c r="H1191" s="114"/>
      <c r="I1191" s="114"/>
      <c r="J1191" s="114"/>
      <c r="K1191" s="114"/>
      <c r="L1191" s="114"/>
      <c r="M1191" s="114"/>
      <c r="X1191" s="56"/>
      <c r="Y1191" s="56"/>
      <c r="AA1191" s="56"/>
      <c r="AB1191" s="114"/>
    </row>
    <row r="1192">
      <c r="A1192" s="24"/>
      <c r="B1192" s="24"/>
      <c r="C1192" s="24"/>
      <c r="D1192" s="22"/>
      <c r="F1192" s="114"/>
      <c r="G1192" s="114"/>
      <c r="H1192" s="114"/>
      <c r="I1192" s="114"/>
      <c r="J1192" s="114"/>
      <c r="K1192" s="114"/>
      <c r="L1192" s="114"/>
      <c r="M1192" s="114"/>
      <c r="X1192" s="56"/>
      <c r="Y1192" s="56"/>
      <c r="AA1192" s="56"/>
      <c r="AB1192" s="114"/>
    </row>
    <row r="1193">
      <c r="A1193" s="24"/>
      <c r="B1193" s="24"/>
      <c r="C1193" s="24"/>
      <c r="D1193" s="22"/>
      <c r="F1193" s="114"/>
      <c r="G1193" s="114"/>
      <c r="H1193" s="114"/>
      <c r="I1193" s="114"/>
      <c r="J1193" s="114"/>
      <c r="K1193" s="114"/>
      <c r="L1193" s="114"/>
      <c r="M1193" s="114"/>
      <c r="X1193" s="56"/>
      <c r="Y1193" s="56"/>
      <c r="AA1193" s="56"/>
      <c r="AB1193" s="114"/>
    </row>
    <row r="1194">
      <c r="A1194" s="24"/>
      <c r="B1194" s="24"/>
      <c r="C1194" s="24"/>
      <c r="D1194" s="22"/>
      <c r="F1194" s="114"/>
      <c r="G1194" s="114"/>
      <c r="H1194" s="114"/>
      <c r="I1194" s="114"/>
      <c r="J1194" s="114"/>
      <c r="K1194" s="114"/>
      <c r="L1194" s="114"/>
      <c r="M1194" s="114"/>
      <c r="X1194" s="56"/>
      <c r="Y1194" s="56"/>
      <c r="AA1194" s="56"/>
      <c r="AB1194" s="114"/>
    </row>
    <row r="1195">
      <c r="A1195" s="24"/>
      <c r="B1195" s="24"/>
      <c r="C1195" s="24"/>
      <c r="D1195" s="22"/>
      <c r="F1195" s="114"/>
      <c r="G1195" s="114"/>
      <c r="H1195" s="114"/>
      <c r="I1195" s="114"/>
      <c r="J1195" s="114"/>
      <c r="K1195" s="114"/>
      <c r="L1195" s="114"/>
      <c r="M1195" s="114"/>
      <c r="X1195" s="56"/>
      <c r="Y1195" s="56"/>
      <c r="AA1195" s="56"/>
      <c r="AB1195" s="114"/>
    </row>
    <row r="1196">
      <c r="A1196" s="24"/>
      <c r="B1196" s="24"/>
      <c r="C1196" s="24"/>
      <c r="D1196" s="22"/>
      <c r="F1196" s="114"/>
      <c r="G1196" s="114"/>
      <c r="H1196" s="114"/>
      <c r="I1196" s="114"/>
      <c r="J1196" s="114"/>
      <c r="K1196" s="114"/>
      <c r="L1196" s="114"/>
      <c r="M1196" s="114"/>
      <c r="X1196" s="56"/>
      <c r="Y1196" s="56"/>
      <c r="AA1196" s="56"/>
      <c r="AB1196" s="114"/>
    </row>
    <row r="1197">
      <c r="A1197" s="24"/>
      <c r="B1197" s="24"/>
      <c r="C1197" s="24"/>
      <c r="D1197" s="22"/>
      <c r="F1197" s="114"/>
      <c r="G1197" s="114"/>
      <c r="H1197" s="114"/>
      <c r="I1197" s="114"/>
      <c r="J1197" s="114"/>
      <c r="K1197" s="114"/>
      <c r="L1197" s="114"/>
      <c r="M1197" s="114"/>
      <c r="X1197" s="56"/>
      <c r="Y1197" s="56"/>
      <c r="AA1197" s="56"/>
      <c r="AB1197" s="114"/>
    </row>
    <row r="1198">
      <c r="A1198" s="24"/>
      <c r="B1198" s="24"/>
      <c r="C1198" s="24"/>
      <c r="D1198" s="22"/>
      <c r="F1198" s="114"/>
      <c r="G1198" s="114"/>
      <c r="H1198" s="114"/>
      <c r="I1198" s="114"/>
      <c r="J1198" s="114"/>
      <c r="K1198" s="114"/>
      <c r="L1198" s="114"/>
      <c r="M1198" s="114"/>
      <c r="X1198" s="56"/>
      <c r="Y1198" s="56"/>
      <c r="AA1198" s="56"/>
      <c r="AB1198" s="114"/>
    </row>
    <row r="1199">
      <c r="A1199" s="24"/>
      <c r="B1199" s="24"/>
      <c r="C1199" s="24"/>
      <c r="D1199" s="22"/>
      <c r="F1199" s="114"/>
      <c r="G1199" s="114"/>
      <c r="H1199" s="114"/>
      <c r="I1199" s="114"/>
      <c r="J1199" s="114"/>
      <c r="K1199" s="114"/>
      <c r="L1199" s="114"/>
      <c r="M1199" s="114"/>
      <c r="X1199" s="56"/>
      <c r="Y1199" s="56"/>
      <c r="AA1199" s="56"/>
      <c r="AB1199" s="114"/>
    </row>
    <row r="1200">
      <c r="A1200" s="24"/>
      <c r="B1200" s="24"/>
      <c r="C1200" s="24"/>
      <c r="D1200" s="22"/>
      <c r="F1200" s="114"/>
      <c r="G1200" s="114"/>
      <c r="H1200" s="114"/>
      <c r="I1200" s="114"/>
      <c r="J1200" s="114"/>
      <c r="K1200" s="114"/>
      <c r="L1200" s="114"/>
      <c r="M1200" s="114"/>
      <c r="X1200" s="56"/>
      <c r="Y1200" s="56"/>
      <c r="AA1200" s="56"/>
      <c r="AB1200" s="114"/>
    </row>
    <row r="1201">
      <c r="A1201" s="24"/>
      <c r="B1201" s="24"/>
      <c r="C1201" s="24"/>
      <c r="D1201" s="22"/>
      <c r="F1201" s="114"/>
      <c r="G1201" s="114"/>
      <c r="H1201" s="114"/>
      <c r="I1201" s="114"/>
      <c r="J1201" s="114"/>
      <c r="K1201" s="114"/>
      <c r="L1201" s="114"/>
      <c r="M1201" s="114"/>
      <c r="X1201" s="56"/>
      <c r="Y1201" s="56"/>
      <c r="AA1201" s="56"/>
      <c r="AB1201" s="114"/>
    </row>
    <row r="1202">
      <c r="A1202" s="24"/>
      <c r="B1202" s="24"/>
      <c r="C1202" s="24"/>
      <c r="D1202" s="22"/>
      <c r="F1202" s="114"/>
      <c r="G1202" s="114"/>
      <c r="H1202" s="114"/>
      <c r="I1202" s="114"/>
      <c r="J1202" s="114"/>
      <c r="K1202" s="114"/>
      <c r="L1202" s="114"/>
      <c r="M1202" s="114"/>
      <c r="X1202" s="56"/>
      <c r="Y1202" s="56"/>
      <c r="AA1202" s="56"/>
      <c r="AB1202" s="114"/>
    </row>
    <row r="1203">
      <c r="A1203" s="24"/>
      <c r="B1203" s="24"/>
      <c r="C1203" s="24"/>
      <c r="D1203" s="22"/>
      <c r="F1203" s="114"/>
      <c r="G1203" s="114"/>
      <c r="H1203" s="114"/>
      <c r="I1203" s="114"/>
      <c r="J1203" s="114"/>
      <c r="K1203" s="114"/>
      <c r="L1203" s="114"/>
      <c r="M1203" s="114"/>
      <c r="X1203" s="56"/>
      <c r="Y1203" s="56"/>
      <c r="AA1203" s="56"/>
      <c r="AB1203" s="114"/>
    </row>
    <row r="1204">
      <c r="A1204" s="24"/>
      <c r="B1204" s="24"/>
      <c r="C1204" s="24"/>
      <c r="D1204" s="22"/>
      <c r="F1204" s="114"/>
      <c r="G1204" s="114"/>
      <c r="H1204" s="114"/>
      <c r="I1204" s="114"/>
      <c r="J1204" s="114"/>
      <c r="K1204" s="114"/>
      <c r="L1204" s="114"/>
      <c r="M1204" s="114"/>
      <c r="X1204" s="56"/>
      <c r="Y1204" s="56"/>
      <c r="AA1204" s="56"/>
      <c r="AB1204" s="114"/>
    </row>
    <row r="1205">
      <c r="A1205" s="24"/>
      <c r="B1205" s="24"/>
      <c r="C1205" s="24"/>
      <c r="D1205" s="22"/>
      <c r="F1205" s="114"/>
      <c r="G1205" s="114"/>
      <c r="H1205" s="114"/>
      <c r="I1205" s="114"/>
      <c r="J1205" s="114"/>
      <c r="K1205" s="114"/>
      <c r="L1205" s="114"/>
      <c r="M1205" s="114"/>
      <c r="X1205" s="56"/>
      <c r="Y1205" s="56"/>
      <c r="AA1205" s="56"/>
      <c r="AB1205" s="114"/>
    </row>
    <row r="1206">
      <c r="A1206" s="24"/>
      <c r="B1206" s="24"/>
      <c r="C1206" s="24"/>
      <c r="D1206" s="22"/>
      <c r="F1206" s="114"/>
      <c r="G1206" s="114"/>
      <c r="H1206" s="114"/>
      <c r="I1206" s="114"/>
      <c r="J1206" s="114"/>
      <c r="K1206" s="114"/>
      <c r="L1206" s="114"/>
      <c r="M1206" s="114"/>
      <c r="X1206" s="56"/>
      <c r="Y1206" s="56"/>
      <c r="AA1206" s="56"/>
      <c r="AB1206" s="114"/>
    </row>
    <row r="1207">
      <c r="A1207" s="24"/>
      <c r="B1207" s="24"/>
      <c r="C1207" s="24"/>
      <c r="D1207" s="22"/>
      <c r="F1207" s="114"/>
      <c r="G1207" s="114"/>
      <c r="H1207" s="114"/>
      <c r="I1207" s="114"/>
      <c r="J1207" s="114"/>
      <c r="K1207" s="114"/>
      <c r="L1207" s="114"/>
      <c r="M1207" s="114"/>
      <c r="X1207" s="56"/>
      <c r="Y1207" s="56"/>
      <c r="AA1207" s="56"/>
      <c r="AB1207" s="114"/>
    </row>
    <row r="1208">
      <c r="A1208" s="24"/>
      <c r="B1208" s="24"/>
      <c r="C1208" s="24"/>
      <c r="D1208" s="22"/>
      <c r="F1208" s="114"/>
      <c r="G1208" s="114"/>
      <c r="H1208" s="114"/>
      <c r="I1208" s="114"/>
      <c r="J1208" s="114"/>
      <c r="K1208" s="114"/>
      <c r="L1208" s="114"/>
      <c r="M1208" s="114"/>
      <c r="X1208" s="56"/>
      <c r="Y1208" s="56"/>
      <c r="AA1208" s="56"/>
      <c r="AB1208" s="114"/>
    </row>
    <row r="1209">
      <c r="A1209" s="24"/>
      <c r="B1209" s="24"/>
      <c r="C1209" s="24"/>
      <c r="D1209" s="22"/>
      <c r="F1209" s="114"/>
      <c r="G1209" s="114"/>
      <c r="H1209" s="114"/>
      <c r="I1209" s="114"/>
      <c r="J1209" s="114"/>
      <c r="K1209" s="114"/>
      <c r="L1209" s="114"/>
      <c r="M1209" s="114"/>
      <c r="X1209" s="56"/>
      <c r="Y1209" s="56"/>
      <c r="AA1209" s="56"/>
      <c r="AB1209" s="114"/>
    </row>
    <row r="1210">
      <c r="A1210" s="24"/>
      <c r="B1210" s="24"/>
      <c r="C1210" s="24"/>
      <c r="D1210" s="22"/>
      <c r="F1210" s="114"/>
      <c r="G1210" s="114"/>
      <c r="H1210" s="114"/>
      <c r="I1210" s="114"/>
      <c r="J1210" s="114"/>
      <c r="K1210" s="114"/>
      <c r="L1210" s="114"/>
      <c r="M1210" s="114"/>
      <c r="X1210" s="56"/>
      <c r="Y1210" s="56"/>
      <c r="AA1210" s="56"/>
      <c r="AB1210" s="114"/>
    </row>
    <row r="1211">
      <c r="A1211" s="24"/>
      <c r="B1211" s="24"/>
      <c r="C1211" s="24"/>
      <c r="D1211" s="22"/>
      <c r="F1211" s="114"/>
      <c r="G1211" s="114"/>
      <c r="H1211" s="114"/>
      <c r="I1211" s="114"/>
      <c r="J1211" s="114"/>
      <c r="K1211" s="114"/>
      <c r="L1211" s="114"/>
      <c r="M1211" s="114"/>
      <c r="X1211" s="56"/>
      <c r="Y1211" s="56"/>
      <c r="AA1211" s="56"/>
      <c r="AB1211" s="114"/>
    </row>
    <row r="1212">
      <c r="A1212" s="24"/>
      <c r="B1212" s="24"/>
      <c r="C1212" s="24"/>
      <c r="D1212" s="22"/>
      <c r="F1212" s="114"/>
      <c r="G1212" s="114"/>
      <c r="H1212" s="114"/>
      <c r="I1212" s="114"/>
      <c r="J1212" s="114"/>
      <c r="K1212" s="114"/>
      <c r="L1212" s="114"/>
      <c r="M1212" s="114"/>
      <c r="X1212" s="56"/>
      <c r="Y1212" s="56"/>
      <c r="AA1212" s="56"/>
      <c r="AB1212" s="114"/>
    </row>
    <row r="1213">
      <c r="A1213" s="24"/>
      <c r="B1213" s="24"/>
      <c r="C1213" s="24"/>
      <c r="D1213" s="22"/>
      <c r="F1213" s="114"/>
      <c r="G1213" s="114"/>
      <c r="H1213" s="114"/>
      <c r="I1213" s="114"/>
      <c r="J1213" s="114"/>
      <c r="K1213" s="114"/>
      <c r="L1213" s="114"/>
      <c r="M1213" s="114"/>
      <c r="X1213" s="56"/>
      <c r="Y1213" s="56"/>
      <c r="AA1213" s="56"/>
      <c r="AB1213" s="114"/>
    </row>
    <row r="1214">
      <c r="A1214" s="24"/>
      <c r="B1214" s="24"/>
      <c r="C1214" s="24"/>
      <c r="D1214" s="22"/>
      <c r="F1214" s="114"/>
      <c r="G1214" s="114"/>
      <c r="H1214" s="114"/>
      <c r="I1214" s="114"/>
      <c r="J1214" s="114"/>
      <c r="K1214" s="114"/>
      <c r="L1214" s="114"/>
      <c r="M1214" s="114"/>
      <c r="X1214" s="56"/>
      <c r="Y1214" s="56"/>
      <c r="AA1214" s="56"/>
      <c r="AB1214" s="114"/>
    </row>
    <row r="1215">
      <c r="A1215" s="24"/>
      <c r="B1215" s="24"/>
      <c r="C1215" s="24"/>
      <c r="D1215" s="22"/>
      <c r="F1215" s="114"/>
      <c r="G1215" s="114"/>
      <c r="H1215" s="114"/>
      <c r="I1215" s="114"/>
      <c r="J1215" s="114"/>
      <c r="K1215" s="114"/>
      <c r="L1215" s="114"/>
      <c r="M1215" s="114"/>
      <c r="X1215" s="56"/>
      <c r="Y1215" s="56"/>
      <c r="AA1215" s="56"/>
      <c r="AB1215" s="114"/>
    </row>
    <row r="1216">
      <c r="A1216" s="24"/>
      <c r="B1216" s="24"/>
      <c r="C1216" s="24"/>
      <c r="D1216" s="22"/>
      <c r="F1216" s="114"/>
      <c r="G1216" s="114"/>
      <c r="H1216" s="114"/>
      <c r="I1216" s="114"/>
      <c r="J1216" s="114"/>
      <c r="K1216" s="114"/>
      <c r="L1216" s="114"/>
      <c r="M1216" s="114"/>
      <c r="X1216" s="56"/>
      <c r="Y1216" s="56"/>
      <c r="AA1216" s="56"/>
      <c r="AB1216" s="114"/>
    </row>
    <row r="1217">
      <c r="A1217" s="24"/>
      <c r="B1217" s="24"/>
      <c r="C1217" s="24"/>
      <c r="D1217" s="22"/>
      <c r="F1217" s="114"/>
      <c r="G1217" s="114"/>
      <c r="H1217" s="114"/>
      <c r="I1217" s="114"/>
      <c r="J1217" s="114"/>
      <c r="K1217" s="114"/>
      <c r="L1217" s="114"/>
      <c r="M1217" s="114"/>
      <c r="X1217" s="56"/>
      <c r="Y1217" s="56"/>
      <c r="AA1217" s="56"/>
      <c r="AB1217" s="114"/>
    </row>
    <row r="1218">
      <c r="A1218" s="24"/>
      <c r="B1218" s="24"/>
      <c r="C1218" s="24"/>
      <c r="D1218" s="22"/>
      <c r="F1218" s="114"/>
      <c r="G1218" s="114"/>
      <c r="H1218" s="114"/>
      <c r="I1218" s="114"/>
      <c r="J1218" s="114"/>
      <c r="K1218" s="114"/>
      <c r="L1218" s="114"/>
      <c r="M1218" s="114"/>
      <c r="X1218" s="56"/>
      <c r="Y1218" s="56"/>
      <c r="AA1218" s="56"/>
      <c r="AB1218" s="114"/>
    </row>
    <row r="1219">
      <c r="A1219" s="24"/>
      <c r="B1219" s="24"/>
      <c r="C1219" s="24"/>
      <c r="D1219" s="22"/>
      <c r="F1219" s="114"/>
      <c r="G1219" s="114"/>
      <c r="H1219" s="114"/>
      <c r="I1219" s="114"/>
      <c r="J1219" s="114"/>
      <c r="K1219" s="114"/>
      <c r="L1219" s="114"/>
      <c r="M1219" s="114"/>
      <c r="X1219" s="56"/>
      <c r="Y1219" s="56"/>
      <c r="AA1219" s="56"/>
      <c r="AB1219" s="114"/>
    </row>
    <row r="1220">
      <c r="A1220" s="24"/>
      <c r="B1220" s="24"/>
      <c r="C1220" s="24"/>
      <c r="D1220" s="22"/>
      <c r="F1220" s="114"/>
      <c r="G1220" s="114"/>
      <c r="H1220" s="114"/>
      <c r="I1220" s="114"/>
      <c r="J1220" s="114"/>
      <c r="K1220" s="114"/>
      <c r="L1220" s="114"/>
      <c r="M1220" s="114"/>
      <c r="X1220" s="56"/>
      <c r="Y1220" s="56"/>
      <c r="AA1220" s="56"/>
      <c r="AB1220" s="114"/>
    </row>
    <row r="1221">
      <c r="A1221" s="24"/>
      <c r="B1221" s="24"/>
      <c r="C1221" s="24"/>
      <c r="D1221" s="22"/>
      <c r="F1221" s="114"/>
      <c r="G1221" s="114"/>
      <c r="H1221" s="114"/>
      <c r="I1221" s="114"/>
      <c r="J1221" s="114"/>
      <c r="K1221" s="114"/>
      <c r="L1221" s="114"/>
      <c r="M1221" s="114"/>
      <c r="X1221" s="56"/>
      <c r="Y1221" s="56"/>
      <c r="AA1221" s="56"/>
      <c r="AB1221" s="114"/>
    </row>
    <row r="1222">
      <c r="A1222" s="24"/>
      <c r="B1222" s="24"/>
      <c r="C1222" s="24"/>
      <c r="D1222" s="22"/>
      <c r="F1222" s="114"/>
      <c r="G1222" s="114"/>
      <c r="H1222" s="114"/>
      <c r="I1222" s="114"/>
      <c r="J1222" s="114"/>
      <c r="K1222" s="114"/>
      <c r="L1222" s="114"/>
      <c r="M1222" s="114"/>
      <c r="X1222" s="56"/>
      <c r="Y1222" s="56"/>
      <c r="AA1222" s="56"/>
      <c r="AB1222" s="114"/>
    </row>
    <row r="1223">
      <c r="A1223" s="24"/>
      <c r="B1223" s="24"/>
      <c r="C1223" s="24"/>
      <c r="D1223" s="22"/>
      <c r="F1223" s="114"/>
      <c r="G1223" s="114"/>
      <c r="H1223" s="114"/>
      <c r="I1223" s="114"/>
      <c r="J1223" s="114"/>
      <c r="K1223" s="114"/>
      <c r="L1223" s="114"/>
      <c r="M1223" s="114"/>
      <c r="X1223" s="56"/>
      <c r="Y1223" s="56"/>
      <c r="AA1223" s="56"/>
      <c r="AB1223" s="114"/>
    </row>
    <row r="1224">
      <c r="A1224" s="24"/>
      <c r="B1224" s="24"/>
      <c r="C1224" s="24"/>
      <c r="D1224" s="22"/>
      <c r="F1224" s="114"/>
      <c r="G1224" s="114"/>
      <c r="H1224" s="114"/>
      <c r="I1224" s="114"/>
      <c r="J1224" s="114"/>
      <c r="K1224" s="114"/>
      <c r="L1224" s="114"/>
      <c r="M1224" s="114"/>
      <c r="X1224" s="56"/>
      <c r="Y1224" s="56"/>
      <c r="AA1224" s="56"/>
      <c r="AB1224" s="114"/>
    </row>
    <row r="1225">
      <c r="A1225" s="24"/>
      <c r="B1225" s="24"/>
      <c r="C1225" s="24"/>
      <c r="D1225" s="22"/>
      <c r="F1225" s="114"/>
      <c r="G1225" s="114"/>
      <c r="H1225" s="114"/>
      <c r="I1225" s="114"/>
      <c r="J1225" s="114"/>
      <c r="K1225" s="114"/>
      <c r="L1225" s="114"/>
      <c r="M1225" s="114"/>
      <c r="X1225" s="56"/>
      <c r="Y1225" s="56"/>
      <c r="AA1225" s="56"/>
      <c r="AB1225" s="114"/>
    </row>
    <row r="1226">
      <c r="A1226" s="24"/>
      <c r="B1226" s="24"/>
      <c r="C1226" s="24"/>
      <c r="D1226" s="22"/>
      <c r="F1226" s="114"/>
      <c r="G1226" s="114"/>
      <c r="H1226" s="114"/>
      <c r="I1226" s="114"/>
      <c r="J1226" s="114"/>
      <c r="K1226" s="114"/>
      <c r="L1226" s="114"/>
      <c r="M1226" s="114"/>
      <c r="X1226" s="56"/>
      <c r="Y1226" s="56"/>
      <c r="AA1226" s="56"/>
      <c r="AB1226" s="114"/>
    </row>
    <row r="1227">
      <c r="A1227" s="24"/>
      <c r="B1227" s="24"/>
      <c r="C1227" s="24"/>
      <c r="D1227" s="22"/>
      <c r="F1227" s="114"/>
      <c r="G1227" s="114"/>
      <c r="H1227" s="114"/>
      <c r="I1227" s="114"/>
      <c r="J1227" s="114"/>
      <c r="K1227" s="114"/>
      <c r="L1227" s="114"/>
      <c r="M1227" s="114"/>
      <c r="X1227" s="56"/>
      <c r="Y1227" s="56"/>
      <c r="AA1227" s="56"/>
      <c r="AB1227" s="114"/>
    </row>
    <row r="1228">
      <c r="A1228" s="24"/>
      <c r="B1228" s="24"/>
      <c r="C1228" s="24"/>
      <c r="D1228" s="22"/>
      <c r="F1228" s="114"/>
      <c r="G1228" s="114"/>
      <c r="H1228" s="114"/>
      <c r="I1228" s="114"/>
      <c r="J1228" s="114"/>
      <c r="K1228" s="114"/>
      <c r="L1228" s="114"/>
      <c r="M1228" s="114"/>
      <c r="X1228" s="56"/>
      <c r="Y1228" s="56"/>
      <c r="AA1228" s="56"/>
      <c r="AB1228" s="114"/>
    </row>
    <row r="1229">
      <c r="A1229" s="24"/>
      <c r="B1229" s="24"/>
      <c r="C1229" s="24"/>
      <c r="D1229" s="22"/>
      <c r="F1229" s="114"/>
      <c r="G1229" s="114"/>
      <c r="H1229" s="114"/>
      <c r="I1229" s="114"/>
      <c r="J1229" s="114"/>
      <c r="K1229" s="114"/>
      <c r="L1229" s="114"/>
      <c r="M1229" s="114"/>
      <c r="X1229" s="56"/>
      <c r="Y1229" s="56"/>
      <c r="AA1229" s="56"/>
      <c r="AB1229" s="114"/>
    </row>
    <row r="1230">
      <c r="A1230" s="24"/>
      <c r="B1230" s="24"/>
      <c r="C1230" s="24"/>
      <c r="D1230" s="22"/>
      <c r="F1230" s="114"/>
      <c r="G1230" s="114"/>
      <c r="H1230" s="114"/>
      <c r="I1230" s="114"/>
      <c r="J1230" s="114"/>
      <c r="K1230" s="114"/>
      <c r="L1230" s="114"/>
      <c r="M1230" s="114"/>
      <c r="X1230" s="56"/>
      <c r="Y1230" s="56"/>
      <c r="AA1230" s="56"/>
      <c r="AB1230" s="114"/>
    </row>
    <row r="1231">
      <c r="A1231" s="24"/>
      <c r="B1231" s="24"/>
      <c r="C1231" s="24"/>
      <c r="D1231" s="22"/>
      <c r="F1231" s="114"/>
      <c r="G1231" s="114"/>
      <c r="H1231" s="114"/>
      <c r="I1231" s="114"/>
      <c r="J1231" s="114"/>
      <c r="K1231" s="114"/>
      <c r="L1231" s="114"/>
      <c r="M1231" s="114"/>
      <c r="X1231" s="56"/>
      <c r="Y1231" s="56"/>
      <c r="AA1231" s="56"/>
      <c r="AB1231" s="114"/>
    </row>
    <row r="1232">
      <c r="A1232" s="24"/>
      <c r="B1232" s="24"/>
      <c r="C1232" s="24"/>
      <c r="D1232" s="22"/>
      <c r="F1232" s="114"/>
      <c r="G1232" s="114"/>
      <c r="H1232" s="114"/>
      <c r="I1232" s="114"/>
      <c r="J1232" s="114"/>
      <c r="K1232" s="114"/>
      <c r="L1232" s="114"/>
      <c r="M1232" s="114"/>
      <c r="X1232" s="56"/>
      <c r="Y1232" s="56"/>
      <c r="AA1232" s="56"/>
      <c r="AB1232" s="114"/>
    </row>
    <row r="1233">
      <c r="A1233" s="24"/>
      <c r="B1233" s="24"/>
      <c r="C1233" s="24"/>
      <c r="D1233" s="22"/>
      <c r="F1233" s="114"/>
      <c r="G1233" s="114"/>
      <c r="H1233" s="114"/>
      <c r="I1233" s="114"/>
      <c r="J1233" s="114"/>
      <c r="K1233" s="114"/>
      <c r="L1233" s="114"/>
      <c r="M1233" s="114"/>
      <c r="X1233" s="56"/>
      <c r="Y1233" s="56"/>
      <c r="AA1233" s="56"/>
      <c r="AB1233" s="114"/>
    </row>
    <row r="1234">
      <c r="A1234" s="24"/>
      <c r="B1234" s="24"/>
      <c r="C1234" s="24"/>
      <c r="D1234" s="22"/>
      <c r="F1234" s="114"/>
      <c r="G1234" s="114"/>
      <c r="H1234" s="114"/>
      <c r="I1234" s="114"/>
      <c r="J1234" s="114"/>
      <c r="K1234" s="114"/>
      <c r="L1234" s="114"/>
      <c r="M1234" s="114"/>
      <c r="X1234" s="56"/>
      <c r="Y1234" s="56"/>
      <c r="AA1234" s="56"/>
      <c r="AB1234" s="114"/>
    </row>
    <row r="1235">
      <c r="A1235" s="24"/>
      <c r="B1235" s="24"/>
      <c r="C1235" s="24"/>
      <c r="D1235" s="22"/>
      <c r="F1235" s="114"/>
      <c r="G1235" s="114"/>
      <c r="H1235" s="114"/>
      <c r="I1235" s="114"/>
      <c r="J1235" s="114"/>
      <c r="K1235" s="114"/>
      <c r="L1235" s="114"/>
      <c r="M1235" s="114"/>
      <c r="X1235" s="56"/>
      <c r="Y1235" s="56"/>
      <c r="AA1235" s="56"/>
      <c r="AB1235" s="114"/>
    </row>
    <row r="1236">
      <c r="A1236" s="24"/>
      <c r="B1236" s="24"/>
      <c r="C1236" s="24"/>
      <c r="D1236" s="22"/>
      <c r="F1236" s="114"/>
      <c r="G1236" s="114"/>
      <c r="H1236" s="114"/>
      <c r="I1236" s="114"/>
      <c r="J1236" s="114"/>
      <c r="K1236" s="114"/>
      <c r="L1236" s="114"/>
      <c r="M1236" s="114"/>
      <c r="X1236" s="56"/>
      <c r="Y1236" s="56"/>
      <c r="AA1236" s="56"/>
      <c r="AB1236" s="114"/>
    </row>
    <row r="1237">
      <c r="A1237" s="24"/>
      <c r="B1237" s="24"/>
      <c r="C1237" s="24"/>
      <c r="D1237" s="22"/>
      <c r="F1237" s="114"/>
      <c r="G1237" s="114"/>
      <c r="H1237" s="114"/>
      <c r="I1237" s="114"/>
      <c r="J1237" s="114"/>
      <c r="K1237" s="114"/>
      <c r="L1237" s="114"/>
      <c r="M1237" s="114"/>
      <c r="X1237" s="56"/>
      <c r="Y1237" s="56"/>
      <c r="AA1237" s="56"/>
      <c r="AB1237" s="114"/>
    </row>
    <row r="1238">
      <c r="A1238" s="24"/>
      <c r="B1238" s="24"/>
      <c r="C1238" s="24"/>
      <c r="D1238" s="22"/>
      <c r="F1238" s="114"/>
      <c r="G1238" s="114"/>
      <c r="H1238" s="114"/>
      <c r="I1238" s="114"/>
      <c r="J1238" s="114"/>
      <c r="K1238" s="114"/>
      <c r="L1238" s="114"/>
      <c r="M1238" s="114"/>
      <c r="X1238" s="56"/>
      <c r="Y1238" s="56"/>
      <c r="AA1238" s="56"/>
      <c r="AB1238" s="114"/>
    </row>
    <row r="1239">
      <c r="A1239" s="24"/>
      <c r="B1239" s="24"/>
      <c r="C1239" s="24"/>
      <c r="D1239" s="22"/>
      <c r="F1239" s="114"/>
      <c r="G1239" s="114"/>
      <c r="H1239" s="114"/>
      <c r="I1239" s="114"/>
      <c r="J1239" s="114"/>
      <c r="K1239" s="114"/>
      <c r="L1239" s="114"/>
      <c r="M1239" s="114"/>
      <c r="X1239" s="56"/>
      <c r="Y1239" s="56"/>
      <c r="AA1239" s="56"/>
      <c r="AB1239" s="114"/>
    </row>
    <row r="1240">
      <c r="A1240" s="24"/>
      <c r="B1240" s="24"/>
      <c r="C1240" s="24"/>
      <c r="D1240" s="22"/>
      <c r="F1240" s="114"/>
      <c r="G1240" s="114"/>
      <c r="H1240" s="114"/>
      <c r="I1240" s="114"/>
      <c r="J1240" s="114"/>
      <c r="K1240" s="114"/>
      <c r="L1240" s="114"/>
      <c r="M1240" s="114"/>
      <c r="X1240" s="56"/>
      <c r="Y1240" s="56"/>
      <c r="AA1240" s="56"/>
      <c r="AB1240" s="114"/>
    </row>
    <row r="1241">
      <c r="A1241" s="24"/>
      <c r="B1241" s="24"/>
      <c r="C1241" s="24"/>
      <c r="D1241" s="22"/>
      <c r="F1241" s="114"/>
      <c r="G1241" s="114"/>
      <c r="H1241" s="114"/>
      <c r="I1241" s="114"/>
      <c r="J1241" s="114"/>
      <c r="K1241" s="114"/>
      <c r="L1241" s="114"/>
      <c r="M1241" s="114"/>
      <c r="X1241" s="56"/>
      <c r="Y1241" s="56"/>
      <c r="AA1241" s="56"/>
      <c r="AB1241" s="114"/>
    </row>
    <row r="1242">
      <c r="A1242" s="24"/>
      <c r="B1242" s="24"/>
      <c r="C1242" s="24"/>
      <c r="D1242" s="22"/>
      <c r="F1242" s="114"/>
      <c r="G1242" s="114"/>
      <c r="H1242" s="114"/>
      <c r="I1242" s="114"/>
      <c r="J1242" s="114"/>
      <c r="K1242" s="114"/>
      <c r="L1242" s="114"/>
      <c r="M1242" s="114"/>
      <c r="X1242" s="56"/>
      <c r="Y1242" s="56"/>
      <c r="AA1242" s="56"/>
      <c r="AB1242" s="114"/>
    </row>
    <row r="1243">
      <c r="A1243" s="24"/>
      <c r="B1243" s="24"/>
      <c r="C1243" s="24"/>
      <c r="D1243" s="22"/>
      <c r="F1243" s="114"/>
      <c r="G1243" s="114"/>
      <c r="H1243" s="114"/>
      <c r="I1243" s="114"/>
      <c r="J1243" s="114"/>
      <c r="K1243" s="114"/>
      <c r="L1243" s="114"/>
      <c r="M1243" s="114"/>
      <c r="X1243" s="56"/>
      <c r="Y1243" s="56"/>
      <c r="AA1243" s="56"/>
      <c r="AB1243" s="114"/>
    </row>
    <row r="1244">
      <c r="A1244" s="24"/>
      <c r="B1244" s="24"/>
      <c r="C1244" s="24"/>
      <c r="D1244" s="22"/>
      <c r="F1244" s="114"/>
      <c r="G1244" s="114"/>
      <c r="H1244" s="114"/>
      <c r="I1244" s="114"/>
      <c r="J1244" s="114"/>
      <c r="K1244" s="114"/>
      <c r="L1244" s="114"/>
      <c r="M1244" s="114"/>
      <c r="X1244" s="56"/>
      <c r="Y1244" s="56"/>
      <c r="AA1244" s="56"/>
      <c r="AB1244" s="114"/>
    </row>
    <row r="1245">
      <c r="A1245" s="24"/>
      <c r="B1245" s="24"/>
      <c r="C1245" s="24"/>
      <c r="D1245" s="22"/>
      <c r="F1245" s="114"/>
      <c r="G1245" s="114"/>
      <c r="H1245" s="114"/>
      <c r="I1245" s="114"/>
      <c r="J1245" s="114"/>
      <c r="K1245" s="114"/>
      <c r="L1245" s="114"/>
      <c r="M1245" s="114"/>
      <c r="X1245" s="56"/>
      <c r="Y1245" s="56"/>
      <c r="AA1245" s="56"/>
      <c r="AB1245" s="114"/>
    </row>
    <row r="1246">
      <c r="A1246" s="24"/>
      <c r="B1246" s="24"/>
      <c r="C1246" s="24"/>
      <c r="D1246" s="22"/>
      <c r="F1246" s="114"/>
      <c r="G1246" s="114"/>
      <c r="H1246" s="114"/>
      <c r="I1246" s="114"/>
      <c r="J1246" s="114"/>
      <c r="K1246" s="114"/>
      <c r="L1246" s="114"/>
      <c r="M1246" s="114"/>
      <c r="X1246" s="56"/>
      <c r="Y1246" s="56"/>
      <c r="AA1246" s="56"/>
      <c r="AB1246" s="114"/>
    </row>
    <row r="1247">
      <c r="A1247" s="24"/>
      <c r="B1247" s="24"/>
      <c r="C1247" s="24"/>
      <c r="D1247" s="22"/>
      <c r="F1247" s="114"/>
      <c r="G1247" s="114"/>
      <c r="H1247" s="114"/>
      <c r="I1247" s="114"/>
      <c r="J1247" s="114"/>
      <c r="K1247" s="114"/>
      <c r="L1247" s="114"/>
      <c r="M1247" s="114"/>
      <c r="X1247" s="56"/>
      <c r="Y1247" s="56"/>
      <c r="AA1247" s="56"/>
      <c r="AB1247" s="114"/>
    </row>
    <row r="1248">
      <c r="A1248" s="24"/>
      <c r="B1248" s="24"/>
      <c r="C1248" s="24"/>
      <c r="D1248" s="22"/>
      <c r="F1248" s="114"/>
      <c r="G1248" s="114"/>
      <c r="H1248" s="114"/>
      <c r="I1248" s="114"/>
      <c r="J1248" s="114"/>
      <c r="K1248" s="114"/>
      <c r="L1248" s="114"/>
      <c r="M1248" s="114"/>
      <c r="X1248" s="56"/>
      <c r="Y1248" s="56"/>
      <c r="AA1248" s="56"/>
      <c r="AB1248" s="114"/>
    </row>
    <row r="1249">
      <c r="A1249" s="24"/>
      <c r="B1249" s="24"/>
      <c r="C1249" s="24"/>
      <c r="D1249" s="22"/>
      <c r="F1249" s="114"/>
      <c r="G1249" s="114"/>
      <c r="H1249" s="114"/>
      <c r="I1249" s="114"/>
      <c r="J1249" s="114"/>
      <c r="K1249" s="114"/>
      <c r="L1249" s="114"/>
      <c r="M1249" s="114"/>
      <c r="X1249" s="56"/>
      <c r="Y1249" s="56"/>
      <c r="AA1249" s="56"/>
      <c r="AB1249" s="114"/>
    </row>
    <row r="1250">
      <c r="A1250" s="24"/>
      <c r="B1250" s="24"/>
      <c r="C1250" s="24"/>
      <c r="D1250" s="22"/>
      <c r="F1250" s="114"/>
      <c r="G1250" s="114"/>
      <c r="H1250" s="114"/>
      <c r="I1250" s="114"/>
      <c r="J1250" s="114"/>
      <c r="K1250" s="114"/>
      <c r="L1250" s="114"/>
      <c r="M1250" s="114"/>
      <c r="X1250" s="56"/>
      <c r="Y1250" s="56"/>
      <c r="AA1250" s="56"/>
      <c r="AB1250" s="114"/>
    </row>
    <row r="1251">
      <c r="A1251" s="24"/>
      <c r="B1251" s="24"/>
      <c r="C1251" s="24"/>
      <c r="D1251" s="22"/>
      <c r="F1251" s="114"/>
      <c r="G1251" s="114"/>
      <c r="H1251" s="114"/>
      <c r="I1251" s="114"/>
      <c r="J1251" s="114"/>
      <c r="K1251" s="114"/>
      <c r="L1251" s="114"/>
      <c r="M1251" s="114"/>
      <c r="X1251" s="56"/>
      <c r="Y1251" s="56"/>
      <c r="AA1251" s="56"/>
      <c r="AB1251" s="114"/>
    </row>
    <row r="1252">
      <c r="A1252" s="24"/>
      <c r="B1252" s="24"/>
      <c r="C1252" s="24"/>
      <c r="D1252" s="22"/>
      <c r="F1252" s="114"/>
      <c r="G1252" s="114"/>
      <c r="H1252" s="114"/>
      <c r="I1252" s="114"/>
      <c r="J1252" s="114"/>
      <c r="K1252" s="114"/>
      <c r="L1252" s="114"/>
      <c r="M1252" s="114"/>
      <c r="X1252" s="56"/>
      <c r="Y1252" s="56"/>
      <c r="AA1252" s="56"/>
      <c r="AB1252" s="114"/>
    </row>
    <row r="1253">
      <c r="A1253" s="24"/>
      <c r="B1253" s="24"/>
      <c r="C1253" s="24"/>
      <c r="D1253" s="22"/>
      <c r="F1253" s="114"/>
      <c r="G1253" s="114"/>
      <c r="H1253" s="114"/>
      <c r="I1253" s="114"/>
      <c r="J1253" s="114"/>
      <c r="K1253" s="114"/>
      <c r="L1253" s="114"/>
      <c r="M1253" s="114"/>
      <c r="X1253" s="56"/>
      <c r="Y1253" s="56"/>
      <c r="AA1253" s="56"/>
      <c r="AB1253" s="114"/>
    </row>
    <row r="1254">
      <c r="A1254" s="24"/>
      <c r="B1254" s="24"/>
      <c r="C1254" s="24"/>
      <c r="D1254" s="22"/>
      <c r="F1254" s="114"/>
      <c r="G1254" s="114"/>
      <c r="H1254" s="114"/>
      <c r="I1254" s="114"/>
      <c r="J1254" s="114"/>
      <c r="K1254" s="114"/>
      <c r="L1254" s="114"/>
      <c r="M1254" s="114"/>
      <c r="X1254" s="56"/>
      <c r="Y1254" s="56"/>
      <c r="AA1254" s="56"/>
      <c r="AB1254" s="114"/>
    </row>
    <row r="1255">
      <c r="A1255" s="24"/>
      <c r="B1255" s="24"/>
      <c r="C1255" s="24"/>
      <c r="D1255" s="22"/>
      <c r="F1255" s="114"/>
      <c r="G1255" s="114"/>
      <c r="H1255" s="114"/>
      <c r="I1255" s="114"/>
      <c r="J1255" s="114"/>
      <c r="K1255" s="114"/>
      <c r="L1255" s="114"/>
      <c r="M1255" s="114"/>
      <c r="X1255" s="56"/>
      <c r="Y1255" s="56"/>
      <c r="AA1255" s="56"/>
      <c r="AB1255" s="114"/>
    </row>
    <row r="1256">
      <c r="A1256" s="24"/>
      <c r="B1256" s="24"/>
      <c r="C1256" s="24"/>
      <c r="D1256" s="22"/>
      <c r="F1256" s="114"/>
      <c r="G1256" s="114"/>
      <c r="H1256" s="114"/>
      <c r="I1256" s="114"/>
      <c r="J1256" s="114"/>
      <c r="K1256" s="114"/>
      <c r="L1256" s="114"/>
      <c r="M1256" s="114"/>
      <c r="X1256" s="56"/>
      <c r="Y1256" s="56"/>
      <c r="AA1256" s="56"/>
      <c r="AB1256" s="114"/>
    </row>
    <row r="1257">
      <c r="A1257" s="24"/>
      <c r="B1257" s="24"/>
      <c r="C1257" s="24"/>
      <c r="D1257" s="22"/>
      <c r="F1257" s="114"/>
      <c r="G1257" s="114"/>
      <c r="H1257" s="114"/>
      <c r="I1257" s="114"/>
      <c r="J1257" s="114"/>
      <c r="K1257" s="114"/>
      <c r="L1257" s="114"/>
      <c r="M1257" s="114"/>
      <c r="X1257" s="56"/>
      <c r="Y1257" s="56"/>
      <c r="AA1257" s="56"/>
      <c r="AB1257" s="114"/>
    </row>
    <row r="1258">
      <c r="A1258" s="24"/>
      <c r="B1258" s="24"/>
      <c r="C1258" s="24"/>
      <c r="D1258" s="22"/>
      <c r="F1258" s="114"/>
      <c r="G1258" s="114"/>
      <c r="H1258" s="114"/>
      <c r="I1258" s="114"/>
      <c r="J1258" s="114"/>
      <c r="K1258" s="114"/>
      <c r="L1258" s="114"/>
      <c r="M1258" s="114"/>
      <c r="X1258" s="56"/>
      <c r="Y1258" s="56"/>
      <c r="AA1258" s="56"/>
      <c r="AB1258" s="114"/>
    </row>
    <row r="1259">
      <c r="A1259" s="24"/>
      <c r="B1259" s="24"/>
      <c r="C1259" s="24"/>
      <c r="D1259" s="22"/>
      <c r="F1259" s="114"/>
      <c r="G1259" s="114"/>
      <c r="H1259" s="114"/>
      <c r="I1259" s="114"/>
      <c r="J1259" s="114"/>
      <c r="K1259" s="114"/>
      <c r="L1259" s="114"/>
      <c r="M1259" s="114"/>
      <c r="X1259" s="56"/>
      <c r="Y1259" s="56"/>
      <c r="AA1259" s="56"/>
      <c r="AB1259" s="114"/>
    </row>
    <row r="1260">
      <c r="A1260" s="24"/>
      <c r="B1260" s="24"/>
      <c r="C1260" s="24"/>
      <c r="D1260" s="22"/>
      <c r="F1260" s="114"/>
      <c r="G1260" s="114"/>
      <c r="H1260" s="114"/>
      <c r="I1260" s="114"/>
      <c r="J1260" s="114"/>
      <c r="K1260" s="114"/>
      <c r="L1260" s="114"/>
      <c r="M1260" s="114"/>
      <c r="X1260" s="56"/>
      <c r="Y1260" s="56"/>
      <c r="AA1260" s="56"/>
      <c r="AB1260" s="114"/>
    </row>
    <row r="1261">
      <c r="A1261" s="24"/>
      <c r="B1261" s="24"/>
      <c r="C1261" s="24"/>
      <c r="D1261" s="22"/>
      <c r="F1261" s="114"/>
      <c r="G1261" s="114"/>
      <c r="H1261" s="114"/>
      <c r="I1261" s="114"/>
      <c r="J1261" s="114"/>
      <c r="K1261" s="114"/>
      <c r="L1261" s="114"/>
      <c r="M1261" s="114"/>
      <c r="X1261" s="56"/>
      <c r="Y1261" s="56"/>
      <c r="AA1261" s="56"/>
      <c r="AB1261" s="114"/>
    </row>
    <row r="1262">
      <c r="A1262" s="24"/>
      <c r="B1262" s="24"/>
      <c r="C1262" s="24"/>
      <c r="D1262" s="22"/>
      <c r="F1262" s="114"/>
      <c r="G1262" s="114"/>
      <c r="H1262" s="114"/>
      <c r="I1262" s="114"/>
      <c r="J1262" s="114"/>
      <c r="K1262" s="114"/>
      <c r="L1262" s="114"/>
      <c r="M1262" s="114"/>
      <c r="X1262" s="56"/>
      <c r="Y1262" s="56"/>
      <c r="AA1262" s="56"/>
      <c r="AB1262" s="114"/>
    </row>
    <row r="1263">
      <c r="A1263" s="24"/>
      <c r="B1263" s="24"/>
      <c r="C1263" s="24"/>
      <c r="D1263" s="22"/>
      <c r="F1263" s="114"/>
      <c r="G1263" s="114"/>
      <c r="H1263" s="114"/>
      <c r="I1263" s="114"/>
      <c r="J1263" s="114"/>
      <c r="K1263" s="114"/>
      <c r="L1263" s="114"/>
      <c r="M1263" s="114"/>
      <c r="X1263" s="56"/>
      <c r="Y1263" s="56"/>
      <c r="AA1263" s="56"/>
      <c r="AB1263" s="114"/>
    </row>
    <row r="1264">
      <c r="A1264" s="24"/>
      <c r="B1264" s="24"/>
      <c r="C1264" s="24"/>
      <c r="D1264" s="22"/>
      <c r="F1264" s="114"/>
      <c r="G1264" s="114"/>
      <c r="H1264" s="114"/>
      <c r="I1264" s="114"/>
      <c r="J1264" s="114"/>
      <c r="K1264" s="114"/>
      <c r="L1264" s="114"/>
      <c r="M1264" s="114"/>
      <c r="X1264" s="56"/>
      <c r="Y1264" s="56"/>
      <c r="AA1264" s="56"/>
      <c r="AB1264" s="114"/>
    </row>
    <row r="1265">
      <c r="A1265" s="24"/>
      <c r="B1265" s="24"/>
      <c r="C1265" s="24"/>
      <c r="D1265" s="22"/>
      <c r="F1265" s="114"/>
      <c r="G1265" s="114"/>
      <c r="H1265" s="114"/>
      <c r="I1265" s="114"/>
      <c r="J1265" s="114"/>
      <c r="K1265" s="114"/>
      <c r="L1265" s="114"/>
      <c r="M1265" s="114"/>
      <c r="X1265" s="56"/>
      <c r="Y1265" s="56"/>
      <c r="AA1265" s="56"/>
      <c r="AB1265" s="114"/>
    </row>
    <row r="1266">
      <c r="A1266" s="24"/>
      <c r="B1266" s="24"/>
      <c r="C1266" s="24"/>
      <c r="D1266" s="22"/>
      <c r="F1266" s="114"/>
      <c r="G1266" s="114"/>
      <c r="H1266" s="114"/>
      <c r="I1266" s="114"/>
      <c r="J1266" s="114"/>
      <c r="K1266" s="114"/>
      <c r="L1266" s="114"/>
      <c r="M1266" s="114"/>
      <c r="X1266" s="56"/>
      <c r="Y1266" s="56"/>
      <c r="AA1266" s="56"/>
      <c r="AB1266" s="114"/>
    </row>
    <row r="1267">
      <c r="A1267" s="24"/>
      <c r="B1267" s="24"/>
      <c r="C1267" s="24"/>
      <c r="D1267" s="22"/>
      <c r="F1267" s="114"/>
      <c r="G1267" s="114"/>
      <c r="H1267" s="114"/>
      <c r="I1267" s="114"/>
      <c r="J1267" s="114"/>
      <c r="K1267" s="114"/>
      <c r="L1267" s="114"/>
      <c r="M1267" s="114"/>
      <c r="X1267" s="56"/>
      <c r="Y1267" s="56"/>
      <c r="AA1267" s="56"/>
      <c r="AB1267" s="114"/>
    </row>
    <row r="1268">
      <c r="A1268" s="24"/>
      <c r="B1268" s="24"/>
      <c r="C1268" s="24"/>
      <c r="D1268" s="22"/>
      <c r="F1268" s="114"/>
      <c r="G1268" s="114"/>
      <c r="H1268" s="114"/>
      <c r="I1268" s="114"/>
      <c r="J1268" s="114"/>
      <c r="K1268" s="114"/>
      <c r="L1268" s="114"/>
      <c r="M1268" s="114"/>
      <c r="X1268" s="56"/>
      <c r="Y1268" s="56"/>
      <c r="AA1268" s="56"/>
      <c r="AB1268" s="114"/>
    </row>
    <row r="1269">
      <c r="A1269" s="24"/>
      <c r="B1269" s="24"/>
      <c r="C1269" s="24"/>
      <c r="D1269" s="22"/>
      <c r="F1269" s="114"/>
      <c r="G1269" s="114"/>
      <c r="H1269" s="114"/>
      <c r="I1269" s="114"/>
      <c r="J1269" s="114"/>
      <c r="K1269" s="114"/>
      <c r="L1269" s="114"/>
      <c r="M1269" s="114"/>
      <c r="X1269" s="56"/>
      <c r="Y1269" s="56"/>
      <c r="AA1269" s="56"/>
      <c r="AB1269" s="114"/>
    </row>
    <row r="1270">
      <c r="A1270" s="24"/>
      <c r="B1270" s="24"/>
      <c r="C1270" s="24"/>
      <c r="D1270" s="22"/>
      <c r="F1270" s="114"/>
      <c r="G1270" s="114"/>
      <c r="H1270" s="114"/>
      <c r="I1270" s="114"/>
      <c r="J1270" s="114"/>
      <c r="K1270" s="114"/>
      <c r="L1270" s="114"/>
      <c r="M1270" s="114"/>
      <c r="X1270" s="56"/>
      <c r="Y1270" s="56"/>
      <c r="AA1270" s="56"/>
      <c r="AB1270" s="114"/>
    </row>
    <row r="1271">
      <c r="A1271" s="24"/>
      <c r="B1271" s="24"/>
      <c r="C1271" s="24"/>
      <c r="D1271" s="22"/>
      <c r="F1271" s="114"/>
      <c r="G1271" s="114"/>
      <c r="H1271" s="114"/>
      <c r="I1271" s="114"/>
      <c r="J1271" s="114"/>
      <c r="K1271" s="114"/>
      <c r="L1271" s="114"/>
      <c r="M1271" s="114"/>
      <c r="X1271" s="56"/>
      <c r="Y1271" s="56"/>
      <c r="AA1271" s="56"/>
      <c r="AB1271" s="114"/>
    </row>
    <row r="1272">
      <c r="A1272" s="24"/>
      <c r="B1272" s="24"/>
      <c r="C1272" s="24"/>
      <c r="D1272" s="22"/>
      <c r="F1272" s="114"/>
      <c r="G1272" s="114"/>
      <c r="H1272" s="114"/>
      <c r="I1272" s="114"/>
      <c r="J1272" s="114"/>
      <c r="K1272" s="114"/>
      <c r="L1272" s="114"/>
      <c r="M1272" s="114"/>
      <c r="X1272" s="56"/>
      <c r="Y1272" s="56"/>
      <c r="AA1272" s="56"/>
      <c r="AB1272" s="114"/>
    </row>
    <row r="1273">
      <c r="A1273" s="24"/>
      <c r="B1273" s="24"/>
      <c r="C1273" s="24"/>
      <c r="D1273" s="22"/>
      <c r="F1273" s="114"/>
      <c r="G1273" s="114"/>
      <c r="H1273" s="114"/>
      <c r="I1273" s="114"/>
      <c r="J1273" s="114"/>
      <c r="K1273" s="114"/>
      <c r="L1273" s="114"/>
      <c r="M1273" s="114"/>
      <c r="X1273" s="56"/>
      <c r="Y1273" s="56"/>
      <c r="AA1273" s="56"/>
      <c r="AB1273" s="114"/>
    </row>
    <row r="1274">
      <c r="A1274" s="24"/>
      <c r="B1274" s="24"/>
      <c r="C1274" s="24"/>
      <c r="D1274" s="22"/>
      <c r="F1274" s="114"/>
      <c r="G1274" s="114"/>
      <c r="H1274" s="114"/>
      <c r="I1274" s="114"/>
      <c r="J1274" s="114"/>
      <c r="K1274" s="114"/>
      <c r="L1274" s="114"/>
      <c r="M1274" s="114"/>
      <c r="X1274" s="56"/>
      <c r="Y1274" s="56"/>
      <c r="AA1274" s="56"/>
      <c r="AB1274" s="114"/>
    </row>
    <row r="1275">
      <c r="A1275" s="24"/>
      <c r="B1275" s="24"/>
      <c r="C1275" s="24"/>
      <c r="D1275" s="22"/>
      <c r="F1275" s="114"/>
      <c r="G1275" s="114"/>
      <c r="H1275" s="114"/>
      <c r="I1275" s="114"/>
      <c r="J1275" s="114"/>
      <c r="K1275" s="114"/>
      <c r="L1275" s="114"/>
      <c r="M1275" s="114"/>
      <c r="X1275" s="56"/>
      <c r="Y1275" s="56"/>
      <c r="AA1275" s="56"/>
      <c r="AB1275" s="114"/>
    </row>
    <row r="1276">
      <c r="A1276" s="24"/>
      <c r="B1276" s="24"/>
      <c r="C1276" s="24"/>
      <c r="D1276" s="22"/>
      <c r="F1276" s="114"/>
      <c r="G1276" s="114"/>
      <c r="H1276" s="114"/>
      <c r="I1276" s="114"/>
      <c r="J1276" s="114"/>
      <c r="K1276" s="114"/>
      <c r="L1276" s="114"/>
      <c r="M1276" s="114"/>
      <c r="X1276" s="56"/>
      <c r="Y1276" s="56"/>
      <c r="AA1276" s="56"/>
      <c r="AB1276" s="114"/>
    </row>
    <row r="1277">
      <c r="A1277" s="24"/>
      <c r="B1277" s="24"/>
      <c r="C1277" s="24"/>
      <c r="D1277" s="22"/>
      <c r="F1277" s="114"/>
      <c r="G1277" s="114"/>
      <c r="H1277" s="114"/>
      <c r="I1277" s="114"/>
      <c r="J1277" s="114"/>
      <c r="K1277" s="114"/>
      <c r="L1277" s="114"/>
      <c r="M1277" s="114"/>
      <c r="X1277" s="56"/>
      <c r="Y1277" s="56"/>
      <c r="AA1277" s="56"/>
      <c r="AB1277" s="114"/>
    </row>
    <row r="1278">
      <c r="A1278" s="24"/>
      <c r="B1278" s="24"/>
      <c r="C1278" s="24"/>
      <c r="D1278" s="22"/>
      <c r="F1278" s="114"/>
      <c r="G1278" s="114"/>
      <c r="H1278" s="114"/>
      <c r="I1278" s="114"/>
      <c r="J1278" s="114"/>
      <c r="K1278" s="114"/>
      <c r="L1278" s="114"/>
      <c r="M1278" s="114"/>
      <c r="X1278" s="56"/>
      <c r="Y1278" s="56"/>
      <c r="AA1278" s="56"/>
      <c r="AB1278" s="114"/>
    </row>
    <row r="1279">
      <c r="A1279" s="24"/>
      <c r="B1279" s="24"/>
      <c r="C1279" s="24"/>
      <c r="D1279" s="22"/>
      <c r="F1279" s="114"/>
      <c r="G1279" s="114"/>
      <c r="H1279" s="114"/>
      <c r="I1279" s="114"/>
      <c r="J1279" s="114"/>
      <c r="K1279" s="114"/>
      <c r="L1279" s="114"/>
      <c r="M1279" s="114"/>
      <c r="X1279" s="56"/>
      <c r="Y1279" s="56"/>
      <c r="AA1279" s="56"/>
      <c r="AB1279" s="114"/>
    </row>
    <row r="1280">
      <c r="A1280" s="24"/>
      <c r="B1280" s="24"/>
      <c r="C1280" s="24"/>
      <c r="D1280" s="22"/>
      <c r="F1280" s="114"/>
      <c r="G1280" s="114"/>
      <c r="H1280" s="114"/>
      <c r="I1280" s="114"/>
      <c r="J1280" s="114"/>
      <c r="K1280" s="114"/>
      <c r="L1280" s="114"/>
      <c r="M1280" s="114"/>
      <c r="X1280" s="56"/>
      <c r="Y1280" s="56"/>
      <c r="AA1280" s="56"/>
      <c r="AB1280" s="114"/>
    </row>
    <row r="1281">
      <c r="A1281" s="24"/>
      <c r="B1281" s="24"/>
      <c r="C1281" s="24"/>
      <c r="D1281" s="22"/>
      <c r="F1281" s="114"/>
      <c r="G1281" s="114"/>
      <c r="H1281" s="114"/>
      <c r="I1281" s="114"/>
      <c r="J1281" s="114"/>
      <c r="K1281" s="114"/>
      <c r="L1281" s="114"/>
      <c r="M1281" s="114"/>
      <c r="X1281" s="56"/>
      <c r="Y1281" s="56"/>
      <c r="AA1281" s="56"/>
      <c r="AB1281" s="114"/>
    </row>
    <row r="1282">
      <c r="A1282" s="24"/>
      <c r="B1282" s="24"/>
      <c r="C1282" s="24"/>
      <c r="D1282" s="22"/>
      <c r="F1282" s="114"/>
      <c r="G1282" s="114"/>
      <c r="H1282" s="114"/>
      <c r="I1282" s="114"/>
      <c r="J1282" s="114"/>
      <c r="K1282" s="114"/>
      <c r="L1282" s="114"/>
      <c r="M1282" s="114"/>
      <c r="X1282" s="56"/>
      <c r="Y1282" s="56"/>
      <c r="AA1282" s="56"/>
      <c r="AB1282" s="114"/>
    </row>
    <row r="1283">
      <c r="A1283" s="24"/>
      <c r="B1283" s="24"/>
      <c r="C1283" s="24"/>
      <c r="D1283" s="22"/>
      <c r="F1283" s="114"/>
      <c r="G1283" s="114"/>
      <c r="H1283" s="114"/>
      <c r="I1283" s="114"/>
      <c r="J1283" s="114"/>
      <c r="K1283" s="114"/>
      <c r="L1283" s="114"/>
      <c r="M1283" s="114"/>
      <c r="X1283" s="56"/>
      <c r="Y1283" s="56"/>
      <c r="AA1283" s="56"/>
      <c r="AB1283" s="114"/>
    </row>
    <row r="1284">
      <c r="A1284" s="24"/>
      <c r="B1284" s="24"/>
      <c r="C1284" s="24"/>
      <c r="D1284" s="22"/>
      <c r="F1284" s="114"/>
      <c r="G1284" s="114"/>
      <c r="H1284" s="114"/>
      <c r="I1284" s="114"/>
      <c r="J1284" s="114"/>
      <c r="K1284" s="114"/>
      <c r="L1284" s="114"/>
      <c r="M1284" s="114"/>
      <c r="X1284" s="56"/>
      <c r="Y1284" s="56"/>
      <c r="AA1284" s="56"/>
      <c r="AB1284" s="114"/>
    </row>
    <row r="1285">
      <c r="A1285" s="24"/>
      <c r="B1285" s="24"/>
      <c r="C1285" s="24"/>
      <c r="D1285" s="22"/>
      <c r="F1285" s="114"/>
      <c r="G1285" s="114"/>
      <c r="H1285" s="114"/>
      <c r="I1285" s="114"/>
      <c r="J1285" s="114"/>
      <c r="K1285" s="114"/>
      <c r="L1285" s="114"/>
      <c r="M1285" s="114"/>
      <c r="X1285" s="56"/>
      <c r="Y1285" s="56"/>
      <c r="AA1285" s="56"/>
      <c r="AB1285" s="114"/>
    </row>
    <row r="1286">
      <c r="A1286" s="24"/>
      <c r="B1286" s="24"/>
      <c r="C1286" s="24"/>
      <c r="D1286" s="22"/>
      <c r="F1286" s="114"/>
      <c r="G1286" s="114"/>
      <c r="H1286" s="114"/>
      <c r="I1286" s="114"/>
      <c r="J1286" s="114"/>
      <c r="K1286" s="114"/>
      <c r="L1286" s="114"/>
      <c r="M1286" s="114"/>
      <c r="X1286" s="56"/>
      <c r="Y1286" s="56"/>
      <c r="AA1286" s="56"/>
      <c r="AB1286" s="114"/>
    </row>
    <row r="1287">
      <c r="A1287" s="24"/>
      <c r="B1287" s="24"/>
      <c r="C1287" s="24"/>
      <c r="D1287" s="22"/>
      <c r="F1287" s="114"/>
      <c r="G1287" s="114"/>
      <c r="H1287" s="114"/>
      <c r="I1287" s="114"/>
      <c r="J1287" s="114"/>
      <c r="K1287" s="114"/>
      <c r="L1287" s="114"/>
      <c r="M1287" s="114"/>
      <c r="X1287" s="56"/>
      <c r="Y1287" s="56"/>
      <c r="AA1287" s="56"/>
      <c r="AB1287" s="114"/>
    </row>
    <row r="1288">
      <c r="A1288" s="24"/>
      <c r="B1288" s="24"/>
      <c r="C1288" s="24"/>
      <c r="D1288" s="22"/>
      <c r="F1288" s="114"/>
      <c r="G1288" s="114"/>
      <c r="H1288" s="114"/>
      <c r="I1288" s="114"/>
      <c r="J1288" s="114"/>
      <c r="K1288" s="114"/>
      <c r="L1288" s="114"/>
      <c r="M1288" s="114"/>
      <c r="X1288" s="56"/>
      <c r="Y1288" s="56"/>
      <c r="AA1288" s="56"/>
      <c r="AB1288" s="114"/>
    </row>
    <row r="1289">
      <c r="A1289" s="24"/>
      <c r="B1289" s="24"/>
      <c r="C1289" s="24"/>
      <c r="D1289" s="22"/>
      <c r="F1289" s="114"/>
      <c r="G1289" s="114"/>
      <c r="H1289" s="114"/>
      <c r="I1289" s="114"/>
      <c r="J1289" s="114"/>
      <c r="K1289" s="114"/>
      <c r="L1289" s="114"/>
      <c r="M1289" s="114"/>
      <c r="X1289" s="56"/>
      <c r="Y1289" s="56"/>
      <c r="AA1289" s="56"/>
      <c r="AB1289" s="114"/>
    </row>
    <row r="1290">
      <c r="A1290" s="24"/>
      <c r="B1290" s="24"/>
      <c r="C1290" s="24"/>
      <c r="D1290" s="22"/>
      <c r="F1290" s="114"/>
      <c r="G1290" s="114"/>
      <c r="H1290" s="114"/>
      <c r="I1290" s="114"/>
      <c r="J1290" s="114"/>
      <c r="K1290" s="114"/>
      <c r="L1290" s="114"/>
      <c r="M1290" s="114"/>
      <c r="X1290" s="56"/>
      <c r="Y1290" s="56"/>
      <c r="AA1290" s="56"/>
      <c r="AB1290" s="114"/>
    </row>
    <row r="1291">
      <c r="A1291" s="24"/>
      <c r="B1291" s="24"/>
      <c r="C1291" s="24"/>
      <c r="D1291" s="22"/>
      <c r="F1291" s="114"/>
      <c r="G1291" s="114"/>
      <c r="H1291" s="114"/>
      <c r="I1291" s="114"/>
      <c r="J1291" s="114"/>
      <c r="K1291" s="114"/>
      <c r="L1291" s="114"/>
      <c r="M1291" s="114"/>
      <c r="X1291" s="56"/>
      <c r="Y1291" s="56"/>
      <c r="AA1291" s="56"/>
      <c r="AB1291" s="114"/>
    </row>
    <row r="1292">
      <c r="A1292" s="24"/>
      <c r="B1292" s="24"/>
      <c r="C1292" s="24"/>
      <c r="D1292" s="22"/>
      <c r="F1292" s="114"/>
      <c r="G1292" s="114"/>
      <c r="H1292" s="114"/>
      <c r="I1292" s="114"/>
      <c r="J1292" s="114"/>
      <c r="K1292" s="114"/>
      <c r="L1292" s="114"/>
      <c r="M1292" s="114"/>
      <c r="X1292" s="56"/>
      <c r="Y1292" s="56"/>
      <c r="AA1292" s="56"/>
      <c r="AB1292" s="114"/>
    </row>
    <row r="1293">
      <c r="A1293" s="24"/>
      <c r="B1293" s="24"/>
      <c r="C1293" s="24"/>
      <c r="D1293" s="22"/>
      <c r="F1293" s="114"/>
      <c r="G1293" s="114"/>
      <c r="H1293" s="114"/>
      <c r="I1293" s="114"/>
      <c r="J1293" s="114"/>
      <c r="K1293" s="114"/>
      <c r="L1293" s="114"/>
      <c r="M1293" s="114"/>
      <c r="X1293" s="56"/>
      <c r="Y1293" s="56"/>
      <c r="AA1293" s="56"/>
      <c r="AB1293" s="114"/>
    </row>
    <row r="1294">
      <c r="A1294" s="24"/>
      <c r="B1294" s="24"/>
      <c r="C1294" s="24"/>
      <c r="D1294" s="22"/>
      <c r="F1294" s="114"/>
      <c r="G1294" s="114"/>
      <c r="H1294" s="114"/>
      <c r="I1294" s="114"/>
      <c r="J1294" s="114"/>
      <c r="K1294" s="114"/>
      <c r="L1294" s="114"/>
      <c r="M1294" s="114"/>
      <c r="X1294" s="56"/>
      <c r="Y1294" s="56"/>
      <c r="AA1294" s="56"/>
      <c r="AB1294" s="114"/>
    </row>
    <row r="1295">
      <c r="A1295" s="24"/>
      <c r="B1295" s="24"/>
      <c r="C1295" s="24"/>
      <c r="D1295" s="22"/>
      <c r="F1295" s="114"/>
      <c r="G1295" s="114"/>
      <c r="H1295" s="114"/>
      <c r="I1295" s="114"/>
      <c r="J1295" s="114"/>
      <c r="K1295" s="114"/>
      <c r="L1295" s="114"/>
      <c r="M1295" s="114"/>
      <c r="X1295" s="56"/>
      <c r="Y1295" s="56"/>
      <c r="AA1295" s="56"/>
      <c r="AB1295" s="114"/>
    </row>
    <row r="1296">
      <c r="A1296" s="24"/>
      <c r="B1296" s="24"/>
      <c r="C1296" s="24"/>
      <c r="D1296" s="22"/>
      <c r="F1296" s="114"/>
      <c r="G1296" s="114"/>
      <c r="H1296" s="114"/>
      <c r="I1296" s="114"/>
      <c r="J1296" s="114"/>
      <c r="K1296" s="114"/>
      <c r="L1296" s="114"/>
      <c r="M1296" s="114"/>
      <c r="X1296" s="56"/>
      <c r="Y1296" s="56"/>
      <c r="AA1296" s="56"/>
      <c r="AB1296" s="114"/>
    </row>
    <row r="1297">
      <c r="A1297" s="24"/>
      <c r="B1297" s="24"/>
      <c r="C1297" s="24"/>
      <c r="D1297" s="22"/>
      <c r="F1297" s="114"/>
      <c r="G1297" s="114"/>
      <c r="H1297" s="114"/>
      <c r="I1297" s="114"/>
      <c r="J1297" s="114"/>
      <c r="K1297" s="114"/>
      <c r="L1297" s="114"/>
      <c r="M1297" s="114"/>
      <c r="X1297" s="56"/>
      <c r="Y1297" s="56"/>
      <c r="AA1297" s="56"/>
      <c r="AB1297" s="114"/>
    </row>
    <row r="1298">
      <c r="A1298" s="24"/>
      <c r="B1298" s="24"/>
      <c r="C1298" s="24"/>
      <c r="D1298" s="22"/>
      <c r="F1298" s="114"/>
      <c r="G1298" s="114"/>
      <c r="H1298" s="114"/>
      <c r="I1298" s="114"/>
      <c r="J1298" s="114"/>
      <c r="K1298" s="114"/>
      <c r="L1298" s="114"/>
      <c r="M1298" s="114"/>
      <c r="X1298" s="56"/>
      <c r="Y1298" s="56"/>
      <c r="AA1298" s="56"/>
      <c r="AB1298" s="114"/>
    </row>
    <row r="1299">
      <c r="A1299" s="24"/>
      <c r="B1299" s="24"/>
      <c r="C1299" s="24"/>
      <c r="D1299" s="22"/>
      <c r="F1299" s="114"/>
      <c r="G1299" s="114"/>
      <c r="H1299" s="114"/>
      <c r="I1299" s="114"/>
      <c r="J1299" s="114"/>
      <c r="K1299" s="114"/>
      <c r="L1299" s="114"/>
      <c r="M1299" s="114"/>
      <c r="X1299" s="56"/>
      <c r="Y1299" s="56"/>
      <c r="AA1299" s="56"/>
      <c r="AB1299" s="114"/>
    </row>
    <row r="1300">
      <c r="A1300" s="24"/>
      <c r="B1300" s="24"/>
      <c r="C1300" s="24"/>
      <c r="D1300" s="22"/>
      <c r="F1300" s="114"/>
      <c r="G1300" s="114"/>
      <c r="H1300" s="114"/>
      <c r="I1300" s="114"/>
      <c r="J1300" s="114"/>
      <c r="K1300" s="114"/>
      <c r="L1300" s="114"/>
      <c r="M1300" s="114"/>
      <c r="X1300" s="56"/>
      <c r="Y1300" s="56"/>
      <c r="AA1300" s="56"/>
      <c r="AB1300" s="114"/>
    </row>
    <row r="1301">
      <c r="A1301" s="24"/>
      <c r="B1301" s="24"/>
      <c r="C1301" s="24"/>
      <c r="D1301" s="22"/>
      <c r="F1301" s="114"/>
      <c r="G1301" s="114"/>
      <c r="H1301" s="114"/>
      <c r="I1301" s="114"/>
      <c r="J1301" s="114"/>
      <c r="K1301" s="114"/>
      <c r="L1301" s="114"/>
      <c r="M1301" s="114"/>
      <c r="X1301" s="56"/>
      <c r="Y1301" s="56"/>
      <c r="AA1301" s="56"/>
      <c r="AB1301" s="114"/>
    </row>
    <row r="1302">
      <c r="A1302" s="24"/>
      <c r="B1302" s="24"/>
      <c r="C1302" s="24"/>
      <c r="D1302" s="22"/>
      <c r="F1302" s="114"/>
      <c r="G1302" s="114"/>
      <c r="H1302" s="114"/>
      <c r="I1302" s="114"/>
      <c r="J1302" s="114"/>
      <c r="K1302" s="114"/>
      <c r="L1302" s="114"/>
      <c r="M1302" s="114"/>
      <c r="X1302" s="56"/>
      <c r="Y1302" s="56"/>
      <c r="AA1302" s="56"/>
      <c r="AB1302" s="114"/>
    </row>
    <row r="1303">
      <c r="A1303" s="24"/>
      <c r="B1303" s="24"/>
      <c r="C1303" s="24"/>
      <c r="D1303" s="22"/>
      <c r="F1303" s="114"/>
      <c r="G1303" s="114"/>
      <c r="H1303" s="114"/>
      <c r="I1303" s="114"/>
      <c r="J1303" s="114"/>
      <c r="K1303" s="114"/>
      <c r="L1303" s="114"/>
      <c r="M1303" s="114"/>
      <c r="X1303" s="56"/>
      <c r="Y1303" s="56"/>
      <c r="AA1303" s="56"/>
      <c r="AB1303" s="114"/>
    </row>
    <row r="1304">
      <c r="A1304" s="24"/>
      <c r="B1304" s="24"/>
      <c r="C1304" s="24"/>
      <c r="D1304" s="22"/>
      <c r="F1304" s="114"/>
      <c r="G1304" s="114"/>
      <c r="H1304" s="114"/>
      <c r="I1304" s="114"/>
      <c r="J1304" s="114"/>
      <c r="K1304" s="114"/>
      <c r="L1304" s="114"/>
      <c r="M1304" s="114"/>
      <c r="X1304" s="56"/>
      <c r="Y1304" s="56"/>
      <c r="AA1304" s="56"/>
      <c r="AB1304" s="114"/>
    </row>
    <row r="1305">
      <c r="A1305" s="24"/>
      <c r="B1305" s="24"/>
      <c r="C1305" s="24"/>
      <c r="D1305" s="22"/>
      <c r="F1305" s="114"/>
      <c r="G1305" s="114"/>
      <c r="H1305" s="114"/>
      <c r="I1305" s="114"/>
      <c r="J1305" s="114"/>
      <c r="K1305" s="114"/>
      <c r="L1305" s="114"/>
      <c r="M1305" s="114"/>
      <c r="X1305" s="56"/>
      <c r="Y1305" s="56"/>
      <c r="AA1305" s="56"/>
      <c r="AB1305" s="114"/>
    </row>
    <row r="1306">
      <c r="A1306" s="24"/>
      <c r="B1306" s="24"/>
      <c r="C1306" s="24"/>
      <c r="D1306" s="22"/>
      <c r="F1306" s="114"/>
      <c r="G1306" s="114"/>
      <c r="H1306" s="114"/>
      <c r="I1306" s="114"/>
      <c r="J1306" s="114"/>
      <c r="K1306" s="114"/>
      <c r="L1306" s="114"/>
      <c r="M1306" s="114"/>
      <c r="X1306" s="56"/>
      <c r="Y1306" s="56"/>
      <c r="AA1306" s="56"/>
      <c r="AB1306" s="114"/>
    </row>
    <row r="1307">
      <c r="A1307" s="24"/>
      <c r="B1307" s="24"/>
      <c r="C1307" s="24"/>
      <c r="D1307" s="22"/>
      <c r="F1307" s="114"/>
      <c r="G1307" s="114"/>
      <c r="H1307" s="114"/>
      <c r="I1307" s="114"/>
      <c r="J1307" s="114"/>
      <c r="K1307" s="114"/>
      <c r="L1307" s="114"/>
      <c r="M1307" s="114"/>
      <c r="X1307" s="56"/>
      <c r="Y1307" s="56"/>
      <c r="AA1307" s="56"/>
      <c r="AB1307" s="114"/>
    </row>
    <row r="1308">
      <c r="A1308" s="24"/>
      <c r="B1308" s="24"/>
      <c r="C1308" s="24"/>
      <c r="D1308" s="22"/>
      <c r="F1308" s="114"/>
      <c r="G1308" s="114"/>
      <c r="H1308" s="114"/>
      <c r="I1308" s="114"/>
      <c r="J1308" s="114"/>
      <c r="K1308" s="114"/>
      <c r="L1308" s="114"/>
      <c r="M1308" s="114"/>
      <c r="X1308" s="56"/>
      <c r="Y1308" s="56"/>
      <c r="AA1308" s="56"/>
      <c r="AB1308" s="114"/>
    </row>
    <row r="1309">
      <c r="A1309" s="24"/>
      <c r="B1309" s="24"/>
      <c r="C1309" s="24"/>
      <c r="D1309" s="22"/>
      <c r="F1309" s="114"/>
      <c r="G1309" s="114"/>
      <c r="H1309" s="114"/>
      <c r="I1309" s="114"/>
      <c r="J1309" s="114"/>
      <c r="K1309" s="114"/>
      <c r="L1309" s="114"/>
      <c r="M1309" s="114"/>
      <c r="X1309" s="56"/>
      <c r="Y1309" s="56"/>
      <c r="AA1309" s="56"/>
      <c r="AB1309" s="114"/>
    </row>
    <row r="1310">
      <c r="A1310" s="24"/>
      <c r="B1310" s="24"/>
      <c r="C1310" s="24"/>
      <c r="D1310" s="22"/>
      <c r="F1310" s="114"/>
      <c r="G1310" s="114"/>
      <c r="H1310" s="114"/>
      <c r="I1310" s="114"/>
      <c r="J1310" s="114"/>
      <c r="K1310" s="114"/>
      <c r="L1310" s="114"/>
      <c r="M1310" s="114"/>
      <c r="X1310" s="56"/>
      <c r="Y1310" s="56"/>
      <c r="AA1310" s="56"/>
      <c r="AB1310" s="114"/>
    </row>
    <row r="1311">
      <c r="A1311" s="24"/>
      <c r="B1311" s="24"/>
      <c r="C1311" s="24"/>
      <c r="D1311" s="22"/>
      <c r="F1311" s="114"/>
      <c r="G1311" s="114"/>
      <c r="H1311" s="114"/>
      <c r="I1311" s="114"/>
      <c r="J1311" s="114"/>
      <c r="K1311" s="114"/>
      <c r="L1311" s="114"/>
      <c r="M1311" s="114"/>
      <c r="X1311" s="56"/>
      <c r="Y1311" s="56"/>
      <c r="AA1311" s="56"/>
      <c r="AB1311" s="114"/>
    </row>
    <row r="1312">
      <c r="A1312" s="24"/>
      <c r="B1312" s="24"/>
      <c r="C1312" s="24"/>
      <c r="D1312" s="22"/>
      <c r="F1312" s="114"/>
      <c r="G1312" s="114"/>
      <c r="H1312" s="114"/>
      <c r="I1312" s="114"/>
      <c r="J1312" s="114"/>
      <c r="K1312" s="114"/>
      <c r="L1312" s="114"/>
      <c r="M1312" s="114"/>
      <c r="X1312" s="56"/>
      <c r="Y1312" s="56"/>
      <c r="AA1312" s="56"/>
      <c r="AB1312" s="114"/>
    </row>
    <row r="1313">
      <c r="A1313" s="24"/>
      <c r="B1313" s="24"/>
      <c r="C1313" s="24"/>
      <c r="D1313" s="22"/>
      <c r="F1313" s="114"/>
      <c r="G1313" s="114"/>
      <c r="H1313" s="114"/>
      <c r="I1313" s="114"/>
      <c r="J1313" s="114"/>
      <c r="K1313" s="114"/>
      <c r="L1313" s="114"/>
      <c r="M1313" s="114"/>
      <c r="X1313" s="56"/>
      <c r="Y1313" s="56"/>
      <c r="AA1313" s="56"/>
      <c r="AB1313" s="114"/>
    </row>
    <row r="1314">
      <c r="A1314" s="24"/>
      <c r="B1314" s="24"/>
      <c r="C1314" s="24"/>
      <c r="D1314" s="22"/>
      <c r="F1314" s="114"/>
      <c r="G1314" s="114"/>
      <c r="H1314" s="114"/>
      <c r="I1314" s="114"/>
      <c r="J1314" s="114"/>
      <c r="K1314" s="114"/>
      <c r="L1314" s="114"/>
      <c r="M1314" s="114"/>
      <c r="X1314" s="56"/>
      <c r="Y1314" s="56"/>
      <c r="AA1314" s="56"/>
      <c r="AB1314" s="114"/>
    </row>
    <row r="1315">
      <c r="A1315" s="24"/>
      <c r="B1315" s="24"/>
      <c r="C1315" s="24"/>
      <c r="D1315" s="22"/>
      <c r="F1315" s="114"/>
      <c r="G1315" s="114"/>
      <c r="H1315" s="114"/>
      <c r="I1315" s="114"/>
      <c r="J1315" s="114"/>
      <c r="K1315" s="114"/>
      <c r="L1315" s="114"/>
      <c r="M1315" s="114"/>
      <c r="X1315" s="56"/>
      <c r="Y1315" s="56"/>
      <c r="AA1315" s="56"/>
      <c r="AB1315" s="114"/>
    </row>
    <row r="1316">
      <c r="A1316" s="24"/>
      <c r="B1316" s="24"/>
      <c r="C1316" s="24"/>
      <c r="D1316" s="22"/>
      <c r="F1316" s="114"/>
      <c r="G1316" s="114"/>
      <c r="H1316" s="114"/>
      <c r="I1316" s="114"/>
      <c r="J1316" s="114"/>
      <c r="K1316" s="114"/>
      <c r="L1316" s="114"/>
      <c r="M1316" s="114"/>
      <c r="X1316" s="56"/>
      <c r="Y1316" s="56"/>
      <c r="AA1316" s="56"/>
      <c r="AB1316" s="114"/>
    </row>
    <row r="1317">
      <c r="A1317" s="24"/>
      <c r="B1317" s="24"/>
      <c r="C1317" s="24"/>
      <c r="D1317" s="22"/>
      <c r="F1317" s="114"/>
      <c r="G1317" s="114"/>
      <c r="H1317" s="114"/>
      <c r="I1317" s="114"/>
      <c r="J1317" s="114"/>
      <c r="K1317" s="114"/>
      <c r="L1317" s="114"/>
      <c r="M1317" s="114"/>
      <c r="X1317" s="56"/>
      <c r="Y1317" s="56"/>
      <c r="AA1317" s="56"/>
      <c r="AB1317" s="114"/>
    </row>
    <row r="1318">
      <c r="A1318" s="24"/>
      <c r="B1318" s="24"/>
      <c r="C1318" s="24"/>
      <c r="D1318" s="22"/>
      <c r="F1318" s="114"/>
      <c r="G1318" s="114"/>
      <c r="H1318" s="114"/>
      <c r="I1318" s="114"/>
      <c r="J1318" s="114"/>
      <c r="K1318" s="114"/>
      <c r="L1318" s="114"/>
      <c r="M1318" s="114"/>
      <c r="X1318" s="56"/>
      <c r="Y1318" s="56"/>
      <c r="AA1318" s="56"/>
      <c r="AB1318" s="114"/>
    </row>
    <row r="1319">
      <c r="A1319" s="24"/>
      <c r="B1319" s="24"/>
      <c r="C1319" s="24"/>
      <c r="D1319" s="22"/>
      <c r="F1319" s="114"/>
      <c r="G1319" s="114"/>
      <c r="H1319" s="114"/>
      <c r="I1319" s="114"/>
      <c r="J1319" s="114"/>
      <c r="K1319" s="114"/>
      <c r="L1319" s="114"/>
      <c r="M1319" s="114"/>
      <c r="X1319" s="56"/>
      <c r="Y1319" s="56"/>
      <c r="AA1319" s="56"/>
      <c r="AB1319" s="114"/>
    </row>
    <row r="1320">
      <c r="A1320" s="24"/>
      <c r="B1320" s="24"/>
      <c r="C1320" s="24"/>
      <c r="D1320" s="22"/>
      <c r="F1320" s="114"/>
      <c r="G1320" s="114"/>
      <c r="H1320" s="114"/>
      <c r="I1320" s="114"/>
      <c r="J1320" s="114"/>
      <c r="K1320" s="114"/>
      <c r="L1320" s="114"/>
      <c r="M1320" s="114"/>
      <c r="X1320" s="56"/>
      <c r="Y1320" s="56"/>
      <c r="AA1320" s="56"/>
      <c r="AB1320" s="114"/>
    </row>
    <row r="1321">
      <c r="A1321" s="24"/>
      <c r="B1321" s="24"/>
      <c r="C1321" s="24"/>
      <c r="D1321" s="22"/>
      <c r="F1321" s="114"/>
      <c r="G1321" s="114"/>
      <c r="H1321" s="114"/>
      <c r="I1321" s="114"/>
      <c r="J1321" s="114"/>
      <c r="K1321" s="114"/>
      <c r="L1321" s="114"/>
      <c r="M1321" s="114"/>
      <c r="X1321" s="56"/>
      <c r="Y1321" s="56"/>
      <c r="AA1321" s="56"/>
      <c r="AB1321" s="114"/>
    </row>
    <row r="1322">
      <c r="A1322" s="24"/>
      <c r="B1322" s="24"/>
      <c r="C1322" s="24"/>
      <c r="D1322" s="22"/>
      <c r="F1322" s="114"/>
      <c r="G1322" s="114"/>
      <c r="H1322" s="114"/>
      <c r="I1322" s="114"/>
      <c r="J1322" s="114"/>
      <c r="K1322" s="114"/>
      <c r="L1322" s="114"/>
      <c r="M1322" s="114"/>
      <c r="X1322" s="56"/>
      <c r="Y1322" s="56"/>
      <c r="AA1322" s="56"/>
      <c r="AB1322" s="114"/>
    </row>
    <row r="1323">
      <c r="A1323" s="24"/>
      <c r="B1323" s="24"/>
      <c r="C1323" s="24"/>
      <c r="D1323" s="22"/>
      <c r="F1323" s="114"/>
      <c r="G1323" s="114"/>
      <c r="H1323" s="114"/>
      <c r="I1323" s="114"/>
      <c r="J1323" s="114"/>
      <c r="K1323" s="114"/>
      <c r="L1323" s="114"/>
      <c r="M1323" s="114"/>
      <c r="X1323" s="56"/>
      <c r="Y1323" s="56"/>
      <c r="AA1323" s="56"/>
      <c r="AB1323" s="114"/>
    </row>
    <row r="1324">
      <c r="A1324" s="24"/>
      <c r="B1324" s="24"/>
      <c r="C1324" s="24"/>
      <c r="D1324" s="22"/>
      <c r="F1324" s="114"/>
      <c r="G1324" s="114"/>
      <c r="H1324" s="114"/>
      <c r="I1324" s="114"/>
      <c r="J1324" s="114"/>
      <c r="K1324" s="114"/>
      <c r="L1324" s="114"/>
      <c r="M1324" s="114"/>
      <c r="X1324" s="56"/>
      <c r="Y1324" s="56"/>
      <c r="AA1324" s="56"/>
      <c r="AB1324" s="114"/>
    </row>
    <row r="1325">
      <c r="A1325" s="24"/>
      <c r="B1325" s="24"/>
      <c r="C1325" s="24"/>
      <c r="D1325" s="22"/>
      <c r="F1325" s="114"/>
      <c r="G1325" s="114"/>
      <c r="H1325" s="114"/>
      <c r="I1325" s="114"/>
      <c r="J1325" s="114"/>
      <c r="K1325" s="114"/>
      <c r="L1325" s="114"/>
      <c r="M1325" s="114"/>
      <c r="X1325" s="56"/>
      <c r="Y1325" s="56"/>
      <c r="AA1325" s="56"/>
      <c r="AB1325" s="114"/>
    </row>
    <row r="1326">
      <c r="A1326" s="24"/>
      <c r="B1326" s="24"/>
      <c r="C1326" s="24"/>
      <c r="D1326" s="22"/>
      <c r="F1326" s="114"/>
      <c r="G1326" s="114"/>
      <c r="H1326" s="114"/>
      <c r="I1326" s="114"/>
      <c r="J1326" s="114"/>
      <c r="K1326" s="114"/>
      <c r="L1326" s="114"/>
      <c r="M1326" s="114"/>
      <c r="X1326" s="56"/>
      <c r="Y1326" s="56"/>
      <c r="AA1326" s="56"/>
      <c r="AB1326" s="114"/>
    </row>
    <row r="1327">
      <c r="A1327" s="24"/>
      <c r="B1327" s="24"/>
      <c r="C1327" s="24"/>
      <c r="D1327" s="22"/>
      <c r="F1327" s="114"/>
      <c r="G1327" s="114"/>
      <c r="H1327" s="114"/>
      <c r="I1327" s="114"/>
      <c r="J1327" s="114"/>
      <c r="K1327" s="114"/>
      <c r="L1327" s="114"/>
      <c r="M1327" s="114"/>
      <c r="X1327" s="56"/>
      <c r="Y1327" s="56"/>
      <c r="AA1327" s="56"/>
      <c r="AB1327" s="114"/>
    </row>
    <row r="1328">
      <c r="A1328" s="24"/>
      <c r="B1328" s="24"/>
      <c r="C1328" s="24"/>
      <c r="D1328" s="22"/>
      <c r="F1328" s="114"/>
      <c r="G1328" s="114"/>
      <c r="H1328" s="114"/>
      <c r="I1328" s="114"/>
      <c r="J1328" s="114"/>
      <c r="K1328" s="114"/>
      <c r="L1328" s="114"/>
      <c r="M1328" s="114"/>
      <c r="X1328" s="56"/>
      <c r="Y1328" s="56"/>
      <c r="AA1328" s="56"/>
      <c r="AB1328" s="114"/>
    </row>
    <row r="1329">
      <c r="A1329" s="24"/>
      <c r="B1329" s="24"/>
      <c r="C1329" s="24"/>
      <c r="D1329" s="22"/>
      <c r="F1329" s="114"/>
      <c r="G1329" s="114"/>
      <c r="H1329" s="114"/>
      <c r="I1329" s="114"/>
      <c r="J1329" s="114"/>
      <c r="K1329" s="114"/>
      <c r="L1329" s="114"/>
      <c r="M1329" s="114"/>
      <c r="X1329" s="56"/>
      <c r="Y1329" s="56"/>
      <c r="AA1329" s="56"/>
      <c r="AB1329" s="114"/>
    </row>
    <row r="1330">
      <c r="A1330" s="24"/>
      <c r="B1330" s="24"/>
      <c r="C1330" s="24"/>
      <c r="D1330" s="22"/>
      <c r="F1330" s="114"/>
      <c r="G1330" s="114"/>
      <c r="H1330" s="114"/>
      <c r="I1330" s="114"/>
      <c r="J1330" s="114"/>
      <c r="K1330" s="114"/>
      <c r="L1330" s="114"/>
      <c r="M1330" s="114"/>
      <c r="X1330" s="56"/>
      <c r="Y1330" s="56"/>
      <c r="AA1330" s="56"/>
      <c r="AB1330" s="114"/>
    </row>
    <row r="1331">
      <c r="A1331" s="24"/>
      <c r="B1331" s="24"/>
      <c r="C1331" s="24"/>
      <c r="D1331" s="22"/>
      <c r="F1331" s="114"/>
      <c r="G1331" s="114"/>
      <c r="H1331" s="114"/>
      <c r="I1331" s="114"/>
      <c r="J1331" s="114"/>
      <c r="K1331" s="114"/>
      <c r="L1331" s="114"/>
      <c r="M1331" s="114"/>
      <c r="X1331" s="56"/>
      <c r="Y1331" s="56"/>
      <c r="AA1331" s="56"/>
      <c r="AB1331" s="114"/>
    </row>
    <row r="1332">
      <c r="A1332" s="24"/>
      <c r="B1332" s="24"/>
      <c r="C1332" s="24"/>
      <c r="D1332" s="22"/>
      <c r="F1332" s="114"/>
      <c r="G1332" s="114"/>
      <c r="H1332" s="114"/>
      <c r="I1332" s="114"/>
      <c r="J1332" s="114"/>
      <c r="K1332" s="114"/>
      <c r="L1332" s="114"/>
      <c r="M1332" s="114"/>
      <c r="X1332" s="56"/>
      <c r="Y1332" s="56"/>
      <c r="AA1332" s="56"/>
      <c r="AB1332" s="114"/>
    </row>
    <row r="1333">
      <c r="A1333" s="24"/>
      <c r="B1333" s="24"/>
      <c r="C1333" s="24"/>
      <c r="D1333" s="22"/>
      <c r="F1333" s="114"/>
      <c r="G1333" s="114"/>
      <c r="H1333" s="114"/>
      <c r="I1333" s="114"/>
      <c r="J1333" s="114"/>
      <c r="K1333" s="114"/>
      <c r="L1333" s="114"/>
      <c r="M1333" s="114"/>
      <c r="X1333" s="56"/>
      <c r="Y1333" s="56"/>
      <c r="AA1333" s="56"/>
      <c r="AB1333" s="114"/>
    </row>
    <row r="1334">
      <c r="A1334" s="24"/>
      <c r="B1334" s="24"/>
      <c r="C1334" s="24"/>
      <c r="D1334" s="22"/>
      <c r="F1334" s="114"/>
      <c r="G1334" s="114"/>
      <c r="H1334" s="114"/>
      <c r="I1334" s="114"/>
      <c r="J1334" s="114"/>
      <c r="K1334" s="114"/>
      <c r="L1334" s="114"/>
      <c r="M1334" s="114"/>
      <c r="X1334" s="56"/>
      <c r="Y1334" s="56"/>
      <c r="AA1334" s="56"/>
      <c r="AB1334" s="114"/>
    </row>
    <row r="1335">
      <c r="A1335" s="24"/>
      <c r="B1335" s="24"/>
      <c r="C1335" s="24"/>
      <c r="D1335" s="22"/>
      <c r="F1335" s="114"/>
      <c r="G1335" s="114"/>
      <c r="H1335" s="114"/>
      <c r="I1335" s="114"/>
      <c r="J1335" s="114"/>
      <c r="K1335" s="114"/>
      <c r="L1335" s="114"/>
      <c r="M1335" s="114"/>
      <c r="X1335" s="56"/>
      <c r="Y1335" s="56"/>
      <c r="AA1335" s="56"/>
      <c r="AB1335" s="114"/>
    </row>
    <row r="1336">
      <c r="A1336" s="24"/>
      <c r="B1336" s="24"/>
      <c r="C1336" s="24"/>
      <c r="D1336" s="22"/>
      <c r="F1336" s="114"/>
      <c r="G1336" s="114"/>
      <c r="H1336" s="114"/>
      <c r="I1336" s="114"/>
      <c r="J1336" s="114"/>
      <c r="K1336" s="114"/>
      <c r="L1336" s="114"/>
      <c r="M1336" s="114"/>
      <c r="X1336" s="56"/>
      <c r="Y1336" s="56"/>
      <c r="AA1336" s="56"/>
      <c r="AB1336" s="114"/>
    </row>
    <row r="1337">
      <c r="A1337" s="24"/>
      <c r="B1337" s="24"/>
      <c r="C1337" s="24"/>
      <c r="D1337" s="22"/>
      <c r="F1337" s="114"/>
      <c r="G1337" s="114"/>
      <c r="H1337" s="114"/>
      <c r="I1337" s="114"/>
      <c r="J1337" s="114"/>
      <c r="K1337" s="114"/>
      <c r="L1337" s="114"/>
      <c r="M1337" s="114"/>
      <c r="X1337" s="56"/>
      <c r="Y1337" s="56"/>
      <c r="AA1337" s="56"/>
      <c r="AB1337" s="114"/>
    </row>
    <row r="1338">
      <c r="A1338" s="24"/>
      <c r="B1338" s="24"/>
      <c r="C1338" s="24"/>
      <c r="D1338" s="22"/>
      <c r="F1338" s="114"/>
      <c r="G1338" s="114"/>
      <c r="H1338" s="114"/>
      <c r="I1338" s="114"/>
      <c r="J1338" s="114"/>
      <c r="K1338" s="114"/>
      <c r="L1338" s="114"/>
      <c r="M1338" s="114"/>
      <c r="X1338" s="56"/>
      <c r="Y1338" s="56"/>
      <c r="AA1338" s="56"/>
      <c r="AB1338" s="114"/>
    </row>
    <row r="1339">
      <c r="A1339" s="24"/>
      <c r="B1339" s="24"/>
      <c r="C1339" s="24"/>
      <c r="D1339" s="22"/>
      <c r="F1339" s="114"/>
      <c r="G1339" s="114"/>
      <c r="H1339" s="114"/>
      <c r="I1339" s="114"/>
      <c r="J1339" s="114"/>
      <c r="K1339" s="114"/>
      <c r="L1339" s="114"/>
      <c r="M1339" s="114"/>
      <c r="X1339" s="56"/>
      <c r="Y1339" s="56"/>
      <c r="AA1339" s="56"/>
      <c r="AB1339" s="114"/>
    </row>
    <row r="1340">
      <c r="A1340" s="24"/>
      <c r="B1340" s="24"/>
      <c r="C1340" s="24"/>
      <c r="D1340" s="22"/>
      <c r="F1340" s="114"/>
      <c r="G1340" s="114"/>
      <c r="H1340" s="114"/>
      <c r="I1340" s="114"/>
      <c r="J1340" s="114"/>
      <c r="K1340" s="114"/>
      <c r="L1340" s="114"/>
      <c r="M1340" s="114"/>
      <c r="X1340" s="56"/>
      <c r="Y1340" s="56"/>
      <c r="AA1340" s="56"/>
      <c r="AB1340" s="114"/>
    </row>
    <row r="1341">
      <c r="A1341" s="24"/>
      <c r="B1341" s="24"/>
      <c r="C1341" s="24"/>
      <c r="D1341" s="22"/>
      <c r="F1341" s="114"/>
      <c r="G1341" s="114"/>
      <c r="H1341" s="114"/>
      <c r="I1341" s="114"/>
      <c r="J1341" s="114"/>
      <c r="K1341" s="114"/>
      <c r="L1341" s="114"/>
      <c r="M1341" s="114"/>
      <c r="X1341" s="56"/>
      <c r="Y1341" s="56"/>
      <c r="AA1341" s="56"/>
      <c r="AB1341" s="114"/>
    </row>
    <row r="1342">
      <c r="A1342" s="24"/>
      <c r="B1342" s="24"/>
      <c r="C1342" s="24"/>
      <c r="D1342" s="22"/>
      <c r="F1342" s="114"/>
      <c r="G1342" s="114"/>
      <c r="H1342" s="114"/>
      <c r="I1342" s="114"/>
      <c r="J1342" s="114"/>
      <c r="K1342" s="114"/>
      <c r="L1342" s="114"/>
      <c r="M1342" s="114"/>
      <c r="X1342" s="56"/>
      <c r="Y1342" s="56"/>
      <c r="AA1342" s="56"/>
      <c r="AB1342" s="114"/>
    </row>
    <row r="1343">
      <c r="A1343" s="24"/>
      <c r="B1343" s="24"/>
      <c r="C1343" s="24"/>
      <c r="D1343" s="22"/>
      <c r="F1343" s="114"/>
      <c r="G1343" s="114"/>
      <c r="H1343" s="114"/>
      <c r="I1343" s="114"/>
      <c r="J1343" s="114"/>
      <c r="K1343" s="114"/>
      <c r="L1343" s="114"/>
      <c r="M1343" s="114"/>
      <c r="X1343" s="56"/>
      <c r="Y1343" s="56"/>
      <c r="AA1343" s="56"/>
      <c r="AB1343" s="114"/>
    </row>
    <row r="1344">
      <c r="A1344" s="24"/>
      <c r="B1344" s="24"/>
      <c r="C1344" s="24"/>
      <c r="D1344" s="22"/>
      <c r="F1344" s="114"/>
      <c r="G1344" s="114"/>
      <c r="H1344" s="114"/>
      <c r="I1344" s="114"/>
      <c r="J1344" s="114"/>
      <c r="K1344" s="114"/>
      <c r="L1344" s="114"/>
      <c r="M1344" s="114"/>
      <c r="X1344" s="56"/>
      <c r="Y1344" s="56"/>
      <c r="AA1344" s="56"/>
      <c r="AB1344" s="114"/>
    </row>
    <row r="1345">
      <c r="A1345" s="24"/>
      <c r="B1345" s="24"/>
      <c r="C1345" s="24"/>
      <c r="D1345" s="22"/>
      <c r="F1345" s="114"/>
      <c r="G1345" s="114"/>
      <c r="H1345" s="114"/>
      <c r="I1345" s="114"/>
      <c r="J1345" s="114"/>
      <c r="K1345" s="114"/>
      <c r="L1345" s="114"/>
      <c r="M1345" s="114"/>
      <c r="X1345" s="56"/>
      <c r="Y1345" s="56"/>
      <c r="AA1345" s="56"/>
      <c r="AB1345" s="114"/>
    </row>
    <row r="1346">
      <c r="A1346" s="24"/>
      <c r="B1346" s="24"/>
      <c r="C1346" s="24"/>
      <c r="D1346" s="22"/>
      <c r="F1346" s="114"/>
      <c r="G1346" s="114"/>
      <c r="H1346" s="114"/>
      <c r="I1346" s="114"/>
      <c r="J1346" s="114"/>
      <c r="K1346" s="114"/>
      <c r="L1346" s="114"/>
      <c r="M1346" s="114"/>
      <c r="X1346" s="56"/>
      <c r="Y1346" s="56"/>
      <c r="AA1346" s="56"/>
      <c r="AB1346" s="114"/>
    </row>
    <row r="1347">
      <c r="A1347" s="24"/>
      <c r="B1347" s="24"/>
      <c r="C1347" s="24"/>
      <c r="D1347" s="22"/>
      <c r="F1347" s="114"/>
      <c r="G1347" s="114"/>
      <c r="H1347" s="114"/>
      <c r="I1347" s="114"/>
      <c r="J1347" s="114"/>
      <c r="K1347" s="114"/>
      <c r="L1347" s="114"/>
      <c r="M1347" s="114"/>
      <c r="X1347" s="56"/>
      <c r="Y1347" s="56"/>
      <c r="AA1347" s="56"/>
      <c r="AB1347" s="114"/>
    </row>
    <row r="1348">
      <c r="A1348" s="24"/>
      <c r="B1348" s="24"/>
      <c r="C1348" s="24"/>
      <c r="D1348" s="22"/>
      <c r="F1348" s="114"/>
      <c r="G1348" s="114"/>
      <c r="H1348" s="114"/>
      <c r="I1348" s="114"/>
      <c r="J1348" s="114"/>
      <c r="K1348" s="114"/>
      <c r="L1348" s="114"/>
      <c r="M1348" s="114"/>
      <c r="X1348" s="56"/>
      <c r="Y1348" s="56"/>
      <c r="AA1348" s="56"/>
      <c r="AB1348" s="114"/>
    </row>
    <row r="1349">
      <c r="A1349" s="24"/>
      <c r="B1349" s="24"/>
      <c r="C1349" s="24"/>
      <c r="D1349" s="22"/>
      <c r="F1349" s="114"/>
      <c r="G1349" s="114"/>
      <c r="H1349" s="114"/>
      <c r="I1349" s="114"/>
      <c r="J1349" s="114"/>
      <c r="K1349" s="114"/>
      <c r="L1349" s="114"/>
      <c r="M1349" s="114"/>
      <c r="X1349" s="56"/>
      <c r="Y1349" s="56"/>
      <c r="AA1349" s="56"/>
      <c r="AB1349" s="114"/>
    </row>
    <row r="1350">
      <c r="A1350" s="24"/>
      <c r="B1350" s="24"/>
      <c r="C1350" s="24"/>
      <c r="D1350" s="22"/>
      <c r="F1350" s="114"/>
      <c r="G1350" s="114"/>
      <c r="H1350" s="114"/>
      <c r="I1350" s="114"/>
      <c r="J1350" s="114"/>
      <c r="K1350" s="114"/>
      <c r="L1350" s="114"/>
      <c r="M1350" s="114"/>
      <c r="X1350" s="56"/>
      <c r="Y1350" s="56"/>
      <c r="AA1350" s="56"/>
      <c r="AB1350" s="114"/>
    </row>
    <row r="1351">
      <c r="A1351" s="24"/>
      <c r="B1351" s="24"/>
      <c r="C1351" s="24"/>
      <c r="D1351" s="22"/>
      <c r="F1351" s="114"/>
      <c r="G1351" s="114"/>
      <c r="H1351" s="114"/>
      <c r="I1351" s="114"/>
      <c r="J1351" s="114"/>
      <c r="K1351" s="114"/>
      <c r="L1351" s="114"/>
      <c r="M1351" s="114"/>
      <c r="X1351" s="56"/>
      <c r="Y1351" s="56"/>
      <c r="AA1351" s="56"/>
      <c r="AB1351" s="114"/>
    </row>
    <row r="1352">
      <c r="A1352" s="24"/>
      <c r="B1352" s="24"/>
      <c r="C1352" s="24"/>
      <c r="D1352" s="22"/>
      <c r="F1352" s="114"/>
      <c r="G1352" s="114"/>
      <c r="H1352" s="114"/>
      <c r="I1352" s="114"/>
      <c r="J1352" s="114"/>
      <c r="K1352" s="114"/>
      <c r="L1352" s="114"/>
      <c r="M1352" s="114"/>
      <c r="X1352" s="56"/>
      <c r="Y1352" s="56"/>
      <c r="AA1352" s="56"/>
      <c r="AB1352" s="114"/>
    </row>
    <row r="1353">
      <c r="A1353" s="24"/>
      <c r="B1353" s="24"/>
      <c r="C1353" s="24"/>
      <c r="D1353" s="22"/>
      <c r="F1353" s="114"/>
      <c r="G1353" s="114"/>
      <c r="H1353" s="114"/>
      <c r="I1353" s="114"/>
      <c r="J1353" s="114"/>
      <c r="K1353" s="114"/>
      <c r="L1353" s="114"/>
      <c r="M1353" s="114"/>
      <c r="X1353" s="56"/>
      <c r="Y1353" s="56"/>
      <c r="AA1353" s="56"/>
      <c r="AB1353" s="114"/>
    </row>
    <row r="1354">
      <c r="A1354" s="24"/>
      <c r="B1354" s="24"/>
      <c r="C1354" s="24"/>
      <c r="D1354" s="22"/>
      <c r="F1354" s="114"/>
      <c r="G1354" s="114"/>
      <c r="H1354" s="114"/>
      <c r="I1354" s="114"/>
      <c r="J1354" s="114"/>
      <c r="K1354" s="114"/>
      <c r="L1354" s="114"/>
      <c r="M1354" s="114"/>
      <c r="X1354" s="56"/>
      <c r="Y1354" s="56"/>
      <c r="AA1354" s="56"/>
      <c r="AB1354" s="114"/>
    </row>
    <row r="1355">
      <c r="A1355" s="24"/>
      <c r="B1355" s="24"/>
      <c r="C1355" s="24"/>
      <c r="D1355" s="22"/>
      <c r="F1355" s="114"/>
      <c r="G1355" s="114"/>
      <c r="H1355" s="114"/>
      <c r="I1355" s="114"/>
      <c r="J1355" s="114"/>
      <c r="K1355" s="114"/>
      <c r="L1355" s="114"/>
      <c r="M1355" s="114"/>
      <c r="X1355" s="56"/>
      <c r="Y1355" s="56"/>
      <c r="AA1355" s="56"/>
      <c r="AB1355" s="114"/>
    </row>
    <row r="1356">
      <c r="A1356" s="24"/>
      <c r="B1356" s="24"/>
      <c r="C1356" s="24"/>
      <c r="D1356" s="22"/>
      <c r="F1356" s="114"/>
      <c r="G1356" s="114"/>
      <c r="H1356" s="114"/>
      <c r="I1356" s="114"/>
      <c r="J1356" s="114"/>
      <c r="K1356" s="114"/>
      <c r="L1356" s="114"/>
      <c r="M1356" s="114"/>
      <c r="X1356" s="56"/>
      <c r="Y1356" s="56"/>
      <c r="AA1356" s="56"/>
      <c r="AB1356" s="114"/>
    </row>
    <row r="1357">
      <c r="A1357" s="24"/>
      <c r="B1357" s="24"/>
      <c r="C1357" s="24"/>
      <c r="D1357" s="22"/>
      <c r="F1357" s="114"/>
      <c r="G1357" s="114"/>
      <c r="H1357" s="114"/>
      <c r="I1357" s="114"/>
      <c r="J1357" s="114"/>
      <c r="K1357" s="114"/>
      <c r="L1357" s="114"/>
      <c r="M1357" s="114"/>
      <c r="X1357" s="56"/>
      <c r="Y1357" s="56"/>
      <c r="AA1357" s="56"/>
      <c r="AB1357" s="114"/>
    </row>
    <row r="1358">
      <c r="A1358" s="24"/>
      <c r="B1358" s="24"/>
      <c r="C1358" s="24"/>
      <c r="D1358" s="22"/>
      <c r="F1358" s="114"/>
      <c r="G1358" s="114"/>
      <c r="H1358" s="114"/>
      <c r="I1358" s="114"/>
      <c r="J1358" s="114"/>
      <c r="K1358" s="114"/>
      <c r="L1358" s="114"/>
      <c r="M1358" s="114"/>
      <c r="X1358" s="56"/>
      <c r="Y1358" s="56"/>
      <c r="AA1358" s="56"/>
      <c r="AB1358" s="114"/>
    </row>
    <row r="1359">
      <c r="A1359" s="24"/>
      <c r="B1359" s="24"/>
      <c r="C1359" s="24"/>
      <c r="D1359" s="22"/>
      <c r="F1359" s="114"/>
      <c r="G1359" s="114"/>
      <c r="H1359" s="114"/>
      <c r="I1359" s="114"/>
      <c r="J1359" s="114"/>
      <c r="K1359" s="114"/>
      <c r="L1359" s="114"/>
      <c r="M1359" s="114"/>
      <c r="X1359" s="56"/>
      <c r="Y1359" s="56"/>
      <c r="AA1359" s="56"/>
      <c r="AB1359" s="114"/>
    </row>
    <row r="1360">
      <c r="A1360" s="24"/>
      <c r="B1360" s="24"/>
      <c r="C1360" s="24"/>
      <c r="D1360" s="22"/>
      <c r="F1360" s="114"/>
      <c r="G1360" s="114"/>
      <c r="H1360" s="114"/>
      <c r="I1360" s="114"/>
      <c r="J1360" s="114"/>
      <c r="K1360" s="114"/>
      <c r="L1360" s="114"/>
      <c r="M1360" s="114"/>
      <c r="X1360" s="56"/>
      <c r="Y1360" s="56"/>
      <c r="AA1360" s="56"/>
      <c r="AB1360" s="114"/>
    </row>
    <row r="1361">
      <c r="A1361" s="24"/>
      <c r="B1361" s="24"/>
      <c r="C1361" s="24"/>
      <c r="D1361" s="22"/>
      <c r="F1361" s="114"/>
      <c r="G1361" s="114"/>
      <c r="H1361" s="114"/>
      <c r="I1361" s="114"/>
      <c r="J1361" s="114"/>
      <c r="K1361" s="114"/>
      <c r="L1361" s="114"/>
      <c r="M1361" s="114"/>
      <c r="X1361" s="56"/>
      <c r="Y1361" s="56"/>
      <c r="AA1361" s="56"/>
      <c r="AB1361" s="114"/>
    </row>
    <row r="1362">
      <c r="A1362" s="24"/>
      <c r="B1362" s="24"/>
      <c r="C1362" s="24"/>
      <c r="D1362" s="22"/>
      <c r="F1362" s="114"/>
      <c r="G1362" s="114"/>
      <c r="H1362" s="114"/>
      <c r="I1362" s="114"/>
      <c r="J1362" s="114"/>
      <c r="K1362" s="114"/>
      <c r="L1362" s="114"/>
      <c r="M1362" s="114"/>
      <c r="X1362" s="56"/>
      <c r="Y1362" s="56"/>
      <c r="AA1362" s="56"/>
      <c r="AB1362" s="114"/>
    </row>
    <row r="1363">
      <c r="A1363" s="24"/>
      <c r="B1363" s="24"/>
      <c r="C1363" s="24"/>
      <c r="D1363" s="22"/>
      <c r="F1363" s="114"/>
      <c r="G1363" s="114"/>
      <c r="H1363" s="114"/>
      <c r="I1363" s="114"/>
      <c r="J1363" s="114"/>
      <c r="K1363" s="114"/>
      <c r="L1363" s="114"/>
      <c r="M1363" s="114"/>
      <c r="X1363" s="56"/>
      <c r="Y1363" s="56"/>
      <c r="AA1363" s="56"/>
      <c r="AB1363" s="114"/>
    </row>
    <row r="1364">
      <c r="A1364" s="24"/>
      <c r="B1364" s="24"/>
      <c r="C1364" s="24"/>
      <c r="D1364" s="22"/>
      <c r="F1364" s="114"/>
      <c r="G1364" s="114"/>
      <c r="H1364" s="114"/>
      <c r="I1364" s="114"/>
      <c r="J1364" s="114"/>
      <c r="K1364" s="114"/>
      <c r="L1364" s="114"/>
      <c r="M1364" s="114"/>
      <c r="X1364" s="56"/>
      <c r="Y1364" s="56"/>
      <c r="AA1364" s="56"/>
      <c r="AB1364" s="114"/>
    </row>
    <row r="1365">
      <c r="A1365" s="24"/>
      <c r="B1365" s="24"/>
      <c r="C1365" s="24"/>
      <c r="D1365" s="22"/>
      <c r="F1365" s="114"/>
      <c r="G1365" s="114"/>
      <c r="H1365" s="114"/>
      <c r="I1365" s="114"/>
      <c r="J1365" s="114"/>
      <c r="K1365" s="114"/>
      <c r="L1365" s="114"/>
      <c r="M1365" s="114"/>
      <c r="X1365" s="56"/>
      <c r="Y1365" s="56"/>
      <c r="AA1365" s="56"/>
      <c r="AB1365" s="114"/>
    </row>
    <row r="1366">
      <c r="A1366" s="24"/>
      <c r="B1366" s="24"/>
      <c r="C1366" s="24"/>
      <c r="D1366" s="22"/>
      <c r="F1366" s="114"/>
      <c r="G1366" s="114"/>
      <c r="H1366" s="114"/>
      <c r="I1366" s="114"/>
      <c r="J1366" s="114"/>
      <c r="K1366" s="114"/>
      <c r="L1366" s="114"/>
      <c r="M1366" s="114"/>
      <c r="X1366" s="56"/>
      <c r="Y1366" s="56"/>
      <c r="AA1366" s="56"/>
      <c r="AB1366" s="114"/>
    </row>
    <row r="1367">
      <c r="A1367" s="24"/>
      <c r="B1367" s="24"/>
      <c r="C1367" s="24"/>
      <c r="D1367" s="22"/>
      <c r="F1367" s="114"/>
      <c r="G1367" s="114"/>
      <c r="H1367" s="114"/>
      <c r="I1367" s="114"/>
      <c r="J1367" s="114"/>
      <c r="K1367" s="114"/>
      <c r="L1367" s="114"/>
      <c r="M1367" s="114"/>
      <c r="X1367" s="56"/>
      <c r="Y1367" s="56"/>
      <c r="AA1367" s="56"/>
      <c r="AB1367" s="114"/>
    </row>
    <row r="1368">
      <c r="A1368" s="24"/>
      <c r="B1368" s="24"/>
      <c r="C1368" s="24"/>
      <c r="D1368" s="22"/>
      <c r="F1368" s="114"/>
      <c r="G1368" s="114"/>
      <c r="H1368" s="114"/>
      <c r="I1368" s="114"/>
      <c r="J1368" s="114"/>
      <c r="K1368" s="114"/>
      <c r="L1368" s="114"/>
      <c r="M1368" s="114"/>
      <c r="X1368" s="56"/>
      <c r="Y1368" s="56"/>
      <c r="AA1368" s="56"/>
      <c r="AB1368" s="114"/>
    </row>
    <row r="1369">
      <c r="A1369" s="24"/>
      <c r="B1369" s="24"/>
      <c r="C1369" s="24"/>
      <c r="D1369" s="22"/>
      <c r="F1369" s="114"/>
      <c r="G1369" s="114"/>
      <c r="H1369" s="114"/>
      <c r="I1369" s="114"/>
      <c r="J1369" s="114"/>
      <c r="K1369" s="114"/>
      <c r="L1369" s="114"/>
      <c r="M1369" s="114"/>
      <c r="X1369" s="56"/>
      <c r="Y1369" s="56"/>
      <c r="AA1369" s="56"/>
      <c r="AB1369" s="114"/>
    </row>
    <row r="1370">
      <c r="A1370" s="24"/>
      <c r="B1370" s="24"/>
      <c r="C1370" s="24"/>
      <c r="D1370" s="22"/>
      <c r="F1370" s="114"/>
      <c r="G1370" s="114"/>
      <c r="H1370" s="114"/>
      <c r="I1370" s="114"/>
      <c r="J1370" s="114"/>
      <c r="K1370" s="114"/>
      <c r="L1370" s="114"/>
      <c r="M1370" s="114"/>
      <c r="X1370" s="56"/>
      <c r="Y1370" s="56"/>
      <c r="AA1370" s="56"/>
      <c r="AB1370" s="114"/>
    </row>
    <row r="1371">
      <c r="A1371" s="24"/>
      <c r="B1371" s="24"/>
      <c r="C1371" s="24"/>
      <c r="D1371" s="22"/>
      <c r="F1371" s="114"/>
      <c r="G1371" s="114"/>
      <c r="H1371" s="114"/>
      <c r="I1371" s="114"/>
      <c r="J1371" s="114"/>
      <c r="K1371" s="114"/>
      <c r="L1371" s="114"/>
      <c r="M1371" s="114"/>
      <c r="X1371" s="56"/>
      <c r="Y1371" s="56"/>
      <c r="AA1371" s="56"/>
      <c r="AB1371" s="114"/>
    </row>
    <row r="1372">
      <c r="A1372" s="24"/>
      <c r="B1372" s="24"/>
      <c r="C1372" s="24"/>
      <c r="D1372" s="22"/>
      <c r="F1372" s="114"/>
      <c r="G1372" s="114"/>
      <c r="H1372" s="114"/>
      <c r="I1372" s="114"/>
      <c r="J1372" s="114"/>
      <c r="K1372" s="114"/>
      <c r="L1372" s="114"/>
      <c r="M1372" s="114"/>
      <c r="X1372" s="56"/>
      <c r="Y1372" s="56"/>
      <c r="AA1372" s="56"/>
      <c r="AB1372" s="114"/>
    </row>
    <row r="1373">
      <c r="A1373" s="24"/>
      <c r="B1373" s="24"/>
      <c r="C1373" s="24"/>
      <c r="D1373" s="22"/>
      <c r="F1373" s="114"/>
      <c r="G1373" s="114"/>
      <c r="H1373" s="114"/>
      <c r="I1373" s="114"/>
      <c r="J1373" s="114"/>
      <c r="K1373" s="114"/>
      <c r="L1373" s="114"/>
      <c r="M1373" s="114"/>
      <c r="X1373" s="56"/>
      <c r="Y1373" s="56"/>
      <c r="AA1373" s="56"/>
      <c r="AB1373" s="114"/>
    </row>
    <row r="1374">
      <c r="A1374" s="24"/>
      <c r="B1374" s="24"/>
      <c r="C1374" s="24"/>
      <c r="D1374" s="22"/>
      <c r="F1374" s="114"/>
      <c r="G1374" s="114"/>
      <c r="H1374" s="114"/>
      <c r="I1374" s="114"/>
      <c r="J1374" s="114"/>
      <c r="K1374" s="114"/>
      <c r="L1374" s="114"/>
      <c r="M1374" s="114"/>
      <c r="X1374" s="56"/>
      <c r="Y1374" s="56"/>
      <c r="AA1374" s="56"/>
      <c r="AB1374" s="114"/>
    </row>
    <row r="1375">
      <c r="A1375" s="24"/>
      <c r="B1375" s="24"/>
      <c r="C1375" s="24"/>
      <c r="D1375" s="22"/>
      <c r="F1375" s="114"/>
      <c r="G1375" s="114"/>
      <c r="H1375" s="114"/>
      <c r="I1375" s="114"/>
      <c r="J1375" s="114"/>
      <c r="K1375" s="114"/>
      <c r="L1375" s="114"/>
      <c r="M1375" s="114"/>
      <c r="X1375" s="56"/>
      <c r="Y1375" s="56"/>
      <c r="AA1375" s="56"/>
      <c r="AB1375" s="114"/>
    </row>
    <row r="1376">
      <c r="A1376" s="24"/>
      <c r="B1376" s="24"/>
      <c r="C1376" s="24"/>
      <c r="D1376" s="22"/>
      <c r="F1376" s="114"/>
      <c r="G1376" s="114"/>
      <c r="H1376" s="114"/>
      <c r="I1376" s="114"/>
      <c r="J1376" s="114"/>
      <c r="K1376" s="114"/>
      <c r="L1376" s="114"/>
      <c r="M1376" s="114"/>
      <c r="X1376" s="56"/>
      <c r="Y1376" s="56"/>
      <c r="AA1376" s="56"/>
      <c r="AB1376" s="114"/>
    </row>
    <row r="1377">
      <c r="A1377" s="24"/>
      <c r="B1377" s="24"/>
      <c r="C1377" s="24"/>
      <c r="D1377" s="22"/>
      <c r="F1377" s="114"/>
      <c r="G1377" s="114"/>
      <c r="H1377" s="114"/>
      <c r="I1377" s="114"/>
      <c r="J1377" s="114"/>
      <c r="K1377" s="114"/>
      <c r="L1377" s="114"/>
      <c r="M1377" s="114"/>
      <c r="X1377" s="56"/>
      <c r="Y1377" s="56"/>
      <c r="AA1377" s="56"/>
      <c r="AB1377" s="114"/>
    </row>
    <row r="1378">
      <c r="A1378" s="24"/>
      <c r="B1378" s="24"/>
      <c r="C1378" s="24"/>
      <c r="D1378" s="22"/>
      <c r="F1378" s="114"/>
      <c r="G1378" s="114"/>
      <c r="H1378" s="114"/>
      <c r="I1378" s="114"/>
      <c r="J1378" s="114"/>
      <c r="K1378" s="114"/>
      <c r="L1378" s="114"/>
      <c r="M1378" s="114"/>
      <c r="X1378" s="56"/>
      <c r="Y1378" s="56"/>
      <c r="AA1378" s="56"/>
      <c r="AB1378" s="114"/>
    </row>
    <row r="1379">
      <c r="A1379" s="24"/>
      <c r="B1379" s="24"/>
      <c r="C1379" s="24"/>
      <c r="D1379" s="22"/>
      <c r="F1379" s="114"/>
      <c r="G1379" s="114"/>
      <c r="H1379" s="114"/>
      <c r="I1379" s="114"/>
      <c r="J1379" s="114"/>
      <c r="K1379" s="114"/>
      <c r="L1379" s="114"/>
      <c r="M1379" s="114"/>
      <c r="X1379" s="56"/>
      <c r="Y1379" s="56"/>
      <c r="AA1379" s="56"/>
      <c r="AB1379" s="114"/>
    </row>
    <row r="1380">
      <c r="A1380" s="24"/>
      <c r="B1380" s="24"/>
      <c r="C1380" s="24"/>
      <c r="D1380" s="22"/>
      <c r="F1380" s="114"/>
      <c r="G1380" s="114"/>
      <c r="H1380" s="114"/>
      <c r="I1380" s="114"/>
      <c r="J1380" s="114"/>
      <c r="K1380" s="114"/>
      <c r="L1380" s="114"/>
      <c r="M1380" s="114"/>
      <c r="X1380" s="56"/>
      <c r="Y1380" s="56"/>
      <c r="AA1380" s="56"/>
      <c r="AB1380" s="114"/>
    </row>
    <row r="1381">
      <c r="A1381" s="24"/>
      <c r="B1381" s="24"/>
      <c r="C1381" s="24"/>
      <c r="D1381" s="22"/>
      <c r="F1381" s="114"/>
      <c r="G1381" s="114"/>
      <c r="H1381" s="114"/>
      <c r="I1381" s="114"/>
      <c r="J1381" s="114"/>
      <c r="K1381" s="114"/>
      <c r="L1381" s="114"/>
      <c r="M1381" s="114"/>
      <c r="X1381" s="56"/>
      <c r="Y1381" s="56"/>
      <c r="AA1381" s="56"/>
      <c r="AB1381" s="114"/>
    </row>
    <row r="1382">
      <c r="A1382" s="24"/>
      <c r="B1382" s="24"/>
      <c r="C1382" s="24"/>
      <c r="D1382" s="22"/>
      <c r="F1382" s="114"/>
      <c r="G1382" s="114"/>
      <c r="H1382" s="114"/>
      <c r="I1382" s="114"/>
      <c r="J1382" s="114"/>
      <c r="K1382" s="114"/>
      <c r="L1382" s="114"/>
      <c r="M1382" s="114"/>
      <c r="X1382" s="56"/>
      <c r="Y1382" s="56"/>
      <c r="AA1382" s="56"/>
      <c r="AB1382" s="114"/>
    </row>
    <row r="1383">
      <c r="A1383" s="24"/>
      <c r="B1383" s="24"/>
      <c r="C1383" s="24"/>
      <c r="D1383" s="22"/>
      <c r="F1383" s="114"/>
      <c r="G1383" s="114"/>
      <c r="H1383" s="114"/>
      <c r="I1383" s="114"/>
      <c r="J1383" s="114"/>
      <c r="K1383" s="114"/>
      <c r="L1383" s="114"/>
      <c r="M1383" s="114"/>
      <c r="X1383" s="56"/>
      <c r="Y1383" s="56"/>
      <c r="AA1383" s="56"/>
      <c r="AB1383" s="114"/>
    </row>
    <row r="1384">
      <c r="A1384" s="24"/>
      <c r="B1384" s="24"/>
      <c r="C1384" s="24"/>
      <c r="D1384" s="22"/>
      <c r="F1384" s="114"/>
      <c r="G1384" s="114"/>
      <c r="H1384" s="114"/>
      <c r="I1384" s="114"/>
      <c r="J1384" s="114"/>
      <c r="K1384" s="114"/>
      <c r="L1384" s="114"/>
      <c r="M1384" s="114"/>
      <c r="X1384" s="56"/>
      <c r="Y1384" s="56"/>
      <c r="AA1384" s="56"/>
      <c r="AB1384" s="114"/>
    </row>
    <row r="1385">
      <c r="A1385" s="24"/>
      <c r="B1385" s="24"/>
      <c r="C1385" s="24"/>
      <c r="D1385" s="22"/>
      <c r="F1385" s="114"/>
      <c r="G1385" s="114"/>
      <c r="H1385" s="114"/>
      <c r="I1385" s="114"/>
      <c r="J1385" s="114"/>
      <c r="K1385" s="114"/>
      <c r="L1385" s="114"/>
      <c r="M1385" s="114"/>
      <c r="X1385" s="56"/>
      <c r="Y1385" s="56"/>
      <c r="AA1385" s="56"/>
      <c r="AB1385" s="114"/>
    </row>
    <row r="1386">
      <c r="A1386" s="24"/>
      <c r="B1386" s="24"/>
      <c r="C1386" s="24"/>
      <c r="D1386" s="22"/>
      <c r="F1386" s="114"/>
      <c r="G1386" s="114"/>
      <c r="H1386" s="114"/>
      <c r="I1386" s="114"/>
      <c r="J1386" s="114"/>
      <c r="K1386" s="114"/>
      <c r="L1386" s="114"/>
      <c r="M1386" s="114"/>
      <c r="X1386" s="56"/>
      <c r="Y1386" s="56"/>
      <c r="AA1386" s="56"/>
      <c r="AB1386" s="114"/>
    </row>
    <row r="1387">
      <c r="A1387" s="24"/>
      <c r="B1387" s="24"/>
      <c r="C1387" s="24"/>
      <c r="D1387" s="22"/>
      <c r="F1387" s="114"/>
      <c r="G1387" s="114"/>
      <c r="H1387" s="114"/>
      <c r="I1387" s="114"/>
      <c r="J1387" s="114"/>
      <c r="K1387" s="114"/>
      <c r="L1387" s="114"/>
      <c r="M1387" s="114"/>
      <c r="X1387" s="56"/>
      <c r="Y1387" s="56"/>
      <c r="AA1387" s="56"/>
      <c r="AB1387" s="114"/>
    </row>
    <row r="1388">
      <c r="A1388" s="24"/>
      <c r="B1388" s="24"/>
      <c r="C1388" s="24"/>
      <c r="D1388" s="22"/>
      <c r="F1388" s="114"/>
      <c r="G1388" s="114"/>
      <c r="H1388" s="114"/>
      <c r="I1388" s="114"/>
      <c r="J1388" s="114"/>
      <c r="K1388" s="114"/>
      <c r="L1388" s="114"/>
      <c r="M1388" s="114"/>
      <c r="X1388" s="56"/>
      <c r="Y1388" s="56"/>
      <c r="AA1388" s="56"/>
      <c r="AB1388" s="114"/>
    </row>
    <row r="1389">
      <c r="A1389" s="24"/>
      <c r="B1389" s="24"/>
      <c r="C1389" s="24"/>
      <c r="D1389" s="22"/>
      <c r="F1389" s="114"/>
      <c r="G1389" s="114"/>
      <c r="H1389" s="114"/>
      <c r="I1389" s="114"/>
      <c r="J1389" s="114"/>
      <c r="K1389" s="114"/>
      <c r="L1389" s="114"/>
      <c r="M1389" s="114"/>
      <c r="X1389" s="56"/>
      <c r="Y1389" s="56"/>
      <c r="AA1389" s="56"/>
      <c r="AB1389" s="114"/>
    </row>
    <row r="1390">
      <c r="A1390" s="24"/>
      <c r="B1390" s="24"/>
      <c r="C1390" s="24"/>
      <c r="D1390" s="22"/>
      <c r="F1390" s="114"/>
      <c r="G1390" s="114"/>
      <c r="H1390" s="114"/>
      <c r="I1390" s="114"/>
      <c r="J1390" s="114"/>
      <c r="K1390" s="114"/>
      <c r="L1390" s="114"/>
      <c r="M1390" s="114"/>
      <c r="X1390" s="56"/>
      <c r="Y1390" s="56"/>
      <c r="AA1390" s="56"/>
      <c r="AB1390" s="114"/>
    </row>
    <row r="1391">
      <c r="A1391" s="24"/>
      <c r="B1391" s="24"/>
      <c r="C1391" s="24"/>
      <c r="D1391" s="22"/>
      <c r="F1391" s="114"/>
      <c r="G1391" s="114"/>
      <c r="H1391" s="114"/>
      <c r="I1391" s="114"/>
      <c r="J1391" s="114"/>
      <c r="K1391" s="114"/>
      <c r="L1391" s="114"/>
      <c r="M1391" s="114"/>
      <c r="X1391" s="56"/>
      <c r="Y1391" s="56"/>
      <c r="AA1391" s="56"/>
      <c r="AB1391" s="114"/>
    </row>
    <row r="1392">
      <c r="A1392" s="24"/>
      <c r="B1392" s="24"/>
      <c r="C1392" s="24"/>
      <c r="D1392" s="22"/>
      <c r="F1392" s="114"/>
      <c r="G1392" s="114"/>
      <c r="H1392" s="114"/>
      <c r="I1392" s="114"/>
      <c r="J1392" s="114"/>
      <c r="K1392" s="114"/>
      <c r="L1392" s="114"/>
      <c r="M1392" s="114"/>
      <c r="X1392" s="56"/>
      <c r="Y1392" s="56"/>
      <c r="AA1392" s="56"/>
      <c r="AB1392" s="114"/>
    </row>
    <row r="1393">
      <c r="A1393" s="24"/>
      <c r="B1393" s="24"/>
      <c r="C1393" s="24"/>
      <c r="D1393" s="22"/>
      <c r="F1393" s="114"/>
      <c r="G1393" s="114"/>
      <c r="H1393" s="114"/>
      <c r="I1393" s="114"/>
      <c r="J1393" s="114"/>
      <c r="K1393" s="114"/>
      <c r="L1393" s="114"/>
      <c r="M1393" s="114"/>
      <c r="X1393" s="56"/>
      <c r="Y1393" s="56"/>
      <c r="AA1393" s="56"/>
      <c r="AB1393" s="114"/>
    </row>
    <row r="1394">
      <c r="A1394" s="24"/>
      <c r="B1394" s="24"/>
      <c r="C1394" s="24"/>
      <c r="D1394" s="22"/>
      <c r="F1394" s="114"/>
      <c r="G1394" s="114"/>
      <c r="H1394" s="114"/>
      <c r="I1394" s="114"/>
      <c r="J1394" s="114"/>
      <c r="K1394" s="114"/>
      <c r="L1394" s="114"/>
      <c r="M1394" s="114"/>
      <c r="X1394" s="56"/>
      <c r="Y1394" s="56"/>
      <c r="AA1394" s="56"/>
      <c r="AB1394" s="114"/>
    </row>
    <row r="1395">
      <c r="A1395" s="24"/>
      <c r="B1395" s="24"/>
      <c r="C1395" s="24"/>
      <c r="D1395" s="22"/>
      <c r="F1395" s="114"/>
      <c r="G1395" s="114"/>
      <c r="H1395" s="114"/>
      <c r="I1395" s="114"/>
      <c r="J1395" s="114"/>
      <c r="K1395" s="114"/>
      <c r="L1395" s="114"/>
      <c r="M1395" s="114"/>
      <c r="X1395" s="56"/>
      <c r="Y1395" s="56"/>
      <c r="AA1395" s="56"/>
      <c r="AB1395" s="114"/>
    </row>
    <row r="1396">
      <c r="A1396" s="24"/>
      <c r="B1396" s="24"/>
      <c r="C1396" s="24"/>
      <c r="D1396" s="22"/>
      <c r="F1396" s="114"/>
      <c r="G1396" s="114"/>
      <c r="H1396" s="114"/>
      <c r="I1396" s="114"/>
      <c r="J1396" s="114"/>
      <c r="K1396" s="114"/>
      <c r="L1396" s="114"/>
      <c r="M1396" s="114"/>
      <c r="X1396" s="56"/>
      <c r="Y1396" s="56"/>
      <c r="AA1396" s="56"/>
      <c r="AB1396" s="114"/>
    </row>
    <row r="1397">
      <c r="A1397" s="24"/>
      <c r="B1397" s="24"/>
      <c r="C1397" s="24"/>
      <c r="D1397" s="22"/>
      <c r="F1397" s="114"/>
      <c r="G1397" s="114"/>
      <c r="H1397" s="114"/>
      <c r="I1397" s="114"/>
      <c r="J1397" s="114"/>
      <c r="K1397" s="114"/>
      <c r="L1397" s="114"/>
      <c r="M1397" s="114"/>
      <c r="X1397" s="56"/>
      <c r="Y1397" s="56"/>
      <c r="AA1397" s="56"/>
      <c r="AB1397" s="114"/>
    </row>
    <row r="1398">
      <c r="A1398" s="24"/>
      <c r="B1398" s="24"/>
      <c r="C1398" s="24"/>
      <c r="D1398" s="22"/>
      <c r="F1398" s="114"/>
      <c r="G1398" s="114"/>
      <c r="H1398" s="114"/>
      <c r="I1398" s="114"/>
      <c r="J1398" s="114"/>
      <c r="K1398" s="114"/>
      <c r="L1398" s="114"/>
      <c r="M1398" s="114"/>
      <c r="X1398" s="56"/>
      <c r="Y1398" s="56"/>
      <c r="AA1398" s="56"/>
      <c r="AB1398" s="114"/>
    </row>
    <row r="1399">
      <c r="A1399" s="24"/>
      <c r="B1399" s="24"/>
      <c r="C1399" s="24"/>
      <c r="D1399" s="22"/>
      <c r="F1399" s="114"/>
      <c r="G1399" s="114"/>
      <c r="H1399" s="114"/>
      <c r="I1399" s="114"/>
      <c r="J1399" s="114"/>
      <c r="K1399" s="114"/>
      <c r="L1399" s="114"/>
      <c r="M1399" s="114"/>
      <c r="X1399" s="56"/>
      <c r="Y1399" s="56"/>
      <c r="AA1399" s="56"/>
      <c r="AB1399" s="114"/>
    </row>
    <row r="1400">
      <c r="A1400" s="24"/>
      <c r="B1400" s="24"/>
      <c r="C1400" s="24"/>
      <c r="D1400" s="22"/>
      <c r="F1400" s="114"/>
      <c r="G1400" s="114"/>
      <c r="H1400" s="114"/>
      <c r="I1400" s="114"/>
      <c r="J1400" s="114"/>
      <c r="K1400" s="114"/>
      <c r="L1400" s="114"/>
      <c r="M1400" s="114"/>
      <c r="X1400" s="56"/>
      <c r="Y1400" s="56"/>
      <c r="AA1400" s="56"/>
      <c r="AB1400" s="114"/>
    </row>
    <row r="1401">
      <c r="A1401" s="24"/>
      <c r="B1401" s="24"/>
      <c r="C1401" s="24"/>
      <c r="D1401" s="22"/>
      <c r="F1401" s="114"/>
      <c r="G1401" s="114"/>
      <c r="H1401" s="114"/>
      <c r="I1401" s="114"/>
      <c r="J1401" s="114"/>
      <c r="K1401" s="114"/>
      <c r="L1401" s="114"/>
      <c r="M1401" s="114"/>
      <c r="X1401" s="56"/>
      <c r="Y1401" s="56"/>
      <c r="AA1401" s="56"/>
      <c r="AB1401" s="114"/>
    </row>
    <row r="1402">
      <c r="A1402" s="24"/>
      <c r="B1402" s="24"/>
      <c r="C1402" s="24"/>
      <c r="D1402" s="22"/>
      <c r="F1402" s="114"/>
      <c r="G1402" s="114"/>
      <c r="H1402" s="114"/>
      <c r="I1402" s="114"/>
      <c r="J1402" s="114"/>
      <c r="K1402" s="114"/>
      <c r="L1402" s="114"/>
      <c r="M1402" s="114"/>
      <c r="X1402" s="56"/>
      <c r="Y1402" s="56"/>
      <c r="AA1402" s="56"/>
      <c r="AB1402" s="114"/>
    </row>
    <row r="1403">
      <c r="A1403" s="24"/>
      <c r="B1403" s="24"/>
      <c r="C1403" s="24"/>
      <c r="D1403" s="22"/>
      <c r="F1403" s="114"/>
      <c r="G1403" s="114"/>
      <c r="H1403" s="114"/>
      <c r="I1403" s="114"/>
      <c r="J1403" s="114"/>
      <c r="K1403" s="114"/>
      <c r="L1403" s="114"/>
      <c r="M1403" s="114"/>
      <c r="X1403" s="56"/>
      <c r="Y1403" s="56"/>
      <c r="AA1403" s="56"/>
      <c r="AB1403" s="114"/>
    </row>
    <row r="1404">
      <c r="A1404" s="24"/>
      <c r="B1404" s="24"/>
      <c r="C1404" s="24"/>
      <c r="D1404" s="22"/>
      <c r="F1404" s="114"/>
      <c r="G1404" s="114"/>
      <c r="H1404" s="114"/>
      <c r="I1404" s="114"/>
      <c r="J1404" s="114"/>
      <c r="K1404" s="114"/>
      <c r="L1404" s="114"/>
      <c r="M1404" s="114"/>
      <c r="X1404" s="56"/>
      <c r="Y1404" s="56"/>
      <c r="AA1404" s="56"/>
      <c r="AB1404" s="114"/>
    </row>
    <row r="1405">
      <c r="A1405" s="24"/>
      <c r="B1405" s="24"/>
      <c r="C1405" s="24"/>
      <c r="D1405" s="22"/>
      <c r="F1405" s="114"/>
      <c r="G1405" s="114"/>
      <c r="H1405" s="114"/>
      <c r="I1405" s="114"/>
      <c r="J1405" s="114"/>
      <c r="K1405" s="114"/>
      <c r="L1405" s="114"/>
      <c r="M1405" s="114"/>
      <c r="X1405" s="56"/>
      <c r="Y1405" s="56"/>
      <c r="AA1405" s="56"/>
      <c r="AB1405" s="114"/>
    </row>
    <row r="1406">
      <c r="A1406" s="24"/>
      <c r="B1406" s="24"/>
      <c r="C1406" s="24"/>
      <c r="D1406" s="22"/>
      <c r="F1406" s="114"/>
      <c r="G1406" s="114"/>
      <c r="H1406" s="114"/>
      <c r="I1406" s="114"/>
      <c r="J1406" s="114"/>
      <c r="K1406" s="114"/>
      <c r="L1406" s="114"/>
      <c r="M1406" s="114"/>
      <c r="X1406" s="56"/>
      <c r="Y1406" s="56"/>
      <c r="AA1406" s="56"/>
      <c r="AB1406" s="114"/>
    </row>
    <row r="1407">
      <c r="A1407" s="24"/>
      <c r="B1407" s="24"/>
      <c r="C1407" s="24"/>
      <c r="D1407" s="22"/>
      <c r="F1407" s="114"/>
      <c r="G1407" s="114"/>
      <c r="H1407" s="114"/>
      <c r="I1407" s="114"/>
      <c r="J1407" s="114"/>
      <c r="K1407" s="114"/>
      <c r="L1407" s="114"/>
      <c r="M1407" s="114"/>
      <c r="X1407" s="56"/>
      <c r="Y1407" s="56"/>
      <c r="AA1407" s="56"/>
      <c r="AB1407" s="114"/>
    </row>
    <row r="1408">
      <c r="A1408" s="24"/>
      <c r="B1408" s="24"/>
      <c r="C1408" s="24"/>
      <c r="D1408" s="22"/>
      <c r="F1408" s="114"/>
      <c r="G1408" s="114"/>
      <c r="H1408" s="114"/>
      <c r="I1408" s="114"/>
      <c r="J1408" s="114"/>
      <c r="K1408" s="114"/>
      <c r="L1408" s="114"/>
      <c r="M1408" s="114"/>
      <c r="X1408" s="56"/>
      <c r="Y1408" s="56"/>
      <c r="AA1408" s="56"/>
      <c r="AB1408" s="114"/>
    </row>
    <row r="1409">
      <c r="A1409" s="24"/>
      <c r="B1409" s="24"/>
      <c r="C1409" s="24"/>
      <c r="D1409" s="22"/>
      <c r="F1409" s="114"/>
      <c r="G1409" s="114"/>
      <c r="H1409" s="114"/>
      <c r="I1409" s="114"/>
      <c r="J1409" s="114"/>
      <c r="K1409" s="114"/>
      <c r="L1409" s="114"/>
      <c r="M1409" s="114"/>
      <c r="X1409" s="56"/>
      <c r="Y1409" s="56"/>
      <c r="AA1409" s="56"/>
      <c r="AB1409" s="114"/>
    </row>
    <row r="1410">
      <c r="A1410" s="24"/>
      <c r="B1410" s="24"/>
      <c r="C1410" s="24"/>
      <c r="D1410" s="22"/>
      <c r="F1410" s="114"/>
      <c r="G1410" s="114"/>
      <c r="H1410" s="114"/>
      <c r="I1410" s="114"/>
      <c r="J1410" s="114"/>
      <c r="K1410" s="114"/>
      <c r="L1410" s="114"/>
      <c r="M1410" s="114"/>
      <c r="X1410" s="56"/>
      <c r="Y1410" s="56"/>
      <c r="AA1410" s="56"/>
      <c r="AB1410" s="114"/>
    </row>
    <row r="1411">
      <c r="A1411" s="24"/>
      <c r="B1411" s="24"/>
      <c r="C1411" s="24"/>
      <c r="D1411" s="22"/>
      <c r="F1411" s="114"/>
      <c r="G1411" s="114"/>
      <c r="H1411" s="114"/>
      <c r="I1411" s="114"/>
      <c r="J1411" s="114"/>
      <c r="K1411" s="114"/>
      <c r="L1411" s="114"/>
      <c r="M1411" s="114"/>
      <c r="X1411" s="56"/>
      <c r="Y1411" s="56"/>
      <c r="AA1411" s="56"/>
      <c r="AB1411" s="114"/>
    </row>
    <row r="1412">
      <c r="A1412" s="24"/>
      <c r="B1412" s="24"/>
      <c r="C1412" s="24"/>
      <c r="D1412" s="22"/>
      <c r="F1412" s="114"/>
      <c r="G1412" s="114"/>
      <c r="H1412" s="114"/>
      <c r="I1412" s="114"/>
      <c r="J1412" s="114"/>
      <c r="K1412" s="114"/>
      <c r="L1412" s="114"/>
      <c r="M1412" s="114"/>
      <c r="X1412" s="56"/>
      <c r="Y1412" s="56"/>
      <c r="AA1412" s="56"/>
      <c r="AB1412" s="114"/>
    </row>
    <row r="1413">
      <c r="A1413" s="24"/>
      <c r="B1413" s="24"/>
      <c r="C1413" s="24"/>
      <c r="D1413" s="22"/>
      <c r="F1413" s="114"/>
      <c r="G1413" s="114"/>
      <c r="H1413" s="114"/>
      <c r="I1413" s="114"/>
      <c r="J1413" s="114"/>
      <c r="K1413" s="114"/>
      <c r="L1413" s="114"/>
      <c r="M1413" s="114"/>
      <c r="X1413" s="56"/>
      <c r="Y1413" s="56"/>
      <c r="AA1413" s="56"/>
      <c r="AB1413" s="114"/>
    </row>
    <row r="1414">
      <c r="A1414" s="24"/>
      <c r="B1414" s="24"/>
      <c r="C1414" s="24"/>
      <c r="D1414" s="22"/>
      <c r="F1414" s="114"/>
      <c r="G1414" s="114"/>
      <c r="H1414" s="114"/>
      <c r="I1414" s="114"/>
      <c r="J1414" s="114"/>
      <c r="K1414" s="114"/>
      <c r="L1414" s="114"/>
      <c r="M1414" s="114"/>
      <c r="X1414" s="56"/>
      <c r="Y1414" s="56"/>
      <c r="AA1414" s="56"/>
      <c r="AB1414" s="114"/>
    </row>
    <row r="1415">
      <c r="A1415" s="24"/>
      <c r="B1415" s="24"/>
      <c r="C1415" s="24"/>
      <c r="D1415" s="22"/>
      <c r="F1415" s="114"/>
      <c r="G1415" s="114"/>
      <c r="H1415" s="114"/>
      <c r="I1415" s="114"/>
      <c r="J1415" s="114"/>
      <c r="K1415" s="114"/>
      <c r="L1415" s="114"/>
      <c r="M1415" s="114"/>
      <c r="X1415" s="56"/>
      <c r="Y1415" s="56"/>
      <c r="AA1415" s="56"/>
      <c r="AB1415" s="114"/>
    </row>
    <row r="1416">
      <c r="A1416" s="24"/>
      <c r="B1416" s="24"/>
      <c r="C1416" s="24"/>
      <c r="D1416" s="22"/>
      <c r="F1416" s="114"/>
      <c r="G1416" s="114"/>
      <c r="H1416" s="114"/>
      <c r="I1416" s="114"/>
      <c r="J1416" s="114"/>
      <c r="K1416" s="114"/>
      <c r="L1416" s="114"/>
      <c r="M1416" s="114"/>
      <c r="X1416" s="56"/>
      <c r="Y1416" s="56"/>
      <c r="AA1416" s="56"/>
      <c r="AB1416" s="114"/>
    </row>
    <row r="1417">
      <c r="A1417" s="24"/>
      <c r="B1417" s="24"/>
      <c r="C1417" s="24"/>
      <c r="D1417" s="22"/>
      <c r="F1417" s="114"/>
      <c r="G1417" s="114"/>
      <c r="H1417" s="114"/>
      <c r="I1417" s="114"/>
      <c r="J1417" s="114"/>
      <c r="K1417" s="114"/>
      <c r="L1417" s="114"/>
      <c r="M1417" s="114"/>
      <c r="X1417" s="56"/>
      <c r="Y1417" s="56"/>
      <c r="AA1417" s="56"/>
      <c r="AB1417" s="114"/>
    </row>
    <row r="1418">
      <c r="A1418" s="24"/>
      <c r="B1418" s="24"/>
      <c r="C1418" s="24"/>
      <c r="D1418" s="22"/>
      <c r="F1418" s="114"/>
      <c r="G1418" s="114"/>
      <c r="H1418" s="114"/>
      <c r="I1418" s="114"/>
      <c r="J1418" s="114"/>
      <c r="K1418" s="114"/>
      <c r="L1418" s="114"/>
      <c r="M1418" s="114"/>
      <c r="X1418" s="56"/>
      <c r="Y1418" s="56"/>
      <c r="AA1418" s="56"/>
      <c r="AB1418" s="114"/>
    </row>
    <row r="1419">
      <c r="A1419" s="24"/>
      <c r="B1419" s="24"/>
      <c r="C1419" s="24"/>
      <c r="D1419" s="22"/>
      <c r="F1419" s="114"/>
      <c r="G1419" s="114"/>
      <c r="H1419" s="114"/>
      <c r="I1419" s="114"/>
      <c r="J1419" s="114"/>
      <c r="K1419" s="114"/>
      <c r="L1419" s="114"/>
      <c r="M1419" s="114"/>
      <c r="X1419" s="56"/>
      <c r="Y1419" s="56"/>
      <c r="AA1419" s="56"/>
      <c r="AB1419" s="114"/>
    </row>
    <row r="1420">
      <c r="A1420" s="24"/>
      <c r="B1420" s="24"/>
      <c r="C1420" s="24"/>
      <c r="D1420" s="22"/>
      <c r="F1420" s="114"/>
      <c r="G1420" s="114"/>
      <c r="H1420" s="114"/>
      <c r="I1420" s="114"/>
      <c r="J1420" s="114"/>
      <c r="K1420" s="114"/>
      <c r="L1420" s="114"/>
      <c r="M1420" s="114"/>
      <c r="X1420" s="56"/>
      <c r="Y1420" s="56"/>
      <c r="AA1420" s="56"/>
      <c r="AB1420" s="114"/>
    </row>
    <row r="1421">
      <c r="A1421" s="24"/>
      <c r="B1421" s="24"/>
      <c r="C1421" s="24"/>
      <c r="D1421" s="22"/>
      <c r="F1421" s="114"/>
      <c r="G1421" s="114"/>
      <c r="H1421" s="114"/>
      <c r="I1421" s="114"/>
      <c r="J1421" s="114"/>
      <c r="K1421" s="114"/>
      <c r="L1421" s="114"/>
      <c r="M1421" s="114"/>
      <c r="X1421" s="56"/>
      <c r="Y1421" s="56"/>
      <c r="AA1421" s="56"/>
      <c r="AB1421" s="114"/>
    </row>
    <row r="1422">
      <c r="A1422" s="24"/>
      <c r="B1422" s="24"/>
      <c r="C1422" s="24"/>
      <c r="D1422" s="22"/>
      <c r="F1422" s="114"/>
      <c r="G1422" s="114"/>
      <c r="H1422" s="114"/>
      <c r="I1422" s="114"/>
      <c r="J1422" s="114"/>
      <c r="K1422" s="114"/>
      <c r="L1422" s="114"/>
      <c r="M1422" s="114"/>
      <c r="X1422" s="56"/>
      <c r="Y1422" s="56"/>
      <c r="AA1422" s="56"/>
      <c r="AB1422" s="114"/>
    </row>
    <row r="1423">
      <c r="A1423" s="24"/>
      <c r="B1423" s="24"/>
      <c r="C1423" s="24"/>
      <c r="D1423" s="22"/>
      <c r="F1423" s="114"/>
      <c r="G1423" s="114"/>
      <c r="H1423" s="114"/>
      <c r="I1423" s="114"/>
      <c r="J1423" s="114"/>
      <c r="K1423" s="114"/>
      <c r="L1423" s="114"/>
      <c r="M1423" s="114"/>
      <c r="X1423" s="56"/>
      <c r="Y1423" s="56"/>
      <c r="AA1423" s="56"/>
      <c r="AB1423" s="114"/>
    </row>
    <row r="1424">
      <c r="A1424" s="24"/>
      <c r="B1424" s="24"/>
      <c r="C1424" s="24"/>
      <c r="D1424" s="22"/>
      <c r="F1424" s="114"/>
      <c r="G1424" s="114"/>
      <c r="H1424" s="114"/>
      <c r="I1424" s="114"/>
      <c r="J1424" s="114"/>
      <c r="K1424" s="114"/>
      <c r="L1424" s="114"/>
      <c r="M1424" s="114"/>
      <c r="X1424" s="56"/>
      <c r="Y1424" s="56"/>
      <c r="AA1424" s="56"/>
      <c r="AB1424" s="114"/>
    </row>
    <row r="1425">
      <c r="A1425" s="24"/>
      <c r="B1425" s="24"/>
      <c r="C1425" s="24"/>
      <c r="D1425" s="22"/>
      <c r="F1425" s="114"/>
      <c r="G1425" s="114"/>
      <c r="H1425" s="114"/>
      <c r="I1425" s="114"/>
      <c r="J1425" s="114"/>
      <c r="K1425" s="114"/>
      <c r="L1425" s="114"/>
      <c r="M1425" s="114"/>
      <c r="X1425" s="56"/>
      <c r="Y1425" s="56"/>
      <c r="AA1425" s="56"/>
      <c r="AB1425" s="114"/>
    </row>
    <row r="1426">
      <c r="A1426" s="24"/>
      <c r="B1426" s="24"/>
      <c r="C1426" s="24"/>
      <c r="D1426" s="22"/>
      <c r="F1426" s="114"/>
      <c r="G1426" s="114"/>
      <c r="H1426" s="114"/>
      <c r="I1426" s="114"/>
      <c r="J1426" s="114"/>
      <c r="K1426" s="114"/>
      <c r="L1426" s="114"/>
      <c r="M1426" s="114"/>
      <c r="X1426" s="56"/>
      <c r="Y1426" s="56"/>
      <c r="AA1426" s="56"/>
      <c r="AB1426" s="114"/>
    </row>
    <row r="1427">
      <c r="A1427" s="24"/>
      <c r="B1427" s="24"/>
      <c r="C1427" s="24"/>
      <c r="D1427" s="22"/>
      <c r="F1427" s="114"/>
      <c r="G1427" s="114"/>
      <c r="H1427" s="114"/>
      <c r="I1427" s="114"/>
      <c r="J1427" s="114"/>
      <c r="K1427" s="114"/>
      <c r="L1427" s="114"/>
      <c r="M1427" s="114"/>
      <c r="X1427" s="56"/>
      <c r="Y1427" s="56"/>
      <c r="AA1427" s="56"/>
      <c r="AB1427" s="114"/>
    </row>
    <row r="1428">
      <c r="A1428" s="24"/>
      <c r="B1428" s="24"/>
      <c r="C1428" s="24"/>
      <c r="D1428" s="22"/>
      <c r="F1428" s="114"/>
      <c r="G1428" s="114"/>
      <c r="H1428" s="114"/>
      <c r="I1428" s="114"/>
      <c r="J1428" s="114"/>
      <c r="K1428" s="114"/>
      <c r="L1428" s="114"/>
      <c r="M1428" s="114"/>
      <c r="X1428" s="56"/>
      <c r="Y1428" s="56"/>
      <c r="AA1428" s="56"/>
      <c r="AB1428" s="114"/>
    </row>
    <row r="1429">
      <c r="A1429" s="24"/>
      <c r="B1429" s="24"/>
      <c r="C1429" s="24"/>
      <c r="D1429" s="22"/>
      <c r="F1429" s="114"/>
      <c r="G1429" s="114"/>
      <c r="H1429" s="114"/>
      <c r="I1429" s="114"/>
      <c r="J1429" s="114"/>
      <c r="K1429" s="114"/>
      <c r="L1429" s="114"/>
      <c r="M1429" s="114"/>
      <c r="X1429" s="56"/>
      <c r="Y1429" s="56"/>
      <c r="AA1429" s="56"/>
      <c r="AB1429" s="114"/>
    </row>
    <row r="1430">
      <c r="A1430" s="24"/>
      <c r="B1430" s="24"/>
      <c r="C1430" s="24"/>
      <c r="D1430" s="22"/>
      <c r="F1430" s="114"/>
      <c r="G1430" s="114"/>
      <c r="H1430" s="114"/>
      <c r="I1430" s="114"/>
      <c r="J1430" s="114"/>
      <c r="K1430" s="114"/>
      <c r="L1430" s="114"/>
      <c r="M1430" s="114"/>
      <c r="X1430" s="56"/>
      <c r="Y1430" s="56"/>
      <c r="AA1430" s="56"/>
      <c r="AB1430" s="114"/>
    </row>
    <row r="1431">
      <c r="A1431" s="24"/>
      <c r="B1431" s="24"/>
      <c r="C1431" s="24"/>
      <c r="D1431" s="22"/>
      <c r="F1431" s="114"/>
      <c r="G1431" s="114"/>
      <c r="H1431" s="114"/>
      <c r="I1431" s="114"/>
      <c r="J1431" s="114"/>
      <c r="K1431" s="114"/>
      <c r="L1431" s="114"/>
      <c r="M1431" s="114"/>
      <c r="X1431" s="56"/>
      <c r="Y1431" s="56"/>
      <c r="AA1431" s="56"/>
      <c r="AB1431" s="114"/>
    </row>
    <row r="1432">
      <c r="A1432" s="24"/>
      <c r="B1432" s="24"/>
      <c r="C1432" s="24"/>
      <c r="D1432" s="22"/>
      <c r="F1432" s="114"/>
      <c r="G1432" s="114"/>
      <c r="H1432" s="114"/>
      <c r="I1432" s="114"/>
      <c r="J1432" s="114"/>
      <c r="K1432" s="114"/>
      <c r="L1432" s="114"/>
      <c r="M1432" s="114"/>
      <c r="X1432" s="56"/>
      <c r="Y1432" s="56"/>
      <c r="AA1432" s="56"/>
      <c r="AB1432" s="114"/>
    </row>
    <row r="1433">
      <c r="A1433" s="24"/>
      <c r="B1433" s="24"/>
      <c r="C1433" s="24"/>
      <c r="D1433" s="22"/>
      <c r="F1433" s="114"/>
      <c r="G1433" s="114"/>
      <c r="H1433" s="114"/>
      <c r="I1433" s="114"/>
      <c r="J1433" s="114"/>
      <c r="K1433" s="114"/>
      <c r="L1433" s="114"/>
      <c r="M1433" s="114"/>
      <c r="X1433" s="56"/>
      <c r="Y1433" s="56"/>
      <c r="AA1433" s="56"/>
      <c r="AB1433" s="114"/>
    </row>
    <row r="1434">
      <c r="A1434" s="24"/>
      <c r="B1434" s="24"/>
      <c r="C1434" s="24"/>
      <c r="D1434" s="22"/>
      <c r="F1434" s="114"/>
      <c r="G1434" s="114"/>
      <c r="H1434" s="114"/>
      <c r="I1434" s="114"/>
      <c r="J1434" s="114"/>
      <c r="K1434" s="114"/>
      <c r="L1434" s="114"/>
      <c r="M1434" s="114"/>
      <c r="X1434" s="56"/>
      <c r="Y1434" s="56"/>
      <c r="AA1434" s="56"/>
      <c r="AB1434" s="114"/>
    </row>
    <row r="1435">
      <c r="A1435" s="24"/>
      <c r="B1435" s="24"/>
      <c r="C1435" s="24"/>
      <c r="D1435" s="22"/>
      <c r="F1435" s="114"/>
      <c r="G1435" s="114"/>
      <c r="H1435" s="114"/>
      <c r="I1435" s="114"/>
      <c r="J1435" s="114"/>
      <c r="K1435" s="114"/>
      <c r="L1435" s="114"/>
      <c r="M1435" s="114"/>
      <c r="X1435" s="56"/>
      <c r="Y1435" s="56"/>
      <c r="AA1435" s="56"/>
      <c r="AB1435" s="114"/>
    </row>
    <row r="1436">
      <c r="A1436" s="24"/>
      <c r="B1436" s="24"/>
      <c r="C1436" s="24"/>
      <c r="D1436" s="22"/>
      <c r="F1436" s="114"/>
      <c r="G1436" s="114"/>
      <c r="H1436" s="114"/>
      <c r="I1436" s="114"/>
      <c r="J1436" s="114"/>
      <c r="K1436" s="114"/>
      <c r="L1436" s="114"/>
      <c r="M1436" s="114"/>
      <c r="X1436" s="56"/>
      <c r="Y1436" s="56"/>
      <c r="AA1436" s="56"/>
      <c r="AB1436" s="114"/>
    </row>
    <row r="1437">
      <c r="A1437" s="24"/>
      <c r="B1437" s="24"/>
      <c r="C1437" s="24"/>
      <c r="D1437" s="22"/>
      <c r="F1437" s="114"/>
      <c r="G1437" s="114"/>
      <c r="H1437" s="114"/>
      <c r="I1437" s="114"/>
      <c r="J1437" s="114"/>
      <c r="K1437" s="114"/>
      <c r="L1437" s="114"/>
      <c r="M1437" s="114"/>
      <c r="X1437" s="56"/>
      <c r="Y1437" s="56"/>
      <c r="AA1437" s="56"/>
      <c r="AB1437" s="114"/>
    </row>
    <row r="1438">
      <c r="A1438" s="24"/>
      <c r="B1438" s="24"/>
      <c r="C1438" s="24"/>
      <c r="D1438" s="22"/>
      <c r="F1438" s="114"/>
      <c r="G1438" s="114"/>
      <c r="H1438" s="114"/>
      <c r="I1438" s="114"/>
      <c r="J1438" s="114"/>
      <c r="K1438" s="114"/>
      <c r="L1438" s="114"/>
      <c r="M1438" s="114"/>
      <c r="X1438" s="56"/>
      <c r="Y1438" s="56"/>
      <c r="AA1438" s="56"/>
      <c r="AB1438" s="114"/>
    </row>
    <row r="1439">
      <c r="A1439" s="24"/>
      <c r="B1439" s="24"/>
      <c r="C1439" s="24"/>
      <c r="D1439" s="22"/>
      <c r="F1439" s="114"/>
      <c r="G1439" s="114"/>
      <c r="H1439" s="114"/>
      <c r="I1439" s="114"/>
      <c r="J1439" s="114"/>
      <c r="K1439" s="114"/>
      <c r="L1439" s="114"/>
      <c r="M1439" s="114"/>
      <c r="X1439" s="56"/>
      <c r="Y1439" s="56"/>
      <c r="AA1439" s="56"/>
      <c r="AB1439" s="114"/>
    </row>
    <row r="1440">
      <c r="A1440" s="24"/>
      <c r="B1440" s="24"/>
      <c r="C1440" s="24"/>
      <c r="D1440" s="22"/>
      <c r="F1440" s="114"/>
      <c r="G1440" s="114"/>
      <c r="H1440" s="114"/>
      <c r="I1440" s="114"/>
      <c r="J1440" s="114"/>
      <c r="K1440" s="114"/>
      <c r="L1440" s="114"/>
      <c r="M1440" s="114"/>
      <c r="X1440" s="56"/>
      <c r="Y1440" s="56"/>
      <c r="AA1440" s="56"/>
      <c r="AB1440" s="114"/>
    </row>
    <row r="1441">
      <c r="A1441" s="24"/>
      <c r="B1441" s="24"/>
      <c r="C1441" s="24"/>
      <c r="D1441" s="22"/>
      <c r="F1441" s="114"/>
      <c r="G1441" s="114"/>
      <c r="H1441" s="114"/>
      <c r="I1441" s="114"/>
      <c r="J1441" s="114"/>
      <c r="K1441" s="114"/>
      <c r="L1441" s="114"/>
      <c r="M1441" s="114"/>
      <c r="X1441" s="56"/>
      <c r="Y1441" s="56"/>
      <c r="AA1441" s="56"/>
      <c r="AB1441" s="114"/>
    </row>
    <row r="1442">
      <c r="A1442" s="24"/>
      <c r="B1442" s="24"/>
      <c r="C1442" s="24"/>
      <c r="D1442" s="22"/>
      <c r="F1442" s="114"/>
      <c r="G1442" s="114"/>
      <c r="H1442" s="114"/>
      <c r="I1442" s="114"/>
      <c r="J1442" s="114"/>
      <c r="K1442" s="114"/>
      <c r="L1442" s="114"/>
      <c r="M1442" s="114"/>
      <c r="X1442" s="56"/>
      <c r="Y1442" s="56"/>
      <c r="AA1442" s="56"/>
      <c r="AB1442" s="114"/>
    </row>
    <row r="1443">
      <c r="A1443" s="24"/>
      <c r="B1443" s="24"/>
      <c r="C1443" s="24"/>
      <c r="D1443" s="22"/>
      <c r="F1443" s="114"/>
      <c r="G1443" s="114"/>
      <c r="H1443" s="114"/>
      <c r="I1443" s="114"/>
      <c r="J1443" s="114"/>
      <c r="K1443" s="114"/>
      <c r="L1443" s="114"/>
      <c r="M1443" s="114"/>
      <c r="X1443" s="56"/>
      <c r="Y1443" s="56"/>
      <c r="AA1443" s="56"/>
      <c r="AB1443" s="114"/>
    </row>
    <row r="1444">
      <c r="A1444" s="24"/>
      <c r="B1444" s="24"/>
      <c r="C1444" s="24"/>
      <c r="D1444" s="22"/>
      <c r="F1444" s="114"/>
      <c r="G1444" s="114"/>
      <c r="H1444" s="114"/>
      <c r="I1444" s="114"/>
      <c r="J1444" s="114"/>
      <c r="K1444" s="114"/>
      <c r="L1444" s="114"/>
      <c r="M1444" s="114"/>
      <c r="X1444" s="56"/>
      <c r="Y1444" s="56"/>
      <c r="AA1444" s="56"/>
      <c r="AB1444" s="114"/>
    </row>
    <row r="1445">
      <c r="A1445" s="24"/>
      <c r="B1445" s="24"/>
      <c r="C1445" s="24"/>
      <c r="D1445" s="22"/>
      <c r="F1445" s="114"/>
      <c r="G1445" s="114"/>
      <c r="H1445" s="114"/>
      <c r="I1445" s="114"/>
      <c r="J1445" s="114"/>
      <c r="K1445" s="114"/>
      <c r="L1445" s="114"/>
      <c r="M1445" s="114"/>
      <c r="X1445" s="56"/>
      <c r="Y1445" s="56"/>
      <c r="AA1445" s="56"/>
      <c r="AB1445" s="114"/>
    </row>
    <row r="1446">
      <c r="A1446" s="24"/>
      <c r="B1446" s="24"/>
      <c r="C1446" s="24"/>
      <c r="D1446" s="22"/>
      <c r="F1446" s="114"/>
      <c r="G1446" s="114"/>
      <c r="H1446" s="114"/>
      <c r="I1446" s="114"/>
      <c r="J1446" s="114"/>
      <c r="K1446" s="114"/>
      <c r="L1446" s="114"/>
      <c r="M1446" s="114"/>
      <c r="X1446" s="56"/>
      <c r="Y1446" s="56"/>
      <c r="AA1446" s="56"/>
      <c r="AB1446" s="114"/>
    </row>
    <row r="1447">
      <c r="A1447" s="24"/>
      <c r="B1447" s="24"/>
      <c r="C1447" s="24"/>
      <c r="D1447" s="22"/>
      <c r="F1447" s="114"/>
      <c r="G1447" s="114"/>
      <c r="H1447" s="114"/>
      <c r="I1447" s="114"/>
      <c r="J1447" s="114"/>
      <c r="K1447" s="114"/>
      <c r="L1447" s="114"/>
      <c r="M1447" s="114"/>
      <c r="X1447" s="56"/>
      <c r="Y1447" s="56"/>
      <c r="AA1447" s="56"/>
      <c r="AB1447" s="114"/>
    </row>
    <row r="1448">
      <c r="A1448" s="24"/>
      <c r="B1448" s="24"/>
      <c r="C1448" s="24"/>
      <c r="D1448" s="22"/>
      <c r="F1448" s="114"/>
      <c r="G1448" s="114"/>
      <c r="H1448" s="114"/>
      <c r="I1448" s="114"/>
      <c r="J1448" s="114"/>
      <c r="K1448" s="114"/>
      <c r="L1448" s="114"/>
      <c r="M1448" s="114"/>
      <c r="X1448" s="56"/>
      <c r="Y1448" s="56"/>
      <c r="AA1448" s="56"/>
      <c r="AB1448" s="114"/>
    </row>
    <row r="1449">
      <c r="A1449" s="24"/>
      <c r="B1449" s="24"/>
      <c r="C1449" s="24"/>
      <c r="D1449" s="22"/>
      <c r="F1449" s="114"/>
      <c r="G1449" s="114"/>
      <c r="H1449" s="114"/>
      <c r="I1449" s="114"/>
      <c r="J1449" s="114"/>
      <c r="K1449" s="114"/>
      <c r="L1449" s="114"/>
      <c r="M1449" s="114"/>
      <c r="X1449" s="56"/>
      <c r="Y1449" s="56"/>
      <c r="AA1449" s="56"/>
      <c r="AB1449" s="114"/>
    </row>
    <row r="1450">
      <c r="A1450" s="24"/>
      <c r="B1450" s="24"/>
      <c r="C1450" s="24"/>
      <c r="D1450" s="22"/>
      <c r="F1450" s="114"/>
      <c r="G1450" s="114"/>
      <c r="H1450" s="114"/>
      <c r="I1450" s="114"/>
      <c r="J1450" s="114"/>
      <c r="K1450" s="114"/>
      <c r="L1450" s="114"/>
      <c r="M1450" s="114"/>
      <c r="X1450" s="56"/>
      <c r="Y1450" s="56"/>
      <c r="AA1450" s="56"/>
      <c r="AB1450" s="114"/>
    </row>
    <row r="1451">
      <c r="A1451" s="24"/>
      <c r="B1451" s="24"/>
      <c r="C1451" s="24"/>
      <c r="D1451" s="22"/>
      <c r="F1451" s="114"/>
      <c r="G1451" s="114"/>
      <c r="H1451" s="114"/>
      <c r="I1451" s="114"/>
      <c r="J1451" s="114"/>
      <c r="K1451" s="114"/>
      <c r="L1451" s="114"/>
      <c r="M1451" s="114"/>
      <c r="X1451" s="56"/>
      <c r="Y1451" s="56"/>
      <c r="AA1451" s="56"/>
      <c r="AB1451" s="114"/>
    </row>
    <row r="1452">
      <c r="A1452" s="24"/>
      <c r="B1452" s="24"/>
      <c r="C1452" s="24"/>
      <c r="D1452" s="22"/>
      <c r="F1452" s="114"/>
      <c r="G1452" s="114"/>
      <c r="H1452" s="114"/>
      <c r="I1452" s="114"/>
      <c r="J1452" s="114"/>
      <c r="K1452" s="114"/>
      <c r="L1452" s="114"/>
      <c r="M1452" s="114"/>
      <c r="X1452" s="56"/>
      <c r="Y1452" s="56"/>
      <c r="AA1452" s="56"/>
      <c r="AB1452" s="114"/>
    </row>
    <row r="1453">
      <c r="A1453" s="24"/>
      <c r="B1453" s="24"/>
      <c r="C1453" s="24"/>
      <c r="D1453" s="22"/>
      <c r="F1453" s="114"/>
      <c r="G1453" s="114"/>
      <c r="H1453" s="114"/>
      <c r="I1453" s="114"/>
      <c r="J1453" s="114"/>
      <c r="K1453" s="114"/>
      <c r="L1453" s="114"/>
      <c r="M1453" s="114"/>
      <c r="X1453" s="56"/>
      <c r="Y1453" s="56"/>
      <c r="AA1453" s="56"/>
      <c r="AB1453" s="114"/>
    </row>
    <row r="1454">
      <c r="A1454" s="24"/>
      <c r="B1454" s="24"/>
      <c r="C1454" s="24"/>
      <c r="D1454" s="22"/>
      <c r="F1454" s="114"/>
      <c r="G1454" s="114"/>
      <c r="H1454" s="114"/>
      <c r="I1454" s="114"/>
      <c r="J1454" s="114"/>
      <c r="K1454" s="114"/>
      <c r="L1454" s="114"/>
      <c r="M1454" s="114"/>
      <c r="X1454" s="56"/>
      <c r="Y1454" s="56"/>
      <c r="AA1454" s="56"/>
      <c r="AB1454" s="114"/>
    </row>
    <row r="1455">
      <c r="A1455" s="24"/>
      <c r="B1455" s="24"/>
      <c r="C1455" s="24"/>
      <c r="D1455" s="22"/>
      <c r="F1455" s="114"/>
      <c r="G1455" s="114"/>
      <c r="H1455" s="114"/>
      <c r="I1455" s="114"/>
      <c r="J1455" s="114"/>
      <c r="K1455" s="114"/>
      <c r="L1455" s="114"/>
      <c r="M1455" s="114"/>
      <c r="X1455" s="56"/>
      <c r="Y1455" s="56"/>
      <c r="AA1455" s="56"/>
      <c r="AB1455" s="114"/>
    </row>
    <row r="1456">
      <c r="A1456" s="24"/>
      <c r="B1456" s="24"/>
      <c r="C1456" s="24"/>
      <c r="D1456" s="22"/>
      <c r="F1456" s="114"/>
      <c r="G1456" s="114"/>
      <c r="H1456" s="114"/>
      <c r="I1456" s="114"/>
      <c r="J1456" s="114"/>
      <c r="K1456" s="114"/>
      <c r="L1456" s="114"/>
      <c r="M1456" s="114"/>
      <c r="X1456" s="56"/>
      <c r="Y1456" s="56"/>
      <c r="AA1456" s="56"/>
      <c r="AB1456" s="114"/>
    </row>
    <row r="1457">
      <c r="A1457" s="24"/>
      <c r="B1457" s="24"/>
      <c r="C1457" s="24"/>
      <c r="D1457" s="22"/>
      <c r="F1457" s="114"/>
      <c r="G1457" s="114"/>
      <c r="H1457" s="114"/>
      <c r="I1457" s="114"/>
      <c r="J1457" s="114"/>
      <c r="K1457" s="114"/>
      <c r="L1457" s="114"/>
      <c r="M1457" s="114"/>
      <c r="X1457" s="56"/>
      <c r="Y1457" s="56"/>
      <c r="AA1457" s="56"/>
      <c r="AB1457" s="114"/>
    </row>
    <row r="1458">
      <c r="A1458" s="24"/>
      <c r="B1458" s="24"/>
      <c r="C1458" s="24"/>
      <c r="D1458" s="22"/>
      <c r="F1458" s="114"/>
      <c r="G1458" s="114"/>
      <c r="H1458" s="114"/>
      <c r="I1458" s="114"/>
      <c r="J1458" s="114"/>
      <c r="K1458" s="114"/>
      <c r="L1458" s="114"/>
      <c r="M1458" s="114"/>
      <c r="X1458" s="56"/>
      <c r="Y1458" s="56"/>
      <c r="AA1458" s="56"/>
      <c r="AB1458" s="114"/>
    </row>
    <row r="1459">
      <c r="A1459" s="24"/>
      <c r="B1459" s="24"/>
      <c r="C1459" s="24"/>
      <c r="D1459" s="22"/>
      <c r="F1459" s="114"/>
      <c r="G1459" s="114"/>
      <c r="H1459" s="114"/>
      <c r="I1459" s="114"/>
      <c r="J1459" s="114"/>
      <c r="K1459" s="114"/>
      <c r="L1459" s="114"/>
      <c r="M1459" s="114"/>
      <c r="X1459" s="56"/>
      <c r="Y1459" s="56"/>
      <c r="AA1459" s="56"/>
      <c r="AB1459" s="114"/>
    </row>
    <row r="1460">
      <c r="A1460" s="24"/>
      <c r="B1460" s="24"/>
      <c r="C1460" s="24"/>
      <c r="D1460" s="22"/>
      <c r="F1460" s="114"/>
      <c r="G1460" s="114"/>
      <c r="H1460" s="114"/>
      <c r="I1460" s="114"/>
      <c r="J1460" s="114"/>
      <c r="K1460" s="114"/>
      <c r="L1460" s="114"/>
      <c r="M1460" s="114"/>
      <c r="X1460" s="56"/>
      <c r="Y1460" s="56"/>
      <c r="AA1460" s="56"/>
      <c r="AB1460" s="114"/>
    </row>
    <row r="1461">
      <c r="A1461" s="24"/>
      <c r="B1461" s="24"/>
      <c r="C1461" s="24"/>
      <c r="D1461" s="22"/>
      <c r="F1461" s="114"/>
      <c r="G1461" s="114"/>
      <c r="H1461" s="114"/>
      <c r="I1461" s="114"/>
      <c r="J1461" s="114"/>
      <c r="K1461" s="114"/>
      <c r="L1461" s="114"/>
      <c r="M1461" s="114"/>
      <c r="X1461" s="56"/>
      <c r="Y1461" s="56"/>
      <c r="AA1461" s="56"/>
      <c r="AB1461" s="114"/>
    </row>
    <row r="1462">
      <c r="A1462" s="24"/>
      <c r="B1462" s="24"/>
      <c r="C1462" s="24"/>
      <c r="D1462" s="22"/>
      <c r="F1462" s="114"/>
      <c r="G1462" s="114"/>
      <c r="H1462" s="114"/>
      <c r="I1462" s="114"/>
      <c r="J1462" s="114"/>
      <c r="K1462" s="114"/>
      <c r="L1462" s="114"/>
      <c r="M1462" s="114"/>
      <c r="X1462" s="56"/>
      <c r="Y1462" s="56"/>
      <c r="AA1462" s="56"/>
      <c r="AB1462" s="114"/>
    </row>
    <row r="1463">
      <c r="A1463" s="24"/>
      <c r="B1463" s="24"/>
      <c r="C1463" s="24"/>
      <c r="D1463" s="22"/>
      <c r="F1463" s="114"/>
      <c r="G1463" s="114"/>
      <c r="H1463" s="114"/>
      <c r="I1463" s="114"/>
      <c r="J1463" s="114"/>
      <c r="K1463" s="114"/>
      <c r="L1463" s="114"/>
      <c r="M1463" s="114"/>
      <c r="X1463" s="56"/>
      <c r="Y1463" s="56"/>
      <c r="AA1463" s="56"/>
      <c r="AB1463" s="114"/>
    </row>
    <row r="1464">
      <c r="A1464" s="24"/>
      <c r="B1464" s="24"/>
      <c r="C1464" s="24"/>
      <c r="D1464" s="22"/>
      <c r="F1464" s="114"/>
      <c r="G1464" s="114"/>
      <c r="H1464" s="114"/>
      <c r="I1464" s="114"/>
      <c r="J1464" s="114"/>
      <c r="K1464" s="114"/>
      <c r="L1464" s="114"/>
      <c r="M1464" s="114"/>
      <c r="X1464" s="56"/>
      <c r="Y1464" s="56"/>
      <c r="AA1464" s="56"/>
      <c r="AB1464" s="114"/>
    </row>
    <row r="1465">
      <c r="A1465" s="24"/>
      <c r="B1465" s="24"/>
      <c r="C1465" s="24"/>
      <c r="D1465" s="22"/>
      <c r="F1465" s="114"/>
      <c r="G1465" s="114"/>
      <c r="H1465" s="114"/>
      <c r="I1465" s="114"/>
      <c r="J1465" s="114"/>
      <c r="K1465" s="114"/>
      <c r="L1465" s="114"/>
      <c r="M1465" s="114"/>
      <c r="X1465" s="56"/>
      <c r="Y1465" s="56"/>
      <c r="AA1465" s="56"/>
      <c r="AB1465" s="114"/>
    </row>
    <row r="1466">
      <c r="A1466" s="24"/>
      <c r="B1466" s="24"/>
      <c r="C1466" s="24"/>
      <c r="D1466" s="22"/>
      <c r="F1466" s="114"/>
      <c r="G1466" s="114"/>
      <c r="H1466" s="114"/>
      <c r="I1466" s="114"/>
      <c r="J1466" s="114"/>
      <c r="K1466" s="114"/>
      <c r="L1466" s="114"/>
      <c r="M1466" s="114"/>
      <c r="X1466" s="56"/>
      <c r="Y1466" s="56"/>
      <c r="AA1466" s="56"/>
      <c r="AB1466" s="114"/>
    </row>
    <row r="1467">
      <c r="A1467" s="24"/>
      <c r="B1467" s="24"/>
      <c r="C1467" s="24"/>
      <c r="D1467" s="22"/>
      <c r="F1467" s="114"/>
      <c r="G1467" s="114"/>
      <c r="H1467" s="114"/>
      <c r="I1467" s="114"/>
      <c r="J1467" s="114"/>
      <c r="K1467" s="114"/>
      <c r="L1467" s="114"/>
      <c r="M1467" s="114"/>
      <c r="X1467" s="56"/>
      <c r="Y1467" s="56"/>
      <c r="AA1467" s="56"/>
      <c r="AB1467" s="114"/>
    </row>
    <row r="1468">
      <c r="A1468" s="24"/>
      <c r="B1468" s="24"/>
      <c r="C1468" s="24"/>
      <c r="D1468" s="22"/>
      <c r="F1468" s="114"/>
      <c r="G1468" s="114"/>
      <c r="H1468" s="114"/>
      <c r="I1468" s="114"/>
      <c r="J1468" s="114"/>
      <c r="K1468" s="114"/>
      <c r="L1468" s="114"/>
      <c r="M1468" s="114"/>
      <c r="X1468" s="56"/>
      <c r="Y1468" s="56"/>
      <c r="AA1468" s="56"/>
      <c r="AB1468" s="114"/>
    </row>
    <row r="1469">
      <c r="A1469" s="24"/>
      <c r="B1469" s="24"/>
      <c r="C1469" s="24"/>
      <c r="D1469" s="22"/>
      <c r="F1469" s="114"/>
      <c r="G1469" s="114"/>
      <c r="H1469" s="114"/>
      <c r="I1469" s="114"/>
      <c r="J1469" s="114"/>
      <c r="K1469" s="114"/>
      <c r="L1469" s="114"/>
      <c r="M1469" s="114"/>
      <c r="X1469" s="56"/>
      <c r="Y1469" s="56"/>
      <c r="AA1469" s="56"/>
      <c r="AB1469" s="114"/>
    </row>
    <row r="1470">
      <c r="A1470" s="24"/>
      <c r="B1470" s="24"/>
      <c r="C1470" s="24"/>
      <c r="D1470" s="22"/>
      <c r="F1470" s="114"/>
      <c r="G1470" s="114"/>
      <c r="H1470" s="114"/>
      <c r="I1470" s="114"/>
      <c r="J1470" s="114"/>
      <c r="K1470" s="114"/>
      <c r="L1470" s="114"/>
      <c r="M1470" s="114"/>
      <c r="X1470" s="56"/>
      <c r="Y1470" s="56"/>
      <c r="AA1470" s="56"/>
      <c r="AB1470" s="114"/>
    </row>
    <row r="1471">
      <c r="A1471" s="24"/>
      <c r="B1471" s="24"/>
      <c r="C1471" s="24"/>
      <c r="D1471" s="22"/>
      <c r="F1471" s="114"/>
      <c r="G1471" s="114"/>
      <c r="H1471" s="114"/>
      <c r="I1471" s="114"/>
      <c r="J1471" s="114"/>
      <c r="K1471" s="114"/>
      <c r="L1471" s="114"/>
      <c r="M1471" s="114"/>
      <c r="X1471" s="56"/>
      <c r="Y1471" s="56"/>
      <c r="AA1471" s="56"/>
      <c r="AB1471" s="114"/>
    </row>
    <row r="1472">
      <c r="A1472" s="24"/>
      <c r="B1472" s="24"/>
      <c r="C1472" s="24"/>
      <c r="D1472" s="22"/>
      <c r="F1472" s="114"/>
      <c r="G1472" s="114"/>
      <c r="H1472" s="114"/>
      <c r="I1472" s="114"/>
      <c r="J1472" s="114"/>
      <c r="K1472" s="114"/>
      <c r="L1472" s="114"/>
      <c r="M1472" s="114"/>
      <c r="X1472" s="56"/>
      <c r="Y1472" s="56"/>
      <c r="AA1472" s="56"/>
      <c r="AB1472" s="114"/>
    </row>
    <row r="1473">
      <c r="A1473" s="24"/>
      <c r="B1473" s="24"/>
      <c r="C1473" s="24"/>
      <c r="D1473" s="22"/>
      <c r="F1473" s="114"/>
      <c r="G1473" s="114"/>
      <c r="H1473" s="114"/>
      <c r="I1473" s="114"/>
      <c r="J1473" s="114"/>
      <c r="K1473" s="114"/>
      <c r="L1473" s="114"/>
      <c r="M1473" s="114"/>
      <c r="X1473" s="56"/>
      <c r="Y1473" s="56"/>
      <c r="AA1473" s="56"/>
      <c r="AB1473" s="114"/>
    </row>
    <row r="1474">
      <c r="A1474" s="24"/>
      <c r="B1474" s="24"/>
      <c r="C1474" s="24"/>
      <c r="D1474" s="22"/>
      <c r="F1474" s="114"/>
      <c r="G1474" s="114"/>
      <c r="H1474" s="114"/>
      <c r="I1474" s="114"/>
      <c r="J1474" s="114"/>
      <c r="K1474" s="114"/>
      <c r="L1474" s="114"/>
      <c r="M1474" s="114"/>
      <c r="X1474" s="56"/>
      <c r="Y1474" s="56"/>
      <c r="AA1474" s="56"/>
      <c r="AB1474" s="114"/>
    </row>
    <row r="1475">
      <c r="A1475" s="24"/>
      <c r="B1475" s="24"/>
      <c r="C1475" s="24"/>
      <c r="D1475" s="22"/>
      <c r="F1475" s="114"/>
      <c r="G1475" s="114"/>
      <c r="H1475" s="114"/>
      <c r="I1475" s="114"/>
      <c r="J1475" s="114"/>
      <c r="K1475" s="114"/>
      <c r="L1475" s="114"/>
      <c r="M1475" s="114"/>
      <c r="X1475" s="56"/>
      <c r="Y1475" s="56"/>
      <c r="AA1475" s="56"/>
      <c r="AB1475" s="114"/>
    </row>
    <row r="1476">
      <c r="A1476" s="24"/>
      <c r="B1476" s="24"/>
      <c r="C1476" s="24"/>
      <c r="D1476" s="22"/>
      <c r="F1476" s="114"/>
      <c r="G1476" s="114"/>
      <c r="H1476" s="114"/>
      <c r="I1476" s="114"/>
      <c r="J1476" s="114"/>
      <c r="K1476" s="114"/>
      <c r="L1476" s="114"/>
      <c r="M1476" s="114"/>
      <c r="X1476" s="56"/>
      <c r="Y1476" s="56"/>
      <c r="AA1476" s="56"/>
      <c r="AB1476" s="114"/>
    </row>
    <row r="1477">
      <c r="A1477" s="24"/>
      <c r="B1477" s="24"/>
      <c r="C1477" s="24"/>
      <c r="D1477" s="22"/>
      <c r="F1477" s="114"/>
      <c r="G1477" s="114"/>
      <c r="H1477" s="114"/>
      <c r="I1477" s="114"/>
      <c r="J1477" s="114"/>
      <c r="K1477" s="114"/>
      <c r="L1477" s="114"/>
      <c r="M1477" s="114"/>
      <c r="X1477" s="56"/>
      <c r="Y1477" s="56"/>
      <c r="AA1477" s="56"/>
      <c r="AB1477" s="114"/>
    </row>
    <row r="1478">
      <c r="A1478" s="24"/>
      <c r="B1478" s="24"/>
      <c r="C1478" s="24"/>
      <c r="D1478" s="22"/>
      <c r="F1478" s="114"/>
      <c r="G1478" s="114"/>
      <c r="H1478" s="114"/>
      <c r="I1478" s="114"/>
      <c r="J1478" s="114"/>
      <c r="K1478" s="114"/>
      <c r="L1478" s="114"/>
      <c r="M1478" s="114"/>
      <c r="X1478" s="56"/>
      <c r="Y1478" s="56"/>
      <c r="AA1478" s="56"/>
      <c r="AB1478" s="114"/>
    </row>
    <row r="1479">
      <c r="A1479" s="24"/>
      <c r="B1479" s="24"/>
      <c r="C1479" s="24"/>
      <c r="D1479" s="22"/>
      <c r="F1479" s="114"/>
      <c r="G1479" s="114"/>
      <c r="H1479" s="114"/>
      <c r="I1479" s="114"/>
      <c r="J1479" s="114"/>
      <c r="K1479" s="114"/>
      <c r="L1479" s="114"/>
      <c r="M1479" s="114"/>
      <c r="X1479" s="56"/>
      <c r="Y1479" s="56"/>
      <c r="AA1479" s="56"/>
      <c r="AB1479" s="114"/>
    </row>
    <row r="1480">
      <c r="A1480" s="24"/>
      <c r="B1480" s="24"/>
      <c r="C1480" s="24"/>
      <c r="D1480" s="22"/>
      <c r="F1480" s="114"/>
      <c r="G1480" s="114"/>
      <c r="H1480" s="114"/>
      <c r="I1480" s="114"/>
      <c r="J1480" s="114"/>
      <c r="K1480" s="114"/>
      <c r="L1480" s="114"/>
      <c r="M1480" s="114"/>
      <c r="X1480" s="56"/>
      <c r="Y1480" s="56"/>
      <c r="AA1480" s="56"/>
      <c r="AB1480" s="114"/>
    </row>
    <row r="1481">
      <c r="A1481" s="24"/>
      <c r="B1481" s="24"/>
      <c r="C1481" s="24"/>
      <c r="D1481" s="22"/>
      <c r="F1481" s="114"/>
      <c r="G1481" s="114"/>
      <c r="H1481" s="114"/>
      <c r="I1481" s="114"/>
      <c r="J1481" s="114"/>
      <c r="K1481" s="114"/>
      <c r="L1481" s="114"/>
      <c r="M1481" s="114"/>
      <c r="X1481" s="56"/>
      <c r="Y1481" s="56"/>
      <c r="AA1481" s="56"/>
      <c r="AB1481" s="114"/>
    </row>
    <row r="1482">
      <c r="A1482" s="24"/>
      <c r="B1482" s="24"/>
      <c r="C1482" s="24"/>
      <c r="D1482" s="22"/>
      <c r="F1482" s="114"/>
      <c r="G1482" s="114"/>
      <c r="H1482" s="114"/>
      <c r="I1482" s="114"/>
      <c r="J1482" s="114"/>
      <c r="K1482" s="114"/>
      <c r="L1482" s="114"/>
      <c r="M1482" s="114"/>
      <c r="X1482" s="56"/>
      <c r="Y1482" s="56"/>
      <c r="AA1482" s="56"/>
      <c r="AB1482" s="114"/>
    </row>
    <row r="1483">
      <c r="A1483" s="24"/>
      <c r="B1483" s="24"/>
      <c r="C1483" s="24"/>
      <c r="D1483" s="22"/>
      <c r="F1483" s="114"/>
      <c r="G1483" s="114"/>
      <c r="H1483" s="114"/>
      <c r="I1483" s="114"/>
      <c r="J1483" s="114"/>
      <c r="K1483" s="114"/>
      <c r="L1483" s="114"/>
      <c r="M1483" s="114"/>
      <c r="X1483" s="56"/>
      <c r="Y1483" s="56"/>
      <c r="AA1483" s="56"/>
      <c r="AB1483" s="114"/>
    </row>
    <row r="1484">
      <c r="A1484" s="24"/>
      <c r="B1484" s="24"/>
      <c r="C1484" s="24"/>
      <c r="D1484" s="22"/>
      <c r="F1484" s="114"/>
      <c r="G1484" s="114"/>
      <c r="H1484" s="114"/>
      <c r="I1484" s="114"/>
      <c r="J1484" s="114"/>
      <c r="K1484" s="114"/>
      <c r="L1484" s="114"/>
      <c r="M1484" s="114"/>
      <c r="X1484" s="56"/>
      <c r="Y1484" s="56"/>
      <c r="AA1484" s="56"/>
      <c r="AB1484" s="114"/>
    </row>
    <row r="1485">
      <c r="A1485" s="24"/>
      <c r="B1485" s="24"/>
      <c r="C1485" s="24"/>
      <c r="D1485" s="22"/>
      <c r="F1485" s="114"/>
      <c r="G1485" s="114"/>
      <c r="H1485" s="114"/>
      <c r="I1485" s="114"/>
      <c r="J1485" s="114"/>
      <c r="K1485" s="114"/>
      <c r="L1485" s="114"/>
      <c r="M1485" s="114"/>
      <c r="X1485" s="56"/>
      <c r="Y1485" s="56"/>
      <c r="AA1485" s="56"/>
      <c r="AB1485" s="114"/>
    </row>
    <row r="1486">
      <c r="A1486" s="24"/>
      <c r="B1486" s="24"/>
      <c r="C1486" s="24"/>
      <c r="D1486" s="22"/>
      <c r="F1486" s="114"/>
      <c r="G1486" s="114"/>
      <c r="H1486" s="114"/>
      <c r="I1486" s="114"/>
      <c r="J1486" s="114"/>
      <c r="K1486" s="114"/>
      <c r="L1486" s="114"/>
      <c r="M1486" s="114"/>
      <c r="X1486" s="56"/>
      <c r="Y1486" s="56"/>
      <c r="AA1486" s="56"/>
      <c r="AB1486" s="114"/>
    </row>
    <row r="1487">
      <c r="A1487" s="24"/>
      <c r="B1487" s="24"/>
      <c r="C1487" s="24"/>
      <c r="D1487" s="22"/>
      <c r="F1487" s="114"/>
      <c r="G1487" s="114"/>
      <c r="H1487" s="114"/>
      <c r="I1487" s="114"/>
      <c r="J1487" s="114"/>
      <c r="K1487" s="114"/>
      <c r="L1487" s="114"/>
      <c r="M1487" s="114"/>
      <c r="X1487" s="56"/>
      <c r="Y1487" s="56"/>
      <c r="AA1487" s="56"/>
      <c r="AB1487" s="114"/>
    </row>
    <row r="1488">
      <c r="A1488" s="24"/>
      <c r="B1488" s="24"/>
      <c r="C1488" s="24"/>
      <c r="D1488" s="22"/>
      <c r="F1488" s="114"/>
      <c r="G1488" s="114"/>
      <c r="H1488" s="114"/>
      <c r="I1488" s="114"/>
      <c r="J1488" s="114"/>
      <c r="K1488" s="114"/>
      <c r="L1488" s="114"/>
      <c r="M1488" s="114"/>
      <c r="X1488" s="56"/>
      <c r="Y1488" s="56"/>
      <c r="AA1488" s="56"/>
      <c r="AB1488" s="114"/>
    </row>
    <row r="1489">
      <c r="A1489" s="24"/>
      <c r="B1489" s="24"/>
      <c r="C1489" s="24"/>
      <c r="D1489" s="22"/>
      <c r="F1489" s="114"/>
      <c r="G1489" s="114"/>
      <c r="H1489" s="114"/>
      <c r="I1489" s="114"/>
      <c r="J1489" s="114"/>
      <c r="K1489" s="114"/>
      <c r="L1489" s="114"/>
      <c r="M1489" s="114"/>
      <c r="X1489" s="56"/>
      <c r="Y1489" s="56"/>
      <c r="AA1489" s="56"/>
      <c r="AB1489" s="114"/>
    </row>
    <row r="1490">
      <c r="A1490" s="24"/>
      <c r="B1490" s="24"/>
      <c r="C1490" s="24"/>
      <c r="D1490" s="22"/>
      <c r="F1490" s="114"/>
      <c r="G1490" s="114"/>
      <c r="H1490" s="114"/>
      <c r="I1490" s="114"/>
      <c r="J1490" s="114"/>
      <c r="K1490" s="114"/>
      <c r="L1490" s="114"/>
      <c r="M1490" s="114"/>
      <c r="X1490" s="56"/>
      <c r="Y1490" s="56"/>
      <c r="AA1490" s="56"/>
      <c r="AB1490" s="114"/>
    </row>
    <row r="1491">
      <c r="A1491" s="24"/>
      <c r="B1491" s="24"/>
      <c r="C1491" s="24"/>
      <c r="D1491" s="22"/>
      <c r="F1491" s="114"/>
      <c r="G1491" s="114"/>
      <c r="H1491" s="114"/>
      <c r="I1491" s="114"/>
      <c r="J1491" s="114"/>
      <c r="K1491" s="114"/>
      <c r="L1491" s="114"/>
      <c r="M1491" s="114"/>
      <c r="X1491" s="56"/>
      <c r="Y1491" s="56"/>
      <c r="AA1491" s="56"/>
      <c r="AB1491" s="114"/>
    </row>
    <row r="1492">
      <c r="A1492" s="24"/>
      <c r="B1492" s="24"/>
      <c r="C1492" s="24"/>
      <c r="D1492" s="22"/>
      <c r="F1492" s="114"/>
      <c r="G1492" s="114"/>
      <c r="H1492" s="114"/>
      <c r="I1492" s="114"/>
      <c r="J1492" s="114"/>
      <c r="K1492" s="114"/>
      <c r="L1492" s="114"/>
      <c r="M1492" s="114"/>
      <c r="X1492" s="56"/>
      <c r="Y1492" s="56"/>
      <c r="AA1492" s="56"/>
      <c r="AB1492" s="114"/>
    </row>
    <row r="1493">
      <c r="A1493" s="24"/>
      <c r="B1493" s="24"/>
      <c r="C1493" s="24"/>
      <c r="D1493" s="22"/>
      <c r="F1493" s="114"/>
      <c r="G1493" s="114"/>
      <c r="H1493" s="114"/>
      <c r="I1493" s="114"/>
      <c r="J1493" s="114"/>
      <c r="K1493" s="114"/>
      <c r="L1493" s="114"/>
      <c r="M1493" s="114"/>
      <c r="X1493" s="56"/>
      <c r="Y1493" s="56"/>
      <c r="AA1493" s="56"/>
      <c r="AB1493" s="114"/>
    </row>
    <row r="1494">
      <c r="A1494" s="24"/>
      <c r="B1494" s="24"/>
      <c r="C1494" s="24"/>
      <c r="D1494" s="22"/>
      <c r="F1494" s="114"/>
      <c r="G1494" s="114"/>
      <c r="H1494" s="114"/>
      <c r="I1494" s="114"/>
      <c r="J1494" s="114"/>
      <c r="K1494" s="114"/>
      <c r="L1494" s="114"/>
      <c r="M1494" s="114"/>
      <c r="X1494" s="56"/>
      <c r="Y1494" s="56"/>
      <c r="AA1494" s="56"/>
      <c r="AB1494" s="114"/>
    </row>
    <row r="1495">
      <c r="A1495" s="24"/>
      <c r="B1495" s="24"/>
      <c r="C1495" s="24"/>
      <c r="D1495" s="22"/>
      <c r="F1495" s="114"/>
      <c r="G1495" s="114"/>
      <c r="H1495" s="114"/>
      <c r="I1495" s="114"/>
      <c r="J1495" s="114"/>
      <c r="K1495" s="114"/>
      <c r="L1495" s="114"/>
      <c r="M1495" s="114"/>
      <c r="X1495" s="56"/>
      <c r="Y1495" s="56"/>
      <c r="AA1495" s="56"/>
      <c r="AB1495" s="114"/>
    </row>
    <row r="1496">
      <c r="A1496" s="24"/>
      <c r="B1496" s="24"/>
      <c r="C1496" s="24"/>
      <c r="D1496" s="22"/>
      <c r="F1496" s="114"/>
      <c r="G1496" s="114"/>
      <c r="H1496" s="114"/>
      <c r="I1496" s="114"/>
      <c r="J1496" s="114"/>
      <c r="K1496" s="114"/>
      <c r="L1496" s="114"/>
      <c r="M1496" s="114"/>
      <c r="X1496" s="56"/>
      <c r="Y1496" s="56"/>
      <c r="AA1496" s="56"/>
      <c r="AB1496" s="114"/>
    </row>
    <row r="1497">
      <c r="A1497" s="24"/>
      <c r="B1497" s="24"/>
      <c r="C1497" s="24"/>
      <c r="D1497" s="22"/>
      <c r="F1497" s="114"/>
      <c r="G1497" s="114"/>
      <c r="H1497" s="114"/>
      <c r="I1497" s="114"/>
      <c r="J1497" s="114"/>
      <c r="K1497" s="114"/>
      <c r="L1497" s="114"/>
      <c r="M1497" s="114"/>
      <c r="X1497" s="56"/>
      <c r="Y1497" s="56"/>
      <c r="AA1497" s="56"/>
      <c r="AB1497" s="114"/>
    </row>
    <row r="1498">
      <c r="A1498" s="24"/>
      <c r="B1498" s="24"/>
      <c r="C1498" s="24"/>
      <c r="D1498" s="22"/>
      <c r="F1498" s="114"/>
      <c r="G1498" s="114"/>
      <c r="H1498" s="114"/>
      <c r="I1498" s="114"/>
      <c r="J1498" s="114"/>
      <c r="K1498" s="114"/>
      <c r="L1498" s="114"/>
      <c r="M1498" s="114"/>
      <c r="X1498" s="56"/>
      <c r="Y1498" s="56"/>
      <c r="AA1498" s="56"/>
      <c r="AB1498" s="114"/>
    </row>
    <row r="1499">
      <c r="A1499" s="24"/>
      <c r="B1499" s="24"/>
      <c r="C1499" s="24"/>
      <c r="D1499" s="22"/>
      <c r="F1499" s="114"/>
      <c r="G1499" s="114"/>
      <c r="H1499" s="114"/>
      <c r="I1499" s="114"/>
      <c r="J1499" s="114"/>
      <c r="K1499" s="114"/>
      <c r="L1499" s="114"/>
      <c r="M1499" s="114"/>
      <c r="X1499" s="56"/>
      <c r="Y1499" s="56"/>
      <c r="AA1499" s="56"/>
      <c r="AB1499" s="114"/>
    </row>
    <row r="1500">
      <c r="A1500" s="24"/>
      <c r="B1500" s="24"/>
      <c r="C1500" s="24"/>
      <c r="D1500" s="22"/>
      <c r="F1500" s="114"/>
      <c r="G1500" s="114"/>
      <c r="H1500" s="114"/>
      <c r="I1500" s="114"/>
      <c r="J1500" s="114"/>
      <c r="K1500" s="114"/>
      <c r="L1500" s="114"/>
      <c r="M1500" s="114"/>
      <c r="X1500" s="56"/>
      <c r="Y1500" s="56"/>
      <c r="AA1500" s="56"/>
      <c r="AB1500" s="114"/>
    </row>
    <row r="1501">
      <c r="A1501" s="24"/>
      <c r="B1501" s="24"/>
      <c r="C1501" s="24"/>
      <c r="D1501" s="22"/>
      <c r="F1501" s="114"/>
      <c r="G1501" s="114"/>
      <c r="H1501" s="114"/>
      <c r="I1501" s="114"/>
      <c r="J1501" s="114"/>
      <c r="K1501" s="114"/>
      <c r="L1501" s="114"/>
      <c r="M1501" s="114"/>
      <c r="X1501" s="56"/>
      <c r="Y1501" s="56"/>
      <c r="AA1501" s="56"/>
      <c r="AB1501" s="114"/>
    </row>
    <row r="1502">
      <c r="A1502" s="24"/>
      <c r="B1502" s="24"/>
      <c r="C1502" s="24"/>
      <c r="D1502" s="22"/>
      <c r="F1502" s="114"/>
      <c r="G1502" s="114"/>
      <c r="H1502" s="114"/>
      <c r="I1502" s="114"/>
      <c r="J1502" s="114"/>
      <c r="K1502" s="114"/>
      <c r="L1502" s="114"/>
      <c r="M1502" s="114"/>
      <c r="X1502" s="56"/>
      <c r="Y1502" s="56"/>
      <c r="AA1502" s="56"/>
      <c r="AB1502" s="114"/>
    </row>
    <row r="1503">
      <c r="A1503" s="24"/>
      <c r="B1503" s="24"/>
      <c r="C1503" s="24"/>
      <c r="D1503" s="22"/>
      <c r="F1503" s="114"/>
      <c r="G1503" s="114"/>
      <c r="H1503" s="114"/>
      <c r="I1503" s="114"/>
      <c r="J1503" s="114"/>
      <c r="K1503" s="114"/>
      <c r="L1503" s="114"/>
      <c r="M1503" s="114"/>
      <c r="X1503" s="56"/>
      <c r="Y1503" s="56"/>
      <c r="AA1503" s="56"/>
      <c r="AB1503" s="114"/>
    </row>
    <row r="1504">
      <c r="A1504" s="24"/>
      <c r="B1504" s="24"/>
      <c r="C1504" s="24"/>
      <c r="D1504" s="22"/>
      <c r="F1504" s="114"/>
      <c r="G1504" s="114"/>
      <c r="H1504" s="114"/>
      <c r="I1504" s="114"/>
      <c r="J1504" s="114"/>
      <c r="K1504" s="114"/>
      <c r="L1504" s="114"/>
      <c r="M1504" s="114"/>
      <c r="X1504" s="56"/>
      <c r="Y1504" s="56"/>
      <c r="AA1504" s="56"/>
      <c r="AB1504" s="114"/>
    </row>
    <row r="1505">
      <c r="A1505" s="24"/>
      <c r="B1505" s="24"/>
      <c r="C1505" s="24"/>
      <c r="D1505" s="22"/>
      <c r="F1505" s="114"/>
      <c r="G1505" s="114"/>
      <c r="H1505" s="114"/>
      <c r="I1505" s="114"/>
      <c r="J1505" s="114"/>
      <c r="K1505" s="114"/>
      <c r="L1505" s="114"/>
      <c r="M1505" s="114"/>
      <c r="X1505" s="56"/>
      <c r="Y1505" s="56"/>
      <c r="AA1505" s="56"/>
      <c r="AB1505" s="114"/>
    </row>
    <row r="1506">
      <c r="A1506" s="24"/>
      <c r="B1506" s="24"/>
      <c r="C1506" s="24"/>
      <c r="D1506" s="22"/>
      <c r="F1506" s="114"/>
      <c r="G1506" s="114"/>
      <c r="H1506" s="114"/>
      <c r="I1506" s="114"/>
      <c r="J1506" s="114"/>
      <c r="K1506" s="114"/>
      <c r="L1506" s="114"/>
      <c r="M1506" s="114"/>
      <c r="X1506" s="56"/>
      <c r="Y1506" s="56"/>
      <c r="AA1506" s="56"/>
      <c r="AB1506" s="114"/>
    </row>
    <row r="1507">
      <c r="A1507" s="24"/>
      <c r="B1507" s="24"/>
      <c r="C1507" s="24"/>
      <c r="D1507" s="22"/>
      <c r="F1507" s="114"/>
      <c r="G1507" s="114"/>
      <c r="H1507" s="114"/>
      <c r="I1507" s="114"/>
      <c r="J1507" s="114"/>
      <c r="K1507" s="114"/>
      <c r="L1507" s="114"/>
      <c r="M1507" s="114"/>
      <c r="X1507" s="56"/>
      <c r="Y1507" s="56"/>
      <c r="AA1507" s="56"/>
      <c r="AB1507" s="114"/>
    </row>
    <row r="1508">
      <c r="A1508" s="24"/>
      <c r="B1508" s="24"/>
      <c r="C1508" s="24"/>
      <c r="D1508" s="22"/>
      <c r="F1508" s="114"/>
      <c r="G1508" s="114"/>
      <c r="H1508" s="114"/>
      <c r="I1508" s="114"/>
      <c r="J1508" s="114"/>
      <c r="K1508" s="114"/>
      <c r="L1508" s="114"/>
      <c r="M1508" s="114"/>
      <c r="X1508" s="56"/>
      <c r="Y1508" s="56"/>
      <c r="AA1508" s="56"/>
      <c r="AB1508" s="114"/>
    </row>
    <row r="1509">
      <c r="A1509" s="24"/>
      <c r="B1509" s="24"/>
      <c r="C1509" s="24"/>
      <c r="D1509" s="22"/>
      <c r="F1509" s="114"/>
      <c r="G1509" s="114"/>
      <c r="H1509" s="114"/>
      <c r="I1509" s="114"/>
      <c r="J1509" s="114"/>
      <c r="K1509" s="114"/>
      <c r="L1509" s="114"/>
      <c r="M1509" s="114"/>
      <c r="X1509" s="56"/>
      <c r="Y1509" s="56"/>
      <c r="AA1509" s="56"/>
      <c r="AB1509" s="114"/>
    </row>
    <row r="1510">
      <c r="A1510" s="24"/>
      <c r="B1510" s="24"/>
      <c r="C1510" s="24"/>
      <c r="D1510" s="22"/>
      <c r="F1510" s="114"/>
      <c r="G1510" s="114"/>
      <c r="H1510" s="114"/>
      <c r="I1510" s="114"/>
      <c r="J1510" s="114"/>
      <c r="K1510" s="114"/>
      <c r="L1510" s="114"/>
      <c r="M1510" s="114"/>
      <c r="X1510" s="56"/>
      <c r="Y1510" s="56"/>
      <c r="AA1510" s="56"/>
      <c r="AB1510" s="114"/>
    </row>
    <row r="1511">
      <c r="A1511" s="24"/>
      <c r="B1511" s="24"/>
      <c r="C1511" s="24"/>
      <c r="D1511" s="22"/>
      <c r="F1511" s="114"/>
      <c r="G1511" s="114"/>
      <c r="H1511" s="114"/>
      <c r="I1511" s="114"/>
      <c r="J1511" s="114"/>
      <c r="K1511" s="114"/>
      <c r="L1511" s="114"/>
      <c r="M1511" s="114"/>
      <c r="X1511" s="56"/>
      <c r="Y1511" s="56"/>
      <c r="AA1511" s="56"/>
      <c r="AB1511" s="114"/>
    </row>
    <row r="1512">
      <c r="A1512" s="24"/>
      <c r="B1512" s="24"/>
      <c r="C1512" s="24"/>
      <c r="D1512" s="22"/>
      <c r="F1512" s="114"/>
      <c r="G1512" s="114"/>
      <c r="H1512" s="114"/>
      <c r="I1512" s="114"/>
      <c r="J1512" s="114"/>
      <c r="K1512" s="114"/>
      <c r="L1512" s="114"/>
      <c r="M1512" s="114"/>
      <c r="X1512" s="56"/>
      <c r="Y1512" s="56"/>
      <c r="AA1512" s="56"/>
      <c r="AB1512" s="114"/>
    </row>
    <row r="1513">
      <c r="A1513" s="24"/>
      <c r="B1513" s="24"/>
      <c r="C1513" s="24"/>
      <c r="D1513" s="22"/>
      <c r="F1513" s="114"/>
      <c r="G1513" s="114"/>
      <c r="H1513" s="114"/>
      <c r="I1513" s="114"/>
      <c r="J1513" s="114"/>
      <c r="K1513" s="114"/>
      <c r="L1513" s="114"/>
      <c r="M1513" s="114"/>
      <c r="X1513" s="56"/>
      <c r="Y1513" s="56"/>
      <c r="AA1513" s="56"/>
      <c r="AB1513" s="114"/>
    </row>
    <row r="1514">
      <c r="A1514" s="24"/>
      <c r="B1514" s="24"/>
      <c r="C1514" s="24"/>
      <c r="D1514" s="22"/>
      <c r="F1514" s="114"/>
      <c r="G1514" s="114"/>
      <c r="H1514" s="114"/>
      <c r="I1514" s="114"/>
      <c r="J1514" s="114"/>
      <c r="K1514" s="114"/>
      <c r="L1514" s="114"/>
      <c r="M1514" s="114"/>
      <c r="X1514" s="56"/>
      <c r="Y1514" s="56"/>
      <c r="AA1514" s="56"/>
      <c r="AB1514" s="114"/>
    </row>
    <row r="1515">
      <c r="A1515" s="24"/>
      <c r="B1515" s="24"/>
      <c r="C1515" s="24"/>
      <c r="D1515" s="22"/>
      <c r="F1515" s="114"/>
      <c r="G1515" s="114"/>
      <c r="H1515" s="114"/>
      <c r="I1515" s="114"/>
      <c r="J1515" s="114"/>
      <c r="K1515" s="114"/>
      <c r="L1515" s="114"/>
      <c r="M1515" s="114"/>
      <c r="X1515" s="56"/>
      <c r="Y1515" s="56"/>
      <c r="AA1515" s="56"/>
      <c r="AB1515" s="114"/>
    </row>
    <row r="1516">
      <c r="A1516" s="24"/>
      <c r="B1516" s="24"/>
      <c r="C1516" s="24"/>
      <c r="D1516" s="22"/>
      <c r="F1516" s="114"/>
      <c r="G1516" s="114"/>
      <c r="H1516" s="114"/>
      <c r="I1516" s="114"/>
      <c r="J1516" s="114"/>
      <c r="K1516" s="114"/>
      <c r="L1516" s="114"/>
      <c r="M1516" s="114"/>
      <c r="X1516" s="56"/>
      <c r="Y1516" s="56"/>
      <c r="AA1516" s="56"/>
      <c r="AB1516" s="114"/>
    </row>
    <row r="1517">
      <c r="A1517" s="24"/>
      <c r="B1517" s="24"/>
      <c r="C1517" s="24"/>
      <c r="D1517" s="22"/>
      <c r="F1517" s="114"/>
      <c r="G1517" s="114"/>
      <c r="H1517" s="114"/>
      <c r="I1517" s="114"/>
      <c r="J1517" s="114"/>
      <c r="K1517" s="114"/>
      <c r="L1517" s="114"/>
      <c r="M1517" s="114"/>
      <c r="X1517" s="56"/>
      <c r="Y1517" s="56"/>
      <c r="AA1517" s="56"/>
      <c r="AB1517" s="114"/>
    </row>
    <row r="1518">
      <c r="A1518" s="24"/>
      <c r="B1518" s="24"/>
      <c r="C1518" s="24"/>
      <c r="D1518" s="22"/>
      <c r="F1518" s="114"/>
      <c r="G1518" s="114"/>
      <c r="H1518" s="114"/>
      <c r="I1518" s="114"/>
      <c r="J1518" s="114"/>
      <c r="K1518" s="114"/>
      <c r="L1518" s="114"/>
      <c r="M1518" s="114"/>
      <c r="X1518" s="56"/>
      <c r="Y1518" s="56"/>
      <c r="AA1518" s="56"/>
      <c r="AB1518" s="114"/>
    </row>
    <row r="1519">
      <c r="A1519" s="24"/>
      <c r="B1519" s="24"/>
      <c r="C1519" s="24"/>
      <c r="D1519" s="22"/>
      <c r="F1519" s="114"/>
      <c r="G1519" s="114"/>
      <c r="H1519" s="114"/>
      <c r="I1519" s="114"/>
      <c r="J1519" s="114"/>
      <c r="K1519" s="114"/>
      <c r="L1519" s="114"/>
      <c r="M1519" s="114"/>
      <c r="X1519" s="56"/>
      <c r="Y1519" s="56"/>
      <c r="AA1519" s="56"/>
      <c r="AB1519" s="114"/>
    </row>
    <row r="1520">
      <c r="A1520" s="24"/>
      <c r="B1520" s="24"/>
      <c r="C1520" s="24"/>
      <c r="D1520" s="22"/>
      <c r="F1520" s="114"/>
      <c r="G1520" s="114"/>
      <c r="H1520" s="114"/>
      <c r="I1520" s="114"/>
      <c r="J1520" s="114"/>
      <c r="K1520" s="114"/>
      <c r="L1520" s="114"/>
      <c r="M1520" s="114"/>
      <c r="X1520" s="56"/>
      <c r="Y1520" s="56"/>
      <c r="AA1520" s="56"/>
      <c r="AB1520" s="114"/>
    </row>
    <row r="1521">
      <c r="A1521" s="24"/>
      <c r="B1521" s="24"/>
      <c r="C1521" s="24"/>
      <c r="D1521" s="22"/>
      <c r="F1521" s="114"/>
      <c r="G1521" s="114"/>
      <c r="H1521" s="114"/>
      <c r="I1521" s="114"/>
      <c r="J1521" s="114"/>
      <c r="K1521" s="114"/>
      <c r="L1521" s="114"/>
      <c r="M1521" s="114"/>
      <c r="X1521" s="56"/>
      <c r="Y1521" s="56"/>
      <c r="AA1521" s="56"/>
      <c r="AB1521" s="114"/>
    </row>
    <row r="1522">
      <c r="A1522" s="24"/>
      <c r="B1522" s="24"/>
      <c r="C1522" s="24"/>
      <c r="D1522" s="22"/>
      <c r="F1522" s="114"/>
      <c r="G1522" s="114"/>
      <c r="H1522" s="114"/>
      <c r="I1522" s="114"/>
      <c r="J1522" s="114"/>
      <c r="K1522" s="114"/>
      <c r="L1522" s="114"/>
      <c r="M1522" s="114"/>
      <c r="X1522" s="56"/>
      <c r="Y1522" s="56"/>
      <c r="AA1522" s="56"/>
      <c r="AB1522" s="114"/>
    </row>
    <row r="1523">
      <c r="A1523" s="24"/>
      <c r="B1523" s="24"/>
      <c r="C1523" s="24"/>
      <c r="D1523" s="22"/>
      <c r="F1523" s="114"/>
      <c r="G1523" s="114"/>
      <c r="H1523" s="114"/>
      <c r="I1523" s="114"/>
      <c r="J1523" s="114"/>
      <c r="K1523" s="114"/>
      <c r="L1523" s="114"/>
      <c r="M1523" s="114"/>
      <c r="X1523" s="56"/>
      <c r="Y1523" s="56"/>
      <c r="AA1523" s="56"/>
      <c r="AB1523" s="114"/>
    </row>
    <row r="1524">
      <c r="A1524" s="24"/>
      <c r="B1524" s="24"/>
      <c r="C1524" s="24"/>
      <c r="D1524" s="22"/>
      <c r="F1524" s="114"/>
      <c r="G1524" s="114"/>
      <c r="H1524" s="114"/>
      <c r="I1524" s="114"/>
      <c r="J1524" s="114"/>
      <c r="K1524" s="114"/>
      <c r="L1524" s="114"/>
      <c r="M1524" s="114"/>
      <c r="X1524" s="56"/>
      <c r="Y1524" s="56"/>
      <c r="AA1524" s="56"/>
      <c r="AB1524" s="114"/>
    </row>
    <row r="1525">
      <c r="A1525" s="24"/>
      <c r="B1525" s="24"/>
      <c r="C1525" s="24"/>
      <c r="D1525" s="22"/>
      <c r="F1525" s="114"/>
      <c r="G1525" s="114"/>
      <c r="H1525" s="114"/>
      <c r="I1525" s="114"/>
      <c r="J1525" s="114"/>
      <c r="K1525" s="114"/>
      <c r="L1525" s="114"/>
      <c r="M1525" s="114"/>
      <c r="X1525" s="56"/>
      <c r="Y1525" s="56"/>
      <c r="AA1525" s="56"/>
      <c r="AB1525" s="114"/>
    </row>
    <row r="1526">
      <c r="A1526" s="24"/>
      <c r="B1526" s="24"/>
      <c r="C1526" s="24"/>
      <c r="D1526" s="22"/>
      <c r="F1526" s="114"/>
      <c r="G1526" s="114"/>
      <c r="H1526" s="114"/>
      <c r="I1526" s="114"/>
      <c r="J1526" s="114"/>
      <c r="K1526" s="114"/>
      <c r="L1526" s="114"/>
      <c r="M1526" s="114"/>
      <c r="X1526" s="56"/>
      <c r="Y1526" s="56"/>
      <c r="AA1526" s="56"/>
      <c r="AB1526" s="114"/>
    </row>
    <row r="1527">
      <c r="A1527" s="24"/>
      <c r="B1527" s="24"/>
      <c r="C1527" s="24"/>
      <c r="D1527" s="22"/>
      <c r="F1527" s="114"/>
      <c r="G1527" s="114"/>
      <c r="H1527" s="114"/>
      <c r="I1527" s="114"/>
      <c r="J1527" s="114"/>
      <c r="K1527" s="114"/>
      <c r="L1527" s="114"/>
      <c r="M1527" s="114"/>
      <c r="X1527" s="56"/>
      <c r="Y1527" s="56"/>
      <c r="AA1527" s="56"/>
      <c r="AB1527" s="114"/>
    </row>
    <row r="1528">
      <c r="A1528" s="24"/>
      <c r="B1528" s="24"/>
      <c r="C1528" s="24"/>
      <c r="D1528" s="22"/>
      <c r="F1528" s="114"/>
      <c r="G1528" s="114"/>
      <c r="H1528" s="114"/>
      <c r="I1528" s="114"/>
      <c r="J1528" s="114"/>
      <c r="K1528" s="114"/>
      <c r="L1528" s="114"/>
      <c r="M1528" s="114"/>
      <c r="X1528" s="56"/>
      <c r="Y1528" s="56"/>
      <c r="AA1528" s="56"/>
      <c r="AB1528" s="114"/>
    </row>
    <row r="1529">
      <c r="A1529" s="24"/>
      <c r="B1529" s="24"/>
      <c r="C1529" s="24"/>
      <c r="D1529" s="22"/>
      <c r="F1529" s="114"/>
      <c r="G1529" s="114"/>
      <c r="H1529" s="114"/>
      <c r="I1529" s="114"/>
      <c r="J1529" s="114"/>
      <c r="K1529" s="114"/>
      <c r="L1529" s="114"/>
      <c r="M1529" s="114"/>
      <c r="X1529" s="56"/>
      <c r="Y1529" s="56"/>
      <c r="AA1529" s="56"/>
      <c r="AB1529" s="114"/>
    </row>
    <row r="1530">
      <c r="A1530" s="24"/>
      <c r="B1530" s="24"/>
      <c r="C1530" s="24"/>
      <c r="D1530" s="22"/>
      <c r="F1530" s="114"/>
      <c r="G1530" s="114"/>
      <c r="H1530" s="114"/>
      <c r="I1530" s="114"/>
      <c r="J1530" s="114"/>
      <c r="K1530" s="114"/>
      <c r="L1530" s="114"/>
      <c r="M1530" s="114"/>
      <c r="X1530" s="56"/>
      <c r="Y1530" s="56"/>
      <c r="AA1530" s="56"/>
      <c r="AB1530" s="114"/>
    </row>
    <row r="1531">
      <c r="A1531" s="24"/>
      <c r="B1531" s="24"/>
      <c r="C1531" s="24"/>
      <c r="D1531" s="22"/>
      <c r="F1531" s="114"/>
      <c r="G1531" s="114"/>
      <c r="H1531" s="114"/>
      <c r="I1531" s="114"/>
      <c r="J1531" s="114"/>
      <c r="K1531" s="114"/>
      <c r="L1531" s="114"/>
      <c r="M1531" s="114"/>
      <c r="X1531" s="56"/>
      <c r="Y1531" s="56"/>
      <c r="AA1531" s="56"/>
      <c r="AB1531" s="114"/>
    </row>
    <row r="1532">
      <c r="A1532" s="24"/>
      <c r="B1532" s="24"/>
      <c r="C1532" s="24"/>
      <c r="D1532" s="22"/>
      <c r="F1532" s="114"/>
      <c r="G1532" s="114"/>
      <c r="H1532" s="114"/>
      <c r="I1532" s="114"/>
      <c r="J1532" s="114"/>
      <c r="K1532" s="114"/>
      <c r="L1532" s="114"/>
      <c r="M1532" s="114"/>
      <c r="X1532" s="56"/>
      <c r="Y1532" s="56"/>
      <c r="AA1532" s="56"/>
      <c r="AB1532" s="114"/>
    </row>
    <row r="1533">
      <c r="A1533" s="24"/>
      <c r="B1533" s="24"/>
      <c r="C1533" s="24"/>
      <c r="D1533" s="22"/>
      <c r="F1533" s="114"/>
      <c r="G1533" s="114"/>
      <c r="H1533" s="114"/>
      <c r="I1533" s="114"/>
      <c r="J1533" s="114"/>
      <c r="K1533" s="114"/>
      <c r="L1533" s="114"/>
      <c r="M1533" s="114"/>
      <c r="X1533" s="56"/>
      <c r="Y1533" s="56"/>
      <c r="AA1533" s="56"/>
      <c r="AB1533" s="114"/>
    </row>
    <row r="1534">
      <c r="A1534" s="24"/>
      <c r="B1534" s="24"/>
      <c r="C1534" s="24"/>
      <c r="D1534" s="22"/>
      <c r="F1534" s="114"/>
      <c r="G1534" s="114"/>
      <c r="H1534" s="114"/>
      <c r="I1534" s="114"/>
      <c r="J1534" s="114"/>
      <c r="K1534" s="114"/>
      <c r="L1534" s="114"/>
      <c r="M1534" s="114"/>
      <c r="X1534" s="56"/>
      <c r="Y1534" s="56"/>
      <c r="AA1534" s="56"/>
      <c r="AB1534" s="114"/>
    </row>
    <row r="1535">
      <c r="A1535" s="24"/>
      <c r="B1535" s="24"/>
      <c r="C1535" s="24"/>
      <c r="D1535" s="22"/>
      <c r="F1535" s="114"/>
      <c r="G1535" s="114"/>
      <c r="H1535" s="114"/>
      <c r="I1535" s="114"/>
      <c r="J1535" s="114"/>
      <c r="K1535" s="114"/>
      <c r="L1535" s="114"/>
      <c r="M1535" s="114"/>
      <c r="X1535" s="56"/>
      <c r="Y1535" s="56"/>
      <c r="AA1535" s="56"/>
      <c r="AB1535" s="114"/>
    </row>
    <row r="1536">
      <c r="A1536" s="24"/>
      <c r="B1536" s="24"/>
      <c r="C1536" s="24"/>
      <c r="D1536" s="22"/>
      <c r="F1536" s="114"/>
      <c r="G1536" s="114"/>
      <c r="H1536" s="114"/>
      <c r="I1536" s="114"/>
      <c r="J1536" s="114"/>
      <c r="K1536" s="114"/>
      <c r="L1536" s="114"/>
      <c r="M1536" s="114"/>
      <c r="X1536" s="56"/>
      <c r="Y1536" s="56"/>
      <c r="AA1536" s="56"/>
      <c r="AB1536" s="114"/>
    </row>
    <row r="1537">
      <c r="A1537" s="24"/>
      <c r="B1537" s="24"/>
      <c r="C1537" s="24"/>
      <c r="D1537" s="22"/>
      <c r="F1537" s="114"/>
      <c r="G1537" s="114"/>
      <c r="H1537" s="114"/>
      <c r="I1537" s="114"/>
      <c r="J1537" s="114"/>
      <c r="K1537" s="114"/>
      <c r="L1537" s="114"/>
      <c r="M1537" s="114"/>
      <c r="X1537" s="56"/>
      <c r="Y1537" s="56"/>
      <c r="AA1537" s="56"/>
      <c r="AB1537" s="114"/>
    </row>
    <row r="1538">
      <c r="A1538" s="24"/>
      <c r="B1538" s="24"/>
      <c r="C1538" s="24"/>
      <c r="D1538" s="22"/>
      <c r="F1538" s="114"/>
      <c r="G1538" s="114"/>
      <c r="H1538" s="114"/>
      <c r="I1538" s="114"/>
      <c r="J1538" s="114"/>
      <c r="K1538" s="114"/>
      <c r="L1538" s="114"/>
      <c r="M1538" s="114"/>
      <c r="X1538" s="56"/>
      <c r="Y1538" s="56"/>
      <c r="AA1538" s="56"/>
      <c r="AB1538" s="114"/>
    </row>
    <row r="1539">
      <c r="A1539" s="24"/>
      <c r="B1539" s="24"/>
      <c r="C1539" s="24"/>
      <c r="D1539" s="22"/>
      <c r="F1539" s="114"/>
      <c r="G1539" s="114"/>
      <c r="H1539" s="114"/>
      <c r="I1539" s="114"/>
      <c r="J1539" s="114"/>
      <c r="K1539" s="114"/>
      <c r="L1539" s="114"/>
      <c r="M1539" s="114"/>
      <c r="X1539" s="56"/>
      <c r="Y1539" s="56"/>
      <c r="AA1539" s="56"/>
      <c r="AB1539" s="114"/>
    </row>
    <row r="1540">
      <c r="A1540" s="24"/>
      <c r="B1540" s="24"/>
      <c r="C1540" s="24"/>
      <c r="D1540" s="22"/>
      <c r="F1540" s="114"/>
      <c r="G1540" s="114"/>
      <c r="H1540" s="114"/>
      <c r="I1540" s="114"/>
      <c r="J1540" s="114"/>
      <c r="K1540" s="114"/>
      <c r="L1540" s="114"/>
      <c r="M1540" s="114"/>
      <c r="X1540" s="56"/>
      <c r="Y1540" s="56"/>
      <c r="AA1540" s="56"/>
      <c r="AB1540" s="114"/>
    </row>
    <row r="1541">
      <c r="A1541" s="24"/>
      <c r="B1541" s="24"/>
      <c r="C1541" s="24"/>
      <c r="D1541" s="22"/>
      <c r="F1541" s="114"/>
      <c r="G1541" s="114"/>
      <c r="H1541" s="114"/>
      <c r="I1541" s="114"/>
      <c r="J1541" s="114"/>
      <c r="K1541" s="114"/>
      <c r="L1541" s="114"/>
      <c r="M1541" s="114"/>
      <c r="X1541" s="56"/>
      <c r="Y1541" s="56"/>
      <c r="AA1541" s="56"/>
      <c r="AB1541" s="114"/>
    </row>
    <row r="1542">
      <c r="A1542" s="24"/>
      <c r="B1542" s="24"/>
      <c r="C1542" s="24"/>
      <c r="D1542" s="22"/>
      <c r="F1542" s="114"/>
      <c r="G1542" s="114"/>
      <c r="H1542" s="114"/>
      <c r="I1542" s="114"/>
      <c r="J1542" s="114"/>
      <c r="K1542" s="114"/>
      <c r="L1542" s="114"/>
      <c r="M1542" s="114"/>
      <c r="X1542" s="56"/>
      <c r="Y1542" s="56"/>
      <c r="AA1542" s="56"/>
      <c r="AB1542" s="114"/>
    </row>
    <row r="1543">
      <c r="A1543" s="24"/>
      <c r="B1543" s="24"/>
      <c r="C1543" s="24"/>
      <c r="D1543" s="22"/>
      <c r="F1543" s="114"/>
      <c r="G1543" s="114"/>
      <c r="H1543" s="114"/>
      <c r="I1543" s="114"/>
      <c r="J1543" s="114"/>
      <c r="K1543" s="114"/>
      <c r="L1543" s="114"/>
      <c r="M1543" s="114"/>
      <c r="X1543" s="56"/>
      <c r="Y1543" s="56"/>
      <c r="AA1543" s="56"/>
      <c r="AB1543" s="114"/>
    </row>
    <row r="1544">
      <c r="A1544" s="24"/>
      <c r="B1544" s="24"/>
      <c r="C1544" s="24"/>
      <c r="D1544" s="22"/>
      <c r="F1544" s="114"/>
      <c r="G1544" s="114"/>
      <c r="H1544" s="114"/>
      <c r="I1544" s="114"/>
      <c r="J1544" s="114"/>
      <c r="K1544" s="114"/>
      <c r="L1544" s="114"/>
      <c r="M1544" s="114"/>
      <c r="X1544" s="56"/>
      <c r="Y1544" s="56"/>
      <c r="AA1544" s="56"/>
      <c r="AB1544" s="114"/>
    </row>
    <row r="1545">
      <c r="A1545" s="24"/>
      <c r="B1545" s="24"/>
      <c r="C1545" s="24"/>
      <c r="D1545" s="22"/>
      <c r="F1545" s="114"/>
      <c r="G1545" s="114"/>
      <c r="H1545" s="114"/>
      <c r="I1545" s="114"/>
      <c r="J1545" s="114"/>
      <c r="K1545" s="114"/>
      <c r="L1545" s="114"/>
      <c r="M1545" s="114"/>
      <c r="X1545" s="56"/>
      <c r="Y1545" s="56"/>
      <c r="AA1545" s="56"/>
      <c r="AB1545" s="114"/>
    </row>
    <row r="1546">
      <c r="A1546" s="24"/>
      <c r="B1546" s="24"/>
      <c r="C1546" s="24"/>
      <c r="D1546" s="22"/>
      <c r="F1546" s="114"/>
      <c r="G1546" s="114"/>
      <c r="H1546" s="114"/>
      <c r="I1546" s="114"/>
      <c r="J1546" s="114"/>
      <c r="K1546" s="114"/>
      <c r="L1546" s="114"/>
      <c r="M1546" s="114"/>
      <c r="X1546" s="56"/>
      <c r="Y1546" s="56"/>
      <c r="AA1546" s="56"/>
      <c r="AB1546" s="114"/>
    </row>
    <row r="1547">
      <c r="A1547" s="24"/>
      <c r="B1547" s="24"/>
      <c r="C1547" s="24"/>
      <c r="D1547" s="22"/>
      <c r="F1547" s="114"/>
      <c r="G1547" s="114"/>
      <c r="H1547" s="114"/>
      <c r="I1547" s="114"/>
      <c r="J1547" s="114"/>
      <c r="K1547" s="114"/>
      <c r="L1547" s="114"/>
      <c r="M1547" s="114"/>
      <c r="X1547" s="56"/>
      <c r="Y1547" s="56"/>
      <c r="AA1547" s="56"/>
      <c r="AB1547" s="114"/>
    </row>
    <row r="1548">
      <c r="A1548" s="24"/>
      <c r="B1548" s="24"/>
      <c r="C1548" s="24"/>
      <c r="D1548" s="22"/>
      <c r="F1548" s="114"/>
      <c r="G1548" s="114"/>
      <c r="H1548" s="114"/>
      <c r="I1548" s="114"/>
      <c r="J1548" s="114"/>
      <c r="K1548" s="114"/>
      <c r="L1548" s="114"/>
      <c r="M1548" s="114"/>
      <c r="X1548" s="56"/>
      <c r="Y1548" s="56"/>
      <c r="AA1548" s="56"/>
      <c r="AB1548" s="114"/>
    </row>
    <row r="1549">
      <c r="A1549" s="24"/>
      <c r="B1549" s="24"/>
      <c r="C1549" s="24"/>
      <c r="D1549" s="22"/>
      <c r="F1549" s="114"/>
      <c r="G1549" s="114"/>
      <c r="H1549" s="114"/>
      <c r="I1549" s="114"/>
      <c r="J1549" s="114"/>
      <c r="K1549" s="114"/>
      <c r="L1549" s="114"/>
      <c r="M1549" s="114"/>
      <c r="X1549" s="56"/>
      <c r="Y1549" s="56"/>
      <c r="AA1549" s="56"/>
      <c r="AB1549" s="114"/>
    </row>
    <row r="1550">
      <c r="A1550" s="24"/>
      <c r="B1550" s="24"/>
      <c r="C1550" s="24"/>
      <c r="D1550" s="22"/>
      <c r="F1550" s="114"/>
      <c r="G1550" s="114"/>
      <c r="H1550" s="114"/>
      <c r="I1550" s="114"/>
      <c r="J1550" s="114"/>
      <c r="K1550" s="114"/>
      <c r="L1550" s="114"/>
      <c r="M1550" s="114"/>
      <c r="X1550" s="56"/>
      <c r="Y1550" s="56"/>
      <c r="AA1550" s="56"/>
      <c r="AB1550" s="114"/>
    </row>
    <row r="1551">
      <c r="A1551" s="24"/>
      <c r="B1551" s="24"/>
      <c r="C1551" s="24"/>
      <c r="D1551" s="22"/>
      <c r="F1551" s="114"/>
      <c r="G1551" s="114"/>
      <c r="H1551" s="114"/>
      <c r="I1551" s="114"/>
      <c r="J1551" s="114"/>
      <c r="K1551" s="114"/>
      <c r="L1551" s="114"/>
      <c r="M1551" s="114"/>
      <c r="X1551" s="56"/>
      <c r="Y1551" s="56"/>
      <c r="AA1551" s="56"/>
      <c r="AB1551" s="114"/>
    </row>
    <row r="1552">
      <c r="A1552" s="24"/>
      <c r="B1552" s="24"/>
      <c r="C1552" s="24"/>
      <c r="D1552" s="22"/>
      <c r="F1552" s="114"/>
      <c r="G1552" s="114"/>
      <c r="H1552" s="114"/>
      <c r="I1552" s="114"/>
      <c r="J1552" s="114"/>
      <c r="K1552" s="114"/>
      <c r="L1552" s="114"/>
      <c r="M1552" s="114"/>
      <c r="X1552" s="56"/>
      <c r="Y1552" s="56"/>
      <c r="AA1552" s="56"/>
      <c r="AB1552" s="114"/>
    </row>
    <row r="1553">
      <c r="A1553" s="24"/>
      <c r="B1553" s="24"/>
      <c r="C1553" s="24"/>
      <c r="D1553" s="22"/>
      <c r="F1553" s="114"/>
      <c r="G1553" s="114"/>
      <c r="H1553" s="114"/>
      <c r="I1553" s="114"/>
      <c r="J1553" s="114"/>
      <c r="K1553" s="114"/>
      <c r="L1553" s="114"/>
      <c r="M1553" s="114"/>
      <c r="X1553" s="56"/>
      <c r="Y1553" s="56"/>
      <c r="AA1553" s="56"/>
      <c r="AB1553" s="114"/>
    </row>
    <row r="1554">
      <c r="A1554" s="24"/>
      <c r="B1554" s="24"/>
      <c r="C1554" s="24"/>
      <c r="D1554" s="22"/>
      <c r="F1554" s="114"/>
      <c r="G1554" s="114"/>
      <c r="H1554" s="114"/>
      <c r="I1554" s="114"/>
      <c r="J1554" s="114"/>
      <c r="K1554" s="114"/>
      <c r="L1554" s="114"/>
      <c r="M1554" s="114"/>
      <c r="X1554" s="56"/>
      <c r="Y1554" s="56"/>
      <c r="AA1554" s="56"/>
      <c r="AB1554" s="114"/>
    </row>
    <row r="1555">
      <c r="A1555" s="24"/>
      <c r="B1555" s="24"/>
      <c r="C1555" s="24"/>
      <c r="D1555" s="22"/>
      <c r="F1555" s="114"/>
      <c r="G1555" s="114"/>
      <c r="H1555" s="114"/>
      <c r="I1555" s="114"/>
      <c r="J1555" s="114"/>
      <c r="K1555" s="114"/>
      <c r="L1555" s="114"/>
      <c r="M1555" s="114"/>
      <c r="X1555" s="56"/>
      <c r="Y1555" s="56"/>
      <c r="AA1555" s="56"/>
      <c r="AB1555" s="114"/>
    </row>
    <row r="1556">
      <c r="A1556" s="24"/>
      <c r="B1556" s="24"/>
      <c r="C1556" s="24"/>
      <c r="D1556" s="22"/>
      <c r="F1556" s="114"/>
      <c r="G1556" s="114"/>
      <c r="H1556" s="114"/>
      <c r="I1556" s="114"/>
      <c r="J1556" s="114"/>
      <c r="K1556" s="114"/>
      <c r="L1556" s="114"/>
      <c r="M1556" s="114"/>
      <c r="X1556" s="56"/>
      <c r="Y1556" s="56"/>
      <c r="AA1556" s="56"/>
      <c r="AB1556" s="114"/>
    </row>
    <row r="1557">
      <c r="A1557" s="24"/>
      <c r="B1557" s="24"/>
      <c r="C1557" s="24"/>
      <c r="D1557" s="22"/>
      <c r="F1557" s="114"/>
      <c r="G1557" s="114"/>
      <c r="H1557" s="114"/>
      <c r="I1557" s="114"/>
      <c r="J1557" s="114"/>
      <c r="K1557" s="114"/>
      <c r="L1557" s="114"/>
      <c r="M1557" s="114"/>
      <c r="X1557" s="56"/>
      <c r="Y1557" s="56"/>
      <c r="AA1557" s="56"/>
      <c r="AB1557" s="114"/>
    </row>
    <row r="1558">
      <c r="A1558" s="24"/>
      <c r="B1558" s="24"/>
      <c r="C1558" s="24"/>
      <c r="D1558" s="22"/>
      <c r="F1558" s="114"/>
      <c r="G1558" s="114"/>
      <c r="H1558" s="114"/>
      <c r="I1558" s="114"/>
      <c r="J1558" s="114"/>
      <c r="K1558" s="114"/>
      <c r="L1558" s="114"/>
      <c r="M1558" s="114"/>
      <c r="X1558" s="56"/>
      <c r="Y1558" s="56"/>
      <c r="AA1558" s="56"/>
      <c r="AB1558" s="114"/>
    </row>
    <row r="1559">
      <c r="A1559" s="24"/>
      <c r="B1559" s="24"/>
      <c r="C1559" s="24"/>
      <c r="D1559" s="22"/>
      <c r="F1559" s="114"/>
      <c r="G1559" s="114"/>
      <c r="H1559" s="114"/>
      <c r="I1559" s="114"/>
      <c r="J1559" s="114"/>
      <c r="K1559" s="114"/>
      <c r="L1559" s="114"/>
      <c r="M1559" s="114"/>
      <c r="X1559" s="56"/>
      <c r="Y1559" s="56"/>
      <c r="AA1559" s="56"/>
      <c r="AB1559" s="114"/>
    </row>
    <row r="1560">
      <c r="A1560" s="24"/>
      <c r="B1560" s="24"/>
      <c r="C1560" s="24"/>
      <c r="D1560" s="22"/>
      <c r="F1560" s="114"/>
      <c r="G1560" s="114"/>
      <c r="H1560" s="114"/>
      <c r="I1560" s="114"/>
      <c r="J1560" s="114"/>
      <c r="K1560" s="114"/>
      <c r="L1560" s="114"/>
      <c r="M1560" s="114"/>
      <c r="X1560" s="56"/>
      <c r="Y1560" s="56"/>
      <c r="AA1560" s="56"/>
      <c r="AB1560" s="114"/>
    </row>
    <row r="1561">
      <c r="A1561" s="24"/>
      <c r="B1561" s="24"/>
      <c r="C1561" s="24"/>
      <c r="D1561" s="22"/>
      <c r="F1561" s="114"/>
      <c r="G1561" s="114"/>
      <c r="H1561" s="114"/>
      <c r="I1561" s="114"/>
      <c r="J1561" s="114"/>
      <c r="K1561" s="114"/>
      <c r="L1561" s="114"/>
      <c r="M1561" s="114"/>
      <c r="X1561" s="56"/>
      <c r="Y1561" s="56"/>
      <c r="AA1561" s="56"/>
      <c r="AB1561" s="114"/>
    </row>
    <row r="1562">
      <c r="A1562" s="24"/>
      <c r="B1562" s="24"/>
      <c r="C1562" s="24"/>
      <c r="D1562" s="22"/>
      <c r="F1562" s="114"/>
      <c r="G1562" s="114"/>
      <c r="H1562" s="114"/>
      <c r="I1562" s="114"/>
      <c r="J1562" s="114"/>
      <c r="K1562" s="114"/>
      <c r="L1562" s="114"/>
      <c r="M1562" s="114"/>
      <c r="X1562" s="56"/>
      <c r="Y1562" s="56"/>
      <c r="AA1562" s="56"/>
      <c r="AB1562" s="114"/>
    </row>
    <row r="1563">
      <c r="A1563" s="24"/>
      <c r="B1563" s="24"/>
      <c r="C1563" s="24"/>
      <c r="D1563" s="22"/>
      <c r="F1563" s="114"/>
      <c r="G1563" s="114"/>
      <c r="H1563" s="114"/>
      <c r="I1563" s="114"/>
      <c r="J1563" s="114"/>
      <c r="K1563" s="114"/>
      <c r="L1563" s="114"/>
      <c r="M1563" s="114"/>
      <c r="X1563" s="56"/>
      <c r="Y1563" s="56"/>
      <c r="AA1563" s="56"/>
      <c r="AB1563" s="114"/>
    </row>
    <row r="1564">
      <c r="A1564" s="24"/>
      <c r="B1564" s="24"/>
      <c r="C1564" s="24"/>
      <c r="D1564" s="22"/>
      <c r="F1564" s="114"/>
      <c r="G1564" s="114"/>
      <c r="H1564" s="114"/>
      <c r="I1564" s="114"/>
      <c r="J1564" s="114"/>
      <c r="K1564" s="114"/>
      <c r="L1564" s="114"/>
      <c r="M1564" s="114"/>
      <c r="X1564" s="56"/>
      <c r="Y1564" s="56"/>
      <c r="AA1564" s="56"/>
      <c r="AB1564" s="114"/>
    </row>
    <row r="1565">
      <c r="A1565" s="24"/>
      <c r="B1565" s="24"/>
      <c r="C1565" s="24"/>
      <c r="D1565" s="22"/>
      <c r="F1565" s="114"/>
      <c r="G1565" s="114"/>
      <c r="H1565" s="114"/>
      <c r="I1565" s="114"/>
      <c r="J1565" s="114"/>
      <c r="K1565" s="114"/>
      <c r="L1565" s="114"/>
      <c r="M1565" s="114"/>
      <c r="X1565" s="56"/>
      <c r="Y1565" s="56"/>
      <c r="AA1565" s="56"/>
      <c r="AB1565" s="114"/>
    </row>
    <row r="1566">
      <c r="A1566" s="24"/>
      <c r="B1566" s="24"/>
      <c r="C1566" s="24"/>
      <c r="D1566" s="22"/>
      <c r="F1566" s="114"/>
      <c r="G1566" s="114"/>
      <c r="H1566" s="114"/>
      <c r="I1566" s="114"/>
      <c r="J1566" s="114"/>
      <c r="K1566" s="114"/>
      <c r="L1566" s="114"/>
      <c r="M1566" s="114"/>
      <c r="X1566" s="56"/>
      <c r="Y1566" s="56"/>
      <c r="AA1566" s="56"/>
      <c r="AB1566" s="114"/>
    </row>
    <row r="1567">
      <c r="A1567" s="24"/>
      <c r="B1567" s="24"/>
      <c r="C1567" s="24"/>
      <c r="D1567" s="22"/>
      <c r="F1567" s="114"/>
      <c r="G1567" s="114"/>
      <c r="H1567" s="114"/>
      <c r="I1567" s="114"/>
      <c r="J1567" s="114"/>
      <c r="K1567" s="114"/>
      <c r="L1567" s="114"/>
      <c r="M1567" s="114"/>
      <c r="X1567" s="56"/>
      <c r="Y1567" s="56"/>
      <c r="AA1567" s="56"/>
      <c r="AB1567" s="114"/>
    </row>
    <row r="1568">
      <c r="A1568" s="24"/>
      <c r="B1568" s="24"/>
      <c r="C1568" s="24"/>
      <c r="D1568" s="22"/>
      <c r="F1568" s="114"/>
      <c r="G1568" s="114"/>
      <c r="H1568" s="114"/>
      <c r="I1568" s="114"/>
      <c r="J1568" s="114"/>
      <c r="K1568" s="114"/>
      <c r="L1568" s="114"/>
      <c r="M1568" s="114"/>
      <c r="X1568" s="56"/>
      <c r="Y1568" s="56"/>
      <c r="AA1568" s="56"/>
      <c r="AB1568" s="114"/>
    </row>
    <row r="1569">
      <c r="A1569" s="24"/>
      <c r="B1569" s="24"/>
      <c r="C1569" s="24"/>
      <c r="D1569" s="22"/>
      <c r="F1569" s="114"/>
      <c r="G1569" s="114"/>
      <c r="H1569" s="114"/>
      <c r="I1569" s="114"/>
      <c r="J1569" s="114"/>
      <c r="K1569" s="114"/>
      <c r="L1569" s="114"/>
      <c r="M1569" s="114"/>
      <c r="X1569" s="56"/>
      <c r="Y1569" s="56"/>
      <c r="AA1569" s="56"/>
      <c r="AB1569" s="114"/>
    </row>
    <row r="1570">
      <c r="A1570" s="24"/>
      <c r="B1570" s="24"/>
      <c r="C1570" s="24"/>
      <c r="D1570" s="22"/>
      <c r="F1570" s="114"/>
      <c r="G1570" s="114"/>
      <c r="H1570" s="114"/>
      <c r="I1570" s="114"/>
      <c r="J1570" s="114"/>
      <c r="K1570" s="114"/>
      <c r="L1570" s="114"/>
      <c r="M1570" s="114"/>
      <c r="X1570" s="56"/>
      <c r="Y1570" s="56"/>
      <c r="AA1570" s="56"/>
      <c r="AB1570" s="114"/>
    </row>
    <row r="1571">
      <c r="A1571" s="24"/>
      <c r="B1571" s="24"/>
      <c r="C1571" s="24"/>
      <c r="D1571" s="22"/>
      <c r="F1571" s="114"/>
      <c r="G1571" s="114"/>
      <c r="H1571" s="114"/>
      <c r="I1571" s="114"/>
      <c r="J1571" s="114"/>
      <c r="K1571" s="114"/>
      <c r="L1571" s="114"/>
      <c r="M1571" s="114"/>
      <c r="X1571" s="56"/>
      <c r="Y1571" s="56"/>
      <c r="AA1571" s="56"/>
      <c r="AB1571" s="114"/>
    </row>
    <row r="1572">
      <c r="A1572" s="24"/>
      <c r="B1572" s="24"/>
      <c r="C1572" s="24"/>
      <c r="D1572" s="22"/>
      <c r="F1572" s="114"/>
      <c r="G1572" s="114"/>
      <c r="H1572" s="114"/>
      <c r="I1572" s="114"/>
      <c r="J1572" s="114"/>
      <c r="K1572" s="114"/>
      <c r="L1572" s="114"/>
      <c r="M1572" s="114"/>
      <c r="X1572" s="56"/>
      <c r="Y1572" s="56"/>
      <c r="AA1572" s="56"/>
      <c r="AB1572" s="114"/>
    </row>
    <row r="1573">
      <c r="A1573" s="24"/>
      <c r="B1573" s="24"/>
      <c r="C1573" s="24"/>
      <c r="D1573" s="22"/>
      <c r="F1573" s="114"/>
      <c r="G1573" s="114"/>
      <c r="H1573" s="114"/>
      <c r="I1573" s="114"/>
      <c r="J1573" s="114"/>
      <c r="K1573" s="114"/>
      <c r="L1573" s="114"/>
      <c r="M1573" s="114"/>
      <c r="X1573" s="56"/>
      <c r="Y1573" s="56"/>
      <c r="AA1573" s="56"/>
      <c r="AB1573" s="114"/>
    </row>
    <row r="1574">
      <c r="A1574" s="24"/>
      <c r="B1574" s="24"/>
      <c r="C1574" s="24"/>
      <c r="D1574" s="22"/>
      <c r="F1574" s="114"/>
      <c r="G1574" s="114"/>
      <c r="H1574" s="114"/>
      <c r="I1574" s="114"/>
      <c r="J1574" s="114"/>
      <c r="K1574" s="114"/>
      <c r="L1574" s="114"/>
      <c r="M1574" s="114"/>
      <c r="X1574" s="56"/>
      <c r="Y1574" s="56"/>
      <c r="AA1574" s="56"/>
      <c r="AB1574" s="114"/>
    </row>
    <row r="1575">
      <c r="A1575" s="24"/>
      <c r="B1575" s="24"/>
      <c r="C1575" s="24"/>
      <c r="D1575" s="22"/>
      <c r="F1575" s="114"/>
      <c r="G1575" s="114"/>
      <c r="H1575" s="114"/>
      <c r="I1575" s="114"/>
      <c r="J1575" s="114"/>
      <c r="K1575" s="114"/>
      <c r="L1575" s="114"/>
      <c r="M1575" s="114"/>
      <c r="X1575" s="56"/>
      <c r="Y1575" s="56"/>
      <c r="AA1575" s="56"/>
      <c r="AB1575" s="114"/>
    </row>
    <row r="1576">
      <c r="A1576" s="24"/>
      <c r="B1576" s="24"/>
      <c r="C1576" s="24"/>
      <c r="D1576" s="22"/>
      <c r="F1576" s="114"/>
      <c r="G1576" s="114"/>
      <c r="H1576" s="114"/>
      <c r="I1576" s="114"/>
      <c r="J1576" s="114"/>
      <c r="K1576" s="114"/>
      <c r="L1576" s="114"/>
      <c r="M1576" s="114"/>
      <c r="X1576" s="56"/>
      <c r="Y1576" s="56"/>
      <c r="AA1576" s="56"/>
      <c r="AB1576" s="114"/>
    </row>
    <row r="1577">
      <c r="A1577" s="24"/>
      <c r="B1577" s="24"/>
      <c r="C1577" s="24"/>
      <c r="D1577" s="22"/>
      <c r="F1577" s="114"/>
      <c r="G1577" s="114"/>
      <c r="H1577" s="114"/>
      <c r="I1577" s="114"/>
      <c r="J1577" s="114"/>
      <c r="K1577" s="114"/>
      <c r="L1577" s="114"/>
      <c r="M1577" s="114"/>
      <c r="X1577" s="56"/>
      <c r="Y1577" s="56"/>
      <c r="AA1577" s="56"/>
      <c r="AB1577" s="114"/>
    </row>
    <row r="1578">
      <c r="A1578" s="24"/>
      <c r="B1578" s="24"/>
      <c r="C1578" s="24"/>
      <c r="D1578" s="22"/>
      <c r="F1578" s="114"/>
      <c r="G1578" s="114"/>
      <c r="H1578" s="114"/>
      <c r="I1578" s="114"/>
      <c r="J1578" s="114"/>
      <c r="K1578" s="114"/>
      <c r="L1578" s="114"/>
      <c r="M1578" s="114"/>
      <c r="X1578" s="56"/>
      <c r="Y1578" s="56"/>
      <c r="AA1578" s="56"/>
      <c r="AB1578" s="114"/>
    </row>
    <row r="1579">
      <c r="A1579" s="24"/>
      <c r="B1579" s="24"/>
      <c r="C1579" s="24"/>
      <c r="D1579" s="22"/>
      <c r="F1579" s="114"/>
      <c r="G1579" s="114"/>
      <c r="H1579" s="114"/>
      <c r="I1579" s="114"/>
      <c r="J1579" s="114"/>
      <c r="K1579" s="114"/>
      <c r="L1579" s="114"/>
      <c r="M1579" s="114"/>
      <c r="X1579" s="56"/>
      <c r="Y1579" s="56"/>
      <c r="AA1579" s="56"/>
      <c r="AB1579" s="114"/>
    </row>
    <row r="1580">
      <c r="A1580" s="24"/>
      <c r="B1580" s="24"/>
      <c r="C1580" s="24"/>
      <c r="D1580" s="22"/>
      <c r="F1580" s="114"/>
      <c r="G1580" s="114"/>
      <c r="H1580" s="114"/>
      <c r="I1580" s="114"/>
      <c r="J1580" s="114"/>
      <c r="K1580" s="114"/>
      <c r="L1580" s="114"/>
      <c r="M1580" s="114"/>
      <c r="X1580" s="56"/>
      <c r="Y1580" s="56"/>
      <c r="AA1580" s="56"/>
      <c r="AB1580" s="114"/>
    </row>
    <row r="1581">
      <c r="A1581" s="24"/>
      <c r="B1581" s="24"/>
      <c r="C1581" s="24"/>
      <c r="D1581" s="22"/>
      <c r="F1581" s="114"/>
      <c r="G1581" s="114"/>
      <c r="H1581" s="114"/>
      <c r="I1581" s="114"/>
      <c r="J1581" s="114"/>
      <c r="K1581" s="114"/>
      <c r="L1581" s="114"/>
      <c r="M1581" s="114"/>
      <c r="X1581" s="56"/>
      <c r="Y1581" s="56"/>
      <c r="AA1581" s="56"/>
      <c r="AB1581" s="114"/>
    </row>
    <row r="1582">
      <c r="A1582" s="24"/>
      <c r="B1582" s="24"/>
      <c r="C1582" s="24"/>
      <c r="D1582" s="22"/>
      <c r="F1582" s="114"/>
      <c r="G1582" s="114"/>
      <c r="H1582" s="114"/>
      <c r="I1582" s="114"/>
      <c r="J1582" s="114"/>
      <c r="K1582" s="114"/>
      <c r="L1582" s="114"/>
      <c r="M1582" s="114"/>
      <c r="X1582" s="56"/>
      <c r="Y1582" s="56"/>
      <c r="AA1582" s="56"/>
      <c r="AB1582" s="114"/>
    </row>
    <row r="1583">
      <c r="A1583" s="24"/>
      <c r="B1583" s="24"/>
      <c r="C1583" s="24"/>
      <c r="D1583" s="22"/>
      <c r="F1583" s="114"/>
      <c r="G1583" s="114"/>
      <c r="H1583" s="114"/>
      <c r="I1583" s="114"/>
      <c r="J1583" s="114"/>
      <c r="K1583" s="114"/>
      <c r="L1583" s="114"/>
      <c r="M1583" s="114"/>
      <c r="X1583" s="56"/>
      <c r="Y1583" s="56"/>
      <c r="AA1583" s="56"/>
      <c r="AB1583" s="114"/>
    </row>
    <row r="1584">
      <c r="A1584" s="24"/>
      <c r="B1584" s="24"/>
      <c r="C1584" s="24"/>
      <c r="D1584" s="22"/>
      <c r="F1584" s="114"/>
      <c r="G1584" s="114"/>
      <c r="H1584" s="114"/>
      <c r="I1584" s="114"/>
      <c r="J1584" s="114"/>
      <c r="K1584" s="114"/>
      <c r="L1584" s="114"/>
      <c r="M1584" s="114"/>
      <c r="X1584" s="56"/>
      <c r="Y1584" s="56"/>
      <c r="AA1584" s="56"/>
      <c r="AB1584" s="114"/>
    </row>
    <row r="1585">
      <c r="A1585" s="24"/>
      <c r="B1585" s="24"/>
      <c r="C1585" s="24"/>
      <c r="D1585" s="22"/>
      <c r="F1585" s="114"/>
      <c r="G1585" s="114"/>
      <c r="H1585" s="114"/>
      <c r="I1585" s="114"/>
      <c r="J1585" s="114"/>
      <c r="K1585" s="114"/>
      <c r="L1585" s="114"/>
      <c r="M1585" s="114"/>
      <c r="X1585" s="56"/>
      <c r="Y1585" s="56"/>
      <c r="AA1585" s="56"/>
      <c r="AB1585" s="114"/>
    </row>
    <row r="1586">
      <c r="A1586" s="24"/>
      <c r="B1586" s="24"/>
      <c r="C1586" s="24"/>
      <c r="D1586" s="22"/>
      <c r="F1586" s="114"/>
      <c r="G1586" s="114"/>
      <c r="H1586" s="114"/>
      <c r="I1586" s="114"/>
      <c r="J1586" s="114"/>
      <c r="K1586" s="114"/>
      <c r="L1586" s="114"/>
      <c r="M1586" s="114"/>
      <c r="X1586" s="56"/>
      <c r="Y1586" s="56"/>
      <c r="AA1586" s="56"/>
      <c r="AB1586" s="114"/>
    </row>
    <row r="1587">
      <c r="A1587" s="24"/>
      <c r="B1587" s="24"/>
      <c r="C1587" s="24"/>
      <c r="D1587" s="22"/>
      <c r="F1587" s="114"/>
      <c r="G1587" s="114"/>
      <c r="H1587" s="114"/>
      <c r="I1587" s="114"/>
      <c r="J1587" s="114"/>
      <c r="K1587" s="114"/>
      <c r="L1587" s="114"/>
      <c r="M1587" s="114"/>
      <c r="X1587" s="56"/>
      <c r="Y1587" s="56"/>
      <c r="AA1587" s="56"/>
      <c r="AB1587" s="114"/>
    </row>
    <row r="1588">
      <c r="A1588" s="24"/>
      <c r="B1588" s="24"/>
      <c r="C1588" s="24"/>
      <c r="D1588" s="22"/>
      <c r="F1588" s="114"/>
      <c r="G1588" s="114"/>
      <c r="H1588" s="114"/>
      <c r="I1588" s="114"/>
      <c r="J1588" s="114"/>
      <c r="K1588" s="114"/>
      <c r="L1588" s="114"/>
      <c r="M1588" s="114"/>
      <c r="X1588" s="56"/>
      <c r="Y1588" s="56"/>
      <c r="AA1588" s="56"/>
      <c r="AB1588" s="114"/>
    </row>
    <row r="1589">
      <c r="A1589" s="24"/>
      <c r="B1589" s="24"/>
      <c r="C1589" s="24"/>
      <c r="D1589" s="22"/>
      <c r="F1589" s="114"/>
      <c r="G1589" s="114"/>
      <c r="H1589" s="114"/>
      <c r="I1589" s="114"/>
      <c r="J1589" s="114"/>
      <c r="K1589" s="114"/>
      <c r="L1589" s="114"/>
      <c r="M1589" s="114"/>
      <c r="X1589" s="56"/>
      <c r="Y1589" s="56"/>
      <c r="AA1589" s="56"/>
      <c r="AB1589" s="114"/>
    </row>
    <row r="1590">
      <c r="A1590" s="24"/>
      <c r="B1590" s="24"/>
      <c r="C1590" s="24"/>
      <c r="D1590" s="22"/>
      <c r="F1590" s="114"/>
      <c r="G1590" s="114"/>
      <c r="H1590" s="114"/>
      <c r="I1590" s="114"/>
      <c r="J1590" s="114"/>
      <c r="K1590" s="114"/>
      <c r="L1590" s="114"/>
      <c r="M1590" s="114"/>
      <c r="X1590" s="56"/>
      <c r="Y1590" s="56"/>
      <c r="AA1590" s="56"/>
      <c r="AB1590" s="114"/>
    </row>
    <row r="1591">
      <c r="A1591" s="24"/>
      <c r="B1591" s="24"/>
      <c r="C1591" s="24"/>
      <c r="D1591" s="22"/>
      <c r="F1591" s="114"/>
      <c r="G1591" s="114"/>
      <c r="H1591" s="114"/>
      <c r="I1591" s="114"/>
      <c r="J1591" s="114"/>
      <c r="K1591" s="114"/>
      <c r="L1591" s="114"/>
      <c r="M1591" s="114"/>
      <c r="X1591" s="56"/>
      <c r="Y1591" s="56"/>
      <c r="AA1591" s="56"/>
      <c r="AB1591" s="114"/>
    </row>
    <row r="1592">
      <c r="A1592" s="24"/>
      <c r="B1592" s="24"/>
      <c r="C1592" s="24"/>
      <c r="D1592" s="22"/>
      <c r="F1592" s="114"/>
      <c r="G1592" s="114"/>
      <c r="H1592" s="114"/>
      <c r="I1592" s="114"/>
      <c r="J1592" s="114"/>
      <c r="K1592" s="114"/>
      <c r="L1592" s="114"/>
      <c r="M1592" s="114"/>
      <c r="X1592" s="56"/>
      <c r="Y1592" s="56"/>
      <c r="AA1592" s="56"/>
      <c r="AB1592" s="114"/>
    </row>
    <row r="1593">
      <c r="A1593" s="24"/>
      <c r="B1593" s="24"/>
      <c r="C1593" s="24"/>
      <c r="D1593" s="22"/>
      <c r="F1593" s="114"/>
      <c r="G1593" s="114"/>
      <c r="H1593" s="114"/>
      <c r="I1593" s="114"/>
      <c r="J1593" s="114"/>
      <c r="K1593" s="114"/>
      <c r="L1593" s="114"/>
      <c r="M1593" s="114"/>
      <c r="X1593" s="56"/>
      <c r="Y1593" s="56"/>
      <c r="AA1593" s="56"/>
      <c r="AB1593" s="114"/>
    </row>
    <row r="1594">
      <c r="A1594" s="24"/>
      <c r="B1594" s="24"/>
      <c r="C1594" s="24"/>
      <c r="D1594" s="22"/>
      <c r="F1594" s="114"/>
      <c r="G1594" s="114"/>
      <c r="H1594" s="114"/>
      <c r="I1594" s="114"/>
      <c r="J1594" s="114"/>
      <c r="K1594" s="114"/>
      <c r="L1594" s="114"/>
      <c r="M1594" s="114"/>
      <c r="X1594" s="56"/>
      <c r="Y1594" s="56"/>
      <c r="AA1594" s="56"/>
      <c r="AB1594" s="114"/>
    </row>
    <row r="1595">
      <c r="A1595" s="24"/>
      <c r="B1595" s="24"/>
      <c r="C1595" s="24"/>
      <c r="D1595" s="22"/>
      <c r="F1595" s="114"/>
      <c r="G1595" s="114"/>
      <c r="H1595" s="114"/>
      <c r="I1595" s="114"/>
      <c r="J1595" s="114"/>
      <c r="K1595" s="114"/>
      <c r="L1595" s="114"/>
      <c r="M1595" s="114"/>
      <c r="X1595" s="56"/>
      <c r="Y1595" s="56"/>
      <c r="AA1595" s="56"/>
      <c r="AB1595" s="114"/>
    </row>
    <row r="1596">
      <c r="A1596" s="24"/>
      <c r="B1596" s="24"/>
      <c r="C1596" s="24"/>
      <c r="D1596" s="22"/>
      <c r="F1596" s="114"/>
      <c r="G1596" s="114"/>
      <c r="H1596" s="114"/>
      <c r="I1596" s="114"/>
      <c r="J1596" s="114"/>
      <c r="K1596" s="114"/>
      <c r="L1596" s="114"/>
      <c r="M1596" s="114"/>
      <c r="X1596" s="56"/>
      <c r="Y1596" s="56"/>
      <c r="AA1596" s="56"/>
      <c r="AB1596" s="114"/>
    </row>
    <row r="1597">
      <c r="A1597" s="24"/>
      <c r="B1597" s="24"/>
      <c r="C1597" s="24"/>
      <c r="D1597" s="22"/>
      <c r="F1597" s="114"/>
      <c r="G1597" s="114"/>
      <c r="H1597" s="114"/>
      <c r="I1597" s="114"/>
      <c r="J1597" s="114"/>
      <c r="K1597" s="114"/>
      <c r="L1597" s="114"/>
      <c r="M1597" s="114"/>
      <c r="X1597" s="56"/>
      <c r="Y1597" s="56"/>
      <c r="AA1597" s="56"/>
      <c r="AB1597" s="114"/>
    </row>
    <row r="1598">
      <c r="A1598" s="24"/>
      <c r="B1598" s="24"/>
      <c r="C1598" s="24"/>
      <c r="D1598" s="22"/>
      <c r="F1598" s="114"/>
      <c r="G1598" s="114"/>
      <c r="H1598" s="114"/>
      <c r="I1598" s="114"/>
      <c r="J1598" s="114"/>
      <c r="K1598" s="114"/>
      <c r="L1598" s="114"/>
      <c r="M1598" s="114"/>
      <c r="X1598" s="56"/>
      <c r="Y1598" s="56"/>
      <c r="AA1598" s="56"/>
      <c r="AB1598" s="114"/>
    </row>
    <row r="1599">
      <c r="A1599" s="24"/>
      <c r="B1599" s="24"/>
      <c r="C1599" s="24"/>
      <c r="D1599" s="22"/>
      <c r="F1599" s="114"/>
      <c r="G1599" s="114"/>
      <c r="H1599" s="114"/>
      <c r="I1599" s="114"/>
      <c r="J1599" s="114"/>
      <c r="K1599" s="114"/>
      <c r="L1599" s="114"/>
      <c r="M1599" s="114"/>
      <c r="X1599" s="56"/>
      <c r="Y1599" s="56"/>
      <c r="AA1599" s="56"/>
      <c r="AB1599" s="114"/>
    </row>
    <row r="1600">
      <c r="A1600" s="24"/>
      <c r="B1600" s="24"/>
      <c r="C1600" s="24"/>
      <c r="D1600" s="22"/>
      <c r="F1600" s="114"/>
      <c r="G1600" s="114"/>
      <c r="H1600" s="114"/>
      <c r="I1600" s="114"/>
      <c r="J1600" s="114"/>
      <c r="K1600" s="114"/>
      <c r="L1600" s="114"/>
      <c r="M1600" s="114"/>
      <c r="X1600" s="56"/>
      <c r="Y1600" s="56"/>
      <c r="AA1600" s="56"/>
      <c r="AB1600" s="114"/>
    </row>
    <row r="1601">
      <c r="A1601" s="24"/>
      <c r="B1601" s="24"/>
      <c r="C1601" s="24"/>
      <c r="D1601" s="22"/>
      <c r="F1601" s="114"/>
      <c r="G1601" s="114"/>
      <c r="H1601" s="114"/>
      <c r="I1601" s="114"/>
      <c r="J1601" s="114"/>
      <c r="K1601" s="114"/>
      <c r="L1601" s="114"/>
      <c r="M1601" s="114"/>
      <c r="X1601" s="56"/>
      <c r="Y1601" s="56"/>
      <c r="AA1601" s="56"/>
      <c r="AB1601" s="114"/>
    </row>
    <row r="1602">
      <c r="A1602" s="24"/>
      <c r="B1602" s="24"/>
      <c r="C1602" s="24"/>
      <c r="D1602" s="22"/>
      <c r="F1602" s="114"/>
      <c r="G1602" s="114"/>
      <c r="H1602" s="114"/>
      <c r="I1602" s="114"/>
      <c r="J1602" s="114"/>
      <c r="K1602" s="114"/>
      <c r="L1602" s="114"/>
      <c r="M1602" s="114"/>
      <c r="X1602" s="56"/>
      <c r="Y1602" s="56"/>
      <c r="AA1602" s="56"/>
      <c r="AB1602" s="114"/>
    </row>
    <row r="1603">
      <c r="A1603" s="24"/>
      <c r="B1603" s="24"/>
      <c r="C1603" s="24"/>
      <c r="D1603" s="22"/>
      <c r="F1603" s="114"/>
      <c r="G1603" s="114"/>
      <c r="H1603" s="114"/>
      <c r="I1603" s="114"/>
      <c r="J1603" s="114"/>
      <c r="K1603" s="114"/>
      <c r="L1603" s="114"/>
      <c r="M1603" s="114"/>
      <c r="X1603" s="56"/>
      <c r="Y1603" s="56"/>
      <c r="AA1603" s="56"/>
      <c r="AB1603" s="114"/>
    </row>
    <row r="1604">
      <c r="A1604" s="24"/>
      <c r="B1604" s="24"/>
      <c r="C1604" s="24"/>
      <c r="D1604" s="22"/>
      <c r="F1604" s="114"/>
      <c r="G1604" s="114"/>
      <c r="H1604" s="114"/>
      <c r="I1604" s="114"/>
      <c r="J1604" s="114"/>
      <c r="K1604" s="114"/>
      <c r="L1604" s="114"/>
      <c r="M1604" s="114"/>
      <c r="X1604" s="56"/>
      <c r="Y1604" s="56"/>
      <c r="AA1604" s="56"/>
      <c r="AB1604" s="114"/>
    </row>
    <row r="1605">
      <c r="A1605" s="24"/>
      <c r="B1605" s="24"/>
      <c r="C1605" s="24"/>
      <c r="D1605" s="22"/>
      <c r="F1605" s="114"/>
      <c r="G1605" s="114"/>
      <c r="H1605" s="114"/>
      <c r="I1605" s="114"/>
      <c r="J1605" s="114"/>
      <c r="K1605" s="114"/>
      <c r="L1605" s="114"/>
      <c r="M1605" s="114"/>
      <c r="X1605" s="56"/>
      <c r="Y1605" s="56"/>
      <c r="AA1605" s="56"/>
      <c r="AB1605" s="114"/>
    </row>
    <row r="1606">
      <c r="A1606" s="24"/>
      <c r="B1606" s="24"/>
      <c r="C1606" s="24"/>
      <c r="D1606" s="22"/>
      <c r="F1606" s="114"/>
      <c r="G1606" s="114"/>
      <c r="H1606" s="114"/>
      <c r="I1606" s="114"/>
      <c r="J1606" s="114"/>
      <c r="K1606" s="114"/>
      <c r="L1606" s="114"/>
      <c r="M1606" s="114"/>
      <c r="X1606" s="56"/>
      <c r="Y1606" s="56"/>
      <c r="AA1606" s="56"/>
      <c r="AB1606" s="114"/>
    </row>
    <row r="1607">
      <c r="A1607" s="24"/>
      <c r="B1607" s="24"/>
      <c r="C1607" s="24"/>
      <c r="D1607" s="22"/>
      <c r="F1607" s="114"/>
      <c r="G1607" s="114"/>
      <c r="H1607" s="114"/>
      <c r="I1607" s="114"/>
      <c r="J1607" s="114"/>
      <c r="K1607" s="114"/>
      <c r="L1607" s="114"/>
      <c r="M1607" s="114"/>
      <c r="X1607" s="56"/>
      <c r="Y1607" s="56"/>
      <c r="AA1607" s="56"/>
      <c r="AB1607" s="114"/>
    </row>
    <row r="1608">
      <c r="A1608" s="24"/>
      <c r="B1608" s="24"/>
      <c r="C1608" s="24"/>
      <c r="D1608" s="22"/>
      <c r="F1608" s="114"/>
      <c r="G1608" s="114"/>
      <c r="H1608" s="114"/>
      <c r="I1608" s="114"/>
      <c r="J1608" s="114"/>
      <c r="K1608" s="114"/>
      <c r="L1608" s="114"/>
      <c r="M1608" s="114"/>
      <c r="X1608" s="56"/>
      <c r="Y1608" s="56"/>
      <c r="AA1608" s="56"/>
      <c r="AB1608" s="114"/>
    </row>
    <row r="1609">
      <c r="A1609" s="24"/>
      <c r="B1609" s="24"/>
      <c r="C1609" s="24"/>
      <c r="D1609" s="22"/>
      <c r="F1609" s="114"/>
      <c r="G1609" s="114"/>
      <c r="H1609" s="114"/>
      <c r="I1609" s="114"/>
      <c r="J1609" s="114"/>
      <c r="K1609" s="114"/>
      <c r="L1609" s="114"/>
      <c r="M1609" s="114"/>
      <c r="X1609" s="56"/>
      <c r="Y1609" s="56"/>
      <c r="AA1609" s="56"/>
      <c r="AB1609" s="114"/>
    </row>
    <row r="1610">
      <c r="A1610" s="24"/>
      <c r="B1610" s="24"/>
      <c r="C1610" s="24"/>
      <c r="D1610" s="22"/>
      <c r="F1610" s="114"/>
      <c r="G1610" s="114"/>
      <c r="H1610" s="114"/>
      <c r="I1610" s="114"/>
      <c r="J1610" s="114"/>
      <c r="K1610" s="114"/>
      <c r="L1610" s="114"/>
      <c r="M1610" s="114"/>
      <c r="X1610" s="56"/>
      <c r="Y1610" s="56"/>
      <c r="AA1610" s="56"/>
      <c r="AB1610" s="114"/>
    </row>
    <row r="1611">
      <c r="A1611" s="24"/>
      <c r="B1611" s="24"/>
      <c r="C1611" s="24"/>
      <c r="D1611" s="22"/>
      <c r="F1611" s="114"/>
      <c r="G1611" s="114"/>
      <c r="H1611" s="114"/>
      <c r="I1611" s="114"/>
      <c r="J1611" s="114"/>
      <c r="K1611" s="114"/>
      <c r="L1611" s="114"/>
      <c r="M1611" s="114"/>
      <c r="X1611" s="56"/>
      <c r="Y1611" s="56"/>
      <c r="AA1611" s="56"/>
      <c r="AB1611" s="114"/>
    </row>
    <row r="1612">
      <c r="A1612" s="24"/>
      <c r="B1612" s="24"/>
      <c r="C1612" s="24"/>
      <c r="D1612" s="22"/>
      <c r="F1612" s="114"/>
      <c r="G1612" s="114"/>
      <c r="H1612" s="114"/>
      <c r="I1612" s="114"/>
      <c r="J1612" s="114"/>
      <c r="K1612" s="114"/>
      <c r="L1612" s="114"/>
      <c r="M1612" s="114"/>
      <c r="X1612" s="56"/>
      <c r="Y1612" s="56"/>
      <c r="AA1612" s="56"/>
      <c r="AB1612" s="114"/>
    </row>
    <row r="1613">
      <c r="A1613" s="24"/>
      <c r="B1613" s="24"/>
      <c r="C1613" s="24"/>
      <c r="D1613" s="22"/>
      <c r="F1613" s="114"/>
      <c r="G1613" s="114"/>
      <c r="H1613" s="114"/>
      <c r="I1613" s="114"/>
      <c r="J1613" s="114"/>
      <c r="K1613" s="114"/>
      <c r="L1613" s="114"/>
      <c r="M1613" s="114"/>
      <c r="X1613" s="56"/>
      <c r="Y1613" s="56"/>
      <c r="AA1613" s="56"/>
      <c r="AB1613" s="114"/>
    </row>
    <row r="1614">
      <c r="A1614" s="24"/>
      <c r="B1614" s="24"/>
      <c r="C1614" s="24"/>
      <c r="D1614" s="22"/>
      <c r="F1614" s="114"/>
      <c r="G1614" s="114"/>
      <c r="H1614" s="114"/>
      <c r="I1614" s="114"/>
      <c r="J1614" s="114"/>
      <c r="K1614" s="114"/>
      <c r="L1614" s="114"/>
      <c r="M1614" s="114"/>
      <c r="X1614" s="56"/>
      <c r="Y1614" s="56"/>
      <c r="AA1614" s="56"/>
      <c r="AB1614" s="114"/>
    </row>
    <row r="1615">
      <c r="A1615" s="24"/>
      <c r="B1615" s="24"/>
      <c r="C1615" s="24"/>
      <c r="D1615" s="22"/>
      <c r="F1615" s="114"/>
      <c r="G1615" s="114"/>
      <c r="H1615" s="114"/>
      <c r="I1615" s="114"/>
      <c r="J1615" s="114"/>
      <c r="K1615" s="114"/>
      <c r="L1615" s="114"/>
      <c r="M1615" s="114"/>
      <c r="X1615" s="56"/>
      <c r="Y1615" s="56"/>
      <c r="AA1615" s="56"/>
      <c r="AB1615" s="114"/>
    </row>
    <row r="1616">
      <c r="A1616" s="24"/>
      <c r="B1616" s="24"/>
      <c r="C1616" s="24"/>
      <c r="D1616" s="22"/>
      <c r="F1616" s="114"/>
      <c r="G1616" s="114"/>
      <c r="H1616" s="114"/>
      <c r="I1616" s="114"/>
      <c r="J1616" s="114"/>
      <c r="K1616" s="114"/>
      <c r="L1616" s="114"/>
      <c r="M1616" s="114"/>
      <c r="X1616" s="56"/>
      <c r="Y1616" s="56"/>
      <c r="AA1616" s="56"/>
      <c r="AB1616" s="114"/>
    </row>
    <row r="1617">
      <c r="A1617" s="24"/>
      <c r="B1617" s="24"/>
      <c r="C1617" s="24"/>
      <c r="D1617" s="22"/>
      <c r="F1617" s="114"/>
      <c r="G1617" s="114"/>
      <c r="H1617" s="114"/>
      <c r="I1617" s="114"/>
      <c r="J1617" s="114"/>
      <c r="K1617" s="114"/>
      <c r="L1617" s="114"/>
      <c r="M1617" s="114"/>
      <c r="X1617" s="56"/>
      <c r="Y1617" s="56"/>
      <c r="AA1617" s="56"/>
      <c r="AB1617" s="114"/>
    </row>
    <row r="1618">
      <c r="A1618" s="24"/>
      <c r="B1618" s="24"/>
      <c r="C1618" s="24"/>
      <c r="D1618" s="22"/>
      <c r="F1618" s="114"/>
      <c r="G1618" s="114"/>
      <c r="H1618" s="114"/>
      <c r="I1618" s="114"/>
      <c r="J1618" s="114"/>
      <c r="K1618" s="114"/>
      <c r="L1618" s="114"/>
      <c r="M1618" s="114"/>
      <c r="X1618" s="56"/>
      <c r="Y1618" s="56"/>
      <c r="AA1618" s="56"/>
      <c r="AB1618" s="114"/>
    </row>
    <row r="1619">
      <c r="A1619" s="24"/>
      <c r="B1619" s="24"/>
      <c r="C1619" s="24"/>
      <c r="D1619" s="22"/>
      <c r="F1619" s="114"/>
      <c r="G1619" s="114"/>
      <c r="H1619" s="114"/>
      <c r="I1619" s="114"/>
      <c r="J1619" s="114"/>
      <c r="K1619" s="114"/>
      <c r="L1619" s="114"/>
      <c r="M1619" s="114"/>
      <c r="X1619" s="56"/>
      <c r="Y1619" s="56"/>
      <c r="AA1619" s="56"/>
      <c r="AB1619" s="114"/>
    </row>
    <row r="1620">
      <c r="A1620" s="24"/>
      <c r="B1620" s="24"/>
      <c r="C1620" s="24"/>
      <c r="D1620" s="22"/>
      <c r="F1620" s="114"/>
      <c r="G1620" s="114"/>
      <c r="H1620" s="114"/>
      <c r="I1620" s="114"/>
      <c r="J1620" s="114"/>
      <c r="K1620" s="114"/>
      <c r="L1620" s="114"/>
      <c r="M1620" s="114"/>
      <c r="X1620" s="56"/>
      <c r="Y1620" s="56"/>
      <c r="AA1620" s="56"/>
      <c r="AB1620" s="114"/>
    </row>
    <row r="1621">
      <c r="A1621" s="24"/>
      <c r="B1621" s="24"/>
      <c r="C1621" s="24"/>
      <c r="D1621" s="22"/>
      <c r="F1621" s="114"/>
      <c r="G1621" s="114"/>
      <c r="H1621" s="114"/>
      <c r="I1621" s="114"/>
      <c r="J1621" s="114"/>
      <c r="K1621" s="114"/>
      <c r="L1621" s="114"/>
      <c r="M1621" s="114"/>
      <c r="X1621" s="56"/>
      <c r="Y1621" s="56"/>
      <c r="AA1621" s="56"/>
      <c r="AB1621" s="114"/>
    </row>
    <row r="1622">
      <c r="A1622" s="24"/>
      <c r="B1622" s="24"/>
      <c r="C1622" s="24"/>
      <c r="D1622" s="22"/>
      <c r="F1622" s="114"/>
      <c r="G1622" s="114"/>
      <c r="H1622" s="114"/>
      <c r="I1622" s="114"/>
      <c r="J1622" s="114"/>
      <c r="K1622" s="114"/>
      <c r="L1622" s="114"/>
      <c r="M1622" s="114"/>
      <c r="X1622" s="56"/>
      <c r="Y1622" s="56"/>
      <c r="AA1622" s="56"/>
      <c r="AB1622" s="114"/>
    </row>
    <row r="1623">
      <c r="A1623" s="24"/>
      <c r="B1623" s="24"/>
      <c r="C1623" s="24"/>
      <c r="D1623" s="22"/>
      <c r="F1623" s="114"/>
      <c r="G1623" s="114"/>
      <c r="H1623" s="114"/>
      <c r="I1623" s="114"/>
      <c r="J1623" s="114"/>
      <c r="K1623" s="114"/>
      <c r="L1623" s="114"/>
      <c r="M1623" s="114"/>
      <c r="X1623" s="56"/>
      <c r="Y1623" s="56"/>
      <c r="AA1623" s="56"/>
      <c r="AB1623" s="114"/>
    </row>
    <row r="1624">
      <c r="A1624" s="24"/>
      <c r="B1624" s="24"/>
      <c r="C1624" s="24"/>
      <c r="D1624" s="22"/>
      <c r="F1624" s="114"/>
      <c r="G1624" s="114"/>
      <c r="H1624" s="114"/>
      <c r="I1624" s="114"/>
      <c r="J1624" s="114"/>
      <c r="K1624" s="114"/>
      <c r="L1624" s="114"/>
      <c r="M1624" s="114"/>
      <c r="X1624" s="56"/>
      <c r="Y1624" s="56"/>
      <c r="AA1624" s="56"/>
      <c r="AB1624" s="114"/>
    </row>
    <row r="1625">
      <c r="A1625" s="24"/>
      <c r="B1625" s="24"/>
      <c r="C1625" s="24"/>
      <c r="D1625" s="22"/>
      <c r="F1625" s="114"/>
      <c r="G1625" s="114"/>
      <c r="H1625" s="114"/>
      <c r="I1625" s="114"/>
      <c r="J1625" s="114"/>
      <c r="K1625" s="114"/>
      <c r="L1625" s="114"/>
      <c r="M1625" s="114"/>
      <c r="X1625" s="56"/>
      <c r="Y1625" s="56"/>
      <c r="AA1625" s="56"/>
      <c r="AB1625" s="114"/>
    </row>
    <row r="1626">
      <c r="A1626" s="24"/>
      <c r="B1626" s="24"/>
      <c r="C1626" s="24"/>
      <c r="D1626" s="22"/>
      <c r="F1626" s="114"/>
      <c r="G1626" s="114"/>
      <c r="H1626" s="114"/>
      <c r="I1626" s="114"/>
      <c r="J1626" s="114"/>
      <c r="K1626" s="114"/>
      <c r="L1626" s="114"/>
      <c r="M1626" s="114"/>
      <c r="X1626" s="56"/>
      <c r="Y1626" s="56"/>
      <c r="AA1626" s="56"/>
      <c r="AB1626" s="114"/>
    </row>
    <row r="1627">
      <c r="A1627" s="24"/>
      <c r="B1627" s="24"/>
      <c r="C1627" s="24"/>
      <c r="D1627" s="22"/>
      <c r="F1627" s="114"/>
      <c r="G1627" s="114"/>
      <c r="H1627" s="114"/>
      <c r="I1627" s="114"/>
      <c r="J1627" s="114"/>
      <c r="K1627" s="114"/>
      <c r="L1627" s="114"/>
      <c r="M1627" s="114"/>
      <c r="X1627" s="56"/>
      <c r="Y1627" s="56"/>
      <c r="AA1627" s="56"/>
      <c r="AB1627" s="114"/>
    </row>
    <row r="1628">
      <c r="A1628" s="24"/>
      <c r="B1628" s="24"/>
      <c r="C1628" s="24"/>
      <c r="D1628" s="22"/>
      <c r="F1628" s="114"/>
      <c r="G1628" s="114"/>
      <c r="H1628" s="114"/>
      <c r="I1628" s="114"/>
      <c r="J1628" s="114"/>
      <c r="K1628" s="114"/>
      <c r="L1628" s="114"/>
      <c r="M1628" s="114"/>
      <c r="X1628" s="56"/>
      <c r="Y1628" s="56"/>
      <c r="AA1628" s="56"/>
      <c r="AB1628" s="114"/>
    </row>
    <row r="1629">
      <c r="A1629" s="24"/>
      <c r="B1629" s="24"/>
      <c r="C1629" s="24"/>
      <c r="D1629" s="22"/>
      <c r="F1629" s="114"/>
      <c r="G1629" s="114"/>
      <c r="H1629" s="114"/>
      <c r="I1629" s="114"/>
      <c r="J1629" s="114"/>
      <c r="K1629" s="114"/>
      <c r="L1629" s="114"/>
      <c r="M1629" s="114"/>
      <c r="X1629" s="56"/>
      <c r="Y1629" s="56"/>
      <c r="AA1629" s="56"/>
      <c r="AB1629" s="114"/>
    </row>
    <row r="1630">
      <c r="A1630" s="24"/>
      <c r="B1630" s="24"/>
      <c r="C1630" s="24"/>
      <c r="D1630" s="22"/>
      <c r="F1630" s="114"/>
      <c r="G1630" s="114"/>
      <c r="H1630" s="114"/>
      <c r="I1630" s="114"/>
      <c r="J1630" s="114"/>
      <c r="K1630" s="114"/>
      <c r="L1630" s="114"/>
      <c r="M1630" s="114"/>
      <c r="X1630" s="56"/>
      <c r="Y1630" s="56"/>
      <c r="AA1630" s="56"/>
      <c r="AB1630" s="114"/>
    </row>
    <row r="1631">
      <c r="A1631" s="24"/>
      <c r="B1631" s="24"/>
      <c r="C1631" s="24"/>
      <c r="D1631" s="22"/>
      <c r="F1631" s="114"/>
      <c r="G1631" s="114"/>
      <c r="H1631" s="114"/>
      <c r="I1631" s="114"/>
      <c r="J1631" s="114"/>
      <c r="K1631" s="114"/>
      <c r="L1631" s="114"/>
      <c r="M1631" s="114"/>
      <c r="X1631" s="56"/>
      <c r="Y1631" s="56"/>
      <c r="AA1631" s="56"/>
      <c r="AB1631" s="114"/>
    </row>
    <row r="1632">
      <c r="A1632" s="24"/>
      <c r="B1632" s="24"/>
      <c r="C1632" s="24"/>
      <c r="D1632" s="22"/>
      <c r="F1632" s="114"/>
      <c r="G1632" s="114"/>
      <c r="H1632" s="114"/>
      <c r="I1632" s="114"/>
      <c r="J1632" s="114"/>
      <c r="K1632" s="114"/>
      <c r="L1632" s="114"/>
      <c r="M1632" s="114"/>
      <c r="X1632" s="56"/>
      <c r="Y1632" s="56"/>
      <c r="AA1632" s="56"/>
      <c r="AB1632" s="114"/>
    </row>
    <row r="1633">
      <c r="A1633" s="24"/>
      <c r="B1633" s="24"/>
      <c r="C1633" s="24"/>
      <c r="D1633" s="22"/>
      <c r="F1633" s="114"/>
      <c r="G1633" s="114"/>
      <c r="H1633" s="114"/>
      <c r="I1633" s="114"/>
      <c r="J1633" s="114"/>
      <c r="K1633" s="114"/>
      <c r="L1633" s="114"/>
      <c r="M1633" s="114"/>
      <c r="X1633" s="56"/>
      <c r="Y1633" s="56"/>
      <c r="AA1633" s="56"/>
      <c r="AB1633" s="114"/>
    </row>
    <row r="1634">
      <c r="A1634" s="24"/>
      <c r="B1634" s="24"/>
      <c r="C1634" s="24"/>
      <c r="D1634" s="22"/>
      <c r="F1634" s="114"/>
      <c r="G1634" s="114"/>
      <c r="H1634" s="114"/>
      <c r="I1634" s="114"/>
      <c r="J1634" s="114"/>
      <c r="K1634" s="114"/>
      <c r="L1634" s="114"/>
      <c r="M1634" s="114"/>
      <c r="X1634" s="56"/>
      <c r="Y1634" s="56"/>
      <c r="AA1634" s="56"/>
      <c r="AB1634" s="114"/>
    </row>
    <row r="1635">
      <c r="A1635" s="24"/>
      <c r="B1635" s="24"/>
      <c r="C1635" s="24"/>
      <c r="D1635" s="22"/>
      <c r="F1635" s="114"/>
      <c r="G1635" s="114"/>
      <c r="H1635" s="114"/>
      <c r="I1635" s="114"/>
      <c r="J1635" s="114"/>
      <c r="K1635" s="114"/>
      <c r="L1635" s="114"/>
      <c r="M1635" s="114"/>
      <c r="X1635" s="56"/>
      <c r="Y1635" s="56"/>
      <c r="AA1635" s="56"/>
      <c r="AB1635" s="114"/>
    </row>
    <row r="1636">
      <c r="A1636" s="24"/>
      <c r="B1636" s="24"/>
      <c r="C1636" s="24"/>
      <c r="D1636" s="22"/>
      <c r="F1636" s="114"/>
      <c r="G1636" s="114"/>
      <c r="H1636" s="114"/>
      <c r="I1636" s="114"/>
      <c r="J1636" s="114"/>
      <c r="K1636" s="114"/>
      <c r="L1636" s="114"/>
      <c r="M1636" s="114"/>
      <c r="X1636" s="56"/>
      <c r="Y1636" s="56"/>
      <c r="AA1636" s="56"/>
      <c r="AB1636" s="114"/>
    </row>
    <row r="1637">
      <c r="A1637" s="24"/>
      <c r="B1637" s="24"/>
      <c r="C1637" s="24"/>
      <c r="D1637" s="22"/>
      <c r="F1637" s="114"/>
      <c r="G1637" s="114"/>
      <c r="H1637" s="114"/>
      <c r="I1637" s="114"/>
      <c r="J1637" s="114"/>
      <c r="K1637" s="114"/>
      <c r="L1637" s="114"/>
      <c r="M1637" s="114"/>
      <c r="X1637" s="56"/>
      <c r="Y1637" s="56"/>
      <c r="AA1637" s="56"/>
      <c r="AB1637" s="114"/>
    </row>
    <row r="1638">
      <c r="A1638" s="24"/>
      <c r="B1638" s="24"/>
      <c r="C1638" s="24"/>
      <c r="D1638" s="22"/>
      <c r="F1638" s="114"/>
      <c r="G1638" s="114"/>
      <c r="H1638" s="114"/>
      <c r="I1638" s="114"/>
      <c r="J1638" s="114"/>
      <c r="K1638" s="114"/>
      <c r="L1638" s="114"/>
      <c r="M1638" s="114"/>
      <c r="X1638" s="56"/>
      <c r="Y1638" s="56"/>
      <c r="AA1638" s="56"/>
      <c r="AB1638" s="114"/>
    </row>
    <row r="1639">
      <c r="A1639" s="24"/>
      <c r="B1639" s="24"/>
      <c r="C1639" s="24"/>
      <c r="D1639" s="22"/>
      <c r="F1639" s="114"/>
      <c r="G1639" s="114"/>
      <c r="H1639" s="114"/>
      <c r="I1639" s="114"/>
      <c r="J1639" s="114"/>
      <c r="K1639" s="114"/>
      <c r="L1639" s="114"/>
      <c r="M1639" s="114"/>
      <c r="X1639" s="56"/>
      <c r="Y1639" s="56"/>
      <c r="AA1639" s="56"/>
      <c r="AB1639" s="114"/>
    </row>
    <row r="1640">
      <c r="A1640" s="24"/>
      <c r="B1640" s="24"/>
      <c r="C1640" s="24"/>
      <c r="D1640" s="22"/>
      <c r="F1640" s="114"/>
      <c r="G1640" s="114"/>
      <c r="H1640" s="114"/>
      <c r="I1640" s="114"/>
      <c r="J1640" s="114"/>
      <c r="K1640" s="114"/>
      <c r="L1640" s="114"/>
      <c r="M1640" s="114"/>
      <c r="X1640" s="56"/>
      <c r="Y1640" s="56"/>
      <c r="AA1640" s="56"/>
      <c r="AB1640" s="114"/>
    </row>
    <row r="1641">
      <c r="A1641" s="24"/>
      <c r="B1641" s="24"/>
      <c r="C1641" s="24"/>
      <c r="D1641" s="22"/>
      <c r="F1641" s="114"/>
      <c r="G1641" s="114"/>
      <c r="H1641" s="114"/>
      <c r="I1641" s="114"/>
      <c r="J1641" s="114"/>
      <c r="K1641" s="114"/>
      <c r="L1641" s="114"/>
      <c r="M1641" s="114"/>
      <c r="X1641" s="56"/>
      <c r="Y1641" s="56"/>
      <c r="AA1641" s="56"/>
      <c r="AB1641" s="114"/>
    </row>
    <row r="1642">
      <c r="A1642" s="24"/>
      <c r="B1642" s="24"/>
      <c r="C1642" s="24"/>
      <c r="D1642" s="22"/>
      <c r="F1642" s="114"/>
      <c r="G1642" s="114"/>
      <c r="H1642" s="114"/>
      <c r="I1642" s="114"/>
      <c r="J1642" s="114"/>
      <c r="K1642" s="114"/>
      <c r="L1642" s="114"/>
      <c r="M1642" s="114"/>
      <c r="X1642" s="56"/>
      <c r="Y1642" s="56"/>
      <c r="AA1642" s="56"/>
      <c r="AB1642" s="114"/>
    </row>
    <row r="1643">
      <c r="A1643" s="24"/>
      <c r="B1643" s="24"/>
      <c r="C1643" s="24"/>
      <c r="D1643" s="22"/>
      <c r="F1643" s="114"/>
      <c r="G1643" s="114"/>
      <c r="H1643" s="114"/>
      <c r="I1643" s="114"/>
      <c r="J1643" s="114"/>
      <c r="K1643" s="114"/>
      <c r="L1643" s="114"/>
      <c r="M1643" s="114"/>
      <c r="X1643" s="56"/>
      <c r="Y1643" s="56"/>
      <c r="AA1643" s="56"/>
      <c r="AB1643" s="114"/>
    </row>
    <row r="1644">
      <c r="A1644" s="24"/>
      <c r="B1644" s="24"/>
      <c r="C1644" s="24"/>
      <c r="D1644" s="22"/>
      <c r="F1644" s="114"/>
      <c r="G1644" s="114"/>
      <c r="H1644" s="114"/>
      <c r="I1644" s="114"/>
      <c r="J1644" s="114"/>
      <c r="K1644" s="114"/>
      <c r="L1644" s="114"/>
      <c r="M1644" s="114"/>
      <c r="X1644" s="56"/>
      <c r="Y1644" s="56"/>
      <c r="AA1644" s="56"/>
      <c r="AB1644" s="114"/>
    </row>
    <row r="1645">
      <c r="A1645" s="24"/>
      <c r="B1645" s="24"/>
      <c r="C1645" s="24"/>
      <c r="D1645" s="22"/>
      <c r="F1645" s="114"/>
      <c r="G1645" s="114"/>
      <c r="H1645" s="114"/>
      <c r="I1645" s="114"/>
      <c r="J1645" s="114"/>
      <c r="K1645" s="114"/>
      <c r="L1645" s="114"/>
      <c r="M1645" s="114"/>
      <c r="X1645" s="56"/>
      <c r="Y1645" s="56"/>
      <c r="AA1645" s="56"/>
      <c r="AB1645" s="114"/>
    </row>
    <row r="1646">
      <c r="A1646" s="24"/>
      <c r="B1646" s="24"/>
      <c r="C1646" s="24"/>
      <c r="D1646" s="22"/>
      <c r="F1646" s="114"/>
      <c r="G1646" s="114"/>
      <c r="H1646" s="114"/>
      <c r="I1646" s="114"/>
      <c r="J1646" s="114"/>
      <c r="K1646" s="114"/>
      <c r="L1646" s="114"/>
      <c r="M1646" s="114"/>
      <c r="X1646" s="56"/>
      <c r="Y1646" s="56"/>
      <c r="AA1646" s="56"/>
      <c r="AB1646" s="114"/>
    </row>
    <row r="1647">
      <c r="A1647" s="24"/>
      <c r="B1647" s="24"/>
      <c r="C1647" s="24"/>
      <c r="D1647" s="22"/>
      <c r="F1647" s="114"/>
      <c r="G1647" s="114"/>
      <c r="H1647" s="114"/>
      <c r="I1647" s="114"/>
      <c r="J1647" s="114"/>
      <c r="K1647" s="114"/>
      <c r="L1647" s="114"/>
      <c r="M1647" s="114"/>
      <c r="X1647" s="56"/>
      <c r="Y1647" s="56"/>
      <c r="AA1647" s="56"/>
      <c r="AB1647" s="114"/>
    </row>
    <row r="1648">
      <c r="A1648" s="24"/>
      <c r="B1648" s="24"/>
      <c r="C1648" s="24"/>
      <c r="D1648" s="22"/>
      <c r="F1648" s="114"/>
      <c r="G1648" s="114"/>
      <c r="H1648" s="114"/>
      <c r="I1648" s="114"/>
      <c r="J1648" s="114"/>
      <c r="K1648" s="114"/>
      <c r="L1648" s="114"/>
      <c r="M1648" s="114"/>
      <c r="X1648" s="56"/>
      <c r="Y1648" s="56"/>
      <c r="AA1648" s="56"/>
      <c r="AB1648" s="114"/>
    </row>
    <row r="1649">
      <c r="A1649" s="24"/>
      <c r="B1649" s="24"/>
      <c r="C1649" s="24"/>
      <c r="D1649" s="22"/>
      <c r="F1649" s="114"/>
      <c r="G1649" s="114"/>
      <c r="H1649" s="114"/>
      <c r="I1649" s="114"/>
      <c r="J1649" s="114"/>
      <c r="K1649" s="114"/>
      <c r="L1649" s="114"/>
      <c r="M1649" s="114"/>
      <c r="X1649" s="56"/>
      <c r="Y1649" s="56"/>
      <c r="AA1649" s="56"/>
      <c r="AB1649" s="114"/>
    </row>
    <row r="1650">
      <c r="A1650" s="24"/>
      <c r="B1650" s="24"/>
      <c r="C1650" s="24"/>
      <c r="D1650" s="22"/>
      <c r="F1650" s="114"/>
      <c r="G1650" s="114"/>
      <c r="H1650" s="114"/>
      <c r="I1650" s="114"/>
      <c r="J1650" s="114"/>
      <c r="K1650" s="114"/>
      <c r="L1650" s="114"/>
      <c r="M1650" s="114"/>
      <c r="X1650" s="56"/>
      <c r="Y1650" s="56"/>
      <c r="AA1650" s="56"/>
      <c r="AB1650" s="114"/>
    </row>
    <row r="1651">
      <c r="A1651" s="24"/>
      <c r="B1651" s="24"/>
      <c r="C1651" s="24"/>
      <c r="D1651" s="22"/>
      <c r="F1651" s="114"/>
      <c r="G1651" s="114"/>
      <c r="H1651" s="114"/>
      <c r="I1651" s="114"/>
      <c r="J1651" s="114"/>
      <c r="K1651" s="114"/>
      <c r="L1651" s="114"/>
      <c r="M1651" s="114"/>
      <c r="X1651" s="56"/>
      <c r="Y1651" s="56"/>
      <c r="AA1651" s="56"/>
      <c r="AB1651" s="114"/>
    </row>
    <row r="1652">
      <c r="A1652" s="24"/>
      <c r="B1652" s="24"/>
      <c r="C1652" s="24"/>
      <c r="D1652" s="22"/>
      <c r="F1652" s="114"/>
      <c r="G1652" s="114"/>
      <c r="H1652" s="114"/>
      <c r="I1652" s="114"/>
      <c r="J1652" s="114"/>
      <c r="K1652" s="114"/>
      <c r="L1652" s="114"/>
      <c r="M1652" s="114"/>
      <c r="X1652" s="56"/>
      <c r="Y1652" s="56"/>
      <c r="AA1652" s="56"/>
      <c r="AB1652" s="114"/>
    </row>
    <row r="1653">
      <c r="A1653" s="24"/>
      <c r="B1653" s="24"/>
      <c r="C1653" s="24"/>
      <c r="D1653" s="22"/>
      <c r="F1653" s="114"/>
      <c r="G1653" s="114"/>
      <c r="H1653" s="114"/>
      <c r="I1653" s="114"/>
      <c r="J1653" s="114"/>
      <c r="K1653" s="114"/>
      <c r="L1653" s="114"/>
      <c r="M1653" s="114"/>
      <c r="X1653" s="56"/>
      <c r="Y1653" s="56"/>
      <c r="AA1653" s="56"/>
      <c r="AB1653" s="114"/>
    </row>
    <row r="1654">
      <c r="A1654" s="24"/>
      <c r="B1654" s="24"/>
      <c r="C1654" s="24"/>
      <c r="D1654" s="22"/>
      <c r="F1654" s="114"/>
      <c r="G1654" s="114"/>
      <c r="H1654" s="114"/>
      <c r="I1654" s="114"/>
      <c r="J1654" s="114"/>
      <c r="K1654" s="114"/>
      <c r="L1654" s="114"/>
      <c r="M1654" s="114"/>
      <c r="X1654" s="56"/>
      <c r="Y1654" s="56"/>
      <c r="AA1654" s="56"/>
      <c r="AB1654" s="114"/>
    </row>
    <row r="1655">
      <c r="A1655" s="24"/>
      <c r="B1655" s="24"/>
      <c r="C1655" s="24"/>
      <c r="D1655" s="22"/>
      <c r="F1655" s="114"/>
      <c r="G1655" s="114"/>
      <c r="H1655" s="114"/>
      <c r="I1655" s="114"/>
      <c r="J1655" s="114"/>
      <c r="K1655" s="114"/>
      <c r="L1655" s="114"/>
      <c r="M1655" s="114"/>
      <c r="X1655" s="56"/>
      <c r="Y1655" s="56"/>
      <c r="AA1655" s="56"/>
      <c r="AB1655" s="114"/>
    </row>
    <row r="1656">
      <c r="A1656" s="24"/>
      <c r="B1656" s="24"/>
      <c r="C1656" s="24"/>
      <c r="D1656" s="22"/>
      <c r="F1656" s="114"/>
      <c r="G1656" s="114"/>
      <c r="H1656" s="114"/>
      <c r="I1656" s="114"/>
      <c r="J1656" s="114"/>
      <c r="K1656" s="114"/>
      <c r="L1656" s="114"/>
      <c r="M1656" s="114"/>
      <c r="X1656" s="56"/>
      <c r="Y1656" s="56"/>
      <c r="AA1656" s="56"/>
      <c r="AB1656" s="114"/>
    </row>
    <row r="1657">
      <c r="A1657" s="24"/>
      <c r="B1657" s="24"/>
      <c r="C1657" s="24"/>
      <c r="D1657" s="22"/>
      <c r="F1657" s="114"/>
      <c r="G1657" s="114"/>
      <c r="H1657" s="114"/>
      <c r="I1657" s="114"/>
      <c r="J1657" s="114"/>
      <c r="K1657" s="114"/>
      <c r="L1657" s="114"/>
      <c r="M1657" s="114"/>
      <c r="X1657" s="56"/>
      <c r="Y1657" s="56"/>
      <c r="AA1657" s="56"/>
      <c r="AB1657" s="114"/>
    </row>
    <row r="1658">
      <c r="A1658" s="24"/>
      <c r="B1658" s="24"/>
      <c r="C1658" s="24"/>
      <c r="D1658" s="22"/>
      <c r="F1658" s="114"/>
      <c r="G1658" s="114"/>
      <c r="H1658" s="114"/>
      <c r="I1658" s="114"/>
      <c r="J1658" s="114"/>
      <c r="K1658" s="114"/>
      <c r="L1658" s="114"/>
      <c r="M1658" s="114"/>
      <c r="X1658" s="56"/>
      <c r="Y1658" s="56"/>
      <c r="AA1658" s="56"/>
      <c r="AB1658" s="114"/>
    </row>
    <row r="1659">
      <c r="A1659" s="24"/>
      <c r="B1659" s="24"/>
      <c r="C1659" s="24"/>
      <c r="D1659" s="22"/>
      <c r="F1659" s="114"/>
      <c r="G1659" s="114"/>
      <c r="H1659" s="114"/>
      <c r="I1659" s="114"/>
      <c r="J1659" s="114"/>
      <c r="K1659" s="114"/>
      <c r="L1659" s="114"/>
      <c r="M1659" s="114"/>
      <c r="X1659" s="56"/>
      <c r="Y1659" s="56"/>
      <c r="AA1659" s="56"/>
      <c r="AB1659" s="114"/>
    </row>
    <row r="1660">
      <c r="A1660" s="24"/>
      <c r="B1660" s="24"/>
      <c r="C1660" s="24"/>
      <c r="D1660" s="22"/>
      <c r="F1660" s="114"/>
      <c r="G1660" s="114"/>
      <c r="H1660" s="114"/>
      <c r="I1660" s="114"/>
      <c r="J1660" s="114"/>
      <c r="K1660" s="114"/>
      <c r="L1660" s="114"/>
      <c r="M1660" s="114"/>
      <c r="X1660" s="56"/>
      <c r="Y1660" s="56"/>
      <c r="AA1660" s="56"/>
      <c r="AB1660" s="114"/>
    </row>
    <row r="1661">
      <c r="A1661" s="24"/>
      <c r="B1661" s="24"/>
      <c r="C1661" s="24"/>
      <c r="D1661" s="22"/>
      <c r="F1661" s="114"/>
      <c r="G1661" s="114"/>
      <c r="H1661" s="114"/>
      <c r="I1661" s="114"/>
      <c r="J1661" s="114"/>
      <c r="K1661" s="114"/>
      <c r="L1661" s="114"/>
      <c r="M1661" s="114"/>
      <c r="X1661" s="56"/>
      <c r="Y1661" s="56"/>
      <c r="AA1661" s="56"/>
      <c r="AB1661" s="114"/>
    </row>
    <row r="1662">
      <c r="A1662" s="24"/>
      <c r="B1662" s="24"/>
      <c r="C1662" s="24"/>
      <c r="D1662" s="22"/>
      <c r="F1662" s="114"/>
      <c r="G1662" s="114"/>
      <c r="H1662" s="114"/>
      <c r="I1662" s="114"/>
      <c r="J1662" s="114"/>
      <c r="K1662" s="114"/>
      <c r="L1662" s="114"/>
      <c r="M1662" s="114"/>
      <c r="X1662" s="56"/>
      <c r="Y1662" s="56"/>
      <c r="AA1662" s="56"/>
      <c r="AB1662" s="114"/>
    </row>
    <row r="1663">
      <c r="A1663" s="24"/>
      <c r="B1663" s="24"/>
      <c r="C1663" s="24"/>
      <c r="D1663" s="22"/>
      <c r="F1663" s="114"/>
      <c r="G1663" s="114"/>
      <c r="H1663" s="114"/>
      <c r="I1663" s="114"/>
      <c r="J1663" s="114"/>
      <c r="K1663" s="114"/>
      <c r="L1663" s="114"/>
      <c r="M1663" s="114"/>
      <c r="X1663" s="56"/>
      <c r="Y1663" s="56"/>
      <c r="AA1663" s="56"/>
      <c r="AB1663" s="114"/>
    </row>
    <row r="1664">
      <c r="A1664" s="24"/>
      <c r="B1664" s="24"/>
      <c r="C1664" s="24"/>
      <c r="D1664" s="22"/>
      <c r="F1664" s="114"/>
      <c r="G1664" s="114"/>
      <c r="H1664" s="114"/>
      <c r="I1664" s="114"/>
      <c r="J1664" s="114"/>
      <c r="K1664" s="114"/>
      <c r="L1664" s="114"/>
      <c r="M1664" s="114"/>
      <c r="X1664" s="56"/>
      <c r="Y1664" s="56"/>
      <c r="AA1664" s="56"/>
      <c r="AB1664" s="114"/>
    </row>
    <row r="1665">
      <c r="A1665" s="24"/>
      <c r="B1665" s="24"/>
      <c r="C1665" s="24"/>
      <c r="D1665" s="22"/>
      <c r="F1665" s="114"/>
      <c r="G1665" s="114"/>
      <c r="H1665" s="114"/>
      <c r="I1665" s="114"/>
      <c r="J1665" s="114"/>
      <c r="K1665" s="114"/>
      <c r="L1665" s="114"/>
      <c r="M1665" s="114"/>
      <c r="X1665" s="56"/>
      <c r="Y1665" s="56"/>
      <c r="AA1665" s="56"/>
      <c r="AB1665" s="114"/>
    </row>
    <row r="1666">
      <c r="A1666" s="24"/>
      <c r="B1666" s="24"/>
      <c r="C1666" s="24"/>
      <c r="D1666" s="22"/>
      <c r="F1666" s="114"/>
      <c r="G1666" s="114"/>
      <c r="H1666" s="114"/>
      <c r="I1666" s="114"/>
      <c r="J1666" s="114"/>
      <c r="K1666" s="114"/>
      <c r="L1666" s="114"/>
      <c r="M1666" s="114"/>
      <c r="X1666" s="56"/>
      <c r="Y1666" s="56"/>
      <c r="AA1666" s="56"/>
      <c r="AB1666" s="114"/>
    </row>
    <row r="1667">
      <c r="A1667" s="24"/>
      <c r="B1667" s="24"/>
      <c r="C1667" s="24"/>
      <c r="D1667" s="22"/>
      <c r="F1667" s="114"/>
      <c r="G1667" s="114"/>
      <c r="H1667" s="114"/>
      <c r="I1667" s="114"/>
      <c r="J1667" s="114"/>
      <c r="K1667" s="114"/>
      <c r="L1667" s="114"/>
      <c r="M1667" s="114"/>
      <c r="X1667" s="56"/>
      <c r="Y1667" s="56"/>
      <c r="AA1667" s="56"/>
      <c r="AB1667" s="114"/>
    </row>
    <row r="1668">
      <c r="A1668" s="24"/>
      <c r="B1668" s="24"/>
      <c r="C1668" s="24"/>
      <c r="D1668" s="22"/>
      <c r="F1668" s="114"/>
      <c r="G1668" s="114"/>
      <c r="H1668" s="114"/>
      <c r="I1668" s="114"/>
      <c r="J1668" s="114"/>
      <c r="K1668" s="114"/>
      <c r="L1668" s="114"/>
      <c r="M1668" s="114"/>
      <c r="X1668" s="56"/>
      <c r="Y1668" s="56"/>
      <c r="AA1668" s="56"/>
      <c r="AB1668" s="114"/>
    </row>
    <row r="1669">
      <c r="A1669" s="24"/>
      <c r="B1669" s="24"/>
      <c r="C1669" s="24"/>
      <c r="D1669" s="22"/>
      <c r="F1669" s="114"/>
      <c r="G1669" s="114"/>
      <c r="H1669" s="114"/>
      <c r="I1669" s="114"/>
      <c r="J1669" s="114"/>
      <c r="K1669" s="114"/>
      <c r="L1669" s="114"/>
      <c r="M1669" s="114"/>
      <c r="X1669" s="56"/>
      <c r="Y1669" s="56"/>
      <c r="AA1669" s="56"/>
      <c r="AB1669" s="114"/>
    </row>
    <row r="1670">
      <c r="A1670" s="24"/>
      <c r="B1670" s="24"/>
      <c r="C1670" s="24"/>
      <c r="D1670" s="22"/>
      <c r="F1670" s="114"/>
      <c r="G1670" s="114"/>
      <c r="H1670" s="114"/>
      <c r="I1670" s="114"/>
      <c r="J1670" s="114"/>
      <c r="K1670" s="114"/>
      <c r="L1670" s="114"/>
      <c r="M1670" s="114"/>
      <c r="X1670" s="56"/>
      <c r="Y1670" s="56"/>
      <c r="AA1670" s="56"/>
      <c r="AB1670" s="114"/>
    </row>
    <row r="1671">
      <c r="A1671" s="24"/>
      <c r="B1671" s="24"/>
      <c r="C1671" s="24"/>
      <c r="D1671" s="22"/>
      <c r="F1671" s="114"/>
      <c r="G1671" s="114"/>
      <c r="H1671" s="114"/>
      <c r="I1671" s="114"/>
      <c r="J1671" s="114"/>
      <c r="K1671" s="114"/>
      <c r="L1671" s="114"/>
      <c r="M1671" s="114"/>
      <c r="X1671" s="56"/>
      <c r="Y1671" s="56"/>
      <c r="AA1671" s="56"/>
      <c r="AB1671" s="114"/>
    </row>
    <row r="1672">
      <c r="A1672" s="24"/>
      <c r="B1672" s="24"/>
      <c r="C1672" s="24"/>
      <c r="D1672" s="22"/>
      <c r="F1672" s="114"/>
      <c r="G1672" s="114"/>
      <c r="H1672" s="114"/>
      <c r="I1672" s="114"/>
      <c r="J1672" s="114"/>
      <c r="K1672" s="114"/>
      <c r="L1672" s="114"/>
      <c r="M1672" s="114"/>
      <c r="X1672" s="56"/>
      <c r="Y1672" s="56"/>
      <c r="AA1672" s="56"/>
      <c r="AB1672" s="114"/>
    </row>
    <row r="1673">
      <c r="A1673" s="24"/>
      <c r="B1673" s="24"/>
      <c r="C1673" s="24"/>
      <c r="D1673" s="22"/>
      <c r="F1673" s="114"/>
      <c r="G1673" s="114"/>
      <c r="H1673" s="114"/>
      <c r="I1673" s="114"/>
      <c r="J1673" s="114"/>
      <c r="K1673" s="114"/>
      <c r="L1673" s="114"/>
      <c r="M1673" s="114"/>
      <c r="X1673" s="56"/>
      <c r="Y1673" s="56"/>
      <c r="AA1673" s="56"/>
      <c r="AB1673" s="114"/>
    </row>
    <row r="1674">
      <c r="A1674" s="24"/>
      <c r="B1674" s="24"/>
      <c r="C1674" s="24"/>
      <c r="D1674" s="22"/>
      <c r="F1674" s="114"/>
      <c r="G1674" s="114"/>
      <c r="H1674" s="114"/>
      <c r="I1674" s="114"/>
      <c r="J1674" s="114"/>
      <c r="K1674" s="114"/>
      <c r="L1674" s="114"/>
      <c r="M1674" s="114"/>
      <c r="X1674" s="56"/>
      <c r="Y1674" s="56"/>
      <c r="AA1674" s="56"/>
      <c r="AB1674" s="114"/>
    </row>
    <row r="1675">
      <c r="A1675" s="24"/>
      <c r="B1675" s="24"/>
      <c r="C1675" s="24"/>
      <c r="D1675" s="22"/>
      <c r="F1675" s="114"/>
      <c r="G1675" s="114"/>
      <c r="H1675" s="114"/>
      <c r="I1675" s="114"/>
      <c r="J1675" s="114"/>
      <c r="K1675" s="114"/>
      <c r="L1675" s="114"/>
      <c r="M1675" s="114"/>
      <c r="X1675" s="56"/>
      <c r="Y1675" s="56"/>
      <c r="AA1675" s="56"/>
      <c r="AB1675" s="114"/>
    </row>
    <row r="1676">
      <c r="A1676" s="24"/>
      <c r="B1676" s="24"/>
      <c r="C1676" s="24"/>
      <c r="D1676" s="22"/>
      <c r="F1676" s="114"/>
      <c r="G1676" s="114"/>
      <c r="H1676" s="114"/>
      <c r="I1676" s="114"/>
      <c r="J1676" s="114"/>
      <c r="K1676" s="114"/>
      <c r="L1676" s="114"/>
      <c r="M1676" s="114"/>
      <c r="X1676" s="56"/>
      <c r="Y1676" s="56"/>
      <c r="AA1676" s="56"/>
      <c r="AB1676" s="114"/>
    </row>
    <row r="1677">
      <c r="A1677" s="24"/>
      <c r="B1677" s="24"/>
      <c r="C1677" s="24"/>
      <c r="D1677" s="22"/>
      <c r="F1677" s="114"/>
      <c r="G1677" s="114"/>
      <c r="H1677" s="114"/>
      <c r="I1677" s="114"/>
      <c r="J1677" s="114"/>
      <c r="K1677" s="114"/>
      <c r="L1677" s="114"/>
      <c r="M1677" s="114"/>
      <c r="X1677" s="56"/>
      <c r="Y1677" s="56"/>
      <c r="AA1677" s="56"/>
      <c r="AB1677" s="114"/>
    </row>
    <row r="1678">
      <c r="A1678" s="24"/>
      <c r="B1678" s="24"/>
      <c r="C1678" s="24"/>
      <c r="D1678" s="22"/>
      <c r="F1678" s="114"/>
      <c r="G1678" s="114"/>
      <c r="H1678" s="114"/>
      <c r="I1678" s="114"/>
      <c r="J1678" s="114"/>
      <c r="K1678" s="114"/>
      <c r="L1678" s="114"/>
      <c r="M1678" s="114"/>
      <c r="X1678" s="56"/>
      <c r="Y1678" s="56"/>
      <c r="AA1678" s="56"/>
      <c r="AB1678" s="114"/>
    </row>
    <row r="1679">
      <c r="A1679" s="24"/>
      <c r="B1679" s="24"/>
      <c r="C1679" s="24"/>
      <c r="D1679" s="22"/>
      <c r="F1679" s="114"/>
      <c r="G1679" s="114"/>
      <c r="H1679" s="114"/>
      <c r="I1679" s="114"/>
      <c r="J1679" s="114"/>
      <c r="K1679" s="114"/>
      <c r="L1679" s="114"/>
      <c r="M1679" s="114"/>
      <c r="X1679" s="56"/>
      <c r="Y1679" s="56"/>
      <c r="AA1679" s="56"/>
      <c r="AB1679" s="114"/>
    </row>
    <row r="1680">
      <c r="A1680" s="24"/>
      <c r="B1680" s="24"/>
      <c r="C1680" s="24"/>
      <c r="D1680" s="22"/>
      <c r="F1680" s="114"/>
      <c r="G1680" s="114"/>
      <c r="H1680" s="114"/>
      <c r="I1680" s="114"/>
      <c r="J1680" s="114"/>
      <c r="K1680" s="114"/>
      <c r="L1680" s="114"/>
      <c r="M1680" s="114"/>
      <c r="X1680" s="56"/>
      <c r="Y1680" s="56"/>
      <c r="AA1680" s="56"/>
      <c r="AB1680" s="114"/>
    </row>
    <row r="1681">
      <c r="A1681" s="24"/>
      <c r="B1681" s="24"/>
      <c r="C1681" s="24"/>
      <c r="D1681" s="22"/>
      <c r="F1681" s="114"/>
      <c r="G1681" s="114"/>
      <c r="H1681" s="114"/>
      <c r="I1681" s="114"/>
      <c r="J1681" s="114"/>
      <c r="K1681" s="114"/>
      <c r="L1681" s="114"/>
      <c r="M1681" s="114"/>
      <c r="X1681" s="56"/>
      <c r="Y1681" s="56"/>
      <c r="AA1681" s="56"/>
      <c r="AB1681" s="114"/>
    </row>
    <row r="1682">
      <c r="A1682" s="24"/>
      <c r="B1682" s="24"/>
      <c r="C1682" s="24"/>
      <c r="D1682" s="22"/>
      <c r="F1682" s="114"/>
      <c r="G1682" s="114"/>
      <c r="H1682" s="114"/>
      <c r="I1682" s="114"/>
      <c r="J1682" s="114"/>
      <c r="K1682" s="114"/>
      <c r="L1682" s="114"/>
      <c r="M1682" s="114"/>
      <c r="X1682" s="56"/>
      <c r="Y1682" s="56"/>
      <c r="AA1682" s="56"/>
      <c r="AB1682" s="114"/>
    </row>
    <row r="1683">
      <c r="A1683" s="24"/>
      <c r="B1683" s="24"/>
      <c r="C1683" s="24"/>
      <c r="D1683" s="22"/>
      <c r="F1683" s="114"/>
      <c r="G1683" s="114"/>
      <c r="H1683" s="114"/>
      <c r="I1683" s="114"/>
      <c r="J1683" s="114"/>
      <c r="K1683" s="114"/>
      <c r="L1683" s="114"/>
      <c r="M1683" s="114"/>
      <c r="X1683" s="56"/>
      <c r="Y1683" s="56"/>
      <c r="AA1683" s="56"/>
      <c r="AB1683" s="114"/>
    </row>
    <row r="1684">
      <c r="A1684" s="24"/>
      <c r="B1684" s="24"/>
      <c r="C1684" s="24"/>
      <c r="D1684" s="22"/>
      <c r="F1684" s="114"/>
      <c r="G1684" s="114"/>
      <c r="H1684" s="114"/>
      <c r="I1684" s="114"/>
      <c r="J1684" s="114"/>
      <c r="K1684" s="114"/>
      <c r="L1684" s="114"/>
      <c r="M1684" s="114"/>
      <c r="X1684" s="56"/>
      <c r="Y1684" s="56"/>
      <c r="AA1684" s="56"/>
      <c r="AB1684" s="114"/>
    </row>
    <row r="1685">
      <c r="A1685" s="24"/>
      <c r="B1685" s="24"/>
      <c r="C1685" s="24"/>
      <c r="D1685" s="22"/>
      <c r="F1685" s="114"/>
      <c r="G1685" s="114"/>
      <c r="H1685" s="114"/>
      <c r="I1685" s="114"/>
      <c r="J1685" s="114"/>
      <c r="K1685" s="114"/>
      <c r="L1685" s="114"/>
      <c r="M1685" s="114"/>
      <c r="X1685" s="56"/>
      <c r="Y1685" s="56"/>
      <c r="AA1685" s="56"/>
      <c r="AB1685" s="114"/>
    </row>
    <row r="1686">
      <c r="A1686" s="24"/>
      <c r="B1686" s="24"/>
      <c r="C1686" s="24"/>
      <c r="D1686" s="22"/>
      <c r="F1686" s="114"/>
      <c r="G1686" s="114"/>
      <c r="H1686" s="114"/>
      <c r="I1686" s="114"/>
      <c r="J1686" s="114"/>
      <c r="K1686" s="114"/>
      <c r="L1686" s="114"/>
      <c r="M1686" s="114"/>
      <c r="X1686" s="56"/>
      <c r="Y1686" s="56"/>
      <c r="AA1686" s="56"/>
      <c r="AB1686" s="114"/>
    </row>
    <row r="1687">
      <c r="A1687" s="24"/>
      <c r="B1687" s="24"/>
      <c r="C1687" s="24"/>
      <c r="D1687" s="22"/>
      <c r="F1687" s="114"/>
      <c r="G1687" s="114"/>
      <c r="H1687" s="114"/>
      <c r="I1687" s="114"/>
      <c r="J1687" s="114"/>
      <c r="K1687" s="114"/>
      <c r="L1687" s="114"/>
      <c r="M1687" s="114"/>
      <c r="X1687" s="56"/>
      <c r="Y1687" s="56"/>
      <c r="AA1687" s="56"/>
      <c r="AB1687" s="114"/>
    </row>
    <row r="1688">
      <c r="A1688" s="24"/>
      <c r="B1688" s="24"/>
      <c r="C1688" s="24"/>
      <c r="D1688" s="22"/>
      <c r="F1688" s="114"/>
      <c r="G1688" s="114"/>
      <c r="H1688" s="114"/>
      <c r="I1688" s="114"/>
      <c r="J1688" s="114"/>
      <c r="K1688" s="114"/>
      <c r="L1688" s="114"/>
      <c r="M1688" s="114"/>
      <c r="X1688" s="56"/>
      <c r="Y1688" s="56"/>
      <c r="AA1688" s="56"/>
      <c r="AB1688" s="114"/>
    </row>
    <row r="1689">
      <c r="A1689" s="24"/>
      <c r="B1689" s="24"/>
      <c r="C1689" s="24"/>
      <c r="D1689" s="22"/>
      <c r="F1689" s="114"/>
      <c r="G1689" s="114"/>
      <c r="H1689" s="114"/>
      <c r="I1689" s="114"/>
      <c r="J1689" s="114"/>
      <c r="K1689" s="114"/>
      <c r="L1689" s="114"/>
      <c r="M1689" s="114"/>
      <c r="X1689" s="56"/>
      <c r="Y1689" s="56"/>
      <c r="AA1689" s="56"/>
      <c r="AB1689" s="114"/>
    </row>
    <row r="1690">
      <c r="A1690" s="24"/>
      <c r="B1690" s="24"/>
      <c r="C1690" s="24"/>
      <c r="D1690" s="22"/>
      <c r="F1690" s="114"/>
      <c r="G1690" s="114"/>
      <c r="H1690" s="114"/>
      <c r="I1690" s="114"/>
      <c r="J1690" s="114"/>
      <c r="K1690" s="114"/>
      <c r="L1690" s="114"/>
      <c r="M1690" s="114"/>
      <c r="X1690" s="56"/>
      <c r="Y1690" s="56"/>
      <c r="AA1690" s="56"/>
      <c r="AB1690" s="114"/>
    </row>
    <row r="1691">
      <c r="A1691" s="24"/>
      <c r="B1691" s="24"/>
      <c r="C1691" s="24"/>
      <c r="D1691" s="22"/>
      <c r="F1691" s="114"/>
      <c r="G1691" s="114"/>
      <c r="H1691" s="114"/>
      <c r="I1691" s="114"/>
      <c r="J1691" s="114"/>
      <c r="K1691" s="114"/>
      <c r="L1691" s="114"/>
      <c r="M1691" s="114"/>
      <c r="X1691" s="56"/>
      <c r="Y1691" s="56"/>
      <c r="AA1691" s="56"/>
      <c r="AB1691" s="114"/>
    </row>
    <row r="1692">
      <c r="A1692" s="24"/>
      <c r="B1692" s="24"/>
      <c r="C1692" s="24"/>
      <c r="D1692" s="22"/>
      <c r="F1692" s="114"/>
      <c r="G1692" s="114"/>
      <c r="H1692" s="114"/>
      <c r="I1692" s="114"/>
      <c r="J1692" s="114"/>
      <c r="K1692" s="114"/>
      <c r="L1692" s="114"/>
      <c r="M1692" s="114"/>
      <c r="X1692" s="56"/>
      <c r="Y1692" s="56"/>
      <c r="AA1692" s="56"/>
      <c r="AB1692" s="114"/>
    </row>
    <row r="1693">
      <c r="A1693" s="24"/>
      <c r="B1693" s="24"/>
      <c r="C1693" s="24"/>
      <c r="D1693" s="22"/>
      <c r="F1693" s="114"/>
      <c r="G1693" s="114"/>
      <c r="H1693" s="114"/>
      <c r="I1693" s="114"/>
      <c r="J1693" s="114"/>
      <c r="K1693" s="114"/>
      <c r="L1693" s="114"/>
      <c r="M1693" s="114"/>
      <c r="X1693" s="56"/>
      <c r="Y1693" s="56"/>
      <c r="AA1693" s="56"/>
      <c r="AB1693" s="114"/>
    </row>
    <row r="1694">
      <c r="A1694" s="24"/>
      <c r="B1694" s="24"/>
      <c r="C1694" s="24"/>
      <c r="D1694" s="22"/>
      <c r="F1694" s="114"/>
      <c r="G1694" s="114"/>
      <c r="H1694" s="114"/>
      <c r="I1694" s="114"/>
      <c r="J1694" s="114"/>
      <c r="K1694" s="114"/>
      <c r="L1694" s="114"/>
      <c r="M1694" s="114"/>
      <c r="X1694" s="56"/>
      <c r="Y1694" s="56"/>
      <c r="AA1694" s="56"/>
      <c r="AB1694" s="114"/>
    </row>
    <row r="1695">
      <c r="A1695" s="24"/>
      <c r="B1695" s="24"/>
      <c r="C1695" s="24"/>
      <c r="D1695" s="22"/>
      <c r="F1695" s="114"/>
      <c r="G1695" s="114"/>
      <c r="H1695" s="114"/>
      <c r="I1695" s="114"/>
      <c r="J1695" s="114"/>
      <c r="K1695" s="114"/>
      <c r="L1695" s="114"/>
      <c r="M1695" s="114"/>
      <c r="X1695" s="56"/>
      <c r="Y1695" s="56"/>
      <c r="AA1695" s="56"/>
      <c r="AB1695" s="114"/>
    </row>
    <row r="1696">
      <c r="A1696" s="24"/>
      <c r="B1696" s="24"/>
      <c r="C1696" s="24"/>
      <c r="D1696" s="22"/>
      <c r="F1696" s="114"/>
      <c r="G1696" s="114"/>
      <c r="H1696" s="114"/>
      <c r="I1696" s="114"/>
      <c r="J1696" s="114"/>
      <c r="K1696" s="114"/>
      <c r="L1696" s="114"/>
      <c r="M1696" s="114"/>
      <c r="X1696" s="56"/>
      <c r="Y1696" s="56"/>
      <c r="AA1696" s="56"/>
      <c r="AB1696" s="114"/>
    </row>
    <row r="1697">
      <c r="A1697" s="24"/>
      <c r="B1697" s="24"/>
      <c r="C1697" s="24"/>
      <c r="D1697" s="22"/>
      <c r="F1697" s="114"/>
      <c r="G1697" s="114"/>
      <c r="H1697" s="114"/>
      <c r="I1697" s="114"/>
      <c r="J1697" s="114"/>
      <c r="K1697" s="114"/>
      <c r="L1697" s="114"/>
      <c r="M1697" s="114"/>
      <c r="X1697" s="56"/>
      <c r="Y1697" s="56"/>
      <c r="AA1697" s="56"/>
      <c r="AB1697" s="114"/>
    </row>
    <row r="1698">
      <c r="A1698" s="24"/>
      <c r="B1698" s="24"/>
      <c r="C1698" s="24"/>
      <c r="D1698" s="22"/>
      <c r="F1698" s="114"/>
      <c r="G1698" s="114"/>
      <c r="H1698" s="114"/>
      <c r="I1698" s="114"/>
      <c r="J1698" s="114"/>
      <c r="K1698" s="114"/>
      <c r="L1698" s="114"/>
      <c r="M1698" s="114"/>
      <c r="X1698" s="56"/>
      <c r="Y1698" s="56"/>
      <c r="AA1698" s="56"/>
      <c r="AB1698" s="114"/>
    </row>
    <row r="1699">
      <c r="A1699" s="24"/>
      <c r="B1699" s="24"/>
      <c r="C1699" s="24"/>
      <c r="D1699" s="22"/>
      <c r="F1699" s="114"/>
      <c r="G1699" s="114"/>
      <c r="H1699" s="114"/>
      <c r="I1699" s="114"/>
      <c r="J1699" s="114"/>
      <c r="K1699" s="114"/>
      <c r="L1699" s="114"/>
      <c r="M1699" s="114"/>
      <c r="X1699" s="56"/>
      <c r="Y1699" s="56"/>
      <c r="AA1699" s="56"/>
      <c r="AB1699" s="114"/>
    </row>
    <row r="1700">
      <c r="A1700" s="24"/>
      <c r="B1700" s="24"/>
      <c r="C1700" s="24"/>
      <c r="D1700" s="22"/>
      <c r="F1700" s="114"/>
      <c r="G1700" s="114"/>
      <c r="H1700" s="114"/>
      <c r="I1700" s="114"/>
      <c r="J1700" s="114"/>
      <c r="K1700" s="114"/>
      <c r="L1700" s="114"/>
      <c r="M1700" s="114"/>
      <c r="X1700" s="56"/>
      <c r="Y1700" s="56"/>
      <c r="AA1700" s="56"/>
      <c r="AB1700" s="114"/>
    </row>
    <row r="1701">
      <c r="A1701" s="24"/>
      <c r="B1701" s="24"/>
      <c r="C1701" s="24"/>
      <c r="D1701" s="22"/>
      <c r="F1701" s="114"/>
      <c r="G1701" s="114"/>
      <c r="H1701" s="114"/>
      <c r="I1701" s="114"/>
      <c r="J1701" s="114"/>
      <c r="K1701" s="114"/>
      <c r="L1701" s="114"/>
      <c r="M1701" s="114"/>
      <c r="X1701" s="56"/>
      <c r="Y1701" s="56"/>
      <c r="AA1701" s="56"/>
      <c r="AB1701" s="114"/>
    </row>
    <row r="1702">
      <c r="A1702" s="24"/>
      <c r="B1702" s="24"/>
      <c r="C1702" s="24"/>
      <c r="D1702" s="22"/>
      <c r="F1702" s="114"/>
      <c r="G1702" s="114"/>
      <c r="H1702" s="114"/>
      <c r="I1702" s="114"/>
      <c r="J1702" s="114"/>
      <c r="K1702" s="114"/>
      <c r="L1702" s="114"/>
      <c r="M1702" s="114"/>
      <c r="X1702" s="56"/>
      <c r="Y1702" s="56"/>
      <c r="AA1702" s="56"/>
      <c r="AB1702" s="114"/>
    </row>
    <row r="1703">
      <c r="A1703" s="24"/>
      <c r="B1703" s="24"/>
      <c r="C1703" s="24"/>
      <c r="D1703" s="22"/>
      <c r="F1703" s="114"/>
      <c r="G1703" s="114"/>
      <c r="H1703" s="114"/>
      <c r="I1703" s="114"/>
      <c r="J1703" s="114"/>
      <c r="K1703" s="114"/>
      <c r="L1703" s="114"/>
      <c r="M1703" s="114"/>
      <c r="X1703" s="56"/>
      <c r="Y1703" s="56"/>
      <c r="AA1703" s="56"/>
      <c r="AB1703" s="114"/>
    </row>
    <row r="1704">
      <c r="A1704" s="24"/>
      <c r="B1704" s="24"/>
      <c r="C1704" s="24"/>
      <c r="D1704" s="22"/>
      <c r="F1704" s="114"/>
      <c r="G1704" s="114"/>
      <c r="H1704" s="114"/>
      <c r="I1704" s="114"/>
      <c r="J1704" s="114"/>
      <c r="K1704" s="114"/>
      <c r="L1704" s="114"/>
      <c r="M1704" s="114"/>
      <c r="X1704" s="56"/>
      <c r="Y1704" s="56"/>
      <c r="AA1704" s="56"/>
      <c r="AB1704" s="114"/>
    </row>
    <row r="1705">
      <c r="A1705" s="24"/>
      <c r="B1705" s="24"/>
      <c r="C1705" s="24"/>
      <c r="D1705" s="22"/>
      <c r="F1705" s="114"/>
      <c r="G1705" s="114"/>
      <c r="H1705" s="114"/>
      <c r="I1705" s="114"/>
      <c r="J1705" s="114"/>
      <c r="K1705" s="114"/>
      <c r="L1705" s="114"/>
      <c r="M1705" s="114"/>
      <c r="X1705" s="56"/>
      <c r="Y1705" s="56"/>
      <c r="AA1705" s="56"/>
      <c r="AB1705" s="114"/>
    </row>
    <row r="1706">
      <c r="A1706" s="24"/>
      <c r="B1706" s="24"/>
      <c r="C1706" s="24"/>
      <c r="D1706" s="22"/>
      <c r="F1706" s="114"/>
      <c r="G1706" s="114"/>
      <c r="H1706" s="114"/>
      <c r="I1706" s="114"/>
      <c r="J1706" s="114"/>
      <c r="K1706" s="114"/>
      <c r="L1706" s="114"/>
      <c r="M1706" s="114"/>
      <c r="X1706" s="56"/>
      <c r="Y1706" s="56"/>
      <c r="AA1706" s="56"/>
      <c r="AB1706" s="114"/>
    </row>
    <row r="1707">
      <c r="A1707" s="24"/>
      <c r="B1707" s="24"/>
      <c r="C1707" s="24"/>
      <c r="D1707" s="22"/>
      <c r="F1707" s="114"/>
      <c r="G1707" s="114"/>
      <c r="H1707" s="114"/>
      <c r="I1707" s="114"/>
      <c r="J1707" s="114"/>
      <c r="K1707" s="114"/>
      <c r="L1707" s="114"/>
      <c r="M1707" s="114"/>
      <c r="X1707" s="56"/>
      <c r="Y1707" s="56"/>
      <c r="AA1707" s="56"/>
      <c r="AB1707" s="114"/>
    </row>
    <row r="1708">
      <c r="A1708" s="24"/>
      <c r="B1708" s="24"/>
      <c r="C1708" s="24"/>
      <c r="D1708" s="22"/>
      <c r="F1708" s="114"/>
      <c r="G1708" s="114"/>
      <c r="H1708" s="114"/>
      <c r="I1708" s="114"/>
      <c r="J1708" s="114"/>
      <c r="K1708" s="114"/>
      <c r="L1708" s="114"/>
      <c r="M1708" s="114"/>
      <c r="X1708" s="56"/>
      <c r="Y1708" s="56"/>
      <c r="AA1708" s="56"/>
      <c r="AB1708" s="114"/>
    </row>
    <row r="1709">
      <c r="A1709" s="24"/>
      <c r="B1709" s="24"/>
      <c r="C1709" s="24"/>
      <c r="D1709" s="22"/>
      <c r="F1709" s="114"/>
      <c r="G1709" s="114"/>
      <c r="H1709" s="114"/>
      <c r="I1709" s="114"/>
      <c r="J1709" s="114"/>
      <c r="K1709" s="114"/>
      <c r="L1709" s="114"/>
      <c r="M1709" s="114"/>
      <c r="X1709" s="56"/>
      <c r="Y1709" s="56"/>
      <c r="AA1709" s="56"/>
      <c r="AB1709" s="114"/>
    </row>
    <row r="1710">
      <c r="A1710" s="24"/>
      <c r="B1710" s="24"/>
      <c r="C1710" s="24"/>
      <c r="D1710" s="22"/>
      <c r="F1710" s="114"/>
      <c r="G1710" s="114"/>
      <c r="H1710" s="114"/>
      <c r="I1710" s="114"/>
      <c r="J1710" s="114"/>
      <c r="K1710" s="114"/>
      <c r="L1710" s="114"/>
      <c r="M1710" s="114"/>
      <c r="X1710" s="56"/>
      <c r="Y1710" s="56"/>
      <c r="AA1710" s="56"/>
      <c r="AB1710" s="114"/>
    </row>
    <row r="1711">
      <c r="A1711" s="24"/>
      <c r="B1711" s="24"/>
      <c r="C1711" s="24"/>
      <c r="D1711" s="22"/>
      <c r="F1711" s="114"/>
      <c r="G1711" s="114"/>
      <c r="H1711" s="114"/>
      <c r="I1711" s="114"/>
      <c r="J1711" s="114"/>
      <c r="K1711" s="114"/>
      <c r="L1711" s="114"/>
      <c r="M1711" s="114"/>
      <c r="X1711" s="56"/>
      <c r="Y1711" s="56"/>
      <c r="AA1711" s="56"/>
      <c r="AB1711" s="114"/>
    </row>
    <row r="1712">
      <c r="A1712" s="24"/>
      <c r="B1712" s="24"/>
      <c r="C1712" s="24"/>
      <c r="D1712" s="22"/>
      <c r="F1712" s="114"/>
      <c r="G1712" s="114"/>
      <c r="H1712" s="114"/>
      <c r="I1712" s="114"/>
      <c r="J1712" s="114"/>
      <c r="K1712" s="114"/>
      <c r="L1712" s="114"/>
      <c r="M1712" s="114"/>
      <c r="X1712" s="56"/>
      <c r="Y1712" s="56"/>
      <c r="AA1712" s="56"/>
      <c r="AB1712" s="114"/>
    </row>
    <row r="1713">
      <c r="A1713" s="24"/>
      <c r="B1713" s="24"/>
      <c r="C1713" s="24"/>
      <c r="D1713" s="22"/>
      <c r="F1713" s="114"/>
      <c r="G1713" s="114"/>
      <c r="H1713" s="114"/>
      <c r="I1713" s="114"/>
      <c r="J1713" s="114"/>
      <c r="K1713" s="114"/>
      <c r="L1713" s="114"/>
      <c r="M1713" s="114"/>
      <c r="X1713" s="56"/>
      <c r="Y1713" s="56"/>
      <c r="AA1713" s="56"/>
      <c r="AB1713" s="114"/>
    </row>
    <row r="1714">
      <c r="A1714" s="24"/>
      <c r="B1714" s="24"/>
      <c r="C1714" s="24"/>
      <c r="D1714" s="22"/>
      <c r="F1714" s="114"/>
      <c r="G1714" s="114"/>
      <c r="H1714" s="114"/>
      <c r="I1714" s="114"/>
      <c r="J1714" s="114"/>
      <c r="K1714" s="114"/>
      <c r="L1714" s="114"/>
      <c r="M1714" s="114"/>
      <c r="X1714" s="56"/>
      <c r="Y1714" s="56"/>
      <c r="AA1714" s="56"/>
      <c r="AB1714" s="114"/>
    </row>
    <row r="1715">
      <c r="A1715" s="24"/>
      <c r="B1715" s="24"/>
      <c r="C1715" s="24"/>
      <c r="D1715" s="22"/>
      <c r="F1715" s="114"/>
      <c r="G1715" s="114"/>
      <c r="H1715" s="114"/>
      <c r="I1715" s="114"/>
      <c r="J1715" s="114"/>
      <c r="K1715" s="114"/>
      <c r="L1715" s="114"/>
      <c r="M1715" s="114"/>
      <c r="X1715" s="56"/>
      <c r="Y1715" s="56"/>
      <c r="AA1715" s="56"/>
      <c r="AB1715" s="114"/>
    </row>
    <row r="1716">
      <c r="A1716" s="24"/>
      <c r="B1716" s="24"/>
      <c r="C1716" s="24"/>
      <c r="D1716" s="22"/>
      <c r="F1716" s="114"/>
      <c r="G1716" s="114"/>
      <c r="H1716" s="114"/>
      <c r="I1716" s="114"/>
      <c r="J1716" s="114"/>
      <c r="K1716" s="114"/>
      <c r="L1716" s="114"/>
      <c r="M1716" s="114"/>
      <c r="X1716" s="56"/>
      <c r="Y1716" s="56"/>
      <c r="AA1716" s="56"/>
      <c r="AB1716" s="114"/>
    </row>
    <row r="1717">
      <c r="A1717" s="24"/>
      <c r="B1717" s="24"/>
      <c r="C1717" s="24"/>
      <c r="D1717" s="22"/>
      <c r="F1717" s="114"/>
      <c r="G1717" s="114"/>
      <c r="H1717" s="114"/>
      <c r="I1717" s="114"/>
      <c r="J1717" s="114"/>
      <c r="K1717" s="114"/>
      <c r="L1717" s="114"/>
      <c r="M1717" s="114"/>
      <c r="X1717" s="56"/>
      <c r="Y1717" s="56"/>
      <c r="AA1717" s="56"/>
      <c r="AB1717" s="114"/>
    </row>
    <row r="1718">
      <c r="A1718" s="24"/>
      <c r="B1718" s="24"/>
      <c r="C1718" s="24"/>
      <c r="D1718" s="22"/>
      <c r="F1718" s="114"/>
      <c r="G1718" s="114"/>
      <c r="H1718" s="114"/>
      <c r="I1718" s="114"/>
      <c r="J1718" s="114"/>
      <c r="K1718" s="114"/>
      <c r="L1718" s="114"/>
      <c r="M1718" s="114"/>
      <c r="X1718" s="56"/>
      <c r="Y1718" s="56"/>
      <c r="AA1718" s="56"/>
      <c r="AB1718" s="114"/>
    </row>
    <row r="1719">
      <c r="A1719" s="24"/>
      <c r="B1719" s="24"/>
      <c r="C1719" s="24"/>
      <c r="D1719" s="22"/>
      <c r="F1719" s="114"/>
      <c r="G1719" s="114"/>
      <c r="H1719" s="114"/>
      <c r="I1719" s="114"/>
      <c r="J1719" s="114"/>
      <c r="K1719" s="114"/>
      <c r="L1719" s="114"/>
      <c r="M1719" s="114"/>
      <c r="X1719" s="56"/>
      <c r="Y1719" s="56"/>
      <c r="AA1719" s="56"/>
      <c r="AB1719" s="114"/>
    </row>
    <row r="1720">
      <c r="A1720" s="24"/>
      <c r="B1720" s="24"/>
      <c r="C1720" s="24"/>
      <c r="D1720" s="22"/>
      <c r="F1720" s="114"/>
      <c r="G1720" s="114"/>
      <c r="H1720" s="114"/>
      <c r="I1720" s="114"/>
      <c r="J1720" s="114"/>
      <c r="K1720" s="114"/>
      <c r="L1720" s="114"/>
      <c r="M1720" s="114"/>
      <c r="X1720" s="56"/>
      <c r="Y1720" s="56"/>
      <c r="AA1720" s="56"/>
      <c r="AB1720" s="114"/>
    </row>
    <row r="1721">
      <c r="A1721" s="24"/>
      <c r="B1721" s="24"/>
      <c r="C1721" s="24"/>
      <c r="D1721" s="22"/>
      <c r="F1721" s="114"/>
      <c r="G1721" s="114"/>
      <c r="H1721" s="114"/>
      <c r="I1721" s="114"/>
      <c r="J1721" s="114"/>
      <c r="K1721" s="114"/>
      <c r="L1721" s="114"/>
      <c r="M1721" s="114"/>
      <c r="X1721" s="56"/>
      <c r="Y1721" s="56"/>
      <c r="AA1721" s="56"/>
      <c r="AB1721" s="114"/>
    </row>
    <row r="1722">
      <c r="A1722" s="24"/>
      <c r="B1722" s="24"/>
      <c r="C1722" s="24"/>
      <c r="D1722" s="22"/>
      <c r="F1722" s="114"/>
      <c r="G1722" s="114"/>
      <c r="H1722" s="114"/>
      <c r="I1722" s="114"/>
      <c r="J1722" s="114"/>
      <c r="K1722" s="114"/>
      <c r="L1722" s="114"/>
      <c r="M1722" s="114"/>
      <c r="X1722" s="56"/>
      <c r="Y1722" s="56"/>
      <c r="AA1722" s="56"/>
      <c r="AB1722" s="114"/>
    </row>
    <row r="1723">
      <c r="A1723" s="24"/>
      <c r="B1723" s="24"/>
      <c r="C1723" s="24"/>
      <c r="D1723" s="22"/>
      <c r="F1723" s="114"/>
      <c r="G1723" s="114"/>
      <c r="H1723" s="114"/>
      <c r="I1723" s="114"/>
      <c r="J1723" s="114"/>
      <c r="K1723" s="114"/>
      <c r="L1723" s="114"/>
      <c r="M1723" s="114"/>
      <c r="X1723" s="56"/>
      <c r="Y1723" s="56"/>
      <c r="AA1723" s="56"/>
      <c r="AB1723" s="114"/>
    </row>
    <row r="1724">
      <c r="A1724" s="24"/>
      <c r="B1724" s="24"/>
      <c r="C1724" s="24"/>
      <c r="D1724" s="22"/>
      <c r="F1724" s="114"/>
      <c r="G1724" s="114"/>
      <c r="H1724" s="114"/>
      <c r="I1724" s="114"/>
      <c r="J1724" s="114"/>
      <c r="K1724" s="114"/>
      <c r="L1724" s="114"/>
      <c r="M1724" s="114"/>
      <c r="X1724" s="56"/>
      <c r="Y1724" s="56"/>
      <c r="AA1724" s="56"/>
      <c r="AB1724" s="114"/>
    </row>
    <row r="1725">
      <c r="A1725" s="24"/>
      <c r="B1725" s="24"/>
      <c r="C1725" s="24"/>
      <c r="D1725" s="22"/>
      <c r="F1725" s="114"/>
      <c r="G1725" s="114"/>
      <c r="H1725" s="114"/>
      <c r="I1725" s="114"/>
      <c r="J1725" s="114"/>
      <c r="K1725" s="114"/>
      <c r="L1725" s="114"/>
      <c r="M1725" s="114"/>
      <c r="X1725" s="56"/>
      <c r="Y1725" s="56"/>
      <c r="AA1725" s="56"/>
      <c r="AB1725" s="114"/>
    </row>
    <row r="1726">
      <c r="A1726" s="24"/>
      <c r="B1726" s="24"/>
      <c r="C1726" s="24"/>
      <c r="D1726" s="22"/>
      <c r="F1726" s="114"/>
      <c r="G1726" s="114"/>
      <c r="H1726" s="114"/>
      <c r="I1726" s="114"/>
      <c r="J1726" s="114"/>
      <c r="K1726" s="114"/>
      <c r="L1726" s="114"/>
      <c r="M1726" s="114"/>
      <c r="X1726" s="56"/>
      <c r="Y1726" s="56"/>
      <c r="AA1726" s="56"/>
      <c r="AB1726" s="114"/>
    </row>
    <row r="1727">
      <c r="A1727" s="24"/>
      <c r="B1727" s="24"/>
      <c r="C1727" s="24"/>
      <c r="D1727" s="22"/>
      <c r="F1727" s="114"/>
      <c r="G1727" s="114"/>
      <c r="H1727" s="114"/>
      <c r="I1727" s="114"/>
      <c r="J1727" s="114"/>
      <c r="K1727" s="114"/>
      <c r="L1727" s="114"/>
      <c r="M1727" s="114"/>
      <c r="X1727" s="56"/>
      <c r="Y1727" s="56"/>
      <c r="AA1727" s="56"/>
      <c r="AB1727" s="114"/>
    </row>
    <row r="1728">
      <c r="A1728" s="24"/>
      <c r="B1728" s="24"/>
      <c r="C1728" s="24"/>
      <c r="D1728" s="22"/>
      <c r="F1728" s="114"/>
      <c r="G1728" s="114"/>
      <c r="H1728" s="114"/>
      <c r="I1728" s="114"/>
      <c r="J1728" s="114"/>
      <c r="K1728" s="114"/>
      <c r="L1728" s="114"/>
      <c r="M1728" s="114"/>
      <c r="X1728" s="56"/>
      <c r="Y1728" s="56"/>
      <c r="AA1728" s="56"/>
      <c r="AB1728" s="114"/>
    </row>
    <row r="1729">
      <c r="A1729" s="24"/>
      <c r="B1729" s="24"/>
      <c r="C1729" s="24"/>
      <c r="D1729" s="22"/>
      <c r="F1729" s="114"/>
      <c r="G1729" s="114"/>
      <c r="H1729" s="114"/>
      <c r="I1729" s="114"/>
      <c r="J1729" s="114"/>
      <c r="K1729" s="114"/>
      <c r="L1729" s="114"/>
      <c r="M1729" s="114"/>
      <c r="X1729" s="56"/>
      <c r="Y1729" s="56"/>
      <c r="AA1729" s="56"/>
      <c r="AB1729" s="114"/>
    </row>
    <row r="1730">
      <c r="A1730" s="24"/>
      <c r="B1730" s="24"/>
      <c r="C1730" s="24"/>
      <c r="D1730" s="22"/>
      <c r="F1730" s="114"/>
      <c r="G1730" s="114"/>
      <c r="H1730" s="114"/>
      <c r="I1730" s="114"/>
      <c r="J1730" s="114"/>
      <c r="K1730" s="114"/>
      <c r="L1730" s="114"/>
      <c r="M1730" s="114"/>
      <c r="X1730" s="56"/>
      <c r="Y1730" s="56"/>
      <c r="AA1730" s="56"/>
      <c r="AB1730" s="114"/>
    </row>
    <row r="1731">
      <c r="A1731" s="24"/>
      <c r="B1731" s="24"/>
      <c r="C1731" s="24"/>
      <c r="D1731" s="22"/>
      <c r="F1731" s="114"/>
      <c r="G1731" s="114"/>
      <c r="H1731" s="114"/>
      <c r="I1731" s="114"/>
      <c r="J1731" s="114"/>
      <c r="K1731" s="114"/>
      <c r="L1731" s="114"/>
      <c r="M1731" s="114"/>
      <c r="X1731" s="56"/>
      <c r="Y1731" s="56"/>
      <c r="AA1731" s="56"/>
      <c r="AB1731" s="114"/>
    </row>
    <row r="1732">
      <c r="A1732" s="24"/>
      <c r="B1732" s="24"/>
      <c r="C1732" s="24"/>
      <c r="D1732" s="22"/>
      <c r="F1732" s="114"/>
      <c r="G1732" s="114"/>
      <c r="H1732" s="114"/>
      <c r="I1732" s="114"/>
      <c r="J1732" s="114"/>
      <c r="K1732" s="114"/>
      <c r="L1732" s="114"/>
      <c r="M1732" s="114"/>
      <c r="X1732" s="56"/>
      <c r="Y1732" s="56"/>
      <c r="AA1732" s="56"/>
      <c r="AB1732" s="114"/>
    </row>
    <row r="1733">
      <c r="A1733" s="24"/>
      <c r="B1733" s="24"/>
      <c r="C1733" s="24"/>
      <c r="D1733" s="22"/>
      <c r="F1733" s="114"/>
      <c r="G1733" s="114"/>
      <c r="H1733" s="114"/>
      <c r="I1733" s="114"/>
      <c r="J1733" s="114"/>
      <c r="K1733" s="114"/>
      <c r="L1733" s="114"/>
      <c r="M1733" s="114"/>
      <c r="X1733" s="56"/>
      <c r="Y1733" s="56"/>
      <c r="AA1733" s="56"/>
      <c r="AB1733" s="114"/>
    </row>
    <row r="1734">
      <c r="A1734" s="24"/>
      <c r="B1734" s="24"/>
      <c r="C1734" s="24"/>
      <c r="D1734" s="22"/>
      <c r="F1734" s="114"/>
      <c r="G1734" s="114"/>
      <c r="H1734" s="114"/>
      <c r="I1734" s="114"/>
      <c r="J1734" s="114"/>
      <c r="K1734" s="114"/>
      <c r="L1734" s="114"/>
      <c r="M1734" s="114"/>
      <c r="X1734" s="56"/>
      <c r="Y1734" s="56"/>
      <c r="AA1734" s="56"/>
      <c r="AB1734" s="114"/>
    </row>
    <row r="1735">
      <c r="A1735" s="24"/>
      <c r="B1735" s="24"/>
      <c r="C1735" s="24"/>
      <c r="D1735" s="22"/>
      <c r="F1735" s="114"/>
      <c r="G1735" s="114"/>
      <c r="H1735" s="114"/>
      <c r="I1735" s="114"/>
      <c r="J1735" s="114"/>
      <c r="K1735" s="114"/>
      <c r="L1735" s="114"/>
      <c r="M1735" s="114"/>
      <c r="X1735" s="56"/>
      <c r="Y1735" s="56"/>
      <c r="AA1735" s="56"/>
      <c r="AB1735" s="114"/>
    </row>
    <row r="1736">
      <c r="A1736" s="24"/>
      <c r="B1736" s="24"/>
      <c r="C1736" s="24"/>
      <c r="D1736" s="22"/>
      <c r="F1736" s="114"/>
      <c r="G1736" s="114"/>
      <c r="H1736" s="114"/>
      <c r="I1736" s="114"/>
      <c r="J1736" s="114"/>
      <c r="K1736" s="114"/>
      <c r="L1736" s="114"/>
      <c r="M1736" s="114"/>
      <c r="X1736" s="56"/>
      <c r="Y1736" s="56"/>
      <c r="AA1736" s="56"/>
      <c r="AB1736" s="114"/>
    </row>
    <row r="1737">
      <c r="A1737" s="24"/>
      <c r="B1737" s="24"/>
      <c r="C1737" s="24"/>
      <c r="D1737" s="22"/>
      <c r="F1737" s="114"/>
      <c r="G1737" s="114"/>
      <c r="H1737" s="114"/>
      <c r="I1737" s="114"/>
      <c r="J1737" s="114"/>
      <c r="K1737" s="114"/>
      <c r="L1737" s="114"/>
      <c r="M1737" s="114"/>
      <c r="X1737" s="56"/>
      <c r="Y1737" s="56"/>
      <c r="AA1737" s="56"/>
      <c r="AB1737" s="114"/>
    </row>
    <row r="1738">
      <c r="A1738" s="24"/>
      <c r="B1738" s="24"/>
      <c r="C1738" s="24"/>
      <c r="D1738" s="22"/>
      <c r="F1738" s="114"/>
      <c r="G1738" s="114"/>
      <c r="H1738" s="114"/>
      <c r="I1738" s="114"/>
      <c r="J1738" s="114"/>
      <c r="K1738" s="114"/>
      <c r="L1738" s="114"/>
      <c r="M1738" s="114"/>
      <c r="X1738" s="56"/>
      <c r="Y1738" s="56"/>
      <c r="AA1738" s="56"/>
      <c r="AB1738" s="114"/>
    </row>
    <row r="1739">
      <c r="A1739" s="24"/>
      <c r="B1739" s="24"/>
      <c r="C1739" s="24"/>
      <c r="D1739" s="22"/>
      <c r="F1739" s="114"/>
      <c r="G1739" s="114"/>
      <c r="H1739" s="114"/>
      <c r="I1739" s="114"/>
      <c r="J1739" s="114"/>
      <c r="K1739" s="114"/>
      <c r="L1739" s="114"/>
      <c r="M1739" s="114"/>
      <c r="X1739" s="56"/>
      <c r="Y1739" s="56"/>
      <c r="AA1739" s="56"/>
      <c r="AB1739" s="114"/>
    </row>
    <row r="1740">
      <c r="A1740" s="24"/>
      <c r="B1740" s="24"/>
      <c r="C1740" s="24"/>
      <c r="D1740" s="22"/>
      <c r="F1740" s="114"/>
      <c r="G1740" s="114"/>
      <c r="H1740" s="114"/>
      <c r="I1740" s="114"/>
      <c r="J1740" s="114"/>
      <c r="K1740" s="114"/>
      <c r="L1740" s="114"/>
      <c r="M1740" s="114"/>
      <c r="X1740" s="56"/>
      <c r="Y1740" s="56"/>
      <c r="AA1740" s="56"/>
      <c r="AB1740" s="114"/>
    </row>
    <row r="1741">
      <c r="A1741" s="24"/>
      <c r="B1741" s="24"/>
      <c r="C1741" s="24"/>
      <c r="D1741" s="22"/>
      <c r="F1741" s="114"/>
      <c r="G1741" s="114"/>
      <c r="H1741" s="114"/>
      <c r="I1741" s="114"/>
      <c r="J1741" s="114"/>
      <c r="K1741" s="114"/>
      <c r="L1741" s="114"/>
      <c r="M1741" s="114"/>
      <c r="X1741" s="56"/>
      <c r="Y1741" s="56"/>
      <c r="AA1741" s="56"/>
      <c r="AB1741" s="114"/>
    </row>
    <row r="1742">
      <c r="A1742" s="24"/>
      <c r="B1742" s="24"/>
      <c r="C1742" s="24"/>
      <c r="D1742" s="22"/>
      <c r="F1742" s="114"/>
      <c r="G1742" s="114"/>
      <c r="H1742" s="114"/>
      <c r="I1742" s="114"/>
      <c r="J1742" s="114"/>
      <c r="K1742" s="114"/>
      <c r="L1742" s="114"/>
      <c r="M1742" s="114"/>
      <c r="X1742" s="56"/>
      <c r="Y1742" s="56"/>
      <c r="AA1742" s="56"/>
      <c r="AB1742" s="114"/>
    </row>
    <row r="1743">
      <c r="A1743" s="24"/>
      <c r="B1743" s="24"/>
      <c r="C1743" s="24"/>
      <c r="D1743" s="22"/>
      <c r="F1743" s="114"/>
      <c r="G1743" s="114"/>
      <c r="H1743" s="114"/>
      <c r="I1743" s="114"/>
      <c r="J1743" s="114"/>
      <c r="K1743" s="114"/>
      <c r="L1743" s="114"/>
      <c r="M1743" s="114"/>
      <c r="X1743" s="56"/>
      <c r="Y1743" s="56"/>
      <c r="AA1743" s="56"/>
      <c r="AB1743" s="114"/>
    </row>
    <row r="1744">
      <c r="A1744" s="24"/>
      <c r="B1744" s="24"/>
      <c r="C1744" s="24"/>
      <c r="D1744" s="22"/>
      <c r="F1744" s="114"/>
      <c r="G1744" s="114"/>
      <c r="H1744" s="114"/>
      <c r="I1744" s="114"/>
      <c r="J1744" s="114"/>
      <c r="K1744" s="114"/>
      <c r="L1744" s="114"/>
      <c r="M1744" s="114"/>
      <c r="X1744" s="56"/>
      <c r="Y1744" s="56"/>
      <c r="AA1744" s="56"/>
      <c r="AB1744" s="114"/>
    </row>
    <row r="1745">
      <c r="A1745" s="24"/>
      <c r="B1745" s="24"/>
      <c r="C1745" s="24"/>
      <c r="D1745" s="22"/>
      <c r="F1745" s="114"/>
      <c r="G1745" s="114"/>
      <c r="H1745" s="114"/>
      <c r="I1745" s="114"/>
      <c r="J1745" s="114"/>
      <c r="K1745" s="114"/>
      <c r="L1745" s="114"/>
      <c r="M1745" s="114"/>
      <c r="X1745" s="56"/>
      <c r="Y1745" s="56"/>
      <c r="AA1745" s="56"/>
      <c r="AB1745" s="114"/>
    </row>
    <row r="1746">
      <c r="A1746" s="24"/>
      <c r="B1746" s="24"/>
      <c r="C1746" s="24"/>
      <c r="D1746" s="22"/>
      <c r="F1746" s="114"/>
      <c r="G1746" s="114"/>
      <c r="H1746" s="114"/>
      <c r="I1746" s="114"/>
      <c r="J1746" s="114"/>
      <c r="K1746" s="114"/>
      <c r="L1746" s="114"/>
      <c r="M1746" s="114"/>
      <c r="X1746" s="56"/>
      <c r="Y1746" s="56"/>
      <c r="AA1746" s="56"/>
      <c r="AB1746" s="114"/>
    </row>
    <row r="1747">
      <c r="A1747" s="24"/>
      <c r="B1747" s="24"/>
      <c r="C1747" s="24"/>
      <c r="D1747" s="22"/>
      <c r="F1747" s="114"/>
      <c r="G1747" s="114"/>
      <c r="H1747" s="114"/>
      <c r="I1747" s="114"/>
      <c r="J1747" s="114"/>
      <c r="K1747" s="114"/>
      <c r="L1747" s="114"/>
      <c r="M1747" s="114"/>
      <c r="X1747" s="56"/>
      <c r="Y1747" s="56"/>
      <c r="AA1747" s="56"/>
      <c r="AB1747" s="114"/>
    </row>
    <row r="1748">
      <c r="A1748" s="24"/>
      <c r="B1748" s="24"/>
      <c r="C1748" s="24"/>
      <c r="D1748" s="22"/>
      <c r="F1748" s="114"/>
      <c r="G1748" s="114"/>
      <c r="H1748" s="114"/>
      <c r="I1748" s="114"/>
      <c r="J1748" s="114"/>
      <c r="K1748" s="114"/>
      <c r="L1748" s="114"/>
      <c r="M1748" s="114"/>
      <c r="X1748" s="56"/>
      <c r="Y1748" s="56"/>
      <c r="AA1748" s="56"/>
      <c r="AB1748" s="114"/>
    </row>
    <row r="1749">
      <c r="A1749" s="24"/>
      <c r="B1749" s="24"/>
      <c r="C1749" s="24"/>
      <c r="D1749" s="22"/>
      <c r="F1749" s="114"/>
      <c r="G1749" s="114"/>
      <c r="H1749" s="114"/>
      <c r="I1749" s="114"/>
      <c r="J1749" s="114"/>
      <c r="K1749" s="114"/>
      <c r="L1749" s="114"/>
      <c r="M1749" s="114"/>
      <c r="X1749" s="56"/>
      <c r="Y1749" s="56"/>
      <c r="AA1749" s="56"/>
      <c r="AB1749" s="114"/>
    </row>
    <row r="1750">
      <c r="A1750" s="24"/>
      <c r="B1750" s="24"/>
      <c r="C1750" s="24"/>
      <c r="D1750" s="22"/>
      <c r="F1750" s="114"/>
      <c r="G1750" s="114"/>
      <c r="H1750" s="114"/>
      <c r="I1750" s="114"/>
      <c r="J1750" s="114"/>
      <c r="K1750" s="114"/>
      <c r="L1750" s="114"/>
      <c r="M1750" s="114"/>
      <c r="X1750" s="56"/>
      <c r="Y1750" s="56"/>
      <c r="AA1750" s="56"/>
      <c r="AB1750" s="114"/>
    </row>
    <row r="1751">
      <c r="A1751" s="24"/>
      <c r="B1751" s="24"/>
      <c r="C1751" s="24"/>
      <c r="D1751" s="22"/>
      <c r="F1751" s="114"/>
      <c r="G1751" s="114"/>
      <c r="H1751" s="114"/>
      <c r="I1751" s="114"/>
      <c r="J1751" s="114"/>
      <c r="K1751" s="114"/>
      <c r="L1751" s="114"/>
      <c r="M1751" s="114"/>
      <c r="X1751" s="56"/>
      <c r="Y1751" s="56"/>
      <c r="AA1751" s="56"/>
      <c r="AB1751" s="114"/>
    </row>
    <row r="1752">
      <c r="A1752" s="24"/>
      <c r="B1752" s="24"/>
      <c r="C1752" s="24"/>
      <c r="D1752" s="22"/>
      <c r="F1752" s="114"/>
      <c r="G1752" s="114"/>
      <c r="H1752" s="114"/>
      <c r="I1752" s="114"/>
      <c r="J1752" s="114"/>
      <c r="K1752" s="114"/>
      <c r="L1752" s="114"/>
      <c r="M1752" s="114"/>
      <c r="X1752" s="56"/>
      <c r="Y1752" s="56"/>
      <c r="AA1752" s="56"/>
      <c r="AB1752" s="114"/>
    </row>
    <row r="1753">
      <c r="A1753" s="24"/>
      <c r="B1753" s="24"/>
      <c r="C1753" s="24"/>
      <c r="D1753" s="22"/>
      <c r="F1753" s="114"/>
      <c r="G1753" s="114"/>
      <c r="H1753" s="114"/>
      <c r="I1753" s="114"/>
      <c r="J1753" s="114"/>
      <c r="K1753" s="114"/>
      <c r="L1753" s="114"/>
      <c r="M1753" s="114"/>
      <c r="X1753" s="56"/>
      <c r="Y1753" s="56"/>
      <c r="AA1753" s="56"/>
      <c r="AB1753" s="114"/>
    </row>
    <row r="1754">
      <c r="A1754" s="24"/>
      <c r="B1754" s="24"/>
      <c r="C1754" s="24"/>
      <c r="D1754" s="22"/>
      <c r="F1754" s="114"/>
      <c r="G1754" s="114"/>
      <c r="H1754" s="114"/>
      <c r="I1754" s="114"/>
      <c r="J1754" s="114"/>
      <c r="K1754" s="114"/>
      <c r="L1754" s="114"/>
      <c r="M1754" s="114"/>
      <c r="X1754" s="56"/>
      <c r="Y1754" s="56"/>
      <c r="AA1754" s="56"/>
      <c r="AB1754" s="114"/>
    </row>
    <row r="1755">
      <c r="A1755" s="24"/>
      <c r="B1755" s="24"/>
      <c r="C1755" s="24"/>
      <c r="D1755" s="22"/>
      <c r="F1755" s="114"/>
      <c r="G1755" s="114"/>
      <c r="H1755" s="114"/>
      <c r="I1755" s="114"/>
      <c r="J1755" s="114"/>
      <c r="K1755" s="114"/>
      <c r="L1755" s="114"/>
      <c r="M1755" s="114"/>
      <c r="X1755" s="56"/>
      <c r="Y1755" s="56"/>
      <c r="AA1755" s="56"/>
      <c r="AB1755" s="114"/>
    </row>
    <row r="1756">
      <c r="A1756" s="24"/>
      <c r="B1756" s="24"/>
      <c r="C1756" s="24"/>
      <c r="D1756" s="22"/>
      <c r="F1756" s="114"/>
      <c r="G1756" s="114"/>
      <c r="H1756" s="114"/>
      <c r="I1756" s="114"/>
      <c r="J1756" s="114"/>
      <c r="K1756" s="114"/>
      <c r="L1756" s="114"/>
      <c r="M1756" s="114"/>
      <c r="X1756" s="56"/>
      <c r="Y1756" s="56"/>
      <c r="AA1756" s="56"/>
      <c r="AB1756" s="114"/>
    </row>
    <row r="1757">
      <c r="A1757" s="24"/>
      <c r="B1757" s="24"/>
      <c r="C1757" s="24"/>
      <c r="D1757" s="22"/>
      <c r="F1757" s="114"/>
      <c r="G1757" s="114"/>
      <c r="H1757" s="114"/>
      <c r="I1757" s="114"/>
      <c r="J1757" s="114"/>
      <c r="K1757" s="114"/>
      <c r="L1757" s="114"/>
      <c r="M1757" s="114"/>
      <c r="X1757" s="56"/>
      <c r="Y1757" s="56"/>
      <c r="AA1757" s="56"/>
      <c r="AB1757" s="114"/>
    </row>
    <row r="1758">
      <c r="A1758" s="24"/>
      <c r="B1758" s="24"/>
      <c r="C1758" s="24"/>
      <c r="D1758" s="22"/>
      <c r="F1758" s="114"/>
      <c r="G1758" s="114"/>
      <c r="H1758" s="114"/>
      <c r="I1758" s="114"/>
      <c r="J1758" s="114"/>
      <c r="K1758" s="114"/>
      <c r="L1758" s="114"/>
      <c r="M1758" s="114"/>
      <c r="X1758" s="56"/>
      <c r="Y1758" s="56"/>
      <c r="AA1758" s="56"/>
      <c r="AB1758" s="114"/>
    </row>
    <row r="1759">
      <c r="A1759" s="24"/>
      <c r="B1759" s="24"/>
      <c r="C1759" s="24"/>
      <c r="D1759" s="22"/>
      <c r="F1759" s="114"/>
      <c r="G1759" s="114"/>
      <c r="H1759" s="114"/>
      <c r="I1759" s="114"/>
      <c r="J1759" s="114"/>
      <c r="K1759" s="114"/>
      <c r="L1759" s="114"/>
      <c r="M1759" s="114"/>
      <c r="X1759" s="56"/>
      <c r="Y1759" s="56"/>
      <c r="AA1759" s="56"/>
      <c r="AB1759" s="114"/>
    </row>
    <row r="1760">
      <c r="A1760" s="24"/>
      <c r="B1760" s="24"/>
      <c r="C1760" s="24"/>
      <c r="D1760" s="22"/>
      <c r="F1760" s="114"/>
      <c r="G1760" s="114"/>
      <c r="H1760" s="114"/>
      <c r="I1760" s="114"/>
      <c r="J1760" s="114"/>
      <c r="K1760" s="114"/>
      <c r="L1760" s="114"/>
      <c r="M1760" s="114"/>
      <c r="X1760" s="56"/>
      <c r="Y1760" s="56"/>
      <c r="AA1760" s="56"/>
      <c r="AB1760" s="114"/>
    </row>
    <row r="1761">
      <c r="A1761" s="24"/>
      <c r="B1761" s="24"/>
      <c r="C1761" s="24"/>
      <c r="D1761" s="22"/>
      <c r="F1761" s="114"/>
      <c r="G1761" s="114"/>
      <c r="H1761" s="114"/>
      <c r="I1761" s="114"/>
      <c r="J1761" s="114"/>
      <c r="K1761" s="114"/>
      <c r="L1761" s="114"/>
      <c r="M1761" s="114"/>
      <c r="X1761" s="56"/>
      <c r="Y1761" s="56"/>
      <c r="AA1761" s="56"/>
      <c r="AB1761" s="114"/>
    </row>
    <row r="1762">
      <c r="A1762" s="24"/>
      <c r="B1762" s="24"/>
      <c r="C1762" s="24"/>
      <c r="D1762" s="22"/>
      <c r="F1762" s="114"/>
      <c r="G1762" s="114"/>
      <c r="H1762" s="114"/>
      <c r="I1762" s="114"/>
      <c r="J1762" s="114"/>
      <c r="K1762" s="114"/>
      <c r="L1762" s="114"/>
      <c r="M1762" s="114"/>
      <c r="X1762" s="56"/>
      <c r="Y1762" s="56"/>
      <c r="AA1762" s="56"/>
      <c r="AB1762" s="114"/>
    </row>
    <row r="1763">
      <c r="A1763" s="24"/>
      <c r="B1763" s="24"/>
      <c r="C1763" s="24"/>
      <c r="D1763" s="22"/>
      <c r="F1763" s="114"/>
      <c r="G1763" s="114"/>
      <c r="H1763" s="114"/>
      <c r="I1763" s="114"/>
      <c r="J1763" s="114"/>
      <c r="K1763" s="114"/>
      <c r="L1763" s="114"/>
      <c r="M1763" s="114"/>
      <c r="X1763" s="56"/>
      <c r="Y1763" s="56"/>
      <c r="AA1763" s="56"/>
      <c r="AB1763" s="114"/>
    </row>
    <row r="1764">
      <c r="A1764" s="24"/>
      <c r="B1764" s="24"/>
      <c r="C1764" s="24"/>
      <c r="D1764" s="22"/>
      <c r="F1764" s="114"/>
      <c r="G1764" s="114"/>
      <c r="H1764" s="114"/>
      <c r="I1764" s="114"/>
      <c r="J1764" s="114"/>
      <c r="K1764" s="114"/>
      <c r="L1764" s="114"/>
      <c r="M1764" s="114"/>
      <c r="X1764" s="56"/>
      <c r="Y1764" s="56"/>
      <c r="AA1764" s="56"/>
      <c r="AB1764" s="114"/>
    </row>
    <row r="1765">
      <c r="A1765" s="24"/>
      <c r="B1765" s="24"/>
      <c r="C1765" s="24"/>
      <c r="D1765" s="22"/>
      <c r="F1765" s="114"/>
      <c r="G1765" s="114"/>
      <c r="H1765" s="114"/>
      <c r="I1765" s="114"/>
      <c r="J1765" s="114"/>
      <c r="K1765" s="114"/>
      <c r="L1765" s="114"/>
      <c r="M1765" s="114"/>
      <c r="X1765" s="56"/>
      <c r="Y1765" s="56"/>
      <c r="AA1765" s="56"/>
      <c r="AB1765" s="114"/>
    </row>
    <row r="1766">
      <c r="A1766" s="24"/>
      <c r="B1766" s="24"/>
      <c r="C1766" s="24"/>
      <c r="D1766" s="22"/>
      <c r="F1766" s="114"/>
      <c r="G1766" s="114"/>
      <c r="H1766" s="114"/>
      <c r="I1766" s="114"/>
      <c r="J1766" s="114"/>
      <c r="K1766" s="114"/>
      <c r="L1766" s="114"/>
      <c r="M1766" s="114"/>
      <c r="X1766" s="56"/>
      <c r="Y1766" s="56"/>
      <c r="AA1766" s="56"/>
      <c r="AB1766" s="114"/>
    </row>
    <row r="1767">
      <c r="A1767" s="24"/>
      <c r="B1767" s="24"/>
      <c r="C1767" s="24"/>
      <c r="D1767" s="22"/>
      <c r="F1767" s="114"/>
      <c r="G1767" s="114"/>
      <c r="H1767" s="114"/>
      <c r="I1767" s="114"/>
      <c r="J1767" s="114"/>
      <c r="K1767" s="114"/>
      <c r="L1767" s="114"/>
      <c r="M1767" s="114"/>
      <c r="X1767" s="56"/>
      <c r="Y1767" s="56"/>
      <c r="AA1767" s="56"/>
      <c r="AB1767" s="114"/>
    </row>
    <row r="1768">
      <c r="A1768" s="24"/>
      <c r="B1768" s="24"/>
      <c r="C1768" s="24"/>
      <c r="D1768" s="22"/>
      <c r="F1768" s="114"/>
      <c r="G1768" s="114"/>
      <c r="H1768" s="114"/>
      <c r="I1768" s="114"/>
      <c r="J1768" s="114"/>
      <c r="K1768" s="114"/>
      <c r="L1768" s="114"/>
      <c r="M1768" s="114"/>
      <c r="X1768" s="56"/>
      <c r="Y1768" s="56"/>
      <c r="AA1768" s="56"/>
      <c r="AB1768" s="114"/>
    </row>
    <row r="1769">
      <c r="A1769" s="24"/>
      <c r="B1769" s="24"/>
      <c r="C1769" s="24"/>
      <c r="D1769" s="22"/>
      <c r="F1769" s="114"/>
      <c r="G1769" s="114"/>
      <c r="H1769" s="114"/>
      <c r="I1769" s="114"/>
      <c r="J1769" s="114"/>
      <c r="K1769" s="114"/>
      <c r="L1769" s="114"/>
      <c r="M1769" s="114"/>
      <c r="X1769" s="56"/>
      <c r="Y1769" s="56"/>
      <c r="AA1769" s="56"/>
      <c r="AB1769" s="114"/>
    </row>
    <row r="1770">
      <c r="A1770" s="24"/>
      <c r="B1770" s="24"/>
      <c r="C1770" s="24"/>
      <c r="D1770" s="22"/>
      <c r="F1770" s="114"/>
      <c r="G1770" s="114"/>
      <c r="H1770" s="114"/>
      <c r="I1770" s="114"/>
      <c r="J1770" s="114"/>
      <c r="K1770" s="114"/>
      <c r="L1770" s="114"/>
      <c r="M1770" s="114"/>
      <c r="X1770" s="56"/>
      <c r="Y1770" s="56"/>
      <c r="AA1770" s="56"/>
      <c r="AB1770" s="114"/>
    </row>
    <row r="1771">
      <c r="A1771" s="24"/>
      <c r="B1771" s="24"/>
      <c r="C1771" s="24"/>
      <c r="D1771" s="22"/>
      <c r="F1771" s="114"/>
      <c r="G1771" s="114"/>
      <c r="H1771" s="114"/>
      <c r="I1771" s="114"/>
      <c r="J1771" s="114"/>
      <c r="K1771" s="114"/>
      <c r="L1771" s="114"/>
      <c r="M1771" s="114"/>
      <c r="X1771" s="56"/>
      <c r="Y1771" s="56"/>
      <c r="AA1771" s="56"/>
      <c r="AB1771" s="114"/>
    </row>
    <row r="1772">
      <c r="A1772" s="24"/>
      <c r="B1772" s="24"/>
      <c r="C1772" s="24"/>
      <c r="D1772" s="22"/>
      <c r="F1772" s="114"/>
      <c r="G1772" s="114"/>
      <c r="H1772" s="114"/>
      <c r="I1772" s="114"/>
      <c r="J1772" s="114"/>
      <c r="K1772" s="114"/>
      <c r="L1772" s="114"/>
      <c r="M1772" s="114"/>
      <c r="X1772" s="56"/>
      <c r="Y1772" s="56"/>
      <c r="AA1772" s="56"/>
      <c r="AB1772" s="114"/>
    </row>
    <row r="1773">
      <c r="A1773" s="24"/>
      <c r="B1773" s="24"/>
      <c r="C1773" s="24"/>
      <c r="D1773" s="22"/>
      <c r="F1773" s="114"/>
      <c r="G1773" s="114"/>
      <c r="H1773" s="114"/>
      <c r="I1773" s="114"/>
      <c r="J1773" s="114"/>
      <c r="K1773" s="114"/>
      <c r="L1773" s="114"/>
      <c r="M1773" s="114"/>
      <c r="X1773" s="56"/>
      <c r="Y1773" s="56"/>
      <c r="AA1773" s="56"/>
      <c r="AB1773" s="114"/>
    </row>
    <row r="1774">
      <c r="A1774" s="24"/>
      <c r="B1774" s="24"/>
      <c r="C1774" s="24"/>
      <c r="D1774" s="22"/>
      <c r="F1774" s="114"/>
      <c r="G1774" s="114"/>
      <c r="H1774" s="114"/>
      <c r="I1774" s="114"/>
      <c r="J1774" s="114"/>
      <c r="K1774" s="114"/>
      <c r="L1774" s="114"/>
      <c r="M1774" s="114"/>
      <c r="X1774" s="56"/>
      <c r="Y1774" s="56"/>
      <c r="AA1774" s="56"/>
      <c r="AB1774" s="114"/>
    </row>
    <row r="1775">
      <c r="A1775" s="24"/>
      <c r="B1775" s="24"/>
      <c r="C1775" s="24"/>
      <c r="D1775" s="22"/>
      <c r="F1775" s="114"/>
      <c r="G1775" s="114"/>
      <c r="H1775" s="114"/>
      <c r="I1775" s="114"/>
      <c r="J1775" s="114"/>
      <c r="K1775" s="114"/>
      <c r="L1775" s="114"/>
      <c r="M1775" s="114"/>
      <c r="X1775" s="56"/>
      <c r="Y1775" s="56"/>
      <c r="AA1775" s="56"/>
      <c r="AB1775" s="114"/>
    </row>
    <row r="1776">
      <c r="A1776" s="24"/>
      <c r="B1776" s="24"/>
      <c r="C1776" s="24"/>
      <c r="D1776" s="22"/>
      <c r="F1776" s="114"/>
      <c r="G1776" s="114"/>
      <c r="H1776" s="114"/>
      <c r="I1776" s="114"/>
      <c r="J1776" s="114"/>
      <c r="K1776" s="114"/>
      <c r="L1776" s="114"/>
      <c r="M1776" s="114"/>
      <c r="X1776" s="56"/>
      <c r="Y1776" s="56"/>
      <c r="AA1776" s="56"/>
      <c r="AB1776" s="114"/>
    </row>
    <row r="1777">
      <c r="A1777" s="24"/>
      <c r="B1777" s="24"/>
      <c r="C1777" s="24"/>
      <c r="D1777" s="22"/>
      <c r="F1777" s="114"/>
      <c r="G1777" s="114"/>
      <c r="H1777" s="114"/>
      <c r="I1777" s="114"/>
      <c r="J1777" s="114"/>
      <c r="K1777" s="114"/>
      <c r="L1777" s="114"/>
      <c r="M1777" s="114"/>
      <c r="X1777" s="56"/>
      <c r="Y1777" s="56"/>
      <c r="AA1777" s="56"/>
      <c r="AB1777" s="114"/>
    </row>
    <row r="1778">
      <c r="A1778" s="24"/>
      <c r="B1778" s="24"/>
      <c r="C1778" s="24"/>
      <c r="D1778" s="22"/>
      <c r="F1778" s="114"/>
      <c r="G1778" s="114"/>
      <c r="H1778" s="114"/>
      <c r="I1778" s="114"/>
      <c r="J1778" s="114"/>
      <c r="K1778" s="114"/>
      <c r="L1778" s="114"/>
      <c r="M1778" s="114"/>
      <c r="X1778" s="56"/>
      <c r="Y1778" s="56"/>
      <c r="AA1778" s="56"/>
      <c r="AB1778" s="114"/>
    </row>
    <row r="1779">
      <c r="A1779" s="24"/>
      <c r="B1779" s="24"/>
      <c r="C1779" s="24"/>
      <c r="D1779" s="22"/>
      <c r="F1779" s="114"/>
      <c r="G1779" s="114"/>
      <c r="H1779" s="114"/>
      <c r="I1779" s="114"/>
      <c r="J1779" s="114"/>
      <c r="K1779" s="114"/>
      <c r="L1779" s="114"/>
      <c r="M1779" s="114"/>
      <c r="X1779" s="56"/>
      <c r="Y1779" s="56"/>
      <c r="AA1779" s="56"/>
      <c r="AB1779" s="114"/>
    </row>
    <row r="1780">
      <c r="A1780" s="24"/>
      <c r="B1780" s="24"/>
      <c r="C1780" s="24"/>
      <c r="D1780" s="22"/>
      <c r="F1780" s="114"/>
      <c r="G1780" s="114"/>
      <c r="H1780" s="114"/>
      <c r="I1780" s="114"/>
      <c r="J1780" s="114"/>
      <c r="K1780" s="114"/>
      <c r="L1780" s="114"/>
      <c r="M1780" s="114"/>
      <c r="X1780" s="56"/>
      <c r="Y1780" s="56"/>
      <c r="AA1780" s="56"/>
      <c r="AB1780" s="114"/>
    </row>
    <row r="1781">
      <c r="A1781" s="24"/>
      <c r="B1781" s="24"/>
      <c r="C1781" s="24"/>
      <c r="D1781" s="22"/>
      <c r="F1781" s="114"/>
      <c r="G1781" s="114"/>
      <c r="H1781" s="114"/>
      <c r="I1781" s="114"/>
      <c r="J1781" s="114"/>
      <c r="K1781" s="114"/>
      <c r="L1781" s="114"/>
      <c r="M1781" s="114"/>
      <c r="X1781" s="56"/>
      <c r="Y1781" s="56"/>
      <c r="AA1781" s="56"/>
      <c r="AB1781" s="114"/>
    </row>
    <row r="1782">
      <c r="A1782" s="24"/>
      <c r="B1782" s="24"/>
      <c r="C1782" s="24"/>
      <c r="D1782" s="22"/>
      <c r="F1782" s="114"/>
      <c r="G1782" s="114"/>
      <c r="H1782" s="114"/>
      <c r="I1782" s="114"/>
      <c r="J1782" s="114"/>
      <c r="K1782" s="114"/>
      <c r="L1782" s="114"/>
      <c r="M1782" s="114"/>
      <c r="X1782" s="56"/>
      <c r="Y1782" s="56"/>
      <c r="AA1782" s="56"/>
      <c r="AB1782" s="114"/>
    </row>
    <row r="1783">
      <c r="A1783" s="24"/>
      <c r="B1783" s="24"/>
      <c r="C1783" s="24"/>
      <c r="D1783" s="22"/>
      <c r="F1783" s="114"/>
      <c r="G1783" s="114"/>
      <c r="H1783" s="114"/>
      <c r="I1783" s="114"/>
      <c r="J1783" s="114"/>
      <c r="K1783" s="114"/>
      <c r="L1783" s="114"/>
      <c r="M1783" s="114"/>
      <c r="X1783" s="56"/>
      <c r="Y1783" s="56"/>
      <c r="AA1783" s="56"/>
      <c r="AB1783" s="114"/>
    </row>
    <row r="1784">
      <c r="A1784" s="24"/>
      <c r="B1784" s="24"/>
      <c r="C1784" s="24"/>
      <c r="D1784" s="22"/>
      <c r="F1784" s="114"/>
      <c r="G1784" s="114"/>
      <c r="H1784" s="114"/>
      <c r="I1784" s="114"/>
      <c r="J1784" s="114"/>
      <c r="K1784" s="114"/>
      <c r="L1784" s="114"/>
      <c r="M1784" s="114"/>
      <c r="X1784" s="56"/>
      <c r="Y1784" s="56"/>
      <c r="AA1784" s="56"/>
      <c r="AB1784" s="114"/>
    </row>
    <row r="1785">
      <c r="A1785" s="24"/>
      <c r="B1785" s="24"/>
      <c r="C1785" s="24"/>
      <c r="D1785" s="22"/>
      <c r="F1785" s="114"/>
      <c r="G1785" s="114"/>
      <c r="H1785" s="114"/>
      <c r="I1785" s="114"/>
      <c r="J1785" s="114"/>
      <c r="K1785" s="114"/>
      <c r="L1785" s="114"/>
      <c r="M1785" s="114"/>
      <c r="X1785" s="56"/>
      <c r="Y1785" s="56"/>
      <c r="AA1785" s="56"/>
      <c r="AB1785" s="114"/>
    </row>
    <row r="1786">
      <c r="A1786" s="24"/>
      <c r="B1786" s="24"/>
      <c r="C1786" s="24"/>
      <c r="D1786" s="22"/>
      <c r="F1786" s="114"/>
      <c r="G1786" s="114"/>
      <c r="H1786" s="114"/>
      <c r="I1786" s="114"/>
      <c r="J1786" s="114"/>
      <c r="K1786" s="114"/>
      <c r="L1786" s="114"/>
      <c r="M1786" s="114"/>
      <c r="X1786" s="56"/>
      <c r="Y1786" s="56"/>
      <c r="AA1786" s="56"/>
      <c r="AB1786" s="114"/>
    </row>
    <row r="1787">
      <c r="A1787" s="24"/>
      <c r="B1787" s="24"/>
      <c r="C1787" s="24"/>
      <c r="D1787" s="22"/>
      <c r="F1787" s="114"/>
      <c r="G1787" s="114"/>
      <c r="H1787" s="114"/>
      <c r="I1787" s="114"/>
      <c r="J1787" s="114"/>
      <c r="K1787" s="114"/>
      <c r="L1787" s="114"/>
      <c r="M1787" s="114"/>
      <c r="X1787" s="56"/>
      <c r="Y1787" s="56"/>
      <c r="AA1787" s="56"/>
      <c r="AB1787" s="114"/>
    </row>
    <row r="1788">
      <c r="A1788" s="24"/>
      <c r="B1788" s="24"/>
      <c r="C1788" s="24"/>
      <c r="D1788" s="22"/>
      <c r="F1788" s="114"/>
      <c r="G1788" s="114"/>
      <c r="H1788" s="114"/>
      <c r="I1788" s="114"/>
      <c r="J1788" s="114"/>
      <c r="K1788" s="114"/>
      <c r="L1788" s="114"/>
      <c r="M1788" s="114"/>
      <c r="X1788" s="56"/>
      <c r="Y1788" s="56"/>
      <c r="AA1788" s="56"/>
      <c r="AB1788" s="114"/>
    </row>
    <row r="1789">
      <c r="A1789" s="24"/>
      <c r="B1789" s="24"/>
      <c r="C1789" s="24"/>
      <c r="D1789" s="22"/>
      <c r="F1789" s="114"/>
      <c r="G1789" s="114"/>
      <c r="H1789" s="114"/>
      <c r="I1789" s="114"/>
      <c r="J1789" s="114"/>
      <c r="K1789" s="114"/>
      <c r="L1789" s="114"/>
      <c r="M1789" s="114"/>
      <c r="X1789" s="56"/>
      <c r="Y1789" s="56"/>
      <c r="AA1789" s="56"/>
      <c r="AB1789" s="114"/>
    </row>
    <row r="1790">
      <c r="A1790" s="24"/>
      <c r="B1790" s="24"/>
      <c r="C1790" s="24"/>
      <c r="D1790" s="22"/>
      <c r="F1790" s="114"/>
      <c r="G1790" s="114"/>
      <c r="H1790" s="114"/>
      <c r="I1790" s="114"/>
      <c r="J1790" s="114"/>
      <c r="K1790" s="114"/>
      <c r="L1790" s="114"/>
      <c r="M1790" s="114"/>
      <c r="X1790" s="56"/>
      <c r="Y1790" s="56"/>
      <c r="AA1790" s="56"/>
      <c r="AB1790" s="114"/>
    </row>
    <row r="1791">
      <c r="A1791" s="24"/>
      <c r="B1791" s="24"/>
      <c r="C1791" s="24"/>
      <c r="D1791" s="22"/>
      <c r="F1791" s="114"/>
      <c r="G1791" s="114"/>
      <c r="H1791" s="114"/>
      <c r="I1791" s="114"/>
      <c r="J1791" s="114"/>
      <c r="K1791" s="114"/>
      <c r="L1791" s="114"/>
      <c r="M1791" s="114"/>
      <c r="X1791" s="56"/>
      <c r="Y1791" s="56"/>
      <c r="AA1791" s="56"/>
      <c r="AB1791" s="114"/>
    </row>
    <row r="1792">
      <c r="A1792" s="24"/>
      <c r="B1792" s="24"/>
      <c r="C1792" s="24"/>
      <c r="D1792" s="22"/>
      <c r="F1792" s="114"/>
      <c r="G1792" s="114"/>
      <c r="H1792" s="114"/>
      <c r="I1792" s="114"/>
      <c r="J1792" s="114"/>
      <c r="K1792" s="114"/>
      <c r="L1792" s="114"/>
      <c r="M1792" s="114"/>
      <c r="X1792" s="56"/>
      <c r="Y1792" s="56"/>
      <c r="AA1792" s="56"/>
      <c r="AB1792" s="114"/>
    </row>
    <row r="1793">
      <c r="A1793" s="24"/>
      <c r="B1793" s="24"/>
      <c r="C1793" s="24"/>
      <c r="D1793" s="22"/>
      <c r="F1793" s="114"/>
      <c r="G1793" s="114"/>
      <c r="H1793" s="114"/>
      <c r="I1793" s="114"/>
      <c r="J1793" s="114"/>
      <c r="K1793" s="114"/>
      <c r="L1793" s="114"/>
      <c r="M1793" s="114"/>
      <c r="X1793" s="56"/>
      <c r="Y1793" s="56"/>
      <c r="AA1793" s="56"/>
      <c r="AB1793" s="114"/>
    </row>
    <row r="1794">
      <c r="A1794" s="24"/>
      <c r="B1794" s="24"/>
      <c r="C1794" s="24"/>
      <c r="D1794" s="22"/>
      <c r="F1794" s="114"/>
      <c r="G1794" s="114"/>
      <c r="H1794" s="114"/>
      <c r="I1794" s="114"/>
      <c r="J1794" s="114"/>
      <c r="K1794" s="114"/>
      <c r="L1794" s="114"/>
      <c r="M1794" s="114"/>
      <c r="X1794" s="56"/>
      <c r="Y1794" s="56"/>
      <c r="AA1794" s="56"/>
      <c r="AB1794" s="114"/>
    </row>
    <row r="1795">
      <c r="A1795" s="24"/>
      <c r="B1795" s="24"/>
      <c r="C1795" s="24"/>
      <c r="D1795" s="22"/>
      <c r="F1795" s="114"/>
      <c r="G1795" s="114"/>
      <c r="H1795" s="114"/>
      <c r="I1795" s="114"/>
      <c r="J1795" s="114"/>
      <c r="K1795" s="114"/>
      <c r="L1795" s="114"/>
      <c r="M1795" s="114"/>
      <c r="X1795" s="56"/>
      <c r="Y1795" s="56"/>
      <c r="AA1795" s="56"/>
      <c r="AB1795" s="114"/>
    </row>
    <row r="1796">
      <c r="A1796" s="24"/>
      <c r="B1796" s="24"/>
      <c r="C1796" s="24"/>
      <c r="D1796" s="22"/>
      <c r="F1796" s="114"/>
      <c r="G1796" s="114"/>
      <c r="H1796" s="114"/>
      <c r="I1796" s="114"/>
      <c r="J1796" s="114"/>
      <c r="K1796" s="114"/>
      <c r="L1796" s="114"/>
      <c r="M1796" s="114"/>
      <c r="X1796" s="56"/>
      <c r="Y1796" s="56"/>
      <c r="AA1796" s="56"/>
      <c r="AB1796" s="114"/>
    </row>
    <row r="1797">
      <c r="A1797" s="24"/>
      <c r="B1797" s="24"/>
      <c r="C1797" s="24"/>
      <c r="D1797" s="22"/>
      <c r="F1797" s="114"/>
      <c r="G1797" s="114"/>
      <c r="H1797" s="114"/>
      <c r="I1797" s="114"/>
      <c r="J1797" s="114"/>
      <c r="K1797" s="114"/>
      <c r="L1797" s="114"/>
      <c r="M1797" s="114"/>
      <c r="X1797" s="56"/>
      <c r="Y1797" s="56"/>
      <c r="AA1797" s="56"/>
      <c r="AB1797" s="114"/>
    </row>
    <row r="1798">
      <c r="A1798" s="24"/>
      <c r="B1798" s="24"/>
      <c r="C1798" s="24"/>
      <c r="D1798" s="22"/>
      <c r="F1798" s="114"/>
      <c r="G1798" s="114"/>
      <c r="H1798" s="114"/>
      <c r="I1798" s="114"/>
      <c r="J1798" s="114"/>
      <c r="K1798" s="114"/>
      <c r="L1798" s="114"/>
      <c r="M1798" s="114"/>
      <c r="X1798" s="56"/>
      <c r="Y1798" s="56"/>
      <c r="AA1798" s="56"/>
      <c r="AB1798" s="114"/>
    </row>
    <row r="1799">
      <c r="A1799" s="24"/>
      <c r="B1799" s="24"/>
      <c r="C1799" s="24"/>
      <c r="D1799" s="22"/>
      <c r="F1799" s="114"/>
      <c r="G1799" s="114"/>
      <c r="H1799" s="114"/>
      <c r="I1799" s="114"/>
      <c r="J1799" s="114"/>
      <c r="K1799" s="114"/>
      <c r="L1799" s="114"/>
      <c r="M1799" s="114"/>
      <c r="X1799" s="56"/>
      <c r="Y1799" s="56"/>
      <c r="AA1799" s="56"/>
      <c r="AB1799" s="114"/>
    </row>
    <row r="1800">
      <c r="A1800" s="24"/>
      <c r="B1800" s="24"/>
      <c r="C1800" s="24"/>
      <c r="D1800" s="22"/>
      <c r="F1800" s="114"/>
      <c r="G1800" s="114"/>
      <c r="H1800" s="114"/>
      <c r="I1800" s="114"/>
      <c r="J1800" s="114"/>
      <c r="K1800" s="114"/>
      <c r="L1800" s="114"/>
      <c r="M1800" s="114"/>
      <c r="X1800" s="56"/>
      <c r="Y1800" s="56"/>
      <c r="AA1800" s="56"/>
      <c r="AB1800" s="114"/>
    </row>
    <row r="1801">
      <c r="A1801" s="24"/>
      <c r="B1801" s="24"/>
      <c r="C1801" s="24"/>
      <c r="D1801" s="22"/>
      <c r="F1801" s="114"/>
      <c r="G1801" s="114"/>
      <c r="H1801" s="114"/>
      <c r="I1801" s="114"/>
      <c r="J1801" s="114"/>
      <c r="K1801" s="114"/>
      <c r="L1801" s="114"/>
      <c r="M1801" s="114"/>
      <c r="X1801" s="56"/>
      <c r="Y1801" s="56"/>
      <c r="AA1801" s="56"/>
      <c r="AB1801" s="114"/>
    </row>
    <row r="1802">
      <c r="A1802" s="24"/>
      <c r="B1802" s="24"/>
      <c r="C1802" s="24"/>
      <c r="D1802" s="22"/>
      <c r="F1802" s="114"/>
      <c r="G1802" s="114"/>
      <c r="H1802" s="114"/>
      <c r="I1802" s="114"/>
      <c r="J1802" s="114"/>
      <c r="K1802" s="114"/>
      <c r="L1802" s="114"/>
      <c r="M1802" s="114"/>
      <c r="X1802" s="56"/>
      <c r="Y1802" s="56"/>
      <c r="AA1802" s="56"/>
      <c r="AB1802" s="114"/>
    </row>
    <row r="1803">
      <c r="A1803" s="24"/>
      <c r="B1803" s="24"/>
      <c r="C1803" s="24"/>
      <c r="D1803" s="22"/>
      <c r="F1803" s="114"/>
      <c r="G1803" s="114"/>
      <c r="H1803" s="114"/>
      <c r="I1803" s="114"/>
      <c r="J1803" s="114"/>
      <c r="K1803" s="114"/>
      <c r="L1803" s="114"/>
      <c r="M1803" s="114"/>
      <c r="X1803" s="56"/>
      <c r="Y1803" s="56"/>
      <c r="AA1803" s="56"/>
      <c r="AB1803" s="114"/>
    </row>
    <row r="1804">
      <c r="A1804" s="24"/>
      <c r="B1804" s="24"/>
      <c r="C1804" s="24"/>
      <c r="D1804" s="22"/>
      <c r="F1804" s="114"/>
      <c r="G1804" s="114"/>
      <c r="H1804" s="114"/>
      <c r="I1804" s="114"/>
      <c r="J1804" s="114"/>
      <c r="K1804" s="114"/>
      <c r="L1804" s="114"/>
      <c r="M1804" s="114"/>
      <c r="X1804" s="56"/>
      <c r="Y1804" s="56"/>
      <c r="AA1804" s="56"/>
      <c r="AB1804" s="114"/>
    </row>
    <row r="1805">
      <c r="A1805" s="24"/>
      <c r="B1805" s="24"/>
      <c r="C1805" s="24"/>
      <c r="D1805" s="22"/>
      <c r="F1805" s="114"/>
      <c r="G1805" s="114"/>
      <c r="H1805" s="114"/>
      <c r="I1805" s="114"/>
      <c r="J1805" s="114"/>
      <c r="K1805" s="114"/>
      <c r="L1805" s="114"/>
      <c r="M1805" s="114"/>
      <c r="X1805" s="56"/>
      <c r="Y1805" s="56"/>
      <c r="AA1805" s="56"/>
      <c r="AB1805" s="114"/>
    </row>
    <row r="1806">
      <c r="A1806" s="24"/>
      <c r="B1806" s="24"/>
      <c r="C1806" s="24"/>
      <c r="D1806" s="22"/>
      <c r="F1806" s="114"/>
      <c r="G1806" s="114"/>
      <c r="H1806" s="114"/>
      <c r="I1806" s="114"/>
      <c r="J1806" s="114"/>
      <c r="K1806" s="114"/>
      <c r="L1806" s="114"/>
      <c r="M1806" s="114"/>
      <c r="X1806" s="56"/>
      <c r="Y1806" s="56"/>
      <c r="AA1806" s="56"/>
      <c r="AB1806" s="114"/>
    </row>
    <row r="1807">
      <c r="A1807" s="24"/>
      <c r="B1807" s="24"/>
      <c r="C1807" s="24"/>
      <c r="D1807" s="22"/>
      <c r="F1807" s="114"/>
      <c r="G1807" s="114"/>
      <c r="H1807" s="114"/>
      <c r="I1807" s="114"/>
      <c r="J1807" s="114"/>
      <c r="K1807" s="114"/>
      <c r="L1807" s="114"/>
      <c r="M1807" s="114"/>
      <c r="X1807" s="56"/>
      <c r="Y1807" s="56"/>
      <c r="AA1807" s="56"/>
      <c r="AB1807" s="114"/>
    </row>
    <row r="1808">
      <c r="A1808" s="24"/>
      <c r="B1808" s="24"/>
      <c r="C1808" s="24"/>
      <c r="D1808" s="22"/>
      <c r="F1808" s="114"/>
      <c r="G1808" s="114"/>
      <c r="H1808" s="114"/>
      <c r="I1808" s="114"/>
      <c r="J1808" s="114"/>
      <c r="K1808" s="114"/>
      <c r="L1808" s="114"/>
      <c r="M1808" s="114"/>
      <c r="X1808" s="56"/>
      <c r="Y1808" s="56"/>
      <c r="AA1808" s="56"/>
      <c r="AB1808" s="114"/>
    </row>
    <row r="1809">
      <c r="A1809" s="24"/>
      <c r="B1809" s="24"/>
      <c r="C1809" s="24"/>
      <c r="D1809" s="22"/>
      <c r="F1809" s="114"/>
      <c r="G1809" s="114"/>
      <c r="H1809" s="114"/>
      <c r="I1809" s="114"/>
      <c r="J1809" s="114"/>
      <c r="K1809" s="114"/>
      <c r="L1809" s="114"/>
      <c r="M1809" s="114"/>
      <c r="X1809" s="56"/>
      <c r="Y1809" s="56"/>
      <c r="AA1809" s="56"/>
      <c r="AB1809" s="114"/>
    </row>
    <row r="1810">
      <c r="A1810" s="24"/>
      <c r="B1810" s="24"/>
      <c r="C1810" s="24"/>
      <c r="D1810" s="22"/>
      <c r="F1810" s="114"/>
      <c r="G1810" s="114"/>
      <c r="H1810" s="114"/>
      <c r="I1810" s="114"/>
      <c r="J1810" s="114"/>
      <c r="K1810" s="114"/>
      <c r="L1810" s="114"/>
      <c r="M1810" s="114"/>
      <c r="X1810" s="56"/>
      <c r="Y1810" s="56"/>
      <c r="AA1810" s="56"/>
      <c r="AB1810" s="114"/>
    </row>
    <row r="1811">
      <c r="A1811" s="24"/>
      <c r="B1811" s="24"/>
      <c r="C1811" s="24"/>
      <c r="D1811" s="22"/>
      <c r="F1811" s="114"/>
      <c r="G1811" s="114"/>
      <c r="H1811" s="114"/>
      <c r="I1811" s="114"/>
      <c r="J1811" s="114"/>
      <c r="K1811" s="114"/>
      <c r="L1811" s="114"/>
      <c r="M1811" s="114"/>
      <c r="X1811" s="56"/>
      <c r="Y1811" s="56"/>
      <c r="AA1811" s="56"/>
      <c r="AB1811" s="114"/>
    </row>
    <row r="1812">
      <c r="A1812" s="24"/>
      <c r="B1812" s="24"/>
      <c r="C1812" s="24"/>
      <c r="D1812" s="22"/>
      <c r="F1812" s="114"/>
      <c r="G1812" s="114"/>
      <c r="H1812" s="114"/>
      <c r="I1812" s="114"/>
      <c r="J1812" s="114"/>
      <c r="K1812" s="114"/>
      <c r="L1812" s="114"/>
      <c r="M1812" s="114"/>
      <c r="X1812" s="56"/>
      <c r="Y1812" s="56"/>
      <c r="AA1812" s="56"/>
      <c r="AB1812" s="114"/>
    </row>
    <row r="1813">
      <c r="A1813" s="24"/>
      <c r="B1813" s="24"/>
      <c r="C1813" s="24"/>
      <c r="D1813" s="22"/>
      <c r="F1813" s="114"/>
      <c r="G1813" s="114"/>
      <c r="H1813" s="114"/>
      <c r="I1813" s="114"/>
      <c r="J1813" s="114"/>
      <c r="K1813" s="114"/>
      <c r="L1813" s="114"/>
      <c r="M1813" s="114"/>
      <c r="X1813" s="56"/>
      <c r="Y1813" s="56"/>
      <c r="AA1813" s="56"/>
      <c r="AB1813" s="114"/>
    </row>
    <row r="1814">
      <c r="A1814" s="24"/>
      <c r="B1814" s="24"/>
      <c r="C1814" s="24"/>
      <c r="D1814" s="22"/>
      <c r="F1814" s="114"/>
      <c r="G1814" s="114"/>
      <c r="H1814" s="114"/>
      <c r="I1814" s="114"/>
      <c r="J1814" s="114"/>
      <c r="K1814" s="114"/>
      <c r="L1814" s="114"/>
      <c r="M1814" s="114"/>
      <c r="X1814" s="56"/>
      <c r="Y1814" s="56"/>
      <c r="AA1814" s="56"/>
      <c r="AB1814" s="114"/>
    </row>
    <row r="1815">
      <c r="A1815" s="24"/>
      <c r="B1815" s="24"/>
      <c r="C1815" s="24"/>
      <c r="D1815" s="22"/>
      <c r="F1815" s="114"/>
      <c r="G1815" s="114"/>
      <c r="H1815" s="114"/>
      <c r="I1815" s="114"/>
      <c r="J1815" s="114"/>
      <c r="K1815" s="114"/>
      <c r="L1815" s="114"/>
      <c r="M1815" s="114"/>
      <c r="X1815" s="56"/>
      <c r="Y1815" s="56"/>
      <c r="AA1815" s="56"/>
      <c r="AB1815" s="114"/>
    </row>
    <row r="1816">
      <c r="A1816" s="24"/>
      <c r="B1816" s="24"/>
      <c r="C1816" s="24"/>
      <c r="D1816" s="22"/>
      <c r="F1816" s="114"/>
      <c r="G1816" s="114"/>
      <c r="H1816" s="114"/>
      <c r="I1816" s="114"/>
      <c r="J1816" s="114"/>
      <c r="K1816" s="114"/>
      <c r="L1816" s="114"/>
      <c r="M1816" s="114"/>
      <c r="X1816" s="56"/>
      <c r="Y1816" s="56"/>
      <c r="AA1816" s="56"/>
      <c r="AB1816" s="114"/>
    </row>
    <row r="1817">
      <c r="A1817" s="24"/>
      <c r="B1817" s="24"/>
      <c r="C1817" s="24"/>
      <c r="D1817" s="22"/>
      <c r="F1817" s="114"/>
      <c r="G1817" s="114"/>
      <c r="H1817" s="114"/>
      <c r="I1817" s="114"/>
      <c r="J1817" s="114"/>
      <c r="K1817" s="114"/>
      <c r="L1817" s="114"/>
      <c r="M1817" s="114"/>
      <c r="X1817" s="56"/>
      <c r="Y1817" s="56"/>
      <c r="AA1817" s="56"/>
      <c r="AB1817" s="114"/>
    </row>
    <row r="1818">
      <c r="A1818" s="24"/>
      <c r="B1818" s="24"/>
      <c r="C1818" s="24"/>
      <c r="D1818" s="22"/>
      <c r="F1818" s="114"/>
      <c r="G1818" s="114"/>
      <c r="H1818" s="114"/>
      <c r="I1818" s="114"/>
      <c r="J1818" s="114"/>
      <c r="K1818" s="114"/>
      <c r="L1818" s="114"/>
      <c r="M1818" s="114"/>
      <c r="X1818" s="56"/>
      <c r="Y1818" s="56"/>
      <c r="AA1818" s="56"/>
      <c r="AB1818" s="114"/>
    </row>
    <row r="1819">
      <c r="A1819" s="24"/>
      <c r="B1819" s="24"/>
      <c r="C1819" s="24"/>
      <c r="D1819" s="22"/>
      <c r="F1819" s="114"/>
      <c r="G1819" s="114"/>
      <c r="H1819" s="114"/>
      <c r="I1819" s="114"/>
      <c r="J1819" s="114"/>
      <c r="K1819" s="114"/>
      <c r="L1819" s="114"/>
      <c r="M1819" s="114"/>
      <c r="X1819" s="56"/>
      <c r="Y1819" s="56"/>
      <c r="AA1819" s="56"/>
      <c r="AB1819" s="114"/>
    </row>
    <row r="1820">
      <c r="A1820" s="24"/>
      <c r="B1820" s="24"/>
      <c r="C1820" s="24"/>
      <c r="D1820" s="22"/>
      <c r="F1820" s="114"/>
      <c r="G1820" s="114"/>
      <c r="H1820" s="114"/>
      <c r="I1820" s="114"/>
      <c r="J1820" s="114"/>
      <c r="K1820" s="114"/>
      <c r="L1820" s="114"/>
      <c r="M1820" s="114"/>
      <c r="X1820" s="56"/>
      <c r="Y1820" s="56"/>
      <c r="AA1820" s="56"/>
      <c r="AB1820" s="114"/>
    </row>
    <row r="1821">
      <c r="A1821" s="24"/>
      <c r="B1821" s="24"/>
      <c r="C1821" s="24"/>
      <c r="D1821" s="22"/>
      <c r="F1821" s="114"/>
      <c r="G1821" s="114"/>
      <c r="H1821" s="114"/>
      <c r="I1821" s="114"/>
      <c r="J1821" s="114"/>
      <c r="K1821" s="114"/>
      <c r="L1821" s="114"/>
      <c r="M1821" s="114"/>
      <c r="X1821" s="56"/>
      <c r="Y1821" s="56"/>
      <c r="AA1821" s="56"/>
      <c r="AB1821" s="114"/>
    </row>
    <row r="1822">
      <c r="A1822" s="24"/>
      <c r="B1822" s="24"/>
      <c r="C1822" s="24"/>
      <c r="D1822" s="22"/>
      <c r="F1822" s="114"/>
      <c r="G1822" s="114"/>
      <c r="H1822" s="114"/>
      <c r="I1822" s="114"/>
      <c r="J1822" s="114"/>
      <c r="K1822" s="114"/>
      <c r="L1822" s="114"/>
      <c r="M1822" s="114"/>
      <c r="X1822" s="56"/>
      <c r="Y1822" s="56"/>
      <c r="AA1822" s="56"/>
      <c r="AB1822" s="114"/>
    </row>
    <row r="1823">
      <c r="A1823" s="24"/>
      <c r="B1823" s="24"/>
      <c r="C1823" s="24"/>
      <c r="D1823" s="22"/>
      <c r="F1823" s="114"/>
      <c r="G1823" s="114"/>
      <c r="H1823" s="114"/>
      <c r="I1823" s="114"/>
      <c r="J1823" s="114"/>
      <c r="K1823" s="114"/>
      <c r="L1823" s="114"/>
      <c r="M1823" s="114"/>
      <c r="X1823" s="56"/>
      <c r="Y1823" s="56"/>
      <c r="AA1823" s="56"/>
      <c r="AB1823" s="114"/>
    </row>
    <row r="1824">
      <c r="A1824" s="24"/>
      <c r="B1824" s="24"/>
      <c r="C1824" s="24"/>
      <c r="D1824" s="22"/>
      <c r="F1824" s="114"/>
      <c r="G1824" s="114"/>
      <c r="H1824" s="114"/>
      <c r="I1824" s="114"/>
      <c r="J1824" s="114"/>
      <c r="K1824" s="114"/>
      <c r="L1824" s="114"/>
      <c r="M1824" s="114"/>
      <c r="X1824" s="56"/>
      <c r="Y1824" s="56"/>
      <c r="AA1824" s="56"/>
      <c r="AB1824" s="114"/>
    </row>
    <row r="1825">
      <c r="A1825" s="24"/>
      <c r="B1825" s="24"/>
      <c r="C1825" s="24"/>
      <c r="D1825" s="22"/>
      <c r="F1825" s="114"/>
      <c r="G1825" s="114"/>
      <c r="H1825" s="114"/>
      <c r="I1825" s="114"/>
      <c r="J1825" s="114"/>
      <c r="K1825" s="114"/>
      <c r="L1825" s="114"/>
      <c r="M1825" s="114"/>
      <c r="X1825" s="56"/>
      <c r="Y1825" s="56"/>
      <c r="AA1825" s="56"/>
      <c r="AB1825" s="114"/>
    </row>
    <row r="1826">
      <c r="A1826" s="24"/>
      <c r="B1826" s="24"/>
      <c r="C1826" s="24"/>
      <c r="D1826" s="22"/>
      <c r="F1826" s="114"/>
      <c r="G1826" s="114"/>
      <c r="H1826" s="114"/>
      <c r="I1826" s="114"/>
      <c r="J1826" s="114"/>
      <c r="K1826" s="114"/>
      <c r="L1826" s="114"/>
      <c r="M1826" s="114"/>
      <c r="X1826" s="56"/>
      <c r="Y1826" s="56"/>
      <c r="AA1826" s="56"/>
      <c r="AB1826" s="114"/>
    </row>
    <row r="1827">
      <c r="A1827" s="24"/>
      <c r="B1827" s="24"/>
      <c r="C1827" s="24"/>
      <c r="D1827" s="22"/>
      <c r="F1827" s="114"/>
      <c r="G1827" s="114"/>
      <c r="H1827" s="114"/>
      <c r="I1827" s="114"/>
      <c r="J1827" s="114"/>
      <c r="K1827" s="114"/>
      <c r="L1827" s="114"/>
      <c r="M1827" s="114"/>
      <c r="X1827" s="56"/>
      <c r="Y1827" s="56"/>
      <c r="AA1827" s="56"/>
      <c r="AB1827" s="114"/>
    </row>
    <row r="1828">
      <c r="A1828" s="24"/>
      <c r="B1828" s="24"/>
      <c r="C1828" s="24"/>
      <c r="D1828" s="22"/>
      <c r="F1828" s="114"/>
      <c r="G1828" s="114"/>
      <c r="H1828" s="114"/>
      <c r="I1828" s="114"/>
      <c r="J1828" s="114"/>
      <c r="K1828" s="114"/>
      <c r="L1828" s="114"/>
      <c r="M1828" s="114"/>
      <c r="X1828" s="56"/>
      <c r="Y1828" s="56"/>
      <c r="AA1828" s="56"/>
      <c r="AB1828" s="114"/>
    </row>
    <row r="1829">
      <c r="A1829" s="24"/>
      <c r="B1829" s="24"/>
      <c r="C1829" s="24"/>
      <c r="D1829" s="22"/>
      <c r="F1829" s="114"/>
      <c r="G1829" s="114"/>
      <c r="H1829" s="114"/>
      <c r="I1829" s="114"/>
      <c r="J1829" s="114"/>
      <c r="K1829" s="114"/>
      <c r="L1829" s="114"/>
      <c r="M1829" s="114"/>
      <c r="X1829" s="56"/>
      <c r="Y1829" s="56"/>
      <c r="AA1829" s="56"/>
      <c r="AB1829" s="114"/>
    </row>
    <row r="1830">
      <c r="A1830" s="24"/>
      <c r="B1830" s="24"/>
      <c r="C1830" s="24"/>
      <c r="D1830" s="22"/>
      <c r="F1830" s="114"/>
      <c r="G1830" s="114"/>
      <c r="H1830" s="114"/>
      <c r="I1830" s="114"/>
      <c r="J1830" s="114"/>
      <c r="K1830" s="114"/>
      <c r="L1830" s="114"/>
      <c r="M1830" s="114"/>
      <c r="X1830" s="56"/>
      <c r="Y1830" s="56"/>
      <c r="AA1830" s="56"/>
      <c r="AB1830" s="114"/>
    </row>
    <row r="1831">
      <c r="A1831" s="24"/>
      <c r="B1831" s="24"/>
      <c r="C1831" s="24"/>
      <c r="D1831" s="22"/>
      <c r="F1831" s="114"/>
      <c r="G1831" s="114"/>
      <c r="H1831" s="114"/>
      <c r="I1831" s="114"/>
      <c r="J1831" s="114"/>
      <c r="K1831" s="114"/>
      <c r="L1831" s="114"/>
      <c r="M1831" s="114"/>
      <c r="X1831" s="56"/>
      <c r="Y1831" s="56"/>
      <c r="AA1831" s="56"/>
      <c r="AB1831" s="114"/>
    </row>
    <row r="1832">
      <c r="A1832" s="24"/>
      <c r="B1832" s="24"/>
      <c r="C1832" s="24"/>
      <c r="D1832" s="22"/>
      <c r="F1832" s="114"/>
      <c r="G1832" s="114"/>
      <c r="H1832" s="114"/>
      <c r="I1832" s="114"/>
      <c r="J1832" s="114"/>
      <c r="K1832" s="114"/>
      <c r="L1832" s="114"/>
      <c r="M1832" s="114"/>
      <c r="X1832" s="56"/>
      <c r="Y1832" s="56"/>
      <c r="AA1832" s="56"/>
      <c r="AB1832" s="114"/>
    </row>
    <row r="1833">
      <c r="A1833" s="24"/>
      <c r="B1833" s="24"/>
      <c r="C1833" s="24"/>
      <c r="D1833" s="22"/>
      <c r="F1833" s="114"/>
      <c r="G1833" s="114"/>
      <c r="H1833" s="114"/>
      <c r="I1833" s="114"/>
      <c r="J1833" s="114"/>
      <c r="K1833" s="114"/>
      <c r="L1833" s="114"/>
      <c r="M1833" s="114"/>
      <c r="X1833" s="56"/>
      <c r="Y1833" s="56"/>
      <c r="AA1833" s="56"/>
      <c r="AB1833" s="114"/>
    </row>
    <row r="1834">
      <c r="A1834" s="24"/>
      <c r="B1834" s="24"/>
      <c r="C1834" s="24"/>
      <c r="D1834" s="22"/>
      <c r="F1834" s="114"/>
      <c r="G1834" s="114"/>
      <c r="H1834" s="114"/>
      <c r="I1834" s="114"/>
      <c r="J1834" s="114"/>
      <c r="K1834" s="114"/>
      <c r="L1834" s="114"/>
      <c r="M1834" s="114"/>
      <c r="X1834" s="56"/>
      <c r="Y1834" s="56"/>
      <c r="AA1834" s="56"/>
      <c r="AB1834" s="114"/>
    </row>
    <row r="1835">
      <c r="A1835" s="24"/>
      <c r="B1835" s="24"/>
      <c r="C1835" s="24"/>
      <c r="D1835" s="22"/>
      <c r="F1835" s="114"/>
      <c r="G1835" s="114"/>
      <c r="H1835" s="114"/>
      <c r="I1835" s="114"/>
      <c r="J1835" s="114"/>
      <c r="K1835" s="114"/>
      <c r="L1835" s="114"/>
      <c r="M1835" s="114"/>
      <c r="X1835" s="56"/>
      <c r="Y1835" s="56"/>
      <c r="AA1835" s="56"/>
      <c r="AB1835" s="114"/>
    </row>
    <row r="1836">
      <c r="A1836" s="24"/>
      <c r="B1836" s="24"/>
      <c r="C1836" s="24"/>
      <c r="D1836" s="22"/>
      <c r="F1836" s="114"/>
      <c r="G1836" s="114"/>
      <c r="H1836" s="114"/>
      <c r="I1836" s="114"/>
      <c r="J1836" s="114"/>
      <c r="K1836" s="114"/>
      <c r="L1836" s="114"/>
      <c r="M1836" s="114"/>
      <c r="X1836" s="56"/>
      <c r="Y1836" s="56"/>
      <c r="AA1836" s="56"/>
      <c r="AB1836" s="114"/>
    </row>
    <row r="1837">
      <c r="A1837" s="24"/>
      <c r="B1837" s="24"/>
      <c r="C1837" s="24"/>
      <c r="D1837" s="22"/>
      <c r="F1837" s="114"/>
      <c r="G1837" s="114"/>
      <c r="H1837" s="114"/>
      <c r="I1837" s="114"/>
      <c r="J1837" s="114"/>
      <c r="K1837" s="114"/>
      <c r="L1837" s="114"/>
      <c r="M1837" s="114"/>
      <c r="X1837" s="56"/>
      <c r="Y1837" s="56"/>
      <c r="AA1837" s="56"/>
      <c r="AB1837" s="114"/>
    </row>
    <row r="1838">
      <c r="A1838" s="24"/>
      <c r="B1838" s="24"/>
      <c r="C1838" s="24"/>
      <c r="D1838" s="22"/>
      <c r="F1838" s="114"/>
      <c r="G1838" s="114"/>
      <c r="H1838" s="114"/>
      <c r="I1838" s="114"/>
      <c r="J1838" s="114"/>
      <c r="K1838" s="114"/>
      <c r="L1838" s="114"/>
      <c r="M1838" s="114"/>
      <c r="X1838" s="56"/>
      <c r="Y1838" s="56"/>
      <c r="AA1838" s="56"/>
      <c r="AB1838" s="114"/>
    </row>
    <row r="1839">
      <c r="A1839" s="24"/>
      <c r="B1839" s="24"/>
      <c r="C1839" s="24"/>
      <c r="D1839" s="22"/>
      <c r="F1839" s="114"/>
      <c r="G1839" s="114"/>
      <c r="H1839" s="114"/>
      <c r="I1839" s="114"/>
      <c r="J1839" s="114"/>
      <c r="K1839" s="114"/>
      <c r="L1839" s="114"/>
      <c r="M1839" s="114"/>
      <c r="X1839" s="56"/>
      <c r="Y1839" s="56"/>
      <c r="AA1839" s="56"/>
      <c r="AB1839" s="114"/>
    </row>
    <row r="1840">
      <c r="A1840" s="24"/>
      <c r="B1840" s="24"/>
      <c r="C1840" s="24"/>
      <c r="D1840" s="22"/>
      <c r="F1840" s="114"/>
      <c r="G1840" s="114"/>
      <c r="H1840" s="114"/>
      <c r="I1840" s="114"/>
      <c r="J1840" s="114"/>
      <c r="K1840" s="114"/>
      <c r="L1840" s="114"/>
      <c r="M1840" s="114"/>
      <c r="X1840" s="56"/>
      <c r="Y1840" s="56"/>
      <c r="AA1840" s="56"/>
      <c r="AB1840" s="114"/>
    </row>
    <row r="1841">
      <c r="A1841" s="24"/>
      <c r="B1841" s="24"/>
      <c r="C1841" s="24"/>
      <c r="D1841" s="22"/>
      <c r="F1841" s="114"/>
      <c r="G1841" s="114"/>
      <c r="H1841" s="114"/>
      <c r="I1841" s="114"/>
      <c r="J1841" s="114"/>
      <c r="K1841" s="114"/>
      <c r="L1841" s="114"/>
      <c r="M1841" s="114"/>
      <c r="X1841" s="56"/>
      <c r="Y1841" s="56"/>
      <c r="AA1841" s="56"/>
      <c r="AB1841" s="114"/>
    </row>
    <row r="1842">
      <c r="A1842" s="24"/>
      <c r="B1842" s="24"/>
      <c r="C1842" s="24"/>
      <c r="D1842" s="22"/>
      <c r="F1842" s="114"/>
      <c r="G1842" s="114"/>
      <c r="H1842" s="114"/>
      <c r="I1842" s="114"/>
      <c r="J1842" s="114"/>
      <c r="K1842" s="114"/>
      <c r="L1842" s="114"/>
      <c r="M1842" s="114"/>
      <c r="X1842" s="56"/>
      <c r="Y1842" s="56"/>
      <c r="AA1842" s="56"/>
      <c r="AB1842" s="114"/>
    </row>
    <row r="1843">
      <c r="A1843" s="24"/>
      <c r="B1843" s="24"/>
      <c r="C1843" s="24"/>
      <c r="D1843" s="22"/>
      <c r="F1843" s="114"/>
      <c r="G1843" s="114"/>
      <c r="H1843" s="114"/>
      <c r="I1843" s="114"/>
      <c r="J1843" s="114"/>
      <c r="K1843" s="114"/>
      <c r="L1843" s="114"/>
      <c r="M1843" s="114"/>
      <c r="X1843" s="56"/>
      <c r="Y1843" s="56"/>
      <c r="AA1843" s="56"/>
      <c r="AB1843" s="114"/>
    </row>
    <row r="1844">
      <c r="A1844" s="24"/>
      <c r="B1844" s="24"/>
      <c r="C1844" s="24"/>
      <c r="D1844" s="22"/>
      <c r="F1844" s="114"/>
      <c r="G1844" s="114"/>
      <c r="H1844" s="114"/>
      <c r="I1844" s="114"/>
      <c r="J1844" s="114"/>
      <c r="K1844" s="114"/>
      <c r="L1844" s="114"/>
      <c r="M1844" s="114"/>
      <c r="X1844" s="56"/>
      <c r="Y1844" s="56"/>
      <c r="AA1844" s="56"/>
      <c r="AB1844" s="114"/>
    </row>
    <row r="1845">
      <c r="A1845" s="24"/>
      <c r="B1845" s="24"/>
      <c r="C1845" s="24"/>
      <c r="D1845" s="22"/>
      <c r="F1845" s="114"/>
      <c r="G1845" s="114"/>
      <c r="H1845" s="114"/>
      <c r="I1845" s="114"/>
      <c r="J1845" s="114"/>
      <c r="K1845" s="114"/>
      <c r="L1845" s="114"/>
      <c r="M1845" s="114"/>
      <c r="X1845" s="56"/>
      <c r="Y1845" s="56"/>
      <c r="AA1845" s="56"/>
      <c r="AB1845" s="114"/>
    </row>
    <row r="1846">
      <c r="A1846" s="24"/>
      <c r="B1846" s="24"/>
      <c r="C1846" s="24"/>
      <c r="D1846" s="22"/>
      <c r="F1846" s="114"/>
      <c r="G1846" s="114"/>
      <c r="H1846" s="114"/>
      <c r="I1846" s="114"/>
      <c r="J1846" s="114"/>
      <c r="K1846" s="114"/>
      <c r="L1846" s="114"/>
      <c r="M1846" s="114"/>
      <c r="X1846" s="56"/>
      <c r="Y1846" s="56"/>
      <c r="AA1846" s="56"/>
      <c r="AB1846" s="114"/>
    </row>
    <row r="1847">
      <c r="A1847" s="24"/>
      <c r="B1847" s="24"/>
      <c r="C1847" s="24"/>
      <c r="D1847" s="22"/>
      <c r="F1847" s="114"/>
      <c r="G1847" s="114"/>
      <c r="H1847" s="114"/>
      <c r="I1847" s="114"/>
      <c r="J1847" s="114"/>
      <c r="K1847" s="114"/>
      <c r="L1847" s="114"/>
      <c r="M1847" s="114"/>
      <c r="X1847" s="56"/>
      <c r="Y1847" s="56"/>
      <c r="AA1847" s="56"/>
      <c r="AB1847" s="114"/>
    </row>
    <row r="1848">
      <c r="A1848" s="24"/>
      <c r="B1848" s="24"/>
      <c r="C1848" s="24"/>
      <c r="D1848" s="22"/>
      <c r="F1848" s="114"/>
      <c r="G1848" s="114"/>
      <c r="H1848" s="114"/>
      <c r="I1848" s="114"/>
      <c r="J1848" s="114"/>
      <c r="K1848" s="114"/>
      <c r="L1848" s="114"/>
      <c r="M1848" s="114"/>
      <c r="X1848" s="56"/>
      <c r="Y1848" s="56"/>
      <c r="AA1848" s="56"/>
      <c r="AB1848" s="114"/>
    </row>
    <row r="1849">
      <c r="A1849" s="24"/>
      <c r="B1849" s="24"/>
      <c r="C1849" s="24"/>
      <c r="D1849" s="22"/>
      <c r="F1849" s="114"/>
      <c r="G1849" s="114"/>
      <c r="H1849" s="114"/>
      <c r="I1849" s="114"/>
      <c r="J1849" s="114"/>
      <c r="K1849" s="114"/>
      <c r="L1849" s="114"/>
      <c r="M1849" s="114"/>
      <c r="X1849" s="56"/>
      <c r="Y1849" s="56"/>
      <c r="AA1849" s="56"/>
      <c r="AB1849" s="114"/>
    </row>
    <row r="1850">
      <c r="A1850" s="24"/>
      <c r="B1850" s="24"/>
      <c r="C1850" s="24"/>
      <c r="D1850" s="22"/>
      <c r="F1850" s="114"/>
      <c r="G1850" s="114"/>
      <c r="H1850" s="114"/>
      <c r="I1850" s="114"/>
      <c r="J1850" s="114"/>
      <c r="K1850" s="114"/>
      <c r="L1850" s="114"/>
      <c r="M1850" s="114"/>
      <c r="X1850" s="56"/>
      <c r="Y1850" s="56"/>
      <c r="AA1850" s="56"/>
      <c r="AB1850" s="114"/>
    </row>
    <row r="1851">
      <c r="A1851" s="24"/>
      <c r="B1851" s="24"/>
      <c r="C1851" s="24"/>
      <c r="D1851" s="22"/>
      <c r="F1851" s="114"/>
      <c r="G1851" s="114"/>
      <c r="H1851" s="114"/>
      <c r="I1851" s="114"/>
      <c r="J1851" s="114"/>
      <c r="K1851" s="114"/>
      <c r="L1851" s="114"/>
      <c r="M1851" s="114"/>
      <c r="X1851" s="56"/>
      <c r="Y1851" s="56"/>
      <c r="AA1851" s="56"/>
      <c r="AB1851" s="114"/>
    </row>
    <row r="1852">
      <c r="A1852" s="24"/>
      <c r="B1852" s="24"/>
      <c r="C1852" s="24"/>
      <c r="D1852" s="22"/>
      <c r="F1852" s="114"/>
      <c r="G1852" s="114"/>
      <c r="H1852" s="114"/>
      <c r="I1852" s="114"/>
      <c r="J1852" s="114"/>
      <c r="K1852" s="114"/>
      <c r="L1852" s="114"/>
      <c r="M1852" s="114"/>
      <c r="X1852" s="56"/>
      <c r="Y1852" s="56"/>
      <c r="AA1852" s="56"/>
      <c r="AB1852" s="114"/>
    </row>
    <row r="1853">
      <c r="A1853" s="24"/>
      <c r="B1853" s="24"/>
      <c r="C1853" s="24"/>
      <c r="D1853" s="22"/>
      <c r="F1853" s="114"/>
      <c r="G1853" s="114"/>
      <c r="H1853" s="114"/>
      <c r="I1853" s="114"/>
      <c r="J1853" s="114"/>
      <c r="K1853" s="114"/>
      <c r="L1853" s="114"/>
      <c r="M1853" s="114"/>
      <c r="X1853" s="56"/>
      <c r="Y1853" s="56"/>
      <c r="AA1853" s="56"/>
      <c r="AB1853" s="114"/>
    </row>
    <row r="1854">
      <c r="A1854" s="24"/>
      <c r="B1854" s="24"/>
      <c r="C1854" s="24"/>
      <c r="D1854" s="22"/>
      <c r="F1854" s="114"/>
      <c r="G1854" s="114"/>
      <c r="H1854" s="114"/>
      <c r="I1854" s="114"/>
      <c r="J1854" s="114"/>
      <c r="K1854" s="114"/>
      <c r="L1854" s="114"/>
      <c r="M1854" s="114"/>
      <c r="X1854" s="56"/>
      <c r="Y1854" s="56"/>
      <c r="AA1854" s="56"/>
      <c r="AB1854" s="114"/>
    </row>
    <row r="1855">
      <c r="A1855" s="24"/>
      <c r="B1855" s="24"/>
      <c r="C1855" s="24"/>
      <c r="D1855" s="22"/>
      <c r="F1855" s="114"/>
      <c r="G1855" s="114"/>
      <c r="H1855" s="114"/>
      <c r="I1855" s="114"/>
      <c r="J1855" s="114"/>
      <c r="K1855" s="114"/>
      <c r="L1855" s="114"/>
      <c r="M1855" s="114"/>
      <c r="X1855" s="56"/>
      <c r="Y1855" s="56"/>
      <c r="AA1855" s="56"/>
      <c r="AB1855" s="114"/>
    </row>
    <row r="1856">
      <c r="A1856" s="24"/>
      <c r="B1856" s="24"/>
      <c r="C1856" s="24"/>
      <c r="D1856" s="22"/>
      <c r="F1856" s="114"/>
      <c r="G1856" s="114"/>
      <c r="H1856" s="114"/>
      <c r="I1856" s="114"/>
      <c r="J1856" s="114"/>
      <c r="K1856" s="114"/>
      <c r="L1856" s="114"/>
      <c r="M1856" s="114"/>
      <c r="X1856" s="56"/>
      <c r="Y1856" s="56"/>
      <c r="AA1856" s="56"/>
      <c r="AB1856" s="114"/>
    </row>
    <row r="1857">
      <c r="A1857" s="24"/>
      <c r="B1857" s="24"/>
      <c r="C1857" s="24"/>
      <c r="D1857" s="22"/>
      <c r="F1857" s="114"/>
      <c r="G1857" s="114"/>
      <c r="H1857" s="114"/>
      <c r="I1857" s="114"/>
      <c r="J1857" s="114"/>
      <c r="K1857" s="114"/>
      <c r="L1857" s="114"/>
      <c r="M1857" s="114"/>
      <c r="X1857" s="56"/>
      <c r="Y1857" s="56"/>
      <c r="AA1857" s="56"/>
      <c r="AB1857" s="114"/>
    </row>
    <row r="1858">
      <c r="A1858" s="24"/>
      <c r="B1858" s="24"/>
      <c r="C1858" s="24"/>
      <c r="D1858" s="22"/>
      <c r="F1858" s="114"/>
      <c r="G1858" s="114"/>
      <c r="H1858" s="114"/>
      <c r="I1858" s="114"/>
      <c r="J1858" s="114"/>
      <c r="K1858" s="114"/>
      <c r="L1858" s="114"/>
      <c r="M1858" s="114"/>
      <c r="X1858" s="56"/>
      <c r="Y1858" s="56"/>
      <c r="AA1858" s="56"/>
      <c r="AB1858" s="114"/>
    </row>
    <row r="1859">
      <c r="A1859" s="24"/>
      <c r="B1859" s="24"/>
      <c r="C1859" s="24"/>
      <c r="D1859" s="22"/>
      <c r="F1859" s="114"/>
      <c r="G1859" s="114"/>
      <c r="H1859" s="114"/>
      <c r="I1859" s="114"/>
      <c r="J1859" s="114"/>
      <c r="K1859" s="114"/>
      <c r="L1859" s="114"/>
      <c r="M1859" s="114"/>
      <c r="X1859" s="56"/>
      <c r="Y1859" s="56"/>
      <c r="AA1859" s="56"/>
      <c r="AB1859" s="114"/>
    </row>
    <row r="1860">
      <c r="A1860" s="24"/>
      <c r="B1860" s="24"/>
      <c r="C1860" s="24"/>
      <c r="D1860" s="22"/>
      <c r="F1860" s="114"/>
      <c r="G1860" s="114"/>
      <c r="H1860" s="114"/>
      <c r="I1860" s="114"/>
      <c r="J1860" s="114"/>
      <c r="K1860" s="114"/>
      <c r="L1860" s="114"/>
      <c r="M1860" s="114"/>
      <c r="X1860" s="56"/>
      <c r="Y1860" s="56"/>
      <c r="AA1860" s="56"/>
      <c r="AB1860" s="114"/>
    </row>
    <row r="1861">
      <c r="A1861" s="24"/>
      <c r="B1861" s="24"/>
      <c r="C1861" s="24"/>
      <c r="D1861" s="22"/>
      <c r="F1861" s="114"/>
      <c r="G1861" s="114"/>
      <c r="H1861" s="114"/>
      <c r="I1861" s="114"/>
      <c r="J1861" s="114"/>
      <c r="K1861" s="114"/>
      <c r="L1861" s="114"/>
      <c r="M1861" s="114"/>
      <c r="X1861" s="56"/>
      <c r="Y1861" s="56"/>
      <c r="AA1861" s="56"/>
      <c r="AB1861" s="114"/>
    </row>
    <row r="1862">
      <c r="A1862" s="24"/>
      <c r="B1862" s="24"/>
      <c r="C1862" s="24"/>
      <c r="D1862" s="22"/>
      <c r="F1862" s="114"/>
      <c r="G1862" s="114"/>
      <c r="H1862" s="114"/>
      <c r="I1862" s="114"/>
      <c r="J1862" s="114"/>
      <c r="K1862" s="114"/>
      <c r="L1862" s="114"/>
      <c r="M1862" s="114"/>
      <c r="X1862" s="56"/>
      <c r="Y1862" s="56"/>
      <c r="AA1862" s="56"/>
      <c r="AB1862" s="114"/>
    </row>
    <row r="1863">
      <c r="A1863" s="24"/>
      <c r="B1863" s="24"/>
      <c r="C1863" s="24"/>
      <c r="D1863" s="22"/>
      <c r="F1863" s="114"/>
      <c r="G1863" s="114"/>
      <c r="H1863" s="114"/>
      <c r="I1863" s="114"/>
      <c r="J1863" s="114"/>
      <c r="K1863" s="114"/>
      <c r="L1863" s="114"/>
      <c r="M1863" s="114"/>
      <c r="X1863" s="56"/>
      <c r="Y1863" s="56"/>
      <c r="AA1863" s="56"/>
      <c r="AB1863" s="114"/>
    </row>
    <row r="1864">
      <c r="A1864" s="24"/>
      <c r="B1864" s="24"/>
      <c r="C1864" s="24"/>
      <c r="D1864" s="22"/>
      <c r="F1864" s="114"/>
      <c r="G1864" s="114"/>
      <c r="H1864" s="114"/>
      <c r="I1864" s="114"/>
      <c r="J1864" s="114"/>
      <c r="K1864" s="114"/>
      <c r="L1864" s="114"/>
      <c r="M1864" s="114"/>
      <c r="X1864" s="56"/>
      <c r="Y1864" s="56"/>
      <c r="AA1864" s="56"/>
      <c r="AB1864" s="114"/>
    </row>
    <row r="1865">
      <c r="A1865" s="24"/>
      <c r="B1865" s="24"/>
      <c r="C1865" s="24"/>
      <c r="D1865" s="22"/>
      <c r="F1865" s="114"/>
      <c r="G1865" s="114"/>
      <c r="H1865" s="114"/>
      <c r="I1865" s="114"/>
      <c r="J1865" s="114"/>
      <c r="K1865" s="114"/>
      <c r="L1865" s="114"/>
      <c r="M1865" s="114"/>
      <c r="X1865" s="56"/>
      <c r="Y1865" s="56"/>
      <c r="AA1865" s="56"/>
      <c r="AB1865" s="114"/>
    </row>
    <row r="1866">
      <c r="A1866" s="24"/>
      <c r="B1866" s="24"/>
      <c r="C1866" s="24"/>
      <c r="D1866" s="22"/>
      <c r="F1866" s="114"/>
      <c r="G1866" s="114"/>
      <c r="H1866" s="114"/>
      <c r="I1866" s="114"/>
      <c r="J1866" s="114"/>
      <c r="K1866" s="114"/>
      <c r="L1866" s="114"/>
      <c r="M1866" s="114"/>
      <c r="X1866" s="56"/>
      <c r="Y1866" s="56"/>
      <c r="AA1866" s="56"/>
      <c r="AB1866" s="114"/>
    </row>
    <row r="1867">
      <c r="A1867" s="24"/>
      <c r="B1867" s="24"/>
      <c r="C1867" s="24"/>
      <c r="D1867" s="22"/>
      <c r="F1867" s="114"/>
      <c r="G1867" s="114"/>
      <c r="H1867" s="114"/>
      <c r="I1867" s="114"/>
      <c r="J1867" s="114"/>
      <c r="K1867" s="114"/>
      <c r="L1867" s="114"/>
      <c r="M1867" s="114"/>
      <c r="X1867" s="56"/>
      <c r="Y1867" s="56"/>
      <c r="AA1867" s="56"/>
      <c r="AB1867" s="114"/>
    </row>
    <row r="1868">
      <c r="A1868" s="24"/>
      <c r="B1868" s="24"/>
      <c r="C1868" s="24"/>
      <c r="D1868" s="22"/>
      <c r="F1868" s="114"/>
      <c r="G1868" s="114"/>
      <c r="H1868" s="114"/>
      <c r="I1868" s="114"/>
      <c r="J1868" s="114"/>
      <c r="K1868" s="114"/>
      <c r="L1868" s="114"/>
      <c r="M1868" s="114"/>
      <c r="X1868" s="56"/>
      <c r="Y1868" s="56"/>
      <c r="AA1868" s="56"/>
      <c r="AB1868" s="114"/>
    </row>
    <row r="1869">
      <c r="A1869" s="24"/>
      <c r="B1869" s="24"/>
      <c r="C1869" s="24"/>
      <c r="D1869" s="22"/>
      <c r="F1869" s="114"/>
      <c r="G1869" s="114"/>
      <c r="H1869" s="114"/>
      <c r="I1869" s="114"/>
      <c r="J1869" s="114"/>
      <c r="K1869" s="114"/>
      <c r="L1869" s="114"/>
      <c r="M1869" s="114"/>
      <c r="X1869" s="56"/>
      <c r="Y1869" s="56"/>
      <c r="AA1869" s="56"/>
      <c r="AB1869" s="114"/>
    </row>
    <row r="1870">
      <c r="A1870" s="24"/>
      <c r="B1870" s="24"/>
      <c r="C1870" s="24"/>
      <c r="D1870" s="22"/>
      <c r="F1870" s="114"/>
      <c r="G1870" s="114"/>
      <c r="H1870" s="114"/>
      <c r="I1870" s="114"/>
      <c r="J1870" s="114"/>
      <c r="K1870" s="114"/>
      <c r="L1870" s="114"/>
      <c r="M1870" s="114"/>
      <c r="X1870" s="56"/>
      <c r="Y1870" s="56"/>
      <c r="AA1870" s="56"/>
      <c r="AB1870" s="114"/>
    </row>
    <row r="1871">
      <c r="A1871" s="24"/>
      <c r="B1871" s="24"/>
      <c r="C1871" s="24"/>
      <c r="D1871" s="22"/>
      <c r="F1871" s="114"/>
      <c r="G1871" s="114"/>
      <c r="H1871" s="114"/>
      <c r="I1871" s="114"/>
      <c r="J1871" s="114"/>
      <c r="K1871" s="114"/>
      <c r="L1871" s="114"/>
      <c r="M1871" s="114"/>
      <c r="X1871" s="56"/>
      <c r="Y1871" s="56"/>
      <c r="AA1871" s="56"/>
      <c r="AB1871" s="114"/>
    </row>
    <row r="1872">
      <c r="A1872" s="24"/>
      <c r="B1872" s="24"/>
      <c r="C1872" s="24"/>
      <c r="D1872" s="22"/>
      <c r="F1872" s="114"/>
      <c r="G1872" s="114"/>
      <c r="H1872" s="114"/>
      <c r="I1872" s="114"/>
      <c r="J1872" s="114"/>
      <c r="K1872" s="114"/>
      <c r="L1872" s="114"/>
      <c r="M1872" s="114"/>
      <c r="X1872" s="56"/>
      <c r="Y1872" s="56"/>
      <c r="AA1872" s="56"/>
      <c r="AB1872" s="114"/>
    </row>
    <row r="1873">
      <c r="A1873" s="24"/>
      <c r="B1873" s="24"/>
      <c r="C1873" s="24"/>
      <c r="D1873" s="22"/>
      <c r="F1873" s="114"/>
      <c r="G1873" s="114"/>
      <c r="H1873" s="114"/>
      <c r="I1873" s="114"/>
      <c r="J1873" s="114"/>
      <c r="K1873" s="114"/>
      <c r="L1873" s="114"/>
      <c r="M1873" s="114"/>
      <c r="X1873" s="56"/>
      <c r="Y1873" s="56"/>
      <c r="AA1873" s="56"/>
      <c r="AB1873" s="114"/>
    </row>
    <row r="1874">
      <c r="A1874" s="24"/>
      <c r="B1874" s="24"/>
      <c r="C1874" s="24"/>
      <c r="D1874" s="22"/>
      <c r="F1874" s="114"/>
      <c r="G1874" s="114"/>
      <c r="H1874" s="114"/>
      <c r="I1874" s="114"/>
      <c r="J1874" s="114"/>
      <c r="K1874" s="114"/>
      <c r="L1874" s="114"/>
      <c r="M1874" s="114"/>
      <c r="X1874" s="56"/>
      <c r="Y1874" s="56"/>
      <c r="AA1874" s="56"/>
      <c r="AB1874" s="114"/>
    </row>
    <row r="1875">
      <c r="A1875" s="24"/>
      <c r="B1875" s="24"/>
      <c r="C1875" s="24"/>
      <c r="D1875" s="22"/>
      <c r="F1875" s="114"/>
      <c r="G1875" s="114"/>
      <c r="H1875" s="114"/>
      <c r="I1875" s="114"/>
      <c r="J1875" s="114"/>
      <c r="K1875" s="114"/>
      <c r="L1875" s="114"/>
      <c r="M1875" s="114"/>
      <c r="X1875" s="56"/>
      <c r="Y1875" s="56"/>
      <c r="AA1875" s="56"/>
      <c r="AB1875" s="114"/>
    </row>
    <row r="1876">
      <c r="A1876" s="24"/>
      <c r="B1876" s="24"/>
      <c r="C1876" s="24"/>
      <c r="D1876" s="22"/>
      <c r="F1876" s="114"/>
      <c r="G1876" s="114"/>
      <c r="H1876" s="114"/>
      <c r="I1876" s="114"/>
      <c r="J1876" s="114"/>
      <c r="K1876" s="114"/>
      <c r="L1876" s="114"/>
      <c r="M1876" s="114"/>
      <c r="X1876" s="56"/>
      <c r="Y1876" s="56"/>
      <c r="AA1876" s="56"/>
      <c r="AB1876" s="114"/>
    </row>
    <row r="1877">
      <c r="A1877" s="24"/>
      <c r="B1877" s="24"/>
      <c r="C1877" s="24"/>
      <c r="D1877" s="22"/>
      <c r="F1877" s="114"/>
      <c r="G1877" s="114"/>
      <c r="H1877" s="114"/>
      <c r="I1877" s="114"/>
      <c r="J1877" s="114"/>
      <c r="K1877" s="114"/>
      <c r="L1877" s="114"/>
      <c r="M1877" s="114"/>
      <c r="X1877" s="56"/>
      <c r="Y1877" s="56"/>
      <c r="AA1877" s="56"/>
      <c r="AB1877" s="114"/>
    </row>
    <row r="1878">
      <c r="A1878" s="24"/>
      <c r="B1878" s="24"/>
      <c r="C1878" s="24"/>
      <c r="D1878" s="22"/>
      <c r="F1878" s="114"/>
      <c r="G1878" s="114"/>
      <c r="H1878" s="114"/>
      <c r="I1878" s="114"/>
      <c r="J1878" s="114"/>
      <c r="K1878" s="114"/>
      <c r="L1878" s="114"/>
      <c r="M1878" s="114"/>
      <c r="X1878" s="56"/>
      <c r="Y1878" s="56"/>
      <c r="AA1878" s="56"/>
      <c r="AB1878" s="114"/>
    </row>
    <row r="1879">
      <c r="A1879" s="24"/>
      <c r="B1879" s="24"/>
      <c r="C1879" s="24"/>
      <c r="D1879" s="22"/>
      <c r="F1879" s="114"/>
      <c r="G1879" s="114"/>
      <c r="H1879" s="114"/>
      <c r="I1879" s="114"/>
      <c r="J1879" s="114"/>
      <c r="K1879" s="114"/>
      <c r="L1879" s="114"/>
      <c r="M1879" s="114"/>
      <c r="X1879" s="56"/>
      <c r="Y1879" s="56"/>
      <c r="AA1879" s="56"/>
      <c r="AB1879" s="114"/>
    </row>
    <row r="1880">
      <c r="A1880" s="24"/>
      <c r="B1880" s="24"/>
      <c r="C1880" s="24"/>
      <c r="D1880" s="22"/>
      <c r="F1880" s="114"/>
      <c r="G1880" s="114"/>
      <c r="H1880" s="114"/>
      <c r="I1880" s="114"/>
      <c r="J1880" s="114"/>
      <c r="K1880" s="114"/>
      <c r="L1880" s="114"/>
      <c r="M1880" s="114"/>
      <c r="X1880" s="56"/>
      <c r="Y1880" s="56"/>
      <c r="AA1880" s="56"/>
      <c r="AB1880" s="114"/>
    </row>
    <row r="1881">
      <c r="A1881" s="24"/>
      <c r="B1881" s="24"/>
      <c r="C1881" s="24"/>
      <c r="D1881" s="22"/>
      <c r="F1881" s="114"/>
      <c r="G1881" s="114"/>
      <c r="H1881" s="114"/>
      <c r="I1881" s="114"/>
      <c r="J1881" s="114"/>
      <c r="K1881" s="114"/>
      <c r="L1881" s="114"/>
      <c r="M1881" s="114"/>
      <c r="X1881" s="56"/>
      <c r="Y1881" s="56"/>
      <c r="AA1881" s="56"/>
      <c r="AB1881" s="114"/>
    </row>
    <row r="1882">
      <c r="A1882" s="24"/>
      <c r="B1882" s="24"/>
      <c r="C1882" s="24"/>
      <c r="D1882" s="22"/>
      <c r="F1882" s="114"/>
      <c r="G1882" s="114"/>
      <c r="H1882" s="114"/>
      <c r="I1882" s="114"/>
      <c r="J1882" s="114"/>
      <c r="K1882" s="114"/>
      <c r="L1882" s="114"/>
      <c r="M1882" s="114"/>
      <c r="X1882" s="56"/>
      <c r="Y1882" s="56"/>
      <c r="AA1882" s="56"/>
      <c r="AB1882" s="114"/>
    </row>
    <row r="1883">
      <c r="A1883" s="24"/>
      <c r="B1883" s="24"/>
      <c r="C1883" s="24"/>
      <c r="D1883" s="22"/>
      <c r="F1883" s="114"/>
      <c r="G1883" s="114"/>
      <c r="H1883" s="114"/>
      <c r="I1883" s="114"/>
      <c r="J1883" s="114"/>
      <c r="K1883" s="114"/>
      <c r="L1883" s="114"/>
      <c r="M1883" s="114"/>
      <c r="X1883" s="56"/>
      <c r="Y1883" s="56"/>
      <c r="AA1883" s="56"/>
      <c r="AB1883" s="114"/>
    </row>
    <row r="1884">
      <c r="A1884" s="24"/>
      <c r="B1884" s="24"/>
      <c r="C1884" s="24"/>
      <c r="D1884" s="22"/>
      <c r="F1884" s="114"/>
      <c r="G1884" s="114"/>
      <c r="H1884" s="114"/>
      <c r="I1884" s="114"/>
      <c r="J1884" s="114"/>
      <c r="K1884" s="114"/>
      <c r="L1884" s="114"/>
      <c r="M1884" s="114"/>
      <c r="X1884" s="56"/>
      <c r="Y1884" s="56"/>
      <c r="AA1884" s="56"/>
      <c r="AB1884" s="114"/>
    </row>
    <row r="1885">
      <c r="A1885" s="24"/>
      <c r="B1885" s="24"/>
      <c r="C1885" s="24"/>
      <c r="D1885" s="22"/>
      <c r="F1885" s="114"/>
      <c r="G1885" s="114"/>
      <c r="H1885" s="114"/>
      <c r="I1885" s="114"/>
      <c r="J1885" s="114"/>
      <c r="K1885" s="114"/>
      <c r="L1885" s="114"/>
      <c r="M1885" s="114"/>
      <c r="X1885" s="56"/>
      <c r="Y1885" s="56"/>
      <c r="AA1885" s="56"/>
      <c r="AB1885" s="114"/>
    </row>
    <row r="1886">
      <c r="A1886" s="24"/>
      <c r="B1886" s="24"/>
      <c r="C1886" s="24"/>
      <c r="D1886" s="22"/>
      <c r="F1886" s="114"/>
      <c r="G1886" s="114"/>
      <c r="H1886" s="114"/>
      <c r="I1886" s="114"/>
      <c r="J1886" s="114"/>
      <c r="K1886" s="114"/>
      <c r="L1886" s="114"/>
      <c r="M1886" s="114"/>
      <c r="X1886" s="56"/>
      <c r="Y1886" s="56"/>
      <c r="AA1886" s="56"/>
      <c r="AB1886" s="114"/>
    </row>
    <row r="1887">
      <c r="A1887" s="24"/>
      <c r="B1887" s="24"/>
      <c r="C1887" s="24"/>
      <c r="D1887" s="22"/>
      <c r="F1887" s="114"/>
      <c r="G1887" s="114"/>
      <c r="H1887" s="114"/>
      <c r="I1887" s="114"/>
      <c r="J1887" s="114"/>
      <c r="K1887" s="114"/>
      <c r="L1887" s="114"/>
      <c r="M1887" s="114"/>
      <c r="X1887" s="56"/>
      <c r="Y1887" s="56"/>
      <c r="AA1887" s="56"/>
      <c r="AB1887" s="114"/>
    </row>
    <row r="1888">
      <c r="A1888" s="24"/>
      <c r="B1888" s="24"/>
      <c r="C1888" s="24"/>
      <c r="D1888" s="22"/>
      <c r="F1888" s="114"/>
      <c r="G1888" s="114"/>
      <c r="H1888" s="114"/>
      <c r="I1888" s="114"/>
      <c r="J1888" s="114"/>
      <c r="K1888" s="114"/>
      <c r="L1888" s="114"/>
      <c r="M1888" s="114"/>
      <c r="X1888" s="56"/>
      <c r="Y1888" s="56"/>
      <c r="AA1888" s="56"/>
      <c r="AB1888" s="114"/>
    </row>
    <row r="1889">
      <c r="A1889" s="24"/>
      <c r="B1889" s="24"/>
      <c r="C1889" s="24"/>
      <c r="D1889" s="22"/>
      <c r="F1889" s="114"/>
      <c r="G1889" s="114"/>
      <c r="H1889" s="114"/>
      <c r="I1889" s="114"/>
      <c r="J1889" s="114"/>
      <c r="K1889" s="114"/>
      <c r="L1889" s="114"/>
      <c r="M1889" s="114"/>
      <c r="X1889" s="56"/>
      <c r="Y1889" s="56"/>
      <c r="AA1889" s="56"/>
      <c r="AB1889" s="114"/>
    </row>
    <row r="1890">
      <c r="A1890" s="24"/>
      <c r="B1890" s="24"/>
      <c r="C1890" s="24"/>
      <c r="D1890" s="22"/>
      <c r="F1890" s="114"/>
      <c r="G1890" s="114"/>
      <c r="H1890" s="114"/>
      <c r="I1890" s="114"/>
      <c r="J1890" s="114"/>
      <c r="K1890" s="114"/>
      <c r="L1890" s="114"/>
      <c r="M1890" s="114"/>
      <c r="X1890" s="56"/>
      <c r="Y1890" s="56"/>
      <c r="AA1890" s="56"/>
      <c r="AB1890" s="114"/>
    </row>
    <row r="1891">
      <c r="A1891" s="24"/>
      <c r="B1891" s="24"/>
      <c r="C1891" s="24"/>
      <c r="D1891" s="22"/>
      <c r="F1891" s="114"/>
      <c r="G1891" s="114"/>
      <c r="H1891" s="114"/>
      <c r="I1891" s="114"/>
      <c r="J1891" s="114"/>
      <c r="K1891" s="114"/>
      <c r="L1891" s="114"/>
      <c r="M1891" s="114"/>
      <c r="X1891" s="56"/>
      <c r="Y1891" s="56"/>
      <c r="AA1891" s="56"/>
      <c r="AB1891" s="114"/>
    </row>
    <row r="1892">
      <c r="A1892" s="24"/>
      <c r="B1892" s="24"/>
      <c r="C1892" s="24"/>
      <c r="D1892" s="22"/>
      <c r="F1892" s="114"/>
      <c r="G1892" s="114"/>
      <c r="H1892" s="114"/>
      <c r="I1892" s="114"/>
      <c r="J1892" s="114"/>
      <c r="K1892" s="114"/>
      <c r="L1892" s="114"/>
      <c r="M1892" s="114"/>
      <c r="X1892" s="56"/>
      <c r="Y1892" s="56"/>
      <c r="AA1892" s="56"/>
      <c r="AB1892" s="114"/>
    </row>
    <row r="1893">
      <c r="A1893" s="24"/>
      <c r="B1893" s="24"/>
      <c r="C1893" s="24"/>
      <c r="D1893" s="22"/>
      <c r="F1893" s="114"/>
      <c r="G1893" s="114"/>
      <c r="H1893" s="114"/>
      <c r="I1893" s="114"/>
      <c r="J1893" s="114"/>
      <c r="K1893" s="114"/>
      <c r="L1893" s="114"/>
      <c r="M1893" s="114"/>
      <c r="X1893" s="56"/>
      <c r="Y1893" s="56"/>
      <c r="AA1893" s="56"/>
      <c r="AB1893" s="114"/>
    </row>
    <row r="1894">
      <c r="A1894" s="24"/>
      <c r="B1894" s="24"/>
      <c r="C1894" s="24"/>
      <c r="D1894" s="22"/>
      <c r="F1894" s="114"/>
      <c r="G1894" s="114"/>
      <c r="H1894" s="114"/>
      <c r="I1894" s="114"/>
      <c r="J1894" s="114"/>
      <c r="K1894" s="114"/>
      <c r="L1894" s="114"/>
      <c r="M1894" s="114"/>
      <c r="X1894" s="56"/>
      <c r="Y1894" s="56"/>
      <c r="AA1894" s="56"/>
      <c r="AB1894" s="114"/>
    </row>
    <row r="1895">
      <c r="A1895" s="24"/>
      <c r="B1895" s="24"/>
      <c r="C1895" s="24"/>
      <c r="D1895" s="22"/>
      <c r="F1895" s="114"/>
      <c r="G1895" s="114"/>
      <c r="H1895" s="114"/>
      <c r="I1895" s="114"/>
      <c r="J1895" s="114"/>
      <c r="K1895" s="114"/>
      <c r="L1895" s="114"/>
      <c r="M1895" s="114"/>
      <c r="X1895" s="56"/>
      <c r="Y1895" s="56"/>
      <c r="AA1895" s="56"/>
      <c r="AB1895" s="114"/>
    </row>
    <row r="1896">
      <c r="A1896" s="24"/>
      <c r="B1896" s="24"/>
      <c r="C1896" s="24"/>
      <c r="D1896" s="22"/>
      <c r="F1896" s="114"/>
      <c r="G1896" s="114"/>
      <c r="H1896" s="114"/>
      <c r="I1896" s="114"/>
      <c r="J1896" s="114"/>
      <c r="K1896" s="114"/>
      <c r="L1896" s="114"/>
      <c r="M1896" s="114"/>
      <c r="X1896" s="56"/>
      <c r="Y1896" s="56"/>
      <c r="AA1896" s="56"/>
      <c r="AB1896" s="114"/>
    </row>
    <row r="1897">
      <c r="A1897" s="24"/>
      <c r="B1897" s="24"/>
      <c r="C1897" s="24"/>
      <c r="D1897" s="22"/>
      <c r="F1897" s="114"/>
      <c r="G1897" s="114"/>
      <c r="H1897" s="114"/>
      <c r="I1897" s="114"/>
      <c r="J1897" s="114"/>
      <c r="K1897" s="114"/>
      <c r="L1897" s="114"/>
      <c r="M1897" s="114"/>
      <c r="X1897" s="56"/>
      <c r="Y1897" s="56"/>
      <c r="AA1897" s="56"/>
      <c r="AB1897" s="114"/>
    </row>
    <row r="1898">
      <c r="A1898" s="24"/>
      <c r="B1898" s="24"/>
      <c r="C1898" s="24"/>
      <c r="D1898" s="22"/>
      <c r="F1898" s="114"/>
      <c r="G1898" s="114"/>
      <c r="H1898" s="114"/>
      <c r="I1898" s="114"/>
      <c r="J1898" s="114"/>
      <c r="K1898" s="114"/>
      <c r="L1898" s="114"/>
      <c r="M1898" s="114"/>
      <c r="X1898" s="56"/>
      <c r="Y1898" s="56"/>
      <c r="AA1898" s="56"/>
      <c r="AB1898" s="114"/>
    </row>
    <row r="1899">
      <c r="A1899" s="24"/>
      <c r="B1899" s="24"/>
      <c r="C1899" s="24"/>
      <c r="D1899" s="22"/>
      <c r="F1899" s="114"/>
      <c r="G1899" s="114"/>
      <c r="H1899" s="114"/>
      <c r="I1899" s="114"/>
      <c r="J1899" s="114"/>
      <c r="K1899" s="114"/>
      <c r="L1899" s="114"/>
      <c r="M1899" s="114"/>
      <c r="X1899" s="56"/>
      <c r="Y1899" s="56"/>
      <c r="AA1899" s="56"/>
      <c r="AB1899" s="114"/>
    </row>
    <row r="1900">
      <c r="A1900" s="24"/>
      <c r="B1900" s="24"/>
      <c r="C1900" s="24"/>
      <c r="D1900" s="22"/>
      <c r="F1900" s="114"/>
      <c r="G1900" s="114"/>
      <c r="H1900" s="114"/>
      <c r="I1900" s="114"/>
      <c r="J1900" s="114"/>
      <c r="K1900" s="114"/>
      <c r="L1900" s="114"/>
      <c r="M1900" s="114"/>
      <c r="X1900" s="56"/>
      <c r="Y1900" s="56"/>
      <c r="AA1900" s="56"/>
      <c r="AB1900" s="114"/>
    </row>
    <row r="1901">
      <c r="A1901" s="24"/>
      <c r="B1901" s="24"/>
      <c r="C1901" s="24"/>
      <c r="D1901" s="22"/>
      <c r="F1901" s="114"/>
      <c r="G1901" s="114"/>
      <c r="H1901" s="114"/>
      <c r="I1901" s="114"/>
      <c r="J1901" s="114"/>
      <c r="K1901" s="114"/>
      <c r="L1901" s="114"/>
      <c r="M1901" s="114"/>
      <c r="X1901" s="56"/>
      <c r="Y1901" s="56"/>
      <c r="AA1901" s="56"/>
      <c r="AB1901" s="114"/>
    </row>
    <row r="1902">
      <c r="A1902" s="24"/>
      <c r="B1902" s="24"/>
      <c r="C1902" s="24"/>
      <c r="D1902" s="22"/>
      <c r="F1902" s="114"/>
      <c r="G1902" s="114"/>
      <c r="H1902" s="114"/>
      <c r="I1902" s="114"/>
      <c r="J1902" s="114"/>
      <c r="K1902" s="114"/>
      <c r="L1902" s="114"/>
      <c r="M1902" s="114"/>
      <c r="X1902" s="56"/>
      <c r="Y1902" s="56"/>
      <c r="AA1902" s="56"/>
      <c r="AB1902" s="114"/>
    </row>
    <row r="1903">
      <c r="A1903" s="24"/>
      <c r="B1903" s="24"/>
      <c r="C1903" s="24"/>
      <c r="D1903" s="22"/>
      <c r="F1903" s="114"/>
      <c r="G1903" s="114"/>
      <c r="H1903" s="114"/>
      <c r="I1903" s="114"/>
      <c r="J1903" s="114"/>
      <c r="K1903" s="114"/>
      <c r="L1903" s="114"/>
      <c r="M1903" s="114"/>
      <c r="X1903" s="56"/>
      <c r="Y1903" s="56"/>
      <c r="AA1903" s="56"/>
      <c r="AB1903" s="114"/>
    </row>
    <row r="1904">
      <c r="A1904" s="24"/>
      <c r="B1904" s="24"/>
      <c r="C1904" s="24"/>
      <c r="D1904" s="22"/>
      <c r="F1904" s="114"/>
      <c r="G1904" s="114"/>
      <c r="H1904" s="114"/>
      <c r="I1904" s="114"/>
      <c r="J1904" s="114"/>
      <c r="K1904" s="114"/>
      <c r="L1904" s="114"/>
      <c r="M1904" s="114"/>
      <c r="X1904" s="56"/>
      <c r="Y1904" s="56"/>
      <c r="AA1904" s="56"/>
      <c r="AB1904" s="114"/>
    </row>
    <row r="1905">
      <c r="A1905" s="24"/>
      <c r="B1905" s="24"/>
      <c r="C1905" s="24"/>
      <c r="D1905" s="22"/>
      <c r="F1905" s="114"/>
      <c r="G1905" s="114"/>
      <c r="H1905" s="114"/>
      <c r="I1905" s="114"/>
      <c r="J1905" s="114"/>
      <c r="K1905" s="114"/>
      <c r="L1905" s="114"/>
      <c r="M1905" s="114"/>
      <c r="X1905" s="56"/>
      <c r="Y1905" s="56"/>
      <c r="AA1905" s="56"/>
      <c r="AB1905" s="114"/>
    </row>
    <row r="1906">
      <c r="A1906" s="24"/>
      <c r="B1906" s="24"/>
      <c r="C1906" s="24"/>
      <c r="D1906" s="22"/>
      <c r="F1906" s="114"/>
      <c r="G1906" s="114"/>
      <c r="H1906" s="114"/>
      <c r="I1906" s="114"/>
      <c r="J1906" s="114"/>
      <c r="K1906" s="114"/>
      <c r="L1906" s="114"/>
      <c r="M1906" s="114"/>
      <c r="X1906" s="56"/>
      <c r="Y1906" s="56"/>
      <c r="AA1906" s="56"/>
      <c r="AB1906" s="114"/>
    </row>
    <row r="1907">
      <c r="A1907" s="24"/>
      <c r="B1907" s="24"/>
      <c r="C1907" s="24"/>
      <c r="D1907" s="22"/>
      <c r="F1907" s="114"/>
      <c r="G1907" s="114"/>
      <c r="H1907" s="114"/>
      <c r="I1907" s="114"/>
      <c r="J1907" s="114"/>
      <c r="K1907" s="114"/>
      <c r="L1907" s="114"/>
      <c r="M1907" s="114"/>
      <c r="X1907" s="56"/>
      <c r="Y1907" s="56"/>
      <c r="AA1907" s="56"/>
      <c r="AB1907" s="114"/>
    </row>
    <row r="1908">
      <c r="A1908" s="24"/>
      <c r="B1908" s="24"/>
      <c r="C1908" s="24"/>
      <c r="D1908" s="22"/>
      <c r="F1908" s="114"/>
      <c r="G1908" s="114"/>
      <c r="H1908" s="114"/>
      <c r="I1908" s="114"/>
      <c r="J1908" s="114"/>
      <c r="K1908" s="114"/>
      <c r="L1908" s="114"/>
      <c r="M1908" s="114"/>
      <c r="X1908" s="56"/>
      <c r="Y1908" s="56"/>
      <c r="AA1908" s="56"/>
      <c r="AB1908" s="114"/>
    </row>
    <row r="1909">
      <c r="A1909" s="24"/>
      <c r="B1909" s="24"/>
      <c r="C1909" s="24"/>
      <c r="D1909" s="22"/>
      <c r="F1909" s="114"/>
      <c r="G1909" s="114"/>
      <c r="H1909" s="114"/>
      <c r="I1909" s="114"/>
      <c r="J1909" s="114"/>
      <c r="K1909" s="114"/>
      <c r="L1909" s="114"/>
      <c r="M1909" s="114"/>
      <c r="X1909" s="56"/>
      <c r="Y1909" s="56"/>
      <c r="AA1909" s="56"/>
      <c r="AB1909" s="114"/>
    </row>
    <row r="1910">
      <c r="A1910" s="24"/>
      <c r="B1910" s="24"/>
      <c r="C1910" s="24"/>
      <c r="D1910" s="22"/>
      <c r="F1910" s="114"/>
      <c r="G1910" s="114"/>
      <c r="H1910" s="114"/>
      <c r="I1910" s="114"/>
      <c r="J1910" s="114"/>
      <c r="K1910" s="114"/>
      <c r="L1910" s="114"/>
      <c r="M1910" s="114"/>
      <c r="X1910" s="56"/>
      <c r="Y1910" s="56"/>
      <c r="AA1910" s="56"/>
      <c r="AB1910" s="114"/>
    </row>
    <row r="1911">
      <c r="A1911" s="24"/>
      <c r="B1911" s="24"/>
      <c r="C1911" s="24"/>
      <c r="D1911" s="22"/>
      <c r="F1911" s="114"/>
      <c r="G1911" s="114"/>
      <c r="H1911" s="114"/>
      <c r="I1911" s="114"/>
      <c r="J1911" s="114"/>
      <c r="K1911" s="114"/>
      <c r="L1911" s="114"/>
      <c r="M1911" s="114"/>
      <c r="X1911" s="56"/>
      <c r="Y1911" s="56"/>
      <c r="AA1911" s="56"/>
      <c r="AB1911" s="114"/>
    </row>
    <row r="1912">
      <c r="A1912" s="24"/>
      <c r="B1912" s="24"/>
      <c r="C1912" s="24"/>
      <c r="D1912" s="22"/>
      <c r="F1912" s="114"/>
      <c r="G1912" s="114"/>
      <c r="H1912" s="114"/>
      <c r="I1912" s="114"/>
      <c r="J1912" s="114"/>
      <c r="K1912" s="114"/>
      <c r="L1912" s="114"/>
      <c r="M1912" s="114"/>
      <c r="X1912" s="56"/>
      <c r="Y1912" s="56"/>
      <c r="AA1912" s="56"/>
      <c r="AB1912" s="114"/>
    </row>
    <row r="1913">
      <c r="A1913" s="24"/>
      <c r="B1913" s="24"/>
      <c r="C1913" s="24"/>
      <c r="D1913" s="22"/>
      <c r="F1913" s="114"/>
      <c r="G1913" s="114"/>
      <c r="H1913" s="114"/>
      <c r="I1913" s="114"/>
      <c r="J1913" s="114"/>
      <c r="K1913" s="114"/>
      <c r="L1913" s="114"/>
      <c r="M1913" s="114"/>
      <c r="X1913" s="56"/>
      <c r="Y1913" s="56"/>
      <c r="AA1913" s="56"/>
      <c r="AB1913" s="114"/>
    </row>
    <row r="1914">
      <c r="A1914" s="24"/>
      <c r="B1914" s="24"/>
      <c r="C1914" s="24"/>
      <c r="D1914" s="22"/>
      <c r="F1914" s="114"/>
      <c r="G1914" s="114"/>
      <c r="H1914" s="114"/>
      <c r="I1914" s="114"/>
      <c r="J1914" s="114"/>
      <c r="K1914" s="114"/>
      <c r="L1914" s="114"/>
      <c r="M1914" s="114"/>
      <c r="X1914" s="56"/>
      <c r="Y1914" s="56"/>
      <c r="AA1914" s="56"/>
      <c r="AB1914" s="114"/>
    </row>
    <row r="1915">
      <c r="A1915" s="24"/>
      <c r="B1915" s="24"/>
      <c r="C1915" s="24"/>
      <c r="D1915" s="22"/>
      <c r="F1915" s="114"/>
      <c r="G1915" s="114"/>
      <c r="H1915" s="114"/>
      <c r="I1915" s="114"/>
      <c r="J1915" s="114"/>
      <c r="K1915" s="114"/>
      <c r="L1915" s="114"/>
      <c r="M1915" s="114"/>
      <c r="X1915" s="56"/>
      <c r="Y1915" s="56"/>
      <c r="AA1915" s="56"/>
      <c r="AB1915" s="114"/>
    </row>
    <row r="1916">
      <c r="A1916" s="24"/>
      <c r="B1916" s="24"/>
      <c r="C1916" s="24"/>
      <c r="D1916" s="22"/>
      <c r="F1916" s="114"/>
      <c r="G1916" s="114"/>
      <c r="H1916" s="114"/>
      <c r="I1916" s="114"/>
      <c r="J1916" s="114"/>
      <c r="K1916" s="114"/>
      <c r="L1916" s="114"/>
      <c r="M1916" s="114"/>
      <c r="X1916" s="56"/>
      <c r="Y1916" s="56"/>
      <c r="AA1916" s="56"/>
      <c r="AB1916" s="114"/>
    </row>
    <row r="1917">
      <c r="A1917" s="24"/>
      <c r="B1917" s="24"/>
      <c r="C1917" s="24"/>
      <c r="D1917" s="22"/>
      <c r="F1917" s="114"/>
      <c r="G1917" s="114"/>
      <c r="H1917" s="114"/>
      <c r="I1917" s="114"/>
      <c r="J1917" s="114"/>
      <c r="K1917" s="114"/>
      <c r="L1917" s="114"/>
      <c r="M1917" s="114"/>
      <c r="X1917" s="56"/>
      <c r="Y1917" s="56"/>
      <c r="AA1917" s="56"/>
      <c r="AB1917" s="114"/>
    </row>
    <row r="1918">
      <c r="A1918" s="24"/>
      <c r="B1918" s="24"/>
      <c r="C1918" s="24"/>
      <c r="D1918" s="22"/>
      <c r="F1918" s="114"/>
      <c r="G1918" s="114"/>
      <c r="H1918" s="114"/>
      <c r="I1918" s="114"/>
      <c r="J1918" s="114"/>
      <c r="K1918" s="114"/>
      <c r="L1918" s="114"/>
      <c r="M1918" s="114"/>
      <c r="X1918" s="56"/>
      <c r="Y1918" s="56"/>
      <c r="AA1918" s="56"/>
      <c r="AB1918" s="114"/>
    </row>
    <row r="1919">
      <c r="A1919" s="24"/>
      <c r="B1919" s="24"/>
      <c r="C1919" s="24"/>
      <c r="D1919" s="22"/>
      <c r="F1919" s="114"/>
      <c r="G1919" s="114"/>
      <c r="H1919" s="114"/>
      <c r="I1919" s="114"/>
      <c r="J1919" s="114"/>
      <c r="K1919" s="114"/>
      <c r="L1919" s="114"/>
      <c r="M1919" s="114"/>
      <c r="X1919" s="56"/>
      <c r="Y1919" s="56"/>
      <c r="AA1919" s="56"/>
      <c r="AB1919" s="114"/>
    </row>
    <row r="1920">
      <c r="A1920" s="24"/>
      <c r="B1920" s="24"/>
      <c r="C1920" s="24"/>
      <c r="D1920" s="22"/>
      <c r="F1920" s="114"/>
      <c r="G1920" s="114"/>
      <c r="H1920" s="114"/>
      <c r="I1920" s="114"/>
      <c r="J1920" s="114"/>
      <c r="K1920" s="114"/>
      <c r="L1920" s="114"/>
      <c r="M1920" s="114"/>
      <c r="X1920" s="56"/>
      <c r="Y1920" s="56"/>
      <c r="AA1920" s="56"/>
      <c r="AB1920" s="114"/>
    </row>
    <row r="1921">
      <c r="A1921" s="24"/>
      <c r="B1921" s="24"/>
      <c r="C1921" s="24"/>
      <c r="D1921" s="22"/>
      <c r="F1921" s="114"/>
      <c r="G1921" s="114"/>
      <c r="H1921" s="114"/>
      <c r="I1921" s="114"/>
      <c r="J1921" s="114"/>
      <c r="K1921" s="114"/>
      <c r="L1921" s="114"/>
      <c r="M1921" s="114"/>
      <c r="X1921" s="56"/>
      <c r="Y1921" s="56"/>
      <c r="AA1921" s="56"/>
      <c r="AB1921" s="114"/>
    </row>
    <row r="1922">
      <c r="A1922" s="24"/>
      <c r="B1922" s="24"/>
      <c r="C1922" s="24"/>
      <c r="D1922" s="22"/>
      <c r="F1922" s="114"/>
      <c r="G1922" s="114"/>
      <c r="H1922" s="114"/>
      <c r="I1922" s="114"/>
      <c r="J1922" s="114"/>
      <c r="K1922" s="114"/>
      <c r="L1922" s="114"/>
      <c r="M1922" s="114"/>
      <c r="X1922" s="56"/>
      <c r="Y1922" s="56"/>
      <c r="AA1922" s="56"/>
      <c r="AB1922" s="114"/>
    </row>
    <row r="1923">
      <c r="A1923" s="24"/>
      <c r="B1923" s="24"/>
      <c r="C1923" s="24"/>
      <c r="D1923" s="22"/>
      <c r="F1923" s="114"/>
      <c r="G1923" s="114"/>
      <c r="H1923" s="114"/>
      <c r="I1923" s="114"/>
      <c r="J1923" s="114"/>
      <c r="K1923" s="114"/>
      <c r="L1923" s="114"/>
      <c r="M1923" s="114"/>
      <c r="X1923" s="56"/>
      <c r="Y1923" s="56"/>
      <c r="AA1923" s="56"/>
      <c r="AB1923" s="114"/>
    </row>
    <row r="1924">
      <c r="A1924" s="24"/>
      <c r="B1924" s="24"/>
      <c r="C1924" s="24"/>
      <c r="D1924" s="22"/>
      <c r="F1924" s="114"/>
      <c r="G1924" s="114"/>
      <c r="H1924" s="114"/>
      <c r="I1924" s="114"/>
      <c r="J1924" s="114"/>
      <c r="K1924" s="114"/>
      <c r="L1924" s="114"/>
      <c r="M1924" s="114"/>
      <c r="X1924" s="56"/>
      <c r="Y1924" s="56"/>
      <c r="AA1924" s="56"/>
      <c r="AB1924" s="114"/>
    </row>
    <row r="1925">
      <c r="A1925" s="24"/>
      <c r="B1925" s="24"/>
      <c r="C1925" s="24"/>
      <c r="D1925" s="22"/>
      <c r="F1925" s="114"/>
      <c r="G1925" s="114"/>
      <c r="H1925" s="114"/>
      <c r="I1925" s="114"/>
      <c r="J1925" s="114"/>
      <c r="K1925" s="114"/>
      <c r="L1925" s="114"/>
      <c r="M1925" s="114"/>
      <c r="X1925" s="56"/>
      <c r="Y1925" s="56"/>
      <c r="AA1925" s="56"/>
      <c r="AB1925" s="114"/>
    </row>
    <row r="1926">
      <c r="A1926" s="24"/>
      <c r="B1926" s="24"/>
      <c r="C1926" s="24"/>
      <c r="D1926" s="22"/>
      <c r="F1926" s="114"/>
      <c r="G1926" s="114"/>
      <c r="H1926" s="114"/>
      <c r="I1926" s="114"/>
      <c r="J1926" s="114"/>
      <c r="K1926" s="114"/>
      <c r="L1926" s="114"/>
      <c r="M1926" s="114"/>
      <c r="X1926" s="56"/>
      <c r="Y1926" s="56"/>
      <c r="AA1926" s="56"/>
      <c r="AB1926" s="114"/>
    </row>
    <row r="1927">
      <c r="A1927" s="24"/>
      <c r="B1927" s="24"/>
      <c r="C1927" s="24"/>
      <c r="D1927" s="22"/>
      <c r="F1927" s="114"/>
      <c r="G1927" s="114"/>
      <c r="H1927" s="114"/>
      <c r="I1927" s="114"/>
      <c r="J1927" s="114"/>
      <c r="K1927" s="114"/>
      <c r="L1927" s="114"/>
      <c r="M1927" s="114"/>
      <c r="X1927" s="56"/>
      <c r="Y1927" s="56"/>
      <c r="AA1927" s="56"/>
      <c r="AB1927" s="114"/>
    </row>
    <row r="1928">
      <c r="A1928" s="24"/>
      <c r="B1928" s="24"/>
      <c r="C1928" s="24"/>
      <c r="D1928" s="22"/>
      <c r="F1928" s="114"/>
      <c r="G1928" s="114"/>
      <c r="H1928" s="114"/>
      <c r="I1928" s="114"/>
      <c r="J1928" s="114"/>
      <c r="K1928" s="114"/>
      <c r="L1928" s="114"/>
      <c r="M1928" s="114"/>
      <c r="X1928" s="56"/>
      <c r="Y1928" s="56"/>
      <c r="AA1928" s="56"/>
      <c r="AB1928" s="114"/>
    </row>
    <row r="1929">
      <c r="A1929" s="24"/>
      <c r="B1929" s="24"/>
      <c r="C1929" s="24"/>
      <c r="D1929" s="22"/>
      <c r="F1929" s="114"/>
      <c r="G1929" s="114"/>
      <c r="H1929" s="114"/>
      <c r="I1929" s="114"/>
      <c r="J1929" s="114"/>
      <c r="K1929" s="114"/>
      <c r="L1929" s="114"/>
      <c r="M1929" s="114"/>
      <c r="X1929" s="56"/>
      <c r="Y1929" s="56"/>
      <c r="AA1929" s="56"/>
      <c r="AB1929" s="114"/>
    </row>
    <row r="1930">
      <c r="A1930" s="24"/>
      <c r="B1930" s="24"/>
      <c r="C1930" s="24"/>
      <c r="D1930" s="22"/>
      <c r="F1930" s="114"/>
      <c r="G1930" s="114"/>
      <c r="H1930" s="114"/>
      <c r="I1930" s="114"/>
      <c r="J1930" s="114"/>
      <c r="K1930" s="114"/>
      <c r="L1930" s="114"/>
      <c r="M1930" s="114"/>
      <c r="X1930" s="56"/>
      <c r="Y1930" s="56"/>
      <c r="AA1930" s="56"/>
      <c r="AB1930" s="114"/>
    </row>
    <row r="1931">
      <c r="A1931" s="24"/>
      <c r="B1931" s="24"/>
      <c r="C1931" s="24"/>
      <c r="D1931" s="22"/>
      <c r="F1931" s="114"/>
      <c r="G1931" s="114"/>
      <c r="H1931" s="114"/>
      <c r="I1931" s="114"/>
      <c r="J1931" s="114"/>
      <c r="K1931" s="114"/>
      <c r="L1931" s="114"/>
      <c r="M1931" s="114"/>
      <c r="X1931" s="56"/>
      <c r="Y1931" s="56"/>
      <c r="AA1931" s="56"/>
      <c r="AB1931" s="114"/>
    </row>
    <row r="1932">
      <c r="A1932" s="24"/>
      <c r="B1932" s="24"/>
      <c r="C1932" s="24"/>
      <c r="D1932" s="22"/>
      <c r="F1932" s="114"/>
      <c r="G1932" s="114"/>
      <c r="H1932" s="114"/>
      <c r="I1932" s="114"/>
      <c r="J1932" s="114"/>
      <c r="K1932" s="114"/>
      <c r="L1932" s="114"/>
      <c r="M1932" s="114"/>
      <c r="X1932" s="56"/>
      <c r="Y1932" s="56"/>
      <c r="AA1932" s="56"/>
      <c r="AB1932" s="114"/>
    </row>
    <row r="1933">
      <c r="A1933" s="24"/>
      <c r="B1933" s="24"/>
      <c r="C1933" s="24"/>
      <c r="D1933" s="22"/>
      <c r="F1933" s="114"/>
      <c r="G1933" s="114"/>
      <c r="H1933" s="114"/>
      <c r="I1933" s="114"/>
      <c r="J1933" s="114"/>
      <c r="K1933" s="114"/>
      <c r="L1933" s="114"/>
      <c r="M1933" s="114"/>
      <c r="X1933" s="56"/>
      <c r="Y1933" s="56"/>
      <c r="AA1933" s="56"/>
      <c r="AB1933" s="114"/>
    </row>
    <row r="1934">
      <c r="A1934" s="24"/>
      <c r="B1934" s="24"/>
      <c r="C1934" s="24"/>
      <c r="D1934" s="22"/>
      <c r="F1934" s="114"/>
      <c r="G1934" s="114"/>
      <c r="H1934" s="114"/>
      <c r="I1934" s="114"/>
      <c r="J1934" s="114"/>
      <c r="K1934" s="114"/>
      <c r="L1934" s="114"/>
      <c r="M1934" s="114"/>
      <c r="X1934" s="56"/>
      <c r="Y1934" s="56"/>
      <c r="AA1934" s="56"/>
      <c r="AB1934" s="114"/>
    </row>
    <row r="1935">
      <c r="A1935" s="24"/>
      <c r="B1935" s="24"/>
      <c r="C1935" s="24"/>
      <c r="D1935" s="22"/>
      <c r="F1935" s="114"/>
      <c r="G1935" s="114"/>
      <c r="H1935" s="114"/>
      <c r="I1935" s="114"/>
      <c r="J1935" s="114"/>
      <c r="K1935" s="114"/>
      <c r="L1935" s="114"/>
      <c r="M1935" s="114"/>
      <c r="X1935" s="56"/>
      <c r="Y1935" s="56"/>
      <c r="AA1935" s="56"/>
      <c r="AB1935" s="114"/>
    </row>
    <row r="1936">
      <c r="A1936" s="24"/>
      <c r="B1936" s="24"/>
      <c r="C1936" s="24"/>
      <c r="D1936" s="22"/>
      <c r="F1936" s="114"/>
      <c r="G1936" s="114"/>
      <c r="H1936" s="114"/>
      <c r="I1936" s="114"/>
      <c r="J1936" s="114"/>
      <c r="K1936" s="114"/>
      <c r="L1936" s="114"/>
      <c r="M1936" s="114"/>
      <c r="X1936" s="56"/>
      <c r="Y1936" s="56"/>
      <c r="AA1936" s="56"/>
      <c r="AB1936" s="114"/>
    </row>
    <row r="1937">
      <c r="A1937" s="24"/>
      <c r="B1937" s="24"/>
      <c r="C1937" s="24"/>
      <c r="D1937" s="22"/>
      <c r="F1937" s="114"/>
      <c r="G1937" s="114"/>
      <c r="H1937" s="114"/>
      <c r="I1937" s="114"/>
      <c r="J1937" s="114"/>
      <c r="K1937" s="114"/>
      <c r="L1937" s="114"/>
      <c r="M1937" s="114"/>
      <c r="X1937" s="56"/>
      <c r="Y1937" s="56"/>
      <c r="AA1937" s="56"/>
      <c r="AB1937" s="114"/>
    </row>
    <row r="1938">
      <c r="A1938" s="24"/>
      <c r="B1938" s="24"/>
      <c r="C1938" s="24"/>
      <c r="D1938" s="22"/>
      <c r="F1938" s="114"/>
      <c r="G1938" s="114"/>
      <c r="H1938" s="114"/>
      <c r="I1938" s="114"/>
      <c r="J1938" s="114"/>
      <c r="K1938" s="114"/>
      <c r="L1938" s="114"/>
      <c r="M1938" s="114"/>
      <c r="X1938" s="56"/>
      <c r="Y1938" s="56"/>
      <c r="AA1938" s="56"/>
      <c r="AB1938" s="114"/>
    </row>
    <row r="1939">
      <c r="A1939" s="24"/>
      <c r="B1939" s="24"/>
      <c r="C1939" s="24"/>
      <c r="D1939" s="22"/>
      <c r="F1939" s="114"/>
      <c r="G1939" s="114"/>
      <c r="H1939" s="114"/>
      <c r="I1939" s="114"/>
      <c r="J1939" s="114"/>
      <c r="K1939" s="114"/>
      <c r="L1939" s="114"/>
      <c r="M1939" s="114"/>
      <c r="X1939" s="56"/>
      <c r="Y1939" s="56"/>
      <c r="AA1939" s="56"/>
      <c r="AB1939" s="114"/>
    </row>
    <row r="1940">
      <c r="A1940" s="24"/>
      <c r="B1940" s="24"/>
      <c r="C1940" s="24"/>
      <c r="D1940" s="22"/>
      <c r="F1940" s="114"/>
      <c r="G1940" s="114"/>
      <c r="H1940" s="114"/>
      <c r="I1940" s="114"/>
      <c r="J1940" s="114"/>
      <c r="K1940" s="114"/>
      <c r="L1940" s="114"/>
      <c r="M1940" s="114"/>
      <c r="X1940" s="56"/>
      <c r="Y1940" s="56"/>
      <c r="AA1940" s="56"/>
      <c r="AB1940" s="114"/>
    </row>
    <row r="1941">
      <c r="A1941" s="24"/>
      <c r="B1941" s="24"/>
      <c r="C1941" s="24"/>
      <c r="D1941" s="22"/>
      <c r="F1941" s="114"/>
      <c r="G1941" s="114"/>
      <c r="H1941" s="114"/>
      <c r="I1941" s="114"/>
      <c r="J1941" s="114"/>
      <c r="K1941" s="114"/>
      <c r="L1941" s="114"/>
      <c r="M1941" s="114"/>
      <c r="X1941" s="56"/>
      <c r="Y1941" s="56"/>
      <c r="AA1941" s="56"/>
      <c r="AB1941" s="114"/>
    </row>
    <row r="1942">
      <c r="A1942" s="24"/>
      <c r="B1942" s="24"/>
      <c r="C1942" s="24"/>
      <c r="D1942" s="22"/>
      <c r="F1942" s="114"/>
      <c r="G1942" s="114"/>
      <c r="H1942" s="114"/>
      <c r="I1942" s="114"/>
      <c r="J1942" s="114"/>
      <c r="K1942" s="114"/>
      <c r="L1942" s="114"/>
      <c r="M1942" s="114"/>
      <c r="X1942" s="56"/>
      <c r="Y1942" s="56"/>
      <c r="AA1942" s="56"/>
      <c r="AB1942" s="114"/>
    </row>
    <row r="1943">
      <c r="A1943" s="24"/>
      <c r="B1943" s="24"/>
      <c r="C1943" s="24"/>
      <c r="D1943" s="22"/>
      <c r="F1943" s="114"/>
      <c r="G1943" s="114"/>
      <c r="H1943" s="114"/>
      <c r="I1943" s="114"/>
      <c r="J1943" s="114"/>
      <c r="K1943" s="114"/>
      <c r="L1943" s="114"/>
      <c r="M1943" s="114"/>
      <c r="X1943" s="56"/>
      <c r="Y1943" s="56"/>
      <c r="AA1943" s="56"/>
      <c r="AB1943" s="114"/>
    </row>
    <row r="1944">
      <c r="A1944" s="24"/>
      <c r="B1944" s="24"/>
      <c r="C1944" s="24"/>
      <c r="D1944" s="22"/>
      <c r="F1944" s="114"/>
      <c r="G1944" s="114"/>
      <c r="H1944" s="114"/>
      <c r="I1944" s="114"/>
      <c r="J1944" s="114"/>
      <c r="K1944" s="114"/>
      <c r="L1944" s="114"/>
      <c r="M1944" s="114"/>
      <c r="X1944" s="56"/>
      <c r="Y1944" s="56"/>
      <c r="AA1944" s="56"/>
      <c r="AB1944" s="114"/>
    </row>
    <row r="1945">
      <c r="A1945" s="24"/>
      <c r="B1945" s="24"/>
      <c r="C1945" s="24"/>
      <c r="D1945" s="22"/>
      <c r="F1945" s="114"/>
      <c r="G1945" s="114"/>
      <c r="H1945" s="114"/>
      <c r="I1945" s="114"/>
      <c r="J1945" s="114"/>
      <c r="K1945" s="114"/>
      <c r="L1945" s="114"/>
      <c r="M1945" s="114"/>
      <c r="X1945" s="56"/>
      <c r="Y1945" s="56"/>
      <c r="AA1945" s="56"/>
      <c r="AB1945" s="114"/>
    </row>
    <row r="1946">
      <c r="A1946" s="24"/>
      <c r="B1946" s="24"/>
      <c r="C1946" s="24"/>
      <c r="D1946" s="22"/>
      <c r="F1946" s="114"/>
      <c r="G1946" s="114"/>
      <c r="H1946" s="114"/>
      <c r="I1946" s="114"/>
      <c r="J1946" s="114"/>
      <c r="K1946" s="114"/>
      <c r="L1946" s="114"/>
      <c r="M1946" s="114"/>
      <c r="X1946" s="56"/>
      <c r="Y1946" s="56"/>
      <c r="AA1946" s="56"/>
      <c r="AB1946" s="114"/>
    </row>
    <row r="1947">
      <c r="A1947" s="24"/>
      <c r="B1947" s="24"/>
      <c r="C1947" s="24"/>
      <c r="D1947" s="22"/>
      <c r="F1947" s="114"/>
      <c r="G1947" s="114"/>
      <c r="H1947" s="114"/>
      <c r="I1947" s="114"/>
      <c r="J1947" s="114"/>
      <c r="K1947" s="114"/>
      <c r="L1947" s="114"/>
      <c r="M1947" s="114"/>
      <c r="X1947" s="56"/>
      <c r="Y1947" s="56"/>
      <c r="AA1947" s="56"/>
      <c r="AB1947" s="114"/>
    </row>
    <row r="1948">
      <c r="A1948" s="24"/>
      <c r="B1948" s="24"/>
      <c r="C1948" s="24"/>
      <c r="D1948" s="22"/>
      <c r="F1948" s="114"/>
      <c r="G1948" s="114"/>
      <c r="H1948" s="114"/>
      <c r="I1948" s="114"/>
      <c r="J1948" s="114"/>
      <c r="K1948" s="114"/>
      <c r="L1948" s="114"/>
      <c r="M1948" s="114"/>
      <c r="X1948" s="56"/>
      <c r="Y1948" s="56"/>
      <c r="AA1948" s="56"/>
      <c r="AB1948" s="114"/>
    </row>
    <row r="1949">
      <c r="A1949" s="24"/>
      <c r="B1949" s="24"/>
      <c r="C1949" s="24"/>
      <c r="D1949" s="22"/>
      <c r="F1949" s="114"/>
      <c r="G1949" s="114"/>
      <c r="H1949" s="114"/>
      <c r="I1949" s="114"/>
      <c r="J1949" s="114"/>
      <c r="K1949" s="114"/>
      <c r="L1949" s="114"/>
      <c r="M1949" s="114"/>
      <c r="X1949" s="56"/>
      <c r="Y1949" s="56"/>
      <c r="AA1949" s="56"/>
      <c r="AB1949" s="114"/>
    </row>
    <row r="1950">
      <c r="A1950" s="24"/>
      <c r="B1950" s="24"/>
      <c r="C1950" s="24"/>
      <c r="D1950" s="22"/>
      <c r="F1950" s="114"/>
      <c r="G1950" s="114"/>
      <c r="H1950" s="114"/>
      <c r="I1950" s="114"/>
      <c r="J1950" s="114"/>
      <c r="K1950" s="114"/>
      <c r="L1950" s="114"/>
      <c r="M1950" s="114"/>
      <c r="X1950" s="56"/>
      <c r="Y1950" s="56"/>
      <c r="AA1950" s="56"/>
      <c r="AB1950" s="114"/>
    </row>
    <row r="1951">
      <c r="A1951" s="24"/>
      <c r="B1951" s="24"/>
      <c r="C1951" s="24"/>
      <c r="D1951" s="22"/>
      <c r="F1951" s="114"/>
      <c r="G1951" s="114"/>
      <c r="H1951" s="114"/>
      <c r="I1951" s="114"/>
      <c r="J1951" s="114"/>
      <c r="K1951" s="114"/>
      <c r="L1951" s="114"/>
      <c r="M1951" s="114"/>
      <c r="X1951" s="56"/>
      <c r="Y1951" s="56"/>
      <c r="AA1951" s="56"/>
      <c r="AB1951" s="114"/>
    </row>
    <row r="1952">
      <c r="A1952" s="24"/>
      <c r="B1952" s="24"/>
      <c r="C1952" s="24"/>
      <c r="D1952" s="22"/>
      <c r="F1952" s="114"/>
      <c r="G1952" s="114"/>
      <c r="H1952" s="114"/>
      <c r="I1952" s="114"/>
      <c r="J1952" s="114"/>
      <c r="K1952" s="114"/>
      <c r="L1952" s="114"/>
      <c r="M1952" s="114"/>
      <c r="X1952" s="56"/>
      <c r="Y1952" s="56"/>
      <c r="AA1952" s="56"/>
      <c r="AB1952" s="114"/>
    </row>
    <row r="1953">
      <c r="A1953" s="24"/>
      <c r="B1953" s="24"/>
      <c r="C1953" s="24"/>
      <c r="D1953" s="22"/>
      <c r="F1953" s="114"/>
      <c r="G1953" s="114"/>
      <c r="H1953" s="114"/>
      <c r="I1953" s="114"/>
      <c r="J1953" s="114"/>
      <c r="K1953" s="114"/>
      <c r="L1953" s="114"/>
      <c r="M1953" s="114"/>
      <c r="X1953" s="56"/>
      <c r="Y1953" s="56"/>
      <c r="AA1953" s="56"/>
      <c r="AB1953" s="114"/>
    </row>
    <row r="1954">
      <c r="A1954" s="24"/>
      <c r="B1954" s="24"/>
      <c r="C1954" s="24"/>
      <c r="D1954" s="22"/>
      <c r="F1954" s="114"/>
      <c r="G1954" s="114"/>
      <c r="H1954" s="114"/>
      <c r="I1954" s="114"/>
      <c r="J1954" s="114"/>
      <c r="K1954" s="114"/>
      <c r="L1954" s="114"/>
      <c r="M1954" s="114"/>
      <c r="X1954" s="56"/>
      <c r="Y1954" s="56"/>
      <c r="AA1954" s="56"/>
      <c r="AB1954" s="114"/>
    </row>
    <row r="1955">
      <c r="A1955" s="24"/>
      <c r="B1955" s="24"/>
      <c r="C1955" s="24"/>
      <c r="D1955" s="22"/>
      <c r="F1955" s="114"/>
      <c r="G1955" s="114"/>
      <c r="H1955" s="114"/>
      <c r="I1955" s="114"/>
      <c r="J1955" s="114"/>
      <c r="K1955" s="114"/>
      <c r="L1955" s="114"/>
      <c r="M1955" s="114"/>
      <c r="X1955" s="56"/>
      <c r="Y1955" s="56"/>
      <c r="AA1955" s="56"/>
      <c r="AB1955" s="114"/>
    </row>
    <row r="1956">
      <c r="A1956" s="24"/>
      <c r="B1956" s="24"/>
      <c r="C1956" s="24"/>
      <c r="D1956" s="22"/>
      <c r="F1956" s="114"/>
      <c r="G1956" s="114"/>
      <c r="H1956" s="114"/>
      <c r="I1956" s="114"/>
      <c r="J1956" s="114"/>
      <c r="K1956" s="114"/>
      <c r="L1956" s="114"/>
      <c r="M1956" s="114"/>
      <c r="X1956" s="56"/>
      <c r="Y1956" s="56"/>
      <c r="AA1956" s="56"/>
      <c r="AB1956" s="114"/>
    </row>
    <row r="1957">
      <c r="A1957" s="24"/>
      <c r="B1957" s="24"/>
      <c r="C1957" s="24"/>
      <c r="D1957" s="22"/>
      <c r="F1957" s="114"/>
      <c r="G1957" s="114"/>
      <c r="H1957" s="114"/>
      <c r="I1957" s="114"/>
      <c r="J1957" s="114"/>
      <c r="K1957" s="114"/>
      <c r="L1957" s="114"/>
      <c r="M1957" s="114"/>
      <c r="X1957" s="56"/>
      <c r="Y1957" s="56"/>
      <c r="AA1957" s="56"/>
      <c r="AB1957" s="114"/>
    </row>
    <row r="1958">
      <c r="A1958" s="24"/>
      <c r="B1958" s="24"/>
      <c r="C1958" s="24"/>
      <c r="D1958" s="22"/>
      <c r="F1958" s="114"/>
      <c r="G1958" s="114"/>
      <c r="H1958" s="114"/>
      <c r="I1958" s="114"/>
      <c r="J1958" s="114"/>
      <c r="K1958" s="114"/>
      <c r="L1958" s="114"/>
      <c r="M1958" s="114"/>
      <c r="X1958" s="56"/>
      <c r="Y1958" s="56"/>
      <c r="AA1958" s="56"/>
      <c r="AB1958" s="114"/>
    </row>
    <row r="1959">
      <c r="A1959" s="24"/>
      <c r="B1959" s="24"/>
      <c r="C1959" s="24"/>
      <c r="D1959" s="22"/>
      <c r="F1959" s="114"/>
      <c r="G1959" s="114"/>
      <c r="H1959" s="114"/>
      <c r="I1959" s="114"/>
      <c r="J1959" s="114"/>
      <c r="K1959" s="114"/>
      <c r="L1959" s="114"/>
      <c r="M1959" s="114"/>
      <c r="X1959" s="56"/>
      <c r="Y1959" s="56"/>
      <c r="AA1959" s="56"/>
      <c r="AB1959" s="114"/>
    </row>
    <row r="1960">
      <c r="A1960" s="24"/>
      <c r="B1960" s="24"/>
      <c r="C1960" s="24"/>
      <c r="D1960" s="22"/>
      <c r="F1960" s="114"/>
      <c r="G1960" s="114"/>
      <c r="H1960" s="114"/>
      <c r="I1960" s="114"/>
      <c r="J1960" s="114"/>
      <c r="K1960" s="114"/>
      <c r="L1960" s="114"/>
      <c r="M1960" s="114"/>
      <c r="X1960" s="56"/>
      <c r="Y1960" s="56"/>
      <c r="AA1960" s="56"/>
      <c r="AB1960" s="114"/>
    </row>
    <row r="1961">
      <c r="A1961" s="24"/>
      <c r="B1961" s="24"/>
      <c r="C1961" s="24"/>
      <c r="D1961" s="22"/>
      <c r="F1961" s="114"/>
      <c r="G1961" s="114"/>
      <c r="H1961" s="114"/>
      <c r="I1961" s="114"/>
      <c r="J1961" s="114"/>
      <c r="K1961" s="114"/>
      <c r="L1961" s="114"/>
      <c r="M1961" s="114"/>
      <c r="X1961" s="56"/>
      <c r="Y1961" s="56"/>
      <c r="AA1961" s="56"/>
      <c r="AB1961" s="114"/>
    </row>
    <row r="1962">
      <c r="A1962" s="24"/>
      <c r="B1962" s="24"/>
      <c r="C1962" s="24"/>
      <c r="D1962" s="22"/>
      <c r="F1962" s="114"/>
      <c r="G1962" s="114"/>
      <c r="H1962" s="114"/>
      <c r="I1962" s="114"/>
      <c r="J1962" s="114"/>
      <c r="K1962" s="114"/>
      <c r="L1962" s="114"/>
      <c r="M1962" s="114"/>
      <c r="X1962" s="56"/>
      <c r="Y1962" s="56"/>
      <c r="AA1962" s="56"/>
      <c r="AB1962" s="114"/>
    </row>
    <row r="1963">
      <c r="A1963" s="24"/>
      <c r="B1963" s="24"/>
      <c r="C1963" s="24"/>
      <c r="D1963" s="22"/>
      <c r="F1963" s="114"/>
      <c r="G1963" s="114"/>
      <c r="H1963" s="114"/>
      <c r="I1963" s="114"/>
      <c r="J1963" s="114"/>
      <c r="K1963" s="114"/>
      <c r="L1963" s="114"/>
      <c r="M1963" s="114"/>
      <c r="X1963" s="56"/>
      <c r="Y1963" s="56"/>
      <c r="AA1963" s="56"/>
      <c r="AB1963" s="114"/>
    </row>
    <row r="1964">
      <c r="A1964" s="24"/>
      <c r="B1964" s="24"/>
      <c r="C1964" s="24"/>
      <c r="D1964" s="22"/>
      <c r="F1964" s="114"/>
      <c r="G1964" s="114"/>
      <c r="H1964" s="114"/>
      <c r="I1964" s="114"/>
      <c r="J1964" s="114"/>
      <c r="K1964" s="114"/>
      <c r="L1964" s="114"/>
      <c r="M1964" s="114"/>
      <c r="X1964" s="56"/>
      <c r="Y1964" s="56"/>
      <c r="AA1964" s="56"/>
      <c r="AB1964" s="114"/>
    </row>
    <row r="1965">
      <c r="A1965" s="24"/>
      <c r="B1965" s="24"/>
      <c r="C1965" s="24"/>
      <c r="D1965" s="22"/>
      <c r="F1965" s="114"/>
      <c r="G1965" s="114"/>
      <c r="H1965" s="114"/>
      <c r="I1965" s="114"/>
      <c r="J1965" s="114"/>
      <c r="K1965" s="114"/>
      <c r="L1965" s="114"/>
      <c r="M1965" s="114"/>
      <c r="X1965" s="56"/>
      <c r="Y1965" s="56"/>
      <c r="AA1965" s="56"/>
      <c r="AB1965" s="114"/>
    </row>
    <row r="1966">
      <c r="A1966" s="24"/>
      <c r="B1966" s="24"/>
      <c r="C1966" s="24"/>
      <c r="D1966" s="22"/>
      <c r="F1966" s="114"/>
      <c r="G1966" s="114"/>
      <c r="H1966" s="114"/>
      <c r="I1966" s="114"/>
      <c r="J1966" s="114"/>
      <c r="K1966" s="114"/>
      <c r="L1966" s="114"/>
      <c r="M1966" s="114"/>
      <c r="X1966" s="56"/>
      <c r="Y1966" s="56"/>
      <c r="AA1966" s="56"/>
      <c r="AB1966" s="114"/>
    </row>
    <row r="1967">
      <c r="A1967" s="24"/>
      <c r="B1967" s="24"/>
      <c r="C1967" s="24"/>
      <c r="D1967" s="22"/>
      <c r="F1967" s="114"/>
      <c r="G1967" s="114"/>
      <c r="H1967" s="114"/>
      <c r="I1967" s="114"/>
      <c r="J1967" s="114"/>
      <c r="K1967" s="114"/>
      <c r="L1967" s="114"/>
      <c r="M1967" s="114"/>
      <c r="X1967" s="56"/>
      <c r="Y1967" s="56"/>
      <c r="AA1967" s="56"/>
      <c r="AB1967" s="114"/>
    </row>
    <row r="1968">
      <c r="A1968" s="24"/>
      <c r="B1968" s="24"/>
      <c r="C1968" s="24"/>
      <c r="D1968" s="22"/>
      <c r="F1968" s="114"/>
      <c r="G1968" s="114"/>
      <c r="H1968" s="114"/>
      <c r="I1968" s="114"/>
      <c r="J1968" s="114"/>
      <c r="K1968" s="114"/>
      <c r="L1968" s="114"/>
      <c r="M1968" s="114"/>
      <c r="X1968" s="56"/>
      <c r="Y1968" s="56"/>
      <c r="AA1968" s="56"/>
      <c r="AB1968" s="114"/>
    </row>
    <row r="1969">
      <c r="A1969" s="24"/>
      <c r="B1969" s="24"/>
      <c r="C1969" s="24"/>
      <c r="D1969" s="22"/>
      <c r="F1969" s="114"/>
      <c r="G1969" s="114"/>
      <c r="H1969" s="114"/>
      <c r="I1969" s="114"/>
      <c r="J1969" s="114"/>
      <c r="K1969" s="114"/>
      <c r="L1969" s="114"/>
      <c r="M1969" s="114"/>
      <c r="X1969" s="56"/>
      <c r="Y1969" s="56"/>
      <c r="AA1969" s="56"/>
      <c r="AB1969" s="114"/>
    </row>
    <row r="1970">
      <c r="A1970" s="24"/>
      <c r="B1970" s="24"/>
      <c r="C1970" s="24"/>
      <c r="D1970" s="22"/>
      <c r="F1970" s="114"/>
      <c r="G1970" s="114"/>
      <c r="H1970" s="114"/>
      <c r="I1970" s="114"/>
      <c r="J1970" s="114"/>
      <c r="K1970" s="114"/>
      <c r="L1970" s="114"/>
      <c r="M1970" s="114"/>
      <c r="X1970" s="56"/>
      <c r="Y1970" s="56"/>
      <c r="AA1970" s="56"/>
      <c r="AB1970" s="114"/>
    </row>
    <row r="1971">
      <c r="A1971" s="24"/>
      <c r="B1971" s="24"/>
      <c r="C1971" s="24"/>
      <c r="D1971" s="22"/>
      <c r="F1971" s="114"/>
      <c r="G1971" s="114"/>
      <c r="H1971" s="114"/>
      <c r="I1971" s="114"/>
      <c r="J1971" s="114"/>
      <c r="K1971" s="114"/>
      <c r="L1971" s="114"/>
      <c r="M1971" s="114"/>
      <c r="X1971" s="56"/>
      <c r="Y1971" s="56"/>
      <c r="AA1971" s="56"/>
      <c r="AB1971" s="114"/>
    </row>
    <row r="1972">
      <c r="A1972" s="24"/>
      <c r="B1972" s="24"/>
      <c r="C1972" s="24"/>
      <c r="D1972" s="22"/>
      <c r="F1972" s="114"/>
      <c r="G1972" s="114"/>
      <c r="H1972" s="114"/>
      <c r="I1972" s="114"/>
      <c r="J1972" s="114"/>
      <c r="K1972" s="114"/>
      <c r="L1972" s="114"/>
      <c r="M1972" s="114"/>
      <c r="X1972" s="56"/>
      <c r="Y1972" s="56"/>
      <c r="AA1972" s="56"/>
      <c r="AB1972" s="114"/>
    </row>
    <row r="1973">
      <c r="A1973" s="24"/>
      <c r="B1973" s="24"/>
      <c r="C1973" s="24"/>
      <c r="D1973" s="22"/>
      <c r="F1973" s="114"/>
      <c r="G1973" s="114"/>
      <c r="H1973" s="114"/>
      <c r="I1973" s="114"/>
      <c r="J1973" s="114"/>
      <c r="K1973" s="114"/>
      <c r="L1973" s="114"/>
      <c r="M1973" s="114"/>
      <c r="X1973" s="56"/>
      <c r="Y1973" s="56"/>
      <c r="AA1973" s="56"/>
      <c r="AB1973" s="114"/>
    </row>
    <row r="1974">
      <c r="A1974" s="24"/>
      <c r="B1974" s="24"/>
      <c r="C1974" s="24"/>
      <c r="D1974" s="22"/>
      <c r="F1974" s="114"/>
      <c r="G1974" s="114"/>
      <c r="H1974" s="114"/>
      <c r="I1974" s="114"/>
      <c r="J1974" s="114"/>
      <c r="K1974" s="114"/>
      <c r="L1974" s="114"/>
      <c r="M1974" s="114"/>
      <c r="X1974" s="56"/>
      <c r="Y1974" s="56"/>
      <c r="AA1974" s="56"/>
      <c r="AB1974" s="114"/>
    </row>
    <row r="1975">
      <c r="A1975" s="24"/>
      <c r="B1975" s="24"/>
      <c r="C1975" s="24"/>
      <c r="D1975" s="22"/>
      <c r="F1975" s="114"/>
      <c r="G1975" s="114"/>
      <c r="H1975" s="114"/>
      <c r="I1975" s="114"/>
      <c r="J1975" s="114"/>
      <c r="K1975" s="114"/>
      <c r="L1975" s="114"/>
      <c r="M1975" s="114"/>
      <c r="X1975" s="56"/>
      <c r="Y1975" s="56"/>
      <c r="AA1975" s="56"/>
      <c r="AB1975" s="114"/>
    </row>
    <row r="1976">
      <c r="A1976" s="24"/>
      <c r="B1976" s="24"/>
      <c r="C1976" s="24"/>
      <c r="D1976" s="22"/>
      <c r="F1976" s="114"/>
      <c r="G1976" s="114"/>
      <c r="H1976" s="114"/>
      <c r="I1976" s="114"/>
      <c r="J1976" s="114"/>
      <c r="K1976" s="114"/>
      <c r="L1976" s="114"/>
      <c r="M1976" s="114"/>
      <c r="X1976" s="56"/>
      <c r="Y1976" s="56"/>
      <c r="AA1976" s="56"/>
      <c r="AB1976" s="114"/>
    </row>
    <row r="1977">
      <c r="A1977" s="24"/>
      <c r="B1977" s="24"/>
      <c r="C1977" s="24"/>
      <c r="D1977" s="22"/>
      <c r="F1977" s="114"/>
      <c r="G1977" s="114"/>
      <c r="H1977" s="114"/>
      <c r="I1977" s="114"/>
      <c r="J1977" s="114"/>
      <c r="K1977" s="114"/>
      <c r="L1977" s="114"/>
      <c r="M1977" s="114"/>
      <c r="X1977" s="56"/>
      <c r="Y1977" s="56"/>
      <c r="AA1977" s="56"/>
      <c r="AB1977" s="114"/>
    </row>
    <row r="1978">
      <c r="A1978" s="24"/>
      <c r="B1978" s="24"/>
      <c r="C1978" s="24"/>
      <c r="D1978" s="22"/>
      <c r="F1978" s="114"/>
      <c r="G1978" s="114"/>
      <c r="H1978" s="114"/>
      <c r="I1978" s="114"/>
      <c r="J1978" s="114"/>
      <c r="K1978" s="114"/>
      <c r="L1978" s="114"/>
      <c r="M1978" s="114"/>
      <c r="X1978" s="56"/>
      <c r="Y1978" s="56"/>
      <c r="AA1978" s="56"/>
      <c r="AB1978" s="114"/>
    </row>
    <row r="1979">
      <c r="A1979" s="24"/>
      <c r="B1979" s="24"/>
      <c r="C1979" s="24"/>
      <c r="D1979" s="22"/>
      <c r="F1979" s="114"/>
      <c r="G1979" s="114"/>
      <c r="H1979" s="114"/>
      <c r="I1979" s="114"/>
      <c r="J1979" s="114"/>
      <c r="K1979" s="114"/>
      <c r="L1979" s="114"/>
      <c r="M1979" s="114"/>
      <c r="X1979" s="56"/>
      <c r="Y1979" s="56"/>
      <c r="AA1979" s="56"/>
      <c r="AB1979" s="114"/>
    </row>
    <row r="1980">
      <c r="A1980" s="24"/>
      <c r="B1980" s="24"/>
      <c r="C1980" s="24"/>
      <c r="D1980" s="22"/>
      <c r="F1980" s="114"/>
      <c r="G1980" s="114"/>
      <c r="H1980" s="114"/>
      <c r="I1980" s="114"/>
      <c r="J1980" s="114"/>
      <c r="K1980" s="114"/>
      <c r="L1980" s="114"/>
      <c r="M1980" s="114"/>
      <c r="X1980" s="56"/>
      <c r="Y1980" s="56"/>
      <c r="AA1980" s="56"/>
      <c r="AB1980" s="114"/>
    </row>
    <row r="1981">
      <c r="A1981" s="24"/>
      <c r="B1981" s="24"/>
      <c r="C1981" s="24"/>
      <c r="D1981" s="22"/>
      <c r="F1981" s="114"/>
      <c r="G1981" s="114"/>
      <c r="H1981" s="114"/>
      <c r="I1981" s="114"/>
      <c r="J1981" s="114"/>
      <c r="K1981" s="114"/>
      <c r="L1981" s="114"/>
      <c r="M1981" s="114"/>
      <c r="X1981" s="56"/>
      <c r="Y1981" s="56"/>
      <c r="AA1981" s="56"/>
      <c r="AB1981" s="114"/>
    </row>
    <row r="1982">
      <c r="A1982" s="24"/>
      <c r="B1982" s="24"/>
      <c r="C1982" s="24"/>
      <c r="D1982" s="22"/>
      <c r="F1982" s="114"/>
      <c r="G1982" s="114"/>
      <c r="H1982" s="114"/>
      <c r="I1982" s="114"/>
      <c r="J1982" s="114"/>
      <c r="K1982" s="114"/>
      <c r="L1982" s="114"/>
      <c r="M1982" s="114"/>
      <c r="X1982" s="56"/>
      <c r="Y1982" s="56"/>
      <c r="AA1982" s="56"/>
      <c r="AB1982" s="114"/>
    </row>
    <row r="1983">
      <c r="A1983" s="24"/>
      <c r="B1983" s="24"/>
      <c r="C1983" s="24"/>
      <c r="D1983" s="22"/>
      <c r="F1983" s="114"/>
      <c r="G1983" s="114"/>
      <c r="H1983" s="114"/>
      <c r="I1983" s="114"/>
      <c r="J1983" s="114"/>
      <c r="K1983" s="114"/>
      <c r="L1983" s="114"/>
      <c r="M1983" s="114"/>
      <c r="X1983" s="56"/>
      <c r="Y1983" s="56"/>
      <c r="AA1983" s="56"/>
      <c r="AB1983" s="114"/>
    </row>
    <row r="1984">
      <c r="A1984" s="24"/>
      <c r="B1984" s="24"/>
      <c r="C1984" s="24"/>
      <c r="D1984" s="22"/>
      <c r="F1984" s="114"/>
      <c r="G1984" s="114"/>
      <c r="H1984" s="114"/>
      <c r="I1984" s="114"/>
      <c r="J1984" s="114"/>
      <c r="K1984" s="114"/>
      <c r="L1984" s="114"/>
      <c r="M1984" s="114"/>
      <c r="X1984" s="56"/>
      <c r="Y1984" s="56"/>
      <c r="AA1984" s="56"/>
      <c r="AB1984" s="114"/>
    </row>
    <row r="1985">
      <c r="A1985" s="24"/>
      <c r="B1985" s="24"/>
      <c r="C1985" s="24"/>
      <c r="D1985" s="22"/>
      <c r="F1985" s="114"/>
      <c r="G1985" s="114"/>
      <c r="H1985" s="114"/>
      <c r="I1985" s="114"/>
      <c r="J1985" s="114"/>
      <c r="K1985" s="114"/>
      <c r="L1985" s="114"/>
      <c r="M1985" s="114"/>
      <c r="X1985" s="56"/>
      <c r="Y1985" s="56"/>
      <c r="AA1985" s="56"/>
      <c r="AB1985" s="114"/>
    </row>
    <row r="1986">
      <c r="A1986" s="24"/>
      <c r="B1986" s="24"/>
      <c r="C1986" s="24"/>
      <c r="D1986" s="22"/>
      <c r="F1986" s="114"/>
      <c r="G1986" s="114"/>
      <c r="H1986" s="114"/>
      <c r="I1986" s="114"/>
      <c r="J1986" s="114"/>
      <c r="K1986" s="114"/>
      <c r="L1986" s="114"/>
      <c r="M1986" s="114"/>
      <c r="X1986" s="56"/>
      <c r="Y1986" s="56"/>
      <c r="AA1986" s="56"/>
      <c r="AB1986" s="114"/>
    </row>
    <row r="1987">
      <c r="A1987" s="24"/>
      <c r="B1987" s="24"/>
      <c r="C1987" s="24"/>
      <c r="D1987" s="22"/>
      <c r="F1987" s="114"/>
      <c r="G1987" s="114"/>
      <c r="H1987" s="114"/>
      <c r="I1987" s="114"/>
      <c r="J1987" s="114"/>
      <c r="K1987" s="114"/>
      <c r="L1987" s="114"/>
      <c r="M1987" s="114"/>
      <c r="X1987" s="56"/>
      <c r="Y1987" s="56"/>
      <c r="AA1987" s="56"/>
      <c r="AB1987" s="114"/>
    </row>
    <row r="1988">
      <c r="A1988" s="24"/>
      <c r="B1988" s="24"/>
      <c r="C1988" s="24"/>
      <c r="D1988" s="22"/>
      <c r="F1988" s="114"/>
      <c r="G1988" s="114"/>
      <c r="H1988" s="114"/>
      <c r="I1988" s="114"/>
      <c r="J1988" s="114"/>
      <c r="K1988" s="114"/>
      <c r="L1988" s="114"/>
      <c r="M1988" s="114"/>
      <c r="X1988" s="56"/>
      <c r="Y1988" s="56"/>
      <c r="AA1988" s="56"/>
      <c r="AB1988" s="114"/>
    </row>
    <row r="1989">
      <c r="A1989" s="24"/>
      <c r="B1989" s="24"/>
      <c r="C1989" s="24"/>
      <c r="D1989" s="22"/>
      <c r="F1989" s="114"/>
      <c r="G1989" s="114"/>
      <c r="H1989" s="114"/>
      <c r="I1989" s="114"/>
      <c r="J1989" s="114"/>
      <c r="K1989" s="114"/>
      <c r="L1989" s="114"/>
      <c r="M1989" s="114"/>
      <c r="X1989" s="56"/>
      <c r="Y1989" s="56"/>
      <c r="AA1989" s="56"/>
      <c r="AB1989" s="114"/>
    </row>
    <row r="1990">
      <c r="A1990" s="24"/>
      <c r="B1990" s="24"/>
      <c r="C1990" s="24"/>
      <c r="D1990" s="22"/>
      <c r="F1990" s="114"/>
      <c r="G1990" s="114"/>
      <c r="H1990" s="114"/>
      <c r="I1990" s="114"/>
      <c r="J1990" s="114"/>
      <c r="K1990" s="114"/>
      <c r="L1990" s="114"/>
      <c r="M1990" s="114"/>
      <c r="X1990" s="56"/>
      <c r="Y1990" s="56"/>
      <c r="AA1990" s="56"/>
      <c r="AB1990" s="114"/>
    </row>
    <row r="1991">
      <c r="A1991" s="24"/>
      <c r="B1991" s="24"/>
      <c r="C1991" s="24"/>
      <c r="D1991" s="22"/>
      <c r="F1991" s="114"/>
      <c r="G1991" s="114"/>
      <c r="H1991" s="114"/>
      <c r="I1991" s="114"/>
      <c r="J1991" s="114"/>
      <c r="K1991" s="114"/>
      <c r="L1991" s="114"/>
      <c r="M1991" s="114"/>
      <c r="X1991" s="56"/>
      <c r="Y1991" s="56"/>
      <c r="AA1991" s="56"/>
      <c r="AB1991" s="114"/>
    </row>
    <row r="1992">
      <c r="A1992" s="24"/>
      <c r="B1992" s="24"/>
      <c r="C1992" s="24"/>
      <c r="D1992" s="22"/>
      <c r="F1992" s="114"/>
      <c r="G1992" s="114"/>
      <c r="H1992" s="114"/>
      <c r="I1992" s="114"/>
      <c r="J1992" s="114"/>
      <c r="K1992" s="114"/>
      <c r="L1992" s="114"/>
      <c r="M1992" s="114"/>
      <c r="X1992" s="56"/>
      <c r="Y1992" s="56"/>
      <c r="AA1992" s="56"/>
      <c r="AB1992" s="114"/>
    </row>
    <row r="1993">
      <c r="A1993" s="24"/>
      <c r="B1993" s="24"/>
      <c r="C1993" s="24"/>
      <c r="D1993" s="22"/>
      <c r="F1993" s="114"/>
      <c r="G1993" s="114"/>
      <c r="H1993" s="114"/>
      <c r="I1993" s="114"/>
      <c r="J1993" s="114"/>
      <c r="K1993" s="114"/>
      <c r="L1993" s="114"/>
      <c r="M1993" s="114"/>
      <c r="X1993" s="56"/>
      <c r="Y1993" s="56"/>
      <c r="AA1993" s="56"/>
      <c r="AB1993" s="114"/>
    </row>
    <row r="1994">
      <c r="A1994" s="24"/>
      <c r="B1994" s="24"/>
      <c r="C1994" s="24"/>
      <c r="D1994" s="22"/>
      <c r="F1994" s="114"/>
      <c r="G1994" s="114"/>
      <c r="H1994" s="114"/>
      <c r="I1994" s="114"/>
      <c r="J1994" s="114"/>
      <c r="K1994" s="114"/>
      <c r="L1994" s="114"/>
      <c r="M1994" s="114"/>
      <c r="X1994" s="56"/>
      <c r="Y1994" s="56"/>
      <c r="AA1994" s="56"/>
      <c r="AB1994" s="114"/>
    </row>
    <row r="1995">
      <c r="A1995" s="24"/>
      <c r="B1995" s="24"/>
      <c r="C1995" s="24"/>
      <c r="D1995" s="22"/>
      <c r="F1995" s="114"/>
      <c r="G1995" s="114"/>
      <c r="H1995" s="114"/>
      <c r="I1995" s="114"/>
      <c r="J1995" s="114"/>
      <c r="K1995" s="114"/>
      <c r="L1995" s="114"/>
      <c r="M1995" s="114"/>
      <c r="X1995" s="56"/>
      <c r="Y1995" s="56"/>
      <c r="AA1995" s="56"/>
      <c r="AB1995" s="114"/>
    </row>
    <row r="1996">
      <c r="A1996" s="24"/>
      <c r="B1996" s="24"/>
      <c r="C1996" s="24"/>
      <c r="D1996" s="22"/>
      <c r="F1996" s="114"/>
      <c r="G1996" s="114"/>
      <c r="H1996" s="114"/>
      <c r="I1996" s="114"/>
      <c r="J1996" s="114"/>
      <c r="K1996" s="114"/>
      <c r="L1996" s="114"/>
      <c r="M1996" s="114"/>
      <c r="X1996" s="56"/>
      <c r="Y1996" s="56"/>
      <c r="AA1996" s="56"/>
      <c r="AB1996" s="114"/>
    </row>
    <row r="1997">
      <c r="A1997" s="24"/>
      <c r="B1997" s="24"/>
      <c r="C1997" s="24"/>
      <c r="D1997" s="22"/>
      <c r="F1997" s="114"/>
      <c r="G1997" s="114"/>
      <c r="H1997" s="114"/>
      <c r="I1997" s="114"/>
      <c r="J1997" s="114"/>
      <c r="K1997" s="114"/>
      <c r="L1997" s="114"/>
      <c r="M1997" s="114"/>
      <c r="X1997" s="56"/>
      <c r="Y1997" s="56"/>
      <c r="AA1997" s="56"/>
      <c r="AB1997" s="114"/>
    </row>
    <row r="1998">
      <c r="A1998" s="24"/>
      <c r="B1998" s="24"/>
      <c r="C1998" s="24"/>
      <c r="D1998" s="22"/>
      <c r="F1998" s="114"/>
      <c r="G1998" s="114"/>
      <c r="H1998" s="114"/>
      <c r="I1998" s="114"/>
      <c r="J1998" s="114"/>
      <c r="K1998" s="114"/>
      <c r="L1998" s="114"/>
      <c r="M1998" s="114"/>
      <c r="X1998" s="56"/>
      <c r="Y1998" s="56"/>
      <c r="AA1998" s="56"/>
      <c r="AB1998" s="114"/>
    </row>
    <row r="1999">
      <c r="A1999" s="24"/>
      <c r="B1999" s="24"/>
      <c r="C1999" s="24"/>
      <c r="D1999" s="22"/>
      <c r="F1999" s="114"/>
      <c r="G1999" s="114"/>
      <c r="H1999" s="114"/>
      <c r="I1999" s="114"/>
      <c r="J1999" s="114"/>
      <c r="K1999" s="114"/>
      <c r="L1999" s="114"/>
      <c r="M1999" s="114"/>
      <c r="X1999" s="56"/>
      <c r="Y1999" s="56"/>
      <c r="AA1999" s="56"/>
      <c r="AB1999" s="114"/>
    </row>
    <row r="2000">
      <c r="A2000" s="24"/>
      <c r="B2000" s="24"/>
      <c r="C2000" s="24"/>
      <c r="D2000" s="22"/>
      <c r="F2000" s="114"/>
      <c r="G2000" s="114"/>
      <c r="H2000" s="114"/>
      <c r="I2000" s="114"/>
      <c r="J2000" s="114"/>
      <c r="K2000" s="114"/>
      <c r="L2000" s="114"/>
      <c r="M2000" s="114"/>
      <c r="X2000" s="56"/>
      <c r="Y2000" s="56"/>
      <c r="AA2000" s="56"/>
      <c r="AB2000" s="114"/>
    </row>
    <row r="2001">
      <c r="A2001" s="24"/>
      <c r="B2001" s="24"/>
      <c r="C2001" s="24"/>
      <c r="D2001" s="22"/>
      <c r="F2001" s="114"/>
      <c r="G2001" s="114"/>
      <c r="H2001" s="114"/>
      <c r="I2001" s="114"/>
      <c r="J2001" s="114"/>
      <c r="K2001" s="114"/>
      <c r="L2001" s="114"/>
      <c r="M2001" s="114"/>
      <c r="X2001" s="56"/>
      <c r="Y2001" s="56"/>
      <c r="AA2001" s="56"/>
      <c r="AB2001" s="114"/>
    </row>
    <row r="2002">
      <c r="A2002" s="24"/>
      <c r="B2002" s="24"/>
      <c r="C2002" s="24"/>
      <c r="D2002" s="22"/>
      <c r="F2002" s="114"/>
      <c r="G2002" s="114"/>
      <c r="H2002" s="114"/>
      <c r="I2002" s="114"/>
      <c r="J2002" s="114"/>
      <c r="K2002" s="114"/>
      <c r="L2002" s="114"/>
      <c r="M2002" s="114"/>
      <c r="X2002" s="56"/>
      <c r="Y2002" s="56"/>
      <c r="AA2002" s="56"/>
      <c r="AB2002" s="114"/>
    </row>
    <row r="2003">
      <c r="A2003" s="24"/>
      <c r="B2003" s="24"/>
      <c r="C2003" s="24"/>
      <c r="D2003" s="22"/>
      <c r="F2003" s="114"/>
      <c r="G2003" s="114"/>
      <c r="H2003" s="114"/>
      <c r="I2003" s="114"/>
      <c r="J2003" s="114"/>
      <c r="K2003" s="114"/>
      <c r="L2003" s="114"/>
      <c r="M2003" s="114"/>
      <c r="X2003" s="56"/>
      <c r="Y2003" s="56"/>
      <c r="AA2003" s="56"/>
      <c r="AB2003" s="11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6.25"/>
    <col customWidth="1" min="5" max="5" width="23.13"/>
    <col customWidth="1" min="6" max="6" width="24.75"/>
    <col customWidth="1" min="7" max="7" width="27.63"/>
    <col customWidth="1" min="8" max="8" width="25.13"/>
  </cols>
  <sheetData>
    <row r="1">
      <c r="A1" s="115" t="s">
        <v>551</v>
      </c>
      <c r="B1" s="115" t="s">
        <v>551</v>
      </c>
      <c r="C1" s="58" t="s">
        <v>4103</v>
      </c>
      <c r="D1" s="116" t="s">
        <v>4104</v>
      </c>
      <c r="E1" s="117" t="s">
        <v>4105</v>
      </c>
      <c r="F1" s="118" t="s">
        <v>4104</v>
      </c>
      <c r="G1" s="58" t="s">
        <v>4106</v>
      </c>
      <c r="H1" s="58" t="s">
        <v>4106</v>
      </c>
      <c r="I1" s="58" t="s">
        <v>3795</v>
      </c>
    </row>
    <row r="2">
      <c r="A2" s="119" t="s">
        <v>4107</v>
      </c>
      <c r="B2" s="119" t="s">
        <v>4107</v>
      </c>
      <c r="C2" s="120" t="s">
        <v>4108</v>
      </c>
      <c r="D2" s="121" t="s">
        <v>4109</v>
      </c>
      <c r="E2" s="122" t="s">
        <v>4110</v>
      </c>
      <c r="F2" s="123" t="s">
        <v>4109</v>
      </c>
      <c r="G2" s="124" t="s">
        <v>4111</v>
      </c>
      <c r="H2" s="120" t="s">
        <v>4112</v>
      </c>
      <c r="I2" s="124" t="s">
        <v>4113</v>
      </c>
      <c r="J2" s="72"/>
      <c r="K2" s="72"/>
      <c r="L2" s="72"/>
      <c r="M2" s="72"/>
      <c r="N2" s="72"/>
      <c r="O2" s="72"/>
    </row>
    <row r="3">
      <c r="A3" s="125" t="s">
        <v>514</v>
      </c>
      <c r="B3" s="125" t="s">
        <v>4114</v>
      </c>
      <c r="C3" s="64" t="s">
        <v>4115</v>
      </c>
      <c r="D3" s="126" t="s">
        <v>4116</v>
      </c>
      <c r="E3" s="127" t="s">
        <v>4117</v>
      </c>
      <c r="F3" s="128" t="s">
        <v>4118</v>
      </c>
      <c r="G3" s="64" t="s">
        <v>4119</v>
      </c>
      <c r="H3" s="64" t="s">
        <v>4120</v>
      </c>
      <c r="I3" s="64" t="s">
        <v>4121</v>
      </c>
      <c r="J3" s="10"/>
      <c r="K3" s="10"/>
      <c r="L3" s="10"/>
      <c r="M3" s="10"/>
      <c r="N3" s="10"/>
      <c r="O3" s="10"/>
    </row>
    <row r="4" ht="20.25" customHeight="1">
      <c r="A4" s="119">
        <v>40.0</v>
      </c>
      <c r="B4" s="119">
        <v>96.0</v>
      </c>
      <c r="C4" s="129">
        <v>15298.0</v>
      </c>
      <c r="D4" s="129">
        <v>-6789.0</v>
      </c>
      <c r="E4" s="130">
        <v>707294.0</v>
      </c>
      <c r="F4" s="131">
        <v>306.0</v>
      </c>
      <c r="G4" s="132">
        <v>98330.92</v>
      </c>
      <c r="H4" s="133">
        <v>59.32</v>
      </c>
      <c r="I4" s="24" t="s">
        <v>4122</v>
      </c>
    </row>
    <row r="5">
      <c r="A5" s="119">
        <v>81.0</v>
      </c>
      <c r="B5" s="119">
        <v>93.0</v>
      </c>
      <c r="C5" s="129">
        <v>23725.0</v>
      </c>
      <c r="D5" s="129">
        <v>-28.0</v>
      </c>
      <c r="E5" s="130">
        <v>-7240.0</v>
      </c>
      <c r="F5" s="131">
        <v>39.0</v>
      </c>
      <c r="G5" s="132">
        <v>13117.2</v>
      </c>
      <c r="H5" s="133">
        <v>450.37</v>
      </c>
      <c r="I5" s="24" t="s">
        <v>4123</v>
      </c>
    </row>
    <row r="6">
      <c r="A6" s="119">
        <v>81.0</v>
      </c>
      <c r="B6" s="119">
        <v>97.0</v>
      </c>
      <c r="C6" s="129">
        <v>52259.0</v>
      </c>
      <c r="D6" s="129">
        <v>3773.0</v>
      </c>
      <c r="E6" s="130">
        <v>694621.0</v>
      </c>
      <c r="F6" s="131">
        <v>499.0</v>
      </c>
      <c r="G6" s="132">
        <v>2227.34</v>
      </c>
      <c r="H6" s="133">
        <v>-3713.28</v>
      </c>
      <c r="I6" s="24" t="s">
        <v>4124</v>
      </c>
    </row>
    <row r="7">
      <c r="A7" s="119">
        <v>41.0</v>
      </c>
      <c r="B7" s="119">
        <v>4.0</v>
      </c>
      <c r="C7" s="129">
        <v>69556.0</v>
      </c>
      <c r="D7" s="129">
        <v>-8469.0</v>
      </c>
      <c r="E7" s="130">
        <v>-58.0</v>
      </c>
      <c r="F7" s="131">
        <v>186.0</v>
      </c>
      <c r="G7" s="132">
        <v>-6627.51</v>
      </c>
      <c r="H7" s="133">
        <v>38344.94</v>
      </c>
      <c r="I7" s="24" t="s">
        <v>4125</v>
      </c>
    </row>
    <row r="8">
      <c r="A8" s="119">
        <v>61.0</v>
      </c>
      <c r="B8" s="119">
        <v>53.0</v>
      </c>
      <c r="C8" s="129">
        <v>38732.0</v>
      </c>
      <c r="D8" s="129">
        <v>12.0</v>
      </c>
      <c r="E8" s="130">
        <v>17705.0</v>
      </c>
      <c r="F8" s="131">
        <v>60.0</v>
      </c>
      <c r="G8" s="132">
        <v>16.97</v>
      </c>
      <c r="H8" s="133">
        <v>-94.77</v>
      </c>
      <c r="I8" s="24" t="s">
        <v>4126</v>
      </c>
    </row>
    <row r="9">
      <c r="A9" s="119">
        <v>20.0</v>
      </c>
      <c r="B9" s="119">
        <v>59.0</v>
      </c>
      <c r="C9" s="129">
        <v>38966.0</v>
      </c>
      <c r="D9" s="129">
        <v>7810.0</v>
      </c>
      <c r="E9" s="130">
        <v>839.0</v>
      </c>
      <c r="F9" s="131">
        <v>64.0</v>
      </c>
      <c r="G9" s="132">
        <v>3865.98</v>
      </c>
      <c r="H9" s="133">
        <v>472.19</v>
      </c>
      <c r="I9" s="24" t="s">
        <v>4127</v>
      </c>
    </row>
    <row r="10">
      <c r="A10" s="119">
        <v>41.0</v>
      </c>
      <c r="B10" s="119">
        <v>11.0</v>
      </c>
      <c r="C10" s="129">
        <v>66076.0</v>
      </c>
      <c r="D10" s="129">
        <v>-41676.0</v>
      </c>
      <c r="E10" s="130">
        <v>30.0</v>
      </c>
      <c r="F10" s="131">
        <v>52001.0</v>
      </c>
      <c r="G10" s="132">
        <v>4561.9</v>
      </c>
      <c r="H10" s="133">
        <v>358.99</v>
      </c>
      <c r="I10" s="24" t="s">
        <v>4128</v>
      </c>
    </row>
    <row r="11">
      <c r="A11" s="119">
        <v>61.0</v>
      </c>
      <c r="B11" s="119">
        <v>66.0</v>
      </c>
      <c r="C11" s="129">
        <v>16541.0</v>
      </c>
      <c r="D11" s="129">
        <v>50.0</v>
      </c>
      <c r="E11" s="130">
        <v>55941.0</v>
      </c>
      <c r="F11" s="131">
        <v>29.0</v>
      </c>
      <c r="G11" s="132">
        <v>-6476.61</v>
      </c>
      <c r="H11" s="133">
        <v>24501.91</v>
      </c>
      <c r="I11" s="24" t="s">
        <v>4129</v>
      </c>
    </row>
    <row r="12">
      <c r="A12" s="119">
        <v>82.0</v>
      </c>
      <c r="B12" s="119">
        <v>16.0</v>
      </c>
      <c r="C12" s="129">
        <v>19597.0</v>
      </c>
      <c r="D12" s="129">
        <v>-179.0</v>
      </c>
      <c r="E12" s="130">
        <v>-35608.0</v>
      </c>
      <c r="F12" s="131">
        <v>-82521.0</v>
      </c>
      <c r="G12" s="132">
        <v>68.7</v>
      </c>
      <c r="H12" s="133">
        <v>37663.72</v>
      </c>
      <c r="I12" s="24" t="s">
        <v>4130</v>
      </c>
    </row>
    <row r="13">
      <c r="A13" s="119">
        <v>20.0</v>
      </c>
      <c r="B13" s="119">
        <v>75.0</v>
      </c>
      <c r="C13" s="129">
        <v>86907.0</v>
      </c>
      <c r="D13" s="129">
        <v>6376.0</v>
      </c>
      <c r="E13" s="130">
        <v>-33512.0</v>
      </c>
      <c r="F13" s="131">
        <v>3692.0</v>
      </c>
      <c r="G13" s="132">
        <v>62210.96</v>
      </c>
      <c r="H13" s="133">
        <v>-514.97</v>
      </c>
      <c r="I13" s="24" t="s">
        <v>4131</v>
      </c>
    </row>
    <row r="14">
      <c r="A14" s="119">
        <v>41.0</v>
      </c>
      <c r="B14" s="119">
        <v>24.0</v>
      </c>
      <c r="C14" s="129">
        <v>3386.0</v>
      </c>
      <c r="D14" s="129">
        <v>936.0</v>
      </c>
      <c r="E14" s="130">
        <v>10.0</v>
      </c>
      <c r="F14" s="131">
        <v>3990.0</v>
      </c>
      <c r="G14" s="132">
        <v>6994.23</v>
      </c>
      <c r="H14" s="133">
        <v>563.47</v>
      </c>
      <c r="I14" s="24" t="s">
        <v>4132</v>
      </c>
    </row>
    <row r="15">
      <c r="A15" s="119">
        <v>41.0</v>
      </c>
      <c r="B15" s="119">
        <v>26.0</v>
      </c>
      <c r="C15" s="129">
        <v>75552.0</v>
      </c>
      <c r="D15" s="129">
        <v>-79700.0</v>
      </c>
      <c r="E15" s="130">
        <v>369957.0</v>
      </c>
      <c r="F15" s="131">
        <v>5554.0</v>
      </c>
      <c r="G15" s="132">
        <v>825.45</v>
      </c>
      <c r="H15" s="133">
        <v>-522.58</v>
      </c>
      <c r="I15" s="24" t="s">
        <v>4133</v>
      </c>
    </row>
    <row r="16">
      <c r="A16" s="119">
        <v>41.0</v>
      </c>
      <c r="B16" s="119">
        <v>27.0</v>
      </c>
      <c r="C16" s="129">
        <v>19098.0</v>
      </c>
      <c r="D16" s="129">
        <v>64.0</v>
      </c>
      <c r="E16" s="130">
        <v>-167.0</v>
      </c>
      <c r="F16" s="131">
        <v>7107.0</v>
      </c>
      <c r="G16" s="132">
        <v>-72.94</v>
      </c>
      <c r="H16" s="133">
        <v>-667.18</v>
      </c>
      <c r="I16" s="24" t="s">
        <v>4134</v>
      </c>
    </row>
    <row r="17">
      <c r="A17" s="119">
        <v>61.0</v>
      </c>
      <c r="B17" s="119">
        <v>76.0</v>
      </c>
      <c r="C17" s="129">
        <v>8389.0</v>
      </c>
      <c r="D17" s="129">
        <v>68.0</v>
      </c>
      <c r="E17" s="130">
        <v>-240.0</v>
      </c>
      <c r="F17" s="131">
        <v>121.0</v>
      </c>
      <c r="G17" s="132">
        <v>-47.17</v>
      </c>
      <c r="H17" s="133">
        <v>591.97</v>
      </c>
      <c r="I17" s="24" t="s">
        <v>4135</v>
      </c>
    </row>
    <row r="18">
      <c r="A18" s="119">
        <v>41.0</v>
      </c>
      <c r="B18" s="119">
        <v>36.0</v>
      </c>
      <c r="C18" s="129">
        <v>77001.0</v>
      </c>
      <c r="D18" s="129">
        <v>6331.0</v>
      </c>
      <c r="E18" s="130">
        <v>9946.0</v>
      </c>
      <c r="F18" s="131">
        <v>23443.0</v>
      </c>
      <c r="G18" s="132">
        <v>85.12</v>
      </c>
      <c r="H18" s="133">
        <v>6573.85</v>
      </c>
      <c r="I18" s="24" t="s">
        <v>4136</v>
      </c>
    </row>
    <row r="19">
      <c r="A19" s="119">
        <v>82.0</v>
      </c>
      <c r="B19" s="119">
        <v>33.0</v>
      </c>
      <c r="C19" s="129">
        <v>78781.0</v>
      </c>
      <c r="D19" s="129">
        <v>3637.0</v>
      </c>
      <c r="E19" s="130">
        <v>-83683.0</v>
      </c>
      <c r="F19" s="131">
        <v>66286.0</v>
      </c>
      <c r="G19" s="132">
        <v>15016.1</v>
      </c>
      <c r="H19" s="133">
        <v>14.95</v>
      </c>
      <c r="I19" s="24" t="s">
        <v>4137</v>
      </c>
    </row>
    <row r="20">
      <c r="A20" s="119">
        <v>41.0</v>
      </c>
      <c r="B20" s="119">
        <v>39.0</v>
      </c>
      <c r="C20" s="129">
        <v>51738.0</v>
      </c>
      <c r="D20" s="129">
        <v>70438.0</v>
      </c>
      <c r="E20" s="130">
        <v>84233.0</v>
      </c>
      <c r="F20" s="131">
        <v>30974.0</v>
      </c>
      <c r="G20" s="132">
        <v>88.25</v>
      </c>
      <c r="H20" s="133">
        <v>51567.72</v>
      </c>
      <c r="I20" s="24" t="s">
        <v>4138</v>
      </c>
    </row>
    <row r="21">
      <c r="A21" s="119">
        <v>82.0</v>
      </c>
      <c r="B21" s="119">
        <v>36.0</v>
      </c>
      <c r="C21" s="129">
        <v>60560.0</v>
      </c>
      <c r="D21" s="129">
        <v>39.0</v>
      </c>
      <c r="E21" s="130">
        <v>4630.0</v>
      </c>
      <c r="F21" s="131">
        <v>4469.0</v>
      </c>
      <c r="G21" s="132">
        <v>37810.51</v>
      </c>
      <c r="H21" s="133">
        <v>12396.83</v>
      </c>
      <c r="I21" s="24" t="s">
        <v>4139</v>
      </c>
    </row>
    <row r="22">
      <c r="A22" s="119">
        <v>41.0</v>
      </c>
      <c r="B22" s="119">
        <v>43.0</v>
      </c>
      <c r="C22" s="129">
        <v>17844.0</v>
      </c>
      <c r="D22" s="129">
        <v>9102.0</v>
      </c>
      <c r="E22" s="130">
        <v>-78494.0</v>
      </c>
      <c r="F22" s="131">
        <v>-3697.0</v>
      </c>
      <c r="G22" s="132">
        <v>30.44</v>
      </c>
      <c r="H22" s="133">
        <v>253.7</v>
      </c>
      <c r="I22" s="24" t="s">
        <v>4140</v>
      </c>
    </row>
    <row r="23">
      <c r="A23" s="119">
        <v>20.0</v>
      </c>
      <c r="B23" s="119">
        <v>96.0</v>
      </c>
      <c r="C23" s="129">
        <v>57247.0</v>
      </c>
      <c r="D23" s="129">
        <v>-77662.0</v>
      </c>
      <c r="E23" s="130">
        <v>-132.0</v>
      </c>
      <c r="F23" s="131">
        <v>496.0</v>
      </c>
      <c r="G23" s="132">
        <v>-80.75</v>
      </c>
      <c r="H23" s="133">
        <v>7841.1</v>
      </c>
      <c r="I23" s="24" t="s">
        <v>4141</v>
      </c>
    </row>
    <row r="24">
      <c r="A24" s="119">
        <v>82.0</v>
      </c>
      <c r="B24" s="119">
        <v>42.0</v>
      </c>
      <c r="C24" s="129">
        <v>61116.0</v>
      </c>
      <c r="D24" s="129">
        <v>20.0</v>
      </c>
      <c r="E24" s="130">
        <v>232.0</v>
      </c>
      <c r="F24" s="131">
        <v>4622.0</v>
      </c>
      <c r="G24" s="132">
        <v>-2351.87</v>
      </c>
      <c r="H24" s="133">
        <v>25.75</v>
      </c>
      <c r="I24" s="24" t="s">
        <v>4142</v>
      </c>
    </row>
    <row r="25">
      <c r="A25" s="119">
        <v>82.0</v>
      </c>
      <c r="B25" s="119">
        <v>44.0</v>
      </c>
      <c r="C25" s="129">
        <v>34397.0</v>
      </c>
      <c r="D25" s="129">
        <v>69256.0</v>
      </c>
      <c r="E25" s="130">
        <v>168541.0</v>
      </c>
      <c r="F25" s="131">
        <v>34416.0</v>
      </c>
      <c r="G25" s="132">
        <v>66653.72</v>
      </c>
      <c r="H25" s="133">
        <v>-71403.46</v>
      </c>
      <c r="I25" s="24" t="s">
        <v>4143</v>
      </c>
    </row>
    <row r="26">
      <c r="A26" s="119">
        <v>21.0</v>
      </c>
      <c r="B26" s="119">
        <v>0.0</v>
      </c>
      <c r="C26" s="129">
        <v>2308.0</v>
      </c>
      <c r="D26" s="129">
        <v>80788.0</v>
      </c>
      <c r="E26" s="130">
        <v>85848.0</v>
      </c>
      <c r="F26" s="131">
        <v>-264.0</v>
      </c>
      <c r="G26" s="132">
        <v>-30.44</v>
      </c>
      <c r="H26" s="133">
        <v>78855.75</v>
      </c>
      <c r="I26" s="24" t="s">
        <v>4144</v>
      </c>
    </row>
    <row r="27">
      <c r="A27" s="119">
        <v>62.0</v>
      </c>
      <c r="B27" s="119">
        <v>1.0</v>
      </c>
      <c r="C27" s="129">
        <v>75291.0</v>
      </c>
      <c r="D27" s="129">
        <v>3188.0</v>
      </c>
      <c r="E27" s="130">
        <v>64422.0</v>
      </c>
      <c r="F27" s="131">
        <v>396.0</v>
      </c>
      <c r="G27" s="132">
        <v>-811.33</v>
      </c>
      <c r="H27" s="133">
        <v>36.0</v>
      </c>
      <c r="I27" s="24" t="s">
        <v>4145</v>
      </c>
    </row>
    <row r="28">
      <c r="A28" s="119">
        <v>62.0</v>
      </c>
      <c r="B28" s="119">
        <v>2.0</v>
      </c>
      <c r="C28" s="129">
        <v>61876.0</v>
      </c>
      <c r="D28" s="129">
        <v>6157.0</v>
      </c>
      <c r="E28" s="130">
        <v>300.0</v>
      </c>
      <c r="F28" s="131">
        <v>27.0</v>
      </c>
      <c r="G28" s="132">
        <v>8182.2</v>
      </c>
      <c r="H28" s="133">
        <v>590.38</v>
      </c>
      <c r="I28" s="24" t="s">
        <v>4146</v>
      </c>
    </row>
    <row r="29">
      <c r="A29" s="119">
        <v>41.0</v>
      </c>
      <c r="B29" s="119">
        <v>55.0</v>
      </c>
      <c r="C29" s="129">
        <v>26284.0</v>
      </c>
      <c r="D29" s="129">
        <v>-32586.0</v>
      </c>
      <c r="E29" s="130">
        <v>9025.0</v>
      </c>
      <c r="F29" s="131">
        <v>-797.0</v>
      </c>
      <c r="G29" s="132">
        <v>46.96</v>
      </c>
      <c r="H29" s="133">
        <v>58540.44</v>
      </c>
      <c r="I29" s="24" t="s">
        <v>4147</v>
      </c>
    </row>
    <row r="30">
      <c r="A30" s="119">
        <v>21.0</v>
      </c>
      <c r="B30" s="119">
        <v>9.0</v>
      </c>
      <c r="C30" s="129">
        <v>39369.0</v>
      </c>
      <c r="D30" s="129">
        <v>45177.0</v>
      </c>
      <c r="E30" s="130">
        <v>35973.0</v>
      </c>
      <c r="F30" s="131">
        <v>7041.0</v>
      </c>
      <c r="G30" s="132">
        <v>7414.23</v>
      </c>
      <c r="H30" s="133">
        <v>97469.82</v>
      </c>
      <c r="I30" s="24" t="s">
        <v>4148</v>
      </c>
    </row>
    <row r="31">
      <c r="A31" s="119">
        <v>82.0</v>
      </c>
      <c r="B31" s="119">
        <v>56.0</v>
      </c>
      <c r="C31" s="129">
        <v>6697.0</v>
      </c>
      <c r="D31" s="129">
        <v>-65.0</v>
      </c>
      <c r="E31" s="130">
        <v>236314.0</v>
      </c>
      <c r="F31" s="131">
        <v>-831.0</v>
      </c>
      <c r="G31" s="132">
        <v>588.85</v>
      </c>
      <c r="H31" s="133">
        <v>6648.44</v>
      </c>
      <c r="I31" s="24" t="s">
        <v>4149</v>
      </c>
    </row>
    <row r="32">
      <c r="A32" s="119">
        <v>82.0</v>
      </c>
      <c r="B32" s="119">
        <v>57.0</v>
      </c>
      <c r="C32" s="129">
        <v>17296.0</v>
      </c>
      <c r="D32" s="129">
        <v>82.0</v>
      </c>
      <c r="E32" s="130">
        <v>21737.0</v>
      </c>
      <c r="F32" s="131">
        <v>-62204.0</v>
      </c>
      <c r="G32" s="132">
        <v>65.42</v>
      </c>
      <c r="H32" s="133">
        <v>-82305.21</v>
      </c>
      <c r="I32" s="24" t="s">
        <v>4150</v>
      </c>
    </row>
    <row r="33">
      <c r="A33" s="119">
        <v>62.0</v>
      </c>
      <c r="B33" s="119">
        <v>10.0</v>
      </c>
      <c r="C33" s="129">
        <v>9380.0</v>
      </c>
      <c r="D33" s="129">
        <v>37.0</v>
      </c>
      <c r="E33" s="130">
        <v>833.0</v>
      </c>
      <c r="F33" s="131">
        <v>-2638.0</v>
      </c>
      <c r="G33" s="132">
        <v>4564.7</v>
      </c>
      <c r="H33" s="133">
        <v>67689.24</v>
      </c>
      <c r="I33" s="24" t="s">
        <v>4151</v>
      </c>
    </row>
    <row r="34">
      <c r="A34" s="119">
        <v>41.0</v>
      </c>
      <c r="B34" s="119">
        <v>63.0</v>
      </c>
      <c r="C34" s="129">
        <v>67775.0</v>
      </c>
      <c r="D34" s="129">
        <v>67254.0</v>
      </c>
      <c r="E34" s="130">
        <v>74321.0</v>
      </c>
      <c r="F34" s="131">
        <v>-12.0</v>
      </c>
      <c r="G34" s="132">
        <v>68848.38</v>
      </c>
      <c r="H34" s="133">
        <v>46.44</v>
      </c>
      <c r="I34" s="24" t="s">
        <v>4152</v>
      </c>
    </row>
    <row r="35">
      <c r="A35" s="119">
        <v>21.0</v>
      </c>
      <c r="B35" s="119">
        <v>20.0</v>
      </c>
      <c r="C35" s="129">
        <v>46972.0</v>
      </c>
      <c r="D35" s="129">
        <v>42.0</v>
      </c>
      <c r="E35" s="130">
        <v>1583.0</v>
      </c>
      <c r="F35" s="131">
        <v>-61.0</v>
      </c>
      <c r="G35" s="132">
        <v>49214.3</v>
      </c>
      <c r="H35" s="133">
        <v>276.55</v>
      </c>
      <c r="I35" s="24" t="s">
        <v>4153</v>
      </c>
    </row>
    <row r="36">
      <c r="A36" s="119">
        <v>62.0</v>
      </c>
      <c r="B36" s="119">
        <v>16.0</v>
      </c>
      <c r="C36" s="129">
        <v>51161.0</v>
      </c>
      <c r="D36" s="129">
        <v>10981.0</v>
      </c>
      <c r="E36" s="130">
        <v>76.0</v>
      </c>
      <c r="F36" s="131">
        <v>1120.0</v>
      </c>
      <c r="G36" s="132">
        <v>-253.75</v>
      </c>
      <c r="H36" s="133">
        <v>323.36</v>
      </c>
      <c r="I36" s="24" t="s">
        <v>4154</v>
      </c>
    </row>
    <row r="37">
      <c r="A37" s="119">
        <v>41.0</v>
      </c>
      <c r="B37" s="119">
        <v>70.0</v>
      </c>
      <c r="C37" s="129">
        <v>98378.0</v>
      </c>
      <c r="D37" s="129">
        <v>5989.0</v>
      </c>
      <c r="E37" s="130">
        <v>1436.0</v>
      </c>
      <c r="F37" s="131">
        <v>5487.0</v>
      </c>
      <c r="G37" s="132">
        <v>976.34</v>
      </c>
      <c r="H37" s="133">
        <v>26549.68</v>
      </c>
      <c r="I37" s="24" t="s">
        <v>4155</v>
      </c>
    </row>
    <row r="38">
      <c r="A38" s="119">
        <v>82.0</v>
      </c>
      <c r="B38" s="119">
        <v>67.0</v>
      </c>
      <c r="C38" s="129">
        <v>68814.0</v>
      </c>
      <c r="D38" s="129">
        <v>42.0</v>
      </c>
      <c r="E38" s="130">
        <v>71.0</v>
      </c>
      <c r="F38" s="131">
        <v>90774.0</v>
      </c>
      <c r="G38" s="132">
        <v>5693.61</v>
      </c>
      <c r="H38" s="133">
        <v>-3231.3</v>
      </c>
      <c r="I38" s="24" t="s">
        <v>4156</v>
      </c>
    </row>
    <row r="39">
      <c r="A39" s="119">
        <v>82.0</v>
      </c>
      <c r="B39" s="119">
        <v>64.0</v>
      </c>
      <c r="C39" s="129">
        <v>87748.0</v>
      </c>
      <c r="D39" s="129">
        <v>-55.0</v>
      </c>
      <c r="E39" s="130">
        <v>785668.0</v>
      </c>
      <c r="F39" s="131">
        <v>3533.0</v>
      </c>
      <c r="G39" s="132">
        <v>69.25</v>
      </c>
      <c r="H39" s="133">
        <v>8103.47</v>
      </c>
      <c r="I39" s="24" t="s">
        <v>4157</v>
      </c>
    </row>
    <row r="40">
      <c r="A40" s="119">
        <v>62.0</v>
      </c>
      <c r="B40" s="119">
        <v>27.0</v>
      </c>
      <c r="C40" s="129">
        <v>12744.0</v>
      </c>
      <c r="D40" s="129">
        <v>82804.0</v>
      </c>
      <c r="E40" s="130">
        <v>66.0</v>
      </c>
      <c r="F40" s="131">
        <v>21521.0</v>
      </c>
      <c r="G40" s="132">
        <v>69155.82</v>
      </c>
      <c r="H40" s="133">
        <v>6740.51</v>
      </c>
      <c r="I40" s="24" t="s">
        <v>4158</v>
      </c>
    </row>
    <row r="41">
      <c r="A41" s="119">
        <v>41.0</v>
      </c>
      <c r="B41" s="119">
        <v>79.0</v>
      </c>
      <c r="C41" s="129">
        <v>36297.0</v>
      </c>
      <c r="D41" s="129">
        <v>2607.0</v>
      </c>
      <c r="E41" s="130">
        <v>-388104.0</v>
      </c>
      <c r="F41" s="131">
        <v>25.0</v>
      </c>
      <c r="G41" s="132">
        <v>8737.25</v>
      </c>
      <c r="H41" s="133">
        <v>247.77</v>
      </c>
      <c r="I41" s="24" t="s">
        <v>4159</v>
      </c>
    </row>
    <row r="42">
      <c r="A42" s="119">
        <v>82.0</v>
      </c>
      <c r="B42" s="119">
        <v>77.0</v>
      </c>
      <c r="C42" s="129">
        <v>37806.0</v>
      </c>
      <c r="D42" s="129">
        <v>5166.0</v>
      </c>
      <c r="E42" s="130">
        <v>-738.0</v>
      </c>
      <c r="F42" s="131">
        <v>82186.0</v>
      </c>
      <c r="G42" s="132">
        <v>-38.9</v>
      </c>
      <c r="H42" s="133">
        <v>-82900.79</v>
      </c>
      <c r="I42" s="24" t="s">
        <v>4160</v>
      </c>
    </row>
    <row r="43">
      <c r="A43" s="119">
        <v>62.0</v>
      </c>
      <c r="B43" s="119">
        <v>30.0</v>
      </c>
      <c r="C43" s="129">
        <v>39821.0</v>
      </c>
      <c r="D43" s="129">
        <v>-3178.0</v>
      </c>
      <c r="E43" s="130">
        <v>24624.0</v>
      </c>
      <c r="F43" s="131">
        <v>682.0</v>
      </c>
      <c r="G43" s="132">
        <v>806.9</v>
      </c>
      <c r="H43" s="133">
        <v>-64370.21</v>
      </c>
      <c r="I43" s="24" t="s">
        <v>4161</v>
      </c>
    </row>
    <row r="44">
      <c r="A44" s="119">
        <v>21.0</v>
      </c>
      <c r="B44" s="119">
        <v>36.0</v>
      </c>
      <c r="C44" s="129">
        <v>56180.0</v>
      </c>
      <c r="D44" s="129">
        <v>-1696.0</v>
      </c>
      <c r="E44" s="130">
        <v>45.0</v>
      </c>
      <c r="F44" s="131">
        <v>814.0</v>
      </c>
      <c r="G44" s="132">
        <v>67507.74</v>
      </c>
      <c r="H44" s="133">
        <v>465.84</v>
      </c>
      <c r="I44" s="24" t="s">
        <v>4162</v>
      </c>
    </row>
    <row r="45">
      <c r="A45" s="119">
        <v>41.0</v>
      </c>
      <c r="B45" s="119">
        <v>86.0</v>
      </c>
      <c r="C45" s="129">
        <v>70402.0</v>
      </c>
      <c r="D45" s="129">
        <v>804.0</v>
      </c>
      <c r="E45" s="130">
        <v>29.0</v>
      </c>
      <c r="F45" s="131">
        <v>-7531.0</v>
      </c>
      <c r="G45" s="132">
        <v>10.83</v>
      </c>
      <c r="H45" s="133">
        <v>10805.52</v>
      </c>
      <c r="I45" s="24" t="s">
        <v>4163</v>
      </c>
    </row>
    <row r="46">
      <c r="A46" s="119">
        <v>41.0</v>
      </c>
      <c r="B46" s="119">
        <v>87.0</v>
      </c>
      <c r="C46" s="129">
        <v>18121.0</v>
      </c>
      <c r="D46" s="129">
        <v>89.0</v>
      </c>
      <c r="E46" s="130">
        <v>59749.0</v>
      </c>
      <c r="F46" s="131">
        <v>-8404.0</v>
      </c>
      <c r="G46" s="132">
        <v>-65914.63</v>
      </c>
      <c r="H46" s="133">
        <v>-8040.32</v>
      </c>
      <c r="I46" s="24" t="s">
        <v>4164</v>
      </c>
    </row>
    <row r="47">
      <c r="A47" s="119">
        <v>62.0</v>
      </c>
      <c r="B47" s="119">
        <v>34.0</v>
      </c>
      <c r="C47" s="129">
        <v>71812.0</v>
      </c>
      <c r="D47" s="129">
        <v>10993.0</v>
      </c>
      <c r="E47" s="130">
        <v>355.0</v>
      </c>
      <c r="F47" s="131">
        <v>-50857.0</v>
      </c>
      <c r="G47" s="132">
        <v>3357.88</v>
      </c>
      <c r="H47" s="133">
        <v>985.88</v>
      </c>
      <c r="I47" s="24" t="s">
        <v>4165</v>
      </c>
    </row>
    <row r="48">
      <c r="A48" s="119">
        <v>62.0</v>
      </c>
      <c r="B48" s="119">
        <v>37.0</v>
      </c>
      <c r="C48" s="129">
        <v>45621.0</v>
      </c>
      <c r="D48" s="129">
        <v>9211.0</v>
      </c>
      <c r="E48" s="130">
        <v>-536.0</v>
      </c>
      <c r="F48" s="131">
        <v>82.0</v>
      </c>
      <c r="G48" s="132">
        <v>95731.74</v>
      </c>
      <c r="H48" s="133">
        <v>84.49</v>
      </c>
      <c r="I48" s="24" t="s">
        <v>4166</v>
      </c>
    </row>
    <row r="49">
      <c r="A49" s="119">
        <v>82.0</v>
      </c>
      <c r="B49" s="119">
        <v>89.0</v>
      </c>
      <c r="C49" s="129">
        <v>4128.0</v>
      </c>
      <c r="D49" s="129">
        <v>62.0</v>
      </c>
      <c r="E49" s="130">
        <v>671.0</v>
      </c>
      <c r="F49" s="131">
        <v>48.0</v>
      </c>
      <c r="G49" s="132">
        <v>-15.27</v>
      </c>
      <c r="H49" s="133">
        <v>1781.19</v>
      </c>
      <c r="I49" s="24" t="s">
        <v>4167</v>
      </c>
    </row>
    <row r="50">
      <c r="A50" s="119">
        <v>21.0</v>
      </c>
      <c r="B50" s="119">
        <v>52.0</v>
      </c>
      <c r="C50" s="129">
        <v>21298.0</v>
      </c>
      <c r="D50" s="129">
        <v>36.0</v>
      </c>
      <c r="E50" s="130">
        <v>-372.0</v>
      </c>
      <c r="F50" s="131">
        <v>28.0</v>
      </c>
      <c r="G50" s="132">
        <v>60119.92</v>
      </c>
      <c r="H50" s="133">
        <v>18679.16</v>
      </c>
      <c r="I50" s="24" t="s">
        <v>4168</v>
      </c>
    </row>
    <row r="51">
      <c r="A51" s="119">
        <v>62.0</v>
      </c>
      <c r="B51" s="119">
        <v>48.0</v>
      </c>
      <c r="C51" s="129">
        <v>75446.0</v>
      </c>
      <c r="D51" s="129">
        <v>44798.0</v>
      </c>
      <c r="E51" s="130">
        <v>949522.0</v>
      </c>
      <c r="F51" s="131">
        <v>562.0</v>
      </c>
      <c r="G51" s="132">
        <v>73.68</v>
      </c>
      <c r="H51" s="133">
        <v>85.99</v>
      </c>
      <c r="I51" s="24" t="s">
        <v>4169</v>
      </c>
    </row>
    <row r="52">
      <c r="A52" s="119">
        <v>21.0</v>
      </c>
      <c r="B52" s="119">
        <v>56.0</v>
      </c>
      <c r="C52" s="129">
        <v>19147.0</v>
      </c>
      <c r="D52" s="129">
        <v>50036.0</v>
      </c>
      <c r="E52" s="130">
        <v>56.0</v>
      </c>
      <c r="F52" s="131">
        <v>-8973.0</v>
      </c>
      <c r="G52" s="132">
        <v>610.83</v>
      </c>
      <c r="H52" s="133">
        <v>1867.83</v>
      </c>
      <c r="I52" s="24" t="s">
        <v>4170</v>
      </c>
    </row>
    <row r="53">
      <c r="A53" s="119">
        <v>42.0</v>
      </c>
      <c r="B53" s="119">
        <v>6.0</v>
      </c>
      <c r="C53" s="129">
        <v>7358.0</v>
      </c>
      <c r="D53" s="129">
        <v>44162.0</v>
      </c>
      <c r="E53" s="130">
        <v>26.0</v>
      </c>
      <c r="F53" s="131">
        <v>6466.0</v>
      </c>
      <c r="G53" s="132">
        <v>714.19</v>
      </c>
      <c r="H53" s="133">
        <v>1748.85</v>
      </c>
      <c r="I53" s="24" t="s">
        <v>4171</v>
      </c>
    </row>
    <row r="54">
      <c r="A54" s="119">
        <v>83.0</v>
      </c>
      <c r="B54" s="119">
        <v>5.0</v>
      </c>
      <c r="C54" s="129">
        <v>66987.0</v>
      </c>
      <c r="D54" s="129">
        <v>748.0</v>
      </c>
      <c r="E54" s="130">
        <v>57008.0</v>
      </c>
      <c r="F54" s="131">
        <v>421.0</v>
      </c>
      <c r="G54" s="132">
        <v>90286.84</v>
      </c>
      <c r="H54" s="133">
        <v>6501.99</v>
      </c>
      <c r="I54" s="24" t="s">
        <v>4172</v>
      </c>
    </row>
    <row r="55">
      <c r="A55" s="119">
        <v>21.0</v>
      </c>
      <c r="B55" s="119">
        <v>66.0</v>
      </c>
      <c r="C55" s="129">
        <v>6541.0</v>
      </c>
      <c r="D55" s="129">
        <v>-552.0</v>
      </c>
      <c r="E55" s="130">
        <v>454.0</v>
      </c>
      <c r="F55" s="131">
        <v>521.0</v>
      </c>
      <c r="G55" s="132">
        <v>302.55</v>
      </c>
      <c r="H55" s="133">
        <v>92.52</v>
      </c>
      <c r="I55" s="24" t="s">
        <v>4173</v>
      </c>
    </row>
    <row r="56">
      <c r="A56" s="119">
        <v>42.0</v>
      </c>
      <c r="B56" s="119">
        <v>15.0</v>
      </c>
      <c r="C56" s="129">
        <v>7742.0</v>
      </c>
      <c r="D56" s="129">
        <v>19.0</v>
      </c>
      <c r="E56" s="130">
        <v>-99184.0</v>
      </c>
      <c r="F56" s="131">
        <v>-8060.0</v>
      </c>
      <c r="G56" s="132">
        <v>91249.65</v>
      </c>
      <c r="H56" s="133">
        <v>2318.81</v>
      </c>
      <c r="I56" s="24" t="s">
        <v>4174</v>
      </c>
    </row>
    <row r="57">
      <c r="A57" s="119">
        <v>83.0</v>
      </c>
      <c r="B57" s="119">
        <v>12.0</v>
      </c>
      <c r="C57" s="129">
        <v>46188.0</v>
      </c>
      <c r="D57" s="129">
        <v>51161.0</v>
      </c>
      <c r="E57" s="130">
        <v>-14.0</v>
      </c>
      <c r="F57" s="131">
        <v>51.0</v>
      </c>
      <c r="G57" s="132">
        <v>15.58</v>
      </c>
      <c r="H57" s="133">
        <v>72508.21</v>
      </c>
      <c r="I57" s="24" t="s">
        <v>4175</v>
      </c>
    </row>
    <row r="58">
      <c r="A58" s="119">
        <v>42.0</v>
      </c>
      <c r="B58" s="119">
        <v>16.0</v>
      </c>
      <c r="C58" s="129">
        <v>53400.0</v>
      </c>
      <c r="D58" s="129">
        <v>215.0</v>
      </c>
      <c r="E58" s="130">
        <v>-576.0</v>
      </c>
      <c r="F58" s="131">
        <v>44.0</v>
      </c>
      <c r="G58" s="132">
        <v>760.95</v>
      </c>
      <c r="H58" s="133">
        <v>1827.83</v>
      </c>
      <c r="I58" s="24" t="s">
        <v>4176</v>
      </c>
    </row>
    <row r="59">
      <c r="A59" s="119">
        <v>21.0</v>
      </c>
      <c r="B59" s="119">
        <v>71.0</v>
      </c>
      <c r="C59" s="129">
        <v>23064.0</v>
      </c>
      <c r="D59" s="129">
        <v>-2292.0</v>
      </c>
      <c r="E59" s="130">
        <v>9997.0</v>
      </c>
      <c r="F59" s="131">
        <v>-35.0</v>
      </c>
      <c r="G59" s="132">
        <v>884.64</v>
      </c>
      <c r="H59" s="133">
        <v>85.39</v>
      </c>
      <c r="I59" s="24" t="s">
        <v>4177</v>
      </c>
    </row>
    <row r="60">
      <c r="A60" s="119">
        <v>42.0</v>
      </c>
      <c r="B60" s="119">
        <v>21.0</v>
      </c>
      <c r="C60" s="129">
        <v>46967.0</v>
      </c>
      <c r="D60" s="129">
        <v>-332.0</v>
      </c>
      <c r="E60" s="130">
        <v>7652.0</v>
      </c>
      <c r="F60" s="131">
        <v>-53.0</v>
      </c>
      <c r="G60" s="132">
        <v>7294.81</v>
      </c>
      <c r="H60" s="133">
        <v>94.27</v>
      </c>
      <c r="I60" s="24" t="s">
        <v>4178</v>
      </c>
    </row>
    <row r="61">
      <c r="A61" s="119">
        <v>62.0</v>
      </c>
      <c r="B61" s="119">
        <v>70.0</v>
      </c>
      <c r="C61" s="129">
        <v>68296.0</v>
      </c>
      <c r="D61" s="129">
        <v>6760.0</v>
      </c>
      <c r="E61" s="130">
        <v>942.0</v>
      </c>
      <c r="F61" s="131">
        <v>500.0</v>
      </c>
      <c r="G61" s="132">
        <v>-733.38</v>
      </c>
      <c r="H61" s="133">
        <v>-16228.2</v>
      </c>
      <c r="I61" s="24" t="s">
        <v>4179</v>
      </c>
    </row>
    <row r="62">
      <c r="A62" s="119">
        <v>42.0</v>
      </c>
      <c r="B62" s="119">
        <v>24.0</v>
      </c>
      <c r="C62" s="129">
        <v>95548.0</v>
      </c>
      <c r="D62" s="129">
        <v>971.0</v>
      </c>
      <c r="E62" s="130">
        <v>7590.0</v>
      </c>
      <c r="F62" s="131">
        <v>313.0</v>
      </c>
      <c r="G62" s="132">
        <v>47090.56</v>
      </c>
      <c r="H62" s="133">
        <v>206.29</v>
      </c>
      <c r="I62" s="24" t="s">
        <v>4180</v>
      </c>
    </row>
    <row r="63">
      <c r="A63" s="119">
        <v>21.0</v>
      </c>
      <c r="B63" s="119">
        <v>81.0</v>
      </c>
      <c r="C63" s="129">
        <v>73478.0</v>
      </c>
      <c r="D63" s="129">
        <v>98.0</v>
      </c>
      <c r="E63" s="130">
        <v>83704.0</v>
      </c>
      <c r="F63" s="131">
        <v>-36540.0</v>
      </c>
      <c r="G63" s="132">
        <v>-492.14</v>
      </c>
      <c r="H63" s="133">
        <v>-32.68</v>
      </c>
      <c r="I63" s="24" t="s">
        <v>4181</v>
      </c>
    </row>
    <row r="64">
      <c r="A64" s="119">
        <v>62.0</v>
      </c>
      <c r="B64" s="119">
        <v>78.0</v>
      </c>
      <c r="C64" s="129">
        <v>42337.0</v>
      </c>
      <c r="D64" s="129">
        <v>43670.0</v>
      </c>
      <c r="E64" s="130">
        <v>-3494.0</v>
      </c>
      <c r="F64" s="131">
        <v>-63248.0</v>
      </c>
      <c r="G64" s="132">
        <v>-7941.23</v>
      </c>
      <c r="H64" s="133">
        <v>3195.94</v>
      </c>
      <c r="I64" s="24" t="s">
        <v>4182</v>
      </c>
    </row>
    <row r="65">
      <c r="A65" s="119">
        <v>21.0</v>
      </c>
      <c r="B65" s="119">
        <v>86.0</v>
      </c>
      <c r="C65" s="129">
        <v>14498.0</v>
      </c>
      <c r="D65" s="129">
        <v>-49360.0</v>
      </c>
      <c r="E65" s="130">
        <v>649.0</v>
      </c>
      <c r="F65" s="131">
        <v>-40.0</v>
      </c>
      <c r="G65" s="132">
        <v>3399.29</v>
      </c>
      <c r="H65" s="133">
        <v>2721.11</v>
      </c>
      <c r="I65" s="24" t="s">
        <v>4183</v>
      </c>
    </row>
    <row r="66">
      <c r="A66" s="119">
        <v>83.0</v>
      </c>
      <c r="B66" s="119">
        <v>32.0</v>
      </c>
      <c r="C66" s="129">
        <v>10910.0</v>
      </c>
      <c r="D66" s="129">
        <v>609.0</v>
      </c>
      <c r="E66" s="130">
        <v>-292704.0</v>
      </c>
      <c r="F66" s="131">
        <v>485.0</v>
      </c>
      <c r="G66" s="132">
        <v>819.56</v>
      </c>
      <c r="H66" s="133">
        <v>8814.48</v>
      </c>
      <c r="I66" s="24" t="s">
        <v>4184</v>
      </c>
    </row>
    <row r="67">
      <c r="A67" s="119">
        <v>83.0</v>
      </c>
      <c r="B67" s="119">
        <v>35.0</v>
      </c>
      <c r="C67" s="129">
        <v>17025.0</v>
      </c>
      <c r="D67" s="129">
        <v>3740.0</v>
      </c>
      <c r="E67" s="130">
        <v>789098.0</v>
      </c>
      <c r="F67" s="131">
        <v>7763.0</v>
      </c>
      <c r="G67" s="132">
        <v>65.78</v>
      </c>
      <c r="H67" s="133">
        <v>69.27</v>
      </c>
      <c r="I67" s="24" t="s">
        <v>4185</v>
      </c>
    </row>
    <row r="68">
      <c r="A68" s="119">
        <v>21.0</v>
      </c>
      <c r="B68" s="119">
        <v>91.0</v>
      </c>
      <c r="C68" s="129">
        <v>87731.0</v>
      </c>
      <c r="D68" s="129">
        <v>880.0</v>
      </c>
      <c r="E68" s="130">
        <v>437453.0</v>
      </c>
      <c r="F68" s="131">
        <v>95056.0</v>
      </c>
      <c r="G68" s="132">
        <v>12.82</v>
      </c>
      <c r="H68" s="133">
        <v>687.65</v>
      </c>
      <c r="I68" s="24" t="s">
        <v>4186</v>
      </c>
    </row>
    <row r="69">
      <c r="A69" s="119">
        <v>62.0</v>
      </c>
      <c r="B69" s="119">
        <v>89.0</v>
      </c>
      <c r="C69" s="129">
        <v>91751.0</v>
      </c>
      <c r="D69" s="129">
        <v>-88538.0</v>
      </c>
      <c r="E69" s="130">
        <v>5736.0</v>
      </c>
      <c r="F69" s="131">
        <v>592.0</v>
      </c>
      <c r="G69" s="132">
        <v>5819.5</v>
      </c>
      <c r="H69" s="133">
        <v>75.57</v>
      </c>
      <c r="I69" s="24" t="s">
        <v>4187</v>
      </c>
    </row>
    <row r="70">
      <c r="A70" s="119">
        <v>42.0</v>
      </c>
      <c r="B70" s="119">
        <v>43.0</v>
      </c>
      <c r="C70" s="129">
        <v>93302.0</v>
      </c>
      <c r="D70" s="129">
        <v>970.0</v>
      </c>
      <c r="E70" s="130">
        <v>395.0</v>
      </c>
      <c r="F70" s="131">
        <v>-68836.0</v>
      </c>
      <c r="G70" s="132">
        <v>94905.21</v>
      </c>
      <c r="H70" s="133">
        <v>976.74</v>
      </c>
      <c r="I70" s="24" t="s">
        <v>4188</v>
      </c>
    </row>
    <row r="71">
      <c r="A71" s="119">
        <v>22.0</v>
      </c>
      <c r="B71" s="119">
        <v>2.0</v>
      </c>
      <c r="C71" s="129">
        <v>83622.0</v>
      </c>
      <c r="D71" s="129">
        <v>1602.0</v>
      </c>
      <c r="E71" s="130">
        <v>11449.0</v>
      </c>
      <c r="F71" s="131">
        <v>-8779.0</v>
      </c>
      <c r="G71" s="132">
        <v>-9663.62</v>
      </c>
      <c r="H71" s="133">
        <v>-522.15</v>
      </c>
      <c r="I71" s="24" t="s">
        <v>4189</v>
      </c>
    </row>
    <row r="72">
      <c r="A72" s="119">
        <v>83.0</v>
      </c>
      <c r="B72" s="119">
        <v>47.0</v>
      </c>
      <c r="C72" s="129">
        <v>5025.0</v>
      </c>
      <c r="D72" s="129">
        <v>162.0</v>
      </c>
      <c r="E72" s="130">
        <v>-56.0</v>
      </c>
      <c r="F72" s="131">
        <v>580.0</v>
      </c>
      <c r="G72" s="132">
        <v>85.5</v>
      </c>
      <c r="H72" s="133">
        <v>-6370.99</v>
      </c>
      <c r="I72" s="24" t="s">
        <v>4190</v>
      </c>
    </row>
    <row r="73">
      <c r="A73" s="119">
        <v>62.0</v>
      </c>
      <c r="B73" s="119">
        <v>99.0</v>
      </c>
      <c r="C73" s="129">
        <v>2645.0</v>
      </c>
      <c r="D73" s="129">
        <v>3601.0</v>
      </c>
      <c r="E73" s="130">
        <v>-845591.0</v>
      </c>
      <c r="F73" s="131">
        <v>654.0</v>
      </c>
      <c r="G73" s="132">
        <v>2721.6</v>
      </c>
      <c r="H73" s="133">
        <v>-555.66</v>
      </c>
      <c r="I73" s="24" t="s">
        <v>4191</v>
      </c>
    </row>
    <row r="74">
      <c r="A74" s="119">
        <v>61.0</v>
      </c>
      <c r="B74" s="119">
        <v>37.0</v>
      </c>
      <c r="C74" s="129">
        <v>45222.0</v>
      </c>
      <c r="D74" s="129">
        <v>2970.0</v>
      </c>
      <c r="E74" s="130">
        <v>912211.0</v>
      </c>
      <c r="F74" s="131">
        <v>75.0</v>
      </c>
      <c r="G74" s="132">
        <v>-915.42</v>
      </c>
      <c r="H74" s="133">
        <v>-989.25</v>
      </c>
      <c r="I74" s="134" t="s">
        <v>4192</v>
      </c>
    </row>
    <row r="75">
      <c r="A75" s="119">
        <v>22.0</v>
      </c>
      <c r="B75" s="119">
        <v>9.0</v>
      </c>
      <c r="C75" s="129">
        <v>12444.0</v>
      </c>
      <c r="D75" s="129">
        <v>27.0</v>
      </c>
      <c r="E75" s="130">
        <v>-323.0</v>
      </c>
      <c r="F75" s="131">
        <v>69.0</v>
      </c>
      <c r="G75" s="132">
        <v>-327.96</v>
      </c>
      <c r="H75" s="133">
        <v>65628.78</v>
      </c>
      <c r="I75" s="24" t="s">
        <v>4193</v>
      </c>
    </row>
    <row r="76">
      <c r="A76" s="119">
        <v>42.0</v>
      </c>
      <c r="B76" s="119">
        <v>59.0</v>
      </c>
      <c r="C76" s="129">
        <v>7308.0</v>
      </c>
      <c r="D76" s="129">
        <v>-43.0</v>
      </c>
      <c r="E76" s="130">
        <v>85.0</v>
      </c>
      <c r="F76" s="131">
        <v>6001.0</v>
      </c>
      <c r="G76" s="132">
        <v>153.95</v>
      </c>
      <c r="H76" s="133">
        <v>5813.44</v>
      </c>
      <c r="I76" s="24" t="s">
        <v>4194</v>
      </c>
    </row>
    <row r="77">
      <c r="A77" s="119">
        <v>42.0</v>
      </c>
      <c r="B77" s="119">
        <v>61.0</v>
      </c>
      <c r="C77" s="129">
        <v>99789.0</v>
      </c>
      <c r="D77" s="129">
        <v>-626.0</v>
      </c>
      <c r="E77" s="130">
        <v>99.0</v>
      </c>
      <c r="F77" s="131">
        <v>-34.0</v>
      </c>
      <c r="G77" s="132">
        <v>49402.46</v>
      </c>
      <c r="H77" s="133">
        <v>14239.1</v>
      </c>
      <c r="I77" s="24" t="s">
        <v>4195</v>
      </c>
    </row>
    <row r="78">
      <c r="A78" s="119">
        <v>63.0</v>
      </c>
      <c r="B78" s="119">
        <v>12.0</v>
      </c>
      <c r="C78" s="129">
        <v>72595.0</v>
      </c>
      <c r="D78" s="129">
        <v>334.0</v>
      </c>
      <c r="E78" s="130">
        <v>836924.0</v>
      </c>
      <c r="F78" s="131">
        <v>74.0</v>
      </c>
      <c r="G78" s="132">
        <v>17246.35</v>
      </c>
      <c r="H78" s="133">
        <v>-81620.18</v>
      </c>
      <c r="I78" s="24" t="s">
        <v>4196</v>
      </c>
    </row>
    <row r="79">
      <c r="A79" s="119">
        <v>22.0</v>
      </c>
      <c r="B79" s="119">
        <v>16.0</v>
      </c>
      <c r="C79" s="129">
        <v>52523.0</v>
      </c>
      <c r="D79" s="129">
        <v>33008.0</v>
      </c>
      <c r="E79" s="130">
        <v>-964287.0</v>
      </c>
      <c r="F79" s="131">
        <v>9081.0</v>
      </c>
      <c r="G79" s="132">
        <v>87715.2</v>
      </c>
      <c r="H79" s="133">
        <v>88003.3</v>
      </c>
      <c r="I79" s="24" t="s">
        <v>4197</v>
      </c>
    </row>
    <row r="80">
      <c r="A80" s="119">
        <v>63.0</v>
      </c>
      <c r="B80" s="119">
        <v>14.0</v>
      </c>
      <c r="C80" s="129">
        <v>36219.0</v>
      </c>
      <c r="D80" s="129">
        <v>64.0</v>
      </c>
      <c r="E80" s="130">
        <v>4972.0</v>
      </c>
      <c r="F80" s="131">
        <v>49228.0</v>
      </c>
      <c r="G80" s="132">
        <v>95.11</v>
      </c>
      <c r="H80" s="133">
        <v>-4478.2</v>
      </c>
      <c r="I80" s="24" t="s">
        <v>4198</v>
      </c>
    </row>
    <row r="81">
      <c r="A81" s="119">
        <v>42.0</v>
      </c>
      <c r="B81" s="119">
        <v>67.0</v>
      </c>
      <c r="C81" s="129">
        <v>36585.0</v>
      </c>
      <c r="D81" s="129">
        <v>11862.0</v>
      </c>
      <c r="E81" s="130">
        <v>972661.0</v>
      </c>
      <c r="F81" s="131">
        <v>6405.0</v>
      </c>
      <c r="G81" s="132">
        <v>-364.29</v>
      </c>
      <c r="H81" s="133">
        <v>-37007.1</v>
      </c>
      <c r="I81" s="24" t="s">
        <v>4199</v>
      </c>
    </row>
    <row r="82">
      <c r="A82" s="119">
        <v>83.0</v>
      </c>
      <c r="B82" s="119">
        <v>66.0</v>
      </c>
      <c r="C82" s="129">
        <v>23928.0</v>
      </c>
      <c r="D82" s="129">
        <v>32.0</v>
      </c>
      <c r="E82" s="130">
        <v>9827.0</v>
      </c>
      <c r="F82" s="131">
        <v>67.0</v>
      </c>
      <c r="G82" s="132">
        <v>-18.26</v>
      </c>
      <c r="H82" s="133">
        <v>969.4</v>
      </c>
      <c r="I82" s="24" t="s">
        <v>4200</v>
      </c>
    </row>
    <row r="83">
      <c r="A83" s="119">
        <v>63.0</v>
      </c>
      <c r="B83" s="119">
        <v>19.0</v>
      </c>
      <c r="C83" s="129">
        <v>788.0</v>
      </c>
      <c r="D83" s="129">
        <v>-3480.0</v>
      </c>
      <c r="E83" s="130">
        <v>100757.0</v>
      </c>
      <c r="F83" s="131">
        <v>3777.0</v>
      </c>
      <c r="G83" s="132">
        <v>-944.19</v>
      </c>
      <c r="H83" s="133">
        <v>89.76</v>
      </c>
      <c r="I83" s="24" t="s">
        <v>4201</v>
      </c>
    </row>
    <row r="84">
      <c r="A84" s="119">
        <v>83.0</v>
      </c>
      <c r="B84" s="119">
        <v>67.0</v>
      </c>
      <c r="C84" s="129">
        <v>27178.0</v>
      </c>
      <c r="D84" s="129">
        <v>-13.0</v>
      </c>
      <c r="E84" s="130">
        <v>12125.0</v>
      </c>
      <c r="F84" s="131">
        <v>-11.0</v>
      </c>
      <c r="G84" s="132">
        <v>3618.94</v>
      </c>
      <c r="H84" s="133">
        <v>51097.1</v>
      </c>
      <c r="I84" s="24" t="s">
        <v>4202</v>
      </c>
    </row>
    <row r="85">
      <c r="A85" s="119">
        <v>22.0</v>
      </c>
      <c r="B85" s="119">
        <v>25.0</v>
      </c>
      <c r="C85" s="129">
        <v>36857.0</v>
      </c>
      <c r="D85" s="129">
        <v>42.0</v>
      </c>
      <c r="E85" s="130">
        <v>1868.0</v>
      </c>
      <c r="F85" s="131">
        <v>380.0</v>
      </c>
      <c r="G85" s="132">
        <v>912.6</v>
      </c>
      <c r="H85" s="133">
        <v>-45656.4</v>
      </c>
      <c r="I85" s="24" t="s">
        <v>4203</v>
      </c>
    </row>
    <row r="86">
      <c r="A86" s="119">
        <v>63.0</v>
      </c>
      <c r="B86" s="119">
        <v>25.0</v>
      </c>
      <c r="C86" s="129">
        <v>41849.0</v>
      </c>
      <c r="D86" s="129">
        <v>71351.0</v>
      </c>
      <c r="E86" s="130">
        <v>18.0</v>
      </c>
      <c r="F86" s="131">
        <v>-344.0</v>
      </c>
      <c r="G86" s="132">
        <v>2806.7</v>
      </c>
      <c r="H86" s="133">
        <v>11136.4</v>
      </c>
      <c r="I86" s="24" t="s">
        <v>4204</v>
      </c>
    </row>
    <row r="87">
      <c r="A87" s="119">
        <v>63.0</v>
      </c>
      <c r="B87" s="119">
        <v>26.0</v>
      </c>
      <c r="C87" s="129">
        <v>12380.0</v>
      </c>
      <c r="D87" s="129">
        <v>29.0</v>
      </c>
      <c r="E87" s="130">
        <v>2632.0</v>
      </c>
      <c r="F87" s="131">
        <v>395.0</v>
      </c>
      <c r="G87" s="132">
        <v>14569.3</v>
      </c>
      <c r="H87" s="133">
        <v>37.35</v>
      </c>
      <c r="I87" s="24" t="s">
        <v>4205</v>
      </c>
    </row>
    <row r="88">
      <c r="A88" s="119">
        <v>42.0</v>
      </c>
      <c r="B88" s="119">
        <v>78.0</v>
      </c>
      <c r="C88" s="129">
        <v>14045.0</v>
      </c>
      <c r="D88" s="129">
        <v>558.0</v>
      </c>
      <c r="E88" s="130">
        <v>13871.0</v>
      </c>
      <c r="F88" s="131">
        <v>774.0</v>
      </c>
      <c r="G88" s="132">
        <v>-781.0</v>
      </c>
      <c r="H88" s="133">
        <v>-87413.53</v>
      </c>
      <c r="I88" s="24" t="s">
        <v>4206</v>
      </c>
    </row>
    <row r="89">
      <c r="A89" s="119">
        <v>22.0</v>
      </c>
      <c r="B89" s="119">
        <v>37.0</v>
      </c>
      <c r="C89" s="129">
        <v>74649.0</v>
      </c>
      <c r="D89" s="129">
        <v>893.0</v>
      </c>
      <c r="E89" s="130">
        <v>47.0</v>
      </c>
      <c r="F89" s="131">
        <v>1100.0</v>
      </c>
      <c r="G89" s="132">
        <v>-22.46</v>
      </c>
      <c r="H89" s="133">
        <v>529.87</v>
      </c>
      <c r="I89" s="24" t="s">
        <v>4207</v>
      </c>
    </row>
    <row r="90">
      <c r="A90" s="119">
        <v>42.0</v>
      </c>
      <c r="B90" s="119">
        <v>85.0</v>
      </c>
      <c r="C90" s="129">
        <v>63086.0</v>
      </c>
      <c r="D90" s="129">
        <v>588.0</v>
      </c>
      <c r="E90" s="130">
        <v>811274.0</v>
      </c>
      <c r="F90" s="131">
        <v>-9645.0</v>
      </c>
      <c r="G90" s="132">
        <v>175.51</v>
      </c>
      <c r="H90" s="133">
        <v>7071.67</v>
      </c>
      <c r="I90" s="24" t="s">
        <v>4208</v>
      </c>
    </row>
    <row r="91">
      <c r="A91" s="119">
        <v>42.0</v>
      </c>
      <c r="B91" s="119">
        <v>91.0</v>
      </c>
      <c r="C91" s="129">
        <v>86192.0</v>
      </c>
      <c r="D91" s="129">
        <v>173.0</v>
      </c>
      <c r="E91" s="130">
        <v>88301.0</v>
      </c>
      <c r="F91" s="131">
        <v>88.0</v>
      </c>
      <c r="G91" s="132">
        <v>-588.15</v>
      </c>
      <c r="H91" s="133">
        <v>-33370.87</v>
      </c>
      <c r="I91" s="24" t="s">
        <v>4209</v>
      </c>
    </row>
    <row r="92">
      <c r="A92" s="119">
        <v>83.0</v>
      </c>
      <c r="B92" s="119">
        <v>91.0</v>
      </c>
      <c r="C92" s="129">
        <v>88303.0</v>
      </c>
      <c r="D92" s="129">
        <v>414.0</v>
      </c>
      <c r="E92" s="130">
        <v>11782.0</v>
      </c>
      <c r="F92" s="131">
        <v>-3268.0</v>
      </c>
      <c r="G92" s="132">
        <v>2356.66</v>
      </c>
      <c r="H92" s="133">
        <v>1532.3</v>
      </c>
      <c r="I92" s="24" t="s">
        <v>4210</v>
      </c>
    </row>
    <row r="93">
      <c r="A93" s="119">
        <v>83.0</v>
      </c>
      <c r="B93" s="119">
        <v>93.0</v>
      </c>
      <c r="C93" s="129">
        <v>16248.0</v>
      </c>
      <c r="D93" s="129">
        <v>24013.0</v>
      </c>
      <c r="E93" s="130">
        <v>-68.0</v>
      </c>
      <c r="F93" s="131">
        <v>299.0</v>
      </c>
      <c r="G93" s="132">
        <v>60.43</v>
      </c>
      <c r="H93" s="133">
        <v>-10911.31</v>
      </c>
      <c r="I93" s="24" t="s">
        <v>4211</v>
      </c>
    </row>
    <row r="94">
      <c r="A94" s="119">
        <v>22.0</v>
      </c>
      <c r="B94" s="119">
        <v>50.0</v>
      </c>
      <c r="C94" s="129">
        <v>27285.0</v>
      </c>
      <c r="D94" s="129">
        <v>-4901.0</v>
      </c>
      <c r="E94" s="130">
        <v>72.0</v>
      </c>
      <c r="F94" s="131">
        <v>-6976.0</v>
      </c>
      <c r="G94" s="132">
        <v>-643.23</v>
      </c>
      <c r="H94" s="133">
        <v>-67.39</v>
      </c>
      <c r="I94" s="24" t="s">
        <v>4212</v>
      </c>
    </row>
    <row r="95">
      <c r="A95" s="119">
        <v>63.0</v>
      </c>
      <c r="B95" s="119">
        <v>52.0</v>
      </c>
      <c r="C95" s="129">
        <v>60181.0</v>
      </c>
      <c r="D95" s="129">
        <v>887.0</v>
      </c>
      <c r="E95" s="130">
        <v>1503.0</v>
      </c>
      <c r="F95" s="131">
        <v>-43093.0</v>
      </c>
      <c r="G95" s="132">
        <v>4944.47</v>
      </c>
      <c r="H95" s="133">
        <v>69476.24</v>
      </c>
      <c r="I95" s="24" t="s">
        <v>4213</v>
      </c>
    </row>
    <row r="96">
      <c r="A96" s="119">
        <v>63.0</v>
      </c>
      <c r="B96" s="119">
        <v>55.0</v>
      </c>
      <c r="C96" s="129">
        <v>43140.0</v>
      </c>
      <c r="D96" s="129">
        <v>571.0</v>
      </c>
      <c r="E96" s="130">
        <v>112.0</v>
      </c>
      <c r="F96" s="131">
        <v>51.0</v>
      </c>
      <c r="G96" s="132">
        <v>868.45</v>
      </c>
      <c r="H96" s="133">
        <v>75.15</v>
      </c>
      <c r="I96" s="24" t="s">
        <v>4214</v>
      </c>
    </row>
    <row r="97">
      <c r="A97" s="119">
        <v>43.0</v>
      </c>
      <c r="B97" s="119">
        <v>8.0</v>
      </c>
      <c r="C97" s="129">
        <v>73719.0</v>
      </c>
      <c r="D97" s="129">
        <v>-1387.0</v>
      </c>
      <c r="E97" s="130">
        <v>17890.0</v>
      </c>
      <c r="F97" s="131">
        <v>-76.0</v>
      </c>
      <c r="G97" s="132">
        <v>89.32</v>
      </c>
      <c r="H97" s="133">
        <v>71024.99</v>
      </c>
      <c r="I97" s="24" t="s">
        <v>4215</v>
      </c>
    </row>
    <row r="98">
      <c r="A98" s="119">
        <v>84.0</v>
      </c>
      <c r="B98" s="119">
        <v>5.0</v>
      </c>
      <c r="C98" s="129">
        <v>51134.0</v>
      </c>
      <c r="D98" s="129">
        <v>6583.0</v>
      </c>
      <c r="E98" s="130">
        <v>-29011.0</v>
      </c>
      <c r="F98" s="131">
        <v>257.0</v>
      </c>
      <c r="G98" s="132">
        <v>5107.57</v>
      </c>
      <c r="H98" s="133">
        <v>74371.18</v>
      </c>
      <c r="I98" s="24" t="s">
        <v>4216</v>
      </c>
    </row>
    <row r="99">
      <c r="A99" s="119">
        <v>63.0</v>
      </c>
      <c r="B99" s="119">
        <v>63.0</v>
      </c>
      <c r="C99" s="129">
        <v>89185.0</v>
      </c>
      <c r="D99" s="129">
        <v>595.0</v>
      </c>
      <c r="E99" s="130">
        <v>822.0</v>
      </c>
      <c r="F99" s="131">
        <v>-19.0</v>
      </c>
      <c r="G99" s="132">
        <v>179.2</v>
      </c>
      <c r="H99" s="133">
        <v>84.5</v>
      </c>
      <c r="I99" s="24" t="s">
        <v>4217</v>
      </c>
    </row>
    <row r="100">
      <c r="A100" s="119">
        <v>63.0</v>
      </c>
      <c r="B100" s="119">
        <v>64.0</v>
      </c>
      <c r="C100" s="129">
        <v>18023.0</v>
      </c>
      <c r="D100" s="129">
        <v>3448.0</v>
      </c>
      <c r="E100" s="130">
        <v>5097.0</v>
      </c>
      <c r="F100" s="131">
        <v>22.0</v>
      </c>
      <c r="G100" s="132">
        <v>44.96</v>
      </c>
      <c r="H100" s="133">
        <v>-34820.14</v>
      </c>
      <c r="I100" s="24" t="s">
        <v>4218</v>
      </c>
    </row>
    <row r="101">
      <c r="A101" s="119">
        <v>63.0</v>
      </c>
      <c r="B101" s="119">
        <v>73.0</v>
      </c>
      <c r="C101" s="129">
        <v>16619.0</v>
      </c>
      <c r="D101" s="129">
        <v>5398.0</v>
      </c>
      <c r="E101" s="130">
        <v>18706.0</v>
      </c>
      <c r="F101" s="131">
        <v>-5383.0</v>
      </c>
      <c r="G101" s="132">
        <v>34103.97</v>
      </c>
      <c r="H101" s="133">
        <v>450.23</v>
      </c>
      <c r="I101" s="24" t="s">
        <v>4219</v>
      </c>
    </row>
    <row r="102">
      <c r="A102" s="119">
        <v>63.0</v>
      </c>
      <c r="B102" s="119">
        <v>75.0</v>
      </c>
      <c r="C102" s="129">
        <v>73030.0</v>
      </c>
      <c r="D102" s="129">
        <v>-41584.0</v>
      </c>
      <c r="E102" s="130">
        <v>-9559.0</v>
      </c>
      <c r="F102" s="131">
        <v>-55.0</v>
      </c>
      <c r="G102" s="132">
        <v>80.15</v>
      </c>
      <c r="H102" s="133">
        <v>-8079.58</v>
      </c>
      <c r="I102" s="24" t="s">
        <v>4220</v>
      </c>
    </row>
    <row r="103">
      <c r="A103" s="119">
        <v>63.0</v>
      </c>
      <c r="B103" s="119">
        <v>79.0</v>
      </c>
      <c r="C103" s="129">
        <v>66244.0</v>
      </c>
      <c r="D103" s="129">
        <v>16230.0</v>
      </c>
      <c r="E103" s="130">
        <v>3467.0</v>
      </c>
      <c r="F103" s="131">
        <v>5832.0</v>
      </c>
      <c r="G103" s="132">
        <v>992.62</v>
      </c>
      <c r="H103" s="133">
        <v>-22.51</v>
      </c>
      <c r="I103" s="24" t="s">
        <v>4221</v>
      </c>
    </row>
    <row r="104">
      <c r="A104" s="119">
        <v>63.0</v>
      </c>
      <c r="B104" s="119">
        <v>82.0</v>
      </c>
      <c r="C104" s="129">
        <v>24969.0</v>
      </c>
      <c r="D104" s="129">
        <v>-388.0</v>
      </c>
      <c r="E104" s="130">
        <v>64429.0</v>
      </c>
      <c r="F104" s="131">
        <v>-57774.0</v>
      </c>
      <c r="G104" s="132">
        <v>74.41</v>
      </c>
      <c r="H104" s="133">
        <v>9250.8</v>
      </c>
      <c r="I104" s="24" t="s">
        <v>4222</v>
      </c>
    </row>
    <row r="105">
      <c r="A105" s="119">
        <v>22.0</v>
      </c>
      <c r="B105" s="119">
        <v>88.0</v>
      </c>
      <c r="C105" s="129">
        <v>4736.0</v>
      </c>
      <c r="D105" s="129">
        <v>-39.0</v>
      </c>
      <c r="E105" s="130">
        <v>-151.0</v>
      </c>
      <c r="F105" s="131">
        <v>-1632.0</v>
      </c>
      <c r="G105" s="132">
        <v>-46.76</v>
      </c>
      <c r="H105" s="133">
        <v>9306.67</v>
      </c>
      <c r="I105" s="24" t="s">
        <v>4223</v>
      </c>
    </row>
    <row r="106">
      <c r="A106" s="119">
        <v>22.0</v>
      </c>
      <c r="B106" s="119">
        <v>91.0</v>
      </c>
      <c r="C106" s="129">
        <v>75336.0</v>
      </c>
      <c r="D106" s="129">
        <v>61243.0</v>
      </c>
      <c r="E106" s="130">
        <v>8101.0</v>
      </c>
      <c r="F106" s="131">
        <v>-77.0</v>
      </c>
      <c r="G106" s="132">
        <v>-67324.72</v>
      </c>
      <c r="H106" s="133">
        <v>461.5</v>
      </c>
      <c r="I106" s="24" t="s">
        <v>4224</v>
      </c>
    </row>
    <row r="107">
      <c r="A107" s="119">
        <v>84.0</v>
      </c>
      <c r="B107" s="119">
        <v>36.0</v>
      </c>
      <c r="C107" s="129">
        <v>54417.0</v>
      </c>
      <c r="D107" s="129">
        <v>371.0</v>
      </c>
      <c r="E107" s="130">
        <v>943051.0</v>
      </c>
      <c r="F107" s="131">
        <v>78.0</v>
      </c>
      <c r="G107" s="132">
        <v>-45.73</v>
      </c>
      <c r="H107" s="133">
        <v>-688.58</v>
      </c>
      <c r="I107" s="24" t="s">
        <v>4225</v>
      </c>
    </row>
    <row r="108">
      <c r="A108" s="119">
        <v>84.0</v>
      </c>
      <c r="B108" s="119">
        <v>38.0</v>
      </c>
      <c r="C108" s="129">
        <v>91833.0</v>
      </c>
      <c r="D108" s="129">
        <v>95.0</v>
      </c>
      <c r="E108" s="130">
        <v>-349.0</v>
      </c>
      <c r="F108" s="131">
        <v>79.0</v>
      </c>
      <c r="G108" s="132">
        <v>-5004.8</v>
      </c>
      <c r="H108" s="133">
        <v>10.22</v>
      </c>
      <c r="I108" s="24" t="s">
        <v>4226</v>
      </c>
    </row>
    <row r="109">
      <c r="A109" s="119">
        <v>22.0</v>
      </c>
      <c r="B109" s="119">
        <v>94.0</v>
      </c>
      <c r="C109" s="129">
        <v>86315.0</v>
      </c>
      <c r="D109" s="129">
        <v>-316.0</v>
      </c>
      <c r="E109" s="130">
        <v>27.0</v>
      </c>
      <c r="F109" s="131">
        <v>-7423.0</v>
      </c>
      <c r="G109" s="132">
        <v>32.55</v>
      </c>
      <c r="H109" s="133">
        <v>96522.5</v>
      </c>
      <c r="I109" s="24" t="s">
        <v>4227</v>
      </c>
    </row>
    <row r="110">
      <c r="A110" s="119">
        <v>43.0</v>
      </c>
      <c r="B110" s="119">
        <v>45.0</v>
      </c>
      <c r="C110" s="129">
        <v>77771.0</v>
      </c>
      <c r="D110" s="129">
        <v>-62.0</v>
      </c>
      <c r="E110" s="130">
        <v>-78.0</v>
      </c>
      <c r="F110" s="131">
        <v>-82.0</v>
      </c>
      <c r="G110" s="132">
        <v>-93865.48</v>
      </c>
      <c r="H110" s="133">
        <v>18.82</v>
      </c>
      <c r="I110" s="24" t="s">
        <v>4228</v>
      </c>
    </row>
    <row r="111">
      <c r="A111" s="119">
        <v>84.0</v>
      </c>
      <c r="B111" s="119">
        <v>43.0</v>
      </c>
      <c r="C111" s="129">
        <v>24372.0</v>
      </c>
      <c r="D111" s="129">
        <v>826.0</v>
      </c>
      <c r="E111" s="130">
        <v>9767.0</v>
      </c>
      <c r="F111" s="131">
        <v>50.0</v>
      </c>
      <c r="G111" s="132">
        <v>69703.6</v>
      </c>
      <c r="H111" s="133">
        <v>45.22</v>
      </c>
      <c r="I111" s="24" t="s">
        <v>4229</v>
      </c>
    </row>
    <row r="112">
      <c r="A112" s="119">
        <v>43.0</v>
      </c>
      <c r="B112" s="119">
        <v>52.0</v>
      </c>
      <c r="C112" s="129">
        <v>71863.0</v>
      </c>
      <c r="D112" s="129">
        <v>-945.0</v>
      </c>
      <c r="E112" s="130">
        <v>6570.0</v>
      </c>
      <c r="F112" s="131">
        <v>-817.0</v>
      </c>
      <c r="G112" s="132">
        <v>-668.28</v>
      </c>
      <c r="H112" s="133">
        <v>71495.93</v>
      </c>
      <c r="I112" s="24" t="s">
        <v>4230</v>
      </c>
    </row>
    <row r="113">
      <c r="A113" s="119">
        <v>23.0</v>
      </c>
      <c r="B113" s="119">
        <v>7.0</v>
      </c>
      <c r="C113" s="129">
        <v>33246.0</v>
      </c>
      <c r="D113" s="129">
        <v>5011.0</v>
      </c>
      <c r="E113" s="130">
        <v>-59.0</v>
      </c>
      <c r="F113" s="131">
        <v>58084.0</v>
      </c>
      <c r="G113" s="132">
        <v>-53528.43</v>
      </c>
      <c r="H113" s="133">
        <v>45.26</v>
      </c>
      <c r="I113" s="24" t="s">
        <v>4231</v>
      </c>
    </row>
    <row r="114">
      <c r="A114" s="119">
        <v>84.0</v>
      </c>
      <c r="B114" s="119">
        <v>54.0</v>
      </c>
      <c r="C114" s="129">
        <v>96792.0</v>
      </c>
      <c r="D114" s="129">
        <v>56522.0</v>
      </c>
      <c r="E114" s="130">
        <v>458.0</v>
      </c>
      <c r="F114" s="131">
        <v>2903.0</v>
      </c>
      <c r="G114" s="132">
        <v>93.5</v>
      </c>
      <c r="H114" s="133">
        <v>37.53</v>
      </c>
      <c r="I114" s="24" t="s">
        <v>4232</v>
      </c>
    </row>
    <row r="115">
      <c r="A115" s="119">
        <v>43.0</v>
      </c>
      <c r="B115" s="119">
        <v>59.0</v>
      </c>
      <c r="C115" s="129">
        <v>79313.0</v>
      </c>
      <c r="D115" s="129">
        <v>586.0</v>
      </c>
      <c r="E115" s="130">
        <v>285195.0</v>
      </c>
      <c r="F115" s="131">
        <v>82963.0</v>
      </c>
      <c r="G115" s="132">
        <v>355.43</v>
      </c>
      <c r="H115" s="133">
        <v>98305.57</v>
      </c>
      <c r="I115" s="24" t="s">
        <v>4233</v>
      </c>
    </row>
    <row r="116">
      <c r="A116" s="119">
        <v>84.0</v>
      </c>
      <c r="B116" s="119">
        <v>55.0</v>
      </c>
      <c r="C116" s="129">
        <v>23781.0</v>
      </c>
      <c r="D116" s="129">
        <v>70.0</v>
      </c>
      <c r="E116" s="130">
        <v>386084.0</v>
      </c>
      <c r="F116" s="131">
        <v>21791.0</v>
      </c>
      <c r="G116" s="132">
        <v>422.25</v>
      </c>
      <c r="H116" s="133">
        <v>704.3</v>
      </c>
      <c r="I116" s="24" t="s">
        <v>4234</v>
      </c>
    </row>
    <row r="117">
      <c r="A117" s="119">
        <v>64.0</v>
      </c>
      <c r="B117" s="119">
        <v>9.0</v>
      </c>
      <c r="C117" s="129">
        <v>44795.0</v>
      </c>
      <c r="D117" s="129">
        <v>-40.0</v>
      </c>
      <c r="E117" s="130">
        <v>-531.0</v>
      </c>
      <c r="F117" s="131">
        <v>581.0</v>
      </c>
      <c r="G117" s="132">
        <v>70.88</v>
      </c>
      <c r="H117" s="133">
        <v>728.72</v>
      </c>
      <c r="I117" s="24" t="s">
        <v>4235</v>
      </c>
    </row>
    <row r="118">
      <c r="A118" s="119">
        <v>64.0</v>
      </c>
      <c r="B118" s="119">
        <v>10.0</v>
      </c>
      <c r="C118" s="129">
        <v>73764.0</v>
      </c>
      <c r="D118" s="129">
        <v>466.0</v>
      </c>
      <c r="E118" s="130">
        <v>-35093.0</v>
      </c>
      <c r="F118" s="131">
        <v>82.0</v>
      </c>
      <c r="G118" s="132">
        <v>49312.3</v>
      </c>
      <c r="H118" s="133">
        <v>94.16</v>
      </c>
      <c r="I118" s="24" t="s">
        <v>4236</v>
      </c>
    </row>
    <row r="119">
      <c r="A119" s="119">
        <v>23.0</v>
      </c>
      <c r="B119" s="119">
        <v>15.0</v>
      </c>
      <c r="C119" s="129">
        <v>89537.0</v>
      </c>
      <c r="D119" s="129">
        <v>34.0</v>
      </c>
      <c r="E119" s="130">
        <v>732758.0</v>
      </c>
      <c r="F119" s="131">
        <v>257.0</v>
      </c>
      <c r="G119" s="132">
        <v>118.81</v>
      </c>
      <c r="H119" s="133">
        <v>5360.94</v>
      </c>
      <c r="I119" s="24" t="s">
        <v>4237</v>
      </c>
    </row>
    <row r="120">
      <c r="A120" s="119">
        <v>64.0</v>
      </c>
      <c r="B120" s="119">
        <v>12.0</v>
      </c>
      <c r="C120" s="129">
        <v>96723.0</v>
      </c>
      <c r="D120" s="129">
        <v>65352.0</v>
      </c>
      <c r="E120" s="130">
        <v>32.0</v>
      </c>
      <c r="F120" s="131">
        <v>76.0</v>
      </c>
      <c r="G120" s="132">
        <v>-84.66</v>
      </c>
      <c r="H120" s="133">
        <v>202.3</v>
      </c>
      <c r="I120" s="24" t="s">
        <v>4238</v>
      </c>
    </row>
    <row r="121">
      <c r="A121" s="119">
        <v>23.0</v>
      </c>
      <c r="B121" s="119">
        <v>17.0</v>
      </c>
      <c r="C121" s="129">
        <v>96350.0</v>
      </c>
      <c r="D121" s="129">
        <v>653.0</v>
      </c>
      <c r="E121" s="130">
        <v>64274.0</v>
      </c>
      <c r="F121" s="131">
        <v>39973.0</v>
      </c>
      <c r="G121" s="132">
        <v>652.39</v>
      </c>
      <c r="H121" s="133">
        <v>85.68</v>
      </c>
      <c r="I121" s="24" t="s">
        <v>4239</v>
      </c>
    </row>
    <row r="122">
      <c r="A122" s="119">
        <v>64.0</v>
      </c>
      <c r="B122" s="119">
        <v>14.0</v>
      </c>
      <c r="C122" s="129">
        <v>55236.0</v>
      </c>
      <c r="D122" s="129">
        <v>81067.0</v>
      </c>
      <c r="E122" s="130">
        <v>376746.0</v>
      </c>
      <c r="F122" s="131">
        <v>83314.0</v>
      </c>
      <c r="G122" s="132">
        <v>926.77</v>
      </c>
      <c r="H122" s="133">
        <v>66.83</v>
      </c>
      <c r="I122" s="24" t="s">
        <v>4240</v>
      </c>
    </row>
    <row r="123">
      <c r="A123" s="119">
        <v>84.0</v>
      </c>
      <c r="B123" s="119">
        <v>63.0</v>
      </c>
      <c r="C123" s="129">
        <v>4918.0</v>
      </c>
      <c r="D123" s="129">
        <v>3357.0</v>
      </c>
      <c r="E123" s="130">
        <v>830.0</v>
      </c>
      <c r="F123" s="131">
        <v>8881.0</v>
      </c>
      <c r="G123" s="132">
        <v>3878.48</v>
      </c>
      <c r="H123" s="133">
        <v>4873.13</v>
      </c>
      <c r="I123" s="24" t="s">
        <v>4241</v>
      </c>
    </row>
    <row r="124">
      <c r="A124" s="119">
        <v>43.0</v>
      </c>
      <c r="B124" s="119">
        <v>68.0</v>
      </c>
      <c r="C124" s="129">
        <v>34828.0</v>
      </c>
      <c r="D124" s="129">
        <v>97522.0</v>
      </c>
      <c r="E124" s="130">
        <v>-102464.0</v>
      </c>
      <c r="F124" s="131">
        <v>9615.0</v>
      </c>
      <c r="G124" s="132">
        <v>7525.79</v>
      </c>
      <c r="H124" s="133">
        <v>74316.81</v>
      </c>
      <c r="I124" s="24" t="s">
        <v>4242</v>
      </c>
    </row>
    <row r="125">
      <c r="A125" s="119">
        <v>64.0</v>
      </c>
      <c r="B125" s="119">
        <v>17.0</v>
      </c>
      <c r="C125" s="129">
        <v>68209.0</v>
      </c>
      <c r="D125" s="129">
        <v>838.0</v>
      </c>
      <c r="E125" s="130">
        <v>-90.0</v>
      </c>
      <c r="F125" s="131">
        <v>48333.0</v>
      </c>
      <c r="G125" s="132">
        <v>4966.59</v>
      </c>
      <c r="H125" s="133">
        <v>40.85</v>
      </c>
      <c r="I125" s="24" t="s">
        <v>4243</v>
      </c>
    </row>
    <row r="126">
      <c r="A126" s="119">
        <v>64.0</v>
      </c>
      <c r="B126" s="119">
        <v>19.0</v>
      </c>
      <c r="C126" s="129">
        <v>34060.0</v>
      </c>
      <c r="D126" s="129">
        <v>-105.0</v>
      </c>
      <c r="E126" s="130">
        <v>62054.0</v>
      </c>
      <c r="F126" s="131">
        <v>5999.0</v>
      </c>
      <c r="G126" s="132">
        <v>443.59</v>
      </c>
      <c r="H126" s="133">
        <v>351.24</v>
      </c>
      <c r="I126" s="24" t="s">
        <v>4244</v>
      </c>
    </row>
    <row r="127">
      <c r="A127" s="119">
        <v>23.0</v>
      </c>
      <c r="B127" s="119">
        <v>26.0</v>
      </c>
      <c r="C127" s="129">
        <v>18549.0</v>
      </c>
      <c r="D127" s="129">
        <v>-80162.0</v>
      </c>
      <c r="E127" s="130">
        <v>77.0</v>
      </c>
      <c r="F127" s="131">
        <v>73.0</v>
      </c>
      <c r="G127" s="132">
        <v>25048.44</v>
      </c>
      <c r="H127" s="133">
        <v>269.1</v>
      </c>
      <c r="I127" s="24" t="s">
        <v>4245</v>
      </c>
    </row>
    <row r="128">
      <c r="A128" s="119">
        <v>43.0</v>
      </c>
      <c r="B128" s="119">
        <v>79.0</v>
      </c>
      <c r="C128" s="129">
        <v>29314.0</v>
      </c>
      <c r="D128" s="129">
        <v>762.0</v>
      </c>
      <c r="E128" s="130">
        <v>407.0</v>
      </c>
      <c r="F128" s="131">
        <v>98352.0</v>
      </c>
      <c r="G128" s="132">
        <v>-31688.24</v>
      </c>
      <c r="H128" s="133">
        <v>421.4</v>
      </c>
      <c r="I128" s="24" t="s">
        <v>4246</v>
      </c>
    </row>
    <row r="129">
      <c r="A129" s="119">
        <v>23.0</v>
      </c>
      <c r="B129" s="119">
        <v>35.0</v>
      </c>
      <c r="C129" s="129">
        <v>15270.0</v>
      </c>
      <c r="D129" s="129">
        <v>854.0</v>
      </c>
      <c r="E129" s="130">
        <v>694.0</v>
      </c>
      <c r="F129" s="131">
        <v>-693.0</v>
      </c>
      <c r="G129" s="132">
        <v>409.94</v>
      </c>
      <c r="H129" s="133">
        <v>49214.94</v>
      </c>
      <c r="I129" s="24" t="s">
        <v>4247</v>
      </c>
    </row>
    <row r="130">
      <c r="A130" s="119">
        <v>23.0</v>
      </c>
      <c r="B130" s="119">
        <v>36.0</v>
      </c>
      <c r="C130" s="129">
        <v>35754.0</v>
      </c>
      <c r="D130" s="129">
        <v>-5793.0</v>
      </c>
      <c r="E130" s="130">
        <v>96623.0</v>
      </c>
      <c r="F130" s="131">
        <v>95.0</v>
      </c>
      <c r="G130" s="132">
        <v>-182.56</v>
      </c>
      <c r="H130" s="133">
        <v>73.64</v>
      </c>
      <c r="I130" s="24" t="s">
        <v>4248</v>
      </c>
    </row>
    <row r="131">
      <c r="A131" s="119">
        <v>84.0</v>
      </c>
      <c r="B131" s="119">
        <v>97.0</v>
      </c>
      <c r="C131" s="129">
        <v>27890.0</v>
      </c>
      <c r="D131" s="129">
        <v>-99.0</v>
      </c>
      <c r="E131" s="130">
        <v>297.0</v>
      </c>
      <c r="F131" s="131">
        <v>-93.0</v>
      </c>
      <c r="G131" s="132">
        <v>323.61</v>
      </c>
      <c r="H131" s="133">
        <v>162.93</v>
      </c>
      <c r="I131" s="24" t="s">
        <v>4249</v>
      </c>
    </row>
    <row r="132">
      <c r="A132" s="119">
        <v>84.0</v>
      </c>
      <c r="B132" s="119">
        <v>98.0</v>
      </c>
      <c r="C132" s="129">
        <v>35617.0</v>
      </c>
      <c r="D132" s="129">
        <v>9277.0</v>
      </c>
      <c r="E132" s="130">
        <v>-3844.0</v>
      </c>
      <c r="F132" s="131">
        <v>1325.0</v>
      </c>
      <c r="G132" s="132">
        <v>-8022.36</v>
      </c>
      <c r="H132" s="133">
        <v>940.18</v>
      </c>
      <c r="I132" s="24" t="s">
        <v>4250</v>
      </c>
    </row>
    <row r="133">
      <c r="A133" s="119">
        <v>23.0</v>
      </c>
      <c r="B133" s="119">
        <v>58.0</v>
      </c>
      <c r="C133" s="129">
        <v>39835.0</v>
      </c>
      <c r="D133" s="129">
        <v>38.0</v>
      </c>
      <c r="E133" s="130">
        <v>9008.0</v>
      </c>
      <c r="F133" s="131">
        <v>24.0</v>
      </c>
      <c r="G133" s="132">
        <v>-253.43</v>
      </c>
      <c r="H133" s="133">
        <v>14445.85</v>
      </c>
      <c r="I133" s="24" t="s">
        <v>4251</v>
      </c>
    </row>
    <row r="134">
      <c r="A134" s="119">
        <v>64.0</v>
      </c>
      <c r="B134" s="119">
        <v>58.0</v>
      </c>
      <c r="C134" s="129">
        <v>80530.0</v>
      </c>
      <c r="D134" s="129">
        <v>291.0</v>
      </c>
      <c r="E134" s="130">
        <v>725364.0</v>
      </c>
      <c r="F134" s="131">
        <v>2740.0</v>
      </c>
      <c r="G134" s="132">
        <v>84.13</v>
      </c>
      <c r="H134" s="133">
        <v>82186.4</v>
      </c>
      <c r="I134" s="24" t="s">
        <v>4252</v>
      </c>
    </row>
    <row r="135">
      <c r="A135" s="119">
        <v>85.0</v>
      </c>
      <c r="B135" s="119">
        <v>7.0</v>
      </c>
      <c r="C135" s="129">
        <v>16801.0</v>
      </c>
      <c r="D135" s="129">
        <v>81.0</v>
      </c>
      <c r="E135" s="130">
        <v>312.0</v>
      </c>
      <c r="F135" s="131">
        <v>-4542.0</v>
      </c>
      <c r="G135" s="132">
        <v>-35.67</v>
      </c>
      <c r="H135" s="133">
        <v>1074.3</v>
      </c>
      <c r="I135" s="24" t="s">
        <v>4253</v>
      </c>
    </row>
    <row r="136">
      <c r="A136" s="119">
        <v>23.0</v>
      </c>
      <c r="B136" s="119">
        <v>64.0</v>
      </c>
      <c r="C136" s="129">
        <v>62013.0</v>
      </c>
      <c r="D136" s="129">
        <v>278.0</v>
      </c>
      <c r="E136" s="130">
        <v>96203.0</v>
      </c>
      <c r="F136" s="131">
        <v>8611.0</v>
      </c>
      <c r="G136" s="132">
        <v>820.27</v>
      </c>
      <c r="H136" s="133">
        <v>93519.86</v>
      </c>
      <c r="I136" s="24" t="s">
        <v>4238</v>
      </c>
    </row>
    <row r="137">
      <c r="A137" s="119">
        <v>44.0</v>
      </c>
      <c r="B137" s="119">
        <v>16.0</v>
      </c>
      <c r="C137" s="129">
        <v>60822.0</v>
      </c>
      <c r="D137" s="129">
        <v>93.0</v>
      </c>
      <c r="E137" s="130">
        <v>80719.0</v>
      </c>
      <c r="F137" s="131">
        <v>83078.0</v>
      </c>
      <c r="G137" s="132">
        <v>900.62</v>
      </c>
      <c r="H137" s="133">
        <v>27264.25</v>
      </c>
      <c r="I137" s="24" t="s">
        <v>4254</v>
      </c>
    </row>
    <row r="138">
      <c r="A138" s="119">
        <v>64.0</v>
      </c>
      <c r="B138" s="119">
        <v>64.0</v>
      </c>
      <c r="C138" s="129">
        <v>61602.0</v>
      </c>
      <c r="D138" s="129">
        <v>-31747.0</v>
      </c>
      <c r="E138" s="130">
        <v>575.0</v>
      </c>
      <c r="F138" s="131">
        <v>733.0</v>
      </c>
      <c r="G138" s="132">
        <v>49.56</v>
      </c>
      <c r="H138" s="133">
        <v>730.98</v>
      </c>
      <c r="I138" s="24" t="s">
        <v>4255</v>
      </c>
    </row>
    <row r="139">
      <c r="A139" s="119">
        <v>64.0</v>
      </c>
      <c r="B139" s="119">
        <v>72.0</v>
      </c>
      <c r="C139" s="129">
        <v>70664.0</v>
      </c>
      <c r="D139" s="129">
        <v>-58.0</v>
      </c>
      <c r="E139" s="130">
        <v>-67.0</v>
      </c>
      <c r="F139" s="131">
        <v>8302.0</v>
      </c>
      <c r="G139" s="132">
        <v>74649.14</v>
      </c>
      <c r="H139" s="133">
        <v>-38165.38</v>
      </c>
      <c r="I139" s="24" t="s">
        <v>4256</v>
      </c>
    </row>
    <row r="140">
      <c r="A140" s="119">
        <v>85.0</v>
      </c>
      <c r="B140" s="119">
        <v>22.0</v>
      </c>
      <c r="C140" s="129">
        <v>55232.0</v>
      </c>
      <c r="D140" s="129">
        <v>-39.0</v>
      </c>
      <c r="E140" s="130">
        <v>190.0</v>
      </c>
      <c r="F140" s="131">
        <v>-450.0</v>
      </c>
      <c r="G140" s="132">
        <v>69788.83</v>
      </c>
      <c r="H140" s="133">
        <v>293.67</v>
      </c>
      <c r="I140" s="24" t="s">
        <v>4257</v>
      </c>
    </row>
    <row r="141">
      <c r="A141" s="119">
        <v>85.0</v>
      </c>
      <c r="B141" s="119">
        <v>24.0</v>
      </c>
      <c r="C141" s="129">
        <v>40584.0</v>
      </c>
      <c r="D141" s="129">
        <v>310.0</v>
      </c>
      <c r="E141" s="130">
        <v>-58.0</v>
      </c>
      <c r="F141" s="131">
        <v>5419.0</v>
      </c>
      <c r="G141" s="132">
        <v>73.96</v>
      </c>
      <c r="H141" s="133">
        <v>-36510.74</v>
      </c>
      <c r="I141" s="24" t="s">
        <v>4258</v>
      </c>
    </row>
    <row r="142">
      <c r="A142" s="119">
        <v>44.0</v>
      </c>
      <c r="B142" s="119">
        <v>29.0</v>
      </c>
      <c r="C142" s="129">
        <v>54978.0</v>
      </c>
      <c r="D142" s="129">
        <v>-83.0</v>
      </c>
      <c r="E142" s="130">
        <v>-69.0</v>
      </c>
      <c r="F142" s="131">
        <v>-48325.0</v>
      </c>
      <c r="G142" s="132">
        <v>195.45</v>
      </c>
      <c r="H142" s="133">
        <v>33686.43</v>
      </c>
      <c r="I142" s="24" t="s">
        <v>4259</v>
      </c>
    </row>
    <row r="143">
      <c r="A143" s="119">
        <v>85.0</v>
      </c>
      <c r="B143" s="119">
        <v>26.0</v>
      </c>
      <c r="C143" s="129">
        <v>79529.0</v>
      </c>
      <c r="D143" s="129">
        <v>-8746.0</v>
      </c>
      <c r="E143" s="130">
        <v>653673.0</v>
      </c>
      <c r="F143" s="131">
        <v>71009.0</v>
      </c>
      <c r="G143" s="132">
        <v>-531.52</v>
      </c>
      <c r="H143" s="133">
        <v>75.49</v>
      </c>
      <c r="I143" s="24" t="s">
        <v>4260</v>
      </c>
    </row>
    <row r="144">
      <c r="A144" s="119">
        <v>85.0</v>
      </c>
      <c r="B144" s="119">
        <v>28.0</v>
      </c>
      <c r="C144" s="129">
        <v>50146.0</v>
      </c>
      <c r="D144" s="129">
        <v>11329.0</v>
      </c>
      <c r="E144" s="130">
        <v>46.0</v>
      </c>
      <c r="F144" s="131">
        <v>1382.0</v>
      </c>
      <c r="G144" s="132">
        <v>9596.95</v>
      </c>
      <c r="H144" s="133">
        <v>-55732.23</v>
      </c>
      <c r="I144" s="24" t="s">
        <v>4261</v>
      </c>
    </row>
    <row r="145">
      <c r="A145" s="119">
        <v>23.0</v>
      </c>
      <c r="B145" s="119">
        <v>85.0</v>
      </c>
      <c r="C145" s="129">
        <v>3162.0</v>
      </c>
      <c r="D145" s="129">
        <v>-792.0</v>
      </c>
      <c r="E145" s="130">
        <v>-83.0</v>
      </c>
      <c r="F145" s="131">
        <v>-40691.0</v>
      </c>
      <c r="G145" s="132">
        <v>-981.11</v>
      </c>
      <c r="H145" s="133">
        <v>72867.89</v>
      </c>
      <c r="I145" s="24" t="s">
        <v>4262</v>
      </c>
    </row>
    <row r="146">
      <c r="A146" s="119">
        <v>85.0</v>
      </c>
      <c r="B146" s="119">
        <v>31.0</v>
      </c>
      <c r="C146" s="129">
        <v>89803.0</v>
      </c>
      <c r="D146" s="129">
        <v>53.0</v>
      </c>
      <c r="E146" s="130">
        <v>74842.0</v>
      </c>
      <c r="F146" s="131">
        <v>1379.0</v>
      </c>
      <c r="G146" s="132">
        <v>520.6</v>
      </c>
      <c r="H146" s="133">
        <v>-52.8</v>
      </c>
      <c r="I146" s="24" t="s">
        <v>4263</v>
      </c>
    </row>
    <row r="147">
      <c r="A147" s="119">
        <v>23.0</v>
      </c>
      <c r="B147" s="119">
        <v>88.0</v>
      </c>
      <c r="C147" s="129">
        <v>58421.0</v>
      </c>
      <c r="D147" s="129">
        <v>699.0</v>
      </c>
      <c r="E147" s="130">
        <v>574.0</v>
      </c>
      <c r="F147" s="131">
        <v>722.0</v>
      </c>
      <c r="G147" s="132">
        <v>74618.4</v>
      </c>
      <c r="H147" s="133">
        <v>9022.14</v>
      </c>
      <c r="I147" s="24" t="s">
        <v>4264</v>
      </c>
    </row>
    <row r="148">
      <c r="A148" s="119">
        <v>44.0</v>
      </c>
      <c r="B148" s="119">
        <v>37.0</v>
      </c>
      <c r="C148" s="129">
        <v>11247.0</v>
      </c>
      <c r="D148" s="129">
        <v>823.0</v>
      </c>
      <c r="E148" s="130">
        <v>-72.0</v>
      </c>
      <c r="F148" s="131">
        <v>-892.0</v>
      </c>
      <c r="G148" s="132">
        <v>69551.2</v>
      </c>
      <c r="H148" s="133">
        <v>68673.34</v>
      </c>
      <c r="I148" s="24" t="s">
        <v>4265</v>
      </c>
    </row>
    <row r="149">
      <c r="A149" s="119">
        <v>64.0</v>
      </c>
      <c r="B149" s="119">
        <v>90.0</v>
      </c>
      <c r="C149" s="129">
        <v>850.0</v>
      </c>
      <c r="D149" s="129">
        <v>843.0</v>
      </c>
      <c r="E149" s="130">
        <v>5149.0</v>
      </c>
      <c r="F149" s="131">
        <v>-6568.0</v>
      </c>
      <c r="G149" s="132">
        <v>736.2</v>
      </c>
      <c r="H149" s="133">
        <v>7296.78</v>
      </c>
      <c r="I149" s="24" t="s">
        <v>4266</v>
      </c>
    </row>
    <row r="150">
      <c r="A150" s="119">
        <v>23.0</v>
      </c>
      <c r="B150" s="119">
        <v>99.0</v>
      </c>
      <c r="C150" s="129">
        <v>27847.0</v>
      </c>
      <c r="D150" s="129">
        <v>76.0</v>
      </c>
      <c r="E150" s="130">
        <v>912654.0</v>
      </c>
      <c r="F150" s="131">
        <v>-2633.0</v>
      </c>
      <c r="G150" s="132">
        <v>21.73</v>
      </c>
      <c r="H150" s="133">
        <v>73.54</v>
      </c>
      <c r="I150" s="24" t="s">
        <v>4267</v>
      </c>
    </row>
    <row r="151">
      <c r="A151" s="119">
        <v>85.0</v>
      </c>
      <c r="B151" s="119">
        <v>43.0</v>
      </c>
      <c r="C151" s="129">
        <v>57009.0</v>
      </c>
      <c r="D151" s="129">
        <v>-92.0</v>
      </c>
      <c r="E151" s="130">
        <v>6209.0</v>
      </c>
      <c r="F151" s="131">
        <v>-18.0</v>
      </c>
      <c r="G151" s="132">
        <v>23.86</v>
      </c>
      <c r="H151" s="133">
        <v>75748.1</v>
      </c>
      <c r="I151" s="24" t="s">
        <v>4268</v>
      </c>
    </row>
    <row r="152">
      <c r="A152" s="119">
        <v>44.0</v>
      </c>
      <c r="B152" s="119">
        <v>53.0</v>
      </c>
      <c r="C152" s="129">
        <v>12407.0</v>
      </c>
      <c r="D152" s="129">
        <v>66367.0</v>
      </c>
      <c r="E152" s="130">
        <v>3707.0</v>
      </c>
      <c r="F152" s="131">
        <v>8444.0</v>
      </c>
      <c r="G152" s="132">
        <v>-230.24</v>
      </c>
      <c r="H152" s="133">
        <v>9482.4</v>
      </c>
      <c r="I152" s="24" t="s">
        <v>4269</v>
      </c>
    </row>
    <row r="153">
      <c r="A153" s="119">
        <v>65.0</v>
      </c>
      <c r="B153" s="119">
        <v>2.0</v>
      </c>
      <c r="C153" s="129">
        <v>70526.0</v>
      </c>
      <c r="D153" s="129">
        <v>21770.0</v>
      </c>
      <c r="E153" s="130">
        <v>2416.0</v>
      </c>
      <c r="F153" s="131">
        <v>8974.0</v>
      </c>
      <c r="G153" s="132">
        <v>61417.53</v>
      </c>
      <c r="H153" s="133">
        <v>79195.87</v>
      </c>
      <c r="I153" s="24" t="s">
        <v>4270</v>
      </c>
    </row>
    <row r="154">
      <c r="A154" s="119">
        <v>24.0</v>
      </c>
      <c r="B154" s="119">
        <v>8.0</v>
      </c>
      <c r="C154" s="129">
        <v>51504.0</v>
      </c>
      <c r="D154" s="129">
        <v>-545.0</v>
      </c>
      <c r="E154" s="130">
        <v>441518.0</v>
      </c>
      <c r="F154" s="131">
        <v>71801.0</v>
      </c>
      <c r="G154" s="132">
        <v>-2441.88</v>
      </c>
      <c r="H154" s="133">
        <v>-54724.4</v>
      </c>
      <c r="I154" s="24" t="s">
        <v>4271</v>
      </c>
    </row>
    <row r="155">
      <c r="A155" s="119">
        <v>44.0</v>
      </c>
      <c r="B155" s="119">
        <v>59.0</v>
      </c>
      <c r="C155" s="129">
        <v>25274.0</v>
      </c>
      <c r="D155" s="129">
        <v>18421.0</v>
      </c>
      <c r="E155" s="130">
        <v>44.0</v>
      </c>
      <c r="F155" s="131">
        <v>71672.0</v>
      </c>
      <c r="G155" s="132">
        <v>-5651.47</v>
      </c>
      <c r="H155" s="133">
        <v>-91134.73</v>
      </c>
      <c r="I155" s="24" t="s">
        <v>4272</v>
      </c>
    </row>
    <row r="156">
      <c r="A156" s="119">
        <v>65.0</v>
      </c>
      <c r="B156" s="119">
        <v>8.0</v>
      </c>
      <c r="C156" s="129">
        <v>14720.0</v>
      </c>
      <c r="D156" s="129">
        <v>41.0</v>
      </c>
      <c r="E156" s="130">
        <v>354.0</v>
      </c>
      <c r="F156" s="131">
        <v>95.0</v>
      </c>
      <c r="G156" s="132">
        <v>423.23</v>
      </c>
      <c r="H156" s="133">
        <v>-4270.41</v>
      </c>
      <c r="I156" s="24" t="s">
        <v>4273</v>
      </c>
    </row>
    <row r="157">
      <c r="A157" s="119">
        <v>85.0</v>
      </c>
      <c r="B157" s="119">
        <v>58.0</v>
      </c>
      <c r="C157" s="129">
        <v>87668.0</v>
      </c>
      <c r="D157" s="129">
        <v>921.0</v>
      </c>
      <c r="E157" s="130">
        <v>-977.0</v>
      </c>
      <c r="F157" s="131">
        <v>53885.0</v>
      </c>
      <c r="G157" s="132">
        <v>4745.17</v>
      </c>
      <c r="H157" s="133">
        <v>900.98</v>
      </c>
      <c r="I157" s="24" t="s">
        <v>4274</v>
      </c>
    </row>
    <row r="158">
      <c r="A158" s="119">
        <v>65.0</v>
      </c>
      <c r="B158" s="119">
        <v>11.0</v>
      </c>
      <c r="C158" s="129">
        <v>31004.0</v>
      </c>
      <c r="D158" s="129">
        <v>55.0</v>
      </c>
      <c r="E158" s="130">
        <v>48155.0</v>
      </c>
      <c r="F158" s="131">
        <v>-76771.0</v>
      </c>
      <c r="G158" s="132">
        <v>76.88</v>
      </c>
      <c r="H158" s="133">
        <v>340.19</v>
      </c>
      <c r="I158" s="24" t="s">
        <v>4275</v>
      </c>
    </row>
    <row r="159">
      <c r="A159" s="119">
        <v>24.0</v>
      </c>
      <c r="B159" s="119">
        <v>17.0</v>
      </c>
      <c r="C159" s="129">
        <v>1579.0</v>
      </c>
      <c r="D159" s="129">
        <v>20.0</v>
      </c>
      <c r="E159" s="130">
        <v>-364.0</v>
      </c>
      <c r="F159" s="131">
        <v>10.0</v>
      </c>
      <c r="G159" s="132">
        <v>1500.0</v>
      </c>
      <c r="H159" s="133">
        <v>-99043.91</v>
      </c>
      <c r="I159" s="24" t="s">
        <v>4276</v>
      </c>
    </row>
    <row r="160">
      <c r="A160" s="119">
        <v>85.0</v>
      </c>
      <c r="B160" s="119">
        <v>62.0</v>
      </c>
      <c r="C160" s="129">
        <v>20590.0</v>
      </c>
      <c r="D160" s="129">
        <v>57.0</v>
      </c>
      <c r="E160" s="130">
        <v>-73.0</v>
      </c>
      <c r="F160" s="131">
        <v>93541.0</v>
      </c>
      <c r="G160" s="132">
        <v>-24899.6</v>
      </c>
      <c r="H160" s="133">
        <v>-274.89</v>
      </c>
      <c r="I160" s="24" t="s">
        <v>4277</v>
      </c>
    </row>
    <row r="161">
      <c r="A161" s="119">
        <v>65.0</v>
      </c>
      <c r="B161" s="119">
        <v>15.0</v>
      </c>
      <c r="C161" s="129">
        <v>55624.0</v>
      </c>
      <c r="D161" s="129">
        <v>-67.0</v>
      </c>
      <c r="E161" s="130">
        <v>874360.0</v>
      </c>
      <c r="F161" s="131">
        <v>49747.0</v>
      </c>
      <c r="G161" s="132">
        <v>461.53</v>
      </c>
      <c r="H161" s="133">
        <v>39.2</v>
      </c>
      <c r="I161" s="24" t="s">
        <v>4278</v>
      </c>
    </row>
    <row r="162">
      <c r="A162" s="119">
        <v>85.0</v>
      </c>
      <c r="B162" s="119">
        <v>64.0</v>
      </c>
      <c r="C162" s="129">
        <v>89853.0</v>
      </c>
      <c r="D162" s="129">
        <v>6725.0</v>
      </c>
      <c r="E162" s="130">
        <v>51.0</v>
      </c>
      <c r="F162" s="131">
        <v>95034.0</v>
      </c>
      <c r="G162" s="132">
        <v>145.13</v>
      </c>
      <c r="H162" s="133">
        <v>932.4</v>
      </c>
      <c r="I162" s="24" t="s">
        <v>4279</v>
      </c>
    </row>
    <row r="163">
      <c r="A163" s="119">
        <v>24.0</v>
      </c>
      <c r="B163" s="119">
        <v>19.0</v>
      </c>
      <c r="C163" s="129">
        <v>53922.0</v>
      </c>
      <c r="D163" s="129">
        <v>76.0</v>
      </c>
      <c r="E163" s="130">
        <v>713657.0</v>
      </c>
      <c r="F163" s="131">
        <v>24.0</v>
      </c>
      <c r="G163" s="132">
        <v>760.5</v>
      </c>
      <c r="H163" s="133">
        <v>7771.83</v>
      </c>
      <c r="I163" s="24" t="s">
        <v>4280</v>
      </c>
    </row>
    <row r="164">
      <c r="A164" s="119">
        <v>24.0</v>
      </c>
      <c r="B164" s="119">
        <v>29.0</v>
      </c>
      <c r="C164" s="129">
        <v>82.0</v>
      </c>
      <c r="D164" s="129">
        <v>658.0</v>
      </c>
      <c r="E164" s="130">
        <v>263.0</v>
      </c>
      <c r="F164" s="131">
        <v>-6561.0</v>
      </c>
      <c r="G164" s="132">
        <v>252.37</v>
      </c>
      <c r="H164" s="133">
        <v>665.23</v>
      </c>
      <c r="I164" s="24" t="s">
        <v>4281</v>
      </c>
    </row>
    <row r="165">
      <c r="A165" s="119">
        <v>85.0</v>
      </c>
      <c r="B165" s="119">
        <v>76.0</v>
      </c>
      <c r="C165" s="129">
        <v>33163.0</v>
      </c>
      <c r="D165" s="129">
        <v>93246.0</v>
      </c>
      <c r="E165" s="130">
        <v>37.0</v>
      </c>
      <c r="F165" s="131">
        <v>48119.0</v>
      </c>
      <c r="G165" s="132">
        <v>68836.39</v>
      </c>
      <c r="H165" s="133">
        <v>180.15</v>
      </c>
      <c r="I165" s="24" t="s">
        <v>4282</v>
      </c>
    </row>
    <row r="166">
      <c r="A166" s="119">
        <v>85.0</v>
      </c>
      <c r="B166" s="119">
        <v>88.0</v>
      </c>
      <c r="C166" s="129">
        <v>60257.0</v>
      </c>
      <c r="D166" s="129">
        <v>51.0</v>
      </c>
      <c r="E166" s="130">
        <v>411352.0</v>
      </c>
      <c r="F166" s="131">
        <v>51.0</v>
      </c>
      <c r="G166" s="132">
        <v>344.1</v>
      </c>
      <c r="H166" s="133">
        <v>559.11</v>
      </c>
      <c r="I166" s="24" t="s">
        <v>4283</v>
      </c>
    </row>
    <row r="167">
      <c r="A167" s="119">
        <v>65.0</v>
      </c>
      <c r="B167" s="119">
        <v>41.0</v>
      </c>
      <c r="C167" s="129">
        <v>68963.0</v>
      </c>
      <c r="D167" s="129">
        <v>34670.0</v>
      </c>
      <c r="E167" s="130">
        <v>30404.0</v>
      </c>
      <c r="F167" s="131">
        <v>5212.0</v>
      </c>
      <c r="G167" s="132">
        <v>40976.14</v>
      </c>
      <c r="H167" s="133">
        <v>326.85</v>
      </c>
      <c r="I167" s="24" t="s">
        <v>4284</v>
      </c>
    </row>
    <row r="168">
      <c r="A168" s="119">
        <v>24.0</v>
      </c>
      <c r="B168" s="119">
        <v>46.0</v>
      </c>
      <c r="C168" s="129">
        <v>63190.0</v>
      </c>
      <c r="D168" s="129">
        <v>507.0</v>
      </c>
      <c r="E168" s="130">
        <v>8146.0</v>
      </c>
      <c r="F168" s="131">
        <v>84992.0</v>
      </c>
      <c r="G168" s="132">
        <v>48331.23</v>
      </c>
      <c r="H168" s="133">
        <v>42361.65</v>
      </c>
      <c r="I168" s="24" t="s">
        <v>4285</v>
      </c>
    </row>
    <row r="169">
      <c r="A169" s="119">
        <v>85.0</v>
      </c>
      <c r="B169" s="119">
        <v>89.0</v>
      </c>
      <c r="C169" s="129">
        <v>48895.0</v>
      </c>
      <c r="D169" s="129">
        <v>-7027.0</v>
      </c>
      <c r="E169" s="130">
        <v>-645890.0</v>
      </c>
      <c r="F169" s="131">
        <v>62517.0</v>
      </c>
      <c r="G169" s="132">
        <v>-451.78</v>
      </c>
      <c r="H169" s="133">
        <v>25.72</v>
      </c>
      <c r="I169" s="24" t="s">
        <v>4286</v>
      </c>
    </row>
    <row r="170">
      <c r="A170" s="119">
        <v>85.0</v>
      </c>
      <c r="B170" s="119">
        <v>93.0</v>
      </c>
      <c r="C170" s="129">
        <v>11919.0</v>
      </c>
      <c r="D170" s="129">
        <v>9545.0</v>
      </c>
      <c r="E170" s="130">
        <v>8067.0</v>
      </c>
      <c r="F170" s="131">
        <v>-46585.0</v>
      </c>
      <c r="G170" s="132">
        <v>-48.23</v>
      </c>
      <c r="H170" s="133">
        <v>-11061.0</v>
      </c>
      <c r="I170" s="24" t="s">
        <v>4287</v>
      </c>
    </row>
    <row r="171">
      <c r="A171" s="119">
        <v>24.0</v>
      </c>
      <c r="B171" s="119">
        <v>53.0</v>
      </c>
      <c r="C171" s="129">
        <v>42968.0</v>
      </c>
      <c r="D171" s="129">
        <v>70.0</v>
      </c>
      <c r="E171" s="130">
        <v>570622.0</v>
      </c>
      <c r="F171" s="131">
        <v>461.0</v>
      </c>
      <c r="G171" s="132">
        <v>28.24</v>
      </c>
      <c r="H171" s="133">
        <v>530.41</v>
      </c>
      <c r="I171" s="24" t="s">
        <v>4288</v>
      </c>
    </row>
    <row r="172">
      <c r="A172" s="119">
        <v>85.0</v>
      </c>
      <c r="B172" s="119">
        <v>97.0</v>
      </c>
      <c r="C172" s="129">
        <v>82614.0</v>
      </c>
      <c r="D172" s="129">
        <v>440.0</v>
      </c>
      <c r="E172" s="130">
        <v>5428.0</v>
      </c>
      <c r="F172" s="131">
        <v>46958.0</v>
      </c>
      <c r="G172" s="132">
        <v>90368.66</v>
      </c>
      <c r="H172" s="133">
        <v>75556.3</v>
      </c>
      <c r="I172" s="24" t="s">
        <v>4289</v>
      </c>
    </row>
    <row r="173">
      <c r="A173" s="119">
        <v>45.0</v>
      </c>
      <c r="B173" s="119">
        <v>4.0</v>
      </c>
      <c r="C173" s="129">
        <v>35381.0</v>
      </c>
      <c r="D173" s="129">
        <v>-51.0</v>
      </c>
      <c r="E173" s="130">
        <v>243.0</v>
      </c>
      <c r="F173" s="131">
        <v>71.0</v>
      </c>
      <c r="G173" s="132">
        <v>47735.6</v>
      </c>
      <c r="H173" s="133">
        <v>-2828.7</v>
      </c>
      <c r="I173" s="24" t="s">
        <v>4290</v>
      </c>
    </row>
    <row r="174">
      <c r="A174" s="119">
        <v>86.0</v>
      </c>
      <c r="B174" s="119">
        <v>0.0</v>
      </c>
      <c r="C174" s="129">
        <v>65578.0</v>
      </c>
      <c r="D174" s="129">
        <v>-71108.0</v>
      </c>
      <c r="E174" s="130">
        <v>63.0</v>
      </c>
      <c r="F174" s="131">
        <v>2776.0</v>
      </c>
      <c r="G174" s="132">
        <v>2648.58</v>
      </c>
      <c r="H174" s="133">
        <v>975.6</v>
      </c>
      <c r="I174" s="24" t="s">
        <v>4291</v>
      </c>
    </row>
    <row r="175">
      <c r="A175" s="119">
        <v>65.0</v>
      </c>
      <c r="B175" s="119">
        <v>58.0</v>
      </c>
      <c r="C175" s="129">
        <v>78270.0</v>
      </c>
      <c r="D175" s="129">
        <v>-9877.0</v>
      </c>
      <c r="E175" s="130">
        <v>6422.0</v>
      </c>
      <c r="F175" s="131">
        <v>-78601.0</v>
      </c>
      <c r="G175" s="132">
        <v>66.38</v>
      </c>
      <c r="H175" s="133">
        <v>-3188.3</v>
      </c>
      <c r="I175" s="24" t="s">
        <v>4292</v>
      </c>
    </row>
    <row r="176">
      <c r="A176" s="119">
        <v>45.0</v>
      </c>
      <c r="B176" s="119">
        <v>18.0</v>
      </c>
      <c r="C176" s="129">
        <v>59297.0</v>
      </c>
      <c r="D176" s="129">
        <v>3251.0</v>
      </c>
      <c r="E176" s="130">
        <v>81.0</v>
      </c>
      <c r="F176" s="131">
        <v>-2006.0</v>
      </c>
      <c r="G176" s="132">
        <v>45.86</v>
      </c>
      <c r="H176" s="133">
        <v>742.2</v>
      </c>
      <c r="I176" s="24" t="s">
        <v>4293</v>
      </c>
    </row>
    <row r="177">
      <c r="A177" s="119">
        <v>65.0</v>
      </c>
      <c r="B177" s="119">
        <v>70.0</v>
      </c>
      <c r="C177" s="129">
        <v>82245.0</v>
      </c>
      <c r="D177" s="129">
        <v>8535.0</v>
      </c>
      <c r="E177" s="130">
        <v>162.0</v>
      </c>
      <c r="F177" s="131">
        <v>-45.0</v>
      </c>
      <c r="G177" s="132">
        <v>90438.66</v>
      </c>
      <c r="H177" s="133">
        <v>37.34</v>
      </c>
      <c r="I177" s="24" t="s">
        <v>4294</v>
      </c>
    </row>
    <row r="178">
      <c r="A178" s="119">
        <v>86.0</v>
      </c>
      <c r="B178" s="119">
        <v>19.0</v>
      </c>
      <c r="C178" s="129">
        <v>82645.0</v>
      </c>
      <c r="D178" s="129">
        <v>3676.0</v>
      </c>
      <c r="E178" s="130">
        <v>363817.0</v>
      </c>
      <c r="F178" s="131">
        <v>597.0</v>
      </c>
      <c r="G178" s="132">
        <v>99390.27</v>
      </c>
      <c r="H178" s="133">
        <v>-31420.14</v>
      </c>
      <c r="I178" s="24" t="s">
        <v>4295</v>
      </c>
    </row>
    <row r="179">
      <c r="A179" s="119">
        <v>45.0</v>
      </c>
      <c r="B179" s="119">
        <v>25.0</v>
      </c>
      <c r="C179" s="129">
        <v>49421.0</v>
      </c>
      <c r="D179" s="129">
        <v>-57.0</v>
      </c>
      <c r="E179" s="130">
        <v>31.0</v>
      </c>
      <c r="F179" s="131">
        <v>790.0</v>
      </c>
      <c r="G179" s="132">
        <v>57019.56</v>
      </c>
      <c r="H179" s="133">
        <v>83.99</v>
      </c>
      <c r="I179" s="24" t="s">
        <v>4296</v>
      </c>
    </row>
    <row r="180">
      <c r="A180" s="119">
        <v>45.0</v>
      </c>
      <c r="B180" s="119">
        <v>26.0</v>
      </c>
      <c r="C180" s="129">
        <v>50903.0</v>
      </c>
      <c r="D180" s="129">
        <v>99.0</v>
      </c>
      <c r="E180" s="130">
        <v>88931.0</v>
      </c>
      <c r="F180" s="131">
        <v>919.0</v>
      </c>
      <c r="G180" s="132">
        <v>5837.9</v>
      </c>
      <c r="H180" s="133">
        <v>65156.54</v>
      </c>
      <c r="I180" s="24" t="s">
        <v>4297</v>
      </c>
    </row>
    <row r="181">
      <c r="A181" s="119">
        <v>45.0</v>
      </c>
      <c r="B181" s="119">
        <v>29.0</v>
      </c>
      <c r="C181" s="129">
        <v>46819.0</v>
      </c>
      <c r="D181" s="129">
        <v>-425.0</v>
      </c>
      <c r="E181" s="130">
        <v>35761.0</v>
      </c>
      <c r="F181" s="131">
        <v>682.0</v>
      </c>
      <c r="G181" s="132">
        <v>-64044.72</v>
      </c>
      <c r="H181" s="133">
        <v>76971.37</v>
      </c>
      <c r="I181" s="24" t="s">
        <v>4298</v>
      </c>
    </row>
    <row r="182">
      <c r="A182" s="119">
        <v>24.0</v>
      </c>
      <c r="B182" s="119">
        <v>86.0</v>
      </c>
      <c r="C182" s="129">
        <v>84389.0</v>
      </c>
      <c r="D182" s="129">
        <v>-73.0</v>
      </c>
      <c r="E182" s="130">
        <v>879008.0</v>
      </c>
      <c r="F182" s="131">
        <v>97.0</v>
      </c>
      <c r="G182" s="132">
        <v>-16785.24</v>
      </c>
      <c r="H182" s="133">
        <v>90.76</v>
      </c>
      <c r="I182" s="24" t="s">
        <v>4299</v>
      </c>
    </row>
    <row r="183">
      <c r="A183" s="119">
        <v>65.0</v>
      </c>
      <c r="B183" s="119">
        <v>83.0</v>
      </c>
      <c r="C183" s="129">
        <v>67868.0</v>
      </c>
      <c r="D183" s="129">
        <v>-27.0</v>
      </c>
      <c r="E183" s="130">
        <v>-7704.0</v>
      </c>
      <c r="F183" s="131">
        <v>76885.0</v>
      </c>
      <c r="G183" s="132">
        <v>65.47</v>
      </c>
      <c r="H183" s="133">
        <v>624.82</v>
      </c>
      <c r="I183" s="24" t="s">
        <v>4300</v>
      </c>
    </row>
    <row r="184">
      <c r="A184" s="119">
        <v>86.0</v>
      </c>
      <c r="B184" s="119">
        <v>32.0</v>
      </c>
      <c r="C184" s="129">
        <v>93390.0</v>
      </c>
      <c r="D184" s="129">
        <v>964.0</v>
      </c>
      <c r="E184" s="130">
        <v>677124.0</v>
      </c>
      <c r="F184" s="131">
        <v>915.0</v>
      </c>
      <c r="G184" s="132">
        <v>-23.41</v>
      </c>
      <c r="H184" s="133">
        <v>86730.27</v>
      </c>
      <c r="I184" s="24" t="s">
        <v>4301</v>
      </c>
    </row>
    <row r="185">
      <c r="A185" s="119">
        <v>24.0</v>
      </c>
      <c r="B185" s="119">
        <v>87.0</v>
      </c>
      <c r="C185" s="129">
        <v>60838.0</v>
      </c>
      <c r="D185" s="129">
        <v>91732.0</v>
      </c>
      <c r="E185" s="130">
        <v>535943.0</v>
      </c>
      <c r="F185" s="131">
        <v>-63548.0</v>
      </c>
      <c r="G185" s="132">
        <v>-18345.83</v>
      </c>
      <c r="H185" s="133">
        <v>-52651.3</v>
      </c>
      <c r="I185" s="24" t="s">
        <v>4302</v>
      </c>
    </row>
    <row r="186">
      <c r="A186" s="119">
        <v>86.0</v>
      </c>
      <c r="B186" s="119">
        <v>34.0</v>
      </c>
      <c r="C186" s="129">
        <v>37197.0</v>
      </c>
      <c r="D186" s="129">
        <v>31.0</v>
      </c>
      <c r="E186" s="130">
        <v>8957.0</v>
      </c>
      <c r="F186" s="131">
        <v>-588.0</v>
      </c>
      <c r="G186" s="132">
        <v>55.37</v>
      </c>
      <c r="H186" s="133">
        <v>-8779.56</v>
      </c>
      <c r="I186" s="24" t="s">
        <v>4303</v>
      </c>
    </row>
    <row r="187">
      <c r="A187" s="119">
        <v>24.0</v>
      </c>
      <c r="B187" s="119">
        <v>91.0</v>
      </c>
      <c r="C187" s="129">
        <v>70149.0</v>
      </c>
      <c r="D187" s="129">
        <v>6513.0</v>
      </c>
      <c r="E187" s="130">
        <v>3801.0</v>
      </c>
      <c r="F187" s="131">
        <v>92949.0</v>
      </c>
      <c r="G187" s="132">
        <v>1909.75</v>
      </c>
      <c r="H187" s="133">
        <v>8216.3</v>
      </c>
      <c r="I187" s="24" t="s">
        <v>4304</v>
      </c>
    </row>
    <row r="188">
      <c r="A188" s="119">
        <v>65.0</v>
      </c>
      <c r="B188" s="119">
        <v>84.0</v>
      </c>
      <c r="C188" s="129">
        <v>84876.0</v>
      </c>
      <c r="D188" s="129">
        <v>577.0</v>
      </c>
      <c r="E188" s="130">
        <v>35691.0</v>
      </c>
      <c r="F188" s="131">
        <v>-9025.0</v>
      </c>
      <c r="G188" s="132">
        <v>76.12</v>
      </c>
      <c r="H188" s="133">
        <v>-35.59</v>
      </c>
      <c r="I188" s="24" t="s">
        <v>4305</v>
      </c>
    </row>
    <row r="189">
      <c r="A189" s="119">
        <v>86.0</v>
      </c>
      <c r="B189" s="119">
        <v>38.0</v>
      </c>
      <c r="C189" s="129">
        <v>17889.0</v>
      </c>
      <c r="D189" s="129">
        <v>64.0</v>
      </c>
      <c r="E189" s="130">
        <v>66.0</v>
      </c>
      <c r="F189" s="131">
        <v>-6756.0</v>
      </c>
      <c r="G189" s="132">
        <v>5462.3</v>
      </c>
      <c r="H189" s="133">
        <v>99137.64</v>
      </c>
      <c r="I189" s="24" t="s">
        <v>4306</v>
      </c>
    </row>
    <row r="190">
      <c r="A190" s="119">
        <v>66.0</v>
      </c>
      <c r="B190" s="119">
        <v>0.0</v>
      </c>
      <c r="C190" s="129">
        <v>89258.0</v>
      </c>
      <c r="D190" s="129">
        <v>5306.0</v>
      </c>
      <c r="E190" s="130">
        <v>446162.0</v>
      </c>
      <c r="F190" s="131">
        <v>672.0</v>
      </c>
      <c r="G190" s="132">
        <v>-84.83</v>
      </c>
      <c r="H190" s="133">
        <v>49.34</v>
      </c>
      <c r="I190" s="24" t="s">
        <v>4307</v>
      </c>
    </row>
    <row r="191">
      <c r="A191" s="119">
        <v>45.0</v>
      </c>
      <c r="B191" s="119">
        <v>53.0</v>
      </c>
      <c r="C191" s="129">
        <v>80927.0</v>
      </c>
      <c r="D191" s="129">
        <v>362.0</v>
      </c>
      <c r="E191" s="130">
        <v>2797.0</v>
      </c>
      <c r="F191" s="131">
        <v>12004.0</v>
      </c>
      <c r="G191" s="132">
        <v>5498.12</v>
      </c>
      <c r="H191" s="133">
        <v>198.43</v>
      </c>
      <c r="I191" s="24" t="s">
        <v>4308</v>
      </c>
    </row>
    <row r="192">
      <c r="A192" s="119">
        <v>86.0</v>
      </c>
      <c r="B192" s="119">
        <v>50.0</v>
      </c>
      <c r="C192" s="129">
        <v>16736.0</v>
      </c>
      <c r="D192" s="129">
        <v>4048.0</v>
      </c>
      <c r="E192" s="130">
        <v>4873.0</v>
      </c>
      <c r="F192" s="131">
        <v>91.0</v>
      </c>
      <c r="G192" s="132">
        <v>-85.28</v>
      </c>
      <c r="H192" s="133">
        <v>165.34</v>
      </c>
      <c r="I192" s="24" t="s">
        <v>4309</v>
      </c>
    </row>
    <row r="193">
      <c r="A193" s="119">
        <v>66.0</v>
      </c>
      <c r="B193" s="119">
        <v>7.0</v>
      </c>
      <c r="C193" s="129">
        <v>30773.0</v>
      </c>
      <c r="D193" s="129">
        <v>453.0</v>
      </c>
      <c r="E193" s="130">
        <v>4829.0</v>
      </c>
      <c r="F193" s="131">
        <v>83764.0</v>
      </c>
      <c r="G193" s="132">
        <v>741.27</v>
      </c>
      <c r="H193" s="133">
        <v>-3094.63</v>
      </c>
      <c r="I193" s="24" t="s">
        <v>4193</v>
      </c>
    </row>
    <row r="194">
      <c r="A194" s="119">
        <v>25.0</v>
      </c>
      <c r="B194" s="119">
        <v>24.0</v>
      </c>
      <c r="C194" s="129">
        <v>33728.0</v>
      </c>
      <c r="D194" s="129">
        <v>-8728.0</v>
      </c>
      <c r="E194" s="130">
        <v>764.0</v>
      </c>
      <c r="F194" s="131">
        <v>-71.0</v>
      </c>
      <c r="G194" s="132">
        <v>17559.83</v>
      </c>
      <c r="H194" s="133">
        <v>745.88</v>
      </c>
      <c r="I194" s="24" t="s">
        <v>4310</v>
      </c>
    </row>
    <row r="195">
      <c r="A195" s="119">
        <v>25.0</v>
      </c>
      <c r="B195" s="119">
        <v>25.0</v>
      </c>
      <c r="C195" s="129">
        <v>62288.0</v>
      </c>
      <c r="D195" s="129">
        <v>990.0</v>
      </c>
      <c r="E195" s="130">
        <v>2202.0</v>
      </c>
      <c r="F195" s="131">
        <v>385.0</v>
      </c>
      <c r="G195" s="132">
        <v>75.19</v>
      </c>
      <c r="H195" s="133">
        <v>-5612.8</v>
      </c>
      <c r="I195" s="24" t="s">
        <v>4311</v>
      </c>
    </row>
    <row r="196">
      <c r="A196" s="119">
        <v>86.0</v>
      </c>
      <c r="B196" s="119">
        <v>72.0</v>
      </c>
      <c r="C196" s="129">
        <v>64474.0</v>
      </c>
      <c r="D196" s="129">
        <v>55.0</v>
      </c>
      <c r="E196" s="130">
        <v>-3181.0</v>
      </c>
      <c r="F196" s="131">
        <v>-2576.0</v>
      </c>
      <c r="G196" s="132">
        <v>87.63</v>
      </c>
      <c r="H196" s="133">
        <v>-8210.66</v>
      </c>
      <c r="I196" s="24" t="s">
        <v>4312</v>
      </c>
    </row>
    <row r="197">
      <c r="A197" s="119">
        <v>86.0</v>
      </c>
      <c r="B197" s="119">
        <v>73.0</v>
      </c>
      <c r="C197" s="129">
        <v>39981.0</v>
      </c>
      <c r="D197" s="129">
        <v>19.0</v>
      </c>
      <c r="E197" s="130">
        <v>-81.0</v>
      </c>
      <c r="F197" s="131">
        <v>858.0</v>
      </c>
      <c r="G197" s="132">
        <v>80.94</v>
      </c>
      <c r="H197" s="133">
        <v>194.36</v>
      </c>
      <c r="I197" s="24" t="s">
        <v>4313</v>
      </c>
    </row>
    <row r="198">
      <c r="A198" s="119">
        <v>45.0</v>
      </c>
      <c r="B198" s="119">
        <v>79.0</v>
      </c>
      <c r="C198" s="129">
        <v>54856.0</v>
      </c>
      <c r="D198" s="129">
        <v>-53.0</v>
      </c>
      <c r="E198" s="130">
        <v>85652.0</v>
      </c>
      <c r="F198" s="131">
        <v>88.0</v>
      </c>
      <c r="G198" s="132">
        <v>51.53</v>
      </c>
      <c r="H198" s="133">
        <v>7324.0</v>
      </c>
      <c r="I198" s="24" t="s">
        <v>4314</v>
      </c>
    </row>
    <row r="199">
      <c r="A199" s="119">
        <v>86.0</v>
      </c>
      <c r="B199" s="119">
        <v>76.0</v>
      </c>
      <c r="C199" s="129">
        <v>88062.0</v>
      </c>
      <c r="D199" s="129">
        <v>-4559.0</v>
      </c>
      <c r="E199" s="130">
        <v>727.0</v>
      </c>
      <c r="F199" s="131">
        <v>250.0</v>
      </c>
      <c r="G199" s="132">
        <v>-84012.19</v>
      </c>
      <c r="H199" s="133">
        <v>984.6</v>
      </c>
      <c r="I199" s="24" t="s">
        <v>4315</v>
      </c>
    </row>
    <row r="200">
      <c r="A200" s="119">
        <v>66.0</v>
      </c>
      <c r="B200" s="119">
        <v>30.0</v>
      </c>
      <c r="C200" s="129">
        <v>25636.0</v>
      </c>
      <c r="D200" s="129">
        <v>-62073.0</v>
      </c>
      <c r="E200" s="130">
        <v>349.0</v>
      </c>
      <c r="F200" s="131">
        <v>811.0</v>
      </c>
      <c r="G200" s="132">
        <v>115.23</v>
      </c>
      <c r="H200" s="133">
        <v>2728.15</v>
      </c>
      <c r="I200" s="24" t="s">
        <v>4316</v>
      </c>
    </row>
    <row r="201">
      <c r="A201" s="119">
        <v>45.0</v>
      </c>
      <c r="B201" s="119">
        <v>82.0</v>
      </c>
      <c r="C201" s="129">
        <v>89801.0</v>
      </c>
      <c r="D201" s="129">
        <v>-92813.0</v>
      </c>
      <c r="E201" s="130">
        <v>-704451.0</v>
      </c>
      <c r="F201" s="131">
        <v>47.0</v>
      </c>
      <c r="G201" s="132">
        <v>96598.29</v>
      </c>
      <c r="H201" s="133">
        <v>-4120.57</v>
      </c>
      <c r="I201" s="24" t="s">
        <v>4317</v>
      </c>
    </row>
    <row r="202">
      <c r="A202" s="119">
        <v>66.0</v>
      </c>
      <c r="B202" s="119">
        <v>32.0</v>
      </c>
      <c r="C202" s="129">
        <v>91375.0</v>
      </c>
      <c r="D202" s="129">
        <v>987.0</v>
      </c>
      <c r="E202" s="130">
        <v>67.0</v>
      </c>
      <c r="F202" s="131">
        <v>977.0</v>
      </c>
      <c r="G202" s="132">
        <v>63734.98</v>
      </c>
      <c r="H202" s="133">
        <v>20.6</v>
      </c>
      <c r="I202" s="24" t="s">
        <v>4318</v>
      </c>
    </row>
    <row r="203">
      <c r="A203" s="119">
        <v>86.0</v>
      </c>
      <c r="B203" s="119">
        <v>82.0</v>
      </c>
      <c r="C203" s="129">
        <v>96395.0</v>
      </c>
      <c r="D203" s="129">
        <v>-382.0</v>
      </c>
      <c r="E203" s="130">
        <v>235451.0</v>
      </c>
      <c r="F203" s="131">
        <v>-4187.0</v>
      </c>
      <c r="G203" s="132">
        <v>45493.0</v>
      </c>
      <c r="H203" s="133">
        <v>-3836.24</v>
      </c>
      <c r="I203" s="24" t="s">
        <v>4319</v>
      </c>
    </row>
    <row r="204">
      <c r="A204" s="119">
        <v>45.0</v>
      </c>
      <c r="B204" s="119">
        <v>90.0</v>
      </c>
      <c r="C204" s="129">
        <v>27649.0</v>
      </c>
      <c r="D204" s="129">
        <v>543.0</v>
      </c>
      <c r="E204" s="130">
        <v>482.0</v>
      </c>
      <c r="F204" s="131">
        <v>998.0</v>
      </c>
      <c r="G204" s="132">
        <v>6844.76</v>
      </c>
      <c r="H204" s="133">
        <v>30.55</v>
      </c>
      <c r="I204" s="24" t="s">
        <v>4320</v>
      </c>
    </row>
    <row r="205">
      <c r="A205" s="119">
        <v>45.0</v>
      </c>
      <c r="B205" s="119">
        <v>94.0</v>
      </c>
      <c r="C205" s="129">
        <v>33547.0</v>
      </c>
      <c r="D205" s="129">
        <v>80.0</v>
      </c>
      <c r="E205" s="130">
        <v>102503.0</v>
      </c>
      <c r="F205" s="131">
        <v>2410.0</v>
      </c>
      <c r="G205" s="132">
        <v>56113.52</v>
      </c>
      <c r="H205" s="133">
        <v>816.83</v>
      </c>
      <c r="I205" s="24" t="s">
        <v>4321</v>
      </c>
    </row>
    <row r="206">
      <c r="A206" s="119">
        <v>25.0</v>
      </c>
      <c r="B206" s="119">
        <v>47.0</v>
      </c>
      <c r="C206" s="129">
        <v>58541.0</v>
      </c>
      <c r="D206" s="129">
        <v>809.0</v>
      </c>
      <c r="E206" s="130">
        <v>700.0</v>
      </c>
      <c r="F206" s="131">
        <v>1839.0</v>
      </c>
      <c r="G206" s="132">
        <v>193.83</v>
      </c>
      <c r="H206" s="133">
        <v>8129.19</v>
      </c>
      <c r="I206" s="24" t="s">
        <v>4322</v>
      </c>
    </row>
    <row r="207">
      <c r="A207" s="119">
        <v>45.0</v>
      </c>
      <c r="B207" s="119">
        <v>96.0</v>
      </c>
      <c r="C207" s="129">
        <v>66978.0</v>
      </c>
      <c r="D207" s="129">
        <v>5213.0</v>
      </c>
      <c r="E207" s="130">
        <v>-75092.0</v>
      </c>
      <c r="F207" s="131">
        <v>6613.0</v>
      </c>
      <c r="G207" s="132">
        <v>3786.95</v>
      </c>
      <c r="H207" s="133">
        <v>44443.15</v>
      </c>
      <c r="I207" s="24" t="s">
        <v>4323</v>
      </c>
    </row>
    <row r="208">
      <c r="A208" s="119">
        <v>25.0</v>
      </c>
      <c r="B208" s="119">
        <v>52.0</v>
      </c>
      <c r="C208" s="129">
        <v>3462.0</v>
      </c>
      <c r="D208" s="129">
        <v>-58.0</v>
      </c>
      <c r="E208" s="130">
        <v>81.0</v>
      </c>
      <c r="F208" s="131">
        <v>-70.0</v>
      </c>
      <c r="G208" s="132">
        <v>380.9</v>
      </c>
      <c r="H208" s="133">
        <v>700.34</v>
      </c>
      <c r="I208" s="24" t="s">
        <v>4324</v>
      </c>
    </row>
    <row r="209">
      <c r="A209" s="119">
        <v>46.0</v>
      </c>
      <c r="B209" s="119">
        <v>6.0</v>
      </c>
      <c r="C209" s="129">
        <v>23327.0</v>
      </c>
      <c r="D209" s="129">
        <v>850.0</v>
      </c>
      <c r="E209" s="130">
        <v>583430.0</v>
      </c>
      <c r="F209" s="131">
        <v>45204.0</v>
      </c>
      <c r="G209" s="132">
        <v>98958.19</v>
      </c>
      <c r="H209" s="133">
        <v>-149.9</v>
      </c>
      <c r="I209" s="24" t="s">
        <v>4325</v>
      </c>
    </row>
    <row r="210">
      <c r="A210" s="119">
        <v>87.0</v>
      </c>
      <c r="B210" s="119">
        <v>6.0</v>
      </c>
      <c r="C210" s="129">
        <v>81084.0</v>
      </c>
      <c r="D210" s="129">
        <v>-75.0</v>
      </c>
      <c r="E210" s="130">
        <v>-215666.0</v>
      </c>
      <c r="F210" s="131">
        <v>13884.0</v>
      </c>
      <c r="G210" s="132">
        <v>3641.6</v>
      </c>
      <c r="H210" s="133">
        <v>226.82</v>
      </c>
      <c r="I210" s="24" t="s">
        <v>4326</v>
      </c>
    </row>
    <row r="211">
      <c r="A211" s="119">
        <v>66.0</v>
      </c>
      <c r="B211" s="119">
        <v>60.0</v>
      </c>
      <c r="C211" s="129">
        <v>80266.0</v>
      </c>
      <c r="D211" s="129">
        <v>3820.0</v>
      </c>
      <c r="E211" s="130">
        <v>-95.0</v>
      </c>
      <c r="F211" s="131">
        <v>82.0</v>
      </c>
      <c r="G211" s="132">
        <v>80.22</v>
      </c>
      <c r="H211" s="133">
        <v>1538.11</v>
      </c>
      <c r="I211" s="24" t="s">
        <v>4327</v>
      </c>
    </row>
    <row r="212">
      <c r="A212" s="119">
        <v>46.0</v>
      </c>
      <c r="B212" s="119">
        <v>13.0</v>
      </c>
      <c r="C212" s="129">
        <v>55273.0</v>
      </c>
      <c r="D212" s="129">
        <v>-2392.0</v>
      </c>
      <c r="E212" s="130">
        <v>135.0</v>
      </c>
      <c r="F212" s="131">
        <v>244.0</v>
      </c>
      <c r="G212" s="132">
        <v>28.56</v>
      </c>
      <c r="H212" s="133">
        <v>3371.43</v>
      </c>
      <c r="I212" s="24" t="s">
        <v>4328</v>
      </c>
    </row>
    <row r="213">
      <c r="A213" s="119">
        <v>66.0</v>
      </c>
      <c r="B213" s="119">
        <v>63.0</v>
      </c>
      <c r="C213" s="129">
        <v>64383.0</v>
      </c>
      <c r="D213" s="129">
        <v>-1815.0</v>
      </c>
      <c r="E213" s="130">
        <v>647.0</v>
      </c>
      <c r="F213" s="131">
        <v>73820.0</v>
      </c>
      <c r="G213" s="132">
        <v>-76247.29</v>
      </c>
      <c r="H213" s="133">
        <v>-83.86</v>
      </c>
      <c r="I213" s="24" t="s">
        <v>4329</v>
      </c>
    </row>
    <row r="214">
      <c r="A214" s="119">
        <v>25.0</v>
      </c>
      <c r="B214" s="119">
        <v>67.0</v>
      </c>
      <c r="C214" s="129">
        <v>35194.0</v>
      </c>
      <c r="D214" s="129">
        <v>-861.0</v>
      </c>
      <c r="E214" s="130">
        <v>-79.0</v>
      </c>
      <c r="F214" s="131">
        <v>51215.0</v>
      </c>
      <c r="G214" s="132">
        <v>529.87</v>
      </c>
      <c r="H214" s="133">
        <v>-56.3</v>
      </c>
      <c r="I214" s="24" t="s">
        <v>4330</v>
      </c>
    </row>
    <row r="215">
      <c r="A215" s="119">
        <v>87.0</v>
      </c>
      <c r="B215" s="119">
        <v>13.0</v>
      </c>
      <c r="C215" s="129">
        <v>28887.0</v>
      </c>
      <c r="D215" s="129">
        <v>-9415.0</v>
      </c>
      <c r="E215" s="130">
        <v>40638.0</v>
      </c>
      <c r="F215" s="131">
        <v>57213.0</v>
      </c>
      <c r="G215" s="132">
        <v>4355.56</v>
      </c>
      <c r="H215" s="133">
        <v>690.1</v>
      </c>
      <c r="I215" s="24" t="s">
        <v>4331</v>
      </c>
    </row>
    <row r="216">
      <c r="A216" s="119">
        <v>25.0</v>
      </c>
      <c r="B216" s="119">
        <v>68.0</v>
      </c>
      <c r="C216" s="129">
        <v>45671.0</v>
      </c>
      <c r="D216" s="129">
        <v>601.0</v>
      </c>
      <c r="E216" s="130">
        <v>705733.0</v>
      </c>
      <c r="F216" s="131">
        <v>426.0</v>
      </c>
      <c r="G216" s="132">
        <v>-219.31</v>
      </c>
      <c r="H216" s="133">
        <v>-74.58</v>
      </c>
      <c r="I216" s="24" t="s">
        <v>4332</v>
      </c>
    </row>
    <row r="217">
      <c r="A217" s="119">
        <v>25.0</v>
      </c>
      <c r="B217" s="119">
        <v>71.0</v>
      </c>
      <c r="C217" s="129">
        <v>80263.0</v>
      </c>
      <c r="D217" s="129">
        <v>3870.0</v>
      </c>
      <c r="E217" s="130">
        <v>510.0</v>
      </c>
      <c r="F217" s="131">
        <v>26523.0</v>
      </c>
      <c r="G217" s="132">
        <v>805.97</v>
      </c>
      <c r="H217" s="133">
        <v>24.58</v>
      </c>
      <c r="I217" s="24" t="s">
        <v>4333</v>
      </c>
    </row>
    <row r="218">
      <c r="A218" s="119">
        <v>66.0</v>
      </c>
      <c r="B218" s="119">
        <v>69.0</v>
      </c>
      <c r="C218" s="129">
        <v>46214.0</v>
      </c>
      <c r="D218" s="129">
        <v>5379.0</v>
      </c>
      <c r="E218" s="130">
        <v>91220.0</v>
      </c>
      <c r="F218" s="131">
        <v>76.0</v>
      </c>
      <c r="G218" s="132">
        <v>196.35</v>
      </c>
      <c r="H218" s="133">
        <v>30258.56</v>
      </c>
      <c r="I218" s="24" t="s">
        <v>4334</v>
      </c>
    </row>
    <row r="219">
      <c r="A219" s="119">
        <v>25.0</v>
      </c>
      <c r="B219" s="119">
        <v>74.0</v>
      </c>
      <c r="C219" s="129">
        <v>72680.0</v>
      </c>
      <c r="D219" s="129">
        <v>9424.0</v>
      </c>
      <c r="E219" s="130">
        <v>600776.0</v>
      </c>
      <c r="F219" s="131">
        <v>-540.0</v>
      </c>
      <c r="G219" s="132">
        <v>34.8</v>
      </c>
      <c r="H219" s="133">
        <v>8975.17</v>
      </c>
      <c r="I219" s="24" t="s">
        <v>4335</v>
      </c>
    </row>
    <row r="220">
      <c r="A220" s="119">
        <v>25.0</v>
      </c>
      <c r="B220" s="119">
        <v>75.0</v>
      </c>
      <c r="C220" s="129">
        <v>9104.0</v>
      </c>
      <c r="D220" s="129">
        <v>92849.0</v>
      </c>
      <c r="E220" s="130">
        <v>80.0</v>
      </c>
      <c r="F220" s="131">
        <v>99373.0</v>
      </c>
      <c r="G220" s="132">
        <v>6922.25</v>
      </c>
      <c r="H220" s="133">
        <v>644.98</v>
      </c>
      <c r="I220" s="24" t="s">
        <v>4336</v>
      </c>
    </row>
    <row r="221">
      <c r="A221" s="119">
        <v>46.0</v>
      </c>
      <c r="B221" s="119">
        <v>29.0</v>
      </c>
      <c r="C221" s="129">
        <v>57826.0</v>
      </c>
      <c r="D221" s="129">
        <v>23.0</v>
      </c>
      <c r="E221" s="130">
        <v>-495684.0</v>
      </c>
      <c r="F221" s="131">
        <v>1740.0</v>
      </c>
      <c r="G221" s="132">
        <v>67.88</v>
      </c>
      <c r="H221" s="133">
        <v>-36725.18</v>
      </c>
      <c r="I221" s="24" t="s">
        <v>4337</v>
      </c>
    </row>
    <row r="222">
      <c r="A222" s="119">
        <v>66.0</v>
      </c>
      <c r="B222" s="119">
        <v>78.0</v>
      </c>
      <c r="C222" s="129">
        <v>60634.0</v>
      </c>
      <c r="D222" s="129">
        <v>852.0</v>
      </c>
      <c r="E222" s="130">
        <v>-317560.0</v>
      </c>
      <c r="F222" s="131">
        <v>18139.0</v>
      </c>
      <c r="G222" s="132">
        <v>-8432.73</v>
      </c>
      <c r="H222" s="133">
        <v>-545.2</v>
      </c>
      <c r="I222" s="24" t="s">
        <v>4338</v>
      </c>
    </row>
    <row r="223">
      <c r="A223" s="119">
        <v>87.0</v>
      </c>
      <c r="B223" s="119">
        <v>27.0</v>
      </c>
      <c r="C223" s="129">
        <v>31881.0</v>
      </c>
      <c r="D223" s="129">
        <v>5672.0</v>
      </c>
      <c r="E223" s="130">
        <v>2291.0</v>
      </c>
      <c r="F223" s="131">
        <v>-6788.0</v>
      </c>
      <c r="G223" s="132">
        <v>-21414.4</v>
      </c>
      <c r="H223" s="133">
        <v>-60804.41</v>
      </c>
      <c r="I223" s="24" t="s">
        <v>4339</v>
      </c>
    </row>
    <row r="224">
      <c r="A224" s="119">
        <v>46.0</v>
      </c>
      <c r="B224" s="119">
        <v>33.0</v>
      </c>
      <c r="C224" s="129">
        <v>67329.0</v>
      </c>
      <c r="D224" s="129">
        <v>14.0</v>
      </c>
      <c r="E224" s="130">
        <v>171897.0</v>
      </c>
      <c r="F224" s="131">
        <v>58.0</v>
      </c>
      <c r="G224" s="132">
        <v>9678.2</v>
      </c>
      <c r="H224" s="133">
        <v>4673.72</v>
      </c>
      <c r="I224" s="24" t="s">
        <v>4340</v>
      </c>
    </row>
    <row r="225">
      <c r="A225" s="119">
        <v>25.0</v>
      </c>
      <c r="B225" s="119">
        <v>87.0</v>
      </c>
      <c r="C225" s="129">
        <v>99560.0</v>
      </c>
      <c r="D225" s="129">
        <v>55.0</v>
      </c>
      <c r="E225" s="130">
        <v>55.0</v>
      </c>
      <c r="F225" s="131">
        <v>-93.0</v>
      </c>
      <c r="G225" s="132">
        <v>-97952.57</v>
      </c>
      <c r="H225" s="133">
        <v>-8616.39</v>
      </c>
      <c r="I225" s="24" t="s">
        <v>4341</v>
      </c>
    </row>
    <row r="226">
      <c r="A226" s="119">
        <v>66.0</v>
      </c>
      <c r="B226" s="119">
        <v>84.0</v>
      </c>
      <c r="C226" s="129">
        <v>61452.0</v>
      </c>
      <c r="D226" s="129">
        <v>3256.0</v>
      </c>
      <c r="E226" s="130">
        <v>270671.0</v>
      </c>
      <c r="F226" s="131">
        <v>-40830.0</v>
      </c>
      <c r="G226" s="132">
        <v>192.63</v>
      </c>
      <c r="H226" s="133">
        <v>9651.82</v>
      </c>
      <c r="I226" s="24" t="s">
        <v>4342</v>
      </c>
    </row>
    <row r="227">
      <c r="A227" s="119">
        <v>25.0</v>
      </c>
      <c r="B227" s="119">
        <v>88.0</v>
      </c>
      <c r="C227" s="129">
        <v>24638.0</v>
      </c>
      <c r="D227" s="129">
        <v>77522.0</v>
      </c>
      <c r="E227" s="130">
        <v>24.0</v>
      </c>
      <c r="F227" s="131">
        <v>-558.0</v>
      </c>
      <c r="G227" s="132">
        <v>4044.95</v>
      </c>
      <c r="H227" s="133">
        <v>37.81</v>
      </c>
      <c r="I227" s="24" t="s">
        <v>4343</v>
      </c>
    </row>
    <row r="228">
      <c r="A228" s="119">
        <v>66.0</v>
      </c>
      <c r="B228" s="119">
        <v>86.0</v>
      </c>
      <c r="C228" s="129">
        <v>20939.0</v>
      </c>
      <c r="D228" s="129">
        <v>9149.0</v>
      </c>
      <c r="E228" s="130">
        <v>963.0</v>
      </c>
      <c r="F228" s="131">
        <v>57.0</v>
      </c>
      <c r="G228" s="132">
        <v>88.31</v>
      </c>
      <c r="H228" s="133">
        <v>3530.67</v>
      </c>
      <c r="I228" s="24" t="s">
        <v>4344</v>
      </c>
    </row>
    <row r="229">
      <c r="A229" s="119">
        <v>87.0</v>
      </c>
      <c r="B229" s="119">
        <v>37.0</v>
      </c>
      <c r="C229" s="129">
        <v>79505.0</v>
      </c>
      <c r="D229" s="129">
        <v>256.0</v>
      </c>
      <c r="E229" s="130">
        <v>-493907.0</v>
      </c>
      <c r="F229" s="131">
        <v>62.0</v>
      </c>
      <c r="G229" s="132">
        <v>1781.57</v>
      </c>
      <c r="H229" s="133">
        <v>337.42</v>
      </c>
      <c r="I229" s="24" t="s">
        <v>4345</v>
      </c>
    </row>
    <row r="230">
      <c r="A230" s="119">
        <v>66.0</v>
      </c>
      <c r="B230" s="119">
        <v>91.0</v>
      </c>
      <c r="C230" s="129">
        <v>37361.0</v>
      </c>
      <c r="D230" s="129">
        <v>94.0</v>
      </c>
      <c r="E230" s="130">
        <v>37164.0</v>
      </c>
      <c r="F230" s="131">
        <v>75445.0</v>
      </c>
      <c r="G230" s="132">
        <v>78.0</v>
      </c>
      <c r="H230" s="133">
        <v>9480.9</v>
      </c>
      <c r="I230" s="24" t="s">
        <v>4346</v>
      </c>
    </row>
    <row r="231">
      <c r="A231" s="119">
        <v>66.0</v>
      </c>
      <c r="B231" s="119">
        <v>93.0</v>
      </c>
      <c r="C231" s="129">
        <v>489.0</v>
      </c>
      <c r="D231" s="129">
        <v>8929.0</v>
      </c>
      <c r="E231" s="130">
        <v>277267.0</v>
      </c>
      <c r="F231" s="131">
        <v>21.0</v>
      </c>
      <c r="G231" s="132">
        <v>17366.71</v>
      </c>
      <c r="H231" s="133">
        <v>8609.54</v>
      </c>
      <c r="I231" s="24" t="s">
        <v>4347</v>
      </c>
    </row>
    <row r="232">
      <c r="A232" s="119">
        <v>66.0</v>
      </c>
      <c r="B232" s="119">
        <v>94.0</v>
      </c>
      <c r="C232" s="129">
        <v>96643.0</v>
      </c>
      <c r="D232" s="129">
        <v>27501.0</v>
      </c>
      <c r="E232" s="130">
        <v>63503.0</v>
      </c>
      <c r="F232" s="131">
        <v>49324.0</v>
      </c>
      <c r="G232" s="132">
        <v>1179.6</v>
      </c>
      <c r="H232" s="133">
        <v>20.81</v>
      </c>
      <c r="I232" s="24" t="s">
        <v>4348</v>
      </c>
    </row>
    <row r="233">
      <c r="A233" s="119">
        <v>66.0</v>
      </c>
      <c r="B233" s="119">
        <v>96.0</v>
      </c>
      <c r="C233" s="129">
        <v>65092.0</v>
      </c>
      <c r="D233" s="129">
        <v>79473.0</v>
      </c>
      <c r="E233" s="130">
        <v>5600.0</v>
      </c>
      <c r="F233" s="131">
        <v>-593.0</v>
      </c>
      <c r="G233" s="132">
        <v>-971.3</v>
      </c>
      <c r="H233" s="133">
        <v>29798.12</v>
      </c>
      <c r="I233" s="24" t="s">
        <v>4349</v>
      </c>
    </row>
    <row r="234">
      <c r="A234" s="119">
        <v>87.0</v>
      </c>
      <c r="B234" s="119">
        <v>45.0</v>
      </c>
      <c r="C234" s="129">
        <v>49122.0</v>
      </c>
      <c r="D234" s="129">
        <v>5200.0</v>
      </c>
      <c r="E234" s="130">
        <v>4089.0</v>
      </c>
      <c r="F234" s="131">
        <v>68.0</v>
      </c>
      <c r="G234" s="132">
        <v>-4544.8</v>
      </c>
      <c r="H234" s="133">
        <v>64.27</v>
      </c>
      <c r="I234" s="24" t="s">
        <v>4350</v>
      </c>
    </row>
    <row r="235">
      <c r="A235" s="119">
        <v>87.0</v>
      </c>
      <c r="B235" s="119">
        <v>48.0</v>
      </c>
      <c r="C235" s="129">
        <v>18773.0</v>
      </c>
      <c r="D235" s="129">
        <v>71824.0</v>
      </c>
      <c r="E235" s="130">
        <v>318.0</v>
      </c>
      <c r="F235" s="131">
        <v>34493.0</v>
      </c>
      <c r="G235" s="132">
        <v>6470.89</v>
      </c>
      <c r="H235" s="133">
        <v>32210.8</v>
      </c>
      <c r="I235" s="24" t="s">
        <v>4351</v>
      </c>
    </row>
    <row r="236">
      <c r="A236" s="119">
        <v>87.0</v>
      </c>
      <c r="B236" s="119">
        <v>49.0</v>
      </c>
      <c r="C236" s="129">
        <v>92780.0</v>
      </c>
      <c r="D236" s="129">
        <v>36191.0</v>
      </c>
      <c r="E236" s="130">
        <v>-158.0</v>
      </c>
      <c r="F236" s="131">
        <v>-5064.0</v>
      </c>
      <c r="G236" s="132">
        <v>58984.45</v>
      </c>
      <c r="H236" s="133">
        <v>235.42</v>
      </c>
      <c r="I236" s="24" t="s">
        <v>4352</v>
      </c>
    </row>
    <row r="237">
      <c r="A237" s="119">
        <v>26.0</v>
      </c>
      <c r="B237" s="119">
        <v>8.0</v>
      </c>
      <c r="C237" s="129">
        <v>78231.0</v>
      </c>
      <c r="D237" s="129">
        <v>48.0</v>
      </c>
      <c r="E237" s="130">
        <v>122720.0</v>
      </c>
      <c r="F237" s="131">
        <v>387.0</v>
      </c>
      <c r="G237" s="132">
        <v>4468.13</v>
      </c>
      <c r="H237" s="133">
        <v>46648.59</v>
      </c>
      <c r="I237" s="24" t="s">
        <v>4353</v>
      </c>
    </row>
    <row r="238">
      <c r="A238" s="119">
        <v>87.0</v>
      </c>
      <c r="B238" s="119">
        <v>52.0</v>
      </c>
      <c r="C238" s="129">
        <v>44338.0</v>
      </c>
      <c r="D238" s="129">
        <v>56195.0</v>
      </c>
      <c r="E238" s="130">
        <v>97971.0</v>
      </c>
      <c r="F238" s="131">
        <v>82087.0</v>
      </c>
      <c r="G238" s="132">
        <v>49821.32</v>
      </c>
      <c r="H238" s="133">
        <v>606.38</v>
      </c>
      <c r="I238" s="24" t="s">
        <v>4354</v>
      </c>
    </row>
    <row r="239">
      <c r="A239" s="119">
        <v>67.0</v>
      </c>
      <c r="B239" s="119">
        <v>4.0</v>
      </c>
      <c r="C239" s="129">
        <v>19806.0</v>
      </c>
      <c r="D239" s="129">
        <v>-30.0</v>
      </c>
      <c r="E239" s="130">
        <v>399245.0</v>
      </c>
      <c r="F239" s="131">
        <v>-46196.0</v>
      </c>
      <c r="G239" s="132">
        <v>-3358.28</v>
      </c>
      <c r="H239" s="133">
        <v>-99403.6</v>
      </c>
      <c r="I239" s="24" t="s">
        <v>4355</v>
      </c>
    </row>
    <row r="240">
      <c r="A240" s="119">
        <v>46.0</v>
      </c>
      <c r="B240" s="119">
        <v>60.0</v>
      </c>
      <c r="C240" s="129">
        <v>79050.0</v>
      </c>
      <c r="D240" s="129">
        <v>1680.0</v>
      </c>
      <c r="E240" s="130">
        <v>-351506.0</v>
      </c>
      <c r="F240" s="131">
        <v>71.0</v>
      </c>
      <c r="G240" s="132">
        <v>46.88</v>
      </c>
      <c r="H240" s="133">
        <v>-97057.86</v>
      </c>
      <c r="I240" s="24" t="s">
        <v>4356</v>
      </c>
    </row>
    <row r="241">
      <c r="A241" s="119">
        <v>26.0</v>
      </c>
      <c r="B241" s="119">
        <v>12.0</v>
      </c>
      <c r="C241" s="129">
        <v>20964.0</v>
      </c>
      <c r="D241" s="129">
        <v>77.0</v>
      </c>
      <c r="E241" s="130">
        <v>52.0</v>
      </c>
      <c r="F241" s="131">
        <v>68.0</v>
      </c>
      <c r="G241" s="132">
        <v>1755.85</v>
      </c>
      <c r="H241" s="133">
        <v>5970.37</v>
      </c>
      <c r="I241" s="24" t="s">
        <v>4357</v>
      </c>
    </row>
    <row r="242">
      <c r="A242" s="119">
        <v>67.0</v>
      </c>
      <c r="B242" s="119">
        <v>14.0</v>
      </c>
      <c r="C242" s="129">
        <v>94210.0</v>
      </c>
      <c r="D242" s="129">
        <v>24132.0</v>
      </c>
      <c r="E242" s="130">
        <v>743174.0</v>
      </c>
      <c r="F242" s="131">
        <v>-28691.0</v>
      </c>
      <c r="G242" s="132">
        <v>65.87</v>
      </c>
      <c r="H242" s="133">
        <v>105.1</v>
      </c>
      <c r="I242" s="24" t="s">
        <v>4358</v>
      </c>
    </row>
    <row r="243">
      <c r="A243" s="119">
        <v>26.0</v>
      </c>
      <c r="B243" s="119">
        <v>21.0</v>
      </c>
      <c r="C243" s="129">
        <v>33221.0</v>
      </c>
      <c r="D243" s="129">
        <v>92.0</v>
      </c>
      <c r="E243" s="130">
        <v>31422.0</v>
      </c>
      <c r="F243" s="131">
        <v>6471.0</v>
      </c>
      <c r="G243" s="132">
        <v>7934.7</v>
      </c>
      <c r="H243" s="133">
        <v>-92990.1</v>
      </c>
      <c r="I243" s="24" t="s">
        <v>4359</v>
      </c>
    </row>
    <row r="244">
      <c r="A244" s="119">
        <v>67.0</v>
      </c>
      <c r="B244" s="119">
        <v>18.0</v>
      </c>
      <c r="C244" s="129">
        <v>96306.0</v>
      </c>
      <c r="D244" s="129">
        <v>-397.0</v>
      </c>
      <c r="E244" s="130">
        <v>2416.0</v>
      </c>
      <c r="F244" s="131">
        <v>14015.0</v>
      </c>
      <c r="G244" s="132">
        <v>-24632.41</v>
      </c>
      <c r="H244" s="133">
        <v>-242.16</v>
      </c>
      <c r="I244" s="24" t="s">
        <v>4360</v>
      </c>
    </row>
    <row r="245">
      <c r="A245" s="119">
        <v>46.0</v>
      </c>
      <c r="B245" s="119">
        <v>70.0</v>
      </c>
      <c r="C245" s="129">
        <v>32596.0</v>
      </c>
      <c r="D245" s="129">
        <v>-60.0</v>
      </c>
      <c r="E245" s="130">
        <v>-74567.0</v>
      </c>
      <c r="F245" s="131">
        <v>67.0</v>
      </c>
      <c r="G245" s="132">
        <v>15.78</v>
      </c>
      <c r="H245" s="133">
        <v>55997.3</v>
      </c>
      <c r="I245" s="24" t="s">
        <v>4361</v>
      </c>
    </row>
    <row r="246">
      <c r="A246" s="119">
        <v>87.0</v>
      </c>
      <c r="B246" s="119">
        <v>67.0</v>
      </c>
      <c r="C246" s="129">
        <v>25283.0</v>
      </c>
      <c r="D246" s="129">
        <v>93663.0</v>
      </c>
      <c r="E246" s="130">
        <v>4285.0</v>
      </c>
      <c r="F246" s="131">
        <v>-8833.0</v>
      </c>
      <c r="G246" s="132">
        <v>483.75</v>
      </c>
      <c r="H246" s="133">
        <v>69.52</v>
      </c>
      <c r="I246" s="24" t="s">
        <v>4362</v>
      </c>
    </row>
    <row r="247">
      <c r="A247" s="119">
        <v>67.0</v>
      </c>
      <c r="B247" s="119">
        <v>21.0</v>
      </c>
      <c r="C247" s="129">
        <v>26385.0</v>
      </c>
      <c r="D247" s="129">
        <v>535.0</v>
      </c>
      <c r="E247" s="130">
        <v>20107.0</v>
      </c>
      <c r="F247" s="131">
        <v>33646.0</v>
      </c>
      <c r="G247" s="132">
        <v>91.46</v>
      </c>
      <c r="H247" s="133">
        <v>8495.9</v>
      </c>
      <c r="I247" s="24" t="s">
        <v>4363</v>
      </c>
    </row>
    <row r="248">
      <c r="A248" s="119">
        <v>26.0</v>
      </c>
      <c r="B248" s="119">
        <v>24.0</v>
      </c>
      <c r="C248" s="129">
        <v>59056.0</v>
      </c>
      <c r="D248" s="129">
        <v>-347.0</v>
      </c>
      <c r="E248" s="130">
        <v>-24263.0</v>
      </c>
      <c r="F248" s="131">
        <v>994.0</v>
      </c>
      <c r="G248" s="132">
        <v>96.1</v>
      </c>
      <c r="H248" s="133">
        <v>26.46</v>
      </c>
      <c r="I248" s="24" t="s">
        <v>4364</v>
      </c>
    </row>
    <row r="249">
      <c r="A249" s="119">
        <v>87.0</v>
      </c>
      <c r="B249" s="119">
        <v>69.0</v>
      </c>
      <c r="C249" s="129">
        <v>29413.0</v>
      </c>
      <c r="D249" s="129">
        <v>-614.0</v>
      </c>
      <c r="E249" s="130">
        <v>60.0</v>
      </c>
      <c r="F249" s="131">
        <v>17.0</v>
      </c>
      <c r="G249" s="132">
        <v>6256.63</v>
      </c>
      <c r="H249" s="133">
        <v>-97.41</v>
      </c>
      <c r="I249" s="24" t="s">
        <v>4365</v>
      </c>
    </row>
    <row r="250">
      <c r="A250" s="119">
        <v>26.0</v>
      </c>
      <c r="B250" s="119">
        <v>28.0</v>
      </c>
      <c r="C250" s="129">
        <v>32573.0</v>
      </c>
      <c r="D250" s="129">
        <v>9742.0</v>
      </c>
      <c r="E250" s="130">
        <v>-91.0</v>
      </c>
      <c r="F250" s="131">
        <v>962.0</v>
      </c>
      <c r="G250" s="132">
        <v>781.12</v>
      </c>
      <c r="H250" s="133">
        <v>2840.48</v>
      </c>
      <c r="I250" s="24" t="s">
        <v>4366</v>
      </c>
    </row>
    <row r="251">
      <c r="A251" s="119">
        <v>26.0</v>
      </c>
      <c r="B251" s="119">
        <v>29.0</v>
      </c>
      <c r="C251" s="129">
        <v>40807.0</v>
      </c>
      <c r="D251" s="129">
        <v>11.0</v>
      </c>
      <c r="E251" s="130">
        <v>685.0</v>
      </c>
      <c r="F251" s="131">
        <v>6447.0</v>
      </c>
      <c r="G251" s="132">
        <v>8842.57</v>
      </c>
      <c r="H251" s="133">
        <v>883.71</v>
      </c>
      <c r="I251" s="24" t="s">
        <v>4367</v>
      </c>
    </row>
    <row r="252">
      <c r="A252" s="119">
        <v>87.0</v>
      </c>
      <c r="B252" s="119">
        <v>75.0</v>
      </c>
      <c r="C252" s="129">
        <v>32146.0</v>
      </c>
      <c r="D252" s="129">
        <v>80.0</v>
      </c>
      <c r="E252" s="130">
        <v>454274.0</v>
      </c>
      <c r="F252" s="131">
        <v>57404.0</v>
      </c>
      <c r="G252" s="132">
        <v>-9937.86</v>
      </c>
      <c r="H252" s="133">
        <v>62.57</v>
      </c>
      <c r="I252" s="24" t="s">
        <v>4363</v>
      </c>
    </row>
    <row r="253">
      <c r="A253" s="119">
        <v>46.0</v>
      </c>
      <c r="B253" s="119">
        <v>80.0</v>
      </c>
      <c r="C253" s="129">
        <v>82170.0</v>
      </c>
      <c r="D253" s="129">
        <v>-903.0</v>
      </c>
      <c r="E253" s="130">
        <v>47972.0</v>
      </c>
      <c r="F253" s="131">
        <v>36777.0</v>
      </c>
      <c r="G253" s="132">
        <v>-29.53</v>
      </c>
      <c r="H253" s="133">
        <v>4297.65</v>
      </c>
      <c r="I253" s="24" t="s">
        <v>4368</v>
      </c>
    </row>
    <row r="254">
      <c r="A254" s="119">
        <v>26.0</v>
      </c>
      <c r="B254" s="119">
        <v>34.0</v>
      </c>
      <c r="C254" s="129">
        <v>24781.0</v>
      </c>
      <c r="D254" s="129">
        <v>62.0</v>
      </c>
      <c r="E254" s="130">
        <v>211606.0</v>
      </c>
      <c r="F254" s="131">
        <v>803.0</v>
      </c>
      <c r="G254" s="132">
        <v>74814.73</v>
      </c>
      <c r="H254" s="133">
        <v>-3246.74</v>
      </c>
      <c r="I254" s="24" t="s">
        <v>4369</v>
      </c>
    </row>
    <row r="255">
      <c r="A255" s="119">
        <v>67.0</v>
      </c>
      <c r="B255" s="119">
        <v>36.0</v>
      </c>
      <c r="C255" s="129">
        <v>28581.0</v>
      </c>
      <c r="D255" s="129">
        <v>331.0</v>
      </c>
      <c r="E255" s="130">
        <v>-68979.0</v>
      </c>
      <c r="F255" s="131">
        <v>45419.0</v>
      </c>
      <c r="G255" s="132">
        <v>8947.95</v>
      </c>
      <c r="H255" s="133">
        <v>11.18</v>
      </c>
      <c r="I255" s="24" t="s">
        <v>4370</v>
      </c>
    </row>
    <row r="256">
      <c r="A256" s="119">
        <v>87.0</v>
      </c>
      <c r="B256" s="119">
        <v>88.0</v>
      </c>
      <c r="C256" s="129">
        <v>49310.0</v>
      </c>
      <c r="D256" s="129">
        <v>2214.0</v>
      </c>
      <c r="E256" s="130">
        <v>-96.0</v>
      </c>
      <c r="F256" s="131">
        <v>79.0</v>
      </c>
      <c r="G256" s="132">
        <v>-929.84</v>
      </c>
      <c r="H256" s="133">
        <v>6634.96</v>
      </c>
      <c r="I256" s="24" t="s">
        <v>4371</v>
      </c>
    </row>
    <row r="257">
      <c r="A257" s="119">
        <v>26.0</v>
      </c>
      <c r="B257" s="119">
        <v>45.0</v>
      </c>
      <c r="C257" s="129">
        <v>50598.0</v>
      </c>
      <c r="D257" s="129">
        <v>61589.0</v>
      </c>
      <c r="E257" s="130">
        <v>569.0</v>
      </c>
      <c r="F257" s="131">
        <v>-91848.0</v>
      </c>
      <c r="G257" s="132">
        <v>23.22</v>
      </c>
      <c r="H257" s="133">
        <v>27.12</v>
      </c>
      <c r="I257" s="24" t="s">
        <v>4372</v>
      </c>
    </row>
    <row r="258">
      <c r="A258" s="119">
        <v>26.0</v>
      </c>
      <c r="B258" s="119">
        <v>54.0</v>
      </c>
      <c r="C258" s="129">
        <v>87671.0</v>
      </c>
      <c r="D258" s="129">
        <v>-5872.0</v>
      </c>
      <c r="E258" s="130">
        <v>1496.0</v>
      </c>
      <c r="F258" s="131">
        <v>229.0</v>
      </c>
      <c r="G258" s="132">
        <v>-86285.18</v>
      </c>
      <c r="H258" s="133">
        <v>3543.14</v>
      </c>
      <c r="I258" s="24" t="s">
        <v>4373</v>
      </c>
    </row>
    <row r="259">
      <c r="A259" s="119">
        <v>87.0</v>
      </c>
      <c r="B259" s="119">
        <v>99.0</v>
      </c>
      <c r="C259" s="129">
        <v>90491.0</v>
      </c>
      <c r="D259" s="129">
        <v>85.0</v>
      </c>
      <c r="E259" s="130">
        <v>2091.0</v>
      </c>
      <c r="F259" s="131">
        <v>60898.0</v>
      </c>
      <c r="G259" s="132">
        <v>-15717.88</v>
      </c>
      <c r="H259" s="133">
        <v>23630.35</v>
      </c>
      <c r="I259" s="24" t="s">
        <v>4374</v>
      </c>
    </row>
    <row r="260">
      <c r="A260" s="119">
        <v>47.0</v>
      </c>
      <c r="B260" s="119">
        <v>2.0</v>
      </c>
      <c r="C260" s="129">
        <v>77586.0</v>
      </c>
      <c r="D260" s="129">
        <v>2860.0</v>
      </c>
      <c r="E260" s="130">
        <v>5339.0</v>
      </c>
      <c r="F260" s="131">
        <v>47.0</v>
      </c>
      <c r="G260" s="132">
        <v>89207.89</v>
      </c>
      <c r="H260" s="133">
        <v>-10.29</v>
      </c>
      <c r="I260" s="24" t="s">
        <v>4375</v>
      </c>
    </row>
    <row r="261">
      <c r="A261" s="119">
        <v>67.0</v>
      </c>
      <c r="B261" s="119">
        <v>50.0</v>
      </c>
      <c r="C261" s="129">
        <v>68749.0</v>
      </c>
      <c r="D261" s="129">
        <v>-18381.0</v>
      </c>
      <c r="E261" s="130">
        <v>593.0</v>
      </c>
      <c r="F261" s="131">
        <v>41.0</v>
      </c>
      <c r="G261" s="132">
        <v>389.11</v>
      </c>
      <c r="H261" s="133">
        <v>4655.29</v>
      </c>
      <c r="I261" s="24" t="s">
        <v>4376</v>
      </c>
    </row>
    <row r="262">
      <c r="A262" s="119">
        <v>26.0</v>
      </c>
      <c r="B262" s="119">
        <v>60.0</v>
      </c>
      <c r="C262" s="129">
        <v>32029.0</v>
      </c>
      <c r="D262" s="129">
        <v>20.0</v>
      </c>
      <c r="E262" s="130">
        <v>-47.0</v>
      </c>
      <c r="F262" s="131">
        <v>7673.0</v>
      </c>
      <c r="G262" s="132">
        <v>-8318.52</v>
      </c>
      <c r="H262" s="133">
        <v>-360.5</v>
      </c>
      <c r="I262" s="24" t="s">
        <v>4377</v>
      </c>
    </row>
    <row r="263">
      <c r="A263" s="119">
        <v>47.0</v>
      </c>
      <c r="B263" s="119">
        <v>11.0</v>
      </c>
      <c r="C263" s="129">
        <v>54796.0</v>
      </c>
      <c r="D263" s="129">
        <v>-668.0</v>
      </c>
      <c r="E263" s="130">
        <v>-793476.0</v>
      </c>
      <c r="F263" s="131">
        <v>-3726.0</v>
      </c>
      <c r="G263" s="132">
        <v>16778.32</v>
      </c>
      <c r="H263" s="133">
        <v>79661.99</v>
      </c>
      <c r="I263" s="24" t="s">
        <v>4378</v>
      </c>
    </row>
    <row r="264">
      <c r="A264" s="119">
        <v>67.0</v>
      </c>
      <c r="B264" s="119">
        <v>62.0</v>
      </c>
      <c r="C264" s="129">
        <v>75568.0</v>
      </c>
      <c r="D264" s="129">
        <v>-18079.0</v>
      </c>
      <c r="E264" s="130">
        <v>44.0</v>
      </c>
      <c r="F264" s="131">
        <v>71.0</v>
      </c>
      <c r="G264" s="132">
        <v>64352.29</v>
      </c>
      <c r="H264" s="133">
        <v>18.91</v>
      </c>
      <c r="I264" s="24" t="s">
        <v>4379</v>
      </c>
    </row>
    <row r="265">
      <c r="A265" s="119">
        <v>47.0</v>
      </c>
      <c r="B265" s="119">
        <v>14.0</v>
      </c>
      <c r="C265" s="129">
        <v>33109.0</v>
      </c>
      <c r="D265" s="129">
        <v>88139.0</v>
      </c>
      <c r="E265" s="130">
        <v>46409.0</v>
      </c>
      <c r="F265" s="131">
        <v>57299.0</v>
      </c>
      <c r="G265" s="132">
        <v>-163.11</v>
      </c>
      <c r="H265" s="133">
        <v>4525.44</v>
      </c>
      <c r="I265" s="24" t="s">
        <v>4380</v>
      </c>
    </row>
    <row r="266">
      <c r="A266" s="119">
        <v>67.0</v>
      </c>
      <c r="B266" s="119">
        <v>64.0</v>
      </c>
      <c r="C266" s="129">
        <v>93892.0</v>
      </c>
      <c r="D266" s="129">
        <v>-3561.0</v>
      </c>
      <c r="E266" s="130">
        <v>6087.0</v>
      </c>
      <c r="F266" s="131">
        <v>72996.0</v>
      </c>
      <c r="G266" s="132">
        <v>-161.56</v>
      </c>
      <c r="H266" s="133">
        <v>36146.9</v>
      </c>
      <c r="I266" s="24" t="s">
        <v>4381</v>
      </c>
    </row>
    <row r="267">
      <c r="A267" s="119">
        <v>88.0</v>
      </c>
      <c r="B267" s="119">
        <v>21.0</v>
      </c>
      <c r="C267" s="129">
        <v>20315.0</v>
      </c>
      <c r="D267" s="129">
        <v>-54475.0</v>
      </c>
      <c r="E267" s="130">
        <v>6025.0</v>
      </c>
      <c r="F267" s="131">
        <v>6948.0</v>
      </c>
      <c r="G267" s="132">
        <v>280.9</v>
      </c>
      <c r="H267" s="133">
        <v>-92.64</v>
      </c>
      <c r="I267" s="24" t="s">
        <v>4382</v>
      </c>
    </row>
    <row r="268">
      <c r="A268" s="119">
        <v>67.0</v>
      </c>
      <c r="B268" s="119">
        <v>80.0</v>
      </c>
      <c r="C268" s="129">
        <v>23340.0</v>
      </c>
      <c r="D268" s="129">
        <v>21357.0</v>
      </c>
      <c r="E268" s="130">
        <v>2644.0</v>
      </c>
      <c r="F268" s="131">
        <v>4942.0</v>
      </c>
      <c r="G268" s="132">
        <v>7023.83</v>
      </c>
      <c r="H268" s="133">
        <v>3725.67</v>
      </c>
      <c r="I268" s="24" t="s">
        <v>4383</v>
      </c>
    </row>
    <row r="269">
      <c r="A269" s="119">
        <v>67.0</v>
      </c>
      <c r="B269" s="119">
        <v>81.0</v>
      </c>
      <c r="C269" s="129">
        <v>93227.0</v>
      </c>
      <c r="D269" s="129">
        <v>34.0</v>
      </c>
      <c r="E269" s="130">
        <v>76932.0</v>
      </c>
      <c r="F269" s="131">
        <v>23.0</v>
      </c>
      <c r="G269" s="132">
        <v>63274.9</v>
      </c>
      <c r="H269" s="133">
        <v>7861.64</v>
      </c>
      <c r="I269" s="24" t="s">
        <v>4384</v>
      </c>
    </row>
    <row r="270">
      <c r="A270" s="119">
        <v>88.0</v>
      </c>
      <c r="B270" s="119">
        <v>33.0</v>
      </c>
      <c r="C270" s="129">
        <v>58781.0</v>
      </c>
      <c r="D270" s="129">
        <v>87.0</v>
      </c>
      <c r="E270" s="130">
        <v>-18162.0</v>
      </c>
      <c r="F270" s="131">
        <v>93704.0</v>
      </c>
      <c r="G270" s="132">
        <v>83028.39</v>
      </c>
      <c r="H270" s="133">
        <v>914.4</v>
      </c>
      <c r="I270" s="24" t="s">
        <v>4385</v>
      </c>
    </row>
    <row r="271">
      <c r="A271" s="119">
        <v>88.0</v>
      </c>
      <c r="B271" s="119">
        <v>36.0</v>
      </c>
      <c r="C271" s="129">
        <v>36243.0</v>
      </c>
      <c r="D271" s="129">
        <v>35.0</v>
      </c>
      <c r="E271" s="130">
        <v>94772.0</v>
      </c>
      <c r="F271" s="131">
        <v>-6053.0</v>
      </c>
      <c r="G271" s="132">
        <v>829.2</v>
      </c>
      <c r="H271" s="133">
        <v>42134.31</v>
      </c>
      <c r="I271" s="24" t="s">
        <v>4386</v>
      </c>
    </row>
    <row r="272">
      <c r="A272" s="119">
        <v>88.0</v>
      </c>
      <c r="B272" s="119">
        <v>40.0</v>
      </c>
      <c r="C272" s="129">
        <v>72994.0</v>
      </c>
      <c r="D272" s="129">
        <v>983.0</v>
      </c>
      <c r="E272" s="130">
        <v>47.0</v>
      </c>
      <c r="F272" s="131">
        <v>94.0</v>
      </c>
      <c r="G272" s="132">
        <v>785.98</v>
      </c>
      <c r="H272" s="133">
        <v>98.37</v>
      </c>
      <c r="I272" s="24" t="s">
        <v>4387</v>
      </c>
    </row>
    <row r="273">
      <c r="A273" s="119">
        <v>26.0</v>
      </c>
      <c r="B273" s="119">
        <v>99.0</v>
      </c>
      <c r="C273" s="129">
        <v>34834.0</v>
      </c>
      <c r="D273" s="129">
        <v>763.0</v>
      </c>
      <c r="E273" s="130">
        <v>-5086.0</v>
      </c>
      <c r="F273" s="131">
        <v>-26.0</v>
      </c>
      <c r="G273" s="132">
        <v>30.46</v>
      </c>
      <c r="H273" s="133">
        <v>92044.14</v>
      </c>
      <c r="I273" s="24" t="s">
        <v>4388</v>
      </c>
    </row>
    <row r="274">
      <c r="A274" s="119">
        <v>27.0</v>
      </c>
      <c r="B274" s="119">
        <v>4.0</v>
      </c>
      <c r="C274" s="129">
        <v>13163.0</v>
      </c>
      <c r="D274" s="129">
        <v>40709.0</v>
      </c>
      <c r="E274" s="130">
        <v>-41.0</v>
      </c>
      <c r="F274" s="131">
        <v>70.0</v>
      </c>
      <c r="G274" s="132">
        <v>99.9</v>
      </c>
      <c r="H274" s="133">
        <v>9129.27</v>
      </c>
      <c r="I274" s="24" t="s">
        <v>4389</v>
      </c>
    </row>
    <row r="275">
      <c r="A275" s="119">
        <v>47.0</v>
      </c>
      <c r="B275" s="119">
        <v>53.0</v>
      </c>
      <c r="C275" s="129">
        <v>2854.0</v>
      </c>
      <c r="D275" s="129">
        <v>-4628.0</v>
      </c>
      <c r="E275" s="130">
        <v>-97402.0</v>
      </c>
      <c r="F275" s="131">
        <v>965.0</v>
      </c>
      <c r="G275" s="132">
        <v>-31569.73</v>
      </c>
      <c r="H275" s="133">
        <v>49891.11</v>
      </c>
      <c r="I275" s="24" t="s">
        <v>4390</v>
      </c>
    </row>
    <row r="276">
      <c r="A276" s="119">
        <v>88.0</v>
      </c>
      <c r="B276" s="119">
        <v>48.0</v>
      </c>
      <c r="C276" s="129">
        <v>40888.0</v>
      </c>
      <c r="D276" s="129">
        <v>46293.0</v>
      </c>
      <c r="E276" s="130">
        <v>4603.0</v>
      </c>
      <c r="F276" s="131">
        <v>8739.0</v>
      </c>
      <c r="G276" s="132">
        <v>967.21</v>
      </c>
      <c r="H276" s="133">
        <v>408.57</v>
      </c>
      <c r="I276" s="24" t="s">
        <v>4391</v>
      </c>
    </row>
    <row r="277">
      <c r="A277" s="119">
        <v>27.0</v>
      </c>
      <c r="B277" s="119">
        <v>7.0</v>
      </c>
      <c r="C277" s="129">
        <v>69452.0</v>
      </c>
      <c r="D277" s="129">
        <v>992.0</v>
      </c>
      <c r="E277" s="130">
        <v>-6877.0</v>
      </c>
      <c r="F277" s="131">
        <v>-96423.0</v>
      </c>
      <c r="G277" s="132">
        <v>77.4</v>
      </c>
      <c r="H277" s="133">
        <v>-74722.12</v>
      </c>
      <c r="I277" s="24" t="s">
        <v>4392</v>
      </c>
    </row>
    <row r="278">
      <c r="A278" s="119">
        <v>68.0</v>
      </c>
      <c r="B278" s="119">
        <v>1.0</v>
      </c>
      <c r="C278" s="129">
        <v>79516.0</v>
      </c>
      <c r="D278" s="129">
        <v>406.0</v>
      </c>
      <c r="E278" s="130">
        <v>27253.0</v>
      </c>
      <c r="F278" s="131">
        <v>41802.0</v>
      </c>
      <c r="G278" s="132">
        <v>614.67</v>
      </c>
      <c r="H278" s="133">
        <v>10.49</v>
      </c>
      <c r="I278" s="24" t="s">
        <v>4393</v>
      </c>
    </row>
    <row r="279">
      <c r="A279" s="119">
        <v>27.0</v>
      </c>
      <c r="B279" s="119">
        <v>15.0</v>
      </c>
      <c r="C279" s="129">
        <v>63636.0</v>
      </c>
      <c r="D279" s="129">
        <v>67.0</v>
      </c>
      <c r="E279" s="130">
        <v>-3423.0</v>
      </c>
      <c r="F279" s="131">
        <v>11.0</v>
      </c>
      <c r="G279" s="132">
        <v>6730.7</v>
      </c>
      <c r="H279" s="133">
        <v>2491.11</v>
      </c>
      <c r="I279" s="24" t="s">
        <v>4394</v>
      </c>
    </row>
    <row r="280">
      <c r="A280" s="119">
        <v>88.0</v>
      </c>
      <c r="B280" s="119">
        <v>59.0</v>
      </c>
      <c r="C280" s="129">
        <v>4709.0</v>
      </c>
      <c r="D280" s="129">
        <v>33608.0</v>
      </c>
      <c r="E280" s="130">
        <v>-8415.0</v>
      </c>
      <c r="F280" s="131">
        <v>679.0</v>
      </c>
      <c r="G280" s="132">
        <v>234.84</v>
      </c>
      <c r="H280" s="133">
        <v>-664.64</v>
      </c>
      <c r="I280" s="24" t="s">
        <v>4395</v>
      </c>
    </row>
    <row r="281">
      <c r="A281" s="119">
        <v>47.0</v>
      </c>
      <c r="B281" s="119">
        <v>65.0</v>
      </c>
      <c r="C281" s="129">
        <v>29220.0</v>
      </c>
      <c r="D281" s="129">
        <v>48.0</v>
      </c>
      <c r="E281" s="130">
        <v>-65.0</v>
      </c>
      <c r="F281" s="131">
        <v>11.0</v>
      </c>
      <c r="G281" s="132">
        <v>4131.96</v>
      </c>
      <c r="H281" s="133">
        <v>5568.79</v>
      </c>
      <c r="I281" s="24" t="s">
        <v>4396</v>
      </c>
    </row>
    <row r="282">
      <c r="A282" s="119">
        <v>68.0</v>
      </c>
      <c r="B282" s="119">
        <v>18.0</v>
      </c>
      <c r="C282" s="129">
        <v>28920.0</v>
      </c>
      <c r="D282" s="129">
        <v>-2147.0</v>
      </c>
      <c r="E282" s="130">
        <v>-808476.0</v>
      </c>
      <c r="F282" s="131">
        <v>423.0</v>
      </c>
      <c r="G282" s="132">
        <v>70428.77</v>
      </c>
      <c r="H282" s="133">
        <v>-762.65</v>
      </c>
      <c r="I282" s="24" t="s">
        <v>4397</v>
      </c>
    </row>
    <row r="283">
      <c r="A283" s="119">
        <v>88.0</v>
      </c>
      <c r="B283" s="119">
        <v>77.0</v>
      </c>
      <c r="C283" s="129">
        <v>26910.0</v>
      </c>
      <c r="D283" s="129">
        <v>99851.0</v>
      </c>
      <c r="E283" s="130">
        <v>11459.0</v>
      </c>
      <c r="F283" s="131">
        <v>38870.0</v>
      </c>
      <c r="G283" s="132">
        <v>71940.81</v>
      </c>
      <c r="H283" s="133">
        <v>982.65</v>
      </c>
      <c r="I283" s="24" t="s">
        <v>4398</v>
      </c>
    </row>
    <row r="284">
      <c r="A284" s="119">
        <v>68.0</v>
      </c>
      <c r="B284" s="119">
        <v>29.0</v>
      </c>
      <c r="C284" s="129">
        <v>37692.0</v>
      </c>
      <c r="D284" s="129">
        <v>19.0</v>
      </c>
      <c r="E284" s="130">
        <v>-521463.0</v>
      </c>
      <c r="F284" s="131">
        <v>76.0</v>
      </c>
      <c r="G284" s="132">
        <v>-865.66</v>
      </c>
      <c r="H284" s="133">
        <v>73.3</v>
      </c>
      <c r="I284" s="24" t="s">
        <v>4399</v>
      </c>
    </row>
    <row r="285">
      <c r="A285" s="119">
        <v>27.0</v>
      </c>
      <c r="B285" s="119">
        <v>38.0</v>
      </c>
      <c r="C285" s="129">
        <v>31183.0</v>
      </c>
      <c r="D285" s="129">
        <v>2498.0</v>
      </c>
      <c r="E285" s="130">
        <v>1220.0</v>
      </c>
      <c r="F285" s="131">
        <v>24.0</v>
      </c>
      <c r="G285" s="132">
        <v>13.1</v>
      </c>
      <c r="H285" s="133">
        <v>-57.9</v>
      </c>
      <c r="I285" s="24" t="s">
        <v>4400</v>
      </c>
    </row>
    <row r="286">
      <c r="A286" s="119">
        <v>68.0</v>
      </c>
      <c r="B286" s="119">
        <v>36.0</v>
      </c>
      <c r="C286" s="129">
        <v>4854.0</v>
      </c>
      <c r="D286" s="129">
        <v>732.0</v>
      </c>
      <c r="E286" s="130">
        <v>-12205.0</v>
      </c>
      <c r="F286" s="131">
        <v>4850.0</v>
      </c>
      <c r="G286" s="132">
        <v>-419.53</v>
      </c>
      <c r="H286" s="133">
        <v>-43033.17</v>
      </c>
      <c r="I286" s="24" t="s">
        <v>4401</v>
      </c>
    </row>
    <row r="287">
      <c r="A287" s="119">
        <v>88.0</v>
      </c>
      <c r="B287" s="119">
        <v>84.0</v>
      </c>
      <c r="C287" s="129">
        <v>5580.0</v>
      </c>
      <c r="D287" s="129">
        <v>59599.0</v>
      </c>
      <c r="E287" s="130">
        <v>72611.0</v>
      </c>
      <c r="F287" s="131">
        <v>-482.0</v>
      </c>
      <c r="G287" s="132">
        <v>27326.8</v>
      </c>
      <c r="H287" s="133">
        <v>96.16</v>
      </c>
      <c r="I287" s="24" t="s">
        <v>4402</v>
      </c>
    </row>
    <row r="288">
      <c r="A288" s="119">
        <v>88.0</v>
      </c>
      <c r="B288" s="119">
        <v>87.0</v>
      </c>
      <c r="C288" s="129">
        <v>25980.0</v>
      </c>
      <c r="D288" s="129">
        <v>1676.0</v>
      </c>
      <c r="E288" s="130">
        <v>965453.0</v>
      </c>
      <c r="F288" s="131">
        <v>7761.0</v>
      </c>
      <c r="G288" s="132">
        <v>-10.39</v>
      </c>
      <c r="H288" s="133">
        <v>-640.72</v>
      </c>
      <c r="I288" s="24" t="s">
        <v>4403</v>
      </c>
    </row>
    <row r="289">
      <c r="A289" s="119">
        <v>68.0</v>
      </c>
      <c r="B289" s="119">
        <v>44.0</v>
      </c>
      <c r="C289" s="129">
        <v>8889.0</v>
      </c>
      <c r="D289" s="129">
        <v>98.0</v>
      </c>
      <c r="E289" s="130">
        <v>7900.0</v>
      </c>
      <c r="F289" s="131">
        <v>-85.0</v>
      </c>
      <c r="G289" s="132">
        <v>3972.45</v>
      </c>
      <c r="H289" s="133">
        <v>2698.38</v>
      </c>
      <c r="I289" s="24" t="s">
        <v>4404</v>
      </c>
    </row>
    <row r="290">
      <c r="A290" s="119">
        <v>47.0</v>
      </c>
      <c r="B290" s="119">
        <v>96.0</v>
      </c>
      <c r="C290" s="129">
        <v>54537.0</v>
      </c>
      <c r="D290" s="129">
        <v>68.0</v>
      </c>
      <c r="E290" s="130">
        <v>26830.0</v>
      </c>
      <c r="F290" s="131">
        <v>90.0</v>
      </c>
      <c r="G290" s="132">
        <v>57.91</v>
      </c>
      <c r="H290" s="133">
        <v>29893.23</v>
      </c>
      <c r="I290" s="24" t="s">
        <v>4405</v>
      </c>
    </row>
    <row r="291">
      <c r="A291" s="119">
        <v>48.0</v>
      </c>
      <c r="B291" s="119">
        <v>2.0</v>
      </c>
      <c r="C291" s="129">
        <v>86731.0</v>
      </c>
      <c r="D291" s="129">
        <v>9066.0</v>
      </c>
      <c r="E291" s="130">
        <v>329.0</v>
      </c>
      <c r="F291" s="131">
        <v>7960.0</v>
      </c>
      <c r="G291" s="132">
        <v>71.33</v>
      </c>
      <c r="H291" s="133">
        <v>7786.1</v>
      </c>
      <c r="I291" s="24" t="s">
        <v>4406</v>
      </c>
    </row>
    <row r="292">
      <c r="A292" s="119">
        <v>27.0</v>
      </c>
      <c r="B292" s="119">
        <v>54.0</v>
      </c>
      <c r="C292" s="129">
        <v>60524.0</v>
      </c>
      <c r="D292" s="129">
        <v>92444.0</v>
      </c>
      <c r="E292" s="130">
        <v>-38.0</v>
      </c>
      <c r="F292" s="131">
        <v>1970.0</v>
      </c>
      <c r="G292" s="132">
        <v>20.29</v>
      </c>
      <c r="H292" s="133">
        <v>-372.61</v>
      </c>
      <c r="I292" s="24" t="s">
        <v>4407</v>
      </c>
    </row>
    <row r="293">
      <c r="A293" s="119">
        <v>68.0</v>
      </c>
      <c r="B293" s="119">
        <v>50.0</v>
      </c>
      <c r="C293" s="129">
        <v>68006.0</v>
      </c>
      <c r="D293" s="129">
        <v>5414.0</v>
      </c>
      <c r="E293" s="130">
        <v>19.0</v>
      </c>
      <c r="F293" s="131">
        <v>-99.0</v>
      </c>
      <c r="G293" s="132">
        <v>59363.88</v>
      </c>
      <c r="H293" s="133">
        <v>711.59</v>
      </c>
      <c r="I293" s="24" t="s">
        <v>4408</v>
      </c>
    </row>
    <row r="294">
      <c r="A294" s="119">
        <v>27.0</v>
      </c>
      <c r="B294" s="119">
        <v>56.0</v>
      </c>
      <c r="C294" s="129">
        <v>61477.0</v>
      </c>
      <c r="D294" s="129">
        <v>-559.0</v>
      </c>
      <c r="E294" s="130">
        <v>724.0</v>
      </c>
      <c r="F294" s="131">
        <v>66.0</v>
      </c>
      <c r="G294" s="132">
        <v>-99313.86</v>
      </c>
      <c r="H294" s="133">
        <v>156.26</v>
      </c>
      <c r="I294" s="24" t="s">
        <v>4409</v>
      </c>
    </row>
    <row r="295">
      <c r="A295" s="119">
        <v>27.0</v>
      </c>
      <c r="B295" s="119">
        <v>58.0</v>
      </c>
      <c r="C295" s="129">
        <v>84803.0</v>
      </c>
      <c r="D295" s="129">
        <v>20.0</v>
      </c>
      <c r="E295" s="130">
        <v>727838.0</v>
      </c>
      <c r="F295" s="131">
        <v>594.0</v>
      </c>
      <c r="G295" s="132">
        <v>-669.64</v>
      </c>
      <c r="H295" s="133">
        <v>-52423.22</v>
      </c>
      <c r="I295" s="24" t="s">
        <v>4410</v>
      </c>
    </row>
    <row r="296">
      <c r="A296" s="119">
        <v>68.0</v>
      </c>
      <c r="B296" s="119">
        <v>58.0</v>
      </c>
      <c r="C296" s="129">
        <v>7712.0</v>
      </c>
      <c r="D296" s="129">
        <v>10.0</v>
      </c>
      <c r="E296" s="130">
        <v>743.0</v>
      </c>
      <c r="F296" s="131">
        <v>70.0</v>
      </c>
      <c r="G296" s="132">
        <v>-44613.31</v>
      </c>
      <c r="H296" s="133">
        <v>88.76</v>
      </c>
      <c r="I296" s="24" t="s">
        <v>4411</v>
      </c>
    </row>
    <row r="297">
      <c r="A297" s="119">
        <v>48.0</v>
      </c>
      <c r="B297" s="119">
        <v>12.0</v>
      </c>
      <c r="C297" s="129">
        <v>6041.0</v>
      </c>
      <c r="D297" s="129">
        <v>211.0</v>
      </c>
      <c r="E297" s="130">
        <v>19.0</v>
      </c>
      <c r="F297" s="131">
        <v>75.0</v>
      </c>
      <c r="G297" s="132">
        <v>549.52</v>
      </c>
      <c r="H297" s="133">
        <v>23689.95</v>
      </c>
      <c r="I297" s="24" t="s">
        <v>4412</v>
      </c>
    </row>
    <row r="298">
      <c r="A298" s="119">
        <v>27.0</v>
      </c>
      <c r="B298" s="119">
        <v>65.0</v>
      </c>
      <c r="C298" s="129">
        <v>17628.0</v>
      </c>
      <c r="D298" s="129">
        <v>-24767.0</v>
      </c>
      <c r="E298" s="130">
        <v>-28.0</v>
      </c>
      <c r="F298" s="131">
        <v>21038.0</v>
      </c>
      <c r="G298" s="132">
        <v>304.52</v>
      </c>
      <c r="H298" s="133">
        <v>38385.78</v>
      </c>
      <c r="I298" s="24" t="s">
        <v>4334</v>
      </c>
    </row>
    <row r="299">
      <c r="A299" s="119">
        <v>48.0</v>
      </c>
      <c r="B299" s="119">
        <v>14.0</v>
      </c>
      <c r="C299" s="129">
        <v>7530.0</v>
      </c>
      <c r="D299" s="129">
        <v>468.0</v>
      </c>
      <c r="E299" s="130">
        <v>577863.0</v>
      </c>
      <c r="F299" s="131">
        <v>26016.0</v>
      </c>
      <c r="G299" s="132">
        <v>46265.2</v>
      </c>
      <c r="H299" s="133">
        <v>-9599.12</v>
      </c>
      <c r="I299" s="24" t="s">
        <v>4259</v>
      </c>
    </row>
    <row r="300">
      <c r="A300" s="119">
        <v>48.0</v>
      </c>
      <c r="B300" s="119">
        <v>15.0</v>
      </c>
      <c r="C300" s="129">
        <v>62075.0</v>
      </c>
      <c r="D300" s="129">
        <v>76.0</v>
      </c>
      <c r="E300" s="130">
        <v>-1122.0</v>
      </c>
      <c r="F300" s="131">
        <v>52.0</v>
      </c>
      <c r="G300" s="132">
        <v>955.36</v>
      </c>
      <c r="H300" s="133">
        <v>-2991.28</v>
      </c>
      <c r="I300" s="24" t="s">
        <v>4413</v>
      </c>
    </row>
    <row r="301">
      <c r="A301" s="119">
        <v>68.0</v>
      </c>
      <c r="B301" s="119">
        <v>64.0</v>
      </c>
      <c r="C301" s="129">
        <v>43390.0</v>
      </c>
      <c r="D301" s="129">
        <v>326.0</v>
      </c>
      <c r="E301" s="130">
        <v>949.0</v>
      </c>
      <c r="F301" s="131">
        <v>61031.0</v>
      </c>
      <c r="G301" s="132">
        <v>-54.71</v>
      </c>
      <c r="H301" s="133">
        <v>71268.45</v>
      </c>
      <c r="I301" s="24" t="s">
        <v>4414</v>
      </c>
    </row>
    <row r="302">
      <c r="A302" s="119">
        <v>27.0</v>
      </c>
      <c r="B302" s="119">
        <v>64.0</v>
      </c>
      <c r="C302" s="129">
        <v>26200.0</v>
      </c>
      <c r="D302" s="129">
        <v>29.0</v>
      </c>
      <c r="E302" s="130">
        <v>-46338.0</v>
      </c>
      <c r="F302" s="131">
        <v>213.0</v>
      </c>
      <c r="G302" s="132">
        <v>79.85</v>
      </c>
      <c r="H302" s="133">
        <v>3997.68</v>
      </c>
      <c r="I302" s="24" t="s">
        <v>4415</v>
      </c>
    </row>
    <row r="303">
      <c r="A303" s="119">
        <v>89.0</v>
      </c>
      <c r="B303" s="119">
        <v>11.0</v>
      </c>
      <c r="C303" s="129">
        <v>82148.0</v>
      </c>
      <c r="D303" s="129">
        <v>526.0</v>
      </c>
      <c r="E303" s="130">
        <v>582241.0</v>
      </c>
      <c r="F303" s="131">
        <v>39.0</v>
      </c>
      <c r="G303" s="132">
        <v>-76861.48</v>
      </c>
      <c r="H303" s="133">
        <v>-245.75</v>
      </c>
      <c r="I303" s="24" t="s">
        <v>4416</v>
      </c>
    </row>
    <row r="304">
      <c r="A304" s="119">
        <v>89.0</v>
      </c>
      <c r="B304" s="119">
        <v>15.0</v>
      </c>
      <c r="C304" s="129">
        <v>91533.0</v>
      </c>
      <c r="D304" s="129">
        <v>77.0</v>
      </c>
      <c r="E304" s="130">
        <v>649375.0</v>
      </c>
      <c r="F304" s="131">
        <v>-93.0</v>
      </c>
      <c r="G304" s="132">
        <v>-1449.47</v>
      </c>
      <c r="H304" s="133">
        <v>6575.65</v>
      </c>
      <c r="I304" s="24" t="s">
        <v>4417</v>
      </c>
    </row>
    <row r="305">
      <c r="A305" s="119">
        <v>68.0</v>
      </c>
      <c r="B305" s="119">
        <v>67.0</v>
      </c>
      <c r="C305" s="129">
        <v>64030.0</v>
      </c>
      <c r="D305" s="129">
        <v>415.0</v>
      </c>
      <c r="E305" s="130">
        <v>435.0</v>
      </c>
      <c r="F305" s="131">
        <v>9701.0</v>
      </c>
      <c r="G305" s="132">
        <v>-7481.7</v>
      </c>
      <c r="H305" s="133">
        <v>-65.35</v>
      </c>
      <c r="I305" s="24" t="s">
        <v>4418</v>
      </c>
    </row>
    <row r="306">
      <c r="A306" s="119">
        <v>27.0</v>
      </c>
      <c r="B306" s="119">
        <v>75.0</v>
      </c>
      <c r="C306" s="129">
        <v>57852.0</v>
      </c>
      <c r="D306" s="129">
        <v>-69266.0</v>
      </c>
      <c r="E306" s="130">
        <v>97.0</v>
      </c>
      <c r="F306" s="131">
        <v>37.0</v>
      </c>
      <c r="G306" s="132">
        <v>11974.18</v>
      </c>
      <c r="H306" s="133">
        <v>-25.91</v>
      </c>
      <c r="I306" s="24" t="s">
        <v>4419</v>
      </c>
    </row>
    <row r="307">
      <c r="A307" s="119">
        <v>27.0</v>
      </c>
      <c r="B307" s="119">
        <v>77.0</v>
      </c>
      <c r="C307" s="129">
        <v>85398.0</v>
      </c>
      <c r="D307" s="129">
        <v>-4056.0</v>
      </c>
      <c r="E307" s="130">
        <v>40.0</v>
      </c>
      <c r="F307" s="131">
        <v>20.0</v>
      </c>
      <c r="G307" s="132">
        <v>9776.52</v>
      </c>
      <c r="H307" s="133">
        <v>6164.26</v>
      </c>
      <c r="I307" s="24" t="s">
        <v>4420</v>
      </c>
    </row>
    <row r="308">
      <c r="A308" s="119">
        <v>89.0</v>
      </c>
      <c r="B308" s="119">
        <v>23.0</v>
      </c>
      <c r="C308" s="129">
        <v>98472.0</v>
      </c>
      <c r="D308" s="129">
        <v>7753.0</v>
      </c>
      <c r="E308" s="130">
        <v>563.0</v>
      </c>
      <c r="F308" s="131">
        <v>1821.0</v>
      </c>
      <c r="G308" s="132">
        <v>11381.6</v>
      </c>
      <c r="H308" s="133">
        <v>8407.37</v>
      </c>
      <c r="I308" s="24" t="s">
        <v>4421</v>
      </c>
    </row>
    <row r="309">
      <c r="A309" s="119">
        <v>89.0</v>
      </c>
      <c r="B309" s="119">
        <v>26.0</v>
      </c>
      <c r="C309" s="129">
        <v>19335.0</v>
      </c>
      <c r="D309" s="129">
        <v>40.0</v>
      </c>
      <c r="E309" s="130">
        <v>693.0</v>
      </c>
      <c r="F309" s="131">
        <v>22577.0</v>
      </c>
      <c r="G309" s="132">
        <v>30.38</v>
      </c>
      <c r="H309" s="133">
        <v>275.97</v>
      </c>
      <c r="I309" s="24" t="s">
        <v>4422</v>
      </c>
    </row>
    <row r="310">
      <c r="A310" s="119">
        <v>68.0</v>
      </c>
      <c r="B310" s="119">
        <v>78.0</v>
      </c>
      <c r="C310" s="129">
        <v>9380.0</v>
      </c>
      <c r="D310" s="129">
        <v>8530.0</v>
      </c>
      <c r="E310" s="130">
        <v>80.0</v>
      </c>
      <c r="F310" s="131">
        <v>66400.0</v>
      </c>
      <c r="G310" s="132">
        <v>-32859.53</v>
      </c>
      <c r="H310" s="133">
        <v>13.48</v>
      </c>
      <c r="I310" s="24" t="s">
        <v>4423</v>
      </c>
    </row>
    <row r="311">
      <c r="A311" s="119">
        <v>89.0</v>
      </c>
      <c r="B311" s="119">
        <v>33.0</v>
      </c>
      <c r="C311" s="129">
        <v>78381.0</v>
      </c>
      <c r="D311" s="129">
        <v>99517.0</v>
      </c>
      <c r="E311" s="130">
        <v>-11.0</v>
      </c>
      <c r="F311" s="131">
        <v>59364.0</v>
      </c>
      <c r="G311" s="132">
        <v>63062.92</v>
      </c>
      <c r="H311" s="133">
        <v>9678.13</v>
      </c>
      <c r="I311" s="24" t="s">
        <v>4424</v>
      </c>
    </row>
    <row r="312">
      <c r="A312" s="119">
        <v>89.0</v>
      </c>
      <c r="B312" s="119">
        <v>34.0</v>
      </c>
      <c r="C312" s="129">
        <v>31319.0</v>
      </c>
      <c r="D312" s="129">
        <v>810.0</v>
      </c>
      <c r="E312" s="130">
        <v>7046.0</v>
      </c>
      <c r="F312" s="131">
        <v>21.0</v>
      </c>
      <c r="G312" s="132">
        <v>5756.77</v>
      </c>
      <c r="H312" s="133">
        <v>373.61</v>
      </c>
      <c r="I312" s="24" t="s">
        <v>4425</v>
      </c>
    </row>
    <row r="313">
      <c r="A313" s="119">
        <v>68.0</v>
      </c>
      <c r="B313" s="119">
        <v>87.0</v>
      </c>
      <c r="C313" s="129">
        <v>9848.0</v>
      </c>
      <c r="D313" s="129">
        <v>47.0</v>
      </c>
      <c r="E313" s="130">
        <v>93072.0</v>
      </c>
      <c r="F313" s="131">
        <v>-48.0</v>
      </c>
      <c r="G313" s="132">
        <v>-121.71</v>
      </c>
      <c r="H313" s="133">
        <v>26.4</v>
      </c>
      <c r="I313" s="24" t="s">
        <v>4426</v>
      </c>
    </row>
    <row r="314">
      <c r="A314" s="119">
        <v>27.0</v>
      </c>
      <c r="B314" s="119">
        <v>93.0</v>
      </c>
      <c r="C314" s="129">
        <v>35825.0</v>
      </c>
      <c r="D314" s="129">
        <v>-15736.0</v>
      </c>
      <c r="E314" s="130">
        <v>8232.0</v>
      </c>
      <c r="F314" s="131">
        <v>-1357.0</v>
      </c>
      <c r="G314" s="132">
        <v>52.41</v>
      </c>
      <c r="H314" s="133">
        <v>327.29</v>
      </c>
      <c r="I314" s="24" t="s">
        <v>4427</v>
      </c>
    </row>
    <row r="315">
      <c r="A315" s="119">
        <v>89.0</v>
      </c>
      <c r="B315" s="119">
        <v>38.0</v>
      </c>
      <c r="C315" s="129">
        <v>28797.0</v>
      </c>
      <c r="D315" s="129">
        <v>45666.0</v>
      </c>
      <c r="E315" s="130">
        <v>3916.0</v>
      </c>
      <c r="F315" s="131">
        <v>519.0</v>
      </c>
      <c r="G315" s="132">
        <v>53.97</v>
      </c>
      <c r="H315" s="133">
        <v>486.16</v>
      </c>
      <c r="I315" s="24" t="s">
        <v>4428</v>
      </c>
    </row>
    <row r="316">
      <c r="A316" s="119">
        <v>89.0</v>
      </c>
      <c r="B316" s="119">
        <v>37.0</v>
      </c>
      <c r="C316" s="129">
        <v>60980.0</v>
      </c>
      <c r="D316" s="129">
        <v>-7766.0</v>
      </c>
      <c r="E316" s="130">
        <v>-3686.0</v>
      </c>
      <c r="F316" s="131">
        <v>-16.0</v>
      </c>
      <c r="G316" s="132">
        <v>96540.17</v>
      </c>
      <c r="H316" s="133">
        <v>82.25</v>
      </c>
      <c r="I316" s="24" t="s">
        <v>4429</v>
      </c>
    </row>
    <row r="317">
      <c r="A317" s="119">
        <v>48.0</v>
      </c>
      <c r="B317" s="119">
        <v>41.0</v>
      </c>
      <c r="C317" s="129">
        <v>87575.0</v>
      </c>
      <c r="D317" s="129">
        <v>-40.0</v>
      </c>
      <c r="E317" s="130">
        <v>8067.0</v>
      </c>
      <c r="F317" s="131">
        <v>694.0</v>
      </c>
      <c r="G317" s="132">
        <v>219.46</v>
      </c>
      <c r="H317" s="133">
        <v>8051.3</v>
      </c>
      <c r="I317" s="24" t="s">
        <v>4430</v>
      </c>
    </row>
    <row r="318">
      <c r="A318" s="119">
        <v>69.0</v>
      </c>
      <c r="B318" s="119">
        <v>7.0</v>
      </c>
      <c r="C318" s="129">
        <v>34443.0</v>
      </c>
      <c r="D318" s="129">
        <v>-30981.0</v>
      </c>
      <c r="E318" s="130">
        <v>80.0</v>
      </c>
      <c r="F318" s="131">
        <v>14591.0</v>
      </c>
      <c r="G318" s="132">
        <v>-10786.6</v>
      </c>
      <c r="H318" s="133">
        <v>-141.0</v>
      </c>
      <c r="I318" s="24" t="s">
        <v>4431</v>
      </c>
    </row>
    <row r="319">
      <c r="A319" s="119">
        <v>69.0</v>
      </c>
      <c r="B319" s="119">
        <v>13.0</v>
      </c>
      <c r="C319" s="129">
        <v>17742.0</v>
      </c>
      <c r="D319" s="129">
        <v>55436.0</v>
      </c>
      <c r="E319" s="130">
        <v>919876.0</v>
      </c>
      <c r="F319" s="131">
        <v>42021.0</v>
      </c>
      <c r="G319" s="132">
        <v>40693.95</v>
      </c>
      <c r="H319" s="133">
        <v>33.55</v>
      </c>
      <c r="I319" s="24" t="s">
        <v>4432</v>
      </c>
    </row>
    <row r="320">
      <c r="A320" s="119">
        <v>48.0</v>
      </c>
      <c r="B320" s="119">
        <v>65.0</v>
      </c>
      <c r="C320" s="129">
        <v>84421.0</v>
      </c>
      <c r="D320" s="129">
        <v>138.0</v>
      </c>
      <c r="E320" s="130">
        <v>608916.0</v>
      </c>
      <c r="F320" s="131">
        <v>16.0</v>
      </c>
      <c r="G320" s="132">
        <v>1776.9</v>
      </c>
      <c r="H320" s="133">
        <v>923.33</v>
      </c>
      <c r="I320" s="24" t="s">
        <v>4433</v>
      </c>
    </row>
    <row r="321">
      <c r="A321" s="119">
        <v>28.0</v>
      </c>
      <c r="B321" s="119">
        <v>28.0</v>
      </c>
      <c r="C321" s="129">
        <v>24894.0</v>
      </c>
      <c r="D321" s="129">
        <v>-5038.0</v>
      </c>
      <c r="E321" s="130">
        <v>5322.0</v>
      </c>
      <c r="F321" s="131">
        <v>3641.0</v>
      </c>
      <c r="G321" s="132">
        <v>-4883.32</v>
      </c>
      <c r="H321" s="133">
        <v>12.74</v>
      </c>
      <c r="I321" s="24" t="s">
        <v>4434</v>
      </c>
    </row>
    <row r="322">
      <c r="A322" s="119">
        <v>28.0</v>
      </c>
      <c r="B322" s="119">
        <v>33.0</v>
      </c>
      <c r="C322" s="129">
        <v>9865.0</v>
      </c>
      <c r="D322" s="129">
        <v>974.0</v>
      </c>
      <c r="E322" s="130">
        <v>-98.0</v>
      </c>
      <c r="F322" s="131">
        <v>15479.0</v>
      </c>
      <c r="G322" s="132">
        <v>286.8</v>
      </c>
      <c r="H322" s="133">
        <v>90199.69</v>
      </c>
      <c r="I322" s="24" t="s">
        <v>4435</v>
      </c>
    </row>
    <row r="323">
      <c r="A323" s="119">
        <v>48.0</v>
      </c>
      <c r="B323" s="119">
        <v>83.0</v>
      </c>
      <c r="C323" s="129">
        <v>54405.0</v>
      </c>
      <c r="D323" s="129">
        <v>250.0</v>
      </c>
      <c r="E323" s="130">
        <v>148795.0</v>
      </c>
      <c r="F323" s="131">
        <v>42079.0</v>
      </c>
      <c r="G323" s="132">
        <v>4861.91</v>
      </c>
      <c r="H323" s="133">
        <v>3701.73</v>
      </c>
      <c r="I323" s="24" t="s">
        <v>4436</v>
      </c>
    </row>
    <row r="324">
      <c r="A324" s="119">
        <v>89.0</v>
      </c>
      <c r="B324" s="119">
        <v>80.0</v>
      </c>
      <c r="C324" s="129">
        <v>91838.0</v>
      </c>
      <c r="D324" s="129">
        <v>802.0</v>
      </c>
      <c r="E324" s="130">
        <v>68046.0</v>
      </c>
      <c r="F324" s="131">
        <v>-21.0</v>
      </c>
      <c r="G324" s="132">
        <v>648.53</v>
      </c>
      <c r="H324" s="133">
        <v>49.9</v>
      </c>
      <c r="I324" s="24" t="s">
        <v>4437</v>
      </c>
    </row>
    <row r="325">
      <c r="A325" s="119">
        <v>89.0</v>
      </c>
      <c r="B325" s="119">
        <v>81.0</v>
      </c>
      <c r="C325" s="129">
        <v>76460.0</v>
      </c>
      <c r="D325" s="129">
        <v>58.0</v>
      </c>
      <c r="E325" s="130">
        <v>68.0</v>
      </c>
      <c r="F325" s="131">
        <v>-157.0</v>
      </c>
      <c r="G325" s="132">
        <v>4962.36</v>
      </c>
      <c r="H325" s="133">
        <v>5755.49</v>
      </c>
      <c r="I325" s="24" t="s">
        <v>4438</v>
      </c>
    </row>
    <row r="326">
      <c r="A326" s="119">
        <v>48.0</v>
      </c>
      <c r="B326" s="119">
        <v>86.0</v>
      </c>
      <c r="C326" s="129">
        <v>17742.0</v>
      </c>
      <c r="D326" s="129">
        <v>8870.0</v>
      </c>
      <c r="E326" s="130">
        <v>2320.0</v>
      </c>
      <c r="F326" s="131">
        <v>310.0</v>
      </c>
      <c r="G326" s="132">
        <v>-617.87</v>
      </c>
      <c r="H326" s="133">
        <v>61575.41</v>
      </c>
      <c r="I326" s="24" t="s">
        <v>4439</v>
      </c>
    </row>
    <row r="327">
      <c r="A327" s="119">
        <v>89.0</v>
      </c>
      <c r="B327" s="119">
        <v>90.0</v>
      </c>
      <c r="C327" s="129">
        <v>54841.0</v>
      </c>
      <c r="D327" s="129">
        <v>54613.0</v>
      </c>
      <c r="E327" s="130">
        <v>742.0</v>
      </c>
      <c r="F327" s="131">
        <v>-37.0</v>
      </c>
      <c r="G327" s="132">
        <v>626.15</v>
      </c>
      <c r="H327" s="133">
        <v>401.8</v>
      </c>
      <c r="I327" s="24" t="s">
        <v>4440</v>
      </c>
    </row>
    <row r="328">
      <c r="A328" s="119">
        <v>28.0</v>
      </c>
      <c r="B328" s="119">
        <v>50.0</v>
      </c>
      <c r="C328" s="129">
        <v>26531.0</v>
      </c>
      <c r="D328" s="129">
        <v>617.0</v>
      </c>
      <c r="E328" s="130">
        <v>93.0</v>
      </c>
      <c r="F328" s="131">
        <v>77842.0</v>
      </c>
      <c r="G328" s="132">
        <v>714.42</v>
      </c>
      <c r="H328" s="133">
        <v>85400.1</v>
      </c>
      <c r="I328" s="24" t="s">
        <v>4441</v>
      </c>
    </row>
    <row r="329">
      <c r="A329" s="119">
        <v>69.0</v>
      </c>
      <c r="B329" s="119">
        <v>47.0</v>
      </c>
      <c r="C329" s="129">
        <v>1583.0</v>
      </c>
      <c r="D329" s="129">
        <v>16.0</v>
      </c>
      <c r="E329" s="130">
        <v>-22.0</v>
      </c>
      <c r="F329" s="131">
        <v>9054.0</v>
      </c>
      <c r="G329" s="132">
        <v>-559.79</v>
      </c>
      <c r="H329" s="133">
        <v>-5285.32</v>
      </c>
      <c r="I329" s="24" t="s">
        <v>4442</v>
      </c>
    </row>
    <row r="330">
      <c r="A330" s="119">
        <v>48.0</v>
      </c>
      <c r="B330" s="119">
        <v>99.0</v>
      </c>
      <c r="C330" s="129">
        <v>96855.0</v>
      </c>
      <c r="D330" s="129">
        <v>31657.0</v>
      </c>
      <c r="E330" s="130">
        <v>3405.0</v>
      </c>
      <c r="F330" s="131">
        <v>44806.0</v>
      </c>
      <c r="G330" s="132">
        <v>-6162.3</v>
      </c>
      <c r="H330" s="133">
        <v>-71.7</v>
      </c>
      <c r="I330" s="24" t="s">
        <v>4443</v>
      </c>
    </row>
    <row r="331">
      <c r="A331" s="119">
        <v>49.0</v>
      </c>
      <c r="B331" s="119">
        <v>1.0</v>
      </c>
      <c r="C331" s="129">
        <v>43645.0</v>
      </c>
      <c r="D331" s="129">
        <v>-8553.0</v>
      </c>
      <c r="E331" s="130">
        <v>930.0</v>
      </c>
      <c r="F331" s="131">
        <v>-33603.0</v>
      </c>
      <c r="G331" s="132">
        <v>5534.37</v>
      </c>
      <c r="H331" s="133">
        <v>4477.97</v>
      </c>
      <c r="I331" s="24" t="s">
        <v>4444</v>
      </c>
    </row>
    <row r="332">
      <c r="A332" s="119">
        <v>69.0</v>
      </c>
      <c r="B332" s="119">
        <v>52.0</v>
      </c>
      <c r="C332" s="129">
        <v>25733.0</v>
      </c>
      <c r="D332" s="129">
        <v>-9657.0</v>
      </c>
      <c r="E332" s="130">
        <v>146234.0</v>
      </c>
      <c r="F332" s="131">
        <v>-3971.0</v>
      </c>
      <c r="G332" s="132">
        <v>22.72</v>
      </c>
      <c r="H332" s="133">
        <v>-73635.84</v>
      </c>
      <c r="I332" s="24" t="s">
        <v>4445</v>
      </c>
    </row>
    <row r="333">
      <c r="A333" s="119">
        <v>28.0</v>
      </c>
      <c r="B333" s="119">
        <v>57.0</v>
      </c>
      <c r="C333" s="129">
        <v>73310.0</v>
      </c>
      <c r="D333" s="129">
        <v>35881.0</v>
      </c>
      <c r="E333" s="130">
        <v>-998027.0</v>
      </c>
      <c r="F333" s="131">
        <v>-3313.0</v>
      </c>
      <c r="G333" s="132">
        <v>18.1</v>
      </c>
      <c r="H333" s="133">
        <v>839.43</v>
      </c>
      <c r="I333" s="24" t="s">
        <v>4446</v>
      </c>
    </row>
    <row r="334">
      <c r="A334" s="119">
        <v>90.0</v>
      </c>
      <c r="B334" s="119">
        <v>1.0</v>
      </c>
      <c r="C334" s="129">
        <v>38502.0</v>
      </c>
      <c r="D334" s="129">
        <v>617.0</v>
      </c>
      <c r="E334" s="130">
        <v>52.0</v>
      </c>
      <c r="F334" s="131">
        <v>-283.0</v>
      </c>
      <c r="G334" s="132">
        <v>92414.14</v>
      </c>
      <c r="H334" s="133">
        <v>74367.0</v>
      </c>
      <c r="I334" s="24" t="s">
        <v>4427</v>
      </c>
    </row>
    <row r="335">
      <c r="A335" s="119">
        <v>49.0</v>
      </c>
      <c r="B335" s="119">
        <v>6.0</v>
      </c>
      <c r="C335" s="129">
        <v>27773.0</v>
      </c>
      <c r="D335" s="129">
        <v>-220.0</v>
      </c>
      <c r="E335" s="130">
        <v>5345.0</v>
      </c>
      <c r="F335" s="131">
        <v>-88349.0</v>
      </c>
      <c r="G335" s="132">
        <v>-649.7</v>
      </c>
      <c r="H335" s="133">
        <v>-22660.9</v>
      </c>
      <c r="I335" s="24" t="s">
        <v>4447</v>
      </c>
    </row>
    <row r="336">
      <c r="A336" s="119">
        <v>49.0</v>
      </c>
      <c r="B336" s="119">
        <v>10.0</v>
      </c>
      <c r="C336" s="129">
        <v>95854.0</v>
      </c>
      <c r="D336" s="129">
        <v>69441.0</v>
      </c>
      <c r="E336" s="130">
        <v>-83.0</v>
      </c>
      <c r="F336" s="131">
        <v>25.0</v>
      </c>
      <c r="G336" s="132">
        <v>65.76</v>
      </c>
      <c r="H336" s="133">
        <v>87.13</v>
      </c>
      <c r="I336" s="24" t="s">
        <v>4448</v>
      </c>
    </row>
    <row r="337">
      <c r="A337" s="119">
        <v>28.0</v>
      </c>
      <c r="B337" s="119">
        <v>64.0</v>
      </c>
      <c r="C337" s="129">
        <v>94619.0</v>
      </c>
      <c r="D337" s="129">
        <v>44011.0</v>
      </c>
      <c r="E337" s="130">
        <v>89265.0</v>
      </c>
      <c r="F337" s="131">
        <v>-1203.0</v>
      </c>
      <c r="G337" s="132">
        <v>665.5</v>
      </c>
      <c r="H337" s="133">
        <v>-2859.2</v>
      </c>
      <c r="I337" s="24" t="s">
        <v>4449</v>
      </c>
    </row>
    <row r="338">
      <c r="A338" s="119">
        <v>69.0</v>
      </c>
      <c r="B338" s="119">
        <v>64.0</v>
      </c>
      <c r="C338" s="129">
        <v>68667.0</v>
      </c>
      <c r="D338" s="129">
        <v>4026.0</v>
      </c>
      <c r="E338" s="130">
        <v>9307.0</v>
      </c>
      <c r="F338" s="131">
        <v>98.0</v>
      </c>
      <c r="G338" s="132">
        <v>58.37</v>
      </c>
      <c r="H338" s="133">
        <v>29048.64</v>
      </c>
      <c r="I338" s="24" t="s">
        <v>4450</v>
      </c>
    </row>
    <row r="339">
      <c r="A339" s="119">
        <v>28.0</v>
      </c>
      <c r="B339" s="119">
        <v>69.0</v>
      </c>
      <c r="C339" s="129">
        <v>77968.0</v>
      </c>
      <c r="D339" s="129">
        <v>754.0</v>
      </c>
      <c r="E339" s="130">
        <v>-89.0</v>
      </c>
      <c r="F339" s="131">
        <v>-8113.0</v>
      </c>
      <c r="G339" s="132">
        <v>-618.59</v>
      </c>
      <c r="H339" s="133">
        <v>56.26</v>
      </c>
      <c r="I339" s="24" t="s">
        <v>4451</v>
      </c>
    </row>
    <row r="340">
      <c r="A340" s="119">
        <v>28.0</v>
      </c>
      <c r="B340" s="119">
        <v>70.0</v>
      </c>
      <c r="C340" s="129">
        <v>24194.0</v>
      </c>
      <c r="D340" s="129">
        <v>8096.0</v>
      </c>
      <c r="E340" s="130">
        <v>632786.0</v>
      </c>
      <c r="F340" s="131">
        <v>69421.0</v>
      </c>
      <c r="G340" s="132">
        <v>76305.34</v>
      </c>
      <c r="H340" s="133">
        <v>25.37</v>
      </c>
      <c r="I340" s="24" t="s">
        <v>4452</v>
      </c>
    </row>
    <row r="341">
      <c r="A341" s="119">
        <v>69.0</v>
      </c>
      <c r="B341" s="119">
        <v>65.0</v>
      </c>
      <c r="C341" s="129">
        <v>84190.0</v>
      </c>
      <c r="D341" s="129">
        <v>-23.0</v>
      </c>
      <c r="E341" s="130">
        <v>480133.0</v>
      </c>
      <c r="F341" s="131">
        <v>-93.0</v>
      </c>
      <c r="G341" s="132">
        <v>-4376.24</v>
      </c>
      <c r="H341" s="133">
        <v>-27.5</v>
      </c>
      <c r="I341" s="24" t="s">
        <v>4453</v>
      </c>
    </row>
    <row r="342">
      <c r="A342" s="119">
        <v>90.0</v>
      </c>
      <c r="B342" s="119">
        <v>15.0</v>
      </c>
      <c r="C342" s="129">
        <v>30999.0</v>
      </c>
      <c r="D342" s="129">
        <v>-1583.0</v>
      </c>
      <c r="E342" s="130">
        <v>251.0</v>
      </c>
      <c r="F342" s="131">
        <v>988.0</v>
      </c>
      <c r="G342" s="132">
        <v>-8584.24</v>
      </c>
      <c r="H342" s="133">
        <v>9629.64</v>
      </c>
      <c r="I342" s="24" t="s">
        <v>4454</v>
      </c>
    </row>
    <row r="343">
      <c r="A343" s="119">
        <v>69.0</v>
      </c>
      <c r="B343" s="119">
        <v>69.0</v>
      </c>
      <c r="C343" s="129">
        <v>26267.0</v>
      </c>
      <c r="D343" s="129">
        <v>7269.0</v>
      </c>
      <c r="E343" s="130">
        <v>584153.0</v>
      </c>
      <c r="F343" s="131">
        <v>121.0</v>
      </c>
      <c r="G343" s="132">
        <v>41928.23</v>
      </c>
      <c r="H343" s="133">
        <v>-42131.83</v>
      </c>
      <c r="I343" s="24" t="s">
        <v>4455</v>
      </c>
    </row>
    <row r="344">
      <c r="A344" s="119">
        <v>28.0</v>
      </c>
      <c r="B344" s="119">
        <v>73.0</v>
      </c>
      <c r="C344" s="129">
        <v>13342.0</v>
      </c>
      <c r="D344" s="129">
        <v>78.0</v>
      </c>
      <c r="E344" s="130">
        <v>299996.0</v>
      </c>
      <c r="F344" s="131">
        <v>64544.0</v>
      </c>
      <c r="G344" s="132">
        <v>47758.14</v>
      </c>
      <c r="H344" s="133">
        <v>77.72</v>
      </c>
      <c r="I344" s="24" t="s">
        <v>4456</v>
      </c>
    </row>
    <row r="345">
      <c r="A345" s="119">
        <v>28.0</v>
      </c>
      <c r="B345" s="119">
        <v>75.0</v>
      </c>
      <c r="C345" s="129">
        <v>28096.0</v>
      </c>
      <c r="D345" s="129">
        <v>90.0</v>
      </c>
      <c r="E345" s="130">
        <v>236.0</v>
      </c>
      <c r="F345" s="131">
        <v>51.0</v>
      </c>
      <c r="G345" s="132">
        <v>36314.76</v>
      </c>
      <c r="H345" s="133">
        <v>2675.56</v>
      </c>
      <c r="I345" s="24" t="s">
        <v>4457</v>
      </c>
    </row>
    <row r="346">
      <c r="A346" s="119">
        <v>69.0</v>
      </c>
      <c r="B346" s="119">
        <v>72.0</v>
      </c>
      <c r="C346" s="129">
        <v>76770.0</v>
      </c>
      <c r="D346" s="129">
        <v>2915.0</v>
      </c>
      <c r="E346" s="130">
        <v>6993.0</v>
      </c>
      <c r="F346" s="131">
        <v>36962.0</v>
      </c>
      <c r="G346" s="132">
        <v>6630.98</v>
      </c>
      <c r="H346" s="133">
        <v>952.3</v>
      </c>
      <c r="I346" s="24" t="s">
        <v>4458</v>
      </c>
    </row>
    <row r="347">
      <c r="A347" s="119">
        <v>90.0</v>
      </c>
      <c r="B347" s="119">
        <v>20.0</v>
      </c>
      <c r="C347" s="129">
        <v>33541.0</v>
      </c>
      <c r="D347" s="129">
        <v>-94636.0</v>
      </c>
      <c r="E347" s="130">
        <v>-83.0</v>
      </c>
      <c r="F347" s="131">
        <v>93751.0</v>
      </c>
      <c r="G347" s="132">
        <v>184.74</v>
      </c>
      <c r="H347" s="133">
        <v>99.31</v>
      </c>
      <c r="I347" s="24" t="s">
        <v>4459</v>
      </c>
    </row>
    <row r="348">
      <c r="A348" s="119">
        <v>69.0</v>
      </c>
      <c r="B348" s="119">
        <v>73.0</v>
      </c>
      <c r="C348" s="129">
        <v>71031.0</v>
      </c>
      <c r="D348" s="129">
        <v>73.0</v>
      </c>
      <c r="E348" s="130">
        <v>3079.0</v>
      </c>
      <c r="F348" s="131">
        <v>797.0</v>
      </c>
      <c r="G348" s="132">
        <v>6985.65</v>
      </c>
      <c r="H348" s="133">
        <v>55.24</v>
      </c>
      <c r="I348" s="24" t="s">
        <v>4460</v>
      </c>
    </row>
    <row r="349">
      <c r="A349" s="119">
        <v>49.0</v>
      </c>
      <c r="B349" s="119">
        <v>29.0</v>
      </c>
      <c r="C349" s="129">
        <v>78552.0</v>
      </c>
      <c r="D349" s="129">
        <v>487.0</v>
      </c>
      <c r="E349" s="130">
        <v>6556.0</v>
      </c>
      <c r="F349" s="131">
        <v>73503.0</v>
      </c>
      <c r="G349" s="132">
        <v>4826.68</v>
      </c>
      <c r="H349" s="133">
        <v>96.13</v>
      </c>
      <c r="I349" s="24" t="s">
        <v>4461</v>
      </c>
    </row>
    <row r="350">
      <c r="A350" s="119">
        <v>90.0</v>
      </c>
      <c r="B350" s="119">
        <v>28.0</v>
      </c>
      <c r="C350" s="129">
        <v>49780.0</v>
      </c>
      <c r="D350" s="129">
        <v>78272.0</v>
      </c>
      <c r="E350" s="130">
        <v>92620.0</v>
      </c>
      <c r="F350" s="131">
        <v>44475.0</v>
      </c>
      <c r="G350" s="132">
        <v>6406.55</v>
      </c>
      <c r="H350" s="133">
        <v>54.33</v>
      </c>
      <c r="I350" s="24" t="s">
        <v>4462</v>
      </c>
    </row>
    <row r="351">
      <c r="A351" s="119">
        <v>69.0</v>
      </c>
      <c r="B351" s="119">
        <v>84.0</v>
      </c>
      <c r="C351" s="129">
        <v>3862.0</v>
      </c>
      <c r="D351" s="129">
        <v>92.0</v>
      </c>
      <c r="E351" s="130">
        <v>17535.0</v>
      </c>
      <c r="F351" s="131">
        <v>-2417.0</v>
      </c>
      <c r="G351" s="132">
        <v>817.64</v>
      </c>
      <c r="H351" s="133">
        <v>-496.97</v>
      </c>
      <c r="I351" s="24" t="s">
        <v>4463</v>
      </c>
    </row>
    <row r="352">
      <c r="A352" s="119">
        <v>49.0</v>
      </c>
      <c r="B352" s="119">
        <v>37.0</v>
      </c>
      <c r="C352" s="129">
        <v>22703.0</v>
      </c>
      <c r="D352" s="129">
        <v>19180.0</v>
      </c>
      <c r="E352" s="130">
        <v>73.0</v>
      </c>
      <c r="F352" s="131">
        <v>1498.0</v>
      </c>
      <c r="G352" s="132">
        <v>75.14</v>
      </c>
      <c r="H352" s="133">
        <v>-67966.77</v>
      </c>
      <c r="I352" s="24" t="s">
        <v>4464</v>
      </c>
    </row>
    <row r="353">
      <c r="A353" s="119">
        <v>28.0</v>
      </c>
      <c r="B353" s="119">
        <v>91.0</v>
      </c>
      <c r="C353" s="129">
        <v>21789.0</v>
      </c>
      <c r="D353" s="129">
        <v>39.0</v>
      </c>
      <c r="E353" s="130">
        <v>72730.0</v>
      </c>
      <c r="F353" s="131">
        <v>-6024.0</v>
      </c>
      <c r="G353" s="132">
        <v>45168.42</v>
      </c>
      <c r="H353" s="133">
        <v>84.6</v>
      </c>
      <c r="I353" s="24" t="s">
        <v>4465</v>
      </c>
    </row>
    <row r="354">
      <c r="A354" s="119">
        <v>90.0</v>
      </c>
      <c r="B354" s="119">
        <v>37.0</v>
      </c>
      <c r="C354" s="129">
        <v>82609.0</v>
      </c>
      <c r="D354" s="129">
        <v>129.0</v>
      </c>
      <c r="E354" s="130">
        <v>15.0</v>
      </c>
      <c r="F354" s="131">
        <v>6201.0</v>
      </c>
      <c r="G354" s="132">
        <v>8835.14</v>
      </c>
      <c r="H354" s="133">
        <v>72321.3</v>
      </c>
      <c r="I354" s="24" t="s">
        <v>4466</v>
      </c>
    </row>
    <row r="355">
      <c r="A355" s="119">
        <v>69.0</v>
      </c>
      <c r="B355" s="119">
        <v>91.0</v>
      </c>
      <c r="C355" s="129">
        <v>27790.0</v>
      </c>
      <c r="D355" s="129">
        <v>87.0</v>
      </c>
      <c r="E355" s="130">
        <v>-6583.0</v>
      </c>
      <c r="F355" s="131">
        <v>8449.0</v>
      </c>
      <c r="G355" s="132">
        <v>22.39</v>
      </c>
      <c r="H355" s="133">
        <v>863.31</v>
      </c>
      <c r="I355" s="24" t="s">
        <v>4467</v>
      </c>
    </row>
    <row r="356">
      <c r="A356" s="119">
        <v>49.0</v>
      </c>
      <c r="B356" s="119">
        <v>47.0</v>
      </c>
      <c r="C356" s="129">
        <v>16736.0</v>
      </c>
      <c r="D356" s="129">
        <v>-2018.0</v>
      </c>
      <c r="E356" s="130">
        <v>2357.0</v>
      </c>
      <c r="F356" s="131">
        <v>152.0</v>
      </c>
      <c r="G356" s="132">
        <v>-9021.56</v>
      </c>
      <c r="H356" s="133">
        <v>256.52</v>
      </c>
      <c r="I356" s="24" t="s">
        <v>4468</v>
      </c>
    </row>
    <row r="357">
      <c r="A357" s="119">
        <v>29.0</v>
      </c>
      <c r="B357" s="119">
        <v>1.0</v>
      </c>
      <c r="C357" s="129">
        <v>60699.0</v>
      </c>
      <c r="D357" s="129">
        <v>8434.0</v>
      </c>
      <c r="E357" s="130">
        <v>198493.0</v>
      </c>
      <c r="F357" s="131">
        <v>140.0</v>
      </c>
      <c r="G357" s="132">
        <v>47.44</v>
      </c>
      <c r="H357" s="133">
        <v>80551.23</v>
      </c>
      <c r="I357" s="24" t="s">
        <v>4469</v>
      </c>
    </row>
    <row r="358">
      <c r="A358" s="119">
        <v>49.0</v>
      </c>
      <c r="B358" s="119">
        <v>49.0</v>
      </c>
      <c r="C358" s="129">
        <v>84185.0</v>
      </c>
      <c r="D358" s="129">
        <v>-5007.0</v>
      </c>
      <c r="E358" s="130">
        <v>-86.0</v>
      </c>
      <c r="F358" s="131">
        <v>5517.0</v>
      </c>
      <c r="G358" s="132">
        <v>-74.1</v>
      </c>
      <c r="H358" s="133">
        <v>755.67</v>
      </c>
      <c r="I358" s="24" t="s">
        <v>4470</v>
      </c>
    </row>
    <row r="359">
      <c r="A359" s="119">
        <v>90.0</v>
      </c>
      <c r="B359" s="119">
        <v>47.0</v>
      </c>
      <c r="C359" s="129">
        <v>89058.0</v>
      </c>
      <c r="D359" s="129">
        <v>26642.0</v>
      </c>
      <c r="E359" s="130">
        <v>284.0</v>
      </c>
      <c r="F359" s="131">
        <v>73752.0</v>
      </c>
      <c r="G359" s="132">
        <v>36086.63</v>
      </c>
      <c r="H359" s="133">
        <v>2363.9</v>
      </c>
      <c r="I359" s="24" t="s">
        <v>4471</v>
      </c>
    </row>
    <row r="360">
      <c r="A360" s="119">
        <v>49.0</v>
      </c>
      <c r="B360" s="119">
        <v>52.0</v>
      </c>
      <c r="C360" s="129">
        <v>66833.0</v>
      </c>
      <c r="D360" s="129">
        <v>506.0</v>
      </c>
      <c r="E360" s="130">
        <v>88605.0</v>
      </c>
      <c r="F360" s="131">
        <v>533.0</v>
      </c>
      <c r="G360" s="132">
        <v>67.48</v>
      </c>
      <c r="H360" s="133">
        <v>55225.9</v>
      </c>
      <c r="I360" s="24" t="s">
        <v>4472</v>
      </c>
    </row>
    <row r="361">
      <c r="A361" s="119">
        <v>29.0</v>
      </c>
      <c r="B361" s="119">
        <v>7.0</v>
      </c>
      <c r="C361" s="129">
        <v>31688.0</v>
      </c>
      <c r="D361" s="129">
        <v>71.0</v>
      </c>
      <c r="E361" s="130">
        <v>3758.0</v>
      </c>
      <c r="F361" s="131">
        <v>583.0</v>
      </c>
      <c r="G361" s="132">
        <v>-94.3</v>
      </c>
      <c r="H361" s="133">
        <v>-45.2</v>
      </c>
      <c r="I361" s="24" t="s">
        <v>4473</v>
      </c>
    </row>
    <row r="362">
      <c r="A362" s="119">
        <v>70.0</v>
      </c>
      <c r="B362" s="119">
        <v>4.0</v>
      </c>
      <c r="C362" s="129">
        <v>34623.0</v>
      </c>
      <c r="D362" s="129">
        <v>-85.0</v>
      </c>
      <c r="E362" s="130">
        <v>5313.0</v>
      </c>
      <c r="F362" s="131">
        <v>908.0</v>
      </c>
      <c r="G362" s="132">
        <v>96.19</v>
      </c>
      <c r="H362" s="133">
        <v>951.27</v>
      </c>
      <c r="I362" s="24" t="s">
        <v>4474</v>
      </c>
    </row>
    <row r="363">
      <c r="A363" s="119">
        <v>70.0</v>
      </c>
      <c r="B363" s="119">
        <v>5.0</v>
      </c>
      <c r="C363" s="129">
        <v>23552.0</v>
      </c>
      <c r="D363" s="129">
        <v>-295.0</v>
      </c>
      <c r="E363" s="130">
        <v>7916.0</v>
      </c>
      <c r="F363" s="131">
        <v>79971.0</v>
      </c>
      <c r="G363" s="132">
        <v>92148.4</v>
      </c>
      <c r="H363" s="133">
        <v>-9936.24</v>
      </c>
      <c r="I363" s="24" t="s">
        <v>4475</v>
      </c>
    </row>
    <row r="364">
      <c r="A364" s="119">
        <v>29.0</v>
      </c>
      <c r="B364" s="119">
        <v>10.0</v>
      </c>
      <c r="C364" s="129">
        <v>72324.0</v>
      </c>
      <c r="D364" s="129">
        <v>33.0</v>
      </c>
      <c r="E364" s="130">
        <v>74915.0</v>
      </c>
      <c r="F364" s="131">
        <v>83716.0</v>
      </c>
      <c r="G364" s="132">
        <v>3029.86</v>
      </c>
      <c r="H364" s="133">
        <v>320.25</v>
      </c>
      <c r="I364" s="24" t="s">
        <v>4476</v>
      </c>
    </row>
    <row r="365">
      <c r="A365" s="119">
        <v>29.0</v>
      </c>
      <c r="B365" s="119">
        <v>9.0</v>
      </c>
      <c r="C365" s="129">
        <v>16734.0</v>
      </c>
      <c r="D365" s="129">
        <v>28111.0</v>
      </c>
      <c r="E365" s="130">
        <v>27319.0</v>
      </c>
      <c r="F365" s="131">
        <v>-30223.0</v>
      </c>
      <c r="G365" s="132">
        <v>7826.9</v>
      </c>
      <c r="H365" s="133">
        <v>950.77</v>
      </c>
      <c r="I365" s="24" t="s">
        <v>4477</v>
      </c>
    </row>
    <row r="366">
      <c r="A366" s="119">
        <v>70.0</v>
      </c>
      <c r="B366" s="119">
        <v>11.0</v>
      </c>
      <c r="C366" s="129">
        <v>77359.0</v>
      </c>
      <c r="D366" s="129">
        <v>20490.0</v>
      </c>
      <c r="E366" s="130">
        <v>-92.0</v>
      </c>
      <c r="F366" s="131">
        <v>-69264.0</v>
      </c>
      <c r="G366" s="132">
        <v>8721.18</v>
      </c>
      <c r="H366" s="133">
        <v>50519.25</v>
      </c>
      <c r="I366" s="24" t="s">
        <v>4478</v>
      </c>
    </row>
    <row r="367">
      <c r="A367" s="119">
        <v>29.0</v>
      </c>
      <c r="B367" s="119">
        <v>19.0</v>
      </c>
      <c r="C367" s="129">
        <v>29730.0</v>
      </c>
      <c r="D367" s="129">
        <v>4559.0</v>
      </c>
      <c r="E367" s="130">
        <v>45254.0</v>
      </c>
      <c r="F367" s="131">
        <v>37.0</v>
      </c>
      <c r="G367" s="132">
        <v>-614.66</v>
      </c>
      <c r="H367" s="133">
        <v>821.51</v>
      </c>
      <c r="I367" s="24" t="s">
        <v>4479</v>
      </c>
    </row>
    <row r="368">
      <c r="A368" s="119">
        <v>49.0</v>
      </c>
      <c r="B368" s="119">
        <v>70.0</v>
      </c>
      <c r="C368" s="129">
        <v>72513.0</v>
      </c>
      <c r="D368" s="129">
        <v>-6417.0</v>
      </c>
      <c r="E368" s="130">
        <v>8775.0</v>
      </c>
      <c r="F368" s="131">
        <v>5736.0</v>
      </c>
      <c r="G368" s="132">
        <v>5204.3</v>
      </c>
      <c r="H368" s="133">
        <v>-845.71</v>
      </c>
      <c r="I368" s="24" t="s">
        <v>4480</v>
      </c>
    </row>
    <row r="369">
      <c r="A369" s="119">
        <v>49.0</v>
      </c>
      <c r="B369" s="119">
        <v>71.0</v>
      </c>
      <c r="C369" s="129">
        <v>3134.0</v>
      </c>
      <c r="D369" s="129">
        <v>-95.0</v>
      </c>
      <c r="E369" s="130">
        <v>-17911.0</v>
      </c>
      <c r="F369" s="131">
        <v>8633.0</v>
      </c>
      <c r="G369" s="132">
        <v>465.38</v>
      </c>
      <c r="H369" s="133">
        <v>2965.88</v>
      </c>
      <c r="I369" s="24" t="s">
        <v>4481</v>
      </c>
    </row>
    <row r="370">
      <c r="A370" s="119">
        <v>70.0</v>
      </c>
      <c r="B370" s="119">
        <v>22.0</v>
      </c>
      <c r="C370" s="129">
        <v>21903.0</v>
      </c>
      <c r="D370" s="129">
        <v>93.0</v>
      </c>
      <c r="E370" s="130">
        <v>-835.0</v>
      </c>
      <c r="F370" s="131">
        <v>6389.0</v>
      </c>
      <c r="G370" s="132">
        <v>173.35</v>
      </c>
      <c r="H370" s="133">
        <v>-4432.34</v>
      </c>
      <c r="I370" s="24" t="s">
        <v>4482</v>
      </c>
    </row>
    <row r="371">
      <c r="A371" s="119">
        <v>90.0</v>
      </c>
      <c r="B371" s="119">
        <v>72.0</v>
      </c>
      <c r="C371" s="129">
        <v>27446.0</v>
      </c>
      <c r="D371" s="129">
        <v>-756.0</v>
      </c>
      <c r="E371" s="130">
        <v>62.0</v>
      </c>
      <c r="F371" s="131">
        <v>-19911.0</v>
      </c>
      <c r="G371" s="132">
        <v>-32429.65</v>
      </c>
      <c r="H371" s="133">
        <v>82737.57</v>
      </c>
      <c r="I371" s="24" t="s">
        <v>4483</v>
      </c>
    </row>
    <row r="372">
      <c r="A372" s="119">
        <v>90.0</v>
      </c>
      <c r="B372" s="119">
        <v>73.0</v>
      </c>
      <c r="C372" s="129">
        <v>46144.0</v>
      </c>
      <c r="D372" s="129">
        <v>765.0</v>
      </c>
      <c r="E372" s="130">
        <v>-360105.0</v>
      </c>
      <c r="F372" s="131">
        <v>-299.0</v>
      </c>
      <c r="G372" s="132">
        <v>-73.84</v>
      </c>
      <c r="H372" s="133">
        <v>37947.21</v>
      </c>
      <c r="I372" s="24" t="s">
        <v>4484</v>
      </c>
    </row>
    <row r="373">
      <c r="A373" s="119">
        <v>29.0</v>
      </c>
      <c r="B373" s="119">
        <v>32.0</v>
      </c>
      <c r="C373" s="129">
        <v>15052.0</v>
      </c>
      <c r="D373" s="129">
        <v>30107.0</v>
      </c>
      <c r="E373" s="130">
        <v>141.0</v>
      </c>
      <c r="F373" s="131">
        <v>8630.0</v>
      </c>
      <c r="G373" s="132">
        <v>-795.74</v>
      </c>
      <c r="H373" s="133">
        <v>482.85</v>
      </c>
      <c r="I373" s="24" t="s">
        <v>4485</v>
      </c>
    </row>
    <row r="374">
      <c r="A374" s="119">
        <v>90.0</v>
      </c>
      <c r="B374" s="119">
        <v>78.0</v>
      </c>
      <c r="C374" s="129">
        <v>66881.0</v>
      </c>
      <c r="D374" s="129">
        <v>35920.0</v>
      </c>
      <c r="E374" s="130">
        <v>351.0</v>
      </c>
      <c r="F374" s="131">
        <v>22.0</v>
      </c>
      <c r="G374" s="132">
        <v>7198.1</v>
      </c>
      <c r="H374" s="133">
        <v>-8631.97</v>
      </c>
      <c r="I374" s="24" t="s">
        <v>4486</v>
      </c>
    </row>
    <row r="375">
      <c r="A375" s="119">
        <v>90.0</v>
      </c>
      <c r="B375" s="119">
        <v>80.0</v>
      </c>
      <c r="C375" s="129">
        <v>2892.0</v>
      </c>
      <c r="D375" s="129">
        <v>66.0</v>
      </c>
      <c r="E375" s="130">
        <v>663721.0</v>
      </c>
      <c r="F375" s="131">
        <v>31296.0</v>
      </c>
      <c r="G375" s="132">
        <v>-4877.87</v>
      </c>
      <c r="H375" s="133">
        <v>44219.99</v>
      </c>
      <c r="I375" s="24" t="s">
        <v>4487</v>
      </c>
    </row>
    <row r="376">
      <c r="A376" s="119">
        <v>90.0</v>
      </c>
      <c r="B376" s="119">
        <v>81.0</v>
      </c>
      <c r="C376" s="129">
        <v>36858.0</v>
      </c>
      <c r="D376" s="129">
        <v>-34608.0</v>
      </c>
      <c r="E376" s="130">
        <v>47.0</v>
      </c>
      <c r="F376" s="131">
        <v>683.0</v>
      </c>
      <c r="G376" s="132">
        <v>912.21</v>
      </c>
      <c r="H376" s="133">
        <v>-69898.92</v>
      </c>
      <c r="I376" s="24" t="s">
        <v>4488</v>
      </c>
    </row>
    <row r="377">
      <c r="A377" s="119">
        <v>90.0</v>
      </c>
      <c r="B377" s="119">
        <v>90.0</v>
      </c>
      <c r="C377" s="129">
        <v>75514.0</v>
      </c>
      <c r="D377" s="129">
        <v>168.0</v>
      </c>
      <c r="E377" s="130">
        <v>2286.0</v>
      </c>
      <c r="F377" s="131">
        <v>869.0</v>
      </c>
      <c r="G377" s="132">
        <v>24119.19</v>
      </c>
      <c r="H377" s="133">
        <v>72164.26</v>
      </c>
      <c r="I377" s="24" t="s">
        <v>4489</v>
      </c>
    </row>
    <row r="378">
      <c r="A378" s="119">
        <v>49.0</v>
      </c>
      <c r="B378" s="119">
        <v>96.0</v>
      </c>
      <c r="C378" s="129">
        <v>53123.0</v>
      </c>
      <c r="D378" s="129">
        <v>52372.0</v>
      </c>
      <c r="E378" s="130">
        <v>419.0</v>
      </c>
      <c r="F378" s="131">
        <v>532.0</v>
      </c>
      <c r="G378" s="132">
        <v>3564.18</v>
      </c>
      <c r="H378" s="133">
        <v>515.6</v>
      </c>
      <c r="I378" s="24" t="s">
        <v>4490</v>
      </c>
    </row>
    <row r="379">
      <c r="A379" s="119">
        <v>90.0</v>
      </c>
      <c r="B379" s="119">
        <v>94.0</v>
      </c>
      <c r="C379" s="129">
        <v>51186.0</v>
      </c>
      <c r="D379" s="129">
        <v>15.0</v>
      </c>
      <c r="E379" s="130">
        <v>63474.0</v>
      </c>
      <c r="F379" s="131">
        <v>8443.0</v>
      </c>
      <c r="G379" s="132">
        <v>-97000.46</v>
      </c>
      <c r="H379" s="133">
        <v>-57978.29</v>
      </c>
      <c r="I379" s="24" t="s">
        <v>4491</v>
      </c>
    </row>
    <row r="380">
      <c r="A380" s="119">
        <v>70.0</v>
      </c>
      <c r="B380" s="119">
        <v>49.0</v>
      </c>
      <c r="C380" s="129">
        <v>82376.0</v>
      </c>
      <c r="D380" s="129">
        <v>5621.0</v>
      </c>
      <c r="E380" s="130">
        <v>390641.0</v>
      </c>
      <c r="F380" s="131">
        <v>-10007.0</v>
      </c>
      <c r="G380" s="132">
        <v>68342.42</v>
      </c>
      <c r="H380" s="133">
        <v>-967.34</v>
      </c>
      <c r="I380" s="24" t="s">
        <v>4492</v>
      </c>
    </row>
    <row r="381">
      <c r="A381" s="119">
        <v>50.0</v>
      </c>
      <c r="B381" s="119">
        <v>4.0</v>
      </c>
      <c r="C381" s="129">
        <v>17808.0</v>
      </c>
      <c r="D381" s="129">
        <v>5568.0</v>
      </c>
      <c r="E381" s="130">
        <v>667022.0</v>
      </c>
      <c r="F381" s="131">
        <v>22.0</v>
      </c>
      <c r="G381" s="132">
        <v>2034.95</v>
      </c>
      <c r="H381" s="133">
        <v>1628.4</v>
      </c>
      <c r="I381" s="24" t="s">
        <v>4493</v>
      </c>
    </row>
    <row r="382">
      <c r="A382" s="119">
        <v>29.0</v>
      </c>
      <c r="B382" s="119">
        <v>59.0</v>
      </c>
      <c r="C382" s="129">
        <v>74483.0</v>
      </c>
      <c r="D382" s="129">
        <v>73645.0</v>
      </c>
      <c r="E382" s="130">
        <v>13.0</v>
      </c>
      <c r="F382" s="131">
        <v>-7188.0</v>
      </c>
      <c r="G382" s="132">
        <v>443.84</v>
      </c>
      <c r="H382" s="133">
        <v>100.5</v>
      </c>
      <c r="I382" s="24" t="s">
        <v>4494</v>
      </c>
    </row>
    <row r="383">
      <c r="A383" s="119">
        <v>91.0</v>
      </c>
      <c r="B383" s="119">
        <v>4.0</v>
      </c>
      <c r="C383" s="129">
        <v>13920.0</v>
      </c>
      <c r="D383" s="129">
        <v>98.0</v>
      </c>
      <c r="E383" s="130">
        <v>704650.0</v>
      </c>
      <c r="F383" s="131">
        <v>-70011.0</v>
      </c>
      <c r="G383" s="132">
        <v>-75628.52</v>
      </c>
      <c r="H383" s="133">
        <v>-44.0</v>
      </c>
      <c r="I383" s="24" t="s">
        <v>4495</v>
      </c>
    </row>
    <row r="384">
      <c r="A384" s="119">
        <v>50.0</v>
      </c>
      <c r="B384" s="119">
        <v>9.0</v>
      </c>
      <c r="C384" s="129">
        <v>23425.0</v>
      </c>
      <c r="D384" s="129">
        <v>53269.0</v>
      </c>
      <c r="E384" s="130">
        <v>23.0</v>
      </c>
      <c r="F384" s="131">
        <v>-525.0</v>
      </c>
      <c r="G384" s="132">
        <v>-548.5</v>
      </c>
      <c r="H384" s="133">
        <v>304.61</v>
      </c>
      <c r="I384" s="24" t="s">
        <v>4496</v>
      </c>
    </row>
    <row r="385">
      <c r="A385" s="119">
        <v>70.0</v>
      </c>
      <c r="B385" s="119">
        <v>56.0</v>
      </c>
      <c r="C385" s="129">
        <v>2882.0</v>
      </c>
      <c r="D385" s="129">
        <v>26466.0</v>
      </c>
      <c r="E385" s="130">
        <v>622.0</v>
      </c>
      <c r="F385" s="131">
        <v>55722.0</v>
      </c>
      <c r="G385" s="132">
        <v>331.16</v>
      </c>
      <c r="H385" s="133">
        <v>76.88</v>
      </c>
      <c r="I385" s="24" t="s">
        <v>4497</v>
      </c>
    </row>
    <row r="386">
      <c r="A386" s="119">
        <v>50.0</v>
      </c>
      <c r="B386" s="119">
        <v>7.0</v>
      </c>
      <c r="C386" s="129">
        <v>7818.0</v>
      </c>
      <c r="D386" s="129">
        <v>-409.0</v>
      </c>
      <c r="E386" s="130">
        <v>-8108.0</v>
      </c>
      <c r="F386" s="131">
        <v>46.0</v>
      </c>
      <c r="G386" s="132">
        <v>10.79</v>
      </c>
      <c r="H386" s="133">
        <v>870.57</v>
      </c>
      <c r="I386" s="24" t="s">
        <v>4498</v>
      </c>
    </row>
    <row r="387">
      <c r="A387" s="119">
        <v>50.0</v>
      </c>
      <c r="B387" s="119">
        <v>14.0</v>
      </c>
      <c r="C387" s="129">
        <v>69184.0</v>
      </c>
      <c r="D387" s="129">
        <v>-80397.0</v>
      </c>
      <c r="E387" s="130">
        <v>99.0</v>
      </c>
      <c r="F387" s="131">
        <v>6255.0</v>
      </c>
      <c r="G387" s="132">
        <v>1087.74</v>
      </c>
      <c r="H387" s="133">
        <v>31.85</v>
      </c>
      <c r="I387" s="24" t="s">
        <v>4499</v>
      </c>
    </row>
    <row r="388">
      <c r="A388" s="119">
        <v>50.0</v>
      </c>
      <c r="B388" s="119">
        <v>17.0</v>
      </c>
      <c r="C388" s="129">
        <v>49204.0</v>
      </c>
      <c r="D388" s="129">
        <v>25.0</v>
      </c>
      <c r="E388" s="130">
        <v>18.0</v>
      </c>
      <c r="F388" s="131">
        <v>74315.0</v>
      </c>
      <c r="G388" s="132">
        <v>-30213.46</v>
      </c>
      <c r="H388" s="133">
        <v>91.7</v>
      </c>
      <c r="I388" s="24" t="s">
        <v>4500</v>
      </c>
    </row>
    <row r="389">
      <c r="A389" s="119">
        <v>29.0</v>
      </c>
      <c r="B389" s="119">
        <v>71.0</v>
      </c>
      <c r="C389" s="129">
        <v>3575.0</v>
      </c>
      <c r="D389" s="129">
        <v>-96.0</v>
      </c>
      <c r="E389" s="130">
        <v>60430.0</v>
      </c>
      <c r="F389" s="131">
        <v>68046.0</v>
      </c>
      <c r="G389" s="132">
        <v>-837.68</v>
      </c>
      <c r="H389" s="133">
        <v>42049.37</v>
      </c>
      <c r="I389" s="24" t="s">
        <v>4501</v>
      </c>
    </row>
    <row r="390">
      <c r="A390" s="119">
        <v>29.0</v>
      </c>
      <c r="B390" s="119">
        <v>73.0</v>
      </c>
      <c r="C390" s="129">
        <v>25682.0</v>
      </c>
      <c r="D390" s="129">
        <v>470.0</v>
      </c>
      <c r="E390" s="130">
        <v>91.0</v>
      </c>
      <c r="F390" s="131">
        <v>-1604.0</v>
      </c>
      <c r="G390" s="132">
        <v>-7151.9</v>
      </c>
      <c r="H390" s="133">
        <v>53.92</v>
      </c>
      <c r="I390" s="24" t="s">
        <v>4502</v>
      </c>
    </row>
    <row r="391">
      <c r="A391" s="119">
        <v>91.0</v>
      </c>
      <c r="B391" s="119">
        <v>21.0</v>
      </c>
      <c r="C391" s="129">
        <v>21757.0</v>
      </c>
      <c r="D391" s="129">
        <v>853.0</v>
      </c>
      <c r="E391" s="130">
        <v>71.0</v>
      </c>
      <c r="F391" s="131">
        <v>-356.0</v>
      </c>
      <c r="G391" s="132">
        <v>6234.0</v>
      </c>
      <c r="H391" s="133">
        <v>66613.6</v>
      </c>
      <c r="I391" s="24" t="s">
        <v>4503</v>
      </c>
    </row>
    <row r="392">
      <c r="A392" s="119">
        <v>29.0</v>
      </c>
      <c r="B392" s="119">
        <v>77.0</v>
      </c>
      <c r="C392" s="129">
        <v>31413.0</v>
      </c>
      <c r="D392" s="129">
        <v>4434.0</v>
      </c>
      <c r="E392" s="130">
        <v>85.0</v>
      </c>
      <c r="F392" s="131">
        <v>-89.0</v>
      </c>
      <c r="G392" s="132">
        <v>401.66</v>
      </c>
      <c r="H392" s="133">
        <v>922.67</v>
      </c>
      <c r="I392" s="24" t="s">
        <v>4504</v>
      </c>
    </row>
    <row r="393">
      <c r="A393" s="119">
        <v>50.0</v>
      </c>
      <c r="B393" s="119">
        <v>30.0</v>
      </c>
      <c r="C393" s="129">
        <v>84812.0</v>
      </c>
      <c r="D393" s="129">
        <v>84946.0</v>
      </c>
      <c r="E393" s="130">
        <v>21113.0</v>
      </c>
      <c r="F393" s="131">
        <v>144.0</v>
      </c>
      <c r="G393" s="132">
        <v>3523.1</v>
      </c>
      <c r="H393" s="133">
        <v>56.43</v>
      </c>
      <c r="I393" s="24" t="s">
        <v>4505</v>
      </c>
    </row>
    <row r="394">
      <c r="A394" s="119">
        <v>91.0</v>
      </c>
      <c r="B394" s="119">
        <v>27.0</v>
      </c>
      <c r="C394" s="129">
        <v>59064.0</v>
      </c>
      <c r="D394" s="129">
        <v>7272.0</v>
      </c>
      <c r="E394" s="130">
        <v>-383271.0</v>
      </c>
      <c r="F394" s="131">
        <v>22989.0</v>
      </c>
      <c r="G394" s="132">
        <v>20.56</v>
      </c>
      <c r="H394" s="133">
        <v>34651.99</v>
      </c>
      <c r="I394" s="24" t="s">
        <v>4506</v>
      </c>
    </row>
    <row r="395">
      <c r="A395" s="119">
        <v>91.0</v>
      </c>
      <c r="B395" s="119">
        <v>28.0</v>
      </c>
      <c r="C395" s="129">
        <v>91325.0</v>
      </c>
      <c r="D395" s="129">
        <v>209.0</v>
      </c>
      <c r="E395" s="130">
        <v>59528.0</v>
      </c>
      <c r="F395" s="131">
        <v>-762.0</v>
      </c>
      <c r="G395" s="132">
        <v>3177.95</v>
      </c>
      <c r="H395" s="133">
        <v>-7887.62</v>
      </c>
      <c r="I395" s="24" t="s">
        <v>4507</v>
      </c>
    </row>
    <row r="396">
      <c r="A396" s="119">
        <v>29.0</v>
      </c>
      <c r="B396" s="119">
        <v>85.0</v>
      </c>
      <c r="C396" s="129">
        <v>90091.0</v>
      </c>
      <c r="D396" s="129">
        <v>12600.0</v>
      </c>
      <c r="E396" s="130">
        <v>18494.0</v>
      </c>
      <c r="F396" s="131">
        <v>51.0</v>
      </c>
      <c r="G396" s="132">
        <v>11605.24</v>
      </c>
      <c r="H396" s="133">
        <v>89.11</v>
      </c>
      <c r="I396" s="24" t="s">
        <v>4508</v>
      </c>
    </row>
    <row r="397">
      <c r="A397" s="119">
        <v>50.0</v>
      </c>
      <c r="B397" s="119">
        <v>40.0</v>
      </c>
      <c r="C397" s="129">
        <v>38990.0</v>
      </c>
      <c r="D397" s="129">
        <v>42.0</v>
      </c>
      <c r="E397" s="130">
        <v>70.0</v>
      </c>
      <c r="F397" s="131">
        <v>83622.0</v>
      </c>
      <c r="G397" s="132">
        <v>-43.14</v>
      </c>
      <c r="H397" s="133">
        <v>369.0</v>
      </c>
      <c r="I397" s="24" t="s">
        <v>4509</v>
      </c>
    </row>
    <row r="398">
      <c r="A398" s="119">
        <v>91.0</v>
      </c>
      <c r="B398" s="119">
        <v>43.0</v>
      </c>
      <c r="C398" s="129">
        <v>19081.0</v>
      </c>
      <c r="D398" s="129">
        <v>605.0</v>
      </c>
      <c r="E398" s="130">
        <v>7410.0</v>
      </c>
      <c r="F398" s="131">
        <v>-5380.0</v>
      </c>
      <c r="G398" s="132">
        <v>1729.92</v>
      </c>
      <c r="H398" s="133">
        <v>872.7</v>
      </c>
      <c r="I398" s="24" t="s">
        <v>4510</v>
      </c>
    </row>
    <row r="399">
      <c r="A399" s="119">
        <v>91.0</v>
      </c>
      <c r="B399" s="119">
        <v>47.0</v>
      </c>
      <c r="C399" s="129">
        <v>83007.0</v>
      </c>
      <c r="D399" s="129">
        <v>65586.0</v>
      </c>
      <c r="E399" s="130">
        <v>-25515.0</v>
      </c>
      <c r="F399" s="131">
        <v>68.0</v>
      </c>
      <c r="G399" s="132">
        <v>-1762.68</v>
      </c>
      <c r="H399" s="133">
        <v>6030.37</v>
      </c>
      <c r="I399" s="24" t="s">
        <v>4511</v>
      </c>
    </row>
    <row r="400">
      <c r="A400" s="119">
        <v>71.0</v>
      </c>
      <c r="B400" s="119">
        <v>0.0</v>
      </c>
      <c r="C400" s="129">
        <v>72.0</v>
      </c>
      <c r="D400" s="129">
        <v>6841.0</v>
      </c>
      <c r="E400" s="130">
        <v>531907.0</v>
      </c>
      <c r="F400" s="131">
        <v>-50.0</v>
      </c>
      <c r="G400" s="132">
        <v>148.4</v>
      </c>
      <c r="H400" s="133">
        <v>8573.6</v>
      </c>
      <c r="I400" s="24" t="s">
        <v>4512</v>
      </c>
    </row>
    <row r="401">
      <c r="A401" s="119">
        <v>30.0</v>
      </c>
      <c r="B401" s="119">
        <v>4.0</v>
      </c>
      <c r="C401" s="129">
        <v>33149.0</v>
      </c>
      <c r="D401" s="129">
        <v>-74508.0</v>
      </c>
      <c r="E401" s="130">
        <v>998332.0</v>
      </c>
      <c r="F401" s="131">
        <v>9722.0</v>
      </c>
      <c r="G401" s="132">
        <v>6869.67</v>
      </c>
      <c r="H401" s="133">
        <v>5451.7</v>
      </c>
      <c r="I401" s="24" t="s">
        <v>4513</v>
      </c>
    </row>
    <row r="402">
      <c r="A402" s="119">
        <v>30.0</v>
      </c>
      <c r="B402" s="119">
        <v>10.0</v>
      </c>
      <c r="C402" s="129">
        <v>78747.0</v>
      </c>
      <c r="D402" s="129">
        <v>42859.0</v>
      </c>
      <c r="E402" s="130">
        <v>-880759.0</v>
      </c>
      <c r="F402" s="131">
        <v>7520.0</v>
      </c>
      <c r="G402" s="132">
        <v>13384.53</v>
      </c>
      <c r="H402" s="133">
        <v>46868.7</v>
      </c>
      <c r="I402" s="24" t="s">
        <v>4514</v>
      </c>
    </row>
    <row r="403">
      <c r="A403" s="119">
        <v>50.0</v>
      </c>
      <c r="B403" s="119">
        <v>60.0</v>
      </c>
      <c r="C403" s="129">
        <v>31709.0</v>
      </c>
      <c r="D403" s="129">
        <v>84992.0</v>
      </c>
      <c r="E403" s="130">
        <v>505.0</v>
      </c>
      <c r="F403" s="131">
        <v>41447.0</v>
      </c>
      <c r="G403" s="132">
        <v>-1278.4</v>
      </c>
      <c r="H403" s="133">
        <v>-80120.4</v>
      </c>
      <c r="I403" s="24" t="s">
        <v>4515</v>
      </c>
    </row>
    <row r="404">
      <c r="A404" s="119">
        <v>71.0</v>
      </c>
      <c r="B404" s="119">
        <v>9.0</v>
      </c>
      <c r="C404" s="129">
        <v>48988.0</v>
      </c>
      <c r="D404" s="129">
        <v>-32529.0</v>
      </c>
      <c r="E404" s="130">
        <v>690.0</v>
      </c>
      <c r="F404" s="131">
        <v>20.0</v>
      </c>
      <c r="G404" s="132">
        <v>-64.11</v>
      </c>
      <c r="H404" s="133">
        <v>-696.18</v>
      </c>
      <c r="I404" s="24" t="s">
        <v>4516</v>
      </c>
    </row>
    <row r="405">
      <c r="A405" s="119">
        <v>91.0</v>
      </c>
      <c r="B405" s="119">
        <v>61.0</v>
      </c>
      <c r="C405" s="129">
        <v>61178.0</v>
      </c>
      <c r="D405" s="129">
        <v>-767.0</v>
      </c>
      <c r="E405" s="130">
        <v>98.0</v>
      </c>
      <c r="F405" s="131">
        <v>-1739.0</v>
      </c>
      <c r="G405" s="132">
        <v>74.35</v>
      </c>
      <c r="H405" s="133">
        <v>30601.69</v>
      </c>
      <c r="I405" s="24" t="s">
        <v>4517</v>
      </c>
    </row>
    <row r="406">
      <c r="A406" s="119">
        <v>50.0</v>
      </c>
      <c r="B406" s="119">
        <v>66.0</v>
      </c>
      <c r="C406" s="129">
        <v>66935.0</v>
      </c>
      <c r="D406" s="129">
        <v>58290.0</v>
      </c>
      <c r="E406" s="130">
        <v>-62347.0</v>
      </c>
      <c r="F406" s="131">
        <v>37.0</v>
      </c>
      <c r="G406" s="132">
        <v>799.66</v>
      </c>
      <c r="H406" s="133">
        <v>27.8</v>
      </c>
      <c r="I406" s="24" t="s">
        <v>4518</v>
      </c>
    </row>
    <row r="407">
      <c r="A407" s="119">
        <v>50.0</v>
      </c>
      <c r="B407" s="119">
        <v>67.0</v>
      </c>
      <c r="C407" s="129">
        <v>48205.0</v>
      </c>
      <c r="D407" s="129">
        <v>-55335.0</v>
      </c>
      <c r="E407" s="130">
        <v>2362.0</v>
      </c>
      <c r="F407" s="131">
        <v>869.0</v>
      </c>
      <c r="G407" s="132">
        <v>-825.7</v>
      </c>
      <c r="H407" s="133">
        <v>63.72</v>
      </c>
      <c r="I407" s="24" t="s">
        <v>4519</v>
      </c>
    </row>
    <row r="408">
      <c r="A408" s="119">
        <v>50.0</v>
      </c>
      <c r="B408" s="119">
        <v>68.0</v>
      </c>
      <c r="C408" s="129">
        <v>63566.0</v>
      </c>
      <c r="D408" s="129">
        <v>1249.0</v>
      </c>
      <c r="E408" s="130">
        <v>516917.0</v>
      </c>
      <c r="F408" s="131">
        <v>-27.0</v>
      </c>
      <c r="G408" s="132">
        <v>-94215.0</v>
      </c>
      <c r="H408" s="133">
        <v>51726.43</v>
      </c>
      <c r="I408" s="24" t="s">
        <v>4520</v>
      </c>
    </row>
    <row r="409">
      <c r="A409" s="119">
        <v>50.0</v>
      </c>
      <c r="B409" s="119">
        <v>69.0</v>
      </c>
      <c r="C409" s="129">
        <v>73158.0</v>
      </c>
      <c r="D409" s="129">
        <v>-32.0</v>
      </c>
      <c r="E409" s="130">
        <v>-176650.0</v>
      </c>
      <c r="F409" s="131">
        <v>334.0</v>
      </c>
      <c r="G409" s="132">
        <v>-41.34</v>
      </c>
      <c r="H409" s="133">
        <v>3320.18</v>
      </c>
      <c r="I409" s="24" t="s">
        <v>4521</v>
      </c>
    </row>
    <row r="410">
      <c r="A410" s="119">
        <v>71.0</v>
      </c>
      <c r="B410" s="119">
        <v>18.0</v>
      </c>
      <c r="C410" s="129">
        <v>26397.0</v>
      </c>
      <c r="D410" s="129">
        <v>-22.0</v>
      </c>
      <c r="E410" s="130">
        <v>11080.0</v>
      </c>
      <c r="F410" s="131">
        <v>4899.0</v>
      </c>
      <c r="G410" s="132">
        <v>-390.8</v>
      </c>
      <c r="H410" s="133">
        <v>8482.78</v>
      </c>
      <c r="I410" s="24" t="s">
        <v>4522</v>
      </c>
    </row>
    <row r="411">
      <c r="A411" s="119">
        <v>71.0</v>
      </c>
      <c r="B411" s="119">
        <v>17.0</v>
      </c>
      <c r="C411" s="129">
        <v>79529.0</v>
      </c>
      <c r="D411" s="129">
        <v>-6988.0</v>
      </c>
      <c r="E411" s="130">
        <v>61151.0</v>
      </c>
      <c r="F411" s="131">
        <v>64867.0</v>
      </c>
      <c r="G411" s="132">
        <v>85311.61</v>
      </c>
      <c r="H411" s="133">
        <v>-5746.77</v>
      </c>
      <c r="I411" s="24" t="s">
        <v>4523</v>
      </c>
    </row>
    <row r="412">
      <c r="A412" s="119">
        <v>91.0</v>
      </c>
      <c r="B412" s="119">
        <v>65.0</v>
      </c>
      <c r="C412" s="129">
        <v>68291.0</v>
      </c>
      <c r="D412" s="129">
        <v>997.0</v>
      </c>
      <c r="E412" s="130">
        <v>2337.0</v>
      </c>
      <c r="F412" s="131">
        <v>320.0</v>
      </c>
      <c r="G412" s="132">
        <v>4595.87</v>
      </c>
      <c r="H412" s="133">
        <v>-60.2</v>
      </c>
      <c r="I412" s="24" t="s">
        <v>4524</v>
      </c>
    </row>
    <row r="413">
      <c r="A413" s="119">
        <v>91.0</v>
      </c>
      <c r="B413" s="119">
        <v>69.0</v>
      </c>
      <c r="C413" s="129">
        <v>29719.0</v>
      </c>
      <c r="D413" s="129">
        <v>78.0</v>
      </c>
      <c r="E413" s="130">
        <v>3699.0</v>
      </c>
      <c r="F413" s="131">
        <v>37.0</v>
      </c>
      <c r="G413" s="132">
        <v>810.44</v>
      </c>
      <c r="H413" s="133">
        <v>-6465.45</v>
      </c>
      <c r="I413" s="24" t="s">
        <v>4525</v>
      </c>
    </row>
    <row r="414">
      <c r="A414" s="119">
        <v>91.0</v>
      </c>
      <c r="B414" s="119">
        <v>71.0</v>
      </c>
      <c r="C414" s="129">
        <v>13289.0</v>
      </c>
      <c r="D414" s="129">
        <v>1473.0</v>
      </c>
      <c r="E414" s="130">
        <v>919.0</v>
      </c>
      <c r="F414" s="131">
        <v>43.0</v>
      </c>
      <c r="G414" s="132">
        <v>48957.8</v>
      </c>
      <c r="H414" s="133">
        <v>858.56</v>
      </c>
      <c r="I414" s="24" t="s">
        <v>4526</v>
      </c>
    </row>
    <row r="415">
      <c r="A415" s="119">
        <v>30.0</v>
      </c>
      <c r="B415" s="119">
        <v>29.0</v>
      </c>
      <c r="C415" s="129">
        <v>87734.0</v>
      </c>
      <c r="D415" s="129">
        <v>-91.0</v>
      </c>
      <c r="E415" s="130">
        <v>10.0</v>
      </c>
      <c r="F415" s="131">
        <v>44277.0</v>
      </c>
      <c r="G415" s="132">
        <v>-3821.83</v>
      </c>
      <c r="H415" s="133">
        <v>947.8</v>
      </c>
      <c r="I415" s="24" t="s">
        <v>4527</v>
      </c>
    </row>
    <row r="416">
      <c r="A416" s="119">
        <v>30.0</v>
      </c>
      <c r="B416" s="119">
        <v>31.0</v>
      </c>
      <c r="C416" s="129">
        <v>60779.0</v>
      </c>
      <c r="D416" s="129">
        <v>517.0</v>
      </c>
      <c r="E416" s="130">
        <v>7145.0</v>
      </c>
      <c r="F416" s="131">
        <v>918.0</v>
      </c>
      <c r="G416" s="132">
        <v>-7732.84</v>
      </c>
      <c r="H416" s="133">
        <v>7293.13</v>
      </c>
      <c r="I416" s="24" t="s">
        <v>4528</v>
      </c>
    </row>
    <row r="417">
      <c r="A417" s="119">
        <v>30.0</v>
      </c>
      <c r="B417" s="119">
        <v>32.0</v>
      </c>
      <c r="C417" s="129">
        <v>62025.0</v>
      </c>
      <c r="D417" s="129">
        <v>203.0</v>
      </c>
      <c r="E417" s="130">
        <v>5135.0</v>
      </c>
      <c r="F417" s="131">
        <v>48112.0</v>
      </c>
      <c r="G417" s="132">
        <v>3357.52</v>
      </c>
      <c r="H417" s="133">
        <v>894.89</v>
      </c>
      <c r="I417" s="24" t="s">
        <v>4529</v>
      </c>
    </row>
    <row r="418">
      <c r="A418" s="119">
        <v>91.0</v>
      </c>
      <c r="B418" s="119">
        <v>76.0</v>
      </c>
      <c r="C418" s="129">
        <v>4934.0</v>
      </c>
      <c r="D418" s="129">
        <v>-59627.0</v>
      </c>
      <c r="E418" s="130">
        <v>487.0</v>
      </c>
      <c r="F418" s="131">
        <v>58684.0</v>
      </c>
      <c r="G418" s="132">
        <v>25851.37</v>
      </c>
      <c r="H418" s="133">
        <v>2241.63</v>
      </c>
      <c r="I418" s="24" t="s">
        <v>4530</v>
      </c>
    </row>
    <row r="419">
      <c r="A419" s="119">
        <v>30.0</v>
      </c>
      <c r="B419" s="119">
        <v>35.0</v>
      </c>
      <c r="C419" s="129">
        <v>35113.0</v>
      </c>
      <c r="D419" s="129">
        <v>-16.0</v>
      </c>
      <c r="E419" s="130">
        <v>186793.0</v>
      </c>
      <c r="F419" s="131">
        <v>8061.0</v>
      </c>
      <c r="G419" s="132">
        <v>58476.79</v>
      </c>
      <c r="H419" s="133">
        <v>-24.27</v>
      </c>
      <c r="I419" s="24" t="s">
        <v>4531</v>
      </c>
    </row>
    <row r="420">
      <c r="A420" s="119">
        <v>30.0</v>
      </c>
      <c r="B420" s="119">
        <v>36.0</v>
      </c>
      <c r="C420" s="129">
        <v>52120.0</v>
      </c>
      <c r="D420" s="129">
        <v>81.0</v>
      </c>
      <c r="E420" s="130">
        <v>48.0</v>
      </c>
      <c r="F420" s="131">
        <v>16495.0</v>
      </c>
      <c r="G420" s="132">
        <v>721.49</v>
      </c>
      <c r="H420" s="133">
        <v>261.85</v>
      </c>
      <c r="I420" s="24" t="s">
        <v>4532</v>
      </c>
    </row>
    <row r="421">
      <c r="A421" s="119">
        <v>91.0</v>
      </c>
      <c r="B421" s="119">
        <v>80.0</v>
      </c>
      <c r="C421" s="129">
        <v>19499.0</v>
      </c>
      <c r="D421" s="129">
        <v>-2088.0</v>
      </c>
      <c r="E421" s="130">
        <v>605562.0</v>
      </c>
      <c r="F421" s="131">
        <v>1871.0</v>
      </c>
      <c r="G421" s="132">
        <v>54638.3</v>
      </c>
      <c r="H421" s="133">
        <v>78.5</v>
      </c>
      <c r="I421" s="24" t="s">
        <v>4533</v>
      </c>
    </row>
    <row r="422">
      <c r="A422" s="119">
        <v>50.0</v>
      </c>
      <c r="B422" s="119">
        <v>85.0</v>
      </c>
      <c r="C422" s="129">
        <v>17748.0</v>
      </c>
      <c r="D422" s="129">
        <v>4625.0</v>
      </c>
      <c r="E422" s="130">
        <v>-65650.0</v>
      </c>
      <c r="F422" s="131">
        <v>97.0</v>
      </c>
      <c r="G422" s="132">
        <v>82.82</v>
      </c>
      <c r="H422" s="133">
        <v>11.75</v>
      </c>
      <c r="I422" s="24" t="s">
        <v>4534</v>
      </c>
    </row>
    <row r="423">
      <c r="A423" s="119">
        <v>91.0</v>
      </c>
      <c r="B423" s="119">
        <v>83.0</v>
      </c>
      <c r="C423" s="129">
        <v>38725.0</v>
      </c>
      <c r="D423" s="129">
        <v>53.0</v>
      </c>
      <c r="E423" s="130">
        <v>-42883.0</v>
      </c>
      <c r="F423" s="131">
        <v>4690.0</v>
      </c>
      <c r="G423" s="132">
        <v>7714.21</v>
      </c>
      <c r="H423" s="133">
        <v>110.1</v>
      </c>
      <c r="I423" s="24" t="s">
        <v>4535</v>
      </c>
    </row>
    <row r="424">
      <c r="A424" s="119">
        <v>91.0</v>
      </c>
      <c r="B424" s="119">
        <v>84.0</v>
      </c>
      <c r="C424" s="129">
        <v>30612.0</v>
      </c>
      <c r="D424" s="129">
        <v>14.0</v>
      </c>
      <c r="E424" s="130">
        <v>144612.0</v>
      </c>
      <c r="F424" s="131">
        <v>9340.0</v>
      </c>
      <c r="G424" s="132">
        <v>-92741.88</v>
      </c>
      <c r="H424" s="133">
        <v>-20.29</v>
      </c>
      <c r="I424" s="24" t="s">
        <v>4536</v>
      </c>
    </row>
    <row r="425">
      <c r="A425" s="119">
        <v>30.0</v>
      </c>
      <c r="B425" s="119">
        <v>44.0</v>
      </c>
      <c r="C425" s="129">
        <v>12744.0</v>
      </c>
      <c r="D425" s="129">
        <v>200.0</v>
      </c>
      <c r="E425" s="130">
        <v>2638.0</v>
      </c>
      <c r="F425" s="131">
        <v>94276.0</v>
      </c>
      <c r="G425" s="132">
        <v>3483.3</v>
      </c>
      <c r="H425" s="133">
        <v>-17388.7</v>
      </c>
      <c r="I425" s="24" t="s">
        <v>4537</v>
      </c>
    </row>
    <row r="426">
      <c r="A426" s="119">
        <v>71.0</v>
      </c>
      <c r="B426" s="119">
        <v>42.0</v>
      </c>
      <c r="C426" s="129">
        <v>29159.0</v>
      </c>
      <c r="D426" s="129">
        <v>5151.0</v>
      </c>
      <c r="E426" s="130">
        <v>27.0</v>
      </c>
      <c r="F426" s="131">
        <v>-10478.0</v>
      </c>
      <c r="G426" s="132">
        <v>8441.45</v>
      </c>
      <c r="H426" s="133">
        <v>918.98</v>
      </c>
      <c r="I426" s="24" t="s">
        <v>4538</v>
      </c>
    </row>
    <row r="427">
      <c r="A427" s="119">
        <v>91.0</v>
      </c>
      <c r="B427" s="119">
        <v>91.0</v>
      </c>
      <c r="C427" s="129">
        <v>34361.0</v>
      </c>
      <c r="D427" s="129">
        <v>-5710.0</v>
      </c>
      <c r="E427" s="130">
        <v>619.0</v>
      </c>
      <c r="F427" s="131">
        <v>18.0</v>
      </c>
      <c r="G427" s="132">
        <v>909.35</v>
      </c>
      <c r="H427" s="133">
        <v>487.17</v>
      </c>
      <c r="I427" s="24" t="s">
        <v>4539</v>
      </c>
    </row>
    <row r="428">
      <c r="A428" s="119">
        <v>50.0</v>
      </c>
      <c r="B428" s="119">
        <v>96.0</v>
      </c>
      <c r="C428" s="129">
        <v>40928.0</v>
      </c>
      <c r="D428" s="129">
        <v>614.0</v>
      </c>
      <c r="E428" s="130">
        <v>18741.0</v>
      </c>
      <c r="F428" s="131">
        <v>35.0</v>
      </c>
      <c r="G428" s="132">
        <v>4939.13</v>
      </c>
      <c r="H428" s="133">
        <v>5220.58</v>
      </c>
      <c r="I428" s="24" t="s">
        <v>4540</v>
      </c>
    </row>
    <row r="429">
      <c r="A429" s="119">
        <v>71.0</v>
      </c>
      <c r="B429" s="119">
        <v>43.0</v>
      </c>
      <c r="C429" s="129">
        <v>45985.0</v>
      </c>
      <c r="D429" s="129">
        <v>4780.0</v>
      </c>
      <c r="E429" s="130">
        <v>164440.0</v>
      </c>
      <c r="F429" s="131">
        <v>1257.0</v>
      </c>
      <c r="G429" s="132">
        <v>497.71</v>
      </c>
      <c r="H429" s="133">
        <v>-39.65</v>
      </c>
      <c r="I429" s="24" t="s">
        <v>4541</v>
      </c>
    </row>
    <row r="430">
      <c r="A430" s="119">
        <v>30.0</v>
      </c>
      <c r="B430" s="119">
        <v>50.0</v>
      </c>
      <c r="C430" s="129">
        <v>14298.0</v>
      </c>
      <c r="D430" s="129">
        <v>-28.0</v>
      </c>
      <c r="E430" s="130">
        <v>5625.0</v>
      </c>
      <c r="F430" s="131">
        <v>1314.0</v>
      </c>
      <c r="G430" s="132">
        <v>-9293.0</v>
      </c>
      <c r="H430" s="133">
        <v>4801.3</v>
      </c>
      <c r="I430" s="24" t="s">
        <v>4542</v>
      </c>
    </row>
    <row r="431">
      <c r="A431" s="119">
        <v>10.0</v>
      </c>
      <c r="B431" s="119">
        <v>4.0</v>
      </c>
      <c r="C431" s="129">
        <v>49242.0</v>
      </c>
      <c r="D431" s="129">
        <v>-6911.0</v>
      </c>
      <c r="E431" s="130">
        <v>501.0</v>
      </c>
      <c r="F431" s="131">
        <v>14616.0</v>
      </c>
      <c r="G431" s="132">
        <v>42.79</v>
      </c>
      <c r="H431" s="133">
        <v>-73.67</v>
      </c>
      <c r="I431" s="24" t="s">
        <v>4543</v>
      </c>
    </row>
    <row r="432">
      <c r="A432" s="119">
        <v>10.0</v>
      </c>
      <c r="B432" s="119">
        <v>5.0</v>
      </c>
      <c r="C432" s="129">
        <v>64838.0</v>
      </c>
      <c r="D432" s="129">
        <v>2299.0</v>
      </c>
      <c r="E432" s="130">
        <v>-254136.0</v>
      </c>
      <c r="F432" s="131">
        <v>6636.0</v>
      </c>
      <c r="G432" s="132">
        <v>-6309.79</v>
      </c>
      <c r="H432" s="133">
        <v>387.74</v>
      </c>
      <c r="I432" s="24" t="s">
        <v>4544</v>
      </c>
    </row>
    <row r="433">
      <c r="A433" s="119">
        <v>91.0</v>
      </c>
      <c r="B433" s="119">
        <v>99.0</v>
      </c>
      <c r="C433" s="129">
        <v>52659.0</v>
      </c>
      <c r="D433" s="129">
        <v>18.0</v>
      </c>
      <c r="E433" s="130">
        <v>67008.0</v>
      </c>
      <c r="F433" s="131">
        <v>186.0</v>
      </c>
      <c r="G433" s="132">
        <v>69534.68</v>
      </c>
      <c r="H433" s="133">
        <v>21.86</v>
      </c>
      <c r="I433" s="24" t="s">
        <v>4545</v>
      </c>
    </row>
    <row r="434">
      <c r="A434" s="119">
        <v>30.0</v>
      </c>
      <c r="B434" s="119">
        <v>59.0</v>
      </c>
      <c r="C434" s="129">
        <v>66012.0</v>
      </c>
      <c r="D434" s="129">
        <v>72.0</v>
      </c>
      <c r="E434" s="130">
        <v>42952.0</v>
      </c>
      <c r="F434" s="131">
        <v>77787.0</v>
      </c>
      <c r="G434" s="132">
        <v>374.9</v>
      </c>
      <c r="H434" s="133">
        <v>85023.3</v>
      </c>
      <c r="I434" s="24" t="s">
        <v>4546</v>
      </c>
    </row>
    <row r="435">
      <c r="A435" s="119">
        <v>92.0</v>
      </c>
      <c r="B435" s="119">
        <v>4.0</v>
      </c>
      <c r="C435" s="129">
        <v>62031.0</v>
      </c>
      <c r="D435" s="129">
        <v>-75243.0</v>
      </c>
      <c r="E435" s="130">
        <v>1096.0</v>
      </c>
      <c r="F435" s="131">
        <v>-17.0</v>
      </c>
      <c r="G435" s="132">
        <v>19.65</v>
      </c>
      <c r="H435" s="133">
        <v>51739.9</v>
      </c>
      <c r="I435" s="24" t="s">
        <v>4547</v>
      </c>
    </row>
    <row r="436">
      <c r="A436" s="119">
        <v>30.0</v>
      </c>
      <c r="B436" s="119">
        <v>64.0</v>
      </c>
      <c r="C436" s="129">
        <v>54330.0</v>
      </c>
      <c r="D436" s="129">
        <v>1795.0</v>
      </c>
      <c r="E436" s="130">
        <v>-51.0</v>
      </c>
      <c r="F436" s="131">
        <v>59.0</v>
      </c>
      <c r="G436" s="132">
        <v>-96967.77</v>
      </c>
      <c r="H436" s="133">
        <v>57.13</v>
      </c>
      <c r="I436" s="24" t="s">
        <v>4548</v>
      </c>
    </row>
    <row r="437">
      <c r="A437" s="119">
        <v>30.0</v>
      </c>
      <c r="B437" s="119">
        <v>65.0</v>
      </c>
      <c r="C437" s="129">
        <v>98267.0</v>
      </c>
      <c r="D437" s="129">
        <v>56591.0</v>
      </c>
      <c r="E437" s="130">
        <v>-684.0</v>
      </c>
      <c r="F437" s="131">
        <v>-96.0</v>
      </c>
      <c r="G437" s="132">
        <v>-559.54</v>
      </c>
      <c r="H437" s="133">
        <v>1767.15</v>
      </c>
      <c r="I437" s="24" t="s">
        <v>4549</v>
      </c>
    </row>
    <row r="438">
      <c r="A438" s="119">
        <v>71.0</v>
      </c>
      <c r="B438" s="119">
        <v>61.0</v>
      </c>
      <c r="C438" s="129">
        <v>14026.0</v>
      </c>
      <c r="D438" s="129">
        <v>76.0</v>
      </c>
      <c r="E438" s="130">
        <v>-129223.0</v>
      </c>
      <c r="F438" s="131">
        <v>45.0</v>
      </c>
      <c r="G438" s="132">
        <v>-41.27</v>
      </c>
      <c r="H438" s="133">
        <v>28.9</v>
      </c>
      <c r="I438" s="24" t="s">
        <v>4550</v>
      </c>
    </row>
    <row r="439">
      <c r="A439" s="119">
        <v>92.0</v>
      </c>
      <c r="B439" s="119">
        <v>9.0</v>
      </c>
      <c r="C439" s="129">
        <v>55861.0</v>
      </c>
      <c r="D439" s="129">
        <v>961.0</v>
      </c>
      <c r="E439" s="130">
        <v>18457.0</v>
      </c>
      <c r="F439" s="131">
        <v>548.0</v>
      </c>
      <c r="G439" s="132">
        <v>52.75</v>
      </c>
      <c r="H439" s="133">
        <v>25.61</v>
      </c>
      <c r="I439" s="24" t="s">
        <v>4551</v>
      </c>
    </row>
    <row r="440">
      <c r="A440" s="119">
        <v>30.0</v>
      </c>
      <c r="B440" s="119">
        <v>67.0</v>
      </c>
      <c r="C440" s="129">
        <v>95650.0</v>
      </c>
      <c r="D440" s="129">
        <v>424.0</v>
      </c>
      <c r="E440" s="130">
        <v>66040.0</v>
      </c>
      <c r="F440" s="131">
        <v>97.0</v>
      </c>
      <c r="G440" s="132">
        <v>7265.75</v>
      </c>
      <c r="H440" s="133">
        <v>11.51</v>
      </c>
      <c r="I440" s="24" t="s">
        <v>4552</v>
      </c>
    </row>
    <row r="441">
      <c r="A441" s="119">
        <v>10.0</v>
      </c>
      <c r="B441" s="119">
        <v>23.0</v>
      </c>
      <c r="C441" s="129">
        <v>18548.0</v>
      </c>
      <c r="D441" s="129">
        <v>94.0</v>
      </c>
      <c r="E441" s="130">
        <v>17.0</v>
      </c>
      <c r="F441" s="131">
        <v>7465.0</v>
      </c>
      <c r="G441" s="132">
        <v>4187.15</v>
      </c>
      <c r="H441" s="133">
        <v>92.35</v>
      </c>
      <c r="I441" s="134" t="s">
        <v>4553</v>
      </c>
    </row>
    <row r="442">
      <c r="A442" s="119">
        <v>92.0</v>
      </c>
      <c r="B442" s="119">
        <v>16.0</v>
      </c>
      <c r="C442" s="129">
        <v>12588.0</v>
      </c>
      <c r="D442" s="129">
        <v>62676.0</v>
      </c>
      <c r="E442" s="130">
        <v>-16.0</v>
      </c>
      <c r="F442" s="131">
        <v>66995.0</v>
      </c>
      <c r="G442" s="132">
        <v>614.16</v>
      </c>
      <c r="H442" s="133">
        <v>49.33</v>
      </c>
      <c r="I442" s="24" t="s">
        <v>4554</v>
      </c>
    </row>
    <row r="443">
      <c r="A443" s="119">
        <v>51.0</v>
      </c>
      <c r="B443" s="119">
        <v>21.0</v>
      </c>
      <c r="C443" s="129">
        <v>98557.0</v>
      </c>
      <c r="D443" s="129">
        <v>12062.0</v>
      </c>
      <c r="E443" s="130">
        <v>5946.0</v>
      </c>
      <c r="F443" s="131">
        <v>615.0</v>
      </c>
      <c r="G443" s="132">
        <v>-1236.6</v>
      </c>
      <c r="H443" s="133">
        <v>91331.43</v>
      </c>
      <c r="I443" s="24" t="s">
        <v>4555</v>
      </c>
    </row>
    <row r="444">
      <c r="A444" s="119">
        <v>92.0</v>
      </c>
      <c r="B444" s="119">
        <v>18.0</v>
      </c>
      <c r="C444" s="129">
        <v>43748.0</v>
      </c>
      <c r="D444" s="129">
        <v>1159.0</v>
      </c>
      <c r="E444" s="130">
        <v>7848.0</v>
      </c>
      <c r="F444" s="131">
        <v>5464.0</v>
      </c>
      <c r="G444" s="132">
        <v>-89337.7</v>
      </c>
      <c r="H444" s="133">
        <v>25539.21</v>
      </c>
      <c r="I444" s="24" t="s">
        <v>4556</v>
      </c>
    </row>
    <row r="445">
      <c r="A445" s="119">
        <v>71.0</v>
      </c>
      <c r="B445" s="119">
        <v>71.0</v>
      </c>
      <c r="C445" s="129">
        <v>77141.0</v>
      </c>
      <c r="D445" s="129">
        <v>-457.0</v>
      </c>
      <c r="E445" s="130">
        <v>-888789.0</v>
      </c>
      <c r="F445" s="131">
        <v>752.0</v>
      </c>
      <c r="G445" s="132">
        <v>1410.56</v>
      </c>
      <c r="H445" s="133">
        <v>2482.48</v>
      </c>
      <c r="I445" s="24" t="s">
        <v>4557</v>
      </c>
    </row>
    <row r="446">
      <c r="A446" s="119">
        <v>30.0</v>
      </c>
      <c r="B446" s="119">
        <v>80.0</v>
      </c>
      <c r="C446" s="129">
        <v>90739.0</v>
      </c>
      <c r="D446" s="129">
        <v>948.0</v>
      </c>
      <c r="E446" s="130">
        <v>453.0</v>
      </c>
      <c r="F446" s="131">
        <v>847.0</v>
      </c>
      <c r="G446" s="132">
        <v>-2424.54</v>
      </c>
      <c r="H446" s="133">
        <v>81505.26</v>
      </c>
      <c r="I446" s="24" t="s">
        <v>4558</v>
      </c>
    </row>
    <row r="447">
      <c r="A447" s="119">
        <v>71.0</v>
      </c>
      <c r="B447" s="119">
        <v>77.0</v>
      </c>
      <c r="C447" s="129">
        <v>21863.0</v>
      </c>
      <c r="D447" s="129">
        <v>16.0</v>
      </c>
      <c r="E447" s="130">
        <v>-542.0</v>
      </c>
      <c r="F447" s="131">
        <v>-27411.0</v>
      </c>
      <c r="G447" s="132">
        <v>78517.83</v>
      </c>
      <c r="H447" s="133">
        <v>943.71</v>
      </c>
      <c r="I447" s="24" t="s">
        <v>4559</v>
      </c>
    </row>
    <row r="448">
      <c r="A448" s="119">
        <v>92.0</v>
      </c>
      <c r="B448" s="119">
        <v>24.0</v>
      </c>
      <c r="C448" s="129">
        <v>48053.0</v>
      </c>
      <c r="D448" s="129">
        <v>8690.0</v>
      </c>
      <c r="E448" s="130">
        <v>41765.0</v>
      </c>
      <c r="F448" s="131">
        <v>55.0</v>
      </c>
      <c r="G448" s="132">
        <v>71065.99</v>
      </c>
      <c r="H448" s="133">
        <v>264.58</v>
      </c>
      <c r="I448" s="24" t="s">
        <v>4560</v>
      </c>
    </row>
    <row r="449">
      <c r="A449" s="119">
        <v>10.0</v>
      </c>
      <c r="B449" s="119">
        <v>38.0</v>
      </c>
      <c r="C449" s="129">
        <v>47589.0</v>
      </c>
      <c r="D449" s="129">
        <v>8066.0</v>
      </c>
      <c r="E449" s="130">
        <v>872334.0</v>
      </c>
      <c r="F449" s="131">
        <v>6401.0</v>
      </c>
      <c r="G449" s="132">
        <v>71425.16</v>
      </c>
      <c r="H449" s="133">
        <v>2952.25</v>
      </c>
      <c r="I449" s="24" t="s">
        <v>4561</v>
      </c>
    </row>
    <row r="450">
      <c r="A450" s="119">
        <v>51.0</v>
      </c>
      <c r="B450" s="119">
        <v>34.0</v>
      </c>
      <c r="C450" s="129">
        <v>50141.0</v>
      </c>
      <c r="D450" s="129">
        <v>93.0</v>
      </c>
      <c r="E450" s="130">
        <v>8017.0</v>
      </c>
      <c r="F450" s="131">
        <v>18209.0</v>
      </c>
      <c r="G450" s="132">
        <v>341.39</v>
      </c>
      <c r="H450" s="133">
        <v>-2099.18</v>
      </c>
      <c r="I450" s="24" t="s">
        <v>4562</v>
      </c>
    </row>
    <row r="451">
      <c r="A451" s="119">
        <v>10.0</v>
      </c>
      <c r="B451" s="119">
        <v>41.0</v>
      </c>
      <c r="C451" s="129">
        <v>59092.0</v>
      </c>
      <c r="D451" s="129">
        <v>1479.0</v>
      </c>
      <c r="E451" s="130">
        <v>46.0</v>
      </c>
      <c r="F451" s="131">
        <v>74.0</v>
      </c>
      <c r="G451" s="132">
        <v>226.26</v>
      </c>
      <c r="H451" s="133">
        <v>53.66</v>
      </c>
      <c r="I451" s="24" t="s">
        <v>4563</v>
      </c>
    </row>
    <row r="452">
      <c r="A452" s="119">
        <v>71.0</v>
      </c>
      <c r="B452" s="119">
        <v>85.0</v>
      </c>
      <c r="C452" s="129">
        <v>84176.0</v>
      </c>
      <c r="D452" s="129">
        <v>11.0</v>
      </c>
      <c r="E452" s="130">
        <v>210566.0</v>
      </c>
      <c r="F452" s="131">
        <v>148.0</v>
      </c>
      <c r="G452" s="132">
        <v>5482.75</v>
      </c>
      <c r="H452" s="133">
        <v>88853.15</v>
      </c>
      <c r="I452" s="24" t="s">
        <v>4564</v>
      </c>
    </row>
    <row r="453">
      <c r="A453" s="119">
        <v>10.0</v>
      </c>
      <c r="B453" s="119">
        <v>45.0</v>
      </c>
      <c r="C453" s="129">
        <v>46380.0</v>
      </c>
      <c r="D453" s="129">
        <v>41378.0</v>
      </c>
      <c r="E453" s="130">
        <v>67.0</v>
      </c>
      <c r="F453" s="131">
        <v>87088.0</v>
      </c>
      <c r="G453" s="132">
        <v>3530.29</v>
      </c>
      <c r="H453" s="133">
        <v>4316.17</v>
      </c>
      <c r="I453" s="24" t="s">
        <v>4565</v>
      </c>
    </row>
    <row r="454">
      <c r="A454" s="119">
        <v>71.0</v>
      </c>
      <c r="B454" s="119">
        <v>89.0</v>
      </c>
      <c r="C454" s="129">
        <v>59191.0</v>
      </c>
      <c r="D454" s="129">
        <v>4550.0</v>
      </c>
      <c r="E454" s="130">
        <v>85836.0</v>
      </c>
      <c r="F454" s="131">
        <v>239.0</v>
      </c>
      <c r="G454" s="132">
        <v>4325.0</v>
      </c>
      <c r="H454" s="133">
        <v>-201.33</v>
      </c>
      <c r="I454" s="24" t="s">
        <v>4566</v>
      </c>
    </row>
    <row r="455">
      <c r="A455" s="119">
        <v>51.0</v>
      </c>
      <c r="B455" s="119">
        <v>52.0</v>
      </c>
      <c r="C455" s="129">
        <v>76835.0</v>
      </c>
      <c r="D455" s="129">
        <v>51.0</v>
      </c>
      <c r="E455" s="130">
        <v>30.0</v>
      </c>
      <c r="F455" s="131">
        <v>-97.0</v>
      </c>
      <c r="G455" s="132">
        <v>17260.81</v>
      </c>
      <c r="H455" s="133">
        <v>20512.98</v>
      </c>
      <c r="I455" s="24" t="s">
        <v>4567</v>
      </c>
    </row>
    <row r="456">
      <c r="A456" s="119">
        <v>92.0</v>
      </c>
      <c r="B456" s="119">
        <v>49.0</v>
      </c>
      <c r="C456" s="129">
        <v>80917.0</v>
      </c>
      <c r="D456" s="129">
        <v>96.0</v>
      </c>
      <c r="E456" s="130">
        <v>756.0</v>
      </c>
      <c r="F456" s="131">
        <v>7351.0</v>
      </c>
      <c r="G456" s="132">
        <v>94.11</v>
      </c>
      <c r="H456" s="133">
        <v>-9282.0</v>
      </c>
      <c r="I456" s="24" t="s">
        <v>4568</v>
      </c>
    </row>
    <row r="457">
      <c r="A457" s="119">
        <v>10.0</v>
      </c>
      <c r="B457" s="119">
        <v>58.0</v>
      </c>
      <c r="C457" s="129">
        <v>74923.0</v>
      </c>
      <c r="D457" s="129">
        <v>20878.0</v>
      </c>
      <c r="E457" s="130">
        <v>9895.0</v>
      </c>
      <c r="F457" s="131">
        <v>3573.0</v>
      </c>
      <c r="G457" s="132">
        <v>11.87</v>
      </c>
      <c r="H457" s="133">
        <v>860.24</v>
      </c>
      <c r="I457" s="24" t="s">
        <v>4569</v>
      </c>
    </row>
    <row r="458">
      <c r="A458" s="119">
        <v>72.0</v>
      </c>
      <c r="B458" s="119">
        <v>3.0</v>
      </c>
      <c r="C458" s="129">
        <v>59557.0</v>
      </c>
      <c r="D458" s="129">
        <v>5647.0</v>
      </c>
      <c r="E458" s="130">
        <v>529.0</v>
      </c>
      <c r="F458" s="131">
        <v>96636.0</v>
      </c>
      <c r="G458" s="132">
        <v>53393.54</v>
      </c>
      <c r="H458" s="133">
        <v>649.5</v>
      </c>
      <c r="I458" s="24" t="s">
        <v>4570</v>
      </c>
    </row>
    <row r="459">
      <c r="A459" s="119">
        <v>72.0</v>
      </c>
      <c r="B459" s="119">
        <v>5.0</v>
      </c>
      <c r="C459" s="129">
        <v>23795.0</v>
      </c>
      <c r="D459" s="129">
        <v>215.0</v>
      </c>
      <c r="E459" s="130">
        <v>739056.0</v>
      </c>
      <c r="F459" s="131">
        <v>58656.0</v>
      </c>
      <c r="G459" s="132">
        <v>49659.89</v>
      </c>
      <c r="H459" s="133">
        <v>6784.5</v>
      </c>
      <c r="I459" s="24" t="s">
        <v>4571</v>
      </c>
    </row>
    <row r="460">
      <c r="A460" s="119">
        <v>51.0</v>
      </c>
      <c r="B460" s="119">
        <v>59.0</v>
      </c>
      <c r="C460" s="129">
        <v>90456.0</v>
      </c>
      <c r="D460" s="129">
        <v>89029.0</v>
      </c>
      <c r="E460" s="130">
        <v>-62810.0</v>
      </c>
      <c r="F460" s="131">
        <v>42.0</v>
      </c>
      <c r="G460" s="132">
        <v>70595.58</v>
      </c>
      <c r="H460" s="133">
        <v>4949.3</v>
      </c>
      <c r="I460" s="24" t="s">
        <v>4572</v>
      </c>
    </row>
    <row r="461">
      <c r="A461" s="119">
        <v>31.0</v>
      </c>
      <c r="B461" s="119">
        <v>11.0</v>
      </c>
      <c r="C461" s="129">
        <v>94864.0</v>
      </c>
      <c r="D461" s="129">
        <v>29371.0</v>
      </c>
      <c r="E461" s="130">
        <v>31.0</v>
      </c>
      <c r="F461" s="131">
        <v>32092.0</v>
      </c>
      <c r="G461" s="132">
        <v>22608.98</v>
      </c>
      <c r="H461" s="133">
        <v>5405.14</v>
      </c>
      <c r="I461" s="24" t="s">
        <v>4573</v>
      </c>
    </row>
    <row r="462">
      <c r="A462" s="119">
        <v>72.0</v>
      </c>
      <c r="B462" s="119">
        <v>7.0</v>
      </c>
      <c r="C462" s="129">
        <v>93331.0</v>
      </c>
      <c r="D462" s="129">
        <v>77.0</v>
      </c>
      <c r="E462" s="130">
        <v>777404.0</v>
      </c>
      <c r="F462" s="131">
        <v>3338.0</v>
      </c>
      <c r="G462" s="132">
        <v>10.5</v>
      </c>
      <c r="H462" s="133">
        <v>424.65</v>
      </c>
      <c r="I462" s="24" t="s">
        <v>4574</v>
      </c>
    </row>
    <row r="463">
      <c r="A463" s="119">
        <v>92.0</v>
      </c>
      <c r="B463" s="119">
        <v>59.0</v>
      </c>
      <c r="C463" s="129">
        <v>12347.0</v>
      </c>
      <c r="D463" s="129">
        <v>43.0</v>
      </c>
      <c r="E463" s="130">
        <v>185.0</v>
      </c>
      <c r="F463" s="131">
        <v>37852.0</v>
      </c>
      <c r="G463" s="132">
        <v>3853.37</v>
      </c>
      <c r="H463" s="133">
        <v>-90.42</v>
      </c>
      <c r="I463" s="24" t="s">
        <v>4575</v>
      </c>
    </row>
    <row r="464">
      <c r="A464" s="119">
        <v>72.0</v>
      </c>
      <c r="B464" s="119">
        <v>13.0</v>
      </c>
      <c r="C464" s="129">
        <v>86424.0</v>
      </c>
      <c r="D464" s="129">
        <v>854.0</v>
      </c>
      <c r="E464" s="130">
        <v>17.0</v>
      </c>
      <c r="F464" s="131">
        <v>819.0</v>
      </c>
      <c r="G464" s="132">
        <v>82836.49</v>
      </c>
      <c r="H464" s="133">
        <v>30351.67</v>
      </c>
      <c r="I464" s="24" t="s">
        <v>4576</v>
      </c>
    </row>
    <row r="465">
      <c r="A465" s="119">
        <v>31.0</v>
      </c>
      <c r="B465" s="119">
        <v>18.0</v>
      </c>
      <c r="C465" s="129">
        <v>41910.0</v>
      </c>
      <c r="D465" s="129">
        <v>772.0</v>
      </c>
      <c r="E465" s="130">
        <v>-688360.0</v>
      </c>
      <c r="F465" s="131">
        <v>25640.0</v>
      </c>
      <c r="G465" s="132">
        <v>43.2</v>
      </c>
      <c r="H465" s="133">
        <v>39.91</v>
      </c>
      <c r="I465" s="24" t="s">
        <v>4577</v>
      </c>
    </row>
    <row r="466">
      <c r="A466" s="119">
        <v>92.0</v>
      </c>
      <c r="B466" s="119">
        <v>63.0</v>
      </c>
      <c r="C466" s="129">
        <v>35641.0</v>
      </c>
      <c r="D466" s="129">
        <v>1329.0</v>
      </c>
      <c r="E466" s="130">
        <v>2366.0</v>
      </c>
      <c r="F466" s="131">
        <v>564.0</v>
      </c>
      <c r="G466" s="132">
        <v>52404.91</v>
      </c>
      <c r="H466" s="133">
        <v>56.33</v>
      </c>
      <c r="I466" s="24" t="s">
        <v>4578</v>
      </c>
    </row>
    <row r="467">
      <c r="A467" s="119">
        <v>72.0</v>
      </c>
      <c r="B467" s="119">
        <v>18.0</v>
      </c>
      <c r="C467" s="129">
        <v>55112.0</v>
      </c>
      <c r="D467" s="129">
        <v>30.0</v>
      </c>
      <c r="E467" s="130">
        <v>-40173.0</v>
      </c>
      <c r="F467" s="131">
        <v>-13174.0</v>
      </c>
      <c r="G467" s="132">
        <v>77.88</v>
      </c>
      <c r="H467" s="133">
        <v>411.86</v>
      </c>
      <c r="I467" s="24" t="s">
        <v>4579</v>
      </c>
    </row>
    <row r="468">
      <c r="A468" s="119">
        <v>31.0</v>
      </c>
      <c r="B468" s="119">
        <v>23.0</v>
      </c>
      <c r="C468" s="129">
        <v>17273.0</v>
      </c>
      <c r="D468" s="129">
        <v>52.0</v>
      </c>
      <c r="E468" s="130">
        <v>775129.0</v>
      </c>
      <c r="F468" s="131">
        <v>116.0</v>
      </c>
      <c r="G468" s="132">
        <v>-434.64</v>
      </c>
      <c r="H468" s="133">
        <v>71173.44</v>
      </c>
      <c r="I468" s="24" t="s">
        <v>4580</v>
      </c>
    </row>
    <row r="469">
      <c r="A469" s="119">
        <v>31.0</v>
      </c>
      <c r="B469" s="119">
        <v>24.0</v>
      </c>
      <c r="C469" s="129">
        <v>25304.0</v>
      </c>
      <c r="D469" s="129">
        <v>360.0</v>
      </c>
      <c r="E469" s="130">
        <v>80.0</v>
      </c>
      <c r="F469" s="131">
        <v>831.0</v>
      </c>
      <c r="G469" s="132">
        <v>-33558.19</v>
      </c>
      <c r="H469" s="133">
        <v>19.6</v>
      </c>
      <c r="I469" s="24" t="s">
        <v>4581</v>
      </c>
    </row>
    <row r="470">
      <c r="A470" s="119">
        <v>31.0</v>
      </c>
      <c r="B470" s="119">
        <v>22.0</v>
      </c>
      <c r="C470" s="129">
        <v>60648.0</v>
      </c>
      <c r="D470" s="129">
        <v>-5687.0</v>
      </c>
      <c r="E470" s="130">
        <v>268.0</v>
      </c>
      <c r="F470" s="131">
        <v>23062.0</v>
      </c>
      <c r="G470" s="132">
        <v>8886.3</v>
      </c>
      <c r="H470" s="133">
        <v>14023.16</v>
      </c>
      <c r="I470" s="24" t="s">
        <v>4582</v>
      </c>
    </row>
    <row r="471">
      <c r="A471" s="119">
        <v>92.0</v>
      </c>
      <c r="B471" s="119">
        <v>70.0</v>
      </c>
      <c r="C471" s="129">
        <v>70955.0</v>
      </c>
      <c r="D471" s="129">
        <v>73.0</v>
      </c>
      <c r="E471" s="130">
        <v>21598.0</v>
      </c>
      <c r="F471" s="131">
        <v>-89958.0</v>
      </c>
      <c r="G471" s="132">
        <v>-1178.41</v>
      </c>
      <c r="H471" s="133">
        <v>5547.27</v>
      </c>
      <c r="I471" s="24" t="s">
        <v>4583</v>
      </c>
    </row>
    <row r="472">
      <c r="A472" s="119">
        <v>10.0</v>
      </c>
      <c r="B472" s="119">
        <v>79.0</v>
      </c>
      <c r="C472" s="129">
        <v>69009.0</v>
      </c>
      <c r="D472" s="129">
        <v>-80620.0</v>
      </c>
      <c r="E472" s="130">
        <v>-28316.0</v>
      </c>
      <c r="F472" s="131">
        <v>3540.0</v>
      </c>
      <c r="G472" s="132">
        <v>86581.12</v>
      </c>
      <c r="H472" s="133">
        <v>11.17</v>
      </c>
      <c r="I472" s="24" t="s">
        <v>4584</v>
      </c>
    </row>
    <row r="473">
      <c r="A473" s="119">
        <v>92.0</v>
      </c>
      <c r="B473" s="119">
        <v>72.0</v>
      </c>
      <c r="C473" s="129">
        <v>5004.0</v>
      </c>
      <c r="D473" s="129">
        <v>30327.0</v>
      </c>
      <c r="E473" s="130">
        <v>48235.0</v>
      </c>
      <c r="F473" s="131">
        <v>655.0</v>
      </c>
      <c r="G473" s="132">
        <v>47.94</v>
      </c>
      <c r="H473" s="133">
        <v>-661.58</v>
      </c>
      <c r="I473" s="24" t="s">
        <v>4585</v>
      </c>
    </row>
    <row r="474">
      <c r="A474" s="119">
        <v>51.0</v>
      </c>
      <c r="B474" s="119">
        <v>77.0</v>
      </c>
      <c r="C474" s="129">
        <v>51223.0</v>
      </c>
      <c r="D474" s="129">
        <v>20.0</v>
      </c>
      <c r="E474" s="130">
        <v>4478.0</v>
      </c>
      <c r="F474" s="131">
        <v>40.0</v>
      </c>
      <c r="G474" s="132">
        <v>-940.45</v>
      </c>
      <c r="H474" s="133">
        <v>914.51</v>
      </c>
      <c r="I474" s="24" t="s">
        <v>4586</v>
      </c>
    </row>
    <row r="475">
      <c r="A475" s="119">
        <v>10.0</v>
      </c>
      <c r="B475" s="119">
        <v>82.0</v>
      </c>
      <c r="C475" s="129">
        <v>76859.0</v>
      </c>
      <c r="D475" s="129">
        <v>5239.0</v>
      </c>
      <c r="E475" s="130">
        <v>-237642.0</v>
      </c>
      <c r="F475" s="131">
        <v>455.0</v>
      </c>
      <c r="G475" s="132">
        <v>1849.52</v>
      </c>
      <c r="H475" s="133">
        <v>38.28</v>
      </c>
      <c r="I475" s="24" t="s">
        <v>4587</v>
      </c>
    </row>
    <row r="476">
      <c r="A476" s="119">
        <v>10.0</v>
      </c>
      <c r="B476" s="119">
        <v>74.0</v>
      </c>
      <c r="C476" s="129">
        <v>85904.0</v>
      </c>
      <c r="D476" s="129">
        <v>43.0</v>
      </c>
      <c r="E476" s="130">
        <v>-28025.0</v>
      </c>
      <c r="F476" s="131">
        <v>1088.0</v>
      </c>
      <c r="G476" s="132">
        <v>17.86</v>
      </c>
      <c r="H476" s="133">
        <v>38500.72</v>
      </c>
      <c r="I476" s="24" t="s">
        <v>4588</v>
      </c>
    </row>
    <row r="477">
      <c r="A477" s="119">
        <v>92.0</v>
      </c>
      <c r="B477" s="119">
        <v>71.0</v>
      </c>
      <c r="C477" s="129">
        <v>55606.0</v>
      </c>
      <c r="D477" s="129">
        <v>-503.0</v>
      </c>
      <c r="E477" s="130">
        <v>13143.0</v>
      </c>
      <c r="F477" s="131">
        <v>-8836.0</v>
      </c>
      <c r="G477" s="132">
        <v>75.13</v>
      </c>
      <c r="H477" s="133">
        <v>-98384.45</v>
      </c>
      <c r="I477" s="24" t="s">
        <v>4589</v>
      </c>
    </row>
    <row r="478">
      <c r="A478" s="119">
        <v>72.0</v>
      </c>
      <c r="B478" s="119">
        <v>30.0</v>
      </c>
      <c r="C478" s="129">
        <v>31946.0</v>
      </c>
      <c r="D478" s="129">
        <v>66612.0</v>
      </c>
      <c r="E478" s="130">
        <v>82075.0</v>
      </c>
      <c r="F478" s="131">
        <v>1758.0</v>
      </c>
      <c r="G478" s="132">
        <v>49659.7</v>
      </c>
      <c r="H478" s="133">
        <v>-35857.5</v>
      </c>
      <c r="I478" s="24" t="s">
        <v>4590</v>
      </c>
    </row>
    <row r="479">
      <c r="A479" s="119">
        <v>10.0</v>
      </c>
      <c r="B479" s="119">
        <v>87.0</v>
      </c>
      <c r="C479" s="129">
        <v>2027.0</v>
      </c>
      <c r="D479" s="129">
        <v>96923.0</v>
      </c>
      <c r="E479" s="130">
        <v>-84.0</v>
      </c>
      <c r="F479" s="131">
        <v>5739.0</v>
      </c>
      <c r="G479" s="132">
        <v>21900.43</v>
      </c>
      <c r="H479" s="133">
        <v>2589.5</v>
      </c>
      <c r="I479" s="24" t="s">
        <v>4591</v>
      </c>
    </row>
    <row r="480">
      <c r="A480" s="119">
        <v>31.0</v>
      </c>
      <c r="B480" s="119">
        <v>36.0</v>
      </c>
      <c r="C480" s="129">
        <v>51211.0</v>
      </c>
      <c r="D480" s="129">
        <v>-44830.0</v>
      </c>
      <c r="E480" s="130">
        <v>8190.0</v>
      </c>
      <c r="F480" s="131">
        <v>94338.0</v>
      </c>
      <c r="G480" s="132">
        <v>343.73</v>
      </c>
      <c r="H480" s="133">
        <v>-22108.66</v>
      </c>
      <c r="I480" s="24" t="s">
        <v>4592</v>
      </c>
    </row>
    <row r="481">
      <c r="A481" s="119">
        <v>31.0</v>
      </c>
      <c r="B481" s="119">
        <v>37.0</v>
      </c>
      <c r="C481" s="129">
        <v>28179.0</v>
      </c>
      <c r="D481" s="129">
        <v>74945.0</v>
      </c>
      <c r="E481" s="130">
        <v>-8858.0</v>
      </c>
      <c r="F481" s="131">
        <v>-17.0</v>
      </c>
      <c r="G481" s="132">
        <v>354.46</v>
      </c>
      <c r="H481" s="133">
        <v>16.89</v>
      </c>
      <c r="I481" s="24" t="s">
        <v>4593</v>
      </c>
    </row>
    <row r="482">
      <c r="A482" s="119">
        <v>92.0</v>
      </c>
      <c r="B482" s="119">
        <v>81.0</v>
      </c>
      <c r="C482" s="129">
        <v>67104.0</v>
      </c>
      <c r="D482" s="129">
        <v>-562.0</v>
      </c>
      <c r="E482" s="130">
        <v>-519.0</v>
      </c>
      <c r="F482" s="131">
        <v>52043.0</v>
      </c>
      <c r="G482" s="132">
        <v>-6807.86</v>
      </c>
      <c r="H482" s="133">
        <v>55098.32</v>
      </c>
      <c r="I482" s="24" t="s">
        <v>4594</v>
      </c>
    </row>
    <row r="483">
      <c r="A483" s="119">
        <v>92.0</v>
      </c>
      <c r="B483" s="119">
        <v>83.0</v>
      </c>
      <c r="C483" s="129">
        <v>31778.0</v>
      </c>
      <c r="D483" s="129">
        <v>3073.0</v>
      </c>
      <c r="E483" s="130">
        <v>49220.0</v>
      </c>
      <c r="F483" s="131">
        <v>-64.0</v>
      </c>
      <c r="G483" s="132">
        <v>831.78</v>
      </c>
      <c r="H483" s="133">
        <v>250.11</v>
      </c>
      <c r="I483" s="24" t="s">
        <v>4595</v>
      </c>
    </row>
    <row r="484">
      <c r="A484" s="119">
        <v>72.0</v>
      </c>
      <c r="B484" s="119">
        <v>32.0</v>
      </c>
      <c r="C484" s="129">
        <v>77551.0</v>
      </c>
      <c r="D484" s="129">
        <v>-93777.0</v>
      </c>
      <c r="E484" s="130">
        <v>41776.0</v>
      </c>
      <c r="F484" s="131">
        <v>42.0</v>
      </c>
      <c r="G484" s="132">
        <v>2943.56</v>
      </c>
      <c r="H484" s="133">
        <v>670.62</v>
      </c>
      <c r="I484" s="24" t="s">
        <v>4596</v>
      </c>
    </row>
    <row r="485">
      <c r="A485" s="119">
        <v>31.0</v>
      </c>
      <c r="B485" s="119">
        <v>35.0</v>
      </c>
      <c r="C485" s="129">
        <v>74104.0</v>
      </c>
      <c r="D485" s="129">
        <v>3763.0</v>
      </c>
      <c r="E485" s="130">
        <v>8633.0</v>
      </c>
      <c r="F485" s="131">
        <v>-178.0</v>
      </c>
      <c r="G485" s="132">
        <v>-1388.1</v>
      </c>
      <c r="H485" s="133">
        <v>23.47</v>
      </c>
      <c r="I485" s="24" t="s">
        <v>4597</v>
      </c>
    </row>
    <row r="486">
      <c r="A486" s="119">
        <v>72.0</v>
      </c>
      <c r="B486" s="119">
        <v>38.0</v>
      </c>
      <c r="C486" s="129">
        <v>35386.0</v>
      </c>
      <c r="D486" s="129">
        <v>6015.0</v>
      </c>
      <c r="E486" s="130">
        <v>-89.0</v>
      </c>
      <c r="F486" s="131">
        <v>643.0</v>
      </c>
      <c r="G486" s="132">
        <v>5903.16</v>
      </c>
      <c r="H486" s="133">
        <v>14.96</v>
      </c>
      <c r="I486" s="24" t="s">
        <v>4598</v>
      </c>
    </row>
    <row r="487">
      <c r="A487" s="119">
        <v>92.0</v>
      </c>
      <c r="B487" s="119">
        <v>88.0</v>
      </c>
      <c r="C487" s="129">
        <v>6812.0</v>
      </c>
      <c r="D487" s="129">
        <v>9534.0</v>
      </c>
      <c r="E487" s="130">
        <v>458499.0</v>
      </c>
      <c r="F487" s="131">
        <v>23160.0</v>
      </c>
      <c r="G487" s="132">
        <v>59958.79</v>
      </c>
      <c r="H487" s="133">
        <v>44184.95</v>
      </c>
      <c r="I487" s="24" t="s">
        <v>4599</v>
      </c>
    </row>
    <row r="488">
      <c r="A488" s="119">
        <v>51.0</v>
      </c>
      <c r="B488" s="119">
        <v>93.0</v>
      </c>
      <c r="C488" s="129">
        <v>4280.0</v>
      </c>
      <c r="D488" s="129">
        <v>7887.0</v>
      </c>
      <c r="E488" s="130">
        <v>-770885.0</v>
      </c>
      <c r="F488" s="131">
        <v>565.0</v>
      </c>
      <c r="G488" s="132">
        <v>53438.14</v>
      </c>
      <c r="H488" s="133">
        <v>93.54</v>
      </c>
      <c r="I488" s="24" t="s">
        <v>4600</v>
      </c>
    </row>
    <row r="489">
      <c r="A489" s="119">
        <v>51.0</v>
      </c>
      <c r="B489" s="119">
        <v>92.0</v>
      </c>
      <c r="C489" s="129">
        <v>90091.0</v>
      </c>
      <c r="D489" s="129">
        <v>9543.0</v>
      </c>
      <c r="E489" s="130">
        <v>79563.0</v>
      </c>
      <c r="F489" s="131">
        <v>56.0</v>
      </c>
      <c r="G489" s="132">
        <v>366.83</v>
      </c>
      <c r="H489" s="133">
        <v>-136.25</v>
      </c>
      <c r="I489" s="24" t="s">
        <v>4601</v>
      </c>
    </row>
    <row r="490">
      <c r="A490" s="119">
        <v>92.0</v>
      </c>
      <c r="B490" s="119">
        <v>91.0</v>
      </c>
      <c r="C490" s="129">
        <v>64425.0</v>
      </c>
      <c r="D490" s="129">
        <v>-75.0</v>
      </c>
      <c r="E490" s="130">
        <v>-279920.0</v>
      </c>
      <c r="F490" s="131">
        <v>1713.0</v>
      </c>
      <c r="G490" s="132">
        <v>142.76</v>
      </c>
      <c r="H490" s="133">
        <v>84697.15</v>
      </c>
      <c r="I490" s="24" t="s">
        <v>4602</v>
      </c>
    </row>
    <row r="491">
      <c r="A491" s="119">
        <v>11.0</v>
      </c>
      <c r="B491" s="119">
        <v>0.0</v>
      </c>
      <c r="C491" s="129">
        <v>4555.0</v>
      </c>
      <c r="D491" s="129">
        <v>2738.0</v>
      </c>
      <c r="E491" s="130">
        <v>8365.0</v>
      </c>
      <c r="F491" s="131">
        <v>7815.0</v>
      </c>
      <c r="G491" s="132">
        <v>-7650.55</v>
      </c>
      <c r="H491" s="133">
        <v>30.8</v>
      </c>
      <c r="I491" s="24" t="s">
        <v>4603</v>
      </c>
    </row>
    <row r="492">
      <c r="A492" s="119">
        <v>31.0</v>
      </c>
      <c r="B492" s="119">
        <v>49.0</v>
      </c>
      <c r="C492" s="129">
        <v>99947.0</v>
      </c>
      <c r="D492" s="129">
        <v>430.0</v>
      </c>
      <c r="E492" s="130">
        <v>14443.0</v>
      </c>
      <c r="F492" s="131">
        <v>-81.0</v>
      </c>
      <c r="G492" s="132">
        <v>63.85</v>
      </c>
      <c r="H492" s="133">
        <v>3310.49</v>
      </c>
      <c r="I492" s="24" t="s">
        <v>4604</v>
      </c>
    </row>
    <row r="493">
      <c r="A493" s="119">
        <v>31.0</v>
      </c>
      <c r="B493" s="119">
        <v>50.0</v>
      </c>
      <c r="C493" s="129">
        <v>32658.0</v>
      </c>
      <c r="D493" s="129">
        <v>54416.0</v>
      </c>
      <c r="E493" s="130">
        <v>583.0</v>
      </c>
      <c r="F493" s="131">
        <v>59.0</v>
      </c>
      <c r="G493" s="132">
        <v>54.84</v>
      </c>
      <c r="H493" s="133">
        <v>-76.52</v>
      </c>
      <c r="I493" s="24" t="s">
        <v>4605</v>
      </c>
    </row>
    <row r="494">
      <c r="A494" s="119">
        <v>11.0</v>
      </c>
      <c r="B494" s="119">
        <v>3.0</v>
      </c>
      <c r="C494" s="129">
        <v>32236.0</v>
      </c>
      <c r="D494" s="129">
        <v>2274.0</v>
      </c>
      <c r="E494" s="130">
        <v>834968.0</v>
      </c>
      <c r="F494" s="131">
        <v>49.0</v>
      </c>
      <c r="G494" s="132">
        <v>1586.37</v>
      </c>
      <c r="H494" s="133">
        <v>20627.83</v>
      </c>
      <c r="I494" s="24" t="s">
        <v>4606</v>
      </c>
    </row>
    <row r="495">
      <c r="A495" s="119">
        <v>31.0</v>
      </c>
      <c r="B495" s="119">
        <v>52.0</v>
      </c>
      <c r="C495" s="129">
        <v>51215.0</v>
      </c>
      <c r="D495" s="129">
        <v>-36148.0</v>
      </c>
      <c r="E495" s="130">
        <v>-857.0</v>
      </c>
      <c r="F495" s="131">
        <v>99.0</v>
      </c>
      <c r="G495" s="132">
        <v>-57.16</v>
      </c>
      <c r="H495" s="133">
        <v>-54168.19</v>
      </c>
      <c r="I495" s="24" t="s">
        <v>4607</v>
      </c>
    </row>
    <row r="496">
      <c r="A496" s="119">
        <v>72.0</v>
      </c>
      <c r="B496" s="119">
        <v>48.0</v>
      </c>
      <c r="C496" s="129">
        <v>61803.0</v>
      </c>
      <c r="D496" s="129">
        <v>-10.0</v>
      </c>
      <c r="E496" s="130">
        <v>34.0</v>
      </c>
      <c r="F496" s="131">
        <v>889.0</v>
      </c>
      <c r="G496" s="132">
        <v>891.64</v>
      </c>
      <c r="H496" s="133">
        <v>7139.67</v>
      </c>
      <c r="I496" s="24" t="s">
        <v>4608</v>
      </c>
    </row>
    <row r="497">
      <c r="A497" s="119">
        <v>31.0</v>
      </c>
      <c r="B497" s="119">
        <v>54.0</v>
      </c>
      <c r="C497" s="129">
        <v>18674.0</v>
      </c>
      <c r="D497" s="129">
        <v>76.0</v>
      </c>
      <c r="E497" s="130">
        <v>37.0</v>
      </c>
      <c r="F497" s="131">
        <v>4601.0</v>
      </c>
      <c r="G497" s="132">
        <v>6879.12</v>
      </c>
      <c r="H497" s="133">
        <v>28.45</v>
      </c>
      <c r="I497" s="24" t="s">
        <v>4609</v>
      </c>
    </row>
    <row r="498">
      <c r="A498" s="119">
        <v>92.0</v>
      </c>
      <c r="B498" s="119">
        <v>99.0</v>
      </c>
      <c r="C498" s="129">
        <v>7632.0</v>
      </c>
      <c r="D498" s="129">
        <v>6804.0</v>
      </c>
      <c r="E498" s="130">
        <v>-600868.0</v>
      </c>
      <c r="F498" s="131">
        <v>17.0</v>
      </c>
      <c r="G498" s="132">
        <v>5936.84</v>
      </c>
      <c r="H498" s="133">
        <v>-6176.51</v>
      </c>
      <c r="I498" s="24" t="s">
        <v>4610</v>
      </c>
    </row>
    <row r="499">
      <c r="A499" s="119">
        <v>31.0</v>
      </c>
      <c r="B499" s="119">
        <v>56.0</v>
      </c>
      <c r="C499" s="129">
        <v>68361.0</v>
      </c>
      <c r="D499" s="129">
        <v>18797.0</v>
      </c>
      <c r="E499" s="130">
        <v>-4372.0</v>
      </c>
      <c r="F499" s="131">
        <v>55755.0</v>
      </c>
      <c r="G499" s="132">
        <v>88433.9</v>
      </c>
      <c r="H499" s="133">
        <v>61.61</v>
      </c>
      <c r="I499" s="24" t="s">
        <v>4611</v>
      </c>
    </row>
    <row r="500">
      <c r="A500" s="119">
        <v>11.0</v>
      </c>
      <c r="B500" s="119">
        <v>4.0</v>
      </c>
      <c r="C500" s="129">
        <v>63145.0</v>
      </c>
      <c r="D500" s="129">
        <v>5610.0</v>
      </c>
      <c r="E500" s="130">
        <v>422293.0</v>
      </c>
      <c r="F500" s="131">
        <v>-490.0</v>
      </c>
      <c r="G500" s="132">
        <v>9676.6</v>
      </c>
      <c r="H500" s="133">
        <v>-86437.55</v>
      </c>
      <c r="I500" s="24" t="s">
        <v>4612</v>
      </c>
    </row>
    <row r="501">
      <c r="A501" s="119">
        <v>72.0</v>
      </c>
      <c r="B501" s="119">
        <v>54.0</v>
      </c>
      <c r="C501" s="129">
        <v>35331.0</v>
      </c>
      <c r="D501" s="129">
        <v>8407.0</v>
      </c>
      <c r="E501" s="130">
        <v>3596.0</v>
      </c>
      <c r="F501" s="131">
        <v>35898.0</v>
      </c>
      <c r="G501" s="132">
        <v>-537.81</v>
      </c>
      <c r="H501" s="133">
        <v>7343.75</v>
      </c>
      <c r="I501" s="24" t="s">
        <v>4613</v>
      </c>
    </row>
    <row r="502">
      <c r="A502" s="119">
        <v>52.0</v>
      </c>
      <c r="B502" s="119">
        <v>8.0</v>
      </c>
      <c r="C502" s="129">
        <v>13957.0</v>
      </c>
      <c r="D502" s="129">
        <v>28.0</v>
      </c>
      <c r="E502" s="130">
        <v>28.0</v>
      </c>
      <c r="F502" s="131">
        <v>404.0</v>
      </c>
      <c r="G502" s="132">
        <v>-59.37</v>
      </c>
      <c r="H502" s="133">
        <v>734.21</v>
      </c>
      <c r="I502" s="24" t="s">
        <v>4614</v>
      </c>
    </row>
    <row r="503">
      <c r="A503" s="119">
        <v>31.0</v>
      </c>
      <c r="B503" s="119">
        <v>61.0</v>
      </c>
      <c r="C503" s="129">
        <v>21068.0</v>
      </c>
      <c r="D503" s="129">
        <v>-26857.0</v>
      </c>
      <c r="E503" s="130">
        <v>-395.0</v>
      </c>
      <c r="F503" s="131">
        <v>3285.0</v>
      </c>
      <c r="G503" s="132">
        <v>-419.4</v>
      </c>
      <c r="H503" s="133">
        <v>55.97</v>
      </c>
      <c r="I503" s="24" t="s">
        <v>4615</v>
      </c>
    </row>
    <row r="504">
      <c r="A504" s="119">
        <v>31.0</v>
      </c>
      <c r="B504" s="119">
        <v>60.0</v>
      </c>
      <c r="C504" s="129">
        <v>28452.0</v>
      </c>
      <c r="D504" s="129">
        <v>19.0</v>
      </c>
      <c r="E504" s="130">
        <v>1854.0</v>
      </c>
      <c r="F504" s="131">
        <v>-80171.0</v>
      </c>
      <c r="G504" s="132">
        <v>37.7</v>
      </c>
      <c r="H504" s="133">
        <v>5772.11</v>
      </c>
      <c r="I504" s="24" t="s">
        <v>4616</v>
      </c>
    </row>
    <row r="505">
      <c r="A505" s="119">
        <v>52.0</v>
      </c>
      <c r="B505" s="119">
        <v>11.0</v>
      </c>
      <c r="C505" s="129">
        <v>62914.0</v>
      </c>
      <c r="D505" s="129">
        <v>-644.0</v>
      </c>
      <c r="E505" s="130">
        <v>-756349.0</v>
      </c>
      <c r="F505" s="131">
        <v>40.0</v>
      </c>
      <c r="G505" s="132">
        <v>-84.1</v>
      </c>
      <c r="H505" s="133">
        <v>1622.44</v>
      </c>
      <c r="I505" s="24" t="s">
        <v>4617</v>
      </c>
    </row>
    <row r="506">
      <c r="A506" s="119">
        <v>93.0</v>
      </c>
      <c r="B506" s="119">
        <v>9.0</v>
      </c>
      <c r="C506" s="129">
        <v>5378.0</v>
      </c>
      <c r="D506" s="129">
        <v>-2581.0</v>
      </c>
      <c r="E506" s="130">
        <v>1234.0</v>
      </c>
      <c r="F506" s="131">
        <v>371.0</v>
      </c>
      <c r="G506" s="132">
        <v>-753.42</v>
      </c>
      <c r="H506" s="133">
        <v>95.99</v>
      </c>
      <c r="I506" s="24" t="s">
        <v>4618</v>
      </c>
    </row>
    <row r="507">
      <c r="A507" s="119">
        <v>72.0</v>
      </c>
      <c r="B507" s="119">
        <v>62.0</v>
      </c>
      <c r="C507" s="129">
        <v>20766.0</v>
      </c>
      <c r="D507" s="129">
        <v>73429.0</v>
      </c>
      <c r="E507" s="130">
        <v>8989.0</v>
      </c>
      <c r="F507" s="131">
        <v>2092.0</v>
      </c>
      <c r="G507" s="132">
        <v>61.89</v>
      </c>
      <c r="H507" s="133">
        <v>-81242.76</v>
      </c>
      <c r="I507" s="24" t="s">
        <v>4619</v>
      </c>
    </row>
    <row r="508">
      <c r="A508" s="119">
        <v>72.0</v>
      </c>
      <c r="B508" s="119">
        <v>65.0</v>
      </c>
      <c r="C508" s="129">
        <v>41716.0</v>
      </c>
      <c r="D508" s="129">
        <v>43922.0</v>
      </c>
      <c r="E508" s="130">
        <v>-840549.0</v>
      </c>
      <c r="F508" s="131">
        <v>497.0</v>
      </c>
      <c r="G508" s="132">
        <v>91.56</v>
      </c>
      <c r="H508" s="133">
        <v>598.48</v>
      </c>
      <c r="I508" s="24" t="s">
        <v>4620</v>
      </c>
    </row>
    <row r="509">
      <c r="A509" s="119">
        <v>11.0</v>
      </c>
      <c r="B509" s="119">
        <v>25.0</v>
      </c>
      <c r="C509" s="129">
        <v>7270.0</v>
      </c>
      <c r="D509" s="129">
        <v>1025.0</v>
      </c>
      <c r="E509" s="130">
        <v>-98.0</v>
      </c>
      <c r="F509" s="131">
        <v>-36366.0</v>
      </c>
      <c r="G509" s="132">
        <v>408.6</v>
      </c>
      <c r="H509" s="133">
        <v>719.2</v>
      </c>
      <c r="I509" s="24" t="s">
        <v>4621</v>
      </c>
    </row>
    <row r="510">
      <c r="A510" s="119">
        <v>31.0</v>
      </c>
      <c r="B510" s="119">
        <v>74.0</v>
      </c>
      <c r="C510" s="129">
        <v>57403.0</v>
      </c>
      <c r="D510" s="129">
        <v>57.0</v>
      </c>
      <c r="E510" s="130">
        <v>31639.0</v>
      </c>
      <c r="F510" s="131">
        <v>-57915.0</v>
      </c>
      <c r="G510" s="132">
        <v>6564.0</v>
      </c>
      <c r="H510" s="133">
        <v>-373.15</v>
      </c>
      <c r="I510" s="24" t="s">
        <v>4622</v>
      </c>
    </row>
    <row r="511">
      <c r="A511" s="119">
        <v>31.0</v>
      </c>
      <c r="B511" s="119">
        <v>75.0</v>
      </c>
      <c r="C511" s="129">
        <v>23943.0</v>
      </c>
      <c r="D511" s="129">
        <v>-11.0</v>
      </c>
      <c r="E511" s="130">
        <v>408656.0</v>
      </c>
      <c r="F511" s="131">
        <v>-50026.0</v>
      </c>
      <c r="G511" s="132">
        <v>104.39</v>
      </c>
      <c r="H511" s="133">
        <v>9117.21</v>
      </c>
      <c r="I511" s="24" t="s">
        <v>4623</v>
      </c>
    </row>
    <row r="512">
      <c r="A512" s="119">
        <v>72.0</v>
      </c>
      <c r="B512" s="119">
        <v>72.0</v>
      </c>
      <c r="C512" s="129">
        <v>74321.0</v>
      </c>
      <c r="D512" s="129">
        <v>-35.0</v>
      </c>
      <c r="E512" s="130">
        <v>-870.0</v>
      </c>
      <c r="F512" s="131">
        <v>-46.0</v>
      </c>
      <c r="G512" s="132">
        <v>259.1</v>
      </c>
      <c r="H512" s="133">
        <v>95487.6</v>
      </c>
      <c r="I512" s="24" t="s">
        <v>4624</v>
      </c>
    </row>
    <row r="513">
      <c r="A513" s="119">
        <v>72.0</v>
      </c>
      <c r="B513" s="119">
        <v>70.0</v>
      </c>
      <c r="C513" s="129">
        <v>77369.0</v>
      </c>
      <c r="D513" s="129">
        <v>-708.0</v>
      </c>
      <c r="E513" s="130">
        <v>954982.0</v>
      </c>
      <c r="F513" s="131">
        <v>-4366.0</v>
      </c>
      <c r="G513" s="132">
        <v>-48.16</v>
      </c>
      <c r="H513" s="133">
        <v>70.78</v>
      </c>
      <c r="I513" s="24" t="s">
        <v>4625</v>
      </c>
    </row>
    <row r="514">
      <c r="A514" s="119">
        <v>11.0</v>
      </c>
      <c r="B514" s="119">
        <v>30.0</v>
      </c>
      <c r="C514" s="129">
        <v>15985.0</v>
      </c>
      <c r="D514" s="129">
        <v>115.0</v>
      </c>
      <c r="E514" s="130">
        <v>4272.0</v>
      </c>
      <c r="F514" s="131">
        <v>55.0</v>
      </c>
      <c r="G514" s="132">
        <v>3099.73</v>
      </c>
      <c r="H514" s="133">
        <v>6328.88</v>
      </c>
      <c r="I514" s="24" t="s">
        <v>4626</v>
      </c>
    </row>
    <row r="515">
      <c r="A515" s="119">
        <v>93.0</v>
      </c>
      <c r="B515" s="119">
        <v>23.0</v>
      </c>
      <c r="C515" s="129">
        <v>34818.0</v>
      </c>
      <c r="D515" s="129">
        <v>527.0</v>
      </c>
      <c r="E515" s="130">
        <v>81.0</v>
      </c>
      <c r="F515" s="131">
        <v>-539.0</v>
      </c>
      <c r="G515" s="132">
        <v>-41.63</v>
      </c>
      <c r="H515" s="133">
        <v>38064.7</v>
      </c>
      <c r="I515" s="24" t="s">
        <v>4627</v>
      </c>
    </row>
    <row r="516">
      <c r="A516" s="119">
        <v>52.0</v>
      </c>
      <c r="B516" s="119">
        <v>23.0</v>
      </c>
      <c r="C516" s="129">
        <v>55954.0</v>
      </c>
      <c r="D516" s="129">
        <v>49999.0</v>
      </c>
      <c r="E516" s="130">
        <v>-4025.0</v>
      </c>
      <c r="F516" s="131">
        <v>-2570.0</v>
      </c>
      <c r="G516" s="132">
        <v>51.2</v>
      </c>
      <c r="H516" s="133">
        <v>8084.48</v>
      </c>
      <c r="I516" s="24" t="s">
        <v>4628</v>
      </c>
    </row>
    <row r="517">
      <c r="A517" s="119">
        <v>31.0</v>
      </c>
      <c r="B517" s="119">
        <v>80.0</v>
      </c>
      <c r="C517" s="129">
        <v>29564.0</v>
      </c>
      <c r="D517" s="129">
        <v>967.0</v>
      </c>
      <c r="E517" s="130">
        <v>40.0</v>
      </c>
      <c r="F517" s="131">
        <v>-5807.0</v>
      </c>
      <c r="G517" s="132">
        <v>-29759.59</v>
      </c>
      <c r="H517" s="133">
        <v>34778.47</v>
      </c>
      <c r="I517" s="24" t="s">
        <v>4629</v>
      </c>
    </row>
    <row r="518">
      <c r="A518" s="119">
        <v>31.0</v>
      </c>
      <c r="B518" s="119">
        <v>76.0</v>
      </c>
      <c r="C518" s="129">
        <v>95852.0</v>
      </c>
      <c r="D518" s="129">
        <v>836.0</v>
      </c>
      <c r="E518" s="130">
        <v>9254.0</v>
      </c>
      <c r="F518" s="131">
        <v>-2491.0</v>
      </c>
      <c r="G518" s="132">
        <v>78342.56</v>
      </c>
      <c r="H518" s="133">
        <v>3814.16</v>
      </c>
      <c r="I518" s="24" t="s">
        <v>4630</v>
      </c>
    </row>
    <row r="519">
      <c r="A519" s="119">
        <v>11.0</v>
      </c>
      <c r="B519" s="119">
        <v>36.0</v>
      </c>
      <c r="C519" s="129">
        <v>6352.0</v>
      </c>
      <c r="D519" s="129">
        <v>-93.0</v>
      </c>
      <c r="E519" s="130">
        <v>-299.0</v>
      </c>
      <c r="F519" s="131">
        <v>107.0</v>
      </c>
      <c r="G519" s="132">
        <v>-400.4</v>
      </c>
      <c r="H519" s="133">
        <v>-81.21</v>
      </c>
      <c r="I519" s="24" t="s">
        <v>4631</v>
      </c>
    </row>
    <row r="520">
      <c r="A520" s="119">
        <v>93.0</v>
      </c>
      <c r="B520" s="119">
        <v>29.0</v>
      </c>
      <c r="C520" s="129">
        <v>34518.0</v>
      </c>
      <c r="D520" s="129">
        <v>54363.0</v>
      </c>
      <c r="E520" s="130">
        <v>-601.0</v>
      </c>
      <c r="F520" s="131">
        <v>-22723.0</v>
      </c>
      <c r="G520" s="132">
        <v>56635.69</v>
      </c>
      <c r="H520" s="133">
        <v>20.49</v>
      </c>
      <c r="I520" s="24" t="s">
        <v>4632</v>
      </c>
    </row>
    <row r="521">
      <c r="A521" s="119">
        <v>93.0</v>
      </c>
      <c r="B521" s="119">
        <v>30.0</v>
      </c>
      <c r="C521" s="129">
        <v>49701.0</v>
      </c>
      <c r="D521" s="129">
        <v>64310.0</v>
      </c>
      <c r="E521" s="130">
        <v>721.0</v>
      </c>
      <c r="F521" s="131">
        <v>81653.0</v>
      </c>
      <c r="G521" s="132">
        <v>826.51</v>
      </c>
      <c r="H521" s="133">
        <v>34818.14</v>
      </c>
      <c r="I521" s="24" t="s">
        <v>4633</v>
      </c>
    </row>
    <row r="522">
      <c r="A522" s="119">
        <v>93.0</v>
      </c>
      <c r="B522" s="119">
        <v>28.0</v>
      </c>
      <c r="C522" s="129">
        <v>54028.0</v>
      </c>
      <c r="D522" s="129">
        <v>70.0</v>
      </c>
      <c r="E522" s="130">
        <v>-52.0</v>
      </c>
      <c r="F522" s="131">
        <v>51.0</v>
      </c>
      <c r="G522" s="132">
        <v>3118.99</v>
      </c>
      <c r="H522" s="133">
        <v>-35157.57</v>
      </c>
      <c r="I522" s="24" t="s">
        <v>4634</v>
      </c>
    </row>
    <row r="523">
      <c r="A523" s="119">
        <v>11.0</v>
      </c>
      <c r="B523" s="119">
        <v>40.0</v>
      </c>
      <c r="C523" s="129">
        <v>90777.0</v>
      </c>
      <c r="D523" s="129">
        <v>41.0</v>
      </c>
      <c r="E523" s="130">
        <v>635.0</v>
      </c>
      <c r="F523" s="131">
        <v>2591.0</v>
      </c>
      <c r="G523" s="132">
        <v>-3883.52</v>
      </c>
      <c r="H523" s="133">
        <v>99927.65</v>
      </c>
      <c r="I523" s="24" t="s">
        <v>4635</v>
      </c>
    </row>
    <row r="524">
      <c r="A524" s="119">
        <v>52.0</v>
      </c>
      <c r="B524" s="119">
        <v>39.0</v>
      </c>
      <c r="C524" s="129">
        <v>58205.0</v>
      </c>
      <c r="D524" s="129">
        <v>-974.0</v>
      </c>
      <c r="E524" s="130">
        <v>-139047.0</v>
      </c>
      <c r="F524" s="131">
        <v>7264.0</v>
      </c>
      <c r="G524" s="132">
        <v>-44641.48</v>
      </c>
      <c r="H524" s="133">
        <v>87182.48</v>
      </c>
      <c r="I524" s="24" t="s">
        <v>4636</v>
      </c>
    </row>
    <row r="525">
      <c r="A525" s="119">
        <v>72.0</v>
      </c>
      <c r="B525" s="119">
        <v>87.0</v>
      </c>
      <c r="C525" s="129">
        <v>78301.0</v>
      </c>
      <c r="D525" s="129">
        <v>70237.0</v>
      </c>
      <c r="E525" s="130">
        <v>4962.0</v>
      </c>
      <c r="F525" s="131">
        <v>569.0</v>
      </c>
      <c r="G525" s="132">
        <v>80.23</v>
      </c>
      <c r="H525" s="133">
        <v>-7475.67</v>
      </c>
      <c r="I525" s="24" t="s">
        <v>4637</v>
      </c>
    </row>
    <row r="526">
      <c r="A526" s="119">
        <v>31.0</v>
      </c>
      <c r="B526" s="119">
        <v>93.0</v>
      </c>
      <c r="C526" s="129">
        <v>72215.0</v>
      </c>
      <c r="D526" s="129">
        <v>-939.0</v>
      </c>
      <c r="E526" s="130">
        <v>52951.0</v>
      </c>
      <c r="F526" s="131">
        <v>40.0</v>
      </c>
      <c r="G526" s="132">
        <v>21.16</v>
      </c>
      <c r="H526" s="133">
        <v>678.64</v>
      </c>
      <c r="I526" s="24" t="s">
        <v>4638</v>
      </c>
    </row>
    <row r="527">
      <c r="A527" s="119">
        <v>93.0</v>
      </c>
      <c r="B527" s="119">
        <v>38.0</v>
      </c>
      <c r="C527" s="129">
        <v>76140.0</v>
      </c>
      <c r="D527" s="129">
        <v>134.0</v>
      </c>
      <c r="E527" s="130">
        <v>4716.0</v>
      </c>
      <c r="F527" s="131">
        <v>1084.0</v>
      </c>
      <c r="G527" s="132">
        <v>8768.4</v>
      </c>
      <c r="H527" s="133">
        <v>39.51</v>
      </c>
      <c r="I527" s="24" t="s">
        <v>4639</v>
      </c>
    </row>
    <row r="528">
      <c r="A528" s="119">
        <v>31.0</v>
      </c>
      <c r="B528" s="119">
        <v>95.0</v>
      </c>
      <c r="C528" s="129">
        <v>26766.0</v>
      </c>
      <c r="D528" s="129">
        <v>524.0</v>
      </c>
      <c r="E528" s="130">
        <v>998049.0</v>
      </c>
      <c r="F528" s="131">
        <v>-44.0</v>
      </c>
      <c r="G528" s="132">
        <v>-6191.17</v>
      </c>
      <c r="H528" s="133">
        <v>8645.69</v>
      </c>
      <c r="I528" s="24" t="s">
        <v>4640</v>
      </c>
    </row>
    <row r="529">
      <c r="A529" s="119">
        <v>11.0</v>
      </c>
      <c r="B529" s="119">
        <v>44.0</v>
      </c>
      <c r="C529" s="129">
        <v>44971.0</v>
      </c>
      <c r="D529" s="129">
        <v>9936.0</v>
      </c>
      <c r="E529" s="130">
        <v>653.0</v>
      </c>
      <c r="F529" s="131">
        <v>76.0</v>
      </c>
      <c r="G529" s="132">
        <v>-93.54</v>
      </c>
      <c r="H529" s="133">
        <v>-2464.7</v>
      </c>
      <c r="I529" s="24" t="s">
        <v>4641</v>
      </c>
    </row>
    <row r="530">
      <c r="A530" s="119">
        <v>93.0</v>
      </c>
      <c r="B530" s="119">
        <v>41.0</v>
      </c>
      <c r="C530" s="129">
        <v>98990.0</v>
      </c>
      <c r="D530" s="129">
        <v>9273.0</v>
      </c>
      <c r="E530" s="130">
        <v>1138.0</v>
      </c>
      <c r="F530" s="131">
        <v>941.0</v>
      </c>
      <c r="G530" s="132">
        <v>73364.67</v>
      </c>
      <c r="H530" s="133">
        <v>-387.9</v>
      </c>
      <c r="I530" s="24" t="s">
        <v>4642</v>
      </c>
    </row>
    <row r="531">
      <c r="A531" s="119">
        <v>31.0</v>
      </c>
      <c r="B531" s="119">
        <v>91.0</v>
      </c>
      <c r="C531" s="129">
        <v>24417.0</v>
      </c>
      <c r="D531" s="129">
        <v>40.0</v>
      </c>
      <c r="E531" s="130">
        <v>8338.0</v>
      </c>
      <c r="F531" s="131">
        <v>-36.0</v>
      </c>
      <c r="G531" s="132">
        <v>-42.64</v>
      </c>
      <c r="H531" s="133">
        <v>20.66</v>
      </c>
      <c r="I531" s="24" t="s">
        <v>4513</v>
      </c>
    </row>
    <row r="532">
      <c r="A532" s="119">
        <v>11.0</v>
      </c>
      <c r="B532" s="119">
        <v>51.0</v>
      </c>
      <c r="C532" s="129">
        <v>91208.0</v>
      </c>
      <c r="D532" s="129">
        <v>-85.0</v>
      </c>
      <c r="E532" s="130">
        <v>44.0</v>
      </c>
      <c r="F532" s="131">
        <v>1381.0</v>
      </c>
      <c r="G532" s="132">
        <v>6313.13</v>
      </c>
      <c r="H532" s="133">
        <v>37749.14</v>
      </c>
      <c r="I532" s="24" t="s">
        <v>4643</v>
      </c>
    </row>
    <row r="533">
      <c r="A533" s="119">
        <v>72.0</v>
      </c>
      <c r="B533" s="119">
        <v>88.0</v>
      </c>
      <c r="C533" s="129">
        <v>67035.0</v>
      </c>
      <c r="D533" s="129">
        <v>2669.0</v>
      </c>
      <c r="E533" s="130">
        <v>113154.0</v>
      </c>
      <c r="F533" s="131">
        <v>40157.0</v>
      </c>
      <c r="G533" s="132">
        <v>19.57</v>
      </c>
      <c r="H533" s="133">
        <v>32.79</v>
      </c>
      <c r="I533" s="24" t="s">
        <v>4644</v>
      </c>
    </row>
    <row r="534">
      <c r="A534" s="119">
        <v>72.0</v>
      </c>
      <c r="B534" s="119">
        <v>99.0</v>
      </c>
      <c r="C534" s="129">
        <v>1384.0</v>
      </c>
      <c r="D534" s="129">
        <v>10.0</v>
      </c>
      <c r="E534" s="130">
        <v>-883.0</v>
      </c>
      <c r="F534" s="131">
        <v>713.0</v>
      </c>
      <c r="G534" s="132">
        <v>487.57</v>
      </c>
      <c r="H534" s="133">
        <v>34.32</v>
      </c>
      <c r="I534" s="24" t="s">
        <v>4645</v>
      </c>
    </row>
    <row r="535">
      <c r="A535" s="119">
        <v>32.0</v>
      </c>
      <c r="B535" s="119">
        <v>3.0</v>
      </c>
      <c r="C535" s="129">
        <v>48949.0</v>
      </c>
      <c r="D535" s="129">
        <v>796.0</v>
      </c>
      <c r="E535" s="130">
        <v>-11.0</v>
      </c>
      <c r="F535" s="131">
        <v>-45929.0</v>
      </c>
      <c r="G535" s="132">
        <v>524.57</v>
      </c>
      <c r="H535" s="133">
        <v>3367.15</v>
      </c>
      <c r="I535" s="24" t="s">
        <v>4646</v>
      </c>
    </row>
    <row r="536">
      <c r="A536" s="119">
        <v>73.0</v>
      </c>
      <c r="B536" s="119">
        <v>0.0</v>
      </c>
      <c r="C536" s="129">
        <v>3928.0</v>
      </c>
      <c r="D536" s="129">
        <v>-97.0</v>
      </c>
      <c r="E536" s="130">
        <v>88576.0</v>
      </c>
      <c r="F536" s="131">
        <v>482.0</v>
      </c>
      <c r="G536" s="132">
        <v>5745.7</v>
      </c>
      <c r="H536" s="133">
        <v>-208.2</v>
      </c>
      <c r="I536" s="24" t="s">
        <v>4647</v>
      </c>
    </row>
    <row r="537">
      <c r="A537" s="119">
        <v>52.0</v>
      </c>
      <c r="B537" s="119">
        <v>54.0</v>
      </c>
      <c r="C537" s="129">
        <v>12243.0</v>
      </c>
      <c r="D537" s="129">
        <v>20544.0</v>
      </c>
      <c r="E537" s="130">
        <v>79.0</v>
      </c>
      <c r="F537" s="131">
        <v>9070.0</v>
      </c>
      <c r="G537" s="132">
        <v>14.87</v>
      </c>
      <c r="H537" s="133">
        <v>-159.3</v>
      </c>
      <c r="I537" s="24" t="s">
        <v>4648</v>
      </c>
    </row>
    <row r="538">
      <c r="A538" s="119">
        <v>73.0</v>
      </c>
      <c r="B538" s="119">
        <v>4.0</v>
      </c>
      <c r="C538" s="129">
        <v>27563.0</v>
      </c>
      <c r="D538" s="129">
        <v>926.0</v>
      </c>
      <c r="E538" s="130">
        <v>172.0</v>
      </c>
      <c r="F538" s="131">
        <v>90.0</v>
      </c>
      <c r="G538" s="132">
        <v>-31387.25</v>
      </c>
      <c r="H538" s="133">
        <v>35.89</v>
      </c>
      <c r="I538" s="24" t="s">
        <v>4649</v>
      </c>
    </row>
    <row r="539">
      <c r="A539" s="119">
        <v>73.0</v>
      </c>
      <c r="B539" s="119">
        <v>5.0</v>
      </c>
      <c r="C539" s="129">
        <v>59596.0</v>
      </c>
      <c r="D539" s="129">
        <v>7838.0</v>
      </c>
      <c r="E539" s="130">
        <v>8532.0</v>
      </c>
      <c r="F539" s="131">
        <v>15507.0</v>
      </c>
      <c r="G539" s="132">
        <v>66.65</v>
      </c>
      <c r="H539" s="133">
        <v>635.76</v>
      </c>
      <c r="I539" s="24" t="s">
        <v>4650</v>
      </c>
    </row>
    <row r="540">
      <c r="A540" s="119">
        <v>73.0</v>
      </c>
      <c r="B540" s="119">
        <v>7.0</v>
      </c>
      <c r="C540" s="129">
        <v>99838.0</v>
      </c>
      <c r="D540" s="129">
        <v>45.0</v>
      </c>
      <c r="E540" s="130">
        <v>310.0</v>
      </c>
      <c r="F540" s="131">
        <v>-97707.0</v>
      </c>
      <c r="G540" s="132">
        <v>46.86</v>
      </c>
      <c r="H540" s="133">
        <v>-21155.58</v>
      </c>
      <c r="I540" s="24" t="s">
        <v>4651</v>
      </c>
    </row>
    <row r="541">
      <c r="A541" s="119">
        <v>73.0</v>
      </c>
      <c r="B541" s="119">
        <v>8.0</v>
      </c>
      <c r="C541" s="129">
        <v>38967.0</v>
      </c>
      <c r="D541" s="129">
        <v>-59688.0</v>
      </c>
      <c r="E541" s="130">
        <v>19.0</v>
      </c>
      <c r="F541" s="131">
        <v>-31078.0</v>
      </c>
      <c r="G541" s="132">
        <v>473.27</v>
      </c>
      <c r="H541" s="133">
        <v>81465.63</v>
      </c>
      <c r="I541" s="24" t="s">
        <v>4652</v>
      </c>
    </row>
    <row r="542">
      <c r="A542" s="119">
        <v>93.0</v>
      </c>
      <c r="B542" s="119">
        <v>56.0</v>
      </c>
      <c r="C542" s="129">
        <v>65961.0</v>
      </c>
      <c r="D542" s="129">
        <v>159.0</v>
      </c>
      <c r="E542" s="130">
        <v>73907.0</v>
      </c>
      <c r="F542" s="131">
        <v>86.0</v>
      </c>
      <c r="G542" s="132">
        <v>838.58</v>
      </c>
      <c r="H542" s="133">
        <v>84.62</v>
      </c>
      <c r="I542" s="24" t="s">
        <v>4653</v>
      </c>
    </row>
    <row r="543">
      <c r="A543" s="119">
        <v>32.0</v>
      </c>
      <c r="B543" s="119">
        <v>14.0</v>
      </c>
      <c r="C543" s="129">
        <v>7810.0</v>
      </c>
      <c r="D543" s="129">
        <v>377.0</v>
      </c>
      <c r="E543" s="130">
        <v>-860.0</v>
      </c>
      <c r="F543" s="131">
        <v>-5144.0</v>
      </c>
      <c r="G543" s="132">
        <v>28.14</v>
      </c>
      <c r="H543" s="133">
        <v>2206.18</v>
      </c>
      <c r="I543" s="24" t="s">
        <v>4654</v>
      </c>
    </row>
    <row r="544">
      <c r="A544" s="119">
        <v>93.0</v>
      </c>
      <c r="B544" s="119">
        <v>60.0</v>
      </c>
      <c r="C544" s="129">
        <v>74483.0</v>
      </c>
      <c r="D544" s="129">
        <v>-30495.0</v>
      </c>
      <c r="E544" s="130">
        <v>-98115.0</v>
      </c>
      <c r="F544" s="131">
        <v>-1891.0</v>
      </c>
      <c r="G544" s="132">
        <v>311.69</v>
      </c>
      <c r="H544" s="133">
        <v>9543.16</v>
      </c>
      <c r="I544" s="24" t="s">
        <v>4655</v>
      </c>
    </row>
    <row r="545">
      <c r="A545" s="119">
        <v>93.0</v>
      </c>
      <c r="B545" s="119">
        <v>61.0</v>
      </c>
      <c r="C545" s="129">
        <v>69073.0</v>
      </c>
      <c r="D545" s="129">
        <v>7142.0</v>
      </c>
      <c r="E545" s="130">
        <v>438802.0</v>
      </c>
      <c r="F545" s="131">
        <v>-723.0</v>
      </c>
      <c r="G545" s="132">
        <v>51.29</v>
      </c>
      <c r="H545" s="133">
        <v>40.23</v>
      </c>
      <c r="I545" s="24" t="s">
        <v>4656</v>
      </c>
    </row>
    <row r="546">
      <c r="A546" s="119">
        <v>52.0</v>
      </c>
      <c r="B546" s="119">
        <v>66.0</v>
      </c>
      <c r="C546" s="129">
        <v>37982.0</v>
      </c>
      <c r="D546" s="129">
        <v>94724.0</v>
      </c>
      <c r="E546" s="130">
        <v>621.0</v>
      </c>
      <c r="F546" s="131">
        <v>-759.0</v>
      </c>
      <c r="G546" s="132">
        <v>2412.44</v>
      </c>
      <c r="H546" s="133">
        <v>59.12</v>
      </c>
      <c r="I546" s="24" t="s">
        <v>4657</v>
      </c>
    </row>
    <row r="547">
      <c r="A547" s="119">
        <v>32.0</v>
      </c>
      <c r="B547" s="119">
        <v>18.0</v>
      </c>
      <c r="C547" s="129">
        <v>772.0</v>
      </c>
      <c r="D547" s="129">
        <v>-8902.0</v>
      </c>
      <c r="E547" s="130">
        <v>-1521.0</v>
      </c>
      <c r="F547" s="131">
        <v>911.0</v>
      </c>
      <c r="G547" s="132">
        <v>114.58</v>
      </c>
      <c r="H547" s="133">
        <v>73773.57</v>
      </c>
      <c r="I547" s="24" t="s">
        <v>4658</v>
      </c>
    </row>
    <row r="548">
      <c r="A548" s="119">
        <v>32.0</v>
      </c>
      <c r="B548" s="119">
        <v>16.0</v>
      </c>
      <c r="C548" s="129">
        <v>55668.0</v>
      </c>
      <c r="D548" s="129">
        <v>24.0</v>
      </c>
      <c r="E548" s="130">
        <v>83.0</v>
      </c>
      <c r="F548" s="131">
        <v>68810.0</v>
      </c>
      <c r="G548" s="132">
        <v>92151.72</v>
      </c>
      <c r="H548" s="133">
        <v>78.1</v>
      </c>
      <c r="I548" s="24" t="s">
        <v>4659</v>
      </c>
    </row>
    <row r="549">
      <c r="A549" s="119">
        <v>93.0</v>
      </c>
      <c r="B549" s="119">
        <v>67.0</v>
      </c>
      <c r="C549" s="129">
        <v>68577.0</v>
      </c>
      <c r="D549" s="129">
        <v>11875.0</v>
      </c>
      <c r="E549" s="130">
        <v>-234.0</v>
      </c>
      <c r="F549" s="131">
        <v>645.0</v>
      </c>
      <c r="G549" s="132">
        <v>-9908.1</v>
      </c>
      <c r="H549" s="133">
        <v>782.5</v>
      </c>
      <c r="I549" s="24" t="s">
        <v>4660</v>
      </c>
    </row>
    <row r="550">
      <c r="A550" s="119">
        <v>11.0</v>
      </c>
      <c r="B550" s="119">
        <v>76.0</v>
      </c>
      <c r="C550" s="129">
        <v>41577.0</v>
      </c>
      <c r="D550" s="129">
        <v>5810.0</v>
      </c>
      <c r="E550" s="130">
        <v>964.0</v>
      </c>
      <c r="F550" s="131">
        <v>351.0</v>
      </c>
      <c r="G550" s="132">
        <v>-53.4</v>
      </c>
      <c r="H550" s="133">
        <v>5669.71</v>
      </c>
      <c r="I550" s="24" t="s">
        <v>4661</v>
      </c>
    </row>
    <row r="551">
      <c r="A551" s="119">
        <v>93.0</v>
      </c>
      <c r="B551" s="119">
        <v>71.0</v>
      </c>
      <c r="C551" s="129">
        <v>44522.0</v>
      </c>
      <c r="D551" s="129">
        <v>32.0</v>
      </c>
      <c r="E551" s="130">
        <v>3726.0</v>
      </c>
      <c r="F551" s="131">
        <v>31.0</v>
      </c>
      <c r="G551" s="132">
        <v>54.51</v>
      </c>
      <c r="H551" s="133">
        <v>29838.54</v>
      </c>
      <c r="I551" s="24" t="s">
        <v>4662</v>
      </c>
    </row>
    <row r="552">
      <c r="A552" s="119">
        <v>11.0</v>
      </c>
      <c r="B552" s="119">
        <v>80.0</v>
      </c>
      <c r="C552" s="129">
        <v>74810.0</v>
      </c>
      <c r="D552" s="129">
        <v>1610.0</v>
      </c>
      <c r="E552" s="130">
        <v>1282.0</v>
      </c>
      <c r="F552" s="131">
        <v>-2792.0</v>
      </c>
      <c r="G552" s="132">
        <v>-442.73</v>
      </c>
      <c r="H552" s="133">
        <v>-65.59</v>
      </c>
      <c r="I552" s="24" t="s">
        <v>4663</v>
      </c>
    </row>
    <row r="553">
      <c r="A553" s="119">
        <v>11.0</v>
      </c>
      <c r="B553" s="119">
        <v>81.0</v>
      </c>
      <c r="C553" s="129">
        <v>26326.0</v>
      </c>
      <c r="D553" s="129">
        <v>477.0</v>
      </c>
      <c r="E553" s="130">
        <v>45782.0</v>
      </c>
      <c r="F553" s="131">
        <v>4341.0</v>
      </c>
      <c r="G553" s="132">
        <v>41929.5</v>
      </c>
      <c r="H553" s="133">
        <v>75.62</v>
      </c>
      <c r="I553" s="24" t="s">
        <v>4664</v>
      </c>
    </row>
    <row r="554">
      <c r="A554" s="119">
        <v>93.0</v>
      </c>
      <c r="B554" s="119">
        <v>75.0</v>
      </c>
      <c r="C554" s="129">
        <v>72020.0</v>
      </c>
      <c r="D554" s="129">
        <v>5329.0</v>
      </c>
      <c r="E554" s="130">
        <v>369.0</v>
      </c>
      <c r="F554" s="131">
        <v>353.0</v>
      </c>
      <c r="G554" s="132">
        <v>50001.22</v>
      </c>
      <c r="H554" s="133">
        <v>3017.75</v>
      </c>
      <c r="I554" s="24" t="s">
        <v>4665</v>
      </c>
    </row>
    <row r="555">
      <c r="A555" s="119">
        <v>52.0</v>
      </c>
      <c r="B555" s="119">
        <v>79.0</v>
      </c>
      <c r="C555" s="129">
        <v>86440.0</v>
      </c>
      <c r="D555" s="129">
        <v>-32939.0</v>
      </c>
      <c r="E555" s="130">
        <v>72026.0</v>
      </c>
      <c r="F555" s="131">
        <v>83152.0</v>
      </c>
      <c r="G555" s="132">
        <v>3298.26</v>
      </c>
      <c r="H555" s="133">
        <v>2611.54</v>
      </c>
      <c r="I555" s="24" t="s">
        <v>4666</v>
      </c>
    </row>
    <row r="556">
      <c r="A556" s="119">
        <v>52.0</v>
      </c>
      <c r="B556" s="119">
        <v>81.0</v>
      </c>
      <c r="C556" s="129">
        <v>65194.0</v>
      </c>
      <c r="D556" s="129">
        <v>50.0</v>
      </c>
      <c r="E556" s="130">
        <v>491814.0</v>
      </c>
      <c r="F556" s="131">
        <v>-34.0</v>
      </c>
      <c r="G556" s="132">
        <v>-84.97</v>
      </c>
      <c r="H556" s="133">
        <v>961.16</v>
      </c>
      <c r="I556" s="24" t="s">
        <v>4667</v>
      </c>
    </row>
    <row r="557">
      <c r="A557" s="119">
        <v>73.0</v>
      </c>
      <c r="B557" s="119">
        <v>29.0</v>
      </c>
      <c r="C557" s="129">
        <v>34705.0</v>
      </c>
      <c r="D557" s="129">
        <v>11251.0</v>
      </c>
      <c r="E557" s="130">
        <v>-2756.0</v>
      </c>
      <c r="F557" s="131">
        <v>-63945.0</v>
      </c>
      <c r="G557" s="132">
        <v>-89369.35</v>
      </c>
      <c r="H557" s="133">
        <v>6494.96</v>
      </c>
      <c r="I557" s="24" t="s">
        <v>4668</v>
      </c>
    </row>
    <row r="558">
      <c r="A558" s="119">
        <v>73.0</v>
      </c>
      <c r="B558" s="119">
        <v>30.0</v>
      </c>
      <c r="C558" s="129">
        <v>66691.0</v>
      </c>
      <c r="D558" s="129">
        <v>67897.0</v>
      </c>
      <c r="E558" s="130">
        <v>-502.0</v>
      </c>
      <c r="F558" s="131">
        <v>40.0</v>
      </c>
      <c r="G558" s="132">
        <v>851.42</v>
      </c>
      <c r="H558" s="133">
        <v>-667.94</v>
      </c>
      <c r="I558" s="24" t="s">
        <v>4669</v>
      </c>
    </row>
    <row r="559">
      <c r="A559" s="119">
        <v>32.0</v>
      </c>
      <c r="B559" s="119">
        <v>37.0</v>
      </c>
      <c r="C559" s="129">
        <v>97552.0</v>
      </c>
      <c r="D559" s="129">
        <v>19972.0</v>
      </c>
      <c r="E559" s="130">
        <v>333216.0</v>
      </c>
      <c r="F559" s="131">
        <v>5954.0</v>
      </c>
      <c r="G559" s="132">
        <v>57684.99</v>
      </c>
      <c r="H559" s="133">
        <v>6645.33</v>
      </c>
      <c r="I559" s="24" t="s">
        <v>4670</v>
      </c>
    </row>
    <row r="560">
      <c r="A560" s="119">
        <v>11.0</v>
      </c>
      <c r="B560" s="119">
        <v>90.0</v>
      </c>
      <c r="C560" s="129">
        <v>1939.0</v>
      </c>
      <c r="D560" s="129">
        <v>3075.0</v>
      </c>
      <c r="E560" s="130">
        <v>-312.0</v>
      </c>
      <c r="F560" s="131">
        <v>-30.0</v>
      </c>
      <c r="G560" s="132">
        <v>98.31</v>
      </c>
      <c r="H560" s="133">
        <v>8168.77</v>
      </c>
      <c r="I560" s="24" t="s">
        <v>4498</v>
      </c>
    </row>
    <row r="561">
      <c r="A561" s="119">
        <v>32.0</v>
      </c>
      <c r="B561" s="119">
        <v>38.0</v>
      </c>
      <c r="C561" s="129">
        <v>95331.0</v>
      </c>
      <c r="D561" s="129">
        <v>-327.0</v>
      </c>
      <c r="E561" s="130">
        <v>68.0</v>
      </c>
      <c r="F561" s="131">
        <v>56966.0</v>
      </c>
      <c r="G561" s="132">
        <v>30894.24</v>
      </c>
      <c r="H561" s="133">
        <v>586.33</v>
      </c>
      <c r="I561" s="24" t="s">
        <v>4671</v>
      </c>
    </row>
    <row r="562">
      <c r="A562" s="119">
        <v>52.0</v>
      </c>
      <c r="B562" s="119">
        <v>89.0</v>
      </c>
      <c r="C562" s="129">
        <v>45196.0</v>
      </c>
      <c r="D562" s="129">
        <v>-927.0</v>
      </c>
      <c r="E562" s="130">
        <v>-77.0</v>
      </c>
      <c r="F562" s="131">
        <v>81000.0</v>
      </c>
      <c r="G562" s="132">
        <v>463.69</v>
      </c>
      <c r="H562" s="133">
        <v>110.53</v>
      </c>
      <c r="I562" s="24" t="s">
        <v>4672</v>
      </c>
    </row>
    <row r="563">
      <c r="A563" s="119">
        <v>32.0</v>
      </c>
      <c r="B563" s="119">
        <v>42.0</v>
      </c>
      <c r="C563" s="129">
        <v>97000.0</v>
      </c>
      <c r="D563" s="129">
        <v>48727.0</v>
      </c>
      <c r="E563" s="130">
        <v>-7380.0</v>
      </c>
      <c r="F563" s="131">
        <v>-55.0</v>
      </c>
      <c r="G563" s="132">
        <v>639.66</v>
      </c>
      <c r="H563" s="133">
        <v>81.55</v>
      </c>
      <c r="I563" s="24" t="s">
        <v>4673</v>
      </c>
    </row>
    <row r="564">
      <c r="A564" s="119">
        <v>52.0</v>
      </c>
      <c r="B564" s="119">
        <v>91.0</v>
      </c>
      <c r="C564" s="129">
        <v>69296.0</v>
      </c>
      <c r="D564" s="129">
        <v>9544.0</v>
      </c>
      <c r="E564" s="130">
        <v>4361.0</v>
      </c>
      <c r="F564" s="131">
        <v>904.0</v>
      </c>
      <c r="G564" s="132">
        <v>683.9</v>
      </c>
      <c r="H564" s="133">
        <v>93.81</v>
      </c>
      <c r="I564" s="24" t="s">
        <v>4674</v>
      </c>
    </row>
    <row r="565">
      <c r="A565" s="119">
        <v>11.0</v>
      </c>
      <c r="B565" s="119">
        <v>96.0</v>
      </c>
      <c r="C565" s="129">
        <v>1103.0</v>
      </c>
      <c r="D565" s="129">
        <v>781.0</v>
      </c>
      <c r="E565" s="130">
        <v>123.0</v>
      </c>
      <c r="F565" s="131">
        <v>87.0</v>
      </c>
      <c r="G565" s="132">
        <v>24139.64</v>
      </c>
      <c r="H565" s="133">
        <v>-678.64</v>
      </c>
      <c r="I565" s="24" t="s">
        <v>4675</v>
      </c>
    </row>
    <row r="566">
      <c r="A566" s="119">
        <v>11.0</v>
      </c>
      <c r="B566" s="119">
        <v>97.0</v>
      </c>
      <c r="C566" s="129">
        <v>69499.0</v>
      </c>
      <c r="D566" s="129">
        <v>92930.0</v>
      </c>
      <c r="E566" s="130">
        <v>97799.0</v>
      </c>
      <c r="F566" s="131">
        <v>37.0</v>
      </c>
      <c r="G566" s="132">
        <v>-93815.56</v>
      </c>
      <c r="H566" s="133">
        <v>17497.15</v>
      </c>
      <c r="I566" s="24" t="s">
        <v>4676</v>
      </c>
    </row>
    <row r="567">
      <c r="A567" s="119">
        <v>11.0</v>
      </c>
      <c r="B567" s="119">
        <v>98.0</v>
      </c>
      <c r="C567" s="129">
        <v>59320.0</v>
      </c>
      <c r="D567" s="129">
        <v>68.0</v>
      </c>
      <c r="E567" s="130">
        <v>399782.0</v>
      </c>
      <c r="F567" s="131">
        <v>8392.0</v>
      </c>
      <c r="G567" s="132">
        <v>58930.91</v>
      </c>
      <c r="H567" s="133">
        <v>-18.2</v>
      </c>
      <c r="I567" s="24" t="s">
        <v>4677</v>
      </c>
    </row>
    <row r="568">
      <c r="A568" s="119">
        <v>73.0</v>
      </c>
      <c r="B568" s="119">
        <v>43.0</v>
      </c>
      <c r="C568" s="129">
        <v>56590.0</v>
      </c>
      <c r="D568" s="129">
        <v>40.0</v>
      </c>
      <c r="E568" s="130">
        <v>80.0</v>
      </c>
      <c r="F568" s="131">
        <v>884.0</v>
      </c>
      <c r="G568" s="132">
        <v>-81.29</v>
      </c>
      <c r="H568" s="133">
        <v>469.59</v>
      </c>
      <c r="I568" s="24" t="s">
        <v>4678</v>
      </c>
    </row>
    <row r="569">
      <c r="A569" s="119">
        <v>11.0</v>
      </c>
      <c r="B569" s="119">
        <v>95.0</v>
      </c>
      <c r="C569" s="129">
        <v>67418.0</v>
      </c>
      <c r="D569" s="129">
        <v>1668.0</v>
      </c>
      <c r="E569" s="130">
        <v>659266.0</v>
      </c>
      <c r="F569" s="131">
        <v>1693.0</v>
      </c>
      <c r="G569" s="132">
        <v>55318.9</v>
      </c>
      <c r="H569" s="133">
        <v>655.91</v>
      </c>
      <c r="I569" s="24" t="s">
        <v>4679</v>
      </c>
    </row>
    <row r="570">
      <c r="A570" s="119">
        <v>73.0</v>
      </c>
      <c r="B570" s="119">
        <v>41.0</v>
      </c>
      <c r="C570" s="129">
        <v>59364.0</v>
      </c>
      <c r="D570" s="129">
        <v>405.0</v>
      </c>
      <c r="E570" s="130">
        <v>392.0</v>
      </c>
      <c r="F570" s="131">
        <v>-714.0</v>
      </c>
      <c r="G570" s="132">
        <v>6172.3</v>
      </c>
      <c r="H570" s="133">
        <v>63649.56</v>
      </c>
      <c r="I570" s="24" t="s">
        <v>4680</v>
      </c>
    </row>
    <row r="571">
      <c r="A571" s="119">
        <v>73.0</v>
      </c>
      <c r="B571" s="119">
        <v>46.0</v>
      </c>
      <c r="C571" s="129">
        <v>40928.0</v>
      </c>
      <c r="D571" s="129">
        <v>-170.0</v>
      </c>
      <c r="E571" s="130">
        <v>533.0</v>
      </c>
      <c r="F571" s="131">
        <v>-62.0</v>
      </c>
      <c r="G571" s="132">
        <v>83716.79</v>
      </c>
      <c r="H571" s="133">
        <v>10.82</v>
      </c>
      <c r="I571" s="24" t="s">
        <v>4681</v>
      </c>
    </row>
    <row r="572">
      <c r="A572" s="119">
        <v>93.0</v>
      </c>
      <c r="B572" s="119">
        <v>94.0</v>
      </c>
      <c r="C572" s="129">
        <v>39948.0</v>
      </c>
      <c r="D572" s="129">
        <v>34.0</v>
      </c>
      <c r="E572" s="130">
        <v>391941.0</v>
      </c>
      <c r="F572" s="131">
        <v>2680.0</v>
      </c>
      <c r="G572" s="132">
        <v>-483.34</v>
      </c>
      <c r="H572" s="133">
        <v>9222.49</v>
      </c>
      <c r="I572" s="24" t="s">
        <v>4682</v>
      </c>
    </row>
    <row r="573">
      <c r="A573" s="119">
        <v>52.0</v>
      </c>
      <c r="B573" s="119">
        <v>98.0</v>
      </c>
      <c r="C573" s="129">
        <v>19391.0</v>
      </c>
      <c r="D573" s="129">
        <v>96.0</v>
      </c>
      <c r="E573" s="130">
        <v>175.0</v>
      </c>
      <c r="F573" s="131">
        <v>36.0</v>
      </c>
      <c r="G573" s="132">
        <v>-3101.83</v>
      </c>
      <c r="H573" s="133">
        <v>-29580.13</v>
      </c>
      <c r="I573" s="24" t="s">
        <v>4683</v>
      </c>
    </row>
    <row r="574">
      <c r="A574" s="119">
        <v>52.0</v>
      </c>
      <c r="B574" s="119">
        <v>92.0</v>
      </c>
      <c r="C574" s="129">
        <v>49312.0</v>
      </c>
      <c r="D574" s="129">
        <v>-90.0</v>
      </c>
      <c r="E574" s="130">
        <v>571.0</v>
      </c>
      <c r="F574" s="131">
        <v>208.0</v>
      </c>
      <c r="G574" s="132">
        <v>2461.69</v>
      </c>
      <c r="H574" s="133">
        <v>-85827.73</v>
      </c>
      <c r="I574" s="24" t="s">
        <v>4684</v>
      </c>
    </row>
    <row r="575">
      <c r="A575" s="119">
        <v>12.0</v>
      </c>
      <c r="B575" s="119">
        <v>6.0</v>
      </c>
      <c r="C575" s="129">
        <v>93533.0</v>
      </c>
      <c r="D575" s="129">
        <v>960.0</v>
      </c>
      <c r="E575" s="130">
        <v>2133.0</v>
      </c>
      <c r="F575" s="131">
        <v>46.0</v>
      </c>
      <c r="G575" s="132">
        <v>30888.45</v>
      </c>
      <c r="H575" s="133">
        <v>79.8</v>
      </c>
      <c r="I575" s="24" t="s">
        <v>4685</v>
      </c>
    </row>
    <row r="576">
      <c r="A576" s="119">
        <v>73.0</v>
      </c>
      <c r="B576" s="119">
        <v>51.0</v>
      </c>
      <c r="C576" s="129">
        <v>6005.0</v>
      </c>
      <c r="D576" s="129">
        <v>93.0</v>
      </c>
      <c r="E576" s="130">
        <v>434346.0</v>
      </c>
      <c r="F576" s="131">
        <v>-69.0</v>
      </c>
      <c r="G576" s="132">
        <v>92943.23</v>
      </c>
      <c r="H576" s="133">
        <v>-758.75</v>
      </c>
      <c r="I576" s="24" t="s">
        <v>4686</v>
      </c>
    </row>
    <row r="577">
      <c r="A577" s="119">
        <v>53.0</v>
      </c>
      <c r="B577" s="119">
        <v>9.0</v>
      </c>
      <c r="C577" s="129">
        <v>96060.0</v>
      </c>
      <c r="D577" s="129">
        <v>67.0</v>
      </c>
      <c r="E577" s="130">
        <v>71423.0</v>
      </c>
      <c r="F577" s="131">
        <v>39.0</v>
      </c>
      <c r="G577" s="132">
        <v>96918.89</v>
      </c>
      <c r="H577" s="133">
        <v>-16.18</v>
      </c>
      <c r="I577" s="24" t="s">
        <v>4687</v>
      </c>
    </row>
    <row r="578">
      <c r="A578" s="119">
        <v>12.0</v>
      </c>
      <c r="B578" s="119">
        <v>15.0</v>
      </c>
      <c r="C578" s="129">
        <v>45157.0</v>
      </c>
      <c r="D578" s="129">
        <v>-6685.0</v>
      </c>
      <c r="E578" s="130">
        <v>65575.0</v>
      </c>
      <c r="F578" s="131">
        <v>179.0</v>
      </c>
      <c r="G578" s="132">
        <v>24862.13</v>
      </c>
      <c r="H578" s="133">
        <v>6817.79</v>
      </c>
      <c r="I578" s="24" t="s">
        <v>4688</v>
      </c>
    </row>
    <row r="579">
      <c r="A579" s="119">
        <v>12.0</v>
      </c>
      <c r="B579" s="119">
        <v>16.0</v>
      </c>
      <c r="C579" s="129">
        <v>43158.0</v>
      </c>
      <c r="D579" s="129">
        <v>73667.0</v>
      </c>
      <c r="E579" s="130">
        <v>489.0</v>
      </c>
      <c r="F579" s="131">
        <v>-6349.0</v>
      </c>
      <c r="G579" s="132">
        <v>80390.63</v>
      </c>
      <c r="H579" s="133">
        <v>-75306.42</v>
      </c>
      <c r="I579" s="24" t="s">
        <v>4689</v>
      </c>
    </row>
    <row r="580">
      <c r="A580" s="119">
        <v>12.0</v>
      </c>
      <c r="B580" s="119">
        <v>17.0</v>
      </c>
      <c r="C580" s="129">
        <v>32298.0</v>
      </c>
      <c r="D580" s="129">
        <v>591.0</v>
      </c>
      <c r="E580" s="130">
        <v>876022.0</v>
      </c>
      <c r="F580" s="131">
        <v>9878.0</v>
      </c>
      <c r="G580" s="132">
        <v>264.36</v>
      </c>
      <c r="H580" s="133">
        <v>19164.71</v>
      </c>
      <c r="I580" s="24" t="s">
        <v>4690</v>
      </c>
    </row>
    <row r="581">
      <c r="A581" s="119">
        <v>53.0</v>
      </c>
      <c r="B581" s="119">
        <v>12.0</v>
      </c>
      <c r="C581" s="129">
        <v>23752.0</v>
      </c>
      <c r="D581" s="129">
        <v>169.0</v>
      </c>
      <c r="E581" s="130">
        <v>69014.0</v>
      </c>
      <c r="F581" s="131">
        <v>-40898.0</v>
      </c>
      <c r="G581" s="132">
        <v>-83.7</v>
      </c>
      <c r="H581" s="133">
        <v>605.85</v>
      </c>
      <c r="I581" s="24" t="s">
        <v>4691</v>
      </c>
    </row>
    <row r="582">
      <c r="A582" s="119">
        <v>94.0</v>
      </c>
      <c r="B582" s="119">
        <v>10.0</v>
      </c>
      <c r="C582" s="129">
        <v>12122.0</v>
      </c>
      <c r="D582" s="129">
        <v>28231.0</v>
      </c>
      <c r="E582" s="130">
        <v>178.0</v>
      </c>
      <c r="F582" s="131">
        <v>364.0</v>
      </c>
      <c r="G582" s="132">
        <v>104.99</v>
      </c>
      <c r="H582" s="133">
        <v>168.9</v>
      </c>
      <c r="I582" s="24" t="s">
        <v>4692</v>
      </c>
    </row>
    <row r="583">
      <c r="A583" s="119">
        <v>32.0</v>
      </c>
      <c r="B583" s="119">
        <v>66.0</v>
      </c>
      <c r="C583" s="129">
        <v>54558.0</v>
      </c>
      <c r="D583" s="129">
        <v>25.0</v>
      </c>
      <c r="E583" s="130">
        <v>63326.0</v>
      </c>
      <c r="F583" s="131">
        <v>1695.0</v>
      </c>
      <c r="G583" s="132">
        <v>39.1</v>
      </c>
      <c r="H583" s="133">
        <v>-77.43</v>
      </c>
      <c r="I583" s="24" t="s">
        <v>4693</v>
      </c>
    </row>
    <row r="584">
      <c r="A584" s="119">
        <v>94.0</v>
      </c>
      <c r="B584" s="119">
        <v>15.0</v>
      </c>
      <c r="C584" s="129">
        <v>51238.0</v>
      </c>
      <c r="D584" s="129">
        <v>95315.0</v>
      </c>
      <c r="E584" s="130">
        <v>9969.0</v>
      </c>
      <c r="F584" s="131">
        <v>62.0</v>
      </c>
      <c r="G584" s="132">
        <v>98.73</v>
      </c>
      <c r="H584" s="133">
        <v>-9226.81</v>
      </c>
      <c r="I584" s="24" t="s">
        <v>4694</v>
      </c>
    </row>
    <row r="585">
      <c r="A585" s="119">
        <v>32.0</v>
      </c>
      <c r="B585" s="119">
        <v>74.0</v>
      </c>
      <c r="C585" s="129">
        <v>61824.0</v>
      </c>
      <c r="D585" s="129">
        <v>4711.0</v>
      </c>
      <c r="E585" s="130">
        <v>423190.0</v>
      </c>
      <c r="F585" s="131">
        <v>-630.0</v>
      </c>
      <c r="G585" s="132">
        <v>-55103.43</v>
      </c>
      <c r="H585" s="133">
        <v>7529.26</v>
      </c>
      <c r="I585" s="24" t="s">
        <v>4695</v>
      </c>
    </row>
    <row r="586">
      <c r="A586" s="119">
        <v>12.0</v>
      </c>
      <c r="B586" s="119">
        <v>30.0</v>
      </c>
      <c r="C586" s="129">
        <v>3421.0</v>
      </c>
      <c r="D586" s="129">
        <v>-98.0</v>
      </c>
      <c r="E586" s="130">
        <v>52385.0</v>
      </c>
      <c r="F586" s="131">
        <v>39.0</v>
      </c>
      <c r="G586" s="132">
        <v>7445.58</v>
      </c>
      <c r="H586" s="133">
        <v>55923.41</v>
      </c>
      <c r="I586" s="24" t="s">
        <v>4696</v>
      </c>
    </row>
    <row r="587">
      <c r="A587" s="119">
        <v>53.0</v>
      </c>
      <c r="B587" s="119">
        <v>30.0</v>
      </c>
      <c r="C587" s="129">
        <v>16431.0</v>
      </c>
      <c r="D587" s="129">
        <v>-50.0</v>
      </c>
      <c r="E587" s="130">
        <v>93.0</v>
      </c>
      <c r="F587" s="131">
        <v>603.0</v>
      </c>
      <c r="G587" s="132">
        <v>62.5</v>
      </c>
      <c r="H587" s="133">
        <v>-651.6</v>
      </c>
      <c r="I587" s="24" t="s">
        <v>4697</v>
      </c>
    </row>
    <row r="588">
      <c r="A588" s="119">
        <v>32.0</v>
      </c>
      <c r="B588" s="119">
        <v>85.0</v>
      </c>
      <c r="C588" s="129">
        <v>21715.0</v>
      </c>
      <c r="D588" s="129">
        <v>-62757.0</v>
      </c>
      <c r="E588" s="130">
        <v>554.0</v>
      </c>
      <c r="F588" s="131">
        <v>809.0</v>
      </c>
      <c r="G588" s="132">
        <v>41227.46</v>
      </c>
      <c r="H588" s="133">
        <v>10.48</v>
      </c>
      <c r="I588" s="24" t="s">
        <v>4698</v>
      </c>
    </row>
    <row r="589">
      <c r="A589" s="119">
        <v>53.0</v>
      </c>
      <c r="B589" s="119">
        <v>34.0</v>
      </c>
      <c r="C589" s="129">
        <v>39238.0</v>
      </c>
      <c r="D589" s="129">
        <v>7570.0</v>
      </c>
      <c r="E589" s="130">
        <v>2239.0</v>
      </c>
      <c r="F589" s="131">
        <v>83649.0</v>
      </c>
      <c r="G589" s="132">
        <v>-46.36</v>
      </c>
      <c r="H589" s="133">
        <v>654.71</v>
      </c>
      <c r="I589" s="24" t="s">
        <v>4699</v>
      </c>
    </row>
    <row r="590">
      <c r="A590" s="119">
        <v>12.0</v>
      </c>
      <c r="B590" s="119">
        <v>37.0</v>
      </c>
      <c r="C590" s="129">
        <v>52447.0</v>
      </c>
      <c r="D590" s="129">
        <v>-31.0</v>
      </c>
      <c r="E590" s="130">
        <v>47363.0</v>
      </c>
      <c r="F590" s="131">
        <v>82082.0</v>
      </c>
      <c r="G590" s="132">
        <v>51.77</v>
      </c>
      <c r="H590" s="133">
        <v>51433.61</v>
      </c>
      <c r="I590" s="24" t="s">
        <v>4700</v>
      </c>
    </row>
    <row r="591">
      <c r="A591" s="119">
        <v>94.0</v>
      </c>
      <c r="B591" s="119">
        <v>31.0</v>
      </c>
      <c r="C591" s="129">
        <v>61245.0</v>
      </c>
      <c r="D591" s="129">
        <v>750.0</v>
      </c>
      <c r="E591" s="130">
        <v>87075.0</v>
      </c>
      <c r="F591" s="131">
        <v>-2259.0</v>
      </c>
      <c r="G591" s="132">
        <v>23993.68</v>
      </c>
      <c r="H591" s="133">
        <v>382.41</v>
      </c>
      <c r="I591" s="24" t="s">
        <v>4701</v>
      </c>
    </row>
    <row r="592">
      <c r="A592" s="119">
        <v>94.0</v>
      </c>
      <c r="B592" s="119">
        <v>39.0</v>
      </c>
      <c r="C592" s="129">
        <v>23160.0</v>
      </c>
      <c r="D592" s="129">
        <v>-689.0</v>
      </c>
      <c r="E592" s="130">
        <v>29.0</v>
      </c>
      <c r="F592" s="131">
        <v>70.0</v>
      </c>
      <c r="G592" s="132">
        <v>1870.62</v>
      </c>
      <c r="H592" s="133">
        <v>3103.4</v>
      </c>
      <c r="I592" s="24" t="s">
        <v>4702</v>
      </c>
    </row>
    <row r="593">
      <c r="A593" s="119">
        <v>73.0</v>
      </c>
      <c r="B593" s="119">
        <v>92.0</v>
      </c>
      <c r="C593" s="129">
        <v>6968.0</v>
      </c>
      <c r="D593" s="129">
        <v>64629.0</v>
      </c>
      <c r="E593" s="130">
        <v>-96.0</v>
      </c>
      <c r="F593" s="131">
        <v>97818.0</v>
      </c>
      <c r="G593" s="132">
        <v>71102.32</v>
      </c>
      <c r="H593" s="133">
        <v>279.23</v>
      </c>
      <c r="I593" s="24" t="s">
        <v>4703</v>
      </c>
    </row>
    <row r="594">
      <c r="A594" s="119">
        <v>94.0</v>
      </c>
      <c r="B594" s="119">
        <v>41.0</v>
      </c>
      <c r="C594" s="129">
        <v>21893.0</v>
      </c>
      <c r="D594" s="129">
        <v>50.0</v>
      </c>
      <c r="E594" s="130">
        <v>846.0</v>
      </c>
      <c r="F594" s="131">
        <v>3968.0</v>
      </c>
      <c r="G594" s="132">
        <v>41824.0</v>
      </c>
      <c r="H594" s="133">
        <v>999.26</v>
      </c>
      <c r="I594" s="24" t="s">
        <v>4704</v>
      </c>
    </row>
    <row r="595">
      <c r="A595" s="119">
        <v>32.0</v>
      </c>
      <c r="B595" s="119">
        <v>99.0</v>
      </c>
      <c r="C595" s="129">
        <v>36705.0</v>
      </c>
      <c r="D595" s="129">
        <v>98.0</v>
      </c>
      <c r="E595" s="130">
        <v>145247.0</v>
      </c>
      <c r="F595" s="131">
        <v>-978.0</v>
      </c>
      <c r="G595" s="132">
        <v>13534.83</v>
      </c>
      <c r="H595" s="133">
        <v>1354.44</v>
      </c>
      <c r="I595" s="24" t="s">
        <v>4705</v>
      </c>
    </row>
    <row r="596">
      <c r="A596" s="119">
        <v>12.0</v>
      </c>
      <c r="B596" s="119">
        <v>52.0</v>
      </c>
      <c r="C596" s="129">
        <v>71354.0</v>
      </c>
      <c r="D596" s="129">
        <v>62309.0</v>
      </c>
      <c r="E596" s="130">
        <v>-201442.0</v>
      </c>
      <c r="F596" s="131">
        <v>7254.0</v>
      </c>
      <c r="G596" s="132">
        <v>-536.79</v>
      </c>
      <c r="H596" s="133">
        <v>-704.24</v>
      </c>
      <c r="I596" s="24" t="s">
        <v>4706</v>
      </c>
    </row>
    <row r="597">
      <c r="A597" s="119">
        <v>33.0</v>
      </c>
      <c r="B597" s="119">
        <v>1.0</v>
      </c>
      <c r="C597" s="129">
        <v>47029.0</v>
      </c>
      <c r="D597" s="129">
        <v>68872.0</v>
      </c>
      <c r="E597" s="130">
        <v>3748.0</v>
      </c>
      <c r="F597" s="131">
        <v>-300.0</v>
      </c>
      <c r="G597" s="132">
        <v>15127.95</v>
      </c>
      <c r="H597" s="133">
        <v>341.63</v>
      </c>
      <c r="I597" s="24" t="s">
        <v>4707</v>
      </c>
    </row>
    <row r="598">
      <c r="A598" s="119">
        <v>12.0</v>
      </c>
      <c r="B598" s="119">
        <v>55.0</v>
      </c>
      <c r="C598" s="129">
        <v>34873.0</v>
      </c>
      <c r="D598" s="129">
        <v>-6013.0</v>
      </c>
      <c r="E598" s="130">
        <v>37.0</v>
      </c>
      <c r="F598" s="131">
        <v>-9832.0</v>
      </c>
      <c r="G598" s="132">
        <v>36.79</v>
      </c>
      <c r="H598" s="133">
        <v>-690.22</v>
      </c>
      <c r="I598" s="24" t="s">
        <v>4708</v>
      </c>
    </row>
    <row r="599">
      <c r="A599" s="119">
        <v>33.0</v>
      </c>
      <c r="B599" s="119">
        <v>4.0</v>
      </c>
      <c r="C599" s="129">
        <v>84442.0</v>
      </c>
      <c r="D599" s="129">
        <v>9438.0</v>
      </c>
      <c r="E599" s="130">
        <v>83433.0</v>
      </c>
      <c r="F599" s="131">
        <v>6474.0</v>
      </c>
      <c r="G599" s="132">
        <v>193.41</v>
      </c>
      <c r="H599" s="133">
        <v>43998.62</v>
      </c>
      <c r="I599" s="24" t="s">
        <v>4709</v>
      </c>
    </row>
    <row r="600">
      <c r="A600" s="119">
        <v>74.0</v>
      </c>
      <c r="B600" s="119">
        <v>5.0</v>
      </c>
      <c r="C600" s="129">
        <v>52321.0</v>
      </c>
      <c r="D600" s="129">
        <v>4881.0</v>
      </c>
      <c r="E600" s="130">
        <v>97.0</v>
      </c>
      <c r="F600" s="131">
        <v>86.0</v>
      </c>
      <c r="G600" s="132">
        <v>990.13</v>
      </c>
      <c r="H600" s="133">
        <v>8207.74</v>
      </c>
      <c r="I600" s="24" t="s">
        <v>4710</v>
      </c>
    </row>
    <row r="601">
      <c r="A601" s="119">
        <v>94.0</v>
      </c>
      <c r="B601" s="119">
        <v>54.0</v>
      </c>
      <c r="C601" s="129">
        <v>85641.0</v>
      </c>
      <c r="D601" s="129">
        <v>307.0</v>
      </c>
      <c r="E601" s="130">
        <v>-74.0</v>
      </c>
      <c r="F601" s="131">
        <v>-912.0</v>
      </c>
      <c r="G601" s="132">
        <v>4707.37</v>
      </c>
      <c r="H601" s="133">
        <v>958.9</v>
      </c>
      <c r="I601" s="24" t="s">
        <v>4711</v>
      </c>
    </row>
    <row r="602">
      <c r="A602" s="119">
        <v>12.0</v>
      </c>
      <c r="B602" s="119">
        <v>68.0</v>
      </c>
      <c r="C602" s="129">
        <v>76475.0</v>
      </c>
      <c r="D602" s="129">
        <v>10.0</v>
      </c>
      <c r="E602" s="130">
        <v>78709.0</v>
      </c>
      <c r="F602" s="131">
        <v>51.0</v>
      </c>
      <c r="G602" s="132">
        <v>-207.73</v>
      </c>
      <c r="H602" s="133">
        <v>-6456.58</v>
      </c>
      <c r="I602" s="24" t="s">
        <v>4712</v>
      </c>
    </row>
    <row r="603">
      <c r="A603" s="119">
        <v>53.0</v>
      </c>
      <c r="B603" s="119">
        <v>65.0</v>
      </c>
      <c r="C603" s="129">
        <v>73542.0</v>
      </c>
      <c r="D603" s="129">
        <v>-65369.0</v>
      </c>
      <c r="E603" s="130">
        <v>324.0</v>
      </c>
      <c r="F603" s="131">
        <v>81.0</v>
      </c>
      <c r="G603" s="132">
        <v>58517.0</v>
      </c>
      <c r="H603" s="133">
        <v>-35.43</v>
      </c>
      <c r="I603" s="24" t="s">
        <v>4713</v>
      </c>
    </row>
    <row r="604">
      <c r="A604" s="119">
        <v>74.0</v>
      </c>
      <c r="B604" s="119">
        <v>13.0</v>
      </c>
      <c r="C604" s="129">
        <v>4260.0</v>
      </c>
      <c r="D604" s="129">
        <v>62.0</v>
      </c>
      <c r="E604" s="130">
        <v>99876.0</v>
      </c>
      <c r="F604" s="131">
        <v>-941.0</v>
      </c>
      <c r="G604" s="132">
        <v>56656.25</v>
      </c>
      <c r="H604" s="133">
        <v>280.3</v>
      </c>
      <c r="I604" s="24" t="s">
        <v>4714</v>
      </c>
    </row>
    <row r="605">
      <c r="A605" s="119">
        <v>33.0</v>
      </c>
      <c r="B605" s="119">
        <v>18.0</v>
      </c>
      <c r="C605" s="129">
        <v>33239.0</v>
      </c>
      <c r="D605" s="129">
        <v>3503.0</v>
      </c>
      <c r="E605" s="130">
        <v>5948.0</v>
      </c>
      <c r="F605" s="131">
        <v>1442.0</v>
      </c>
      <c r="G605" s="132">
        <v>90583.71</v>
      </c>
      <c r="H605" s="133">
        <v>64224.89</v>
      </c>
      <c r="I605" s="24" t="s">
        <v>4715</v>
      </c>
    </row>
    <row r="606">
      <c r="A606" s="119">
        <v>33.0</v>
      </c>
      <c r="B606" s="119">
        <v>17.0</v>
      </c>
      <c r="C606" s="129">
        <v>20674.0</v>
      </c>
      <c r="D606" s="129">
        <v>-23683.0</v>
      </c>
      <c r="E606" s="130">
        <v>120.0</v>
      </c>
      <c r="F606" s="131">
        <v>85433.0</v>
      </c>
      <c r="G606" s="132">
        <v>735.9</v>
      </c>
      <c r="H606" s="133">
        <v>-320.13</v>
      </c>
      <c r="I606" s="24" t="s">
        <v>4716</v>
      </c>
    </row>
    <row r="607">
      <c r="A607" s="119">
        <v>94.0</v>
      </c>
      <c r="B607" s="119">
        <v>66.0</v>
      </c>
      <c r="C607" s="129">
        <v>76159.0</v>
      </c>
      <c r="D607" s="129">
        <v>-7084.0</v>
      </c>
      <c r="E607" s="130">
        <v>29271.0</v>
      </c>
      <c r="F607" s="131">
        <v>45.0</v>
      </c>
      <c r="G607" s="132">
        <v>-14487.24</v>
      </c>
      <c r="H607" s="133">
        <v>26957.7</v>
      </c>
      <c r="I607" s="24" t="s">
        <v>4717</v>
      </c>
    </row>
    <row r="608">
      <c r="A608" s="119">
        <v>33.0</v>
      </c>
      <c r="B608" s="119">
        <v>24.0</v>
      </c>
      <c r="C608" s="129">
        <v>35296.0</v>
      </c>
      <c r="D608" s="129">
        <v>93.0</v>
      </c>
      <c r="E608" s="130">
        <v>803901.0</v>
      </c>
      <c r="F608" s="131">
        <v>7798.0</v>
      </c>
      <c r="G608" s="132">
        <v>731.29</v>
      </c>
      <c r="H608" s="133">
        <v>2592.8</v>
      </c>
      <c r="I608" s="24" t="s">
        <v>4718</v>
      </c>
    </row>
    <row r="609">
      <c r="A609" s="119">
        <v>74.0</v>
      </c>
      <c r="B609" s="119">
        <v>21.0</v>
      </c>
      <c r="C609" s="129">
        <v>3468.0</v>
      </c>
      <c r="D609" s="129">
        <v>5612.0</v>
      </c>
      <c r="E609" s="130">
        <v>13231.0</v>
      </c>
      <c r="F609" s="131">
        <v>63964.0</v>
      </c>
      <c r="G609" s="132">
        <v>11.77</v>
      </c>
      <c r="H609" s="133">
        <v>-6825.3</v>
      </c>
      <c r="I609" s="24" t="s">
        <v>4719</v>
      </c>
    </row>
    <row r="610">
      <c r="A610" s="119">
        <v>74.0</v>
      </c>
      <c r="B610" s="119">
        <v>22.0</v>
      </c>
      <c r="C610" s="129">
        <v>15889.0</v>
      </c>
      <c r="D610" s="129">
        <v>26623.0</v>
      </c>
      <c r="E610" s="130">
        <v>766.0</v>
      </c>
      <c r="F610" s="131">
        <v>43368.0</v>
      </c>
      <c r="G610" s="132">
        <v>46165.83</v>
      </c>
      <c r="H610" s="133">
        <v>842.42</v>
      </c>
      <c r="I610" s="24" t="s">
        <v>4720</v>
      </c>
    </row>
    <row r="611">
      <c r="A611" s="119">
        <v>33.0</v>
      </c>
      <c r="B611" s="119">
        <v>27.0</v>
      </c>
      <c r="C611" s="129">
        <v>18458.0</v>
      </c>
      <c r="D611" s="129">
        <v>59.0</v>
      </c>
      <c r="E611" s="130">
        <v>58.0</v>
      </c>
      <c r="F611" s="131">
        <v>-8077.0</v>
      </c>
      <c r="G611" s="132">
        <v>70325.89</v>
      </c>
      <c r="H611" s="133">
        <v>8214.27</v>
      </c>
      <c r="I611" s="24" t="s">
        <v>4721</v>
      </c>
    </row>
    <row r="612">
      <c r="A612" s="119">
        <v>33.0</v>
      </c>
      <c r="B612" s="119">
        <v>28.0</v>
      </c>
      <c r="C612" s="129">
        <v>69899.0</v>
      </c>
      <c r="D612" s="129">
        <v>-8644.0</v>
      </c>
      <c r="E612" s="130">
        <v>920.0</v>
      </c>
      <c r="F612" s="131">
        <v>-372.0</v>
      </c>
      <c r="G612" s="132">
        <v>634.67</v>
      </c>
      <c r="H612" s="133">
        <v>24644.79</v>
      </c>
      <c r="I612" s="24" t="s">
        <v>4722</v>
      </c>
    </row>
    <row r="613">
      <c r="A613" s="119">
        <v>33.0</v>
      </c>
      <c r="B613" s="119">
        <v>29.0</v>
      </c>
      <c r="C613" s="129">
        <v>77813.0</v>
      </c>
      <c r="D613" s="129">
        <v>-7422.0</v>
      </c>
      <c r="E613" s="130">
        <v>-426.0</v>
      </c>
      <c r="F613" s="131">
        <v>1894.0</v>
      </c>
      <c r="G613" s="132">
        <v>6682.29</v>
      </c>
      <c r="H613" s="133">
        <v>27681.7</v>
      </c>
      <c r="I613" s="24" t="s">
        <v>4723</v>
      </c>
    </row>
    <row r="614">
      <c r="A614" s="119">
        <v>12.0</v>
      </c>
      <c r="B614" s="119">
        <v>82.0</v>
      </c>
      <c r="C614" s="129">
        <v>96205.0</v>
      </c>
      <c r="D614" s="129">
        <v>1468.0</v>
      </c>
      <c r="E614" s="130">
        <v>81588.0</v>
      </c>
      <c r="F614" s="131">
        <v>88314.0</v>
      </c>
      <c r="G614" s="132">
        <v>91.5</v>
      </c>
      <c r="H614" s="133">
        <v>818.9</v>
      </c>
      <c r="I614" s="24" t="s">
        <v>4724</v>
      </c>
    </row>
    <row r="615">
      <c r="A615" s="119">
        <v>74.0</v>
      </c>
      <c r="B615" s="119">
        <v>27.0</v>
      </c>
      <c r="C615" s="129">
        <v>77822.0</v>
      </c>
      <c r="D615" s="129">
        <v>317.0</v>
      </c>
      <c r="E615" s="130">
        <v>18.0</v>
      </c>
      <c r="F615" s="131">
        <v>66392.0</v>
      </c>
      <c r="G615" s="132">
        <v>9113.24</v>
      </c>
      <c r="H615" s="133">
        <v>38.92</v>
      </c>
      <c r="I615" s="24" t="s">
        <v>4725</v>
      </c>
    </row>
    <row r="616">
      <c r="A616" s="119">
        <v>53.0</v>
      </c>
      <c r="B616" s="119">
        <v>77.0</v>
      </c>
      <c r="C616" s="129">
        <v>17248.0</v>
      </c>
      <c r="D616" s="129">
        <v>-43.0</v>
      </c>
      <c r="E616" s="130">
        <v>52.0</v>
      </c>
      <c r="F616" s="131">
        <v>-90312.0</v>
      </c>
      <c r="G616" s="132">
        <v>-9252.5</v>
      </c>
      <c r="H616" s="133">
        <v>-675.59</v>
      </c>
      <c r="I616" s="24" t="s">
        <v>4726</v>
      </c>
    </row>
    <row r="617">
      <c r="A617" s="119">
        <v>74.0</v>
      </c>
      <c r="B617" s="119">
        <v>25.0</v>
      </c>
      <c r="C617" s="129">
        <v>73654.0</v>
      </c>
      <c r="D617" s="129">
        <v>45341.0</v>
      </c>
      <c r="E617" s="130">
        <v>942024.0</v>
      </c>
      <c r="F617" s="131">
        <v>4507.0</v>
      </c>
      <c r="G617" s="132">
        <v>-773.48</v>
      </c>
      <c r="H617" s="133">
        <v>43785.37</v>
      </c>
      <c r="I617" s="24" t="s">
        <v>4727</v>
      </c>
    </row>
    <row r="618">
      <c r="A618" s="119">
        <v>33.0</v>
      </c>
      <c r="B618" s="119">
        <v>35.0</v>
      </c>
      <c r="C618" s="129">
        <v>8931.0</v>
      </c>
      <c r="D618" s="129">
        <v>60474.0</v>
      </c>
      <c r="E618" s="130">
        <v>-93919.0</v>
      </c>
      <c r="F618" s="131">
        <v>186.0</v>
      </c>
      <c r="G618" s="132">
        <v>69515.6</v>
      </c>
      <c r="H618" s="133">
        <v>7493.14</v>
      </c>
      <c r="I618" s="24" t="s">
        <v>4728</v>
      </c>
    </row>
    <row r="619">
      <c r="A619" s="119">
        <v>53.0</v>
      </c>
      <c r="B619" s="119">
        <v>84.0</v>
      </c>
      <c r="C619" s="129">
        <v>56646.0</v>
      </c>
      <c r="D619" s="129">
        <v>-15.0</v>
      </c>
      <c r="E619" s="130">
        <v>-6993.0</v>
      </c>
      <c r="F619" s="131">
        <v>-72315.0</v>
      </c>
      <c r="G619" s="132">
        <v>77848.99</v>
      </c>
      <c r="H619" s="133">
        <v>8590.63</v>
      </c>
      <c r="I619" s="24" t="s">
        <v>4729</v>
      </c>
    </row>
    <row r="620">
      <c r="A620" s="119">
        <v>12.0</v>
      </c>
      <c r="B620" s="119">
        <v>87.0</v>
      </c>
      <c r="C620" s="129">
        <v>34334.0</v>
      </c>
      <c r="D620" s="129">
        <v>-76352.0</v>
      </c>
      <c r="E620" s="130">
        <v>-78750.0</v>
      </c>
      <c r="F620" s="131">
        <v>619.0</v>
      </c>
      <c r="G620" s="132">
        <v>6250.44</v>
      </c>
      <c r="H620" s="133">
        <v>51.19</v>
      </c>
      <c r="I620" s="24" t="s">
        <v>4730</v>
      </c>
    </row>
    <row r="621">
      <c r="A621" s="119">
        <v>94.0</v>
      </c>
      <c r="B621" s="119">
        <v>83.0</v>
      </c>
      <c r="C621" s="129">
        <v>20119.0</v>
      </c>
      <c r="D621" s="129">
        <v>4468.0</v>
      </c>
      <c r="E621" s="130">
        <v>51.0</v>
      </c>
      <c r="F621" s="131">
        <v>-21476.0</v>
      </c>
      <c r="G621" s="132">
        <v>4987.6</v>
      </c>
      <c r="H621" s="133">
        <v>92199.5</v>
      </c>
      <c r="I621" s="24" t="s">
        <v>4731</v>
      </c>
    </row>
    <row r="622">
      <c r="A622" s="119">
        <v>53.0</v>
      </c>
      <c r="B622" s="119">
        <v>87.0</v>
      </c>
      <c r="C622" s="129">
        <v>55156.0</v>
      </c>
      <c r="D622" s="129">
        <v>-80.0</v>
      </c>
      <c r="E622" s="130">
        <v>-609961.0</v>
      </c>
      <c r="F622" s="131">
        <v>-38.0</v>
      </c>
      <c r="G622" s="132">
        <v>722.77</v>
      </c>
      <c r="H622" s="133">
        <v>-28936.71</v>
      </c>
      <c r="I622" s="24" t="s">
        <v>4732</v>
      </c>
    </row>
    <row r="623">
      <c r="A623" s="119">
        <v>74.0</v>
      </c>
      <c r="B623" s="119">
        <v>38.0</v>
      </c>
      <c r="C623" s="129">
        <v>71955.0</v>
      </c>
      <c r="D623" s="129">
        <v>68.0</v>
      </c>
      <c r="E623" s="130">
        <v>83575.0</v>
      </c>
      <c r="F623" s="131">
        <v>440.0</v>
      </c>
      <c r="G623" s="132">
        <v>355.62</v>
      </c>
      <c r="H623" s="133">
        <v>9048.46</v>
      </c>
      <c r="I623" s="24" t="s">
        <v>4733</v>
      </c>
    </row>
    <row r="624">
      <c r="A624" s="119">
        <v>94.0</v>
      </c>
      <c r="B624" s="119">
        <v>88.0</v>
      </c>
      <c r="C624" s="129">
        <v>98917.0</v>
      </c>
      <c r="D624" s="129">
        <v>36.0</v>
      </c>
      <c r="E624" s="130">
        <v>663.0</v>
      </c>
      <c r="F624" s="131">
        <v>57440.0</v>
      </c>
      <c r="G624" s="132">
        <v>91395.47</v>
      </c>
      <c r="H624" s="133">
        <v>3759.72</v>
      </c>
      <c r="I624" s="24" t="s">
        <v>4734</v>
      </c>
    </row>
    <row r="625">
      <c r="A625" s="119">
        <v>74.0</v>
      </c>
      <c r="B625" s="119">
        <v>44.0</v>
      </c>
      <c r="C625" s="129">
        <v>83672.0</v>
      </c>
      <c r="D625" s="129">
        <v>794.0</v>
      </c>
      <c r="E625" s="130">
        <v>11583.0</v>
      </c>
      <c r="F625" s="131">
        <v>-4140.0</v>
      </c>
      <c r="G625" s="132">
        <v>98922.6</v>
      </c>
      <c r="H625" s="133">
        <v>29902.55</v>
      </c>
      <c r="I625" s="24" t="s">
        <v>4735</v>
      </c>
    </row>
    <row r="626">
      <c r="A626" s="119">
        <v>94.0</v>
      </c>
      <c r="B626" s="119">
        <v>94.0</v>
      </c>
      <c r="C626" s="129">
        <v>78780.0</v>
      </c>
      <c r="D626" s="129">
        <v>-8422.0</v>
      </c>
      <c r="E626" s="130">
        <v>88158.0</v>
      </c>
      <c r="F626" s="131">
        <v>8843.0</v>
      </c>
      <c r="G626" s="132">
        <v>27.7</v>
      </c>
      <c r="H626" s="133">
        <v>139.8</v>
      </c>
      <c r="I626" s="24" t="s">
        <v>4736</v>
      </c>
    </row>
    <row r="627">
      <c r="A627" s="119">
        <v>94.0</v>
      </c>
      <c r="B627" s="119">
        <v>97.0</v>
      </c>
      <c r="C627" s="129">
        <v>26886.0</v>
      </c>
      <c r="D627" s="129">
        <v>87387.0</v>
      </c>
      <c r="E627" s="130">
        <v>-354631.0</v>
      </c>
      <c r="F627" s="131">
        <v>844.0</v>
      </c>
      <c r="G627" s="132">
        <v>4063.25</v>
      </c>
      <c r="H627" s="133">
        <v>712.55</v>
      </c>
      <c r="I627" s="24" t="s">
        <v>4737</v>
      </c>
    </row>
    <row r="628">
      <c r="A628" s="119">
        <v>95.0</v>
      </c>
      <c r="B628" s="119">
        <v>1.0</v>
      </c>
      <c r="C628" s="129">
        <v>98509.0</v>
      </c>
      <c r="D628" s="129">
        <v>58.0</v>
      </c>
      <c r="E628" s="130">
        <v>382.0</v>
      </c>
      <c r="F628" s="131">
        <v>37541.0</v>
      </c>
      <c r="G628" s="132">
        <v>28961.83</v>
      </c>
      <c r="H628" s="133">
        <v>27484.39</v>
      </c>
      <c r="I628" s="24" t="s">
        <v>4738</v>
      </c>
    </row>
    <row r="629">
      <c r="A629" s="119">
        <v>33.0</v>
      </c>
      <c r="B629" s="119">
        <v>57.0</v>
      </c>
      <c r="C629" s="129">
        <v>37590.0</v>
      </c>
      <c r="D629" s="129">
        <v>7414.0</v>
      </c>
      <c r="E629" s="130">
        <v>13.0</v>
      </c>
      <c r="F629" s="131">
        <v>2187.0</v>
      </c>
      <c r="G629" s="132">
        <v>-2641.32</v>
      </c>
      <c r="H629" s="133">
        <v>23.45</v>
      </c>
      <c r="I629" s="24" t="s">
        <v>4739</v>
      </c>
    </row>
    <row r="630">
      <c r="A630" s="119">
        <v>33.0</v>
      </c>
      <c r="B630" s="119">
        <v>62.0</v>
      </c>
      <c r="C630" s="129">
        <v>6030.0</v>
      </c>
      <c r="D630" s="129">
        <v>90478.0</v>
      </c>
      <c r="E630" s="130">
        <v>38208.0</v>
      </c>
      <c r="F630" s="131">
        <v>72.0</v>
      </c>
      <c r="G630" s="132">
        <v>986.68</v>
      </c>
      <c r="H630" s="133">
        <v>11.51</v>
      </c>
      <c r="I630" s="24" t="s">
        <v>4740</v>
      </c>
    </row>
    <row r="631">
      <c r="A631" s="119">
        <v>33.0</v>
      </c>
      <c r="B631" s="119">
        <v>63.0</v>
      </c>
      <c r="C631" s="129">
        <v>57438.0</v>
      </c>
      <c r="D631" s="129">
        <v>15986.0</v>
      </c>
      <c r="E631" s="130">
        <v>-9987.0</v>
      </c>
      <c r="F631" s="131">
        <v>460.0</v>
      </c>
      <c r="G631" s="132">
        <v>6956.19</v>
      </c>
      <c r="H631" s="133">
        <v>42973.64</v>
      </c>
      <c r="I631" s="24" t="s">
        <v>4741</v>
      </c>
    </row>
    <row r="632">
      <c r="A632" s="119">
        <v>74.0</v>
      </c>
      <c r="B632" s="119">
        <v>61.0</v>
      </c>
      <c r="C632" s="129">
        <v>17657.0</v>
      </c>
      <c r="D632" s="129">
        <v>-69.0</v>
      </c>
      <c r="E632" s="130">
        <v>-53.0</v>
      </c>
      <c r="F632" s="131">
        <v>60102.0</v>
      </c>
      <c r="G632" s="132">
        <v>98.71</v>
      </c>
      <c r="H632" s="133">
        <v>39.61</v>
      </c>
      <c r="I632" s="24" t="s">
        <v>4742</v>
      </c>
    </row>
    <row r="633">
      <c r="A633" s="119">
        <v>13.0</v>
      </c>
      <c r="B633" s="119">
        <v>18.0</v>
      </c>
      <c r="C633" s="129">
        <v>97123.0</v>
      </c>
      <c r="D633" s="129">
        <v>823.0</v>
      </c>
      <c r="E633" s="130">
        <v>385.0</v>
      </c>
      <c r="F633" s="131">
        <v>37495.0</v>
      </c>
      <c r="G633" s="132">
        <v>85173.45</v>
      </c>
      <c r="H633" s="133">
        <v>50.69</v>
      </c>
      <c r="I633" s="24" t="s">
        <v>4743</v>
      </c>
    </row>
    <row r="634">
      <c r="A634" s="119">
        <v>74.0</v>
      </c>
      <c r="B634" s="119">
        <v>63.0</v>
      </c>
      <c r="C634" s="129">
        <v>58961.0</v>
      </c>
      <c r="D634" s="129">
        <v>91.0</v>
      </c>
      <c r="E634" s="130">
        <v>473925.0</v>
      </c>
      <c r="F634" s="131">
        <v>71411.0</v>
      </c>
      <c r="G634" s="132">
        <v>-57418.43</v>
      </c>
      <c r="H634" s="133">
        <v>678.8</v>
      </c>
      <c r="I634" s="24" t="s">
        <v>4744</v>
      </c>
    </row>
    <row r="635">
      <c r="A635" s="119">
        <v>95.0</v>
      </c>
      <c r="B635" s="119">
        <v>12.0</v>
      </c>
      <c r="C635" s="129">
        <v>21660.0</v>
      </c>
      <c r="D635" s="129">
        <v>47.0</v>
      </c>
      <c r="E635" s="130">
        <v>865.0</v>
      </c>
      <c r="F635" s="131">
        <v>1963.0</v>
      </c>
      <c r="G635" s="132">
        <v>34.4</v>
      </c>
      <c r="H635" s="133">
        <v>18503.73</v>
      </c>
      <c r="I635" s="24" t="s">
        <v>4745</v>
      </c>
    </row>
    <row r="636">
      <c r="A636" s="119">
        <v>95.0</v>
      </c>
      <c r="B636" s="119">
        <v>10.0</v>
      </c>
      <c r="C636" s="129">
        <v>13804.0</v>
      </c>
      <c r="D636" s="129">
        <v>1786.0</v>
      </c>
      <c r="E636" s="130">
        <v>-45871.0</v>
      </c>
      <c r="F636" s="131">
        <v>43558.0</v>
      </c>
      <c r="G636" s="132">
        <v>84.55</v>
      </c>
      <c r="H636" s="133">
        <v>47097.48</v>
      </c>
      <c r="I636" s="24" t="s">
        <v>4746</v>
      </c>
    </row>
    <row r="637">
      <c r="A637" s="119">
        <v>33.0</v>
      </c>
      <c r="B637" s="119">
        <v>68.0</v>
      </c>
      <c r="C637" s="129">
        <v>64133.0</v>
      </c>
      <c r="D637" s="129">
        <v>344.0</v>
      </c>
      <c r="E637" s="130">
        <v>39024.0</v>
      </c>
      <c r="F637" s="131">
        <v>5443.0</v>
      </c>
      <c r="G637" s="132">
        <v>2432.59</v>
      </c>
      <c r="H637" s="133">
        <v>-3576.45</v>
      </c>
      <c r="I637" s="24" t="s">
        <v>4544</v>
      </c>
    </row>
    <row r="638">
      <c r="A638" s="119">
        <v>33.0</v>
      </c>
      <c r="B638" s="119">
        <v>65.0</v>
      </c>
      <c r="C638" s="129">
        <v>52129.0</v>
      </c>
      <c r="D638" s="129">
        <v>291.0</v>
      </c>
      <c r="E638" s="130">
        <v>-26.0</v>
      </c>
      <c r="F638" s="131">
        <v>-850.0</v>
      </c>
      <c r="G638" s="132">
        <v>6447.78</v>
      </c>
      <c r="H638" s="133">
        <v>-83.61</v>
      </c>
      <c r="I638" s="24" t="s">
        <v>4747</v>
      </c>
    </row>
    <row r="639">
      <c r="A639" s="119">
        <v>54.0</v>
      </c>
      <c r="B639" s="119">
        <v>20.0</v>
      </c>
      <c r="C639" s="129">
        <v>35152.0</v>
      </c>
      <c r="D639" s="129">
        <v>7640.0</v>
      </c>
      <c r="E639" s="130">
        <v>489.0</v>
      </c>
      <c r="F639" s="131">
        <v>683.0</v>
      </c>
      <c r="G639" s="132">
        <v>453.87</v>
      </c>
      <c r="H639" s="133">
        <v>34982.9</v>
      </c>
      <c r="I639" s="24" t="s">
        <v>4748</v>
      </c>
    </row>
    <row r="640">
      <c r="A640" s="119">
        <v>33.0</v>
      </c>
      <c r="B640" s="119">
        <v>72.0</v>
      </c>
      <c r="C640" s="129">
        <v>37595.0</v>
      </c>
      <c r="D640" s="129">
        <v>-82324.0</v>
      </c>
      <c r="E640" s="130">
        <v>422.0</v>
      </c>
      <c r="F640" s="131">
        <v>78.0</v>
      </c>
      <c r="G640" s="132">
        <v>4610.14</v>
      </c>
      <c r="H640" s="133">
        <v>63867.51</v>
      </c>
      <c r="I640" s="24" t="s">
        <v>4749</v>
      </c>
    </row>
    <row r="641">
      <c r="A641" s="119">
        <v>13.0</v>
      </c>
      <c r="B641" s="119">
        <v>24.0</v>
      </c>
      <c r="C641" s="129">
        <v>12267.0</v>
      </c>
      <c r="D641" s="129">
        <v>5807.0</v>
      </c>
      <c r="E641" s="130">
        <v>475.0</v>
      </c>
      <c r="F641" s="131">
        <v>32620.0</v>
      </c>
      <c r="G641" s="132">
        <v>68138.67</v>
      </c>
      <c r="H641" s="133">
        <v>85.47</v>
      </c>
      <c r="I641" s="24" t="s">
        <v>4750</v>
      </c>
    </row>
    <row r="642">
      <c r="A642" s="119">
        <v>13.0</v>
      </c>
      <c r="B642" s="119">
        <v>27.0</v>
      </c>
      <c r="C642" s="129">
        <v>32282.0</v>
      </c>
      <c r="D642" s="129">
        <v>87.0</v>
      </c>
      <c r="E642" s="130">
        <v>111828.0</v>
      </c>
      <c r="F642" s="131">
        <v>-4986.0</v>
      </c>
      <c r="G642" s="132">
        <v>23911.69</v>
      </c>
      <c r="H642" s="133">
        <v>32.66</v>
      </c>
      <c r="I642" s="24" t="s">
        <v>4751</v>
      </c>
    </row>
    <row r="643">
      <c r="A643" s="119">
        <v>95.0</v>
      </c>
      <c r="B643" s="119">
        <v>11.0</v>
      </c>
      <c r="C643" s="129">
        <v>16245.0</v>
      </c>
      <c r="D643" s="129">
        <v>382.0</v>
      </c>
      <c r="E643" s="130">
        <v>78677.0</v>
      </c>
      <c r="F643" s="131">
        <v>10.0</v>
      </c>
      <c r="G643" s="132">
        <v>-21.94</v>
      </c>
      <c r="H643" s="133">
        <v>-21443.94</v>
      </c>
      <c r="I643" s="24" t="s">
        <v>4752</v>
      </c>
    </row>
    <row r="644">
      <c r="A644" s="119">
        <v>33.0</v>
      </c>
      <c r="B644" s="119">
        <v>80.0</v>
      </c>
      <c r="C644" s="129">
        <v>5448.0</v>
      </c>
      <c r="D644" s="129">
        <v>225.0</v>
      </c>
      <c r="E644" s="130">
        <v>99183.0</v>
      </c>
      <c r="F644" s="131">
        <v>58776.0</v>
      </c>
      <c r="G644" s="132">
        <v>8098.56</v>
      </c>
      <c r="H644" s="133">
        <v>-8578.62</v>
      </c>
      <c r="I644" s="24" t="s">
        <v>4753</v>
      </c>
    </row>
    <row r="645">
      <c r="A645" s="119">
        <v>13.0</v>
      </c>
      <c r="B645" s="119">
        <v>36.0</v>
      </c>
      <c r="C645" s="129">
        <v>66069.0</v>
      </c>
      <c r="D645" s="129">
        <v>36547.0</v>
      </c>
      <c r="E645" s="130">
        <v>652947.0</v>
      </c>
      <c r="F645" s="131">
        <v>316.0</v>
      </c>
      <c r="G645" s="132">
        <v>951.3</v>
      </c>
      <c r="H645" s="133">
        <v>-59132.43</v>
      </c>
      <c r="I645" s="24" t="s">
        <v>4754</v>
      </c>
    </row>
    <row r="646">
      <c r="A646" s="119">
        <v>13.0</v>
      </c>
      <c r="B646" s="119">
        <v>37.0</v>
      </c>
      <c r="C646" s="129">
        <v>5935.0</v>
      </c>
      <c r="D646" s="129">
        <v>-2814.0</v>
      </c>
      <c r="E646" s="130">
        <v>767160.0</v>
      </c>
      <c r="F646" s="131">
        <v>44420.0</v>
      </c>
      <c r="G646" s="132">
        <v>7109.26</v>
      </c>
      <c r="H646" s="133">
        <v>552.87</v>
      </c>
      <c r="I646" s="24" t="s">
        <v>4755</v>
      </c>
    </row>
    <row r="647">
      <c r="A647" s="119">
        <v>33.0</v>
      </c>
      <c r="B647" s="119">
        <v>85.0</v>
      </c>
      <c r="C647" s="129">
        <v>29575.0</v>
      </c>
      <c r="D647" s="129">
        <v>77.0</v>
      </c>
      <c r="E647" s="130">
        <v>393.0</v>
      </c>
      <c r="F647" s="131">
        <v>4210.0</v>
      </c>
      <c r="G647" s="132">
        <v>3898.49</v>
      </c>
      <c r="H647" s="133">
        <v>77196.1</v>
      </c>
      <c r="I647" s="24" t="s">
        <v>4756</v>
      </c>
    </row>
    <row r="648">
      <c r="A648" s="119">
        <v>54.0</v>
      </c>
      <c r="B648" s="119">
        <v>35.0</v>
      </c>
      <c r="C648" s="129">
        <v>81876.0</v>
      </c>
      <c r="D648" s="129">
        <v>748.0</v>
      </c>
      <c r="E648" s="130">
        <v>182.0</v>
      </c>
      <c r="F648" s="131">
        <v>463.0</v>
      </c>
      <c r="G648" s="132">
        <v>63535.96</v>
      </c>
      <c r="H648" s="133">
        <v>892.11</v>
      </c>
      <c r="I648" s="24" t="s">
        <v>4757</v>
      </c>
    </row>
    <row r="649">
      <c r="A649" s="119">
        <v>74.0</v>
      </c>
      <c r="B649" s="119">
        <v>84.0</v>
      </c>
      <c r="C649" s="129">
        <v>54187.0</v>
      </c>
      <c r="D649" s="129">
        <v>7220.0</v>
      </c>
      <c r="E649" s="130">
        <v>-952.0</v>
      </c>
      <c r="F649" s="131">
        <v>981.0</v>
      </c>
      <c r="G649" s="132">
        <v>-41.55</v>
      </c>
      <c r="H649" s="133">
        <v>692.46</v>
      </c>
      <c r="I649" s="24" t="s">
        <v>4758</v>
      </c>
    </row>
    <row r="650">
      <c r="A650" s="119">
        <v>95.0</v>
      </c>
      <c r="B650" s="119">
        <v>29.0</v>
      </c>
      <c r="C650" s="129">
        <v>46640.0</v>
      </c>
      <c r="D650" s="129">
        <v>6014.0</v>
      </c>
      <c r="E650" s="130">
        <v>-875.0</v>
      </c>
      <c r="F650" s="131">
        <v>89.0</v>
      </c>
      <c r="G650" s="132">
        <v>9296.3</v>
      </c>
      <c r="H650" s="133">
        <v>76120.34</v>
      </c>
      <c r="I650" s="24" t="s">
        <v>4759</v>
      </c>
    </row>
    <row r="651">
      <c r="A651" s="119">
        <v>33.0</v>
      </c>
      <c r="B651" s="119">
        <v>90.0</v>
      </c>
      <c r="C651" s="129">
        <v>49440.0</v>
      </c>
      <c r="D651" s="129">
        <v>56646.0</v>
      </c>
      <c r="E651" s="130">
        <v>201973.0</v>
      </c>
      <c r="F651" s="131">
        <v>984.0</v>
      </c>
      <c r="G651" s="132">
        <v>-8476.39</v>
      </c>
      <c r="H651" s="133">
        <v>-545.5</v>
      </c>
      <c r="I651" s="24" t="s">
        <v>4760</v>
      </c>
    </row>
    <row r="652">
      <c r="A652" s="119">
        <v>54.0</v>
      </c>
      <c r="B652" s="119">
        <v>38.0</v>
      </c>
      <c r="C652" s="129">
        <v>44936.0</v>
      </c>
      <c r="D652" s="129">
        <v>9604.0</v>
      </c>
      <c r="E652" s="130">
        <v>-25490.0</v>
      </c>
      <c r="F652" s="131">
        <v>-4377.0</v>
      </c>
      <c r="G652" s="132">
        <v>-513.6</v>
      </c>
      <c r="H652" s="133">
        <v>-888.55</v>
      </c>
      <c r="I652" s="24" t="s">
        <v>4761</v>
      </c>
    </row>
    <row r="653">
      <c r="A653" s="119">
        <v>74.0</v>
      </c>
      <c r="B653" s="119">
        <v>88.0</v>
      </c>
      <c r="C653" s="129">
        <v>36433.0</v>
      </c>
      <c r="D653" s="129">
        <v>44742.0</v>
      </c>
      <c r="E653" s="130">
        <v>47.0</v>
      </c>
      <c r="F653" s="131">
        <v>91127.0</v>
      </c>
      <c r="G653" s="132">
        <v>8402.6</v>
      </c>
      <c r="H653" s="133">
        <v>190.18</v>
      </c>
      <c r="I653" s="24" t="s">
        <v>4762</v>
      </c>
    </row>
    <row r="654">
      <c r="A654" s="119">
        <v>33.0</v>
      </c>
      <c r="B654" s="119">
        <v>93.0</v>
      </c>
      <c r="C654" s="129">
        <v>41758.0</v>
      </c>
      <c r="D654" s="129">
        <v>8026.0</v>
      </c>
      <c r="E654" s="130">
        <v>29.0</v>
      </c>
      <c r="F654" s="131">
        <v>-16490.0</v>
      </c>
      <c r="G654" s="132">
        <v>44.76</v>
      </c>
      <c r="H654" s="133">
        <v>77.64</v>
      </c>
      <c r="I654" s="24" t="s">
        <v>4227</v>
      </c>
    </row>
    <row r="655">
      <c r="A655" s="119">
        <v>74.0</v>
      </c>
      <c r="B655" s="119">
        <v>89.0</v>
      </c>
      <c r="C655" s="129">
        <v>12923.0</v>
      </c>
      <c r="D655" s="129">
        <v>65036.0</v>
      </c>
      <c r="E655" s="130">
        <v>775.0</v>
      </c>
      <c r="F655" s="131">
        <v>72732.0</v>
      </c>
      <c r="G655" s="132">
        <v>913.6</v>
      </c>
      <c r="H655" s="133">
        <v>8851.9</v>
      </c>
      <c r="I655" s="24" t="s">
        <v>4763</v>
      </c>
    </row>
    <row r="656">
      <c r="A656" s="119">
        <v>95.0</v>
      </c>
      <c r="B656" s="119">
        <v>38.0</v>
      </c>
      <c r="C656" s="129">
        <v>99150.0</v>
      </c>
      <c r="D656" s="129">
        <v>26.0</v>
      </c>
      <c r="E656" s="130">
        <v>-3692.0</v>
      </c>
      <c r="F656" s="131">
        <v>139.0</v>
      </c>
      <c r="G656" s="132">
        <v>-663.7</v>
      </c>
      <c r="H656" s="133">
        <v>4699.23</v>
      </c>
      <c r="I656" s="24" t="s">
        <v>4764</v>
      </c>
    </row>
    <row r="657">
      <c r="A657" s="119">
        <v>54.0</v>
      </c>
      <c r="B657" s="119">
        <v>47.0</v>
      </c>
      <c r="C657" s="129">
        <v>93373.0</v>
      </c>
      <c r="D657" s="129">
        <v>788.0</v>
      </c>
      <c r="E657" s="130">
        <v>61.0</v>
      </c>
      <c r="F657" s="131">
        <v>256.0</v>
      </c>
      <c r="G657" s="132">
        <v>32.55</v>
      </c>
      <c r="H657" s="133">
        <v>-76397.7</v>
      </c>
      <c r="I657" s="24" t="s">
        <v>4765</v>
      </c>
    </row>
    <row r="658">
      <c r="A658" s="119">
        <v>13.0</v>
      </c>
      <c r="B658" s="119">
        <v>51.0</v>
      </c>
      <c r="C658" s="129">
        <v>79706.0</v>
      </c>
      <c r="D658" s="129">
        <v>7388.0</v>
      </c>
      <c r="E658" s="130">
        <v>48361.0</v>
      </c>
      <c r="F658" s="131">
        <v>38.0</v>
      </c>
      <c r="G658" s="132">
        <v>6052.86</v>
      </c>
      <c r="H658" s="133">
        <v>64.8</v>
      </c>
      <c r="I658" s="24" t="s">
        <v>4766</v>
      </c>
    </row>
    <row r="659">
      <c r="A659" s="119">
        <v>74.0</v>
      </c>
      <c r="B659" s="119">
        <v>96.0</v>
      </c>
      <c r="C659" s="129">
        <v>28760.0</v>
      </c>
      <c r="D659" s="129">
        <v>721.0</v>
      </c>
      <c r="E659" s="130">
        <v>-798.0</v>
      </c>
      <c r="F659" s="131">
        <v>-538.0</v>
      </c>
      <c r="G659" s="132">
        <v>-14030.24</v>
      </c>
      <c r="H659" s="133">
        <v>642.71</v>
      </c>
      <c r="I659" s="24" t="s">
        <v>4767</v>
      </c>
    </row>
    <row r="660">
      <c r="A660" s="119">
        <v>95.0</v>
      </c>
      <c r="B660" s="119">
        <v>47.0</v>
      </c>
      <c r="C660" s="129">
        <v>63912.0</v>
      </c>
      <c r="D660" s="129">
        <v>70362.0</v>
      </c>
      <c r="E660" s="130">
        <v>2468.0</v>
      </c>
      <c r="F660" s="131">
        <v>527.0</v>
      </c>
      <c r="G660" s="132">
        <v>-98.6</v>
      </c>
      <c r="H660" s="133">
        <v>-958.74</v>
      </c>
      <c r="I660" s="24" t="s">
        <v>4768</v>
      </c>
    </row>
    <row r="661">
      <c r="A661" s="119">
        <v>75.0</v>
      </c>
      <c r="B661" s="119">
        <v>0.0</v>
      </c>
      <c r="C661" s="129">
        <v>17429.0</v>
      </c>
      <c r="D661" s="129">
        <v>1764.0</v>
      </c>
      <c r="E661" s="130">
        <v>69946.0</v>
      </c>
      <c r="F661" s="131">
        <v>11136.0</v>
      </c>
      <c r="G661" s="132">
        <v>-998.56</v>
      </c>
      <c r="H661" s="133">
        <v>9986.85</v>
      </c>
      <c r="I661" s="24" t="s">
        <v>4769</v>
      </c>
    </row>
    <row r="662">
      <c r="A662" s="119">
        <v>75.0</v>
      </c>
      <c r="B662" s="119">
        <v>1.0</v>
      </c>
      <c r="C662" s="129">
        <v>63117.0</v>
      </c>
      <c r="D662" s="129">
        <v>449.0</v>
      </c>
      <c r="E662" s="130">
        <v>16527.0</v>
      </c>
      <c r="F662" s="131">
        <v>909.0</v>
      </c>
      <c r="G662" s="132">
        <v>63.7</v>
      </c>
      <c r="H662" s="133">
        <v>78.48</v>
      </c>
      <c r="I662" s="24" t="s">
        <v>4770</v>
      </c>
    </row>
    <row r="663">
      <c r="A663" s="119">
        <v>95.0</v>
      </c>
      <c r="B663" s="119">
        <v>50.0</v>
      </c>
      <c r="C663" s="129">
        <v>29486.0</v>
      </c>
      <c r="D663" s="129">
        <v>85076.0</v>
      </c>
      <c r="E663" s="130">
        <v>6536.0</v>
      </c>
      <c r="F663" s="131">
        <v>-391.0</v>
      </c>
      <c r="G663" s="132">
        <v>-46.24</v>
      </c>
      <c r="H663" s="133">
        <v>-45114.59</v>
      </c>
      <c r="I663" s="24" t="s">
        <v>4771</v>
      </c>
    </row>
    <row r="664">
      <c r="A664" s="119">
        <v>95.0</v>
      </c>
      <c r="B664" s="119">
        <v>53.0</v>
      </c>
      <c r="C664" s="129">
        <v>59059.0</v>
      </c>
      <c r="D664" s="129">
        <v>29403.0</v>
      </c>
      <c r="E664" s="130">
        <v>62.0</v>
      </c>
      <c r="F664" s="131">
        <v>328.0</v>
      </c>
      <c r="G664" s="132">
        <v>8295.41</v>
      </c>
      <c r="H664" s="133">
        <v>-5035.87</v>
      </c>
      <c r="I664" s="24" t="s">
        <v>4772</v>
      </c>
    </row>
    <row r="665">
      <c r="A665" s="119">
        <v>13.0</v>
      </c>
      <c r="B665" s="119">
        <v>61.0</v>
      </c>
      <c r="C665" s="129">
        <v>73533.0</v>
      </c>
      <c r="D665" s="129">
        <v>937.0</v>
      </c>
      <c r="E665" s="130">
        <v>412.0</v>
      </c>
      <c r="F665" s="131">
        <v>-82.0</v>
      </c>
      <c r="G665" s="132">
        <v>302.29</v>
      </c>
      <c r="H665" s="133">
        <v>-741.32</v>
      </c>
      <c r="I665" s="24" t="s">
        <v>4773</v>
      </c>
    </row>
    <row r="666">
      <c r="A666" s="119">
        <v>75.0</v>
      </c>
      <c r="B666" s="119">
        <v>7.0</v>
      </c>
      <c r="C666" s="129">
        <v>28343.0</v>
      </c>
      <c r="D666" s="129">
        <v>89713.0</v>
      </c>
      <c r="E666" s="130">
        <v>618972.0</v>
      </c>
      <c r="F666" s="131">
        <v>-3823.0</v>
      </c>
      <c r="G666" s="132">
        <v>8151.83</v>
      </c>
      <c r="H666" s="133">
        <v>73716.38</v>
      </c>
      <c r="I666" s="24" t="s">
        <v>4774</v>
      </c>
    </row>
    <row r="667">
      <c r="A667" s="119">
        <v>95.0</v>
      </c>
      <c r="B667" s="119">
        <v>58.0</v>
      </c>
      <c r="C667" s="129">
        <v>83027.0</v>
      </c>
      <c r="D667" s="129">
        <v>937.0</v>
      </c>
      <c r="E667" s="130">
        <v>63693.0</v>
      </c>
      <c r="F667" s="131">
        <v>27.0</v>
      </c>
      <c r="G667" s="132">
        <v>38.46</v>
      </c>
      <c r="H667" s="133">
        <v>610.51</v>
      </c>
      <c r="I667" s="24" t="s">
        <v>4775</v>
      </c>
    </row>
    <row r="668">
      <c r="A668" s="119">
        <v>13.0</v>
      </c>
      <c r="B668" s="119">
        <v>67.0</v>
      </c>
      <c r="C668" s="129">
        <v>90734.0</v>
      </c>
      <c r="D668" s="129">
        <v>83.0</v>
      </c>
      <c r="E668" s="130">
        <v>-4482.0</v>
      </c>
      <c r="F668" s="131">
        <v>-85777.0</v>
      </c>
      <c r="G668" s="132">
        <v>4487.82</v>
      </c>
      <c r="H668" s="133">
        <v>455.53</v>
      </c>
      <c r="I668" s="24" t="s">
        <v>4776</v>
      </c>
    </row>
    <row r="669">
      <c r="A669" s="119">
        <v>95.0</v>
      </c>
      <c r="B669" s="119">
        <v>60.0</v>
      </c>
      <c r="C669" s="129">
        <v>92785.0</v>
      </c>
      <c r="D669" s="129">
        <v>-83892.0</v>
      </c>
      <c r="E669" s="130">
        <v>573.0</v>
      </c>
      <c r="F669" s="131">
        <v>77.0</v>
      </c>
      <c r="G669" s="132">
        <v>63666.5</v>
      </c>
      <c r="H669" s="133">
        <v>672.57</v>
      </c>
      <c r="I669" s="24" t="s">
        <v>4777</v>
      </c>
    </row>
    <row r="670">
      <c r="A670" s="119">
        <v>13.0</v>
      </c>
      <c r="B670" s="119">
        <v>69.0</v>
      </c>
      <c r="C670" s="129">
        <v>83967.0</v>
      </c>
      <c r="D670" s="129">
        <v>892.0</v>
      </c>
      <c r="E670" s="130">
        <v>365.0</v>
      </c>
      <c r="F670" s="131">
        <v>98.0</v>
      </c>
      <c r="G670" s="132">
        <v>69776.64</v>
      </c>
      <c r="H670" s="133">
        <v>478.85</v>
      </c>
      <c r="I670" s="24" t="s">
        <v>4778</v>
      </c>
    </row>
    <row r="671">
      <c r="A671" s="119">
        <v>54.0</v>
      </c>
      <c r="B671" s="119">
        <v>65.0</v>
      </c>
      <c r="C671" s="129">
        <v>95711.0</v>
      </c>
      <c r="D671" s="129">
        <v>35.0</v>
      </c>
      <c r="E671" s="130">
        <v>8730.0</v>
      </c>
      <c r="F671" s="131">
        <v>137.0</v>
      </c>
      <c r="G671" s="132">
        <v>3221.49</v>
      </c>
      <c r="H671" s="133">
        <v>-9250.29</v>
      </c>
      <c r="I671" s="24" t="s">
        <v>4779</v>
      </c>
    </row>
    <row r="672">
      <c r="A672" s="119">
        <v>34.0</v>
      </c>
      <c r="B672" s="119">
        <v>21.0</v>
      </c>
      <c r="C672" s="129">
        <v>97270.0</v>
      </c>
      <c r="D672" s="129">
        <v>-396.0</v>
      </c>
      <c r="E672" s="130">
        <v>988452.0</v>
      </c>
      <c r="F672" s="131">
        <v>826.0</v>
      </c>
      <c r="G672" s="132">
        <v>72.64</v>
      </c>
      <c r="H672" s="133">
        <v>526.95</v>
      </c>
      <c r="I672" s="24" t="s">
        <v>4780</v>
      </c>
    </row>
    <row r="673">
      <c r="A673" s="119">
        <v>13.0</v>
      </c>
      <c r="B673" s="119">
        <v>74.0</v>
      </c>
      <c r="C673" s="129">
        <v>73571.0</v>
      </c>
      <c r="D673" s="129">
        <v>-29441.0</v>
      </c>
      <c r="E673" s="130">
        <v>-8512.0</v>
      </c>
      <c r="F673" s="131">
        <v>5523.0</v>
      </c>
      <c r="G673" s="132">
        <v>67.91</v>
      </c>
      <c r="H673" s="133">
        <v>522.87</v>
      </c>
      <c r="I673" s="24" t="s">
        <v>4781</v>
      </c>
    </row>
    <row r="674">
      <c r="A674" s="119">
        <v>34.0</v>
      </c>
      <c r="B674" s="119">
        <v>23.0</v>
      </c>
      <c r="C674" s="129">
        <v>47688.0</v>
      </c>
      <c r="D674" s="129">
        <v>89513.0</v>
      </c>
      <c r="E674" s="130">
        <v>-19275.0</v>
      </c>
      <c r="F674" s="131">
        <v>205.0</v>
      </c>
      <c r="G674" s="132">
        <v>6961.29</v>
      </c>
      <c r="H674" s="133">
        <v>-889.25</v>
      </c>
      <c r="I674" s="24" t="s">
        <v>4782</v>
      </c>
    </row>
    <row r="675">
      <c r="A675" s="119">
        <v>95.0</v>
      </c>
      <c r="B675" s="119">
        <v>68.0</v>
      </c>
      <c r="C675" s="129">
        <v>31005.0</v>
      </c>
      <c r="D675" s="129">
        <v>2653.0</v>
      </c>
      <c r="E675" s="130">
        <v>860544.0</v>
      </c>
      <c r="F675" s="131">
        <v>768.0</v>
      </c>
      <c r="G675" s="132">
        <v>9731.32</v>
      </c>
      <c r="H675" s="133">
        <v>90559.46</v>
      </c>
      <c r="I675" s="24" t="s">
        <v>4160</v>
      </c>
    </row>
    <row r="676">
      <c r="A676" s="119">
        <v>75.0</v>
      </c>
      <c r="B676" s="119">
        <v>21.0</v>
      </c>
      <c r="C676" s="129">
        <v>36714.0</v>
      </c>
      <c r="D676" s="129">
        <v>-64285.0</v>
      </c>
      <c r="E676" s="130">
        <v>92.0</v>
      </c>
      <c r="F676" s="131">
        <v>55096.0</v>
      </c>
      <c r="G676" s="132">
        <v>14521.73</v>
      </c>
      <c r="H676" s="133">
        <v>-221.29</v>
      </c>
      <c r="I676" s="24" t="s">
        <v>4783</v>
      </c>
    </row>
    <row r="677">
      <c r="A677" s="119">
        <v>13.0</v>
      </c>
      <c r="B677" s="119">
        <v>78.0</v>
      </c>
      <c r="C677" s="129">
        <v>83239.0</v>
      </c>
      <c r="D677" s="129">
        <v>504.0</v>
      </c>
      <c r="E677" s="130">
        <v>-13712.0</v>
      </c>
      <c r="F677" s="131">
        <v>984.0</v>
      </c>
      <c r="G677" s="132">
        <v>961.74</v>
      </c>
      <c r="H677" s="133">
        <v>597.37</v>
      </c>
      <c r="I677" s="24" t="s">
        <v>4784</v>
      </c>
    </row>
    <row r="678">
      <c r="A678" s="119">
        <v>75.0</v>
      </c>
      <c r="B678" s="119">
        <v>24.0</v>
      </c>
      <c r="C678" s="129">
        <v>37716.0</v>
      </c>
      <c r="D678" s="129">
        <v>93.0</v>
      </c>
      <c r="E678" s="130">
        <v>-13024.0</v>
      </c>
      <c r="F678" s="131">
        <v>5737.0</v>
      </c>
      <c r="G678" s="132">
        <v>252.78</v>
      </c>
      <c r="H678" s="133">
        <v>-32.46</v>
      </c>
      <c r="I678" s="24" t="s">
        <v>4785</v>
      </c>
    </row>
    <row r="679">
      <c r="A679" s="119">
        <v>95.0</v>
      </c>
      <c r="B679" s="119">
        <v>74.0</v>
      </c>
      <c r="C679" s="129">
        <v>93554.0</v>
      </c>
      <c r="D679" s="129">
        <v>2647.0</v>
      </c>
      <c r="E679" s="130">
        <v>96.0</v>
      </c>
      <c r="F679" s="131">
        <v>4067.0</v>
      </c>
      <c r="G679" s="132">
        <v>19235.65</v>
      </c>
      <c r="H679" s="133">
        <v>53728.72</v>
      </c>
      <c r="I679" s="24" t="s">
        <v>4786</v>
      </c>
    </row>
    <row r="680">
      <c r="A680" s="119">
        <v>13.0</v>
      </c>
      <c r="B680" s="119">
        <v>86.0</v>
      </c>
      <c r="C680" s="129">
        <v>94234.0</v>
      </c>
      <c r="D680" s="129">
        <v>-34794.0</v>
      </c>
      <c r="E680" s="130">
        <v>689829.0</v>
      </c>
      <c r="F680" s="131">
        <v>917.0</v>
      </c>
      <c r="G680" s="132">
        <v>16.15</v>
      </c>
      <c r="H680" s="133">
        <v>-36.33</v>
      </c>
      <c r="I680" s="24" t="s">
        <v>4787</v>
      </c>
    </row>
    <row r="681">
      <c r="A681" s="119">
        <v>54.0</v>
      </c>
      <c r="B681" s="119">
        <v>83.0</v>
      </c>
      <c r="C681" s="129">
        <v>54710.0</v>
      </c>
      <c r="D681" s="129">
        <v>-91955.0</v>
      </c>
      <c r="E681" s="130">
        <v>-825.0</v>
      </c>
      <c r="F681" s="131">
        <v>82.0</v>
      </c>
      <c r="G681" s="132">
        <v>-53812.32</v>
      </c>
      <c r="H681" s="133">
        <v>65.87</v>
      </c>
      <c r="I681" s="24" t="s">
        <v>4788</v>
      </c>
    </row>
    <row r="682">
      <c r="A682" s="119">
        <v>23.0</v>
      </c>
      <c r="B682" s="119">
        <v>11.0</v>
      </c>
      <c r="C682" s="129">
        <v>21261.0</v>
      </c>
      <c r="D682" s="129">
        <v>7172.0</v>
      </c>
      <c r="E682" s="130">
        <v>65665.0</v>
      </c>
      <c r="F682" s="131">
        <v>449.0</v>
      </c>
      <c r="G682" s="132">
        <v>-43.88</v>
      </c>
      <c r="H682" s="133">
        <v>96.88</v>
      </c>
      <c r="I682" s="24" t="s">
        <v>4789</v>
      </c>
    </row>
    <row r="683">
      <c r="A683" s="119">
        <v>95.0</v>
      </c>
      <c r="B683" s="119">
        <v>81.0</v>
      </c>
      <c r="C683" s="129">
        <v>85378.0</v>
      </c>
      <c r="D683" s="129">
        <v>8876.0</v>
      </c>
      <c r="E683" s="130">
        <v>39104.0</v>
      </c>
      <c r="F683" s="131">
        <v>36.0</v>
      </c>
      <c r="G683" s="132">
        <v>7026.3</v>
      </c>
      <c r="H683" s="133">
        <v>24.64</v>
      </c>
      <c r="I683" s="24" t="s">
        <v>4790</v>
      </c>
    </row>
    <row r="684">
      <c r="A684" s="119">
        <v>95.0</v>
      </c>
      <c r="B684" s="119">
        <v>84.0</v>
      </c>
      <c r="C684" s="129">
        <v>21654.0</v>
      </c>
      <c r="D684" s="129">
        <v>6075.0</v>
      </c>
      <c r="E684" s="130">
        <v>15.0</v>
      </c>
      <c r="F684" s="131">
        <v>-773.0</v>
      </c>
      <c r="G684" s="132">
        <v>51784.88</v>
      </c>
      <c r="H684" s="133">
        <v>-756.89</v>
      </c>
      <c r="I684" s="24" t="s">
        <v>4791</v>
      </c>
    </row>
    <row r="685">
      <c r="A685" s="119">
        <v>75.0</v>
      </c>
      <c r="B685" s="119">
        <v>40.0</v>
      </c>
      <c r="C685" s="129">
        <v>87492.0</v>
      </c>
      <c r="D685" s="129">
        <v>82.0</v>
      </c>
      <c r="E685" s="130">
        <v>8851.0</v>
      </c>
      <c r="F685" s="131">
        <v>8893.0</v>
      </c>
      <c r="G685" s="132">
        <v>537.91</v>
      </c>
      <c r="H685" s="133">
        <v>143.31</v>
      </c>
      <c r="I685" s="24" t="s">
        <v>4792</v>
      </c>
    </row>
    <row r="686">
      <c r="A686" s="119">
        <v>54.0</v>
      </c>
      <c r="B686" s="119">
        <v>92.0</v>
      </c>
      <c r="C686" s="129">
        <v>27543.0</v>
      </c>
      <c r="D686" s="129">
        <v>-67.0</v>
      </c>
      <c r="E686" s="130">
        <v>617.0</v>
      </c>
      <c r="F686" s="131">
        <v>-33088.0</v>
      </c>
      <c r="G686" s="132">
        <v>38006.93</v>
      </c>
      <c r="H686" s="133">
        <v>-466.92</v>
      </c>
      <c r="I686" s="24" t="s">
        <v>4793</v>
      </c>
    </row>
    <row r="687">
      <c r="A687" s="119">
        <v>75.0</v>
      </c>
      <c r="B687" s="119">
        <v>42.0</v>
      </c>
      <c r="C687" s="129">
        <v>83314.0</v>
      </c>
      <c r="D687" s="129">
        <v>2855.0</v>
      </c>
      <c r="E687" s="130">
        <v>46.0</v>
      </c>
      <c r="F687" s="131">
        <v>63.0</v>
      </c>
      <c r="G687" s="132">
        <v>-1859.85</v>
      </c>
      <c r="H687" s="133">
        <v>-8386.76</v>
      </c>
      <c r="I687" s="24" t="s">
        <v>4794</v>
      </c>
    </row>
    <row r="688">
      <c r="A688" s="119">
        <v>95.0</v>
      </c>
      <c r="B688" s="119">
        <v>90.0</v>
      </c>
      <c r="C688" s="129">
        <v>91188.0</v>
      </c>
      <c r="D688" s="129">
        <v>-3139.0</v>
      </c>
      <c r="E688" s="130">
        <v>3257.0</v>
      </c>
      <c r="F688" s="131">
        <v>12.0</v>
      </c>
      <c r="G688" s="132">
        <v>60.67</v>
      </c>
      <c r="H688" s="133">
        <v>36.8</v>
      </c>
      <c r="I688" s="24" t="s">
        <v>4795</v>
      </c>
    </row>
    <row r="689">
      <c r="A689" s="119">
        <v>14.0</v>
      </c>
      <c r="B689" s="119">
        <v>0.0</v>
      </c>
      <c r="C689" s="129">
        <v>95652.0</v>
      </c>
      <c r="D689" s="129">
        <v>-83.0</v>
      </c>
      <c r="E689" s="130">
        <v>5872.0</v>
      </c>
      <c r="F689" s="131">
        <v>335.0</v>
      </c>
      <c r="G689" s="132">
        <v>351.88</v>
      </c>
      <c r="H689" s="133">
        <v>77279.3</v>
      </c>
      <c r="I689" s="24" t="s">
        <v>4796</v>
      </c>
    </row>
    <row r="690">
      <c r="A690" s="119">
        <v>34.0</v>
      </c>
      <c r="B690" s="119">
        <v>49.0</v>
      </c>
      <c r="C690" s="129">
        <v>97424.0</v>
      </c>
      <c r="D690" s="129">
        <v>78668.0</v>
      </c>
      <c r="E690" s="130">
        <v>26067.0</v>
      </c>
      <c r="F690" s="131">
        <v>6989.0</v>
      </c>
      <c r="G690" s="132">
        <v>-965.59</v>
      </c>
      <c r="H690" s="133">
        <v>4459.48</v>
      </c>
      <c r="I690" s="24" t="s">
        <v>4797</v>
      </c>
    </row>
    <row r="691">
      <c r="A691" s="119">
        <v>14.0</v>
      </c>
      <c r="B691" s="119">
        <v>2.0</v>
      </c>
      <c r="C691" s="129">
        <v>41244.0</v>
      </c>
      <c r="D691" s="129">
        <v>885.0</v>
      </c>
      <c r="E691" s="130">
        <v>325772.0</v>
      </c>
      <c r="F691" s="131">
        <v>-75.0</v>
      </c>
      <c r="G691" s="132">
        <v>-88689.71</v>
      </c>
      <c r="H691" s="133">
        <v>-11291.86</v>
      </c>
      <c r="I691" s="24" t="s">
        <v>4798</v>
      </c>
    </row>
    <row r="692">
      <c r="A692" s="119">
        <v>14.0</v>
      </c>
      <c r="B692" s="119">
        <v>1.0</v>
      </c>
      <c r="C692" s="129">
        <v>80264.0</v>
      </c>
      <c r="D692" s="129">
        <v>843.0</v>
      </c>
      <c r="E692" s="130">
        <v>797682.0</v>
      </c>
      <c r="F692" s="131">
        <v>697.0</v>
      </c>
      <c r="G692" s="132">
        <v>4121.89</v>
      </c>
      <c r="H692" s="133">
        <v>407.2</v>
      </c>
      <c r="I692" s="24" t="s">
        <v>4799</v>
      </c>
    </row>
    <row r="693">
      <c r="A693" s="119">
        <v>75.0</v>
      </c>
      <c r="B693" s="119">
        <v>48.0</v>
      </c>
      <c r="C693" s="129">
        <v>55101.0</v>
      </c>
      <c r="D693" s="129">
        <v>57.0</v>
      </c>
      <c r="E693" s="130">
        <v>386154.0</v>
      </c>
      <c r="F693" s="131">
        <v>61117.0</v>
      </c>
      <c r="G693" s="132">
        <v>5454.69</v>
      </c>
      <c r="H693" s="133">
        <v>28291.33</v>
      </c>
      <c r="I693" s="24" t="s">
        <v>4800</v>
      </c>
    </row>
    <row r="694">
      <c r="A694" s="119">
        <v>95.0</v>
      </c>
      <c r="B694" s="119">
        <v>97.0</v>
      </c>
      <c r="C694" s="129">
        <v>21101.0</v>
      </c>
      <c r="D694" s="129">
        <v>454.0</v>
      </c>
      <c r="E694" s="130">
        <v>-592.0</v>
      </c>
      <c r="F694" s="131">
        <v>-4140.0</v>
      </c>
      <c r="G694" s="132">
        <v>12.96</v>
      </c>
      <c r="H694" s="133">
        <v>87.33</v>
      </c>
      <c r="I694" s="24" t="s">
        <v>4560</v>
      </c>
    </row>
    <row r="695">
      <c r="A695" s="119">
        <v>96.0</v>
      </c>
      <c r="B695" s="119">
        <v>0.0</v>
      </c>
      <c r="C695" s="129">
        <v>40255.0</v>
      </c>
      <c r="D695" s="129">
        <v>5683.0</v>
      </c>
      <c r="E695" s="130">
        <v>630.0</v>
      </c>
      <c r="F695" s="131">
        <v>286.0</v>
      </c>
      <c r="G695" s="132">
        <v>59.73</v>
      </c>
      <c r="H695" s="133">
        <v>95.6</v>
      </c>
      <c r="I695" s="24" t="s">
        <v>4801</v>
      </c>
    </row>
    <row r="696">
      <c r="A696" s="119">
        <v>55.0</v>
      </c>
      <c r="B696" s="119">
        <v>11.0</v>
      </c>
      <c r="C696" s="129">
        <v>19367.0</v>
      </c>
      <c r="D696" s="129">
        <v>18.0</v>
      </c>
      <c r="E696" s="130">
        <v>-897.0</v>
      </c>
      <c r="F696" s="131">
        <v>8165.0</v>
      </c>
      <c r="G696" s="132">
        <v>-59479.52</v>
      </c>
      <c r="H696" s="133">
        <v>16.31</v>
      </c>
      <c r="I696" s="24" t="s">
        <v>4802</v>
      </c>
    </row>
    <row r="697">
      <c r="A697" s="119">
        <v>14.0</v>
      </c>
      <c r="B697" s="119">
        <v>16.0</v>
      </c>
      <c r="C697" s="129">
        <v>2761.0</v>
      </c>
      <c r="D697" s="129">
        <v>6382.0</v>
      </c>
      <c r="E697" s="130">
        <v>9003.0</v>
      </c>
      <c r="F697" s="131">
        <v>502.0</v>
      </c>
      <c r="G697" s="132">
        <v>-29825.16</v>
      </c>
      <c r="H697" s="133">
        <v>18.49</v>
      </c>
      <c r="I697" s="24" t="s">
        <v>4803</v>
      </c>
    </row>
    <row r="698">
      <c r="A698" s="119">
        <v>34.0</v>
      </c>
      <c r="B698" s="119">
        <v>63.0</v>
      </c>
      <c r="C698" s="129">
        <v>53189.0</v>
      </c>
      <c r="D698" s="129">
        <v>4451.0</v>
      </c>
      <c r="E698" s="130">
        <v>-31.0</v>
      </c>
      <c r="F698" s="131">
        <v>5124.0</v>
      </c>
      <c r="G698" s="132">
        <v>98335.4</v>
      </c>
      <c r="H698" s="133">
        <v>-3934.99</v>
      </c>
      <c r="I698" s="24" t="s">
        <v>4397</v>
      </c>
    </row>
    <row r="699">
      <c r="A699" s="119">
        <v>14.0</v>
      </c>
      <c r="B699" s="119">
        <v>18.0</v>
      </c>
      <c r="C699" s="129">
        <v>8008.0</v>
      </c>
      <c r="D699" s="129">
        <v>-52186.0</v>
      </c>
      <c r="E699" s="130">
        <v>884.0</v>
      </c>
      <c r="F699" s="131">
        <v>49.0</v>
      </c>
      <c r="G699" s="132">
        <v>2395.65</v>
      </c>
      <c r="H699" s="133">
        <v>11.34</v>
      </c>
      <c r="I699" s="24" t="s">
        <v>4804</v>
      </c>
    </row>
    <row r="700">
      <c r="A700" s="119">
        <v>96.0</v>
      </c>
      <c r="B700" s="119">
        <v>11.0</v>
      </c>
      <c r="C700" s="129">
        <v>51528.0</v>
      </c>
      <c r="D700" s="129">
        <v>45.0</v>
      </c>
      <c r="E700" s="130">
        <v>919328.0</v>
      </c>
      <c r="F700" s="131">
        <v>729.0</v>
      </c>
      <c r="G700" s="132">
        <v>85.18</v>
      </c>
      <c r="H700" s="133">
        <v>-38.14</v>
      </c>
      <c r="I700" s="24" t="s">
        <v>4805</v>
      </c>
    </row>
    <row r="701">
      <c r="A701" s="119">
        <v>14.0</v>
      </c>
      <c r="B701" s="119">
        <v>20.0</v>
      </c>
      <c r="C701" s="129">
        <v>82288.0</v>
      </c>
      <c r="D701" s="129">
        <v>60830.0</v>
      </c>
      <c r="E701" s="130">
        <v>331105.0</v>
      </c>
      <c r="F701" s="131">
        <v>48.0</v>
      </c>
      <c r="G701" s="132">
        <v>52.56</v>
      </c>
      <c r="H701" s="133">
        <v>-54.68</v>
      </c>
      <c r="I701" s="24" t="s">
        <v>4806</v>
      </c>
    </row>
    <row r="702">
      <c r="A702" s="119">
        <v>34.0</v>
      </c>
      <c r="B702" s="119">
        <v>70.0</v>
      </c>
      <c r="C702" s="129">
        <v>273.0</v>
      </c>
      <c r="D702" s="129">
        <v>82.0</v>
      </c>
      <c r="E702" s="130">
        <v>-179.0</v>
      </c>
      <c r="F702" s="131">
        <v>61265.0</v>
      </c>
      <c r="G702" s="132">
        <v>108.7</v>
      </c>
      <c r="H702" s="133">
        <v>8329.7</v>
      </c>
      <c r="I702" s="24" t="s">
        <v>4807</v>
      </c>
    </row>
    <row r="703">
      <c r="A703" s="119">
        <v>55.0</v>
      </c>
      <c r="B703" s="119">
        <v>18.0</v>
      </c>
      <c r="C703" s="129">
        <v>72284.0</v>
      </c>
      <c r="D703" s="129">
        <v>3089.0</v>
      </c>
      <c r="E703" s="130">
        <v>-78561.0</v>
      </c>
      <c r="F703" s="131">
        <v>266.0</v>
      </c>
      <c r="G703" s="132">
        <v>49.7</v>
      </c>
      <c r="H703" s="133">
        <v>3871.85</v>
      </c>
      <c r="I703" s="24" t="s">
        <v>4808</v>
      </c>
    </row>
    <row r="704">
      <c r="A704" s="119">
        <v>96.0</v>
      </c>
      <c r="B704" s="119">
        <v>16.0</v>
      </c>
      <c r="C704" s="129">
        <v>91516.0</v>
      </c>
      <c r="D704" s="129">
        <v>-7050.0</v>
      </c>
      <c r="E704" s="130">
        <v>525.0</v>
      </c>
      <c r="F704" s="131">
        <v>-79.0</v>
      </c>
      <c r="G704" s="132">
        <v>14330.2</v>
      </c>
      <c r="H704" s="133">
        <v>3149.71</v>
      </c>
      <c r="I704" s="24" t="s">
        <v>4809</v>
      </c>
    </row>
    <row r="705">
      <c r="A705" s="119">
        <v>34.0</v>
      </c>
      <c r="B705" s="119">
        <v>73.0</v>
      </c>
      <c r="C705" s="129">
        <v>8008.0</v>
      </c>
      <c r="D705" s="129">
        <v>96302.0</v>
      </c>
      <c r="E705" s="130">
        <v>232.0</v>
      </c>
      <c r="F705" s="131">
        <v>-190.0</v>
      </c>
      <c r="G705" s="132">
        <v>146.16</v>
      </c>
      <c r="H705" s="133">
        <v>5101.18</v>
      </c>
      <c r="I705" s="24" t="s">
        <v>4810</v>
      </c>
    </row>
    <row r="706">
      <c r="A706" s="119">
        <v>96.0</v>
      </c>
      <c r="B706" s="119">
        <v>19.0</v>
      </c>
      <c r="C706" s="129">
        <v>46658.0</v>
      </c>
      <c r="D706" s="129">
        <v>9381.0</v>
      </c>
      <c r="E706" s="130">
        <v>471.0</v>
      </c>
      <c r="F706" s="131">
        <v>73.0</v>
      </c>
      <c r="G706" s="132">
        <v>82748.87</v>
      </c>
      <c r="H706" s="133">
        <v>-695.81</v>
      </c>
      <c r="I706" s="24" t="s">
        <v>4811</v>
      </c>
    </row>
    <row r="707">
      <c r="A707" s="119">
        <v>14.0</v>
      </c>
      <c r="B707" s="119">
        <v>30.0</v>
      </c>
      <c r="C707" s="129">
        <v>42695.0</v>
      </c>
      <c r="D707" s="129">
        <v>849.0</v>
      </c>
      <c r="E707" s="130">
        <v>4042.0</v>
      </c>
      <c r="F707" s="131">
        <v>9999.0</v>
      </c>
      <c r="G707" s="132">
        <v>81132.59</v>
      </c>
      <c r="H707" s="133">
        <v>5712.46</v>
      </c>
      <c r="I707" s="24" t="s">
        <v>4812</v>
      </c>
    </row>
    <row r="708">
      <c r="A708" s="119">
        <v>34.0</v>
      </c>
      <c r="B708" s="119">
        <v>78.0</v>
      </c>
      <c r="C708" s="129">
        <v>7075.0</v>
      </c>
      <c r="D708" s="129">
        <v>-59.0</v>
      </c>
      <c r="E708" s="130">
        <v>-10414.0</v>
      </c>
      <c r="F708" s="131">
        <v>-61.0</v>
      </c>
      <c r="G708" s="132">
        <v>3974.26</v>
      </c>
      <c r="H708" s="133">
        <v>174.13</v>
      </c>
      <c r="I708" s="24" t="s">
        <v>4813</v>
      </c>
    </row>
    <row r="709">
      <c r="A709" s="119">
        <v>96.0</v>
      </c>
      <c r="B709" s="119">
        <v>23.0</v>
      </c>
      <c r="C709" s="129">
        <v>5759.0</v>
      </c>
      <c r="D709" s="129">
        <v>69.0</v>
      </c>
      <c r="E709" s="130">
        <v>42.0</v>
      </c>
      <c r="F709" s="131">
        <v>-398.0</v>
      </c>
      <c r="G709" s="132">
        <v>7356.18</v>
      </c>
      <c r="H709" s="133">
        <v>49630.77</v>
      </c>
      <c r="I709" s="24" t="s">
        <v>4814</v>
      </c>
    </row>
    <row r="710">
      <c r="A710" s="119">
        <v>14.0</v>
      </c>
      <c r="B710" s="119">
        <v>32.0</v>
      </c>
      <c r="C710" s="129">
        <v>46331.0</v>
      </c>
      <c r="D710" s="129">
        <v>54.0</v>
      </c>
      <c r="E710" s="130">
        <v>-75302.0</v>
      </c>
      <c r="F710" s="131">
        <v>18468.0</v>
      </c>
      <c r="G710" s="132">
        <v>61273.98</v>
      </c>
      <c r="H710" s="133">
        <v>748.4</v>
      </c>
      <c r="I710" s="24" t="s">
        <v>4815</v>
      </c>
    </row>
    <row r="711">
      <c r="A711" s="119">
        <v>55.0</v>
      </c>
      <c r="B711" s="119">
        <v>27.0</v>
      </c>
      <c r="C711" s="129">
        <v>82496.0</v>
      </c>
      <c r="D711" s="129">
        <v>3559.0</v>
      </c>
      <c r="E711" s="130">
        <v>934.0</v>
      </c>
      <c r="F711" s="131">
        <v>-48.0</v>
      </c>
      <c r="G711" s="132">
        <v>-590.73</v>
      </c>
      <c r="H711" s="133">
        <v>34231.87</v>
      </c>
      <c r="I711" s="24" t="s">
        <v>4816</v>
      </c>
    </row>
    <row r="712">
      <c r="A712" s="119">
        <v>75.0</v>
      </c>
      <c r="B712" s="119">
        <v>80.0</v>
      </c>
      <c r="C712" s="129">
        <v>37424.0</v>
      </c>
      <c r="D712" s="129">
        <v>3215.0</v>
      </c>
      <c r="E712" s="130">
        <v>6322.0</v>
      </c>
      <c r="F712" s="131">
        <v>1317.0</v>
      </c>
      <c r="G712" s="132">
        <v>-129.68</v>
      </c>
      <c r="H712" s="133">
        <v>21.98</v>
      </c>
      <c r="I712" s="24" t="s">
        <v>4817</v>
      </c>
    </row>
    <row r="713">
      <c r="A713" s="119">
        <v>75.0</v>
      </c>
      <c r="B713" s="119">
        <v>81.0</v>
      </c>
      <c r="C713" s="129">
        <v>76933.0</v>
      </c>
      <c r="D713" s="129">
        <v>-3253.0</v>
      </c>
      <c r="E713" s="130">
        <v>46585.0</v>
      </c>
      <c r="F713" s="131">
        <v>61959.0</v>
      </c>
      <c r="G713" s="132">
        <v>25.3</v>
      </c>
      <c r="H713" s="133">
        <v>9401.54</v>
      </c>
      <c r="I713" s="24" t="s">
        <v>4818</v>
      </c>
    </row>
    <row r="714">
      <c r="A714" s="119">
        <v>14.0</v>
      </c>
      <c r="B714" s="119">
        <v>38.0</v>
      </c>
      <c r="C714" s="129">
        <v>35572.0</v>
      </c>
      <c r="D714" s="129">
        <v>449.0</v>
      </c>
      <c r="E714" s="130">
        <v>360.0</v>
      </c>
      <c r="F714" s="131">
        <v>-62512.0</v>
      </c>
      <c r="G714" s="132">
        <v>4493.9</v>
      </c>
      <c r="H714" s="133">
        <v>27.21</v>
      </c>
      <c r="I714" s="24" t="s">
        <v>4819</v>
      </c>
    </row>
    <row r="715">
      <c r="A715" s="119">
        <v>55.0</v>
      </c>
      <c r="B715" s="119">
        <v>35.0</v>
      </c>
      <c r="C715" s="129">
        <v>62037.0</v>
      </c>
      <c r="D715" s="129">
        <v>971.0</v>
      </c>
      <c r="E715" s="130">
        <v>868779.0</v>
      </c>
      <c r="F715" s="131">
        <v>921.0</v>
      </c>
      <c r="G715" s="132">
        <v>583.95</v>
      </c>
      <c r="H715" s="133">
        <v>-80476.58</v>
      </c>
      <c r="I715" s="24" t="s">
        <v>4820</v>
      </c>
    </row>
    <row r="716">
      <c r="A716" s="119">
        <v>75.0</v>
      </c>
      <c r="B716" s="119">
        <v>84.0</v>
      </c>
      <c r="C716" s="129">
        <v>60536.0</v>
      </c>
      <c r="D716" s="129">
        <v>21235.0</v>
      </c>
      <c r="E716" s="130">
        <v>335438.0</v>
      </c>
      <c r="F716" s="131">
        <v>64.0</v>
      </c>
      <c r="G716" s="132">
        <v>54.84</v>
      </c>
      <c r="H716" s="133">
        <v>42.3</v>
      </c>
      <c r="I716" s="24" t="s">
        <v>4821</v>
      </c>
    </row>
    <row r="717">
      <c r="A717" s="119">
        <v>55.0</v>
      </c>
      <c r="B717" s="119">
        <v>37.0</v>
      </c>
      <c r="C717" s="129">
        <v>40592.0</v>
      </c>
      <c r="D717" s="129">
        <v>89.0</v>
      </c>
      <c r="E717" s="130">
        <v>58194.0</v>
      </c>
      <c r="F717" s="131">
        <v>47.0</v>
      </c>
      <c r="G717" s="132">
        <v>3687.42</v>
      </c>
      <c r="H717" s="133">
        <v>4376.1</v>
      </c>
      <c r="I717" s="24" t="s">
        <v>4822</v>
      </c>
    </row>
    <row r="718">
      <c r="A718" s="119">
        <v>75.0</v>
      </c>
      <c r="B718" s="119">
        <v>88.0</v>
      </c>
      <c r="C718" s="129">
        <v>19094.0</v>
      </c>
      <c r="D718" s="129">
        <v>82658.0</v>
      </c>
      <c r="E718" s="130">
        <v>-292.0</v>
      </c>
      <c r="F718" s="131">
        <v>3683.0</v>
      </c>
      <c r="G718" s="132">
        <v>-85327.67</v>
      </c>
      <c r="H718" s="133">
        <v>7023.46</v>
      </c>
      <c r="I718" s="24" t="s">
        <v>4823</v>
      </c>
    </row>
    <row r="719">
      <c r="A719" s="119">
        <v>14.0</v>
      </c>
      <c r="B719" s="119">
        <v>46.0</v>
      </c>
      <c r="C719" s="129">
        <v>12364.0</v>
      </c>
      <c r="D719" s="129">
        <v>72.0</v>
      </c>
      <c r="E719" s="130">
        <v>99.0</v>
      </c>
      <c r="F719" s="131">
        <v>17.0</v>
      </c>
      <c r="G719" s="132">
        <v>91311.61</v>
      </c>
      <c r="H719" s="133">
        <v>50911.61</v>
      </c>
      <c r="I719" s="24" t="s">
        <v>4824</v>
      </c>
    </row>
    <row r="720">
      <c r="A720" s="119">
        <v>96.0</v>
      </c>
      <c r="B720" s="119">
        <v>43.0</v>
      </c>
      <c r="C720" s="129">
        <v>73666.0</v>
      </c>
      <c r="D720" s="129">
        <v>69.0</v>
      </c>
      <c r="E720" s="130">
        <v>6040.0</v>
      </c>
      <c r="F720" s="131">
        <v>488.0</v>
      </c>
      <c r="G720" s="132">
        <v>38805.32</v>
      </c>
      <c r="H720" s="133">
        <v>366.27</v>
      </c>
      <c r="I720" s="24" t="s">
        <v>4825</v>
      </c>
    </row>
    <row r="721">
      <c r="A721" s="119">
        <v>75.0</v>
      </c>
      <c r="B721" s="119">
        <v>96.0</v>
      </c>
      <c r="C721" s="129">
        <v>25796.0</v>
      </c>
      <c r="D721" s="129">
        <v>52.0</v>
      </c>
      <c r="E721" s="130">
        <v>995488.0</v>
      </c>
      <c r="F721" s="131">
        <v>44641.0</v>
      </c>
      <c r="G721" s="132">
        <v>905.82</v>
      </c>
      <c r="H721" s="133">
        <v>-18709.18</v>
      </c>
      <c r="I721" s="24" t="s">
        <v>4826</v>
      </c>
    </row>
    <row r="722">
      <c r="A722" s="119">
        <v>35.0</v>
      </c>
      <c r="B722" s="119">
        <v>1.0</v>
      </c>
      <c r="C722" s="129">
        <v>61274.0</v>
      </c>
      <c r="D722" s="129">
        <v>-894.0</v>
      </c>
      <c r="E722" s="130">
        <v>-955006.0</v>
      </c>
      <c r="F722" s="131">
        <v>8118.0</v>
      </c>
      <c r="G722" s="132">
        <v>-29522.14</v>
      </c>
      <c r="H722" s="133">
        <v>80.48</v>
      </c>
      <c r="I722" s="24" t="s">
        <v>4827</v>
      </c>
    </row>
    <row r="723">
      <c r="A723" s="119">
        <v>55.0</v>
      </c>
      <c r="B723" s="119">
        <v>49.0</v>
      </c>
      <c r="C723" s="129">
        <v>19476.0</v>
      </c>
      <c r="D723" s="129">
        <v>74992.0</v>
      </c>
      <c r="E723" s="130">
        <v>5300.0</v>
      </c>
      <c r="F723" s="131">
        <v>3674.0</v>
      </c>
      <c r="G723" s="132">
        <v>40.47</v>
      </c>
      <c r="H723" s="133">
        <v>938.92</v>
      </c>
      <c r="I723" s="24" t="s">
        <v>4828</v>
      </c>
    </row>
    <row r="724">
      <c r="A724" s="119">
        <v>96.0</v>
      </c>
      <c r="B724" s="119">
        <v>45.0</v>
      </c>
      <c r="C724" s="129">
        <v>95669.0</v>
      </c>
      <c r="D724" s="129">
        <v>97.0</v>
      </c>
      <c r="E724" s="130">
        <v>9668.0</v>
      </c>
      <c r="F724" s="131">
        <v>63.0</v>
      </c>
      <c r="G724" s="132">
        <v>243.66</v>
      </c>
      <c r="H724" s="133">
        <v>7430.91</v>
      </c>
      <c r="I724" s="24" t="s">
        <v>4829</v>
      </c>
    </row>
    <row r="725">
      <c r="A725" s="119">
        <v>14.0</v>
      </c>
      <c r="B725" s="119">
        <v>53.0</v>
      </c>
      <c r="C725" s="129">
        <v>97408.0</v>
      </c>
      <c r="D725" s="129">
        <v>8963.0</v>
      </c>
      <c r="E725" s="130">
        <v>2352.0</v>
      </c>
      <c r="F725" s="131">
        <v>69.0</v>
      </c>
      <c r="G725" s="132">
        <v>90763.26</v>
      </c>
      <c r="H725" s="133">
        <v>4658.39</v>
      </c>
      <c r="I725" s="24" t="s">
        <v>4830</v>
      </c>
    </row>
    <row r="726">
      <c r="A726" s="119">
        <v>55.0</v>
      </c>
      <c r="B726" s="119">
        <v>51.0</v>
      </c>
      <c r="C726" s="129">
        <v>40245.0</v>
      </c>
      <c r="D726" s="129">
        <v>-56765.0</v>
      </c>
      <c r="E726" s="130">
        <v>-430244.0</v>
      </c>
      <c r="F726" s="131">
        <v>98446.0</v>
      </c>
      <c r="G726" s="132">
        <v>44632.87</v>
      </c>
      <c r="H726" s="133">
        <v>-50.69</v>
      </c>
      <c r="I726" s="24" t="s">
        <v>4831</v>
      </c>
    </row>
    <row r="727">
      <c r="A727" s="119">
        <v>76.0</v>
      </c>
      <c r="B727" s="119">
        <v>2.0</v>
      </c>
      <c r="C727" s="129">
        <v>26752.0</v>
      </c>
      <c r="D727" s="129">
        <v>274.0</v>
      </c>
      <c r="E727" s="130">
        <v>9211.0</v>
      </c>
      <c r="F727" s="131">
        <v>26.0</v>
      </c>
      <c r="G727" s="132">
        <v>34410.21</v>
      </c>
      <c r="H727" s="133">
        <v>97.12</v>
      </c>
      <c r="I727" s="24" t="s">
        <v>4832</v>
      </c>
    </row>
    <row r="728">
      <c r="A728" s="119">
        <v>76.0</v>
      </c>
      <c r="B728" s="119">
        <v>3.0</v>
      </c>
      <c r="C728" s="129">
        <v>59292.0</v>
      </c>
      <c r="D728" s="129">
        <v>955.0</v>
      </c>
      <c r="E728" s="130">
        <v>-9301.0</v>
      </c>
      <c r="F728" s="131">
        <v>72.0</v>
      </c>
      <c r="G728" s="132">
        <v>-84219.76</v>
      </c>
      <c r="H728" s="133">
        <v>92.84</v>
      </c>
      <c r="I728" s="24" t="s">
        <v>4833</v>
      </c>
    </row>
    <row r="729">
      <c r="A729" s="119">
        <v>35.0</v>
      </c>
      <c r="B729" s="119">
        <v>8.0</v>
      </c>
      <c r="C729" s="129">
        <v>58429.0</v>
      </c>
      <c r="D729" s="129">
        <v>-7541.0</v>
      </c>
      <c r="E729" s="130">
        <v>24005.0</v>
      </c>
      <c r="F729" s="131">
        <v>52.0</v>
      </c>
      <c r="G729" s="132">
        <v>216.28</v>
      </c>
      <c r="H729" s="133">
        <v>6622.26</v>
      </c>
      <c r="I729" s="24" t="s">
        <v>4834</v>
      </c>
    </row>
    <row r="730">
      <c r="A730" s="119">
        <v>55.0</v>
      </c>
      <c r="B730" s="119">
        <v>55.0</v>
      </c>
      <c r="C730" s="129">
        <v>87228.0</v>
      </c>
      <c r="D730" s="129">
        <v>87.0</v>
      </c>
      <c r="E730" s="130">
        <v>-23.0</v>
      </c>
      <c r="F730" s="131">
        <v>48.0</v>
      </c>
      <c r="G730" s="132">
        <v>7788.55</v>
      </c>
      <c r="H730" s="133">
        <v>58.24</v>
      </c>
      <c r="I730" s="24" t="s">
        <v>4835</v>
      </c>
    </row>
    <row r="731">
      <c r="A731" s="119">
        <v>35.0</v>
      </c>
      <c r="B731" s="119">
        <v>9.0</v>
      </c>
      <c r="C731" s="129">
        <v>74667.0</v>
      </c>
      <c r="D731" s="129">
        <v>-98.0</v>
      </c>
      <c r="E731" s="130">
        <v>121.0</v>
      </c>
      <c r="F731" s="131">
        <v>98721.0</v>
      </c>
      <c r="G731" s="132">
        <v>3296.99</v>
      </c>
      <c r="H731" s="133">
        <v>84865.5</v>
      </c>
      <c r="I731" s="24" t="s">
        <v>4836</v>
      </c>
    </row>
    <row r="732">
      <c r="A732" s="119">
        <v>55.0</v>
      </c>
      <c r="B732" s="119">
        <v>59.0</v>
      </c>
      <c r="C732" s="129">
        <v>80486.0</v>
      </c>
      <c r="D732" s="129">
        <v>17089.0</v>
      </c>
      <c r="E732" s="130">
        <v>73.0</v>
      </c>
      <c r="F732" s="131">
        <v>31537.0</v>
      </c>
      <c r="G732" s="132">
        <v>69074.56</v>
      </c>
      <c r="H732" s="133">
        <v>78309.6</v>
      </c>
      <c r="I732" s="24" t="s">
        <v>4837</v>
      </c>
    </row>
    <row r="733">
      <c r="A733" s="119">
        <v>14.0</v>
      </c>
      <c r="B733" s="119">
        <v>63.0</v>
      </c>
      <c r="C733" s="129">
        <v>87766.0</v>
      </c>
      <c r="D733" s="129">
        <v>91.0</v>
      </c>
      <c r="E733" s="130">
        <v>88524.0</v>
      </c>
      <c r="F733" s="131">
        <v>96.0</v>
      </c>
      <c r="G733" s="132">
        <v>1964.57</v>
      </c>
      <c r="H733" s="133">
        <v>9097.99</v>
      </c>
      <c r="I733" s="24" t="s">
        <v>4838</v>
      </c>
    </row>
    <row r="734">
      <c r="A734" s="119">
        <v>14.0</v>
      </c>
      <c r="B734" s="119">
        <v>59.0</v>
      </c>
      <c r="C734" s="129">
        <v>34227.0</v>
      </c>
      <c r="D734" s="129">
        <v>93.0</v>
      </c>
      <c r="E734" s="130">
        <v>687408.0</v>
      </c>
      <c r="F734" s="131">
        <v>12514.0</v>
      </c>
      <c r="G734" s="132">
        <v>34604.74</v>
      </c>
      <c r="H734" s="133">
        <v>9721.57</v>
      </c>
      <c r="I734" s="24" t="s">
        <v>4839</v>
      </c>
    </row>
    <row r="735">
      <c r="A735" s="119">
        <v>76.0</v>
      </c>
      <c r="B735" s="119">
        <v>10.0</v>
      </c>
      <c r="C735" s="129">
        <v>12324.0</v>
      </c>
      <c r="D735" s="129">
        <v>-25333.0</v>
      </c>
      <c r="E735" s="130">
        <v>-27891.0</v>
      </c>
      <c r="F735" s="131">
        <v>32977.0</v>
      </c>
      <c r="G735" s="132">
        <v>75.82</v>
      </c>
      <c r="H735" s="133">
        <v>7198.9</v>
      </c>
      <c r="I735" s="24" t="s">
        <v>4840</v>
      </c>
    </row>
    <row r="736">
      <c r="A736" s="119">
        <v>96.0</v>
      </c>
      <c r="B736" s="119">
        <v>54.0</v>
      </c>
      <c r="C736" s="129">
        <v>46648.0</v>
      </c>
      <c r="D736" s="129">
        <v>644.0</v>
      </c>
      <c r="E736" s="130">
        <v>-838775.0</v>
      </c>
      <c r="F736" s="131">
        <v>-88592.0</v>
      </c>
      <c r="G736" s="132">
        <v>-83740.33</v>
      </c>
      <c r="H736" s="133">
        <v>-3215.83</v>
      </c>
      <c r="I736" s="24" t="s">
        <v>4841</v>
      </c>
    </row>
    <row r="737">
      <c r="A737" s="119">
        <v>14.0</v>
      </c>
      <c r="B737" s="119">
        <v>67.0</v>
      </c>
      <c r="C737" s="129">
        <v>33150.0</v>
      </c>
      <c r="D737" s="129">
        <v>494.0</v>
      </c>
      <c r="E737" s="130">
        <v>228.0</v>
      </c>
      <c r="F737" s="131">
        <v>89.0</v>
      </c>
      <c r="G737" s="132">
        <v>8723.39</v>
      </c>
      <c r="H737" s="133">
        <v>25943.21</v>
      </c>
      <c r="I737" s="24" t="s">
        <v>4842</v>
      </c>
    </row>
    <row r="738">
      <c r="A738" s="119">
        <v>76.0</v>
      </c>
      <c r="B738" s="119">
        <v>14.0</v>
      </c>
      <c r="C738" s="129">
        <v>81088.0</v>
      </c>
      <c r="D738" s="129">
        <v>-78723.0</v>
      </c>
      <c r="E738" s="130">
        <v>936.0</v>
      </c>
      <c r="F738" s="131">
        <v>-555.0</v>
      </c>
      <c r="G738" s="132">
        <v>8962.82</v>
      </c>
      <c r="H738" s="133">
        <v>-67.98</v>
      </c>
      <c r="I738" s="24" t="s">
        <v>4843</v>
      </c>
    </row>
    <row r="739">
      <c r="A739" s="119">
        <v>35.0</v>
      </c>
      <c r="B739" s="119">
        <v>23.0</v>
      </c>
      <c r="C739" s="129">
        <v>70202.0</v>
      </c>
      <c r="D739" s="129">
        <v>822.0</v>
      </c>
      <c r="E739" s="130">
        <v>-119962.0</v>
      </c>
      <c r="F739" s="131">
        <v>511.0</v>
      </c>
      <c r="G739" s="132">
        <v>420.17</v>
      </c>
      <c r="H739" s="133">
        <v>439.3</v>
      </c>
      <c r="I739" s="24" t="s">
        <v>4844</v>
      </c>
    </row>
    <row r="740">
      <c r="A740" s="119">
        <v>14.0</v>
      </c>
      <c r="B740" s="119">
        <v>79.0</v>
      </c>
      <c r="C740" s="129">
        <v>2912.0</v>
      </c>
      <c r="D740" s="129">
        <v>-9876.0</v>
      </c>
      <c r="E740" s="130">
        <v>-65.0</v>
      </c>
      <c r="F740" s="131">
        <v>10.0</v>
      </c>
      <c r="G740" s="132">
        <v>-77290.93</v>
      </c>
      <c r="H740" s="133">
        <v>25710.24</v>
      </c>
      <c r="I740" s="24" t="s">
        <v>4845</v>
      </c>
    </row>
    <row r="741">
      <c r="A741" s="119">
        <v>96.0</v>
      </c>
      <c r="B741" s="119">
        <v>72.0</v>
      </c>
      <c r="C741" s="129">
        <v>67774.0</v>
      </c>
      <c r="D741" s="129">
        <v>385.0</v>
      </c>
      <c r="E741" s="130">
        <v>-193.0</v>
      </c>
      <c r="F741" s="131">
        <v>28176.0</v>
      </c>
      <c r="G741" s="132">
        <v>-5479.36</v>
      </c>
      <c r="H741" s="133">
        <v>53.96</v>
      </c>
      <c r="I741" s="24" t="s">
        <v>4846</v>
      </c>
    </row>
    <row r="742">
      <c r="A742" s="119">
        <v>35.0</v>
      </c>
      <c r="B742" s="119">
        <v>30.0</v>
      </c>
      <c r="C742" s="129">
        <v>75857.0</v>
      </c>
      <c r="D742" s="129">
        <v>-4891.0</v>
      </c>
      <c r="E742" s="130">
        <v>991.0</v>
      </c>
      <c r="F742" s="131">
        <v>73371.0</v>
      </c>
      <c r="G742" s="132">
        <v>574.8</v>
      </c>
      <c r="H742" s="133">
        <v>84639.37</v>
      </c>
      <c r="I742" s="24" t="s">
        <v>4847</v>
      </c>
    </row>
    <row r="743">
      <c r="A743" s="119">
        <v>55.0</v>
      </c>
      <c r="B743" s="119">
        <v>79.0</v>
      </c>
      <c r="C743" s="129">
        <v>42886.0</v>
      </c>
      <c r="D743" s="129">
        <v>583.0</v>
      </c>
      <c r="E743" s="130">
        <v>8348.0</v>
      </c>
      <c r="F743" s="131">
        <v>67.0</v>
      </c>
      <c r="G743" s="132">
        <v>-980.81</v>
      </c>
      <c r="H743" s="133">
        <v>11164.83</v>
      </c>
      <c r="I743" s="24" t="s">
        <v>4848</v>
      </c>
    </row>
    <row r="744">
      <c r="A744" s="119">
        <v>35.0</v>
      </c>
      <c r="B744" s="119">
        <v>32.0</v>
      </c>
      <c r="C744" s="129">
        <v>9505.0</v>
      </c>
      <c r="D744" s="129">
        <v>15.0</v>
      </c>
      <c r="E744" s="130">
        <v>-741.0</v>
      </c>
      <c r="F744" s="131">
        <v>17531.0</v>
      </c>
      <c r="G744" s="132">
        <v>25.72</v>
      </c>
      <c r="H744" s="133">
        <v>42086.67</v>
      </c>
      <c r="I744" s="24" t="s">
        <v>4849</v>
      </c>
    </row>
    <row r="745">
      <c r="A745" s="119">
        <v>35.0</v>
      </c>
      <c r="B745" s="119">
        <v>33.0</v>
      </c>
      <c r="C745" s="129">
        <v>68075.0</v>
      </c>
      <c r="D745" s="129">
        <v>513.0</v>
      </c>
      <c r="E745" s="130">
        <v>655.0</v>
      </c>
      <c r="F745" s="131">
        <v>-68626.0</v>
      </c>
      <c r="G745" s="132">
        <v>19.54</v>
      </c>
      <c r="H745" s="133">
        <v>24.83</v>
      </c>
      <c r="I745" s="24" t="s">
        <v>4850</v>
      </c>
    </row>
    <row r="746">
      <c r="A746" s="119">
        <v>14.0</v>
      </c>
      <c r="B746" s="119">
        <v>85.0</v>
      </c>
      <c r="C746" s="129">
        <v>37577.0</v>
      </c>
      <c r="D746" s="129">
        <v>31054.0</v>
      </c>
      <c r="E746" s="130">
        <v>624.0</v>
      </c>
      <c r="F746" s="131">
        <v>957.0</v>
      </c>
      <c r="G746" s="132">
        <v>-2877.84</v>
      </c>
      <c r="H746" s="133">
        <v>-1011.97</v>
      </c>
      <c r="I746" s="24" t="s">
        <v>4504</v>
      </c>
    </row>
    <row r="747">
      <c r="A747" s="119">
        <v>55.0</v>
      </c>
      <c r="B747" s="119">
        <v>83.0</v>
      </c>
      <c r="C747" s="129">
        <v>81003.0</v>
      </c>
      <c r="D747" s="129">
        <v>951.0</v>
      </c>
      <c r="E747" s="130">
        <v>829.0</v>
      </c>
      <c r="F747" s="131">
        <v>43.0</v>
      </c>
      <c r="G747" s="132">
        <v>31386.22</v>
      </c>
      <c r="H747" s="133">
        <v>434.5</v>
      </c>
      <c r="I747" s="24" t="s">
        <v>4851</v>
      </c>
    </row>
    <row r="748">
      <c r="A748" s="119">
        <v>35.0</v>
      </c>
      <c r="B748" s="119">
        <v>36.0</v>
      </c>
      <c r="C748" s="129">
        <v>79266.0</v>
      </c>
      <c r="D748" s="129">
        <v>66.0</v>
      </c>
      <c r="E748" s="130">
        <v>-847132.0</v>
      </c>
      <c r="F748" s="131">
        <v>4526.0</v>
      </c>
      <c r="G748" s="132">
        <v>341.1</v>
      </c>
      <c r="H748" s="133">
        <v>34226.1</v>
      </c>
      <c r="I748" s="24" t="s">
        <v>4852</v>
      </c>
    </row>
    <row r="749">
      <c r="A749" s="119">
        <v>14.0</v>
      </c>
      <c r="B749" s="119">
        <v>84.0</v>
      </c>
      <c r="C749" s="129">
        <v>36297.0</v>
      </c>
      <c r="D749" s="129">
        <v>-4233.0</v>
      </c>
      <c r="E749" s="130">
        <v>12.0</v>
      </c>
      <c r="F749" s="131">
        <v>27527.0</v>
      </c>
      <c r="G749" s="132">
        <v>7946.2</v>
      </c>
      <c r="H749" s="133">
        <v>72926.1</v>
      </c>
      <c r="I749" s="24" t="s">
        <v>4853</v>
      </c>
    </row>
    <row r="750">
      <c r="A750" s="119">
        <v>35.0</v>
      </c>
      <c r="B750" s="119">
        <v>39.0</v>
      </c>
      <c r="C750" s="129">
        <v>97885.0</v>
      </c>
      <c r="D750" s="129">
        <v>366.0</v>
      </c>
      <c r="E750" s="130">
        <v>7111.0</v>
      </c>
      <c r="F750" s="131">
        <v>28.0</v>
      </c>
      <c r="G750" s="132">
        <v>88.62</v>
      </c>
      <c r="H750" s="133">
        <v>963.2</v>
      </c>
      <c r="I750" s="24" t="s">
        <v>4854</v>
      </c>
    </row>
    <row r="751">
      <c r="A751" s="119">
        <v>96.0</v>
      </c>
      <c r="B751" s="119">
        <v>84.0</v>
      </c>
      <c r="C751" s="129">
        <v>18313.0</v>
      </c>
      <c r="D751" s="129">
        <v>73.0</v>
      </c>
      <c r="E751" s="130">
        <v>-37812.0</v>
      </c>
      <c r="F751" s="131">
        <v>17471.0</v>
      </c>
      <c r="G751" s="132">
        <v>5117.98</v>
      </c>
      <c r="H751" s="133">
        <v>4524.3</v>
      </c>
      <c r="I751" s="24" t="s">
        <v>4224</v>
      </c>
    </row>
    <row r="752">
      <c r="A752" s="119">
        <v>96.0</v>
      </c>
      <c r="B752" s="119">
        <v>88.0</v>
      </c>
      <c r="C752" s="129">
        <v>70172.0</v>
      </c>
      <c r="D752" s="129">
        <v>-51.0</v>
      </c>
      <c r="E752" s="130">
        <v>311110.0</v>
      </c>
      <c r="F752" s="131">
        <v>1611.0</v>
      </c>
      <c r="G752" s="132">
        <v>675.73</v>
      </c>
      <c r="H752" s="133">
        <v>9788.44</v>
      </c>
      <c r="I752" s="24" t="s">
        <v>4855</v>
      </c>
    </row>
    <row r="753">
      <c r="A753" s="119">
        <v>96.0</v>
      </c>
      <c r="B753" s="119">
        <v>89.0</v>
      </c>
      <c r="C753" s="129">
        <v>81025.0</v>
      </c>
      <c r="D753" s="129">
        <v>284.0</v>
      </c>
      <c r="E753" s="130">
        <v>-6042.0</v>
      </c>
      <c r="F753" s="131">
        <v>-45.0</v>
      </c>
      <c r="G753" s="132">
        <v>31.65</v>
      </c>
      <c r="H753" s="133">
        <v>71201.59</v>
      </c>
      <c r="I753" s="24" t="s">
        <v>4856</v>
      </c>
    </row>
    <row r="754">
      <c r="A754" s="119">
        <v>96.0</v>
      </c>
      <c r="B754" s="119">
        <v>91.0</v>
      </c>
      <c r="C754" s="129">
        <v>23682.0</v>
      </c>
      <c r="D754" s="129">
        <v>835.0</v>
      </c>
      <c r="E754" s="130">
        <v>41.0</v>
      </c>
      <c r="F754" s="131">
        <v>-48.0</v>
      </c>
      <c r="G754" s="132">
        <v>39648.6</v>
      </c>
      <c r="H754" s="133">
        <v>15.5</v>
      </c>
      <c r="I754" s="24" t="s">
        <v>4857</v>
      </c>
    </row>
    <row r="755">
      <c r="A755" s="119">
        <v>55.0</v>
      </c>
      <c r="B755" s="119">
        <v>96.0</v>
      </c>
      <c r="C755" s="129">
        <v>67989.0</v>
      </c>
      <c r="D755" s="129">
        <v>-91048.0</v>
      </c>
      <c r="E755" s="130">
        <v>51341.0</v>
      </c>
      <c r="F755" s="131">
        <v>7732.0</v>
      </c>
      <c r="G755" s="132">
        <v>912.5</v>
      </c>
      <c r="H755" s="133">
        <v>719.25</v>
      </c>
      <c r="I755" s="24" t="s">
        <v>4858</v>
      </c>
    </row>
    <row r="756">
      <c r="A756" s="119">
        <v>15.0</v>
      </c>
      <c r="B756" s="119">
        <v>2.0</v>
      </c>
      <c r="C756" s="129">
        <v>14322.0</v>
      </c>
      <c r="D756" s="129">
        <v>50.0</v>
      </c>
      <c r="E756" s="130">
        <v>646.0</v>
      </c>
      <c r="F756" s="131">
        <v>83777.0</v>
      </c>
      <c r="G756" s="132">
        <v>771.65</v>
      </c>
      <c r="H756" s="133">
        <v>6298.38</v>
      </c>
      <c r="I756" s="24" t="s">
        <v>4859</v>
      </c>
    </row>
    <row r="757">
      <c r="A757" s="119">
        <v>96.0</v>
      </c>
      <c r="B757" s="119">
        <v>94.0</v>
      </c>
      <c r="C757" s="129">
        <v>62497.0</v>
      </c>
      <c r="D757" s="129">
        <v>-548.0</v>
      </c>
      <c r="E757" s="130">
        <v>593641.0</v>
      </c>
      <c r="F757" s="131">
        <v>75784.0</v>
      </c>
      <c r="G757" s="132">
        <v>5061.94</v>
      </c>
      <c r="H757" s="133">
        <v>367.17</v>
      </c>
      <c r="I757" s="24" t="s">
        <v>4860</v>
      </c>
    </row>
    <row r="758">
      <c r="A758" s="119">
        <v>96.0</v>
      </c>
      <c r="B758" s="119">
        <v>96.0</v>
      </c>
      <c r="C758" s="129">
        <v>22369.0</v>
      </c>
      <c r="D758" s="129">
        <v>405.0</v>
      </c>
      <c r="E758" s="130">
        <v>-9083.0</v>
      </c>
      <c r="F758" s="131">
        <v>9047.0</v>
      </c>
      <c r="G758" s="132">
        <v>1554.86</v>
      </c>
      <c r="H758" s="133">
        <v>73526.75</v>
      </c>
      <c r="I758" s="24" t="s">
        <v>4861</v>
      </c>
    </row>
    <row r="759">
      <c r="A759" s="119">
        <v>56.0</v>
      </c>
      <c r="B759" s="119">
        <v>0.0</v>
      </c>
      <c r="C759" s="129">
        <v>51530.0</v>
      </c>
      <c r="D759" s="129">
        <v>51718.0</v>
      </c>
      <c r="E759" s="130">
        <v>34972.0</v>
      </c>
      <c r="F759" s="131">
        <v>33799.0</v>
      </c>
      <c r="G759" s="132">
        <v>440.95</v>
      </c>
      <c r="H759" s="133">
        <v>-666.25</v>
      </c>
      <c r="I759" s="24" t="s">
        <v>4862</v>
      </c>
    </row>
    <row r="760">
      <c r="A760" s="119">
        <v>76.0</v>
      </c>
      <c r="B760" s="119">
        <v>47.0</v>
      </c>
      <c r="C760" s="129">
        <v>92204.0</v>
      </c>
      <c r="D760" s="129">
        <v>-25.0</v>
      </c>
      <c r="E760" s="130">
        <v>4020.0</v>
      </c>
      <c r="F760" s="131">
        <v>98071.0</v>
      </c>
      <c r="G760" s="132">
        <v>459.12</v>
      </c>
      <c r="H760" s="133">
        <v>71963.44</v>
      </c>
      <c r="I760" s="24" t="s">
        <v>4863</v>
      </c>
    </row>
    <row r="761">
      <c r="A761" s="119">
        <v>15.0</v>
      </c>
      <c r="B761" s="119">
        <v>3.0</v>
      </c>
      <c r="C761" s="129">
        <v>88960.0</v>
      </c>
      <c r="D761" s="129">
        <v>5696.0</v>
      </c>
      <c r="E761" s="130">
        <v>3668.0</v>
      </c>
      <c r="F761" s="131">
        <v>15.0</v>
      </c>
      <c r="G761" s="132">
        <v>-94.31</v>
      </c>
      <c r="H761" s="133">
        <v>90.71</v>
      </c>
      <c r="I761" s="24" t="s">
        <v>4864</v>
      </c>
    </row>
    <row r="762">
      <c r="A762" s="119">
        <v>56.0</v>
      </c>
      <c r="B762" s="119">
        <v>4.0</v>
      </c>
      <c r="C762" s="129">
        <v>25551.0</v>
      </c>
      <c r="D762" s="129">
        <v>-37.0</v>
      </c>
      <c r="E762" s="130">
        <v>338.0</v>
      </c>
      <c r="F762" s="131">
        <v>39792.0</v>
      </c>
      <c r="G762" s="132">
        <v>-38.11</v>
      </c>
      <c r="H762" s="133">
        <v>848.4</v>
      </c>
      <c r="I762" s="24" t="s">
        <v>4865</v>
      </c>
    </row>
    <row r="763">
      <c r="A763" s="119">
        <v>15.0</v>
      </c>
      <c r="B763" s="119">
        <v>11.0</v>
      </c>
      <c r="C763" s="129">
        <v>41483.0</v>
      </c>
      <c r="D763" s="129">
        <v>643.0</v>
      </c>
      <c r="E763" s="130">
        <v>5931.0</v>
      </c>
      <c r="F763" s="131">
        <v>94.0</v>
      </c>
      <c r="G763" s="132">
        <v>683.14</v>
      </c>
      <c r="H763" s="133">
        <v>88.15</v>
      </c>
      <c r="I763" s="24" t="s">
        <v>4866</v>
      </c>
    </row>
    <row r="764">
      <c r="A764" s="119">
        <v>35.0</v>
      </c>
      <c r="B764" s="119">
        <v>61.0</v>
      </c>
      <c r="C764" s="129">
        <v>2840.0</v>
      </c>
      <c r="D764" s="129">
        <v>46662.0</v>
      </c>
      <c r="E764" s="130">
        <v>69617.0</v>
      </c>
      <c r="F764" s="131">
        <v>-9709.0</v>
      </c>
      <c r="G764" s="132">
        <v>164.3</v>
      </c>
      <c r="H764" s="133">
        <v>-811.86</v>
      </c>
      <c r="I764" s="24" t="s">
        <v>4867</v>
      </c>
    </row>
    <row r="765">
      <c r="A765" s="119">
        <v>97.0</v>
      </c>
      <c r="B765" s="119">
        <v>11.0</v>
      </c>
      <c r="C765" s="129">
        <v>17163.0</v>
      </c>
      <c r="D765" s="129">
        <v>27421.0</v>
      </c>
      <c r="E765" s="130">
        <v>-261605.0</v>
      </c>
      <c r="F765" s="131">
        <v>474.0</v>
      </c>
      <c r="G765" s="132">
        <v>70931.87</v>
      </c>
      <c r="H765" s="133">
        <v>-3506.9</v>
      </c>
      <c r="I765" s="24" t="s">
        <v>4868</v>
      </c>
    </row>
    <row r="766">
      <c r="A766" s="119">
        <v>35.0</v>
      </c>
      <c r="B766" s="119">
        <v>67.0</v>
      </c>
      <c r="C766" s="129">
        <v>11776.0</v>
      </c>
      <c r="D766" s="129">
        <v>78.0</v>
      </c>
      <c r="E766" s="130">
        <v>502.0</v>
      </c>
      <c r="F766" s="131">
        <v>-4187.0</v>
      </c>
      <c r="G766" s="132">
        <v>66076.97</v>
      </c>
      <c r="H766" s="133">
        <v>-1558.17</v>
      </c>
      <c r="I766" s="24" t="s">
        <v>4869</v>
      </c>
    </row>
    <row r="767">
      <c r="A767" s="119">
        <v>15.0</v>
      </c>
      <c r="B767" s="119">
        <v>22.0</v>
      </c>
      <c r="C767" s="129">
        <v>57226.0</v>
      </c>
      <c r="D767" s="129">
        <v>47.0</v>
      </c>
      <c r="E767" s="130">
        <v>-79.0</v>
      </c>
      <c r="F767" s="131">
        <v>-5733.0</v>
      </c>
      <c r="G767" s="132">
        <v>3724.88</v>
      </c>
      <c r="H767" s="133">
        <v>1749.28</v>
      </c>
      <c r="I767" s="24" t="s">
        <v>4870</v>
      </c>
    </row>
    <row r="768">
      <c r="A768" s="119">
        <v>56.0</v>
      </c>
      <c r="B768" s="119">
        <v>20.0</v>
      </c>
      <c r="C768" s="129">
        <v>19954.0</v>
      </c>
      <c r="D768" s="129">
        <v>2923.0</v>
      </c>
      <c r="E768" s="130">
        <v>43705.0</v>
      </c>
      <c r="F768" s="131">
        <v>289.0</v>
      </c>
      <c r="G768" s="132">
        <v>-64.24</v>
      </c>
      <c r="H768" s="133">
        <v>-92.86</v>
      </c>
      <c r="I768" s="24" t="s">
        <v>4871</v>
      </c>
    </row>
    <row r="769">
      <c r="A769" s="119">
        <v>35.0</v>
      </c>
      <c r="B769" s="119">
        <v>72.0</v>
      </c>
      <c r="C769" s="129">
        <v>86359.0</v>
      </c>
      <c r="D769" s="129">
        <v>312.0</v>
      </c>
      <c r="E769" s="130">
        <v>-65.0</v>
      </c>
      <c r="F769" s="131">
        <v>620.0</v>
      </c>
      <c r="G769" s="132">
        <v>3214.37</v>
      </c>
      <c r="H769" s="133">
        <v>1822.44</v>
      </c>
      <c r="I769" s="24" t="s">
        <v>4872</v>
      </c>
    </row>
    <row r="770">
      <c r="A770" s="119">
        <v>97.0</v>
      </c>
      <c r="B770" s="119">
        <v>18.0</v>
      </c>
      <c r="C770" s="129">
        <v>12196.0</v>
      </c>
      <c r="D770" s="129">
        <v>-7977.0</v>
      </c>
      <c r="E770" s="130">
        <v>35.0</v>
      </c>
      <c r="F770" s="131">
        <v>702.0</v>
      </c>
      <c r="G770" s="132">
        <v>398.59</v>
      </c>
      <c r="H770" s="133">
        <v>46927.23</v>
      </c>
      <c r="I770" s="24" t="s">
        <v>4873</v>
      </c>
    </row>
    <row r="771">
      <c r="A771" s="119">
        <v>76.0</v>
      </c>
      <c r="B771" s="119">
        <v>71.0</v>
      </c>
      <c r="C771" s="129">
        <v>34817.0</v>
      </c>
      <c r="D771" s="129">
        <v>-78310.0</v>
      </c>
      <c r="E771" s="130">
        <v>3582.0</v>
      </c>
      <c r="F771" s="131">
        <v>-48.0</v>
      </c>
      <c r="G771" s="132">
        <v>668.57</v>
      </c>
      <c r="H771" s="133">
        <v>4543.0</v>
      </c>
      <c r="I771" s="24" t="s">
        <v>4874</v>
      </c>
    </row>
    <row r="772">
      <c r="A772" s="119">
        <v>76.0</v>
      </c>
      <c r="B772" s="119">
        <v>75.0</v>
      </c>
      <c r="C772" s="129">
        <v>54546.0</v>
      </c>
      <c r="D772" s="129">
        <v>696.0</v>
      </c>
      <c r="E772" s="130">
        <v>895581.0</v>
      </c>
      <c r="F772" s="131">
        <v>106.0</v>
      </c>
      <c r="G772" s="132">
        <v>-9414.57</v>
      </c>
      <c r="H772" s="133">
        <v>14873.37</v>
      </c>
      <c r="I772" s="24" t="s">
        <v>4875</v>
      </c>
    </row>
    <row r="773">
      <c r="A773" s="119">
        <v>97.0</v>
      </c>
      <c r="B773" s="119">
        <v>23.0</v>
      </c>
      <c r="C773" s="129">
        <v>93609.0</v>
      </c>
      <c r="D773" s="129">
        <v>486.0</v>
      </c>
      <c r="E773" s="130">
        <v>-914196.0</v>
      </c>
      <c r="F773" s="131">
        <v>156.0</v>
      </c>
      <c r="G773" s="132">
        <v>2994.81</v>
      </c>
      <c r="H773" s="133">
        <v>66.91</v>
      </c>
      <c r="I773" s="24" t="s">
        <v>4876</v>
      </c>
    </row>
    <row r="774">
      <c r="A774" s="119">
        <v>15.0</v>
      </c>
      <c r="B774" s="119">
        <v>33.0</v>
      </c>
      <c r="C774" s="129">
        <v>92249.0</v>
      </c>
      <c r="D774" s="129">
        <v>698.0</v>
      </c>
      <c r="E774" s="130">
        <v>7392.0</v>
      </c>
      <c r="F774" s="131">
        <v>11.0</v>
      </c>
      <c r="G774" s="132">
        <v>-34.8</v>
      </c>
      <c r="H774" s="133">
        <v>89859.41</v>
      </c>
      <c r="I774" s="24" t="s">
        <v>4877</v>
      </c>
    </row>
    <row r="775">
      <c r="A775" s="119">
        <v>76.0</v>
      </c>
      <c r="B775" s="119">
        <v>77.0</v>
      </c>
      <c r="C775" s="129">
        <v>1277.0</v>
      </c>
      <c r="D775" s="129">
        <v>-110.0</v>
      </c>
      <c r="E775" s="130">
        <v>85867.0</v>
      </c>
      <c r="F775" s="131">
        <v>-474.0</v>
      </c>
      <c r="G775" s="132">
        <v>211.91</v>
      </c>
      <c r="H775" s="133">
        <v>-84084.5</v>
      </c>
      <c r="I775" s="24" t="s">
        <v>4878</v>
      </c>
    </row>
    <row r="776">
      <c r="A776" s="119">
        <v>35.0</v>
      </c>
      <c r="B776" s="119">
        <v>82.0</v>
      </c>
      <c r="C776" s="129">
        <v>74165.0</v>
      </c>
      <c r="D776" s="129">
        <v>39.0</v>
      </c>
      <c r="E776" s="130">
        <v>-365127.0</v>
      </c>
      <c r="F776" s="131">
        <v>-158.0</v>
      </c>
      <c r="G776" s="132">
        <v>31.94</v>
      </c>
      <c r="H776" s="133">
        <v>7852.4</v>
      </c>
      <c r="I776" s="24" t="s">
        <v>4879</v>
      </c>
    </row>
    <row r="777">
      <c r="A777" s="119">
        <v>56.0</v>
      </c>
      <c r="B777" s="119">
        <v>31.0</v>
      </c>
      <c r="C777" s="129">
        <v>43307.0</v>
      </c>
      <c r="D777" s="129">
        <v>938.0</v>
      </c>
      <c r="E777" s="130">
        <v>837954.0</v>
      </c>
      <c r="F777" s="131">
        <v>13.0</v>
      </c>
      <c r="G777" s="132">
        <v>73371.78</v>
      </c>
      <c r="H777" s="133">
        <v>91.47</v>
      </c>
      <c r="I777" s="24" t="s">
        <v>4880</v>
      </c>
    </row>
    <row r="778">
      <c r="A778" s="119">
        <v>97.0</v>
      </c>
      <c r="B778" s="119">
        <v>29.0</v>
      </c>
      <c r="C778" s="129">
        <v>33949.0</v>
      </c>
      <c r="D778" s="129">
        <v>1441.0</v>
      </c>
      <c r="E778" s="130">
        <v>913.0</v>
      </c>
      <c r="F778" s="131">
        <v>845.0</v>
      </c>
      <c r="G778" s="132">
        <v>3184.47</v>
      </c>
      <c r="H778" s="133">
        <v>-706.93</v>
      </c>
      <c r="I778" s="24" t="s">
        <v>4881</v>
      </c>
    </row>
    <row r="779">
      <c r="A779" s="119">
        <v>76.0</v>
      </c>
      <c r="B779" s="119">
        <v>76.0</v>
      </c>
      <c r="C779" s="129">
        <v>76859.0</v>
      </c>
      <c r="D779" s="129">
        <v>-46380.0</v>
      </c>
      <c r="E779" s="130">
        <v>15.0</v>
      </c>
      <c r="F779" s="131">
        <v>23644.0</v>
      </c>
      <c r="G779" s="132">
        <v>7520.52</v>
      </c>
      <c r="H779" s="133">
        <v>88007.32</v>
      </c>
      <c r="I779" s="24" t="s">
        <v>4882</v>
      </c>
    </row>
    <row r="780">
      <c r="A780" s="119">
        <v>15.0</v>
      </c>
      <c r="B780" s="119">
        <v>40.0</v>
      </c>
      <c r="C780" s="129">
        <v>98809.0</v>
      </c>
      <c r="D780" s="129">
        <v>2120.0</v>
      </c>
      <c r="E780" s="130">
        <v>-399874.0</v>
      </c>
      <c r="F780" s="131">
        <v>1333.0</v>
      </c>
      <c r="G780" s="132">
        <v>-2419.45</v>
      </c>
      <c r="H780" s="133">
        <v>4773.19</v>
      </c>
      <c r="I780" s="24" t="s">
        <v>4308</v>
      </c>
    </row>
    <row r="781">
      <c r="A781" s="119">
        <v>35.0</v>
      </c>
      <c r="B781" s="119">
        <v>91.0</v>
      </c>
      <c r="C781" s="129">
        <v>15350.0</v>
      </c>
      <c r="D781" s="129">
        <v>3493.0</v>
      </c>
      <c r="E781" s="130">
        <v>709.0</v>
      </c>
      <c r="F781" s="131">
        <v>26971.0</v>
      </c>
      <c r="G781" s="132">
        <v>53365.93</v>
      </c>
      <c r="H781" s="133">
        <v>773.62</v>
      </c>
      <c r="I781" s="24" t="s">
        <v>4883</v>
      </c>
    </row>
    <row r="782">
      <c r="A782" s="119">
        <v>15.0</v>
      </c>
      <c r="B782" s="119">
        <v>44.0</v>
      </c>
      <c r="C782" s="129">
        <v>52401.0</v>
      </c>
      <c r="D782" s="129">
        <v>-6590.0</v>
      </c>
      <c r="E782" s="130">
        <v>2780.0</v>
      </c>
      <c r="F782" s="131">
        <v>53.0</v>
      </c>
      <c r="G782" s="132">
        <v>42.27</v>
      </c>
      <c r="H782" s="133">
        <v>9047.75</v>
      </c>
      <c r="I782" s="24" t="s">
        <v>4884</v>
      </c>
    </row>
    <row r="783">
      <c r="A783" s="119">
        <v>35.0</v>
      </c>
      <c r="B783" s="119">
        <v>96.0</v>
      </c>
      <c r="C783" s="129">
        <v>5096.0</v>
      </c>
      <c r="D783" s="129">
        <v>13.0</v>
      </c>
      <c r="E783" s="130">
        <v>878889.0</v>
      </c>
      <c r="F783" s="131">
        <v>36498.0</v>
      </c>
      <c r="G783" s="132">
        <v>-5065.59</v>
      </c>
      <c r="H783" s="133">
        <v>-375.0</v>
      </c>
      <c r="I783" s="24" t="s">
        <v>4658</v>
      </c>
    </row>
    <row r="784">
      <c r="A784" s="119">
        <v>97.0</v>
      </c>
      <c r="B784" s="119">
        <v>42.0</v>
      </c>
      <c r="C784" s="129">
        <v>51288.0</v>
      </c>
      <c r="D784" s="129">
        <v>-1054.0</v>
      </c>
      <c r="E784" s="130">
        <v>300630.0</v>
      </c>
      <c r="F784" s="131">
        <v>9433.0</v>
      </c>
      <c r="G784" s="132">
        <v>31223.38</v>
      </c>
      <c r="H784" s="133">
        <v>76477.88</v>
      </c>
      <c r="I784" s="24" t="s">
        <v>4885</v>
      </c>
    </row>
    <row r="785">
      <c r="A785" s="119">
        <v>76.0</v>
      </c>
      <c r="B785" s="119">
        <v>98.0</v>
      </c>
      <c r="C785" s="129">
        <v>64934.0</v>
      </c>
      <c r="D785" s="129">
        <v>574.0</v>
      </c>
      <c r="E785" s="130">
        <v>-439.0</v>
      </c>
      <c r="F785" s="131">
        <v>751.0</v>
      </c>
      <c r="G785" s="132">
        <v>4150.76</v>
      </c>
      <c r="H785" s="133">
        <v>2725.28</v>
      </c>
      <c r="I785" s="24" t="s">
        <v>4886</v>
      </c>
    </row>
    <row r="786">
      <c r="A786" s="119">
        <v>77.0</v>
      </c>
      <c r="B786" s="119">
        <v>1.0</v>
      </c>
      <c r="C786" s="129">
        <v>46637.0</v>
      </c>
      <c r="D786" s="129">
        <v>191.0</v>
      </c>
      <c r="E786" s="130">
        <v>517.0</v>
      </c>
      <c r="F786" s="131">
        <v>647.0</v>
      </c>
      <c r="G786" s="132">
        <v>9607.9</v>
      </c>
      <c r="H786" s="133">
        <v>18418.19</v>
      </c>
      <c r="I786" s="24" t="s">
        <v>4887</v>
      </c>
    </row>
    <row r="787">
      <c r="A787" s="119">
        <v>77.0</v>
      </c>
      <c r="B787" s="119">
        <v>2.0</v>
      </c>
      <c r="C787" s="129">
        <v>32465.0</v>
      </c>
      <c r="D787" s="129">
        <v>66907.0</v>
      </c>
      <c r="E787" s="130">
        <v>1971.0</v>
      </c>
      <c r="F787" s="131">
        <v>1783.0</v>
      </c>
      <c r="G787" s="132">
        <v>94.72</v>
      </c>
      <c r="H787" s="133">
        <v>79884.11</v>
      </c>
      <c r="I787" s="24" t="s">
        <v>4888</v>
      </c>
    </row>
    <row r="788">
      <c r="A788" s="119">
        <v>56.0</v>
      </c>
      <c r="B788" s="119">
        <v>53.0</v>
      </c>
      <c r="C788" s="129">
        <v>37893.0</v>
      </c>
      <c r="D788" s="129">
        <v>7234.0</v>
      </c>
      <c r="E788" s="130">
        <v>740002.0</v>
      </c>
      <c r="F788" s="131">
        <v>-23761.0</v>
      </c>
      <c r="G788" s="132">
        <v>13.55</v>
      </c>
      <c r="H788" s="133">
        <v>53.75</v>
      </c>
      <c r="I788" s="24" t="s">
        <v>4889</v>
      </c>
    </row>
    <row r="789">
      <c r="A789" s="119">
        <v>51.0</v>
      </c>
      <c r="B789" s="119">
        <v>94.0</v>
      </c>
      <c r="C789" s="129">
        <v>61604.0</v>
      </c>
      <c r="D789" s="129">
        <v>30.0</v>
      </c>
      <c r="E789" s="130">
        <v>894.0</v>
      </c>
      <c r="F789" s="131">
        <v>-49476.0</v>
      </c>
      <c r="G789" s="132">
        <v>-84402.88</v>
      </c>
      <c r="H789" s="133">
        <v>48163.24</v>
      </c>
      <c r="I789" s="24" t="s">
        <v>4890</v>
      </c>
    </row>
    <row r="790">
      <c r="A790" s="119">
        <v>15.0</v>
      </c>
      <c r="B790" s="119">
        <v>66.0</v>
      </c>
      <c r="C790" s="129">
        <v>23160.0</v>
      </c>
      <c r="D790" s="129">
        <v>39.0</v>
      </c>
      <c r="E790" s="130">
        <v>886.0</v>
      </c>
      <c r="F790" s="131">
        <v>6980.0</v>
      </c>
      <c r="G790" s="132">
        <v>703.95</v>
      </c>
      <c r="H790" s="133">
        <v>66054.34</v>
      </c>
      <c r="I790" s="24" t="s">
        <v>4891</v>
      </c>
    </row>
    <row r="791">
      <c r="A791" s="119">
        <v>97.0</v>
      </c>
      <c r="B791" s="119">
        <v>59.0</v>
      </c>
      <c r="C791" s="129">
        <v>95767.0</v>
      </c>
      <c r="D791" s="129">
        <v>37449.0</v>
      </c>
      <c r="E791" s="130">
        <v>828204.0</v>
      </c>
      <c r="F791" s="131">
        <v>-44908.0</v>
      </c>
      <c r="G791" s="132">
        <v>5964.73</v>
      </c>
      <c r="H791" s="133">
        <v>81.55</v>
      </c>
      <c r="I791" s="24" t="s">
        <v>4892</v>
      </c>
    </row>
    <row r="792">
      <c r="A792" s="119">
        <v>97.0</v>
      </c>
      <c r="B792" s="119">
        <v>64.0</v>
      </c>
      <c r="C792" s="129">
        <v>38414.0</v>
      </c>
      <c r="D792" s="129">
        <v>41.0</v>
      </c>
      <c r="E792" s="130">
        <v>12.0</v>
      </c>
      <c r="F792" s="131">
        <v>35062.0</v>
      </c>
      <c r="G792" s="132">
        <v>16876.74</v>
      </c>
      <c r="H792" s="133">
        <v>8980.62</v>
      </c>
      <c r="I792" s="24" t="s">
        <v>4893</v>
      </c>
    </row>
    <row r="793">
      <c r="A793" s="119">
        <v>36.0</v>
      </c>
      <c r="B793" s="119">
        <v>20.0</v>
      </c>
      <c r="C793" s="129">
        <v>48609.0</v>
      </c>
      <c r="D793" s="129">
        <v>475.0</v>
      </c>
      <c r="E793" s="130">
        <v>5816.0</v>
      </c>
      <c r="F793" s="131">
        <v>-746.0</v>
      </c>
      <c r="G793" s="132">
        <v>517.11</v>
      </c>
      <c r="H793" s="133">
        <v>20332.25</v>
      </c>
      <c r="I793" s="24" t="s">
        <v>4894</v>
      </c>
    </row>
    <row r="794">
      <c r="A794" s="119">
        <v>56.0</v>
      </c>
      <c r="B794" s="119">
        <v>70.0</v>
      </c>
      <c r="C794" s="129">
        <v>3337.0</v>
      </c>
      <c r="D794" s="129">
        <v>71.0</v>
      </c>
      <c r="E794" s="130">
        <v>95983.0</v>
      </c>
      <c r="F794" s="131">
        <v>153.0</v>
      </c>
      <c r="G794" s="132">
        <v>-40148.67</v>
      </c>
      <c r="H794" s="133">
        <v>-11956.9</v>
      </c>
      <c r="I794" s="24" t="s">
        <v>4895</v>
      </c>
    </row>
    <row r="795">
      <c r="A795" s="119">
        <v>97.0</v>
      </c>
      <c r="B795" s="119">
        <v>66.0</v>
      </c>
      <c r="C795" s="129">
        <v>38859.0</v>
      </c>
      <c r="D795" s="129">
        <v>872.0</v>
      </c>
      <c r="E795" s="130">
        <v>9938.0</v>
      </c>
      <c r="F795" s="131">
        <v>965.0</v>
      </c>
      <c r="G795" s="132">
        <v>9988.27</v>
      </c>
      <c r="H795" s="133">
        <v>-665.17</v>
      </c>
      <c r="I795" s="24" t="s">
        <v>4896</v>
      </c>
    </row>
    <row r="796">
      <c r="A796" s="119">
        <v>97.0</v>
      </c>
      <c r="B796" s="119">
        <v>69.0</v>
      </c>
      <c r="C796" s="129">
        <v>26336.0</v>
      </c>
      <c r="D796" s="129">
        <v>-41.0</v>
      </c>
      <c r="E796" s="130">
        <v>5771.0</v>
      </c>
      <c r="F796" s="131">
        <v>85.0</v>
      </c>
      <c r="G796" s="132">
        <v>78.53</v>
      </c>
      <c r="H796" s="133">
        <v>836.64</v>
      </c>
      <c r="I796" s="24" t="s">
        <v>4897</v>
      </c>
    </row>
    <row r="797">
      <c r="A797" s="119">
        <v>77.0</v>
      </c>
      <c r="B797" s="119">
        <v>24.0</v>
      </c>
      <c r="C797" s="129">
        <v>9889.0</v>
      </c>
      <c r="D797" s="129">
        <v>9412.0</v>
      </c>
      <c r="E797" s="130">
        <v>7680.0</v>
      </c>
      <c r="F797" s="131">
        <v>9323.0</v>
      </c>
      <c r="G797" s="132">
        <v>726.43</v>
      </c>
      <c r="H797" s="133">
        <v>73.79</v>
      </c>
      <c r="I797" s="24" t="s">
        <v>4898</v>
      </c>
    </row>
    <row r="798">
      <c r="A798" s="119">
        <v>77.0</v>
      </c>
      <c r="B798" s="119">
        <v>25.0</v>
      </c>
      <c r="C798" s="129">
        <v>10599.0</v>
      </c>
      <c r="D798" s="129">
        <v>53798.0</v>
      </c>
      <c r="E798" s="130">
        <v>-18588.0</v>
      </c>
      <c r="F798" s="131">
        <v>70794.0</v>
      </c>
      <c r="G798" s="132">
        <v>-70896.57</v>
      </c>
      <c r="H798" s="133">
        <v>-14831.65</v>
      </c>
      <c r="I798" s="24" t="s">
        <v>4899</v>
      </c>
    </row>
    <row r="799">
      <c r="A799" s="119">
        <v>77.0</v>
      </c>
      <c r="B799" s="119">
        <v>26.0</v>
      </c>
      <c r="C799" s="129">
        <v>80052.0</v>
      </c>
      <c r="D799" s="129">
        <v>-352.0</v>
      </c>
      <c r="E799" s="130">
        <v>10.0</v>
      </c>
      <c r="F799" s="131">
        <v>81.0</v>
      </c>
      <c r="G799" s="132">
        <v>736.23</v>
      </c>
      <c r="H799" s="133">
        <v>45860.23</v>
      </c>
      <c r="I799" s="24" t="s">
        <v>4900</v>
      </c>
    </row>
    <row r="800">
      <c r="A800" s="119">
        <v>36.0</v>
      </c>
      <c r="B800" s="119">
        <v>34.0</v>
      </c>
      <c r="C800" s="129">
        <v>31185.0</v>
      </c>
      <c r="D800" s="129">
        <v>14.0</v>
      </c>
      <c r="E800" s="130">
        <v>1855.0</v>
      </c>
      <c r="F800" s="131">
        <v>-56.0</v>
      </c>
      <c r="G800" s="132">
        <v>232.36</v>
      </c>
      <c r="H800" s="133">
        <v>81238.23</v>
      </c>
      <c r="I800" s="24" t="s">
        <v>4901</v>
      </c>
    </row>
    <row r="801">
      <c r="A801" s="119">
        <v>56.0</v>
      </c>
      <c r="B801" s="119">
        <v>82.0</v>
      </c>
      <c r="C801" s="129">
        <v>68652.0</v>
      </c>
      <c r="D801" s="129">
        <v>61.0</v>
      </c>
      <c r="E801" s="130">
        <v>-752.0</v>
      </c>
      <c r="F801" s="131">
        <v>251.0</v>
      </c>
      <c r="G801" s="132">
        <v>92886.74</v>
      </c>
      <c r="H801" s="133">
        <v>-47.18</v>
      </c>
      <c r="I801" s="24" t="s">
        <v>4902</v>
      </c>
    </row>
    <row r="802">
      <c r="A802" s="119">
        <v>36.0</v>
      </c>
      <c r="B802" s="119">
        <v>37.0</v>
      </c>
      <c r="C802" s="129">
        <v>33559.0</v>
      </c>
      <c r="D802" s="129">
        <v>-37.0</v>
      </c>
      <c r="E802" s="130">
        <v>385232.0</v>
      </c>
      <c r="F802" s="131">
        <v>96.0</v>
      </c>
      <c r="G802" s="132">
        <v>710.12</v>
      </c>
      <c r="H802" s="133">
        <v>19309.19</v>
      </c>
      <c r="I802" s="24" t="s">
        <v>4903</v>
      </c>
    </row>
    <row r="803">
      <c r="A803" s="119">
        <v>36.0</v>
      </c>
      <c r="B803" s="119">
        <v>39.0</v>
      </c>
      <c r="C803" s="129">
        <v>61926.0</v>
      </c>
      <c r="D803" s="129">
        <v>37.0</v>
      </c>
      <c r="E803" s="130">
        <v>47.0</v>
      </c>
      <c r="F803" s="131">
        <v>21770.0</v>
      </c>
      <c r="G803" s="132">
        <v>2162.15</v>
      </c>
      <c r="H803" s="133">
        <v>-76.86</v>
      </c>
      <c r="I803" s="24" t="s">
        <v>4904</v>
      </c>
    </row>
    <row r="804">
      <c r="A804" s="119">
        <v>97.0</v>
      </c>
      <c r="B804" s="119">
        <v>83.0</v>
      </c>
      <c r="C804" s="129">
        <v>51868.0</v>
      </c>
      <c r="D804" s="129">
        <v>803.0</v>
      </c>
      <c r="E804" s="130">
        <v>45782.0</v>
      </c>
      <c r="F804" s="131">
        <v>9113.0</v>
      </c>
      <c r="G804" s="132">
        <v>63.93</v>
      </c>
      <c r="H804" s="133">
        <v>45.99</v>
      </c>
      <c r="I804" s="24" t="s">
        <v>4905</v>
      </c>
    </row>
    <row r="805">
      <c r="A805" s="119">
        <v>77.0</v>
      </c>
      <c r="B805" s="119">
        <v>36.0</v>
      </c>
      <c r="C805" s="129">
        <v>64432.0</v>
      </c>
      <c r="D805" s="129">
        <v>16.0</v>
      </c>
      <c r="E805" s="130">
        <v>305640.0</v>
      </c>
      <c r="F805" s="131">
        <v>33.0</v>
      </c>
      <c r="G805" s="132">
        <v>-61.81</v>
      </c>
      <c r="H805" s="133">
        <v>-2251.57</v>
      </c>
      <c r="I805" s="24" t="s">
        <v>4906</v>
      </c>
    </row>
    <row r="806">
      <c r="A806" s="119">
        <v>56.0</v>
      </c>
      <c r="B806" s="119">
        <v>92.0</v>
      </c>
      <c r="C806" s="129">
        <v>59219.0</v>
      </c>
      <c r="D806" s="129">
        <v>665.0</v>
      </c>
      <c r="E806" s="130">
        <v>199724.0</v>
      </c>
      <c r="F806" s="131">
        <v>-24353.0</v>
      </c>
      <c r="G806" s="132">
        <v>941.66</v>
      </c>
      <c r="H806" s="133">
        <v>98342.26</v>
      </c>
      <c r="I806" s="24" t="s">
        <v>4907</v>
      </c>
    </row>
    <row r="807">
      <c r="A807" s="119">
        <v>77.0</v>
      </c>
      <c r="B807" s="119">
        <v>43.0</v>
      </c>
      <c r="C807" s="129">
        <v>15099.0</v>
      </c>
      <c r="D807" s="129">
        <v>32239.0</v>
      </c>
      <c r="E807" s="130">
        <v>882.0</v>
      </c>
      <c r="F807" s="131">
        <v>96.0</v>
      </c>
      <c r="G807" s="132">
        <v>91.56</v>
      </c>
      <c r="H807" s="133">
        <v>88.39</v>
      </c>
      <c r="I807" s="24" t="s">
        <v>4908</v>
      </c>
    </row>
    <row r="808">
      <c r="A808" s="119">
        <v>36.0</v>
      </c>
      <c r="B808" s="119">
        <v>47.0</v>
      </c>
      <c r="C808" s="129">
        <v>24580.0</v>
      </c>
      <c r="D808" s="129">
        <v>65.0</v>
      </c>
      <c r="E808" s="130">
        <v>150852.0</v>
      </c>
      <c r="F808" s="131">
        <v>-7470.0</v>
      </c>
      <c r="G808" s="132">
        <v>5859.86</v>
      </c>
      <c r="H808" s="133">
        <v>-665.62</v>
      </c>
      <c r="I808" s="24" t="s">
        <v>4909</v>
      </c>
    </row>
    <row r="809">
      <c r="A809" s="119">
        <v>56.0</v>
      </c>
      <c r="B809" s="119">
        <v>98.0</v>
      </c>
      <c r="C809" s="129">
        <v>97622.0</v>
      </c>
      <c r="D809" s="129">
        <v>71.0</v>
      </c>
      <c r="E809" s="130">
        <v>64.0</v>
      </c>
      <c r="F809" s="131">
        <v>-56619.0</v>
      </c>
      <c r="G809" s="132">
        <v>-75.84</v>
      </c>
      <c r="H809" s="133">
        <v>23.74</v>
      </c>
      <c r="I809" s="24" t="s">
        <v>4910</v>
      </c>
    </row>
    <row r="810">
      <c r="A810" s="119">
        <v>16.0</v>
      </c>
      <c r="B810" s="119">
        <v>3.0</v>
      </c>
      <c r="C810" s="129">
        <v>39017.0</v>
      </c>
      <c r="D810" s="129">
        <v>9508.0</v>
      </c>
      <c r="E810" s="130">
        <v>11271.0</v>
      </c>
      <c r="F810" s="131">
        <v>54892.0</v>
      </c>
      <c r="G810" s="132">
        <v>237.57</v>
      </c>
      <c r="H810" s="133">
        <v>-4337.7</v>
      </c>
      <c r="I810" s="24" t="s">
        <v>4911</v>
      </c>
    </row>
    <row r="811">
      <c r="A811" s="119">
        <v>16.0</v>
      </c>
      <c r="B811" s="119">
        <v>5.0</v>
      </c>
      <c r="C811" s="129">
        <v>40934.0</v>
      </c>
      <c r="D811" s="129">
        <v>5914.0</v>
      </c>
      <c r="E811" s="130">
        <v>671340.0</v>
      </c>
      <c r="F811" s="131">
        <v>1564.0</v>
      </c>
      <c r="G811" s="132">
        <v>9669.7</v>
      </c>
      <c r="H811" s="133">
        <v>-9940.56</v>
      </c>
      <c r="I811" s="24" t="s">
        <v>4912</v>
      </c>
    </row>
    <row r="812">
      <c r="A812" s="119">
        <v>77.0</v>
      </c>
      <c r="B812" s="119">
        <v>55.0</v>
      </c>
      <c r="C812" s="129">
        <v>65341.0</v>
      </c>
      <c r="D812" s="129">
        <v>4603.0</v>
      </c>
      <c r="E812" s="130">
        <v>21.0</v>
      </c>
      <c r="F812" s="131">
        <v>4024.0</v>
      </c>
      <c r="G812" s="132">
        <v>366.6</v>
      </c>
      <c r="H812" s="133">
        <v>-43789.4</v>
      </c>
      <c r="I812" s="24" t="s">
        <v>4913</v>
      </c>
    </row>
    <row r="813">
      <c r="A813" s="119">
        <v>77.0</v>
      </c>
      <c r="B813" s="119">
        <v>61.0</v>
      </c>
      <c r="C813" s="129">
        <v>47624.0</v>
      </c>
      <c r="D813" s="129">
        <v>61.0</v>
      </c>
      <c r="E813" s="130">
        <v>-99319.0</v>
      </c>
      <c r="F813" s="131">
        <v>688.0</v>
      </c>
      <c r="G813" s="132">
        <v>-65922.92</v>
      </c>
      <c r="H813" s="133">
        <v>20078.52</v>
      </c>
      <c r="I813" s="24" t="s">
        <v>4914</v>
      </c>
    </row>
    <row r="814">
      <c r="A814" s="119">
        <v>16.0</v>
      </c>
      <c r="B814" s="119">
        <v>17.0</v>
      </c>
      <c r="C814" s="129">
        <v>29572.0</v>
      </c>
      <c r="D814" s="129">
        <v>61.0</v>
      </c>
      <c r="E814" s="130">
        <v>88.0</v>
      </c>
      <c r="F814" s="131">
        <v>54.0</v>
      </c>
      <c r="G814" s="132">
        <v>96751.5</v>
      </c>
      <c r="H814" s="133">
        <v>-8556.57</v>
      </c>
      <c r="I814" s="24" t="s">
        <v>4915</v>
      </c>
    </row>
    <row r="815">
      <c r="A815" s="119">
        <v>16.0</v>
      </c>
      <c r="B815" s="119">
        <v>19.0</v>
      </c>
      <c r="C815" s="129">
        <v>72476.0</v>
      </c>
      <c r="D815" s="129">
        <v>82082.0</v>
      </c>
      <c r="E815" s="130">
        <v>762462.0</v>
      </c>
      <c r="F815" s="131">
        <v>-659.0</v>
      </c>
      <c r="G815" s="132">
        <v>-223.97</v>
      </c>
      <c r="H815" s="133">
        <v>2950.42</v>
      </c>
      <c r="I815" s="24" t="s">
        <v>4916</v>
      </c>
    </row>
    <row r="816">
      <c r="A816" s="119">
        <v>77.0</v>
      </c>
      <c r="B816" s="119">
        <v>64.0</v>
      </c>
      <c r="C816" s="129">
        <v>34444.0</v>
      </c>
      <c r="D816" s="129">
        <v>-74596.0</v>
      </c>
      <c r="E816" s="130">
        <v>84.0</v>
      </c>
      <c r="F816" s="131">
        <v>1809.0</v>
      </c>
      <c r="G816" s="132">
        <v>5576.4</v>
      </c>
      <c r="H816" s="133">
        <v>-82714.6</v>
      </c>
      <c r="I816" s="24" t="s">
        <v>4917</v>
      </c>
    </row>
    <row r="817">
      <c r="A817" s="119">
        <v>57.0</v>
      </c>
      <c r="B817" s="119">
        <v>19.0</v>
      </c>
      <c r="C817" s="129">
        <v>30256.0</v>
      </c>
      <c r="D817" s="129">
        <v>-160.0</v>
      </c>
      <c r="E817" s="130">
        <v>192.0</v>
      </c>
      <c r="F817" s="131">
        <v>922.0</v>
      </c>
      <c r="G817" s="132">
        <v>-1605.38</v>
      </c>
      <c r="H817" s="133">
        <v>-478.64</v>
      </c>
      <c r="I817" s="24" t="s">
        <v>4918</v>
      </c>
    </row>
    <row r="818">
      <c r="A818" s="119">
        <v>16.0</v>
      </c>
      <c r="B818" s="119">
        <v>23.0</v>
      </c>
      <c r="C818" s="129">
        <v>22808.0</v>
      </c>
      <c r="D818" s="129">
        <v>82812.0</v>
      </c>
      <c r="E818" s="130">
        <v>889352.0</v>
      </c>
      <c r="F818" s="131">
        <v>-8754.0</v>
      </c>
      <c r="G818" s="132">
        <v>50959.47</v>
      </c>
      <c r="H818" s="133">
        <v>91151.89</v>
      </c>
      <c r="I818" s="24" t="s">
        <v>4919</v>
      </c>
    </row>
    <row r="819">
      <c r="A819" s="119">
        <v>16.0</v>
      </c>
      <c r="B819" s="119">
        <v>29.0</v>
      </c>
      <c r="C819" s="129">
        <v>77075.0</v>
      </c>
      <c r="D819" s="129">
        <v>840.0</v>
      </c>
      <c r="E819" s="130">
        <v>234738.0</v>
      </c>
      <c r="F819" s="131">
        <v>32.0</v>
      </c>
      <c r="G819" s="132">
        <v>88687.5</v>
      </c>
      <c r="H819" s="133">
        <v>76.68</v>
      </c>
      <c r="I819" s="24" t="s">
        <v>4920</v>
      </c>
    </row>
    <row r="820">
      <c r="A820" s="119">
        <v>36.0</v>
      </c>
      <c r="B820" s="119">
        <v>78.0</v>
      </c>
      <c r="C820" s="129">
        <v>28978.0</v>
      </c>
      <c r="D820" s="129">
        <v>816.0</v>
      </c>
      <c r="E820" s="130">
        <v>1241.0</v>
      </c>
      <c r="F820" s="131">
        <v>47.0</v>
      </c>
      <c r="G820" s="132">
        <v>73.75</v>
      </c>
      <c r="H820" s="133">
        <v>14322.1</v>
      </c>
      <c r="I820" s="24" t="s">
        <v>4921</v>
      </c>
    </row>
    <row r="821">
      <c r="A821" s="119">
        <v>98.0</v>
      </c>
      <c r="B821" s="119">
        <v>22.0</v>
      </c>
      <c r="C821" s="129">
        <v>11072.0</v>
      </c>
      <c r="D821" s="129">
        <v>59.0</v>
      </c>
      <c r="E821" s="130">
        <v>-934035.0</v>
      </c>
      <c r="F821" s="131">
        <v>387.0</v>
      </c>
      <c r="G821" s="132">
        <v>7702.99</v>
      </c>
      <c r="H821" s="133">
        <v>57158.88</v>
      </c>
      <c r="I821" s="24" t="s">
        <v>4922</v>
      </c>
    </row>
    <row r="822">
      <c r="A822" s="119">
        <v>36.0</v>
      </c>
      <c r="B822" s="119">
        <v>80.0</v>
      </c>
      <c r="C822" s="129">
        <v>92280.0</v>
      </c>
      <c r="D822" s="129">
        <v>66.0</v>
      </c>
      <c r="E822" s="130">
        <v>-520641.0</v>
      </c>
      <c r="F822" s="131">
        <v>97002.0</v>
      </c>
      <c r="G822" s="132">
        <v>7963.22</v>
      </c>
      <c r="H822" s="133">
        <v>61593.78</v>
      </c>
      <c r="I822" s="24" t="s">
        <v>4923</v>
      </c>
    </row>
    <row r="823">
      <c r="A823" s="119">
        <v>57.0</v>
      </c>
      <c r="B823" s="119">
        <v>29.0</v>
      </c>
      <c r="C823" s="129">
        <v>26678.0</v>
      </c>
      <c r="D823" s="129">
        <v>48.0</v>
      </c>
      <c r="E823" s="130">
        <v>813090.0</v>
      </c>
      <c r="F823" s="131">
        <v>807.0</v>
      </c>
      <c r="G823" s="132">
        <v>49705.82</v>
      </c>
      <c r="H823" s="133">
        <v>-96.9</v>
      </c>
      <c r="I823" s="24" t="s">
        <v>4924</v>
      </c>
    </row>
    <row r="824">
      <c r="A824" s="119">
        <v>16.0</v>
      </c>
      <c r="B824" s="119">
        <v>34.0</v>
      </c>
      <c r="C824" s="129">
        <v>1647.0</v>
      </c>
      <c r="D824" s="129">
        <v>4450.0</v>
      </c>
      <c r="E824" s="130">
        <v>-223549.0</v>
      </c>
      <c r="F824" s="131">
        <v>925.0</v>
      </c>
      <c r="G824" s="132">
        <v>6946.3</v>
      </c>
      <c r="H824" s="133">
        <v>78.46</v>
      </c>
      <c r="I824" s="24" t="s">
        <v>4925</v>
      </c>
    </row>
    <row r="825">
      <c r="A825" s="119">
        <v>98.0</v>
      </c>
      <c r="B825" s="119">
        <v>23.0</v>
      </c>
      <c r="C825" s="129">
        <v>45918.0</v>
      </c>
      <c r="D825" s="129">
        <v>-38.0</v>
      </c>
      <c r="E825" s="130">
        <v>2791.0</v>
      </c>
      <c r="F825" s="131">
        <v>21.0</v>
      </c>
      <c r="G825" s="132">
        <v>51.46</v>
      </c>
      <c r="H825" s="133">
        <v>37827.35</v>
      </c>
      <c r="I825" s="24" t="s">
        <v>4926</v>
      </c>
    </row>
    <row r="826">
      <c r="A826" s="119">
        <v>16.0</v>
      </c>
      <c r="B826" s="119">
        <v>38.0</v>
      </c>
      <c r="C826" s="129">
        <v>72722.0</v>
      </c>
      <c r="D826" s="129">
        <v>93.0</v>
      </c>
      <c r="E826" s="130">
        <v>70.0</v>
      </c>
      <c r="F826" s="131">
        <v>-85.0</v>
      </c>
      <c r="G826" s="132">
        <v>67439.48</v>
      </c>
      <c r="H826" s="133">
        <v>809.37</v>
      </c>
      <c r="I826" s="24" t="s">
        <v>4927</v>
      </c>
    </row>
    <row r="827">
      <c r="A827" s="119">
        <v>16.0</v>
      </c>
      <c r="B827" s="119">
        <v>42.0</v>
      </c>
      <c r="C827" s="129">
        <v>16425.0</v>
      </c>
      <c r="D827" s="129">
        <v>59.0</v>
      </c>
      <c r="E827" s="130">
        <v>-302.0</v>
      </c>
      <c r="F827" s="131">
        <v>96.0</v>
      </c>
      <c r="G827" s="132">
        <v>-72.98</v>
      </c>
      <c r="H827" s="133">
        <v>5986.4</v>
      </c>
      <c r="I827" s="24" t="s">
        <v>4928</v>
      </c>
    </row>
    <row r="828">
      <c r="A828" s="119">
        <v>36.0</v>
      </c>
      <c r="B828" s="119">
        <v>96.0</v>
      </c>
      <c r="C828" s="129">
        <v>75688.0</v>
      </c>
      <c r="D828" s="129">
        <v>735.0</v>
      </c>
      <c r="E828" s="130">
        <v>-380.0</v>
      </c>
      <c r="F828" s="131">
        <v>947.0</v>
      </c>
      <c r="G828" s="132">
        <v>-62.84</v>
      </c>
      <c r="H828" s="133">
        <v>431.97</v>
      </c>
      <c r="I828" s="24" t="s">
        <v>4929</v>
      </c>
    </row>
    <row r="829">
      <c r="A829" s="119">
        <v>16.0</v>
      </c>
      <c r="B829" s="119">
        <v>51.0</v>
      </c>
      <c r="C829" s="129">
        <v>99244.0</v>
      </c>
      <c r="D829" s="129">
        <v>86.0</v>
      </c>
      <c r="E829" s="130">
        <v>-794.0</v>
      </c>
      <c r="F829" s="131">
        <v>23.0</v>
      </c>
      <c r="G829" s="132">
        <v>89.2</v>
      </c>
      <c r="H829" s="133">
        <v>47564.78</v>
      </c>
      <c r="I829" s="24" t="s">
        <v>4930</v>
      </c>
    </row>
    <row r="830">
      <c r="A830" s="119">
        <v>37.0</v>
      </c>
      <c r="B830" s="119">
        <v>0.0</v>
      </c>
      <c r="C830" s="129">
        <v>87805.0</v>
      </c>
      <c r="D830" s="129">
        <v>8810.0</v>
      </c>
      <c r="E830" s="130">
        <v>-90.0</v>
      </c>
      <c r="F830" s="131">
        <v>33.0</v>
      </c>
      <c r="G830" s="132">
        <v>7334.9</v>
      </c>
      <c r="H830" s="133">
        <v>695.51</v>
      </c>
      <c r="I830" s="24" t="s">
        <v>4931</v>
      </c>
    </row>
    <row r="831">
      <c r="A831" s="119">
        <v>57.0</v>
      </c>
      <c r="B831" s="119">
        <v>48.0</v>
      </c>
      <c r="C831" s="129">
        <v>25275.0</v>
      </c>
      <c r="D831" s="129">
        <v>1301.0</v>
      </c>
      <c r="E831" s="130">
        <v>827647.0</v>
      </c>
      <c r="F831" s="131">
        <v>-493.0</v>
      </c>
      <c r="G831" s="132">
        <v>35.13</v>
      </c>
      <c r="H831" s="133">
        <v>-3623.35</v>
      </c>
      <c r="I831" s="24" t="s">
        <v>4932</v>
      </c>
    </row>
    <row r="832">
      <c r="A832" s="119">
        <v>98.0</v>
      </c>
      <c r="B832" s="119">
        <v>46.0</v>
      </c>
      <c r="C832" s="129">
        <v>36818.0</v>
      </c>
      <c r="D832" s="129">
        <v>17.0</v>
      </c>
      <c r="E832" s="130">
        <v>339176.0</v>
      </c>
      <c r="F832" s="131">
        <v>8259.0</v>
      </c>
      <c r="G832" s="132">
        <v>35.57</v>
      </c>
      <c r="H832" s="133">
        <v>79.64</v>
      </c>
      <c r="I832" s="24" t="s">
        <v>4933</v>
      </c>
    </row>
    <row r="833">
      <c r="A833" s="119">
        <v>37.0</v>
      </c>
      <c r="B833" s="119">
        <v>5.0</v>
      </c>
      <c r="C833" s="129">
        <v>74440.0</v>
      </c>
      <c r="D833" s="129">
        <v>-813.0</v>
      </c>
      <c r="E833" s="130">
        <v>6525.0</v>
      </c>
      <c r="F833" s="131">
        <v>6392.0</v>
      </c>
      <c r="G833" s="132">
        <v>30167.78</v>
      </c>
      <c r="H833" s="133">
        <v>13259.18</v>
      </c>
      <c r="I833" s="24" t="s">
        <v>4934</v>
      </c>
    </row>
    <row r="834">
      <c r="A834" s="119">
        <v>57.0</v>
      </c>
      <c r="B834" s="119">
        <v>55.0</v>
      </c>
      <c r="C834" s="129">
        <v>58567.0</v>
      </c>
      <c r="D834" s="129">
        <v>4245.0</v>
      </c>
      <c r="E834" s="130">
        <v>-292.0</v>
      </c>
      <c r="F834" s="131">
        <v>44491.0</v>
      </c>
      <c r="G834" s="132">
        <v>58290.94</v>
      </c>
      <c r="H834" s="133">
        <v>92.54</v>
      </c>
      <c r="I834" s="24" t="s">
        <v>4935</v>
      </c>
    </row>
    <row r="835">
      <c r="A835" s="119">
        <v>16.0</v>
      </c>
      <c r="B835" s="119">
        <v>59.0</v>
      </c>
      <c r="C835" s="129">
        <v>77347.0</v>
      </c>
      <c r="D835" s="129">
        <v>42595.0</v>
      </c>
      <c r="E835" s="130">
        <v>1070.0</v>
      </c>
      <c r="F835" s="131">
        <v>92108.0</v>
      </c>
      <c r="G835" s="132">
        <v>-64417.85</v>
      </c>
      <c r="H835" s="133">
        <v>94526.94</v>
      </c>
      <c r="I835" s="24" t="s">
        <v>4699</v>
      </c>
    </row>
    <row r="836">
      <c r="A836" s="119">
        <v>57.0</v>
      </c>
      <c r="B836" s="119">
        <v>59.0</v>
      </c>
      <c r="C836" s="129">
        <v>92767.0</v>
      </c>
      <c r="D836" s="129">
        <v>-19.0</v>
      </c>
      <c r="E836" s="130">
        <v>6001.0</v>
      </c>
      <c r="F836" s="131">
        <v>39908.0</v>
      </c>
      <c r="G836" s="132">
        <v>8251.89</v>
      </c>
      <c r="H836" s="133">
        <v>100.13</v>
      </c>
      <c r="I836" s="24" t="s">
        <v>4936</v>
      </c>
    </row>
    <row r="837">
      <c r="A837" s="119">
        <v>78.0</v>
      </c>
      <c r="B837" s="119">
        <v>7.0</v>
      </c>
      <c r="C837" s="129">
        <v>55422.0</v>
      </c>
      <c r="D837" s="129">
        <v>-20982.0</v>
      </c>
      <c r="E837" s="130">
        <v>2473.0</v>
      </c>
      <c r="F837" s="131">
        <v>-892.0</v>
      </c>
      <c r="G837" s="132">
        <v>96439.27</v>
      </c>
      <c r="H837" s="133">
        <v>543.3</v>
      </c>
      <c r="I837" s="24" t="s">
        <v>4937</v>
      </c>
    </row>
    <row r="838">
      <c r="A838" s="119">
        <v>37.0</v>
      </c>
      <c r="B838" s="119">
        <v>13.0</v>
      </c>
      <c r="C838" s="129">
        <v>3115.0</v>
      </c>
      <c r="D838" s="129">
        <v>20.0</v>
      </c>
      <c r="E838" s="130">
        <v>-6205.0</v>
      </c>
      <c r="F838" s="131">
        <v>7971.0</v>
      </c>
      <c r="G838" s="132">
        <v>30825.2</v>
      </c>
      <c r="H838" s="133">
        <v>554.1</v>
      </c>
      <c r="I838" s="24" t="s">
        <v>4938</v>
      </c>
    </row>
    <row r="839">
      <c r="A839" s="119">
        <v>98.0</v>
      </c>
      <c r="B839" s="119">
        <v>58.0</v>
      </c>
      <c r="C839" s="129">
        <v>70184.0</v>
      </c>
      <c r="D839" s="129">
        <v>34.0</v>
      </c>
      <c r="E839" s="130">
        <v>93.0</v>
      </c>
      <c r="F839" s="131">
        <v>-944.0</v>
      </c>
      <c r="G839" s="132">
        <v>-61.12</v>
      </c>
      <c r="H839" s="133">
        <v>607.61</v>
      </c>
      <c r="I839" s="24" t="s">
        <v>4939</v>
      </c>
    </row>
    <row r="840">
      <c r="A840" s="119">
        <v>57.0</v>
      </c>
      <c r="B840" s="119">
        <v>69.0</v>
      </c>
      <c r="C840" s="129">
        <v>91545.0</v>
      </c>
      <c r="D840" s="129">
        <v>-83688.0</v>
      </c>
      <c r="E840" s="130">
        <v>8065.0</v>
      </c>
      <c r="F840" s="131">
        <v>75.0</v>
      </c>
      <c r="G840" s="132">
        <v>90.81</v>
      </c>
      <c r="H840" s="133">
        <v>33.33</v>
      </c>
      <c r="I840" s="24" t="s">
        <v>4940</v>
      </c>
    </row>
    <row r="841">
      <c r="A841" s="119">
        <v>98.0</v>
      </c>
      <c r="B841" s="119">
        <v>68.0</v>
      </c>
      <c r="C841" s="129">
        <v>45328.0</v>
      </c>
      <c r="D841" s="129">
        <v>48043.0</v>
      </c>
      <c r="E841" s="130">
        <v>-33455.0</v>
      </c>
      <c r="F841" s="131">
        <v>786.0</v>
      </c>
      <c r="G841" s="132">
        <v>83423.73</v>
      </c>
      <c r="H841" s="133">
        <v>61127.18</v>
      </c>
      <c r="I841" s="24" t="s">
        <v>4941</v>
      </c>
    </row>
    <row r="842">
      <c r="A842" s="119">
        <v>16.0</v>
      </c>
      <c r="B842" s="119">
        <v>77.0</v>
      </c>
      <c r="C842" s="129">
        <v>78480.0</v>
      </c>
      <c r="D842" s="129">
        <v>90.0</v>
      </c>
      <c r="E842" s="130">
        <v>80.0</v>
      </c>
      <c r="F842" s="131">
        <v>8666.0</v>
      </c>
      <c r="G842" s="132">
        <v>-9658.8</v>
      </c>
      <c r="H842" s="133">
        <v>798.46</v>
      </c>
      <c r="I842" s="24" t="s">
        <v>4942</v>
      </c>
    </row>
    <row r="843">
      <c r="A843" s="119">
        <v>98.0</v>
      </c>
      <c r="B843" s="119">
        <v>69.0</v>
      </c>
      <c r="C843" s="129">
        <v>91640.0</v>
      </c>
      <c r="D843" s="129">
        <v>-5485.0</v>
      </c>
      <c r="E843" s="130">
        <v>143.0</v>
      </c>
      <c r="F843" s="131">
        <v>97.0</v>
      </c>
      <c r="G843" s="132">
        <v>96888.17</v>
      </c>
      <c r="H843" s="133">
        <v>8522.41</v>
      </c>
      <c r="I843" s="24" t="s">
        <v>4943</v>
      </c>
    </row>
    <row r="844">
      <c r="A844" s="119">
        <v>78.0</v>
      </c>
      <c r="B844" s="119">
        <v>23.0</v>
      </c>
      <c r="C844" s="129">
        <v>6779.0</v>
      </c>
      <c r="D844" s="129">
        <v>52739.0</v>
      </c>
      <c r="E844" s="130">
        <v>60.0</v>
      </c>
      <c r="F844" s="131">
        <v>7057.0</v>
      </c>
      <c r="G844" s="132">
        <v>3420.93</v>
      </c>
      <c r="H844" s="133">
        <v>61.73</v>
      </c>
      <c r="I844" s="24" t="s">
        <v>4944</v>
      </c>
    </row>
    <row r="845">
      <c r="A845" s="119">
        <v>37.0</v>
      </c>
      <c r="B845" s="119">
        <v>26.0</v>
      </c>
      <c r="C845" s="129">
        <v>48783.0</v>
      </c>
      <c r="D845" s="129">
        <v>588.0</v>
      </c>
      <c r="E845" s="130">
        <v>918.0</v>
      </c>
      <c r="F845" s="131">
        <v>998.0</v>
      </c>
      <c r="G845" s="132">
        <v>-7696.73</v>
      </c>
      <c r="H845" s="133">
        <v>71053.63</v>
      </c>
      <c r="I845" s="24" t="s">
        <v>4945</v>
      </c>
    </row>
    <row r="846">
      <c r="A846" s="119">
        <v>98.0</v>
      </c>
      <c r="B846" s="119">
        <v>77.0</v>
      </c>
      <c r="C846" s="129">
        <v>37019.0</v>
      </c>
      <c r="D846" s="129">
        <v>8148.0</v>
      </c>
      <c r="E846" s="130">
        <v>68369.0</v>
      </c>
      <c r="F846" s="131">
        <v>8416.0</v>
      </c>
      <c r="G846" s="132">
        <v>81.26</v>
      </c>
      <c r="H846" s="133">
        <v>66536.82</v>
      </c>
      <c r="I846" s="24" t="s">
        <v>4946</v>
      </c>
    </row>
    <row r="847">
      <c r="A847" s="119">
        <v>78.0</v>
      </c>
      <c r="B847" s="119">
        <v>37.0</v>
      </c>
      <c r="C847" s="129">
        <v>284.0</v>
      </c>
      <c r="D847" s="129">
        <v>-3608.0</v>
      </c>
      <c r="E847" s="130">
        <v>81.0</v>
      </c>
      <c r="F847" s="131">
        <v>798.0</v>
      </c>
      <c r="G847" s="132">
        <v>-3070.9</v>
      </c>
      <c r="H847" s="133">
        <v>97046.75</v>
      </c>
      <c r="I847" s="24" t="s">
        <v>4947</v>
      </c>
    </row>
    <row r="848">
      <c r="A848" s="119">
        <v>78.0</v>
      </c>
      <c r="B848" s="119">
        <v>38.0</v>
      </c>
      <c r="C848" s="129">
        <v>19199.0</v>
      </c>
      <c r="D848" s="129">
        <v>7309.0</v>
      </c>
      <c r="E848" s="130">
        <v>15409.0</v>
      </c>
      <c r="F848" s="131">
        <v>256.0</v>
      </c>
      <c r="G848" s="132">
        <v>2543.7</v>
      </c>
      <c r="H848" s="133">
        <v>83.62</v>
      </c>
      <c r="I848" s="24" t="s">
        <v>4948</v>
      </c>
    </row>
    <row r="849">
      <c r="A849" s="119">
        <v>98.0</v>
      </c>
      <c r="B849" s="119">
        <v>88.0</v>
      </c>
      <c r="C849" s="129">
        <v>8435.0</v>
      </c>
      <c r="D849" s="129">
        <v>53774.0</v>
      </c>
      <c r="E849" s="130">
        <v>-906111.0</v>
      </c>
      <c r="F849" s="131">
        <v>3147.0</v>
      </c>
      <c r="G849" s="132">
        <v>38415.3</v>
      </c>
      <c r="H849" s="133">
        <v>873.92</v>
      </c>
      <c r="I849" s="24" t="s">
        <v>4949</v>
      </c>
    </row>
    <row r="850">
      <c r="A850" s="119">
        <v>16.0</v>
      </c>
      <c r="B850" s="119">
        <v>96.0</v>
      </c>
      <c r="C850" s="129">
        <v>15962.0</v>
      </c>
      <c r="D850" s="129">
        <v>1949.0</v>
      </c>
      <c r="E850" s="130">
        <v>9749.0</v>
      </c>
      <c r="F850" s="131">
        <v>93297.0</v>
      </c>
      <c r="G850" s="132">
        <v>93279.22</v>
      </c>
      <c r="H850" s="133">
        <v>47675.34</v>
      </c>
      <c r="I850" s="24" t="s">
        <v>4950</v>
      </c>
    </row>
    <row r="851">
      <c r="A851" s="119">
        <v>78.0</v>
      </c>
      <c r="B851" s="119">
        <v>40.0</v>
      </c>
      <c r="C851" s="129">
        <v>90797.0</v>
      </c>
      <c r="D851" s="129">
        <v>98.0</v>
      </c>
      <c r="E851" s="130">
        <v>473243.0</v>
      </c>
      <c r="F851" s="131">
        <v>72.0</v>
      </c>
      <c r="G851" s="132">
        <v>-36.65</v>
      </c>
      <c r="H851" s="133">
        <v>67.4</v>
      </c>
      <c r="I851" s="24" t="s">
        <v>4951</v>
      </c>
    </row>
    <row r="852">
      <c r="A852" s="119">
        <v>57.0</v>
      </c>
      <c r="B852" s="119">
        <v>96.0</v>
      </c>
      <c r="C852" s="129">
        <v>3171.0</v>
      </c>
      <c r="D852" s="129">
        <v>-25647.0</v>
      </c>
      <c r="E852" s="130">
        <v>440.0</v>
      </c>
      <c r="F852" s="131">
        <v>6942.0</v>
      </c>
      <c r="G852" s="132">
        <v>-809.82</v>
      </c>
      <c r="H852" s="133">
        <v>86.72</v>
      </c>
      <c r="I852" s="24" t="s">
        <v>4952</v>
      </c>
    </row>
    <row r="853">
      <c r="A853" s="119">
        <v>17.0</v>
      </c>
      <c r="B853" s="119">
        <v>4.0</v>
      </c>
      <c r="C853" s="129">
        <v>52638.0</v>
      </c>
      <c r="D853" s="129">
        <v>91071.0</v>
      </c>
      <c r="E853" s="130">
        <v>-12873.0</v>
      </c>
      <c r="F853" s="131">
        <v>66896.0</v>
      </c>
      <c r="G853" s="132">
        <v>70589.11</v>
      </c>
      <c r="H853" s="133">
        <v>6595.5</v>
      </c>
      <c r="I853" s="24" t="s">
        <v>4953</v>
      </c>
    </row>
    <row r="854">
      <c r="A854" s="119">
        <v>58.0</v>
      </c>
      <c r="B854" s="119">
        <v>3.0</v>
      </c>
      <c r="C854" s="129">
        <v>85635.0</v>
      </c>
      <c r="D854" s="129">
        <v>-64934.0</v>
      </c>
      <c r="E854" s="130">
        <v>83269.0</v>
      </c>
      <c r="F854" s="131">
        <v>8733.0</v>
      </c>
      <c r="G854" s="132">
        <v>5632.3</v>
      </c>
      <c r="H854" s="133">
        <v>-353.54</v>
      </c>
      <c r="I854" s="24" t="s">
        <v>4954</v>
      </c>
    </row>
    <row r="855">
      <c r="A855" s="119">
        <v>99.0</v>
      </c>
      <c r="B855" s="119">
        <v>5.0</v>
      </c>
      <c r="C855" s="129">
        <v>56305.0</v>
      </c>
      <c r="D855" s="129">
        <v>9890.0</v>
      </c>
      <c r="E855" s="130">
        <v>13.0</v>
      </c>
      <c r="F855" s="131">
        <v>-66576.0</v>
      </c>
      <c r="G855" s="132">
        <v>42.17</v>
      </c>
      <c r="H855" s="133">
        <v>4970.4</v>
      </c>
      <c r="I855" s="24" t="s">
        <v>4955</v>
      </c>
    </row>
    <row r="856">
      <c r="A856" s="119">
        <v>58.0</v>
      </c>
      <c r="B856" s="119">
        <v>10.0</v>
      </c>
      <c r="C856" s="129">
        <v>32513.0</v>
      </c>
      <c r="D856" s="129">
        <v>-604.0</v>
      </c>
      <c r="E856" s="130">
        <v>26884.0</v>
      </c>
      <c r="F856" s="131">
        <v>9599.0</v>
      </c>
      <c r="G856" s="132">
        <v>96264.9</v>
      </c>
      <c r="H856" s="133">
        <v>242.39</v>
      </c>
      <c r="I856" s="24" t="s">
        <v>4956</v>
      </c>
    </row>
    <row r="857">
      <c r="A857" s="119">
        <v>78.0</v>
      </c>
      <c r="B857" s="119">
        <v>59.0</v>
      </c>
      <c r="C857" s="129">
        <v>14590.0</v>
      </c>
      <c r="D857" s="129">
        <v>9864.0</v>
      </c>
      <c r="E857" s="130">
        <v>411410.0</v>
      </c>
      <c r="F857" s="131">
        <v>-47353.0</v>
      </c>
      <c r="G857" s="132">
        <v>874.48</v>
      </c>
      <c r="H857" s="133">
        <v>85.73</v>
      </c>
      <c r="I857" s="24" t="s">
        <v>4957</v>
      </c>
    </row>
    <row r="858">
      <c r="A858" s="119">
        <v>99.0</v>
      </c>
      <c r="B858" s="119">
        <v>13.0</v>
      </c>
      <c r="C858" s="129">
        <v>54634.0</v>
      </c>
      <c r="D858" s="129">
        <v>9277.0</v>
      </c>
      <c r="E858" s="130">
        <v>824.0</v>
      </c>
      <c r="F858" s="131">
        <v>658.0</v>
      </c>
      <c r="G858" s="132">
        <v>14437.87</v>
      </c>
      <c r="H858" s="133">
        <v>-5853.38</v>
      </c>
      <c r="I858" s="24" t="s">
        <v>4958</v>
      </c>
    </row>
    <row r="859">
      <c r="A859" s="119">
        <v>78.0</v>
      </c>
      <c r="B859" s="119">
        <v>68.0</v>
      </c>
      <c r="C859" s="129">
        <v>38086.0</v>
      </c>
      <c r="D859" s="129">
        <v>592.0</v>
      </c>
      <c r="E859" s="130">
        <v>85213.0</v>
      </c>
      <c r="F859" s="131">
        <v>849.0</v>
      </c>
      <c r="G859" s="132">
        <v>52627.4</v>
      </c>
      <c r="H859" s="133">
        <v>62779.56</v>
      </c>
      <c r="I859" s="24" t="s">
        <v>4959</v>
      </c>
    </row>
    <row r="860">
      <c r="A860" s="119">
        <v>17.0</v>
      </c>
      <c r="B860" s="119">
        <v>25.0</v>
      </c>
      <c r="C860" s="129">
        <v>6967.0</v>
      </c>
      <c r="D860" s="129">
        <v>619.0</v>
      </c>
      <c r="E860" s="130">
        <v>947296.0</v>
      </c>
      <c r="F860" s="131">
        <v>82630.0</v>
      </c>
      <c r="G860" s="132">
        <v>-68.81</v>
      </c>
      <c r="H860" s="133">
        <v>-1401.5</v>
      </c>
      <c r="I860" s="24" t="s">
        <v>4960</v>
      </c>
    </row>
    <row r="861">
      <c r="A861" s="119">
        <v>17.0</v>
      </c>
      <c r="B861" s="119">
        <v>26.0</v>
      </c>
      <c r="C861" s="129">
        <v>98169.0</v>
      </c>
      <c r="D861" s="129">
        <v>763.0</v>
      </c>
      <c r="E861" s="130">
        <v>62839.0</v>
      </c>
      <c r="F861" s="131">
        <v>53.0</v>
      </c>
      <c r="G861" s="132">
        <v>78648.55</v>
      </c>
      <c r="H861" s="133">
        <v>470.87</v>
      </c>
      <c r="I861" s="24" t="s">
        <v>4961</v>
      </c>
    </row>
    <row r="862">
      <c r="A862" s="119">
        <v>58.0</v>
      </c>
      <c r="B862" s="119">
        <v>22.0</v>
      </c>
      <c r="C862" s="129">
        <v>58258.0</v>
      </c>
      <c r="D862" s="129">
        <v>643.0</v>
      </c>
      <c r="E862" s="130">
        <v>61.0</v>
      </c>
      <c r="F862" s="131">
        <v>-702.0</v>
      </c>
      <c r="G862" s="132">
        <v>-754.54</v>
      </c>
      <c r="H862" s="133">
        <v>-423.64</v>
      </c>
      <c r="I862" s="24" t="s">
        <v>4962</v>
      </c>
    </row>
    <row r="863">
      <c r="A863" s="119">
        <v>78.0</v>
      </c>
      <c r="B863" s="119">
        <v>73.0</v>
      </c>
      <c r="C863" s="129">
        <v>82941.0</v>
      </c>
      <c r="D863" s="129">
        <v>206.0</v>
      </c>
      <c r="E863" s="130">
        <v>161.0</v>
      </c>
      <c r="F863" s="131">
        <v>4612.0</v>
      </c>
      <c r="G863" s="132">
        <v>382.2</v>
      </c>
      <c r="H863" s="133">
        <v>729.85</v>
      </c>
      <c r="I863" s="24" t="s">
        <v>4963</v>
      </c>
    </row>
    <row r="864">
      <c r="A864" s="119">
        <v>58.0</v>
      </c>
      <c r="B864" s="119">
        <v>27.0</v>
      </c>
      <c r="C864" s="129">
        <v>35690.0</v>
      </c>
      <c r="D864" s="129">
        <v>25.0</v>
      </c>
      <c r="E864" s="130">
        <v>5428.0</v>
      </c>
      <c r="F864" s="131">
        <v>6352.0</v>
      </c>
      <c r="G864" s="132">
        <v>800.12</v>
      </c>
      <c r="H864" s="133">
        <v>9597.85</v>
      </c>
      <c r="I864" s="24" t="s">
        <v>4964</v>
      </c>
    </row>
    <row r="865">
      <c r="A865" s="119">
        <v>99.0</v>
      </c>
      <c r="B865" s="119">
        <v>26.0</v>
      </c>
      <c r="C865" s="129">
        <v>75653.0</v>
      </c>
      <c r="D865" s="129">
        <v>165.0</v>
      </c>
      <c r="E865" s="130">
        <v>85625.0</v>
      </c>
      <c r="F865" s="131">
        <v>11540.0</v>
      </c>
      <c r="G865" s="132">
        <v>596.54</v>
      </c>
      <c r="H865" s="133">
        <v>-24.26</v>
      </c>
      <c r="I865" s="24" t="s">
        <v>4965</v>
      </c>
    </row>
    <row r="866">
      <c r="A866" s="119">
        <v>17.0</v>
      </c>
      <c r="B866" s="119">
        <v>36.0</v>
      </c>
      <c r="C866" s="129">
        <v>72514.0</v>
      </c>
      <c r="D866" s="129">
        <v>714.0</v>
      </c>
      <c r="E866" s="130">
        <v>-77602.0</v>
      </c>
      <c r="F866" s="131">
        <v>29730.0</v>
      </c>
      <c r="G866" s="132">
        <v>519.4</v>
      </c>
      <c r="H866" s="133">
        <v>1521.3</v>
      </c>
      <c r="I866" s="24" t="s">
        <v>4966</v>
      </c>
    </row>
    <row r="867">
      <c r="A867" s="119">
        <v>58.0</v>
      </c>
      <c r="B867" s="119">
        <v>33.0</v>
      </c>
      <c r="C867" s="129">
        <v>35528.0</v>
      </c>
      <c r="D867" s="129">
        <v>956.0</v>
      </c>
      <c r="E867" s="130">
        <v>-339.0</v>
      </c>
      <c r="F867" s="131">
        <v>-615.0</v>
      </c>
      <c r="G867" s="132">
        <v>59496.82</v>
      </c>
      <c r="H867" s="133">
        <v>743.53</v>
      </c>
      <c r="I867" s="24" t="s">
        <v>4967</v>
      </c>
    </row>
    <row r="868">
      <c r="A868" s="119">
        <v>78.0</v>
      </c>
      <c r="B868" s="119">
        <v>82.0</v>
      </c>
      <c r="C868" s="129">
        <v>98084.0</v>
      </c>
      <c r="D868" s="129">
        <v>4924.0</v>
      </c>
      <c r="E868" s="130">
        <v>-308.0</v>
      </c>
      <c r="F868" s="131">
        <v>423.0</v>
      </c>
      <c r="G868" s="132">
        <v>-4748.84</v>
      </c>
      <c r="H868" s="133">
        <v>61.29</v>
      </c>
      <c r="I868" s="24" t="s">
        <v>4968</v>
      </c>
    </row>
    <row r="869">
      <c r="A869" s="119">
        <v>58.0</v>
      </c>
      <c r="B869" s="119">
        <v>37.0</v>
      </c>
      <c r="C869" s="129">
        <v>76184.0</v>
      </c>
      <c r="D869" s="129">
        <v>4726.0</v>
      </c>
      <c r="E869" s="130">
        <v>1098.0</v>
      </c>
      <c r="F869" s="131">
        <v>-48.0</v>
      </c>
      <c r="G869" s="132">
        <v>79406.74</v>
      </c>
      <c r="H869" s="133">
        <v>13.86</v>
      </c>
      <c r="I869" s="24" t="s">
        <v>4969</v>
      </c>
    </row>
    <row r="870">
      <c r="A870" s="119">
        <v>37.0</v>
      </c>
      <c r="B870" s="119">
        <v>90.0</v>
      </c>
      <c r="C870" s="129">
        <v>9870.0</v>
      </c>
      <c r="D870" s="129">
        <v>8170.0</v>
      </c>
      <c r="E870" s="130">
        <v>32.0</v>
      </c>
      <c r="F870" s="131">
        <v>956.0</v>
      </c>
      <c r="G870" s="132">
        <v>827.86</v>
      </c>
      <c r="H870" s="133">
        <v>87.44</v>
      </c>
      <c r="I870" s="24" t="s">
        <v>4970</v>
      </c>
    </row>
    <row r="871">
      <c r="A871" s="119">
        <v>37.0</v>
      </c>
      <c r="B871" s="119">
        <v>91.0</v>
      </c>
      <c r="C871" s="129">
        <v>64611.0</v>
      </c>
      <c r="D871" s="129">
        <v>502.0</v>
      </c>
      <c r="E871" s="130">
        <v>-30326.0</v>
      </c>
      <c r="F871" s="131">
        <v>40.0</v>
      </c>
      <c r="G871" s="132">
        <v>79221.13</v>
      </c>
      <c r="H871" s="133">
        <v>631.83</v>
      </c>
      <c r="I871" s="24" t="s">
        <v>4971</v>
      </c>
    </row>
    <row r="872">
      <c r="A872" s="119">
        <v>78.0</v>
      </c>
      <c r="B872" s="119">
        <v>87.0</v>
      </c>
      <c r="C872" s="129">
        <v>98086.0</v>
      </c>
      <c r="D872" s="129">
        <v>6804.0</v>
      </c>
      <c r="E872" s="130">
        <v>-865661.0</v>
      </c>
      <c r="F872" s="131">
        <v>4761.0</v>
      </c>
      <c r="G872" s="132">
        <v>632.6</v>
      </c>
      <c r="H872" s="133">
        <v>56879.89</v>
      </c>
      <c r="I872" s="24" t="s">
        <v>4159</v>
      </c>
    </row>
    <row r="873">
      <c r="A873" s="119">
        <v>78.0</v>
      </c>
      <c r="B873" s="119">
        <v>88.0</v>
      </c>
      <c r="C873" s="129">
        <v>19063.0</v>
      </c>
      <c r="D873" s="129">
        <v>1655.0</v>
      </c>
      <c r="E873" s="130">
        <v>-72.0</v>
      </c>
      <c r="F873" s="131">
        <v>-5787.0</v>
      </c>
      <c r="G873" s="132">
        <v>-715.41</v>
      </c>
      <c r="H873" s="133">
        <v>92.4</v>
      </c>
      <c r="I873" s="24" t="s">
        <v>4972</v>
      </c>
    </row>
    <row r="874">
      <c r="A874" s="119">
        <v>17.0</v>
      </c>
      <c r="B874" s="119">
        <v>45.0</v>
      </c>
      <c r="C874" s="129">
        <v>2004.0</v>
      </c>
      <c r="D874" s="129">
        <v>-968.0</v>
      </c>
      <c r="E874" s="130">
        <v>13.0</v>
      </c>
      <c r="F874" s="131">
        <v>81.0</v>
      </c>
      <c r="G874" s="132">
        <v>608.89</v>
      </c>
      <c r="H874" s="133">
        <v>13465.87</v>
      </c>
      <c r="I874" s="24" t="s">
        <v>4973</v>
      </c>
    </row>
    <row r="875">
      <c r="A875" s="119">
        <v>99.0</v>
      </c>
      <c r="B875" s="119">
        <v>40.0</v>
      </c>
      <c r="C875" s="129">
        <v>3306.0</v>
      </c>
      <c r="D875" s="129">
        <v>565.0</v>
      </c>
      <c r="E875" s="130">
        <v>307.0</v>
      </c>
      <c r="F875" s="131">
        <v>855.0</v>
      </c>
      <c r="G875" s="132">
        <v>26914.68</v>
      </c>
      <c r="H875" s="133">
        <v>-361.56</v>
      </c>
      <c r="I875" s="24" t="s">
        <v>4974</v>
      </c>
    </row>
    <row r="876">
      <c r="A876" s="119">
        <v>58.0</v>
      </c>
      <c r="B876" s="119">
        <v>45.0</v>
      </c>
      <c r="C876" s="129">
        <v>68426.0</v>
      </c>
      <c r="D876" s="129">
        <v>77.0</v>
      </c>
      <c r="E876" s="130">
        <v>50.0</v>
      </c>
      <c r="F876" s="131">
        <v>91.0</v>
      </c>
      <c r="G876" s="132">
        <v>35.93</v>
      </c>
      <c r="H876" s="133">
        <v>437.44</v>
      </c>
      <c r="I876" s="24" t="s">
        <v>4544</v>
      </c>
    </row>
    <row r="877">
      <c r="A877" s="119">
        <v>17.0</v>
      </c>
      <c r="B877" s="119">
        <v>49.0</v>
      </c>
      <c r="C877" s="129">
        <v>56425.0</v>
      </c>
      <c r="D877" s="129">
        <v>2077.0</v>
      </c>
      <c r="E877" s="130">
        <v>-88808.0</v>
      </c>
      <c r="F877" s="131">
        <v>140.0</v>
      </c>
      <c r="G877" s="132">
        <v>45448.69</v>
      </c>
      <c r="H877" s="133">
        <v>72.84</v>
      </c>
      <c r="I877" s="24" t="s">
        <v>4975</v>
      </c>
    </row>
    <row r="878">
      <c r="A878" s="119">
        <v>99.0</v>
      </c>
      <c r="B878" s="119">
        <v>41.0</v>
      </c>
      <c r="C878" s="129">
        <v>67837.0</v>
      </c>
      <c r="D878" s="129">
        <v>69947.0</v>
      </c>
      <c r="E878" s="130">
        <v>658.0</v>
      </c>
      <c r="F878" s="131">
        <v>4948.0</v>
      </c>
      <c r="G878" s="132">
        <v>7573.31</v>
      </c>
      <c r="H878" s="133">
        <v>76.13</v>
      </c>
      <c r="I878" s="24" t="s">
        <v>4976</v>
      </c>
    </row>
    <row r="879">
      <c r="A879" s="119">
        <v>58.0</v>
      </c>
      <c r="B879" s="119">
        <v>48.0</v>
      </c>
      <c r="C879" s="129">
        <v>36342.0</v>
      </c>
      <c r="D879" s="129">
        <v>28821.0</v>
      </c>
      <c r="E879" s="130">
        <v>644.0</v>
      </c>
      <c r="F879" s="131">
        <v>-538.0</v>
      </c>
      <c r="G879" s="132">
        <v>3907.64</v>
      </c>
      <c r="H879" s="133">
        <v>-95.85</v>
      </c>
      <c r="I879" s="24" t="s">
        <v>4977</v>
      </c>
    </row>
    <row r="880">
      <c r="A880" s="119">
        <v>78.0</v>
      </c>
      <c r="B880" s="119">
        <v>97.0</v>
      </c>
      <c r="C880" s="129">
        <v>91985.0</v>
      </c>
      <c r="D880" s="129">
        <v>98224.0</v>
      </c>
      <c r="E880" s="130">
        <v>222751.0</v>
      </c>
      <c r="F880" s="131">
        <v>468.0</v>
      </c>
      <c r="G880" s="132">
        <v>-52.7</v>
      </c>
      <c r="H880" s="133">
        <v>31358.3</v>
      </c>
      <c r="I880" s="24" t="s">
        <v>4978</v>
      </c>
    </row>
    <row r="881">
      <c r="A881" s="119">
        <v>99.0</v>
      </c>
      <c r="B881" s="119">
        <v>46.0</v>
      </c>
      <c r="C881" s="129">
        <v>62551.0</v>
      </c>
      <c r="D881" s="129">
        <v>350.0</v>
      </c>
      <c r="E881" s="130">
        <v>783195.0</v>
      </c>
      <c r="F881" s="131">
        <v>6134.0</v>
      </c>
      <c r="G881" s="132">
        <v>-53406.72</v>
      </c>
      <c r="H881" s="133">
        <v>56431.78</v>
      </c>
      <c r="I881" s="24" t="s">
        <v>4979</v>
      </c>
    </row>
    <row r="882">
      <c r="A882" s="119">
        <v>99.0</v>
      </c>
      <c r="B882" s="119">
        <v>47.0</v>
      </c>
      <c r="C882" s="129">
        <v>40984.0</v>
      </c>
      <c r="D882" s="129">
        <v>61.0</v>
      </c>
      <c r="E882" s="130">
        <v>-679885.0</v>
      </c>
      <c r="F882" s="131">
        <v>932.0</v>
      </c>
      <c r="G882" s="132">
        <v>38.88</v>
      </c>
      <c r="H882" s="133">
        <v>57735.78</v>
      </c>
      <c r="I882" s="24" t="s">
        <v>4980</v>
      </c>
    </row>
    <row r="883">
      <c r="A883" s="119">
        <v>17.0</v>
      </c>
      <c r="B883" s="119">
        <v>55.0</v>
      </c>
      <c r="C883" s="129">
        <v>95110.0</v>
      </c>
      <c r="D883" s="129">
        <v>218.0</v>
      </c>
      <c r="E883" s="130">
        <v>483833.0</v>
      </c>
      <c r="F883" s="131">
        <v>61885.0</v>
      </c>
      <c r="G883" s="132">
        <v>44216.45</v>
      </c>
      <c r="H883" s="133">
        <v>92.32</v>
      </c>
      <c r="I883" s="24" t="s">
        <v>4981</v>
      </c>
    </row>
    <row r="884">
      <c r="A884" s="119">
        <v>99.0</v>
      </c>
      <c r="B884" s="119">
        <v>49.0</v>
      </c>
      <c r="C884" s="129">
        <v>52274.0</v>
      </c>
      <c r="D884" s="129">
        <v>17396.0</v>
      </c>
      <c r="E884" s="130">
        <v>451.0</v>
      </c>
      <c r="F884" s="131">
        <v>29725.0</v>
      </c>
      <c r="G884" s="132">
        <v>-4302.44</v>
      </c>
      <c r="H884" s="133">
        <v>656.7</v>
      </c>
      <c r="I884" s="24" t="s">
        <v>4982</v>
      </c>
    </row>
    <row r="885">
      <c r="A885" s="119">
        <v>38.0</v>
      </c>
      <c r="B885" s="119">
        <v>5.0</v>
      </c>
      <c r="C885" s="129">
        <v>82341.0</v>
      </c>
      <c r="D885" s="129">
        <v>99.0</v>
      </c>
      <c r="E885" s="130">
        <v>914904.0</v>
      </c>
      <c r="F885" s="131">
        <v>459.0</v>
      </c>
      <c r="G885" s="132">
        <v>89171.43</v>
      </c>
      <c r="H885" s="133">
        <v>-265.38</v>
      </c>
      <c r="I885" s="24" t="s">
        <v>4983</v>
      </c>
    </row>
    <row r="886">
      <c r="A886" s="119">
        <v>17.0</v>
      </c>
      <c r="B886" s="119">
        <v>56.0</v>
      </c>
      <c r="C886" s="129">
        <v>40484.0</v>
      </c>
      <c r="D886" s="129">
        <v>87.0</v>
      </c>
      <c r="E886" s="130">
        <v>38123.0</v>
      </c>
      <c r="F886" s="131">
        <v>324.0</v>
      </c>
      <c r="G886" s="132">
        <v>-21097.36</v>
      </c>
      <c r="H886" s="133">
        <v>60.78</v>
      </c>
      <c r="I886" s="24" t="s">
        <v>4984</v>
      </c>
    </row>
    <row r="887">
      <c r="A887" s="119">
        <v>38.0</v>
      </c>
      <c r="B887" s="119">
        <v>10.0</v>
      </c>
      <c r="C887" s="129">
        <v>18420.0</v>
      </c>
      <c r="D887" s="129">
        <v>56.0</v>
      </c>
      <c r="E887" s="130">
        <v>577803.0</v>
      </c>
      <c r="F887" s="131">
        <v>34.0</v>
      </c>
      <c r="G887" s="132">
        <v>32107.39</v>
      </c>
      <c r="H887" s="133">
        <v>136.57</v>
      </c>
      <c r="I887" s="24" t="s">
        <v>4985</v>
      </c>
    </row>
    <row r="888">
      <c r="A888" s="119">
        <v>58.0</v>
      </c>
      <c r="B888" s="119">
        <v>59.0</v>
      </c>
      <c r="C888" s="129">
        <v>97076.0</v>
      </c>
      <c r="D888" s="129">
        <v>-26179.0</v>
      </c>
      <c r="E888" s="130">
        <v>576.0</v>
      </c>
      <c r="F888" s="131">
        <v>66589.0</v>
      </c>
      <c r="G888" s="132">
        <v>77.28</v>
      </c>
      <c r="H888" s="133">
        <v>2077.85</v>
      </c>
      <c r="I888" s="24" t="s">
        <v>4986</v>
      </c>
    </row>
    <row r="889">
      <c r="A889" s="119">
        <v>38.0</v>
      </c>
      <c r="B889" s="119">
        <v>11.0</v>
      </c>
      <c r="C889" s="129">
        <v>57631.0</v>
      </c>
      <c r="D889" s="129">
        <v>29.0</v>
      </c>
      <c r="E889" s="130">
        <v>-82.0</v>
      </c>
      <c r="F889" s="131">
        <v>91.0</v>
      </c>
      <c r="G889" s="132">
        <v>5888.91</v>
      </c>
      <c r="H889" s="133">
        <v>-8096.89</v>
      </c>
      <c r="I889" s="24" t="s">
        <v>4987</v>
      </c>
    </row>
    <row r="890">
      <c r="A890" s="119">
        <v>58.0</v>
      </c>
      <c r="B890" s="119">
        <v>60.0</v>
      </c>
      <c r="C890" s="129">
        <v>38652.0</v>
      </c>
      <c r="D890" s="129">
        <v>41.0</v>
      </c>
      <c r="E890" s="130">
        <v>-439968.0</v>
      </c>
      <c r="F890" s="131">
        <v>78.0</v>
      </c>
      <c r="G890" s="132">
        <v>737.32</v>
      </c>
      <c r="H890" s="133">
        <v>35941.86</v>
      </c>
      <c r="I890" s="24" t="s">
        <v>4988</v>
      </c>
    </row>
    <row r="891">
      <c r="A891" s="119">
        <v>17.0</v>
      </c>
      <c r="B891" s="119">
        <v>66.0</v>
      </c>
      <c r="C891" s="129">
        <v>64106.0</v>
      </c>
      <c r="D891" s="129">
        <v>93.0</v>
      </c>
      <c r="E891" s="130">
        <v>-24510.0</v>
      </c>
      <c r="F891" s="131">
        <v>-75.0</v>
      </c>
      <c r="G891" s="132">
        <v>57.15</v>
      </c>
      <c r="H891" s="133">
        <v>-49.17</v>
      </c>
      <c r="I891" s="24" t="s">
        <v>4989</v>
      </c>
    </row>
    <row r="892">
      <c r="A892" s="119">
        <v>38.0</v>
      </c>
      <c r="B892" s="119">
        <v>14.0</v>
      </c>
      <c r="C892" s="129">
        <v>64162.0</v>
      </c>
      <c r="D892" s="129">
        <v>-8133.0</v>
      </c>
      <c r="E892" s="130">
        <v>90796.0</v>
      </c>
      <c r="F892" s="131">
        <v>-4894.0</v>
      </c>
      <c r="G892" s="132">
        <v>1415.17</v>
      </c>
      <c r="H892" s="133">
        <v>19978.17</v>
      </c>
      <c r="I892" s="24" t="s">
        <v>4990</v>
      </c>
    </row>
    <row r="893">
      <c r="A893" s="119">
        <v>79.0</v>
      </c>
      <c r="B893" s="119">
        <v>11.0</v>
      </c>
      <c r="C893" s="129">
        <v>8692.0</v>
      </c>
      <c r="D893" s="129">
        <v>3927.0</v>
      </c>
      <c r="E893" s="130">
        <v>119933.0</v>
      </c>
      <c r="F893" s="131">
        <v>94.0</v>
      </c>
      <c r="G893" s="132">
        <v>53.5</v>
      </c>
      <c r="H893" s="133">
        <v>-17949.37</v>
      </c>
      <c r="I893" s="24" t="s">
        <v>4991</v>
      </c>
    </row>
    <row r="894">
      <c r="A894" s="119">
        <v>38.0</v>
      </c>
      <c r="B894" s="119">
        <v>17.0</v>
      </c>
      <c r="C894" s="129">
        <v>88498.0</v>
      </c>
      <c r="D894" s="129">
        <v>61.0</v>
      </c>
      <c r="E894" s="130">
        <v>35792.0</v>
      </c>
      <c r="F894" s="131">
        <v>52.0</v>
      </c>
      <c r="G894" s="132">
        <v>-31371.19</v>
      </c>
      <c r="H894" s="133">
        <v>191.52</v>
      </c>
      <c r="I894" s="24" t="s">
        <v>4992</v>
      </c>
    </row>
    <row r="895">
      <c r="A895" s="119">
        <v>79.0</v>
      </c>
      <c r="B895" s="119">
        <v>14.0</v>
      </c>
      <c r="C895" s="129">
        <v>8056.0</v>
      </c>
      <c r="D895" s="129">
        <v>926.0</v>
      </c>
      <c r="E895" s="130">
        <v>65032.0</v>
      </c>
      <c r="F895" s="131">
        <v>23.0</v>
      </c>
      <c r="G895" s="132">
        <v>30997.42</v>
      </c>
      <c r="H895" s="133">
        <v>-8620.46</v>
      </c>
      <c r="I895" s="24" t="s">
        <v>4993</v>
      </c>
    </row>
    <row r="896">
      <c r="A896" s="119">
        <v>38.0</v>
      </c>
      <c r="B896" s="119">
        <v>18.0</v>
      </c>
      <c r="C896" s="129">
        <v>70422.0</v>
      </c>
      <c r="D896" s="129">
        <v>561.0</v>
      </c>
      <c r="E896" s="130">
        <v>648.0</v>
      </c>
      <c r="F896" s="131">
        <v>-4728.0</v>
      </c>
      <c r="G896" s="132">
        <v>244.92</v>
      </c>
      <c r="H896" s="133">
        <v>-234.95</v>
      </c>
      <c r="I896" s="24" t="s">
        <v>4994</v>
      </c>
    </row>
    <row r="897">
      <c r="A897" s="119">
        <v>99.0</v>
      </c>
      <c r="B897" s="119">
        <v>64.0</v>
      </c>
      <c r="C897" s="129">
        <v>14416.0</v>
      </c>
      <c r="D897" s="129">
        <v>464.0</v>
      </c>
      <c r="E897" s="130">
        <v>-29.0</v>
      </c>
      <c r="F897" s="131">
        <v>-74.0</v>
      </c>
      <c r="G897" s="132">
        <v>-6359.59</v>
      </c>
      <c r="H897" s="133">
        <v>162.13</v>
      </c>
      <c r="I897" s="24" t="s">
        <v>4995</v>
      </c>
    </row>
    <row r="898">
      <c r="A898" s="119">
        <v>38.0</v>
      </c>
      <c r="B898" s="119">
        <v>21.0</v>
      </c>
      <c r="C898" s="129">
        <v>38052.0</v>
      </c>
      <c r="D898" s="129">
        <v>3057.0</v>
      </c>
      <c r="E898" s="130">
        <v>6445.0</v>
      </c>
      <c r="F898" s="131">
        <v>66711.0</v>
      </c>
      <c r="G898" s="132">
        <v>-56.31</v>
      </c>
      <c r="H898" s="133">
        <v>51.61</v>
      </c>
      <c r="I898" s="24" t="s">
        <v>4996</v>
      </c>
    </row>
    <row r="899">
      <c r="A899" s="119">
        <v>99.0</v>
      </c>
      <c r="B899" s="119">
        <v>72.0</v>
      </c>
      <c r="C899" s="129">
        <v>98101.0</v>
      </c>
      <c r="D899" s="129">
        <v>66.0</v>
      </c>
      <c r="E899" s="130">
        <v>13871.0</v>
      </c>
      <c r="F899" s="131">
        <v>-323.0</v>
      </c>
      <c r="G899" s="132">
        <v>941.37</v>
      </c>
      <c r="H899" s="133">
        <v>-50624.39</v>
      </c>
      <c r="I899" s="24" t="s">
        <v>4997</v>
      </c>
    </row>
    <row r="900">
      <c r="A900" s="119">
        <v>99.0</v>
      </c>
      <c r="B900" s="119">
        <v>74.0</v>
      </c>
      <c r="C900" s="129">
        <v>24887.0</v>
      </c>
      <c r="D900" s="129">
        <v>870.0</v>
      </c>
      <c r="E900" s="130">
        <v>82019.0</v>
      </c>
      <c r="F900" s="131">
        <v>159.0</v>
      </c>
      <c r="G900" s="132">
        <v>6837.65</v>
      </c>
      <c r="H900" s="133">
        <v>-91.15</v>
      </c>
      <c r="I900" s="24" t="s">
        <v>4998</v>
      </c>
    </row>
    <row r="901">
      <c r="A901" s="119">
        <v>58.0</v>
      </c>
      <c r="B901" s="119">
        <v>79.0</v>
      </c>
      <c r="C901" s="129">
        <v>34219.0</v>
      </c>
      <c r="D901" s="129">
        <v>737.0</v>
      </c>
      <c r="E901" s="130">
        <v>425911.0</v>
      </c>
      <c r="F901" s="131">
        <v>66.0</v>
      </c>
      <c r="G901" s="132">
        <v>86.53</v>
      </c>
      <c r="H901" s="133">
        <v>85.53</v>
      </c>
      <c r="I901" s="24" t="s">
        <v>4999</v>
      </c>
    </row>
    <row r="902">
      <c r="A902" s="119">
        <v>58.0</v>
      </c>
      <c r="B902" s="119">
        <v>80.0</v>
      </c>
      <c r="C902" s="129">
        <v>74490.0</v>
      </c>
      <c r="D902" s="129">
        <v>11004.0</v>
      </c>
      <c r="E902" s="130">
        <v>95759.0</v>
      </c>
      <c r="F902" s="131">
        <v>-73.0</v>
      </c>
      <c r="G902" s="132">
        <v>292.36</v>
      </c>
      <c r="H902" s="133">
        <v>40.81</v>
      </c>
      <c r="I902" s="24" t="s">
        <v>5000</v>
      </c>
    </row>
    <row r="903">
      <c r="A903" s="119">
        <v>99.0</v>
      </c>
      <c r="B903" s="119">
        <v>75.0</v>
      </c>
      <c r="C903" s="129">
        <v>29803.0</v>
      </c>
      <c r="D903" s="129">
        <v>671.0</v>
      </c>
      <c r="E903" s="130">
        <v>87.0</v>
      </c>
      <c r="F903" s="131">
        <v>-99894.0</v>
      </c>
      <c r="G903" s="132">
        <v>659.9</v>
      </c>
      <c r="H903" s="133">
        <v>55.89</v>
      </c>
      <c r="I903" s="24" t="s">
        <v>5001</v>
      </c>
    </row>
    <row r="904">
      <c r="A904" s="119">
        <v>58.0</v>
      </c>
      <c r="B904" s="119">
        <v>82.0</v>
      </c>
      <c r="C904" s="129">
        <v>12537.0</v>
      </c>
      <c r="D904" s="129">
        <v>821.0</v>
      </c>
      <c r="E904" s="130">
        <v>445488.0</v>
      </c>
      <c r="F904" s="131">
        <v>62.0</v>
      </c>
      <c r="G904" s="132">
        <v>-14.55</v>
      </c>
      <c r="H904" s="133">
        <v>543.63</v>
      </c>
      <c r="I904" s="24" t="s">
        <v>4876</v>
      </c>
    </row>
    <row r="905">
      <c r="A905" s="119">
        <v>58.0</v>
      </c>
      <c r="B905" s="119">
        <v>83.0</v>
      </c>
      <c r="C905" s="129">
        <v>66418.0</v>
      </c>
      <c r="D905" s="129">
        <v>186.0</v>
      </c>
      <c r="E905" s="130">
        <v>313963.0</v>
      </c>
      <c r="F905" s="131">
        <v>72.0</v>
      </c>
      <c r="G905" s="132">
        <v>482.81</v>
      </c>
      <c r="H905" s="133">
        <v>11370.9</v>
      </c>
      <c r="I905" s="24" t="s">
        <v>5002</v>
      </c>
    </row>
    <row r="906">
      <c r="A906" s="119">
        <v>99.0</v>
      </c>
      <c r="B906" s="119">
        <v>82.0</v>
      </c>
      <c r="C906" s="129">
        <v>67255.0</v>
      </c>
      <c r="D906" s="129">
        <v>76.0</v>
      </c>
      <c r="E906" s="130">
        <v>5172.0</v>
      </c>
      <c r="F906" s="131">
        <v>299.0</v>
      </c>
      <c r="G906" s="132">
        <v>278.95</v>
      </c>
      <c r="H906" s="133">
        <v>93846.47</v>
      </c>
      <c r="I906" s="24" t="s">
        <v>5003</v>
      </c>
    </row>
    <row r="907">
      <c r="A907" s="119">
        <v>38.0</v>
      </c>
      <c r="B907" s="119">
        <v>40.0</v>
      </c>
      <c r="C907" s="129">
        <v>28300.0</v>
      </c>
      <c r="D907" s="129">
        <v>9735.0</v>
      </c>
      <c r="E907" s="130">
        <v>644.0</v>
      </c>
      <c r="F907" s="131">
        <v>2956.0</v>
      </c>
      <c r="G907" s="132">
        <v>56.7</v>
      </c>
      <c r="H907" s="133">
        <v>817.5</v>
      </c>
      <c r="I907" s="24" t="s">
        <v>5004</v>
      </c>
    </row>
    <row r="908">
      <c r="A908" s="119">
        <v>38.0</v>
      </c>
      <c r="B908" s="119">
        <v>41.0</v>
      </c>
      <c r="C908" s="129">
        <v>5983.0</v>
      </c>
      <c r="D908" s="129">
        <v>72.0</v>
      </c>
      <c r="E908" s="130">
        <v>-88.0</v>
      </c>
      <c r="F908" s="131">
        <v>40547.0</v>
      </c>
      <c r="G908" s="132">
        <v>60.84</v>
      </c>
      <c r="H908" s="133">
        <v>768.9</v>
      </c>
      <c r="I908" s="24" t="s">
        <v>5005</v>
      </c>
    </row>
    <row r="909">
      <c r="A909" s="119">
        <v>58.0</v>
      </c>
      <c r="B909" s="119">
        <v>94.0</v>
      </c>
      <c r="C909" s="129">
        <v>87332.0</v>
      </c>
      <c r="D909" s="129">
        <v>787.0</v>
      </c>
      <c r="E909" s="130">
        <v>-3180.0</v>
      </c>
      <c r="F909" s="131">
        <v>-3414.0</v>
      </c>
      <c r="G909" s="132">
        <v>771.43</v>
      </c>
      <c r="H909" s="133">
        <v>4687.79</v>
      </c>
      <c r="I909" s="24" t="s">
        <v>5006</v>
      </c>
    </row>
    <row r="910">
      <c r="A910" s="119">
        <v>99.0</v>
      </c>
      <c r="B910" s="119">
        <v>90.0</v>
      </c>
      <c r="C910" s="129">
        <v>93211.0</v>
      </c>
      <c r="D910" s="129">
        <v>-35621.0</v>
      </c>
      <c r="E910" s="130">
        <v>74.0</v>
      </c>
      <c r="F910" s="131">
        <v>33.0</v>
      </c>
      <c r="G910" s="132">
        <v>8592.65</v>
      </c>
      <c r="H910" s="133">
        <v>-22750.76</v>
      </c>
      <c r="I910" s="24" t="s">
        <v>5007</v>
      </c>
    </row>
    <row r="911">
      <c r="A911" s="119">
        <v>38.0</v>
      </c>
      <c r="B911" s="119">
        <v>46.0</v>
      </c>
      <c r="C911" s="129">
        <v>64959.0</v>
      </c>
      <c r="D911" s="129">
        <v>49431.0</v>
      </c>
      <c r="E911" s="130">
        <v>90.0</v>
      </c>
      <c r="F911" s="131">
        <v>78003.0</v>
      </c>
      <c r="G911" s="132">
        <v>3763.77</v>
      </c>
      <c r="H911" s="133">
        <v>-67.3</v>
      </c>
      <c r="I911" s="24" t="s">
        <v>5008</v>
      </c>
    </row>
    <row r="912">
      <c r="A912" s="119">
        <v>58.0</v>
      </c>
      <c r="B912" s="119">
        <v>97.0</v>
      </c>
      <c r="C912" s="129">
        <v>18354.0</v>
      </c>
      <c r="D912" s="129">
        <v>70.0</v>
      </c>
      <c r="E912" s="130">
        <v>14583.0</v>
      </c>
      <c r="F912" s="131">
        <v>-34458.0</v>
      </c>
      <c r="G912" s="132">
        <v>368.2</v>
      </c>
      <c r="H912" s="133">
        <v>15.72</v>
      </c>
      <c r="I912" s="24" t="s">
        <v>5009</v>
      </c>
    </row>
    <row r="913">
      <c r="A913" s="119">
        <v>38.0</v>
      </c>
      <c r="B913" s="119">
        <v>51.0</v>
      </c>
      <c r="C913" s="129">
        <v>85697.0</v>
      </c>
      <c r="D913" s="129">
        <v>661.0</v>
      </c>
      <c r="E913" s="130">
        <v>-992.0</v>
      </c>
      <c r="F913" s="131">
        <v>45574.0</v>
      </c>
      <c r="G913" s="132">
        <v>36370.6</v>
      </c>
      <c r="H913" s="133">
        <v>-75.81</v>
      </c>
      <c r="I913" s="24" t="s">
        <v>5010</v>
      </c>
    </row>
    <row r="914">
      <c r="A914" s="119">
        <v>59.0</v>
      </c>
      <c r="B914" s="119">
        <v>0.0</v>
      </c>
      <c r="C914" s="129">
        <v>16089.0</v>
      </c>
      <c r="D914" s="129">
        <v>-308.0</v>
      </c>
      <c r="E914" s="130">
        <v>582323.0</v>
      </c>
      <c r="F914" s="131">
        <v>17.0</v>
      </c>
      <c r="G914" s="132">
        <v>521.48</v>
      </c>
      <c r="H914" s="133">
        <v>-741.0</v>
      </c>
      <c r="I914" s="24" t="s">
        <v>5011</v>
      </c>
    </row>
    <row r="915">
      <c r="A915" s="119">
        <v>18.0</v>
      </c>
      <c r="B915" s="119">
        <v>9.0</v>
      </c>
      <c r="C915" s="129">
        <v>99458.0</v>
      </c>
      <c r="D915" s="129">
        <v>3616.0</v>
      </c>
      <c r="E915" s="130">
        <v>-39.0</v>
      </c>
      <c r="F915" s="131">
        <v>-877.0</v>
      </c>
      <c r="G915" s="132">
        <v>9708.92</v>
      </c>
      <c r="H915" s="133">
        <v>44.14</v>
      </c>
      <c r="I915" s="24" t="s">
        <v>5012</v>
      </c>
    </row>
    <row r="916">
      <c r="A916" s="119">
        <v>79.0</v>
      </c>
      <c r="B916" s="119">
        <v>54.0</v>
      </c>
      <c r="C916" s="129">
        <v>67285.0</v>
      </c>
      <c r="D916" s="129">
        <v>35925.0</v>
      </c>
      <c r="E916" s="130">
        <v>-4701.0</v>
      </c>
      <c r="F916" s="131">
        <v>-163.0</v>
      </c>
      <c r="G916" s="132">
        <v>901.3</v>
      </c>
      <c r="H916" s="133">
        <v>552.2</v>
      </c>
      <c r="I916" s="24" t="s">
        <v>5013</v>
      </c>
    </row>
    <row r="917">
      <c r="A917" s="119">
        <v>59.0</v>
      </c>
      <c r="B917" s="119">
        <v>11.0</v>
      </c>
      <c r="C917" s="129">
        <v>46476.0</v>
      </c>
      <c r="D917" s="129">
        <v>8740.0</v>
      </c>
      <c r="E917" s="130">
        <v>22783.0</v>
      </c>
      <c r="F917" s="131">
        <v>14208.0</v>
      </c>
      <c r="G917" s="132">
        <v>-285.8</v>
      </c>
      <c r="H917" s="133">
        <v>172.58</v>
      </c>
      <c r="I917" s="24" t="s">
        <v>5014</v>
      </c>
    </row>
    <row r="918">
      <c r="A918" s="119">
        <v>38.0</v>
      </c>
      <c r="B918" s="119">
        <v>64.0</v>
      </c>
      <c r="C918" s="129">
        <v>78855.0</v>
      </c>
      <c r="D918" s="129">
        <v>-5094.0</v>
      </c>
      <c r="E918" s="130">
        <v>-67.0</v>
      </c>
      <c r="F918" s="131">
        <v>48853.0</v>
      </c>
      <c r="G918" s="132">
        <v>164.0</v>
      </c>
      <c r="H918" s="133">
        <v>65.73</v>
      </c>
      <c r="I918" s="24" t="s">
        <v>5015</v>
      </c>
    </row>
    <row r="919">
      <c r="A919" s="119">
        <v>79.0</v>
      </c>
      <c r="B919" s="119">
        <v>60.0</v>
      </c>
      <c r="C919" s="129">
        <v>25752.0</v>
      </c>
      <c r="D919" s="129">
        <v>35.0</v>
      </c>
      <c r="E919" s="130">
        <v>-759735.0</v>
      </c>
      <c r="F919" s="131">
        <v>7779.0</v>
      </c>
      <c r="G919" s="132">
        <v>2583.7</v>
      </c>
      <c r="H919" s="133">
        <v>-66628.72</v>
      </c>
      <c r="I919" s="24" t="s">
        <v>5016</v>
      </c>
    </row>
    <row r="920">
      <c r="A920" s="119">
        <v>18.0</v>
      </c>
      <c r="B920" s="119">
        <v>15.0</v>
      </c>
      <c r="C920" s="129">
        <v>85187.0</v>
      </c>
      <c r="D920" s="129">
        <v>51593.0</v>
      </c>
      <c r="E920" s="130">
        <v>98695.0</v>
      </c>
      <c r="F920" s="131">
        <v>4570.0</v>
      </c>
      <c r="G920" s="132">
        <v>828.51</v>
      </c>
      <c r="H920" s="133">
        <v>89.24</v>
      </c>
      <c r="I920" s="24" t="s">
        <v>5017</v>
      </c>
    </row>
    <row r="921">
      <c r="A921" s="119">
        <v>79.0</v>
      </c>
      <c r="B921" s="119">
        <v>63.0</v>
      </c>
      <c r="C921" s="129">
        <v>79877.0</v>
      </c>
      <c r="D921" s="129">
        <v>139.0</v>
      </c>
      <c r="E921" s="130">
        <v>37191.0</v>
      </c>
      <c r="F921" s="131">
        <v>9975.0</v>
      </c>
      <c r="G921" s="132">
        <v>-93498.61</v>
      </c>
      <c r="H921" s="133">
        <v>11.63</v>
      </c>
      <c r="I921" s="24" t="s">
        <v>5018</v>
      </c>
    </row>
    <row r="922">
      <c r="A922" s="119">
        <v>38.0</v>
      </c>
      <c r="B922" s="119">
        <v>68.0</v>
      </c>
      <c r="C922" s="129">
        <v>3407.0</v>
      </c>
      <c r="D922" s="129">
        <v>261.0</v>
      </c>
      <c r="E922" s="130">
        <v>66740.0</v>
      </c>
      <c r="F922" s="131">
        <v>3483.0</v>
      </c>
      <c r="G922" s="132">
        <v>47.87</v>
      </c>
      <c r="H922" s="133">
        <v>-6639.85</v>
      </c>
      <c r="I922" s="24" t="s">
        <v>5019</v>
      </c>
    </row>
    <row r="923">
      <c r="A923" s="119">
        <v>18.0</v>
      </c>
      <c r="B923" s="119">
        <v>23.0</v>
      </c>
      <c r="C923" s="129">
        <v>17474.0</v>
      </c>
      <c r="D923" s="129">
        <v>498.0</v>
      </c>
      <c r="E923" s="130">
        <v>91.0</v>
      </c>
      <c r="F923" s="131">
        <v>46866.0</v>
      </c>
      <c r="G923" s="132">
        <v>23445.42</v>
      </c>
      <c r="H923" s="133">
        <v>765.1</v>
      </c>
      <c r="I923" s="24" t="s">
        <v>5020</v>
      </c>
    </row>
    <row r="924">
      <c r="A924" s="119">
        <v>38.0</v>
      </c>
      <c r="B924" s="119">
        <v>73.0</v>
      </c>
      <c r="C924" s="129">
        <v>92621.0</v>
      </c>
      <c r="D924" s="129">
        <v>182.0</v>
      </c>
      <c r="E924" s="130">
        <v>3570.0</v>
      </c>
      <c r="F924" s="131">
        <v>14.0</v>
      </c>
      <c r="G924" s="132">
        <v>63.94</v>
      </c>
      <c r="H924" s="133">
        <v>19027.94</v>
      </c>
      <c r="I924" s="24" t="s">
        <v>5021</v>
      </c>
    </row>
    <row r="925">
      <c r="A925" s="119">
        <v>18.0</v>
      </c>
      <c r="B925" s="119">
        <v>31.0</v>
      </c>
      <c r="C925" s="129">
        <v>8386.0</v>
      </c>
      <c r="D925" s="129">
        <v>82.0</v>
      </c>
      <c r="E925" s="130">
        <v>-44647.0</v>
      </c>
      <c r="F925" s="131">
        <v>-54799.0</v>
      </c>
      <c r="G925" s="132">
        <v>23367.91</v>
      </c>
      <c r="H925" s="133">
        <v>84.18</v>
      </c>
      <c r="I925" s="24" t="s">
        <v>5022</v>
      </c>
    </row>
    <row r="926">
      <c r="A926" s="119">
        <v>38.0</v>
      </c>
      <c r="B926" s="119">
        <v>80.0</v>
      </c>
      <c r="C926" s="129">
        <v>90816.0</v>
      </c>
      <c r="D926" s="129">
        <v>91.0</v>
      </c>
      <c r="E926" s="130">
        <v>-532072.0</v>
      </c>
      <c r="F926" s="131">
        <v>10708.0</v>
      </c>
      <c r="G926" s="132">
        <v>93.57</v>
      </c>
      <c r="H926" s="133">
        <v>46343.46</v>
      </c>
      <c r="I926" s="24" t="s">
        <v>5023</v>
      </c>
    </row>
    <row r="927">
      <c r="A927" s="119">
        <v>79.0</v>
      </c>
      <c r="B927" s="119">
        <v>77.0</v>
      </c>
      <c r="C927" s="129">
        <v>14195.0</v>
      </c>
      <c r="D927" s="129">
        <v>72.0</v>
      </c>
      <c r="E927" s="130">
        <v>9032.0</v>
      </c>
      <c r="F927" s="131">
        <v>-1267.0</v>
      </c>
      <c r="G927" s="132">
        <v>12.78</v>
      </c>
      <c r="H927" s="133">
        <v>386.27</v>
      </c>
      <c r="I927" s="24" t="s">
        <v>5024</v>
      </c>
    </row>
    <row r="928">
      <c r="A928" s="119">
        <v>38.0</v>
      </c>
      <c r="B928" s="119">
        <v>81.0</v>
      </c>
      <c r="C928" s="129">
        <v>14242.0</v>
      </c>
      <c r="D928" s="129">
        <v>65775.0</v>
      </c>
      <c r="E928" s="130">
        <v>52.0</v>
      </c>
      <c r="F928" s="131">
        <v>37869.0</v>
      </c>
      <c r="G928" s="132">
        <v>60.72</v>
      </c>
      <c r="H928" s="133">
        <v>20.75</v>
      </c>
      <c r="I928" s="24" t="s">
        <v>5025</v>
      </c>
    </row>
    <row r="929">
      <c r="A929" s="119">
        <v>18.0</v>
      </c>
      <c r="B929" s="119">
        <v>33.0</v>
      </c>
      <c r="C929" s="129">
        <v>70941.0</v>
      </c>
      <c r="D929" s="129">
        <v>5780.0</v>
      </c>
      <c r="E929" s="130">
        <v>-87.0</v>
      </c>
      <c r="F929" s="131">
        <v>-366.0</v>
      </c>
      <c r="G929" s="132">
        <v>96667.61</v>
      </c>
      <c r="H929" s="133">
        <v>-16790.66</v>
      </c>
      <c r="I929" s="24" t="s">
        <v>5026</v>
      </c>
    </row>
    <row r="930">
      <c r="A930" s="119">
        <v>38.0</v>
      </c>
      <c r="B930" s="119">
        <v>84.0</v>
      </c>
      <c r="C930" s="129">
        <v>43047.0</v>
      </c>
      <c r="D930" s="129">
        <v>3527.0</v>
      </c>
      <c r="E930" s="130">
        <v>3867.0</v>
      </c>
      <c r="F930" s="131">
        <v>10.0</v>
      </c>
      <c r="G930" s="132">
        <v>-5686.43</v>
      </c>
      <c r="H930" s="133">
        <v>3563.48</v>
      </c>
      <c r="I930" s="24" t="s">
        <v>4580</v>
      </c>
    </row>
    <row r="931">
      <c r="A931" s="119">
        <v>18.0</v>
      </c>
      <c r="B931" s="119">
        <v>35.0</v>
      </c>
      <c r="C931" s="129">
        <v>27878.0</v>
      </c>
      <c r="D931" s="129">
        <v>-319.0</v>
      </c>
      <c r="E931" s="130">
        <v>730.0</v>
      </c>
      <c r="F931" s="131">
        <v>4810.0</v>
      </c>
      <c r="G931" s="132">
        <v>49943.88</v>
      </c>
      <c r="H931" s="133">
        <v>32.8</v>
      </c>
      <c r="I931" s="24" t="s">
        <v>5027</v>
      </c>
    </row>
    <row r="932">
      <c r="A932" s="119">
        <v>79.0</v>
      </c>
      <c r="B932" s="119">
        <v>88.0</v>
      </c>
      <c r="C932" s="129">
        <v>58598.0</v>
      </c>
      <c r="D932" s="129">
        <v>94.0</v>
      </c>
      <c r="E932" s="130">
        <v>24.0</v>
      </c>
      <c r="F932" s="131">
        <v>861.0</v>
      </c>
      <c r="G932" s="132">
        <v>7926.22</v>
      </c>
      <c r="H932" s="133">
        <v>834.4</v>
      </c>
      <c r="I932" s="24" t="s">
        <v>5028</v>
      </c>
    </row>
    <row r="933">
      <c r="A933" s="119">
        <v>18.0</v>
      </c>
      <c r="B933" s="119">
        <v>52.0</v>
      </c>
      <c r="C933" s="129">
        <v>13530.0</v>
      </c>
      <c r="D933" s="129">
        <v>-75.0</v>
      </c>
      <c r="E933" s="130">
        <v>71.0</v>
      </c>
      <c r="F933" s="131">
        <v>-97988.0</v>
      </c>
      <c r="G933" s="132">
        <v>44426.65</v>
      </c>
      <c r="H933" s="133">
        <v>17556.81</v>
      </c>
      <c r="I933" s="24" t="s">
        <v>5029</v>
      </c>
    </row>
    <row r="934">
      <c r="A934" s="119">
        <v>59.0</v>
      </c>
      <c r="B934" s="119">
        <v>58.0</v>
      </c>
      <c r="C934" s="129">
        <v>35427.0</v>
      </c>
      <c r="D934" s="129">
        <v>28906.0</v>
      </c>
      <c r="E934" s="130">
        <v>-349938.0</v>
      </c>
      <c r="F934" s="131">
        <v>-1279.0</v>
      </c>
      <c r="G934" s="132">
        <v>-908.68</v>
      </c>
      <c r="H934" s="133">
        <v>-1855.76</v>
      </c>
      <c r="I934" s="24" t="s">
        <v>5030</v>
      </c>
    </row>
    <row r="935">
      <c r="A935" s="119">
        <v>39.0</v>
      </c>
      <c r="B935" s="119">
        <v>11.0</v>
      </c>
      <c r="C935" s="129">
        <v>39257.0</v>
      </c>
      <c r="D935" s="129">
        <v>3199.0</v>
      </c>
      <c r="E935" s="130">
        <v>990053.0</v>
      </c>
      <c r="F935" s="131">
        <v>4734.0</v>
      </c>
      <c r="G935" s="132">
        <v>4830.59</v>
      </c>
      <c r="H935" s="133">
        <v>68685.42</v>
      </c>
      <c r="I935" s="24" t="s">
        <v>5031</v>
      </c>
    </row>
    <row r="936">
      <c r="A936" s="119">
        <v>39.0</v>
      </c>
      <c r="B936" s="119">
        <v>12.0</v>
      </c>
      <c r="C936" s="129">
        <v>73400.0</v>
      </c>
      <c r="D936" s="129">
        <v>871.0</v>
      </c>
      <c r="E936" s="130">
        <v>41085.0</v>
      </c>
      <c r="F936" s="131">
        <v>46.0</v>
      </c>
      <c r="G936" s="132">
        <v>-1195.51</v>
      </c>
      <c r="H936" s="133">
        <v>72.78</v>
      </c>
      <c r="I936" s="24" t="s">
        <v>5032</v>
      </c>
    </row>
    <row r="937">
      <c r="A937" s="119">
        <v>39.0</v>
      </c>
      <c r="B937" s="119">
        <v>10.0</v>
      </c>
      <c r="C937" s="129">
        <v>76360.0</v>
      </c>
      <c r="D937" s="129">
        <v>99.0</v>
      </c>
      <c r="E937" s="130">
        <v>-40073.0</v>
      </c>
      <c r="F937" s="131">
        <v>-73225.0</v>
      </c>
      <c r="G937" s="132">
        <v>52.28</v>
      </c>
      <c r="H937" s="133">
        <v>854.26</v>
      </c>
      <c r="I937" s="24" t="s">
        <v>5033</v>
      </c>
    </row>
    <row r="938">
      <c r="A938" s="119">
        <v>18.0</v>
      </c>
      <c r="B938" s="119">
        <v>66.0</v>
      </c>
      <c r="C938" s="129">
        <v>42527.0</v>
      </c>
      <c r="D938" s="129">
        <v>238.0</v>
      </c>
      <c r="E938" s="130">
        <v>-311.0</v>
      </c>
      <c r="F938" s="131">
        <v>-63.0</v>
      </c>
      <c r="G938" s="132">
        <v>117.36</v>
      </c>
      <c r="H938" s="133">
        <v>687.9</v>
      </c>
      <c r="I938" s="24" t="s">
        <v>5034</v>
      </c>
    </row>
    <row r="939">
      <c r="A939" s="119">
        <v>39.0</v>
      </c>
      <c r="B939" s="119">
        <v>17.0</v>
      </c>
      <c r="C939" s="129">
        <v>73889.0</v>
      </c>
      <c r="D939" s="129">
        <v>3975.0</v>
      </c>
      <c r="E939" s="130">
        <v>67.0</v>
      </c>
      <c r="F939" s="131">
        <v>-9967.0</v>
      </c>
      <c r="G939" s="132">
        <v>-10.91</v>
      </c>
      <c r="H939" s="133">
        <v>-76.4</v>
      </c>
      <c r="I939" s="24" t="s">
        <v>4295</v>
      </c>
    </row>
    <row r="940">
      <c r="A940" s="119">
        <v>80.0</v>
      </c>
      <c r="B940" s="119">
        <v>15.0</v>
      </c>
      <c r="C940" s="129">
        <v>10195.0</v>
      </c>
      <c r="D940" s="129">
        <v>25.0</v>
      </c>
      <c r="E940" s="130">
        <v>-268895.0</v>
      </c>
      <c r="F940" s="131">
        <v>47839.0</v>
      </c>
      <c r="G940" s="132">
        <v>-729.68</v>
      </c>
      <c r="H940" s="133">
        <v>-73504.98</v>
      </c>
      <c r="I940" s="24" t="s">
        <v>5035</v>
      </c>
    </row>
    <row r="941">
      <c r="A941" s="119">
        <v>80.0</v>
      </c>
      <c r="B941" s="119">
        <v>20.0</v>
      </c>
      <c r="C941" s="129">
        <v>17103.0</v>
      </c>
      <c r="D941" s="129">
        <v>-861.0</v>
      </c>
      <c r="E941" s="130">
        <v>-1917.0</v>
      </c>
      <c r="F941" s="131">
        <v>53647.0</v>
      </c>
      <c r="G941" s="132">
        <v>63.2</v>
      </c>
      <c r="H941" s="133">
        <v>-897.94</v>
      </c>
      <c r="I941" s="24" t="s">
        <v>4170</v>
      </c>
    </row>
    <row r="942">
      <c r="A942" s="119">
        <v>18.0</v>
      </c>
      <c r="B942" s="119">
        <v>80.0</v>
      </c>
      <c r="C942" s="129">
        <v>87552.0</v>
      </c>
      <c r="D942" s="129">
        <v>60.0</v>
      </c>
      <c r="E942" s="130">
        <v>119.0</v>
      </c>
      <c r="F942" s="131">
        <v>70055.0</v>
      </c>
      <c r="G942" s="132">
        <v>1916.28</v>
      </c>
      <c r="H942" s="133">
        <v>-39.88</v>
      </c>
      <c r="I942" s="24" t="s">
        <v>5036</v>
      </c>
    </row>
    <row r="943">
      <c r="A943" s="119">
        <v>59.0</v>
      </c>
      <c r="B943" s="119">
        <v>76.0</v>
      </c>
      <c r="C943" s="129">
        <v>29330.0</v>
      </c>
      <c r="D943" s="129">
        <v>65897.0</v>
      </c>
      <c r="E943" s="130">
        <v>18.0</v>
      </c>
      <c r="F943" s="131">
        <v>6187.0</v>
      </c>
      <c r="G943" s="132">
        <v>-24086.88</v>
      </c>
      <c r="H943" s="133">
        <v>-858.52</v>
      </c>
      <c r="I943" s="24" t="s">
        <v>5037</v>
      </c>
    </row>
    <row r="944">
      <c r="A944" s="119">
        <v>59.0</v>
      </c>
      <c r="B944" s="119">
        <v>78.0</v>
      </c>
      <c r="C944" s="129">
        <v>84357.0</v>
      </c>
      <c r="D944" s="129">
        <v>88.0</v>
      </c>
      <c r="E944" s="130">
        <v>451832.0</v>
      </c>
      <c r="F944" s="131">
        <v>28.0</v>
      </c>
      <c r="G944" s="132">
        <v>24103.82</v>
      </c>
      <c r="H944" s="133">
        <v>-1669.24</v>
      </c>
      <c r="I944" s="24" t="s">
        <v>5038</v>
      </c>
    </row>
    <row r="945">
      <c r="A945" s="119">
        <v>18.0</v>
      </c>
      <c r="B945" s="119">
        <v>83.0</v>
      </c>
      <c r="C945" s="129">
        <v>36968.0</v>
      </c>
      <c r="D945" s="129">
        <v>3888.0</v>
      </c>
      <c r="E945" s="130">
        <v>-66.0</v>
      </c>
      <c r="F945" s="131">
        <v>92169.0</v>
      </c>
      <c r="G945" s="132">
        <v>594.86</v>
      </c>
      <c r="H945" s="133">
        <v>12047.9</v>
      </c>
      <c r="I945" s="24" t="s">
        <v>5039</v>
      </c>
    </row>
    <row r="946">
      <c r="A946" s="119">
        <v>59.0</v>
      </c>
      <c r="B946" s="119">
        <v>82.0</v>
      </c>
      <c r="C946" s="129">
        <v>81830.0</v>
      </c>
      <c r="D946" s="129">
        <v>2646.0</v>
      </c>
      <c r="E946" s="130">
        <v>25.0</v>
      </c>
      <c r="F946" s="131">
        <v>52.0</v>
      </c>
      <c r="G946" s="132">
        <v>71.45</v>
      </c>
      <c r="H946" s="133">
        <v>276.78</v>
      </c>
      <c r="I946" s="24" t="s">
        <v>5040</v>
      </c>
    </row>
    <row r="947">
      <c r="A947" s="119">
        <v>59.0</v>
      </c>
      <c r="B947" s="119">
        <v>92.0</v>
      </c>
      <c r="C947" s="129">
        <v>11368.0</v>
      </c>
      <c r="D947" s="129">
        <v>73185.0</v>
      </c>
      <c r="E947" s="130">
        <v>7246.0</v>
      </c>
      <c r="F947" s="131">
        <v>6157.0</v>
      </c>
      <c r="G947" s="132">
        <v>31.45</v>
      </c>
      <c r="H947" s="133">
        <v>852.59</v>
      </c>
      <c r="I947" s="24" t="s">
        <v>5041</v>
      </c>
    </row>
    <row r="948">
      <c r="A948" s="119">
        <v>59.0</v>
      </c>
      <c r="B948" s="119">
        <v>93.0</v>
      </c>
      <c r="C948" s="129">
        <v>93980.0</v>
      </c>
      <c r="D948" s="129">
        <v>-195.0</v>
      </c>
      <c r="E948" s="130">
        <v>187.0</v>
      </c>
      <c r="F948" s="131">
        <v>809.0</v>
      </c>
      <c r="G948" s="132">
        <v>26.56</v>
      </c>
      <c r="H948" s="133">
        <v>36.58</v>
      </c>
      <c r="I948" s="24" t="s">
        <v>5042</v>
      </c>
    </row>
    <row r="949">
      <c r="A949" s="119">
        <v>80.0</v>
      </c>
      <c r="B949" s="119">
        <v>42.0</v>
      </c>
      <c r="C949" s="129">
        <v>91133.0</v>
      </c>
      <c r="D949" s="129">
        <v>10.0</v>
      </c>
      <c r="E949" s="130">
        <v>-271180.0</v>
      </c>
      <c r="F949" s="131">
        <v>94.0</v>
      </c>
      <c r="G949" s="132">
        <v>-13.3</v>
      </c>
      <c r="H949" s="133">
        <v>-1817.11</v>
      </c>
      <c r="I949" s="24" t="s">
        <v>5043</v>
      </c>
    </row>
    <row r="950">
      <c r="A950" s="119">
        <v>59.0</v>
      </c>
      <c r="B950" s="119">
        <v>95.0</v>
      </c>
      <c r="C950" s="129">
        <v>78421.0</v>
      </c>
      <c r="D950" s="129">
        <v>37847.0</v>
      </c>
      <c r="E950" s="130">
        <v>42274.0</v>
      </c>
      <c r="F950" s="131">
        <v>64915.0</v>
      </c>
      <c r="G950" s="132">
        <v>33.55</v>
      </c>
      <c r="H950" s="133">
        <v>7199.16</v>
      </c>
      <c r="I950" s="24" t="s">
        <v>5044</v>
      </c>
    </row>
    <row r="951">
      <c r="A951" s="119">
        <v>39.0</v>
      </c>
      <c r="B951" s="119">
        <v>60.0</v>
      </c>
      <c r="C951" s="129">
        <v>22047.0</v>
      </c>
      <c r="D951" s="129">
        <v>7555.0</v>
      </c>
      <c r="E951" s="130">
        <v>-66680.0</v>
      </c>
      <c r="F951" s="131">
        <v>9836.0</v>
      </c>
      <c r="G951" s="132">
        <v>1847.5</v>
      </c>
      <c r="H951" s="133">
        <v>9090.9</v>
      </c>
      <c r="I951" s="24" t="s">
        <v>5045</v>
      </c>
    </row>
    <row r="952">
      <c r="A952" s="119">
        <v>19.0</v>
      </c>
      <c r="B952" s="119">
        <v>13.0</v>
      </c>
      <c r="C952" s="129">
        <v>29298.0</v>
      </c>
      <c r="D952" s="129">
        <v>-40.0</v>
      </c>
      <c r="E952" s="130">
        <v>47.0</v>
      </c>
      <c r="F952" s="131">
        <v>5458.0</v>
      </c>
      <c r="G952" s="132">
        <v>-27.5</v>
      </c>
      <c r="H952" s="133">
        <v>6212.22</v>
      </c>
      <c r="I952" s="24" t="s">
        <v>5046</v>
      </c>
    </row>
    <row r="953">
      <c r="A953" s="119">
        <v>19.0</v>
      </c>
      <c r="B953" s="119">
        <v>19.0</v>
      </c>
      <c r="C953" s="129">
        <v>98088.0</v>
      </c>
      <c r="D953" s="129">
        <v>38.0</v>
      </c>
      <c r="E953" s="130">
        <v>92642.0</v>
      </c>
      <c r="F953" s="131">
        <v>7108.0</v>
      </c>
      <c r="G953" s="132">
        <v>89.59</v>
      </c>
      <c r="H953" s="133">
        <v>-45.91</v>
      </c>
      <c r="I953" s="24" t="s">
        <v>5047</v>
      </c>
    </row>
    <row r="954">
      <c r="A954" s="119">
        <v>19.0</v>
      </c>
      <c r="B954" s="119">
        <v>22.0</v>
      </c>
      <c r="C954" s="129">
        <v>49937.0</v>
      </c>
      <c r="D954" s="129">
        <v>450.0</v>
      </c>
      <c r="E954" s="130">
        <v>-81.0</v>
      </c>
      <c r="F954" s="131">
        <v>8248.0</v>
      </c>
      <c r="G954" s="132">
        <v>939.62</v>
      </c>
      <c r="H954" s="133">
        <v>54.67</v>
      </c>
      <c r="I954" s="24" t="s">
        <v>5048</v>
      </c>
    </row>
    <row r="955">
      <c r="A955" s="119">
        <v>19.0</v>
      </c>
      <c r="B955" s="119">
        <v>23.0</v>
      </c>
      <c r="C955" s="129">
        <v>60961.0</v>
      </c>
      <c r="D955" s="129">
        <v>83.0</v>
      </c>
      <c r="E955" s="130">
        <v>-2515.0</v>
      </c>
      <c r="F955" s="131">
        <v>467.0</v>
      </c>
      <c r="G955" s="132">
        <v>-57.6</v>
      </c>
      <c r="H955" s="133">
        <v>-85.8</v>
      </c>
      <c r="I955" s="24" t="s">
        <v>5049</v>
      </c>
    </row>
    <row r="956">
      <c r="A956" s="119">
        <v>39.0</v>
      </c>
      <c r="B956" s="119">
        <v>77.0</v>
      </c>
      <c r="C956" s="129">
        <v>25950.0</v>
      </c>
      <c r="D956" s="129">
        <v>-37.0</v>
      </c>
      <c r="E956" s="130">
        <v>182953.0</v>
      </c>
      <c r="F956" s="131">
        <v>18447.0</v>
      </c>
      <c r="G956" s="132">
        <v>66.92</v>
      </c>
      <c r="H956" s="133">
        <v>-15359.41</v>
      </c>
      <c r="I956" s="24" t="s">
        <v>5050</v>
      </c>
    </row>
    <row r="957">
      <c r="A957" s="119">
        <v>60.0</v>
      </c>
      <c r="B957" s="119">
        <v>26.0</v>
      </c>
      <c r="C957" s="129">
        <v>77515.0</v>
      </c>
      <c r="D957" s="129">
        <v>-24722.0</v>
      </c>
      <c r="E957" s="130">
        <v>388866.0</v>
      </c>
      <c r="F957" s="131">
        <v>7316.0</v>
      </c>
      <c r="G957" s="132">
        <v>3830.14</v>
      </c>
      <c r="H957" s="133">
        <v>2174.5</v>
      </c>
      <c r="I957" s="24" t="s">
        <v>5051</v>
      </c>
    </row>
    <row r="958">
      <c r="A958" s="119">
        <v>80.0</v>
      </c>
      <c r="B958" s="119">
        <v>77.0</v>
      </c>
      <c r="C958" s="129">
        <v>29686.0</v>
      </c>
      <c r="D958" s="129">
        <v>91404.0</v>
      </c>
      <c r="E958" s="130">
        <v>27.0</v>
      </c>
      <c r="F958" s="131">
        <v>45552.0</v>
      </c>
      <c r="G958" s="132">
        <v>56313.53</v>
      </c>
      <c r="H958" s="133">
        <v>-630.99</v>
      </c>
      <c r="I958" s="24" t="s">
        <v>5052</v>
      </c>
    </row>
    <row r="959">
      <c r="A959" s="119">
        <v>39.0</v>
      </c>
      <c r="B959" s="119">
        <v>81.0</v>
      </c>
      <c r="C959" s="129">
        <v>38391.0</v>
      </c>
      <c r="D959" s="129">
        <v>3238.0</v>
      </c>
      <c r="E959" s="130">
        <v>-178.0</v>
      </c>
      <c r="F959" s="131">
        <v>91.0</v>
      </c>
      <c r="G959" s="132">
        <v>9821.5</v>
      </c>
      <c r="H959" s="133">
        <v>-6890.87</v>
      </c>
      <c r="I959" s="24" t="s">
        <v>5053</v>
      </c>
    </row>
    <row r="960">
      <c r="A960" s="119">
        <v>80.0</v>
      </c>
      <c r="B960" s="119">
        <v>79.0</v>
      </c>
      <c r="C960" s="129">
        <v>24431.0</v>
      </c>
      <c r="D960" s="129">
        <v>559.0</v>
      </c>
      <c r="E960" s="130">
        <v>413.0</v>
      </c>
      <c r="F960" s="131">
        <v>303.0</v>
      </c>
      <c r="G960" s="132">
        <v>52561.43</v>
      </c>
      <c r="H960" s="133">
        <v>50.9</v>
      </c>
      <c r="I960" s="24" t="s">
        <v>5054</v>
      </c>
    </row>
    <row r="961">
      <c r="A961" s="119">
        <v>39.0</v>
      </c>
      <c r="B961" s="119">
        <v>84.0</v>
      </c>
      <c r="C961" s="129">
        <v>85600.0</v>
      </c>
      <c r="D961" s="129">
        <v>47.0</v>
      </c>
      <c r="E961" s="130">
        <v>-652.0</v>
      </c>
      <c r="F961" s="131">
        <v>-730.0</v>
      </c>
      <c r="G961" s="132">
        <v>501.65</v>
      </c>
      <c r="H961" s="133">
        <v>7573.94</v>
      </c>
      <c r="I961" s="24" t="s">
        <v>5055</v>
      </c>
    </row>
    <row r="962">
      <c r="A962" s="119">
        <v>60.0</v>
      </c>
      <c r="B962" s="119">
        <v>44.0</v>
      </c>
      <c r="C962" s="129">
        <v>71149.0</v>
      </c>
      <c r="D962" s="129">
        <v>-12621.0</v>
      </c>
      <c r="E962" s="130">
        <v>-2707.0</v>
      </c>
      <c r="F962" s="131">
        <v>-1470.0</v>
      </c>
      <c r="G962" s="132">
        <v>-728.34</v>
      </c>
      <c r="H962" s="133">
        <v>-15464.11</v>
      </c>
      <c r="I962" s="24" t="s">
        <v>5056</v>
      </c>
    </row>
    <row r="963">
      <c r="A963" s="119">
        <v>19.0</v>
      </c>
      <c r="B963" s="119">
        <v>51.0</v>
      </c>
      <c r="C963" s="129">
        <v>4836.0</v>
      </c>
      <c r="D963" s="129">
        <v>3539.0</v>
      </c>
      <c r="E963" s="130">
        <v>308.0</v>
      </c>
      <c r="F963" s="131">
        <v>59832.0</v>
      </c>
      <c r="G963" s="132">
        <v>94919.2</v>
      </c>
      <c r="H963" s="133">
        <v>24.42</v>
      </c>
      <c r="I963" s="24" t="s">
        <v>5057</v>
      </c>
    </row>
    <row r="964">
      <c r="A964" s="119">
        <v>40.0</v>
      </c>
      <c r="B964" s="119">
        <v>0.0</v>
      </c>
      <c r="C964" s="129">
        <v>21759.0</v>
      </c>
      <c r="D964" s="129">
        <v>23.0</v>
      </c>
      <c r="E964" s="130">
        <v>68.0</v>
      </c>
      <c r="F964" s="131">
        <v>278.0</v>
      </c>
      <c r="G964" s="132">
        <v>73.8</v>
      </c>
      <c r="H964" s="133">
        <v>99.6</v>
      </c>
      <c r="I964" s="24" t="s">
        <v>4438</v>
      </c>
    </row>
    <row r="965">
      <c r="A965" s="119">
        <v>80.0</v>
      </c>
      <c r="B965" s="119">
        <v>96.0</v>
      </c>
      <c r="C965" s="129">
        <v>39882.0</v>
      </c>
      <c r="D965" s="129">
        <v>26507.0</v>
      </c>
      <c r="E965" s="130">
        <v>35.0</v>
      </c>
      <c r="F965" s="131">
        <v>-290.0</v>
      </c>
      <c r="G965" s="132">
        <v>66416.76</v>
      </c>
      <c r="H965" s="133">
        <v>50.19</v>
      </c>
      <c r="I965" s="24" t="s">
        <v>5058</v>
      </c>
    </row>
    <row r="966">
      <c r="A966" s="119">
        <v>19.0</v>
      </c>
      <c r="B966" s="119">
        <v>56.0</v>
      </c>
      <c r="C966" s="129">
        <v>66816.0</v>
      </c>
      <c r="D966" s="129">
        <v>824.0</v>
      </c>
      <c r="E966" s="130">
        <v>95547.0</v>
      </c>
      <c r="F966" s="131">
        <v>-72.0</v>
      </c>
      <c r="G966" s="132">
        <v>3661.73</v>
      </c>
      <c r="H966" s="133">
        <v>14.77</v>
      </c>
      <c r="I966" s="24" t="s">
        <v>5059</v>
      </c>
    </row>
    <row r="967">
      <c r="A967" s="119">
        <v>81.0</v>
      </c>
      <c r="B967" s="119">
        <v>1.0</v>
      </c>
      <c r="C967" s="129">
        <v>48227.0</v>
      </c>
      <c r="D967" s="129">
        <v>9651.0</v>
      </c>
      <c r="E967" s="130">
        <v>116157.0</v>
      </c>
      <c r="F967" s="131">
        <v>127.0</v>
      </c>
      <c r="G967" s="132">
        <v>-286.76</v>
      </c>
      <c r="H967" s="133">
        <v>78692.7</v>
      </c>
      <c r="I967" s="24" t="s">
        <v>5060</v>
      </c>
    </row>
    <row r="968">
      <c r="A968" s="119">
        <v>81.0</v>
      </c>
      <c r="B968" s="119">
        <v>2.0</v>
      </c>
      <c r="C968" s="129">
        <v>25492.0</v>
      </c>
      <c r="D968" s="129">
        <v>-495.0</v>
      </c>
      <c r="E968" s="130">
        <v>-832.0</v>
      </c>
      <c r="F968" s="131">
        <v>6828.0</v>
      </c>
      <c r="G968" s="132">
        <v>16.47</v>
      </c>
      <c r="H968" s="133">
        <v>8604.61</v>
      </c>
      <c r="I968" s="24" t="s">
        <v>5061</v>
      </c>
    </row>
    <row r="969">
      <c r="A969" s="119">
        <v>60.0</v>
      </c>
      <c r="B969" s="119">
        <v>59.0</v>
      </c>
      <c r="C969" s="129">
        <v>96622.0</v>
      </c>
      <c r="D969" s="129">
        <v>35.0</v>
      </c>
      <c r="E969" s="130">
        <v>510872.0</v>
      </c>
      <c r="F969" s="131">
        <v>468.0</v>
      </c>
      <c r="G969" s="132">
        <v>9033.88</v>
      </c>
      <c r="H969" s="133">
        <v>70.34</v>
      </c>
      <c r="I969" s="24" t="s">
        <v>5062</v>
      </c>
    </row>
    <row r="970">
      <c r="A970" s="119">
        <v>19.0</v>
      </c>
      <c r="B970" s="119">
        <v>69.0</v>
      </c>
      <c r="C970" s="129">
        <v>98311.0</v>
      </c>
      <c r="D970" s="129">
        <v>5066.0</v>
      </c>
      <c r="E970" s="130">
        <v>29755.0</v>
      </c>
      <c r="F970" s="131">
        <v>-453.0</v>
      </c>
      <c r="G970" s="132">
        <v>19.99</v>
      </c>
      <c r="H970" s="133">
        <v>-45.68</v>
      </c>
      <c r="I970" s="24" t="s">
        <v>5063</v>
      </c>
    </row>
    <row r="971">
      <c r="A971" s="119">
        <v>40.0</v>
      </c>
      <c r="B971" s="119">
        <v>20.0</v>
      </c>
      <c r="C971" s="129">
        <v>14571.0</v>
      </c>
      <c r="D971" s="129">
        <v>58.0</v>
      </c>
      <c r="E971" s="130">
        <v>63250.0</v>
      </c>
      <c r="F971" s="131">
        <v>8411.0</v>
      </c>
      <c r="G971" s="132">
        <v>-14.35</v>
      </c>
      <c r="H971" s="133">
        <v>82483.35</v>
      </c>
      <c r="I971" s="24" t="s">
        <v>5064</v>
      </c>
    </row>
    <row r="972">
      <c r="A972" s="119">
        <v>19.0</v>
      </c>
      <c r="B972" s="119">
        <v>74.0</v>
      </c>
      <c r="C972" s="129">
        <v>51794.0</v>
      </c>
      <c r="D972" s="129">
        <v>-85160.0</v>
      </c>
      <c r="E972" s="130">
        <v>89.0</v>
      </c>
      <c r="F972" s="131">
        <v>3321.0</v>
      </c>
      <c r="G972" s="132">
        <v>987.12</v>
      </c>
      <c r="H972" s="133">
        <v>41614.3</v>
      </c>
      <c r="I972" s="24" t="s">
        <v>5065</v>
      </c>
    </row>
    <row r="973">
      <c r="A973" s="119">
        <v>19.0</v>
      </c>
      <c r="B973" s="119">
        <v>78.0</v>
      </c>
      <c r="C973" s="129">
        <v>10792.0</v>
      </c>
      <c r="D973" s="129">
        <v>-64538.0</v>
      </c>
      <c r="E973" s="130">
        <v>131.0</v>
      </c>
      <c r="F973" s="131">
        <v>-87.0</v>
      </c>
      <c r="G973" s="132">
        <v>17938.72</v>
      </c>
      <c r="H973" s="133">
        <v>42.0</v>
      </c>
      <c r="I973" s="24" t="s">
        <v>5066</v>
      </c>
    </row>
    <row r="974">
      <c r="A974" s="119">
        <v>40.0</v>
      </c>
      <c r="B974" s="119">
        <v>27.0</v>
      </c>
      <c r="C974" s="129">
        <v>36306.0</v>
      </c>
      <c r="D974" s="129">
        <v>66092.0</v>
      </c>
      <c r="E974" s="130">
        <v>614.0</v>
      </c>
      <c r="F974" s="131">
        <v>847.0</v>
      </c>
      <c r="G974" s="132">
        <v>-5206.19</v>
      </c>
      <c r="H974" s="133">
        <v>-59885.48</v>
      </c>
      <c r="I974" s="24" t="s">
        <v>5067</v>
      </c>
    </row>
    <row r="975">
      <c r="A975" s="119">
        <v>40.0</v>
      </c>
      <c r="B975" s="119">
        <v>30.0</v>
      </c>
      <c r="C975" s="129">
        <v>31549.0</v>
      </c>
      <c r="D975" s="129">
        <v>693.0</v>
      </c>
      <c r="E975" s="130">
        <v>-221.0</v>
      </c>
      <c r="F975" s="131">
        <v>99339.0</v>
      </c>
      <c r="G975" s="132">
        <v>70360.17</v>
      </c>
      <c r="H975" s="133">
        <v>409.26</v>
      </c>
      <c r="I975" s="24" t="s">
        <v>5068</v>
      </c>
    </row>
    <row r="976">
      <c r="A976" s="119">
        <v>60.0</v>
      </c>
      <c r="B976" s="119">
        <v>78.0</v>
      </c>
      <c r="C976" s="129">
        <v>40926.0</v>
      </c>
      <c r="D976" s="129">
        <v>1334.0</v>
      </c>
      <c r="E976" s="130">
        <v>8285.0</v>
      </c>
      <c r="F976" s="131">
        <v>-27.0</v>
      </c>
      <c r="G976" s="132">
        <v>46.35</v>
      </c>
      <c r="H976" s="133">
        <v>90.44</v>
      </c>
      <c r="I976" s="24" t="s">
        <v>5069</v>
      </c>
    </row>
    <row r="977">
      <c r="A977" s="119">
        <v>19.0</v>
      </c>
      <c r="B977" s="119">
        <v>83.0</v>
      </c>
      <c r="C977" s="129">
        <v>94451.0</v>
      </c>
      <c r="D977" s="129">
        <v>9052.0</v>
      </c>
      <c r="E977" s="130">
        <v>-3576.0</v>
      </c>
      <c r="F977" s="131">
        <v>-367.0</v>
      </c>
      <c r="G977" s="132">
        <v>23833.61</v>
      </c>
      <c r="H977" s="133">
        <v>60.63</v>
      </c>
      <c r="I977" s="24" t="s">
        <v>5070</v>
      </c>
    </row>
    <row r="978">
      <c r="A978" s="119">
        <v>19.0</v>
      </c>
      <c r="B978" s="119">
        <v>89.0</v>
      </c>
      <c r="C978" s="129">
        <v>94058.0</v>
      </c>
      <c r="D978" s="129">
        <v>68.0</v>
      </c>
      <c r="E978" s="130">
        <v>985826.0</v>
      </c>
      <c r="F978" s="131">
        <v>756.0</v>
      </c>
      <c r="G978" s="132">
        <v>66455.22</v>
      </c>
      <c r="H978" s="133">
        <v>6416.75</v>
      </c>
      <c r="I978" s="24" t="s">
        <v>5071</v>
      </c>
    </row>
    <row r="979">
      <c r="A979" s="119">
        <v>60.0</v>
      </c>
      <c r="B979" s="119">
        <v>87.0</v>
      </c>
      <c r="C979" s="129">
        <v>16928.0</v>
      </c>
      <c r="D979" s="129">
        <v>386.0</v>
      </c>
      <c r="E979" s="130">
        <v>8727.0</v>
      </c>
      <c r="F979" s="131">
        <v>-967.0</v>
      </c>
      <c r="G979" s="132">
        <v>18.72</v>
      </c>
      <c r="H979" s="133">
        <v>-495.44</v>
      </c>
      <c r="I979" s="24" t="s">
        <v>5072</v>
      </c>
    </row>
    <row r="980">
      <c r="A980" s="119">
        <v>40.0</v>
      </c>
      <c r="B980" s="119">
        <v>39.0</v>
      </c>
      <c r="C980" s="129">
        <v>78759.0</v>
      </c>
      <c r="D980" s="129">
        <v>6988.0</v>
      </c>
      <c r="E980" s="130">
        <v>75424.0</v>
      </c>
      <c r="F980" s="131">
        <v>3961.0</v>
      </c>
      <c r="G980" s="132">
        <v>12341.19</v>
      </c>
      <c r="H980" s="133">
        <v>-18.8</v>
      </c>
      <c r="I980" s="24" t="s">
        <v>5073</v>
      </c>
    </row>
    <row r="981">
      <c r="A981" s="119">
        <v>40.0</v>
      </c>
      <c r="B981" s="119">
        <v>40.0</v>
      </c>
      <c r="C981" s="129">
        <v>12748.0</v>
      </c>
      <c r="D981" s="129">
        <v>9032.0</v>
      </c>
      <c r="E981" s="130">
        <v>37073.0</v>
      </c>
      <c r="F981" s="131">
        <v>1391.0</v>
      </c>
      <c r="G981" s="132">
        <v>-37080.72</v>
      </c>
      <c r="H981" s="133">
        <v>-26.56</v>
      </c>
      <c r="I981" s="24" t="s">
        <v>5074</v>
      </c>
    </row>
    <row r="982">
      <c r="A982" s="119">
        <v>40.0</v>
      </c>
      <c r="B982" s="119">
        <v>42.0</v>
      </c>
      <c r="C982" s="129">
        <v>53288.0</v>
      </c>
      <c r="D982" s="129">
        <v>120.0</v>
      </c>
      <c r="E982" s="130">
        <v>67.0</v>
      </c>
      <c r="F982" s="131">
        <v>-25800.0</v>
      </c>
      <c r="G982" s="132">
        <v>-6584.42</v>
      </c>
      <c r="H982" s="133">
        <v>97.24</v>
      </c>
      <c r="I982" s="24" t="s">
        <v>5075</v>
      </c>
    </row>
    <row r="983">
      <c r="A983" s="119">
        <v>81.0</v>
      </c>
      <c r="B983" s="119">
        <v>39.0</v>
      </c>
      <c r="C983" s="129">
        <v>17541.0</v>
      </c>
      <c r="D983" s="129">
        <v>-41.0</v>
      </c>
      <c r="E983" s="130">
        <v>55216.0</v>
      </c>
      <c r="F983" s="131">
        <v>636.0</v>
      </c>
      <c r="G983" s="132">
        <v>-10.57</v>
      </c>
      <c r="H983" s="133">
        <v>-17421.43</v>
      </c>
      <c r="I983" s="24" t="s">
        <v>5076</v>
      </c>
    </row>
    <row r="984">
      <c r="A984" s="119">
        <v>81.0</v>
      </c>
      <c r="B984" s="119">
        <v>40.0</v>
      </c>
      <c r="C984" s="129">
        <v>80666.0</v>
      </c>
      <c r="D984" s="129">
        <v>4665.0</v>
      </c>
      <c r="E984" s="130">
        <v>-208.0</v>
      </c>
      <c r="F984" s="131">
        <v>-8860.0</v>
      </c>
      <c r="G984" s="132">
        <v>-2253.68</v>
      </c>
      <c r="H984" s="133">
        <v>1415.53</v>
      </c>
      <c r="I984" s="24" t="s">
        <v>5077</v>
      </c>
    </row>
    <row r="985">
      <c r="A985" s="119">
        <v>81.0</v>
      </c>
      <c r="B985" s="119">
        <v>41.0</v>
      </c>
      <c r="C985" s="129">
        <v>52132.0</v>
      </c>
      <c r="D985" s="129">
        <v>341.0</v>
      </c>
      <c r="E985" s="130">
        <v>-26.0</v>
      </c>
      <c r="F985" s="131">
        <v>3375.0</v>
      </c>
      <c r="G985" s="132">
        <v>-935.12</v>
      </c>
      <c r="H985" s="133">
        <v>46.63</v>
      </c>
      <c r="I985" s="24" t="s">
        <v>5078</v>
      </c>
    </row>
    <row r="986">
      <c r="A986" s="119">
        <v>81.0</v>
      </c>
      <c r="B986" s="119">
        <v>44.0</v>
      </c>
      <c r="C986" s="129">
        <v>5430.0</v>
      </c>
      <c r="D986" s="129">
        <v>17121.0</v>
      </c>
      <c r="E986" s="130">
        <v>23562.0</v>
      </c>
      <c r="F986" s="131">
        <v>84514.0</v>
      </c>
      <c r="G986" s="132">
        <v>67345.76</v>
      </c>
      <c r="H986" s="133">
        <v>6556.29</v>
      </c>
      <c r="I986" s="24" t="s">
        <v>5079</v>
      </c>
    </row>
    <row r="987">
      <c r="A987" s="119">
        <v>81.0</v>
      </c>
      <c r="B987" s="119">
        <v>45.0</v>
      </c>
      <c r="C987" s="129">
        <v>73884.0</v>
      </c>
      <c r="D987" s="129">
        <v>654.0</v>
      </c>
      <c r="E987" s="130">
        <v>8681.0</v>
      </c>
      <c r="F987" s="131">
        <v>-55.0</v>
      </c>
      <c r="G987" s="132">
        <v>54419.3</v>
      </c>
      <c r="H987" s="133">
        <v>20.12</v>
      </c>
      <c r="I987" s="24" t="s">
        <v>5080</v>
      </c>
    </row>
    <row r="988">
      <c r="A988" s="119">
        <v>40.0</v>
      </c>
      <c r="B988" s="119">
        <v>48.0</v>
      </c>
      <c r="C988" s="129">
        <v>46713.0</v>
      </c>
      <c r="D988" s="129">
        <v>47.0</v>
      </c>
      <c r="E988" s="130">
        <v>5869.0</v>
      </c>
      <c r="F988" s="131">
        <v>-73380.0</v>
      </c>
      <c r="G988" s="132">
        <v>65.65</v>
      </c>
      <c r="H988" s="133">
        <v>-73380.85</v>
      </c>
      <c r="I988" s="24" t="s">
        <v>4710</v>
      </c>
    </row>
    <row r="989">
      <c r="A989" s="119">
        <v>40.0</v>
      </c>
      <c r="B989" s="119">
        <v>54.0</v>
      </c>
      <c r="C989" s="129">
        <v>23420.0</v>
      </c>
      <c r="D989" s="129">
        <v>-9871.0</v>
      </c>
      <c r="E989" s="130">
        <v>-685.0</v>
      </c>
      <c r="F989" s="131">
        <v>16.0</v>
      </c>
      <c r="G989" s="132">
        <v>45746.3</v>
      </c>
      <c r="H989" s="133">
        <v>-305.82</v>
      </c>
      <c r="I989" s="24" t="s">
        <v>5081</v>
      </c>
    </row>
    <row r="990">
      <c r="A990" s="119">
        <v>20.0</v>
      </c>
      <c r="B990" s="119">
        <v>7.0</v>
      </c>
      <c r="C990" s="129">
        <v>58176.0</v>
      </c>
      <c r="D990" s="129">
        <v>-48295.0</v>
      </c>
      <c r="E990" s="130">
        <v>4498.0</v>
      </c>
      <c r="F990" s="131">
        <v>73857.0</v>
      </c>
      <c r="G990" s="132">
        <v>97962.66</v>
      </c>
      <c r="H990" s="133">
        <v>822.6</v>
      </c>
      <c r="I990" s="24" t="s">
        <v>5082</v>
      </c>
    </row>
    <row r="991">
      <c r="A991" s="119">
        <v>40.0</v>
      </c>
      <c r="B991" s="119">
        <v>58.0</v>
      </c>
      <c r="C991" s="129">
        <v>90079.0</v>
      </c>
      <c r="D991" s="129">
        <v>-48824.0</v>
      </c>
      <c r="E991" s="130">
        <v>777.0</v>
      </c>
      <c r="F991" s="131">
        <v>34.0</v>
      </c>
      <c r="G991" s="132">
        <v>32.4</v>
      </c>
      <c r="H991" s="133">
        <v>409.59</v>
      </c>
      <c r="I991" s="24" t="s">
        <v>5083</v>
      </c>
    </row>
    <row r="992">
      <c r="A992" s="119">
        <v>40.0</v>
      </c>
      <c r="B992" s="119">
        <v>61.0</v>
      </c>
      <c r="C992" s="129">
        <v>76900.0</v>
      </c>
      <c r="D992" s="129">
        <v>81.0</v>
      </c>
      <c r="E992" s="130">
        <v>-8572.0</v>
      </c>
      <c r="F992" s="131">
        <v>-524.0</v>
      </c>
      <c r="G992" s="132">
        <v>79.64</v>
      </c>
      <c r="H992" s="133">
        <v>3451.21</v>
      </c>
      <c r="I992" s="24" t="s">
        <v>5084</v>
      </c>
    </row>
    <row r="993">
      <c r="A993" s="119">
        <v>81.0</v>
      </c>
      <c r="B993" s="119">
        <v>58.0</v>
      </c>
      <c r="C993" s="129">
        <v>20708.0</v>
      </c>
      <c r="D993" s="129">
        <v>70579.0</v>
      </c>
      <c r="E993" s="130">
        <v>-851757.0</v>
      </c>
      <c r="F993" s="131">
        <v>8891.0</v>
      </c>
      <c r="G993" s="132">
        <v>221.85</v>
      </c>
      <c r="H993" s="133">
        <v>9262.9</v>
      </c>
      <c r="I993" s="24" t="s">
        <v>5085</v>
      </c>
    </row>
    <row r="994">
      <c r="A994" s="119">
        <v>20.0</v>
      </c>
      <c r="B994" s="119">
        <v>20.0</v>
      </c>
      <c r="C994" s="129">
        <v>84316.0</v>
      </c>
      <c r="D994" s="129">
        <v>41448.0</v>
      </c>
      <c r="E994" s="130">
        <v>84.0</v>
      </c>
      <c r="F994" s="131">
        <v>19.0</v>
      </c>
      <c r="G994" s="132">
        <v>-70.51</v>
      </c>
      <c r="H994" s="133">
        <v>-22.3</v>
      </c>
      <c r="I994" s="24" t="s">
        <v>5086</v>
      </c>
    </row>
    <row r="995">
      <c r="A995" s="119">
        <v>20.0</v>
      </c>
      <c r="B995" s="119">
        <v>21.0</v>
      </c>
      <c r="C995" s="129">
        <v>86192.0</v>
      </c>
      <c r="D995" s="129">
        <v>757.0</v>
      </c>
      <c r="E995" s="130">
        <v>201285.0</v>
      </c>
      <c r="F995" s="131">
        <v>786.0</v>
      </c>
      <c r="G995" s="132">
        <v>32.38</v>
      </c>
      <c r="H995" s="133">
        <v>53695.24</v>
      </c>
      <c r="I995" s="24" t="s">
        <v>5087</v>
      </c>
    </row>
    <row r="996">
      <c r="A996" s="119">
        <v>81.0</v>
      </c>
      <c r="B996" s="119">
        <v>68.0</v>
      </c>
      <c r="C996" s="129">
        <v>34580.0</v>
      </c>
      <c r="D996" s="129">
        <v>44073.0</v>
      </c>
      <c r="E996" s="130">
        <v>39.0</v>
      </c>
      <c r="F996" s="131">
        <v>546.0</v>
      </c>
      <c r="G996" s="132">
        <v>-9023.63</v>
      </c>
      <c r="H996" s="133">
        <v>770.6</v>
      </c>
      <c r="I996" s="24" t="s">
        <v>5088</v>
      </c>
    </row>
    <row r="997">
      <c r="A997" s="119">
        <v>40.0</v>
      </c>
      <c r="B997" s="119">
        <v>74.0</v>
      </c>
      <c r="C997" s="129">
        <v>83348.0</v>
      </c>
      <c r="D997" s="129">
        <v>29.0</v>
      </c>
      <c r="E997" s="130">
        <v>-1580.0</v>
      </c>
      <c r="F997" s="131">
        <v>6578.0</v>
      </c>
      <c r="G997" s="132">
        <v>-56.51</v>
      </c>
      <c r="H997" s="133">
        <v>9153.69</v>
      </c>
      <c r="I997" s="24" t="s">
        <v>5089</v>
      </c>
    </row>
    <row r="998">
      <c r="A998" s="119">
        <v>81.0</v>
      </c>
      <c r="B998" s="119">
        <v>77.0</v>
      </c>
      <c r="C998" s="129">
        <v>5120.0</v>
      </c>
      <c r="D998" s="129">
        <v>371.0</v>
      </c>
      <c r="E998" s="130">
        <v>329192.0</v>
      </c>
      <c r="F998" s="131">
        <v>2626.0</v>
      </c>
      <c r="G998" s="132">
        <v>943.98</v>
      </c>
      <c r="H998" s="133">
        <v>4371.89</v>
      </c>
      <c r="I998" s="24" t="s">
        <v>5090</v>
      </c>
    </row>
    <row r="999">
      <c r="A999" s="119">
        <v>40.0</v>
      </c>
      <c r="B999" s="119">
        <v>83.0</v>
      </c>
      <c r="C999" s="129">
        <v>99236.0</v>
      </c>
      <c r="D999" s="129">
        <v>-997.0</v>
      </c>
      <c r="E999" s="130">
        <v>8692.0</v>
      </c>
      <c r="F999" s="131">
        <v>14186.0</v>
      </c>
      <c r="G999" s="132">
        <v>392.63</v>
      </c>
      <c r="H999" s="133">
        <v>76367.91</v>
      </c>
      <c r="I999" s="24" t="s">
        <v>5091</v>
      </c>
    </row>
    <row r="1000">
      <c r="A1000" s="119">
        <v>40.0</v>
      </c>
      <c r="B1000" s="119">
        <v>84.0</v>
      </c>
      <c r="C1000" s="129">
        <v>66963.0</v>
      </c>
      <c r="D1000" s="129">
        <v>8201.0</v>
      </c>
      <c r="E1000" s="130">
        <v>244662.0</v>
      </c>
      <c r="F1000" s="131">
        <v>-3473.0</v>
      </c>
      <c r="G1000" s="132">
        <v>940.34</v>
      </c>
      <c r="H1000" s="133">
        <v>7725.6</v>
      </c>
      <c r="I1000" s="24" t="s">
        <v>5092</v>
      </c>
    </row>
    <row r="1001">
      <c r="A1001" s="119">
        <v>61.0</v>
      </c>
      <c r="B1001" s="119">
        <v>32.0</v>
      </c>
      <c r="C1001" s="129">
        <v>37684.0</v>
      </c>
      <c r="D1001" s="129">
        <v>3754.0</v>
      </c>
      <c r="E1001" s="130">
        <v>62.0</v>
      </c>
      <c r="F1001" s="131">
        <v>61737.0</v>
      </c>
      <c r="G1001" s="132">
        <v>7906.87</v>
      </c>
      <c r="H1001" s="133">
        <v>28.7</v>
      </c>
      <c r="I1001" s="24" t="s">
        <v>5093</v>
      </c>
    </row>
    <row r="1002">
      <c r="A1002" s="119">
        <v>40.0</v>
      </c>
      <c r="B1002" s="119">
        <v>87.0</v>
      </c>
      <c r="C1002" s="129">
        <v>74821.0</v>
      </c>
      <c r="D1002" s="129">
        <v>355.0</v>
      </c>
      <c r="E1002" s="130">
        <v>-78.0</v>
      </c>
      <c r="F1002" s="131">
        <v>9949.0</v>
      </c>
      <c r="G1002" s="132">
        <v>69985.83</v>
      </c>
      <c r="H1002" s="133">
        <v>97874.58</v>
      </c>
      <c r="I1002" s="24" t="s">
        <v>5094</v>
      </c>
    </row>
    <row r="1003">
      <c r="A1003" s="119">
        <v>81.0</v>
      </c>
      <c r="B1003" s="119">
        <v>85.0</v>
      </c>
      <c r="C1003" s="129">
        <v>71127.0</v>
      </c>
      <c r="D1003" s="129">
        <v>23.0</v>
      </c>
      <c r="E1003" s="130">
        <v>-39.0</v>
      </c>
      <c r="F1003" s="131">
        <v>17.0</v>
      </c>
      <c r="G1003" s="132">
        <v>60.3</v>
      </c>
      <c r="H1003" s="133">
        <v>94455.5</v>
      </c>
      <c r="I1003" s="24" t="s">
        <v>5095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75"/>
    <col customWidth="1" min="2" max="2" width="21.25"/>
    <col customWidth="1" min="3" max="3" width="18.38"/>
    <col customWidth="1" min="4" max="4" width="19.13"/>
    <col customWidth="1" min="5" max="5" width="19.5"/>
    <col customWidth="1" min="6" max="6" width="15.88"/>
    <col customWidth="1" min="7" max="7" width="19.88"/>
    <col customWidth="1" min="8" max="8" width="12.25"/>
    <col customWidth="1" min="9" max="10" width="24.63"/>
    <col customWidth="1" min="11" max="11" width="13.88"/>
    <col customWidth="1" min="12" max="12" width="17.25"/>
    <col customWidth="1" min="13" max="13" width="19.63"/>
    <col customWidth="1" min="14" max="14" width="12.25"/>
  </cols>
  <sheetData>
    <row r="1">
      <c r="A1" s="58" t="s">
        <v>14</v>
      </c>
      <c r="B1" s="58" t="s">
        <v>556</v>
      </c>
      <c r="C1" s="58" t="s">
        <v>551</v>
      </c>
      <c r="D1" s="58" t="s">
        <v>552</v>
      </c>
      <c r="E1" s="58" t="s">
        <v>552</v>
      </c>
      <c r="F1" s="58">
        <v>999.0</v>
      </c>
      <c r="G1" s="135" t="s">
        <v>560</v>
      </c>
      <c r="H1" s="58">
        <v>9.0</v>
      </c>
      <c r="I1" s="58" t="s">
        <v>4106</v>
      </c>
      <c r="J1" s="58" t="s">
        <v>4106</v>
      </c>
      <c r="K1" s="115">
        <v>99.0</v>
      </c>
      <c r="L1" s="115">
        <v>99.0</v>
      </c>
      <c r="M1" s="69" t="s">
        <v>14</v>
      </c>
      <c r="N1" s="58" t="s">
        <v>3795</v>
      </c>
    </row>
    <row r="2">
      <c r="A2" s="66" t="s">
        <v>5096</v>
      </c>
      <c r="B2" s="136" t="s">
        <v>5097</v>
      </c>
      <c r="C2" s="60" t="s">
        <v>563</v>
      </c>
      <c r="D2" s="60" t="s">
        <v>563</v>
      </c>
      <c r="E2" s="60" t="s">
        <v>563</v>
      </c>
      <c r="F2" s="120" t="s">
        <v>5098</v>
      </c>
      <c r="G2" s="137" t="s">
        <v>5099</v>
      </c>
      <c r="H2" s="120" t="s">
        <v>5100</v>
      </c>
      <c r="I2" s="124" t="s">
        <v>4111</v>
      </c>
      <c r="J2" s="120" t="s">
        <v>4112</v>
      </c>
      <c r="K2" s="138" t="s">
        <v>5101</v>
      </c>
      <c r="L2" s="138" t="s">
        <v>5102</v>
      </c>
      <c r="M2" s="139" t="s">
        <v>5103</v>
      </c>
      <c r="N2" s="120" t="s">
        <v>4113</v>
      </c>
      <c r="O2" s="72"/>
    </row>
    <row r="3">
      <c r="A3" s="64" t="s">
        <v>3790</v>
      </c>
      <c r="B3" s="64" t="s">
        <v>5104</v>
      </c>
      <c r="C3" s="64" t="s">
        <v>576</v>
      </c>
      <c r="D3" s="64" t="s">
        <v>577</v>
      </c>
      <c r="E3" s="64" t="s">
        <v>578</v>
      </c>
      <c r="F3" s="64" t="s">
        <v>5105</v>
      </c>
      <c r="G3" s="140" t="s">
        <v>5106</v>
      </c>
      <c r="H3" s="64" t="s">
        <v>5107</v>
      </c>
      <c r="I3" s="64" t="s">
        <v>4119</v>
      </c>
      <c r="J3" s="64" t="s">
        <v>4120</v>
      </c>
      <c r="K3" s="125" t="s">
        <v>5108</v>
      </c>
      <c r="L3" s="125" t="s">
        <v>5109</v>
      </c>
      <c r="M3" s="73" t="s">
        <v>5110</v>
      </c>
      <c r="N3" s="64" t="s">
        <v>4121</v>
      </c>
      <c r="O3" s="10"/>
    </row>
    <row r="4">
      <c r="A4" s="66">
        <v>7000.0</v>
      </c>
      <c r="B4" s="66">
        <v>213.0</v>
      </c>
      <c r="C4" s="66">
        <v>61.0</v>
      </c>
      <c r="D4" s="66">
        <v>4.0</v>
      </c>
      <c r="E4" s="66">
        <v>8.0</v>
      </c>
      <c r="F4" s="66">
        <v>581.0</v>
      </c>
      <c r="G4" s="141">
        <v>43096.0</v>
      </c>
      <c r="H4" s="66">
        <v>8.0</v>
      </c>
      <c r="I4" s="132">
        <v>98330.92</v>
      </c>
      <c r="J4" s="133">
        <v>59.32</v>
      </c>
      <c r="K4" s="142">
        <v>46.0</v>
      </c>
      <c r="L4" s="111">
        <v>22.0</v>
      </c>
      <c r="M4" s="70">
        <v>1100.0</v>
      </c>
      <c r="N4" s="24" t="s">
        <v>4122</v>
      </c>
    </row>
    <row r="5">
      <c r="A5" s="66">
        <v>7001.0</v>
      </c>
      <c r="B5" s="66">
        <v>220.0</v>
      </c>
      <c r="C5" s="66">
        <v>81.0</v>
      </c>
      <c r="D5" s="66">
        <v>9.0</v>
      </c>
      <c r="E5" s="66">
        <v>7.0</v>
      </c>
      <c r="F5" s="66">
        <v>641.0</v>
      </c>
      <c r="G5" s="141">
        <v>93001.0</v>
      </c>
      <c r="H5" s="66">
        <v>3.0</v>
      </c>
      <c r="I5" s="132">
        <v>13117.2</v>
      </c>
      <c r="J5" s="133">
        <v>450.37</v>
      </c>
      <c r="K5" s="142">
        <v>62.0</v>
      </c>
      <c r="L5" s="111">
        <v>22.0</v>
      </c>
      <c r="M5" s="70">
        <v>1930.0</v>
      </c>
      <c r="N5" s="24" t="s">
        <v>4123</v>
      </c>
    </row>
    <row r="6">
      <c r="A6" s="66">
        <v>7002.0</v>
      </c>
      <c r="B6" s="66">
        <v>200.0</v>
      </c>
      <c r="C6" s="66">
        <v>81.0</v>
      </c>
      <c r="D6" s="66">
        <v>9.0</v>
      </c>
      <c r="E6" s="66">
        <v>6.0</v>
      </c>
      <c r="F6" s="66">
        <v>385.0</v>
      </c>
      <c r="G6" s="141">
        <v>22807.0</v>
      </c>
      <c r="H6" s="66">
        <v>8.0</v>
      </c>
      <c r="I6" s="132">
        <v>2227.34</v>
      </c>
      <c r="J6" s="133">
        <v>-3713.28</v>
      </c>
      <c r="K6" s="142">
        <v>80.0</v>
      </c>
      <c r="L6" s="111">
        <v>22.0</v>
      </c>
      <c r="M6" s="70">
        <v>300.0</v>
      </c>
      <c r="N6" s="24" t="s">
        <v>4124</v>
      </c>
    </row>
    <row r="7">
      <c r="A7" s="66">
        <v>7003.0</v>
      </c>
      <c r="B7" s="66">
        <v>209.0</v>
      </c>
      <c r="C7" s="66">
        <v>61.0</v>
      </c>
      <c r="D7" s="66">
        <v>5.0</v>
      </c>
      <c r="E7" s="66">
        <v>3.0</v>
      </c>
      <c r="F7" s="66">
        <v>882.0</v>
      </c>
      <c r="G7" s="141">
        <v>123107.0</v>
      </c>
      <c r="H7" s="66">
        <v>3.0</v>
      </c>
      <c r="I7" s="132">
        <v>-6627.51</v>
      </c>
      <c r="J7" s="133">
        <v>38344.94</v>
      </c>
      <c r="K7" s="142">
        <v>97.0</v>
      </c>
      <c r="L7" s="111">
        <v>20.0</v>
      </c>
      <c r="M7" s="70">
        <v>1530.0</v>
      </c>
      <c r="N7" s="24" t="s">
        <v>4125</v>
      </c>
    </row>
    <row r="8">
      <c r="A8" s="66">
        <v>7004.0</v>
      </c>
      <c r="B8" s="66">
        <v>218.0</v>
      </c>
      <c r="C8" s="66">
        <v>61.0</v>
      </c>
      <c r="D8" s="66">
        <v>5.0</v>
      </c>
      <c r="E8" s="66">
        <v>4.0</v>
      </c>
      <c r="F8" s="66">
        <v>771.0</v>
      </c>
      <c r="G8" s="141">
        <v>123190.0</v>
      </c>
      <c r="H8" s="66">
        <v>6.0</v>
      </c>
      <c r="I8" s="132">
        <v>16.97</v>
      </c>
      <c r="J8" s="133">
        <v>-94.77</v>
      </c>
      <c r="K8" s="142">
        <v>88.0</v>
      </c>
      <c r="L8" s="111">
        <v>23.0</v>
      </c>
      <c r="M8" s="70">
        <v>900.0</v>
      </c>
      <c r="N8" s="24" t="s">
        <v>4126</v>
      </c>
    </row>
    <row r="9">
      <c r="A9" s="66">
        <v>7005.0</v>
      </c>
      <c r="B9" s="66">
        <v>204.0</v>
      </c>
      <c r="C9" s="66">
        <v>61.0</v>
      </c>
      <c r="D9" s="66">
        <v>5.0</v>
      </c>
      <c r="E9" s="66">
        <v>6.0</v>
      </c>
      <c r="F9" s="66">
        <v>489.0</v>
      </c>
      <c r="G9" s="141">
        <v>43095.0</v>
      </c>
      <c r="H9" s="66">
        <v>6.0</v>
      </c>
      <c r="I9" s="132">
        <v>3865.98</v>
      </c>
      <c r="J9" s="133">
        <v>472.19</v>
      </c>
      <c r="K9" s="142">
        <v>91.0</v>
      </c>
      <c r="L9" s="111">
        <v>22.0</v>
      </c>
      <c r="M9" s="70">
        <v>200.0</v>
      </c>
      <c r="N9" s="24" t="s">
        <v>4127</v>
      </c>
    </row>
    <row r="10">
      <c r="A10" s="66">
        <v>7006.0</v>
      </c>
      <c r="B10" s="66">
        <v>205.0</v>
      </c>
      <c r="C10" s="66">
        <v>61.0</v>
      </c>
      <c r="D10" s="66">
        <v>6.0</v>
      </c>
      <c r="E10" s="66">
        <v>3.0</v>
      </c>
      <c r="F10" s="66">
        <v>977.0</v>
      </c>
      <c r="G10" s="141">
        <v>113001.0</v>
      </c>
      <c r="H10" s="66">
        <v>5.0</v>
      </c>
      <c r="I10" s="132">
        <v>4561.9</v>
      </c>
      <c r="J10" s="133">
        <v>358.99</v>
      </c>
      <c r="K10" s="142">
        <v>65.0</v>
      </c>
      <c r="L10" s="111">
        <v>21.0</v>
      </c>
      <c r="M10" s="70">
        <v>2100.0</v>
      </c>
      <c r="N10" s="24" t="s">
        <v>4128</v>
      </c>
    </row>
    <row r="11">
      <c r="A11" s="66">
        <v>7007.0</v>
      </c>
      <c r="B11" s="66">
        <v>201.0</v>
      </c>
      <c r="C11" s="66">
        <v>41.0</v>
      </c>
      <c r="D11" s="66">
        <v>1.0</v>
      </c>
      <c r="E11" s="66">
        <v>6.0</v>
      </c>
      <c r="F11" s="66">
        <v>394.0</v>
      </c>
      <c r="G11" s="141">
        <v>103112.0</v>
      </c>
      <c r="H11" s="66">
        <v>3.0</v>
      </c>
      <c r="I11" s="132">
        <v>-6476.61</v>
      </c>
      <c r="J11" s="133">
        <v>24501.91</v>
      </c>
      <c r="K11" s="142">
        <v>30.0</v>
      </c>
      <c r="L11" s="111">
        <v>21.0</v>
      </c>
      <c r="M11" s="70">
        <v>1900.0</v>
      </c>
      <c r="N11" s="24" t="s">
        <v>4129</v>
      </c>
    </row>
    <row r="12">
      <c r="A12" s="66">
        <v>7008.0</v>
      </c>
      <c r="B12" s="66">
        <v>210.0</v>
      </c>
      <c r="C12" s="66">
        <v>61.0</v>
      </c>
      <c r="D12" s="66">
        <v>6.0</v>
      </c>
      <c r="E12" s="66">
        <v>4.0</v>
      </c>
      <c r="F12" s="66">
        <v>881.0</v>
      </c>
      <c r="G12" s="141">
        <v>22821.0</v>
      </c>
      <c r="H12" s="66">
        <v>4.0</v>
      </c>
      <c r="I12" s="132">
        <v>68.7</v>
      </c>
      <c r="J12" s="133">
        <v>37663.72</v>
      </c>
      <c r="K12" s="142">
        <v>56.0</v>
      </c>
      <c r="L12" s="111">
        <v>20.0</v>
      </c>
      <c r="M12" s="70">
        <v>2300.0</v>
      </c>
      <c r="N12" s="24" t="s">
        <v>4130</v>
      </c>
    </row>
    <row r="13">
      <c r="A13" s="66">
        <v>7009.0</v>
      </c>
      <c r="B13" s="66">
        <v>213.0</v>
      </c>
      <c r="C13" s="66">
        <v>41.0</v>
      </c>
      <c r="D13" s="66">
        <v>2.0</v>
      </c>
      <c r="E13" s="66">
        <v>3.0</v>
      </c>
      <c r="F13" s="66">
        <v>378.0</v>
      </c>
      <c r="G13" s="141">
        <v>83111.0</v>
      </c>
      <c r="H13" s="66">
        <v>5.0</v>
      </c>
      <c r="I13" s="132">
        <v>62210.96</v>
      </c>
      <c r="J13" s="133">
        <v>-514.97</v>
      </c>
      <c r="K13" s="142">
        <v>19.0</v>
      </c>
      <c r="L13" s="111">
        <v>22.0</v>
      </c>
      <c r="M13" s="70">
        <v>330.0</v>
      </c>
      <c r="N13" s="24" t="s">
        <v>4131</v>
      </c>
    </row>
    <row r="14">
      <c r="A14" s="66">
        <v>7010.0</v>
      </c>
      <c r="B14" s="66">
        <v>209.0</v>
      </c>
      <c r="C14" s="66">
        <v>61.0</v>
      </c>
      <c r="D14" s="66">
        <v>7.0</v>
      </c>
      <c r="E14" s="66">
        <v>2.0</v>
      </c>
      <c r="F14" s="66">
        <v>984.0</v>
      </c>
      <c r="G14" s="141">
        <v>73100.0</v>
      </c>
      <c r="H14" s="66">
        <v>2.0</v>
      </c>
      <c r="I14" s="132">
        <v>6994.23</v>
      </c>
      <c r="J14" s="133">
        <v>563.47</v>
      </c>
      <c r="K14" s="142">
        <v>37.0</v>
      </c>
      <c r="L14" s="111">
        <v>23.0</v>
      </c>
      <c r="M14" s="70">
        <v>1530.0</v>
      </c>
      <c r="N14" s="24" t="s">
        <v>4132</v>
      </c>
    </row>
    <row r="15">
      <c r="A15" s="66">
        <v>7011.0</v>
      </c>
      <c r="B15" s="66">
        <v>217.0</v>
      </c>
      <c r="C15" s="66">
        <v>82.0</v>
      </c>
      <c r="D15" s="66">
        <v>2.0</v>
      </c>
      <c r="E15" s="66">
        <v>4.0</v>
      </c>
      <c r="F15" s="66">
        <v>863.0</v>
      </c>
      <c r="G15" s="141">
        <v>43002.0</v>
      </c>
      <c r="H15" s="66">
        <v>1.0</v>
      </c>
      <c r="I15" s="132">
        <v>825.45</v>
      </c>
      <c r="J15" s="133">
        <v>-522.58</v>
      </c>
      <c r="K15" s="142">
        <v>11.0</v>
      </c>
      <c r="L15" s="111">
        <v>22.0</v>
      </c>
      <c r="M15" s="70">
        <v>930.0</v>
      </c>
      <c r="N15" s="24" t="s">
        <v>4133</v>
      </c>
    </row>
    <row r="16">
      <c r="A16" s="66">
        <v>7012.0</v>
      </c>
      <c r="B16" s="66">
        <v>204.0</v>
      </c>
      <c r="C16" s="66">
        <v>61.0</v>
      </c>
      <c r="D16" s="66">
        <v>7.0</v>
      </c>
      <c r="E16" s="66">
        <v>9.0</v>
      </c>
      <c r="F16" s="66">
        <v>601.0</v>
      </c>
      <c r="G16" s="141">
        <v>123108.0</v>
      </c>
      <c r="H16" s="66">
        <v>1.0</v>
      </c>
      <c r="I16" s="132">
        <v>-72.94</v>
      </c>
      <c r="J16" s="133">
        <v>-667.18</v>
      </c>
      <c r="K16" s="142">
        <v>36.0</v>
      </c>
      <c r="L16" s="111">
        <v>23.0</v>
      </c>
      <c r="M16" s="70">
        <v>430.0</v>
      </c>
      <c r="N16" s="24" t="s">
        <v>4134</v>
      </c>
    </row>
    <row r="17">
      <c r="A17" s="66">
        <v>7013.0</v>
      </c>
      <c r="B17" s="66">
        <v>210.0</v>
      </c>
      <c r="C17" s="66">
        <v>41.0</v>
      </c>
      <c r="D17" s="66">
        <v>3.0</v>
      </c>
      <c r="E17" s="66">
        <v>1.0</v>
      </c>
      <c r="F17" s="66">
        <v>921.0</v>
      </c>
      <c r="G17" s="141">
        <v>73102.0</v>
      </c>
      <c r="H17" s="66">
        <v>1.0</v>
      </c>
      <c r="I17" s="132">
        <v>-47.17</v>
      </c>
      <c r="J17" s="133">
        <v>591.97</v>
      </c>
      <c r="K17" s="142">
        <v>13.0</v>
      </c>
      <c r="L17" s="111">
        <v>21.0</v>
      </c>
      <c r="M17" s="70">
        <v>2330.0</v>
      </c>
      <c r="N17" s="24" t="s">
        <v>4135</v>
      </c>
    </row>
    <row r="18">
      <c r="A18" s="66">
        <v>7014.0</v>
      </c>
      <c r="B18" s="66">
        <v>202.0</v>
      </c>
      <c r="C18" s="66">
        <v>41.0</v>
      </c>
      <c r="D18" s="66">
        <v>3.0</v>
      </c>
      <c r="E18" s="66">
        <v>5.0</v>
      </c>
      <c r="F18" s="66">
        <v>955.0</v>
      </c>
      <c r="G18" s="141">
        <v>33195.0</v>
      </c>
      <c r="H18" s="66">
        <v>5.0</v>
      </c>
      <c r="I18" s="132">
        <v>85.12</v>
      </c>
      <c r="J18" s="133">
        <v>6573.85</v>
      </c>
      <c r="K18" s="142">
        <v>17.0</v>
      </c>
      <c r="L18" s="111">
        <v>22.0</v>
      </c>
      <c r="M18" s="70">
        <v>1900.0</v>
      </c>
      <c r="N18" s="24" t="s">
        <v>4136</v>
      </c>
    </row>
    <row r="19">
      <c r="A19" s="66">
        <v>7015.0</v>
      </c>
      <c r="B19" s="66">
        <v>215.0</v>
      </c>
      <c r="C19" s="66">
        <v>82.0</v>
      </c>
      <c r="D19" s="66">
        <v>3.0</v>
      </c>
      <c r="E19" s="66">
        <v>1.0</v>
      </c>
      <c r="F19" s="66">
        <v>771.0</v>
      </c>
      <c r="G19" s="141">
        <v>53108.0</v>
      </c>
      <c r="H19" s="66">
        <v>3.0</v>
      </c>
      <c r="I19" s="132">
        <v>15016.1</v>
      </c>
      <c r="J19" s="133">
        <v>14.95</v>
      </c>
      <c r="K19" s="142">
        <v>30.0</v>
      </c>
      <c r="L19" s="111">
        <v>22.0</v>
      </c>
      <c r="M19" s="70">
        <v>300.0</v>
      </c>
      <c r="N19" s="24" t="s">
        <v>4137</v>
      </c>
    </row>
    <row r="20">
      <c r="A20" s="66">
        <v>7016.0</v>
      </c>
      <c r="B20" s="66">
        <v>206.0</v>
      </c>
      <c r="C20" s="66">
        <v>41.0</v>
      </c>
      <c r="D20" s="66">
        <v>3.0</v>
      </c>
      <c r="E20" s="66">
        <v>8.0</v>
      </c>
      <c r="F20" s="66">
        <v>974.0</v>
      </c>
      <c r="G20" s="141">
        <v>123116.0</v>
      </c>
      <c r="H20" s="66">
        <v>5.0</v>
      </c>
      <c r="I20" s="132">
        <v>88.25</v>
      </c>
      <c r="J20" s="133">
        <v>51567.72</v>
      </c>
      <c r="K20" s="142">
        <v>34.0</v>
      </c>
      <c r="L20" s="111">
        <v>20.0</v>
      </c>
      <c r="M20" s="70">
        <v>630.0</v>
      </c>
      <c r="N20" s="24" t="s">
        <v>4138</v>
      </c>
    </row>
    <row r="21">
      <c r="A21" s="66">
        <v>7017.0</v>
      </c>
      <c r="B21" s="66">
        <v>214.0</v>
      </c>
      <c r="C21" s="66">
        <v>41.0</v>
      </c>
      <c r="D21" s="66">
        <v>3.0</v>
      </c>
      <c r="E21" s="66">
        <v>9.0</v>
      </c>
      <c r="F21" s="66">
        <v>841.0</v>
      </c>
      <c r="G21" s="141">
        <v>103120.0</v>
      </c>
      <c r="H21" s="66">
        <v>7.0</v>
      </c>
      <c r="I21" s="132">
        <v>37810.51</v>
      </c>
      <c r="J21" s="133">
        <v>12396.83</v>
      </c>
      <c r="K21" s="142">
        <v>86.0</v>
      </c>
      <c r="L21" s="111">
        <v>22.0</v>
      </c>
      <c r="M21" s="70">
        <v>1600.0</v>
      </c>
      <c r="N21" s="24" t="s">
        <v>4139</v>
      </c>
    </row>
    <row r="22">
      <c r="A22" s="66">
        <v>7018.0</v>
      </c>
      <c r="B22" s="66">
        <v>210.0</v>
      </c>
      <c r="C22" s="66">
        <v>61.0</v>
      </c>
      <c r="D22" s="66">
        <v>9.0</v>
      </c>
      <c r="E22" s="66">
        <v>3.0</v>
      </c>
      <c r="F22" s="66">
        <v>517.0</v>
      </c>
      <c r="G22" s="141">
        <v>53103.0</v>
      </c>
      <c r="H22" s="66">
        <v>5.0</v>
      </c>
      <c r="I22" s="132">
        <v>30.44</v>
      </c>
      <c r="J22" s="133">
        <v>253.7</v>
      </c>
      <c r="K22" s="142">
        <v>50.0</v>
      </c>
      <c r="L22" s="111">
        <v>23.0</v>
      </c>
      <c r="M22" s="70">
        <v>1630.0</v>
      </c>
      <c r="N22" s="24" t="s">
        <v>4140</v>
      </c>
    </row>
    <row r="23">
      <c r="A23" s="66">
        <v>7019.0</v>
      </c>
      <c r="B23" s="66">
        <v>200.0</v>
      </c>
      <c r="C23" s="66">
        <v>41.0</v>
      </c>
      <c r="D23" s="66">
        <v>4.0</v>
      </c>
      <c r="E23" s="66">
        <v>6.0</v>
      </c>
      <c r="F23" s="66">
        <v>105.0</v>
      </c>
      <c r="G23" s="141">
        <v>123194.0</v>
      </c>
      <c r="H23" s="66">
        <v>6.0</v>
      </c>
      <c r="I23" s="132">
        <v>-80.75</v>
      </c>
      <c r="J23" s="133">
        <v>7841.1</v>
      </c>
      <c r="K23" s="142">
        <v>5.0</v>
      </c>
      <c r="L23" s="111">
        <v>21.0</v>
      </c>
      <c r="M23" s="70">
        <v>2230.0</v>
      </c>
      <c r="N23" s="24" t="s">
        <v>4141</v>
      </c>
    </row>
    <row r="24">
      <c r="A24" s="66">
        <v>7020.0</v>
      </c>
      <c r="B24" s="66">
        <v>201.0</v>
      </c>
      <c r="C24" s="66">
        <v>82.0</v>
      </c>
      <c r="D24" s="66">
        <v>4.0</v>
      </c>
      <c r="E24" s="66">
        <v>5.0</v>
      </c>
      <c r="F24" s="66">
        <v>466.0</v>
      </c>
      <c r="G24" s="141">
        <v>123111.0</v>
      </c>
      <c r="H24" s="66">
        <v>6.0</v>
      </c>
      <c r="I24" s="132">
        <v>-2351.87</v>
      </c>
      <c r="J24" s="133">
        <v>25.75</v>
      </c>
      <c r="K24" s="142">
        <v>89.0</v>
      </c>
      <c r="L24" s="111">
        <v>21.0</v>
      </c>
      <c r="M24" s="70">
        <v>1500.0</v>
      </c>
      <c r="N24" s="24" t="s">
        <v>4142</v>
      </c>
    </row>
    <row r="25">
      <c r="A25" s="66">
        <v>7021.0</v>
      </c>
      <c r="B25" s="66">
        <v>211.0</v>
      </c>
      <c r="C25" s="66">
        <v>82.0</v>
      </c>
      <c r="D25" s="66">
        <v>4.0</v>
      </c>
      <c r="E25" s="66">
        <v>7.0</v>
      </c>
      <c r="F25" s="66">
        <v>110.0</v>
      </c>
      <c r="G25" s="141">
        <v>73105.0</v>
      </c>
      <c r="H25" s="66">
        <v>1.0</v>
      </c>
      <c r="I25" s="132">
        <v>66653.72</v>
      </c>
      <c r="J25" s="133">
        <v>-71403.46</v>
      </c>
      <c r="K25" s="142">
        <v>25.0</v>
      </c>
      <c r="L25" s="111">
        <v>20.0</v>
      </c>
      <c r="M25" s="70">
        <v>1230.0</v>
      </c>
      <c r="N25" s="24" t="s">
        <v>4143</v>
      </c>
    </row>
    <row r="26">
      <c r="A26" s="66">
        <v>7022.0</v>
      </c>
      <c r="B26" s="66">
        <v>209.0</v>
      </c>
      <c r="C26" s="66">
        <v>41.0</v>
      </c>
      <c r="D26" s="66">
        <v>5.0</v>
      </c>
      <c r="E26" s="66">
        <v>3.0</v>
      </c>
      <c r="F26" s="66">
        <v>756.0</v>
      </c>
      <c r="G26" s="141">
        <v>83192.0</v>
      </c>
      <c r="H26" s="66">
        <v>6.0</v>
      </c>
      <c r="I26" s="132">
        <v>-30.44</v>
      </c>
      <c r="J26" s="133">
        <v>78855.75</v>
      </c>
      <c r="K26" s="142">
        <v>75.0</v>
      </c>
      <c r="L26" s="111">
        <v>22.0</v>
      </c>
      <c r="M26" s="70">
        <v>1500.0</v>
      </c>
      <c r="N26" s="24" t="s">
        <v>4144</v>
      </c>
    </row>
    <row r="27">
      <c r="A27" s="66">
        <v>7023.0</v>
      </c>
      <c r="B27" s="66">
        <v>209.0</v>
      </c>
      <c r="C27" s="66">
        <v>82.0</v>
      </c>
      <c r="D27" s="66">
        <v>5.0</v>
      </c>
      <c r="E27" s="66">
        <v>7.0</v>
      </c>
      <c r="F27" s="66">
        <v>146.0</v>
      </c>
      <c r="G27" s="141">
        <v>33196.0</v>
      </c>
      <c r="H27" s="66">
        <v>6.0</v>
      </c>
      <c r="I27" s="132">
        <v>-811.33</v>
      </c>
      <c r="J27" s="133">
        <v>36.0</v>
      </c>
      <c r="K27" s="142">
        <v>66.0</v>
      </c>
      <c r="L27" s="111">
        <v>21.0</v>
      </c>
      <c r="M27" s="70">
        <v>1400.0</v>
      </c>
      <c r="N27" s="24" t="s">
        <v>4145</v>
      </c>
    </row>
    <row r="28">
      <c r="A28" s="66">
        <v>7024.0</v>
      </c>
      <c r="B28" s="66">
        <v>218.0</v>
      </c>
      <c r="C28" s="66">
        <v>41.0</v>
      </c>
      <c r="D28" s="66">
        <v>6.0</v>
      </c>
      <c r="E28" s="66">
        <v>1.0</v>
      </c>
      <c r="F28" s="66">
        <v>252.0</v>
      </c>
      <c r="G28" s="141">
        <v>43019.0</v>
      </c>
      <c r="H28" s="66">
        <v>8.0</v>
      </c>
      <c r="I28" s="132">
        <v>8182.2</v>
      </c>
      <c r="J28" s="133">
        <v>590.38</v>
      </c>
      <c r="K28" s="142">
        <v>98.0</v>
      </c>
      <c r="L28" s="111">
        <v>22.0</v>
      </c>
      <c r="M28" s="70">
        <v>1300.0</v>
      </c>
      <c r="N28" s="24" t="s">
        <v>4146</v>
      </c>
    </row>
    <row r="29">
      <c r="A29" s="66">
        <v>7025.0</v>
      </c>
      <c r="B29" s="66">
        <v>202.0</v>
      </c>
      <c r="C29" s="66">
        <v>82.0</v>
      </c>
      <c r="D29" s="66">
        <v>6.0</v>
      </c>
      <c r="E29" s="66">
        <v>4.0</v>
      </c>
      <c r="F29" s="66">
        <v>916.0</v>
      </c>
      <c r="G29" s="141">
        <v>22912.0</v>
      </c>
      <c r="H29" s="66">
        <v>8.0</v>
      </c>
      <c r="I29" s="132">
        <v>46.96</v>
      </c>
      <c r="J29" s="133">
        <v>58540.44</v>
      </c>
      <c r="K29" s="142">
        <v>51.0</v>
      </c>
      <c r="L29" s="111">
        <v>21.0</v>
      </c>
      <c r="M29" s="70">
        <v>1230.0</v>
      </c>
      <c r="N29" s="24" t="s">
        <v>4147</v>
      </c>
    </row>
    <row r="30">
      <c r="A30" s="66">
        <v>7026.0</v>
      </c>
      <c r="B30" s="66">
        <v>209.0</v>
      </c>
      <c r="C30" s="66">
        <v>21.0</v>
      </c>
      <c r="D30" s="66">
        <v>2.0</v>
      </c>
      <c r="E30" s="66">
        <v>1.0</v>
      </c>
      <c r="F30" s="66">
        <v>520.0</v>
      </c>
      <c r="G30" s="141">
        <v>33121.0</v>
      </c>
      <c r="H30" s="66">
        <v>7.0</v>
      </c>
      <c r="I30" s="132">
        <v>7414.23</v>
      </c>
      <c r="J30" s="133">
        <v>97469.82</v>
      </c>
      <c r="K30" s="142">
        <v>2.0</v>
      </c>
      <c r="L30" s="111">
        <v>20.0</v>
      </c>
      <c r="M30" s="70">
        <v>630.0</v>
      </c>
      <c r="N30" s="24" t="s">
        <v>4148</v>
      </c>
    </row>
    <row r="31">
      <c r="A31" s="66">
        <v>7027.0</v>
      </c>
      <c r="B31" s="66">
        <v>211.0</v>
      </c>
      <c r="C31" s="66">
        <v>62.0</v>
      </c>
      <c r="D31" s="66">
        <v>1.0</v>
      </c>
      <c r="E31" s="66">
        <v>9.0</v>
      </c>
      <c r="F31" s="66">
        <v>330.0</v>
      </c>
      <c r="G31" s="141">
        <v>33193.0</v>
      </c>
      <c r="H31" s="66">
        <v>6.0</v>
      </c>
      <c r="I31" s="132">
        <v>588.85</v>
      </c>
      <c r="J31" s="133">
        <v>6648.44</v>
      </c>
      <c r="K31" s="142">
        <v>4.0</v>
      </c>
      <c r="L31" s="111">
        <v>21.0</v>
      </c>
      <c r="M31" s="70">
        <v>1300.0</v>
      </c>
      <c r="N31" s="24" t="s">
        <v>4149</v>
      </c>
    </row>
    <row r="32">
      <c r="A32" s="66">
        <v>7028.0</v>
      </c>
      <c r="B32" s="66">
        <v>202.0</v>
      </c>
      <c r="C32" s="66">
        <v>21.0</v>
      </c>
      <c r="D32" s="66">
        <v>2.0</v>
      </c>
      <c r="E32" s="66">
        <v>5.0</v>
      </c>
      <c r="F32" s="66">
        <v>395.0</v>
      </c>
      <c r="G32" s="141">
        <v>93014.0</v>
      </c>
      <c r="H32" s="66">
        <v>5.0</v>
      </c>
      <c r="I32" s="132">
        <v>65.42</v>
      </c>
      <c r="J32" s="133">
        <v>-82305.21</v>
      </c>
      <c r="K32" s="142">
        <v>93.0</v>
      </c>
      <c r="L32" s="111">
        <v>20.0</v>
      </c>
      <c r="M32" s="70">
        <v>1400.0</v>
      </c>
      <c r="N32" s="24" t="s">
        <v>4150</v>
      </c>
    </row>
    <row r="33">
      <c r="A33" s="66">
        <v>7029.0</v>
      </c>
      <c r="B33" s="66">
        <v>206.0</v>
      </c>
      <c r="C33" s="66">
        <v>41.0</v>
      </c>
      <c r="D33" s="66">
        <v>7.0</v>
      </c>
      <c r="E33" s="66">
        <v>4.0</v>
      </c>
      <c r="F33" s="66">
        <v>925.0</v>
      </c>
      <c r="G33" s="141">
        <v>123102.0</v>
      </c>
      <c r="H33" s="66">
        <v>7.0</v>
      </c>
      <c r="I33" s="132">
        <v>4564.7</v>
      </c>
      <c r="J33" s="133">
        <v>67689.24</v>
      </c>
      <c r="K33" s="142">
        <v>85.0</v>
      </c>
      <c r="L33" s="111">
        <v>23.0</v>
      </c>
      <c r="M33" s="70">
        <v>230.0</v>
      </c>
      <c r="N33" s="24" t="s">
        <v>4151</v>
      </c>
    </row>
    <row r="34">
      <c r="A34" s="66">
        <v>7030.0</v>
      </c>
      <c r="B34" s="66">
        <v>211.0</v>
      </c>
      <c r="C34" s="66">
        <v>62.0</v>
      </c>
      <c r="D34" s="66">
        <v>2.0</v>
      </c>
      <c r="E34" s="66">
        <v>1.0</v>
      </c>
      <c r="F34" s="66">
        <v>815.0</v>
      </c>
      <c r="G34" s="141">
        <v>53116.0</v>
      </c>
      <c r="H34" s="66">
        <v>7.0</v>
      </c>
      <c r="I34" s="132">
        <v>68848.38</v>
      </c>
      <c r="J34" s="133">
        <v>46.44</v>
      </c>
      <c r="K34" s="142">
        <v>62.0</v>
      </c>
      <c r="L34" s="111">
        <v>20.0</v>
      </c>
      <c r="M34" s="70">
        <v>2330.0</v>
      </c>
      <c r="N34" s="24" t="s">
        <v>4152</v>
      </c>
    </row>
    <row r="35">
      <c r="A35" s="66">
        <v>7031.0</v>
      </c>
      <c r="B35" s="66">
        <v>201.0</v>
      </c>
      <c r="C35" s="66">
        <v>62.0</v>
      </c>
      <c r="D35" s="66">
        <v>2.0</v>
      </c>
      <c r="E35" s="66">
        <v>2.0</v>
      </c>
      <c r="F35" s="66">
        <v>767.0</v>
      </c>
      <c r="G35" s="141">
        <v>63021.0</v>
      </c>
      <c r="H35" s="66">
        <v>3.0</v>
      </c>
      <c r="I35" s="132">
        <v>49214.3</v>
      </c>
      <c r="J35" s="133">
        <v>276.55</v>
      </c>
      <c r="K35" s="142">
        <v>8.0</v>
      </c>
      <c r="L35" s="111">
        <v>20.0</v>
      </c>
      <c r="M35" s="70">
        <v>800.0</v>
      </c>
      <c r="N35" s="24" t="s">
        <v>4153</v>
      </c>
    </row>
    <row r="36">
      <c r="A36" s="66">
        <v>7032.0</v>
      </c>
      <c r="B36" s="66">
        <v>207.0</v>
      </c>
      <c r="C36" s="66">
        <v>41.0</v>
      </c>
      <c r="D36" s="66">
        <v>7.0</v>
      </c>
      <c r="E36" s="66">
        <v>7.0</v>
      </c>
      <c r="F36" s="66">
        <v>769.0</v>
      </c>
      <c r="G36" s="141">
        <v>63014.0</v>
      </c>
      <c r="H36" s="66">
        <v>7.0</v>
      </c>
      <c r="I36" s="132">
        <v>-253.75</v>
      </c>
      <c r="J36" s="133">
        <v>323.36</v>
      </c>
      <c r="K36" s="142">
        <v>4.0</v>
      </c>
      <c r="L36" s="111">
        <v>20.0</v>
      </c>
      <c r="M36" s="70">
        <v>1030.0</v>
      </c>
      <c r="N36" s="24" t="s">
        <v>4154</v>
      </c>
    </row>
    <row r="37">
      <c r="A37" s="66">
        <v>7033.0</v>
      </c>
      <c r="B37" s="66">
        <v>218.0</v>
      </c>
      <c r="C37" s="66">
        <v>62.0</v>
      </c>
      <c r="D37" s="66">
        <v>2.0</v>
      </c>
      <c r="E37" s="66">
        <v>5.0</v>
      </c>
      <c r="F37" s="66">
        <v>629.0</v>
      </c>
      <c r="G37" s="141">
        <v>93009.0</v>
      </c>
      <c r="H37" s="66">
        <v>6.0</v>
      </c>
      <c r="I37" s="132">
        <v>976.34</v>
      </c>
      <c r="J37" s="133">
        <v>26549.68</v>
      </c>
      <c r="K37" s="142">
        <v>71.0</v>
      </c>
      <c r="L37" s="111">
        <v>21.0</v>
      </c>
      <c r="M37" s="70">
        <v>330.0</v>
      </c>
      <c r="N37" s="24" t="s">
        <v>4155</v>
      </c>
    </row>
    <row r="38">
      <c r="A38" s="66">
        <v>7034.0</v>
      </c>
      <c r="B38" s="66">
        <v>213.0</v>
      </c>
      <c r="C38" s="66">
        <v>21.0</v>
      </c>
      <c r="D38" s="66">
        <v>3.0</v>
      </c>
      <c r="E38" s="66">
        <v>1.0</v>
      </c>
      <c r="F38" s="66">
        <v>689.0</v>
      </c>
      <c r="G38" s="141">
        <v>103116.0</v>
      </c>
      <c r="H38" s="66">
        <v>9.0</v>
      </c>
      <c r="I38" s="132">
        <v>5693.61</v>
      </c>
      <c r="J38" s="133">
        <v>-3231.3</v>
      </c>
      <c r="K38" s="142">
        <v>13.0</v>
      </c>
      <c r="L38" s="111">
        <v>23.0</v>
      </c>
      <c r="M38" s="70">
        <v>1630.0</v>
      </c>
      <c r="N38" s="24" t="s">
        <v>4156</v>
      </c>
    </row>
    <row r="39">
      <c r="A39" s="66">
        <v>7035.0</v>
      </c>
      <c r="B39" s="66">
        <v>211.0</v>
      </c>
      <c r="C39" s="66">
        <v>82.0</v>
      </c>
      <c r="D39" s="66">
        <v>7.0</v>
      </c>
      <c r="E39" s="66">
        <v>5.0</v>
      </c>
      <c r="F39" s="66">
        <v>382.0</v>
      </c>
      <c r="G39" s="141">
        <v>43007.0</v>
      </c>
      <c r="H39" s="66">
        <v>6.0</v>
      </c>
      <c r="I39" s="132">
        <v>69.25</v>
      </c>
      <c r="J39" s="133">
        <v>8103.47</v>
      </c>
      <c r="K39" s="142">
        <v>61.0</v>
      </c>
      <c r="L39" s="111">
        <v>23.0</v>
      </c>
      <c r="M39" s="70">
        <v>100.0</v>
      </c>
      <c r="N39" s="24" t="s">
        <v>4157</v>
      </c>
    </row>
    <row r="40">
      <c r="A40" s="66">
        <v>7036.0</v>
      </c>
      <c r="B40" s="66">
        <v>210.0</v>
      </c>
      <c r="C40" s="66">
        <v>21.0</v>
      </c>
      <c r="D40" s="66">
        <v>2.0</v>
      </c>
      <c r="E40" s="66">
        <v>6.0</v>
      </c>
      <c r="F40" s="66">
        <v>351.0</v>
      </c>
      <c r="G40" s="141">
        <v>22811.0</v>
      </c>
      <c r="H40" s="66">
        <v>8.0</v>
      </c>
      <c r="I40" s="132">
        <v>69155.82</v>
      </c>
      <c r="J40" s="133">
        <v>6740.51</v>
      </c>
      <c r="K40" s="142">
        <v>92.0</v>
      </c>
      <c r="L40" s="111">
        <v>21.0</v>
      </c>
      <c r="M40" s="70">
        <v>1200.0</v>
      </c>
      <c r="N40" s="24" t="s">
        <v>4158</v>
      </c>
    </row>
    <row r="41">
      <c r="A41" s="66">
        <v>7037.0</v>
      </c>
      <c r="B41" s="66">
        <v>207.0</v>
      </c>
      <c r="C41" s="66">
        <v>82.0</v>
      </c>
      <c r="D41" s="66">
        <v>7.0</v>
      </c>
      <c r="E41" s="66">
        <v>8.0</v>
      </c>
      <c r="F41" s="66">
        <v>243.0</v>
      </c>
      <c r="G41" s="141">
        <v>83115.0</v>
      </c>
      <c r="H41" s="66">
        <v>6.0</v>
      </c>
      <c r="I41" s="132">
        <v>8737.25</v>
      </c>
      <c r="J41" s="133">
        <v>247.77</v>
      </c>
      <c r="K41" s="142">
        <v>17.0</v>
      </c>
      <c r="L41" s="111">
        <v>21.0</v>
      </c>
      <c r="M41" s="70">
        <v>2000.0</v>
      </c>
      <c r="N41" s="24" t="s">
        <v>4159</v>
      </c>
    </row>
    <row r="42">
      <c r="A42" s="66">
        <v>7038.0</v>
      </c>
      <c r="B42" s="66">
        <v>220.0</v>
      </c>
      <c r="C42" s="66">
        <v>41.0</v>
      </c>
      <c r="D42" s="66">
        <v>8.0</v>
      </c>
      <c r="E42" s="66">
        <v>3.0</v>
      </c>
      <c r="F42" s="66">
        <v>107.0</v>
      </c>
      <c r="G42" s="141">
        <v>123101.0</v>
      </c>
      <c r="H42" s="66">
        <v>7.0</v>
      </c>
      <c r="I42" s="132">
        <v>-38.9</v>
      </c>
      <c r="J42" s="133">
        <v>-82900.79</v>
      </c>
      <c r="K42" s="142">
        <v>99.0</v>
      </c>
      <c r="L42" s="111">
        <v>20.0</v>
      </c>
      <c r="M42" s="70">
        <v>230.0</v>
      </c>
      <c r="N42" s="24" t="s">
        <v>4160</v>
      </c>
    </row>
    <row r="43">
      <c r="A43" s="66">
        <v>7039.0</v>
      </c>
      <c r="B43" s="66">
        <v>220.0</v>
      </c>
      <c r="C43" s="66">
        <v>21.0</v>
      </c>
      <c r="D43" s="66">
        <v>3.0</v>
      </c>
      <c r="E43" s="66">
        <v>5.0</v>
      </c>
      <c r="F43" s="66">
        <v>480.0</v>
      </c>
      <c r="G43" s="141">
        <v>83118.0</v>
      </c>
      <c r="H43" s="66">
        <v>9.0</v>
      </c>
      <c r="I43" s="132">
        <v>806.9</v>
      </c>
      <c r="J43" s="133">
        <v>-64370.21</v>
      </c>
      <c r="K43" s="142">
        <v>10.0</v>
      </c>
      <c r="L43" s="111">
        <v>22.0</v>
      </c>
      <c r="M43" s="70">
        <v>1130.0</v>
      </c>
      <c r="N43" s="24" t="s">
        <v>4161</v>
      </c>
    </row>
    <row r="44">
      <c r="A44" s="66">
        <v>7040.0</v>
      </c>
      <c r="B44" s="66">
        <v>218.0</v>
      </c>
      <c r="C44" s="66">
        <v>41.0</v>
      </c>
      <c r="D44" s="66">
        <v>8.0</v>
      </c>
      <c r="E44" s="66">
        <v>5.0</v>
      </c>
      <c r="F44" s="66">
        <v>386.0</v>
      </c>
      <c r="G44" s="141">
        <v>113099.0</v>
      </c>
      <c r="H44" s="66">
        <v>6.0</v>
      </c>
      <c r="I44" s="132">
        <v>67507.74</v>
      </c>
      <c r="J44" s="133">
        <v>465.84</v>
      </c>
      <c r="K44" s="142">
        <v>65.0</v>
      </c>
      <c r="L44" s="111">
        <v>21.0</v>
      </c>
      <c r="M44" s="70">
        <v>500.0</v>
      </c>
      <c r="N44" s="24" t="s">
        <v>4162</v>
      </c>
    </row>
    <row r="45">
      <c r="A45" s="66">
        <v>7041.0</v>
      </c>
      <c r="B45" s="66">
        <v>212.0</v>
      </c>
      <c r="C45" s="66">
        <v>82.0</v>
      </c>
      <c r="D45" s="66">
        <v>7.0</v>
      </c>
      <c r="E45" s="66">
        <v>6.0</v>
      </c>
      <c r="F45" s="66">
        <v>936.0</v>
      </c>
      <c r="G45" s="141">
        <v>103100.0</v>
      </c>
      <c r="H45" s="66">
        <v>8.0</v>
      </c>
      <c r="I45" s="132">
        <v>10.83</v>
      </c>
      <c r="J45" s="133">
        <v>10805.52</v>
      </c>
      <c r="K45" s="142">
        <v>92.0</v>
      </c>
      <c r="L45" s="111">
        <v>23.0</v>
      </c>
      <c r="M45" s="70">
        <v>2200.0</v>
      </c>
      <c r="N45" s="24" t="s">
        <v>4163</v>
      </c>
    </row>
    <row r="46">
      <c r="A46" s="66">
        <v>7042.0</v>
      </c>
      <c r="B46" s="66">
        <v>218.0</v>
      </c>
      <c r="C46" s="66">
        <v>62.0</v>
      </c>
      <c r="D46" s="66">
        <v>3.0</v>
      </c>
      <c r="E46" s="66">
        <v>5.0</v>
      </c>
      <c r="F46" s="66">
        <v>647.0</v>
      </c>
      <c r="G46" s="141">
        <v>103196.0</v>
      </c>
      <c r="H46" s="66">
        <v>5.0</v>
      </c>
      <c r="I46" s="132">
        <v>-65914.63</v>
      </c>
      <c r="J46" s="133">
        <v>-8040.32</v>
      </c>
      <c r="K46" s="142">
        <v>44.0</v>
      </c>
      <c r="L46" s="111">
        <v>21.0</v>
      </c>
      <c r="M46" s="70">
        <v>900.0</v>
      </c>
      <c r="N46" s="24" t="s">
        <v>4164</v>
      </c>
    </row>
    <row r="47">
      <c r="A47" s="66">
        <v>7043.0</v>
      </c>
      <c r="B47" s="66">
        <v>205.0</v>
      </c>
      <c r="C47" s="66">
        <v>41.0</v>
      </c>
      <c r="D47" s="66">
        <v>8.0</v>
      </c>
      <c r="E47" s="66">
        <v>8.0</v>
      </c>
      <c r="F47" s="66">
        <v>763.0</v>
      </c>
      <c r="G47" s="141">
        <v>33100.0</v>
      </c>
      <c r="H47" s="66">
        <v>8.0</v>
      </c>
      <c r="I47" s="132">
        <v>3357.88</v>
      </c>
      <c r="J47" s="133">
        <v>985.88</v>
      </c>
      <c r="K47" s="142">
        <v>77.0</v>
      </c>
      <c r="L47" s="111">
        <v>23.0</v>
      </c>
      <c r="M47" s="70">
        <v>300.0</v>
      </c>
      <c r="N47" s="24" t="s">
        <v>4165</v>
      </c>
    </row>
    <row r="48">
      <c r="A48" s="66">
        <v>7044.0</v>
      </c>
      <c r="B48" s="66">
        <v>214.0</v>
      </c>
      <c r="C48" s="66">
        <v>21.0</v>
      </c>
      <c r="D48" s="66">
        <v>4.0</v>
      </c>
      <c r="E48" s="66">
        <v>1.0</v>
      </c>
      <c r="F48" s="66">
        <v>139.0</v>
      </c>
      <c r="G48" s="141">
        <v>93003.0</v>
      </c>
      <c r="H48" s="66">
        <v>9.0</v>
      </c>
      <c r="I48" s="132">
        <v>95731.74</v>
      </c>
      <c r="J48" s="133">
        <v>84.49</v>
      </c>
      <c r="K48" s="142">
        <v>97.0</v>
      </c>
      <c r="L48" s="111">
        <v>23.0</v>
      </c>
      <c r="M48" s="70">
        <v>1930.0</v>
      </c>
      <c r="N48" s="24" t="s">
        <v>4166</v>
      </c>
    </row>
    <row r="49">
      <c r="A49" s="66">
        <v>7045.0</v>
      </c>
      <c r="B49" s="66">
        <v>217.0</v>
      </c>
      <c r="C49" s="66">
        <v>62.0</v>
      </c>
      <c r="D49" s="66">
        <v>3.0</v>
      </c>
      <c r="E49" s="66">
        <v>6.0</v>
      </c>
      <c r="F49" s="66">
        <v>603.0</v>
      </c>
      <c r="G49" s="141">
        <v>63096.0</v>
      </c>
      <c r="H49" s="66">
        <v>2.0</v>
      </c>
      <c r="I49" s="132">
        <v>-15.27</v>
      </c>
      <c r="J49" s="133">
        <v>1781.19</v>
      </c>
      <c r="K49" s="142">
        <v>65.0</v>
      </c>
      <c r="L49" s="111">
        <v>23.0</v>
      </c>
      <c r="M49" s="70">
        <v>930.0</v>
      </c>
      <c r="N49" s="24" t="s">
        <v>4167</v>
      </c>
    </row>
    <row r="50">
      <c r="A50" s="66">
        <v>7046.0</v>
      </c>
      <c r="B50" s="66">
        <v>213.0</v>
      </c>
      <c r="C50" s="66">
        <v>41.0</v>
      </c>
      <c r="D50" s="66">
        <v>9.0</v>
      </c>
      <c r="E50" s="66">
        <v>1.0</v>
      </c>
      <c r="F50" s="66">
        <v>113.0</v>
      </c>
      <c r="G50" s="141">
        <v>73191.0</v>
      </c>
      <c r="H50" s="66">
        <v>8.0</v>
      </c>
      <c r="I50" s="132">
        <v>60119.92</v>
      </c>
      <c r="J50" s="133">
        <v>18679.16</v>
      </c>
      <c r="K50" s="142">
        <v>81.0</v>
      </c>
      <c r="L50" s="111">
        <v>21.0</v>
      </c>
      <c r="M50" s="70">
        <v>1200.0</v>
      </c>
      <c r="N50" s="24" t="s">
        <v>4168</v>
      </c>
    </row>
    <row r="51">
      <c r="A51" s="66">
        <v>7047.0</v>
      </c>
      <c r="B51" s="66">
        <v>220.0</v>
      </c>
      <c r="C51" s="66">
        <v>41.0</v>
      </c>
      <c r="D51" s="66">
        <v>9.0</v>
      </c>
      <c r="E51" s="66">
        <v>3.0</v>
      </c>
      <c r="F51" s="66">
        <v>279.0</v>
      </c>
      <c r="G51" s="141">
        <v>63095.0</v>
      </c>
      <c r="H51" s="66">
        <v>2.0</v>
      </c>
      <c r="I51" s="132">
        <v>73.68</v>
      </c>
      <c r="J51" s="133">
        <v>85.99</v>
      </c>
      <c r="K51" s="142">
        <v>12.0</v>
      </c>
      <c r="L51" s="111">
        <v>23.0</v>
      </c>
      <c r="M51" s="70">
        <v>700.0</v>
      </c>
      <c r="N51" s="24" t="s">
        <v>4169</v>
      </c>
    </row>
    <row r="52">
      <c r="A52" s="66">
        <v>7048.0</v>
      </c>
      <c r="B52" s="66">
        <v>218.0</v>
      </c>
      <c r="C52" s="66">
        <v>62.0</v>
      </c>
      <c r="D52" s="66">
        <v>4.0</v>
      </c>
      <c r="E52" s="66">
        <v>1.0</v>
      </c>
      <c r="F52" s="66">
        <v>607.0</v>
      </c>
      <c r="G52" s="141">
        <v>33192.0</v>
      </c>
      <c r="H52" s="66">
        <v>4.0</v>
      </c>
      <c r="I52" s="132">
        <v>610.83</v>
      </c>
      <c r="J52" s="133">
        <v>1867.83</v>
      </c>
      <c r="K52" s="142">
        <v>71.0</v>
      </c>
      <c r="L52" s="111">
        <v>23.0</v>
      </c>
      <c r="M52" s="70">
        <v>1630.0</v>
      </c>
      <c r="N52" s="24" t="s">
        <v>4170</v>
      </c>
    </row>
    <row r="53">
      <c r="A53" s="66">
        <v>7049.0</v>
      </c>
      <c r="B53" s="66">
        <v>216.0</v>
      </c>
      <c r="C53" s="66">
        <v>62.0</v>
      </c>
      <c r="D53" s="66">
        <v>4.0</v>
      </c>
      <c r="E53" s="66">
        <v>3.0</v>
      </c>
      <c r="F53" s="66">
        <v>135.0</v>
      </c>
      <c r="G53" s="141">
        <v>53112.0</v>
      </c>
      <c r="H53" s="66">
        <v>2.0</v>
      </c>
      <c r="I53" s="132">
        <v>714.19</v>
      </c>
      <c r="J53" s="133">
        <v>1748.85</v>
      </c>
      <c r="K53" s="142">
        <v>81.0</v>
      </c>
      <c r="L53" s="111">
        <v>23.0</v>
      </c>
      <c r="M53" s="70">
        <v>700.0</v>
      </c>
      <c r="N53" s="24" t="s">
        <v>4171</v>
      </c>
    </row>
    <row r="54">
      <c r="A54" s="66">
        <v>7050.0</v>
      </c>
      <c r="B54" s="66">
        <v>200.0</v>
      </c>
      <c r="C54" s="66">
        <v>82.0</v>
      </c>
      <c r="D54" s="66">
        <v>9.0</v>
      </c>
      <c r="E54" s="66">
        <v>2.0</v>
      </c>
      <c r="F54" s="66">
        <v>269.0</v>
      </c>
      <c r="G54" s="141">
        <v>123100.0</v>
      </c>
      <c r="H54" s="66">
        <v>7.0</v>
      </c>
      <c r="I54" s="132">
        <v>90286.84</v>
      </c>
      <c r="J54" s="133">
        <v>6501.99</v>
      </c>
      <c r="K54" s="142">
        <v>66.0</v>
      </c>
      <c r="L54" s="111">
        <v>20.0</v>
      </c>
      <c r="M54" s="70">
        <v>630.0</v>
      </c>
      <c r="N54" s="24" t="s">
        <v>4172</v>
      </c>
    </row>
    <row r="55">
      <c r="A55" s="66">
        <v>7051.0</v>
      </c>
      <c r="B55" s="66">
        <v>214.0</v>
      </c>
      <c r="C55" s="66">
        <v>62.0</v>
      </c>
      <c r="D55" s="66">
        <v>4.0</v>
      </c>
      <c r="E55" s="66">
        <v>7.0</v>
      </c>
      <c r="F55" s="66">
        <v>832.0</v>
      </c>
      <c r="G55" s="141">
        <v>63011.0</v>
      </c>
      <c r="H55" s="66">
        <v>8.0</v>
      </c>
      <c r="I55" s="132">
        <v>302.55</v>
      </c>
      <c r="J55" s="133">
        <v>92.52</v>
      </c>
      <c r="K55" s="142">
        <v>4.0</v>
      </c>
      <c r="L55" s="111">
        <v>22.0</v>
      </c>
      <c r="M55" s="70">
        <v>1830.0</v>
      </c>
      <c r="N55" s="24" t="s">
        <v>4173</v>
      </c>
    </row>
    <row r="56">
      <c r="A56" s="66">
        <v>7052.0</v>
      </c>
      <c r="B56" s="66">
        <v>206.0</v>
      </c>
      <c r="C56" s="66">
        <v>62.0</v>
      </c>
      <c r="D56" s="66">
        <v>5.0</v>
      </c>
      <c r="E56" s="66">
        <v>1.0</v>
      </c>
      <c r="F56" s="66">
        <v>131.0</v>
      </c>
      <c r="G56" s="141">
        <v>123198.0</v>
      </c>
      <c r="H56" s="66">
        <v>6.0</v>
      </c>
      <c r="I56" s="132">
        <v>91249.65</v>
      </c>
      <c r="J56" s="133">
        <v>2318.81</v>
      </c>
      <c r="K56" s="142">
        <v>70.0</v>
      </c>
      <c r="L56" s="111">
        <v>23.0</v>
      </c>
      <c r="M56" s="70">
        <v>600.0</v>
      </c>
      <c r="N56" s="24" t="s">
        <v>4174</v>
      </c>
    </row>
    <row r="57">
      <c r="A57" s="66">
        <v>7053.0</v>
      </c>
      <c r="B57" s="66">
        <v>213.0</v>
      </c>
      <c r="C57" s="66">
        <v>21.0</v>
      </c>
      <c r="D57" s="66">
        <v>5.0</v>
      </c>
      <c r="E57" s="66">
        <v>9.0</v>
      </c>
      <c r="F57" s="66">
        <v>113.0</v>
      </c>
      <c r="G57" s="141">
        <v>93092.0</v>
      </c>
      <c r="H57" s="66">
        <v>8.0</v>
      </c>
      <c r="I57" s="132">
        <v>15.58</v>
      </c>
      <c r="J57" s="133">
        <v>72508.21</v>
      </c>
      <c r="K57" s="142">
        <v>27.0</v>
      </c>
      <c r="L57" s="111">
        <v>21.0</v>
      </c>
      <c r="M57" s="70">
        <v>1400.0</v>
      </c>
      <c r="N57" s="24" t="s">
        <v>4175</v>
      </c>
    </row>
    <row r="58">
      <c r="A58" s="66">
        <v>7054.0</v>
      </c>
      <c r="B58" s="66">
        <v>211.0</v>
      </c>
      <c r="C58" s="66">
        <v>62.0</v>
      </c>
      <c r="D58" s="66">
        <v>5.0</v>
      </c>
      <c r="E58" s="66">
        <v>6.0</v>
      </c>
      <c r="F58" s="66">
        <v>974.0</v>
      </c>
      <c r="G58" s="141">
        <v>63092.0</v>
      </c>
      <c r="H58" s="66">
        <v>2.0</v>
      </c>
      <c r="I58" s="132">
        <v>760.95</v>
      </c>
      <c r="J58" s="133">
        <v>1827.83</v>
      </c>
      <c r="K58" s="142">
        <v>78.0</v>
      </c>
      <c r="L58" s="111">
        <v>23.0</v>
      </c>
      <c r="M58" s="70">
        <v>1200.0</v>
      </c>
      <c r="N58" s="24" t="s">
        <v>4176</v>
      </c>
    </row>
    <row r="59">
      <c r="A59" s="66">
        <v>7055.0</v>
      </c>
      <c r="B59" s="66">
        <v>206.0</v>
      </c>
      <c r="C59" s="66">
        <v>42.0</v>
      </c>
      <c r="D59" s="66">
        <v>1.0</v>
      </c>
      <c r="E59" s="66">
        <v>3.0</v>
      </c>
      <c r="F59" s="66">
        <v>800.0</v>
      </c>
      <c r="G59" s="141">
        <v>53121.0</v>
      </c>
      <c r="H59" s="66">
        <v>6.0</v>
      </c>
      <c r="I59" s="132">
        <v>884.64</v>
      </c>
      <c r="J59" s="133">
        <v>85.39</v>
      </c>
      <c r="K59" s="142">
        <v>48.0</v>
      </c>
      <c r="L59" s="111">
        <v>23.0</v>
      </c>
      <c r="M59" s="70">
        <v>1230.0</v>
      </c>
      <c r="N59" s="24" t="s">
        <v>4177</v>
      </c>
    </row>
    <row r="60">
      <c r="A60" s="66">
        <v>7056.0</v>
      </c>
      <c r="B60" s="66">
        <v>201.0</v>
      </c>
      <c r="C60" s="66">
        <v>62.0</v>
      </c>
      <c r="D60" s="66">
        <v>6.0</v>
      </c>
      <c r="E60" s="66">
        <v>2.0</v>
      </c>
      <c r="F60" s="66">
        <v>719.0</v>
      </c>
      <c r="G60" s="141">
        <v>103192.0</v>
      </c>
      <c r="H60" s="66">
        <v>7.0</v>
      </c>
      <c r="I60" s="132">
        <v>7294.81</v>
      </c>
      <c r="J60" s="133">
        <v>94.27</v>
      </c>
      <c r="K60" s="142">
        <v>48.0</v>
      </c>
      <c r="L60" s="111">
        <v>20.0</v>
      </c>
      <c r="M60" s="70">
        <v>2300.0</v>
      </c>
      <c r="N60" s="24" t="s">
        <v>4178</v>
      </c>
    </row>
    <row r="61">
      <c r="A61" s="66">
        <v>7057.0</v>
      </c>
      <c r="B61" s="66">
        <v>207.0</v>
      </c>
      <c r="C61" s="66">
        <v>62.0</v>
      </c>
      <c r="D61" s="66">
        <v>6.0</v>
      </c>
      <c r="E61" s="66">
        <v>4.0</v>
      </c>
      <c r="F61" s="66">
        <v>323.0</v>
      </c>
      <c r="G61" s="141">
        <v>53104.0</v>
      </c>
      <c r="H61" s="66">
        <v>6.0</v>
      </c>
      <c r="I61" s="132">
        <v>-733.38</v>
      </c>
      <c r="J61" s="133">
        <v>-16228.2</v>
      </c>
      <c r="K61" s="142">
        <v>43.0</v>
      </c>
      <c r="L61" s="111">
        <v>21.0</v>
      </c>
      <c r="M61" s="70">
        <v>300.0</v>
      </c>
      <c r="N61" s="24" t="s">
        <v>4179</v>
      </c>
    </row>
    <row r="62">
      <c r="A62" s="66">
        <v>7058.0</v>
      </c>
      <c r="B62" s="66">
        <v>205.0</v>
      </c>
      <c r="C62" s="66">
        <v>21.0</v>
      </c>
      <c r="D62" s="66">
        <v>6.0</v>
      </c>
      <c r="E62" s="66">
        <v>8.0</v>
      </c>
      <c r="F62" s="66">
        <v>364.0</v>
      </c>
      <c r="G62" s="141">
        <v>123103.0</v>
      </c>
      <c r="H62" s="66">
        <v>7.0</v>
      </c>
      <c r="I62" s="132">
        <v>47090.56</v>
      </c>
      <c r="J62" s="133">
        <v>206.29</v>
      </c>
      <c r="K62" s="142">
        <v>94.0</v>
      </c>
      <c r="L62" s="111">
        <v>22.0</v>
      </c>
      <c r="M62" s="70">
        <v>2300.0</v>
      </c>
      <c r="N62" s="24" t="s">
        <v>4180</v>
      </c>
    </row>
    <row r="63">
      <c r="A63" s="66">
        <v>7059.0</v>
      </c>
      <c r="B63" s="66">
        <v>200.0</v>
      </c>
      <c r="C63" s="66">
        <v>42.0</v>
      </c>
      <c r="D63" s="66">
        <v>1.0</v>
      </c>
      <c r="E63" s="66">
        <v>7.0</v>
      </c>
      <c r="F63" s="66">
        <v>383.0</v>
      </c>
      <c r="G63" s="141">
        <v>13114.0</v>
      </c>
      <c r="H63" s="66">
        <v>9.0</v>
      </c>
      <c r="I63" s="132">
        <v>-492.14</v>
      </c>
      <c r="J63" s="133">
        <v>-32.68</v>
      </c>
      <c r="K63" s="142">
        <v>22.0</v>
      </c>
      <c r="L63" s="111">
        <v>23.0</v>
      </c>
      <c r="M63" s="70">
        <v>630.0</v>
      </c>
      <c r="N63" s="24" t="s">
        <v>4181</v>
      </c>
    </row>
    <row r="64">
      <c r="A64" s="66">
        <v>7060.0</v>
      </c>
      <c r="B64" s="66">
        <v>212.0</v>
      </c>
      <c r="C64" s="66">
        <v>83.0</v>
      </c>
      <c r="D64" s="66">
        <v>1.0</v>
      </c>
      <c r="E64" s="66">
        <v>5.0</v>
      </c>
      <c r="F64" s="66">
        <v>138.0</v>
      </c>
      <c r="G64" s="141">
        <v>22893.0</v>
      </c>
      <c r="H64" s="66">
        <v>5.0</v>
      </c>
      <c r="I64" s="132">
        <v>-7941.23</v>
      </c>
      <c r="J64" s="133">
        <v>3195.94</v>
      </c>
      <c r="K64" s="142">
        <v>91.0</v>
      </c>
      <c r="L64" s="111">
        <v>21.0</v>
      </c>
      <c r="M64" s="70">
        <v>500.0</v>
      </c>
      <c r="N64" s="24" t="s">
        <v>4182</v>
      </c>
    </row>
    <row r="65">
      <c r="A65" s="66">
        <v>7061.0</v>
      </c>
      <c r="B65" s="66">
        <v>201.0</v>
      </c>
      <c r="C65" s="66">
        <v>21.0</v>
      </c>
      <c r="D65" s="66">
        <v>7.0</v>
      </c>
      <c r="E65" s="66">
        <v>1.0</v>
      </c>
      <c r="F65" s="66">
        <v>214.0</v>
      </c>
      <c r="G65" s="141">
        <v>22900.0</v>
      </c>
      <c r="H65" s="66">
        <v>9.0</v>
      </c>
      <c r="I65" s="132">
        <v>3399.29</v>
      </c>
      <c r="J65" s="133">
        <v>2721.11</v>
      </c>
      <c r="K65" s="142">
        <v>20.0</v>
      </c>
      <c r="L65" s="111">
        <v>20.0</v>
      </c>
      <c r="M65" s="70">
        <v>1300.0</v>
      </c>
      <c r="N65" s="24" t="s">
        <v>4183</v>
      </c>
    </row>
    <row r="66">
      <c r="A66" s="66">
        <v>7062.0</v>
      </c>
      <c r="B66" s="66">
        <v>205.0</v>
      </c>
      <c r="C66" s="66">
        <v>83.0</v>
      </c>
      <c r="D66" s="66">
        <v>1.0</v>
      </c>
      <c r="E66" s="66">
        <v>7.0</v>
      </c>
      <c r="F66" s="66">
        <v>643.0</v>
      </c>
      <c r="G66" s="141">
        <v>33190.0</v>
      </c>
      <c r="H66" s="66">
        <v>1.0</v>
      </c>
      <c r="I66" s="132">
        <v>819.56</v>
      </c>
      <c r="J66" s="133">
        <v>8814.48</v>
      </c>
      <c r="K66" s="142">
        <v>92.0</v>
      </c>
      <c r="L66" s="111">
        <v>23.0</v>
      </c>
      <c r="M66" s="70">
        <v>600.0</v>
      </c>
      <c r="N66" s="24" t="s">
        <v>4184</v>
      </c>
    </row>
    <row r="67">
      <c r="A67" s="66">
        <v>7063.0</v>
      </c>
      <c r="B67" s="66">
        <v>201.0</v>
      </c>
      <c r="C67" s="66">
        <v>62.0</v>
      </c>
      <c r="D67" s="66">
        <v>7.0</v>
      </c>
      <c r="E67" s="66">
        <v>6.0</v>
      </c>
      <c r="F67" s="66">
        <v>794.0</v>
      </c>
      <c r="G67" s="141">
        <v>63097.0</v>
      </c>
      <c r="H67" s="66">
        <v>8.0</v>
      </c>
      <c r="I67" s="132">
        <v>65.78</v>
      </c>
      <c r="J67" s="133">
        <v>69.27</v>
      </c>
      <c r="K67" s="142">
        <v>35.0</v>
      </c>
      <c r="L67" s="111">
        <v>20.0</v>
      </c>
      <c r="M67" s="70">
        <v>1000.0</v>
      </c>
      <c r="N67" s="24" t="s">
        <v>4185</v>
      </c>
    </row>
    <row r="68">
      <c r="A68" s="66">
        <v>7064.0</v>
      </c>
      <c r="B68" s="66">
        <v>200.0</v>
      </c>
      <c r="C68" s="66">
        <v>83.0</v>
      </c>
      <c r="D68" s="66">
        <v>2.0</v>
      </c>
      <c r="E68" s="66">
        <v>4.0</v>
      </c>
      <c r="F68" s="66">
        <v>648.0</v>
      </c>
      <c r="G68" s="141">
        <v>103105.0</v>
      </c>
      <c r="H68" s="66">
        <v>1.0</v>
      </c>
      <c r="I68" s="132">
        <v>12.82</v>
      </c>
      <c r="J68" s="133">
        <v>687.65</v>
      </c>
      <c r="K68" s="142">
        <v>74.0</v>
      </c>
      <c r="L68" s="111">
        <v>21.0</v>
      </c>
      <c r="M68" s="70">
        <v>630.0</v>
      </c>
      <c r="N68" s="24" t="s">
        <v>4186</v>
      </c>
    </row>
    <row r="69">
      <c r="A69" s="66">
        <v>7065.0</v>
      </c>
      <c r="B69" s="66">
        <v>211.0</v>
      </c>
      <c r="C69" s="66">
        <v>42.0</v>
      </c>
      <c r="D69" s="66">
        <v>2.0</v>
      </c>
      <c r="E69" s="66">
        <v>8.0</v>
      </c>
      <c r="F69" s="66">
        <v>520.0</v>
      </c>
      <c r="G69" s="141">
        <v>93016.0</v>
      </c>
      <c r="H69" s="66">
        <v>6.0</v>
      </c>
      <c r="I69" s="132">
        <v>5819.5</v>
      </c>
      <c r="J69" s="133">
        <v>75.57</v>
      </c>
      <c r="K69" s="142">
        <v>28.0</v>
      </c>
      <c r="L69" s="111">
        <v>23.0</v>
      </c>
      <c r="M69" s="70">
        <v>1200.0</v>
      </c>
      <c r="N69" s="24" t="s">
        <v>4187</v>
      </c>
    </row>
    <row r="70">
      <c r="A70" s="66">
        <v>7066.0</v>
      </c>
      <c r="B70" s="66">
        <v>217.0</v>
      </c>
      <c r="C70" s="66">
        <v>21.0</v>
      </c>
      <c r="D70" s="66">
        <v>8.0</v>
      </c>
      <c r="E70" s="66">
        <v>4.0</v>
      </c>
      <c r="F70" s="66">
        <v>450.0</v>
      </c>
      <c r="G70" s="141">
        <v>22809.0</v>
      </c>
      <c r="H70" s="66">
        <v>9.0</v>
      </c>
      <c r="I70" s="132">
        <v>94905.21</v>
      </c>
      <c r="J70" s="133">
        <v>976.74</v>
      </c>
      <c r="K70" s="142">
        <v>25.0</v>
      </c>
      <c r="L70" s="111">
        <v>23.0</v>
      </c>
      <c r="M70" s="70">
        <v>330.0</v>
      </c>
      <c r="N70" s="24" t="s">
        <v>4188</v>
      </c>
    </row>
    <row r="71">
      <c r="A71" s="66">
        <v>7067.0</v>
      </c>
      <c r="B71" s="66">
        <v>206.0</v>
      </c>
      <c r="C71" s="66">
        <v>62.0</v>
      </c>
      <c r="D71" s="66">
        <v>8.0</v>
      </c>
      <c r="E71" s="66">
        <v>1.0</v>
      </c>
      <c r="F71" s="66">
        <v>468.0</v>
      </c>
      <c r="G71" s="141">
        <v>63008.0</v>
      </c>
      <c r="H71" s="66">
        <v>3.0</v>
      </c>
      <c r="I71" s="132">
        <v>-9663.62</v>
      </c>
      <c r="J71" s="133">
        <v>-522.15</v>
      </c>
      <c r="K71" s="142">
        <v>88.0</v>
      </c>
      <c r="L71" s="111">
        <v>21.0</v>
      </c>
      <c r="M71" s="70">
        <v>430.0</v>
      </c>
      <c r="N71" s="24" t="s">
        <v>4189</v>
      </c>
    </row>
    <row r="72">
      <c r="A72" s="66">
        <v>7068.0</v>
      </c>
      <c r="B72" s="66">
        <v>212.0</v>
      </c>
      <c r="C72" s="66">
        <v>62.0</v>
      </c>
      <c r="D72" s="66">
        <v>8.0</v>
      </c>
      <c r="E72" s="66">
        <v>2.0</v>
      </c>
      <c r="F72" s="66">
        <v>938.0</v>
      </c>
      <c r="G72" s="141">
        <v>33191.0</v>
      </c>
      <c r="H72" s="66">
        <v>1.0</v>
      </c>
      <c r="I72" s="132">
        <v>85.5</v>
      </c>
      <c r="J72" s="133">
        <v>-6370.99</v>
      </c>
      <c r="K72" s="142">
        <v>99.0</v>
      </c>
      <c r="L72" s="111">
        <v>22.0</v>
      </c>
      <c r="M72" s="70">
        <v>1330.0</v>
      </c>
      <c r="N72" s="24" t="s">
        <v>4190</v>
      </c>
    </row>
    <row r="73">
      <c r="A73" s="66">
        <v>7069.0</v>
      </c>
      <c r="B73" s="66">
        <v>209.0</v>
      </c>
      <c r="C73" s="66">
        <v>42.0</v>
      </c>
      <c r="D73" s="66">
        <v>3.0</v>
      </c>
      <c r="E73" s="66">
        <v>4.0</v>
      </c>
      <c r="F73" s="66">
        <v>392.0</v>
      </c>
      <c r="G73" s="141">
        <v>83199.0</v>
      </c>
      <c r="H73" s="66">
        <v>9.0</v>
      </c>
      <c r="I73" s="132">
        <v>2721.6</v>
      </c>
      <c r="J73" s="133">
        <v>-555.66</v>
      </c>
      <c r="K73" s="142">
        <v>31.0</v>
      </c>
      <c r="L73" s="111">
        <v>22.0</v>
      </c>
      <c r="M73" s="70">
        <v>1000.0</v>
      </c>
      <c r="N73" s="24" t="s">
        <v>4191</v>
      </c>
    </row>
    <row r="74">
      <c r="A74" s="66">
        <v>7070.0</v>
      </c>
      <c r="B74" s="66">
        <v>213.0</v>
      </c>
      <c r="C74" s="66">
        <v>42.0</v>
      </c>
      <c r="D74" s="66">
        <v>3.0</v>
      </c>
      <c r="E74" s="66">
        <v>5.0</v>
      </c>
      <c r="F74" s="66">
        <v>203.0</v>
      </c>
      <c r="G74" s="141">
        <v>113095.0</v>
      </c>
      <c r="H74" s="66">
        <v>3.0</v>
      </c>
      <c r="I74" s="132">
        <v>-915.42</v>
      </c>
      <c r="J74" s="133">
        <v>-989.25</v>
      </c>
      <c r="K74" s="142">
        <v>14.0</v>
      </c>
      <c r="L74" s="111">
        <v>20.0</v>
      </c>
      <c r="M74" s="70">
        <v>600.0</v>
      </c>
      <c r="N74" s="134" t="s">
        <v>4192</v>
      </c>
    </row>
    <row r="75">
      <c r="A75" s="66">
        <v>7071.0</v>
      </c>
      <c r="B75" s="66">
        <v>203.0</v>
      </c>
      <c r="C75" s="66">
        <v>42.0</v>
      </c>
      <c r="D75" s="66">
        <v>3.0</v>
      </c>
      <c r="E75" s="66">
        <v>9.0</v>
      </c>
      <c r="F75" s="66">
        <v>853.0</v>
      </c>
      <c r="G75" s="141">
        <v>103199.0</v>
      </c>
      <c r="H75" s="66">
        <v>8.0</v>
      </c>
      <c r="I75" s="132">
        <v>-327.96</v>
      </c>
      <c r="J75" s="133">
        <v>65628.78</v>
      </c>
      <c r="K75" s="142">
        <v>99.0</v>
      </c>
      <c r="L75" s="111">
        <v>20.0</v>
      </c>
      <c r="M75" s="70">
        <v>1430.0</v>
      </c>
      <c r="N75" s="24" t="s">
        <v>4193</v>
      </c>
    </row>
    <row r="76">
      <c r="A76" s="66">
        <v>7072.0</v>
      </c>
      <c r="B76" s="66">
        <v>208.0</v>
      </c>
      <c r="C76" s="66">
        <v>62.0</v>
      </c>
      <c r="D76" s="66">
        <v>8.0</v>
      </c>
      <c r="E76" s="66">
        <v>9.0</v>
      </c>
      <c r="F76" s="66">
        <v>619.0</v>
      </c>
      <c r="G76" s="141">
        <v>22899.0</v>
      </c>
      <c r="H76" s="66">
        <v>4.0</v>
      </c>
      <c r="I76" s="132">
        <v>153.95</v>
      </c>
      <c r="J76" s="133">
        <v>5813.44</v>
      </c>
      <c r="K76" s="142">
        <v>41.0</v>
      </c>
      <c r="L76" s="111">
        <v>21.0</v>
      </c>
      <c r="M76" s="70">
        <v>1500.0</v>
      </c>
      <c r="N76" s="24" t="s">
        <v>4194</v>
      </c>
    </row>
    <row r="77">
      <c r="A77" s="66">
        <v>7073.0</v>
      </c>
      <c r="B77" s="66">
        <v>212.0</v>
      </c>
      <c r="C77" s="66">
        <v>83.0</v>
      </c>
      <c r="D77" s="66">
        <v>3.0</v>
      </c>
      <c r="E77" s="66">
        <v>8.0</v>
      </c>
      <c r="F77" s="66">
        <v>616.0</v>
      </c>
      <c r="G77" s="141">
        <v>73103.0</v>
      </c>
      <c r="H77" s="66">
        <v>3.0</v>
      </c>
      <c r="I77" s="132">
        <v>49402.46</v>
      </c>
      <c r="J77" s="133">
        <v>14239.1</v>
      </c>
      <c r="K77" s="142">
        <v>2.0</v>
      </c>
      <c r="L77" s="111">
        <v>20.0</v>
      </c>
      <c r="M77" s="70">
        <v>1100.0</v>
      </c>
      <c r="N77" s="24" t="s">
        <v>4195</v>
      </c>
    </row>
    <row r="78">
      <c r="A78" s="66">
        <v>7074.0</v>
      </c>
      <c r="B78" s="66">
        <v>213.0</v>
      </c>
      <c r="C78" s="66">
        <v>42.0</v>
      </c>
      <c r="D78" s="66">
        <v>4.0</v>
      </c>
      <c r="E78" s="66">
        <v>3.0</v>
      </c>
      <c r="F78" s="66">
        <v>659.0</v>
      </c>
      <c r="G78" s="141">
        <v>103198.0</v>
      </c>
      <c r="H78" s="66">
        <v>6.0</v>
      </c>
      <c r="I78" s="132">
        <v>17246.35</v>
      </c>
      <c r="J78" s="133">
        <v>-81620.18</v>
      </c>
      <c r="K78" s="142">
        <v>16.0</v>
      </c>
      <c r="L78" s="111">
        <v>22.0</v>
      </c>
      <c r="M78" s="70">
        <v>630.0</v>
      </c>
      <c r="N78" s="24" t="s">
        <v>4196</v>
      </c>
    </row>
    <row r="79">
      <c r="A79" s="66">
        <v>7075.0</v>
      </c>
      <c r="B79" s="66">
        <v>209.0</v>
      </c>
      <c r="C79" s="66">
        <v>21.0</v>
      </c>
      <c r="D79" s="66">
        <v>9.0</v>
      </c>
      <c r="E79" s="66">
        <v>6.0</v>
      </c>
      <c r="F79" s="66">
        <v>422.0</v>
      </c>
      <c r="G79" s="141">
        <v>113022.0</v>
      </c>
      <c r="H79" s="66">
        <v>5.0</v>
      </c>
      <c r="I79" s="132">
        <v>87715.2</v>
      </c>
      <c r="J79" s="133">
        <v>88003.3</v>
      </c>
      <c r="K79" s="142">
        <v>82.0</v>
      </c>
      <c r="L79" s="111">
        <v>21.0</v>
      </c>
      <c r="M79" s="70">
        <v>1600.0</v>
      </c>
      <c r="N79" s="24" t="s">
        <v>4197</v>
      </c>
    </row>
    <row r="80">
      <c r="A80" s="66">
        <v>7076.0</v>
      </c>
      <c r="B80" s="66">
        <v>214.0</v>
      </c>
      <c r="C80" s="66">
        <v>62.0</v>
      </c>
      <c r="D80" s="66">
        <v>9.0</v>
      </c>
      <c r="E80" s="66">
        <v>3.0</v>
      </c>
      <c r="F80" s="66">
        <v>482.0</v>
      </c>
      <c r="G80" s="141">
        <v>63093.0</v>
      </c>
      <c r="H80" s="66">
        <v>3.0</v>
      </c>
      <c r="I80" s="132">
        <v>95.11</v>
      </c>
      <c r="J80" s="133">
        <v>-4478.2</v>
      </c>
      <c r="K80" s="142">
        <v>39.0</v>
      </c>
      <c r="L80" s="111">
        <v>21.0</v>
      </c>
      <c r="M80" s="70">
        <v>400.0</v>
      </c>
      <c r="N80" s="24" t="s">
        <v>4198</v>
      </c>
    </row>
    <row r="81">
      <c r="A81" s="66">
        <v>7077.0</v>
      </c>
      <c r="B81" s="66">
        <v>218.0</v>
      </c>
      <c r="C81" s="66">
        <v>42.0</v>
      </c>
      <c r="D81" s="66">
        <v>4.0</v>
      </c>
      <c r="E81" s="66">
        <v>5.0</v>
      </c>
      <c r="F81" s="66">
        <v>534.0</v>
      </c>
      <c r="G81" s="141">
        <v>43091.0</v>
      </c>
      <c r="H81" s="66">
        <v>7.0</v>
      </c>
      <c r="I81" s="132">
        <v>-364.29</v>
      </c>
      <c r="J81" s="133">
        <v>-37007.1</v>
      </c>
      <c r="K81" s="142">
        <v>33.0</v>
      </c>
      <c r="L81" s="111">
        <v>22.0</v>
      </c>
      <c r="M81" s="70">
        <v>1730.0</v>
      </c>
      <c r="N81" s="24" t="s">
        <v>4199</v>
      </c>
    </row>
    <row r="82">
      <c r="A82" s="66">
        <v>7078.0</v>
      </c>
      <c r="B82" s="66">
        <v>218.0</v>
      </c>
      <c r="C82" s="66">
        <v>21.0</v>
      </c>
      <c r="D82" s="66">
        <v>9.0</v>
      </c>
      <c r="E82" s="66">
        <v>3.0</v>
      </c>
      <c r="F82" s="66">
        <v>131.0</v>
      </c>
      <c r="G82" s="141">
        <v>13104.0</v>
      </c>
      <c r="H82" s="66">
        <v>4.0</v>
      </c>
      <c r="I82" s="132">
        <v>-18.26</v>
      </c>
      <c r="J82" s="133">
        <v>969.4</v>
      </c>
      <c r="K82" s="142">
        <v>97.0</v>
      </c>
      <c r="L82" s="111">
        <v>22.0</v>
      </c>
      <c r="M82" s="70">
        <v>400.0</v>
      </c>
      <c r="N82" s="24" t="s">
        <v>4200</v>
      </c>
    </row>
    <row r="83">
      <c r="A83" s="66">
        <v>7079.0</v>
      </c>
      <c r="B83" s="66">
        <v>203.0</v>
      </c>
      <c r="C83" s="66">
        <v>83.0</v>
      </c>
      <c r="D83" s="66">
        <v>4.0</v>
      </c>
      <c r="E83" s="66">
        <v>4.0</v>
      </c>
      <c r="F83" s="66">
        <v>654.0</v>
      </c>
      <c r="G83" s="141">
        <v>22916.0</v>
      </c>
      <c r="H83" s="66">
        <v>4.0</v>
      </c>
      <c r="I83" s="132">
        <v>-944.19</v>
      </c>
      <c r="J83" s="133">
        <v>89.76</v>
      </c>
      <c r="K83" s="142">
        <v>31.0</v>
      </c>
      <c r="L83" s="111">
        <v>23.0</v>
      </c>
      <c r="M83" s="70">
        <v>2000.0</v>
      </c>
      <c r="N83" s="24" t="s">
        <v>4201</v>
      </c>
    </row>
    <row r="84">
      <c r="A84" s="66">
        <v>7080.0</v>
      </c>
      <c r="B84" s="66">
        <v>206.0</v>
      </c>
      <c r="C84" s="66">
        <v>42.0</v>
      </c>
      <c r="D84" s="66">
        <v>4.0</v>
      </c>
      <c r="E84" s="66">
        <v>9.0</v>
      </c>
      <c r="F84" s="66">
        <v>126.0</v>
      </c>
      <c r="G84" s="141">
        <v>13111.0</v>
      </c>
      <c r="H84" s="66">
        <v>6.0</v>
      </c>
      <c r="I84" s="132">
        <v>3618.94</v>
      </c>
      <c r="J84" s="133">
        <v>51097.1</v>
      </c>
      <c r="K84" s="142">
        <v>70.0</v>
      </c>
      <c r="L84" s="111">
        <v>22.0</v>
      </c>
      <c r="M84" s="70">
        <v>1000.0</v>
      </c>
      <c r="N84" s="24" t="s">
        <v>4202</v>
      </c>
    </row>
    <row r="85">
      <c r="A85" s="66">
        <v>7081.0</v>
      </c>
      <c r="B85" s="66">
        <v>211.0</v>
      </c>
      <c r="C85" s="66">
        <v>42.0</v>
      </c>
      <c r="D85" s="66">
        <v>5.0</v>
      </c>
      <c r="E85" s="66">
        <v>1.0</v>
      </c>
      <c r="F85" s="66">
        <v>224.0</v>
      </c>
      <c r="G85" s="141">
        <v>63005.0</v>
      </c>
      <c r="H85" s="66">
        <v>9.0</v>
      </c>
      <c r="I85" s="132">
        <v>912.6</v>
      </c>
      <c r="J85" s="133">
        <v>-45656.4</v>
      </c>
      <c r="K85" s="142">
        <v>95.0</v>
      </c>
      <c r="L85" s="111">
        <v>20.0</v>
      </c>
      <c r="M85" s="70">
        <v>2100.0</v>
      </c>
      <c r="N85" s="24" t="s">
        <v>4203</v>
      </c>
    </row>
    <row r="86">
      <c r="A86" s="66">
        <v>7082.0</v>
      </c>
      <c r="B86" s="66">
        <v>215.0</v>
      </c>
      <c r="C86" s="66">
        <v>83.0</v>
      </c>
      <c r="D86" s="66">
        <v>4.0</v>
      </c>
      <c r="E86" s="66">
        <v>9.0</v>
      </c>
      <c r="F86" s="66">
        <v>408.0</v>
      </c>
      <c r="G86" s="141">
        <v>22920.0</v>
      </c>
      <c r="H86" s="66">
        <v>5.0</v>
      </c>
      <c r="I86" s="132">
        <v>2806.7</v>
      </c>
      <c r="J86" s="133">
        <v>11136.4</v>
      </c>
      <c r="K86" s="142">
        <v>96.0</v>
      </c>
      <c r="L86" s="111">
        <v>21.0</v>
      </c>
      <c r="M86" s="70">
        <v>600.0</v>
      </c>
      <c r="N86" s="24" t="s">
        <v>4204</v>
      </c>
    </row>
    <row r="87">
      <c r="A87" s="66">
        <v>7083.0</v>
      </c>
      <c r="B87" s="66">
        <v>216.0</v>
      </c>
      <c r="C87" s="66">
        <v>83.0</v>
      </c>
      <c r="D87" s="66">
        <v>5.0</v>
      </c>
      <c r="E87" s="66">
        <v>3.0</v>
      </c>
      <c r="F87" s="66">
        <v>858.0</v>
      </c>
      <c r="G87" s="141">
        <v>83108.0</v>
      </c>
      <c r="H87" s="66">
        <v>5.0</v>
      </c>
      <c r="I87" s="132">
        <v>14569.3</v>
      </c>
      <c r="J87" s="133">
        <v>37.35</v>
      </c>
      <c r="K87" s="142">
        <v>20.0</v>
      </c>
      <c r="L87" s="111">
        <v>22.0</v>
      </c>
      <c r="M87" s="70">
        <v>2030.0</v>
      </c>
      <c r="N87" s="24" t="s">
        <v>4205</v>
      </c>
    </row>
    <row r="88">
      <c r="A88" s="66">
        <v>7084.0</v>
      </c>
      <c r="B88" s="66">
        <v>205.0</v>
      </c>
      <c r="C88" s="66">
        <v>22.0</v>
      </c>
      <c r="D88" s="66">
        <v>1.0</v>
      </c>
      <c r="E88" s="66">
        <v>9.0</v>
      </c>
      <c r="F88" s="66">
        <v>950.0</v>
      </c>
      <c r="G88" s="141">
        <v>33112.0</v>
      </c>
      <c r="H88" s="66">
        <v>1.0</v>
      </c>
      <c r="I88" s="132">
        <v>-781.0</v>
      </c>
      <c r="J88" s="133">
        <v>-87413.53</v>
      </c>
      <c r="K88" s="142">
        <v>61.0</v>
      </c>
      <c r="L88" s="111">
        <v>20.0</v>
      </c>
      <c r="M88" s="70">
        <v>800.0</v>
      </c>
      <c r="N88" s="24" t="s">
        <v>4206</v>
      </c>
    </row>
    <row r="89">
      <c r="A89" s="66">
        <v>7085.0</v>
      </c>
      <c r="B89" s="66">
        <v>219.0</v>
      </c>
      <c r="C89" s="66">
        <v>42.0</v>
      </c>
      <c r="D89" s="66">
        <v>6.0</v>
      </c>
      <c r="E89" s="66">
        <v>7.0</v>
      </c>
      <c r="F89" s="66">
        <v>734.0</v>
      </c>
      <c r="G89" s="141">
        <v>63009.0</v>
      </c>
      <c r="H89" s="66">
        <v>5.0</v>
      </c>
      <c r="I89" s="132">
        <v>-22.46</v>
      </c>
      <c r="J89" s="133">
        <v>529.87</v>
      </c>
      <c r="K89" s="142">
        <v>6.0</v>
      </c>
      <c r="L89" s="111">
        <v>20.0</v>
      </c>
      <c r="M89" s="70">
        <v>500.0</v>
      </c>
      <c r="N89" s="24" t="s">
        <v>4207</v>
      </c>
    </row>
    <row r="90">
      <c r="A90" s="66">
        <v>7086.0</v>
      </c>
      <c r="B90" s="66">
        <v>212.0</v>
      </c>
      <c r="C90" s="66">
        <v>83.0</v>
      </c>
      <c r="D90" s="66">
        <v>6.0</v>
      </c>
      <c r="E90" s="66">
        <v>5.0</v>
      </c>
      <c r="F90" s="66">
        <v>458.0</v>
      </c>
      <c r="G90" s="141">
        <v>53118.0</v>
      </c>
      <c r="H90" s="66">
        <v>7.0</v>
      </c>
      <c r="I90" s="132">
        <v>175.51</v>
      </c>
      <c r="J90" s="133">
        <v>7071.67</v>
      </c>
      <c r="K90" s="142">
        <v>11.0</v>
      </c>
      <c r="L90" s="111">
        <v>20.0</v>
      </c>
      <c r="M90" s="70">
        <v>530.0</v>
      </c>
      <c r="N90" s="24" t="s">
        <v>4208</v>
      </c>
    </row>
    <row r="91">
      <c r="A91" s="66">
        <v>7087.0</v>
      </c>
      <c r="B91" s="66">
        <v>207.0</v>
      </c>
      <c r="C91" s="66">
        <v>22.0</v>
      </c>
      <c r="D91" s="66">
        <v>2.0</v>
      </c>
      <c r="E91" s="66">
        <v>2.0</v>
      </c>
      <c r="F91" s="66">
        <v>529.0</v>
      </c>
      <c r="G91" s="141">
        <v>53190.0</v>
      </c>
      <c r="H91" s="66">
        <v>8.0</v>
      </c>
      <c r="I91" s="132">
        <v>-588.15</v>
      </c>
      <c r="J91" s="133">
        <v>-33370.87</v>
      </c>
      <c r="K91" s="142">
        <v>4.0</v>
      </c>
      <c r="L91" s="111">
        <v>22.0</v>
      </c>
      <c r="M91" s="70">
        <v>100.0</v>
      </c>
      <c r="N91" s="24" t="s">
        <v>4209</v>
      </c>
    </row>
    <row r="92">
      <c r="A92" s="66">
        <v>7088.0</v>
      </c>
      <c r="B92" s="66">
        <v>206.0</v>
      </c>
      <c r="C92" s="66">
        <v>63.0</v>
      </c>
      <c r="D92" s="66">
        <v>2.0</v>
      </c>
      <c r="E92" s="66">
        <v>1.0</v>
      </c>
      <c r="F92" s="66">
        <v>693.0</v>
      </c>
      <c r="G92" s="141">
        <v>53106.0</v>
      </c>
      <c r="H92" s="66">
        <v>7.0</v>
      </c>
      <c r="I92" s="132">
        <v>2356.66</v>
      </c>
      <c r="J92" s="133">
        <v>1532.3</v>
      </c>
      <c r="K92" s="142">
        <v>21.0</v>
      </c>
      <c r="L92" s="111">
        <v>20.0</v>
      </c>
      <c r="M92" s="70">
        <v>1900.0</v>
      </c>
      <c r="N92" s="24" t="s">
        <v>4210</v>
      </c>
    </row>
    <row r="93">
      <c r="A93" s="66">
        <v>7089.0</v>
      </c>
      <c r="B93" s="66">
        <v>203.0</v>
      </c>
      <c r="C93" s="66">
        <v>22.0</v>
      </c>
      <c r="D93" s="66">
        <v>2.0</v>
      </c>
      <c r="E93" s="66">
        <v>6.0</v>
      </c>
      <c r="F93" s="66">
        <v>408.0</v>
      </c>
      <c r="G93" s="141">
        <v>13108.0</v>
      </c>
      <c r="H93" s="66">
        <v>8.0</v>
      </c>
      <c r="I93" s="132">
        <v>60.43</v>
      </c>
      <c r="J93" s="133">
        <v>-10911.31</v>
      </c>
      <c r="K93" s="142">
        <v>21.0</v>
      </c>
      <c r="L93" s="111">
        <v>21.0</v>
      </c>
      <c r="M93" s="70">
        <v>100.0</v>
      </c>
      <c r="N93" s="24" t="s">
        <v>4211</v>
      </c>
    </row>
    <row r="94">
      <c r="A94" s="66">
        <v>7090.0</v>
      </c>
      <c r="B94" s="66">
        <v>201.0</v>
      </c>
      <c r="C94" s="66">
        <v>42.0</v>
      </c>
      <c r="D94" s="66">
        <v>7.0</v>
      </c>
      <c r="E94" s="66">
        <v>5.0</v>
      </c>
      <c r="F94" s="66">
        <v>242.0</v>
      </c>
      <c r="G94" s="141">
        <v>83110.0</v>
      </c>
      <c r="H94" s="66">
        <v>3.0</v>
      </c>
      <c r="I94" s="132">
        <v>-643.23</v>
      </c>
      <c r="J94" s="133">
        <v>-67.39</v>
      </c>
      <c r="K94" s="142">
        <v>82.0</v>
      </c>
      <c r="L94" s="111">
        <v>22.0</v>
      </c>
      <c r="M94" s="70">
        <v>100.0</v>
      </c>
      <c r="N94" s="24" t="s">
        <v>4212</v>
      </c>
    </row>
    <row r="95">
      <c r="A95" s="66">
        <v>7091.0</v>
      </c>
      <c r="B95" s="66">
        <v>205.0</v>
      </c>
      <c r="C95" s="66">
        <v>63.0</v>
      </c>
      <c r="D95" s="66">
        <v>2.0</v>
      </c>
      <c r="E95" s="66">
        <v>2.0</v>
      </c>
      <c r="F95" s="66">
        <v>359.0</v>
      </c>
      <c r="G95" s="141">
        <v>83193.0</v>
      </c>
      <c r="H95" s="66">
        <v>3.0</v>
      </c>
      <c r="I95" s="132">
        <v>4944.47</v>
      </c>
      <c r="J95" s="133">
        <v>69476.24</v>
      </c>
      <c r="K95" s="142">
        <v>13.0</v>
      </c>
      <c r="L95" s="111">
        <v>23.0</v>
      </c>
      <c r="M95" s="70">
        <v>1530.0</v>
      </c>
      <c r="N95" s="24" t="s">
        <v>4213</v>
      </c>
    </row>
    <row r="96">
      <c r="A96" s="66">
        <v>7092.0</v>
      </c>
      <c r="B96" s="66">
        <v>206.0</v>
      </c>
      <c r="C96" s="66">
        <v>22.0</v>
      </c>
      <c r="D96" s="66">
        <v>2.0</v>
      </c>
      <c r="E96" s="66">
        <v>9.0</v>
      </c>
      <c r="F96" s="66">
        <v>579.0</v>
      </c>
      <c r="G96" s="141">
        <v>13105.0</v>
      </c>
      <c r="H96" s="66">
        <v>6.0</v>
      </c>
      <c r="I96" s="132">
        <v>868.45</v>
      </c>
      <c r="J96" s="133">
        <v>75.15</v>
      </c>
      <c r="K96" s="142">
        <v>92.0</v>
      </c>
      <c r="L96" s="111">
        <v>23.0</v>
      </c>
      <c r="M96" s="70">
        <v>2000.0</v>
      </c>
      <c r="N96" s="24" t="s">
        <v>4214</v>
      </c>
    </row>
    <row r="97">
      <c r="A97" s="66">
        <v>7093.0</v>
      </c>
      <c r="B97" s="66">
        <v>217.0</v>
      </c>
      <c r="C97" s="66">
        <v>63.0</v>
      </c>
      <c r="D97" s="66">
        <v>2.0</v>
      </c>
      <c r="E97" s="66">
        <v>6.0</v>
      </c>
      <c r="F97" s="66">
        <v>350.0</v>
      </c>
      <c r="G97" s="141">
        <v>93002.0</v>
      </c>
      <c r="H97" s="66">
        <v>2.0</v>
      </c>
      <c r="I97" s="132">
        <v>89.32</v>
      </c>
      <c r="J97" s="133">
        <v>71024.99</v>
      </c>
      <c r="K97" s="142">
        <v>73.0</v>
      </c>
      <c r="L97" s="111">
        <v>23.0</v>
      </c>
      <c r="M97" s="70">
        <v>1700.0</v>
      </c>
      <c r="N97" s="24" t="s">
        <v>4215</v>
      </c>
    </row>
    <row r="98">
      <c r="A98" s="66">
        <v>7094.0</v>
      </c>
      <c r="B98" s="66">
        <v>220.0</v>
      </c>
      <c r="C98" s="66">
        <v>42.0</v>
      </c>
      <c r="D98" s="66">
        <v>7.0</v>
      </c>
      <c r="E98" s="66">
        <v>8.0</v>
      </c>
      <c r="F98" s="66">
        <v>219.0</v>
      </c>
      <c r="G98" s="141">
        <v>33101.0</v>
      </c>
      <c r="H98" s="66">
        <v>5.0</v>
      </c>
      <c r="I98" s="132">
        <v>5107.57</v>
      </c>
      <c r="J98" s="133">
        <v>74371.18</v>
      </c>
      <c r="K98" s="142">
        <v>63.0</v>
      </c>
      <c r="L98" s="111">
        <v>22.0</v>
      </c>
      <c r="M98" s="70">
        <v>400.0</v>
      </c>
      <c r="N98" s="24" t="s">
        <v>4216</v>
      </c>
    </row>
    <row r="99">
      <c r="A99" s="66">
        <v>7095.0</v>
      </c>
      <c r="B99" s="66">
        <v>217.0</v>
      </c>
      <c r="C99" s="66">
        <v>63.0</v>
      </c>
      <c r="D99" s="66">
        <v>2.0</v>
      </c>
      <c r="E99" s="66">
        <v>9.0</v>
      </c>
      <c r="F99" s="66">
        <v>590.0</v>
      </c>
      <c r="G99" s="141">
        <v>33197.0</v>
      </c>
      <c r="H99" s="66">
        <v>5.0</v>
      </c>
      <c r="I99" s="132">
        <v>179.2</v>
      </c>
      <c r="J99" s="133">
        <v>84.5</v>
      </c>
      <c r="K99" s="142">
        <v>65.0</v>
      </c>
      <c r="L99" s="111">
        <v>22.0</v>
      </c>
      <c r="M99" s="70">
        <v>2000.0</v>
      </c>
      <c r="N99" s="24" t="s">
        <v>4217</v>
      </c>
    </row>
    <row r="100">
      <c r="A100" s="66">
        <v>7096.0</v>
      </c>
      <c r="B100" s="66">
        <v>219.0</v>
      </c>
      <c r="C100" s="66">
        <v>83.0</v>
      </c>
      <c r="D100" s="66">
        <v>7.0</v>
      </c>
      <c r="E100" s="66">
        <v>9.0</v>
      </c>
      <c r="F100" s="66">
        <v>597.0</v>
      </c>
      <c r="G100" s="141">
        <v>113094.0</v>
      </c>
      <c r="H100" s="66">
        <v>5.0</v>
      </c>
      <c r="I100" s="132">
        <v>44.96</v>
      </c>
      <c r="J100" s="133">
        <v>-34820.14</v>
      </c>
      <c r="K100" s="142">
        <v>86.0</v>
      </c>
      <c r="L100" s="111">
        <v>20.0</v>
      </c>
      <c r="M100" s="70">
        <v>130.0</v>
      </c>
      <c r="N100" s="24" t="s">
        <v>4218</v>
      </c>
    </row>
    <row r="101">
      <c r="A101" s="66">
        <v>7097.0</v>
      </c>
      <c r="B101" s="66">
        <v>208.0</v>
      </c>
      <c r="C101" s="66">
        <v>63.0</v>
      </c>
      <c r="D101" s="66">
        <v>3.0</v>
      </c>
      <c r="E101" s="66">
        <v>5.0</v>
      </c>
      <c r="F101" s="66">
        <v>967.0</v>
      </c>
      <c r="G101" s="141">
        <v>83121.0</v>
      </c>
      <c r="H101" s="66">
        <v>6.0</v>
      </c>
      <c r="I101" s="132">
        <v>34103.97</v>
      </c>
      <c r="J101" s="133">
        <v>450.23</v>
      </c>
      <c r="K101" s="142">
        <v>87.0</v>
      </c>
      <c r="L101" s="111">
        <v>23.0</v>
      </c>
      <c r="M101" s="70">
        <v>930.0</v>
      </c>
      <c r="N101" s="24" t="s">
        <v>4219</v>
      </c>
    </row>
    <row r="102">
      <c r="A102" s="66">
        <v>7098.0</v>
      </c>
      <c r="B102" s="66">
        <v>218.0</v>
      </c>
      <c r="C102" s="66">
        <v>42.0</v>
      </c>
      <c r="D102" s="66">
        <v>8.0</v>
      </c>
      <c r="E102" s="66">
        <v>8.0</v>
      </c>
      <c r="F102" s="66">
        <v>775.0</v>
      </c>
      <c r="G102" s="141">
        <v>73101.0</v>
      </c>
      <c r="H102" s="66">
        <v>2.0</v>
      </c>
      <c r="I102" s="132">
        <v>80.15</v>
      </c>
      <c r="J102" s="133">
        <v>-8079.58</v>
      </c>
      <c r="K102" s="142">
        <v>31.0</v>
      </c>
      <c r="L102" s="111">
        <v>20.0</v>
      </c>
      <c r="M102" s="70">
        <v>1830.0</v>
      </c>
      <c r="N102" s="24" t="s">
        <v>4220</v>
      </c>
    </row>
    <row r="103">
      <c r="A103" s="66">
        <v>7099.0</v>
      </c>
      <c r="B103" s="66">
        <v>206.0</v>
      </c>
      <c r="C103" s="66">
        <v>22.0</v>
      </c>
      <c r="D103" s="66">
        <v>4.0</v>
      </c>
      <c r="E103" s="66">
        <v>1.0</v>
      </c>
      <c r="F103" s="66">
        <v>894.0</v>
      </c>
      <c r="G103" s="141">
        <v>13116.0</v>
      </c>
      <c r="H103" s="66">
        <v>8.0</v>
      </c>
      <c r="I103" s="132">
        <v>992.62</v>
      </c>
      <c r="J103" s="133">
        <v>-22.51</v>
      </c>
      <c r="K103" s="142">
        <v>34.0</v>
      </c>
      <c r="L103" s="111">
        <v>23.0</v>
      </c>
      <c r="M103" s="70">
        <v>1800.0</v>
      </c>
      <c r="N103" s="24" t="s">
        <v>4221</v>
      </c>
    </row>
    <row r="104">
      <c r="A104" s="66">
        <v>7100.0</v>
      </c>
      <c r="B104" s="66">
        <v>207.0</v>
      </c>
      <c r="C104" s="66">
        <v>63.0</v>
      </c>
      <c r="D104" s="66">
        <v>3.0</v>
      </c>
      <c r="E104" s="66">
        <v>9.0</v>
      </c>
      <c r="F104" s="66">
        <v>461.0</v>
      </c>
      <c r="G104" s="141">
        <v>73107.0</v>
      </c>
      <c r="H104" s="66">
        <v>5.0</v>
      </c>
      <c r="I104" s="132">
        <v>74.41</v>
      </c>
      <c r="J104" s="133">
        <v>9250.8</v>
      </c>
      <c r="K104" s="142">
        <v>2.0</v>
      </c>
      <c r="L104" s="111">
        <v>21.0</v>
      </c>
      <c r="M104" s="70">
        <v>1730.0</v>
      </c>
      <c r="N104" s="24" t="s">
        <v>4222</v>
      </c>
    </row>
    <row r="105">
      <c r="A105" s="66">
        <v>7101.0</v>
      </c>
      <c r="B105" s="66">
        <v>210.0</v>
      </c>
      <c r="C105" s="66">
        <v>42.0</v>
      </c>
      <c r="D105" s="66">
        <v>9.0</v>
      </c>
      <c r="E105" s="66">
        <v>2.0</v>
      </c>
      <c r="F105" s="66">
        <v>987.0</v>
      </c>
      <c r="G105" s="141">
        <v>73120.0</v>
      </c>
      <c r="H105" s="66">
        <v>5.0</v>
      </c>
      <c r="I105" s="132">
        <v>-46.76</v>
      </c>
      <c r="J105" s="133">
        <v>9306.67</v>
      </c>
      <c r="K105" s="142">
        <v>17.0</v>
      </c>
      <c r="L105" s="111">
        <v>22.0</v>
      </c>
      <c r="M105" s="70">
        <v>700.0</v>
      </c>
      <c r="N105" s="24" t="s">
        <v>4223</v>
      </c>
    </row>
    <row r="106">
      <c r="A106" s="66">
        <v>7102.0</v>
      </c>
      <c r="B106" s="66">
        <v>205.0</v>
      </c>
      <c r="C106" s="66">
        <v>63.0</v>
      </c>
      <c r="D106" s="66">
        <v>4.0</v>
      </c>
      <c r="E106" s="66">
        <v>1.0</v>
      </c>
      <c r="F106" s="66">
        <v>968.0</v>
      </c>
      <c r="G106" s="141">
        <v>103117.0</v>
      </c>
      <c r="H106" s="66">
        <v>9.0</v>
      </c>
      <c r="I106" s="132">
        <v>-67324.72</v>
      </c>
      <c r="J106" s="133">
        <v>461.5</v>
      </c>
      <c r="K106" s="142">
        <v>63.0</v>
      </c>
      <c r="L106" s="111">
        <v>23.0</v>
      </c>
      <c r="M106" s="70">
        <v>1830.0</v>
      </c>
      <c r="N106" s="24" t="s">
        <v>4224</v>
      </c>
    </row>
    <row r="107">
      <c r="A107" s="66">
        <v>7103.0</v>
      </c>
      <c r="B107" s="66">
        <v>212.0</v>
      </c>
      <c r="C107" s="66">
        <v>42.0</v>
      </c>
      <c r="D107" s="66">
        <v>9.0</v>
      </c>
      <c r="E107" s="66">
        <v>3.0</v>
      </c>
      <c r="F107" s="66">
        <v>942.0</v>
      </c>
      <c r="G107" s="141">
        <v>63019.0</v>
      </c>
      <c r="H107" s="66">
        <v>8.0</v>
      </c>
      <c r="I107" s="132">
        <v>-45.73</v>
      </c>
      <c r="J107" s="133">
        <v>-688.58</v>
      </c>
      <c r="K107" s="142">
        <v>35.0</v>
      </c>
      <c r="L107" s="111">
        <v>20.0</v>
      </c>
      <c r="M107" s="70">
        <v>1630.0</v>
      </c>
      <c r="N107" s="24" t="s">
        <v>4225</v>
      </c>
    </row>
    <row r="108">
      <c r="A108" s="66">
        <v>7104.0</v>
      </c>
      <c r="B108" s="66">
        <v>220.0</v>
      </c>
      <c r="C108" s="66">
        <v>22.0</v>
      </c>
      <c r="D108" s="66">
        <v>4.0</v>
      </c>
      <c r="E108" s="66">
        <v>6.0</v>
      </c>
      <c r="F108" s="66">
        <v>508.0</v>
      </c>
      <c r="G108" s="141">
        <v>43000.0</v>
      </c>
      <c r="H108" s="66">
        <v>2.0</v>
      </c>
      <c r="I108" s="132">
        <v>-5004.8</v>
      </c>
      <c r="J108" s="133">
        <v>10.22</v>
      </c>
      <c r="K108" s="142">
        <v>18.0</v>
      </c>
      <c r="L108" s="111">
        <v>20.0</v>
      </c>
      <c r="M108" s="70">
        <v>730.0</v>
      </c>
      <c r="N108" s="24" t="s">
        <v>4226</v>
      </c>
    </row>
    <row r="109">
      <c r="A109" s="66">
        <v>7105.0</v>
      </c>
      <c r="B109" s="66">
        <v>205.0</v>
      </c>
      <c r="C109" s="66">
        <v>22.0</v>
      </c>
      <c r="D109" s="66">
        <v>4.0</v>
      </c>
      <c r="E109" s="66">
        <v>9.0</v>
      </c>
      <c r="F109" s="66">
        <v>243.0</v>
      </c>
      <c r="G109" s="141">
        <v>43090.0</v>
      </c>
      <c r="H109" s="66">
        <v>5.0</v>
      </c>
      <c r="I109" s="132">
        <v>32.55</v>
      </c>
      <c r="J109" s="133">
        <v>96522.5</v>
      </c>
      <c r="K109" s="142">
        <v>37.0</v>
      </c>
      <c r="L109" s="111">
        <v>23.0</v>
      </c>
      <c r="M109" s="70">
        <v>1900.0</v>
      </c>
      <c r="N109" s="24" t="s">
        <v>4227</v>
      </c>
    </row>
    <row r="110">
      <c r="A110" s="66">
        <v>7106.0</v>
      </c>
      <c r="B110" s="66">
        <v>215.0</v>
      </c>
      <c r="C110" s="66">
        <v>22.0</v>
      </c>
      <c r="D110" s="66">
        <v>5.0</v>
      </c>
      <c r="E110" s="66">
        <v>2.0</v>
      </c>
      <c r="F110" s="66">
        <v>951.0</v>
      </c>
      <c r="G110" s="141">
        <v>103194.0</v>
      </c>
      <c r="H110" s="66">
        <v>4.0</v>
      </c>
      <c r="I110" s="132">
        <v>-93865.48</v>
      </c>
      <c r="J110" s="133">
        <v>18.82</v>
      </c>
      <c r="K110" s="142">
        <v>92.0</v>
      </c>
      <c r="L110" s="111">
        <v>22.0</v>
      </c>
      <c r="M110" s="70">
        <v>730.0</v>
      </c>
      <c r="N110" s="24" t="s">
        <v>4228</v>
      </c>
    </row>
    <row r="111">
      <c r="A111" s="66">
        <v>7107.0</v>
      </c>
      <c r="B111" s="66">
        <v>219.0</v>
      </c>
      <c r="C111" s="66">
        <v>63.0</v>
      </c>
      <c r="D111" s="66">
        <v>5.0</v>
      </c>
      <c r="E111" s="66">
        <v>1.0</v>
      </c>
      <c r="F111" s="66">
        <v>400.0</v>
      </c>
      <c r="G111" s="141">
        <v>43099.0</v>
      </c>
      <c r="H111" s="66">
        <v>2.0</v>
      </c>
      <c r="I111" s="132">
        <v>69703.6</v>
      </c>
      <c r="J111" s="133">
        <v>45.22</v>
      </c>
      <c r="K111" s="142">
        <v>95.0</v>
      </c>
      <c r="L111" s="111">
        <v>22.0</v>
      </c>
      <c r="M111" s="70">
        <v>130.0</v>
      </c>
      <c r="N111" s="24" t="s">
        <v>4229</v>
      </c>
    </row>
    <row r="112">
      <c r="A112" s="66">
        <v>7108.0</v>
      </c>
      <c r="B112" s="66">
        <v>200.0</v>
      </c>
      <c r="C112" s="66">
        <v>22.0</v>
      </c>
      <c r="D112" s="66">
        <v>6.0</v>
      </c>
      <c r="E112" s="66">
        <v>4.0</v>
      </c>
      <c r="F112" s="66">
        <v>210.0</v>
      </c>
      <c r="G112" s="141">
        <v>83107.0</v>
      </c>
      <c r="H112" s="66">
        <v>7.0</v>
      </c>
      <c r="I112" s="132">
        <v>-668.28</v>
      </c>
      <c r="J112" s="133">
        <v>71495.93</v>
      </c>
      <c r="K112" s="142">
        <v>16.0</v>
      </c>
      <c r="L112" s="111">
        <v>20.0</v>
      </c>
      <c r="M112" s="70">
        <v>1030.0</v>
      </c>
      <c r="N112" s="24" t="s">
        <v>4230</v>
      </c>
    </row>
    <row r="113">
      <c r="A113" s="66">
        <v>7109.0</v>
      </c>
      <c r="B113" s="66">
        <v>210.0</v>
      </c>
      <c r="C113" s="66">
        <v>63.0</v>
      </c>
      <c r="D113" s="66">
        <v>6.0</v>
      </c>
      <c r="E113" s="66">
        <v>1.0</v>
      </c>
      <c r="F113" s="66">
        <v>308.0</v>
      </c>
      <c r="G113" s="141">
        <v>113017.0</v>
      </c>
      <c r="H113" s="66">
        <v>1.0</v>
      </c>
      <c r="I113" s="132">
        <v>-53528.43</v>
      </c>
      <c r="J113" s="133">
        <v>45.26</v>
      </c>
      <c r="K113" s="142">
        <v>6.0</v>
      </c>
      <c r="L113" s="111">
        <v>21.0</v>
      </c>
      <c r="M113" s="70">
        <v>1130.0</v>
      </c>
      <c r="N113" s="24" t="s">
        <v>4231</v>
      </c>
    </row>
    <row r="114">
      <c r="A114" s="66">
        <v>7110.0</v>
      </c>
      <c r="B114" s="66">
        <v>220.0</v>
      </c>
      <c r="C114" s="66">
        <v>63.0</v>
      </c>
      <c r="D114" s="66">
        <v>6.0</v>
      </c>
      <c r="E114" s="66">
        <v>6.0</v>
      </c>
      <c r="F114" s="66">
        <v>680.0</v>
      </c>
      <c r="G114" s="141">
        <v>83116.0</v>
      </c>
      <c r="H114" s="66">
        <v>6.0</v>
      </c>
      <c r="I114" s="132">
        <v>93.5</v>
      </c>
      <c r="J114" s="133">
        <v>37.53</v>
      </c>
      <c r="K114" s="142">
        <v>35.0</v>
      </c>
      <c r="L114" s="111">
        <v>21.0</v>
      </c>
      <c r="M114" s="70">
        <v>630.0</v>
      </c>
      <c r="N114" s="24" t="s">
        <v>4232</v>
      </c>
    </row>
    <row r="115">
      <c r="A115" s="66">
        <v>7111.0</v>
      </c>
      <c r="B115" s="66">
        <v>214.0</v>
      </c>
      <c r="C115" s="66">
        <v>43.0</v>
      </c>
      <c r="D115" s="66">
        <v>1.0</v>
      </c>
      <c r="E115" s="66">
        <v>8.0</v>
      </c>
      <c r="F115" s="66">
        <v>395.0</v>
      </c>
      <c r="G115" s="141">
        <v>33118.0</v>
      </c>
      <c r="H115" s="66">
        <v>5.0</v>
      </c>
      <c r="I115" s="132">
        <v>355.43</v>
      </c>
      <c r="J115" s="133">
        <v>98305.57</v>
      </c>
      <c r="K115" s="142">
        <v>68.0</v>
      </c>
      <c r="L115" s="111">
        <v>23.0</v>
      </c>
      <c r="M115" s="70">
        <v>730.0</v>
      </c>
      <c r="N115" s="24" t="s">
        <v>4233</v>
      </c>
    </row>
    <row r="116">
      <c r="A116" s="66">
        <v>7112.0</v>
      </c>
      <c r="B116" s="66">
        <v>206.0</v>
      </c>
      <c r="C116" s="66">
        <v>84.0</v>
      </c>
      <c r="D116" s="66">
        <v>1.0</v>
      </c>
      <c r="E116" s="66">
        <v>7.0</v>
      </c>
      <c r="F116" s="66">
        <v>191.0</v>
      </c>
      <c r="G116" s="141">
        <v>43011.0</v>
      </c>
      <c r="H116" s="66">
        <v>2.0</v>
      </c>
      <c r="I116" s="132">
        <v>422.25</v>
      </c>
      <c r="J116" s="133">
        <v>704.3</v>
      </c>
      <c r="K116" s="142">
        <v>50.0</v>
      </c>
      <c r="L116" s="111">
        <v>22.0</v>
      </c>
      <c r="M116" s="70">
        <v>800.0</v>
      </c>
      <c r="N116" s="24" t="s">
        <v>4234</v>
      </c>
    </row>
    <row r="117">
      <c r="A117" s="66">
        <v>7113.0</v>
      </c>
      <c r="B117" s="66">
        <v>204.0</v>
      </c>
      <c r="C117" s="66">
        <v>84.0</v>
      </c>
      <c r="D117" s="66">
        <v>1.0</v>
      </c>
      <c r="E117" s="66">
        <v>8.0</v>
      </c>
      <c r="F117" s="66">
        <v>486.0</v>
      </c>
      <c r="G117" s="141">
        <v>93098.0</v>
      </c>
      <c r="H117" s="66">
        <v>6.0</v>
      </c>
      <c r="I117" s="132">
        <v>70.88</v>
      </c>
      <c r="J117" s="133">
        <v>728.72</v>
      </c>
      <c r="K117" s="142">
        <v>64.0</v>
      </c>
      <c r="L117" s="111">
        <v>21.0</v>
      </c>
      <c r="M117" s="70">
        <v>1930.0</v>
      </c>
      <c r="N117" s="24" t="s">
        <v>4235</v>
      </c>
    </row>
    <row r="118">
      <c r="A118" s="66">
        <v>7114.0</v>
      </c>
      <c r="B118" s="66">
        <v>216.0</v>
      </c>
      <c r="C118" s="66">
        <v>84.0</v>
      </c>
      <c r="D118" s="66">
        <v>1.0</v>
      </c>
      <c r="E118" s="66">
        <v>9.0</v>
      </c>
      <c r="F118" s="66">
        <v>332.0</v>
      </c>
      <c r="G118" s="141">
        <v>93021.0</v>
      </c>
      <c r="H118" s="66">
        <v>9.0</v>
      </c>
      <c r="I118" s="132">
        <v>49312.3</v>
      </c>
      <c r="J118" s="133">
        <v>94.16</v>
      </c>
      <c r="K118" s="142">
        <v>88.0</v>
      </c>
      <c r="L118" s="111">
        <v>21.0</v>
      </c>
      <c r="M118" s="70">
        <v>1030.0</v>
      </c>
      <c r="N118" s="24" t="s">
        <v>4236</v>
      </c>
    </row>
    <row r="119">
      <c r="A119" s="66">
        <v>7115.0</v>
      </c>
      <c r="B119" s="66">
        <v>204.0</v>
      </c>
      <c r="C119" s="66">
        <v>22.0</v>
      </c>
      <c r="D119" s="66">
        <v>7.0</v>
      </c>
      <c r="E119" s="66">
        <v>6.0</v>
      </c>
      <c r="F119" s="66">
        <v>188.0</v>
      </c>
      <c r="G119" s="141">
        <v>83190.0</v>
      </c>
      <c r="H119" s="66">
        <v>9.0</v>
      </c>
      <c r="I119" s="132">
        <v>118.81</v>
      </c>
      <c r="J119" s="133">
        <v>5360.94</v>
      </c>
      <c r="K119" s="142">
        <v>99.0</v>
      </c>
      <c r="L119" s="111">
        <v>21.0</v>
      </c>
      <c r="M119" s="70">
        <v>2230.0</v>
      </c>
      <c r="N119" s="24" t="s">
        <v>4237</v>
      </c>
    </row>
    <row r="120">
      <c r="A120" s="66">
        <v>7116.0</v>
      </c>
      <c r="B120" s="66">
        <v>219.0</v>
      </c>
      <c r="C120" s="66">
        <v>22.0</v>
      </c>
      <c r="D120" s="66">
        <v>7.0</v>
      </c>
      <c r="E120" s="66">
        <v>7.0</v>
      </c>
      <c r="F120" s="66">
        <v>682.0</v>
      </c>
      <c r="G120" s="141">
        <v>123113.0</v>
      </c>
      <c r="H120" s="66">
        <v>7.0</v>
      </c>
      <c r="I120" s="132">
        <v>-84.66</v>
      </c>
      <c r="J120" s="133">
        <v>202.3</v>
      </c>
      <c r="K120" s="142">
        <v>37.0</v>
      </c>
      <c r="L120" s="111">
        <v>22.0</v>
      </c>
      <c r="M120" s="70">
        <v>330.0</v>
      </c>
      <c r="N120" s="24" t="s">
        <v>4238</v>
      </c>
    </row>
    <row r="121">
      <c r="A121" s="66">
        <v>7117.0</v>
      </c>
      <c r="B121" s="66">
        <v>210.0</v>
      </c>
      <c r="C121" s="66">
        <v>43.0</v>
      </c>
      <c r="D121" s="66">
        <v>2.0</v>
      </c>
      <c r="E121" s="66">
        <v>3.0</v>
      </c>
      <c r="F121" s="66">
        <v>386.0</v>
      </c>
      <c r="G121" s="141">
        <v>13106.0</v>
      </c>
      <c r="H121" s="66">
        <v>5.0</v>
      </c>
      <c r="I121" s="132">
        <v>652.39</v>
      </c>
      <c r="J121" s="133">
        <v>85.68</v>
      </c>
      <c r="K121" s="142">
        <v>62.0</v>
      </c>
      <c r="L121" s="111">
        <v>22.0</v>
      </c>
      <c r="M121" s="70">
        <v>2330.0</v>
      </c>
      <c r="N121" s="24" t="s">
        <v>4239</v>
      </c>
    </row>
    <row r="122">
      <c r="A122" s="66">
        <v>7118.0</v>
      </c>
      <c r="B122" s="66">
        <v>210.0</v>
      </c>
      <c r="C122" s="66">
        <v>81.0</v>
      </c>
      <c r="D122" s="66">
        <v>8.0</v>
      </c>
      <c r="E122" s="66">
        <v>7.0</v>
      </c>
      <c r="F122" s="66">
        <v>225.0</v>
      </c>
      <c r="G122" s="141">
        <v>103195.0</v>
      </c>
      <c r="H122" s="66">
        <v>6.0</v>
      </c>
      <c r="I122" s="132">
        <v>926.77</v>
      </c>
      <c r="J122" s="133">
        <v>66.83</v>
      </c>
      <c r="K122" s="142">
        <v>22.0</v>
      </c>
      <c r="L122" s="111">
        <v>21.0</v>
      </c>
      <c r="M122" s="70">
        <v>2200.0</v>
      </c>
      <c r="N122" s="24" t="s">
        <v>4240</v>
      </c>
    </row>
    <row r="123">
      <c r="A123" s="66">
        <v>7119.0</v>
      </c>
      <c r="B123" s="66">
        <v>207.0</v>
      </c>
      <c r="C123" s="66">
        <v>63.0</v>
      </c>
      <c r="D123" s="66">
        <v>8.0</v>
      </c>
      <c r="E123" s="66">
        <v>2.0</v>
      </c>
      <c r="F123" s="66">
        <v>711.0</v>
      </c>
      <c r="G123" s="141">
        <v>53100.0</v>
      </c>
      <c r="H123" s="66">
        <v>2.0</v>
      </c>
      <c r="I123" s="132">
        <v>3878.48</v>
      </c>
      <c r="J123" s="133">
        <v>4873.13</v>
      </c>
      <c r="K123" s="142">
        <v>70.0</v>
      </c>
      <c r="L123" s="111">
        <v>21.0</v>
      </c>
      <c r="M123" s="70">
        <v>1130.0</v>
      </c>
      <c r="N123" s="24" t="s">
        <v>4241</v>
      </c>
    </row>
    <row r="124">
      <c r="A124" s="66">
        <v>7120.0</v>
      </c>
      <c r="B124" s="66">
        <v>209.0</v>
      </c>
      <c r="C124" s="66">
        <v>43.0</v>
      </c>
      <c r="D124" s="66">
        <v>3.0</v>
      </c>
      <c r="E124" s="66">
        <v>6.0</v>
      </c>
      <c r="F124" s="66">
        <v>286.0</v>
      </c>
      <c r="G124" s="141">
        <v>103197.0</v>
      </c>
      <c r="H124" s="66">
        <v>9.0</v>
      </c>
      <c r="I124" s="132">
        <v>7525.79</v>
      </c>
      <c r="J124" s="133">
        <v>74316.81</v>
      </c>
      <c r="K124" s="142">
        <v>80.0</v>
      </c>
      <c r="L124" s="111">
        <v>22.0</v>
      </c>
      <c r="M124" s="70">
        <v>1530.0</v>
      </c>
      <c r="N124" s="24" t="s">
        <v>4242</v>
      </c>
    </row>
    <row r="125">
      <c r="A125" s="66">
        <v>7121.0</v>
      </c>
      <c r="B125" s="66">
        <v>220.0</v>
      </c>
      <c r="C125" s="66">
        <v>22.0</v>
      </c>
      <c r="D125" s="66">
        <v>9.0</v>
      </c>
      <c r="E125" s="66">
        <v>2.0</v>
      </c>
      <c r="F125" s="66">
        <v>193.0</v>
      </c>
      <c r="G125" s="141">
        <v>113002.0</v>
      </c>
      <c r="H125" s="66">
        <v>7.0</v>
      </c>
      <c r="I125" s="132">
        <v>4966.59</v>
      </c>
      <c r="J125" s="133">
        <v>40.85</v>
      </c>
      <c r="K125" s="142">
        <v>67.0</v>
      </c>
      <c r="L125" s="111">
        <v>22.0</v>
      </c>
      <c r="M125" s="70">
        <v>2100.0</v>
      </c>
      <c r="N125" s="24" t="s">
        <v>4243</v>
      </c>
    </row>
    <row r="126">
      <c r="A126" s="66">
        <v>7122.0</v>
      </c>
      <c r="B126" s="66">
        <v>205.0</v>
      </c>
      <c r="C126" s="66">
        <v>43.0</v>
      </c>
      <c r="D126" s="66">
        <v>4.0</v>
      </c>
      <c r="E126" s="66">
        <v>2.0</v>
      </c>
      <c r="F126" s="66">
        <v>243.0</v>
      </c>
      <c r="G126" s="141">
        <v>113006.0</v>
      </c>
      <c r="H126" s="66">
        <v>4.0</v>
      </c>
      <c r="I126" s="132">
        <v>443.59</v>
      </c>
      <c r="J126" s="133">
        <v>351.24</v>
      </c>
      <c r="K126" s="142">
        <v>46.0</v>
      </c>
      <c r="L126" s="111">
        <v>21.0</v>
      </c>
      <c r="M126" s="70">
        <v>1430.0</v>
      </c>
      <c r="N126" s="24" t="s">
        <v>4244</v>
      </c>
    </row>
    <row r="127">
      <c r="A127" s="66">
        <v>7123.0</v>
      </c>
      <c r="B127" s="66">
        <v>203.0</v>
      </c>
      <c r="C127" s="66">
        <v>84.0</v>
      </c>
      <c r="D127" s="66">
        <v>4.0</v>
      </c>
      <c r="E127" s="66">
        <v>1.0</v>
      </c>
      <c r="F127" s="66">
        <v>582.0</v>
      </c>
      <c r="G127" s="141">
        <v>83104.0</v>
      </c>
      <c r="H127" s="66">
        <v>8.0</v>
      </c>
      <c r="I127" s="132">
        <v>25048.44</v>
      </c>
      <c r="J127" s="133">
        <v>269.1</v>
      </c>
      <c r="K127" s="142">
        <v>32.0</v>
      </c>
      <c r="L127" s="111">
        <v>21.0</v>
      </c>
      <c r="M127" s="70">
        <v>1700.0</v>
      </c>
      <c r="N127" s="24" t="s">
        <v>4245</v>
      </c>
    </row>
    <row r="128">
      <c r="A128" s="66">
        <v>7124.0</v>
      </c>
      <c r="B128" s="66">
        <v>216.0</v>
      </c>
      <c r="C128" s="66">
        <v>63.0</v>
      </c>
      <c r="D128" s="66">
        <v>9.0</v>
      </c>
      <c r="E128" s="66">
        <v>5.0</v>
      </c>
      <c r="F128" s="66">
        <v>641.0</v>
      </c>
      <c r="G128" s="141">
        <v>123199.0</v>
      </c>
      <c r="H128" s="66">
        <v>7.0</v>
      </c>
      <c r="I128" s="132">
        <v>-31688.24</v>
      </c>
      <c r="J128" s="133">
        <v>421.4</v>
      </c>
      <c r="K128" s="142">
        <v>34.0</v>
      </c>
      <c r="L128" s="111">
        <v>22.0</v>
      </c>
      <c r="M128" s="70">
        <v>1330.0</v>
      </c>
      <c r="N128" s="24" t="s">
        <v>4246</v>
      </c>
    </row>
    <row r="129">
      <c r="A129" s="66">
        <v>7125.0</v>
      </c>
      <c r="B129" s="66">
        <v>215.0</v>
      </c>
      <c r="C129" s="66">
        <v>43.0</v>
      </c>
      <c r="D129" s="66">
        <v>4.0</v>
      </c>
      <c r="E129" s="66">
        <v>8.0</v>
      </c>
      <c r="F129" s="66">
        <v>356.0</v>
      </c>
      <c r="G129" s="141">
        <v>123109.0</v>
      </c>
      <c r="H129" s="66">
        <v>5.0</v>
      </c>
      <c r="I129" s="132">
        <v>409.94</v>
      </c>
      <c r="J129" s="133">
        <v>49214.94</v>
      </c>
      <c r="K129" s="142">
        <v>91.0</v>
      </c>
      <c r="L129" s="111">
        <v>20.0</v>
      </c>
      <c r="M129" s="70">
        <v>330.0</v>
      </c>
      <c r="N129" s="24" t="s">
        <v>4247</v>
      </c>
    </row>
    <row r="130">
      <c r="A130" s="66">
        <v>7126.0</v>
      </c>
      <c r="B130" s="66">
        <v>202.0</v>
      </c>
      <c r="C130" s="66">
        <v>43.0</v>
      </c>
      <c r="D130" s="66">
        <v>4.0</v>
      </c>
      <c r="E130" s="66">
        <v>9.0</v>
      </c>
      <c r="F130" s="66">
        <v>239.0</v>
      </c>
      <c r="G130" s="141">
        <v>73108.0</v>
      </c>
      <c r="H130" s="66">
        <v>5.0</v>
      </c>
      <c r="I130" s="132">
        <v>-182.56</v>
      </c>
      <c r="J130" s="133">
        <v>73.64</v>
      </c>
      <c r="K130" s="142">
        <v>20.0</v>
      </c>
      <c r="L130" s="111">
        <v>21.0</v>
      </c>
      <c r="M130" s="70">
        <v>1430.0</v>
      </c>
      <c r="N130" s="24" t="s">
        <v>4248</v>
      </c>
    </row>
    <row r="131">
      <c r="A131" s="66">
        <v>7127.0</v>
      </c>
      <c r="B131" s="66">
        <v>211.0</v>
      </c>
      <c r="C131" s="66">
        <v>84.0</v>
      </c>
      <c r="D131" s="66">
        <v>4.0</v>
      </c>
      <c r="E131" s="66">
        <v>5.0</v>
      </c>
      <c r="F131" s="66">
        <v>373.0</v>
      </c>
      <c r="G131" s="141">
        <v>43017.0</v>
      </c>
      <c r="H131" s="66">
        <v>9.0</v>
      </c>
      <c r="I131" s="132">
        <v>323.61</v>
      </c>
      <c r="J131" s="133">
        <v>162.93</v>
      </c>
      <c r="K131" s="142">
        <v>91.0</v>
      </c>
      <c r="L131" s="111">
        <v>23.0</v>
      </c>
      <c r="M131" s="70">
        <v>1630.0</v>
      </c>
      <c r="N131" s="24" t="s">
        <v>4249</v>
      </c>
    </row>
    <row r="132">
      <c r="A132" s="66">
        <v>7128.0</v>
      </c>
      <c r="B132" s="66">
        <v>206.0</v>
      </c>
      <c r="C132" s="66">
        <v>63.0</v>
      </c>
      <c r="D132" s="66">
        <v>9.0</v>
      </c>
      <c r="E132" s="66">
        <v>8.0</v>
      </c>
      <c r="F132" s="66">
        <v>374.0</v>
      </c>
      <c r="G132" s="141">
        <v>22817.0</v>
      </c>
      <c r="H132" s="66">
        <v>6.0</v>
      </c>
      <c r="I132" s="132">
        <v>-8022.36</v>
      </c>
      <c r="J132" s="133">
        <v>940.18</v>
      </c>
      <c r="K132" s="142">
        <v>85.0</v>
      </c>
      <c r="L132" s="111">
        <v>23.0</v>
      </c>
      <c r="M132" s="70">
        <v>2030.0</v>
      </c>
      <c r="N132" s="24" t="s">
        <v>4250</v>
      </c>
    </row>
    <row r="133">
      <c r="A133" s="66">
        <v>7129.0</v>
      </c>
      <c r="B133" s="66">
        <v>205.0</v>
      </c>
      <c r="C133" s="66">
        <v>43.0</v>
      </c>
      <c r="D133" s="66">
        <v>5.0</v>
      </c>
      <c r="E133" s="66">
        <v>1.0</v>
      </c>
      <c r="F133" s="66">
        <v>477.0</v>
      </c>
      <c r="G133" s="141">
        <v>93000.0</v>
      </c>
      <c r="H133" s="66">
        <v>3.0</v>
      </c>
      <c r="I133" s="132">
        <v>-253.43</v>
      </c>
      <c r="J133" s="133">
        <v>14445.85</v>
      </c>
      <c r="K133" s="142">
        <v>3.0</v>
      </c>
      <c r="L133" s="111">
        <v>23.0</v>
      </c>
      <c r="M133" s="70">
        <v>430.0</v>
      </c>
      <c r="N133" s="24" t="s">
        <v>4251</v>
      </c>
    </row>
    <row r="134">
      <c r="A134" s="66">
        <v>7130.0</v>
      </c>
      <c r="B134" s="66">
        <v>205.0</v>
      </c>
      <c r="C134" s="66">
        <v>63.0</v>
      </c>
      <c r="D134" s="66">
        <v>9.0</v>
      </c>
      <c r="E134" s="66">
        <v>6.0</v>
      </c>
      <c r="F134" s="66">
        <v>526.0</v>
      </c>
      <c r="G134" s="141">
        <v>83113.0</v>
      </c>
      <c r="H134" s="66">
        <v>5.0</v>
      </c>
      <c r="I134" s="132">
        <v>84.13</v>
      </c>
      <c r="J134" s="133">
        <v>82186.4</v>
      </c>
      <c r="K134" s="142">
        <v>94.0</v>
      </c>
      <c r="L134" s="111">
        <v>23.0</v>
      </c>
      <c r="M134" s="70">
        <v>1000.0</v>
      </c>
      <c r="N134" s="24" t="s">
        <v>4252</v>
      </c>
    </row>
    <row r="135">
      <c r="A135" s="66">
        <v>7131.0</v>
      </c>
      <c r="B135" s="66">
        <v>206.0</v>
      </c>
      <c r="C135" s="66">
        <v>84.0</v>
      </c>
      <c r="D135" s="66">
        <v>4.0</v>
      </c>
      <c r="E135" s="66">
        <v>9.0</v>
      </c>
      <c r="F135" s="66">
        <v>999.0</v>
      </c>
      <c r="G135" s="141">
        <v>43012.0</v>
      </c>
      <c r="H135" s="66">
        <v>6.0</v>
      </c>
      <c r="I135" s="132">
        <v>-35.67</v>
      </c>
      <c r="J135" s="133">
        <v>1074.3</v>
      </c>
      <c r="K135" s="142">
        <v>32.0</v>
      </c>
      <c r="L135" s="111">
        <v>22.0</v>
      </c>
      <c r="M135" s="70">
        <v>1930.0</v>
      </c>
      <c r="N135" s="24" t="s">
        <v>4253</v>
      </c>
    </row>
    <row r="136">
      <c r="A136" s="66">
        <v>7132.0</v>
      </c>
      <c r="B136" s="66">
        <v>206.0</v>
      </c>
      <c r="C136" s="66">
        <v>84.0</v>
      </c>
      <c r="D136" s="66">
        <v>5.0</v>
      </c>
      <c r="E136" s="66">
        <v>3.0</v>
      </c>
      <c r="F136" s="66">
        <v>113.0</v>
      </c>
      <c r="G136" s="141">
        <v>33108.0</v>
      </c>
      <c r="H136" s="66">
        <v>9.0</v>
      </c>
      <c r="I136" s="132">
        <v>820.27</v>
      </c>
      <c r="J136" s="133">
        <v>93519.86</v>
      </c>
      <c r="K136" s="142">
        <v>53.0</v>
      </c>
      <c r="L136" s="111">
        <v>20.0</v>
      </c>
      <c r="M136" s="70">
        <v>1300.0</v>
      </c>
      <c r="N136" s="24" t="s">
        <v>4238</v>
      </c>
    </row>
    <row r="137">
      <c r="A137" s="66">
        <v>7133.0</v>
      </c>
      <c r="B137" s="66">
        <v>208.0</v>
      </c>
      <c r="C137" s="66">
        <v>23.0</v>
      </c>
      <c r="D137" s="66">
        <v>1.0</v>
      </c>
      <c r="E137" s="66">
        <v>3.0</v>
      </c>
      <c r="F137" s="66">
        <v>954.0</v>
      </c>
      <c r="G137" s="141">
        <v>22898.0</v>
      </c>
      <c r="H137" s="66">
        <v>4.0</v>
      </c>
      <c r="I137" s="132">
        <v>900.62</v>
      </c>
      <c r="J137" s="133">
        <v>27264.25</v>
      </c>
      <c r="K137" s="142">
        <v>43.0</v>
      </c>
      <c r="L137" s="111">
        <v>23.0</v>
      </c>
      <c r="M137" s="70">
        <v>1400.0</v>
      </c>
      <c r="N137" s="24" t="s">
        <v>4254</v>
      </c>
    </row>
    <row r="138">
      <c r="A138" s="66">
        <v>7134.0</v>
      </c>
      <c r="B138" s="66">
        <v>215.0</v>
      </c>
      <c r="C138" s="66">
        <v>84.0</v>
      </c>
      <c r="D138" s="66">
        <v>5.0</v>
      </c>
      <c r="E138" s="66">
        <v>8.0</v>
      </c>
      <c r="F138" s="66">
        <v>293.0</v>
      </c>
      <c r="G138" s="141">
        <v>113090.0</v>
      </c>
      <c r="H138" s="66">
        <v>3.0</v>
      </c>
      <c r="I138" s="132">
        <v>49.56</v>
      </c>
      <c r="J138" s="133">
        <v>730.98</v>
      </c>
      <c r="K138" s="142">
        <v>16.0</v>
      </c>
      <c r="L138" s="111">
        <v>22.0</v>
      </c>
      <c r="M138" s="70">
        <v>500.0</v>
      </c>
      <c r="N138" s="24" t="s">
        <v>4255</v>
      </c>
    </row>
    <row r="139">
      <c r="A139" s="66">
        <v>7135.0</v>
      </c>
      <c r="B139" s="66">
        <v>207.0</v>
      </c>
      <c r="C139" s="66">
        <v>23.0</v>
      </c>
      <c r="D139" s="66">
        <v>1.0</v>
      </c>
      <c r="E139" s="66">
        <v>5.0</v>
      </c>
      <c r="F139" s="66">
        <v>686.0</v>
      </c>
      <c r="G139" s="141">
        <v>73197.0</v>
      </c>
      <c r="H139" s="66">
        <v>7.0</v>
      </c>
      <c r="I139" s="132">
        <v>74649.14</v>
      </c>
      <c r="J139" s="133">
        <v>-38165.38</v>
      </c>
      <c r="K139" s="142">
        <v>54.0</v>
      </c>
      <c r="L139" s="111">
        <v>20.0</v>
      </c>
      <c r="M139" s="70">
        <v>1200.0</v>
      </c>
      <c r="N139" s="24" t="s">
        <v>4256</v>
      </c>
    </row>
    <row r="140">
      <c r="A140" s="66">
        <v>7136.0</v>
      </c>
      <c r="B140" s="66">
        <v>208.0</v>
      </c>
      <c r="C140" s="66">
        <v>43.0</v>
      </c>
      <c r="D140" s="66">
        <v>6.0</v>
      </c>
      <c r="E140" s="66">
        <v>4.0</v>
      </c>
      <c r="F140" s="66">
        <v>599.0</v>
      </c>
      <c r="G140" s="141">
        <v>53192.0</v>
      </c>
      <c r="H140" s="66">
        <v>3.0</v>
      </c>
      <c r="I140" s="132">
        <v>69788.83</v>
      </c>
      <c r="J140" s="133">
        <v>293.67</v>
      </c>
      <c r="K140" s="142">
        <v>29.0</v>
      </c>
      <c r="L140" s="111">
        <v>20.0</v>
      </c>
      <c r="M140" s="70">
        <v>1400.0</v>
      </c>
      <c r="N140" s="24" t="s">
        <v>4257</v>
      </c>
    </row>
    <row r="141">
      <c r="A141" s="66">
        <v>7137.0</v>
      </c>
      <c r="B141" s="66">
        <v>203.0</v>
      </c>
      <c r="C141" s="66">
        <v>64.0</v>
      </c>
      <c r="D141" s="66">
        <v>1.0</v>
      </c>
      <c r="E141" s="66">
        <v>4.0</v>
      </c>
      <c r="F141" s="66">
        <v>179.0</v>
      </c>
      <c r="G141" s="141">
        <v>123197.0</v>
      </c>
      <c r="H141" s="66">
        <v>9.0</v>
      </c>
      <c r="I141" s="132">
        <v>73.96</v>
      </c>
      <c r="J141" s="133">
        <v>-36510.74</v>
      </c>
      <c r="K141" s="142">
        <v>89.0</v>
      </c>
      <c r="L141" s="111">
        <v>21.0</v>
      </c>
      <c r="M141" s="70">
        <v>800.0</v>
      </c>
      <c r="N141" s="24" t="s">
        <v>4258</v>
      </c>
    </row>
    <row r="142">
      <c r="A142" s="66">
        <v>7138.0</v>
      </c>
      <c r="B142" s="66">
        <v>220.0</v>
      </c>
      <c r="C142" s="66">
        <v>64.0</v>
      </c>
      <c r="D142" s="66">
        <v>1.0</v>
      </c>
      <c r="E142" s="66">
        <v>5.0</v>
      </c>
      <c r="F142" s="66">
        <v>785.0</v>
      </c>
      <c r="G142" s="141">
        <v>43098.0</v>
      </c>
      <c r="H142" s="66">
        <v>3.0</v>
      </c>
      <c r="I142" s="132">
        <v>195.45</v>
      </c>
      <c r="J142" s="133">
        <v>33686.43</v>
      </c>
      <c r="K142" s="142">
        <v>43.0</v>
      </c>
      <c r="L142" s="111">
        <v>22.0</v>
      </c>
      <c r="M142" s="70">
        <v>1600.0</v>
      </c>
      <c r="N142" s="24" t="s">
        <v>4259</v>
      </c>
    </row>
    <row r="143">
      <c r="A143" s="66">
        <v>7139.0</v>
      </c>
      <c r="B143" s="66">
        <v>214.0</v>
      </c>
      <c r="C143" s="66">
        <v>64.0</v>
      </c>
      <c r="D143" s="66">
        <v>1.0</v>
      </c>
      <c r="E143" s="66">
        <v>7.0</v>
      </c>
      <c r="F143" s="66">
        <v>368.0</v>
      </c>
      <c r="G143" s="141">
        <v>63001.0</v>
      </c>
      <c r="H143" s="66">
        <v>4.0</v>
      </c>
      <c r="I143" s="132">
        <v>-531.52</v>
      </c>
      <c r="J143" s="133">
        <v>75.49</v>
      </c>
      <c r="K143" s="142">
        <v>97.0</v>
      </c>
      <c r="L143" s="111">
        <v>20.0</v>
      </c>
      <c r="M143" s="70">
        <v>1830.0</v>
      </c>
      <c r="N143" s="24" t="s">
        <v>4260</v>
      </c>
    </row>
    <row r="144">
      <c r="A144" s="66">
        <v>7140.0</v>
      </c>
      <c r="B144" s="66">
        <v>205.0</v>
      </c>
      <c r="C144" s="66">
        <v>43.0</v>
      </c>
      <c r="D144" s="66">
        <v>7.0</v>
      </c>
      <c r="E144" s="66">
        <v>1.0</v>
      </c>
      <c r="F144" s="66">
        <v>684.0</v>
      </c>
      <c r="G144" s="141">
        <v>63002.0</v>
      </c>
      <c r="H144" s="66">
        <v>5.0</v>
      </c>
      <c r="I144" s="132">
        <v>9596.95</v>
      </c>
      <c r="J144" s="133">
        <v>-55732.23</v>
      </c>
      <c r="K144" s="142">
        <v>64.0</v>
      </c>
      <c r="L144" s="111">
        <v>20.0</v>
      </c>
      <c r="M144" s="70">
        <v>1630.0</v>
      </c>
      <c r="N144" s="24" t="s">
        <v>4261</v>
      </c>
    </row>
    <row r="145">
      <c r="A145" s="66">
        <v>7141.0</v>
      </c>
      <c r="B145" s="66">
        <v>220.0</v>
      </c>
      <c r="C145" s="66">
        <v>64.0</v>
      </c>
      <c r="D145" s="66">
        <v>2.0</v>
      </c>
      <c r="E145" s="66">
        <v>1.0</v>
      </c>
      <c r="F145" s="66">
        <v>954.0</v>
      </c>
      <c r="G145" s="141">
        <v>123195.0</v>
      </c>
      <c r="H145" s="66">
        <v>3.0</v>
      </c>
      <c r="I145" s="132">
        <v>-981.11</v>
      </c>
      <c r="J145" s="133">
        <v>72867.89</v>
      </c>
      <c r="K145" s="142">
        <v>41.0</v>
      </c>
      <c r="L145" s="111">
        <v>21.0</v>
      </c>
      <c r="M145" s="70">
        <v>700.0</v>
      </c>
      <c r="N145" s="24" t="s">
        <v>4262</v>
      </c>
    </row>
    <row r="146">
      <c r="A146" s="66">
        <v>7142.0</v>
      </c>
      <c r="B146" s="66">
        <v>202.0</v>
      </c>
      <c r="C146" s="66">
        <v>64.0</v>
      </c>
      <c r="D146" s="66">
        <v>2.0</v>
      </c>
      <c r="E146" s="66">
        <v>2.0</v>
      </c>
      <c r="F146" s="66">
        <v>626.0</v>
      </c>
      <c r="G146" s="141">
        <v>113010.0</v>
      </c>
      <c r="H146" s="66">
        <v>4.0</v>
      </c>
      <c r="I146" s="132">
        <v>520.6</v>
      </c>
      <c r="J146" s="133">
        <v>-52.8</v>
      </c>
      <c r="K146" s="142">
        <v>26.0</v>
      </c>
      <c r="L146" s="111">
        <v>21.0</v>
      </c>
      <c r="M146" s="70">
        <v>1700.0</v>
      </c>
      <c r="N146" s="24" t="s">
        <v>4263</v>
      </c>
    </row>
    <row r="147">
      <c r="A147" s="66">
        <v>7143.0</v>
      </c>
      <c r="B147" s="66">
        <v>217.0</v>
      </c>
      <c r="C147" s="66">
        <v>43.0</v>
      </c>
      <c r="D147" s="66">
        <v>7.0</v>
      </c>
      <c r="E147" s="66">
        <v>5.0</v>
      </c>
      <c r="F147" s="66">
        <v>736.0</v>
      </c>
      <c r="G147" s="141">
        <v>22894.0</v>
      </c>
      <c r="H147" s="66">
        <v>4.0</v>
      </c>
      <c r="I147" s="132">
        <v>74618.4</v>
      </c>
      <c r="J147" s="133">
        <v>9022.14</v>
      </c>
      <c r="K147" s="142">
        <v>79.0</v>
      </c>
      <c r="L147" s="111">
        <v>22.0</v>
      </c>
      <c r="M147" s="70">
        <v>2230.0</v>
      </c>
      <c r="N147" s="24" t="s">
        <v>4264</v>
      </c>
    </row>
    <row r="148">
      <c r="A148" s="66">
        <v>7144.0</v>
      </c>
      <c r="B148" s="66">
        <v>204.0</v>
      </c>
      <c r="C148" s="66">
        <v>64.0</v>
      </c>
      <c r="D148" s="66">
        <v>2.0</v>
      </c>
      <c r="E148" s="66">
        <v>6.0</v>
      </c>
      <c r="F148" s="66">
        <v>747.0</v>
      </c>
      <c r="G148" s="141">
        <v>13117.0</v>
      </c>
      <c r="H148" s="66">
        <v>8.0</v>
      </c>
      <c r="I148" s="132">
        <v>69551.2</v>
      </c>
      <c r="J148" s="133">
        <v>68673.34</v>
      </c>
      <c r="K148" s="142">
        <v>23.0</v>
      </c>
      <c r="L148" s="111">
        <v>21.0</v>
      </c>
      <c r="M148" s="70">
        <v>2030.0</v>
      </c>
      <c r="N148" s="24" t="s">
        <v>4265</v>
      </c>
    </row>
    <row r="149">
      <c r="A149" s="66">
        <v>7145.0</v>
      </c>
      <c r="B149" s="66">
        <v>212.0</v>
      </c>
      <c r="C149" s="66">
        <v>23.0</v>
      </c>
      <c r="D149" s="66">
        <v>3.0</v>
      </c>
      <c r="E149" s="66">
        <v>2.0</v>
      </c>
      <c r="F149" s="66">
        <v>371.0</v>
      </c>
      <c r="G149" s="141">
        <v>33194.0</v>
      </c>
      <c r="H149" s="66">
        <v>3.0</v>
      </c>
      <c r="I149" s="132">
        <v>736.2</v>
      </c>
      <c r="J149" s="133">
        <v>7296.78</v>
      </c>
      <c r="K149" s="142">
        <v>68.0</v>
      </c>
      <c r="L149" s="111">
        <v>22.0</v>
      </c>
      <c r="M149" s="70">
        <v>700.0</v>
      </c>
      <c r="N149" s="24" t="s">
        <v>4266</v>
      </c>
    </row>
    <row r="150">
      <c r="A150" s="66">
        <v>7146.0</v>
      </c>
      <c r="B150" s="66">
        <v>204.0</v>
      </c>
      <c r="C150" s="66">
        <v>84.0</v>
      </c>
      <c r="D150" s="66">
        <v>7.0</v>
      </c>
      <c r="E150" s="66">
        <v>7.0</v>
      </c>
      <c r="F150" s="66">
        <v>265.0</v>
      </c>
      <c r="G150" s="141">
        <v>63015.0</v>
      </c>
      <c r="H150" s="66">
        <v>6.0</v>
      </c>
      <c r="I150" s="132">
        <v>21.73</v>
      </c>
      <c r="J150" s="133">
        <v>73.54</v>
      </c>
      <c r="K150" s="142">
        <v>9.0</v>
      </c>
      <c r="L150" s="111">
        <v>20.0</v>
      </c>
      <c r="M150" s="70">
        <v>1530.0</v>
      </c>
      <c r="N150" s="24" t="s">
        <v>4267</v>
      </c>
    </row>
    <row r="151">
      <c r="A151" s="66">
        <v>7147.0</v>
      </c>
      <c r="B151" s="66">
        <v>211.0</v>
      </c>
      <c r="C151" s="66">
        <v>23.0</v>
      </c>
      <c r="D151" s="66">
        <v>3.0</v>
      </c>
      <c r="E151" s="66">
        <v>6.0</v>
      </c>
      <c r="F151" s="66">
        <v>407.0</v>
      </c>
      <c r="G151" s="141">
        <v>13199.0</v>
      </c>
      <c r="H151" s="66">
        <v>9.0</v>
      </c>
      <c r="I151" s="132">
        <v>23.86</v>
      </c>
      <c r="J151" s="133">
        <v>75748.1</v>
      </c>
      <c r="K151" s="142">
        <v>81.0</v>
      </c>
      <c r="L151" s="111">
        <v>22.0</v>
      </c>
      <c r="M151" s="70">
        <v>1130.0</v>
      </c>
      <c r="N151" s="24" t="s">
        <v>4268</v>
      </c>
    </row>
    <row r="152">
      <c r="A152" s="66">
        <v>7148.0</v>
      </c>
      <c r="B152" s="66">
        <v>206.0</v>
      </c>
      <c r="C152" s="66">
        <v>43.0</v>
      </c>
      <c r="D152" s="66">
        <v>8.0</v>
      </c>
      <c r="E152" s="66">
        <v>6.0</v>
      </c>
      <c r="F152" s="66">
        <v>265.0</v>
      </c>
      <c r="G152" s="141">
        <v>103108.0</v>
      </c>
      <c r="H152" s="66">
        <v>5.0</v>
      </c>
      <c r="I152" s="132">
        <v>-230.24</v>
      </c>
      <c r="J152" s="133">
        <v>9482.4</v>
      </c>
      <c r="K152" s="142">
        <v>82.0</v>
      </c>
      <c r="L152" s="111">
        <v>23.0</v>
      </c>
      <c r="M152" s="70">
        <v>2200.0</v>
      </c>
      <c r="N152" s="24" t="s">
        <v>4269</v>
      </c>
    </row>
    <row r="153">
      <c r="A153" s="66">
        <v>7149.0</v>
      </c>
      <c r="B153" s="66">
        <v>208.0</v>
      </c>
      <c r="C153" s="66">
        <v>23.0</v>
      </c>
      <c r="D153" s="66">
        <v>3.0</v>
      </c>
      <c r="E153" s="66">
        <v>9.0</v>
      </c>
      <c r="F153" s="66">
        <v>759.0</v>
      </c>
      <c r="G153" s="141">
        <v>53113.0</v>
      </c>
      <c r="H153" s="66">
        <v>5.0</v>
      </c>
      <c r="I153" s="132">
        <v>61417.53</v>
      </c>
      <c r="J153" s="133">
        <v>79195.87</v>
      </c>
      <c r="K153" s="142">
        <v>97.0</v>
      </c>
      <c r="L153" s="111">
        <v>21.0</v>
      </c>
      <c r="M153" s="70">
        <v>1500.0</v>
      </c>
      <c r="N153" s="24" t="s">
        <v>4270</v>
      </c>
    </row>
    <row r="154">
      <c r="A154" s="66">
        <v>7150.0</v>
      </c>
      <c r="B154" s="66">
        <v>203.0</v>
      </c>
      <c r="C154" s="66">
        <v>64.0</v>
      </c>
      <c r="D154" s="66">
        <v>3.0</v>
      </c>
      <c r="E154" s="66">
        <v>6.0</v>
      </c>
      <c r="F154" s="66">
        <v>834.0</v>
      </c>
      <c r="G154" s="141">
        <v>13191.0</v>
      </c>
      <c r="H154" s="66">
        <v>1.0</v>
      </c>
      <c r="I154" s="132">
        <v>-2441.88</v>
      </c>
      <c r="J154" s="133">
        <v>-54724.4</v>
      </c>
      <c r="K154" s="142">
        <v>1.0</v>
      </c>
      <c r="L154" s="111">
        <v>21.0</v>
      </c>
      <c r="M154" s="70">
        <v>200.0</v>
      </c>
      <c r="N154" s="24" t="s">
        <v>4271</v>
      </c>
    </row>
    <row r="155">
      <c r="A155" s="66">
        <v>7151.0</v>
      </c>
      <c r="B155" s="66">
        <v>206.0</v>
      </c>
      <c r="C155" s="66">
        <v>84.0</v>
      </c>
      <c r="D155" s="66">
        <v>8.0</v>
      </c>
      <c r="E155" s="66">
        <v>3.0</v>
      </c>
      <c r="F155" s="66">
        <v>285.0</v>
      </c>
      <c r="G155" s="141">
        <v>33113.0</v>
      </c>
      <c r="H155" s="66">
        <v>7.0</v>
      </c>
      <c r="I155" s="132">
        <v>-5651.47</v>
      </c>
      <c r="J155" s="133">
        <v>-91134.73</v>
      </c>
      <c r="K155" s="142">
        <v>59.0</v>
      </c>
      <c r="L155" s="111">
        <v>22.0</v>
      </c>
      <c r="M155" s="70">
        <v>2030.0</v>
      </c>
      <c r="N155" s="24" t="s">
        <v>4272</v>
      </c>
    </row>
    <row r="156">
      <c r="A156" s="66">
        <v>7152.0</v>
      </c>
      <c r="B156" s="66">
        <v>205.0</v>
      </c>
      <c r="C156" s="66">
        <v>43.0</v>
      </c>
      <c r="D156" s="66">
        <v>8.0</v>
      </c>
      <c r="E156" s="66">
        <v>8.0</v>
      </c>
      <c r="F156" s="66">
        <v>782.0</v>
      </c>
      <c r="G156" s="141">
        <v>13118.0</v>
      </c>
      <c r="H156" s="66">
        <v>3.0</v>
      </c>
      <c r="I156" s="132">
        <v>423.23</v>
      </c>
      <c r="J156" s="133">
        <v>-4270.41</v>
      </c>
      <c r="K156" s="142">
        <v>59.0</v>
      </c>
      <c r="L156" s="111">
        <v>20.0</v>
      </c>
      <c r="M156" s="70">
        <v>930.0</v>
      </c>
      <c r="N156" s="24" t="s">
        <v>4273</v>
      </c>
    </row>
    <row r="157">
      <c r="A157" s="66">
        <v>7153.0</v>
      </c>
      <c r="B157" s="66">
        <v>212.0</v>
      </c>
      <c r="C157" s="66">
        <v>43.0</v>
      </c>
      <c r="D157" s="66">
        <v>8.0</v>
      </c>
      <c r="E157" s="66">
        <v>9.0</v>
      </c>
      <c r="F157" s="66">
        <v>864.0</v>
      </c>
      <c r="G157" s="141">
        <v>53114.0</v>
      </c>
      <c r="H157" s="66">
        <v>6.0</v>
      </c>
      <c r="I157" s="132">
        <v>4745.17</v>
      </c>
      <c r="J157" s="133">
        <v>900.98</v>
      </c>
      <c r="K157" s="142">
        <v>87.0</v>
      </c>
      <c r="L157" s="111">
        <v>23.0</v>
      </c>
      <c r="M157" s="70">
        <v>1930.0</v>
      </c>
      <c r="N157" s="24" t="s">
        <v>4274</v>
      </c>
    </row>
    <row r="158">
      <c r="A158" s="66">
        <v>7154.0</v>
      </c>
      <c r="B158" s="66">
        <v>219.0</v>
      </c>
      <c r="C158" s="66">
        <v>84.0</v>
      </c>
      <c r="D158" s="66">
        <v>8.0</v>
      </c>
      <c r="E158" s="66">
        <v>2.0</v>
      </c>
      <c r="F158" s="66">
        <v>990.0</v>
      </c>
      <c r="G158" s="141">
        <v>22822.0</v>
      </c>
      <c r="H158" s="66">
        <v>9.0</v>
      </c>
      <c r="I158" s="132">
        <v>76.88</v>
      </c>
      <c r="J158" s="133">
        <v>340.19</v>
      </c>
      <c r="K158" s="142">
        <v>88.0</v>
      </c>
      <c r="L158" s="111">
        <v>21.0</v>
      </c>
      <c r="M158" s="70">
        <v>2100.0</v>
      </c>
      <c r="N158" s="24" t="s">
        <v>4275</v>
      </c>
    </row>
    <row r="159">
      <c r="A159" s="66">
        <v>7155.0</v>
      </c>
      <c r="B159" s="66">
        <v>210.0</v>
      </c>
      <c r="C159" s="66">
        <v>23.0</v>
      </c>
      <c r="D159" s="66">
        <v>4.0</v>
      </c>
      <c r="E159" s="66">
        <v>6.0</v>
      </c>
      <c r="F159" s="66">
        <v>955.0</v>
      </c>
      <c r="G159" s="141">
        <v>93012.0</v>
      </c>
      <c r="H159" s="66">
        <v>7.0</v>
      </c>
      <c r="I159" s="132">
        <v>1500.0</v>
      </c>
      <c r="J159" s="133">
        <v>-99043.91</v>
      </c>
      <c r="K159" s="142">
        <v>21.0</v>
      </c>
      <c r="L159" s="111">
        <v>22.0</v>
      </c>
      <c r="M159" s="70">
        <v>2330.0</v>
      </c>
      <c r="N159" s="24" t="s">
        <v>4276</v>
      </c>
    </row>
    <row r="160">
      <c r="A160" s="66">
        <v>7156.0</v>
      </c>
      <c r="B160" s="66">
        <v>209.0</v>
      </c>
      <c r="C160" s="66">
        <v>23.0</v>
      </c>
      <c r="D160" s="66">
        <v>4.0</v>
      </c>
      <c r="E160" s="66">
        <v>7.0</v>
      </c>
      <c r="F160" s="66">
        <v>513.0</v>
      </c>
      <c r="G160" s="141">
        <v>73195.0</v>
      </c>
      <c r="H160" s="66">
        <v>4.0</v>
      </c>
      <c r="I160" s="132">
        <v>-24899.6</v>
      </c>
      <c r="J160" s="133">
        <v>-274.89</v>
      </c>
      <c r="K160" s="142">
        <v>63.0</v>
      </c>
      <c r="L160" s="111">
        <v>22.0</v>
      </c>
      <c r="M160" s="70">
        <v>330.0</v>
      </c>
      <c r="N160" s="24" t="s">
        <v>4277</v>
      </c>
    </row>
    <row r="161">
      <c r="A161" s="66">
        <v>7157.0</v>
      </c>
      <c r="B161" s="66">
        <v>211.0</v>
      </c>
      <c r="C161" s="66">
        <v>64.0</v>
      </c>
      <c r="D161" s="66">
        <v>4.0</v>
      </c>
      <c r="E161" s="66">
        <v>4.0</v>
      </c>
      <c r="F161" s="66">
        <v>955.0</v>
      </c>
      <c r="G161" s="141">
        <v>103114.0</v>
      </c>
      <c r="H161" s="66">
        <v>3.0</v>
      </c>
      <c r="I161" s="132">
        <v>461.53</v>
      </c>
      <c r="J161" s="133">
        <v>39.2</v>
      </c>
      <c r="K161" s="142">
        <v>76.0</v>
      </c>
      <c r="L161" s="111">
        <v>23.0</v>
      </c>
      <c r="M161" s="70">
        <v>330.0</v>
      </c>
      <c r="N161" s="24" t="s">
        <v>4278</v>
      </c>
    </row>
    <row r="162">
      <c r="A162" s="66">
        <v>7158.0</v>
      </c>
      <c r="B162" s="66">
        <v>214.0</v>
      </c>
      <c r="C162" s="66">
        <v>23.0</v>
      </c>
      <c r="D162" s="66">
        <v>5.0</v>
      </c>
      <c r="E162" s="66">
        <v>3.0</v>
      </c>
      <c r="F162" s="66">
        <v>223.0</v>
      </c>
      <c r="G162" s="141">
        <v>22815.0</v>
      </c>
      <c r="H162" s="66">
        <v>1.0</v>
      </c>
      <c r="I162" s="132">
        <v>145.13</v>
      </c>
      <c r="J162" s="133">
        <v>932.4</v>
      </c>
      <c r="K162" s="142">
        <v>32.0</v>
      </c>
      <c r="L162" s="111">
        <v>22.0</v>
      </c>
      <c r="M162" s="70">
        <v>1730.0</v>
      </c>
      <c r="N162" s="24" t="s">
        <v>4279</v>
      </c>
    </row>
    <row r="163">
      <c r="A163" s="66">
        <v>7159.0</v>
      </c>
      <c r="B163" s="66">
        <v>220.0</v>
      </c>
      <c r="C163" s="66">
        <v>84.0</v>
      </c>
      <c r="D163" s="66">
        <v>9.0</v>
      </c>
      <c r="E163" s="66">
        <v>9.0</v>
      </c>
      <c r="F163" s="66">
        <v>344.0</v>
      </c>
      <c r="G163" s="141">
        <v>43016.0</v>
      </c>
      <c r="H163" s="66">
        <v>5.0</v>
      </c>
      <c r="I163" s="132">
        <v>760.5</v>
      </c>
      <c r="J163" s="133">
        <v>7771.83</v>
      </c>
      <c r="K163" s="142">
        <v>60.0</v>
      </c>
      <c r="L163" s="111">
        <v>20.0</v>
      </c>
      <c r="M163" s="70">
        <v>800.0</v>
      </c>
      <c r="N163" s="24" t="s">
        <v>4280</v>
      </c>
    </row>
    <row r="164">
      <c r="A164" s="66">
        <v>7160.0</v>
      </c>
      <c r="B164" s="66">
        <v>214.0</v>
      </c>
      <c r="C164" s="66">
        <v>64.0</v>
      </c>
      <c r="D164" s="66">
        <v>5.0</v>
      </c>
      <c r="E164" s="66">
        <v>2.0</v>
      </c>
      <c r="F164" s="66">
        <v>237.0</v>
      </c>
      <c r="G164" s="141">
        <v>103190.0</v>
      </c>
      <c r="H164" s="66">
        <v>3.0</v>
      </c>
      <c r="I164" s="132">
        <v>252.37</v>
      </c>
      <c r="J164" s="133">
        <v>665.23</v>
      </c>
      <c r="K164" s="142">
        <v>91.0</v>
      </c>
      <c r="L164" s="111">
        <v>22.0</v>
      </c>
      <c r="M164" s="70">
        <v>1700.0</v>
      </c>
      <c r="N164" s="24" t="s">
        <v>4281</v>
      </c>
    </row>
    <row r="165">
      <c r="A165" s="66">
        <v>7161.0</v>
      </c>
      <c r="B165" s="66">
        <v>209.0</v>
      </c>
      <c r="C165" s="66">
        <v>23.0</v>
      </c>
      <c r="D165" s="66">
        <v>5.0</v>
      </c>
      <c r="E165" s="66">
        <v>9.0</v>
      </c>
      <c r="F165" s="66">
        <v>364.0</v>
      </c>
      <c r="G165" s="141">
        <v>113003.0</v>
      </c>
      <c r="H165" s="66">
        <v>7.0</v>
      </c>
      <c r="I165" s="132">
        <v>68836.39</v>
      </c>
      <c r="J165" s="133">
        <v>180.15</v>
      </c>
      <c r="K165" s="142">
        <v>10.0</v>
      </c>
      <c r="L165" s="111">
        <v>20.0</v>
      </c>
      <c r="M165" s="70">
        <v>300.0</v>
      </c>
      <c r="N165" s="24" t="s">
        <v>4282</v>
      </c>
    </row>
    <row r="166">
      <c r="A166" s="66">
        <v>7162.0</v>
      </c>
      <c r="B166" s="66">
        <v>216.0</v>
      </c>
      <c r="C166" s="66">
        <v>64.0</v>
      </c>
      <c r="D166" s="66">
        <v>5.0</v>
      </c>
      <c r="E166" s="66">
        <v>8.0</v>
      </c>
      <c r="F166" s="66">
        <v>447.0</v>
      </c>
      <c r="G166" s="141">
        <v>22908.0</v>
      </c>
      <c r="H166" s="66">
        <v>2.0</v>
      </c>
      <c r="I166" s="132">
        <v>344.1</v>
      </c>
      <c r="J166" s="133">
        <v>559.11</v>
      </c>
      <c r="K166" s="142">
        <v>55.0</v>
      </c>
      <c r="L166" s="111">
        <v>22.0</v>
      </c>
      <c r="M166" s="70">
        <v>1430.0</v>
      </c>
      <c r="N166" s="24" t="s">
        <v>4283</v>
      </c>
    </row>
    <row r="167">
      <c r="A167" s="66">
        <v>7163.0</v>
      </c>
      <c r="B167" s="66">
        <v>217.0</v>
      </c>
      <c r="C167" s="66">
        <v>44.0</v>
      </c>
      <c r="D167" s="66">
        <v>1.0</v>
      </c>
      <c r="E167" s="66">
        <v>2.0</v>
      </c>
      <c r="F167" s="66">
        <v>841.0</v>
      </c>
      <c r="G167" s="141">
        <v>22813.0</v>
      </c>
      <c r="H167" s="66">
        <v>3.0</v>
      </c>
      <c r="I167" s="132">
        <v>40976.14</v>
      </c>
      <c r="J167" s="133">
        <v>326.85</v>
      </c>
      <c r="K167" s="142">
        <v>75.0</v>
      </c>
      <c r="L167" s="111">
        <v>22.0</v>
      </c>
      <c r="M167" s="70">
        <v>630.0</v>
      </c>
      <c r="N167" s="24" t="s">
        <v>4284</v>
      </c>
    </row>
    <row r="168">
      <c r="A168" s="66">
        <v>7164.0</v>
      </c>
      <c r="B168" s="66">
        <v>213.0</v>
      </c>
      <c r="C168" s="66">
        <v>64.0</v>
      </c>
      <c r="D168" s="66">
        <v>6.0</v>
      </c>
      <c r="E168" s="66">
        <v>3.0</v>
      </c>
      <c r="F168" s="66">
        <v>861.0</v>
      </c>
      <c r="G168" s="141">
        <v>43001.0</v>
      </c>
      <c r="H168" s="66">
        <v>6.0</v>
      </c>
      <c r="I168" s="132">
        <v>48331.23</v>
      </c>
      <c r="J168" s="133">
        <v>42361.65</v>
      </c>
      <c r="K168" s="142">
        <v>92.0</v>
      </c>
      <c r="L168" s="111">
        <v>20.0</v>
      </c>
      <c r="M168" s="70">
        <v>330.0</v>
      </c>
      <c r="N168" s="24" t="s">
        <v>4285</v>
      </c>
    </row>
    <row r="169">
      <c r="A169" s="66">
        <v>7165.0</v>
      </c>
      <c r="B169" s="66">
        <v>217.0</v>
      </c>
      <c r="C169" s="66">
        <v>23.0</v>
      </c>
      <c r="D169" s="66">
        <v>7.0</v>
      </c>
      <c r="E169" s="66">
        <v>1.0</v>
      </c>
      <c r="F169" s="66">
        <v>863.0</v>
      </c>
      <c r="G169" s="141">
        <v>13122.0</v>
      </c>
      <c r="H169" s="66">
        <v>2.0</v>
      </c>
      <c r="I169" s="132">
        <v>-451.78</v>
      </c>
      <c r="J169" s="133">
        <v>25.72</v>
      </c>
      <c r="K169" s="142">
        <v>20.0</v>
      </c>
      <c r="L169" s="111">
        <v>23.0</v>
      </c>
      <c r="M169" s="70">
        <v>530.0</v>
      </c>
      <c r="N169" s="24" t="s">
        <v>4286</v>
      </c>
    </row>
    <row r="170">
      <c r="A170" s="66">
        <v>7166.0</v>
      </c>
      <c r="B170" s="66">
        <v>200.0</v>
      </c>
      <c r="C170" s="66">
        <v>23.0</v>
      </c>
      <c r="D170" s="66">
        <v>7.0</v>
      </c>
      <c r="E170" s="66">
        <v>3.0</v>
      </c>
      <c r="F170" s="66">
        <v>608.0</v>
      </c>
      <c r="G170" s="141">
        <v>33199.0</v>
      </c>
      <c r="H170" s="66">
        <v>6.0</v>
      </c>
      <c r="I170" s="132">
        <v>-48.23</v>
      </c>
      <c r="J170" s="133">
        <v>-11061.0</v>
      </c>
      <c r="K170" s="142">
        <v>75.0</v>
      </c>
      <c r="L170" s="111">
        <v>22.0</v>
      </c>
      <c r="M170" s="70">
        <v>2130.0</v>
      </c>
      <c r="N170" s="24" t="s">
        <v>4287</v>
      </c>
    </row>
    <row r="171">
      <c r="A171" s="66">
        <v>7167.0</v>
      </c>
      <c r="B171" s="66">
        <v>220.0</v>
      </c>
      <c r="C171" s="66">
        <v>64.0</v>
      </c>
      <c r="D171" s="66">
        <v>6.0</v>
      </c>
      <c r="E171" s="66">
        <v>9.0</v>
      </c>
      <c r="F171" s="66">
        <v>546.0</v>
      </c>
      <c r="G171" s="141">
        <v>83194.0</v>
      </c>
      <c r="H171" s="66">
        <v>8.0</v>
      </c>
      <c r="I171" s="132">
        <v>28.24</v>
      </c>
      <c r="J171" s="133">
        <v>530.41</v>
      </c>
      <c r="K171" s="142">
        <v>28.0</v>
      </c>
      <c r="L171" s="111">
        <v>21.0</v>
      </c>
      <c r="M171" s="70">
        <v>1700.0</v>
      </c>
      <c r="N171" s="24" t="s">
        <v>4288</v>
      </c>
    </row>
    <row r="172">
      <c r="A172" s="66">
        <v>7168.0</v>
      </c>
      <c r="B172" s="66">
        <v>209.0</v>
      </c>
      <c r="C172" s="66">
        <v>85.0</v>
      </c>
      <c r="D172" s="66">
        <v>1.0</v>
      </c>
      <c r="E172" s="66">
        <v>9.0</v>
      </c>
      <c r="F172" s="66">
        <v>146.0</v>
      </c>
      <c r="G172" s="141">
        <v>83105.0</v>
      </c>
      <c r="H172" s="66">
        <v>6.0</v>
      </c>
      <c r="I172" s="132">
        <v>90368.66</v>
      </c>
      <c r="J172" s="133">
        <v>75556.3</v>
      </c>
      <c r="K172" s="142">
        <v>24.0</v>
      </c>
      <c r="L172" s="111">
        <v>23.0</v>
      </c>
      <c r="M172" s="70">
        <v>2030.0</v>
      </c>
      <c r="N172" s="24" t="s">
        <v>4289</v>
      </c>
    </row>
    <row r="173">
      <c r="A173" s="66">
        <v>7169.0</v>
      </c>
      <c r="B173" s="66">
        <v>210.0</v>
      </c>
      <c r="C173" s="66">
        <v>44.0</v>
      </c>
      <c r="D173" s="66">
        <v>2.0</v>
      </c>
      <c r="E173" s="66">
        <v>5.0</v>
      </c>
      <c r="F173" s="66">
        <v>288.0</v>
      </c>
      <c r="G173" s="141">
        <v>53191.0</v>
      </c>
      <c r="H173" s="66">
        <v>4.0</v>
      </c>
      <c r="I173" s="132">
        <v>47735.6</v>
      </c>
      <c r="J173" s="133">
        <v>-2828.7</v>
      </c>
      <c r="K173" s="142">
        <v>48.0</v>
      </c>
      <c r="L173" s="111">
        <v>20.0</v>
      </c>
      <c r="M173" s="70">
        <v>1830.0</v>
      </c>
      <c r="N173" s="24" t="s">
        <v>4290</v>
      </c>
    </row>
    <row r="174">
      <c r="A174" s="66">
        <v>7170.0</v>
      </c>
      <c r="B174" s="66">
        <v>205.0</v>
      </c>
      <c r="C174" s="66">
        <v>85.0</v>
      </c>
      <c r="D174" s="66">
        <v>2.0</v>
      </c>
      <c r="E174" s="66">
        <v>2.0</v>
      </c>
      <c r="F174" s="66">
        <v>377.0</v>
      </c>
      <c r="G174" s="141">
        <v>83102.0</v>
      </c>
      <c r="H174" s="66">
        <v>6.0</v>
      </c>
      <c r="I174" s="132">
        <v>2648.58</v>
      </c>
      <c r="J174" s="133">
        <v>975.6</v>
      </c>
      <c r="K174" s="142">
        <v>29.0</v>
      </c>
      <c r="L174" s="111">
        <v>20.0</v>
      </c>
      <c r="M174" s="70">
        <v>1800.0</v>
      </c>
      <c r="N174" s="24" t="s">
        <v>4291</v>
      </c>
    </row>
    <row r="175">
      <c r="A175" s="66">
        <v>7171.0</v>
      </c>
      <c r="B175" s="66">
        <v>203.0</v>
      </c>
      <c r="C175" s="66">
        <v>23.0</v>
      </c>
      <c r="D175" s="66">
        <v>7.0</v>
      </c>
      <c r="E175" s="66">
        <v>7.0</v>
      </c>
      <c r="F175" s="66">
        <v>343.0</v>
      </c>
      <c r="G175" s="141">
        <v>113021.0</v>
      </c>
      <c r="H175" s="66">
        <v>8.0</v>
      </c>
      <c r="I175" s="132">
        <v>66.38</v>
      </c>
      <c r="J175" s="133">
        <v>-3188.3</v>
      </c>
      <c r="K175" s="142">
        <v>18.0</v>
      </c>
      <c r="L175" s="111">
        <v>23.0</v>
      </c>
      <c r="M175" s="70">
        <v>430.0</v>
      </c>
      <c r="N175" s="24" t="s">
        <v>4292</v>
      </c>
    </row>
    <row r="176">
      <c r="A176" s="66">
        <v>7172.0</v>
      </c>
      <c r="B176" s="66">
        <v>216.0</v>
      </c>
      <c r="C176" s="66">
        <v>64.0</v>
      </c>
      <c r="D176" s="66">
        <v>7.0</v>
      </c>
      <c r="E176" s="66">
        <v>6.0</v>
      </c>
      <c r="F176" s="66">
        <v>226.0</v>
      </c>
      <c r="G176" s="141">
        <v>73121.0</v>
      </c>
      <c r="H176" s="66">
        <v>5.0</v>
      </c>
      <c r="I176" s="132">
        <v>45.86</v>
      </c>
      <c r="J176" s="133">
        <v>742.2</v>
      </c>
      <c r="K176" s="142">
        <v>58.0</v>
      </c>
      <c r="L176" s="111">
        <v>23.0</v>
      </c>
      <c r="M176" s="70">
        <v>700.0</v>
      </c>
      <c r="N176" s="24" t="s">
        <v>4293</v>
      </c>
    </row>
    <row r="177">
      <c r="A177" s="66">
        <v>7173.0</v>
      </c>
      <c r="B177" s="66">
        <v>217.0</v>
      </c>
      <c r="C177" s="66">
        <v>44.0</v>
      </c>
      <c r="D177" s="66">
        <v>2.0</v>
      </c>
      <c r="E177" s="66">
        <v>9.0</v>
      </c>
      <c r="F177" s="66">
        <v>584.0</v>
      </c>
      <c r="G177" s="141">
        <v>103106.0</v>
      </c>
      <c r="H177" s="66">
        <v>6.0</v>
      </c>
      <c r="I177" s="132">
        <v>90438.66</v>
      </c>
      <c r="J177" s="133">
        <v>37.34</v>
      </c>
      <c r="K177" s="142">
        <v>72.0</v>
      </c>
      <c r="L177" s="111">
        <v>23.0</v>
      </c>
      <c r="M177" s="70">
        <v>1200.0</v>
      </c>
      <c r="N177" s="24" t="s">
        <v>4294</v>
      </c>
    </row>
    <row r="178">
      <c r="A178" s="66">
        <v>7174.0</v>
      </c>
      <c r="B178" s="66">
        <v>214.0</v>
      </c>
      <c r="C178" s="66">
        <v>44.0</v>
      </c>
      <c r="D178" s="66">
        <v>3.0</v>
      </c>
      <c r="E178" s="66">
        <v>1.0</v>
      </c>
      <c r="F178" s="66">
        <v>220.0</v>
      </c>
      <c r="G178" s="141">
        <v>93015.0</v>
      </c>
      <c r="H178" s="66">
        <v>8.0</v>
      </c>
      <c r="I178" s="132">
        <v>99390.27</v>
      </c>
      <c r="J178" s="133">
        <v>-31420.14</v>
      </c>
      <c r="K178" s="142">
        <v>96.0</v>
      </c>
      <c r="L178" s="111">
        <v>20.0</v>
      </c>
      <c r="M178" s="70">
        <v>1830.0</v>
      </c>
      <c r="N178" s="24" t="s">
        <v>4295</v>
      </c>
    </row>
    <row r="179">
      <c r="A179" s="66">
        <v>7175.0</v>
      </c>
      <c r="B179" s="66">
        <v>210.0</v>
      </c>
      <c r="C179" s="66">
        <v>64.0</v>
      </c>
      <c r="D179" s="66">
        <v>8.0</v>
      </c>
      <c r="E179" s="66">
        <v>3.0</v>
      </c>
      <c r="F179" s="66">
        <v>126.0</v>
      </c>
      <c r="G179" s="141">
        <v>53119.0</v>
      </c>
      <c r="H179" s="66">
        <v>7.0</v>
      </c>
      <c r="I179" s="132">
        <v>57019.56</v>
      </c>
      <c r="J179" s="133">
        <v>83.99</v>
      </c>
      <c r="K179" s="142">
        <v>34.0</v>
      </c>
      <c r="L179" s="111">
        <v>20.0</v>
      </c>
      <c r="M179" s="70">
        <v>230.0</v>
      </c>
      <c r="N179" s="24" t="s">
        <v>4296</v>
      </c>
    </row>
    <row r="180">
      <c r="A180" s="66">
        <v>7176.0</v>
      </c>
      <c r="B180" s="66">
        <v>203.0</v>
      </c>
      <c r="C180" s="66">
        <v>44.0</v>
      </c>
      <c r="D180" s="66">
        <v>3.0</v>
      </c>
      <c r="E180" s="66">
        <v>8.0</v>
      </c>
      <c r="F180" s="66">
        <v>289.0</v>
      </c>
      <c r="G180" s="141">
        <v>43022.0</v>
      </c>
      <c r="H180" s="66">
        <v>9.0</v>
      </c>
      <c r="I180" s="132">
        <v>5837.9</v>
      </c>
      <c r="J180" s="133">
        <v>65156.54</v>
      </c>
      <c r="K180" s="142">
        <v>34.0</v>
      </c>
      <c r="L180" s="111">
        <v>22.0</v>
      </c>
      <c r="M180" s="70">
        <v>1930.0</v>
      </c>
      <c r="N180" s="24" t="s">
        <v>4297</v>
      </c>
    </row>
    <row r="181">
      <c r="A181" s="66">
        <v>7177.0</v>
      </c>
      <c r="B181" s="66">
        <v>213.0</v>
      </c>
      <c r="C181" s="66">
        <v>44.0</v>
      </c>
      <c r="D181" s="66">
        <v>3.0</v>
      </c>
      <c r="E181" s="66">
        <v>9.0</v>
      </c>
      <c r="F181" s="66">
        <v>584.0</v>
      </c>
      <c r="G181" s="141">
        <v>13196.0</v>
      </c>
      <c r="H181" s="66">
        <v>3.0</v>
      </c>
      <c r="I181" s="132">
        <v>-64044.72</v>
      </c>
      <c r="J181" s="133">
        <v>76971.37</v>
      </c>
      <c r="K181" s="142">
        <v>1.0</v>
      </c>
      <c r="L181" s="111">
        <v>23.0</v>
      </c>
      <c r="M181" s="70">
        <v>1930.0</v>
      </c>
      <c r="N181" s="24" t="s">
        <v>4298</v>
      </c>
    </row>
    <row r="182">
      <c r="A182" s="66">
        <v>7178.0</v>
      </c>
      <c r="B182" s="66">
        <v>210.0</v>
      </c>
      <c r="C182" s="66">
        <v>85.0</v>
      </c>
      <c r="D182" s="66">
        <v>3.0</v>
      </c>
      <c r="E182" s="66">
        <v>6.0</v>
      </c>
      <c r="F182" s="66">
        <v>868.0</v>
      </c>
      <c r="G182" s="141">
        <v>103113.0</v>
      </c>
      <c r="H182" s="66">
        <v>9.0</v>
      </c>
      <c r="I182" s="132">
        <v>-16785.24</v>
      </c>
      <c r="J182" s="133">
        <v>90.76</v>
      </c>
      <c r="K182" s="142">
        <v>19.0</v>
      </c>
      <c r="L182" s="111">
        <v>22.0</v>
      </c>
      <c r="M182" s="70">
        <v>2100.0</v>
      </c>
      <c r="N182" s="24" t="s">
        <v>4299</v>
      </c>
    </row>
    <row r="183">
      <c r="A183" s="66">
        <v>7179.0</v>
      </c>
      <c r="B183" s="66">
        <v>211.0</v>
      </c>
      <c r="C183" s="66">
        <v>23.0</v>
      </c>
      <c r="D183" s="66">
        <v>9.0</v>
      </c>
      <c r="E183" s="66">
        <v>2.0</v>
      </c>
      <c r="F183" s="66">
        <v>909.0</v>
      </c>
      <c r="G183" s="141">
        <v>113093.0</v>
      </c>
      <c r="H183" s="66">
        <v>8.0</v>
      </c>
      <c r="I183" s="132">
        <v>65.47</v>
      </c>
      <c r="J183" s="133">
        <v>624.82</v>
      </c>
      <c r="K183" s="142">
        <v>21.0</v>
      </c>
      <c r="L183" s="111">
        <v>23.0</v>
      </c>
      <c r="M183" s="70">
        <v>2100.0</v>
      </c>
      <c r="N183" s="24" t="s">
        <v>4300</v>
      </c>
    </row>
    <row r="184">
      <c r="A184" s="66">
        <v>7180.0</v>
      </c>
      <c r="B184" s="66">
        <v>219.0</v>
      </c>
      <c r="C184" s="66">
        <v>85.0</v>
      </c>
      <c r="D184" s="66">
        <v>3.0</v>
      </c>
      <c r="E184" s="66">
        <v>8.0</v>
      </c>
      <c r="F184" s="66">
        <v>731.0</v>
      </c>
      <c r="G184" s="141">
        <v>13100.0</v>
      </c>
      <c r="H184" s="66">
        <v>1.0</v>
      </c>
      <c r="I184" s="132">
        <v>-23.41</v>
      </c>
      <c r="J184" s="133">
        <v>86730.27</v>
      </c>
      <c r="K184" s="142">
        <v>12.0</v>
      </c>
      <c r="L184" s="111">
        <v>23.0</v>
      </c>
      <c r="M184" s="70">
        <v>1800.0</v>
      </c>
      <c r="N184" s="24" t="s">
        <v>4301</v>
      </c>
    </row>
    <row r="185">
      <c r="A185" s="66">
        <v>7181.0</v>
      </c>
      <c r="B185" s="66">
        <v>204.0</v>
      </c>
      <c r="C185" s="66">
        <v>64.0</v>
      </c>
      <c r="D185" s="66">
        <v>9.0</v>
      </c>
      <c r="E185" s="66">
        <v>3.0</v>
      </c>
      <c r="F185" s="66">
        <v>107.0</v>
      </c>
      <c r="G185" s="141">
        <v>113097.0</v>
      </c>
      <c r="H185" s="66">
        <v>9.0</v>
      </c>
      <c r="I185" s="132">
        <v>-18345.83</v>
      </c>
      <c r="J185" s="133">
        <v>-52651.3</v>
      </c>
      <c r="K185" s="142">
        <v>66.0</v>
      </c>
      <c r="L185" s="111">
        <v>22.0</v>
      </c>
      <c r="M185" s="70">
        <v>930.0</v>
      </c>
      <c r="N185" s="24" t="s">
        <v>4302</v>
      </c>
    </row>
    <row r="186">
      <c r="A186" s="66">
        <v>7182.0</v>
      </c>
      <c r="B186" s="66">
        <v>201.0</v>
      </c>
      <c r="C186" s="66">
        <v>85.0</v>
      </c>
      <c r="D186" s="66">
        <v>4.0</v>
      </c>
      <c r="E186" s="66">
        <v>2.0</v>
      </c>
      <c r="F186" s="66">
        <v>149.0</v>
      </c>
      <c r="G186" s="141">
        <v>113000.0</v>
      </c>
      <c r="H186" s="66">
        <v>5.0</v>
      </c>
      <c r="I186" s="132">
        <v>55.37</v>
      </c>
      <c r="J186" s="133">
        <v>-8779.56</v>
      </c>
      <c r="K186" s="142">
        <v>26.0</v>
      </c>
      <c r="L186" s="111">
        <v>21.0</v>
      </c>
      <c r="M186" s="70">
        <v>2230.0</v>
      </c>
      <c r="N186" s="24" t="s">
        <v>4303</v>
      </c>
    </row>
    <row r="187">
      <c r="A187" s="66">
        <v>7183.0</v>
      </c>
      <c r="B187" s="66">
        <v>201.0</v>
      </c>
      <c r="C187" s="66">
        <v>85.0</v>
      </c>
      <c r="D187" s="66">
        <v>4.0</v>
      </c>
      <c r="E187" s="66">
        <v>9.0</v>
      </c>
      <c r="F187" s="66">
        <v>187.0</v>
      </c>
      <c r="G187" s="141">
        <v>53196.0</v>
      </c>
      <c r="H187" s="66">
        <v>7.0</v>
      </c>
      <c r="I187" s="132">
        <v>1909.75</v>
      </c>
      <c r="J187" s="133">
        <v>8216.3</v>
      </c>
      <c r="K187" s="142">
        <v>63.0</v>
      </c>
      <c r="L187" s="111">
        <v>23.0</v>
      </c>
      <c r="M187" s="70">
        <v>630.0</v>
      </c>
      <c r="N187" s="24" t="s">
        <v>4304</v>
      </c>
    </row>
    <row r="188">
      <c r="A188" s="66">
        <v>7184.0</v>
      </c>
      <c r="B188" s="66">
        <v>219.0</v>
      </c>
      <c r="C188" s="66">
        <v>24.0</v>
      </c>
      <c r="D188" s="66">
        <v>1.0</v>
      </c>
      <c r="E188" s="66">
        <v>2.0</v>
      </c>
      <c r="F188" s="66">
        <v>674.0</v>
      </c>
      <c r="G188" s="141">
        <v>13190.0</v>
      </c>
      <c r="H188" s="66">
        <v>3.0</v>
      </c>
      <c r="I188" s="132">
        <v>76.12</v>
      </c>
      <c r="J188" s="133">
        <v>-35.59</v>
      </c>
      <c r="K188" s="142">
        <v>88.0</v>
      </c>
      <c r="L188" s="111">
        <v>22.0</v>
      </c>
      <c r="M188" s="70">
        <v>730.0</v>
      </c>
      <c r="N188" s="24" t="s">
        <v>4305</v>
      </c>
    </row>
    <row r="189">
      <c r="A189" s="66">
        <v>7185.0</v>
      </c>
      <c r="B189" s="66">
        <v>216.0</v>
      </c>
      <c r="C189" s="66">
        <v>65.0</v>
      </c>
      <c r="D189" s="66">
        <v>1.0</v>
      </c>
      <c r="E189" s="66">
        <v>1.0</v>
      </c>
      <c r="F189" s="66">
        <v>918.0</v>
      </c>
      <c r="G189" s="141">
        <v>83191.0</v>
      </c>
      <c r="H189" s="66">
        <v>8.0</v>
      </c>
      <c r="I189" s="132">
        <v>5462.3</v>
      </c>
      <c r="J189" s="133">
        <v>99137.64</v>
      </c>
      <c r="K189" s="142">
        <v>71.0</v>
      </c>
      <c r="L189" s="111">
        <v>23.0</v>
      </c>
      <c r="M189" s="70">
        <v>1100.0</v>
      </c>
      <c r="N189" s="24" t="s">
        <v>4306</v>
      </c>
    </row>
    <row r="190">
      <c r="A190" s="66">
        <v>7186.0</v>
      </c>
      <c r="B190" s="66">
        <v>202.0</v>
      </c>
      <c r="C190" s="66">
        <v>44.0</v>
      </c>
      <c r="D190" s="66">
        <v>6.0</v>
      </c>
      <c r="E190" s="66">
        <v>4.0</v>
      </c>
      <c r="F190" s="66">
        <v>137.0</v>
      </c>
      <c r="G190" s="141">
        <v>113091.0</v>
      </c>
      <c r="H190" s="66">
        <v>1.0</v>
      </c>
      <c r="I190" s="132">
        <v>-84.83</v>
      </c>
      <c r="J190" s="133">
        <v>49.34</v>
      </c>
      <c r="K190" s="142">
        <v>86.0</v>
      </c>
      <c r="L190" s="111">
        <v>22.0</v>
      </c>
      <c r="M190" s="70">
        <v>2300.0</v>
      </c>
      <c r="N190" s="24" t="s">
        <v>4307</v>
      </c>
    </row>
    <row r="191">
      <c r="A191" s="66">
        <v>7187.0</v>
      </c>
      <c r="B191" s="66">
        <v>203.0</v>
      </c>
      <c r="C191" s="66">
        <v>85.0</v>
      </c>
      <c r="D191" s="66">
        <v>6.0</v>
      </c>
      <c r="E191" s="66">
        <v>1.0</v>
      </c>
      <c r="F191" s="66">
        <v>952.0</v>
      </c>
      <c r="G191" s="141">
        <v>33115.0</v>
      </c>
      <c r="H191" s="66">
        <v>9.0</v>
      </c>
      <c r="I191" s="132">
        <v>5498.12</v>
      </c>
      <c r="J191" s="133">
        <v>198.43</v>
      </c>
      <c r="K191" s="142">
        <v>97.0</v>
      </c>
      <c r="L191" s="111">
        <v>22.0</v>
      </c>
      <c r="M191" s="70">
        <v>900.0</v>
      </c>
      <c r="N191" s="24" t="s">
        <v>4308</v>
      </c>
    </row>
    <row r="192">
      <c r="A192" s="66">
        <v>7188.0</v>
      </c>
      <c r="B192" s="66">
        <v>215.0</v>
      </c>
      <c r="C192" s="66">
        <v>44.0</v>
      </c>
      <c r="D192" s="66">
        <v>6.0</v>
      </c>
      <c r="E192" s="66">
        <v>6.0</v>
      </c>
      <c r="F192" s="66">
        <v>849.0</v>
      </c>
      <c r="G192" s="141">
        <v>43093.0</v>
      </c>
      <c r="H192" s="66">
        <v>9.0</v>
      </c>
      <c r="I192" s="132">
        <v>-85.28</v>
      </c>
      <c r="J192" s="133">
        <v>165.34</v>
      </c>
      <c r="K192" s="142">
        <v>74.0</v>
      </c>
      <c r="L192" s="111">
        <v>21.0</v>
      </c>
      <c r="M192" s="70">
        <v>500.0</v>
      </c>
      <c r="N192" s="24" t="s">
        <v>4309</v>
      </c>
    </row>
    <row r="193">
      <c r="A193" s="66">
        <v>7189.0</v>
      </c>
      <c r="B193" s="66">
        <v>215.0</v>
      </c>
      <c r="C193" s="66">
        <v>85.0</v>
      </c>
      <c r="D193" s="66">
        <v>6.0</v>
      </c>
      <c r="E193" s="66">
        <v>5.0</v>
      </c>
      <c r="F193" s="66">
        <v>279.0</v>
      </c>
      <c r="G193" s="141">
        <v>63020.0</v>
      </c>
      <c r="H193" s="66">
        <v>6.0</v>
      </c>
      <c r="I193" s="132">
        <v>741.27</v>
      </c>
      <c r="J193" s="133">
        <v>-3094.63</v>
      </c>
      <c r="K193" s="142">
        <v>66.0</v>
      </c>
      <c r="L193" s="111">
        <v>22.0</v>
      </c>
      <c r="M193" s="70">
        <v>400.0</v>
      </c>
      <c r="N193" s="24" t="s">
        <v>4193</v>
      </c>
    </row>
    <row r="194">
      <c r="A194" s="66">
        <v>7190.0</v>
      </c>
      <c r="B194" s="66">
        <v>211.0</v>
      </c>
      <c r="C194" s="66">
        <v>65.0</v>
      </c>
      <c r="D194" s="66">
        <v>1.0</v>
      </c>
      <c r="E194" s="66">
        <v>7.0</v>
      </c>
      <c r="F194" s="66">
        <v>986.0</v>
      </c>
      <c r="G194" s="141">
        <v>53195.0</v>
      </c>
      <c r="H194" s="66">
        <v>3.0</v>
      </c>
      <c r="I194" s="132">
        <v>17559.83</v>
      </c>
      <c r="J194" s="133">
        <v>745.88</v>
      </c>
      <c r="K194" s="142">
        <v>89.0</v>
      </c>
      <c r="L194" s="111">
        <v>21.0</v>
      </c>
      <c r="M194" s="70">
        <v>400.0</v>
      </c>
      <c r="N194" s="24" t="s">
        <v>4310</v>
      </c>
    </row>
    <row r="195">
      <c r="A195" s="66">
        <v>7191.0</v>
      </c>
      <c r="B195" s="66">
        <v>213.0</v>
      </c>
      <c r="C195" s="66">
        <v>24.0</v>
      </c>
      <c r="D195" s="66">
        <v>2.0</v>
      </c>
      <c r="E195" s="66">
        <v>7.0</v>
      </c>
      <c r="F195" s="66">
        <v>962.0</v>
      </c>
      <c r="G195" s="141">
        <v>43004.0</v>
      </c>
      <c r="H195" s="66">
        <v>8.0</v>
      </c>
      <c r="I195" s="132">
        <v>75.19</v>
      </c>
      <c r="J195" s="133">
        <v>-5612.8</v>
      </c>
      <c r="K195" s="142">
        <v>88.0</v>
      </c>
      <c r="L195" s="111">
        <v>22.0</v>
      </c>
      <c r="M195" s="70">
        <v>2030.0</v>
      </c>
      <c r="N195" s="24" t="s">
        <v>4311</v>
      </c>
    </row>
    <row r="196">
      <c r="A196" s="66">
        <v>7192.0</v>
      </c>
      <c r="B196" s="66">
        <v>215.0</v>
      </c>
      <c r="C196" s="66">
        <v>24.0</v>
      </c>
      <c r="D196" s="66">
        <v>2.0</v>
      </c>
      <c r="E196" s="66">
        <v>9.0</v>
      </c>
      <c r="F196" s="66">
        <v>224.0</v>
      </c>
      <c r="G196" s="141">
        <v>33122.0</v>
      </c>
      <c r="H196" s="66">
        <v>8.0</v>
      </c>
      <c r="I196" s="132">
        <v>87.63</v>
      </c>
      <c r="J196" s="133">
        <v>-8210.66</v>
      </c>
      <c r="K196" s="142">
        <v>89.0</v>
      </c>
      <c r="L196" s="111">
        <v>20.0</v>
      </c>
      <c r="M196" s="70">
        <v>900.0</v>
      </c>
      <c r="N196" s="24" t="s">
        <v>4312</v>
      </c>
    </row>
    <row r="197">
      <c r="A197" s="66">
        <v>7193.0</v>
      </c>
      <c r="B197" s="66">
        <v>213.0</v>
      </c>
      <c r="C197" s="66">
        <v>85.0</v>
      </c>
      <c r="D197" s="66">
        <v>7.0</v>
      </c>
      <c r="E197" s="66">
        <v>3.0</v>
      </c>
      <c r="F197" s="66">
        <v>892.0</v>
      </c>
      <c r="G197" s="141">
        <v>123117.0</v>
      </c>
      <c r="H197" s="66">
        <v>2.0</v>
      </c>
      <c r="I197" s="132">
        <v>80.94</v>
      </c>
      <c r="J197" s="133">
        <v>194.36</v>
      </c>
      <c r="K197" s="142">
        <v>38.0</v>
      </c>
      <c r="L197" s="111">
        <v>22.0</v>
      </c>
      <c r="M197" s="70">
        <v>1100.0</v>
      </c>
      <c r="N197" s="24" t="s">
        <v>4313</v>
      </c>
    </row>
    <row r="198">
      <c r="A198" s="66">
        <v>7194.0</v>
      </c>
      <c r="B198" s="66">
        <v>212.0</v>
      </c>
      <c r="C198" s="66">
        <v>44.0</v>
      </c>
      <c r="D198" s="66">
        <v>8.0</v>
      </c>
      <c r="E198" s="66">
        <v>1.0</v>
      </c>
      <c r="F198" s="66">
        <v>408.0</v>
      </c>
      <c r="G198" s="141">
        <v>33120.0</v>
      </c>
      <c r="H198" s="66">
        <v>8.0</v>
      </c>
      <c r="I198" s="132">
        <v>51.53</v>
      </c>
      <c r="J198" s="133">
        <v>7324.0</v>
      </c>
      <c r="K198" s="142">
        <v>57.0</v>
      </c>
      <c r="L198" s="111">
        <v>23.0</v>
      </c>
      <c r="M198" s="70">
        <v>1930.0</v>
      </c>
      <c r="N198" s="24" t="s">
        <v>4314</v>
      </c>
    </row>
    <row r="199">
      <c r="A199" s="66">
        <v>7195.0</v>
      </c>
      <c r="B199" s="66">
        <v>209.0</v>
      </c>
      <c r="C199" s="66">
        <v>85.0</v>
      </c>
      <c r="D199" s="66">
        <v>7.0</v>
      </c>
      <c r="E199" s="66">
        <v>9.0</v>
      </c>
      <c r="F199" s="66">
        <v>211.0</v>
      </c>
      <c r="G199" s="141">
        <v>73122.0</v>
      </c>
      <c r="H199" s="66">
        <v>4.0</v>
      </c>
      <c r="I199" s="132">
        <v>-84012.19</v>
      </c>
      <c r="J199" s="133">
        <v>984.6</v>
      </c>
      <c r="K199" s="142">
        <v>21.0</v>
      </c>
      <c r="L199" s="111">
        <v>23.0</v>
      </c>
      <c r="M199" s="70">
        <v>1400.0</v>
      </c>
      <c r="N199" s="24" t="s">
        <v>4315</v>
      </c>
    </row>
    <row r="200">
      <c r="A200" s="66">
        <v>7196.0</v>
      </c>
      <c r="B200" s="66">
        <v>213.0</v>
      </c>
      <c r="C200" s="66">
        <v>85.0</v>
      </c>
      <c r="D200" s="66">
        <v>8.0</v>
      </c>
      <c r="E200" s="66">
        <v>2.0</v>
      </c>
      <c r="F200" s="66">
        <v>141.0</v>
      </c>
      <c r="G200" s="141">
        <v>123121.0</v>
      </c>
      <c r="H200" s="66">
        <v>2.0</v>
      </c>
      <c r="I200" s="132">
        <v>115.23</v>
      </c>
      <c r="J200" s="133">
        <v>2728.15</v>
      </c>
      <c r="K200" s="142">
        <v>72.0</v>
      </c>
      <c r="L200" s="111">
        <v>23.0</v>
      </c>
      <c r="M200" s="70">
        <v>2000.0</v>
      </c>
      <c r="N200" s="24" t="s">
        <v>4316</v>
      </c>
    </row>
    <row r="201">
      <c r="A201" s="66">
        <v>7197.0</v>
      </c>
      <c r="B201" s="66">
        <v>200.0</v>
      </c>
      <c r="C201" s="66">
        <v>85.0</v>
      </c>
      <c r="D201" s="66">
        <v>8.0</v>
      </c>
      <c r="E201" s="66">
        <v>4.0</v>
      </c>
      <c r="F201" s="66">
        <v>465.0</v>
      </c>
      <c r="G201" s="141">
        <v>73106.0</v>
      </c>
      <c r="H201" s="66">
        <v>8.0</v>
      </c>
      <c r="I201" s="132">
        <v>96598.29</v>
      </c>
      <c r="J201" s="133">
        <v>-4120.57</v>
      </c>
      <c r="K201" s="142">
        <v>58.0</v>
      </c>
      <c r="L201" s="111">
        <v>20.0</v>
      </c>
      <c r="M201" s="70">
        <v>1830.0</v>
      </c>
      <c r="N201" s="24" t="s">
        <v>4317</v>
      </c>
    </row>
    <row r="202">
      <c r="A202" s="66">
        <v>7198.0</v>
      </c>
      <c r="B202" s="66">
        <v>208.0</v>
      </c>
      <c r="C202" s="66">
        <v>85.0</v>
      </c>
      <c r="D202" s="66">
        <v>8.0</v>
      </c>
      <c r="E202" s="66">
        <v>9.0</v>
      </c>
      <c r="F202" s="66">
        <v>238.0</v>
      </c>
      <c r="G202" s="141">
        <v>123193.0</v>
      </c>
      <c r="H202" s="66">
        <v>2.0</v>
      </c>
      <c r="I202" s="132">
        <v>63734.98</v>
      </c>
      <c r="J202" s="133">
        <v>20.6</v>
      </c>
      <c r="K202" s="142">
        <v>62.0</v>
      </c>
      <c r="L202" s="111">
        <v>20.0</v>
      </c>
      <c r="M202" s="70">
        <v>1430.0</v>
      </c>
      <c r="N202" s="24" t="s">
        <v>4318</v>
      </c>
    </row>
    <row r="203">
      <c r="A203" s="66">
        <v>7199.0</v>
      </c>
      <c r="B203" s="66">
        <v>215.0</v>
      </c>
      <c r="C203" s="66">
        <v>65.0</v>
      </c>
      <c r="D203" s="66">
        <v>4.0</v>
      </c>
      <c r="E203" s="66">
        <v>2.0</v>
      </c>
      <c r="F203" s="66">
        <v>258.0</v>
      </c>
      <c r="G203" s="141">
        <v>63007.0</v>
      </c>
      <c r="H203" s="66">
        <v>9.0</v>
      </c>
      <c r="I203" s="132">
        <v>45493.0</v>
      </c>
      <c r="J203" s="133">
        <v>-3836.24</v>
      </c>
      <c r="K203" s="142">
        <v>77.0</v>
      </c>
      <c r="L203" s="111">
        <v>22.0</v>
      </c>
      <c r="M203" s="70">
        <v>1630.0</v>
      </c>
      <c r="N203" s="24" t="s">
        <v>4319</v>
      </c>
    </row>
    <row r="204">
      <c r="A204" s="66">
        <v>7200.0</v>
      </c>
      <c r="B204" s="66">
        <v>203.0</v>
      </c>
      <c r="C204" s="66">
        <v>44.0</v>
      </c>
      <c r="D204" s="66">
        <v>9.0</v>
      </c>
      <c r="E204" s="66">
        <v>4.0</v>
      </c>
      <c r="F204" s="66">
        <v>615.0</v>
      </c>
      <c r="G204" s="141">
        <v>73112.0</v>
      </c>
      <c r="H204" s="66">
        <v>8.0</v>
      </c>
      <c r="I204" s="132">
        <v>6844.76</v>
      </c>
      <c r="J204" s="133">
        <v>30.55</v>
      </c>
      <c r="K204" s="142">
        <v>99.0</v>
      </c>
      <c r="L204" s="111">
        <v>20.0</v>
      </c>
      <c r="M204" s="70">
        <v>300.0</v>
      </c>
      <c r="N204" s="24" t="s">
        <v>4320</v>
      </c>
    </row>
    <row r="205">
      <c r="A205" s="66">
        <v>7201.0</v>
      </c>
      <c r="B205" s="66">
        <v>202.0</v>
      </c>
      <c r="C205" s="66">
        <v>65.0</v>
      </c>
      <c r="D205" s="66">
        <v>4.0</v>
      </c>
      <c r="E205" s="66">
        <v>4.0</v>
      </c>
      <c r="F205" s="66">
        <v>708.0</v>
      </c>
      <c r="G205" s="141">
        <v>13101.0</v>
      </c>
      <c r="H205" s="66">
        <v>7.0</v>
      </c>
      <c r="I205" s="132">
        <v>56113.52</v>
      </c>
      <c r="J205" s="133">
        <v>816.83</v>
      </c>
      <c r="K205" s="142">
        <v>37.0</v>
      </c>
      <c r="L205" s="111">
        <v>22.0</v>
      </c>
      <c r="M205" s="70">
        <v>330.0</v>
      </c>
      <c r="N205" s="24" t="s">
        <v>4321</v>
      </c>
    </row>
    <row r="206">
      <c r="A206" s="66">
        <v>7202.0</v>
      </c>
      <c r="B206" s="66">
        <v>214.0</v>
      </c>
      <c r="C206" s="66">
        <v>85.0</v>
      </c>
      <c r="D206" s="66">
        <v>9.0</v>
      </c>
      <c r="E206" s="66">
        <v>3.0</v>
      </c>
      <c r="F206" s="66">
        <v>819.0</v>
      </c>
      <c r="G206" s="141">
        <v>93097.0</v>
      </c>
      <c r="H206" s="66">
        <v>9.0</v>
      </c>
      <c r="I206" s="132">
        <v>193.83</v>
      </c>
      <c r="J206" s="133">
        <v>8129.19</v>
      </c>
      <c r="K206" s="142">
        <v>48.0</v>
      </c>
      <c r="L206" s="111">
        <v>22.0</v>
      </c>
      <c r="M206" s="70">
        <v>930.0</v>
      </c>
      <c r="N206" s="24" t="s">
        <v>4322</v>
      </c>
    </row>
    <row r="207">
      <c r="A207" s="66">
        <v>7203.0</v>
      </c>
      <c r="B207" s="66">
        <v>202.0</v>
      </c>
      <c r="C207" s="66">
        <v>44.0</v>
      </c>
      <c r="D207" s="66">
        <v>9.0</v>
      </c>
      <c r="E207" s="66">
        <v>7.0</v>
      </c>
      <c r="F207" s="66">
        <v>266.0</v>
      </c>
      <c r="G207" s="141">
        <v>103109.0</v>
      </c>
      <c r="H207" s="66">
        <v>8.0</v>
      </c>
      <c r="I207" s="132">
        <v>3786.95</v>
      </c>
      <c r="J207" s="133">
        <v>44443.15</v>
      </c>
      <c r="K207" s="142">
        <v>44.0</v>
      </c>
      <c r="L207" s="111">
        <v>20.0</v>
      </c>
      <c r="M207" s="70">
        <v>1930.0</v>
      </c>
      <c r="N207" s="24" t="s">
        <v>4323</v>
      </c>
    </row>
    <row r="208">
      <c r="A208" s="66">
        <v>7204.0</v>
      </c>
      <c r="B208" s="66">
        <v>207.0</v>
      </c>
      <c r="C208" s="66">
        <v>85.0</v>
      </c>
      <c r="D208" s="66">
        <v>9.0</v>
      </c>
      <c r="E208" s="66">
        <v>4.0</v>
      </c>
      <c r="F208" s="66">
        <v>825.0</v>
      </c>
      <c r="G208" s="141">
        <v>22814.0</v>
      </c>
      <c r="H208" s="66">
        <v>7.0</v>
      </c>
      <c r="I208" s="132">
        <v>380.9</v>
      </c>
      <c r="J208" s="133">
        <v>700.34</v>
      </c>
      <c r="K208" s="142">
        <v>70.0</v>
      </c>
      <c r="L208" s="111">
        <v>22.0</v>
      </c>
      <c r="M208" s="70">
        <v>1530.0</v>
      </c>
      <c r="N208" s="24" t="s">
        <v>4324</v>
      </c>
    </row>
    <row r="209">
      <c r="A209" s="66">
        <v>7205.0</v>
      </c>
      <c r="B209" s="66">
        <v>213.0</v>
      </c>
      <c r="C209" s="66">
        <v>85.0</v>
      </c>
      <c r="D209" s="66">
        <v>9.0</v>
      </c>
      <c r="E209" s="66">
        <v>7.0</v>
      </c>
      <c r="F209" s="66">
        <v>969.0</v>
      </c>
      <c r="G209" s="141">
        <v>43005.0</v>
      </c>
      <c r="H209" s="66">
        <v>6.0</v>
      </c>
      <c r="I209" s="132">
        <v>98958.19</v>
      </c>
      <c r="J209" s="133">
        <v>-149.9</v>
      </c>
      <c r="K209" s="142">
        <v>86.0</v>
      </c>
      <c r="L209" s="111">
        <v>21.0</v>
      </c>
      <c r="M209" s="70">
        <v>230.0</v>
      </c>
      <c r="N209" s="24" t="s">
        <v>4325</v>
      </c>
    </row>
    <row r="210">
      <c r="A210" s="66">
        <v>7206.0</v>
      </c>
      <c r="B210" s="66">
        <v>210.0</v>
      </c>
      <c r="C210" s="66">
        <v>65.0</v>
      </c>
      <c r="D210" s="66">
        <v>4.0</v>
      </c>
      <c r="E210" s="66">
        <v>9.0</v>
      </c>
      <c r="F210" s="66">
        <v>309.0</v>
      </c>
      <c r="G210" s="141">
        <v>73196.0</v>
      </c>
      <c r="H210" s="66">
        <v>8.0</v>
      </c>
      <c r="I210" s="132">
        <v>3641.6</v>
      </c>
      <c r="J210" s="133">
        <v>226.82</v>
      </c>
      <c r="K210" s="142">
        <v>54.0</v>
      </c>
      <c r="L210" s="111">
        <v>22.0</v>
      </c>
      <c r="M210" s="70">
        <v>300.0</v>
      </c>
      <c r="N210" s="24" t="s">
        <v>4326</v>
      </c>
    </row>
    <row r="211">
      <c r="A211" s="66">
        <v>7207.0</v>
      </c>
      <c r="B211" s="66">
        <v>216.0</v>
      </c>
      <c r="C211" s="66">
        <v>24.0</v>
      </c>
      <c r="D211" s="66">
        <v>5.0</v>
      </c>
      <c r="E211" s="66">
        <v>6.0</v>
      </c>
      <c r="F211" s="66">
        <v>235.0</v>
      </c>
      <c r="G211" s="141">
        <v>22890.0</v>
      </c>
      <c r="H211" s="66">
        <v>1.0</v>
      </c>
      <c r="I211" s="132">
        <v>80.22</v>
      </c>
      <c r="J211" s="133">
        <v>1538.11</v>
      </c>
      <c r="K211" s="142">
        <v>38.0</v>
      </c>
      <c r="L211" s="111">
        <v>23.0</v>
      </c>
      <c r="M211" s="70">
        <v>1430.0</v>
      </c>
      <c r="N211" s="24" t="s">
        <v>4327</v>
      </c>
    </row>
    <row r="212">
      <c r="A212" s="66">
        <v>7208.0</v>
      </c>
      <c r="B212" s="66">
        <v>204.0</v>
      </c>
      <c r="C212" s="66">
        <v>65.0</v>
      </c>
      <c r="D212" s="66">
        <v>5.0</v>
      </c>
      <c r="E212" s="66">
        <v>4.0</v>
      </c>
      <c r="F212" s="66">
        <v>493.0</v>
      </c>
      <c r="G212" s="141">
        <v>33110.0</v>
      </c>
      <c r="H212" s="66">
        <v>2.0</v>
      </c>
      <c r="I212" s="132">
        <v>28.56</v>
      </c>
      <c r="J212" s="133">
        <v>3371.43</v>
      </c>
      <c r="K212" s="142">
        <v>79.0</v>
      </c>
      <c r="L212" s="111">
        <v>23.0</v>
      </c>
      <c r="M212" s="70">
        <v>530.0</v>
      </c>
      <c r="N212" s="24" t="s">
        <v>4328</v>
      </c>
    </row>
    <row r="213">
      <c r="A213" s="66">
        <v>7209.0</v>
      </c>
      <c r="B213" s="66">
        <v>206.0</v>
      </c>
      <c r="C213" s="66">
        <v>65.0</v>
      </c>
      <c r="D213" s="66">
        <v>5.0</v>
      </c>
      <c r="E213" s="66">
        <v>5.0</v>
      </c>
      <c r="F213" s="66">
        <v>540.0</v>
      </c>
      <c r="G213" s="141">
        <v>103104.0</v>
      </c>
      <c r="H213" s="66">
        <v>1.0</v>
      </c>
      <c r="I213" s="132">
        <v>-76247.29</v>
      </c>
      <c r="J213" s="133">
        <v>-83.86</v>
      </c>
      <c r="K213" s="142">
        <v>59.0</v>
      </c>
      <c r="L213" s="111">
        <v>21.0</v>
      </c>
      <c r="M213" s="70">
        <v>1800.0</v>
      </c>
      <c r="N213" s="24" t="s">
        <v>4329</v>
      </c>
    </row>
    <row r="214">
      <c r="A214" s="66">
        <v>7210.0</v>
      </c>
      <c r="B214" s="66">
        <v>212.0</v>
      </c>
      <c r="C214" s="66">
        <v>65.0</v>
      </c>
      <c r="D214" s="66">
        <v>5.0</v>
      </c>
      <c r="E214" s="66">
        <v>7.0</v>
      </c>
      <c r="F214" s="66">
        <v>300.0</v>
      </c>
      <c r="G214" s="141">
        <v>43097.0</v>
      </c>
      <c r="H214" s="66">
        <v>7.0</v>
      </c>
      <c r="I214" s="132">
        <v>529.87</v>
      </c>
      <c r="J214" s="133">
        <v>-56.3</v>
      </c>
      <c r="K214" s="142">
        <v>49.0</v>
      </c>
      <c r="L214" s="111">
        <v>22.0</v>
      </c>
      <c r="M214" s="70">
        <v>1500.0</v>
      </c>
      <c r="N214" s="24" t="s">
        <v>4330</v>
      </c>
    </row>
    <row r="215">
      <c r="A215" s="66">
        <v>7211.0</v>
      </c>
      <c r="B215" s="66">
        <v>218.0</v>
      </c>
      <c r="C215" s="66">
        <v>24.0</v>
      </c>
      <c r="D215" s="66">
        <v>6.0</v>
      </c>
      <c r="E215" s="66">
        <v>2.0</v>
      </c>
      <c r="F215" s="66">
        <v>585.0</v>
      </c>
      <c r="G215" s="141">
        <v>113018.0</v>
      </c>
      <c r="H215" s="66">
        <v>7.0</v>
      </c>
      <c r="I215" s="132">
        <v>4355.56</v>
      </c>
      <c r="J215" s="133">
        <v>690.1</v>
      </c>
      <c r="K215" s="142">
        <v>90.0</v>
      </c>
      <c r="L215" s="111">
        <v>22.0</v>
      </c>
      <c r="M215" s="70">
        <v>1330.0</v>
      </c>
      <c r="N215" s="24" t="s">
        <v>4331</v>
      </c>
    </row>
    <row r="216">
      <c r="A216" s="66">
        <v>7212.0</v>
      </c>
      <c r="B216" s="66">
        <v>210.0</v>
      </c>
      <c r="C216" s="66">
        <v>24.0</v>
      </c>
      <c r="D216" s="66">
        <v>6.0</v>
      </c>
      <c r="E216" s="66">
        <v>5.0</v>
      </c>
      <c r="F216" s="66">
        <v>392.0</v>
      </c>
      <c r="G216" s="141">
        <v>93096.0</v>
      </c>
      <c r="H216" s="66">
        <v>2.0</v>
      </c>
      <c r="I216" s="132">
        <v>-219.31</v>
      </c>
      <c r="J216" s="133">
        <v>-74.58</v>
      </c>
      <c r="K216" s="142">
        <v>32.0</v>
      </c>
      <c r="L216" s="111">
        <v>22.0</v>
      </c>
      <c r="M216" s="70">
        <v>930.0</v>
      </c>
      <c r="N216" s="24" t="s">
        <v>4332</v>
      </c>
    </row>
    <row r="217">
      <c r="A217" s="66">
        <v>7213.0</v>
      </c>
      <c r="B217" s="66">
        <v>220.0</v>
      </c>
      <c r="C217" s="66">
        <v>24.0</v>
      </c>
      <c r="D217" s="66">
        <v>6.0</v>
      </c>
      <c r="E217" s="66">
        <v>8.0</v>
      </c>
      <c r="F217" s="66">
        <v>936.0</v>
      </c>
      <c r="G217" s="141">
        <v>103193.0</v>
      </c>
      <c r="H217" s="66">
        <v>8.0</v>
      </c>
      <c r="I217" s="132">
        <v>805.97</v>
      </c>
      <c r="J217" s="133">
        <v>24.58</v>
      </c>
      <c r="K217" s="142">
        <v>48.0</v>
      </c>
      <c r="L217" s="111">
        <v>21.0</v>
      </c>
      <c r="M217" s="70">
        <v>1100.0</v>
      </c>
      <c r="N217" s="24" t="s">
        <v>4333</v>
      </c>
    </row>
    <row r="218">
      <c r="A218" s="66">
        <v>7214.0</v>
      </c>
      <c r="B218" s="66">
        <v>213.0</v>
      </c>
      <c r="C218" s="66">
        <v>86.0</v>
      </c>
      <c r="D218" s="66">
        <v>1.0</v>
      </c>
      <c r="E218" s="66">
        <v>2.0</v>
      </c>
      <c r="F218" s="66">
        <v>323.0</v>
      </c>
      <c r="G218" s="141">
        <v>103191.0</v>
      </c>
      <c r="H218" s="66">
        <v>4.0</v>
      </c>
      <c r="I218" s="132">
        <v>196.35</v>
      </c>
      <c r="J218" s="133">
        <v>30258.56</v>
      </c>
      <c r="K218" s="142">
        <v>8.0</v>
      </c>
      <c r="L218" s="111">
        <v>23.0</v>
      </c>
      <c r="M218" s="70">
        <v>1000.0</v>
      </c>
      <c r="N218" s="24" t="s">
        <v>4334</v>
      </c>
    </row>
    <row r="219">
      <c r="A219" s="66">
        <v>7215.0</v>
      </c>
      <c r="B219" s="66">
        <v>213.0</v>
      </c>
      <c r="C219" s="66">
        <v>65.0</v>
      </c>
      <c r="D219" s="66">
        <v>6.0</v>
      </c>
      <c r="E219" s="66">
        <v>6.0</v>
      </c>
      <c r="F219" s="66">
        <v>109.0</v>
      </c>
      <c r="G219" s="141">
        <v>63098.0</v>
      </c>
      <c r="H219" s="66">
        <v>9.0</v>
      </c>
      <c r="I219" s="132">
        <v>34.8</v>
      </c>
      <c r="J219" s="133">
        <v>8975.17</v>
      </c>
      <c r="K219" s="142">
        <v>53.0</v>
      </c>
      <c r="L219" s="111">
        <v>20.0</v>
      </c>
      <c r="M219" s="70">
        <v>2230.0</v>
      </c>
      <c r="N219" s="24" t="s">
        <v>4335</v>
      </c>
    </row>
    <row r="220">
      <c r="A220" s="66">
        <v>7216.0</v>
      </c>
      <c r="B220" s="66">
        <v>200.0</v>
      </c>
      <c r="C220" s="66">
        <v>65.0</v>
      </c>
      <c r="D220" s="66">
        <v>6.0</v>
      </c>
      <c r="E220" s="66">
        <v>7.0</v>
      </c>
      <c r="F220" s="66">
        <v>984.0</v>
      </c>
      <c r="G220" s="141">
        <v>73113.0</v>
      </c>
      <c r="H220" s="66">
        <v>7.0</v>
      </c>
      <c r="I220" s="132">
        <v>6922.25</v>
      </c>
      <c r="J220" s="133">
        <v>644.98</v>
      </c>
      <c r="K220" s="142">
        <v>4.0</v>
      </c>
      <c r="L220" s="111">
        <v>23.0</v>
      </c>
      <c r="M220" s="70">
        <v>1600.0</v>
      </c>
      <c r="N220" s="24" t="s">
        <v>4336</v>
      </c>
    </row>
    <row r="221">
      <c r="A221" s="66">
        <v>7217.0</v>
      </c>
      <c r="B221" s="66">
        <v>204.0</v>
      </c>
      <c r="C221" s="66">
        <v>24.0</v>
      </c>
      <c r="D221" s="66">
        <v>7.0</v>
      </c>
      <c r="E221" s="66">
        <v>3.0</v>
      </c>
      <c r="F221" s="66">
        <v>115.0</v>
      </c>
      <c r="G221" s="141">
        <v>113098.0</v>
      </c>
      <c r="H221" s="66">
        <v>4.0</v>
      </c>
      <c r="I221" s="132">
        <v>67.88</v>
      </c>
      <c r="J221" s="133">
        <v>-36725.18</v>
      </c>
      <c r="K221" s="142">
        <v>77.0</v>
      </c>
      <c r="L221" s="111">
        <v>23.0</v>
      </c>
      <c r="M221" s="70">
        <v>1900.0</v>
      </c>
      <c r="N221" s="24" t="s">
        <v>4337</v>
      </c>
    </row>
    <row r="222">
      <c r="A222" s="66">
        <v>7218.0</v>
      </c>
      <c r="B222" s="66">
        <v>209.0</v>
      </c>
      <c r="C222" s="66">
        <v>24.0</v>
      </c>
      <c r="D222" s="66">
        <v>7.0</v>
      </c>
      <c r="E222" s="66">
        <v>4.0</v>
      </c>
      <c r="F222" s="66">
        <v>518.0</v>
      </c>
      <c r="G222" s="141">
        <v>33111.0</v>
      </c>
      <c r="H222" s="66">
        <v>8.0</v>
      </c>
      <c r="I222" s="132">
        <v>-8432.73</v>
      </c>
      <c r="J222" s="133">
        <v>-545.2</v>
      </c>
      <c r="K222" s="142">
        <v>13.0</v>
      </c>
      <c r="L222" s="111">
        <v>23.0</v>
      </c>
      <c r="M222" s="70">
        <v>1730.0</v>
      </c>
      <c r="N222" s="24" t="s">
        <v>4338</v>
      </c>
    </row>
    <row r="223">
      <c r="A223" s="66">
        <v>7219.0</v>
      </c>
      <c r="B223" s="66">
        <v>203.0</v>
      </c>
      <c r="C223" s="66">
        <v>86.0</v>
      </c>
      <c r="D223" s="66">
        <v>1.0</v>
      </c>
      <c r="E223" s="66">
        <v>7.0</v>
      </c>
      <c r="F223" s="66">
        <v>714.0</v>
      </c>
      <c r="G223" s="141">
        <v>73199.0</v>
      </c>
      <c r="H223" s="66">
        <v>7.0</v>
      </c>
      <c r="I223" s="132">
        <v>-21414.4</v>
      </c>
      <c r="J223" s="133">
        <v>-60804.41</v>
      </c>
      <c r="K223" s="142">
        <v>21.0</v>
      </c>
      <c r="L223" s="111">
        <v>22.0</v>
      </c>
      <c r="M223" s="70">
        <v>2200.0</v>
      </c>
      <c r="N223" s="24" t="s">
        <v>4339</v>
      </c>
    </row>
    <row r="224">
      <c r="A224" s="66">
        <v>7220.0</v>
      </c>
      <c r="B224" s="66">
        <v>219.0</v>
      </c>
      <c r="C224" s="66">
        <v>65.0</v>
      </c>
      <c r="D224" s="66">
        <v>7.0</v>
      </c>
      <c r="E224" s="66">
        <v>2.0</v>
      </c>
      <c r="F224" s="66">
        <v>700.0</v>
      </c>
      <c r="G224" s="141">
        <v>33104.0</v>
      </c>
      <c r="H224" s="66">
        <v>3.0</v>
      </c>
      <c r="I224" s="132">
        <v>9678.2</v>
      </c>
      <c r="J224" s="133">
        <v>4673.72</v>
      </c>
      <c r="K224" s="142">
        <v>39.0</v>
      </c>
      <c r="L224" s="111">
        <v>22.0</v>
      </c>
      <c r="M224" s="70">
        <v>2030.0</v>
      </c>
      <c r="N224" s="24" t="s">
        <v>4340</v>
      </c>
    </row>
    <row r="225">
      <c r="A225" s="66">
        <v>7221.0</v>
      </c>
      <c r="B225" s="66">
        <v>216.0</v>
      </c>
      <c r="C225" s="66">
        <v>45.0</v>
      </c>
      <c r="D225" s="66">
        <v>2.0</v>
      </c>
      <c r="E225" s="66">
        <v>6.0</v>
      </c>
      <c r="F225" s="66">
        <v>557.0</v>
      </c>
      <c r="G225" s="141">
        <v>33119.0</v>
      </c>
      <c r="H225" s="66">
        <v>2.0</v>
      </c>
      <c r="I225" s="132">
        <v>-97952.57</v>
      </c>
      <c r="J225" s="133">
        <v>-8616.39</v>
      </c>
      <c r="K225" s="142">
        <v>45.0</v>
      </c>
      <c r="L225" s="111">
        <v>20.0</v>
      </c>
      <c r="M225" s="70">
        <v>1600.0</v>
      </c>
      <c r="N225" s="24" t="s">
        <v>4341</v>
      </c>
    </row>
    <row r="226">
      <c r="A226" s="66">
        <v>7222.0</v>
      </c>
      <c r="B226" s="66">
        <v>214.0</v>
      </c>
      <c r="C226" s="66">
        <v>45.0</v>
      </c>
      <c r="D226" s="66">
        <v>3.0</v>
      </c>
      <c r="E226" s="66">
        <v>3.0</v>
      </c>
      <c r="F226" s="66">
        <v>196.0</v>
      </c>
      <c r="G226" s="141">
        <v>113011.0</v>
      </c>
      <c r="H226" s="66">
        <v>4.0</v>
      </c>
      <c r="I226" s="132">
        <v>192.63</v>
      </c>
      <c r="J226" s="133">
        <v>9651.82</v>
      </c>
      <c r="K226" s="142">
        <v>8.0</v>
      </c>
      <c r="L226" s="111">
        <v>23.0</v>
      </c>
      <c r="M226" s="70">
        <v>1530.0</v>
      </c>
      <c r="N226" s="24" t="s">
        <v>4342</v>
      </c>
    </row>
    <row r="227">
      <c r="A227" s="66">
        <v>7223.0</v>
      </c>
      <c r="B227" s="66">
        <v>213.0</v>
      </c>
      <c r="C227" s="66">
        <v>65.0</v>
      </c>
      <c r="D227" s="66">
        <v>8.0</v>
      </c>
      <c r="E227" s="66">
        <v>2.0</v>
      </c>
      <c r="F227" s="66">
        <v>716.0</v>
      </c>
      <c r="G227" s="141">
        <v>113012.0</v>
      </c>
      <c r="H227" s="66">
        <v>5.0</v>
      </c>
      <c r="I227" s="132">
        <v>4044.95</v>
      </c>
      <c r="J227" s="133">
        <v>37.81</v>
      </c>
      <c r="K227" s="142">
        <v>4.0</v>
      </c>
      <c r="L227" s="111">
        <v>20.0</v>
      </c>
      <c r="M227" s="70">
        <v>1930.0</v>
      </c>
      <c r="N227" s="24" t="s">
        <v>4343</v>
      </c>
    </row>
    <row r="228">
      <c r="A228" s="66">
        <v>7224.0</v>
      </c>
      <c r="B228" s="66">
        <v>220.0</v>
      </c>
      <c r="C228" s="66">
        <v>24.0</v>
      </c>
      <c r="D228" s="66">
        <v>8.0</v>
      </c>
      <c r="E228" s="66">
        <v>5.0</v>
      </c>
      <c r="F228" s="66">
        <v>401.0</v>
      </c>
      <c r="G228" s="141">
        <v>83195.0</v>
      </c>
      <c r="H228" s="66">
        <v>5.0</v>
      </c>
      <c r="I228" s="132">
        <v>88.31</v>
      </c>
      <c r="J228" s="133">
        <v>3530.67</v>
      </c>
      <c r="K228" s="142">
        <v>10.0</v>
      </c>
      <c r="L228" s="111">
        <v>20.0</v>
      </c>
      <c r="M228" s="70">
        <v>900.0</v>
      </c>
      <c r="N228" s="24" t="s">
        <v>4344</v>
      </c>
    </row>
    <row r="229">
      <c r="A229" s="66">
        <v>7225.0</v>
      </c>
      <c r="B229" s="66">
        <v>211.0</v>
      </c>
      <c r="C229" s="66">
        <v>86.0</v>
      </c>
      <c r="D229" s="66">
        <v>3.0</v>
      </c>
      <c r="E229" s="66">
        <v>2.0</v>
      </c>
      <c r="F229" s="66">
        <v>311.0</v>
      </c>
      <c r="G229" s="141">
        <v>73111.0</v>
      </c>
      <c r="H229" s="66">
        <v>6.0</v>
      </c>
      <c r="I229" s="132">
        <v>1781.57</v>
      </c>
      <c r="J229" s="133">
        <v>337.42</v>
      </c>
      <c r="K229" s="142">
        <v>30.0</v>
      </c>
      <c r="L229" s="111">
        <v>23.0</v>
      </c>
      <c r="M229" s="70">
        <v>230.0</v>
      </c>
      <c r="N229" s="24" t="s">
        <v>4345</v>
      </c>
    </row>
    <row r="230">
      <c r="A230" s="66">
        <v>7226.0</v>
      </c>
      <c r="B230" s="66">
        <v>209.0</v>
      </c>
      <c r="C230" s="66">
        <v>45.0</v>
      </c>
      <c r="D230" s="66">
        <v>3.0</v>
      </c>
      <c r="E230" s="66">
        <v>7.0</v>
      </c>
      <c r="F230" s="66">
        <v>622.0</v>
      </c>
      <c r="G230" s="141">
        <v>22806.0</v>
      </c>
      <c r="H230" s="66">
        <v>5.0</v>
      </c>
      <c r="I230" s="132">
        <v>78.0</v>
      </c>
      <c r="J230" s="133">
        <v>9480.9</v>
      </c>
      <c r="K230" s="142">
        <v>4.0</v>
      </c>
      <c r="L230" s="111">
        <v>21.0</v>
      </c>
      <c r="M230" s="70">
        <v>230.0</v>
      </c>
      <c r="N230" s="24" t="s">
        <v>4346</v>
      </c>
    </row>
    <row r="231">
      <c r="A231" s="66">
        <v>7227.0</v>
      </c>
      <c r="B231" s="66">
        <v>213.0</v>
      </c>
      <c r="C231" s="66">
        <v>86.0</v>
      </c>
      <c r="D231" s="66">
        <v>3.0</v>
      </c>
      <c r="E231" s="66">
        <v>4.0</v>
      </c>
      <c r="F231" s="66">
        <v>291.0</v>
      </c>
      <c r="G231" s="141">
        <v>53109.0</v>
      </c>
      <c r="H231" s="66">
        <v>1.0</v>
      </c>
      <c r="I231" s="132">
        <v>17366.71</v>
      </c>
      <c r="J231" s="133">
        <v>8609.54</v>
      </c>
      <c r="K231" s="142">
        <v>84.0</v>
      </c>
      <c r="L231" s="111">
        <v>23.0</v>
      </c>
      <c r="M231" s="70">
        <v>130.0</v>
      </c>
      <c r="N231" s="24" t="s">
        <v>4347</v>
      </c>
    </row>
    <row r="232">
      <c r="A232" s="66">
        <v>7228.0</v>
      </c>
      <c r="B232" s="66">
        <v>200.0</v>
      </c>
      <c r="C232" s="66">
        <v>65.0</v>
      </c>
      <c r="D232" s="66">
        <v>8.0</v>
      </c>
      <c r="E232" s="66">
        <v>6.0</v>
      </c>
      <c r="F232" s="66">
        <v>276.0</v>
      </c>
      <c r="G232" s="141">
        <v>43006.0</v>
      </c>
      <c r="H232" s="66">
        <v>8.0</v>
      </c>
      <c r="I232" s="132">
        <v>1179.6</v>
      </c>
      <c r="J232" s="133">
        <v>20.81</v>
      </c>
      <c r="K232" s="142">
        <v>60.0</v>
      </c>
      <c r="L232" s="111">
        <v>21.0</v>
      </c>
      <c r="M232" s="70">
        <v>1000.0</v>
      </c>
      <c r="N232" s="24" t="s">
        <v>4348</v>
      </c>
    </row>
    <row r="233">
      <c r="A233" s="66">
        <v>7229.0</v>
      </c>
      <c r="B233" s="66">
        <v>204.0</v>
      </c>
      <c r="C233" s="66">
        <v>45.0</v>
      </c>
      <c r="D233" s="66">
        <v>4.0</v>
      </c>
      <c r="E233" s="66">
        <v>1.0</v>
      </c>
      <c r="F233" s="66">
        <v>599.0</v>
      </c>
      <c r="G233" s="141">
        <v>93091.0</v>
      </c>
      <c r="H233" s="66">
        <v>5.0</v>
      </c>
      <c r="I233" s="132">
        <v>-971.3</v>
      </c>
      <c r="J233" s="133">
        <v>29798.12</v>
      </c>
      <c r="K233" s="142">
        <v>37.0</v>
      </c>
      <c r="L233" s="111">
        <v>23.0</v>
      </c>
      <c r="M233" s="70">
        <v>1700.0</v>
      </c>
      <c r="N233" s="24" t="s">
        <v>4349</v>
      </c>
    </row>
    <row r="234">
      <c r="A234" s="66">
        <v>7230.0</v>
      </c>
      <c r="B234" s="66">
        <v>210.0</v>
      </c>
      <c r="C234" s="66">
        <v>24.0</v>
      </c>
      <c r="D234" s="66">
        <v>9.0</v>
      </c>
      <c r="E234" s="66">
        <v>5.0</v>
      </c>
      <c r="F234" s="66">
        <v>783.0</v>
      </c>
      <c r="G234" s="141">
        <v>63012.0</v>
      </c>
      <c r="H234" s="66">
        <v>5.0</v>
      </c>
      <c r="I234" s="132">
        <v>-4544.8</v>
      </c>
      <c r="J234" s="133">
        <v>64.27</v>
      </c>
      <c r="K234" s="142">
        <v>54.0</v>
      </c>
      <c r="L234" s="111">
        <v>20.0</v>
      </c>
      <c r="M234" s="70">
        <v>1530.0</v>
      </c>
      <c r="N234" s="24" t="s">
        <v>4350</v>
      </c>
    </row>
    <row r="235">
      <c r="A235" s="66">
        <v>7231.0</v>
      </c>
      <c r="B235" s="66">
        <v>215.0</v>
      </c>
      <c r="C235" s="66">
        <v>24.0</v>
      </c>
      <c r="D235" s="66">
        <v>9.0</v>
      </c>
      <c r="E235" s="66">
        <v>6.0</v>
      </c>
      <c r="F235" s="66">
        <v>154.0</v>
      </c>
      <c r="G235" s="141">
        <v>22810.0</v>
      </c>
      <c r="H235" s="66">
        <v>9.0</v>
      </c>
      <c r="I235" s="132">
        <v>6470.89</v>
      </c>
      <c r="J235" s="133">
        <v>32210.8</v>
      </c>
      <c r="K235" s="142">
        <v>92.0</v>
      </c>
      <c r="L235" s="111">
        <v>22.0</v>
      </c>
      <c r="M235" s="70">
        <v>700.0</v>
      </c>
      <c r="N235" s="24" t="s">
        <v>4351</v>
      </c>
    </row>
    <row r="236">
      <c r="A236" s="66">
        <v>7232.0</v>
      </c>
      <c r="B236" s="66">
        <v>202.0</v>
      </c>
      <c r="C236" s="66">
        <v>45.0</v>
      </c>
      <c r="D236" s="66">
        <v>4.0</v>
      </c>
      <c r="E236" s="66">
        <v>5.0</v>
      </c>
      <c r="F236" s="66">
        <v>827.0</v>
      </c>
      <c r="G236" s="141">
        <v>83196.0</v>
      </c>
      <c r="H236" s="66">
        <v>9.0</v>
      </c>
      <c r="I236" s="132">
        <v>58984.45</v>
      </c>
      <c r="J236" s="133">
        <v>235.42</v>
      </c>
      <c r="K236" s="142">
        <v>85.0</v>
      </c>
      <c r="L236" s="111">
        <v>22.0</v>
      </c>
      <c r="M236" s="70">
        <v>930.0</v>
      </c>
      <c r="N236" s="24" t="s">
        <v>4352</v>
      </c>
    </row>
    <row r="237">
      <c r="A237" s="66">
        <v>7233.0</v>
      </c>
      <c r="B237" s="66">
        <v>217.0</v>
      </c>
      <c r="C237" s="66">
        <v>45.0</v>
      </c>
      <c r="D237" s="66">
        <v>4.0</v>
      </c>
      <c r="E237" s="66">
        <v>4.0</v>
      </c>
      <c r="F237" s="66">
        <v>408.0</v>
      </c>
      <c r="G237" s="141">
        <v>113016.0</v>
      </c>
      <c r="H237" s="66">
        <v>2.0</v>
      </c>
      <c r="I237" s="132">
        <v>4468.13</v>
      </c>
      <c r="J237" s="133">
        <v>46648.59</v>
      </c>
      <c r="K237" s="142">
        <v>36.0</v>
      </c>
      <c r="L237" s="111">
        <v>21.0</v>
      </c>
      <c r="M237" s="70">
        <v>2100.0</v>
      </c>
      <c r="N237" s="24" t="s">
        <v>4353</v>
      </c>
    </row>
    <row r="238">
      <c r="A238" s="66">
        <v>7234.0</v>
      </c>
      <c r="B238" s="66">
        <v>210.0</v>
      </c>
      <c r="C238" s="66">
        <v>45.0</v>
      </c>
      <c r="D238" s="66">
        <v>4.0</v>
      </c>
      <c r="E238" s="66">
        <v>9.0</v>
      </c>
      <c r="F238" s="66">
        <v>226.0</v>
      </c>
      <c r="G238" s="141">
        <v>93010.0</v>
      </c>
      <c r="H238" s="66">
        <v>6.0</v>
      </c>
      <c r="I238" s="132">
        <v>49821.32</v>
      </c>
      <c r="J238" s="133">
        <v>606.38</v>
      </c>
      <c r="K238" s="142">
        <v>23.0</v>
      </c>
      <c r="L238" s="111">
        <v>20.0</v>
      </c>
      <c r="M238" s="70">
        <v>1800.0</v>
      </c>
      <c r="N238" s="24" t="s">
        <v>4354</v>
      </c>
    </row>
    <row r="239">
      <c r="A239" s="66">
        <v>7235.0</v>
      </c>
      <c r="B239" s="66">
        <v>202.0</v>
      </c>
      <c r="C239" s="66">
        <v>86.0</v>
      </c>
      <c r="D239" s="66">
        <v>4.0</v>
      </c>
      <c r="E239" s="66">
        <v>6.0</v>
      </c>
      <c r="F239" s="66">
        <v>882.0</v>
      </c>
      <c r="G239" s="141">
        <v>93093.0</v>
      </c>
      <c r="H239" s="66">
        <v>7.0</v>
      </c>
      <c r="I239" s="132">
        <v>-3358.28</v>
      </c>
      <c r="J239" s="133">
        <v>-99403.6</v>
      </c>
      <c r="K239" s="142">
        <v>67.0</v>
      </c>
      <c r="L239" s="111">
        <v>22.0</v>
      </c>
      <c r="M239" s="70">
        <v>130.0</v>
      </c>
      <c r="N239" s="24" t="s">
        <v>4355</v>
      </c>
    </row>
    <row r="240">
      <c r="A240" s="66">
        <v>7236.0</v>
      </c>
      <c r="B240" s="66">
        <v>208.0</v>
      </c>
      <c r="C240" s="66">
        <v>86.0</v>
      </c>
      <c r="D240" s="66">
        <v>4.0</v>
      </c>
      <c r="E240" s="66">
        <v>8.0</v>
      </c>
      <c r="F240" s="66">
        <v>329.0</v>
      </c>
      <c r="G240" s="141">
        <v>13194.0</v>
      </c>
      <c r="H240" s="66">
        <v>9.0</v>
      </c>
      <c r="I240" s="132">
        <v>46.88</v>
      </c>
      <c r="J240" s="133">
        <v>-97057.86</v>
      </c>
      <c r="K240" s="142">
        <v>46.0</v>
      </c>
      <c r="L240" s="111">
        <v>20.0</v>
      </c>
      <c r="M240" s="70">
        <v>830.0</v>
      </c>
      <c r="N240" s="24" t="s">
        <v>4356</v>
      </c>
    </row>
    <row r="241">
      <c r="A241" s="66">
        <v>7237.0</v>
      </c>
      <c r="B241" s="66">
        <v>207.0</v>
      </c>
      <c r="C241" s="66">
        <v>45.0</v>
      </c>
      <c r="D241" s="66">
        <v>5.0</v>
      </c>
      <c r="E241" s="66">
        <v>2.0</v>
      </c>
      <c r="F241" s="66">
        <v>607.0</v>
      </c>
      <c r="G241" s="141">
        <v>13113.0</v>
      </c>
      <c r="H241" s="66">
        <v>5.0</v>
      </c>
      <c r="I241" s="132">
        <v>1755.85</v>
      </c>
      <c r="J241" s="133">
        <v>5970.37</v>
      </c>
      <c r="K241" s="142">
        <v>80.0</v>
      </c>
      <c r="L241" s="111">
        <v>23.0</v>
      </c>
      <c r="M241" s="70">
        <v>1000.0</v>
      </c>
      <c r="N241" s="24" t="s">
        <v>4357</v>
      </c>
    </row>
    <row r="242">
      <c r="A242" s="66">
        <v>7238.0</v>
      </c>
      <c r="B242" s="66">
        <v>207.0</v>
      </c>
      <c r="C242" s="66">
        <v>25.0</v>
      </c>
      <c r="D242" s="66">
        <v>1.0</v>
      </c>
      <c r="E242" s="66">
        <v>1.0</v>
      </c>
      <c r="F242" s="66">
        <v>259.0</v>
      </c>
      <c r="G242" s="141">
        <v>22802.0</v>
      </c>
      <c r="H242" s="66">
        <v>7.0</v>
      </c>
      <c r="I242" s="132">
        <v>65.87</v>
      </c>
      <c r="J242" s="133">
        <v>105.1</v>
      </c>
      <c r="K242" s="142">
        <v>30.0</v>
      </c>
      <c r="L242" s="111">
        <v>22.0</v>
      </c>
      <c r="M242" s="70">
        <v>630.0</v>
      </c>
      <c r="N242" s="24" t="s">
        <v>4358</v>
      </c>
    </row>
    <row r="243">
      <c r="A243" s="66">
        <v>7239.0</v>
      </c>
      <c r="B243" s="66">
        <v>204.0</v>
      </c>
      <c r="C243" s="66">
        <v>86.0</v>
      </c>
      <c r="D243" s="66">
        <v>5.0</v>
      </c>
      <c r="E243" s="66">
        <v>9.0</v>
      </c>
      <c r="F243" s="66">
        <v>369.0</v>
      </c>
      <c r="G243" s="141">
        <v>63022.0</v>
      </c>
      <c r="H243" s="66">
        <v>6.0</v>
      </c>
      <c r="I243" s="132">
        <v>7934.7</v>
      </c>
      <c r="J243" s="133">
        <v>-92990.1</v>
      </c>
      <c r="K243" s="142">
        <v>23.0</v>
      </c>
      <c r="L243" s="111">
        <v>23.0</v>
      </c>
      <c r="M243" s="70">
        <v>1300.0</v>
      </c>
      <c r="N243" s="24" t="s">
        <v>4359</v>
      </c>
    </row>
    <row r="244">
      <c r="A244" s="66">
        <v>7240.0</v>
      </c>
      <c r="B244" s="66">
        <v>206.0</v>
      </c>
      <c r="C244" s="66">
        <v>66.0</v>
      </c>
      <c r="D244" s="66">
        <v>1.0</v>
      </c>
      <c r="E244" s="66">
        <v>2.0</v>
      </c>
      <c r="F244" s="66">
        <v>455.0</v>
      </c>
      <c r="G244" s="141">
        <v>83114.0</v>
      </c>
      <c r="H244" s="66">
        <v>3.0</v>
      </c>
      <c r="I244" s="132">
        <v>-24632.41</v>
      </c>
      <c r="J244" s="133">
        <v>-242.16</v>
      </c>
      <c r="K244" s="142">
        <v>28.0</v>
      </c>
      <c r="L244" s="111">
        <v>22.0</v>
      </c>
      <c r="M244" s="70">
        <v>1600.0</v>
      </c>
      <c r="N244" s="24" t="s">
        <v>4360</v>
      </c>
    </row>
    <row r="245">
      <c r="A245" s="66">
        <v>7241.0</v>
      </c>
      <c r="B245" s="66">
        <v>202.0</v>
      </c>
      <c r="C245" s="66">
        <v>66.0</v>
      </c>
      <c r="D245" s="66">
        <v>1.0</v>
      </c>
      <c r="E245" s="66">
        <v>1.0</v>
      </c>
      <c r="F245" s="66">
        <v>547.0</v>
      </c>
      <c r="G245" s="141">
        <v>53117.0</v>
      </c>
      <c r="H245" s="66">
        <v>7.0</v>
      </c>
      <c r="I245" s="132">
        <v>15.78</v>
      </c>
      <c r="J245" s="133">
        <v>55997.3</v>
      </c>
      <c r="K245" s="142">
        <v>67.0</v>
      </c>
      <c r="L245" s="111">
        <v>20.0</v>
      </c>
      <c r="M245" s="70">
        <v>900.0</v>
      </c>
      <c r="N245" s="24" t="s">
        <v>4361</v>
      </c>
    </row>
    <row r="246">
      <c r="A246" s="66">
        <v>7242.0</v>
      </c>
      <c r="B246" s="66">
        <v>215.0</v>
      </c>
      <c r="C246" s="66">
        <v>45.0</v>
      </c>
      <c r="D246" s="66">
        <v>6.0</v>
      </c>
      <c r="E246" s="66">
        <v>6.0</v>
      </c>
      <c r="F246" s="66">
        <v>838.0</v>
      </c>
      <c r="G246" s="141">
        <v>13121.0</v>
      </c>
      <c r="H246" s="66">
        <v>4.0</v>
      </c>
      <c r="I246" s="132">
        <v>483.75</v>
      </c>
      <c r="J246" s="133">
        <v>69.52</v>
      </c>
      <c r="K246" s="142">
        <v>74.0</v>
      </c>
      <c r="L246" s="111">
        <v>22.0</v>
      </c>
      <c r="M246" s="70">
        <v>2300.0</v>
      </c>
      <c r="N246" s="24" t="s">
        <v>4362</v>
      </c>
    </row>
    <row r="247">
      <c r="A247" s="66">
        <v>7243.0</v>
      </c>
      <c r="B247" s="66">
        <v>203.0</v>
      </c>
      <c r="C247" s="66">
        <v>25.0</v>
      </c>
      <c r="D247" s="66">
        <v>1.0</v>
      </c>
      <c r="E247" s="66">
        <v>9.0</v>
      </c>
      <c r="F247" s="66">
        <v>308.0</v>
      </c>
      <c r="G247" s="141">
        <v>13107.0</v>
      </c>
      <c r="H247" s="66">
        <v>8.0</v>
      </c>
      <c r="I247" s="132">
        <v>91.46</v>
      </c>
      <c r="J247" s="133">
        <v>8495.9</v>
      </c>
      <c r="K247" s="142">
        <v>59.0</v>
      </c>
      <c r="L247" s="111">
        <v>20.0</v>
      </c>
      <c r="M247" s="70">
        <v>2330.0</v>
      </c>
      <c r="N247" s="24" t="s">
        <v>4363</v>
      </c>
    </row>
    <row r="248">
      <c r="A248" s="66">
        <v>7244.0</v>
      </c>
      <c r="B248" s="66">
        <v>200.0</v>
      </c>
      <c r="C248" s="66">
        <v>66.0</v>
      </c>
      <c r="D248" s="66">
        <v>1.0</v>
      </c>
      <c r="E248" s="66">
        <v>7.0</v>
      </c>
      <c r="F248" s="66">
        <v>957.0</v>
      </c>
      <c r="G248" s="141">
        <v>63090.0</v>
      </c>
      <c r="H248" s="66">
        <v>6.0</v>
      </c>
      <c r="I248" s="132">
        <v>96.1</v>
      </c>
      <c r="J248" s="133">
        <v>26.46</v>
      </c>
      <c r="K248" s="142">
        <v>76.0</v>
      </c>
      <c r="L248" s="111">
        <v>21.0</v>
      </c>
      <c r="M248" s="70">
        <v>330.0</v>
      </c>
      <c r="N248" s="24" t="s">
        <v>4364</v>
      </c>
    </row>
    <row r="249">
      <c r="A249" s="66">
        <v>7245.0</v>
      </c>
      <c r="B249" s="66">
        <v>210.0</v>
      </c>
      <c r="C249" s="66">
        <v>25.0</v>
      </c>
      <c r="D249" s="66">
        <v>2.0</v>
      </c>
      <c r="E249" s="66">
        <v>1.0</v>
      </c>
      <c r="F249" s="66">
        <v>227.0</v>
      </c>
      <c r="G249" s="141">
        <v>73194.0</v>
      </c>
      <c r="H249" s="66">
        <v>3.0</v>
      </c>
      <c r="I249" s="132">
        <v>6256.63</v>
      </c>
      <c r="J249" s="133">
        <v>-97.41</v>
      </c>
      <c r="K249" s="142">
        <v>18.0</v>
      </c>
      <c r="L249" s="111">
        <v>21.0</v>
      </c>
      <c r="M249" s="70">
        <v>2230.0</v>
      </c>
      <c r="N249" s="24" t="s">
        <v>4365</v>
      </c>
    </row>
    <row r="250">
      <c r="A250" s="66">
        <v>7246.0</v>
      </c>
      <c r="B250" s="66">
        <v>218.0</v>
      </c>
      <c r="C250" s="66">
        <v>86.0</v>
      </c>
      <c r="D250" s="66">
        <v>6.0</v>
      </c>
      <c r="E250" s="66">
        <v>8.0</v>
      </c>
      <c r="F250" s="66">
        <v>314.0</v>
      </c>
      <c r="G250" s="141">
        <v>123112.0</v>
      </c>
      <c r="H250" s="66">
        <v>2.0</v>
      </c>
      <c r="I250" s="132">
        <v>781.12</v>
      </c>
      <c r="J250" s="133">
        <v>2840.48</v>
      </c>
      <c r="K250" s="142">
        <v>68.0</v>
      </c>
      <c r="L250" s="111">
        <v>22.0</v>
      </c>
      <c r="M250" s="70">
        <v>1630.0</v>
      </c>
      <c r="N250" s="24" t="s">
        <v>4366</v>
      </c>
    </row>
    <row r="251">
      <c r="A251" s="66">
        <v>7247.0</v>
      </c>
      <c r="B251" s="66">
        <v>211.0</v>
      </c>
      <c r="C251" s="66">
        <v>45.0</v>
      </c>
      <c r="D251" s="66">
        <v>7.0</v>
      </c>
      <c r="E251" s="66">
        <v>6.0</v>
      </c>
      <c r="F251" s="66">
        <v>373.0</v>
      </c>
      <c r="G251" s="141">
        <v>93019.0</v>
      </c>
      <c r="H251" s="66">
        <v>5.0</v>
      </c>
      <c r="I251" s="132">
        <v>8842.57</v>
      </c>
      <c r="J251" s="133">
        <v>883.71</v>
      </c>
      <c r="K251" s="142">
        <v>48.0</v>
      </c>
      <c r="L251" s="111">
        <v>20.0</v>
      </c>
      <c r="M251" s="70">
        <v>100.0</v>
      </c>
      <c r="N251" s="24" t="s">
        <v>4367</v>
      </c>
    </row>
    <row r="252">
      <c r="A252" s="66">
        <v>7248.0</v>
      </c>
      <c r="B252" s="66">
        <v>209.0</v>
      </c>
      <c r="C252" s="66">
        <v>66.0</v>
      </c>
      <c r="D252" s="66">
        <v>2.0</v>
      </c>
      <c r="E252" s="66">
        <v>5.0</v>
      </c>
      <c r="F252" s="66">
        <v>827.0</v>
      </c>
      <c r="G252" s="141">
        <v>83198.0</v>
      </c>
      <c r="H252" s="66">
        <v>4.0</v>
      </c>
      <c r="I252" s="132">
        <v>-9937.86</v>
      </c>
      <c r="J252" s="133">
        <v>62.57</v>
      </c>
      <c r="K252" s="142">
        <v>76.0</v>
      </c>
      <c r="L252" s="111">
        <v>22.0</v>
      </c>
      <c r="M252" s="70">
        <v>1130.0</v>
      </c>
      <c r="N252" s="24" t="s">
        <v>4363</v>
      </c>
    </row>
    <row r="253">
      <c r="A253" s="66">
        <v>7249.0</v>
      </c>
      <c r="B253" s="66">
        <v>219.0</v>
      </c>
      <c r="C253" s="66">
        <v>86.0</v>
      </c>
      <c r="D253" s="66">
        <v>7.0</v>
      </c>
      <c r="E253" s="66">
        <v>2.0</v>
      </c>
      <c r="F253" s="66">
        <v>338.0</v>
      </c>
      <c r="G253" s="141">
        <v>63010.0</v>
      </c>
      <c r="H253" s="66">
        <v>2.0</v>
      </c>
      <c r="I253" s="132">
        <v>-29.53</v>
      </c>
      <c r="J253" s="133">
        <v>4297.65</v>
      </c>
      <c r="K253" s="142">
        <v>15.0</v>
      </c>
      <c r="L253" s="111">
        <v>23.0</v>
      </c>
      <c r="M253" s="70">
        <v>1730.0</v>
      </c>
      <c r="N253" s="24" t="s">
        <v>4368</v>
      </c>
    </row>
    <row r="254">
      <c r="A254" s="66">
        <v>7250.0</v>
      </c>
      <c r="B254" s="66">
        <v>203.0</v>
      </c>
      <c r="C254" s="66">
        <v>45.0</v>
      </c>
      <c r="D254" s="66">
        <v>7.0</v>
      </c>
      <c r="E254" s="66">
        <v>9.0</v>
      </c>
      <c r="F254" s="66">
        <v>505.0</v>
      </c>
      <c r="G254" s="141">
        <v>73118.0</v>
      </c>
      <c r="H254" s="66">
        <v>2.0</v>
      </c>
      <c r="I254" s="132">
        <v>74814.73</v>
      </c>
      <c r="J254" s="133">
        <v>-3246.74</v>
      </c>
      <c r="K254" s="142">
        <v>33.0</v>
      </c>
      <c r="L254" s="111">
        <v>22.0</v>
      </c>
      <c r="M254" s="70">
        <v>1630.0</v>
      </c>
      <c r="N254" s="24" t="s">
        <v>4369</v>
      </c>
    </row>
    <row r="255">
      <c r="A255" s="66">
        <v>7251.0</v>
      </c>
      <c r="B255" s="66">
        <v>214.0</v>
      </c>
      <c r="C255" s="66">
        <v>25.0</v>
      </c>
      <c r="D255" s="66">
        <v>3.0</v>
      </c>
      <c r="E255" s="66">
        <v>2.0</v>
      </c>
      <c r="F255" s="66">
        <v>878.0</v>
      </c>
      <c r="G255" s="141">
        <v>22801.0</v>
      </c>
      <c r="H255" s="66">
        <v>3.0</v>
      </c>
      <c r="I255" s="132">
        <v>8947.95</v>
      </c>
      <c r="J255" s="133">
        <v>11.18</v>
      </c>
      <c r="K255" s="142">
        <v>84.0</v>
      </c>
      <c r="L255" s="111">
        <v>21.0</v>
      </c>
      <c r="M255" s="70">
        <v>1700.0</v>
      </c>
      <c r="N255" s="24" t="s">
        <v>4370</v>
      </c>
    </row>
    <row r="256">
      <c r="A256" s="66">
        <v>7252.0</v>
      </c>
      <c r="B256" s="66">
        <v>208.0</v>
      </c>
      <c r="C256" s="66">
        <v>25.0</v>
      </c>
      <c r="D256" s="66">
        <v>3.0</v>
      </c>
      <c r="E256" s="66">
        <v>3.0</v>
      </c>
      <c r="F256" s="66">
        <v>701.0</v>
      </c>
      <c r="G256" s="141">
        <v>83117.0</v>
      </c>
      <c r="H256" s="66">
        <v>5.0</v>
      </c>
      <c r="I256" s="132">
        <v>-929.84</v>
      </c>
      <c r="J256" s="133">
        <v>6634.96</v>
      </c>
      <c r="K256" s="142">
        <v>25.0</v>
      </c>
      <c r="L256" s="111">
        <v>21.0</v>
      </c>
      <c r="M256" s="70">
        <v>1700.0</v>
      </c>
      <c r="N256" s="24" t="s">
        <v>4371</v>
      </c>
    </row>
    <row r="257">
      <c r="A257" s="66">
        <v>7253.0</v>
      </c>
      <c r="B257" s="66">
        <v>211.0</v>
      </c>
      <c r="C257" s="66">
        <v>45.0</v>
      </c>
      <c r="D257" s="66">
        <v>8.0</v>
      </c>
      <c r="E257" s="66">
        <v>2.0</v>
      </c>
      <c r="F257" s="66">
        <v>459.0</v>
      </c>
      <c r="G257" s="141">
        <v>13103.0</v>
      </c>
      <c r="H257" s="66">
        <v>8.0</v>
      </c>
      <c r="I257" s="132">
        <v>23.22</v>
      </c>
      <c r="J257" s="133">
        <v>27.12</v>
      </c>
      <c r="K257" s="142">
        <v>83.0</v>
      </c>
      <c r="L257" s="111">
        <v>21.0</v>
      </c>
      <c r="M257" s="70">
        <v>1900.0</v>
      </c>
      <c r="N257" s="24" t="s">
        <v>4372</v>
      </c>
    </row>
    <row r="258">
      <c r="A258" s="66">
        <v>7254.0</v>
      </c>
      <c r="B258" s="66">
        <v>216.0</v>
      </c>
      <c r="C258" s="66">
        <v>86.0</v>
      </c>
      <c r="D258" s="66">
        <v>7.0</v>
      </c>
      <c r="E258" s="66">
        <v>9.0</v>
      </c>
      <c r="F258" s="66">
        <v>455.0</v>
      </c>
      <c r="G258" s="141">
        <v>113014.0</v>
      </c>
      <c r="H258" s="66">
        <v>3.0</v>
      </c>
      <c r="I258" s="132">
        <v>-86285.18</v>
      </c>
      <c r="J258" s="133">
        <v>3543.14</v>
      </c>
      <c r="K258" s="142">
        <v>98.0</v>
      </c>
      <c r="L258" s="111">
        <v>21.0</v>
      </c>
      <c r="M258" s="70">
        <v>2100.0</v>
      </c>
      <c r="N258" s="24" t="s">
        <v>4373</v>
      </c>
    </row>
    <row r="259">
      <c r="A259" s="66">
        <v>7255.0</v>
      </c>
      <c r="B259" s="66">
        <v>218.0</v>
      </c>
      <c r="C259" s="66">
        <v>45.0</v>
      </c>
      <c r="D259" s="66">
        <v>8.0</v>
      </c>
      <c r="E259" s="66">
        <v>4.0</v>
      </c>
      <c r="F259" s="66">
        <v>119.0</v>
      </c>
      <c r="G259" s="141">
        <v>53105.0</v>
      </c>
      <c r="H259" s="66">
        <v>6.0</v>
      </c>
      <c r="I259" s="132">
        <v>-15717.88</v>
      </c>
      <c r="J259" s="133">
        <v>23630.35</v>
      </c>
      <c r="K259" s="142">
        <v>43.0</v>
      </c>
      <c r="L259" s="111">
        <v>20.0</v>
      </c>
      <c r="M259" s="70">
        <v>130.0</v>
      </c>
      <c r="N259" s="24" t="s">
        <v>4374</v>
      </c>
    </row>
    <row r="260">
      <c r="A260" s="66">
        <v>7256.0</v>
      </c>
      <c r="B260" s="66">
        <v>209.0</v>
      </c>
      <c r="C260" s="66">
        <v>45.0</v>
      </c>
      <c r="D260" s="66">
        <v>8.0</v>
      </c>
      <c r="E260" s="66">
        <v>5.0</v>
      </c>
      <c r="F260" s="66">
        <v>209.0</v>
      </c>
      <c r="G260" s="141">
        <v>43013.0</v>
      </c>
      <c r="H260" s="66">
        <v>8.0</v>
      </c>
      <c r="I260" s="132">
        <v>89207.89</v>
      </c>
      <c r="J260" s="133">
        <v>-10.29</v>
      </c>
      <c r="K260" s="142">
        <v>60.0</v>
      </c>
      <c r="L260" s="111">
        <v>22.0</v>
      </c>
      <c r="M260" s="70">
        <v>200.0</v>
      </c>
      <c r="N260" s="24" t="s">
        <v>4375</v>
      </c>
    </row>
    <row r="261">
      <c r="A261" s="66">
        <v>7257.0</v>
      </c>
      <c r="B261" s="66">
        <v>208.0</v>
      </c>
      <c r="C261" s="66">
        <v>66.0</v>
      </c>
      <c r="D261" s="66">
        <v>3.0</v>
      </c>
      <c r="E261" s="66">
        <v>4.0</v>
      </c>
      <c r="F261" s="66">
        <v>988.0</v>
      </c>
      <c r="G261" s="141">
        <v>33116.0</v>
      </c>
      <c r="H261" s="66">
        <v>2.0</v>
      </c>
      <c r="I261" s="132">
        <v>389.11</v>
      </c>
      <c r="J261" s="133">
        <v>4655.29</v>
      </c>
      <c r="K261" s="142">
        <v>70.0</v>
      </c>
      <c r="L261" s="111">
        <v>22.0</v>
      </c>
      <c r="M261" s="70">
        <v>1700.0</v>
      </c>
      <c r="N261" s="24" t="s">
        <v>4376</v>
      </c>
    </row>
    <row r="262">
      <c r="A262" s="66">
        <v>7258.0</v>
      </c>
      <c r="B262" s="66">
        <v>213.0</v>
      </c>
      <c r="C262" s="66">
        <v>21.0</v>
      </c>
      <c r="D262" s="66">
        <v>3.0</v>
      </c>
      <c r="E262" s="66">
        <v>2.0</v>
      </c>
      <c r="F262" s="66">
        <v>557.0</v>
      </c>
      <c r="G262" s="141">
        <v>83119.0</v>
      </c>
      <c r="H262" s="66">
        <v>6.0</v>
      </c>
      <c r="I262" s="132">
        <v>-8318.52</v>
      </c>
      <c r="J262" s="133">
        <v>-360.5</v>
      </c>
      <c r="K262" s="142">
        <v>44.0</v>
      </c>
      <c r="L262" s="111">
        <v>20.0</v>
      </c>
      <c r="M262" s="70">
        <v>600.0</v>
      </c>
      <c r="N262" s="24" t="s">
        <v>4377</v>
      </c>
    </row>
    <row r="263">
      <c r="A263" s="66">
        <v>7259.0</v>
      </c>
      <c r="B263" s="66">
        <v>205.0</v>
      </c>
      <c r="C263" s="66">
        <v>45.0</v>
      </c>
      <c r="D263" s="66">
        <v>8.0</v>
      </c>
      <c r="E263" s="66">
        <v>6.0</v>
      </c>
      <c r="F263" s="66">
        <v>855.0</v>
      </c>
      <c r="G263" s="141">
        <v>93007.0</v>
      </c>
      <c r="H263" s="66">
        <v>1.0</v>
      </c>
      <c r="I263" s="132">
        <v>16778.32</v>
      </c>
      <c r="J263" s="133">
        <v>79661.99</v>
      </c>
      <c r="K263" s="142">
        <v>25.0</v>
      </c>
      <c r="L263" s="111">
        <v>20.0</v>
      </c>
      <c r="M263" s="70">
        <v>830.0</v>
      </c>
      <c r="N263" s="24" t="s">
        <v>4378</v>
      </c>
    </row>
    <row r="264">
      <c r="A264" s="66">
        <v>7260.0</v>
      </c>
      <c r="B264" s="66">
        <v>216.0</v>
      </c>
      <c r="C264" s="66">
        <v>45.0</v>
      </c>
      <c r="D264" s="66">
        <v>8.0</v>
      </c>
      <c r="E264" s="66">
        <v>9.0</v>
      </c>
      <c r="F264" s="66">
        <v>676.0</v>
      </c>
      <c r="G264" s="141">
        <v>43014.0</v>
      </c>
      <c r="H264" s="66">
        <v>1.0</v>
      </c>
      <c r="I264" s="132">
        <v>64352.29</v>
      </c>
      <c r="J264" s="133">
        <v>18.91</v>
      </c>
      <c r="K264" s="142">
        <v>68.0</v>
      </c>
      <c r="L264" s="111">
        <v>20.0</v>
      </c>
      <c r="M264" s="70">
        <v>430.0</v>
      </c>
      <c r="N264" s="24" t="s">
        <v>4379</v>
      </c>
    </row>
    <row r="265">
      <c r="A265" s="66">
        <v>7261.0</v>
      </c>
      <c r="B265" s="66">
        <v>219.0</v>
      </c>
      <c r="C265" s="66">
        <v>86.0</v>
      </c>
      <c r="D265" s="66">
        <v>9.0</v>
      </c>
      <c r="E265" s="66">
        <v>7.0</v>
      </c>
      <c r="F265" s="66">
        <v>113.0</v>
      </c>
      <c r="G265" s="141">
        <v>63091.0</v>
      </c>
      <c r="H265" s="66">
        <v>7.0</v>
      </c>
      <c r="I265" s="132">
        <v>-163.11</v>
      </c>
      <c r="J265" s="133">
        <v>4525.44</v>
      </c>
      <c r="K265" s="142">
        <v>25.0</v>
      </c>
      <c r="L265" s="111">
        <v>23.0</v>
      </c>
      <c r="M265" s="70">
        <v>330.0</v>
      </c>
      <c r="N265" s="24" t="s">
        <v>4380</v>
      </c>
    </row>
    <row r="266">
      <c r="A266" s="66">
        <v>7262.0</v>
      </c>
      <c r="B266" s="66">
        <v>203.0</v>
      </c>
      <c r="C266" s="66">
        <v>86.0</v>
      </c>
      <c r="D266" s="66">
        <v>9.0</v>
      </c>
      <c r="E266" s="66">
        <v>8.0</v>
      </c>
      <c r="F266" s="66">
        <v>279.0</v>
      </c>
      <c r="G266" s="141">
        <v>63018.0</v>
      </c>
      <c r="H266" s="66">
        <v>2.0</v>
      </c>
      <c r="I266" s="132">
        <v>-161.56</v>
      </c>
      <c r="J266" s="133">
        <v>36146.9</v>
      </c>
      <c r="K266" s="142">
        <v>10.0</v>
      </c>
      <c r="L266" s="111">
        <v>21.0</v>
      </c>
      <c r="M266" s="70">
        <v>500.0</v>
      </c>
      <c r="N266" s="24" t="s">
        <v>4381</v>
      </c>
    </row>
    <row r="267">
      <c r="A267" s="66">
        <v>7263.0</v>
      </c>
      <c r="B267" s="66">
        <v>218.0</v>
      </c>
      <c r="C267" s="66">
        <v>25.0</v>
      </c>
      <c r="D267" s="66">
        <v>5.0</v>
      </c>
      <c r="E267" s="66">
        <v>5.0</v>
      </c>
      <c r="F267" s="66">
        <v>609.0</v>
      </c>
      <c r="G267" s="141">
        <v>63099.0</v>
      </c>
      <c r="H267" s="66">
        <v>7.0</v>
      </c>
      <c r="I267" s="132">
        <v>280.9</v>
      </c>
      <c r="J267" s="133">
        <v>-92.64</v>
      </c>
      <c r="K267" s="142">
        <v>66.0</v>
      </c>
      <c r="L267" s="111">
        <v>22.0</v>
      </c>
      <c r="M267" s="70">
        <v>600.0</v>
      </c>
      <c r="N267" s="24" t="s">
        <v>4382</v>
      </c>
    </row>
    <row r="268">
      <c r="A268" s="66">
        <v>7264.0</v>
      </c>
      <c r="B268" s="66">
        <v>211.0</v>
      </c>
      <c r="C268" s="66">
        <v>25.0</v>
      </c>
      <c r="D268" s="66">
        <v>5.0</v>
      </c>
      <c r="E268" s="66">
        <v>8.0</v>
      </c>
      <c r="F268" s="66">
        <v>235.0</v>
      </c>
      <c r="G268" s="141">
        <v>63017.0</v>
      </c>
      <c r="H268" s="66">
        <v>2.0</v>
      </c>
      <c r="I268" s="132">
        <v>7023.83</v>
      </c>
      <c r="J268" s="133">
        <v>3725.67</v>
      </c>
      <c r="K268" s="142">
        <v>5.0</v>
      </c>
      <c r="L268" s="111">
        <v>23.0</v>
      </c>
      <c r="M268" s="70">
        <v>1730.0</v>
      </c>
      <c r="N268" s="24" t="s">
        <v>4383</v>
      </c>
    </row>
    <row r="269">
      <c r="A269" s="66">
        <v>7265.0</v>
      </c>
      <c r="B269" s="66">
        <v>210.0</v>
      </c>
      <c r="C269" s="66">
        <v>25.0</v>
      </c>
      <c r="D269" s="66">
        <v>6.0</v>
      </c>
      <c r="E269" s="66">
        <v>5.0</v>
      </c>
      <c r="F269" s="66">
        <v>960.0</v>
      </c>
      <c r="G269" s="141">
        <v>83100.0</v>
      </c>
      <c r="H269" s="66">
        <v>7.0</v>
      </c>
      <c r="I269" s="132">
        <v>63274.9</v>
      </c>
      <c r="J269" s="133">
        <v>7861.64</v>
      </c>
      <c r="K269" s="142">
        <v>50.0</v>
      </c>
      <c r="L269" s="111">
        <v>22.0</v>
      </c>
      <c r="M269" s="70">
        <v>830.0</v>
      </c>
      <c r="N269" s="24" t="s">
        <v>4384</v>
      </c>
    </row>
    <row r="270">
      <c r="A270" s="66">
        <v>7266.0</v>
      </c>
      <c r="B270" s="66">
        <v>206.0</v>
      </c>
      <c r="C270" s="66">
        <v>87.0</v>
      </c>
      <c r="D270" s="66">
        <v>1.0</v>
      </c>
      <c r="E270" s="66">
        <v>3.0</v>
      </c>
      <c r="F270" s="66">
        <v>138.0</v>
      </c>
      <c r="G270" s="141">
        <v>13109.0</v>
      </c>
      <c r="H270" s="66">
        <v>2.0</v>
      </c>
      <c r="I270" s="132">
        <v>83028.39</v>
      </c>
      <c r="J270" s="133">
        <v>914.4</v>
      </c>
      <c r="K270" s="142">
        <v>29.0</v>
      </c>
      <c r="L270" s="111">
        <v>23.0</v>
      </c>
      <c r="M270" s="70">
        <v>730.0</v>
      </c>
      <c r="N270" s="24" t="s">
        <v>4385</v>
      </c>
    </row>
    <row r="271">
      <c r="A271" s="66">
        <v>7267.0</v>
      </c>
      <c r="B271" s="66">
        <v>202.0</v>
      </c>
      <c r="C271" s="66">
        <v>66.0</v>
      </c>
      <c r="D271" s="66">
        <v>6.0</v>
      </c>
      <c r="E271" s="66">
        <v>8.0</v>
      </c>
      <c r="F271" s="66">
        <v>302.0</v>
      </c>
      <c r="G271" s="141">
        <v>73114.0</v>
      </c>
      <c r="H271" s="66">
        <v>4.0</v>
      </c>
      <c r="I271" s="132">
        <v>829.2</v>
      </c>
      <c r="J271" s="133">
        <v>42134.31</v>
      </c>
      <c r="K271" s="142">
        <v>48.0</v>
      </c>
      <c r="L271" s="111">
        <v>23.0</v>
      </c>
      <c r="M271" s="70">
        <v>1800.0</v>
      </c>
      <c r="N271" s="24" t="s">
        <v>4386</v>
      </c>
    </row>
    <row r="272">
      <c r="A272" s="66">
        <v>7268.0</v>
      </c>
      <c r="B272" s="66">
        <v>201.0</v>
      </c>
      <c r="C272" s="66">
        <v>66.0</v>
      </c>
      <c r="D272" s="66">
        <v>6.0</v>
      </c>
      <c r="E272" s="66">
        <v>9.0</v>
      </c>
      <c r="F272" s="66">
        <v>458.0</v>
      </c>
      <c r="G272" s="141">
        <v>33107.0</v>
      </c>
      <c r="H272" s="66">
        <v>9.0</v>
      </c>
      <c r="I272" s="132">
        <v>785.98</v>
      </c>
      <c r="J272" s="133">
        <v>98.37</v>
      </c>
      <c r="K272" s="142">
        <v>79.0</v>
      </c>
      <c r="L272" s="111">
        <v>22.0</v>
      </c>
      <c r="M272" s="70">
        <v>2330.0</v>
      </c>
      <c r="N272" s="24" t="s">
        <v>4387</v>
      </c>
    </row>
    <row r="273">
      <c r="A273" s="66">
        <v>7269.0</v>
      </c>
      <c r="B273" s="66">
        <v>212.0</v>
      </c>
      <c r="C273" s="66">
        <v>25.0</v>
      </c>
      <c r="D273" s="66">
        <v>7.0</v>
      </c>
      <c r="E273" s="66">
        <v>3.0</v>
      </c>
      <c r="F273" s="66">
        <v>209.0</v>
      </c>
      <c r="G273" s="141">
        <v>103103.0</v>
      </c>
      <c r="H273" s="66">
        <v>1.0</v>
      </c>
      <c r="I273" s="132">
        <v>30.46</v>
      </c>
      <c r="J273" s="133">
        <v>92044.14</v>
      </c>
      <c r="K273" s="142">
        <v>46.0</v>
      </c>
      <c r="L273" s="111">
        <v>23.0</v>
      </c>
      <c r="M273" s="70">
        <v>1130.0</v>
      </c>
      <c r="N273" s="24" t="s">
        <v>4388</v>
      </c>
    </row>
    <row r="274">
      <c r="A274" s="66">
        <v>7270.0</v>
      </c>
      <c r="B274" s="66">
        <v>213.0</v>
      </c>
      <c r="C274" s="66">
        <v>87.0</v>
      </c>
      <c r="D274" s="66">
        <v>1.0</v>
      </c>
      <c r="E274" s="66">
        <v>9.0</v>
      </c>
      <c r="F274" s="66">
        <v>836.0</v>
      </c>
      <c r="G274" s="141">
        <v>43003.0</v>
      </c>
      <c r="H274" s="66">
        <v>4.0</v>
      </c>
      <c r="I274" s="132">
        <v>99.9</v>
      </c>
      <c r="J274" s="133">
        <v>9129.27</v>
      </c>
      <c r="K274" s="142">
        <v>28.0</v>
      </c>
      <c r="L274" s="111">
        <v>21.0</v>
      </c>
      <c r="M274" s="70">
        <v>1700.0</v>
      </c>
      <c r="N274" s="24" t="s">
        <v>4389</v>
      </c>
    </row>
    <row r="275">
      <c r="A275" s="66">
        <v>7271.0</v>
      </c>
      <c r="B275" s="66">
        <v>219.0</v>
      </c>
      <c r="C275" s="66">
        <v>46.0</v>
      </c>
      <c r="D275" s="66">
        <v>2.0</v>
      </c>
      <c r="E275" s="66">
        <v>4.0</v>
      </c>
      <c r="F275" s="66">
        <v>861.0</v>
      </c>
      <c r="G275" s="141">
        <v>33102.0</v>
      </c>
      <c r="H275" s="66">
        <v>8.0</v>
      </c>
      <c r="I275" s="132">
        <v>-31569.73</v>
      </c>
      <c r="J275" s="133">
        <v>49891.11</v>
      </c>
      <c r="K275" s="142">
        <v>70.0</v>
      </c>
      <c r="L275" s="111">
        <v>22.0</v>
      </c>
      <c r="M275" s="70">
        <v>530.0</v>
      </c>
      <c r="N275" s="24" t="s">
        <v>4390</v>
      </c>
    </row>
    <row r="276">
      <c r="A276" s="66">
        <v>7272.0</v>
      </c>
      <c r="B276" s="66">
        <v>219.0</v>
      </c>
      <c r="C276" s="66">
        <v>25.0</v>
      </c>
      <c r="D276" s="66">
        <v>8.0</v>
      </c>
      <c r="E276" s="66">
        <v>2.0</v>
      </c>
      <c r="F276" s="66">
        <v>803.0</v>
      </c>
      <c r="G276" s="141">
        <v>83103.0</v>
      </c>
      <c r="H276" s="66">
        <v>1.0</v>
      </c>
      <c r="I276" s="132">
        <v>967.21</v>
      </c>
      <c r="J276" s="133">
        <v>408.57</v>
      </c>
      <c r="K276" s="142">
        <v>44.0</v>
      </c>
      <c r="L276" s="111">
        <v>20.0</v>
      </c>
      <c r="M276" s="70">
        <v>200.0</v>
      </c>
      <c r="N276" s="24" t="s">
        <v>4391</v>
      </c>
    </row>
    <row r="277">
      <c r="A277" s="66">
        <v>7273.0</v>
      </c>
      <c r="B277" s="66">
        <v>201.0</v>
      </c>
      <c r="C277" s="66">
        <v>25.0</v>
      </c>
      <c r="D277" s="66">
        <v>8.0</v>
      </c>
      <c r="E277" s="66">
        <v>3.0</v>
      </c>
      <c r="F277" s="66">
        <v>752.0</v>
      </c>
      <c r="G277" s="141">
        <v>113008.0</v>
      </c>
      <c r="H277" s="66">
        <v>7.0</v>
      </c>
      <c r="I277" s="132">
        <v>77.4</v>
      </c>
      <c r="J277" s="133">
        <v>-74722.12</v>
      </c>
      <c r="K277" s="142">
        <v>4.0</v>
      </c>
      <c r="L277" s="111">
        <v>23.0</v>
      </c>
      <c r="M277" s="70">
        <v>2300.0</v>
      </c>
      <c r="N277" s="24" t="s">
        <v>4392</v>
      </c>
    </row>
    <row r="278">
      <c r="A278" s="66">
        <v>7274.0</v>
      </c>
      <c r="B278" s="66">
        <v>201.0</v>
      </c>
      <c r="C278" s="66">
        <v>46.0</v>
      </c>
      <c r="D278" s="66">
        <v>3.0</v>
      </c>
      <c r="E278" s="66">
        <v>3.0</v>
      </c>
      <c r="F278" s="66">
        <v>506.0</v>
      </c>
      <c r="G278" s="141">
        <v>123114.0</v>
      </c>
      <c r="H278" s="66">
        <v>4.0</v>
      </c>
      <c r="I278" s="132">
        <v>614.67</v>
      </c>
      <c r="J278" s="133">
        <v>10.49</v>
      </c>
      <c r="K278" s="142">
        <v>65.0</v>
      </c>
      <c r="L278" s="111">
        <v>22.0</v>
      </c>
      <c r="M278" s="70">
        <v>1030.0</v>
      </c>
      <c r="N278" s="24" t="s">
        <v>4393</v>
      </c>
    </row>
    <row r="279">
      <c r="A279" s="66">
        <v>7275.0</v>
      </c>
      <c r="B279" s="66">
        <v>203.0</v>
      </c>
      <c r="C279" s="66">
        <v>25.0</v>
      </c>
      <c r="D279" s="66">
        <v>8.0</v>
      </c>
      <c r="E279" s="66">
        <v>6.0</v>
      </c>
      <c r="F279" s="66">
        <v>169.0</v>
      </c>
      <c r="G279" s="141">
        <v>83101.0</v>
      </c>
      <c r="H279" s="66">
        <v>1.0</v>
      </c>
      <c r="I279" s="132">
        <v>6730.7</v>
      </c>
      <c r="J279" s="133">
        <v>2491.11</v>
      </c>
      <c r="K279" s="142">
        <v>6.0</v>
      </c>
      <c r="L279" s="111">
        <v>21.0</v>
      </c>
      <c r="M279" s="70">
        <v>600.0</v>
      </c>
      <c r="N279" s="24" t="s">
        <v>4394</v>
      </c>
    </row>
    <row r="280">
      <c r="A280" s="66">
        <v>7276.0</v>
      </c>
      <c r="B280" s="66">
        <v>214.0</v>
      </c>
      <c r="C280" s="66">
        <v>87.0</v>
      </c>
      <c r="D280" s="66">
        <v>3.0</v>
      </c>
      <c r="E280" s="66">
        <v>2.0</v>
      </c>
      <c r="F280" s="66">
        <v>229.0</v>
      </c>
      <c r="G280" s="141">
        <v>63006.0</v>
      </c>
      <c r="H280" s="66">
        <v>9.0</v>
      </c>
      <c r="I280" s="132">
        <v>234.84</v>
      </c>
      <c r="J280" s="133">
        <v>-664.64</v>
      </c>
      <c r="K280" s="142">
        <v>42.0</v>
      </c>
      <c r="L280" s="111">
        <v>22.0</v>
      </c>
      <c r="M280" s="70">
        <v>2200.0</v>
      </c>
      <c r="N280" s="24" t="s">
        <v>4395</v>
      </c>
    </row>
    <row r="281">
      <c r="A281" s="66">
        <v>7277.0</v>
      </c>
      <c r="B281" s="66">
        <v>202.0</v>
      </c>
      <c r="C281" s="66">
        <v>46.0</v>
      </c>
      <c r="D281" s="66">
        <v>3.0</v>
      </c>
      <c r="E281" s="66">
        <v>6.0</v>
      </c>
      <c r="F281" s="66">
        <v>731.0</v>
      </c>
      <c r="G281" s="141">
        <v>83120.0</v>
      </c>
      <c r="H281" s="66">
        <v>3.0</v>
      </c>
      <c r="I281" s="132">
        <v>4131.96</v>
      </c>
      <c r="J281" s="133">
        <v>5568.79</v>
      </c>
      <c r="K281" s="142">
        <v>71.0</v>
      </c>
      <c r="L281" s="111">
        <v>23.0</v>
      </c>
      <c r="M281" s="70">
        <v>2300.0</v>
      </c>
      <c r="N281" s="24" t="s">
        <v>4396</v>
      </c>
    </row>
    <row r="282">
      <c r="A282" s="66">
        <v>7278.0</v>
      </c>
      <c r="B282" s="66">
        <v>200.0</v>
      </c>
      <c r="C282" s="66">
        <v>46.0</v>
      </c>
      <c r="D282" s="66">
        <v>3.0</v>
      </c>
      <c r="E282" s="66">
        <v>8.0</v>
      </c>
      <c r="F282" s="66">
        <v>404.0</v>
      </c>
      <c r="G282" s="141">
        <v>43094.0</v>
      </c>
      <c r="H282" s="66">
        <v>7.0</v>
      </c>
      <c r="I282" s="132">
        <v>70428.77</v>
      </c>
      <c r="J282" s="133">
        <v>-762.65</v>
      </c>
      <c r="K282" s="142">
        <v>56.0</v>
      </c>
      <c r="L282" s="111">
        <v>22.0</v>
      </c>
      <c r="M282" s="70">
        <v>630.0</v>
      </c>
      <c r="N282" s="24" t="s">
        <v>4397</v>
      </c>
    </row>
    <row r="283">
      <c r="A283" s="66">
        <v>7279.0</v>
      </c>
      <c r="B283" s="66">
        <v>205.0</v>
      </c>
      <c r="C283" s="66">
        <v>66.0</v>
      </c>
      <c r="D283" s="66">
        <v>8.0</v>
      </c>
      <c r="E283" s="66">
        <v>6.0</v>
      </c>
      <c r="F283" s="66">
        <v>434.0</v>
      </c>
      <c r="G283" s="141">
        <v>43009.0</v>
      </c>
      <c r="H283" s="66">
        <v>7.0</v>
      </c>
      <c r="I283" s="132">
        <v>71940.81</v>
      </c>
      <c r="J283" s="133">
        <v>982.65</v>
      </c>
      <c r="K283" s="142">
        <v>25.0</v>
      </c>
      <c r="L283" s="111">
        <v>23.0</v>
      </c>
      <c r="M283" s="70">
        <v>400.0</v>
      </c>
      <c r="N283" s="24" t="s">
        <v>4398</v>
      </c>
    </row>
    <row r="284">
      <c r="A284" s="66">
        <v>7280.0</v>
      </c>
      <c r="B284" s="66">
        <v>214.0</v>
      </c>
      <c r="C284" s="66">
        <v>87.0</v>
      </c>
      <c r="D284" s="66">
        <v>3.0</v>
      </c>
      <c r="E284" s="66">
        <v>6.0</v>
      </c>
      <c r="F284" s="66">
        <v>108.0</v>
      </c>
      <c r="G284" s="141">
        <v>53115.0</v>
      </c>
      <c r="H284" s="66">
        <v>9.0</v>
      </c>
      <c r="I284" s="132">
        <v>-865.66</v>
      </c>
      <c r="J284" s="133">
        <v>73.3</v>
      </c>
      <c r="K284" s="142">
        <v>57.0</v>
      </c>
      <c r="L284" s="111">
        <v>21.0</v>
      </c>
      <c r="M284" s="70">
        <v>1600.0</v>
      </c>
      <c r="N284" s="24" t="s">
        <v>4399</v>
      </c>
    </row>
    <row r="285">
      <c r="A285" s="66">
        <v>7281.0</v>
      </c>
      <c r="B285" s="66">
        <v>209.0</v>
      </c>
      <c r="C285" s="66">
        <v>87.0</v>
      </c>
      <c r="D285" s="66">
        <v>3.0</v>
      </c>
      <c r="E285" s="66">
        <v>7.0</v>
      </c>
      <c r="F285" s="66">
        <v>919.0</v>
      </c>
      <c r="G285" s="141">
        <v>13110.0</v>
      </c>
      <c r="H285" s="66">
        <v>4.0</v>
      </c>
      <c r="I285" s="132">
        <v>13.1</v>
      </c>
      <c r="J285" s="133">
        <v>-57.9</v>
      </c>
      <c r="K285" s="142">
        <v>73.0</v>
      </c>
      <c r="L285" s="111">
        <v>23.0</v>
      </c>
      <c r="M285" s="70">
        <v>2030.0</v>
      </c>
      <c r="N285" s="24" t="s">
        <v>4400</v>
      </c>
    </row>
    <row r="286">
      <c r="A286" s="66">
        <v>7282.0</v>
      </c>
      <c r="B286" s="66">
        <v>219.0</v>
      </c>
      <c r="C286" s="66">
        <v>66.0</v>
      </c>
      <c r="D286" s="66">
        <v>8.0</v>
      </c>
      <c r="E286" s="66">
        <v>9.0</v>
      </c>
      <c r="F286" s="66">
        <v>971.0</v>
      </c>
      <c r="G286" s="141">
        <v>73110.0</v>
      </c>
      <c r="H286" s="66">
        <v>7.0</v>
      </c>
      <c r="I286" s="132">
        <v>-419.53</v>
      </c>
      <c r="J286" s="133">
        <v>-43033.17</v>
      </c>
      <c r="K286" s="142">
        <v>39.0</v>
      </c>
      <c r="L286" s="111">
        <v>20.0</v>
      </c>
      <c r="M286" s="70">
        <v>1830.0</v>
      </c>
      <c r="N286" s="24" t="s">
        <v>4401</v>
      </c>
    </row>
    <row r="287">
      <c r="A287" s="66">
        <v>7283.0</v>
      </c>
      <c r="B287" s="66">
        <v>219.0</v>
      </c>
      <c r="C287" s="66">
        <v>66.0</v>
      </c>
      <c r="D287" s="66">
        <v>8.0</v>
      </c>
      <c r="E287" s="66">
        <v>5.0</v>
      </c>
      <c r="F287" s="66">
        <v>929.0</v>
      </c>
      <c r="G287" s="141">
        <v>113004.0</v>
      </c>
      <c r="H287" s="66">
        <v>7.0</v>
      </c>
      <c r="I287" s="132">
        <v>27326.8</v>
      </c>
      <c r="J287" s="133">
        <v>96.16</v>
      </c>
      <c r="K287" s="142">
        <v>92.0</v>
      </c>
      <c r="L287" s="111">
        <v>21.0</v>
      </c>
      <c r="M287" s="70">
        <v>600.0</v>
      </c>
      <c r="N287" s="24" t="s">
        <v>4402</v>
      </c>
    </row>
    <row r="288">
      <c r="A288" s="66">
        <v>7284.0</v>
      </c>
      <c r="B288" s="66">
        <v>200.0</v>
      </c>
      <c r="C288" s="66">
        <v>66.0</v>
      </c>
      <c r="D288" s="66">
        <v>9.0</v>
      </c>
      <c r="E288" s="66">
        <v>3.0</v>
      </c>
      <c r="F288" s="66">
        <v>503.0</v>
      </c>
      <c r="G288" s="141">
        <v>33106.0</v>
      </c>
      <c r="H288" s="66">
        <v>5.0</v>
      </c>
      <c r="I288" s="132">
        <v>-10.39</v>
      </c>
      <c r="J288" s="133">
        <v>-640.72</v>
      </c>
      <c r="K288" s="142">
        <v>70.0</v>
      </c>
      <c r="L288" s="111">
        <v>20.0</v>
      </c>
      <c r="M288" s="70">
        <v>2200.0</v>
      </c>
      <c r="N288" s="24" t="s">
        <v>4403</v>
      </c>
    </row>
    <row r="289">
      <c r="A289" s="66">
        <v>7285.0</v>
      </c>
      <c r="B289" s="66">
        <v>217.0</v>
      </c>
      <c r="C289" s="66">
        <v>66.0</v>
      </c>
      <c r="D289" s="66">
        <v>9.0</v>
      </c>
      <c r="E289" s="66">
        <v>4.0</v>
      </c>
      <c r="F289" s="66">
        <v>654.0</v>
      </c>
      <c r="G289" s="141">
        <v>83109.0</v>
      </c>
      <c r="H289" s="66">
        <v>3.0</v>
      </c>
      <c r="I289" s="132">
        <v>3972.45</v>
      </c>
      <c r="J289" s="133">
        <v>2698.38</v>
      </c>
      <c r="K289" s="142">
        <v>38.0</v>
      </c>
      <c r="L289" s="111">
        <v>20.0</v>
      </c>
      <c r="M289" s="70">
        <v>230.0</v>
      </c>
      <c r="N289" s="24" t="s">
        <v>4404</v>
      </c>
    </row>
    <row r="290">
      <c r="A290" s="66">
        <v>7286.0</v>
      </c>
      <c r="B290" s="66">
        <v>219.0</v>
      </c>
      <c r="C290" s="66">
        <v>87.0</v>
      </c>
      <c r="D290" s="66">
        <v>4.0</v>
      </c>
      <c r="E290" s="66">
        <v>2.0</v>
      </c>
      <c r="F290" s="66">
        <v>779.0</v>
      </c>
      <c r="G290" s="141">
        <v>103101.0</v>
      </c>
      <c r="H290" s="66">
        <v>8.0</v>
      </c>
      <c r="I290" s="132">
        <v>57.91</v>
      </c>
      <c r="J290" s="133">
        <v>29893.23</v>
      </c>
      <c r="K290" s="142">
        <v>73.0</v>
      </c>
      <c r="L290" s="111">
        <v>23.0</v>
      </c>
      <c r="M290" s="70">
        <v>730.0</v>
      </c>
      <c r="N290" s="24" t="s">
        <v>4405</v>
      </c>
    </row>
    <row r="291">
      <c r="A291" s="66">
        <v>7287.0</v>
      </c>
      <c r="B291" s="66">
        <v>216.0</v>
      </c>
      <c r="C291" s="66">
        <v>87.0</v>
      </c>
      <c r="D291" s="66">
        <v>4.0</v>
      </c>
      <c r="E291" s="66">
        <v>4.0</v>
      </c>
      <c r="F291" s="66">
        <v>715.0</v>
      </c>
      <c r="G291" s="141">
        <v>73119.0</v>
      </c>
      <c r="H291" s="66">
        <v>4.0</v>
      </c>
      <c r="I291" s="132">
        <v>71.33</v>
      </c>
      <c r="J291" s="133">
        <v>7786.1</v>
      </c>
      <c r="K291" s="142">
        <v>64.0</v>
      </c>
      <c r="L291" s="111">
        <v>20.0</v>
      </c>
      <c r="M291" s="70">
        <v>1700.0</v>
      </c>
      <c r="N291" s="24" t="s">
        <v>4406</v>
      </c>
    </row>
    <row r="292">
      <c r="A292" s="66">
        <v>7288.0</v>
      </c>
      <c r="B292" s="66">
        <v>201.0</v>
      </c>
      <c r="C292" s="66">
        <v>25.0</v>
      </c>
      <c r="D292" s="66">
        <v>9.0</v>
      </c>
      <c r="E292" s="66">
        <v>9.0</v>
      </c>
      <c r="F292" s="66">
        <v>923.0</v>
      </c>
      <c r="G292" s="141">
        <v>123191.0</v>
      </c>
      <c r="H292" s="66">
        <v>6.0</v>
      </c>
      <c r="I292" s="132">
        <v>20.29</v>
      </c>
      <c r="J292" s="133">
        <v>-372.61</v>
      </c>
      <c r="K292" s="142">
        <v>34.0</v>
      </c>
      <c r="L292" s="111">
        <v>20.0</v>
      </c>
      <c r="M292" s="70">
        <v>2000.0</v>
      </c>
      <c r="N292" s="24" t="s">
        <v>4407</v>
      </c>
    </row>
    <row r="293">
      <c r="A293" s="66">
        <v>7289.0</v>
      </c>
      <c r="B293" s="66">
        <v>204.0</v>
      </c>
      <c r="C293" s="66">
        <v>87.0</v>
      </c>
      <c r="D293" s="66">
        <v>4.0</v>
      </c>
      <c r="E293" s="66">
        <v>7.0</v>
      </c>
      <c r="F293" s="66">
        <v>102.0</v>
      </c>
      <c r="G293" s="141">
        <v>22818.0</v>
      </c>
      <c r="H293" s="66">
        <v>5.0</v>
      </c>
      <c r="I293" s="132">
        <v>59363.88</v>
      </c>
      <c r="J293" s="133">
        <v>711.59</v>
      </c>
      <c r="K293" s="142">
        <v>34.0</v>
      </c>
      <c r="L293" s="111">
        <v>23.0</v>
      </c>
      <c r="M293" s="70">
        <v>1130.0</v>
      </c>
      <c r="N293" s="24" t="s">
        <v>4408</v>
      </c>
    </row>
    <row r="294">
      <c r="A294" s="66">
        <v>7290.0</v>
      </c>
      <c r="B294" s="66">
        <v>205.0</v>
      </c>
      <c r="C294" s="66">
        <v>46.0</v>
      </c>
      <c r="D294" s="66">
        <v>5.0</v>
      </c>
      <c r="E294" s="66">
        <v>3.0</v>
      </c>
      <c r="F294" s="66">
        <v>574.0</v>
      </c>
      <c r="G294" s="141">
        <v>73109.0</v>
      </c>
      <c r="H294" s="66">
        <v>2.0</v>
      </c>
      <c r="I294" s="132">
        <v>-99313.86</v>
      </c>
      <c r="J294" s="133">
        <v>156.26</v>
      </c>
      <c r="K294" s="142">
        <v>42.0</v>
      </c>
      <c r="L294" s="111">
        <v>21.0</v>
      </c>
      <c r="M294" s="70">
        <v>1230.0</v>
      </c>
      <c r="N294" s="24" t="s">
        <v>4409</v>
      </c>
    </row>
    <row r="295">
      <c r="A295" s="66">
        <v>7291.0</v>
      </c>
      <c r="B295" s="66">
        <v>219.0</v>
      </c>
      <c r="C295" s="66">
        <v>26.0</v>
      </c>
      <c r="D295" s="66">
        <v>1.0</v>
      </c>
      <c r="E295" s="66">
        <v>2.0</v>
      </c>
      <c r="F295" s="66">
        <v>434.0</v>
      </c>
      <c r="G295" s="141">
        <v>43020.0</v>
      </c>
      <c r="H295" s="66">
        <v>8.0</v>
      </c>
      <c r="I295" s="132">
        <v>-669.64</v>
      </c>
      <c r="J295" s="133">
        <v>-52423.22</v>
      </c>
      <c r="K295" s="142">
        <v>50.0</v>
      </c>
      <c r="L295" s="111">
        <v>21.0</v>
      </c>
      <c r="M295" s="70">
        <v>200.0</v>
      </c>
      <c r="N295" s="24" t="s">
        <v>4410</v>
      </c>
    </row>
    <row r="296">
      <c r="A296" s="66">
        <v>7292.0</v>
      </c>
      <c r="B296" s="66">
        <v>200.0</v>
      </c>
      <c r="C296" s="66">
        <v>46.0</v>
      </c>
      <c r="D296" s="66">
        <v>6.0</v>
      </c>
      <c r="E296" s="66">
        <v>1.0</v>
      </c>
      <c r="F296" s="66">
        <v>149.0</v>
      </c>
      <c r="G296" s="141">
        <v>123120.0</v>
      </c>
      <c r="H296" s="66">
        <v>1.0</v>
      </c>
      <c r="I296" s="132">
        <v>-44613.31</v>
      </c>
      <c r="J296" s="133">
        <v>88.76</v>
      </c>
      <c r="K296" s="142">
        <v>59.0</v>
      </c>
      <c r="L296" s="111">
        <v>21.0</v>
      </c>
      <c r="M296" s="70">
        <v>2130.0</v>
      </c>
      <c r="N296" s="24" t="s">
        <v>4411</v>
      </c>
    </row>
    <row r="297">
      <c r="A297" s="66">
        <v>7293.0</v>
      </c>
      <c r="B297" s="66">
        <v>204.0</v>
      </c>
      <c r="C297" s="66">
        <v>26.0</v>
      </c>
      <c r="D297" s="66">
        <v>1.0</v>
      </c>
      <c r="E297" s="66">
        <v>4.0</v>
      </c>
      <c r="F297" s="66">
        <v>593.0</v>
      </c>
      <c r="G297" s="141">
        <v>123106.0</v>
      </c>
      <c r="H297" s="66">
        <v>9.0</v>
      </c>
      <c r="I297" s="132">
        <v>549.52</v>
      </c>
      <c r="J297" s="133">
        <v>23689.95</v>
      </c>
      <c r="K297" s="142">
        <v>86.0</v>
      </c>
      <c r="L297" s="111">
        <v>21.0</v>
      </c>
      <c r="M297" s="70">
        <v>1200.0</v>
      </c>
      <c r="N297" s="24" t="s">
        <v>4412</v>
      </c>
    </row>
    <row r="298">
      <c r="A298" s="66">
        <v>7294.0</v>
      </c>
      <c r="B298" s="66">
        <v>214.0</v>
      </c>
      <c r="C298" s="66">
        <v>26.0</v>
      </c>
      <c r="D298" s="66">
        <v>1.0</v>
      </c>
      <c r="E298" s="66">
        <v>5.0</v>
      </c>
      <c r="F298" s="66">
        <v>306.0</v>
      </c>
      <c r="G298" s="141">
        <v>93022.0</v>
      </c>
      <c r="H298" s="66">
        <v>7.0</v>
      </c>
      <c r="I298" s="132">
        <v>304.52</v>
      </c>
      <c r="J298" s="133">
        <v>38385.78</v>
      </c>
      <c r="K298" s="142">
        <v>11.0</v>
      </c>
      <c r="L298" s="111">
        <v>23.0</v>
      </c>
      <c r="M298" s="70">
        <v>1700.0</v>
      </c>
      <c r="N298" s="24" t="s">
        <v>4334</v>
      </c>
    </row>
    <row r="299">
      <c r="A299" s="66">
        <v>7295.0</v>
      </c>
      <c r="B299" s="66">
        <v>212.0</v>
      </c>
      <c r="C299" s="66">
        <v>26.0</v>
      </c>
      <c r="D299" s="66">
        <v>1.0</v>
      </c>
      <c r="E299" s="66">
        <v>6.0</v>
      </c>
      <c r="F299" s="66">
        <v>793.0</v>
      </c>
      <c r="G299" s="141">
        <v>43021.0</v>
      </c>
      <c r="H299" s="66">
        <v>5.0</v>
      </c>
      <c r="I299" s="132">
        <v>46265.2</v>
      </c>
      <c r="J299" s="133">
        <v>-9599.12</v>
      </c>
      <c r="K299" s="142">
        <v>37.0</v>
      </c>
      <c r="L299" s="111">
        <v>23.0</v>
      </c>
      <c r="M299" s="70">
        <v>1730.0</v>
      </c>
      <c r="N299" s="24" t="s">
        <v>4259</v>
      </c>
    </row>
    <row r="300">
      <c r="A300" s="66">
        <v>7296.0</v>
      </c>
      <c r="B300" s="66">
        <v>219.0</v>
      </c>
      <c r="C300" s="66">
        <v>87.0</v>
      </c>
      <c r="D300" s="66">
        <v>6.0</v>
      </c>
      <c r="E300" s="66">
        <v>1.0</v>
      </c>
      <c r="F300" s="66">
        <v>185.0</v>
      </c>
      <c r="G300" s="141">
        <v>13115.0</v>
      </c>
      <c r="H300" s="66">
        <v>2.0</v>
      </c>
      <c r="I300" s="132">
        <v>955.36</v>
      </c>
      <c r="J300" s="133">
        <v>-2991.28</v>
      </c>
      <c r="K300" s="142">
        <v>85.0</v>
      </c>
      <c r="L300" s="111">
        <v>22.0</v>
      </c>
      <c r="M300" s="70">
        <v>2000.0</v>
      </c>
      <c r="N300" s="24" t="s">
        <v>4413</v>
      </c>
    </row>
    <row r="301">
      <c r="A301" s="66">
        <v>7297.0</v>
      </c>
      <c r="B301" s="66">
        <v>202.0</v>
      </c>
      <c r="C301" s="66">
        <v>46.0</v>
      </c>
      <c r="D301" s="66">
        <v>6.0</v>
      </c>
      <c r="E301" s="66">
        <v>5.0</v>
      </c>
      <c r="F301" s="66">
        <v>677.0</v>
      </c>
      <c r="G301" s="141">
        <v>113007.0</v>
      </c>
      <c r="H301" s="66">
        <v>9.0</v>
      </c>
      <c r="I301" s="132">
        <v>-54.71</v>
      </c>
      <c r="J301" s="133">
        <v>71268.45</v>
      </c>
      <c r="K301" s="142">
        <v>35.0</v>
      </c>
      <c r="L301" s="111">
        <v>20.0</v>
      </c>
      <c r="M301" s="70">
        <v>300.0</v>
      </c>
      <c r="N301" s="24" t="s">
        <v>4414</v>
      </c>
    </row>
    <row r="302">
      <c r="A302" s="66">
        <v>7298.0</v>
      </c>
      <c r="B302" s="66">
        <v>207.0</v>
      </c>
      <c r="C302" s="66">
        <v>26.0</v>
      </c>
      <c r="D302" s="66">
        <v>1.0</v>
      </c>
      <c r="E302" s="66">
        <v>7.0</v>
      </c>
      <c r="F302" s="66">
        <v>115.0</v>
      </c>
      <c r="G302" s="141">
        <v>83112.0</v>
      </c>
      <c r="H302" s="66">
        <v>3.0</v>
      </c>
      <c r="I302" s="132">
        <v>79.85</v>
      </c>
      <c r="J302" s="133">
        <v>3997.68</v>
      </c>
      <c r="K302" s="142">
        <v>53.0</v>
      </c>
      <c r="L302" s="111">
        <v>21.0</v>
      </c>
      <c r="M302" s="70">
        <v>630.0</v>
      </c>
      <c r="N302" s="24" t="s">
        <v>4415</v>
      </c>
    </row>
    <row r="303">
      <c r="A303" s="66">
        <v>7299.0</v>
      </c>
      <c r="B303" s="66">
        <v>208.0</v>
      </c>
      <c r="C303" s="66">
        <v>46.0</v>
      </c>
      <c r="D303" s="66">
        <v>6.0</v>
      </c>
      <c r="E303" s="66">
        <v>8.0</v>
      </c>
      <c r="F303" s="66">
        <v>862.0</v>
      </c>
      <c r="G303" s="141">
        <v>123110.0</v>
      </c>
      <c r="H303" s="66">
        <v>2.0</v>
      </c>
      <c r="I303" s="132">
        <v>-76861.48</v>
      </c>
      <c r="J303" s="133">
        <v>-245.75</v>
      </c>
      <c r="K303" s="142">
        <v>28.0</v>
      </c>
      <c r="L303" s="111">
        <v>22.0</v>
      </c>
      <c r="M303" s="70">
        <v>1830.0</v>
      </c>
      <c r="N303" s="24" t="s">
        <v>4416</v>
      </c>
    </row>
    <row r="304">
      <c r="A304" s="66">
        <v>7300.0</v>
      </c>
      <c r="B304" s="66">
        <v>209.0</v>
      </c>
      <c r="C304" s="66">
        <v>26.0</v>
      </c>
      <c r="D304" s="66">
        <v>2.0</v>
      </c>
      <c r="E304" s="66">
        <v>2.0</v>
      </c>
      <c r="F304" s="66">
        <v>330.0</v>
      </c>
      <c r="G304" s="141">
        <v>13195.0</v>
      </c>
      <c r="H304" s="66">
        <v>3.0</v>
      </c>
      <c r="I304" s="132">
        <v>-1449.47</v>
      </c>
      <c r="J304" s="133">
        <v>6575.65</v>
      </c>
      <c r="K304" s="142">
        <v>30.0</v>
      </c>
      <c r="L304" s="111">
        <v>21.0</v>
      </c>
      <c r="M304" s="70">
        <v>430.0</v>
      </c>
      <c r="N304" s="24" t="s">
        <v>4417</v>
      </c>
    </row>
    <row r="305">
      <c r="A305" s="66">
        <v>7301.0</v>
      </c>
      <c r="B305" s="66">
        <v>216.0</v>
      </c>
      <c r="C305" s="66">
        <v>46.0</v>
      </c>
      <c r="D305" s="66">
        <v>7.0</v>
      </c>
      <c r="E305" s="66">
        <v>3.0</v>
      </c>
      <c r="F305" s="66">
        <v>739.0</v>
      </c>
      <c r="G305" s="141">
        <v>113015.0</v>
      </c>
      <c r="H305" s="66">
        <v>5.0</v>
      </c>
      <c r="I305" s="132">
        <v>-7481.7</v>
      </c>
      <c r="J305" s="133">
        <v>-65.35</v>
      </c>
      <c r="K305" s="142">
        <v>28.0</v>
      </c>
      <c r="L305" s="111">
        <v>23.0</v>
      </c>
      <c r="M305" s="70">
        <v>2130.0</v>
      </c>
      <c r="N305" s="24" t="s">
        <v>4418</v>
      </c>
    </row>
    <row r="306">
      <c r="A306" s="66">
        <v>7302.0</v>
      </c>
      <c r="B306" s="66">
        <v>206.0</v>
      </c>
      <c r="C306" s="66">
        <v>67.0</v>
      </c>
      <c r="D306" s="66">
        <v>2.0</v>
      </c>
      <c r="E306" s="66">
        <v>2.0</v>
      </c>
      <c r="F306" s="66">
        <v>806.0</v>
      </c>
      <c r="G306" s="141">
        <v>93013.0</v>
      </c>
      <c r="H306" s="66">
        <v>7.0</v>
      </c>
      <c r="I306" s="132">
        <v>11974.18</v>
      </c>
      <c r="J306" s="133">
        <v>-25.91</v>
      </c>
      <c r="K306" s="142">
        <v>39.0</v>
      </c>
      <c r="L306" s="111">
        <v>21.0</v>
      </c>
      <c r="M306" s="70">
        <v>1000.0</v>
      </c>
      <c r="N306" s="24" t="s">
        <v>4419</v>
      </c>
    </row>
    <row r="307">
      <c r="A307" s="66">
        <v>7303.0</v>
      </c>
      <c r="B307" s="66">
        <v>214.0</v>
      </c>
      <c r="C307" s="66">
        <v>67.0</v>
      </c>
      <c r="D307" s="66">
        <v>2.0</v>
      </c>
      <c r="E307" s="66">
        <v>4.0</v>
      </c>
      <c r="F307" s="66">
        <v>693.0</v>
      </c>
      <c r="G307" s="141">
        <v>13198.0</v>
      </c>
      <c r="H307" s="66">
        <v>6.0</v>
      </c>
      <c r="I307" s="132">
        <v>9776.52</v>
      </c>
      <c r="J307" s="133">
        <v>6164.26</v>
      </c>
      <c r="K307" s="142">
        <v>57.0</v>
      </c>
      <c r="L307" s="111">
        <v>21.0</v>
      </c>
      <c r="M307" s="70">
        <v>1300.0</v>
      </c>
      <c r="N307" s="24" t="s">
        <v>4420</v>
      </c>
    </row>
    <row r="308">
      <c r="A308" s="66">
        <v>7304.0</v>
      </c>
      <c r="B308" s="66">
        <v>212.0</v>
      </c>
      <c r="C308" s="66">
        <v>87.0</v>
      </c>
      <c r="D308" s="66">
        <v>7.0</v>
      </c>
      <c r="E308" s="66">
        <v>3.0</v>
      </c>
      <c r="F308" s="66">
        <v>182.0</v>
      </c>
      <c r="G308" s="141">
        <v>53193.0</v>
      </c>
      <c r="H308" s="66">
        <v>2.0</v>
      </c>
      <c r="I308" s="132">
        <v>11381.6</v>
      </c>
      <c r="J308" s="133">
        <v>8407.37</v>
      </c>
      <c r="K308" s="142">
        <v>80.0</v>
      </c>
      <c r="L308" s="111">
        <v>23.0</v>
      </c>
      <c r="M308" s="70">
        <v>2130.0</v>
      </c>
      <c r="N308" s="24" t="s">
        <v>4421</v>
      </c>
    </row>
    <row r="309">
      <c r="A309" s="66">
        <v>7305.0</v>
      </c>
      <c r="B309" s="66">
        <v>216.0</v>
      </c>
      <c r="C309" s="66">
        <v>87.0</v>
      </c>
      <c r="D309" s="66">
        <v>7.0</v>
      </c>
      <c r="E309" s="66">
        <v>4.0</v>
      </c>
      <c r="F309" s="66">
        <v>178.0</v>
      </c>
      <c r="G309" s="141">
        <v>53199.0</v>
      </c>
      <c r="H309" s="66">
        <v>5.0</v>
      </c>
      <c r="I309" s="132">
        <v>30.38</v>
      </c>
      <c r="J309" s="133">
        <v>275.97</v>
      </c>
      <c r="K309" s="142">
        <v>62.0</v>
      </c>
      <c r="L309" s="111">
        <v>21.0</v>
      </c>
      <c r="M309" s="70">
        <v>1500.0</v>
      </c>
      <c r="N309" s="24" t="s">
        <v>4422</v>
      </c>
    </row>
    <row r="310">
      <c r="A310" s="66">
        <v>7306.0</v>
      </c>
      <c r="B310" s="66">
        <v>200.0</v>
      </c>
      <c r="C310" s="66">
        <v>26.0</v>
      </c>
      <c r="D310" s="66">
        <v>3.0</v>
      </c>
      <c r="E310" s="66">
        <v>1.0</v>
      </c>
      <c r="F310" s="66">
        <v>493.0</v>
      </c>
      <c r="G310" s="141">
        <v>123196.0</v>
      </c>
      <c r="H310" s="66">
        <v>7.0</v>
      </c>
      <c r="I310" s="132">
        <v>-32859.53</v>
      </c>
      <c r="J310" s="133">
        <v>13.48</v>
      </c>
      <c r="K310" s="142">
        <v>66.0</v>
      </c>
      <c r="L310" s="111">
        <v>20.0</v>
      </c>
      <c r="M310" s="70">
        <v>1000.0</v>
      </c>
      <c r="N310" s="24" t="s">
        <v>4423</v>
      </c>
    </row>
    <row r="311">
      <c r="A311" s="66">
        <v>7307.0</v>
      </c>
      <c r="B311" s="66">
        <v>216.0</v>
      </c>
      <c r="C311" s="66">
        <v>67.0</v>
      </c>
      <c r="D311" s="66">
        <v>2.0</v>
      </c>
      <c r="E311" s="66">
        <v>6.0</v>
      </c>
      <c r="F311" s="66">
        <v>895.0</v>
      </c>
      <c r="G311" s="141">
        <v>73190.0</v>
      </c>
      <c r="H311" s="66">
        <v>3.0</v>
      </c>
      <c r="I311" s="132">
        <v>63062.92</v>
      </c>
      <c r="J311" s="133">
        <v>9678.13</v>
      </c>
      <c r="K311" s="142">
        <v>92.0</v>
      </c>
      <c r="L311" s="111">
        <v>23.0</v>
      </c>
      <c r="M311" s="70">
        <v>1230.0</v>
      </c>
      <c r="N311" s="24" t="s">
        <v>4424</v>
      </c>
    </row>
    <row r="312">
      <c r="A312" s="66">
        <v>7308.0</v>
      </c>
      <c r="B312" s="66">
        <v>208.0</v>
      </c>
      <c r="C312" s="66">
        <v>26.0</v>
      </c>
      <c r="D312" s="66">
        <v>3.0</v>
      </c>
      <c r="E312" s="66">
        <v>2.0</v>
      </c>
      <c r="F312" s="66">
        <v>490.0</v>
      </c>
      <c r="G312" s="141">
        <v>113009.0</v>
      </c>
      <c r="H312" s="66">
        <v>2.0</v>
      </c>
      <c r="I312" s="132">
        <v>5756.77</v>
      </c>
      <c r="J312" s="133">
        <v>373.61</v>
      </c>
      <c r="K312" s="142">
        <v>38.0</v>
      </c>
      <c r="L312" s="111">
        <v>23.0</v>
      </c>
      <c r="M312" s="70">
        <v>1400.0</v>
      </c>
      <c r="N312" s="24" t="s">
        <v>4425</v>
      </c>
    </row>
    <row r="313">
      <c r="A313" s="66">
        <v>7309.0</v>
      </c>
      <c r="B313" s="66">
        <v>219.0</v>
      </c>
      <c r="C313" s="66">
        <v>46.0</v>
      </c>
      <c r="D313" s="66">
        <v>7.0</v>
      </c>
      <c r="E313" s="66">
        <v>6.0</v>
      </c>
      <c r="F313" s="66">
        <v>273.0</v>
      </c>
      <c r="G313" s="141">
        <v>43092.0</v>
      </c>
      <c r="H313" s="66">
        <v>6.0</v>
      </c>
      <c r="I313" s="132">
        <v>-121.71</v>
      </c>
      <c r="J313" s="133">
        <v>26.4</v>
      </c>
      <c r="K313" s="142">
        <v>71.0</v>
      </c>
      <c r="L313" s="111">
        <v>22.0</v>
      </c>
      <c r="M313" s="70">
        <v>200.0</v>
      </c>
      <c r="N313" s="24" t="s">
        <v>4426</v>
      </c>
    </row>
    <row r="314">
      <c r="A314" s="66">
        <v>7310.0</v>
      </c>
      <c r="B314" s="66">
        <v>218.0</v>
      </c>
      <c r="C314" s="66">
        <v>67.0</v>
      </c>
      <c r="D314" s="66">
        <v>3.0</v>
      </c>
      <c r="E314" s="66">
        <v>3.0</v>
      </c>
      <c r="F314" s="66">
        <v>809.0</v>
      </c>
      <c r="G314" s="141">
        <v>73117.0</v>
      </c>
      <c r="H314" s="66">
        <v>1.0</v>
      </c>
      <c r="I314" s="132">
        <v>52.41</v>
      </c>
      <c r="J314" s="133">
        <v>327.29</v>
      </c>
      <c r="K314" s="142">
        <v>6.0</v>
      </c>
      <c r="L314" s="111">
        <v>21.0</v>
      </c>
      <c r="M314" s="70">
        <v>2000.0</v>
      </c>
      <c r="N314" s="24" t="s">
        <v>4427</v>
      </c>
    </row>
    <row r="315">
      <c r="A315" s="66">
        <v>7311.0</v>
      </c>
      <c r="B315" s="66">
        <v>213.0</v>
      </c>
      <c r="C315" s="66">
        <v>87.0</v>
      </c>
      <c r="D315" s="66">
        <v>8.0</v>
      </c>
      <c r="E315" s="66">
        <v>2.0</v>
      </c>
      <c r="F315" s="66">
        <v>344.0</v>
      </c>
      <c r="G315" s="141">
        <v>22996.0</v>
      </c>
      <c r="H315" s="66">
        <v>4.0</v>
      </c>
      <c r="I315" s="132">
        <v>53.97</v>
      </c>
      <c r="J315" s="133">
        <v>486.16</v>
      </c>
      <c r="K315" s="142">
        <v>87.0</v>
      </c>
      <c r="L315" s="111">
        <v>20.0</v>
      </c>
      <c r="M315" s="70">
        <v>2130.0</v>
      </c>
      <c r="N315" s="24" t="s">
        <v>4428</v>
      </c>
    </row>
    <row r="316">
      <c r="A316" s="66">
        <v>7312.0</v>
      </c>
      <c r="B316" s="66">
        <v>218.0</v>
      </c>
      <c r="C316" s="66">
        <v>26.0</v>
      </c>
      <c r="D316" s="66">
        <v>3.0</v>
      </c>
      <c r="E316" s="66">
        <v>9.0</v>
      </c>
      <c r="F316" s="66">
        <v>303.0</v>
      </c>
      <c r="G316" s="141">
        <v>13102.0</v>
      </c>
      <c r="H316" s="66">
        <v>8.0</v>
      </c>
      <c r="I316" s="132">
        <v>96540.17</v>
      </c>
      <c r="J316" s="133">
        <v>82.25</v>
      </c>
      <c r="K316" s="142">
        <v>5.0</v>
      </c>
      <c r="L316" s="111">
        <v>21.0</v>
      </c>
      <c r="M316" s="70">
        <v>330.0</v>
      </c>
      <c r="N316" s="24" t="s">
        <v>4429</v>
      </c>
    </row>
    <row r="317">
      <c r="A317" s="66">
        <v>7313.0</v>
      </c>
      <c r="B317" s="66">
        <v>220.0</v>
      </c>
      <c r="C317" s="66">
        <v>46.0</v>
      </c>
      <c r="D317" s="66">
        <v>8.0</v>
      </c>
      <c r="E317" s="66">
        <v>6.0</v>
      </c>
      <c r="F317" s="66">
        <v>663.0</v>
      </c>
      <c r="G317" s="141">
        <v>93094.0</v>
      </c>
      <c r="H317" s="66">
        <v>9.0</v>
      </c>
      <c r="I317" s="132">
        <v>219.46</v>
      </c>
      <c r="J317" s="133">
        <v>8051.3</v>
      </c>
      <c r="K317" s="142">
        <v>82.0</v>
      </c>
      <c r="L317" s="111">
        <v>22.0</v>
      </c>
      <c r="M317" s="70">
        <v>700.0</v>
      </c>
      <c r="N317" s="24" t="s">
        <v>4430</v>
      </c>
    </row>
    <row r="318">
      <c r="A318" s="66">
        <v>7314.0</v>
      </c>
      <c r="B318" s="66">
        <v>206.0</v>
      </c>
      <c r="C318" s="66">
        <v>26.0</v>
      </c>
      <c r="D318" s="66">
        <v>4.0</v>
      </c>
      <c r="E318" s="66">
        <v>2.0</v>
      </c>
      <c r="F318" s="66">
        <v>716.0</v>
      </c>
      <c r="G318" s="141">
        <v>43008.0</v>
      </c>
      <c r="H318" s="66">
        <v>9.0</v>
      </c>
      <c r="I318" s="132">
        <v>-10786.6</v>
      </c>
      <c r="J318" s="133">
        <v>-141.0</v>
      </c>
      <c r="K318" s="142">
        <v>70.0</v>
      </c>
      <c r="L318" s="111">
        <v>21.0</v>
      </c>
      <c r="M318" s="70">
        <v>800.0</v>
      </c>
      <c r="N318" s="24" t="s">
        <v>4431</v>
      </c>
    </row>
    <row r="319">
      <c r="A319" s="66">
        <v>7315.0</v>
      </c>
      <c r="B319" s="66">
        <v>217.0</v>
      </c>
      <c r="C319" s="66">
        <v>67.0</v>
      </c>
      <c r="D319" s="66">
        <v>3.0</v>
      </c>
      <c r="E319" s="66">
        <v>9.0</v>
      </c>
      <c r="F319" s="66">
        <v>310.0</v>
      </c>
      <c r="G319" s="141">
        <v>103110.0</v>
      </c>
      <c r="H319" s="66">
        <v>2.0</v>
      </c>
      <c r="I319" s="132">
        <v>40693.95</v>
      </c>
      <c r="J319" s="133">
        <v>33.55</v>
      </c>
      <c r="K319" s="142">
        <v>96.0</v>
      </c>
      <c r="L319" s="111">
        <v>21.0</v>
      </c>
      <c r="M319" s="70">
        <v>500.0</v>
      </c>
      <c r="N319" s="24" t="s">
        <v>4432</v>
      </c>
    </row>
    <row r="320">
      <c r="A320" s="66">
        <v>7316.0</v>
      </c>
      <c r="B320" s="66">
        <v>202.0</v>
      </c>
      <c r="C320" s="66">
        <v>26.0</v>
      </c>
      <c r="D320" s="66">
        <v>4.0</v>
      </c>
      <c r="E320" s="66">
        <v>4.0</v>
      </c>
      <c r="F320" s="66">
        <v>477.0</v>
      </c>
      <c r="G320" s="141">
        <v>103115.0</v>
      </c>
      <c r="H320" s="66">
        <v>7.0</v>
      </c>
      <c r="I320" s="132">
        <v>1776.9</v>
      </c>
      <c r="J320" s="133">
        <v>923.33</v>
      </c>
      <c r="K320" s="142">
        <v>17.0</v>
      </c>
      <c r="L320" s="111">
        <v>21.0</v>
      </c>
      <c r="M320" s="70">
        <v>1130.0</v>
      </c>
      <c r="N320" s="24" t="s">
        <v>4433</v>
      </c>
    </row>
    <row r="321">
      <c r="A321" s="66">
        <v>7317.0</v>
      </c>
      <c r="B321" s="66">
        <v>216.0</v>
      </c>
      <c r="C321" s="66">
        <v>46.0</v>
      </c>
      <c r="D321" s="66">
        <v>9.0</v>
      </c>
      <c r="E321" s="66">
        <v>7.0</v>
      </c>
      <c r="F321" s="66">
        <v>661.0</v>
      </c>
      <c r="G321" s="141">
        <v>53102.0</v>
      </c>
      <c r="H321" s="66">
        <v>1.0</v>
      </c>
      <c r="I321" s="132">
        <v>-4883.32</v>
      </c>
      <c r="J321" s="133">
        <v>12.74</v>
      </c>
      <c r="K321" s="142">
        <v>83.0</v>
      </c>
      <c r="L321" s="111">
        <v>22.0</v>
      </c>
      <c r="M321" s="70">
        <v>1030.0</v>
      </c>
      <c r="N321" s="24" t="s">
        <v>4434</v>
      </c>
    </row>
    <row r="322">
      <c r="A322" s="66">
        <v>7318.0</v>
      </c>
      <c r="B322" s="66">
        <v>200.0</v>
      </c>
      <c r="C322" s="66">
        <v>87.0</v>
      </c>
      <c r="D322" s="66">
        <v>9.0</v>
      </c>
      <c r="E322" s="66">
        <v>5.0</v>
      </c>
      <c r="F322" s="66">
        <v>681.0</v>
      </c>
      <c r="G322" s="141">
        <v>83106.0</v>
      </c>
      <c r="H322" s="66">
        <v>8.0</v>
      </c>
      <c r="I322" s="132">
        <v>286.8</v>
      </c>
      <c r="J322" s="133">
        <v>90199.69</v>
      </c>
      <c r="K322" s="142">
        <v>20.0</v>
      </c>
      <c r="L322" s="111">
        <v>23.0</v>
      </c>
      <c r="M322" s="70">
        <v>100.0</v>
      </c>
      <c r="N322" s="24" t="s">
        <v>4435</v>
      </c>
    </row>
    <row r="323">
      <c r="A323" s="66">
        <v>7319.0</v>
      </c>
      <c r="B323" s="66">
        <v>209.0</v>
      </c>
      <c r="C323" s="66">
        <v>26.0</v>
      </c>
      <c r="D323" s="66">
        <v>5.0</v>
      </c>
      <c r="E323" s="66">
        <v>3.0</v>
      </c>
      <c r="F323" s="66">
        <v>959.0</v>
      </c>
      <c r="G323" s="141">
        <v>73116.0</v>
      </c>
      <c r="H323" s="66">
        <v>4.0</v>
      </c>
      <c r="I323" s="132">
        <v>4861.91</v>
      </c>
      <c r="J323" s="133">
        <v>3701.73</v>
      </c>
      <c r="K323" s="142">
        <v>17.0</v>
      </c>
      <c r="L323" s="111">
        <v>23.0</v>
      </c>
      <c r="M323" s="70">
        <v>1030.0</v>
      </c>
      <c r="N323" s="24" t="s">
        <v>4436</v>
      </c>
    </row>
    <row r="324">
      <c r="A324" s="66">
        <v>7320.0</v>
      </c>
      <c r="B324" s="66">
        <v>216.0</v>
      </c>
      <c r="C324" s="66">
        <v>67.0</v>
      </c>
      <c r="D324" s="66">
        <v>5.0</v>
      </c>
      <c r="E324" s="66">
        <v>6.0</v>
      </c>
      <c r="F324" s="66">
        <v>605.0</v>
      </c>
      <c r="G324" s="141">
        <v>53101.0</v>
      </c>
      <c r="H324" s="66">
        <v>4.0</v>
      </c>
      <c r="I324" s="132">
        <v>648.53</v>
      </c>
      <c r="J324" s="133">
        <v>49.9</v>
      </c>
      <c r="K324" s="142">
        <v>61.0</v>
      </c>
      <c r="L324" s="111">
        <v>23.0</v>
      </c>
      <c r="M324" s="70">
        <v>930.0</v>
      </c>
      <c r="N324" s="24" t="s">
        <v>4437</v>
      </c>
    </row>
    <row r="325">
      <c r="A325" s="66">
        <v>7321.0</v>
      </c>
      <c r="B325" s="66">
        <v>219.0</v>
      </c>
      <c r="C325" s="66">
        <v>26.0</v>
      </c>
      <c r="D325" s="66">
        <v>6.0</v>
      </c>
      <c r="E325" s="66">
        <v>4.0</v>
      </c>
      <c r="F325" s="66">
        <v>398.0</v>
      </c>
      <c r="G325" s="141">
        <v>13119.0</v>
      </c>
      <c r="H325" s="66">
        <v>2.0</v>
      </c>
      <c r="I325" s="132">
        <v>4962.36</v>
      </c>
      <c r="J325" s="133">
        <v>5755.49</v>
      </c>
      <c r="K325" s="142">
        <v>51.0</v>
      </c>
      <c r="L325" s="111">
        <v>23.0</v>
      </c>
      <c r="M325" s="70">
        <v>2130.0</v>
      </c>
      <c r="N325" s="24" t="s">
        <v>4438</v>
      </c>
    </row>
    <row r="326">
      <c r="A326" s="66">
        <v>7322.0</v>
      </c>
      <c r="B326" s="66">
        <v>204.0</v>
      </c>
      <c r="C326" s="66">
        <v>47.0</v>
      </c>
      <c r="D326" s="66">
        <v>1.0</v>
      </c>
      <c r="E326" s="66">
        <v>4.0</v>
      </c>
      <c r="F326" s="66">
        <v>452.0</v>
      </c>
      <c r="G326" s="141">
        <v>113020.0</v>
      </c>
      <c r="H326" s="66">
        <v>5.0</v>
      </c>
      <c r="I326" s="132">
        <v>-617.87</v>
      </c>
      <c r="J326" s="133">
        <v>61575.41</v>
      </c>
      <c r="K326" s="142">
        <v>89.0</v>
      </c>
      <c r="L326" s="111">
        <v>20.0</v>
      </c>
      <c r="M326" s="70">
        <v>630.0</v>
      </c>
      <c r="N326" s="24" t="s">
        <v>4439</v>
      </c>
    </row>
    <row r="327">
      <c r="A327" s="66">
        <v>7323.0</v>
      </c>
      <c r="B327" s="66">
        <v>204.0</v>
      </c>
      <c r="C327" s="66">
        <v>47.0</v>
      </c>
      <c r="D327" s="66">
        <v>1.0</v>
      </c>
      <c r="E327" s="66">
        <v>7.0</v>
      </c>
      <c r="F327" s="66">
        <v>895.0</v>
      </c>
      <c r="G327" s="141">
        <v>73192.0</v>
      </c>
      <c r="H327" s="66">
        <v>5.0</v>
      </c>
      <c r="I327" s="132">
        <v>626.15</v>
      </c>
      <c r="J327" s="133">
        <v>401.8</v>
      </c>
      <c r="K327" s="142">
        <v>14.0</v>
      </c>
      <c r="L327" s="111">
        <v>20.0</v>
      </c>
      <c r="M327" s="70">
        <v>2300.0</v>
      </c>
      <c r="N327" s="24" t="s">
        <v>4440</v>
      </c>
    </row>
    <row r="328">
      <c r="A328" s="66">
        <v>7324.0</v>
      </c>
      <c r="B328" s="66">
        <v>210.0</v>
      </c>
      <c r="C328" s="66">
        <v>67.0</v>
      </c>
      <c r="D328" s="66">
        <v>8.0</v>
      </c>
      <c r="E328" s="66">
        <v>1.0</v>
      </c>
      <c r="F328" s="66">
        <v>510.0</v>
      </c>
      <c r="G328" s="141">
        <v>103122.0</v>
      </c>
      <c r="H328" s="66">
        <v>4.0</v>
      </c>
      <c r="I328" s="132">
        <v>714.42</v>
      </c>
      <c r="J328" s="133">
        <v>85400.1</v>
      </c>
      <c r="K328" s="142">
        <v>12.0</v>
      </c>
      <c r="L328" s="111">
        <v>23.0</v>
      </c>
      <c r="M328" s="70">
        <v>2330.0</v>
      </c>
      <c r="N328" s="24" t="s">
        <v>4441</v>
      </c>
    </row>
    <row r="329">
      <c r="A329" s="66">
        <v>7325.0</v>
      </c>
      <c r="B329" s="66">
        <v>203.0</v>
      </c>
      <c r="C329" s="66">
        <v>26.0</v>
      </c>
      <c r="D329" s="66">
        <v>8.0</v>
      </c>
      <c r="E329" s="66">
        <v>9.0</v>
      </c>
      <c r="F329" s="66">
        <v>815.0</v>
      </c>
      <c r="G329" s="141">
        <v>13193.0</v>
      </c>
      <c r="H329" s="66">
        <v>2.0</v>
      </c>
      <c r="I329" s="132">
        <v>-559.79</v>
      </c>
      <c r="J329" s="133">
        <v>-5285.32</v>
      </c>
      <c r="K329" s="142">
        <v>95.0</v>
      </c>
      <c r="L329" s="111">
        <v>20.0</v>
      </c>
      <c r="M329" s="70">
        <v>300.0</v>
      </c>
      <c r="N329" s="24" t="s">
        <v>4442</v>
      </c>
    </row>
    <row r="330">
      <c r="A330" s="66">
        <v>7326.0</v>
      </c>
      <c r="B330" s="66">
        <v>206.0</v>
      </c>
      <c r="C330" s="66">
        <v>67.0</v>
      </c>
      <c r="D330" s="66">
        <v>8.0</v>
      </c>
      <c r="E330" s="66">
        <v>7.0</v>
      </c>
      <c r="F330" s="66">
        <v>897.0</v>
      </c>
      <c r="G330" s="141">
        <v>83197.0</v>
      </c>
      <c r="H330" s="66">
        <v>1.0</v>
      </c>
      <c r="I330" s="132">
        <v>-6162.3</v>
      </c>
      <c r="J330" s="133">
        <v>-71.7</v>
      </c>
      <c r="K330" s="142">
        <v>35.0</v>
      </c>
      <c r="L330" s="111">
        <v>22.0</v>
      </c>
      <c r="M330" s="70">
        <v>1100.0</v>
      </c>
      <c r="N330" s="24" t="s">
        <v>4443</v>
      </c>
    </row>
    <row r="331">
      <c r="A331" s="66">
        <v>7327.0</v>
      </c>
      <c r="B331" s="66">
        <v>216.0</v>
      </c>
      <c r="C331" s="66">
        <v>47.0</v>
      </c>
      <c r="D331" s="66">
        <v>3.0</v>
      </c>
      <c r="E331" s="66">
        <v>9.0</v>
      </c>
      <c r="F331" s="66">
        <v>724.0</v>
      </c>
      <c r="G331" s="141">
        <v>63013.0</v>
      </c>
      <c r="H331" s="66">
        <v>2.0</v>
      </c>
      <c r="I331" s="132">
        <v>5534.37</v>
      </c>
      <c r="J331" s="133">
        <v>4477.97</v>
      </c>
      <c r="K331" s="142">
        <v>65.0</v>
      </c>
      <c r="L331" s="111">
        <v>20.0</v>
      </c>
      <c r="M331" s="70">
        <v>1200.0</v>
      </c>
      <c r="N331" s="24" t="s">
        <v>4444</v>
      </c>
    </row>
    <row r="332">
      <c r="A332" s="66">
        <v>7328.0</v>
      </c>
      <c r="B332" s="66">
        <v>213.0</v>
      </c>
      <c r="C332" s="66">
        <v>47.0</v>
      </c>
      <c r="D332" s="66">
        <v>4.0</v>
      </c>
      <c r="E332" s="66">
        <v>5.0</v>
      </c>
      <c r="F332" s="66">
        <v>638.0</v>
      </c>
      <c r="G332" s="141">
        <v>22803.0</v>
      </c>
      <c r="H332" s="66">
        <v>5.0</v>
      </c>
      <c r="I332" s="132">
        <v>22.72</v>
      </c>
      <c r="J332" s="133">
        <v>-73635.84</v>
      </c>
      <c r="K332" s="142">
        <v>99.0</v>
      </c>
      <c r="L332" s="111">
        <v>22.0</v>
      </c>
      <c r="M332" s="70">
        <v>100.0</v>
      </c>
      <c r="N332" s="24" t="s">
        <v>4445</v>
      </c>
    </row>
    <row r="333">
      <c r="A333" s="66">
        <v>7329.0</v>
      </c>
      <c r="B333" s="66">
        <v>200.0</v>
      </c>
      <c r="C333" s="66">
        <v>67.0</v>
      </c>
      <c r="D333" s="66">
        <v>9.0</v>
      </c>
      <c r="E333" s="66">
        <v>3.0</v>
      </c>
      <c r="F333" s="66">
        <v>220.0</v>
      </c>
      <c r="G333" s="141">
        <v>22891.0</v>
      </c>
      <c r="H333" s="66">
        <v>3.0</v>
      </c>
      <c r="I333" s="132">
        <v>18.1</v>
      </c>
      <c r="J333" s="133">
        <v>839.43</v>
      </c>
      <c r="K333" s="142">
        <v>54.0</v>
      </c>
      <c r="L333" s="111">
        <v>20.0</v>
      </c>
      <c r="M333" s="70">
        <v>2330.0</v>
      </c>
      <c r="N333" s="24" t="s">
        <v>4446</v>
      </c>
    </row>
    <row r="334">
      <c r="A334" s="66">
        <v>7330.0</v>
      </c>
      <c r="B334" s="66">
        <v>218.0</v>
      </c>
      <c r="C334" s="66">
        <v>67.0</v>
      </c>
      <c r="D334" s="66">
        <v>9.0</v>
      </c>
      <c r="E334" s="66">
        <v>6.0</v>
      </c>
      <c r="F334" s="66">
        <v>492.0</v>
      </c>
      <c r="G334" s="141">
        <v>93006.0</v>
      </c>
      <c r="H334" s="66">
        <v>3.0</v>
      </c>
      <c r="I334" s="132">
        <v>92414.14</v>
      </c>
      <c r="J334" s="133">
        <v>74367.0</v>
      </c>
      <c r="K334" s="142">
        <v>98.0</v>
      </c>
      <c r="L334" s="111">
        <v>23.0</v>
      </c>
      <c r="M334" s="70">
        <v>1330.0</v>
      </c>
      <c r="N334" s="24" t="s">
        <v>4427</v>
      </c>
    </row>
    <row r="335">
      <c r="A335" s="66">
        <v>7331.0</v>
      </c>
      <c r="B335" s="66">
        <v>219.0</v>
      </c>
      <c r="C335" s="66">
        <v>88.0</v>
      </c>
      <c r="D335" s="66">
        <v>4.0</v>
      </c>
      <c r="E335" s="66">
        <v>7.0</v>
      </c>
      <c r="F335" s="66">
        <v>811.0</v>
      </c>
      <c r="G335" s="141">
        <v>93095.0</v>
      </c>
      <c r="H335" s="66">
        <v>5.0</v>
      </c>
      <c r="I335" s="132">
        <v>-649.7</v>
      </c>
      <c r="J335" s="133">
        <v>-22660.9</v>
      </c>
      <c r="K335" s="142">
        <v>82.0</v>
      </c>
      <c r="L335" s="111">
        <v>20.0</v>
      </c>
      <c r="M335" s="70">
        <v>1900.0</v>
      </c>
      <c r="N335" s="24" t="s">
        <v>4447</v>
      </c>
    </row>
    <row r="336">
      <c r="A336" s="66">
        <v>7332.0</v>
      </c>
      <c r="B336" s="66">
        <v>213.0</v>
      </c>
      <c r="C336" s="66">
        <v>47.0</v>
      </c>
      <c r="D336" s="66">
        <v>5.0</v>
      </c>
      <c r="E336" s="66">
        <v>3.0</v>
      </c>
      <c r="F336" s="66">
        <v>451.0</v>
      </c>
      <c r="G336" s="141">
        <v>73193.0</v>
      </c>
      <c r="H336" s="66">
        <v>3.0</v>
      </c>
      <c r="I336" s="132">
        <v>65.76</v>
      </c>
      <c r="J336" s="133">
        <v>87.13</v>
      </c>
      <c r="K336" s="142">
        <v>74.0</v>
      </c>
      <c r="L336" s="111">
        <v>22.0</v>
      </c>
      <c r="M336" s="70">
        <v>100.0</v>
      </c>
      <c r="N336" s="24" t="s">
        <v>4448</v>
      </c>
    </row>
    <row r="337">
      <c r="A337" s="66">
        <v>7333.0</v>
      </c>
      <c r="B337" s="66">
        <v>202.0</v>
      </c>
      <c r="C337" s="66">
        <v>47.0</v>
      </c>
      <c r="D337" s="66">
        <v>5.0</v>
      </c>
      <c r="E337" s="66">
        <v>5.0</v>
      </c>
      <c r="F337" s="66">
        <v>778.0</v>
      </c>
      <c r="G337" s="141">
        <v>113013.0</v>
      </c>
      <c r="H337" s="66">
        <v>6.0</v>
      </c>
      <c r="I337" s="132">
        <v>665.5</v>
      </c>
      <c r="J337" s="133">
        <v>-2859.2</v>
      </c>
      <c r="K337" s="142">
        <v>59.0</v>
      </c>
      <c r="L337" s="111">
        <v>21.0</v>
      </c>
      <c r="M337" s="70">
        <v>1730.0</v>
      </c>
      <c r="N337" s="24" t="s">
        <v>4449</v>
      </c>
    </row>
    <row r="338">
      <c r="A338" s="66">
        <v>7334.0</v>
      </c>
      <c r="B338" s="66">
        <v>206.0</v>
      </c>
      <c r="C338" s="66">
        <v>47.0</v>
      </c>
      <c r="D338" s="66">
        <v>5.0</v>
      </c>
      <c r="E338" s="66">
        <v>7.0</v>
      </c>
      <c r="F338" s="66">
        <v>117.0</v>
      </c>
      <c r="G338" s="141">
        <v>33114.0</v>
      </c>
      <c r="H338" s="66">
        <v>3.0</v>
      </c>
      <c r="I338" s="132">
        <v>58.37</v>
      </c>
      <c r="J338" s="133">
        <v>29048.64</v>
      </c>
      <c r="K338" s="142">
        <v>89.0</v>
      </c>
      <c r="L338" s="111">
        <v>21.0</v>
      </c>
      <c r="M338" s="70">
        <v>400.0</v>
      </c>
      <c r="N338" s="24" t="s">
        <v>4450</v>
      </c>
    </row>
    <row r="339">
      <c r="A339" s="66">
        <v>7335.0</v>
      </c>
      <c r="B339" s="66">
        <v>202.0</v>
      </c>
      <c r="C339" s="66">
        <v>47.0</v>
      </c>
      <c r="D339" s="66">
        <v>5.0</v>
      </c>
      <c r="E339" s="66">
        <v>8.0</v>
      </c>
      <c r="F339" s="66">
        <v>293.0</v>
      </c>
      <c r="G339" s="141">
        <v>123118.0</v>
      </c>
      <c r="H339" s="66">
        <v>2.0</v>
      </c>
      <c r="I339" s="132">
        <v>-618.59</v>
      </c>
      <c r="J339" s="133">
        <v>56.26</v>
      </c>
      <c r="K339" s="142">
        <v>80.0</v>
      </c>
      <c r="L339" s="111">
        <v>21.0</v>
      </c>
      <c r="M339" s="70">
        <v>2300.0</v>
      </c>
      <c r="N339" s="24" t="s">
        <v>4451</v>
      </c>
    </row>
    <row r="340">
      <c r="A340" s="66">
        <v>7336.0</v>
      </c>
      <c r="B340" s="66">
        <v>219.0</v>
      </c>
      <c r="C340" s="66">
        <v>88.0</v>
      </c>
      <c r="D340" s="66">
        <v>5.0</v>
      </c>
      <c r="E340" s="66">
        <v>4.0</v>
      </c>
      <c r="F340" s="66">
        <v>390.0</v>
      </c>
      <c r="G340" s="141">
        <v>53111.0</v>
      </c>
      <c r="H340" s="66">
        <v>7.0</v>
      </c>
      <c r="I340" s="132">
        <v>76305.34</v>
      </c>
      <c r="J340" s="133">
        <v>25.37</v>
      </c>
      <c r="K340" s="142">
        <v>40.0</v>
      </c>
      <c r="L340" s="111">
        <v>22.0</v>
      </c>
      <c r="M340" s="70">
        <v>2230.0</v>
      </c>
      <c r="N340" s="24" t="s">
        <v>4452</v>
      </c>
    </row>
    <row r="341">
      <c r="A341" s="66">
        <v>7337.0</v>
      </c>
      <c r="B341" s="66">
        <v>209.0</v>
      </c>
      <c r="C341" s="66">
        <v>27.0</v>
      </c>
      <c r="D341" s="66">
        <v>1.0</v>
      </c>
      <c r="E341" s="66">
        <v>3.0</v>
      </c>
      <c r="F341" s="66">
        <v>837.0</v>
      </c>
      <c r="G341" s="141">
        <v>63004.0</v>
      </c>
      <c r="H341" s="66">
        <v>5.0</v>
      </c>
      <c r="I341" s="132">
        <v>-4376.24</v>
      </c>
      <c r="J341" s="133">
        <v>-27.5</v>
      </c>
      <c r="K341" s="142">
        <v>66.0</v>
      </c>
      <c r="L341" s="111">
        <v>22.0</v>
      </c>
      <c r="M341" s="70">
        <v>2030.0</v>
      </c>
      <c r="N341" s="24" t="s">
        <v>4453</v>
      </c>
    </row>
    <row r="342">
      <c r="A342" s="66">
        <v>7338.0</v>
      </c>
      <c r="B342" s="66">
        <v>201.0</v>
      </c>
      <c r="C342" s="66">
        <v>47.0</v>
      </c>
      <c r="D342" s="66">
        <v>6.0</v>
      </c>
      <c r="E342" s="66">
        <v>3.0</v>
      </c>
      <c r="F342" s="66">
        <v>202.0</v>
      </c>
      <c r="G342" s="141">
        <v>123122.0</v>
      </c>
      <c r="H342" s="66">
        <v>4.0</v>
      </c>
      <c r="I342" s="132">
        <v>-8584.24</v>
      </c>
      <c r="J342" s="133">
        <v>9629.64</v>
      </c>
      <c r="K342" s="142">
        <v>93.0</v>
      </c>
      <c r="L342" s="111">
        <v>23.0</v>
      </c>
      <c r="M342" s="70">
        <v>1900.0</v>
      </c>
      <c r="N342" s="24" t="s">
        <v>4454</v>
      </c>
    </row>
    <row r="343">
      <c r="A343" s="66">
        <v>7339.0</v>
      </c>
      <c r="B343" s="66">
        <v>209.0</v>
      </c>
      <c r="C343" s="66">
        <v>88.0</v>
      </c>
      <c r="D343" s="66">
        <v>6.0</v>
      </c>
      <c r="E343" s="66">
        <v>1.0</v>
      </c>
      <c r="F343" s="66">
        <v>220.0</v>
      </c>
      <c r="G343" s="141">
        <v>53194.0</v>
      </c>
      <c r="H343" s="66">
        <v>4.0</v>
      </c>
      <c r="I343" s="132">
        <v>41928.23</v>
      </c>
      <c r="J343" s="133">
        <v>-42131.83</v>
      </c>
      <c r="K343" s="142">
        <v>97.0</v>
      </c>
      <c r="L343" s="111">
        <v>20.0</v>
      </c>
      <c r="M343" s="70">
        <v>1000.0</v>
      </c>
      <c r="N343" s="24" t="s">
        <v>4455</v>
      </c>
    </row>
    <row r="344">
      <c r="A344" s="66">
        <v>7340.0</v>
      </c>
      <c r="B344" s="66">
        <v>211.0</v>
      </c>
      <c r="C344" s="66">
        <v>27.0</v>
      </c>
      <c r="D344" s="66">
        <v>1.0</v>
      </c>
      <c r="E344" s="66">
        <v>8.0</v>
      </c>
      <c r="F344" s="66">
        <v>838.0</v>
      </c>
      <c r="G344" s="141">
        <v>123104.0</v>
      </c>
      <c r="H344" s="66">
        <v>2.0</v>
      </c>
      <c r="I344" s="132">
        <v>47758.14</v>
      </c>
      <c r="J344" s="133">
        <v>77.72</v>
      </c>
      <c r="K344" s="142">
        <v>16.0</v>
      </c>
      <c r="L344" s="111">
        <v>23.0</v>
      </c>
      <c r="M344" s="70">
        <v>1530.0</v>
      </c>
      <c r="N344" s="24" t="s">
        <v>4456</v>
      </c>
    </row>
    <row r="345">
      <c r="A345" s="66">
        <v>7341.0</v>
      </c>
      <c r="B345" s="66">
        <v>219.0</v>
      </c>
      <c r="C345" s="66">
        <v>68.0</v>
      </c>
      <c r="D345" s="66">
        <v>1.0</v>
      </c>
      <c r="E345" s="66">
        <v>8.0</v>
      </c>
      <c r="F345" s="66">
        <v>662.0</v>
      </c>
      <c r="G345" s="141">
        <v>93018.0</v>
      </c>
      <c r="H345" s="66">
        <v>1.0</v>
      </c>
      <c r="I345" s="132">
        <v>36314.76</v>
      </c>
      <c r="J345" s="133">
        <v>2675.56</v>
      </c>
      <c r="K345" s="142">
        <v>40.0</v>
      </c>
      <c r="L345" s="111">
        <v>20.0</v>
      </c>
      <c r="M345" s="70">
        <v>500.0</v>
      </c>
      <c r="N345" s="24" t="s">
        <v>4457</v>
      </c>
    </row>
    <row r="346">
      <c r="A346" s="66">
        <v>7342.0</v>
      </c>
      <c r="B346" s="66">
        <v>207.0</v>
      </c>
      <c r="C346" s="66">
        <v>68.0</v>
      </c>
      <c r="D346" s="66">
        <v>2.0</v>
      </c>
      <c r="E346" s="66">
        <v>2.0</v>
      </c>
      <c r="F346" s="66">
        <v>301.0</v>
      </c>
      <c r="G346" s="141">
        <v>83122.0</v>
      </c>
      <c r="H346" s="66">
        <v>5.0</v>
      </c>
      <c r="I346" s="132">
        <v>6630.98</v>
      </c>
      <c r="J346" s="133">
        <v>952.3</v>
      </c>
      <c r="K346" s="142">
        <v>67.0</v>
      </c>
      <c r="L346" s="111">
        <v>20.0</v>
      </c>
      <c r="M346" s="70">
        <v>700.0</v>
      </c>
      <c r="N346" s="24" t="s">
        <v>4458</v>
      </c>
    </row>
    <row r="347">
      <c r="A347" s="66">
        <v>7343.0</v>
      </c>
      <c r="B347" s="66">
        <v>213.0</v>
      </c>
      <c r="C347" s="66">
        <v>27.0</v>
      </c>
      <c r="D347" s="66">
        <v>2.0</v>
      </c>
      <c r="E347" s="66">
        <v>8.0</v>
      </c>
      <c r="F347" s="66">
        <v>824.0</v>
      </c>
      <c r="G347" s="141">
        <v>93017.0</v>
      </c>
      <c r="H347" s="66">
        <v>8.0</v>
      </c>
      <c r="I347" s="132">
        <v>184.74</v>
      </c>
      <c r="J347" s="133">
        <v>99.31</v>
      </c>
      <c r="K347" s="142">
        <v>17.0</v>
      </c>
      <c r="L347" s="111">
        <v>22.0</v>
      </c>
      <c r="M347" s="70">
        <v>2100.0</v>
      </c>
      <c r="N347" s="24" t="s">
        <v>4459</v>
      </c>
    </row>
    <row r="348">
      <c r="A348" s="66">
        <v>7344.0</v>
      </c>
      <c r="B348" s="66">
        <v>211.0</v>
      </c>
      <c r="C348" s="66">
        <v>68.0</v>
      </c>
      <c r="D348" s="66">
        <v>2.0</v>
      </c>
      <c r="E348" s="66">
        <v>7.0</v>
      </c>
      <c r="F348" s="66">
        <v>629.0</v>
      </c>
      <c r="G348" s="141">
        <v>63016.0</v>
      </c>
      <c r="H348" s="66">
        <v>3.0</v>
      </c>
      <c r="I348" s="132">
        <v>6985.65</v>
      </c>
      <c r="J348" s="133">
        <v>55.24</v>
      </c>
      <c r="K348" s="142">
        <v>99.0</v>
      </c>
      <c r="L348" s="111">
        <v>21.0</v>
      </c>
      <c r="M348" s="70">
        <v>730.0</v>
      </c>
      <c r="N348" s="24" t="s">
        <v>4460</v>
      </c>
    </row>
    <row r="349">
      <c r="A349" s="66">
        <v>7345.0</v>
      </c>
      <c r="B349" s="66">
        <v>200.0</v>
      </c>
      <c r="C349" s="66">
        <v>27.0</v>
      </c>
      <c r="D349" s="66">
        <v>3.0</v>
      </c>
      <c r="E349" s="66">
        <v>3.0</v>
      </c>
      <c r="F349" s="66">
        <v>636.0</v>
      </c>
      <c r="G349" s="141">
        <v>43010.0</v>
      </c>
      <c r="H349" s="66">
        <v>2.0</v>
      </c>
      <c r="I349" s="132">
        <v>4826.68</v>
      </c>
      <c r="J349" s="133">
        <v>96.13</v>
      </c>
      <c r="K349" s="142">
        <v>13.0</v>
      </c>
      <c r="L349" s="111">
        <v>23.0</v>
      </c>
      <c r="M349" s="70">
        <v>1400.0</v>
      </c>
      <c r="N349" s="24" t="s">
        <v>4461</v>
      </c>
    </row>
    <row r="350">
      <c r="A350" s="66">
        <v>7346.0</v>
      </c>
      <c r="B350" s="66">
        <v>208.0</v>
      </c>
      <c r="C350" s="66">
        <v>88.0</v>
      </c>
      <c r="D350" s="66">
        <v>8.0</v>
      </c>
      <c r="E350" s="66">
        <v>3.0</v>
      </c>
      <c r="F350" s="66">
        <v>229.0</v>
      </c>
      <c r="G350" s="141">
        <v>33117.0</v>
      </c>
      <c r="H350" s="66">
        <v>1.0</v>
      </c>
      <c r="I350" s="132">
        <v>6406.55</v>
      </c>
      <c r="J350" s="133">
        <v>54.33</v>
      </c>
      <c r="K350" s="142">
        <v>4.0</v>
      </c>
      <c r="L350" s="111">
        <v>22.0</v>
      </c>
      <c r="M350" s="70">
        <v>2100.0</v>
      </c>
      <c r="N350" s="24" t="s">
        <v>4462</v>
      </c>
    </row>
    <row r="351">
      <c r="A351" s="66">
        <v>7347.0</v>
      </c>
      <c r="B351" s="66">
        <v>218.0</v>
      </c>
      <c r="C351" s="66">
        <v>47.0</v>
      </c>
      <c r="D351" s="66">
        <v>8.0</v>
      </c>
      <c r="E351" s="66">
        <v>7.0</v>
      </c>
      <c r="F351" s="66">
        <v>521.0</v>
      </c>
      <c r="G351" s="141">
        <v>123115.0</v>
      </c>
      <c r="H351" s="66">
        <v>8.0</v>
      </c>
      <c r="I351" s="132">
        <v>817.64</v>
      </c>
      <c r="J351" s="133">
        <v>-496.97</v>
      </c>
      <c r="K351" s="142">
        <v>59.0</v>
      </c>
      <c r="L351" s="111">
        <v>22.0</v>
      </c>
      <c r="M351" s="70">
        <v>700.0</v>
      </c>
      <c r="N351" s="24" t="s">
        <v>4463</v>
      </c>
    </row>
    <row r="352">
      <c r="A352" s="66">
        <v>7348.0</v>
      </c>
      <c r="B352" s="66">
        <v>204.0</v>
      </c>
      <c r="C352" s="66">
        <v>68.0</v>
      </c>
      <c r="D352" s="66">
        <v>3.0</v>
      </c>
      <c r="E352" s="66">
        <v>9.0</v>
      </c>
      <c r="F352" s="66">
        <v>743.0</v>
      </c>
      <c r="G352" s="141">
        <v>22805.0</v>
      </c>
      <c r="H352" s="66">
        <v>9.0</v>
      </c>
      <c r="I352" s="132">
        <v>75.14</v>
      </c>
      <c r="J352" s="133">
        <v>-67966.77</v>
      </c>
      <c r="K352" s="142">
        <v>27.0</v>
      </c>
      <c r="L352" s="111">
        <v>22.0</v>
      </c>
      <c r="M352" s="70">
        <v>1800.0</v>
      </c>
      <c r="N352" s="24" t="s">
        <v>4464</v>
      </c>
    </row>
    <row r="353">
      <c r="A353" s="66">
        <v>7349.0</v>
      </c>
      <c r="B353" s="66">
        <v>208.0</v>
      </c>
      <c r="C353" s="66">
        <v>47.0</v>
      </c>
      <c r="D353" s="66">
        <v>9.0</v>
      </c>
      <c r="E353" s="66">
        <v>2.0</v>
      </c>
      <c r="F353" s="66">
        <v>415.0</v>
      </c>
      <c r="G353" s="141">
        <v>43015.0</v>
      </c>
      <c r="H353" s="66">
        <v>9.0</v>
      </c>
      <c r="I353" s="132">
        <v>45168.42</v>
      </c>
      <c r="J353" s="133">
        <v>84.6</v>
      </c>
      <c r="K353" s="142">
        <v>33.0</v>
      </c>
      <c r="L353" s="111">
        <v>22.0</v>
      </c>
      <c r="M353" s="70">
        <v>1530.0</v>
      </c>
      <c r="N353" s="24" t="s">
        <v>4465</v>
      </c>
    </row>
    <row r="354">
      <c r="A354" s="66">
        <v>7350.0</v>
      </c>
      <c r="B354" s="66">
        <v>206.0</v>
      </c>
      <c r="C354" s="66">
        <v>27.0</v>
      </c>
      <c r="D354" s="66">
        <v>4.0</v>
      </c>
      <c r="E354" s="66">
        <v>4.0</v>
      </c>
      <c r="F354" s="66">
        <v>678.0</v>
      </c>
      <c r="G354" s="141">
        <v>103119.0</v>
      </c>
      <c r="H354" s="66">
        <v>3.0</v>
      </c>
      <c r="I354" s="132">
        <v>8835.14</v>
      </c>
      <c r="J354" s="133">
        <v>72321.3</v>
      </c>
      <c r="K354" s="142">
        <v>77.0</v>
      </c>
      <c r="L354" s="111">
        <v>23.0</v>
      </c>
      <c r="M354" s="70">
        <v>2200.0</v>
      </c>
      <c r="N354" s="24" t="s">
        <v>4466</v>
      </c>
    </row>
    <row r="355">
      <c r="A355" s="66">
        <v>7351.0</v>
      </c>
      <c r="B355" s="66">
        <v>202.0</v>
      </c>
      <c r="C355" s="66">
        <v>27.0</v>
      </c>
      <c r="D355" s="66">
        <v>4.0</v>
      </c>
      <c r="E355" s="66">
        <v>7.0</v>
      </c>
      <c r="F355" s="66">
        <v>276.0</v>
      </c>
      <c r="G355" s="141">
        <v>33105.0</v>
      </c>
      <c r="H355" s="66">
        <v>8.0</v>
      </c>
      <c r="I355" s="132">
        <v>22.39</v>
      </c>
      <c r="J355" s="133">
        <v>863.31</v>
      </c>
      <c r="K355" s="142">
        <v>43.0</v>
      </c>
      <c r="L355" s="111">
        <v>21.0</v>
      </c>
      <c r="M355" s="70">
        <v>1400.0</v>
      </c>
      <c r="N355" s="24" t="s">
        <v>4467</v>
      </c>
    </row>
    <row r="356">
      <c r="A356" s="66">
        <v>7352.0</v>
      </c>
      <c r="B356" s="66">
        <v>209.0</v>
      </c>
      <c r="C356" s="66">
        <v>88.0</v>
      </c>
      <c r="D356" s="66">
        <v>9.0</v>
      </c>
      <c r="E356" s="66">
        <v>2.0</v>
      </c>
      <c r="F356" s="66">
        <v>773.0</v>
      </c>
      <c r="G356" s="141">
        <v>93090.0</v>
      </c>
      <c r="H356" s="66">
        <v>8.0</v>
      </c>
      <c r="I356" s="132">
        <v>-9021.56</v>
      </c>
      <c r="J356" s="133">
        <v>256.52</v>
      </c>
      <c r="K356" s="142">
        <v>57.0</v>
      </c>
      <c r="L356" s="111">
        <v>23.0</v>
      </c>
      <c r="M356" s="70">
        <v>1200.0</v>
      </c>
      <c r="N356" s="24" t="s">
        <v>4468</v>
      </c>
    </row>
    <row r="357">
      <c r="A357" s="66">
        <v>7353.0</v>
      </c>
      <c r="B357" s="66">
        <v>217.0</v>
      </c>
      <c r="C357" s="66">
        <v>68.0</v>
      </c>
      <c r="D357" s="66">
        <v>4.0</v>
      </c>
      <c r="E357" s="66">
        <v>6.0</v>
      </c>
      <c r="F357" s="66">
        <v>178.0</v>
      </c>
      <c r="G357" s="141">
        <v>113092.0</v>
      </c>
      <c r="H357" s="66">
        <v>7.0</v>
      </c>
      <c r="I357" s="132">
        <v>47.44</v>
      </c>
      <c r="J357" s="133">
        <v>80551.23</v>
      </c>
      <c r="K357" s="142">
        <v>31.0</v>
      </c>
      <c r="L357" s="111">
        <v>21.0</v>
      </c>
      <c r="M357" s="70">
        <v>1900.0</v>
      </c>
      <c r="N357" s="24" t="s">
        <v>4469</v>
      </c>
    </row>
    <row r="358">
      <c r="A358" s="66">
        <v>7354.0</v>
      </c>
      <c r="B358" s="66">
        <v>216.0</v>
      </c>
      <c r="C358" s="66">
        <v>88.0</v>
      </c>
      <c r="D358" s="66">
        <v>9.0</v>
      </c>
      <c r="E358" s="66">
        <v>6.0</v>
      </c>
      <c r="F358" s="66">
        <v>735.0</v>
      </c>
      <c r="G358" s="141">
        <v>103118.0</v>
      </c>
      <c r="H358" s="66">
        <v>6.0</v>
      </c>
      <c r="I358" s="132">
        <v>-74.1</v>
      </c>
      <c r="J358" s="133">
        <v>755.67</v>
      </c>
      <c r="K358" s="142">
        <v>12.0</v>
      </c>
      <c r="L358" s="111">
        <v>23.0</v>
      </c>
      <c r="M358" s="70">
        <v>1800.0</v>
      </c>
      <c r="N358" s="24" t="s">
        <v>4470</v>
      </c>
    </row>
    <row r="359">
      <c r="A359" s="66">
        <v>7355.0</v>
      </c>
      <c r="B359" s="66">
        <v>212.0</v>
      </c>
      <c r="C359" s="66">
        <v>27.0</v>
      </c>
      <c r="D359" s="66">
        <v>5.0</v>
      </c>
      <c r="E359" s="66">
        <v>3.0</v>
      </c>
      <c r="F359" s="66">
        <v>639.0</v>
      </c>
      <c r="G359" s="141">
        <v>93004.0</v>
      </c>
      <c r="H359" s="66">
        <v>4.0</v>
      </c>
      <c r="I359" s="132">
        <v>36086.63</v>
      </c>
      <c r="J359" s="133">
        <v>2363.9</v>
      </c>
      <c r="K359" s="142">
        <v>36.0</v>
      </c>
      <c r="L359" s="111">
        <v>23.0</v>
      </c>
      <c r="M359" s="70">
        <v>1030.0</v>
      </c>
      <c r="N359" s="24" t="s">
        <v>4471</v>
      </c>
    </row>
    <row r="360">
      <c r="A360" s="66">
        <v>7356.0</v>
      </c>
      <c r="B360" s="66">
        <v>208.0</v>
      </c>
      <c r="C360" s="66">
        <v>27.0</v>
      </c>
      <c r="D360" s="66">
        <v>5.0</v>
      </c>
      <c r="E360" s="66">
        <v>4.0</v>
      </c>
      <c r="F360" s="66">
        <v>356.0</v>
      </c>
      <c r="G360" s="141">
        <v>22895.0</v>
      </c>
      <c r="H360" s="66">
        <v>5.0</v>
      </c>
      <c r="I360" s="132">
        <v>67.48</v>
      </c>
      <c r="J360" s="133">
        <v>55225.9</v>
      </c>
      <c r="K360" s="142">
        <v>48.0</v>
      </c>
      <c r="L360" s="111">
        <v>22.0</v>
      </c>
      <c r="M360" s="70">
        <v>2300.0</v>
      </c>
      <c r="N360" s="24" t="s">
        <v>4472</v>
      </c>
    </row>
    <row r="361">
      <c r="A361" s="66">
        <v>7357.0</v>
      </c>
      <c r="B361" s="66">
        <v>201.0</v>
      </c>
      <c r="C361" s="66">
        <v>88.0</v>
      </c>
      <c r="D361" s="66">
        <v>9.0</v>
      </c>
      <c r="E361" s="66">
        <v>9.0</v>
      </c>
      <c r="F361" s="66">
        <v>370.0</v>
      </c>
      <c r="G361" s="141">
        <v>113005.0</v>
      </c>
      <c r="H361" s="66">
        <v>2.0</v>
      </c>
      <c r="I361" s="132">
        <v>-94.3</v>
      </c>
      <c r="J361" s="133">
        <v>-45.2</v>
      </c>
      <c r="K361" s="142">
        <v>41.0</v>
      </c>
      <c r="L361" s="111">
        <v>21.0</v>
      </c>
      <c r="M361" s="70">
        <v>430.0</v>
      </c>
      <c r="N361" s="24" t="s">
        <v>4473</v>
      </c>
    </row>
    <row r="362">
      <c r="A362" s="66">
        <v>7358.0</v>
      </c>
      <c r="B362" s="66">
        <v>200.0</v>
      </c>
      <c r="C362" s="66">
        <v>27.0</v>
      </c>
      <c r="D362" s="66">
        <v>5.0</v>
      </c>
      <c r="E362" s="66">
        <v>8.0</v>
      </c>
      <c r="F362" s="66">
        <v>175.0</v>
      </c>
      <c r="G362" s="141">
        <v>33109.0</v>
      </c>
      <c r="H362" s="66">
        <v>9.0</v>
      </c>
      <c r="I362" s="132">
        <v>96.19</v>
      </c>
      <c r="J362" s="133">
        <v>951.27</v>
      </c>
      <c r="K362" s="142">
        <v>59.0</v>
      </c>
      <c r="L362" s="111">
        <v>23.0</v>
      </c>
      <c r="M362" s="70">
        <v>130.0</v>
      </c>
      <c r="N362" s="24" t="s">
        <v>4474</v>
      </c>
    </row>
    <row r="363">
      <c r="A363" s="66">
        <v>7359.0</v>
      </c>
      <c r="B363" s="66">
        <v>205.0</v>
      </c>
      <c r="C363" s="66">
        <v>27.0</v>
      </c>
      <c r="D363" s="66">
        <v>6.0</v>
      </c>
      <c r="E363" s="66">
        <v>1.0</v>
      </c>
      <c r="F363" s="66">
        <v>508.0</v>
      </c>
      <c r="G363" s="141">
        <v>123119.0</v>
      </c>
      <c r="H363" s="66">
        <v>9.0</v>
      </c>
      <c r="I363" s="132">
        <v>92148.4</v>
      </c>
      <c r="J363" s="133">
        <v>-9936.24</v>
      </c>
      <c r="K363" s="142">
        <v>46.0</v>
      </c>
      <c r="L363" s="111">
        <v>21.0</v>
      </c>
      <c r="M363" s="70">
        <v>2030.0</v>
      </c>
      <c r="N363" s="24" t="s">
        <v>4475</v>
      </c>
    </row>
    <row r="364">
      <c r="A364" s="66">
        <v>7360.0</v>
      </c>
      <c r="B364" s="66">
        <v>216.0</v>
      </c>
      <c r="C364" s="66">
        <v>68.0</v>
      </c>
      <c r="D364" s="66">
        <v>5.0</v>
      </c>
      <c r="E364" s="66">
        <v>9.0</v>
      </c>
      <c r="F364" s="66">
        <v>109.0</v>
      </c>
      <c r="G364" s="141">
        <v>22992.0</v>
      </c>
      <c r="H364" s="66">
        <v>5.0</v>
      </c>
      <c r="I364" s="132">
        <v>3029.86</v>
      </c>
      <c r="J364" s="133">
        <v>320.25</v>
      </c>
      <c r="K364" s="142">
        <v>87.0</v>
      </c>
      <c r="L364" s="111">
        <v>20.0</v>
      </c>
      <c r="M364" s="70">
        <v>1800.0</v>
      </c>
      <c r="N364" s="24" t="s">
        <v>4476</v>
      </c>
    </row>
    <row r="365">
      <c r="A365" s="66">
        <v>7361.0</v>
      </c>
      <c r="B365" s="66">
        <v>211.0</v>
      </c>
      <c r="C365" s="66">
        <v>48.0</v>
      </c>
      <c r="D365" s="66">
        <v>1.0</v>
      </c>
      <c r="E365" s="66">
        <v>2.0</v>
      </c>
      <c r="F365" s="66">
        <v>773.0</v>
      </c>
      <c r="G365" s="141">
        <v>63000.0</v>
      </c>
      <c r="H365" s="66">
        <v>6.0</v>
      </c>
      <c r="I365" s="132">
        <v>7826.9</v>
      </c>
      <c r="J365" s="133">
        <v>950.77</v>
      </c>
      <c r="K365" s="142">
        <v>4.0</v>
      </c>
      <c r="L365" s="111">
        <v>23.0</v>
      </c>
      <c r="M365" s="70">
        <v>1630.0</v>
      </c>
      <c r="N365" s="24" t="s">
        <v>4477</v>
      </c>
    </row>
    <row r="366">
      <c r="A366" s="66">
        <v>7362.0</v>
      </c>
      <c r="B366" s="66">
        <v>203.0</v>
      </c>
      <c r="C366" s="66">
        <v>27.0</v>
      </c>
      <c r="D366" s="66">
        <v>6.0</v>
      </c>
      <c r="E366" s="66">
        <v>4.0</v>
      </c>
      <c r="F366" s="66">
        <v>197.0</v>
      </c>
      <c r="G366" s="141">
        <v>53198.0</v>
      </c>
      <c r="H366" s="66">
        <v>1.0</v>
      </c>
      <c r="I366" s="132">
        <v>8721.18</v>
      </c>
      <c r="J366" s="133">
        <v>50519.25</v>
      </c>
      <c r="K366" s="142">
        <v>72.0</v>
      </c>
      <c r="L366" s="111">
        <v>22.0</v>
      </c>
      <c r="M366" s="70">
        <v>1130.0</v>
      </c>
      <c r="N366" s="24" t="s">
        <v>4478</v>
      </c>
    </row>
    <row r="367">
      <c r="A367" s="66">
        <v>7363.0</v>
      </c>
      <c r="B367" s="66">
        <v>214.0</v>
      </c>
      <c r="C367" s="66">
        <v>68.0</v>
      </c>
      <c r="D367" s="66">
        <v>6.0</v>
      </c>
      <c r="E367" s="66">
        <v>3.0</v>
      </c>
      <c r="F367" s="66">
        <v>576.0</v>
      </c>
      <c r="G367" s="141">
        <v>123192.0</v>
      </c>
      <c r="H367" s="66">
        <v>3.0</v>
      </c>
      <c r="I367" s="132">
        <v>-614.66</v>
      </c>
      <c r="J367" s="133">
        <v>821.51</v>
      </c>
      <c r="K367" s="142">
        <v>79.0</v>
      </c>
      <c r="L367" s="111">
        <v>22.0</v>
      </c>
      <c r="M367" s="70">
        <v>130.0</v>
      </c>
      <c r="N367" s="24" t="s">
        <v>4479</v>
      </c>
    </row>
    <row r="368">
      <c r="A368" s="66">
        <v>7364.0</v>
      </c>
      <c r="B368" s="66">
        <v>205.0</v>
      </c>
      <c r="C368" s="66">
        <v>89.0</v>
      </c>
      <c r="D368" s="66">
        <v>1.0</v>
      </c>
      <c r="E368" s="66">
        <v>3.0</v>
      </c>
      <c r="F368" s="66">
        <v>987.0</v>
      </c>
      <c r="G368" s="141">
        <v>63094.0</v>
      </c>
      <c r="H368" s="66">
        <v>6.0</v>
      </c>
      <c r="I368" s="132">
        <v>5204.3</v>
      </c>
      <c r="J368" s="133">
        <v>-845.71</v>
      </c>
      <c r="K368" s="142">
        <v>96.0</v>
      </c>
      <c r="L368" s="111">
        <v>20.0</v>
      </c>
      <c r="M368" s="70">
        <v>600.0</v>
      </c>
      <c r="N368" s="24" t="s">
        <v>4480</v>
      </c>
    </row>
    <row r="369">
      <c r="A369" s="66">
        <v>7365.0</v>
      </c>
      <c r="B369" s="66">
        <v>207.0</v>
      </c>
      <c r="C369" s="66">
        <v>27.0</v>
      </c>
      <c r="D369" s="66">
        <v>7.0</v>
      </c>
      <c r="E369" s="66">
        <v>1.0</v>
      </c>
      <c r="F369" s="66">
        <v>824.0</v>
      </c>
      <c r="G369" s="141">
        <v>93020.0</v>
      </c>
      <c r="H369" s="66">
        <v>2.0</v>
      </c>
      <c r="I369" s="132">
        <v>465.38</v>
      </c>
      <c r="J369" s="133">
        <v>2965.88</v>
      </c>
      <c r="K369" s="142">
        <v>89.0</v>
      </c>
      <c r="L369" s="111">
        <v>22.0</v>
      </c>
      <c r="M369" s="70">
        <v>900.0</v>
      </c>
      <c r="N369" s="24" t="s">
        <v>4481</v>
      </c>
    </row>
    <row r="370">
      <c r="A370" s="66">
        <v>7366.0</v>
      </c>
      <c r="B370" s="66">
        <v>213.0</v>
      </c>
      <c r="C370" s="66">
        <v>68.0</v>
      </c>
      <c r="D370" s="66">
        <v>6.0</v>
      </c>
      <c r="E370" s="66">
        <v>7.0</v>
      </c>
      <c r="F370" s="66">
        <v>117.0</v>
      </c>
      <c r="G370" s="141">
        <v>73104.0</v>
      </c>
      <c r="H370" s="66">
        <v>2.0</v>
      </c>
      <c r="I370" s="132">
        <v>173.35</v>
      </c>
      <c r="J370" s="133">
        <v>-4432.34</v>
      </c>
      <c r="K370" s="142">
        <v>48.0</v>
      </c>
      <c r="L370" s="111">
        <v>23.0</v>
      </c>
      <c r="M370" s="70">
        <v>1430.0</v>
      </c>
      <c r="N370" s="24" t="s">
        <v>4482</v>
      </c>
    </row>
    <row r="371">
      <c r="A371" s="66">
        <v>7367.0</v>
      </c>
      <c r="B371" s="66">
        <v>215.0</v>
      </c>
      <c r="C371" s="66">
        <v>68.0</v>
      </c>
      <c r="D371" s="66">
        <v>6.0</v>
      </c>
      <c r="E371" s="66">
        <v>9.0</v>
      </c>
      <c r="F371" s="66">
        <v>153.0</v>
      </c>
      <c r="G371" s="141">
        <v>13192.0</v>
      </c>
      <c r="H371" s="66">
        <v>1.0</v>
      </c>
      <c r="I371" s="132">
        <v>-32429.65</v>
      </c>
      <c r="J371" s="133">
        <v>82737.57</v>
      </c>
      <c r="K371" s="142">
        <v>43.0</v>
      </c>
      <c r="L371" s="111">
        <v>22.0</v>
      </c>
      <c r="M371" s="70">
        <v>430.0</v>
      </c>
      <c r="N371" s="24" t="s">
        <v>4483</v>
      </c>
    </row>
    <row r="372">
      <c r="A372" s="66">
        <v>7368.0</v>
      </c>
      <c r="B372" s="66">
        <v>208.0</v>
      </c>
      <c r="C372" s="66">
        <v>68.0</v>
      </c>
      <c r="D372" s="66">
        <v>6.0</v>
      </c>
      <c r="E372" s="66">
        <v>8.0</v>
      </c>
      <c r="F372" s="66">
        <v>716.0</v>
      </c>
      <c r="G372" s="141">
        <v>13120.0</v>
      </c>
      <c r="H372" s="66">
        <v>3.0</v>
      </c>
      <c r="I372" s="132">
        <v>-73.84</v>
      </c>
      <c r="J372" s="133">
        <v>37947.21</v>
      </c>
      <c r="K372" s="142">
        <v>84.0</v>
      </c>
      <c r="L372" s="111">
        <v>21.0</v>
      </c>
      <c r="M372" s="70">
        <v>130.0</v>
      </c>
      <c r="N372" s="24" t="s">
        <v>4484</v>
      </c>
    </row>
    <row r="373">
      <c r="A373" s="66">
        <v>7369.0</v>
      </c>
      <c r="B373" s="66">
        <v>208.0</v>
      </c>
      <c r="C373" s="66">
        <v>27.0</v>
      </c>
      <c r="D373" s="66">
        <v>7.0</v>
      </c>
      <c r="E373" s="66">
        <v>5.0</v>
      </c>
      <c r="F373" s="66">
        <v>320.0</v>
      </c>
      <c r="G373" s="141">
        <v>53122.0</v>
      </c>
      <c r="H373" s="66">
        <v>5.0</v>
      </c>
      <c r="I373" s="132">
        <v>-795.74</v>
      </c>
      <c r="J373" s="133">
        <v>482.85</v>
      </c>
      <c r="K373" s="142">
        <v>65.0</v>
      </c>
      <c r="L373" s="111">
        <v>23.0</v>
      </c>
      <c r="M373" s="70">
        <v>1530.0</v>
      </c>
      <c r="N373" s="24" t="s">
        <v>4485</v>
      </c>
    </row>
    <row r="374">
      <c r="A374" s="66">
        <v>7370.0</v>
      </c>
      <c r="B374" s="66">
        <v>210.0</v>
      </c>
      <c r="C374" s="66">
        <v>48.0</v>
      </c>
      <c r="D374" s="66">
        <v>2.0</v>
      </c>
      <c r="E374" s="66">
        <v>5.0</v>
      </c>
      <c r="F374" s="66">
        <v>733.0</v>
      </c>
      <c r="G374" s="141">
        <v>13112.0</v>
      </c>
      <c r="H374" s="66">
        <v>3.0</v>
      </c>
      <c r="I374" s="132">
        <v>7198.1</v>
      </c>
      <c r="J374" s="133">
        <v>-8631.97</v>
      </c>
      <c r="K374" s="142">
        <v>58.0</v>
      </c>
      <c r="L374" s="111">
        <v>21.0</v>
      </c>
      <c r="M374" s="70">
        <v>1000.0</v>
      </c>
      <c r="N374" s="24" t="s">
        <v>4486</v>
      </c>
    </row>
    <row r="375">
      <c r="A375" s="66">
        <v>7371.0</v>
      </c>
      <c r="B375" s="66">
        <v>203.0</v>
      </c>
      <c r="C375" s="66">
        <v>27.0</v>
      </c>
      <c r="D375" s="66">
        <v>7.0</v>
      </c>
      <c r="E375" s="66">
        <v>9.0</v>
      </c>
      <c r="F375" s="66">
        <v>276.0</v>
      </c>
      <c r="G375" s="141">
        <v>103111.0</v>
      </c>
      <c r="H375" s="66">
        <v>5.0</v>
      </c>
      <c r="I375" s="132">
        <v>-4877.87</v>
      </c>
      <c r="J375" s="133">
        <v>44219.99</v>
      </c>
      <c r="K375" s="142">
        <v>76.0</v>
      </c>
      <c r="L375" s="111">
        <v>23.0</v>
      </c>
      <c r="M375" s="70">
        <v>530.0</v>
      </c>
      <c r="N375" s="24" t="s">
        <v>4487</v>
      </c>
    </row>
    <row r="376">
      <c r="A376" s="66">
        <v>7372.0</v>
      </c>
      <c r="B376" s="66">
        <v>205.0</v>
      </c>
      <c r="C376" s="66">
        <v>48.0</v>
      </c>
      <c r="D376" s="66">
        <v>2.0</v>
      </c>
      <c r="E376" s="66">
        <v>9.0</v>
      </c>
      <c r="F376" s="66">
        <v>654.0</v>
      </c>
      <c r="G376" s="141">
        <v>53120.0</v>
      </c>
      <c r="H376" s="66">
        <v>4.0</v>
      </c>
      <c r="I376" s="132">
        <v>912.21</v>
      </c>
      <c r="J376" s="133">
        <v>-69898.92</v>
      </c>
      <c r="K376" s="142">
        <v>48.0</v>
      </c>
      <c r="L376" s="111">
        <v>22.0</v>
      </c>
      <c r="M376" s="70">
        <v>930.0</v>
      </c>
      <c r="N376" s="24" t="s">
        <v>4488</v>
      </c>
    </row>
    <row r="377">
      <c r="A377" s="66">
        <v>7373.0</v>
      </c>
      <c r="B377" s="66">
        <v>202.0</v>
      </c>
      <c r="C377" s="66">
        <v>27.0</v>
      </c>
      <c r="D377" s="66">
        <v>8.0</v>
      </c>
      <c r="E377" s="66">
        <v>1.0</v>
      </c>
      <c r="F377" s="66">
        <v>409.0</v>
      </c>
      <c r="G377" s="141">
        <v>53197.0</v>
      </c>
      <c r="H377" s="66">
        <v>5.0</v>
      </c>
      <c r="I377" s="132">
        <v>24119.19</v>
      </c>
      <c r="J377" s="133">
        <v>72164.26</v>
      </c>
      <c r="K377" s="142">
        <v>2.0</v>
      </c>
      <c r="L377" s="111">
        <v>20.0</v>
      </c>
      <c r="M377" s="70">
        <v>930.0</v>
      </c>
      <c r="N377" s="24" t="s">
        <v>4489</v>
      </c>
    </row>
    <row r="378">
      <c r="A378" s="66">
        <v>7374.0</v>
      </c>
      <c r="B378" s="66">
        <v>213.0</v>
      </c>
      <c r="C378" s="66">
        <v>89.0</v>
      </c>
      <c r="D378" s="66">
        <v>2.0</v>
      </c>
      <c r="E378" s="66">
        <v>8.0</v>
      </c>
      <c r="F378" s="66">
        <v>411.0</v>
      </c>
      <c r="G378" s="141">
        <v>113096.0</v>
      </c>
      <c r="H378" s="66">
        <v>6.0</v>
      </c>
      <c r="I378" s="132">
        <v>3564.18</v>
      </c>
      <c r="J378" s="133">
        <v>515.6</v>
      </c>
      <c r="K378" s="142">
        <v>7.0</v>
      </c>
      <c r="L378" s="111">
        <v>20.0</v>
      </c>
      <c r="M378" s="70">
        <v>1100.0</v>
      </c>
      <c r="N378" s="24" t="s">
        <v>4490</v>
      </c>
    </row>
    <row r="379">
      <c r="A379" s="66">
        <v>7375.0</v>
      </c>
      <c r="B379" s="66">
        <v>204.0</v>
      </c>
      <c r="C379" s="66">
        <v>48.0</v>
      </c>
      <c r="D379" s="66">
        <v>3.0</v>
      </c>
      <c r="E379" s="66">
        <v>3.0</v>
      </c>
      <c r="F379" s="66">
        <v>929.0</v>
      </c>
      <c r="G379" s="141">
        <v>93011.0</v>
      </c>
      <c r="H379" s="66">
        <v>5.0</v>
      </c>
      <c r="I379" s="132">
        <v>-97000.46</v>
      </c>
      <c r="J379" s="133">
        <v>-57978.29</v>
      </c>
      <c r="K379" s="142">
        <v>37.0</v>
      </c>
      <c r="L379" s="111">
        <v>20.0</v>
      </c>
      <c r="M379" s="70">
        <v>200.0</v>
      </c>
      <c r="N379" s="24" t="s">
        <v>4491</v>
      </c>
    </row>
    <row r="380">
      <c r="A380" s="66">
        <v>7376.0</v>
      </c>
      <c r="B380" s="66">
        <v>217.0</v>
      </c>
      <c r="C380" s="66">
        <v>27.0</v>
      </c>
      <c r="D380" s="66">
        <v>8.0</v>
      </c>
      <c r="E380" s="66">
        <v>6.0</v>
      </c>
      <c r="F380" s="66">
        <v>325.0</v>
      </c>
      <c r="G380" s="141">
        <v>123105.0</v>
      </c>
      <c r="H380" s="66">
        <v>4.0</v>
      </c>
      <c r="I380" s="132">
        <v>68342.42</v>
      </c>
      <c r="J380" s="133">
        <v>-967.34</v>
      </c>
      <c r="K380" s="142">
        <v>45.0</v>
      </c>
      <c r="L380" s="111">
        <v>23.0</v>
      </c>
      <c r="M380" s="70">
        <v>430.0</v>
      </c>
      <c r="N380" s="24" t="s">
        <v>4492</v>
      </c>
    </row>
    <row r="381">
      <c r="A381" s="66">
        <v>7377.0</v>
      </c>
      <c r="B381" s="66">
        <v>201.0</v>
      </c>
      <c r="C381" s="66">
        <v>27.0</v>
      </c>
      <c r="D381" s="66">
        <v>8.0</v>
      </c>
      <c r="E381" s="66">
        <v>5.0</v>
      </c>
      <c r="F381" s="66">
        <v>571.0</v>
      </c>
      <c r="G381" s="141">
        <v>43018.0</v>
      </c>
      <c r="H381" s="66">
        <v>8.0</v>
      </c>
      <c r="I381" s="132">
        <v>2034.95</v>
      </c>
      <c r="J381" s="133">
        <v>1628.4</v>
      </c>
      <c r="K381" s="142">
        <v>58.0</v>
      </c>
      <c r="L381" s="111">
        <v>21.0</v>
      </c>
      <c r="M381" s="70">
        <v>1700.0</v>
      </c>
      <c r="N381" s="24" t="s">
        <v>4493</v>
      </c>
    </row>
    <row r="382">
      <c r="A382" s="66">
        <v>7378.0</v>
      </c>
      <c r="B382" s="66">
        <v>215.0</v>
      </c>
      <c r="C382" s="66">
        <v>27.0</v>
      </c>
      <c r="D382" s="66">
        <v>8.0</v>
      </c>
      <c r="E382" s="66">
        <v>8.0</v>
      </c>
      <c r="F382" s="66">
        <v>760.0</v>
      </c>
      <c r="G382" s="141">
        <v>33103.0</v>
      </c>
      <c r="H382" s="66">
        <v>8.0</v>
      </c>
      <c r="I382" s="132">
        <v>443.84</v>
      </c>
      <c r="J382" s="133">
        <v>100.5</v>
      </c>
      <c r="K382" s="142">
        <v>12.0</v>
      </c>
      <c r="L382" s="111">
        <v>22.0</v>
      </c>
      <c r="M382" s="70">
        <v>2000.0</v>
      </c>
      <c r="N382" s="24" t="s">
        <v>4494</v>
      </c>
    </row>
    <row r="383">
      <c r="A383" s="66">
        <v>7379.0</v>
      </c>
      <c r="B383" s="66">
        <v>220.0</v>
      </c>
      <c r="C383" s="66">
        <v>68.0</v>
      </c>
      <c r="D383" s="66">
        <v>8.0</v>
      </c>
      <c r="E383" s="66">
        <v>6.0</v>
      </c>
      <c r="F383" s="66">
        <v>634.0</v>
      </c>
      <c r="G383" s="141">
        <v>103102.0</v>
      </c>
      <c r="H383" s="66">
        <v>6.0</v>
      </c>
      <c r="I383" s="132">
        <v>-75628.52</v>
      </c>
      <c r="J383" s="133">
        <v>-44.0</v>
      </c>
      <c r="K383" s="142">
        <v>53.0</v>
      </c>
      <c r="L383" s="111">
        <v>22.0</v>
      </c>
      <c r="M383" s="70">
        <v>730.0</v>
      </c>
      <c r="N383" s="24" t="s">
        <v>4495</v>
      </c>
    </row>
    <row r="384">
      <c r="A384" s="66">
        <v>7380.0</v>
      </c>
      <c r="B384" s="66">
        <v>220.0</v>
      </c>
      <c r="C384" s="66">
        <v>27.0</v>
      </c>
      <c r="D384" s="66">
        <v>9.0</v>
      </c>
      <c r="E384" s="66">
        <v>2.0</v>
      </c>
      <c r="F384" s="66">
        <v>576.0</v>
      </c>
      <c r="G384" s="141">
        <v>103107.0</v>
      </c>
      <c r="H384" s="66">
        <v>7.0</v>
      </c>
      <c r="I384" s="132">
        <v>-548.5</v>
      </c>
      <c r="J384" s="133">
        <v>304.61</v>
      </c>
      <c r="K384" s="142">
        <v>75.0</v>
      </c>
      <c r="L384" s="111">
        <v>21.0</v>
      </c>
      <c r="M384" s="70">
        <v>1300.0</v>
      </c>
      <c r="N384" s="24" t="s">
        <v>4496</v>
      </c>
    </row>
    <row r="385">
      <c r="A385" s="66">
        <v>7381.0</v>
      </c>
      <c r="B385" s="66">
        <v>218.0</v>
      </c>
      <c r="C385" s="66">
        <v>48.0</v>
      </c>
      <c r="D385" s="66">
        <v>4.0</v>
      </c>
      <c r="E385" s="66">
        <v>1.0</v>
      </c>
      <c r="F385" s="66">
        <v>151.0</v>
      </c>
      <c r="G385" s="141">
        <v>53110.0</v>
      </c>
      <c r="H385" s="66">
        <v>3.0</v>
      </c>
      <c r="I385" s="132">
        <v>331.16</v>
      </c>
      <c r="J385" s="133">
        <v>76.88</v>
      </c>
      <c r="K385" s="142">
        <v>55.0</v>
      </c>
      <c r="L385" s="111">
        <v>20.0</v>
      </c>
      <c r="M385" s="70">
        <v>730.0</v>
      </c>
      <c r="N385" s="24" t="s">
        <v>4497</v>
      </c>
    </row>
    <row r="386">
      <c r="A386" s="66">
        <v>7382.0</v>
      </c>
      <c r="B386" s="66">
        <v>213.0</v>
      </c>
      <c r="C386" s="66">
        <v>27.0</v>
      </c>
      <c r="D386" s="66">
        <v>9.0</v>
      </c>
      <c r="E386" s="66">
        <v>5.0</v>
      </c>
      <c r="F386" s="66">
        <v>239.0</v>
      </c>
      <c r="G386" s="141">
        <v>53107.0</v>
      </c>
      <c r="H386" s="66">
        <v>8.0</v>
      </c>
      <c r="I386" s="132">
        <v>10.79</v>
      </c>
      <c r="J386" s="133">
        <v>870.57</v>
      </c>
      <c r="K386" s="142">
        <v>64.0</v>
      </c>
      <c r="L386" s="111">
        <v>21.0</v>
      </c>
      <c r="M386" s="70">
        <v>430.0</v>
      </c>
      <c r="N386" s="24" t="s">
        <v>4498</v>
      </c>
    </row>
    <row r="387">
      <c r="A387" s="66">
        <v>7383.0</v>
      </c>
      <c r="B387" s="66">
        <v>211.0</v>
      </c>
      <c r="C387" s="66">
        <v>27.0</v>
      </c>
      <c r="D387" s="66">
        <v>9.0</v>
      </c>
      <c r="E387" s="66">
        <v>6.0</v>
      </c>
      <c r="F387" s="66">
        <v>402.0</v>
      </c>
      <c r="G387" s="141">
        <v>103121.0</v>
      </c>
      <c r="H387" s="66">
        <v>1.0</v>
      </c>
      <c r="I387" s="132">
        <v>1087.74</v>
      </c>
      <c r="J387" s="133">
        <v>31.85</v>
      </c>
      <c r="K387" s="142">
        <v>16.0</v>
      </c>
      <c r="L387" s="111">
        <v>20.0</v>
      </c>
      <c r="M387" s="70">
        <v>830.0</v>
      </c>
      <c r="N387" s="24" t="s">
        <v>4499</v>
      </c>
    </row>
    <row r="388">
      <c r="A388" s="66">
        <v>7384.0</v>
      </c>
      <c r="B388" s="66">
        <v>203.0</v>
      </c>
      <c r="C388" s="66">
        <v>48.0</v>
      </c>
      <c r="D388" s="66">
        <v>4.0</v>
      </c>
      <c r="E388" s="66">
        <v>3.0</v>
      </c>
      <c r="F388" s="66">
        <v>407.0</v>
      </c>
      <c r="G388" s="141">
        <v>93005.0</v>
      </c>
      <c r="H388" s="66">
        <v>1.0</v>
      </c>
      <c r="I388" s="132">
        <v>-30213.46</v>
      </c>
      <c r="J388" s="133">
        <v>91.7</v>
      </c>
      <c r="K388" s="142">
        <v>37.0</v>
      </c>
      <c r="L388" s="111">
        <v>20.0</v>
      </c>
      <c r="M388" s="70">
        <v>1800.0</v>
      </c>
      <c r="N388" s="24" t="s">
        <v>4500</v>
      </c>
    </row>
    <row r="389">
      <c r="A389" s="66">
        <v>7385.0</v>
      </c>
      <c r="B389" s="66">
        <v>200.0</v>
      </c>
      <c r="C389" s="66">
        <v>68.0</v>
      </c>
      <c r="D389" s="66">
        <v>9.0</v>
      </c>
      <c r="E389" s="66">
        <v>1.0</v>
      </c>
      <c r="F389" s="66">
        <v>889.0</v>
      </c>
      <c r="G389" s="141">
        <v>13197.0</v>
      </c>
      <c r="H389" s="66">
        <v>3.0</v>
      </c>
      <c r="I389" s="132">
        <v>-837.68</v>
      </c>
      <c r="J389" s="133">
        <v>42049.37</v>
      </c>
      <c r="K389" s="142">
        <v>37.0</v>
      </c>
      <c r="L389" s="111">
        <v>23.0</v>
      </c>
      <c r="M389" s="70">
        <v>1030.0</v>
      </c>
      <c r="N389" s="24" t="s">
        <v>4501</v>
      </c>
    </row>
    <row r="390">
      <c r="A390" s="66">
        <v>7386.0</v>
      </c>
      <c r="B390" s="66">
        <v>202.0</v>
      </c>
      <c r="C390" s="66">
        <v>68.0</v>
      </c>
      <c r="D390" s="66">
        <v>9.0</v>
      </c>
      <c r="E390" s="66">
        <v>2.0</v>
      </c>
      <c r="F390" s="66">
        <v>569.0</v>
      </c>
      <c r="G390" s="141">
        <v>73115.0</v>
      </c>
      <c r="H390" s="66">
        <v>5.0</v>
      </c>
      <c r="I390" s="132">
        <v>-7151.9</v>
      </c>
      <c r="J390" s="133">
        <v>53.92</v>
      </c>
      <c r="K390" s="142">
        <v>84.0</v>
      </c>
      <c r="L390" s="111">
        <v>20.0</v>
      </c>
      <c r="M390" s="70">
        <v>1130.0</v>
      </c>
      <c r="N390" s="24" t="s">
        <v>4502</v>
      </c>
    </row>
    <row r="391">
      <c r="A391" s="66">
        <v>7387.0</v>
      </c>
      <c r="B391" s="66">
        <v>207.0</v>
      </c>
      <c r="C391" s="66">
        <v>48.0</v>
      </c>
      <c r="D391" s="66">
        <v>4.0</v>
      </c>
      <c r="E391" s="66">
        <v>5.0</v>
      </c>
      <c r="F391" s="66">
        <v>457.0</v>
      </c>
      <c r="G391" s="141">
        <v>33198.0</v>
      </c>
      <c r="H391" s="66">
        <v>1.0</v>
      </c>
      <c r="I391" s="132">
        <v>6234.0</v>
      </c>
      <c r="J391" s="133">
        <v>66613.6</v>
      </c>
      <c r="K391" s="142">
        <v>49.0</v>
      </c>
      <c r="L391" s="111">
        <v>21.0</v>
      </c>
      <c r="M391" s="70">
        <v>2200.0</v>
      </c>
      <c r="N391" s="24" t="s">
        <v>4503</v>
      </c>
    </row>
    <row r="392">
      <c r="A392" s="66">
        <v>7388.0</v>
      </c>
      <c r="B392" s="66">
        <v>205.0</v>
      </c>
      <c r="C392" s="66">
        <v>48.0</v>
      </c>
      <c r="D392" s="66">
        <v>4.0</v>
      </c>
      <c r="E392" s="66">
        <v>9.0</v>
      </c>
      <c r="F392" s="66">
        <v>613.0</v>
      </c>
      <c r="G392" s="141">
        <v>73198.0</v>
      </c>
      <c r="H392" s="66">
        <v>6.0</v>
      </c>
      <c r="I392" s="132">
        <v>401.66</v>
      </c>
      <c r="J392" s="133">
        <v>922.67</v>
      </c>
      <c r="K392" s="142">
        <v>34.0</v>
      </c>
      <c r="L392" s="111">
        <v>22.0</v>
      </c>
      <c r="M392" s="70">
        <v>1800.0</v>
      </c>
      <c r="N392" s="24" t="s">
        <v>4504</v>
      </c>
    </row>
    <row r="393">
      <c r="A393" s="66">
        <v>7389.0</v>
      </c>
      <c r="B393" s="66">
        <v>215.0</v>
      </c>
      <c r="C393" s="66">
        <v>68.0</v>
      </c>
      <c r="D393" s="66">
        <v>9.0</v>
      </c>
      <c r="E393" s="66">
        <v>6.0</v>
      </c>
      <c r="F393" s="66">
        <v>483.0</v>
      </c>
      <c r="G393" s="141">
        <v>22897.0</v>
      </c>
      <c r="H393" s="66">
        <v>9.0</v>
      </c>
      <c r="I393" s="132">
        <v>3523.1</v>
      </c>
      <c r="J393" s="133">
        <v>56.43</v>
      </c>
      <c r="K393" s="142">
        <v>92.0</v>
      </c>
      <c r="L393" s="111">
        <v>20.0</v>
      </c>
      <c r="M393" s="70">
        <v>2130.0</v>
      </c>
      <c r="N393" s="24" t="s">
        <v>4505</v>
      </c>
    </row>
    <row r="394">
      <c r="A394" s="66">
        <v>7390.0</v>
      </c>
      <c r="B394" s="66">
        <v>220.0</v>
      </c>
      <c r="C394" s="66">
        <v>48.0</v>
      </c>
      <c r="D394" s="66">
        <v>5.0</v>
      </c>
      <c r="E394" s="66">
        <v>4.0</v>
      </c>
      <c r="F394" s="66">
        <v>648.0</v>
      </c>
      <c r="G394" s="141">
        <v>22904.0</v>
      </c>
      <c r="H394" s="66">
        <v>9.0</v>
      </c>
      <c r="I394" s="132">
        <v>20.56</v>
      </c>
      <c r="J394" s="133">
        <v>34651.99</v>
      </c>
      <c r="K394" s="142">
        <v>66.0</v>
      </c>
      <c r="L394" s="111">
        <v>23.0</v>
      </c>
      <c r="M394" s="70">
        <v>230.0</v>
      </c>
      <c r="N394" s="24" t="s">
        <v>4506</v>
      </c>
    </row>
    <row r="395">
      <c r="A395" s="66">
        <v>7391.0</v>
      </c>
      <c r="B395" s="66">
        <v>211.0</v>
      </c>
      <c r="C395" s="66">
        <v>89.0</v>
      </c>
      <c r="D395" s="66">
        <v>5.0</v>
      </c>
      <c r="E395" s="66">
        <v>3.0</v>
      </c>
      <c r="F395" s="66">
        <v>678.0</v>
      </c>
      <c r="G395" s="141">
        <v>22819.0</v>
      </c>
      <c r="H395" s="66">
        <v>1.0</v>
      </c>
      <c r="I395" s="132">
        <v>3177.95</v>
      </c>
      <c r="J395" s="133">
        <v>-7887.62</v>
      </c>
      <c r="K395" s="142">
        <v>81.0</v>
      </c>
      <c r="L395" s="111">
        <v>20.0</v>
      </c>
      <c r="M395" s="70">
        <v>1100.0</v>
      </c>
      <c r="N395" s="24" t="s">
        <v>4507</v>
      </c>
    </row>
    <row r="396">
      <c r="A396" s="66">
        <v>7392.0</v>
      </c>
      <c r="B396" s="66">
        <v>220.0</v>
      </c>
      <c r="C396" s="66">
        <v>48.0</v>
      </c>
      <c r="D396" s="66">
        <v>5.0</v>
      </c>
      <c r="E396" s="66">
        <v>9.0</v>
      </c>
      <c r="F396" s="66">
        <v>394.0</v>
      </c>
      <c r="G396" s="141">
        <v>93008.0</v>
      </c>
      <c r="H396" s="66">
        <v>2.0</v>
      </c>
      <c r="I396" s="132">
        <v>11605.24</v>
      </c>
      <c r="J396" s="133">
        <v>89.11</v>
      </c>
      <c r="K396" s="142">
        <v>66.0</v>
      </c>
      <c r="L396" s="111">
        <v>21.0</v>
      </c>
      <c r="M396" s="70">
        <v>2130.0</v>
      </c>
      <c r="N396" s="24" t="s">
        <v>4508</v>
      </c>
    </row>
    <row r="397">
      <c r="A397" s="66">
        <v>7393.0</v>
      </c>
      <c r="B397" s="66">
        <v>210.0</v>
      </c>
      <c r="C397" s="66">
        <v>89.0</v>
      </c>
      <c r="D397" s="66">
        <v>5.0</v>
      </c>
      <c r="E397" s="66">
        <v>5.0</v>
      </c>
      <c r="F397" s="66">
        <v>673.0</v>
      </c>
      <c r="G397" s="141">
        <v>113019.0</v>
      </c>
      <c r="H397" s="66">
        <v>7.0</v>
      </c>
      <c r="I397" s="132">
        <v>-43.14</v>
      </c>
      <c r="J397" s="133">
        <v>369.0</v>
      </c>
      <c r="K397" s="142">
        <v>81.0</v>
      </c>
      <c r="L397" s="111">
        <v>23.0</v>
      </c>
      <c r="M397" s="70">
        <v>830.0</v>
      </c>
      <c r="N397" s="24" t="s">
        <v>4509</v>
      </c>
    </row>
    <row r="398">
      <c r="A398" s="66">
        <v>7394.0</v>
      </c>
      <c r="B398" s="66">
        <v>207.0</v>
      </c>
      <c r="C398" s="66">
        <v>69.0</v>
      </c>
      <c r="D398" s="66">
        <v>1.0</v>
      </c>
      <c r="E398" s="66">
        <v>1.0</v>
      </c>
      <c r="F398" s="66">
        <v>610.0</v>
      </c>
      <c r="G398" s="141">
        <v>93099.0</v>
      </c>
      <c r="H398" s="66">
        <v>2.0</v>
      </c>
      <c r="I398" s="132">
        <v>1729.92</v>
      </c>
      <c r="J398" s="133">
        <v>872.7</v>
      </c>
      <c r="K398" s="142">
        <v>30.0</v>
      </c>
      <c r="L398" s="111">
        <v>22.0</v>
      </c>
      <c r="M398" s="70">
        <v>1000.0</v>
      </c>
      <c r="N398" s="24" t="s">
        <v>4510</v>
      </c>
    </row>
    <row r="399">
      <c r="A399" s="66">
        <v>7395.0</v>
      </c>
      <c r="B399" s="66">
        <v>206.0</v>
      </c>
      <c r="C399" s="66">
        <v>48.0</v>
      </c>
      <c r="D399" s="66">
        <v>6.0</v>
      </c>
      <c r="E399" s="66">
        <v>4.0</v>
      </c>
      <c r="F399" s="66">
        <v>605.0</v>
      </c>
      <c r="G399" s="141">
        <v>63003.0</v>
      </c>
      <c r="H399" s="66">
        <v>3.0</v>
      </c>
      <c r="I399" s="132">
        <v>-1762.68</v>
      </c>
      <c r="J399" s="133">
        <v>6030.37</v>
      </c>
      <c r="K399" s="142">
        <v>36.0</v>
      </c>
      <c r="L399" s="111">
        <v>20.0</v>
      </c>
      <c r="M399" s="70">
        <v>1630.0</v>
      </c>
      <c r="N399" s="24" t="s">
        <v>4511</v>
      </c>
    </row>
    <row r="400">
      <c r="A400" s="66">
        <v>7396.0</v>
      </c>
      <c r="B400" s="66">
        <v>202.0</v>
      </c>
      <c r="C400" s="66">
        <v>28.0</v>
      </c>
      <c r="D400" s="66">
        <v>1.0</v>
      </c>
      <c r="E400" s="66">
        <v>5.0</v>
      </c>
      <c r="F400" s="66">
        <v>960.0</v>
      </c>
      <c r="G400" s="141">
        <v>123116.0</v>
      </c>
      <c r="H400" s="66">
        <v>8.0</v>
      </c>
      <c r="I400" s="132">
        <v>148.4</v>
      </c>
      <c r="J400" s="133">
        <v>8573.6</v>
      </c>
      <c r="K400" s="142">
        <v>20.0</v>
      </c>
      <c r="L400" s="111">
        <v>20.0</v>
      </c>
      <c r="M400" s="70">
        <v>930.0</v>
      </c>
      <c r="N400" s="24" t="s">
        <v>4512</v>
      </c>
    </row>
    <row r="401">
      <c r="A401" s="66">
        <v>7397.0</v>
      </c>
      <c r="B401" s="66">
        <v>204.0</v>
      </c>
      <c r="C401" s="66">
        <v>28.0</v>
      </c>
      <c r="D401" s="66">
        <v>1.0</v>
      </c>
      <c r="E401" s="66">
        <v>9.0</v>
      </c>
      <c r="F401" s="66">
        <v>937.0</v>
      </c>
      <c r="G401" s="141">
        <v>103120.0</v>
      </c>
      <c r="H401" s="66">
        <v>6.0</v>
      </c>
      <c r="I401" s="132">
        <v>6869.67</v>
      </c>
      <c r="J401" s="133">
        <v>5451.7</v>
      </c>
      <c r="K401" s="142">
        <v>37.0</v>
      </c>
      <c r="L401" s="111">
        <v>21.0</v>
      </c>
      <c r="M401" s="70">
        <v>2300.0</v>
      </c>
      <c r="N401" s="24" t="s">
        <v>4513</v>
      </c>
    </row>
    <row r="402">
      <c r="A402" s="66">
        <v>7398.0</v>
      </c>
      <c r="B402" s="66">
        <v>200.0</v>
      </c>
      <c r="C402" s="66">
        <v>28.0</v>
      </c>
      <c r="D402" s="66">
        <v>2.0</v>
      </c>
      <c r="E402" s="66">
        <v>2.0</v>
      </c>
      <c r="F402" s="66">
        <v>668.0</v>
      </c>
      <c r="G402" s="141">
        <v>53103.0</v>
      </c>
      <c r="H402" s="66">
        <v>8.0</v>
      </c>
      <c r="I402" s="132">
        <v>13384.53</v>
      </c>
      <c r="J402" s="133">
        <v>46868.7</v>
      </c>
      <c r="K402" s="142">
        <v>70.0</v>
      </c>
      <c r="L402" s="111">
        <v>23.0</v>
      </c>
      <c r="M402" s="70">
        <v>1600.0</v>
      </c>
      <c r="N402" s="24" t="s">
        <v>4514</v>
      </c>
    </row>
    <row r="403">
      <c r="A403" s="66">
        <v>7399.0</v>
      </c>
      <c r="B403" s="66">
        <v>215.0</v>
      </c>
      <c r="C403" s="66">
        <v>28.0</v>
      </c>
      <c r="D403" s="66">
        <v>2.0</v>
      </c>
      <c r="E403" s="66">
        <v>5.0</v>
      </c>
      <c r="F403" s="66">
        <v>820.0</v>
      </c>
      <c r="G403" s="141">
        <v>123194.0</v>
      </c>
      <c r="H403" s="66">
        <v>1.0</v>
      </c>
      <c r="I403" s="132">
        <v>-1278.4</v>
      </c>
      <c r="J403" s="133">
        <v>-80120.4</v>
      </c>
      <c r="K403" s="142">
        <v>64.0</v>
      </c>
      <c r="L403" s="111">
        <v>20.0</v>
      </c>
      <c r="M403" s="70">
        <v>730.0</v>
      </c>
      <c r="N403" s="24" t="s">
        <v>4515</v>
      </c>
    </row>
    <row r="404">
      <c r="A404" s="66">
        <v>7400.0</v>
      </c>
      <c r="B404" s="66">
        <v>200.0</v>
      </c>
      <c r="C404" s="66">
        <v>28.0</v>
      </c>
      <c r="D404" s="66">
        <v>2.0</v>
      </c>
      <c r="E404" s="66">
        <v>8.0</v>
      </c>
      <c r="F404" s="66">
        <v>773.0</v>
      </c>
      <c r="G404" s="141">
        <v>123111.0</v>
      </c>
      <c r="H404" s="66">
        <v>8.0</v>
      </c>
      <c r="I404" s="132">
        <v>-64.11</v>
      </c>
      <c r="J404" s="133">
        <v>-696.18</v>
      </c>
      <c r="K404" s="142">
        <v>22.0</v>
      </c>
      <c r="L404" s="111">
        <v>21.0</v>
      </c>
      <c r="M404" s="70">
        <v>2030.0</v>
      </c>
      <c r="N404" s="24" t="s">
        <v>4516</v>
      </c>
    </row>
    <row r="405">
      <c r="A405" s="66">
        <v>7401.0</v>
      </c>
      <c r="B405" s="66">
        <v>211.0</v>
      </c>
      <c r="C405" s="66">
        <v>89.0</v>
      </c>
      <c r="D405" s="66">
        <v>7.0</v>
      </c>
      <c r="E405" s="66">
        <v>3.0</v>
      </c>
      <c r="F405" s="66">
        <v>363.0</v>
      </c>
      <c r="G405" s="141">
        <v>73105.0</v>
      </c>
      <c r="H405" s="66">
        <v>7.0</v>
      </c>
      <c r="I405" s="132">
        <v>74.35</v>
      </c>
      <c r="J405" s="133">
        <v>30601.69</v>
      </c>
      <c r="K405" s="142">
        <v>66.0</v>
      </c>
      <c r="L405" s="111">
        <v>20.0</v>
      </c>
      <c r="M405" s="70">
        <v>1830.0</v>
      </c>
      <c r="N405" s="24" t="s">
        <v>4517</v>
      </c>
    </row>
    <row r="406">
      <c r="A406" s="66">
        <v>7402.0</v>
      </c>
      <c r="B406" s="66">
        <v>220.0</v>
      </c>
      <c r="C406" s="66">
        <v>48.0</v>
      </c>
      <c r="D406" s="66">
        <v>7.0</v>
      </c>
      <c r="E406" s="66">
        <v>9.0</v>
      </c>
      <c r="F406" s="66">
        <v>390.0</v>
      </c>
      <c r="G406" s="141">
        <v>83192.0</v>
      </c>
      <c r="H406" s="66">
        <v>3.0</v>
      </c>
      <c r="I406" s="132">
        <v>799.66</v>
      </c>
      <c r="J406" s="133">
        <v>27.8</v>
      </c>
      <c r="K406" s="142">
        <v>97.0</v>
      </c>
      <c r="L406" s="111">
        <v>22.0</v>
      </c>
      <c r="M406" s="70">
        <v>1600.0</v>
      </c>
      <c r="N406" s="24" t="s">
        <v>4518</v>
      </c>
    </row>
    <row r="407">
      <c r="A407" s="66">
        <v>7403.0</v>
      </c>
      <c r="B407" s="66">
        <v>205.0</v>
      </c>
      <c r="C407" s="66">
        <v>89.0</v>
      </c>
      <c r="D407" s="66">
        <v>7.0</v>
      </c>
      <c r="E407" s="66">
        <v>6.0</v>
      </c>
      <c r="F407" s="66">
        <v>200.0</v>
      </c>
      <c r="G407" s="141">
        <v>33196.0</v>
      </c>
      <c r="H407" s="66">
        <v>1.0</v>
      </c>
      <c r="I407" s="132">
        <v>-825.7</v>
      </c>
      <c r="J407" s="133">
        <v>63.72</v>
      </c>
      <c r="K407" s="142">
        <v>53.0</v>
      </c>
      <c r="L407" s="111">
        <v>22.0</v>
      </c>
      <c r="M407" s="70">
        <v>2300.0</v>
      </c>
      <c r="N407" s="24" t="s">
        <v>4519</v>
      </c>
    </row>
    <row r="408">
      <c r="A408" s="66">
        <v>7404.0</v>
      </c>
      <c r="B408" s="66">
        <v>206.0</v>
      </c>
      <c r="C408" s="66">
        <v>28.0</v>
      </c>
      <c r="D408" s="66">
        <v>3.0</v>
      </c>
      <c r="E408" s="66">
        <v>5.0</v>
      </c>
      <c r="F408" s="66">
        <v>926.0</v>
      </c>
      <c r="G408" s="141">
        <v>43019.0</v>
      </c>
      <c r="H408" s="66">
        <v>7.0</v>
      </c>
      <c r="I408" s="132">
        <v>-94215.0</v>
      </c>
      <c r="J408" s="133">
        <v>51726.43</v>
      </c>
      <c r="K408" s="142">
        <v>31.0</v>
      </c>
      <c r="L408" s="111">
        <v>22.0</v>
      </c>
      <c r="M408" s="70">
        <v>2200.0</v>
      </c>
      <c r="N408" s="24" t="s">
        <v>4520</v>
      </c>
    </row>
    <row r="409">
      <c r="A409" s="66">
        <v>7405.0</v>
      </c>
      <c r="B409" s="66">
        <v>211.0</v>
      </c>
      <c r="C409" s="66">
        <v>69.0</v>
      </c>
      <c r="D409" s="66">
        <v>3.0</v>
      </c>
      <c r="E409" s="66">
        <v>2.0</v>
      </c>
      <c r="F409" s="66">
        <v>917.0</v>
      </c>
      <c r="G409" s="141">
        <v>22912.0</v>
      </c>
      <c r="H409" s="66">
        <v>3.0</v>
      </c>
      <c r="I409" s="132">
        <v>-41.34</v>
      </c>
      <c r="J409" s="133">
        <v>3320.18</v>
      </c>
      <c r="K409" s="142">
        <v>45.0</v>
      </c>
      <c r="L409" s="111">
        <v>20.0</v>
      </c>
      <c r="M409" s="70">
        <v>1300.0</v>
      </c>
      <c r="N409" s="24" t="s">
        <v>4521</v>
      </c>
    </row>
    <row r="410">
      <c r="A410" s="66">
        <v>7406.0</v>
      </c>
      <c r="B410" s="66">
        <v>205.0</v>
      </c>
      <c r="C410" s="66">
        <v>89.0</v>
      </c>
      <c r="D410" s="66">
        <v>8.0</v>
      </c>
      <c r="E410" s="66">
        <v>1.0</v>
      </c>
      <c r="F410" s="66">
        <v>485.0</v>
      </c>
      <c r="G410" s="141">
        <v>33121.0</v>
      </c>
      <c r="H410" s="66">
        <v>8.0</v>
      </c>
      <c r="I410" s="132">
        <v>-390.8</v>
      </c>
      <c r="J410" s="133">
        <v>8482.78</v>
      </c>
      <c r="K410" s="142">
        <v>66.0</v>
      </c>
      <c r="L410" s="111">
        <v>22.0</v>
      </c>
      <c r="M410" s="70">
        <v>430.0</v>
      </c>
      <c r="N410" s="24" t="s">
        <v>4522</v>
      </c>
    </row>
    <row r="411">
      <c r="A411" s="66">
        <v>7407.0</v>
      </c>
      <c r="B411" s="66">
        <v>211.0</v>
      </c>
      <c r="C411" s="66">
        <v>48.0</v>
      </c>
      <c r="D411" s="66">
        <v>8.0</v>
      </c>
      <c r="E411" s="66">
        <v>7.0</v>
      </c>
      <c r="F411" s="66">
        <v>370.0</v>
      </c>
      <c r="G411" s="141">
        <v>33193.0</v>
      </c>
      <c r="H411" s="66">
        <v>6.0</v>
      </c>
      <c r="I411" s="132">
        <v>85311.61</v>
      </c>
      <c r="J411" s="133">
        <v>-5746.77</v>
      </c>
      <c r="K411" s="142">
        <v>85.0</v>
      </c>
      <c r="L411" s="111">
        <v>20.0</v>
      </c>
      <c r="M411" s="70">
        <v>1830.0</v>
      </c>
      <c r="N411" s="24" t="s">
        <v>4523</v>
      </c>
    </row>
    <row r="412">
      <c r="A412" s="66">
        <v>7408.0</v>
      </c>
      <c r="B412" s="66">
        <v>204.0</v>
      </c>
      <c r="C412" s="66">
        <v>69.0</v>
      </c>
      <c r="D412" s="66">
        <v>3.0</v>
      </c>
      <c r="E412" s="66">
        <v>6.0</v>
      </c>
      <c r="F412" s="66">
        <v>565.0</v>
      </c>
      <c r="G412" s="141">
        <v>93014.0</v>
      </c>
      <c r="H412" s="66">
        <v>9.0</v>
      </c>
      <c r="I412" s="132">
        <v>4595.87</v>
      </c>
      <c r="J412" s="133">
        <v>-60.2</v>
      </c>
      <c r="K412" s="142">
        <v>42.0</v>
      </c>
      <c r="L412" s="111">
        <v>20.0</v>
      </c>
      <c r="M412" s="70">
        <v>1500.0</v>
      </c>
      <c r="N412" s="24" t="s">
        <v>4524</v>
      </c>
    </row>
    <row r="413">
      <c r="A413" s="66">
        <v>7409.0</v>
      </c>
      <c r="B413" s="66">
        <v>205.0</v>
      </c>
      <c r="C413" s="66">
        <v>89.0</v>
      </c>
      <c r="D413" s="66">
        <v>8.0</v>
      </c>
      <c r="E413" s="66">
        <v>6.0</v>
      </c>
      <c r="F413" s="66">
        <v>934.0</v>
      </c>
      <c r="G413" s="141">
        <v>123102.0</v>
      </c>
      <c r="H413" s="66">
        <v>9.0</v>
      </c>
      <c r="I413" s="132">
        <v>810.44</v>
      </c>
      <c r="J413" s="133">
        <v>-6465.45</v>
      </c>
      <c r="K413" s="142">
        <v>48.0</v>
      </c>
      <c r="L413" s="111">
        <v>21.0</v>
      </c>
      <c r="M413" s="70">
        <v>100.0</v>
      </c>
      <c r="N413" s="24" t="s">
        <v>4525</v>
      </c>
    </row>
    <row r="414">
      <c r="A414" s="66">
        <v>7410.0</v>
      </c>
      <c r="B414" s="66">
        <v>206.0</v>
      </c>
      <c r="C414" s="66">
        <v>28.0</v>
      </c>
      <c r="D414" s="66">
        <v>4.0</v>
      </c>
      <c r="E414" s="66">
        <v>3.0</v>
      </c>
      <c r="F414" s="66">
        <v>599.0</v>
      </c>
      <c r="G414" s="141">
        <v>53116.0</v>
      </c>
      <c r="H414" s="66">
        <v>7.0</v>
      </c>
      <c r="I414" s="132">
        <v>48957.8</v>
      </c>
      <c r="J414" s="133">
        <v>858.56</v>
      </c>
      <c r="K414" s="142">
        <v>23.0</v>
      </c>
      <c r="L414" s="111">
        <v>21.0</v>
      </c>
      <c r="M414" s="70">
        <v>1200.0</v>
      </c>
      <c r="N414" s="24" t="s">
        <v>4526</v>
      </c>
    </row>
    <row r="415">
      <c r="A415" s="66">
        <v>7411.0</v>
      </c>
      <c r="B415" s="66">
        <v>217.0</v>
      </c>
      <c r="C415" s="66">
        <v>48.0</v>
      </c>
      <c r="D415" s="66">
        <v>9.0</v>
      </c>
      <c r="E415" s="66">
        <v>1.0</v>
      </c>
      <c r="F415" s="66">
        <v>759.0</v>
      </c>
      <c r="G415" s="141">
        <v>63021.0</v>
      </c>
      <c r="H415" s="66">
        <v>4.0</v>
      </c>
      <c r="I415" s="132">
        <v>-3821.83</v>
      </c>
      <c r="J415" s="133">
        <v>947.8</v>
      </c>
      <c r="K415" s="142">
        <v>54.0</v>
      </c>
      <c r="L415" s="111">
        <v>23.0</v>
      </c>
      <c r="M415" s="70">
        <v>1500.0</v>
      </c>
      <c r="N415" s="24" t="s">
        <v>4527</v>
      </c>
    </row>
    <row r="416">
      <c r="A416" s="66">
        <v>7412.0</v>
      </c>
      <c r="B416" s="66">
        <v>208.0</v>
      </c>
      <c r="C416" s="66">
        <v>89.0</v>
      </c>
      <c r="D416" s="66">
        <v>8.0</v>
      </c>
      <c r="E416" s="66">
        <v>9.0</v>
      </c>
      <c r="F416" s="66">
        <v>545.0</v>
      </c>
      <c r="G416" s="141">
        <v>63014.0</v>
      </c>
      <c r="H416" s="66">
        <v>6.0</v>
      </c>
      <c r="I416" s="132">
        <v>-7732.84</v>
      </c>
      <c r="J416" s="133">
        <v>7293.13</v>
      </c>
      <c r="K416" s="142">
        <v>48.0</v>
      </c>
      <c r="L416" s="111">
        <v>23.0</v>
      </c>
      <c r="M416" s="70">
        <v>400.0</v>
      </c>
      <c r="N416" s="24" t="s">
        <v>4528</v>
      </c>
    </row>
    <row r="417">
      <c r="A417" s="66">
        <v>7413.0</v>
      </c>
      <c r="B417" s="66">
        <v>204.0</v>
      </c>
      <c r="C417" s="66">
        <v>69.0</v>
      </c>
      <c r="D417" s="66">
        <v>4.0</v>
      </c>
      <c r="E417" s="66">
        <v>1.0</v>
      </c>
      <c r="F417" s="66">
        <v>429.0</v>
      </c>
      <c r="G417" s="141">
        <v>93009.0</v>
      </c>
      <c r="H417" s="66">
        <v>2.0</v>
      </c>
      <c r="I417" s="132">
        <v>3357.52</v>
      </c>
      <c r="J417" s="133">
        <v>894.89</v>
      </c>
      <c r="K417" s="142">
        <v>94.0</v>
      </c>
      <c r="L417" s="111">
        <v>20.0</v>
      </c>
      <c r="M417" s="70">
        <v>1000.0</v>
      </c>
      <c r="N417" s="24" t="s">
        <v>4529</v>
      </c>
    </row>
    <row r="418">
      <c r="A418" s="66">
        <v>7414.0</v>
      </c>
      <c r="B418" s="66">
        <v>204.0</v>
      </c>
      <c r="C418" s="66">
        <v>28.0</v>
      </c>
      <c r="D418" s="66">
        <v>5.0</v>
      </c>
      <c r="E418" s="66">
        <v>5.0</v>
      </c>
      <c r="F418" s="66">
        <v>589.0</v>
      </c>
      <c r="G418" s="141">
        <v>103116.0</v>
      </c>
      <c r="H418" s="66">
        <v>3.0</v>
      </c>
      <c r="I418" s="132">
        <v>25851.37</v>
      </c>
      <c r="J418" s="133">
        <v>2241.63</v>
      </c>
      <c r="K418" s="142">
        <v>33.0</v>
      </c>
      <c r="L418" s="111">
        <v>22.0</v>
      </c>
      <c r="M418" s="70">
        <v>1900.0</v>
      </c>
      <c r="N418" s="24" t="s">
        <v>4530</v>
      </c>
    </row>
    <row r="419">
      <c r="A419" s="66">
        <v>7415.0</v>
      </c>
      <c r="B419" s="66">
        <v>215.0</v>
      </c>
      <c r="C419" s="66">
        <v>28.0</v>
      </c>
      <c r="D419" s="66">
        <v>5.0</v>
      </c>
      <c r="E419" s="66">
        <v>6.0</v>
      </c>
      <c r="F419" s="66">
        <v>597.0</v>
      </c>
      <c r="G419" s="141">
        <v>43007.0</v>
      </c>
      <c r="H419" s="66">
        <v>5.0</v>
      </c>
      <c r="I419" s="132">
        <v>58476.79</v>
      </c>
      <c r="J419" s="133">
        <v>-24.27</v>
      </c>
      <c r="K419" s="142">
        <v>47.0</v>
      </c>
      <c r="L419" s="111">
        <v>22.0</v>
      </c>
      <c r="M419" s="70">
        <v>2130.0</v>
      </c>
      <c r="N419" s="24" t="s">
        <v>4531</v>
      </c>
    </row>
    <row r="420">
      <c r="A420" s="66">
        <v>7416.0</v>
      </c>
      <c r="B420" s="66">
        <v>213.0</v>
      </c>
      <c r="C420" s="66">
        <v>69.0</v>
      </c>
      <c r="D420" s="66">
        <v>5.0</v>
      </c>
      <c r="E420" s="66">
        <v>3.0</v>
      </c>
      <c r="F420" s="66">
        <v>186.0</v>
      </c>
      <c r="G420" s="141">
        <v>22811.0</v>
      </c>
      <c r="H420" s="66">
        <v>2.0</v>
      </c>
      <c r="I420" s="132">
        <v>721.49</v>
      </c>
      <c r="J420" s="133">
        <v>261.85</v>
      </c>
      <c r="K420" s="142">
        <v>13.0</v>
      </c>
      <c r="L420" s="111">
        <v>20.0</v>
      </c>
      <c r="M420" s="70">
        <v>2100.0</v>
      </c>
      <c r="N420" s="24" t="s">
        <v>4532</v>
      </c>
    </row>
    <row r="421">
      <c r="A421" s="66">
        <v>7417.0</v>
      </c>
      <c r="B421" s="66">
        <v>204.0</v>
      </c>
      <c r="C421" s="66">
        <v>28.0</v>
      </c>
      <c r="D421" s="66">
        <v>5.0</v>
      </c>
      <c r="E421" s="66">
        <v>9.0</v>
      </c>
      <c r="F421" s="66">
        <v>599.0</v>
      </c>
      <c r="G421" s="141">
        <v>83115.0</v>
      </c>
      <c r="H421" s="66">
        <v>2.0</v>
      </c>
      <c r="I421" s="132">
        <v>54638.3</v>
      </c>
      <c r="J421" s="133">
        <v>78.5</v>
      </c>
      <c r="K421" s="142">
        <v>68.0</v>
      </c>
      <c r="L421" s="111">
        <v>23.0</v>
      </c>
      <c r="M421" s="70">
        <v>530.0</v>
      </c>
      <c r="N421" s="24" t="s">
        <v>4533</v>
      </c>
    </row>
    <row r="422">
      <c r="A422" s="66">
        <v>7418.0</v>
      </c>
      <c r="B422" s="66">
        <v>216.0</v>
      </c>
      <c r="C422" s="66">
        <v>28.0</v>
      </c>
      <c r="D422" s="66">
        <v>6.0</v>
      </c>
      <c r="E422" s="66">
        <v>5.0</v>
      </c>
      <c r="F422" s="66">
        <v>597.0</v>
      </c>
      <c r="G422" s="141">
        <v>123101.0</v>
      </c>
      <c r="H422" s="66">
        <v>9.0</v>
      </c>
      <c r="I422" s="132">
        <v>82.82</v>
      </c>
      <c r="J422" s="133">
        <v>11.75</v>
      </c>
      <c r="K422" s="142">
        <v>92.0</v>
      </c>
      <c r="L422" s="111">
        <v>22.0</v>
      </c>
      <c r="M422" s="70">
        <v>200.0</v>
      </c>
      <c r="N422" s="24" t="s">
        <v>4534</v>
      </c>
    </row>
    <row r="423">
      <c r="A423" s="66">
        <v>7419.0</v>
      </c>
      <c r="B423" s="66">
        <v>206.0</v>
      </c>
      <c r="C423" s="66">
        <v>28.0</v>
      </c>
      <c r="D423" s="66">
        <v>6.0</v>
      </c>
      <c r="E423" s="66">
        <v>7.0</v>
      </c>
      <c r="F423" s="66">
        <v>309.0</v>
      </c>
      <c r="G423" s="141">
        <v>83118.0</v>
      </c>
      <c r="H423" s="66">
        <v>9.0</v>
      </c>
      <c r="I423" s="132">
        <v>7714.21</v>
      </c>
      <c r="J423" s="133">
        <v>110.1</v>
      </c>
      <c r="K423" s="142">
        <v>40.0</v>
      </c>
      <c r="L423" s="111">
        <v>23.0</v>
      </c>
      <c r="M423" s="70">
        <v>2200.0</v>
      </c>
      <c r="N423" s="24" t="s">
        <v>4535</v>
      </c>
    </row>
    <row r="424">
      <c r="A424" s="66">
        <v>7420.0</v>
      </c>
      <c r="B424" s="66">
        <v>208.0</v>
      </c>
      <c r="C424" s="66">
        <v>28.0</v>
      </c>
      <c r="D424" s="66">
        <v>6.0</v>
      </c>
      <c r="E424" s="66">
        <v>8.0</v>
      </c>
      <c r="F424" s="66">
        <v>348.0</v>
      </c>
      <c r="G424" s="141">
        <v>113099.0</v>
      </c>
      <c r="H424" s="66">
        <v>9.0</v>
      </c>
      <c r="I424" s="132">
        <v>-92741.88</v>
      </c>
      <c r="J424" s="133">
        <v>-20.29</v>
      </c>
      <c r="K424" s="142">
        <v>57.0</v>
      </c>
      <c r="L424" s="111">
        <v>22.0</v>
      </c>
      <c r="M424" s="70">
        <v>500.0</v>
      </c>
      <c r="N424" s="24" t="s">
        <v>4536</v>
      </c>
    </row>
    <row r="425">
      <c r="A425" s="66">
        <v>7421.0</v>
      </c>
      <c r="B425" s="66">
        <v>200.0</v>
      </c>
      <c r="C425" s="66">
        <v>28.0</v>
      </c>
      <c r="D425" s="66">
        <v>6.0</v>
      </c>
      <c r="E425" s="66">
        <v>9.0</v>
      </c>
      <c r="F425" s="66">
        <v>636.0</v>
      </c>
      <c r="G425" s="141">
        <v>103100.0</v>
      </c>
      <c r="H425" s="66">
        <v>6.0</v>
      </c>
      <c r="I425" s="132">
        <v>3483.3</v>
      </c>
      <c r="J425" s="133">
        <v>-17388.7</v>
      </c>
      <c r="K425" s="142">
        <v>49.0</v>
      </c>
      <c r="L425" s="111">
        <v>21.0</v>
      </c>
      <c r="M425" s="70">
        <v>1900.0</v>
      </c>
      <c r="N425" s="24" t="s">
        <v>4537</v>
      </c>
    </row>
    <row r="426">
      <c r="A426" s="66">
        <v>7422.0</v>
      </c>
      <c r="B426" s="66">
        <v>208.0</v>
      </c>
      <c r="C426" s="66">
        <v>69.0</v>
      </c>
      <c r="D426" s="66">
        <v>6.0</v>
      </c>
      <c r="E426" s="66">
        <v>7.0</v>
      </c>
      <c r="F426" s="66">
        <v>600.0</v>
      </c>
      <c r="G426" s="141">
        <v>103196.0</v>
      </c>
      <c r="H426" s="66">
        <v>4.0</v>
      </c>
      <c r="I426" s="132">
        <v>8441.45</v>
      </c>
      <c r="J426" s="133">
        <v>918.98</v>
      </c>
      <c r="K426" s="142">
        <v>38.0</v>
      </c>
      <c r="L426" s="111">
        <v>23.0</v>
      </c>
      <c r="M426" s="70">
        <v>800.0</v>
      </c>
      <c r="N426" s="24" t="s">
        <v>4538</v>
      </c>
    </row>
    <row r="427">
      <c r="A427" s="66">
        <v>7423.0</v>
      </c>
      <c r="B427" s="66">
        <v>214.0</v>
      </c>
      <c r="C427" s="66">
        <v>49.0</v>
      </c>
      <c r="D427" s="66">
        <v>1.0</v>
      </c>
      <c r="E427" s="66">
        <v>9.0</v>
      </c>
      <c r="F427" s="66">
        <v>255.0</v>
      </c>
      <c r="G427" s="141">
        <v>33100.0</v>
      </c>
      <c r="H427" s="66">
        <v>3.0</v>
      </c>
      <c r="I427" s="132">
        <v>909.35</v>
      </c>
      <c r="J427" s="133">
        <v>487.17</v>
      </c>
      <c r="K427" s="142">
        <v>11.0</v>
      </c>
      <c r="L427" s="111">
        <v>23.0</v>
      </c>
      <c r="M427" s="70">
        <v>730.0</v>
      </c>
      <c r="N427" s="24" t="s">
        <v>4539</v>
      </c>
    </row>
    <row r="428">
      <c r="A428" s="66">
        <v>7424.0</v>
      </c>
      <c r="B428" s="66">
        <v>202.0</v>
      </c>
      <c r="C428" s="66">
        <v>28.0</v>
      </c>
      <c r="D428" s="66">
        <v>7.0</v>
      </c>
      <c r="E428" s="66">
        <v>4.0</v>
      </c>
      <c r="F428" s="66">
        <v>913.0</v>
      </c>
      <c r="G428" s="141">
        <v>93003.0</v>
      </c>
      <c r="H428" s="66">
        <v>9.0</v>
      </c>
      <c r="I428" s="132">
        <v>4939.13</v>
      </c>
      <c r="J428" s="133">
        <v>5220.58</v>
      </c>
      <c r="K428" s="142">
        <v>66.0</v>
      </c>
      <c r="L428" s="111">
        <v>22.0</v>
      </c>
      <c r="M428" s="70">
        <v>1500.0</v>
      </c>
      <c r="N428" s="24" t="s">
        <v>4540</v>
      </c>
    </row>
    <row r="429">
      <c r="A429" s="66">
        <v>7425.0</v>
      </c>
      <c r="B429" s="66">
        <v>211.0</v>
      </c>
      <c r="C429" s="66">
        <v>69.0</v>
      </c>
      <c r="D429" s="66">
        <v>7.0</v>
      </c>
      <c r="E429" s="66">
        <v>2.0</v>
      </c>
      <c r="F429" s="66">
        <v>882.0</v>
      </c>
      <c r="G429" s="141">
        <v>63096.0</v>
      </c>
      <c r="H429" s="66">
        <v>7.0</v>
      </c>
      <c r="I429" s="132">
        <v>497.71</v>
      </c>
      <c r="J429" s="133">
        <v>-39.65</v>
      </c>
      <c r="K429" s="142">
        <v>19.0</v>
      </c>
      <c r="L429" s="111">
        <v>22.0</v>
      </c>
      <c r="M429" s="70">
        <v>2300.0</v>
      </c>
      <c r="N429" s="24" t="s">
        <v>4541</v>
      </c>
    </row>
    <row r="430">
      <c r="A430" s="66">
        <v>7426.0</v>
      </c>
      <c r="B430" s="66">
        <v>202.0</v>
      </c>
      <c r="C430" s="66">
        <v>49.0</v>
      </c>
      <c r="D430" s="66">
        <v>2.0</v>
      </c>
      <c r="E430" s="66">
        <v>5.0</v>
      </c>
      <c r="F430" s="66">
        <v>910.0</v>
      </c>
      <c r="G430" s="141">
        <v>73191.0</v>
      </c>
      <c r="H430" s="66">
        <v>2.0</v>
      </c>
      <c r="I430" s="132">
        <v>-9293.0</v>
      </c>
      <c r="J430" s="133">
        <v>4801.3</v>
      </c>
      <c r="K430" s="142">
        <v>81.0</v>
      </c>
      <c r="L430" s="111">
        <v>22.0</v>
      </c>
      <c r="M430" s="70">
        <v>1330.0</v>
      </c>
      <c r="N430" s="24" t="s">
        <v>4542</v>
      </c>
    </row>
    <row r="431">
      <c r="A431" s="66">
        <v>7427.0</v>
      </c>
      <c r="B431" s="66">
        <v>205.0</v>
      </c>
      <c r="C431" s="66">
        <v>49.0</v>
      </c>
      <c r="D431" s="66">
        <v>2.0</v>
      </c>
      <c r="E431" s="66">
        <v>8.0</v>
      </c>
      <c r="F431" s="66">
        <v>195.0</v>
      </c>
      <c r="G431" s="141">
        <v>63095.0</v>
      </c>
      <c r="H431" s="66">
        <v>6.0</v>
      </c>
      <c r="I431" s="132">
        <v>42.79</v>
      </c>
      <c r="J431" s="133">
        <v>-73.67</v>
      </c>
      <c r="K431" s="142">
        <v>51.0</v>
      </c>
      <c r="L431" s="111">
        <v>21.0</v>
      </c>
      <c r="M431" s="70">
        <v>1500.0</v>
      </c>
      <c r="N431" s="24" t="s">
        <v>4543</v>
      </c>
    </row>
    <row r="432">
      <c r="A432" s="66">
        <v>7428.0</v>
      </c>
      <c r="B432" s="66">
        <v>215.0</v>
      </c>
      <c r="C432" s="66">
        <v>69.0</v>
      </c>
      <c r="D432" s="66">
        <v>7.0</v>
      </c>
      <c r="E432" s="66">
        <v>7.0</v>
      </c>
      <c r="F432" s="66">
        <v>468.0</v>
      </c>
      <c r="G432" s="141">
        <v>33192.0</v>
      </c>
      <c r="H432" s="66">
        <v>8.0</v>
      </c>
      <c r="I432" s="132">
        <v>-6309.79</v>
      </c>
      <c r="J432" s="133">
        <v>387.74</v>
      </c>
      <c r="K432" s="142">
        <v>27.0</v>
      </c>
      <c r="L432" s="111">
        <v>23.0</v>
      </c>
      <c r="M432" s="70">
        <v>730.0</v>
      </c>
      <c r="N432" s="24" t="s">
        <v>4544</v>
      </c>
    </row>
    <row r="433">
      <c r="A433" s="66">
        <v>7429.0</v>
      </c>
      <c r="B433" s="66">
        <v>212.0</v>
      </c>
      <c r="C433" s="66">
        <v>49.0</v>
      </c>
      <c r="D433" s="66">
        <v>2.0</v>
      </c>
      <c r="E433" s="66">
        <v>9.0</v>
      </c>
      <c r="F433" s="66">
        <v>788.0</v>
      </c>
      <c r="G433" s="141">
        <v>53112.0</v>
      </c>
      <c r="H433" s="66">
        <v>6.0</v>
      </c>
      <c r="I433" s="132">
        <v>69534.68</v>
      </c>
      <c r="J433" s="133">
        <v>21.86</v>
      </c>
      <c r="K433" s="142">
        <v>89.0</v>
      </c>
      <c r="L433" s="111">
        <v>21.0</v>
      </c>
      <c r="M433" s="70">
        <v>1100.0</v>
      </c>
      <c r="N433" s="24" t="s">
        <v>4545</v>
      </c>
    </row>
    <row r="434">
      <c r="A434" s="66">
        <v>7430.0</v>
      </c>
      <c r="B434" s="66">
        <v>218.0</v>
      </c>
      <c r="C434" s="66">
        <v>49.0</v>
      </c>
      <c r="D434" s="66">
        <v>3.0</v>
      </c>
      <c r="E434" s="66">
        <v>8.0</v>
      </c>
      <c r="F434" s="66">
        <v>309.0</v>
      </c>
      <c r="G434" s="141">
        <v>123100.0</v>
      </c>
      <c r="H434" s="66">
        <v>5.0</v>
      </c>
      <c r="I434" s="132">
        <v>374.9</v>
      </c>
      <c r="J434" s="133">
        <v>85023.3</v>
      </c>
      <c r="K434" s="142">
        <v>74.0</v>
      </c>
      <c r="L434" s="111">
        <v>21.0</v>
      </c>
      <c r="M434" s="70">
        <v>1200.0</v>
      </c>
      <c r="N434" s="24" t="s">
        <v>4546</v>
      </c>
    </row>
    <row r="435">
      <c r="A435" s="66">
        <v>7431.0</v>
      </c>
      <c r="B435" s="66">
        <v>216.0</v>
      </c>
      <c r="C435" s="66">
        <v>49.0</v>
      </c>
      <c r="D435" s="66">
        <v>4.0</v>
      </c>
      <c r="E435" s="66">
        <v>1.0</v>
      </c>
      <c r="F435" s="66">
        <v>757.0</v>
      </c>
      <c r="G435" s="141">
        <v>63011.0</v>
      </c>
      <c r="H435" s="66">
        <v>5.0</v>
      </c>
      <c r="I435" s="132">
        <v>19.65</v>
      </c>
      <c r="J435" s="133">
        <v>51739.9</v>
      </c>
      <c r="K435" s="142">
        <v>48.0</v>
      </c>
      <c r="L435" s="111">
        <v>22.0</v>
      </c>
      <c r="M435" s="70">
        <v>1900.0</v>
      </c>
      <c r="N435" s="24" t="s">
        <v>4547</v>
      </c>
    </row>
    <row r="436">
      <c r="A436" s="66">
        <v>7432.0</v>
      </c>
      <c r="B436" s="66">
        <v>217.0</v>
      </c>
      <c r="C436" s="66">
        <v>28.0</v>
      </c>
      <c r="D436" s="66">
        <v>9.0</v>
      </c>
      <c r="E436" s="66">
        <v>4.0</v>
      </c>
      <c r="F436" s="66">
        <v>880.0</v>
      </c>
      <c r="G436" s="141">
        <v>123198.0</v>
      </c>
      <c r="H436" s="66">
        <v>2.0</v>
      </c>
      <c r="I436" s="132">
        <v>-96967.77</v>
      </c>
      <c r="J436" s="133">
        <v>57.13</v>
      </c>
      <c r="K436" s="142">
        <v>59.0</v>
      </c>
      <c r="L436" s="111">
        <v>21.0</v>
      </c>
      <c r="M436" s="70">
        <v>1330.0</v>
      </c>
      <c r="N436" s="24" t="s">
        <v>4548</v>
      </c>
    </row>
    <row r="437">
      <c r="A437" s="66">
        <v>7433.0</v>
      </c>
      <c r="B437" s="66">
        <v>200.0</v>
      </c>
      <c r="C437" s="66">
        <v>28.0</v>
      </c>
      <c r="D437" s="66">
        <v>9.0</v>
      </c>
      <c r="E437" s="66">
        <v>7.0</v>
      </c>
      <c r="F437" s="66">
        <v>162.0</v>
      </c>
      <c r="G437" s="141">
        <v>93092.0</v>
      </c>
      <c r="H437" s="66">
        <v>1.0</v>
      </c>
      <c r="I437" s="132">
        <v>-559.54</v>
      </c>
      <c r="J437" s="133">
        <v>1767.15</v>
      </c>
      <c r="K437" s="142">
        <v>43.0</v>
      </c>
      <c r="L437" s="111">
        <v>22.0</v>
      </c>
      <c r="M437" s="70">
        <v>1700.0</v>
      </c>
      <c r="N437" s="24" t="s">
        <v>4549</v>
      </c>
    </row>
    <row r="438">
      <c r="A438" s="66">
        <v>7434.0</v>
      </c>
      <c r="B438" s="66">
        <v>220.0</v>
      </c>
      <c r="C438" s="66">
        <v>69.0</v>
      </c>
      <c r="D438" s="66">
        <v>9.0</v>
      </c>
      <c r="E438" s="66">
        <v>3.0</v>
      </c>
      <c r="F438" s="66">
        <v>423.0</v>
      </c>
      <c r="G438" s="141">
        <v>63092.0</v>
      </c>
      <c r="H438" s="66">
        <v>4.0</v>
      </c>
      <c r="I438" s="132">
        <v>-41.27</v>
      </c>
      <c r="J438" s="133">
        <v>28.9</v>
      </c>
      <c r="K438" s="142">
        <v>38.0</v>
      </c>
      <c r="L438" s="111">
        <v>21.0</v>
      </c>
      <c r="M438" s="70">
        <v>1230.0</v>
      </c>
      <c r="N438" s="24" t="s">
        <v>4550</v>
      </c>
    </row>
    <row r="439">
      <c r="A439" s="66">
        <v>7435.0</v>
      </c>
      <c r="B439" s="66">
        <v>210.0</v>
      </c>
      <c r="C439" s="66">
        <v>69.0</v>
      </c>
      <c r="D439" s="66">
        <v>9.0</v>
      </c>
      <c r="E439" s="66">
        <v>5.0</v>
      </c>
      <c r="F439" s="66">
        <v>428.0</v>
      </c>
      <c r="G439" s="141">
        <v>53121.0</v>
      </c>
      <c r="H439" s="66">
        <v>5.0</v>
      </c>
      <c r="I439" s="132">
        <v>52.75</v>
      </c>
      <c r="J439" s="133">
        <v>25.61</v>
      </c>
      <c r="K439" s="142">
        <v>55.0</v>
      </c>
      <c r="L439" s="111">
        <v>21.0</v>
      </c>
      <c r="M439" s="70">
        <v>2230.0</v>
      </c>
      <c r="N439" s="24" t="s">
        <v>4551</v>
      </c>
    </row>
    <row r="440">
      <c r="A440" s="66">
        <v>7436.0</v>
      </c>
      <c r="B440" s="66">
        <v>215.0</v>
      </c>
      <c r="C440" s="66">
        <v>49.0</v>
      </c>
      <c r="D440" s="66">
        <v>4.0</v>
      </c>
      <c r="E440" s="66">
        <v>9.0</v>
      </c>
      <c r="F440" s="66">
        <v>679.0</v>
      </c>
      <c r="G440" s="141">
        <v>103192.0</v>
      </c>
      <c r="H440" s="66">
        <v>9.0</v>
      </c>
      <c r="I440" s="132">
        <v>7265.75</v>
      </c>
      <c r="J440" s="133">
        <v>11.51</v>
      </c>
      <c r="K440" s="142">
        <v>18.0</v>
      </c>
      <c r="L440" s="111">
        <v>22.0</v>
      </c>
      <c r="M440" s="70">
        <v>1130.0</v>
      </c>
      <c r="N440" s="24" t="s">
        <v>4552</v>
      </c>
    </row>
    <row r="441">
      <c r="A441" s="66">
        <v>7437.0</v>
      </c>
      <c r="B441" s="66">
        <v>201.0</v>
      </c>
      <c r="C441" s="66">
        <v>69.0</v>
      </c>
      <c r="D441" s="66">
        <v>9.0</v>
      </c>
      <c r="E441" s="66">
        <v>9.0</v>
      </c>
      <c r="F441" s="66">
        <v>259.0</v>
      </c>
      <c r="G441" s="141">
        <v>53104.0</v>
      </c>
      <c r="H441" s="66">
        <v>5.0</v>
      </c>
      <c r="I441" s="132">
        <v>4187.15</v>
      </c>
      <c r="J441" s="133">
        <v>92.35</v>
      </c>
      <c r="K441" s="142">
        <v>32.0</v>
      </c>
      <c r="L441" s="111">
        <v>22.0</v>
      </c>
      <c r="M441" s="70">
        <v>1330.0</v>
      </c>
      <c r="N441" s="134" t="s">
        <v>4553</v>
      </c>
    </row>
    <row r="442">
      <c r="A442" s="66">
        <v>7438.0</v>
      </c>
      <c r="B442" s="66">
        <v>209.0</v>
      </c>
      <c r="C442" s="66">
        <v>49.0</v>
      </c>
      <c r="D442" s="66">
        <v>5.0</v>
      </c>
      <c r="E442" s="66">
        <v>8.0</v>
      </c>
      <c r="F442" s="66">
        <v>520.0</v>
      </c>
      <c r="G442" s="141">
        <v>123103.0</v>
      </c>
      <c r="H442" s="66">
        <v>4.0</v>
      </c>
      <c r="I442" s="132">
        <v>614.16</v>
      </c>
      <c r="J442" s="133">
        <v>49.33</v>
      </c>
      <c r="K442" s="142">
        <v>80.0</v>
      </c>
      <c r="L442" s="111">
        <v>21.0</v>
      </c>
      <c r="M442" s="70">
        <v>2200.0</v>
      </c>
      <c r="N442" s="24" t="s">
        <v>4554</v>
      </c>
    </row>
    <row r="443">
      <c r="A443" s="66">
        <v>7439.0</v>
      </c>
      <c r="B443" s="66">
        <v>202.0</v>
      </c>
      <c r="C443" s="66">
        <v>49.0</v>
      </c>
      <c r="D443" s="66">
        <v>6.0</v>
      </c>
      <c r="E443" s="66">
        <v>1.0</v>
      </c>
      <c r="F443" s="66">
        <v>771.0</v>
      </c>
      <c r="G443" s="141">
        <v>13114.0</v>
      </c>
      <c r="H443" s="66">
        <v>6.0</v>
      </c>
      <c r="I443" s="132">
        <v>-1236.6</v>
      </c>
      <c r="J443" s="133">
        <v>91331.43</v>
      </c>
      <c r="K443" s="142">
        <v>87.0</v>
      </c>
      <c r="L443" s="111">
        <v>23.0</v>
      </c>
      <c r="M443" s="70">
        <v>1900.0</v>
      </c>
      <c r="N443" s="24" t="s">
        <v>4555</v>
      </c>
    </row>
    <row r="444">
      <c r="A444" s="66">
        <v>7440.0</v>
      </c>
      <c r="B444" s="66">
        <v>212.0</v>
      </c>
      <c r="C444" s="66">
        <v>49.0</v>
      </c>
      <c r="D444" s="66">
        <v>6.0</v>
      </c>
      <c r="E444" s="66">
        <v>3.0</v>
      </c>
      <c r="F444" s="66">
        <v>177.0</v>
      </c>
      <c r="G444" s="141">
        <v>22893.0</v>
      </c>
      <c r="H444" s="66">
        <v>7.0</v>
      </c>
      <c r="I444" s="132">
        <v>-89337.7</v>
      </c>
      <c r="J444" s="133">
        <v>25539.21</v>
      </c>
      <c r="K444" s="142">
        <v>90.0</v>
      </c>
      <c r="L444" s="111">
        <v>23.0</v>
      </c>
      <c r="M444" s="70">
        <v>1400.0</v>
      </c>
      <c r="N444" s="24" t="s">
        <v>4556</v>
      </c>
    </row>
    <row r="445">
      <c r="A445" s="66">
        <v>7441.0</v>
      </c>
      <c r="B445" s="66">
        <v>216.0</v>
      </c>
      <c r="C445" s="66">
        <v>29.0</v>
      </c>
      <c r="D445" s="66">
        <v>2.0</v>
      </c>
      <c r="E445" s="66">
        <v>1.0</v>
      </c>
      <c r="F445" s="66">
        <v>430.0</v>
      </c>
      <c r="G445" s="141">
        <v>22900.0</v>
      </c>
      <c r="H445" s="66">
        <v>4.0</v>
      </c>
      <c r="I445" s="132">
        <v>1410.56</v>
      </c>
      <c r="J445" s="133">
        <v>2482.48</v>
      </c>
      <c r="K445" s="142">
        <v>27.0</v>
      </c>
      <c r="L445" s="111">
        <v>20.0</v>
      </c>
      <c r="M445" s="70">
        <v>400.0</v>
      </c>
      <c r="N445" s="24" t="s">
        <v>4557</v>
      </c>
    </row>
    <row r="446">
      <c r="A446" s="66">
        <v>7442.0</v>
      </c>
      <c r="B446" s="66">
        <v>216.0</v>
      </c>
      <c r="C446" s="66">
        <v>29.0</v>
      </c>
      <c r="D446" s="66">
        <v>2.0</v>
      </c>
      <c r="E446" s="66">
        <v>2.0</v>
      </c>
      <c r="F446" s="66">
        <v>251.0</v>
      </c>
      <c r="G446" s="141">
        <v>33190.0</v>
      </c>
      <c r="H446" s="66">
        <v>5.0</v>
      </c>
      <c r="I446" s="132">
        <v>-2424.54</v>
      </c>
      <c r="J446" s="133">
        <v>81505.26</v>
      </c>
      <c r="K446" s="142">
        <v>72.0</v>
      </c>
      <c r="L446" s="111">
        <v>23.0</v>
      </c>
      <c r="M446" s="70">
        <v>2300.0</v>
      </c>
      <c r="N446" s="24" t="s">
        <v>4558</v>
      </c>
    </row>
    <row r="447">
      <c r="A447" s="66">
        <v>7443.0</v>
      </c>
      <c r="B447" s="66">
        <v>220.0</v>
      </c>
      <c r="C447" s="66">
        <v>29.0</v>
      </c>
      <c r="D447" s="66">
        <v>2.0</v>
      </c>
      <c r="E447" s="66">
        <v>6.0</v>
      </c>
      <c r="F447" s="66">
        <v>983.0</v>
      </c>
      <c r="G447" s="141">
        <v>63097.0</v>
      </c>
      <c r="H447" s="66">
        <v>1.0</v>
      </c>
      <c r="I447" s="132">
        <v>78517.83</v>
      </c>
      <c r="J447" s="133">
        <v>943.71</v>
      </c>
      <c r="K447" s="142">
        <v>97.0</v>
      </c>
      <c r="L447" s="111">
        <v>23.0</v>
      </c>
      <c r="M447" s="70">
        <v>2200.0</v>
      </c>
      <c r="N447" s="24" t="s">
        <v>4559</v>
      </c>
    </row>
    <row r="448">
      <c r="A448" s="66">
        <v>7444.0</v>
      </c>
      <c r="B448" s="66">
        <v>204.0</v>
      </c>
      <c r="C448" s="66">
        <v>49.0</v>
      </c>
      <c r="D448" s="66">
        <v>7.0</v>
      </c>
      <c r="E448" s="66">
        <v>5.0</v>
      </c>
      <c r="F448" s="66">
        <v>912.0</v>
      </c>
      <c r="G448" s="141">
        <v>103105.0</v>
      </c>
      <c r="H448" s="66">
        <v>6.0</v>
      </c>
      <c r="I448" s="132">
        <v>71065.99</v>
      </c>
      <c r="J448" s="133">
        <v>264.58</v>
      </c>
      <c r="K448" s="142">
        <v>14.0</v>
      </c>
      <c r="L448" s="111">
        <v>22.0</v>
      </c>
      <c r="M448" s="70">
        <v>1030.0</v>
      </c>
      <c r="N448" s="24" t="s">
        <v>4560</v>
      </c>
    </row>
    <row r="449">
      <c r="A449" s="66">
        <v>7445.0</v>
      </c>
      <c r="B449" s="66">
        <v>213.0</v>
      </c>
      <c r="C449" s="66">
        <v>49.0</v>
      </c>
      <c r="D449" s="66">
        <v>8.0</v>
      </c>
      <c r="E449" s="66">
        <v>2.0</v>
      </c>
      <c r="F449" s="66">
        <v>221.0</v>
      </c>
      <c r="G449" s="141">
        <v>93016.0</v>
      </c>
      <c r="H449" s="66">
        <v>7.0</v>
      </c>
      <c r="I449" s="132">
        <v>71425.16</v>
      </c>
      <c r="J449" s="133">
        <v>2952.25</v>
      </c>
      <c r="K449" s="142">
        <v>83.0</v>
      </c>
      <c r="L449" s="111">
        <v>21.0</v>
      </c>
      <c r="M449" s="70">
        <v>430.0</v>
      </c>
      <c r="N449" s="24" t="s">
        <v>4561</v>
      </c>
    </row>
    <row r="450">
      <c r="A450" s="66">
        <v>7446.0</v>
      </c>
      <c r="B450" s="66">
        <v>214.0</v>
      </c>
      <c r="C450" s="66">
        <v>49.0</v>
      </c>
      <c r="D450" s="66">
        <v>8.0</v>
      </c>
      <c r="E450" s="66">
        <v>5.0</v>
      </c>
      <c r="F450" s="66">
        <v>905.0</v>
      </c>
      <c r="G450" s="141">
        <v>22809.0</v>
      </c>
      <c r="H450" s="66">
        <v>2.0</v>
      </c>
      <c r="I450" s="132">
        <v>341.39</v>
      </c>
      <c r="J450" s="133">
        <v>-2099.18</v>
      </c>
      <c r="K450" s="142">
        <v>83.0</v>
      </c>
      <c r="L450" s="111">
        <v>22.0</v>
      </c>
      <c r="M450" s="70">
        <v>100.0</v>
      </c>
      <c r="N450" s="24" t="s">
        <v>4562</v>
      </c>
    </row>
    <row r="451">
      <c r="A451" s="66">
        <v>7447.0</v>
      </c>
      <c r="B451" s="66">
        <v>218.0</v>
      </c>
      <c r="C451" s="66">
        <v>29.0</v>
      </c>
      <c r="D451" s="66">
        <v>3.0</v>
      </c>
      <c r="E451" s="66">
        <v>7.0</v>
      </c>
      <c r="F451" s="66">
        <v>468.0</v>
      </c>
      <c r="G451" s="141">
        <v>63008.0</v>
      </c>
      <c r="H451" s="66">
        <v>2.0</v>
      </c>
      <c r="I451" s="132">
        <v>226.26</v>
      </c>
      <c r="J451" s="133">
        <v>53.66</v>
      </c>
      <c r="K451" s="142">
        <v>63.0</v>
      </c>
      <c r="L451" s="111">
        <v>22.0</v>
      </c>
      <c r="M451" s="70">
        <v>1400.0</v>
      </c>
      <c r="N451" s="24" t="s">
        <v>4563</v>
      </c>
    </row>
    <row r="452">
      <c r="A452" s="66">
        <v>7448.0</v>
      </c>
      <c r="B452" s="66">
        <v>220.0</v>
      </c>
      <c r="C452" s="66">
        <v>49.0</v>
      </c>
      <c r="D452" s="66">
        <v>8.0</v>
      </c>
      <c r="E452" s="66">
        <v>6.0</v>
      </c>
      <c r="F452" s="66">
        <v>831.0</v>
      </c>
      <c r="G452" s="141">
        <v>33191.0</v>
      </c>
      <c r="H452" s="66">
        <v>4.0</v>
      </c>
      <c r="I452" s="132">
        <v>5482.75</v>
      </c>
      <c r="J452" s="133">
        <v>88853.15</v>
      </c>
      <c r="K452" s="142">
        <v>51.0</v>
      </c>
      <c r="L452" s="111">
        <v>23.0</v>
      </c>
      <c r="M452" s="70">
        <v>330.0</v>
      </c>
      <c r="N452" s="24" t="s">
        <v>4564</v>
      </c>
    </row>
    <row r="453">
      <c r="A453" s="66">
        <v>7449.0</v>
      </c>
      <c r="B453" s="66">
        <v>215.0</v>
      </c>
      <c r="C453" s="66">
        <v>49.0</v>
      </c>
      <c r="D453" s="66">
        <v>8.0</v>
      </c>
      <c r="E453" s="66">
        <v>8.0</v>
      </c>
      <c r="F453" s="66">
        <v>296.0</v>
      </c>
      <c r="G453" s="141">
        <v>83199.0</v>
      </c>
      <c r="H453" s="66">
        <v>3.0</v>
      </c>
      <c r="I453" s="132">
        <v>3530.29</v>
      </c>
      <c r="J453" s="133">
        <v>4316.17</v>
      </c>
      <c r="K453" s="142">
        <v>76.0</v>
      </c>
      <c r="L453" s="111">
        <v>21.0</v>
      </c>
      <c r="M453" s="70">
        <v>1030.0</v>
      </c>
      <c r="N453" s="24" t="s">
        <v>4565</v>
      </c>
    </row>
    <row r="454">
      <c r="A454" s="66">
        <v>7450.0</v>
      </c>
      <c r="B454" s="66">
        <v>212.0</v>
      </c>
      <c r="C454" s="66">
        <v>49.0</v>
      </c>
      <c r="D454" s="66">
        <v>9.0</v>
      </c>
      <c r="E454" s="66">
        <v>1.0</v>
      </c>
      <c r="F454" s="66">
        <v>966.0</v>
      </c>
      <c r="G454" s="141">
        <v>113095.0</v>
      </c>
      <c r="H454" s="66">
        <v>2.0</v>
      </c>
      <c r="I454" s="132">
        <v>4325.0</v>
      </c>
      <c r="J454" s="133">
        <v>-201.33</v>
      </c>
      <c r="K454" s="142">
        <v>4.0</v>
      </c>
      <c r="L454" s="111">
        <v>21.0</v>
      </c>
      <c r="M454" s="70">
        <v>1230.0</v>
      </c>
      <c r="N454" s="24" t="s">
        <v>4566</v>
      </c>
    </row>
    <row r="455">
      <c r="A455" s="66">
        <v>7451.0</v>
      </c>
      <c r="B455" s="66">
        <v>220.0</v>
      </c>
      <c r="C455" s="66">
        <v>49.0</v>
      </c>
      <c r="D455" s="66">
        <v>9.0</v>
      </c>
      <c r="E455" s="66">
        <v>2.0</v>
      </c>
      <c r="F455" s="66">
        <v>615.0</v>
      </c>
      <c r="G455" s="141">
        <v>103199.0</v>
      </c>
      <c r="H455" s="66">
        <v>8.0</v>
      </c>
      <c r="I455" s="132">
        <v>17260.81</v>
      </c>
      <c r="J455" s="133">
        <v>20512.98</v>
      </c>
      <c r="K455" s="142">
        <v>5.0</v>
      </c>
      <c r="L455" s="111">
        <v>21.0</v>
      </c>
      <c r="M455" s="70">
        <v>2130.0</v>
      </c>
      <c r="N455" s="24" t="s">
        <v>4567</v>
      </c>
    </row>
    <row r="456">
      <c r="A456" s="66">
        <v>7452.0</v>
      </c>
      <c r="B456" s="66">
        <v>211.0</v>
      </c>
      <c r="C456" s="66">
        <v>29.0</v>
      </c>
      <c r="D456" s="66">
        <v>6.0</v>
      </c>
      <c r="E456" s="66">
        <v>3.0</v>
      </c>
      <c r="F456" s="66">
        <v>960.0</v>
      </c>
      <c r="G456" s="141">
        <v>22899.0</v>
      </c>
      <c r="H456" s="66">
        <v>3.0</v>
      </c>
      <c r="I456" s="132">
        <v>94.11</v>
      </c>
      <c r="J456" s="133">
        <v>-9282.0</v>
      </c>
      <c r="K456" s="142">
        <v>47.0</v>
      </c>
      <c r="L456" s="111">
        <v>20.0</v>
      </c>
      <c r="M456" s="70">
        <v>1830.0</v>
      </c>
      <c r="N456" s="24" t="s">
        <v>4568</v>
      </c>
    </row>
    <row r="457">
      <c r="A457" s="66">
        <v>7453.0</v>
      </c>
      <c r="B457" s="66">
        <v>213.0</v>
      </c>
      <c r="C457" s="66">
        <v>29.0</v>
      </c>
      <c r="D457" s="66">
        <v>6.0</v>
      </c>
      <c r="E457" s="66">
        <v>6.0</v>
      </c>
      <c r="F457" s="66">
        <v>773.0</v>
      </c>
      <c r="G457" s="141">
        <v>73103.0</v>
      </c>
      <c r="H457" s="66">
        <v>5.0</v>
      </c>
      <c r="I457" s="132">
        <v>11.87</v>
      </c>
      <c r="J457" s="133">
        <v>860.24</v>
      </c>
      <c r="K457" s="142">
        <v>10.0</v>
      </c>
      <c r="L457" s="111">
        <v>20.0</v>
      </c>
      <c r="M457" s="70">
        <v>800.0</v>
      </c>
      <c r="N457" s="24" t="s">
        <v>4569</v>
      </c>
    </row>
    <row r="458">
      <c r="A458" s="66">
        <v>7454.0</v>
      </c>
      <c r="B458" s="66">
        <v>201.0</v>
      </c>
      <c r="C458" s="66">
        <v>29.0</v>
      </c>
      <c r="D458" s="66">
        <v>6.0</v>
      </c>
      <c r="E458" s="66">
        <v>7.0</v>
      </c>
      <c r="F458" s="66">
        <v>915.0</v>
      </c>
      <c r="G458" s="141">
        <v>103198.0</v>
      </c>
      <c r="H458" s="66">
        <v>9.0</v>
      </c>
      <c r="I458" s="132">
        <v>53393.54</v>
      </c>
      <c r="J458" s="133">
        <v>649.5</v>
      </c>
      <c r="K458" s="142">
        <v>28.0</v>
      </c>
      <c r="L458" s="111">
        <v>20.0</v>
      </c>
      <c r="M458" s="70">
        <v>530.0</v>
      </c>
      <c r="N458" s="24" t="s">
        <v>4570</v>
      </c>
    </row>
    <row r="459">
      <c r="A459" s="66">
        <v>7455.0</v>
      </c>
      <c r="B459" s="66">
        <v>208.0</v>
      </c>
      <c r="C459" s="66">
        <v>91.0</v>
      </c>
      <c r="D459" s="66">
        <v>1.0</v>
      </c>
      <c r="E459" s="66">
        <v>2.0</v>
      </c>
      <c r="F459" s="66">
        <v>973.0</v>
      </c>
      <c r="G459" s="141">
        <v>113022.0</v>
      </c>
      <c r="H459" s="66">
        <v>1.0</v>
      </c>
      <c r="I459" s="132">
        <v>49659.89</v>
      </c>
      <c r="J459" s="133">
        <v>6784.5</v>
      </c>
      <c r="K459" s="142">
        <v>48.0</v>
      </c>
      <c r="L459" s="111">
        <v>21.0</v>
      </c>
      <c r="M459" s="70">
        <v>330.0</v>
      </c>
      <c r="N459" s="24" t="s">
        <v>4571</v>
      </c>
    </row>
    <row r="460">
      <c r="A460" s="66">
        <v>7456.0</v>
      </c>
      <c r="B460" s="66">
        <v>214.0</v>
      </c>
      <c r="C460" s="66">
        <v>29.0</v>
      </c>
      <c r="D460" s="66">
        <v>6.0</v>
      </c>
      <c r="E460" s="66">
        <v>9.0</v>
      </c>
      <c r="F460" s="66">
        <v>315.0</v>
      </c>
      <c r="G460" s="141">
        <v>63093.0</v>
      </c>
      <c r="H460" s="66">
        <v>8.0</v>
      </c>
      <c r="I460" s="132">
        <v>70595.58</v>
      </c>
      <c r="J460" s="133">
        <v>4949.3</v>
      </c>
      <c r="K460" s="142">
        <v>89.0</v>
      </c>
      <c r="L460" s="111">
        <v>21.0</v>
      </c>
      <c r="M460" s="70">
        <v>1030.0</v>
      </c>
      <c r="N460" s="24" t="s">
        <v>4572</v>
      </c>
    </row>
    <row r="461">
      <c r="A461" s="66">
        <v>7457.0</v>
      </c>
      <c r="B461" s="66">
        <v>215.0</v>
      </c>
      <c r="C461" s="66">
        <v>91.0</v>
      </c>
      <c r="D461" s="66">
        <v>2.0</v>
      </c>
      <c r="E461" s="66">
        <v>2.0</v>
      </c>
      <c r="F461" s="66">
        <v>156.0</v>
      </c>
      <c r="G461" s="141">
        <v>43091.0</v>
      </c>
      <c r="H461" s="66">
        <v>1.0</v>
      </c>
      <c r="I461" s="132">
        <v>22608.98</v>
      </c>
      <c r="J461" s="133">
        <v>5405.14</v>
      </c>
      <c r="K461" s="142">
        <v>94.0</v>
      </c>
      <c r="L461" s="111">
        <v>20.0</v>
      </c>
      <c r="M461" s="70">
        <v>1100.0</v>
      </c>
      <c r="N461" s="24" t="s">
        <v>4573</v>
      </c>
    </row>
    <row r="462">
      <c r="A462" s="66">
        <v>7458.0</v>
      </c>
      <c r="B462" s="66">
        <v>216.0</v>
      </c>
      <c r="C462" s="66">
        <v>29.0</v>
      </c>
      <c r="D462" s="66">
        <v>7.0</v>
      </c>
      <c r="E462" s="66">
        <v>9.0</v>
      </c>
      <c r="F462" s="66">
        <v>925.0</v>
      </c>
      <c r="G462" s="141">
        <v>13104.0</v>
      </c>
      <c r="H462" s="66">
        <v>8.0</v>
      </c>
      <c r="I462" s="132">
        <v>10.5</v>
      </c>
      <c r="J462" s="133">
        <v>424.65</v>
      </c>
      <c r="K462" s="142">
        <v>89.0</v>
      </c>
      <c r="L462" s="111">
        <v>23.0</v>
      </c>
      <c r="M462" s="70">
        <v>2130.0</v>
      </c>
      <c r="N462" s="24" t="s">
        <v>4574</v>
      </c>
    </row>
    <row r="463">
      <c r="A463" s="66">
        <v>7459.0</v>
      </c>
      <c r="B463" s="66">
        <v>211.0</v>
      </c>
      <c r="C463" s="66">
        <v>29.0</v>
      </c>
      <c r="D463" s="66">
        <v>8.0</v>
      </c>
      <c r="E463" s="66">
        <v>3.0</v>
      </c>
      <c r="F463" s="66">
        <v>440.0</v>
      </c>
      <c r="G463" s="141">
        <v>22916.0</v>
      </c>
      <c r="H463" s="66">
        <v>5.0</v>
      </c>
      <c r="I463" s="132">
        <v>3853.37</v>
      </c>
      <c r="J463" s="133">
        <v>-90.42</v>
      </c>
      <c r="K463" s="142">
        <v>89.0</v>
      </c>
      <c r="L463" s="111">
        <v>20.0</v>
      </c>
      <c r="M463" s="70">
        <v>1600.0</v>
      </c>
      <c r="N463" s="24" t="s">
        <v>4575</v>
      </c>
    </row>
    <row r="464">
      <c r="A464" s="66">
        <v>7460.0</v>
      </c>
      <c r="B464" s="66">
        <v>207.0</v>
      </c>
      <c r="C464" s="66">
        <v>91.0</v>
      </c>
      <c r="D464" s="66">
        <v>3.0</v>
      </c>
      <c r="E464" s="66">
        <v>1.0</v>
      </c>
      <c r="F464" s="66">
        <v>762.0</v>
      </c>
      <c r="G464" s="141">
        <v>13111.0</v>
      </c>
      <c r="H464" s="66">
        <v>4.0</v>
      </c>
      <c r="I464" s="132">
        <v>82836.49</v>
      </c>
      <c r="J464" s="133">
        <v>30351.67</v>
      </c>
      <c r="K464" s="142">
        <v>25.0</v>
      </c>
      <c r="L464" s="111">
        <v>21.0</v>
      </c>
      <c r="M464" s="70">
        <v>1000.0</v>
      </c>
      <c r="N464" s="24" t="s">
        <v>4576</v>
      </c>
    </row>
    <row r="465">
      <c r="A465" s="66">
        <v>7461.0</v>
      </c>
      <c r="B465" s="66">
        <v>211.0</v>
      </c>
      <c r="C465" s="66">
        <v>91.0</v>
      </c>
      <c r="D465" s="66">
        <v>4.0</v>
      </c>
      <c r="E465" s="66">
        <v>2.0</v>
      </c>
      <c r="F465" s="66">
        <v>724.0</v>
      </c>
      <c r="G465" s="141">
        <v>63005.0</v>
      </c>
      <c r="H465" s="66">
        <v>3.0</v>
      </c>
      <c r="I465" s="132">
        <v>43.2</v>
      </c>
      <c r="J465" s="133">
        <v>39.91</v>
      </c>
      <c r="K465" s="142">
        <v>37.0</v>
      </c>
      <c r="L465" s="111">
        <v>23.0</v>
      </c>
      <c r="M465" s="70">
        <v>1100.0</v>
      </c>
      <c r="N465" s="24" t="s">
        <v>4577</v>
      </c>
    </row>
    <row r="466">
      <c r="A466" s="66">
        <v>7462.0</v>
      </c>
      <c r="B466" s="66">
        <v>217.0</v>
      </c>
      <c r="C466" s="66">
        <v>91.0</v>
      </c>
      <c r="D466" s="66">
        <v>4.0</v>
      </c>
      <c r="E466" s="66">
        <v>6.0</v>
      </c>
      <c r="F466" s="66">
        <v>808.0</v>
      </c>
      <c r="G466" s="141">
        <v>22920.0</v>
      </c>
      <c r="H466" s="66">
        <v>9.0</v>
      </c>
      <c r="I466" s="132">
        <v>52404.91</v>
      </c>
      <c r="J466" s="133">
        <v>56.33</v>
      </c>
      <c r="K466" s="142">
        <v>97.0</v>
      </c>
      <c r="L466" s="111">
        <v>20.0</v>
      </c>
      <c r="M466" s="70">
        <v>900.0</v>
      </c>
      <c r="N466" s="24" t="s">
        <v>4578</v>
      </c>
    </row>
    <row r="467">
      <c r="A467" s="66">
        <v>7463.0</v>
      </c>
      <c r="B467" s="66">
        <v>218.0</v>
      </c>
      <c r="C467" s="66">
        <v>91.0</v>
      </c>
      <c r="D467" s="66">
        <v>4.0</v>
      </c>
      <c r="E467" s="66">
        <v>9.0</v>
      </c>
      <c r="F467" s="66">
        <v>155.0</v>
      </c>
      <c r="G467" s="141">
        <v>83108.0</v>
      </c>
      <c r="H467" s="66">
        <v>5.0</v>
      </c>
      <c r="I467" s="132">
        <v>77.88</v>
      </c>
      <c r="J467" s="133">
        <v>411.86</v>
      </c>
      <c r="K467" s="142">
        <v>32.0</v>
      </c>
      <c r="L467" s="111">
        <v>23.0</v>
      </c>
      <c r="M467" s="70">
        <v>1330.0</v>
      </c>
      <c r="N467" s="24" t="s">
        <v>4579</v>
      </c>
    </row>
    <row r="468">
      <c r="A468" s="66">
        <v>7464.0</v>
      </c>
      <c r="B468" s="66">
        <v>217.0</v>
      </c>
      <c r="C468" s="66">
        <v>91.0</v>
      </c>
      <c r="D468" s="66">
        <v>5.0</v>
      </c>
      <c r="E468" s="66">
        <v>5.0</v>
      </c>
      <c r="F468" s="66">
        <v>289.0</v>
      </c>
      <c r="G468" s="141">
        <v>33112.0</v>
      </c>
      <c r="H468" s="66">
        <v>1.0</v>
      </c>
      <c r="I468" s="132">
        <v>-434.64</v>
      </c>
      <c r="J468" s="133">
        <v>71173.44</v>
      </c>
      <c r="K468" s="142">
        <v>39.0</v>
      </c>
      <c r="L468" s="111">
        <v>20.0</v>
      </c>
      <c r="M468" s="70">
        <v>200.0</v>
      </c>
      <c r="N468" s="24" t="s">
        <v>4580</v>
      </c>
    </row>
    <row r="469">
      <c r="A469" s="66">
        <v>7465.0</v>
      </c>
      <c r="B469" s="66">
        <v>201.0</v>
      </c>
      <c r="C469" s="66">
        <v>91.0</v>
      </c>
      <c r="D469" s="66">
        <v>5.0</v>
      </c>
      <c r="E469" s="66">
        <v>8.0</v>
      </c>
      <c r="F469" s="66">
        <v>963.0</v>
      </c>
      <c r="G469" s="141">
        <v>63009.0</v>
      </c>
      <c r="H469" s="66">
        <v>9.0</v>
      </c>
      <c r="I469" s="132">
        <v>-33558.19</v>
      </c>
      <c r="J469" s="133">
        <v>19.6</v>
      </c>
      <c r="K469" s="142">
        <v>62.0</v>
      </c>
      <c r="L469" s="111">
        <v>22.0</v>
      </c>
      <c r="M469" s="70">
        <v>1130.0</v>
      </c>
      <c r="N469" s="24" t="s">
        <v>4581</v>
      </c>
    </row>
    <row r="470">
      <c r="A470" s="66">
        <v>7466.0</v>
      </c>
      <c r="B470" s="66">
        <v>219.0</v>
      </c>
      <c r="C470" s="66">
        <v>91.0</v>
      </c>
      <c r="D470" s="66">
        <v>6.0</v>
      </c>
      <c r="E470" s="66">
        <v>3.0</v>
      </c>
      <c r="F470" s="66">
        <v>273.0</v>
      </c>
      <c r="G470" s="141">
        <v>53118.0</v>
      </c>
      <c r="H470" s="66">
        <v>4.0</v>
      </c>
      <c r="I470" s="132">
        <v>8886.3</v>
      </c>
      <c r="J470" s="133">
        <v>14023.16</v>
      </c>
      <c r="K470" s="142">
        <v>36.0</v>
      </c>
      <c r="L470" s="111">
        <v>22.0</v>
      </c>
      <c r="M470" s="70">
        <v>1800.0</v>
      </c>
      <c r="N470" s="24" t="s">
        <v>4582</v>
      </c>
    </row>
    <row r="471">
      <c r="A471" s="66">
        <v>7467.0</v>
      </c>
      <c r="B471" s="66">
        <v>219.0</v>
      </c>
      <c r="C471" s="66">
        <v>91.0</v>
      </c>
      <c r="D471" s="66">
        <v>7.0</v>
      </c>
      <c r="E471" s="66">
        <v>5.0</v>
      </c>
      <c r="F471" s="66">
        <v>868.0</v>
      </c>
      <c r="G471" s="141">
        <v>53190.0</v>
      </c>
      <c r="H471" s="66">
        <v>5.0</v>
      </c>
      <c r="I471" s="132">
        <v>-1178.41</v>
      </c>
      <c r="J471" s="133">
        <v>5547.27</v>
      </c>
      <c r="K471" s="142">
        <v>27.0</v>
      </c>
      <c r="L471" s="111">
        <v>20.0</v>
      </c>
      <c r="M471" s="70">
        <v>500.0</v>
      </c>
      <c r="N471" s="24" t="s">
        <v>4583</v>
      </c>
    </row>
    <row r="472">
      <c r="A472" s="66">
        <v>7468.0</v>
      </c>
      <c r="B472" s="66">
        <v>201.0</v>
      </c>
      <c r="C472" s="66">
        <v>91.0</v>
      </c>
      <c r="D472" s="66">
        <v>7.0</v>
      </c>
      <c r="E472" s="66">
        <v>9.0</v>
      </c>
      <c r="F472" s="66">
        <v>928.0</v>
      </c>
      <c r="G472" s="141">
        <v>53106.0</v>
      </c>
      <c r="H472" s="66">
        <v>1.0</v>
      </c>
      <c r="I472" s="132">
        <v>86581.12</v>
      </c>
      <c r="J472" s="133">
        <v>11.17</v>
      </c>
      <c r="K472" s="142">
        <v>49.0</v>
      </c>
      <c r="L472" s="111">
        <v>20.0</v>
      </c>
      <c r="M472" s="70">
        <v>300.0</v>
      </c>
      <c r="N472" s="24" t="s">
        <v>4584</v>
      </c>
    </row>
    <row r="473">
      <c r="A473" s="66">
        <v>7469.0</v>
      </c>
      <c r="B473" s="66">
        <v>213.0</v>
      </c>
      <c r="C473" s="66">
        <v>71.0</v>
      </c>
      <c r="D473" s="66">
        <v>3.0</v>
      </c>
      <c r="E473" s="66">
        <v>6.0</v>
      </c>
      <c r="F473" s="66">
        <v>172.0</v>
      </c>
      <c r="G473" s="141">
        <v>13108.0</v>
      </c>
      <c r="H473" s="66">
        <v>1.0</v>
      </c>
      <c r="I473" s="132">
        <v>47.94</v>
      </c>
      <c r="J473" s="133">
        <v>-661.58</v>
      </c>
      <c r="K473" s="142">
        <v>23.0</v>
      </c>
      <c r="L473" s="111">
        <v>20.0</v>
      </c>
      <c r="M473" s="70">
        <v>1800.0</v>
      </c>
      <c r="N473" s="24" t="s">
        <v>4585</v>
      </c>
    </row>
    <row r="474">
      <c r="A474" s="66">
        <v>7470.0</v>
      </c>
      <c r="B474" s="66">
        <v>219.0</v>
      </c>
      <c r="C474" s="66">
        <v>71.0</v>
      </c>
      <c r="D474" s="66">
        <v>3.0</v>
      </c>
      <c r="E474" s="66">
        <v>7.0</v>
      </c>
      <c r="F474" s="66">
        <v>732.0</v>
      </c>
      <c r="G474" s="141">
        <v>83110.0</v>
      </c>
      <c r="H474" s="66">
        <v>8.0</v>
      </c>
      <c r="I474" s="132">
        <v>-940.45</v>
      </c>
      <c r="J474" s="133">
        <v>914.51</v>
      </c>
      <c r="K474" s="142">
        <v>71.0</v>
      </c>
      <c r="L474" s="111">
        <v>20.0</v>
      </c>
      <c r="M474" s="70">
        <v>830.0</v>
      </c>
      <c r="N474" s="24" t="s">
        <v>4586</v>
      </c>
    </row>
    <row r="475">
      <c r="A475" s="66">
        <v>7471.0</v>
      </c>
      <c r="B475" s="66">
        <v>213.0</v>
      </c>
      <c r="C475" s="66">
        <v>91.0</v>
      </c>
      <c r="D475" s="66">
        <v>9.0</v>
      </c>
      <c r="E475" s="66">
        <v>3.0</v>
      </c>
      <c r="F475" s="66">
        <v>200.0</v>
      </c>
      <c r="G475" s="141">
        <v>83193.0</v>
      </c>
      <c r="H475" s="66">
        <v>2.0</v>
      </c>
      <c r="I475" s="132">
        <v>1849.52</v>
      </c>
      <c r="J475" s="133">
        <v>38.28</v>
      </c>
      <c r="K475" s="142">
        <v>9.0</v>
      </c>
      <c r="L475" s="111">
        <v>22.0</v>
      </c>
      <c r="M475" s="70">
        <v>1730.0</v>
      </c>
      <c r="N475" s="24" t="s">
        <v>4587</v>
      </c>
    </row>
    <row r="476">
      <c r="A476" s="66">
        <v>7472.0</v>
      </c>
      <c r="B476" s="66">
        <v>206.0</v>
      </c>
      <c r="C476" s="66">
        <v>71.0</v>
      </c>
      <c r="D476" s="66">
        <v>4.0</v>
      </c>
      <c r="E476" s="66">
        <v>9.0</v>
      </c>
      <c r="F476" s="66">
        <v>313.0</v>
      </c>
      <c r="G476" s="141">
        <v>13105.0</v>
      </c>
      <c r="H476" s="66">
        <v>9.0</v>
      </c>
      <c r="I476" s="132">
        <v>17.86</v>
      </c>
      <c r="J476" s="133">
        <v>38500.72</v>
      </c>
      <c r="K476" s="142">
        <v>69.0</v>
      </c>
      <c r="L476" s="111">
        <v>22.0</v>
      </c>
      <c r="M476" s="70">
        <v>130.0</v>
      </c>
      <c r="N476" s="24" t="s">
        <v>4588</v>
      </c>
    </row>
    <row r="477">
      <c r="A477" s="66">
        <v>7473.0</v>
      </c>
      <c r="B477" s="66">
        <v>220.0</v>
      </c>
      <c r="C477" s="66">
        <v>71.0</v>
      </c>
      <c r="D477" s="66">
        <v>5.0</v>
      </c>
      <c r="E477" s="66">
        <v>5.0</v>
      </c>
      <c r="F477" s="66">
        <v>578.0</v>
      </c>
      <c r="G477" s="141">
        <v>93002.0</v>
      </c>
      <c r="H477" s="66">
        <v>3.0</v>
      </c>
      <c r="I477" s="132">
        <v>75.13</v>
      </c>
      <c r="J477" s="133">
        <v>-98384.45</v>
      </c>
      <c r="K477" s="142">
        <v>57.0</v>
      </c>
      <c r="L477" s="111">
        <v>22.0</v>
      </c>
      <c r="M477" s="70">
        <v>400.0</v>
      </c>
      <c r="N477" s="24" t="s">
        <v>4589</v>
      </c>
    </row>
    <row r="478">
      <c r="A478" s="66">
        <v>7474.0</v>
      </c>
      <c r="B478" s="66">
        <v>200.0</v>
      </c>
      <c r="C478" s="66">
        <v>71.0</v>
      </c>
      <c r="D478" s="66">
        <v>5.0</v>
      </c>
      <c r="E478" s="66">
        <v>9.0</v>
      </c>
      <c r="F478" s="66">
        <v>440.0</v>
      </c>
      <c r="G478" s="141">
        <v>33101.0</v>
      </c>
      <c r="H478" s="66">
        <v>9.0</v>
      </c>
      <c r="I478" s="132">
        <v>49659.7</v>
      </c>
      <c r="J478" s="133">
        <v>-35857.5</v>
      </c>
      <c r="K478" s="142">
        <v>90.0</v>
      </c>
      <c r="L478" s="111">
        <v>22.0</v>
      </c>
      <c r="M478" s="70">
        <v>900.0</v>
      </c>
      <c r="N478" s="24" t="s">
        <v>4590</v>
      </c>
    </row>
    <row r="479">
      <c r="A479" s="66">
        <v>7475.0</v>
      </c>
      <c r="B479" s="66">
        <v>214.0</v>
      </c>
      <c r="C479" s="66">
        <v>51.0</v>
      </c>
      <c r="D479" s="66">
        <v>1.0</v>
      </c>
      <c r="E479" s="66">
        <v>6.0</v>
      </c>
      <c r="F479" s="66">
        <v>340.0</v>
      </c>
      <c r="G479" s="141">
        <v>33197.0</v>
      </c>
      <c r="H479" s="66">
        <v>6.0</v>
      </c>
      <c r="I479" s="132">
        <v>21900.43</v>
      </c>
      <c r="J479" s="133">
        <v>2589.5</v>
      </c>
      <c r="K479" s="142">
        <v>39.0</v>
      </c>
      <c r="L479" s="111">
        <v>23.0</v>
      </c>
      <c r="M479" s="70">
        <v>2000.0</v>
      </c>
      <c r="N479" s="24" t="s">
        <v>4591</v>
      </c>
    </row>
    <row r="480">
      <c r="A480" s="66">
        <v>7476.0</v>
      </c>
      <c r="B480" s="66">
        <v>200.0</v>
      </c>
      <c r="C480" s="66">
        <v>71.0</v>
      </c>
      <c r="D480" s="66">
        <v>6.0</v>
      </c>
      <c r="E480" s="66">
        <v>4.0</v>
      </c>
      <c r="F480" s="66">
        <v>536.0</v>
      </c>
      <c r="G480" s="141">
        <v>113094.0</v>
      </c>
      <c r="H480" s="66">
        <v>9.0</v>
      </c>
      <c r="I480" s="132">
        <v>343.73</v>
      </c>
      <c r="J480" s="133">
        <v>-22108.66</v>
      </c>
      <c r="K480" s="142">
        <v>29.0</v>
      </c>
      <c r="L480" s="111">
        <v>20.0</v>
      </c>
      <c r="M480" s="70">
        <v>230.0</v>
      </c>
      <c r="N480" s="24" t="s">
        <v>4592</v>
      </c>
    </row>
    <row r="481">
      <c r="A481" s="66">
        <v>7477.0</v>
      </c>
      <c r="B481" s="66">
        <v>213.0</v>
      </c>
      <c r="C481" s="66">
        <v>71.0</v>
      </c>
      <c r="D481" s="66">
        <v>7.0</v>
      </c>
      <c r="E481" s="66">
        <v>5.0</v>
      </c>
      <c r="F481" s="66">
        <v>610.0</v>
      </c>
      <c r="G481" s="141">
        <v>83121.0</v>
      </c>
      <c r="H481" s="66">
        <v>8.0</v>
      </c>
      <c r="I481" s="132">
        <v>354.46</v>
      </c>
      <c r="J481" s="133">
        <v>16.89</v>
      </c>
      <c r="K481" s="142">
        <v>57.0</v>
      </c>
      <c r="L481" s="111">
        <v>21.0</v>
      </c>
      <c r="M481" s="70">
        <v>2000.0</v>
      </c>
      <c r="N481" s="24" t="s">
        <v>4593</v>
      </c>
    </row>
    <row r="482">
      <c r="A482" s="66">
        <v>7478.0</v>
      </c>
      <c r="B482" s="66">
        <v>203.0</v>
      </c>
      <c r="C482" s="66">
        <v>92.0</v>
      </c>
      <c r="D482" s="66">
        <v>2.0</v>
      </c>
      <c r="E482" s="66">
        <v>9.0</v>
      </c>
      <c r="F482" s="66">
        <v>747.0</v>
      </c>
      <c r="G482" s="141">
        <v>73101.0</v>
      </c>
      <c r="H482" s="66">
        <v>9.0</v>
      </c>
      <c r="I482" s="132">
        <v>-6807.86</v>
      </c>
      <c r="J482" s="133">
        <v>55098.32</v>
      </c>
      <c r="K482" s="142">
        <v>31.0</v>
      </c>
      <c r="L482" s="111">
        <v>20.0</v>
      </c>
      <c r="M482" s="70">
        <v>730.0</v>
      </c>
      <c r="N482" s="24" t="s">
        <v>4594</v>
      </c>
    </row>
    <row r="483">
      <c r="A483" s="66">
        <v>7479.0</v>
      </c>
      <c r="B483" s="66">
        <v>212.0</v>
      </c>
      <c r="C483" s="66">
        <v>71.0</v>
      </c>
      <c r="D483" s="66">
        <v>8.0</v>
      </c>
      <c r="E483" s="66">
        <v>1.0</v>
      </c>
      <c r="F483" s="66">
        <v>346.0</v>
      </c>
      <c r="G483" s="141">
        <v>123102.0</v>
      </c>
      <c r="H483" s="66">
        <v>7.0</v>
      </c>
      <c r="I483" s="132">
        <v>831.78</v>
      </c>
      <c r="J483" s="133">
        <v>250.11</v>
      </c>
      <c r="K483" s="142">
        <v>98.0</v>
      </c>
      <c r="L483" s="111">
        <v>22.0</v>
      </c>
      <c r="M483" s="70">
        <v>400.0</v>
      </c>
      <c r="N483" s="24" t="s">
        <v>4595</v>
      </c>
    </row>
    <row r="484">
      <c r="A484" s="66">
        <v>7480.0</v>
      </c>
      <c r="B484" s="66">
        <v>204.0</v>
      </c>
      <c r="C484" s="66">
        <v>71.0</v>
      </c>
      <c r="D484" s="66">
        <v>8.0</v>
      </c>
      <c r="E484" s="66">
        <v>5.0</v>
      </c>
      <c r="F484" s="66">
        <v>969.0</v>
      </c>
      <c r="G484" s="141">
        <v>53116.0</v>
      </c>
      <c r="H484" s="66">
        <v>5.0</v>
      </c>
      <c r="I484" s="132">
        <v>2943.56</v>
      </c>
      <c r="J484" s="133">
        <v>670.62</v>
      </c>
      <c r="K484" s="142">
        <v>57.0</v>
      </c>
      <c r="L484" s="111">
        <v>21.0</v>
      </c>
      <c r="M484" s="70">
        <v>500.0</v>
      </c>
      <c r="N484" s="24" t="s">
        <v>4596</v>
      </c>
    </row>
    <row r="485">
      <c r="A485" s="66">
        <v>7481.0</v>
      </c>
      <c r="B485" s="66">
        <v>209.0</v>
      </c>
      <c r="C485" s="66">
        <v>71.0</v>
      </c>
      <c r="D485" s="66">
        <v>8.0</v>
      </c>
      <c r="E485" s="66">
        <v>9.0</v>
      </c>
      <c r="F485" s="66">
        <v>140.0</v>
      </c>
      <c r="G485" s="141">
        <v>63021.0</v>
      </c>
      <c r="H485" s="66">
        <v>2.0</v>
      </c>
      <c r="I485" s="132">
        <v>-1388.1</v>
      </c>
      <c r="J485" s="133">
        <v>23.47</v>
      </c>
      <c r="K485" s="142">
        <v>97.0</v>
      </c>
      <c r="L485" s="111">
        <v>20.0</v>
      </c>
      <c r="M485" s="70">
        <v>1930.0</v>
      </c>
      <c r="N485" s="24" t="s">
        <v>4597</v>
      </c>
    </row>
    <row r="486">
      <c r="A486" s="66">
        <v>7482.0</v>
      </c>
      <c r="B486" s="66">
        <v>200.0</v>
      </c>
      <c r="C486" s="66">
        <v>51.0</v>
      </c>
      <c r="D486" s="66">
        <v>4.0</v>
      </c>
      <c r="E486" s="66">
        <v>3.0</v>
      </c>
      <c r="F486" s="66">
        <v>971.0</v>
      </c>
      <c r="G486" s="141">
        <v>63014.0</v>
      </c>
      <c r="H486" s="66">
        <v>2.0</v>
      </c>
      <c r="I486" s="132">
        <v>5903.16</v>
      </c>
      <c r="J486" s="133">
        <v>14.96</v>
      </c>
      <c r="K486" s="142">
        <v>57.0</v>
      </c>
      <c r="L486" s="111">
        <v>22.0</v>
      </c>
      <c r="M486" s="70">
        <v>1200.0</v>
      </c>
      <c r="N486" s="24" t="s">
        <v>4598</v>
      </c>
    </row>
    <row r="487">
      <c r="A487" s="66">
        <v>7483.0</v>
      </c>
      <c r="B487" s="66">
        <v>215.0</v>
      </c>
      <c r="C487" s="66">
        <v>51.0</v>
      </c>
      <c r="D487" s="66">
        <v>5.0</v>
      </c>
      <c r="E487" s="66">
        <v>4.0</v>
      </c>
      <c r="F487" s="66">
        <v>378.0</v>
      </c>
      <c r="G487" s="141">
        <v>93009.0</v>
      </c>
      <c r="H487" s="66">
        <v>6.0</v>
      </c>
      <c r="I487" s="132">
        <v>59958.79</v>
      </c>
      <c r="J487" s="133">
        <v>44184.95</v>
      </c>
      <c r="K487" s="142">
        <v>45.0</v>
      </c>
      <c r="L487" s="111">
        <v>20.0</v>
      </c>
      <c r="M487" s="70">
        <v>2230.0</v>
      </c>
      <c r="N487" s="24" t="s">
        <v>4599</v>
      </c>
    </row>
    <row r="488">
      <c r="A488" s="66">
        <v>7484.0</v>
      </c>
      <c r="B488" s="66">
        <v>219.0</v>
      </c>
      <c r="C488" s="66">
        <v>51.0</v>
      </c>
      <c r="D488" s="66">
        <v>6.0</v>
      </c>
      <c r="E488" s="66">
        <v>4.0</v>
      </c>
      <c r="F488" s="66">
        <v>905.0</v>
      </c>
      <c r="G488" s="141">
        <v>103116.0</v>
      </c>
      <c r="H488" s="66">
        <v>2.0</v>
      </c>
      <c r="I488" s="132">
        <v>53438.14</v>
      </c>
      <c r="J488" s="133">
        <v>93.54</v>
      </c>
      <c r="K488" s="142">
        <v>52.0</v>
      </c>
      <c r="L488" s="111">
        <v>21.0</v>
      </c>
      <c r="M488" s="70">
        <v>1100.0</v>
      </c>
      <c r="N488" s="24" t="s">
        <v>4600</v>
      </c>
    </row>
    <row r="489">
      <c r="A489" s="66">
        <v>7485.0</v>
      </c>
      <c r="B489" s="66">
        <v>202.0</v>
      </c>
      <c r="C489" s="66">
        <v>51.0</v>
      </c>
      <c r="D489" s="66">
        <v>6.0</v>
      </c>
      <c r="E489" s="66">
        <v>6.0</v>
      </c>
      <c r="F489" s="66">
        <v>169.0</v>
      </c>
      <c r="G489" s="141">
        <v>43007.0</v>
      </c>
      <c r="H489" s="66">
        <v>2.0</v>
      </c>
      <c r="I489" s="132">
        <v>366.83</v>
      </c>
      <c r="J489" s="133">
        <v>-136.25</v>
      </c>
      <c r="K489" s="142">
        <v>1.0</v>
      </c>
      <c r="L489" s="111">
        <v>22.0</v>
      </c>
      <c r="M489" s="70">
        <v>300.0</v>
      </c>
      <c r="N489" s="24" t="s">
        <v>4601</v>
      </c>
    </row>
    <row r="490">
      <c r="A490" s="66">
        <v>7486.0</v>
      </c>
      <c r="B490" s="66">
        <v>204.0</v>
      </c>
      <c r="C490" s="66">
        <v>92.0</v>
      </c>
      <c r="D490" s="66">
        <v>6.0</v>
      </c>
      <c r="E490" s="66">
        <v>3.0</v>
      </c>
      <c r="F490" s="66">
        <v>865.0</v>
      </c>
      <c r="G490" s="141">
        <v>22811.0</v>
      </c>
      <c r="H490" s="66">
        <v>6.0</v>
      </c>
      <c r="I490" s="132">
        <v>142.76</v>
      </c>
      <c r="J490" s="133">
        <v>84697.15</v>
      </c>
      <c r="K490" s="142">
        <v>2.0</v>
      </c>
      <c r="L490" s="111">
        <v>21.0</v>
      </c>
      <c r="M490" s="70">
        <v>1900.0</v>
      </c>
      <c r="N490" s="24" t="s">
        <v>4602</v>
      </c>
    </row>
    <row r="491">
      <c r="A491" s="66">
        <v>7487.0</v>
      </c>
      <c r="B491" s="66">
        <v>205.0</v>
      </c>
      <c r="C491" s="66">
        <v>72.0</v>
      </c>
      <c r="D491" s="66">
        <v>1.0</v>
      </c>
      <c r="E491" s="66">
        <v>4.0</v>
      </c>
      <c r="F491" s="66">
        <v>573.0</v>
      </c>
      <c r="G491" s="141">
        <v>83115.0</v>
      </c>
      <c r="H491" s="66">
        <v>2.0</v>
      </c>
      <c r="I491" s="132">
        <v>-7650.55</v>
      </c>
      <c r="J491" s="133">
        <v>30.8</v>
      </c>
      <c r="K491" s="142">
        <v>26.0</v>
      </c>
      <c r="L491" s="111">
        <v>20.0</v>
      </c>
      <c r="M491" s="70">
        <v>300.0</v>
      </c>
      <c r="N491" s="24" t="s">
        <v>4603</v>
      </c>
    </row>
    <row r="492">
      <c r="A492" s="66">
        <v>7488.0</v>
      </c>
      <c r="B492" s="66">
        <v>217.0</v>
      </c>
      <c r="C492" s="66">
        <v>31.0</v>
      </c>
      <c r="D492" s="66">
        <v>2.0</v>
      </c>
      <c r="E492" s="66">
        <v>1.0</v>
      </c>
      <c r="F492" s="66">
        <v>611.0</v>
      </c>
      <c r="G492" s="141">
        <v>123101.0</v>
      </c>
      <c r="H492" s="66">
        <v>1.0</v>
      </c>
      <c r="I492" s="132">
        <v>63.85</v>
      </c>
      <c r="J492" s="133">
        <v>3310.49</v>
      </c>
      <c r="K492" s="142">
        <v>96.0</v>
      </c>
      <c r="L492" s="111">
        <v>23.0</v>
      </c>
      <c r="M492" s="70">
        <v>1100.0</v>
      </c>
      <c r="N492" s="24" t="s">
        <v>4604</v>
      </c>
    </row>
    <row r="493">
      <c r="A493" s="66">
        <v>7489.0</v>
      </c>
      <c r="B493" s="66">
        <v>210.0</v>
      </c>
      <c r="C493" s="66">
        <v>51.0</v>
      </c>
      <c r="D493" s="66">
        <v>7.0</v>
      </c>
      <c r="E493" s="66">
        <v>1.0</v>
      </c>
      <c r="F493" s="66">
        <v>162.0</v>
      </c>
      <c r="G493" s="141">
        <v>83118.0</v>
      </c>
      <c r="H493" s="66">
        <v>8.0</v>
      </c>
      <c r="I493" s="132">
        <v>54.84</v>
      </c>
      <c r="J493" s="133">
        <v>-76.52</v>
      </c>
      <c r="K493" s="142">
        <v>99.0</v>
      </c>
      <c r="L493" s="111">
        <v>23.0</v>
      </c>
      <c r="M493" s="70">
        <v>600.0</v>
      </c>
      <c r="N493" s="24" t="s">
        <v>4605</v>
      </c>
    </row>
    <row r="494">
      <c r="A494" s="66">
        <v>7490.0</v>
      </c>
      <c r="B494" s="66">
        <v>204.0</v>
      </c>
      <c r="C494" s="66">
        <v>72.0</v>
      </c>
      <c r="D494" s="66">
        <v>2.0</v>
      </c>
      <c r="E494" s="66">
        <v>8.0</v>
      </c>
      <c r="F494" s="66">
        <v>269.0</v>
      </c>
      <c r="G494" s="141">
        <v>113099.0</v>
      </c>
      <c r="H494" s="66">
        <v>8.0</v>
      </c>
      <c r="I494" s="132">
        <v>1586.37</v>
      </c>
      <c r="J494" s="133">
        <v>20627.83</v>
      </c>
      <c r="K494" s="142">
        <v>55.0</v>
      </c>
      <c r="L494" s="111">
        <v>20.0</v>
      </c>
      <c r="M494" s="70">
        <v>1730.0</v>
      </c>
      <c r="N494" s="24" t="s">
        <v>4606</v>
      </c>
    </row>
    <row r="495">
      <c r="A495" s="66">
        <v>7491.0</v>
      </c>
      <c r="B495" s="66">
        <v>203.0</v>
      </c>
      <c r="C495" s="66">
        <v>51.0</v>
      </c>
      <c r="D495" s="66">
        <v>8.0</v>
      </c>
      <c r="E495" s="66">
        <v>2.0</v>
      </c>
      <c r="F495" s="66">
        <v>979.0</v>
      </c>
      <c r="G495" s="141">
        <v>103100.0</v>
      </c>
      <c r="H495" s="66">
        <v>3.0</v>
      </c>
      <c r="I495" s="132">
        <v>-57.16</v>
      </c>
      <c r="J495" s="133">
        <v>-54168.19</v>
      </c>
      <c r="K495" s="142">
        <v>81.0</v>
      </c>
      <c r="L495" s="111">
        <v>22.0</v>
      </c>
      <c r="M495" s="70">
        <v>1800.0</v>
      </c>
      <c r="N495" s="24" t="s">
        <v>4607</v>
      </c>
    </row>
    <row r="496">
      <c r="A496" s="66">
        <v>7492.0</v>
      </c>
      <c r="B496" s="66">
        <v>203.0</v>
      </c>
      <c r="C496" s="66">
        <v>92.0</v>
      </c>
      <c r="D496" s="66">
        <v>7.0</v>
      </c>
      <c r="E496" s="66">
        <v>9.0</v>
      </c>
      <c r="F496" s="66">
        <v>975.0</v>
      </c>
      <c r="G496" s="141">
        <v>103196.0</v>
      </c>
      <c r="H496" s="66">
        <v>4.0</v>
      </c>
      <c r="I496" s="132">
        <v>891.64</v>
      </c>
      <c r="J496" s="133">
        <v>7139.67</v>
      </c>
      <c r="K496" s="142">
        <v>28.0</v>
      </c>
      <c r="L496" s="111">
        <v>20.0</v>
      </c>
      <c r="M496" s="70">
        <v>800.0</v>
      </c>
      <c r="N496" s="24" t="s">
        <v>4608</v>
      </c>
    </row>
    <row r="497">
      <c r="A497" s="66">
        <v>7493.0</v>
      </c>
      <c r="B497" s="66">
        <v>203.0</v>
      </c>
      <c r="C497" s="66">
        <v>51.0</v>
      </c>
      <c r="D497" s="66">
        <v>8.0</v>
      </c>
      <c r="E497" s="66">
        <v>4.0</v>
      </c>
      <c r="F497" s="66">
        <v>383.0</v>
      </c>
      <c r="G497" s="141">
        <v>33100.0</v>
      </c>
      <c r="H497" s="66">
        <v>6.0</v>
      </c>
      <c r="I497" s="132">
        <v>6879.12</v>
      </c>
      <c r="J497" s="133">
        <v>28.45</v>
      </c>
      <c r="K497" s="142">
        <v>21.0</v>
      </c>
      <c r="L497" s="111">
        <v>23.0</v>
      </c>
      <c r="M497" s="70">
        <v>900.0</v>
      </c>
      <c r="N497" s="24" t="s">
        <v>4609</v>
      </c>
    </row>
    <row r="498">
      <c r="A498" s="66">
        <v>7494.0</v>
      </c>
      <c r="B498" s="66">
        <v>217.0</v>
      </c>
      <c r="C498" s="66">
        <v>92.0</v>
      </c>
      <c r="D498" s="66">
        <v>8.0</v>
      </c>
      <c r="E498" s="66">
        <v>1.0</v>
      </c>
      <c r="F498" s="66">
        <v>539.0</v>
      </c>
      <c r="G498" s="141">
        <v>93003.0</v>
      </c>
      <c r="H498" s="66">
        <v>8.0</v>
      </c>
      <c r="I498" s="132">
        <v>5936.84</v>
      </c>
      <c r="J498" s="133">
        <v>-6176.51</v>
      </c>
      <c r="K498" s="142">
        <v>69.0</v>
      </c>
      <c r="L498" s="111">
        <v>21.0</v>
      </c>
      <c r="M498" s="70">
        <v>2000.0</v>
      </c>
      <c r="N498" s="24" t="s">
        <v>4610</v>
      </c>
    </row>
    <row r="499">
      <c r="A499" s="66">
        <v>7495.0</v>
      </c>
      <c r="B499" s="66">
        <v>217.0</v>
      </c>
      <c r="C499" s="66">
        <v>51.0</v>
      </c>
      <c r="D499" s="66">
        <v>8.0</v>
      </c>
      <c r="E499" s="66">
        <v>5.0</v>
      </c>
      <c r="F499" s="66">
        <v>633.0</v>
      </c>
      <c r="G499" s="141">
        <v>63096.0</v>
      </c>
      <c r="H499" s="66">
        <v>3.0</v>
      </c>
      <c r="I499" s="132">
        <v>88433.9</v>
      </c>
      <c r="J499" s="133">
        <v>61.61</v>
      </c>
      <c r="K499" s="142">
        <v>7.0</v>
      </c>
      <c r="L499" s="111">
        <v>21.0</v>
      </c>
      <c r="M499" s="70">
        <v>500.0</v>
      </c>
      <c r="N499" s="24" t="s">
        <v>4611</v>
      </c>
    </row>
    <row r="500">
      <c r="A500" s="66">
        <v>7496.0</v>
      </c>
      <c r="B500" s="66">
        <v>220.0</v>
      </c>
      <c r="C500" s="66">
        <v>51.0</v>
      </c>
      <c r="D500" s="66">
        <v>8.0</v>
      </c>
      <c r="E500" s="66">
        <v>7.0</v>
      </c>
      <c r="F500" s="66">
        <v>970.0</v>
      </c>
      <c r="G500" s="141">
        <v>73191.0</v>
      </c>
      <c r="H500" s="66">
        <v>1.0</v>
      </c>
      <c r="I500" s="132">
        <v>9676.6</v>
      </c>
      <c r="J500" s="133">
        <v>-86437.55</v>
      </c>
      <c r="K500" s="142">
        <v>81.0</v>
      </c>
      <c r="L500" s="111">
        <v>23.0</v>
      </c>
      <c r="M500" s="70">
        <v>300.0</v>
      </c>
      <c r="N500" s="24" t="s">
        <v>4612</v>
      </c>
    </row>
    <row r="501">
      <c r="A501" s="66">
        <v>7497.0</v>
      </c>
      <c r="B501" s="66">
        <v>212.0</v>
      </c>
      <c r="C501" s="66">
        <v>92.0</v>
      </c>
      <c r="D501" s="66">
        <v>8.0</v>
      </c>
      <c r="E501" s="66">
        <v>3.0</v>
      </c>
      <c r="F501" s="66">
        <v>766.0</v>
      </c>
      <c r="G501" s="141">
        <v>63095.0</v>
      </c>
      <c r="H501" s="66">
        <v>7.0</v>
      </c>
      <c r="I501" s="132">
        <v>-537.81</v>
      </c>
      <c r="J501" s="133">
        <v>7343.75</v>
      </c>
      <c r="K501" s="142">
        <v>58.0</v>
      </c>
      <c r="L501" s="111">
        <v>23.0</v>
      </c>
      <c r="M501" s="70">
        <v>530.0</v>
      </c>
      <c r="N501" s="24" t="s">
        <v>4613</v>
      </c>
    </row>
    <row r="502">
      <c r="A502" s="66">
        <v>7498.0</v>
      </c>
      <c r="B502" s="66">
        <v>218.0</v>
      </c>
      <c r="C502" s="66">
        <v>72.0</v>
      </c>
      <c r="D502" s="66">
        <v>3.0</v>
      </c>
      <c r="E502" s="66">
        <v>6.0</v>
      </c>
      <c r="F502" s="66">
        <v>147.0</v>
      </c>
      <c r="G502" s="141">
        <v>33192.0</v>
      </c>
      <c r="H502" s="66">
        <v>4.0</v>
      </c>
      <c r="I502" s="132">
        <v>-59.37</v>
      </c>
      <c r="J502" s="133">
        <v>734.21</v>
      </c>
      <c r="K502" s="142">
        <v>48.0</v>
      </c>
      <c r="L502" s="111">
        <v>20.0</v>
      </c>
      <c r="M502" s="70">
        <v>2330.0</v>
      </c>
      <c r="N502" s="24" t="s">
        <v>4614</v>
      </c>
    </row>
    <row r="503">
      <c r="A503" s="66">
        <v>7499.0</v>
      </c>
      <c r="B503" s="66">
        <v>207.0</v>
      </c>
      <c r="C503" s="66">
        <v>92.0</v>
      </c>
      <c r="D503" s="66">
        <v>8.0</v>
      </c>
      <c r="E503" s="66">
        <v>2.0</v>
      </c>
      <c r="F503" s="66">
        <v>341.0</v>
      </c>
      <c r="G503" s="141">
        <v>53112.0</v>
      </c>
      <c r="H503" s="66">
        <v>2.0</v>
      </c>
      <c r="I503" s="132">
        <v>-419.4</v>
      </c>
      <c r="J503" s="133">
        <v>55.97</v>
      </c>
      <c r="K503" s="142">
        <v>34.0</v>
      </c>
      <c r="L503" s="111">
        <v>22.0</v>
      </c>
      <c r="M503" s="70">
        <v>2130.0</v>
      </c>
      <c r="N503" s="24" t="s">
        <v>4615</v>
      </c>
    </row>
    <row r="504">
      <c r="A504" s="66">
        <v>7500.0</v>
      </c>
      <c r="B504" s="66">
        <v>200.0</v>
      </c>
      <c r="C504" s="66">
        <v>72.0</v>
      </c>
      <c r="D504" s="66">
        <v>4.0</v>
      </c>
      <c r="E504" s="66">
        <v>1.0</v>
      </c>
      <c r="F504" s="66">
        <v>636.0</v>
      </c>
      <c r="G504" s="141">
        <v>123100.0</v>
      </c>
      <c r="H504" s="66">
        <v>3.0</v>
      </c>
      <c r="I504" s="132">
        <v>37.7</v>
      </c>
      <c r="J504" s="133">
        <v>5772.11</v>
      </c>
      <c r="K504" s="142">
        <v>28.0</v>
      </c>
      <c r="L504" s="111">
        <v>20.0</v>
      </c>
      <c r="M504" s="70">
        <v>200.0</v>
      </c>
      <c r="N504" s="24" t="s">
        <v>4616</v>
      </c>
    </row>
    <row r="505">
      <c r="A505" s="66">
        <v>7501.0</v>
      </c>
      <c r="B505" s="66">
        <v>204.0</v>
      </c>
      <c r="C505" s="66">
        <v>51.0</v>
      </c>
      <c r="D505" s="66">
        <v>9.0</v>
      </c>
      <c r="E505" s="66">
        <v>3.0</v>
      </c>
      <c r="F505" s="66">
        <v>904.0</v>
      </c>
      <c r="G505" s="141">
        <v>63011.0</v>
      </c>
      <c r="H505" s="66">
        <v>5.0</v>
      </c>
      <c r="I505" s="132">
        <v>-84.1</v>
      </c>
      <c r="J505" s="133">
        <v>1622.44</v>
      </c>
      <c r="K505" s="142">
        <v>88.0</v>
      </c>
      <c r="L505" s="111">
        <v>23.0</v>
      </c>
      <c r="M505" s="70">
        <v>2030.0</v>
      </c>
      <c r="N505" s="24" t="s">
        <v>4617</v>
      </c>
    </row>
    <row r="506">
      <c r="A506" s="66">
        <v>7502.0</v>
      </c>
      <c r="B506" s="66">
        <v>217.0</v>
      </c>
      <c r="C506" s="66">
        <v>92.0</v>
      </c>
      <c r="D506" s="66">
        <v>8.0</v>
      </c>
      <c r="E506" s="66">
        <v>9.0</v>
      </c>
      <c r="F506" s="66">
        <v>442.0</v>
      </c>
      <c r="G506" s="141">
        <v>123198.0</v>
      </c>
      <c r="H506" s="66">
        <v>3.0</v>
      </c>
      <c r="I506" s="132">
        <v>-753.42</v>
      </c>
      <c r="J506" s="133">
        <v>95.99</v>
      </c>
      <c r="K506" s="142">
        <v>61.0</v>
      </c>
      <c r="L506" s="111">
        <v>20.0</v>
      </c>
      <c r="M506" s="70">
        <v>1330.0</v>
      </c>
      <c r="N506" s="24" t="s">
        <v>4618</v>
      </c>
    </row>
    <row r="507">
      <c r="A507" s="66">
        <v>7503.0</v>
      </c>
      <c r="B507" s="66">
        <v>208.0</v>
      </c>
      <c r="C507" s="66">
        <v>92.0</v>
      </c>
      <c r="D507" s="66">
        <v>9.0</v>
      </c>
      <c r="E507" s="66">
        <v>2.0</v>
      </c>
      <c r="F507" s="66">
        <v>500.0</v>
      </c>
      <c r="G507" s="141">
        <v>93092.0</v>
      </c>
      <c r="H507" s="66">
        <v>9.0</v>
      </c>
      <c r="I507" s="132">
        <v>61.89</v>
      </c>
      <c r="J507" s="133">
        <v>-81242.76</v>
      </c>
      <c r="K507" s="142">
        <v>51.0</v>
      </c>
      <c r="L507" s="111">
        <v>20.0</v>
      </c>
      <c r="M507" s="70">
        <v>930.0</v>
      </c>
      <c r="N507" s="24" t="s">
        <v>4619</v>
      </c>
    </row>
    <row r="508">
      <c r="A508" s="66">
        <v>7504.0</v>
      </c>
      <c r="B508" s="66">
        <v>210.0</v>
      </c>
      <c r="C508" s="66">
        <v>92.0</v>
      </c>
      <c r="D508" s="66">
        <v>9.0</v>
      </c>
      <c r="E508" s="66">
        <v>3.0</v>
      </c>
      <c r="F508" s="66">
        <v>936.0</v>
      </c>
      <c r="G508" s="141">
        <v>63092.0</v>
      </c>
      <c r="H508" s="66">
        <v>1.0</v>
      </c>
      <c r="I508" s="132">
        <v>91.56</v>
      </c>
      <c r="J508" s="133">
        <v>598.48</v>
      </c>
      <c r="K508" s="142">
        <v>73.0</v>
      </c>
      <c r="L508" s="111">
        <v>22.0</v>
      </c>
      <c r="M508" s="70">
        <v>1930.0</v>
      </c>
      <c r="N508" s="24" t="s">
        <v>4620</v>
      </c>
    </row>
    <row r="509">
      <c r="A509" s="66">
        <v>7505.0</v>
      </c>
      <c r="B509" s="66">
        <v>207.0</v>
      </c>
      <c r="C509" s="66">
        <v>51.0</v>
      </c>
      <c r="D509" s="66">
        <v>9.0</v>
      </c>
      <c r="E509" s="66">
        <v>5.0</v>
      </c>
      <c r="F509" s="66">
        <v>117.0</v>
      </c>
      <c r="G509" s="141">
        <v>53121.0</v>
      </c>
      <c r="H509" s="66">
        <v>6.0</v>
      </c>
      <c r="I509" s="132">
        <v>408.6</v>
      </c>
      <c r="J509" s="133">
        <v>719.2</v>
      </c>
      <c r="K509" s="142">
        <v>50.0</v>
      </c>
      <c r="L509" s="111">
        <v>23.0</v>
      </c>
      <c r="M509" s="70">
        <v>1130.0</v>
      </c>
      <c r="N509" s="24" t="s">
        <v>4621</v>
      </c>
    </row>
    <row r="510">
      <c r="A510" s="66">
        <v>7506.0</v>
      </c>
      <c r="B510" s="66">
        <v>219.0</v>
      </c>
      <c r="C510" s="66">
        <v>72.0</v>
      </c>
      <c r="D510" s="66">
        <v>5.0</v>
      </c>
      <c r="E510" s="66">
        <v>1.0</v>
      </c>
      <c r="F510" s="66">
        <v>567.0</v>
      </c>
      <c r="G510" s="141">
        <v>103192.0</v>
      </c>
      <c r="H510" s="66">
        <v>1.0</v>
      </c>
      <c r="I510" s="132">
        <v>6564.0</v>
      </c>
      <c r="J510" s="133">
        <v>-373.15</v>
      </c>
      <c r="K510" s="142">
        <v>33.0</v>
      </c>
      <c r="L510" s="111">
        <v>21.0</v>
      </c>
      <c r="M510" s="70">
        <v>400.0</v>
      </c>
      <c r="N510" s="24" t="s">
        <v>4622</v>
      </c>
    </row>
    <row r="511">
      <c r="A511" s="66">
        <v>7507.0</v>
      </c>
      <c r="B511" s="66">
        <v>205.0</v>
      </c>
      <c r="C511" s="66">
        <v>92.0</v>
      </c>
      <c r="D511" s="66">
        <v>9.0</v>
      </c>
      <c r="E511" s="66">
        <v>9.0</v>
      </c>
      <c r="F511" s="66">
        <v>172.0</v>
      </c>
      <c r="G511" s="141">
        <v>53104.0</v>
      </c>
      <c r="H511" s="66">
        <v>8.0</v>
      </c>
      <c r="I511" s="132">
        <v>104.39</v>
      </c>
      <c r="J511" s="133">
        <v>9117.21</v>
      </c>
      <c r="K511" s="142">
        <v>18.0</v>
      </c>
      <c r="L511" s="111">
        <v>21.0</v>
      </c>
      <c r="M511" s="70">
        <v>2100.0</v>
      </c>
      <c r="N511" s="24" t="s">
        <v>4623</v>
      </c>
    </row>
    <row r="512">
      <c r="A512" s="66">
        <v>7508.0</v>
      </c>
      <c r="B512" s="66">
        <v>216.0</v>
      </c>
      <c r="C512" s="66">
        <v>31.0</v>
      </c>
      <c r="D512" s="66">
        <v>5.0</v>
      </c>
      <c r="E512" s="66">
        <v>7.0</v>
      </c>
      <c r="F512" s="66">
        <v>766.0</v>
      </c>
      <c r="G512" s="141">
        <v>123103.0</v>
      </c>
      <c r="H512" s="66">
        <v>6.0</v>
      </c>
      <c r="I512" s="132">
        <v>259.1</v>
      </c>
      <c r="J512" s="133">
        <v>95487.6</v>
      </c>
      <c r="K512" s="142">
        <v>57.0</v>
      </c>
      <c r="L512" s="111">
        <v>20.0</v>
      </c>
      <c r="M512" s="70">
        <v>1930.0</v>
      </c>
      <c r="N512" s="24" t="s">
        <v>4624</v>
      </c>
    </row>
    <row r="513">
      <c r="A513" s="66">
        <v>7509.0</v>
      </c>
      <c r="B513" s="66">
        <v>212.0</v>
      </c>
      <c r="C513" s="66">
        <v>31.0</v>
      </c>
      <c r="D513" s="66">
        <v>6.0</v>
      </c>
      <c r="E513" s="66">
        <v>2.0</v>
      </c>
      <c r="F513" s="66">
        <v>538.0</v>
      </c>
      <c r="G513" s="141">
        <v>13114.0</v>
      </c>
      <c r="H513" s="66">
        <v>7.0</v>
      </c>
      <c r="I513" s="132">
        <v>-48.16</v>
      </c>
      <c r="J513" s="133">
        <v>70.78</v>
      </c>
      <c r="K513" s="142">
        <v>87.0</v>
      </c>
      <c r="L513" s="111">
        <v>21.0</v>
      </c>
      <c r="M513" s="70">
        <v>2130.0</v>
      </c>
      <c r="N513" s="24" t="s">
        <v>4625</v>
      </c>
    </row>
    <row r="514">
      <c r="A514" s="66">
        <v>7510.0</v>
      </c>
      <c r="B514" s="66">
        <v>209.0</v>
      </c>
      <c r="C514" s="66">
        <v>31.0</v>
      </c>
      <c r="D514" s="66">
        <v>6.0</v>
      </c>
      <c r="E514" s="66">
        <v>3.0</v>
      </c>
      <c r="F514" s="66">
        <v>466.0</v>
      </c>
      <c r="G514" s="141">
        <v>22893.0</v>
      </c>
      <c r="H514" s="66">
        <v>7.0</v>
      </c>
      <c r="I514" s="132">
        <v>3099.73</v>
      </c>
      <c r="J514" s="133">
        <v>6328.88</v>
      </c>
      <c r="K514" s="142">
        <v>37.0</v>
      </c>
      <c r="L514" s="111">
        <v>23.0</v>
      </c>
      <c r="M514" s="70">
        <v>330.0</v>
      </c>
      <c r="N514" s="24" t="s">
        <v>4626</v>
      </c>
    </row>
    <row r="515">
      <c r="A515" s="66">
        <v>7511.0</v>
      </c>
      <c r="B515" s="66">
        <v>207.0</v>
      </c>
      <c r="C515" s="66">
        <v>52.0</v>
      </c>
      <c r="D515" s="66">
        <v>1.0</v>
      </c>
      <c r="E515" s="66">
        <v>2.0</v>
      </c>
      <c r="F515" s="66">
        <v>645.0</v>
      </c>
      <c r="G515" s="141">
        <v>22900.0</v>
      </c>
      <c r="H515" s="66">
        <v>2.0</v>
      </c>
      <c r="I515" s="132">
        <v>-41.63</v>
      </c>
      <c r="J515" s="133">
        <v>38064.7</v>
      </c>
      <c r="K515" s="142">
        <v>56.0</v>
      </c>
      <c r="L515" s="111">
        <v>21.0</v>
      </c>
      <c r="M515" s="70">
        <v>500.0</v>
      </c>
      <c r="N515" s="24" t="s">
        <v>4627</v>
      </c>
    </row>
    <row r="516">
      <c r="A516" s="66">
        <v>7512.0</v>
      </c>
      <c r="B516" s="66">
        <v>200.0</v>
      </c>
      <c r="C516" s="66">
        <v>52.0</v>
      </c>
      <c r="D516" s="66">
        <v>1.0</v>
      </c>
      <c r="E516" s="66">
        <v>3.0</v>
      </c>
      <c r="F516" s="66">
        <v>372.0</v>
      </c>
      <c r="G516" s="141">
        <v>33190.0</v>
      </c>
      <c r="H516" s="66">
        <v>2.0</v>
      </c>
      <c r="I516" s="132">
        <v>51.2</v>
      </c>
      <c r="J516" s="133">
        <v>8084.48</v>
      </c>
      <c r="K516" s="142">
        <v>88.0</v>
      </c>
      <c r="L516" s="111">
        <v>23.0</v>
      </c>
      <c r="M516" s="70">
        <v>1300.0</v>
      </c>
      <c r="N516" s="24" t="s">
        <v>4628</v>
      </c>
    </row>
    <row r="517">
      <c r="A517" s="66">
        <v>7513.0</v>
      </c>
      <c r="B517" s="66">
        <v>211.0</v>
      </c>
      <c r="C517" s="66">
        <v>72.0</v>
      </c>
      <c r="D517" s="66">
        <v>6.0</v>
      </c>
      <c r="E517" s="66">
        <v>3.0</v>
      </c>
      <c r="F517" s="66">
        <v>556.0</v>
      </c>
      <c r="G517" s="141">
        <v>63097.0</v>
      </c>
      <c r="H517" s="66">
        <v>8.0</v>
      </c>
      <c r="I517" s="132">
        <v>-29759.59</v>
      </c>
      <c r="J517" s="133">
        <v>34778.47</v>
      </c>
      <c r="K517" s="142">
        <v>18.0</v>
      </c>
      <c r="L517" s="111">
        <v>20.0</v>
      </c>
      <c r="M517" s="70">
        <v>830.0</v>
      </c>
      <c r="N517" s="24" t="s">
        <v>4629</v>
      </c>
    </row>
    <row r="518">
      <c r="A518" s="66">
        <v>7514.0</v>
      </c>
      <c r="B518" s="66">
        <v>201.0</v>
      </c>
      <c r="C518" s="66">
        <v>11.0</v>
      </c>
      <c r="D518" s="66">
        <v>2.0</v>
      </c>
      <c r="E518" s="66">
        <v>1.0</v>
      </c>
      <c r="F518" s="66">
        <v>146.0</v>
      </c>
      <c r="G518" s="141">
        <v>103105.0</v>
      </c>
      <c r="H518" s="66">
        <v>2.0</v>
      </c>
      <c r="I518" s="132">
        <v>78342.56</v>
      </c>
      <c r="J518" s="133">
        <v>3814.16</v>
      </c>
      <c r="K518" s="142">
        <v>66.0</v>
      </c>
      <c r="L518" s="111">
        <v>23.0</v>
      </c>
      <c r="M518" s="70">
        <v>100.0</v>
      </c>
      <c r="N518" s="24" t="s">
        <v>4630</v>
      </c>
    </row>
    <row r="519">
      <c r="A519" s="66">
        <v>7515.0</v>
      </c>
      <c r="B519" s="66">
        <v>216.0</v>
      </c>
      <c r="C519" s="66">
        <v>52.0</v>
      </c>
      <c r="D519" s="66">
        <v>1.0</v>
      </c>
      <c r="E519" s="66">
        <v>7.0</v>
      </c>
      <c r="F519" s="66">
        <v>383.0</v>
      </c>
      <c r="G519" s="141">
        <v>93016.0</v>
      </c>
      <c r="H519" s="66">
        <v>6.0</v>
      </c>
      <c r="I519" s="132">
        <v>-400.4</v>
      </c>
      <c r="J519" s="133">
        <v>-81.21</v>
      </c>
      <c r="K519" s="142">
        <v>9.0</v>
      </c>
      <c r="L519" s="111">
        <v>22.0</v>
      </c>
      <c r="M519" s="70">
        <v>1300.0</v>
      </c>
      <c r="N519" s="24" t="s">
        <v>4631</v>
      </c>
    </row>
    <row r="520">
      <c r="A520" s="66">
        <v>7516.0</v>
      </c>
      <c r="B520" s="66">
        <v>213.0</v>
      </c>
      <c r="C520" s="66">
        <v>93.0</v>
      </c>
      <c r="D520" s="66">
        <v>1.0</v>
      </c>
      <c r="E520" s="66">
        <v>6.0</v>
      </c>
      <c r="F520" s="66">
        <v>339.0</v>
      </c>
      <c r="G520" s="141">
        <v>22809.0</v>
      </c>
      <c r="H520" s="66">
        <v>3.0</v>
      </c>
      <c r="I520" s="132">
        <v>56635.69</v>
      </c>
      <c r="J520" s="133">
        <v>20.49</v>
      </c>
      <c r="K520" s="142">
        <v>1.0</v>
      </c>
      <c r="L520" s="111">
        <v>23.0</v>
      </c>
      <c r="M520" s="70">
        <v>1730.0</v>
      </c>
      <c r="N520" s="24" t="s">
        <v>4632</v>
      </c>
    </row>
    <row r="521">
      <c r="A521" s="66">
        <v>7517.0</v>
      </c>
      <c r="B521" s="66">
        <v>204.0</v>
      </c>
      <c r="C521" s="66">
        <v>11.0</v>
      </c>
      <c r="D521" s="66">
        <v>2.0</v>
      </c>
      <c r="E521" s="66">
        <v>4.0</v>
      </c>
      <c r="F521" s="66">
        <v>810.0</v>
      </c>
      <c r="G521" s="141">
        <v>63008.0</v>
      </c>
      <c r="H521" s="66">
        <v>7.0</v>
      </c>
      <c r="I521" s="132">
        <v>826.51</v>
      </c>
      <c r="J521" s="133">
        <v>34818.14</v>
      </c>
      <c r="K521" s="142">
        <v>18.0</v>
      </c>
      <c r="L521" s="111">
        <v>22.0</v>
      </c>
      <c r="M521" s="70">
        <v>2230.0</v>
      </c>
      <c r="N521" s="24" t="s">
        <v>4633</v>
      </c>
    </row>
    <row r="522">
      <c r="A522" s="66">
        <v>7518.0</v>
      </c>
      <c r="B522" s="66">
        <v>208.0</v>
      </c>
      <c r="C522" s="66">
        <v>52.0</v>
      </c>
      <c r="D522" s="66">
        <v>2.0</v>
      </c>
      <c r="E522" s="66">
        <v>1.0</v>
      </c>
      <c r="F522" s="66">
        <v>338.0</v>
      </c>
      <c r="G522" s="141">
        <v>33191.0</v>
      </c>
      <c r="H522" s="66">
        <v>4.0</v>
      </c>
      <c r="I522" s="132">
        <v>3118.99</v>
      </c>
      <c r="J522" s="133">
        <v>-35157.57</v>
      </c>
      <c r="K522" s="142">
        <v>98.0</v>
      </c>
      <c r="L522" s="111">
        <v>21.0</v>
      </c>
      <c r="M522" s="70">
        <v>1900.0</v>
      </c>
      <c r="N522" s="24" t="s">
        <v>4634</v>
      </c>
    </row>
    <row r="523">
      <c r="A523" s="66">
        <v>7519.0</v>
      </c>
      <c r="B523" s="66">
        <v>207.0</v>
      </c>
      <c r="C523" s="66">
        <v>93.0</v>
      </c>
      <c r="D523" s="66">
        <v>1.0</v>
      </c>
      <c r="E523" s="66">
        <v>8.0</v>
      </c>
      <c r="F523" s="66">
        <v>159.0</v>
      </c>
      <c r="G523" s="141">
        <v>83199.0</v>
      </c>
      <c r="H523" s="66">
        <v>9.0</v>
      </c>
      <c r="I523" s="132">
        <v>-3883.52</v>
      </c>
      <c r="J523" s="133">
        <v>99927.65</v>
      </c>
      <c r="K523" s="142">
        <v>37.0</v>
      </c>
      <c r="L523" s="111">
        <v>22.0</v>
      </c>
      <c r="M523" s="70">
        <v>1800.0</v>
      </c>
      <c r="N523" s="24" t="s">
        <v>4635</v>
      </c>
    </row>
    <row r="524">
      <c r="A524" s="66">
        <v>7520.0</v>
      </c>
      <c r="B524" s="66">
        <v>209.0</v>
      </c>
      <c r="C524" s="66">
        <v>31.0</v>
      </c>
      <c r="D524" s="66">
        <v>7.0</v>
      </c>
      <c r="E524" s="66">
        <v>6.0</v>
      </c>
      <c r="F524" s="66">
        <v>828.0</v>
      </c>
      <c r="G524" s="141">
        <v>113095.0</v>
      </c>
      <c r="H524" s="66">
        <v>3.0</v>
      </c>
      <c r="I524" s="132">
        <v>-44641.48</v>
      </c>
      <c r="J524" s="133">
        <v>87182.48</v>
      </c>
      <c r="K524" s="142">
        <v>37.0</v>
      </c>
      <c r="L524" s="111">
        <v>21.0</v>
      </c>
      <c r="M524" s="70">
        <v>1330.0</v>
      </c>
      <c r="N524" s="24" t="s">
        <v>4636</v>
      </c>
    </row>
    <row r="525">
      <c r="A525" s="66">
        <v>7521.0</v>
      </c>
      <c r="B525" s="66">
        <v>213.0</v>
      </c>
      <c r="C525" s="66">
        <v>93.0</v>
      </c>
      <c r="D525" s="66">
        <v>2.0</v>
      </c>
      <c r="E525" s="66">
        <v>5.0</v>
      </c>
      <c r="F525" s="66">
        <v>355.0</v>
      </c>
      <c r="G525" s="141">
        <v>103199.0</v>
      </c>
      <c r="H525" s="66">
        <v>1.0</v>
      </c>
      <c r="I525" s="132">
        <v>80.23</v>
      </c>
      <c r="J525" s="133">
        <v>-7475.67</v>
      </c>
      <c r="K525" s="142">
        <v>59.0</v>
      </c>
      <c r="L525" s="111">
        <v>21.0</v>
      </c>
      <c r="M525" s="70">
        <v>630.0</v>
      </c>
      <c r="N525" s="24" t="s">
        <v>4637</v>
      </c>
    </row>
    <row r="526">
      <c r="A526" s="66">
        <v>7522.0</v>
      </c>
      <c r="B526" s="66">
        <v>218.0</v>
      </c>
      <c r="C526" s="66">
        <v>72.0</v>
      </c>
      <c r="D526" s="66">
        <v>7.0</v>
      </c>
      <c r="E526" s="66">
        <v>8.0</v>
      </c>
      <c r="F526" s="66">
        <v>466.0</v>
      </c>
      <c r="G526" s="141">
        <v>22899.0</v>
      </c>
      <c r="H526" s="66">
        <v>4.0</v>
      </c>
      <c r="I526" s="132">
        <v>21.16</v>
      </c>
      <c r="J526" s="133">
        <v>678.64</v>
      </c>
      <c r="K526" s="142">
        <v>23.0</v>
      </c>
      <c r="L526" s="111">
        <v>20.0</v>
      </c>
      <c r="M526" s="70">
        <v>530.0</v>
      </c>
      <c r="N526" s="24" t="s">
        <v>4638</v>
      </c>
    </row>
    <row r="527">
      <c r="A527" s="66">
        <v>7523.0</v>
      </c>
      <c r="B527" s="66">
        <v>204.0</v>
      </c>
      <c r="C527" s="66">
        <v>52.0</v>
      </c>
      <c r="D527" s="66">
        <v>2.0</v>
      </c>
      <c r="E527" s="66">
        <v>9.0</v>
      </c>
      <c r="F527" s="66">
        <v>155.0</v>
      </c>
      <c r="G527" s="141">
        <v>73103.0</v>
      </c>
      <c r="H527" s="66">
        <v>6.0</v>
      </c>
      <c r="I527" s="132">
        <v>8768.4</v>
      </c>
      <c r="J527" s="133">
        <v>39.51</v>
      </c>
      <c r="K527" s="142">
        <v>90.0</v>
      </c>
      <c r="L527" s="111">
        <v>23.0</v>
      </c>
      <c r="M527" s="70">
        <v>1530.0</v>
      </c>
      <c r="N527" s="24" t="s">
        <v>4639</v>
      </c>
    </row>
    <row r="528">
      <c r="A528" s="66">
        <v>7524.0</v>
      </c>
      <c r="B528" s="66">
        <v>216.0</v>
      </c>
      <c r="C528" s="66">
        <v>11.0</v>
      </c>
      <c r="D528" s="66">
        <v>3.0</v>
      </c>
      <c r="E528" s="66">
        <v>6.0</v>
      </c>
      <c r="F528" s="66">
        <v>586.0</v>
      </c>
      <c r="G528" s="141">
        <v>103198.0</v>
      </c>
      <c r="H528" s="66">
        <v>5.0</v>
      </c>
      <c r="I528" s="132">
        <v>-6191.17</v>
      </c>
      <c r="J528" s="133">
        <v>8645.69</v>
      </c>
      <c r="K528" s="142">
        <v>45.0</v>
      </c>
      <c r="L528" s="111">
        <v>20.0</v>
      </c>
      <c r="M528" s="70">
        <v>730.0</v>
      </c>
      <c r="N528" s="24" t="s">
        <v>4640</v>
      </c>
    </row>
    <row r="529">
      <c r="A529" s="66">
        <v>7525.0</v>
      </c>
      <c r="B529" s="66">
        <v>219.0</v>
      </c>
      <c r="C529" s="66">
        <v>72.0</v>
      </c>
      <c r="D529" s="66">
        <v>8.0</v>
      </c>
      <c r="E529" s="66">
        <v>1.0</v>
      </c>
      <c r="F529" s="66">
        <v>609.0</v>
      </c>
      <c r="G529" s="141">
        <v>113022.0</v>
      </c>
      <c r="H529" s="66">
        <v>4.0</v>
      </c>
      <c r="I529" s="132">
        <v>-93.54</v>
      </c>
      <c r="J529" s="133">
        <v>-2464.7</v>
      </c>
      <c r="K529" s="142">
        <v>41.0</v>
      </c>
      <c r="L529" s="111">
        <v>22.0</v>
      </c>
      <c r="M529" s="70">
        <v>100.0</v>
      </c>
      <c r="N529" s="24" t="s">
        <v>4641</v>
      </c>
    </row>
    <row r="530">
      <c r="A530" s="66">
        <v>7526.0</v>
      </c>
      <c r="B530" s="66">
        <v>208.0</v>
      </c>
      <c r="C530" s="66">
        <v>11.0</v>
      </c>
      <c r="D530" s="66">
        <v>3.0</v>
      </c>
      <c r="E530" s="66">
        <v>9.0</v>
      </c>
      <c r="F530" s="66">
        <v>747.0</v>
      </c>
      <c r="G530" s="141">
        <v>63093.0</v>
      </c>
      <c r="H530" s="66">
        <v>9.0</v>
      </c>
      <c r="I530" s="132">
        <v>73364.67</v>
      </c>
      <c r="J530" s="133">
        <v>-387.9</v>
      </c>
      <c r="K530" s="142">
        <v>4.0</v>
      </c>
      <c r="L530" s="111">
        <v>22.0</v>
      </c>
      <c r="M530" s="70">
        <v>1030.0</v>
      </c>
      <c r="N530" s="24" t="s">
        <v>4642</v>
      </c>
    </row>
    <row r="531">
      <c r="A531" s="66">
        <v>7527.0</v>
      </c>
      <c r="B531" s="66">
        <v>200.0</v>
      </c>
      <c r="C531" s="66">
        <v>11.0</v>
      </c>
      <c r="D531" s="66">
        <v>4.0</v>
      </c>
      <c r="E531" s="66">
        <v>3.0</v>
      </c>
      <c r="F531" s="66">
        <v>673.0</v>
      </c>
      <c r="G531" s="141">
        <v>43091.0</v>
      </c>
      <c r="H531" s="66">
        <v>6.0</v>
      </c>
      <c r="I531" s="132">
        <v>-42.64</v>
      </c>
      <c r="J531" s="133">
        <v>20.66</v>
      </c>
      <c r="K531" s="142">
        <v>99.0</v>
      </c>
      <c r="L531" s="111">
        <v>21.0</v>
      </c>
      <c r="M531" s="70">
        <v>2230.0</v>
      </c>
      <c r="N531" s="24" t="s">
        <v>4513</v>
      </c>
    </row>
    <row r="532">
      <c r="A532" s="66">
        <v>7528.0</v>
      </c>
      <c r="B532" s="66">
        <v>216.0</v>
      </c>
      <c r="C532" s="66">
        <v>31.0</v>
      </c>
      <c r="D532" s="66">
        <v>9.0</v>
      </c>
      <c r="E532" s="66">
        <v>2.0</v>
      </c>
      <c r="F532" s="66">
        <v>850.0</v>
      </c>
      <c r="G532" s="141">
        <v>13104.0</v>
      </c>
      <c r="H532" s="66">
        <v>5.0</v>
      </c>
      <c r="I532" s="132">
        <v>6313.13</v>
      </c>
      <c r="J532" s="133">
        <v>37749.14</v>
      </c>
      <c r="K532" s="142">
        <v>65.0</v>
      </c>
      <c r="L532" s="111">
        <v>22.0</v>
      </c>
      <c r="M532" s="70">
        <v>1700.0</v>
      </c>
      <c r="N532" s="24" t="s">
        <v>4643</v>
      </c>
    </row>
    <row r="533">
      <c r="A533" s="66">
        <v>7529.0</v>
      </c>
      <c r="B533" s="66">
        <v>207.0</v>
      </c>
      <c r="C533" s="66">
        <v>72.0</v>
      </c>
      <c r="D533" s="66">
        <v>9.0</v>
      </c>
      <c r="E533" s="66">
        <v>2.0</v>
      </c>
      <c r="F533" s="66">
        <v>339.0</v>
      </c>
      <c r="G533" s="141">
        <v>22916.0</v>
      </c>
      <c r="H533" s="66">
        <v>9.0</v>
      </c>
      <c r="I533" s="132">
        <v>19.57</v>
      </c>
      <c r="J533" s="133">
        <v>32.79</v>
      </c>
      <c r="K533" s="142">
        <v>10.0</v>
      </c>
      <c r="L533" s="111">
        <v>22.0</v>
      </c>
      <c r="M533" s="70">
        <v>300.0</v>
      </c>
      <c r="N533" s="24" t="s">
        <v>4644</v>
      </c>
    </row>
    <row r="534">
      <c r="A534" s="66">
        <v>7530.0</v>
      </c>
      <c r="B534" s="66">
        <v>220.0</v>
      </c>
      <c r="C534" s="66">
        <v>31.0</v>
      </c>
      <c r="D534" s="66">
        <v>9.0</v>
      </c>
      <c r="E534" s="66">
        <v>8.0</v>
      </c>
      <c r="F534" s="66">
        <v>478.0</v>
      </c>
      <c r="G534" s="141">
        <v>13111.0</v>
      </c>
      <c r="H534" s="66">
        <v>8.0</v>
      </c>
      <c r="I534" s="132">
        <v>487.57</v>
      </c>
      <c r="J534" s="133">
        <v>34.32</v>
      </c>
      <c r="K534" s="142">
        <v>91.0</v>
      </c>
      <c r="L534" s="111">
        <v>20.0</v>
      </c>
      <c r="M534" s="70">
        <v>700.0</v>
      </c>
      <c r="N534" s="24" t="s">
        <v>4645</v>
      </c>
    </row>
    <row r="535">
      <c r="A535" s="66">
        <v>7531.0</v>
      </c>
      <c r="B535" s="66">
        <v>217.0</v>
      </c>
      <c r="C535" s="66">
        <v>72.0</v>
      </c>
      <c r="D535" s="66">
        <v>9.0</v>
      </c>
      <c r="E535" s="66">
        <v>5.0</v>
      </c>
      <c r="F535" s="66">
        <v>921.0</v>
      </c>
      <c r="G535" s="141">
        <v>63005.0</v>
      </c>
      <c r="H535" s="66">
        <v>3.0</v>
      </c>
      <c r="I535" s="132">
        <v>524.57</v>
      </c>
      <c r="J535" s="133">
        <v>3367.15</v>
      </c>
      <c r="K535" s="142">
        <v>78.0</v>
      </c>
      <c r="L535" s="111">
        <v>21.0</v>
      </c>
      <c r="M535" s="70">
        <v>1130.0</v>
      </c>
      <c r="N535" s="24" t="s">
        <v>4646</v>
      </c>
    </row>
    <row r="536">
      <c r="A536" s="66">
        <v>7532.0</v>
      </c>
      <c r="B536" s="66">
        <v>212.0</v>
      </c>
      <c r="C536" s="66">
        <v>11.0</v>
      </c>
      <c r="D536" s="66">
        <v>5.0</v>
      </c>
      <c r="E536" s="66">
        <v>2.0</v>
      </c>
      <c r="F536" s="66">
        <v>889.0</v>
      </c>
      <c r="G536" s="141">
        <v>22920.0</v>
      </c>
      <c r="H536" s="66">
        <v>1.0</v>
      </c>
      <c r="I536" s="132">
        <v>5745.7</v>
      </c>
      <c r="J536" s="133">
        <v>-208.2</v>
      </c>
      <c r="K536" s="142">
        <v>4.0</v>
      </c>
      <c r="L536" s="111">
        <v>23.0</v>
      </c>
      <c r="M536" s="70">
        <v>1300.0</v>
      </c>
      <c r="N536" s="24" t="s">
        <v>4647</v>
      </c>
    </row>
    <row r="537">
      <c r="A537" s="66">
        <v>7533.0</v>
      </c>
      <c r="B537" s="66">
        <v>208.0</v>
      </c>
      <c r="C537" s="66">
        <v>11.0</v>
      </c>
      <c r="D537" s="66">
        <v>5.0</v>
      </c>
      <c r="E537" s="66">
        <v>7.0</v>
      </c>
      <c r="F537" s="66">
        <v>659.0</v>
      </c>
      <c r="G537" s="141">
        <v>83108.0</v>
      </c>
      <c r="H537" s="66">
        <v>1.0</v>
      </c>
      <c r="I537" s="132">
        <v>14.87</v>
      </c>
      <c r="J537" s="133">
        <v>-159.3</v>
      </c>
      <c r="K537" s="142">
        <v>3.0</v>
      </c>
      <c r="L537" s="111">
        <v>22.0</v>
      </c>
      <c r="M537" s="70">
        <v>2130.0</v>
      </c>
      <c r="N537" s="24" t="s">
        <v>4648</v>
      </c>
    </row>
    <row r="538">
      <c r="A538" s="66">
        <v>7534.0</v>
      </c>
      <c r="B538" s="66">
        <v>208.0</v>
      </c>
      <c r="C538" s="66">
        <v>93.0</v>
      </c>
      <c r="D538" s="66">
        <v>5.0</v>
      </c>
      <c r="E538" s="66">
        <v>3.0</v>
      </c>
      <c r="F538" s="66">
        <v>423.0</v>
      </c>
      <c r="G538" s="141">
        <v>33112.0</v>
      </c>
      <c r="H538" s="66">
        <v>5.0</v>
      </c>
      <c r="I538" s="132">
        <v>-31387.25</v>
      </c>
      <c r="J538" s="133">
        <v>35.89</v>
      </c>
      <c r="K538" s="142">
        <v>52.0</v>
      </c>
      <c r="L538" s="111">
        <v>22.0</v>
      </c>
      <c r="M538" s="70">
        <v>1500.0</v>
      </c>
      <c r="N538" s="24" t="s">
        <v>4649</v>
      </c>
    </row>
    <row r="539">
      <c r="A539" s="66">
        <v>7535.0</v>
      </c>
      <c r="B539" s="66">
        <v>213.0</v>
      </c>
      <c r="C539" s="66">
        <v>93.0</v>
      </c>
      <c r="D539" s="66">
        <v>5.0</v>
      </c>
      <c r="E539" s="66">
        <v>4.0</v>
      </c>
      <c r="F539" s="66">
        <v>257.0</v>
      </c>
      <c r="G539" s="141">
        <v>63009.0</v>
      </c>
      <c r="H539" s="66">
        <v>2.0</v>
      </c>
      <c r="I539" s="132">
        <v>66.65</v>
      </c>
      <c r="J539" s="133">
        <v>635.76</v>
      </c>
      <c r="K539" s="142">
        <v>44.0</v>
      </c>
      <c r="L539" s="111">
        <v>21.0</v>
      </c>
      <c r="M539" s="70">
        <v>1630.0</v>
      </c>
      <c r="N539" s="24" t="s">
        <v>4650</v>
      </c>
    </row>
    <row r="540">
      <c r="A540" s="66">
        <v>7536.0</v>
      </c>
      <c r="B540" s="66">
        <v>208.0</v>
      </c>
      <c r="C540" s="66">
        <v>32.0</v>
      </c>
      <c r="D540" s="66">
        <v>1.0</v>
      </c>
      <c r="E540" s="66">
        <v>1.0</v>
      </c>
      <c r="F540" s="66">
        <v>722.0</v>
      </c>
      <c r="G540" s="141">
        <v>53118.0</v>
      </c>
      <c r="H540" s="66">
        <v>7.0</v>
      </c>
      <c r="I540" s="132">
        <v>46.86</v>
      </c>
      <c r="J540" s="133">
        <v>-21155.58</v>
      </c>
      <c r="K540" s="142">
        <v>60.0</v>
      </c>
      <c r="L540" s="111">
        <v>22.0</v>
      </c>
      <c r="M540" s="70">
        <v>800.0</v>
      </c>
      <c r="N540" s="24" t="s">
        <v>4651</v>
      </c>
    </row>
    <row r="541">
      <c r="A541" s="66">
        <v>7537.0</v>
      </c>
      <c r="B541" s="66">
        <v>219.0</v>
      </c>
      <c r="C541" s="66">
        <v>11.0</v>
      </c>
      <c r="D541" s="66">
        <v>6.0</v>
      </c>
      <c r="E541" s="66">
        <v>4.0</v>
      </c>
      <c r="F541" s="66">
        <v>621.0</v>
      </c>
      <c r="G541" s="141">
        <v>53190.0</v>
      </c>
      <c r="H541" s="66">
        <v>2.0</v>
      </c>
      <c r="I541" s="132">
        <v>473.27</v>
      </c>
      <c r="J541" s="133">
        <v>81465.63</v>
      </c>
      <c r="K541" s="142">
        <v>11.0</v>
      </c>
      <c r="L541" s="111">
        <v>23.0</v>
      </c>
      <c r="M541" s="70">
        <v>1300.0</v>
      </c>
      <c r="N541" s="24" t="s">
        <v>4652</v>
      </c>
    </row>
    <row r="542">
      <c r="A542" s="66">
        <v>7538.0</v>
      </c>
      <c r="B542" s="66">
        <v>217.0</v>
      </c>
      <c r="C542" s="66">
        <v>93.0</v>
      </c>
      <c r="D542" s="66">
        <v>6.0</v>
      </c>
      <c r="E542" s="66">
        <v>1.0</v>
      </c>
      <c r="F542" s="66">
        <v>743.0</v>
      </c>
      <c r="G542" s="141">
        <v>53106.0</v>
      </c>
      <c r="H542" s="66">
        <v>9.0</v>
      </c>
      <c r="I542" s="132">
        <v>838.58</v>
      </c>
      <c r="J542" s="133">
        <v>84.62</v>
      </c>
      <c r="K542" s="142">
        <v>18.0</v>
      </c>
      <c r="L542" s="111">
        <v>23.0</v>
      </c>
      <c r="M542" s="70">
        <v>1200.0</v>
      </c>
      <c r="N542" s="24" t="s">
        <v>4653</v>
      </c>
    </row>
    <row r="543">
      <c r="A543" s="66">
        <v>7539.0</v>
      </c>
      <c r="B543" s="66">
        <v>212.0</v>
      </c>
      <c r="C543" s="66">
        <v>73.0</v>
      </c>
      <c r="D543" s="66">
        <v>1.0</v>
      </c>
      <c r="E543" s="66">
        <v>8.0</v>
      </c>
      <c r="F543" s="66">
        <v>376.0</v>
      </c>
      <c r="G543" s="141">
        <v>13108.0</v>
      </c>
      <c r="H543" s="66">
        <v>9.0</v>
      </c>
      <c r="I543" s="132">
        <v>28.14</v>
      </c>
      <c r="J543" s="133">
        <v>2206.18</v>
      </c>
      <c r="K543" s="142">
        <v>39.0</v>
      </c>
      <c r="L543" s="111">
        <v>23.0</v>
      </c>
      <c r="M543" s="70">
        <v>900.0</v>
      </c>
      <c r="N543" s="24" t="s">
        <v>4654</v>
      </c>
    </row>
    <row r="544">
      <c r="A544" s="66">
        <v>7540.0</v>
      </c>
      <c r="B544" s="66">
        <v>219.0</v>
      </c>
      <c r="C544" s="66">
        <v>93.0</v>
      </c>
      <c r="D544" s="66">
        <v>6.0</v>
      </c>
      <c r="E544" s="66">
        <v>7.0</v>
      </c>
      <c r="F544" s="66">
        <v>709.0</v>
      </c>
      <c r="G544" s="141">
        <v>83110.0</v>
      </c>
      <c r="H544" s="66">
        <v>5.0</v>
      </c>
      <c r="I544" s="132">
        <v>311.69</v>
      </c>
      <c r="J544" s="133">
        <v>9543.16</v>
      </c>
      <c r="K544" s="142">
        <v>86.0</v>
      </c>
      <c r="L544" s="111">
        <v>21.0</v>
      </c>
      <c r="M544" s="70">
        <v>500.0</v>
      </c>
      <c r="N544" s="24" t="s">
        <v>4655</v>
      </c>
    </row>
    <row r="545">
      <c r="A545" s="66">
        <v>7541.0</v>
      </c>
      <c r="B545" s="66">
        <v>214.0</v>
      </c>
      <c r="C545" s="66">
        <v>93.0</v>
      </c>
      <c r="D545" s="66">
        <v>6.0</v>
      </c>
      <c r="E545" s="66">
        <v>8.0</v>
      </c>
      <c r="F545" s="66">
        <v>973.0</v>
      </c>
      <c r="G545" s="141">
        <v>83193.0</v>
      </c>
      <c r="H545" s="66">
        <v>8.0</v>
      </c>
      <c r="I545" s="132">
        <v>51.29</v>
      </c>
      <c r="J545" s="133">
        <v>40.23</v>
      </c>
      <c r="K545" s="142">
        <v>82.0</v>
      </c>
      <c r="L545" s="111">
        <v>22.0</v>
      </c>
      <c r="M545" s="70">
        <v>200.0</v>
      </c>
      <c r="N545" s="24" t="s">
        <v>4656</v>
      </c>
    </row>
    <row r="546">
      <c r="A546" s="66">
        <v>7542.0</v>
      </c>
      <c r="B546" s="66">
        <v>213.0</v>
      </c>
      <c r="C546" s="66">
        <v>32.0</v>
      </c>
      <c r="D546" s="66">
        <v>2.0</v>
      </c>
      <c r="E546" s="66">
        <v>6.0</v>
      </c>
      <c r="F546" s="66">
        <v>632.0</v>
      </c>
      <c r="G546" s="141">
        <v>13105.0</v>
      </c>
      <c r="H546" s="66">
        <v>1.0</v>
      </c>
      <c r="I546" s="132">
        <v>2412.44</v>
      </c>
      <c r="J546" s="133">
        <v>59.12</v>
      </c>
      <c r="K546" s="142">
        <v>25.0</v>
      </c>
      <c r="L546" s="111">
        <v>22.0</v>
      </c>
      <c r="M546" s="70">
        <v>500.0</v>
      </c>
      <c r="N546" s="24" t="s">
        <v>4657</v>
      </c>
    </row>
    <row r="547">
      <c r="A547" s="66">
        <v>7543.0</v>
      </c>
      <c r="B547" s="66">
        <v>216.0</v>
      </c>
      <c r="C547" s="66">
        <v>32.0</v>
      </c>
      <c r="D547" s="66">
        <v>3.0</v>
      </c>
      <c r="E547" s="66">
        <v>2.0</v>
      </c>
      <c r="F547" s="66">
        <v>121.0</v>
      </c>
      <c r="G547" s="141">
        <v>93002.0</v>
      </c>
      <c r="H547" s="66">
        <v>2.0</v>
      </c>
      <c r="I547" s="132">
        <v>114.58</v>
      </c>
      <c r="J547" s="133">
        <v>73773.57</v>
      </c>
      <c r="K547" s="142">
        <v>53.0</v>
      </c>
      <c r="L547" s="111">
        <v>20.0</v>
      </c>
      <c r="M547" s="70">
        <v>1330.0</v>
      </c>
      <c r="N547" s="24" t="s">
        <v>4658</v>
      </c>
    </row>
    <row r="548">
      <c r="A548" s="66">
        <v>7544.0</v>
      </c>
      <c r="B548" s="66">
        <v>215.0</v>
      </c>
      <c r="C548" s="66">
        <v>11.0</v>
      </c>
      <c r="D548" s="66">
        <v>8.0</v>
      </c>
      <c r="E548" s="66">
        <v>5.0</v>
      </c>
      <c r="F548" s="66">
        <v>419.0</v>
      </c>
      <c r="G548" s="141">
        <v>33101.0</v>
      </c>
      <c r="H548" s="66">
        <v>9.0</v>
      </c>
      <c r="I548" s="132">
        <v>92151.72</v>
      </c>
      <c r="J548" s="133">
        <v>78.1</v>
      </c>
      <c r="K548" s="142">
        <v>96.0</v>
      </c>
      <c r="L548" s="111">
        <v>21.0</v>
      </c>
      <c r="M548" s="70">
        <v>830.0</v>
      </c>
      <c r="N548" s="24" t="s">
        <v>4659</v>
      </c>
    </row>
    <row r="549">
      <c r="A549" s="66">
        <v>7545.0</v>
      </c>
      <c r="B549" s="66">
        <v>210.0</v>
      </c>
      <c r="C549" s="66">
        <v>32.0</v>
      </c>
      <c r="D549" s="66">
        <v>3.0</v>
      </c>
      <c r="E549" s="66">
        <v>5.0</v>
      </c>
      <c r="F549" s="66">
        <v>447.0</v>
      </c>
      <c r="G549" s="141">
        <v>33197.0</v>
      </c>
      <c r="H549" s="66">
        <v>2.0</v>
      </c>
      <c r="I549" s="132">
        <v>-9908.1</v>
      </c>
      <c r="J549" s="133">
        <v>782.5</v>
      </c>
      <c r="K549" s="142">
        <v>72.0</v>
      </c>
      <c r="L549" s="111">
        <v>22.0</v>
      </c>
      <c r="M549" s="70">
        <v>600.0</v>
      </c>
      <c r="N549" s="24" t="s">
        <v>4660</v>
      </c>
    </row>
    <row r="550">
      <c r="A550" s="66">
        <v>7546.0</v>
      </c>
      <c r="B550" s="66">
        <v>217.0</v>
      </c>
      <c r="C550" s="66">
        <v>73.0</v>
      </c>
      <c r="D550" s="66">
        <v>3.0</v>
      </c>
      <c r="E550" s="66">
        <v>3.0</v>
      </c>
      <c r="F550" s="66">
        <v>416.0</v>
      </c>
      <c r="G550" s="141">
        <v>113094.0</v>
      </c>
      <c r="H550" s="66">
        <v>9.0</v>
      </c>
      <c r="I550" s="132">
        <v>-53.4</v>
      </c>
      <c r="J550" s="133">
        <v>5669.71</v>
      </c>
      <c r="K550" s="142">
        <v>95.0</v>
      </c>
      <c r="L550" s="111">
        <v>20.0</v>
      </c>
      <c r="M550" s="70">
        <v>1830.0</v>
      </c>
      <c r="N550" s="24" t="s">
        <v>4661</v>
      </c>
    </row>
    <row r="551">
      <c r="A551" s="66">
        <v>7547.0</v>
      </c>
      <c r="B551" s="66">
        <v>206.0</v>
      </c>
      <c r="C551" s="66">
        <v>11.0</v>
      </c>
      <c r="D551" s="66">
        <v>8.0</v>
      </c>
      <c r="E551" s="66">
        <v>9.0</v>
      </c>
      <c r="F551" s="66">
        <v>611.0</v>
      </c>
      <c r="G551" s="141">
        <v>83121.0</v>
      </c>
      <c r="H551" s="66">
        <v>8.0</v>
      </c>
      <c r="I551" s="132">
        <v>54.51</v>
      </c>
      <c r="J551" s="133">
        <v>29838.54</v>
      </c>
      <c r="K551" s="142">
        <v>44.0</v>
      </c>
      <c r="L551" s="111">
        <v>23.0</v>
      </c>
      <c r="M551" s="70">
        <v>1230.0</v>
      </c>
      <c r="N551" s="24" t="s">
        <v>4662</v>
      </c>
    </row>
    <row r="552">
      <c r="A552" s="66">
        <v>7548.0</v>
      </c>
      <c r="B552" s="66">
        <v>217.0</v>
      </c>
      <c r="C552" s="66">
        <v>52.0</v>
      </c>
      <c r="D552" s="66">
        <v>8.0</v>
      </c>
      <c r="E552" s="66">
        <v>9.0</v>
      </c>
      <c r="F552" s="66">
        <v>132.0</v>
      </c>
      <c r="G552" s="141">
        <v>73101.0</v>
      </c>
      <c r="H552" s="66">
        <v>5.0</v>
      </c>
      <c r="I552" s="132">
        <v>-442.73</v>
      </c>
      <c r="J552" s="133">
        <v>-65.59</v>
      </c>
      <c r="K552" s="142">
        <v>20.0</v>
      </c>
      <c r="L552" s="111">
        <v>20.0</v>
      </c>
      <c r="M552" s="70">
        <v>1200.0</v>
      </c>
      <c r="N552" s="24" t="s">
        <v>4663</v>
      </c>
    </row>
    <row r="553">
      <c r="A553" s="66">
        <v>7549.0</v>
      </c>
      <c r="B553" s="66">
        <v>210.0</v>
      </c>
      <c r="C553" s="66">
        <v>11.0</v>
      </c>
      <c r="D553" s="66">
        <v>9.0</v>
      </c>
      <c r="E553" s="66">
        <v>4.0</v>
      </c>
      <c r="F553" s="66">
        <v>623.0</v>
      </c>
      <c r="G553" s="141">
        <v>13116.0</v>
      </c>
      <c r="H553" s="66">
        <v>3.0</v>
      </c>
      <c r="I553" s="132">
        <v>41929.5</v>
      </c>
      <c r="J553" s="133">
        <v>75.62</v>
      </c>
      <c r="K553" s="142">
        <v>26.0</v>
      </c>
      <c r="L553" s="111">
        <v>20.0</v>
      </c>
      <c r="M553" s="70">
        <v>1600.0</v>
      </c>
      <c r="N553" s="24" t="s">
        <v>4664</v>
      </c>
    </row>
    <row r="554">
      <c r="A554" s="66">
        <v>7550.0</v>
      </c>
      <c r="B554" s="66">
        <v>206.0</v>
      </c>
      <c r="C554" s="66">
        <v>32.0</v>
      </c>
      <c r="D554" s="66">
        <v>4.0</v>
      </c>
      <c r="E554" s="66">
        <v>3.0</v>
      </c>
      <c r="F554" s="66">
        <v>957.0</v>
      </c>
      <c r="G554" s="141">
        <v>73107.0</v>
      </c>
      <c r="H554" s="66">
        <v>9.0</v>
      </c>
      <c r="I554" s="132">
        <v>50001.22</v>
      </c>
      <c r="J554" s="133">
        <v>3017.75</v>
      </c>
      <c r="K554" s="142">
        <v>80.0</v>
      </c>
      <c r="L554" s="111">
        <v>22.0</v>
      </c>
      <c r="M554" s="70">
        <v>330.0</v>
      </c>
      <c r="N554" s="24" t="s">
        <v>4665</v>
      </c>
    </row>
    <row r="555">
      <c r="A555" s="66">
        <v>7551.0</v>
      </c>
      <c r="B555" s="66">
        <v>218.0</v>
      </c>
      <c r="C555" s="66">
        <v>93.0</v>
      </c>
      <c r="D555" s="66">
        <v>8.0</v>
      </c>
      <c r="E555" s="66">
        <v>8.0</v>
      </c>
      <c r="F555" s="66">
        <v>345.0</v>
      </c>
      <c r="G555" s="141">
        <v>73120.0</v>
      </c>
      <c r="H555" s="66">
        <v>7.0</v>
      </c>
      <c r="I555" s="132">
        <v>3298.26</v>
      </c>
      <c r="J555" s="133">
        <v>2611.54</v>
      </c>
      <c r="K555" s="142">
        <v>32.0</v>
      </c>
      <c r="L555" s="111">
        <v>23.0</v>
      </c>
      <c r="M555" s="70">
        <v>700.0</v>
      </c>
      <c r="N555" s="24" t="s">
        <v>4666</v>
      </c>
    </row>
    <row r="556">
      <c r="A556" s="66">
        <v>7552.0</v>
      </c>
      <c r="B556" s="66">
        <v>213.0</v>
      </c>
      <c r="C556" s="66">
        <v>32.0</v>
      </c>
      <c r="D556" s="66">
        <v>4.0</v>
      </c>
      <c r="E556" s="66">
        <v>6.0</v>
      </c>
      <c r="F556" s="66">
        <v>586.0</v>
      </c>
      <c r="G556" s="141">
        <v>103117.0</v>
      </c>
      <c r="H556" s="66">
        <v>3.0</v>
      </c>
      <c r="I556" s="132">
        <v>-84.97</v>
      </c>
      <c r="J556" s="133">
        <v>961.16</v>
      </c>
      <c r="K556" s="142">
        <v>95.0</v>
      </c>
      <c r="L556" s="111">
        <v>21.0</v>
      </c>
      <c r="M556" s="70">
        <v>2300.0</v>
      </c>
      <c r="N556" s="24" t="s">
        <v>4667</v>
      </c>
    </row>
    <row r="557">
      <c r="A557" s="66">
        <v>7553.0</v>
      </c>
      <c r="B557" s="66">
        <v>205.0</v>
      </c>
      <c r="C557" s="66">
        <v>32.0</v>
      </c>
      <c r="D557" s="66">
        <v>4.0</v>
      </c>
      <c r="E557" s="66">
        <v>7.0</v>
      </c>
      <c r="F557" s="66">
        <v>238.0</v>
      </c>
      <c r="G557" s="141">
        <v>63019.0</v>
      </c>
      <c r="H557" s="66">
        <v>9.0</v>
      </c>
      <c r="I557" s="132">
        <v>-89369.35</v>
      </c>
      <c r="J557" s="133">
        <v>6494.96</v>
      </c>
      <c r="K557" s="142">
        <v>50.0</v>
      </c>
      <c r="L557" s="111">
        <v>20.0</v>
      </c>
      <c r="M557" s="70">
        <v>400.0</v>
      </c>
      <c r="N557" s="24" t="s">
        <v>4668</v>
      </c>
    </row>
    <row r="558">
      <c r="A558" s="66">
        <v>7554.0</v>
      </c>
      <c r="B558" s="66">
        <v>209.0</v>
      </c>
      <c r="C558" s="66">
        <v>73.0</v>
      </c>
      <c r="D558" s="66">
        <v>4.0</v>
      </c>
      <c r="E558" s="66">
        <v>5.0</v>
      </c>
      <c r="F558" s="66">
        <v>905.0</v>
      </c>
      <c r="G558" s="141">
        <v>43000.0</v>
      </c>
      <c r="H558" s="66">
        <v>8.0</v>
      </c>
      <c r="I558" s="132">
        <v>851.42</v>
      </c>
      <c r="J558" s="133">
        <v>-667.94</v>
      </c>
      <c r="K558" s="142">
        <v>89.0</v>
      </c>
      <c r="L558" s="111">
        <v>23.0</v>
      </c>
      <c r="M558" s="70">
        <v>1400.0</v>
      </c>
      <c r="N558" s="24" t="s">
        <v>4669</v>
      </c>
    </row>
    <row r="559">
      <c r="A559" s="66">
        <v>7555.0</v>
      </c>
      <c r="B559" s="66">
        <v>212.0</v>
      </c>
      <c r="C559" s="66">
        <v>93.0</v>
      </c>
      <c r="D559" s="66">
        <v>9.0</v>
      </c>
      <c r="E559" s="66">
        <v>4.0</v>
      </c>
      <c r="F559" s="66">
        <v>405.0</v>
      </c>
      <c r="G559" s="141">
        <v>43090.0</v>
      </c>
      <c r="H559" s="66">
        <v>7.0</v>
      </c>
      <c r="I559" s="132">
        <v>57684.99</v>
      </c>
      <c r="J559" s="133">
        <v>6645.33</v>
      </c>
      <c r="K559" s="142">
        <v>82.0</v>
      </c>
      <c r="L559" s="111">
        <v>20.0</v>
      </c>
      <c r="M559" s="70">
        <v>400.0</v>
      </c>
      <c r="N559" s="24" t="s">
        <v>4670</v>
      </c>
    </row>
    <row r="560">
      <c r="A560" s="66">
        <v>7556.0</v>
      </c>
      <c r="B560" s="66">
        <v>206.0</v>
      </c>
      <c r="C560" s="66">
        <v>73.0</v>
      </c>
      <c r="D560" s="66">
        <v>4.0</v>
      </c>
      <c r="E560" s="66">
        <v>6.0</v>
      </c>
      <c r="F560" s="66">
        <v>730.0</v>
      </c>
      <c r="G560" s="141">
        <v>103194.0</v>
      </c>
      <c r="H560" s="66">
        <v>7.0</v>
      </c>
      <c r="I560" s="132">
        <v>98.31</v>
      </c>
      <c r="J560" s="133">
        <v>8168.77</v>
      </c>
      <c r="K560" s="142">
        <v>47.0</v>
      </c>
      <c r="L560" s="111">
        <v>20.0</v>
      </c>
      <c r="M560" s="70">
        <v>130.0</v>
      </c>
      <c r="N560" s="24" t="s">
        <v>4498</v>
      </c>
    </row>
    <row r="561">
      <c r="A561" s="66">
        <v>7557.0</v>
      </c>
      <c r="B561" s="66">
        <v>211.0</v>
      </c>
      <c r="C561" s="66">
        <v>93.0</v>
      </c>
      <c r="D561" s="66">
        <v>9.0</v>
      </c>
      <c r="E561" s="66">
        <v>8.0</v>
      </c>
      <c r="F561" s="66">
        <v>127.0</v>
      </c>
      <c r="G561" s="141">
        <v>43099.0</v>
      </c>
      <c r="H561" s="66">
        <v>2.0</v>
      </c>
      <c r="I561" s="132">
        <v>30894.24</v>
      </c>
      <c r="J561" s="133">
        <v>586.33</v>
      </c>
      <c r="K561" s="142">
        <v>28.0</v>
      </c>
      <c r="L561" s="111">
        <v>21.0</v>
      </c>
      <c r="M561" s="70">
        <v>1500.0</v>
      </c>
      <c r="N561" s="24" t="s">
        <v>4671</v>
      </c>
    </row>
    <row r="562">
      <c r="A562" s="66">
        <v>7558.0</v>
      </c>
      <c r="B562" s="66">
        <v>204.0</v>
      </c>
      <c r="C562" s="66">
        <v>32.0</v>
      </c>
      <c r="D562" s="66">
        <v>5.0</v>
      </c>
      <c r="E562" s="66">
        <v>4.0</v>
      </c>
      <c r="F562" s="66">
        <v>387.0</v>
      </c>
      <c r="G562" s="141">
        <v>83107.0</v>
      </c>
      <c r="H562" s="66">
        <v>8.0</v>
      </c>
      <c r="I562" s="132">
        <v>463.69</v>
      </c>
      <c r="J562" s="133">
        <v>110.53</v>
      </c>
      <c r="K562" s="142">
        <v>77.0</v>
      </c>
      <c r="L562" s="111">
        <v>21.0</v>
      </c>
      <c r="M562" s="70">
        <v>700.0</v>
      </c>
      <c r="N562" s="24" t="s">
        <v>4672</v>
      </c>
    </row>
    <row r="563">
      <c r="A563" s="66">
        <v>7559.0</v>
      </c>
      <c r="B563" s="66">
        <v>220.0</v>
      </c>
      <c r="C563" s="66">
        <v>32.0</v>
      </c>
      <c r="D563" s="66">
        <v>5.0</v>
      </c>
      <c r="E563" s="66">
        <v>5.0</v>
      </c>
      <c r="F563" s="66">
        <v>460.0</v>
      </c>
      <c r="G563" s="141">
        <v>113017.0</v>
      </c>
      <c r="H563" s="66">
        <v>4.0</v>
      </c>
      <c r="I563" s="132">
        <v>639.66</v>
      </c>
      <c r="J563" s="133">
        <v>81.55</v>
      </c>
      <c r="K563" s="142">
        <v>71.0</v>
      </c>
      <c r="L563" s="111">
        <v>20.0</v>
      </c>
      <c r="M563" s="70">
        <v>830.0</v>
      </c>
      <c r="N563" s="24" t="s">
        <v>4673</v>
      </c>
    </row>
    <row r="564">
      <c r="A564" s="66">
        <v>7560.0</v>
      </c>
      <c r="B564" s="66">
        <v>215.0</v>
      </c>
      <c r="C564" s="66">
        <v>73.0</v>
      </c>
      <c r="D564" s="66">
        <v>5.0</v>
      </c>
      <c r="E564" s="66">
        <v>4.0</v>
      </c>
      <c r="F564" s="66">
        <v>735.0</v>
      </c>
      <c r="G564" s="141">
        <v>83116.0</v>
      </c>
      <c r="H564" s="66">
        <v>8.0</v>
      </c>
      <c r="I564" s="132">
        <v>683.9</v>
      </c>
      <c r="J564" s="133">
        <v>93.81</v>
      </c>
      <c r="K564" s="142">
        <v>18.0</v>
      </c>
      <c r="L564" s="111">
        <v>21.0</v>
      </c>
      <c r="M564" s="70">
        <v>100.0</v>
      </c>
      <c r="N564" s="24" t="s">
        <v>4674</v>
      </c>
    </row>
    <row r="565">
      <c r="A565" s="66">
        <v>7561.0</v>
      </c>
      <c r="B565" s="66">
        <v>211.0</v>
      </c>
      <c r="C565" s="66">
        <v>73.0</v>
      </c>
      <c r="D565" s="66">
        <v>5.0</v>
      </c>
      <c r="E565" s="66">
        <v>6.0</v>
      </c>
      <c r="F565" s="66">
        <v>600.0</v>
      </c>
      <c r="G565" s="141">
        <v>33118.0</v>
      </c>
      <c r="H565" s="66">
        <v>2.0</v>
      </c>
      <c r="I565" s="132">
        <v>24139.64</v>
      </c>
      <c r="J565" s="133">
        <v>-678.64</v>
      </c>
      <c r="K565" s="142">
        <v>61.0</v>
      </c>
      <c r="L565" s="111">
        <v>20.0</v>
      </c>
      <c r="M565" s="70">
        <v>700.0</v>
      </c>
      <c r="N565" s="24" t="s">
        <v>4675</v>
      </c>
    </row>
    <row r="566">
      <c r="A566" s="66">
        <v>7562.0</v>
      </c>
      <c r="B566" s="66">
        <v>208.0</v>
      </c>
      <c r="C566" s="66">
        <v>12.0</v>
      </c>
      <c r="D566" s="66">
        <v>1.0</v>
      </c>
      <c r="E566" s="66">
        <v>3.0</v>
      </c>
      <c r="F566" s="66">
        <v>773.0</v>
      </c>
      <c r="G566" s="141">
        <v>43011.0</v>
      </c>
      <c r="H566" s="66">
        <v>7.0</v>
      </c>
      <c r="I566" s="132">
        <v>-93815.56</v>
      </c>
      <c r="J566" s="133">
        <v>17497.15</v>
      </c>
      <c r="K566" s="142">
        <v>61.0</v>
      </c>
      <c r="L566" s="111">
        <v>22.0</v>
      </c>
      <c r="M566" s="70">
        <v>1800.0</v>
      </c>
      <c r="N566" s="24" t="s">
        <v>4676</v>
      </c>
    </row>
    <row r="567">
      <c r="A567" s="66">
        <v>7563.0</v>
      </c>
      <c r="B567" s="66">
        <v>213.0</v>
      </c>
      <c r="C567" s="66">
        <v>73.0</v>
      </c>
      <c r="D567" s="66">
        <v>5.0</v>
      </c>
      <c r="E567" s="66">
        <v>7.0</v>
      </c>
      <c r="F567" s="66">
        <v>839.0</v>
      </c>
      <c r="G567" s="141">
        <v>93098.0</v>
      </c>
      <c r="H567" s="66">
        <v>3.0</v>
      </c>
      <c r="I567" s="132">
        <v>58930.91</v>
      </c>
      <c r="J567" s="133">
        <v>-18.2</v>
      </c>
      <c r="K567" s="142">
        <v>54.0</v>
      </c>
      <c r="L567" s="111">
        <v>20.0</v>
      </c>
      <c r="M567" s="70">
        <v>1000.0</v>
      </c>
      <c r="N567" s="24" t="s">
        <v>4677</v>
      </c>
    </row>
    <row r="568">
      <c r="A568" s="66">
        <v>7564.0</v>
      </c>
      <c r="B568" s="66">
        <v>202.0</v>
      </c>
      <c r="C568" s="66">
        <v>32.0</v>
      </c>
      <c r="D568" s="66">
        <v>6.0</v>
      </c>
      <c r="E568" s="66">
        <v>3.0</v>
      </c>
      <c r="F568" s="66">
        <v>319.0</v>
      </c>
      <c r="G568" s="141">
        <v>93021.0</v>
      </c>
      <c r="H568" s="66">
        <v>7.0</v>
      </c>
      <c r="I568" s="132">
        <v>-81.29</v>
      </c>
      <c r="J568" s="133">
        <v>469.59</v>
      </c>
      <c r="K568" s="142">
        <v>40.0</v>
      </c>
      <c r="L568" s="111">
        <v>23.0</v>
      </c>
      <c r="M568" s="70">
        <v>1130.0</v>
      </c>
      <c r="N568" s="24" t="s">
        <v>4678</v>
      </c>
    </row>
    <row r="569">
      <c r="A569" s="66">
        <v>7565.0</v>
      </c>
      <c r="B569" s="66">
        <v>207.0</v>
      </c>
      <c r="C569" s="66">
        <v>12.0</v>
      </c>
      <c r="D569" s="66">
        <v>1.0</v>
      </c>
      <c r="E569" s="66">
        <v>7.0</v>
      </c>
      <c r="F569" s="66">
        <v>765.0</v>
      </c>
      <c r="G569" s="141">
        <v>83190.0</v>
      </c>
      <c r="H569" s="66">
        <v>6.0</v>
      </c>
      <c r="I569" s="132">
        <v>55318.9</v>
      </c>
      <c r="J569" s="133">
        <v>655.91</v>
      </c>
      <c r="K569" s="142">
        <v>8.0</v>
      </c>
      <c r="L569" s="111">
        <v>21.0</v>
      </c>
      <c r="M569" s="70">
        <v>1730.0</v>
      </c>
      <c r="N569" s="24" t="s">
        <v>4679</v>
      </c>
    </row>
    <row r="570">
      <c r="A570" s="66">
        <v>7566.0</v>
      </c>
      <c r="B570" s="66">
        <v>207.0</v>
      </c>
      <c r="C570" s="66">
        <v>32.0</v>
      </c>
      <c r="D570" s="66">
        <v>6.0</v>
      </c>
      <c r="E570" s="66">
        <v>6.0</v>
      </c>
      <c r="F570" s="66">
        <v>569.0</v>
      </c>
      <c r="G570" s="141">
        <v>123113.0</v>
      </c>
      <c r="H570" s="66">
        <v>6.0</v>
      </c>
      <c r="I570" s="132">
        <v>6172.3</v>
      </c>
      <c r="J570" s="133">
        <v>63649.56</v>
      </c>
      <c r="K570" s="142">
        <v>80.0</v>
      </c>
      <c r="L570" s="111">
        <v>21.0</v>
      </c>
      <c r="M570" s="70">
        <v>230.0</v>
      </c>
      <c r="N570" s="24" t="s">
        <v>4680</v>
      </c>
    </row>
    <row r="571">
      <c r="A571" s="66">
        <v>7567.0</v>
      </c>
      <c r="B571" s="66">
        <v>204.0</v>
      </c>
      <c r="C571" s="66">
        <v>12.0</v>
      </c>
      <c r="D571" s="66">
        <v>1.0</v>
      </c>
      <c r="E571" s="66">
        <v>9.0</v>
      </c>
      <c r="F571" s="66">
        <v>104.0</v>
      </c>
      <c r="G571" s="141">
        <v>13106.0</v>
      </c>
      <c r="H571" s="66">
        <v>6.0</v>
      </c>
      <c r="I571" s="132">
        <v>83716.79</v>
      </c>
      <c r="J571" s="133">
        <v>10.82</v>
      </c>
      <c r="K571" s="142">
        <v>57.0</v>
      </c>
      <c r="L571" s="111">
        <v>23.0</v>
      </c>
      <c r="M571" s="70">
        <v>130.0</v>
      </c>
      <c r="N571" s="24" t="s">
        <v>4681</v>
      </c>
    </row>
    <row r="572">
      <c r="A572" s="66">
        <v>7568.0</v>
      </c>
      <c r="B572" s="66">
        <v>209.0</v>
      </c>
      <c r="C572" s="66">
        <v>94.0</v>
      </c>
      <c r="D572" s="66">
        <v>1.0</v>
      </c>
      <c r="E572" s="66">
        <v>2.0</v>
      </c>
      <c r="F572" s="66">
        <v>879.0</v>
      </c>
      <c r="G572" s="141">
        <v>103195.0</v>
      </c>
      <c r="H572" s="66">
        <v>3.0</v>
      </c>
      <c r="I572" s="132">
        <v>-483.34</v>
      </c>
      <c r="J572" s="133">
        <v>9222.49</v>
      </c>
      <c r="K572" s="142">
        <v>10.0</v>
      </c>
      <c r="L572" s="111">
        <v>22.0</v>
      </c>
      <c r="M572" s="70">
        <v>2200.0</v>
      </c>
      <c r="N572" s="24" t="s">
        <v>4682</v>
      </c>
    </row>
    <row r="573">
      <c r="A573" s="66">
        <v>7569.0</v>
      </c>
      <c r="B573" s="66">
        <v>208.0</v>
      </c>
      <c r="C573" s="66">
        <v>32.0</v>
      </c>
      <c r="D573" s="66">
        <v>6.0</v>
      </c>
      <c r="E573" s="66">
        <v>9.0</v>
      </c>
      <c r="F573" s="66">
        <v>258.0</v>
      </c>
      <c r="G573" s="141">
        <v>53100.0</v>
      </c>
      <c r="H573" s="66">
        <v>3.0</v>
      </c>
      <c r="I573" s="132">
        <v>-3101.83</v>
      </c>
      <c r="J573" s="133">
        <v>-29580.13</v>
      </c>
      <c r="K573" s="142">
        <v>35.0</v>
      </c>
      <c r="L573" s="111">
        <v>22.0</v>
      </c>
      <c r="M573" s="70">
        <v>2200.0</v>
      </c>
      <c r="N573" s="24" t="s">
        <v>4683</v>
      </c>
    </row>
    <row r="574">
      <c r="A574" s="66">
        <v>7570.0</v>
      </c>
      <c r="B574" s="66">
        <v>212.0</v>
      </c>
      <c r="C574" s="66">
        <v>73.0</v>
      </c>
      <c r="D574" s="66">
        <v>6.0</v>
      </c>
      <c r="E574" s="66">
        <v>6.0</v>
      </c>
      <c r="F574" s="66">
        <v>581.0</v>
      </c>
      <c r="G574" s="141">
        <v>103197.0</v>
      </c>
      <c r="H574" s="66">
        <v>3.0</v>
      </c>
      <c r="I574" s="132">
        <v>2461.69</v>
      </c>
      <c r="J574" s="133">
        <v>-85827.73</v>
      </c>
      <c r="K574" s="142">
        <v>78.0</v>
      </c>
      <c r="L574" s="111">
        <v>23.0</v>
      </c>
      <c r="M574" s="70">
        <v>1530.0</v>
      </c>
      <c r="N574" s="24" t="s">
        <v>4684</v>
      </c>
    </row>
    <row r="575">
      <c r="A575" s="66">
        <v>7571.0</v>
      </c>
      <c r="B575" s="66">
        <v>201.0</v>
      </c>
      <c r="C575" s="66">
        <v>94.0</v>
      </c>
      <c r="D575" s="66">
        <v>1.0</v>
      </c>
      <c r="E575" s="66">
        <v>1.0</v>
      </c>
      <c r="F575" s="66">
        <v>517.0</v>
      </c>
      <c r="G575" s="141">
        <v>113002.0</v>
      </c>
      <c r="H575" s="66">
        <v>6.0</v>
      </c>
      <c r="I575" s="132">
        <v>30888.45</v>
      </c>
      <c r="J575" s="133">
        <v>79.8</v>
      </c>
      <c r="K575" s="142">
        <v>16.0</v>
      </c>
      <c r="L575" s="111">
        <v>21.0</v>
      </c>
      <c r="M575" s="70">
        <v>1500.0</v>
      </c>
      <c r="N575" s="24" t="s">
        <v>4685</v>
      </c>
    </row>
    <row r="576">
      <c r="A576" s="66">
        <v>7572.0</v>
      </c>
      <c r="B576" s="66">
        <v>217.0</v>
      </c>
      <c r="C576" s="66">
        <v>73.0</v>
      </c>
      <c r="D576" s="66">
        <v>6.0</v>
      </c>
      <c r="E576" s="66">
        <v>8.0</v>
      </c>
      <c r="F576" s="66">
        <v>953.0</v>
      </c>
      <c r="G576" s="141">
        <v>113006.0</v>
      </c>
      <c r="H576" s="66">
        <v>8.0</v>
      </c>
      <c r="I576" s="132">
        <v>92943.23</v>
      </c>
      <c r="J576" s="133">
        <v>-758.75</v>
      </c>
      <c r="K576" s="142">
        <v>37.0</v>
      </c>
      <c r="L576" s="111">
        <v>20.0</v>
      </c>
      <c r="M576" s="70">
        <v>800.0</v>
      </c>
      <c r="N576" s="24" t="s">
        <v>4686</v>
      </c>
    </row>
    <row r="577">
      <c r="A577" s="66">
        <v>7573.0</v>
      </c>
      <c r="B577" s="66">
        <v>206.0</v>
      </c>
      <c r="C577" s="66">
        <v>32.0</v>
      </c>
      <c r="D577" s="66">
        <v>7.0</v>
      </c>
      <c r="E577" s="66">
        <v>2.0</v>
      </c>
      <c r="F577" s="66">
        <v>380.0</v>
      </c>
      <c r="G577" s="141">
        <v>83104.0</v>
      </c>
      <c r="H577" s="66">
        <v>3.0</v>
      </c>
      <c r="I577" s="132">
        <v>96918.89</v>
      </c>
      <c r="J577" s="133">
        <v>-16.18</v>
      </c>
      <c r="K577" s="142">
        <v>35.0</v>
      </c>
      <c r="L577" s="111">
        <v>21.0</v>
      </c>
      <c r="M577" s="70">
        <v>1230.0</v>
      </c>
      <c r="N577" s="24" t="s">
        <v>4687</v>
      </c>
    </row>
    <row r="578">
      <c r="A578" s="66">
        <v>7574.0</v>
      </c>
      <c r="B578" s="66">
        <v>211.0</v>
      </c>
      <c r="C578" s="66">
        <v>94.0</v>
      </c>
      <c r="D578" s="66">
        <v>1.0</v>
      </c>
      <c r="E578" s="66">
        <v>4.0</v>
      </c>
      <c r="F578" s="66">
        <v>693.0</v>
      </c>
      <c r="G578" s="141">
        <v>123199.0</v>
      </c>
      <c r="H578" s="66">
        <v>1.0</v>
      </c>
      <c r="I578" s="132">
        <v>24862.13</v>
      </c>
      <c r="J578" s="133">
        <v>6817.79</v>
      </c>
      <c r="K578" s="142">
        <v>11.0</v>
      </c>
      <c r="L578" s="111">
        <v>21.0</v>
      </c>
      <c r="M578" s="70">
        <v>1300.0</v>
      </c>
      <c r="N578" s="24" t="s">
        <v>4688</v>
      </c>
    </row>
    <row r="579">
      <c r="A579" s="66">
        <v>7575.0</v>
      </c>
      <c r="B579" s="66">
        <v>204.0</v>
      </c>
      <c r="C579" s="66">
        <v>73.0</v>
      </c>
      <c r="D579" s="66">
        <v>7.0</v>
      </c>
      <c r="E579" s="66">
        <v>1.0</v>
      </c>
      <c r="F579" s="66">
        <v>841.0</v>
      </c>
      <c r="G579" s="141">
        <v>123109.0</v>
      </c>
      <c r="H579" s="66">
        <v>4.0</v>
      </c>
      <c r="I579" s="132">
        <v>80390.63</v>
      </c>
      <c r="J579" s="133">
        <v>-75306.42</v>
      </c>
      <c r="K579" s="142">
        <v>12.0</v>
      </c>
      <c r="L579" s="111">
        <v>23.0</v>
      </c>
      <c r="M579" s="70">
        <v>1030.0</v>
      </c>
      <c r="N579" s="24" t="s">
        <v>4689</v>
      </c>
    </row>
    <row r="580">
      <c r="A580" s="66">
        <v>7576.0</v>
      </c>
      <c r="B580" s="66">
        <v>211.0</v>
      </c>
      <c r="C580" s="66">
        <v>94.0</v>
      </c>
      <c r="D580" s="66">
        <v>2.0</v>
      </c>
      <c r="E580" s="66">
        <v>1.0</v>
      </c>
      <c r="F580" s="66">
        <v>141.0</v>
      </c>
      <c r="G580" s="141">
        <v>73108.0</v>
      </c>
      <c r="H580" s="66">
        <v>2.0</v>
      </c>
      <c r="I580" s="132">
        <v>264.36</v>
      </c>
      <c r="J580" s="133">
        <v>19164.71</v>
      </c>
      <c r="K580" s="142">
        <v>45.0</v>
      </c>
      <c r="L580" s="111">
        <v>23.0</v>
      </c>
      <c r="M580" s="70">
        <v>1100.0</v>
      </c>
      <c r="N580" s="24" t="s">
        <v>4690</v>
      </c>
    </row>
    <row r="581">
      <c r="A581" s="66">
        <v>7577.0</v>
      </c>
      <c r="B581" s="66">
        <v>203.0</v>
      </c>
      <c r="C581" s="66">
        <v>73.0</v>
      </c>
      <c r="D581" s="66">
        <v>7.0</v>
      </c>
      <c r="E581" s="66">
        <v>5.0</v>
      </c>
      <c r="F581" s="66">
        <v>808.0</v>
      </c>
      <c r="G581" s="141">
        <v>43017.0</v>
      </c>
      <c r="H581" s="66">
        <v>8.0</v>
      </c>
      <c r="I581" s="132">
        <v>-83.7</v>
      </c>
      <c r="J581" s="133">
        <v>605.85</v>
      </c>
      <c r="K581" s="142">
        <v>3.0</v>
      </c>
      <c r="L581" s="111">
        <v>23.0</v>
      </c>
      <c r="M581" s="70">
        <v>300.0</v>
      </c>
      <c r="N581" s="24" t="s">
        <v>4691</v>
      </c>
    </row>
    <row r="582">
      <c r="A582" s="66">
        <v>7578.0</v>
      </c>
      <c r="B582" s="66">
        <v>207.0</v>
      </c>
      <c r="C582" s="66">
        <v>12.0</v>
      </c>
      <c r="D582" s="66">
        <v>3.0</v>
      </c>
      <c r="E582" s="66">
        <v>1.0</v>
      </c>
      <c r="F582" s="66">
        <v>585.0</v>
      </c>
      <c r="G582" s="141">
        <v>22817.0</v>
      </c>
      <c r="H582" s="66">
        <v>7.0</v>
      </c>
      <c r="I582" s="132">
        <v>104.99</v>
      </c>
      <c r="J582" s="133">
        <v>168.9</v>
      </c>
      <c r="K582" s="142">
        <v>49.0</v>
      </c>
      <c r="L582" s="111">
        <v>20.0</v>
      </c>
      <c r="M582" s="70">
        <v>530.0</v>
      </c>
      <c r="N582" s="24" t="s">
        <v>4692</v>
      </c>
    </row>
    <row r="583">
      <c r="A583" s="66">
        <v>7579.0</v>
      </c>
      <c r="B583" s="66">
        <v>212.0</v>
      </c>
      <c r="C583" s="66">
        <v>32.0</v>
      </c>
      <c r="D583" s="66">
        <v>8.0</v>
      </c>
      <c r="E583" s="66">
        <v>1.0</v>
      </c>
      <c r="F583" s="66">
        <v>675.0</v>
      </c>
      <c r="G583" s="141">
        <v>93000.0</v>
      </c>
      <c r="H583" s="66">
        <v>7.0</v>
      </c>
      <c r="I583" s="132">
        <v>39.1</v>
      </c>
      <c r="J583" s="133">
        <v>-77.43</v>
      </c>
      <c r="K583" s="142">
        <v>77.0</v>
      </c>
      <c r="L583" s="111">
        <v>22.0</v>
      </c>
      <c r="M583" s="70">
        <v>1300.0</v>
      </c>
      <c r="N583" s="24" t="s">
        <v>4693</v>
      </c>
    </row>
    <row r="584">
      <c r="A584" s="66">
        <v>7580.0</v>
      </c>
      <c r="B584" s="66">
        <v>206.0</v>
      </c>
      <c r="C584" s="66">
        <v>94.0</v>
      </c>
      <c r="D584" s="66">
        <v>2.0</v>
      </c>
      <c r="E584" s="66">
        <v>6.0</v>
      </c>
      <c r="F584" s="66">
        <v>543.0</v>
      </c>
      <c r="G584" s="141">
        <v>83113.0</v>
      </c>
      <c r="H584" s="66">
        <v>2.0</v>
      </c>
      <c r="I584" s="132">
        <v>98.73</v>
      </c>
      <c r="J584" s="133">
        <v>-9226.81</v>
      </c>
      <c r="K584" s="142">
        <v>73.0</v>
      </c>
      <c r="L584" s="111">
        <v>20.0</v>
      </c>
      <c r="M584" s="70">
        <v>1000.0</v>
      </c>
      <c r="N584" s="24" t="s">
        <v>4694</v>
      </c>
    </row>
    <row r="585">
      <c r="A585" s="66">
        <v>7581.0</v>
      </c>
      <c r="B585" s="66">
        <v>207.0</v>
      </c>
      <c r="C585" s="66">
        <v>12.0</v>
      </c>
      <c r="D585" s="66">
        <v>3.0</v>
      </c>
      <c r="E585" s="66">
        <v>4.0</v>
      </c>
      <c r="F585" s="66">
        <v>972.0</v>
      </c>
      <c r="G585" s="141">
        <v>43012.0</v>
      </c>
      <c r="H585" s="66">
        <v>3.0</v>
      </c>
      <c r="I585" s="132">
        <v>-55103.43</v>
      </c>
      <c r="J585" s="133">
        <v>7529.26</v>
      </c>
      <c r="K585" s="142">
        <v>94.0</v>
      </c>
      <c r="L585" s="111">
        <v>22.0</v>
      </c>
      <c r="M585" s="70">
        <v>2330.0</v>
      </c>
      <c r="N585" s="24" t="s">
        <v>4695</v>
      </c>
    </row>
    <row r="586">
      <c r="A586" s="66">
        <v>7582.0</v>
      </c>
      <c r="B586" s="66">
        <v>203.0</v>
      </c>
      <c r="C586" s="66">
        <v>32.0</v>
      </c>
      <c r="D586" s="66">
        <v>8.0</v>
      </c>
      <c r="E586" s="66">
        <v>4.0</v>
      </c>
      <c r="F586" s="66">
        <v>486.0</v>
      </c>
      <c r="G586" s="141">
        <v>33108.0</v>
      </c>
      <c r="H586" s="66">
        <v>8.0</v>
      </c>
      <c r="I586" s="132">
        <v>7445.58</v>
      </c>
      <c r="J586" s="133">
        <v>55923.41</v>
      </c>
      <c r="K586" s="142">
        <v>72.0</v>
      </c>
      <c r="L586" s="111">
        <v>23.0</v>
      </c>
      <c r="M586" s="70">
        <v>300.0</v>
      </c>
      <c r="N586" s="24" t="s">
        <v>4696</v>
      </c>
    </row>
    <row r="587">
      <c r="A587" s="66">
        <v>7583.0</v>
      </c>
      <c r="B587" s="66">
        <v>201.0</v>
      </c>
      <c r="C587" s="66">
        <v>12.0</v>
      </c>
      <c r="D587" s="66">
        <v>3.0</v>
      </c>
      <c r="E587" s="66">
        <v>6.0</v>
      </c>
      <c r="F587" s="66">
        <v>313.0</v>
      </c>
      <c r="G587" s="141">
        <v>22898.0</v>
      </c>
      <c r="H587" s="66">
        <v>6.0</v>
      </c>
      <c r="I587" s="132">
        <v>62.5</v>
      </c>
      <c r="J587" s="133">
        <v>-651.6</v>
      </c>
      <c r="K587" s="142">
        <v>44.0</v>
      </c>
      <c r="L587" s="111">
        <v>22.0</v>
      </c>
      <c r="M587" s="70">
        <v>400.0</v>
      </c>
      <c r="N587" s="24" t="s">
        <v>4697</v>
      </c>
    </row>
    <row r="588">
      <c r="A588" s="66">
        <v>7584.0</v>
      </c>
      <c r="B588" s="66">
        <v>207.0</v>
      </c>
      <c r="C588" s="66">
        <v>32.0</v>
      </c>
      <c r="D588" s="66">
        <v>8.0</v>
      </c>
      <c r="E588" s="66">
        <v>8.0</v>
      </c>
      <c r="F588" s="66">
        <v>917.0</v>
      </c>
      <c r="G588" s="141">
        <v>113090.0</v>
      </c>
      <c r="H588" s="66">
        <v>1.0</v>
      </c>
      <c r="I588" s="132">
        <v>41227.46</v>
      </c>
      <c r="J588" s="133">
        <v>10.48</v>
      </c>
      <c r="K588" s="142">
        <v>18.0</v>
      </c>
      <c r="L588" s="111">
        <v>22.0</v>
      </c>
      <c r="M588" s="70">
        <v>2130.0</v>
      </c>
      <c r="N588" s="24" t="s">
        <v>4698</v>
      </c>
    </row>
    <row r="589">
      <c r="A589" s="66">
        <v>7585.0</v>
      </c>
      <c r="B589" s="66">
        <v>202.0</v>
      </c>
      <c r="C589" s="66">
        <v>32.0</v>
      </c>
      <c r="D589" s="66">
        <v>8.0</v>
      </c>
      <c r="E589" s="66">
        <v>9.0</v>
      </c>
      <c r="F589" s="66">
        <v>231.0</v>
      </c>
      <c r="G589" s="141">
        <v>73197.0</v>
      </c>
      <c r="H589" s="66">
        <v>7.0</v>
      </c>
      <c r="I589" s="132">
        <v>-46.36</v>
      </c>
      <c r="J589" s="133">
        <v>654.71</v>
      </c>
      <c r="K589" s="142">
        <v>65.0</v>
      </c>
      <c r="L589" s="111">
        <v>22.0</v>
      </c>
      <c r="M589" s="70">
        <v>900.0</v>
      </c>
      <c r="N589" s="24" t="s">
        <v>4699</v>
      </c>
    </row>
    <row r="590">
      <c r="A590" s="66">
        <v>7586.0</v>
      </c>
      <c r="B590" s="66">
        <v>212.0</v>
      </c>
      <c r="C590" s="66">
        <v>12.0</v>
      </c>
      <c r="D590" s="66">
        <v>4.0</v>
      </c>
      <c r="E590" s="66">
        <v>3.0</v>
      </c>
      <c r="F590" s="66">
        <v>715.0</v>
      </c>
      <c r="G590" s="141">
        <v>53192.0</v>
      </c>
      <c r="H590" s="66">
        <v>1.0</v>
      </c>
      <c r="I590" s="132">
        <v>51.77</v>
      </c>
      <c r="J590" s="133">
        <v>51433.61</v>
      </c>
      <c r="K590" s="142">
        <v>13.0</v>
      </c>
      <c r="L590" s="111">
        <v>21.0</v>
      </c>
      <c r="M590" s="70">
        <v>2230.0</v>
      </c>
      <c r="N590" s="24" t="s">
        <v>4700</v>
      </c>
    </row>
    <row r="591">
      <c r="A591" s="66">
        <v>7587.0</v>
      </c>
      <c r="B591" s="66">
        <v>205.0</v>
      </c>
      <c r="C591" s="66">
        <v>73.0</v>
      </c>
      <c r="D591" s="66">
        <v>8.0</v>
      </c>
      <c r="E591" s="66">
        <v>9.0</v>
      </c>
      <c r="F591" s="66">
        <v>490.0</v>
      </c>
      <c r="G591" s="141">
        <v>123197.0</v>
      </c>
      <c r="H591" s="66">
        <v>9.0</v>
      </c>
      <c r="I591" s="132">
        <v>23993.68</v>
      </c>
      <c r="J591" s="133">
        <v>382.41</v>
      </c>
      <c r="K591" s="142">
        <v>28.0</v>
      </c>
      <c r="L591" s="111">
        <v>22.0</v>
      </c>
      <c r="M591" s="70">
        <v>2130.0</v>
      </c>
      <c r="N591" s="24" t="s">
        <v>4701</v>
      </c>
    </row>
    <row r="592">
      <c r="A592" s="66">
        <v>7588.0</v>
      </c>
      <c r="B592" s="66">
        <v>217.0</v>
      </c>
      <c r="C592" s="66">
        <v>73.0</v>
      </c>
      <c r="D592" s="66">
        <v>9.0</v>
      </c>
      <c r="E592" s="66">
        <v>3.0</v>
      </c>
      <c r="F592" s="66">
        <v>485.0</v>
      </c>
      <c r="G592" s="141">
        <v>43098.0</v>
      </c>
      <c r="H592" s="66">
        <v>7.0</v>
      </c>
      <c r="I592" s="132">
        <v>1870.62</v>
      </c>
      <c r="J592" s="133">
        <v>3103.4</v>
      </c>
      <c r="K592" s="142">
        <v>92.0</v>
      </c>
      <c r="L592" s="111">
        <v>22.0</v>
      </c>
      <c r="M592" s="70">
        <v>1100.0</v>
      </c>
      <c r="N592" s="24" t="s">
        <v>4702</v>
      </c>
    </row>
    <row r="593">
      <c r="A593" s="66">
        <v>7589.0</v>
      </c>
      <c r="B593" s="66">
        <v>205.0</v>
      </c>
      <c r="C593" s="66">
        <v>94.0</v>
      </c>
      <c r="D593" s="66">
        <v>4.0</v>
      </c>
      <c r="E593" s="66">
        <v>2.0</v>
      </c>
      <c r="F593" s="66">
        <v>208.0</v>
      </c>
      <c r="G593" s="141">
        <v>63001.0</v>
      </c>
      <c r="H593" s="66">
        <v>2.0</v>
      </c>
      <c r="I593" s="132">
        <v>71102.32</v>
      </c>
      <c r="J593" s="133">
        <v>279.23</v>
      </c>
      <c r="K593" s="142">
        <v>25.0</v>
      </c>
      <c r="L593" s="111">
        <v>22.0</v>
      </c>
      <c r="M593" s="70">
        <v>1100.0</v>
      </c>
      <c r="N593" s="24" t="s">
        <v>4703</v>
      </c>
    </row>
    <row r="594">
      <c r="A594" s="66">
        <v>7590.0</v>
      </c>
      <c r="B594" s="66">
        <v>201.0</v>
      </c>
      <c r="C594" s="66">
        <v>53.0</v>
      </c>
      <c r="D594" s="66">
        <v>4.0</v>
      </c>
      <c r="E594" s="66">
        <v>7.0</v>
      </c>
      <c r="F594" s="66">
        <v>764.0</v>
      </c>
      <c r="G594" s="141">
        <v>63002.0</v>
      </c>
      <c r="H594" s="66">
        <v>8.0</v>
      </c>
      <c r="I594" s="132">
        <v>41824.0</v>
      </c>
      <c r="J594" s="133">
        <v>999.26</v>
      </c>
      <c r="K594" s="142">
        <v>59.0</v>
      </c>
      <c r="L594" s="111">
        <v>20.0</v>
      </c>
      <c r="M594" s="70">
        <v>830.0</v>
      </c>
      <c r="N594" s="24" t="s">
        <v>4704</v>
      </c>
    </row>
    <row r="595">
      <c r="A595" s="66">
        <v>7591.0</v>
      </c>
      <c r="B595" s="66">
        <v>203.0</v>
      </c>
      <c r="C595" s="66">
        <v>53.0</v>
      </c>
      <c r="D595" s="66">
        <v>4.0</v>
      </c>
      <c r="E595" s="66">
        <v>5.0</v>
      </c>
      <c r="F595" s="66">
        <v>688.0</v>
      </c>
      <c r="G595" s="141">
        <v>123195.0</v>
      </c>
      <c r="H595" s="66">
        <v>1.0</v>
      </c>
      <c r="I595" s="132">
        <v>13534.83</v>
      </c>
      <c r="J595" s="133">
        <v>1354.44</v>
      </c>
      <c r="K595" s="142">
        <v>25.0</v>
      </c>
      <c r="L595" s="111">
        <v>20.0</v>
      </c>
      <c r="M595" s="70">
        <v>630.0</v>
      </c>
      <c r="N595" s="24" t="s">
        <v>4705</v>
      </c>
    </row>
    <row r="596">
      <c r="A596" s="66">
        <v>7592.0</v>
      </c>
      <c r="B596" s="66">
        <v>201.0</v>
      </c>
      <c r="C596" s="66">
        <v>32.0</v>
      </c>
      <c r="D596" s="66">
        <v>9.0</v>
      </c>
      <c r="E596" s="66">
        <v>8.0</v>
      </c>
      <c r="F596" s="66">
        <v>474.0</v>
      </c>
      <c r="G596" s="141">
        <v>113010.0</v>
      </c>
      <c r="H596" s="66">
        <v>1.0</v>
      </c>
      <c r="I596" s="132">
        <v>-536.79</v>
      </c>
      <c r="J596" s="133">
        <v>-704.24</v>
      </c>
      <c r="K596" s="142">
        <v>48.0</v>
      </c>
      <c r="L596" s="111">
        <v>22.0</v>
      </c>
      <c r="M596" s="70">
        <v>2030.0</v>
      </c>
      <c r="N596" s="24" t="s">
        <v>4706</v>
      </c>
    </row>
    <row r="597">
      <c r="A597" s="66">
        <v>7593.0</v>
      </c>
      <c r="B597" s="66">
        <v>205.0</v>
      </c>
      <c r="C597" s="66">
        <v>53.0</v>
      </c>
      <c r="D597" s="66">
        <v>5.0</v>
      </c>
      <c r="E597" s="66">
        <v>4.0</v>
      </c>
      <c r="F597" s="66">
        <v>120.0</v>
      </c>
      <c r="G597" s="141">
        <v>22894.0</v>
      </c>
      <c r="H597" s="66">
        <v>7.0</v>
      </c>
      <c r="I597" s="132">
        <v>15127.95</v>
      </c>
      <c r="J597" s="133">
        <v>341.63</v>
      </c>
      <c r="K597" s="142">
        <v>25.0</v>
      </c>
      <c r="L597" s="111">
        <v>23.0</v>
      </c>
      <c r="M597" s="70">
        <v>430.0</v>
      </c>
      <c r="N597" s="24" t="s">
        <v>4707</v>
      </c>
    </row>
    <row r="598">
      <c r="A598" s="66">
        <v>7594.0</v>
      </c>
      <c r="B598" s="66">
        <v>200.0</v>
      </c>
      <c r="C598" s="66">
        <v>12.0</v>
      </c>
      <c r="D598" s="66">
        <v>5.0</v>
      </c>
      <c r="E598" s="66">
        <v>9.0</v>
      </c>
      <c r="F598" s="66">
        <v>749.0</v>
      </c>
      <c r="G598" s="141">
        <v>13117.0</v>
      </c>
      <c r="H598" s="66">
        <v>7.0</v>
      </c>
      <c r="I598" s="132">
        <v>36.79</v>
      </c>
      <c r="J598" s="133">
        <v>-690.22</v>
      </c>
      <c r="K598" s="142">
        <v>45.0</v>
      </c>
      <c r="L598" s="111">
        <v>20.0</v>
      </c>
      <c r="M598" s="70">
        <v>330.0</v>
      </c>
      <c r="N598" s="24" t="s">
        <v>4708</v>
      </c>
    </row>
    <row r="599">
      <c r="A599" s="66">
        <v>7595.0</v>
      </c>
      <c r="B599" s="66">
        <v>215.0</v>
      </c>
      <c r="C599" s="66">
        <v>12.0</v>
      </c>
      <c r="D599" s="66">
        <v>6.0</v>
      </c>
      <c r="E599" s="66">
        <v>3.0</v>
      </c>
      <c r="F599" s="66">
        <v>443.0</v>
      </c>
      <c r="G599" s="141">
        <v>33194.0</v>
      </c>
      <c r="H599" s="66">
        <v>6.0</v>
      </c>
      <c r="I599" s="132">
        <v>193.41</v>
      </c>
      <c r="J599" s="133">
        <v>43998.62</v>
      </c>
      <c r="K599" s="142">
        <v>99.0</v>
      </c>
      <c r="L599" s="111">
        <v>23.0</v>
      </c>
      <c r="M599" s="70">
        <v>1130.0</v>
      </c>
      <c r="N599" s="24" t="s">
        <v>4709</v>
      </c>
    </row>
    <row r="600">
      <c r="A600" s="66">
        <v>7596.0</v>
      </c>
      <c r="B600" s="66">
        <v>205.0</v>
      </c>
      <c r="C600" s="66">
        <v>12.0</v>
      </c>
      <c r="D600" s="66">
        <v>6.0</v>
      </c>
      <c r="E600" s="66">
        <v>7.0</v>
      </c>
      <c r="F600" s="66">
        <v>576.0</v>
      </c>
      <c r="G600" s="141">
        <v>63015.0</v>
      </c>
      <c r="H600" s="66">
        <v>1.0</v>
      </c>
      <c r="I600" s="132">
        <v>990.13</v>
      </c>
      <c r="J600" s="133">
        <v>8207.74</v>
      </c>
      <c r="K600" s="142">
        <v>90.0</v>
      </c>
      <c r="L600" s="111">
        <v>23.0</v>
      </c>
      <c r="M600" s="70">
        <v>700.0</v>
      </c>
      <c r="N600" s="24" t="s">
        <v>4710</v>
      </c>
    </row>
    <row r="601">
      <c r="A601" s="66">
        <v>7597.0</v>
      </c>
      <c r="B601" s="66">
        <v>206.0</v>
      </c>
      <c r="C601" s="66">
        <v>33.0</v>
      </c>
      <c r="D601" s="66">
        <v>1.0</v>
      </c>
      <c r="E601" s="66">
        <v>5.0</v>
      </c>
      <c r="F601" s="66">
        <v>730.0</v>
      </c>
      <c r="G601" s="141">
        <v>13199.0</v>
      </c>
      <c r="H601" s="66">
        <v>8.0</v>
      </c>
      <c r="I601" s="132">
        <v>4707.37</v>
      </c>
      <c r="J601" s="133">
        <v>958.9</v>
      </c>
      <c r="K601" s="142">
        <v>70.0</v>
      </c>
      <c r="L601" s="111">
        <v>21.0</v>
      </c>
      <c r="M601" s="70">
        <v>2030.0</v>
      </c>
      <c r="N601" s="24" t="s">
        <v>4711</v>
      </c>
    </row>
    <row r="602">
      <c r="A602" s="66">
        <v>7598.0</v>
      </c>
      <c r="B602" s="66">
        <v>205.0</v>
      </c>
      <c r="C602" s="66">
        <v>12.0</v>
      </c>
      <c r="D602" s="66">
        <v>6.0</v>
      </c>
      <c r="E602" s="66">
        <v>9.0</v>
      </c>
      <c r="F602" s="66">
        <v>450.0</v>
      </c>
      <c r="G602" s="141">
        <v>103108.0</v>
      </c>
      <c r="H602" s="66">
        <v>5.0</v>
      </c>
      <c r="I602" s="132">
        <v>-207.73</v>
      </c>
      <c r="J602" s="133">
        <v>-6456.58</v>
      </c>
      <c r="K602" s="142">
        <v>50.0</v>
      </c>
      <c r="L602" s="111">
        <v>20.0</v>
      </c>
      <c r="M602" s="70">
        <v>1100.0</v>
      </c>
      <c r="N602" s="24" t="s">
        <v>4712</v>
      </c>
    </row>
    <row r="603">
      <c r="A603" s="66">
        <v>7599.0</v>
      </c>
      <c r="B603" s="66">
        <v>219.0</v>
      </c>
      <c r="C603" s="66">
        <v>74.0</v>
      </c>
      <c r="D603" s="66">
        <v>1.0</v>
      </c>
      <c r="E603" s="66">
        <v>6.0</v>
      </c>
      <c r="F603" s="66">
        <v>739.0</v>
      </c>
      <c r="G603" s="141">
        <v>53113.0</v>
      </c>
      <c r="H603" s="66">
        <v>6.0</v>
      </c>
      <c r="I603" s="132">
        <v>58517.0</v>
      </c>
      <c r="J603" s="133">
        <v>-35.43</v>
      </c>
      <c r="K603" s="142">
        <v>49.0</v>
      </c>
      <c r="L603" s="111">
        <v>21.0</v>
      </c>
      <c r="M603" s="70">
        <v>1630.0</v>
      </c>
      <c r="N603" s="24" t="s">
        <v>4713</v>
      </c>
    </row>
    <row r="604">
      <c r="A604" s="66">
        <v>7600.0</v>
      </c>
      <c r="B604" s="66">
        <v>216.0</v>
      </c>
      <c r="C604" s="66">
        <v>53.0</v>
      </c>
      <c r="D604" s="66">
        <v>7.0</v>
      </c>
      <c r="E604" s="66">
        <v>2.0</v>
      </c>
      <c r="F604" s="66">
        <v>588.0</v>
      </c>
      <c r="G604" s="141">
        <v>13191.0</v>
      </c>
      <c r="H604" s="66">
        <v>9.0</v>
      </c>
      <c r="I604" s="132">
        <v>56656.25</v>
      </c>
      <c r="J604" s="133">
        <v>280.3</v>
      </c>
      <c r="K604" s="142">
        <v>12.0</v>
      </c>
      <c r="L604" s="111">
        <v>23.0</v>
      </c>
      <c r="M604" s="70">
        <v>1200.0</v>
      </c>
      <c r="N604" s="24" t="s">
        <v>4714</v>
      </c>
    </row>
    <row r="605">
      <c r="A605" s="66">
        <v>7601.0</v>
      </c>
      <c r="B605" s="66">
        <v>212.0</v>
      </c>
      <c r="C605" s="66">
        <v>94.0</v>
      </c>
      <c r="D605" s="66">
        <v>6.0</v>
      </c>
      <c r="E605" s="66">
        <v>8.0</v>
      </c>
      <c r="F605" s="66">
        <v>908.0</v>
      </c>
      <c r="G605" s="141">
        <v>33113.0</v>
      </c>
      <c r="H605" s="66">
        <v>1.0</v>
      </c>
      <c r="I605" s="132">
        <v>90583.71</v>
      </c>
      <c r="J605" s="133">
        <v>64224.89</v>
      </c>
      <c r="K605" s="142">
        <v>19.0</v>
      </c>
      <c r="L605" s="111">
        <v>22.0</v>
      </c>
      <c r="M605" s="70">
        <v>1600.0</v>
      </c>
      <c r="N605" s="24" t="s">
        <v>4715</v>
      </c>
    </row>
    <row r="606">
      <c r="A606" s="66">
        <v>7602.0</v>
      </c>
      <c r="B606" s="66">
        <v>209.0</v>
      </c>
      <c r="C606" s="66">
        <v>12.0</v>
      </c>
      <c r="D606" s="66">
        <v>7.0</v>
      </c>
      <c r="E606" s="66">
        <v>8.0</v>
      </c>
      <c r="F606" s="66">
        <v>361.0</v>
      </c>
      <c r="G606" s="141">
        <v>13118.0</v>
      </c>
      <c r="H606" s="66">
        <v>3.0</v>
      </c>
      <c r="I606" s="132">
        <v>735.9</v>
      </c>
      <c r="J606" s="133">
        <v>-320.13</v>
      </c>
      <c r="K606" s="142">
        <v>36.0</v>
      </c>
      <c r="L606" s="111">
        <v>20.0</v>
      </c>
      <c r="M606" s="70">
        <v>1430.0</v>
      </c>
      <c r="N606" s="24" t="s">
        <v>4716</v>
      </c>
    </row>
    <row r="607">
      <c r="A607" s="66">
        <v>7603.0</v>
      </c>
      <c r="B607" s="66">
        <v>203.0</v>
      </c>
      <c r="C607" s="66">
        <v>53.0</v>
      </c>
      <c r="D607" s="66">
        <v>7.0</v>
      </c>
      <c r="E607" s="66">
        <v>3.0</v>
      </c>
      <c r="F607" s="66">
        <v>505.0</v>
      </c>
      <c r="G607" s="141">
        <v>53114.0</v>
      </c>
      <c r="H607" s="66">
        <v>6.0</v>
      </c>
      <c r="I607" s="132">
        <v>-14487.24</v>
      </c>
      <c r="J607" s="133">
        <v>26957.7</v>
      </c>
      <c r="K607" s="142">
        <v>76.0</v>
      </c>
      <c r="L607" s="111">
        <v>20.0</v>
      </c>
      <c r="M607" s="70">
        <v>1800.0</v>
      </c>
      <c r="N607" s="24" t="s">
        <v>4717</v>
      </c>
    </row>
    <row r="608">
      <c r="A608" s="66">
        <v>7604.0</v>
      </c>
      <c r="B608" s="66">
        <v>217.0</v>
      </c>
      <c r="C608" s="66">
        <v>33.0</v>
      </c>
      <c r="D608" s="66">
        <v>2.0</v>
      </c>
      <c r="E608" s="66">
        <v>9.0</v>
      </c>
      <c r="F608" s="66">
        <v>115.0</v>
      </c>
      <c r="G608" s="141">
        <v>22822.0</v>
      </c>
      <c r="H608" s="66">
        <v>8.0</v>
      </c>
      <c r="I608" s="132">
        <v>731.29</v>
      </c>
      <c r="J608" s="133">
        <v>2592.8</v>
      </c>
      <c r="K608" s="142">
        <v>81.0</v>
      </c>
      <c r="L608" s="111">
        <v>21.0</v>
      </c>
      <c r="M608" s="70">
        <v>2100.0</v>
      </c>
      <c r="N608" s="24" t="s">
        <v>4718</v>
      </c>
    </row>
    <row r="609">
      <c r="A609" s="66">
        <v>7605.0</v>
      </c>
      <c r="B609" s="66">
        <v>205.0</v>
      </c>
      <c r="C609" s="66">
        <v>74.0</v>
      </c>
      <c r="D609" s="66">
        <v>2.0</v>
      </c>
      <c r="E609" s="66">
        <v>7.0</v>
      </c>
      <c r="F609" s="66">
        <v>810.0</v>
      </c>
      <c r="G609" s="141">
        <v>93012.0</v>
      </c>
      <c r="H609" s="66">
        <v>1.0</v>
      </c>
      <c r="I609" s="132">
        <v>11.77</v>
      </c>
      <c r="J609" s="133">
        <v>-6825.3</v>
      </c>
      <c r="K609" s="142">
        <v>86.0</v>
      </c>
      <c r="L609" s="111">
        <v>23.0</v>
      </c>
      <c r="M609" s="70">
        <v>2100.0</v>
      </c>
      <c r="N609" s="24" t="s">
        <v>4719</v>
      </c>
    </row>
    <row r="610">
      <c r="A610" s="66">
        <v>7606.0</v>
      </c>
      <c r="B610" s="66">
        <v>219.0</v>
      </c>
      <c r="C610" s="66">
        <v>33.0</v>
      </c>
      <c r="D610" s="66">
        <v>3.0</v>
      </c>
      <c r="E610" s="66">
        <v>3.0</v>
      </c>
      <c r="F610" s="66">
        <v>743.0</v>
      </c>
      <c r="G610" s="141">
        <v>73195.0</v>
      </c>
      <c r="H610" s="66">
        <v>2.0</v>
      </c>
      <c r="I610" s="132">
        <v>46165.83</v>
      </c>
      <c r="J610" s="133">
        <v>842.42</v>
      </c>
      <c r="K610" s="142">
        <v>82.0</v>
      </c>
      <c r="L610" s="111">
        <v>21.0</v>
      </c>
      <c r="M610" s="70">
        <v>1400.0</v>
      </c>
      <c r="N610" s="24" t="s">
        <v>4720</v>
      </c>
    </row>
    <row r="611">
      <c r="A611" s="66">
        <v>7607.0</v>
      </c>
      <c r="B611" s="66">
        <v>205.0</v>
      </c>
      <c r="C611" s="66">
        <v>94.0</v>
      </c>
      <c r="D611" s="66">
        <v>7.0</v>
      </c>
      <c r="E611" s="66">
        <v>7.0</v>
      </c>
      <c r="F611" s="66">
        <v>863.0</v>
      </c>
      <c r="G611" s="141">
        <v>103114.0</v>
      </c>
      <c r="H611" s="66">
        <v>3.0</v>
      </c>
      <c r="I611" s="132">
        <v>70325.89</v>
      </c>
      <c r="J611" s="133">
        <v>8214.27</v>
      </c>
      <c r="K611" s="142">
        <v>27.0</v>
      </c>
      <c r="L611" s="111">
        <v>21.0</v>
      </c>
      <c r="M611" s="70">
        <v>930.0</v>
      </c>
      <c r="N611" s="24" t="s">
        <v>4721</v>
      </c>
    </row>
    <row r="612">
      <c r="A612" s="66">
        <v>7608.0</v>
      </c>
      <c r="B612" s="66">
        <v>203.0</v>
      </c>
      <c r="C612" s="66">
        <v>53.0</v>
      </c>
      <c r="D612" s="66">
        <v>8.0</v>
      </c>
      <c r="E612" s="66">
        <v>3.0</v>
      </c>
      <c r="F612" s="66">
        <v>417.0</v>
      </c>
      <c r="G612" s="141">
        <v>22815.0</v>
      </c>
      <c r="H612" s="66">
        <v>8.0</v>
      </c>
      <c r="I612" s="132">
        <v>634.67</v>
      </c>
      <c r="J612" s="133">
        <v>24644.79</v>
      </c>
      <c r="K612" s="142">
        <v>95.0</v>
      </c>
      <c r="L612" s="111">
        <v>21.0</v>
      </c>
      <c r="M612" s="70">
        <v>930.0</v>
      </c>
      <c r="N612" s="24" t="s">
        <v>4722</v>
      </c>
    </row>
    <row r="613">
      <c r="A613" s="66">
        <v>7609.0</v>
      </c>
      <c r="B613" s="66">
        <v>213.0</v>
      </c>
      <c r="C613" s="66">
        <v>74.0</v>
      </c>
      <c r="D613" s="66">
        <v>3.0</v>
      </c>
      <c r="E613" s="66">
        <v>2.0</v>
      </c>
      <c r="F613" s="66">
        <v>213.0</v>
      </c>
      <c r="G613" s="141">
        <v>43016.0</v>
      </c>
      <c r="H613" s="66">
        <v>3.0</v>
      </c>
      <c r="I613" s="132">
        <v>6682.29</v>
      </c>
      <c r="J613" s="133">
        <v>27681.7</v>
      </c>
      <c r="K613" s="142">
        <v>76.0</v>
      </c>
      <c r="L613" s="111">
        <v>22.0</v>
      </c>
      <c r="M613" s="70">
        <v>1930.0</v>
      </c>
      <c r="N613" s="24" t="s">
        <v>4723</v>
      </c>
    </row>
    <row r="614">
      <c r="A614" s="66">
        <v>7610.0</v>
      </c>
      <c r="B614" s="66">
        <v>215.0</v>
      </c>
      <c r="C614" s="66">
        <v>33.0</v>
      </c>
      <c r="D614" s="66">
        <v>3.0</v>
      </c>
      <c r="E614" s="66">
        <v>7.0</v>
      </c>
      <c r="F614" s="66">
        <v>409.0</v>
      </c>
      <c r="G614" s="141">
        <v>103190.0</v>
      </c>
      <c r="H614" s="66">
        <v>3.0</v>
      </c>
      <c r="I614" s="132">
        <v>91.5</v>
      </c>
      <c r="J614" s="133">
        <v>818.9</v>
      </c>
      <c r="K614" s="142">
        <v>21.0</v>
      </c>
      <c r="L614" s="111">
        <v>21.0</v>
      </c>
      <c r="M614" s="70">
        <v>1430.0</v>
      </c>
      <c r="N614" s="24" t="s">
        <v>4724</v>
      </c>
    </row>
    <row r="615">
      <c r="A615" s="66">
        <v>7611.0</v>
      </c>
      <c r="B615" s="66">
        <v>202.0</v>
      </c>
      <c r="C615" s="66">
        <v>94.0</v>
      </c>
      <c r="D615" s="66">
        <v>8.0</v>
      </c>
      <c r="E615" s="66">
        <v>3.0</v>
      </c>
      <c r="F615" s="66">
        <v>979.0</v>
      </c>
      <c r="G615" s="141">
        <v>113003.0</v>
      </c>
      <c r="H615" s="66">
        <v>4.0</v>
      </c>
      <c r="I615" s="132">
        <v>9113.24</v>
      </c>
      <c r="J615" s="133">
        <v>38.92</v>
      </c>
      <c r="K615" s="142">
        <v>97.0</v>
      </c>
      <c r="L615" s="111">
        <v>23.0</v>
      </c>
      <c r="M615" s="70">
        <v>700.0</v>
      </c>
      <c r="N615" s="24" t="s">
        <v>4725</v>
      </c>
    </row>
    <row r="616">
      <c r="A616" s="66">
        <v>7612.0</v>
      </c>
      <c r="B616" s="66">
        <v>220.0</v>
      </c>
      <c r="C616" s="66">
        <v>53.0</v>
      </c>
      <c r="D616" s="66">
        <v>8.0</v>
      </c>
      <c r="E616" s="66">
        <v>8.0</v>
      </c>
      <c r="F616" s="66">
        <v>892.0</v>
      </c>
      <c r="G616" s="141">
        <v>22908.0</v>
      </c>
      <c r="H616" s="66">
        <v>4.0</v>
      </c>
      <c r="I616" s="132">
        <v>-9252.5</v>
      </c>
      <c r="J616" s="133">
        <v>-675.59</v>
      </c>
      <c r="K616" s="142">
        <v>35.0</v>
      </c>
      <c r="L616" s="111">
        <v>21.0</v>
      </c>
      <c r="M616" s="70">
        <v>1530.0</v>
      </c>
      <c r="N616" s="24" t="s">
        <v>4726</v>
      </c>
    </row>
    <row r="617">
      <c r="A617" s="66">
        <v>7613.0</v>
      </c>
      <c r="B617" s="66">
        <v>201.0</v>
      </c>
      <c r="C617" s="66">
        <v>12.0</v>
      </c>
      <c r="D617" s="66">
        <v>9.0</v>
      </c>
      <c r="E617" s="66">
        <v>4.0</v>
      </c>
      <c r="F617" s="66">
        <v>742.0</v>
      </c>
      <c r="G617" s="141">
        <v>22813.0</v>
      </c>
      <c r="H617" s="66">
        <v>6.0</v>
      </c>
      <c r="I617" s="132">
        <v>-773.48</v>
      </c>
      <c r="J617" s="133">
        <v>43785.37</v>
      </c>
      <c r="K617" s="142">
        <v>82.0</v>
      </c>
      <c r="L617" s="111">
        <v>23.0</v>
      </c>
      <c r="M617" s="70">
        <v>100.0</v>
      </c>
      <c r="N617" s="24" t="s">
        <v>4727</v>
      </c>
    </row>
    <row r="618">
      <c r="A618" s="66">
        <v>7614.0</v>
      </c>
      <c r="B618" s="66">
        <v>208.0</v>
      </c>
      <c r="C618" s="66">
        <v>53.0</v>
      </c>
      <c r="D618" s="66">
        <v>9.0</v>
      </c>
      <c r="E618" s="66">
        <v>3.0</v>
      </c>
      <c r="F618" s="66">
        <v>542.0</v>
      </c>
      <c r="G618" s="141">
        <v>43001.0</v>
      </c>
      <c r="H618" s="66">
        <v>3.0</v>
      </c>
      <c r="I618" s="132">
        <v>69515.6</v>
      </c>
      <c r="J618" s="133">
        <v>7493.14</v>
      </c>
      <c r="K618" s="142">
        <v>80.0</v>
      </c>
      <c r="L618" s="111">
        <v>23.0</v>
      </c>
      <c r="M618" s="70">
        <v>530.0</v>
      </c>
      <c r="N618" s="24" t="s">
        <v>4728</v>
      </c>
    </row>
    <row r="619">
      <c r="A619" s="66">
        <v>7615.0</v>
      </c>
      <c r="B619" s="66">
        <v>205.0</v>
      </c>
      <c r="C619" s="66">
        <v>94.0</v>
      </c>
      <c r="D619" s="66">
        <v>8.0</v>
      </c>
      <c r="E619" s="66">
        <v>9.0</v>
      </c>
      <c r="F619" s="66">
        <v>611.0</v>
      </c>
      <c r="G619" s="141">
        <v>13122.0</v>
      </c>
      <c r="H619" s="66">
        <v>3.0</v>
      </c>
      <c r="I619" s="132">
        <v>77848.99</v>
      </c>
      <c r="J619" s="133">
        <v>8590.63</v>
      </c>
      <c r="K619" s="142">
        <v>25.0</v>
      </c>
      <c r="L619" s="111">
        <v>23.0</v>
      </c>
      <c r="M619" s="70">
        <v>130.0</v>
      </c>
      <c r="N619" s="24" t="s">
        <v>4729</v>
      </c>
    </row>
    <row r="620">
      <c r="A620" s="66">
        <v>7616.0</v>
      </c>
      <c r="B620" s="66">
        <v>218.0</v>
      </c>
      <c r="C620" s="66">
        <v>33.0</v>
      </c>
      <c r="D620" s="66">
        <v>4.0</v>
      </c>
      <c r="E620" s="66">
        <v>9.0</v>
      </c>
      <c r="F620" s="66">
        <v>910.0</v>
      </c>
      <c r="G620" s="141">
        <v>33199.0</v>
      </c>
      <c r="H620" s="66">
        <v>4.0</v>
      </c>
      <c r="I620" s="132">
        <v>6250.44</v>
      </c>
      <c r="J620" s="133">
        <v>51.19</v>
      </c>
      <c r="K620" s="142">
        <v>89.0</v>
      </c>
      <c r="L620" s="111">
        <v>23.0</v>
      </c>
      <c r="M620" s="70">
        <v>230.0</v>
      </c>
      <c r="N620" s="24" t="s">
        <v>4730</v>
      </c>
    </row>
    <row r="621">
      <c r="A621" s="66">
        <v>7617.0</v>
      </c>
      <c r="B621" s="66">
        <v>214.0</v>
      </c>
      <c r="C621" s="66">
        <v>94.0</v>
      </c>
      <c r="D621" s="66">
        <v>9.0</v>
      </c>
      <c r="E621" s="66">
        <v>4.0</v>
      </c>
      <c r="F621" s="66">
        <v>554.0</v>
      </c>
      <c r="G621" s="141">
        <v>83194.0</v>
      </c>
      <c r="H621" s="66">
        <v>4.0</v>
      </c>
      <c r="I621" s="132">
        <v>4987.6</v>
      </c>
      <c r="J621" s="133">
        <v>92199.5</v>
      </c>
      <c r="K621" s="142">
        <v>17.0</v>
      </c>
      <c r="L621" s="111">
        <v>20.0</v>
      </c>
      <c r="M621" s="70">
        <v>1230.0</v>
      </c>
      <c r="N621" s="24" t="s">
        <v>4731</v>
      </c>
    </row>
    <row r="622">
      <c r="A622" s="66">
        <v>7618.0</v>
      </c>
      <c r="B622" s="66">
        <v>219.0</v>
      </c>
      <c r="C622" s="66">
        <v>74.0</v>
      </c>
      <c r="D622" s="66">
        <v>4.0</v>
      </c>
      <c r="E622" s="66">
        <v>8.0</v>
      </c>
      <c r="F622" s="66">
        <v>706.0</v>
      </c>
      <c r="G622" s="141">
        <v>83105.0</v>
      </c>
      <c r="H622" s="66">
        <v>5.0</v>
      </c>
      <c r="I622" s="132">
        <v>722.77</v>
      </c>
      <c r="J622" s="133">
        <v>-28936.71</v>
      </c>
      <c r="K622" s="142">
        <v>13.0</v>
      </c>
      <c r="L622" s="111">
        <v>22.0</v>
      </c>
      <c r="M622" s="70">
        <v>1300.0</v>
      </c>
      <c r="N622" s="24" t="s">
        <v>4732</v>
      </c>
    </row>
    <row r="623">
      <c r="A623" s="66">
        <v>7619.0</v>
      </c>
      <c r="B623" s="66">
        <v>207.0</v>
      </c>
      <c r="C623" s="66">
        <v>74.0</v>
      </c>
      <c r="D623" s="66">
        <v>4.0</v>
      </c>
      <c r="E623" s="66">
        <v>9.0</v>
      </c>
      <c r="F623" s="66">
        <v>791.0</v>
      </c>
      <c r="G623" s="141">
        <v>53191.0</v>
      </c>
      <c r="H623" s="66">
        <v>4.0</v>
      </c>
      <c r="I623" s="132">
        <v>355.62</v>
      </c>
      <c r="J623" s="133">
        <v>9048.46</v>
      </c>
      <c r="K623" s="142">
        <v>65.0</v>
      </c>
      <c r="L623" s="111">
        <v>21.0</v>
      </c>
      <c r="M623" s="70">
        <v>700.0</v>
      </c>
      <c r="N623" s="24" t="s">
        <v>4733</v>
      </c>
    </row>
    <row r="624">
      <c r="A624" s="66">
        <v>7620.0</v>
      </c>
      <c r="B624" s="66">
        <v>213.0</v>
      </c>
      <c r="C624" s="66">
        <v>33.0</v>
      </c>
      <c r="D624" s="66">
        <v>5.0</v>
      </c>
      <c r="E624" s="66">
        <v>3.0</v>
      </c>
      <c r="F624" s="66">
        <v>391.0</v>
      </c>
      <c r="G624" s="141">
        <v>83102.0</v>
      </c>
      <c r="H624" s="66">
        <v>4.0</v>
      </c>
      <c r="I624" s="132">
        <v>91395.47</v>
      </c>
      <c r="J624" s="133">
        <v>3759.72</v>
      </c>
      <c r="K624" s="142">
        <v>78.0</v>
      </c>
      <c r="L624" s="111">
        <v>21.0</v>
      </c>
      <c r="M624" s="70">
        <v>830.0</v>
      </c>
      <c r="N624" s="24" t="s">
        <v>4734</v>
      </c>
    </row>
    <row r="625">
      <c r="A625" s="66">
        <v>7621.0</v>
      </c>
      <c r="B625" s="66">
        <v>220.0</v>
      </c>
      <c r="C625" s="66">
        <v>94.0</v>
      </c>
      <c r="D625" s="66">
        <v>9.0</v>
      </c>
      <c r="E625" s="66">
        <v>8.0</v>
      </c>
      <c r="F625" s="66">
        <v>202.0</v>
      </c>
      <c r="G625" s="141">
        <v>113021.0</v>
      </c>
      <c r="H625" s="66">
        <v>1.0</v>
      </c>
      <c r="I625" s="132">
        <v>98922.6</v>
      </c>
      <c r="J625" s="133">
        <v>29902.55</v>
      </c>
      <c r="K625" s="142">
        <v>64.0</v>
      </c>
      <c r="L625" s="111">
        <v>22.0</v>
      </c>
      <c r="M625" s="70">
        <v>1500.0</v>
      </c>
      <c r="N625" s="24" t="s">
        <v>4735</v>
      </c>
    </row>
    <row r="626">
      <c r="A626" s="66">
        <v>7622.0</v>
      </c>
      <c r="B626" s="66">
        <v>207.0</v>
      </c>
      <c r="C626" s="66">
        <v>74.0</v>
      </c>
      <c r="D626" s="66">
        <v>5.0</v>
      </c>
      <c r="E626" s="66">
        <v>4.0</v>
      </c>
      <c r="F626" s="66">
        <v>393.0</v>
      </c>
      <c r="G626" s="141">
        <v>73121.0</v>
      </c>
      <c r="H626" s="66">
        <v>3.0</v>
      </c>
      <c r="I626" s="132">
        <v>27.7</v>
      </c>
      <c r="J626" s="133">
        <v>139.8</v>
      </c>
      <c r="K626" s="142">
        <v>5.0</v>
      </c>
      <c r="L626" s="111">
        <v>21.0</v>
      </c>
      <c r="M626" s="70">
        <v>200.0</v>
      </c>
      <c r="N626" s="24" t="s">
        <v>4736</v>
      </c>
    </row>
    <row r="627">
      <c r="A627" s="66">
        <v>7623.0</v>
      </c>
      <c r="B627" s="66">
        <v>211.0</v>
      </c>
      <c r="C627" s="66">
        <v>13.0</v>
      </c>
      <c r="D627" s="66">
        <v>1.0</v>
      </c>
      <c r="E627" s="66">
        <v>1.0</v>
      </c>
      <c r="F627" s="66">
        <v>828.0</v>
      </c>
      <c r="G627" s="141">
        <v>103106.0</v>
      </c>
      <c r="H627" s="66">
        <v>6.0</v>
      </c>
      <c r="I627" s="132">
        <v>4063.25</v>
      </c>
      <c r="J627" s="133">
        <v>712.55</v>
      </c>
      <c r="K627" s="142">
        <v>28.0</v>
      </c>
      <c r="L627" s="111">
        <v>23.0</v>
      </c>
      <c r="M627" s="70">
        <v>400.0</v>
      </c>
      <c r="N627" s="24" t="s">
        <v>4737</v>
      </c>
    </row>
    <row r="628">
      <c r="A628" s="66">
        <v>7624.0</v>
      </c>
      <c r="B628" s="66">
        <v>218.0</v>
      </c>
      <c r="C628" s="66">
        <v>74.0</v>
      </c>
      <c r="D628" s="66">
        <v>5.0</v>
      </c>
      <c r="E628" s="66">
        <v>7.0</v>
      </c>
      <c r="F628" s="66">
        <v>471.0</v>
      </c>
      <c r="G628" s="141">
        <v>93015.0</v>
      </c>
      <c r="H628" s="66">
        <v>3.0</v>
      </c>
      <c r="I628" s="132">
        <v>28961.83</v>
      </c>
      <c r="J628" s="133">
        <v>27484.39</v>
      </c>
      <c r="K628" s="142">
        <v>84.0</v>
      </c>
      <c r="L628" s="111">
        <v>23.0</v>
      </c>
      <c r="M628" s="70">
        <v>600.0</v>
      </c>
      <c r="N628" s="24" t="s">
        <v>4738</v>
      </c>
    </row>
    <row r="629">
      <c r="A629" s="66">
        <v>7625.0</v>
      </c>
      <c r="B629" s="66">
        <v>213.0</v>
      </c>
      <c r="C629" s="66">
        <v>13.0</v>
      </c>
      <c r="D629" s="66">
        <v>1.0</v>
      </c>
      <c r="E629" s="66">
        <v>4.0</v>
      </c>
      <c r="F629" s="66">
        <v>262.0</v>
      </c>
      <c r="G629" s="141">
        <v>53119.0</v>
      </c>
      <c r="H629" s="66">
        <v>1.0</v>
      </c>
      <c r="I629" s="132">
        <v>-2641.32</v>
      </c>
      <c r="J629" s="133">
        <v>23.45</v>
      </c>
      <c r="K629" s="142">
        <v>95.0</v>
      </c>
      <c r="L629" s="111">
        <v>22.0</v>
      </c>
      <c r="M629" s="70">
        <v>1730.0</v>
      </c>
      <c r="N629" s="24" t="s">
        <v>4739</v>
      </c>
    </row>
    <row r="630">
      <c r="A630" s="66">
        <v>7626.0</v>
      </c>
      <c r="B630" s="66">
        <v>213.0</v>
      </c>
      <c r="C630" s="66">
        <v>33.0</v>
      </c>
      <c r="D630" s="66">
        <v>6.0</v>
      </c>
      <c r="E630" s="66">
        <v>3.0</v>
      </c>
      <c r="F630" s="66">
        <v>686.0</v>
      </c>
      <c r="G630" s="141">
        <v>43022.0</v>
      </c>
      <c r="H630" s="66">
        <v>6.0</v>
      </c>
      <c r="I630" s="132">
        <v>986.68</v>
      </c>
      <c r="J630" s="133">
        <v>11.51</v>
      </c>
      <c r="K630" s="142">
        <v>61.0</v>
      </c>
      <c r="L630" s="111">
        <v>21.0</v>
      </c>
      <c r="M630" s="70">
        <v>1530.0</v>
      </c>
      <c r="N630" s="24" t="s">
        <v>4740</v>
      </c>
    </row>
    <row r="631">
      <c r="A631" s="66">
        <v>7627.0</v>
      </c>
      <c r="B631" s="66">
        <v>202.0</v>
      </c>
      <c r="C631" s="66">
        <v>33.0</v>
      </c>
      <c r="D631" s="66">
        <v>6.0</v>
      </c>
      <c r="E631" s="66">
        <v>4.0</v>
      </c>
      <c r="F631" s="66">
        <v>897.0</v>
      </c>
      <c r="G631" s="141">
        <v>13196.0</v>
      </c>
      <c r="H631" s="66">
        <v>2.0</v>
      </c>
      <c r="I631" s="132">
        <v>6956.19</v>
      </c>
      <c r="J631" s="133">
        <v>42973.64</v>
      </c>
      <c r="K631" s="142">
        <v>12.0</v>
      </c>
      <c r="L631" s="111">
        <v>21.0</v>
      </c>
      <c r="M631" s="70">
        <v>900.0</v>
      </c>
      <c r="N631" s="24" t="s">
        <v>4741</v>
      </c>
    </row>
    <row r="632">
      <c r="A632" s="66">
        <v>7628.0</v>
      </c>
      <c r="B632" s="66">
        <v>207.0</v>
      </c>
      <c r="C632" s="66">
        <v>54.0</v>
      </c>
      <c r="D632" s="66">
        <v>1.0</v>
      </c>
      <c r="E632" s="66">
        <v>3.0</v>
      </c>
      <c r="F632" s="66">
        <v>282.0</v>
      </c>
      <c r="G632" s="141">
        <v>103113.0</v>
      </c>
      <c r="H632" s="66">
        <v>5.0</v>
      </c>
      <c r="I632" s="132">
        <v>98.71</v>
      </c>
      <c r="J632" s="133">
        <v>39.61</v>
      </c>
      <c r="K632" s="142">
        <v>97.0</v>
      </c>
      <c r="L632" s="111">
        <v>21.0</v>
      </c>
      <c r="M632" s="70">
        <v>2000.0</v>
      </c>
      <c r="N632" s="24" t="s">
        <v>4742</v>
      </c>
    </row>
    <row r="633">
      <c r="A633" s="66">
        <v>7629.0</v>
      </c>
      <c r="B633" s="66">
        <v>214.0</v>
      </c>
      <c r="C633" s="66">
        <v>13.0</v>
      </c>
      <c r="D633" s="66">
        <v>1.0</v>
      </c>
      <c r="E633" s="66">
        <v>9.0</v>
      </c>
      <c r="F633" s="66">
        <v>999.0</v>
      </c>
      <c r="G633" s="141">
        <v>113093.0</v>
      </c>
      <c r="H633" s="66">
        <v>6.0</v>
      </c>
      <c r="I633" s="132">
        <v>85173.45</v>
      </c>
      <c r="J633" s="133">
        <v>50.69</v>
      </c>
      <c r="K633" s="142">
        <v>60.0</v>
      </c>
      <c r="L633" s="111">
        <v>22.0</v>
      </c>
      <c r="M633" s="70">
        <v>1200.0</v>
      </c>
      <c r="N633" s="24" t="s">
        <v>4743</v>
      </c>
    </row>
    <row r="634">
      <c r="A634" s="66">
        <v>7630.0</v>
      </c>
      <c r="B634" s="66">
        <v>215.0</v>
      </c>
      <c r="C634" s="66">
        <v>54.0</v>
      </c>
      <c r="D634" s="66">
        <v>1.0</v>
      </c>
      <c r="E634" s="66">
        <v>5.0</v>
      </c>
      <c r="F634" s="66">
        <v>964.0</v>
      </c>
      <c r="G634" s="141">
        <v>13100.0</v>
      </c>
      <c r="H634" s="66">
        <v>4.0</v>
      </c>
      <c r="I634" s="132">
        <v>-57418.43</v>
      </c>
      <c r="J634" s="133">
        <v>678.8</v>
      </c>
      <c r="K634" s="142">
        <v>50.0</v>
      </c>
      <c r="L634" s="111">
        <v>23.0</v>
      </c>
      <c r="M634" s="70">
        <v>1330.0</v>
      </c>
      <c r="N634" s="24" t="s">
        <v>4744</v>
      </c>
    </row>
    <row r="635">
      <c r="A635" s="66">
        <v>7631.0</v>
      </c>
      <c r="B635" s="66">
        <v>202.0</v>
      </c>
      <c r="C635" s="66">
        <v>95.0</v>
      </c>
      <c r="D635" s="66">
        <v>1.0</v>
      </c>
      <c r="E635" s="66">
        <v>3.0</v>
      </c>
      <c r="F635" s="66">
        <v>586.0</v>
      </c>
      <c r="G635" s="141">
        <v>113097.0</v>
      </c>
      <c r="H635" s="66">
        <v>7.0</v>
      </c>
      <c r="I635" s="132">
        <v>34.4</v>
      </c>
      <c r="J635" s="133">
        <v>18503.73</v>
      </c>
      <c r="K635" s="142">
        <v>87.0</v>
      </c>
      <c r="L635" s="111">
        <v>21.0</v>
      </c>
      <c r="M635" s="70">
        <v>830.0</v>
      </c>
      <c r="N635" s="24" t="s">
        <v>4745</v>
      </c>
    </row>
    <row r="636">
      <c r="A636" s="66">
        <v>7632.0</v>
      </c>
      <c r="B636" s="66">
        <v>220.0</v>
      </c>
      <c r="C636" s="66">
        <v>54.0</v>
      </c>
      <c r="D636" s="66">
        <v>1.0</v>
      </c>
      <c r="E636" s="66">
        <v>8.0</v>
      </c>
      <c r="F636" s="66">
        <v>936.0</v>
      </c>
      <c r="G636" s="141">
        <v>113000.0</v>
      </c>
      <c r="H636" s="66">
        <v>9.0</v>
      </c>
      <c r="I636" s="132">
        <v>84.55</v>
      </c>
      <c r="J636" s="133">
        <v>47097.48</v>
      </c>
      <c r="K636" s="142">
        <v>59.0</v>
      </c>
      <c r="L636" s="111">
        <v>20.0</v>
      </c>
      <c r="M636" s="70">
        <v>1330.0</v>
      </c>
      <c r="N636" s="24" t="s">
        <v>4746</v>
      </c>
    </row>
    <row r="637">
      <c r="A637" s="66">
        <v>7633.0</v>
      </c>
      <c r="B637" s="66">
        <v>203.0</v>
      </c>
      <c r="C637" s="66">
        <v>95.0</v>
      </c>
      <c r="D637" s="66">
        <v>1.0</v>
      </c>
      <c r="E637" s="66">
        <v>4.0</v>
      </c>
      <c r="F637" s="66">
        <v>221.0</v>
      </c>
      <c r="G637" s="141">
        <v>53196.0</v>
      </c>
      <c r="H637" s="66">
        <v>9.0</v>
      </c>
      <c r="I637" s="132">
        <v>2432.59</v>
      </c>
      <c r="J637" s="133">
        <v>-3576.45</v>
      </c>
      <c r="K637" s="142">
        <v>46.0</v>
      </c>
      <c r="L637" s="111">
        <v>23.0</v>
      </c>
      <c r="M637" s="70">
        <v>1800.0</v>
      </c>
      <c r="N637" s="24" t="s">
        <v>4544</v>
      </c>
    </row>
    <row r="638">
      <c r="A638" s="66">
        <v>7634.0</v>
      </c>
      <c r="B638" s="66">
        <v>216.0</v>
      </c>
      <c r="C638" s="66">
        <v>74.0</v>
      </c>
      <c r="D638" s="66">
        <v>6.0</v>
      </c>
      <c r="E638" s="66">
        <v>8.0</v>
      </c>
      <c r="F638" s="66">
        <v>224.0</v>
      </c>
      <c r="G638" s="141">
        <v>13190.0</v>
      </c>
      <c r="H638" s="66">
        <v>9.0</v>
      </c>
      <c r="I638" s="132">
        <v>6447.78</v>
      </c>
      <c r="J638" s="133">
        <v>-83.61</v>
      </c>
      <c r="K638" s="142">
        <v>75.0</v>
      </c>
      <c r="L638" s="111">
        <v>21.0</v>
      </c>
      <c r="M638" s="70">
        <v>900.0</v>
      </c>
      <c r="N638" s="24" t="s">
        <v>4747</v>
      </c>
    </row>
    <row r="639">
      <c r="A639" s="66">
        <v>7635.0</v>
      </c>
      <c r="B639" s="66">
        <v>217.0</v>
      </c>
      <c r="C639" s="66">
        <v>74.0</v>
      </c>
      <c r="D639" s="66">
        <v>6.0</v>
      </c>
      <c r="E639" s="66">
        <v>9.0</v>
      </c>
      <c r="F639" s="66">
        <v>577.0</v>
      </c>
      <c r="G639" s="141">
        <v>83191.0</v>
      </c>
      <c r="H639" s="66">
        <v>4.0</v>
      </c>
      <c r="I639" s="132">
        <v>453.87</v>
      </c>
      <c r="J639" s="133">
        <v>34982.9</v>
      </c>
      <c r="K639" s="142">
        <v>41.0</v>
      </c>
      <c r="L639" s="111">
        <v>21.0</v>
      </c>
      <c r="M639" s="70">
        <v>2030.0</v>
      </c>
      <c r="N639" s="24" t="s">
        <v>4748</v>
      </c>
    </row>
    <row r="640">
      <c r="A640" s="66">
        <v>7636.0</v>
      </c>
      <c r="B640" s="66">
        <v>214.0</v>
      </c>
      <c r="C640" s="66">
        <v>13.0</v>
      </c>
      <c r="D640" s="66">
        <v>2.0</v>
      </c>
      <c r="E640" s="66">
        <v>6.0</v>
      </c>
      <c r="F640" s="66">
        <v>259.0</v>
      </c>
      <c r="G640" s="141">
        <v>113091.0</v>
      </c>
      <c r="H640" s="66">
        <v>4.0</v>
      </c>
      <c r="I640" s="132">
        <v>4610.14</v>
      </c>
      <c r="J640" s="133">
        <v>63867.51</v>
      </c>
      <c r="K640" s="142">
        <v>77.0</v>
      </c>
      <c r="L640" s="111">
        <v>21.0</v>
      </c>
      <c r="M640" s="70">
        <v>2230.0</v>
      </c>
      <c r="N640" s="24" t="s">
        <v>4749</v>
      </c>
    </row>
    <row r="641">
      <c r="A641" s="66">
        <v>7637.0</v>
      </c>
      <c r="B641" s="66">
        <v>212.0</v>
      </c>
      <c r="C641" s="66">
        <v>54.0</v>
      </c>
      <c r="D641" s="66">
        <v>2.0</v>
      </c>
      <c r="E641" s="66">
        <v>4.0</v>
      </c>
      <c r="F641" s="66">
        <v>606.0</v>
      </c>
      <c r="G641" s="141">
        <v>33115.0</v>
      </c>
      <c r="H641" s="66">
        <v>2.0</v>
      </c>
      <c r="I641" s="132">
        <v>68138.67</v>
      </c>
      <c r="J641" s="133">
        <v>85.47</v>
      </c>
      <c r="K641" s="142">
        <v>74.0</v>
      </c>
      <c r="L641" s="111">
        <v>23.0</v>
      </c>
      <c r="M641" s="70">
        <v>1230.0</v>
      </c>
      <c r="N641" s="24" t="s">
        <v>4750</v>
      </c>
    </row>
    <row r="642">
      <c r="A642" s="66">
        <v>7638.0</v>
      </c>
      <c r="B642" s="66">
        <v>214.0</v>
      </c>
      <c r="C642" s="66">
        <v>74.0</v>
      </c>
      <c r="D642" s="66">
        <v>7.0</v>
      </c>
      <c r="E642" s="66">
        <v>2.0</v>
      </c>
      <c r="F642" s="66">
        <v>250.0</v>
      </c>
      <c r="G642" s="141">
        <v>43093.0</v>
      </c>
      <c r="H642" s="66">
        <v>5.0</v>
      </c>
      <c r="I642" s="132">
        <v>23911.69</v>
      </c>
      <c r="J642" s="133">
        <v>32.66</v>
      </c>
      <c r="K642" s="142">
        <v>13.0</v>
      </c>
      <c r="L642" s="111">
        <v>22.0</v>
      </c>
      <c r="M642" s="70">
        <v>1500.0</v>
      </c>
      <c r="N642" s="24" t="s">
        <v>4751</v>
      </c>
    </row>
    <row r="643">
      <c r="A643" s="66">
        <v>7639.0</v>
      </c>
      <c r="B643" s="66">
        <v>202.0</v>
      </c>
      <c r="C643" s="66">
        <v>95.0</v>
      </c>
      <c r="D643" s="66">
        <v>2.0</v>
      </c>
      <c r="E643" s="66">
        <v>2.0</v>
      </c>
      <c r="F643" s="66">
        <v>268.0</v>
      </c>
      <c r="G643" s="141">
        <v>63020.0</v>
      </c>
      <c r="H643" s="66">
        <v>8.0</v>
      </c>
      <c r="I643" s="132">
        <v>-21.94</v>
      </c>
      <c r="J643" s="133">
        <v>-21443.94</v>
      </c>
      <c r="K643" s="142">
        <v>65.0</v>
      </c>
      <c r="L643" s="111">
        <v>21.0</v>
      </c>
      <c r="M643" s="70">
        <v>230.0</v>
      </c>
      <c r="N643" s="24" t="s">
        <v>4752</v>
      </c>
    </row>
    <row r="644">
      <c r="A644" s="66">
        <v>7640.0</v>
      </c>
      <c r="B644" s="66">
        <v>201.0</v>
      </c>
      <c r="C644" s="66">
        <v>95.0</v>
      </c>
      <c r="D644" s="66">
        <v>2.0</v>
      </c>
      <c r="E644" s="66">
        <v>3.0</v>
      </c>
      <c r="F644" s="66">
        <v>332.0</v>
      </c>
      <c r="G644" s="141">
        <v>53195.0</v>
      </c>
      <c r="H644" s="66">
        <v>3.0</v>
      </c>
      <c r="I644" s="132">
        <v>8098.56</v>
      </c>
      <c r="J644" s="133">
        <v>-8578.62</v>
      </c>
      <c r="K644" s="142">
        <v>9.0</v>
      </c>
      <c r="L644" s="111">
        <v>20.0</v>
      </c>
      <c r="M644" s="70">
        <v>500.0</v>
      </c>
      <c r="N644" s="24" t="s">
        <v>4753</v>
      </c>
    </row>
    <row r="645">
      <c r="A645" s="66">
        <v>7641.0</v>
      </c>
      <c r="B645" s="66">
        <v>206.0</v>
      </c>
      <c r="C645" s="66">
        <v>95.0</v>
      </c>
      <c r="D645" s="66">
        <v>2.0</v>
      </c>
      <c r="E645" s="66">
        <v>5.0</v>
      </c>
      <c r="F645" s="66">
        <v>357.0</v>
      </c>
      <c r="G645" s="141">
        <v>43004.0</v>
      </c>
      <c r="H645" s="66">
        <v>3.0</v>
      </c>
      <c r="I645" s="132">
        <v>951.3</v>
      </c>
      <c r="J645" s="133">
        <v>-59132.43</v>
      </c>
      <c r="K645" s="142">
        <v>54.0</v>
      </c>
      <c r="L645" s="111">
        <v>21.0</v>
      </c>
      <c r="M645" s="70">
        <v>1400.0</v>
      </c>
      <c r="N645" s="24" t="s">
        <v>4754</v>
      </c>
    </row>
    <row r="646">
      <c r="A646" s="66">
        <v>7642.0</v>
      </c>
      <c r="B646" s="66">
        <v>201.0</v>
      </c>
      <c r="C646" s="66">
        <v>33.0</v>
      </c>
      <c r="D646" s="66">
        <v>8.0</v>
      </c>
      <c r="E646" s="66">
        <v>5.0</v>
      </c>
      <c r="F646" s="66">
        <v>393.0</v>
      </c>
      <c r="G646" s="141">
        <v>33122.0</v>
      </c>
      <c r="H646" s="66">
        <v>1.0</v>
      </c>
      <c r="I646" s="132">
        <v>7109.26</v>
      </c>
      <c r="J646" s="133">
        <v>552.87</v>
      </c>
      <c r="K646" s="142">
        <v>49.0</v>
      </c>
      <c r="L646" s="111">
        <v>23.0</v>
      </c>
      <c r="M646" s="70">
        <v>630.0</v>
      </c>
      <c r="N646" s="24" t="s">
        <v>4755</v>
      </c>
    </row>
    <row r="647">
      <c r="A647" s="66">
        <v>7643.0</v>
      </c>
      <c r="B647" s="66">
        <v>200.0</v>
      </c>
      <c r="C647" s="66">
        <v>13.0</v>
      </c>
      <c r="D647" s="66">
        <v>3.0</v>
      </c>
      <c r="E647" s="66">
        <v>8.0</v>
      </c>
      <c r="F647" s="66">
        <v>922.0</v>
      </c>
      <c r="G647" s="141">
        <v>123117.0</v>
      </c>
      <c r="H647" s="66">
        <v>9.0</v>
      </c>
      <c r="I647" s="132">
        <v>3898.49</v>
      </c>
      <c r="J647" s="133">
        <v>77196.1</v>
      </c>
      <c r="K647" s="142">
        <v>53.0</v>
      </c>
      <c r="L647" s="111">
        <v>23.0</v>
      </c>
      <c r="M647" s="70">
        <v>2100.0</v>
      </c>
      <c r="N647" s="24" t="s">
        <v>4756</v>
      </c>
    </row>
    <row r="648">
      <c r="A648" s="66">
        <v>7644.0</v>
      </c>
      <c r="B648" s="66">
        <v>207.0</v>
      </c>
      <c r="C648" s="66">
        <v>74.0</v>
      </c>
      <c r="D648" s="66">
        <v>8.0</v>
      </c>
      <c r="E648" s="66">
        <v>3.0</v>
      </c>
      <c r="F648" s="66">
        <v>345.0</v>
      </c>
      <c r="G648" s="141">
        <v>33120.0</v>
      </c>
      <c r="H648" s="66">
        <v>9.0</v>
      </c>
      <c r="I648" s="132">
        <v>63535.96</v>
      </c>
      <c r="J648" s="133">
        <v>892.11</v>
      </c>
      <c r="K648" s="142">
        <v>1.0</v>
      </c>
      <c r="L648" s="111">
        <v>20.0</v>
      </c>
      <c r="M648" s="70">
        <v>900.0</v>
      </c>
      <c r="N648" s="24" t="s">
        <v>4757</v>
      </c>
    </row>
    <row r="649">
      <c r="A649" s="66">
        <v>7645.0</v>
      </c>
      <c r="B649" s="66">
        <v>207.0</v>
      </c>
      <c r="C649" s="66">
        <v>33.0</v>
      </c>
      <c r="D649" s="66">
        <v>9.0</v>
      </c>
      <c r="E649" s="66">
        <v>1.0</v>
      </c>
      <c r="F649" s="66">
        <v>473.0</v>
      </c>
      <c r="G649" s="141">
        <v>73122.0</v>
      </c>
      <c r="H649" s="66">
        <v>7.0</v>
      </c>
      <c r="I649" s="132">
        <v>-41.55</v>
      </c>
      <c r="J649" s="133">
        <v>692.46</v>
      </c>
      <c r="K649" s="142">
        <v>43.0</v>
      </c>
      <c r="L649" s="111">
        <v>21.0</v>
      </c>
      <c r="M649" s="70">
        <v>1400.0</v>
      </c>
      <c r="N649" s="24" t="s">
        <v>4758</v>
      </c>
    </row>
    <row r="650">
      <c r="A650" s="66">
        <v>7646.0</v>
      </c>
      <c r="B650" s="66">
        <v>219.0</v>
      </c>
      <c r="C650" s="66">
        <v>33.0</v>
      </c>
      <c r="D650" s="66">
        <v>9.0</v>
      </c>
      <c r="E650" s="66">
        <v>2.0</v>
      </c>
      <c r="F650" s="66">
        <v>790.0</v>
      </c>
      <c r="G650" s="141">
        <v>123121.0</v>
      </c>
      <c r="H650" s="66">
        <v>4.0</v>
      </c>
      <c r="I650" s="132">
        <v>9296.3</v>
      </c>
      <c r="J650" s="133">
        <v>76120.34</v>
      </c>
      <c r="K650" s="142">
        <v>65.0</v>
      </c>
      <c r="L650" s="111">
        <v>21.0</v>
      </c>
      <c r="M650" s="70">
        <v>1430.0</v>
      </c>
      <c r="N650" s="24" t="s">
        <v>4759</v>
      </c>
    </row>
    <row r="651">
      <c r="A651" s="66">
        <v>7647.0</v>
      </c>
      <c r="B651" s="66">
        <v>218.0</v>
      </c>
      <c r="C651" s="66">
        <v>54.0</v>
      </c>
      <c r="D651" s="66">
        <v>4.0</v>
      </c>
      <c r="E651" s="66">
        <v>4.0</v>
      </c>
      <c r="F651" s="66">
        <v>339.0</v>
      </c>
      <c r="G651" s="141">
        <v>73106.0</v>
      </c>
      <c r="H651" s="66">
        <v>6.0</v>
      </c>
      <c r="I651" s="132">
        <v>-8476.39</v>
      </c>
      <c r="J651" s="133">
        <v>-545.5</v>
      </c>
      <c r="K651" s="142">
        <v>31.0</v>
      </c>
      <c r="L651" s="111">
        <v>23.0</v>
      </c>
      <c r="M651" s="70">
        <v>1730.0</v>
      </c>
      <c r="N651" s="24" t="s">
        <v>4760</v>
      </c>
    </row>
    <row r="652">
      <c r="A652" s="66">
        <v>7648.0</v>
      </c>
      <c r="B652" s="66">
        <v>218.0</v>
      </c>
      <c r="C652" s="66">
        <v>54.0</v>
      </c>
      <c r="D652" s="66">
        <v>4.0</v>
      </c>
      <c r="E652" s="66">
        <v>6.0</v>
      </c>
      <c r="F652" s="66">
        <v>388.0</v>
      </c>
      <c r="G652" s="141">
        <v>123193.0</v>
      </c>
      <c r="H652" s="66">
        <v>3.0</v>
      </c>
      <c r="I652" s="132">
        <v>-513.6</v>
      </c>
      <c r="J652" s="133">
        <v>-888.55</v>
      </c>
      <c r="K652" s="142">
        <v>84.0</v>
      </c>
      <c r="L652" s="111">
        <v>20.0</v>
      </c>
      <c r="M652" s="70">
        <v>1900.0</v>
      </c>
      <c r="N652" s="24" t="s">
        <v>4761</v>
      </c>
    </row>
    <row r="653">
      <c r="A653" s="66">
        <v>7649.0</v>
      </c>
      <c r="B653" s="66">
        <v>213.0</v>
      </c>
      <c r="C653" s="66">
        <v>13.0</v>
      </c>
      <c r="D653" s="66">
        <v>5.0</v>
      </c>
      <c r="E653" s="66">
        <v>1.0</v>
      </c>
      <c r="F653" s="66">
        <v>735.0</v>
      </c>
      <c r="G653" s="141">
        <v>63007.0</v>
      </c>
      <c r="H653" s="66">
        <v>6.0</v>
      </c>
      <c r="I653" s="132">
        <v>8402.6</v>
      </c>
      <c r="J653" s="133">
        <v>190.18</v>
      </c>
      <c r="K653" s="142">
        <v>43.0</v>
      </c>
      <c r="L653" s="111">
        <v>23.0</v>
      </c>
      <c r="M653" s="70">
        <v>600.0</v>
      </c>
      <c r="N653" s="24" t="s">
        <v>4762</v>
      </c>
    </row>
    <row r="654">
      <c r="A654" s="66">
        <v>7650.0</v>
      </c>
      <c r="B654" s="66">
        <v>208.0</v>
      </c>
      <c r="C654" s="66">
        <v>95.0</v>
      </c>
      <c r="D654" s="66">
        <v>4.0</v>
      </c>
      <c r="E654" s="66">
        <v>4.0</v>
      </c>
      <c r="F654" s="66">
        <v>394.0</v>
      </c>
      <c r="G654" s="141">
        <v>73112.0</v>
      </c>
      <c r="H654" s="66">
        <v>4.0</v>
      </c>
      <c r="I654" s="132">
        <v>44.76</v>
      </c>
      <c r="J654" s="133">
        <v>77.64</v>
      </c>
      <c r="K654" s="142">
        <v>69.0</v>
      </c>
      <c r="L654" s="111">
        <v>22.0</v>
      </c>
      <c r="M654" s="70">
        <v>2030.0</v>
      </c>
      <c r="N654" s="24" t="s">
        <v>4227</v>
      </c>
    </row>
    <row r="655">
      <c r="A655" s="66">
        <v>7651.0</v>
      </c>
      <c r="B655" s="66">
        <v>218.0</v>
      </c>
      <c r="C655" s="66">
        <v>13.0</v>
      </c>
      <c r="D655" s="66">
        <v>5.0</v>
      </c>
      <c r="E655" s="66">
        <v>3.0</v>
      </c>
      <c r="F655" s="66">
        <v>736.0</v>
      </c>
      <c r="G655" s="141">
        <v>13101.0</v>
      </c>
      <c r="H655" s="66">
        <v>7.0</v>
      </c>
      <c r="I655" s="132">
        <v>913.6</v>
      </c>
      <c r="J655" s="133">
        <v>8851.9</v>
      </c>
      <c r="K655" s="142">
        <v>68.0</v>
      </c>
      <c r="L655" s="111">
        <v>23.0</v>
      </c>
      <c r="M655" s="70">
        <v>2330.0</v>
      </c>
      <c r="N655" s="24" t="s">
        <v>4763</v>
      </c>
    </row>
    <row r="656">
      <c r="A656" s="66">
        <v>7652.0</v>
      </c>
      <c r="B656" s="66">
        <v>215.0</v>
      </c>
      <c r="C656" s="66">
        <v>74.0</v>
      </c>
      <c r="D656" s="66">
        <v>9.0</v>
      </c>
      <c r="E656" s="66">
        <v>6.0</v>
      </c>
      <c r="F656" s="66">
        <v>687.0</v>
      </c>
      <c r="G656" s="141">
        <v>93097.0</v>
      </c>
      <c r="H656" s="66">
        <v>4.0</v>
      </c>
      <c r="I656" s="132">
        <v>-663.7</v>
      </c>
      <c r="J656" s="133">
        <v>4699.23</v>
      </c>
      <c r="K656" s="142">
        <v>78.0</v>
      </c>
      <c r="L656" s="111">
        <v>20.0</v>
      </c>
      <c r="M656" s="70">
        <v>1000.0</v>
      </c>
      <c r="N656" s="24" t="s">
        <v>4764</v>
      </c>
    </row>
    <row r="657">
      <c r="A657" s="66">
        <v>7653.0</v>
      </c>
      <c r="B657" s="66">
        <v>219.0</v>
      </c>
      <c r="C657" s="66">
        <v>74.0</v>
      </c>
      <c r="D657" s="66">
        <v>9.0</v>
      </c>
      <c r="E657" s="66">
        <v>8.0</v>
      </c>
      <c r="F657" s="66">
        <v>458.0</v>
      </c>
      <c r="G657" s="141">
        <v>103109.0</v>
      </c>
      <c r="H657" s="66">
        <v>9.0</v>
      </c>
      <c r="I657" s="132">
        <v>32.55</v>
      </c>
      <c r="J657" s="133">
        <v>-76397.7</v>
      </c>
      <c r="K657" s="142">
        <v>24.0</v>
      </c>
      <c r="L657" s="111">
        <v>21.0</v>
      </c>
      <c r="M657" s="70">
        <v>1130.0</v>
      </c>
      <c r="N657" s="24" t="s">
        <v>4765</v>
      </c>
    </row>
    <row r="658">
      <c r="A658" s="66">
        <v>7654.0</v>
      </c>
      <c r="B658" s="66">
        <v>200.0</v>
      </c>
      <c r="C658" s="66">
        <v>13.0</v>
      </c>
      <c r="D658" s="66">
        <v>5.0</v>
      </c>
      <c r="E658" s="66">
        <v>6.0</v>
      </c>
      <c r="F658" s="66">
        <v>340.0</v>
      </c>
      <c r="G658" s="141">
        <v>22814.0</v>
      </c>
      <c r="H658" s="66">
        <v>9.0</v>
      </c>
      <c r="I658" s="132">
        <v>6052.86</v>
      </c>
      <c r="J658" s="133">
        <v>64.8</v>
      </c>
      <c r="K658" s="142">
        <v>17.0</v>
      </c>
      <c r="L658" s="111">
        <v>23.0</v>
      </c>
      <c r="M658" s="70">
        <v>1900.0</v>
      </c>
      <c r="N658" s="24" t="s">
        <v>4766</v>
      </c>
    </row>
    <row r="659">
      <c r="A659" s="66">
        <v>7655.0</v>
      </c>
      <c r="B659" s="66">
        <v>218.0</v>
      </c>
      <c r="C659" s="66">
        <v>13.0</v>
      </c>
      <c r="D659" s="66">
        <v>5.0</v>
      </c>
      <c r="E659" s="66">
        <v>7.0</v>
      </c>
      <c r="F659" s="66">
        <v>281.0</v>
      </c>
      <c r="G659" s="141">
        <v>43005.0</v>
      </c>
      <c r="H659" s="66">
        <v>3.0</v>
      </c>
      <c r="I659" s="132">
        <v>-14030.24</v>
      </c>
      <c r="J659" s="133">
        <v>642.71</v>
      </c>
      <c r="K659" s="142">
        <v>95.0</v>
      </c>
      <c r="L659" s="111">
        <v>23.0</v>
      </c>
      <c r="M659" s="70">
        <v>1430.0</v>
      </c>
      <c r="N659" s="24" t="s">
        <v>4767</v>
      </c>
    </row>
    <row r="660">
      <c r="A660" s="66">
        <v>7656.0</v>
      </c>
      <c r="B660" s="66">
        <v>214.0</v>
      </c>
      <c r="C660" s="66">
        <v>54.0</v>
      </c>
      <c r="D660" s="66">
        <v>5.0</v>
      </c>
      <c r="E660" s="66">
        <v>6.0</v>
      </c>
      <c r="F660" s="66">
        <v>756.0</v>
      </c>
      <c r="G660" s="141">
        <v>73196.0</v>
      </c>
      <c r="H660" s="66">
        <v>1.0</v>
      </c>
      <c r="I660" s="132">
        <v>-98.6</v>
      </c>
      <c r="J660" s="133">
        <v>-958.74</v>
      </c>
      <c r="K660" s="142">
        <v>97.0</v>
      </c>
      <c r="L660" s="111">
        <v>23.0</v>
      </c>
      <c r="M660" s="70">
        <v>2000.0</v>
      </c>
      <c r="N660" s="24" t="s">
        <v>4768</v>
      </c>
    </row>
    <row r="661">
      <c r="A661" s="66">
        <v>7657.0</v>
      </c>
      <c r="B661" s="66">
        <v>209.0</v>
      </c>
      <c r="C661" s="66">
        <v>13.0</v>
      </c>
      <c r="D661" s="66">
        <v>6.0</v>
      </c>
      <c r="E661" s="66">
        <v>1.0</v>
      </c>
      <c r="F661" s="66">
        <v>465.0</v>
      </c>
      <c r="G661" s="141">
        <v>22890.0</v>
      </c>
      <c r="H661" s="66">
        <v>6.0</v>
      </c>
      <c r="I661" s="132">
        <v>-998.56</v>
      </c>
      <c r="J661" s="133">
        <v>9986.85</v>
      </c>
      <c r="K661" s="142">
        <v>20.0</v>
      </c>
      <c r="L661" s="111">
        <v>23.0</v>
      </c>
      <c r="M661" s="70">
        <v>1630.0</v>
      </c>
      <c r="N661" s="24" t="s">
        <v>4769</v>
      </c>
    </row>
    <row r="662">
      <c r="A662" s="66">
        <v>7658.0</v>
      </c>
      <c r="B662" s="66">
        <v>216.0</v>
      </c>
      <c r="C662" s="66">
        <v>13.0</v>
      </c>
      <c r="D662" s="66">
        <v>6.0</v>
      </c>
      <c r="E662" s="66">
        <v>3.0</v>
      </c>
      <c r="F662" s="66">
        <v>206.0</v>
      </c>
      <c r="G662" s="141">
        <v>33110.0</v>
      </c>
      <c r="H662" s="66">
        <v>8.0</v>
      </c>
      <c r="I662" s="132">
        <v>63.7</v>
      </c>
      <c r="J662" s="133">
        <v>78.48</v>
      </c>
      <c r="K662" s="142">
        <v>35.0</v>
      </c>
      <c r="L662" s="111">
        <v>20.0</v>
      </c>
      <c r="M662" s="70">
        <v>1030.0</v>
      </c>
      <c r="N662" s="24" t="s">
        <v>4770</v>
      </c>
    </row>
    <row r="663">
      <c r="A663" s="66">
        <v>7659.0</v>
      </c>
      <c r="B663" s="66">
        <v>209.0</v>
      </c>
      <c r="C663" s="66">
        <v>34.0</v>
      </c>
      <c r="D663" s="66">
        <v>1.0</v>
      </c>
      <c r="E663" s="66">
        <v>2.0</v>
      </c>
      <c r="F663" s="66">
        <v>604.0</v>
      </c>
      <c r="G663" s="141">
        <v>103104.0</v>
      </c>
      <c r="H663" s="66">
        <v>3.0</v>
      </c>
      <c r="I663" s="132">
        <v>-46.24</v>
      </c>
      <c r="J663" s="133">
        <v>-45114.59</v>
      </c>
      <c r="K663" s="142">
        <v>74.0</v>
      </c>
      <c r="L663" s="111">
        <v>20.0</v>
      </c>
      <c r="M663" s="70">
        <v>1430.0</v>
      </c>
      <c r="N663" s="24" t="s">
        <v>4771</v>
      </c>
    </row>
    <row r="664">
      <c r="A664" s="66">
        <v>7660.0</v>
      </c>
      <c r="B664" s="66">
        <v>210.0</v>
      </c>
      <c r="C664" s="66">
        <v>34.0</v>
      </c>
      <c r="D664" s="66">
        <v>1.0</v>
      </c>
      <c r="E664" s="66">
        <v>1.0</v>
      </c>
      <c r="F664" s="66">
        <v>406.0</v>
      </c>
      <c r="G664" s="141">
        <v>43097.0</v>
      </c>
      <c r="H664" s="66">
        <v>8.0</v>
      </c>
      <c r="I664" s="132">
        <v>8295.41</v>
      </c>
      <c r="J664" s="133">
        <v>-5035.87</v>
      </c>
      <c r="K664" s="142">
        <v>61.0</v>
      </c>
      <c r="L664" s="111">
        <v>20.0</v>
      </c>
      <c r="M664" s="70">
        <v>300.0</v>
      </c>
      <c r="N664" s="24" t="s">
        <v>4772</v>
      </c>
    </row>
    <row r="665">
      <c r="A665" s="66">
        <v>7661.0</v>
      </c>
      <c r="B665" s="66">
        <v>210.0</v>
      </c>
      <c r="C665" s="66">
        <v>95.0</v>
      </c>
      <c r="D665" s="66">
        <v>5.0</v>
      </c>
      <c r="E665" s="66">
        <v>5.0</v>
      </c>
      <c r="F665" s="66">
        <v>346.0</v>
      </c>
      <c r="G665" s="141">
        <v>113018.0</v>
      </c>
      <c r="H665" s="66">
        <v>8.0</v>
      </c>
      <c r="I665" s="132">
        <v>302.29</v>
      </c>
      <c r="J665" s="133">
        <v>-741.32</v>
      </c>
      <c r="K665" s="142">
        <v>41.0</v>
      </c>
      <c r="L665" s="111">
        <v>23.0</v>
      </c>
      <c r="M665" s="70">
        <v>1430.0</v>
      </c>
      <c r="N665" s="24" t="s">
        <v>4773</v>
      </c>
    </row>
    <row r="666">
      <c r="A666" s="66">
        <v>7662.0</v>
      </c>
      <c r="B666" s="66">
        <v>211.0</v>
      </c>
      <c r="C666" s="66">
        <v>95.0</v>
      </c>
      <c r="D666" s="66">
        <v>5.0</v>
      </c>
      <c r="E666" s="66">
        <v>9.0</v>
      </c>
      <c r="F666" s="66">
        <v>455.0</v>
      </c>
      <c r="G666" s="141">
        <v>93096.0</v>
      </c>
      <c r="H666" s="66">
        <v>4.0</v>
      </c>
      <c r="I666" s="132">
        <v>8151.83</v>
      </c>
      <c r="J666" s="133">
        <v>73716.38</v>
      </c>
      <c r="K666" s="142">
        <v>84.0</v>
      </c>
      <c r="L666" s="111">
        <v>23.0</v>
      </c>
      <c r="M666" s="70">
        <v>1730.0</v>
      </c>
      <c r="N666" s="24" t="s">
        <v>4774</v>
      </c>
    </row>
    <row r="667">
      <c r="A667" s="66">
        <v>7663.0</v>
      </c>
      <c r="B667" s="66">
        <v>216.0</v>
      </c>
      <c r="C667" s="66">
        <v>13.0</v>
      </c>
      <c r="D667" s="66">
        <v>6.0</v>
      </c>
      <c r="E667" s="66">
        <v>4.0</v>
      </c>
      <c r="F667" s="66">
        <v>902.0</v>
      </c>
      <c r="G667" s="141">
        <v>103193.0</v>
      </c>
      <c r="H667" s="66">
        <v>4.0</v>
      </c>
      <c r="I667" s="132">
        <v>38.46</v>
      </c>
      <c r="J667" s="133">
        <v>610.51</v>
      </c>
      <c r="K667" s="142">
        <v>60.0</v>
      </c>
      <c r="L667" s="111">
        <v>22.0</v>
      </c>
      <c r="M667" s="70">
        <v>1600.0</v>
      </c>
      <c r="N667" s="24" t="s">
        <v>4775</v>
      </c>
    </row>
    <row r="668">
      <c r="A668" s="66">
        <v>7664.0</v>
      </c>
      <c r="B668" s="66">
        <v>204.0</v>
      </c>
      <c r="C668" s="66">
        <v>95.0</v>
      </c>
      <c r="D668" s="66">
        <v>6.0</v>
      </c>
      <c r="E668" s="66">
        <v>1.0</v>
      </c>
      <c r="F668" s="66">
        <v>298.0</v>
      </c>
      <c r="G668" s="141">
        <v>103191.0</v>
      </c>
      <c r="H668" s="66">
        <v>4.0</v>
      </c>
      <c r="I668" s="132">
        <v>4487.82</v>
      </c>
      <c r="J668" s="133">
        <v>455.53</v>
      </c>
      <c r="K668" s="142">
        <v>24.0</v>
      </c>
      <c r="L668" s="111">
        <v>20.0</v>
      </c>
      <c r="M668" s="70">
        <v>330.0</v>
      </c>
      <c r="N668" s="24" t="s">
        <v>4776</v>
      </c>
    </row>
    <row r="669">
      <c r="A669" s="66">
        <v>7665.0</v>
      </c>
      <c r="B669" s="66">
        <v>201.0</v>
      </c>
      <c r="C669" s="66">
        <v>54.0</v>
      </c>
      <c r="D669" s="66">
        <v>6.0</v>
      </c>
      <c r="E669" s="66">
        <v>8.0</v>
      </c>
      <c r="F669" s="66">
        <v>745.0</v>
      </c>
      <c r="G669" s="141">
        <v>63098.0</v>
      </c>
      <c r="H669" s="66">
        <v>6.0</v>
      </c>
      <c r="I669" s="132">
        <v>63666.5</v>
      </c>
      <c r="J669" s="133">
        <v>672.57</v>
      </c>
      <c r="K669" s="142">
        <v>45.0</v>
      </c>
      <c r="L669" s="111">
        <v>23.0</v>
      </c>
      <c r="M669" s="70">
        <v>200.0</v>
      </c>
      <c r="N669" s="24" t="s">
        <v>4777</v>
      </c>
    </row>
    <row r="670">
      <c r="A670" s="66">
        <v>7666.0</v>
      </c>
      <c r="B670" s="66">
        <v>204.0</v>
      </c>
      <c r="C670" s="66">
        <v>75.0</v>
      </c>
      <c r="D670" s="66">
        <v>1.0</v>
      </c>
      <c r="E670" s="66">
        <v>7.0</v>
      </c>
      <c r="F670" s="66">
        <v>732.0</v>
      </c>
      <c r="G670" s="141">
        <v>73113.0</v>
      </c>
      <c r="H670" s="66">
        <v>5.0</v>
      </c>
      <c r="I670" s="132">
        <v>69776.64</v>
      </c>
      <c r="J670" s="133">
        <v>478.85</v>
      </c>
      <c r="K670" s="142">
        <v>30.0</v>
      </c>
      <c r="L670" s="111">
        <v>20.0</v>
      </c>
      <c r="M670" s="70">
        <v>1900.0</v>
      </c>
      <c r="N670" s="24" t="s">
        <v>4778</v>
      </c>
    </row>
    <row r="671">
      <c r="A671" s="66">
        <v>7667.0</v>
      </c>
      <c r="B671" s="66">
        <v>203.0</v>
      </c>
      <c r="C671" s="66">
        <v>13.0</v>
      </c>
      <c r="D671" s="66">
        <v>7.0</v>
      </c>
      <c r="E671" s="66">
        <v>4.0</v>
      </c>
      <c r="F671" s="66">
        <v>326.0</v>
      </c>
      <c r="G671" s="141">
        <v>113098.0</v>
      </c>
      <c r="H671" s="66">
        <v>1.0</v>
      </c>
      <c r="I671" s="132">
        <v>3221.49</v>
      </c>
      <c r="J671" s="133">
        <v>-9250.29</v>
      </c>
      <c r="K671" s="142">
        <v>51.0</v>
      </c>
      <c r="L671" s="111">
        <v>21.0</v>
      </c>
      <c r="M671" s="70">
        <v>300.0</v>
      </c>
      <c r="N671" s="24" t="s">
        <v>4779</v>
      </c>
    </row>
    <row r="672">
      <c r="A672" s="66">
        <v>7668.0</v>
      </c>
      <c r="B672" s="66">
        <v>220.0</v>
      </c>
      <c r="C672" s="66">
        <v>95.0</v>
      </c>
      <c r="D672" s="66">
        <v>6.0</v>
      </c>
      <c r="E672" s="66">
        <v>7.0</v>
      </c>
      <c r="F672" s="66">
        <v>109.0</v>
      </c>
      <c r="G672" s="141">
        <v>33111.0</v>
      </c>
      <c r="H672" s="66">
        <v>6.0</v>
      </c>
      <c r="I672" s="132">
        <v>72.64</v>
      </c>
      <c r="J672" s="133">
        <v>526.95</v>
      </c>
      <c r="K672" s="142">
        <v>41.0</v>
      </c>
      <c r="L672" s="111">
        <v>23.0</v>
      </c>
      <c r="M672" s="70">
        <v>600.0</v>
      </c>
      <c r="N672" s="24" t="s">
        <v>4780</v>
      </c>
    </row>
    <row r="673">
      <c r="A673" s="66">
        <v>7669.0</v>
      </c>
      <c r="B673" s="66">
        <v>215.0</v>
      </c>
      <c r="C673" s="66">
        <v>13.0</v>
      </c>
      <c r="D673" s="66">
        <v>7.0</v>
      </c>
      <c r="E673" s="66">
        <v>8.0</v>
      </c>
      <c r="F673" s="66">
        <v>725.0</v>
      </c>
      <c r="G673" s="141">
        <v>73199.0</v>
      </c>
      <c r="H673" s="66">
        <v>5.0</v>
      </c>
      <c r="I673" s="132">
        <v>67.91</v>
      </c>
      <c r="J673" s="133">
        <v>522.87</v>
      </c>
      <c r="K673" s="142">
        <v>17.0</v>
      </c>
      <c r="L673" s="111">
        <v>21.0</v>
      </c>
      <c r="M673" s="70">
        <v>100.0</v>
      </c>
      <c r="N673" s="24" t="s">
        <v>4781</v>
      </c>
    </row>
    <row r="674">
      <c r="A674" s="66">
        <v>7670.0</v>
      </c>
      <c r="B674" s="66">
        <v>213.0</v>
      </c>
      <c r="C674" s="66">
        <v>95.0</v>
      </c>
      <c r="D674" s="66">
        <v>7.0</v>
      </c>
      <c r="E674" s="66">
        <v>1.0</v>
      </c>
      <c r="F674" s="66">
        <v>789.0</v>
      </c>
      <c r="G674" s="141">
        <v>33104.0</v>
      </c>
      <c r="H674" s="66">
        <v>2.0</v>
      </c>
      <c r="I674" s="132">
        <v>6961.29</v>
      </c>
      <c r="J674" s="133">
        <v>-889.25</v>
      </c>
      <c r="K674" s="142">
        <v>91.0</v>
      </c>
      <c r="L674" s="111">
        <v>22.0</v>
      </c>
      <c r="M674" s="70">
        <v>1300.0</v>
      </c>
      <c r="N674" s="24" t="s">
        <v>4782</v>
      </c>
    </row>
    <row r="675">
      <c r="A675" s="66">
        <v>7671.0</v>
      </c>
      <c r="B675" s="66">
        <v>208.0</v>
      </c>
      <c r="C675" s="66">
        <v>54.0</v>
      </c>
      <c r="D675" s="66">
        <v>7.0</v>
      </c>
      <c r="E675" s="66">
        <v>8.0</v>
      </c>
      <c r="F675" s="66">
        <v>401.0</v>
      </c>
      <c r="G675" s="141">
        <v>33119.0</v>
      </c>
      <c r="H675" s="66">
        <v>5.0</v>
      </c>
      <c r="I675" s="132">
        <v>9731.32</v>
      </c>
      <c r="J675" s="133">
        <v>90559.46</v>
      </c>
      <c r="K675" s="142">
        <v>14.0</v>
      </c>
      <c r="L675" s="111">
        <v>21.0</v>
      </c>
      <c r="M675" s="70">
        <v>400.0</v>
      </c>
      <c r="N675" s="24" t="s">
        <v>4160</v>
      </c>
    </row>
    <row r="676">
      <c r="A676" s="66">
        <v>7672.0</v>
      </c>
      <c r="B676" s="66">
        <v>201.0</v>
      </c>
      <c r="C676" s="66">
        <v>13.0</v>
      </c>
      <c r="D676" s="66">
        <v>8.0</v>
      </c>
      <c r="E676" s="66">
        <v>2.0</v>
      </c>
      <c r="F676" s="66">
        <v>889.0</v>
      </c>
      <c r="G676" s="141">
        <v>113011.0</v>
      </c>
      <c r="H676" s="66">
        <v>2.0</v>
      </c>
      <c r="I676" s="132">
        <v>14521.73</v>
      </c>
      <c r="J676" s="133">
        <v>-221.29</v>
      </c>
      <c r="K676" s="142">
        <v>99.0</v>
      </c>
      <c r="L676" s="111">
        <v>23.0</v>
      </c>
      <c r="M676" s="70">
        <v>2130.0</v>
      </c>
      <c r="N676" s="24" t="s">
        <v>4783</v>
      </c>
    </row>
    <row r="677">
      <c r="A677" s="66">
        <v>7673.0</v>
      </c>
      <c r="B677" s="66">
        <v>218.0</v>
      </c>
      <c r="C677" s="66">
        <v>34.0</v>
      </c>
      <c r="D677" s="66">
        <v>3.0</v>
      </c>
      <c r="E677" s="66">
        <v>1.0</v>
      </c>
      <c r="F677" s="66">
        <v>908.0</v>
      </c>
      <c r="G677" s="141">
        <v>113012.0</v>
      </c>
      <c r="H677" s="66">
        <v>3.0</v>
      </c>
      <c r="I677" s="132">
        <v>961.74</v>
      </c>
      <c r="J677" s="133">
        <v>597.37</v>
      </c>
      <c r="K677" s="142">
        <v>72.0</v>
      </c>
      <c r="L677" s="111">
        <v>21.0</v>
      </c>
      <c r="M677" s="70">
        <v>1700.0</v>
      </c>
      <c r="N677" s="24" t="s">
        <v>4784</v>
      </c>
    </row>
    <row r="678">
      <c r="A678" s="66">
        <v>7674.0</v>
      </c>
      <c r="B678" s="66">
        <v>217.0</v>
      </c>
      <c r="C678" s="66">
        <v>54.0</v>
      </c>
      <c r="D678" s="66">
        <v>8.0</v>
      </c>
      <c r="E678" s="66">
        <v>1.0</v>
      </c>
      <c r="F678" s="66">
        <v>363.0</v>
      </c>
      <c r="G678" s="141">
        <v>83195.0</v>
      </c>
      <c r="H678" s="66">
        <v>9.0</v>
      </c>
      <c r="I678" s="132">
        <v>252.78</v>
      </c>
      <c r="J678" s="133">
        <v>-32.46</v>
      </c>
      <c r="K678" s="142">
        <v>23.0</v>
      </c>
      <c r="L678" s="111">
        <v>20.0</v>
      </c>
      <c r="M678" s="70">
        <v>1430.0</v>
      </c>
      <c r="N678" s="24" t="s">
        <v>4785</v>
      </c>
    </row>
    <row r="679">
      <c r="A679" s="66">
        <v>7675.0</v>
      </c>
      <c r="B679" s="66">
        <v>220.0</v>
      </c>
      <c r="C679" s="66">
        <v>13.0</v>
      </c>
      <c r="D679" s="66">
        <v>8.0</v>
      </c>
      <c r="E679" s="66">
        <v>3.0</v>
      </c>
      <c r="F679" s="66">
        <v>289.0</v>
      </c>
      <c r="G679" s="141">
        <v>73111.0</v>
      </c>
      <c r="H679" s="66">
        <v>4.0</v>
      </c>
      <c r="I679" s="132">
        <v>19235.65</v>
      </c>
      <c r="J679" s="133">
        <v>53728.72</v>
      </c>
      <c r="K679" s="142">
        <v>78.0</v>
      </c>
      <c r="L679" s="111">
        <v>22.0</v>
      </c>
      <c r="M679" s="70">
        <v>830.0</v>
      </c>
      <c r="N679" s="24" t="s">
        <v>4786</v>
      </c>
    </row>
    <row r="680">
      <c r="A680" s="66">
        <v>7676.0</v>
      </c>
      <c r="B680" s="66">
        <v>207.0</v>
      </c>
      <c r="C680" s="66">
        <v>95.0</v>
      </c>
      <c r="D680" s="66">
        <v>7.0</v>
      </c>
      <c r="E680" s="66">
        <v>4.0</v>
      </c>
      <c r="F680" s="66">
        <v>392.0</v>
      </c>
      <c r="G680" s="141">
        <v>22806.0</v>
      </c>
      <c r="H680" s="66">
        <v>5.0</v>
      </c>
      <c r="I680" s="132">
        <v>16.15</v>
      </c>
      <c r="J680" s="133">
        <v>-36.33</v>
      </c>
      <c r="K680" s="142">
        <v>11.0</v>
      </c>
      <c r="L680" s="111">
        <v>20.0</v>
      </c>
      <c r="M680" s="70">
        <v>1630.0</v>
      </c>
      <c r="N680" s="24" t="s">
        <v>4787</v>
      </c>
    </row>
    <row r="681">
      <c r="A681" s="66">
        <v>7677.0</v>
      </c>
      <c r="B681" s="66">
        <v>203.0</v>
      </c>
      <c r="C681" s="66">
        <v>34.0</v>
      </c>
      <c r="D681" s="66">
        <v>3.0</v>
      </c>
      <c r="E681" s="66">
        <v>6.0</v>
      </c>
      <c r="F681" s="66">
        <v>698.0</v>
      </c>
      <c r="G681" s="141">
        <v>53109.0</v>
      </c>
      <c r="H681" s="66">
        <v>9.0</v>
      </c>
      <c r="I681" s="132">
        <v>-53812.32</v>
      </c>
      <c r="J681" s="133">
        <v>65.87</v>
      </c>
      <c r="K681" s="142">
        <v>3.0</v>
      </c>
      <c r="L681" s="111">
        <v>20.0</v>
      </c>
      <c r="M681" s="70">
        <v>1100.0</v>
      </c>
      <c r="N681" s="24" t="s">
        <v>4788</v>
      </c>
    </row>
    <row r="682">
      <c r="A682" s="66">
        <v>7678.0</v>
      </c>
      <c r="B682" s="66">
        <v>208.0</v>
      </c>
      <c r="C682" s="66">
        <v>54.0</v>
      </c>
      <c r="D682" s="66">
        <v>8.0</v>
      </c>
      <c r="E682" s="66">
        <v>5.0</v>
      </c>
      <c r="F682" s="66">
        <v>641.0</v>
      </c>
      <c r="G682" s="141">
        <v>43006.0</v>
      </c>
      <c r="H682" s="66">
        <v>7.0</v>
      </c>
      <c r="I682" s="132">
        <v>-43.88</v>
      </c>
      <c r="J682" s="133">
        <v>96.88</v>
      </c>
      <c r="K682" s="142">
        <v>43.0</v>
      </c>
      <c r="L682" s="111">
        <v>23.0</v>
      </c>
      <c r="M682" s="70">
        <v>2000.0</v>
      </c>
      <c r="N682" s="24" t="s">
        <v>4789</v>
      </c>
    </row>
    <row r="683">
      <c r="A683" s="66">
        <v>7679.0</v>
      </c>
      <c r="B683" s="66">
        <v>212.0</v>
      </c>
      <c r="C683" s="66">
        <v>75.0</v>
      </c>
      <c r="D683" s="66">
        <v>3.0</v>
      </c>
      <c r="E683" s="66">
        <v>4.0</v>
      </c>
      <c r="F683" s="66">
        <v>873.0</v>
      </c>
      <c r="G683" s="141">
        <v>93091.0</v>
      </c>
      <c r="H683" s="66">
        <v>3.0</v>
      </c>
      <c r="I683" s="132">
        <v>7026.3</v>
      </c>
      <c r="J683" s="133">
        <v>24.64</v>
      </c>
      <c r="K683" s="142">
        <v>95.0</v>
      </c>
      <c r="L683" s="111">
        <v>23.0</v>
      </c>
      <c r="M683" s="70">
        <v>1530.0</v>
      </c>
      <c r="N683" s="24" t="s">
        <v>4790</v>
      </c>
    </row>
    <row r="684">
      <c r="A684" s="66">
        <v>7680.0</v>
      </c>
      <c r="B684" s="66">
        <v>210.0</v>
      </c>
      <c r="C684" s="66">
        <v>75.0</v>
      </c>
      <c r="D684" s="66">
        <v>2.0</v>
      </c>
      <c r="E684" s="66">
        <v>9.0</v>
      </c>
      <c r="F684" s="66">
        <v>183.0</v>
      </c>
      <c r="G684" s="141">
        <v>63012.0</v>
      </c>
      <c r="H684" s="66">
        <v>2.0</v>
      </c>
      <c r="I684" s="132">
        <v>51784.88</v>
      </c>
      <c r="J684" s="133">
        <v>-756.89</v>
      </c>
      <c r="K684" s="142">
        <v>89.0</v>
      </c>
      <c r="L684" s="111">
        <v>21.0</v>
      </c>
      <c r="M684" s="70">
        <v>530.0</v>
      </c>
      <c r="N684" s="24" t="s">
        <v>4791</v>
      </c>
    </row>
    <row r="685">
      <c r="A685" s="66">
        <v>7681.0</v>
      </c>
      <c r="B685" s="66">
        <v>209.0</v>
      </c>
      <c r="C685" s="66">
        <v>34.0</v>
      </c>
      <c r="D685" s="66">
        <v>3.0</v>
      </c>
      <c r="E685" s="66">
        <v>2.0</v>
      </c>
      <c r="F685" s="66">
        <v>307.0</v>
      </c>
      <c r="G685" s="141">
        <v>22810.0</v>
      </c>
      <c r="H685" s="66">
        <v>1.0</v>
      </c>
      <c r="I685" s="132">
        <v>537.91</v>
      </c>
      <c r="J685" s="133">
        <v>143.31</v>
      </c>
      <c r="K685" s="142">
        <v>29.0</v>
      </c>
      <c r="L685" s="111">
        <v>21.0</v>
      </c>
      <c r="M685" s="70">
        <v>2130.0</v>
      </c>
      <c r="N685" s="24" t="s">
        <v>4792</v>
      </c>
    </row>
    <row r="686">
      <c r="A686" s="66">
        <v>7682.0</v>
      </c>
      <c r="B686" s="66">
        <v>215.0</v>
      </c>
      <c r="C686" s="66">
        <v>34.0</v>
      </c>
      <c r="D686" s="66">
        <v>4.0</v>
      </c>
      <c r="E686" s="66">
        <v>1.0</v>
      </c>
      <c r="F686" s="66">
        <v>124.0</v>
      </c>
      <c r="G686" s="141">
        <v>83196.0</v>
      </c>
      <c r="H686" s="66">
        <v>4.0</v>
      </c>
      <c r="I686" s="132">
        <v>38006.93</v>
      </c>
      <c r="J686" s="133">
        <v>-466.92</v>
      </c>
      <c r="K686" s="142">
        <v>22.0</v>
      </c>
      <c r="L686" s="111">
        <v>22.0</v>
      </c>
      <c r="M686" s="70">
        <v>1800.0</v>
      </c>
      <c r="N686" s="24" t="s">
        <v>4793</v>
      </c>
    </row>
    <row r="687">
      <c r="A687" s="66">
        <v>7683.0</v>
      </c>
      <c r="B687" s="66">
        <v>204.0</v>
      </c>
      <c r="C687" s="66">
        <v>34.0</v>
      </c>
      <c r="D687" s="66">
        <v>4.0</v>
      </c>
      <c r="E687" s="66">
        <v>3.0</v>
      </c>
      <c r="F687" s="66">
        <v>382.0</v>
      </c>
      <c r="G687" s="141">
        <v>113016.0</v>
      </c>
      <c r="H687" s="66">
        <v>7.0</v>
      </c>
      <c r="I687" s="132">
        <v>-1859.85</v>
      </c>
      <c r="J687" s="133">
        <v>-8386.76</v>
      </c>
      <c r="K687" s="142">
        <v>36.0</v>
      </c>
      <c r="L687" s="111">
        <v>22.0</v>
      </c>
      <c r="M687" s="70">
        <v>130.0</v>
      </c>
      <c r="N687" s="24" t="s">
        <v>4794</v>
      </c>
    </row>
    <row r="688">
      <c r="A688" s="66">
        <v>7684.0</v>
      </c>
      <c r="B688" s="66">
        <v>212.0</v>
      </c>
      <c r="C688" s="66">
        <v>13.0</v>
      </c>
      <c r="D688" s="66">
        <v>9.0</v>
      </c>
      <c r="E688" s="66">
        <v>7.0</v>
      </c>
      <c r="F688" s="66">
        <v>645.0</v>
      </c>
      <c r="G688" s="141">
        <v>93010.0</v>
      </c>
      <c r="H688" s="66">
        <v>1.0</v>
      </c>
      <c r="I688" s="132">
        <v>60.67</v>
      </c>
      <c r="J688" s="133">
        <v>36.8</v>
      </c>
      <c r="K688" s="142">
        <v>11.0</v>
      </c>
      <c r="L688" s="111">
        <v>22.0</v>
      </c>
      <c r="M688" s="70">
        <v>900.0</v>
      </c>
      <c r="N688" s="24" t="s">
        <v>4795</v>
      </c>
    </row>
    <row r="689">
      <c r="A689" s="66">
        <v>7685.0</v>
      </c>
      <c r="B689" s="66">
        <v>202.0</v>
      </c>
      <c r="C689" s="66">
        <v>75.0</v>
      </c>
      <c r="D689" s="66">
        <v>4.0</v>
      </c>
      <c r="E689" s="66">
        <v>1.0</v>
      </c>
      <c r="F689" s="66">
        <v>874.0</v>
      </c>
      <c r="G689" s="141">
        <v>93093.0</v>
      </c>
      <c r="H689" s="66">
        <v>8.0</v>
      </c>
      <c r="I689" s="132">
        <v>351.88</v>
      </c>
      <c r="J689" s="133">
        <v>77279.3</v>
      </c>
      <c r="K689" s="142">
        <v>37.0</v>
      </c>
      <c r="L689" s="111">
        <v>20.0</v>
      </c>
      <c r="M689" s="70">
        <v>1930.0</v>
      </c>
      <c r="N689" s="24" t="s">
        <v>4796</v>
      </c>
    </row>
    <row r="690">
      <c r="A690" s="66">
        <v>7686.0</v>
      </c>
      <c r="B690" s="66">
        <v>216.0</v>
      </c>
      <c r="C690" s="66">
        <v>75.0</v>
      </c>
      <c r="D690" s="66">
        <v>4.0</v>
      </c>
      <c r="E690" s="66">
        <v>2.0</v>
      </c>
      <c r="F690" s="66">
        <v>456.0</v>
      </c>
      <c r="G690" s="141">
        <v>13194.0</v>
      </c>
      <c r="H690" s="66">
        <v>1.0</v>
      </c>
      <c r="I690" s="132">
        <v>-965.59</v>
      </c>
      <c r="J690" s="133">
        <v>4459.48</v>
      </c>
      <c r="K690" s="142">
        <v>41.0</v>
      </c>
      <c r="L690" s="111">
        <v>21.0</v>
      </c>
      <c r="M690" s="70">
        <v>1730.0</v>
      </c>
      <c r="N690" s="24" t="s">
        <v>4797</v>
      </c>
    </row>
    <row r="691">
      <c r="A691" s="66">
        <v>7687.0</v>
      </c>
      <c r="B691" s="66">
        <v>200.0</v>
      </c>
      <c r="C691" s="66">
        <v>75.0</v>
      </c>
      <c r="D691" s="66">
        <v>4.0</v>
      </c>
      <c r="E691" s="66">
        <v>4.0</v>
      </c>
      <c r="F691" s="66">
        <v>366.0</v>
      </c>
      <c r="G691" s="141">
        <v>13113.0</v>
      </c>
      <c r="H691" s="66">
        <v>4.0</v>
      </c>
      <c r="I691" s="132">
        <v>-88689.71</v>
      </c>
      <c r="J691" s="133">
        <v>-11291.86</v>
      </c>
      <c r="K691" s="142">
        <v>50.0</v>
      </c>
      <c r="L691" s="111">
        <v>22.0</v>
      </c>
      <c r="M691" s="70">
        <v>1230.0</v>
      </c>
      <c r="N691" s="24" t="s">
        <v>4798</v>
      </c>
    </row>
    <row r="692">
      <c r="A692" s="66">
        <v>7688.0</v>
      </c>
      <c r="B692" s="66">
        <v>220.0</v>
      </c>
      <c r="C692" s="66">
        <v>34.0</v>
      </c>
      <c r="D692" s="66">
        <v>5.0</v>
      </c>
      <c r="E692" s="66">
        <v>1.0</v>
      </c>
      <c r="F692" s="66">
        <v>195.0</v>
      </c>
      <c r="G692" s="141">
        <v>22802.0</v>
      </c>
      <c r="H692" s="66">
        <v>2.0</v>
      </c>
      <c r="I692" s="132">
        <v>4121.89</v>
      </c>
      <c r="J692" s="133">
        <v>407.2</v>
      </c>
      <c r="K692" s="142">
        <v>94.0</v>
      </c>
      <c r="L692" s="111">
        <v>23.0</v>
      </c>
      <c r="M692" s="70">
        <v>2000.0</v>
      </c>
      <c r="N692" s="24" t="s">
        <v>4799</v>
      </c>
    </row>
    <row r="693">
      <c r="A693" s="66">
        <v>7689.0</v>
      </c>
      <c r="B693" s="66">
        <v>217.0</v>
      </c>
      <c r="C693" s="66">
        <v>34.0</v>
      </c>
      <c r="D693" s="66">
        <v>5.0</v>
      </c>
      <c r="E693" s="66">
        <v>4.0</v>
      </c>
      <c r="F693" s="66">
        <v>729.0</v>
      </c>
      <c r="G693" s="141">
        <v>63022.0</v>
      </c>
      <c r="H693" s="66">
        <v>3.0</v>
      </c>
      <c r="I693" s="132">
        <v>5454.69</v>
      </c>
      <c r="J693" s="133">
        <v>28291.33</v>
      </c>
      <c r="K693" s="142">
        <v>31.0</v>
      </c>
      <c r="L693" s="111">
        <v>23.0</v>
      </c>
      <c r="M693" s="70">
        <v>830.0</v>
      </c>
      <c r="N693" s="24" t="s">
        <v>4800</v>
      </c>
    </row>
    <row r="694">
      <c r="A694" s="66">
        <v>7690.0</v>
      </c>
      <c r="B694" s="66">
        <v>210.0</v>
      </c>
      <c r="C694" s="66">
        <v>75.0</v>
      </c>
      <c r="D694" s="66">
        <v>5.0</v>
      </c>
      <c r="E694" s="66">
        <v>3.0</v>
      </c>
      <c r="F694" s="66">
        <v>402.0</v>
      </c>
      <c r="G694" s="141">
        <v>83114.0</v>
      </c>
      <c r="H694" s="66">
        <v>7.0</v>
      </c>
      <c r="I694" s="132">
        <v>12.96</v>
      </c>
      <c r="J694" s="133">
        <v>87.33</v>
      </c>
      <c r="K694" s="142">
        <v>16.0</v>
      </c>
      <c r="L694" s="111">
        <v>20.0</v>
      </c>
      <c r="M694" s="70">
        <v>230.0</v>
      </c>
      <c r="N694" s="24" t="s">
        <v>4560</v>
      </c>
    </row>
    <row r="695">
      <c r="A695" s="66">
        <v>7691.0</v>
      </c>
      <c r="B695" s="66">
        <v>205.0</v>
      </c>
      <c r="C695" s="66">
        <v>14.0</v>
      </c>
      <c r="D695" s="66">
        <v>1.0</v>
      </c>
      <c r="E695" s="66">
        <v>2.0</v>
      </c>
      <c r="F695" s="66">
        <v>867.0</v>
      </c>
      <c r="G695" s="141">
        <v>53117.0</v>
      </c>
      <c r="H695" s="66">
        <v>5.0</v>
      </c>
      <c r="I695" s="132">
        <v>59.73</v>
      </c>
      <c r="J695" s="133">
        <v>95.6</v>
      </c>
      <c r="K695" s="142">
        <v>31.0</v>
      </c>
      <c r="L695" s="111">
        <v>23.0</v>
      </c>
      <c r="M695" s="70">
        <v>430.0</v>
      </c>
      <c r="N695" s="24" t="s">
        <v>4801</v>
      </c>
    </row>
    <row r="696">
      <c r="A696" s="66">
        <v>7692.0</v>
      </c>
      <c r="B696" s="66">
        <v>200.0</v>
      </c>
      <c r="C696" s="66">
        <v>75.0</v>
      </c>
      <c r="D696" s="66">
        <v>5.0</v>
      </c>
      <c r="E696" s="66">
        <v>8.0</v>
      </c>
      <c r="F696" s="66">
        <v>289.0</v>
      </c>
      <c r="G696" s="141">
        <v>13121.0</v>
      </c>
      <c r="H696" s="66">
        <v>4.0</v>
      </c>
      <c r="I696" s="132">
        <v>-59479.52</v>
      </c>
      <c r="J696" s="133">
        <v>16.31</v>
      </c>
      <c r="K696" s="142">
        <v>56.0</v>
      </c>
      <c r="L696" s="111">
        <v>21.0</v>
      </c>
      <c r="M696" s="70">
        <v>1600.0</v>
      </c>
      <c r="N696" s="24" t="s">
        <v>4802</v>
      </c>
    </row>
    <row r="697">
      <c r="A697" s="66">
        <v>7693.0</v>
      </c>
      <c r="B697" s="66">
        <v>204.0</v>
      </c>
      <c r="C697" s="66">
        <v>34.0</v>
      </c>
      <c r="D697" s="66">
        <v>6.0</v>
      </c>
      <c r="E697" s="66">
        <v>3.0</v>
      </c>
      <c r="F697" s="66">
        <v>446.0</v>
      </c>
      <c r="G697" s="141">
        <v>13107.0</v>
      </c>
      <c r="H697" s="66">
        <v>9.0</v>
      </c>
      <c r="I697" s="132">
        <v>-29825.16</v>
      </c>
      <c r="J697" s="133">
        <v>18.49</v>
      </c>
      <c r="K697" s="142">
        <v>24.0</v>
      </c>
      <c r="L697" s="111">
        <v>20.0</v>
      </c>
      <c r="M697" s="70">
        <v>800.0</v>
      </c>
      <c r="N697" s="24" t="s">
        <v>4803</v>
      </c>
    </row>
    <row r="698">
      <c r="A698" s="66">
        <v>7694.0</v>
      </c>
      <c r="B698" s="66">
        <v>201.0</v>
      </c>
      <c r="C698" s="66">
        <v>55.0</v>
      </c>
      <c r="D698" s="66">
        <v>1.0</v>
      </c>
      <c r="E698" s="66">
        <v>4.0</v>
      </c>
      <c r="F698" s="66">
        <v>460.0</v>
      </c>
      <c r="G698" s="141">
        <v>63090.0</v>
      </c>
      <c r="H698" s="66">
        <v>6.0</v>
      </c>
      <c r="I698" s="132">
        <v>98335.4</v>
      </c>
      <c r="J698" s="133">
        <v>-3934.99</v>
      </c>
      <c r="K698" s="142">
        <v>53.0</v>
      </c>
      <c r="L698" s="111">
        <v>22.0</v>
      </c>
      <c r="M698" s="70">
        <v>2230.0</v>
      </c>
      <c r="N698" s="24" t="s">
        <v>4397</v>
      </c>
    </row>
    <row r="699">
      <c r="A699" s="66">
        <v>7695.0</v>
      </c>
      <c r="B699" s="66">
        <v>205.0</v>
      </c>
      <c r="C699" s="66">
        <v>75.0</v>
      </c>
      <c r="D699" s="66">
        <v>6.0</v>
      </c>
      <c r="E699" s="66">
        <v>6.0</v>
      </c>
      <c r="F699" s="66">
        <v>721.0</v>
      </c>
      <c r="G699" s="141">
        <v>73194.0</v>
      </c>
      <c r="H699" s="66">
        <v>7.0</v>
      </c>
      <c r="I699" s="132">
        <v>2395.65</v>
      </c>
      <c r="J699" s="133">
        <v>11.34</v>
      </c>
      <c r="K699" s="142">
        <v>61.0</v>
      </c>
      <c r="L699" s="111">
        <v>20.0</v>
      </c>
      <c r="M699" s="70">
        <v>630.0</v>
      </c>
      <c r="N699" s="24" t="s">
        <v>4804</v>
      </c>
    </row>
    <row r="700">
      <c r="A700" s="66">
        <v>7696.0</v>
      </c>
      <c r="B700" s="66">
        <v>201.0</v>
      </c>
      <c r="C700" s="66">
        <v>14.0</v>
      </c>
      <c r="D700" s="66">
        <v>2.0</v>
      </c>
      <c r="E700" s="66">
        <v>3.0</v>
      </c>
      <c r="F700" s="66">
        <v>232.0</v>
      </c>
      <c r="G700" s="141">
        <v>123112.0</v>
      </c>
      <c r="H700" s="66">
        <v>6.0</v>
      </c>
      <c r="I700" s="132">
        <v>85.18</v>
      </c>
      <c r="J700" s="133">
        <v>-38.14</v>
      </c>
      <c r="K700" s="142">
        <v>61.0</v>
      </c>
      <c r="L700" s="111">
        <v>23.0</v>
      </c>
      <c r="M700" s="70">
        <v>530.0</v>
      </c>
      <c r="N700" s="24" t="s">
        <v>4805</v>
      </c>
    </row>
    <row r="701">
      <c r="A701" s="66">
        <v>7697.0</v>
      </c>
      <c r="B701" s="66">
        <v>200.0</v>
      </c>
      <c r="C701" s="66">
        <v>34.0</v>
      </c>
      <c r="D701" s="66">
        <v>7.0</v>
      </c>
      <c r="E701" s="66">
        <v>1.0</v>
      </c>
      <c r="F701" s="66">
        <v>671.0</v>
      </c>
      <c r="G701" s="141">
        <v>93019.0</v>
      </c>
      <c r="H701" s="66">
        <v>1.0</v>
      </c>
      <c r="I701" s="132">
        <v>52.56</v>
      </c>
      <c r="J701" s="133">
        <v>-54.68</v>
      </c>
      <c r="K701" s="142">
        <v>99.0</v>
      </c>
      <c r="L701" s="111">
        <v>23.0</v>
      </c>
      <c r="M701" s="70">
        <v>1500.0</v>
      </c>
      <c r="N701" s="24" t="s">
        <v>4806</v>
      </c>
    </row>
    <row r="702">
      <c r="A702" s="66">
        <v>7698.0</v>
      </c>
      <c r="B702" s="66">
        <v>219.0</v>
      </c>
      <c r="C702" s="66">
        <v>96.0</v>
      </c>
      <c r="D702" s="66">
        <v>1.0</v>
      </c>
      <c r="E702" s="66">
        <v>4.0</v>
      </c>
      <c r="F702" s="66">
        <v>145.0</v>
      </c>
      <c r="G702" s="141">
        <v>83198.0</v>
      </c>
      <c r="H702" s="66">
        <v>1.0</v>
      </c>
      <c r="I702" s="132">
        <v>108.7</v>
      </c>
      <c r="J702" s="133">
        <v>8329.7</v>
      </c>
      <c r="K702" s="142">
        <v>26.0</v>
      </c>
      <c r="L702" s="111">
        <v>22.0</v>
      </c>
      <c r="M702" s="70">
        <v>430.0</v>
      </c>
      <c r="N702" s="24" t="s">
        <v>4807</v>
      </c>
    </row>
    <row r="703">
      <c r="A703" s="66">
        <v>7699.0</v>
      </c>
      <c r="B703" s="66">
        <v>202.0</v>
      </c>
      <c r="C703" s="66">
        <v>96.0</v>
      </c>
      <c r="D703" s="66">
        <v>1.0</v>
      </c>
      <c r="E703" s="66">
        <v>8.0</v>
      </c>
      <c r="F703" s="66">
        <v>555.0</v>
      </c>
      <c r="G703" s="141">
        <v>63010.0</v>
      </c>
      <c r="H703" s="66">
        <v>3.0</v>
      </c>
      <c r="I703" s="132">
        <v>49.7</v>
      </c>
      <c r="J703" s="133">
        <v>3871.85</v>
      </c>
      <c r="K703" s="142">
        <v>54.0</v>
      </c>
      <c r="L703" s="111">
        <v>21.0</v>
      </c>
      <c r="M703" s="70">
        <v>2000.0</v>
      </c>
      <c r="N703" s="24" t="s">
        <v>4808</v>
      </c>
    </row>
    <row r="704">
      <c r="A704" s="66">
        <v>7700.0</v>
      </c>
      <c r="B704" s="66">
        <v>212.0</v>
      </c>
      <c r="C704" s="66">
        <v>75.0</v>
      </c>
      <c r="D704" s="66">
        <v>7.0</v>
      </c>
      <c r="E704" s="66">
        <v>3.0</v>
      </c>
      <c r="F704" s="66">
        <v>545.0</v>
      </c>
      <c r="G704" s="141">
        <v>73118.0</v>
      </c>
      <c r="H704" s="66">
        <v>9.0</v>
      </c>
      <c r="I704" s="132">
        <v>14330.2</v>
      </c>
      <c r="J704" s="133">
        <v>3149.71</v>
      </c>
      <c r="K704" s="142">
        <v>74.0</v>
      </c>
      <c r="L704" s="111">
        <v>20.0</v>
      </c>
      <c r="M704" s="70">
        <v>800.0</v>
      </c>
      <c r="N704" s="24" t="s">
        <v>4809</v>
      </c>
    </row>
    <row r="705">
      <c r="A705" s="66">
        <v>7701.0</v>
      </c>
      <c r="B705" s="66">
        <v>217.0</v>
      </c>
      <c r="C705" s="66">
        <v>96.0</v>
      </c>
      <c r="D705" s="66">
        <v>2.0</v>
      </c>
      <c r="E705" s="66">
        <v>6.0</v>
      </c>
      <c r="F705" s="66">
        <v>671.0</v>
      </c>
      <c r="G705" s="141">
        <v>22801.0</v>
      </c>
      <c r="H705" s="66">
        <v>5.0</v>
      </c>
      <c r="I705" s="132">
        <v>146.16</v>
      </c>
      <c r="J705" s="133">
        <v>5101.18</v>
      </c>
      <c r="K705" s="142">
        <v>90.0</v>
      </c>
      <c r="L705" s="111">
        <v>23.0</v>
      </c>
      <c r="M705" s="70">
        <v>1030.0</v>
      </c>
      <c r="N705" s="24" t="s">
        <v>4810</v>
      </c>
    </row>
    <row r="706">
      <c r="A706" s="66">
        <v>7702.0</v>
      </c>
      <c r="B706" s="66">
        <v>218.0</v>
      </c>
      <c r="C706" s="66">
        <v>75.0</v>
      </c>
      <c r="D706" s="66">
        <v>7.0</v>
      </c>
      <c r="E706" s="66">
        <v>9.0</v>
      </c>
      <c r="F706" s="66">
        <v>930.0</v>
      </c>
      <c r="G706" s="141">
        <v>83117.0</v>
      </c>
      <c r="H706" s="66">
        <v>7.0</v>
      </c>
      <c r="I706" s="132">
        <v>82748.87</v>
      </c>
      <c r="J706" s="133">
        <v>-695.81</v>
      </c>
      <c r="K706" s="142">
        <v>14.0</v>
      </c>
      <c r="L706" s="111">
        <v>20.0</v>
      </c>
      <c r="M706" s="70">
        <v>1400.0</v>
      </c>
      <c r="N706" s="24" t="s">
        <v>4811</v>
      </c>
    </row>
    <row r="707">
      <c r="A707" s="66">
        <v>7703.0</v>
      </c>
      <c r="B707" s="66">
        <v>202.0</v>
      </c>
      <c r="C707" s="66">
        <v>14.0</v>
      </c>
      <c r="D707" s="66">
        <v>3.0</v>
      </c>
      <c r="E707" s="66">
        <v>6.0</v>
      </c>
      <c r="F707" s="66">
        <v>704.0</v>
      </c>
      <c r="G707" s="141">
        <v>13103.0</v>
      </c>
      <c r="H707" s="66">
        <v>9.0</v>
      </c>
      <c r="I707" s="132">
        <v>81132.59</v>
      </c>
      <c r="J707" s="133">
        <v>5712.46</v>
      </c>
      <c r="K707" s="142">
        <v>56.0</v>
      </c>
      <c r="L707" s="111">
        <v>21.0</v>
      </c>
      <c r="M707" s="70">
        <v>930.0</v>
      </c>
      <c r="N707" s="24" t="s">
        <v>4812</v>
      </c>
    </row>
    <row r="708">
      <c r="A708" s="66">
        <v>7704.0</v>
      </c>
      <c r="B708" s="66">
        <v>214.0</v>
      </c>
      <c r="C708" s="66">
        <v>75.0</v>
      </c>
      <c r="D708" s="66">
        <v>8.0</v>
      </c>
      <c r="E708" s="66">
        <v>1.0</v>
      </c>
      <c r="F708" s="66">
        <v>549.0</v>
      </c>
      <c r="G708" s="141">
        <v>113014.0</v>
      </c>
      <c r="H708" s="66">
        <v>3.0</v>
      </c>
      <c r="I708" s="132">
        <v>3974.26</v>
      </c>
      <c r="J708" s="133">
        <v>174.13</v>
      </c>
      <c r="K708" s="142">
        <v>29.0</v>
      </c>
      <c r="L708" s="111">
        <v>22.0</v>
      </c>
      <c r="M708" s="70">
        <v>1200.0</v>
      </c>
      <c r="N708" s="24" t="s">
        <v>4813</v>
      </c>
    </row>
    <row r="709">
      <c r="A709" s="66">
        <v>7705.0</v>
      </c>
      <c r="B709" s="66">
        <v>219.0</v>
      </c>
      <c r="C709" s="66">
        <v>55.0</v>
      </c>
      <c r="D709" s="66">
        <v>3.0</v>
      </c>
      <c r="E709" s="66">
        <v>4.0</v>
      </c>
      <c r="F709" s="66">
        <v>314.0</v>
      </c>
      <c r="G709" s="141">
        <v>53105.0</v>
      </c>
      <c r="H709" s="66">
        <v>9.0</v>
      </c>
      <c r="I709" s="132">
        <v>7356.18</v>
      </c>
      <c r="J709" s="133">
        <v>49630.77</v>
      </c>
      <c r="K709" s="142">
        <v>87.0</v>
      </c>
      <c r="L709" s="111">
        <v>22.0</v>
      </c>
      <c r="M709" s="70">
        <v>1400.0</v>
      </c>
      <c r="N709" s="24" t="s">
        <v>4814</v>
      </c>
    </row>
    <row r="710">
      <c r="A710" s="66">
        <v>7706.0</v>
      </c>
      <c r="B710" s="66">
        <v>220.0</v>
      </c>
      <c r="C710" s="66">
        <v>14.0</v>
      </c>
      <c r="D710" s="66">
        <v>3.0</v>
      </c>
      <c r="E710" s="66">
        <v>8.0</v>
      </c>
      <c r="F710" s="66">
        <v>178.0</v>
      </c>
      <c r="G710" s="141">
        <v>43013.0</v>
      </c>
      <c r="H710" s="66">
        <v>6.0</v>
      </c>
      <c r="I710" s="132">
        <v>61273.98</v>
      </c>
      <c r="J710" s="133">
        <v>748.4</v>
      </c>
      <c r="K710" s="142">
        <v>74.0</v>
      </c>
      <c r="L710" s="111">
        <v>21.0</v>
      </c>
      <c r="M710" s="70">
        <v>400.0</v>
      </c>
      <c r="N710" s="24" t="s">
        <v>4815</v>
      </c>
    </row>
    <row r="711">
      <c r="A711" s="66">
        <v>7707.0</v>
      </c>
      <c r="B711" s="66">
        <v>212.0</v>
      </c>
      <c r="C711" s="66">
        <v>75.0</v>
      </c>
      <c r="D711" s="66">
        <v>8.0</v>
      </c>
      <c r="E711" s="66">
        <v>5.0</v>
      </c>
      <c r="F711" s="66">
        <v>234.0</v>
      </c>
      <c r="G711" s="141">
        <v>33116.0</v>
      </c>
      <c r="H711" s="66">
        <v>2.0</v>
      </c>
      <c r="I711" s="132">
        <v>-590.73</v>
      </c>
      <c r="J711" s="133">
        <v>34231.87</v>
      </c>
      <c r="K711" s="142">
        <v>1.0</v>
      </c>
      <c r="L711" s="111">
        <v>20.0</v>
      </c>
      <c r="M711" s="70">
        <v>300.0</v>
      </c>
      <c r="N711" s="24" t="s">
        <v>4816</v>
      </c>
    </row>
    <row r="712">
      <c r="A712" s="66">
        <v>7708.0</v>
      </c>
      <c r="B712" s="66">
        <v>208.0</v>
      </c>
      <c r="C712" s="66">
        <v>14.0</v>
      </c>
      <c r="D712" s="66">
        <v>4.0</v>
      </c>
      <c r="E712" s="66">
        <v>3.0</v>
      </c>
      <c r="F712" s="66">
        <v>634.0</v>
      </c>
      <c r="G712" s="141">
        <v>83119.0</v>
      </c>
      <c r="H712" s="66">
        <v>4.0</v>
      </c>
      <c r="I712" s="132">
        <v>-129.68</v>
      </c>
      <c r="J712" s="133">
        <v>21.98</v>
      </c>
      <c r="K712" s="142">
        <v>62.0</v>
      </c>
      <c r="L712" s="111">
        <v>21.0</v>
      </c>
      <c r="M712" s="70">
        <v>430.0</v>
      </c>
      <c r="N712" s="24" t="s">
        <v>4817</v>
      </c>
    </row>
    <row r="713">
      <c r="A713" s="66">
        <v>7709.0</v>
      </c>
      <c r="B713" s="66">
        <v>219.0</v>
      </c>
      <c r="C713" s="66">
        <v>34.0</v>
      </c>
      <c r="D713" s="66">
        <v>9.0</v>
      </c>
      <c r="E713" s="66">
        <v>3.0</v>
      </c>
      <c r="F713" s="66">
        <v>547.0</v>
      </c>
      <c r="G713" s="141">
        <v>93007.0</v>
      </c>
      <c r="H713" s="66">
        <v>3.0</v>
      </c>
      <c r="I713" s="132">
        <v>25.3</v>
      </c>
      <c r="J713" s="133">
        <v>9401.54</v>
      </c>
      <c r="K713" s="142">
        <v>32.0</v>
      </c>
      <c r="L713" s="111">
        <v>22.0</v>
      </c>
      <c r="M713" s="70">
        <v>700.0</v>
      </c>
      <c r="N713" s="24" t="s">
        <v>4818</v>
      </c>
    </row>
    <row r="714">
      <c r="A714" s="66">
        <v>7710.0</v>
      </c>
      <c r="B714" s="66">
        <v>202.0</v>
      </c>
      <c r="C714" s="66">
        <v>75.0</v>
      </c>
      <c r="D714" s="66">
        <v>8.0</v>
      </c>
      <c r="E714" s="66">
        <v>9.0</v>
      </c>
      <c r="F714" s="66">
        <v>573.0</v>
      </c>
      <c r="G714" s="141">
        <v>43014.0</v>
      </c>
      <c r="H714" s="66">
        <v>1.0</v>
      </c>
      <c r="I714" s="132">
        <v>4493.9</v>
      </c>
      <c r="J714" s="133">
        <v>27.21</v>
      </c>
      <c r="K714" s="142">
        <v>40.0</v>
      </c>
      <c r="L714" s="111">
        <v>23.0</v>
      </c>
      <c r="M714" s="70">
        <v>500.0</v>
      </c>
      <c r="N714" s="24" t="s">
        <v>4819</v>
      </c>
    </row>
    <row r="715">
      <c r="A715" s="66">
        <v>7711.0</v>
      </c>
      <c r="B715" s="66">
        <v>206.0</v>
      </c>
      <c r="C715" s="66">
        <v>75.0</v>
      </c>
      <c r="D715" s="66">
        <v>9.0</v>
      </c>
      <c r="E715" s="66">
        <v>3.0</v>
      </c>
      <c r="F715" s="66">
        <v>625.0</v>
      </c>
      <c r="G715" s="141">
        <v>63091.0</v>
      </c>
      <c r="H715" s="66">
        <v>8.0</v>
      </c>
      <c r="I715" s="132">
        <v>583.95</v>
      </c>
      <c r="J715" s="133">
        <v>-80476.58</v>
      </c>
      <c r="K715" s="142">
        <v>33.0</v>
      </c>
      <c r="L715" s="111">
        <v>22.0</v>
      </c>
      <c r="M715" s="70">
        <v>2230.0</v>
      </c>
      <c r="N715" s="24" t="s">
        <v>4820</v>
      </c>
    </row>
    <row r="716">
      <c r="A716" s="66">
        <v>7712.0</v>
      </c>
      <c r="B716" s="66">
        <v>214.0</v>
      </c>
      <c r="C716" s="66">
        <v>55.0</v>
      </c>
      <c r="D716" s="66">
        <v>4.0</v>
      </c>
      <c r="E716" s="66">
        <v>6.0</v>
      </c>
      <c r="F716" s="66">
        <v>680.0</v>
      </c>
      <c r="G716" s="141">
        <v>63018.0</v>
      </c>
      <c r="H716" s="66">
        <v>1.0</v>
      </c>
      <c r="I716" s="132">
        <v>54.84</v>
      </c>
      <c r="J716" s="133">
        <v>42.3</v>
      </c>
      <c r="K716" s="142">
        <v>28.0</v>
      </c>
      <c r="L716" s="111">
        <v>20.0</v>
      </c>
      <c r="M716" s="70">
        <v>1830.0</v>
      </c>
      <c r="N716" s="24" t="s">
        <v>4821</v>
      </c>
    </row>
    <row r="717">
      <c r="A717" s="66">
        <v>7713.0</v>
      </c>
      <c r="B717" s="66">
        <v>208.0</v>
      </c>
      <c r="C717" s="66">
        <v>75.0</v>
      </c>
      <c r="D717" s="66">
        <v>9.0</v>
      </c>
      <c r="E717" s="66">
        <v>4.0</v>
      </c>
      <c r="F717" s="66">
        <v>306.0</v>
      </c>
      <c r="G717" s="141">
        <v>63099.0</v>
      </c>
      <c r="H717" s="66">
        <v>6.0</v>
      </c>
      <c r="I717" s="132">
        <v>3687.42</v>
      </c>
      <c r="J717" s="133">
        <v>4376.1</v>
      </c>
      <c r="K717" s="142">
        <v>94.0</v>
      </c>
      <c r="L717" s="111">
        <v>22.0</v>
      </c>
      <c r="M717" s="70">
        <v>230.0</v>
      </c>
      <c r="N717" s="24" t="s">
        <v>4822</v>
      </c>
    </row>
    <row r="718">
      <c r="A718" s="66">
        <v>7714.0</v>
      </c>
      <c r="B718" s="66">
        <v>202.0</v>
      </c>
      <c r="C718" s="66">
        <v>75.0</v>
      </c>
      <c r="D718" s="66">
        <v>9.0</v>
      </c>
      <c r="E718" s="66">
        <v>8.0</v>
      </c>
      <c r="F718" s="66">
        <v>721.0</v>
      </c>
      <c r="G718" s="141">
        <v>63017.0</v>
      </c>
      <c r="H718" s="66">
        <v>7.0</v>
      </c>
      <c r="I718" s="132">
        <v>-85327.67</v>
      </c>
      <c r="J718" s="133">
        <v>7023.46</v>
      </c>
      <c r="K718" s="142">
        <v>36.0</v>
      </c>
      <c r="L718" s="111">
        <v>23.0</v>
      </c>
      <c r="M718" s="70">
        <v>1130.0</v>
      </c>
      <c r="N718" s="24" t="s">
        <v>4823</v>
      </c>
    </row>
    <row r="719">
      <c r="A719" s="66">
        <v>7715.0</v>
      </c>
      <c r="B719" s="66">
        <v>215.0</v>
      </c>
      <c r="C719" s="66">
        <v>96.0</v>
      </c>
      <c r="D719" s="66">
        <v>4.0</v>
      </c>
      <c r="E719" s="66">
        <v>9.0</v>
      </c>
      <c r="F719" s="66">
        <v>291.0</v>
      </c>
      <c r="G719" s="141">
        <v>83100.0</v>
      </c>
      <c r="H719" s="66">
        <v>5.0</v>
      </c>
      <c r="I719" s="132">
        <v>91311.61</v>
      </c>
      <c r="J719" s="133">
        <v>50911.61</v>
      </c>
      <c r="K719" s="142">
        <v>2.0</v>
      </c>
      <c r="L719" s="111">
        <v>22.0</v>
      </c>
      <c r="M719" s="70">
        <v>1730.0</v>
      </c>
      <c r="N719" s="24" t="s">
        <v>4824</v>
      </c>
    </row>
    <row r="720">
      <c r="A720" s="66">
        <v>7716.0</v>
      </c>
      <c r="B720" s="66">
        <v>216.0</v>
      </c>
      <c r="C720" s="66">
        <v>96.0</v>
      </c>
      <c r="D720" s="66">
        <v>5.0</v>
      </c>
      <c r="E720" s="66">
        <v>2.0</v>
      </c>
      <c r="F720" s="66">
        <v>444.0</v>
      </c>
      <c r="G720" s="141">
        <v>13109.0</v>
      </c>
      <c r="H720" s="66">
        <v>7.0</v>
      </c>
      <c r="I720" s="132">
        <v>38805.32</v>
      </c>
      <c r="J720" s="133">
        <v>366.27</v>
      </c>
      <c r="K720" s="142">
        <v>8.0</v>
      </c>
      <c r="L720" s="111">
        <v>21.0</v>
      </c>
      <c r="M720" s="70">
        <v>1200.0</v>
      </c>
      <c r="N720" s="24" t="s">
        <v>4825</v>
      </c>
    </row>
    <row r="721">
      <c r="A721" s="66">
        <v>7717.0</v>
      </c>
      <c r="B721" s="66">
        <v>204.0</v>
      </c>
      <c r="C721" s="66">
        <v>14.0</v>
      </c>
      <c r="D721" s="66">
        <v>6.0</v>
      </c>
      <c r="E721" s="66">
        <v>1.0</v>
      </c>
      <c r="F721" s="66">
        <v>440.0</v>
      </c>
      <c r="G721" s="141">
        <v>73114.0</v>
      </c>
      <c r="H721" s="66">
        <v>5.0</v>
      </c>
      <c r="I721" s="132">
        <v>905.82</v>
      </c>
      <c r="J721" s="133">
        <v>-18709.18</v>
      </c>
      <c r="K721" s="142">
        <v>37.0</v>
      </c>
      <c r="L721" s="111">
        <v>21.0</v>
      </c>
      <c r="M721" s="70">
        <v>1200.0</v>
      </c>
      <c r="N721" s="24" t="s">
        <v>4826</v>
      </c>
    </row>
    <row r="722">
      <c r="A722" s="66">
        <v>7718.0</v>
      </c>
      <c r="B722" s="66">
        <v>204.0</v>
      </c>
      <c r="C722" s="66">
        <v>96.0</v>
      </c>
      <c r="D722" s="66">
        <v>5.0</v>
      </c>
      <c r="E722" s="66">
        <v>3.0</v>
      </c>
      <c r="F722" s="66">
        <v>411.0</v>
      </c>
      <c r="G722" s="141">
        <v>33107.0</v>
      </c>
      <c r="H722" s="66">
        <v>3.0</v>
      </c>
      <c r="I722" s="132">
        <v>-29522.14</v>
      </c>
      <c r="J722" s="133">
        <v>80.48</v>
      </c>
      <c r="K722" s="142">
        <v>36.0</v>
      </c>
      <c r="L722" s="111">
        <v>22.0</v>
      </c>
      <c r="M722" s="70">
        <v>930.0</v>
      </c>
      <c r="N722" s="24" t="s">
        <v>4827</v>
      </c>
    </row>
    <row r="723">
      <c r="A723" s="66">
        <v>7719.0</v>
      </c>
      <c r="B723" s="66">
        <v>211.0</v>
      </c>
      <c r="C723" s="66">
        <v>55.0</v>
      </c>
      <c r="D723" s="66">
        <v>5.0</v>
      </c>
      <c r="E723" s="66">
        <v>9.0</v>
      </c>
      <c r="F723" s="66">
        <v>895.0</v>
      </c>
      <c r="G723" s="141">
        <v>103103.0</v>
      </c>
      <c r="H723" s="66">
        <v>7.0</v>
      </c>
      <c r="I723" s="132">
        <v>40.47</v>
      </c>
      <c r="J723" s="133">
        <v>938.92</v>
      </c>
      <c r="K723" s="142">
        <v>19.0</v>
      </c>
      <c r="L723" s="111">
        <v>22.0</v>
      </c>
      <c r="M723" s="70">
        <v>430.0</v>
      </c>
      <c r="N723" s="24" t="s">
        <v>4828</v>
      </c>
    </row>
    <row r="724">
      <c r="A724" s="66">
        <v>7720.0</v>
      </c>
      <c r="B724" s="66">
        <v>217.0</v>
      </c>
      <c r="C724" s="66">
        <v>14.0</v>
      </c>
      <c r="D724" s="66">
        <v>6.0</v>
      </c>
      <c r="E724" s="66">
        <v>4.0</v>
      </c>
      <c r="F724" s="66">
        <v>770.0</v>
      </c>
      <c r="G724" s="141">
        <v>43003.0</v>
      </c>
      <c r="H724" s="66">
        <v>2.0</v>
      </c>
      <c r="I724" s="132">
        <v>243.66</v>
      </c>
      <c r="J724" s="133">
        <v>7430.91</v>
      </c>
      <c r="K724" s="142">
        <v>66.0</v>
      </c>
      <c r="L724" s="111">
        <v>21.0</v>
      </c>
      <c r="M724" s="70">
        <v>2000.0</v>
      </c>
      <c r="N724" s="24" t="s">
        <v>4829</v>
      </c>
    </row>
    <row r="725">
      <c r="A725" s="66">
        <v>7721.0</v>
      </c>
      <c r="B725" s="66">
        <v>203.0</v>
      </c>
      <c r="C725" s="66">
        <v>96.0</v>
      </c>
      <c r="D725" s="66">
        <v>5.0</v>
      </c>
      <c r="E725" s="66">
        <v>7.0</v>
      </c>
      <c r="F725" s="66">
        <v>809.0</v>
      </c>
      <c r="G725" s="141">
        <v>33102.0</v>
      </c>
      <c r="H725" s="66">
        <v>2.0</v>
      </c>
      <c r="I725" s="132">
        <v>90763.26</v>
      </c>
      <c r="J725" s="133">
        <v>4658.39</v>
      </c>
      <c r="K725" s="142">
        <v>34.0</v>
      </c>
      <c r="L725" s="111">
        <v>21.0</v>
      </c>
      <c r="M725" s="70">
        <v>400.0</v>
      </c>
      <c r="N725" s="24" t="s">
        <v>4830</v>
      </c>
    </row>
    <row r="726">
      <c r="A726" s="66">
        <v>7722.0</v>
      </c>
      <c r="B726" s="66">
        <v>203.0</v>
      </c>
      <c r="C726" s="66">
        <v>55.0</v>
      </c>
      <c r="D726" s="66">
        <v>6.0</v>
      </c>
      <c r="E726" s="66">
        <v>1.0</v>
      </c>
      <c r="F726" s="66">
        <v>583.0</v>
      </c>
      <c r="G726" s="141">
        <v>83103.0</v>
      </c>
      <c r="H726" s="66">
        <v>5.0</v>
      </c>
      <c r="I726" s="132">
        <v>44632.87</v>
      </c>
      <c r="J726" s="133">
        <v>-50.69</v>
      </c>
      <c r="K726" s="142">
        <v>1.0</v>
      </c>
      <c r="L726" s="111">
        <v>22.0</v>
      </c>
      <c r="M726" s="70">
        <v>600.0</v>
      </c>
      <c r="N726" s="24" t="s">
        <v>4831</v>
      </c>
    </row>
    <row r="727">
      <c r="A727" s="66">
        <v>7723.0</v>
      </c>
      <c r="B727" s="66">
        <v>207.0</v>
      </c>
      <c r="C727" s="66">
        <v>96.0</v>
      </c>
      <c r="D727" s="66">
        <v>5.0</v>
      </c>
      <c r="E727" s="66">
        <v>9.0</v>
      </c>
      <c r="F727" s="66">
        <v>763.0</v>
      </c>
      <c r="G727" s="141">
        <v>113008.0</v>
      </c>
      <c r="H727" s="66">
        <v>3.0</v>
      </c>
      <c r="I727" s="132">
        <v>34410.21</v>
      </c>
      <c r="J727" s="133">
        <v>97.12</v>
      </c>
      <c r="K727" s="142">
        <v>63.0</v>
      </c>
      <c r="L727" s="111">
        <v>23.0</v>
      </c>
      <c r="M727" s="70">
        <v>1600.0</v>
      </c>
      <c r="N727" s="24" t="s">
        <v>4832</v>
      </c>
    </row>
    <row r="728">
      <c r="A728" s="66">
        <v>7724.0</v>
      </c>
      <c r="B728" s="66">
        <v>213.0</v>
      </c>
      <c r="C728" s="66">
        <v>35.0</v>
      </c>
      <c r="D728" s="66">
        <v>1.0</v>
      </c>
      <c r="E728" s="66">
        <v>1.0</v>
      </c>
      <c r="F728" s="66">
        <v>753.0</v>
      </c>
      <c r="G728" s="141">
        <v>123114.0</v>
      </c>
      <c r="H728" s="66">
        <v>2.0</v>
      </c>
      <c r="I728" s="132">
        <v>-84219.76</v>
      </c>
      <c r="J728" s="133">
        <v>92.84</v>
      </c>
      <c r="K728" s="142">
        <v>83.0</v>
      </c>
      <c r="L728" s="111">
        <v>22.0</v>
      </c>
      <c r="M728" s="70">
        <v>1730.0</v>
      </c>
      <c r="N728" s="24" t="s">
        <v>4833</v>
      </c>
    </row>
    <row r="729">
      <c r="A729" s="66">
        <v>7725.0</v>
      </c>
      <c r="B729" s="66">
        <v>217.0</v>
      </c>
      <c r="C729" s="66">
        <v>35.0</v>
      </c>
      <c r="D729" s="66">
        <v>1.0</v>
      </c>
      <c r="E729" s="66">
        <v>7.0</v>
      </c>
      <c r="F729" s="66">
        <v>127.0</v>
      </c>
      <c r="G729" s="141">
        <v>83101.0</v>
      </c>
      <c r="H729" s="66">
        <v>3.0</v>
      </c>
      <c r="I729" s="132">
        <v>216.28</v>
      </c>
      <c r="J729" s="133">
        <v>6622.26</v>
      </c>
      <c r="K729" s="142">
        <v>25.0</v>
      </c>
      <c r="L729" s="111">
        <v>23.0</v>
      </c>
      <c r="M729" s="70">
        <v>1600.0</v>
      </c>
      <c r="N729" s="24" t="s">
        <v>4834</v>
      </c>
    </row>
    <row r="730">
      <c r="A730" s="66">
        <v>7726.0</v>
      </c>
      <c r="B730" s="66">
        <v>219.0</v>
      </c>
      <c r="C730" s="66">
        <v>96.0</v>
      </c>
      <c r="D730" s="66">
        <v>6.0</v>
      </c>
      <c r="E730" s="66">
        <v>1.0</v>
      </c>
      <c r="F730" s="66">
        <v>555.0</v>
      </c>
      <c r="G730" s="141">
        <v>63006.0</v>
      </c>
      <c r="H730" s="66">
        <v>5.0</v>
      </c>
      <c r="I730" s="132">
        <v>7788.55</v>
      </c>
      <c r="J730" s="133">
        <v>58.24</v>
      </c>
      <c r="K730" s="142">
        <v>7.0</v>
      </c>
      <c r="L730" s="111">
        <v>20.0</v>
      </c>
      <c r="M730" s="70">
        <v>1030.0</v>
      </c>
      <c r="N730" s="24" t="s">
        <v>4835</v>
      </c>
    </row>
    <row r="731">
      <c r="A731" s="66">
        <v>7727.0</v>
      </c>
      <c r="B731" s="66">
        <v>203.0</v>
      </c>
      <c r="C731" s="66">
        <v>76.0</v>
      </c>
      <c r="D731" s="66">
        <v>1.0</v>
      </c>
      <c r="E731" s="66">
        <v>3.0</v>
      </c>
      <c r="F731" s="66">
        <v>336.0</v>
      </c>
      <c r="G731" s="141">
        <v>83120.0</v>
      </c>
      <c r="H731" s="66">
        <v>5.0</v>
      </c>
      <c r="I731" s="132">
        <v>3296.99</v>
      </c>
      <c r="J731" s="133">
        <v>84865.5</v>
      </c>
      <c r="K731" s="142">
        <v>21.0</v>
      </c>
      <c r="L731" s="111">
        <v>22.0</v>
      </c>
      <c r="M731" s="70">
        <v>1330.0</v>
      </c>
      <c r="N731" s="24" t="s">
        <v>4836</v>
      </c>
    </row>
    <row r="732">
      <c r="A732" s="66">
        <v>7728.0</v>
      </c>
      <c r="B732" s="66">
        <v>205.0</v>
      </c>
      <c r="C732" s="66">
        <v>55.0</v>
      </c>
      <c r="D732" s="66">
        <v>6.0</v>
      </c>
      <c r="E732" s="66">
        <v>7.0</v>
      </c>
      <c r="F732" s="66">
        <v>818.0</v>
      </c>
      <c r="G732" s="141">
        <v>43094.0</v>
      </c>
      <c r="H732" s="66">
        <v>1.0</v>
      </c>
      <c r="I732" s="132">
        <v>69074.56</v>
      </c>
      <c r="J732" s="133">
        <v>78309.6</v>
      </c>
      <c r="K732" s="142">
        <v>85.0</v>
      </c>
      <c r="L732" s="111">
        <v>20.0</v>
      </c>
      <c r="M732" s="70">
        <v>100.0</v>
      </c>
      <c r="N732" s="24" t="s">
        <v>4837</v>
      </c>
    </row>
    <row r="733">
      <c r="A733" s="66">
        <v>7729.0</v>
      </c>
      <c r="B733" s="66">
        <v>200.0</v>
      </c>
      <c r="C733" s="66">
        <v>35.0</v>
      </c>
      <c r="D733" s="66">
        <v>2.0</v>
      </c>
      <c r="E733" s="66">
        <v>3.0</v>
      </c>
      <c r="F733" s="66">
        <v>759.0</v>
      </c>
      <c r="G733" s="141">
        <v>43009.0</v>
      </c>
      <c r="H733" s="66">
        <v>7.0</v>
      </c>
      <c r="I733" s="132">
        <v>1964.57</v>
      </c>
      <c r="J733" s="133">
        <v>9097.99</v>
      </c>
      <c r="K733" s="142">
        <v>41.0</v>
      </c>
      <c r="L733" s="111">
        <v>20.0</v>
      </c>
      <c r="M733" s="70">
        <v>330.0</v>
      </c>
      <c r="N733" s="24" t="s">
        <v>4838</v>
      </c>
    </row>
    <row r="734">
      <c r="A734" s="66">
        <v>7730.0</v>
      </c>
      <c r="B734" s="66">
        <v>211.0</v>
      </c>
      <c r="C734" s="66">
        <v>96.0</v>
      </c>
      <c r="D734" s="66">
        <v>6.0</v>
      </c>
      <c r="E734" s="66">
        <v>9.0</v>
      </c>
      <c r="F734" s="66">
        <v>915.0</v>
      </c>
      <c r="G734" s="141">
        <v>53115.0</v>
      </c>
      <c r="H734" s="66">
        <v>1.0</v>
      </c>
      <c r="I734" s="132">
        <v>34604.74</v>
      </c>
      <c r="J734" s="133">
        <v>9721.57</v>
      </c>
      <c r="K734" s="142">
        <v>89.0</v>
      </c>
      <c r="L734" s="111">
        <v>22.0</v>
      </c>
      <c r="M734" s="70">
        <v>1400.0</v>
      </c>
      <c r="N734" s="24" t="s">
        <v>4839</v>
      </c>
    </row>
    <row r="735">
      <c r="A735" s="66">
        <v>7731.0</v>
      </c>
      <c r="B735" s="66">
        <v>218.0</v>
      </c>
      <c r="C735" s="66">
        <v>55.0</v>
      </c>
      <c r="D735" s="66">
        <v>7.0</v>
      </c>
      <c r="E735" s="66">
        <v>4.0</v>
      </c>
      <c r="F735" s="66">
        <v>372.0</v>
      </c>
      <c r="G735" s="141">
        <v>13110.0</v>
      </c>
      <c r="H735" s="66">
        <v>9.0</v>
      </c>
      <c r="I735" s="132">
        <v>75.82</v>
      </c>
      <c r="J735" s="133">
        <v>7198.9</v>
      </c>
      <c r="K735" s="142">
        <v>80.0</v>
      </c>
      <c r="L735" s="111">
        <v>23.0</v>
      </c>
      <c r="M735" s="70">
        <v>1400.0</v>
      </c>
      <c r="N735" s="24" t="s">
        <v>4840</v>
      </c>
    </row>
    <row r="736">
      <c r="A736" s="66">
        <v>7732.0</v>
      </c>
      <c r="B736" s="66">
        <v>213.0</v>
      </c>
      <c r="C736" s="66">
        <v>55.0</v>
      </c>
      <c r="D736" s="66">
        <v>7.0</v>
      </c>
      <c r="E736" s="66">
        <v>5.0</v>
      </c>
      <c r="F736" s="66">
        <v>232.0</v>
      </c>
      <c r="G736" s="141">
        <v>73110.0</v>
      </c>
      <c r="H736" s="66">
        <v>7.0</v>
      </c>
      <c r="I736" s="132">
        <v>-83740.33</v>
      </c>
      <c r="J736" s="133">
        <v>-3215.83</v>
      </c>
      <c r="K736" s="142">
        <v>60.0</v>
      </c>
      <c r="L736" s="111">
        <v>23.0</v>
      </c>
      <c r="M736" s="70">
        <v>1700.0</v>
      </c>
      <c r="N736" s="24" t="s">
        <v>4841</v>
      </c>
    </row>
    <row r="737">
      <c r="A737" s="66">
        <v>7733.0</v>
      </c>
      <c r="B737" s="66">
        <v>216.0</v>
      </c>
      <c r="C737" s="66">
        <v>35.0</v>
      </c>
      <c r="D737" s="66">
        <v>2.0</v>
      </c>
      <c r="E737" s="66">
        <v>8.0</v>
      </c>
      <c r="F737" s="66">
        <v>435.0</v>
      </c>
      <c r="G737" s="141">
        <v>113004.0</v>
      </c>
      <c r="H737" s="66">
        <v>9.0</v>
      </c>
      <c r="I737" s="132">
        <v>8723.39</v>
      </c>
      <c r="J737" s="133">
        <v>25943.21</v>
      </c>
      <c r="K737" s="142">
        <v>22.0</v>
      </c>
      <c r="L737" s="111">
        <v>20.0</v>
      </c>
      <c r="M737" s="70">
        <v>2330.0</v>
      </c>
      <c r="N737" s="24" t="s">
        <v>4842</v>
      </c>
    </row>
    <row r="738">
      <c r="A738" s="66">
        <v>7734.0</v>
      </c>
      <c r="B738" s="66">
        <v>202.0</v>
      </c>
      <c r="C738" s="66">
        <v>35.0</v>
      </c>
      <c r="D738" s="66">
        <v>2.0</v>
      </c>
      <c r="E738" s="66">
        <v>9.0</v>
      </c>
      <c r="F738" s="66">
        <v>705.0</v>
      </c>
      <c r="G738" s="141">
        <v>33106.0</v>
      </c>
      <c r="H738" s="66">
        <v>9.0</v>
      </c>
      <c r="I738" s="132">
        <v>8962.82</v>
      </c>
      <c r="J738" s="133">
        <v>-67.98</v>
      </c>
      <c r="K738" s="142">
        <v>68.0</v>
      </c>
      <c r="L738" s="111">
        <v>20.0</v>
      </c>
      <c r="M738" s="70">
        <v>200.0</v>
      </c>
      <c r="N738" s="24" t="s">
        <v>4843</v>
      </c>
    </row>
    <row r="739">
      <c r="A739" s="66">
        <v>7735.0</v>
      </c>
      <c r="B739" s="66">
        <v>211.0</v>
      </c>
      <c r="C739" s="66">
        <v>76.0</v>
      </c>
      <c r="D739" s="66">
        <v>2.0</v>
      </c>
      <c r="E739" s="66">
        <v>6.0</v>
      </c>
      <c r="F739" s="66">
        <v>862.0</v>
      </c>
      <c r="G739" s="141">
        <v>83109.0</v>
      </c>
      <c r="H739" s="66">
        <v>2.0</v>
      </c>
      <c r="I739" s="132">
        <v>420.17</v>
      </c>
      <c r="J739" s="133">
        <v>439.3</v>
      </c>
      <c r="K739" s="142">
        <v>85.0</v>
      </c>
      <c r="L739" s="111">
        <v>23.0</v>
      </c>
      <c r="M739" s="70">
        <v>330.0</v>
      </c>
      <c r="N739" s="24" t="s">
        <v>4844</v>
      </c>
    </row>
    <row r="740">
      <c r="A740" s="66">
        <v>7736.0</v>
      </c>
      <c r="B740" s="66">
        <v>205.0</v>
      </c>
      <c r="C740" s="66">
        <v>35.0</v>
      </c>
      <c r="D740" s="66">
        <v>3.0</v>
      </c>
      <c r="E740" s="66">
        <v>1.0</v>
      </c>
      <c r="F740" s="66">
        <v>731.0</v>
      </c>
      <c r="G740" s="141">
        <v>103101.0</v>
      </c>
      <c r="H740" s="66">
        <v>7.0</v>
      </c>
      <c r="I740" s="132">
        <v>-77290.93</v>
      </c>
      <c r="J740" s="133">
        <v>25710.24</v>
      </c>
      <c r="K740" s="142">
        <v>38.0</v>
      </c>
      <c r="L740" s="111">
        <v>20.0</v>
      </c>
      <c r="M740" s="70">
        <v>1630.0</v>
      </c>
      <c r="N740" s="24" t="s">
        <v>4845</v>
      </c>
    </row>
    <row r="741">
      <c r="A741" s="66">
        <v>7737.0</v>
      </c>
      <c r="B741" s="66">
        <v>202.0</v>
      </c>
      <c r="C741" s="66">
        <v>14.0</v>
      </c>
      <c r="D741" s="66">
        <v>8.0</v>
      </c>
      <c r="E741" s="66">
        <v>4.0</v>
      </c>
      <c r="F741" s="66">
        <v>995.0</v>
      </c>
      <c r="G741" s="141">
        <v>73119.0</v>
      </c>
      <c r="H741" s="66">
        <v>8.0</v>
      </c>
      <c r="I741" s="132">
        <v>-5479.36</v>
      </c>
      <c r="J741" s="133">
        <v>53.96</v>
      </c>
      <c r="K741" s="142">
        <v>27.0</v>
      </c>
      <c r="L741" s="111">
        <v>21.0</v>
      </c>
      <c r="M741" s="70">
        <v>2300.0</v>
      </c>
      <c r="N741" s="24" t="s">
        <v>4846</v>
      </c>
    </row>
    <row r="742">
      <c r="A742" s="66">
        <v>7738.0</v>
      </c>
      <c r="B742" s="66">
        <v>220.0</v>
      </c>
      <c r="C742" s="66">
        <v>55.0</v>
      </c>
      <c r="D742" s="66">
        <v>8.0</v>
      </c>
      <c r="E742" s="66">
        <v>1.0</v>
      </c>
      <c r="F742" s="66">
        <v>710.0</v>
      </c>
      <c r="G742" s="141">
        <v>123191.0</v>
      </c>
      <c r="H742" s="66">
        <v>2.0</v>
      </c>
      <c r="I742" s="132">
        <v>574.8</v>
      </c>
      <c r="J742" s="133">
        <v>84639.37</v>
      </c>
      <c r="K742" s="142">
        <v>31.0</v>
      </c>
      <c r="L742" s="111">
        <v>20.0</v>
      </c>
      <c r="M742" s="70">
        <v>2330.0</v>
      </c>
      <c r="N742" s="24" t="s">
        <v>4847</v>
      </c>
    </row>
    <row r="743">
      <c r="A743" s="66">
        <v>7739.0</v>
      </c>
      <c r="B743" s="66">
        <v>202.0</v>
      </c>
      <c r="C743" s="66">
        <v>76.0</v>
      </c>
      <c r="D743" s="66">
        <v>3.0</v>
      </c>
      <c r="E743" s="66">
        <v>2.0</v>
      </c>
      <c r="F743" s="66">
        <v>837.0</v>
      </c>
      <c r="G743" s="141">
        <v>22818.0</v>
      </c>
      <c r="H743" s="66">
        <v>6.0</v>
      </c>
      <c r="I743" s="132">
        <v>-980.81</v>
      </c>
      <c r="J743" s="133">
        <v>11164.83</v>
      </c>
      <c r="K743" s="142">
        <v>70.0</v>
      </c>
      <c r="L743" s="111">
        <v>21.0</v>
      </c>
      <c r="M743" s="70">
        <v>500.0</v>
      </c>
      <c r="N743" s="24" t="s">
        <v>4848</v>
      </c>
    </row>
    <row r="744">
      <c r="A744" s="66">
        <v>7740.0</v>
      </c>
      <c r="B744" s="66">
        <v>207.0</v>
      </c>
      <c r="C744" s="66">
        <v>35.0</v>
      </c>
      <c r="D744" s="66">
        <v>3.0</v>
      </c>
      <c r="E744" s="66">
        <v>7.0</v>
      </c>
      <c r="F744" s="66">
        <v>540.0</v>
      </c>
      <c r="G744" s="141">
        <v>73109.0</v>
      </c>
      <c r="H744" s="66">
        <v>2.0</v>
      </c>
      <c r="I744" s="132">
        <v>25.72</v>
      </c>
      <c r="J744" s="133">
        <v>42086.67</v>
      </c>
      <c r="K744" s="142">
        <v>92.0</v>
      </c>
      <c r="L744" s="111">
        <v>21.0</v>
      </c>
      <c r="M744" s="70">
        <v>1600.0</v>
      </c>
      <c r="N744" s="24" t="s">
        <v>4849</v>
      </c>
    </row>
    <row r="745">
      <c r="A745" s="66">
        <v>7741.0</v>
      </c>
      <c r="B745" s="66">
        <v>206.0</v>
      </c>
      <c r="C745" s="66">
        <v>76.0</v>
      </c>
      <c r="D745" s="66">
        <v>3.0</v>
      </c>
      <c r="E745" s="66">
        <v>8.0</v>
      </c>
      <c r="F745" s="66">
        <v>415.0</v>
      </c>
      <c r="G745" s="141">
        <v>43020.0</v>
      </c>
      <c r="H745" s="66">
        <v>2.0</v>
      </c>
      <c r="I745" s="132">
        <v>19.54</v>
      </c>
      <c r="J745" s="133">
        <v>24.83</v>
      </c>
      <c r="K745" s="142">
        <v>85.0</v>
      </c>
      <c r="L745" s="111">
        <v>21.0</v>
      </c>
      <c r="M745" s="70">
        <v>230.0</v>
      </c>
      <c r="N745" s="24" t="s">
        <v>4850</v>
      </c>
    </row>
    <row r="746">
      <c r="A746" s="66">
        <v>7742.0</v>
      </c>
      <c r="B746" s="66">
        <v>212.0</v>
      </c>
      <c r="C746" s="66">
        <v>35.0</v>
      </c>
      <c r="D746" s="66">
        <v>4.0</v>
      </c>
      <c r="E746" s="66">
        <v>3.0</v>
      </c>
      <c r="F746" s="66">
        <v>314.0</v>
      </c>
      <c r="G746" s="141">
        <v>123120.0</v>
      </c>
      <c r="H746" s="66">
        <v>8.0</v>
      </c>
      <c r="I746" s="132">
        <v>-2877.84</v>
      </c>
      <c r="J746" s="133">
        <v>-1011.97</v>
      </c>
      <c r="K746" s="142">
        <v>64.0</v>
      </c>
      <c r="L746" s="111">
        <v>20.0</v>
      </c>
      <c r="M746" s="70">
        <v>730.0</v>
      </c>
      <c r="N746" s="24" t="s">
        <v>4504</v>
      </c>
    </row>
    <row r="747">
      <c r="A747" s="66">
        <v>7743.0</v>
      </c>
      <c r="B747" s="66">
        <v>215.0</v>
      </c>
      <c r="C747" s="66">
        <v>55.0</v>
      </c>
      <c r="D747" s="66">
        <v>9.0</v>
      </c>
      <c r="E747" s="66">
        <v>3.0</v>
      </c>
      <c r="F747" s="66">
        <v>336.0</v>
      </c>
      <c r="G747" s="141">
        <v>123106.0</v>
      </c>
      <c r="H747" s="66">
        <v>2.0</v>
      </c>
      <c r="I747" s="132">
        <v>31386.22</v>
      </c>
      <c r="J747" s="133">
        <v>434.5</v>
      </c>
      <c r="K747" s="142">
        <v>44.0</v>
      </c>
      <c r="L747" s="111">
        <v>20.0</v>
      </c>
      <c r="M747" s="70">
        <v>1500.0</v>
      </c>
      <c r="N747" s="24" t="s">
        <v>4851</v>
      </c>
    </row>
    <row r="748">
      <c r="A748" s="66">
        <v>7744.0</v>
      </c>
      <c r="B748" s="66">
        <v>217.0</v>
      </c>
      <c r="C748" s="66">
        <v>76.0</v>
      </c>
      <c r="D748" s="66">
        <v>4.0</v>
      </c>
      <c r="E748" s="66">
        <v>1.0</v>
      </c>
      <c r="F748" s="66">
        <v>136.0</v>
      </c>
      <c r="G748" s="141">
        <v>93022.0</v>
      </c>
      <c r="H748" s="66">
        <v>4.0</v>
      </c>
      <c r="I748" s="132">
        <v>341.1</v>
      </c>
      <c r="J748" s="133">
        <v>34226.1</v>
      </c>
      <c r="K748" s="142">
        <v>87.0</v>
      </c>
      <c r="L748" s="111">
        <v>23.0</v>
      </c>
      <c r="M748" s="70">
        <v>2330.0</v>
      </c>
      <c r="N748" s="24" t="s">
        <v>4852</v>
      </c>
    </row>
    <row r="749">
      <c r="A749" s="66">
        <v>7745.0</v>
      </c>
      <c r="B749" s="66">
        <v>201.0</v>
      </c>
      <c r="C749" s="66">
        <v>14.0</v>
      </c>
      <c r="D749" s="66">
        <v>9.0</v>
      </c>
      <c r="E749" s="66">
        <v>8.0</v>
      </c>
      <c r="F749" s="66">
        <v>845.0</v>
      </c>
      <c r="G749" s="141">
        <v>43021.0</v>
      </c>
      <c r="H749" s="66">
        <v>8.0</v>
      </c>
      <c r="I749" s="132">
        <v>7946.2</v>
      </c>
      <c r="J749" s="133">
        <v>72926.1</v>
      </c>
      <c r="K749" s="142">
        <v>76.0</v>
      </c>
      <c r="L749" s="111">
        <v>20.0</v>
      </c>
      <c r="M749" s="70">
        <v>1330.0</v>
      </c>
      <c r="N749" s="24" t="s">
        <v>4853</v>
      </c>
    </row>
    <row r="750">
      <c r="A750" s="66">
        <v>7746.0</v>
      </c>
      <c r="B750" s="66">
        <v>203.0</v>
      </c>
      <c r="C750" s="66">
        <v>14.0</v>
      </c>
      <c r="D750" s="66">
        <v>9.0</v>
      </c>
      <c r="E750" s="66">
        <v>9.0</v>
      </c>
      <c r="F750" s="66">
        <v>546.0</v>
      </c>
      <c r="G750" s="141">
        <v>13115.0</v>
      </c>
      <c r="H750" s="66">
        <v>8.0</v>
      </c>
      <c r="I750" s="132">
        <v>88.62</v>
      </c>
      <c r="J750" s="133">
        <v>963.2</v>
      </c>
      <c r="K750" s="142">
        <v>70.0</v>
      </c>
      <c r="L750" s="111">
        <v>21.0</v>
      </c>
      <c r="M750" s="70">
        <v>2030.0</v>
      </c>
      <c r="N750" s="24" t="s">
        <v>4854</v>
      </c>
    </row>
    <row r="751">
      <c r="A751" s="66">
        <v>7747.0</v>
      </c>
      <c r="B751" s="66">
        <v>217.0</v>
      </c>
      <c r="C751" s="66">
        <v>55.0</v>
      </c>
      <c r="D751" s="66">
        <v>9.0</v>
      </c>
      <c r="E751" s="66">
        <v>9.0</v>
      </c>
      <c r="F751" s="66">
        <v>831.0</v>
      </c>
      <c r="G751" s="141">
        <v>113007.0</v>
      </c>
      <c r="H751" s="66">
        <v>1.0</v>
      </c>
      <c r="I751" s="132">
        <v>5117.98</v>
      </c>
      <c r="J751" s="133">
        <v>4524.3</v>
      </c>
      <c r="K751" s="142">
        <v>80.0</v>
      </c>
      <c r="L751" s="111">
        <v>22.0</v>
      </c>
      <c r="M751" s="70">
        <v>2000.0</v>
      </c>
      <c r="N751" s="24" t="s">
        <v>4224</v>
      </c>
    </row>
    <row r="752">
      <c r="A752" s="66">
        <v>7748.0</v>
      </c>
      <c r="B752" s="66">
        <v>210.0</v>
      </c>
      <c r="C752" s="66">
        <v>76.0</v>
      </c>
      <c r="D752" s="66">
        <v>4.0</v>
      </c>
      <c r="E752" s="66">
        <v>8.0</v>
      </c>
      <c r="F752" s="66">
        <v>635.0</v>
      </c>
      <c r="G752" s="141">
        <v>83112.0</v>
      </c>
      <c r="H752" s="66">
        <v>4.0</v>
      </c>
      <c r="I752" s="132">
        <v>675.73</v>
      </c>
      <c r="J752" s="133">
        <v>9788.44</v>
      </c>
      <c r="K752" s="142">
        <v>56.0</v>
      </c>
      <c r="L752" s="111">
        <v>20.0</v>
      </c>
      <c r="M752" s="70">
        <v>1930.0</v>
      </c>
      <c r="N752" s="24" t="s">
        <v>4855</v>
      </c>
    </row>
    <row r="753">
      <c r="A753" s="66">
        <v>7749.0</v>
      </c>
      <c r="B753" s="66">
        <v>209.0</v>
      </c>
      <c r="C753" s="66">
        <v>96.0</v>
      </c>
      <c r="D753" s="66">
        <v>9.0</v>
      </c>
      <c r="E753" s="66">
        <v>8.0</v>
      </c>
      <c r="F753" s="66">
        <v>149.0</v>
      </c>
      <c r="G753" s="141">
        <v>123110.0</v>
      </c>
      <c r="H753" s="66">
        <v>7.0</v>
      </c>
      <c r="I753" s="132">
        <v>31.65</v>
      </c>
      <c r="J753" s="133">
        <v>71201.59</v>
      </c>
      <c r="K753" s="142">
        <v>79.0</v>
      </c>
      <c r="L753" s="111">
        <v>21.0</v>
      </c>
      <c r="M753" s="70">
        <v>2230.0</v>
      </c>
      <c r="N753" s="24" t="s">
        <v>4856</v>
      </c>
    </row>
    <row r="754">
      <c r="A754" s="66">
        <v>7750.0</v>
      </c>
      <c r="B754" s="66">
        <v>205.0</v>
      </c>
      <c r="C754" s="66">
        <v>76.0</v>
      </c>
      <c r="D754" s="66">
        <v>5.0</v>
      </c>
      <c r="E754" s="66">
        <v>1.0</v>
      </c>
      <c r="F754" s="66">
        <v>738.0</v>
      </c>
      <c r="G754" s="141">
        <v>13195.0</v>
      </c>
      <c r="H754" s="66">
        <v>7.0</v>
      </c>
      <c r="I754" s="132">
        <v>39648.6</v>
      </c>
      <c r="J754" s="133">
        <v>15.5</v>
      </c>
      <c r="K754" s="142">
        <v>21.0</v>
      </c>
      <c r="L754" s="111">
        <v>23.0</v>
      </c>
      <c r="M754" s="70">
        <v>700.0</v>
      </c>
      <c r="N754" s="24" t="s">
        <v>4857</v>
      </c>
    </row>
    <row r="755">
      <c r="A755" s="66">
        <v>7751.0</v>
      </c>
      <c r="B755" s="66">
        <v>200.0</v>
      </c>
      <c r="C755" s="66">
        <v>76.0</v>
      </c>
      <c r="D755" s="66">
        <v>5.0</v>
      </c>
      <c r="E755" s="66">
        <v>2.0</v>
      </c>
      <c r="F755" s="66">
        <v>793.0</v>
      </c>
      <c r="G755" s="141">
        <v>113015.0</v>
      </c>
      <c r="H755" s="66">
        <v>3.0</v>
      </c>
      <c r="I755" s="132">
        <v>912.5</v>
      </c>
      <c r="J755" s="133">
        <v>719.25</v>
      </c>
      <c r="K755" s="142">
        <v>7.0</v>
      </c>
      <c r="L755" s="111">
        <v>23.0</v>
      </c>
      <c r="M755" s="70">
        <v>2330.0</v>
      </c>
      <c r="N755" s="24" t="s">
        <v>4858</v>
      </c>
    </row>
    <row r="756">
      <c r="A756" s="66">
        <v>7752.0</v>
      </c>
      <c r="B756" s="66">
        <v>203.0</v>
      </c>
      <c r="C756" s="66">
        <v>76.0</v>
      </c>
      <c r="D756" s="66">
        <v>5.0</v>
      </c>
      <c r="E756" s="66">
        <v>4.0</v>
      </c>
      <c r="F756" s="66">
        <v>818.0</v>
      </c>
      <c r="G756" s="141">
        <v>93013.0</v>
      </c>
      <c r="H756" s="66">
        <v>8.0</v>
      </c>
      <c r="I756" s="132">
        <v>771.65</v>
      </c>
      <c r="J756" s="133">
        <v>6298.38</v>
      </c>
      <c r="K756" s="142">
        <v>48.0</v>
      </c>
      <c r="L756" s="111">
        <v>22.0</v>
      </c>
      <c r="M756" s="70">
        <v>530.0</v>
      </c>
      <c r="N756" s="24" t="s">
        <v>4859</v>
      </c>
    </row>
    <row r="757">
      <c r="A757" s="66">
        <v>7753.0</v>
      </c>
      <c r="B757" s="66">
        <v>213.0</v>
      </c>
      <c r="C757" s="66">
        <v>35.0</v>
      </c>
      <c r="D757" s="66">
        <v>5.0</v>
      </c>
      <c r="E757" s="66">
        <v>8.0</v>
      </c>
      <c r="F757" s="66">
        <v>833.0</v>
      </c>
      <c r="G757" s="141">
        <v>13198.0</v>
      </c>
      <c r="H757" s="66">
        <v>8.0</v>
      </c>
      <c r="I757" s="132">
        <v>5061.94</v>
      </c>
      <c r="J757" s="133">
        <v>367.17</v>
      </c>
      <c r="K757" s="142">
        <v>70.0</v>
      </c>
      <c r="L757" s="111">
        <v>22.0</v>
      </c>
      <c r="M757" s="70">
        <v>2330.0</v>
      </c>
      <c r="N757" s="24" t="s">
        <v>4860</v>
      </c>
    </row>
    <row r="758">
      <c r="A758" s="66">
        <v>7754.0</v>
      </c>
      <c r="B758" s="66">
        <v>219.0</v>
      </c>
      <c r="C758" s="66">
        <v>15.0</v>
      </c>
      <c r="D758" s="66">
        <v>1.0</v>
      </c>
      <c r="E758" s="66">
        <v>4.0</v>
      </c>
      <c r="F758" s="66">
        <v>998.0</v>
      </c>
      <c r="G758" s="141">
        <v>53193.0</v>
      </c>
      <c r="H758" s="66">
        <v>5.0</v>
      </c>
      <c r="I758" s="132">
        <v>1554.86</v>
      </c>
      <c r="J758" s="133">
        <v>73526.75</v>
      </c>
      <c r="K758" s="142">
        <v>23.0</v>
      </c>
      <c r="L758" s="111">
        <v>20.0</v>
      </c>
      <c r="M758" s="70">
        <v>630.0</v>
      </c>
      <c r="N758" s="24" t="s">
        <v>4861</v>
      </c>
    </row>
    <row r="759">
      <c r="A759" s="66">
        <v>7755.0</v>
      </c>
      <c r="B759" s="66">
        <v>207.0</v>
      </c>
      <c r="C759" s="66">
        <v>56.0</v>
      </c>
      <c r="D759" s="66">
        <v>1.0</v>
      </c>
      <c r="E759" s="66">
        <v>2.0</v>
      </c>
      <c r="F759" s="66">
        <v>649.0</v>
      </c>
      <c r="G759" s="141">
        <v>53199.0</v>
      </c>
      <c r="H759" s="66">
        <v>5.0</v>
      </c>
      <c r="I759" s="132">
        <v>440.95</v>
      </c>
      <c r="J759" s="133">
        <v>-666.25</v>
      </c>
      <c r="K759" s="142">
        <v>40.0</v>
      </c>
      <c r="L759" s="111">
        <v>21.0</v>
      </c>
      <c r="M759" s="70">
        <v>930.0</v>
      </c>
      <c r="N759" s="24" t="s">
        <v>4862</v>
      </c>
    </row>
    <row r="760">
      <c r="A760" s="66">
        <v>7756.0</v>
      </c>
      <c r="B760" s="66">
        <v>208.0</v>
      </c>
      <c r="C760" s="66">
        <v>76.0</v>
      </c>
      <c r="D760" s="66">
        <v>6.0</v>
      </c>
      <c r="E760" s="66">
        <v>2.0</v>
      </c>
      <c r="F760" s="66">
        <v>880.0</v>
      </c>
      <c r="G760" s="141">
        <v>123196.0</v>
      </c>
      <c r="H760" s="66">
        <v>5.0</v>
      </c>
      <c r="I760" s="132">
        <v>459.12</v>
      </c>
      <c r="J760" s="133">
        <v>71963.44</v>
      </c>
      <c r="K760" s="142">
        <v>43.0</v>
      </c>
      <c r="L760" s="111">
        <v>20.0</v>
      </c>
      <c r="M760" s="70">
        <v>800.0</v>
      </c>
      <c r="N760" s="24" t="s">
        <v>4863</v>
      </c>
    </row>
    <row r="761">
      <c r="A761" s="66">
        <v>7757.0</v>
      </c>
      <c r="B761" s="66">
        <v>219.0</v>
      </c>
      <c r="C761" s="66">
        <v>35.0</v>
      </c>
      <c r="D761" s="66">
        <v>6.0</v>
      </c>
      <c r="E761" s="66">
        <v>6.0</v>
      </c>
      <c r="F761" s="66">
        <v>716.0</v>
      </c>
      <c r="G761" s="141">
        <v>73190.0</v>
      </c>
      <c r="H761" s="66">
        <v>1.0</v>
      </c>
      <c r="I761" s="132">
        <v>-94.31</v>
      </c>
      <c r="J761" s="133">
        <v>90.71</v>
      </c>
      <c r="K761" s="142">
        <v>67.0</v>
      </c>
      <c r="L761" s="111">
        <v>20.0</v>
      </c>
      <c r="M761" s="70">
        <v>1030.0</v>
      </c>
      <c r="N761" s="24" t="s">
        <v>4864</v>
      </c>
    </row>
    <row r="762">
      <c r="A762" s="66">
        <v>7758.0</v>
      </c>
      <c r="B762" s="66">
        <v>219.0</v>
      </c>
      <c r="C762" s="66">
        <v>35.0</v>
      </c>
      <c r="D762" s="66">
        <v>6.0</v>
      </c>
      <c r="E762" s="66">
        <v>8.0</v>
      </c>
      <c r="F762" s="66">
        <v>719.0</v>
      </c>
      <c r="G762" s="141">
        <v>113009.0</v>
      </c>
      <c r="H762" s="66">
        <v>8.0</v>
      </c>
      <c r="I762" s="132">
        <v>-38.11</v>
      </c>
      <c r="J762" s="133">
        <v>848.4</v>
      </c>
      <c r="K762" s="142">
        <v>21.0</v>
      </c>
      <c r="L762" s="111">
        <v>20.0</v>
      </c>
      <c r="M762" s="70">
        <v>1830.0</v>
      </c>
      <c r="N762" s="24" t="s">
        <v>4865</v>
      </c>
    </row>
    <row r="763">
      <c r="A763" s="66">
        <v>7759.0</v>
      </c>
      <c r="B763" s="66">
        <v>204.0</v>
      </c>
      <c r="C763" s="66">
        <v>15.0</v>
      </c>
      <c r="D763" s="66">
        <v>2.0</v>
      </c>
      <c r="E763" s="66">
        <v>5.0</v>
      </c>
      <c r="F763" s="66">
        <v>824.0</v>
      </c>
      <c r="G763" s="141">
        <v>43092.0</v>
      </c>
      <c r="H763" s="66">
        <v>6.0</v>
      </c>
      <c r="I763" s="132">
        <v>683.14</v>
      </c>
      <c r="J763" s="133">
        <v>88.15</v>
      </c>
      <c r="K763" s="142">
        <v>44.0</v>
      </c>
      <c r="L763" s="111">
        <v>20.0</v>
      </c>
      <c r="M763" s="70">
        <v>530.0</v>
      </c>
      <c r="N763" s="24" t="s">
        <v>4866</v>
      </c>
    </row>
    <row r="764">
      <c r="A764" s="66">
        <v>7760.0</v>
      </c>
      <c r="B764" s="66">
        <v>208.0</v>
      </c>
      <c r="C764" s="66">
        <v>56.0</v>
      </c>
      <c r="D764" s="66">
        <v>2.0</v>
      </c>
      <c r="E764" s="66">
        <v>2.0</v>
      </c>
      <c r="F764" s="66">
        <v>987.0</v>
      </c>
      <c r="G764" s="141">
        <v>73117.0</v>
      </c>
      <c r="H764" s="66">
        <v>1.0</v>
      </c>
      <c r="I764" s="132">
        <v>164.3</v>
      </c>
      <c r="J764" s="133">
        <v>-811.86</v>
      </c>
      <c r="K764" s="142">
        <v>63.0</v>
      </c>
      <c r="L764" s="111">
        <v>23.0</v>
      </c>
      <c r="M764" s="70">
        <v>1530.0</v>
      </c>
      <c r="N764" s="24" t="s">
        <v>4867</v>
      </c>
    </row>
    <row r="765">
      <c r="A765" s="66">
        <v>7761.0</v>
      </c>
      <c r="B765" s="66">
        <v>213.0</v>
      </c>
      <c r="C765" s="66">
        <v>15.0</v>
      </c>
      <c r="D765" s="66">
        <v>2.0</v>
      </c>
      <c r="E765" s="66">
        <v>8.0</v>
      </c>
      <c r="F765" s="66">
        <v>959.0</v>
      </c>
      <c r="G765" s="141">
        <v>22996.0</v>
      </c>
      <c r="H765" s="66">
        <v>9.0</v>
      </c>
      <c r="I765" s="132">
        <v>70931.87</v>
      </c>
      <c r="J765" s="133">
        <v>-3506.9</v>
      </c>
      <c r="K765" s="142">
        <v>64.0</v>
      </c>
      <c r="L765" s="111">
        <v>23.0</v>
      </c>
      <c r="M765" s="70">
        <v>2230.0</v>
      </c>
      <c r="N765" s="24" t="s">
        <v>4868</v>
      </c>
    </row>
    <row r="766">
      <c r="A766" s="66">
        <v>7762.0</v>
      </c>
      <c r="B766" s="66">
        <v>212.0</v>
      </c>
      <c r="C766" s="66">
        <v>56.0</v>
      </c>
      <c r="D766" s="66">
        <v>2.0</v>
      </c>
      <c r="E766" s="66">
        <v>4.0</v>
      </c>
      <c r="F766" s="66">
        <v>217.0</v>
      </c>
      <c r="G766" s="141">
        <v>13102.0</v>
      </c>
      <c r="H766" s="66">
        <v>2.0</v>
      </c>
      <c r="I766" s="132">
        <v>66076.97</v>
      </c>
      <c r="J766" s="133">
        <v>-1558.17</v>
      </c>
      <c r="K766" s="142">
        <v>3.0</v>
      </c>
      <c r="L766" s="111">
        <v>22.0</v>
      </c>
      <c r="M766" s="70">
        <v>230.0</v>
      </c>
      <c r="N766" s="24" t="s">
        <v>4869</v>
      </c>
    </row>
    <row r="767">
      <c r="A767" s="66">
        <v>7763.0</v>
      </c>
      <c r="B767" s="66">
        <v>213.0</v>
      </c>
      <c r="C767" s="66">
        <v>15.0</v>
      </c>
      <c r="D767" s="66">
        <v>3.0</v>
      </c>
      <c r="E767" s="66">
        <v>1.0</v>
      </c>
      <c r="F767" s="66">
        <v>690.0</v>
      </c>
      <c r="G767" s="141">
        <v>93094.0</v>
      </c>
      <c r="H767" s="66">
        <v>1.0</v>
      </c>
      <c r="I767" s="132">
        <v>3724.88</v>
      </c>
      <c r="J767" s="133">
        <v>1749.28</v>
      </c>
      <c r="K767" s="142">
        <v>3.0</v>
      </c>
      <c r="L767" s="111">
        <v>21.0</v>
      </c>
      <c r="M767" s="70">
        <v>1700.0</v>
      </c>
      <c r="N767" s="24" t="s">
        <v>4870</v>
      </c>
    </row>
    <row r="768">
      <c r="A768" s="66">
        <v>7764.0</v>
      </c>
      <c r="B768" s="66">
        <v>209.0</v>
      </c>
      <c r="C768" s="66">
        <v>35.0</v>
      </c>
      <c r="D768" s="66">
        <v>7.0</v>
      </c>
      <c r="E768" s="66">
        <v>9.0</v>
      </c>
      <c r="F768" s="66">
        <v>279.0</v>
      </c>
      <c r="G768" s="141">
        <v>43008.0</v>
      </c>
      <c r="H768" s="66">
        <v>3.0</v>
      </c>
      <c r="I768" s="132">
        <v>-64.24</v>
      </c>
      <c r="J768" s="133">
        <v>-92.86</v>
      </c>
      <c r="K768" s="142">
        <v>17.0</v>
      </c>
      <c r="L768" s="111">
        <v>23.0</v>
      </c>
      <c r="M768" s="70">
        <v>1700.0</v>
      </c>
      <c r="N768" s="24" t="s">
        <v>4871</v>
      </c>
    </row>
    <row r="769">
      <c r="A769" s="66">
        <v>7765.0</v>
      </c>
      <c r="B769" s="66">
        <v>214.0</v>
      </c>
      <c r="C769" s="66">
        <v>56.0</v>
      </c>
      <c r="D769" s="66">
        <v>2.0</v>
      </c>
      <c r="E769" s="66">
        <v>7.0</v>
      </c>
      <c r="F769" s="66">
        <v>835.0</v>
      </c>
      <c r="G769" s="141">
        <v>103110.0</v>
      </c>
      <c r="H769" s="66">
        <v>7.0</v>
      </c>
      <c r="I769" s="132">
        <v>3214.37</v>
      </c>
      <c r="J769" s="133">
        <v>1822.44</v>
      </c>
      <c r="K769" s="142">
        <v>4.0</v>
      </c>
      <c r="L769" s="111">
        <v>20.0</v>
      </c>
      <c r="M769" s="70">
        <v>1830.0</v>
      </c>
      <c r="N769" s="24" t="s">
        <v>4872</v>
      </c>
    </row>
    <row r="770">
      <c r="A770" s="66">
        <v>7766.0</v>
      </c>
      <c r="B770" s="66">
        <v>214.0</v>
      </c>
      <c r="C770" s="66">
        <v>97.0</v>
      </c>
      <c r="D770" s="66">
        <v>2.0</v>
      </c>
      <c r="E770" s="66">
        <v>9.0</v>
      </c>
      <c r="F770" s="66">
        <v>391.0</v>
      </c>
      <c r="G770" s="141">
        <v>103115.0</v>
      </c>
      <c r="H770" s="66">
        <v>9.0</v>
      </c>
      <c r="I770" s="132">
        <v>398.59</v>
      </c>
      <c r="J770" s="133">
        <v>46927.23</v>
      </c>
      <c r="K770" s="142">
        <v>94.0</v>
      </c>
      <c r="L770" s="111">
        <v>20.0</v>
      </c>
      <c r="M770" s="70">
        <v>1130.0</v>
      </c>
      <c r="N770" s="24" t="s">
        <v>4873</v>
      </c>
    </row>
    <row r="771">
      <c r="A771" s="66">
        <v>7767.0</v>
      </c>
      <c r="B771" s="66">
        <v>212.0</v>
      </c>
      <c r="C771" s="66">
        <v>56.0</v>
      </c>
      <c r="D771" s="66">
        <v>3.0</v>
      </c>
      <c r="E771" s="66">
        <v>5.0</v>
      </c>
      <c r="F771" s="66">
        <v>470.0</v>
      </c>
      <c r="G771" s="141">
        <v>53102.0</v>
      </c>
      <c r="H771" s="66">
        <v>1.0</v>
      </c>
      <c r="I771" s="132">
        <v>668.57</v>
      </c>
      <c r="J771" s="133">
        <v>4543.0</v>
      </c>
      <c r="K771" s="142">
        <v>76.0</v>
      </c>
      <c r="L771" s="111">
        <v>22.0</v>
      </c>
      <c r="M771" s="70">
        <v>2300.0</v>
      </c>
      <c r="N771" s="24" t="s">
        <v>4874</v>
      </c>
    </row>
    <row r="772">
      <c r="A772" s="66">
        <v>7768.0</v>
      </c>
      <c r="B772" s="66">
        <v>210.0</v>
      </c>
      <c r="C772" s="66">
        <v>76.0</v>
      </c>
      <c r="D772" s="66">
        <v>8.0</v>
      </c>
      <c r="E772" s="66">
        <v>4.0</v>
      </c>
      <c r="F772" s="66">
        <v>690.0</v>
      </c>
      <c r="G772" s="141">
        <v>83106.0</v>
      </c>
      <c r="H772" s="66">
        <v>6.0</v>
      </c>
      <c r="I772" s="132">
        <v>-9414.57</v>
      </c>
      <c r="J772" s="133">
        <v>14873.37</v>
      </c>
      <c r="K772" s="142">
        <v>96.0</v>
      </c>
      <c r="L772" s="111">
        <v>22.0</v>
      </c>
      <c r="M772" s="70">
        <v>830.0</v>
      </c>
      <c r="N772" s="24" t="s">
        <v>4875</v>
      </c>
    </row>
    <row r="773">
      <c r="A773" s="66">
        <v>7769.0</v>
      </c>
      <c r="B773" s="66">
        <v>208.0</v>
      </c>
      <c r="C773" s="66">
        <v>76.0</v>
      </c>
      <c r="D773" s="66">
        <v>8.0</v>
      </c>
      <c r="E773" s="66">
        <v>3.0</v>
      </c>
      <c r="F773" s="66">
        <v>342.0</v>
      </c>
      <c r="G773" s="141">
        <v>73116.0</v>
      </c>
      <c r="H773" s="66">
        <v>8.0</v>
      </c>
      <c r="I773" s="132">
        <v>2994.81</v>
      </c>
      <c r="J773" s="133">
        <v>66.91</v>
      </c>
      <c r="K773" s="142">
        <v>23.0</v>
      </c>
      <c r="L773" s="111">
        <v>23.0</v>
      </c>
      <c r="M773" s="70">
        <v>330.0</v>
      </c>
      <c r="N773" s="24" t="s">
        <v>4876</v>
      </c>
    </row>
    <row r="774">
      <c r="A774" s="66">
        <v>7770.0</v>
      </c>
      <c r="B774" s="66">
        <v>209.0</v>
      </c>
      <c r="C774" s="66">
        <v>35.0</v>
      </c>
      <c r="D774" s="66">
        <v>8.0</v>
      </c>
      <c r="E774" s="66">
        <v>7.0</v>
      </c>
      <c r="F774" s="66">
        <v>294.0</v>
      </c>
      <c r="G774" s="141">
        <v>53101.0</v>
      </c>
      <c r="H774" s="66">
        <v>7.0</v>
      </c>
      <c r="I774" s="132">
        <v>-34.8</v>
      </c>
      <c r="J774" s="133">
        <v>89859.41</v>
      </c>
      <c r="K774" s="142">
        <v>7.0</v>
      </c>
      <c r="L774" s="111">
        <v>22.0</v>
      </c>
      <c r="M774" s="70">
        <v>400.0</v>
      </c>
      <c r="N774" s="24" t="s">
        <v>4877</v>
      </c>
    </row>
    <row r="775">
      <c r="A775" s="66">
        <v>7771.0</v>
      </c>
      <c r="B775" s="66">
        <v>216.0</v>
      </c>
      <c r="C775" s="66">
        <v>15.0</v>
      </c>
      <c r="D775" s="66">
        <v>4.0</v>
      </c>
      <c r="E775" s="66">
        <v>4.0</v>
      </c>
      <c r="F775" s="66">
        <v>972.0</v>
      </c>
      <c r="G775" s="141">
        <v>13119.0</v>
      </c>
      <c r="H775" s="66">
        <v>4.0</v>
      </c>
      <c r="I775" s="132">
        <v>211.91</v>
      </c>
      <c r="J775" s="133">
        <v>-84084.5</v>
      </c>
      <c r="K775" s="142">
        <v>47.0</v>
      </c>
      <c r="L775" s="111">
        <v>20.0</v>
      </c>
      <c r="M775" s="70">
        <v>1230.0</v>
      </c>
      <c r="N775" s="24" t="s">
        <v>4878</v>
      </c>
    </row>
    <row r="776">
      <c r="A776" s="66">
        <v>7772.0</v>
      </c>
      <c r="B776" s="66">
        <v>211.0</v>
      </c>
      <c r="C776" s="66">
        <v>35.0</v>
      </c>
      <c r="D776" s="66">
        <v>9.0</v>
      </c>
      <c r="E776" s="66">
        <v>4.0</v>
      </c>
      <c r="F776" s="66">
        <v>882.0</v>
      </c>
      <c r="G776" s="141">
        <v>113020.0</v>
      </c>
      <c r="H776" s="66">
        <v>5.0</v>
      </c>
      <c r="I776" s="132">
        <v>31.94</v>
      </c>
      <c r="J776" s="133">
        <v>7852.4</v>
      </c>
      <c r="K776" s="142">
        <v>32.0</v>
      </c>
      <c r="L776" s="111">
        <v>23.0</v>
      </c>
      <c r="M776" s="70">
        <v>1230.0</v>
      </c>
      <c r="N776" s="24" t="s">
        <v>4879</v>
      </c>
    </row>
    <row r="777">
      <c r="A777" s="66">
        <v>7773.0</v>
      </c>
      <c r="B777" s="66">
        <v>218.0</v>
      </c>
      <c r="C777" s="66">
        <v>15.0</v>
      </c>
      <c r="D777" s="66">
        <v>4.0</v>
      </c>
      <c r="E777" s="66">
        <v>9.0</v>
      </c>
      <c r="F777" s="66">
        <v>708.0</v>
      </c>
      <c r="G777" s="141">
        <v>73192.0</v>
      </c>
      <c r="H777" s="66">
        <v>2.0</v>
      </c>
      <c r="I777" s="132">
        <v>73371.78</v>
      </c>
      <c r="J777" s="133">
        <v>91.47</v>
      </c>
      <c r="K777" s="142">
        <v>20.0</v>
      </c>
      <c r="L777" s="111">
        <v>20.0</v>
      </c>
      <c r="M777" s="70">
        <v>200.0</v>
      </c>
      <c r="N777" s="24" t="s">
        <v>4880</v>
      </c>
    </row>
    <row r="778">
      <c r="A778" s="66">
        <v>7774.0</v>
      </c>
      <c r="B778" s="66">
        <v>212.0</v>
      </c>
      <c r="C778" s="66">
        <v>56.0</v>
      </c>
      <c r="D778" s="66">
        <v>4.0</v>
      </c>
      <c r="E778" s="66">
        <v>6.0</v>
      </c>
      <c r="F778" s="66">
        <v>470.0</v>
      </c>
      <c r="G778" s="141">
        <v>103122.0</v>
      </c>
      <c r="H778" s="66">
        <v>2.0</v>
      </c>
      <c r="I778" s="132">
        <v>3184.47</v>
      </c>
      <c r="J778" s="133">
        <v>-706.93</v>
      </c>
      <c r="K778" s="142">
        <v>29.0</v>
      </c>
      <c r="L778" s="111">
        <v>21.0</v>
      </c>
      <c r="M778" s="70">
        <v>830.0</v>
      </c>
      <c r="N778" s="24" t="s">
        <v>4881</v>
      </c>
    </row>
    <row r="779">
      <c r="A779" s="66">
        <v>7775.0</v>
      </c>
      <c r="B779" s="66">
        <v>201.0</v>
      </c>
      <c r="C779" s="66">
        <v>56.0</v>
      </c>
      <c r="D779" s="66">
        <v>4.0</v>
      </c>
      <c r="E779" s="66">
        <v>7.0</v>
      </c>
      <c r="F779" s="66">
        <v>611.0</v>
      </c>
      <c r="G779" s="141">
        <v>13193.0</v>
      </c>
      <c r="H779" s="66">
        <v>9.0</v>
      </c>
      <c r="I779" s="132">
        <v>7520.52</v>
      </c>
      <c r="J779" s="133">
        <v>88007.32</v>
      </c>
      <c r="K779" s="142">
        <v>69.0</v>
      </c>
      <c r="L779" s="111">
        <v>21.0</v>
      </c>
      <c r="M779" s="70">
        <v>1230.0</v>
      </c>
      <c r="N779" s="24" t="s">
        <v>4882</v>
      </c>
    </row>
    <row r="780">
      <c r="A780" s="66">
        <v>7776.0</v>
      </c>
      <c r="B780" s="66">
        <v>210.0</v>
      </c>
      <c r="C780" s="66">
        <v>97.0</v>
      </c>
      <c r="D780" s="66">
        <v>4.0</v>
      </c>
      <c r="E780" s="66">
        <v>4.0</v>
      </c>
      <c r="F780" s="66">
        <v>278.0</v>
      </c>
      <c r="G780" s="141">
        <v>83197.0</v>
      </c>
      <c r="H780" s="66">
        <v>5.0</v>
      </c>
      <c r="I780" s="132">
        <v>-2419.45</v>
      </c>
      <c r="J780" s="133">
        <v>4773.19</v>
      </c>
      <c r="K780" s="142">
        <v>48.0</v>
      </c>
      <c r="L780" s="111">
        <v>23.0</v>
      </c>
      <c r="M780" s="70">
        <v>200.0</v>
      </c>
      <c r="N780" s="24" t="s">
        <v>4308</v>
      </c>
    </row>
    <row r="781">
      <c r="A781" s="66">
        <v>7777.0</v>
      </c>
      <c r="B781" s="66">
        <v>214.0</v>
      </c>
      <c r="C781" s="66">
        <v>15.0</v>
      </c>
      <c r="D781" s="66">
        <v>5.0</v>
      </c>
      <c r="E781" s="66">
        <v>5.0</v>
      </c>
      <c r="F781" s="66">
        <v>403.0</v>
      </c>
      <c r="G781" s="141">
        <v>63013.0</v>
      </c>
      <c r="H781" s="66">
        <v>6.0</v>
      </c>
      <c r="I781" s="132">
        <v>53365.93</v>
      </c>
      <c r="J781" s="133">
        <v>773.62</v>
      </c>
      <c r="K781" s="142">
        <v>93.0</v>
      </c>
      <c r="L781" s="111">
        <v>22.0</v>
      </c>
      <c r="M781" s="70">
        <v>2100.0</v>
      </c>
      <c r="N781" s="24" t="s">
        <v>4883</v>
      </c>
    </row>
    <row r="782">
      <c r="A782" s="66">
        <v>7778.0</v>
      </c>
      <c r="B782" s="66">
        <v>204.0</v>
      </c>
      <c r="C782" s="66">
        <v>56.0</v>
      </c>
      <c r="D782" s="66">
        <v>5.0</v>
      </c>
      <c r="E782" s="66">
        <v>5.0</v>
      </c>
      <c r="F782" s="66">
        <v>383.0</v>
      </c>
      <c r="G782" s="141">
        <v>22803.0</v>
      </c>
      <c r="H782" s="66">
        <v>7.0</v>
      </c>
      <c r="I782" s="132">
        <v>42.27</v>
      </c>
      <c r="J782" s="133">
        <v>9047.75</v>
      </c>
      <c r="K782" s="142">
        <v>30.0</v>
      </c>
      <c r="L782" s="111">
        <v>21.0</v>
      </c>
      <c r="M782" s="70">
        <v>230.0</v>
      </c>
      <c r="N782" s="24" t="s">
        <v>4884</v>
      </c>
    </row>
    <row r="783">
      <c r="A783" s="66">
        <v>7779.0</v>
      </c>
      <c r="B783" s="66">
        <v>207.0</v>
      </c>
      <c r="C783" s="66">
        <v>97.0</v>
      </c>
      <c r="D783" s="66">
        <v>5.0</v>
      </c>
      <c r="E783" s="66">
        <v>2.0</v>
      </c>
      <c r="F783" s="66">
        <v>577.0</v>
      </c>
      <c r="G783" s="141">
        <v>22891.0</v>
      </c>
      <c r="H783" s="66">
        <v>8.0</v>
      </c>
      <c r="I783" s="132">
        <v>-5065.59</v>
      </c>
      <c r="J783" s="133">
        <v>-375.0</v>
      </c>
      <c r="K783" s="142">
        <v>72.0</v>
      </c>
      <c r="L783" s="111">
        <v>21.0</v>
      </c>
      <c r="M783" s="70">
        <v>1300.0</v>
      </c>
      <c r="N783" s="24" t="s">
        <v>4658</v>
      </c>
    </row>
    <row r="784">
      <c r="A784" s="66">
        <v>7780.0</v>
      </c>
      <c r="B784" s="66">
        <v>206.0</v>
      </c>
      <c r="C784" s="66">
        <v>56.0</v>
      </c>
      <c r="D784" s="66">
        <v>5.0</v>
      </c>
      <c r="E784" s="66">
        <v>7.0</v>
      </c>
      <c r="F784" s="66">
        <v>768.0</v>
      </c>
      <c r="G784" s="141">
        <v>93006.0</v>
      </c>
      <c r="H784" s="66">
        <v>9.0</v>
      </c>
      <c r="I784" s="132">
        <v>31223.38</v>
      </c>
      <c r="J784" s="133">
        <v>76477.88</v>
      </c>
      <c r="K784" s="142">
        <v>28.0</v>
      </c>
      <c r="L784" s="111">
        <v>21.0</v>
      </c>
      <c r="M784" s="70">
        <v>1600.0</v>
      </c>
      <c r="N784" s="24" t="s">
        <v>4885</v>
      </c>
    </row>
    <row r="785">
      <c r="A785" s="66">
        <v>7781.0</v>
      </c>
      <c r="B785" s="66">
        <v>210.0</v>
      </c>
      <c r="C785" s="66">
        <v>97.0</v>
      </c>
      <c r="D785" s="66">
        <v>5.0</v>
      </c>
      <c r="E785" s="66">
        <v>4.0</v>
      </c>
      <c r="F785" s="66">
        <v>946.0</v>
      </c>
      <c r="G785" s="141">
        <v>93095.0</v>
      </c>
      <c r="H785" s="66">
        <v>3.0</v>
      </c>
      <c r="I785" s="132">
        <v>4150.76</v>
      </c>
      <c r="J785" s="133">
        <v>2725.28</v>
      </c>
      <c r="K785" s="142">
        <v>50.0</v>
      </c>
      <c r="L785" s="111">
        <v>23.0</v>
      </c>
      <c r="M785" s="70">
        <v>1630.0</v>
      </c>
      <c r="N785" s="24" t="s">
        <v>4886</v>
      </c>
    </row>
    <row r="786">
      <c r="A786" s="66">
        <v>7782.0</v>
      </c>
      <c r="B786" s="66">
        <v>220.0</v>
      </c>
      <c r="C786" s="66">
        <v>97.0</v>
      </c>
      <c r="D786" s="66">
        <v>5.0</v>
      </c>
      <c r="E786" s="66">
        <v>5.0</v>
      </c>
      <c r="F786" s="66">
        <v>995.0</v>
      </c>
      <c r="G786" s="141">
        <v>73193.0</v>
      </c>
      <c r="H786" s="66">
        <v>5.0</v>
      </c>
      <c r="I786" s="132">
        <v>9607.9</v>
      </c>
      <c r="J786" s="133">
        <v>18418.19</v>
      </c>
      <c r="K786" s="142">
        <v>66.0</v>
      </c>
      <c r="L786" s="111">
        <v>20.0</v>
      </c>
      <c r="M786" s="70">
        <v>130.0</v>
      </c>
      <c r="N786" s="24" t="s">
        <v>4887</v>
      </c>
    </row>
    <row r="787">
      <c r="A787" s="66">
        <v>7783.0</v>
      </c>
      <c r="B787" s="66">
        <v>204.0</v>
      </c>
      <c r="C787" s="66">
        <v>56.0</v>
      </c>
      <c r="D787" s="66">
        <v>5.0</v>
      </c>
      <c r="E787" s="66">
        <v>9.0</v>
      </c>
      <c r="F787" s="66">
        <v>565.0</v>
      </c>
      <c r="G787" s="141">
        <v>113013.0</v>
      </c>
      <c r="H787" s="66">
        <v>7.0</v>
      </c>
      <c r="I787" s="132">
        <v>94.72</v>
      </c>
      <c r="J787" s="133">
        <v>79884.11</v>
      </c>
      <c r="K787" s="142">
        <v>4.0</v>
      </c>
      <c r="L787" s="111">
        <v>20.0</v>
      </c>
      <c r="M787" s="70">
        <v>700.0</v>
      </c>
      <c r="N787" s="24" t="s">
        <v>4888</v>
      </c>
    </row>
    <row r="788">
      <c r="A788" s="66">
        <v>7784.0</v>
      </c>
      <c r="B788" s="66">
        <v>210.0</v>
      </c>
      <c r="C788" s="66">
        <v>15.0</v>
      </c>
      <c r="D788" s="66">
        <v>6.0</v>
      </c>
      <c r="E788" s="66">
        <v>5.0</v>
      </c>
      <c r="F788" s="66">
        <v>485.0</v>
      </c>
      <c r="G788" s="141">
        <v>33114.0</v>
      </c>
      <c r="H788" s="66">
        <v>9.0</v>
      </c>
      <c r="I788" s="132">
        <v>13.55</v>
      </c>
      <c r="J788" s="133">
        <v>53.75</v>
      </c>
      <c r="K788" s="142">
        <v>27.0</v>
      </c>
      <c r="L788" s="111">
        <v>20.0</v>
      </c>
      <c r="M788" s="70">
        <v>630.0</v>
      </c>
      <c r="N788" s="24" t="s">
        <v>4889</v>
      </c>
    </row>
    <row r="789">
      <c r="A789" s="66">
        <v>7785.0</v>
      </c>
      <c r="B789" s="66">
        <v>214.0</v>
      </c>
      <c r="C789" s="66">
        <v>56.0</v>
      </c>
      <c r="D789" s="66">
        <v>6.0</v>
      </c>
      <c r="E789" s="66">
        <v>5.0</v>
      </c>
      <c r="F789" s="66">
        <v>248.0</v>
      </c>
      <c r="G789" s="141">
        <v>123118.0</v>
      </c>
      <c r="H789" s="66">
        <v>9.0</v>
      </c>
      <c r="I789" s="132">
        <v>-84402.88</v>
      </c>
      <c r="J789" s="133">
        <v>48163.24</v>
      </c>
      <c r="K789" s="142">
        <v>72.0</v>
      </c>
      <c r="L789" s="111">
        <v>23.0</v>
      </c>
      <c r="M789" s="70">
        <v>130.0</v>
      </c>
      <c r="N789" s="24" t="s">
        <v>4890</v>
      </c>
    </row>
    <row r="790">
      <c r="A790" s="66">
        <v>7786.0</v>
      </c>
      <c r="B790" s="66">
        <v>219.0</v>
      </c>
      <c r="C790" s="66">
        <v>36.0</v>
      </c>
      <c r="D790" s="66">
        <v>2.0</v>
      </c>
      <c r="E790" s="66">
        <v>1.0</v>
      </c>
      <c r="F790" s="66">
        <v>484.0</v>
      </c>
      <c r="G790" s="141">
        <v>53111.0</v>
      </c>
      <c r="H790" s="66">
        <v>8.0</v>
      </c>
      <c r="I790" s="132">
        <v>703.95</v>
      </c>
      <c r="J790" s="133">
        <v>66054.34</v>
      </c>
      <c r="K790" s="142">
        <v>33.0</v>
      </c>
      <c r="L790" s="111">
        <v>22.0</v>
      </c>
      <c r="M790" s="70">
        <v>2130.0</v>
      </c>
      <c r="N790" s="24" t="s">
        <v>4891</v>
      </c>
    </row>
    <row r="791">
      <c r="A791" s="66">
        <v>7787.0</v>
      </c>
      <c r="B791" s="66">
        <v>204.0</v>
      </c>
      <c r="C791" s="66">
        <v>77.0</v>
      </c>
      <c r="D791" s="66">
        <v>1.0</v>
      </c>
      <c r="E791" s="66">
        <v>7.0</v>
      </c>
      <c r="F791" s="66">
        <v>332.0</v>
      </c>
      <c r="G791" s="141">
        <v>63004.0</v>
      </c>
      <c r="H791" s="66">
        <v>1.0</v>
      </c>
      <c r="I791" s="132">
        <v>5964.73</v>
      </c>
      <c r="J791" s="133">
        <v>81.55</v>
      </c>
      <c r="K791" s="142">
        <v>76.0</v>
      </c>
      <c r="L791" s="111">
        <v>22.0</v>
      </c>
      <c r="M791" s="70">
        <v>1100.0</v>
      </c>
      <c r="N791" s="24" t="s">
        <v>4892</v>
      </c>
    </row>
    <row r="792">
      <c r="A792" s="66">
        <v>7788.0</v>
      </c>
      <c r="B792" s="66">
        <v>207.0</v>
      </c>
      <c r="C792" s="66">
        <v>36.0</v>
      </c>
      <c r="D792" s="66">
        <v>2.0</v>
      </c>
      <c r="E792" s="66">
        <v>3.0</v>
      </c>
      <c r="F792" s="66">
        <v>490.0</v>
      </c>
      <c r="G792" s="141">
        <v>123122.0</v>
      </c>
      <c r="H792" s="66">
        <v>8.0</v>
      </c>
      <c r="I792" s="132">
        <v>16876.74</v>
      </c>
      <c r="J792" s="133">
        <v>8980.62</v>
      </c>
      <c r="K792" s="142">
        <v>31.0</v>
      </c>
      <c r="L792" s="111">
        <v>20.0</v>
      </c>
      <c r="M792" s="70">
        <v>800.0</v>
      </c>
      <c r="N792" s="24" t="s">
        <v>4893</v>
      </c>
    </row>
    <row r="793">
      <c r="A793" s="66">
        <v>7789.0</v>
      </c>
      <c r="B793" s="66">
        <v>212.0</v>
      </c>
      <c r="C793" s="66">
        <v>97.0</v>
      </c>
      <c r="D793" s="66">
        <v>6.0</v>
      </c>
      <c r="E793" s="66">
        <v>5.0</v>
      </c>
      <c r="F793" s="66">
        <v>206.0</v>
      </c>
      <c r="G793" s="141">
        <v>53194.0</v>
      </c>
      <c r="H793" s="66">
        <v>6.0</v>
      </c>
      <c r="I793" s="132">
        <v>517.11</v>
      </c>
      <c r="J793" s="133">
        <v>20332.25</v>
      </c>
      <c r="K793" s="142">
        <v>24.0</v>
      </c>
      <c r="L793" s="111">
        <v>20.0</v>
      </c>
      <c r="M793" s="70">
        <v>2130.0</v>
      </c>
      <c r="N793" s="24" t="s">
        <v>4894</v>
      </c>
    </row>
    <row r="794">
      <c r="A794" s="66">
        <v>7790.0</v>
      </c>
      <c r="B794" s="66">
        <v>218.0</v>
      </c>
      <c r="C794" s="66">
        <v>97.0</v>
      </c>
      <c r="D794" s="66">
        <v>6.0</v>
      </c>
      <c r="E794" s="66">
        <v>9.0</v>
      </c>
      <c r="F794" s="66">
        <v>549.0</v>
      </c>
      <c r="G794" s="141">
        <v>123104.0</v>
      </c>
      <c r="H794" s="66">
        <v>3.0</v>
      </c>
      <c r="I794" s="132">
        <v>-40148.67</v>
      </c>
      <c r="J794" s="133">
        <v>-11956.9</v>
      </c>
      <c r="K794" s="142">
        <v>32.0</v>
      </c>
      <c r="L794" s="111">
        <v>22.0</v>
      </c>
      <c r="M794" s="70">
        <v>1430.0</v>
      </c>
      <c r="N794" s="24" t="s">
        <v>4895</v>
      </c>
    </row>
    <row r="795">
      <c r="A795" s="66">
        <v>7791.0</v>
      </c>
      <c r="B795" s="66">
        <v>213.0</v>
      </c>
      <c r="C795" s="66">
        <v>56.0</v>
      </c>
      <c r="D795" s="66">
        <v>7.0</v>
      </c>
      <c r="E795" s="66">
        <v>4.0</v>
      </c>
      <c r="F795" s="66">
        <v>637.0</v>
      </c>
      <c r="G795" s="141">
        <v>93018.0</v>
      </c>
      <c r="H795" s="66">
        <v>4.0</v>
      </c>
      <c r="I795" s="132">
        <v>9988.27</v>
      </c>
      <c r="J795" s="133">
        <v>-665.17</v>
      </c>
      <c r="K795" s="142">
        <v>31.0</v>
      </c>
      <c r="L795" s="111">
        <v>20.0</v>
      </c>
      <c r="M795" s="70">
        <v>2330.0</v>
      </c>
      <c r="N795" s="24" t="s">
        <v>4896</v>
      </c>
    </row>
    <row r="796">
      <c r="A796" s="66">
        <v>7792.0</v>
      </c>
      <c r="B796" s="66">
        <v>219.0</v>
      </c>
      <c r="C796" s="66">
        <v>15.0</v>
      </c>
      <c r="D796" s="66">
        <v>7.0</v>
      </c>
      <c r="E796" s="66">
        <v>9.0</v>
      </c>
      <c r="F796" s="66">
        <v>679.0</v>
      </c>
      <c r="G796" s="141">
        <v>83122.0</v>
      </c>
      <c r="H796" s="66">
        <v>3.0</v>
      </c>
      <c r="I796" s="132">
        <v>78.53</v>
      </c>
      <c r="J796" s="133">
        <v>836.64</v>
      </c>
      <c r="K796" s="142">
        <v>23.0</v>
      </c>
      <c r="L796" s="111">
        <v>20.0</v>
      </c>
      <c r="M796" s="70">
        <v>800.0</v>
      </c>
      <c r="N796" s="24" t="s">
        <v>4897</v>
      </c>
    </row>
    <row r="797">
      <c r="A797" s="66">
        <v>7793.0</v>
      </c>
      <c r="B797" s="66">
        <v>204.0</v>
      </c>
      <c r="C797" s="66">
        <v>97.0</v>
      </c>
      <c r="D797" s="66">
        <v>7.0</v>
      </c>
      <c r="E797" s="66">
        <v>2.0</v>
      </c>
      <c r="F797" s="66">
        <v>447.0</v>
      </c>
      <c r="G797" s="141">
        <v>93017.0</v>
      </c>
      <c r="H797" s="66">
        <v>1.0</v>
      </c>
      <c r="I797" s="132">
        <v>726.43</v>
      </c>
      <c r="J797" s="133">
        <v>73.79</v>
      </c>
      <c r="K797" s="142">
        <v>7.0</v>
      </c>
      <c r="L797" s="111">
        <v>21.0</v>
      </c>
      <c r="M797" s="70">
        <v>600.0</v>
      </c>
      <c r="N797" s="24" t="s">
        <v>4898</v>
      </c>
    </row>
    <row r="798">
      <c r="A798" s="66">
        <v>7794.0</v>
      </c>
      <c r="B798" s="66">
        <v>202.0</v>
      </c>
      <c r="C798" s="66">
        <v>56.0</v>
      </c>
      <c r="D798" s="66">
        <v>7.0</v>
      </c>
      <c r="E798" s="66">
        <v>5.0</v>
      </c>
      <c r="F798" s="66">
        <v>915.0</v>
      </c>
      <c r="G798" s="141">
        <v>63016.0</v>
      </c>
      <c r="H798" s="66">
        <v>2.0</v>
      </c>
      <c r="I798" s="132">
        <v>-70896.57</v>
      </c>
      <c r="J798" s="133">
        <v>-14831.65</v>
      </c>
      <c r="K798" s="142">
        <v>19.0</v>
      </c>
      <c r="L798" s="111">
        <v>21.0</v>
      </c>
      <c r="M798" s="70">
        <v>800.0</v>
      </c>
      <c r="N798" s="24" t="s">
        <v>4899</v>
      </c>
    </row>
    <row r="799">
      <c r="A799" s="66">
        <v>7795.0</v>
      </c>
      <c r="B799" s="66">
        <v>208.0</v>
      </c>
      <c r="C799" s="66">
        <v>97.0</v>
      </c>
      <c r="D799" s="66">
        <v>7.0</v>
      </c>
      <c r="E799" s="66">
        <v>4.0</v>
      </c>
      <c r="F799" s="66">
        <v>244.0</v>
      </c>
      <c r="G799" s="141">
        <v>43010.0</v>
      </c>
      <c r="H799" s="66">
        <v>1.0</v>
      </c>
      <c r="I799" s="132">
        <v>736.23</v>
      </c>
      <c r="J799" s="133">
        <v>45860.23</v>
      </c>
      <c r="K799" s="142">
        <v>73.0</v>
      </c>
      <c r="L799" s="111">
        <v>23.0</v>
      </c>
      <c r="M799" s="70">
        <v>1500.0</v>
      </c>
      <c r="N799" s="24" t="s">
        <v>4900</v>
      </c>
    </row>
    <row r="800">
      <c r="A800" s="66">
        <v>7796.0</v>
      </c>
      <c r="B800" s="66">
        <v>216.0</v>
      </c>
      <c r="C800" s="66">
        <v>15.0</v>
      </c>
      <c r="D800" s="66">
        <v>8.0</v>
      </c>
      <c r="E800" s="66">
        <v>3.0</v>
      </c>
      <c r="F800" s="66">
        <v>505.0</v>
      </c>
      <c r="G800" s="141">
        <v>33117.0</v>
      </c>
      <c r="H800" s="66">
        <v>5.0</v>
      </c>
      <c r="I800" s="132">
        <v>232.36</v>
      </c>
      <c r="J800" s="133">
        <v>81238.23</v>
      </c>
      <c r="K800" s="142">
        <v>34.0</v>
      </c>
      <c r="L800" s="111">
        <v>23.0</v>
      </c>
      <c r="M800" s="70">
        <v>1630.0</v>
      </c>
      <c r="N800" s="24" t="s">
        <v>4901</v>
      </c>
    </row>
    <row r="801">
      <c r="A801" s="66">
        <v>7797.0</v>
      </c>
      <c r="B801" s="66">
        <v>212.0</v>
      </c>
      <c r="C801" s="66">
        <v>77.0</v>
      </c>
      <c r="D801" s="66">
        <v>2.0</v>
      </c>
      <c r="E801" s="66">
        <v>3.0</v>
      </c>
      <c r="F801" s="66">
        <v>586.0</v>
      </c>
      <c r="G801" s="141">
        <v>123115.0</v>
      </c>
      <c r="H801" s="66">
        <v>1.0</v>
      </c>
      <c r="I801" s="132">
        <v>92886.74</v>
      </c>
      <c r="J801" s="133">
        <v>-47.18</v>
      </c>
      <c r="K801" s="142">
        <v>38.0</v>
      </c>
      <c r="L801" s="111">
        <v>20.0</v>
      </c>
      <c r="M801" s="70">
        <v>230.0</v>
      </c>
      <c r="N801" s="24" t="s">
        <v>4902</v>
      </c>
    </row>
    <row r="802">
      <c r="A802" s="66">
        <v>7798.0</v>
      </c>
      <c r="B802" s="66">
        <v>205.0</v>
      </c>
      <c r="C802" s="66">
        <v>97.0</v>
      </c>
      <c r="D802" s="66">
        <v>7.0</v>
      </c>
      <c r="E802" s="66">
        <v>7.0</v>
      </c>
      <c r="F802" s="66">
        <v>110.0</v>
      </c>
      <c r="G802" s="141">
        <v>22805.0</v>
      </c>
      <c r="H802" s="66">
        <v>9.0</v>
      </c>
      <c r="I802" s="132">
        <v>710.12</v>
      </c>
      <c r="J802" s="133">
        <v>19309.19</v>
      </c>
      <c r="K802" s="142">
        <v>52.0</v>
      </c>
      <c r="L802" s="111">
        <v>21.0</v>
      </c>
      <c r="M802" s="70">
        <v>1830.0</v>
      </c>
      <c r="N802" s="24" t="s">
        <v>4903</v>
      </c>
    </row>
    <row r="803">
      <c r="A803" s="66">
        <v>7799.0</v>
      </c>
      <c r="B803" s="66">
        <v>218.0</v>
      </c>
      <c r="C803" s="66">
        <v>97.0</v>
      </c>
      <c r="D803" s="66">
        <v>7.0</v>
      </c>
      <c r="E803" s="66">
        <v>8.0</v>
      </c>
      <c r="F803" s="66">
        <v>950.0</v>
      </c>
      <c r="G803" s="141">
        <v>43015.0</v>
      </c>
      <c r="H803" s="66">
        <v>5.0</v>
      </c>
      <c r="I803" s="132">
        <v>2162.15</v>
      </c>
      <c r="J803" s="133">
        <v>-76.86</v>
      </c>
      <c r="K803" s="142">
        <v>11.0</v>
      </c>
      <c r="L803" s="111">
        <v>23.0</v>
      </c>
      <c r="M803" s="70">
        <v>1600.0</v>
      </c>
      <c r="N803" s="24" t="s">
        <v>4904</v>
      </c>
    </row>
    <row r="804">
      <c r="A804" s="66">
        <v>7800.0</v>
      </c>
      <c r="B804" s="66">
        <v>204.0</v>
      </c>
      <c r="C804" s="66">
        <v>77.0</v>
      </c>
      <c r="D804" s="66">
        <v>3.0</v>
      </c>
      <c r="E804" s="66">
        <v>3.0</v>
      </c>
      <c r="F804" s="66">
        <v>739.0</v>
      </c>
      <c r="G804" s="141">
        <v>103119.0</v>
      </c>
      <c r="H804" s="66">
        <v>2.0</v>
      </c>
      <c r="I804" s="132">
        <v>63.93</v>
      </c>
      <c r="J804" s="133">
        <v>45.99</v>
      </c>
      <c r="K804" s="142">
        <v>55.0</v>
      </c>
      <c r="L804" s="111">
        <v>22.0</v>
      </c>
      <c r="M804" s="70">
        <v>1230.0</v>
      </c>
      <c r="N804" s="24" t="s">
        <v>4905</v>
      </c>
    </row>
    <row r="805">
      <c r="A805" s="66">
        <v>7801.0</v>
      </c>
      <c r="B805" s="66">
        <v>204.0</v>
      </c>
      <c r="C805" s="66">
        <v>97.0</v>
      </c>
      <c r="D805" s="66">
        <v>8.0</v>
      </c>
      <c r="E805" s="66">
        <v>1.0</v>
      </c>
      <c r="F805" s="66">
        <v>365.0</v>
      </c>
      <c r="G805" s="141">
        <v>33105.0</v>
      </c>
      <c r="H805" s="66">
        <v>9.0</v>
      </c>
      <c r="I805" s="132">
        <v>-61.81</v>
      </c>
      <c r="J805" s="133">
        <v>-2251.57</v>
      </c>
      <c r="K805" s="142">
        <v>7.0</v>
      </c>
      <c r="L805" s="111">
        <v>23.0</v>
      </c>
      <c r="M805" s="70">
        <v>2100.0</v>
      </c>
      <c r="N805" s="24" t="s">
        <v>4906</v>
      </c>
    </row>
    <row r="806">
      <c r="A806" s="66">
        <v>7802.0</v>
      </c>
      <c r="B806" s="66">
        <v>213.0</v>
      </c>
      <c r="C806" s="66">
        <v>77.0</v>
      </c>
      <c r="D806" s="66">
        <v>3.0</v>
      </c>
      <c r="E806" s="66">
        <v>6.0</v>
      </c>
      <c r="F806" s="66">
        <v>659.0</v>
      </c>
      <c r="G806" s="141">
        <v>93090.0</v>
      </c>
      <c r="H806" s="66">
        <v>4.0</v>
      </c>
      <c r="I806" s="132">
        <v>941.66</v>
      </c>
      <c r="J806" s="133">
        <v>98342.26</v>
      </c>
      <c r="K806" s="142">
        <v>28.0</v>
      </c>
      <c r="L806" s="111">
        <v>20.0</v>
      </c>
      <c r="M806" s="70">
        <v>1430.0</v>
      </c>
      <c r="N806" s="24" t="s">
        <v>4907</v>
      </c>
    </row>
    <row r="807">
      <c r="A807" s="66">
        <v>7803.0</v>
      </c>
      <c r="B807" s="66">
        <v>208.0</v>
      </c>
      <c r="C807" s="66">
        <v>97.0</v>
      </c>
      <c r="D807" s="66">
        <v>8.0</v>
      </c>
      <c r="E807" s="66">
        <v>6.0</v>
      </c>
      <c r="F807" s="66">
        <v>360.0</v>
      </c>
      <c r="G807" s="141">
        <v>113092.0</v>
      </c>
      <c r="H807" s="66">
        <v>8.0</v>
      </c>
      <c r="I807" s="132">
        <v>91.56</v>
      </c>
      <c r="J807" s="133">
        <v>88.39</v>
      </c>
      <c r="K807" s="142">
        <v>81.0</v>
      </c>
      <c r="L807" s="111">
        <v>20.0</v>
      </c>
      <c r="M807" s="70">
        <v>2100.0</v>
      </c>
      <c r="N807" s="24" t="s">
        <v>4908</v>
      </c>
    </row>
    <row r="808">
      <c r="A808" s="66">
        <v>7804.0</v>
      </c>
      <c r="B808" s="66">
        <v>211.0</v>
      </c>
      <c r="C808" s="66">
        <v>15.0</v>
      </c>
      <c r="D808" s="66">
        <v>9.0</v>
      </c>
      <c r="E808" s="66">
        <v>5.0</v>
      </c>
      <c r="F808" s="66">
        <v>459.0</v>
      </c>
      <c r="G808" s="141">
        <v>103118.0</v>
      </c>
      <c r="H808" s="66">
        <v>8.0</v>
      </c>
      <c r="I808" s="132">
        <v>5859.86</v>
      </c>
      <c r="J808" s="133">
        <v>-665.62</v>
      </c>
      <c r="K808" s="142">
        <v>65.0</v>
      </c>
      <c r="L808" s="111">
        <v>20.0</v>
      </c>
      <c r="M808" s="70">
        <v>2200.0</v>
      </c>
      <c r="N808" s="24" t="s">
        <v>4909</v>
      </c>
    </row>
    <row r="809">
      <c r="A809" s="66">
        <v>7805.0</v>
      </c>
      <c r="B809" s="66">
        <v>213.0</v>
      </c>
      <c r="C809" s="66">
        <v>97.0</v>
      </c>
      <c r="D809" s="66">
        <v>8.0</v>
      </c>
      <c r="E809" s="66">
        <v>7.0</v>
      </c>
      <c r="F809" s="66">
        <v>530.0</v>
      </c>
      <c r="G809" s="141">
        <v>93004.0</v>
      </c>
      <c r="H809" s="66">
        <v>8.0</v>
      </c>
      <c r="I809" s="132">
        <v>-75.84</v>
      </c>
      <c r="J809" s="133">
        <v>23.74</v>
      </c>
      <c r="K809" s="142">
        <v>49.0</v>
      </c>
      <c r="L809" s="111">
        <v>22.0</v>
      </c>
      <c r="M809" s="70">
        <v>600.0</v>
      </c>
      <c r="N809" s="24" t="s">
        <v>4910</v>
      </c>
    </row>
    <row r="810">
      <c r="A810" s="66">
        <v>7806.0</v>
      </c>
      <c r="B810" s="66">
        <v>207.0</v>
      </c>
      <c r="C810" s="66">
        <v>15.0</v>
      </c>
      <c r="D810" s="66">
        <v>9.0</v>
      </c>
      <c r="E810" s="66">
        <v>8.0</v>
      </c>
      <c r="F810" s="66">
        <v>179.0</v>
      </c>
      <c r="G810" s="141">
        <v>22895.0</v>
      </c>
      <c r="H810" s="66">
        <v>2.0</v>
      </c>
      <c r="I810" s="132">
        <v>237.57</v>
      </c>
      <c r="J810" s="133">
        <v>-4337.7</v>
      </c>
      <c r="K810" s="142">
        <v>33.0</v>
      </c>
      <c r="L810" s="111">
        <v>23.0</v>
      </c>
      <c r="M810" s="70">
        <v>1430.0</v>
      </c>
      <c r="N810" s="24" t="s">
        <v>4911</v>
      </c>
    </row>
    <row r="811">
      <c r="A811" s="66">
        <v>7807.0</v>
      </c>
      <c r="B811" s="66">
        <v>202.0</v>
      </c>
      <c r="C811" s="66">
        <v>36.0</v>
      </c>
      <c r="D811" s="66">
        <v>4.0</v>
      </c>
      <c r="E811" s="66">
        <v>8.0</v>
      </c>
      <c r="F811" s="66">
        <v>386.0</v>
      </c>
      <c r="G811" s="141">
        <v>113005.0</v>
      </c>
      <c r="H811" s="66">
        <v>6.0</v>
      </c>
      <c r="I811" s="132">
        <v>9669.7</v>
      </c>
      <c r="J811" s="133">
        <v>-9940.56</v>
      </c>
      <c r="K811" s="142">
        <v>75.0</v>
      </c>
      <c r="L811" s="111">
        <v>23.0</v>
      </c>
      <c r="M811" s="70">
        <v>730.0</v>
      </c>
      <c r="N811" s="24" t="s">
        <v>4912</v>
      </c>
    </row>
    <row r="812">
      <c r="A812" s="66">
        <v>7808.0</v>
      </c>
      <c r="B812" s="66">
        <v>211.0</v>
      </c>
      <c r="C812" s="66">
        <v>77.0</v>
      </c>
      <c r="D812" s="66">
        <v>4.0</v>
      </c>
      <c r="E812" s="66">
        <v>5.0</v>
      </c>
      <c r="F812" s="66">
        <v>509.0</v>
      </c>
      <c r="G812" s="141">
        <v>33109.0</v>
      </c>
      <c r="H812" s="66">
        <v>7.0</v>
      </c>
      <c r="I812" s="132">
        <v>366.6</v>
      </c>
      <c r="J812" s="133">
        <v>-43789.4</v>
      </c>
      <c r="K812" s="142">
        <v>34.0</v>
      </c>
      <c r="L812" s="111">
        <v>21.0</v>
      </c>
      <c r="M812" s="70">
        <v>900.0</v>
      </c>
      <c r="N812" s="24" t="s">
        <v>4913</v>
      </c>
    </row>
    <row r="813">
      <c r="A813" s="66">
        <v>7809.0</v>
      </c>
      <c r="B813" s="66">
        <v>209.0</v>
      </c>
      <c r="C813" s="66">
        <v>56.0</v>
      </c>
      <c r="D813" s="66">
        <v>9.0</v>
      </c>
      <c r="E813" s="66">
        <v>7.0</v>
      </c>
      <c r="F813" s="66">
        <v>921.0</v>
      </c>
      <c r="G813" s="141">
        <v>123119.0</v>
      </c>
      <c r="H813" s="66">
        <v>1.0</v>
      </c>
      <c r="I813" s="132">
        <v>-65922.92</v>
      </c>
      <c r="J813" s="133">
        <v>20078.52</v>
      </c>
      <c r="K813" s="142">
        <v>18.0</v>
      </c>
      <c r="L813" s="111">
        <v>20.0</v>
      </c>
      <c r="M813" s="70">
        <v>1400.0</v>
      </c>
      <c r="N813" s="24" t="s">
        <v>4914</v>
      </c>
    </row>
    <row r="814">
      <c r="A814" s="66">
        <v>7810.0</v>
      </c>
      <c r="B814" s="66">
        <v>210.0</v>
      </c>
      <c r="C814" s="66">
        <v>97.0</v>
      </c>
      <c r="D814" s="66">
        <v>9.0</v>
      </c>
      <c r="E814" s="66">
        <v>3.0</v>
      </c>
      <c r="F814" s="66">
        <v>544.0</v>
      </c>
      <c r="G814" s="141">
        <v>22992.0</v>
      </c>
      <c r="H814" s="66">
        <v>9.0</v>
      </c>
      <c r="I814" s="132">
        <v>96751.5</v>
      </c>
      <c r="J814" s="133">
        <v>-8556.57</v>
      </c>
      <c r="K814" s="142">
        <v>4.0</v>
      </c>
      <c r="L814" s="111">
        <v>20.0</v>
      </c>
      <c r="M814" s="70">
        <v>1930.0</v>
      </c>
      <c r="N814" s="24" t="s">
        <v>4915</v>
      </c>
    </row>
    <row r="815">
      <c r="A815" s="66">
        <v>7811.0</v>
      </c>
      <c r="B815" s="66">
        <v>208.0</v>
      </c>
      <c r="C815" s="66">
        <v>77.0</v>
      </c>
      <c r="D815" s="66">
        <v>4.0</v>
      </c>
      <c r="E815" s="66">
        <v>9.0</v>
      </c>
      <c r="F815" s="66">
        <v>943.0</v>
      </c>
      <c r="G815" s="141">
        <v>63000.0</v>
      </c>
      <c r="H815" s="66">
        <v>9.0</v>
      </c>
      <c r="I815" s="132">
        <v>-223.97</v>
      </c>
      <c r="J815" s="133">
        <v>2950.42</v>
      </c>
      <c r="K815" s="142">
        <v>41.0</v>
      </c>
      <c r="L815" s="111">
        <v>21.0</v>
      </c>
      <c r="M815" s="70">
        <v>2000.0</v>
      </c>
      <c r="N815" s="24" t="s">
        <v>4916</v>
      </c>
    </row>
    <row r="816">
      <c r="A816" s="66">
        <v>7812.0</v>
      </c>
      <c r="B816" s="66">
        <v>213.0</v>
      </c>
      <c r="C816" s="66">
        <v>36.0</v>
      </c>
      <c r="D816" s="66">
        <v>5.0</v>
      </c>
      <c r="E816" s="66">
        <v>5.0</v>
      </c>
      <c r="F816" s="66">
        <v>960.0</v>
      </c>
      <c r="G816" s="141">
        <v>53198.0</v>
      </c>
      <c r="H816" s="66">
        <v>2.0</v>
      </c>
      <c r="I816" s="132">
        <v>5576.4</v>
      </c>
      <c r="J816" s="133">
        <v>-82714.6</v>
      </c>
      <c r="K816" s="142">
        <v>25.0</v>
      </c>
      <c r="L816" s="111">
        <v>23.0</v>
      </c>
      <c r="M816" s="70">
        <v>130.0</v>
      </c>
      <c r="N816" s="24" t="s">
        <v>4917</v>
      </c>
    </row>
    <row r="817">
      <c r="A817" s="66">
        <v>7813.0</v>
      </c>
      <c r="B817" s="66">
        <v>201.0</v>
      </c>
      <c r="C817" s="66">
        <v>77.0</v>
      </c>
      <c r="D817" s="66">
        <v>5.0</v>
      </c>
      <c r="E817" s="66">
        <v>2.0</v>
      </c>
      <c r="F817" s="66">
        <v>148.0</v>
      </c>
      <c r="G817" s="141">
        <v>123192.0</v>
      </c>
      <c r="H817" s="66">
        <v>6.0</v>
      </c>
      <c r="I817" s="132">
        <v>-1605.38</v>
      </c>
      <c r="J817" s="133">
        <v>-478.64</v>
      </c>
      <c r="K817" s="142">
        <v>44.0</v>
      </c>
      <c r="L817" s="111">
        <v>20.0</v>
      </c>
      <c r="M817" s="70">
        <v>2330.0</v>
      </c>
      <c r="N817" s="24" t="s">
        <v>4918</v>
      </c>
    </row>
    <row r="818">
      <c r="A818" s="66">
        <v>7814.0</v>
      </c>
      <c r="B818" s="66">
        <v>201.0</v>
      </c>
      <c r="C818" s="66">
        <v>77.0</v>
      </c>
      <c r="D818" s="66">
        <v>5.0</v>
      </c>
      <c r="E818" s="66">
        <v>3.0</v>
      </c>
      <c r="F818" s="66">
        <v>673.0</v>
      </c>
      <c r="G818" s="141">
        <v>63094.0</v>
      </c>
      <c r="H818" s="66">
        <v>9.0</v>
      </c>
      <c r="I818" s="132">
        <v>50959.47</v>
      </c>
      <c r="J818" s="133">
        <v>91151.89</v>
      </c>
      <c r="K818" s="142">
        <v>62.0</v>
      </c>
      <c r="L818" s="111">
        <v>20.0</v>
      </c>
      <c r="M818" s="70">
        <v>1430.0</v>
      </c>
      <c r="N818" s="24" t="s">
        <v>4919</v>
      </c>
    </row>
    <row r="819">
      <c r="A819" s="66">
        <v>7815.0</v>
      </c>
      <c r="B819" s="66">
        <v>202.0</v>
      </c>
      <c r="C819" s="66">
        <v>77.0</v>
      </c>
      <c r="D819" s="66">
        <v>5.0</v>
      </c>
      <c r="E819" s="66">
        <v>6.0</v>
      </c>
      <c r="F819" s="66">
        <v>742.0</v>
      </c>
      <c r="G819" s="141">
        <v>93020.0</v>
      </c>
      <c r="H819" s="66">
        <v>4.0</v>
      </c>
      <c r="I819" s="132">
        <v>88687.5</v>
      </c>
      <c r="J819" s="133">
        <v>76.68</v>
      </c>
      <c r="K819" s="142">
        <v>83.0</v>
      </c>
      <c r="L819" s="111">
        <v>22.0</v>
      </c>
      <c r="M819" s="70">
        <v>2030.0</v>
      </c>
      <c r="N819" s="24" t="s">
        <v>4920</v>
      </c>
    </row>
    <row r="820">
      <c r="A820" s="66">
        <v>7816.0</v>
      </c>
      <c r="B820" s="66">
        <v>210.0</v>
      </c>
      <c r="C820" s="66">
        <v>77.0</v>
      </c>
      <c r="D820" s="66">
        <v>6.0</v>
      </c>
      <c r="E820" s="66">
        <v>1.0</v>
      </c>
      <c r="F820" s="66">
        <v>391.0</v>
      </c>
      <c r="G820" s="141">
        <v>73104.0</v>
      </c>
      <c r="H820" s="66">
        <v>5.0</v>
      </c>
      <c r="I820" s="132">
        <v>73.75</v>
      </c>
      <c r="J820" s="133">
        <v>14322.1</v>
      </c>
      <c r="K820" s="142">
        <v>5.0</v>
      </c>
      <c r="L820" s="111">
        <v>20.0</v>
      </c>
      <c r="M820" s="70">
        <v>1630.0</v>
      </c>
      <c r="N820" s="24" t="s">
        <v>4921</v>
      </c>
    </row>
    <row r="821">
      <c r="A821" s="66">
        <v>7817.0</v>
      </c>
      <c r="B821" s="66">
        <v>214.0</v>
      </c>
      <c r="C821" s="66">
        <v>98.0</v>
      </c>
      <c r="D821" s="66">
        <v>1.0</v>
      </c>
      <c r="E821" s="66">
        <v>3.0</v>
      </c>
      <c r="F821" s="66">
        <v>858.0</v>
      </c>
      <c r="G821" s="141">
        <v>13192.0</v>
      </c>
      <c r="H821" s="66">
        <v>2.0</v>
      </c>
      <c r="I821" s="132">
        <v>7702.99</v>
      </c>
      <c r="J821" s="133">
        <v>57158.88</v>
      </c>
      <c r="K821" s="142">
        <v>40.0</v>
      </c>
      <c r="L821" s="111">
        <v>21.0</v>
      </c>
      <c r="M821" s="70">
        <v>1730.0</v>
      </c>
      <c r="N821" s="24" t="s">
        <v>4922</v>
      </c>
    </row>
    <row r="822">
      <c r="A822" s="66">
        <v>7818.0</v>
      </c>
      <c r="B822" s="66">
        <v>215.0</v>
      </c>
      <c r="C822" s="66">
        <v>77.0</v>
      </c>
      <c r="D822" s="66">
        <v>6.0</v>
      </c>
      <c r="E822" s="66">
        <v>8.0</v>
      </c>
      <c r="F822" s="66">
        <v>822.0</v>
      </c>
      <c r="G822" s="141">
        <v>13120.0</v>
      </c>
      <c r="H822" s="66">
        <v>5.0</v>
      </c>
      <c r="I822" s="132">
        <v>7963.22</v>
      </c>
      <c r="J822" s="133">
        <v>61593.78</v>
      </c>
      <c r="K822" s="142">
        <v>40.0</v>
      </c>
      <c r="L822" s="111">
        <v>21.0</v>
      </c>
      <c r="M822" s="70">
        <v>100.0</v>
      </c>
      <c r="N822" s="24" t="s">
        <v>4923</v>
      </c>
    </row>
    <row r="823">
      <c r="A823" s="66">
        <v>7819.0</v>
      </c>
      <c r="B823" s="66">
        <v>220.0</v>
      </c>
      <c r="C823" s="66">
        <v>98.0</v>
      </c>
      <c r="D823" s="66">
        <v>1.0</v>
      </c>
      <c r="E823" s="66">
        <v>7.0</v>
      </c>
      <c r="F823" s="66">
        <v>112.0</v>
      </c>
      <c r="G823" s="141">
        <v>53122.0</v>
      </c>
      <c r="H823" s="66">
        <v>6.0</v>
      </c>
      <c r="I823" s="132">
        <v>49705.82</v>
      </c>
      <c r="J823" s="133">
        <v>-96.9</v>
      </c>
      <c r="K823" s="142">
        <v>4.0</v>
      </c>
      <c r="L823" s="111">
        <v>21.0</v>
      </c>
      <c r="M823" s="70">
        <v>2200.0</v>
      </c>
      <c r="N823" s="24" t="s">
        <v>4924</v>
      </c>
    </row>
    <row r="824">
      <c r="A824" s="66">
        <v>7820.0</v>
      </c>
      <c r="B824" s="66">
        <v>208.0</v>
      </c>
      <c r="C824" s="66">
        <v>57.0</v>
      </c>
      <c r="D824" s="66">
        <v>2.0</v>
      </c>
      <c r="E824" s="66">
        <v>4.0</v>
      </c>
      <c r="F824" s="66">
        <v>215.0</v>
      </c>
      <c r="G824" s="141">
        <v>13112.0</v>
      </c>
      <c r="H824" s="66">
        <v>7.0</v>
      </c>
      <c r="I824" s="132">
        <v>6946.3</v>
      </c>
      <c r="J824" s="133">
        <v>78.46</v>
      </c>
      <c r="K824" s="142">
        <v>69.0</v>
      </c>
      <c r="L824" s="111">
        <v>22.0</v>
      </c>
      <c r="M824" s="70">
        <v>1430.0</v>
      </c>
      <c r="N824" s="24" t="s">
        <v>4925</v>
      </c>
    </row>
    <row r="825">
      <c r="A825" s="66">
        <v>7821.0</v>
      </c>
      <c r="B825" s="66">
        <v>213.0</v>
      </c>
      <c r="C825" s="66">
        <v>77.0</v>
      </c>
      <c r="D825" s="66">
        <v>7.0</v>
      </c>
      <c r="E825" s="66">
        <v>3.0</v>
      </c>
      <c r="F825" s="66">
        <v>426.0</v>
      </c>
      <c r="G825" s="141">
        <v>103111.0</v>
      </c>
      <c r="H825" s="66">
        <v>4.0</v>
      </c>
      <c r="I825" s="132">
        <v>51.46</v>
      </c>
      <c r="J825" s="133">
        <v>37827.35</v>
      </c>
      <c r="K825" s="142">
        <v>80.0</v>
      </c>
      <c r="L825" s="111">
        <v>20.0</v>
      </c>
      <c r="M825" s="70">
        <v>1530.0</v>
      </c>
      <c r="N825" s="24" t="s">
        <v>4926</v>
      </c>
    </row>
    <row r="826">
      <c r="A826" s="66">
        <v>7822.0</v>
      </c>
      <c r="B826" s="66">
        <v>211.0</v>
      </c>
      <c r="C826" s="66">
        <v>77.0</v>
      </c>
      <c r="D826" s="66">
        <v>7.0</v>
      </c>
      <c r="E826" s="66">
        <v>4.0</v>
      </c>
      <c r="F826" s="66">
        <v>170.0</v>
      </c>
      <c r="G826" s="141">
        <v>53120.0</v>
      </c>
      <c r="H826" s="66">
        <v>2.0</v>
      </c>
      <c r="I826" s="132">
        <v>67439.48</v>
      </c>
      <c r="J826" s="133">
        <v>809.37</v>
      </c>
      <c r="K826" s="142">
        <v>27.0</v>
      </c>
      <c r="L826" s="111">
        <v>21.0</v>
      </c>
      <c r="M826" s="70">
        <v>900.0</v>
      </c>
      <c r="N826" s="24" t="s">
        <v>4927</v>
      </c>
    </row>
    <row r="827">
      <c r="A827" s="66">
        <v>7823.0</v>
      </c>
      <c r="B827" s="66">
        <v>217.0</v>
      </c>
      <c r="C827" s="66">
        <v>16.0</v>
      </c>
      <c r="D827" s="66">
        <v>2.0</v>
      </c>
      <c r="E827" s="66">
        <v>9.0</v>
      </c>
      <c r="F827" s="66">
        <v>263.0</v>
      </c>
      <c r="G827" s="141">
        <v>53197.0</v>
      </c>
      <c r="H827" s="66">
        <v>1.0</v>
      </c>
      <c r="I827" s="132">
        <v>-72.98</v>
      </c>
      <c r="J827" s="133">
        <v>5986.4</v>
      </c>
      <c r="K827" s="142">
        <v>75.0</v>
      </c>
      <c r="L827" s="111">
        <v>22.0</v>
      </c>
      <c r="M827" s="70">
        <v>2200.0</v>
      </c>
      <c r="N827" s="24" t="s">
        <v>4928</v>
      </c>
    </row>
    <row r="828">
      <c r="A828" s="66">
        <v>7824.0</v>
      </c>
      <c r="B828" s="66">
        <v>202.0</v>
      </c>
      <c r="C828" s="66">
        <v>77.0</v>
      </c>
      <c r="D828" s="66">
        <v>7.0</v>
      </c>
      <c r="E828" s="66">
        <v>6.0</v>
      </c>
      <c r="F828" s="66">
        <v>156.0</v>
      </c>
      <c r="G828" s="141">
        <v>113096.0</v>
      </c>
      <c r="H828" s="66">
        <v>5.0</v>
      </c>
      <c r="I828" s="132">
        <v>-62.84</v>
      </c>
      <c r="J828" s="133">
        <v>431.97</v>
      </c>
      <c r="K828" s="142">
        <v>80.0</v>
      </c>
      <c r="L828" s="111">
        <v>23.0</v>
      </c>
      <c r="M828" s="70">
        <v>800.0</v>
      </c>
      <c r="N828" s="24" t="s">
        <v>4929</v>
      </c>
    </row>
    <row r="829">
      <c r="A829" s="66">
        <v>7825.0</v>
      </c>
      <c r="B829" s="66">
        <v>216.0</v>
      </c>
      <c r="C829" s="66">
        <v>98.0</v>
      </c>
      <c r="D829" s="66">
        <v>2.0</v>
      </c>
      <c r="E829" s="66">
        <v>2.0</v>
      </c>
      <c r="F829" s="66">
        <v>186.0</v>
      </c>
      <c r="G829" s="141">
        <v>93011.0</v>
      </c>
      <c r="H829" s="66">
        <v>2.0</v>
      </c>
      <c r="I829" s="132">
        <v>89.2</v>
      </c>
      <c r="J829" s="133">
        <v>47564.78</v>
      </c>
      <c r="K829" s="142">
        <v>4.0</v>
      </c>
      <c r="L829" s="111">
        <v>23.0</v>
      </c>
      <c r="M829" s="70">
        <v>1800.0</v>
      </c>
      <c r="N829" s="24" t="s">
        <v>4930</v>
      </c>
    </row>
    <row r="830">
      <c r="A830" s="66">
        <v>7826.0</v>
      </c>
      <c r="B830" s="66">
        <v>203.0</v>
      </c>
      <c r="C830" s="66">
        <v>36.0</v>
      </c>
      <c r="D830" s="66">
        <v>8.0</v>
      </c>
      <c r="E830" s="66">
        <v>2.0</v>
      </c>
      <c r="F830" s="66">
        <v>163.0</v>
      </c>
      <c r="G830" s="141">
        <v>123105.0</v>
      </c>
      <c r="H830" s="66">
        <v>1.0</v>
      </c>
      <c r="I830" s="132">
        <v>7334.9</v>
      </c>
      <c r="J830" s="133">
        <v>695.51</v>
      </c>
      <c r="K830" s="142">
        <v>64.0</v>
      </c>
      <c r="L830" s="111">
        <v>22.0</v>
      </c>
      <c r="M830" s="70">
        <v>1800.0</v>
      </c>
      <c r="N830" s="24" t="s">
        <v>4931</v>
      </c>
    </row>
    <row r="831">
      <c r="A831" s="66">
        <v>7827.0</v>
      </c>
      <c r="B831" s="66">
        <v>219.0</v>
      </c>
      <c r="C831" s="66">
        <v>77.0</v>
      </c>
      <c r="D831" s="66">
        <v>7.0</v>
      </c>
      <c r="E831" s="66">
        <v>8.0</v>
      </c>
      <c r="F831" s="66">
        <v>937.0</v>
      </c>
      <c r="G831" s="141">
        <v>43018.0</v>
      </c>
      <c r="H831" s="66">
        <v>5.0</v>
      </c>
      <c r="I831" s="132">
        <v>35.13</v>
      </c>
      <c r="J831" s="133">
        <v>-3623.35</v>
      </c>
      <c r="K831" s="142">
        <v>65.0</v>
      </c>
      <c r="L831" s="111">
        <v>21.0</v>
      </c>
      <c r="M831" s="70">
        <v>400.0</v>
      </c>
      <c r="N831" s="24" t="s">
        <v>4932</v>
      </c>
    </row>
    <row r="832">
      <c r="A832" s="66">
        <v>7828.0</v>
      </c>
      <c r="B832" s="66">
        <v>200.0</v>
      </c>
      <c r="C832" s="66">
        <v>36.0</v>
      </c>
      <c r="D832" s="66">
        <v>8.0</v>
      </c>
      <c r="E832" s="66">
        <v>5.0</v>
      </c>
      <c r="F832" s="66">
        <v>536.0</v>
      </c>
      <c r="G832" s="141">
        <v>33103.0</v>
      </c>
      <c r="H832" s="66">
        <v>1.0</v>
      </c>
      <c r="I832" s="132">
        <v>35.57</v>
      </c>
      <c r="J832" s="133">
        <v>79.64</v>
      </c>
      <c r="K832" s="142">
        <v>57.0</v>
      </c>
      <c r="L832" s="111">
        <v>22.0</v>
      </c>
      <c r="M832" s="70">
        <v>2200.0</v>
      </c>
      <c r="N832" s="24" t="s">
        <v>4933</v>
      </c>
    </row>
    <row r="833">
      <c r="A833" s="66">
        <v>7829.0</v>
      </c>
      <c r="B833" s="66">
        <v>212.0</v>
      </c>
      <c r="C833" s="66">
        <v>36.0</v>
      </c>
      <c r="D833" s="66">
        <v>8.0</v>
      </c>
      <c r="E833" s="66">
        <v>6.0</v>
      </c>
      <c r="F833" s="66">
        <v>539.0</v>
      </c>
      <c r="G833" s="141">
        <v>103102.0</v>
      </c>
      <c r="H833" s="66">
        <v>8.0</v>
      </c>
      <c r="I833" s="132">
        <v>30167.78</v>
      </c>
      <c r="J833" s="133">
        <v>13259.18</v>
      </c>
      <c r="K833" s="142">
        <v>32.0</v>
      </c>
      <c r="L833" s="111">
        <v>20.0</v>
      </c>
      <c r="M833" s="70">
        <v>500.0</v>
      </c>
      <c r="N833" s="24" t="s">
        <v>4934</v>
      </c>
    </row>
    <row r="834">
      <c r="A834" s="66">
        <v>7830.0</v>
      </c>
      <c r="B834" s="66">
        <v>204.0</v>
      </c>
      <c r="C834" s="66">
        <v>57.0</v>
      </c>
      <c r="D834" s="66">
        <v>3.0</v>
      </c>
      <c r="E834" s="66">
        <v>7.0</v>
      </c>
      <c r="F834" s="66">
        <v>182.0</v>
      </c>
      <c r="G834" s="141">
        <v>103107.0</v>
      </c>
      <c r="H834" s="66">
        <v>9.0</v>
      </c>
      <c r="I834" s="132">
        <v>58290.94</v>
      </c>
      <c r="J834" s="133">
        <v>92.54</v>
      </c>
      <c r="K834" s="142">
        <v>24.0</v>
      </c>
      <c r="L834" s="111">
        <v>22.0</v>
      </c>
      <c r="M834" s="70">
        <v>630.0</v>
      </c>
      <c r="N834" s="24" t="s">
        <v>4935</v>
      </c>
    </row>
    <row r="835">
      <c r="A835" s="66">
        <v>7831.0</v>
      </c>
      <c r="B835" s="66">
        <v>213.0</v>
      </c>
      <c r="C835" s="66">
        <v>57.0</v>
      </c>
      <c r="D835" s="66">
        <v>3.0</v>
      </c>
      <c r="E835" s="66">
        <v>8.0</v>
      </c>
      <c r="F835" s="66">
        <v>382.0</v>
      </c>
      <c r="G835" s="141">
        <v>53110.0</v>
      </c>
      <c r="H835" s="66">
        <v>5.0</v>
      </c>
      <c r="I835" s="132">
        <v>-64417.85</v>
      </c>
      <c r="J835" s="133">
        <v>94526.94</v>
      </c>
      <c r="K835" s="142">
        <v>41.0</v>
      </c>
      <c r="L835" s="111">
        <v>21.0</v>
      </c>
      <c r="M835" s="70">
        <v>130.0</v>
      </c>
      <c r="N835" s="24" t="s">
        <v>4699</v>
      </c>
    </row>
    <row r="836">
      <c r="A836" s="66">
        <v>7832.0</v>
      </c>
      <c r="B836" s="66">
        <v>211.0</v>
      </c>
      <c r="C836" s="66">
        <v>36.0</v>
      </c>
      <c r="D836" s="66">
        <v>9.0</v>
      </c>
      <c r="E836" s="66">
        <v>3.0</v>
      </c>
      <c r="F836" s="66">
        <v>741.0</v>
      </c>
      <c r="G836" s="141">
        <v>53107.0</v>
      </c>
      <c r="H836" s="66">
        <v>2.0</v>
      </c>
      <c r="I836" s="132">
        <v>8251.89</v>
      </c>
      <c r="J836" s="133">
        <v>100.13</v>
      </c>
      <c r="K836" s="142">
        <v>57.0</v>
      </c>
      <c r="L836" s="111">
        <v>22.0</v>
      </c>
      <c r="M836" s="70">
        <v>430.0</v>
      </c>
      <c r="N836" s="24" t="s">
        <v>4936</v>
      </c>
    </row>
    <row r="837">
      <c r="A837" s="66">
        <v>7833.0</v>
      </c>
      <c r="B837" s="66">
        <v>216.0</v>
      </c>
      <c r="C837" s="66">
        <v>16.0</v>
      </c>
      <c r="D837" s="66">
        <v>4.0</v>
      </c>
      <c r="E837" s="66">
        <v>6.0</v>
      </c>
      <c r="F837" s="66">
        <v>837.0</v>
      </c>
      <c r="G837" s="141">
        <v>103121.0</v>
      </c>
      <c r="H837" s="66">
        <v>6.0</v>
      </c>
      <c r="I837" s="132">
        <v>96439.27</v>
      </c>
      <c r="J837" s="133">
        <v>543.3</v>
      </c>
      <c r="K837" s="142">
        <v>83.0</v>
      </c>
      <c r="L837" s="111">
        <v>21.0</v>
      </c>
      <c r="M837" s="70">
        <v>1030.0</v>
      </c>
      <c r="N837" s="24" t="s">
        <v>4937</v>
      </c>
    </row>
    <row r="838">
      <c r="A838" s="66">
        <v>7834.0</v>
      </c>
      <c r="B838" s="66">
        <v>210.0</v>
      </c>
      <c r="C838" s="66">
        <v>57.0</v>
      </c>
      <c r="D838" s="66">
        <v>4.0</v>
      </c>
      <c r="E838" s="66">
        <v>3.0</v>
      </c>
      <c r="F838" s="66">
        <v>896.0</v>
      </c>
      <c r="G838" s="141">
        <v>93005.0</v>
      </c>
      <c r="H838" s="66">
        <v>8.0</v>
      </c>
      <c r="I838" s="132">
        <v>30825.2</v>
      </c>
      <c r="J838" s="133">
        <v>554.1</v>
      </c>
      <c r="K838" s="142">
        <v>55.0</v>
      </c>
      <c r="L838" s="111">
        <v>21.0</v>
      </c>
      <c r="M838" s="70">
        <v>1000.0</v>
      </c>
      <c r="N838" s="24" t="s">
        <v>4938</v>
      </c>
    </row>
    <row r="839">
      <c r="A839" s="66">
        <v>7835.0</v>
      </c>
      <c r="B839" s="66">
        <v>204.0</v>
      </c>
      <c r="C839" s="66">
        <v>16.0</v>
      </c>
      <c r="D839" s="66">
        <v>4.0</v>
      </c>
      <c r="E839" s="66">
        <v>8.0</v>
      </c>
      <c r="F839" s="66">
        <v>352.0</v>
      </c>
      <c r="G839" s="141">
        <v>13197.0</v>
      </c>
      <c r="H839" s="66">
        <v>2.0</v>
      </c>
      <c r="I839" s="132">
        <v>-61.12</v>
      </c>
      <c r="J839" s="133">
        <v>607.61</v>
      </c>
      <c r="K839" s="142">
        <v>71.0</v>
      </c>
      <c r="L839" s="111">
        <v>21.0</v>
      </c>
      <c r="M839" s="70">
        <v>530.0</v>
      </c>
      <c r="N839" s="24" t="s">
        <v>4939</v>
      </c>
    </row>
    <row r="840">
      <c r="A840" s="66">
        <v>7836.0</v>
      </c>
      <c r="B840" s="66">
        <v>205.0</v>
      </c>
      <c r="C840" s="66">
        <v>98.0</v>
      </c>
      <c r="D840" s="66">
        <v>4.0</v>
      </c>
      <c r="E840" s="66">
        <v>2.0</v>
      </c>
      <c r="F840" s="66">
        <v>677.0</v>
      </c>
      <c r="G840" s="141">
        <v>73115.0</v>
      </c>
      <c r="H840" s="66">
        <v>4.0</v>
      </c>
      <c r="I840" s="132">
        <v>90.81</v>
      </c>
      <c r="J840" s="133">
        <v>33.33</v>
      </c>
      <c r="K840" s="142">
        <v>85.0</v>
      </c>
      <c r="L840" s="111">
        <v>23.0</v>
      </c>
      <c r="M840" s="70">
        <v>1730.0</v>
      </c>
      <c r="N840" s="24" t="s">
        <v>4940</v>
      </c>
    </row>
    <row r="841">
      <c r="A841" s="66">
        <v>7837.0</v>
      </c>
      <c r="B841" s="66">
        <v>208.0</v>
      </c>
      <c r="C841" s="66">
        <v>16.0</v>
      </c>
      <c r="D841" s="66">
        <v>5.0</v>
      </c>
      <c r="E841" s="66">
        <v>1.0</v>
      </c>
      <c r="F841" s="66">
        <v>750.0</v>
      </c>
      <c r="G841" s="141">
        <v>33198.0</v>
      </c>
      <c r="H841" s="66">
        <v>2.0</v>
      </c>
      <c r="I841" s="132">
        <v>83423.73</v>
      </c>
      <c r="J841" s="133">
        <v>61127.18</v>
      </c>
      <c r="K841" s="142">
        <v>52.0</v>
      </c>
      <c r="L841" s="111">
        <v>20.0</v>
      </c>
      <c r="M841" s="70">
        <v>1330.0</v>
      </c>
      <c r="N841" s="24" t="s">
        <v>4941</v>
      </c>
    </row>
    <row r="842">
      <c r="A842" s="66">
        <v>7838.0</v>
      </c>
      <c r="B842" s="66">
        <v>205.0</v>
      </c>
      <c r="C842" s="66">
        <v>77.0</v>
      </c>
      <c r="D842" s="66">
        <v>9.0</v>
      </c>
      <c r="E842" s="66">
        <v>6.0</v>
      </c>
      <c r="F842" s="66">
        <v>527.0</v>
      </c>
      <c r="G842" s="141">
        <v>73198.0</v>
      </c>
      <c r="H842" s="66">
        <v>9.0</v>
      </c>
      <c r="I842" s="132">
        <v>-9658.8</v>
      </c>
      <c r="J842" s="133">
        <v>798.46</v>
      </c>
      <c r="K842" s="142">
        <v>21.0</v>
      </c>
      <c r="L842" s="111">
        <v>20.0</v>
      </c>
      <c r="M842" s="70">
        <v>600.0</v>
      </c>
      <c r="N842" s="24" t="s">
        <v>4942</v>
      </c>
    </row>
    <row r="843">
      <c r="A843" s="66">
        <v>7839.0</v>
      </c>
      <c r="B843" s="66">
        <v>218.0</v>
      </c>
      <c r="C843" s="66">
        <v>16.0</v>
      </c>
      <c r="D843" s="66">
        <v>5.0</v>
      </c>
      <c r="E843" s="66">
        <v>3.0</v>
      </c>
      <c r="F843" s="66">
        <v>671.0</v>
      </c>
      <c r="G843" s="141">
        <v>22897.0</v>
      </c>
      <c r="H843" s="66">
        <v>2.0</v>
      </c>
      <c r="I843" s="132">
        <v>96888.17</v>
      </c>
      <c r="J843" s="133">
        <v>8522.41</v>
      </c>
      <c r="K843" s="142">
        <v>37.0</v>
      </c>
      <c r="L843" s="111">
        <v>23.0</v>
      </c>
      <c r="M843" s="70">
        <v>500.0</v>
      </c>
      <c r="N843" s="24" t="s">
        <v>4943</v>
      </c>
    </row>
    <row r="844">
      <c r="A844" s="66">
        <v>7840.0</v>
      </c>
      <c r="B844" s="66">
        <v>202.0</v>
      </c>
      <c r="C844" s="66">
        <v>57.0</v>
      </c>
      <c r="D844" s="66">
        <v>4.0</v>
      </c>
      <c r="E844" s="66">
        <v>7.0</v>
      </c>
      <c r="F844" s="66">
        <v>196.0</v>
      </c>
      <c r="G844" s="141">
        <v>22904.0</v>
      </c>
      <c r="H844" s="66">
        <v>5.0</v>
      </c>
      <c r="I844" s="132">
        <v>3420.93</v>
      </c>
      <c r="J844" s="133">
        <v>61.73</v>
      </c>
      <c r="K844" s="142">
        <v>79.0</v>
      </c>
      <c r="L844" s="111">
        <v>20.0</v>
      </c>
      <c r="M844" s="70">
        <v>1000.0</v>
      </c>
      <c r="N844" s="24" t="s">
        <v>4944</v>
      </c>
    </row>
    <row r="845">
      <c r="A845" s="66">
        <v>7841.0</v>
      </c>
      <c r="B845" s="66">
        <v>200.0</v>
      </c>
      <c r="C845" s="66">
        <v>57.0</v>
      </c>
      <c r="D845" s="66">
        <v>5.0</v>
      </c>
      <c r="E845" s="66">
        <v>1.0</v>
      </c>
      <c r="F845" s="66">
        <v>428.0</v>
      </c>
      <c r="G845" s="141">
        <v>22819.0</v>
      </c>
      <c r="H845" s="66">
        <v>8.0</v>
      </c>
      <c r="I845" s="132">
        <v>-7696.73</v>
      </c>
      <c r="J845" s="133">
        <v>71053.63</v>
      </c>
      <c r="K845" s="142">
        <v>41.0</v>
      </c>
      <c r="L845" s="111">
        <v>21.0</v>
      </c>
      <c r="M845" s="70">
        <v>630.0</v>
      </c>
      <c r="N845" s="24" t="s">
        <v>4945</v>
      </c>
    </row>
    <row r="846">
      <c r="A846" s="66">
        <v>7842.0</v>
      </c>
      <c r="B846" s="66">
        <v>217.0</v>
      </c>
      <c r="C846" s="66">
        <v>16.0</v>
      </c>
      <c r="D846" s="66">
        <v>6.0</v>
      </c>
      <c r="E846" s="66">
        <v>3.0</v>
      </c>
      <c r="F846" s="66">
        <v>269.0</v>
      </c>
      <c r="G846" s="141">
        <v>93008.0</v>
      </c>
      <c r="H846" s="66">
        <v>9.0</v>
      </c>
      <c r="I846" s="132">
        <v>81.26</v>
      </c>
      <c r="J846" s="133">
        <v>66536.82</v>
      </c>
      <c r="K846" s="142">
        <v>44.0</v>
      </c>
      <c r="L846" s="111">
        <v>23.0</v>
      </c>
      <c r="M846" s="70">
        <v>630.0</v>
      </c>
      <c r="N846" s="24" t="s">
        <v>4946</v>
      </c>
    </row>
    <row r="847">
      <c r="A847" s="66">
        <v>7843.0</v>
      </c>
      <c r="B847" s="66">
        <v>207.0</v>
      </c>
      <c r="C847" s="66">
        <v>37.0</v>
      </c>
      <c r="D847" s="66">
        <v>1.0</v>
      </c>
      <c r="E847" s="66">
        <v>1.0</v>
      </c>
      <c r="F847" s="66">
        <v>896.0</v>
      </c>
      <c r="G847" s="141">
        <v>113019.0</v>
      </c>
      <c r="H847" s="66">
        <v>9.0</v>
      </c>
      <c r="I847" s="132">
        <v>-3070.9</v>
      </c>
      <c r="J847" s="133">
        <v>97046.75</v>
      </c>
      <c r="K847" s="142">
        <v>12.0</v>
      </c>
      <c r="L847" s="111">
        <v>22.0</v>
      </c>
      <c r="M847" s="70">
        <v>430.0</v>
      </c>
      <c r="N847" s="24" t="s">
        <v>4947</v>
      </c>
    </row>
    <row r="848">
      <c r="A848" s="66">
        <v>7844.0</v>
      </c>
      <c r="B848" s="66">
        <v>216.0</v>
      </c>
      <c r="C848" s="66">
        <v>16.0</v>
      </c>
      <c r="D848" s="66">
        <v>6.0</v>
      </c>
      <c r="E848" s="66">
        <v>5.0</v>
      </c>
      <c r="F848" s="66">
        <v>446.0</v>
      </c>
      <c r="G848" s="141">
        <v>93099.0</v>
      </c>
      <c r="H848" s="66">
        <v>1.0</v>
      </c>
      <c r="I848" s="132">
        <v>2543.7</v>
      </c>
      <c r="J848" s="133">
        <v>83.62</v>
      </c>
      <c r="K848" s="142">
        <v>76.0</v>
      </c>
      <c r="L848" s="111">
        <v>23.0</v>
      </c>
      <c r="M848" s="70">
        <v>1700.0</v>
      </c>
      <c r="N848" s="24" t="s">
        <v>4948</v>
      </c>
    </row>
    <row r="849">
      <c r="A849" s="66">
        <v>7845.0</v>
      </c>
      <c r="B849" s="66">
        <v>209.0</v>
      </c>
      <c r="C849" s="66">
        <v>98.0</v>
      </c>
      <c r="D849" s="66">
        <v>5.0</v>
      </c>
      <c r="E849" s="66">
        <v>9.0</v>
      </c>
      <c r="F849" s="66">
        <v>860.0</v>
      </c>
      <c r="G849" s="141">
        <v>63003.0</v>
      </c>
      <c r="H849" s="66">
        <v>2.0</v>
      </c>
      <c r="I849" s="132">
        <v>38415.3</v>
      </c>
      <c r="J849" s="133">
        <v>873.92</v>
      </c>
      <c r="K849" s="142">
        <v>3.0</v>
      </c>
      <c r="L849" s="111">
        <v>22.0</v>
      </c>
      <c r="M849" s="70">
        <v>2230.0</v>
      </c>
      <c r="N849" s="24" t="s">
        <v>4949</v>
      </c>
    </row>
    <row r="850">
      <c r="A850" s="66">
        <v>7846.0</v>
      </c>
      <c r="B850" s="66">
        <v>219.0</v>
      </c>
      <c r="C850" s="66">
        <v>57.0</v>
      </c>
      <c r="D850" s="66">
        <v>6.0</v>
      </c>
      <c r="E850" s="66">
        <v>4.0</v>
      </c>
      <c r="F850" s="66">
        <v>164.0</v>
      </c>
      <c r="G850" s="141">
        <v>123116.0</v>
      </c>
      <c r="H850" s="66">
        <v>6.0</v>
      </c>
      <c r="I850" s="132">
        <v>93279.22</v>
      </c>
      <c r="J850" s="133">
        <v>47675.34</v>
      </c>
      <c r="K850" s="142">
        <v>52.0</v>
      </c>
      <c r="L850" s="111">
        <v>21.0</v>
      </c>
      <c r="M850" s="70">
        <v>1100.0</v>
      </c>
      <c r="N850" s="24" t="s">
        <v>4950</v>
      </c>
    </row>
    <row r="851">
      <c r="A851" s="66">
        <v>7847.0</v>
      </c>
      <c r="B851" s="66">
        <v>205.0</v>
      </c>
      <c r="C851" s="66">
        <v>98.0</v>
      </c>
      <c r="D851" s="66">
        <v>6.0</v>
      </c>
      <c r="E851" s="66">
        <v>1.0</v>
      </c>
      <c r="F851" s="66">
        <v>133.0</v>
      </c>
      <c r="G851" s="141">
        <v>103120.0</v>
      </c>
      <c r="H851" s="66">
        <v>7.0</v>
      </c>
      <c r="I851" s="132">
        <v>-36.65</v>
      </c>
      <c r="J851" s="133">
        <v>67.4</v>
      </c>
      <c r="K851" s="142">
        <v>77.0</v>
      </c>
      <c r="L851" s="111">
        <v>23.0</v>
      </c>
      <c r="M851" s="70">
        <v>100.0</v>
      </c>
      <c r="N851" s="24" t="s">
        <v>4951</v>
      </c>
    </row>
    <row r="852">
      <c r="A852" s="66">
        <v>7848.0</v>
      </c>
      <c r="B852" s="66">
        <v>220.0</v>
      </c>
      <c r="C852" s="66">
        <v>16.0</v>
      </c>
      <c r="D852" s="66">
        <v>6.0</v>
      </c>
      <c r="E852" s="66">
        <v>9.0</v>
      </c>
      <c r="F852" s="66">
        <v>979.0</v>
      </c>
      <c r="G852" s="141">
        <v>53103.0</v>
      </c>
      <c r="H852" s="66">
        <v>8.0</v>
      </c>
      <c r="I852" s="132">
        <v>-809.82</v>
      </c>
      <c r="J852" s="133">
        <v>86.72</v>
      </c>
      <c r="K852" s="142">
        <v>68.0</v>
      </c>
      <c r="L852" s="111">
        <v>21.0</v>
      </c>
      <c r="M852" s="70">
        <v>200.0</v>
      </c>
      <c r="N852" s="24" t="s">
        <v>4952</v>
      </c>
    </row>
    <row r="853">
      <c r="A853" s="66">
        <v>7849.0</v>
      </c>
      <c r="B853" s="66">
        <v>208.0</v>
      </c>
      <c r="C853" s="66">
        <v>78.0</v>
      </c>
      <c r="D853" s="66">
        <v>1.0</v>
      </c>
      <c r="E853" s="66">
        <v>5.0</v>
      </c>
      <c r="F853" s="66">
        <v>116.0</v>
      </c>
      <c r="G853" s="141">
        <v>123194.0</v>
      </c>
      <c r="H853" s="66">
        <v>2.0</v>
      </c>
      <c r="I853" s="132">
        <v>70589.11</v>
      </c>
      <c r="J853" s="133">
        <v>6595.5</v>
      </c>
      <c r="K853" s="142">
        <v>86.0</v>
      </c>
      <c r="L853" s="111">
        <v>21.0</v>
      </c>
      <c r="M853" s="70">
        <v>600.0</v>
      </c>
      <c r="N853" s="24" t="s">
        <v>4953</v>
      </c>
    </row>
    <row r="854">
      <c r="A854" s="66">
        <v>7850.0</v>
      </c>
      <c r="B854" s="66">
        <v>208.0</v>
      </c>
      <c r="C854" s="66">
        <v>37.0</v>
      </c>
      <c r="D854" s="66">
        <v>1.0</v>
      </c>
      <c r="E854" s="66">
        <v>9.0</v>
      </c>
      <c r="F854" s="66">
        <v>387.0</v>
      </c>
      <c r="G854" s="141">
        <v>123111.0</v>
      </c>
      <c r="H854" s="66">
        <v>1.0</v>
      </c>
      <c r="I854" s="132">
        <v>5632.3</v>
      </c>
      <c r="J854" s="133">
        <v>-353.54</v>
      </c>
      <c r="K854" s="142">
        <v>6.0</v>
      </c>
      <c r="L854" s="111">
        <v>21.0</v>
      </c>
      <c r="M854" s="70">
        <v>1530.0</v>
      </c>
      <c r="N854" s="24" t="s">
        <v>4954</v>
      </c>
    </row>
    <row r="855">
      <c r="A855" s="66">
        <v>7851.0</v>
      </c>
      <c r="B855" s="66">
        <v>201.0</v>
      </c>
      <c r="C855" s="66">
        <v>37.0</v>
      </c>
      <c r="D855" s="66">
        <v>1.0</v>
      </c>
      <c r="E855" s="66">
        <v>5.0</v>
      </c>
      <c r="F855" s="66">
        <v>914.0</v>
      </c>
      <c r="G855" s="141">
        <v>73105.0</v>
      </c>
      <c r="H855" s="66">
        <v>4.0</v>
      </c>
      <c r="I855" s="132">
        <v>42.17</v>
      </c>
      <c r="J855" s="133">
        <v>4970.4</v>
      </c>
      <c r="K855" s="142">
        <v>72.0</v>
      </c>
      <c r="L855" s="111">
        <v>22.0</v>
      </c>
      <c r="M855" s="70">
        <v>1130.0</v>
      </c>
      <c r="N855" s="24" t="s">
        <v>4955</v>
      </c>
    </row>
    <row r="856">
      <c r="A856" s="66">
        <v>7852.0</v>
      </c>
      <c r="B856" s="66">
        <v>205.0</v>
      </c>
      <c r="C856" s="66">
        <v>57.0</v>
      </c>
      <c r="D856" s="66">
        <v>6.0</v>
      </c>
      <c r="E856" s="66">
        <v>3.0</v>
      </c>
      <c r="F856" s="66">
        <v>434.0</v>
      </c>
      <c r="G856" s="141">
        <v>83192.0</v>
      </c>
      <c r="H856" s="66">
        <v>1.0</v>
      </c>
      <c r="I856" s="132">
        <v>96264.9</v>
      </c>
      <c r="J856" s="133">
        <v>242.39</v>
      </c>
      <c r="K856" s="142">
        <v>22.0</v>
      </c>
      <c r="L856" s="111">
        <v>23.0</v>
      </c>
      <c r="M856" s="70">
        <v>830.0</v>
      </c>
      <c r="N856" s="24" t="s">
        <v>4956</v>
      </c>
    </row>
    <row r="857">
      <c r="A857" s="66">
        <v>7853.0</v>
      </c>
      <c r="B857" s="66">
        <v>209.0</v>
      </c>
      <c r="C857" s="66">
        <v>78.0</v>
      </c>
      <c r="D857" s="66">
        <v>1.0</v>
      </c>
      <c r="E857" s="66">
        <v>2.0</v>
      </c>
      <c r="F857" s="66">
        <v>477.0</v>
      </c>
      <c r="G857" s="141">
        <v>33196.0</v>
      </c>
      <c r="H857" s="66">
        <v>2.0</v>
      </c>
      <c r="I857" s="132">
        <v>874.48</v>
      </c>
      <c r="J857" s="133">
        <v>85.73</v>
      </c>
      <c r="K857" s="142">
        <v>66.0</v>
      </c>
      <c r="L857" s="111">
        <v>22.0</v>
      </c>
      <c r="M857" s="70">
        <v>1200.0</v>
      </c>
      <c r="N857" s="24" t="s">
        <v>4957</v>
      </c>
    </row>
    <row r="858">
      <c r="A858" s="66">
        <v>7854.0</v>
      </c>
      <c r="B858" s="66">
        <v>217.0</v>
      </c>
      <c r="C858" s="66">
        <v>78.0</v>
      </c>
      <c r="D858" s="66">
        <v>2.0</v>
      </c>
      <c r="E858" s="66">
        <v>2.0</v>
      </c>
      <c r="F858" s="66">
        <v>164.0</v>
      </c>
      <c r="G858" s="141">
        <v>43019.0</v>
      </c>
      <c r="H858" s="66">
        <v>4.0</v>
      </c>
      <c r="I858" s="132">
        <v>14437.87</v>
      </c>
      <c r="J858" s="133">
        <v>-5853.38</v>
      </c>
      <c r="K858" s="142">
        <v>69.0</v>
      </c>
      <c r="L858" s="111">
        <v>20.0</v>
      </c>
      <c r="M858" s="70">
        <v>200.0</v>
      </c>
      <c r="N858" s="24" t="s">
        <v>4958</v>
      </c>
    </row>
    <row r="859">
      <c r="A859" s="66">
        <v>7855.0</v>
      </c>
      <c r="B859" s="66">
        <v>200.0</v>
      </c>
      <c r="C859" s="66">
        <v>37.0</v>
      </c>
      <c r="D859" s="66">
        <v>2.0</v>
      </c>
      <c r="E859" s="66">
        <v>7.0</v>
      </c>
      <c r="F859" s="66">
        <v>783.0</v>
      </c>
      <c r="G859" s="141">
        <v>22912.0</v>
      </c>
      <c r="H859" s="66">
        <v>1.0</v>
      </c>
      <c r="I859" s="132">
        <v>52627.4</v>
      </c>
      <c r="J859" s="133">
        <v>62779.56</v>
      </c>
      <c r="K859" s="142">
        <v>15.0</v>
      </c>
      <c r="L859" s="111">
        <v>23.0</v>
      </c>
      <c r="M859" s="70">
        <v>1430.0</v>
      </c>
      <c r="N859" s="24" t="s">
        <v>4959</v>
      </c>
    </row>
    <row r="860">
      <c r="A860" s="66">
        <v>7856.0</v>
      </c>
      <c r="B860" s="66">
        <v>217.0</v>
      </c>
      <c r="C860" s="66">
        <v>98.0</v>
      </c>
      <c r="D860" s="66">
        <v>7.0</v>
      </c>
      <c r="E860" s="66">
        <v>4.0</v>
      </c>
      <c r="F860" s="66">
        <v>206.0</v>
      </c>
      <c r="G860" s="141">
        <v>73100.0</v>
      </c>
      <c r="H860" s="66">
        <v>4.0</v>
      </c>
      <c r="I860" s="132">
        <v>-68.81</v>
      </c>
      <c r="J860" s="133">
        <v>-1401.5</v>
      </c>
      <c r="K860" s="142">
        <v>14.0</v>
      </c>
      <c r="L860" s="111">
        <v>20.0</v>
      </c>
      <c r="M860" s="70">
        <v>1330.0</v>
      </c>
      <c r="N860" s="24" t="s">
        <v>4960</v>
      </c>
    </row>
    <row r="861">
      <c r="A861" s="66">
        <v>7857.0</v>
      </c>
      <c r="B861" s="66">
        <v>201.0</v>
      </c>
      <c r="C861" s="66">
        <v>16.0</v>
      </c>
      <c r="D861" s="66">
        <v>8.0</v>
      </c>
      <c r="E861" s="66">
        <v>5.0</v>
      </c>
      <c r="F861" s="66">
        <v>914.0</v>
      </c>
      <c r="G861" s="141">
        <v>43002.0</v>
      </c>
      <c r="H861" s="66">
        <v>6.0</v>
      </c>
      <c r="I861" s="132">
        <v>78648.55</v>
      </c>
      <c r="J861" s="133">
        <v>470.87</v>
      </c>
      <c r="K861" s="142">
        <v>34.0</v>
      </c>
      <c r="L861" s="111">
        <v>21.0</v>
      </c>
      <c r="M861" s="70">
        <v>1600.0</v>
      </c>
      <c r="N861" s="24" t="s">
        <v>4961</v>
      </c>
    </row>
    <row r="862">
      <c r="A862" s="66">
        <v>7858.0</v>
      </c>
      <c r="B862" s="66">
        <v>202.0</v>
      </c>
      <c r="C862" s="66">
        <v>16.0</v>
      </c>
      <c r="D862" s="66">
        <v>8.0</v>
      </c>
      <c r="E862" s="66">
        <v>6.0</v>
      </c>
      <c r="F862" s="66">
        <v>723.0</v>
      </c>
      <c r="G862" s="141">
        <v>123108.0</v>
      </c>
      <c r="H862" s="66">
        <v>5.0</v>
      </c>
      <c r="I862" s="132">
        <v>-754.54</v>
      </c>
      <c r="J862" s="133">
        <v>-423.64</v>
      </c>
      <c r="K862" s="142">
        <v>48.0</v>
      </c>
      <c r="L862" s="111">
        <v>23.0</v>
      </c>
      <c r="M862" s="70">
        <v>530.0</v>
      </c>
      <c r="N862" s="24" t="s">
        <v>4962</v>
      </c>
    </row>
    <row r="863">
      <c r="A863" s="66">
        <v>7859.0</v>
      </c>
      <c r="B863" s="66">
        <v>200.0</v>
      </c>
      <c r="C863" s="66">
        <v>57.0</v>
      </c>
      <c r="D863" s="66">
        <v>8.0</v>
      </c>
      <c r="E863" s="66">
        <v>5.0</v>
      </c>
      <c r="F863" s="66">
        <v>229.0</v>
      </c>
      <c r="G863" s="141">
        <v>73102.0</v>
      </c>
      <c r="H863" s="66">
        <v>2.0</v>
      </c>
      <c r="I863" s="132">
        <v>382.2</v>
      </c>
      <c r="J863" s="133">
        <v>729.85</v>
      </c>
      <c r="K863" s="142">
        <v>72.0</v>
      </c>
      <c r="L863" s="111">
        <v>23.0</v>
      </c>
      <c r="M863" s="70">
        <v>2330.0</v>
      </c>
      <c r="N863" s="24" t="s">
        <v>4963</v>
      </c>
    </row>
    <row r="864">
      <c r="A864" s="66">
        <v>7860.0</v>
      </c>
      <c r="B864" s="66">
        <v>214.0</v>
      </c>
      <c r="C864" s="66">
        <v>37.0</v>
      </c>
      <c r="D864" s="66">
        <v>3.0</v>
      </c>
      <c r="E864" s="66">
        <v>7.0</v>
      </c>
      <c r="F864" s="66">
        <v>560.0</v>
      </c>
      <c r="G864" s="141">
        <v>33195.0</v>
      </c>
      <c r="H864" s="66">
        <v>6.0</v>
      </c>
      <c r="I864" s="132">
        <v>800.12</v>
      </c>
      <c r="J864" s="133">
        <v>9597.85</v>
      </c>
      <c r="K864" s="142">
        <v>99.0</v>
      </c>
      <c r="L864" s="111">
        <v>22.0</v>
      </c>
      <c r="M864" s="70">
        <v>600.0</v>
      </c>
      <c r="N864" s="24" t="s">
        <v>4964</v>
      </c>
    </row>
    <row r="865">
      <c r="A865" s="66">
        <v>7861.0</v>
      </c>
      <c r="B865" s="66">
        <v>218.0</v>
      </c>
      <c r="C865" s="66">
        <v>98.0</v>
      </c>
      <c r="D865" s="66">
        <v>8.0</v>
      </c>
      <c r="E865" s="66">
        <v>4.0</v>
      </c>
      <c r="F865" s="66">
        <v>688.0</v>
      </c>
      <c r="G865" s="141">
        <v>53108.0</v>
      </c>
      <c r="H865" s="66">
        <v>3.0</v>
      </c>
      <c r="I865" s="132">
        <v>596.54</v>
      </c>
      <c r="J865" s="133">
        <v>-24.26</v>
      </c>
      <c r="K865" s="142">
        <v>79.0</v>
      </c>
      <c r="L865" s="111">
        <v>23.0</v>
      </c>
      <c r="M865" s="70">
        <v>2030.0</v>
      </c>
      <c r="N865" s="24" t="s">
        <v>4965</v>
      </c>
    </row>
    <row r="866">
      <c r="A866" s="66">
        <v>7862.0</v>
      </c>
      <c r="B866" s="66">
        <v>201.0</v>
      </c>
      <c r="C866" s="66">
        <v>16.0</v>
      </c>
      <c r="D866" s="66">
        <v>9.0</v>
      </c>
      <c r="E866" s="66">
        <v>5.0</v>
      </c>
      <c r="F866" s="66">
        <v>377.0</v>
      </c>
      <c r="G866" s="141">
        <v>123116.0</v>
      </c>
      <c r="H866" s="66">
        <v>8.0</v>
      </c>
      <c r="I866" s="132">
        <v>519.4</v>
      </c>
      <c r="J866" s="133">
        <v>1521.3</v>
      </c>
      <c r="K866" s="142">
        <v>24.0</v>
      </c>
      <c r="L866" s="111">
        <v>20.0</v>
      </c>
      <c r="M866" s="70">
        <v>500.0</v>
      </c>
      <c r="N866" s="24" t="s">
        <v>4966</v>
      </c>
    </row>
    <row r="867">
      <c r="A867" s="66">
        <v>7863.0</v>
      </c>
      <c r="B867" s="66">
        <v>219.0</v>
      </c>
      <c r="C867" s="66">
        <v>98.0</v>
      </c>
      <c r="D867" s="66">
        <v>8.0</v>
      </c>
      <c r="E867" s="66">
        <v>7.0</v>
      </c>
      <c r="F867" s="66">
        <v>756.0</v>
      </c>
      <c r="G867" s="141">
        <v>103120.0</v>
      </c>
      <c r="H867" s="66">
        <v>7.0</v>
      </c>
      <c r="I867" s="132">
        <v>59496.82</v>
      </c>
      <c r="J867" s="133">
        <v>743.53</v>
      </c>
      <c r="K867" s="142">
        <v>94.0</v>
      </c>
      <c r="L867" s="111">
        <v>23.0</v>
      </c>
      <c r="M867" s="70">
        <v>100.0</v>
      </c>
      <c r="N867" s="24" t="s">
        <v>4967</v>
      </c>
    </row>
    <row r="868">
      <c r="A868" s="66">
        <v>7864.0</v>
      </c>
      <c r="B868" s="66">
        <v>200.0</v>
      </c>
      <c r="C868" s="66">
        <v>78.0</v>
      </c>
      <c r="D868" s="66">
        <v>4.0</v>
      </c>
      <c r="E868" s="66">
        <v>1.0</v>
      </c>
      <c r="F868" s="66">
        <v>455.0</v>
      </c>
      <c r="G868" s="141">
        <v>53103.0</v>
      </c>
      <c r="H868" s="66">
        <v>1.0</v>
      </c>
      <c r="I868" s="132">
        <v>-4748.84</v>
      </c>
      <c r="J868" s="133">
        <v>61.29</v>
      </c>
      <c r="K868" s="142">
        <v>98.0</v>
      </c>
      <c r="L868" s="111">
        <v>20.0</v>
      </c>
      <c r="M868" s="70">
        <v>130.0</v>
      </c>
      <c r="N868" s="24" t="s">
        <v>4968</v>
      </c>
    </row>
    <row r="869">
      <c r="A869" s="66">
        <v>7865.0</v>
      </c>
      <c r="B869" s="66">
        <v>207.0</v>
      </c>
      <c r="C869" s="66">
        <v>57.0</v>
      </c>
      <c r="D869" s="66">
        <v>9.0</v>
      </c>
      <c r="E869" s="66">
        <v>3.0</v>
      </c>
      <c r="F869" s="66">
        <v>374.0</v>
      </c>
      <c r="G869" s="141">
        <v>123194.0</v>
      </c>
      <c r="H869" s="66">
        <v>1.0</v>
      </c>
      <c r="I869" s="132">
        <v>79406.74</v>
      </c>
      <c r="J869" s="133">
        <v>13.86</v>
      </c>
      <c r="K869" s="142">
        <v>24.0</v>
      </c>
      <c r="L869" s="111">
        <v>20.0</v>
      </c>
      <c r="M869" s="70">
        <v>730.0</v>
      </c>
      <c r="N869" s="24" t="s">
        <v>4969</v>
      </c>
    </row>
    <row r="870">
      <c r="A870" s="66">
        <v>7866.0</v>
      </c>
      <c r="B870" s="66">
        <v>219.0</v>
      </c>
      <c r="C870" s="66">
        <v>57.0</v>
      </c>
      <c r="D870" s="66">
        <v>9.0</v>
      </c>
      <c r="E870" s="66">
        <v>5.0</v>
      </c>
      <c r="F870" s="66">
        <v>457.0</v>
      </c>
      <c r="G870" s="141">
        <v>123111.0</v>
      </c>
      <c r="H870" s="66">
        <v>4.0</v>
      </c>
      <c r="I870" s="132">
        <v>827.86</v>
      </c>
      <c r="J870" s="133">
        <v>87.44</v>
      </c>
      <c r="K870" s="142">
        <v>87.0</v>
      </c>
      <c r="L870" s="111">
        <v>20.0</v>
      </c>
      <c r="M870" s="70">
        <v>930.0</v>
      </c>
      <c r="N870" s="24" t="s">
        <v>4970</v>
      </c>
    </row>
    <row r="871">
      <c r="A871" s="66">
        <v>7867.0</v>
      </c>
      <c r="B871" s="66">
        <v>217.0</v>
      </c>
      <c r="C871" s="66">
        <v>37.0</v>
      </c>
      <c r="D871" s="66">
        <v>4.0</v>
      </c>
      <c r="E871" s="66">
        <v>7.0</v>
      </c>
      <c r="F871" s="66">
        <v>607.0</v>
      </c>
      <c r="G871" s="141">
        <v>73105.0</v>
      </c>
      <c r="H871" s="66">
        <v>6.0</v>
      </c>
      <c r="I871" s="132">
        <v>79221.13</v>
      </c>
      <c r="J871" s="133">
        <v>631.83</v>
      </c>
      <c r="K871" s="142">
        <v>78.0</v>
      </c>
      <c r="L871" s="111">
        <v>20.0</v>
      </c>
      <c r="M871" s="70">
        <v>1700.0</v>
      </c>
      <c r="N871" s="24" t="s">
        <v>4971</v>
      </c>
    </row>
    <row r="872">
      <c r="A872" s="66">
        <v>7868.0</v>
      </c>
      <c r="B872" s="66">
        <v>212.0</v>
      </c>
      <c r="C872" s="66">
        <v>37.0</v>
      </c>
      <c r="D872" s="66">
        <v>4.0</v>
      </c>
      <c r="E872" s="66">
        <v>5.0</v>
      </c>
      <c r="F872" s="66">
        <v>232.0</v>
      </c>
      <c r="G872" s="141">
        <v>83192.0</v>
      </c>
      <c r="H872" s="66">
        <v>1.0</v>
      </c>
      <c r="I872" s="132">
        <v>632.6</v>
      </c>
      <c r="J872" s="133">
        <v>56879.89</v>
      </c>
      <c r="K872" s="142">
        <v>75.0</v>
      </c>
      <c r="L872" s="111">
        <v>23.0</v>
      </c>
      <c r="M872" s="70">
        <v>830.0</v>
      </c>
      <c r="N872" s="24" t="s">
        <v>4159</v>
      </c>
    </row>
    <row r="873">
      <c r="A873" s="66">
        <v>7869.0</v>
      </c>
      <c r="B873" s="66">
        <v>216.0</v>
      </c>
      <c r="C873" s="66">
        <v>78.0</v>
      </c>
      <c r="D873" s="66">
        <v>4.0</v>
      </c>
      <c r="E873" s="66">
        <v>6.0</v>
      </c>
      <c r="F873" s="66">
        <v>429.0</v>
      </c>
      <c r="G873" s="141">
        <v>33196.0</v>
      </c>
      <c r="H873" s="66">
        <v>8.0</v>
      </c>
      <c r="I873" s="132">
        <v>-715.41</v>
      </c>
      <c r="J873" s="133">
        <v>92.4</v>
      </c>
      <c r="K873" s="142">
        <v>76.0</v>
      </c>
      <c r="L873" s="111">
        <v>23.0</v>
      </c>
      <c r="M873" s="70">
        <v>900.0</v>
      </c>
      <c r="N873" s="24" t="s">
        <v>4972</v>
      </c>
    </row>
    <row r="874">
      <c r="A874" s="66">
        <v>7870.0</v>
      </c>
      <c r="B874" s="66">
        <v>219.0</v>
      </c>
      <c r="C874" s="66">
        <v>78.0</v>
      </c>
      <c r="D874" s="66">
        <v>4.0</v>
      </c>
      <c r="E874" s="66">
        <v>9.0</v>
      </c>
      <c r="F874" s="66">
        <v>224.0</v>
      </c>
      <c r="G874" s="141">
        <v>43019.0</v>
      </c>
      <c r="H874" s="66">
        <v>4.0</v>
      </c>
      <c r="I874" s="132">
        <v>608.89</v>
      </c>
      <c r="J874" s="133">
        <v>13465.87</v>
      </c>
      <c r="K874" s="142">
        <v>75.0</v>
      </c>
      <c r="L874" s="111">
        <v>20.0</v>
      </c>
      <c r="M874" s="70">
        <v>600.0</v>
      </c>
      <c r="N874" s="24" t="s">
        <v>4973</v>
      </c>
    </row>
    <row r="875">
      <c r="A875" s="66">
        <v>7871.0</v>
      </c>
      <c r="B875" s="66">
        <v>205.0</v>
      </c>
      <c r="C875" s="66">
        <v>37.0</v>
      </c>
      <c r="D875" s="66">
        <v>5.0</v>
      </c>
      <c r="E875" s="66">
        <v>6.0</v>
      </c>
      <c r="F875" s="66">
        <v>698.0</v>
      </c>
      <c r="G875" s="141">
        <v>22912.0</v>
      </c>
      <c r="H875" s="66">
        <v>4.0</v>
      </c>
      <c r="I875" s="132">
        <v>26914.68</v>
      </c>
      <c r="J875" s="133">
        <v>-361.56</v>
      </c>
      <c r="K875" s="142">
        <v>20.0</v>
      </c>
      <c r="L875" s="111">
        <v>23.0</v>
      </c>
      <c r="M875" s="70">
        <v>1500.0</v>
      </c>
      <c r="N875" s="24" t="s">
        <v>4974</v>
      </c>
    </row>
    <row r="876">
      <c r="A876" s="66">
        <v>7872.0</v>
      </c>
      <c r="B876" s="66">
        <v>217.0</v>
      </c>
      <c r="C876" s="66">
        <v>78.0</v>
      </c>
      <c r="D876" s="66">
        <v>5.0</v>
      </c>
      <c r="E876" s="66">
        <v>4.0</v>
      </c>
      <c r="F876" s="66">
        <v>620.0</v>
      </c>
      <c r="G876" s="141">
        <v>33121.0</v>
      </c>
      <c r="H876" s="66">
        <v>3.0</v>
      </c>
      <c r="I876" s="132">
        <v>35.93</v>
      </c>
      <c r="J876" s="133">
        <v>437.44</v>
      </c>
      <c r="K876" s="142">
        <v>68.0</v>
      </c>
      <c r="L876" s="111">
        <v>22.0</v>
      </c>
      <c r="M876" s="70">
        <v>430.0</v>
      </c>
      <c r="N876" s="24" t="s">
        <v>4544</v>
      </c>
    </row>
    <row r="877">
      <c r="A877" s="66">
        <v>7873.0</v>
      </c>
      <c r="B877" s="66">
        <v>200.0</v>
      </c>
      <c r="C877" s="66">
        <v>37.0</v>
      </c>
      <c r="D877" s="66">
        <v>6.0</v>
      </c>
      <c r="E877" s="66">
        <v>1.0</v>
      </c>
      <c r="F877" s="66">
        <v>693.0</v>
      </c>
      <c r="G877" s="141">
        <v>33193.0</v>
      </c>
      <c r="H877" s="66">
        <v>4.0</v>
      </c>
      <c r="I877" s="132">
        <v>45448.69</v>
      </c>
      <c r="J877" s="133">
        <v>72.84</v>
      </c>
      <c r="K877" s="142">
        <v>43.0</v>
      </c>
      <c r="L877" s="111">
        <v>23.0</v>
      </c>
      <c r="M877" s="70">
        <v>1630.0</v>
      </c>
      <c r="N877" s="24" t="s">
        <v>4975</v>
      </c>
    </row>
    <row r="878">
      <c r="A878" s="66">
        <v>7874.0</v>
      </c>
      <c r="B878" s="66">
        <v>209.0</v>
      </c>
      <c r="C878" s="66">
        <v>17.0</v>
      </c>
      <c r="D878" s="66">
        <v>1.0</v>
      </c>
      <c r="E878" s="66">
        <v>5.0</v>
      </c>
      <c r="F878" s="66">
        <v>612.0</v>
      </c>
      <c r="G878" s="141">
        <v>93014.0</v>
      </c>
      <c r="H878" s="66">
        <v>8.0</v>
      </c>
      <c r="I878" s="132">
        <v>7573.31</v>
      </c>
      <c r="J878" s="133">
        <v>76.13</v>
      </c>
      <c r="K878" s="142">
        <v>21.0</v>
      </c>
      <c r="L878" s="111">
        <v>20.0</v>
      </c>
      <c r="M878" s="70">
        <v>2030.0</v>
      </c>
      <c r="N878" s="24" t="s">
        <v>4976</v>
      </c>
    </row>
    <row r="879">
      <c r="A879" s="66">
        <v>7875.0</v>
      </c>
      <c r="B879" s="66">
        <v>208.0</v>
      </c>
      <c r="C879" s="66">
        <v>17.0</v>
      </c>
      <c r="D879" s="66">
        <v>1.0</v>
      </c>
      <c r="E879" s="66">
        <v>6.0</v>
      </c>
      <c r="F879" s="66">
        <v>480.0</v>
      </c>
      <c r="G879" s="141">
        <v>123102.0</v>
      </c>
      <c r="H879" s="66">
        <v>5.0</v>
      </c>
      <c r="I879" s="132">
        <v>3907.64</v>
      </c>
      <c r="J879" s="133">
        <v>-95.85</v>
      </c>
      <c r="K879" s="142">
        <v>64.0</v>
      </c>
      <c r="L879" s="111">
        <v>23.0</v>
      </c>
      <c r="M879" s="70">
        <v>1500.0</v>
      </c>
      <c r="N879" s="24" t="s">
        <v>4977</v>
      </c>
    </row>
    <row r="880">
      <c r="A880" s="66">
        <v>7876.0</v>
      </c>
      <c r="B880" s="66">
        <v>206.0</v>
      </c>
      <c r="C880" s="66">
        <v>78.0</v>
      </c>
      <c r="D880" s="66">
        <v>6.0</v>
      </c>
      <c r="E880" s="66">
        <v>5.0</v>
      </c>
      <c r="F880" s="66">
        <v>293.0</v>
      </c>
      <c r="G880" s="141">
        <v>53116.0</v>
      </c>
      <c r="H880" s="66">
        <v>2.0</v>
      </c>
      <c r="I880" s="132">
        <v>-52.7</v>
      </c>
      <c r="J880" s="133">
        <v>31358.3</v>
      </c>
      <c r="K880" s="142">
        <v>64.0</v>
      </c>
      <c r="L880" s="111">
        <v>22.0</v>
      </c>
      <c r="M880" s="70">
        <v>200.0</v>
      </c>
      <c r="N880" s="24" t="s">
        <v>4978</v>
      </c>
    </row>
    <row r="881">
      <c r="A881" s="66">
        <v>7877.0</v>
      </c>
      <c r="B881" s="66">
        <v>213.0</v>
      </c>
      <c r="C881" s="66">
        <v>99.0</v>
      </c>
      <c r="D881" s="66">
        <v>1.0</v>
      </c>
      <c r="E881" s="66">
        <v>4.0</v>
      </c>
      <c r="F881" s="66">
        <v>298.0</v>
      </c>
      <c r="G881" s="141">
        <v>63021.0</v>
      </c>
      <c r="H881" s="66">
        <v>4.0</v>
      </c>
      <c r="I881" s="132">
        <v>-53406.72</v>
      </c>
      <c r="J881" s="133">
        <v>56431.78</v>
      </c>
      <c r="K881" s="142">
        <v>40.0</v>
      </c>
      <c r="L881" s="111">
        <v>23.0</v>
      </c>
      <c r="M881" s="70">
        <v>2330.0</v>
      </c>
      <c r="N881" s="24" t="s">
        <v>4979</v>
      </c>
    </row>
    <row r="882">
      <c r="A882" s="66">
        <v>7878.0</v>
      </c>
      <c r="B882" s="66">
        <v>214.0</v>
      </c>
      <c r="C882" s="66">
        <v>78.0</v>
      </c>
      <c r="D882" s="66">
        <v>6.0</v>
      </c>
      <c r="E882" s="66">
        <v>8.0</v>
      </c>
      <c r="F882" s="66">
        <v>679.0</v>
      </c>
      <c r="G882" s="141">
        <v>63014.0</v>
      </c>
      <c r="H882" s="66">
        <v>1.0</v>
      </c>
      <c r="I882" s="132">
        <v>38.88</v>
      </c>
      <c r="J882" s="133">
        <v>57735.78</v>
      </c>
      <c r="K882" s="142">
        <v>70.0</v>
      </c>
      <c r="L882" s="111">
        <v>20.0</v>
      </c>
      <c r="M882" s="70">
        <v>1100.0</v>
      </c>
      <c r="N882" s="24" t="s">
        <v>4980</v>
      </c>
    </row>
    <row r="883">
      <c r="A883" s="66">
        <v>7879.0</v>
      </c>
      <c r="B883" s="66">
        <v>213.0</v>
      </c>
      <c r="C883" s="66">
        <v>58.0</v>
      </c>
      <c r="D883" s="66">
        <v>2.0</v>
      </c>
      <c r="E883" s="66">
        <v>2.0</v>
      </c>
      <c r="F883" s="66">
        <v>844.0</v>
      </c>
      <c r="G883" s="141">
        <v>93009.0</v>
      </c>
      <c r="H883" s="66">
        <v>1.0</v>
      </c>
      <c r="I883" s="132">
        <v>44216.45</v>
      </c>
      <c r="J883" s="133">
        <v>92.32</v>
      </c>
      <c r="K883" s="142">
        <v>35.0</v>
      </c>
      <c r="L883" s="111">
        <v>23.0</v>
      </c>
      <c r="M883" s="70">
        <v>900.0</v>
      </c>
      <c r="N883" s="24" t="s">
        <v>4981</v>
      </c>
    </row>
    <row r="884">
      <c r="A884" s="66">
        <v>7880.0</v>
      </c>
      <c r="B884" s="66">
        <v>209.0</v>
      </c>
      <c r="C884" s="66">
        <v>17.0</v>
      </c>
      <c r="D884" s="66">
        <v>2.0</v>
      </c>
      <c r="E884" s="66">
        <v>7.0</v>
      </c>
      <c r="F884" s="66">
        <v>145.0</v>
      </c>
      <c r="G884" s="141">
        <v>103116.0</v>
      </c>
      <c r="H884" s="66">
        <v>3.0</v>
      </c>
      <c r="I884" s="132">
        <v>-4302.44</v>
      </c>
      <c r="J884" s="133">
        <v>656.7</v>
      </c>
      <c r="K884" s="142">
        <v>23.0</v>
      </c>
      <c r="L884" s="111">
        <v>20.0</v>
      </c>
      <c r="M884" s="70">
        <v>200.0</v>
      </c>
      <c r="N884" s="24" t="s">
        <v>4982</v>
      </c>
    </row>
    <row r="885">
      <c r="A885" s="66">
        <v>7881.0</v>
      </c>
      <c r="B885" s="66">
        <v>202.0</v>
      </c>
      <c r="C885" s="66">
        <v>17.0</v>
      </c>
      <c r="D885" s="66">
        <v>2.0</v>
      </c>
      <c r="E885" s="66">
        <v>6.0</v>
      </c>
      <c r="F885" s="66">
        <v>911.0</v>
      </c>
      <c r="G885" s="141">
        <v>43007.0</v>
      </c>
      <c r="H885" s="66">
        <v>1.0</v>
      </c>
      <c r="I885" s="132">
        <v>89171.43</v>
      </c>
      <c r="J885" s="133">
        <v>-265.38</v>
      </c>
      <c r="K885" s="142">
        <v>38.0</v>
      </c>
      <c r="L885" s="111">
        <v>21.0</v>
      </c>
      <c r="M885" s="70">
        <v>230.0</v>
      </c>
      <c r="N885" s="24" t="s">
        <v>4983</v>
      </c>
    </row>
    <row r="886">
      <c r="A886" s="66">
        <v>7882.0</v>
      </c>
      <c r="B886" s="66">
        <v>206.0</v>
      </c>
      <c r="C886" s="66">
        <v>78.0</v>
      </c>
      <c r="D886" s="66">
        <v>7.0</v>
      </c>
      <c r="E886" s="66">
        <v>3.0</v>
      </c>
      <c r="F886" s="66">
        <v>437.0</v>
      </c>
      <c r="G886" s="141">
        <v>22811.0</v>
      </c>
      <c r="H886" s="66">
        <v>8.0</v>
      </c>
      <c r="I886" s="132">
        <v>-21097.36</v>
      </c>
      <c r="J886" s="133">
        <v>60.78</v>
      </c>
      <c r="K886" s="142">
        <v>56.0</v>
      </c>
      <c r="L886" s="111">
        <v>22.0</v>
      </c>
      <c r="M886" s="70">
        <v>2300.0</v>
      </c>
      <c r="N886" s="24" t="s">
        <v>4984</v>
      </c>
    </row>
    <row r="887">
      <c r="A887" s="66">
        <v>7883.0</v>
      </c>
      <c r="B887" s="66">
        <v>210.0</v>
      </c>
      <c r="C887" s="66">
        <v>99.0</v>
      </c>
      <c r="D887" s="66">
        <v>2.0</v>
      </c>
      <c r="E887" s="66">
        <v>1.0</v>
      </c>
      <c r="F887" s="66">
        <v>326.0</v>
      </c>
      <c r="G887" s="141">
        <v>83115.0</v>
      </c>
      <c r="H887" s="66">
        <v>3.0</v>
      </c>
      <c r="I887" s="132">
        <v>32107.39</v>
      </c>
      <c r="J887" s="133">
        <v>136.57</v>
      </c>
      <c r="K887" s="142">
        <v>12.0</v>
      </c>
      <c r="L887" s="111">
        <v>23.0</v>
      </c>
      <c r="M887" s="70">
        <v>1000.0</v>
      </c>
      <c r="N887" s="24" t="s">
        <v>4985</v>
      </c>
    </row>
    <row r="888">
      <c r="A888" s="66">
        <v>7884.0</v>
      </c>
      <c r="B888" s="66">
        <v>213.0</v>
      </c>
      <c r="C888" s="66">
        <v>99.0</v>
      </c>
      <c r="D888" s="66">
        <v>2.0</v>
      </c>
      <c r="E888" s="66">
        <v>7.0</v>
      </c>
      <c r="F888" s="66">
        <v>846.0</v>
      </c>
      <c r="G888" s="141">
        <v>123101.0</v>
      </c>
      <c r="H888" s="66">
        <v>7.0</v>
      </c>
      <c r="I888" s="132">
        <v>77.28</v>
      </c>
      <c r="J888" s="133">
        <v>2077.85</v>
      </c>
      <c r="K888" s="142">
        <v>97.0</v>
      </c>
      <c r="L888" s="111">
        <v>22.0</v>
      </c>
      <c r="M888" s="70">
        <v>530.0</v>
      </c>
      <c r="N888" s="24" t="s">
        <v>4986</v>
      </c>
    </row>
    <row r="889">
      <c r="A889" s="66">
        <v>7885.0</v>
      </c>
      <c r="B889" s="66">
        <v>218.0</v>
      </c>
      <c r="C889" s="66">
        <v>99.0</v>
      </c>
      <c r="D889" s="66">
        <v>2.0</v>
      </c>
      <c r="E889" s="66">
        <v>8.0</v>
      </c>
      <c r="F889" s="66">
        <v>127.0</v>
      </c>
      <c r="G889" s="141">
        <v>83118.0</v>
      </c>
      <c r="H889" s="66">
        <v>3.0</v>
      </c>
      <c r="I889" s="132">
        <v>5888.91</v>
      </c>
      <c r="J889" s="133">
        <v>-8096.89</v>
      </c>
      <c r="K889" s="142">
        <v>50.0</v>
      </c>
      <c r="L889" s="111">
        <v>22.0</v>
      </c>
      <c r="M889" s="70">
        <v>2330.0</v>
      </c>
      <c r="N889" s="24" t="s">
        <v>4987</v>
      </c>
    </row>
    <row r="890">
      <c r="A890" s="66">
        <v>7886.0</v>
      </c>
      <c r="B890" s="66">
        <v>216.0</v>
      </c>
      <c r="C890" s="66">
        <v>99.0</v>
      </c>
      <c r="D890" s="66">
        <v>2.0</v>
      </c>
      <c r="E890" s="66">
        <v>9.0</v>
      </c>
      <c r="F890" s="66">
        <v>825.0</v>
      </c>
      <c r="G890" s="141">
        <v>113099.0</v>
      </c>
      <c r="H890" s="66">
        <v>7.0</v>
      </c>
      <c r="I890" s="132">
        <v>737.32</v>
      </c>
      <c r="J890" s="133">
        <v>35941.86</v>
      </c>
      <c r="K890" s="142">
        <v>81.0</v>
      </c>
      <c r="L890" s="111">
        <v>21.0</v>
      </c>
      <c r="M890" s="70">
        <v>830.0</v>
      </c>
      <c r="N890" s="24" t="s">
        <v>4988</v>
      </c>
    </row>
    <row r="891">
      <c r="A891" s="66">
        <v>7887.0</v>
      </c>
      <c r="B891" s="66">
        <v>217.0</v>
      </c>
      <c r="C891" s="66">
        <v>37.0</v>
      </c>
      <c r="D891" s="66">
        <v>8.0</v>
      </c>
      <c r="E891" s="66">
        <v>6.0</v>
      </c>
      <c r="F891" s="66">
        <v>437.0</v>
      </c>
      <c r="G891" s="141">
        <v>103100.0</v>
      </c>
      <c r="H891" s="66">
        <v>8.0</v>
      </c>
      <c r="I891" s="132">
        <v>57.15</v>
      </c>
      <c r="J891" s="133">
        <v>-49.17</v>
      </c>
      <c r="K891" s="142">
        <v>31.0</v>
      </c>
      <c r="L891" s="111">
        <v>21.0</v>
      </c>
      <c r="M891" s="70">
        <v>530.0</v>
      </c>
      <c r="N891" s="24" t="s">
        <v>4989</v>
      </c>
    </row>
    <row r="892">
      <c r="A892" s="66">
        <v>7888.0</v>
      </c>
      <c r="B892" s="66">
        <v>210.0</v>
      </c>
      <c r="C892" s="66">
        <v>78.0</v>
      </c>
      <c r="D892" s="66">
        <v>8.0</v>
      </c>
      <c r="E892" s="66">
        <v>3.0</v>
      </c>
      <c r="F892" s="66">
        <v>979.0</v>
      </c>
      <c r="G892" s="141">
        <v>103196.0</v>
      </c>
      <c r="H892" s="66">
        <v>6.0</v>
      </c>
      <c r="I892" s="132">
        <v>1415.17</v>
      </c>
      <c r="J892" s="133">
        <v>19978.17</v>
      </c>
      <c r="K892" s="142">
        <v>41.0</v>
      </c>
      <c r="L892" s="111">
        <v>21.0</v>
      </c>
      <c r="M892" s="70">
        <v>1000.0</v>
      </c>
      <c r="N892" s="24" t="s">
        <v>4990</v>
      </c>
    </row>
    <row r="893">
      <c r="A893" s="66">
        <v>7889.0</v>
      </c>
      <c r="B893" s="66">
        <v>210.0</v>
      </c>
      <c r="C893" s="66">
        <v>17.0</v>
      </c>
      <c r="D893" s="66">
        <v>3.0</v>
      </c>
      <c r="E893" s="66">
        <v>9.0</v>
      </c>
      <c r="F893" s="66">
        <v>231.0</v>
      </c>
      <c r="G893" s="141">
        <v>33100.0</v>
      </c>
      <c r="H893" s="66">
        <v>5.0</v>
      </c>
      <c r="I893" s="132">
        <v>53.5</v>
      </c>
      <c r="J893" s="133">
        <v>-17949.37</v>
      </c>
      <c r="K893" s="142">
        <v>27.0</v>
      </c>
      <c r="L893" s="111">
        <v>21.0</v>
      </c>
      <c r="M893" s="70">
        <v>430.0</v>
      </c>
      <c r="N893" s="24" t="s">
        <v>4991</v>
      </c>
    </row>
    <row r="894">
      <c r="A894" s="66">
        <v>7890.0</v>
      </c>
      <c r="B894" s="66">
        <v>205.0</v>
      </c>
      <c r="C894" s="66">
        <v>37.0</v>
      </c>
      <c r="D894" s="66">
        <v>8.0</v>
      </c>
      <c r="E894" s="66">
        <v>9.0</v>
      </c>
      <c r="F894" s="66">
        <v>897.0</v>
      </c>
      <c r="G894" s="141">
        <v>93003.0</v>
      </c>
      <c r="H894" s="66">
        <v>7.0</v>
      </c>
      <c r="I894" s="132">
        <v>-31371.19</v>
      </c>
      <c r="J894" s="133">
        <v>191.52</v>
      </c>
      <c r="K894" s="142">
        <v>5.0</v>
      </c>
      <c r="L894" s="111">
        <v>21.0</v>
      </c>
      <c r="M894" s="70">
        <v>530.0</v>
      </c>
      <c r="N894" s="24" t="s">
        <v>4992</v>
      </c>
    </row>
    <row r="895">
      <c r="A895" s="66">
        <v>7891.0</v>
      </c>
      <c r="B895" s="66">
        <v>210.0</v>
      </c>
      <c r="C895" s="66">
        <v>58.0</v>
      </c>
      <c r="D895" s="66">
        <v>3.0</v>
      </c>
      <c r="E895" s="66">
        <v>8.0</v>
      </c>
      <c r="F895" s="66">
        <v>331.0</v>
      </c>
      <c r="G895" s="141">
        <v>63096.0</v>
      </c>
      <c r="H895" s="66">
        <v>6.0</v>
      </c>
      <c r="I895" s="132">
        <v>30997.42</v>
      </c>
      <c r="J895" s="133">
        <v>-8620.46</v>
      </c>
      <c r="K895" s="142">
        <v>9.0</v>
      </c>
      <c r="L895" s="111">
        <v>22.0</v>
      </c>
      <c r="M895" s="70">
        <v>1300.0</v>
      </c>
      <c r="N895" s="24" t="s">
        <v>4993</v>
      </c>
    </row>
    <row r="896">
      <c r="A896" s="66">
        <v>7892.0</v>
      </c>
      <c r="B896" s="66">
        <v>215.0</v>
      </c>
      <c r="C896" s="66">
        <v>17.0</v>
      </c>
      <c r="D896" s="66">
        <v>3.0</v>
      </c>
      <c r="E896" s="66">
        <v>6.0</v>
      </c>
      <c r="F896" s="66">
        <v>492.0</v>
      </c>
      <c r="G896" s="141">
        <v>73191.0</v>
      </c>
      <c r="H896" s="66">
        <v>5.0</v>
      </c>
      <c r="I896" s="132">
        <v>244.92</v>
      </c>
      <c r="J896" s="133">
        <v>-234.95</v>
      </c>
      <c r="K896" s="142">
        <v>84.0</v>
      </c>
      <c r="L896" s="111">
        <v>20.0</v>
      </c>
      <c r="M896" s="70">
        <v>1900.0</v>
      </c>
      <c r="N896" s="24" t="s">
        <v>4994</v>
      </c>
    </row>
    <row r="897">
      <c r="A897" s="66">
        <v>7893.0</v>
      </c>
      <c r="B897" s="66">
        <v>205.0</v>
      </c>
      <c r="C897" s="66">
        <v>37.0</v>
      </c>
      <c r="D897" s="66">
        <v>9.0</v>
      </c>
      <c r="E897" s="66">
        <v>2.0</v>
      </c>
      <c r="F897" s="66">
        <v>922.0</v>
      </c>
      <c r="G897" s="141">
        <v>63095.0</v>
      </c>
      <c r="H897" s="66">
        <v>3.0</v>
      </c>
      <c r="I897" s="132">
        <v>-6359.59</v>
      </c>
      <c r="J897" s="133">
        <v>162.13</v>
      </c>
      <c r="K897" s="142">
        <v>36.0</v>
      </c>
      <c r="L897" s="111">
        <v>22.0</v>
      </c>
      <c r="M897" s="70">
        <v>900.0</v>
      </c>
      <c r="N897" s="24" t="s">
        <v>4995</v>
      </c>
    </row>
    <row r="898">
      <c r="A898" s="66">
        <v>7894.0</v>
      </c>
      <c r="B898" s="66">
        <v>219.0</v>
      </c>
      <c r="C898" s="66">
        <v>78.0</v>
      </c>
      <c r="D898" s="66">
        <v>8.0</v>
      </c>
      <c r="E898" s="66">
        <v>8.0</v>
      </c>
      <c r="F898" s="66">
        <v>238.0</v>
      </c>
      <c r="G898" s="141">
        <v>33192.0</v>
      </c>
      <c r="H898" s="66">
        <v>8.0</v>
      </c>
      <c r="I898" s="132">
        <v>-56.31</v>
      </c>
      <c r="J898" s="133">
        <v>51.61</v>
      </c>
      <c r="K898" s="142">
        <v>81.0</v>
      </c>
      <c r="L898" s="111">
        <v>23.0</v>
      </c>
      <c r="M898" s="70">
        <v>730.0</v>
      </c>
      <c r="N898" s="24" t="s">
        <v>4996</v>
      </c>
    </row>
    <row r="899">
      <c r="A899" s="66">
        <v>7895.0</v>
      </c>
      <c r="B899" s="66">
        <v>206.0</v>
      </c>
      <c r="C899" s="66">
        <v>17.0</v>
      </c>
      <c r="D899" s="66">
        <v>4.0</v>
      </c>
      <c r="E899" s="66">
        <v>3.0</v>
      </c>
      <c r="F899" s="66">
        <v>405.0</v>
      </c>
      <c r="G899" s="141">
        <v>53112.0</v>
      </c>
      <c r="H899" s="66">
        <v>6.0</v>
      </c>
      <c r="I899" s="132">
        <v>941.37</v>
      </c>
      <c r="J899" s="133">
        <v>-50624.39</v>
      </c>
      <c r="K899" s="142">
        <v>87.0</v>
      </c>
      <c r="L899" s="111">
        <v>21.0</v>
      </c>
      <c r="M899" s="70">
        <v>1000.0</v>
      </c>
      <c r="N899" s="24" t="s">
        <v>4997</v>
      </c>
    </row>
    <row r="900">
      <c r="A900" s="66">
        <v>7896.0</v>
      </c>
      <c r="B900" s="66">
        <v>212.0</v>
      </c>
      <c r="C900" s="66">
        <v>78.0</v>
      </c>
      <c r="D900" s="66">
        <v>8.0</v>
      </c>
      <c r="E900" s="66">
        <v>9.0</v>
      </c>
      <c r="F900" s="66">
        <v>288.0</v>
      </c>
      <c r="G900" s="141">
        <v>123100.0</v>
      </c>
      <c r="H900" s="66">
        <v>4.0</v>
      </c>
      <c r="I900" s="132">
        <v>6837.65</v>
      </c>
      <c r="J900" s="133">
        <v>-91.15</v>
      </c>
      <c r="K900" s="142">
        <v>4.0</v>
      </c>
      <c r="L900" s="111">
        <v>23.0</v>
      </c>
      <c r="M900" s="70">
        <v>1200.0</v>
      </c>
      <c r="N900" s="24" t="s">
        <v>4998</v>
      </c>
    </row>
    <row r="901">
      <c r="A901" s="66">
        <v>7897.0</v>
      </c>
      <c r="B901" s="66">
        <v>208.0</v>
      </c>
      <c r="C901" s="66">
        <v>17.0</v>
      </c>
      <c r="D901" s="66">
        <v>4.0</v>
      </c>
      <c r="E901" s="66">
        <v>8.0</v>
      </c>
      <c r="F901" s="66">
        <v>247.0</v>
      </c>
      <c r="G901" s="141">
        <v>63011.0</v>
      </c>
      <c r="H901" s="66">
        <v>6.0</v>
      </c>
      <c r="I901" s="132">
        <v>86.53</v>
      </c>
      <c r="J901" s="133">
        <v>85.53</v>
      </c>
      <c r="K901" s="142">
        <v>28.0</v>
      </c>
      <c r="L901" s="111">
        <v>20.0</v>
      </c>
      <c r="M901" s="70">
        <v>1630.0</v>
      </c>
      <c r="N901" s="24" t="s">
        <v>4999</v>
      </c>
    </row>
    <row r="902">
      <c r="A902" s="66">
        <v>7898.0</v>
      </c>
      <c r="B902" s="66">
        <v>219.0</v>
      </c>
      <c r="C902" s="66">
        <v>17.0</v>
      </c>
      <c r="D902" s="66">
        <v>4.0</v>
      </c>
      <c r="E902" s="66">
        <v>1.0</v>
      </c>
      <c r="F902" s="66">
        <v>798.0</v>
      </c>
      <c r="G902" s="141">
        <v>123198.0</v>
      </c>
      <c r="H902" s="66">
        <v>1.0</v>
      </c>
      <c r="I902" s="132">
        <v>292.36</v>
      </c>
      <c r="J902" s="133">
        <v>40.81</v>
      </c>
      <c r="K902" s="142">
        <v>5.0</v>
      </c>
      <c r="L902" s="111">
        <v>21.0</v>
      </c>
      <c r="M902" s="70">
        <v>1330.0</v>
      </c>
      <c r="N902" s="24" t="s">
        <v>5000</v>
      </c>
    </row>
    <row r="903">
      <c r="A903" s="66">
        <v>7899.0</v>
      </c>
      <c r="B903" s="66">
        <v>205.0</v>
      </c>
      <c r="C903" s="66">
        <v>78.0</v>
      </c>
      <c r="D903" s="66">
        <v>9.0</v>
      </c>
      <c r="E903" s="66">
        <v>4.0</v>
      </c>
      <c r="F903" s="66">
        <v>496.0</v>
      </c>
      <c r="G903" s="141">
        <v>93092.0</v>
      </c>
      <c r="H903" s="66">
        <v>8.0</v>
      </c>
      <c r="I903" s="132">
        <v>659.9</v>
      </c>
      <c r="J903" s="133">
        <v>55.89</v>
      </c>
      <c r="K903" s="142">
        <v>49.0</v>
      </c>
      <c r="L903" s="111">
        <v>20.0</v>
      </c>
      <c r="M903" s="70">
        <v>1900.0</v>
      </c>
      <c r="N903" s="24" t="s">
        <v>5001</v>
      </c>
    </row>
    <row r="904">
      <c r="A904" s="66">
        <v>7900.0</v>
      </c>
      <c r="B904" s="66">
        <v>214.0</v>
      </c>
      <c r="C904" s="66">
        <v>37.0</v>
      </c>
      <c r="D904" s="66">
        <v>9.0</v>
      </c>
      <c r="E904" s="66">
        <v>9.0</v>
      </c>
      <c r="F904" s="66">
        <v>576.0</v>
      </c>
      <c r="G904" s="141">
        <v>63092.0</v>
      </c>
      <c r="H904" s="66">
        <v>9.0</v>
      </c>
      <c r="I904" s="132">
        <v>-14.55</v>
      </c>
      <c r="J904" s="133">
        <v>543.63</v>
      </c>
      <c r="K904" s="142">
        <v>65.0</v>
      </c>
      <c r="L904" s="111">
        <v>22.0</v>
      </c>
      <c r="M904" s="70">
        <v>1630.0</v>
      </c>
      <c r="N904" s="24" t="s">
        <v>4876</v>
      </c>
    </row>
    <row r="905">
      <c r="A905" s="66">
        <v>7901.0</v>
      </c>
      <c r="B905" s="66">
        <v>217.0</v>
      </c>
      <c r="C905" s="66">
        <v>37.0</v>
      </c>
      <c r="D905" s="66">
        <v>9.0</v>
      </c>
      <c r="E905" s="66">
        <v>6.0</v>
      </c>
      <c r="F905" s="66">
        <v>518.0</v>
      </c>
      <c r="G905" s="141">
        <v>53121.0</v>
      </c>
      <c r="H905" s="66">
        <v>2.0</v>
      </c>
      <c r="I905" s="132">
        <v>482.81</v>
      </c>
      <c r="J905" s="133">
        <v>11370.9</v>
      </c>
      <c r="K905" s="142">
        <v>7.0</v>
      </c>
      <c r="L905" s="111">
        <v>23.0</v>
      </c>
      <c r="M905" s="70">
        <v>830.0</v>
      </c>
      <c r="N905" s="24" t="s">
        <v>5002</v>
      </c>
    </row>
    <row r="906">
      <c r="A906" s="66">
        <v>7902.0</v>
      </c>
      <c r="B906" s="66">
        <v>200.0</v>
      </c>
      <c r="C906" s="66">
        <v>17.0</v>
      </c>
      <c r="D906" s="66">
        <v>5.0</v>
      </c>
      <c r="E906" s="66">
        <v>3.0</v>
      </c>
      <c r="F906" s="66">
        <v>366.0</v>
      </c>
      <c r="G906" s="141">
        <v>103192.0</v>
      </c>
      <c r="H906" s="66">
        <v>9.0</v>
      </c>
      <c r="I906" s="132">
        <v>278.95</v>
      </c>
      <c r="J906" s="133">
        <v>93846.47</v>
      </c>
      <c r="K906" s="142">
        <v>53.0</v>
      </c>
      <c r="L906" s="111">
        <v>21.0</v>
      </c>
      <c r="M906" s="70">
        <v>1330.0</v>
      </c>
      <c r="N906" s="24" t="s">
        <v>5003</v>
      </c>
    </row>
    <row r="907">
      <c r="A907" s="66">
        <v>7903.0</v>
      </c>
      <c r="B907" s="66">
        <v>206.0</v>
      </c>
      <c r="C907" s="66">
        <v>17.0</v>
      </c>
      <c r="D907" s="66">
        <v>5.0</v>
      </c>
      <c r="E907" s="66">
        <v>6.0</v>
      </c>
      <c r="F907" s="66">
        <v>942.0</v>
      </c>
      <c r="G907" s="141">
        <v>53104.0</v>
      </c>
      <c r="H907" s="66">
        <v>2.0</v>
      </c>
      <c r="I907" s="132">
        <v>56.7</v>
      </c>
      <c r="J907" s="133">
        <v>817.5</v>
      </c>
      <c r="K907" s="142">
        <v>27.0</v>
      </c>
      <c r="L907" s="111">
        <v>22.0</v>
      </c>
      <c r="M907" s="70">
        <v>730.0</v>
      </c>
      <c r="N907" s="24" t="s">
        <v>5004</v>
      </c>
    </row>
    <row r="908">
      <c r="A908" s="66">
        <v>7904.0</v>
      </c>
      <c r="B908" s="66">
        <v>206.0</v>
      </c>
      <c r="C908" s="66">
        <v>99.0</v>
      </c>
      <c r="D908" s="66">
        <v>5.0</v>
      </c>
      <c r="E908" s="66">
        <v>3.0</v>
      </c>
      <c r="F908" s="66">
        <v>883.0</v>
      </c>
      <c r="G908" s="141">
        <v>123103.0</v>
      </c>
      <c r="H908" s="66">
        <v>2.0</v>
      </c>
      <c r="I908" s="132">
        <v>60.84</v>
      </c>
      <c r="J908" s="133">
        <v>768.9</v>
      </c>
      <c r="K908" s="142">
        <v>11.0</v>
      </c>
      <c r="L908" s="111">
        <v>20.0</v>
      </c>
      <c r="M908" s="70">
        <v>300.0</v>
      </c>
      <c r="N908" s="24" t="s">
        <v>5005</v>
      </c>
    </row>
    <row r="909">
      <c r="A909" s="66">
        <v>7905.0</v>
      </c>
      <c r="B909" s="66">
        <v>217.0</v>
      </c>
      <c r="C909" s="66">
        <v>58.0</v>
      </c>
      <c r="D909" s="66">
        <v>5.0</v>
      </c>
      <c r="E909" s="66">
        <v>7.0</v>
      </c>
      <c r="F909" s="66">
        <v>408.0</v>
      </c>
      <c r="G909" s="141">
        <v>13114.0</v>
      </c>
      <c r="H909" s="66">
        <v>3.0</v>
      </c>
      <c r="I909" s="132">
        <v>771.43</v>
      </c>
      <c r="J909" s="133">
        <v>4687.79</v>
      </c>
      <c r="K909" s="142">
        <v>39.0</v>
      </c>
      <c r="L909" s="111">
        <v>21.0</v>
      </c>
      <c r="M909" s="70">
        <v>830.0</v>
      </c>
      <c r="N909" s="24" t="s">
        <v>5006</v>
      </c>
    </row>
    <row r="910">
      <c r="A910" s="66">
        <v>7906.0</v>
      </c>
      <c r="B910" s="66">
        <v>218.0</v>
      </c>
      <c r="C910" s="66">
        <v>58.0</v>
      </c>
      <c r="D910" s="66">
        <v>5.0</v>
      </c>
      <c r="E910" s="66">
        <v>9.0</v>
      </c>
      <c r="F910" s="66">
        <v>611.0</v>
      </c>
      <c r="G910" s="141">
        <v>22893.0</v>
      </c>
      <c r="H910" s="66">
        <v>3.0</v>
      </c>
      <c r="I910" s="132">
        <v>8592.65</v>
      </c>
      <c r="J910" s="133">
        <v>-22750.76</v>
      </c>
      <c r="K910" s="142">
        <v>73.0</v>
      </c>
      <c r="L910" s="111">
        <v>23.0</v>
      </c>
      <c r="M910" s="70">
        <v>1130.0</v>
      </c>
      <c r="N910" s="24" t="s">
        <v>5007</v>
      </c>
    </row>
    <row r="911">
      <c r="A911" s="66">
        <v>7907.0</v>
      </c>
      <c r="B911" s="66">
        <v>214.0</v>
      </c>
      <c r="C911" s="66">
        <v>38.0</v>
      </c>
      <c r="D911" s="66">
        <v>1.0</v>
      </c>
      <c r="E911" s="66">
        <v>3.0</v>
      </c>
      <c r="F911" s="66">
        <v>239.0</v>
      </c>
      <c r="G911" s="141">
        <v>22900.0</v>
      </c>
      <c r="H911" s="66">
        <v>1.0</v>
      </c>
      <c r="I911" s="132">
        <v>3763.77</v>
      </c>
      <c r="J911" s="133">
        <v>-67.3</v>
      </c>
      <c r="K911" s="142">
        <v>29.0</v>
      </c>
      <c r="L911" s="111">
        <v>22.0</v>
      </c>
      <c r="M911" s="70">
        <v>1930.0</v>
      </c>
      <c r="N911" s="24" t="s">
        <v>5008</v>
      </c>
    </row>
    <row r="912">
      <c r="A912" s="66">
        <v>7908.0</v>
      </c>
      <c r="B912" s="66">
        <v>217.0</v>
      </c>
      <c r="C912" s="66">
        <v>99.0</v>
      </c>
      <c r="D912" s="66">
        <v>6.0</v>
      </c>
      <c r="E912" s="66">
        <v>2.0</v>
      </c>
      <c r="F912" s="66">
        <v>575.0</v>
      </c>
      <c r="G912" s="141">
        <v>33190.0</v>
      </c>
      <c r="H912" s="66">
        <v>8.0</v>
      </c>
      <c r="I912" s="132">
        <v>368.2</v>
      </c>
      <c r="J912" s="133">
        <v>15.72</v>
      </c>
      <c r="K912" s="142">
        <v>91.0</v>
      </c>
      <c r="L912" s="111">
        <v>20.0</v>
      </c>
      <c r="M912" s="70">
        <v>1600.0</v>
      </c>
      <c r="N912" s="24" t="s">
        <v>5009</v>
      </c>
    </row>
    <row r="913">
      <c r="A913" s="66">
        <v>7909.0</v>
      </c>
      <c r="B913" s="66">
        <v>208.0</v>
      </c>
      <c r="C913" s="66">
        <v>38.0</v>
      </c>
      <c r="D913" s="66">
        <v>1.0</v>
      </c>
      <c r="E913" s="66">
        <v>8.0</v>
      </c>
      <c r="F913" s="66">
        <v>938.0</v>
      </c>
      <c r="G913" s="141">
        <v>63097.0</v>
      </c>
      <c r="H913" s="66">
        <v>8.0</v>
      </c>
      <c r="I913" s="132">
        <v>36370.6</v>
      </c>
      <c r="J913" s="133">
        <v>-75.81</v>
      </c>
      <c r="K913" s="142">
        <v>23.0</v>
      </c>
      <c r="L913" s="111">
        <v>22.0</v>
      </c>
      <c r="M913" s="70">
        <v>2100.0</v>
      </c>
      <c r="N913" s="24" t="s">
        <v>5010</v>
      </c>
    </row>
    <row r="914">
      <c r="A914" s="66">
        <v>7910.0</v>
      </c>
      <c r="B914" s="66">
        <v>210.0</v>
      </c>
      <c r="C914" s="66">
        <v>58.0</v>
      </c>
      <c r="D914" s="66">
        <v>6.0</v>
      </c>
      <c r="E914" s="66">
        <v>6.0</v>
      </c>
      <c r="F914" s="66">
        <v>773.0</v>
      </c>
      <c r="G914" s="141">
        <v>103105.0</v>
      </c>
      <c r="H914" s="66">
        <v>8.0</v>
      </c>
      <c r="I914" s="132">
        <v>521.48</v>
      </c>
      <c r="J914" s="133">
        <v>-741.0</v>
      </c>
      <c r="K914" s="142">
        <v>57.0</v>
      </c>
      <c r="L914" s="111">
        <v>23.0</v>
      </c>
      <c r="M914" s="70">
        <v>1830.0</v>
      </c>
      <c r="N914" s="24" t="s">
        <v>5011</v>
      </c>
    </row>
    <row r="915">
      <c r="A915" s="66">
        <v>7911.0</v>
      </c>
      <c r="B915" s="66">
        <v>201.0</v>
      </c>
      <c r="C915" s="66">
        <v>38.0</v>
      </c>
      <c r="D915" s="66">
        <v>2.0</v>
      </c>
      <c r="E915" s="66">
        <v>2.0</v>
      </c>
      <c r="F915" s="66">
        <v>850.0</v>
      </c>
      <c r="G915" s="141">
        <v>93016.0</v>
      </c>
      <c r="H915" s="66">
        <v>7.0</v>
      </c>
      <c r="I915" s="132">
        <v>9708.92</v>
      </c>
      <c r="J915" s="133">
        <v>44.14</v>
      </c>
      <c r="K915" s="142">
        <v>18.0</v>
      </c>
      <c r="L915" s="111">
        <v>23.0</v>
      </c>
      <c r="M915" s="70">
        <v>330.0</v>
      </c>
      <c r="N915" s="24" t="s">
        <v>5012</v>
      </c>
    </row>
    <row r="916">
      <c r="A916" s="66">
        <v>7912.0</v>
      </c>
      <c r="B916" s="66">
        <v>201.0</v>
      </c>
      <c r="C916" s="66">
        <v>99.0</v>
      </c>
      <c r="D916" s="66">
        <v>7.0</v>
      </c>
      <c r="E916" s="66">
        <v>1.0</v>
      </c>
      <c r="F916" s="66">
        <v>855.0</v>
      </c>
      <c r="G916" s="141">
        <v>22809.0</v>
      </c>
      <c r="H916" s="66">
        <v>9.0</v>
      </c>
      <c r="I916" s="132">
        <v>901.3</v>
      </c>
      <c r="J916" s="133">
        <v>552.2</v>
      </c>
      <c r="K916" s="142">
        <v>94.0</v>
      </c>
      <c r="L916" s="111">
        <v>22.0</v>
      </c>
      <c r="M916" s="70">
        <v>1230.0</v>
      </c>
      <c r="N916" s="24" t="s">
        <v>5013</v>
      </c>
    </row>
    <row r="917">
      <c r="A917" s="66">
        <v>7913.0</v>
      </c>
      <c r="B917" s="66">
        <v>219.0</v>
      </c>
      <c r="C917" s="66">
        <v>99.0</v>
      </c>
      <c r="D917" s="66">
        <v>7.0</v>
      </c>
      <c r="E917" s="66">
        <v>4.0</v>
      </c>
      <c r="F917" s="66">
        <v>485.0</v>
      </c>
      <c r="G917" s="141">
        <v>63008.0</v>
      </c>
      <c r="H917" s="66">
        <v>4.0</v>
      </c>
      <c r="I917" s="132">
        <v>-285.8</v>
      </c>
      <c r="J917" s="133">
        <v>172.58</v>
      </c>
      <c r="K917" s="142">
        <v>90.0</v>
      </c>
      <c r="L917" s="111">
        <v>21.0</v>
      </c>
      <c r="M917" s="70">
        <v>930.0</v>
      </c>
      <c r="N917" s="24" t="s">
        <v>5014</v>
      </c>
    </row>
    <row r="918">
      <c r="A918" s="66">
        <v>7914.0</v>
      </c>
      <c r="B918" s="66">
        <v>215.0</v>
      </c>
      <c r="C918" s="66">
        <v>58.0</v>
      </c>
      <c r="D918" s="66">
        <v>8.0</v>
      </c>
      <c r="E918" s="66">
        <v>1.0</v>
      </c>
      <c r="F918" s="66">
        <v>159.0</v>
      </c>
      <c r="G918" s="141">
        <v>33191.0</v>
      </c>
      <c r="H918" s="66">
        <v>5.0</v>
      </c>
      <c r="I918" s="132">
        <v>164.0</v>
      </c>
      <c r="J918" s="133">
        <v>65.73</v>
      </c>
      <c r="K918" s="142">
        <v>95.0</v>
      </c>
      <c r="L918" s="111">
        <v>21.0</v>
      </c>
      <c r="M918" s="70">
        <v>1500.0</v>
      </c>
      <c r="N918" s="24" t="s">
        <v>5015</v>
      </c>
    </row>
    <row r="919">
      <c r="A919" s="66">
        <v>7915.0</v>
      </c>
      <c r="B919" s="66">
        <v>208.0</v>
      </c>
      <c r="C919" s="66">
        <v>17.0</v>
      </c>
      <c r="D919" s="66">
        <v>8.0</v>
      </c>
      <c r="E919" s="66">
        <v>6.0</v>
      </c>
      <c r="F919" s="66">
        <v>689.0</v>
      </c>
      <c r="G919" s="141">
        <v>83199.0</v>
      </c>
      <c r="H919" s="66">
        <v>1.0</v>
      </c>
      <c r="I919" s="132">
        <v>2583.7</v>
      </c>
      <c r="J919" s="133">
        <v>-66628.72</v>
      </c>
      <c r="K919" s="142">
        <v>30.0</v>
      </c>
      <c r="L919" s="111">
        <v>23.0</v>
      </c>
      <c r="M919" s="70">
        <v>1700.0</v>
      </c>
      <c r="N919" s="24" t="s">
        <v>5016</v>
      </c>
    </row>
    <row r="920">
      <c r="A920" s="66">
        <v>7916.0</v>
      </c>
      <c r="B920" s="66">
        <v>202.0</v>
      </c>
      <c r="C920" s="66">
        <v>58.0</v>
      </c>
      <c r="D920" s="66">
        <v>8.0</v>
      </c>
      <c r="E920" s="66">
        <v>3.0</v>
      </c>
      <c r="F920" s="66">
        <v>485.0</v>
      </c>
      <c r="G920" s="141">
        <v>113095.0</v>
      </c>
      <c r="H920" s="66">
        <v>4.0</v>
      </c>
      <c r="I920" s="132">
        <v>828.51</v>
      </c>
      <c r="J920" s="133">
        <v>89.24</v>
      </c>
      <c r="K920" s="142">
        <v>25.0</v>
      </c>
      <c r="L920" s="111">
        <v>23.0</v>
      </c>
      <c r="M920" s="70">
        <v>1230.0</v>
      </c>
      <c r="N920" s="24" t="s">
        <v>5017</v>
      </c>
    </row>
    <row r="921">
      <c r="A921" s="66">
        <v>7917.0</v>
      </c>
      <c r="B921" s="66">
        <v>212.0</v>
      </c>
      <c r="C921" s="66">
        <v>58.0</v>
      </c>
      <c r="D921" s="66">
        <v>8.0</v>
      </c>
      <c r="E921" s="66">
        <v>4.0</v>
      </c>
      <c r="F921" s="66">
        <v>663.0</v>
      </c>
      <c r="G921" s="141">
        <v>103199.0</v>
      </c>
      <c r="H921" s="66">
        <v>6.0</v>
      </c>
      <c r="I921" s="132">
        <v>-93498.61</v>
      </c>
      <c r="J921" s="133">
        <v>11.63</v>
      </c>
      <c r="K921" s="142">
        <v>82.0</v>
      </c>
      <c r="L921" s="111">
        <v>22.0</v>
      </c>
      <c r="M921" s="70">
        <v>1330.0</v>
      </c>
      <c r="N921" s="24" t="s">
        <v>5018</v>
      </c>
    </row>
    <row r="922">
      <c r="A922" s="66">
        <v>7918.0</v>
      </c>
      <c r="B922" s="66">
        <v>216.0</v>
      </c>
      <c r="C922" s="66">
        <v>79.0</v>
      </c>
      <c r="D922" s="66">
        <v>3.0</v>
      </c>
      <c r="E922" s="66">
        <v>4.0</v>
      </c>
      <c r="F922" s="66">
        <v>970.0</v>
      </c>
      <c r="G922" s="141">
        <v>22899.0</v>
      </c>
      <c r="H922" s="66">
        <v>7.0</v>
      </c>
      <c r="I922" s="132">
        <v>47.87</v>
      </c>
      <c r="J922" s="133">
        <v>-6639.85</v>
      </c>
      <c r="K922" s="142">
        <v>2.0</v>
      </c>
      <c r="L922" s="111">
        <v>21.0</v>
      </c>
      <c r="M922" s="70">
        <v>2000.0</v>
      </c>
      <c r="N922" s="24" t="s">
        <v>5019</v>
      </c>
    </row>
    <row r="923">
      <c r="A923" s="66">
        <v>7919.0</v>
      </c>
      <c r="B923" s="66">
        <v>202.0</v>
      </c>
      <c r="C923" s="66">
        <v>17.0</v>
      </c>
      <c r="D923" s="66">
        <v>9.0</v>
      </c>
      <c r="E923" s="66">
        <v>2.0</v>
      </c>
      <c r="F923" s="66">
        <v>914.0</v>
      </c>
      <c r="G923" s="141">
        <v>73103.0</v>
      </c>
      <c r="H923" s="66">
        <v>2.0</v>
      </c>
      <c r="I923" s="132">
        <v>23445.42</v>
      </c>
      <c r="J923" s="133">
        <v>765.1</v>
      </c>
      <c r="K923" s="142">
        <v>63.0</v>
      </c>
      <c r="L923" s="111">
        <v>20.0</v>
      </c>
      <c r="M923" s="70">
        <v>1600.0</v>
      </c>
      <c r="N923" s="24" t="s">
        <v>5020</v>
      </c>
    </row>
    <row r="924">
      <c r="A924" s="66">
        <v>7920.0</v>
      </c>
      <c r="B924" s="66">
        <v>209.0</v>
      </c>
      <c r="C924" s="66">
        <v>38.0</v>
      </c>
      <c r="D924" s="66">
        <v>4.0</v>
      </c>
      <c r="E924" s="66">
        <v>2.0</v>
      </c>
      <c r="F924" s="66">
        <v>753.0</v>
      </c>
      <c r="G924" s="141">
        <v>103198.0</v>
      </c>
      <c r="H924" s="66">
        <v>4.0</v>
      </c>
      <c r="I924" s="132">
        <v>63.94</v>
      </c>
      <c r="J924" s="133">
        <v>19027.94</v>
      </c>
      <c r="K924" s="142">
        <v>72.0</v>
      </c>
      <c r="L924" s="111">
        <v>21.0</v>
      </c>
      <c r="M924" s="70">
        <v>130.0</v>
      </c>
      <c r="N924" s="24" t="s">
        <v>5021</v>
      </c>
    </row>
    <row r="925">
      <c r="A925" s="66">
        <v>7921.0</v>
      </c>
      <c r="B925" s="66">
        <v>210.0</v>
      </c>
      <c r="C925" s="66">
        <v>79.0</v>
      </c>
      <c r="D925" s="66">
        <v>3.0</v>
      </c>
      <c r="E925" s="66">
        <v>9.0</v>
      </c>
      <c r="F925" s="66">
        <v>487.0</v>
      </c>
      <c r="G925" s="141">
        <v>113022.0</v>
      </c>
      <c r="H925" s="66">
        <v>2.0</v>
      </c>
      <c r="I925" s="132">
        <v>23367.91</v>
      </c>
      <c r="J925" s="133">
        <v>84.18</v>
      </c>
      <c r="K925" s="142">
        <v>98.0</v>
      </c>
      <c r="L925" s="111">
        <v>20.0</v>
      </c>
      <c r="M925" s="70">
        <v>1230.0</v>
      </c>
      <c r="N925" s="24" t="s">
        <v>5022</v>
      </c>
    </row>
    <row r="926">
      <c r="A926" s="66">
        <v>7922.0</v>
      </c>
      <c r="B926" s="66">
        <v>205.0</v>
      </c>
      <c r="C926" s="66">
        <v>58.0</v>
      </c>
      <c r="D926" s="66">
        <v>9.0</v>
      </c>
      <c r="E926" s="66">
        <v>2.0</v>
      </c>
      <c r="F926" s="66">
        <v>994.0</v>
      </c>
      <c r="G926" s="141">
        <v>63093.0</v>
      </c>
      <c r="H926" s="66">
        <v>9.0</v>
      </c>
      <c r="I926" s="132">
        <v>93.57</v>
      </c>
      <c r="J926" s="133">
        <v>46343.46</v>
      </c>
      <c r="K926" s="142">
        <v>22.0</v>
      </c>
      <c r="L926" s="111">
        <v>20.0</v>
      </c>
      <c r="M926" s="70">
        <v>1530.0</v>
      </c>
      <c r="N926" s="24" t="s">
        <v>5023</v>
      </c>
    </row>
    <row r="927">
      <c r="A927" s="66">
        <v>7923.0</v>
      </c>
      <c r="B927" s="66">
        <v>202.0</v>
      </c>
      <c r="C927" s="66">
        <v>38.0</v>
      </c>
      <c r="D927" s="66">
        <v>4.0</v>
      </c>
      <c r="E927" s="66">
        <v>5.0</v>
      </c>
      <c r="F927" s="66">
        <v>933.0</v>
      </c>
      <c r="G927" s="141">
        <v>43091.0</v>
      </c>
      <c r="H927" s="66">
        <v>1.0</v>
      </c>
      <c r="I927" s="132">
        <v>12.78</v>
      </c>
      <c r="J927" s="133">
        <v>386.27</v>
      </c>
      <c r="K927" s="142">
        <v>33.0</v>
      </c>
      <c r="L927" s="111">
        <v>22.0</v>
      </c>
      <c r="M927" s="70">
        <v>600.0</v>
      </c>
      <c r="N927" s="24" t="s">
        <v>5024</v>
      </c>
    </row>
    <row r="928">
      <c r="A928" s="66">
        <v>7924.0</v>
      </c>
      <c r="B928" s="66">
        <v>213.0</v>
      </c>
      <c r="C928" s="66">
        <v>79.0</v>
      </c>
      <c r="D928" s="66">
        <v>4.0</v>
      </c>
      <c r="E928" s="66">
        <v>1.0</v>
      </c>
      <c r="F928" s="66">
        <v>499.0</v>
      </c>
      <c r="G928" s="141">
        <v>13104.0</v>
      </c>
      <c r="H928" s="66">
        <v>5.0</v>
      </c>
      <c r="I928" s="132">
        <v>60.72</v>
      </c>
      <c r="J928" s="133">
        <v>20.75</v>
      </c>
      <c r="K928" s="142">
        <v>57.0</v>
      </c>
      <c r="L928" s="111">
        <v>23.0</v>
      </c>
      <c r="M928" s="70">
        <v>700.0</v>
      </c>
      <c r="N928" s="24" t="s">
        <v>5025</v>
      </c>
    </row>
    <row r="929">
      <c r="A929" s="66">
        <v>7925.0</v>
      </c>
      <c r="B929" s="66">
        <v>211.0</v>
      </c>
      <c r="C929" s="66">
        <v>58.0</v>
      </c>
      <c r="D929" s="66">
        <v>9.0</v>
      </c>
      <c r="E929" s="66">
        <v>4.0</v>
      </c>
      <c r="F929" s="66">
        <v>848.0</v>
      </c>
      <c r="G929" s="141">
        <v>22916.0</v>
      </c>
      <c r="H929" s="66">
        <v>7.0</v>
      </c>
      <c r="I929" s="132">
        <v>96667.61</v>
      </c>
      <c r="J929" s="133">
        <v>-16790.66</v>
      </c>
      <c r="K929" s="142">
        <v>2.0</v>
      </c>
      <c r="L929" s="111">
        <v>22.0</v>
      </c>
      <c r="M929" s="70">
        <v>2300.0</v>
      </c>
      <c r="N929" s="24" t="s">
        <v>5026</v>
      </c>
    </row>
    <row r="930">
      <c r="A930" s="66">
        <v>7926.0</v>
      </c>
      <c r="B930" s="66">
        <v>218.0</v>
      </c>
      <c r="C930" s="66">
        <v>99.0</v>
      </c>
      <c r="D930" s="66">
        <v>9.0</v>
      </c>
      <c r="E930" s="66">
        <v>3.0</v>
      </c>
      <c r="F930" s="66">
        <v>636.0</v>
      </c>
      <c r="G930" s="141">
        <v>13111.0</v>
      </c>
      <c r="H930" s="66">
        <v>5.0</v>
      </c>
      <c r="I930" s="132">
        <v>-5686.43</v>
      </c>
      <c r="J930" s="133">
        <v>3563.48</v>
      </c>
      <c r="K930" s="142">
        <v>10.0</v>
      </c>
      <c r="L930" s="111">
        <v>20.0</v>
      </c>
      <c r="M930" s="70">
        <v>530.0</v>
      </c>
      <c r="N930" s="24" t="s">
        <v>4580</v>
      </c>
    </row>
    <row r="931">
      <c r="A931" s="66">
        <v>7927.0</v>
      </c>
      <c r="B931" s="66">
        <v>217.0</v>
      </c>
      <c r="C931" s="66">
        <v>58.0</v>
      </c>
      <c r="D931" s="66">
        <v>9.0</v>
      </c>
      <c r="E931" s="66">
        <v>8.0</v>
      </c>
      <c r="F931" s="66">
        <v>230.0</v>
      </c>
      <c r="G931" s="141">
        <v>63005.0</v>
      </c>
      <c r="H931" s="66">
        <v>5.0</v>
      </c>
      <c r="I931" s="132">
        <v>49943.88</v>
      </c>
      <c r="J931" s="133">
        <v>32.8</v>
      </c>
      <c r="K931" s="142">
        <v>45.0</v>
      </c>
      <c r="L931" s="111">
        <v>20.0</v>
      </c>
      <c r="M931" s="70">
        <v>1530.0</v>
      </c>
      <c r="N931" s="24" t="s">
        <v>5027</v>
      </c>
    </row>
    <row r="932">
      <c r="A932" s="66">
        <v>7928.0</v>
      </c>
      <c r="B932" s="66">
        <v>215.0</v>
      </c>
      <c r="C932" s="66">
        <v>99.0</v>
      </c>
      <c r="D932" s="66">
        <v>9.0</v>
      </c>
      <c r="E932" s="66">
        <v>5.0</v>
      </c>
      <c r="F932" s="66">
        <v>344.0</v>
      </c>
      <c r="G932" s="141">
        <v>22920.0</v>
      </c>
      <c r="H932" s="66">
        <v>2.0</v>
      </c>
      <c r="I932" s="132">
        <v>7926.22</v>
      </c>
      <c r="J932" s="133">
        <v>834.4</v>
      </c>
      <c r="K932" s="142">
        <v>9.0</v>
      </c>
      <c r="L932" s="111">
        <v>22.0</v>
      </c>
      <c r="M932" s="70">
        <v>200.0</v>
      </c>
      <c r="N932" s="24" t="s">
        <v>5028</v>
      </c>
    </row>
    <row r="933">
      <c r="A933" s="66">
        <v>7929.0</v>
      </c>
      <c r="B933" s="66">
        <v>213.0</v>
      </c>
      <c r="C933" s="66">
        <v>38.0</v>
      </c>
      <c r="D933" s="66">
        <v>5.0</v>
      </c>
      <c r="E933" s="66">
        <v>6.0</v>
      </c>
      <c r="F933" s="66">
        <v>576.0</v>
      </c>
      <c r="G933" s="141">
        <v>83108.0</v>
      </c>
      <c r="H933" s="66">
        <v>4.0</v>
      </c>
      <c r="I933" s="132">
        <v>44426.65</v>
      </c>
      <c r="J933" s="133">
        <v>17556.81</v>
      </c>
      <c r="K933" s="142">
        <v>92.0</v>
      </c>
      <c r="L933" s="111">
        <v>21.0</v>
      </c>
      <c r="M933" s="70">
        <v>1230.0</v>
      </c>
      <c r="N933" s="24" t="s">
        <v>5029</v>
      </c>
    </row>
    <row r="934">
      <c r="A934" s="66">
        <v>7930.0</v>
      </c>
      <c r="B934" s="66">
        <v>202.0</v>
      </c>
      <c r="C934" s="66">
        <v>38.0</v>
      </c>
      <c r="D934" s="66">
        <v>5.0</v>
      </c>
      <c r="E934" s="66">
        <v>9.0</v>
      </c>
      <c r="F934" s="66">
        <v>573.0</v>
      </c>
      <c r="G934" s="141">
        <v>33112.0</v>
      </c>
      <c r="H934" s="66">
        <v>1.0</v>
      </c>
      <c r="I934" s="132">
        <v>-908.68</v>
      </c>
      <c r="J934" s="133">
        <v>-1855.76</v>
      </c>
      <c r="K934" s="142">
        <v>64.0</v>
      </c>
      <c r="L934" s="111">
        <v>23.0</v>
      </c>
      <c r="M934" s="70">
        <v>700.0</v>
      </c>
      <c r="N934" s="24" t="s">
        <v>5030</v>
      </c>
    </row>
    <row r="935">
      <c r="A935" s="66">
        <v>7931.0</v>
      </c>
      <c r="B935" s="66">
        <v>209.0</v>
      </c>
      <c r="C935" s="66">
        <v>18.0</v>
      </c>
      <c r="D935" s="66">
        <v>1.0</v>
      </c>
      <c r="E935" s="66">
        <v>2.0</v>
      </c>
      <c r="F935" s="66">
        <v>397.0</v>
      </c>
      <c r="G935" s="141">
        <v>63009.0</v>
      </c>
      <c r="H935" s="66">
        <v>9.0</v>
      </c>
      <c r="I935" s="132">
        <v>4830.59</v>
      </c>
      <c r="J935" s="133">
        <v>68685.42</v>
      </c>
      <c r="K935" s="142">
        <v>97.0</v>
      </c>
      <c r="L935" s="111">
        <v>21.0</v>
      </c>
      <c r="M935" s="70">
        <v>300.0</v>
      </c>
      <c r="N935" s="24" t="s">
        <v>5031</v>
      </c>
    </row>
    <row r="936">
      <c r="A936" s="66">
        <v>7932.0</v>
      </c>
      <c r="B936" s="66">
        <v>218.0</v>
      </c>
      <c r="C936" s="66">
        <v>18.0</v>
      </c>
      <c r="D936" s="66">
        <v>1.0</v>
      </c>
      <c r="E936" s="66">
        <v>3.0</v>
      </c>
      <c r="F936" s="66">
        <v>236.0</v>
      </c>
      <c r="G936" s="141">
        <v>53118.0</v>
      </c>
      <c r="H936" s="66">
        <v>9.0</v>
      </c>
      <c r="I936" s="132">
        <v>-1195.51</v>
      </c>
      <c r="J936" s="133">
        <v>72.78</v>
      </c>
      <c r="K936" s="142">
        <v>57.0</v>
      </c>
      <c r="L936" s="111">
        <v>23.0</v>
      </c>
      <c r="M936" s="70">
        <v>100.0</v>
      </c>
      <c r="N936" s="24" t="s">
        <v>5032</v>
      </c>
    </row>
    <row r="937">
      <c r="A937" s="66">
        <v>7933.0</v>
      </c>
      <c r="B937" s="66">
        <v>217.0</v>
      </c>
      <c r="C937" s="66">
        <v>79.0</v>
      </c>
      <c r="D937" s="66">
        <v>5.0</v>
      </c>
      <c r="E937" s="66">
        <v>7.0</v>
      </c>
      <c r="F937" s="66">
        <v>529.0</v>
      </c>
      <c r="G937" s="141">
        <v>53190.0</v>
      </c>
      <c r="H937" s="66">
        <v>9.0</v>
      </c>
      <c r="I937" s="132">
        <v>52.28</v>
      </c>
      <c r="J937" s="133">
        <v>854.26</v>
      </c>
      <c r="K937" s="142">
        <v>48.0</v>
      </c>
      <c r="L937" s="111">
        <v>20.0</v>
      </c>
      <c r="M937" s="70">
        <v>1100.0</v>
      </c>
      <c r="N937" s="24" t="s">
        <v>5033</v>
      </c>
    </row>
    <row r="938">
      <c r="A938" s="66">
        <v>7934.0</v>
      </c>
      <c r="B938" s="66">
        <v>220.0</v>
      </c>
      <c r="C938" s="66">
        <v>59.0</v>
      </c>
      <c r="D938" s="66">
        <v>1.0</v>
      </c>
      <c r="E938" s="66">
        <v>3.0</v>
      </c>
      <c r="F938" s="66">
        <v>160.0</v>
      </c>
      <c r="G938" s="141">
        <v>53106.0</v>
      </c>
      <c r="H938" s="66">
        <v>6.0</v>
      </c>
      <c r="I938" s="132">
        <v>117.36</v>
      </c>
      <c r="J938" s="133">
        <v>687.9</v>
      </c>
      <c r="K938" s="142">
        <v>69.0</v>
      </c>
      <c r="L938" s="111">
        <v>20.0</v>
      </c>
      <c r="M938" s="70">
        <v>1500.0</v>
      </c>
      <c r="N938" s="24" t="s">
        <v>5034</v>
      </c>
    </row>
    <row r="939">
      <c r="A939" s="66">
        <v>7935.0</v>
      </c>
      <c r="B939" s="66">
        <v>215.0</v>
      </c>
      <c r="C939" s="66">
        <v>38.0</v>
      </c>
      <c r="D939" s="66">
        <v>6.0</v>
      </c>
      <c r="E939" s="66">
        <v>9.0</v>
      </c>
      <c r="F939" s="66">
        <v>716.0</v>
      </c>
      <c r="G939" s="141">
        <v>13108.0</v>
      </c>
      <c r="H939" s="66">
        <v>5.0</v>
      </c>
      <c r="I939" s="132">
        <v>-10.91</v>
      </c>
      <c r="J939" s="133">
        <v>-76.4</v>
      </c>
      <c r="K939" s="142">
        <v>67.0</v>
      </c>
      <c r="L939" s="111">
        <v>23.0</v>
      </c>
      <c r="M939" s="70">
        <v>1900.0</v>
      </c>
      <c r="N939" s="24" t="s">
        <v>4295</v>
      </c>
    </row>
    <row r="940">
      <c r="A940" s="66">
        <v>7936.0</v>
      </c>
      <c r="B940" s="66">
        <v>218.0</v>
      </c>
      <c r="C940" s="66">
        <v>38.0</v>
      </c>
      <c r="D940" s="66">
        <v>7.0</v>
      </c>
      <c r="E940" s="66">
        <v>2.0</v>
      </c>
      <c r="F940" s="66">
        <v>467.0</v>
      </c>
      <c r="G940" s="141">
        <v>83110.0</v>
      </c>
      <c r="H940" s="66">
        <v>6.0</v>
      </c>
      <c r="I940" s="132">
        <v>-729.68</v>
      </c>
      <c r="J940" s="133">
        <v>-73504.98</v>
      </c>
      <c r="K940" s="142">
        <v>14.0</v>
      </c>
      <c r="L940" s="111">
        <v>20.0</v>
      </c>
      <c r="M940" s="70">
        <v>1300.0</v>
      </c>
      <c r="N940" s="24" t="s">
        <v>5035</v>
      </c>
    </row>
    <row r="941">
      <c r="A941" s="66">
        <v>7937.0</v>
      </c>
      <c r="B941" s="66">
        <v>220.0</v>
      </c>
      <c r="C941" s="66">
        <v>79.0</v>
      </c>
      <c r="D941" s="66">
        <v>6.0</v>
      </c>
      <c r="E941" s="66">
        <v>8.0</v>
      </c>
      <c r="F941" s="66">
        <v>787.0</v>
      </c>
      <c r="G941" s="141">
        <v>83193.0</v>
      </c>
      <c r="H941" s="66">
        <v>5.0</v>
      </c>
      <c r="I941" s="132">
        <v>63.2</v>
      </c>
      <c r="J941" s="133">
        <v>-897.94</v>
      </c>
      <c r="K941" s="142">
        <v>59.0</v>
      </c>
      <c r="L941" s="111">
        <v>22.0</v>
      </c>
      <c r="M941" s="70">
        <v>230.0</v>
      </c>
      <c r="N941" s="24" t="s">
        <v>4170</v>
      </c>
    </row>
    <row r="942">
      <c r="A942" s="66">
        <v>7938.0</v>
      </c>
      <c r="B942" s="66">
        <v>207.0</v>
      </c>
      <c r="C942" s="66">
        <v>59.0</v>
      </c>
      <c r="D942" s="66">
        <v>2.0</v>
      </c>
      <c r="E942" s="66">
        <v>2.0</v>
      </c>
      <c r="F942" s="66">
        <v>971.0</v>
      </c>
      <c r="G942" s="141">
        <v>13105.0</v>
      </c>
      <c r="H942" s="66">
        <v>7.0</v>
      </c>
      <c r="I942" s="132">
        <v>1916.28</v>
      </c>
      <c r="J942" s="133">
        <v>-39.88</v>
      </c>
      <c r="K942" s="142">
        <v>29.0</v>
      </c>
      <c r="L942" s="111">
        <v>22.0</v>
      </c>
      <c r="M942" s="70">
        <v>1830.0</v>
      </c>
      <c r="N942" s="24" t="s">
        <v>5036</v>
      </c>
    </row>
    <row r="943">
      <c r="A943" s="66">
        <v>7939.0</v>
      </c>
      <c r="B943" s="66">
        <v>220.0</v>
      </c>
      <c r="C943" s="66">
        <v>59.0</v>
      </c>
      <c r="D943" s="66">
        <v>2.0</v>
      </c>
      <c r="E943" s="66">
        <v>5.0</v>
      </c>
      <c r="F943" s="66">
        <v>667.0</v>
      </c>
      <c r="G943" s="141">
        <v>93002.0</v>
      </c>
      <c r="H943" s="66">
        <v>9.0</v>
      </c>
      <c r="I943" s="132">
        <v>-24086.88</v>
      </c>
      <c r="J943" s="133">
        <v>-858.52</v>
      </c>
      <c r="K943" s="142">
        <v>60.0</v>
      </c>
      <c r="L943" s="111">
        <v>23.0</v>
      </c>
      <c r="M943" s="70">
        <v>1130.0</v>
      </c>
      <c r="N943" s="24" t="s">
        <v>5037</v>
      </c>
    </row>
    <row r="944">
      <c r="A944" s="66">
        <v>7940.0</v>
      </c>
      <c r="B944" s="66">
        <v>202.0</v>
      </c>
      <c r="C944" s="66">
        <v>38.0</v>
      </c>
      <c r="D944" s="66">
        <v>7.0</v>
      </c>
      <c r="E944" s="66">
        <v>7.0</v>
      </c>
      <c r="F944" s="66">
        <v>194.0</v>
      </c>
      <c r="G944" s="141">
        <v>33101.0</v>
      </c>
      <c r="H944" s="66">
        <v>2.0</v>
      </c>
      <c r="I944" s="132">
        <v>24103.82</v>
      </c>
      <c r="J944" s="133">
        <v>-1669.24</v>
      </c>
      <c r="K944" s="142">
        <v>42.0</v>
      </c>
      <c r="L944" s="111">
        <v>20.0</v>
      </c>
      <c r="M944" s="70">
        <v>800.0</v>
      </c>
      <c r="N944" s="24" t="s">
        <v>5038</v>
      </c>
    </row>
    <row r="945">
      <c r="A945" s="66">
        <v>7941.0</v>
      </c>
      <c r="B945" s="66">
        <v>211.0</v>
      </c>
      <c r="C945" s="66">
        <v>79.0</v>
      </c>
      <c r="D945" s="66">
        <v>7.0</v>
      </c>
      <c r="E945" s="66">
        <v>6.0</v>
      </c>
      <c r="F945" s="66">
        <v>381.0</v>
      </c>
      <c r="G945" s="141">
        <v>33197.0</v>
      </c>
      <c r="H945" s="66">
        <v>6.0</v>
      </c>
      <c r="I945" s="132">
        <v>594.86</v>
      </c>
      <c r="J945" s="133">
        <v>12047.9</v>
      </c>
      <c r="K945" s="142">
        <v>29.0</v>
      </c>
      <c r="L945" s="111">
        <v>21.0</v>
      </c>
      <c r="M945" s="70">
        <v>1930.0</v>
      </c>
      <c r="N945" s="24" t="s">
        <v>5039</v>
      </c>
    </row>
    <row r="946">
      <c r="A946" s="66">
        <v>7942.0</v>
      </c>
      <c r="B946" s="66">
        <v>219.0</v>
      </c>
      <c r="C946" s="66">
        <v>59.0</v>
      </c>
      <c r="D946" s="66">
        <v>3.0</v>
      </c>
      <c r="E946" s="66">
        <v>2.0</v>
      </c>
      <c r="F946" s="66">
        <v>627.0</v>
      </c>
      <c r="G946" s="141">
        <v>113094.0</v>
      </c>
      <c r="H946" s="66">
        <v>6.0</v>
      </c>
      <c r="I946" s="132">
        <v>71.45</v>
      </c>
      <c r="J946" s="133">
        <v>276.78</v>
      </c>
      <c r="K946" s="142">
        <v>44.0</v>
      </c>
      <c r="L946" s="111">
        <v>21.0</v>
      </c>
      <c r="M946" s="70">
        <v>2100.0</v>
      </c>
      <c r="N946" s="24" t="s">
        <v>5040</v>
      </c>
    </row>
    <row r="947">
      <c r="A947" s="66">
        <v>7943.0</v>
      </c>
      <c r="B947" s="66">
        <v>216.0</v>
      </c>
      <c r="C947" s="66">
        <v>18.0</v>
      </c>
      <c r="D947" s="66">
        <v>3.0</v>
      </c>
      <c r="E947" s="66">
        <v>7.0</v>
      </c>
      <c r="F947" s="66">
        <v>689.0</v>
      </c>
      <c r="G947" s="141">
        <v>83121.0</v>
      </c>
      <c r="H947" s="66">
        <v>8.0</v>
      </c>
      <c r="I947" s="132">
        <v>31.45</v>
      </c>
      <c r="J947" s="133">
        <v>852.59</v>
      </c>
      <c r="K947" s="142">
        <v>5.0</v>
      </c>
      <c r="L947" s="111">
        <v>20.0</v>
      </c>
      <c r="M947" s="70">
        <v>1030.0</v>
      </c>
      <c r="N947" s="24" t="s">
        <v>5041</v>
      </c>
    </row>
    <row r="948">
      <c r="A948" s="66">
        <v>7944.0</v>
      </c>
      <c r="B948" s="66">
        <v>216.0</v>
      </c>
      <c r="C948" s="66">
        <v>38.0</v>
      </c>
      <c r="D948" s="66">
        <v>8.0</v>
      </c>
      <c r="E948" s="66">
        <v>9.0</v>
      </c>
      <c r="F948" s="66">
        <v>481.0</v>
      </c>
      <c r="G948" s="141">
        <v>73101.0</v>
      </c>
      <c r="H948" s="66">
        <v>8.0</v>
      </c>
      <c r="I948" s="132">
        <v>26.56</v>
      </c>
      <c r="J948" s="133">
        <v>36.58</v>
      </c>
      <c r="K948" s="142">
        <v>80.0</v>
      </c>
      <c r="L948" s="111">
        <v>20.0</v>
      </c>
      <c r="M948" s="70">
        <v>300.0</v>
      </c>
      <c r="N948" s="24" t="s">
        <v>5042</v>
      </c>
    </row>
    <row r="949">
      <c r="A949" s="66">
        <v>7945.0</v>
      </c>
      <c r="B949" s="66">
        <v>205.0</v>
      </c>
      <c r="C949" s="66">
        <v>59.0</v>
      </c>
      <c r="D949" s="66">
        <v>3.0</v>
      </c>
      <c r="E949" s="66">
        <v>8.0</v>
      </c>
      <c r="F949" s="66">
        <v>774.0</v>
      </c>
      <c r="G949" s="141">
        <v>13116.0</v>
      </c>
      <c r="H949" s="66">
        <v>8.0</v>
      </c>
      <c r="I949" s="132">
        <v>-13.3</v>
      </c>
      <c r="J949" s="133">
        <v>-1817.11</v>
      </c>
      <c r="K949" s="142">
        <v>43.0</v>
      </c>
      <c r="L949" s="111">
        <v>21.0</v>
      </c>
      <c r="M949" s="70">
        <v>1200.0</v>
      </c>
      <c r="N949" s="24" t="s">
        <v>5043</v>
      </c>
    </row>
    <row r="950">
      <c r="A950" s="66">
        <v>7946.0</v>
      </c>
      <c r="B950" s="66">
        <v>203.0</v>
      </c>
      <c r="C950" s="66">
        <v>59.0</v>
      </c>
      <c r="D950" s="66">
        <v>3.0</v>
      </c>
      <c r="E950" s="66">
        <v>9.0</v>
      </c>
      <c r="F950" s="66">
        <v>690.0</v>
      </c>
      <c r="G950" s="141">
        <v>73107.0</v>
      </c>
      <c r="H950" s="66">
        <v>8.0</v>
      </c>
      <c r="I950" s="132">
        <v>33.55</v>
      </c>
      <c r="J950" s="133">
        <v>7199.16</v>
      </c>
      <c r="K950" s="142">
        <v>20.0</v>
      </c>
      <c r="L950" s="111">
        <v>22.0</v>
      </c>
      <c r="M950" s="70">
        <v>800.0</v>
      </c>
      <c r="N950" s="24" t="s">
        <v>5044</v>
      </c>
    </row>
    <row r="951">
      <c r="A951" s="66">
        <v>7947.0</v>
      </c>
      <c r="B951" s="66">
        <v>206.0</v>
      </c>
      <c r="C951" s="66">
        <v>59.0</v>
      </c>
      <c r="D951" s="66">
        <v>3.0</v>
      </c>
      <c r="E951" s="66">
        <v>7.0</v>
      </c>
      <c r="F951" s="66">
        <v>834.0</v>
      </c>
      <c r="G951" s="141">
        <v>73120.0</v>
      </c>
      <c r="H951" s="66">
        <v>6.0</v>
      </c>
      <c r="I951" s="132">
        <v>1847.5</v>
      </c>
      <c r="J951" s="133">
        <v>9090.9</v>
      </c>
      <c r="K951" s="142">
        <v>3.0</v>
      </c>
      <c r="L951" s="111">
        <v>23.0</v>
      </c>
      <c r="M951" s="70">
        <v>1930.0</v>
      </c>
      <c r="N951" s="24" t="s">
        <v>5045</v>
      </c>
    </row>
    <row r="952">
      <c r="A952" s="66">
        <v>7948.0</v>
      </c>
      <c r="B952" s="66">
        <v>203.0</v>
      </c>
      <c r="C952" s="66">
        <v>79.0</v>
      </c>
      <c r="D952" s="66">
        <v>9.0</v>
      </c>
      <c r="E952" s="66">
        <v>1.0</v>
      </c>
      <c r="F952" s="66">
        <v>750.0</v>
      </c>
      <c r="G952" s="141">
        <v>103117.0</v>
      </c>
      <c r="H952" s="66">
        <v>9.0</v>
      </c>
      <c r="I952" s="132">
        <v>-27.5</v>
      </c>
      <c r="J952" s="133">
        <v>6212.22</v>
      </c>
      <c r="K952" s="142">
        <v>47.0</v>
      </c>
      <c r="L952" s="111">
        <v>23.0</v>
      </c>
      <c r="M952" s="70">
        <v>1030.0</v>
      </c>
      <c r="N952" s="24" t="s">
        <v>5046</v>
      </c>
    </row>
    <row r="953">
      <c r="A953" s="66">
        <v>7949.0</v>
      </c>
      <c r="B953" s="66">
        <v>217.0</v>
      </c>
      <c r="C953" s="66">
        <v>38.0</v>
      </c>
      <c r="D953" s="66">
        <v>9.0</v>
      </c>
      <c r="E953" s="66">
        <v>6.0</v>
      </c>
      <c r="F953" s="66">
        <v>422.0</v>
      </c>
      <c r="G953" s="141">
        <v>63019.0</v>
      </c>
      <c r="H953" s="66">
        <v>7.0</v>
      </c>
      <c r="I953" s="132">
        <v>89.59</v>
      </c>
      <c r="J953" s="133">
        <v>-45.91</v>
      </c>
      <c r="K953" s="142">
        <v>17.0</v>
      </c>
      <c r="L953" s="111">
        <v>23.0</v>
      </c>
      <c r="M953" s="70">
        <v>930.0</v>
      </c>
      <c r="N953" s="24" t="s">
        <v>5047</v>
      </c>
    </row>
    <row r="954">
      <c r="A954" s="66">
        <v>7950.0</v>
      </c>
      <c r="B954" s="66">
        <v>206.0</v>
      </c>
      <c r="C954" s="66">
        <v>18.0</v>
      </c>
      <c r="D954" s="66">
        <v>5.0</v>
      </c>
      <c r="E954" s="66">
        <v>2.0</v>
      </c>
      <c r="F954" s="66">
        <v>144.0</v>
      </c>
      <c r="G954" s="141">
        <v>43000.0</v>
      </c>
      <c r="H954" s="66">
        <v>2.0</v>
      </c>
      <c r="I954" s="132">
        <v>939.62</v>
      </c>
      <c r="J954" s="133">
        <v>54.67</v>
      </c>
      <c r="K954" s="142">
        <v>37.0</v>
      </c>
      <c r="L954" s="111">
        <v>20.0</v>
      </c>
      <c r="M954" s="70">
        <v>1230.0</v>
      </c>
      <c r="N954" s="24" t="s">
        <v>5048</v>
      </c>
    </row>
    <row r="955">
      <c r="A955" s="66">
        <v>7951.0</v>
      </c>
      <c r="B955" s="66">
        <v>211.0</v>
      </c>
      <c r="C955" s="66">
        <v>79.0</v>
      </c>
      <c r="D955" s="66">
        <v>9.0</v>
      </c>
      <c r="E955" s="66">
        <v>9.0</v>
      </c>
      <c r="F955" s="66">
        <v>186.0</v>
      </c>
      <c r="G955" s="141">
        <v>43090.0</v>
      </c>
      <c r="H955" s="66">
        <v>4.0</v>
      </c>
      <c r="I955" s="132">
        <v>-57.6</v>
      </c>
      <c r="J955" s="133">
        <v>-85.8</v>
      </c>
      <c r="K955" s="142">
        <v>75.0</v>
      </c>
      <c r="L955" s="111">
        <v>23.0</v>
      </c>
      <c r="M955" s="70">
        <v>400.0</v>
      </c>
      <c r="N955" s="24" t="s">
        <v>5049</v>
      </c>
    </row>
    <row r="956">
      <c r="A956" s="66">
        <v>7952.0</v>
      </c>
      <c r="B956" s="66">
        <v>217.0</v>
      </c>
      <c r="C956" s="66">
        <v>59.0</v>
      </c>
      <c r="D956" s="66">
        <v>5.0</v>
      </c>
      <c r="E956" s="66">
        <v>4.0</v>
      </c>
      <c r="F956" s="66">
        <v>799.0</v>
      </c>
      <c r="G956" s="141">
        <v>103194.0</v>
      </c>
      <c r="H956" s="66">
        <v>5.0</v>
      </c>
      <c r="I956" s="132">
        <v>66.92</v>
      </c>
      <c r="J956" s="133">
        <v>-15359.41</v>
      </c>
      <c r="K956" s="142">
        <v>66.0</v>
      </c>
      <c r="L956" s="111">
        <v>22.0</v>
      </c>
      <c r="M956" s="70">
        <v>1400.0</v>
      </c>
      <c r="N956" s="24" t="s">
        <v>5050</v>
      </c>
    </row>
    <row r="957">
      <c r="A957" s="66">
        <v>7953.0</v>
      </c>
      <c r="B957" s="66">
        <v>210.0</v>
      </c>
      <c r="C957" s="66">
        <v>18.0</v>
      </c>
      <c r="D957" s="66">
        <v>6.0</v>
      </c>
      <c r="E957" s="66">
        <v>1.0</v>
      </c>
      <c r="F957" s="66">
        <v>633.0</v>
      </c>
      <c r="G957" s="141">
        <v>43099.0</v>
      </c>
      <c r="H957" s="66">
        <v>1.0</v>
      </c>
      <c r="I957" s="132">
        <v>3830.14</v>
      </c>
      <c r="J957" s="133">
        <v>2174.5</v>
      </c>
      <c r="K957" s="142">
        <v>53.0</v>
      </c>
      <c r="L957" s="111">
        <v>21.0</v>
      </c>
      <c r="M957" s="70">
        <v>2030.0</v>
      </c>
      <c r="N957" s="24" t="s">
        <v>5051</v>
      </c>
    </row>
    <row r="958">
      <c r="A958" s="66">
        <v>7954.0</v>
      </c>
      <c r="B958" s="66">
        <v>216.0</v>
      </c>
      <c r="C958" s="66">
        <v>18.0</v>
      </c>
      <c r="D958" s="66">
        <v>6.0</v>
      </c>
      <c r="E958" s="66">
        <v>3.0</v>
      </c>
      <c r="F958" s="66">
        <v>507.0</v>
      </c>
      <c r="G958" s="141">
        <v>83107.0</v>
      </c>
      <c r="H958" s="66">
        <v>9.0</v>
      </c>
      <c r="I958" s="132">
        <v>56313.53</v>
      </c>
      <c r="J958" s="133">
        <v>-630.99</v>
      </c>
      <c r="K958" s="142">
        <v>90.0</v>
      </c>
      <c r="L958" s="111">
        <v>22.0</v>
      </c>
      <c r="M958" s="70">
        <v>2230.0</v>
      </c>
      <c r="N958" s="24" t="s">
        <v>5052</v>
      </c>
    </row>
    <row r="959">
      <c r="A959" s="66">
        <v>7955.0</v>
      </c>
      <c r="B959" s="66">
        <v>208.0</v>
      </c>
      <c r="C959" s="66">
        <v>39.0</v>
      </c>
      <c r="D959" s="66">
        <v>1.0</v>
      </c>
      <c r="E959" s="66">
        <v>1.0</v>
      </c>
      <c r="F959" s="66">
        <v>813.0</v>
      </c>
      <c r="G959" s="141">
        <v>113017.0</v>
      </c>
      <c r="H959" s="66">
        <v>8.0</v>
      </c>
      <c r="I959" s="132">
        <v>9821.5</v>
      </c>
      <c r="J959" s="133">
        <v>-6890.87</v>
      </c>
      <c r="K959" s="142">
        <v>59.0</v>
      </c>
      <c r="L959" s="111">
        <v>22.0</v>
      </c>
      <c r="M959" s="70">
        <v>1030.0</v>
      </c>
      <c r="N959" s="24" t="s">
        <v>5053</v>
      </c>
    </row>
    <row r="960">
      <c r="A960" s="66">
        <v>7956.0</v>
      </c>
      <c r="B960" s="66">
        <v>205.0</v>
      </c>
      <c r="C960" s="66">
        <v>18.0</v>
      </c>
      <c r="D960" s="66">
        <v>6.0</v>
      </c>
      <c r="E960" s="66">
        <v>8.0</v>
      </c>
      <c r="F960" s="66">
        <v>798.0</v>
      </c>
      <c r="G960" s="141">
        <v>83116.0</v>
      </c>
      <c r="H960" s="66">
        <v>5.0</v>
      </c>
      <c r="I960" s="132">
        <v>52561.43</v>
      </c>
      <c r="J960" s="133">
        <v>50.9</v>
      </c>
      <c r="K960" s="142">
        <v>57.0</v>
      </c>
      <c r="L960" s="111">
        <v>20.0</v>
      </c>
      <c r="M960" s="70">
        <v>500.0</v>
      </c>
      <c r="N960" s="24" t="s">
        <v>5054</v>
      </c>
    </row>
    <row r="961">
      <c r="A961" s="66">
        <v>7957.0</v>
      </c>
      <c r="B961" s="66">
        <v>214.0</v>
      </c>
      <c r="C961" s="66">
        <v>59.0</v>
      </c>
      <c r="D961" s="66">
        <v>7.0</v>
      </c>
      <c r="E961" s="66">
        <v>1.0</v>
      </c>
      <c r="F961" s="66">
        <v>163.0</v>
      </c>
      <c r="G961" s="141">
        <v>33118.0</v>
      </c>
      <c r="H961" s="66">
        <v>8.0</v>
      </c>
      <c r="I961" s="132">
        <v>501.65</v>
      </c>
      <c r="J961" s="133">
        <v>7573.94</v>
      </c>
      <c r="K961" s="142">
        <v>6.0</v>
      </c>
      <c r="L961" s="111">
        <v>21.0</v>
      </c>
      <c r="M961" s="70">
        <v>730.0</v>
      </c>
      <c r="N961" s="24" t="s">
        <v>5055</v>
      </c>
    </row>
    <row r="962">
      <c r="A962" s="66">
        <v>7958.0</v>
      </c>
      <c r="B962" s="66">
        <v>214.0</v>
      </c>
      <c r="C962" s="66">
        <v>18.0</v>
      </c>
      <c r="D962" s="66">
        <v>7.0</v>
      </c>
      <c r="E962" s="66">
        <v>6.0</v>
      </c>
      <c r="F962" s="66">
        <v>511.0</v>
      </c>
      <c r="G962" s="141">
        <v>43011.0</v>
      </c>
      <c r="H962" s="66">
        <v>7.0</v>
      </c>
      <c r="I962" s="132">
        <v>-728.34</v>
      </c>
      <c r="J962" s="133">
        <v>-15464.11</v>
      </c>
      <c r="K962" s="142">
        <v>39.0</v>
      </c>
      <c r="L962" s="111">
        <v>20.0</v>
      </c>
      <c r="M962" s="70">
        <v>930.0</v>
      </c>
      <c r="N962" s="24" t="s">
        <v>5056</v>
      </c>
    </row>
    <row r="963">
      <c r="A963" s="66">
        <v>7959.0</v>
      </c>
      <c r="B963" s="66">
        <v>214.0</v>
      </c>
      <c r="C963" s="66">
        <v>18.0</v>
      </c>
      <c r="D963" s="66">
        <v>7.0</v>
      </c>
      <c r="E963" s="66">
        <v>9.0</v>
      </c>
      <c r="F963" s="66">
        <v>965.0</v>
      </c>
      <c r="G963" s="141">
        <v>93098.0</v>
      </c>
      <c r="H963" s="66">
        <v>1.0</v>
      </c>
      <c r="I963" s="132">
        <v>94919.2</v>
      </c>
      <c r="J963" s="133">
        <v>24.42</v>
      </c>
      <c r="K963" s="142">
        <v>51.0</v>
      </c>
      <c r="L963" s="111">
        <v>23.0</v>
      </c>
      <c r="M963" s="70">
        <v>2230.0</v>
      </c>
      <c r="N963" s="24" t="s">
        <v>5057</v>
      </c>
    </row>
    <row r="964">
      <c r="A964" s="66">
        <v>7960.0</v>
      </c>
      <c r="B964" s="66">
        <v>202.0</v>
      </c>
      <c r="C964" s="66">
        <v>18.0</v>
      </c>
      <c r="D964" s="66">
        <v>8.0</v>
      </c>
      <c r="E964" s="66">
        <v>4.0</v>
      </c>
      <c r="F964" s="66">
        <v>830.0</v>
      </c>
      <c r="G964" s="141">
        <v>93021.0</v>
      </c>
      <c r="H964" s="66">
        <v>8.0</v>
      </c>
      <c r="I964" s="132">
        <v>73.8</v>
      </c>
      <c r="J964" s="133">
        <v>99.6</v>
      </c>
      <c r="K964" s="142">
        <v>70.0</v>
      </c>
      <c r="L964" s="111">
        <v>20.0</v>
      </c>
      <c r="M964" s="70">
        <v>200.0</v>
      </c>
      <c r="N964" s="24" t="s">
        <v>4438</v>
      </c>
    </row>
    <row r="965">
      <c r="A965" s="66">
        <v>7961.0</v>
      </c>
      <c r="B965" s="66">
        <v>208.0</v>
      </c>
      <c r="C965" s="66">
        <v>39.0</v>
      </c>
      <c r="D965" s="66">
        <v>3.0</v>
      </c>
      <c r="E965" s="66">
        <v>5.0</v>
      </c>
      <c r="F965" s="66">
        <v>255.0</v>
      </c>
      <c r="G965" s="141">
        <v>83190.0</v>
      </c>
      <c r="H965" s="66">
        <v>5.0</v>
      </c>
      <c r="I965" s="132">
        <v>66416.76</v>
      </c>
      <c r="J965" s="133">
        <v>50.19</v>
      </c>
      <c r="K965" s="142">
        <v>84.0</v>
      </c>
      <c r="L965" s="111">
        <v>20.0</v>
      </c>
      <c r="M965" s="70">
        <v>2100.0</v>
      </c>
      <c r="N965" s="24" t="s">
        <v>5058</v>
      </c>
    </row>
    <row r="966">
      <c r="A966" s="66">
        <v>7962.0</v>
      </c>
      <c r="B966" s="66">
        <v>209.0</v>
      </c>
      <c r="C966" s="66">
        <v>18.0</v>
      </c>
      <c r="D966" s="66">
        <v>8.0</v>
      </c>
      <c r="E966" s="66">
        <v>8.0</v>
      </c>
      <c r="F966" s="66">
        <v>619.0</v>
      </c>
      <c r="G966" s="141">
        <v>123113.0</v>
      </c>
      <c r="H966" s="66">
        <v>7.0</v>
      </c>
      <c r="I966" s="132">
        <v>3661.73</v>
      </c>
      <c r="J966" s="133">
        <v>14.77</v>
      </c>
      <c r="K966" s="142">
        <v>28.0</v>
      </c>
      <c r="L966" s="111">
        <v>21.0</v>
      </c>
      <c r="M966" s="70">
        <v>1830.0</v>
      </c>
      <c r="N966" s="24" t="s">
        <v>5059</v>
      </c>
    </row>
    <row r="967">
      <c r="A967" s="66">
        <v>7963.0</v>
      </c>
      <c r="B967" s="66">
        <v>212.0</v>
      </c>
      <c r="C967" s="66">
        <v>39.0</v>
      </c>
      <c r="D967" s="66">
        <v>3.0</v>
      </c>
      <c r="E967" s="66">
        <v>6.0</v>
      </c>
      <c r="F967" s="66">
        <v>293.0</v>
      </c>
      <c r="G967" s="141">
        <v>13106.0</v>
      </c>
      <c r="H967" s="66">
        <v>6.0</v>
      </c>
      <c r="I967" s="132">
        <v>-286.76</v>
      </c>
      <c r="J967" s="133">
        <v>78692.7</v>
      </c>
      <c r="K967" s="142">
        <v>99.0</v>
      </c>
      <c r="L967" s="111">
        <v>20.0</v>
      </c>
      <c r="M967" s="70">
        <v>530.0</v>
      </c>
      <c r="N967" s="24" t="s">
        <v>5060</v>
      </c>
    </row>
    <row r="968">
      <c r="A968" s="66">
        <v>7964.0</v>
      </c>
      <c r="B968" s="66">
        <v>213.0</v>
      </c>
      <c r="C968" s="66">
        <v>59.0</v>
      </c>
      <c r="D968" s="66">
        <v>8.0</v>
      </c>
      <c r="E968" s="66">
        <v>9.0</v>
      </c>
      <c r="F968" s="66">
        <v>976.0</v>
      </c>
      <c r="G968" s="141">
        <v>103195.0</v>
      </c>
      <c r="H968" s="66">
        <v>5.0</v>
      </c>
      <c r="I968" s="132">
        <v>16.47</v>
      </c>
      <c r="J968" s="133">
        <v>8604.61</v>
      </c>
      <c r="K968" s="142">
        <v>45.0</v>
      </c>
      <c r="L968" s="111">
        <v>20.0</v>
      </c>
      <c r="M968" s="70">
        <v>1030.0</v>
      </c>
      <c r="N968" s="24" t="s">
        <v>5061</v>
      </c>
    </row>
    <row r="969">
      <c r="A969" s="66">
        <v>7965.0</v>
      </c>
      <c r="B969" s="66">
        <v>211.0</v>
      </c>
      <c r="C969" s="66">
        <v>39.0</v>
      </c>
      <c r="D969" s="66">
        <v>4.0</v>
      </c>
      <c r="E969" s="66">
        <v>5.0</v>
      </c>
      <c r="F969" s="66">
        <v>947.0</v>
      </c>
      <c r="G969" s="141">
        <v>53100.0</v>
      </c>
      <c r="H969" s="66">
        <v>1.0</v>
      </c>
      <c r="I969" s="132">
        <v>9033.88</v>
      </c>
      <c r="J969" s="133">
        <v>70.34</v>
      </c>
      <c r="K969" s="142">
        <v>22.0</v>
      </c>
      <c r="L969" s="111">
        <v>22.0</v>
      </c>
      <c r="M969" s="70">
        <v>2130.0</v>
      </c>
      <c r="N969" s="24" t="s">
        <v>5062</v>
      </c>
    </row>
    <row r="970">
      <c r="A970" s="66">
        <v>7966.0</v>
      </c>
      <c r="B970" s="66">
        <v>215.0</v>
      </c>
      <c r="C970" s="66">
        <v>19.0</v>
      </c>
      <c r="D970" s="66">
        <v>1.0</v>
      </c>
      <c r="E970" s="66">
        <v>2.0</v>
      </c>
      <c r="F970" s="66">
        <v>935.0</v>
      </c>
      <c r="G970" s="141">
        <v>103197.0</v>
      </c>
      <c r="H970" s="66">
        <v>2.0</v>
      </c>
      <c r="I970" s="132">
        <v>19.99</v>
      </c>
      <c r="J970" s="133">
        <v>-45.68</v>
      </c>
      <c r="K970" s="142">
        <v>93.0</v>
      </c>
      <c r="L970" s="111">
        <v>23.0</v>
      </c>
      <c r="M970" s="70">
        <v>1300.0</v>
      </c>
      <c r="N970" s="24" t="s">
        <v>5063</v>
      </c>
    </row>
    <row r="971">
      <c r="A971" s="66">
        <v>7967.0</v>
      </c>
      <c r="B971" s="66">
        <v>220.0</v>
      </c>
      <c r="C971" s="66">
        <v>39.0</v>
      </c>
      <c r="D971" s="66">
        <v>6.0</v>
      </c>
      <c r="E971" s="66">
        <v>3.0</v>
      </c>
      <c r="F971" s="66">
        <v>539.0</v>
      </c>
      <c r="G971" s="141">
        <v>113002.0</v>
      </c>
      <c r="H971" s="66">
        <v>5.0</v>
      </c>
      <c r="I971" s="132">
        <v>-14.35</v>
      </c>
      <c r="J971" s="133">
        <v>82483.35</v>
      </c>
      <c r="K971" s="142">
        <v>40.0</v>
      </c>
      <c r="L971" s="111">
        <v>20.0</v>
      </c>
      <c r="M971" s="70">
        <v>1430.0</v>
      </c>
      <c r="N971" s="24" t="s">
        <v>5064</v>
      </c>
    </row>
    <row r="972">
      <c r="A972" s="66">
        <v>7968.0</v>
      </c>
      <c r="B972" s="66">
        <v>210.0</v>
      </c>
      <c r="C972" s="66">
        <v>19.0</v>
      </c>
      <c r="D972" s="66">
        <v>1.0</v>
      </c>
      <c r="E972" s="66">
        <v>6.0</v>
      </c>
      <c r="F972" s="66">
        <v>932.0</v>
      </c>
      <c r="G972" s="141">
        <v>113006.0</v>
      </c>
      <c r="H972" s="66">
        <v>2.0</v>
      </c>
      <c r="I972" s="132">
        <v>987.12</v>
      </c>
      <c r="J972" s="133">
        <v>41614.3</v>
      </c>
      <c r="K972" s="142">
        <v>62.0</v>
      </c>
      <c r="L972" s="111">
        <v>20.0</v>
      </c>
      <c r="M972" s="70">
        <v>900.0</v>
      </c>
      <c r="N972" s="24" t="s">
        <v>5065</v>
      </c>
    </row>
    <row r="973">
      <c r="A973" s="66">
        <v>7969.0</v>
      </c>
      <c r="B973" s="66">
        <v>206.0</v>
      </c>
      <c r="C973" s="66">
        <v>56.0</v>
      </c>
      <c r="D973" s="66">
        <v>7.0</v>
      </c>
      <c r="E973" s="66">
        <v>3.0</v>
      </c>
      <c r="F973" s="66">
        <v>840.0</v>
      </c>
      <c r="G973" s="141">
        <v>83104.0</v>
      </c>
      <c r="H973" s="66">
        <v>2.0</v>
      </c>
      <c r="I973" s="132">
        <v>17938.72</v>
      </c>
      <c r="J973" s="133">
        <v>42.0</v>
      </c>
      <c r="K973" s="142">
        <v>28.0</v>
      </c>
      <c r="L973" s="111">
        <v>20.0</v>
      </c>
      <c r="M973" s="70">
        <v>800.0</v>
      </c>
      <c r="N973" s="24" t="s">
        <v>5066</v>
      </c>
    </row>
    <row r="974">
      <c r="A974" s="66">
        <v>7970.0</v>
      </c>
      <c r="B974" s="66">
        <v>211.0</v>
      </c>
      <c r="C974" s="66">
        <v>39.0</v>
      </c>
      <c r="D974" s="66">
        <v>7.0</v>
      </c>
      <c r="E974" s="66">
        <v>4.0</v>
      </c>
      <c r="F974" s="66">
        <v>269.0</v>
      </c>
      <c r="G974" s="141">
        <v>123199.0</v>
      </c>
      <c r="H974" s="66">
        <v>2.0</v>
      </c>
      <c r="I974" s="132">
        <v>-5206.19</v>
      </c>
      <c r="J974" s="133">
        <v>-59885.48</v>
      </c>
      <c r="K974" s="142">
        <v>52.0</v>
      </c>
      <c r="L974" s="111">
        <v>22.0</v>
      </c>
      <c r="M974" s="70">
        <v>830.0</v>
      </c>
      <c r="N974" s="24" t="s">
        <v>5067</v>
      </c>
    </row>
    <row r="975">
      <c r="A975" s="66">
        <v>7971.0</v>
      </c>
      <c r="B975" s="66">
        <v>212.0</v>
      </c>
      <c r="C975" s="66">
        <v>39.0</v>
      </c>
      <c r="D975" s="66">
        <v>8.0</v>
      </c>
      <c r="E975" s="66">
        <v>4.0</v>
      </c>
      <c r="F975" s="66">
        <v>680.0</v>
      </c>
      <c r="G975" s="141">
        <v>123109.0</v>
      </c>
      <c r="H975" s="66">
        <v>2.0</v>
      </c>
      <c r="I975" s="132">
        <v>70360.17</v>
      </c>
      <c r="J975" s="133">
        <v>409.26</v>
      </c>
      <c r="K975" s="142">
        <v>38.0</v>
      </c>
      <c r="L975" s="111">
        <v>20.0</v>
      </c>
      <c r="M975" s="70">
        <v>1830.0</v>
      </c>
      <c r="N975" s="24" t="s">
        <v>5068</v>
      </c>
    </row>
    <row r="976">
      <c r="A976" s="66">
        <v>7972.0</v>
      </c>
      <c r="B976" s="66">
        <v>201.0</v>
      </c>
      <c r="C976" s="66">
        <v>39.0</v>
      </c>
      <c r="D976" s="66">
        <v>8.0</v>
      </c>
      <c r="E976" s="66">
        <v>8.0</v>
      </c>
      <c r="F976" s="66">
        <v>467.0</v>
      </c>
      <c r="G976" s="141">
        <v>73108.0</v>
      </c>
      <c r="H976" s="66">
        <v>8.0</v>
      </c>
      <c r="I976" s="132">
        <v>46.35</v>
      </c>
      <c r="J976" s="133">
        <v>90.44</v>
      </c>
      <c r="K976" s="142">
        <v>32.0</v>
      </c>
      <c r="L976" s="111">
        <v>22.0</v>
      </c>
      <c r="M976" s="70">
        <v>1730.0</v>
      </c>
      <c r="N976" s="24" t="s">
        <v>5069</v>
      </c>
    </row>
    <row r="977">
      <c r="A977" s="66">
        <v>7973.0</v>
      </c>
      <c r="B977" s="66">
        <v>203.0</v>
      </c>
      <c r="C977" s="66">
        <v>19.0</v>
      </c>
      <c r="D977" s="66">
        <v>4.0</v>
      </c>
      <c r="E977" s="66">
        <v>7.0</v>
      </c>
      <c r="F977" s="66">
        <v>491.0</v>
      </c>
      <c r="G977" s="141">
        <v>43017.0</v>
      </c>
      <c r="H977" s="66">
        <v>3.0</v>
      </c>
      <c r="I977" s="132">
        <v>23833.61</v>
      </c>
      <c r="J977" s="133">
        <v>60.63</v>
      </c>
      <c r="K977" s="142">
        <v>77.0</v>
      </c>
      <c r="L977" s="111">
        <v>21.0</v>
      </c>
      <c r="M977" s="70">
        <v>100.0</v>
      </c>
      <c r="N977" s="24" t="s">
        <v>5070</v>
      </c>
    </row>
    <row r="978">
      <c r="A978" s="66">
        <v>7974.0</v>
      </c>
      <c r="B978" s="66">
        <v>202.0</v>
      </c>
      <c r="C978" s="66">
        <v>19.0</v>
      </c>
      <c r="D978" s="66">
        <v>4.0</v>
      </c>
      <c r="E978" s="66">
        <v>9.0</v>
      </c>
      <c r="F978" s="66">
        <v>339.0</v>
      </c>
      <c r="G978" s="141">
        <v>22817.0</v>
      </c>
      <c r="H978" s="66">
        <v>4.0</v>
      </c>
      <c r="I978" s="132">
        <v>66455.22</v>
      </c>
      <c r="J978" s="133">
        <v>6416.75</v>
      </c>
      <c r="K978" s="142">
        <v>35.0</v>
      </c>
      <c r="L978" s="111">
        <v>21.0</v>
      </c>
      <c r="M978" s="70">
        <v>1430.0</v>
      </c>
      <c r="N978" s="24" t="s">
        <v>5071</v>
      </c>
    </row>
    <row r="979">
      <c r="A979" s="66">
        <v>7975.0</v>
      </c>
      <c r="B979" s="66">
        <v>206.0</v>
      </c>
      <c r="C979" s="66">
        <v>19.0</v>
      </c>
      <c r="D979" s="66">
        <v>5.0</v>
      </c>
      <c r="E979" s="66">
        <v>1.0</v>
      </c>
      <c r="F979" s="66">
        <v>923.0</v>
      </c>
      <c r="G979" s="141">
        <v>93000.0</v>
      </c>
      <c r="H979" s="66">
        <v>8.0</v>
      </c>
      <c r="I979" s="132">
        <v>18.72</v>
      </c>
      <c r="J979" s="133">
        <v>-495.44</v>
      </c>
      <c r="K979" s="142">
        <v>47.0</v>
      </c>
      <c r="L979" s="111">
        <v>20.0</v>
      </c>
      <c r="M979" s="70">
        <v>130.0</v>
      </c>
      <c r="N979" s="24" t="s">
        <v>5072</v>
      </c>
    </row>
    <row r="980">
      <c r="A980" s="66">
        <v>7976.0</v>
      </c>
      <c r="B980" s="66">
        <v>202.0</v>
      </c>
      <c r="C980" s="66">
        <v>39.0</v>
      </c>
      <c r="D980" s="66">
        <v>9.0</v>
      </c>
      <c r="E980" s="66">
        <v>9.0</v>
      </c>
      <c r="F980" s="66">
        <v>497.0</v>
      </c>
      <c r="G980" s="141">
        <v>83113.0</v>
      </c>
      <c r="H980" s="66">
        <v>4.0</v>
      </c>
      <c r="I980" s="132">
        <v>12341.19</v>
      </c>
      <c r="J980" s="133">
        <v>-18.8</v>
      </c>
      <c r="K980" s="142">
        <v>17.0</v>
      </c>
      <c r="L980" s="111">
        <v>22.0</v>
      </c>
      <c r="M980" s="70">
        <v>2200.0</v>
      </c>
      <c r="N980" s="24" t="s">
        <v>5073</v>
      </c>
    </row>
    <row r="981">
      <c r="A981" s="66">
        <v>7977.0</v>
      </c>
      <c r="B981" s="66">
        <v>209.0</v>
      </c>
      <c r="C981" s="66">
        <v>19.0</v>
      </c>
      <c r="D981" s="66">
        <v>5.0</v>
      </c>
      <c r="E981" s="66">
        <v>3.0</v>
      </c>
      <c r="F981" s="66">
        <v>182.0</v>
      </c>
      <c r="G981" s="141">
        <v>43012.0</v>
      </c>
      <c r="H981" s="66">
        <v>4.0</v>
      </c>
      <c r="I981" s="132">
        <v>-37080.72</v>
      </c>
      <c r="J981" s="133">
        <v>-26.56</v>
      </c>
      <c r="K981" s="142">
        <v>3.0</v>
      </c>
      <c r="L981" s="111">
        <v>20.0</v>
      </c>
      <c r="M981" s="70">
        <v>730.0</v>
      </c>
      <c r="N981" s="24" t="s">
        <v>5074</v>
      </c>
    </row>
    <row r="982">
      <c r="A982" s="66">
        <v>7978.0</v>
      </c>
      <c r="B982" s="66">
        <v>207.0</v>
      </c>
      <c r="C982" s="66">
        <v>19.0</v>
      </c>
      <c r="D982" s="66">
        <v>5.0</v>
      </c>
      <c r="E982" s="66">
        <v>6.0</v>
      </c>
      <c r="F982" s="66">
        <v>912.0</v>
      </c>
      <c r="G982" s="141">
        <v>33108.0</v>
      </c>
      <c r="H982" s="66">
        <v>9.0</v>
      </c>
      <c r="I982" s="132">
        <v>-6584.42</v>
      </c>
      <c r="J982" s="133">
        <v>97.24</v>
      </c>
      <c r="K982" s="142">
        <v>86.0</v>
      </c>
      <c r="L982" s="111">
        <v>23.0</v>
      </c>
      <c r="M982" s="70">
        <v>130.0</v>
      </c>
      <c r="N982" s="24" t="s">
        <v>5075</v>
      </c>
    </row>
    <row r="983">
      <c r="A983" s="66">
        <v>7979.0</v>
      </c>
      <c r="B983" s="66">
        <v>204.0</v>
      </c>
      <c r="C983" s="66">
        <v>19.0</v>
      </c>
      <c r="D983" s="66">
        <v>5.0</v>
      </c>
      <c r="E983" s="66">
        <v>8.0</v>
      </c>
      <c r="F983" s="66">
        <v>988.0</v>
      </c>
      <c r="G983" s="141">
        <v>22898.0</v>
      </c>
      <c r="H983" s="66">
        <v>8.0</v>
      </c>
      <c r="I983" s="132">
        <v>-10.57</v>
      </c>
      <c r="J983" s="133">
        <v>-17421.43</v>
      </c>
      <c r="K983" s="142">
        <v>88.0</v>
      </c>
      <c r="L983" s="111">
        <v>23.0</v>
      </c>
      <c r="M983" s="70">
        <v>1530.0</v>
      </c>
      <c r="N983" s="24" t="s">
        <v>5076</v>
      </c>
    </row>
    <row r="984">
      <c r="A984" s="66">
        <v>7980.0</v>
      </c>
      <c r="B984" s="66">
        <v>203.0</v>
      </c>
      <c r="C984" s="66">
        <v>19.0</v>
      </c>
      <c r="D984" s="66">
        <v>6.0</v>
      </c>
      <c r="E984" s="66">
        <v>4.0</v>
      </c>
      <c r="F984" s="66">
        <v>550.0</v>
      </c>
      <c r="G984" s="141">
        <v>113090.0</v>
      </c>
      <c r="H984" s="66">
        <v>9.0</v>
      </c>
      <c r="I984" s="132">
        <v>-2253.68</v>
      </c>
      <c r="J984" s="133">
        <v>1415.53</v>
      </c>
      <c r="K984" s="142">
        <v>84.0</v>
      </c>
      <c r="L984" s="111">
        <v>21.0</v>
      </c>
      <c r="M984" s="70">
        <v>2300.0</v>
      </c>
      <c r="N984" s="24" t="s">
        <v>5077</v>
      </c>
    </row>
    <row r="985">
      <c r="A985" s="66">
        <v>7981.0</v>
      </c>
      <c r="B985" s="66">
        <v>209.0</v>
      </c>
      <c r="C985" s="66">
        <v>19.0</v>
      </c>
      <c r="D985" s="66">
        <v>6.0</v>
      </c>
      <c r="E985" s="66">
        <v>7.0</v>
      </c>
      <c r="F985" s="66">
        <v>526.0</v>
      </c>
      <c r="G985" s="141">
        <v>73197.0</v>
      </c>
      <c r="H985" s="66">
        <v>8.0</v>
      </c>
      <c r="I985" s="132">
        <v>-935.12</v>
      </c>
      <c r="J985" s="133">
        <v>46.63</v>
      </c>
      <c r="K985" s="142">
        <v>5.0</v>
      </c>
      <c r="L985" s="111">
        <v>23.0</v>
      </c>
      <c r="M985" s="70">
        <v>230.0</v>
      </c>
      <c r="N985" s="24" t="s">
        <v>5078</v>
      </c>
    </row>
    <row r="986">
      <c r="A986" s="66">
        <v>7982.0</v>
      </c>
      <c r="B986" s="66">
        <v>217.0</v>
      </c>
      <c r="C986" s="66">
        <v>81.0</v>
      </c>
      <c r="D986" s="66">
        <v>1.0</v>
      </c>
      <c r="E986" s="66">
        <v>5.0</v>
      </c>
      <c r="F986" s="66">
        <v>484.0</v>
      </c>
      <c r="G986" s="141">
        <v>53192.0</v>
      </c>
      <c r="H986" s="66">
        <v>1.0</v>
      </c>
      <c r="I986" s="132">
        <v>67345.76</v>
      </c>
      <c r="J986" s="133">
        <v>6556.29</v>
      </c>
      <c r="K986" s="142">
        <v>51.0</v>
      </c>
      <c r="L986" s="111">
        <v>20.0</v>
      </c>
      <c r="M986" s="70">
        <v>1300.0</v>
      </c>
      <c r="N986" s="24" t="s">
        <v>5079</v>
      </c>
    </row>
    <row r="987">
      <c r="A987" s="66">
        <v>7983.0</v>
      </c>
      <c r="B987" s="66">
        <v>214.0</v>
      </c>
      <c r="C987" s="66">
        <v>81.0</v>
      </c>
      <c r="D987" s="66">
        <v>1.0</v>
      </c>
      <c r="E987" s="66">
        <v>9.0</v>
      </c>
      <c r="F987" s="66">
        <v>398.0</v>
      </c>
      <c r="G987" s="141">
        <v>123197.0</v>
      </c>
      <c r="H987" s="66">
        <v>4.0</v>
      </c>
      <c r="I987" s="132">
        <v>54419.3</v>
      </c>
      <c r="J987" s="133">
        <v>20.12</v>
      </c>
      <c r="K987" s="142">
        <v>62.0</v>
      </c>
      <c r="L987" s="111">
        <v>21.0</v>
      </c>
      <c r="M987" s="70">
        <v>1330.0</v>
      </c>
      <c r="N987" s="24" t="s">
        <v>5080</v>
      </c>
    </row>
    <row r="988">
      <c r="A988" s="66">
        <v>7984.0</v>
      </c>
      <c r="B988" s="66">
        <v>212.0</v>
      </c>
      <c r="C988" s="66">
        <v>19.0</v>
      </c>
      <c r="D988" s="66">
        <v>7.0</v>
      </c>
      <c r="E988" s="66">
        <v>6.0</v>
      </c>
      <c r="F988" s="66">
        <v>741.0</v>
      </c>
      <c r="G988" s="141">
        <v>43098.0</v>
      </c>
      <c r="H988" s="66">
        <v>5.0</v>
      </c>
      <c r="I988" s="132">
        <v>65.65</v>
      </c>
      <c r="J988" s="133">
        <v>-73380.85</v>
      </c>
      <c r="K988" s="142">
        <v>30.0</v>
      </c>
      <c r="L988" s="111">
        <v>22.0</v>
      </c>
      <c r="M988" s="70">
        <v>130.0</v>
      </c>
      <c r="N988" s="24" t="s">
        <v>4710</v>
      </c>
    </row>
    <row r="989">
      <c r="A989" s="66">
        <v>7985.0</v>
      </c>
      <c r="B989" s="66">
        <v>215.0</v>
      </c>
      <c r="C989" s="66">
        <v>19.0</v>
      </c>
      <c r="D989" s="66">
        <v>9.0</v>
      </c>
      <c r="E989" s="66">
        <v>1.0</v>
      </c>
      <c r="F989" s="66">
        <v>261.0</v>
      </c>
      <c r="G989" s="141">
        <v>63001.0</v>
      </c>
      <c r="H989" s="66">
        <v>5.0</v>
      </c>
      <c r="I989" s="132">
        <v>45746.3</v>
      </c>
      <c r="J989" s="133">
        <v>-305.82</v>
      </c>
      <c r="K989" s="142">
        <v>57.0</v>
      </c>
      <c r="L989" s="111">
        <v>21.0</v>
      </c>
      <c r="M989" s="70">
        <v>1330.0</v>
      </c>
      <c r="N989" s="24" t="s">
        <v>5081</v>
      </c>
    </row>
    <row r="990">
      <c r="A990" s="66">
        <v>7986.0</v>
      </c>
      <c r="B990" s="66">
        <v>210.0</v>
      </c>
      <c r="C990" s="66">
        <v>81.0</v>
      </c>
      <c r="D990" s="66">
        <v>3.0</v>
      </c>
      <c r="E990" s="66">
        <v>6.0</v>
      </c>
      <c r="F990" s="66">
        <v>310.0</v>
      </c>
      <c r="G990" s="141">
        <v>63002.0</v>
      </c>
      <c r="H990" s="66">
        <v>3.0</v>
      </c>
      <c r="I990" s="132">
        <v>97962.66</v>
      </c>
      <c r="J990" s="133">
        <v>822.6</v>
      </c>
      <c r="K990" s="142">
        <v>30.0</v>
      </c>
      <c r="L990" s="111">
        <v>22.0</v>
      </c>
      <c r="M990" s="70">
        <v>1400.0</v>
      </c>
      <c r="N990" s="24" t="s">
        <v>5082</v>
      </c>
    </row>
    <row r="991">
      <c r="A991" s="66">
        <v>7987.0</v>
      </c>
      <c r="B991" s="66">
        <v>205.0</v>
      </c>
      <c r="C991" s="66">
        <v>81.0</v>
      </c>
      <c r="D991" s="66">
        <v>3.0</v>
      </c>
      <c r="E991" s="66">
        <v>7.0</v>
      </c>
      <c r="F991" s="66">
        <v>651.0</v>
      </c>
      <c r="G991" s="141">
        <v>123195.0</v>
      </c>
      <c r="H991" s="66">
        <v>1.0</v>
      </c>
      <c r="I991" s="132">
        <v>32.4</v>
      </c>
      <c r="J991" s="133">
        <v>409.59</v>
      </c>
      <c r="K991" s="142">
        <v>70.0</v>
      </c>
      <c r="L991" s="111">
        <v>20.0</v>
      </c>
      <c r="M991" s="70">
        <v>2230.0</v>
      </c>
      <c r="N991" s="24" t="s">
        <v>5083</v>
      </c>
    </row>
    <row r="992">
      <c r="A992" s="66">
        <v>7988.0</v>
      </c>
      <c r="B992" s="66">
        <v>208.0</v>
      </c>
      <c r="C992" s="66">
        <v>19.0</v>
      </c>
      <c r="D992" s="66">
        <v>9.0</v>
      </c>
      <c r="E992" s="66">
        <v>6.0</v>
      </c>
      <c r="F992" s="66">
        <v>865.0</v>
      </c>
      <c r="G992" s="141">
        <v>113010.0</v>
      </c>
      <c r="H992" s="66">
        <v>7.0</v>
      </c>
      <c r="I992" s="132">
        <v>79.64</v>
      </c>
      <c r="J992" s="133">
        <v>3451.21</v>
      </c>
      <c r="K992" s="142">
        <v>78.0</v>
      </c>
      <c r="L992" s="111">
        <v>21.0</v>
      </c>
      <c r="M992" s="70">
        <v>1730.0</v>
      </c>
      <c r="N992" s="24" t="s">
        <v>5084</v>
      </c>
    </row>
    <row r="993">
      <c r="A993" s="66">
        <v>7989.0</v>
      </c>
      <c r="B993" s="66">
        <v>213.0</v>
      </c>
      <c r="C993" s="66">
        <v>81.0</v>
      </c>
      <c r="D993" s="66">
        <v>6.0</v>
      </c>
      <c r="E993" s="66">
        <v>5.0</v>
      </c>
      <c r="F993" s="66">
        <v>732.0</v>
      </c>
      <c r="G993" s="141">
        <v>22894.0</v>
      </c>
      <c r="H993" s="66">
        <v>9.0</v>
      </c>
      <c r="I993" s="132">
        <v>221.85</v>
      </c>
      <c r="J993" s="133">
        <v>9262.9</v>
      </c>
      <c r="K993" s="142">
        <v>59.0</v>
      </c>
      <c r="L993" s="111">
        <v>20.0</v>
      </c>
      <c r="M993" s="70">
        <v>1230.0</v>
      </c>
      <c r="N993" s="24" t="s">
        <v>5085</v>
      </c>
    </row>
    <row r="994">
      <c r="A994" s="66">
        <v>7990.0</v>
      </c>
      <c r="B994" s="66">
        <v>210.0</v>
      </c>
      <c r="C994" s="66">
        <v>81.0</v>
      </c>
      <c r="D994" s="66">
        <v>6.0</v>
      </c>
      <c r="E994" s="66">
        <v>9.0</v>
      </c>
      <c r="F994" s="66">
        <v>119.0</v>
      </c>
      <c r="G994" s="141">
        <v>13117.0</v>
      </c>
      <c r="H994" s="66">
        <v>3.0</v>
      </c>
      <c r="I994" s="132">
        <v>-70.51</v>
      </c>
      <c r="J994" s="133">
        <v>-22.3</v>
      </c>
      <c r="K994" s="142">
        <v>8.0</v>
      </c>
      <c r="L994" s="111">
        <v>21.0</v>
      </c>
      <c r="M994" s="70">
        <v>100.0</v>
      </c>
      <c r="N994" s="24" t="s">
        <v>5086</v>
      </c>
    </row>
    <row r="995">
      <c r="A995" s="66">
        <v>7991.0</v>
      </c>
      <c r="B995" s="66">
        <v>204.0</v>
      </c>
      <c r="C995" s="66">
        <v>61.0</v>
      </c>
      <c r="D995" s="66">
        <v>2.0</v>
      </c>
      <c r="E995" s="66">
        <v>3.0</v>
      </c>
      <c r="F995" s="66">
        <v>485.0</v>
      </c>
      <c r="G995" s="141">
        <v>33194.0</v>
      </c>
      <c r="H995" s="66">
        <v>3.0</v>
      </c>
      <c r="I995" s="132">
        <v>32.38</v>
      </c>
      <c r="J995" s="133">
        <v>53695.24</v>
      </c>
      <c r="K995" s="142">
        <v>80.0</v>
      </c>
      <c r="L995" s="111">
        <v>20.0</v>
      </c>
      <c r="M995" s="70">
        <v>2300.0</v>
      </c>
      <c r="N995" s="24" t="s">
        <v>5087</v>
      </c>
    </row>
    <row r="996">
      <c r="A996" s="66">
        <v>7992.0</v>
      </c>
      <c r="B996" s="66">
        <v>215.0</v>
      </c>
      <c r="C996" s="66">
        <v>61.0</v>
      </c>
      <c r="D996" s="66">
        <v>2.0</v>
      </c>
      <c r="E996" s="66">
        <v>4.0</v>
      </c>
      <c r="F996" s="66">
        <v>790.0</v>
      </c>
      <c r="G996" s="141">
        <v>63015.0</v>
      </c>
      <c r="H996" s="66">
        <v>6.0</v>
      </c>
      <c r="I996" s="132">
        <v>-9023.63</v>
      </c>
      <c r="J996" s="133">
        <v>770.6</v>
      </c>
      <c r="K996" s="142">
        <v>11.0</v>
      </c>
      <c r="L996" s="111">
        <v>23.0</v>
      </c>
      <c r="M996" s="70">
        <v>2200.0</v>
      </c>
      <c r="N996" s="24" t="s">
        <v>5088</v>
      </c>
    </row>
    <row r="997">
      <c r="A997" s="66">
        <v>7993.0</v>
      </c>
      <c r="B997" s="66">
        <v>205.0</v>
      </c>
      <c r="C997" s="66">
        <v>81.0</v>
      </c>
      <c r="D997" s="66">
        <v>7.0</v>
      </c>
      <c r="E997" s="66">
        <v>2.0</v>
      </c>
      <c r="F997" s="66">
        <v>737.0</v>
      </c>
      <c r="G997" s="141">
        <v>13199.0</v>
      </c>
      <c r="H997" s="66">
        <v>6.0</v>
      </c>
      <c r="I997" s="132">
        <v>-56.51</v>
      </c>
      <c r="J997" s="133">
        <v>9153.69</v>
      </c>
      <c r="K997" s="142">
        <v>32.0</v>
      </c>
      <c r="L997" s="111">
        <v>23.0</v>
      </c>
      <c r="M997" s="70">
        <v>2200.0</v>
      </c>
      <c r="N997" s="24" t="s">
        <v>5089</v>
      </c>
    </row>
    <row r="998">
      <c r="A998" s="66">
        <v>7994.0</v>
      </c>
      <c r="B998" s="66">
        <v>203.0</v>
      </c>
      <c r="C998" s="66">
        <v>61.0</v>
      </c>
      <c r="D998" s="66">
        <v>2.0</v>
      </c>
      <c r="E998" s="66">
        <v>7.0</v>
      </c>
      <c r="F998" s="66">
        <v>763.0</v>
      </c>
      <c r="G998" s="141">
        <v>103108.0</v>
      </c>
      <c r="H998" s="66">
        <v>3.0</v>
      </c>
      <c r="I998" s="132">
        <v>943.98</v>
      </c>
      <c r="J998" s="133">
        <v>4371.89</v>
      </c>
      <c r="K998" s="142">
        <v>89.0</v>
      </c>
      <c r="L998" s="111">
        <v>22.0</v>
      </c>
      <c r="M998" s="70">
        <v>430.0</v>
      </c>
      <c r="N998" s="24" t="s">
        <v>5090</v>
      </c>
    </row>
    <row r="999">
      <c r="A999" s="66">
        <v>7995.0</v>
      </c>
      <c r="B999" s="66">
        <v>201.0</v>
      </c>
      <c r="C999" s="66">
        <v>61.0</v>
      </c>
      <c r="D999" s="66">
        <v>2.0</v>
      </c>
      <c r="E999" s="66">
        <v>8.0</v>
      </c>
      <c r="F999" s="66">
        <v>727.0</v>
      </c>
      <c r="G999" s="141">
        <v>53113.0</v>
      </c>
      <c r="H999" s="66">
        <v>5.0</v>
      </c>
      <c r="I999" s="132">
        <v>392.63</v>
      </c>
      <c r="J999" s="133">
        <v>76367.91</v>
      </c>
      <c r="K999" s="142">
        <v>26.0</v>
      </c>
      <c r="L999" s="111">
        <v>21.0</v>
      </c>
      <c r="M999" s="70">
        <v>800.0</v>
      </c>
      <c r="N999" s="24" t="s">
        <v>5091</v>
      </c>
    </row>
    <row r="1000">
      <c r="A1000" s="66">
        <v>7996.0</v>
      </c>
      <c r="B1000" s="66">
        <v>214.0</v>
      </c>
      <c r="C1000" s="66">
        <v>81.0</v>
      </c>
      <c r="D1000" s="66">
        <v>7.0</v>
      </c>
      <c r="E1000" s="66">
        <v>6.0</v>
      </c>
      <c r="F1000" s="66">
        <v>233.0</v>
      </c>
      <c r="G1000" s="141">
        <v>13191.0</v>
      </c>
      <c r="H1000" s="66">
        <v>8.0</v>
      </c>
      <c r="I1000" s="132">
        <v>940.34</v>
      </c>
      <c r="J1000" s="133">
        <v>7725.6</v>
      </c>
      <c r="K1000" s="142">
        <v>24.0</v>
      </c>
      <c r="L1000" s="111">
        <v>23.0</v>
      </c>
      <c r="M1000" s="70">
        <v>1930.0</v>
      </c>
      <c r="N1000" s="24" t="s">
        <v>5092</v>
      </c>
    </row>
    <row r="1001">
      <c r="A1001" s="66">
        <v>7997.0</v>
      </c>
      <c r="B1001" s="66">
        <v>202.0</v>
      </c>
      <c r="C1001" s="66">
        <v>81.0</v>
      </c>
      <c r="D1001" s="66">
        <v>8.0</v>
      </c>
      <c r="E1001" s="66">
        <v>5.0</v>
      </c>
      <c r="F1001" s="66">
        <v>257.0</v>
      </c>
      <c r="G1001" s="141">
        <v>33113.0</v>
      </c>
      <c r="H1001" s="66">
        <v>5.0</v>
      </c>
      <c r="I1001" s="132">
        <v>7906.87</v>
      </c>
      <c r="J1001" s="133">
        <v>28.7</v>
      </c>
      <c r="K1001" s="142">
        <v>82.0</v>
      </c>
      <c r="L1001" s="111">
        <v>23.0</v>
      </c>
      <c r="M1001" s="70">
        <v>730.0</v>
      </c>
      <c r="N1001" s="24" t="s">
        <v>5093</v>
      </c>
    </row>
    <row r="1002">
      <c r="A1002" s="66">
        <v>7998.0</v>
      </c>
      <c r="B1002" s="66">
        <v>210.0</v>
      </c>
      <c r="C1002" s="66">
        <v>61.0</v>
      </c>
      <c r="D1002" s="66">
        <v>3.0</v>
      </c>
      <c r="E1002" s="66">
        <v>9.0</v>
      </c>
      <c r="F1002" s="66">
        <v>120.0</v>
      </c>
      <c r="G1002" s="141">
        <v>13118.0</v>
      </c>
      <c r="H1002" s="66">
        <v>1.0</v>
      </c>
      <c r="I1002" s="132">
        <v>69985.83</v>
      </c>
      <c r="J1002" s="133">
        <v>97874.58</v>
      </c>
      <c r="K1002" s="142">
        <v>34.0</v>
      </c>
      <c r="L1002" s="111">
        <v>22.0</v>
      </c>
      <c r="M1002" s="70">
        <v>1300.0</v>
      </c>
      <c r="N1002" s="24" t="s">
        <v>5094</v>
      </c>
    </row>
    <row r="1003">
      <c r="A1003" s="66">
        <v>7999.0</v>
      </c>
      <c r="B1003" s="66">
        <v>213.0</v>
      </c>
      <c r="C1003" s="66">
        <v>81.0</v>
      </c>
      <c r="D1003" s="66">
        <v>9.0</v>
      </c>
      <c r="E1003" s="66">
        <v>1.0</v>
      </c>
      <c r="F1003" s="66">
        <v>283.0</v>
      </c>
      <c r="G1003" s="141">
        <v>53114.0</v>
      </c>
      <c r="H1003" s="66">
        <v>7.0</v>
      </c>
      <c r="I1003" s="132">
        <v>60.3</v>
      </c>
      <c r="J1003" s="133">
        <v>94455.5</v>
      </c>
      <c r="K1003" s="142">
        <v>26.0</v>
      </c>
      <c r="L1003" s="111">
        <v>22.0</v>
      </c>
      <c r="M1003" s="70">
        <v>230.0</v>
      </c>
      <c r="N1003" s="24" t="s">
        <v>5095</v>
      </c>
    </row>
    <row r="1004">
      <c r="B1004" s="24"/>
      <c r="C1004" s="24"/>
      <c r="D1004" s="24"/>
      <c r="E1004" s="24"/>
      <c r="G1004" s="50"/>
      <c r="H1004" s="24"/>
      <c r="K1004" s="25"/>
      <c r="L1004" s="25"/>
      <c r="M1004" s="77"/>
      <c r="N1004" s="58" t="s">
        <v>3795</v>
      </c>
    </row>
    <row r="1005">
      <c r="B1005" s="24"/>
      <c r="C1005" s="24"/>
      <c r="D1005" s="24"/>
      <c r="E1005" s="24"/>
      <c r="G1005" s="50"/>
      <c r="H1005" s="24"/>
      <c r="K1005" s="25"/>
      <c r="L1005" s="25"/>
      <c r="M1005" s="77"/>
      <c r="N1005" s="120" t="s">
        <v>5111</v>
      </c>
    </row>
    <row r="1006">
      <c r="B1006" s="24"/>
      <c r="C1006" s="24"/>
      <c r="D1006" s="24"/>
      <c r="E1006" s="24"/>
      <c r="G1006" s="50"/>
      <c r="H1006" s="24"/>
      <c r="K1006" s="25"/>
      <c r="L1006" s="25"/>
      <c r="M1006" s="77"/>
      <c r="N1006" s="64" t="s">
        <v>4121</v>
      </c>
    </row>
    <row r="1007">
      <c r="B1007" s="24"/>
      <c r="C1007" s="24"/>
      <c r="D1007" s="24"/>
      <c r="E1007" s="24"/>
      <c r="G1007" s="50"/>
      <c r="H1007" s="24"/>
      <c r="K1007" s="25"/>
      <c r="L1007" s="25"/>
      <c r="M1007" s="77"/>
      <c r="N1007" s="24" t="s">
        <v>4122</v>
      </c>
    </row>
    <row r="1008">
      <c r="B1008" s="24"/>
      <c r="C1008" s="24"/>
      <c r="D1008" s="24"/>
      <c r="E1008" s="24"/>
      <c r="G1008" s="50"/>
      <c r="H1008" s="24"/>
      <c r="K1008" s="25"/>
      <c r="L1008" s="25"/>
      <c r="M1008" s="77"/>
      <c r="N1008" s="24" t="s">
        <v>4123</v>
      </c>
    </row>
    <row r="1009">
      <c r="B1009" s="24"/>
      <c r="C1009" s="24"/>
      <c r="D1009" s="24"/>
      <c r="E1009" s="24"/>
      <c r="G1009" s="50"/>
      <c r="H1009" s="24"/>
      <c r="K1009" s="25"/>
      <c r="L1009" s="25"/>
      <c r="M1009" s="77"/>
      <c r="N1009" s="24" t="s">
        <v>4124</v>
      </c>
    </row>
    <row r="1010">
      <c r="B1010" s="24"/>
      <c r="C1010" s="24"/>
      <c r="D1010" s="24"/>
      <c r="E1010" s="24"/>
      <c r="G1010" s="50"/>
      <c r="H1010" s="24"/>
      <c r="K1010" s="25"/>
      <c r="L1010" s="25"/>
      <c r="M1010" s="77"/>
      <c r="N1010" s="24" t="s">
        <v>4125</v>
      </c>
    </row>
    <row r="1011">
      <c r="B1011" s="24"/>
      <c r="C1011" s="24"/>
      <c r="D1011" s="24"/>
      <c r="E1011" s="24"/>
      <c r="G1011" s="50"/>
      <c r="H1011" s="24"/>
      <c r="K1011" s="25"/>
      <c r="L1011" s="25"/>
      <c r="M1011" s="77"/>
      <c r="N1011" s="24" t="s">
        <v>4126</v>
      </c>
    </row>
    <row r="1012">
      <c r="B1012" s="24"/>
      <c r="C1012" s="24"/>
      <c r="D1012" s="24"/>
      <c r="E1012" s="24"/>
      <c r="G1012" s="50"/>
      <c r="H1012" s="24"/>
      <c r="K1012" s="25"/>
      <c r="L1012" s="25"/>
      <c r="M1012" s="77"/>
      <c r="N1012" s="24" t="s">
        <v>4127</v>
      </c>
    </row>
    <row r="1013">
      <c r="B1013" s="24"/>
      <c r="C1013" s="24"/>
      <c r="D1013" s="24"/>
      <c r="E1013" s="24"/>
      <c r="G1013" s="50"/>
      <c r="H1013" s="24"/>
      <c r="K1013" s="25"/>
      <c r="L1013" s="25"/>
      <c r="M1013" s="77"/>
      <c r="N1013" s="24" t="s">
        <v>4128</v>
      </c>
    </row>
    <row r="1014">
      <c r="B1014" s="24"/>
      <c r="C1014" s="24"/>
      <c r="D1014" s="24"/>
      <c r="E1014" s="24"/>
      <c r="G1014" s="50"/>
      <c r="H1014" s="24"/>
      <c r="K1014" s="25"/>
      <c r="L1014" s="25"/>
      <c r="M1014" s="77"/>
      <c r="N1014" s="24" t="s">
        <v>4129</v>
      </c>
    </row>
    <row r="1015">
      <c r="B1015" s="24"/>
      <c r="C1015" s="24"/>
      <c r="D1015" s="24"/>
      <c r="E1015" s="24"/>
      <c r="G1015" s="50"/>
      <c r="H1015" s="24"/>
      <c r="K1015" s="25"/>
      <c r="L1015" s="25"/>
      <c r="M1015" s="77"/>
      <c r="N1015" s="24" t="s">
        <v>4130</v>
      </c>
    </row>
    <row r="1016">
      <c r="B1016" s="24"/>
      <c r="C1016" s="24"/>
      <c r="D1016" s="24"/>
      <c r="E1016" s="24"/>
      <c r="G1016" s="50"/>
      <c r="H1016" s="24"/>
      <c r="K1016" s="25"/>
      <c r="L1016" s="25"/>
      <c r="M1016" s="77"/>
      <c r="N1016" s="24" t="s">
        <v>4131</v>
      </c>
    </row>
    <row r="1017">
      <c r="B1017" s="24"/>
      <c r="C1017" s="24"/>
      <c r="D1017" s="24"/>
      <c r="E1017" s="24"/>
      <c r="G1017" s="50"/>
      <c r="H1017" s="24"/>
      <c r="K1017" s="25"/>
      <c r="L1017" s="25"/>
      <c r="M1017" s="77"/>
      <c r="N1017" s="24" t="s">
        <v>4132</v>
      </c>
    </row>
    <row r="1018">
      <c r="B1018" s="24"/>
      <c r="C1018" s="24"/>
      <c r="D1018" s="24"/>
      <c r="E1018" s="24"/>
      <c r="G1018" s="50"/>
      <c r="H1018" s="24"/>
      <c r="K1018" s="25"/>
      <c r="L1018" s="25"/>
      <c r="M1018" s="77"/>
      <c r="N1018" s="24" t="s">
        <v>4133</v>
      </c>
    </row>
    <row r="1019">
      <c r="B1019" s="24"/>
      <c r="C1019" s="24"/>
      <c r="D1019" s="24"/>
      <c r="E1019" s="24"/>
      <c r="G1019" s="50"/>
      <c r="H1019" s="24"/>
      <c r="K1019" s="25"/>
      <c r="L1019" s="25"/>
      <c r="M1019" s="77"/>
      <c r="N1019" s="24" t="s">
        <v>4134</v>
      </c>
    </row>
    <row r="1020">
      <c r="B1020" s="24"/>
      <c r="C1020" s="24"/>
      <c r="D1020" s="24"/>
      <c r="E1020" s="24"/>
      <c r="G1020" s="50"/>
      <c r="H1020" s="24"/>
      <c r="K1020" s="25"/>
      <c r="L1020" s="25"/>
      <c r="M1020" s="77"/>
      <c r="N1020" s="24" t="s">
        <v>4135</v>
      </c>
    </row>
    <row r="1021">
      <c r="B1021" s="24"/>
      <c r="C1021" s="24"/>
      <c r="D1021" s="24"/>
      <c r="E1021" s="24"/>
      <c r="G1021" s="50"/>
      <c r="H1021" s="24"/>
      <c r="K1021" s="25"/>
      <c r="L1021" s="25"/>
      <c r="M1021" s="77"/>
      <c r="N1021" s="24" t="s">
        <v>4136</v>
      </c>
    </row>
    <row r="1022">
      <c r="B1022" s="24"/>
      <c r="C1022" s="24"/>
      <c r="D1022" s="24"/>
      <c r="E1022" s="24"/>
      <c r="G1022" s="50"/>
      <c r="H1022" s="24"/>
      <c r="K1022" s="25"/>
      <c r="L1022" s="25"/>
      <c r="M1022" s="77"/>
      <c r="N1022" s="24" t="s">
        <v>4137</v>
      </c>
    </row>
    <row r="1023">
      <c r="B1023" s="24"/>
      <c r="C1023" s="24"/>
      <c r="D1023" s="24"/>
      <c r="E1023" s="24"/>
      <c r="G1023" s="50"/>
      <c r="H1023" s="24"/>
      <c r="K1023" s="25"/>
      <c r="L1023" s="25"/>
      <c r="M1023" s="77"/>
      <c r="N1023" s="24" t="s">
        <v>4138</v>
      </c>
    </row>
    <row r="1024">
      <c r="B1024" s="24"/>
      <c r="C1024" s="24"/>
      <c r="D1024" s="24"/>
      <c r="E1024" s="24"/>
      <c r="G1024" s="50"/>
      <c r="H1024" s="24"/>
      <c r="K1024" s="25"/>
      <c r="L1024" s="25"/>
      <c r="M1024" s="77"/>
      <c r="N1024" s="24" t="s">
        <v>4139</v>
      </c>
    </row>
    <row r="1025">
      <c r="B1025" s="24"/>
      <c r="C1025" s="24"/>
      <c r="D1025" s="24"/>
      <c r="E1025" s="24"/>
      <c r="G1025" s="50"/>
      <c r="H1025" s="24"/>
      <c r="K1025" s="25"/>
      <c r="L1025" s="25"/>
      <c r="M1025" s="77"/>
      <c r="N1025" s="24" t="s">
        <v>4140</v>
      </c>
    </row>
    <row r="1026">
      <c r="B1026" s="24"/>
      <c r="C1026" s="24"/>
      <c r="D1026" s="24"/>
      <c r="E1026" s="24"/>
      <c r="G1026" s="50"/>
      <c r="H1026" s="24"/>
      <c r="K1026" s="25"/>
      <c r="L1026" s="25"/>
      <c r="M1026" s="77"/>
      <c r="N1026" s="24" t="s">
        <v>4141</v>
      </c>
    </row>
    <row r="1027">
      <c r="B1027" s="24"/>
      <c r="C1027" s="24"/>
      <c r="D1027" s="24"/>
      <c r="E1027" s="24"/>
      <c r="G1027" s="50"/>
      <c r="H1027" s="24"/>
      <c r="K1027" s="25"/>
      <c r="L1027" s="25"/>
      <c r="M1027" s="77"/>
      <c r="N1027" s="24" t="s">
        <v>4142</v>
      </c>
    </row>
    <row r="1028">
      <c r="B1028" s="24"/>
      <c r="C1028" s="24"/>
      <c r="D1028" s="24"/>
      <c r="E1028" s="24"/>
      <c r="G1028" s="50"/>
      <c r="H1028" s="24"/>
      <c r="K1028" s="25"/>
      <c r="L1028" s="25"/>
      <c r="M1028" s="77"/>
      <c r="N1028" s="24" t="s">
        <v>4143</v>
      </c>
    </row>
    <row r="1029">
      <c r="B1029" s="24"/>
      <c r="C1029" s="24"/>
      <c r="D1029" s="24"/>
      <c r="E1029" s="24"/>
      <c r="G1029" s="50"/>
      <c r="H1029" s="24"/>
      <c r="K1029" s="25"/>
      <c r="L1029" s="25"/>
      <c r="M1029" s="77"/>
      <c r="N1029" s="24" t="s">
        <v>4144</v>
      </c>
    </row>
    <row r="1030">
      <c r="B1030" s="24"/>
      <c r="C1030" s="24"/>
      <c r="D1030" s="24"/>
      <c r="E1030" s="24"/>
      <c r="G1030" s="50"/>
      <c r="H1030" s="24"/>
      <c r="K1030" s="25"/>
      <c r="L1030" s="25"/>
      <c r="M1030" s="77"/>
      <c r="N1030" s="24" t="s">
        <v>4145</v>
      </c>
    </row>
    <row r="1031">
      <c r="B1031" s="24"/>
      <c r="C1031" s="24"/>
      <c r="D1031" s="24"/>
      <c r="E1031" s="24"/>
      <c r="G1031" s="50"/>
      <c r="H1031" s="24"/>
      <c r="K1031" s="25"/>
      <c r="L1031" s="25"/>
      <c r="M1031" s="77"/>
      <c r="N1031" s="24" t="s">
        <v>4146</v>
      </c>
    </row>
    <row r="1032">
      <c r="B1032" s="24"/>
      <c r="C1032" s="24"/>
      <c r="D1032" s="24"/>
      <c r="E1032" s="24"/>
      <c r="G1032" s="50"/>
      <c r="H1032" s="24"/>
      <c r="K1032" s="25"/>
      <c r="L1032" s="25"/>
      <c r="M1032" s="77"/>
      <c r="N1032" s="24" t="s">
        <v>4147</v>
      </c>
    </row>
    <row r="1033">
      <c r="B1033" s="24"/>
      <c r="C1033" s="24"/>
      <c r="D1033" s="24"/>
      <c r="E1033" s="24"/>
      <c r="G1033" s="50"/>
      <c r="H1033" s="24"/>
      <c r="K1033" s="25"/>
      <c r="L1033" s="25"/>
      <c r="M1033" s="77"/>
      <c r="N1033" s="24" t="s">
        <v>4148</v>
      </c>
    </row>
    <row r="1034">
      <c r="B1034" s="24"/>
      <c r="C1034" s="24"/>
      <c r="D1034" s="24"/>
      <c r="E1034" s="24"/>
      <c r="G1034" s="50"/>
      <c r="H1034" s="24"/>
      <c r="K1034" s="25"/>
      <c r="L1034" s="25"/>
      <c r="M1034" s="77"/>
      <c r="N1034" s="24" t="s">
        <v>4149</v>
      </c>
    </row>
    <row r="1035">
      <c r="B1035" s="24"/>
      <c r="C1035" s="24"/>
      <c r="D1035" s="24"/>
      <c r="E1035" s="24"/>
      <c r="G1035" s="50"/>
      <c r="H1035" s="24"/>
      <c r="K1035" s="25"/>
      <c r="L1035" s="25"/>
      <c r="M1035" s="77"/>
      <c r="N1035" s="24" t="s">
        <v>4150</v>
      </c>
    </row>
    <row r="1036">
      <c r="B1036" s="24"/>
      <c r="C1036" s="24"/>
      <c r="D1036" s="24"/>
      <c r="E1036" s="24"/>
      <c r="G1036" s="50"/>
      <c r="H1036" s="24"/>
      <c r="K1036" s="25"/>
      <c r="L1036" s="25"/>
      <c r="M1036" s="77"/>
      <c r="N1036" s="24" t="s">
        <v>4151</v>
      </c>
    </row>
    <row r="1037">
      <c r="B1037" s="24"/>
      <c r="C1037" s="24"/>
      <c r="D1037" s="24"/>
      <c r="E1037" s="24"/>
      <c r="G1037" s="50"/>
      <c r="H1037" s="24"/>
      <c r="K1037" s="25"/>
      <c r="L1037" s="25"/>
      <c r="M1037" s="77"/>
      <c r="N1037" s="24" t="s">
        <v>4152</v>
      </c>
    </row>
    <row r="1038">
      <c r="B1038" s="24"/>
      <c r="C1038" s="24"/>
      <c r="D1038" s="24"/>
      <c r="E1038" s="24"/>
      <c r="G1038" s="50"/>
      <c r="H1038" s="24"/>
      <c r="K1038" s="25"/>
      <c r="L1038" s="25"/>
      <c r="M1038" s="77"/>
      <c r="N1038" s="24" t="s">
        <v>4153</v>
      </c>
    </row>
    <row r="1039">
      <c r="B1039" s="24"/>
      <c r="C1039" s="24"/>
      <c r="D1039" s="24"/>
      <c r="E1039" s="24"/>
      <c r="G1039" s="50"/>
      <c r="H1039" s="24"/>
      <c r="K1039" s="25"/>
      <c r="L1039" s="25"/>
      <c r="M1039" s="77"/>
      <c r="N1039" s="24" t="s">
        <v>4154</v>
      </c>
    </row>
    <row r="1040">
      <c r="B1040" s="24"/>
      <c r="C1040" s="24"/>
      <c r="D1040" s="24"/>
      <c r="E1040" s="24"/>
      <c r="G1040" s="50"/>
      <c r="H1040" s="24"/>
      <c r="K1040" s="25"/>
      <c r="L1040" s="25"/>
      <c r="M1040" s="77"/>
      <c r="N1040" s="24" t="s">
        <v>4155</v>
      </c>
    </row>
    <row r="1041">
      <c r="B1041" s="24"/>
      <c r="C1041" s="24"/>
      <c r="D1041" s="24"/>
      <c r="E1041" s="24"/>
      <c r="G1041" s="50"/>
      <c r="H1041" s="24"/>
      <c r="K1041" s="25"/>
      <c r="L1041" s="25"/>
      <c r="M1041" s="77"/>
      <c r="N1041" s="24" t="s">
        <v>4156</v>
      </c>
    </row>
    <row r="1042">
      <c r="B1042" s="24"/>
      <c r="C1042" s="24"/>
      <c r="D1042" s="24"/>
      <c r="E1042" s="24"/>
      <c r="G1042" s="50"/>
      <c r="H1042" s="24"/>
      <c r="K1042" s="25"/>
      <c r="L1042" s="25"/>
      <c r="M1042" s="77"/>
      <c r="N1042" s="24" t="s">
        <v>4157</v>
      </c>
    </row>
    <row r="1043">
      <c r="B1043" s="24"/>
      <c r="C1043" s="24"/>
      <c r="D1043" s="24"/>
      <c r="E1043" s="24"/>
      <c r="G1043" s="50"/>
      <c r="H1043" s="24"/>
      <c r="K1043" s="25"/>
      <c r="L1043" s="25"/>
      <c r="M1043" s="77"/>
      <c r="N1043" s="24" t="s">
        <v>4158</v>
      </c>
    </row>
    <row r="1044">
      <c r="B1044" s="24"/>
      <c r="C1044" s="24"/>
      <c r="D1044" s="24"/>
      <c r="E1044" s="24"/>
      <c r="G1044" s="50"/>
      <c r="H1044" s="24"/>
      <c r="K1044" s="25"/>
      <c r="L1044" s="25"/>
      <c r="M1044" s="77"/>
      <c r="N1044" s="24" t="s">
        <v>4159</v>
      </c>
    </row>
    <row r="1045">
      <c r="B1045" s="24"/>
      <c r="C1045" s="24"/>
      <c r="D1045" s="24"/>
      <c r="E1045" s="24"/>
      <c r="G1045" s="50"/>
      <c r="H1045" s="24"/>
      <c r="K1045" s="25"/>
      <c r="L1045" s="25"/>
      <c r="M1045" s="77"/>
      <c r="N1045" s="24" t="s">
        <v>4160</v>
      </c>
    </row>
    <row r="1046">
      <c r="B1046" s="24"/>
      <c r="C1046" s="24"/>
      <c r="D1046" s="24"/>
      <c r="E1046" s="24"/>
      <c r="G1046" s="50"/>
      <c r="H1046" s="24"/>
      <c r="K1046" s="25"/>
      <c r="L1046" s="25"/>
      <c r="M1046" s="77"/>
      <c r="N1046" s="24" t="s">
        <v>4161</v>
      </c>
    </row>
    <row r="1047">
      <c r="B1047" s="24"/>
      <c r="C1047" s="24"/>
      <c r="D1047" s="24"/>
      <c r="E1047" s="24"/>
      <c r="G1047" s="50"/>
      <c r="H1047" s="24"/>
      <c r="K1047" s="25"/>
      <c r="L1047" s="25"/>
      <c r="M1047" s="77"/>
      <c r="N1047" s="24" t="s">
        <v>4162</v>
      </c>
    </row>
    <row r="1048">
      <c r="B1048" s="24"/>
      <c r="C1048" s="24"/>
      <c r="D1048" s="24"/>
      <c r="E1048" s="24"/>
      <c r="G1048" s="50"/>
      <c r="H1048" s="24"/>
      <c r="K1048" s="25"/>
      <c r="L1048" s="25"/>
      <c r="M1048" s="77"/>
      <c r="N1048" s="24" t="s">
        <v>4163</v>
      </c>
    </row>
    <row r="1049">
      <c r="B1049" s="24"/>
      <c r="C1049" s="24"/>
      <c r="D1049" s="24"/>
      <c r="E1049" s="24"/>
      <c r="G1049" s="50"/>
      <c r="H1049" s="24"/>
      <c r="K1049" s="25"/>
      <c r="L1049" s="25"/>
      <c r="M1049" s="77"/>
      <c r="N1049" s="24" t="s">
        <v>4164</v>
      </c>
    </row>
    <row r="1050">
      <c r="B1050" s="24"/>
      <c r="C1050" s="24"/>
      <c r="D1050" s="24"/>
      <c r="E1050" s="24"/>
      <c r="G1050" s="50"/>
      <c r="H1050" s="24"/>
      <c r="K1050" s="25"/>
      <c r="L1050" s="25"/>
      <c r="M1050" s="77"/>
      <c r="N1050" s="24" t="s">
        <v>4165</v>
      </c>
    </row>
    <row r="1051">
      <c r="B1051" s="24"/>
      <c r="C1051" s="24"/>
      <c r="D1051" s="24"/>
      <c r="E1051" s="24"/>
      <c r="G1051" s="50"/>
      <c r="H1051" s="24"/>
      <c r="K1051" s="25"/>
      <c r="L1051" s="25"/>
      <c r="M1051" s="77"/>
      <c r="N1051" s="24" t="s">
        <v>4166</v>
      </c>
    </row>
    <row r="1052">
      <c r="B1052" s="24"/>
      <c r="C1052" s="24"/>
      <c r="D1052" s="24"/>
      <c r="E1052" s="24"/>
      <c r="G1052" s="50"/>
      <c r="H1052" s="24"/>
      <c r="K1052" s="25"/>
      <c r="L1052" s="25"/>
      <c r="M1052" s="77"/>
      <c r="N1052" s="24" t="s">
        <v>4167</v>
      </c>
    </row>
    <row r="1053">
      <c r="B1053" s="24"/>
      <c r="C1053" s="24"/>
      <c r="D1053" s="24"/>
      <c r="E1053" s="24"/>
      <c r="G1053" s="50"/>
      <c r="H1053" s="24"/>
      <c r="K1053" s="25"/>
      <c r="L1053" s="25"/>
      <c r="M1053" s="77"/>
      <c r="N1053" s="24" t="s">
        <v>4168</v>
      </c>
    </row>
    <row r="1054">
      <c r="B1054" s="24"/>
      <c r="C1054" s="24"/>
      <c r="D1054" s="24"/>
      <c r="E1054" s="24"/>
      <c r="G1054" s="50"/>
      <c r="H1054" s="24"/>
      <c r="K1054" s="25"/>
      <c r="L1054" s="25"/>
      <c r="M1054" s="77"/>
      <c r="N1054" s="24" t="s">
        <v>4169</v>
      </c>
    </row>
    <row r="1055">
      <c r="B1055" s="24"/>
      <c r="C1055" s="24"/>
      <c r="D1055" s="24"/>
      <c r="E1055" s="24"/>
      <c r="G1055" s="50"/>
      <c r="H1055" s="24"/>
      <c r="K1055" s="25"/>
      <c r="L1055" s="25"/>
      <c r="M1055" s="77"/>
      <c r="N1055" s="24" t="s">
        <v>4170</v>
      </c>
    </row>
    <row r="1056">
      <c r="B1056" s="24"/>
      <c r="C1056" s="24"/>
      <c r="D1056" s="24"/>
      <c r="E1056" s="24"/>
      <c r="G1056" s="50"/>
      <c r="H1056" s="24"/>
      <c r="K1056" s="25"/>
      <c r="L1056" s="25"/>
      <c r="M1056" s="77"/>
      <c r="N1056" s="24" t="s">
        <v>4171</v>
      </c>
    </row>
    <row r="1057">
      <c r="B1057" s="24"/>
      <c r="C1057" s="24"/>
      <c r="D1057" s="24"/>
      <c r="E1057" s="24"/>
      <c r="G1057" s="50"/>
      <c r="H1057" s="24"/>
      <c r="K1057" s="25"/>
      <c r="L1057" s="25"/>
      <c r="M1057" s="77"/>
      <c r="N1057" s="24" t="s">
        <v>4172</v>
      </c>
    </row>
    <row r="1058">
      <c r="B1058" s="24"/>
      <c r="C1058" s="24"/>
      <c r="D1058" s="24"/>
      <c r="E1058" s="24"/>
      <c r="G1058" s="50"/>
      <c r="H1058" s="24"/>
      <c r="K1058" s="25"/>
      <c r="L1058" s="25"/>
      <c r="M1058" s="77"/>
      <c r="N1058" s="24" t="s">
        <v>4173</v>
      </c>
    </row>
    <row r="1059">
      <c r="B1059" s="24"/>
      <c r="C1059" s="24"/>
      <c r="D1059" s="24"/>
      <c r="E1059" s="24"/>
      <c r="G1059" s="50"/>
      <c r="H1059" s="24"/>
      <c r="K1059" s="25"/>
      <c r="L1059" s="25"/>
      <c r="M1059" s="77"/>
      <c r="N1059" s="24" t="s">
        <v>4174</v>
      </c>
    </row>
    <row r="1060">
      <c r="B1060" s="24"/>
      <c r="C1060" s="24"/>
      <c r="D1060" s="24"/>
      <c r="E1060" s="24"/>
      <c r="G1060" s="50"/>
      <c r="H1060" s="24"/>
      <c r="K1060" s="25"/>
      <c r="L1060" s="25"/>
      <c r="M1060" s="77"/>
      <c r="N1060" s="24" t="s">
        <v>4175</v>
      </c>
    </row>
    <row r="1061">
      <c r="B1061" s="24"/>
      <c r="C1061" s="24"/>
      <c r="D1061" s="24"/>
      <c r="E1061" s="24"/>
      <c r="G1061" s="50"/>
      <c r="H1061" s="24"/>
      <c r="K1061" s="25"/>
      <c r="L1061" s="25"/>
      <c r="M1061" s="77"/>
      <c r="N1061" s="24" t="s">
        <v>4176</v>
      </c>
    </row>
    <row r="1062">
      <c r="B1062" s="24"/>
      <c r="C1062" s="24"/>
      <c r="D1062" s="24"/>
      <c r="E1062" s="24"/>
      <c r="G1062" s="50"/>
      <c r="H1062" s="24"/>
      <c r="K1062" s="25"/>
      <c r="L1062" s="25"/>
      <c r="M1062" s="77"/>
      <c r="N1062" s="24" t="s">
        <v>4177</v>
      </c>
    </row>
    <row r="1063">
      <c r="B1063" s="24"/>
      <c r="C1063" s="24"/>
      <c r="D1063" s="24"/>
      <c r="E1063" s="24"/>
      <c r="G1063" s="50"/>
      <c r="H1063" s="24"/>
      <c r="K1063" s="25"/>
      <c r="L1063" s="25"/>
      <c r="M1063" s="77"/>
      <c r="N1063" s="24" t="s">
        <v>4178</v>
      </c>
    </row>
    <row r="1064">
      <c r="B1064" s="24"/>
      <c r="C1064" s="24"/>
      <c r="D1064" s="24"/>
      <c r="E1064" s="24"/>
      <c r="G1064" s="50"/>
      <c r="H1064" s="24"/>
      <c r="K1064" s="25"/>
      <c r="L1064" s="25"/>
      <c r="M1064" s="77"/>
      <c r="N1064" s="24" t="s">
        <v>4179</v>
      </c>
    </row>
    <row r="1065">
      <c r="B1065" s="24"/>
      <c r="C1065" s="24"/>
      <c r="D1065" s="24"/>
      <c r="E1065" s="24"/>
      <c r="G1065" s="50"/>
      <c r="H1065" s="24"/>
      <c r="K1065" s="25"/>
      <c r="L1065" s="25"/>
      <c r="M1065" s="77"/>
      <c r="N1065" s="24" t="s">
        <v>4180</v>
      </c>
    </row>
    <row r="1066">
      <c r="B1066" s="24"/>
      <c r="C1066" s="24"/>
      <c r="D1066" s="24"/>
      <c r="E1066" s="24"/>
      <c r="G1066" s="50"/>
      <c r="H1066" s="24"/>
      <c r="K1066" s="25"/>
      <c r="L1066" s="25"/>
      <c r="M1066" s="77"/>
      <c r="N1066" s="24" t="s">
        <v>4181</v>
      </c>
    </row>
    <row r="1067">
      <c r="B1067" s="24"/>
      <c r="C1067" s="24"/>
      <c r="D1067" s="24"/>
      <c r="E1067" s="24"/>
      <c r="G1067" s="50"/>
      <c r="H1067" s="24"/>
      <c r="K1067" s="25"/>
      <c r="L1067" s="25"/>
      <c r="M1067" s="77"/>
      <c r="N1067" s="24" t="s">
        <v>4182</v>
      </c>
    </row>
    <row r="1068">
      <c r="B1068" s="24"/>
      <c r="C1068" s="24"/>
      <c r="D1068" s="24"/>
      <c r="E1068" s="24"/>
      <c r="G1068" s="50"/>
      <c r="H1068" s="24"/>
      <c r="K1068" s="25"/>
      <c r="L1068" s="25"/>
      <c r="M1068" s="77"/>
      <c r="N1068" s="24" t="s">
        <v>4183</v>
      </c>
    </row>
    <row r="1069">
      <c r="B1069" s="24"/>
      <c r="C1069" s="24"/>
      <c r="D1069" s="24"/>
      <c r="E1069" s="24"/>
      <c r="G1069" s="50"/>
      <c r="H1069" s="24"/>
      <c r="K1069" s="25"/>
      <c r="L1069" s="25"/>
      <c r="M1069" s="77"/>
      <c r="N1069" s="24" t="s">
        <v>4184</v>
      </c>
    </row>
    <row r="1070">
      <c r="B1070" s="24"/>
      <c r="C1070" s="24"/>
      <c r="D1070" s="24"/>
      <c r="E1070" s="24"/>
      <c r="G1070" s="50"/>
      <c r="H1070" s="24"/>
      <c r="K1070" s="25"/>
      <c r="L1070" s="25"/>
      <c r="M1070" s="77"/>
      <c r="N1070" s="24" t="s">
        <v>4185</v>
      </c>
    </row>
    <row r="1071">
      <c r="B1071" s="24"/>
      <c r="C1071" s="24"/>
      <c r="D1071" s="24"/>
      <c r="E1071" s="24"/>
      <c r="G1071" s="50"/>
      <c r="H1071" s="24"/>
      <c r="K1071" s="25"/>
      <c r="L1071" s="25"/>
      <c r="M1071" s="77"/>
      <c r="N1071" s="24" t="s">
        <v>4186</v>
      </c>
    </row>
    <row r="1072">
      <c r="B1072" s="24"/>
      <c r="C1072" s="24"/>
      <c r="D1072" s="24"/>
      <c r="E1072" s="24"/>
      <c r="G1072" s="50"/>
      <c r="H1072" s="24"/>
      <c r="K1072" s="25"/>
      <c r="L1072" s="25"/>
      <c r="M1072" s="77"/>
      <c r="N1072" s="24" t="s">
        <v>4187</v>
      </c>
    </row>
    <row r="1073">
      <c r="B1073" s="24"/>
      <c r="C1073" s="24"/>
      <c r="D1073" s="24"/>
      <c r="E1073" s="24"/>
      <c r="G1073" s="50"/>
      <c r="H1073" s="24"/>
      <c r="K1073" s="25"/>
      <c r="L1073" s="25"/>
      <c r="M1073" s="77"/>
      <c r="N1073" s="24" t="s">
        <v>4188</v>
      </c>
    </row>
    <row r="1074">
      <c r="B1074" s="24"/>
      <c r="C1074" s="24"/>
      <c r="D1074" s="24"/>
      <c r="E1074" s="24"/>
      <c r="G1074" s="50"/>
      <c r="H1074" s="24"/>
      <c r="K1074" s="25"/>
      <c r="L1074" s="25"/>
      <c r="M1074" s="77"/>
      <c r="N1074" s="24" t="s">
        <v>4189</v>
      </c>
    </row>
    <row r="1075">
      <c r="B1075" s="24"/>
      <c r="C1075" s="24"/>
      <c r="D1075" s="24"/>
      <c r="E1075" s="24"/>
      <c r="G1075" s="50"/>
      <c r="H1075" s="24"/>
      <c r="K1075" s="25"/>
      <c r="L1075" s="25"/>
      <c r="M1075" s="77"/>
      <c r="N1075" s="24" t="s">
        <v>4190</v>
      </c>
    </row>
    <row r="1076">
      <c r="B1076" s="24"/>
      <c r="C1076" s="24"/>
      <c r="D1076" s="24"/>
      <c r="E1076" s="24"/>
      <c r="G1076" s="50"/>
      <c r="H1076" s="24"/>
      <c r="K1076" s="25"/>
      <c r="L1076" s="25"/>
      <c r="M1076" s="77"/>
      <c r="N1076" s="24" t="s">
        <v>4191</v>
      </c>
    </row>
    <row r="1077">
      <c r="B1077" s="24"/>
      <c r="C1077" s="24"/>
      <c r="D1077" s="24"/>
      <c r="E1077" s="24"/>
      <c r="G1077" s="50"/>
      <c r="H1077" s="24"/>
      <c r="K1077" s="25"/>
      <c r="L1077" s="25"/>
      <c r="M1077" s="77"/>
      <c r="N1077" s="134" t="s">
        <v>4192</v>
      </c>
    </row>
    <row r="1078">
      <c r="B1078" s="24"/>
      <c r="C1078" s="24"/>
      <c r="D1078" s="24"/>
      <c r="E1078" s="24"/>
      <c r="G1078" s="50"/>
      <c r="H1078" s="24"/>
      <c r="K1078" s="25"/>
      <c r="L1078" s="25"/>
      <c r="M1078" s="77"/>
      <c r="N1078" s="24" t="s">
        <v>4193</v>
      </c>
    </row>
    <row r="1079">
      <c r="B1079" s="24"/>
      <c r="C1079" s="24"/>
      <c r="D1079" s="24"/>
      <c r="E1079" s="24"/>
      <c r="G1079" s="50"/>
      <c r="H1079" s="24"/>
      <c r="K1079" s="25"/>
      <c r="L1079" s="25"/>
      <c r="M1079" s="77"/>
      <c r="N1079" s="24" t="s">
        <v>4194</v>
      </c>
    </row>
    <row r="1080">
      <c r="B1080" s="24"/>
      <c r="C1080" s="24"/>
      <c r="D1080" s="24"/>
      <c r="E1080" s="24"/>
      <c r="G1080" s="50"/>
      <c r="H1080" s="24"/>
      <c r="K1080" s="25"/>
      <c r="L1080" s="25"/>
      <c r="M1080" s="77"/>
      <c r="N1080" s="24" t="s">
        <v>4195</v>
      </c>
    </row>
    <row r="1081">
      <c r="B1081" s="24"/>
      <c r="C1081" s="24"/>
      <c r="D1081" s="24"/>
      <c r="E1081" s="24"/>
      <c r="G1081" s="50"/>
      <c r="H1081" s="24"/>
      <c r="K1081" s="25"/>
      <c r="L1081" s="25"/>
      <c r="M1081" s="77"/>
      <c r="N1081" s="24" t="s">
        <v>4196</v>
      </c>
    </row>
    <row r="1082">
      <c r="B1082" s="24"/>
      <c r="C1082" s="24"/>
      <c r="D1082" s="24"/>
      <c r="E1082" s="24"/>
      <c r="G1082" s="50"/>
      <c r="H1082" s="24"/>
      <c r="K1082" s="25"/>
      <c r="L1082" s="25"/>
      <c r="M1082" s="77"/>
      <c r="N1082" s="24" t="s">
        <v>4197</v>
      </c>
    </row>
    <row r="1083">
      <c r="B1083" s="24"/>
      <c r="C1083" s="24"/>
      <c r="D1083" s="24"/>
      <c r="E1083" s="24"/>
      <c r="G1083" s="50"/>
      <c r="H1083" s="24"/>
      <c r="K1083" s="25"/>
      <c r="L1083" s="25"/>
      <c r="M1083" s="77"/>
      <c r="N1083" s="24" t="s">
        <v>4198</v>
      </c>
    </row>
    <row r="1084">
      <c r="B1084" s="24"/>
      <c r="C1084" s="24"/>
      <c r="D1084" s="24"/>
      <c r="E1084" s="24"/>
      <c r="G1084" s="50"/>
      <c r="H1084" s="24"/>
      <c r="K1084" s="25"/>
      <c r="L1084" s="25"/>
      <c r="M1084" s="77"/>
      <c r="N1084" s="24" t="s">
        <v>4199</v>
      </c>
    </row>
    <row r="1085">
      <c r="B1085" s="24"/>
      <c r="C1085" s="24"/>
      <c r="D1085" s="24"/>
      <c r="E1085" s="24"/>
      <c r="G1085" s="50"/>
      <c r="H1085" s="24"/>
      <c r="K1085" s="25"/>
      <c r="L1085" s="25"/>
      <c r="M1085" s="77"/>
      <c r="N1085" s="24" t="s">
        <v>4200</v>
      </c>
    </row>
    <row r="1086">
      <c r="B1086" s="24"/>
      <c r="C1086" s="24"/>
      <c r="D1086" s="24"/>
      <c r="E1086" s="24"/>
      <c r="G1086" s="50"/>
      <c r="H1086" s="24"/>
      <c r="K1086" s="25"/>
      <c r="L1086" s="25"/>
      <c r="M1086" s="77"/>
      <c r="N1086" s="24" t="s">
        <v>4201</v>
      </c>
    </row>
    <row r="1087">
      <c r="B1087" s="24"/>
      <c r="C1087" s="24"/>
      <c r="D1087" s="24"/>
      <c r="E1087" s="24"/>
      <c r="G1087" s="50"/>
      <c r="H1087" s="24"/>
      <c r="K1087" s="25"/>
      <c r="L1087" s="25"/>
      <c r="M1087" s="77"/>
      <c r="N1087" s="24" t="s">
        <v>4202</v>
      </c>
    </row>
    <row r="1088">
      <c r="B1088" s="24"/>
      <c r="C1088" s="24"/>
      <c r="D1088" s="24"/>
      <c r="E1088" s="24"/>
      <c r="G1088" s="50"/>
      <c r="H1088" s="24"/>
      <c r="K1088" s="25"/>
      <c r="L1088" s="25"/>
      <c r="M1088" s="77"/>
      <c r="N1088" s="24" t="s">
        <v>4203</v>
      </c>
    </row>
    <row r="1089">
      <c r="B1089" s="24"/>
      <c r="C1089" s="24"/>
      <c r="D1089" s="24"/>
      <c r="E1089" s="24"/>
      <c r="G1089" s="50"/>
      <c r="H1089" s="24"/>
      <c r="K1089" s="25"/>
      <c r="L1089" s="25"/>
      <c r="M1089" s="77"/>
      <c r="N1089" s="24" t="s">
        <v>4204</v>
      </c>
    </row>
    <row r="1090">
      <c r="B1090" s="24"/>
      <c r="C1090" s="24"/>
      <c r="D1090" s="24"/>
      <c r="E1090" s="24"/>
      <c r="G1090" s="50"/>
      <c r="H1090" s="24"/>
      <c r="K1090" s="25"/>
      <c r="L1090" s="25"/>
      <c r="M1090" s="77"/>
      <c r="N1090" s="24" t="s">
        <v>4205</v>
      </c>
    </row>
    <row r="1091">
      <c r="B1091" s="24"/>
      <c r="C1091" s="24"/>
      <c r="D1091" s="24"/>
      <c r="E1091" s="24"/>
      <c r="G1091" s="50"/>
      <c r="H1091" s="24"/>
      <c r="K1091" s="25"/>
      <c r="L1091" s="25"/>
      <c r="M1091" s="77"/>
      <c r="N1091" s="24" t="s">
        <v>4206</v>
      </c>
    </row>
    <row r="1092">
      <c r="B1092" s="24"/>
      <c r="C1092" s="24"/>
      <c r="D1092" s="24"/>
      <c r="E1092" s="24"/>
      <c r="G1092" s="50"/>
      <c r="H1092" s="24"/>
      <c r="K1092" s="25"/>
      <c r="L1092" s="25"/>
      <c r="M1092" s="77"/>
      <c r="N1092" s="24" t="s">
        <v>4207</v>
      </c>
    </row>
    <row r="1093">
      <c r="B1093" s="24"/>
      <c r="C1093" s="24"/>
      <c r="D1093" s="24"/>
      <c r="E1093" s="24"/>
      <c r="G1093" s="50"/>
      <c r="H1093" s="24"/>
      <c r="K1093" s="25"/>
      <c r="L1093" s="25"/>
      <c r="M1093" s="77"/>
      <c r="N1093" s="24" t="s">
        <v>4208</v>
      </c>
    </row>
    <row r="1094">
      <c r="B1094" s="24"/>
      <c r="C1094" s="24"/>
      <c r="D1094" s="24"/>
      <c r="E1094" s="24"/>
      <c r="G1094" s="50"/>
      <c r="H1094" s="24"/>
      <c r="K1094" s="25"/>
      <c r="L1094" s="25"/>
      <c r="M1094" s="77"/>
      <c r="N1094" s="24" t="s">
        <v>4209</v>
      </c>
    </row>
    <row r="1095">
      <c r="B1095" s="24"/>
      <c r="C1095" s="24"/>
      <c r="D1095" s="24"/>
      <c r="E1095" s="24"/>
      <c r="G1095" s="50"/>
      <c r="H1095" s="24"/>
      <c r="K1095" s="25"/>
      <c r="L1095" s="25"/>
      <c r="M1095" s="77"/>
      <c r="N1095" s="24" t="s">
        <v>4210</v>
      </c>
    </row>
    <row r="1096">
      <c r="B1096" s="24"/>
      <c r="C1096" s="24"/>
      <c r="D1096" s="24"/>
      <c r="E1096" s="24"/>
      <c r="G1096" s="50"/>
      <c r="H1096" s="24"/>
      <c r="K1096" s="25"/>
      <c r="L1096" s="25"/>
      <c r="M1096" s="77"/>
      <c r="N1096" s="24" t="s">
        <v>4211</v>
      </c>
    </row>
    <row r="1097">
      <c r="B1097" s="24"/>
      <c r="C1097" s="24"/>
      <c r="D1097" s="24"/>
      <c r="E1097" s="24"/>
      <c r="G1097" s="50"/>
      <c r="H1097" s="24"/>
      <c r="K1097" s="25"/>
      <c r="L1097" s="25"/>
      <c r="M1097" s="77"/>
      <c r="N1097" s="24" t="s">
        <v>4212</v>
      </c>
    </row>
    <row r="1098">
      <c r="B1098" s="24"/>
      <c r="C1098" s="24"/>
      <c r="D1098" s="24"/>
      <c r="E1098" s="24"/>
      <c r="G1098" s="50"/>
      <c r="H1098" s="24"/>
      <c r="K1098" s="25"/>
      <c r="L1098" s="25"/>
      <c r="M1098" s="77"/>
      <c r="N1098" s="24" t="s">
        <v>4213</v>
      </c>
    </row>
    <row r="1099">
      <c r="B1099" s="24"/>
      <c r="C1099" s="24"/>
      <c r="D1099" s="24"/>
      <c r="E1099" s="24"/>
      <c r="G1099" s="50"/>
      <c r="H1099" s="24"/>
      <c r="K1099" s="25"/>
      <c r="L1099" s="25"/>
      <c r="M1099" s="77"/>
      <c r="N1099" s="24" t="s">
        <v>4214</v>
      </c>
    </row>
    <row r="1100">
      <c r="B1100" s="24"/>
      <c r="C1100" s="24"/>
      <c r="D1100" s="24"/>
      <c r="E1100" s="24"/>
      <c r="G1100" s="50"/>
      <c r="H1100" s="24"/>
      <c r="K1100" s="25"/>
      <c r="L1100" s="25"/>
      <c r="M1100" s="77"/>
      <c r="N1100" s="24" t="s">
        <v>4215</v>
      </c>
    </row>
    <row r="1101">
      <c r="B1101" s="24"/>
      <c r="C1101" s="24"/>
      <c r="D1101" s="24"/>
      <c r="E1101" s="24"/>
      <c r="G1101" s="50"/>
      <c r="H1101" s="24"/>
      <c r="K1101" s="25"/>
      <c r="L1101" s="25"/>
      <c r="M1101" s="77"/>
      <c r="N1101" s="24" t="s">
        <v>4216</v>
      </c>
    </row>
    <row r="1102">
      <c r="B1102" s="24"/>
      <c r="C1102" s="24"/>
      <c r="D1102" s="24"/>
      <c r="E1102" s="24"/>
      <c r="G1102" s="50"/>
      <c r="H1102" s="24"/>
      <c r="K1102" s="25"/>
      <c r="L1102" s="25"/>
      <c r="M1102" s="77"/>
      <c r="N1102" s="24" t="s">
        <v>4217</v>
      </c>
    </row>
    <row r="1103">
      <c r="B1103" s="24"/>
      <c r="C1103" s="24"/>
      <c r="D1103" s="24"/>
      <c r="E1103" s="24"/>
      <c r="G1103" s="50"/>
      <c r="H1103" s="24"/>
      <c r="K1103" s="25"/>
      <c r="L1103" s="25"/>
      <c r="M1103" s="77"/>
      <c r="N1103" s="24" t="s">
        <v>4218</v>
      </c>
    </row>
    <row r="1104">
      <c r="B1104" s="24"/>
      <c r="C1104" s="24"/>
      <c r="D1104" s="24"/>
      <c r="E1104" s="24"/>
      <c r="G1104" s="50"/>
      <c r="H1104" s="24"/>
      <c r="K1104" s="25"/>
      <c r="L1104" s="25"/>
      <c r="M1104" s="77"/>
      <c r="N1104" s="24" t="s">
        <v>4219</v>
      </c>
    </row>
    <row r="1105">
      <c r="B1105" s="24"/>
      <c r="C1105" s="24"/>
      <c r="D1105" s="24"/>
      <c r="E1105" s="24"/>
      <c r="G1105" s="50"/>
      <c r="H1105" s="24"/>
      <c r="K1105" s="25"/>
      <c r="L1105" s="25"/>
      <c r="M1105" s="77"/>
      <c r="N1105" s="24" t="s">
        <v>4220</v>
      </c>
    </row>
    <row r="1106">
      <c r="B1106" s="24"/>
      <c r="C1106" s="24"/>
      <c r="D1106" s="24"/>
      <c r="E1106" s="24"/>
      <c r="G1106" s="50"/>
      <c r="H1106" s="24"/>
      <c r="K1106" s="25"/>
      <c r="L1106" s="25"/>
      <c r="M1106" s="77"/>
      <c r="N1106" s="24" t="s">
        <v>4221</v>
      </c>
    </row>
    <row r="1107">
      <c r="B1107" s="24"/>
      <c r="C1107" s="24"/>
      <c r="D1107" s="24"/>
      <c r="E1107" s="24"/>
      <c r="G1107" s="50"/>
      <c r="H1107" s="24"/>
      <c r="K1107" s="25"/>
      <c r="L1107" s="25"/>
      <c r="M1107" s="77"/>
      <c r="N1107" s="24" t="s">
        <v>4222</v>
      </c>
    </row>
    <row r="1108">
      <c r="B1108" s="24"/>
      <c r="C1108" s="24"/>
      <c r="D1108" s="24"/>
      <c r="E1108" s="24"/>
      <c r="G1108" s="50"/>
      <c r="H1108" s="24"/>
      <c r="K1108" s="25"/>
      <c r="L1108" s="25"/>
      <c r="M1108" s="77"/>
      <c r="N1108" s="24" t="s">
        <v>4223</v>
      </c>
    </row>
    <row r="1109">
      <c r="B1109" s="24"/>
      <c r="C1109" s="24"/>
      <c r="D1109" s="24"/>
      <c r="E1109" s="24"/>
      <c r="G1109" s="50"/>
      <c r="H1109" s="24"/>
      <c r="K1109" s="25"/>
      <c r="L1109" s="25"/>
      <c r="M1109" s="77"/>
      <c r="N1109" s="24" t="s">
        <v>4224</v>
      </c>
    </row>
    <row r="1110">
      <c r="B1110" s="24"/>
      <c r="C1110" s="24"/>
      <c r="D1110" s="24"/>
      <c r="E1110" s="24"/>
      <c r="G1110" s="50"/>
      <c r="H1110" s="24"/>
      <c r="K1110" s="25"/>
      <c r="L1110" s="25"/>
      <c r="M1110" s="77"/>
      <c r="N1110" s="24" t="s">
        <v>4225</v>
      </c>
    </row>
    <row r="1111">
      <c r="B1111" s="24"/>
      <c r="C1111" s="24"/>
      <c r="D1111" s="24"/>
      <c r="E1111" s="24"/>
      <c r="G1111" s="50"/>
      <c r="H1111" s="24"/>
      <c r="K1111" s="25"/>
      <c r="L1111" s="25"/>
      <c r="M1111" s="77"/>
      <c r="N1111" s="24" t="s">
        <v>4226</v>
      </c>
    </row>
    <row r="1112">
      <c r="B1112" s="24"/>
      <c r="C1112" s="24"/>
      <c r="D1112" s="24"/>
      <c r="E1112" s="24"/>
      <c r="G1112" s="50"/>
      <c r="H1112" s="24"/>
      <c r="K1112" s="25"/>
      <c r="L1112" s="25"/>
      <c r="M1112" s="77"/>
      <c r="N1112" s="24" t="s">
        <v>4227</v>
      </c>
    </row>
    <row r="1113">
      <c r="B1113" s="24"/>
      <c r="C1113" s="24"/>
      <c r="D1113" s="24"/>
      <c r="E1113" s="24"/>
      <c r="G1113" s="50"/>
      <c r="H1113" s="24"/>
      <c r="K1113" s="25"/>
      <c r="L1113" s="25"/>
      <c r="M1113" s="77"/>
      <c r="N1113" s="24" t="s">
        <v>4228</v>
      </c>
    </row>
    <row r="1114">
      <c r="B1114" s="24"/>
      <c r="C1114" s="24"/>
      <c r="D1114" s="24"/>
      <c r="E1114" s="24"/>
      <c r="G1114" s="50"/>
      <c r="H1114" s="24"/>
      <c r="K1114" s="25"/>
      <c r="L1114" s="25"/>
      <c r="M1114" s="77"/>
      <c r="N1114" s="24" t="s">
        <v>4229</v>
      </c>
    </row>
    <row r="1115">
      <c r="B1115" s="24"/>
      <c r="C1115" s="24"/>
      <c r="D1115" s="24"/>
      <c r="E1115" s="24"/>
      <c r="G1115" s="50"/>
      <c r="H1115" s="24"/>
      <c r="K1115" s="25"/>
      <c r="L1115" s="25"/>
      <c r="M1115" s="77"/>
      <c r="N1115" s="24" t="s">
        <v>4230</v>
      </c>
    </row>
    <row r="1116">
      <c r="B1116" s="24"/>
      <c r="C1116" s="24"/>
      <c r="D1116" s="24"/>
      <c r="E1116" s="24"/>
      <c r="G1116" s="50"/>
      <c r="H1116" s="24"/>
      <c r="K1116" s="25"/>
      <c r="L1116" s="25"/>
      <c r="M1116" s="77"/>
      <c r="N1116" s="24" t="s">
        <v>4231</v>
      </c>
    </row>
    <row r="1117">
      <c r="B1117" s="24"/>
      <c r="C1117" s="24"/>
      <c r="D1117" s="24"/>
      <c r="E1117" s="24"/>
      <c r="G1117" s="50"/>
      <c r="H1117" s="24"/>
      <c r="K1117" s="25"/>
      <c r="L1117" s="25"/>
      <c r="M1117" s="77"/>
      <c r="N1117" s="24" t="s">
        <v>4232</v>
      </c>
    </row>
    <row r="1118">
      <c r="B1118" s="24"/>
      <c r="C1118" s="24"/>
      <c r="D1118" s="24"/>
      <c r="E1118" s="24"/>
      <c r="G1118" s="50"/>
      <c r="H1118" s="24"/>
      <c r="K1118" s="25"/>
      <c r="L1118" s="25"/>
      <c r="M1118" s="77"/>
      <c r="N1118" s="24" t="s">
        <v>4233</v>
      </c>
    </row>
    <row r="1119">
      <c r="B1119" s="24"/>
      <c r="C1119" s="24"/>
      <c r="D1119" s="24"/>
      <c r="E1119" s="24"/>
      <c r="G1119" s="50"/>
      <c r="H1119" s="24"/>
      <c r="K1119" s="25"/>
      <c r="L1119" s="25"/>
      <c r="M1119" s="77"/>
      <c r="N1119" s="24" t="s">
        <v>4234</v>
      </c>
    </row>
    <row r="1120">
      <c r="B1120" s="24"/>
      <c r="C1120" s="24"/>
      <c r="D1120" s="24"/>
      <c r="E1120" s="24"/>
      <c r="G1120" s="50"/>
      <c r="H1120" s="24"/>
      <c r="K1120" s="25"/>
      <c r="L1120" s="25"/>
      <c r="M1120" s="77"/>
      <c r="N1120" s="24" t="s">
        <v>4235</v>
      </c>
    </row>
    <row r="1121">
      <c r="B1121" s="24"/>
      <c r="C1121" s="24"/>
      <c r="D1121" s="24"/>
      <c r="E1121" s="24"/>
      <c r="G1121" s="50"/>
      <c r="H1121" s="24"/>
      <c r="K1121" s="25"/>
      <c r="L1121" s="25"/>
      <c r="M1121" s="77"/>
      <c r="N1121" s="24" t="s">
        <v>4236</v>
      </c>
    </row>
    <row r="1122">
      <c r="B1122" s="24"/>
      <c r="C1122" s="24"/>
      <c r="D1122" s="24"/>
      <c r="E1122" s="24"/>
      <c r="G1122" s="50"/>
      <c r="H1122" s="24"/>
      <c r="K1122" s="25"/>
      <c r="L1122" s="25"/>
      <c r="M1122" s="77"/>
      <c r="N1122" s="24" t="s">
        <v>4237</v>
      </c>
    </row>
    <row r="1123">
      <c r="B1123" s="24"/>
      <c r="C1123" s="24"/>
      <c r="D1123" s="24"/>
      <c r="E1123" s="24"/>
      <c r="G1123" s="50"/>
      <c r="H1123" s="24"/>
      <c r="K1123" s="25"/>
      <c r="L1123" s="25"/>
      <c r="M1123" s="77"/>
      <c r="N1123" s="24" t="s">
        <v>4238</v>
      </c>
    </row>
    <row r="1124">
      <c r="B1124" s="24"/>
      <c r="C1124" s="24"/>
      <c r="D1124" s="24"/>
      <c r="E1124" s="24"/>
      <c r="G1124" s="50"/>
      <c r="H1124" s="24"/>
      <c r="K1124" s="25"/>
      <c r="L1124" s="25"/>
      <c r="M1124" s="77"/>
      <c r="N1124" s="24" t="s">
        <v>4239</v>
      </c>
    </row>
    <row r="1125">
      <c r="B1125" s="24"/>
      <c r="C1125" s="24"/>
      <c r="D1125" s="24"/>
      <c r="E1125" s="24"/>
      <c r="G1125" s="50"/>
      <c r="H1125" s="24"/>
      <c r="K1125" s="25"/>
      <c r="L1125" s="25"/>
      <c r="M1125" s="77"/>
      <c r="N1125" s="24" t="s">
        <v>4240</v>
      </c>
    </row>
    <row r="1126">
      <c r="B1126" s="24"/>
      <c r="C1126" s="24"/>
      <c r="D1126" s="24"/>
      <c r="E1126" s="24"/>
      <c r="G1126" s="50"/>
      <c r="H1126" s="24"/>
      <c r="K1126" s="25"/>
      <c r="L1126" s="25"/>
      <c r="M1126" s="77"/>
      <c r="N1126" s="24" t="s">
        <v>4241</v>
      </c>
    </row>
    <row r="1127">
      <c r="B1127" s="24"/>
      <c r="C1127" s="24"/>
      <c r="D1127" s="24"/>
      <c r="E1127" s="24"/>
      <c r="G1127" s="50"/>
      <c r="H1127" s="24"/>
      <c r="K1127" s="25"/>
      <c r="L1127" s="25"/>
      <c r="M1127" s="77"/>
      <c r="N1127" s="24" t="s">
        <v>4242</v>
      </c>
    </row>
    <row r="1128">
      <c r="B1128" s="24"/>
      <c r="C1128" s="24"/>
      <c r="D1128" s="24"/>
      <c r="E1128" s="24"/>
      <c r="G1128" s="50"/>
      <c r="H1128" s="24"/>
      <c r="K1128" s="25"/>
      <c r="L1128" s="25"/>
      <c r="M1128" s="77"/>
      <c r="N1128" s="24" t="s">
        <v>4243</v>
      </c>
    </row>
    <row r="1129">
      <c r="B1129" s="24"/>
      <c r="C1129" s="24"/>
      <c r="D1129" s="24"/>
      <c r="E1129" s="24"/>
      <c r="G1129" s="50"/>
      <c r="H1129" s="24"/>
      <c r="K1129" s="25"/>
      <c r="L1129" s="25"/>
      <c r="M1129" s="77"/>
      <c r="N1129" s="24" t="s">
        <v>4244</v>
      </c>
    </row>
    <row r="1130">
      <c r="B1130" s="24"/>
      <c r="C1130" s="24"/>
      <c r="D1130" s="24"/>
      <c r="E1130" s="24"/>
      <c r="G1130" s="50"/>
      <c r="H1130" s="24"/>
      <c r="K1130" s="25"/>
      <c r="L1130" s="25"/>
      <c r="M1130" s="77"/>
      <c r="N1130" s="24" t="s">
        <v>4245</v>
      </c>
    </row>
    <row r="1131">
      <c r="B1131" s="24"/>
      <c r="C1131" s="24"/>
      <c r="D1131" s="24"/>
      <c r="E1131" s="24"/>
      <c r="G1131" s="50"/>
      <c r="H1131" s="24"/>
      <c r="K1131" s="25"/>
      <c r="L1131" s="25"/>
      <c r="M1131" s="77"/>
      <c r="N1131" s="24" t="s">
        <v>4246</v>
      </c>
    </row>
    <row r="1132">
      <c r="B1132" s="24"/>
      <c r="C1132" s="24"/>
      <c r="D1132" s="24"/>
      <c r="E1132" s="24"/>
      <c r="G1132" s="50"/>
      <c r="H1132" s="24"/>
      <c r="K1132" s="25"/>
      <c r="L1132" s="25"/>
      <c r="M1132" s="77"/>
      <c r="N1132" s="24" t="s">
        <v>4247</v>
      </c>
    </row>
    <row r="1133">
      <c r="B1133" s="24"/>
      <c r="C1133" s="24"/>
      <c r="D1133" s="24"/>
      <c r="E1133" s="24"/>
      <c r="G1133" s="50"/>
      <c r="H1133" s="24"/>
      <c r="K1133" s="25"/>
      <c r="L1133" s="25"/>
      <c r="M1133" s="77"/>
      <c r="N1133" s="24" t="s">
        <v>4248</v>
      </c>
    </row>
    <row r="1134">
      <c r="B1134" s="24"/>
      <c r="C1134" s="24"/>
      <c r="D1134" s="24"/>
      <c r="E1134" s="24"/>
      <c r="G1134" s="50"/>
      <c r="H1134" s="24"/>
      <c r="K1134" s="25"/>
      <c r="L1134" s="25"/>
      <c r="M1134" s="77"/>
      <c r="N1134" s="24" t="s">
        <v>4249</v>
      </c>
    </row>
    <row r="1135">
      <c r="B1135" s="24"/>
      <c r="C1135" s="24"/>
      <c r="D1135" s="24"/>
      <c r="E1135" s="24"/>
      <c r="G1135" s="50"/>
      <c r="H1135" s="24"/>
      <c r="K1135" s="25"/>
      <c r="L1135" s="25"/>
      <c r="M1135" s="77"/>
      <c r="N1135" s="24" t="s">
        <v>4250</v>
      </c>
    </row>
    <row r="1136">
      <c r="B1136" s="24"/>
      <c r="C1136" s="24"/>
      <c r="D1136" s="24"/>
      <c r="E1136" s="24"/>
      <c r="G1136" s="50"/>
      <c r="H1136" s="24"/>
      <c r="K1136" s="25"/>
      <c r="L1136" s="25"/>
      <c r="M1136" s="77"/>
      <c r="N1136" s="24" t="s">
        <v>4251</v>
      </c>
    </row>
    <row r="1137">
      <c r="B1137" s="24"/>
      <c r="C1137" s="24"/>
      <c r="D1137" s="24"/>
      <c r="E1137" s="24"/>
      <c r="G1137" s="50"/>
      <c r="H1137" s="24"/>
      <c r="K1137" s="25"/>
      <c r="L1137" s="25"/>
      <c r="M1137" s="77"/>
      <c r="N1137" s="24" t="s">
        <v>4252</v>
      </c>
    </row>
    <row r="1138">
      <c r="B1138" s="24"/>
      <c r="C1138" s="24"/>
      <c r="D1138" s="24"/>
      <c r="E1138" s="24"/>
      <c r="G1138" s="50"/>
      <c r="H1138" s="24"/>
      <c r="K1138" s="25"/>
      <c r="L1138" s="25"/>
      <c r="M1138" s="77"/>
      <c r="N1138" s="24" t="s">
        <v>4253</v>
      </c>
    </row>
    <row r="1139">
      <c r="B1139" s="24"/>
      <c r="C1139" s="24"/>
      <c r="D1139" s="24"/>
      <c r="E1139" s="24"/>
      <c r="G1139" s="50"/>
      <c r="H1139" s="24"/>
      <c r="K1139" s="25"/>
      <c r="L1139" s="25"/>
      <c r="M1139" s="77"/>
      <c r="N1139" s="24" t="s">
        <v>4238</v>
      </c>
    </row>
    <row r="1140">
      <c r="B1140" s="24"/>
      <c r="C1140" s="24"/>
      <c r="D1140" s="24"/>
      <c r="E1140" s="24"/>
      <c r="G1140" s="50"/>
      <c r="H1140" s="24"/>
      <c r="K1140" s="25"/>
      <c r="L1140" s="25"/>
      <c r="M1140" s="77"/>
      <c r="N1140" s="24" t="s">
        <v>4254</v>
      </c>
    </row>
    <row r="1141">
      <c r="B1141" s="24"/>
      <c r="C1141" s="24"/>
      <c r="D1141" s="24"/>
      <c r="E1141" s="24"/>
      <c r="G1141" s="50"/>
      <c r="H1141" s="24"/>
      <c r="K1141" s="25"/>
      <c r="L1141" s="25"/>
      <c r="M1141" s="77"/>
      <c r="N1141" s="24" t="s">
        <v>4255</v>
      </c>
    </row>
    <row r="1142">
      <c r="B1142" s="24"/>
      <c r="C1142" s="24"/>
      <c r="D1142" s="24"/>
      <c r="E1142" s="24"/>
      <c r="G1142" s="50"/>
      <c r="H1142" s="24"/>
      <c r="K1142" s="25"/>
      <c r="L1142" s="25"/>
      <c r="M1142" s="77"/>
      <c r="N1142" s="24" t="s">
        <v>4256</v>
      </c>
    </row>
    <row r="1143">
      <c r="B1143" s="24"/>
      <c r="C1143" s="24"/>
      <c r="D1143" s="24"/>
      <c r="E1143" s="24"/>
      <c r="G1143" s="50"/>
      <c r="H1143" s="24"/>
      <c r="K1143" s="25"/>
      <c r="L1143" s="25"/>
      <c r="M1143" s="77"/>
      <c r="N1143" s="24" t="s">
        <v>4257</v>
      </c>
    </row>
    <row r="1144">
      <c r="B1144" s="24"/>
      <c r="C1144" s="24"/>
      <c r="D1144" s="24"/>
      <c r="E1144" s="24"/>
      <c r="G1144" s="50"/>
      <c r="H1144" s="24"/>
      <c r="K1144" s="25"/>
      <c r="L1144" s="25"/>
      <c r="M1144" s="77"/>
      <c r="N1144" s="24" t="s">
        <v>4258</v>
      </c>
    </row>
    <row r="1145">
      <c r="B1145" s="24"/>
      <c r="C1145" s="24"/>
      <c r="D1145" s="24"/>
      <c r="E1145" s="24"/>
      <c r="G1145" s="50"/>
      <c r="H1145" s="24"/>
      <c r="K1145" s="25"/>
      <c r="L1145" s="25"/>
      <c r="M1145" s="77"/>
      <c r="N1145" s="24" t="s">
        <v>4259</v>
      </c>
    </row>
    <row r="1146">
      <c r="B1146" s="24"/>
      <c r="C1146" s="24"/>
      <c r="D1146" s="24"/>
      <c r="E1146" s="24"/>
      <c r="G1146" s="50"/>
      <c r="H1146" s="24"/>
      <c r="K1146" s="25"/>
      <c r="L1146" s="25"/>
      <c r="M1146" s="77"/>
      <c r="N1146" s="24" t="s">
        <v>4260</v>
      </c>
    </row>
    <row r="1147">
      <c r="B1147" s="24"/>
      <c r="C1147" s="24"/>
      <c r="D1147" s="24"/>
      <c r="E1147" s="24"/>
      <c r="G1147" s="50"/>
      <c r="H1147" s="24"/>
      <c r="K1147" s="25"/>
      <c r="L1147" s="25"/>
      <c r="M1147" s="77"/>
      <c r="N1147" s="24" t="s">
        <v>4261</v>
      </c>
    </row>
    <row r="1148">
      <c r="B1148" s="24"/>
      <c r="C1148" s="24"/>
      <c r="D1148" s="24"/>
      <c r="E1148" s="24"/>
      <c r="G1148" s="50"/>
      <c r="H1148" s="24"/>
      <c r="K1148" s="25"/>
      <c r="L1148" s="25"/>
      <c r="M1148" s="77"/>
      <c r="N1148" s="24" t="s">
        <v>4262</v>
      </c>
    </row>
    <row r="1149">
      <c r="B1149" s="24"/>
      <c r="C1149" s="24"/>
      <c r="D1149" s="24"/>
      <c r="E1149" s="24"/>
      <c r="G1149" s="50"/>
      <c r="H1149" s="24"/>
      <c r="K1149" s="25"/>
      <c r="L1149" s="25"/>
      <c r="M1149" s="77"/>
      <c r="N1149" s="24" t="s">
        <v>4263</v>
      </c>
    </row>
    <row r="1150">
      <c r="B1150" s="24"/>
      <c r="C1150" s="24"/>
      <c r="D1150" s="24"/>
      <c r="E1150" s="24"/>
      <c r="G1150" s="50"/>
      <c r="H1150" s="24"/>
      <c r="K1150" s="25"/>
      <c r="L1150" s="25"/>
      <c r="M1150" s="77"/>
      <c r="N1150" s="24" t="s">
        <v>4264</v>
      </c>
    </row>
    <row r="1151">
      <c r="B1151" s="24"/>
      <c r="C1151" s="24"/>
      <c r="D1151" s="24"/>
      <c r="E1151" s="24"/>
      <c r="G1151" s="50"/>
      <c r="H1151" s="24"/>
      <c r="K1151" s="25"/>
      <c r="L1151" s="25"/>
      <c r="M1151" s="77"/>
      <c r="N1151" s="24" t="s">
        <v>4265</v>
      </c>
    </row>
    <row r="1152">
      <c r="B1152" s="24"/>
      <c r="C1152" s="24"/>
      <c r="D1152" s="24"/>
      <c r="E1152" s="24"/>
      <c r="G1152" s="50"/>
      <c r="H1152" s="24"/>
      <c r="K1152" s="25"/>
      <c r="L1152" s="25"/>
      <c r="M1152" s="77"/>
      <c r="N1152" s="24" t="s">
        <v>4266</v>
      </c>
    </row>
    <row r="1153">
      <c r="B1153" s="24"/>
      <c r="C1153" s="24"/>
      <c r="D1153" s="24"/>
      <c r="E1153" s="24"/>
      <c r="G1153" s="50"/>
      <c r="H1153" s="24"/>
      <c r="K1153" s="25"/>
      <c r="L1153" s="25"/>
      <c r="M1153" s="77"/>
      <c r="N1153" s="24" t="s">
        <v>4267</v>
      </c>
    </row>
    <row r="1154">
      <c r="B1154" s="24"/>
      <c r="C1154" s="24"/>
      <c r="D1154" s="24"/>
      <c r="E1154" s="24"/>
      <c r="G1154" s="50"/>
      <c r="H1154" s="24"/>
      <c r="K1154" s="25"/>
      <c r="L1154" s="25"/>
      <c r="M1154" s="77"/>
      <c r="N1154" s="24" t="s">
        <v>4268</v>
      </c>
    </row>
    <row r="1155">
      <c r="B1155" s="24"/>
      <c r="C1155" s="24"/>
      <c r="D1155" s="24"/>
      <c r="E1155" s="24"/>
      <c r="G1155" s="50"/>
      <c r="H1155" s="24"/>
      <c r="K1155" s="25"/>
      <c r="L1155" s="25"/>
      <c r="M1155" s="77"/>
      <c r="N1155" s="24" t="s">
        <v>4269</v>
      </c>
    </row>
    <row r="1156">
      <c r="B1156" s="24"/>
      <c r="C1156" s="24"/>
      <c r="D1156" s="24"/>
      <c r="E1156" s="24"/>
      <c r="G1156" s="50"/>
      <c r="H1156" s="24"/>
      <c r="K1156" s="25"/>
      <c r="L1156" s="25"/>
      <c r="M1156" s="77"/>
      <c r="N1156" s="24" t="s">
        <v>4270</v>
      </c>
    </row>
    <row r="1157">
      <c r="B1157" s="24"/>
      <c r="C1157" s="24"/>
      <c r="D1157" s="24"/>
      <c r="E1157" s="24"/>
      <c r="G1157" s="50"/>
      <c r="H1157" s="24"/>
      <c r="K1157" s="25"/>
      <c r="L1157" s="25"/>
      <c r="M1157" s="77"/>
      <c r="N1157" s="24" t="s">
        <v>4271</v>
      </c>
    </row>
    <row r="1158">
      <c r="B1158" s="24"/>
      <c r="C1158" s="24"/>
      <c r="D1158" s="24"/>
      <c r="E1158" s="24"/>
      <c r="G1158" s="50"/>
      <c r="H1158" s="24"/>
      <c r="K1158" s="25"/>
      <c r="L1158" s="25"/>
      <c r="M1158" s="77"/>
      <c r="N1158" s="24" t="s">
        <v>4272</v>
      </c>
    </row>
    <row r="1159">
      <c r="B1159" s="24"/>
      <c r="C1159" s="24"/>
      <c r="D1159" s="24"/>
      <c r="E1159" s="24"/>
      <c r="G1159" s="50"/>
      <c r="H1159" s="24"/>
      <c r="K1159" s="25"/>
      <c r="L1159" s="25"/>
      <c r="M1159" s="77"/>
      <c r="N1159" s="24" t="s">
        <v>4273</v>
      </c>
    </row>
    <row r="1160">
      <c r="B1160" s="24"/>
      <c r="C1160" s="24"/>
      <c r="D1160" s="24"/>
      <c r="E1160" s="24"/>
      <c r="G1160" s="50"/>
      <c r="H1160" s="24"/>
      <c r="K1160" s="25"/>
      <c r="L1160" s="25"/>
      <c r="M1160" s="77"/>
      <c r="N1160" s="24" t="s">
        <v>4274</v>
      </c>
    </row>
    <row r="1161">
      <c r="B1161" s="24"/>
      <c r="C1161" s="24"/>
      <c r="D1161" s="24"/>
      <c r="E1161" s="24"/>
      <c r="G1161" s="50"/>
      <c r="H1161" s="24"/>
      <c r="K1161" s="25"/>
      <c r="L1161" s="25"/>
      <c r="M1161" s="77"/>
      <c r="N1161" s="24" t="s">
        <v>4275</v>
      </c>
    </row>
    <row r="1162">
      <c r="B1162" s="24"/>
      <c r="C1162" s="24"/>
      <c r="D1162" s="24"/>
      <c r="E1162" s="24"/>
      <c r="G1162" s="50"/>
      <c r="H1162" s="24"/>
      <c r="K1162" s="25"/>
      <c r="L1162" s="25"/>
      <c r="M1162" s="77"/>
      <c r="N1162" s="24" t="s">
        <v>4276</v>
      </c>
    </row>
    <row r="1163">
      <c r="B1163" s="24"/>
      <c r="C1163" s="24"/>
      <c r="D1163" s="24"/>
      <c r="E1163" s="24"/>
      <c r="G1163" s="50"/>
      <c r="H1163" s="24"/>
      <c r="K1163" s="25"/>
      <c r="L1163" s="25"/>
      <c r="M1163" s="77"/>
      <c r="N1163" s="24" t="s">
        <v>4277</v>
      </c>
    </row>
    <row r="1164">
      <c r="B1164" s="24"/>
      <c r="C1164" s="24"/>
      <c r="D1164" s="24"/>
      <c r="E1164" s="24"/>
      <c r="G1164" s="50"/>
      <c r="H1164" s="24"/>
      <c r="K1164" s="25"/>
      <c r="L1164" s="25"/>
      <c r="M1164" s="77"/>
      <c r="N1164" s="24" t="s">
        <v>4278</v>
      </c>
    </row>
    <row r="1165">
      <c r="B1165" s="24"/>
      <c r="C1165" s="24"/>
      <c r="D1165" s="24"/>
      <c r="E1165" s="24"/>
      <c r="G1165" s="50"/>
      <c r="H1165" s="24"/>
      <c r="K1165" s="25"/>
      <c r="L1165" s="25"/>
      <c r="M1165" s="77"/>
      <c r="N1165" s="24" t="s">
        <v>4279</v>
      </c>
    </row>
    <row r="1166">
      <c r="B1166" s="24"/>
      <c r="C1166" s="24"/>
      <c r="D1166" s="24"/>
      <c r="E1166" s="24"/>
      <c r="G1166" s="50"/>
      <c r="H1166" s="24"/>
      <c r="K1166" s="25"/>
      <c r="L1166" s="25"/>
      <c r="M1166" s="77"/>
      <c r="N1166" s="24" t="s">
        <v>4280</v>
      </c>
    </row>
    <row r="1167">
      <c r="B1167" s="24"/>
      <c r="C1167" s="24"/>
      <c r="D1167" s="24"/>
      <c r="E1167" s="24"/>
      <c r="G1167" s="50"/>
      <c r="H1167" s="24"/>
      <c r="K1167" s="25"/>
      <c r="L1167" s="25"/>
      <c r="M1167" s="77"/>
      <c r="N1167" s="24" t="s">
        <v>4281</v>
      </c>
    </row>
    <row r="1168">
      <c r="B1168" s="24"/>
      <c r="C1168" s="24"/>
      <c r="D1168" s="24"/>
      <c r="E1168" s="24"/>
      <c r="G1168" s="50"/>
      <c r="H1168" s="24"/>
      <c r="K1168" s="25"/>
      <c r="L1168" s="25"/>
      <c r="M1168" s="77"/>
      <c r="N1168" s="24" t="s">
        <v>4282</v>
      </c>
    </row>
    <row r="1169">
      <c r="B1169" s="24"/>
      <c r="C1169" s="24"/>
      <c r="D1169" s="24"/>
      <c r="E1169" s="24"/>
      <c r="G1169" s="50"/>
      <c r="H1169" s="24"/>
      <c r="K1169" s="25"/>
      <c r="L1169" s="25"/>
      <c r="M1169" s="77"/>
      <c r="N1169" s="24" t="s">
        <v>4283</v>
      </c>
    </row>
    <row r="1170">
      <c r="B1170" s="24"/>
      <c r="C1170" s="24"/>
      <c r="D1170" s="24"/>
      <c r="E1170" s="24"/>
      <c r="G1170" s="50"/>
      <c r="H1170" s="24"/>
      <c r="K1170" s="25"/>
      <c r="L1170" s="25"/>
      <c r="M1170" s="77"/>
      <c r="N1170" s="24" t="s">
        <v>4284</v>
      </c>
    </row>
    <row r="1171">
      <c r="B1171" s="24"/>
      <c r="C1171" s="24"/>
      <c r="D1171" s="24"/>
      <c r="E1171" s="24"/>
      <c r="G1171" s="50"/>
      <c r="H1171" s="24"/>
      <c r="K1171" s="25"/>
      <c r="L1171" s="25"/>
      <c r="M1171" s="77"/>
      <c r="N1171" s="24" t="s">
        <v>4285</v>
      </c>
    </row>
    <row r="1172">
      <c r="B1172" s="24"/>
      <c r="C1172" s="24"/>
      <c r="D1172" s="24"/>
      <c r="E1172" s="24"/>
      <c r="G1172" s="50"/>
      <c r="H1172" s="24"/>
      <c r="K1172" s="25"/>
      <c r="L1172" s="25"/>
      <c r="M1172" s="77"/>
      <c r="N1172" s="24" t="s">
        <v>4286</v>
      </c>
    </row>
    <row r="1173">
      <c r="B1173" s="24"/>
      <c r="C1173" s="24"/>
      <c r="D1173" s="24"/>
      <c r="E1173" s="24"/>
      <c r="G1173" s="50"/>
      <c r="H1173" s="24"/>
      <c r="K1173" s="25"/>
      <c r="L1173" s="25"/>
      <c r="M1173" s="77"/>
      <c r="N1173" s="24" t="s">
        <v>4287</v>
      </c>
    </row>
    <row r="1174">
      <c r="B1174" s="24"/>
      <c r="C1174" s="24"/>
      <c r="D1174" s="24"/>
      <c r="E1174" s="24"/>
      <c r="G1174" s="50"/>
      <c r="H1174" s="24"/>
      <c r="K1174" s="25"/>
      <c r="L1174" s="25"/>
      <c r="M1174" s="77"/>
      <c r="N1174" s="24" t="s">
        <v>4288</v>
      </c>
    </row>
    <row r="1175">
      <c r="B1175" s="24"/>
      <c r="C1175" s="24"/>
      <c r="D1175" s="24"/>
      <c r="E1175" s="24"/>
      <c r="G1175" s="50"/>
      <c r="H1175" s="24"/>
      <c r="K1175" s="25"/>
      <c r="L1175" s="25"/>
      <c r="M1175" s="77"/>
      <c r="N1175" s="24" t="s">
        <v>4289</v>
      </c>
    </row>
    <row r="1176">
      <c r="B1176" s="24"/>
      <c r="C1176" s="24"/>
      <c r="D1176" s="24"/>
      <c r="E1176" s="24"/>
      <c r="G1176" s="50"/>
      <c r="H1176" s="24"/>
      <c r="K1176" s="25"/>
      <c r="L1176" s="25"/>
      <c r="M1176" s="77"/>
      <c r="N1176" s="24" t="s">
        <v>4290</v>
      </c>
    </row>
    <row r="1177">
      <c r="B1177" s="24"/>
      <c r="C1177" s="24"/>
      <c r="D1177" s="24"/>
      <c r="E1177" s="24"/>
      <c r="G1177" s="50"/>
      <c r="H1177" s="24"/>
      <c r="K1177" s="25"/>
      <c r="L1177" s="25"/>
      <c r="M1177" s="77"/>
      <c r="N1177" s="24" t="s">
        <v>4291</v>
      </c>
    </row>
    <row r="1178">
      <c r="B1178" s="24"/>
      <c r="C1178" s="24"/>
      <c r="D1178" s="24"/>
      <c r="E1178" s="24"/>
      <c r="G1178" s="50"/>
      <c r="H1178" s="24"/>
      <c r="K1178" s="25"/>
      <c r="L1178" s="25"/>
      <c r="M1178" s="77"/>
      <c r="N1178" s="24" t="s">
        <v>4292</v>
      </c>
    </row>
    <row r="1179">
      <c r="B1179" s="24"/>
      <c r="C1179" s="24"/>
      <c r="D1179" s="24"/>
      <c r="E1179" s="24"/>
      <c r="G1179" s="50"/>
      <c r="H1179" s="24"/>
      <c r="K1179" s="25"/>
      <c r="L1179" s="25"/>
      <c r="M1179" s="77"/>
      <c r="N1179" s="24" t="s">
        <v>4293</v>
      </c>
    </row>
    <row r="1180">
      <c r="B1180" s="24"/>
      <c r="C1180" s="24"/>
      <c r="D1180" s="24"/>
      <c r="E1180" s="24"/>
      <c r="G1180" s="50"/>
      <c r="H1180" s="24"/>
      <c r="K1180" s="25"/>
      <c r="L1180" s="25"/>
      <c r="M1180" s="77"/>
      <c r="N1180" s="24" t="s">
        <v>4294</v>
      </c>
    </row>
    <row r="1181">
      <c r="B1181" s="24"/>
      <c r="C1181" s="24"/>
      <c r="D1181" s="24"/>
      <c r="E1181" s="24"/>
      <c r="G1181" s="50"/>
      <c r="H1181" s="24"/>
      <c r="K1181" s="25"/>
      <c r="L1181" s="25"/>
      <c r="M1181" s="77"/>
      <c r="N1181" s="24" t="s">
        <v>4295</v>
      </c>
    </row>
    <row r="1182">
      <c r="B1182" s="24"/>
      <c r="C1182" s="24"/>
      <c r="D1182" s="24"/>
      <c r="E1182" s="24"/>
      <c r="G1182" s="50"/>
      <c r="H1182" s="24"/>
      <c r="K1182" s="25"/>
      <c r="L1182" s="25"/>
      <c r="M1182" s="77"/>
      <c r="N1182" s="24" t="s">
        <v>4296</v>
      </c>
    </row>
    <row r="1183">
      <c r="B1183" s="24"/>
      <c r="C1183" s="24"/>
      <c r="D1183" s="24"/>
      <c r="E1183" s="24"/>
      <c r="G1183" s="50"/>
      <c r="H1183" s="24"/>
      <c r="K1183" s="25"/>
      <c r="L1183" s="25"/>
      <c r="M1183" s="77"/>
      <c r="N1183" s="24" t="s">
        <v>4297</v>
      </c>
    </row>
    <row r="1184">
      <c r="B1184" s="24"/>
      <c r="C1184" s="24"/>
      <c r="D1184" s="24"/>
      <c r="E1184" s="24"/>
      <c r="G1184" s="50"/>
      <c r="H1184" s="24"/>
      <c r="K1184" s="25"/>
      <c r="L1184" s="25"/>
      <c r="M1184" s="77"/>
      <c r="N1184" s="24" t="s">
        <v>4298</v>
      </c>
    </row>
    <row r="1185">
      <c r="B1185" s="24"/>
      <c r="C1185" s="24"/>
      <c r="D1185" s="24"/>
      <c r="E1185" s="24"/>
      <c r="G1185" s="50"/>
      <c r="H1185" s="24"/>
      <c r="K1185" s="25"/>
      <c r="L1185" s="25"/>
      <c r="M1185" s="77"/>
      <c r="N1185" s="24" t="s">
        <v>4299</v>
      </c>
    </row>
    <row r="1186">
      <c r="B1186" s="24"/>
      <c r="C1186" s="24"/>
      <c r="D1186" s="24"/>
      <c r="E1186" s="24"/>
      <c r="G1186" s="50"/>
      <c r="H1186" s="24"/>
      <c r="K1186" s="25"/>
      <c r="L1186" s="25"/>
      <c r="M1186" s="77"/>
      <c r="N1186" s="24" t="s">
        <v>4300</v>
      </c>
    </row>
    <row r="1187">
      <c r="B1187" s="24"/>
      <c r="C1187" s="24"/>
      <c r="D1187" s="24"/>
      <c r="E1187" s="24"/>
      <c r="G1187" s="50"/>
      <c r="H1187" s="24"/>
      <c r="K1187" s="25"/>
      <c r="L1187" s="25"/>
      <c r="M1187" s="77"/>
      <c r="N1187" s="24" t="s">
        <v>4301</v>
      </c>
    </row>
    <row r="1188">
      <c r="B1188" s="24"/>
      <c r="C1188" s="24"/>
      <c r="D1188" s="24"/>
      <c r="E1188" s="24"/>
      <c r="G1188" s="50"/>
      <c r="H1188" s="24"/>
      <c r="K1188" s="25"/>
      <c r="L1188" s="25"/>
      <c r="M1188" s="77"/>
      <c r="N1188" s="24" t="s">
        <v>4302</v>
      </c>
    </row>
    <row r="1189">
      <c r="B1189" s="24"/>
      <c r="C1189" s="24"/>
      <c r="D1189" s="24"/>
      <c r="E1189" s="24"/>
      <c r="G1189" s="50"/>
      <c r="H1189" s="24"/>
      <c r="K1189" s="25"/>
      <c r="L1189" s="25"/>
      <c r="M1189" s="77"/>
      <c r="N1189" s="24" t="s">
        <v>4303</v>
      </c>
    </row>
    <row r="1190">
      <c r="B1190" s="24"/>
      <c r="C1190" s="24"/>
      <c r="D1190" s="24"/>
      <c r="E1190" s="24"/>
      <c r="G1190" s="50"/>
      <c r="H1190" s="24"/>
      <c r="K1190" s="25"/>
      <c r="L1190" s="25"/>
      <c r="M1190" s="77"/>
      <c r="N1190" s="24" t="s">
        <v>4304</v>
      </c>
    </row>
    <row r="1191">
      <c r="B1191" s="24"/>
      <c r="C1191" s="24"/>
      <c r="D1191" s="24"/>
      <c r="E1191" s="24"/>
      <c r="G1191" s="50"/>
      <c r="H1191" s="24"/>
      <c r="K1191" s="25"/>
      <c r="L1191" s="25"/>
      <c r="M1191" s="77"/>
      <c r="N1191" s="24" t="s">
        <v>4305</v>
      </c>
    </row>
    <row r="1192">
      <c r="B1192" s="24"/>
      <c r="C1192" s="24"/>
      <c r="D1192" s="24"/>
      <c r="E1192" s="24"/>
      <c r="G1192" s="50"/>
      <c r="H1192" s="24"/>
      <c r="K1192" s="25"/>
      <c r="L1192" s="25"/>
      <c r="M1192" s="77"/>
      <c r="N1192" s="24" t="s">
        <v>4306</v>
      </c>
    </row>
    <row r="1193">
      <c r="B1193" s="24"/>
      <c r="C1193" s="24"/>
      <c r="D1193" s="24"/>
      <c r="E1193" s="24"/>
      <c r="G1193" s="50"/>
      <c r="H1193" s="24"/>
      <c r="K1193" s="25"/>
      <c r="L1193" s="25"/>
      <c r="M1193" s="77"/>
      <c r="N1193" s="24" t="s">
        <v>4307</v>
      </c>
    </row>
    <row r="1194">
      <c r="B1194" s="24"/>
      <c r="C1194" s="24"/>
      <c r="D1194" s="24"/>
      <c r="E1194" s="24"/>
      <c r="G1194" s="50"/>
      <c r="H1194" s="24"/>
      <c r="K1194" s="25"/>
      <c r="L1194" s="25"/>
      <c r="M1194" s="77"/>
      <c r="N1194" s="24" t="s">
        <v>4308</v>
      </c>
    </row>
    <row r="1195">
      <c r="B1195" s="24"/>
      <c r="C1195" s="24"/>
      <c r="D1195" s="24"/>
      <c r="E1195" s="24"/>
      <c r="G1195" s="50"/>
      <c r="H1195" s="24"/>
      <c r="K1195" s="25"/>
      <c r="L1195" s="25"/>
      <c r="M1195" s="77"/>
      <c r="N1195" s="24" t="s">
        <v>4309</v>
      </c>
    </row>
    <row r="1196">
      <c r="B1196" s="24"/>
      <c r="C1196" s="24"/>
      <c r="D1196" s="24"/>
      <c r="E1196" s="24"/>
      <c r="G1196" s="50"/>
      <c r="H1196" s="24"/>
      <c r="K1196" s="25"/>
      <c r="L1196" s="25"/>
      <c r="M1196" s="77"/>
      <c r="N1196" s="24" t="s">
        <v>4193</v>
      </c>
    </row>
    <row r="1197">
      <c r="B1197" s="24"/>
      <c r="C1197" s="24"/>
      <c r="D1197" s="24"/>
      <c r="E1197" s="24"/>
      <c r="G1197" s="50"/>
      <c r="H1197" s="24"/>
      <c r="K1197" s="25"/>
      <c r="L1197" s="25"/>
      <c r="M1197" s="77"/>
      <c r="N1197" s="24" t="s">
        <v>4310</v>
      </c>
    </row>
    <row r="1198">
      <c r="B1198" s="24"/>
      <c r="C1198" s="24"/>
      <c r="D1198" s="24"/>
      <c r="E1198" s="24"/>
      <c r="G1198" s="50"/>
      <c r="H1198" s="24"/>
      <c r="K1198" s="25"/>
      <c r="L1198" s="25"/>
      <c r="M1198" s="77"/>
      <c r="N1198" s="24" t="s">
        <v>4311</v>
      </c>
    </row>
    <row r="1199">
      <c r="B1199" s="24"/>
      <c r="C1199" s="24"/>
      <c r="D1199" s="24"/>
      <c r="E1199" s="24"/>
      <c r="G1199" s="50"/>
      <c r="H1199" s="24"/>
      <c r="K1199" s="25"/>
      <c r="L1199" s="25"/>
      <c r="M1199" s="77"/>
      <c r="N1199" s="24" t="s">
        <v>4312</v>
      </c>
    </row>
    <row r="1200">
      <c r="B1200" s="24"/>
      <c r="C1200" s="24"/>
      <c r="D1200" s="24"/>
      <c r="E1200" s="24"/>
      <c r="G1200" s="50"/>
      <c r="H1200" s="24"/>
      <c r="K1200" s="25"/>
      <c r="L1200" s="25"/>
      <c r="M1200" s="77"/>
      <c r="N1200" s="24" t="s">
        <v>4313</v>
      </c>
    </row>
    <row r="1201">
      <c r="B1201" s="24"/>
      <c r="C1201" s="24"/>
      <c r="D1201" s="24"/>
      <c r="E1201" s="24"/>
      <c r="G1201" s="50"/>
      <c r="H1201" s="24"/>
      <c r="K1201" s="25"/>
      <c r="L1201" s="25"/>
      <c r="M1201" s="77"/>
      <c r="N1201" s="24" t="s">
        <v>4314</v>
      </c>
    </row>
    <row r="1202">
      <c r="B1202" s="24"/>
      <c r="C1202" s="24"/>
      <c r="D1202" s="24"/>
      <c r="E1202" s="24"/>
      <c r="G1202" s="50"/>
      <c r="H1202" s="24"/>
      <c r="K1202" s="25"/>
      <c r="L1202" s="25"/>
      <c r="M1202" s="77"/>
      <c r="N1202" s="24" t="s">
        <v>4315</v>
      </c>
    </row>
    <row r="1203">
      <c r="B1203" s="24"/>
      <c r="C1203" s="24"/>
      <c r="D1203" s="24"/>
      <c r="E1203" s="24"/>
      <c r="G1203" s="50"/>
      <c r="H1203" s="24"/>
      <c r="K1203" s="25"/>
      <c r="L1203" s="25"/>
      <c r="M1203" s="77"/>
      <c r="N1203" s="24" t="s">
        <v>4316</v>
      </c>
    </row>
    <row r="1204">
      <c r="B1204" s="24"/>
      <c r="C1204" s="24"/>
      <c r="D1204" s="24"/>
      <c r="E1204" s="24"/>
      <c r="G1204" s="50"/>
      <c r="H1204" s="24"/>
      <c r="K1204" s="25"/>
      <c r="L1204" s="25"/>
      <c r="M1204" s="77"/>
      <c r="N1204" s="24" t="s">
        <v>4317</v>
      </c>
    </row>
    <row r="1205">
      <c r="B1205" s="24"/>
      <c r="C1205" s="24"/>
      <c r="D1205" s="24"/>
      <c r="E1205" s="24"/>
      <c r="G1205" s="50"/>
      <c r="H1205" s="24"/>
      <c r="K1205" s="25"/>
      <c r="L1205" s="25"/>
      <c r="M1205" s="77"/>
      <c r="N1205" s="24" t="s">
        <v>4318</v>
      </c>
    </row>
    <row r="1206">
      <c r="B1206" s="24"/>
      <c r="C1206" s="24"/>
      <c r="D1206" s="24"/>
      <c r="E1206" s="24"/>
      <c r="G1206" s="50"/>
      <c r="H1206" s="24"/>
      <c r="K1206" s="25"/>
      <c r="L1206" s="25"/>
      <c r="M1206" s="77"/>
      <c r="N1206" s="24" t="s">
        <v>4319</v>
      </c>
    </row>
    <row r="1207">
      <c r="B1207" s="24"/>
      <c r="C1207" s="24"/>
      <c r="D1207" s="24"/>
      <c r="E1207" s="24"/>
      <c r="G1207" s="50"/>
      <c r="H1207" s="24"/>
      <c r="K1207" s="25"/>
      <c r="L1207" s="25"/>
      <c r="M1207" s="77"/>
      <c r="N1207" s="24" t="s">
        <v>4320</v>
      </c>
    </row>
    <row r="1208">
      <c r="B1208" s="24"/>
      <c r="C1208" s="24"/>
      <c r="D1208" s="24"/>
      <c r="E1208" s="24"/>
      <c r="G1208" s="50"/>
      <c r="H1208" s="24"/>
      <c r="K1208" s="25"/>
      <c r="L1208" s="25"/>
      <c r="M1208" s="77"/>
      <c r="N1208" s="24" t="s">
        <v>4321</v>
      </c>
    </row>
    <row r="1209">
      <c r="B1209" s="24"/>
      <c r="C1209" s="24"/>
      <c r="D1209" s="24"/>
      <c r="E1209" s="24"/>
      <c r="G1209" s="50"/>
      <c r="H1209" s="24"/>
      <c r="K1209" s="25"/>
      <c r="L1209" s="25"/>
      <c r="M1209" s="77"/>
      <c r="N1209" s="24" t="s">
        <v>4322</v>
      </c>
    </row>
    <row r="1210">
      <c r="B1210" s="24"/>
      <c r="C1210" s="24"/>
      <c r="D1210" s="24"/>
      <c r="E1210" s="24"/>
      <c r="G1210" s="50"/>
      <c r="H1210" s="24"/>
      <c r="K1210" s="25"/>
      <c r="L1210" s="25"/>
      <c r="M1210" s="77"/>
      <c r="N1210" s="24" t="s">
        <v>4323</v>
      </c>
    </row>
    <row r="1211">
      <c r="B1211" s="24"/>
      <c r="C1211" s="24"/>
      <c r="D1211" s="24"/>
      <c r="E1211" s="24"/>
      <c r="G1211" s="143"/>
      <c r="H1211" s="24"/>
      <c r="K1211" s="25"/>
      <c r="L1211" s="25"/>
      <c r="M1211" s="77"/>
      <c r="N1211" s="24" t="s">
        <v>4324</v>
      </c>
    </row>
    <row r="1212">
      <c r="B1212" s="24"/>
      <c r="C1212" s="24"/>
      <c r="D1212" s="24"/>
      <c r="E1212" s="24"/>
      <c r="G1212" s="143"/>
      <c r="H1212" s="24"/>
      <c r="K1212" s="25"/>
      <c r="L1212" s="25"/>
      <c r="M1212" s="77"/>
      <c r="N1212" s="24" t="s">
        <v>4325</v>
      </c>
    </row>
    <row r="1213">
      <c r="B1213" s="24"/>
      <c r="C1213" s="24"/>
      <c r="D1213" s="24"/>
      <c r="E1213" s="24"/>
      <c r="G1213" s="143"/>
      <c r="H1213" s="24"/>
      <c r="K1213" s="25"/>
      <c r="L1213" s="25"/>
      <c r="M1213" s="77"/>
      <c r="N1213" s="24" t="s">
        <v>4326</v>
      </c>
    </row>
    <row r="1214">
      <c r="B1214" s="24"/>
      <c r="C1214" s="24"/>
      <c r="D1214" s="24"/>
      <c r="E1214" s="24"/>
      <c r="G1214" s="143"/>
      <c r="H1214" s="24"/>
      <c r="K1214" s="25"/>
      <c r="L1214" s="25"/>
      <c r="M1214" s="77"/>
      <c r="N1214" s="24" t="s">
        <v>4327</v>
      </c>
    </row>
    <row r="1215">
      <c r="B1215" s="24"/>
      <c r="C1215" s="24"/>
      <c r="D1215" s="24"/>
      <c r="E1215" s="24"/>
      <c r="G1215" s="143"/>
      <c r="H1215" s="24"/>
      <c r="K1215" s="25"/>
      <c r="L1215" s="25"/>
      <c r="M1215" s="77"/>
      <c r="N1215" s="24" t="s">
        <v>4328</v>
      </c>
    </row>
    <row r="1216">
      <c r="B1216" s="24"/>
      <c r="C1216" s="24"/>
      <c r="D1216" s="24"/>
      <c r="E1216" s="24"/>
      <c r="G1216" s="143"/>
      <c r="H1216" s="24"/>
      <c r="K1216" s="25"/>
      <c r="L1216" s="25"/>
      <c r="M1216" s="77"/>
      <c r="N1216" s="24" t="s">
        <v>4329</v>
      </c>
    </row>
    <row r="1217">
      <c r="B1217" s="24"/>
      <c r="C1217" s="24"/>
      <c r="D1217" s="24"/>
      <c r="E1217" s="24"/>
      <c r="G1217" s="143"/>
      <c r="H1217" s="24"/>
      <c r="K1217" s="25"/>
      <c r="L1217" s="25"/>
      <c r="M1217" s="77"/>
      <c r="N1217" s="24" t="s">
        <v>4330</v>
      </c>
    </row>
    <row r="1218">
      <c r="B1218" s="24"/>
      <c r="C1218" s="24"/>
      <c r="D1218" s="24"/>
      <c r="E1218" s="24"/>
      <c r="G1218" s="143"/>
      <c r="H1218" s="24"/>
      <c r="K1218" s="25"/>
      <c r="L1218" s="25"/>
      <c r="M1218" s="77"/>
      <c r="N1218" s="24" t="s">
        <v>4331</v>
      </c>
    </row>
    <row r="1219">
      <c r="B1219" s="24"/>
      <c r="C1219" s="24"/>
      <c r="D1219" s="24"/>
      <c r="E1219" s="24"/>
      <c r="G1219" s="143"/>
      <c r="H1219" s="24"/>
      <c r="K1219" s="25"/>
      <c r="L1219" s="25"/>
      <c r="M1219" s="77"/>
      <c r="N1219" s="24" t="s">
        <v>4332</v>
      </c>
    </row>
    <row r="1220">
      <c r="B1220" s="24"/>
      <c r="C1220" s="24"/>
      <c r="D1220" s="24"/>
      <c r="E1220" s="24"/>
      <c r="G1220" s="143"/>
      <c r="H1220" s="24"/>
      <c r="K1220" s="25"/>
      <c r="L1220" s="25"/>
      <c r="M1220" s="77"/>
      <c r="N1220" s="24" t="s">
        <v>4333</v>
      </c>
    </row>
    <row r="1221">
      <c r="B1221" s="24"/>
      <c r="C1221" s="24"/>
      <c r="D1221" s="24"/>
      <c r="E1221" s="24"/>
      <c r="G1221" s="143"/>
      <c r="H1221" s="24"/>
      <c r="K1221" s="25"/>
      <c r="L1221" s="25"/>
      <c r="M1221" s="77"/>
      <c r="N1221" s="24" t="s">
        <v>4334</v>
      </c>
    </row>
    <row r="1222">
      <c r="B1222" s="24"/>
      <c r="C1222" s="24"/>
      <c r="D1222" s="24"/>
      <c r="E1222" s="24"/>
      <c r="G1222" s="143"/>
      <c r="H1222" s="24"/>
      <c r="K1222" s="25"/>
      <c r="L1222" s="25"/>
      <c r="M1222" s="77"/>
      <c r="N1222" s="24" t="s">
        <v>4335</v>
      </c>
    </row>
    <row r="1223">
      <c r="B1223" s="24"/>
      <c r="C1223" s="24"/>
      <c r="D1223" s="24"/>
      <c r="E1223" s="24"/>
      <c r="G1223" s="143"/>
      <c r="H1223" s="24"/>
      <c r="K1223" s="25"/>
      <c r="L1223" s="25"/>
      <c r="M1223" s="77"/>
      <c r="N1223" s="24" t="s">
        <v>4336</v>
      </c>
    </row>
    <row r="1224">
      <c r="B1224" s="24"/>
      <c r="C1224" s="24"/>
      <c r="D1224" s="24"/>
      <c r="E1224" s="24"/>
      <c r="G1224" s="143"/>
      <c r="H1224" s="24"/>
      <c r="K1224" s="25"/>
      <c r="L1224" s="25"/>
      <c r="M1224" s="77"/>
      <c r="N1224" s="24" t="s">
        <v>4337</v>
      </c>
    </row>
    <row r="1225">
      <c r="B1225" s="24"/>
      <c r="C1225" s="24"/>
      <c r="D1225" s="24"/>
      <c r="E1225" s="24"/>
      <c r="G1225" s="143"/>
      <c r="H1225" s="24"/>
      <c r="K1225" s="25"/>
      <c r="L1225" s="25"/>
      <c r="M1225" s="77"/>
      <c r="N1225" s="24" t="s">
        <v>4338</v>
      </c>
    </row>
    <row r="1226">
      <c r="B1226" s="24"/>
      <c r="C1226" s="24"/>
      <c r="D1226" s="24"/>
      <c r="E1226" s="24"/>
      <c r="G1226" s="143"/>
      <c r="H1226" s="24"/>
      <c r="K1226" s="25"/>
      <c r="L1226" s="25"/>
      <c r="M1226" s="77"/>
      <c r="N1226" s="24" t="s">
        <v>4339</v>
      </c>
    </row>
    <row r="1227">
      <c r="B1227" s="24"/>
      <c r="C1227" s="24"/>
      <c r="D1227" s="24"/>
      <c r="E1227" s="24"/>
      <c r="G1227" s="143"/>
      <c r="H1227" s="24"/>
      <c r="K1227" s="25"/>
      <c r="L1227" s="25"/>
      <c r="M1227" s="77"/>
      <c r="N1227" s="24" t="s">
        <v>4340</v>
      </c>
    </row>
    <row r="1228">
      <c r="B1228" s="24"/>
      <c r="C1228" s="24"/>
      <c r="D1228" s="24"/>
      <c r="E1228" s="24"/>
      <c r="G1228" s="143"/>
      <c r="H1228" s="24"/>
      <c r="K1228" s="25"/>
      <c r="L1228" s="25"/>
      <c r="M1228" s="77"/>
      <c r="N1228" s="24" t="s">
        <v>4341</v>
      </c>
    </row>
    <row r="1229">
      <c r="B1229" s="24"/>
      <c r="C1229" s="24"/>
      <c r="D1229" s="24"/>
      <c r="E1229" s="24"/>
      <c r="G1229" s="143"/>
      <c r="H1229" s="24"/>
      <c r="K1229" s="25"/>
      <c r="L1229" s="25"/>
      <c r="M1229" s="77"/>
      <c r="N1229" s="24" t="s">
        <v>4342</v>
      </c>
    </row>
    <row r="1230">
      <c r="B1230" s="24"/>
      <c r="C1230" s="24"/>
      <c r="D1230" s="24"/>
      <c r="E1230" s="24"/>
      <c r="G1230" s="143"/>
      <c r="H1230" s="24"/>
      <c r="K1230" s="25"/>
      <c r="L1230" s="25"/>
      <c r="M1230" s="77"/>
      <c r="N1230" s="24" t="s">
        <v>4343</v>
      </c>
    </row>
    <row r="1231">
      <c r="B1231" s="24"/>
      <c r="C1231" s="24"/>
      <c r="D1231" s="24"/>
      <c r="E1231" s="24"/>
      <c r="G1231" s="143"/>
      <c r="H1231" s="24"/>
      <c r="K1231" s="25"/>
      <c r="L1231" s="25"/>
      <c r="M1231" s="77"/>
      <c r="N1231" s="24" t="s">
        <v>4344</v>
      </c>
    </row>
    <row r="1232">
      <c r="B1232" s="24"/>
      <c r="C1232" s="24"/>
      <c r="D1232" s="24"/>
      <c r="E1232" s="24"/>
      <c r="G1232" s="143"/>
      <c r="H1232" s="24"/>
      <c r="K1232" s="25"/>
      <c r="L1232" s="25"/>
      <c r="M1232" s="77"/>
      <c r="N1232" s="24" t="s">
        <v>4345</v>
      </c>
    </row>
    <row r="1233">
      <c r="B1233" s="24"/>
      <c r="C1233" s="24"/>
      <c r="D1233" s="24"/>
      <c r="E1233" s="24"/>
      <c r="G1233" s="143"/>
      <c r="H1233" s="24"/>
      <c r="K1233" s="25"/>
      <c r="L1233" s="25"/>
      <c r="M1233" s="77"/>
      <c r="N1233" s="24" t="s">
        <v>4346</v>
      </c>
    </row>
    <row r="1234">
      <c r="B1234" s="24"/>
      <c r="C1234" s="24"/>
      <c r="D1234" s="24"/>
      <c r="E1234" s="24"/>
      <c r="G1234" s="143"/>
      <c r="H1234" s="24"/>
      <c r="K1234" s="25"/>
      <c r="L1234" s="25"/>
      <c r="M1234" s="77"/>
      <c r="N1234" s="24" t="s">
        <v>4347</v>
      </c>
    </row>
    <row r="1235">
      <c r="B1235" s="24"/>
      <c r="C1235" s="24"/>
      <c r="D1235" s="24"/>
      <c r="E1235" s="24"/>
      <c r="G1235" s="143"/>
      <c r="H1235" s="24"/>
      <c r="K1235" s="25"/>
      <c r="L1235" s="25"/>
      <c r="M1235" s="77"/>
      <c r="N1235" s="24" t="s">
        <v>4348</v>
      </c>
    </row>
    <row r="1236">
      <c r="B1236" s="24"/>
      <c r="C1236" s="24"/>
      <c r="D1236" s="24"/>
      <c r="E1236" s="24"/>
      <c r="G1236" s="143"/>
      <c r="H1236" s="24"/>
      <c r="K1236" s="25"/>
      <c r="L1236" s="25"/>
      <c r="M1236" s="77"/>
      <c r="N1236" s="24" t="s">
        <v>4349</v>
      </c>
    </row>
    <row r="1237">
      <c r="B1237" s="24"/>
      <c r="C1237" s="24"/>
      <c r="D1237" s="24"/>
      <c r="E1237" s="24"/>
      <c r="G1237" s="143"/>
      <c r="H1237" s="24"/>
      <c r="K1237" s="25"/>
      <c r="L1237" s="25"/>
      <c r="M1237" s="77"/>
      <c r="N1237" s="24" t="s">
        <v>4350</v>
      </c>
    </row>
    <row r="1238">
      <c r="B1238" s="24"/>
      <c r="C1238" s="24"/>
      <c r="D1238" s="24"/>
      <c r="E1238" s="24"/>
      <c r="G1238" s="143"/>
      <c r="H1238" s="24"/>
      <c r="K1238" s="25"/>
      <c r="L1238" s="25"/>
      <c r="M1238" s="77"/>
      <c r="N1238" s="24" t="s">
        <v>4351</v>
      </c>
    </row>
    <row r="1239">
      <c r="B1239" s="24"/>
      <c r="C1239" s="24"/>
      <c r="D1239" s="24"/>
      <c r="E1239" s="24"/>
      <c r="G1239" s="143"/>
      <c r="H1239" s="24"/>
      <c r="K1239" s="25"/>
      <c r="L1239" s="25"/>
      <c r="M1239" s="77"/>
      <c r="N1239" s="24" t="s">
        <v>4352</v>
      </c>
    </row>
    <row r="1240">
      <c r="B1240" s="24"/>
      <c r="C1240" s="24"/>
      <c r="D1240" s="24"/>
      <c r="E1240" s="24"/>
      <c r="G1240" s="143"/>
      <c r="H1240" s="24"/>
      <c r="K1240" s="25"/>
      <c r="L1240" s="25"/>
      <c r="M1240" s="77"/>
      <c r="N1240" s="24" t="s">
        <v>4353</v>
      </c>
    </row>
    <row r="1241">
      <c r="B1241" s="24"/>
      <c r="C1241" s="24"/>
      <c r="D1241" s="24"/>
      <c r="E1241" s="24"/>
      <c r="G1241" s="143"/>
      <c r="H1241" s="24"/>
      <c r="K1241" s="25"/>
      <c r="L1241" s="25"/>
      <c r="M1241" s="77"/>
      <c r="N1241" s="24" t="s">
        <v>4354</v>
      </c>
    </row>
    <row r="1242">
      <c r="B1242" s="24"/>
      <c r="C1242" s="24"/>
      <c r="D1242" s="24"/>
      <c r="E1242" s="24"/>
      <c r="G1242" s="143"/>
      <c r="H1242" s="24"/>
      <c r="K1242" s="25"/>
      <c r="L1242" s="25"/>
      <c r="M1242" s="77"/>
      <c r="N1242" s="24" t="s">
        <v>4355</v>
      </c>
    </row>
    <row r="1243">
      <c r="B1243" s="24"/>
      <c r="C1243" s="24"/>
      <c r="D1243" s="24"/>
      <c r="E1243" s="24"/>
      <c r="G1243" s="143"/>
      <c r="H1243" s="24"/>
      <c r="K1243" s="25"/>
      <c r="L1243" s="25"/>
      <c r="M1243" s="77"/>
      <c r="N1243" s="24" t="s">
        <v>4356</v>
      </c>
    </row>
    <row r="1244">
      <c r="B1244" s="24"/>
      <c r="C1244" s="24"/>
      <c r="D1244" s="24"/>
      <c r="E1244" s="24"/>
      <c r="G1244" s="143"/>
      <c r="H1244" s="24"/>
      <c r="K1244" s="25"/>
      <c r="L1244" s="25"/>
      <c r="M1244" s="77"/>
      <c r="N1244" s="24" t="s">
        <v>4357</v>
      </c>
    </row>
    <row r="1245">
      <c r="B1245" s="24"/>
      <c r="C1245" s="24"/>
      <c r="D1245" s="24"/>
      <c r="E1245" s="24"/>
      <c r="G1245" s="143"/>
      <c r="H1245" s="24"/>
      <c r="K1245" s="25"/>
      <c r="L1245" s="25"/>
      <c r="M1245" s="77"/>
      <c r="N1245" s="24" t="s">
        <v>4358</v>
      </c>
    </row>
    <row r="1246">
      <c r="B1246" s="24"/>
      <c r="C1246" s="24"/>
      <c r="D1246" s="24"/>
      <c r="E1246" s="24"/>
      <c r="G1246" s="143"/>
      <c r="H1246" s="24"/>
      <c r="K1246" s="25"/>
      <c r="L1246" s="25"/>
      <c r="M1246" s="77"/>
      <c r="N1246" s="24" t="s">
        <v>4359</v>
      </c>
    </row>
    <row r="1247">
      <c r="B1247" s="24"/>
      <c r="C1247" s="24"/>
      <c r="D1247" s="24"/>
      <c r="E1247" s="24"/>
      <c r="G1247" s="143"/>
      <c r="H1247" s="24"/>
      <c r="K1247" s="25"/>
      <c r="L1247" s="25"/>
      <c r="M1247" s="77"/>
      <c r="N1247" s="24" t="s">
        <v>4360</v>
      </c>
    </row>
    <row r="1248">
      <c r="B1248" s="24"/>
      <c r="C1248" s="24"/>
      <c r="D1248" s="24"/>
      <c r="E1248" s="24"/>
      <c r="G1248" s="143"/>
      <c r="H1248" s="24"/>
      <c r="K1248" s="25"/>
      <c r="L1248" s="25"/>
      <c r="M1248" s="77"/>
      <c r="N1248" s="24" t="s">
        <v>4361</v>
      </c>
    </row>
    <row r="1249">
      <c r="B1249" s="24"/>
      <c r="C1249" s="24"/>
      <c r="D1249" s="24"/>
      <c r="E1249" s="24"/>
      <c r="G1249" s="143"/>
      <c r="H1249" s="24"/>
      <c r="K1249" s="25"/>
      <c r="L1249" s="25"/>
      <c r="M1249" s="77"/>
      <c r="N1249" s="24" t="s">
        <v>4362</v>
      </c>
    </row>
    <row r="1250">
      <c r="B1250" s="24"/>
      <c r="C1250" s="24"/>
      <c r="D1250" s="24"/>
      <c r="E1250" s="24"/>
      <c r="G1250" s="143"/>
      <c r="H1250" s="24"/>
      <c r="K1250" s="25"/>
      <c r="L1250" s="25"/>
      <c r="M1250" s="77"/>
      <c r="N1250" s="24" t="s">
        <v>4363</v>
      </c>
    </row>
    <row r="1251">
      <c r="B1251" s="24"/>
      <c r="C1251" s="24"/>
      <c r="D1251" s="24"/>
      <c r="E1251" s="24"/>
      <c r="G1251" s="143"/>
      <c r="H1251" s="24"/>
      <c r="K1251" s="25"/>
      <c r="L1251" s="25"/>
      <c r="M1251" s="77"/>
      <c r="N1251" s="24" t="s">
        <v>4364</v>
      </c>
    </row>
    <row r="1252">
      <c r="B1252" s="24"/>
      <c r="C1252" s="24"/>
      <c r="D1252" s="24"/>
      <c r="E1252" s="24"/>
      <c r="G1252" s="143"/>
      <c r="H1252" s="24"/>
      <c r="K1252" s="25"/>
      <c r="L1252" s="25"/>
      <c r="M1252" s="77"/>
      <c r="N1252" s="24" t="s">
        <v>4365</v>
      </c>
    </row>
    <row r="1253">
      <c r="B1253" s="24"/>
      <c r="C1253" s="24"/>
      <c r="D1253" s="24"/>
      <c r="E1253" s="24"/>
      <c r="G1253" s="143"/>
      <c r="H1253" s="24"/>
      <c r="K1253" s="25"/>
      <c r="L1253" s="25"/>
      <c r="M1253" s="77"/>
      <c r="N1253" s="24" t="s">
        <v>4366</v>
      </c>
    </row>
    <row r="1254">
      <c r="B1254" s="24"/>
      <c r="C1254" s="24"/>
      <c r="D1254" s="24"/>
      <c r="E1254" s="24"/>
      <c r="G1254" s="143"/>
      <c r="H1254" s="24"/>
      <c r="K1254" s="25"/>
      <c r="L1254" s="25"/>
      <c r="M1254" s="77"/>
      <c r="N1254" s="24" t="s">
        <v>4367</v>
      </c>
    </row>
    <row r="1255">
      <c r="B1255" s="24"/>
      <c r="C1255" s="24"/>
      <c r="D1255" s="24"/>
      <c r="E1255" s="24"/>
      <c r="G1255" s="143"/>
      <c r="H1255" s="24"/>
      <c r="K1255" s="25"/>
      <c r="L1255" s="25"/>
      <c r="M1255" s="77"/>
      <c r="N1255" s="24" t="s">
        <v>4363</v>
      </c>
    </row>
    <row r="1256">
      <c r="B1256" s="24"/>
      <c r="C1256" s="24"/>
      <c r="D1256" s="24"/>
      <c r="E1256" s="24"/>
      <c r="G1256" s="143"/>
      <c r="H1256" s="24"/>
      <c r="K1256" s="25"/>
      <c r="L1256" s="25"/>
      <c r="M1256" s="77"/>
      <c r="N1256" s="24" t="s">
        <v>4368</v>
      </c>
    </row>
    <row r="1257">
      <c r="B1257" s="24"/>
      <c r="C1257" s="24"/>
      <c r="D1257" s="24"/>
      <c r="E1257" s="24"/>
      <c r="G1257" s="143"/>
      <c r="H1257" s="24"/>
      <c r="K1257" s="25"/>
      <c r="L1257" s="25"/>
      <c r="M1257" s="77"/>
      <c r="N1257" s="24" t="s">
        <v>4369</v>
      </c>
    </row>
    <row r="1258">
      <c r="B1258" s="24"/>
      <c r="C1258" s="24"/>
      <c r="D1258" s="24"/>
      <c r="E1258" s="24"/>
      <c r="G1258" s="143"/>
      <c r="H1258" s="24"/>
      <c r="K1258" s="25"/>
      <c r="L1258" s="25"/>
      <c r="M1258" s="77"/>
      <c r="N1258" s="24" t="s">
        <v>4370</v>
      </c>
    </row>
    <row r="1259">
      <c r="B1259" s="24"/>
      <c r="C1259" s="24"/>
      <c r="D1259" s="24"/>
      <c r="E1259" s="24"/>
      <c r="G1259" s="143"/>
      <c r="H1259" s="24"/>
      <c r="K1259" s="25"/>
      <c r="L1259" s="25"/>
      <c r="M1259" s="77"/>
      <c r="N1259" s="24" t="s">
        <v>4371</v>
      </c>
    </row>
    <row r="1260">
      <c r="B1260" s="24"/>
      <c r="C1260" s="24"/>
      <c r="D1260" s="24"/>
      <c r="E1260" s="24"/>
      <c r="G1260" s="143"/>
      <c r="H1260" s="24"/>
      <c r="K1260" s="25"/>
      <c r="L1260" s="25"/>
      <c r="M1260" s="77"/>
      <c r="N1260" s="24" t="s">
        <v>4372</v>
      </c>
    </row>
    <row r="1261">
      <c r="B1261" s="24"/>
      <c r="C1261" s="24"/>
      <c r="D1261" s="24"/>
      <c r="E1261" s="24"/>
      <c r="G1261" s="143"/>
      <c r="H1261" s="24"/>
      <c r="K1261" s="25"/>
      <c r="L1261" s="25"/>
      <c r="M1261" s="77"/>
      <c r="N1261" s="24" t="s">
        <v>4373</v>
      </c>
    </row>
    <row r="1262">
      <c r="B1262" s="24"/>
      <c r="C1262" s="24"/>
      <c r="D1262" s="24"/>
      <c r="E1262" s="24"/>
      <c r="G1262" s="143"/>
      <c r="H1262" s="24"/>
      <c r="K1262" s="25"/>
      <c r="L1262" s="25"/>
      <c r="M1262" s="77"/>
      <c r="N1262" s="24" t="s">
        <v>4374</v>
      </c>
    </row>
    <row r="1263">
      <c r="B1263" s="24"/>
      <c r="C1263" s="24"/>
      <c r="D1263" s="24"/>
      <c r="E1263" s="24"/>
      <c r="G1263" s="143"/>
      <c r="H1263" s="24"/>
      <c r="K1263" s="25"/>
      <c r="L1263" s="25"/>
      <c r="M1263" s="77"/>
      <c r="N1263" s="24" t="s">
        <v>4375</v>
      </c>
    </row>
    <row r="1264">
      <c r="B1264" s="24"/>
      <c r="C1264" s="24"/>
      <c r="D1264" s="24"/>
      <c r="E1264" s="24"/>
      <c r="G1264" s="143"/>
      <c r="H1264" s="24"/>
      <c r="K1264" s="25"/>
      <c r="L1264" s="25"/>
      <c r="M1264" s="77"/>
      <c r="N1264" s="24" t="s">
        <v>4376</v>
      </c>
    </row>
    <row r="1265">
      <c r="B1265" s="24"/>
      <c r="C1265" s="24"/>
      <c r="D1265" s="24"/>
      <c r="E1265" s="24"/>
      <c r="G1265" s="143"/>
      <c r="H1265" s="24"/>
      <c r="K1265" s="25"/>
      <c r="L1265" s="25"/>
      <c r="M1265" s="77"/>
      <c r="N1265" s="24" t="s">
        <v>4377</v>
      </c>
    </row>
    <row r="1266">
      <c r="B1266" s="24"/>
      <c r="C1266" s="24"/>
      <c r="D1266" s="24"/>
      <c r="E1266" s="24"/>
      <c r="G1266" s="143"/>
      <c r="H1266" s="24"/>
      <c r="K1266" s="25"/>
      <c r="L1266" s="25"/>
      <c r="M1266" s="77"/>
      <c r="N1266" s="24" t="s">
        <v>4378</v>
      </c>
    </row>
    <row r="1267">
      <c r="B1267" s="24"/>
      <c r="C1267" s="24"/>
      <c r="D1267" s="24"/>
      <c r="E1267" s="24"/>
      <c r="G1267" s="143"/>
      <c r="H1267" s="24"/>
      <c r="K1267" s="25"/>
      <c r="L1267" s="25"/>
      <c r="M1267" s="77"/>
      <c r="N1267" s="24" t="s">
        <v>4379</v>
      </c>
    </row>
    <row r="1268">
      <c r="B1268" s="24"/>
      <c r="C1268" s="24"/>
      <c r="D1268" s="24"/>
      <c r="E1268" s="24"/>
      <c r="G1268" s="143"/>
      <c r="H1268" s="24"/>
      <c r="K1268" s="25"/>
      <c r="L1268" s="25"/>
      <c r="M1268" s="77"/>
      <c r="N1268" s="24" t="s">
        <v>4380</v>
      </c>
    </row>
    <row r="1269">
      <c r="B1269" s="24"/>
      <c r="C1269" s="24"/>
      <c r="D1269" s="24"/>
      <c r="E1269" s="24"/>
      <c r="G1269" s="143"/>
      <c r="H1269" s="24"/>
      <c r="K1269" s="25"/>
      <c r="L1269" s="25"/>
      <c r="M1269" s="77"/>
      <c r="N1269" s="24" t="s">
        <v>4381</v>
      </c>
    </row>
    <row r="1270">
      <c r="B1270" s="24"/>
      <c r="C1270" s="24"/>
      <c r="D1270" s="24"/>
      <c r="E1270" s="24"/>
      <c r="G1270" s="143"/>
      <c r="H1270" s="24"/>
      <c r="K1270" s="25"/>
      <c r="L1270" s="25"/>
      <c r="M1270" s="77"/>
      <c r="N1270" s="24" t="s">
        <v>4382</v>
      </c>
    </row>
    <row r="1271">
      <c r="B1271" s="24"/>
      <c r="C1271" s="24"/>
      <c r="D1271" s="24"/>
      <c r="E1271" s="24"/>
      <c r="G1271" s="143"/>
      <c r="H1271" s="24"/>
      <c r="K1271" s="25"/>
      <c r="L1271" s="25"/>
      <c r="M1271" s="77"/>
      <c r="N1271" s="24" t="s">
        <v>4383</v>
      </c>
    </row>
    <row r="1272">
      <c r="B1272" s="24"/>
      <c r="C1272" s="24"/>
      <c r="D1272" s="24"/>
      <c r="E1272" s="24"/>
      <c r="G1272" s="143"/>
      <c r="H1272" s="24"/>
      <c r="K1272" s="25"/>
      <c r="L1272" s="25"/>
      <c r="M1272" s="77"/>
      <c r="N1272" s="24" t="s">
        <v>4384</v>
      </c>
    </row>
    <row r="1273">
      <c r="B1273" s="24"/>
      <c r="C1273" s="24"/>
      <c r="D1273" s="24"/>
      <c r="E1273" s="24"/>
      <c r="G1273" s="143"/>
      <c r="H1273" s="24"/>
      <c r="K1273" s="25"/>
      <c r="L1273" s="25"/>
      <c r="M1273" s="77"/>
      <c r="N1273" s="24" t="s">
        <v>4385</v>
      </c>
    </row>
    <row r="1274">
      <c r="B1274" s="24"/>
      <c r="C1274" s="24"/>
      <c r="D1274" s="24"/>
      <c r="E1274" s="24"/>
      <c r="G1274" s="143"/>
      <c r="H1274" s="24"/>
      <c r="K1274" s="25"/>
      <c r="L1274" s="25"/>
      <c r="M1274" s="77"/>
      <c r="N1274" s="24" t="s">
        <v>4386</v>
      </c>
    </row>
    <row r="1275">
      <c r="B1275" s="24"/>
      <c r="C1275" s="24"/>
      <c r="D1275" s="24"/>
      <c r="E1275" s="24"/>
      <c r="G1275" s="143"/>
      <c r="H1275" s="24"/>
      <c r="K1275" s="25"/>
      <c r="L1275" s="25"/>
      <c r="M1275" s="77"/>
      <c r="N1275" s="24" t="s">
        <v>4387</v>
      </c>
    </row>
    <row r="1276">
      <c r="B1276" s="24"/>
      <c r="C1276" s="24"/>
      <c r="D1276" s="24"/>
      <c r="E1276" s="24"/>
      <c r="G1276" s="143"/>
      <c r="H1276" s="24"/>
      <c r="K1276" s="25"/>
      <c r="L1276" s="25"/>
      <c r="M1276" s="77"/>
      <c r="N1276" s="24" t="s">
        <v>4388</v>
      </c>
    </row>
    <row r="1277">
      <c r="B1277" s="24"/>
      <c r="C1277" s="24"/>
      <c r="D1277" s="24"/>
      <c r="E1277" s="24"/>
      <c r="G1277" s="143"/>
      <c r="H1277" s="24"/>
      <c r="K1277" s="25"/>
      <c r="L1277" s="25"/>
      <c r="M1277" s="77"/>
      <c r="N1277" s="24" t="s">
        <v>4389</v>
      </c>
    </row>
    <row r="1278">
      <c r="B1278" s="24"/>
      <c r="C1278" s="24"/>
      <c r="D1278" s="24"/>
      <c r="E1278" s="24"/>
      <c r="G1278" s="143"/>
      <c r="H1278" s="24"/>
      <c r="K1278" s="25"/>
      <c r="L1278" s="25"/>
      <c r="M1278" s="77"/>
      <c r="N1278" s="24" t="s">
        <v>4390</v>
      </c>
    </row>
    <row r="1279">
      <c r="B1279" s="24"/>
      <c r="C1279" s="24"/>
      <c r="D1279" s="24"/>
      <c r="E1279" s="24"/>
      <c r="G1279" s="143"/>
      <c r="H1279" s="24"/>
      <c r="K1279" s="25"/>
      <c r="L1279" s="25"/>
      <c r="M1279" s="77"/>
      <c r="N1279" s="24" t="s">
        <v>4391</v>
      </c>
    </row>
    <row r="1280">
      <c r="B1280" s="24"/>
      <c r="C1280" s="24"/>
      <c r="D1280" s="24"/>
      <c r="E1280" s="24"/>
      <c r="G1280" s="143"/>
      <c r="H1280" s="24"/>
      <c r="K1280" s="25"/>
      <c r="L1280" s="25"/>
      <c r="M1280" s="77"/>
      <c r="N1280" s="24" t="s">
        <v>4392</v>
      </c>
    </row>
    <row r="1281">
      <c r="B1281" s="24"/>
      <c r="C1281" s="24"/>
      <c r="D1281" s="24"/>
      <c r="E1281" s="24"/>
      <c r="G1281" s="143"/>
      <c r="H1281" s="24"/>
      <c r="K1281" s="25"/>
      <c r="L1281" s="25"/>
      <c r="M1281" s="77"/>
      <c r="N1281" s="24" t="s">
        <v>4393</v>
      </c>
    </row>
    <row r="1282">
      <c r="B1282" s="24"/>
      <c r="C1282" s="24"/>
      <c r="D1282" s="24"/>
      <c r="E1282" s="24"/>
      <c r="G1282" s="143"/>
      <c r="H1282" s="24"/>
      <c r="K1282" s="25"/>
      <c r="L1282" s="25"/>
      <c r="M1282" s="77"/>
      <c r="N1282" s="24" t="s">
        <v>4394</v>
      </c>
    </row>
    <row r="1283">
      <c r="B1283" s="24"/>
      <c r="C1283" s="24"/>
      <c r="D1283" s="24"/>
      <c r="E1283" s="24"/>
      <c r="G1283" s="143"/>
      <c r="H1283" s="24"/>
      <c r="K1283" s="25"/>
      <c r="L1283" s="25"/>
      <c r="M1283" s="77"/>
      <c r="N1283" s="24" t="s">
        <v>4395</v>
      </c>
    </row>
    <row r="1284">
      <c r="B1284" s="24"/>
      <c r="C1284" s="24"/>
      <c r="D1284" s="24"/>
      <c r="E1284" s="24"/>
      <c r="G1284" s="143"/>
      <c r="H1284" s="24"/>
      <c r="K1284" s="25"/>
      <c r="L1284" s="25"/>
      <c r="M1284" s="77"/>
      <c r="N1284" s="24" t="s">
        <v>4396</v>
      </c>
    </row>
    <row r="1285">
      <c r="B1285" s="24"/>
      <c r="C1285" s="24"/>
      <c r="D1285" s="24"/>
      <c r="E1285" s="24"/>
      <c r="G1285" s="143"/>
      <c r="H1285" s="24"/>
      <c r="K1285" s="25"/>
      <c r="L1285" s="25"/>
      <c r="M1285" s="77"/>
      <c r="N1285" s="24" t="s">
        <v>4397</v>
      </c>
    </row>
    <row r="1286">
      <c r="B1286" s="24"/>
      <c r="C1286" s="24"/>
      <c r="D1286" s="24"/>
      <c r="E1286" s="24"/>
      <c r="G1286" s="143"/>
      <c r="H1286" s="24"/>
      <c r="K1286" s="25"/>
      <c r="L1286" s="25"/>
      <c r="M1286" s="77"/>
      <c r="N1286" s="24" t="s">
        <v>4398</v>
      </c>
    </row>
    <row r="1287">
      <c r="B1287" s="24"/>
      <c r="C1287" s="24"/>
      <c r="D1287" s="24"/>
      <c r="E1287" s="24"/>
      <c r="G1287" s="143"/>
      <c r="H1287" s="24"/>
      <c r="K1287" s="25"/>
      <c r="L1287" s="25"/>
      <c r="M1287" s="77"/>
      <c r="N1287" s="24" t="s">
        <v>4399</v>
      </c>
    </row>
    <row r="1288">
      <c r="B1288" s="24"/>
      <c r="C1288" s="24"/>
      <c r="D1288" s="24"/>
      <c r="E1288" s="24"/>
      <c r="G1288" s="143"/>
      <c r="H1288" s="24"/>
      <c r="K1288" s="25"/>
      <c r="L1288" s="25"/>
      <c r="M1288" s="77"/>
      <c r="N1288" s="24" t="s">
        <v>4400</v>
      </c>
    </row>
    <row r="1289">
      <c r="B1289" s="24"/>
      <c r="C1289" s="24"/>
      <c r="D1289" s="24"/>
      <c r="E1289" s="24"/>
      <c r="G1289" s="143"/>
      <c r="H1289" s="24"/>
      <c r="K1289" s="25"/>
      <c r="L1289" s="25"/>
      <c r="M1289" s="77"/>
      <c r="N1289" s="24" t="s">
        <v>4401</v>
      </c>
    </row>
    <row r="1290">
      <c r="B1290" s="24"/>
      <c r="C1290" s="24"/>
      <c r="D1290" s="24"/>
      <c r="E1290" s="24"/>
      <c r="G1290" s="143"/>
      <c r="H1290" s="24"/>
      <c r="K1290" s="25"/>
      <c r="L1290" s="25"/>
      <c r="M1290" s="77"/>
      <c r="N1290" s="24" t="s">
        <v>4402</v>
      </c>
    </row>
    <row r="1291">
      <c r="B1291" s="24"/>
      <c r="C1291" s="24"/>
      <c r="D1291" s="24"/>
      <c r="E1291" s="24"/>
      <c r="G1291" s="143"/>
      <c r="H1291" s="24"/>
      <c r="K1291" s="25"/>
      <c r="L1291" s="25"/>
      <c r="M1291" s="77"/>
      <c r="N1291" s="24" t="s">
        <v>4403</v>
      </c>
    </row>
    <row r="1292">
      <c r="B1292" s="24"/>
      <c r="C1292" s="24"/>
      <c r="D1292" s="24"/>
      <c r="E1292" s="24"/>
      <c r="G1292" s="143"/>
      <c r="H1292" s="24"/>
      <c r="K1292" s="25"/>
      <c r="L1292" s="25"/>
      <c r="M1292" s="77"/>
      <c r="N1292" s="24" t="s">
        <v>4404</v>
      </c>
    </row>
    <row r="1293">
      <c r="B1293" s="24"/>
      <c r="C1293" s="24"/>
      <c r="D1293" s="24"/>
      <c r="E1293" s="24"/>
      <c r="G1293" s="143"/>
      <c r="H1293" s="24"/>
      <c r="K1293" s="25"/>
      <c r="L1293" s="25"/>
      <c r="M1293" s="77"/>
      <c r="N1293" s="24" t="s">
        <v>4405</v>
      </c>
    </row>
    <row r="1294">
      <c r="B1294" s="24"/>
      <c r="C1294" s="24"/>
      <c r="D1294" s="24"/>
      <c r="E1294" s="24"/>
      <c r="G1294" s="143"/>
      <c r="H1294" s="24"/>
      <c r="K1294" s="25"/>
      <c r="L1294" s="25"/>
      <c r="M1294" s="77"/>
      <c r="N1294" s="24" t="s">
        <v>4406</v>
      </c>
    </row>
    <row r="1295">
      <c r="B1295" s="24"/>
      <c r="C1295" s="24"/>
      <c r="D1295" s="24"/>
      <c r="E1295" s="24"/>
      <c r="G1295" s="143"/>
      <c r="H1295" s="24"/>
      <c r="K1295" s="25"/>
      <c r="L1295" s="25"/>
      <c r="M1295" s="77"/>
      <c r="N1295" s="24" t="s">
        <v>4407</v>
      </c>
    </row>
    <row r="1296">
      <c r="B1296" s="24"/>
      <c r="C1296" s="24"/>
      <c r="D1296" s="24"/>
      <c r="E1296" s="24"/>
      <c r="G1296" s="143"/>
      <c r="H1296" s="24"/>
      <c r="K1296" s="25"/>
      <c r="L1296" s="25"/>
      <c r="M1296" s="77"/>
      <c r="N1296" s="24" t="s">
        <v>4408</v>
      </c>
    </row>
    <row r="1297">
      <c r="B1297" s="24"/>
      <c r="C1297" s="24"/>
      <c r="D1297" s="24"/>
      <c r="E1297" s="24"/>
      <c r="G1297" s="143"/>
      <c r="H1297" s="24"/>
      <c r="K1297" s="25"/>
      <c r="L1297" s="25"/>
      <c r="M1297" s="77"/>
      <c r="N1297" s="24" t="s">
        <v>4409</v>
      </c>
    </row>
    <row r="1298">
      <c r="B1298" s="24"/>
      <c r="C1298" s="24"/>
      <c r="D1298" s="24"/>
      <c r="E1298" s="24"/>
      <c r="G1298" s="143"/>
      <c r="H1298" s="24"/>
      <c r="K1298" s="25"/>
      <c r="L1298" s="25"/>
      <c r="M1298" s="77"/>
      <c r="N1298" s="24" t="s">
        <v>4410</v>
      </c>
    </row>
    <row r="1299">
      <c r="B1299" s="24"/>
      <c r="C1299" s="24"/>
      <c r="D1299" s="24"/>
      <c r="E1299" s="24"/>
      <c r="G1299" s="143"/>
      <c r="H1299" s="24"/>
      <c r="K1299" s="25"/>
      <c r="L1299" s="25"/>
      <c r="M1299" s="77"/>
      <c r="N1299" s="24" t="s">
        <v>4411</v>
      </c>
    </row>
    <row r="1300">
      <c r="B1300" s="24"/>
      <c r="C1300" s="24"/>
      <c r="D1300" s="24"/>
      <c r="E1300" s="24"/>
      <c r="G1300" s="143"/>
      <c r="H1300" s="24"/>
      <c r="K1300" s="25"/>
      <c r="L1300" s="25"/>
      <c r="M1300" s="77"/>
      <c r="N1300" s="24" t="s">
        <v>4412</v>
      </c>
    </row>
    <row r="1301">
      <c r="B1301" s="24"/>
      <c r="C1301" s="24"/>
      <c r="D1301" s="24"/>
      <c r="E1301" s="24"/>
      <c r="G1301" s="143"/>
      <c r="H1301" s="24"/>
      <c r="K1301" s="25"/>
      <c r="L1301" s="25"/>
      <c r="M1301" s="77"/>
      <c r="N1301" s="24" t="s">
        <v>4334</v>
      </c>
    </row>
    <row r="1302">
      <c r="B1302" s="24"/>
      <c r="C1302" s="24"/>
      <c r="D1302" s="24"/>
      <c r="E1302" s="24"/>
      <c r="G1302" s="143"/>
      <c r="H1302" s="24"/>
      <c r="K1302" s="25"/>
      <c r="L1302" s="25"/>
      <c r="M1302" s="77"/>
      <c r="N1302" s="24" t="s">
        <v>4259</v>
      </c>
    </row>
    <row r="1303">
      <c r="B1303" s="24"/>
      <c r="C1303" s="24"/>
      <c r="D1303" s="24"/>
      <c r="E1303" s="24"/>
      <c r="G1303" s="143"/>
      <c r="H1303" s="24"/>
      <c r="K1303" s="25"/>
      <c r="L1303" s="25"/>
      <c r="M1303" s="77"/>
      <c r="N1303" s="24" t="s">
        <v>4413</v>
      </c>
    </row>
    <row r="1304">
      <c r="B1304" s="24"/>
      <c r="C1304" s="24"/>
      <c r="D1304" s="24"/>
      <c r="E1304" s="24"/>
      <c r="G1304" s="143"/>
      <c r="H1304" s="24"/>
      <c r="K1304" s="25"/>
      <c r="L1304" s="25"/>
      <c r="M1304" s="77"/>
      <c r="N1304" s="24" t="s">
        <v>4414</v>
      </c>
    </row>
    <row r="1305">
      <c r="B1305" s="24"/>
      <c r="C1305" s="24"/>
      <c r="D1305" s="24"/>
      <c r="E1305" s="24"/>
      <c r="G1305" s="143"/>
      <c r="H1305" s="24"/>
      <c r="K1305" s="25"/>
      <c r="L1305" s="25"/>
      <c r="M1305" s="77"/>
      <c r="N1305" s="24" t="s">
        <v>4415</v>
      </c>
    </row>
    <row r="1306">
      <c r="B1306" s="24"/>
      <c r="C1306" s="24"/>
      <c r="D1306" s="24"/>
      <c r="E1306" s="24"/>
      <c r="G1306" s="143"/>
      <c r="H1306" s="24"/>
      <c r="K1306" s="25"/>
      <c r="L1306" s="25"/>
      <c r="M1306" s="77"/>
      <c r="N1306" s="24" t="s">
        <v>4416</v>
      </c>
    </row>
    <row r="1307">
      <c r="B1307" s="24"/>
      <c r="C1307" s="24"/>
      <c r="D1307" s="24"/>
      <c r="E1307" s="24"/>
      <c r="G1307" s="143"/>
      <c r="H1307" s="24"/>
      <c r="K1307" s="25"/>
      <c r="L1307" s="25"/>
      <c r="M1307" s="77"/>
      <c r="N1307" s="24" t="s">
        <v>4417</v>
      </c>
    </row>
    <row r="1308">
      <c r="B1308" s="24"/>
      <c r="C1308" s="24"/>
      <c r="D1308" s="24"/>
      <c r="E1308" s="24"/>
      <c r="G1308" s="143"/>
      <c r="H1308" s="24"/>
      <c r="K1308" s="25"/>
      <c r="L1308" s="25"/>
      <c r="M1308" s="77"/>
      <c r="N1308" s="24" t="s">
        <v>4418</v>
      </c>
    </row>
    <row r="1309">
      <c r="B1309" s="24"/>
      <c r="C1309" s="24"/>
      <c r="D1309" s="24"/>
      <c r="E1309" s="24"/>
      <c r="G1309" s="143"/>
      <c r="H1309" s="24"/>
      <c r="K1309" s="25"/>
      <c r="L1309" s="25"/>
      <c r="M1309" s="77"/>
      <c r="N1309" s="24" t="s">
        <v>4419</v>
      </c>
    </row>
    <row r="1310">
      <c r="B1310" s="24"/>
      <c r="C1310" s="24"/>
      <c r="D1310" s="24"/>
      <c r="E1310" s="24"/>
      <c r="G1310" s="143"/>
      <c r="H1310" s="24"/>
      <c r="K1310" s="25"/>
      <c r="L1310" s="25"/>
      <c r="M1310" s="77"/>
      <c r="N1310" s="24" t="s">
        <v>4420</v>
      </c>
    </row>
    <row r="1311">
      <c r="B1311" s="24"/>
      <c r="C1311" s="24"/>
      <c r="D1311" s="24"/>
      <c r="E1311" s="24"/>
      <c r="G1311" s="143"/>
      <c r="H1311" s="24"/>
      <c r="K1311" s="25"/>
      <c r="L1311" s="25"/>
      <c r="M1311" s="77"/>
      <c r="N1311" s="24" t="s">
        <v>4421</v>
      </c>
    </row>
    <row r="1312">
      <c r="B1312" s="24"/>
      <c r="C1312" s="24"/>
      <c r="D1312" s="24"/>
      <c r="E1312" s="24"/>
      <c r="G1312" s="143"/>
      <c r="H1312" s="24"/>
      <c r="K1312" s="25"/>
      <c r="L1312" s="25"/>
      <c r="M1312" s="77"/>
      <c r="N1312" s="24" t="s">
        <v>4422</v>
      </c>
    </row>
    <row r="1313">
      <c r="B1313" s="24"/>
      <c r="C1313" s="24"/>
      <c r="D1313" s="24"/>
      <c r="E1313" s="24"/>
      <c r="G1313" s="143"/>
      <c r="H1313" s="24"/>
      <c r="K1313" s="25"/>
      <c r="L1313" s="25"/>
      <c r="M1313" s="77"/>
      <c r="N1313" s="24" t="s">
        <v>4423</v>
      </c>
    </row>
    <row r="1314">
      <c r="B1314" s="24"/>
      <c r="C1314" s="24"/>
      <c r="D1314" s="24"/>
      <c r="E1314" s="24"/>
      <c r="G1314" s="143"/>
      <c r="H1314" s="24"/>
      <c r="K1314" s="25"/>
      <c r="L1314" s="25"/>
      <c r="M1314" s="77"/>
      <c r="N1314" s="24" t="s">
        <v>4424</v>
      </c>
    </row>
    <row r="1315">
      <c r="B1315" s="24"/>
      <c r="C1315" s="24"/>
      <c r="D1315" s="24"/>
      <c r="E1315" s="24"/>
      <c r="G1315" s="143"/>
      <c r="H1315" s="24"/>
      <c r="K1315" s="25"/>
      <c r="L1315" s="25"/>
      <c r="M1315" s="77"/>
      <c r="N1315" s="24" t="s">
        <v>4425</v>
      </c>
    </row>
    <row r="1316">
      <c r="B1316" s="24"/>
      <c r="C1316" s="24"/>
      <c r="D1316" s="24"/>
      <c r="E1316" s="24"/>
      <c r="G1316" s="143"/>
      <c r="H1316" s="24"/>
      <c r="K1316" s="25"/>
      <c r="L1316" s="25"/>
      <c r="M1316" s="77"/>
      <c r="N1316" s="24" t="s">
        <v>4426</v>
      </c>
    </row>
    <row r="1317">
      <c r="B1317" s="24"/>
      <c r="C1317" s="24"/>
      <c r="D1317" s="24"/>
      <c r="E1317" s="24"/>
      <c r="G1317" s="143"/>
      <c r="H1317" s="24"/>
      <c r="K1317" s="25"/>
      <c r="L1317" s="25"/>
      <c r="M1317" s="77"/>
      <c r="N1317" s="24" t="s">
        <v>4427</v>
      </c>
    </row>
    <row r="1318">
      <c r="B1318" s="24"/>
      <c r="C1318" s="24"/>
      <c r="D1318" s="24"/>
      <c r="E1318" s="24"/>
      <c r="G1318" s="143"/>
      <c r="H1318" s="24"/>
      <c r="K1318" s="25"/>
      <c r="L1318" s="25"/>
      <c r="M1318" s="77"/>
      <c r="N1318" s="24" t="s">
        <v>4428</v>
      </c>
    </row>
    <row r="1319">
      <c r="B1319" s="24"/>
      <c r="C1319" s="24"/>
      <c r="D1319" s="24"/>
      <c r="E1319" s="24"/>
      <c r="G1319" s="143"/>
      <c r="H1319" s="24"/>
      <c r="K1319" s="25"/>
      <c r="L1319" s="25"/>
      <c r="M1319" s="77"/>
      <c r="N1319" s="24" t="s">
        <v>4429</v>
      </c>
    </row>
    <row r="1320">
      <c r="B1320" s="24"/>
      <c r="C1320" s="24"/>
      <c r="D1320" s="24"/>
      <c r="E1320" s="24"/>
      <c r="G1320" s="143"/>
      <c r="H1320" s="24"/>
      <c r="K1320" s="25"/>
      <c r="L1320" s="25"/>
      <c r="M1320" s="77"/>
      <c r="N1320" s="24" t="s">
        <v>4430</v>
      </c>
    </row>
    <row r="1321">
      <c r="B1321" s="24"/>
      <c r="C1321" s="24"/>
      <c r="D1321" s="24"/>
      <c r="E1321" s="24"/>
      <c r="G1321" s="143"/>
      <c r="H1321" s="24"/>
      <c r="K1321" s="25"/>
      <c r="L1321" s="25"/>
      <c r="M1321" s="77"/>
      <c r="N1321" s="24" t="s">
        <v>4431</v>
      </c>
    </row>
    <row r="1322">
      <c r="B1322" s="24"/>
      <c r="C1322" s="24"/>
      <c r="D1322" s="24"/>
      <c r="E1322" s="24"/>
      <c r="G1322" s="143"/>
      <c r="H1322" s="24"/>
      <c r="K1322" s="25"/>
      <c r="L1322" s="25"/>
      <c r="M1322" s="77"/>
      <c r="N1322" s="24" t="s">
        <v>4432</v>
      </c>
    </row>
    <row r="1323">
      <c r="B1323" s="24"/>
      <c r="C1323" s="24"/>
      <c r="D1323" s="24"/>
      <c r="E1323" s="24"/>
      <c r="G1323" s="143"/>
      <c r="H1323" s="24"/>
      <c r="K1323" s="25"/>
      <c r="L1323" s="25"/>
      <c r="M1323" s="77"/>
      <c r="N1323" s="24" t="s">
        <v>4433</v>
      </c>
    </row>
    <row r="1324">
      <c r="B1324" s="24"/>
      <c r="C1324" s="24"/>
      <c r="D1324" s="24"/>
      <c r="E1324" s="24"/>
      <c r="G1324" s="143"/>
      <c r="H1324" s="24"/>
      <c r="K1324" s="25"/>
      <c r="L1324" s="25"/>
      <c r="M1324" s="77"/>
      <c r="N1324" s="24" t="s">
        <v>4434</v>
      </c>
    </row>
    <row r="1325">
      <c r="B1325" s="24"/>
      <c r="C1325" s="24"/>
      <c r="D1325" s="24"/>
      <c r="E1325" s="24"/>
      <c r="G1325" s="143"/>
      <c r="H1325" s="24"/>
      <c r="K1325" s="25"/>
      <c r="L1325" s="25"/>
      <c r="M1325" s="77"/>
      <c r="N1325" s="24" t="s">
        <v>4435</v>
      </c>
    </row>
    <row r="1326">
      <c r="B1326" s="24"/>
      <c r="C1326" s="24"/>
      <c r="D1326" s="24"/>
      <c r="E1326" s="24"/>
      <c r="G1326" s="143"/>
      <c r="H1326" s="24"/>
      <c r="K1326" s="25"/>
      <c r="L1326" s="25"/>
      <c r="M1326" s="77"/>
      <c r="N1326" s="24" t="s">
        <v>4436</v>
      </c>
    </row>
    <row r="1327">
      <c r="B1327" s="24"/>
      <c r="C1327" s="24"/>
      <c r="D1327" s="24"/>
      <c r="E1327" s="24"/>
      <c r="G1327" s="143"/>
      <c r="H1327" s="24"/>
      <c r="K1327" s="25"/>
      <c r="L1327" s="25"/>
      <c r="M1327" s="77"/>
      <c r="N1327" s="24" t="s">
        <v>4437</v>
      </c>
    </row>
    <row r="1328">
      <c r="B1328" s="24"/>
      <c r="C1328" s="24"/>
      <c r="D1328" s="24"/>
      <c r="E1328" s="24"/>
      <c r="G1328" s="143"/>
      <c r="H1328" s="24"/>
      <c r="K1328" s="25"/>
      <c r="L1328" s="25"/>
      <c r="M1328" s="77"/>
      <c r="N1328" s="24" t="s">
        <v>4438</v>
      </c>
    </row>
    <row r="1329">
      <c r="B1329" s="24"/>
      <c r="C1329" s="24"/>
      <c r="D1329" s="24"/>
      <c r="E1329" s="24"/>
      <c r="G1329" s="143"/>
      <c r="H1329" s="24"/>
      <c r="K1329" s="25"/>
      <c r="L1329" s="25"/>
      <c r="M1329" s="77"/>
      <c r="N1329" s="24" t="s">
        <v>4439</v>
      </c>
    </row>
    <row r="1330">
      <c r="B1330" s="24"/>
      <c r="C1330" s="24"/>
      <c r="D1330" s="24"/>
      <c r="E1330" s="24"/>
      <c r="G1330" s="143"/>
      <c r="H1330" s="24"/>
      <c r="K1330" s="25"/>
      <c r="L1330" s="25"/>
      <c r="M1330" s="77"/>
      <c r="N1330" s="24" t="s">
        <v>4440</v>
      </c>
    </row>
    <row r="1331">
      <c r="B1331" s="24"/>
      <c r="C1331" s="24"/>
      <c r="D1331" s="24"/>
      <c r="E1331" s="24"/>
      <c r="G1331" s="143"/>
      <c r="H1331" s="24"/>
      <c r="K1331" s="25"/>
      <c r="L1331" s="25"/>
      <c r="M1331" s="77"/>
      <c r="N1331" s="24" t="s">
        <v>4441</v>
      </c>
    </row>
    <row r="1332">
      <c r="B1332" s="24"/>
      <c r="C1332" s="24"/>
      <c r="D1332" s="24"/>
      <c r="E1332" s="24"/>
      <c r="G1332" s="143"/>
      <c r="H1332" s="24"/>
      <c r="K1332" s="25"/>
      <c r="L1332" s="25"/>
      <c r="M1332" s="77"/>
      <c r="N1332" s="24" t="s">
        <v>4442</v>
      </c>
    </row>
    <row r="1333">
      <c r="B1333" s="24"/>
      <c r="C1333" s="24"/>
      <c r="D1333" s="24"/>
      <c r="E1333" s="24"/>
      <c r="G1333" s="143"/>
      <c r="H1333" s="24"/>
      <c r="K1333" s="25"/>
      <c r="L1333" s="25"/>
      <c r="M1333" s="77"/>
      <c r="N1333" s="24" t="s">
        <v>4443</v>
      </c>
    </row>
    <row r="1334">
      <c r="B1334" s="24"/>
      <c r="C1334" s="24"/>
      <c r="D1334" s="24"/>
      <c r="E1334" s="24"/>
      <c r="G1334" s="143"/>
      <c r="H1334" s="24"/>
      <c r="K1334" s="25"/>
      <c r="L1334" s="25"/>
      <c r="M1334" s="77"/>
      <c r="N1334" s="24" t="s">
        <v>4444</v>
      </c>
    </row>
    <row r="1335">
      <c r="B1335" s="24"/>
      <c r="C1335" s="24"/>
      <c r="D1335" s="24"/>
      <c r="E1335" s="24"/>
      <c r="G1335" s="143"/>
      <c r="H1335" s="24"/>
      <c r="K1335" s="25"/>
      <c r="L1335" s="25"/>
      <c r="M1335" s="77"/>
      <c r="N1335" s="24" t="s">
        <v>4445</v>
      </c>
    </row>
    <row r="1336">
      <c r="B1336" s="24"/>
      <c r="C1336" s="24"/>
      <c r="D1336" s="24"/>
      <c r="E1336" s="24"/>
      <c r="G1336" s="143"/>
      <c r="H1336" s="24"/>
      <c r="K1336" s="25"/>
      <c r="L1336" s="25"/>
      <c r="M1336" s="77"/>
      <c r="N1336" s="24" t="s">
        <v>4446</v>
      </c>
    </row>
    <row r="1337">
      <c r="B1337" s="24"/>
      <c r="C1337" s="24"/>
      <c r="D1337" s="24"/>
      <c r="E1337" s="24"/>
      <c r="G1337" s="143"/>
      <c r="H1337" s="24"/>
      <c r="K1337" s="25"/>
      <c r="L1337" s="25"/>
      <c r="M1337" s="77"/>
      <c r="N1337" s="24" t="s">
        <v>4427</v>
      </c>
    </row>
    <row r="1338">
      <c r="B1338" s="24"/>
      <c r="C1338" s="24"/>
      <c r="D1338" s="24"/>
      <c r="E1338" s="24"/>
      <c r="G1338" s="143"/>
      <c r="H1338" s="24"/>
      <c r="K1338" s="25"/>
      <c r="L1338" s="25"/>
      <c r="M1338" s="77"/>
      <c r="N1338" s="24" t="s">
        <v>4447</v>
      </c>
    </row>
    <row r="1339">
      <c r="B1339" s="24"/>
      <c r="C1339" s="24"/>
      <c r="D1339" s="24"/>
      <c r="E1339" s="24"/>
      <c r="G1339" s="143"/>
      <c r="H1339" s="24"/>
      <c r="K1339" s="25"/>
      <c r="L1339" s="25"/>
      <c r="M1339" s="77"/>
      <c r="N1339" s="24" t="s">
        <v>4448</v>
      </c>
    </row>
    <row r="1340">
      <c r="B1340" s="24"/>
      <c r="C1340" s="24"/>
      <c r="D1340" s="24"/>
      <c r="E1340" s="24"/>
      <c r="G1340" s="143"/>
      <c r="H1340" s="24"/>
      <c r="K1340" s="25"/>
      <c r="L1340" s="25"/>
      <c r="M1340" s="77"/>
      <c r="N1340" s="24" t="s">
        <v>4449</v>
      </c>
    </row>
    <row r="1341">
      <c r="B1341" s="24"/>
      <c r="C1341" s="24"/>
      <c r="D1341" s="24"/>
      <c r="E1341" s="24"/>
      <c r="G1341" s="143"/>
      <c r="H1341" s="24"/>
      <c r="K1341" s="25"/>
      <c r="L1341" s="25"/>
      <c r="M1341" s="77"/>
      <c r="N1341" s="24" t="s">
        <v>4450</v>
      </c>
    </row>
    <row r="1342">
      <c r="B1342" s="24"/>
      <c r="C1342" s="24"/>
      <c r="D1342" s="24"/>
      <c r="E1342" s="24"/>
      <c r="G1342" s="143"/>
      <c r="H1342" s="24"/>
      <c r="K1342" s="25"/>
      <c r="L1342" s="25"/>
      <c r="M1342" s="77"/>
      <c r="N1342" s="24" t="s">
        <v>4451</v>
      </c>
    </row>
    <row r="1343">
      <c r="B1343" s="24"/>
      <c r="C1343" s="24"/>
      <c r="D1343" s="24"/>
      <c r="E1343" s="24"/>
      <c r="G1343" s="143"/>
      <c r="H1343" s="24"/>
      <c r="K1343" s="25"/>
      <c r="L1343" s="25"/>
      <c r="M1343" s="77"/>
      <c r="N1343" s="24" t="s">
        <v>4452</v>
      </c>
    </row>
    <row r="1344">
      <c r="B1344" s="24"/>
      <c r="C1344" s="24"/>
      <c r="D1344" s="24"/>
      <c r="E1344" s="24"/>
      <c r="G1344" s="143"/>
      <c r="H1344" s="24"/>
      <c r="K1344" s="25"/>
      <c r="L1344" s="25"/>
      <c r="M1344" s="77"/>
      <c r="N1344" s="24" t="s">
        <v>4453</v>
      </c>
    </row>
    <row r="1345">
      <c r="B1345" s="24"/>
      <c r="C1345" s="24"/>
      <c r="D1345" s="24"/>
      <c r="E1345" s="24"/>
      <c r="G1345" s="143"/>
      <c r="H1345" s="24"/>
      <c r="K1345" s="25"/>
      <c r="L1345" s="25"/>
      <c r="M1345" s="77"/>
      <c r="N1345" s="24" t="s">
        <v>4454</v>
      </c>
    </row>
    <row r="1346">
      <c r="B1346" s="24"/>
      <c r="C1346" s="24"/>
      <c r="D1346" s="24"/>
      <c r="E1346" s="24"/>
      <c r="G1346" s="143"/>
      <c r="H1346" s="24"/>
      <c r="K1346" s="25"/>
      <c r="L1346" s="25"/>
      <c r="M1346" s="77"/>
      <c r="N1346" s="24" t="s">
        <v>4455</v>
      </c>
    </row>
    <row r="1347">
      <c r="B1347" s="24"/>
      <c r="C1347" s="24"/>
      <c r="D1347" s="24"/>
      <c r="E1347" s="24"/>
      <c r="G1347" s="143"/>
      <c r="H1347" s="24"/>
      <c r="K1347" s="25"/>
      <c r="L1347" s="25"/>
      <c r="M1347" s="77"/>
      <c r="N1347" s="24" t="s">
        <v>4456</v>
      </c>
    </row>
    <row r="1348">
      <c r="B1348" s="24"/>
      <c r="C1348" s="24"/>
      <c r="D1348" s="24"/>
      <c r="E1348" s="24"/>
      <c r="G1348" s="143"/>
      <c r="H1348" s="24"/>
      <c r="K1348" s="25"/>
      <c r="L1348" s="25"/>
      <c r="M1348" s="77"/>
      <c r="N1348" s="24" t="s">
        <v>4457</v>
      </c>
    </row>
    <row r="1349">
      <c r="B1349" s="24"/>
      <c r="C1349" s="24"/>
      <c r="D1349" s="24"/>
      <c r="E1349" s="24"/>
      <c r="G1349" s="143"/>
      <c r="H1349" s="24"/>
      <c r="K1349" s="25"/>
      <c r="L1349" s="25"/>
      <c r="M1349" s="77"/>
      <c r="N1349" s="24" t="s">
        <v>4458</v>
      </c>
    </row>
    <row r="1350">
      <c r="B1350" s="24"/>
      <c r="C1350" s="24"/>
      <c r="D1350" s="24"/>
      <c r="E1350" s="24"/>
      <c r="G1350" s="143"/>
      <c r="H1350" s="24"/>
      <c r="K1350" s="25"/>
      <c r="L1350" s="25"/>
      <c r="M1350" s="77"/>
      <c r="N1350" s="24" t="s">
        <v>4459</v>
      </c>
    </row>
    <row r="1351">
      <c r="B1351" s="24"/>
      <c r="C1351" s="24"/>
      <c r="D1351" s="24"/>
      <c r="E1351" s="24"/>
      <c r="G1351" s="143"/>
      <c r="H1351" s="24"/>
      <c r="K1351" s="25"/>
      <c r="L1351" s="25"/>
      <c r="M1351" s="77"/>
      <c r="N1351" s="24" t="s">
        <v>4460</v>
      </c>
    </row>
    <row r="1352">
      <c r="B1352" s="24"/>
      <c r="C1352" s="24"/>
      <c r="D1352" s="24"/>
      <c r="E1352" s="24"/>
      <c r="G1352" s="143"/>
      <c r="H1352" s="24"/>
      <c r="K1352" s="25"/>
      <c r="L1352" s="25"/>
      <c r="M1352" s="77"/>
      <c r="N1352" s="24" t="s">
        <v>4461</v>
      </c>
    </row>
    <row r="1353">
      <c r="B1353" s="24"/>
      <c r="C1353" s="24"/>
      <c r="D1353" s="24"/>
      <c r="E1353" s="24"/>
      <c r="G1353" s="143"/>
      <c r="H1353" s="24"/>
      <c r="K1353" s="25"/>
      <c r="L1353" s="25"/>
      <c r="M1353" s="77"/>
      <c r="N1353" s="24" t="s">
        <v>4462</v>
      </c>
    </row>
    <row r="1354">
      <c r="B1354" s="24"/>
      <c r="C1354" s="24"/>
      <c r="D1354" s="24"/>
      <c r="E1354" s="24"/>
      <c r="G1354" s="143"/>
      <c r="H1354" s="24"/>
      <c r="K1354" s="25"/>
      <c r="L1354" s="25"/>
      <c r="M1354" s="77"/>
      <c r="N1354" s="24" t="s">
        <v>4463</v>
      </c>
    </row>
    <row r="1355">
      <c r="B1355" s="24"/>
      <c r="C1355" s="24"/>
      <c r="D1355" s="24"/>
      <c r="E1355" s="24"/>
      <c r="G1355" s="143"/>
      <c r="H1355" s="24"/>
      <c r="K1355" s="25"/>
      <c r="L1355" s="25"/>
      <c r="M1355" s="77"/>
      <c r="N1355" s="24" t="s">
        <v>4464</v>
      </c>
    </row>
    <row r="1356">
      <c r="B1356" s="24"/>
      <c r="C1356" s="24"/>
      <c r="D1356" s="24"/>
      <c r="E1356" s="24"/>
      <c r="G1356" s="143"/>
      <c r="H1356" s="24"/>
      <c r="K1356" s="25"/>
      <c r="L1356" s="25"/>
      <c r="M1356" s="77"/>
      <c r="N1356" s="24" t="s">
        <v>4465</v>
      </c>
    </row>
    <row r="1357">
      <c r="B1357" s="24"/>
      <c r="C1357" s="24"/>
      <c r="D1357" s="24"/>
      <c r="E1357" s="24"/>
      <c r="G1357" s="143"/>
      <c r="H1357" s="24"/>
      <c r="K1357" s="25"/>
      <c r="L1357" s="25"/>
      <c r="M1357" s="77"/>
      <c r="N1357" s="24" t="s">
        <v>4466</v>
      </c>
    </row>
    <row r="1358">
      <c r="B1358" s="24"/>
      <c r="C1358" s="24"/>
      <c r="D1358" s="24"/>
      <c r="E1358" s="24"/>
      <c r="G1358" s="143"/>
      <c r="H1358" s="24"/>
      <c r="K1358" s="25"/>
      <c r="L1358" s="25"/>
      <c r="M1358" s="77"/>
      <c r="N1358" s="24" t="s">
        <v>4467</v>
      </c>
    </row>
    <row r="1359">
      <c r="B1359" s="24"/>
      <c r="C1359" s="24"/>
      <c r="D1359" s="24"/>
      <c r="E1359" s="24"/>
      <c r="G1359" s="143"/>
      <c r="H1359" s="24"/>
      <c r="K1359" s="25"/>
      <c r="L1359" s="25"/>
      <c r="M1359" s="77"/>
      <c r="N1359" s="24" t="s">
        <v>4468</v>
      </c>
    </row>
    <row r="1360">
      <c r="B1360" s="24"/>
      <c r="C1360" s="24"/>
      <c r="D1360" s="24"/>
      <c r="E1360" s="24"/>
      <c r="G1360" s="143"/>
      <c r="H1360" s="24"/>
      <c r="K1360" s="25"/>
      <c r="L1360" s="25"/>
      <c r="M1360" s="77"/>
      <c r="N1360" s="24" t="s">
        <v>4469</v>
      </c>
    </row>
    <row r="1361">
      <c r="B1361" s="24"/>
      <c r="C1361" s="24"/>
      <c r="D1361" s="24"/>
      <c r="E1361" s="24"/>
      <c r="G1361" s="143"/>
      <c r="H1361" s="24"/>
      <c r="K1361" s="25"/>
      <c r="L1361" s="25"/>
      <c r="M1361" s="77"/>
      <c r="N1361" s="24" t="s">
        <v>4470</v>
      </c>
    </row>
    <row r="1362">
      <c r="B1362" s="24"/>
      <c r="C1362" s="24"/>
      <c r="D1362" s="24"/>
      <c r="E1362" s="24"/>
      <c r="G1362" s="143"/>
      <c r="H1362" s="24"/>
      <c r="K1362" s="25"/>
      <c r="L1362" s="25"/>
      <c r="M1362" s="77"/>
      <c r="N1362" s="24" t="s">
        <v>4471</v>
      </c>
    </row>
    <row r="1363">
      <c r="B1363" s="24"/>
      <c r="C1363" s="24"/>
      <c r="D1363" s="24"/>
      <c r="E1363" s="24"/>
      <c r="G1363" s="143"/>
      <c r="H1363" s="24"/>
      <c r="K1363" s="25"/>
      <c r="L1363" s="25"/>
      <c r="M1363" s="77"/>
      <c r="N1363" s="24" t="s">
        <v>4472</v>
      </c>
    </row>
    <row r="1364">
      <c r="B1364" s="24"/>
      <c r="C1364" s="24"/>
      <c r="D1364" s="24"/>
      <c r="E1364" s="24"/>
      <c r="G1364" s="143"/>
      <c r="H1364" s="24"/>
      <c r="K1364" s="25"/>
      <c r="L1364" s="25"/>
      <c r="M1364" s="77"/>
      <c r="N1364" s="24" t="s">
        <v>4473</v>
      </c>
    </row>
    <row r="1365">
      <c r="B1365" s="24"/>
      <c r="C1365" s="24"/>
      <c r="D1365" s="24"/>
      <c r="E1365" s="24"/>
      <c r="G1365" s="143"/>
      <c r="H1365" s="24"/>
      <c r="K1365" s="25"/>
      <c r="L1365" s="25"/>
      <c r="M1365" s="77"/>
      <c r="N1365" s="24" t="s">
        <v>4474</v>
      </c>
    </row>
    <row r="1366">
      <c r="B1366" s="24"/>
      <c r="C1366" s="24"/>
      <c r="D1366" s="24"/>
      <c r="E1366" s="24"/>
      <c r="G1366" s="143"/>
      <c r="H1366" s="24"/>
      <c r="K1366" s="25"/>
      <c r="L1366" s="25"/>
      <c r="M1366" s="77"/>
      <c r="N1366" s="24" t="s">
        <v>4475</v>
      </c>
    </row>
    <row r="1367">
      <c r="B1367" s="24"/>
      <c r="C1367" s="24"/>
      <c r="D1367" s="24"/>
      <c r="E1367" s="24"/>
      <c r="G1367" s="143"/>
      <c r="H1367" s="24"/>
      <c r="K1367" s="25"/>
      <c r="L1367" s="25"/>
      <c r="M1367" s="77"/>
      <c r="N1367" s="24" t="s">
        <v>4476</v>
      </c>
    </row>
    <row r="1368">
      <c r="B1368" s="24"/>
      <c r="C1368" s="24"/>
      <c r="D1368" s="24"/>
      <c r="E1368" s="24"/>
      <c r="G1368" s="143"/>
      <c r="H1368" s="24"/>
      <c r="K1368" s="25"/>
      <c r="L1368" s="25"/>
      <c r="M1368" s="77"/>
      <c r="N1368" s="24" t="s">
        <v>4477</v>
      </c>
    </row>
    <row r="1369">
      <c r="B1369" s="24"/>
      <c r="C1369" s="24"/>
      <c r="D1369" s="24"/>
      <c r="E1369" s="24"/>
      <c r="G1369" s="143"/>
      <c r="H1369" s="24"/>
      <c r="K1369" s="25"/>
      <c r="L1369" s="25"/>
      <c r="M1369" s="77"/>
      <c r="N1369" s="24" t="s">
        <v>4478</v>
      </c>
    </row>
    <row r="1370">
      <c r="B1370" s="24"/>
      <c r="C1370" s="24"/>
      <c r="D1370" s="24"/>
      <c r="E1370" s="24"/>
      <c r="G1370" s="143"/>
      <c r="H1370" s="24"/>
      <c r="K1370" s="25"/>
      <c r="L1370" s="25"/>
      <c r="M1370" s="77"/>
      <c r="N1370" s="24" t="s">
        <v>4479</v>
      </c>
    </row>
    <row r="1371">
      <c r="B1371" s="24"/>
      <c r="C1371" s="24"/>
      <c r="D1371" s="24"/>
      <c r="E1371" s="24"/>
      <c r="G1371" s="143"/>
      <c r="H1371" s="24"/>
      <c r="K1371" s="25"/>
      <c r="L1371" s="25"/>
      <c r="M1371" s="77"/>
      <c r="N1371" s="24" t="s">
        <v>4480</v>
      </c>
    </row>
    <row r="1372">
      <c r="B1372" s="24"/>
      <c r="C1372" s="24"/>
      <c r="D1372" s="24"/>
      <c r="E1372" s="24"/>
      <c r="G1372" s="143"/>
      <c r="H1372" s="24"/>
      <c r="K1372" s="25"/>
      <c r="L1372" s="25"/>
      <c r="M1372" s="77"/>
      <c r="N1372" s="24" t="s">
        <v>4481</v>
      </c>
    </row>
    <row r="1373">
      <c r="B1373" s="24"/>
      <c r="C1373" s="24"/>
      <c r="D1373" s="24"/>
      <c r="E1373" s="24"/>
      <c r="G1373" s="143"/>
      <c r="H1373" s="24"/>
      <c r="K1373" s="25"/>
      <c r="L1373" s="25"/>
      <c r="M1373" s="77"/>
      <c r="N1373" s="24" t="s">
        <v>4482</v>
      </c>
    </row>
    <row r="1374">
      <c r="B1374" s="24"/>
      <c r="C1374" s="24"/>
      <c r="D1374" s="24"/>
      <c r="E1374" s="24"/>
      <c r="G1374" s="143"/>
      <c r="H1374" s="24"/>
      <c r="K1374" s="25"/>
      <c r="L1374" s="25"/>
      <c r="M1374" s="77"/>
      <c r="N1374" s="24" t="s">
        <v>4483</v>
      </c>
    </row>
    <row r="1375">
      <c r="B1375" s="24"/>
      <c r="C1375" s="24"/>
      <c r="D1375" s="24"/>
      <c r="E1375" s="24"/>
      <c r="G1375" s="143"/>
      <c r="H1375" s="24"/>
      <c r="K1375" s="25"/>
      <c r="L1375" s="25"/>
      <c r="M1375" s="77"/>
      <c r="N1375" s="24" t="s">
        <v>4484</v>
      </c>
    </row>
    <row r="1376">
      <c r="B1376" s="24"/>
      <c r="C1376" s="24"/>
      <c r="D1376" s="24"/>
      <c r="E1376" s="24"/>
      <c r="G1376" s="143"/>
      <c r="H1376" s="24"/>
      <c r="K1376" s="25"/>
      <c r="L1376" s="25"/>
      <c r="M1376" s="77"/>
      <c r="N1376" s="24" t="s">
        <v>4485</v>
      </c>
    </row>
    <row r="1377">
      <c r="B1377" s="24"/>
      <c r="C1377" s="24"/>
      <c r="D1377" s="24"/>
      <c r="E1377" s="24"/>
      <c r="G1377" s="143"/>
      <c r="H1377" s="24"/>
      <c r="K1377" s="25"/>
      <c r="L1377" s="25"/>
      <c r="M1377" s="77"/>
      <c r="N1377" s="24" t="s">
        <v>4486</v>
      </c>
    </row>
    <row r="1378">
      <c r="B1378" s="24"/>
      <c r="C1378" s="24"/>
      <c r="D1378" s="24"/>
      <c r="E1378" s="24"/>
      <c r="G1378" s="143"/>
      <c r="H1378" s="24"/>
      <c r="K1378" s="25"/>
      <c r="L1378" s="25"/>
      <c r="M1378" s="77"/>
      <c r="N1378" s="24" t="s">
        <v>4487</v>
      </c>
    </row>
    <row r="1379">
      <c r="B1379" s="24"/>
      <c r="C1379" s="24"/>
      <c r="D1379" s="24"/>
      <c r="E1379" s="24"/>
      <c r="G1379" s="143"/>
      <c r="H1379" s="24"/>
      <c r="K1379" s="25"/>
      <c r="L1379" s="25"/>
      <c r="M1379" s="77"/>
      <c r="N1379" s="24" t="s">
        <v>4488</v>
      </c>
    </row>
    <row r="1380">
      <c r="B1380" s="24"/>
      <c r="C1380" s="24"/>
      <c r="D1380" s="24"/>
      <c r="E1380" s="24"/>
      <c r="G1380" s="143"/>
      <c r="H1380" s="24"/>
      <c r="K1380" s="25"/>
      <c r="L1380" s="25"/>
      <c r="M1380" s="77"/>
      <c r="N1380" s="24" t="s">
        <v>4489</v>
      </c>
    </row>
    <row r="1381">
      <c r="B1381" s="24"/>
      <c r="C1381" s="24"/>
      <c r="D1381" s="24"/>
      <c r="E1381" s="24"/>
      <c r="G1381" s="143"/>
      <c r="H1381" s="24"/>
      <c r="K1381" s="25"/>
      <c r="L1381" s="25"/>
      <c r="M1381" s="77"/>
      <c r="N1381" s="24" t="s">
        <v>4490</v>
      </c>
    </row>
    <row r="1382">
      <c r="B1382" s="24"/>
      <c r="C1382" s="24"/>
      <c r="D1382" s="24"/>
      <c r="E1382" s="24"/>
      <c r="G1382" s="143"/>
      <c r="H1382" s="24"/>
      <c r="K1382" s="25"/>
      <c r="L1382" s="25"/>
      <c r="M1382" s="77"/>
      <c r="N1382" s="24" t="s">
        <v>4491</v>
      </c>
    </row>
    <row r="1383">
      <c r="B1383" s="24"/>
      <c r="C1383" s="24"/>
      <c r="D1383" s="24"/>
      <c r="E1383" s="24"/>
      <c r="G1383" s="143"/>
      <c r="H1383" s="24"/>
      <c r="K1383" s="25"/>
      <c r="L1383" s="25"/>
      <c r="M1383" s="77"/>
      <c r="N1383" s="24" t="s">
        <v>4492</v>
      </c>
    </row>
    <row r="1384">
      <c r="B1384" s="24"/>
      <c r="C1384" s="24"/>
      <c r="D1384" s="24"/>
      <c r="E1384" s="24"/>
      <c r="G1384" s="143"/>
      <c r="H1384" s="24"/>
      <c r="K1384" s="25"/>
      <c r="L1384" s="25"/>
      <c r="M1384" s="77"/>
      <c r="N1384" s="24" t="s">
        <v>4493</v>
      </c>
    </row>
    <row r="1385">
      <c r="B1385" s="24"/>
      <c r="C1385" s="24"/>
      <c r="D1385" s="24"/>
      <c r="E1385" s="24"/>
      <c r="G1385" s="143"/>
      <c r="H1385" s="24"/>
      <c r="K1385" s="25"/>
      <c r="L1385" s="25"/>
      <c r="M1385" s="77"/>
      <c r="N1385" s="24" t="s">
        <v>4494</v>
      </c>
    </row>
    <row r="1386">
      <c r="B1386" s="24"/>
      <c r="C1386" s="24"/>
      <c r="D1386" s="24"/>
      <c r="E1386" s="24"/>
      <c r="G1386" s="143"/>
      <c r="H1386" s="24"/>
      <c r="K1386" s="25"/>
      <c r="L1386" s="25"/>
      <c r="M1386" s="77"/>
      <c r="N1386" s="24" t="s">
        <v>4495</v>
      </c>
    </row>
    <row r="1387">
      <c r="B1387" s="24"/>
      <c r="C1387" s="24"/>
      <c r="D1387" s="24"/>
      <c r="E1387" s="24"/>
      <c r="G1387" s="143"/>
      <c r="H1387" s="24"/>
      <c r="K1387" s="25"/>
      <c r="L1387" s="25"/>
      <c r="M1387" s="77"/>
      <c r="N1387" s="24" t="s">
        <v>4496</v>
      </c>
    </row>
    <row r="1388">
      <c r="B1388" s="24"/>
      <c r="C1388" s="24"/>
      <c r="D1388" s="24"/>
      <c r="E1388" s="24"/>
      <c r="G1388" s="143"/>
      <c r="H1388" s="24"/>
      <c r="K1388" s="25"/>
      <c r="L1388" s="25"/>
      <c r="M1388" s="77"/>
      <c r="N1388" s="24" t="s">
        <v>4497</v>
      </c>
    </row>
    <row r="1389">
      <c r="B1389" s="24"/>
      <c r="C1389" s="24"/>
      <c r="D1389" s="24"/>
      <c r="E1389" s="24"/>
      <c r="G1389" s="143"/>
      <c r="H1389" s="24"/>
      <c r="K1389" s="25"/>
      <c r="L1389" s="25"/>
      <c r="M1389" s="77"/>
      <c r="N1389" s="24" t="s">
        <v>4498</v>
      </c>
    </row>
    <row r="1390">
      <c r="B1390" s="24"/>
      <c r="C1390" s="24"/>
      <c r="D1390" s="24"/>
      <c r="E1390" s="24"/>
      <c r="G1390" s="143"/>
      <c r="H1390" s="24"/>
      <c r="K1390" s="25"/>
      <c r="L1390" s="25"/>
      <c r="M1390" s="77"/>
      <c r="N1390" s="24" t="s">
        <v>4499</v>
      </c>
    </row>
    <row r="1391">
      <c r="B1391" s="24"/>
      <c r="C1391" s="24"/>
      <c r="D1391" s="24"/>
      <c r="E1391" s="24"/>
      <c r="G1391" s="143"/>
      <c r="H1391" s="24"/>
      <c r="K1391" s="25"/>
      <c r="L1391" s="25"/>
      <c r="M1391" s="77"/>
      <c r="N1391" s="24" t="s">
        <v>4500</v>
      </c>
    </row>
    <row r="1392">
      <c r="B1392" s="24"/>
      <c r="C1392" s="24"/>
      <c r="D1392" s="24"/>
      <c r="E1392" s="24"/>
      <c r="G1392" s="143"/>
      <c r="H1392" s="24"/>
      <c r="K1392" s="25"/>
      <c r="L1392" s="25"/>
      <c r="M1392" s="77"/>
      <c r="N1392" s="24" t="s">
        <v>4501</v>
      </c>
    </row>
    <row r="1393">
      <c r="B1393" s="24"/>
      <c r="C1393" s="24"/>
      <c r="D1393" s="24"/>
      <c r="E1393" s="24"/>
      <c r="G1393" s="143"/>
      <c r="H1393" s="24"/>
      <c r="K1393" s="25"/>
      <c r="L1393" s="25"/>
      <c r="M1393" s="77"/>
      <c r="N1393" s="24" t="s">
        <v>4502</v>
      </c>
    </row>
    <row r="1394">
      <c r="B1394" s="24"/>
      <c r="C1394" s="24"/>
      <c r="D1394" s="24"/>
      <c r="E1394" s="24"/>
      <c r="G1394" s="143"/>
      <c r="H1394" s="24"/>
      <c r="K1394" s="25"/>
      <c r="L1394" s="25"/>
      <c r="M1394" s="77"/>
      <c r="N1394" s="24" t="s">
        <v>4503</v>
      </c>
    </row>
    <row r="1395">
      <c r="B1395" s="24"/>
      <c r="C1395" s="24"/>
      <c r="D1395" s="24"/>
      <c r="E1395" s="24"/>
      <c r="G1395" s="143"/>
      <c r="H1395" s="24"/>
      <c r="K1395" s="25"/>
      <c r="L1395" s="25"/>
      <c r="M1395" s="77"/>
      <c r="N1395" s="24" t="s">
        <v>4504</v>
      </c>
    </row>
    <row r="1396">
      <c r="B1396" s="24"/>
      <c r="C1396" s="24"/>
      <c r="D1396" s="24"/>
      <c r="E1396" s="24"/>
      <c r="G1396" s="143"/>
      <c r="H1396" s="24"/>
      <c r="K1396" s="25"/>
      <c r="L1396" s="25"/>
      <c r="M1396" s="77"/>
      <c r="N1396" s="24" t="s">
        <v>4505</v>
      </c>
    </row>
    <row r="1397">
      <c r="B1397" s="24"/>
      <c r="C1397" s="24"/>
      <c r="D1397" s="24"/>
      <c r="E1397" s="24"/>
      <c r="G1397" s="143"/>
      <c r="H1397" s="24"/>
      <c r="K1397" s="25"/>
      <c r="L1397" s="25"/>
      <c r="M1397" s="77"/>
      <c r="N1397" s="24" t="s">
        <v>4506</v>
      </c>
    </row>
    <row r="1398">
      <c r="B1398" s="24"/>
      <c r="C1398" s="24"/>
      <c r="D1398" s="24"/>
      <c r="E1398" s="24"/>
      <c r="G1398" s="143"/>
      <c r="H1398" s="24"/>
      <c r="K1398" s="25"/>
      <c r="L1398" s="25"/>
      <c r="M1398" s="77"/>
      <c r="N1398" s="24" t="s">
        <v>4507</v>
      </c>
    </row>
    <row r="1399">
      <c r="B1399" s="24"/>
      <c r="C1399" s="24"/>
      <c r="D1399" s="24"/>
      <c r="E1399" s="24"/>
      <c r="G1399" s="143"/>
      <c r="H1399" s="24"/>
      <c r="K1399" s="25"/>
      <c r="L1399" s="25"/>
      <c r="M1399" s="77"/>
      <c r="N1399" s="24" t="s">
        <v>4508</v>
      </c>
    </row>
    <row r="1400">
      <c r="B1400" s="24"/>
      <c r="C1400" s="24"/>
      <c r="D1400" s="24"/>
      <c r="E1400" s="24"/>
      <c r="G1400" s="143"/>
      <c r="H1400" s="24"/>
      <c r="K1400" s="25"/>
      <c r="L1400" s="25"/>
      <c r="M1400" s="77"/>
      <c r="N1400" s="24" t="s">
        <v>4509</v>
      </c>
    </row>
    <row r="1401">
      <c r="B1401" s="24"/>
      <c r="C1401" s="24"/>
      <c r="D1401" s="24"/>
      <c r="E1401" s="24"/>
      <c r="G1401" s="143"/>
      <c r="H1401" s="24"/>
      <c r="K1401" s="25"/>
      <c r="L1401" s="25"/>
      <c r="M1401" s="77"/>
      <c r="N1401" s="24" t="s">
        <v>4510</v>
      </c>
    </row>
    <row r="1402">
      <c r="B1402" s="24"/>
      <c r="C1402" s="24"/>
      <c r="D1402" s="24"/>
      <c r="E1402" s="24"/>
      <c r="G1402" s="143"/>
      <c r="H1402" s="24"/>
      <c r="K1402" s="25"/>
      <c r="L1402" s="25"/>
      <c r="M1402" s="77"/>
      <c r="N1402" s="24" t="s">
        <v>4511</v>
      </c>
    </row>
    <row r="1403">
      <c r="B1403" s="24"/>
      <c r="C1403" s="24"/>
      <c r="D1403" s="24"/>
      <c r="E1403" s="24"/>
      <c r="G1403" s="143"/>
      <c r="H1403" s="24"/>
      <c r="K1403" s="25"/>
      <c r="L1403" s="25"/>
      <c r="M1403" s="77"/>
      <c r="N1403" s="24" t="s">
        <v>4512</v>
      </c>
    </row>
    <row r="1404">
      <c r="B1404" s="24"/>
      <c r="C1404" s="24"/>
      <c r="D1404" s="24"/>
      <c r="E1404" s="24"/>
      <c r="G1404" s="143"/>
      <c r="H1404" s="24"/>
      <c r="K1404" s="25"/>
      <c r="L1404" s="25"/>
      <c r="M1404" s="77"/>
      <c r="N1404" s="24" t="s">
        <v>4513</v>
      </c>
    </row>
    <row r="1405">
      <c r="B1405" s="24"/>
      <c r="C1405" s="24"/>
      <c r="D1405" s="24"/>
      <c r="E1405" s="24"/>
      <c r="G1405" s="143"/>
      <c r="H1405" s="24"/>
      <c r="K1405" s="25"/>
      <c r="L1405" s="25"/>
      <c r="M1405" s="77"/>
      <c r="N1405" s="24" t="s">
        <v>4514</v>
      </c>
    </row>
    <row r="1406">
      <c r="B1406" s="24"/>
      <c r="C1406" s="24"/>
      <c r="D1406" s="24"/>
      <c r="E1406" s="24"/>
      <c r="G1406" s="143"/>
      <c r="H1406" s="24"/>
      <c r="K1406" s="25"/>
      <c r="L1406" s="25"/>
      <c r="M1406" s="77"/>
      <c r="N1406" s="24" t="s">
        <v>4515</v>
      </c>
    </row>
    <row r="1407">
      <c r="B1407" s="24"/>
      <c r="C1407" s="24"/>
      <c r="D1407" s="24"/>
      <c r="E1407" s="24"/>
      <c r="G1407" s="143"/>
      <c r="H1407" s="24"/>
      <c r="K1407" s="25"/>
      <c r="L1407" s="25"/>
      <c r="M1407" s="77"/>
      <c r="N1407" s="24" t="s">
        <v>4516</v>
      </c>
    </row>
    <row r="1408">
      <c r="B1408" s="24"/>
      <c r="C1408" s="24"/>
      <c r="D1408" s="24"/>
      <c r="E1408" s="24"/>
      <c r="G1408" s="143"/>
      <c r="H1408" s="24"/>
      <c r="K1408" s="25"/>
      <c r="L1408" s="25"/>
      <c r="M1408" s="77"/>
      <c r="N1408" s="24" t="s">
        <v>4517</v>
      </c>
    </row>
    <row r="1409">
      <c r="B1409" s="24"/>
      <c r="C1409" s="24"/>
      <c r="D1409" s="24"/>
      <c r="E1409" s="24"/>
      <c r="G1409" s="143"/>
      <c r="H1409" s="24"/>
      <c r="K1409" s="25"/>
      <c r="L1409" s="25"/>
      <c r="M1409" s="77"/>
      <c r="N1409" s="24" t="s">
        <v>4518</v>
      </c>
    </row>
    <row r="1410">
      <c r="B1410" s="24"/>
      <c r="C1410" s="24"/>
      <c r="D1410" s="24"/>
      <c r="E1410" s="24"/>
      <c r="G1410" s="143"/>
      <c r="H1410" s="24"/>
      <c r="K1410" s="25"/>
      <c r="L1410" s="25"/>
      <c r="M1410" s="77"/>
      <c r="N1410" s="24" t="s">
        <v>4519</v>
      </c>
    </row>
    <row r="1411">
      <c r="B1411" s="24"/>
      <c r="C1411" s="24"/>
      <c r="D1411" s="24"/>
      <c r="E1411" s="24"/>
      <c r="G1411" s="143"/>
      <c r="H1411" s="24"/>
      <c r="K1411" s="25"/>
      <c r="L1411" s="25"/>
      <c r="M1411" s="77"/>
      <c r="N1411" s="24" t="s">
        <v>4520</v>
      </c>
    </row>
    <row r="1412">
      <c r="B1412" s="24"/>
      <c r="C1412" s="24"/>
      <c r="D1412" s="24"/>
      <c r="E1412" s="24"/>
      <c r="G1412" s="143"/>
      <c r="H1412" s="24"/>
      <c r="K1412" s="25"/>
      <c r="L1412" s="25"/>
      <c r="M1412" s="77"/>
      <c r="N1412" s="24" t="s">
        <v>4521</v>
      </c>
    </row>
    <row r="1413">
      <c r="B1413" s="24"/>
      <c r="C1413" s="24"/>
      <c r="D1413" s="24"/>
      <c r="E1413" s="24"/>
      <c r="G1413" s="143"/>
      <c r="H1413" s="24"/>
      <c r="K1413" s="25"/>
      <c r="L1413" s="25"/>
      <c r="M1413" s="77"/>
      <c r="N1413" s="24" t="s">
        <v>4522</v>
      </c>
    </row>
    <row r="1414">
      <c r="B1414" s="24"/>
      <c r="C1414" s="24"/>
      <c r="D1414" s="24"/>
      <c r="E1414" s="24"/>
      <c r="G1414" s="143"/>
      <c r="H1414" s="24"/>
      <c r="K1414" s="25"/>
      <c r="L1414" s="25"/>
      <c r="M1414" s="77"/>
      <c r="N1414" s="24" t="s">
        <v>4523</v>
      </c>
    </row>
    <row r="1415">
      <c r="B1415" s="24"/>
      <c r="C1415" s="24"/>
      <c r="D1415" s="24"/>
      <c r="E1415" s="24"/>
      <c r="G1415" s="143"/>
      <c r="H1415" s="24"/>
      <c r="K1415" s="25"/>
      <c r="L1415" s="25"/>
      <c r="M1415" s="77"/>
      <c r="N1415" s="24" t="s">
        <v>4524</v>
      </c>
    </row>
    <row r="1416">
      <c r="B1416" s="24"/>
      <c r="C1416" s="24"/>
      <c r="D1416" s="24"/>
      <c r="E1416" s="24"/>
      <c r="G1416" s="143"/>
      <c r="H1416" s="24"/>
      <c r="K1416" s="25"/>
      <c r="L1416" s="25"/>
      <c r="M1416" s="77"/>
      <c r="N1416" s="24" t="s">
        <v>4525</v>
      </c>
    </row>
    <row r="1417">
      <c r="B1417" s="24"/>
      <c r="C1417" s="24"/>
      <c r="D1417" s="24"/>
      <c r="E1417" s="24"/>
      <c r="G1417" s="143"/>
      <c r="H1417" s="24"/>
      <c r="K1417" s="25"/>
      <c r="L1417" s="25"/>
      <c r="M1417" s="77"/>
      <c r="N1417" s="24" t="s">
        <v>4526</v>
      </c>
    </row>
    <row r="1418">
      <c r="B1418" s="24"/>
      <c r="C1418" s="24"/>
      <c r="D1418" s="24"/>
      <c r="E1418" s="24"/>
      <c r="G1418" s="143"/>
      <c r="H1418" s="24"/>
      <c r="K1418" s="25"/>
      <c r="L1418" s="25"/>
      <c r="M1418" s="77"/>
      <c r="N1418" s="24" t="s">
        <v>4527</v>
      </c>
    </row>
    <row r="1419">
      <c r="B1419" s="24"/>
      <c r="C1419" s="24"/>
      <c r="D1419" s="24"/>
      <c r="E1419" s="24"/>
      <c r="G1419" s="143"/>
      <c r="H1419" s="24"/>
      <c r="K1419" s="25"/>
      <c r="L1419" s="25"/>
      <c r="M1419" s="77"/>
      <c r="N1419" s="24" t="s">
        <v>4528</v>
      </c>
    </row>
    <row r="1420">
      <c r="B1420" s="24"/>
      <c r="C1420" s="24"/>
      <c r="D1420" s="24"/>
      <c r="E1420" s="24"/>
      <c r="G1420" s="143"/>
      <c r="H1420" s="24"/>
      <c r="K1420" s="25"/>
      <c r="L1420" s="25"/>
      <c r="M1420" s="77"/>
      <c r="N1420" s="24" t="s">
        <v>4529</v>
      </c>
    </row>
    <row r="1421">
      <c r="B1421" s="24"/>
      <c r="C1421" s="24"/>
      <c r="D1421" s="24"/>
      <c r="E1421" s="24"/>
      <c r="G1421" s="143"/>
      <c r="H1421" s="24"/>
      <c r="K1421" s="25"/>
      <c r="L1421" s="25"/>
      <c r="M1421" s="77"/>
      <c r="N1421" s="24" t="s">
        <v>4530</v>
      </c>
    </row>
    <row r="1422">
      <c r="B1422" s="24"/>
      <c r="C1422" s="24"/>
      <c r="D1422" s="24"/>
      <c r="E1422" s="24"/>
      <c r="G1422" s="143"/>
      <c r="H1422" s="24"/>
      <c r="K1422" s="25"/>
      <c r="L1422" s="25"/>
      <c r="M1422" s="77"/>
      <c r="N1422" s="24" t="s">
        <v>4531</v>
      </c>
    </row>
    <row r="1423">
      <c r="B1423" s="24"/>
      <c r="C1423" s="24"/>
      <c r="D1423" s="24"/>
      <c r="E1423" s="24"/>
      <c r="G1423" s="143"/>
      <c r="H1423" s="24"/>
      <c r="K1423" s="25"/>
      <c r="L1423" s="25"/>
      <c r="M1423" s="77"/>
      <c r="N1423" s="24" t="s">
        <v>4532</v>
      </c>
    </row>
    <row r="1424">
      <c r="B1424" s="24"/>
      <c r="C1424" s="24"/>
      <c r="D1424" s="24"/>
      <c r="E1424" s="24"/>
      <c r="G1424" s="143"/>
      <c r="H1424" s="24"/>
      <c r="K1424" s="25"/>
      <c r="L1424" s="25"/>
      <c r="M1424" s="77"/>
      <c r="N1424" s="24" t="s">
        <v>4533</v>
      </c>
    </row>
    <row r="1425">
      <c r="B1425" s="24"/>
      <c r="C1425" s="24"/>
      <c r="D1425" s="24"/>
      <c r="E1425" s="24"/>
      <c r="G1425" s="143"/>
      <c r="H1425" s="24"/>
      <c r="K1425" s="25"/>
      <c r="L1425" s="25"/>
      <c r="M1425" s="77"/>
      <c r="N1425" s="24" t="s">
        <v>4534</v>
      </c>
    </row>
    <row r="1426">
      <c r="B1426" s="24"/>
      <c r="C1426" s="24"/>
      <c r="D1426" s="24"/>
      <c r="E1426" s="24"/>
      <c r="G1426" s="143"/>
      <c r="H1426" s="24"/>
      <c r="K1426" s="25"/>
      <c r="L1426" s="25"/>
      <c r="M1426" s="77"/>
      <c r="N1426" s="24" t="s">
        <v>4535</v>
      </c>
    </row>
    <row r="1427">
      <c r="B1427" s="24"/>
      <c r="C1427" s="24"/>
      <c r="D1427" s="24"/>
      <c r="E1427" s="24"/>
      <c r="G1427" s="143"/>
      <c r="H1427" s="24"/>
      <c r="K1427" s="25"/>
      <c r="L1427" s="25"/>
      <c r="M1427" s="77"/>
      <c r="N1427" s="24" t="s">
        <v>4536</v>
      </c>
    </row>
    <row r="1428">
      <c r="B1428" s="24"/>
      <c r="C1428" s="24"/>
      <c r="D1428" s="24"/>
      <c r="E1428" s="24"/>
      <c r="G1428" s="143"/>
      <c r="H1428" s="24"/>
      <c r="K1428" s="25"/>
      <c r="L1428" s="25"/>
      <c r="M1428" s="77"/>
      <c r="N1428" s="24" t="s">
        <v>4537</v>
      </c>
    </row>
    <row r="1429">
      <c r="B1429" s="24"/>
      <c r="C1429" s="24"/>
      <c r="D1429" s="24"/>
      <c r="E1429" s="24"/>
      <c r="G1429" s="143"/>
      <c r="H1429" s="24"/>
      <c r="K1429" s="25"/>
      <c r="L1429" s="25"/>
      <c r="M1429" s="77"/>
      <c r="N1429" s="24" t="s">
        <v>4538</v>
      </c>
    </row>
    <row r="1430">
      <c r="B1430" s="24"/>
      <c r="C1430" s="24"/>
      <c r="D1430" s="24"/>
      <c r="E1430" s="24"/>
      <c r="G1430" s="143"/>
      <c r="H1430" s="24"/>
      <c r="K1430" s="25"/>
      <c r="L1430" s="25"/>
      <c r="M1430" s="77"/>
      <c r="N1430" s="24" t="s">
        <v>4539</v>
      </c>
    </row>
    <row r="1431">
      <c r="B1431" s="24"/>
      <c r="C1431" s="24"/>
      <c r="D1431" s="24"/>
      <c r="E1431" s="24"/>
      <c r="G1431" s="143"/>
      <c r="H1431" s="24"/>
      <c r="K1431" s="25"/>
      <c r="L1431" s="25"/>
      <c r="M1431" s="77"/>
      <c r="N1431" s="24" t="s">
        <v>4540</v>
      </c>
    </row>
    <row r="1432">
      <c r="B1432" s="24"/>
      <c r="C1432" s="24"/>
      <c r="D1432" s="24"/>
      <c r="E1432" s="24"/>
      <c r="G1432" s="143"/>
      <c r="H1432" s="24"/>
      <c r="K1432" s="25"/>
      <c r="L1432" s="25"/>
      <c r="M1432" s="77"/>
      <c r="N1432" s="24" t="s">
        <v>4541</v>
      </c>
    </row>
    <row r="1433">
      <c r="B1433" s="24"/>
      <c r="C1433" s="24"/>
      <c r="D1433" s="24"/>
      <c r="E1433" s="24"/>
      <c r="G1433" s="143"/>
      <c r="H1433" s="24"/>
      <c r="K1433" s="25"/>
      <c r="L1433" s="25"/>
      <c r="M1433" s="77"/>
      <c r="N1433" s="24" t="s">
        <v>4542</v>
      </c>
    </row>
    <row r="1434">
      <c r="B1434" s="24"/>
      <c r="C1434" s="24"/>
      <c r="D1434" s="24"/>
      <c r="E1434" s="24"/>
      <c r="G1434" s="143"/>
      <c r="H1434" s="24"/>
      <c r="K1434" s="25"/>
      <c r="L1434" s="25"/>
      <c r="M1434" s="77"/>
      <c r="N1434" s="24" t="s">
        <v>4543</v>
      </c>
    </row>
    <row r="1435">
      <c r="B1435" s="24"/>
      <c r="C1435" s="24"/>
      <c r="D1435" s="24"/>
      <c r="E1435" s="24"/>
      <c r="G1435" s="143"/>
      <c r="H1435" s="24"/>
      <c r="K1435" s="25"/>
      <c r="L1435" s="25"/>
      <c r="M1435" s="77"/>
      <c r="N1435" s="24" t="s">
        <v>4544</v>
      </c>
    </row>
    <row r="1436">
      <c r="B1436" s="24"/>
      <c r="C1436" s="24"/>
      <c r="D1436" s="24"/>
      <c r="E1436" s="24"/>
      <c r="G1436" s="143"/>
      <c r="H1436" s="24"/>
      <c r="K1436" s="25"/>
      <c r="L1436" s="25"/>
      <c r="M1436" s="77"/>
      <c r="N1436" s="24" t="s">
        <v>4545</v>
      </c>
    </row>
    <row r="1437">
      <c r="B1437" s="24"/>
      <c r="C1437" s="24"/>
      <c r="D1437" s="24"/>
      <c r="E1437" s="24"/>
      <c r="G1437" s="143"/>
      <c r="H1437" s="24"/>
      <c r="K1437" s="25"/>
      <c r="L1437" s="25"/>
      <c r="M1437" s="77"/>
      <c r="N1437" s="24" t="s">
        <v>4546</v>
      </c>
    </row>
    <row r="1438">
      <c r="B1438" s="24"/>
      <c r="C1438" s="24"/>
      <c r="D1438" s="24"/>
      <c r="E1438" s="24"/>
      <c r="G1438" s="143"/>
      <c r="H1438" s="24"/>
      <c r="K1438" s="25"/>
      <c r="L1438" s="25"/>
      <c r="M1438" s="77"/>
      <c r="N1438" s="24" t="s">
        <v>4547</v>
      </c>
    </row>
    <row r="1439">
      <c r="B1439" s="24"/>
      <c r="C1439" s="24"/>
      <c r="D1439" s="24"/>
      <c r="E1439" s="24"/>
      <c r="G1439" s="143"/>
      <c r="H1439" s="24"/>
      <c r="K1439" s="25"/>
      <c r="L1439" s="25"/>
      <c r="M1439" s="77"/>
      <c r="N1439" s="24" t="s">
        <v>4548</v>
      </c>
    </row>
    <row r="1440">
      <c r="B1440" s="24"/>
      <c r="C1440" s="24"/>
      <c r="D1440" s="24"/>
      <c r="E1440" s="24"/>
      <c r="G1440" s="143"/>
      <c r="H1440" s="24"/>
      <c r="K1440" s="25"/>
      <c r="L1440" s="25"/>
      <c r="M1440" s="77"/>
      <c r="N1440" s="24" t="s">
        <v>4549</v>
      </c>
    </row>
    <row r="1441">
      <c r="B1441" s="24"/>
      <c r="C1441" s="24"/>
      <c r="D1441" s="24"/>
      <c r="E1441" s="24"/>
      <c r="G1441" s="143"/>
      <c r="H1441" s="24"/>
      <c r="K1441" s="25"/>
      <c r="L1441" s="25"/>
      <c r="M1441" s="77"/>
      <c r="N1441" s="24" t="s">
        <v>4550</v>
      </c>
    </row>
    <row r="1442">
      <c r="B1442" s="24"/>
      <c r="C1442" s="24"/>
      <c r="D1442" s="24"/>
      <c r="E1442" s="24"/>
      <c r="G1442" s="143"/>
      <c r="H1442" s="24"/>
      <c r="K1442" s="25"/>
      <c r="L1442" s="25"/>
      <c r="M1442" s="77"/>
      <c r="N1442" s="24" t="s">
        <v>4551</v>
      </c>
    </row>
    <row r="1443">
      <c r="B1443" s="24"/>
      <c r="C1443" s="24"/>
      <c r="D1443" s="24"/>
      <c r="E1443" s="24"/>
      <c r="G1443" s="143"/>
      <c r="H1443" s="24"/>
      <c r="K1443" s="25"/>
      <c r="L1443" s="25"/>
      <c r="M1443" s="77"/>
      <c r="N1443" s="24" t="s">
        <v>4552</v>
      </c>
    </row>
    <row r="1444">
      <c r="B1444" s="24"/>
      <c r="C1444" s="24"/>
      <c r="D1444" s="24"/>
      <c r="E1444" s="24"/>
      <c r="G1444" s="143"/>
      <c r="H1444" s="24"/>
      <c r="K1444" s="25"/>
      <c r="L1444" s="25"/>
      <c r="M1444" s="77"/>
      <c r="N1444" s="134" t="s">
        <v>4553</v>
      </c>
    </row>
    <row r="1445">
      <c r="B1445" s="24"/>
      <c r="C1445" s="24"/>
      <c r="D1445" s="24"/>
      <c r="E1445" s="24"/>
      <c r="G1445" s="143"/>
      <c r="H1445" s="24"/>
      <c r="K1445" s="25"/>
      <c r="L1445" s="25"/>
      <c r="M1445" s="77"/>
      <c r="N1445" s="24" t="s">
        <v>4554</v>
      </c>
    </row>
    <row r="1446">
      <c r="B1446" s="24"/>
      <c r="C1446" s="24"/>
      <c r="D1446" s="24"/>
      <c r="E1446" s="24"/>
      <c r="G1446" s="143"/>
      <c r="H1446" s="24"/>
      <c r="K1446" s="25"/>
      <c r="L1446" s="25"/>
      <c r="M1446" s="77"/>
      <c r="N1446" s="24" t="s">
        <v>4555</v>
      </c>
    </row>
    <row r="1447">
      <c r="B1447" s="24"/>
      <c r="C1447" s="24"/>
      <c r="D1447" s="24"/>
      <c r="E1447" s="24"/>
      <c r="G1447" s="143"/>
      <c r="H1447" s="24"/>
      <c r="K1447" s="25"/>
      <c r="L1447" s="25"/>
      <c r="M1447" s="77"/>
      <c r="N1447" s="24" t="s">
        <v>4556</v>
      </c>
    </row>
    <row r="1448">
      <c r="B1448" s="24"/>
      <c r="C1448" s="24"/>
      <c r="D1448" s="24"/>
      <c r="E1448" s="24"/>
      <c r="G1448" s="143"/>
      <c r="H1448" s="24"/>
      <c r="K1448" s="25"/>
      <c r="L1448" s="25"/>
      <c r="M1448" s="77"/>
      <c r="N1448" s="24" t="s">
        <v>4557</v>
      </c>
    </row>
    <row r="1449">
      <c r="B1449" s="24"/>
      <c r="C1449" s="24"/>
      <c r="D1449" s="24"/>
      <c r="E1449" s="24"/>
      <c r="G1449" s="143"/>
      <c r="H1449" s="24"/>
      <c r="K1449" s="25"/>
      <c r="L1449" s="25"/>
      <c r="M1449" s="77"/>
      <c r="N1449" s="24" t="s">
        <v>4558</v>
      </c>
    </row>
    <row r="1450">
      <c r="B1450" s="24"/>
      <c r="C1450" s="24"/>
      <c r="D1450" s="24"/>
      <c r="E1450" s="24"/>
      <c r="G1450" s="143"/>
      <c r="H1450" s="24"/>
      <c r="K1450" s="25"/>
      <c r="L1450" s="25"/>
      <c r="M1450" s="77"/>
      <c r="N1450" s="24" t="s">
        <v>4559</v>
      </c>
    </row>
    <row r="1451">
      <c r="B1451" s="24"/>
      <c r="C1451" s="24"/>
      <c r="D1451" s="24"/>
      <c r="E1451" s="24"/>
      <c r="G1451" s="143"/>
      <c r="H1451" s="24"/>
      <c r="K1451" s="25"/>
      <c r="L1451" s="25"/>
      <c r="M1451" s="77"/>
      <c r="N1451" s="24" t="s">
        <v>4560</v>
      </c>
    </row>
    <row r="1452">
      <c r="B1452" s="24"/>
      <c r="C1452" s="24"/>
      <c r="D1452" s="24"/>
      <c r="E1452" s="24"/>
      <c r="G1452" s="143"/>
      <c r="H1452" s="24"/>
      <c r="K1452" s="25"/>
      <c r="L1452" s="25"/>
      <c r="M1452" s="77"/>
      <c r="N1452" s="24" t="s">
        <v>4561</v>
      </c>
    </row>
    <row r="1453">
      <c r="B1453" s="24"/>
      <c r="C1453" s="24"/>
      <c r="D1453" s="24"/>
      <c r="E1453" s="24"/>
      <c r="G1453" s="143"/>
      <c r="H1453" s="24"/>
      <c r="K1453" s="25"/>
      <c r="L1453" s="25"/>
      <c r="M1453" s="77"/>
      <c r="N1453" s="24" t="s">
        <v>4562</v>
      </c>
    </row>
    <row r="1454">
      <c r="B1454" s="24"/>
      <c r="C1454" s="24"/>
      <c r="D1454" s="24"/>
      <c r="E1454" s="24"/>
      <c r="G1454" s="143"/>
      <c r="H1454" s="24"/>
      <c r="K1454" s="25"/>
      <c r="L1454" s="25"/>
      <c r="M1454" s="77"/>
      <c r="N1454" s="24" t="s">
        <v>4563</v>
      </c>
    </row>
    <row r="1455">
      <c r="B1455" s="24"/>
      <c r="C1455" s="24"/>
      <c r="D1455" s="24"/>
      <c r="E1455" s="24"/>
      <c r="G1455" s="143"/>
      <c r="H1455" s="24"/>
      <c r="K1455" s="25"/>
      <c r="L1455" s="25"/>
      <c r="M1455" s="77"/>
      <c r="N1455" s="24" t="s">
        <v>4564</v>
      </c>
    </row>
    <row r="1456">
      <c r="B1456" s="24"/>
      <c r="C1456" s="24"/>
      <c r="D1456" s="24"/>
      <c r="E1456" s="24"/>
      <c r="G1456" s="143"/>
      <c r="H1456" s="24"/>
      <c r="K1456" s="25"/>
      <c r="L1456" s="25"/>
      <c r="M1456" s="77"/>
      <c r="N1456" s="24" t="s">
        <v>4565</v>
      </c>
    </row>
    <row r="1457">
      <c r="B1457" s="24"/>
      <c r="C1457" s="24"/>
      <c r="D1457" s="24"/>
      <c r="E1457" s="24"/>
      <c r="G1457" s="143"/>
      <c r="H1457" s="24"/>
      <c r="K1457" s="25"/>
      <c r="L1457" s="25"/>
      <c r="M1457" s="77"/>
      <c r="N1457" s="24" t="s">
        <v>4566</v>
      </c>
    </row>
    <row r="1458">
      <c r="B1458" s="24"/>
      <c r="C1458" s="24"/>
      <c r="D1458" s="24"/>
      <c r="E1458" s="24"/>
      <c r="G1458" s="143"/>
      <c r="H1458" s="24"/>
      <c r="K1458" s="25"/>
      <c r="L1458" s="25"/>
      <c r="M1458" s="77"/>
      <c r="N1458" s="24" t="s">
        <v>4567</v>
      </c>
    </row>
    <row r="1459">
      <c r="B1459" s="24"/>
      <c r="C1459" s="24"/>
      <c r="D1459" s="24"/>
      <c r="E1459" s="24"/>
      <c r="G1459" s="143"/>
      <c r="H1459" s="24"/>
      <c r="K1459" s="25"/>
      <c r="L1459" s="25"/>
      <c r="M1459" s="77"/>
      <c r="N1459" s="24" t="s">
        <v>4568</v>
      </c>
    </row>
    <row r="1460">
      <c r="B1460" s="24"/>
      <c r="C1460" s="24"/>
      <c r="D1460" s="24"/>
      <c r="E1460" s="24"/>
      <c r="G1460" s="143"/>
      <c r="H1460" s="24"/>
      <c r="K1460" s="25"/>
      <c r="L1460" s="25"/>
      <c r="M1460" s="77"/>
      <c r="N1460" s="24" t="s">
        <v>4569</v>
      </c>
    </row>
    <row r="1461">
      <c r="B1461" s="24"/>
      <c r="C1461" s="24"/>
      <c r="D1461" s="24"/>
      <c r="E1461" s="24"/>
      <c r="G1461" s="143"/>
      <c r="H1461" s="24"/>
      <c r="K1461" s="25"/>
      <c r="L1461" s="25"/>
      <c r="M1461" s="77"/>
      <c r="N1461" s="24" t="s">
        <v>4570</v>
      </c>
    </row>
    <row r="1462">
      <c r="B1462" s="24"/>
      <c r="C1462" s="24"/>
      <c r="D1462" s="24"/>
      <c r="E1462" s="24"/>
      <c r="G1462" s="143"/>
      <c r="H1462" s="24"/>
      <c r="K1462" s="25"/>
      <c r="L1462" s="25"/>
      <c r="M1462" s="77"/>
      <c r="N1462" s="24" t="s">
        <v>4571</v>
      </c>
    </row>
    <row r="1463">
      <c r="B1463" s="24"/>
      <c r="C1463" s="24"/>
      <c r="D1463" s="24"/>
      <c r="E1463" s="24"/>
      <c r="G1463" s="143"/>
      <c r="H1463" s="24"/>
      <c r="K1463" s="25"/>
      <c r="L1463" s="25"/>
      <c r="M1463" s="77"/>
      <c r="N1463" s="24" t="s">
        <v>4572</v>
      </c>
    </row>
    <row r="1464">
      <c r="B1464" s="24"/>
      <c r="C1464" s="24"/>
      <c r="D1464" s="24"/>
      <c r="E1464" s="24"/>
      <c r="G1464" s="143"/>
      <c r="H1464" s="24"/>
      <c r="K1464" s="25"/>
      <c r="L1464" s="25"/>
      <c r="M1464" s="77"/>
      <c r="N1464" s="24" t="s">
        <v>4573</v>
      </c>
    </row>
    <row r="1465">
      <c r="B1465" s="24"/>
      <c r="C1465" s="24"/>
      <c r="D1465" s="24"/>
      <c r="E1465" s="24"/>
      <c r="G1465" s="143"/>
      <c r="H1465" s="24"/>
      <c r="K1465" s="25"/>
      <c r="L1465" s="25"/>
      <c r="M1465" s="77"/>
      <c r="N1465" s="24" t="s">
        <v>4574</v>
      </c>
    </row>
    <row r="1466">
      <c r="B1466" s="24"/>
      <c r="C1466" s="24"/>
      <c r="D1466" s="24"/>
      <c r="E1466" s="24"/>
      <c r="G1466" s="143"/>
      <c r="H1466" s="24"/>
      <c r="K1466" s="25"/>
      <c r="L1466" s="25"/>
      <c r="M1466" s="77"/>
      <c r="N1466" s="24" t="s">
        <v>4575</v>
      </c>
    </row>
    <row r="1467">
      <c r="B1467" s="24"/>
      <c r="C1467" s="24"/>
      <c r="D1467" s="24"/>
      <c r="E1467" s="24"/>
      <c r="G1467" s="143"/>
      <c r="H1467" s="24"/>
      <c r="K1467" s="25"/>
      <c r="L1467" s="25"/>
      <c r="M1467" s="77"/>
      <c r="N1467" s="24" t="s">
        <v>4576</v>
      </c>
    </row>
    <row r="1468">
      <c r="B1468" s="24"/>
      <c r="C1468" s="24"/>
      <c r="D1468" s="24"/>
      <c r="E1468" s="24"/>
      <c r="G1468" s="143"/>
      <c r="H1468" s="24"/>
      <c r="K1468" s="25"/>
      <c r="L1468" s="25"/>
      <c r="M1468" s="77"/>
      <c r="N1468" s="24" t="s">
        <v>4577</v>
      </c>
    </row>
    <row r="1469">
      <c r="B1469" s="24"/>
      <c r="C1469" s="24"/>
      <c r="D1469" s="24"/>
      <c r="E1469" s="24"/>
      <c r="G1469" s="143"/>
      <c r="H1469" s="24"/>
      <c r="K1469" s="25"/>
      <c r="L1469" s="25"/>
      <c r="M1469" s="77"/>
      <c r="N1469" s="24" t="s">
        <v>4578</v>
      </c>
    </row>
    <row r="1470">
      <c r="B1470" s="24"/>
      <c r="C1470" s="24"/>
      <c r="D1470" s="24"/>
      <c r="E1470" s="24"/>
      <c r="G1470" s="143"/>
      <c r="H1470" s="24"/>
      <c r="K1470" s="25"/>
      <c r="L1470" s="25"/>
      <c r="M1470" s="77"/>
      <c r="N1470" s="24" t="s">
        <v>4579</v>
      </c>
    </row>
    <row r="1471">
      <c r="B1471" s="24"/>
      <c r="C1471" s="24"/>
      <c r="D1471" s="24"/>
      <c r="E1471" s="24"/>
      <c r="G1471" s="143"/>
      <c r="H1471" s="24"/>
      <c r="K1471" s="25"/>
      <c r="L1471" s="25"/>
      <c r="M1471" s="77"/>
      <c r="N1471" s="24" t="s">
        <v>4580</v>
      </c>
    </row>
    <row r="1472">
      <c r="B1472" s="24"/>
      <c r="C1472" s="24"/>
      <c r="D1472" s="24"/>
      <c r="E1472" s="24"/>
      <c r="G1472" s="143"/>
      <c r="H1472" s="24"/>
      <c r="K1472" s="25"/>
      <c r="L1472" s="25"/>
      <c r="M1472" s="77"/>
      <c r="N1472" s="24" t="s">
        <v>4581</v>
      </c>
    </row>
    <row r="1473">
      <c r="B1473" s="24"/>
      <c r="C1473" s="24"/>
      <c r="D1473" s="24"/>
      <c r="E1473" s="24"/>
      <c r="G1473" s="143"/>
      <c r="H1473" s="24"/>
      <c r="K1473" s="25"/>
      <c r="L1473" s="25"/>
      <c r="M1473" s="77"/>
      <c r="N1473" s="24" t="s">
        <v>4582</v>
      </c>
    </row>
    <row r="1474">
      <c r="B1474" s="24"/>
      <c r="C1474" s="24"/>
      <c r="D1474" s="24"/>
      <c r="E1474" s="24"/>
      <c r="G1474" s="143"/>
      <c r="H1474" s="24"/>
      <c r="K1474" s="25"/>
      <c r="L1474" s="25"/>
      <c r="M1474" s="77"/>
      <c r="N1474" s="24" t="s">
        <v>4583</v>
      </c>
    </row>
    <row r="1475">
      <c r="B1475" s="24"/>
      <c r="C1475" s="24"/>
      <c r="D1475" s="24"/>
      <c r="E1475" s="24"/>
      <c r="G1475" s="143"/>
      <c r="H1475" s="24"/>
      <c r="K1475" s="25"/>
      <c r="L1475" s="25"/>
      <c r="M1475" s="77"/>
      <c r="N1475" s="24" t="s">
        <v>4584</v>
      </c>
    </row>
    <row r="1476">
      <c r="B1476" s="24"/>
      <c r="C1476" s="24"/>
      <c r="D1476" s="24"/>
      <c r="E1476" s="24"/>
      <c r="G1476" s="143"/>
      <c r="H1476" s="24"/>
      <c r="K1476" s="25"/>
      <c r="L1476" s="25"/>
      <c r="M1476" s="77"/>
      <c r="N1476" s="24" t="s">
        <v>4585</v>
      </c>
    </row>
    <row r="1477">
      <c r="B1477" s="24"/>
      <c r="C1477" s="24"/>
      <c r="D1477" s="24"/>
      <c r="E1477" s="24"/>
      <c r="G1477" s="143"/>
      <c r="H1477" s="24"/>
      <c r="K1477" s="25"/>
      <c r="L1477" s="25"/>
      <c r="M1477" s="77"/>
      <c r="N1477" s="24" t="s">
        <v>4586</v>
      </c>
    </row>
    <row r="1478">
      <c r="B1478" s="24"/>
      <c r="C1478" s="24"/>
      <c r="D1478" s="24"/>
      <c r="E1478" s="24"/>
      <c r="G1478" s="143"/>
      <c r="H1478" s="24"/>
      <c r="K1478" s="25"/>
      <c r="L1478" s="25"/>
      <c r="M1478" s="77"/>
      <c r="N1478" s="24" t="s">
        <v>4587</v>
      </c>
    </row>
    <row r="1479">
      <c r="B1479" s="24"/>
      <c r="C1479" s="24"/>
      <c r="D1479" s="24"/>
      <c r="E1479" s="24"/>
      <c r="G1479" s="143"/>
      <c r="H1479" s="24"/>
      <c r="K1479" s="25"/>
      <c r="L1479" s="25"/>
      <c r="M1479" s="77"/>
      <c r="N1479" s="24" t="s">
        <v>4588</v>
      </c>
    </row>
    <row r="1480">
      <c r="B1480" s="24"/>
      <c r="C1480" s="24"/>
      <c r="D1480" s="24"/>
      <c r="E1480" s="24"/>
      <c r="G1480" s="143"/>
      <c r="H1480" s="24"/>
      <c r="K1480" s="25"/>
      <c r="L1480" s="25"/>
      <c r="M1480" s="77"/>
      <c r="N1480" s="24" t="s">
        <v>4589</v>
      </c>
    </row>
    <row r="1481">
      <c r="B1481" s="24"/>
      <c r="C1481" s="24"/>
      <c r="D1481" s="24"/>
      <c r="E1481" s="24"/>
      <c r="G1481" s="143"/>
      <c r="H1481" s="24"/>
      <c r="K1481" s="25"/>
      <c r="L1481" s="25"/>
      <c r="M1481" s="77"/>
      <c r="N1481" s="24" t="s">
        <v>4590</v>
      </c>
    </row>
    <row r="1482">
      <c r="B1482" s="24"/>
      <c r="C1482" s="24"/>
      <c r="D1482" s="24"/>
      <c r="E1482" s="24"/>
      <c r="G1482" s="143"/>
      <c r="H1482" s="24"/>
      <c r="K1482" s="25"/>
      <c r="L1482" s="25"/>
      <c r="M1482" s="77"/>
      <c r="N1482" s="24" t="s">
        <v>4591</v>
      </c>
    </row>
    <row r="1483">
      <c r="B1483" s="24"/>
      <c r="C1483" s="24"/>
      <c r="D1483" s="24"/>
      <c r="E1483" s="24"/>
      <c r="G1483" s="143"/>
      <c r="H1483" s="24"/>
      <c r="K1483" s="25"/>
      <c r="L1483" s="25"/>
      <c r="M1483" s="77"/>
      <c r="N1483" s="24" t="s">
        <v>4592</v>
      </c>
    </row>
    <row r="1484">
      <c r="B1484" s="24"/>
      <c r="C1484" s="24"/>
      <c r="D1484" s="24"/>
      <c r="E1484" s="24"/>
      <c r="G1484" s="143"/>
      <c r="H1484" s="24"/>
      <c r="K1484" s="25"/>
      <c r="L1484" s="25"/>
      <c r="M1484" s="77"/>
      <c r="N1484" s="24" t="s">
        <v>4593</v>
      </c>
    </row>
    <row r="1485">
      <c r="B1485" s="24"/>
      <c r="C1485" s="24"/>
      <c r="D1485" s="24"/>
      <c r="E1485" s="24"/>
      <c r="G1485" s="143"/>
      <c r="H1485" s="24"/>
      <c r="K1485" s="25"/>
      <c r="L1485" s="25"/>
      <c r="M1485" s="77"/>
      <c r="N1485" s="24" t="s">
        <v>4594</v>
      </c>
    </row>
    <row r="1486">
      <c r="B1486" s="24"/>
      <c r="C1486" s="24"/>
      <c r="D1486" s="24"/>
      <c r="E1486" s="24"/>
      <c r="G1486" s="143"/>
      <c r="H1486" s="24"/>
      <c r="K1486" s="25"/>
      <c r="L1486" s="25"/>
      <c r="M1486" s="77"/>
      <c r="N1486" s="24" t="s">
        <v>4595</v>
      </c>
    </row>
    <row r="1487">
      <c r="B1487" s="24"/>
      <c r="C1487" s="24"/>
      <c r="D1487" s="24"/>
      <c r="E1487" s="24"/>
      <c r="G1487" s="143"/>
      <c r="H1487" s="24"/>
      <c r="K1487" s="25"/>
      <c r="L1487" s="25"/>
      <c r="M1487" s="77"/>
      <c r="N1487" s="24" t="s">
        <v>4596</v>
      </c>
    </row>
    <row r="1488">
      <c r="B1488" s="24"/>
      <c r="C1488" s="24"/>
      <c r="D1488" s="24"/>
      <c r="E1488" s="24"/>
      <c r="G1488" s="143"/>
      <c r="H1488" s="24"/>
      <c r="K1488" s="25"/>
      <c r="L1488" s="25"/>
      <c r="M1488" s="77"/>
      <c r="N1488" s="24" t="s">
        <v>4597</v>
      </c>
    </row>
    <row r="1489">
      <c r="B1489" s="24"/>
      <c r="C1489" s="24"/>
      <c r="D1489" s="24"/>
      <c r="E1489" s="24"/>
      <c r="G1489" s="143"/>
      <c r="H1489" s="24"/>
      <c r="K1489" s="25"/>
      <c r="L1489" s="25"/>
      <c r="M1489" s="77"/>
      <c r="N1489" s="24" t="s">
        <v>4598</v>
      </c>
    </row>
    <row r="1490">
      <c r="B1490" s="24"/>
      <c r="C1490" s="24"/>
      <c r="D1490" s="24"/>
      <c r="E1490" s="24"/>
      <c r="G1490" s="143"/>
      <c r="H1490" s="24"/>
      <c r="K1490" s="25"/>
      <c r="L1490" s="25"/>
      <c r="M1490" s="77"/>
      <c r="N1490" s="24" t="s">
        <v>4599</v>
      </c>
    </row>
    <row r="1491">
      <c r="B1491" s="24"/>
      <c r="C1491" s="24"/>
      <c r="D1491" s="24"/>
      <c r="E1491" s="24"/>
      <c r="G1491" s="143"/>
      <c r="H1491" s="24"/>
      <c r="K1491" s="25"/>
      <c r="L1491" s="25"/>
      <c r="M1491" s="77"/>
      <c r="N1491" s="24" t="s">
        <v>4600</v>
      </c>
    </row>
    <row r="1492">
      <c r="B1492" s="24"/>
      <c r="C1492" s="24"/>
      <c r="D1492" s="24"/>
      <c r="E1492" s="24"/>
      <c r="G1492" s="143"/>
      <c r="H1492" s="24"/>
      <c r="K1492" s="25"/>
      <c r="L1492" s="25"/>
      <c r="M1492" s="77"/>
      <c r="N1492" s="24" t="s">
        <v>4601</v>
      </c>
    </row>
    <row r="1493">
      <c r="B1493" s="24"/>
      <c r="C1493" s="24"/>
      <c r="D1493" s="24"/>
      <c r="E1493" s="24"/>
      <c r="G1493" s="143"/>
      <c r="H1493" s="24"/>
      <c r="K1493" s="25"/>
      <c r="L1493" s="25"/>
      <c r="M1493" s="77"/>
      <c r="N1493" s="24" t="s">
        <v>4602</v>
      </c>
    </row>
    <row r="1494">
      <c r="B1494" s="24"/>
      <c r="C1494" s="24"/>
      <c r="D1494" s="24"/>
      <c r="E1494" s="24"/>
      <c r="G1494" s="143"/>
      <c r="H1494" s="24"/>
      <c r="K1494" s="25"/>
      <c r="L1494" s="25"/>
      <c r="M1494" s="77"/>
      <c r="N1494" s="24" t="s">
        <v>4603</v>
      </c>
    </row>
    <row r="1495">
      <c r="B1495" s="24"/>
      <c r="C1495" s="24"/>
      <c r="D1495" s="24"/>
      <c r="E1495" s="24"/>
      <c r="G1495" s="143"/>
      <c r="H1495" s="24"/>
      <c r="K1495" s="25"/>
      <c r="L1495" s="25"/>
      <c r="M1495" s="77"/>
      <c r="N1495" s="24" t="s">
        <v>4604</v>
      </c>
    </row>
    <row r="1496">
      <c r="B1496" s="24"/>
      <c r="C1496" s="24"/>
      <c r="D1496" s="24"/>
      <c r="E1496" s="24"/>
      <c r="G1496" s="143"/>
      <c r="H1496" s="24"/>
      <c r="K1496" s="25"/>
      <c r="L1496" s="25"/>
      <c r="M1496" s="77"/>
      <c r="N1496" s="24" t="s">
        <v>4605</v>
      </c>
    </row>
    <row r="1497">
      <c r="B1497" s="24"/>
      <c r="C1497" s="24"/>
      <c r="D1497" s="24"/>
      <c r="E1497" s="24"/>
      <c r="G1497" s="143"/>
      <c r="H1497" s="24"/>
      <c r="K1497" s="25"/>
      <c r="L1497" s="25"/>
      <c r="M1497" s="77"/>
      <c r="N1497" s="24" t="s">
        <v>4606</v>
      </c>
    </row>
    <row r="1498">
      <c r="B1498" s="24"/>
      <c r="C1498" s="24"/>
      <c r="D1498" s="24"/>
      <c r="E1498" s="24"/>
      <c r="G1498" s="143"/>
      <c r="H1498" s="24"/>
      <c r="K1498" s="25"/>
      <c r="L1498" s="25"/>
      <c r="M1498" s="77"/>
      <c r="N1498" s="24" t="s">
        <v>4607</v>
      </c>
    </row>
    <row r="1499">
      <c r="B1499" s="24"/>
      <c r="C1499" s="24"/>
      <c r="D1499" s="24"/>
      <c r="E1499" s="24"/>
      <c r="G1499" s="143"/>
      <c r="H1499" s="24"/>
      <c r="K1499" s="25"/>
      <c r="L1499" s="25"/>
      <c r="M1499" s="77"/>
      <c r="N1499" s="24" t="s">
        <v>4608</v>
      </c>
    </row>
    <row r="1500">
      <c r="B1500" s="24"/>
      <c r="C1500" s="24"/>
      <c r="D1500" s="24"/>
      <c r="E1500" s="24"/>
      <c r="G1500" s="143"/>
      <c r="H1500" s="24"/>
      <c r="K1500" s="25"/>
      <c r="L1500" s="25"/>
      <c r="M1500" s="77"/>
      <c r="N1500" s="24" t="s">
        <v>4609</v>
      </c>
    </row>
    <row r="1501">
      <c r="B1501" s="24"/>
      <c r="C1501" s="24"/>
      <c r="D1501" s="24"/>
      <c r="E1501" s="24"/>
      <c r="G1501" s="143"/>
      <c r="H1501" s="24"/>
      <c r="K1501" s="25"/>
      <c r="L1501" s="25"/>
      <c r="M1501" s="77"/>
      <c r="N1501" s="24" t="s">
        <v>4610</v>
      </c>
    </row>
    <row r="1502">
      <c r="B1502" s="24"/>
      <c r="C1502" s="24"/>
      <c r="D1502" s="24"/>
      <c r="E1502" s="24"/>
      <c r="G1502" s="143"/>
      <c r="H1502" s="24"/>
      <c r="K1502" s="25"/>
      <c r="L1502" s="25"/>
      <c r="M1502" s="77"/>
      <c r="N1502" s="24" t="s">
        <v>4611</v>
      </c>
    </row>
    <row r="1503">
      <c r="B1503" s="24"/>
      <c r="C1503" s="24"/>
      <c r="D1503" s="24"/>
      <c r="E1503" s="24"/>
      <c r="G1503" s="143"/>
      <c r="H1503" s="24"/>
      <c r="K1503" s="25"/>
      <c r="L1503" s="25"/>
      <c r="M1503" s="77"/>
      <c r="N1503" s="24" t="s">
        <v>4612</v>
      </c>
    </row>
    <row r="1504">
      <c r="B1504" s="24"/>
      <c r="C1504" s="24"/>
      <c r="D1504" s="24"/>
      <c r="E1504" s="24"/>
      <c r="G1504" s="143"/>
      <c r="H1504" s="24"/>
      <c r="K1504" s="25"/>
      <c r="L1504" s="25"/>
      <c r="M1504" s="77"/>
      <c r="N1504" s="24" t="s">
        <v>4613</v>
      </c>
    </row>
    <row r="1505">
      <c r="B1505" s="24"/>
      <c r="C1505" s="24"/>
      <c r="D1505" s="24"/>
      <c r="E1505" s="24"/>
      <c r="G1505" s="143"/>
      <c r="H1505" s="24"/>
      <c r="K1505" s="25"/>
      <c r="L1505" s="25"/>
      <c r="M1505" s="77"/>
      <c r="N1505" s="24" t="s">
        <v>4614</v>
      </c>
    </row>
    <row r="1506">
      <c r="B1506" s="24"/>
      <c r="C1506" s="24"/>
      <c r="D1506" s="24"/>
      <c r="E1506" s="24"/>
      <c r="G1506" s="143"/>
      <c r="H1506" s="24"/>
      <c r="K1506" s="25"/>
      <c r="L1506" s="25"/>
      <c r="M1506" s="77"/>
      <c r="N1506" s="24" t="s">
        <v>4615</v>
      </c>
    </row>
    <row r="1507">
      <c r="B1507" s="24"/>
      <c r="C1507" s="24"/>
      <c r="D1507" s="24"/>
      <c r="E1507" s="24"/>
      <c r="G1507" s="143"/>
      <c r="H1507" s="24"/>
      <c r="K1507" s="25"/>
      <c r="L1507" s="25"/>
      <c r="M1507" s="77"/>
      <c r="N1507" s="24" t="s">
        <v>4616</v>
      </c>
    </row>
    <row r="1508">
      <c r="B1508" s="24"/>
      <c r="C1508" s="24"/>
      <c r="D1508" s="24"/>
      <c r="E1508" s="24"/>
      <c r="G1508" s="143"/>
      <c r="H1508" s="24"/>
      <c r="K1508" s="25"/>
      <c r="L1508" s="25"/>
      <c r="M1508" s="77"/>
      <c r="N1508" s="24" t="s">
        <v>4617</v>
      </c>
    </row>
    <row r="1509">
      <c r="B1509" s="24"/>
      <c r="C1509" s="24"/>
      <c r="D1509" s="24"/>
      <c r="E1509" s="24"/>
      <c r="G1509" s="143"/>
      <c r="H1509" s="24"/>
      <c r="K1509" s="25"/>
      <c r="L1509" s="25"/>
      <c r="M1509" s="77"/>
      <c r="N1509" s="24" t="s">
        <v>4618</v>
      </c>
    </row>
    <row r="1510">
      <c r="B1510" s="24"/>
      <c r="C1510" s="24"/>
      <c r="D1510" s="24"/>
      <c r="E1510" s="24"/>
      <c r="G1510" s="143"/>
      <c r="H1510" s="24"/>
      <c r="K1510" s="25"/>
      <c r="L1510" s="25"/>
      <c r="M1510" s="77"/>
      <c r="N1510" s="24" t="s">
        <v>4619</v>
      </c>
    </row>
    <row r="1511">
      <c r="B1511" s="24"/>
      <c r="C1511" s="24"/>
      <c r="D1511" s="24"/>
      <c r="E1511" s="24"/>
      <c r="G1511" s="143"/>
      <c r="H1511" s="24"/>
      <c r="K1511" s="25"/>
      <c r="L1511" s="25"/>
      <c r="M1511" s="77"/>
      <c r="N1511" s="24" t="s">
        <v>4620</v>
      </c>
    </row>
    <row r="1512">
      <c r="B1512" s="24"/>
      <c r="C1512" s="24"/>
      <c r="D1512" s="24"/>
      <c r="E1512" s="24"/>
      <c r="G1512" s="143"/>
      <c r="H1512" s="24"/>
      <c r="K1512" s="25"/>
      <c r="L1512" s="25"/>
      <c r="M1512" s="77"/>
      <c r="N1512" s="24" t="s">
        <v>4621</v>
      </c>
    </row>
    <row r="1513">
      <c r="B1513" s="24"/>
      <c r="C1513" s="24"/>
      <c r="D1513" s="24"/>
      <c r="E1513" s="24"/>
      <c r="G1513" s="143"/>
      <c r="H1513" s="24"/>
      <c r="K1513" s="25"/>
      <c r="L1513" s="25"/>
      <c r="M1513" s="77"/>
      <c r="N1513" s="24" t="s">
        <v>4622</v>
      </c>
    </row>
    <row r="1514">
      <c r="B1514" s="24"/>
      <c r="C1514" s="24"/>
      <c r="D1514" s="24"/>
      <c r="E1514" s="24"/>
      <c r="G1514" s="143"/>
      <c r="H1514" s="24"/>
      <c r="K1514" s="25"/>
      <c r="L1514" s="25"/>
      <c r="M1514" s="77"/>
      <c r="N1514" s="24" t="s">
        <v>4623</v>
      </c>
    </row>
    <row r="1515">
      <c r="B1515" s="24"/>
      <c r="C1515" s="24"/>
      <c r="D1515" s="24"/>
      <c r="E1515" s="24"/>
      <c r="G1515" s="143"/>
      <c r="H1515" s="24"/>
      <c r="K1515" s="25"/>
      <c r="L1515" s="25"/>
      <c r="M1515" s="77"/>
      <c r="N1515" s="24" t="s">
        <v>4624</v>
      </c>
    </row>
    <row r="1516">
      <c r="B1516" s="24"/>
      <c r="C1516" s="24"/>
      <c r="D1516" s="24"/>
      <c r="E1516" s="24"/>
      <c r="G1516" s="143"/>
      <c r="H1516" s="24"/>
      <c r="K1516" s="25"/>
      <c r="L1516" s="25"/>
      <c r="M1516" s="77"/>
      <c r="N1516" s="24" t="s">
        <v>4625</v>
      </c>
    </row>
    <row r="1517">
      <c r="B1517" s="24"/>
      <c r="C1517" s="24"/>
      <c r="D1517" s="24"/>
      <c r="E1517" s="24"/>
      <c r="G1517" s="143"/>
      <c r="H1517" s="24"/>
      <c r="K1517" s="25"/>
      <c r="L1517" s="25"/>
      <c r="M1517" s="77"/>
      <c r="N1517" s="24" t="s">
        <v>4626</v>
      </c>
    </row>
    <row r="1518">
      <c r="B1518" s="24"/>
      <c r="C1518" s="24"/>
      <c r="D1518" s="24"/>
      <c r="E1518" s="24"/>
      <c r="G1518" s="143"/>
      <c r="H1518" s="24"/>
      <c r="K1518" s="25"/>
      <c r="L1518" s="25"/>
      <c r="M1518" s="77"/>
      <c r="N1518" s="24" t="s">
        <v>4627</v>
      </c>
    </row>
    <row r="1519">
      <c r="B1519" s="24"/>
      <c r="C1519" s="24"/>
      <c r="D1519" s="24"/>
      <c r="E1519" s="24"/>
      <c r="G1519" s="143"/>
      <c r="H1519" s="24"/>
      <c r="K1519" s="25"/>
      <c r="L1519" s="25"/>
      <c r="M1519" s="77"/>
      <c r="N1519" s="24" t="s">
        <v>4628</v>
      </c>
    </row>
    <row r="1520">
      <c r="B1520" s="24"/>
      <c r="C1520" s="24"/>
      <c r="D1520" s="24"/>
      <c r="E1520" s="24"/>
      <c r="G1520" s="143"/>
      <c r="H1520" s="24"/>
      <c r="K1520" s="25"/>
      <c r="L1520" s="25"/>
      <c r="M1520" s="77"/>
      <c r="N1520" s="24" t="s">
        <v>4629</v>
      </c>
    </row>
    <row r="1521">
      <c r="B1521" s="24"/>
      <c r="C1521" s="24"/>
      <c r="D1521" s="24"/>
      <c r="E1521" s="24"/>
      <c r="G1521" s="143"/>
      <c r="H1521" s="24"/>
      <c r="K1521" s="25"/>
      <c r="L1521" s="25"/>
      <c r="M1521" s="77"/>
      <c r="N1521" s="24" t="s">
        <v>4630</v>
      </c>
    </row>
    <row r="1522">
      <c r="B1522" s="24"/>
      <c r="C1522" s="24"/>
      <c r="D1522" s="24"/>
      <c r="E1522" s="24"/>
      <c r="G1522" s="143"/>
      <c r="H1522" s="24"/>
      <c r="K1522" s="25"/>
      <c r="L1522" s="25"/>
      <c r="M1522" s="77"/>
      <c r="N1522" s="24" t="s">
        <v>4631</v>
      </c>
    </row>
    <row r="1523">
      <c r="B1523" s="24"/>
      <c r="C1523" s="24"/>
      <c r="D1523" s="24"/>
      <c r="E1523" s="24"/>
      <c r="G1523" s="143"/>
      <c r="H1523" s="24"/>
      <c r="K1523" s="25"/>
      <c r="L1523" s="25"/>
      <c r="M1523" s="77"/>
      <c r="N1523" s="24" t="s">
        <v>4632</v>
      </c>
    </row>
    <row r="1524">
      <c r="B1524" s="24"/>
      <c r="C1524" s="24"/>
      <c r="D1524" s="24"/>
      <c r="E1524" s="24"/>
      <c r="G1524" s="143"/>
      <c r="H1524" s="24"/>
      <c r="K1524" s="25"/>
      <c r="L1524" s="25"/>
      <c r="M1524" s="77"/>
      <c r="N1524" s="24" t="s">
        <v>4633</v>
      </c>
    </row>
    <row r="1525">
      <c r="B1525" s="24"/>
      <c r="C1525" s="24"/>
      <c r="D1525" s="24"/>
      <c r="E1525" s="24"/>
      <c r="G1525" s="143"/>
      <c r="H1525" s="24"/>
      <c r="K1525" s="25"/>
      <c r="L1525" s="25"/>
      <c r="M1525" s="77"/>
      <c r="N1525" s="24" t="s">
        <v>4634</v>
      </c>
    </row>
    <row r="1526">
      <c r="B1526" s="24"/>
      <c r="C1526" s="24"/>
      <c r="D1526" s="24"/>
      <c r="E1526" s="24"/>
      <c r="G1526" s="143"/>
      <c r="H1526" s="24"/>
      <c r="K1526" s="25"/>
      <c r="L1526" s="25"/>
      <c r="M1526" s="77"/>
      <c r="N1526" s="24" t="s">
        <v>4635</v>
      </c>
    </row>
    <row r="1527">
      <c r="B1527" s="24"/>
      <c r="C1527" s="24"/>
      <c r="D1527" s="24"/>
      <c r="E1527" s="24"/>
      <c r="G1527" s="143"/>
      <c r="H1527" s="24"/>
      <c r="K1527" s="25"/>
      <c r="L1527" s="25"/>
      <c r="M1527" s="77"/>
      <c r="N1527" s="24" t="s">
        <v>4636</v>
      </c>
    </row>
    <row r="1528">
      <c r="B1528" s="24"/>
      <c r="C1528" s="24"/>
      <c r="D1528" s="24"/>
      <c r="E1528" s="24"/>
      <c r="G1528" s="143"/>
      <c r="H1528" s="24"/>
      <c r="K1528" s="25"/>
      <c r="L1528" s="25"/>
      <c r="M1528" s="77"/>
      <c r="N1528" s="24" t="s">
        <v>4637</v>
      </c>
    </row>
    <row r="1529">
      <c r="B1529" s="24"/>
      <c r="C1529" s="24"/>
      <c r="D1529" s="24"/>
      <c r="E1529" s="24"/>
      <c r="G1529" s="143"/>
      <c r="H1529" s="24"/>
      <c r="K1529" s="25"/>
      <c r="L1529" s="25"/>
      <c r="M1529" s="77"/>
      <c r="N1529" s="24" t="s">
        <v>4638</v>
      </c>
    </row>
    <row r="1530">
      <c r="B1530" s="24"/>
      <c r="C1530" s="24"/>
      <c r="D1530" s="24"/>
      <c r="E1530" s="24"/>
      <c r="G1530" s="143"/>
      <c r="H1530" s="24"/>
      <c r="K1530" s="25"/>
      <c r="L1530" s="25"/>
      <c r="M1530" s="77"/>
      <c r="N1530" s="24" t="s">
        <v>4639</v>
      </c>
    </row>
    <row r="1531">
      <c r="B1531" s="24"/>
      <c r="C1531" s="24"/>
      <c r="D1531" s="24"/>
      <c r="E1531" s="24"/>
      <c r="G1531" s="143"/>
      <c r="H1531" s="24"/>
      <c r="K1531" s="25"/>
      <c r="L1531" s="25"/>
      <c r="M1531" s="77"/>
      <c r="N1531" s="24" t="s">
        <v>4640</v>
      </c>
    </row>
    <row r="1532">
      <c r="B1532" s="24"/>
      <c r="C1532" s="24"/>
      <c r="D1532" s="24"/>
      <c r="E1532" s="24"/>
      <c r="G1532" s="143"/>
      <c r="H1532" s="24"/>
      <c r="K1532" s="25"/>
      <c r="L1532" s="25"/>
      <c r="M1532" s="77"/>
      <c r="N1532" s="24" t="s">
        <v>4641</v>
      </c>
    </row>
    <row r="1533">
      <c r="B1533" s="24"/>
      <c r="C1533" s="24"/>
      <c r="D1533" s="24"/>
      <c r="E1533" s="24"/>
      <c r="G1533" s="143"/>
      <c r="H1533" s="24"/>
      <c r="K1533" s="25"/>
      <c r="L1533" s="25"/>
      <c r="M1533" s="77"/>
      <c r="N1533" s="24" t="s">
        <v>4642</v>
      </c>
    </row>
    <row r="1534">
      <c r="B1534" s="24"/>
      <c r="C1534" s="24"/>
      <c r="D1534" s="24"/>
      <c r="E1534" s="24"/>
      <c r="G1534" s="143"/>
      <c r="H1534" s="24"/>
      <c r="K1534" s="25"/>
      <c r="L1534" s="25"/>
      <c r="M1534" s="77"/>
      <c r="N1534" s="24" t="s">
        <v>4513</v>
      </c>
    </row>
    <row r="1535">
      <c r="B1535" s="24"/>
      <c r="C1535" s="24"/>
      <c r="D1535" s="24"/>
      <c r="E1535" s="24"/>
      <c r="G1535" s="143"/>
      <c r="H1535" s="24"/>
      <c r="K1535" s="25"/>
      <c r="L1535" s="25"/>
      <c r="M1535" s="77"/>
      <c r="N1535" s="24" t="s">
        <v>4643</v>
      </c>
    </row>
    <row r="1536">
      <c r="B1536" s="24"/>
      <c r="C1536" s="24"/>
      <c r="D1536" s="24"/>
      <c r="E1536" s="24"/>
      <c r="G1536" s="143"/>
      <c r="H1536" s="24"/>
      <c r="K1536" s="25"/>
      <c r="L1536" s="25"/>
      <c r="M1536" s="77"/>
      <c r="N1536" s="24" t="s">
        <v>4644</v>
      </c>
    </row>
    <row r="1537">
      <c r="B1537" s="24"/>
      <c r="C1537" s="24"/>
      <c r="D1537" s="24"/>
      <c r="E1537" s="24"/>
      <c r="G1537" s="143"/>
      <c r="H1537" s="24"/>
      <c r="K1537" s="25"/>
      <c r="L1537" s="25"/>
      <c r="M1537" s="77"/>
      <c r="N1537" s="24" t="s">
        <v>4645</v>
      </c>
    </row>
    <row r="1538">
      <c r="B1538" s="24"/>
      <c r="C1538" s="24"/>
      <c r="D1538" s="24"/>
      <c r="E1538" s="24"/>
      <c r="G1538" s="143"/>
      <c r="H1538" s="24"/>
      <c r="K1538" s="25"/>
      <c r="L1538" s="25"/>
      <c r="M1538" s="77"/>
      <c r="N1538" s="24" t="s">
        <v>4646</v>
      </c>
    </row>
    <row r="1539">
      <c r="B1539" s="24"/>
      <c r="C1539" s="24"/>
      <c r="D1539" s="24"/>
      <c r="E1539" s="24"/>
      <c r="G1539" s="143"/>
      <c r="H1539" s="24"/>
      <c r="K1539" s="25"/>
      <c r="L1539" s="25"/>
      <c r="M1539" s="77"/>
      <c r="N1539" s="24" t="s">
        <v>4647</v>
      </c>
    </row>
    <row r="1540">
      <c r="B1540" s="24"/>
      <c r="C1540" s="24"/>
      <c r="D1540" s="24"/>
      <c r="E1540" s="24"/>
      <c r="G1540" s="143"/>
      <c r="H1540" s="24"/>
      <c r="K1540" s="25"/>
      <c r="L1540" s="25"/>
      <c r="M1540" s="77"/>
      <c r="N1540" s="24" t="s">
        <v>4648</v>
      </c>
    </row>
    <row r="1541">
      <c r="B1541" s="24"/>
      <c r="C1541" s="24"/>
      <c r="D1541" s="24"/>
      <c r="E1541" s="24"/>
      <c r="G1541" s="143"/>
      <c r="H1541" s="24"/>
      <c r="K1541" s="25"/>
      <c r="L1541" s="25"/>
      <c r="M1541" s="77"/>
      <c r="N1541" s="24" t="s">
        <v>4649</v>
      </c>
    </row>
    <row r="1542">
      <c r="B1542" s="24"/>
      <c r="C1542" s="24"/>
      <c r="D1542" s="24"/>
      <c r="E1542" s="24"/>
      <c r="G1542" s="143"/>
      <c r="H1542" s="24"/>
      <c r="K1542" s="25"/>
      <c r="L1542" s="25"/>
      <c r="M1542" s="77"/>
      <c r="N1542" s="24" t="s">
        <v>4650</v>
      </c>
    </row>
    <row r="1543">
      <c r="B1543" s="24"/>
      <c r="C1543" s="24"/>
      <c r="D1543" s="24"/>
      <c r="E1543" s="24"/>
      <c r="G1543" s="143"/>
      <c r="H1543" s="24"/>
      <c r="K1543" s="25"/>
      <c r="L1543" s="25"/>
      <c r="M1543" s="77"/>
      <c r="N1543" s="24" t="s">
        <v>4651</v>
      </c>
    </row>
    <row r="1544">
      <c r="B1544" s="24"/>
      <c r="C1544" s="24"/>
      <c r="D1544" s="24"/>
      <c r="E1544" s="24"/>
      <c r="G1544" s="143"/>
      <c r="H1544" s="24"/>
      <c r="K1544" s="25"/>
      <c r="L1544" s="25"/>
      <c r="M1544" s="77"/>
      <c r="N1544" s="24" t="s">
        <v>4652</v>
      </c>
    </row>
    <row r="1545">
      <c r="B1545" s="24"/>
      <c r="C1545" s="24"/>
      <c r="D1545" s="24"/>
      <c r="E1545" s="24"/>
      <c r="G1545" s="143"/>
      <c r="H1545" s="24"/>
      <c r="K1545" s="25"/>
      <c r="L1545" s="25"/>
      <c r="M1545" s="77"/>
      <c r="N1545" s="24" t="s">
        <v>4653</v>
      </c>
    </row>
    <row r="1546">
      <c r="B1546" s="24"/>
      <c r="C1546" s="24"/>
      <c r="D1546" s="24"/>
      <c r="E1546" s="24"/>
      <c r="G1546" s="143"/>
      <c r="H1546" s="24"/>
      <c r="K1546" s="25"/>
      <c r="L1546" s="25"/>
      <c r="M1546" s="77"/>
      <c r="N1546" s="24" t="s">
        <v>4654</v>
      </c>
    </row>
    <row r="1547">
      <c r="B1547" s="24"/>
      <c r="C1547" s="24"/>
      <c r="D1547" s="24"/>
      <c r="E1547" s="24"/>
      <c r="G1547" s="143"/>
      <c r="H1547" s="24"/>
      <c r="K1547" s="25"/>
      <c r="L1547" s="25"/>
      <c r="M1547" s="77"/>
      <c r="N1547" s="24" t="s">
        <v>4655</v>
      </c>
    </row>
    <row r="1548">
      <c r="B1548" s="24"/>
      <c r="C1548" s="24"/>
      <c r="D1548" s="24"/>
      <c r="E1548" s="24"/>
      <c r="G1548" s="143"/>
      <c r="H1548" s="24"/>
      <c r="K1548" s="25"/>
      <c r="L1548" s="25"/>
      <c r="M1548" s="77"/>
      <c r="N1548" s="24" t="s">
        <v>4656</v>
      </c>
    </row>
    <row r="1549">
      <c r="B1549" s="24"/>
      <c r="C1549" s="24"/>
      <c r="D1549" s="24"/>
      <c r="E1549" s="24"/>
      <c r="G1549" s="143"/>
      <c r="H1549" s="24"/>
      <c r="K1549" s="25"/>
      <c r="L1549" s="25"/>
      <c r="M1549" s="77"/>
      <c r="N1549" s="24" t="s">
        <v>4657</v>
      </c>
    </row>
    <row r="1550">
      <c r="B1550" s="24"/>
      <c r="C1550" s="24"/>
      <c r="D1550" s="24"/>
      <c r="E1550" s="24"/>
      <c r="G1550" s="143"/>
      <c r="H1550" s="24"/>
      <c r="K1550" s="25"/>
      <c r="L1550" s="25"/>
      <c r="M1550" s="77"/>
      <c r="N1550" s="24" t="s">
        <v>4658</v>
      </c>
    </row>
    <row r="1551">
      <c r="B1551" s="24"/>
      <c r="C1551" s="24"/>
      <c r="D1551" s="24"/>
      <c r="E1551" s="24"/>
      <c r="G1551" s="143"/>
      <c r="H1551" s="24"/>
      <c r="K1551" s="25"/>
      <c r="L1551" s="25"/>
      <c r="M1551" s="77"/>
      <c r="N1551" s="24" t="s">
        <v>4659</v>
      </c>
    </row>
    <row r="1552">
      <c r="B1552" s="24"/>
      <c r="C1552" s="24"/>
      <c r="D1552" s="24"/>
      <c r="E1552" s="24"/>
      <c r="G1552" s="143"/>
      <c r="H1552" s="24"/>
      <c r="K1552" s="25"/>
      <c r="L1552" s="25"/>
      <c r="M1552" s="77"/>
      <c r="N1552" s="24" t="s">
        <v>4660</v>
      </c>
    </row>
    <row r="1553">
      <c r="B1553" s="24"/>
      <c r="C1553" s="24"/>
      <c r="D1553" s="24"/>
      <c r="E1553" s="24"/>
      <c r="G1553" s="143"/>
      <c r="H1553" s="24"/>
      <c r="K1553" s="25"/>
      <c r="L1553" s="25"/>
      <c r="M1553" s="77"/>
      <c r="N1553" s="24" t="s">
        <v>4661</v>
      </c>
    </row>
    <row r="1554">
      <c r="B1554" s="24"/>
      <c r="C1554" s="24"/>
      <c r="D1554" s="24"/>
      <c r="E1554" s="24"/>
      <c r="G1554" s="143"/>
      <c r="H1554" s="24"/>
      <c r="K1554" s="25"/>
      <c r="L1554" s="25"/>
      <c r="M1554" s="77"/>
      <c r="N1554" s="24" t="s">
        <v>4662</v>
      </c>
    </row>
    <row r="1555">
      <c r="B1555" s="24"/>
      <c r="C1555" s="24"/>
      <c r="D1555" s="24"/>
      <c r="E1555" s="24"/>
      <c r="G1555" s="143"/>
      <c r="H1555" s="24"/>
      <c r="K1555" s="25"/>
      <c r="L1555" s="25"/>
      <c r="M1555" s="77"/>
      <c r="N1555" s="24" t="s">
        <v>4663</v>
      </c>
    </row>
    <row r="1556">
      <c r="B1556" s="24"/>
      <c r="C1556" s="24"/>
      <c r="D1556" s="24"/>
      <c r="E1556" s="24"/>
      <c r="G1556" s="143"/>
      <c r="H1556" s="24"/>
      <c r="K1556" s="25"/>
      <c r="L1556" s="25"/>
      <c r="M1556" s="77"/>
      <c r="N1556" s="24" t="s">
        <v>4664</v>
      </c>
    </row>
    <row r="1557">
      <c r="B1557" s="24"/>
      <c r="C1557" s="24"/>
      <c r="D1557" s="24"/>
      <c r="E1557" s="24"/>
      <c r="G1557" s="143"/>
      <c r="H1557" s="24"/>
      <c r="K1557" s="25"/>
      <c r="L1557" s="25"/>
      <c r="M1557" s="77"/>
      <c r="N1557" s="24" t="s">
        <v>4665</v>
      </c>
    </row>
    <row r="1558">
      <c r="B1558" s="24"/>
      <c r="C1558" s="24"/>
      <c r="D1558" s="24"/>
      <c r="E1558" s="24"/>
      <c r="G1558" s="143"/>
      <c r="H1558" s="24"/>
      <c r="K1558" s="25"/>
      <c r="L1558" s="25"/>
      <c r="M1558" s="77"/>
      <c r="N1558" s="24" t="s">
        <v>4666</v>
      </c>
    </row>
    <row r="1559">
      <c r="B1559" s="24"/>
      <c r="C1559" s="24"/>
      <c r="D1559" s="24"/>
      <c r="E1559" s="24"/>
      <c r="G1559" s="143"/>
      <c r="H1559" s="24"/>
      <c r="K1559" s="25"/>
      <c r="L1559" s="25"/>
      <c r="M1559" s="77"/>
      <c r="N1559" s="24" t="s">
        <v>4667</v>
      </c>
    </row>
    <row r="1560">
      <c r="B1560" s="24"/>
      <c r="C1560" s="24"/>
      <c r="D1560" s="24"/>
      <c r="E1560" s="24"/>
      <c r="G1560" s="143"/>
      <c r="H1560" s="24"/>
      <c r="K1560" s="25"/>
      <c r="L1560" s="25"/>
      <c r="M1560" s="77"/>
      <c r="N1560" s="24" t="s">
        <v>4668</v>
      </c>
    </row>
    <row r="1561">
      <c r="B1561" s="24"/>
      <c r="C1561" s="24"/>
      <c r="D1561" s="24"/>
      <c r="E1561" s="24"/>
      <c r="G1561" s="143"/>
      <c r="H1561" s="24"/>
      <c r="K1561" s="25"/>
      <c r="L1561" s="25"/>
      <c r="M1561" s="77"/>
      <c r="N1561" s="24" t="s">
        <v>4669</v>
      </c>
    </row>
    <row r="1562">
      <c r="B1562" s="24"/>
      <c r="C1562" s="24"/>
      <c r="D1562" s="24"/>
      <c r="E1562" s="24"/>
      <c r="G1562" s="143"/>
      <c r="H1562" s="24"/>
      <c r="K1562" s="25"/>
      <c r="L1562" s="25"/>
      <c r="M1562" s="77"/>
      <c r="N1562" s="24" t="s">
        <v>4670</v>
      </c>
    </row>
    <row r="1563">
      <c r="B1563" s="24"/>
      <c r="C1563" s="24"/>
      <c r="D1563" s="24"/>
      <c r="E1563" s="24"/>
      <c r="G1563" s="143"/>
      <c r="H1563" s="24"/>
      <c r="K1563" s="25"/>
      <c r="L1563" s="25"/>
      <c r="M1563" s="77"/>
      <c r="N1563" s="24" t="s">
        <v>4498</v>
      </c>
    </row>
    <row r="1564">
      <c r="B1564" s="24"/>
      <c r="C1564" s="24"/>
      <c r="D1564" s="24"/>
      <c r="E1564" s="24"/>
      <c r="G1564" s="143"/>
      <c r="H1564" s="24"/>
      <c r="K1564" s="25"/>
      <c r="L1564" s="25"/>
      <c r="M1564" s="77"/>
      <c r="N1564" s="24" t="s">
        <v>4671</v>
      </c>
    </row>
    <row r="1565">
      <c r="B1565" s="24"/>
      <c r="C1565" s="24"/>
      <c r="D1565" s="24"/>
      <c r="E1565" s="24"/>
      <c r="G1565" s="143"/>
      <c r="H1565" s="24"/>
      <c r="K1565" s="25"/>
      <c r="L1565" s="25"/>
      <c r="M1565" s="77"/>
      <c r="N1565" s="24" t="s">
        <v>4672</v>
      </c>
    </row>
    <row r="1566">
      <c r="B1566" s="24"/>
      <c r="C1566" s="24"/>
      <c r="D1566" s="24"/>
      <c r="E1566" s="24"/>
      <c r="G1566" s="143"/>
      <c r="H1566" s="24"/>
      <c r="K1566" s="25"/>
      <c r="L1566" s="25"/>
      <c r="M1566" s="77"/>
      <c r="N1566" s="24" t="s">
        <v>4673</v>
      </c>
    </row>
    <row r="1567">
      <c r="B1567" s="24"/>
      <c r="C1567" s="24"/>
      <c r="D1567" s="24"/>
      <c r="E1567" s="24"/>
      <c r="G1567" s="143"/>
      <c r="H1567" s="24"/>
      <c r="K1567" s="25"/>
      <c r="L1567" s="25"/>
      <c r="M1567" s="77"/>
      <c r="N1567" s="24" t="s">
        <v>4674</v>
      </c>
    </row>
    <row r="1568">
      <c r="B1568" s="24"/>
      <c r="C1568" s="24"/>
      <c r="D1568" s="24"/>
      <c r="E1568" s="24"/>
      <c r="G1568" s="143"/>
      <c r="H1568" s="24"/>
      <c r="K1568" s="25"/>
      <c r="L1568" s="25"/>
      <c r="M1568" s="77"/>
      <c r="N1568" s="24" t="s">
        <v>4675</v>
      </c>
    </row>
    <row r="1569">
      <c r="B1569" s="24"/>
      <c r="C1569" s="24"/>
      <c r="D1569" s="24"/>
      <c r="E1569" s="24"/>
      <c r="G1569" s="143"/>
      <c r="H1569" s="24"/>
      <c r="K1569" s="25"/>
      <c r="L1569" s="25"/>
      <c r="M1569" s="77"/>
      <c r="N1569" s="24" t="s">
        <v>4676</v>
      </c>
    </row>
    <row r="1570">
      <c r="B1570" s="24"/>
      <c r="C1570" s="24"/>
      <c r="D1570" s="24"/>
      <c r="E1570" s="24"/>
      <c r="G1570" s="143"/>
      <c r="H1570" s="24"/>
      <c r="K1570" s="25"/>
      <c r="L1570" s="25"/>
      <c r="M1570" s="77"/>
      <c r="N1570" s="24" t="s">
        <v>4677</v>
      </c>
    </row>
    <row r="1571">
      <c r="B1571" s="24"/>
      <c r="C1571" s="24"/>
      <c r="D1571" s="24"/>
      <c r="E1571" s="24"/>
      <c r="G1571" s="143"/>
      <c r="H1571" s="24"/>
      <c r="K1571" s="25"/>
      <c r="L1571" s="25"/>
      <c r="M1571" s="77"/>
      <c r="N1571" s="24" t="s">
        <v>4678</v>
      </c>
    </row>
    <row r="1572">
      <c r="B1572" s="24"/>
      <c r="C1572" s="24"/>
      <c r="D1572" s="24"/>
      <c r="E1572" s="24"/>
      <c r="G1572" s="143"/>
      <c r="H1572" s="24"/>
      <c r="K1572" s="25"/>
      <c r="L1572" s="25"/>
      <c r="M1572" s="77"/>
      <c r="N1572" s="24" t="s">
        <v>4679</v>
      </c>
    </row>
    <row r="1573">
      <c r="B1573" s="24"/>
      <c r="C1573" s="24"/>
      <c r="D1573" s="24"/>
      <c r="E1573" s="24"/>
      <c r="G1573" s="143"/>
      <c r="H1573" s="24"/>
      <c r="K1573" s="25"/>
      <c r="L1573" s="25"/>
      <c r="M1573" s="77"/>
      <c r="N1573" s="24" t="s">
        <v>4680</v>
      </c>
    </row>
    <row r="1574">
      <c r="B1574" s="24"/>
      <c r="C1574" s="24"/>
      <c r="D1574" s="24"/>
      <c r="E1574" s="24"/>
      <c r="G1574" s="143"/>
      <c r="H1574" s="24"/>
      <c r="K1574" s="25"/>
      <c r="L1574" s="25"/>
      <c r="M1574" s="77"/>
      <c r="N1574" s="24" t="s">
        <v>4681</v>
      </c>
    </row>
    <row r="1575">
      <c r="B1575" s="24"/>
      <c r="C1575" s="24"/>
      <c r="D1575" s="24"/>
      <c r="E1575" s="24"/>
      <c r="G1575" s="143"/>
      <c r="H1575" s="24"/>
      <c r="K1575" s="25"/>
      <c r="L1575" s="25"/>
      <c r="M1575" s="77"/>
      <c r="N1575" s="24" t="s">
        <v>4682</v>
      </c>
    </row>
    <row r="1576">
      <c r="B1576" s="24"/>
      <c r="C1576" s="24"/>
      <c r="D1576" s="24"/>
      <c r="E1576" s="24"/>
      <c r="G1576" s="143"/>
      <c r="H1576" s="24"/>
      <c r="K1576" s="25"/>
      <c r="L1576" s="25"/>
      <c r="M1576" s="77"/>
      <c r="N1576" s="24" t="s">
        <v>4683</v>
      </c>
    </row>
    <row r="1577">
      <c r="B1577" s="24"/>
      <c r="C1577" s="24"/>
      <c r="D1577" s="24"/>
      <c r="E1577" s="24"/>
      <c r="G1577" s="143"/>
      <c r="H1577" s="24"/>
      <c r="K1577" s="25"/>
      <c r="L1577" s="25"/>
      <c r="M1577" s="77"/>
      <c r="N1577" s="24" t="s">
        <v>4684</v>
      </c>
    </row>
    <row r="1578">
      <c r="B1578" s="24"/>
      <c r="C1578" s="24"/>
      <c r="D1578" s="24"/>
      <c r="E1578" s="24"/>
      <c r="G1578" s="143"/>
      <c r="H1578" s="24"/>
      <c r="K1578" s="25"/>
      <c r="L1578" s="25"/>
      <c r="M1578" s="77"/>
      <c r="N1578" s="24" t="s">
        <v>4685</v>
      </c>
    </row>
    <row r="1579">
      <c r="B1579" s="24"/>
      <c r="C1579" s="24"/>
      <c r="D1579" s="24"/>
      <c r="E1579" s="24"/>
      <c r="G1579" s="143"/>
      <c r="H1579" s="24"/>
      <c r="K1579" s="25"/>
      <c r="L1579" s="25"/>
      <c r="M1579" s="77"/>
      <c r="N1579" s="24" t="s">
        <v>4686</v>
      </c>
    </row>
    <row r="1580">
      <c r="B1580" s="24"/>
      <c r="C1580" s="24"/>
      <c r="D1580" s="24"/>
      <c r="E1580" s="24"/>
      <c r="G1580" s="143"/>
      <c r="H1580" s="24"/>
      <c r="K1580" s="25"/>
      <c r="L1580" s="25"/>
      <c r="M1580" s="77"/>
      <c r="N1580" s="24" t="s">
        <v>4687</v>
      </c>
    </row>
    <row r="1581">
      <c r="B1581" s="24"/>
      <c r="C1581" s="24"/>
      <c r="D1581" s="24"/>
      <c r="E1581" s="24"/>
      <c r="G1581" s="143"/>
      <c r="H1581" s="24"/>
      <c r="K1581" s="25"/>
      <c r="L1581" s="25"/>
      <c r="M1581" s="77"/>
      <c r="N1581" s="24" t="s">
        <v>4688</v>
      </c>
    </row>
    <row r="1582">
      <c r="B1582" s="24"/>
      <c r="C1582" s="24"/>
      <c r="D1582" s="24"/>
      <c r="E1582" s="24"/>
      <c r="G1582" s="143"/>
      <c r="H1582" s="24"/>
      <c r="K1582" s="25"/>
      <c r="L1582" s="25"/>
      <c r="M1582" s="77"/>
      <c r="N1582" s="24" t="s">
        <v>4689</v>
      </c>
    </row>
    <row r="1583">
      <c r="B1583" s="24"/>
      <c r="C1583" s="24"/>
      <c r="D1583" s="24"/>
      <c r="E1583" s="24"/>
      <c r="G1583" s="143"/>
      <c r="H1583" s="24"/>
      <c r="K1583" s="25"/>
      <c r="L1583" s="25"/>
      <c r="M1583" s="77"/>
      <c r="N1583" s="24" t="s">
        <v>4690</v>
      </c>
    </row>
    <row r="1584">
      <c r="B1584" s="24"/>
      <c r="C1584" s="24"/>
      <c r="D1584" s="24"/>
      <c r="E1584" s="24"/>
      <c r="G1584" s="143"/>
      <c r="H1584" s="24"/>
      <c r="K1584" s="25"/>
      <c r="L1584" s="25"/>
      <c r="M1584" s="77"/>
      <c r="N1584" s="24" t="s">
        <v>4691</v>
      </c>
    </row>
    <row r="1585">
      <c r="B1585" s="24"/>
      <c r="C1585" s="24"/>
      <c r="D1585" s="24"/>
      <c r="E1585" s="24"/>
      <c r="G1585" s="143"/>
      <c r="H1585" s="24"/>
      <c r="K1585" s="25"/>
      <c r="L1585" s="25"/>
      <c r="M1585" s="77"/>
      <c r="N1585" s="24" t="s">
        <v>4692</v>
      </c>
    </row>
    <row r="1586">
      <c r="B1586" s="24"/>
      <c r="C1586" s="24"/>
      <c r="D1586" s="24"/>
      <c r="E1586" s="24"/>
      <c r="G1586" s="143"/>
      <c r="H1586" s="24"/>
      <c r="K1586" s="25"/>
      <c r="L1586" s="25"/>
      <c r="M1586" s="77"/>
      <c r="N1586" s="24" t="s">
        <v>4693</v>
      </c>
    </row>
    <row r="1587">
      <c r="B1587" s="24"/>
      <c r="C1587" s="24"/>
      <c r="D1587" s="24"/>
      <c r="E1587" s="24"/>
      <c r="G1587" s="143"/>
      <c r="H1587" s="24"/>
      <c r="K1587" s="25"/>
      <c r="L1587" s="25"/>
      <c r="M1587" s="77"/>
      <c r="N1587" s="24" t="s">
        <v>4694</v>
      </c>
    </row>
    <row r="1588">
      <c r="B1588" s="24"/>
      <c r="C1588" s="24"/>
      <c r="D1588" s="24"/>
      <c r="E1588" s="24"/>
      <c r="G1588" s="143"/>
      <c r="H1588" s="24"/>
      <c r="K1588" s="25"/>
      <c r="L1588" s="25"/>
      <c r="M1588" s="77"/>
      <c r="N1588" s="24" t="s">
        <v>4695</v>
      </c>
    </row>
    <row r="1589">
      <c r="B1589" s="24"/>
      <c r="C1589" s="24"/>
      <c r="D1589" s="24"/>
      <c r="E1589" s="24"/>
      <c r="G1589" s="143"/>
      <c r="H1589" s="24"/>
      <c r="K1589" s="25"/>
      <c r="L1589" s="25"/>
      <c r="M1589" s="77"/>
      <c r="N1589" s="24" t="s">
        <v>4696</v>
      </c>
    </row>
    <row r="1590">
      <c r="B1590" s="24"/>
      <c r="C1590" s="24"/>
      <c r="D1590" s="24"/>
      <c r="E1590" s="24"/>
      <c r="G1590" s="143"/>
      <c r="H1590" s="24"/>
      <c r="K1590" s="25"/>
      <c r="L1590" s="25"/>
      <c r="M1590" s="77"/>
      <c r="N1590" s="24" t="s">
        <v>4697</v>
      </c>
    </row>
    <row r="1591">
      <c r="B1591" s="24"/>
      <c r="C1591" s="24"/>
      <c r="D1591" s="24"/>
      <c r="E1591" s="24"/>
      <c r="G1591" s="143"/>
      <c r="H1591" s="24"/>
      <c r="K1591" s="25"/>
      <c r="L1591" s="25"/>
      <c r="M1591" s="77"/>
      <c r="N1591" s="24" t="s">
        <v>4698</v>
      </c>
    </row>
    <row r="1592">
      <c r="B1592" s="24"/>
      <c r="C1592" s="24"/>
      <c r="D1592" s="24"/>
      <c r="E1592" s="24"/>
      <c r="G1592" s="143"/>
      <c r="H1592" s="24"/>
      <c r="K1592" s="25"/>
      <c r="L1592" s="25"/>
      <c r="M1592" s="77"/>
      <c r="N1592" s="24" t="s">
        <v>4699</v>
      </c>
    </row>
    <row r="1593">
      <c r="B1593" s="24"/>
      <c r="C1593" s="24"/>
      <c r="D1593" s="24"/>
      <c r="E1593" s="24"/>
      <c r="G1593" s="143"/>
      <c r="H1593" s="24"/>
      <c r="K1593" s="25"/>
      <c r="L1593" s="25"/>
      <c r="M1593" s="77"/>
      <c r="N1593" s="24" t="s">
        <v>4700</v>
      </c>
    </row>
    <row r="1594">
      <c r="B1594" s="24"/>
      <c r="C1594" s="24"/>
      <c r="D1594" s="24"/>
      <c r="E1594" s="24"/>
      <c r="G1594" s="143"/>
      <c r="H1594" s="24"/>
      <c r="K1594" s="25"/>
      <c r="L1594" s="25"/>
      <c r="M1594" s="77"/>
      <c r="N1594" s="24" t="s">
        <v>4701</v>
      </c>
    </row>
    <row r="1595">
      <c r="B1595" s="24"/>
      <c r="C1595" s="24"/>
      <c r="D1595" s="24"/>
      <c r="E1595" s="24"/>
      <c r="G1595" s="143"/>
      <c r="H1595" s="24"/>
      <c r="K1595" s="25"/>
      <c r="L1595" s="25"/>
      <c r="M1595" s="77"/>
      <c r="N1595" s="24" t="s">
        <v>4702</v>
      </c>
    </row>
    <row r="1596">
      <c r="B1596" s="24"/>
      <c r="C1596" s="24"/>
      <c r="D1596" s="24"/>
      <c r="E1596" s="24"/>
      <c r="G1596" s="143"/>
      <c r="H1596" s="24"/>
      <c r="K1596" s="25"/>
      <c r="L1596" s="25"/>
      <c r="M1596" s="77"/>
      <c r="N1596" s="24" t="s">
        <v>4703</v>
      </c>
    </row>
    <row r="1597">
      <c r="B1597" s="24"/>
      <c r="C1597" s="24"/>
      <c r="D1597" s="24"/>
      <c r="E1597" s="24"/>
      <c r="G1597" s="143"/>
      <c r="H1597" s="24"/>
      <c r="K1597" s="25"/>
      <c r="L1597" s="25"/>
      <c r="M1597" s="77"/>
      <c r="N1597" s="24" t="s">
        <v>4704</v>
      </c>
    </row>
    <row r="1598">
      <c r="B1598" s="24"/>
      <c r="C1598" s="24"/>
      <c r="D1598" s="24"/>
      <c r="E1598" s="24"/>
      <c r="G1598" s="143"/>
      <c r="H1598" s="24"/>
      <c r="K1598" s="25"/>
      <c r="L1598" s="25"/>
      <c r="M1598" s="77"/>
      <c r="N1598" s="24" t="s">
        <v>4705</v>
      </c>
    </row>
    <row r="1599">
      <c r="B1599" s="24"/>
      <c r="C1599" s="24"/>
      <c r="D1599" s="24"/>
      <c r="E1599" s="24"/>
      <c r="G1599" s="143"/>
      <c r="H1599" s="24"/>
      <c r="K1599" s="25"/>
      <c r="L1599" s="25"/>
      <c r="M1599" s="77"/>
      <c r="N1599" s="24" t="s">
        <v>4706</v>
      </c>
    </row>
    <row r="1600">
      <c r="B1600" s="24"/>
      <c r="C1600" s="24"/>
      <c r="D1600" s="24"/>
      <c r="E1600" s="24"/>
      <c r="G1600" s="143"/>
      <c r="H1600" s="24"/>
      <c r="K1600" s="25"/>
      <c r="L1600" s="25"/>
      <c r="M1600" s="77"/>
      <c r="N1600" s="24" t="s">
        <v>4707</v>
      </c>
    </row>
    <row r="1601">
      <c r="B1601" s="24"/>
      <c r="C1601" s="24"/>
      <c r="D1601" s="24"/>
      <c r="E1601" s="24"/>
      <c r="G1601" s="143"/>
      <c r="H1601" s="24"/>
      <c r="K1601" s="25"/>
      <c r="L1601" s="25"/>
      <c r="M1601" s="77"/>
      <c r="N1601" s="24" t="s">
        <v>4708</v>
      </c>
    </row>
    <row r="1602">
      <c r="B1602" s="24"/>
      <c r="C1602" s="24"/>
      <c r="D1602" s="24"/>
      <c r="E1602" s="24"/>
      <c r="G1602" s="143"/>
      <c r="H1602" s="24"/>
      <c r="K1602" s="25"/>
      <c r="L1602" s="25"/>
      <c r="M1602" s="77"/>
      <c r="N1602" s="24" t="s">
        <v>4709</v>
      </c>
    </row>
    <row r="1603">
      <c r="B1603" s="24"/>
      <c r="C1603" s="24"/>
      <c r="D1603" s="24"/>
      <c r="E1603" s="24"/>
      <c r="G1603" s="143"/>
      <c r="H1603" s="24"/>
      <c r="K1603" s="25"/>
      <c r="L1603" s="25"/>
      <c r="M1603" s="77"/>
      <c r="N1603" s="24" t="s">
        <v>4710</v>
      </c>
    </row>
    <row r="1604">
      <c r="B1604" s="24"/>
      <c r="C1604" s="24"/>
      <c r="D1604" s="24"/>
      <c r="E1604" s="24"/>
      <c r="G1604" s="143"/>
      <c r="H1604" s="24"/>
      <c r="K1604" s="25"/>
      <c r="L1604" s="25"/>
      <c r="M1604" s="77"/>
      <c r="N1604" s="24" t="s">
        <v>4711</v>
      </c>
    </row>
    <row r="1605">
      <c r="B1605" s="24"/>
      <c r="C1605" s="24"/>
      <c r="D1605" s="24"/>
      <c r="E1605" s="24"/>
      <c r="G1605" s="143"/>
      <c r="H1605" s="24"/>
      <c r="K1605" s="25"/>
      <c r="L1605" s="25"/>
      <c r="M1605" s="77"/>
      <c r="N1605" s="24" t="s">
        <v>4712</v>
      </c>
    </row>
    <row r="1606">
      <c r="B1606" s="24"/>
      <c r="C1606" s="24"/>
      <c r="D1606" s="24"/>
      <c r="E1606" s="24"/>
      <c r="G1606" s="143"/>
      <c r="H1606" s="24"/>
      <c r="K1606" s="25"/>
      <c r="L1606" s="25"/>
      <c r="M1606" s="77"/>
      <c r="N1606" s="24" t="s">
        <v>4713</v>
      </c>
    </row>
    <row r="1607">
      <c r="B1607" s="24"/>
      <c r="C1607" s="24"/>
      <c r="D1607" s="24"/>
      <c r="E1607" s="24"/>
      <c r="G1607" s="143"/>
      <c r="H1607" s="24"/>
      <c r="K1607" s="25"/>
      <c r="L1607" s="25"/>
      <c r="M1607" s="77"/>
      <c r="N1607" s="24" t="s">
        <v>4714</v>
      </c>
    </row>
    <row r="1608">
      <c r="B1608" s="24"/>
      <c r="C1608" s="24"/>
      <c r="D1608" s="24"/>
      <c r="E1608" s="24"/>
      <c r="G1608" s="143"/>
      <c r="H1608" s="24"/>
      <c r="K1608" s="25"/>
      <c r="L1608" s="25"/>
      <c r="M1608" s="77"/>
      <c r="N1608" s="24" t="s">
        <v>4715</v>
      </c>
    </row>
    <row r="1609">
      <c r="B1609" s="24"/>
      <c r="C1609" s="24"/>
      <c r="D1609" s="24"/>
      <c r="E1609" s="24"/>
      <c r="G1609" s="143"/>
      <c r="H1609" s="24"/>
      <c r="K1609" s="25"/>
      <c r="L1609" s="25"/>
      <c r="M1609" s="77"/>
      <c r="N1609" s="24" t="s">
        <v>4716</v>
      </c>
    </row>
    <row r="1610">
      <c r="B1610" s="24"/>
      <c r="C1610" s="24"/>
      <c r="D1610" s="24"/>
      <c r="E1610" s="24"/>
      <c r="G1610" s="143"/>
      <c r="H1610" s="24"/>
      <c r="K1610" s="25"/>
      <c r="L1610" s="25"/>
      <c r="M1610" s="77"/>
      <c r="N1610" s="24" t="s">
        <v>4717</v>
      </c>
    </row>
    <row r="1611">
      <c r="B1611" s="24"/>
      <c r="C1611" s="24"/>
      <c r="D1611" s="24"/>
      <c r="E1611" s="24"/>
      <c r="G1611" s="143"/>
      <c r="H1611" s="24"/>
      <c r="K1611" s="25"/>
      <c r="L1611" s="25"/>
      <c r="M1611" s="77"/>
      <c r="N1611" s="24" t="s">
        <v>4718</v>
      </c>
    </row>
    <row r="1612">
      <c r="B1612" s="24"/>
      <c r="C1612" s="24"/>
      <c r="D1612" s="24"/>
      <c r="E1612" s="24"/>
      <c r="G1612" s="143"/>
      <c r="H1612" s="24"/>
      <c r="K1612" s="25"/>
      <c r="L1612" s="25"/>
      <c r="M1612" s="77"/>
      <c r="N1612" s="24" t="s">
        <v>4719</v>
      </c>
    </row>
    <row r="1613">
      <c r="B1613" s="24"/>
      <c r="C1613" s="24"/>
      <c r="D1613" s="24"/>
      <c r="E1613" s="24"/>
      <c r="G1613" s="143"/>
      <c r="H1613" s="24"/>
      <c r="K1613" s="25"/>
      <c r="L1613" s="25"/>
      <c r="M1613" s="77"/>
      <c r="N1613" s="24" t="s">
        <v>4720</v>
      </c>
    </row>
    <row r="1614">
      <c r="B1614" s="24"/>
      <c r="C1614" s="24"/>
      <c r="D1614" s="24"/>
      <c r="E1614" s="24"/>
      <c r="G1614" s="143"/>
      <c r="H1614" s="24"/>
      <c r="K1614" s="25"/>
      <c r="L1614" s="25"/>
      <c r="M1614" s="77"/>
      <c r="N1614" s="24" t="s">
        <v>4721</v>
      </c>
    </row>
    <row r="1615">
      <c r="B1615" s="24"/>
      <c r="C1615" s="24"/>
      <c r="D1615" s="24"/>
      <c r="E1615" s="24"/>
      <c r="G1615" s="143"/>
      <c r="H1615" s="24"/>
      <c r="K1615" s="25"/>
      <c r="L1615" s="25"/>
      <c r="M1615" s="77"/>
      <c r="N1615" s="24" t="s">
        <v>4722</v>
      </c>
    </row>
    <row r="1616">
      <c r="B1616" s="24"/>
      <c r="C1616" s="24"/>
      <c r="D1616" s="24"/>
      <c r="E1616" s="24"/>
      <c r="G1616" s="143"/>
      <c r="H1616" s="24"/>
      <c r="K1616" s="25"/>
      <c r="L1616" s="25"/>
      <c r="M1616" s="77"/>
      <c r="N1616" s="24" t="s">
        <v>4723</v>
      </c>
    </row>
    <row r="1617">
      <c r="B1617" s="24"/>
      <c r="C1617" s="24"/>
      <c r="D1617" s="24"/>
      <c r="E1617" s="24"/>
      <c r="G1617" s="143"/>
      <c r="H1617" s="24"/>
      <c r="K1617" s="25"/>
      <c r="L1617" s="25"/>
      <c r="M1617" s="77"/>
      <c r="N1617" s="24" t="s">
        <v>4724</v>
      </c>
    </row>
    <row r="1618">
      <c r="B1618" s="24"/>
      <c r="C1618" s="24"/>
      <c r="D1618" s="24"/>
      <c r="E1618" s="24"/>
      <c r="G1618" s="143"/>
      <c r="H1618" s="24"/>
      <c r="K1618" s="25"/>
      <c r="L1618" s="25"/>
      <c r="M1618" s="77"/>
      <c r="N1618" s="24" t="s">
        <v>4725</v>
      </c>
    </row>
    <row r="1619">
      <c r="B1619" s="24"/>
      <c r="C1619" s="24"/>
      <c r="D1619" s="24"/>
      <c r="E1619" s="24"/>
      <c r="G1619" s="143"/>
      <c r="H1619" s="24"/>
      <c r="K1619" s="25"/>
      <c r="L1619" s="25"/>
      <c r="M1619" s="77"/>
      <c r="N1619" s="24" t="s">
        <v>4726</v>
      </c>
    </row>
    <row r="1620">
      <c r="B1620" s="24"/>
      <c r="C1620" s="24"/>
      <c r="D1620" s="24"/>
      <c r="E1620" s="24"/>
      <c r="G1620" s="143"/>
      <c r="H1620" s="24"/>
      <c r="K1620" s="25"/>
      <c r="L1620" s="25"/>
      <c r="M1620" s="77"/>
      <c r="N1620" s="24" t="s">
        <v>4727</v>
      </c>
    </row>
    <row r="1621">
      <c r="B1621" s="24"/>
      <c r="C1621" s="24"/>
      <c r="D1621" s="24"/>
      <c r="E1621" s="24"/>
      <c r="G1621" s="143"/>
      <c r="H1621" s="24"/>
      <c r="K1621" s="25"/>
      <c r="L1621" s="25"/>
      <c r="M1621" s="77"/>
      <c r="N1621" s="24" t="s">
        <v>4728</v>
      </c>
    </row>
    <row r="1622">
      <c r="B1622" s="24"/>
      <c r="C1622" s="24"/>
      <c r="D1622" s="24"/>
      <c r="E1622" s="24"/>
      <c r="G1622" s="143"/>
      <c r="H1622" s="24"/>
      <c r="K1622" s="25"/>
      <c r="L1622" s="25"/>
      <c r="M1622" s="77"/>
      <c r="N1622" s="24" t="s">
        <v>4729</v>
      </c>
    </row>
    <row r="1623">
      <c r="B1623" s="24"/>
      <c r="C1623" s="24"/>
      <c r="D1623" s="24"/>
      <c r="E1623" s="24"/>
      <c r="G1623" s="143"/>
      <c r="H1623" s="24"/>
      <c r="K1623" s="25"/>
      <c r="L1623" s="25"/>
      <c r="M1623" s="77"/>
      <c r="N1623" s="24" t="s">
        <v>4730</v>
      </c>
    </row>
    <row r="1624">
      <c r="B1624" s="24"/>
      <c r="C1624" s="24"/>
      <c r="D1624" s="24"/>
      <c r="E1624" s="24"/>
      <c r="G1624" s="143"/>
      <c r="H1624" s="24"/>
      <c r="K1624" s="25"/>
      <c r="L1624" s="25"/>
      <c r="M1624" s="77"/>
      <c r="N1624" s="24" t="s">
        <v>4731</v>
      </c>
    </row>
    <row r="1625">
      <c r="B1625" s="24"/>
      <c r="C1625" s="24"/>
      <c r="D1625" s="24"/>
      <c r="E1625" s="24"/>
      <c r="G1625" s="143"/>
      <c r="H1625" s="24"/>
      <c r="K1625" s="25"/>
      <c r="L1625" s="25"/>
      <c r="M1625" s="77"/>
      <c r="N1625" s="24" t="s">
        <v>4732</v>
      </c>
    </row>
    <row r="1626">
      <c r="B1626" s="24"/>
      <c r="C1626" s="24"/>
      <c r="D1626" s="24"/>
      <c r="E1626" s="24"/>
      <c r="G1626" s="143"/>
      <c r="H1626" s="24"/>
      <c r="K1626" s="25"/>
      <c r="L1626" s="25"/>
      <c r="M1626" s="77"/>
      <c r="N1626" s="24" t="s">
        <v>4733</v>
      </c>
    </row>
    <row r="1627">
      <c r="B1627" s="24"/>
      <c r="C1627" s="24"/>
      <c r="D1627" s="24"/>
      <c r="E1627" s="24"/>
      <c r="G1627" s="143"/>
      <c r="H1627" s="24"/>
      <c r="K1627" s="25"/>
      <c r="L1627" s="25"/>
      <c r="M1627" s="77"/>
      <c r="N1627" s="24" t="s">
        <v>4734</v>
      </c>
    </row>
    <row r="1628">
      <c r="B1628" s="24"/>
      <c r="C1628" s="24"/>
      <c r="D1628" s="24"/>
      <c r="E1628" s="24"/>
      <c r="G1628" s="143"/>
      <c r="H1628" s="24"/>
      <c r="K1628" s="25"/>
      <c r="L1628" s="25"/>
      <c r="M1628" s="77"/>
      <c r="N1628" s="24" t="s">
        <v>4735</v>
      </c>
    </row>
    <row r="1629">
      <c r="B1629" s="24"/>
      <c r="C1629" s="24"/>
      <c r="D1629" s="24"/>
      <c r="E1629" s="24"/>
      <c r="G1629" s="143"/>
      <c r="H1629" s="24"/>
      <c r="K1629" s="25"/>
      <c r="L1629" s="25"/>
      <c r="M1629" s="77"/>
      <c r="N1629" s="24" t="s">
        <v>4736</v>
      </c>
    </row>
    <row r="1630">
      <c r="B1630" s="24"/>
      <c r="C1630" s="24"/>
      <c r="D1630" s="24"/>
      <c r="E1630" s="24"/>
      <c r="G1630" s="143"/>
      <c r="H1630" s="24"/>
      <c r="K1630" s="25"/>
      <c r="L1630" s="25"/>
      <c r="M1630" s="77"/>
      <c r="N1630" s="24" t="s">
        <v>4737</v>
      </c>
    </row>
    <row r="1631">
      <c r="B1631" s="24"/>
      <c r="C1631" s="24"/>
      <c r="D1631" s="24"/>
      <c r="E1631" s="24"/>
      <c r="G1631" s="143"/>
      <c r="H1631" s="24"/>
      <c r="K1631" s="25"/>
      <c r="L1631" s="25"/>
      <c r="M1631" s="77"/>
      <c r="N1631" s="24" t="s">
        <v>4738</v>
      </c>
    </row>
    <row r="1632">
      <c r="B1632" s="24"/>
      <c r="C1632" s="24"/>
      <c r="D1632" s="24"/>
      <c r="E1632" s="24"/>
      <c r="G1632" s="143"/>
      <c r="H1632" s="24"/>
      <c r="K1632" s="25"/>
      <c r="L1632" s="25"/>
      <c r="M1632" s="77"/>
      <c r="N1632" s="24" t="s">
        <v>4739</v>
      </c>
    </row>
    <row r="1633">
      <c r="B1633" s="24"/>
      <c r="C1633" s="24"/>
      <c r="D1633" s="24"/>
      <c r="E1633" s="24"/>
      <c r="G1633" s="143"/>
      <c r="H1633" s="24"/>
      <c r="K1633" s="25"/>
      <c r="L1633" s="25"/>
      <c r="M1633" s="77"/>
      <c r="N1633" s="24" t="s">
        <v>4740</v>
      </c>
    </row>
    <row r="1634">
      <c r="B1634" s="24"/>
      <c r="C1634" s="24"/>
      <c r="D1634" s="24"/>
      <c r="E1634" s="24"/>
      <c r="G1634" s="143"/>
      <c r="H1634" s="24"/>
      <c r="K1634" s="25"/>
      <c r="L1634" s="25"/>
      <c r="M1634" s="77"/>
      <c r="N1634" s="24" t="s">
        <v>4741</v>
      </c>
    </row>
    <row r="1635">
      <c r="B1635" s="24"/>
      <c r="C1635" s="24"/>
      <c r="D1635" s="24"/>
      <c r="E1635" s="24"/>
      <c r="G1635" s="143"/>
      <c r="H1635" s="24"/>
      <c r="K1635" s="25"/>
      <c r="L1635" s="25"/>
      <c r="M1635" s="77"/>
      <c r="N1635" s="24" t="s">
        <v>4742</v>
      </c>
    </row>
    <row r="1636">
      <c r="B1636" s="24"/>
      <c r="C1636" s="24"/>
      <c r="D1636" s="24"/>
      <c r="E1636" s="24"/>
      <c r="G1636" s="143"/>
      <c r="H1636" s="24"/>
      <c r="K1636" s="25"/>
      <c r="L1636" s="25"/>
      <c r="M1636" s="77"/>
      <c r="N1636" s="24" t="s">
        <v>4743</v>
      </c>
    </row>
    <row r="1637">
      <c r="B1637" s="24"/>
      <c r="C1637" s="24"/>
      <c r="D1637" s="24"/>
      <c r="E1637" s="24"/>
      <c r="G1637" s="143"/>
      <c r="H1637" s="24"/>
      <c r="K1637" s="25"/>
      <c r="L1637" s="25"/>
      <c r="M1637" s="77"/>
      <c r="N1637" s="24" t="s">
        <v>4744</v>
      </c>
    </row>
    <row r="1638">
      <c r="B1638" s="24"/>
      <c r="C1638" s="24"/>
      <c r="D1638" s="24"/>
      <c r="E1638" s="24"/>
      <c r="G1638" s="143"/>
      <c r="H1638" s="24"/>
      <c r="K1638" s="25"/>
      <c r="L1638" s="25"/>
      <c r="M1638" s="77"/>
      <c r="N1638" s="24" t="s">
        <v>4745</v>
      </c>
    </row>
    <row r="1639">
      <c r="B1639" s="24"/>
      <c r="C1639" s="24"/>
      <c r="D1639" s="24"/>
      <c r="E1639" s="24"/>
      <c r="G1639" s="143"/>
      <c r="H1639" s="24"/>
      <c r="K1639" s="25"/>
      <c r="L1639" s="25"/>
      <c r="M1639" s="77"/>
      <c r="N1639" s="24" t="s">
        <v>4746</v>
      </c>
    </row>
    <row r="1640">
      <c r="B1640" s="24"/>
      <c r="C1640" s="24"/>
      <c r="D1640" s="24"/>
      <c r="E1640" s="24"/>
      <c r="G1640" s="143"/>
      <c r="H1640" s="24"/>
      <c r="K1640" s="25"/>
      <c r="L1640" s="25"/>
      <c r="M1640" s="77"/>
      <c r="N1640" s="24" t="s">
        <v>4544</v>
      </c>
    </row>
    <row r="1641">
      <c r="B1641" s="24"/>
      <c r="C1641" s="24"/>
      <c r="D1641" s="24"/>
      <c r="E1641" s="24"/>
      <c r="G1641" s="143"/>
      <c r="H1641" s="24"/>
      <c r="K1641" s="25"/>
      <c r="L1641" s="25"/>
      <c r="M1641" s="77"/>
      <c r="N1641" s="24" t="s">
        <v>4747</v>
      </c>
    </row>
    <row r="1642">
      <c r="B1642" s="24"/>
      <c r="C1642" s="24"/>
      <c r="D1642" s="24"/>
      <c r="E1642" s="24"/>
      <c r="G1642" s="143"/>
      <c r="H1642" s="24"/>
      <c r="K1642" s="25"/>
      <c r="L1642" s="25"/>
      <c r="M1642" s="77"/>
      <c r="N1642" s="24" t="s">
        <v>4748</v>
      </c>
    </row>
    <row r="1643">
      <c r="B1643" s="24"/>
      <c r="C1643" s="24"/>
      <c r="D1643" s="24"/>
      <c r="E1643" s="24"/>
      <c r="G1643" s="143"/>
      <c r="H1643" s="24"/>
      <c r="K1643" s="25"/>
      <c r="L1643" s="25"/>
      <c r="M1643" s="77"/>
      <c r="N1643" s="24" t="s">
        <v>4749</v>
      </c>
    </row>
    <row r="1644">
      <c r="B1644" s="24"/>
      <c r="C1644" s="24"/>
      <c r="D1644" s="24"/>
      <c r="E1644" s="24"/>
      <c r="G1644" s="143"/>
      <c r="H1644" s="24"/>
      <c r="K1644" s="25"/>
      <c r="L1644" s="25"/>
      <c r="M1644" s="77"/>
      <c r="N1644" s="24" t="s">
        <v>4750</v>
      </c>
    </row>
    <row r="1645">
      <c r="B1645" s="24"/>
      <c r="C1645" s="24"/>
      <c r="D1645" s="24"/>
      <c r="E1645" s="24"/>
      <c r="G1645" s="143"/>
      <c r="H1645" s="24"/>
      <c r="K1645" s="25"/>
      <c r="L1645" s="25"/>
      <c r="M1645" s="77"/>
      <c r="N1645" s="24" t="s">
        <v>4751</v>
      </c>
    </row>
    <row r="1646">
      <c r="B1646" s="24"/>
      <c r="C1646" s="24"/>
      <c r="D1646" s="24"/>
      <c r="E1646" s="24"/>
      <c r="G1646" s="143"/>
      <c r="H1646" s="24"/>
      <c r="K1646" s="25"/>
      <c r="L1646" s="25"/>
      <c r="M1646" s="77"/>
      <c r="N1646" s="24" t="s">
        <v>4752</v>
      </c>
    </row>
    <row r="1647">
      <c r="B1647" s="24"/>
      <c r="C1647" s="24"/>
      <c r="D1647" s="24"/>
      <c r="E1647" s="24"/>
      <c r="G1647" s="143"/>
      <c r="H1647" s="24"/>
      <c r="K1647" s="25"/>
      <c r="L1647" s="25"/>
      <c r="M1647" s="77"/>
      <c r="N1647" s="24" t="s">
        <v>4753</v>
      </c>
    </row>
    <row r="1648">
      <c r="B1648" s="24"/>
      <c r="C1648" s="24"/>
      <c r="D1648" s="24"/>
      <c r="E1648" s="24"/>
      <c r="G1648" s="143"/>
      <c r="H1648" s="24"/>
      <c r="K1648" s="25"/>
      <c r="L1648" s="25"/>
      <c r="M1648" s="77"/>
      <c r="N1648" s="24" t="s">
        <v>4754</v>
      </c>
    </row>
    <row r="1649">
      <c r="B1649" s="24"/>
      <c r="C1649" s="24"/>
      <c r="D1649" s="24"/>
      <c r="E1649" s="24"/>
      <c r="G1649" s="143"/>
      <c r="H1649" s="24"/>
      <c r="K1649" s="25"/>
      <c r="L1649" s="25"/>
      <c r="M1649" s="77"/>
      <c r="N1649" s="24" t="s">
        <v>4755</v>
      </c>
    </row>
    <row r="1650">
      <c r="B1650" s="24"/>
      <c r="C1650" s="24"/>
      <c r="D1650" s="24"/>
      <c r="E1650" s="24"/>
      <c r="G1650" s="143"/>
      <c r="H1650" s="24"/>
      <c r="K1650" s="25"/>
      <c r="L1650" s="25"/>
      <c r="M1650" s="77"/>
      <c r="N1650" s="24" t="s">
        <v>4756</v>
      </c>
    </row>
    <row r="1651">
      <c r="B1651" s="24"/>
      <c r="C1651" s="24"/>
      <c r="D1651" s="24"/>
      <c r="E1651" s="24"/>
      <c r="G1651" s="143"/>
      <c r="H1651" s="24"/>
      <c r="K1651" s="25"/>
      <c r="L1651" s="25"/>
      <c r="M1651" s="77"/>
      <c r="N1651" s="24" t="s">
        <v>4757</v>
      </c>
    </row>
    <row r="1652">
      <c r="B1652" s="24"/>
      <c r="C1652" s="24"/>
      <c r="D1652" s="24"/>
      <c r="E1652" s="24"/>
      <c r="G1652" s="143"/>
      <c r="H1652" s="24"/>
      <c r="K1652" s="25"/>
      <c r="L1652" s="25"/>
      <c r="M1652" s="77"/>
      <c r="N1652" s="24" t="s">
        <v>4758</v>
      </c>
    </row>
    <row r="1653">
      <c r="B1653" s="24"/>
      <c r="C1653" s="24"/>
      <c r="D1653" s="24"/>
      <c r="E1653" s="24"/>
      <c r="G1653" s="143"/>
      <c r="H1653" s="24"/>
      <c r="K1653" s="25"/>
      <c r="L1653" s="25"/>
      <c r="M1653" s="77"/>
      <c r="N1653" s="24" t="s">
        <v>4759</v>
      </c>
    </row>
    <row r="1654">
      <c r="B1654" s="24"/>
      <c r="C1654" s="24"/>
      <c r="D1654" s="24"/>
      <c r="E1654" s="24"/>
      <c r="G1654" s="143"/>
      <c r="H1654" s="24"/>
      <c r="K1654" s="25"/>
      <c r="L1654" s="25"/>
      <c r="M1654" s="77"/>
      <c r="N1654" s="24" t="s">
        <v>4760</v>
      </c>
    </row>
    <row r="1655">
      <c r="B1655" s="24"/>
      <c r="C1655" s="24"/>
      <c r="D1655" s="24"/>
      <c r="E1655" s="24"/>
      <c r="G1655" s="143"/>
      <c r="H1655" s="24"/>
      <c r="K1655" s="25"/>
      <c r="L1655" s="25"/>
      <c r="M1655" s="77"/>
      <c r="N1655" s="24" t="s">
        <v>4761</v>
      </c>
    </row>
    <row r="1656">
      <c r="B1656" s="24"/>
      <c r="C1656" s="24"/>
      <c r="D1656" s="24"/>
      <c r="E1656" s="24"/>
      <c r="G1656" s="143"/>
      <c r="H1656" s="24"/>
      <c r="K1656" s="25"/>
      <c r="L1656" s="25"/>
      <c r="M1656" s="77"/>
      <c r="N1656" s="24" t="s">
        <v>4762</v>
      </c>
    </row>
    <row r="1657">
      <c r="B1657" s="24"/>
      <c r="C1657" s="24"/>
      <c r="D1657" s="24"/>
      <c r="E1657" s="24"/>
      <c r="G1657" s="143"/>
      <c r="H1657" s="24"/>
      <c r="K1657" s="25"/>
      <c r="L1657" s="25"/>
      <c r="M1657" s="77"/>
      <c r="N1657" s="24" t="s">
        <v>4227</v>
      </c>
    </row>
    <row r="1658">
      <c r="B1658" s="24"/>
      <c r="C1658" s="24"/>
      <c r="D1658" s="24"/>
      <c r="E1658" s="24"/>
      <c r="G1658" s="143"/>
      <c r="H1658" s="24"/>
      <c r="K1658" s="25"/>
      <c r="L1658" s="25"/>
      <c r="M1658" s="77"/>
      <c r="N1658" s="24" t="s">
        <v>4763</v>
      </c>
    </row>
    <row r="1659">
      <c r="B1659" s="24"/>
      <c r="C1659" s="24"/>
      <c r="D1659" s="24"/>
      <c r="E1659" s="24"/>
      <c r="G1659" s="143"/>
      <c r="H1659" s="24"/>
      <c r="K1659" s="25"/>
      <c r="L1659" s="25"/>
      <c r="M1659" s="77"/>
      <c r="N1659" s="24" t="s">
        <v>4764</v>
      </c>
    </row>
    <row r="1660">
      <c r="B1660" s="24"/>
      <c r="C1660" s="24"/>
      <c r="D1660" s="24"/>
      <c r="E1660" s="24"/>
      <c r="G1660" s="143"/>
      <c r="H1660" s="24"/>
      <c r="K1660" s="25"/>
      <c r="L1660" s="25"/>
      <c r="M1660" s="77"/>
      <c r="N1660" s="24" t="s">
        <v>4765</v>
      </c>
    </row>
    <row r="1661">
      <c r="B1661" s="24"/>
      <c r="C1661" s="24"/>
      <c r="D1661" s="24"/>
      <c r="E1661" s="24"/>
      <c r="G1661" s="143"/>
      <c r="H1661" s="24"/>
      <c r="K1661" s="25"/>
      <c r="L1661" s="25"/>
      <c r="M1661" s="77"/>
      <c r="N1661" s="24" t="s">
        <v>4766</v>
      </c>
    </row>
    <row r="1662">
      <c r="B1662" s="24"/>
      <c r="C1662" s="24"/>
      <c r="D1662" s="24"/>
      <c r="E1662" s="24"/>
      <c r="G1662" s="143"/>
      <c r="H1662" s="24"/>
      <c r="K1662" s="25"/>
      <c r="L1662" s="25"/>
      <c r="M1662" s="77"/>
      <c r="N1662" s="24" t="s">
        <v>4767</v>
      </c>
    </row>
    <row r="1663">
      <c r="B1663" s="24"/>
      <c r="C1663" s="24"/>
      <c r="D1663" s="24"/>
      <c r="E1663" s="24"/>
      <c r="G1663" s="143"/>
      <c r="H1663" s="24"/>
      <c r="K1663" s="25"/>
      <c r="L1663" s="25"/>
      <c r="M1663" s="77"/>
      <c r="N1663" s="24" t="s">
        <v>4768</v>
      </c>
    </row>
    <row r="1664">
      <c r="B1664" s="24"/>
      <c r="C1664" s="24"/>
      <c r="D1664" s="24"/>
      <c r="E1664" s="24"/>
      <c r="G1664" s="143"/>
      <c r="H1664" s="24"/>
      <c r="K1664" s="25"/>
      <c r="L1664" s="25"/>
      <c r="M1664" s="77"/>
      <c r="N1664" s="24" t="s">
        <v>4769</v>
      </c>
    </row>
    <row r="1665">
      <c r="B1665" s="24"/>
      <c r="C1665" s="24"/>
      <c r="D1665" s="24"/>
      <c r="E1665" s="24"/>
      <c r="G1665" s="143"/>
      <c r="H1665" s="24"/>
      <c r="K1665" s="25"/>
      <c r="L1665" s="25"/>
      <c r="M1665" s="77"/>
      <c r="N1665" s="24" t="s">
        <v>4770</v>
      </c>
    </row>
    <row r="1666">
      <c r="B1666" s="24"/>
      <c r="C1666" s="24"/>
      <c r="D1666" s="24"/>
      <c r="E1666" s="24"/>
      <c r="G1666" s="143"/>
      <c r="H1666" s="24"/>
      <c r="K1666" s="25"/>
      <c r="L1666" s="25"/>
      <c r="M1666" s="77"/>
      <c r="N1666" s="24" t="s">
        <v>4771</v>
      </c>
    </row>
    <row r="1667">
      <c r="B1667" s="24"/>
      <c r="C1667" s="24"/>
      <c r="D1667" s="24"/>
      <c r="E1667" s="24"/>
      <c r="G1667" s="143"/>
      <c r="H1667" s="24"/>
      <c r="K1667" s="25"/>
      <c r="L1667" s="25"/>
      <c r="M1667" s="77"/>
      <c r="N1667" s="24" t="s">
        <v>4772</v>
      </c>
    </row>
    <row r="1668">
      <c r="B1668" s="24"/>
      <c r="C1668" s="24"/>
      <c r="D1668" s="24"/>
      <c r="E1668" s="24"/>
      <c r="G1668" s="143"/>
      <c r="H1668" s="24"/>
      <c r="K1668" s="25"/>
      <c r="L1668" s="25"/>
      <c r="M1668" s="77"/>
      <c r="N1668" s="24" t="s">
        <v>4773</v>
      </c>
    </row>
    <row r="1669">
      <c r="B1669" s="24"/>
      <c r="C1669" s="24"/>
      <c r="D1669" s="24"/>
      <c r="E1669" s="24"/>
      <c r="G1669" s="143"/>
      <c r="H1669" s="24"/>
      <c r="K1669" s="25"/>
      <c r="L1669" s="25"/>
      <c r="M1669" s="77"/>
      <c r="N1669" s="24" t="s">
        <v>4774</v>
      </c>
    </row>
    <row r="1670">
      <c r="B1670" s="24"/>
      <c r="C1670" s="24"/>
      <c r="D1670" s="24"/>
      <c r="E1670" s="24"/>
      <c r="G1670" s="143"/>
      <c r="H1670" s="24"/>
      <c r="K1670" s="25"/>
      <c r="L1670" s="25"/>
      <c r="M1670" s="77"/>
      <c r="N1670" s="24" t="s">
        <v>4775</v>
      </c>
    </row>
    <row r="1671">
      <c r="B1671" s="24"/>
      <c r="C1671" s="24"/>
      <c r="D1671" s="24"/>
      <c r="E1671" s="24"/>
      <c r="G1671" s="143"/>
      <c r="H1671" s="24"/>
      <c r="K1671" s="25"/>
      <c r="L1671" s="25"/>
      <c r="M1671" s="77"/>
      <c r="N1671" s="24" t="s">
        <v>4776</v>
      </c>
    </row>
    <row r="1672">
      <c r="B1672" s="24"/>
      <c r="C1672" s="24"/>
      <c r="D1672" s="24"/>
      <c r="E1672" s="24"/>
      <c r="G1672" s="143"/>
      <c r="H1672" s="24"/>
      <c r="K1672" s="25"/>
      <c r="L1672" s="25"/>
      <c r="M1672" s="77"/>
      <c r="N1672" s="24" t="s">
        <v>4777</v>
      </c>
    </row>
    <row r="1673">
      <c r="B1673" s="24"/>
      <c r="C1673" s="24"/>
      <c r="D1673" s="24"/>
      <c r="E1673" s="24"/>
      <c r="G1673" s="143"/>
      <c r="H1673" s="24"/>
      <c r="K1673" s="25"/>
      <c r="L1673" s="25"/>
      <c r="M1673" s="77"/>
      <c r="N1673" s="24" t="s">
        <v>4778</v>
      </c>
    </row>
    <row r="1674">
      <c r="B1674" s="24"/>
      <c r="C1674" s="24"/>
      <c r="D1674" s="24"/>
      <c r="E1674" s="24"/>
      <c r="G1674" s="143"/>
      <c r="H1674" s="24"/>
      <c r="K1674" s="25"/>
      <c r="L1674" s="25"/>
      <c r="M1674" s="77"/>
      <c r="N1674" s="24" t="s">
        <v>4779</v>
      </c>
    </row>
    <row r="1675">
      <c r="B1675" s="24"/>
      <c r="C1675" s="24"/>
      <c r="D1675" s="24"/>
      <c r="E1675" s="24"/>
      <c r="G1675" s="143"/>
      <c r="H1675" s="24"/>
      <c r="K1675" s="25"/>
      <c r="L1675" s="25"/>
      <c r="M1675" s="77"/>
      <c r="N1675" s="24" t="s">
        <v>4780</v>
      </c>
    </row>
    <row r="1676">
      <c r="B1676" s="24"/>
      <c r="C1676" s="24"/>
      <c r="D1676" s="24"/>
      <c r="E1676" s="24"/>
      <c r="G1676" s="143"/>
      <c r="H1676" s="24"/>
      <c r="K1676" s="25"/>
      <c r="L1676" s="25"/>
      <c r="M1676" s="77"/>
      <c r="N1676" s="24" t="s">
        <v>4781</v>
      </c>
    </row>
    <row r="1677">
      <c r="B1677" s="24"/>
      <c r="C1677" s="24"/>
      <c r="D1677" s="24"/>
      <c r="E1677" s="24"/>
      <c r="G1677" s="143"/>
      <c r="H1677" s="24"/>
      <c r="K1677" s="25"/>
      <c r="L1677" s="25"/>
      <c r="M1677" s="77"/>
      <c r="N1677" s="24" t="s">
        <v>4782</v>
      </c>
    </row>
    <row r="1678">
      <c r="B1678" s="24"/>
      <c r="C1678" s="24"/>
      <c r="D1678" s="24"/>
      <c r="E1678" s="24"/>
      <c r="G1678" s="143"/>
      <c r="H1678" s="24"/>
      <c r="K1678" s="25"/>
      <c r="L1678" s="25"/>
      <c r="M1678" s="77"/>
      <c r="N1678" s="24" t="s">
        <v>4160</v>
      </c>
    </row>
    <row r="1679">
      <c r="B1679" s="24"/>
      <c r="C1679" s="24"/>
      <c r="D1679" s="24"/>
      <c r="E1679" s="24"/>
      <c r="G1679" s="143"/>
      <c r="H1679" s="24"/>
      <c r="K1679" s="25"/>
      <c r="L1679" s="25"/>
      <c r="M1679" s="77"/>
      <c r="N1679" s="24" t="s">
        <v>4783</v>
      </c>
    </row>
    <row r="1680">
      <c r="B1680" s="24"/>
      <c r="C1680" s="24"/>
      <c r="D1680" s="24"/>
      <c r="E1680" s="24"/>
      <c r="G1680" s="143"/>
      <c r="H1680" s="24"/>
      <c r="K1680" s="25"/>
      <c r="L1680" s="25"/>
      <c r="M1680" s="77"/>
      <c r="N1680" s="24" t="s">
        <v>4784</v>
      </c>
    </row>
    <row r="1681">
      <c r="B1681" s="24"/>
      <c r="C1681" s="24"/>
      <c r="D1681" s="24"/>
      <c r="E1681" s="24"/>
      <c r="G1681" s="143"/>
      <c r="H1681" s="24"/>
      <c r="K1681" s="25"/>
      <c r="L1681" s="25"/>
      <c r="M1681" s="77"/>
      <c r="N1681" s="24" t="s">
        <v>4785</v>
      </c>
    </row>
    <row r="1682">
      <c r="B1682" s="24"/>
      <c r="C1682" s="24"/>
      <c r="D1682" s="24"/>
      <c r="E1682" s="24"/>
      <c r="G1682" s="143"/>
      <c r="H1682" s="24"/>
      <c r="K1682" s="25"/>
      <c r="L1682" s="25"/>
      <c r="M1682" s="77"/>
      <c r="N1682" s="24" t="s">
        <v>4786</v>
      </c>
    </row>
    <row r="1683">
      <c r="B1683" s="24"/>
      <c r="C1683" s="24"/>
      <c r="D1683" s="24"/>
      <c r="E1683" s="24"/>
      <c r="G1683" s="143"/>
      <c r="H1683" s="24"/>
      <c r="K1683" s="25"/>
      <c r="L1683" s="25"/>
      <c r="M1683" s="77"/>
      <c r="N1683" s="24" t="s">
        <v>4787</v>
      </c>
    </row>
    <row r="1684">
      <c r="B1684" s="24"/>
      <c r="C1684" s="24"/>
      <c r="D1684" s="24"/>
      <c r="E1684" s="24"/>
      <c r="G1684" s="143"/>
      <c r="H1684" s="24"/>
      <c r="K1684" s="25"/>
      <c r="L1684" s="25"/>
      <c r="M1684" s="77"/>
      <c r="N1684" s="24" t="s">
        <v>4788</v>
      </c>
    </row>
    <row r="1685">
      <c r="B1685" s="24"/>
      <c r="C1685" s="24"/>
      <c r="D1685" s="24"/>
      <c r="E1685" s="24"/>
      <c r="G1685" s="143"/>
      <c r="H1685" s="24"/>
      <c r="K1685" s="25"/>
      <c r="L1685" s="25"/>
      <c r="M1685" s="77"/>
      <c r="N1685" s="24" t="s">
        <v>4789</v>
      </c>
    </row>
    <row r="1686">
      <c r="B1686" s="24"/>
      <c r="C1686" s="24"/>
      <c r="D1686" s="24"/>
      <c r="E1686" s="24"/>
      <c r="G1686" s="143"/>
      <c r="H1686" s="24"/>
      <c r="K1686" s="25"/>
      <c r="L1686" s="25"/>
      <c r="M1686" s="77"/>
      <c r="N1686" s="24" t="s">
        <v>4790</v>
      </c>
    </row>
    <row r="1687">
      <c r="B1687" s="24"/>
      <c r="C1687" s="24"/>
      <c r="D1687" s="24"/>
      <c r="E1687" s="24"/>
      <c r="G1687" s="143"/>
      <c r="H1687" s="24"/>
      <c r="K1687" s="25"/>
      <c r="L1687" s="25"/>
      <c r="M1687" s="77"/>
      <c r="N1687" s="24" t="s">
        <v>4791</v>
      </c>
    </row>
    <row r="1688">
      <c r="B1688" s="24"/>
      <c r="C1688" s="24"/>
      <c r="D1688" s="24"/>
      <c r="E1688" s="24"/>
      <c r="G1688" s="143"/>
      <c r="H1688" s="24"/>
      <c r="K1688" s="25"/>
      <c r="L1688" s="25"/>
      <c r="M1688" s="77"/>
      <c r="N1688" s="24" t="s">
        <v>4792</v>
      </c>
    </row>
    <row r="1689">
      <c r="B1689" s="24"/>
      <c r="C1689" s="24"/>
      <c r="D1689" s="24"/>
      <c r="E1689" s="24"/>
      <c r="G1689" s="143"/>
      <c r="H1689" s="24"/>
      <c r="K1689" s="25"/>
      <c r="L1689" s="25"/>
      <c r="M1689" s="77"/>
      <c r="N1689" s="24" t="s">
        <v>4793</v>
      </c>
    </row>
    <row r="1690">
      <c r="B1690" s="24"/>
      <c r="C1690" s="24"/>
      <c r="D1690" s="24"/>
      <c r="E1690" s="24"/>
      <c r="G1690" s="143"/>
      <c r="H1690" s="24"/>
      <c r="K1690" s="25"/>
      <c r="L1690" s="25"/>
      <c r="M1690" s="77"/>
      <c r="N1690" s="24" t="s">
        <v>4794</v>
      </c>
    </row>
    <row r="1691">
      <c r="B1691" s="24"/>
      <c r="C1691" s="24"/>
      <c r="D1691" s="24"/>
      <c r="E1691" s="24"/>
      <c r="G1691" s="143"/>
      <c r="H1691" s="24"/>
      <c r="K1691" s="25"/>
      <c r="L1691" s="25"/>
      <c r="M1691" s="77"/>
      <c r="N1691" s="24" t="s">
        <v>4795</v>
      </c>
    </row>
    <row r="1692">
      <c r="B1692" s="24"/>
      <c r="C1692" s="24"/>
      <c r="D1692" s="24"/>
      <c r="E1692" s="24"/>
      <c r="G1692" s="143"/>
      <c r="H1692" s="24"/>
      <c r="K1692" s="25"/>
      <c r="L1692" s="25"/>
      <c r="M1692" s="77"/>
      <c r="N1692" s="24" t="s">
        <v>4796</v>
      </c>
    </row>
    <row r="1693">
      <c r="B1693" s="24"/>
      <c r="C1693" s="24"/>
      <c r="D1693" s="24"/>
      <c r="E1693" s="24"/>
      <c r="G1693" s="143"/>
      <c r="H1693" s="24"/>
      <c r="K1693" s="25"/>
      <c r="L1693" s="25"/>
      <c r="M1693" s="77"/>
      <c r="N1693" s="24" t="s">
        <v>4797</v>
      </c>
    </row>
    <row r="1694">
      <c r="B1694" s="24"/>
      <c r="C1694" s="24"/>
      <c r="D1694" s="24"/>
      <c r="E1694" s="24"/>
      <c r="G1694" s="143"/>
      <c r="H1694" s="24"/>
      <c r="K1694" s="25"/>
      <c r="L1694" s="25"/>
      <c r="M1694" s="77"/>
      <c r="N1694" s="24" t="s">
        <v>4798</v>
      </c>
    </row>
    <row r="1695">
      <c r="B1695" s="24"/>
      <c r="C1695" s="24"/>
      <c r="D1695" s="24"/>
      <c r="E1695" s="24"/>
      <c r="G1695" s="143"/>
      <c r="H1695" s="24"/>
      <c r="K1695" s="25"/>
      <c r="L1695" s="25"/>
      <c r="M1695" s="77"/>
      <c r="N1695" s="24" t="s">
        <v>4799</v>
      </c>
    </row>
    <row r="1696">
      <c r="B1696" s="24"/>
      <c r="C1696" s="24"/>
      <c r="D1696" s="24"/>
      <c r="E1696" s="24"/>
      <c r="G1696" s="143"/>
      <c r="H1696" s="24"/>
      <c r="K1696" s="25"/>
      <c r="L1696" s="25"/>
      <c r="M1696" s="77"/>
      <c r="N1696" s="24" t="s">
        <v>4800</v>
      </c>
    </row>
    <row r="1697">
      <c r="B1697" s="24"/>
      <c r="C1697" s="24"/>
      <c r="D1697" s="24"/>
      <c r="E1697" s="24"/>
      <c r="G1697" s="143"/>
      <c r="H1697" s="24"/>
      <c r="K1697" s="25"/>
      <c r="L1697" s="25"/>
      <c r="M1697" s="77"/>
      <c r="N1697" s="24" t="s">
        <v>4560</v>
      </c>
    </row>
    <row r="1698">
      <c r="B1698" s="24"/>
      <c r="C1698" s="24"/>
      <c r="D1698" s="24"/>
      <c r="E1698" s="24"/>
      <c r="G1698" s="143"/>
      <c r="H1698" s="24"/>
      <c r="K1698" s="25"/>
      <c r="L1698" s="25"/>
      <c r="M1698" s="77"/>
      <c r="N1698" s="24" t="s">
        <v>4801</v>
      </c>
    </row>
    <row r="1699">
      <c r="B1699" s="24"/>
      <c r="C1699" s="24"/>
      <c r="D1699" s="24"/>
      <c r="E1699" s="24"/>
      <c r="G1699" s="143"/>
      <c r="H1699" s="24"/>
      <c r="K1699" s="25"/>
      <c r="L1699" s="25"/>
      <c r="M1699" s="77"/>
      <c r="N1699" s="24" t="s">
        <v>4802</v>
      </c>
    </row>
    <row r="1700">
      <c r="B1700" s="24"/>
      <c r="C1700" s="24"/>
      <c r="D1700" s="24"/>
      <c r="E1700" s="24"/>
      <c r="G1700" s="143"/>
      <c r="H1700" s="24"/>
      <c r="K1700" s="25"/>
      <c r="L1700" s="25"/>
      <c r="M1700" s="77"/>
      <c r="N1700" s="24" t="s">
        <v>4803</v>
      </c>
    </row>
    <row r="1701">
      <c r="B1701" s="24"/>
      <c r="C1701" s="24"/>
      <c r="D1701" s="24"/>
      <c r="E1701" s="24"/>
      <c r="G1701" s="143"/>
      <c r="H1701" s="24"/>
      <c r="K1701" s="25"/>
      <c r="L1701" s="25"/>
      <c r="M1701" s="77"/>
      <c r="N1701" s="24" t="s">
        <v>4397</v>
      </c>
    </row>
    <row r="1702">
      <c r="B1702" s="24"/>
      <c r="C1702" s="24"/>
      <c r="D1702" s="24"/>
      <c r="E1702" s="24"/>
      <c r="G1702" s="143"/>
      <c r="H1702" s="24"/>
      <c r="K1702" s="25"/>
      <c r="L1702" s="25"/>
      <c r="M1702" s="77"/>
      <c r="N1702" s="24" t="s">
        <v>4804</v>
      </c>
    </row>
    <row r="1703">
      <c r="B1703" s="24"/>
      <c r="C1703" s="24"/>
      <c r="D1703" s="24"/>
      <c r="E1703" s="24"/>
      <c r="G1703" s="143"/>
      <c r="H1703" s="24"/>
      <c r="K1703" s="25"/>
      <c r="L1703" s="25"/>
      <c r="M1703" s="77"/>
      <c r="N1703" s="24" t="s">
        <v>4805</v>
      </c>
    </row>
    <row r="1704">
      <c r="B1704" s="24"/>
      <c r="C1704" s="24"/>
      <c r="D1704" s="24"/>
      <c r="E1704" s="24"/>
      <c r="G1704" s="143"/>
      <c r="H1704" s="24"/>
      <c r="K1704" s="25"/>
      <c r="L1704" s="25"/>
      <c r="M1704" s="77"/>
      <c r="N1704" s="24" t="s">
        <v>4806</v>
      </c>
    </row>
    <row r="1705">
      <c r="B1705" s="24"/>
      <c r="C1705" s="24"/>
      <c r="D1705" s="24"/>
      <c r="E1705" s="24"/>
      <c r="G1705" s="143"/>
      <c r="H1705" s="24"/>
      <c r="K1705" s="25"/>
      <c r="L1705" s="25"/>
      <c r="M1705" s="77"/>
      <c r="N1705" s="24" t="s">
        <v>4807</v>
      </c>
    </row>
    <row r="1706">
      <c r="B1706" s="24"/>
      <c r="C1706" s="24"/>
      <c r="D1706" s="24"/>
      <c r="E1706" s="24"/>
      <c r="G1706" s="143"/>
      <c r="H1706" s="24"/>
      <c r="K1706" s="25"/>
      <c r="L1706" s="25"/>
      <c r="M1706" s="77"/>
      <c r="N1706" s="24" t="s">
        <v>4808</v>
      </c>
    </row>
    <row r="1707">
      <c r="B1707" s="24"/>
      <c r="C1707" s="24"/>
      <c r="D1707" s="24"/>
      <c r="E1707" s="24"/>
      <c r="G1707" s="143"/>
      <c r="H1707" s="24"/>
      <c r="K1707" s="25"/>
      <c r="L1707" s="25"/>
      <c r="M1707" s="77"/>
      <c r="N1707" s="24" t="s">
        <v>4809</v>
      </c>
    </row>
    <row r="1708">
      <c r="B1708" s="24"/>
      <c r="C1708" s="24"/>
      <c r="D1708" s="24"/>
      <c r="E1708" s="24"/>
      <c r="G1708" s="143"/>
      <c r="H1708" s="24"/>
      <c r="K1708" s="25"/>
      <c r="L1708" s="25"/>
      <c r="M1708" s="77"/>
      <c r="N1708" s="24" t="s">
        <v>4810</v>
      </c>
    </row>
    <row r="1709">
      <c r="B1709" s="24"/>
      <c r="C1709" s="24"/>
      <c r="D1709" s="24"/>
      <c r="E1709" s="24"/>
      <c r="G1709" s="143"/>
      <c r="H1709" s="24"/>
      <c r="K1709" s="25"/>
      <c r="L1709" s="25"/>
      <c r="M1709" s="77"/>
      <c r="N1709" s="24" t="s">
        <v>4811</v>
      </c>
    </row>
    <row r="1710">
      <c r="B1710" s="24"/>
      <c r="C1710" s="24"/>
      <c r="D1710" s="24"/>
      <c r="E1710" s="24"/>
      <c r="G1710" s="143"/>
      <c r="H1710" s="24"/>
      <c r="K1710" s="25"/>
      <c r="L1710" s="25"/>
      <c r="M1710" s="77"/>
      <c r="N1710" s="24" t="s">
        <v>4812</v>
      </c>
    </row>
    <row r="1711">
      <c r="B1711" s="24"/>
      <c r="C1711" s="24"/>
      <c r="D1711" s="24"/>
      <c r="E1711" s="24"/>
      <c r="G1711" s="143"/>
      <c r="H1711" s="24"/>
      <c r="K1711" s="25"/>
      <c r="L1711" s="25"/>
      <c r="M1711" s="77"/>
      <c r="N1711" s="24" t="s">
        <v>4813</v>
      </c>
    </row>
    <row r="1712">
      <c r="B1712" s="24"/>
      <c r="C1712" s="24"/>
      <c r="D1712" s="24"/>
      <c r="E1712" s="24"/>
      <c r="G1712" s="143"/>
      <c r="H1712" s="24"/>
      <c r="K1712" s="25"/>
      <c r="L1712" s="25"/>
      <c r="M1712" s="77"/>
      <c r="N1712" s="24" t="s">
        <v>4814</v>
      </c>
    </row>
    <row r="1713">
      <c r="B1713" s="24"/>
      <c r="C1713" s="24"/>
      <c r="D1713" s="24"/>
      <c r="E1713" s="24"/>
      <c r="G1713" s="143"/>
      <c r="H1713" s="24"/>
      <c r="K1713" s="25"/>
      <c r="L1713" s="25"/>
      <c r="M1713" s="77"/>
      <c r="N1713" s="24" t="s">
        <v>4815</v>
      </c>
    </row>
    <row r="1714">
      <c r="B1714" s="24"/>
      <c r="C1714" s="24"/>
      <c r="D1714" s="24"/>
      <c r="E1714" s="24"/>
      <c r="G1714" s="143"/>
      <c r="H1714" s="24"/>
      <c r="K1714" s="25"/>
      <c r="L1714" s="25"/>
      <c r="M1714" s="77"/>
      <c r="N1714" s="24" t="s">
        <v>4816</v>
      </c>
    </row>
    <row r="1715">
      <c r="B1715" s="24"/>
      <c r="C1715" s="24"/>
      <c r="D1715" s="24"/>
      <c r="E1715" s="24"/>
      <c r="G1715" s="143"/>
      <c r="H1715" s="24"/>
      <c r="K1715" s="25"/>
      <c r="L1715" s="25"/>
      <c r="M1715" s="77"/>
      <c r="N1715" s="24" t="s">
        <v>4817</v>
      </c>
    </row>
    <row r="1716">
      <c r="B1716" s="24"/>
      <c r="C1716" s="24"/>
      <c r="D1716" s="24"/>
      <c r="E1716" s="24"/>
      <c r="G1716" s="143"/>
      <c r="H1716" s="24"/>
      <c r="K1716" s="25"/>
      <c r="L1716" s="25"/>
      <c r="M1716" s="77"/>
      <c r="N1716" s="24" t="s">
        <v>4818</v>
      </c>
    </row>
    <row r="1717">
      <c r="B1717" s="24"/>
      <c r="C1717" s="24"/>
      <c r="D1717" s="24"/>
      <c r="E1717" s="24"/>
      <c r="G1717" s="143"/>
      <c r="H1717" s="24"/>
      <c r="K1717" s="25"/>
      <c r="L1717" s="25"/>
      <c r="M1717" s="77"/>
      <c r="N1717" s="24" t="s">
        <v>4819</v>
      </c>
    </row>
    <row r="1718">
      <c r="B1718" s="24"/>
      <c r="C1718" s="24"/>
      <c r="D1718" s="24"/>
      <c r="E1718" s="24"/>
      <c r="G1718" s="143"/>
      <c r="H1718" s="24"/>
      <c r="K1718" s="25"/>
      <c r="L1718" s="25"/>
      <c r="M1718" s="77"/>
      <c r="N1718" s="24" t="s">
        <v>4820</v>
      </c>
    </row>
    <row r="1719">
      <c r="B1719" s="24"/>
      <c r="C1719" s="24"/>
      <c r="D1719" s="24"/>
      <c r="E1719" s="24"/>
      <c r="G1719" s="143"/>
      <c r="H1719" s="24"/>
      <c r="K1719" s="25"/>
      <c r="L1719" s="25"/>
      <c r="M1719" s="77"/>
      <c r="N1719" s="24" t="s">
        <v>4821</v>
      </c>
    </row>
    <row r="1720">
      <c r="B1720" s="24"/>
      <c r="C1720" s="24"/>
      <c r="D1720" s="24"/>
      <c r="E1720" s="24"/>
      <c r="G1720" s="143"/>
      <c r="H1720" s="24"/>
      <c r="K1720" s="25"/>
      <c r="L1720" s="25"/>
      <c r="M1720" s="77"/>
      <c r="N1720" s="24" t="s">
        <v>4822</v>
      </c>
    </row>
    <row r="1721">
      <c r="B1721" s="24"/>
      <c r="C1721" s="24"/>
      <c r="D1721" s="24"/>
      <c r="E1721" s="24"/>
      <c r="G1721" s="143"/>
      <c r="H1721" s="24"/>
      <c r="K1721" s="25"/>
      <c r="L1721" s="25"/>
      <c r="M1721" s="77"/>
      <c r="N1721" s="24" t="s">
        <v>4823</v>
      </c>
    </row>
    <row r="1722">
      <c r="B1722" s="24"/>
      <c r="C1722" s="24"/>
      <c r="D1722" s="24"/>
      <c r="E1722" s="24"/>
      <c r="G1722" s="143"/>
      <c r="H1722" s="24"/>
      <c r="K1722" s="25"/>
      <c r="L1722" s="25"/>
      <c r="M1722" s="77"/>
      <c r="N1722" s="24" t="s">
        <v>4824</v>
      </c>
    </row>
    <row r="1723">
      <c r="B1723" s="24"/>
      <c r="C1723" s="24"/>
      <c r="D1723" s="24"/>
      <c r="E1723" s="24"/>
      <c r="G1723" s="143"/>
      <c r="H1723" s="24"/>
      <c r="K1723" s="25"/>
      <c r="L1723" s="25"/>
      <c r="M1723" s="77"/>
      <c r="N1723" s="24" t="s">
        <v>4825</v>
      </c>
    </row>
    <row r="1724">
      <c r="B1724" s="24"/>
      <c r="C1724" s="24"/>
      <c r="D1724" s="24"/>
      <c r="E1724" s="24"/>
      <c r="G1724" s="143"/>
      <c r="H1724" s="24"/>
      <c r="K1724" s="25"/>
      <c r="L1724" s="25"/>
      <c r="M1724" s="77"/>
      <c r="N1724" s="24" t="s">
        <v>4826</v>
      </c>
    </row>
    <row r="1725">
      <c r="B1725" s="24"/>
      <c r="C1725" s="24"/>
      <c r="D1725" s="24"/>
      <c r="E1725" s="24"/>
      <c r="G1725" s="143"/>
      <c r="H1725" s="24"/>
      <c r="K1725" s="25"/>
      <c r="L1725" s="25"/>
      <c r="M1725" s="77"/>
      <c r="N1725" s="24" t="s">
        <v>4827</v>
      </c>
    </row>
    <row r="1726">
      <c r="B1726" s="24"/>
      <c r="C1726" s="24"/>
      <c r="D1726" s="24"/>
      <c r="E1726" s="24"/>
      <c r="G1726" s="143"/>
      <c r="H1726" s="24"/>
      <c r="K1726" s="25"/>
      <c r="L1726" s="25"/>
      <c r="M1726" s="77"/>
      <c r="N1726" s="24" t="s">
        <v>4828</v>
      </c>
    </row>
    <row r="1727">
      <c r="B1727" s="24"/>
      <c r="C1727" s="24"/>
      <c r="D1727" s="24"/>
      <c r="E1727" s="24"/>
      <c r="G1727" s="143"/>
      <c r="H1727" s="24"/>
      <c r="K1727" s="25"/>
      <c r="L1727" s="25"/>
      <c r="M1727" s="77"/>
      <c r="N1727" s="24" t="s">
        <v>4829</v>
      </c>
    </row>
    <row r="1728">
      <c r="B1728" s="24"/>
      <c r="C1728" s="24"/>
      <c r="D1728" s="24"/>
      <c r="E1728" s="24"/>
      <c r="G1728" s="143"/>
      <c r="H1728" s="24"/>
      <c r="K1728" s="25"/>
      <c r="L1728" s="25"/>
      <c r="M1728" s="77"/>
      <c r="N1728" s="24" t="s">
        <v>4830</v>
      </c>
    </row>
    <row r="1729">
      <c r="B1729" s="24"/>
      <c r="C1729" s="24"/>
      <c r="D1729" s="24"/>
      <c r="E1729" s="24"/>
      <c r="G1729" s="143"/>
      <c r="H1729" s="24"/>
      <c r="K1729" s="25"/>
      <c r="L1729" s="25"/>
      <c r="M1729" s="77"/>
      <c r="N1729" s="24" t="s">
        <v>4831</v>
      </c>
    </row>
    <row r="1730">
      <c r="B1730" s="24"/>
      <c r="C1730" s="24"/>
      <c r="D1730" s="24"/>
      <c r="E1730" s="24"/>
      <c r="G1730" s="143"/>
      <c r="H1730" s="24"/>
      <c r="K1730" s="25"/>
      <c r="L1730" s="25"/>
      <c r="M1730" s="77"/>
      <c r="N1730" s="24" t="s">
        <v>4832</v>
      </c>
    </row>
    <row r="1731">
      <c r="B1731" s="24"/>
      <c r="C1731" s="24"/>
      <c r="D1731" s="24"/>
      <c r="E1731" s="24"/>
      <c r="G1731" s="143"/>
      <c r="H1731" s="24"/>
      <c r="K1731" s="25"/>
      <c r="L1731" s="25"/>
      <c r="M1731" s="77"/>
      <c r="N1731" s="24" t="s">
        <v>4833</v>
      </c>
    </row>
    <row r="1732">
      <c r="B1732" s="24"/>
      <c r="C1732" s="24"/>
      <c r="D1732" s="24"/>
      <c r="E1732" s="24"/>
      <c r="G1732" s="143"/>
      <c r="H1732" s="24"/>
      <c r="K1732" s="25"/>
      <c r="L1732" s="25"/>
      <c r="M1732" s="77"/>
      <c r="N1732" s="24" t="s">
        <v>4834</v>
      </c>
    </row>
    <row r="1733">
      <c r="B1733" s="24"/>
      <c r="C1733" s="24"/>
      <c r="D1733" s="24"/>
      <c r="E1733" s="24"/>
      <c r="G1733" s="143"/>
      <c r="H1733" s="24"/>
      <c r="K1733" s="25"/>
      <c r="L1733" s="25"/>
      <c r="M1733" s="77"/>
      <c r="N1733" s="24" t="s">
        <v>4835</v>
      </c>
    </row>
    <row r="1734">
      <c r="B1734" s="24"/>
      <c r="C1734" s="24"/>
      <c r="D1734" s="24"/>
      <c r="E1734" s="24"/>
      <c r="G1734" s="143"/>
      <c r="H1734" s="24"/>
      <c r="K1734" s="25"/>
      <c r="L1734" s="25"/>
      <c r="M1734" s="77"/>
      <c r="N1734" s="24" t="s">
        <v>4836</v>
      </c>
    </row>
    <row r="1735">
      <c r="B1735" s="24"/>
      <c r="C1735" s="24"/>
      <c r="D1735" s="24"/>
      <c r="E1735" s="24"/>
      <c r="G1735" s="143"/>
      <c r="H1735" s="24"/>
      <c r="K1735" s="25"/>
      <c r="L1735" s="25"/>
      <c r="M1735" s="77"/>
      <c r="N1735" s="24" t="s">
        <v>4837</v>
      </c>
    </row>
    <row r="1736">
      <c r="B1736" s="24"/>
      <c r="C1736" s="24"/>
      <c r="D1736" s="24"/>
      <c r="E1736" s="24"/>
      <c r="G1736" s="143"/>
      <c r="H1736" s="24"/>
      <c r="K1736" s="25"/>
      <c r="L1736" s="25"/>
      <c r="M1736" s="77"/>
      <c r="N1736" s="24" t="s">
        <v>4838</v>
      </c>
    </row>
    <row r="1737">
      <c r="B1737" s="24"/>
      <c r="C1737" s="24"/>
      <c r="D1737" s="24"/>
      <c r="E1737" s="24"/>
      <c r="G1737" s="143"/>
      <c r="H1737" s="24"/>
      <c r="K1737" s="25"/>
      <c r="L1737" s="25"/>
      <c r="M1737" s="77"/>
      <c r="N1737" s="24" t="s">
        <v>4839</v>
      </c>
    </row>
    <row r="1738">
      <c r="B1738" s="24"/>
      <c r="C1738" s="24"/>
      <c r="D1738" s="24"/>
      <c r="E1738" s="24"/>
      <c r="G1738" s="143"/>
      <c r="H1738" s="24"/>
      <c r="K1738" s="25"/>
      <c r="L1738" s="25"/>
      <c r="M1738" s="77"/>
      <c r="N1738" s="24" t="s">
        <v>4840</v>
      </c>
    </row>
    <row r="1739">
      <c r="B1739" s="24"/>
      <c r="C1739" s="24"/>
      <c r="D1739" s="24"/>
      <c r="E1739" s="24"/>
      <c r="G1739" s="143"/>
      <c r="H1739" s="24"/>
      <c r="K1739" s="25"/>
      <c r="L1739" s="25"/>
      <c r="M1739" s="77"/>
      <c r="N1739" s="24" t="s">
        <v>4841</v>
      </c>
    </row>
    <row r="1740">
      <c r="B1740" s="24"/>
      <c r="C1740" s="24"/>
      <c r="D1740" s="24"/>
      <c r="E1740" s="24"/>
      <c r="G1740" s="143"/>
      <c r="H1740" s="24"/>
      <c r="K1740" s="25"/>
      <c r="L1740" s="25"/>
      <c r="M1740" s="77"/>
      <c r="N1740" s="24" t="s">
        <v>4842</v>
      </c>
    </row>
    <row r="1741">
      <c r="B1741" s="24"/>
      <c r="C1741" s="24"/>
      <c r="D1741" s="24"/>
      <c r="E1741" s="24"/>
      <c r="G1741" s="143"/>
      <c r="H1741" s="24"/>
      <c r="K1741" s="25"/>
      <c r="L1741" s="25"/>
      <c r="M1741" s="77"/>
      <c r="N1741" s="24" t="s">
        <v>4843</v>
      </c>
    </row>
    <row r="1742">
      <c r="B1742" s="24"/>
      <c r="C1742" s="24"/>
      <c r="D1742" s="24"/>
      <c r="E1742" s="24"/>
      <c r="G1742" s="143"/>
      <c r="H1742" s="24"/>
      <c r="K1742" s="25"/>
      <c r="L1742" s="25"/>
      <c r="M1742" s="77"/>
      <c r="N1742" s="24" t="s">
        <v>4844</v>
      </c>
    </row>
    <row r="1743">
      <c r="B1743" s="24"/>
      <c r="C1743" s="24"/>
      <c r="D1743" s="24"/>
      <c r="E1743" s="24"/>
      <c r="G1743" s="143"/>
      <c r="H1743" s="24"/>
      <c r="K1743" s="25"/>
      <c r="L1743" s="25"/>
      <c r="M1743" s="77"/>
      <c r="N1743" s="24" t="s">
        <v>4845</v>
      </c>
    </row>
    <row r="1744">
      <c r="B1744" s="24"/>
      <c r="C1744" s="24"/>
      <c r="D1744" s="24"/>
      <c r="E1744" s="24"/>
      <c r="G1744" s="143"/>
      <c r="H1744" s="24"/>
      <c r="K1744" s="25"/>
      <c r="L1744" s="25"/>
      <c r="M1744" s="77"/>
      <c r="N1744" s="24" t="s">
        <v>4846</v>
      </c>
    </row>
    <row r="1745">
      <c r="B1745" s="24"/>
      <c r="C1745" s="24"/>
      <c r="D1745" s="24"/>
      <c r="E1745" s="24"/>
      <c r="G1745" s="143"/>
      <c r="H1745" s="24"/>
      <c r="K1745" s="25"/>
      <c r="L1745" s="25"/>
      <c r="M1745" s="77"/>
      <c r="N1745" s="24" t="s">
        <v>4847</v>
      </c>
    </row>
    <row r="1746">
      <c r="B1746" s="24"/>
      <c r="C1746" s="24"/>
      <c r="D1746" s="24"/>
      <c r="E1746" s="24"/>
      <c r="G1746" s="143"/>
      <c r="H1746" s="24"/>
      <c r="K1746" s="25"/>
      <c r="L1746" s="25"/>
      <c r="M1746" s="77"/>
      <c r="N1746" s="24" t="s">
        <v>4848</v>
      </c>
    </row>
    <row r="1747">
      <c r="B1747" s="24"/>
      <c r="C1747" s="24"/>
      <c r="D1747" s="24"/>
      <c r="E1747" s="24"/>
      <c r="G1747" s="143"/>
      <c r="H1747" s="24"/>
      <c r="K1747" s="25"/>
      <c r="L1747" s="25"/>
      <c r="M1747" s="77"/>
      <c r="N1747" s="24" t="s">
        <v>4849</v>
      </c>
    </row>
    <row r="1748">
      <c r="B1748" s="24"/>
      <c r="C1748" s="24"/>
      <c r="D1748" s="24"/>
      <c r="E1748" s="24"/>
      <c r="G1748" s="143"/>
      <c r="H1748" s="24"/>
      <c r="K1748" s="25"/>
      <c r="L1748" s="25"/>
      <c r="M1748" s="77"/>
      <c r="N1748" s="24" t="s">
        <v>4850</v>
      </c>
    </row>
    <row r="1749">
      <c r="B1749" s="24"/>
      <c r="C1749" s="24"/>
      <c r="D1749" s="24"/>
      <c r="E1749" s="24"/>
      <c r="G1749" s="143"/>
      <c r="H1749" s="24"/>
      <c r="K1749" s="25"/>
      <c r="L1749" s="25"/>
      <c r="M1749" s="77"/>
      <c r="N1749" s="24" t="s">
        <v>4504</v>
      </c>
    </row>
    <row r="1750">
      <c r="B1750" s="24"/>
      <c r="C1750" s="24"/>
      <c r="D1750" s="24"/>
      <c r="E1750" s="24"/>
      <c r="G1750" s="143"/>
      <c r="H1750" s="24"/>
      <c r="K1750" s="25"/>
      <c r="L1750" s="25"/>
      <c r="M1750" s="77"/>
      <c r="N1750" s="24" t="s">
        <v>4851</v>
      </c>
    </row>
    <row r="1751">
      <c r="B1751" s="24"/>
      <c r="C1751" s="24"/>
      <c r="D1751" s="24"/>
      <c r="E1751" s="24"/>
      <c r="G1751" s="143"/>
      <c r="H1751" s="24"/>
      <c r="K1751" s="25"/>
      <c r="L1751" s="25"/>
      <c r="M1751" s="77"/>
      <c r="N1751" s="24" t="s">
        <v>4852</v>
      </c>
    </row>
    <row r="1752">
      <c r="B1752" s="24"/>
      <c r="C1752" s="24"/>
      <c r="D1752" s="24"/>
      <c r="E1752" s="24"/>
      <c r="G1752" s="143"/>
      <c r="H1752" s="24"/>
      <c r="K1752" s="25"/>
      <c r="L1752" s="25"/>
      <c r="M1752" s="77"/>
      <c r="N1752" s="24" t="s">
        <v>4853</v>
      </c>
    </row>
    <row r="1753">
      <c r="B1753" s="24"/>
      <c r="C1753" s="24"/>
      <c r="D1753" s="24"/>
      <c r="E1753" s="24"/>
      <c r="G1753" s="143"/>
      <c r="H1753" s="24"/>
      <c r="K1753" s="25"/>
      <c r="L1753" s="25"/>
      <c r="M1753" s="77"/>
      <c r="N1753" s="24" t="s">
        <v>4854</v>
      </c>
    </row>
    <row r="1754">
      <c r="B1754" s="24"/>
      <c r="C1754" s="24"/>
      <c r="D1754" s="24"/>
      <c r="E1754" s="24"/>
      <c r="G1754" s="143"/>
      <c r="H1754" s="24"/>
      <c r="K1754" s="25"/>
      <c r="L1754" s="25"/>
      <c r="M1754" s="77"/>
      <c r="N1754" s="24" t="s">
        <v>4224</v>
      </c>
    </row>
    <row r="1755">
      <c r="B1755" s="24"/>
      <c r="C1755" s="24"/>
      <c r="D1755" s="24"/>
      <c r="E1755" s="24"/>
      <c r="G1755" s="143"/>
      <c r="H1755" s="24"/>
      <c r="K1755" s="25"/>
      <c r="L1755" s="25"/>
      <c r="M1755" s="77"/>
      <c r="N1755" s="24" t="s">
        <v>4855</v>
      </c>
    </row>
    <row r="1756">
      <c r="B1756" s="24"/>
      <c r="C1756" s="24"/>
      <c r="D1756" s="24"/>
      <c r="E1756" s="24"/>
      <c r="G1756" s="143"/>
      <c r="H1756" s="24"/>
      <c r="K1756" s="25"/>
      <c r="L1756" s="25"/>
      <c r="M1756" s="77"/>
      <c r="N1756" s="24" t="s">
        <v>4856</v>
      </c>
    </row>
    <row r="1757">
      <c r="B1757" s="24"/>
      <c r="C1757" s="24"/>
      <c r="D1757" s="24"/>
      <c r="E1757" s="24"/>
      <c r="G1757" s="143"/>
      <c r="H1757" s="24"/>
      <c r="K1757" s="25"/>
      <c r="L1757" s="25"/>
      <c r="M1757" s="77"/>
      <c r="N1757" s="24" t="s">
        <v>4857</v>
      </c>
    </row>
    <row r="1758">
      <c r="B1758" s="24"/>
      <c r="C1758" s="24"/>
      <c r="D1758" s="24"/>
      <c r="E1758" s="24"/>
      <c r="G1758" s="143"/>
      <c r="H1758" s="24"/>
      <c r="K1758" s="25"/>
      <c r="L1758" s="25"/>
      <c r="M1758" s="77"/>
      <c r="N1758" s="24" t="s">
        <v>4858</v>
      </c>
    </row>
    <row r="1759">
      <c r="B1759" s="24"/>
      <c r="C1759" s="24"/>
      <c r="D1759" s="24"/>
      <c r="E1759" s="24"/>
      <c r="G1759" s="143"/>
      <c r="H1759" s="24"/>
      <c r="K1759" s="25"/>
      <c r="L1759" s="25"/>
      <c r="M1759" s="77"/>
      <c r="N1759" s="24" t="s">
        <v>4859</v>
      </c>
    </row>
    <row r="1760">
      <c r="B1760" s="24"/>
      <c r="C1760" s="24"/>
      <c r="D1760" s="24"/>
      <c r="E1760" s="24"/>
      <c r="G1760" s="143"/>
      <c r="H1760" s="24"/>
      <c r="K1760" s="25"/>
      <c r="L1760" s="25"/>
      <c r="M1760" s="77"/>
      <c r="N1760" s="24" t="s">
        <v>4860</v>
      </c>
    </row>
    <row r="1761">
      <c r="B1761" s="24"/>
      <c r="C1761" s="24"/>
      <c r="D1761" s="24"/>
      <c r="E1761" s="24"/>
      <c r="G1761" s="143"/>
      <c r="H1761" s="24"/>
      <c r="K1761" s="25"/>
      <c r="L1761" s="25"/>
      <c r="M1761" s="77"/>
      <c r="N1761" s="24" t="s">
        <v>4861</v>
      </c>
    </row>
    <row r="1762">
      <c r="B1762" s="24"/>
      <c r="C1762" s="24"/>
      <c r="D1762" s="24"/>
      <c r="E1762" s="24"/>
      <c r="G1762" s="143"/>
      <c r="H1762" s="24"/>
      <c r="K1762" s="25"/>
      <c r="L1762" s="25"/>
      <c r="M1762" s="77"/>
      <c r="N1762" s="24" t="s">
        <v>4862</v>
      </c>
    </row>
    <row r="1763">
      <c r="B1763" s="24"/>
      <c r="C1763" s="24"/>
      <c r="D1763" s="24"/>
      <c r="E1763" s="24"/>
      <c r="G1763" s="143"/>
      <c r="H1763" s="24"/>
      <c r="K1763" s="25"/>
      <c r="L1763" s="25"/>
      <c r="M1763" s="77"/>
      <c r="N1763" s="24" t="s">
        <v>4863</v>
      </c>
    </row>
    <row r="1764">
      <c r="B1764" s="24"/>
      <c r="C1764" s="24"/>
      <c r="D1764" s="24"/>
      <c r="E1764" s="24"/>
      <c r="G1764" s="143"/>
      <c r="H1764" s="24"/>
      <c r="K1764" s="25"/>
      <c r="L1764" s="25"/>
      <c r="M1764" s="77"/>
      <c r="N1764" s="24" t="s">
        <v>4864</v>
      </c>
    </row>
    <row r="1765">
      <c r="B1765" s="24"/>
      <c r="C1765" s="24"/>
      <c r="D1765" s="24"/>
      <c r="E1765" s="24"/>
      <c r="G1765" s="143"/>
      <c r="H1765" s="24"/>
      <c r="K1765" s="25"/>
      <c r="L1765" s="25"/>
      <c r="M1765" s="77"/>
      <c r="N1765" s="24" t="s">
        <v>4865</v>
      </c>
    </row>
    <row r="1766">
      <c r="B1766" s="24"/>
      <c r="C1766" s="24"/>
      <c r="D1766" s="24"/>
      <c r="E1766" s="24"/>
      <c r="G1766" s="143"/>
      <c r="H1766" s="24"/>
      <c r="K1766" s="25"/>
      <c r="L1766" s="25"/>
      <c r="M1766" s="77"/>
      <c r="N1766" s="24" t="s">
        <v>4866</v>
      </c>
    </row>
    <row r="1767">
      <c r="B1767" s="24"/>
      <c r="C1767" s="24"/>
      <c r="D1767" s="24"/>
      <c r="E1767" s="24"/>
      <c r="G1767" s="143"/>
      <c r="H1767" s="24"/>
      <c r="K1767" s="25"/>
      <c r="L1767" s="25"/>
      <c r="M1767" s="77"/>
      <c r="N1767" s="24" t="s">
        <v>4867</v>
      </c>
    </row>
    <row r="1768">
      <c r="B1768" s="24"/>
      <c r="C1768" s="24"/>
      <c r="D1768" s="24"/>
      <c r="E1768" s="24"/>
      <c r="G1768" s="143"/>
      <c r="H1768" s="24"/>
      <c r="K1768" s="25"/>
      <c r="L1768" s="25"/>
      <c r="M1768" s="77"/>
      <c r="N1768" s="24" t="s">
        <v>4868</v>
      </c>
    </row>
    <row r="1769">
      <c r="B1769" s="24"/>
      <c r="C1769" s="24"/>
      <c r="D1769" s="24"/>
      <c r="E1769" s="24"/>
      <c r="G1769" s="143"/>
      <c r="H1769" s="24"/>
      <c r="K1769" s="25"/>
      <c r="L1769" s="25"/>
      <c r="M1769" s="77"/>
      <c r="N1769" s="24" t="s">
        <v>4869</v>
      </c>
    </row>
    <row r="1770">
      <c r="B1770" s="24"/>
      <c r="C1770" s="24"/>
      <c r="D1770" s="24"/>
      <c r="E1770" s="24"/>
      <c r="G1770" s="143"/>
      <c r="H1770" s="24"/>
      <c r="K1770" s="25"/>
      <c r="L1770" s="25"/>
      <c r="M1770" s="77"/>
      <c r="N1770" s="24" t="s">
        <v>4870</v>
      </c>
    </row>
    <row r="1771">
      <c r="B1771" s="24"/>
      <c r="C1771" s="24"/>
      <c r="D1771" s="24"/>
      <c r="E1771" s="24"/>
      <c r="G1771" s="143"/>
      <c r="H1771" s="24"/>
      <c r="K1771" s="25"/>
      <c r="L1771" s="25"/>
      <c r="M1771" s="77"/>
      <c r="N1771" s="24" t="s">
        <v>4871</v>
      </c>
    </row>
    <row r="1772">
      <c r="B1772" s="24"/>
      <c r="C1772" s="24"/>
      <c r="D1772" s="24"/>
      <c r="E1772" s="24"/>
      <c r="G1772" s="143"/>
      <c r="H1772" s="24"/>
      <c r="K1772" s="25"/>
      <c r="L1772" s="25"/>
      <c r="M1772" s="77"/>
      <c r="N1772" s="24" t="s">
        <v>4872</v>
      </c>
    </row>
    <row r="1773">
      <c r="B1773" s="24"/>
      <c r="C1773" s="24"/>
      <c r="D1773" s="24"/>
      <c r="E1773" s="24"/>
      <c r="G1773" s="143"/>
      <c r="H1773" s="24"/>
      <c r="K1773" s="25"/>
      <c r="L1773" s="25"/>
      <c r="M1773" s="77"/>
      <c r="N1773" s="24" t="s">
        <v>4873</v>
      </c>
    </row>
    <row r="1774">
      <c r="B1774" s="24"/>
      <c r="C1774" s="24"/>
      <c r="D1774" s="24"/>
      <c r="E1774" s="24"/>
      <c r="G1774" s="143"/>
      <c r="H1774" s="24"/>
      <c r="K1774" s="25"/>
      <c r="L1774" s="25"/>
      <c r="M1774" s="77"/>
      <c r="N1774" s="24" t="s">
        <v>4874</v>
      </c>
    </row>
    <row r="1775">
      <c r="B1775" s="24"/>
      <c r="C1775" s="24"/>
      <c r="D1775" s="24"/>
      <c r="E1775" s="24"/>
      <c r="G1775" s="143"/>
      <c r="H1775" s="24"/>
      <c r="K1775" s="25"/>
      <c r="L1775" s="25"/>
      <c r="M1775" s="77"/>
      <c r="N1775" s="24" t="s">
        <v>4875</v>
      </c>
    </row>
    <row r="1776">
      <c r="B1776" s="24"/>
      <c r="C1776" s="24"/>
      <c r="D1776" s="24"/>
      <c r="E1776" s="24"/>
      <c r="G1776" s="143"/>
      <c r="H1776" s="24"/>
      <c r="K1776" s="25"/>
      <c r="L1776" s="25"/>
      <c r="M1776" s="77"/>
      <c r="N1776" s="24" t="s">
        <v>4876</v>
      </c>
    </row>
    <row r="1777">
      <c r="B1777" s="24"/>
      <c r="C1777" s="24"/>
      <c r="D1777" s="24"/>
      <c r="E1777" s="24"/>
      <c r="G1777" s="143"/>
      <c r="H1777" s="24"/>
      <c r="K1777" s="25"/>
      <c r="L1777" s="25"/>
      <c r="M1777" s="77"/>
      <c r="N1777" s="24" t="s">
        <v>4877</v>
      </c>
    </row>
    <row r="1778">
      <c r="B1778" s="24"/>
      <c r="C1778" s="24"/>
      <c r="D1778" s="24"/>
      <c r="E1778" s="24"/>
      <c r="G1778" s="143"/>
      <c r="H1778" s="24"/>
      <c r="K1778" s="25"/>
      <c r="L1778" s="25"/>
      <c r="M1778" s="77"/>
      <c r="N1778" s="24" t="s">
        <v>4878</v>
      </c>
    </row>
    <row r="1779">
      <c r="B1779" s="24"/>
      <c r="C1779" s="24"/>
      <c r="D1779" s="24"/>
      <c r="E1779" s="24"/>
      <c r="G1779" s="143"/>
      <c r="H1779" s="24"/>
      <c r="K1779" s="25"/>
      <c r="L1779" s="25"/>
      <c r="M1779" s="77"/>
      <c r="N1779" s="24" t="s">
        <v>4879</v>
      </c>
    </row>
    <row r="1780">
      <c r="B1780" s="24"/>
      <c r="C1780" s="24"/>
      <c r="D1780" s="24"/>
      <c r="E1780" s="24"/>
      <c r="G1780" s="143"/>
      <c r="H1780" s="24"/>
      <c r="K1780" s="25"/>
      <c r="L1780" s="25"/>
      <c r="M1780" s="77"/>
      <c r="N1780" s="24" t="s">
        <v>4880</v>
      </c>
    </row>
    <row r="1781">
      <c r="B1781" s="24"/>
      <c r="C1781" s="24"/>
      <c r="D1781" s="24"/>
      <c r="E1781" s="24"/>
      <c r="G1781" s="143"/>
      <c r="H1781" s="24"/>
      <c r="K1781" s="25"/>
      <c r="L1781" s="25"/>
      <c r="M1781" s="77"/>
      <c r="N1781" s="24" t="s">
        <v>4881</v>
      </c>
    </row>
    <row r="1782">
      <c r="B1782" s="24"/>
      <c r="C1782" s="24"/>
      <c r="D1782" s="24"/>
      <c r="E1782" s="24"/>
      <c r="G1782" s="143"/>
      <c r="H1782" s="24"/>
      <c r="K1782" s="25"/>
      <c r="L1782" s="25"/>
      <c r="M1782" s="77"/>
      <c r="N1782" s="24" t="s">
        <v>4882</v>
      </c>
    </row>
    <row r="1783">
      <c r="B1783" s="24"/>
      <c r="C1783" s="24"/>
      <c r="D1783" s="24"/>
      <c r="E1783" s="24"/>
      <c r="G1783" s="143"/>
      <c r="H1783" s="24"/>
      <c r="K1783" s="25"/>
      <c r="L1783" s="25"/>
      <c r="M1783" s="77"/>
      <c r="N1783" s="24" t="s">
        <v>4308</v>
      </c>
    </row>
    <row r="1784">
      <c r="B1784" s="24"/>
      <c r="C1784" s="24"/>
      <c r="D1784" s="24"/>
      <c r="E1784" s="24"/>
      <c r="G1784" s="143"/>
      <c r="H1784" s="24"/>
      <c r="K1784" s="25"/>
      <c r="L1784" s="25"/>
      <c r="M1784" s="77"/>
      <c r="N1784" s="24" t="s">
        <v>4883</v>
      </c>
    </row>
    <row r="1785">
      <c r="B1785" s="24"/>
      <c r="C1785" s="24"/>
      <c r="D1785" s="24"/>
      <c r="E1785" s="24"/>
      <c r="G1785" s="143"/>
      <c r="H1785" s="24"/>
      <c r="K1785" s="25"/>
      <c r="L1785" s="25"/>
      <c r="M1785" s="77"/>
      <c r="N1785" s="24" t="s">
        <v>4884</v>
      </c>
    </row>
    <row r="1786">
      <c r="B1786" s="24"/>
      <c r="C1786" s="24"/>
      <c r="D1786" s="24"/>
      <c r="E1786" s="24"/>
      <c r="G1786" s="143"/>
      <c r="H1786" s="24"/>
      <c r="K1786" s="25"/>
      <c r="L1786" s="25"/>
      <c r="M1786" s="77"/>
      <c r="N1786" s="24" t="s">
        <v>4658</v>
      </c>
    </row>
    <row r="1787">
      <c r="B1787" s="24"/>
      <c r="C1787" s="24"/>
      <c r="D1787" s="24"/>
      <c r="E1787" s="24"/>
      <c r="G1787" s="143"/>
      <c r="H1787" s="24"/>
      <c r="K1787" s="25"/>
      <c r="L1787" s="25"/>
      <c r="M1787" s="77"/>
      <c r="N1787" s="24" t="s">
        <v>4885</v>
      </c>
    </row>
    <row r="1788">
      <c r="B1788" s="24"/>
      <c r="C1788" s="24"/>
      <c r="D1788" s="24"/>
      <c r="E1788" s="24"/>
      <c r="G1788" s="143"/>
      <c r="H1788" s="24"/>
      <c r="K1788" s="25"/>
      <c r="L1788" s="25"/>
      <c r="M1788" s="77"/>
      <c r="N1788" s="24" t="s">
        <v>4886</v>
      </c>
    </row>
    <row r="1789">
      <c r="B1789" s="24"/>
      <c r="C1789" s="24"/>
      <c r="D1789" s="24"/>
      <c r="E1789" s="24"/>
      <c r="G1789" s="143"/>
      <c r="H1789" s="24"/>
      <c r="K1789" s="25"/>
      <c r="L1789" s="25"/>
      <c r="M1789" s="77"/>
      <c r="N1789" s="24" t="s">
        <v>4887</v>
      </c>
    </row>
    <row r="1790">
      <c r="B1790" s="24"/>
      <c r="C1790" s="24"/>
      <c r="D1790" s="24"/>
      <c r="E1790" s="24"/>
      <c r="G1790" s="143"/>
      <c r="H1790" s="24"/>
      <c r="K1790" s="25"/>
      <c r="L1790" s="25"/>
      <c r="M1790" s="77"/>
      <c r="N1790" s="24" t="s">
        <v>4888</v>
      </c>
    </row>
    <row r="1791">
      <c r="B1791" s="24"/>
      <c r="C1791" s="24"/>
      <c r="D1791" s="24"/>
      <c r="E1791" s="24"/>
      <c r="G1791" s="143"/>
      <c r="H1791" s="24"/>
      <c r="K1791" s="25"/>
      <c r="L1791" s="25"/>
      <c r="M1791" s="77"/>
      <c r="N1791" s="24" t="s">
        <v>4889</v>
      </c>
    </row>
    <row r="1792">
      <c r="B1792" s="24"/>
      <c r="C1792" s="24"/>
      <c r="D1792" s="24"/>
      <c r="E1792" s="24"/>
      <c r="G1792" s="143"/>
      <c r="H1792" s="24"/>
      <c r="K1792" s="25"/>
      <c r="L1792" s="25"/>
      <c r="M1792" s="77"/>
      <c r="N1792" s="24" t="s">
        <v>4890</v>
      </c>
    </row>
    <row r="1793">
      <c r="B1793" s="24"/>
      <c r="C1793" s="24"/>
      <c r="D1793" s="24"/>
      <c r="E1793" s="24"/>
      <c r="G1793" s="143"/>
      <c r="H1793" s="24"/>
      <c r="K1793" s="25"/>
      <c r="L1793" s="25"/>
      <c r="M1793" s="77"/>
      <c r="N1793" s="24" t="s">
        <v>4891</v>
      </c>
    </row>
    <row r="1794">
      <c r="B1794" s="24"/>
      <c r="C1794" s="24"/>
      <c r="D1794" s="24"/>
      <c r="E1794" s="24"/>
      <c r="G1794" s="143"/>
      <c r="H1794" s="24"/>
      <c r="K1794" s="25"/>
      <c r="L1794" s="25"/>
      <c r="M1794" s="77"/>
      <c r="N1794" s="24" t="s">
        <v>4892</v>
      </c>
    </row>
    <row r="1795">
      <c r="B1795" s="24"/>
      <c r="C1795" s="24"/>
      <c r="D1795" s="24"/>
      <c r="E1795" s="24"/>
      <c r="G1795" s="143"/>
      <c r="H1795" s="24"/>
      <c r="K1795" s="25"/>
      <c r="L1795" s="25"/>
      <c r="M1795" s="77"/>
      <c r="N1795" s="24" t="s">
        <v>4893</v>
      </c>
    </row>
    <row r="1796">
      <c r="B1796" s="24"/>
      <c r="C1796" s="24"/>
      <c r="D1796" s="24"/>
      <c r="E1796" s="24"/>
      <c r="G1796" s="143"/>
      <c r="H1796" s="24"/>
      <c r="K1796" s="25"/>
      <c r="L1796" s="25"/>
      <c r="M1796" s="77"/>
      <c r="N1796" s="24" t="s">
        <v>4894</v>
      </c>
    </row>
    <row r="1797">
      <c r="B1797" s="24"/>
      <c r="C1797" s="24"/>
      <c r="D1797" s="24"/>
      <c r="E1797" s="24"/>
      <c r="G1797" s="143"/>
      <c r="H1797" s="24"/>
      <c r="K1797" s="25"/>
      <c r="L1797" s="25"/>
      <c r="M1797" s="77"/>
      <c r="N1797" s="24" t="s">
        <v>4895</v>
      </c>
    </row>
    <row r="1798">
      <c r="B1798" s="24"/>
      <c r="C1798" s="24"/>
      <c r="D1798" s="24"/>
      <c r="E1798" s="24"/>
      <c r="G1798" s="143"/>
      <c r="H1798" s="24"/>
      <c r="K1798" s="25"/>
      <c r="L1798" s="25"/>
      <c r="M1798" s="77"/>
      <c r="N1798" s="24" t="s">
        <v>4896</v>
      </c>
    </row>
    <row r="1799">
      <c r="B1799" s="24"/>
      <c r="C1799" s="24"/>
      <c r="D1799" s="24"/>
      <c r="E1799" s="24"/>
      <c r="G1799" s="143"/>
      <c r="H1799" s="24"/>
      <c r="K1799" s="25"/>
      <c r="L1799" s="25"/>
      <c r="M1799" s="77"/>
      <c r="N1799" s="24" t="s">
        <v>4897</v>
      </c>
    </row>
    <row r="1800">
      <c r="B1800" s="24"/>
      <c r="C1800" s="24"/>
      <c r="D1800" s="24"/>
      <c r="E1800" s="24"/>
      <c r="G1800" s="143"/>
      <c r="H1800" s="24"/>
      <c r="K1800" s="25"/>
      <c r="L1800" s="25"/>
      <c r="M1800" s="77"/>
      <c r="N1800" s="24" t="s">
        <v>4898</v>
      </c>
    </row>
    <row r="1801">
      <c r="B1801" s="24"/>
      <c r="C1801" s="24"/>
      <c r="D1801" s="24"/>
      <c r="E1801" s="24"/>
      <c r="G1801" s="143"/>
      <c r="H1801" s="24"/>
      <c r="K1801" s="25"/>
      <c r="L1801" s="25"/>
      <c r="M1801" s="77"/>
      <c r="N1801" s="24" t="s">
        <v>4899</v>
      </c>
    </row>
    <row r="1802">
      <c r="B1802" s="24"/>
      <c r="C1802" s="24"/>
      <c r="D1802" s="24"/>
      <c r="E1802" s="24"/>
      <c r="G1802" s="143"/>
      <c r="H1802" s="24"/>
      <c r="K1802" s="25"/>
      <c r="L1802" s="25"/>
      <c r="M1802" s="77"/>
      <c r="N1802" s="24" t="s">
        <v>4900</v>
      </c>
    </row>
    <row r="1803">
      <c r="B1803" s="24"/>
      <c r="C1803" s="24"/>
      <c r="D1803" s="24"/>
      <c r="E1803" s="24"/>
      <c r="G1803" s="143"/>
      <c r="H1803" s="24"/>
      <c r="K1803" s="25"/>
      <c r="L1803" s="25"/>
      <c r="M1803" s="77"/>
      <c r="N1803" s="24" t="s">
        <v>4901</v>
      </c>
    </row>
    <row r="1804">
      <c r="B1804" s="24"/>
      <c r="C1804" s="24"/>
      <c r="D1804" s="24"/>
      <c r="E1804" s="24"/>
      <c r="G1804" s="143"/>
      <c r="H1804" s="24"/>
      <c r="K1804" s="25"/>
      <c r="L1804" s="25"/>
      <c r="M1804" s="77"/>
      <c r="N1804" s="24" t="s">
        <v>4902</v>
      </c>
    </row>
    <row r="1805">
      <c r="B1805" s="24"/>
      <c r="C1805" s="24"/>
      <c r="D1805" s="24"/>
      <c r="E1805" s="24"/>
      <c r="G1805" s="143"/>
      <c r="H1805" s="24"/>
      <c r="K1805" s="25"/>
      <c r="L1805" s="25"/>
      <c r="M1805" s="77"/>
      <c r="N1805" s="24" t="s">
        <v>4903</v>
      </c>
    </row>
    <row r="1806">
      <c r="B1806" s="24"/>
      <c r="C1806" s="24"/>
      <c r="D1806" s="24"/>
      <c r="E1806" s="24"/>
      <c r="G1806" s="143"/>
      <c r="H1806" s="24"/>
      <c r="K1806" s="25"/>
      <c r="L1806" s="25"/>
      <c r="M1806" s="77"/>
      <c r="N1806" s="24" t="s">
        <v>4904</v>
      </c>
    </row>
    <row r="1807">
      <c r="B1807" s="24"/>
      <c r="C1807" s="24"/>
      <c r="D1807" s="24"/>
      <c r="E1807" s="24"/>
      <c r="G1807" s="143"/>
      <c r="H1807" s="24"/>
      <c r="K1807" s="25"/>
      <c r="L1807" s="25"/>
      <c r="M1807" s="77"/>
      <c r="N1807" s="24" t="s">
        <v>4905</v>
      </c>
    </row>
    <row r="1808">
      <c r="B1808" s="24"/>
      <c r="C1808" s="24"/>
      <c r="D1808" s="24"/>
      <c r="E1808" s="24"/>
      <c r="G1808" s="143"/>
      <c r="H1808" s="24"/>
      <c r="K1808" s="25"/>
      <c r="L1808" s="25"/>
      <c r="M1808" s="77"/>
      <c r="N1808" s="24" t="s">
        <v>4906</v>
      </c>
    </row>
    <row r="1809">
      <c r="B1809" s="24"/>
      <c r="C1809" s="24"/>
      <c r="D1809" s="24"/>
      <c r="E1809" s="24"/>
      <c r="G1809" s="143"/>
      <c r="H1809" s="24"/>
      <c r="K1809" s="25"/>
      <c r="L1809" s="25"/>
      <c r="M1809" s="77"/>
      <c r="N1809" s="24" t="s">
        <v>4907</v>
      </c>
    </row>
    <row r="1810">
      <c r="B1810" s="24"/>
      <c r="C1810" s="24"/>
      <c r="D1810" s="24"/>
      <c r="E1810" s="24"/>
      <c r="G1810" s="143"/>
      <c r="H1810" s="24"/>
      <c r="K1810" s="25"/>
      <c r="L1810" s="25"/>
      <c r="M1810" s="77"/>
      <c r="N1810" s="24" t="s">
        <v>4908</v>
      </c>
    </row>
    <row r="1811">
      <c r="B1811" s="24"/>
      <c r="C1811" s="24"/>
      <c r="D1811" s="24"/>
      <c r="E1811" s="24"/>
      <c r="G1811" s="143"/>
      <c r="H1811" s="24"/>
      <c r="K1811" s="25"/>
      <c r="L1811" s="25"/>
      <c r="M1811" s="77"/>
      <c r="N1811" s="24" t="s">
        <v>4909</v>
      </c>
    </row>
    <row r="1812">
      <c r="B1812" s="24"/>
      <c r="C1812" s="24"/>
      <c r="D1812" s="24"/>
      <c r="E1812" s="24"/>
      <c r="G1812" s="143"/>
      <c r="H1812" s="24"/>
      <c r="K1812" s="25"/>
      <c r="L1812" s="25"/>
      <c r="M1812" s="77"/>
      <c r="N1812" s="24" t="s">
        <v>4910</v>
      </c>
    </row>
    <row r="1813">
      <c r="B1813" s="24"/>
      <c r="C1813" s="24"/>
      <c r="D1813" s="24"/>
      <c r="E1813" s="24"/>
      <c r="G1813" s="143"/>
      <c r="H1813" s="24"/>
      <c r="K1813" s="25"/>
      <c r="L1813" s="25"/>
      <c r="M1813" s="77"/>
      <c r="N1813" s="24" t="s">
        <v>4911</v>
      </c>
    </row>
    <row r="1814">
      <c r="B1814" s="24"/>
      <c r="C1814" s="24"/>
      <c r="D1814" s="24"/>
      <c r="E1814" s="24"/>
      <c r="G1814" s="143"/>
      <c r="H1814" s="24"/>
      <c r="K1814" s="25"/>
      <c r="L1814" s="25"/>
      <c r="M1814" s="77"/>
      <c r="N1814" s="24" t="s">
        <v>4912</v>
      </c>
    </row>
    <row r="1815">
      <c r="B1815" s="24"/>
      <c r="C1815" s="24"/>
      <c r="D1815" s="24"/>
      <c r="E1815" s="24"/>
      <c r="G1815" s="143"/>
      <c r="H1815" s="24"/>
      <c r="K1815" s="25"/>
      <c r="L1815" s="25"/>
      <c r="M1815" s="77"/>
      <c r="N1815" s="24" t="s">
        <v>4913</v>
      </c>
    </row>
    <row r="1816">
      <c r="B1816" s="24"/>
      <c r="C1816" s="24"/>
      <c r="D1816" s="24"/>
      <c r="E1816" s="24"/>
      <c r="G1816" s="143"/>
      <c r="H1816" s="24"/>
      <c r="K1816" s="25"/>
      <c r="L1816" s="25"/>
      <c r="M1816" s="77"/>
      <c r="N1816" s="24" t="s">
        <v>4914</v>
      </c>
    </row>
    <row r="1817">
      <c r="B1817" s="24"/>
      <c r="C1817" s="24"/>
      <c r="D1817" s="24"/>
      <c r="E1817" s="24"/>
      <c r="G1817" s="143"/>
      <c r="H1817" s="24"/>
      <c r="K1817" s="25"/>
      <c r="L1817" s="25"/>
      <c r="M1817" s="77"/>
      <c r="N1817" s="24" t="s">
        <v>4915</v>
      </c>
    </row>
    <row r="1818">
      <c r="B1818" s="24"/>
      <c r="C1818" s="24"/>
      <c r="D1818" s="24"/>
      <c r="E1818" s="24"/>
      <c r="G1818" s="143"/>
      <c r="H1818" s="24"/>
      <c r="K1818" s="25"/>
      <c r="L1818" s="25"/>
      <c r="M1818" s="77"/>
      <c r="N1818" s="24" t="s">
        <v>4916</v>
      </c>
    </row>
    <row r="1819">
      <c r="B1819" s="24"/>
      <c r="C1819" s="24"/>
      <c r="D1819" s="24"/>
      <c r="E1819" s="24"/>
      <c r="G1819" s="143"/>
      <c r="H1819" s="24"/>
      <c r="K1819" s="25"/>
      <c r="L1819" s="25"/>
      <c r="M1819" s="77"/>
      <c r="N1819" s="24" t="s">
        <v>4917</v>
      </c>
    </row>
    <row r="1820">
      <c r="B1820" s="24"/>
      <c r="C1820" s="24"/>
      <c r="D1820" s="24"/>
      <c r="E1820" s="24"/>
      <c r="G1820" s="143"/>
      <c r="H1820" s="24"/>
      <c r="K1820" s="25"/>
      <c r="L1820" s="25"/>
      <c r="M1820" s="77"/>
      <c r="N1820" s="24" t="s">
        <v>4918</v>
      </c>
    </row>
    <row r="1821">
      <c r="B1821" s="24"/>
      <c r="C1821" s="24"/>
      <c r="D1821" s="24"/>
      <c r="E1821" s="24"/>
      <c r="G1821" s="143"/>
      <c r="H1821" s="24"/>
      <c r="K1821" s="25"/>
      <c r="L1821" s="25"/>
      <c r="M1821" s="77"/>
      <c r="N1821" s="24" t="s">
        <v>4919</v>
      </c>
    </row>
    <row r="1822">
      <c r="B1822" s="24"/>
      <c r="C1822" s="24"/>
      <c r="D1822" s="24"/>
      <c r="E1822" s="24"/>
      <c r="G1822" s="143"/>
      <c r="H1822" s="24"/>
      <c r="K1822" s="25"/>
      <c r="L1822" s="25"/>
      <c r="M1822" s="77"/>
      <c r="N1822" s="24" t="s">
        <v>4920</v>
      </c>
    </row>
    <row r="1823">
      <c r="B1823" s="24"/>
      <c r="C1823" s="24"/>
      <c r="D1823" s="24"/>
      <c r="E1823" s="24"/>
      <c r="G1823" s="143"/>
      <c r="H1823" s="24"/>
      <c r="K1823" s="25"/>
      <c r="L1823" s="25"/>
      <c r="M1823" s="77"/>
      <c r="N1823" s="24" t="s">
        <v>4921</v>
      </c>
    </row>
    <row r="1824">
      <c r="B1824" s="24"/>
      <c r="C1824" s="24"/>
      <c r="D1824" s="24"/>
      <c r="E1824" s="24"/>
      <c r="G1824" s="143"/>
      <c r="H1824" s="24"/>
      <c r="K1824" s="25"/>
      <c r="L1824" s="25"/>
      <c r="M1824" s="77"/>
      <c r="N1824" s="24" t="s">
        <v>4922</v>
      </c>
    </row>
    <row r="1825">
      <c r="B1825" s="24"/>
      <c r="C1825" s="24"/>
      <c r="D1825" s="24"/>
      <c r="E1825" s="24"/>
      <c r="G1825" s="143"/>
      <c r="H1825" s="24"/>
      <c r="K1825" s="25"/>
      <c r="L1825" s="25"/>
      <c r="M1825" s="77"/>
      <c r="N1825" s="24" t="s">
        <v>4923</v>
      </c>
    </row>
    <row r="1826">
      <c r="B1826" s="24"/>
      <c r="C1826" s="24"/>
      <c r="D1826" s="24"/>
      <c r="E1826" s="24"/>
      <c r="G1826" s="143"/>
      <c r="H1826" s="24"/>
      <c r="K1826" s="25"/>
      <c r="L1826" s="25"/>
      <c r="M1826" s="77"/>
      <c r="N1826" s="24" t="s">
        <v>4924</v>
      </c>
    </row>
    <row r="1827">
      <c r="B1827" s="24"/>
      <c r="C1827" s="24"/>
      <c r="D1827" s="24"/>
      <c r="E1827" s="24"/>
      <c r="G1827" s="143"/>
      <c r="H1827" s="24"/>
      <c r="K1827" s="25"/>
      <c r="L1827" s="25"/>
      <c r="M1827" s="77"/>
      <c r="N1827" s="24" t="s">
        <v>4925</v>
      </c>
    </row>
    <row r="1828">
      <c r="B1828" s="24"/>
      <c r="C1828" s="24"/>
      <c r="D1828" s="24"/>
      <c r="E1828" s="24"/>
      <c r="G1828" s="143"/>
      <c r="H1828" s="24"/>
      <c r="K1828" s="25"/>
      <c r="L1828" s="25"/>
      <c r="M1828" s="77"/>
      <c r="N1828" s="24" t="s">
        <v>4926</v>
      </c>
    </row>
    <row r="1829">
      <c r="B1829" s="24"/>
      <c r="C1829" s="24"/>
      <c r="D1829" s="24"/>
      <c r="E1829" s="24"/>
      <c r="G1829" s="143"/>
      <c r="H1829" s="24"/>
      <c r="K1829" s="25"/>
      <c r="L1829" s="25"/>
      <c r="M1829" s="77"/>
      <c r="N1829" s="24" t="s">
        <v>4927</v>
      </c>
    </row>
    <row r="1830">
      <c r="B1830" s="24"/>
      <c r="C1830" s="24"/>
      <c r="D1830" s="24"/>
      <c r="E1830" s="24"/>
      <c r="G1830" s="143"/>
      <c r="H1830" s="24"/>
      <c r="K1830" s="25"/>
      <c r="L1830" s="25"/>
      <c r="M1830" s="77"/>
      <c r="N1830" s="24" t="s">
        <v>4928</v>
      </c>
    </row>
    <row r="1831">
      <c r="B1831" s="24"/>
      <c r="C1831" s="24"/>
      <c r="D1831" s="24"/>
      <c r="E1831" s="24"/>
      <c r="G1831" s="143"/>
      <c r="H1831" s="24"/>
      <c r="K1831" s="25"/>
      <c r="L1831" s="25"/>
      <c r="M1831" s="77"/>
      <c r="N1831" s="24" t="s">
        <v>4929</v>
      </c>
    </row>
    <row r="1832">
      <c r="B1832" s="24"/>
      <c r="C1832" s="24"/>
      <c r="D1832" s="24"/>
      <c r="E1832" s="24"/>
      <c r="G1832" s="143"/>
      <c r="H1832" s="24"/>
      <c r="K1832" s="25"/>
      <c r="L1832" s="25"/>
      <c r="M1832" s="77"/>
      <c r="N1832" s="24" t="s">
        <v>4930</v>
      </c>
    </row>
    <row r="1833">
      <c r="B1833" s="24"/>
      <c r="C1833" s="24"/>
      <c r="D1833" s="24"/>
      <c r="E1833" s="24"/>
      <c r="G1833" s="143"/>
      <c r="H1833" s="24"/>
      <c r="K1833" s="25"/>
      <c r="L1833" s="25"/>
      <c r="M1833" s="77"/>
      <c r="N1833" s="24" t="s">
        <v>4931</v>
      </c>
    </row>
    <row r="1834">
      <c r="B1834" s="24"/>
      <c r="C1834" s="24"/>
      <c r="D1834" s="24"/>
      <c r="E1834" s="24"/>
      <c r="G1834" s="143"/>
      <c r="H1834" s="24"/>
      <c r="K1834" s="25"/>
      <c r="L1834" s="25"/>
      <c r="M1834" s="77"/>
      <c r="N1834" s="24" t="s">
        <v>4932</v>
      </c>
    </row>
    <row r="1835">
      <c r="B1835" s="24"/>
      <c r="C1835" s="24"/>
      <c r="D1835" s="24"/>
      <c r="E1835" s="24"/>
      <c r="G1835" s="143"/>
      <c r="H1835" s="24"/>
      <c r="K1835" s="25"/>
      <c r="L1835" s="25"/>
      <c r="M1835" s="77"/>
      <c r="N1835" s="24" t="s">
        <v>4933</v>
      </c>
    </row>
    <row r="1836">
      <c r="B1836" s="24"/>
      <c r="C1836" s="24"/>
      <c r="D1836" s="24"/>
      <c r="E1836" s="24"/>
      <c r="G1836" s="143"/>
      <c r="H1836" s="24"/>
      <c r="K1836" s="25"/>
      <c r="L1836" s="25"/>
      <c r="M1836" s="77"/>
      <c r="N1836" s="24" t="s">
        <v>4934</v>
      </c>
    </row>
    <row r="1837">
      <c r="B1837" s="24"/>
      <c r="C1837" s="24"/>
      <c r="D1837" s="24"/>
      <c r="E1837" s="24"/>
      <c r="G1837" s="143"/>
      <c r="H1837" s="24"/>
      <c r="K1837" s="25"/>
      <c r="L1837" s="25"/>
      <c r="M1837" s="77"/>
      <c r="N1837" s="24" t="s">
        <v>4935</v>
      </c>
    </row>
    <row r="1838">
      <c r="B1838" s="24"/>
      <c r="C1838" s="24"/>
      <c r="D1838" s="24"/>
      <c r="E1838" s="24"/>
      <c r="G1838" s="143"/>
      <c r="H1838" s="24"/>
      <c r="K1838" s="25"/>
      <c r="L1838" s="25"/>
      <c r="M1838" s="77"/>
      <c r="N1838" s="24" t="s">
        <v>4699</v>
      </c>
    </row>
    <row r="1839">
      <c r="B1839" s="24"/>
      <c r="C1839" s="24"/>
      <c r="D1839" s="24"/>
      <c r="E1839" s="24"/>
      <c r="G1839" s="143"/>
      <c r="H1839" s="24"/>
      <c r="K1839" s="25"/>
      <c r="L1839" s="25"/>
      <c r="M1839" s="77"/>
      <c r="N1839" s="24" t="s">
        <v>4936</v>
      </c>
    </row>
    <row r="1840">
      <c r="B1840" s="24"/>
      <c r="C1840" s="24"/>
      <c r="D1840" s="24"/>
      <c r="E1840" s="24"/>
      <c r="G1840" s="143"/>
      <c r="H1840" s="24"/>
      <c r="K1840" s="25"/>
      <c r="L1840" s="25"/>
      <c r="M1840" s="77"/>
      <c r="N1840" s="24" t="s">
        <v>4937</v>
      </c>
    </row>
    <row r="1841">
      <c r="B1841" s="24"/>
      <c r="C1841" s="24"/>
      <c r="D1841" s="24"/>
      <c r="E1841" s="24"/>
      <c r="G1841" s="143"/>
      <c r="H1841" s="24"/>
      <c r="K1841" s="25"/>
      <c r="L1841" s="25"/>
      <c r="M1841" s="77"/>
      <c r="N1841" s="24" t="s">
        <v>4938</v>
      </c>
    </row>
    <row r="1842">
      <c r="B1842" s="24"/>
      <c r="C1842" s="24"/>
      <c r="D1842" s="24"/>
      <c r="E1842" s="24"/>
      <c r="G1842" s="143"/>
      <c r="H1842" s="24"/>
      <c r="K1842" s="25"/>
      <c r="L1842" s="25"/>
      <c r="M1842" s="77"/>
      <c r="N1842" s="24" t="s">
        <v>4939</v>
      </c>
    </row>
    <row r="1843">
      <c r="B1843" s="24"/>
      <c r="C1843" s="24"/>
      <c r="D1843" s="24"/>
      <c r="E1843" s="24"/>
      <c r="G1843" s="143"/>
      <c r="H1843" s="24"/>
      <c r="K1843" s="25"/>
      <c r="L1843" s="25"/>
      <c r="M1843" s="77"/>
      <c r="N1843" s="24" t="s">
        <v>4940</v>
      </c>
    </row>
    <row r="1844">
      <c r="B1844" s="24"/>
      <c r="C1844" s="24"/>
      <c r="D1844" s="24"/>
      <c r="E1844" s="24"/>
      <c r="G1844" s="143"/>
      <c r="H1844" s="24"/>
      <c r="K1844" s="25"/>
      <c r="L1844" s="25"/>
      <c r="M1844" s="77"/>
      <c r="N1844" s="24" t="s">
        <v>4941</v>
      </c>
    </row>
    <row r="1845">
      <c r="B1845" s="24"/>
      <c r="C1845" s="24"/>
      <c r="D1845" s="24"/>
      <c r="E1845" s="24"/>
      <c r="G1845" s="143"/>
      <c r="H1845" s="24"/>
      <c r="K1845" s="25"/>
      <c r="L1845" s="25"/>
      <c r="M1845" s="77"/>
      <c r="N1845" s="24" t="s">
        <v>4942</v>
      </c>
    </row>
    <row r="1846">
      <c r="B1846" s="24"/>
      <c r="C1846" s="24"/>
      <c r="D1846" s="24"/>
      <c r="E1846" s="24"/>
      <c r="G1846" s="143"/>
      <c r="H1846" s="24"/>
      <c r="K1846" s="25"/>
      <c r="L1846" s="25"/>
      <c r="M1846" s="77"/>
      <c r="N1846" s="24" t="s">
        <v>4943</v>
      </c>
    </row>
    <row r="1847">
      <c r="B1847" s="24"/>
      <c r="C1847" s="24"/>
      <c r="D1847" s="24"/>
      <c r="E1847" s="24"/>
      <c r="G1847" s="143"/>
      <c r="H1847" s="24"/>
      <c r="K1847" s="25"/>
      <c r="L1847" s="25"/>
      <c r="M1847" s="77"/>
      <c r="N1847" s="24" t="s">
        <v>4944</v>
      </c>
    </row>
    <row r="1848">
      <c r="B1848" s="24"/>
      <c r="C1848" s="24"/>
      <c r="D1848" s="24"/>
      <c r="E1848" s="24"/>
      <c r="G1848" s="143"/>
      <c r="H1848" s="24"/>
      <c r="K1848" s="25"/>
      <c r="L1848" s="25"/>
      <c r="M1848" s="77"/>
      <c r="N1848" s="24" t="s">
        <v>4945</v>
      </c>
    </row>
    <row r="1849">
      <c r="B1849" s="24"/>
      <c r="C1849" s="24"/>
      <c r="D1849" s="24"/>
      <c r="E1849" s="24"/>
      <c r="G1849" s="143"/>
      <c r="H1849" s="24"/>
      <c r="K1849" s="25"/>
      <c r="L1849" s="25"/>
      <c r="M1849" s="77"/>
      <c r="N1849" s="24" t="s">
        <v>4946</v>
      </c>
    </row>
    <row r="1850">
      <c r="B1850" s="24"/>
      <c r="C1850" s="24"/>
      <c r="D1850" s="24"/>
      <c r="E1850" s="24"/>
      <c r="G1850" s="143"/>
      <c r="H1850" s="24"/>
      <c r="K1850" s="25"/>
      <c r="L1850" s="25"/>
      <c r="M1850" s="77"/>
      <c r="N1850" s="24" t="s">
        <v>4947</v>
      </c>
    </row>
    <row r="1851">
      <c r="B1851" s="24"/>
      <c r="C1851" s="24"/>
      <c r="D1851" s="24"/>
      <c r="E1851" s="24"/>
      <c r="G1851" s="143"/>
      <c r="H1851" s="24"/>
      <c r="K1851" s="25"/>
      <c r="L1851" s="25"/>
      <c r="M1851" s="77"/>
      <c r="N1851" s="24" t="s">
        <v>4948</v>
      </c>
    </row>
    <row r="1852">
      <c r="B1852" s="24"/>
      <c r="C1852" s="24"/>
      <c r="D1852" s="24"/>
      <c r="E1852" s="24"/>
      <c r="G1852" s="143"/>
      <c r="H1852" s="24"/>
      <c r="K1852" s="25"/>
      <c r="L1852" s="25"/>
      <c r="M1852" s="77"/>
      <c r="N1852" s="24" t="s">
        <v>4949</v>
      </c>
    </row>
    <row r="1853">
      <c r="B1853" s="24"/>
      <c r="C1853" s="24"/>
      <c r="D1853" s="24"/>
      <c r="E1853" s="24"/>
      <c r="G1853" s="143"/>
      <c r="H1853" s="24"/>
      <c r="K1853" s="25"/>
      <c r="L1853" s="25"/>
      <c r="M1853" s="77"/>
      <c r="N1853" s="24" t="s">
        <v>4950</v>
      </c>
    </row>
    <row r="1854">
      <c r="B1854" s="24"/>
      <c r="C1854" s="24"/>
      <c r="D1854" s="24"/>
      <c r="E1854" s="24"/>
      <c r="G1854" s="143"/>
      <c r="H1854" s="24"/>
      <c r="K1854" s="25"/>
      <c r="L1854" s="25"/>
      <c r="M1854" s="77"/>
      <c r="N1854" s="24" t="s">
        <v>4951</v>
      </c>
    </row>
    <row r="1855">
      <c r="B1855" s="24"/>
      <c r="C1855" s="24"/>
      <c r="D1855" s="24"/>
      <c r="E1855" s="24"/>
      <c r="G1855" s="143"/>
      <c r="H1855" s="24"/>
      <c r="K1855" s="25"/>
      <c r="L1855" s="25"/>
      <c r="M1855" s="77"/>
      <c r="N1855" s="24" t="s">
        <v>4952</v>
      </c>
    </row>
    <row r="1856">
      <c r="B1856" s="24"/>
      <c r="C1856" s="24"/>
      <c r="D1856" s="24"/>
      <c r="E1856" s="24"/>
      <c r="G1856" s="143"/>
      <c r="H1856" s="24"/>
      <c r="K1856" s="25"/>
      <c r="L1856" s="25"/>
      <c r="M1856" s="77"/>
      <c r="N1856" s="24" t="s">
        <v>4953</v>
      </c>
    </row>
    <row r="1857">
      <c r="B1857" s="24"/>
      <c r="C1857" s="24"/>
      <c r="D1857" s="24"/>
      <c r="E1857" s="24"/>
      <c r="G1857" s="143"/>
      <c r="H1857" s="24"/>
      <c r="K1857" s="25"/>
      <c r="L1857" s="25"/>
      <c r="M1857" s="77"/>
      <c r="N1857" s="24" t="s">
        <v>4954</v>
      </c>
    </row>
    <row r="1858">
      <c r="B1858" s="24"/>
      <c r="C1858" s="24"/>
      <c r="D1858" s="24"/>
      <c r="E1858" s="24"/>
      <c r="G1858" s="143"/>
      <c r="H1858" s="24"/>
      <c r="K1858" s="25"/>
      <c r="L1858" s="25"/>
      <c r="M1858" s="77"/>
      <c r="N1858" s="24" t="s">
        <v>4955</v>
      </c>
    </row>
    <row r="1859">
      <c r="B1859" s="24"/>
      <c r="C1859" s="24"/>
      <c r="D1859" s="24"/>
      <c r="E1859" s="24"/>
      <c r="G1859" s="143"/>
      <c r="H1859" s="24"/>
      <c r="K1859" s="25"/>
      <c r="L1859" s="25"/>
      <c r="M1859" s="77"/>
      <c r="N1859" s="24" t="s">
        <v>4956</v>
      </c>
    </row>
    <row r="1860">
      <c r="B1860" s="24"/>
      <c r="C1860" s="24"/>
      <c r="D1860" s="24"/>
      <c r="E1860" s="24"/>
      <c r="G1860" s="143"/>
      <c r="H1860" s="24"/>
      <c r="K1860" s="25"/>
      <c r="L1860" s="25"/>
      <c r="M1860" s="77"/>
      <c r="N1860" s="24" t="s">
        <v>4957</v>
      </c>
    </row>
    <row r="1861">
      <c r="B1861" s="24"/>
      <c r="C1861" s="24"/>
      <c r="D1861" s="24"/>
      <c r="E1861" s="24"/>
      <c r="G1861" s="143"/>
      <c r="H1861" s="24"/>
      <c r="K1861" s="25"/>
      <c r="L1861" s="25"/>
      <c r="M1861" s="77"/>
      <c r="N1861" s="24" t="s">
        <v>4958</v>
      </c>
    </row>
    <row r="1862">
      <c r="B1862" s="24"/>
      <c r="C1862" s="24"/>
      <c r="D1862" s="24"/>
      <c r="E1862" s="24"/>
      <c r="G1862" s="143"/>
      <c r="H1862" s="24"/>
      <c r="K1862" s="25"/>
      <c r="L1862" s="25"/>
      <c r="M1862" s="77"/>
      <c r="N1862" s="24" t="s">
        <v>4959</v>
      </c>
    </row>
    <row r="1863">
      <c r="B1863" s="24"/>
      <c r="C1863" s="24"/>
      <c r="D1863" s="24"/>
      <c r="E1863" s="24"/>
      <c r="G1863" s="143"/>
      <c r="H1863" s="24"/>
      <c r="K1863" s="25"/>
      <c r="L1863" s="25"/>
      <c r="M1863" s="77"/>
      <c r="N1863" s="24" t="s">
        <v>4960</v>
      </c>
    </row>
    <row r="1864">
      <c r="B1864" s="24"/>
      <c r="C1864" s="24"/>
      <c r="D1864" s="24"/>
      <c r="E1864" s="24"/>
      <c r="G1864" s="143"/>
      <c r="H1864" s="24"/>
      <c r="K1864" s="25"/>
      <c r="L1864" s="25"/>
      <c r="M1864" s="77"/>
      <c r="N1864" s="24" t="s">
        <v>4961</v>
      </c>
    </row>
    <row r="1865">
      <c r="B1865" s="24"/>
      <c r="C1865" s="24"/>
      <c r="D1865" s="24"/>
      <c r="E1865" s="24"/>
      <c r="G1865" s="143"/>
      <c r="H1865" s="24"/>
      <c r="K1865" s="25"/>
      <c r="L1865" s="25"/>
      <c r="M1865" s="77"/>
      <c r="N1865" s="24" t="s">
        <v>4962</v>
      </c>
    </row>
    <row r="1866">
      <c r="B1866" s="24"/>
      <c r="C1866" s="24"/>
      <c r="D1866" s="24"/>
      <c r="E1866" s="24"/>
      <c r="G1866" s="143"/>
      <c r="H1866" s="24"/>
      <c r="K1866" s="25"/>
      <c r="L1866" s="25"/>
      <c r="M1866" s="77"/>
      <c r="N1866" s="24" t="s">
        <v>4963</v>
      </c>
    </row>
    <row r="1867">
      <c r="B1867" s="24"/>
      <c r="C1867" s="24"/>
      <c r="D1867" s="24"/>
      <c r="E1867" s="24"/>
      <c r="G1867" s="143"/>
      <c r="H1867" s="24"/>
      <c r="K1867" s="25"/>
      <c r="L1867" s="25"/>
      <c r="M1867" s="77"/>
      <c r="N1867" s="24" t="s">
        <v>4964</v>
      </c>
    </row>
    <row r="1868">
      <c r="B1868" s="24"/>
      <c r="C1868" s="24"/>
      <c r="D1868" s="24"/>
      <c r="E1868" s="24"/>
      <c r="G1868" s="143"/>
      <c r="H1868" s="24"/>
      <c r="K1868" s="25"/>
      <c r="L1868" s="25"/>
      <c r="M1868" s="77"/>
      <c r="N1868" s="24" t="s">
        <v>4965</v>
      </c>
    </row>
    <row r="1869">
      <c r="B1869" s="24"/>
      <c r="C1869" s="24"/>
      <c r="D1869" s="24"/>
      <c r="E1869" s="24"/>
      <c r="G1869" s="143"/>
      <c r="H1869" s="24"/>
      <c r="K1869" s="25"/>
      <c r="L1869" s="25"/>
      <c r="M1869" s="77"/>
      <c r="N1869" s="24" t="s">
        <v>4966</v>
      </c>
    </row>
    <row r="1870">
      <c r="B1870" s="24"/>
      <c r="C1870" s="24"/>
      <c r="D1870" s="24"/>
      <c r="E1870" s="24"/>
      <c r="G1870" s="143"/>
      <c r="H1870" s="24"/>
      <c r="K1870" s="25"/>
      <c r="L1870" s="25"/>
      <c r="M1870" s="77"/>
      <c r="N1870" s="24" t="s">
        <v>4967</v>
      </c>
    </row>
    <row r="1871">
      <c r="B1871" s="24"/>
      <c r="C1871" s="24"/>
      <c r="D1871" s="24"/>
      <c r="E1871" s="24"/>
      <c r="G1871" s="143"/>
      <c r="H1871" s="24"/>
      <c r="K1871" s="25"/>
      <c r="L1871" s="25"/>
      <c r="M1871" s="77"/>
      <c r="N1871" s="24" t="s">
        <v>4968</v>
      </c>
    </row>
    <row r="1872">
      <c r="B1872" s="24"/>
      <c r="C1872" s="24"/>
      <c r="D1872" s="24"/>
      <c r="E1872" s="24"/>
      <c r="G1872" s="143"/>
      <c r="H1872" s="24"/>
      <c r="K1872" s="25"/>
      <c r="L1872" s="25"/>
      <c r="M1872" s="77"/>
      <c r="N1872" s="24" t="s">
        <v>4969</v>
      </c>
    </row>
    <row r="1873">
      <c r="B1873" s="24"/>
      <c r="C1873" s="24"/>
      <c r="D1873" s="24"/>
      <c r="E1873" s="24"/>
      <c r="G1873" s="143"/>
      <c r="H1873" s="24"/>
      <c r="K1873" s="25"/>
      <c r="L1873" s="25"/>
      <c r="M1873" s="77"/>
      <c r="N1873" s="24" t="s">
        <v>4970</v>
      </c>
    </row>
    <row r="1874">
      <c r="B1874" s="24"/>
      <c r="C1874" s="24"/>
      <c r="D1874" s="24"/>
      <c r="E1874" s="24"/>
      <c r="G1874" s="143"/>
      <c r="H1874" s="24"/>
      <c r="K1874" s="25"/>
      <c r="L1874" s="25"/>
      <c r="M1874" s="77"/>
      <c r="N1874" s="24" t="s">
        <v>4971</v>
      </c>
    </row>
    <row r="1875">
      <c r="B1875" s="24"/>
      <c r="C1875" s="24"/>
      <c r="D1875" s="24"/>
      <c r="E1875" s="24"/>
      <c r="G1875" s="143"/>
      <c r="H1875" s="24"/>
      <c r="K1875" s="25"/>
      <c r="L1875" s="25"/>
      <c r="M1875" s="77"/>
      <c r="N1875" s="24" t="s">
        <v>4159</v>
      </c>
    </row>
    <row r="1876">
      <c r="B1876" s="24"/>
      <c r="C1876" s="24"/>
      <c r="D1876" s="24"/>
      <c r="E1876" s="24"/>
      <c r="G1876" s="143"/>
      <c r="H1876" s="24"/>
      <c r="K1876" s="25"/>
      <c r="L1876" s="25"/>
      <c r="M1876" s="77"/>
      <c r="N1876" s="24" t="s">
        <v>4972</v>
      </c>
    </row>
    <row r="1877">
      <c r="B1877" s="24"/>
      <c r="C1877" s="24"/>
      <c r="D1877" s="24"/>
      <c r="E1877" s="24"/>
      <c r="G1877" s="143"/>
      <c r="H1877" s="24"/>
      <c r="K1877" s="25"/>
      <c r="L1877" s="25"/>
      <c r="M1877" s="77"/>
      <c r="N1877" s="24" t="s">
        <v>4973</v>
      </c>
    </row>
    <row r="1878">
      <c r="B1878" s="24"/>
      <c r="C1878" s="24"/>
      <c r="D1878" s="24"/>
      <c r="E1878" s="24"/>
      <c r="G1878" s="143"/>
      <c r="H1878" s="24"/>
      <c r="K1878" s="25"/>
      <c r="L1878" s="25"/>
      <c r="M1878" s="77"/>
      <c r="N1878" s="24" t="s">
        <v>4974</v>
      </c>
    </row>
    <row r="1879">
      <c r="B1879" s="24"/>
      <c r="C1879" s="24"/>
      <c r="D1879" s="24"/>
      <c r="E1879" s="24"/>
      <c r="G1879" s="143"/>
      <c r="H1879" s="24"/>
      <c r="K1879" s="25"/>
      <c r="L1879" s="25"/>
      <c r="M1879" s="77"/>
      <c r="N1879" s="24" t="s">
        <v>4544</v>
      </c>
    </row>
    <row r="1880">
      <c r="B1880" s="24"/>
      <c r="C1880" s="24"/>
      <c r="D1880" s="24"/>
      <c r="E1880" s="24"/>
      <c r="G1880" s="143"/>
      <c r="H1880" s="24"/>
      <c r="K1880" s="25"/>
      <c r="L1880" s="25"/>
      <c r="M1880" s="77"/>
      <c r="N1880" s="24" t="s">
        <v>4975</v>
      </c>
    </row>
    <row r="1881">
      <c r="B1881" s="24"/>
      <c r="C1881" s="24"/>
      <c r="D1881" s="24"/>
      <c r="E1881" s="24"/>
      <c r="G1881" s="143"/>
      <c r="H1881" s="24"/>
      <c r="K1881" s="25"/>
      <c r="L1881" s="25"/>
      <c r="M1881" s="77"/>
      <c r="N1881" s="24" t="s">
        <v>4976</v>
      </c>
    </row>
    <row r="1882">
      <c r="B1882" s="24"/>
      <c r="C1882" s="24"/>
      <c r="D1882" s="24"/>
      <c r="E1882" s="24"/>
      <c r="G1882" s="143"/>
      <c r="H1882" s="24"/>
      <c r="K1882" s="25"/>
      <c r="L1882" s="25"/>
      <c r="M1882" s="77"/>
      <c r="N1882" s="24" t="s">
        <v>4977</v>
      </c>
    </row>
    <row r="1883">
      <c r="B1883" s="24"/>
      <c r="C1883" s="24"/>
      <c r="D1883" s="24"/>
      <c r="E1883" s="24"/>
      <c r="G1883" s="143"/>
      <c r="H1883" s="24"/>
      <c r="K1883" s="25"/>
      <c r="L1883" s="25"/>
      <c r="M1883" s="77"/>
      <c r="N1883" s="24" t="s">
        <v>4978</v>
      </c>
    </row>
    <row r="1884">
      <c r="B1884" s="24"/>
      <c r="C1884" s="24"/>
      <c r="D1884" s="24"/>
      <c r="E1884" s="24"/>
      <c r="G1884" s="143"/>
      <c r="H1884" s="24"/>
      <c r="K1884" s="25"/>
      <c r="L1884" s="25"/>
      <c r="M1884" s="77"/>
      <c r="N1884" s="24" t="s">
        <v>4979</v>
      </c>
    </row>
    <row r="1885">
      <c r="B1885" s="24"/>
      <c r="C1885" s="24"/>
      <c r="D1885" s="24"/>
      <c r="E1885" s="24"/>
      <c r="G1885" s="143"/>
      <c r="H1885" s="24"/>
      <c r="K1885" s="25"/>
      <c r="L1885" s="25"/>
      <c r="M1885" s="77"/>
      <c r="N1885" s="24" t="s">
        <v>4980</v>
      </c>
    </row>
    <row r="1886">
      <c r="B1886" s="24"/>
      <c r="C1886" s="24"/>
      <c r="D1886" s="24"/>
      <c r="E1886" s="24"/>
      <c r="G1886" s="143"/>
      <c r="H1886" s="24"/>
      <c r="K1886" s="25"/>
      <c r="L1886" s="25"/>
      <c r="M1886" s="77"/>
      <c r="N1886" s="24" t="s">
        <v>4981</v>
      </c>
    </row>
    <row r="1887">
      <c r="B1887" s="24"/>
      <c r="C1887" s="24"/>
      <c r="D1887" s="24"/>
      <c r="E1887" s="24"/>
      <c r="G1887" s="143"/>
      <c r="H1887" s="24"/>
      <c r="K1887" s="25"/>
      <c r="L1887" s="25"/>
      <c r="M1887" s="77"/>
      <c r="N1887" s="24" t="s">
        <v>4982</v>
      </c>
    </row>
    <row r="1888">
      <c r="B1888" s="24"/>
      <c r="C1888" s="24"/>
      <c r="D1888" s="24"/>
      <c r="E1888" s="24"/>
      <c r="G1888" s="143"/>
      <c r="H1888" s="24"/>
      <c r="K1888" s="25"/>
      <c r="L1888" s="25"/>
      <c r="M1888" s="77"/>
      <c r="N1888" s="24" t="s">
        <v>4983</v>
      </c>
    </row>
    <row r="1889">
      <c r="B1889" s="24"/>
      <c r="C1889" s="24"/>
      <c r="D1889" s="24"/>
      <c r="E1889" s="24"/>
      <c r="G1889" s="143"/>
      <c r="H1889" s="24"/>
      <c r="K1889" s="25"/>
      <c r="L1889" s="25"/>
      <c r="M1889" s="77"/>
      <c r="N1889" s="24" t="s">
        <v>4984</v>
      </c>
    </row>
    <row r="1890">
      <c r="B1890" s="24"/>
      <c r="C1890" s="24"/>
      <c r="D1890" s="24"/>
      <c r="E1890" s="24"/>
      <c r="G1890" s="143"/>
      <c r="H1890" s="24"/>
      <c r="K1890" s="25"/>
      <c r="L1890" s="25"/>
      <c r="M1890" s="77"/>
      <c r="N1890" s="24" t="s">
        <v>4985</v>
      </c>
    </row>
    <row r="1891">
      <c r="B1891" s="24"/>
      <c r="C1891" s="24"/>
      <c r="D1891" s="24"/>
      <c r="E1891" s="24"/>
      <c r="G1891" s="143"/>
      <c r="H1891" s="24"/>
      <c r="K1891" s="25"/>
      <c r="L1891" s="25"/>
      <c r="M1891" s="77"/>
      <c r="N1891" s="24" t="s">
        <v>4986</v>
      </c>
    </row>
    <row r="1892">
      <c r="B1892" s="24"/>
      <c r="C1892" s="24"/>
      <c r="D1892" s="24"/>
      <c r="E1892" s="24"/>
      <c r="G1892" s="143"/>
      <c r="H1892" s="24"/>
      <c r="K1892" s="25"/>
      <c r="L1892" s="25"/>
      <c r="M1892" s="77"/>
      <c r="N1892" s="24" t="s">
        <v>4987</v>
      </c>
    </row>
    <row r="1893">
      <c r="B1893" s="24"/>
      <c r="C1893" s="24"/>
      <c r="D1893" s="24"/>
      <c r="E1893" s="24"/>
      <c r="G1893" s="143"/>
      <c r="H1893" s="24"/>
      <c r="K1893" s="25"/>
      <c r="L1893" s="25"/>
      <c r="M1893" s="77"/>
      <c r="N1893" s="24" t="s">
        <v>4988</v>
      </c>
    </row>
    <row r="1894">
      <c r="B1894" s="24"/>
      <c r="C1894" s="24"/>
      <c r="D1894" s="24"/>
      <c r="E1894" s="24"/>
      <c r="G1894" s="143"/>
      <c r="H1894" s="24"/>
      <c r="K1894" s="25"/>
      <c r="L1894" s="25"/>
      <c r="M1894" s="77"/>
      <c r="N1894" s="24" t="s">
        <v>4989</v>
      </c>
    </row>
    <row r="1895">
      <c r="B1895" s="24"/>
      <c r="C1895" s="24"/>
      <c r="D1895" s="24"/>
      <c r="E1895" s="24"/>
      <c r="G1895" s="143"/>
      <c r="H1895" s="24"/>
      <c r="K1895" s="25"/>
      <c r="L1895" s="25"/>
      <c r="M1895" s="77"/>
      <c r="N1895" s="24" t="s">
        <v>4990</v>
      </c>
    </row>
    <row r="1896">
      <c r="B1896" s="24"/>
      <c r="C1896" s="24"/>
      <c r="D1896" s="24"/>
      <c r="E1896" s="24"/>
      <c r="G1896" s="143"/>
      <c r="H1896" s="24"/>
      <c r="K1896" s="25"/>
      <c r="L1896" s="25"/>
      <c r="M1896" s="77"/>
      <c r="N1896" s="24" t="s">
        <v>4991</v>
      </c>
    </row>
    <row r="1897">
      <c r="B1897" s="24"/>
      <c r="C1897" s="24"/>
      <c r="D1897" s="24"/>
      <c r="E1897" s="24"/>
      <c r="G1897" s="143"/>
      <c r="H1897" s="24"/>
      <c r="K1897" s="25"/>
      <c r="L1897" s="25"/>
      <c r="M1897" s="77"/>
      <c r="N1897" s="24" t="s">
        <v>4992</v>
      </c>
    </row>
    <row r="1898">
      <c r="B1898" s="24"/>
      <c r="C1898" s="24"/>
      <c r="D1898" s="24"/>
      <c r="E1898" s="24"/>
      <c r="G1898" s="143"/>
      <c r="H1898" s="24"/>
      <c r="K1898" s="25"/>
      <c r="L1898" s="25"/>
      <c r="M1898" s="77"/>
      <c r="N1898" s="24" t="s">
        <v>4993</v>
      </c>
    </row>
    <row r="1899">
      <c r="B1899" s="24"/>
      <c r="C1899" s="24"/>
      <c r="D1899" s="24"/>
      <c r="E1899" s="24"/>
      <c r="G1899" s="143"/>
      <c r="H1899" s="24"/>
      <c r="K1899" s="25"/>
      <c r="L1899" s="25"/>
      <c r="M1899" s="77"/>
      <c r="N1899" s="24" t="s">
        <v>4994</v>
      </c>
    </row>
    <row r="1900">
      <c r="B1900" s="24"/>
      <c r="C1900" s="24"/>
      <c r="D1900" s="24"/>
      <c r="E1900" s="24"/>
      <c r="G1900" s="143"/>
      <c r="H1900" s="24"/>
      <c r="K1900" s="25"/>
      <c r="L1900" s="25"/>
      <c r="M1900" s="77"/>
      <c r="N1900" s="24" t="s">
        <v>4995</v>
      </c>
    </row>
    <row r="1901">
      <c r="B1901" s="24"/>
      <c r="C1901" s="24"/>
      <c r="D1901" s="24"/>
      <c r="E1901" s="24"/>
      <c r="G1901" s="143"/>
      <c r="H1901" s="24"/>
      <c r="K1901" s="25"/>
      <c r="L1901" s="25"/>
      <c r="M1901" s="77"/>
      <c r="N1901" s="24" t="s">
        <v>4996</v>
      </c>
    </row>
    <row r="1902">
      <c r="B1902" s="24"/>
      <c r="C1902" s="24"/>
      <c r="D1902" s="24"/>
      <c r="E1902" s="24"/>
      <c r="G1902" s="143"/>
      <c r="H1902" s="24"/>
      <c r="K1902" s="25"/>
      <c r="L1902" s="25"/>
      <c r="M1902" s="77"/>
      <c r="N1902" s="24" t="s">
        <v>4997</v>
      </c>
    </row>
    <row r="1903">
      <c r="B1903" s="24"/>
      <c r="C1903" s="24"/>
      <c r="D1903" s="24"/>
      <c r="E1903" s="24"/>
      <c r="G1903" s="143"/>
      <c r="H1903" s="24"/>
      <c r="K1903" s="25"/>
      <c r="L1903" s="25"/>
      <c r="M1903" s="77"/>
      <c r="N1903" s="24" t="s">
        <v>4998</v>
      </c>
    </row>
    <row r="1904">
      <c r="B1904" s="24"/>
      <c r="C1904" s="24"/>
      <c r="D1904" s="24"/>
      <c r="E1904" s="24"/>
      <c r="G1904" s="143"/>
      <c r="H1904" s="24"/>
      <c r="K1904" s="25"/>
      <c r="L1904" s="25"/>
      <c r="M1904" s="77"/>
      <c r="N1904" s="24" t="s">
        <v>4999</v>
      </c>
    </row>
    <row r="1905">
      <c r="B1905" s="24"/>
      <c r="C1905" s="24"/>
      <c r="D1905" s="24"/>
      <c r="E1905" s="24"/>
      <c r="G1905" s="143"/>
      <c r="H1905" s="24"/>
      <c r="K1905" s="25"/>
      <c r="L1905" s="25"/>
      <c r="M1905" s="77"/>
      <c r="N1905" s="24" t="s">
        <v>5000</v>
      </c>
    </row>
    <row r="1906">
      <c r="B1906" s="24"/>
      <c r="C1906" s="24"/>
      <c r="D1906" s="24"/>
      <c r="E1906" s="24"/>
      <c r="G1906" s="143"/>
      <c r="H1906" s="24"/>
      <c r="K1906" s="25"/>
      <c r="L1906" s="25"/>
      <c r="M1906" s="77"/>
      <c r="N1906" s="24" t="s">
        <v>5001</v>
      </c>
    </row>
    <row r="1907">
      <c r="B1907" s="24"/>
      <c r="C1907" s="24"/>
      <c r="D1907" s="24"/>
      <c r="E1907" s="24"/>
      <c r="G1907" s="143"/>
      <c r="H1907" s="24"/>
      <c r="K1907" s="25"/>
      <c r="L1907" s="25"/>
      <c r="M1907" s="77"/>
      <c r="N1907" s="24" t="s">
        <v>4876</v>
      </c>
    </row>
    <row r="1908">
      <c r="B1908" s="24"/>
      <c r="C1908" s="24"/>
      <c r="D1908" s="24"/>
      <c r="E1908" s="24"/>
      <c r="G1908" s="143"/>
      <c r="H1908" s="24"/>
      <c r="K1908" s="25"/>
      <c r="L1908" s="25"/>
      <c r="M1908" s="77"/>
      <c r="N1908" s="24" t="s">
        <v>5002</v>
      </c>
    </row>
    <row r="1909">
      <c r="B1909" s="24"/>
      <c r="C1909" s="24"/>
      <c r="D1909" s="24"/>
      <c r="E1909" s="24"/>
      <c r="G1909" s="143"/>
      <c r="H1909" s="24"/>
      <c r="K1909" s="25"/>
      <c r="L1909" s="25"/>
      <c r="M1909" s="77"/>
      <c r="N1909" s="24" t="s">
        <v>5003</v>
      </c>
    </row>
    <row r="1910">
      <c r="B1910" s="24"/>
      <c r="C1910" s="24"/>
      <c r="D1910" s="24"/>
      <c r="E1910" s="24"/>
      <c r="G1910" s="143"/>
      <c r="H1910" s="24"/>
      <c r="K1910" s="25"/>
      <c r="L1910" s="25"/>
      <c r="M1910" s="77"/>
      <c r="N1910" s="24" t="s">
        <v>5004</v>
      </c>
    </row>
    <row r="1911">
      <c r="B1911" s="24"/>
      <c r="C1911" s="24"/>
      <c r="D1911" s="24"/>
      <c r="E1911" s="24"/>
      <c r="G1911" s="143"/>
      <c r="H1911" s="24"/>
      <c r="K1911" s="25"/>
      <c r="L1911" s="25"/>
      <c r="M1911" s="77"/>
      <c r="N1911" s="24" t="s">
        <v>5005</v>
      </c>
    </row>
    <row r="1912">
      <c r="B1912" s="24"/>
      <c r="C1912" s="24"/>
      <c r="D1912" s="24"/>
      <c r="E1912" s="24"/>
      <c r="G1912" s="143"/>
      <c r="H1912" s="24"/>
      <c r="K1912" s="25"/>
      <c r="L1912" s="25"/>
      <c r="M1912" s="77"/>
      <c r="N1912" s="24" t="s">
        <v>5006</v>
      </c>
    </row>
    <row r="1913">
      <c r="B1913" s="24"/>
      <c r="C1913" s="24"/>
      <c r="D1913" s="24"/>
      <c r="E1913" s="24"/>
      <c r="G1913" s="143"/>
      <c r="H1913" s="24"/>
      <c r="K1913" s="25"/>
      <c r="L1913" s="25"/>
      <c r="M1913" s="77"/>
      <c r="N1913" s="24" t="s">
        <v>5007</v>
      </c>
    </row>
    <row r="1914">
      <c r="B1914" s="24"/>
      <c r="C1914" s="24"/>
      <c r="D1914" s="24"/>
      <c r="E1914" s="24"/>
      <c r="G1914" s="143"/>
      <c r="H1914" s="24"/>
      <c r="K1914" s="25"/>
      <c r="L1914" s="25"/>
      <c r="M1914" s="77"/>
      <c r="N1914" s="24" t="s">
        <v>5008</v>
      </c>
    </row>
    <row r="1915">
      <c r="B1915" s="24"/>
      <c r="C1915" s="24"/>
      <c r="D1915" s="24"/>
      <c r="E1915" s="24"/>
      <c r="G1915" s="143"/>
      <c r="H1915" s="24"/>
      <c r="K1915" s="25"/>
      <c r="L1915" s="25"/>
      <c r="M1915" s="77"/>
      <c r="N1915" s="24" t="s">
        <v>5009</v>
      </c>
    </row>
    <row r="1916">
      <c r="B1916" s="24"/>
      <c r="C1916" s="24"/>
      <c r="D1916" s="24"/>
      <c r="E1916" s="24"/>
      <c r="G1916" s="143"/>
      <c r="H1916" s="24"/>
      <c r="K1916" s="25"/>
      <c r="L1916" s="25"/>
      <c r="M1916" s="77"/>
      <c r="N1916" s="24" t="s">
        <v>5010</v>
      </c>
    </row>
    <row r="1917">
      <c r="B1917" s="24"/>
      <c r="C1917" s="24"/>
      <c r="D1917" s="24"/>
      <c r="E1917" s="24"/>
      <c r="G1917" s="143"/>
      <c r="H1917" s="24"/>
      <c r="K1917" s="25"/>
      <c r="L1917" s="25"/>
      <c r="M1917" s="77"/>
      <c r="N1917" s="24" t="s">
        <v>5011</v>
      </c>
    </row>
    <row r="1918">
      <c r="B1918" s="24"/>
      <c r="C1918" s="24"/>
      <c r="D1918" s="24"/>
      <c r="E1918" s="24"/>
      <c r="G1918" s="143"/>
      <c r="H1918" s="24"/>
      <c r="K1918" s="25"/>
      <c r="L1918" s="25"/>
      <c r="M1918" s="77"/>
      <c r="N1918" s="24" t="s">
        <v>5012</v>
      </c>
    </row>
    <row r="1919">
      <c r="B1919" s="24"/>
      <c r="C1919" s="24"/>
      <c r="D1919" s="24"/>
      <c r="E1919" s="24"/>
      <c r="G1919" s="143"/>
      <c r="H1919" s="24"/>
      <c r="K1919" s="25"/>
      <c r="L1919" s="25"/>
      <c r="M1919" s="77"/>
      <c r="N1919" s="24" t="s">
        <v>5013</v>
      </c>
    </row>
    <row r="1920">
      <c r="B1920" s="24"/>
      <c r="C1920" s="24"/>
      <c r="D1920" s="24"/>
      <c r="E1920" s="24"/>
      <c r="G1920" s="143"/>
      <c r="H1920" s="24"/>
      <c r="K1920" s="25"/>
      <c r="L1920" s="25"/>
      <c r="M1920" s="77"/>
      <c r="N1920" s="24" t="s">
        <v>5014</v>
      </c>
    </row>
    <row r="1921">
      <c r="B1921" s="24"/>
      <c r="C1921" s="24"/>
      <c r="D1921" s="24"/>
      <c r="E1921" s="24"/>
      <c r="G1921" s="143"/>
      <c r="H1921" s="24"/>
      <c r="K1921" s="25"/>
      <c r="L1921" s="25"/>
      <c r="M1921" s="77"/>
      <c r="N1921" s="24" t="s">
        <v>5015</v>
      </c>
    </row>
    <row r="1922">
      <c r="B1922" s="24"/>
      <c r="C1922" s="24"/>
      <c r="D1922" s="24"/>
      <c r="E1922" s="24"/>
      <c r="G1922" s="143"/>
      <c r="H1922" s="24"/>
      <c r="K1922" s="25"/>
      <c r="L1922" s="25"/>
      <c r="M1922" s="77"/>
      <c r="N1922" s="24" t="s">
        <v>5016</v>
      </c>
    </row>
    <row r="1923">
      <c r="B1923" s="24"/>
      <c r="C1923" s="24"/>
      <c r="D1923" s="24"/>
      <c r="E1923" s="24"/>
      <c r="G1923" s="143"/>
      <c r="H1923" s="24"/>
      <c r="K1923" s="25"/>
      <c r="L1923" s="25"/>
      <c r="M1923" s="77"/>
      <c r="N1923" s="24" t="s">
        <v>5017</v>
      </c>
    </row>
    <row r="1924">
      <c r="B1924" s="24"/>
      <c r="C1924" s="24"/>
      <c r="D1924" s="24"/>
      <c r="E1924" s="24"/>
      <c r="G1924" s="143"/>
      <c r="H1924" s="24"/>
      <c r="K1924" s="25"/>
      <c r="L1924" s="25"/>
      <c r="M1924" s="77"/>
      <c r="N1924" s="24" t="s">
        <v>5018</v>
      </c>
    </row>
    <row r="1925">
      <c r="B1925" s="24"/>
      <c r="C1925" s="24"/>
      <c r="D1925" s="24"/>
      <c r="E1925" s="24"/>
      <c r="G1925" s="143"/>
      <c r="H1925" s="24"/>
      <c r="K1925" s="25"/>
      <c r="L1925" s="25"/>
      <c r="M1925" s="77"/>
      <c r="N1925" s="24" t="s">
        <v>5019</v>
      </c>
    </row>
    <row r="1926">
      <c r="B1926" s="24"/>
      <c r="C1926" s="24"/>
      <c r="D1926" s="24"/>
      <c r="E1926" s="24"/>
      <c r="G1926" s="143"/>
      <c r="H1926" s="24"/>
      <c r="K1926" s="25"/>
      <c r="L1926" s="25"/>
      <c r="M1926" s="77"/>
      <c r="N1926" s="24" t="s">
        <v>5020</v>
      </c>
    </row>
    <row r="1927">
      <c r="B1927" s="24"/>
      <c r="C1927" s="24"/>
      <c r="D1927" s="24"/>
      <c r="E1927" s="24"/>
      <c r="G1927" s="143"/>
      <c r="H1927" s="24"/>
      <c r="K1927" s="25"/>
      <c r="L1927" s="25"/>
      <c r="M1927" s="77"/>
      <c r="N1927" s="24" t="s">
        <v>5021</v>
      </c>
    </row>
    <row r="1928">
      <c r="B1928" s="24"/>
      <c r="C1928" s="24"/>
      <c r="D1928" s="24"/>
      <c r="E1928" s="24"/>
      <c r="G1928" s="143"/>
      <c r="H1928" s="24"/>
      <c r="K1928" s="25"/>
      <c r="L1928" s="25"/>
      <c r="M1928" s="77"/>
      <c r="N1928" s="24" t="s">
        <v>5022</v>
      </c>
    </row>
    <row r="1929">
      <c r="B1929" s="24"/>
      <c r="C1929" s="24"/>
      <c r="D1929" s="24"/>
      <c r="E1929" s="24"/>
      <c r="G1929" s="143"/>
      <c r="H1929" s="24"/>
      <c r="K1929" s="25"/>
      <c r="L1929" s="25"/>
      <c r="M1929" s="77"/>
      <c r="N1929" s="24" t="s">
        <v>5023</v>
      </c>
    </row>
    <row r="1930">
      <c r="B1930" s="24"/>
      <c r="C1930" s="24"/>
      <c r="D1930" s="24"/>
      <c r="E1930" s="24"/>
      <c r="G1930" s="143"/>
      <c r="H1930" s="24"/>
      <c r="K1930" s="25"/>
      <c r="L1930" s="25"/>
      <c r="M1930" s="77"/>
      <c r="N1930" s="24" t="s">
        <v>5024</v>
      </c>
    </row>
    <row r="1931">
      <c r="B1931" s="24"/>
      <c r="C1931" s="24"/>
      <c r="D1931" s="24"/>
      <c r="E1931" s="24"/>
      <c r="G1931" s="143"/>
      <c r="H1931" s="24"/>
      <c r="K1931" s="25"/>
      <c r="L1931" s="25"/>
      <c r="M1931" s="77"/>
      <c r="N1931" s="24" t="s">
        <v>5025</v>
      </c>
    </row>
    <row r="1932">
      <c r="B1932" s="24"/>
      <c r="C1932" s="24"/>
      <c r="D1932" s="24"/>
      <c r="E1932" s="24"/>
      <c r="G1932" s="143"/>
      <c r="H1932" s="24"/>
      <c r="K1932" s="25"/>
      <c r="L1932" s="25"/>
      <c r="M1932" s="77"/>
      <c r="N1932" s="24" t="s">
        <v>5026</v>
      </c>
    </row>
    <row r="1933">
      <c r="B1933" s="24"/>
      <c r="C1933" s="24"/>
      <c r="D1933" s="24"/>
      <c r="E1933" s="24"/>
      <c r="G1933" s="143"/>
      <c r="H1933" s="24"/>
      <c r="K1933" s="25"/>
      <c r="L1933" s="25"/>
      <c r="M1933" s="77"/>
      <c r="N1933" s="24" t="s">
        <v>4580</v>
      </c>
    </row>
    <row r="1934">
      <c r="B1934" s="24"/>
      <c r="C1934" s="24"/>
      <c r="D1934" s="24"/>
      <c r="E1934" s="24"/>
      <c r="G1934" s="143"/>
      <c r="H1934" s="24"/>
      <c r="K1934" s="25"/>
      <c r="L1934" s="25"/>
      <c r="M1934" s="77"/>
      <c r="N1934" s="24" t="s">
        <v>5027</v>
      </c>
    </row>
    <row r="1935">
      <c r="B1935" s="24"/>
      <c r="C1935" s="24"/>
      <c r="D1935" s="24"/>
      <c r="E1935" s="24"/>
      <c r="G1935" s="143"/>
      <c r="H1935" s="24"/>
      <c r="K1935" s="25"/>
      <c r="L1935" s="25"/>
      <c r="M1935" s="77"/>
      <c r="N1935" s="24" t="s">
        <v>5028</v>
      </c>
    </row>
    <row r="1936">
      <c r="B1936" s="24"/>
      <c r="C1936" s="24"/>
      <c r="D1936" s="24"/>
      <c r="E1936" s="24"/>
      <c r="G1936" s="143"/>
      <c r="H1936" s="24"/>
      <c r="K1936" s="25"/>
      <c r="L1936" s="25"/>
      <c r="M1936" s="77"/>
      <c r="N1936" s="24" t="s">
        <v>5029</v>
      </c>
    </row>
    <row r="1937">
      <c r="B1937" s="24"/>
      <c r="C1937" s="24"/>
      <c r="D1937" s="24"/>
      <c r="E1937" s="24"/>
      <c r="G1937" s="143"/>
      <c r="H1937" s="24"/>
      <c r="K1937" s="25"/>
      <c r="L1937" s="25"/>
      <c r="M1937" s="77"/>
      <c r="N1937" s="24" t="s">
        <v>5030</v>
      </c>
    </row>
    <row r="1938">
      <c r="B1938" s="24"/>
      <c r="C1938" s="24"/>
      <c r="D1938" s="24"/>
      <c r="E1938" s="24"/>
      <c r="G1938" s="143"/>
      <c r="H1938" s="24"/>
      <c r="K1938" s="25"/>
      <c r="L1938" s="25"/>
      <c r="M1938" s="77"/>
      <c r="N1938" s="24" t="s">
        <v>5031</v>
      </c>
    </row>
    <row r="1939">
      <c r="B1939" s="24"/>
      <c r="C1939" s="24"/>
      <c r="D1939" s="24"/>
      <c r="E1939" s="24"/>
      <c r="G1939" s="143"/>
      <c r="H1939" s="24"/>
      <c r="K1939" s="25"/>
      <c r="L1939" s="25"/>
      <c r="M1939" s="77"/>
      <c r="N1939" s="24" t="s">
        <v>5032</v>
      </c>
    </row>
    <row r="1940">
      <c r="B1940" s="24"/>
      <c r="C1940" s="24"/>
      <c r="D1940" s="24"/>
      <c r="E1940" s="24"/>
      <c r="G1940" s="143"/>
      <c r="H1940" s="24"/>
      <c r="K1940" s="25"/>
      <c r="L1940" s="25"/>
      <c r="M1940" s="77"/>
      <c r="N1940" s="24" t="s">
        <v>5033</v>
      </c>
    </row>
    <row r="1941">
      <c r="B1941" s="24"/>
      <c r="C1941" s="24"/>
      <c r="D1941" s="24"/>
      <c r="E1941" s="24"/>
      <c r="G1941" s="143"/>
      <c r="H1941" s="24"/>
      <c r="K1941" s="25"/>
      <c r="L1941" s="25"/>
      <c r="M1941" s="77"/>
      <c r="N1941" s="24" t="s">
        <v>5034</v>
      </c>
    </row>
    <row r="1942">
      <c r="B1942" s="24"/>
      <c r="C1942" s="24"/>
      <c r="D1942" s="24"/>
      <c r="E1942" s="24"/>
      <c r="G1942" s="143"/>
      <c r="H1942" s="24"/>
      <c r="K1942" s="25"/>
      <c r="L1942" s="25"/>
      <c r="M1942" s="77"/>
      <c r="N1942" s="24" t="s">
        <v>4295</v>
      </c>
    </row>
    <row r="1943">
      <c r="B1943" s="24"/>
      <c r="C1943" s="24"/>
      <c r="D1943" s="24"/>
      <c r="E1943" s="24"/>
      <c r="G1943" s="143"/>
      <c r="H1943" s="24"/>
      <c r="K1943" s="25"/>
      <c r="L1943" s="25"/>
      <c r="M1943" s="77"/>
      <c r="N1943" s="24" t="s">
        <v>5035</v>
      </c>
    </row>
    <row r="1944">
      <c r="B1944" s="24"/>
      <c r="C1944" s="24"/>
      <c r="D1944" s="24"/>
      <c r="E1944" s="24"/>
      <c r="G1944" s="143"/>
      <c r="H1944" s="24"/>
      <c r="K1944" s="25"/>
      <c r="L1944" s="25"/>
      <c r="M1944" s="77"/>
      <c r="N1944" s="24" t="s">
        <v>4170</v>
      </c>
    </row>
    <row r="1945">
      <c r="B1945" s="24"/>
      <c r="C1945" s="24"/>
      <c r="D1945" s="24"/>
      <c r="E1945" s="24"/>
      <c r="G1945" s="143"/>
      <c r="H1945" s="24"/>
      <c r="K1945" s="25"/>
      <c r="L1945" s="25"/>
      <c r="M1945" s="77"/>
      <c r="N1945" s="24" t="s">
        <v>5036</v>
      </c>
    </row>
    <row r="1946">
      <c r="B1946" s="24"/>
      <c r="C1946" s="24"/>
      <c r="D1946" s="24"/>
      <c r="E1946" s="24"/>
      <c r="G1946" s="143"/>
      <c r="H1946" s="24"/>
      <c r="K1946" s="25"/>
      <c r="L1946" s="25"/>
      <c r="M1946" s="77"/>
      <c r="N1946" s="24" t="s">
        <v>5037</v>
      </c>
    </row>
    <row r="1947">
      <c r="B1947" s="24"/>
      <c r="C1947" s="24"/>
      <c r="D1947" s="24"/>
      <c r="E1947" s="24"/>
      <c r="G1947" s="143"/>
      <c r="H1947" s="24"/>
      <c r="K1947" s="25"/>
      <c r="L1947" s="25"/>
      <c r="M1947" s="77"/>
      <c r="N1947" s="24" t="s">
        <v>5038</v>
      </c>
    </row>
    <row r="1948">
      <c r="B1948" s="24"/>
      <c r="C1948" s="24"/>
      <c r="D1948" s="24"/>
      <c r="E1948" s="24"/>
      <c r="G1948" s="143"/>
      <c r="H1948" s="24"/>
      <c r="K1948" s="25"/>
      <c r="L1948" s="25"/>
      <c r="M1948" s="77"/>
      <c r="N1948" s="24" t="s">
        <v>5039</v>
      </c>
    </row>
    <row r="1949">
      <c r="B1949" s="24"/>
      <c r="C1949" s="24"/>
      <c r="D1949" s="24"/>
      <c r="E1949" s="24"/>
      <c r="G1949" s="143"/>
      <c r="H1949" s="24"/>
      <c r="K1949" s="25"/>
      <c r="L1949" s="25"/>
      <c r="M1949" s="77"/>
      <c r="N1949" s="24" t="s">
        <v>5040</v>
      </c>
    </row>
    <row r="1950">
      <c r="B1950" s="24"/>
      <c r="C1950" s="24"/>
      <c r="D1950" s="24"/>
      <c r="E1950" s="24"/>
      <c r="G1950" s="143"/>
      <c r="H1950" s="24"/>
      <c r="K1950" s="25"/>
      <c r="L1950" s="25"/>
      <c r="M1950" s="77"/>
      <c r="N1950" s="24" t="s">
        <v>5041</v>
      </c>
    </row>
    <row r="1951">
      <c r="B1951" s="24"/>
      <c r="C1951" s="24"/>
      <c r="D1951" s="24"/>
      <c r="E1951" s="24"/>
      <c r="G1951" s="143"/>
      <c r="H1951" s="24"/>
      <c r="K1951" s="25"/>
      <c r="L1951" s="25"/>
      <c r="M1951" s="77"/>
      <c r="N1951" s="24" t="s">
        <v>5042</v>
      </c>
    </row>
    <row r="1952">
      <c r="B1952" s="24"/>
      <c r="C1952" s="24"/>
      <c r="D1952" s="24"/>
      <c r="E1952" s="24"/>
      <c r="G1952" s="143"/>
      <c r="H1952" s="24"/>
      <c r="K1952" s="25"/>
      <c r="L1952" s="25"/>
      <c r="M1952" s="77"/>
      <c r="N1952" s="24" t="s">
        <v>5043</v>
      </c>
    </row>
    <row r="1953">
      <c r="B1953" s="24"/>
      <c r="C1953" s="24"/>
      <c r="D1953" s="24"/>
      <c r="E1953" s="24"/>
      <c r="G1953" s="143"/>
      <c r="H1953" s="24"/>
      <c r="K1953" s="25"/>
      <c r="L1953" s="25"/>
      <c r="M1953" s="77"/>
      <c r="N1953" s="24" t="s">
        <v>5044</v>
      </c>
    </row>
    <row r="1954">
      <c r="B1954" s="24"/>
      <c r="C1954" s="24"/>
      <c r="D1954" s="24"/>
      <c r="E1954" s="24"/>
      <c r="G1954" s="143"/>
      <c r="H1954" s="24"/>
      <c r="K1954" s="25"/>
      <c r="L1954" s="25"/>
      <c r="M1954" s="77"/>
      <c r="N1954" s="24" t="s">
        <v>5045</v>
      </c>
    </row>
    <row r="1955">
      <c r="B1955" s="24"/>
      <c r="C1955" s="24"/>
      <c r="D1955" s="24"/>
      <c r="E1955" s="24"/>
      <c r="G1955" s="143"/>
      <c r="H1955" s="24"/>
      <c r="K1955" s="25"/>
      <c r="L1955" s="25"/>
      <c r="M1955" s="77"/>
      <c r="N1955" s="24" t="s">
        <v>5046</v>
      </c>
    </row>
    <row r="1956">
      <c r="B1956" s="24"/>
      <c r="C1956" s="24"/>
      <c r="D1956" s="24"/>
      <c r="E1956" s="24"/>
      <c r="G1956" s="143"/>
      <c r="H1956" s="24"/>
      <c r="K1956" s="25"/>
      <c r="L1956" s="25"/>
      <c r="M1956" s="77"/>
      <c r="N1956" s="24" t="s">
        <v>5047</v>
      </c>
    </row>
    <row r="1957">
      <c r="B1957" s="24"/>
      <c r="C1957" s="24"/>
      <c r="D1957" s="24"/>
      <c r="E1957" s="24"/>
      <c r="G1957" s="143"/>
      <c r="H1957" s="24"/>
      <c r="K1957" s="25"/>
      <c r="L1957" s="25"/>
      <c r="M1957" s="77"/>
      <c r="N1957" s="24" t="s">
        <v>5048</v>
      </c>
    </row>
    <row r="1958">
      <c r="B1958" s="24"/>
      <c r="C1958" s="24"/>
      <c r="D1958" s="24"/>
      <c r="E1958" s="24"/>
      <c r="G1958" s="143"/>
      <c r="H1958" s="24"/>
      <c r="K1958" s="25"/>
      <c r="L1958" s="25"/>
      <c r="M1958" s="77"/>
      <c r="N1958" s="24" t="s">
        <v>5049</v>
      </c>
    </row>
    <row r="1959">
      <c r="B1959" s="24"/>
      <c r="C1959" s="24"/>
      <c r="D1959" s="24"/>
      <c r="E1959" s="24"/>
      <c r="G1959" s="143"/>
      <c r="H1959" s="24"/>
      <c r="K1959" s="25"/>
      <c r="L1959" s="25"/>
      <c r="M1959" s="77"/>
      <c r="N1959" s="24" t="s">
        <v>5050</v>
      </c>
    </row>
    <row r="1960">
      <c r="B1960" s="24"/>
      <c r="C1960" s="24"/>
      <c r="D1960" s="24"/>
      <c r="E1960" s="24"/>
      <c r="G1960" s="143"/>
      <c r="H1960" s="24"/>
      <c r="K1960" s="25"/>
      <c r="L1960" s="25"/>
      <c r="M1960" s="77"/>
      <c r="N1960" s="24" t="s">
        <v>5051</v>
      </c>
    </row>
    <row r="1961">
      <c r="B1961" s="24"/>
      <c r="C1961" s="24"/>
      <c r="D1961" s="24"/>
      <c r="E1961" s="24"/>
      <c r="G1961" s="143"/>
      <c r="H1961" s="24"/>
      <c r="K1961" s="25"/>
      <c r="L1961" s="25"/>
      <c r="M1961" s="77"/>
      <c r="N1961" s="24" t="s">
        <v>5052</v>
      </c>
    </row>
    <row r="1962">
      <c r="B1962" s="24"/>
      <c r="C1962" s="24"/>
      <c r="D1962" s="24"/>
      <c r="E1962" s="24"/>
      <c r="G1962" s="143"/>
      <c r="H1962" s="24"/>
      <c r="K1962" s="25"/>
      <c r="L1962" s="25"/>
      <c r="M1962" s="77"/>
      <c r="N1962" s="24" t="s">
        <v>5053</v>
      </c>
    </row>
    <row r="1963">
      <c r="B1963" s="24"/>
      <c r="C1963" s="24"/>
      <c r="D1963" s="24"/>
      <c r="E1963" s="24"/>
      <c r="G1963" s="143"/>
      <c r="H1963" s="24"/>
      <c r="K1963" s="25"/>
      <c r="L1963" s="25"/>
      <c r="M1963" s="77"/>
      <c r="N1963" s="24" t="s">
        <v>5054</v>
      </c>
    </row>
    <row r="1964">
      <c r="B1964" s="24"/>
      <c r="C1964" s="24"/>
      <c r="D1964" s="24"/>
      <c r="E1964" s="24"/>
      <c r="G1964" s="143"/>
      <c r="H1964" s="24"/>
      <c r="K1964" s="25"/>
      <c r="L1964" s="25"/>
      <c r="M1964" s="77"/>
      <c r="N1964" s="24" t="s">
        <v>5055</v>
      </c>
    </row>
    <row r="1965">
      <c r="B1965" s="24"/>
      <c r="C1965" s="24"/>
      <c r="D1965" s="24"/>
      <c r="E1965" s="24"/>
      <c r="G1965" s="143"/>
      <c r="H1965" s="24"/>
      <c r="K1965" s="25"/>
      <c r="L1965" s="25"/>
      <c r="M1965" s="77"/>
      <c r="N1965" s="24" t="s">
        <v>5056</v>
      </c>
    </row>
    <row r="1966">
      <c r="B1966" s="24"/>
      <c r="C1966" s="24"/>
      <c r="D1966" s="24"/>
      <c r="E1966" s="24"/>
      <c r="G1966" s="143"/>
      <c r="H1966" s="24"/>
      <c r="K1966" s="25"/>
      <c r="L1966" s="25"/>
      <c r="M1966" s="77"/>
      <c r="N1966" s="24" t="s">
        <v>5057</v>
      </c>
    </row>
    <row r="1967">
      <c r="B1967" s="24"/>
      <c r="C1967" s="24"/>
      <c r="D1967" s="24"/>
      <c r="E1967" s="24"/>
      <c r="G1967" s="143"/>
      <c r="H1967" s="24"/>
      <c r="K1967" s="25"/>
      <c r="L1967" s="25"/>
      <c r="M1967" s="77"/>
      <c r="N1967" s="24" t="s">
        <v>4438</v>
      </c>
    </row>
    <row r="1968">
      <c r="B1968" s="24"/>
      <c r="C1968" s="24"/>
      <c r="D1968" s="24"/>
      <c r="E1968" s="24"/>
      <c r="G1968" s="143"/>
      <c r="H1968" s="24"/>
      <c r="K1968" s="25"/>
      <c r="L1968" s="25"/>
      <c r="M1968" s="77"/>
      <c r="N1968" s="24" t="s">
        <v>5058</v>
      </c>
    </row>
    <row r="1969">
      <c r="B1969" s="24"/>
      <c r="C1969" s="24"/>
      <c r="D1969" s="24"/>
      <c r="E1969" s="24"/>
      <c r="G1969" s="143"/>
      <c r="H1969" s="24"/>
      <c r="K1969" s="25"/>
      <c r="L1969" s="25"/>
      <c r="M1969" s="77"/>
      <c r="N1969" s="24" t="s">
        <v>5059</v>
      </c>
    </row>
    <row r="1970">
      <c r="B1970" s="24"/>
      <c r="C1970" s="24"/>
      <c r="D1970" s="24"/>
      <c r="E1970" s="24"/>
      <c r="G1970" s="143"/>
      <c r="H1970" s="24"/>
      <c r="K1970" s="25"/>
      <c r="L1970" s="25"/>
      <c r="M1970" s="77"/>
      <c r="N1970" s="24" t="s">
        <v>5060</v>
      </c>
    </row>
    <row r="1971">
      <c r="B1971" s="24"/>
      <c r="C1971" s="24"/>
      <c r="D1971" s="24"/>
      <c r="E1971" s="24"/>
      <c r="G1971" s="143"/>
      <c r="H1971" s="24"/>
      <c r="K1971" s="25"/>
      <c r="L1971" s="25"/>
      <c r="M1971" s="77"/>
      <c r="N1971" s="24" t="s">
        <v>5061</v>
      </c>
    </row>
    <row r="1972">
      <c r="B1972" s="24"/>
      <c r="C1972" s="24"/>
      <c r="D1972" s="24"/>
      <c r="E1972" s="24"/>
      <c r="G1972" s="143"/>
      <c r="H1972" s="24"/>
      <c r="K1972" s="25"/>
      <c r="L1972" s="25"/>
      <c r="M1972" s="77"/>
      <c r="N1972" s="24" t="s">
        <v>5062</v>
      </c>
    </row>
    <row r="1973">
      <c r="B1973" s="24"/>
      <c r="C1973" s="24"/>
      <c r="D1973" s="24"/>
      <c r="E1973" s="24"/>
      <c r="G1973" s="143"/>
      <c r="H1973" s="24"/>
      <c r="K1973" s="25"/>
      <c r="L1973" s="25"/>
      <c r="M1973" s="77"/>
      <c r="N1973" s="24" t="s">
        <v>5063</v>
      </c>
    </row>
    <row r="1974">
      <c r="B1974" s="24"/>
      <c r="C1974" s="24"/>
      <c r="D1974" s="24"/>
      <c r="E1974" s="24"/>
      <c r="G1974" s="143"/>
      <c r="H1974" s="24"/>
      <c r="K1974" s="25"/>
      <c r="L1974" s="25"/>
      <c r="M1974" s="77"/>
      <c r="N1974" s="24" t="s">
        <v>5064</v>
      </c>
    </row>
    <row r="1975">
      <c r="B1975" s="24"/>
      <c r="C1975" s="24"/>
      <c r="D1975" s="24"/>
      <c r="E1975" s="24"/>
      <c r="G1975" s="143"/>
      <c r="H1975" s="24"/>
      <c r="K1975" s="25"/>
      <c r="L1975" s="25"/>
      <c r="M1975" s="77"/>
      <c r="N1975" s="24" t="s">
        <v>5065</v>
      </c>
    </row>
    <row r="1976">
      <c r="B1976" s="24"/>
      <c r="C1976" s="24"/>
      <c r="D1976" s="24"/>
      <c r="E1976" s="24"/>
      <c r="G1976" s="143"/>
      <c r="H1976" s="24"/>
      <c r="K1976" s="25"/>
      <c r="L1976" s="25"/>
      <c r="M1976" s="77"/>
      <c r="N1976" s="24" t="s">
        <v>5066</v>
      </c>
    </row>
    <row r="1977">
      <c r="B1977" s="24"/>
      <c r="C1977" s="24"/>
      <c r="D1977" s="24"/>
      <c r="E1977" s="24"/>
      <c r="G1977" s="143"/>
      <c r="H1977" s="24"/>
      <c r="K1977" s="25"/>
      <c r="L1977" s="25"/>
      <c r="M1977" s="77"/>
      <c r="N1977" s="24" t="s">
        <v>5067</v>
      </c>
    </row>
    <row r="1978">
      <c r="B1978" s="24"/>
      <c r="C1978" s="24"/>
      <c r="D1978" s="24"/>
      <c r="E1978" s="24"/>
      <c r="G1978" s="143"/>
      <c r="H1978" s="24"/>
      <c r="K1978" s="25"/>
      <c r="L1978" s="25"/>
      <c r="M1978" s="77"/>
      <c r="N1978" s="24" t="s">
        <v>5068</v>
      </c>
    </row>
    <row r="1979">
      <c r="B1979" s="24"/>
      <c r="C1979" s="24"/>
      <c r="D1979" s="24"/>
      <c r="E1979" s="24"/>
      <c r="G1979" s="143"/>
      <c r="H1979" s="24"/>
      <c r="K1979" s="25"/>
      <c r="L1979" s="25"/>
      <c r="M1979" s="77"/>
      <c r="N1979" s="24" t="s">
        <v>5069</v>
      </c>
    </row>
    <row r="1980">
      <c r="B1980" s="24"/>
      <c r="C1980" s="24"/>
      <c r="D1980" s="24"/>
      <c r="E1980" s="24"/>
      <c r="G1980" s="143"/>
      <c r="H1980" s="24"/>
      <c r="K1980" s="25"/>
      <c r="L1980" s="25"/>
      <c r="M1980" s="77"/>
      <c r="N1980" s="24" t="s">
        <v>5070</v>
      </c>
    </row>
    <row r="1981">
      <c r="B1981" s="24"/>
      <c r="C1981" s="24"/>
      <c r="D1981" s="24"/>
      <c r="E1981" s="24"/>
      <c r="G1981" s="143"/>
      <c r="H1981" s="24"/>
      <c r="K1981" s="25"/>
      <c r="L1981" s="25"/>
      <c r="M1981" s="77"/>
      <c r="N1981" s="24" t="s">
        <v>5071</v>
      </c>
    </row>
    <row r="1982">
      <c r="B1982" s="24"/>
      <c r="C1982" s="24"/>
      <c r="D1982" s="24"/>
      <c r="E1982" s="24"/>
      <c r="G1982" s="143"/>
      <c r="H1982" s="24"/>
      <c r="K1982" s="25"/>
      <c r="L1982" s="25"/>
      <c r="M1982" s="77"/>
      <c r="N1982" s="24" t="s">
        <v>5072</v>
      </c>
    </row>
    <row r="1983">
      <c r="B1983" s="24"/>
      <c r="C1983" s="24"/>
      <c r="D1983" s="24"/>
      <c r="E1983" s="24"/>
      <c r="G1983" s="143"/>
      <c r="H1983" s="24"/>
      <c r="K1983" s="25"/>
      <c r="L1983" s="25"/>
      <c r="M1983" s="77"/>
      <c r="N1983" s="24" t="s">
        <v>5073</v>
      </c>
    </row>
    <row r="1984">
      <c r="B1984" s="24"/>
      <c r="C1984" s="24"/>
      <c r="D1984" s="24"/>
      <c r="E1984" s="24"/>
      <c r="G1984" s="143"/>
      <c r="H1984" s="24"/>
      <c r="K1984" s="25"/>
      <c r="L1984" s="25"/>
      <c r="M1984" s="77"/>
      <c r="N1984" s="24" t="s">
        <v>5074</v>
      </c>
    </row>
    <row r="1985">
      <c r="B1985" s="24"/>
      <c r="C1985" s="24"/>
      <c r="D1985" s="24"/>
      <c r="E1985" s="24"/>
      <c r="G1985" s="143"/>
      <c r="H1985" s="24"/>
      <c r="K1985" s="25"/>
      <c r="L1985" s="25"/>
      <c r="M1985" s="77"/>
      <c r="N1985" s="24" t="s">
        <v>5075</v>
      </c>
    </row>
    <row r="1986">
      <c r="B1986" s="24"/>
      <c r="C1986" s="24"/>
      <c r="D1986" s="24"/>
      <c r="E1986" s="24"/>
      <c r="G1986" s="143"/>
      <c r="H1986" s="24"/>
      <c r="K1986" s="25"/>
      <c r="L1986" s="25"/>
      <c r="M1986" s="77"/>
      <c r="N1986" s="24" t="s">
        <v>5076</v>
      </c>
    </row>
    <row r="1987">
      <c r="B1987" s="24"/>
      <c r="C1987" s="24"/>
      <c r="D1987" s="24"/>
      <c r="E1987" s="24"/>
      <c r="G1987" s="143"/>
      <c r="H1987" s="24"/>
      <c r="K1987" s="25"/>
      <c r="L1987" s="25"/>
      <c r="M1987" s="77"/>
      <c r="N1987" s="24" t="s">
        <v>5077</v>
      </c>
    </row>
    <row r="1988">
      <c r="B1988" s="24"/>
      <c r="C1988" s="24"/>
      <c r="D1988" s="24"/>
      <c r="E1988" s="24"/>
      <c r="G1988" s="143"/>
      <c r="H1988" s="24"/>
      <c r="K1988" s="25"/>
      <c r="L1988" s="25"/>
      <c r="M1988" s="77"/>
      <c r="N1988" s="24" t="s">
        <v>5078</v>
      </c>
    </row>
    <row r="1989">
      <c r="B1989" s="24"/>
      <c r="C1989" s="24"/>
      <c r="D1989" s="24"/>
      <c r="E1989" s="24"/>
      <c r="G1989" s="143"/>
      <c r="H1989" s="24"/>
      <c r="K1989" s="25"/>
      <c r="L1989" s="25"/>
      <c r="M1989" s="77"/>
      <c r="N1989" s="24" t="s">
        <v>5079</v>
      </c>
    </row>
    <row r="1990">
      <c r="B1990" s="24"/>
      <c r="C1990" s="24"/>
      <c r="D1990" s="24"/>
      <c r="E1990" s="24"/>
      <c r="G1990" s="143"/>
      <c r="H1990" s="24"/>
      <c r="K1990" s="25"/>
      <c r="L1990" s="25"/>
      <c r="M1990" s="77"/>
      <c r="N1990" s="24" t="s">
        <v>5080</v>
      </c>
    </row>
    <row r="1991">
      <c r="B1991" s="24"/>
      <c r="C1991" s="24"/>
      <c r="D1991" s="24"/>
      <c r="E1991" s="24"/>
      <c r="G1991" s="143"/>
      <c r="H1991" s="24"/>
      <c r="K1991" s="25"/>
      <c r="L1991" s="25"/>
      <c r="M1991" s="77"/>
      <c r="N1991" s="24" t="s">
        <v>4710</v>
      </c>
    </row>
    <row r="1992">
      <c r="B1992" s="24"/>
      <c r="C1992" s="24"/>
      <c r="D1992" s="24"/>
      <c r="E1992" s="24"/>
      <c r="G1992" s="143"/>
      <c r="H1992" s="24"/>
      <c r="K1992" s="25"/>
      <c r="L1992" s="25"/>
      <c r="M1992" s="77"/>
      <c r="N1992" s="24" t="s">
        <v>5081</v>
      </c>
    </row>
    <row r="1993">
      <c r="B1993" s="24"/>
      <c r="C1993" s="24"/>
      <c r="D1993" s="24"/>
      <c r="E1993" s="24"/>
      <c r="G1993" s="143"/>
      <c r="H1993" s="24"/>
      <c r="K1993" s="25"/>
      <c r="L1993" s="25"/>
      <c r="M1993" s="77"/>
      <c r="N1993" s="24" t="s">
        <v>5082</v>
      </c>
    </row>
    <row r="1994">
      <c r="B1994" s="24"/>
      <c r="C1994" s="24"/>
      <c r="D1994" s="24"/>
      <c r="E1994" s="24"/>
      <c r="G1994" s="143"/>
      <c r="H1994" s="24"/>
      <c r="K1994" s="25"/>
      <c r="L1994" s="25"/>
      <c r="M1994" s="77"/>
      <c r="N1994" s="24" t="s">
        <v>5083</v>
      </c>
    </row>
    <row r="1995">
      <c r="B1995" s="24"/>
      <c r="C1995" s="24"/>
      <c r="D1995" s="24"/>
      <c r="E1995" s="24"/>
      <c r="G1995" s="143"/>
      <c r="H1995" s="24"/>
      <c r="K1995" s="25"/>
      <c r="L1995" s="25"/>
      <c r="M1995" s="77"/>
      <c r="N1995" s="24" t="s">
        <v>5084</v>
      </c>
    </row>
    <row r="1996">
      <c r="B1996" s="24"/>
      <c r="C1996" s="24"/>
      <c r="D1996" s="24"/>
      <c r="E1996" s="24"/>
      <c r="G1996" s="143"/>
      <c r="H1996" s="24"/>
      <c r="K1996" s="25"/>
      <c r="L1996" s="25"/>
      <c r="M1996" s="77"/>
      <c r="N1996" s="24" t="s">
        <v>5085</v>
      </c>
    </row>
    <row r="1997">
      <c r="B1997" s="24"/>
      <c r="C1997" s="24"/>
      <c r="D1997" s="24"/>
      <c r="E1997" s="24"/>
      <c r="G1997" s="143"/>
      <c r="H1997" s="24"/>
      <c r="K1997" s="25"/>
      <c r="L1997" s="25"/>
      <c r="M1997" s="77"/>
      <c r="N1997" s="24" t="s">
        <v>5086</v>
      </c>
    </row>
    <row r="1998">
      <c r="B1998" s="24"/>
      <c r="C1998" s="24"/>
      <c r="D1998" s="24"/>
      <c r="E1998" s="24"/>
      <c r="G1998" s="143"/>
      <c r="H1998" s="24"/>
      <c r="K1998" s="25"/>
      <c r="L1998" s="25"/>
      <c r="M1998" s="77"/>
      <c r="N1998" s="24" t="s">
        <v>5087</v>
      </c>
    </row>
    <row r="1999">
      <c r="B1999" s="24"/>
      <c r="C1999" s="24"/>
      <c r="D1999" s="24"/>
      <c r="E1999" s="24"/>
      <c r="G1999" s="143"/>
      <c r="H1999" s="24"/>
      <c r="K1999" s="25"/>
      <c r="L1999" s="25"/>
      <c r="M1999" s="77"/>
      <c r="N1999" s="24" t="s">
        <v>5088</v>
      </c>
    </row>
    <row r="2000">
      <c r="B2000" s="24"/>
      <c r="C2000" s="24"/>
      <c r="D2000" s="24"/>
      <c r="E2000" s="24"/>
      <c r="G2000" s="143"/>
      <c r="H2000" s="24"/>
      <c r="K2000" s="25"/>
      <c r="L2000" s="25"/>
      <c r="M2000" s="77"/>
      <c r="N2000" s="24" t="s">
        <v>5089</v>
      </c>
    </row>
    <row r="2001">
      <c r="B2001" s="24"/>
      <c r="C2001" s="24"/>
      <c r="D2001" s="24"/>
      <c r="E2001" s="24"/>
      <c r="G2001" s="143"/>
      <c r="H2001" s="24"/>
      <c r="K2001" s="25"/>
      <c r="L2001" s="25"/>
      <c r="M2001" s="77"/>
      <c r="N2001" s="24" t="s">
        <v>5090</v>
      </c>
    </row>
    <row r="2002">
      <c r="B2002" s="24"/>
      <c r="C2002" s="24"/>
      <c r="D2002" s="24"/>
      <c r="E2002" s="24"/>
      <c r="G2002" s="143"/>
      <c r="H2002" s="24"/>
      <c r="K2002" s="25"/>
      <c r="L2002" s="25"/>
      <c r="M2002" s="77"/>
      <c r="N2002" s="24" t="s">
        <v>5091</v>
      </c>
    </row>
    <row r="2003">
      <c r="B2003" s="24"/>
      <c r="C2003" s="24"/>
      <c r="D2003" s="24"/>
      <c r="E2003" s="24"/>
      <c r="G2003" s="143"/>
      <c r="H2003" s="24"/>
      <c r="K2003" s="25"/>
      <c r="L2003" s="25"/>
      <c r="M2003" s="77"/>
      <c r="N2003" s="24" t="s">
        <v>5092</v>
      </c>
    </row>
    <row r="2004">
      <c r="C2004" s="24"/>
      <c r="D2004" s="24"/>
      <c r="E2004" s="24"/>
      <c r="G2004" s="143"/>
      <c r="H2004" s="24"/>
      <c r="K2004" s="25"/>
      <c r="L2004" s="25"/>
      <c r="M2004" s="77"/>
      <c r="N2004" s="24" t="s">
        <v>5093</v>
      </c>
    </row>
    <row r="2005">
      <c r="C2005" s="24"/>
      <c r="D2005" s="24"/>
      <c r="E2005" s="24"/>
      <c r="G2005" s="143"/>
      <c r="H2005" s="24"/>
      <c r="K2005" s="25"/>
      <c r="L2005" s="25"/>
      <c r="M2005" s="77"/>
      <c r="N2005" s="24" t="s">
        <v>5094</v>
      </c>
    </row>
    <row r="2006">
      <c r="C2006" s="24"/>
      <c r="D2006" s="24"/>
      <c r="E2006" s="24"/>
      <c r="G2006" s="143"/>
      <c r="H2006" s="24"/>
      <c r="K2006" s="25"/>
      <c r="L2006" s="25"/>
      <c r="M2006" s="77"/>
      <c r="N2006" s="24" t="s">
        <v>5095</v>
      </c>
    </row>
    <row r="2007">
      <c r="C2007" s="24"/>
      <c r="D2007" s="24"/>
      <c r="E2007" s="24"/>
      <c r="G2007" s="143"/>
      <c r="H2007" s="24"/>
      <c r="K2007" s="25"/>
      <c r="L2007" s="25"/>
      <c r="M2007" s="77"/>
      <c r="N2007" s="58" t="s">
        <v>3795</v>
      </c>
    </row>
    <row r="2008">
      <c r="C2008" s="24"/>
      <c r="D2008" s="24"/>
      <c r="E2008" s="24"/>
      <c r="G2008" s="143"/>
      <c r="H2008" s="24"/>
      <c r="K2008" s="25"/>
      <c r="L2008" s="25"/>
      <c r="M2008" s="77"/>
      <c r="N2008" s="120" t="s">
        <v>5111</v>
      </c>
    </row>
    <row r="2009">
      <c r="C2009" s="24"/>
      <c r="D2009" s="24"/>
      <c r="E2009" s="24"/>
      <c r="G2009" s="143"/>
      <c r="H2009" s="24"/>
      <c r="K2009" s="25"/>
      <c r="L2009" s="25"/>
      <c r="M2009" s="77"/>
      <c r="N2009" s="64" t="s">
        <v>4121</v>
      </c>
    </row>
    <row r="2010">
      <c r="C2010" s="24"/>
      <c r="D2010" s="24"/>
      <c r="E2010" s="24"/>
      <c r="G2010" s="143"/>
      <c r="H2010" s="24"/>
      <c r="K2010" s="25"/>
      <c r="L2010" s="25"/>
      <c r="M2010" s="77"/>
      <c r="N2010" s="24" t="s">
        <v>4122</v>
      </c>
    </row>
    <row r="2011">
      <c r="C2011" s="24"/>
      <c r="D2011" s="24"/>
      <c r="E2011" s="24"/>
      <c r="G2011" s="143"/>
      <c r="H2011" s="24"/>
      <c r="K2011" s="25"/>
      <c r="L2011" s="25"/>
      <c r="M2011" s="77"/>
      <c r="N2011" s="24" t="s">
        <v>4123</v>
      </c>
    </row>
    <row r="2012">
      <c r="C2012" s="24"/>
      <c r="D2012" s="24"/>
      <c r="E2012" s="24"/>
      <c r="G2012" s="143"/>
      <c r="H2012" s="24"/>
      <c r="K2012" s="25"/>
      <c r="L2012" s="25"/>
      <c r="M2012" s="77"/>
      <c r="N2012" s="24" t="s">
        <v>4124</v>
      </c>
    </row>
    <row r="2013">
      <c r="C2013" s="24"/>
      <c r="D2013" s="24"/>
      <c r="E2013" s="24"/>
      <c r="G2013" s="143"/>
      <c r="H2013" s="24"/>
      <c r="K2013" s="25"/>
      <c r="L2013" s="25"/>
      <c r="M2013" s="77"/>
      <c r="N2013" s="24" t="s">
        <v>4125</v>
      </c>
    </row>
    <row r="2014">
      <c r="C2014" s="24"/>
      <c r="D2014" s="24"/>
      <c r="E2014" s="24"/>
      <c r="G2014" s="143"/>
      <c r="H2014" s="24"/>
      <c r="K2014" s="25"/>
      <c r="L2014" s="25"/>
      <c r="M2014" s="77"/>
      <c r="N2014" s="24" t="s">
        <v>4126</v>
      </c>
    </row>
    <row r="2015">
      <c r="C2015" s="24"/>
      <c r="D2015" s="24"/>
      <c r="E2015" s="24"/>
      <c r="G2015" s="143"/>
      <c r="H2015" s="24"/>
      <c r="K2015" s="25"/>
      <c r="L2015" s="25"/>
      <c r="M2015" s="77"/>
      <c r="N2015" s="24" t="s">
        <v>4127</v>
      </c>
    </row>
    <row r="2016">
      <c r="C2016" s="24"/>
      <c r="D2016" s="24"/>
      <c r="E2016" s="24"/>
      <c r="G2016" s="143"/>
      <c r="H2016" s="24"/>
      <c r="K2016" s="25"/>
      <c r="L2016" s="25"/>
      <c r="M2016" s="77"/>
      <c r="N2016" s="24" t="s">
        <v>4128</v>
      </c>
    </row>
    <row r="2017">
      <c r="C2017" s="24"/>
      <c r="D2017" s="24"/>
      <c r="E2017" s="24"/>
      <c r="G2017" s="143"/>
      <c r="H2017" s="24"/>
      <c r="K2017" s="25"/>
      <c r="L2017" s="25"/>
      <c r="M2017" s="77"/>
      <c r="N2017" s="24" t="s">
        <v>4129</v>
      </c>
    </row>
    <row r="2018">
      <c r="C2018" s="24"/>
      <c r="D2018" s="24"/>
      <c r="E2018" s="24"/>
      <c r="G2018" s="143"/>
      <c r="H2018" s="24"/>
      <c r="K2018" s="25"/>
      <c r="L2018" s="25"/>
      <c r="M2018" s="77"/>
      <c r="N2018" s="24" t="s">
        <v>4130</v>
      </c>
    </row>
    <row r="2019">
      <c r="C2019" s="24"/>
      <c r="D2019" s="24"/>
      <c r="E2019" s="24"/>
      <c r="G2019" s="143"/>
      <c r="H2019" s="24"/>
      <c r="K2019" s="25"/>
      <c r="L2019" s="25"/>
      <c r="M2019" s="77"/>
      <c r="N2019" s="24" t="s">
        <v>4131</v>
      </c>
    </row>
    <row r="2020">
      <c r="C2020" s="24"/>
      <c r="D2020" s="24"/>
      <c r="E2020" s="24"/>
      <c r="G2020" s="143"/>
      <c r="H2020" s="24"/>
      <c r="K2020" s="25"/>
      <c r="L2020" s="25"/>
      <c r="M2020" s="77"/>
      <c r="N2020" s="24" t="s">
        <v>4132</v>
      </c>
    </row>
    <row r="2021">
      <c r="C2021" s="24"/>
      <c r="D2021" s="24"/>
      <c r="E2021" s="24"/>
      <c r="G2021" s="143"/>
      <c r="H2021" s="24"/>
      <c r="K2021" s="25"/>
      <c r="L2021" s="25"/>
      <c r="M2021" s="77"/>
      <c r="N2021" s="24" t="s">
        <v>4133</v>
      </c>
    </row>
    <row r="2022">
      <c r="C2022" s="24"/>
      <c r="D2022" s="24"/>
      <c r="E2022" s="24"/>
      <c r="G2022" s="143"/>
      <c r="H2022" s="24"/>
      <c r="K2022" s="25"/>
      <c r="L2022" s="25"/>
      <c r="M2022" s="77"/>
      <c r="N2022" s="24" t="s">
        <v>4134</v>
      </c>
    </row>
    <row r="2023">
      <c r="C2023" s="24"/>
      <c r="D2023" s="24"/>
      <c r="E2023" s="24"/>
      <c r="G2023" s="143"/>
      <c r="H2023" s="24"/>
      <c r="K2023" s="25"/>
      <c r="L2023" s="25"/>
      <c r="M2023" s="77"/>
      <c r="N2023" s="24" t="s">
        <v>4135</v>
      </c>
    </row>
    <row r="2024">
      <c r="C2024" s="24"/>
      <c r="D2024" s="24"/>
      <c r="E2024" s="24"/>
      <c r="G2024" s="143"/>
      <c r="H2024" s="24"/>
      <c r="K2024" s="25"/>
      <c r="L2024" s="25"/>
      <c r="M2024" s="77"/>
      <c r="N2024" s="24" t="s">
        <v>4136</v>
      </c>
    </row>
    <row r="2025">
      <c r="C2025" s="24"/>
      <c r="D2025" s="24"/>
      <c r="E2025" s="24"/>
      <c r="G2025" s="143"/>
      <c r="H2025" s="24"/>
      <c r="K2025" s="25"/>
      <c r="L2025" s="25"/>
      <c r="M2025" s="77"/>
      <c r="N2025" s="24" t="s">
        <v>4137</v>
      </c>
    </row>
    <row r="2026">
      <c r="C2026" s="24"/>
      <c r="D2026" s="24"/>
      <c r="E2026" s="24"/>
      <c r="G2026" s="143"/>
      <c r="H2026" s="24"/>
      <c r="K2026" s="25"/>
      <c r="L2026" s="25"/>
      <c r="M2026" s="77"/>
      <c r="N2026" s="24" t="s">
        <v>4138</v>
      </c>
    </row>
    <row r="2027">
      <c r="C2027" s="24"/>
      <c r="D2027" s="24"/>
      <c r="E2027" s="24"/>
      <c r="G2027" s="143"/>
      <c r="H2027" s="24"/>
      <c r="K2027" s="25"/>
      <c r="L2027" s="25"/>
      <c r="M2027" s="77"/>
      <c r="N2027" s="24" t="s">
        <v>4139</v>
      </c>
    </row>
    <row r="2028">
      <c r="C2028" s="24"/>
      <c r="D2028" s="24"/>
      <c r="E2028" s="24"/>
      <c r="G2028" s="143"/>
      <c r="H2028" s="24"/>
      <c r="K2028" s="25"/>
      <c r="L2028" s="25"/>
      <c r="M2028" s="77"/>
      <c r="N2028" s="24" t="s">
        <v>4140</v>
      </c>
    </row>
    <row r="2029">
      <c r="C2029" s="24"/>
      <c r="D2029" s="24"/>
      <c r="E2029" s="24"/>
      <c r="G2029" s="143"/>
      <c r="H2029" s="24"/>
      <c r="K2029" s="25"/>
      <c r="L2029" s="25"/>
      <c r="M2029" s="77"/>
      <c r="N2029" s="24" t="s">
        <v>4141</v>
      </c>
    </row>
    <row r="2030">
      <c r="C2030" s="24"/>
      <c r="D2030" s="24"/>
      <c r="E2030" s="24"/>
      <c r="G2030" s="143"/>
      <c r="H2030" s="24"/>
      <c r="K2030" s="25"/>
      <c r="L2030" s="25"/>
      <c r="M2030" s="77"/>
      <c r="N2030" s="24" t="s">
        <v>4142</v>
      </c>
    </row>
    <row r="2031">
      <c r="C2031" s="24"/>
      <c r="D2031" s="24"/>
      <c r="E2031" s="24"/>
      <c r="G2031" s="143"/>
      <c r="H2031" s="24"/>
      <c r="K2031" s="25"/>
      <c r="L2031" s="25"/>
      <c r="M2031" s="77"/>
      <c r="N2031" s="24" t="s">
        <v>4143</v>
      </c>
    </row>
    <row r="2032">
      <c r="C2032" s="24"/>
      <c r="D2032" s="24"/>
      <c r="E2032" s="24"/>
      <c r="G2032" s="143"/>
      <c r="H2032" s="24"/>
      <c r="K2032" s="25"/>
      <c r="L2032" s="25"/>
      <c r="M2032" s="77"/>
      <c r="N2032" s="24" t="s">
        <v>4144</v>
      </c>
    </row>
    <row r="2033">
      <c r="C2033" s="24"/>
      <c r="D2033" s="24"/>
      <c r="E2033" s="24"/>
      <c r="G2033" s="143"/>
      <c r="H2033" s="24"/>
      <c r="K2033" s="25"/>
      <c r="L2033" s="25"/>
      <c r="M2033" s="77"/>
      <c r="N2033" s="24" t="s">
        <v>4145</v>
      </c>
    </row>
    <row r="2034">
      <c r="C2034" s="24"/>
      <c r="D2034" s="24"/>
      <c r="E2034" s="24"/>
      <c r="G2034" s="143"/>
      <c r="H2034" s="24"/>
      <c r="K2034" s="25"/>
      <c r="L2034" s="25"/>
      <c r="M2034" s="77"/>
      <c r="N2034" s="24" t="s">
        <v>4146</v>
      </c>
    </row>
    <row r="2035">
      <c r="C2035" s="24"/>
      <c r="D2035" s="24"/>
      <c r="E2035" s="24"/>
      <c r="G2035" s="143"/>
      <c r="H2035" s="24"/>
      <c r="K2035" s="25"/>
      <c r="L2035" s="25"/>
      <c r="M2035" s="77"/>
      <c r="N2035" s="24" t="s">
        <v>4147</v>
      </c>
    </row>
    <row r="2036">
      <c r="C2036" s="24"/>
      <c r="D2036" s="24"/>
      <c r="E2036" s="24"/>
      <c r="G2036" s="143"/>
      <c r="H2036" s="24"/>
      <c r="K2036" s="25"/>
      <c r="L2036" s="25"/>
      <c r="M2036" s="77"/>
      <c r="N2036" s="24" t="s">
        <v>4148</v>
      </c>
    </row>
    <row r="2037">
      <c r="C2037" s="24"/>
      <c r="D2037" s="24"/>
      <c r="E2037" s="24"/>
      <c r="G2037" s="143"/>
      <c r="H2037" s="24"/>
      <c r="K2037" s="25"/>
      <c r="L2037" s="25"/>
      <c r="M2037" s="77"/>
      <c r="N2037" s="24" t="s">
        <v>4149</v>
      </c>
    </row>
    <row r="2038">
      <c r="C2038" s="24"/>
      <c r="D2038" s="24"/>
      <c r="E2038" s="24"/>
      <c r="G2038" s="143"/>
      <c r="H2038" s="24"/>
      <c r="K2038" s="25"/>
      <c r="L2038" s="25"/>
      <c r="M2038" s="77"/>
      <c r="N2038" s="24" t="s">
        <v>4150</v>
      </c>
    </row>
    <row r="2039">
      <c r="C2039" s="24"/>
      <c r="D2039" s="24"/>
      <c r="E2039" s="24"/>
      <c r="G2039" s="143"/>
      <c r="H2039" s="24"/>
      <c r="K2039" s="25"/>
      <c r="L2039" s="25"/>
      <c r="M2039" s="77"/>
      <c r="N2039" s="24" t="s">
        <v>4151</v>
      </c>
    </row>
    <row r="2040">
      <c r="C2040" s="24"/>
      <c r="D2040" s="24"/>
      <c r="E2040" s="24"/>
      <c r="G2040" s="143"/>
      <c r="H2040" s="24"/>
      <c r="K2040" s="25"/>
      <c r="L2040" s="25"/>
      <c r="M2040" s="77"/>
      <c r="N2040" s="24" t="s">
        <v>4152</v>
      </c>
    </row>
    <row r="2041">
      <c r="C2041" s="24"/>
      <c r="D2041" s="24"/>
      <c r="E2041" s="24"/>
      <c r="G2041" s="143"/>
      <c r="H2041" s="24"/>
      <c r="K2041" s="25"/>
      <c r="L2041" s="25"/>
      <c r="M2041" s="77"/>
      <c r="N2041" s="24" t="s">
        <v>4153</v>
      </c>
    </row>
    <row r="2042">
      <c r="C2042" s="24"/>
      <c r="D2042" s="24"/>
      <c r="E2042" s="24"/>
      <c r="G2042" s="143"/>
      <c r="H2042" s="24"/>
      <c r="K2042" s="25"/>
      <c r="L2042" s="25"/>
      <c r="M2042" s="77"/>
      <c r="N2042" s="24" t="s">
        <v>4154</v>
      </c>
    </row>
    <row r="2043">
      <c r="C2043" s="24"/>
      <c r="D2043" s="24"/>
      <c r="E2043" s="24"/>
      <c r="G2043" s="143"/>
      <c r="H2043" s="24"/>
      <c r="K2043" s="25"/>
      <c r="L2043" s="25"/>
      <c r="M2043" s="77"/>
      <c r="N2043" s="24" t="s">
        <v>4155</v>
      </c>
    </row>
    <row r="2044">
      <c r="C2044" s="24"/>
      <c r="D2044" s="24"/>
      <c r="E2044" s="24"/>
      <c r="G2044" s="143"/>
      <c r="H2044" s="24"/>
      <c r="K2044" s="25"/>
      <c r="L2044" s="25"/>
      <c r="M2044" s="77"/>
      <c r="N2044" s="24" t="s">
        <v>4156</v>
      </c>
    </row>
    <row r="2045">
      <c r="C2045" s="24"/>
      <c r="D2045" s="24"/>
      <c r="E2045" s="24"/>
      <c r="G2045" s="143"/>
      <c r="H2045" s="24"/>
      <c r="K2045" s="25"/>
      <c r="L2045" s="25"/>
      <c r="M2045" s="77"/>
      <c r="N2045" s="24" t="s">
        <v>4157</v>
      </c>
    </row>
    <row r="2046">
      <c r="C2046" s="24"/>
      <c r="D2046" s="24"/>
      <c r="E2046" s="24"/>
      <c r="G2046" s="143"/>
      <c r="H2046" s="24"/>
      <c r="K2046" s="25"/>
      <c r="L2046" s="25"/>
      <c r="M2046" s="77"/>
      <c r="N2046" s="24" t="s">
        <v>4158</v>
      </c>
    </row>
    <row r="2047">
      <c r="C2047" s="24"/>
      <c r="D2047" s="24"/>
      <c r="E2047" s="24"/>
      <c r="G2047" s="143"/>
      <c r="H2047" s="24"/>
      <c r="K2047" s="25"/>
      <c r="L2047" s="25"/>
      <c r="M2047" s="77"/>
      <c r="N2047" s="24" t="s">
        <v>4159</v>
      </c>
    </row>
    <row r="2048">
      <c r="C2048" s="24"/>
      <c r="D2048" s="24"/>
      <c r="E2048" s="24"/>
      <c r="G2048" s="143"/>
      <c r="H2048" s="24"/>
      <c r="K2048" s="25"/>
      <c r="L2048" s="25"/>
      <c r="M2048" s="77"/>
      <c r="N2048" s="24" t="s">
        <v>4160</v>
      </c>
    </row>
    <row r="2049">
      <c r="C2049" s="24"/>
      <c r="D2049" s="24"/>
      <c r="E2049" s="24"/>
      <c r="G2049" s="143"/>
      <c r="H2049" s="24"/>
      <c r="K2049" s="25"/>
      <c r="L2049" s="25"/>
      <c r="M2049" s="77"/>
      <c r="N2049" s="24" t="s">
        <v>4161</v>
      </c>
    </row>
    <row r="2050">
      <c r="C2050" s="24"/>
      <c r="D2050" s="24"/>
      <c r="E2050" s="24"/>
      <c r="G2050" s="143"/>
      <c r="H2050" s="24"/>
      <c r="K2050" s="25"/>
      <c r="L2050" s="25"/>
      <c r="M2050" s="77"/>
      <c r="N2050" s="24" t="s">
        <v>4162</v>
      </c>
    </row>
    <row r="2051">
      <c r="C2051" s="24"/>
      <c r="D2051" s="24"/>
      <c r="E2051" s="24"/>
      <c r="G2051" s="143"/>
      <c r="H2051" s="24"/>
      <c r="K2051" s="25"/>
      <c r="L2051" s="25"/>
      <c r="M2051" s="77"/>
      <c r="N2051" s="24" t="s">
        <v>4163</v>
      </c>
    </row>
    <row r="2052">
      <c r="C2052" s="24"/>
      <c r="D2052" s="24"/>
      <c r="E2052" s="24"/>
      <c r="G2052" s="143"/>
      <c r="H2052" s="24"/>
      <c r="K2052" s="25"/>
      <c r="L2052" s="25"/>
      <c r="M2052" s="77"/>
      <c r="N2052" s="24" t="s">
        <v>4164</v>
      </c>
    </row>
    <row r="2053">
      <c r="C2053" s="24"/>
      <c r="D2053" s="24"/>
      <c r="E2053" s="24"/>
      <c r="G2053" s="143"/>
      <c r="H2053" s="24"/>
      <c r="K2053" s="25"/>
      <c r="L2053" s="25"/>
      <c r="M2053" s="77"/>
      <c r="N2053" s="24" t="s">
        <v>4165</v>
      </c>
    </row>
    <row r="2054">
      <c r="C2054" s="24"/>
      <c r="D2054" s="24"/>
      <c r="E2054" s="24"/>
      <c r="G2054" s="143"/>
      <c r="H2054" s="24"/>
      <c r="K2054" s="25"/>
      <c r="L2054" s="25"/>
      <c r="M2054" s="77"/>
      <c r="N2054" s="24" t="s">
        <v>4166</v>
      </c>
    </row>
    <row r="2055">
      <c r="C2055" s="24"/>
      <c r="D2055" s="24"/>
      <c r="E2055" s="24"/>
      <c r="G2055" s="143"/>
      <c r="H2055" s="24"/>
      <c r="K2055" s="25"/>
      <c r="L2055" s="25"/>
      <c r="M2055" s="77"/>
      <c r="N2055" s="24" t="s">
        <v>4167</v>
      </c>
    </row>
    <row r="2056">
      <c r="C2056" s="24"/>
      <c r="D2056" s="24"/>
      <c r="E2056" s="24"/>
      <c r="G2056" s="143"/>
      <c r="H2056" s="24"/>
      <c r="K2056" s="25"/>
      <c r="L2056" s="25"/>
      <c r="M2056" s="77"/>
      <c r="N2056" s="24" t="s">
        <v>4168</v>
      </c>
    </row>
    <row r="2057">
      <c r="C2057" s="24"/>
      <c r="D2057" s="24"/>
      <c r="E2057" s="24"/>
      <c r="G2057" s="143"/>
      <c r="H2057" s="24"/>
      <c r="K2057" s="25"/>
      <c r="L2057" s="25"/>
      <c r="M2057" s="77"/>
      <c r="N2057" s="24" t="s">
        <v>4169</v>
      </c>
    </row>
    <row r="2058">
      <c r="C2058" s="24"/>
      <c r="D2058" s="24"/>
      <c r="E2058" s="24"/>
      <c r="G2058" s="143"/>
      <c r="H2058" s="24"/>
      <c r="K2058" s="25"/>
      <c r="L2058" s="25"/>
      <c r="M2058" s="77"/>
      <c r="N2058" s="24" t="s">
        <v>4170</v>
      </c>
    </row>
    <row r="2059">
      <c r="C2059" s="24"/>
      <c r="D2059" s="24"/>
      <c r="E2059" s="24"/>
      <c r="G2059" s="143"/>
      <c r="H2059" s="24"/>
      <c r="K2059" s="25"/>
      <c r="L2059" s="25"/>
      <c r="M2059" s="77"/>
      <c r="N2059" s="24" t="s">
        <v>4171</v>
      </c>
    </row>
    <row r="2060">
      <c r="C2060" s="24"/>
      <c r="D2060" s="24"/>
      <c r="E2060" s="24"/>
      <c r="G2060" s="143"/>
      <c r="H2060" s="24"/>
      <c r="K2060" s="25"/>
      <c r="L2060" s="25"/>
      <c r="M2060" s="77"/>
      <c r="N2060" s="24" t="s">
        <v>4172</v>
      </c>
    </row>
    <row r="2061">
      <c r="C2061" s="24"/>
      <c r="D2061" s="24"/>
      <c r="E2061" s="24"/>
      <c r="G2061" s="143"/>
      <c r="H2061" s="24"/>
      <c r="K2061" s="25"/>
      <c r="L2061" s="25"/>
      <c r="M2061" s="77"/>
      <c r="N2061" s="24" t="s">
        <v>4173</v>
      </c>
    </row>
    <row r="2062">
      <c r="C2062" s="24"/>
      <c r="D2062" s="24"/>
      <c r="E2062" s="24"/>
      <c r="G2062" s="143"/>
      <c r="H2062" s="24"/>
      <c r="K2062" s="25"/>
      <c r="L2062" s="25"/>
      <c r="M2062" s="77"/>
      <c r="N2062" s="24" t="s">
        <v>4174</v>
      </c>
    </row>
    <row r="2063">
      <c r="C2063" s="24"/>
      <c r="D2063" s="24"/>
      <c r="E2063" s="24"/>
      <c r="G2063" s="143"/>
      <c r="H2063" s="24"/>
      <c r="K2063" s="25"/>
      <c r="L2063" s="25"/>
      <c r="M2063" s="77"/>
      <c r="N2063" s="24" t="s">
        <v>4175</v>
      </c>
    </row>
    <row r="2064">
      <c r="C2064" s="24"/>
      <c r="D2064" s="24"/>
      <c r="E2064" s="24"/>
      <c r="G2064" s="143"/>
      <c r="H2064" s="24"/>
      <c r="K2064" s="25"/>
      <c r="L2064" s="25"/>
      <c r="M2064" s="77"/>
      <c r="N2064" s="24" t="s">
        <v>4176</v>
      </c>
    </row>
    <row r="2065">
      <c r="C2065" s="24"/>
      <c r="D2065" s="24"/>
      <c r="E2065" s="24"/>
      <c r="G2065" s="143"/>
      <c r="H2065" s="24"/>
      <c r="K2065" s="25"/>
      <c r="L2065" s="25"/>
      <c r="M2065" s="77"/>
      <c r="N2065" s="24" t="s">
        <v>4177</v>
      </c>
    </row>
    <row r="2066">
      <c r="C2066" s="24"/>
      <c r="D2066" s="24"/>
      <c r="E2066" s="24"/>
      <c r="G2066" s="143"/>
      <c r="H2066" s="24"/>
      <c r="K2066" s="25"/>
      <c r="L2066" s="25"/>
      <c r="M2066" s="77"/>
      <c r="N2066" s="24" t="s">
        <v>4178</v>
      </c>
    </row>
    <row r="2067">
      <c r="C2067" s="24"/>
      <c r="D2067" s="24"/>
      <c r="E2067" s="24"/>
      <c r="G2067" s="143"/>
      <c r="H2067" s="24"/>
      <c r="K2067" s="25"/>
      <c r="L2067" s="25"/>
      <c r="M2067" s="77"/>
      <c r="N2067" s="24" t="s">
        <v>4179</v>
      </c>
    </row>
    <row r="2068">
      <c r="C2068" s="24"/>
      <c r="D2068" s="24"/>
      <c r="E2068" s="24"/>
      <c r="G2068" s="143"/>
      <c r="H2068" s="24"/>
      <c r="K2068" s="25"/>
      <c r="L2068" s="25"/>
      <c r="M2068" s="77"/>
      <c r="N2068" s="24" t="s">
        <v>4180</v>
      </c>
    </row>
    <row r="2069">
      <c r="C2069" s="24"/>
      <c r="D2069" s="24"/>
      <c r="E2069" s="24"/>
      <c r="G2069" s="143"/>
      <c r="H2069" s="24"/>
      <c r="K2069" s="25"/>
      <c r="L2069" s="25"/>
      <c r="M2069" s="77"/>
      <c r="N2069" s="24" t="s">
        <v>4181</v>
      </c>
    </row>
    <row r="2070">
      <c r="C2070" s="24"/>
      <c r="D2070" s="24"/>
      <c r="E2070" s="24"/>
      <c r="G2070" s="143"/>
      <c r="H2070" s="24"/>
      <c r="K2070" s="25"/>
      <c r="L2070" s="25"/>
      <c r="M2070" s="77"/>
      <c r="N2070" s="24" t="s">
        <v>4182</v>
      </c>
    </row>
    <row r="2071">
      <c r="C2071" s="24"/>
      <c r="D2071" s="24"/>
      <c r="E2071" s="24"/>
      <c r="G2071" s="143"/>
      <c r="H2071" s="24"/>
      <c r="K2071" s="25"/>
      <c r="L2071" s="25"/>
      <c r="M2071" s="77"/>
      <c r="N2071" s="24" t="s">
        <v>4183</v>
      </c>
    </row>
    <row r="2072">
      <c r="C2072" s="24"/>
      <c r="D2072" s="24"/>
      <c r="E2072" s="24"/>
      <c r="G2072" s="143"/>
      <c r="H2072" s="24"/>
      <c r="K2072" s="25"/>
      <c r="L2072" s="25"/>
      <c r="M2072" s="77"/>
      <c r="N2072" s="24" t="s">
        <v>4184</v>
      </c>
    </row>
    <row r="2073">
      <c r="C2073" s="24"/>
      <c r="D2073" s="24"/>
      <c r="E2073" s="24"/>
      <c r="G2073" s="143"/>
      <c r="H2073" s="24"/>
      <c r="K2073" s="25"/>
      <c r="L2073" s="25"/>
      <c r="M2073" s="77"/>
      <c r="N2073" s="24" t="s">
        <v>4185</v>
      </c>
    </row>
    <row r="2074">
      <c r="C2074" s="24"/>
      <c r="D2074" s="24"/>
      <c r="E2074" s="24"/>
      <c r="G2074" s="143"/>
      <c r="H2074" s="24"/>
      <c r="K2074" s="25"/>
      <c r="L2074" s="25"/>
      <c r="M2074" s="77"/>
      <c r="N2074" s="24" t="s">
        <v>4186</v>
      </c>
    </row>
    <row r="2075">
      <c r="C2075" s="24"/>
      <c r="D2075" s="24"/>
      <c r="E2075" s="24"/>
      <c r="G2075" s="143"/>
      <c r="H2075" s="24"/>
      <c r="K2075" s="25"/>
      <c r="L2075" s="25"/>
      <c r="M2075" s="77"/>
      <c r="N2075" s="24" t="s">
        <v>4187</v>
      </c>
    </row>
    <row r="2076">
      <c r="C2076" s="24"/>
      <c r="D2076" s="24"/>
      <c r="E2076" s="24"/>
      <c r="G2076" s="143"/>
      <c r="H2076" s="24"/>
      <c r="K2076" s="25"/>
      <c r="L2076" s="25"/>
      <c r="M2076" s="77"/>
      <c r="N2076" s="24" t="s">
        <v>4188</v>
      </c>
    </row>
    <row r="2077">
      <c r="C2077" s="24"/>
      <c r="D2077" s="24"/>
      <c r="E2077" s="24"/>
      <c r="G2077" s="143"/>
      <c r="H2077" s="24"/>
      <c r="K2077" s="25"/>
      <c r="L2077" s="25"/>
      <c r="M2077" s="77"/>
      <c r="N2077" s="24" t="s">
        <v>4189</v>
      </c>
    </row>
    <row r="2078">
      <c r="C2078" s="24"/>
      <c r="D2078" s="24"/>
      <c r="E2078" s="24"/>
      <c r="G2078" s="143"/>
      <c r="H2078" s="24"/>
      <c r="K2078" s="25"/>
      <c r="L2078" s="25"/>
      <c r="M2078" s="77"/>
      <c r="N2078" s="24" t="s">
        <v>4190</v>
      </c>
    </row>
    <row r="2079">
      <c r="C2079" s="24"/>
      <c r="D2079" s="24"/>
      <c r="E2079" s="24"/>
      <c r="G2079" s="143"/>
      <c r="H2079" s="24"/>
      <c r="K2079" s="25"/>
      <c r="L2079" s="25"/>
      <c r="M2079" s="77"/>
      <c r="N2079" s="24" t="s">
        <v>4191</v>
      </c>
    </row>
    <row r="2080">
      <c r="C2080" s="24"/>
      <c r="D2080" s="24"/>
      <c r="E2080" s="24"/>
      <c r="G2080" s="143"/>
      <c r="H2080" s="24"/>
      <c r="K2080" s="25"/>
      <c r="L2080" s="25"/>
      <c r="M2080" s="77"/>
      <c r="N2080" s="134" t="s">
        <v>4192</v>
      </c>
    </row>
    <row r="2081">
      <c r="C2081" s="24"/>
      <c r="D2081" s="24"/>
      <c r="E2081" s="24"/>
      <c r="G2081" s="143"/>
      <c r="H2081" s="24"/>
      <c r="K2081" s="25"/>
      <c r="L2081" s="25"/>
      <c r="M2081" s="77"/>
      <c r="N2081" s="24" t="s">
        <v>4193</v>
      </c>
    </row>
    <row r="2082">
      <c r="C2082" s="24"/>
      <c r="D2082" s="24"/>
      <c r="E2082" s="24"/>
      <c r="G2082" s="143"/>
      <c r="H2082" s="24"/>
      <c r="K2082" s="25"/>
      <c r="L2082" s="25"/>
      <c r="M2082" s="77"/>
      <c r="N2082" s="24" t="s">
        <v>4194</v>
      </c>
    </row>
    <row r="2083">
      <c r="C2083" s="24"/>
      <c r="D2083" s="24"/>
      <c r="E2083" s="24"/>
      <c r="G2083" s="143"/>
      <c r="H2083" s="24"/>
      <c r="K2083" s="25"/>
      <c r="L2083" s="25"/>
      <c r="M2083" s="77"/>
      <c r="N2083" s="24" t="s">
        <v>4195</v>
      </c>
    </row>
    <row r="2084">
      <c r="C2084" s="24"/>
      <c r="D2084" s="24"/>
      <c r="E2084" s="24"/>
      <c r="G2084" s="143"/>
      <c r="H2084" s="24"/>
      <c r="K2084" s="25"/>
      <c r="L2084" s="25"/>
      <c r="M2084" s="77"/>
      <c r="N2084" s="24" t="s">
        <v>4196</v>
      </c>
    </row>
    <row r="2085">
      <c r="C2085" s="24"/>
      <c r="D2085" s="24"/>
      <c r="E2085" s="24"/>
      <c r="G2085" s="143"/>
      <c r="H2085" s="24"/>
      <c r="K2085" s="25"/>
      <c r="L2085" s="25"/>
      <c r="M2085" s="77"/>
      <c r="N2085" s="24" t="s">
        <v>4197</v>
      </c>
    </row>
    <row r="2086">
      <c r="C2086" s="24"/>
      <c r="D2086" s="24"/>
      <c r="E2086" s="24"/>
      <c r="G2086" s="143"/>
      <c r="H2086" s="24"/>
      <c r="K2086" s="25"/>
      <c r="L2086" s="25"/>
      <c r="M2086" s="77"/>
      <c r="N2086" s="24" t="s">
        <v>4198</v>
      </c>
    </row>
    <row r="2087">
      <c r="C2087" s="24"/>
      <c r="D2087" s="24"/>
      <c r="E2087" s="24"/>
      <c r="G2087" s="143"/>
      <c r="H2087" s="24"/>
      <c r="K2087" s="25"/>
      <c r="L2087" s="25"/>
      <c r="M2087" s="77"/>
      <c r="N2087" s="24" t="s">
        <v>4199</v>
      </c>
    </row>
    <row r="2088">
      <c r="C2088" s="24"/>
      <c r="D2088" s="24"/>
      <c r="E2088" s="24"/>
      <c r="G2088" s="143"/>
      <c r="H2088" s="24"/>
      <c r="K2088" s="25"/>
      <c r="L2088" s="25"/>
      <c r="M2088" s="77"/>
      <c r="N2088" s="24" t="s">
        <v>4200</v>
      </c>
    </row>
    <row r="2089">
      <c r="C2089" s="24"/>
      <c r="D2089" s="24"/>
      <c r="E2089" s="24"/>
      <c r="G2089" s="143"/>
      <c r="H2089" s="24"/>
      <c r="K2089" s="25"/>
      <c r="L2089" s="25"/>
      <c r="M2089" s="77"/>
      <c r="N2089" s="24" t="s">
        <v>4201</v>
      </c>
    </row>
    <row r="2090">
      <c r="C2090" s="24"/>
      <c r="D2090" s="24"/>
      <c r="E2090" s="24"/>
      <c r="G2090" s="143"/>
      <c r="H2090" s="24"/>
      <c r="K2090" s="25"/>
      <c r="L2090" s="25"/>
      <c r="M2090" s="77"/>
      <c r="N2090" s="24" t="s">
        <v>4202</v>
      </c>
    </row>
    <row r="2091">
      <c r="C2091" s="24"/>
      <c r="D2091" s="24"/>
      <c r="E2091" s="24"/>
      <c r="G2091" s="143"/>
      <c r="H2091" s="24"/>
      <c r="K2091" s="25"/>
      <c r="L2091" s="25"/>
      <c r="M2091" s="77"/>
      <c r="N2091" s="24" t="s">
        <v>4203</v>
      </c>
    </row>
    <row r="2092">
      <c r="C2092" s="24"/>
      <c r="D2092" s="24"/>
      <c r="E2092" s="24"/>
      <c r="G2092" s="143"/>
      <c r="H2092" s="24"/>
      <c r="K2092" s="25"/>
      <c r="L2092" s="25"/>
      <c r="M2092" s="77"/>
      <c r="N2092" s="24" t="s">
        <v>4204</v>
      </c>
    </row>
    <row r="2093">
      <c r="C2093" s="24"/>
      <c r="D2093" s="24"/>
      <c r="E2093" s="24"/>
      <c r="G2093" s="143"/>
      <c r="H2093" s="24"/>
      <c r="K2093" s="25"/>
      <c r="L2093" s="25"/>
      <c r="M2093" s="77"/>
      <c r="N2093" s="24" t="s">
        <v>4205</v>
      </c>
    </row>
    <row r="2094">
      <c r="C2094" s="24"/>
      <c r="D2094" s="24"/>
      <c r="E2094" s="24"/>
      <c r="G2094" s="143"/>
      <c r="H2094" s="24"/>
      <c r="K2094" s="25"/>
      <c r="L2094" s="25"/>
      <c r="M2094" s="77"/>
      <c r="N2094" s="24" t="s">
        <v>4206</v>
      </c>
    </row>
    <row r="2095">
      <c r="C2095" s="24"/>
      <c r="D2095" s="24"/>
      <c r="E2095" s="24"/>
      <c r="G2095" s="143"/>
      <c r="H2095" s="24"/>
      <c r="K2095" s="25"/>
      <c r="L2095" s="25"/>
      <c r="M2095" s="77"/>
      <c r="N2095" s="24" t="s">
        <v>4207</v>
      </c>
    </row>
    <row r="2096">
      <c r="C2096" s="24"/>
      <c r="D2096" s="24"/>
      <c r="E2096" s="24"/>
      <c r="G2096" s="143"/>
      <c r="H2096" s="24"/>
      <c r="K2096" s="25"/>
      <c r="L2096" s="25"/>
      <c r="M2096" s="77"/>
      <c r="N2096" s="24" t="s">
        <v>4208</v>
      </c>
    </row>
    <row r="2097">
      <c r="C2097" s="24"/>
      <c r="D2097" s="24"/>
      <c r="E2097" s="24"/>
      <c r="G2097" s="143"/>
      <c r="H2097" s="24"/>
      <c r="K2097" s="25"/>
      <c r="L2097" s="25"/>
      <c r="M2097" s="77"/>
      <c r="N2097" s="24" t="s">
        <v>4209</v>
      </c>
    </row>
    <row r="2098">
      <c r="C2098" s="24"/>
      <c r="D2098" s="24"/>
      <c r="E2098" s="24"/>
      <c r="G2098" s="143"/>
      <c r="H2098" s="24"/>
      <c r="K2098" s="25"/>
      <c r="L2098" s="25"/>
      <c r="M2098" s="77"/>
      <c r="N2098" s="24" t="s">
        <v>4210</v>
      </c>
    </row>
    <row r="2099">
      <c r="C2099" s="24"/>
      <c r="D2099" s="24"/>
      <c r="E2099" s="24"/>
      <c r="G2099" s="143"/>
      <c r="H2099" s="24"/>
      <c r="K2099" s="25"/>
      <c r="L2099" s="25"/>
      <c r="M2099" s="77"/>
      <c r="N2099" s="24" t="s">
        <v>4211</v>
      </c>
    </row>
    <row r="2100">
      <c r="C2100" s="24"/>
      <c r="D2100" s="24"/>
      <c r="E2100" s="24"/>
      <c r="G2100" s="143"/>
      <c r="H2100" s="24"/>
      <c r="K2100" s="25"/>
      <c r="L2100" s="25"/>
      <c r="M2100" s="77"/>
      <c r="N2100" s="24" t="s">
        <v>4212</v>
      </c>
    </row>
    <row r="2101">
      <c r="C2101" s="24"/>
      <c r="D2101" s="24"/>
      <c r="E2101" s="24"/>
      <c r="G2101" s="143"/>
      <c r="H2101" s="24"/>
      <c r="K2101" s="25"/>
      <c r="L2101" s="25"/>
      <c r="M2101" s="77"/>
      <c r="N2101" s="24" t="s">
        <v>4213</v>
      </c>
    </row>
    <row r="2102">
      <c r="C2102" s="24"/>
      <c r="D2102" s="24"/>
      <c r="E2102" s="24"/>
      <c r="G2102" s="143"/>
      <c r="H2102" s="24"/>
      <c r="K2102" s="25"/>
      <c r="L2102" s="25"/>
      <c r="M2102" s="77"/>
      <c r="N2102" s="24" t="s">
        <v>4214</v>
      </c>
    </row>
    <row r="2103">
      <c r="C2103" s="24"/>
      <c r="D2103" s="24"/>
      <c r="E2103" s="24"/>
      <c r="G2103" s="143"/>
      <c r="H2103" s="24"/>
      <c r="K2103" s="25"/>
      <c r="L2103" s="25"/>
      <c r="M2103" s="77"/>
      <c r="N2103" s="24" t="s">
        <v>4215</v>
      </c>
    </row>
    <row r="2104">
      <c r="C2104" s="24"/>
      <c r="D2104" s="24"/>
      <c r="E2104" s="24"/>
      <c r="G2104" s="143"/>
      <c r="H2104" s="24"/>
      <c r="K2104" s="25"/>
      <c r="L2104" s="25"/>
      <c r="M2104" s="77"/>
      <c r="N2104" s="24" t="s">
        <v>4216</v>
      </c>
    </row>
    <row r="2105">
      <c r="C2105" s="24"/>
      <c r="D2105" s="24"/>
      <c r="E2105" s="24"/>
      <c r="G2105" s="143"/>
      <c r="H2105" s="24"/>
      <c r="K2105" s="25"/>
      <c r="L2105" s="25"/>
      <c r="M2105" s="77"/>
      <c r="N2105" s="24" t="s">
        <v>4217</v>
      </c>
    </row>
    <row r="2106">
      <c r="C2106" s="24"/>
      <c r="D2106" s="24"/>
      <c r="E2106" s="24"/>
      <c r="G2106" s="143"/>
      <c r="H2106" s="24"/>
      <c r="K2106" s="25"/>
      <c r="L2106" s="25"/>
      <c r="M2106" s="77"/>
      <c r="N2106" s="24" t="s">
        <v>4218</v>
      </c>
    </row>
    <row r="2107">
      <c r="C2107" s="24"/>
      <c r="D2107" s="24"/>
      <c r="E2107" s="24"/>
      <c r="G2107" s="143"/>
      <c r="H2107" s="24"/>
      <c r="K2107" s="25"/>
      <c r="L2107" s="25"/>
      <c r="M2107" s="77"/>
      <c r="N2107" s="24" t="s">
        <v>4219</v>
      </c>
    </row>
    <row r="2108">
      <c r="C2108" s="24"/>
      <c r="D2108" s="24"/>
      <c r="E2108" s="24"/>
      <c r="G2108" s="143"/>
      <c r="H2108" s="24"/>
      <c r="K2108" s="25"/>
      <c r="L2108" s="25"/>
      <c r="M2108" s="77"/>
      <c r="N2108" s="24" t="s">
        <v>4220</v>
      </c>
    </row>
    <row r="2109">
      <c r="C2109" s="24"/>
      <c r="D2109" s="24"/>
      <c r="E2109" s="24"/>
      <c r="G2109" s="143"/>
      <c r="H2109" s="24"/>
      <c r="K2109" s="25"/>
      <c r="L2109" s="25"/>
      <c r="M2109" s="77"/>
      <c r="N2109" s="24" t="s">
        <v>4221</v>
      </c>
    </row>
    <row r="2110">
      <c r="C2110" s="24"/>
      <c r="D2110" s="24"/>
      <c r="E2110" s="24"/>
      <c r="G2110" s="143"/>
      <c r="H2110" s="24"/>
      <c r="K2110" s="25"/>
      <c r="L2110" s="25"/>
      <c r="M2110" s="77"/>
      <c r="N2110" s="24" t="s">
        <v>4222</v>
      </c>
    </row>
    <row r="2111">
      <c r="C2111" s="24"/>
      <c r="D2111" s="24"/>
      <c r="E2111" s="24"/>
      <c r="G2111" s="143"/>
      <c r="H2111" s="24"/>
      <c r="K2111" s="25"/>
      <c r="L2111" s="25"/>
      <c r="M2111" s="77"/>
      <c r="N2111" s="24" t="s">
        <v>4223</v>
      </c>
    </row>
    <row r="2112">
      <c r="C2112" s="24"/>
      <c r="D2112" s="24"/>
      <c r="E2112" s="24"/>
      <c r="G2112" s="143"/>
      <c r="H2112" s="24"/>
      <c r="K2112" s="25"/>
      <c r="L2112" s="25"/>
      <c r="M2112" s="77"/>
      <c r="N2112" s="24" t="s">
        <v>4224</v>
      </c>
    </row>
    <row r="2113">
      <c r="C2113" s="24"/>
      <c r="D2113" s="24"/>
      <c r="E2113" s="24"/>
      <c r="G2113" s="143"/>
      <c r="H2113" s="24"/>
      <c r="K2113" s="25"/>
      <c r="L2113" s="25"/>
      <c r="M2113" s="77"/>
      <c r="N2113" s="24" t="s">
        <v>4225</v>
      </c>
    </row>
    <row r="2114">
      <c r="C2114" s="24"/>
      <c r="D2114" s="24"/>
      <c r="E2114" s="24"/>
      <c r="G2114" s="143"/>
      <c r="H2114" s="24"/>
      <c r="K2114" s="25"/>
      <c r="L2114" s="25"/>
      <c r="M2114" s="77"/>
      <c r="N2114" s="24" t="s">
        <v>4226</v>
      </c>
    </row>
    <row r="2115">
      <c r="C2115" s="24"/>
      <c r="D2115" s="24"/>
      <c r="E2115" s="24"/>
      <c r="G2115" s="143"/>
      <c r="H2115" s="24"/>
      <c r="K2115" s="25"/>
      <c r="L2115" s="25"/>
      <c r="M2115" s="77"/>
      <c r="N2115" s="24" t="s">
        <v>4227</v>
      </c>
    </row>
    <row r="2116">
      <c r="C2116" s="24"/>
      <c r="D2116" s="24"/>
      <c r="E2116" s="24"/>
      <c r="G2116" s="143"/>
      <c r="H2116" s="24"/>
      <c r="K2116" s="25"/>
      <c r="L2116" s="25"/>
      <c r="M2116" s="77"/>
      <c r="N2116" s="24" t="s">
        <v>4228</v>
      </c>
    </row>
    <row r="2117">
      <c r="C2117" s="24"/>
      <c r="D2117" s="24"/>
      <c r="E2117" s="24"/>
      <c r="G2117" s="143"/>
      <c r="H2117" s="24"/>
      <c r="K2117" s="25"/>
      <c r="L2117" s="25"/>
      <c r="M2117" s="77"/>
      <c r="N2117" s="24" t="s">
        <v>4229</v>
      </c>
    </row>
    <row r="2118">
      <c r="C2118" s="24"/>
      <c r="D2118" s="24"/>
      <c r="E2118" s="24"/>
      <c r="G2118" s="143"/>
      <c r="H2118" s="24"/>
      <c r="K2118" s="25"/>
      <c r="L2118" s="25"/>
      <c r="M2118" s="77"/>
      <c r="N2118" s="24" t="s">
        <v>4230</v>
      </c>
    </row>
    <row r="2119">
      <c r="C2119" s="24"/>
      <c r="D2119" s="24"/>
      <c r="E2119" s="24"/>
      <c r="G2119" s="143"/>
      <c r="H2119" s="24"/>
      <c r="K2119" s="25"/>
      <c r="L2119" s="25"/>
      <c r="M2119" s="77"/>
      <c r="N2119" s="24" t="s">
        <v>4231</v>
      </c>
    </row>
    <row r="2120">
      <c r="C2120" s="24"/>
      <c r="D2120" s="24"/>
      <c r="E2120" s="24"/>
      <c r="G2120" s="143"/>
      <c r="H2120" s="24"/>
      <c r="K2120" s="25"/>
      <c r="L2120" s="25"/>
      <c r="M2120" s="77"/>
      <c r="N2120" s="24" t="s">
        <v>4232</v>
      </c>
    </row>
    <row r="2121">
      <c r="C2121" s="24"/>
      <c r="D2121" s="24"/>
      <c r="E2121" s="24"/>
      <c r="G2121" s="143"/>
      <c r="H2121" s="24"/>
      <c r="K2121" s="25"/>
      <c r="L2121" s="25"/>
      <c r="M2121" s="77"/>
      <c r="N2121" s="24" t="s">
        <v>4233</v>
      </c>
    </row>
    <row r="2122">
      <c r="C2122" s="24"/>
      <c r="D2122" s="24"/>
      <c r="E2122" s="24"/>
      <c r="G2122" s="143"/>
      <c r="H2122" s="24"/>
      <c r="K2122" s="25"/>
      <c r="L2122" s="25"/>
      <c r="M2122" s="77"/>
      <c r="N2122" s="24" t="s">
        <v>4234</v>
      </c>
    </row>
    <row r="2123">
      <c r="C2123" s="24"/>
      <c r="D2123" s="24"/>
      <c r="E2123" s="24"/>
      <c r="G2123" s="143"/>
      <c r="H2123" s="24"/>
      <c r="K2123" s="25"/>
      <c r="L2123" s="25"/>
      <c r="M2123" s="77"/>
      <c r="N2123" s="24" t="s">
        <v>4235</v>
      </c>
    </row>
    <row r="2124">
      <c r="C2124" s="24"/>
      <c r="D2124" s="24"/>
      <c r="E2124" s="24"/>
      <c r="G2124" s="143"/>
      <c r="H2124" s="24"/>
      <c r="K2124" s="25"/>
      <c r="L2124" s="25"/>
      <c r="M2124" s="77"/>
      <c r="N2124" s="24" t="s">
        <v>4236</v>
      </c>
    </row>
    <row r="2125">
      <c r="C2125" s="24"/>
      <c r="D2125" s="24"/>
      <c r="E2125" s="24"/>
      <c r="G2125" s="143"/>
      <c r="H2125" s="24"/>
      <c r="K2125" s="25"/>
      <c r="L2125" s="25"/>
      <c r="M2125" s="77"/>
      <c r="N2125" s="24" t="s">
        <v>4237</v>
      </c>
    </row>
    <row r="2126">
      <c r="C2126" s="24"/>
      <c r="D2126" s="24"/>
      <c r="E2126" s="24"/>
      <c r="G2126" s="143"/>
      <c r="H2126" s="24"/>
      <c r="K2126" s="25"/>
      <c r="L2126" s="25"/>
      <c r="M2126" s="77"/>
      <c r="N2126" s="24" t="s">
        <v>4238</v>
      </c>
    </row>
    <row r="2127">
      <c r="C2127" s="24"/>
      <c r="D2127" s="24"/>
      <c r="E2127" s="24"/>
      <c r="G2127" s="143"/>
      <c r="H2127" s="24"/>
      <c r="K2127" s="25"/>
      <c r="L2127" s="25"/>
      <c r="M2127" s="77"/>
      <c r="N2127" s="24" t="s">
        <v>4239</v>
      </c>
    </row>
    <row r="2128">
      <c r="C2128" s="24"/>
      <c r="D2128" s="24"/>
      <c r="E2128" s="24"/>
      <c r="G2128" s="143"/>
      <c r="H2128" s="24"/>
      <c r="K2128" s="25"/>
      <c r="L2128" s="25"/>
      <c r="M2128" s="77"/>
      <c r="N2128" s="24" t="s">
        <v>4240</v>
      </c>
    </row>
    <row r="2129">
      <c r="C2129" s="24"/>
      <c r="D2129" s="24"/>
      <c r="E2129" s="24"/>
      <c r="G2129" s="143"/>
      <c r="H2129" s="24"/>
      <c r="K2129" s="25"/>
      <c r="L2129" s="25"/>
      <c r="M2129" s="77"/>
      <c r="N2129" s="24" t="s">
        <v>4241</v>
      </c>
    </row>
    <row r="2130">
      <c r="C2130" s="24"/>
      <c r="D2130" s="24"/>
      <c r="E2130" s="24"/>
      <c r="G2130" s="143"/>
      <c r="H2130" s="24"/>
      <c r="K2130" s="25"/>
      <c r="L2130" s="25"/>
      <c r="M2130" s="77"/>
      <c r="N2130" s="24" t="s">
        <v>4242</v>
      </c>
    </row>
    <row r="2131">
      <c r="C2131" s="24"/>
      <c r="D2131" s="24"/>
      <c r="E2131" s="24"/>
      <c r="G2131" s="143"/>
      <c r="H2131" s="24"/>
      <c r="K2131" s="25"/>
      <c r="L2131" s="25"/>
      <c r="M2131" s="77"/>
      <c r="N2131" s="24" t="s">
        <v>4243</v>
      </c>
    </row>
    <row r="2132">
      <c r="C2132" s="24"/>
      <c r="D2132" s="24"/>
      <c r="E2132" s="24"/>
      <c r="G2132" s="143"/>
      <c r="H2132" s="24"/>
      <c r="K2132" s="25"/>
      <c r="L2132" s="25"/>
      <c r="M2132" s="77"/>
      <c r="N2132" s="24" t="s">
        <v>4244</v>
      </c>
    </row>
    <row r="2133">
      <c r="C2133" s="24"/>
      <c r="D2133" s="24"/>
      <c r="E2133" s="24"/>
      <c r="G2133" s="143"/>
      <c r="H2133" s="24"/>
      <c r="K2133" s="25"/>
      <c r="L2133" s="25"/>
      <c r="M2133" s="77"/>
      <c r="N2133" s="24" t="s">
        <v>4245</v>
      </c>
    </row>
    <row r="2134">
      <c r="C2134" s="24"/>
      <c r="D2134" s="24"/>
      <c r="E2134" s="24"/>
      <c r="G2134" s="143"/>
      <c r="H2134" s="24"/>
      <c r="K2134" s="25"/>
      <c r="L2134" s="25"/>
      <c r="M2134" s="77"/>
      <c r="N2134" s="24" t="s">
        <v>4246</v>
      </c>
    </row>
    <row r="2135">
      <c r="C2135" s="24"/>
      <c r="D2135" s="24"/>
      <c r="E2135" s="24"/>
      <c r="G2135" s="143"/>
      <c r="H2135" s="24"/>
      <c r="K2135" s="25"/>
      <c r="L2135" s="25"/>
      <c r="M2135" s="77"/>
      <c r="N2135" s="24" t="s">
        <v>4247</v>
      </c>
    </row>
    <row r="2136">
      <c r="C2136" s="24"/>
      <c r="D2136" s="24"/>
      <c r="E2136" s="24"/>
      <c r="G2136" s="143"/>
      <c r="H2136" s="24"/>
      <c r="K2136" s="25"/>
      <c r="L2136" s="25"/>
      <c r="M2136" s="77"/>
      <c r="N2136" s="24" t="s">
        <v>4248</v>
      </c>
    </row>
    <row r="2137">
      <c r="C2137" s="24"/>
      <c r="D2137" s="24"/>
      <c r="E2137" s="24"/>
      <c r="G2137" s="143"/>
      <c r="H2137" s="24"/>
      <c r="K2137" s="25"/>
      <c r="L2137" s="25"/>
      <c r="M2137" s="77"/>
      <c r="N2137" s="24" t="s">
        <v>4249</v>
      </c>
    </row>
    <row r="2138">
      <c r="C2138" s="24"/>
      <c r="D2138" s="24"/>
      <c r="E2138" s="24"/>
      <c r="G2138" s="143"/>
      <c r="H2138" s="24"/>
      <c r="K2138" s="25"/>
      <c r="L2138" s="25"/>
      <c r="M2138" s="77"/>
      <c r="N2138" s="24" t="s">
        <v>4250</v>
      </c>
    </row>
    <row r="2139">
      <c r="C2139" s="24"/>
      <c r="D2139" s="24"/>
      <c r="E2139" s="24"/>
      <c r="G2139" s="143"/>
      <c r="H2139" s="24"/>
      <c r="K2139" s="25"/>
      <c r="L2139" s="25"/>
      <c r="M2139" s="77"/>
      <c r="N2139" s="24" t="s">
        <v>4251</v>
      </c>
    </row>
    <row r="2140">
      <c r="C2140" s="24"/>
      <c r="D2140" s="24"/>
      <c r="E2140" s="24"/>
      <c r="G2140" s="143"/>
      <c r="H2140" s="24"/>
      <c r="K2140" s="25"/>
      <c r="L2140" s="25"/>
      <c r="M2140" s="77"/>
      <c r="N2140" s="24" t="s">
        <v>4252</v>
      </c>
    </row>
    <row r="2141">
      <c r="C2141" s="24"/>
      <c r="D2141" s="24"/>
      <c r="E2141" s="24"/>
      <c r="G2141" s="143"/>
      <c r="H2141" s="24"/>
      <c r="K2141" s="25"/>
      <c r="L2141" s="25"/>
      <c r="M2141" s="77"/>
      <c r="N2141" s="24" t="s">
        <v>4253</v>
      </c>
    </row>
    <row r="2142">
      <c r="C2142" s="24"/>
      <c r="D2142" s="24"/>
      <c r="E2142" s="24"/>
      <c r="G2142" s="143"/>
      <c r="H2142" s="24"/>
      <c r="K2142" s="25"/>
      <c r="L2142" s="25"/>
      <c r="M2142" s="77"/>
      <c r="N2142" s="24" t="s">
        <v>4238</v>
      </c>
    </row>
    <row r="2143">
      <c r="C2143" s="24"/>
      <c r="D2143" s="24"/>
      <c r="E2143" s="24"/>
      <c r="G2143" s="143"/>
      <c r="H2143" s="24"/>
      <c r="K2143" s="25"/>
      <c r="L2143" s="25"/>
      <c r="M2143" s="77"/>
      <c r="N2143" s="24" t="s">
        <v>4254</v>
      </c>
    </row>
    <row r="2144">
      <c r="C2144" s="24"/>
      <c r="D2144" s="24"/>
      <c r="E2144" s="24"/>
      <c r="G2144" s="143"/>
      <c r="H2144" s="24"/>
      <c r="K2144" s="25"/>
      <c r="L2144" s="25"/>
      <c r="M2144" s="77"/>
      <c r="N2144" s="24" t="s">
        <v>4255</v>
      </c>
    </row>
    <row r="2145">
      <c r="C2145" s="24"/>
      <c r="D2145" s="24"/>
      <c r="E2145" s="24"/>
      <c r="G2145" s="143"/>
      <c r="H2145" s="24"/>
      <c r="K2145" s="25"/>
      <c r="L2145" s="25"/>
      <c r="M2145" s="77"/>
      <c r="N2145" s="24" t="s">
        <v>4256</v>
      </c>
    </row>
    <row r="2146">
      <c r="C2146" s="24"/>
      <c r="D2146" s="24"/>
      <c r="E2146" s="24"/>
      <c r="G2146" s="143"/>
      <c r="H2146" s="24"/>
      <c r="K2146" s="25"/>
      <c r="L2146" s="25"/>
      <c r="M2146" s="77"/>
      <c r="N2146" s="24" t="s">
        <v>4257</v>
      </c>
    </row>
    <row r="2147">
      <c r="C2147" s="24"/>
      <c r="D2147" s="24"/>
      <c r="E2147" s="24"/>
      <c r="G2147" s="143"/>
      <c r="H2147" s="24"/>
      <c r="K2147" s="25"/>
      <c r="L2147" s="25"/>
      <c r="M2147" s="77"/>
      <c r="N2147" s="24" t="s">
        <v>4258</v>
      </c>
    </row>
    <row r="2148">
      <c r="C2148" s="24"/>
      <c r="D2148" s="24"/>
      <c r="E2148" s="24"/>
      <c r="G2148" s="143"/>
      <c r="H2148" s="24"/>
      <c r="K2148" s="25"/>
      <c r="L2148" s="25"/>
      <c r="M2148" s="77"/>
      <c r="N2148" s="24" t="s">
        <v>4259</v>
      </c>
    </row>
    <row r="2149">
      <c r="C2149" s="24"/>
      <c r="D2149" s="24"/>
      <c r="E2149" s="24"/>
      <c r="G2149" s="143"/>
      <c r="H2149" s="24"/>
      <c r="K2149" s="25"/>
      <c r="L2149" s="25"/>
      <c r="M2149" s="77"/>
      <c r="N2149" s="24" t="s">
        <v>4260</v>
      </c>
    </row>
    <row r="2150">
      <c r="C2150" s="24"/>
      <c r="D2150" s="24"/>
      <c r="E2150" s="24"/>
      <c r="G2150" s="143"/>
      <c r="H2150" s="24"/>
      <c r="K2150" s="25"/>
      <c r="L2150" s="25"/>
      <c r="M2150" s="77"/>
      <c r="N2150" s="24" t="s">
        <v>4261</v>
      </c>
    </row>
    <row r="2151">
      <c r="C2151" s="24"/>
      <c r="D2151" s="24"/>
      <c r="E2151" s="24"/>
      <c r="G2151" s="143"/>
      <c r="H2151" s="24"/>
      <c r="K2151" s="25"/>
      <c r="L2151" s="25"/>
      <c r="M2151" s="77"/>
      <c r="N2151" s="24" t="s">
        <v>4262</v>
      </c>
    </row>
    <row r="2152">
      <c r="C2152" s="24"/>
      <c r="D2152" s="24"/>
      <c r="E2152" s="24"/>
      <c r="G2152" s="143"/>
      <c r="H2152" s="24"/>
      <c r="K2152" s="25"/>
      <c r="L2152" s="25"/>
      <c r="M2152" s="77"/>
      <c r="N2152" s="24" t="s">
        <v>4263</v>
      </c>
    </row>
    <row r="2153">
      <c r="C2153" s="24"/>
      <c r="D2153" s="24"/>
      <c r="E2153" s="24"/>
      <c r="G2153" s="143"/>
      <c r="H2153" s="24"/>
      <c r="K2153" s="25"/>
      <c r="L2153" s="25"/>
      <c r="M2153" s="77"/>
      <c r="N2153" s="24" t="s">
        <v>4264</v>
      </c>
    </row>
    <row r="2154">
      <c r="C2154" s="24"/>
      <c r="D2154" s="24"/>
      <c r="E2154" s="24"/>
      <c r="G2154" s="143"/>
      <c r="H2154" s="24"/>
      <c r="K2154" s="25"/>
      <c r="L2154" s="25"/>
      <c r="M2154" s="77"/>
      <c r="N2154" s="24" t="s">
        <v>4265</v>
      </c>
    </row>
    <row r="2155">
      <c r="C2155" s="24"/>
      <c r="D2155" s="24"/>
      <c r="E2155" s="24"/>
      <c r="G2155" s="143"/>
      <c r="H2155" s="24"/>
      <c r="K2155" s="25"/>
      <c r="L2155" s="25"/>
      <c r="M2155" s="77"/>
      <c r="N2155" s="24" t="s">
        <v>4266</v>
      </c>
    </row>
    <row r="2156">
      <c r="C2156" s="24"/>
      <c r="D2156" s="24"/>
      <c r="E2156" s="24"/>
      <c r="G2156" s="143"/>
      <c r="H2156" s="24"/>
      <c r="K2156" s="25"/>
      <c r="L2156" s="25"/>
      <c r="M2156" s="77"/>
      <c r="N2156" s="24" t="s">
        <v>4267</v>
      </c>
    </row>
    <row r="2157">
      <c r="C2157" s="24"/>
      <c r="D2157" s="24"/>
      <c r="E2157" s="24"/>
      <c r="G2157" s="143"/>
      <c r="H2157" s="24"/>
      <c r="K2157" s="25"/>
      <c r="L2157" s="25"/>
      <c r="M2157" s="77"/>
      <c r="N2157" s="24" t="s">
        <v>4268</v>
      </c>
    </row>
    <row r="2158">
      <c r="C2158" s="24"/>
      <c r="D2158" s="24"/>
      <c r="E2158" s="24"/>
      <c r="G2158" s="143"/>
      <c r="H2158" s="24"/>
      <c r="K2158" s="25"/>
      <c r="L2158" s="25"/>
      <c r="M2158" s="77"/>
      <c r="N2158" s="24" t="s">
        <v>4269</v>
      </c>
    </row>
    <row r="2159">
      <c r="C2159" s="24"/>
      <c r="D2159" s="24"/>
      <c r="E2159" s="24"/>
      <c r="G2159" s="143"/>
      <c r="H2159" s="24"/>
      <c r="K2159" s="25"/>
      <c r="L2159" s="25"/>
      <c r="M2159" s="77"/>
      <c r="N2159" s="24" t="s">
        <v>4270</v>
      </c>
    </row>
    <row r="2160">
      <c r="C2160" s="24"/>
      <c r="D2160" s="24"/>
      <c r="E2160" s="24"/>
      <c r="G2160" s="143"/>
      <c r="H2160" s="24"/>
      <c r="K2160" s="25"/>
      <c r="L2160" s="25"/>
      <c r="M2160" s="77"/>
      <c r="N2160" s="24" t="s">
        <v>4271</v>
      </c>
    </row>
    <row r="2161">
      <c r="C2161" s="24"/>
      <c r="D2161" s="24"/>
      <c r="E2161" s="24"/>
      <c r="G2161" s="143"/>
      <c r="H2161" s="24"/>
      <c r="K2161" s="25"/>
      <c r="L2161" s="25"/>
      <c r="M2161" s="77"/>
      <c r="N2161" s="24" t="s">
        <v>4272</v>
      </c>
    </row>
    <row r="2162">
      <c r="C2162" s="24"/>
      <c r="D2162" s="24"/>
      <c r="E2162" s="24"/>
      <c r="G2162" s="143"/>
      <c r="H2162" s="24"/>
      <c r="K2162" s="25"/>
      <c r="L2162" s="25"/>
      <c r="M2162" s="77"/>
      <c r="N2162" s="24" t="s">
        <v>4273</v>
      </c>
    </row>
    <row r="2163">
      <c r="C2163" s="24"/>
      <c r="D2163" s="24"/>
      <c r="E2163" s="24"/>
      <c r="G2163" s="143"/>
      <c r="H2163" s="24"/>
      <c r="K2163" s="25"/>
      <c r="L2163" s="25"/>
      <c r="M2163" s="77"/>
      <c r="N2163" s="24" t="s">
        <v>4274</v>
      </c>
    </row>
    <row r="2164">
      <c r="C2164" s="24"/>
      <c r="D2164" s="24"/>
      <c r="E2164" s="24"/>
      <c r="G2164" s="143"/>
      <c r="H2164" s="24"/>
      <c r="K2164" s="25"/>
      <c r="L2164" s="25"/>
      <c r="M2164" s="77"/>
      <c r="N2164" s="24" t="s">
        <v>4275</v>
      </c>
    </row>
    <row r="2165">
      <c r="C2165" s="24"/>
      <c r="D2165" s="24"/>
      <c r="E2165" s="24"/>
      <c r="G2165" s="143"/>
      <c r="H2165" s="24"/>
      <c r="K2165" s="25"/>
      <c r="L2165" s="25"/>
      <c r="M2165" s="77"/>
      <c r="N2165" s="24" t="s">
        <v>4276</v>
      </c>
    </row>
    <row r="2166">
      <c r="C2166" s="24"/>
      <c r="D2166" s="24"/>
      <c r="E2166" s="24"/>
      <c r="G2166" s="143"/>
      <c r="H2166" s="24"/>
      <c r="K2166" s="25"/>
      <c r="L2166" s="25"/>
      <c r="M2166" s="77"/>
      <c r="N2166" s="24" t="s">
        <v>4277</v>
      </c>
    </row>
    <row r="2167">
      <c r="C2167" s="24"/>
      <c r="D2167" s="24"/>
      <c r="E2167" s="24"/>
      <c r="G2167" s="143"/>
      <c r="H2167" s="24"/>
      <c r="K2167" s="25"/>
      <c r="L2167" s="25"/>
      <c r="M2167" s="77"/>
      <c r="N2167" s="24" t="s">
        <v>4278</v>
      </c>
    </row>
    <row r="2168">
      <c r="C2168" s="24"/>
      <c r="D2168" s="24"/>
      <c r="E2168" s="24"/>
      <c r="G2168" s="143"/>
      <c r="H2168" s="24"/>
      <c r="K2168" s="25"/>
      <c r="L2168" s="25"/>
      <c r="M2168" s="77"/>
      <c r="N2168" s="24" t="s">
        <v>4279</v>
      </c>
    </row>
    <row r="2169">
      <c r="C2169" s="24"/>
      <c r="D2169" s="24"/>
      <c r="E2169" s="24"/>
      <c r="G2169" s="143"/>
      <c r="H2169" s="24"/>
      <c r="K2169" s="25"/>
      <c r="L2169" s="25"/>
      <c r="M2169" s="77"/>
      <c r="N2169" s="24" t="s">
        <v>4280</v>
      </c>
    </row>
    <row r="2170">
      <c r="C2170" s="24"/>
      <c r="D2170" s="24"/>
      <c r="E2170" s="24"/>
      <c r="G2170" s="143"/>
      <c r="H2170" s="24"/>
      <c r="K2170" s="25"/>
      <c r="L2170" s="25"/>
      <c r="M2170" s="77"/>
      <c r="N2170" s="24" t="s">
        <v>4281</v>
      </c>
    </row>
    <row r="2171">
      <c r="C2171" s="24"/>
      <c r="D2171" s="24"/>
      <c r="E2171" s="24"/>
      <c r="G2171" s="143"/>
      <c r="H2171" s="24"/>
      <c r="K2171" s="25"/>
      <c r="L2171" s="25"/>
      <c r="M2171" s="77"/>
      <c r="N2171" s="24" t="s">
        <v>4282</v>
      </c>
    </row>
    <row r="2172">
      <c r="C2172" s="24"/>
      <c r="D2172" s="24"/>
      <c r="E2172" s="24"/>
      <c r="G2172" s="143"/>
      <c r="H2172" s="24"/>
      <c r="K2172" s="25"/>
      <c r="L2172" s="25"/>
      <c r="M2172" s="77"/>
      <c r="N2172" s="24" t="s">
        <v>4283</v>
      </c>
    </row>
    <row r="2173">
      <c r="C2173" s="24"/>
      <c r="D2173" s="24"/>
      <c r="E2173" s="24"/>
      <c r="G2173" s="143"/>
      <c r="H2173" s="24"/>
      <c r="K2173" s="25"/>
      <c r="L2173" s="25"/>
      <c r="M2173" s="77"/>
      <c r="N2173" s="24" t="s">
        <v>4284</v>
      </c>
    </row>
    <row r="2174">
      <c r="C2174" s="24"/>
      <c r="D2174" s="24"/>
      <c r="E2174" s="24"/>
      <c r="G2174" s="143"/>
      <c r="H2174" s="24"/>
      <c r="K2174" s="25"/>
      <c r="L2174" s="25"/>
      <c r="M2174" s="77"/>
      <c r="N2174" s="24" t="s">
        <v>4285</v>
      </c>
    </row>
    <row r="2175">
      <c r="C2175" s="24"/>
      <c r="D2175" s="24"/>
      <c r="E2175" s="24"/>
      <c r="G2175" s="143"/>
      <c r="H2175" s="24"/>
      <c r="K2175" s="25"/>
      <c r="L2175" s="25"/>
      <c r="M2175" s="77"/>
      <c r="N2175" s="24" t="s">
        <v>4286</v>
      </c>
    </row>
    <row r="2176">
      <c r="C2176" s="24"/>
      <c r="D2176" s="24"/>
      <c r="E2176" s="24"/>
      <c r="G2176" s="143"/>
      <c r="H2176" s="24"/>
      <c r="K2176" s="25"/>
      <c r="L2176" s="25"/>
      <c r="M2176" s="77"/>
      <c r="N2176" s="24" t="s">
        <v>4287</v>
      </c>
    </row>
    <row r="2177">
      <c r="C2177" s="24"/>
      <c r="D2177" s="24"/>
      <c r="E2177" s="24"/>
      <c r="G2177" s="143"/>
      <c r="H2177" s="24"/>
      <c r="K2177" s="25"/>
      <c r="L2177" s="25"/>
      <c r="M2177" s="77"/>
      <c r="N2177" s="24" t="s">
        <v>4288</v>
      </c>
    </row>
    <row r="2178">
      <c r="C2178" s="24"/>
      <c r="D2178" s="24"/>
      <c r="E2178" s="24"/>
      <c r="G2178" s="143"/>
      <c r="H2178" s="24"/>
      <c r="K2178" s="25"/>
      <c r="L2178" s="25"/>
      <c r="M2178" s="77"/>
      <c r="N2178" s="24" t="s">
        <v>4289</v>
      </c>
    </row>
    <row r="2179">
      <c r="C2179" s="24"/>
      <c r="D2179" s="24"/>
      <c r="E2179" s="24"/>
      <c r="G2179" s="143"/>
      <c r="H2179" s="24"/>
      <c r="K2179" s="25"/>
      <c r="L2179" s="25"/>
      <c r="M2179" s="77"/>
      <c r="N2179" s="24" t="s">
        <v>4290</v>
      </c>
    </row>
    <row r="2180">
      <c r="C2180" s="24"/>
      <c r="D2180" s="24"/>
      <c r="E2180" s="24"/>
      <c r="G2180" s="143"/>
      <c r="H2180" s="24"/>
      <c r="K2180" s="25"/>
      <c r="L2180" s="25"/>
      <c r="M2180" s="77"/>
      <c r="N2180" s="24" t="s">
        <v>4291</v>
      </c>
    </row>
    <row r="2181">
      <c r="C2181" s="24"/>
      <c r="D2181" s="24"/>
      <c r="E2181" s="24"/>
      <c r="G2181" s="143"/>
      <c r="H2181" s="24"/>
      <c r="K2181" s="25"/>
      <c r="L2181" s="25"/>
      <c r="M2181" s="77"/>
      <c r="N2181" s="24" t="s">
        <v>4292</v>
      </c>
    </row>
    <row r="2182">
      <c r="C2182" s="24"/>
      <c r="D2182" s="24"/>
      <c r="E2182" s="24"/>
      <c r="G2182" s="143"/>
      <c r="H2182" s="24"/>
      <c r="K2182" s="25"/>
      <c r="L2182" s="25"/>
      <c r="M2182" s="77"/>
      <c r="N2182" s="24" t="s">
        <v>4293</v>
      </c>
    </row>
    <row r="2183">
      <c r="C2183" s="24"/>
      <c r="D2183" s="24"/>
      <c r="E2183" s="24"/>
      <c r="G2183" s="143"/>
      <c r="H2183" s="24"/>
      <c r="K2183" s="25"/>
      <c r="L2183" s="25"/>
      <c r="M2183" s="77"/>
      <c r="N2183" s="24" t="s">
        <v>4294</v>
      </c>
    </row>
    <row r="2184">
      <c r="C2184" s="24"/>
      <c r="D2184" s="24"/>
      <c r="E2184" s="24"/>
      <c r="G2184" s="143"/>
      <c r="H2184" s="24"/>
      <c r="K2184" s="25"/>
      <c r="L2184" s="25"/>
      <c r="M2184" s="77"/>
      <c r="N2184" s="24" t="s">
        <v>4295</v>
      </c>
    </row>
    <row r="2185">
      <c r="C2185" s="24"/>
      <c r="D2185" s="24"/>
      <c r="E2185" s="24"/>
      <c r="G2185" s="143"/>
      <c r="H2185" s="24"/>
      <c r="K2185" s="25"/>
      <c r="L2185" s="25"/>
      <c r="M2185" s="77"/>
      <c r="N2185" s="24" t="s">
        <v>4296</v>
      </c>
    </row>
    <row r="2186">
      <c r="C2186" s="24"/>
      <c r="D2186" s="24"/>
      <c r="E2186" s="24"/>
      <c r="G2186" s="143"/>
      <c r="H2186" s="24"/>
      <c r="K2186" s="25"/>
      <c r="L2186" s="25"/>
      <c r="M2186" s="77"/>
      <c r="N2186" s="24" t="s">
        <v>4297</v>
      </c>
    </row>
    <row r="2187">
      <c r="C2187" s="24"/>
      <c r="D2187" s="24"/>
      <c r="E2187" s="24"/>
      <c r="G2187" s="143"/>
      <c r="H2187" s="24"/>
      <c r="K2187" s="25"/>
      <c r="L2187" s="25"/>
      <c r="M2187" s="77"/>
      <c r="N2187" s="24" t="s">
        <v>4298</v>
      </c>
    </row>
    <row r="2188">
      <c r="C2188" s="24"/>
      <c r="D2188" s="24"/>
      <c r="E2188" s="24"/>
      <c r="G2188" s="143"/>
      <c r="H2188" s="24"/>
      <c r="K2188" s="25"/>
      <c r="L2188" s="25"/>
      <c r="M2188" s="77"/>
      <c r="N2188" s="24" t="s">
        <v>4299</v>
      </c>
    </row>
    <row r="2189">
      <c r="C2189" s="24"/>
      <c r="D2189" s="24"/>
      <c r="E2189" s="24"/>
      <c r="G2189" s="143"/>
      <c r="H2189" s="24"/>
      <c r="K2189" s="25"/>
      <c r="L2189" s="25"/>
      <c r="M2189" s="77"/>
      <c r="N2189" s="24" t="s">
        <v>4300</v>
      </c>
    </row>
    <row r="2190">
      <c r="C2190" s="24"/>
      <c r="D2190" s="24"/>
      <c r="E2190" s="24"/>
      <c r="G2190" s="143"/>
      <c r="H2190" s="24"/>
      <c r="K2190" s="25"/>
      <c r="L2190" s="25"/>
      <c r="M2190" s="77"/>
      <c r="N2190" s="24" t="s">
        <v>4301</v>
      </c>
    </row>
    <row r="2191">
      <c r="C2191" s="24"/>
      <c r="D2191" s="24"/>
      <c r="E2191" s="24"/>
      <c r="G2191" s="143"/>
      <c r="H2191" s="24"/>
      <c r="K2191" s="25"/>
      <c r="L2191" s="25"/>
      <c r="M2191" s="77"/>
      <c r="N2191" s="24" t="s">
        <v>4302</v>
      </c>
    </row>
    <row r="2192">
      <c r="C2192" s="24"/>
      <c r="D2192" s="24"/>
      <c r="E2192" s="24"/>
      <c r="G2192" s="143"/>
      <c r="H2192" s="24"/>
      <c r="K2192" s="25"/>
      <c r="L2192" s="25"/>
      <c r="M2192" s="77"/>
      <c r="N2192" s="24" t="s">
        <v>4303</v>
      </c>
    </row>
    <row r="2193">
      <c r="C2193" s="24"/>
      <c r="D2193" s="24"/>
      <c r="E2193" s="24"/>
      <c r="G2193" s="143"/>
      <c r="H2193" s="24"/>
      <c r="K2193" s="25"/>
      <c r="L2193" s="25"/>
      <c r="M2193" s="77"/>
      <c r="N2193" s="24" t="s">
        <v>4304</v>
      </c>
    </row>
    <row r="2194">
      <c r="C2194" s="24"/>
      <c r="D2194" s="24"/>
      <c r="E2194" s="24"/>
      <c r="G2194" s="143"/>
      <c r="H2194" s="24"/>
      <c r="K2194" s="25"/>
      <c r="L2194" s="25"/>
      <c r="M2194" s="77"/>
      <c r="N2194" s="24" t="s">
        <v>4305</v>
      </c>
    </row>
    <row r="2195">
      <c r="C2195" s="24"/>
      <c r="D2195" s="24"/>
      <c r="E2195" s="24"/>
      <c r="G2195" s="143"/>
      <c r="H2195" s="24"/>
      <c r="K2195" s="25"/>
      <c r="L2195" s="25"/>
      <c r="M2195" s="77"/>
      <c r="N2195" s="24" t="s">
        <v>4306</v>
      </c>
    </row>
    <row r="2196">
      <c r="C2196" s="24"/>
      <c r="D2196" s="24"/>
      <c r="E2196" s="24"/>
      <c r="G2196" s="143"/>
      <c r="H2196" s="24"/>
      <c r="K2196" s="25"/>
      <c r="L2196" s="25"/>
      <c r="M2196" s="77"/>
      <c r="N2196" s="24" t="s">
        <v>4307</v>
      </c>
    </row>
    <row r="2197">
      <c r="C2197" s="24"/>
      <c r="D2197" s="24"/>
      <c r="E2197" s="24"/>
      <c r="G2197" s="143"/>
      <c r="H2197" s="24"/>
      <c r="K2197" s="25"/>
      <c r="L2197" s="25"/>
      <c r="M2197" s="77"/>
      <c r="N2197" s="24" t="s">
        <v>4308</v>
      </c>
    </row>
    <row r="2198">
      <c r="C2198" s="24"/>
      <c r="D2198" s="24"/>
      <c r="E2198" s="24"/>
      <c r="G2198" s="143"/>
      <c r="H2198" s="24"/>
      <c r="K2198" s="25"/>
      <c r="L2198" s="25"/>
      <c r="M2198" s="77"/>
      <c r="N2198" s="24" t="s">
        <v>4309</v>
      </c>
    </row>
    <row r="2199">
      <c r="C2199" s="24"/>
      <c r="D2199" s="24"/>
      <c r="E2199" s="24"/>
      <c r="G2199" s="143"/>
      <c r="H2199" s="24"/>
      <c r="K2199" s="25"/>
      <c r="L2199" s="25"/>
      <c r="M2199" s="77"/>
      <c r="N2199" s="24" t="s">
        <v>4193</v>
      </c>
    </row>
    <row r="2200">
      <c r="C2200" s="24"/>
      <c r="D2200" s="24"/>
      <c r="E2200" s="24"/>
      <c r="G2200" s="143"/>
      <c r="H2200" s="24"/>
      <c r="K2200" s="25"/>
      <c r="L2200" s="25"/>
      <c r="M2200" s="77"/>
      <c r="N2200" s="24" t="s">
        <v>4310</v>
      </c>
    </row>
    <row r="2201">
      <c r="C2201" s="24"/>
      <c r="D2201" s="24"/>
      <c r="E2201" s="24"/>
      <c r="G2201" s="143"/>
      <c r="H2201" s="24"/>
      <c r="K2201" s="25"/>
      <c r="L2201" s="25"/>
      <c r="M2201" s="77"/>
      <c r="N2201" s="24" t="s">
        <v>4311</v>
      </c>
    </row>
    <row r="2202">
      <c r="C2202" s="24"/>
      <c r="D2202" s="24"/>
      <c r="E2202" s="24"/>
      <c r="G2202" s="143"/>
      <c r="H2202" s="24"/>
      <c r="K2202" s="25"/>
      <c r="L2202" s="25"/>
      <c r="M2202" s="77"/>
      <c r="N2202" s="24" t="s">
        <v>4312</v>
      </c>
    </row>
    <row r="2203">
      <c r="C2203" s="24"/>
      <c r="D2203" s="24"/>
      <c r="E2203" s="24"/>
      <c r="G2203" s="143"/>
      <c r="H2203" s="24"/>
      <c r="K2203" s="25"/>
      <c r="L2203" s="25"/>
      <c r="M2203" s="77"/>
      <c r="N2203" s="24" t="s">
        <v>4313</v>
      </c>
    </row>
    <row r="2204">
      <c r="C2204" s="24"/>
      <c r="D2204" s="24"/>
      <c r="E2204" s="24"/>
      <c r="G2204" s="143"/>
      <c r="H2204" s="24"/>
      <c r="K2204" s="25"/>
      <c r="L2204" s="25"/>
      <c r="M2204" s="77"/>
      <c r="N2204" s="24" t="s">
        <v>4314</v>
      </c>
    </row>
    <row r="2205">
      <c r="C2205" s="24"/>
      <c r="D2205" s="24"/>
      <c r="E2205" s="24"/>
      <c r="G2205" s="143"/>
      <c r="H2205" s="24"/>
      <c r="K2205" s="25"/>
      <c r="L2205" s="25"/>
      <c r="M2205" s="77"/>
      <c r="N2205" s="24" t="s">
        <v>4315</v>
      </c>
    </row>
    <row r="2206">
      <c r="C2206" s="24"/>
      <c r="D2206" s="24"/>
      <c r="E2206" s="24"/>
      <c r="G2206" s="143"/>
      <c r="H2206" s="24"/>
      <c r="K2206" s="25"/>
      <c r="L2206" s="25"/>
      <c r="M2206" s="77"/>
      <c r="N2206" s="24" t="s">
        <v>4316</v>
      </c>
    </row>
    <row r="2207">
      <c r="C2207" s="24"/>
      <c r="D2207" s="24"/>
      <c r="E2207" s="24"/>
      <c r="G2207" s="143"/>
      <c r="H2207" s="24"/>
      <c r="K2207" s="25"/>
      <c r="L2207" s="25"/>
      <c r="M2207" s="77"/>
      <c r="N2207" s="24" t="s">
        <v>4317</v>
      </c>
    </row>
    <row r="2208">
      <c r="C2208" s="24"/>
      <c r="D2208" s="24"/>
      <c r="E2208" s="24"/>
      <c r="G2208" s="143"/>
      <c r="H2208" s="24"/>
      <c r="K2208" s="25"/>
      <c r="L2208" s="25"/>
      <c r="M2208" s="77"/>
      <c r="N2208" s="24" t="s">
        <v>4318</v>
      </c>
    </row>
    <row r="2209">
      <c r="C2209" s="24"/>
      <c r="D2209" s="24"/>
      <c r="E2209" s="24"/>
      <c r="G2209" s="143"/>
      <c r="H2209" s="24"/>
      <c r="K2209" s="25"/>
      <c r="L2209" s="25"/>
      <c r="M2209" s="77"/>
      <c r="N2209" s="24" t="s">
        <v>4319</v>
      </c>
    </row>
    <row r="2210">
      <c r="C2210" s="24"/>
      <c r="D2210" s="24"/>
      <c r="E2210" s="24"/>
      <c r="G2210" s="143"/>
      <c r="H2210" s="24"/>
      <c r="K2210" s="25"/>
      <c r="L2210" s="25"/>
      <c r="M2210" s="77"/>
      <c r="N2210" s="24" t="s">
        <v>4320</v>
      </c>
    </row>
    <row r="2211">
      <c r="C2211" s="24"/>
      <c r="D2211" s="24"/>
      <c r="E2211" s="24"/>
      <c r="G2211" s="143"/>
      <c r="H2211" s="24"/>
      <c r="K2211" s="25"/>
      <c r="L2211" s="25"/>
      <c r="M2211" s="77"/>
      <c r="N2211" s="24" t="s">
        <v>4321</v>
      </c>
    </row>
    <row r="2212">
      <c r="C2212" s="24"/>
      <c r="D2212" s="24"/>
      <c r="E2212" s="24"/>
      <c r="G2212" s="143"/>
      <c r="H2212" s="24"/>
      <c r="K2212" s="25"/>
      <c r="L2212" s="25"/>
      <c r="M2212" s="77"/>
      <c r="N2212" s="24" t="s">
        <v>4322</v>
      </c>
    </row>
    <row r="2213">
      <c r="C2213" s="24"/>
      <c r="D2213" s="24"/>
      <c r="E2213" s="24"/>
      <c r="G2213" s="143"/>
      <c r="H2213" s="24"/>
      <c r="K2213" s="25"/>
      <c r="L2213" s="25"/>
      <c r="M2213" s="77"/>
      <c r="N2213" s="24" t="s">
        <v>4323</v>
      </c>
    </row>
    <row r="2214">
      <c r="C2214" s="24"/>
      <c r="D2214" s="24"/>
      <c r="E2214" s="24"/>
      <c r="G2214" s="143"/>
      <c r="H2214" s="24"/>
      <c r="K2214" s="25"/>
      <c r="L2214" s="25"/>
      <c r="M2214" s="77"/>
      <c r="N2214" s="24" t="s">
        <v>4324</v>
      </c>
    </row>
    <row r="2215">
      <c r="C2215" s="24"/>
      <c r="D2215" s="24"/>
      <c r="E2215" s="24"/>
      <c r="G2215" s="143"/>
      <c r="H2215" s="24"/>
      <c r="K2215" s="25"/>
      <c r="L2215" s="25"/>
      <c r="M2215" s="77"/>
      <c r="N2215" s="24" t="s">
        <v>4325</v>
      </c>
    </row>
    <row r="2216">
      <c r="C2216" s="24"/>
      <c r="D2216" s="24"/>
      <c r="E2216" s="24"/>
      <c r="G2216" s="143"/>
      <c r="H2216" s="24"/>
      <c r="K2216" s="25"/>
      <c r="L2216" s="25"/>
      <c r="M2216" s="77"/>
      <c r="N2216" s="24" t="s">
        <v>4326</v>
      </c>
    </row>
    <row r="2217">
      <c r="C2217" s="24"/>
      <c r="D2217" s="24"/>
      <c r="E2217" s="24"/>
      <c r="G2217" s="143"/>
      <c r="H2217" s="24"/>
      <c r="K2217" s="25"/>
      <c r="L2217" s="25"/>
      <c r="M2217" s="77"/>
      <c r="N2217" s="24" t="s">
        <v>4327</v>
      </c>
    </row>
    <row r="2218">
      <c r="C2218" s="24"/>
      <c r="D2218" s="24"/>
      <c r="E2218" s="24"/>
      <c r="G2218" s="143"/>
      <c r="H2218" s="24"/>
      <c r="K2218" s="25"/>
      <c r="L2218" s="25"/>
      <c r="M2218" s="77"/>
      <c r="N2218" s="24" t="s">
        <v>4328</v>
      </c>
    </row>
    <row r="2219">
      <c r="C2219" s="24"/>
      <c r="D2219" s="24"/>
      <c r="E2219" s="24"/>
      <c r="G2219" s="143"/>
      <c r="H2219" s="24"/>
      <c r="K2219" s="25"/>
      <c r="L2219" s="25"/>
      <c r="M2219" s="77"/>
      <c r="N2219" s="24" t="s">
        <v>4329</v>
      </c>
    </row>
    <row r="2220">
      <c r="C2220" s="24"/>
      <c r="D2220" s="24"/>
      <c r="E2220" s="24"/>
      <c r="G2220" s="143"/>
      <c r="H2220" s="24"/>
      <c r="K2220" s="25"/>
      <c r="L2220" s="25"/>
      <c r="M2220" s="77"/>
      <c r="N2220" s="24" t="s">
        <v>4330</v>
      </c>
    </row>
    <row r="2221">
      <c r="C2221" s="24"/>
      <c r="D2221" s="24"/>
      <c r="E2221" s="24"/>
      <c r="G2221" s="143"/>
      <c r="H2221" s="24"/>
      <c r="K2221" s="25"/>
      <c r="L2221" s="25"/>
      <c r="M2221" s="77"/>
      <c r="N2221" s="24" t="s">
        <v>4331</v>
      </c>
    </row>
    <row r="2222">
      <c r="C2222" s="24"/>
      <c r="D2222" s="24"/>
      <c r="E2222" s="24"/>
      <c r="G2222" s="143"/>
      <c r="H2222" s="24"/>
      <c r="K2222" s="25"/>
      <c r="L2222" s="25"/>
      <c r="M2222" s="77"/>
      <c r="N2222" s="24" t="s">
        <v>4332</v>
      </c>
    </row>
    <row r="2223">
      <c r="C2223" s="24"/>
      <c r="D2223" s="24"/>
      <c r="E2223" s="24"/>
      <c r="G2223" s="143"/>
      <c r="H2223" s="24"/>
      <c r="K2223" s="25"/>
      <c r="L2223" s="25"/>
      <c r="M2223" s="77"/>
      <c r="N2223" s="24" t="s">
        <v>4333</v>
      </c>
    </row>
    <row r="2224">
      <c r="C2224" s="24"/>
      <c r="D2224" s="24"/>
      <c r="E2224" s="24"/>
      <c r="G2224" s="143"/>
      <c r="H2224" s="24"/>
      <c r="K2224" s="25"/>
      <c r="L2224" s="25"/>
      <c r="M2224" s="77"/>
      <c r="N2224" s="24" t="s">
        <v>4334</v>
      </c>
    </row>
    <row r="2225">
      <c r="C2225" s="24"/>
      <c r="D2225" s="24"/>
      <c r="E2225" s="24"/>
      <c r="G2225" s="143"/>
      <c r="H2225" s="24"/>
      <c r="K2225" s="25"/>
      <c r="L2225" s="25"/>
      <c r="M2225" s="77"/>
      <c r="N2225" s="24" t="s">
        <v>4335</v>
      </c>
    </row>
    <row r="2226">
      <c r="C2226" s="24"/>
      <c r="D2226" s="24"/>
      <c r="E2226" s="24"/>
      <c r="G2226" s="143"/>
      <c r="H2226" s="24"/>
      <c r="K2226" s="25"/>
      <c r="L2226" s="25"/>
      <c r="M2226" s="77"/>
      <c r="N2226" s="24" t="s">
        <v>4336</v>
      </c>
    </row>
    <row r="2227">
      <c r="C2227" s="24"/>
      <c r="D2227" s="24"/>
      <c r="E2227" s="24"/>
      <c r="G2227" s="143"/>
      <c r="H2227" s="24"/>
      <c r="K2227" s="25"/>
      <c r="L2227" s="25"/>
      <c r="M2227" s="77"/>
      <c r="N2227" s="24" t="s">
        <v>4337</v>
      </c>
    </row>
    <row r="2228">
      <c r="C2228" s="24"/>
      <c r="D2228" s="24"/>
      <c r="E2228" s="24"/>
      <c r="G2228" s="143"/>
      <c r="H2228" s="24"/>
      <c r="K2228" s="25"/>
      <c r="L2228" s="25"/>
      <c r="M2228" s="77"/>
      <c r="N2228" s="24" t="s">
        <v>4338</v>
      </c>
    </row>
    <row r="2229">
      <c r="C2229" s="24"/>
      <c r="D2229" s="24"/>
      <c r="E2229" s="24"/>
      <c r="G2229" s="143"/>
      <c r="H2229" s="24"/>
      <c r="K2229" s="25"/>
      <c r="L2229" s="25"/>
      <c r="M2229" s="77"/>
      <c r="N2229" s="24" t="s">
        <v>4339</v>
      </c>
    </row>
    <row r="2230">
      <c r="C2230" s="24"/>
      <c r="D2230" s="24"/>
      <c r="E2230" s="24"/>
      <c r="G2230" s="143"/>
      <c r="H2230" s="24"/>
      <c r="K2230" s="25"/>
      <c r="L2230" s="25"/>
      <c r="M2230" s="77"/>
      <c r="N2230" s="24" t="s">
        <v>4340</v>
      </c>
    </row>
    <row r="2231">
      <c r="C2231" s="24"/>
      <c r="D2231" s="24"/>
      <c r="E2231" s="24"/>
      <c r="G2231" s="143"/>
      <c r="H2231" s="24"/>
      <c r="K2231" s="25"/>
      <c r="L2231" s="25"/>
      <c r="M2231" s="77"/>
      <c r="N2231" s="24" t="s">
        <v>4341</v>
      </c>
    </row>
    <row r="2232">
      <c r="C2232" s="24"/>
      <c r="D2232" s="24"/>
      <c r="E2232" s="24"/>
      <c r="G2232" s="143"/>
      <c r="H2232" s="24"/>
      <c r="K2232" s="25"/>
      <c r="L2232" s="25"/>
      <c r="M2232" s="77"/>
      <c r="N2232" s="24" t="s">
        <v>4342</v>
      </c>
    </row>
    <row r="2233">
      <c r="C2233" s="24"/>
      <c r="D2233" s="24"/>
      <c r="E2233" s="24"/>
      <c r="G2233" s="143"/>
      <c r="H2233" s="24"/>
      <c r="K2233" s="25"/>
      <c r="L2233" s="25"/>
      <c r="M2233" s="77"/>
      <c r="N2233" s="24" t="s">
        <v>4343</v>
      </c>
    </row>
    <row r="2234">
      <c r="C2234" s="24"/>
      <c r="D2234" s="24"/>
      <c r="E2234" s="24"/>
      <c r="G2234" s="143"/>
      <c r="H2234" s="24"/>
      <c r="K2234" s="25"/>
      <c r="L2234" s="25"/>
      <c r="M2234" s="77"/>
      <c r="N2234" s="24" t="s">
        <v>4344</v>
      </c>
    </row>
    <row r="2235">
      <c r="C2235" s="24"/>
      <c r="D2235" s="24"/>
      <c r="E2235" s="24"/>
      <c r="G2235" s="143"/>
      <c r="H2235" s="24"/>
      <c r="K2235" s="25"/>
      <c r="L2235" s="25"/>
      <c r="M2235" s="77"/>
      <c r="N2235" s="24" t="s">
        <v>4345</v>
      </c>
    </row>
    <row r="2236">
      <c r="C2236" s="24"/>
      <c r="D2236" s="24"/>
      <c r="E2236" s="24"/>
      <c r="G2236" s="143"/>
      <c r="H2236" s="24"/>
      <c r="K2236" s="25"/>
      <c r="L2236" s="25"/>
      <c r="M2236" s="77"/>
      <c r="N2236" s="24" t="s">
        <v>4346</v>
      </c>
    </row>
    <row r="2237">
      <c r="C2237" s="24"/>
      <c r="D2237" s="24"/>
      <c r="E2237" s="24"/>
      <c r="G2237" s="143"/>
      <c r="H2237" s="24"/>
      <c r="K2237" s="25"/>
      <c r="L2237" s="25"/>
      <c r="M2237" s="77"/>
      <c r="N2237" s="24" t="s">
        <v>4347</v>
      </c>
    </row>
    <row r="2238">
      <c r="C2238" s="24"/>
      <c r="D2238" s="24"/>
      <c r="E2238" s="24"/>
      <c r="G2238" s="143"/>
      <c r="H2238" s="24"/>
      <c r="K2238" s="25"/>
      <c r="L2238" s="25"/>
      <c r="M2238" s="77"/>
      <c r="N2238" s="24" t="s">
        <v>4348</v>
      </c>
    </row>
    <row r="2239">
      <c r="C2239" s="24"/>
      <c r="D2239" s="24"/>
      <c r="E2239" s="24"/>
      <c r="G2239" s="143"/>
      <c r="H2239" s="24"/>
      <c r="K2239" s="25"/>
      <c r="L2239" s="25"/>
      <c r="M2239" s="77"/>
      <c r="N2239" s="24" t="s">
        <v>4349</v>
      </c>
    </row>
    <row r="2240">
      <c r="C2240" s="24"/>
      <c r="D2240" s="24"/>
      <c r="E2240" s="24"/>
      <c r="G2240" s="143"/>
      <c r="H2240" s="24"/>
      <c r="K2240" s="25"/>
      <c r="L2240" s="25"/>
      <c r="M2240" s="77"/>
      <c r="N2240" s="24" t="s">
        <v>4350</v>
      </c>
    </row>
    <row r="2241">
      <c r="C2241" s="24"/>
      <c r="D2241" s="24"/>
      <c r="E2241" s="24"/>
      <c r="G2241" s="143"/>
      <c r="H2241" s="24"/>
      <c r="K2241" s="25"/>
      <c r="L2241" s="25"/>
      <c r="M2241" s="77"/>
      <c r="N2241" s="24" t="s">
        <v>4351</v>
      </c>
    </row>
    <row r="2242">
      <c r="C2242" s="24"/>
      <c r="D2242" s="24"/>
      <c r="E2242" s="24"/>
      <c r="G2242" s="143"/>
      <c r="H2242" s="24"/>
      <c r="K2242" s="25"/>
      <c r="L2242" s="25"/>
      <c r="M2242" s="77"/>
      <c r="N2242" s="24" t="s">
        <v>4352</v>
      </c>
    </row>
    <row r="2243">
      <c r="C2243" s="24"/>
      <c r="D2243" s="24"/>
      <c r="E2243" s="24"/>
      <c r="G2243" s="143"/>
      <c r="H2243" s="24"/>
      <c r="K2243" s="25"/>
      <c r="L2243" s="25"/>
      <c r="M2243" s="77"/>
      <c r="N2243" s="24" t="s">
        <v>4353</v>
      </c>
    </row>
    <row r="2244">
      <c r="C2244" s="24"/>
      <c r="D2244" s="24"/>
      <c r="E2244" s="24"/>
      <c r="G2244" s="143"/>
      <c r="H2244" s="24"/>
      <c r="K2244" s="25"/>
      <c r="L2244" s="25"/>
      <c r="M2244" s="77"/>
      <c r="N2244" s="24" t="s">
        <v>4354</v>
      </c>
    </row>
    <row r="2245">
      <c r="C2245" s="24"/>
      <c r="D2245" s="24"/>
      <c r="E2245" s="24"/>
      <c r="G2245" s="143"/>
      <c r="H2245" s="24"/>
      <c r="K2245" s="25"/>
      <c r="L2245" s="25"/>
      <c r="M2245" s="77"/>
      <c r="N2245" s="24" t="s">
        <v>4355</v>
      </c>
    </row>
    <row r="2246">
      <c r="C2246" s="24"/>
      <c r="D2246" s="24"/>
      <c r="E2246" s="24"/>
      <c r="G2246" s="143"/>
      <c r="H2246" s="24"/>
      <c r="K2246" s="25"/>
      <c r="L2246" s="25"/>
      <c r="M2246" s="77"/>
      <c r="N2246" s="24" t="s">
        <v>4356</v>
      </c>
    </row>
    <row r="2247">
      <c r="C2247" s="24"/>
      <c r="D2247" s="24"/>
      <c r="E2247" s="24"/>
      <c r="G2247" s="143"/>
      <c r="H2247" s="24"/>
      <c r="K2247" s="25"/>
      <c r="L2247" s="25"/>
      <c r="M2247" s="77"/>
      <c r="N2247" s="24" t="s">
        <v>4357</v>
      </c>
    </row>
    <row r="2248">
      <c r="C2248" s="24"/>
      <c r="D2248" s="24"/>
      <c r="E2248" s="24"/>
      <c r="G2248" s="143"/>
      <c r="H2248" s="24"/>
      <c r="K2248" s="25"/>
      <c r="L2248" s="25"/>
      <c r="M2248" s="77"/>
      <c r="N2248" s="24" t="s">
        <v>4358</v>
      </c>
    </row>
    <row r="2249">
      <c r="C2249" s="24"/>
      <c r="D2249" s="24"/>
      <c r="E2249" s="24"/>
      <c r="G2249" s="143"/>
      <c r="H2249" s="24"/>
      <c r="K2249" s="25"/>
      <c r="L2249" s="25"/>
      <c r="M2249" s="77"/>
      <c r="N2249" s="24" t="s">
        <v>4359</v>
      </c>
    </row>
    <row r="2250">
      <c r="C2250" s="24"/>
      <c r="D2250" s="24"/>
      <c r="E2250" s="24"/>
      <c r="G2250" s="143"/>
      <c r="H2250" s="24"/>
      <c r="K2250" s="25"/>
      <c r="L2250" s="25"/>
      <c r="M2250" s="77"/>
      <c r="N2250" s="24" t="s">
        <v>4360</v>
      </c>
    </row>
    <row r="2251">
      <c r="C2251" s="24"/>
      <c r="D2251" s="24"/>
      <c r="E2251" s="24"/>
      <c r="G2251" s="143"/>
      <c r="H2251" s="24"/>
      <c r="K2251" s="25"/>
      <c r="L2251" s="25"/>
      <c r="M2251" s="77"/>
      <c r="N2251" s="24" t="s">
        <v>4361</v>
      </c>
    </row>
    <row r="2252">
      <c r="C2252" s="24"/>
      <c r="D2252" s="24"/>
      <c r="E2252" s="24"/>
      <c r="G2252" s="143"/>
      <c r="H2252" s="24"/>
      <c r="K2252" s="25"/>
      <c r="L2252" s="25"/>
      <c r="M2252" s="77"/>
      <c r="N2252" s="24" t="s">
        <v>4362</v>
      </c>
    </row>
    <row r="2253">
      <c r="C2253" s="24"/>
      <c r="D2253" s="24"/>
      <c r="E2253" s="24"/>
      <c r="G2253" s="143"/>
      <c r="H2253" s="24"/>
      <c r="K2253" s="25"/>
      <c r="L2253" s="25"/>
      <c r="M2253" s="77"/>
      <c r="N2253" s="24" t="s">
        <v>4363</v>
      </c>
    </row>
    <row r="2254">
      <c r="C2254" s="24"/>
      <c r="D2254" s="24"/>
      <c r="E2254" s="24"/>
      <c r="G2254" s="143"/>
      <c r="H2254" s="24"/>
      <c r="K2254" s="25"/>
      <c r="L2254" s="25"/>
      <c r="M2254" s="77"/>
      <c r="N2254" s="24" t="s">
        <v>4364</v>
      </c>
    </row>
    <row r="2255">
      <c r="C2255" s="24"/>
      <c r="D2255" s="24"/>
      <c r="E2255" s="24"/>
      <c r="G2255" s="143"/>
      <c r="H2255" s="24"/>
      <c r="K2255" s="25"/>
      <c r="L2255" s="25"/>
      <c r="M2255" s="77"/>
      <c r="N2255" s="24" t="s">
        <v>4365</v>
      </c>
    </row>
    <row r="2256">
      <c r="C2256" s="24"/>
      <c r="D2256" s="24"/>
      <c r="E2256" s="24"/>
      <c r="G2256" s="143"/>
      <c r="H2256" s="24"/>
      <c r="K2256" s="25"/>
      <c r="L2256" s="25"/>
      <c r="M2256" s="77"/>
      <c r="N2256" s="24" t="s">
        <v>4366</v>
      </c>
    </row>
    <row r="2257">
      <c r="C2257" s="24"/>
      <c r="D2257" s="24"/>
      <c r="E2257" s="24"/>
      <c r="G2257" s="143"/>
      <c r="H2257" s="24"/>
      <c r="K2257" s="25"/>
      <c r="L2257" s="25"/>
      <c r="M2257" s="77"/>
      <c r="N2257" s="24" t="s">
        <v>4367</v>
      </c>
    </row>
    <row r="2258">
      <c r="C2258" s="24"/>
      <c r="D2258" s="24"/>
      <c r="E2258" s="24"/>
      <c r="G2258" s="143"/>
      <c r="H2258" s="24"/>
      <c r="K2258" s="25"/>
      <c r="L2258" s="25"/>
      <c r="M2258" s="77"/>
      <c r="N2258" s="24" t="s">
        <v>4363</v>
      </c>
    </row>
    <row r="2259">
      <c r="C2259" s="24"/>
      <c r="D2259" s="24"/>
      <c r="E2259" s="24"/>
      <c r="G2259" s="143"/>
      <c r="H2259" s="24"/>
      <c r="K2259" s="25"/>
      <c r="L2259" s="25"/>
      <c r="M2259" s="77"/>
      <c r="N2259" s="24" t="s">
        <v>4368</v>
      </c>
    </row>
    <row r="2260">
      <c r="C2260" s="24"/>
      <c r="D2260" s="24"/>
      <c r="E2260" s="24"/>
      <c r="G2260" s="143"/>
      <c r="H2260" s="24"/>
      <c r="K2260" s="25"/>
      <c r="L2260" s="25"/>
      <c r="M2260" s="77"/>
      <c r="N2260" s="24" t="s">
        <v>4369</v>
      </c>
    </row>
    <row r="2261">
      <c r="C2261" s="24"/>
      <c r="D2261" s="24"/>
      <c r="E2261" s="24"/>
      <c r="G2261" s="143"/>
      <c r="H2261" s="24"/>
      <c r="K2261" s="25"/>
      <c r="L2261" s="25"/>
      <c r="M2261" s="77"/>
      <c r="N2261" s="24" t="s">
        <v>4370</v>
      </c>
    </row>
    <row r="2262">
      <c r="C2262" s="24"/>
      <c r="D2262" s="24"/>
      <c r="E2262" s="24"/>
      <c r="G2262" s="143"/>
      <c r="H2262" s="24"/>
      <c r="K2262" s="25"/>
      <c r="L2262" s="25"/>
      <c r="M2262" s="77"/>
      <c r="N2262" s="24" t="s">
        <v>4371</v>
      </c>
    </row>
    <row r="2263">
      <c r="C2263" s="24"/>
      <c r="D2263" s="24"/>
      <c r="E2263" s="24"/>
      <c r="G2263" s="143"/>
      <c r="H2263" s="24"/>
      <c r="K2263" s="25"/>
      <c r="L2263" s="25"/>
      <c r="M2263" s="77"/>
      <c r="N2263" s="24" t="s">
        <v>4372</v>
      </c>
    </row>
    <row r="2264">
      <c r="C2264" s="24"/>
      <c r="D2264" s="24"/>
      <c r="E2264" s="24"/>
      <c r="G2264" s="143"/>
      <c r="H2264" s="24"/>
      <c r="K2264" s="25"/>
      <c r="L2264" s="25"/>
      <c r="M2264" s="77"/>
      <c r="N2264" s="24" t="s">
        <v>4373</v>
      </c>
    </row>
    <row r="2265">
      <c r="C2265" s="24"/>
      <c r="D2265" s="24"/>
      <c r="E2265" s="24"/>
      <c r="G2265" s="143"/>
      <c r="H2265" s="24"/>
      <c r="K2265" s="25"/>
      <c r="L2265" s="25"/>
      <c r="M2265" s="77"/>
      <c r="N2265" s="24" t="s">
        <v>4374</v>
      </c>
    </row>
    <row r="2266">
      <c r="C2266" s="24"/>
      <c r="D2266" s="24"/>
      <c r="E2266" s="24"/>
      <c r="G2266" s="143"/>
      <c r="H2266" s="24"/>
      <c r="K2266" s="25"/>
      <c r="L2266" s="25"/>
      <c r="M2266" s="77"/>
      <c r="N2266" s="24" t="s">
        <v>4375</v>
      </c>
    </row>
    <row r="2267">
      <c r="C2267" s="24"/>
      <c r="D2267" s="24"/>
      <c r="E2267" s="24"/>
      <c r="G2267" s="143"/>
      <c r="H2267" s="24"/>
      <c r="K2267" s="25"/>
      <c r="L2267" s="25"/>
      <c r="M2267" s="77"/>
      <c r="N2267" s="24" t="s">
        <v>4376</v>
      </c>
    </row>
    <row r="2268">
      <c r="C2268" s="24"/>
      <c r="D2268" s="24"/>
      <c r="E2268" s="24"/>
      <c r="G2268" s="143"/>
      <c r="H2268" s="24"/>
      <c r="K2268" s="25"/>
      <c r="L2268" s="25"/>
      <c r="M2268" s="77"/>
      <c r="N2268" s="24" t="s">
        <v>4377</v>
      </c>
    </row>
    <row r="2269">
      <c r="C2269" s="24"/>
      <c r="D2269" s="24"/>
      <c r="E2269" s="24"/>
      <c r="G2269" s="143"/>
      <c r="H2269" s="24"/>
      <c r="K2269" s="25"/>
      <c r="L2269" s="25"/>
      <c r="M2269" s="77"/>
      <c r="N2269" s="24" t="s">
        <v>4378</v>
      </c>
    </row>
    <row r="2270">
      <c r="C2270" s="24"/>
      <c r="D2270" s="24"/>
      <c r="E2270" s="24"/>
      <c r="G2270" s="143"/>
      <c r="H2270" s="24"/>
      <c r="K2270" s="25"/>
      <c r="L2270" s="25"/>
      <c r="M2270" s="77"/>
      <c r="N2270" s="24" t="s">
        <v>4379</v>
      </c>
    </row>
    <row r="2271">
      <c r="C2271" s="24"/>
      <c r="D2271" s="24"/>
      <c r="E2271" s="24"/>
      <c r="G2271" s="143"/>
      <c r="H2271" s="24"/>
      <c r="K2271" s="25"/>
      <c r="L2271" s="25"/>
      <c r="M2271" s="77"/>
      <c r="N2271" s="24" t="s">
        <v>4380</v>
      </c>
    </row>
    <row r="2272">
      <c r="C2272" s="24"/>
      <c r="D2272" s="24"/>
      <c r="E2272" s="24"/>
      <c r="G2272" s="143"/>
      <c r="H2272" s="24"/>
      <c r="K2272" s="25"/>
      <c r="L2272" s="25"/>
      <c r="M2272" s="77"/>
      <c r="N2272" s="24" t="s">
        <v>4381</v>
      </c>
    </row>
    <row r="2273">
      <c r="C2273" s="24"/>
      <c r="D2273" s="24"/>
      <c r="E2273" s="24"/>
      <c r="G2273" s="143"/>
      <c r="H2273" s="24"/>
      <c r="K2273" s="25"/>
      <c r="L2273" s="25"/>
      <c r="M2273" s="77"/>
      <c r="N2273" s="24" t="s">
        <v>4382</v>
      </c>
    </row>
    <row r="2274">
      <c r="C2274" s="24"/>
      <c r="D2274" s="24"/>
      <c r="E2274" s="24"/>
      <c r="G2274" s="143"/>
      <c r="H2274" s="24"/>
      <c r="K2274" s="25"/>
      <c r="L2274" s="25"/>
      <c r="M2274" s="77"/>
      <c r="N2274" s="24" t="s">
        <v>4383</v>
      </c>
    </row>
    <row r="2275">
      <c r="C2275" s="24"/>
      <c r="D2275" s="24"/>
      <c r="E2275" s="24"/>
      <c r="G2275" s="143"/>
      <c r="H2275" s="24"/>
      <c r="K2275" s="25"/>
      <c r="L2275" s="25"/>
      <c r="M2275" s="77"/>
      <c r="N2275" s="24" t="s">
        <v>4384</v>
      </c>
    </row>
    <row r="2276">
      <c r="C2276" s="24"/>
      <c r="D2276" s="24"/>
      <c r="E2276" s="24"/>
      <c r="G2276" s="143"/>
      <c r="H2276" s="24"/>
      <c r="K2276" s="25"/>
      <c r="L2276" s="25"/>
      <c r="M2276" s="77"/>
      <c r="N2276" s="24" t="s">
        <v>4385</v>
      </c>
    </row>
    <row r="2277">
      <c r="C2277" s="24"/>
      <c r="D2277" s="24"/>
      <c r="E2277" s="24"/>
      <c r="G2277" s="143"/>
      <c r="H2277" s="24"/>
      <c r="K2277" s="25"/>
      <c r="L2277" s="25"/>
      <c r="M2277" s="77"/>
      <c r="N2277" s="24" t="s">
        <v>4386</v>
      </c>
    </row>
    <row r="2278">
      <c r="C2278" s="24"/>
      <c r="D2278" s="24"/>
      <c r="E2278" s="24"/>
      <c r="G2278" s="143"/>
      <c r="H2278" s="24"/>
      <c r="K2278" s="25"/>
      <c r="L2278" s="25"/>
      <c r="M2278" s="77"/>
      <c r="N2278" s="24" t="s">
        <v>4387</v>
      </c>
    </row>
    <row r="2279">
      <c r="C2279" s="24"/>
      <c r="D2279" s="24"/>
      <c r="E2279" s="24"/>
      <c r="G2279" s="143"/>
      <c r="H2279" s="24"/>
      <c r="K2279" s="25"/>
      <c r="L2279" s="25"/>
      <c r="M2279" s="77"/>
      <c r="N2279" s="24" t="s">
        <v>4388</v>
      </c>
    </row>
    <row r="2280">
      <c r="C2280" s="24"/>
      <c r="D2280" s="24"/>
      <c r="E2280" s="24"/>
      <c r="G2280" s="143"/>
      <c r="H2280" s="24"/>
      <c r="K2280" s="25"/>
      <c r="L2280" s="25"/>
      <c r="M2280" s="77"/>
      <c r="N2280" s="24" t="s">
        <v>4389</v>
      </c>
    </row>
    <row r="2281">
      <c r="C2281" s="24"/>
      <c r="D2281" s="24"/>
      <c r="E2281" s="24"/>
      <c r="G2281" s="143"/>
      <c r="H2281" s="24"/>
      <c r="K2281" s="25"/>
      <c r="L2281" s="25"/>
      <c r="M2281" s="77"/>
      <c r="N2281" s="24" t="s">
        <v>4390</v>
      </c>
    </row>
    <row r="2282">
      <c r="C2282" s="24"/>
      <c r="D2282" s="24"/>
      <c r="E2282" s="24"/>
      <c r="G2282" s="143"/>
      <c r="H2282" s="24"/>
      <c r="K2282" s="25"/>
      <c r="L2282" s="25"/>
      <c r="M2282" s="77"/>
      <c r="N2282" s="24" t="s">
        <v>4391</v>
      </c>
    </row>
    <row r="2283">
      <c r="C2283" s="24"/>
      <c r="D2283" s="24"/>
      <c r="E2283" s="24"/>
      <c r="G2283" s="143"/>
      <c r="H2283" s="24"/>
      <c r="K2283" s="25"/>
      <c r="L2283" s="25"/>
      <c r="M2283" s="77"/>
      <c r="N2283" s="24" t="s">
        <v>4392</v>
      </c>
    </row>
    <row r="2284">
      <c r="C2284" s="24"/>
      <c r="D2284" s="24"/>
      <c r="E2284" s="24"/>
      <c r="G2284" s="143"/>
      <c r="H2284" s="24"/>
      <c r="K2284" s="25"/>
      <c r="L2284" s="25"/>
      <c r="M2284" s="77"/>
      <c r="N2284" s="24" t="s">
        <v>4393</v>
      </c>
    </row>
    <row r="2285">
      <c r="C2285" s="24"/>
      <c r="D2285" s="24"/>
      <c r="E2285" s="24"/>
      <c r="G2285" s="143"/>
      <c r="H2285" s="24"/>
      <c r="K2285" s="25"/>
      <c r="L2285" s="25"/>
      <c r="M2285" s="77"/>
      <c r="N2285" s="24" t="s">
        <v>4394</v>
      </c>
    </row>
    <row r="2286">
      <c r="C2286" s="24"/>
      <c r="D2286" s="24"/>
      <c r="E2286" s="24"/>
      <c r="G2286" s="143"/>
      <c r="H2286" s="24"/>
      <c r="K2286" s="25"/>
      <c r="L2286" s="25"/>
      <c r="M2286" s="77"/>
      <c r="N2286" s="24" t="s">
        <v>4395</v>
      </c>
    </row>
    <row r="2287">
      <c r="C2287" s="24"/>
      <c r="D2287" s="24"/>
      <c r="E2287" s="24"/>
      <c r="G2287" s="143"/>
      <c r="H2287" s="24"/>
      <c r="K2287" s="25"/>
      <c r="L2287" s="25"/>
      <c r="M2287" s="77"/>
      <c r="N2287" s="24" t="s">
        <v>4396</v>
      </c>
    </row>
    <row r="2288">
      <c r="C2288" s="24"/>
      <c r="D2288" s="24"/>
      <c r="E2288" s="24"/>
      <c r="G2288" s="143"/>
      <c r="H2288" s="24"/>
      <c r="K2288" s="25"/>
      <c r="L2288" s="25"/>
      <c r="M2288" s="77"/>
      <c r="N2288" s="24" t="s">
        <v>4397</v>
      </c>
    </row>
    <row r="2289">
      <c r="C2289" s="24"/>
      <c r="D2289" s="24"/>
      <c r="E2289" s="24"/>
      <c r="G2289" s="143"/>
      <c r="H2289" s="24"/>
      <c r="K2289" s="25"/>
      <c r="L2289" s="25"/>
      <c r="M2289" s="77"/>
      <c r="N2289" s="24" t="s">
        <v>4398</v>
      </c>
    </row>
    <row r="2290">
      <c r="C2290" s="24"/>
      <c r="D2290" s="24"/>
      <c r="E2290" s="24"/>
      <c r="G2290" s="143"/>
      <c r="H2290" s="24"/>
      <c r="K2290" s="25"/>
      <c r="L2290" s="25"/>
      <c r="M2290" s="77"/>
      <c r="N2290" s="24" t="s">
        <v>4399</v>
      </c>
    </row>
    <row r="2291">
      <c r="C2291" s="24"/>
      <c r="D2291" s="24"/>
      <c r="E2291" s="24"/>
      <c r="G2291" s="143"/>
      <c r="H2291" s="24"/>
      <c r="K2291" s="25"/>
      <c r="L2291" s="25"/>
      <c r="M2291" s="77"/>
      <c r="N2291" s="24" t="s">
        <v>4400</v>
      </c>
    </row>
    <row r="2292">
      <c r="C2292" s="24"/>
      <c r="D2292" s="24"/>
      <c r="E2292" s="24"/>
      <c r="G2292" s="143"/>
      <c r="H2292" s="24"/>
      <c r="K2292" s="25"/>
      <c r="L2292" s="25"/>
      <c r="M2292" s="77"/>
      <c r="N2292" s="24" t="s">
        <v>4401</v>
      </c>
    </row>
    <row r="2293">
      <c r="C2293" s="24"/>
      <c r="D2293" s="24"/>
      <c r="E2293" s="24"/>
      <c r="G2293" s="143"/>
      <c r="H2293" s="24"/>
      <c r="K2293" s="25"/>
      <c r="L2293" s="25"/>
      <c r="M2293" s="77"/>
      <c r="N2293" s="24" t="s">
        <v>4402</v>
      </c>
    </row>
    <row r="2294">
      <c r="C2294" s="24"/>
      <c r="D2294" s="24"/>
      <c r="E2294" s="24"/>
      <c r="G2294" s="143"/>
      <c r="H2294" s="24"/>
      <c r="K2294" s="25"/>
      <c r="L2294" s="25"/>
      <c r="M2294" s="77"/>
      <c r="N2294" s="24" t="s">
        <v>4403</v>
      </c>
    </row>
    <row r="2295">
      <c r="C2295" s="24"/>
      <c r="D2295" s="24"/>
      <c r="E2295" s="24"/>
      <c r="G2295" s="143"/>
      <c r="H2295" s="24"/>
      <c r="K2295" s="25"/>
      <c r="L2295" s="25"/>
      <c r="M2295" s="77"/>
      <c r="N2295" s="24" t="s">
        <v>4404</v>
      </c>
    </row>
    <row r="2296">
      <c r="C2296" s="24"/>
      <c r="D2296" s="24"/>
      <c r="E2296" s="24"/>
      <c r="G2296" s="143"/>
      <c r="H2296" s="24"/>
      <c r="K2296" s="25"/>
      <c r="L2296" s="25"/>
      <c r="M2296" s="77"/>
      <c r="N2296" s="24" t="s">
        <v>4405</v>
      </c>
    </row>
    <row r="2297">
      <c r="C2297" s="24"/>
      <c r="D2297" s="24"/>
      <c r="E2297" s="24"/>
      <c r="G2297" s="143"/>
      <c r="H2297" s="24"/>
      <c r="K2297" s="25"/>
      <c r="L2297" s="25"/>
      <c r="M2297" s="77"/>
      <c r="N2297" s="24" t="s">
        <v>4406</v>
      </c>
    </row>
    <row r="2298">
      <c r="C2298" s="24"/>
      <c r="D2298" s="24"/>
      <c r="E2298" s="24"/>
      <c r="G2298" s="143"/>
      <c r="H2298" s="24"/>
      <c r="K2298" s="25"/>
      <c r="L2298" s="25"/>
      <c r="M2298" s="77"/>
      <c r="N2298" s="24" t="s">
        <v>4407</v>
      </c>
    </row>
    <row r="2299">
      <c r="C2299" s="24"/>
      <c r="D2299" s="24"/>
      <c r="E2299" s="24"/>
      <c r="G2299" s="143"/>
      <c r="H2299" s="24"/>
      <c r="K2299" s="25"/>
      <c r="L2299" s="25"/>
      <c r="M2299" s="77"/>
      <c r="N2299" s="24" t="s">
        <v>4408</v>
      </c>
    </row>
    <row r="2300">
      <c r="C2300" s="24"/>
      <c r="D2300" s="24"/>
      <c r="E2300" s="24"/>
      <c r="G2300" s="143"/>
      <c r="H2300" s="24"/>
      <c r="K2300" s="25"/>
      <c r="L2300" s="25"/>
      <c r="M2300" s="77"/>
      <c r="N2300" s="24" t="s">
        <v>4409</v>
      </c>
    </row>
    <row r="2301">
      <c r="C2301" s="24"/>
      <c r="D2301" s="24"/>
      <c r="E2301" s="24"/>
      <c r="G2301" s="143"/>
      <c r="H2301" s="24"/>
      <c r="K2301" s="25"/>
      <c r="L2301" s="25"/>
      <c r="M2301" s="77"/>
      <c r="N2301" s="24" t="s">
        <v>4410</v>
      </c>
    </row>
    <row r="2302">
      <c r="C2302" s="24"/>
      <c r="D2302" s="24"/>
      <c r="E2302" s="24"/>
      <c r="G2302" s="143"/>
      <c r="H2302" s="24"/>
      <c r="K2302" s="25"/>
      <c r="L2302" s="25"/>
      <c r="M2302" s="77"/>
      <c r="N2302" s="24" t="s">
        <v>4411</v>
      </c>
    </row>
    <row r="2303">
      <c r="C2303" s="24"/>
      <c r="D2303" s="24"/>
      <c r="E2303" s="24"/>
      <c r="G2303" s="143"/>
      <c r="H2303" s="24"/>
      <c r="K2303" s="25"/>
      <c r="L2303" s="25"/>
      <c r="M2303" s="77"/>
      <c r="N2303" s="24" t="s">
        <v>4412</v>
      </c>
    </row>
    <row r="2304">
      <c r="C2304" s="24"/>
      <c r="D2304" s="24"/>
      <c r="E2304" s="24"/>
      <c r="G2304" s="143"/>
      <c r="H2304" s="24"/>
      <c r="K2304" s="25"/>
      <c r="L2304" s="25"/>
      <c r="M2304" s="77"/>
      <c r="N2304" s="24" t="s">
        <v>4334</v>
      </c>
    </row>
    <row r="2305">
      <c r="C2305" s="24"/>
      <c r="D2305" s="24"/>
      <c r="E2305" s="24"/>
      <c r="G2305" s="143"/>
      <c r="H2305" s="24"/>
      <c r="K2305" s="25"/>
      <c r="L2305" s="25"/>
      <c r="M2305" s="77"/>
      <c r="N2305" s="24" t="s">
        <v>4259</v>
      </c>
    </row>
    <row r="2306">
      <c r="C2306" s="24"/>
      <c r="D2306" s="24"/>
      <c r="E2306" s="24"/>
      <c r="G2306" s="143"/>
      <c r="H2306" s="24"/>
      <c r="K2306" s="25"/>
      <c r="L2306" s="25"/>
      <c r="M2306" s="77"/>
      <c r="N2306" s="24" t="s">
        <v>4413</v>
      </c>
    </row>
    <row r="2307">
      <c r="C2307" s="24"/>
      <c r="D2307" s="24"/>
      <c r="E2307" s="24"/>
      <c r="G2307" s="143"/>
      <c r="H2307" s="24"/>
      <c r="K2307" s="25"/>
      <c r="L2307" s="25"/>
      <c r="M2307" s="77"/>
      <c r="N2307" s="24" t="s">
        <v>4414</v>
      </c>
    </row>
    <row r="2308">
      <c r="C2308" s="24"/>
      <c r="D2308" s="24"/>
      <c r="E2308" s="24"/>
      <c r="G2308" s="143"/>
      <c r="H2308" s="24"/>
      <c r="K2308" s="25"/>
      <c r="L2308" s="25"/>
      <c r="M2308" s="77"/>
      <c r="N2308" s="24" t="s">
        <v>4415</v>
      </c>
    </row>
    <row r="2309">
      <c r="C2309" s="24"/>
      <c r="D2309" s="24"/>
      <c r="E2309" s="24"/>
      <c r="G2309" s="143"/>
      <c r="H2309" s="24"/>
      <c r="K2309" s="25"/>
      <c r="L2309" s="25"/>
      <c r="M2309" s="77"/>
      <c r="N2309" s="24" t="s">
        <v>4416</v>
      </c>
    </row>
    <row r="2310">
      <c r="C2310" s="24"/>
      <c r="D2310" s="24"/>
      <c r="E2310" s="24"/>
      <c r="G2310" s="143"/>
      <c r="H2310" s="24"/>
      <c r="K2310" s="25"/>
      <c r="L2310" s="25"/>
      <c r="M2310" s="77"/>
      <c r="N2310" s="24" t="s">
        <v>4417</v>
      </c>
    </row>
    <row r="2311">
      <c r="C2311" s="24"/>
      <c r="D2311" s="24"/>
      <c r="E2311" s="24"/>
      <c r="G2311" s="143"/>
      <c r="H2311" s="24"/>
      <c r="K2311" s="25"/>
      <c r="L2311" s="25"/>
      <c r="M2311" s="77"/>
      <c r="N2311" s="24" t="s">
        <v>4418</v>
      </c>
    </row>
    <row r="2312">
      <c r="C2312" s="24"/>
      <c r="D2312" s="24"/>
      <c r="E2312" s="24"/>
      <c r="G2312" s="143"/>
      <c r="H2312" s="24"/>
      <c r="K2312" s="25"/>
      <c r="L2312" s="25"/>
      <c r="M2312" s="77"/>
      <c r="N2312" s="24" t="s">
        <v>4419</v>
      </c>
    </row>
    <row r="2313">
      <c r="C2313" s="24"/>
      <c r="D2313" s="24"/>
      <c r="E2313" s="24"/>
      <c r="G2313" s="143"/>
      <c r="H2313" s="24"/>
      <c r="K2313" s="25"/>
      <c r="L2313" s="25"/>
      <c r="M2313" s="77"/>
      <c r="N2313" s="24" t="s">
        <v>4420</v>
      </c>
    </row>
    <row r="2314">
      <c r="C2314" s="24"/>
      <c r="D2314" s="24"/>
      <c r="E2314" s="24"/>
      <c r="G2314" s="143"/>
      <c r="H2314" s="24"/>
      <c r="K2314" s="25"/>
      <c r="L2314" s="25"/>
      <c r="M2314" s="77"/>
      <c r="N2314" s="24" t="s">
        <v>4421</v>
      </c>
    </row>
    <row r="2315">
      <c r="C2315" s="24"/>
      <c r="D2315" s="24"/>
      <c r="E2315" s="24"/>
      <c r="G2315" s="143"/>
      <c r="H2315" s="24"/>
      <c r="K2315" s="25"/>
      <c r="L2315" s="25"/>
      <c r="M2315" s="77"/>
      <c r="N2315" s="24" t="s">
        <v>4422</v>
      </c>
    </row>
    <row r="2316">
      <c r="C2316" s="24"/>
      <c r="D2316" s="24"/>
      <c r="E2316" s="24"/>
      <c r="G2316" s="143"/>
      <c r="H2316" s="24"/>
      <c r="K2316" s="25"/>
      <c r="L2316" s="25"/>
      <c r="M2316" s="77"/>
      <c r="N2316" s="24" t="s">
        <v>4423</v>
      </c>
    </row>
    <row r="2317">
      <c r="C2317" s="24"/>
      <c r="D2317" s="24"/>
      <c r="E2317" s="24"/>
      <c r="G2317" s="143"/>
      <c r="H2317" s="24"/>
      <c r="K2317" s="25"/>
      <c r="L2317" s="25"/>
      <c r="M2317" s="77"/>
      <c r="N2317" s="24" t="s">
        <v>4424</v>
      </c>
    </row>
    <row r="2318">
      <c r="C2318" s="24"/>
      <c r="D2318" s="24"/>
      <c r="E2318" s="24"/>
      <c r="G2318" s="143"/>
      <c r="H2318" s="24"/>
      <c r="K2318" s="25"/>
      <c r="L2318" s="25"/>
      <c r="M2318" s="77"/>
      <c r="N2318" s="24" t="s">
        <v>4425</v>
      </c>
    </row>
    <row r="2319">
      <c r="C2319" s="24"/>
      <c r="D2319" s="24"/>
      <c r="E2319" s="24"/>
      <c r="G2319" s="143"/>
      <c r="H2319" s="24"/>
      <c r="K2319" s="25"/>
      <c r="L2319" s="25"/>
      <c r="M2319" s="77"/>
      <c r="N2319" s="24" t="s">
        <v>4426</v>
      </c>
    </row>
    <row r="2320">
      <c r="C2320" s="24"/>
      <c r="D2320" s="24"/>
      <c r="E2320" s="24"/>
      <c r="G2320" s="143"/>
      <c r="H2320" s="24"/>
      <c r="K2320" s="25"/>
      <c r="L2320" s="25"/>
      <c r="M2320" s="77"/>
      <c r="N2320" s="24" t="s">
        <v>4427</v>
      </c>
    </row>
    <row r="2321">
      <c r="C2321" s="24"/>
      <c r="D2321" s="24"/>
      <c r="E2321" s="24"/>
      <c r="G2321" s="143"/>
      <c r="H2321" s="24"/>
      <c r="K2321" s="25"/>
      <c r="L2321" s="25"/>
      <c r="M2321" s="77"/>
      <c r="N2321" s="24" t="s">
        <v>4428</v>
      </c>
    </row>
    <row r="2322">
      <c r="C2322" s="24"/>
      <c r="D2322" s="24"/>
      <c r="E2322" s="24"/>
      <c r="G2322" s="143"/>
      <c r="H2322" s="24"/>
      <c r="K2322" s="25"/>
      <c r="L2322" s="25"/>
      <c r="M2322" s="77"/>
      <c r="N2322" s="24" t="s">
        <v>4429</v>
      </c>
    </row>
    <row r="2323">
      <c r="C2323" s="24"/>
      <c r="D2323" s="24"/>
      <c r="E2323" s="24"/>
      <c r="G2323" s="143"/>
      <c r="H2323" s="24"/>
      <c r="K2323" s="25"/>
      <c r="L2323" s="25"/>
      <c r="M2323" s="77"/>
      <c r="N2323" s="24" t="s">
        <v>4430</v>
      </c>
    </row>
    <row r="2324">
      <c r="C2324" s="24"/>
      <c r="D2324" s="24"/>
      <c r="E2324" s="24"/>
      <c r="G2324" s="143"/>
      <c r="H2324" s="24"/>
      <c r="K2324" s="25"/>
      <c r="L2324" s="25"/>
      <c r="M2324" s="77"/>
      <c r="N2324" s="24" t="s">
        <v>4431</v>
      </c>
    </row>
    <row r="2325">
      <c r="C2325" s="24"/>
      <c r="D2325" s="24"/>
      <c r="E2325" s="24"/>
      <c r="G2325" s="143"/>
      <c r="H2325" s="24"/>
      <c r="K2325" s="25"/>
      <c r="L2325" s="25"/>
      <c r="M2325" s="77"/>
      <c r="N2325" s="24" t="s">
        <v>4432</v>
      </c>
    </row>
    <row r="2326">
      <c r="C2326" s="24"/>
      <c r="D2326" s="24"/>
      <c r="E2326" s="24"/>
      <c r="G2326" s="143"/>
      <c r="H2326" s="24"/>
      <c r="K2326" s="25"/>
      <c r="L2326" s="25"/>
      <c r="M2326" s="77"/>
      <c r="N2326" s="24" t="s">
        <v>4433</v>
      </c>
    </row>
    <row r="2327">
      <c r="C2327" s="24"/>
      <c r="D2327" s="24"/>
      <c r="E2327" s="24"/>
      <c r="G2327" s="143"/>
      <c r="H2327" s="24"/>
      <c r="K2327" s="25"/>
      <c r="L2327" s="25"/>
      <c r="M2327" s="77"/>
      <c r="N2327" s="24" t="s">
        <v>4434</v>
      </c>
    </row>
    <row r="2328">
      <c r="C2328" s="24"/>
      <c r="D2328" s="24"/>
      <c r="E2328" s="24"/>
      <c r="G2328" s="143"/>
      <c r="H2328" s="24"/>
      <c r="K2328" s="25"/>
      <c r="L2328" s="25"/>
      <c r="M2328" s="77"/>
      <c r="N2328" s="24" t="s">
        <v>4435</v>
      </c>
    </row>
    <row r="2329">
      <c r="C2329" s="24"/>
      <c r="D2329" s="24"/>
      <c r="E2329" s="24"/>
      <c r="G2329" s="143"/>
      <c r="H2329" s="24"/>
      <c r="K2329" s="25"/>
      <c r="L2329" s="25"/>
      <c r="M2329" s="77"/>
      <c r="N2329" s="24" t="s">
        <v>4436</v>
      </c>
    </row>
    <row r="2330">
      <c r="C2330" s="24"/>
      <c r="D2330" s="24"/>
      <c r="E2330" s="24"/>
      <c r="G2330" s="143"/>
      <c r="H2330" s="24"/>
      <c r="K2330" s="25"/>
      <c r="L2330" s="25"/>
      <c r="M2330" s="77"/>
      <c r="N2330" s="24" t="s">
        <v>4437</v>
      </c>
    </row>
    <row r="2331">
      <c r="C2331" s="24"/>
      <c r="D2331" s="24"/>
      <c r="E2331" s="24"/>
      <c r="G2331" s="143"/>
      <c r="H2331" s="24"/>
      <c r="K2331" s="25"/>
      <c r="L2331" s="25"/>
      <c r="M2331" s="77"/>
      <c r="N2331" s="24" t="s">
        <v>4438</v>
      </c>
    </row>
    <row r="2332">
      <c r="C2332" s="24"/>
      <c r="D2332" s="24"/>
      <c r="E2332" s="24"/>
      <c r="G2332" s="143"/>
      <c r="H2332" s="24"/>
      <c r="K2332" s="25"/>
      <c r="L2332" s="25"/>
      <c r="M2332" s="77"/>
      <c r="N2332" s="24" t="s">
        <v>4439</v>
      </c>
    </row>
    <row r="2333">
      <c r="C2333" s="24"/>
      <c r="D2333" s="24"/>
      <c r="E2333" s="24"/>
      <c r="G2333" s="143"/>
      <c r="H2333" s="24"/>
      <c r="K2333" s="25"/>
      <c r="L2333" s="25"/>
      <c r="M2333" s="77"/>
      <c r="N2333" s="24" t="s">
        <v>4440</v>
      </c>
    </row>
    <row r="2334">
      <c r="C2334" s="24"/>
      <c r="D2334" s="24"/>
      <c r="E2334" s="24"/>
      <c r="G2334" s="143"/>
      <c r="H2334" s="24"/>
      <c r="K2334" s="25"/>
      <c r="L2334" s="25"/>
      <c r="M2334" s="77"/>
      <c r="N2334" s="24" t="s">
        <v>4441</v>
      </c>
    </row>
    <row r="2335">
      <c r="C2335" s="24"/>
      <c r="D2335" s="24"/>
      <c r="E2335" s="24"/>
      <c r="G2335" s="143"/>
      <c r="H2335" s="24"/>
      <c r="K2335" s="25"/>
      <c r="L2335" s="25"/>
      <c r="M2335" s="77"/>
      <c r="N2335" s="24" t="s">
        <v>4442</v>
      </c>
    </row>
    <row r="2336">
      <c r="C2336" s="24"/>
      <c r="D2336" s="24"/>
      <c r="E2336" s="24"/>
      <c r="G2336" s="143"/>
      <c r="H2336" s="24"/>
      <c r="K2336" s="25"/>
      <c r="L2336" s="25"/>
      <c r="M2336" s="77"/>
      <c r="N2336" s="24" t="s">
        <v>4443</v>
      </c>
    </row>
    <row r="2337">
      <c r="C2337" s="24"/>
      <c r="D2337" s="24"/>
      <c r="E2337" s="24"/>
      <c r="G2337" s="143"/>
      <c r="H2337" s="24"/>
      <c r="K2337" s="25"/>
      <c r="L2337" s="25"/>
      <c r="M2337" s="77"/>
      <c r="N2337" s="24" t="s">
        <v>4444</v>
      </c>
    </row>
    <row r="2338">
      <c r="C2338" s="24"/>
      <c r="D2338" s="24"/>
      <c r="E2338" s="24"/>
      <c r="G2338" s="143"/>
      <c r="H2338" s="24"/>
      <c r="K2338" s="25"/>
      <c r="L2338" s="25"/>
      <c r="M2338" s="77"/>
      <c r="N2338" s="24" t="s">
        <v>4445</v>
      </c>
    </row>
    <row r="2339">
      <c r="C2339" s="24"/>
      <c r="D2339" s="24"/>
      <c r="E2339" s="24"/>
      <c r="G2339" s="143"/>
      <c r="H2339" s="24"/>
      <c r="K2339" s="25"/>
      <c r="L2339" s="25"/>
      <c r="M2339" s="77"/>
      <c r="N2339" s="24" t="s">
        <v>4446</v>
      </c>
    </row>
    <row r="2340">
      <c r="C2340" s="24"/>
      <c r="D2340" s="24"/>
      <c r="E2340" s="24"/>
      <c r="G2340" s="143"/>
      <c r="H2340" s="24"/>
      <c r="K2340" s="25"/>
      <c r="L2340" s="25"/>
      <c r="M2340" s="77"/>
      <c r="N2340" s="24" t="s">
        <v>4427</v>
      </c>
    </row>
    <row r="2341">
      <c r="C2341" s="24"/>
      <c r="D2341" s="24"/>
      <c r="E2341" s="24"/>
      <c r="G2341" s="143"/>
      <c r="H2341" s="24"/>
      <c r="K2341" s="25"/>
      <c r="L2341" s="25"/>
      <c r="M2341" s="77"/>
      <c r="N2341" s="24" t="s">
        <v>4447</v>
      </c>
    </row>
    <row r="2342">
      <c r="C2342" s="24"/>
      <c r="D2342" s="24"/>
      <c r="E2342" s="24"/>
      <c r="G2342" s="143"/>
      <c r="H2342" s="24"/>
      <c r="K2342" s="25"/>
      <c r="L2342" s="25"/>
      <c r="M2342" s="77"/>
      <c r="N2342" s="24" t="s">
        <v>4448</v>
      </c>
    </row>
    <row r="2343">
      <c r="C2343" s="24"/>
      <c r="D2343" s="24"/>
      <c r="E2343" s="24"/>
      <c r="G2343" s="143"/>
      <c r="H2343" s="24"/>
      <c r="K2343" s="25"/>
      <c r="L2343" s="25"/>
      <c r="M2343" s="77"/>
      <c r="N2343" s="24" t="s">
        <v>4449</v>
      </c>
    </row>
    <row r="2344">
      <c r="C2344" s="24"/>
      <c r="D2344" s="24"/>
      <c r="E2344" s="24"/>
      <c r="G2344" s="143"/>
      <c r="H2344" s="24"/>
      <c r="K2344" s="25"/>
      <c r="L2344" s="25"/>
      <c r="M2344" s="77"/>
      <c r="N2344" s="24" t="s">
        <v>4450</v>
      </c>
    </row>
    <row r="2345">
      <c r="C2345" s="24"/>
      <c r="D2345" s="24"/>
      <c r="E2345" s="24"/>
      <c r="G2345" s="143"/>
      <c r="H2345" s="24"/>
      <c r="K2345" s="25"/>
      <c r="L2345" s="25"/>
      <c r="M2345" s="77"/>
      <c r="N2345" s="24" t="s">
        <v>4451</v>
      </c>
    </row>
    <row r="2346">
      <c r="C2346" s="24"/>
      <c r="D2346" s="24"/>
      <c r="E2346" s="24"/>
      <c r="G2346" s="143"/>
      <c r="H2346" s="24"/>
      <c r="K2346" s="25"/>
      <c r="L2346" s="25"/>
      <c r="M2346" s="77"/>
      <c r="N2346" s="24" t="s">
        <v>4452</v>
      </c>
    </row>
    <row r="2347">
      <c r="C2347" s="24"/>
      <c r="D2347" s="24"/>
      <c r="E2347" s="24"/>
      <c r="G2347" s="143"/>
      <c r="H2347" s="24"/>
      <c r="K2347" s="25"/>
      <c r="L2347" s="25"/>
      <c r="M2347" s="77"/>
      <c r="N2347" s="24" t="s">
        <v>4453</v>
      </c>
    </row>
    <row r="2348">
      <c r="C2348" s="24"/>
      <c r="D2348" s="24"/>
      <c r="E2348" s="24"/>
      <c r="G2348" s="143"/>
      <c r="H2348" s="24"/>
      <c r="K2348" s="25"/>
      <c r="L2348" s="25"/>
      <c r="M2348" s="77"/>
      <c r="N2348" s="24" t="s">
        <v>4454</v>
      </c>
    </row>
    <row r="2349">
      <c r="C2349" s="24"/>
      <c r="D2349" s="24"/>
      <c r="E2349" s="24"/>
      <c r="G2349" s="143"/>
      <c r="H2349" s="24"/>
      <c r="K2349" s="25"/>
      <c r="L2349" s="25"/>
      <c r="M2349" s="77"/>
      <c r="N2349" s="24" t="s">
        <v>4455</v>
      </c>
    </row>
    <row r="2350">
      <c r="C2350" s="24"/>
      <c r="D2350" s="24"/>
      <c r="E2350" s="24"/>
      <c r="G2350" s="143"/>
      <c r="H2350" s="24"/>
      <c r="K2350" s="25"/>
      <c r="L2350" s="25"/>
      <c r="M2350" s="77"/>
      <c r="N2350" s="24" t="s">
        <v>4456</v>
      </c>
    </row>
    <row r="2351">
      <c r="C2351" s="24"/>
      <c r="D2351" s="24"/>
      <c r="E2351" s="24"/>
      <c r="G2351" s="143"/>
      <c r="H2351" s="24"/>
      <c r="K2351" s="25"/>
      <c r="L2351" s="25"/>
      <c r="M2351" s="77"/>
      <c r="N2351" s="24" t="s">
        <v>4457</v>
      </c>
    </row>
    <row r="2352">
      <c r="C2352" s="24"/>
      <c r="D2352" s="24"/>
      <c r="E2352" s="24"/>
      <c r="G2352" s="143"/>
      <c r="H2352" s="24"/>
      <c r="K2352" s="25"/>
      <c r="L2352" s="25"/>
      <c r="M2352" s="77"/>
      <c r="N2352" s="24" t="s">
        <v>4458</v>
      </c>
    </row>
    <row r="2353">
      <c r="C2353" s="24"/>
      <c r="D2353" s="24"/>
      <c r="E2353" s="24"/>
      <c r="G2353" s="143"/>
      <c r="H2353" s="24"/>
      <c r="K2353" s="25"/>
      <c r="L2353" s="25"/>
      <c r="M2353" s="77"/>
      <c r="N2353" s="24" t="s">
        <v>4459</v>
      </c>
    </row>
    <row r="2354">
      <c r="C2354" s="24"/>
      <c r="D2354" s="24"/>
      <c r="E2354" s="24"/>
      <c r="G2354" s="143"/>
      <c r="H2354" s="24"/>
      <c r="K2354" s="25"/>
      <c r="L2354" s="25"/>
      <c r="M2354" s="77"/>
      <c r="N2354" s="24" t="s">
        <v>4460</v>
      </c>
    </row>
    <row r="2355">
      <c r="C2355" s="24"/>
      <c r="D2355" s="24"/>
      <c r="E2355" s="24"/>
      <c r="G2355" s="143"/>
      <c r="H2355" s="24"/>
      <c r="K2355" s="25"/>
      <c r="L2355" s="25"/>
      <c r="M2355" s="77"/>
      <c r="N2355" s="24" t="s">
        <v>4461</v>
      </c>
    </row>
    <row r="2356">
      <c r="C2356" s="24"/>
      <c r="D2356" s="24"/>
      <c r="E2356" s="24"/>
      <c r="G2356" s="143"/>
      <c r="H2356" s="24"/>
      <c r="K2356" s="25"/>
      <c r="L2356" s="25"/>
      <c r="M2356" s="77"/>
      <c r="N2356" s="24" t="s">
        <v>4462</v>
      </c>
    </row>
    <row r="2357">
      <c r="C2357" s="24"/>
      <c r="D2357" s="24"/>
      <c r="E2357" s="24"/>
      <c r="G2357" s="143"/>
      <c r="H2357" s="24"/>
      <c r="K2357" s="25"/>
      <c r="L2357" s="25"/>
      <c r="M2357" s="77"/>
      <c r="N2357" s="24" t="s">
        <v>4463</v>
      </c>
    </row>
    <row r="2358">
      <c r="C2358" s="24"/>
      <c r="D2358" s="24"/>
      <c r="E2358" s="24"/>
      <c r="G2358" s="143"/>
      <c r="H2358" s="24"/>
      <c r="K2358" s="25"/>
      <c r="L2358" s="25"/>
      <c r="M2358" s="77"/>
      <c r="N2358" s="24" t="s">
        <v>4464</v>
      </c>
    </row>
    <row r="2359">
      <c r="C2359" s="24"/>
      <c r="D2359" s="24"/>
      <c r="E2359" s="24"/>
      <c r="G2359" s="143"/>
      <c r="H2359" s="24"/>
      <c r="K2359" s="25"/>
      <c r="L2359" s="25"/>
      <c r="M2359" s="77"/>
      <c r="N2359" s="24" t="s">
        <v>4465</v>
      </c>
    </row>
    <row r="2360">
      <c r="C2360" s="24"/>
      <c r="D2360" s="24"/>
      <c r="E2360" s="24"/>
      <c r="G2360" s="143"/>
      <c r="H2360" s="24"/>
      <c r="K2360" s="25"/>
      <c r="L2360" s="25"/>
      <c r="M2360" s="77"/>
      <c r="N2360" s="24" t="s">
        <v>4466</v>
      </c>
    </row>
    <row r="2361">
      <c r="C2361" s="24"/>
      <c r="D2361" s="24"/>
      <c r="E2361" s="24"/>
      <c r="G2361" s="143"/>
      <c r="H2361" s="24"/>
      <c r="K2361" s="25"/>
      <c r="L2361" s="25"/>
      <c r="M2361" s="77"/>
      <c r="N2361" s="24" t="s">
        <v>4467</v>
      </c>
    </row>
    <row r="2362">
      <c r="C2362" s="24"/>
      <c r="D2362" s="24"/>
      <c r="E2362" s="24"/>
      <c r="G2362" s="143"/>
      <c r="H2362" s="24"/>
      <c r="K2362" s="25"/>
      <c r="L2362" s="25"/>
      <c r="M2362" s="77"/>
      <c r="N2362" s="24" t="s">
        <v>4468</v>
      </c>
    </row>
    <row r="2363">
      <c r="C2363" s="24"/>
      <c r="D2363" s="24"/>
      <c r="E2363" s="24"/>
      <c r="G2363" s="143"/>
      <c r="H2363" s="24"/>
      <c r="K2363" s="25"/>
      <c r="L2363" s="25"/>
      <c r="M2363" s="77"/>
      <c r="N2363" s="24" t="s">
        <v>4469</v>
      </c>
    </row>
    <row r="2364">
      <c r="C2364" s="24"/>
      <c r="D2364" s="24"/>
      <c r="E2364" s="24"/>
      <c r="G2364" s="143"/>
      <c r="H2364" s="24"/>
      <c r="K2364" s="25"/>
      <c r="L2364" s="25"/>
      <c r="M2364" s="77"/>
      <c r="N2364" s="24" t="s">
        <v>4470</v>
      </c>
    </row>
    <row r="2365">
      <c r="C2365" s="24"/>
      <c r="D2365" s="24"/>
      <c r="E2365" s="24"/>
      <c r="G2365" s="143"/>
      <c r="H2365" s="24"/>
      <c r="K2365" s="25"/>
      <c r="L2365" s="25"/>
      <c r="M2365" s="77"/>
      <c r="N2365" s="24" t="s">
        <v>4471</v>
      </c>
    </row>
    <row r="2366">
      <c r="C2366" s="24"/>
      <c r="D2366" s="24"/>
      <c r="E2366" s="24"/>
      <c r="G2366" s="143"/>
      <c r="H2366" s="24"/>
      <c r="K2366" s="25"/>
      <c r="L2366" s="25"/>
      <c r="M2366" s="77"/>
      <c r="N2366" s="24" t="s">
        <v>4472</v>
      </c>
    </row>
    <row r="2367">
      <c r="C2367" s="24"/>
      <c r="D2367" s="24"/>
      <c r="E2367" s="24"/>
      <c r="G2367" s="143"/>
      <c r="H2367" s="24"/>
      <c r="K2367" s="25"/>
      <c r="L2367" s="25"/>
      <c r="M2367" s="77"/>
      <c r="N2367" s="24" t="s">
        <v>4473</v>
      </c>
    </row>
    <row r="2368">
      <c r="C2368" s="24"/>
      <c r="D2368" s="24"/>
      <c r="E2368" s="24"/>
      <c r="G2368" s="143"/>
      <c r="H2368" s="24"/>
      <c r="K2368" s="25"/>
      <c r="L2368" s="25"/>
      <c r="M2368" s="77"/>
      <c r="N2368" s="24" t="s">
        <v>4474</v>
      </c>
    </row>
    <row r="2369">
      <c r="C2369" s="24"/>
      <c r="D2369" s="24"/>
      <c r="E2369" s="24"/>
      <c r="G2369" s="143"/>
      <c r="H2369" s="24"/>
      <c r="K2369" s="25"/>
      <c r="L2369" s="25"/>
      <c r="M2369" s="77"/>
      <c r="N2369" s="24" t="s">
        <v>4475</v>
      </c>
    </row>
    <row r="2370">
      <c r="C2370" s="24"/>
      <c r="D2370" s="24"/>
      <c r="E2370" s="24"/>
      <c r="G2370" s="143"/>
      <c r="H2370" s="24"/>
      <c r="K2370" s="25"/>
      <c r="L2370" s="25"/>
      <c r="M2370" s="77"/>
      <c r="N2370" s="24" t="s">
        <v>4476</v>
      </c>
    </row>
    <row r="2371">
      <c r="C2371" s="24"/>
      <c r="D2371" s="24"/>
      <c r="E2371" s="24"/>
      <c r="G2371" s="143"/>
      <c r="H2371" s="24"/>
      <c r="K2371" s="25"/>
      <c r="L2371" s="25"/>
      <c r="M2371" s="77"/>
      <c r="N2371" s="24" t="s">
        <v>4477</v>
      </c>
    </row>
    <row r="2372">
      <c r="C2372" s="24"/>
      <c r="D2372" s="24"/>
      <c r="E2372" s="24"/>
      <c r="G2372" s="143"/>
      <c r="H2372" s="24"/>
      <c r="K2372" s="25"/>
      <c r="L2372" s="25"/>
      <c r="M2372" s="77"/>
      <c r="N2372" s="24" t="s">
        <v>4478</v>
      </c>
    </row>
    <row r="2373">
      <c r="C2373" s="24"/>
      <c r="D2373" s="24"/>
      <c r="E2373" s="24"/>
      <c r="G2373" s="143"/>
      <c r="H2373" s="24"/>
      <c r="K2373" s="25"/>
      <c r="L2373" s="25"/>
      <c r="M2373" s="77"/>
      <c r="N2373" s="24" t="s">
        <v>4479</v>
      </c>
    </row>
    <row r="2374">
      <c r="C2374" s="24"/>
      <c r="D2374" s="24"/>
      <c r="E2374" s="24"/>
      <c r="G2374" s="143"/>
      <c r="H2374" s="24"/>
      <c r="K2374" s="25"/>
      <c r="L2374" s="25"/>
      <c r="M2374" s="77"/>
      <c r="N2374" s="24" t="s">
        <v>4480</v>
      </c>
    </row>
    <row r="2375">
      <c r="C2375" s="24"/>
      <c r="D2375" s="24"/>
      <c r="E2375" s="24"/>
      <c r="G2375" s="143"/>
      <c r="H2375" s="24"/>
      <c r="K2375" s="25"/>
      <c r="L2375" s="25"/>
      <c r="M2375" s="77"/>
      <c r="N2375" s="24" t="s">
        <v>4481</v>
      </c>
    </row>
    <row r="2376">
      <c r="C2376" s="24"/>
      <c r="D2376" s="24"/>
      <c r="E2376" s="24"/>
      <c r="G2376" s="143"/>
      <c r="H2376" s="24"/>
      <c r="K2376" s="25"/>
      <c r="L2376" s="25"/>
      <c r="M2376" s="77"/>
      <c r="N2376" s="24" t="s">
        <v>4482</v>
      </c>
    </row>
    <row r="2377">
      <c r="C2377" s="24"/>
      <c r="D2377" s="24"/>
      <c r="E2377" s="24"/>
      <c r="G2377" s="143"/>
      <c r="H2377" s="24"/>
      <c r="K2377" s="25"/>
      <c r="L2377" s="25"/>
      <c r="M2377" s="77"/>
      <c r="N2377" s="24" t="s">
        <v>4483</v>
      </c>
    </row>
    <row r="2378">
      <c r="C2378" s="24"/>
      <c r="D2378" s="24"/>
      <c r="E2378" s="24"/>
      <c r="G2378" s="143"/>
      <c r="H2378" s="24"/>
      <c r="K2378" s="25"/>
      <c r="L2378" s="25"/>
      <c r="M2378" s="77"/>
      <c r="N2378" s="24" t="s">
        <v>4484</v>
      </c>
    </row>
    <row r="2379">
      <c r="C2379" s="24"/>
      <c r="D2379" s="24"/>
      <c r="E2379" s="24"/>
      <c r="G2379" s="143"/>
      <c r="H2379" s="24"/>
      <c r="K2379" s="25"/>
      <c r="L2379" s="25"/>
      <c r="M2379" s="77"/>
      <c r="N2379" s="24" t="s">
        <v>4485</v>
      </c>
    </row>
    <row r="2380">
      <c r="C2380" s="24"/>
      <c r="D2380" s="24"/>
      <c r="E2380" s="24"/>
      <c r="G2380" s="143"/>
      <c r="H2380" s="24"/>
      <c r="K2380" s="25"/>
      <c r="L2380" s="25"/>
      <c r="M2380" s="77"/>
      <c r="N2380" s="24" t="s">
        <v>4486</v>
      </c>
    </row>
    <row r="2381">
      <c r="C2381" s="24"/>
      <c r="D2381" s="24"/>
      <c r="E2381" s="24"/>
      <c r="G2381" s="143"/>
      <c r="H2381" s="24"/>
      <c r="K2381" s="25"/>
      <c r="L2381" s="25"/>
      <c r="M2381" s="77"/>
      <c r="N2381" s="24" t="s">
        <v>4487</v>
      </c>
    </row>
    <row r="2382">
      <c r="C2382" s="24"/>
      <c r="D2382" s="24"/>
      <c r="E2382" s="24"/>
      <c r="G2382" s="143"/>
      <c r="H2382" s="24"/>
      <c r="K2382" s="25"/>
      <c r="L2382" s="25"/>
      <c r="M2382" s="77"/>
      <c r="N2382" s="24" t="s">
        <v>4488</v>
      </c>
    </row>
    <row r="2383">
      <c r="C2383" s="24"/>
      <c r="D2383" s="24"/>
      <c r="E2383" s="24"/>
      <c r="G2383" s="143"/>
      <c r="H2383" s="24"/>
      <c r="K2383" s="25"/>
      <c r="L2383" s="25"/>
      <c r="M2383" s="77"/>
      <c r="N2383" s="24" t="s">
        <v>4489</v>
      </c>
    </row>
    <row r="2384">
      <c r="C2384" s="24"/>
      <c r="D2384" s="24"/>
      <c r="E2384" s="24"/>
      <c r="G2384" s="143"/>
      <c r="H2384" s="24"/>
      <c r="K2384" s="25"/>
      <c r="L2384" s="25"/>
      <c r="M2384" s="77"/>
      <c r="N2384" s="24" t="s">
        <v>4490</v>
      </c>
    </row>
    <row r="2385">
      <c r="C2385" s="24"/>
      <c r="D2385" s="24"/>
      <c r="E2385" s="24"/>
      <c r="G2385" s="143"/>
      <c r="H2385" s="24"/>
      <c r="K2385" s="25"/>
      <c r="L2385" s="25"/>
      <c r="M2385" s="77"/>
      <c r="N2385" s="24" t="s">
        <v>4491</v>
      </c>
    </row>
    <row r="2386">
      <c r="C2386" s="24"/>
      <c r="D2386" s="24"/>
      <c r="E2386" s="24"/>
      <c r="G2386" s="143"/>
      <c r="H2386" s="24"/>
      <c r="K2386" s="25"/>
      <c r="L2386" s="25"/>
      <c r="M2386" s="77"/>
      <c r="N2386" s="24" t="s">
        <v>4492</v>
      </c>
    </row>
    <row r="2387">
      <c r="C2387" s="24"/>
      <c r="D2387" s="24"/>
      <c r="E2387" s="24"/>
      <c r="G2387" s="143"/>
      <c r="H2387" s="24"/>
      <c r="K2387" s="25"/>
      <c r="L2387" s="25"/>
      <c r="M2387" s="77"/>
      <c r="N2387" s="24" t="s">
        <v>4493</v>
      </c>
    </row>
    <row r="2388">
      <c r="C2388" s="24"/>
      <c r="D2388" s="24"/>
      <c r="E2388" s="24"/>
      <c r="G2388" s="143"/>
      <c r="H2388" s="24"/>
      <c r="K2388" s="25"/>
      <c r="L2388" s="25"/>
      <c r="M2388" s="77"/>
      <c r="N2388" s="24" t="s">
        <v>4494</v>
      </c>
    </row>
    <row r="2389">
      <c r="C2389" s="24"/>
      <c r="D2389" s="24"/>
      <c r="E2389" s="24"/>
      <c r="G2389" s="143"/>
      <c r="H2389" s="24"/>
      <c r="K2389" s="25"/>
      <c r="L2389" s="25"/>
      <c r="M2389" s="77"/>
      <c r="N2389" s="24" t="s">
        <v>4495</v>
      </c>
    </row>
    <row r="2390">
      <c r="C2390" s="24"/>
      <c r="D2390" s="24"/>
      <c r="E2390" s="24"/>
      <c r="G2390" s="143"/>
      <c r="H2390" s="24"/>
      <c r="K2390" s="25"/>
      <c r="L2390" s="25"/>
      <c r="M2390" s="77"/>
      <c r="N2390" s="24" t="s">
        <v>4496</v>
      </c>
    </row>
    <row r="2391">
      <c r="C2391" s="24"/>
      <c r="D2391" s="24"/>
      <c r="E2391" s="24"/>
      <c r="G2391" s="143"/>
      <c r="H2391" s="24"/>
      <c r="K2391" s="25"/>
      <c r="L2391" s="25"/>
      <c r="M2391" s="77"/>
      <c r="N2391" s="24" t="s">
        <v>4497</v>
      </c>
    </row>
    <row r="2392">
      <c r="C2392" s="24"/>
      <c r="D2392" s="24"/>
      <c r="E2392" s="24"/>
      <c r="G2392" s="143"/>
      <c r="H2392" s="24"/>
      <c r="K2392" s="25"/>
      <c r="L2392" s="25"/>
      <c r="M2392" s="77"/>
      <c r="N2392" s="24" t="s">
        <v>4498</v>
      </c>
    </row>
    <row r="2393">
      <c r="C2393" s="24"/>
      <c r="D2393" s="24"/>
      <c r="E2393" s="24"/>
      <c r="G2393" s="143"/>
      <c r="H2393" s="24"/>
      <c r="K2393" s="25"/>
      <c r="L2393" s="25"/>
      <c r="M2393" s="77"/>
      <c r="N2393" s="24" t="s">
        <v>4499</v>
      </c>
    </row>
    <row r="2394">
      <c r="C2394" s="24"/>
      <c r="D2394" s="24"/>
      <c r="E2394" s="24"/>
      <c r="G2394" s="143"/>
      <c r="H2394" s="24"/>
      <c r="K2394" s="25"/>
      <c r="L2394" s="25"/>
      <c r="M2394" s="77"/>
      <c r="N2394" s="24" t="s">
        <v>4500</v>
      </c>
    </row>
    <row r="2395">
      <c r="C2395" s="24"/>
      <c r="D2395" s="24"/>
      <c r="E2395" s="24"/>
      <c r="G2395" s="143"/>
      <c r="H2395" s="24"/>
      <c r="K2395" s="25"/>
      <c r="L2395" s="25"/>
      <c r="M2395" s="77"/>
      <c r="N2395" s="24" t="s">
        <v>4501</v>
      </c>
    </row>
    <row r="2396">
      <c r="C2396" s="24"/>
      <c r="D2396" s="24"/>
      <c r="E2396" s="24"/>
      <c r="G2396" s="143"/>
      <c r="H2396" s="24"/>
      <c r="K2396" s="25"/>
      <c r="L2396" s="25"/>
      <c r="M2396" s="77"/>
      <c r="N2396" s="24" t="s">
        <v>4502</v>
      </c>
    </row>
    <row r="2397">
      <c r="C2397" s="24"/>
      <c r="D2397" s="24"/>
      <c r="E2397" s="24"/>
      <c r="G2397" s="143"/>
      <c r="H2397" s="24"/>
      <c r="K2397" s="25"/>
      <c r="L2397" s="25"/>
      <c r="M2397" s="77"/>
      <c r="N2397" s="24" t="s">
        <v>4503</v>
      </c>
    </row>
    <row r="2398">
      <c r="C2398" s="24"/>
      <c r="D2398" s="24"/>
      <c r="E2398" s="24"/>
      <c r="G2398" s="143"/>
      <c r="H2398" s="24"/>
      <c r="K2398" s="25"/>
      <c r="L2398" s="25"/>
      <c r="M2398" s="77"/>
      <c r="N2398" s="24" t="s">
        <v>4504</v>
      </c>
    </row>
    <row r="2399">
      <c r="C2399" s="24"/>
      <c r="D2399" s="24"/>
      <c r="E2399" s="24"/>
      <c r="G2399" s="143"/>
      <c r="H2399" s="24"/>
      <c r="K2399" s="25"/>
      <c r="L2399" s="25"/>
      <c r="M2399" s="77"/>
      <c r="N2399" s="24" t="s">
        <v>4505</v>
      </c>
    </row>
    <row r="2400">
      <c r="C2400" s="24"/>
      <c r="D2400" s="24"/>
      <c r="E2400" s="24"/>
      <c r="G2400" s="143"/>
      <c r="H2400" s="24"/>
      <c r="K2400" s="25"/>
      <c r="L2400" s="25"/>
      <c r="M2400" s="77"/>
      <c r="N2400" s="24" t="s">
        <v>4506</v>
      </c>
    </row>
    <row r="2401">
      <c r="C2401" s="24"/>
      <c r="D2401" s="24"/>
      <c r="E2401" s="24"/>
      <c r="G2401" s="143"/>
      <c r="H2401" s="24"/>
      <c r="K2401" s="25"/>
      <c r="L2401" s="25"/>
      <c r="M2401" s="77"/>
      <c r="N2401" s="24" t="s">
        <v>4507</v>
      </c>
    </row>
    <row r="2402">
      <c r="C2402" s="24"/>
      <c r="D2402" s="24"/>
      <c r="E2402" s="24"/>
      <c r="G2402" s="143"/>
      <c r="H2402" s="24"/>
      <c r="K2402" s="25"/>
      <c r="L2402" s="25"/>
      <c r="M2402" s="77"/>
      <c r="N2402" s="24" t="s">
        <v>4508</v>
      </c>
    </row>
    <row r="2403">
      <c r="C2403" s="24"/>
      <c r="D2403" s="24"/>
      <c r="E2403" s="24"/>
      <c r="G2403" s="143"/>
      <c r="H2403" s="24"/>
      <c r="K2403" s="25"/>
      <c r="L2403" s="25"/>
      <c r="M2403" s="77"/>
      <c r="N2403" s="24" t="s">
        <v>4509</v>
      </c>
    </row>
    <row r="2404">
      <c r="C2404" s="24"/>
      <c r="D2404" s="24"/>
      <c r="E2404" s="24"/>
      <c r="G2404" s="143"/>
      <c r="H2404" s="24"/>
      <c r="K2404" s="25"/>
      <c r="L2404" s="25"/>
      <c r="M2404" s="77"/>
      <c r="N2404" s="24" t="s">
        <v>4510</v>
      </c>
    </row>
    <row r="2405">
      <c r="C2405" s="24"/>
      <c r="D2405" s="24"/>
      <c r="E2405" s="24"/>
      <c r="G2405" s="143"/>
      <c r="H2405" s="24"/>
      <c r="K2405" s="25"/>
      <c r="L2405" s="25"/>
      <c r="M2405" s="77"/>
      <c r="N2405" s="24" t="s">
        <v>4511</v>
      </c>
    </row>
    <row r="2406">
      <c r="C2406" s="24"/>
      <c r="D2406" s="24"/>
      <c r="E2406" s="24"/>
      <c r="G2406" s="143"/>
      <c r="H2406" s="24"/>
      <c r="K2406" s="25"/>
      <c r="L2406" s="25"/>
      <c r="M2406" s="77"/>
      <c r="N2406" s="24" t="s">
        <v>4512</v>
      </c>
    </row>
    <row r="2407">
      <c r="C2407" s="24"/>
      <c r="D2407" s="24"/>
      <c r="E2407" s="24"/>
      <c r="G2407" s="143"/>
      <c r="H2407" s="24"/>
      <c r="K2407" s="25"/>
      <c r="L2407" s="25"/>
      <c r="M2407" s="77"/>
      <c r="N2407" s="24" t="s">
        <v>4513</v>
      </c>
    </row>
    <row r="2408">
      <c r="C2408" s="24"/>
      <c r="D2408" s="24"/>
      <c r="E2408" s="24"/>
      <c r="G2408" s="143"/>
      <c r="H2408" s="24"/>
      <c r="K2408" s="25"/>
      <c r="L2408" s="25"/>
      <c r="M2408" s="77"/>
      <c r="N2408" s="24" t="s">
        <v>4514</v>
      </c>
    </row>
    <row r="2409">
      <c r="C2409" s="24"/>
      <c r="D2409" s="24"/>
      <c r="E2409" s="24"/>
      <c r="G2409" s="143"/>
      <c r="H2409" s="24"/>
      <c r="K2409" s="25"/>
      <c r="L2409" s="25"/>
      <c r="M2409" s="77"/>
      <c r="N2409" s="24" t="s">
        <v>4515</v>
      </c>
    </row>
    <row r="2410">
      <c r="C2410" s="24"/>
      <c r="D2410" s="24"/>
      <c r="E2410" s="24"/>
      <c r="G2410" s="143"/>
      <c r="H2410" s="24"/>
      <c r="K2410" s="25"/>
      <c r="L2410" s="25"/>
      <c r="M2410" s="77"/>
      <c r="N2410" s="24" t="s">
        <v>4516</v>
      </c>
    </row>
    <row r="2411">
      <c r="C2411" s="24"/>
      <c r="D2411" s="24"/>
      <c r="E2411" s="24"/>
      <c r="G2411" s="143"/>
      <c r="H2411" s="24"/>
      <c r="K2411" s="25"/>
      <c r="L2411" s="25"/>
      <c r="M2411" s="77"/>
      <c r="N2411" s="24" t="s">
        <v>4517</v>
      </c>
    </row>
    <row r="2412">
      <c r="C2412" s="24"/>
      <c r="D2412" s="24"/>
      <c r="E2412" s="24"/>
      <c r="G2412" s="143"/>
      <c r="H2412" s="24"/>
      <c r="K2412" s="25"/>
      <c r="L2412" s="25"/>
      <c r="M2412" s="77"/>
      <c r="N2412" s="24" t="s">
        <v>4518</v>
      </c>
    </row>
    <row r="2413">
      <c r="C2413" s="24"/>
      <c r="D2413" s="24"/>
      <c r="E2413" s="24"/>
      <c r="G2413" s="143"/>
      <c r="H2413" s="24"/>
      <c r="K2413" s="25"/>
      <c r="L2413" s="25"/>
      <c r="M2413" s="77"/>
      <c r="N2413" s="24" t="s">
        <v>4519</v>
      </c>
    </row>
    <row r="2414">
      <c r="C2414" s="24"/>
      <c r="D2414" s="24"/>
      <c r="E2414" s="24"/>
      <c r="G2414" s="143"/>
      <c r="H2414" s="24"/>
      <c r="K2414" s="25"/>
      <c r="L2414" s="25"/>
      <c r="M2414" s="77"/>
      <c r="N2414" s="24" t="s">
        <v>4520</v>
      </c>
    </row>
    <row r="2415">
      <c r="C2415" s="24"/>
      <c r="D2415" s="24"/>
      <c r="E2415" s="24"/>
      <c r="G2415" s="143"/>
      <c r="H2415" s="24"/>
      <c r="K2415" s="25"/>
      <c r="L2415" s="25"/>
      <c r="M2415" s="77"/>
      <c r="N2415" s="24" t="s">
        <v>4521</v>
      </c>
    </row>
    <row r="2416">
      <c r="C2416" s="24"/>
      <c r="D2416" s="24"/>
      <c r="E2416" s="24"/>
      <c r="G2416" s="143"/>
      <c r="H2416" s="24"/>
      <c r="K2416" s="25"/>
      <c r="L2416" s="25"/>
      <c r="M2416" s="77"/>
      <c r="N2416" s="24" t="s">
        <v>4522</v>
      </c>
    </row>
    <row r="2417">
      <c r="C2417" s="24"/>
      <c r="D2417" s="24"/>
      <c r="E2417" s="24"/>
      <c r="G2417" s="143"/>
      <c r="H2417" s="24"/>
      <c r="K2417" s="25"/>
      <c r="L2417" s="25"/>
      <c r="M2417" s="77"/>
      <c r="N2417" s="24" t="s">
        <v>4523</v>
      </c>
    </row>
    <row r="2418">
      <c r="C2418" s="24"/>
      <c r="D2418" s="24"/>
      <c r="E2418" s="24"/>
      <c r="G2418" s="143"/>
      <c r="H2418" s="24"/>
      <c r="K2418" s="25"/>
      <c r="L2418" s="25"/>
      <c r="M2418" s="77"/>
      <c r="N2418" s="24" t="s">
        <v>4524</v>
      </c>
    </row>
    <row r="2419">
      <c r="C2419" s="24"/>
      <c r="D2419" s="24"/>
      <c r="E2419" s="24"/>
      <c r="G2419" s="143"/>
      <c r="H2419" s="24"/>
      <c r="K2419" s="25"/>
      <c r="L2419" s="25"/>
      <c r="M2419" s="77"/>
      <c r="N2419" s="24" t="s">
        <v>4525</v>
      </c>
    </row>
    <row r="2420">
      <c r="C2420" s="24"/>
      <c r="D2420" s="24"/>
      <c r="E2420" s="24"/>
      <c r="G2420" s="143"/>
      <c r="H2420" s="24"/>
      <c r="K2420" s="25"/>
      <c r="L2420" s="25"/>
      <c r="M2420" s="77"/>
      <c r="N2420" s="24" t="s">
        <v>4526</v>
      </c>
    </row>
    <row r="2421">
      <c r="C2421" s="24"/>
      <c r="D2421" s="24"/>
      <c r="E2421" s="24"/>
      <c r="G2421" s="143"/>
      <c r="H2421" s="24"/>
      <c r="K2421" s="25"/>
      <c r="L2421" s="25"/>
      <c r="M2421" s="77"/>
      <c r="N2421" s="24" t="s">
        <v>4527</v>
      </c>
    </row>
    <row r="2422">
      <c r="C2422" s="24"/>
      <c r="D2422" s="24"/>
      <c r="E2422" s="24"/>
      <c r="G2422" s="143"/>
      <c r="H2422" s="24"/>
      <c r="K2422" s="25"/>
      <c r="L2422" s="25"/>
      <c r="M2422" s="77"/>
      <c r="N2422" s="24" t="s">
        <v>4528</v>
      </c>
    </row>
    <row r="2423">
      <c r="C2423" s="24"/>
      <c r="D2423" s="24"/>
      <c r="E2423" s="24"/>
      <c r="G2423" s="143"/>
      <c r="H2423" s="24"/>
      <c r="K2423" s="25"/>
      <c r="L2423" s="25"/>
      <c r="M2423" s="77"/>
      <c r="N2423" s="24" t="s">
        <v>4529</v>
      </c>
    </row>
    <row r="2424">
      <c r="C2424" s="24"/>
      <c r="D2424" s="24"/>
      <c r="E2424" s="24"/>
      <c r="G2424" s="143"/>
      <c r="H2424" s="24"/>
      <c r="K2424" s="25"/>
      <c r="L2424" s="25"/>
      <c r="M2424" s="77"/>
      <c r="N2424" s="24" t="s">
        <v>4530</v>
      </c>
    </row>
    <row r="2425">
      <c r="C2425" s="24"/>
      <c r="D2425" s="24"/>
      <c r="E2425" s="24"/>
      <c r="G2425" s="143"/>
      <c r="H2425" s="24"/>
      <c r="K2425" s="25"/>
      <c r="L2425" s="25"/>
      <c r="M2425" s="77"/>
      <c r="N2425" s="24" t="s">
        <v>4531</v>
      </c>
    </row>
    <row r="2426">
      <c r="C2426" s="24"/>
      <c r="D2426" s="24"/>
      <c r="E2426" s="24"/>
      <c r="G2426" s="143"/>
      <c r="H2426" s="24"/>
      <c r="K2426" s="25"/>
      <c r="L2426" s="25"/>
      <c r="M2426" s="77"/>
      <c r="N2426" s="24" t="s">
        <v>4532</v>
      </c>
    </row>
    <row r="2427">
      <c r="C2427" s="24"/>
      <c r="D2427" s="24"/>
      <c r="E2427" s="24"/>
      <c r="G2427" s="143"/>
      <c r="H2427" s="24"/>
      <c r="K2427" s="25"/>
      <c r="L2427" s="25"/>
      <c r="M2427" s="77"/>
      <c r="N2427" s="24" t="s">
        <v>4533</v>
      </c>
    </row>
    <row r="2428">
      <c r="C2428" s="24"/>
      <c r="D2428" s="24"/>
      <c r="E2428" s="24"/>
      <c r="G2428" s="143"/>
      <c r="H2428" s="24"/>
      <c r="K2428" s="25"/>
      <c r="L2428" s="25"/>
      <c r="M2428" s="77"/>
      <c r="N2428" s="24" t="s">
        <v>4534</v>
      </c>
    </row>
    <row r="2429">
      <c r="C2429" s="24"/>
      <c r="D2429" s="24"/>
      <c r="E2429" s="24"/>
      <c r="G2429" s="143"/>
      <c r="H2429" s="24"/>
      <c r="K2429" s="25"/>
      <c r="L2429" s="25"/>
      <c r="M2429" s="77"/>
      <c r="N2429" s="24" t="s">
        <v>4535</v>
      </c>
    </row>
    <row r="2430">
      <c r="C2430" s="24"/>
      <c r="D2430" s="24"/>
      <c r="E2430" s="24"/>
      <c r="G2430" s="143"/>
      <c r="H2430" s="24"/>
      <c r="K2430" s="25"/>
      <c r="L2430" s="25"/>
      <c r="M2430" s="77"/>
      <c r="N2430" s="24" t="s">
        <v>4536</v>
      </c>
    </row>
    <row r="2431">
      <c r="C2431" s="24"/>
      <c r="D2431" s="24"/>
      <c r="E2431" s="24"/>
      <c r="G2431" s="143"/>
      <c r="H2431" s="24"/>
      <c r="K2431" s="25"/>
      <c r="L2431" s="25"/>
      <c r="M2431" s="77"/>
      <c r="N2431" s="24" t="s">
        <v>4537</v>
      </c>
    </row>
    <row r="2432">
      <c r="C2432" s="24"/>
      <c r="D2432" s="24"/>
      <c r="E2432" s="24"/>
      <c r="G2432" s="143"/>
      <c r="H2432" s="24"/>
      <c r="K2432" s="25"/>
      <c r="L2432" s="25"/>
      <c r="M2432" s="77"/>
      <c r="N2432" s="24" t="s">
        <v>4538</v>
      </c>
    </row>
    <row r="2433">
      <c r="C2433" s="24"/>
      <c r="D2433" s="24"/>
      <c r="E2433" s="24"/>
      <c r="G2433" s="143"/>
      <c r="H2433" s="24"/>
      <c r="K2433" s="25"/>
      <c r="L2433" s="25"/>
      <c r="M2433" s="77"/>
      <c r="N2433" s="24" t="s">
        <v>4539</v>
      </c>
    </row>
    <row r="2434">
      <c r="C2434" s="24"/>
      <c r="D2434" s="24"/>
      <c r="E2434" s="24"/>
      <c r="G2434" s="143"/>
      <c r="H2434" s="24"/>
      <c r="K2434" s="25"/>
      <c r="L2434" s="25"/>
      <c r="M2434" s="77"/>
      <c r="N2434" s="24" t="s">
        <v>4540</v>
      </c>
    </row>
    <row r="2435">
      <c r="C2435" s="24"/>
      <c r="D2435" s="24"/>
      <c r="E2435" s="24"/>
      <c r="G2435" s="143"/>
      <c r="H2435" s="24"/>
      <c r="K2435" s="25"/>
      <c r="L2435" s="25"/>
      <c r="M2435" s="77"/>
      <c r="N2435" s="24" t="s">
        <v>4541</v>
      </c>
    </row>
    <row r="2436">
      <c r="C2436" s="24"/>
      <c r="D2436" s="24"/>
      <c r="E2436" s="24"/>
      <c r="G2436" s="143"/>
      <c r="H2436" s="24"/>
      <c r="K2436" s="25"/>
      <c r="L2436" s="25"/>
      <c r="M2436" s="77"/>
      <c r="N2436" s="24" t="s">
        <v>4542</v>
      </c>
    </row>
    <row r="2437">
      <c r="C2437" s="24"/>
      <c r="D2437" s="24"/>
      <c r="E2437" s="24"/>
      <c r="G2437" s="143"/>
      <c r="H2437" s="24"/>
      <c r="K2437" s="25"/>
      <c r="L2437" s="25"/>
      <c r="M2437" s="77"/>
      <c r="N2437" s="24" t="s">
        <v>4543</v>
      </c>
    </row>
    <row r="2438">
      <c r="C2438" s="24"/>
      <c r="D2438" s="24"/>
      <c r="E2438" s="24"/>
      <c r="G2438" s="143"/>
      <c r="H2438" s="24"/>
      <c r="K2438" s="25"/>
      <c r="L2438" s="25"/>
      <c r="M2438" s="77"/>
      <c r="N2438" s="24" t="s">
        <v>4544</v>
      </c>
    </row>
    <row r="2439">
      <c r="C2439" s="24"/>
      <c r="D2439" s="24"/>
      <c r="E2439" s="24"/>
      <c r="G2439" s="143"/>
      <c r="H2439" s="24"/>
      <c r="K2439" s="25"/>
      <c r="L2439" s="25"/>
      <c r="M2439" s="77"/>
      <c r="N2439" s="24" t="s">
        <v>4545</v>
      </c>
    </row>
    <row r="2440">
      <c r="C2440" s="24"/>
      <c r="D2440" s="24"/>
      <c r="E2440" s="24"/>
      <c r="G2440" s="143"/>
      <c r="H2440" s="24"/>
      <c r="K2440" s="25"/>
      <c r="L2440" s="25"/>
      <c r="M2440" s="77"/>
      <c r="N2440" s="24" t="s">
        <v>4546</v>
      </c>
    </row>
    <row r="2441">
      <c r="C2441" s="24"/>
      <c r="D2441" s="24"/>
      <c r="E2441" s="24"/>
      <c r="G2441" s="143"/>
      <c r="H2441" s="24"/>
      <c r="K2441" s="25"/>
      <c r="L2441" s="25"/>
      <c r="M2441" s="77"/>
      <c r="N2441" s="24" t="s">
        <v>4547</v>
      </c>
    </row>
    <row r="2442">
      <c r="C2442" s="24"/>
      <c r="D2442" s="24"/>
      <c r="E2442" s="24"/>
      <c r="G2442" s="143"/>
      <c r="H2442" s="24"/>
      <c r="K2442" s="25"/>
      <c r="L2442" s="25"/>
      <c r="M2442" s="77"/>
      <c r="N2442" s="24" t="s">
        <v>4548</v>
      </c>
    </row>
    <row r="2443">
      <c r="C2443" s="24"/>
      <c r="D2443" s="24"/>
      <c r="E2443" s="24"/>
      <c r="G2443" s="143"/>
      <c r="H2443" s="24"/>
      <c r="K2443" s="25"/>
      <c r="L2443" s="25"/>
      <c r="M2443" s="77"/>
      <c r="N2443" s="24" t="s">
        <v>4549</v>
      </c>
    </row>
    <row r="2444">
      <c r="C2444" s="24"/>
      <c r="D2444" s="24"/>
      <c r="E2444" s="24"/>
      <c r="G2444" s="143"/>
      <c r="H2444" s="24"/>
      <c r="K2444" s="25"/>
      <c r="L2444" s="25"/>
      <c r="M2444" s="77"/>
      <c r="N2444" s="24" t="s">
        <v>4550</v>
      </c>
    </row>
    <row r="2445">
      <c r="C2445" s="24"/>
      <c r="D2445" s="24"/>
      <c r="E2445" s="24"/>
      <c r="G2445" s="143"/>
      <c r="H2445" s="24"/>
      <c r="K2445" s="25"/>
      <c r="L2445" s="25"/>
      <c r="M2445" s="77"/>
      <c r="N2445" s="24" t="s">
        <v>4551</v>
      </c>
    </row>
    <row r="2446">
      <c r="C2446" s="24"/>
      <c r="D2446" s="24"/>
      <c r="E2446" s="24"/>
      <c r="G2446" s="143"/>
      <c r="H2446" s="24"/>
      <c r="K2446" s="25"/>
      <c r="L2446" s="25"/>
      <c r="M2446" s="77"/>
      <c r="N2446" s="24" t="s">
        <v>4552</v>
      </c>
    </row>
    <row r="2447">
      <c r="C2447" s="24"/>
      <c r="D2447" s="24"/>
      <c r="E2447" s="24"/>
      <c r="G2447" s="143"/>
      <c r="H2447" s="24"/>
      <c r="K2447" s="25"/>
      <c r="L2447" s="25"/>
      <c r="M2447" s="77"/>
      <c r="N2447" s="134" t="s">
        <v>4553</v>
      </c>
    </row>
    <row r="2448">
      <c r="C2448" s="24"/>
      <c r="D2448" s="24"/>
      <c r="E2448" s="24"/>
      <c r="G2448" s="143"/>
      <c r="H2448" s="24"/>
      <c r="K2448" s="25"/>
      <c r="L2448" s="25"/>
      <c r="M2448" s="77"/>
      <c r="N2448" s="24" t="s">
        <v>4554</v>
      </c>
    </row>
    <row r="2449">
      <c r="C2449" s="24"/>
      <c r="D2449" s="24"/>
      <c r="E2449" s="24"/>
      <c r="G2449" s="143"/>
      <c r="H2449" s="24"/>
      <c r="K2449" s="25"/>
      <c r="L2449" s="25"/>
      <c r="M2449" s="77"/>
      <c r="N2449" s="24" t="s">
        <v>4555</v>
      </c>
    </row>
    <row r="2450">
      <c r="C2450" s="24"/>
      <c r="D2450" s="24"/>
      <c r="E2450" s="24"/>
      <c r="G2450" s="143"/>
      <c r="H2450" s="24"/>
      <c r="K2450" s="25"/>
      <c r="L2450" s="25"/>
      <c r="M2450" s="77"/>
      <c r="N2450" s="24" t="s">
        <v>4556</v>
      </c>
    </row>
    <row r="2451">
      <c r="C2451" s="24"/>
      <c r="D2451" s="24"/>
      <c r="E2451" s="24"/>
      <c r="G2451" s="143"/>
      <c r="H2451" s="24"/>
      <c r="K2451" s="25"/>
      <c r="L2451" s="25"/>
      <c r="M2451" s="77"/>
      <c r="N2451" s="24" t="s">
        <v>4557</v>
      </c>
    </row>
    <row r="2452">
      <c r="C2452" s="24"/>
      <c r="D2452" s="24"/>
      <c r="E2452" s="24"/>
      <c r="G2452" s="143"/>
      <c r="H2452" s="24"/>
      <c r="K2452" s="25"/>
      <c r="L2452" s="25"/>
      <c r="M2452" s="77"/>
      <c r="N2452" s="24" t="s">
        <v>4558</v>
      </c>
    </row>
    <row r="2453">
      <c r="C2453" s="24"/>
      <c r="D2453" s="24"/>
      <c r="E2453" s="24"/>
      <c r="G2453" s="143"/>
      <c r="H2453" s="24"/>
      <c r="K2453" s="25"/>
      <c r="L2453" s="25"/>
      <c r="M2453" s="77"/>
      <c r="N2453" s="24" t="s">
        <v>4559</v>
      </c>
    </row>
    <row r="2454">
      <c r="C2454" s="24"/>
      <c r="D2454" s="24"/>
      <c r="E2454" s="24"/>
      <c r="G2454" s="143"/>
      <c r="H2454" s="24"/>
      <c r="K2454" s="25"/>
      <c r="L2454" s="25"/>
      <c r="M2454" s="77"/>
      <c r="N2454" s="24" t="s">
        <v>4560</v>
      </c>
    </row>
    <row r="2455">
      <c r="C2455" s="24"/>
      <c r="D2455" s="24"/>
      <c r="E2455" s="24"/>
      <c r="G2455" s="143"/>
      <c r="H2455" s="24"/>
      <c r="K2455" s="25"/>
      <c r="L2455" s="25"/>
      <c r="M2455" s="77"/>
      <c r="N2455" s="24" t="s">
        <v>4561</v>
      </c>
    </row>
    <row r="2456">
      <c r="C2456" s="24"/>
      <c r="D2456" s="24"/>
      <c r="E2456" s="24"/>
      <c r="G2456" s="143"/>
      <c r="H2456" s="24"/>
      <c r="K2456" s="25"/>
      <c r="L2456" s="25"/>
      <c r="M2456" s="77"/>
      <c r="N2456" s="24" t="s">
        <v>4562</v>
      </c>
    </row>
    <row r="2457">
      <c r="C2457" s="24"/>
      <c r="D2457" s="24"/>
      <c r="E2457" s="24"/>
      <c r="G2457" s="143"/>
      <c r="H2457" s="24"/>
      <c r="K2457" s="25"/>
      <c r="L2457" s="25"/>
      <c r="M2457" s="77"/>
      <c r="N2457" s="24" t="s">
        <v>4563</v>
      </c>
    </row>
    <row r="2458">
      <c r="C2458" s="24"/>
      <c r="D2458" s="24"/>
      <c r="E2458" s="24"/>
      <c r="G2458" s="143"/>
      <c r="H2458" s="24"/>
      <c r="K2458" s="25"/>
      <c r="L2458" s="25"/>
      <c r="M2458" s="77"/>
      <c r="N2458" s="24" t="s">
        <v>4564</v>
      </c>
    </row>
    <row r="2459">
      <c r="C2459" s="24"/>
      <c r="D2459" s="24"/>
      <c r="E2459" s="24"/>
      <c r="G2459" s="143"/>
      <c r="H2459" s="24"/>
      <c r="K2459" s="25"/>
      <c r="L2459" s="25"/>
      <c r="M2459" s="77"/>
      <c r="N2459" s="24" t="s">
        <v>4565</v>
      </c>
    </row>
    <row r="2460">
      <c r="C2460" s="24"/>
      <c r="D2460" s="24"/>
      <c r="E2460" s="24"/>
      <c r="G2460" s="143"/>
      <c r="H2460" s="24"/>
      <c r="K2460" s="25"/>
      <c r="L2460" s="25"/>
      <c r="M2460" s="77"/>
      <c r="N2460" s="24" t="s">
        <v>4566</v>
      </c>
    </row>
    <row r="2461">
      <c r="C2461" s="24"/>
      <c r="D2461" s="24"/>
      <c r="E2461" s="24"/>
      <c r="G2461" s="143"/>
      <c r="H2461" s="24"/>
      <c r="K2461" s="25"/>
      <c r="L2461" s="25"/>
      <c r="M2461" s="77"/>
      <c r="N2461" s="24" t="s">
        <v>4567</v>
      </c>
    </row>
    <row r="2462">
      <c r="C2462" s="24"/>
      <c r="D2462" s="24"/>
      <c r="E2462" s="24"/>
      <c r="G2462" s="143"/>
      <c r="H2462" s="24"/>
      <c r="K2462" s="25"/>
      <c r="L2462" s="25"/>
      <c r="M2462" s="77"/>
      <c r="N2462" s="24" t="s">
        <v>4568</v>
      </c>
    </row>
    <row r="2463">
      <c r="C2463" s="24"/>
      <c r="D2463" s="24"/>
      <c r="E2463" s="24"/>
      <c r="G2463" s="143"/>
      <c r="H2463" s="24"/>
      <c r="K2463" s="25"/>
      <c r="L2463" s="25"/>
      <c r="M2463" s="77"/>
      <c r="N2463" s="24" t="s">
        <v>4569</v>
      </c>
    </row>
    <row r="2464">
      <c r="C2464" s="24"/>
      <c r="D2464" s="24"/>
      <c r="E2464" s="24"/>
      <c r="G2464" s="143"/>
      <c r="H2464" s="24"/>
      <c r="K2464" s="25"/>
      <c r="L2464" s="25"/>
      <c r="M2464" s="77"/>
      <c r="N2464" s="24" t="s">
        <v>4570</v>
      </c>
    </row>
    <row r="2465">
      <c r="C2465" s="24"/>
      <c r="D2465" s="24"/>
      <c r="E2465" s="24"/>
      <c r="G2465" s="143"/>
      <c r="H2465" s="24"/>
      <c r="K2465" s="25"/>
      <c r="L2465" s="25"/>
      <c r="M2465" s="77"/>
      <c r="N2465" s="24" t="s">
        <v>4571</v>
      </c>
    </row>
    <row r="2466">
      <c r="C2466" s="24"/>
      <c r="D2466" s="24"/>
      <c r="E2466" s="24"/>
      <c r="G2466" s="143"/>
      <c r="H2466" s="24"/>
      <c r="K2466" s="25"/>
      <c r="L2466" s="25"/>
      <c r="M2466" s="77"/>
      <c r="N2466" s="24" t="s">
        <v>4572</v>
      </c>
    </row>
    <row r="2467">
      <c r="C2467" s="24"/>
      <c r="D2467" s="24"/>
      <c r="E2467" s="24"/>
      <c r="G2467" s="143"/>
      <c r="H2467" s="24"/>
      <c r="K2467" s="25"/>
      <c r="L2467" s="25"/>
      <c r="M2467" s="77"/>
      <c r="N2467" s="24" t="s">
        <v>4573</v>
      </c>
    </row>
    <row r="2468">
      <c r="C2468" s="24"/>
      <c r="D2468" s="24"/>
      <c r="E2468" s="24"/>
      <c r="G2468" s="143"/>
      <c r="H2468" s="24"/>
      <c r="K2468" s="25"/>
      <c r="L2468" s="25"/>
      <c r="M2468" s="77"/>
      <c r="N2468" s="24" t="s">
        <v>4574</v>
      </c>
    </row>
    <row r="2469">
      <c r="C2469" s="24"/>
      <c r="D2469" s="24"/>
      <c r="E2469" s="24"/>
      <c r="G2469" s="143"/>
      <c r="H2469" s="24"/>
      <c r="K2469" s="25"/>
      <c r="L2469" s="25"/>
      <c r="M2469" s="77"/>
      <c r="N2469" s="24" t="s">
        <v>4575</v>
      </c>
    </row>
    <row r="2470">
      <c r="C2470" s="24"/>
      <c r="D2470" s="24"/>
      <c r="E2470" s="24"/>
      <c r="G2470" s="143"/>
      <c r="H2470" s="24"/>
      <c r="K2470" s="25"/>
      <c r="L2470" s="25"/>
      <c r="M2470" s="77"/>
      <c r="N2470" s="24" t="s">
        <v>4576</v>
      </c>
    </row>
    <row r="2471">
      <c r="C2471" s="24"/>
      <c r="D2471" s="24"/>
      <c r="E2471" s="24"/>
      <c r="G2471" s="143"/>
      <c r="H2471" s="24"/>
      <c r="K2471" s="25"/>
      <c r="L2471" s="25"/>
      <c r="M2471" s="77"/>
      <c r="N2471" s="24" t="s">
        <v>4577</v>
      </c>
    </row>
    <row r="2472">
      <c r="C2472" s="24"/>
      <c r="D2472" s="24"/>
      <c r="E2472" s="24"/>
      <c r="G2472" s="143"/>
      <c r="H2472" s="24"/>
      <c r="K2472" s="25"/>
      <c r="L2472" s="25"/>
      <c r="M2472" s="77"/>
      <c r="N2472" s="24" t="s">
        <v>4578</v>
      </c>
    </row>
    <row r="2473">
      <c r="C2473" s="24"/>
      <c r="D2473" s="24"/>
      <c r="E2473" s="24"/>
      <c r="G2473" s="143"/>
      <c r="H2473" s="24"/>
      <c r="K2473" s="25"/>
      <c r="L2473" s="25"/>
      <c r="M2473" s="77"/>
      <c r="N2473" s="24" t="s">
        <v>4579</v>
      </c>
    </row>
    <row r="2474">
      <c r="C2474" s="24"/>
      <c r="D2474" s="24"/>
      <c r="E2474" s="24"/>
      <c r="G2474" s="143"/>
      <c r="H2474" s="24"/>
      <c r="K2474" s="25"/>
      <c r="L2474" s="25"/>
      <c r="M2474" s="77"/>
      <c r="N2474" s="24" t="s">
        <v>4580</v>
      </c>
    </row>
    <row r="2475">
      <c r="C2475" s="24"/>
      <c r="D2475" s="24"/>
      <c r="E2475" s="24"/>
      <c r="G2475" s="143"/>
      <c r="H2475" s="24"/>
      <c r="K2475" s="25"/>
      <c r="L2475" s="25"/>
      <c r="M2475" s="77"/>
      <c r="N2475" s="24" t="s">
        <v>4581</v>
      </c>
    </row>
    <row r="2476">
      <c r="C2476" s="24"/>
      <c r="D2476" s="24"/>
      <c r="E2476" s="24"/>
      <c r="G2476" s="143"/>
      <c r="H2476" s="24"/>
      <c r="K2476" s="25"/>
      <c r="L2476" s="25"/>
      <c r="M2476" s="77"/>
      <c r="N2476" s="24" t="s">
        <v>4582</v>
      </c>
    </row>
    <row r="2477">
      <c r="C2477" s="24"/>
      <c r="D2477" s="24"/>
      <c r="E2477" s="24"/>
      <c r="G2477" s="143"/>
      <c r="H2477" s="24"/>
      <c r="K2477" s="25"/>
      <c r="L2477" s="25"/>
      <c r="M2477" s="77"/>
      <c r="N2477" s="24" t="s">
        <v>4583</v>
      </c>
    </row>
    <row r="2478">
      <c r="C2478" s="24"/>
      <c r="D2478" s="24"/>
      <c r="E2478" s="24"/>
      <c r="G2478" s="143"/>
      <c r="H2478" s="24"/>
      <c r="K2478" s="25"/>
      <c r="L2478" s="25"/>
      <c r="M2478" s="77"/>
      <c r="N2478" s="24" t="s">
        <v>4584</v>
      </c>
    </row>
    <row r="2479">
      <c r="C2479" s="24"/>
      <c r="D2479" s="24"/>
      <c r="E2479" s="24"/>
      <c r="G2479" s="143"/>
      <c r="H2479" s="24"/>
      <c r="K2479" s="25"/>
      <c r="L2479" s="25"/>
      <c r="M2479" s="77"/>
      <c r="N2479" s="24" t="s">
        <v>4585</v>
      </c>
    </row>
    <row r="2480">
      <c r="C2480" s="24"/>
      <c r="D2480" s="24"/>
      <c r="E2480" s="24"/>
      <c r="G2480" s="143"/>
      <c r="H2480" s="24"/>
      <c r="K2480" s="25"/>
      <c r="L2480" s="25"/>
      <c r="M2480" s="77"/>
      <c r="N2480" s="24" t="s">
        <v>4586</v>
      </c>
    </row>
    <row r="2481">
      <c r="C2481" s="24"/>
      <c r="D2481" s="24"/>
      <c r="E2481" s="24"/>
      <c r="G2481" s="143"/>
      <c r="H2481" s="24"/>
      <c r="K2481" s="25"/>
      <c r="L2481" s="25"/>
      <c r="M2481" s="77"/>
      <c r="N2481" s="24" t="s">
        <v>4587</v>
      </c>
    </row>
    <row r="2482">
      <c r="C2482" s="24"/>
      <c r="D2482" s="24"/>
      <c r="E2482" s="24"/>
      <c r="G2482" s="143"/>
      <c r="H2482" s="24"/>
      <c r="K2482" s="25"/>
      <c r="L2482" s="25"/>
      <c r="M2482" s="77"/>
      <c r="N2482" s="24" t="s">
        <v>4588</v>
      </c>
    </row>
    <row r="2483">
      <c r="C2483" s="24"/>
      <c r="D2483" s="24"/>
      <c r="E2483" s="24"/>
      <c r="G2483" s="143"/>
      <c r="H2483" s="24"/>
      <c r="K2483" s="25"/>
      <c r="L2483" s="25"/>
      <c r="M2483" s="77"/>
      <c r="N2483" s="24" t="s">
        <v>4589</v>
      </c>
    </row>
    <row r="2484">
      <c r="C2484" s="24"/>
      <c r="D2484" s="24"/>
      <c r="E2484" s="24"/>
      <c r="G2484" s="143"/>
      <c r="H2484" s="24"/>
      <c r="K2484" s="25"/>
      <c r="L2484" s="25"/>
      <c r="M2484" s="77"/>
      <c r="N2484" s="24" t="s">
        <v>4590</v>
      </c>
    </row>
    <row r="2485">
      <c r="C2485" s="24"/>
      <c r="D2485" s="24"/>
      <c r="E2485" s="24"/>
      <c r="G2485" s="143"/>
      <c r="H2485" s="24"/>
      <c r="K2485" s="25"/>
      <c r="L2485" s="25"/>
      <c r="M2485" s="77"/>
      <c r="N2485" s="24" t="s">
        <v>4591</v>
      </c>
    </row>
    <row r="2486">
      <c r="C2486" s="24"/>
      <c r="D2486" s="24"/>
      <c r="E2486" s="24"/>
      <c r="G2486" s="143"/>
      <c r="H2486" s="24"/>
      <c r="K2486" s="25"/>
      <c r="L2486" s="25"/>
      <c r="M2486" s="77"/>
      <c r="N2486" s="24" t="s">
        <v>4592</v>
      </c>
    </row>
    <row r="2487">
      <c r="C2487" s="24"/>
      <c r="D2487" s="24"/>
      <c r="E2487" s="24"/>
      <c r="G2487" s="143"/>
      <c r="H2487" s="24"/>
      <c r="K2487" s="25"/>
      <c r="L2487" s="25"/>
      <c r="M2487" s="77"/>
      <c r="N2487" s="24" t="s">
        <v>4593</v>
      </c>
    </row>
    <row r="2488">
      <c r="C2488" s="24"/>
      <c r="D2488" s="24"/>
      <c r="E2488" s="24"/>
      <c r="G2488" s="143"/>
      <c r="H2488" s="24"/>
      <c r="K2488" s="25"/>
      <c r="L2488" s="25"/>
      <c r="M2488" s="77"/>
      <c r="N2488" s="24" t="s">
        <v>4594</v>
      </c>
    </row>
    <row r="2489">
      <c r="C2489" s="24"/>
      <c r="D2489" s="24"/>
      <c r="E2489" s="24"/>
      <c r="G2489" s="143"/>
      <c r="H2489" s="24"/>
      <c r="K2489" s="25"/>
      <c r="L2489" s="25"/>
      <c r="M2489" s="77"/>
      <c r="N2489" s="24" t="s">
        <v>4595</v>
      </c>
    </row>
    <row r="2490">
      <c r="C2490" s="24"/>
      <c r="D2490" s="24"/>
      <c r="E2490" s="24"/>
      <c r="G2490" s="143"/>
      <c r="H2490" s="24"/>
      <c r="K2490" s="25"/>
      <c r="L2490" s="25"/>
      <c r="M2490" s="77"/>
      <c r="N2490" s="24" t="s">
        <v>4596</v>
      </c>
    </row>
    <row r="2491">
      <c r="C2491" s="24"/>
      <c r="D2491" s="24"/>
      <c r="E2491" s="24"/>
      <c r="G2491" s="143"/>
      <c r="H2491" s="24"/>
      <c r="K2491" s="25"/>
      <c r="L2491" s="25"/>
      <c r="M2491" s="77"/>
      <c r="N2491" s="24" t="s">
        <v>4597</v>
      </c>
    </row>
    <row r="2492">
      <c r="C2492" s="24"/>
      <c r="D2492" s="24"/>
      <c r="E2492" s="24"/>
      <c r="G2492" s="143"/>
      <c r="H2492" s="24"/>
      <c r="K2492" s="25"/>
      <c r="L2492" s="25"/>
      <c r="M2492" s="77"/>
      <c r="N2492" s="24" t="s">
        <v>4598</v>
      </c>
    </row>
    <row r="2493">
      <c r="C2493" s="24"/>
      <c r="D2493" s="24"/>
      <c r="E2493" s="24"/>
      <c r="G2493" s="143"/>
      <c r="H2493" s="24"/>
      <c r="K2493" s="25"/>
      <c r="L2493" s="25"/>
      <c r="M2493" s="77"/>
      <c r="N2493" s="24" t="s">
        <v>4599</v>
      </c>
    </row>
    <row r="2494">
      <c r="C2494" s="24"/>
      <c r="D2494" s="24"/>
      <c r="E2494" s="24"/>
      <c r="G2494" s="143"/>
      <c r="H2494" s="24"/>
      <c r="K2494" s="25"/>
      <c r="L2494" s="25"/>
      <c r="M2494" s="77"/>
      <c r="N2494" s="24" t="s">
        <v>4600</v>
      </c>
    </row>
    <row r="2495">
      <c r="C2495" s="24"/>
      <c r="D2495" s="24"/>
      <c r="E2495" s="24"/>
      <c r="G2495" s="143"/>
      <c r="H2495" s="24"/>
      <c r="K2495" s="25"/>
      <c r="L2495" s="25"/>
      <c r="M2495" s="77"/>
      <c r="N2495" s="24" t="s">
        <v>4601</v>
      </c>
    </row>
    <row r="2496">
      <c r="C2496" s="24"/>
      <c r="D2496" s="24"/>
      <c r="E2496" s="24"/>
      <c r="G2496" s="143"/>
      <c r="H2496" s="24"/>
      <c r="K2496" s="25"/>
      <c r="L2496" s="25"/>
      <c r="M2496" s="77"/>
      <c r="N2496" s="24" t="s">
        <v>4602</v>
      </c>
    </row>
    <row r="2497">
      <c r="C2497" s="24"/>
      <c r="D2497" s="24"/>
      <c r="E2497" s="24"/>
      <c r="G2497" s="143"/>
      <c r="H2497" s="24"/>
      <c r="K2497" s="25"/>
      <c r="L2497" s="25"/>
      <c r="M2497" s="77"/>
      <c r="N2497" s="24" t="s">
        <v>4603</v>
      </c>
    </row>
    <row r="2498">
      <c r="C2498" s="24"/>
      <c r="D2498" s="24"/>
      <c r="E2498" s="24"/>
      <c r="G2498" s="143"/>
      <c r="H2498" s="24"/>
      <c r="K2498" s="25"/>
      <c r="L2498" s="25"/>
      <c r="M2498" s="77"/>
      <c r="N2498" s="24" t="s">
        <v>4604</v>
      </c>
    </row>
    <row r="2499">
      <c r="C2499" s="24"/>
      <c r="D2499" s="24"/>
      <c r="E2499" s="24"/>
      <c r="G2499" s="143"/>
      <c r="H2499" s="24"/>
      <c r="K2499" s="25"/>
      <c r="L2499" s="25"/>
      <c r="M2499" s="77"/>
      <c r="N2499" s="24" t="s">
        <v>4605</v>
      </c>
    </row>
    <row r="2500">
      <c r="C2500" s="24"/>
      <c r="D2500" s="24"/>
      <c r="E2500" s="24"/>
      <c r="G2500" s="143"/>
      <c r="H2500" s="24"/>
      <c r="K2500" s="25"/>
      <c r="L2500" s="25"/>
      <c r="M2500" s="77"/>
      <c r="N2500" s="24" t="s">
        <v>4606</v>
      </c>
    </row>
    <row r="2501">
      <c r="C2501" s="24"/>
      <c r="D2501" s="24"/>
      <c r="E2501" s="24"/>
      <c r="G2501" s="143"/>
      <c r="H2501" s="24"/>
      <c r="K2501" s="25"/>
      <c r="L2501" s="25"/>
      <c r="M2501" s="77"/>
      <c r="N2501" s="24" t="s">
        <v>4607</v>
      </c>
    </row>
    <row r="2502">
      <c r="C2502" s="24"/>
      <c r="D2502" s="24"/>
      <c r="E2502" s="24"/>
      <c r="G2502" s="143"/>
      <c r="H2502" s="24"/>
      <c r="K2502" s="25"/>
      <c r="L2502" s="25"/>
      <c r="M2502" s="77"/>
      <c r="N2502" s="24" t="s">
        <v>4608</v>
      </c>
    </row>
    <row r="2503">
      <c r="C2503" s="24"/>
      <c r="D2503" s="24"/>
      <c r="E2503" s="24"/>
      <c r="G2503" s="143"/>
      <c r="H2503" s="24"/>
      <c r="K2503" s="25"/>
      <c r="L2503" s="25"/>
      <c r="M2503" s="77"/>
      <c r="N2503" s="24" t="s">
        <v>4609</v>
      </c>
    </row>
    <row r="2504">
      <c r="C2504" s="24"/>
      <c r="D2504" s="24"/>
      <c r="E2504" s="24"/>
      <c r="G2504" s="143"/>
      <c r="H2504" s="24"/>
      <c r="K2504" s="25"/>
      <c r="L2504" s="25"/>
      <c r="M2504" s="77"/>
      <c r="N2504" s="24" t="s">
        <v>4610</v>
      </c>
    </row>
    <row r="2505">
      <c r="C2505" s="24"/>
      <c r="D2505" s="24"/>
      <c r="E2505" s="24"/>
      <c r="G2505" s="143"/>
      <c r="H2505" s="24"/>
      <c r="K2505" s="25"/>
      <c r="L2505" s="25"/>
      <c r="M2505" s="77"/>
      <c r="N2505" s="24" t="s">
        <v>4611</v>
      </c>
    </row>
    <row r="2506">
      <c r="C2506" s="24"/>
      <c r="D2506" s="24"/>
      <c r="E2506" s="24"/>
      <c r="G2506" s="143"/>
      <c r="H2506" s="24"/>
      <c r="K2506" s="25"/>
      <c r="L2506" s="25"/>
      <c r="M2506" s="77"/>
      <c r="N2506" s="24" t="s">
        <v>4612</v>
      </c>
    </row>
    <row r="2507">
      <c r="C2507" s="24"/>
      <c r="D2507" s="24"/>
      <c r="E2507" s="24"/>
      <c r="G2507" s="143"/>
      <c r="H2507" s="24"/>
      <c r="K2507" s="25"/>
      <c r="L2507" s="25"/>
      <c r="M2507" s="77"/>
      <c r="N2507" s="24" t="s">
        <v>4613</v>
      </c>
    </row>
    <row r="2508">
      <c r="C2508" s="24"/>
      <c r="D2508" s="24"/>
      <c r="E2508" s="24"/>
      <c r="G2508" s="143"/>
      <c r="H2508" s="24"/>
      <c r="K2508" s="25"/>
      <c r="L2508" s="25"/>
      <c r="M2508" s="77"/>
      <c r="N2508" s="24" t="s">
        <v>4614</v>
      </c>
    </row>
    <row r="2509">
      <c r="C2509" s="24"/>
      <c r="D2509" s="24"/>
      <c r="E2509" s="24"/>
      <c r="G2509" s="143"/>
      <c r="H2509" s="24"/>
      <c r="K2509" s="25"/>
      <c r="L2509" s="25"/>
      <c r="M2509" s="77"/>
      <c r="N2509" s="24" t="s">
        <v>4615</v>
      </c>
    </row>
    <row r="2510">
      <c r="C2510" s="24"/>
      <c r="D2510" s="24"/>
      <c r="E2510" s="24"/>
      <c r="G2510" s="143"/>
      <c r="H2510" s="24"/>
      <c r="K2510" s="25"/>
      <c r="L2510" s="25"/>
      <c r="M2510" s="77"/>
      <c r="N2510" s="24" t="s">
        <v>4616</v>
      </c>
    </row>
    <row r="2511">
      <c r="C2511" s="24"/>
      <c r="D2511" s="24"/>
      <c r="E2511" s="24"/>
      <c r="G2511" s="143"/>
      <c r="H2511" s="24"/>
      <c r="K2511" s="25"/>
      <c r="L2511" s="25"/>
      <c r="M2511" s="77"/>
      <c r="N2511" s="24" t="s">
        <v>4617</v>
      </c>
    </row>
    <row r="2512">
      <c r="C2512" s="24"/>
      <c r="D2512" s="24"/>
      <c r="E2512" s="24"/>
      <c r="G2512" s="143"/>
      <c r="H2512" s="24"/>
      <c r="K2512" s="25"/>
      <c r="L2512" s="25"/>
      <c r="M2512" s="77"/>
      <c r="N2512" s="24" t="s">
        <v>4618</v>
      </c>
    </row>
    <row r="2513">
      <c r="C2513" s="24"/>
      <c r="D2513" s="24"/>
      <c r="E2513" s="24"/>
      <c r="G2513" s="143"/>
      <c r="H2513" s="24"/>
      <c r="K2513" s="25"/>
      <c r="L2513" s="25"/>
      <c r="M2513" s="77"/>
      <c r="N2513" s="24" t="s">
        <v>4619</v>
      </c>
    </row>
    <row r="2514">
      <c r="C2514" s="24"/>
      <c r="D2514" s="24"/>
      <c r="E2514" s="24"/>
      <c r="G2514" s="143"/>
      <c r="H2514" s="24"/>
      <c r="K2514" s="25"/>
      <c r="L2514" s="25"/>
      <c r="M2514" s="77"/>
      <c r="N2514" s="24" t="s">
        <v>4620</v>
      </c>
    </row>
    <row r="2515">
      <c r="C2515" s="24"/>
      <c r="D2515" s="24"/>
      <c r="E2515" s="24"/>
      <c r="G2515" s="143"/>
      <c r="H2515" s="24"/>
      <c r="K2515" s="25"/>
      <c r="L2515" s="25"/>
      <c r="M2515" s="77"/>
      <c r="N2515" s="24" t="s">
        <v>4621</v>
      </c>
    </row>
    <row r="2516">
      <c r="C2516" s="24"/>
      <c r="D2516" s="24"/>
      <c r="E2516" s="24"/>
      <c r="G2516" s="143"/>
      <c r="H2516" s="24"/>
      <c r="K2516" s="25"/>
      <c r="L2516" s="25"/>
      <c r="M2516" s="77"/>
      <c r="N2516" s="24" t="s">
        <v>4622</v>
      </c>
    </row>
    <row r="2517">
      <c r="C2517" s="24"/>
      <c r="D2517" s="24"/>
      <c r="E2517" s="24"/>
      <c r="G2517" s="143"/>
      <c r="H2517" s="24"/>
      <c r="K2517" s="25"/>
      <c r="L2517" s="25"/>
      <c r="M2517" s="77"/>
      <c r="N2517" s="24" t="s">
        <v>4623</v>
      </c>
    </row>
    <row r="2518">
      <c r="C2518" s="24"/>
      <c r="D2518" s="24"/>
      <c r="E2518" s="24"/>
      <c r="G2518" s="143"/>
      <c r="H2518" s="24"/>
      <c r="K2518" s="25"/>
      <c r="L2518" s="25"/>
      <c r="M2518" s="77"/>
      <c r="N2518" s="24" t="s">
        <v>4624</v>
      </c>
    </row>
    <row r="2519">
      <c r="C2519" s="24"/>
      <c r="D2519" s="24"/>
      <c r="E2519" s="24"/>
      <c r="G2519" s="143"/>
      <c r="H2519" s="24"/>
      <c r="K2519" s="25"/>
      <c r="L2519" s="25"/>
      <c r="M2519" s="77"/>
      <c r="N2519" s="24" t="s">
        <v>4625</v>
      </c>
    </row>
    <row r="2520">
      <c r="C2520" s="24"/>
      <c r="D2520" s="24"/>
      <c r="E2520" s="24"/>
      <c r="G2520" s="143"/>
      <c r="H2520" s="24"/>
      <c r="K2520" s="25"/>
      <c r="L2520" s="25"/>
      <c r="M2520" s="77"/>
      <c r="N2520" s="24" t="s">
        <v>4626</v>
      </c>
    </row>
    <row r="2521">
      <c r="C2521" s="24"/>
      <c r="D2521" s="24"/>
      <c r="E2521" s="24"/>
      <c r="G2521" s="143"/>
      <c r="H2521" s="24"/>
      <c r="K2521" s="25"/>
      <c r="L2521" s="25"/>
      <c r="M2521" s="77"/>
      <c r="N2521" s="24" t="s">
        <v>4627</v>
      </c>
    </row>
    <row r="2522">
      <c r="C2522" s="24"/>
      <c r="D2522" s="24"/>
      <c r="E2522" s="24"/>
      <c r="G2522" s="143"/>
      <c r="H2522" s="24"/>
      <c r="K2522" s="25"/>
      <c r="L2522" s="25"/>
      <c r="M2522" s="77"/>
      <c r="N2522" s="24" t="s">
        <v>4628</v>
      </c>
    </row>
    <row r="2523">
      <c r="C2523" s="24"/>
      <c r="D2523" s="24"/>
      <c r="E2523" s="24"/>
      <c r="G2523" s="143"/>
      <c r="H2523" s="24"/>
      <c r="K2523" s="25"/>
      <c r="L2523" s="25"/>
      <c r="M2523" s="77"/>
      <c r="N2523" s="24" t="s">
        <v>4629</v>
      </c>
    </row>
    <row r="2524">
      <c r="C2524" s="24"/>
      <c r="D2524" s="24"/>
      <c r="E2524" s="24"/>
      <c r="G2524" s="143"/>
      <c r="H2524" s="24"/>
      <c r="K2524" s="25"/>
      <c r="L2524" s="25"/>
      <c r="M2524" s="77"/>
      <c r="N2524" s="24" t="s">
        <v>4630</v>
      </c>
    </row>
    <row r="2525">
      <c r="C2525" s="24"/>
      <c r="D2525" s="24"/>
      <c r="E2525" s="24"/>
      <c r="G2525" s="143"/>
      <c r="H2525" s="24"/>
      <c r="K2525" s="25"/>
      <c r="L2525" s="25"/>
      <c r="M2525" s="77"/>
      <c r="N2525" s="24" t="s">
        <v>4631</v>
      </c>
    </row>
    <row r="2526">
      <c r="C2526" s="24"/>
      <c r="D2526" s="24"/>
      <c r="E2526" s="24"/>
      <c r="G2526" s="143"/>
      <c r="H2526" s="24"/>
      <c r="K2526" s="25"/>
      <c r="L2526" s="25"/>
      <c r="M2526" s="77"/>
      <c r="N2526" s="24" t="s">
        <v>4632</v>
      </c>
    </row>
    <row r="2527">
      <c r="C2527" s="24"/>
      <c r="D2527" s="24"/>
      <c r="E2527" s="24"/>
      <c r="G2527" s="143"/>
      <c r="H2527" s="24"/>
      <c r="K2527" s="25"/>
      <c r="L2527" s="25"/>
      <c r="M2527" s="77"/>
      <c r="N2527" s="24" t="s">
        <v>4633</v>
      </c>
    </row>
    <row r="2528">
      <c r="C2528" s="24"/>
      <c r="D2528" s="24"/>
      <c r="E2528" s="24"/>
      <c r="G2528" s="143"/>
      <c r="H2528" s="24"/>
      <c r="K2528" s="25"/>
      <c r="L2528" s="25"/>
      <c r="M2528" s="77"/>
      <c r="N2528" s="24" t="s">
        <v>4634</v>
      </c>
    </row>
    <row r="2529">
      <c r="C2529" s="24"/>
      <c r="D2529" s="24"/>
      <c r="E2529" s="24"/>
      <c r="G2529" s="143"/>
      <c r="H2529" s="24"/>
      <c r="K2529" s="25"/>
      <c r="L2529" s="25"/>
      <c r="M2529" s="77"/>
      <c r="N2529" s="24" t="s">
        <v>4635</v>
      </c>
    </row>
    <row r="2530">
      <c r="C2530" s="24"/>
      <c r="D2530" s="24"/>
      <c r="E2530" s="24"/>
      <c r="G2530" s="143"/>
      <c r="H2530" s="24"/>
      <c r="K2530" s="25"/>
      <c r="L2530" s="25"/>
      <c r="M2530" s="77"/>
      <c r="N2530" s="24" t="s">
        <v>4636</v>
      </c>
    </row>
    <row r="2531">
      <c r="C2531" s="24"/>
      <c r="D2531" s="24"/>
      <c r="E2531" s="24"/>
      <c r="G2531" s="143"/>
      <c r="H2531" s="24"/>
      <c r="K2531" s="25"/>
      <c r="L2531" s="25"/>
      <c r="M2531" s="77"/>
      <c r="N2531" s="24" t="s">
        <v>4637</v>
      </c>
    </row>
    <row r="2532">
      <c r="C2532" s="24"/>
      <c r="D2532" s="24"/>
      <c r="E2532" s="24"/>
      <c r="G2532" s="143"/>
      <c r="H2532" s="24"/>
      <c r="K2532" s="25"/>
      <c r="L2532" s="25"/>
      <c r="M2532" s="77"/>
      <c r="N2532" s="24" t="s">
        <v>4638</v>
      </c>
    </row>
    <row r="2533">
      <c r="C2533" s="24"/>
      <c r="D2533" s="24"/>
      <c r="E2533" s="24"/>
      <c r="G2533" s="143"/>
      <c r="H2533" s="24"/>
      <c r="K2533" s="25"/>
      <c r="L2533" s="25"/>
      <c r="M2533" s="77"/>
      <c r="N2533" s="24" t="s">
        <v>4639</v>
      </c>
    </row>
    <row r="2534">
      <c r="C2534" s="24"/>
      <c r="D2534" s="24"/>
      <c r="E2534" s="24"/>
      <c r="G2534" s="143"/>
      <c r="H2534" s="24"/>
      <c r="K2534" s="25"/>
      <c r="L2534" s="25"/>
      <c r="M2534" s="77"/>
      <c r="N2534" s="24" t="s">
        <v>4640</v>
      </c>
    </row>
    <row r="2535">
      <c r="C2535" s="24"/>
      <c r="D2535" s="24"/>
      <c r="E2535" s="24"/>
      <c r="G2535" s="143"/>
      <c r="H2535" s="24"/>
      <c r="K2535" s="25"/>
      <c r="L2535" s="25"/>
      <c r="M2535" s="77"/>
      <c r="N2535" s="24" t="s">
        <v>4641</v>
      </c>
    </row>
    <row r="2536">
      <c r="C2536" s="24"/>
      <c r="D2536" s="24"/>
      <c r="E2536" s="24"/>
      <c r="G2536" s="143"/>
      <c r="H2536" s="24"/>
      <c r="K2536" s="25"/>
      <c r="L2536" s="25"/>
      <c r="M2536" s="77"/>
      <c r="N2536" s="24" t="s">
        <v>4642</v>
      </c>
    </row>
    <row r="2537">
      <c r="C2537" s="24"/>
      <c r="D2537" s="24"/>
      <c r="E2537" s="24"/>
      <c r="G2537" s="143"/>
      <c r="H2537" s="24"/>
      <c r="K2537" s="25"/>
      <c r="L2537" s="25"/>
      <c r="M2537" s="77"/>
      <c r="N2537" s="24" t="s">
        <v>4513</v>
      </c>
    </row>
    <row r="2538">
      <c r="C2538" s="24"/>
      <c r="D2538" s="24"/>
      <c r="E2538" s="24"/>
      <c r="G2538" s="143"/>
      <c r="H2538" s="24"/>
      <c r="K2538" s="25"/>
      <c r="L2538" s="25"/>
      <c r="M2538" s="77"/>
      <c r="N2538" s="24" t="s">
        <v>4643</v>
      </c>
    </row>
    <row r="2539">
      <c r="C2539" s="24"/>
      <c r="D2539" s="24"/>
      <c r="E2539" s="24"/>
      <c r="G2539" s="143"/>
      <c r="H2539" s="24"/>
      <c r="K2539" s="25"/>
      <c r="L2539" s="25"/>
      <c r="M2539" s="77"/>
      <c r="N2539" s="24" t="s">
        <v>4644</v>
      </c>
    </row>
    <row r="2540">
      <c r="C2540" s="24"/>
      <c r="D2540" s="24"/>
      <c r="E2540" s="24"/>
      <c r="G2540" s="143"/>
      <c r="H2540" s="24"/>
      <c r="K2540" s="25"/>
      <c r="L2540" s="25"/>
      <c r="M2540" s="77"/>
      <c r="N2540" s="24" t="s">
        <v>4645</v>
      </c>
    </row>
    <row r="2541">
      <c r="C2541" s="24"/>
      <c r="D2541" s="24"/>
      <c r="E2541" s="24"/>
      <c r="G2541" s="143"/>
      <c r="H2541" s="24"/>
      <c r="K2541" s="25"/>
      <c r="L2541" s="25"/>
      <c r="M2541" s="77"/>
      <c r="N2541" s="24" t="s">
        <v>4646</v>
      </c>
    </row>
    <row r="2542">
      <c r="C2542" s="24"/>
      <c r="D2542" s="24"/>
      <c r="E2542" s="24"/>
      <c r="G2542" s="143"/>
      <c r="H2542" s="24"/>
      <c r="K2542" s="25"/>
      <c r="L2542" s="25"/>
      <c r="M2542" s="77"/>
      <c r="N2542" s="24" t="s">
        <v>4647</v>
      </c>
    </row>
    <row r="2543">
      <c r="C2543" s="24"/>
      <c r="D2543" s="24"/>
      <c r="E2543" s="24"/>
      <c r="G2543" s="143"/>
      <c r="H2543" s="24"/>
      <c r="K2543" s="25"/>
      <c r="L2543" s="25"/>
      <c r="M2543" s="77"/>
      <c r="N2543" s="24" t="s">
        <v>4648</v>
      </c>
    </row>
    <row r="2544">
      <c r="C2544" s="24"/>
      <c r="D2544" s="24"/>
      <c r="E2544" s="24"/>
      <c r="G2544" s="143"/>
      <c r="H2544" s="24"/>
      <c r="K2544" s="25"/>
      <c r="L2544" s="25"/>
      <c r="M2544" s="77"/>
      <c r="N2544" s="24" t="s">
        <v>4649</v>
      </c>
    </row>
    <row r="2545">
      <c r="C2545" s="24"/>
      <c r="D2545" s="24"/>
      <c r="E2545" s="24"/>
      <c r="G2545" s="143"/>
      <c r="H2545" s="24"/>
      <c r="K2545" s="25"/>
      <c r="L2545" s="25"/>
      <c r="M2545" s="77"/>
      <c r="N2545" s="24" t="s">
        <v>4650</v>
      </c>
    </row>
    <row r="2546">
      <c r="C2546" s="24"/>
      <c r="D2546" s="24"/>
      <c r="E2546" s="24"/>
      <c r="G2546" s="143"/>
      <c r="H2546" s="24"/>
      <c r="K2546" s="25"/>
      <c r="L2546" s="25"/>
      <c r="M2546" s="77"/>
      <c r="N2546" s="24" t="s">
        <v>4651</v>
      </c>
    </row>
    <row r="2547">
      <c r="C2547" s="24"/>
      <c r="D2547" s="24"/>
      <c r="E2547" s="24"/>
      <c r="G2547" s="143"/>
      <c r="H2547" s="24"/>
      <c r="K2547" s="25"/>
      <c r="L2547" s="25"/>
      <c r="M2547" s="77"/>
      <c r="N2547" s="24" t="s">
        <v>4652</v>
      </c>
    </row>
    <row r="2548">
      <c r="C2548" s="24"/>
      <c r="D2548" s="24"/>
      <c r="E2548" s="24"/>
      <c r="G2548" s="143"/>
      <c r="H2548" s="24"/>
      <c r="K2548" s="25"/>
      <c r="L2548" s="25"/>
      <c r="M2548" s="77"/>
      <c r="N2548" s="24" t="s">
        <v>4653</v>
      </c>
    </row>
    <row r="2549">
      <c r="C2549" s="24"/>
      <c r="D2549" s="24"/>
      <c r="E2549" s="24"/>
      <c r="G2549" s="143"/>
      <c r="H2549" s="24"/>
      <c r="K2549" s="25"/>
      <c r="L2549" s="25"/>
      <c r="M2549" s="77"/>
      <c r="N2549" s="24" t="s">
        <v>4654</v>
      </c>
    </row>
    <row r="2550">
      <c r="C2550" s="24"/>
      <c r="D2550" s="24"/>
      <c r="E2550" s="24"/>
      <c r="G2550" s="143"/>
      <c r="H2550" s="24"/>
      <c r="K2550" s="25"/>
      <c r="L2550" s="25"/>
      <c r="M2550" s="77"/>
      <c r="N2550" s="24" t="s">
        <v>4655</v>
      </c>
    </row>
    <row r="2551">
      <c r="C2551" s="24"/>
      <c r="D2551" s="24"/>
      <c r="E2551" s="24"/>
      <c r="G2551" s="143"/>
      <c r="H2551" s="24"/>
      <c r="K2551" s="25"/>
      <c r="L2551" s="25"/>
      <c r="M2551" s="77"/>
      <c r="N2551" s="24" t="s">
        <v>4656</v>
      </c>
    </row>
    <row r="2552">
      <c r="C2552" s="24"/>
      <c r="D2552" s="24"/>
      <c r="E2552" s="24"/>
      <c r="G2552" s="143"/>
      <c r="H2552" s="24"/>
      <c r="K2552" s="25"/>
      <c r="L2552" s="25"/>
      <c r="M2552" s="77"/>
      <c r="N2552" s="24" t="s">
        <v>4657</v>
      </c>
    </row>
    <row r="2553">
      <c r="C2553" s="24"/>
      <c r="D2553" s="24"/>
      <c r="E2553" s="24"/>
      <c r="G2553" s="143"/>
      <c r="H2553" s="24"/>
      <c r="K2553" s="25"/>
      <c r="L2553" s="25"/>
      <c r="M2553" s="77"/>
      <c r="N2553" s="24" t="s">
        <v>4658</v>
      </c>
    </row>
    <row r="2554">
      <c r="C2554" s="24"/>
      <c r="D2554" s="24"/>
      <c r="E2554" s="24"/>
      <c r="G2554" s="143"/>
      <c r="H2554" s="24"/>
      <c r="K2554" s="25"/>
      <c r="L2554" s="25"/>
      <c r="M2554" s="77"/>
      <c r="N2554" s="24" t="s">
        <v>4659</v>
      </c>
    </row>
    <row r="2555">
      <c r="C2555" s="24"/>
      <c r="D2555" s="24"/>
      <c r="E2555" s="24"/>
      <c r="G2555" s="143"/>
      <c r="H2555" s="24"/>
      <c r="K2555" s="25"/>
      <c r="L2555" s="25"/>
      <c r="M2555" s="77"/>
      <c r="N2555" s="24" t="s">
        <v>4660</v>
      </c>
    </row>
    <row r="2556">
      <c r="C2556" s="24"/>
      <c r="D2556" s="24"/>
      <c r="E2556" s="24"/>
      <c r="G2556" s="143"/>
      <c r="H2556" s="24"/>
      <c r="K2556" s="25"/>
      <c r="L2556" s="25"/>
      <c r="M2556" s="77"/>
      <c r="N2556" s="24" t="s">
        <v>4661</v>
      </c>
    </row>
    <row r="2557">
      <c r="C2557" s="24"/>
      <c r="D2557" s="24"/>
      <c r="E2557" s="24"/>
      <c r="G2557" s="143"/>
      <c r="H2557" s="24"/>
      <c r="K2557" s="25"/>
      <c r="L2557" s="25"/>
      <c r="M2557" s="77"/>
      <c r="N2557" s="24" t="s">
        <v>4662</v>
      </c>
    </row>
    <row r="2558">
      <c r="C2558" s="24"/>
      <c r="D2558" s="24"/>
      <c r="E2558" s="24"/>
      <c r="G2558" s="143"/>
      <c r="H2558" s="24"/>
      <c r="K2558" s="25"/>
      <c r="L2558" s="25"/>
      <c r="M2558" s="77"/>
      <c r="N2558" s="24" t="s">
        <v>4663</v>
      </c>
    </row>
    <row r="2559">
      <c r="C2559" s="24"/>
      <c r="D2559" s="24"/>
      <c r="E2559" s="24"/>
      <c r="G2559" s="143"/>
      <c r="H2559" s="24"/>
      <c r="K2559" s="25"/>
      <c r="L2559" s="25"/>
      <c r="M2559" s="77"/>
      <c r="N2559" s="24" t="s">
        <v>4664</v>
      </c>
    </row>
    <row r="2560">
      <c r="C2560" s="24"/>
      <c r="D2560" s="24"/>
      <c r="E2560" s="24"/>
      <c r="G2560" s="143"/>
      <c r="H2560" s="24"/>
      <c r="K2560" s="25"/>
      <c r="L2560" s="25"/>
      <c r="M2560" s="77"/>
      <c r="N2560" s="24" t="s">
        <v>4665</v>
      </c>
    </row>
    <row r="2561">
      <c r="C2561" s="24"/>
      <c r="D2561" s="24"/>
      <c r="E2561" s="24"/>
      <c r="G2561" s="143"/>
      <c r="H2561" s="24"/>
      <c r="K2561" s="25"/>
      <c r="L2561" s="25"/>
      <c r="M2561" s="77"/>
      <c r="N2561" s="24" t="s">
        <v>4666</v>
      </c>
    </row>
    <row r="2562">
      <c r="C2562" s="24"/>
      <c r="D2562" s="24"/>
      <c r="E2562" s="24"/>
      <c r="G2562" s="143"/>
      <c r="H2562" s="24"/>
      <c r="K2562" s="25"/>
      <c r="L2562" s="25"/>
      <c r="M2562" s="77"/>
      <c r="N2562" s="24" t="s">
        <v>4667</v>
      </c>
    </row>
    <row r="2563">
      <c r="C2563" s="24"/>
      <c r="D2563" s="24"/>
      <c r="E2563" s="24"/>
      <c r="G2563" s="143"/>
      <c r="H2563" s="24"/>
      <c r="K2563" s="25"/>
      <c r="L2563" s="25"/>
      <c r="M2563" s="77"/>
      <c r="N2563" s="24" t="s">
        <v>4668</v>
      </c>
    </row>
    <row r="2564">
      <c r="C2564" s="24"/>
      <c r="D2564" s="24"/>
      <c r="E2564" s="24"/>
      <c r="G2564" s="143"/>
      <c r="H2564" s="24"/>
      <c r="K2564" s="25"/>
      <c r="L2564" s="25"/>
      <c r="M2564" s="77"/>
      <c r="N2564" s="24" t="s">
        <v>4669</v>
      </c>
    </row>
    <row r="2565">
      <c r="C2565" s="24"/>
      <c r="D2565" s="24"/>
      <c r="E2565" s="24"/>
      <c r="G2565" s="143"/>
      <c r="H2565" s="24"/>
      <c r="K2565" s="25"/>
      <c r="L2565" s="25"/>
      <c r="M2565" s="77"/>
      <c r="N2565" s="24" t="s">
        <v>4670</v>
      </c>
    </row>
    <row r="2566">
      <c r="C2566" s="24"/>
      <c r="D2566" s="24"/>
      <c r="E2566" s="24"/>
      <c r="G2566" s="143"/>
      <c r="H2566" s="24"/>
      <c r="K2566" s="25"/>
      <c r="L2566" s="25"/>
      <c r="M2566" s="77"/>
      <c r="N2566" s="24" t="s">
        <v>4498</v>
      </c>
    </row>
    <row r="2567">
      <c r="C2567" s="24"/>
      <c r="D2567" s="24"/>
      <c r="E2567" s="24"/>
      <c r="G2567" s="143"/>
      <c r="H2567" s="24"/>
      <c r="K2567" s="25"/>
      <c r="L2567" s="25"/>
      <c r="M2567" s="77"/>
      <c r="N2567" s="24" t="s">
        <v>4671</v>
      </c>
    </row>
    <row r="2568">
      <c r="C2568" s="24"/>
      <c r="D2568" s="24"/>
      <c r="E2568" s="24"/>
      <c r="G2568" s="143"/>
      <c r="H2568" s="24"/>
      <c r="K2568" s="25"/>
      <c r="L2568" s="25"/>
      <c r="M2568" s="77"/>
      <c r="N2568" s="24" t="s">
        <v>4672</v>
      </c>
    </row>
    <row r="2569">
      <c r="C2569" s="24"/>
      <c r="D2569" s="24"/>
      <c r="E2569" s="24"/>
      <c r="G2569" s="143"/>
      <c r="H2569" s="24"/>
      <c r="K2569" s="25"/>
      <c r="L2569" s="25"/>
      <c r="M2569" s="77"/>
      <c r="N2569" s="24" t="s">
        <v>4673</v>
      </c>
    </row>
    <row r="2570">
      <c r="C2570" s="24"/>
      <c r="D2570" s="24"/>
      <c r="E2570" s="24"/>
      <c r="G2570" s="143"/>
      <c r="H2570" s="24"/>
      <c r="K2570" s="25"/>
      <c r="L2570" s="25"/>
      <c r="M2570" s="77"/>
      <c r="N2570" s="24" t="s">
        <v>4674</v>
      </c>
    </row>
    <row r="2571">
      <c r="C2571" s="24"/>
      <c r="D2571" s="24"/>
      <c r="E2571" s="24"/>
      <c r="G2571" s="143"/>
      <c r="H2571" s="24"/>
      <c r="K2571" s="25"/>
      <c r="L2571" s="25"/>
      <c r="M2571" s="77"/>
      <c r="N2571" s="24" t="s">
        <v>4675</v>
      </c>
    </row>
    <row r="2572">
      <c r="C2572" s="24"/>
      <c r="D2572" s="24"/>
      <c r="E2572" s="24"/>
      <c r="G2572" s="143"/>
      <c r="H2572" s="24"/>
      <c r="K2572" s="25"/>
      <c r="L2572" s="25"/>
      <c r="M2572" s="77"/>
      <c r="N2572" s="24" t="s">
        <v>4676</v>
      </c>
    </row>
    <row r="2573">
      <c r="C2573" s="24"/>
      <c r="D2573" s="24"/>
      <c r="E2573" s="24"/>
      <c r="G2573" s="143"/>
      <c r="H2573" s="24"/>
      <c r="K2573" s="25"/>
      <c r="L2573" s="25"/>
      <c r="M2573" s="77"/>
      <c r="N2573" s="24" t="s">
        <v>4677</v>
      </c>
    </row>
    <row r="2574">
      <c r="C2574" s="24"/>
      <c r="D2574" s="24"/>
      <c r="E2574" s="24"/>
      <c r="G2574" s="143"/>
      <c r="H2574" s="24"/>
      <c r="K2574" s="25"/>
      <c r="L2574" s="25"/>
      <c r="M2574" s="77"/>
      <c r="N2574" s="24" t="s">
        <v>4678</v>
      </c>
    </row>
    <row r="2575">
      <c r="C2575" s="24"/>
      <c r="D2575" s="24"/>
      <c r="E2575" s="24"/>
      <c r="G2575" s="143"/>
      <c r="H2575" s="24"/>
      <c r="K2575" s="25"/>
      <c r="L2575" s="25"/>
      <c r="M2575" s="77"/>
      <c r="N2575" s="24" t="s">
        <v>4679</v>
      </c>
    </row>
    <row r="2576">
      <c r="C2576" s="24"/>
      <c r="D2576" s="24"/>
      <c r="E2576" s="24"/>
      <c r="G2576" s="143"/>
      <c r="H2576" s="24"/>
      <c r="K2576" s="25"/>
      <c r="L2576" s="25"/>
      <c r="M2576" s="77"/>
      <c r="N2576" s="24" t="s">
        <v>4680</v>
      </c>
    </row>
    <row r="2577">
      <c r="C2577" s="24"/>
      <c r="D2577" s="24"/>
      <c r="E2577" s="24"/>
      <c r="G2577" s="143"/>
      <c r="H2577" s="24"/>
      <c r="K2577" s="25"/>
      <c r="L2577" s="25"/>
      <c r="M2577" s="77"/>
      <c r="N2577" s="24" t="s">
        <v>4681</v>
      </c>
    </row>
    <row r="2578">
      <c r="C2578" s="24"/>
      <c r="D2578" s="24"/>
      <c r="E2578" s="24"/>
      <c r="G2578" s="143"/>
      <c r="H2578" s="24"/>
      <c r="K2578" s="25"/>
      <c r="L2578" s="25"/>
      <c r="M2578" s="77"/>
      <c r="N2578" s="24" t="s">
        <v>4682</v>
      </c>
    </row>
    <row r="2579">
      <c r="C2579" s="24"/>
      <c r="D2579" s="24"/>
      <c r="E2579" s="24"/>
      <c r="G2579" s="143"/>
      <c r="H2579" s="24"/>
      <c r="K2579" s="25"/>
      <c r="L2579" s="25"/>
      <c r="M2579" s="77"/>
      <c r="N2579" s="24" t="s">
        <v>4683</v>
      </c>
    </row>
    <row r="2580">
      <c r="C2580" s="24"/>
      <c r="D2580" s="24"/>
      <c r="E2580" s="24"/>
      <c r="G2580" s="143"/>
      <c r="H2580" s="24"/>
      <c r="K2580" s="25"/>
      <c r="L2580" s="25"/>
      <c r="M2580" s="77"/>
      <c r="N2580" s="24" t="s">
        <v>4684</v>
      </c>
    </row>
    <row r="2581">
      <c r="C2581" s="24"/>
      <c r="D2581" s="24"/>
      <c r="E2581" s="24"/>
      <c r="G2581" s="143"/>
      <c r="H2581" s="24"/>
      <c r="K2581" s="25"/>
      <c r="L2581" s="25"/>
      <c r="M2581" s="77"/>
      <c r="N2581" s="24" t="s">
        <v>4685</v>
      </c>
    </row>
    <row r="2582">
      <c r="C2582" s="24"/>
      <c r="D2582" s="24"/>
      <c r="E2582" s="24"/>
      <c r="G2582" s="143"/>
      <c r="H2582" s="24"/>
      <c r="K2582" s="25"/>
      <c r="L2582" s="25"/>
      <c r="M2582" s="77"/>
      <c r="N2582" s="24" t="s">
        <v>4686</v>
      </c>
    </row>
    <row r="2583">
      <c r="C2583" s="24"/>
      <c r="D2583" s="24"/>
      <c r="E2583" s="24"/>
      <c r="G2583" s="143"/>
      <c r="H2583" s="24"/>
      <c r="K2583" s="25"/>
      <c r="L2583" s="25"/>
      <c r="M2583" s="77"/>
      <c r="N2583" s="24" t="s">
        <v>4687</v>
      </c>
    </row>
    <row r="2584">
      <c r="C2584" s="24"/>
      <c r="D2584" s="24"/>
      <c r="E2584" s="24"/>
      <c r="G2584" s="143"/>
      <c r="H2584" s="24"/>
      <c r="K2584" s="25"/>
      <c r="L2584" s="25"/>
      <c r="M2584" s="77"/>
      <c r="N2584" s="24" t="s">
        <v>4688</v>
      </c>
    </row>
    <row r="2585">
      <c r="C2585" s="24"/>
      <c r="D2585" s="24"/>
      <c r="E2585" s="24"/>
      <c r="G2585" s="143"/>
      <c r="H2585" s="24"/>
      <c r="K2585" s="25"/>
      <c r="L2585" s="25"/>
      <c r="M2585" s="77"/>
      <c r="N2585" s="24" t="s">
        <v>4689</v>
      </c>
    </row>
    <row r="2586">
      <c r="C2586" s="24"/>
      <c r="D2586" s="24"/>
      <c r="E2586" s="24"/>
      <c r="G2586" s="143"/>
      <c r="H2586" s="24"/>
      <c r="K2586" s="25"/>
      <c r="L2586" s="25"/>
      <c r="M2586" s="77"/>
      <c r="N2586" s="24" t="s">
        <v>4690</v>
      </c>
    </row>
    <row r="2587">
      <c r="C2587" s="24"/>
      <c r="D2587" s="24"/>
      <c r="E2587" s="24"/>
      <c r="G2587" s="143"/>
      <c r="H2587" s="24"/>
      <c r="K2587" s="25"/>
      <c r="L2587" s="25"/>
      <c r="M2587" s="77"/>
      <c r="N2587" s="24" t="s">
        <v>4691</v>
      </c>
    </row>
    <row r="2588">
      <c r="C2588" s="24"/>
      <c r="D2588" s="24"/>
      <c r="E2588" s="24"/>
      <c r="G2588" s="143"/>
      <c r="H2588" s="24"/>
      <c r="K2588" s="25"/>
      <c r="L2588" s="25"/>
      <c r="M2588" s="77"/>
      <c r="N2588" s="24" t="s">
        <v>4692</v>
      </c>
    </row>
    <row r="2589">
      <c r="C2589" s="24"/>
      <c r="D2589" s="24"/>
      <c r="E2589" s="24"/>
      <c r="G2589" s="143"/>
      <c r="H2589" s="24"/>
      <c r="K2589" s="25"/>
      <c r="L2589" s="25"/>
      <c r="M2589" s="77"/>
      <c r="N2589" s="24" t="s">
        <v>4693</v>
      </c>
    </row>
    <row r="2590">
      <c r="C2590" s="24"/>
      <c r="D2590" s="24"/>
      <c r="E2590" s="24"/>
      <c r="G2590" s="143"/>
      <c r="H2590" s="24"/>
      <c r="K2590" s="25"/>
      <c r="L2590" s="25"/>
      <c r="M2590" s="77"/>
      <c r="N2590" s="24" t="s">
        <v>4694</v>
      </c>
    </row>
    <row r="2591">
      <c r="C2591" s="24"/>
      <c r="D2591" s="24"/>
      <c r="E2591" s="24"/>
      <c r="G2591" s="143"/>
      <c r="H2591" s="24"/>
      <c r="K2591" s="25"/>
      <c r="L2591" s="25"/>
      <c r="M2591" s="77"/>
      <c r="N2591" s="24" t="s">
        <v>4695</v>
      </c>
    </row>
    <row r="2592">
      <c r="C2592" s="24"/>
      <c r="D2592" s="24"/>
      <c r="E2592" s="24"/>
      <c r="G2592" s="143"/>
      <c r="H2592" s="24"/>
      <c r="K2592" s="25"/>
      <c r="L2592" s="25"/>
      <c r="M2592" s="77"/>
      <c r="N2592" s="24" t="s">
        <v>4696</v>
      </c>
    </row>
    <row r="2593">
      <c r="C2593" s="24"/>
      <c r="D2593" s="24"/>
      <c r="E2593" s="24"/>
      <c r="G2593" s="143"/>
      <c r="H2593" s="24"/>
      <c r="K2593" s="25"/>
      <c r="L2593" s="25"/>
      <c r="M2593" s="77"/>
      <c r="N2593" s="24" t="s">
        <v>4697</v>
      </c>
    </row>
    <row r="2594">
      <c r="C2594" s="24"/>
      <c r="D2594" s="24"/>
      <c r="E2594" s="24"/>
      <c r="G2594" s="143"/>
      <c r="H2594" s="24"/>
      <c r="K2594" s="25"/>
      <c r="L2594" s="25"/>
      <c r="M2594" s="77"/>
      <c r="N2594" s="24" t="s">
        <v>4698</v>
      </c>
    </row>
    <row r="2595">
      <c r="C2595" s="24"/>
      <c r="D2595" s="24"/>
      <c r="E2595" s="24"/>
      <c r="G2595" s="143"/>
      <c r="H2595" s="24"/>
      <c r="K2595" s="25"/>
      <c r="L2595" s="25"/>
      <c r="M2595" s="77"/>
      <c r="N2595" s="24" t="s">
        <v>4699</v>
      </c>
    </row>
    <row r="2596">
      <c r="C2596" s="24"/>
      <c r="D2596" s="24"/>
      <c r="E2596" s="24"/>
      <c r="G2596" s="143"/>
      <c r="H2596" s="24"/>
      <c r="K2596" s="25"/>
      <c r="L2596" s="25"/>
      <c r="M2596" s="77"/>
      <c r="N2596" s="24" t="s">
        <v>4700</v>
      </c>
    </row>
    <row r="2597">
      <c r="C2597" s="24"/>
      <c r="D2597" s="24"/>
      <c r="E2597" s="24"/>
      <c r="G2597" s="143"/>
      <c r="H2597" s="24"/>
      <c r="K2597" s="25"/>
      <c r="L2597" s="25"/>
      <c r="M2597" s="77"/>
      <c r="N2597" s="24" t="s">
        <v>4701</v>
      </c>
    </row>
    <row r="2598">
      <c r="C2598" s="24"/>
      <c r="D2598" s="24"/>
      <c r="E2598" s="24"/>
      <c r="G2598" s="143"/>
      <c r="H2598" s="24"/>
      <c r="K2598" s="25"/>
      <c r="L2598" s="25"/>
      <c r="M2598" s="77"/>
      <c r="N2598" s="24" t="s">
        <v>4702</v>
      </c>
    </row>
    <row r="2599">
      <c r="C2599" s="24"/>
      <c r="D2599" s="24"/>
      <c r="E2599" s="24"/>
      <c r="G2599" s="143"/>
      <c r="H2599" s="24"/>
      <c r="K2599" s="25"/>
      <c r="L2599" s="25"/>
      <c r="M2599" s="77"/>
      <c r="N2599" s="24" t="s">
        <v>4703</v>
      </c>
    </row>
    <row r="2600">
      <c r="C2600" s="24"/>
      <c r="D2600" s="24"/>
      <c r="E2600" s="24"/>
      <c r="G2600" s="143"/>
      <c r="H2600" s="24"/>
      <c r="K2600" s="25"/>
      <c r="L2600" s="25"/>
      <c r="M2600" s="77"/>
      <c r="N2600" s="24" t="s">
        <v>4704</v>
      </c>
    </row>
    <row r="2601">
      <c r="C2601" s="24"/>
      <c r="D2601" s="24"/>
      <c r="E2601" s="24"/>
      <c r="G2601" s="143"/>
      <c r="H2601" s="24"/>
      <c r="K2601" s="25"/>
      <c r="L2601" s="25"/>
      <c r="M2601" s="77"/>
      <c r="N2601" s="24" t="s">
        <v>4705</v>
      </c>
    </row>
    <row r="2602">
      <c r="C2602" s="24"/>
      <c r="D2602" s="24"/>
      <c r="E2602" s="24"/>
      <c r="G2602" s="143"/>
      <c r="H2602" s="24"/>
      <c r="K2602" s="25"/>
      <c r="L2602" s="25"/>
      <c r="M2602" s="77"/>
      <c r="N2602" s="24" t="s">
        <v>4706</v>
      </c>
    </row>
    <row r="2603">
      <c r="C2603" s="24"/>
      <c r="D2603" s="24"/>
      <c r="E2603" s="24"/>
      <c r="G2603" s="143"/>
      <c r="H2603" s="24"/>
      <c r="K2603" s="25"/>
      <c r="L2603" s="25"/>
      <c r="M2603" s="77"/>
      <c r="N2603" s="24" t="s">
        <v>4707</v>
      </c>
    </row>
    <row r="2604">
      <c r="C2604" s="24"/>
      <c r="D2604" s="24"/>
      <c r="E2604" s="24"/>
      <c r="G2604" s="143"/>
      <c r="H2604" s="24"/>
      <c r="K2604" s="25"/>
      <c r="L2604" s="25"/>
      <c r="M2604" s="77"/>
      <c r="N2604" s="24" t="s">
        <v>4708</v>
      </c>
    </row>
    <row r="2605">
      <c r="C2605" s="24"/>
      <c r="D2605" s="24"/>
      <c r="E2605" s="24"/>
      <c r="G2605" s="143"/>
      <c r="H2605" s="24"/>
      <c r="K2605" s="25"/>
      <c r="L2605" s="25"/>
      <c r="M2605" s="77"/>
      <c r="N2605" s="24" t="s">
        <v>4709</v>
      </c>
    </row>
    <row r="2606">
      <c r="C2606" s="24"/>
      <c r="D2606" s="24"/>
      <c r="E2606" s="24"/>
      <c r="G2606" s="143"/>
      <c r="H2606" s="24"/>
      <c r="K2606" s="25"/>
      <c r="L2606" s="25"/>
      <c r="M2606" s="77"/>
      <c r="N2606" s="24" t="s">
        <v>4710</v>
      </c>
    </row>
    <row r="2607">
      <c r="C2607" s="24"/>
      <c r="D2607" s="24"/>
      <c r="E2607" s="24"/>
      <c r="G2607" s="143"/>
      <c r="H2607" s="24"/>
      <c r="K2607" s="25"/>
      <c r="L2607" s="25"/>
      <c r="M2607" s="77"/>
      <c r="N2607" s="24" t="s">
        <v>4711</v>
      </c>
    </row>
    <row r="2608">
      <c r="C2608" s="24"/>
      <c r="D2608" s="24"/>
      <c r="E2608" s="24"/>
      <c r="G2608" s="143"/>
      <c r="H2608" s="24"/>
      <c r="K2608" s="25"/>
      <c r="L2608" s="25"/>
      <c r="M2608" s="77"/>
      <c r="N2608" s="24" t="s">
        <v>4712</v>
      </c>
    </row>
    <row r="2609">
      <c r="C2609" s="24"/>
      <c r="D2609" s="24"/>
      <c r="E2609" s="24"/>
      <c r="G2609" s="143"/>
      <c r="H2609" s="24"/>
      <c r="K2609" s="25"/>
      <c r="L2609" s="25"/>
      <c r="M2609" s="77"/>
      <c r="N2609" s="24" t="s">
        <v>4713</v>
      </c>
    </row>
    <row r="2610">
      <c r="C2610" s="24"/>
      <c r="D2610" s="24"/>
      <c r="E2610" s="24"/>
      <c r="G2610" s="143"/>
      <c r="H2610" s="24"/>
      <c r="K2610" s="25"/>
      <c r="L2610" s="25"/>
      <c r="M2610" s="77"/>
      <c r="N2610" s="24" t="s">
        <v>4714</v>
      </c>
    </row>
    <row r="2611">
      <c r="C2611" s="24"/>
      <c r="D2611" s="24"/>
      <c r="E2611" s="24"/>
      <c r="G2611" s="143"/>
      <c r="H2611" s="24"/>
      <c r="K2611" s="25"/>
      <c r="L2611" s="25"/>
      <c r="M2611" s="77"/>
      <c r="N2611" s="24" t="s">
        <v>4715</v>
      </c>
    </row>
    <row r="2612">
      <c r="C2612" s="24"/>
      <c r="D2612" s="24"/>
      <c r="E2612" s="24"/>
      <c r="G2612" s="143"/>
      <c r="H2612" s="24"/>
      <c r="K2612" s="25"/>
      <c r="L2612" s="25"/>
      <c r="M2612" s="77"/>
      <c r="N2612" s="24" t="s">
        <v>4716</v>
      </c>
    </row>
    <row r="2613">
      <c r="C2613" s="24"/>
      <c r="D2613" s="24"/>
      <c r="E2613" s="24"/>
      <c r="G2613" s="143"/>
      <c r="H2613" s="24"/>
      <c r="K2613" s="25"/>
      <c r="L2613" s="25"/>
      <c r="M2613" s="77"/>
      <c r="N2613" s="24" t="s">
        <v>4717</v>
      </c>
    </row>
    <row r="2614">
      <c r="C2614" s="24"/>
      <c r="D2614" s="24"/>
      <c r="E2614" s="24"/>
      <c r="G2614" s="143"/>
      <c r="H2614" s="24"/>
      <c r="K2614" s="25"/>
      <c r="L2614" s="25"/>
      <c r="M2614" s="77"/>
      <c r="N2614" s="24" t="s">
        <v>4718</v>
      </c>
    </row>
    <row r="2615">
      <c r="C2615" s="24"/>
      <c r="D2615" s="24"/>
      <c r="E2615" s="24"/>
      <c r="G2615" s="143"/>
      <c r="H2615" s="24"/>
      <c r="K2615" s="25"/>
      <c r="L2615" s="25"/>
      <c r="M2615" s="77"/>
      <c r="N2615" s="24" t="s">
        <v>4719</v>
      </c>
    </row>
    <row r="2616">
      <c r="C2616" s="24"/>
      <c r="D2616" s="24"/>
      <c r="E2616" s="24"/>
      <c r="G2616" s="143"/>
      <c r="H2616" s="24"/>
      <c r="K2616" s="25"/>
      <c r="L2616" s="25"/>
      <c r="M2616" s="77"/>
      <c r="N2616" s="24" t="s">
        <v>4720</v>
      </c>
    </row>
    <row r="2617">
      <c r="C2617" s="24"/>
      <c r="D2617" s="24"/>
      <c r="E2617" s="24"/>
      <c r="G2617" s="143"/>
      <c r="H2617" s="24"/>
      <c r="K2617" s="25"/>
      <c r="L2617" s="25"/>
      <c r="M2617" s="77"/>
      <c r="N2617" s="24" t="s">
        <v>4721</v>
      </c>
    </row>
    <row r="2618">
      <c r="C2618" s="24"/>
      <c r="D2618" s="24"/>
      <c r="E2618" s="24"/>
      <c r="G2618" s="143"/>
      <c r="H2618" s="24"/>
      <c r="K2618" s="25"/>
      <c r="L2618" s="25"/>
      <c r="M2618" s="77"/>
      <c r="N2618" s="24" t="s">
        <v>4722</v>
      </c>
    </row>
    <row r="2619">
      <c r="C2619" s="24"/>
      <c r="D2619" s="24"/>
      <c r="E2619" s="24"/>
      <c r="G2619" s="143"/>
      <c r="H2619" s="24"/>
      <c r="K2619" s="25"/>
      <c r="L2619" s="25"/>
      <c r="M2619" s="77"/>
      <c r="N2619" s="24" t="s">
        <v>4723</v>
      </c>
    </row>
    <row r="2620">
      <c r="C2620" s="24"/>
      <c r="D2620" s="24"/>
      <c r="E2620" s="24"/>
      <c r="G2620" s="143"/>
      <c r="H2620" s="24"/>
      <c r="K2620" s="25"/>
      <c r="L2620" s="25"/>
      <c r="M2620" s="77"/>
      <c r="N2620" s="24" t="s">
        <v>4724</v>
      </c>
    </row>
    <row r="2621">
      <c r="C2621" s="24"/>
      <c r="D2621" s="24"/>
      <c r="E2621" s="24"/>
      <c r="G2621" s="143"/>
      <c r="H2621" s="24"/>
      <c r="K2621" s="25"/>
      <c r="L2621" s="25"/>
      <c r="M2621" s="77"/>
      <c r="N2621" s="24" t="s">
        <v>4725</v>
      </c>
    </row>
    <row r="2622">
      <c r="C2622" s="24"/>
      <c r="D2622" s="24"/>
      <c r="E2622" s="24"/>
      <c r="G2622" s="143"/>
      <c r="H2622" s="24"/>
      <c r="K2622" s="25"/>
      <c r="L2622" s="25"/>
      <c r="M2622" s="77"/>
      <c r="N2622" s="24" t="s">
        <v>4726</v>
      </c>
    </row>
    <row r="2623">
      <c r="C2623" s="24"/>
      <c r="D2623" s="24"/>
      <c r="E2623" s="24"/>
      <c r="G2623" s="143"/>
      <c r="H2623" s="24"/>
      <c r="K2623" s="25"/>
      <c r="L2623" s="25"/>
      <c r="M2623" s="77"/>
      <c r="N2623" s="24" t="s">
        <v>4727</v>
      </c>
    </row>
    <row r="2624">
      <c r="C2624" s="24"/>
      <c r="D2624" s="24"/>
      <c r="E2624" s="24"/>
      <c r="G2624" s="143"/>
      <c r="H2624" s="24"/>
      <c r="K2624" s="25"/>
      <c r="L2624" s="25"/>
      <c r="M2624" s="77"/>
      <c r="N2624" s="24" t="s">
        <v>4728</v>
      </c>
    </row>
    <row r="2625">
      <c r="C2625" s="24"/>
      <c r="D2625" s="24"/>
      <c r="E2625" s="24"/>
      <c r="G2625" s="143"/>
      <c r="H2625" s="24"/>
      <c r="K2625" s="25"/>
      <c r="L2625" s="25"/>
      <c r="M2625" s="77"/>
      <c r="N2625" s="24" t="s">
        <v>4729</v>
      </c>
    </row>
    <row r="2626">
      <c r="C2626" s="24"/>
      <c r="D2626" s="24"/>
      <c r="E2626" s="24"/>
      <c r="G2626" s="143"/>
      <c r="H2626" s="24"/>
      <c r="K2626" s="25"/>
      <c r="L2626" s="25"/>
      <c r="M2626" s="77"/>
      <c r="N2626" s="24" t="s">
        <v>4730</v>
      </c>
    </row>
    <row r="2627">
      <c r="C2627" s="24"/>
      <c r="D2627" s="24"/>
      <c r="E2627" s="24"/>
      <c r="G2627" s="143"/>
      <c r="H2627" s="24"/>
      <c r="K2627" s="25"/>
      <c r="L2627" s="25"/>
      <c r="M2627" s="77"/>
      <c r="N2627" s="24" t="s">
        <v>4731</v>
      </c>
    </row>
    <row r="2628">
      <c r="C2628" s="24"/>
      <c r="D2628" s="24"/>
      <c r="E2628" s="24"/>
      <c r="G2628" s="143"/>
      <c r="H2628" s="24"/>
      <c r="K2628" s="25"/>
      <c r="L2628" s="25"/>
      <c r="M2628" s="77"/>
      <c r="N2628" s="24" t="s">
        <v>4732</v>
      </c>
    </row>
    <row r="2629">
      <c r="C2629" s="24"/>
      <c r="D2629" s="24"/>
      <c r="E2629" s="24"/>
      <c r="G2629" s="143"/>
      <c r="H2629" s="24"/>
      <c r="K2629" s="25"/>
      <c r="L2629" s="25"/>
      <c r="M2629" s="77"/>
      <c r="N2629" s="24" t="s">
        <v>4733</v>
      </c>
    </row>
    <row r="2630">
      <c r="C2630" s="24"/>
      <c r="D2630" s="24"/>
      <c r="E2630" s="24"/>
      <c r="G2630" s="143"/>
      <c r="H2630" s="24"/>
      <c r="K2630" s="25"/>
      <c r="L2630" s="25"/>
      <c r="M2630" s="77"/>
      <c r="N2630" s="24" t="s">
        <v>4734</v>
      </c>
    </row>
    <row r="2631">
      <c r="C2631" s="24"/>
      <c r="D2631" s="24"/>
      <c r="E2631" s="24"/>
      <c r="G2631" s="143"/>
      <c r="H2631" s="24"/>
      <c r="K2631" s="25"/>
      <c r="L2631" s="25"/>
      <c r="M2631" s="77"/>
      <c r="N2631" s="24" t="s">
        <v>4735</v>
      </c>
    </row>
    <row r="2632">
      <c r="C2632" s="24"/>
      <c r="D2632" s="24"/>
      <c r="E2632" s="24"/>
      <c r="G2632" s="143"/>
      <c r="H2632" s="24"/>
      <c r="K2632" s="25"/>
      <c r="L2632" s="25"/>
      <c r="M2632" s="77"/>
      <c r="N2632" s="24" t="s">
        <v>4736</v>
      </c>
    </row>
    <row r="2633">
      <c r="C2633" s="24"/>
      <c r="D2633" s="24"/>
      <c r="E2633" s="24"/>
      <c r="G2633" s="143"/>
      <c r="H2633" s="24"/>
      <c r="K2633" s="25"/>
      <c r="L2633" s="25"/>
      <c r="M2633" s="77"/>
      <c r="N2633" s="24" t="s">
        <v>4737</v>
      </c>
    </row>
    <row r="2634">
      <c r="C2634" s="24"/>
      <c r="D2634" s="24"/>
      <c r="E2634" s="24"/>
      <c r="G2634" s="143"/>
      <c r="H2634" s="24"/>
      <c r="K2634" s="25"/>
      <c r="L2634" s="25"/>
      <c r="M2634" s="77"/>
      <c r="N2634" s="24" t="s">
        <v>4738</v>
      </c>
    </row>
    <row r="2635">
      <c r="C2635" s="24"/>
      <c r="D2635" s="24"/>
      <c r="E2635" s="24"/>
      <c r="G2635" s="143"/>
      <c r="H2635" s="24"/>
      <c r="K2635" s="25"/>
      <c r="L2635" s="25"/>
      <c r="M2635" s="77"/>
      <c r="N2635" s="24" t="s">
        <v>4739</v>
      </c>
    </row>
    <row r="2636">
      <c r="C2636" s="24"/>
      <c r="D2636" s="24"/>
      <c r="E2636" s="24"/>
      <c r="G2636" s="143"/>
      <c r="H2636" s="24"/>
      <c r="K2636" s="25"/>
      <c r="L2636" s="25"/>
      <c r="M2636" s="77"/>
      <c r="N2636" s="24" t="s">
        <v>4740</v>
      </c>
    </row>
    <row r="2637">
      <c r="C2637" s="24"/>
      <c r="D2637" s="24"/>
      <c r="E2637" s="24"/>
      <c r="G2637" s="143"/>
      <c r="H2637" s="24"/>
      <c r="K2637" s="25"/>
      <c r="L2637" s="25"/>
      <c r="M2637" s="77"/>
      <c r="N2637" s="24" t="s">
        <v>4741</v>
      </c>
    </row>
    <row r="2638">
      <c r="C2638" s="24"/>
      <c r="D2638" s="24"/>
      <c r="E2638" s="24"/>
      <c r="G2638" s="143"/>
      <c r="H2638" s="24"/>
      <c r="K2638" s="25"/>
      <c r="L2638" s="25"/>
      <c r="M2638" s="77"/>
      <c r="N2638" s="24" t="s">
        <v>4742</v>
      </c>
    </row>
    <row r="2639">
      <c r="C2639" s="24"/>
      <c r="D2639" s="24"/>
      <c r="E2639" s="24"/>
      <c r="G2639" s="143"/>
      <c r="H2639" s="24"/>
      <c r="K2639" s="25"/>
      <c r="L2639" s="25"/>
      <c r="M2639" s="77"/>
      <c r="N2639" s="24" t="s">
        <v>4743</v>
      </c>
    </row>
    <row r="2640">
      <c r="C2640" s="24"/>
      <c r="D2640" s="24"/>
      <c r="E2640" s="24"/>
      <c r="G2640" s="143"/>
      <c r="H2640" s="24"/>
      <c r="K2640" s="25"/>
      <c r="L2640" s="25"/>
      <c r="M2640" s="77"/>
      <c r="N2640" s="24" t="s">
        <v>4744</v>
      </c>
    </row>
    <row r="2641">
      <c r="C2641" s="24"/>
      <c r="D2641" s="24"/>
      <c r="E2641" s="24"/>
      <c r="G2641" s="143"/>
      <c r="H2641" s="24"/>
      <c r="K2641" s="25"/>
      <c r="L2641" s="25"/>
      <c r="M2641" s="77"/>
      <c r="N2641" s="24" t="s">
        <v>4745</v>
      </c>
    </row>
    <row r="2642">
      <c r="C2642" s="24"/>
      <c r="D2642" s="24"/>
      <c r="E2642" s="24"/>
      <c r="G2642" s="143"/>
      <c r="H2642" s="24"/>
      <c r="K2642" s="25"/>
      <c r="L2642" s="25"/>
      <c r="M2642" s="77"/>
      <c r="N2642" s="24" t="s">
        <v>4746</v>
      </c>
    </row>
    <row r="2643">
      <c r="C2643" s="24"/>
      <c r="D2643" s="24"/>
      <c r="E2643" s="24"/>
      <c r="G2643" s="143"/>
      <c r="H2643" s="24"/>
      <c r="K2643" s="25"/>
      <c r="L2643" s="25"/>
      <c r="M2643" s="77"/>
      <c r="N2643" s="24" t="s">
        <v>4544</v>
      </c>
    </row>
    <row r="2644">
      <c r="C2644" s="24"/>
      <c r="D2644" s="24"/>
      <c r="E2644" s="24"/>
      <c r="G2644" s="143"/>
      <c r="H2644" s="24"/>
      <c r="K2644" s="25"/>
      <c r="L2644" s="25"/>
      <c r="M2644" s="77"/>
      <c r="N2644" s="24" t="s">
        <v>4747</v>
      </c>
    </row>
    <row r="2645">
      <c r="C2645" s="24"/>
      <c r="D2645" s="24"/>
      <c r="E2645" s="24"/>
      <c r="G2645" s="143"/>
      <c r="H2645" s="24"/>
      <c r="K2645" s="25"/>
      <c r="L2645" s="25"/>
      <c r="M2645" s="77"/>
      <c r="N2645" s="24" t="s">
        <v>4748</v>
      </c>
    </row>
    <row r="2646">
      <c r="C2646" s="24"/>
      <c r="D2646" s="24"/>
      <c r="E2646" s="24"/>
      <c r="G2646" s="143"/>
      <c r="H2646" s="24"/>
      <c r="K2646" s="25"/>
      <c r="L2646" s="25"/>
      <c r="M2646" s="77"/>
      <c r="N2646" s="24" t="s">
        <v>4749</v>
      </c>
    </row>
    <row r="2647">
      <c r="C2647" s="24"/>
      <c r="D2647" s="24"/>
      <c r="E2647" s="24"/>
      <c r="G2647" s="143"/>
      <c r="H2647" s="24"/>
      <c r="K2647" s="25"/>
      <c r="L2647" s="25"/>
      <c r="M2647" s="77"/>
      <c r="N2647" s="24" t="s">
        <v>4750</v>
      </c>
    </row>
    <row r="2648">
      <c r="C2648" s="24"/>
      <c r="D2648" s="24"/>
      <c r="E2648" s="24"/>
      <c r="G2648" s="143"/>
      <c r="H2648" s="24"/>
      <c r="K2648" s="25"/>
      <c r="L2648" s="25"/>
      <c r="M2648" s="77"/>
      <c r="N2648" s="24" t="s">
        <v>4751</v>
      </c>
    </row>
    <row r="2649">
      <c r="C2649" s="24"/>
      <c r="D2649" s="24"/>
      <c r="E2649" s="24"/>
      <c r="G2649" s="143"/>
      <c r="H2649" s="24"/>
      <c r="K2649" s="25"/>
      <c r="L2649" s="25"/>
      <c r="M2649" s="77"/>
      <c r="N2649" s="24" t="s">
        <v>4752</v>
      </c>
    </row>
    <row r="2650">
      <c r="C2650" s="24"/>
      <c r="D2650" s="24"/>
      <c r="E2650" s="24"/>
      <c r="G2650" s="143"/>
      <c r="H2650" s="24"/>
      <c r="K2650" s="25"/>
      <c r="L2650" s="25"/>
      <c r="M2650" s="77"/>
      <c r="N2650" s="24" t="s">
        <v>4753</v>
      </c>
    </row>
    <row r="2651">
      <c r="C2651" s="24"/>
      <c r="D2651" s="24"/>
      <c r="E2651" s="24"/>
      <c r="G2651" s="143"/>
      <c r="H2651" s="24"/>
      <c r="K2651" s="25"/>
      <c r="L2651" s="25"/>
      <c r="M2651" s="77"/>
      <c r="N2651" s="24" t="s">
        <v>4754</v>
      </c>
    </row>
    <row r="2652">
      <c r="C2652" s="24"/>
      <c r="D2652" s="24"/>
      <c r="E2652" s="24"/>
      <c r="G2652" s="143"/>
      <c r="H2652" s="24"/>
      <c r="K2652" s="25"/>
      <c r="L2652" s="25"/>
      <c r="M2652" s="77"/>
      <c r="N2652" s="24" t="s">
        <v>4755</v>
      </c>
    </row>
    <row r="2653">
      <c r="C2653" s="24"/>
      <c r="D2653" s="24"/>
      <c r="E2653" s="24"/>
      <c r="G2653" s="143"/>
      <c r="H2653" s="24"/>
      <c r="K2653" s="25"/>
      <c r="L2653" s="25"/>
      <c r="M2653" s="77"/>
      <c r="N2653" s="24" t="s">
        <v>4756</v>
      </c>
    </row>
    <row r="2654">
      <c r="C2654" s="24"/>
      <c r="D2654" s="24"/>
      <c r="E2654" s="24"/>
      <c r="G2654" s="143"/>
      <c r="H2654" s="24"/>
      <c r="K2654" s="25"/>
      <c r="L2654" s="25"/>
      <c r="M2654" s="77"/>
      <c r="N2654" s="24" t="s">
        <v>4757</v>
      </c>
    </row>
    <row r="2655">
      <c r="C2655" s="24"/>
      <c r="D2655" s="24"/>
      <c r="E2655" s="24"/>
      <c r="G2655" s="143"/>
      <c r="H2655" s="24"/>
      <c r="K2655" s="25"/>
      <c r="L2655" s="25"/>
      <c r="M2655" s="77"/>
      <c r="N2655" s="24" t="s">
        <v>4758</v>
      </c>
    </row>
    <row r="2656">
      <c r="C2656" s="24"/>
      <c r="D2656" s="24"/>
      <c r="E2656" s="24"/>
      <c r="G2656" s="143"/>
      <c r="H2656" s="24"/>
      <c r="K2656" s="25"/>
      <c r="L2656" s="25"/>
      <c r="M2656" s="77"/>
      <c r="N2656" s="24" t="s">
        <v>4759</v>
      </c>
    </row>
    <row r="2657">
      <c r="C2657" s="24"/>
      <c r="D2657" s="24"/>
      <c r="E2657" s="24"/>
      <c r="G2657" s="143"/>
      <c r="H2657" s="24"/>
      <c r="K2657" s="25"/>
      <c r="L2657" s="25"/>
      <c r="M2657" s="77"/>
      <c r="N2657" s="24" t="s">
        <v>4760</v>
      </c>
    </row>
    <row r="2658">
      <c r="C2658" s="24"/>
      <c r="D2658" s="24"/>
      <c r="E2658" s="24"/>
      <c r="G2658" s="143"/>
      <c r="H2658" s="24"/>
      <c r="K2658" s="25"/>
      <c r="L2658" s="25"/>
      <c r="M2658" s="77"/>
      <c r="N2658" s="24" t="s">
        <v>4761</v>
      </c>
    </row>
    <row r="2659">
      <c r="C2659" s="24"/>
      <c r="D2659" s="24"/>
      <c r="E2659" s="24"/>
      <c r="G2659" s="143"/>
      <c r="H2659" s="24"/>
      <c r="K2659" s="25"/>
      <c r="L2659" s="25"/>
      <c r="M2659" s="77"/>
      <c r="N2659" s="24" t="s">
        <v>4762</v>
      </c>
    </row>
    <row r="2660">
      <c r="C2660" s="24"/>
      <c r="D2660" s="24"/>
      <c r="E2660" s="24"/>
      <c r="G2660" s="143"/>
      <c r="H2660" s="24"/>
      <c r="K2660" s="25"/>
      <c r="L2660" s="25"/>
      <c r="M2660" s="77"/>
      <c r="N2660" s="24" t="s">
        <v>4227</v>
      </c>
    </row>
    <row r="2661">
      <c r="C2661" s="24"/>
      <c r="D2661" s="24"/>
      <c r="E2661" s="24"/>
      <c r="G2661" s="143"/>
      <c r="H2661" s="24"/>
      <c r="K2661" s="25"/>
      <c r="L2661" s="25"/>
      <c r="M2661" s="77"/>
      <c r="N2661" s="24" t="s">
        <v>4763</v>
      </c>
    </row>
    <row r="2662">
      <c r="C2662" s="24"/>
      <c r="D2662" s="24"/>
      <c r="E2662" s="24"/>
      <c r="G2662" s="143"/>
      <c r="H2662" s="24"/>
      <c r="K2662" s="25"/>
      <c r="L2662" s="25"/>
      <c r="M2662" s="77"/>
      <c r="N2662" s="24" t="s">
        <v>4764</v>
      </c>
    </row>
    <row r="2663">
      <c r="C2663" s="24"/>
      <c r="D2663" s="24"/>
      <c r="E2663" s="24"/>
      <c r="G2663" s="143"/>
      <c r="H2663" s="24"/>
      <c r="K2663" s="25"/>
      <c r="L2663" s="25"/>
      <c r="M2663" s="77"/>
      <c r="N2663" s="24" t="s">
        <v>4765</v>
      </c>
    </row>
    <row r="2664">
      <c r="C2664" s="24"/>
      <c r="D2664" s="24"/>
      <c r="E2664" s="24"/>
      <c r="G2664" s="143"/>
      <c r="H2664" s="24"/>
      <c r="K2664" s="25"/>
      <c r="L2664" s="25"/>
      <c r="M2664" s="77"/>
      <c r="N2664" s="24" t="s">
        <v>4766</v>
      </c>
    </row>
    <row r="2665">
      <c r="C2665" s="24"/>
      <c r="D2665" s="24"/>
      <c r="E2665" s="24"/>
      <c r="G2665" s="143"/>
      <c r="H2665" s="24"/>
      <c r="K2665" s="25"/>
      <c r="L2665" s="25"/>
      <c r="M2665" s="77"/>
      <c r="N2665" s="24" t="s">
        <v>4767</v>
      </c>
    </row>
    <row r="2666">
      <c r="C2666" s="24"/>
      <c r="D2666" s="24"/>
      <c r="E2666" s="24"/>
      <c r="G2666" s="143"/>
      <c r="H2666" s="24"/>
      <c r="K2666" s="25"/>
      <c r="L2666" s="25"/>
      <c r="M2666" s="77"/>
      <c r="N2666" s="24" t="s">
        <v>4768</v>
      </c>
    </row>
    <row r="2667">
      <c r="C2667" s="24"/>
      <c r="D2667" s="24"/>
      <c r="E2667" s="24"/>
      <c r="G2667" s="143"/>
      <c r="H2667" s="24"/>
      <c r="K2667" s="25"/>
      <c r="L2667" s="25"/>
      <c r="M2667" s="77"/>
      <c r="N2667" s="24" t="s">
        <v>4769</v>
      </c>
    </row>
    <row r="2668">
      <c r="C2668" s="24"/>
      <c r="D2668" s="24"/>
      <c r="E2668" s="24"/>
      <c r="G2668" s="143"/>
      <c r="H2668" s="24"/>
      <c r="K2668" s="25"/>
      <c r="L2668" s="25"/>
      <c r="M2668" s="77"/>
      <c r="N2668" s="24" t="s">
        <v>4770</v>
      </c>
    </row>
    <row r="2669">
      <c r="C2669" s="24"/>
      <c r="D2669" s="24"/>
      <c r="E2669" s="24"/>
      <c r="G2669" s="143"/>
      <c r="H2669" s="24"/>
      <c r="K2669" s="25"/>
      <c r="L2669" s="25"/>
      <c r="M2669" s="77"/>
      <c r="N2669" s="24" t="s">
        <v>4771</v>
      </c>
    </row>
    <row r="2670">
      <c r="C2670" s="24"/>
      <c r="D2670" s="24"/>
      <c r="E2670" s="24"/>
      <c r="G2670" s="143"/>
      <c r="H2670" s="24"/>
      <c r="K2670" s="25"/>
      <c r="L2670" s="25"/>
      <c r="M2670" s="77"/>
      <c r="N2670" s="24" t="s">
        <v>4772</v>
      </c>
    </row>
    <row r="2671">
      <c r="C2671" s="24"/>
      <c r="D2671" s="24"/>
      <c r="E2671" s="24"/>
      <c r="G2671" s="143"/>
      <c r="H2671" s="24"/>
      <c r="K2671" s="25"/>
      <c r="L2671" s="25"/>
      <c r="M2671" s="77"/>
      <c r="N2671" s="24" t="s">
        <v>4773</v>
      </c>
    </row>
    <row r="2672">
      <c r="C2672" s="24"/>
      <c r="D2672" s="24"/>
      <c r="E2672" s="24"/>
      <c r="G2672" s="143"/>
      <c r="H2672" s="24"/>
      <c r="K2672" s="25"/>
      <c r="L2672" s="25"/>
      <c r="M2672" s="77"/>
      <c r="N2672" s="24" t="s">
        <v>4774</v>
      </c>
    </row>
    <row r="2673">
      <c r="C2673" s="24"/>
      <c r="D2673" s="24"/>
      <c r="E2673" s="24"/>
      <c r="G2673" s="143"/>
      <c r="H2673" s="24"/>
      <c r="K2673" s="25"/>
      <c r="L2673" s="25"/>
      <c r="M2673" s="77"/>
      <c r="N2673" s="24" t="s">
        <v>4775</v>
      </c>
    </row>
    <row r="2674">
      <c r="C2674" s="24"/>
      <c r="D2674" s="24"/>
      <c r="E2674" s="24"/>
      <c r="G2674" s="143"/>
      <c r="H2674" s="24"/>
      <c r="K2674" s="25"/>
      <c r="L2674" s="25"/>
      <c r="M2674" s="77"/>
      <c r="N2674" s="24" t="s">
        <v>4776</v>
      </c>
    </row>
    <row r="2675">
      <c r="C2675" s="24"/>
      <c r="D2675" s="24"/>
      <c r="E2675" s="24"/>
      <c r="G2675" s="143"/>
      <c r="H2675" s="24"/>
      <c r="K2675" s="25"/>
      <c r="L2675" s="25"/>
      <c r="M2675" s="77"/>
      <c r="N2675" s="24" t="s">
        <v>4777</v>
      </c>
    </row>
    <row r="2676">
      <c r="C2676" s="24"/>
      <c r="D2676" s="24"/>
      <c r="E2676" s="24"/>
      <c r="G2676" s="143"/>
      <c r="H2676" s="24"/>
      <c r="K2676" s="25"/>
      <c r="L2676" s="25"/>
      <c r="M2676" s="77"/>
      <c r="N2676" s="24" t="s">
        <v>4778</v>
      </c>
    </row>
    <row r="2677">
      <c r="C2677" s="24"/>
      <c r="D2677" s="24"/>
      <c r="E2677" s="24"/>
      <c r="G2677" s="143"/>
      <c r="H2677" s="24"/>
      <c r="K2677" s="25"/>
      <c r="L2677" s="25"/>
      <c r="M2677" s="77"/>
      <c r="N2677" s="24" t="s">
        <v>4779</v>
      </c>
    </row>
    <row r="2678">
      <c r="C2678" s="24"/>
      <c r="D2678" s="24"/>
      <c r="E2678" s="24"/>
      <c r="G2678" s="143"/>
      <c r="H2678" s="24"/>
      <c r="K2678" s="25"/>
      <c r="L2678" s="25"/>
      <c r="M2678" s="77"/>
      <c r="N2678" s="24" t="s">
        <v>4780</v>
      </c>
    </row>
    <row r="2679">
      <c r="C2679" s="24"/>
      <c r="D2679" s="24"/>
      <c r="E2679" s="24"/>
      <c r="G2679" s="143"/>
      <c r="H2679" s="24"/>
      <c r="K2679" s="25"/>
      <c r="L2679" s="25"/>
      <c r="M2679" s="77"/>
      <c r="N2679" s="24" t="s">
        <v>4781</v>
      </c>
    </row>
    <row r="2680">
      <c r="C2680" s="24"/>
      <c r="D2680" s="24"/>
      <c r="E2680" s="24"/>
      <c r="G2680" s="143"/>
      <c r="H2680" s="24"/>
      <c r="K2680" s="25"/>
      <c r="L2680" s="25"/>
      <c r="M2680" s="77"/>
      <c r="N2680" s="24" t="s">
        <v>4782</v>
      </c>
    </row>
    <row r="2681">
      <c r="C2681" s="24"/>
      <c r="D2681" s="24"/>
      <c r="E2681" s="24"/>
      <c r="G2681" s="143"/>
      <c r="H2681" s="24"/>
      <c r="K2681" s="25"/>
      <c r="L2681" s="25"/>
      <c r="M2681" s="77"/>
      <c r="N2681" s="24" t="s">
        <v>4160</v>
      </c>
    </row>
    <row r="2682">
      <c r="C2682" s="24"/>
      <c r="D2682" s="24"/>
      <c r="E2682" s="24"/>
      <c r="G2682" s="143"/>
      <c r="H2682" s="24"/>
      <c r="K2682" s="25"/>
      <c r="L2682" s="25"/>
      <c r="M2682" s="77"/>
      <c r="N2682" s="24" t="s">
        <v>4783</v>
      </c>
    </row>
    <row r="2683">
      <c r="C2683" s="24"/>
      <c r="D2683" s="24"/>
      <c r="E2683" s="24"/>
      <c r="G2683" s="143"/>
      <c r="H2683" s="24"/>
      <c r="K2683" s="25"/>
      <c r="L2683" s="25"/>
      <c r="M2683" s="77"/>
      <c r="N2683" s="24" t="s">
        <v>4784</v>
      </c>
    </row>
    <row r="2684">
      <c r="C2684" s="24"/>
      <c r="D2684" s="24"/>
      <c r="E2684" s="24"/>
      <c r="G2684" s="143"/>
      <c r="H2684" s="24"/>
      <c r="K2684" s="25"/>
      <c r="L2684" s="25"/>
      <c r="M2684" s="77"/>
      <c r="N2684" s="24" t="s">
        <v>4785</v>
      </c>
    </row>
    <row r="2685">
      <c r="C2685" s="24"/>
      <c r="D2685" s="24"/>
      <c r="E2685" s="24"/>
      <c r="G2685" s="143"/>
      <c r="H2685" s="24"/>
      <c r="K2685" s="25"/>
      <c r="L2685" s="25"/>
      <c r="M2685" s="77"/>
      <c r="N2685" s="24" t="s">
        <v>4786</v>
      </c>
    </row>
    <row r="2686">
      <c r="C2686" s="24"/>
      <c r="D2686" s="24"/>
      <c r="E2686" s="24"/>
      <c r="G2686" s="143"/>
      <c r="H2686" s="24"/>
      <c r="K2686" s="25"/>
      <c r="L2686" s="25"/>
      <c r="M2686" s="77"/>
      <c r="N2686" s="24" t="s">
        <v>4787</v>
      </c>
    </row>
    <row r="2687">
      <c r="C2687" s="24"/>
      <c r="D2687" s="24"/>
      <c r="E2687" s="24"/>
      <c r="G2687" s="143"/>
      <c r="H2687" s="24"/>
      <c r="K2687" s="25"/>
      <c r="L2687" s="25"/>
      <c r="M2687" s="77"/>
      <c r="N2687" s="24" t="s">
        <v>4788</v>
      </c>
    </row>
    <row r="2688">
      <c r="C2688" s="24"/>
      <c r="D2688" s="24"/>
      <c r="E2688" s="24"/>
      <c r="G2688" s="143"/>
      <c r="H2688" s="24"/>
      <c r="K2688" s="25"/>
      <c r="L2688" s="25"/>
      <c r="M2688" s="77"/>
      <c r="N2688" s="24" t="s">
        <v>4789</v>
      </c>
    </row>
    <row r="2689">
      <c r="C2689" s="24"/>
      <c r="D2689" s="24"/>
      <c r="E2689" s="24"/>
      <c r="G2689" s="143"/>
      <c r="H2689" s="24"/>
      <c r="K2689" s="25"/>
      <c r="L2689" s="25"/>
      <c r="M2689" s="77"/>
      <c r="N2689" s="24" t="s">
        <v>4790</v>
      </c>
    </row>
    <row r="2690">
      <c r="C2690" s="24"/>
      <c r="D2690" s="24"/>
      <c r="E2690" s="24"/>
      <c r="G2690" s="143"/>
      <c r="H2690" s="24"/>
      <c r="K2690" s="25"/>
      <c r="L2690" s="25"/>
      <c r="M2690" s="77"/>
      <c r="N2690" s="24" t="s">
        <v>4791</v>
      </c>
    </row>
    <row r="2691">
      <c r="C2691" s="24"/>
      <c r="D2691" s="24"/>
      <c r="E2691" s="24"/>
      <c r="G2691" s="143"/>
      <c r="H2691" s="24"/>
      <c r="K2691" s="25"/>
      <c r="L2691" s="25"/>
      <c r="M2691" s="77"/>
      <c r="N2691" s="24" t="s">
        <v>4792</v>
      </c>
    </row>
    <row r="2692">
      <c r="C2692" s="24"/>
      <c r="D2692" s="24"/>
      <c r="E2692" s="24"/>
      <c r="G2692" s="143"/>
      <c r="H2692" s="24"/>
      <c r="K2692" s="25"/>
      <c r="L2692" s="25"/>
      <c r="M2692" s="77"/>
      <c r="N2692" s="24" t="s">
        <v>4793</v>
      </c>
    </row>
    <row r="2693">
      <c r="C2693" s="24"/>
      <c r="D2693" s="24"/>
      <c r="E2693" s="24"/>
      <c r="G2693" s="143"/>
      <c r="H2693" s="24"/>
      <c r="K2693" s="25"/>
      <c r="L2693" s="25"/>
      <c r="M2693" s="77"/>
      <c r="N2693" s="24" t="s">
        <v>4794</v>
      </c>
    </row>
    <row r="2694">
      <c r="C2694" s="24"/>
      <c r="D2694" s="24"/>
      <c r="E2694" s="24"/>
      <c r="G2694" s="143"/>
      <c r="H2694" s="24"/>
      <c r="K2694" s="25"/>
      <c r="L2694" s="25"/>
      <c r="M2694" s="77"/>
      <c r="N2694" s="24" t="s">
        <v>4795</v>
      </c>
    </row>
    <row r="2695">
      <c r="C2695" s="24"/>
      <c r="D2695" s="24"/>
      <c r="E2695" s="24"/>
      <c r="G2695" s="143"/>
      <c r="H2695" s="24"/>
      <c r="K2695" s="25"/>
      <c r="L2695" s="25"/>
      <c r="M2695" s="77"/>
      <c r="N2695" s="24" t="s">
        <v>4796</v>
      </c>
    </row>
    <row r="2696">
      <c r="C2696" s="24"/>
      <c r="D2696" s="24"/>
      <c r="E2696" s="24"/>
      <c r="G2696" s="143"/>
      <c r="H2696" s="24"/>
      <c r="K2696" s="25"/>
      <c r="L2696" s="25"/>
      <c r="M2696" s="77"/>
      <c r="N2696" s="24" t="s">
        <v>4797</v>
      </c>
    </row>
    <row r="2697">
      <c r="C2697" s="24"/>
      <c r="D2697" s="24"/>
      <c r="E2697" s="24"/>
      <c r="G2697" s="143"/>
      <c r="H2697" s="24"/>
      <c r="K2697" s="25"/>
      <c r="L2697" s="25"/>
      <c r="M2697" s="77"/>
      <c r="N2697" s="24" t="s">
        <v>4798</v>
      </c>
    </row>
    <row r="2698">
      <c r="C2698" s="24"/>
      <c r="D2698" s="24"/>
      <c r="E2698" s="24"/>
      <c r="G2698" s="143"/>
      <c r="H2698" s="24"/>
      <c r="K2698" s="25"/>
      <c r="L2698" s="25"/>
      <c r="M2698" s="77"/>
      <c r="N2698" s="24" t="s">
        <v>4799</v>
      </c>
    </row>
    <row r="2699">
      <c r="C2699" s="24"/>
      <c r="D2699" s="24"/>
      <c r="E2699" s="24"/>
      <c r="G2699" s="143"/>
      <c r="H2699" s="24"/>
      <c r="K2699" s="25"/>
      <c r="L2699" s="25"/>
      <c r="M2699" s="77"/>
      <c r="N2699" s="24" t="s">
        <v>4800</v>
      </c>
    </row>
    <row r="2700">
      <c r="C2700" s="24"/>
      <c r="D2700" s="24"/>
      <c r="E2700" s="24"/>
      <c r="G2700" s="143"/>
      <c r="H2700" s="24"/>
      <c r="K2700" s="25"/>
      <c r="L2700" s="25"/>
      <c r="M2700" s="77"/>
      <c r="N2700" s="24" t="s">
        <v>4560</v>
      </c>
    </row>
    <row r="2701">
      <c r="C2701" s="24"/>
      <c r="D2701" s="24"/>
      <c r="E2701" s="24"/>
      <c r="G2701" s="143"/>
      <c r="H2701" s="24"/>
      <c r="K2701" s="25"/>
      <c r="L2701" s="25"/>
      <c r="M2701" s="77"/>
      <c r="N2701" s="24" t="s">
        <v>4801</v>
      </c>
    </row>
    <row r="2702">
      <c r="C2702" s="24"/>
      <c r="D2702" s="24"/>
      <c r="E2702" s="24"/>
      <c r="G2702" s="143"/>
      <c r="H2702" s="24"/>
      <c r="K2702" s="25"/>
      <c r="L2702" s="25"/>
      <c r="M2702" s="77"/>
      <c r="N2702" s="24" t="s">
        <v>4802</v>
      </c>
    </row>
    <row r="2703">
      <c r="C2703" s="24"/>
      <c r="D2703" s="24"/>
      <c r="E2703" s="24"/>
      <c r="G2703" s="143"/>
      <c r="H2703" s="24"/>
      <c r="K2703" s="25"/>
      <c r="L2703" s="25"/>
      <c r="M2703" s="77"/>
      <c r="N2703" s="24" t="s">
        <v>4803</v>
      </c>
    </row>
    <row r="2704">
      <c r="C2704" s="24"/>
      <c r="D2704" s="24"/>
      <c r="E2704" s="24"/>
      <c r="G2704" s="143"/>
      <c r="H2704" s="24"/>
      <c r="K2704" s="25"/>
      <c r="L2704" s="25"/>
      <c r="M2704" s="77"/>
      <c r="N2704" s="24" t="s">
        <v>4397</v>
      </c>
    </row>
    <row r="2705">
      <c r="C2705" s="24"/>
      <c r="D2705" s="24"/>
      <c r="E2705" s="24"/>
      <c r="G2705" s="143"/>
      <c r="H2705" s="24"/>
      <c r="K2705" s="25"/>
      <c r="L2705" s="25"/>
      <c r="M2705" s="77"/>
      <c r="N2705" s="24" t="s">
        <v>4804</v>
      </c>
    </row>
    <row r="2706">
      <c r="C2706" s="24"/>
      <c r="D2706" s="24"/>
      <c r="E2706" s="24"/>
      <c r="G2706" s="143"/>
      <c r="H2706" s="24"/>
      <c r="K2706" s="25"/>
      <c r="L2706" s="25"/>
      <c r="M2706" s="77"/>
      <c r="N2706" s="24" t="s">
        <v>4805</v>
      </c>
    </row>
    <row r="2707">
      <c r="C2707" s="24"/>
      <c r="D2707" s="24"/>
      <c r="E2707" s="24"/>
      <c r="G2707" s="143"/>
      <c r="H2707" s="24"/>
      <c r="K2707" s="25"/>
      <c r="L2707" s="25"/>
      <c r="M2707" s="77"/>
      <c r="N2707" s="24" t="s">
        <v>4806</v>
      </c>
    </row>
    <row r="2708">
      <c r="C2708" s="24"/>
      <c r="D2708" s="24"/>
      <c r="E2708" s="24"/>
      <c r="G2708" s="143"/>
      <c r="H2708" s="24"/>
      <c r="K2708" s="25"/>
      <c r="L2708" s="25"/>
      <c r="M2708" s="77"/>
      <c r="N2708" s="24" t="s">
        <v>4807</v>
      </c>
    </row>
    <row r="2709">
      <c r="C2709" s="24"/>
      <c r="D2709" s="24"/>
      <c r="E2709" s="24"/>
      <c r="G2709" s="143"/>
      <c r="H2709" s="24"/>
      <c r="K2709" s="25"/>
      <c r="L2709" s="25"/>
      <c r="M2709" s="77"/>
      <c r="N2709" s="24" t="s">
        <v>4808</v>
      </c>
    </row>
    <row r="2710">
      <c r="C2710" s="24"/>
      <c r="D2710" s="24"/>
      <c r="E2710" s="24"/>
      <c r="G2710" s="143"/>
      <c r="H2710" s="24"/>
      <c r="K2710" s="25"/>
      <c r="L2710" s="25"/>
      <c r="M2710" s="77"/>
      <c r="N2710" s="24" t="s">
        <v>4809</v>
      </c>
    </row>
    <row r="2711">
      <c r="C2711" s="24"/>
      <c r="D2711" s="24"/>
      <c r="E2711" s="24"/>
      <c r="G2711" s="143"/>
      <c r="H2711" s="24"/>
      <c r="K2711" s="25"/>
      <c r="L2711" s="25"/>
      <c r="M2711" s="77"/>
      <c r="N2711" s="24" t="s">
        <v>4810</v>
      </c>
    </row>
    <row r="2712">
      <c r="C2712" s="24"/>
      <c r="D2712" s="24"/>
      <c r="E2712" s="24"/>
      <c r="G2712" s="143"/>
      <c r="H2712" s="24"/>
      <c r="K2712" s="25"/>
      <c r="L2712" s="25"/>
      <c r="M2712" s="77"/>
      <c r="N2712" s="24" t="s">
        <v>4811</v>
      </c>
    </row>
    <row r="2713">
      <c r="C2713" s="24"/>
      <c r="D2713" s="24"/>
      <c r="E2713" s="24"/>
      <c r="G2713" s="143"/>
      <c r="H2713" s="24"/>
      <c r="K2713" s="25"/>
      <c r="L2713" s="25"/>
      <c r="M2713" s="77"/>
      <c r="N2713" s="24" t="s">
        <v>4812</v>
      </c>
    </row>
    <row r="2714">
      <c r="C2714" s="24"/>
      <c r="D2714" s="24"/>
      <c r="E2714" s="24"/>
      <c r="G2714" s="143"/>
      <c r="H2714" s="24"/>
      <c r="K2714" s="25"/>
      <c r="L2714" s="25"/>
      <c r="M2714" s="77"/>
      <c r="N2714" s="24" t="s">
        <v>4813</v>
      </c>
    </row>
    <row r="2715">
      <c r="C2715" s="24"/>
      <c r="D2715" s="24"/>
      <c r="E2715" s="24"/>
      <c r="G2715" s="143"/>
      <c r="H2715" s="24"/>
      <c r="K2715" s="25"/>
      <c r="L2715" s="25"/>
      <c r="M2715" s="77"/>
      <c r="N2715" s="24" t="s">
        <v>4814</v>
      </c>
    </row>
    <row r="2716">
      <c r="C2716" s="24"/>
      <c r="D2716" s="24"/>
      <c r="E2716" s="24"/>
      <c r="G2716" s="143"/>
      <c r="H2716" s="24"/>
      <c r="K2716" s="25"/>
      <c r="L2716" s="25"/>
      <c r="M2716" s="77"/>
      <c r="N2716" s="24" t="s">
        <v>4815</v>
      </c>
    </row>
    <row r="2717">
      <c r="C2717" s="24"/>
      <c r="D2717" s="24"/>
      <c r="E2717" s="24"/>
      <c r="G2717" s="143"/>
      <c r="H2717" s="24"/>
      <c r="K2717" s="25"/>
      <c r="L2717" s="25"/>
      <c r="M2717" s="77"/>
      <c r="N2717" s="24" t="s">
        <v>4816</v>
      </c>
    </row>
    <row r="2718">
      <c r="C2718" s="24"/>
      <c r="D2718" s="24"/>
      <c r="E2718" s="24"/>
      <c r="G2718" s="143"/>
      <c r="H2718" s="24"/>
      <c r="K2718" s="25"/>
      <c r="L2718" s="25"/>
      <c r="M2718" s="77"/>
      <c r="N2718" s="24" t="s">
        <v>4817</v>
      </c>
    </row>
    <row r="2719">
      <c r="C2719" s="24"/>
      <c r="D2719" s="24"/>
      <c r="E2719" s="24"/>
      <c r="G2719" s="143"/>
      <c r="H2719" s="24"/>
      <c r="K2719" s="25"/>
      <c r="L2719" s="25"/>
      <c r="M2719" s="77"/>
      <c r="N2719" s="24" t="s">
        <v>4818</v>
      </c>
    </row>
    <row r="2720">
      <c r="C2720" s="24"/>
      <c r="D2720" s="24"/>
      <c r="E2720" s="24"/>
      <c r="G2720" s="143"/>
      <c r="H2720" s="24"/>
      <c r="K2720" s="25"/>
      <c r="L2720" s="25"/>
      <c r="M2720" s="77"/>
      <c r="N2720" s="24" t="s">
        <v>4819</v>
      </c>
    </row>
    <row r="2721">
      <c r="C2721" s="24"/>
      <c r="D2721" s="24"/>
      <c r="E2721" s="24"/>
      <c r="G2721" s="143"/>
      <c r="H2721" s="24"/>
      <c r="K2721" s="25"/>
      <c r="L2721" s="25"/>
      <c r="M2721" s="77"/>
      <c r="N2721" s="24" t="s">
        <v>4820</v>
      </c>
    </row>
    <row r="2722">
      <c r="C2722" s="24"/>
      <c r="D2722" s="24"/>
      <c r="E2722" s="24"/>
      <c r="G2722" s="143"/>
      <c r="H2722" s="24"/>
      <c r="K2722" s="25"/>
      <c r="L2722" s="25"/>
      <c r="M2722" s="77"/>
      <c r="N2722" s="24" t="s">
        <v>4821</v>
      </c>
    </row>
    <row r="2723">
      <c r="C2723" s="24"/>
      <c r="D2723" s="24"/>
      <c r="E2723" s="24"/>
      <c r="G2723" s="143"/>
      <c r="H2723" s="24"/>
      <c r="K2723" s="25"/>
      <c r="L2723" s="25"/>
      <c r="M2723" s="77"/>
      <c r="N2723" s="24" t="s">
        <v>4822</v>
      </c>
    </row>
    <row r="2724">
      <c r="C2724" s="24"/>
      <c r="D2724" s="24"/>
      <c r="E2724" s="24"/>
      <c r="G2724" s="143"/>
      <c r="H2724" s="24"/>
      <c r="K2724" s="25"/>
      <c r="L2724" s="25"/>
      <c r="M2724" s="77"/>
      <c r="N2724" s="24" t="s">
        <v>4823</v>
      </c>
    </row>
    <row r="2725">
      <c r="C2725" s="24"/>
      <c r="D2725" s="24"/>
      <c r="E2725" s="24"/>
      <c r="G2725" s="143"/>
      <c r="H2725" s="24"/>
      <c r="K2725" s="25"/>
      <c r="L2725" s="25"/>
      <c r="M2725" s="77"/>
      <c r="N2725" s="24" t="s">
        <v>4824</v>
      </c>
    </row>
    <row r="2726">
      <c r="C2726" s="24"/>
      <c r="D2726" s="24"/>
      <c r="E2726" s="24"/>
      <c r="G2726" s="143"/>
      <c r="H2726" s="24"/>
      <c r="K2726" s="25"/>
      <c r="L2726" s="25"/>
      <c r="M2726" s="77"/>
      <c r="N2726" s="24" t="s">
        <v>4825</v>
      </c>
    </row>
    <row r="2727">
      <c r="C2727" s="24"/>
      <c r="D2727" s="24"/>
      <c r="E2727" s="24"/>
      <c r="G2727" s="143"/>
      <c r="H2727" s="24"/>
      <c r="K2727" s="25"/>
      <c r="L2727" s="25"/>
      <c r="M2727" s="77"/>
      <c r="N2727" s="24" t="s">
        <v>4826</v>
      </c>
    </row>
    <row r="2728">
      <c r="C2728" s="24"/>
      <c r="D2728" s="24"/>
      <c r="E2728" s="24"/>
      <c r="G2728" s="143"/>
      <c r="H2728" s="24"/>
      <c r="K2728" s="25"/>
      <c r="L2728" s="25"/>
      <c r="M2728" s="77"/>
      <c r="N2728" s="24" t="s">
        <v>4827</v>
      </c>
    </row>
    <row r="2729">
      <c r="C2729" s="24"/>
      <c r="D2729" s="24"/>
      <c r="E2729" s="24"/>
      <c r="G2729" s="143"/>
      <c r="H2729" s="24"/>
      <c r="K2729" s="25"/>
      <c r="L2729" s="25"/>
      <c r="M2729" s="77"/>
      <c r="N2729" s="24" t="s">
        <v>4828</v>
      </c>
    </row>
    <row r="2730">
      <c r="C2730" s="24"/>
      <c r="D2730" s="24"/>
      <c r="E2730" s="24"/>
      <c r="G2730" s="143"/>
      <c r="H2730" s="24"/>
      <c r="K2730" s="25"/>
      <c r="L2730" s="25"/>
      <c r="M2730" s="77"/>
      <c r="N2730" s="24" t="s">
        <v>4829</v>
      </c>
    </row>
    <row r="2731">
      <c r="C2731" s="24"/>
      <c r="D2731" s="24"/>
      <c r="E2731" s="24"/>
      <c r="G2731" s="143"/>
      <c r="H2731" s="24"/>
      <c r="K2731" s="25"/>
      <c r="L2731" s="25"/>
      <c r="M2731" s="77"/>
      <c r="N2731" s="24" t="s">
        <v>4830</v>
      </c>
    </row>
    <row r="2732">
      <c r="C2732" s="24"/>
      <c r="D2732" s="24"/>
      <c r="E2732" s="24"/>
      <c r="G2732" s="143"/>
      <c r="H2732" s="24"/>
      <c r="K2732" s="25"/>
      <c r="L2732" s="25"/>
      <c r="M2732" s="77"/>
      <c r="N2732" s="24" t="s">
        <v>4831</v>
      </c>
    </row>
    <row r="2733">
      <c r="C2733" s="24"/>
      <c r="D2733" s="24"/>
      <c r="E2733" s="24"/>
      <c r="G2733" s="143"/>
      <c r="H2733" s="24"/>
      <c r="K2733" s="25"/>
      <c r="L2733" s="25"/>
      <c r="M2733" s="77"/>
      <c r="N2733" s="24" t="s">
        <v>4832</v>
      </c>
    </row>
    <row r="2734">
      <c r="C2734" s="24"/>
      <c r="D2734" s="24"/>
      <c r="E2734" s="24"/>
      <c r="G2734" s="143"/>
      <c r="H2734" s="24"/>
      <c r="K2734" s="25"/>
      <c r="L2734" s="25"/>
      <c r="M2734" s="77"/>
      <c r="N2734" s="24" t="s">
        <v>4833</v>
      </c>
    </row>
    <row r="2735">
      <c r="C2735" s="24"/>
      <c r="D2735" s="24"/>
      <c r="E2735" s="24"/>
      <c r="G2735" s="143"/>
      <c r="H2735" s="24"/>
      <c r="K2735" s="25"/>
      <c r="L2735" s="25"/>
      <c r="M2735" s="77"/>
      <c r="N2735" s="24" t="s">
        <v>4834</v>
      </c>
    </row>
    <row r="2736">
      <c r="C2736" s="24"/>
      <c r="D2736" s="24"/>
      <c r="E2736" s="24"/>
      <c r="G2736" s="143"/>
      <c r="H2736" s="24"/>
      <c r="K2736" s="25"/>
      <c r="L2736" s="25"/>
      <c r="M2736" s="77"/>
      <c r="N2736" s="24" t="s">
        <v>4835</v>
      </c>
    </row>
    <row r="2737">
      <c r="C2737" s="24"/>
      <c r="D2737" s="24"/>
      <c r="E2737" s="24"/>
      <c r="G2737" s="143"/>
      <c r="H2737" s="24"/>
      <c r="K2737" s="25"/>
      <c r="L2737" s="25"/>
      <c r="M2737" s="77"/>
      <c r="N2737" s="24" t="s">
        <v>4836</v>
      </c>
    </row>
    <row r="2738">
      <c r="C2738" s="24"/>
      <c r="D2738" s="24"/>
      <c r="E2738" s="24"/>
      <c r="G2738" s="143"/>
      <c r="H2738" s="24"/>
      <c r="K2738" s="25"/>
      <c r="L2738" s="25"/>
      <c r="M2738" s="77"/>
      <c r="N2738" s="24" t="s">
        <v>4837</v>
      </c>
    </row>
    <row r="2739">
      <c r="C2739" s="24"/>
      <c r="D2739" s="24"/>
      <c r="E2739" s="24"/>
      <c r="G2739" s="143"/>
      <c r="H2739" s="24"/>
      <c r="K2739" s="25"/>
      <c r="L2739" s="25"/>
      <c r="M2739" s="77"/>
      <c r="N2739" s="24" t="s">
        <v>4838</v>
      </c>
    </row>
    <row r="2740">
      <c r="C2740" s="24"/>
      <c r="D2740" s="24"/>
      <c r="E2740" s="24"/>
      <c r="G2740" s="143"/>
      <c r="H2740" s="24"/>
      <c r="K2740" s="25"/>
      <c r="L2740" s="25"/>
      <c r="M2740" s="77"/>
      <c r="N2740" s="24" t="s">
        <v>4839</v>
      </c>
    </row>
    <row r="2741">
      <c r="C2741" s="24"/>
      <c r="D2741" s="24"/>
      <c r="E2741" s="24"/>
      <c r="G2741" s="143"/>
      <c r="H2741" s="24"/>
      <c r="K2741" s="25"/>
      <c r="L2741" s="25"/>
      <c r="M2741" s="77"/>
      <c r="N2741" s="24" t="s">
        <v>4840</v>
      </c>
    </row>
    <row r="2742">
      <c r="C2742" s="24"/>
      <c r="D2742" s="24"/>
      <c r="E2742" s="24"/>
      <c r="G2742" s="143"/>
      <c r="H2742" s="24"/>
      <c r="K2742" s="25"/>
      <c r="L2742" s="25"/>
      <c r="M2742" s="77"/>
      <c r="N2742" s="24" t="s">
        <v>4841</v>
      </c>
    </row>
    <row r="2743">
      <c r="C2743" s="24"/>
      <c r="D2743" s="24"/>
      <c r="E2743" s="24"/>
      <c r="G2743" s="143"/>
      <c r="H2743" s="24"/>
      <c r="K2743" s="25"/>
      <c r="L2743" s="25"/>
      <c r="M2743" s="77"/>
      <c r="N2743" s="24" t="s">
        <v>4842</v>
      </c>
    </row>
    <row r="2744">
      <c r="C2744" s="24"/>
      <c r="D2744" s="24"/>
      <c r="E2744" s="24"/>
      <c r="G2744" s="143"/>
      <c r="H2744" s="24"/>
      <c r="K2744" s="25"/>
      <c r="L2744" s="25"/>
      <c r="M2744" s="77"/>
      <c r="N2744" s="24" t="s">
        <v>4843</v>
      </c>
    </row>
    <row r="2745">
      <c r="C2745" s="24"/>
      <c r="D2745" s="24"/>
      <c r="E2745" s="24"/>
      <c r="G2745" s="143"/>
      <c r="H2745" s="24"/>
      <c r="K2745" s="25"/>
      <c r="L2745" s="25"/>
      <c r="M2745" s="77"/>
      <c r="N2745" s="24" t="s">
        <v>4844</v>
      </c>
    </row>
    <row r="2746">
      <c r="C2746" s="24"/>
      <c r="D2746" s="24"/>
      <c r="E2746" s="24"/>
      <c r="G2746" s="143"/>
      <c r="H2746" s="24"/>
      <c r="K2746" s="25"/>
      <c r="L2746" s="25"/>
      <c r="M2746" s="77"/>
      <c r="N2746" s="24" t="s">
        <v>4845</v>
      </c>
    </row>
    <row r="2747">
      <c r="C2747" s="24"/>
      <c r="D2747" s="24"/>
      <c r="E2747" s="24"/>
      <c r="G2747" s="143"/>
      <c r="H2747" s="24"/>
      <c r="K2747" s="25"/>
      <c r="L2747" s="25"/>
      <c r="M2747" s="77"/>
      <c r="N2747" s="24" t="s">
        <v>4846</v>
      </c>
    </row>
    <row r="2748">
      <c r="C2748" s="24"/>
      <c r="D2748" s="24"/>
      <c r="E2748" s="24"/>
      <c r="G2748" s="143"/>
      <c r="H2748" s="24"/>
      <c r="K2748" s="25"/>
      <c r="L2748" s="25"/>
      <c r="M2748" s="77"/>
      <c r="N2748" s="24" t="s">
        <v>4847</v>
      </c>
    </row>
    <row r="2749">
      <c r="C2749" s="24"/>
      <c r="D2749" s="24"/>
      <c r="E2749" s="24"/>
      <c r="G2749" s="143"/>
      <c r="H2749" s="24"/>
      <c r="K2749" s="25"/>
      <c r="L2749" s="25"/>
      <c r="M2749" s="77"/>
      <c r="N2749" s="24" t="s">
        <v>4848</v>
      </c>
    </row>
    <row r="2750">
      <c r="C2750" s="24"/>
      <c r="D2750" s="24"/>
      <c r="E2750" s="24"/>
      <c r="G2750" s="143"/>
      <c r="H2750" s="24"/>
      <c r="K2750" s="25"/>
      <c r="L2750" s="25"/>
      <c r="M2750" s="77"/>
      <c r="N2750" s="24" t="s">
        <v>4849</v>
      </c>
    </row>
    <row r="2751">
      <c r="C2751" s="24"/>
      <c r="D2751" s="24"/>
      <c r="E2751" s="24"/>
      <c r="G2751" s="143"/>
      <c r="H2751" s="24"/>
      <c r="K2751" s="25"/>
      <c r="L2751" s="25"/>
      <c r="M2751" s="77"/>
      <c r="N2751" s="24" t="s">
        <v>4850</v>
      </c>
    </row>
    <row r="2752">
      <c r="C2752" s="24"/>
      <c r="D2752" s="24"/>
      <c r="E2752" s="24"/>
      <c r="G2752" s="143"/>
      <c r="H2752" s="24"/>
      <c r="K2752" s="25"/>
      <c r="L2752" s="25"/>
      <c r="M2752" s="77"/>
      <c r="N2752" s="24" t="s">
        <v>4504</v>
      </c>
    </row>
    <row r="2753">
      <c r="C2753" s="24"/>
      <c r="D2753" s="24"/>
      <c r="E2753" s="24"/>
      <c r="G2753" s="143"/>
      <c r="H2753" s="24"/>
      <c r="K2753" s="25"/>
      <c r="L2753" s="25"/>
      <c r="M2753" s="77"/>
      <c r="N2753" s="24" t="s">
        <v>4851</v>
      </c>
    </row>
    <row r="2754">
      <c r="C2754" s="24"/>
      <c r="D2754" s="24"/>
      <c r="E2754" s="24"/>
      <c r="G2754" s="143"/>
      <c r="H2754" s="24"/>
      <c r="K2754" s="25"/>
      <c r="L2754" s="25"/>
      <c r="M2754" s="77"/>
      <c r="N2754" s="24" t="s">
        <v>4852</v>
      </c>
    </row>
    <row r="2755">
      <c r="C2755" s="24"/>
      <c r="D2755" s="24"/>
      <c r="E2755" s="24"/>
      <c r="G2755" s="143"/>
      <c r="H2755" s="24"/>
      <c r="K2755" s="25"/>
      <c r="L2755" s="25"/>
      <c r="M2755" s="77"/>
      <c r="N2755" s="24" t="s">
        <v>4853</v>
      </c>
    </row>
    <row r="2756">
      <c r="C2756" s="24"/>
      <c r="D2756" s="24"/>
      <c r="E2756" s="24"/>
      <c r="G2756" s="143"/>
      <c r="H2756" s="24"/>
      <c r="K2756" s="25"/>
      <c r="L2756" s="25"/>
      <c r="M2756" s="77"/>
      <c r="N2756" s="24" t="s">
        <v>4854</v>
      </c>
    </row>
    <row r="2757">
      <c r="C2757" s="24"/>
      <c r="D2757" s="24"/>
      <c r="E2757" s="24"/>
      <c r="G2757" s="143"/>
      <c r="H2757" s="24"/>
      <c r="K2757" s="25"/>
      <c r="L2757" s="25"/>
      <c r="M2757" s="77"/>
      <c r="N2757" s="24" t="s">
        <v>4224</v>
      </c>
    </row>
    <row r="2758">
      <c r="C2758" s="24"/>
      <c r="D2758" s="24"/>
      <c r="E2758" s="24"/>
      <c r="G2758" s="143"/>
      <c r="H2758" s="24"/>
      <c r="K2758" s="25"/>
      <c r="L2758" s="25"/>
      <c r="M2758" s="77"/>
      <c r="N2758" s="24" t="s">
        <v>4855</v>
      </c>
    </row>
    <row r="2759">
      <c r="C2759" s="24"/>
      <c r="D2759" s="24"/>
      <c r="E2759" s="24"/>
      <c r="G2759" s="143"/>
      <c r="H2759" s="24"/>
      <c r="K2759" s="25"/>
      <c r="L2759" s="25"/>
      <c r="M2759" s="77"/>
      <c r="N2759" s="24" t="s">
        <v>4856</v>
      </c>
    </row>
    <row r="2760">
      <c r="C2760" s="24"/>
      <c r="D2760" s="24"/>
      <c r="E2760" s="24"/>
      <c r="G2760" s="143"/>
      <c r="H2760" s="24"/>
      <c r="K2760" s="25"/>
      <c r="L2760" s="25"/>
      <c r="M2760" s="77"/>
      <c r="N2760" s="24" t="s">
        <v>4857</v>
      </c>
    </row>
    <row r="2761">
      <c r="C2761" s="24"/>
      <c r="D2761" s="24"/>
      <c r="E2761" s="24"/>
      <c r="G2761" s="143"/>
      <c r="H2761" s="24"/>
      <c r="K2761" s="25"/>
      <c r="L2761" s="25"/>
      <c r="M2761" s="77"/>
      <c r="N2761" s="24" t="s">
        <v>4858</v>
      </c>
    </row>
    <row r="2762">
      <c r="C2762" s="24"/>
      <c r="D2762" s="24"/>
      <c r="E2762" s="24"/>
      <c r="G2762" s="143"/>
      <c r="H2762" s="24"/>
      <c r="K2762" s="25"/>
      <c r="L2762" s="25"/>
      <c r="M2762" s="77"/>
      <c r="N2762" s="24" t="s">
        <v>4859</v>
      </c>
    </row>
    <row r="2763">
      <c r="C2763" s="24"/>
      <c r="D2763" s="24"/>
      <c r="E2763" s="24"/>
      <c r="G2763" s="143"/>
      <c r="H2763" s="24"/>
      <c r="K2763" s="25"/>
      <c r="L2763" s="25"/>
      <c r="M2763" s="77"/>
      <c r="N2763" s="24" t="s">
        <v>4860</v>
      </c>
    </row>
    <row r="2764">
      <c r="C2764" s="24"/>
      <c r="D2764" s="24"/>
      <c r="E2764" s="24"/>
      <c r="G2764" s="143"/>
      <c r="H2764" s="24"/>
      <c r="K2764" s="25"/>
      <c r="L2764" s="25"/>
      <c r="M2764" s="77"/>
      <c r="N2764" s="24" t="s">
        <v>4861</v>
      </c>
    </row>
    <row r="2765">
      <c r="C2765" s="24"/>
      <c r="D2765" s="24"/>
      <c r="E2765" s="24"/>
      <c r="G2765" s="143"/>
      <c r="H2765" s="24"/>
      <c r="K2765" s="25"/>
      <c r="L2765" s="25"/>
      <c r="M2765" s="77"/>
      <c r="N2765" s="24" t="s">
        <v>4862</v>
      </c>
    </row>
    <row r="2766">
      <c r="C2766" s="24"/>
      <c r="D2766" s="24"/>
      <c r="E2766" s="24"/>
      <c r="G2766" s="143"/>
      <c r="H2766" s="24"/>
      <c r="K2766" s="25"/>
      <c r="L2766" s="25"/>
      <c r="M2766" s="77"/>
      <c r="N2766" s="24" t="s">
        <v>4863</v>
      </c>
    </row>
    <row r="2767">
      <c r="C2767" s="24"/>
      <c r="D2767" s="24"/>
      <c r="E2767" s="24"/>
      <c r="G2767" s="143"/>
      <c r="H2767" s="24"/>
      <c r="K2767" s="25"/>
      <c r="L2767" s="25"/>
      <c r="M2767" s="77"/>
      <c r="N2767" s="24" t="s">
        <v>4864</v>
      </c>
    </row>
    <row r="2768">
      <c r="C2768" s="24"/>
      <c r="D2768" s="24"/>
      <c r="E2768" s="24"/>
      <c r="G2768" s="143"/>
      <c r="H2768" s="24"/>
      <c r="K2768" s="25"/>
      <c r="L2768" s="25"/>
      <c r="M2768" s="77"/>
      <c r="N2768" s="24" t="s">
        <v>4865</v>
      </c>
    </row>
    <row r="2769">
      <c r="C2769" s="24"/>
      <c r="D2769" s="24"/>
      <c r="E2769" s="24"/>
      <c r="G2769" s="143"/>
      <c r="H2769" s="24"/>
      <c r="K2769" s="25"/>
      <c r="L2769" s="25"/>
      <c r="M2769" s="77"/>
      <c r="N2769" s="24" t="s">
        <v>4866</v>
      </c>
    </row>
    <row r="2770">
      <c r="C2770" s="24"/>
      <c r="D2770" s="24"/>
      <c r="E2770" s="24"/>
      <c r="G2770" s="143"/>
      <c r="H2770" s="24"/>
      <c r="K2770" s="25"/>
      <c r="L2770" s="25"/>
      <c r="M2770" s="77"/>
      <c r="N2770" s="24" t="s">
        <v>4867</v>
      </c>
    </row>
    <row r="2771">
      <c r="C2771" s="24"/>
      <c r="D2771" s="24"/>
      <c r="E2771" s="24"/>
      <c r="G2771" s="143"/>
      <c r="H2771" s="24"/>
      <c r="K2771" s="25"/>
      <c r="L2771" s="25"/>
      <c r="M2771" s="77"/>
      <c r="N2771" s="24" t="s">
        <v>4868</v>
      </c>
    </row>
    <row r="2772">
      <c r="C2772" s="24"/>
      <c r="D2772" s="24"/>
      <c r="E2772" s="24"/>
      <c r="G2772" s="143"/>
      <c r="H2772" s="24"/>
      <c r="K2772" s="25"/>
      <c r="L2772" s="25"/>
      <c r="M2772" s="77"/>
      <c r="N2772" s="24" t="s">
        <v>4869</v>
      </c>
    </row>
    <row r="2773">
      <c r="C2773" s="24"/>
      <c r="D2773" s="24"/>
      <c r="E2773" s="24"/>
      <c r="G2773" s="143"/>
      <c r="H2773" s="24"/>
      <c r="K2773" s="25"/>
      <c r="L2773" s="25"/>
      <c r="M2773" s="77"/>
      <c r="N2773" s="24" t="s">
        <v>4870</v>
      </c>
    </row>
    <row r="2774">
      <c r="C2774" s="24"/>
      <c r="D2774" s="24"/>
      <c r="E2774" s="24"/>
      <c r="G2774" s="143"/>
      <c r="H2774" s="24"/>
      <c r="K2774" s="25"/>
      <c r="L2774" s="25"/>
      <c r="M2774" s="77"/>
      <c r="N2774" s="24" t="s">
        <v>4871</v>
      </c>
    </row>
    <row r="2775">
      <c r="C2775" s="24"/>
      <c r="D2775" s="24"/>
      <c r="E2775" s="24"/>
      <c r="G2775" s="143"/>
      <c r="H2775" s="24"/>
      <c r="K2775" s="25"/>
      <c r="L2775" s="25"/>
      <c r="M2775" s="77"/>
      <c r="N2775" s="24" t="s">
        <v>4872</v>
      </c>
    </row>
    <row r="2776">
      <c r="C2776" s="24"/>
      <c r="D2776" s="24"/>
      <c r="E2776" s="24"/>
      <c r="G2776" s="143"/>
      <c r="H2776" s="24"/>
      <c r="K2776" s="25"/>
      <c r="L2776" s="25"/>
      <c r="M2776" s="77"/>
      <c r="N2776" s="24" t="s">
        <v>4873</v>
      </c>
    </row>
    <row r="2777">
      <c r="C2777" s="24"/>
      <c r="D2777" s="24"/>
      <c r="E2777" s="24"/>
      <c r="G2777" s="143"/>
      <c r="H2777" s="24"/>
      <c r="K2777" s="25"/>
      <c r="L2777" s="25"/>
      <c r="M2777" s="77"/>
      <c r="N2777" s="24" t="s">
        <v>4874</v>
      </c>
    </row>
    <row r="2778">
      <c r="C2778" s="24"/>
      <c r="D2778" s="24"/>
      <c r="E2778" s="24"/>
      <c r="G2778" s="143"/>
      <c r="H2778" s="24"/>
      <c r="K2778" s="25"/>
      <c r="L2778" s="25"/>
      <c r="M2778" s="77"/>
      <c r="N2778" s="24" t="s">
        <v>4875</v>
      </c>
    </row>
    <row r="2779">
      <c r="C2779" s="24"/>
      <c r="D2779" s="24"/>
      <c r="E2779" s="24"/>
      <c r="G2779" s="143"/>
      <c r="H2779" s="24"/>
      <c r="K2779" s="25"/>
      <c r="L2779" s="25"/>
      <c r="M2779" s="77"/>
      <c r="N2779" s="24" t="s">
        <v>4876</v>
      </c>
    </row>
    <row r="2780">
      <c r="C2780" s="24"/>
      <c r="D2780" s="24"/>
      <c r="E2780" s="24"/>
      <c r="G2780" s="143"/>
      <c r="H2780" s="24"/>
      <c r="K2780" s="25"/>
      <c r="L2780" s="25"/>
      <c r="M2780" s="77"/>
      <c r="N2780" s="24" t="s">
        <v>4877</v>
      </c>
    </row>
    <row r="2781">
      <c r="C2781" s="24"/>
      <c r="D2781" s="24"/>
      <c r="E2781" s="24"/>
      <c r="G2781" s="143"/>
      <c r="H2781" s="24"/>
      <c r="K2781" s="25"/>
      <c r="L2781" s="25"/>
      <c r="M2781" s="77"/>
      <c r="N2781" s="24" t="s">
        <v>4878</v>
      </c>
    </row>
    <row r="2782">
      <c r="C2782" s="24"/>
      <c r="D2782" s="24"/>
      <c r="E2782" s="24"/>
      <c r="G2782" s="143"/>
      <c r="H2782" s="24"/>
      <c r="K2782" s="25"/>
      <c r="L2782" s="25"/>
      <c r="M2782" s="77"/>
      <c r="N2782" s="24" t="s">
        <v>4879</v>
      </c>
    </row>
    <row r="2783">
      <c r="C2783" s="24"/>
      <c r="D2783" s="24"/>
      <c r="E2783" s="24"/>
      <c r="G2783" s="143"/>
      <c r="H2783" s="24"/>
      <c r="K2783" s="25"/>
      <c r="L2783" s="25"/>
      <c r="M2783" s="77"/>
      <c r="N2783" s="24" t="s">
        <v>4880</v>
      </c>
    </row>
    <row r="2784">
      <c r="C2784" s="24"/>
      <c r="D2784" s="24"/>
      <c r="E2784" s="24"/>
      <c r="G2784" s="143"/>
      <c r="H2784" s="24"/>
      <c r="K2784" s="25"/>
      <c r="L2784" s="25"/>
      <c r="M2784" s="77"/>
      <c r="N2784" s="24" t="s">
        <v>4881</v>
      </c>
    </row>
    <row r="2785">
      <c r="C2785" s="24"/>
      <c r="D2785" s="24"/>
      <c r="E2785" s="24"/>
      <c r="G2785" s="143"/>
      <c r="H2785" s="24"/>
      <c r="K2785" s="25"/>
      <c r="L2785" s="25"/>
      <c r="M2785" s="77"/>
      <c r="N2785" s="24" t="s">
        <v>4882</v>
      </c>
    </row>
    <row r="2786">
      <c r="C2786" s="24"/>
      <c r="D2786" s="24"/>
      <c r="E2786" s="24"/>
      <c r="G2786" s="143"/>
      <c r="H2786" s="24"/>
      <c r="K2786" s="25"/>
      <c r="L2786" s="25"/>
      <c r="M2786" s="77"/>
      <c r="N2786" s="24" t="s">
        <v>4308</v>
      </c>
    </row>
    <row r="2787">
      <c r="C2787" s="24"/>
      <c r="D2787" s="24"/>
      <c r="E2787" s="24"/>
      <c r="G2787" s="143"/>
      <c r="H2787" s="24"/>
      <c r="K2787" s="25"/>
      <c r="L2787" s="25"/>
      <c r="M2787" s="77"/>
      <c r="N2787" s="24" t="s">
        <v>4883</v>
      </c>
    </row>
    <row r="2788">
      <c r="C2788" s="24"/>
      <c r="D2788" s="24"/>
      <c r="E2788" s="24"/>
      <c r="G2788" s="143"/>
      <c r="H2788" s="24"/>
      <c r="K2788" s="25"/>
      <c r="L2788" s="25"/>
      <c r="M2788" s="77"/>
      <c r="N2788" s="24" t="s">
        <v>4884</v>
      </c>
    </row>
    <row r="2789">
      <c r="C2789" s="24"/>
      <c r="D2789" s="24"/>
      <c r="E2789" s="24"/>
      <c r="G2789" s="143"/>
      <c r="H2789" s="24"/>
      <c r="K2789" s="25"/>
      <c r="L2789" s="25"/>
      <c r="M2789" s="77"/>
      <c r="N2789" s="24" t="s">
        <v>4658</v>
      </c>
    </row>
    <row r="2790">
      <c r="C2790" s="24"/>
      <c r="D2790" s="24"/>
      <c r="E2790" s="24"/>
      <c r="G2790" s="143"/>
      <c r="H2790" s="24"/>
      <c r="K2790" s="25"/>
      <c r="L2790" s="25"/>
      <c r="M2790" s="77"/>
      <c r="N2790" s="24" t="s">
        <v>4885</v>
      </c>
    </row>
    <row r="2791">
      <c r="C2791" s="24"/>
      <c r="D2791" s="24"/>
      <c r="E2791" s="24"/>
      <c r="G2791" s="143"/>
      <c r="H2791" s="24"/>
      <c r="K2791" s="25"/>
      <c r="L2791" s="25"/>
      <c r="M2791" s="77"/>
      <c r="N2791" s="24" t="s">
        <v>4886</v>
      </c>
    </row>
    <row r="2792">
      <c r="C2792" s="24"/>
      <c r="D2792" s="24"/>
      <c r="E2792" s="24"/>
      <c r="G2792" s="143"/>
      <c r="H2792" s="24"/>
      <c r="K2792" s="25"/>
      <c r="L2792" s="25"/>
      <c r="M2792" s="77"/>
      <c r="N2792" s="24" t="s">
        <v>4887</v>
      </c>
    </row>
    <row r="2793">
      <c r="C2793" s="24"/>
      <c r="D2793" s="24"/>
      <c r="E2793" s="24"/>
      <c r="G2793" s="143"/>
      <c r="H2793" s="24"/>
      <c r="K2793" s="25"/>
      <c r="L2793" s="25"/>
      <c r="M2793" s="77"/>
      <c r="N2793" s="24" t="s">
        <v>4888</v>
      </c>
    </row>
    <row r="2794">
      <c r="C2794" s="24"/>
      <c r="D2794" s="24"/>
      <c r="E2794" s="24"/>
      <c r="G2794" s="143"/>
      <c r="H2794" s="24"/>
      <c r="K2794" s="25"/>
      <c r="L2794" s="25"/>
      <c r="M2794" s="77"/>
      <c r="N2794" s="24" t="s">
        <v>4889</v>
      </c>
    </row>
    <row r="2795">
      <c r="C2795" s="24"/>
      <c r="D2795" s="24"/>
      <c r="E2795" s="24"/>
      <c r="G2795" s="143"/>
      <c r="H2795" s="24"/>
      <c r="K2795" s="25"/>
      <c r="L2795" s="25"/>
      <c r="M2795" s="77"/>
      <c r="N2795" s="24" t="s">
        <v>4890</v>
      </c>
    </row>
    <row r="2796">
      <c r="C2796" s="24"/>
      <c r="D2796" s="24"/>
      <c r="E2796" s="24"/>
      <c r="G2796" s="143"/>
      <c r="H2796" s="24"/>
      <c r="K2796" s="25"/>
      <c r="L2796" s="25"/>
      <c r="M2796" s="77"/>
      <c r="N2796" s="24" t="s">
        <v>4891</v>
      </c>
    </row>
    <row r="2797">
      <c r="C2797" s="24"/>
      <c r="D2797" s="24"/>
      <c r="E2797" s="24"/>
      <c r="G2797" s="143"/>
      <c r="H2797" s="24"/>
      <c r="K2797" s="25"/>
      <c r="L2797" s="25"/>
      <c r="M2797" s="77"/>
      <c r="N2797" s="24" t="s">
        <v>4892</v>
      </c>
    </row>
    <row r="2798">
      <c r="C2798" s="24"/>
      <c r="D2798" s="24"/>
      <c r="E2798" s="24"/>
      <c r="G2798" s="143"/>
      <c r="H2798" s="24"/>
      <c r="K2798" s="25"/>
      <c r="L2798" s="25"/>
      <c r="M2798" s="77"/>
      <c r="N2798" s="24" t="s">
        <v>4893</v>
      </c>
    </row>
    <row r="2799">
      <c r="C2799" s="24"/>
      <c r="D2799" s="24"/>
      <c r="E2799" s="24"/>
      <c r="G2799" s="143"/>
      <c r="H2799" s="24"/>
      <c r="K2799" s="25"/>
      <c r="L2799" s="25"/>
      <c r="M2799" s="77"/>
      <c r="N2799" s="24" t="s">
        <v>4894</v>
      </c>
    </row>
    <row r="2800">
      <c r="C2800" s="24"/>
      <c r="D2800" s="24"/>
      <c r="E2800" s="24"/>
      <c r="G2800" s="143"/>
      <c r="H2800" s="24"/>
      <c r="K2800" s="25"/>
      <c r="L2800" s="25"/>
      <c r="M2800" s="77"/>
      <c r="N2800" s="24" t="s">
        <v>4895</v>
      </c>
    </row>
    <row r="2801">
      <c r="C2801" s="24"/>
      <c r="D2801" s="24"/>
      <c r="E2801" s="24"/>
      <c r="G2801" s="143"/>
      <c r="H2801" s="24"/>
      <c r="K2801" s="25"/>
      <c r="L2801" s="25"/>
      <c r="M2801" s="77"/>
      <c r="N2801" s="24" t="s">
        <v>4896</v>
      </c>
    </row>
    <row r="2802">
      <c r="C2802" s="24"/>
      <c r="D2802" s="24"/>
      <c r="E2802" s="24"/>
      <c r="G2802" s="143"/>
      <c r="H2802" s="24"/>
      <c r="K2802" s="25"/>
      <c r="L2802" s="25"/>
      <c r="M2802" s="77"/>
      <c r="N2802" s="24" t="s">
        <v>4897</v>
      </c>
    </row>
    <row r="2803">
      <c r="C2803" s="24"/>
      <c r="D2803" s="24"/>
      <c r="E2803" s="24"/>
      <c r="G2803" s="143"/>
      <c r="H2803" s="24"/>
      <c r="K2803" s="25"/>
      <c r="L2803" s="25"/>
      <c r="M2803" s="77"/>
      <c r="N2803" s="24" t="s">
        <v>4898</v>
      </c>
    </row>
    <row r="2804">
      <c r="C2804" s="24"/>
      <c r="D2804" s="24"/>
      <c r="E2804" s="24"/>
      <c r="G2804" s="143"/>
      <c r="H2804" s="24"/>
      <c r="K2804" s="25"/>
      <c r="L2804" s="25"/>
      <c r="M2804" s="77"/>
      <c r="N2804" s="24" t="s">
        <v>4899</v>
      </c>
    </row>
    <row r="2805">
      <c r="C2805" s="24"/>
      <c r="D2805" s="24"/>
      <c r="E2805" s="24"/>
      <c r="G2805" s="143"/>
      <c r="H2805" s="24"/>
      <c r="K2805" s="25"/>
      <c r="L2805" s="25"/>
      <c r="M2805" s="77"/>
      <c r="N2805" s="24" t="s">
        <v>4900</v>
      </c>
    </row>
    <row r="2806">
      <c r="C2806" s="24"/>
      <c r="D2806" s="24"/>
      <c r="E2806" s="24"/>
      <c r="G2806" s="143"/>
      <c r="H2806" s="24"/>
      <c r="K2806" s="25"/>
      <c r="L2806" s="25"/>
      <c r="M2806" s="77"/>
      <c r="N2806" s="24" t="s">
        <v>4901</v>
      </c>
    </row>
    <row r="2807">
      <c r="C2807" s="24"/>
      <c r="D2807" s="24"/>
      <c r="E2807" s="24"/>
      <c r="G2807" s="143"/>
      <c r="H2807" s="24"/>
      <c r="K2807" s="25"/>
      <c r="L2807" s="25"/>
      <c r="M2807" s="77"/>
      <c r="N2807" s="24" t="s">
        <v>4902</v>
      </c>
    </row>
    <row r="2808">
      <c r="C2808" s="24"/>
      <c r="D2808" s="24"/>
      <c r="E2808" s="24"/>
      <c r="G2808" s="143"/>
      <c r="H2808" s="24"/>
      <c r="K2808" s="25"/>
      <c r="L2808" s="25"/>
      <c r="M2808" s="77"/>
      <c r="N2808" s="24" t="s">
        <v>4903</v>
      </c>
    </row>
    <row r="2809">
      <c r="C2809" s="24"/>
      <c r="D2809" s="24"/>
      <c r="E2809" s="24"/>
      <c r="G2809" s="143"/>
      <c r="H2809" s="24"/>
      <c r="K2809" s="25"/>
      <c r="L2809" s="25"/>
      <c r="M2809" s="77"/>
      <c r="N2809" s="24" t="s">
        <v>4904</v>
      </c>
    </row>
    <row r="2810">
      <c r="C2810" s="24"/>
      <c r="D2810" s="24"/>
      <c r="E2810" s="24"/>
      <c r="G2810" s="143"/>
      <c r="H2810" s="24"/>
      <c r="K2810" s="25"/>
      <c r="L2810" s="25"/>
      <c r="M2810" s="77"/>
      <c r="N2810" s="24" t="s">
        <v>4905</v>
      </c>
    </row>
    <row r="2811">
      <c r="C2811" s="24"/>
      <c r="D2811" s="24"/>
      <c r="E2811" s="24"/>
      <c r="G2811" s="143"/>
      <c r="H2811" s="24"/>
      <c r="K2811" s="25"/>
      <c r="L2811" s="25"/>
      <c r="M2811" s="77"/>
      <c r="N2811" s="24" t="s">
        <v>4906</v>
      </c>
    </row>
    <row r="2812">
      <c r="C2812" s="24"/>
      <c r="D2812" s="24"/>
      <c r="E2812" s="24"/>
      <c r="G2812" s="143"/>
      <c r="H2812" s="24"/>
      <c r="K2812" s="25"/>
      <c r="L2812" s="25"/>
      <c r="M2812" s="77"/>
      <c r="N2812" s="24" t="s">
        <v>4907</v>
      </c>
    </row>
    <row r="2813">
      <c r="C2813" s="24"/>
      <c r="D2813" s="24"/>
      <c r="E2813" s="24"/>
      <c r="G2813" s="143"/>
      <c r="H2813" s="24"/>
      <c r="K2813" s="25"/>
      <c r="L2813" s="25"/>
      <c r="M2813" s="77"/>
      <c r="N2813" s="24" t="s">
        <v>4908</v>
      </c>
    </row>
    <row r="2814">
      <c r="C2814" s="24"/>
      <c r="D2814" s="24"/>
      <c r="E2814" s="24"/>
      <c r="G2814" s="143"/>
      <c r="H2814" s="24"/>
      <c r="K2814" s="25"/>
      <c r="L2814" s="25"/>
      <c r="M2814" s="77"/>
      <c r="N2814" s="24" t="s">
        <v>4909</v>
      </c>
    </row>
    <row r="2815">
      <c r="C2815" s="24"/>
      <c r="D2815" s="24"/>
      <c r="E2815" s="24"/>
      <c r="G2815" s="143"/>
      <c r="H2815" s="24"/>
      <c r="K2815" s="25"/>
      <c r="L2815" s="25"/>
      <c r="M2815" s="77"/>
      <c r="N2815" s="24" t="s">
        <v>4910</v>
      </c>
    </row>
    <row r="2816">
      <c r="C2816" s="24"/>
      <c r="D2816" s="24"/>
      <c r="E2816" s="24"/>
      <c r="G2816" s="143"/>
      <c r="H2816" s="24"/>
      <c r="K2816" s="25"/>
      <c r="L2816" s="25"/>
      <c r="M2816" s="77"/>
      <c r="N2816" s="24" t="s">
        <v>4911</v>
      </c>
    </row>
    <row r="2817">
      <c r="C2817" s="24"/>
      <c r="D2817" s="24"/>
      <c r="E2817" s="24"/>
      <c r="G2817" s="143"/>
      <c r="H2817" s="24"/>
      <c r="K2817" s="25"/>
      <c r="L2817" s="25"/>
      <c r="M2817" s="77"/>
      <c r="N2817" s="24" t="s">
        <v>4912</v>
      </c>
    </row>
    <row r="2818">
      <c r="C2818" s="24"/>
      <c r="D2818" s="24"/>
      <c r="E2818" s="24"/>
      <c r="G2818" s="143"/>
      <c r="H2818" s="24"/>
      <c r="K2818" s="25"/>
      <c r="L2818" s="25"/>
      <c r="M2818" s="77"/>
      <c r="N2818" s="24" t="s">
        <v>4913</v>
      </c>
    </row>
    <row r="2819">
      <c r="C2819" s="24"/>
      <c r="D2819" s="24"/>
      <c r="E2819" s="24"/>
      <c r="G2819" s="143"/>
      <c r="H2819" s="24"/>
      <c r="K2819" s="25"/>
      <c r="L2819" s="25"/>
      <c r="M2819" s="77"/>
      <c r="N2819" s="24" t="s">
        <v>4914</v>
      </c>
    </row>
    <row r="2820">
      <c r="C2820" s="24"/>
      <c r="D2820" s="24"/>
      <c r="E2820" s="24"/>
      <c r="G2820" s="143"/>
      <c r="H2820" s="24"/>
      <c r="K2820" s="25"/>
      <c r="L2820" s="25"/>
      <c r="M2820" s="77"/>
      <c r="N2820" s="24" t="s">
        <v>4915</v>
      </c>
    </row>
    <row r="2821">
      <c r="C2821" s="24"/>
      <c r="D2821" s="24"/>
      <c r="E2821" s="24"/>
      <c r="G2821" s="143"/>
      <c r="H2821" s="24"/>
      <c r="K2821" s="25"/>
      <c r="L2821" s="25"/>
      <c r="M2821" s="77"/>
      <c r="N2821" s="24" t="s">
        <v>4916</v>
      </c>
    </row>
    <row r="2822">
      <c r="C2822" s="24"/>
      <c r="D2822" s="24"/>
      <c r="E2822" s="24"/>
      <c r="G2822" s="143"/>
      <c r="H2822" s="24"/>
      <c r="K2822" s="25"/>
      <c r="L2822" s="25"/>
      <c r="M2822" s="77"/>
      <c r="N2822" s="24" t="s">
        <v>4917</v>
      </c>
    </row>
    <row r="2823">
      <c r="C2823" s="24"/>
      <c r="D2823" s="24"/>
      <c r="E2823" s="24"/>
      <c r="G2823" s="143"/>
      <c r="H2823" s="24"/>
      <c r="K2823" s="25"/>
      <c r="L2823" s="25"/>
      <c r="M2823" s="77"/>
      <c r="N2823" s="24" t="s">
        <v>4918</v>
      </c>
    </row>
    <row r="2824">
      <c r="C2824" s="24"/>
      <c r="D2824" s="24"/>
      <c r="E2824" s="24"/>
      <c r="G2824" s="143"/>
      <c r="H2824" s="24"/>
      <c r="K2824" s="25"/>
      <c r="L2824" s="25"/>
      <c r="M2824" s="77"/>
      <c r="N2824" s="24" t="s">
        <v>4919</v>
      </c>
    </row>
    <row r="2825">
      <c r="C2825" s="24"/>
      <c r="D2825" s="24"/>
      <c r="E2825" s="24"/>
      <c r="G2825" s="143"/>
      <c r="H2825" s="24"/>
      <c r="K2825" s="25"/>
      <c r="L2825" s="25"/>
      <c r="M2825" s="77"/>
      <c r="N2825" s="24" t="s">
        <v>4920</v>
      </c>
    </row>
    <row r="2826">
      <c r="C2826" s="24"/>
      <c r="D2826" s="24"/>
      <c r="E2826" s="24"/>
      <c r="G2826" s="143"/>
      <c r="H2826" s="24"/>
      <c r="K2826" s="25"/>
      <c r="L2826" s="25"/>
      <c r="M2826" s="77"/>
      <c r="N2826" s="24" t="s">
        <v>4921</v>
      </c>
    </row>
    <row r="2827">
      <c r="C2827" s="24"/>
      <c r="D2827" s="24"/>
      <c r="E2827" s="24"/>
      <c r="G2827" s="143"/>
      <c r="H2827" s="24"/>
      <c r="K2827" s="25"/>
      <c r="L2827" s="25"/>
      <c r="M2827" s="77"/>
      <c r="N2827" s="24" t="s">
        <v>4922</v>
      </c>
    </row>
    <row r="2828">
      <c r="C2828" s="24"/>
      <c r="D2828" s="24"/>
      <c r="E2828" s="24"/>
      <c r="G2828" s="143"/>
      <c r="H2828" s="24"/>
      <c r="K2828" s="25"/>
      <c r="L2828" s="25"/>
      <c r="M2828" s="77"/>
      <c r="N2828" s="24" t="s">
        <v>4923</v>
      </c>
    </row>
    <row r="2829">
      <c r="C2829" s="24"/>
      <c r="D2829" s="24"/>
      <c r="E2829" s="24"/>
      <c r="G2829" s="143"/>
      <c r="H2829" s="24"/>
      <c r="K2829" s="25"/>
      <c r="L2829" s="25"/>
      <c r="M2829" s="77"/>
      <c r="N2829" s="24" t="s">
        <v>4924</v>
      </c>
    </row>
    <row r="2830">
      <c r="C2830" s="24"/>
      <c r="D2830" s="24"/>
      <c r="E2830" s="24"/>
      <c r="G2830" s="143"/>
      <c r="H2830" s="24"/>
      <c r="K2830" s="25"/>
      <c r="L2830" s="25"/>
      <c r="M2830" s="77"/>
      <c r="N2830" s="24" t="s">
        <v>4925</v>
      </c>
    </row>
    <row r="2831">
      <c r="C2831" s="24"/>
      <c r="D2831" s="24"/>
      <c r="E2831" s="24"/>
      <c r="G2831" s="143"/>
      <c r="H2831" s="24"/>
      <c r="K2831" s="25"/>
      <c r="L2831" s="25"/>
      <c r="M2831" s="77"/>
      <c r="N2831" s="24" t="s">
        <v>4926</v>
      </c>
    </row>
    <row r="2832">
      <c r="C2832" s="24"/>
      <c r="D2832" s="24"/>
      <c r="E2832" s="24"/>
      <c r="G2832" s="143"/>
      <c r="H2832" s="24"/>
      <c r="K2832" s="25"/>
      <c r="L2832" s="25"/>
      <c r="M2832" s="77"/>
      <c r="N2832" s="24" t="s">
        <v>4927</v>
      </c>
    </row>
    <row r="2833">
      <c r="C2833" s="24"/>
      <c r="D2833" s="24"/>
      <c r="E2833" s="24"/>
      <c r="G2833" s="143"/>
      <c r="H2833" s="24"/>
      <c r="K2833" s="25"/>
      <c r="L2833" s="25"/>
      <c r="M2833" s="77"/>
      <c r="N2833" s="24" t="s">
        <v>4928</v>
      </c>
    </row>
    <row r="2834">
      <c r="C2834" s="24"/>
      <c r="D2834" s="24"/>
      <c r="E2834" s="24"/>
      <c r="G2834" s="143"/>
      <c r="H2834" s="24"/>
      <c r="K2834" s="25"/>
      <c r="L2834" s="25"/>
      <c r="M2834" s="77"/>
      <c r="N2834" s="24" t="s">
        <v>4929</v>
      </c>
    </row>
    <row r="2835">
      <c r="C2835" s="24"/>
      <c r="D2835" s="24"/>
      <c r="E2835" s="24"/>
      <c r="G2835" s="143"/>
      <c r="H2835" s="24"/>
      <c r="K2835" s="25"/>
      <c r="L2835" s="25"/>
      <c r="M2835" s="77"/>
      <c r="N2835" s="24" t="s">
        <v>4930</v>
      </c>
    </row>
    <row r="2836">
      <c r="C2836" s="24"/>
      <c r="D2836" s="24"/>
      <c r="E2836" s="24"/>
      <c r="G2836" s="143"/>
      <c r="H2836" s="24"/>
      <c r="K2836" s="25"/>
      <c r="L2836" s="25"/>
      <c r="M2836" s="77"/>
      <c r="N2836" s="24" t="s">
        <v>4931</v>
      </c>
    </row>
    <row r="2837">
      <c r="C2837" s="24"/>
      <c r="D2837" s="24"/>
      <c r="E2837" s="24"/>
      <c r="G2837" s="143"/>
      <c r="H2837" s="24"/>
      <c r="K2837" s="25"/>
      <c r="L2837" s="25"/>
      <c r="M2837" s="77"/>
      <c r="N2837" s="24" t="s">
        <v>4932</v>
      </c>
    </row>
    <row r="2838">
      <c r="C2838" s="24"/>
      <c r="D2838" s="24"/>
      <c r="E2838" s="24"/>
      <c r="G2838" s="143"/>
      <c r="H2838" s="24"/>
      <c r="K2838" s="25"/>
      <c r="L2838" s="25"/>
      <c r="M2838" s="77"/>
      <c r="N2838" s="24" t="s">
        <v>4933</v>
      </c>
    </row>
    <row r="2839">
      <c r="C2839" s="24"/>
      <c r="D2839" s="24"/>
      <c r="E2839" s="24"/>
      <c r="G2839" s="143"/>
      <c r="H2839" s="24"/>
      <c r="K2839" s="25"/>
      <c r="L2839" s="25"/>
      <c r="M2839" s="77"/>
      <c r="N2839" s="24" t="s">
        <v>4934</v>
      </c>
    </row>
    <row r="2840">
      <c r="C2840" s="24"/>
      <c r="D2840" s="24"/>
      <c r="E2840" s="24"/>
      <c r="G2840" s="143"/>
      <c r="H2840" s="24"/>
      <c r="K2840" s="25"/>
      <c r="L2840" s="25"/>
      <c r="M2840" s="77"/>
      <c r="N2840" s="24" t="s">
        <v>4935</v>
      </c>
    </row>
    <row r="2841">
      <c r="C2841" s="24"/>
      <c r="D2841" s="24"/>
      <c r="E2841" s="24"/>
      <c r="G2841" s="143"/>
      <c r="H2841" s="24"/>
      <c r="K2841" s="25"/>
      <c r="L2841" s="25"/>
      <c r="M2841" s="77"/>
      <c r="N2841" s="24" t="s">
        <v>4699</v>
      </c>
    </row>
    <row r="2842">
      <c r="C2842" s="24"/>
      <c r="D2842" s="24"/>
      <c r="E2842" s="24"/>
      <c r="G2842" s="143"/>
      <c r="H2842" s="24"/>
      <c r="K2842" s="25"/>
      <c r="L2842" s="25"/>
      <c r="M2842" s="77"/>
      <c r="N2842" s="24" t="s">
        <v>4936</v>
      </c>
    </row>
    <row r="2843">
      <c r="C2843" s="24"/>
      <c r="D2843" s="24"/>
      <c r="E2843" s="24"/>
      <c r="G2843" s="143"/>
      <c r="H2843" s="24"/>
      <c r="K2843" s="25"/>
      <c r="L2843" s="25"/>
      <c r="M2843" s="77"/>
      <c r="N2843" s="24" t="s">
        <v>4937</v>
      </c>
    </row>
    <row r="2844">
      <c r="C2844" s="24"/>
      <c r="D2844" s="24"/>
      <c r="E2844" s="24"/>
      <c r="G2844" s="143"/>
      <c r="H2844" s="24"/>
      <c r="K2844" s="25"/>
      <c r="L2844" s="25"/>
      <c r="M2844" s="77"/>
      <c r="N2844" s="24" t="s">
        <v>4938</v>
      </c>
    </row>
    <row r="2845">
      <c r="C2845" s="24"/>
      <c r="D2845" s="24"/>
      <c r="E2845" s="24"/>
      <c r="G2845" s="143"/>
      <c r="H2845" s="24"/>
      <c r="K2845" s="25"/>
      <c r="L2845" s="25"/>
      <c r="M2845" s="77"/>
      <c r="N2845" s="24" t="s">
        <v>4939</v>
      </c>
    </row>
    <row r="2846">
      <c r="C2846" s="24"/>
      <c r="D2846" s="24"/>
      <c r="E2846" s="24"/>
      <c r="G2846" s="143"/>
      <c r="H2846" s="24"/>
      <c r="K2846" s="25"/>
      <c r="L2846" s="25"/>
      <c r="M2846" s="77"/>
      <c r="N2846" s="24" t="s">
        <v>4940</v>
      </c>
    </row>
    <row r="2847">
      <c r="C2847" s="24"/>
      <c r="D2847" s="24"/>
      <c r="E2847" s="24"/>
      <c r="G2847" s="143"/>
      <c r="H2847" s="24"/>
      <c r="K2847" s="25"/>
      <c r="L2847" s="25"/>
      <c r="M2847" s="77"/>
      <c r="N2847" s="24" t="s">
        <v>4941</v>
      </c>
    </row>
    <row r="2848">
      <c r="C2848" s="24"/>
      <c r="D2848" s="24"/>
      <c r="E2848" s="24"/>
      <c r="G2848" s="143"/>
      <c r="H2848" s="24"/>
      <c r="K2848" s="25"/>
      <c r="L2848" s="25"/>
      <c r="M2848" s="77"/>
      <c r="N2848" s="24" t="s">
        <v>4942</v>
      </c>
    </row>
    <row r="2849">
      <c r="C2849" s="24"/>
      <c r="D2849" s="24"/>
      <c r="E2849" s="24"/>
      <c r="G2849" s="143"/>
      <c r="H2849" s="24"/>
      <c r="K2849" s="25"/>
      <c r="L2849" s="25"/>
      <c r="M2849" s="77"/>
      <c r="N2849" s="24" t="s">
        <v>4943</v>
      </c>
    </row>
    <row r="2850">
      <c r="C2850" s="24"/>
      <c r="D2850" s="24"/>
      <c r="E2850" s="24"/>
      <c r="G2850" s="143"/>
      <c r="H2850" s="24"/>
      <c r="K2850" s="25"/>
      <c r="L2850" s="25"/>
      <c r="M2850" s="77"/>
      <c r="N2850" s="24" t="s">
        <v>4944</v>
      </c>
    </row>
    <row r="2851">
      <c r="C2851" s="24"/>
      <c r="D2851" s="24"/>
      <c r="E2851" s="24"/>
      <c r="G2851" s="143"/>
      <c r="H2851" s="24"/>
      <c r="K2851" s="25"/>
      <c r="L2851" s="25"/>
      <c r="M2851" s="77"/>
      <c r="N2851" s="24" t="s">
        <v>4945</v>
      </c>
    </row>
    <row r="2852">
      <c r="C2852" s="24"/>
      <c r="D2852" s="24"/>
      <c r="E2852" s="24"/>
      <c r="G2852" s="143"/>
      <c r="H2852" s="24"/>
      <c r="K2852" s="25"/>
      <c r="L2852" s="25"/>
      <c r="M2852" s="77"/>
      <c r="N2852" s="24" t="s">
        <v>4946</v>
      </c>
    </row>
    <row r="2853">
      <c r="C2853" s="24"/>
      <c r="D2853" s="24"/>
      <c r="E2853" s="24"/>
      <c r="G2853" s="143"/>
      <c r="H2853" s="24"/>
      <c r="K2853" s="25"/>
      <c r="L2853" s="25"/>
      <c r="M2853" s="77"/>
      <c r="N2853" s="24" t="s">
        <v>4947</v>
      </c>
    </row>
    <row r="2854">
      <c r="C2854" s="24"/>
      <c r="D2854" s="24"/>
      <c r="E2854" s="24"/>
      <c r="G2854" s="143"/>
      <c r="H2854" s="24"/>
      <c r="K2854" s="25"/>
      <c r="L2854" s="25"/>
      <c r="M2854" s="77"/>
      <c r="N2854" s="24" t="s">
        <v>4948</v>
      </c>
    </row>
    <row r="2855">
      <c r="C2855" s="24"/>
      <c r="D2855" s="24"/>
      <c r="E2855" s="24"/>
      <c r="G2855" s="143"/>
      <c r="H2855" s="24"/>
      <c r="K2855" s="25"/>
      <c r="L2855" s="25"/>
      <c r="M2855" s="77"/>
      <c r="N2855" s="24" t="s">
        <v>4949</v>
      </c>
    </row>
    <row r="2856">
      <c r="C2856" s="24"/>
      <c r="D2856" s="24"/>
      <c r="E2856" s="24"/>
      <c r="G2856" s="143"/>
      <c r="H2856" s="24"/>
      <c r="K2856" s="25"/>
      <c r="L2856" s="25"/>
      <c r="M2856" s="77"/>
      <c r="N2856" s="24" t="s">
        <v>4950</v>
      </c>
    </row>
    <row r="2857">
      <c r="C2857" s="24"/>
      <c r="D2857" s="24"/>
      <c r="E2857" s="24"/>
      <c r="G2857" s="143"/>
      <c r="H2857" s="24"/>
      <c r="K2857" s="25"/>
      <c r="L2857" s="25"/>
      <c r="M2857" s="77"/>
      <c r="N2857" s="24" t="s">
        <v>4951</v>
      </c>
    </row>
    <row r="2858">
      <c r="C2858" s="24"/>
      <c r="D2858" s="24"/>
      <c r="E2858" s="24"/>
      <c r="G2858" s="143"/>
      <c r="H2858" s="24"/>
      <c r="K2858" s="25"/>
      <c r="L2858" s="25"/>
      <c r="M2858" s="77"/>
      <c r="N2858" s="24" t="s">
        <v>4952</v>
      </c>
    </row>
    <row r="2859">
      <c r="C2859" s="24"/>
      <c r="D2859" s="24"/>
      <c r="E2859" s="24"/>
      <c r="G2859" s="143"/>
      <c r="H2859" s="24"/>
      <c r="K2859" s="25"/>
      <c r="L2859" s="25"/>
      <c r="M2859" s="77"/>
      <c r="N2859" s="24" t="s">
        <v>4953</v>
      </c>
    </row>
    <row r="2860">
      <c r="C2860" s="24"/>
      <c r="D2860" s="24"/>
      <c r="E2860" s="24"/>
      <c r="G2860" s="143"/>
      <c r="H2860" s="24"/>
      <c r="K2860" s="25"/>
      <c r="L2860" s="25"/>
      <c r="M2860" s="77"/>
      <c r="N2860" s="24" t="s">
        <v>4954</v>
      </c>
    </row>
    <row r="2861">
      <c r="C2861" s="24"/>
      <c r="D2861" s="24"/>
      <c r="E2861" s="24"/>
      <c r="G2861" s="143"/>
      <c r="H2861" s="24"/>
      <c r="K2861" s="25"/>
      <c r="L2861" s="25"/>
      <c r="M2861" s="77"/>
      <c r="N2861" s="24" t="s">
        <v>4955</v>
      </c>
    </row>
    <row r="2862">
      <c r="C2862" s="24"/>
      <c r="D2862" s="24"/>
      <c r="E2862" s="24"/>
      <c r="G2862" s="143"/>
      <c r="H2862" s="24"/>
      <c r="K2862" s="25"/>
      <c r="L2862" s="25"/>
      <c r="M2862" s="77"/>
      <c r="N2862" s="24" t="s">
        <v>4956</v>
      </c>
    </row>
    <row r="2863">
      <c r="C2863" s="24"/>
      <c r="D2863" s="24"/>
      <c r="E2863" s="24"/>
      <c r="G2863" s="143"/>
      <c r="H2863" s="24"/>
      <c r="K2863" s="25"/>
      <c r="L2863" s="25"/>
      <c r="M2863" s="77"/>
      <c r="N2863" s="24" t="s">
        <v>4957</v>
      </c>
    </row>
    <row r="2864">
      <c r="C2864" s="24"/>
      <c r="D2864" s="24"/>
      <c r="E2864" s="24"/>
      <c r="G2864" s="143"/>
      <c r="H2864" s="24"/>
      <c r="K2864" s="25"/>
      <c r="L2864" s="25"/>
      <c r="M2864" s="77"/>
      <c r="N2864" s="24" t="s">
        <v>4958</v>
      </c>
    </row>
    <row r="2865">
      <c r="C2865" s="24"/>
      <c r="D2865" s="24"/>
      <c r="E2865" s="24"/>
      <c r="G2865" s="143"/>
      <c r="H2865" s="24"/>
      <c r="K2865" s="25"/>
      <c r="L2865" s="25"/>
      <c r="M2865" s="77"/>
      <c r="N2865" s="24" t="s">
        <v>4959</v>
      </c>
    </row>
    <row r="2866">
      <c r="C2866" s="24"/>
      <c r="D2866" s="24"/>
      <c r="E2866" s="24"/>
      <c r="G2866" s="143"/>
      <c r="H2866" s="24"/>
      <c r="K2866" s="25"/>
      <c r="L2866" s="25"/>
      <c r="M2866" s="77"/>
      <c r="N2866" s="24" t="s">
        <v>4960</v>
      </c>
    </row>
    <row r="2867">
      <c r="C2867" s="24"/>
      <c r="D2867" s="24"/>
      <c r="E2867" s="24"/>
      <c r="G2867" s="143"/>
      <c r="H2867" s="24"/>
      <c r="K2867" s="25"/>
      <c r="L2867" s="25"/>
      <c r="M2867" s="77"/>
      <c r="N2867" s="24" t="s">
        <v>4961</v>
      </c>
    </row>
    <row r="2868">
      <c r="C2868" s="24"/>
      <c r="D2868" s="24"/>
      <c r="E2868" s="24"/>
      <c r="G2868" s="143"/>
      <c r="H2868" s="24"/>
      <c r="K2868" s="25"/>
      <c r="L2868" s="25"/>
      <c r="M2868" s="77"/>
      <c r="N2868" s="24" t="s">
        <v>4962</v>
      </c>
    </row>
    <row r="2869">
      <c r="C2869" s="24"/>
      <c r="D2869" s="24"/>
      <c r="E2869" s="24"/>
      <c r="G2869" s="143"/>
      <c r="H2869" s="24"/>
      <c r="K2869" s="25"/>
      <c r="L2869" s="25"/>
      <c r="M2869" s="77"/>
      <c r="N2869" s="24" t="s">
        <v>4963</v>
      </c>
    </row>
    <row r="2870">
      <c r="C2870" s="24"/>
      <c r="D2870" s="24"/>
      <c r="E2870" s="24"/>
      <c r="G2870" s="143"/>
      <c r="H2870" s="24"/>
      <c r="K2870" s="25"/>
      <c r="L2870" s="25"/>
      <c r="M2870" s="77"/>
      <c r="N2870" s="24" t="s">
        <v>4964</v>
      </c>
    </row>
    <row r="2871">
      <c r="C2871" s="24"/>
      <c r="D2871" s="24"/>
      <c r="E2871" s="24"/>
      <c r="G2871" s="143"/>
      <c r="H2871" s="24"/>
      <c r="K2871" s="25"/>
      <c r="L2871" s="25"/>
      <c r="M2871" s="77"/>
      <c r="N2871" s="24" t="s">
        <v>4965</v>
      </c>
    </row>
    <row r="2872">
      <c r="C2872" s="24"/>
      <c r="D2872" s="24"/>
      <c r="E2872" s="24"/>
      <c r="G2872" s="143"/>
      <c r="H2872" s="24"/>
      <c r="K2872" s="25"/>
      <c r="L2872" s="25"/>
      <c r="M2872" s="77"/>
      <c r="N2872" s="24" t="s">
        <v>4966</v>
      </c>
    </row>
    <row r="2873">
      <c r="C2873" s="24"/>
      <c r="D2873" s="24"/>
      <c r="E2873" s="24"/>
      <c r="G2873" s="143"/>
      <c r="H2873" s="24"/>
      <c r="K2873" s="25"/>
      <c r="L2873" s="25"/>
      <c r="M2873" s="77"/>
      <c r="N2873" s="24" t="s">
        <v>4967</v>
      </c>
    </row>
    <row r="2874">
      <c r="C2874" s="24"/>
      <c r="D2874" s="24"/>
      <c r="E2874" s="24"/>
      <c r="G2874" s="143"/>
      <c r="H2874" s="24"/>
      <c r="K2874" s="25"/>
      <c r="L2874" s="25"/>
      <c r="M2874" s="77"/>
      <c r="N2874" s="24" t="s">
        <v>4968</v>
      </c>
    </row>
    <row r="2875">
      <c r="C2875" s="24"/>
      <c r="D2875" s="24"/>
      <c r="E2875" s="24"/>
      <c r="G2875" s="143"/>
      <c r="H2875" s="24"/>
      <c r="K2875" s="25"/>
      <c r="L2875" s="25"/>
      <c r="M2875" s="77"/>
      <c r="N2875" s="24" t="s">
        <v>4969</v>
      </c>
    </row>
    <row r="2876">
      <c r="C2876" s="24"/>
      <c r="D2876" s="24"/>
      <c r="E2876" s="24"/>
      <c r="G2876" s="143"/>
      <c r="H2876" s="24"/>
      <c r="K2876" s="25"/>
      <c r="L2876" s="25"/>
      <c r="M2876" s="77"/>
      <c r="N2876" s="24" t="s">
        <v>4970</v>
      </c>
    </row>
    <row r="2877">
      <c r="C2877" s="24"/>
      <c r="D2877" s="24"/>
      <c r="E2877" s="24"/>
      <c r="G2877" s="143"/>
      <c r="H2877" s="24"/>
      <c r="K2877" s="25"/>
      <c r="L2877" s="25"/>
      <c r="M2877" s="77"/>
      <c r="N2877" s="24" t="s">
        <v>4971</v>
      </c>
    </row>
    <row r="2878">
      <c r="C2878" s="24"/>
      <c r="D2878" s="24"/>
      <c r="E2878" s="24"/>
      <c r="G2878" s="143"/>
      <c r="H2878" s="24"/>
      <c r="K2878" s="25"/>
      <c r="L2878" s="25"/>
      <c r="M2878" s="77"/>
      <c r="N2878" s="24" t="s">
        <v>4159</v>
      </c>
    </row>
    <row r="2879">
      <c r="C2879" s="24"/>
      <c r="D2879" s="24"/>
      <c r="E2879" s="24"/>
      <c r="G2879" s="143"/>
      <c r="H2879" s="24"/>
      <c r="K2879" s="25"/>
      <c r="L2879" s="25"/>
      <c r="M2879" s="77"/>
      <c r="N2879" s="24" t="s">
        <v>4972</v>
      </c>
    </row>
    <row r="2880">
      <c r="C2880" s="24"/>
      <c r="D2880" s="24"/>
      <c r="E2880" s="24"/>
      <c r="G2880" s="143"/>
      <c r="H2880" s="24"/>
      <c r="K2880" s="25"/>
      <c r="L2880" s="25"/>
      <c r="M2880" s="77"/>
      <c r="N2880" s="24" t="s">
        <v>4973</v>
      </c>
    </row>
    <row r="2881">
      <c r="C2881" s="24"/>
      <c r="D2881" s="24"/>
      <c r="E2881" s="24"/>
      <c r="G2881" s="143"/>
      <c r="H2881" s="24"/>
      <c r="K2881" s="25"/>
      <c r="L2881" s="25"/>
      <c r="M2881" s="77"/>
      <c r="N2881" s="24" t="s">
        <v>4974</v>
      </c>
    </row>
    <row r="2882">
      <c r="C2882" s="24"/>
      <c r="D2882" s="24"/>
      <c r="E2882" s="24"/>
      <c r="G2882" s="143"/>
      <c r="H2882" s="24"/>
      <c r="K2882" s="25"/>
      <c r="L2882" s="25"/>
      <c r="M2882" s="77"/>
      <c r="N2882" s="24" t="s">
        <v>4544</v>
      </c>
    </row>
    <row r="2883">
      <c r="C2883" s="24"/>
      <c r="D2883" s="24"/>
      <c r="E2883" s="24"/>
      <c r="G2883" s="143"/>
      <c r="H2883" s="24"/>
      <c r="K2883" s="25"/>
      <c r="L2883" s="25"/>
      <c r="M2883" s="77"/>
      <c r="N2883" s="24" t="s">
        <v>4975</v>
      </c>
    </row>
    <row r="2884">
      <c r="C2884" s="24"/>
      <c r="D2884" s="24"/>
      <c r="E2884" s="24"/>
      <c r="G2884" s="143"/>
      <c r="H2884" s="24"/>
      <c r="K2884" s="25"/>
      <c r="L2884" s="25"/>
      <c r="M2884" s="77"/>
      <c r="N2884" s="24" t="s">
        <v>4976</v>
      </c>
    </row>
    <row r="2885">
      <c r="C2885" s="24"/>
      <c r="D2885" s="24"/>
      <c r="E2885" s="24"/>
      <c r="G2885" s="143"/>
      <c r="H2885" s="24"/>
      <c r="K2885" s="25"/>
      <c r="L2885" s="25"/>
      <c r="M2885" s="77"/>
      <c r="N2885" s="24" t="s">
        <v>4977</v>
      </c>
    </row>
    <row r="2886">
      <c r="C2886" s="24"/>
      <c r="D2886" s="24"/>
      <c r="E2886" s="24"/>
      <c r="G2886" s="143"/>
      <c r="H2886" s="24"/>
      <c r="K2886" s="25"/>
      <c r="L2886" s="25"/>
      <c r="M2886" s="77"/>
      <c r="N2886" s="24" t="s">
        <v>4978</v>
      </c>
    </row>
    <row r="2887">
      <c r="C2887" s="24"/>
      <c r="D2887" s="24"/>
      <c r="E2887" s="24"/>
      <c r="G2887" s="143"/>
      <c r="H2887" s="24"/>
      <c r="K2887" s="25"/>
      <c r="L2887" s="25"/>
      <c r="M2887" s="77"/>
      <c r="N2887" s="24" t="s">
        <v>4979</v>
      </c>
    </row>
    <row r="2888">
      <c r="C2888" s="24"/>
      <c r="D2888" s="24"/>
      <c r="E2888" s="24"/>
      <c r="G2888" s="143"/>
      <c r="H2888" s="24"/>
      <c r="K2888" s="25"/>
      <c r="L2888" s="25"/>
      <c r="M2888" s="77"/>
      <c r="N2888" s="24" t="s">
        <v>4980</v>
      </c>
    </row>
    <row r="2889">
      <c r="C2889" s="24"/>
      <c r="D2889" s="24"/>
      <c r="E2889" s="24"/>
      <c r="G2889" s="143"/>
      <c r="H2889" s="24"/>
      <c r="K2889" s="25"/>
      <c r="L2889" s="25"/>
      <c r="M2889" s="77"/>
      <c r="N2889" s="24" t="s">
        <v>4981</v>
      </c>
    </row>
    <row r="2890">
      <c r="C2890" s="24"/>
      <c r="D2890" s="24"/>
      <c r="E2890" s="24"/>
      <c r="G2890" s="143"/>
      <c r="H2890" s="24"/>
      <c r="K2890" s="25"/>
      <c r="L2890" s="25"/>
      <c r="M2890" s="77"/>
      <c r="N2890" s="24" t="s">
        <v>4982</v>
      </c>
    </row>
    <row r="2891">
      <c r="C2891" s="24"/>
      <c r="D2891" s="24"/>
      <c r="E2891" s="24"/>
      <c r="G2891" s="143"/>
      <c r="H2891" s="24"/>
      <c r="K2891" s="25"/>
      <c r="L2891" s="25"/>
      <c r="M2891" s="77"/>
      <c r="N2891" s="24" t="s">
        <v>4983</v>
      </c>
    </row>
    <row r="2892">
      <c r="C2892" s="24"/>
      <c r="D2892" s="24"/>
      <c r="E2892" s="24"/>
      <c r="G2892" s="143"/>
      <c r="H2892" s="24"/>
      <c r="K2892" s="25"/>
      <c r="L2892" s="25"/>
      <c r="M2892" s="77"/>
      <c r="N2892" s="24" t="s">
        <v>4984</v>
      </c>
    </row>
    <row r="2893">
      <c r="C2893" s="24"/>
      <c r="D2893" s="24"/>
      <c r="E2893" s="24"/>
      <c r="G2893" s="143"/>
      <c r="H2893" s="24"/>
      <c r="K2893" s="25"/>
      <c r="L2893" s="25"/>
      <c r="M2893" s="77"/>
      <c r="N2893" s="24" t="s">
        <v>4985</v>
      </c>
    </row>
    <row r="2894">
      <c r="C2894" s="24"/>
      <c r="D2894" s="24"/>
      <c r="E2894" s="24"/>
      <c r="G2894" s="143"/>
      <c r="H2894" s="24"/>
      <c r="K2894" s="25"/>
      <c r="L2894" s="25"/>
      <c r="M2894" s="77"/>
      <c r="N2894" s="24" t="s">
        <v>4986</v>
      </c>
    </row>
    <row r="2895">
      <c r="C2895" s="24"/>
      <c r="D2895" s="24"/>
      <c r="E2895" s="24"/>
      <c r="G2895" s="143"/>
      <c r="H2895" s="24"/>
      <c r="K2895" s="25"/>
      <c r="L2895" s="25"/>
      <c r="M2895" s="77"/>
      <c r="N2895" s="24" t="s">
        <v>4987</v>
      </c>
    </row>
    <row r="2896">
      <c r="C2896" s="24"/>
      <c r="D2896" s="24"/>
      <c r="E2896" s="24"/>
      <c r="G2896" s="143"/>
      <c r="H2896" s="24"/>
      <c r="K2896" s="25"/>
      <c r="L2896" s="25"/>
      <c r="M2896" s="77"/>
      <c r="N2896" s="24" t="s">
        <v>4988</v>
      </c>
    </row>
    <row r="2897">
      <c r="C2897" s="24"/>
      <c r="D2897" s="24"/>
      <c r="E2897" s="24"/>
      <c r="G2897" s="143"/>
      <c r="H2897" s="24"/>
      <c r="K2897" s="25"/>
      <c r="L2897" s="25"/>
      <c r="M2897" s="77"/>
      <c r="N2897" s="24" t="s">
        <v>4989</v>
      </c>
    </row>
    <row r="2898">
      <c r="C2898" s="24"/>
      <c r="D2898" s="24"/>
      <c r="E2898" s="24"/>
      <c r="G2898" s="143"/>
      <c r="H2898" s="24"/>
      <c r="K2898" s="25"/>
      <c r="L2898" s="25"/>
      <c r="M2898" s="77"/>
      <c r="N2898" s="24" t="s">
        <v>4990</v>
      </c>
    </row>
    <row r="2899">
      <c r="C2899" s="24"/>
      <c r="D2899" s="24"/>
      <c r="E2899" s="24"/>
      <c r="G2899" s="143"/>
      <c r="H2899" s="24"/>
      <c r="K2899" s="25"/>
      <c r="L2899" s="25"/>
      <c r="M2899" s="77"/>
      <c r="N2899" s="24" t="s">
        <v>4991</v>
      </c>
    </row>
    <row r="2900">
      <c r="C2900" s="24"/>
      <c r="D2900" s="24"/>
      <c r="E2900" s="24"/>
      <c r="G2900" s="143"/>
      <c r="H2900" s="24"/>
      <c r="K2900" s="25"/>
      <c r="L2900" s="25"/>
      <c r="M2900" s="77"/>
      <c r="N2900" s="24" t="s">
        <v>4992</v>
      </c>
    </row>
    <row r="2901">
      <c r="C2901" s="24"/>
      <c r="D2901" s="24"/>
      <c r="E2901" s="24"/>
      <c r="G2901" s="143"/>
      <c r="H2901" s="24"/>
      <c r="K2901" s="25"/>
      <c r="L2901" s="25"/>
      <c r="M2901" s="77"/>
      <c r="N2901" s="24" t="s">
        <v>4993</v>
      </c>
    </row>
    <row r="2902">
      <c r="C2902" s="24"/>
      <c r="D2902" s="24"/>
      <c r="E2902" s="24"/>
      <c r="G2902" s="143"/>
      <c r="H2902" s="24"/>
      <c r="K2902" s="25"/>
      <c r="L2902" s="25"/>
      <c r="M2902" s="77"/>
      <c r="N2902" s="24" t="s">
        <v>4994</v>
      </c>
    </row>
    <row r="2903">
      <c r="C2903" s="24"/>
      <c r="D2903" s="24"/>
      <c r="E2903" s="24"/>
      <c r="G2903" s="143"/>
      <c r="H2903" s="24"/>
      <c r="K2903" s="25"/>
      <c r="L2903" s="25"/>
      <c r="M2903" s="77"/>
      <c r="N2903" s="24" t="s">
        <v>4995</v>
      </c>
    </row>
    <row r="2904">
      <c r="C2904" s="24"/>
      <c r="D2904" s="24"/>
      <c r="E2904" s="24"/>
      <c r="G2904" s="143"/>
      <c r="H2904" s="24"/>
      <c r="K2904" s="25"/>
      <c r="L2904" s="25"/>
      <c r="M2904" s="77"/>
      <c r="N2904" s="24" t="s">
        <v>4996</v>
      </c>
    </row>
    <row r="2905">
      <c r="C2905" s="24"/>
      <c r="D2905" s="24"/>
      <c r="E2905" s="24"/>
      <c r="G2905" s="143"/>
      <c r="H2905" s="24"/>
      <c r="K2905" s="25"/>
      <c r="L2905" s="25"/>
      <c r="M2905" s="77"/>
      <c r="N2905" s="24" t="s">
        <v>4997</v>
      </c>
    </row>
    <row r="2906">
      <c r="C2906" s="24"/>
      <c r="D2906" s="24"/>
      <c r="E2906" s="24"/>
      <c r="G2906" s="143"/>
      <c r="H2906" s="24"/>
      <c r="K2906" s="25"/>
      <c r="L2906" s="25"/>
      <c r="M2906" s="77"/>
      <c r="N2906" s="24" t="s">
        <v>4998</v>
      </c>
    </row>
    <row r="2907">
      <c r="C2907" s="24"/>
      <c r="D2907" s="24"/>
      <c r="E2907" s="24"/>
      <c r="G2907" s="143"/>
      <c r="H2907" s="24"/>
      <c r="K2907" s="25"/>
      <c r="L2907" s="25"/>
      <c r="M2907" s="77"/>
      <c r="N2907" s="24" t="s">
        <v>4999</v>
      </c>
    </row>
    <row r="2908">
      <c r="C2908" s="24"/>
      <c r="D2908" s="24"/>
      <c r="E2908" s="24"/>
      <c r="G2908" s="143"/>
      <c r="H2908" s="24"/>
      <c r="K2908" s="25"/>
      <c r="L2908" s="25"/>
      <c r="M2908" s="77"/>
      <c r="N2908" s="24" t="s">
        <v>5000</v>
      </c>
    </row>
    <row r="2909">
      <c r="C2909" s="24"/>
      <c r="D2909" s="24"/>
      <c r="E2909" s="24"/>
      <c r="G2909" s="143"/>
      <c r="H2909" s="24"/>
      <c r="K2909" s="25"/>
      <c r="L2909" s="25"/>
      <c r="M2909" s="77"/>
      <c r="N2909" s="24" t="s">
        <v>5001</v>
      </c>
    </row>
    <row r="2910">
      <c r="C2910" s="24"/>
      <c r="D2910" s="24"/>
      <c r="E2910" s="24"/>
      <c r="G2910" s="143"/>
      <c r="H2910" s="24"/>
      <c r="K2910" s="25"/>
      <c r="L2910" s="25"/>
      <c r="M2910" s="77"/>
      <c r="N2910" s="24" t="s">
        <v>4876</v>
      </c>
    </row>
    <row r="2911">
      <c r="C2911" s="24"/>
      <c r="D2911" s="24"/>
      <c r="E2911" s="24"/>
      <c r="G2911" s="143"/>
      <c r="H2911" s="24"/>
      <c r="K2911" s="25"/>
      <c r="L2911" s="25"/>
      <c r="M2911" s="77"/>
      <c r="N2911" s="24" t="s">
        <v>5002</v>
      </c>
    </row>
    <row r="2912">
      <c r="C2912" s="24"/>
      <c r="D2912" s="24"/>
      <c r="E2912" s="24"/>
      <c r="G2912" s="143"/>
      <c r="H2912" s="24"/>
      <c r="K2912" s="25"/>
      <c r="L2912" s="25"/>
      <c r="M2912" s="77"/>
      <c r="N2912" s="24" t="s">
        <v>5003</v>
      </c>
    </row>
    <row r="2913">
      <c r="C2913" s="24"/>
      <c r="D2913" s="24"/>
      <c r="E2913" s="24"/>
      <c r="G2913" s="143"/>
      <c r="H2913" s="24"/>
      <c r="K2913" s="25"/>
      <c r="L2913" s="25"/>
      <c r="M2913" s="77"/>
      <c r="N2913" s="24" t="s">
        <v>5004</v>
      </c>
    </row>
    <row r="2914">
      <c r="C2914" s="24"/>
      <c r="D2914" s="24"/>
      <c r="E2914" s="24"/>
      <c r="G2914" s="143"/>
      <c r="H2914" s="24"/>
      <c r="K2914" s="25"/>
      <c r="L2914" s="25"/>
      <c r="M2914" s="77"/>
      <c r="N2914" s="24" t="s">
        <v>5005</v>
      </c>
    </row>
    <row r="2915">
      <c r="C2915" s="24"/>
      <c r="D2915" s="24"/>
      <c r="E2915" s="24"/>
      <c r="G2915" s="143"/>
      <c r="H2915" s="24"/>
      <c r="K2915" s="25"/>
      <c r="L2915" s="25"/>
      <c r="M2915" s="77"/>
      <c r="N2915" s="24" t="s">
        <v>5006</v>
      </c>
    </row>
    <row r="2916">
      <c r="C2916" s="24"/>
      <c r="D2916" s="24"/>
      <c r="E2916" s="24"/>
      <c r="G2916" s="143"/>
      <c r="H2916" s="24"/>
      <c r="K2916" s="25"/>
      <c r="L2916" s="25"/>
      <c r="M2916" s="77"/>
      <c r="N2916" s="24" t="s">
        <v>5007</v>
      </c>
    </row>
    <row r="2917">
      <c r="C2917" s="24"/>
      <c r="D2917" s="24"/>
      <c r="E2917" s="24"/>
      <c r="G2917" s="143"/>
      <c r="H2917" s="24"/>
      <c r="K2917" s="25"/>
      <c r="L2917" s="25"/>
      <c r="M2917" s="77"/>
      <c r="N2917" s="24" t="s">
        <v>5008</v>
      </c>
    </row>
    <row r="2918">
      <c r="C2918" s="24"/>
      <c r="D2918" s="24"/>
      <c r="E2918" s="24"/>
      <c r="G2918" s="143"/>
      <c r="H2918" s="24"/>
      <c r="K2918" s="25"/>
      <c r="L2918" s="25"/>
      <c r="M2918" s="77"/>
      <c r="N2918" s="24" t="s">
        <v>5009</v>
      </c>
    </row>
    <row r="2919">
      <c r="C2919" s="24"/>
      <c r="D2919" s="24"/>
      <c r="E2919" s="24"/>
      <c r="G2919" s="143"/>
      <c r="H2919" s="24"/>
      <c r="K2919" s="25"/>
      <c r="L2919" s="25"/>
      <c r="M2919" s="77"/>
      <c r="N2919" s="24" t="s">
        <v>5010</v>
      </c>
    </row>
    <row r="2920">
      <c r="C2920" s="24"/>
      <c r="D2920" s="24"/>
      <c r="E2920" s="24"/>
      <c r="G2920" s="143"/>
      <c r="H2920" s="24"/>
      <c r="K2920" s="25"/>
      <c r="L2920" s="25"/>
      <c r="M2920" s="77"/>
      <c r="N2920" s="24" t="s">
        <v>5011</v>
      </c>
    </row>
    <row r="2921">
      <c r="C2921" s="24"/>
      <c r="D2921" s="24"/>
      <c r="E2921" s="24"/>
      <c r="G2921" s="143"/>
      <c r="H2921" s="24"/>
      <c r="K2921" s="25"/>
      <c r="L2921" s="25"/>
      <c r="M2921" s="77"/>
      <c r="N2921" s="24" t="s">
        <v>5012</v>
      </c>
    </row>
    <row r="2922">
      <c r="C2922" s="24"/>
      <c r="D2922" s="24"/>
      <c r="E2922" s="24"/>
      <c r="G2922" s="143"/>
      <c r="H2922" s="24"/>
      <c r="K2922" s="25"/>
      <c r="L2922" s="25"/>
      <c r="M2922" s="77"/>
      <c r="N2922" s="24" t="s">
        <v>5013</v>
      </c>
    </row>
    <row r="2923">
      <c r="C2923" s="24"/>
      <c r="D2923" s="24"/>
      <c r="E2923" s="24"/>
      <c r="G2923" s="143"/>
      <c r="H2923" s="24"/>
      <c r="K2923" s="25"/>
      <c r="L2923" s="25"/>
      <c r="M2923" s="77"/>
      <c r="N2923" s="24" t="s">
        <v>5014</v>
      </c>
    </row>
    <row r="2924">
      <c r="C2924" s="24"/>
      <c r="D2924" s="24"/>
      <c r="E2924" s="24"/>
      <c r="G2924" s="143"/>
      <c r="H2924" s="24"/>
      <c r="K2924" s="25"/>
      <c r="L2924" s="25"/>
      <c r="M2924" s="77"/>
      <c r="N2924" s="24" t="s">
        <v>5015</v>
      </c>
    </row>
    <row r="2925">
      <c r="C2925" s="24"/>
      <c r="D2925" s="24"/>
      <c r="E2925" s="24"/>
      <c r="G2925" s="143"/>
      <c r="H2925" s="24"/>
      <c r="K2925" s="25"/>
      <c r="L2925" s="25"/>
      <c r="M2925" s="77"/>
      <c r="N2925" s="24" t="s">
        <v>5016</v>
      </c>
    </row>
    <row r="2926">
      <c r="C2926" s="24"/>
      <c r="D2926" s="24"/>
      <c r="E2926" s="24"/>
      <c r="G2926" s="143"/>
      <c r="H2926" s="24"/>
      <c r="K2926" s="25"/>
      <c r="L2926" s="25"/>
      <c r="M2926" s="77"/>
      <c r="N2926" s="24" t="s">
        <v>5017</v>
      </c>
    </row>
    <row r="2927">
      <c r="C2927" s="24"/>
      <c r="D2927" s="24"/>
      <c r="E2927" s="24"/>
      <c r="G2927" s="143"/>
      <c r="H2927" s="24"/>
      <c r="K2927" s="25"/>
      <c r="L2927" s="25"/>
      <c r="M2927" s="77"/>
      <c r="N2927" s="24" t="s">
        <v>5018</v>
      </c>
    </row>
    <row r="2928">
      <c r="C2928" s="24"/>
      <c r="D2928" s="24"/>
      <c r="E2928" s="24"/>
      <c r="G2928" s="143"/>
      <c r="H2928" s="24"/>
      <c r="K2928" s="25"/>
      <c r="L2928" s="25"/>
      <c r="M2928" s="77"/>
      <c r="N2928" s="24" t="s">
        <v>5019</v>
      </c>
    </row>
    <row r="2929">
      <c r="C2929" s="24"/>
      <c r="D2929" s="24"/>
      <c r="E2929" s="24"/>
      <c r="G2929" s="143"/>
      <c r="H2929" s="24"/>
      <c r="K2929" s="25"/>
      <c r="L2929" s="25"/>
      <c r="M2929" s="77"/>
      <c r="N2929" s="24" t="s">
        <v>5020</v>
      </c>
    </row>
    <row r="2930">
      <c r="C2930" s="24"/>
      <c r="D2930" s="24"/>
      <c r="E2930" s="24"/>
      <c r="G2930" s="143"/>
      <c r="H2930" s="24"/>
      <c r="K2930" s="25"/>
      <c r="L2930" s="25"/>
      <c r="M2930" s="77"/>
      <c r="N2930" s="24" t="s">
        <v>5021</v>
      </c>
    </row>
    <row r="2931">
      <c r="C2931" s="24"/>
      <c r="D2931" s="24"/>
      <c r="E2931" s="24"/>
      <c r="G2931" s="143"/>
      <c r="H2931" s="24"/>
      <c r="K2931" s="25"/>
      <c r="L2931" s="25"/>
      <c r="M2931" s="77"/>
      <c r="N2931" s="24" t="s">
        <v>5022</v>
      </c>
    </row>
    <row r="2932">
      <c r="C2932" s="24"/>
      <c r="D2932" s="24"/>
      <c r="E2932" s="24"/>
      <c r="G2932" s="143"/>
      <c r="H2932" s="24"/>
      <c r="K2932" s="25"/>
      <c r="L2932" s="25"/>
      <c r="M2932" s="77"/>
      <c r="N2932" s="24" t="s">
        <v>5023</v>
      </c>
    </row>
    <row r="2933">
      <c r="C2933" s="24"/>
      <c r="D2933" s="24"/>
      <c r="E2933" s="24"/>
      <c r="G2933" s="143"/>
      <c r="H2933" s="24"/>
      <c r="K2933" s="25"/>
      <c r="L2933" s="25"/>
      <c r="M2933" s="77"/>
      <c r="N2933" s="24" t="s">
        <v>5024</v>
      </c>
    </row>
    <row r="2934">
      <c r="C2934" s="24"/>
      <c r="D2934" s="24"/>
      <c r="E2934" s="24"/>
      <c r="G2934" s="143"/>
      <c r="H2934" s="24"/>
      <c r="K2934" s="25"/>
      <c r="L2934" s="25"/>
      <c r="M2934" s="77"/>
      <c r="N2934" s="24" t="s">
        <v>5025</v>
      </c>
    </row>
    <row r="2935">
      <c r="C2935" s="24"/>
      <c r="D2935" s="24"/>
      <c r="E2935" s="24"/>
      <c r="G2935" s="143"/>
      <c r="H2935" s="24"/>
      <c r="K2935" s="25"/>
      <c r="L2935" s="25"/>
      <c r="M2935" s="77"/>
      <c r="N2935" s="24" t="s">
        <v>5026</v>
      </c>
    </row>
    <row r="2936">
      <c r="C2936" s="24"/>
      <c r="D2936" s="24"/>
      <c r="E2936" s="24"/>
      <c r="G2936" s="143"/>
      <c r="H2936" s="24"/>
      <c r="K2936" s="25"/>
      <c r="L2936" s="25"/>
      <c r="M2936" s="77"/>
      <c r="N2936" s="24" t="s">
        <v>4580</v>
      </c>
    </row>
    <row r="2937">
      <c r="C2937" s="24"/>
      <c r="D2937" s="24"/>
      <c r="E2937" s="24"/>
      <c r="G2937" s="143"/>
      <c r="H2937" s="24"/>
      <c r="K2937" s="25"/>
      <c r="L2937" s="25"/>
      <c r="M2937" s="77"/>
      <c r="N2937" s="24" t="s">
        <v>5027</v>
      </c>
    </row>
    <row r="2938">
      <c r="C2938" s="24"/>
      <c r="D2938" s="24"/>
      <c r="E2938" s="24"/>
      <c r="G2938" s="143"/>
      <c r="H2938" s="24"/>
      <c r="K2938" s="25"/>
      <c r="L2938" s="25"/>
      <c r="M2938" s="77"/>
      <c r="N2938" s="24" t="s">
        <v>5028</v>
      </c>
    </row>
    <row r="2939">
      <c r="C2939" s="24"/>
      <c r="D2939" s="24"/>
      <c r="E2939" s="24"/>
      <c r="G2939" s="143"/>
      <c r="H2939" s="24"/>
      <c r="K2939" s="25"/>
      <c r="L2939" s="25"/>
      <c r="M2939" s="77"/>
      <c r="N2939" s="24" t="s">
        <v>5029</v>
      </c>
    </row>
    <row r="2940">
      <c r="C2940" s="24"/>
      <c r="D2940" s="24"/>
      <c r="E2940" s="24"/>
      <c r="G2940" s="143"/>
      <c r="H2940" s="24"/>
      <c r="K2940" s="25"/>
      <c r="L2940" s="25"/>
      <c r="M2940" s="77"/>
      <c r="N2940" s="24" t="s">
        <v>5030</v>
      </c>
    </row>
    <row r="2941">
      <c r="C2941" s="24"/>
      <c r="D2941" s="24"/>
      <c r="E2941" s="24"/>
      <c r="G2941" s="143"/>
      <c r="H2941" s="24"/>
      <c r="K2941" s="25"/>
      <c r="L2941" s="25"/>
      <c r="M2941" s="77"/>
      <c r="N2941" s="24" t="s">
        <v>5031</v>
      </c>
    </row>
    <row r="2942">
      <c r="C2942" s="24"/>
      <c r="D2942" s="24"/>
      <c r="E2942" s="24"/>
      <c r="G2942" s="143"/>
      <c r="H2942" s="24"/>
      <c r="K2942" s="25"/>
      <c r="L2942" s="25"/>
      <c r="M2942" s="77"/>
      <c r="N2942" s="24" t="s">
        <v>5032</v>
      </c>
    </row>
    <row r="2943">
      <c r="C2943" s="24"/>
      <c r="D2943" s="24"/>
      <c r="E2943" s="24"/>
      <c r="G2943" s="143"/>
      <c r="H2943" s="24"/>
      <c r="K2943" s="25"/>
      <c r="L2943" s="25"/>
      <c r="M2943" s="77"/>
      <c r="N2943" s="24" t="s">
        <v>5033</v>
      </c>
    </row>
    <row r="2944">
      <c r="C2944" s="24"/>
      <c r="D2944" s="24"/>
      <c r="E2944" s="24"/>
      <c r="G2944" s="143"/>
      <c r="H2944" s="24"/>
      <c r="K2944" s="25"/>
      <c r="L2944" s="25"/>
      <c r="M2944" s="77"/>
      <c r="N2944" s="24" t="s">
        <v>5034</v>
      </c>
    </row>
    <row r="2945">
      <c r="C2945" s="24"/>
      <c r="D2945" s="24"/>
      <c r="E2945" s="24"/>
      <c r="G2945" s="143"/>
      <c r="H2945" s="24"/>
      <c r="K2945" s="25"/>
      <c r="L2945" s="25"/>
      <c r="M2945" s="77"/>
      <c r="N2945" s="24" t="s">
        <v>4295</v>
      </c>
    </row>
    <row r="2946">
      <c r="C2946" s="24"/>
      <c r="D2946" s="24"/>
      <c r="E2946" s="24"/>
      <c r="G2946" s="143"/>
      <c r="H2946" s="24"/>
      <c r="K2946" s="25"/>
      <c r="L2946" s="25"/>
      <c r="M2946" s="77"/>
      <c r="N2946" s="24" t="s">
        <v>5035</v>
      </c>
    </row>
    <row r="2947">
      <c r="C2947" s="24"/>
      <c r="D2947" s="24"/>
      <c r="E2947" s="24"/>
      <c r="G2947" s="143"/>
      <c r="H2947" s="24"/>
      <c r="K2947" s="25"/>
      <c r="L2947" s="25"/>
      <c r="M2947" s="77"/>
      <c r="N2947" s="24" t="s">
        <v>4170</v>
      </c>
    </row>
    <row r="2948">
      <c r="C2948" s="24"/>
      <c r="D2948" s="24"/>
      <c r="E2948" s="24"/>
      <c r="G2948" s="143"/>
      <c r="H2948" s="24"/>
      <c r="K2948" s="25"/>
      <c r="L2948" s="25"/>
      <c r="M2948" s="77"/>
      <c r="N2948" s="24" t="s">
        <v>5036</v>
      </c>
    </row>
    <row r="2949">
      <c r="C2949" s="24"/>
      <c r="D2949" s="24"/>
      <c r="E2949" s="24"/>
      <c r="G2949" s="143"/>
      <c r="H2949" s="24"/>
      <c r="K2949" s="25"/>
      <c r="L2949" s="25"/>
      <c r="M2949" s="77"/>
      <c r="N2949" s="24" t="s">
        <v>5037</v>
      </c>
    </row>
    <row r="2950">
      <c r="C2950" s="24"/>
      <c r="D2950" s="24"/>
      <c r="E2950" s="24"/>
      <c r="G2950" s="143"/>
      <c r="H2950" s="24"/>
      <c r="K2950" s="25"/>
      <c r="L2950" s="25"/>
      <c r="M2950" s="77"/>
      <c r="N2950" s="24" t="s">
        <v>5038</v>
      </c>
    </row>
    <row r="2951">
      <c r="C2951" s="24"/>
      <c r="D2951" s="24"/>
      <c r="E2951" s="24"/>
      <c r="G2951" s="143"/>
      <c r="H2951" s="24"/>
      <c r="K2951" s="25"/>
      <c r="L2951" s="25"/>
      <c r="M2951" s="77"/>
      <c r="N2951" s="24" t="s">
        <v>5039</v>
      </c>
    </row>
    <row r="2952">
      <c r="C2952" s="24"/>
      <c r="D2952" s="24"/>
      <c r="E2952" s="24"/>
      <c r="G2952" s="143"/>
      <c r="H2952" s="24"/>
      <c r="K2952" s="25"/>
      <c r="L2952" s="25"/>
      <c r="M2952" s="77"/>
      <c r="N2952" s="24" t="s">
        <v>5040</v>
      </c>
    </row>
    <row r="2953">
      <c r="C2953" s="24"/>
      <c r="D2953" s="24"/>
      <c r="E2953" s="24"/>
      <c r="G2953" s="143"/>
      <c r="H2953" s="24"/>
      <c r="K2953" s="25"/>
      <c r="L2953" s="25"/>
      <c r="M2953" s="77"/>
      <c r="N2953" s="24" t="s">
        <v>5041</v>
      </c>
    </row>
    <row r="2954">
      <c r="C2954" s="24"/>
      <c r="D2954" s="24"/>
      <c r="E2954" s="24"/>
      <c r="G2954" s="143"/>
      <c r="H2954" s="24"/>
      <c r="K2954" s="25"/>
      <c r="L2954" s="25"/>
      <c r="M2954" s="77"/>
      <c r="N2954" s="24" t="s">
        <v>5042</v>
      </c>
    </row>
    <row r="2955">
      <c r="C2955" s="24"/>
      <c r="D2955" s="24"/>
      <c r="E2955" s="24"/>
      <c r="G2955" s="143"/>
      <c r="H2955" s="24"/>
      <c r="K2955" s="25"/>
      <c r="L2955" s="25"/>
      <c r="M2955" s="77"/>
      <c r="N2955" s="24" t="s">
        <v>5043</v>
      </c>
    </row>
    <row r="2956">
      <c r="C2956" s="24"/>
      <c r="D2956" s="24"/>
      <c r="E2956" s="24"/>
      <c r="G2956" s="143"/>
      <c r="H2956" s="24"/>
      <c r="K2956" s="25"/>
      <c r="L2956" s="25"/>
      <c r="M2956" s="77"/>
      <c r="N2956" s="24" t="s">
        <v>5044</v>
      </c>
    </row>
    <row r="2957">
      <c r="C2957" s="24"/>
      <c r="D2957" s="24"/>
      <c r="E2957" s="24"/>
      <c r="G2957" s="143"/>
      <c r="H2957" s="24"/>
      <c r="K2957" s="25"/>
      <c r="L2957" s="25"/>
      <c r="M2957" s="77"/>
      <c r="N2957" s="24" t="s">
        <v>5045</v>
      </c>
    </row>
    <row r="2958">
      <c r="C2958" s="24"/>
      <c r="D2958" s="24"/>
      <c r="E2958" s="24"/>
      <c r="G2958" s="143"/>
      <c r="H2958" s="24"/>
      <c r="K2958" s="25"/>
      <c r="L2958" s="25"/>
      <c r="M2958" s="77"/>
      <c r="N2958" s="24" t="s">
        <v>5046</v>
      </c>
    </row>
    <row r="2959">
      <c r="C2959" s="24"/>
      <c r="D2959" s="24"/>
      <c r="E2959" s="24"/>
      <c r="G2959" s="143"/>
      <c r="H2959" s="24"/>
      <c r="K2959" s="25"/>
      <c r="L2959" s="25"/>
      <c r="M2959" s="77"/>
      <c r="N2959" s="24" t="s">
        <v>5047</v>
      </c>
    </row>
    <row r="2960">
      <c r="C2960" s="24"/>
      <c r="D2960" s="24"/>
      <c r="E2960" s="24"/>
      <c r="G2960" s="143"/>
      <c r="H2960" s="24"/>
      <c r="K2960" s="25"/>
      <c r="L2960" s="25"/>
      <c r="M2960" s="77"/>
      <c r="N2960" s="24" t="s">
        <v>5048</v>
      </c>
    </row>
    <row r="2961">
      <c r="C2961" s="24"/>
      <c r="D2961" s="24"/>
      <c r="E2961" s="24"/>
      <c r="G2961" s="143"/>
      <c r="H2961" s="24"/>
      <c r="K2961" s="25"/>
      <c r="L2961" s="25"/>
      <c r="M2961" s="77"/>
      <c r="N2961" s="24" t="s">
        <v>5049</v>
      </c>
    </row>
    <row r="2962">
      <c r="C2962" s="24"/>
      <c r="D2962" s="24"/>
      <c r="E2962" s="24"/>
      <c r="G2962" s="143"/>
      <c r="H2962" s="24"/>
      <c r="K2962" s="25"/>
      <c r="L2962" s="25"/>
      <c r="M2962" s="77"/>
      <c r="N2962" s="24" t="s">
        <v>5050</v>
      </c>
    </row>
    <row r="2963">
      <c r="C2963" s="24"/>
      <c r="D2963" s="24"/>
      <c r="E2963" s="24"/>
      <c r="G2963" s="143"/>
      <c r="H2963" s="24"/>
      <c r="K2963" s="25"/>
      <c r="L2963" s="25"/>
      <c r="M2963" s="77"/>
      <c r="N2963" s="24" t="s">
        <v>5051</v>
      </c>
    </row>
    <row r="2964">
      <c r="C2964" s="24"/>
      <c r="D2964" s="24"/>
      <c r="E2964" s="24"/>
      <c r="G2964" s="143"/>
      <c r="H2964" s="24"/>
      <c r="K2964" s="25"/>
      <c r="L2964" s="25"/>
      <c r="M2964" s="77"/>
      <c r="N2964" s="24" t="s">
        <v>5052</v>
      </c>
    </row>
    <row r="2965">
      <c r="C2965" s="24"/>
      <c r="D2965" s="24"/>
      <c r="E2965" s="24"/>
      <c r="G2965" s="143"/>
      <c r="H2965" s="24"/>
      <c r="K2965" s="25"/>
      <c r="L2965" s="25"/>
      <c r="M2965" s="77"/>
      <c r="N2965" s="24" t="s">
        <v>5053</v>
      </c>
    </row>
    <row r="2966">
      <c r="C2966" s="24"/>
      <c r="D2966" s="24"/>
      <c r="E2966" s="24"/>
      <c r="G2966" s="143"/>
      <c r="H2966" s="24"/>
      <c r="K2966" s="25"/>
      <c r="L2966" s="25"/>
      <c r="M2966" s="77"/>
      <c r="N2966" s="24" t="s">
        <v>5054</v>
      </c>
    </row>
    <row r="2967">
      <c r="C2967" s="24"/>
      <c r="D2967" s="24"/>
      <c r="E2967" s="24"/>
      <c r="G2967" s="143"/>
      <c r="H2967" s="24"/>
      <c r="K2967" s="25"/>
      <c r="L2967" s="25"/>
      <c r="M2967" s="77"/>
      <c r="N2967" s="24" t="s">
        <v>5055</v>
      </c>
    </row>
    <row r="2968">
      <c r="C2968" s="24"/>
      <c r="D2968" s="24"/>
      <c r="E2968" s="24"/>
      <c r="G2968" s="143"/>
      <c r="H2968" s="24"/>
      <c r="K2968" s="25"/>
      <c r="L2968" s="25"/>
      <c r="M2968" s="77"/>
      <c r="N2968" s="24" t="s">
        <v>5056</v>
      </c>
    </row>
    <row r="2969">
      <c r="C2969" s="24"/>
      <c r="D2969" s="24"/>
      <c r="E2969" s="24"/>
      <c r="G2969" s="143"/>
      <c r="H2969" s="24"/>
      <c r="K2969" s="25"/>
      <c r="L2969" s="25"/>
      <c r="M2969" s="77"/>
      <c r="N2969" s="24" t="s">
        <v>5057</v>
      </c>
    </row>
    <row r="2970">
      <c r="C2970" s="24"/>
      <c r="D2970" s="24"/>
      <c r="E2970" s="24"/>
      <c r="G2970" s="143"/>
      <c r="H2970" s="24"/>
      <c r="K2970" s="25"/>
      <c r="L2970" s="25"/>
      <c r="M2970" s="77"/>
      <c r="N2970" s="24" t="s">
        <v>4438</v>
      </c>
    </row>
    <row r="2971">
      <c r="C2971" s="24"/>
      <c r="D2971" s="24"/>
      <c r="E2971" s="24"/>
      <c r="G2971" s="143"/>
      <c r="H2971" s="24"/>
      <c r="K2971" s="25"/>
      <c r="L2971" s="25"/>
      <c r="M2971" s="77"/>
      <c r="N2971" s="24" t="s">
        <v>5058</v>
      </c>
    </row>
    <row r="2972">
      <c r="C2972" s="24"/>
      <c r="D2972" s="24"/>
      <c r="E2972" s="24"/>
      <c r="G2972" s="143"/>
      <c r="H2972" s="24"/>
      <c r="K2972" s="25"/>
      <c r="L2972" s="25"/>
      <c r="M2972" s="77"/>
      <c r="N2972" s="24" t="s">
        <v>5059</v>
      </c>
    </row>
    <row r="2973">
      <c r="C2973" s="24"/>
      <c r="D2973" s="24"/>
      <c r="E2973" s="24"/>
      <c r="G2973" s="143"/>
      <c r="H2973" s="24"/>
      <c r="K2973" s="25"/>
      <c r="L2973" s="25"/>
      <c r="M2973" s="77"/>
      <c r="N2973" s="24" t="s">
        <v>5060</v>
      </c>
    </row>
    <row r="2974">
      <c r="C2974" s="24"/>
      <c r="D2974" s="24"/>
      <c r="E2974" s="24"/>
      <c r="G2974" s="143"/>
      <c r="H2974" s="24"/>
      <c r="K2974" s="25"/>
      <c r="L2974" s="25"/>
      <c r="M2974" s="77"/>
      <c r="N2974" s="24" t="s">
        <v>5061</v>
      </c>
    </row>
    <row r="2975">
      <c r="C2975" s="24"/>
      <c r="D2975" s="24"/>
      <c r="E2975" s="24"/>
      <c r="G2975" s="143"/>
      <c r="H2975" s="24"/>
      <c r="K2975" s="25"/>
      <c r="L2975" s="25"/>
      <c r="M2975" s="77"/>
      <c r="N2975" s="24" t="s">
        <v>5062</v>
      </c>
    </row>
    <row r="2976">
      <c r="C2976" s="24"/>
      <c r="D2976" s="24"/>
      <c r="E2976" s="24"/>
      <c r="G2976" s="143"/>
      <c r="H2976" s="24"/>
      <c r="K2976" s="25"/>
      <c r="L2976" s="25"/>
      <c r="M2976" s="77"/>
      <c r="N2976" s="24" t="s">
        <v>5063</v>
      </c>
    </row>
    <row r="2977">
      <c r="C2977" s="24"/>
      <c r="D2977" s="24"/>
      <c r="E2977" s="24"/>
      <c r="G2977" s="143"/>
      <c r="H2977" s="24"/>
      <c r="K2977" s="25"/>
      <c r="L2977" s="25"/>
      <c r="M2977" s="77"/>
      <c r="N2977" s="24" t="s">
        <v>5064</v>
      </c>
    </row>
    <row r="2978">
      <c r="C2978" s="24"/>
      <c r="D2978" s="24"/>
      <c r="E2978" s="24"/>
      <c r="G2978" s="143"/>
      <c r="H2978" s="24"/>
      <c r="K2978" s="25"/>
      <c r="L2978" s="25"/>
      <c r="M2978" s="77"/>
      <c r="N2978" s="24" t="s">
        <v>5065</v>
      </c>
    </row>
    <row r="2979">
      <c r="C2979" s="24"/>
      <c r="D2979" s="24"/>
      <c r="E2979" s="24"/>
      <c r="G2979" s="143"/>
      <c r="H2979" s="24"/>
      <c r="K2979" s="25"/>
      <c r="L2979" s="25"/>
      <c r="M2979" s="77"/>
      <c r="N2979" s="24" t="s">
        <v>5066</v>
      </c>
    </row>
    <row r="2980">
      <c r="C2980" s="24"/>
      <c r="D2980" s="24"/>
      <c r="E2980" s="24"/>
      <c r="G2980" s="143"/>
      <c r="H2980" s="24"/>
      <c r="K2980" s="25"/>
      <c r="L2980" s="25"/>
      <c r="M2980" s="77"/>
      <c r="N2980" s="24" t="s">
        <v>5067</v>
      </c>
    </row>
    <row r="2981">
      <c r="C2981" s="24"/>
      <c r="D2981" s="24"/>
      <c r="E2981" s="24"/>
      <c r="G2981" s="143"/>
      <c r="H2981" s="24"/>
      <c r="K2981" s="25"/>
      <c r="L2981" s="25"/>
      <c r="M2981" s="77"/>
      <c r="N2981" s="24" t="s">
        <v>5068</v>
      </c>
    </row>
    <row r="2982">
      <c r="C2982" s="24"/>
      <c r="D2982" s="24"/>
      <c r="E2982" s="24"/>
      <c r="G2982" s="143"/>
      <c r="H2982" s="24"/>
      <c r="K2982" s="25"/>
      <c r="L2982" s="25"/>
      <c r="M2982" s="77"/>
      <c r="N2982" s="24" t="s">
        <v>5069</v>
      </c>
    </row>
    <row r="2983">
      <c r="C2983" s="24"/>
      <c r="D2983" s="24"/>
      <c r="E2983" s="24"/>
      <c r="G2983" s="143"/>
      <c r="H2983" s="24"/>
      <c r="K2983" s="25"/>
      <c r="L2983" s="25"/>
      <c r="M2983" s="77"/>
      <c r="N2983" s="24" t="s">
        <v>5070</v>
      </c>
    </row>
    <row r="2984">
      <c r="C2984" s="24"/>
      <c r="D2984" s="24"/>
      <c r="E2984" s="24"/>
      <c r="G2984" s="143"/>
      <c r="H2984" s="24"/>
      <c r="K2984" s="25"/>
      <c r="L2984" s="25"/>
      <c r="M2984" s="77"/>
      <c r="N2984" s="24" t="s">
        <v>5071</v>
      </c>
    </row>
    <row r="2985">
      <c r="C2985" s="24"/>
      <c r="D2985" s="24"/>
      <c r="E2985" s="24"/>
      <c r="G2985" s="143"/>
      <c r="H2985" s="24"/>
      <c r="K2985" s="25"/>
      <c r="L2985" s="25"/>
      <c r="M2985" s="77"/>
      <c r="N2985" s="24" t="s">
        <v>5072</v>
      </c>
    </row>
    <row r="2986">
      <c r="C2986" s="24"/>
      <c r="D2986" s="24"/>
      <c r="E2986" s="24"/>
      <c r="G2986" s="143"/>
      <c r="H2986" s="24"/>
      <c r="K2986" s="25"/>
      <c r="L2986" s="25"/>
      <c r="M2986" s="77"/>
      <c r="N2986" s="24" t="s">
        <v>5073</v>
      </c>
    </row>
    <row r="2987">
      <c r="C2987" s="24"/>
      <c r="D2987" s="24"/>
      <c r="E2987" s="24"/>
      <c r="G2987" s="143"/>
      <c r="H2987" s="24"/>
      <c r="K2987" s="25"/>
      <c r="L2987" s="25"/>
      <c r="M2987" s="77"/>
      <c r="N2987" s="24" t="s">
        <v>5074</v>
      </c>
    </row>
    <row r="2988">
      <c r="C2988" s="24"/>
      <c r="D2988" s="24"/>
      <c r="E2988" s="24"/>
      <c r="G2988" s="143"/>
      <c r="H2988" s="24"/>
      <c r="K2988" s="25"/>
      <c r="L2988" s="25"/>
      <c r="M2988" s="77"/>
      <c r="N2988" s="24" t="s">
        <v>5075</v>
      </c>
    </row>
    <row r="2989">
      <c r="C2989" s="24"/>
      <c r="D2989" s="24"/>
      <c r="E2989" s="24"/>
      <c r="G2989" s="143"/>
      <c r="H2989" s="24"/>
      <c r="K2989" s="25"/>
      <c r="L2989" s="25"/>
      <c r="M2989" s="77"/>
      <c r="N2989" s="24" t="s">
        <v>5076</v>
      </c>
    </row>
    <row r="2990">
      <c r="C2990" s="24"/>
      <c r="D2990" s="24"/>
      <c r="E2990" s="24"/>
      <c r="G2990" s="143"/>
      <c r="H2990" s="24"/>
      <c r="K2990" s="25"/>
      <c r="L2990" s="25"/>
      <c r="M2990" s="77"/>
      <c r="N2990" s="24" t="s">
        <v>5077</v>
      </c>
    </row>
    <row r="2991">
      <c r="C2991" s="24"/>
      <c r="D2991" s="24"/>
      <c r="E2991" s="24"/>
      <c r="G2991" s="143"/>
      <c r="H2991" s="24"/>
      <c r="K2991" s="25"/>
      <c r="L2991" s="25"/>
      <c r="M2991" s="77"/>
      <c r="N2991" s="24" t="s">
        <v>5078</v>
      </c>
    </row>
    <row r="2992">
      <c r="C2992" s="24"/>
      <c r="D2992" s="24"/>
      <c r="E2992" s="24"/>
      <c r="G2992" s="143"/>
      <c r="H2992" s="24"/>
      <c r="K2992" s="25"/>
      <c r="L2992" s="25"/>
      <c r="M2992" s="77"/>
      <c r="N2992" s="24" t="s">
        <v>5079</v>
      </c>
    </row>
    <row r="2993">
      <c r="C2993" s="24"/>
      <c r="D2993" s="24"/>
      <c r="E2993" s="24"/>
      <c r="G2993" s="143"/>
      <c r="H2993" s="24"/>
      <c r="K2993" s="25"/>
      <c r="L2993" s="25"/>
      <c r="M2993" s="77"/>
      <c r="N2993" s="24" t="s">
        <v>5080</v>
      </c>
    </row>
    <row r="2994">
      <c r="C2994" s="24"/>
      <c r="D2994" s="24"/>
      <c r="E2994" s="24"/>
      <c r="G2994" s="143"/>
      <c r="H2994" s="24"/>
      <c r="K2994" s="25"/>
      <c r="L2994" s="25"/>
      <c r="M2994" s="77"/>
      <c r="N2994" s="24" t="s">
        <v>4710</v>
      </c>
    </row>
    <row r="2995">
      <c r="C2995" s="24"/>
      <c r="D2995" s="24"/>
      <c r="E2995" s="24"/>
      <c r="G2995" s="143"/>
      <c r="H2995" s="24"/>
      <c r="K2995" s="25"/>
      <c r="L2995" s="25"/>
      <c r="M2995" s="77"/>
      <c r="N2995" s="24" t="s">
        <v>5081</v>
      </c>
    </row>
    <row r="2996">
      <c r="C2996" s="24"/>
      <c r="D2996" s="24"/>
      <c r="E2996" s="24"/>
      <c r="G2996" s="143"/>
      <c r="H2996" s="24"/>
      <c r="K2996" s="25"/>
      <c r="L2996" s="25"/>
      <c r="M2996" s="77"/>
      <c r="N2996" s="24" t="s">
        <v>5082</v>
      </c>
    </row>
    <row r="2997">
      <c r="C2997" s="24"/>
      <c r="D2997" s="24"/>
      <c r="E2997" s="24"/>
      <c r="G2997" s="143"/>
      <c r="H2997" s="24"/>
      <c r="K2997" s="25"/>
      <c r="L2997" s="25"/>
      <c r="M2997" s="77"/>
      <c r="N2997" s="24" t="s">
        <v>5083</v>
      </c>
    </row>
    <row r="2998">
      <c r="C2998" s="24"/>
      <c r="D2998" s="24"/>
      <c r="E2998" s="24"/>
      <c r="G2998" s="143"/>
      <c r="H2998" s="24"/>
      <c r="K2998" s="25"/>
      <c r="L2998" s="25"/>
      <c r="M2998" s="77"/>
      <c r="N2998" s="24" t="s">
        <v>5084</v>
      </c>
    </row>
    <row r="2999">
      <c r="C2999" s="24"/>
      <c r="D2999" s="24"/>
      <c r="E2999" s="24"/>
      <c r="G2999" s="143"/>
      <c r="H2999" s="24"/>
      <c r="K2999" s="25"/>
      <c r="L2999" s="25"/>
      <c r="M2999" s="77"/>
      <c r="N2999" s="24" t="s">
        <v>5085</v>
      </c>
    </row>
    <row r="3000">
      <c r="C3000" s="24"/>
      <c r="D3000" s="24"/>
      <c r="E3000" s="24"/>
      <c r="G3000" s="143"/>
      <c r="H3000" s="24"/>
      <c r="K3000" s="25"/>
      <c r="L3000" s="25"/>
      <c r="M3000" s="77"/>
      <c r="N3000" s="24" t="s">
        <v>5086</v>
      </c>
    </row>
    <row r="3001">
      <c r="C3001" s="24"/>
      <c r="D3001" s="24"/>
      <c r="E3001" s="24"/>
      <c r="G3001" s="143"/>
      <c r="H3001" s="24"/>
      <c r="K3001" s="25"/>
      <c r="L3001" s="25"/>
      <c r="M3001" s="77"/>
      <c r="N3001" s="24" t="s">
        <v>5087</v>
      </c>
    </row>
    <row r="3002">
      <c r="C3002" s="24"/>
      <c r="D3002" s="24"/>
      <c r="E3002" s="24"/>
      <c r="G3002" s="143"/>
      <c r="H3002" s="24"/>
      <c r="K3002" s="25"/>
      <c r="L3002" s="25"/>
      <c r="M3002" s="77"/>
      <c r="N3002" s="24" t="s">
        <v>5088</v>
      </c>
    </row>
    <row r="3003">
      <c r="C3003" s="24"/>
      <c r="D3003" s="24"/>
      <c r="E3003" s="24"/>
      <c r="G3003" s="143"/>
      <c r="H3003" s="24"/>
      <c r="K3003" s="25"/>
      <c r="L3003" s="25"/>
      <c r="M3003" s="77"/>
      <c r="N3003" s="24" t="s">
        <v>5089</v>
      </c>
    </row>
    <row r="3004">
      <c r="C3004" s="24"/>
      <c r="D3004" s="24"/>
      <c r="E3004" s="24"/>
      <c r="G3004" s="143"/>
      <c r="H3004" s="24"/>
      <c r="K3004" s="25"/>
      <c r="L3004" s="25"/>
      <c r="M3004" s="77"/>
      <c r="N3004" s="24" t="s">
        <v>5090</v>
      </c>
    </row>
    <row r="3005">
      <c r="C3005" s="24"/>
      <c r="D3005" s="24"/>
      <c r="E3005" s="24"/>
      <c r="G3005" s="143"/>
      <c r="H3005" s="24"/>
      <c r="K3005" s="25"/>
      <c r="L3005" s="25"/>
      <c r="M3005" s="77"/>
      <c r="N3005" s="24" t="s">
        <v>5091</v>
      </c>
    </row>
    <row r="3006">
      <c r="C3006" s="24"/>
      <c r="D3006" s="24"/>
      <c r="E3006" s="24"/>
      <c r="G3006" s="143"/>
      <c r="H3006" s="24"/>
      <c r="K3006" s="25"/>
      <c r="L3006" s="25"/>
      <c r="M3006" s="77"/>
      <c r="N3006" s="24" t="s">
        <v>5092</v>
      </c>
    </row>
    <row r="3007">
      <c r="C3007" s="24"/>
      <c r="D3007" s="24"/>
      <c r="E3007" s="24"/>
      <c r="G3007" s="143"/>
      <c r="H3007" s="24"/>
      <c r="K3007" s="25"/>
      <c r="L3007" s="25"/>
      <c r="M3007" s="77"/>
      <c r="N3007" s="24" t="s">
        <v>5093</v>
      </c>
    </row>
    <row r="3008">
      <c r="C3008" s="24"/>
      <c r="D3008" s="24"/>
      <c r="E3008" s="24"/>
      <c r="G3008" s="143"/>
      <c r="H3008" s="24"/>
      <c r="K3008" s="25"/>
      <c r="L3008" s="25"/>
      <c r="M3008" s="77"/>
      <c r="N3008" s="24" t="s">
        <v>5094</v>
      </c>
    </row>
    <row r="3009">
      <c r="C3009" s="24"/>
      <c r="D3009" s="24"/>
      <c r="E3009" s="24"/>
      <c r="G3009" s="143"/>
      <c r="H3009" s="24"/>
      <c r="K3009" s="25"/>
      <c r="L3009" s="25"/>
      <c r="M3009" s="77"/>
      <c r="N3009" s="24" t="s">
        <v>5095</v>
      </c>
    </row>
    <row r="3010">
      <c r="C3010" s="24"/>
      <c r="D3010" s="24"/>
      <c r="E3010" s="24"/>
      <c r="G3010" s="143"/>
      <c r="H3010" s="24"/>
      <c r="K3010" s="25"/>
      <c r="L3010" s="25"/>
      <c r="M3010" s="7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25"/>
    <col customWidth="1" min="2" max="2" width="44.13"/>
  </cols>
  <sheetData>
    <row r="1">
      <c r="A1" s="3" t="s">
        <v>5112</v>
      </c>
      <c r="B1" s="144" t="s">
        <v>5112</v>
      </c>
      <c r="C1" s="32"/>
    </row>
    <row r="2">
      <c r="A2" s="3" t="s">
        <v>5113</v>
      </c>
      <c r="B2" s="144" t="s">
        <v>5114</v>
      </c>
      <c r="C2" s="32"/>
    </row>
    <row r="3">
      <c r="A3" s="8" t="s">
        <v>5115</v>
      </c>
      <c r="B3" s="145" t="s">
        <v>5116</v>
      </c>
      <c r="C3" s="32"/>
    </row>
    <row r="4">
      <c r="A4" s="11">
        <v>3.60559773E8</v>
      </c>
      <c r="B4" s="146">
        <v>7000.0</v>
      </c>
      <c r="C4" s="32"/>
    </row>
    <row r="5">
      <c r="A5" s="11">
        <v>1.13320543E8</v>
      </c>
      <c r="B5" s="146">
        <v>7001.0</v>
      </c>
      <c r="C5" s="32"/>
    </row>
    <row r="6">
      <c r="A6" s="11">
        <v>1.50562757E8</v>
      </c>
      <c r="B6" s="146">
        <v>7002.0</v>
      </c>
      <c r="C6" s="32"/>
    </row>
    <row r="7">
      <c r="A7" s="11">
        <v>7.6746136E8</v>
      </c>
      <c r="B7" s="146">
        <v>7003.0</v>
      </c>
      <c r="C7" s="32"/>
    </row>
    <row r="8">
      <c r="A8" s="11">
        <v>7.65717312E8</v>
      </c>
      <c r="B8" s="146">
        <v>7004.0</v>
      </c>
      <c r="C8" s="32"/>
    </row>
    <row r="9">
      <c r="A9" s="11">
        <v>5.47335718E8</v>
      </c>
      <c r="B9" s="146">
        <v>7005.0</v>
      </c>
      <c r="C9" s="32"/>
    </row>
    <row r="10">
      <c r="A10" s="11">
        <v>1.06148873E8</v>
      </c>
      <c r="B10" s="146">
        <v>7006.0</v>
      </c>
      <c r="C10" s="32"/>
    </row>
    <row r="11">
      <c r="A11" s="11">
        <v>2.64264816E8</v>
      </c>
      <c r="B11" s="146">
        <v>7007.0</v>
      </c>
      <c r="C11" s="32"/>
    </row>
    <row r="12">
      <c r="A12" s="11">
        <v>9.30626309E8</v>
      </c>
      <c r="B12" s="146">
        <v>7008.0</v>
      </c>
      <c r="C12" s="32"/>
    </row>
    <row r="13">
      <c r="A13" s="11">
        <v>6.49928433E8</v>
      </c>
      <c r="B13" s="146">
        <v>7009.0</v>
      </c>
      <c r="C13" s="32"/>
    </row>
    <row r="14">
      <c r="A14" s="11">
        <v>7.82217329E8</v>
      </c>
      <c r="B14" s="146">
        <v>7010.0</v>
      </c>
      <c r="C14" s="32"/>
    </row>
    <row r="15">
      <c r="A15" s="11">
        <v>1.79467594E8</v>
      </c>
      <c r="B15" s="146">
        <v>7011.0</v>
      </c>
      <c r="C15" s="32"/>
    </row>
    <row r="16">
      <c r="A16" s="11">
        <v>9.82090155E8</v>
      </c>
      <c r="B16" s="146">
        <v>7012.0</v>
      </c>
      <c r="C16" s="32"/>
    </row>
    <row r="17">
      <c r="A17" s="11">
        <v>3.17774718E8</v>
      </c>
      <c r="B17" s="146">
        <v>7013.0</v>
      </c>
      <c r="C17" s="32"/>
    </row>
    <row r="18">
      <c r="A18" s="11">
        <v>7.74862923E8</v>
      </c>
      <c r="B18" s="146">
        <v>7014.0</v>
      </c>
      <c r="C18" s="32"/>
    </row>
    <row r="19">
      <c r="A19" s="11">
        <v>5.76787881E8</v>
      </c>
      <c r="B19" s="146">
        <v>7015.0</v>
      </c>
      <c r="C19" s="32"/>
    </row>
    <row r="20">
      <c r="A20" s="11">
        <v>9.5315628E8</v>
      </c>
      <c r="B20" s="146">
        <v>7016.0</v>
      </c>
      <c r="C20" s="32"/>
    </row>
    <row r="21">
      <c r="A21" s="11">
        <v>9.39131041E8</v>
      </c>
      <c r="B21" s="146">
        <v>7017.0</v>
      </c>
      <c r="C21" s="32"/>
    </row>
    <row r="22">
      <c r="A22" s="11">
        <v>5.50148757E8</v>
      </c>
      <c r="B22" s="146">
        <v>7018.0</v>
      </c>
      <c r="C22" s="32"/>
    </row>
    <row r="23">
      <c r="A23" s="11">
        <v>9.42828744E8</v>
      </c>
      <c r="B23" s="146">
        <v>7019.0</v>
      </c>
      <c r="C23" s="32"/>
    </row>
    <row r="24">
      <c r="A24" s="11">
        <v>7.63972622E8</v>
      </c>
      <c r="B24" s="146">
        <v>7020.0</v>
      </c>
      <c r="C24" s="32"/>
    </row>
    <row r="25">
      <c r="A25" s="11">
        <v>3.36233131E8</v>
      </c>
      <c r="B25" s="146">
        <v>7021.0</v>
      </c>
      <c r="C25" s="32"/>
    </row>
    <row r="26">
      <c r="A26" s="11">
        <v>1.93770809E8</v>
      </c>
      <c r="B26" s="146">
        <v>7022.0</v>
      </c>
      <c r="C26" s="32"/>
    </row>
    <row r="27">
      <c r="A27" s="11">
        <v>1.4021252E8</v>
      </c>
      <c r="B27" s="146">
        <v>7023.0</v>
      </c>
      <c r="C27" s="32"/>
    </row>
    <row r="28">
      <c r="A28" s="11">
        <v>2.39249288E8</v>
      </c>
      <c r="B28" s="146">
        <v>7024.0</v>
      </c>
      <c r="C28" s="32"/>
    </row>
    <row r="29">
      <c r="A29" s="11">
        <v>3.2922419E8</v>
      </c>
      <c r="B29" s="146">
        <v>7025.0</v>
      </c>
      <c r="C29" s="32"/>
    </row>
    <row r="30">
      <c r="A30" s="11">
        <v>6.73454875E8</v>
      </c>
      <c r="B30" s="146">
        <v>7026.0</v>
      </c>
      <c r="C30" s="32"/>
    </row>
    <row r="31">
      <c r="A31" s="11">
        <v>7.99890211E8</v>
      </c>
      <c r="B31" s="146">
        <v>7027.0</v>
      </c>
      <c r="C31" s="32"/>
    </row>
    <row r="32">
      <c r="A32" s="11">
        <v>4.73289857E8</v>
      </c>
      <c r="B32" s="146">
        <v>7028.0</v>
      </c>
      <c r="C32" s="32"/>
    </row>
    <row r="33">
      <c r="A33" s="11">
        <v>2.51217785E8</v>
      </c>
      <c r="B33" s="146">
        <v>7029.0</v>
      </c>
      <c r="C33" s="32"/>
    </row>
    <row r="34">
      <c r="A34" s="11">
        <v>3.43149031E8</v>
      </c>
      <c r="B34" s="146">
        <v>7030.0</v>
      </c>
      <c r="C34" s="32"/>
    </row>
    <row r="35">
      <c r="A35" s="11">
        <v>9.4302076E8</v>
      </c>
      <c r="B35" s="146">
        <v>7031.0</v>
      </c>
      <c r="C35" s="32"/>
    </row>
    <row r="36">
      <c r="A36" s="11">
        <v>9.27207384E8</v>
      </c>
      <c r="B36" s="146">
        <v>7032.0</v>
      </c>
      <c r="C36" s="32"/>
    </row>
    <row r="37">
      <c r="A37" s="11">
        <v>2.1229226E8</v>
      </c>
      <c r="B37" s="146">
        <v>7033.0</v>
      </c>
      <c r="C37" s="32"/>
    </row>
    <row r="38">
      <c r="A38" s="11">
        <v>1.36047641E8</v>
      </c>
      <c r="B38" s="146">
        <v>7034.0</v>
      </c>
      <c r="C38" s="32"/>
    </row>
    <row r="39">
      <c r="A39" s="11">
        <v>3.64583832E8</v>
      </c>
      <c r="B39" s="146">
        <v>7035.0</v>
      </c>
      <c r="C39" s="32"/>
    </row>
    <row r="40">
      <c r="A40" s="11">
        <v>7.19994898E8</v>
      </c>
      <c r="B40" s="146">
        <v>7036.0</v>
      </c>
      <c r="C40" s="32"/>
    </row>
    <row r="41">
      <c r="A41" s="11">
        <v>7.15754815E8</v>
      </c>
      <c r="B41" s="146">
        <v>7037.0</v>
      </c>
      <c r="C41" s="32"/>
    </row>
    <row r="42">
      <c r="A42" s="11">
        <v>1.67966443E8</v>
      </c>
      <c r="B42" s="146">
        <v>7038.0</v>
      </c>
      <c r="C42" s="32"/>
    </row>
    <row r="43">
      <c r="A43" s="11">
        <v>2.71946152E8</v>
      </c>
      <c r="B43" s="146">
        <v>7039.0</v>
      </c>
      <c r="C43" s="32"/>
    </row>
    <row r="44">
      <c r="A44" s="11">
        <v>6.17621503E8</v>
      </c>
      <c r="B44" s="146">
        <v>7040.0</v>
      </c>
      <c r="C44" s="32"/>
    </row>
    <row r="45">
      <c r="A45" s="11">
        <v>5.69024359E8</v>
      </c>
      <c r="B45" s="146">
        <v>7041.0</v>
      </c>
      <c r="C45" s="32"/>
    </row>
    <row r="46">
      <c r="A46" s="11">
        <v>7.0101115E8</v>
      </c>
      <c r="B46" s="146">
        <v>7042.0</v>
      </c>
      <c r="C46" s="32"/>
    </row>
    <row r="47">
      <c r="A47" s="11">
        <v>9.22772476E8</v>
      </c>
      <c r="B47" s="146">
        <v>7043.0</v>
      </c>
      <c r="C47" s="32"/>
    </row>
    <row r="48">
      <c r="A48" s="11">
        <v>6.58355685E8</v>
      </c>
      <c r="B48" s="146">
        <v>7044.0</v>
      </c>
      <c r="C48" s="32"/>
    </row>
    <row r="49">
      <c r="A49" s="11">
        <v>2.7167845E8</v>
      </c>
      <c r="B49" s="146">
        <v>7045.0</v>
      </c>
      <c r="C49" s="32"/>
    </row>
    <row r="50">
      <c r="A50" s="11">
        <v>5.33635869E8</v>
      </c>
      <c r="B50" s="146">
        <v>7046.0</v>
      </c>
      <c r="C50" s="32"/>
    </row>
    <row r="51">
      <c r="A51" s="11">
        <v>4.69260158E8</v>
      </c>
      <c r="B51" s="146">
        <v>7047.0</v>
      </c>
      <c r="C51" s="32"/>
    </row>
    <row r="52">
      <c r="A52" s="11">
        <v>3.78683849E8</v>
      </c>
      <c r="B52" s="146">
        <v>7048.0</v>
      </c>
      <c r="C52" s="32"/>
    </row>
    <row r="53">
      <c r="A53" s="11">
        <v>2.28423461E8</v>
      </c>
      <c r="B53" s="146">
        <v>7049.0</v>
      </c>
      <c r="C53" s="32"/>
    </row>
    <row r="54">
      <c r="A54" s="11">
        <v>8.5852886E8</v>
      </c>
      <c r="B54" s="146">
        <v>7050.0</v>
      </c>
      <c r="C54" s="32"/>
    </row>
    <row r="55">
      <c r="A55" s="11">
        <v>5.40900169E8</v>
      </c>
      <c r="B55" s="146">
        <v>7051.0</v>
      </c>
      <c r="C55" s="32"/>
    </row>
    <row r="56">
      <c r="A56" s="11">
        <v>5.62530205E8</v>
      </c>
      <c r="B56" s="146">
        <v>7052.0</v>
      </c>
      <c r="C56" s="32"/>
    </row>
    <row r="57">
      <c r="A57" s="11">
        <v>9.86959853E8</v>
      </c>
      <c r="B57" s="146">
        <v>7053.0</v>
      </c>
      <c r="C57" s="32"/>
    </row>
    <row r="58">
      <c r="A58" s="11">
        <v>4.30644383E8</v>
      </c>
      <c r="B58" s="146">
        <v>7054.0</v>
      </c>
      <c r="C58" s="32"/>
    </row>
    <row r="59">
      <c r="A59" s="11">
        <v>7.92914905E8</v>
      </c>
      <c r="B59" s="146">
        <v>7055.0</v>
      </c>
      <c r="C59" s="32"/>
    </row>
    <row r="60">
      <c r="A60" s="11">
        <v>1.87258702E8</v>
      </c>
      <c r="B60" s="146">
        <v>7056.0</v>
      </c>
      <c r="C60" s="32"/>
    </row>
    <row r="61">
      <c r="A61" s="11">
        <v>7.11458365E8</v>
      </c>
      <c r="B61" s="146">
        <v>7057.0</v>
      </c>
      <c r="C61" s="32"/>
    </row>
    <row r="62">
      <c r="A62" s="11">
        <v>4.90363988E8</v>
      </c>
      <c r="B62" s="146">
        <v>7058.0</v>
      </c>
      <c r="C62" s="32"/>
    </row>
    <row r="63">
      <c r="A63" s="11">
        <v>7.07708266E8</v>
      </c>
      <c r="B63" s="146">
        <v>7059.0</v>
      </c>
      <c r="C63" s="32"/>
    </row>
    <row r="64">
      <c r="A64" s="11">
        <v>4.68176831E8</v>
      </c>
      <c r="B64" s="146">
        <v>7060.0</v>
      </c>
      <c r="C64" s="32"/>
    </row>
    <row r="65">
      <c r="A65" s="11">
        <v>3.35461549E8</v>
      </c>
      <c r="B65" s="146">
        <v>7061.0</v>
      </c>
      <c r="C65" s="32"/>
    </row>
    <row r="66">
      <c r="A66" s="11">
        <v>9.2300274E8</v>
      </c>
      <c r="B66" s="146">
        <v>7062.0</v>
      </c>
      <c r="C66" s="32"/>
    </row>
    <row r="67">
      <c r="A67" s="11">
        <v>5.78927042E8</v>
      </c>
      <c r="B67" s="146">
        <v>7063.0</v>
      </c>
      <c r="C67" s="32"/>
    </row>
    <row r="68">
      <c r="A68" s="11">
        <v>6.1562039E8</v>
      </c>
      <c r="B68" s="146">
        <v>7064.0</v>
      </c>
      <c r="C68" s="32"/>
    </row>
    <row r="69">
      <c r="A69" s="11">
        <v>2.52256209E8</v>
      </c>
      <c r="B69" s="146">
        <v>7065.0</v>
      </c>
      <c r="C69" s="32"/>
    </row>
    <row r="70">
      <c r="A70" s="11">
        <v>9.7745911E8</v>
      </c>
      <c r="B70" s="146">
        <v>7066.0</v>
      </c>
      <c r="C70" s="32"/>
    </row>
    <row r="71">
      <c r="A71" s="11">
        <v>1.86420833E8</v>
      </c>
      <c r="B71" s="146">
        <v>7067.0</v>
      </c>
      <c r="C71" s="32"/>
    </row>
    <row r="72">
      <c r="A72" s="11">
        <v>3.27658684E8</v>
      </c>
      <c r="B72" s="146">
        <v>7068.0</v>
      </c>
      <c r="C72" s="32"/>
    </row>
    <row r="73">
      <c r="A73" s="11">
        <v>1.53576967E8</v>
      </c>
      <c r="B73" s="146">
        <v>7069.0</v>
      </c>
      <c r="C73" s="32"/>
    </row>
    <row r="74">
      <c r="A74" s="11">
        <v>6.50551358E8</v>
      </c>
      <c r="B74" s="146">
        <v>7070.0</v>
      </c>
      <c r="C74" s="32"/>
    </row>
    <row r="75">
      <c r="A75" s="11">
        <v>8.57882713E8</v>
      </c>
      <c r="B75" s="146">
        <v>7071.0</v>
      </c>
      <c r="C75" s="32"/>
    </row>
    <row r="76">
      <c r="A76" s="11">
        <v>5.69149952E8</v>
      </c>
      <c r="B76" s="146">
        <v>7072.0</v>
      </c>
      <c r="C76" s="32"/>
    </row>
    <row r="77">
      <c r="A77" s="11">
        <v>7.07366005E8</v>
      </c>
      <c r="B77" s="146">
        <v>7073.0</v>
      </c>
      <c r="C77" s="32"/>
    </row>
    <row r="78">
      <c r="A78" s="11">
        <v>1.79753883E8</v>
      </c>
      <c r="B78" s="146">
        <v>7074.0</v>
      </c>
      <c r="C78" s="32"/>
    </row>
    <row r="79">
      <c r="A79" s="11">
        <v>4.0046458E8</v>
      </c>
      <c r="B79" s="146">
        <v>7075.0</v>
      </c>
      <c r="C79" s="32"/>
    </row>
    <row r="80">
      <c r="A80" s="11">
        <v>7.26703038E8</v>
      </c>
      <c r="B80" s="146">
        <v>7076.0</v>
      </c>
      <c r="C80" s="32"/>
    </row>
    <row r="81">
      <c r="A81" s="11">
        <v>7.25390062E8</v>
      </c>
      <c r="B81" s="146">
        <v>7077.0</v>
      </c>
      <c r="C81" s="32"/>
    </row>
    <row r="82">
      <c r="A82" s="11">
        <v>8.2060384E8</v>
      </c>
      <c r="B82" s="146">
        <v>7078.0</v>
      </c>
      <c r="C82" s="32"/>
    </row>
    <row r="83">
      <c r="A83" s="11">
        <v>9.09788892E8</v>
      </c>
      <c r="B83" s="146">
        <v>7079.0</v>
      </c>
      <c r="C83" s="32"/>
    </row>
    <row r="84">
      <c r="A84" s="11">
        <v>6.30204461E8</v>
      </c>
      <c r="B84" s="146">
        <v>7080.0</v>
      </c>
      <c r="C84" s="32"/>
    </row>
    <row r="85">
      <c r="A85" s="11">
        <v>7.36044015E8</v>
      </c>
      <c r="B85" s="146">
        <v>7081.0</v>
      </c>
      <c r="C85" s="32"/>
    </row>
    <row r="86">
      <c r="A86" s="11">
        <v>9.22818571E8</v>
      </c>
      <c r="B86" s="146">
        <v>7082.0</v>
      </c>
      <c r="C86" s="32"/>
    </row>
    <row r="87">
      <c r="A87" s="11">
        <v>1.76822905E8</v>
      </c>
      <c r="B87" s="146">
        <v>7083.0</v>
      </c>
      <c r="C87" s="32"/>
    </row>
    <row r="88">
      <c r="A88" s="11">
        <v>2.54014698E8</v>
      </c>
      <c r="B88" s="146">
        <v>7084.0</v>
      </c>
      <c r="C88" s="32"/>
    </row>
    <row r="89">
      <c r="A89" s="11">
        <v>5.52256354E8</v>
      </c>
      <c r="B89" s="146">
        <v>7085.0</v>
      </c>
      <c r="C89" s="32"/>
    </row>
    <row r="90">
      <c r="A90" s="11">
        <v>5.8240514E8</v>
      </c>
      <c r="B90" s="146">
        <v>7086.0</v>
      </c>
      <c r="C90" s="32"/>
    </row>
    <row r="91">
      <c r="A91" s="11">
        <v>4.84615221E8</v>
      </c>
      <c r="B91" s="146">
        <v>7087.0</v>
      </c>
      <c r="C91" s="32"/>
    </row>
    <row r="92">
      <c r="A92" s="11">
        <v>5.12976271E8</v>
      </c>
      <c r="B92" s="146">
        <v>7088.0</v>
      </c>
      <c r="C92" s="32"/>
    </row>
    <row r="93">
      <c r="A93" s="11">
        <v>7.08384081E8</v>
      </c>
      <c r="B93" s="146">
        <v>7089.0</v>
      </c>
      <c r="C93" s="32"/>
    </row>
    <row r="94">
      <c r="A94" s="11">
        <v>4.14601157E8</v>
      </c>
      <c r="B94" s="146">
        <v>7090.0</v>
      </c>
      <c r="C94" s="32"/>
    </row>
    <row r="95">
      <c r="A95" s="11">
        <v>3.0732585E8</v>
      </c>
      <c r="B95" s="146">
        <v>7091.0</v>
      </c>
      <c r="C95" s="32"/>
    </row>
    <row r="96">
      <c r="A96" s="11">
        <v>5.05536304E8</v>
      </c>
      <c r="B96" s="146">
        <v>7092.0</v>
      </c>
      <c r="C96" s="32"/>
    </row>
    <row r="97">
      <c r="A97" s="11">
        <v>2.1644032E8</v>
      </c>
      <c r="B97" s="146">
        <v>7093.0</v>
      </c>
      <c r="C97" s="32"/>
    </row>
    <row r="98">
      <c r="A98" s="11">
        <v>4.21706894E8</v>
      </c>
      <c r="B98" s="146">
        <v>7094.0</v>
      </c>
      <c r="C98" s="32"/>
    </row>
    <row r="99">
      <c r="A99" s="11">
        <v>9.28521873E8</v>
      </c>
      <c r="B99" s="146">
        <v>7095.0</v>
      </c>
      <c r="C99" s="32"/>
    </row>
    <row r="100">
      <c r="A100" s="11">
        <v>2.92339608E8</v>
      </c>
      <c r="B100" s="146">
        <v>7096.0</v>
      </c>
      <c r="C100" s="32"/>
    </row>
    <row r="101">
      <c r="A101" s="11">
        <v>7.62613861E8</v>
      </c>
      <c r="B101" s="146">
        <v>7097.0</v>
      </c>
      <c r="C101" s="32"/>
    </row>
    <row r="102">
      <c r="A102" s="11">
        <v>9.51214987E8</v>
      </c>
      <c r="B102" s="146">
        <v>7098.0</v>
      </c>
      <c r="C102" s="32"/>
    </row>
    <row r="103">
      <c r="A103" s="11">
        <v>8.08588736E8</v>
      </c>
      <c r="B103" s="146">
        <v>7099.0</v>
      </c>
      <c r="C103" s="32"/>
    </row>
    <row r="104">
      <c r="A104" s="11">
        <v>7.38615137E8</v>
      </c>
      <c r="B104" s="146">
        <v>7100.0</v>
      </c>
      <c r="C104" s="32"/>
    </row>
    <row r="105">
      <c r="A105" s="11">
        <v>6.4228659E8</v>
      </c>
      <c r="B105" s="146">
        <v>7101.0</v>
      </c>
      <c r="C105" s="32"/>
    </row>
    <row r="106">
      <c r="A106" s="11">
        <v>4.99253475E8</v>
      </c>
      <c r="B106" s="146">
        <v>7102.0</v>
      </c>
      <c r="C106" s="32"/>
    </row>
    <row r="107">
      <c r="A107" s="11">
        <v>1.4807156E8</v>
      </c>
      <c r="B107" s="146">
        <v>7103.0</v>
      </c>
      <c r="C107" s="32"/>
    </row>
    <row r="108">
      <c r="A108" s="11">
        <v>3.8786825E8</v>
      </c>
      <c r="B108" s="146">
        <v>7104.0</v>
      </c>
      <c r="C108" s="32"/>
    </row>
    <row r="109">
      <c r="A109" s="11">
        <v>3.80250188E8</v>
      </c>
      <c r="B109" s="146">
        <v>7105.0</v>
      </c>
      <c r="C109" s="32"/>
    </row>
    <row r="110">
      <c r="A110" s="11">
        <v>7.86674062E8</v>
      </c>
      <c r="B110" s="146">
        <v>7106.0</v>
      </c>
      <c r="C110" s="32"/>
    </row>
    <row r="111">
      <c r="A111" s="11">
        <v>3.53268189E8</v>
      </c>
      <c r="B111" s="146">
        <v>7107.0</v>
      </c>
      <c r="C111" s="32"/>
    </row>
    <row r="112">
      <c r="A112" s="11">
        <v>4.24710624E8</v>
      </c>
      <c r="B112" s="146">
        <v>7108.0</v>
      </c>
      <c r="C112" s="32"/>
    </row>
    <row r="113">
      <c r="A113" s="11">
        <v>5.91139184E8</v>
      </c>
      <c r="B113" s="146">
        <v>7109.0</v>
      </c>
      <c r="C113" s="32"/>
    </row>
    <row r="114">
      <c r="A114" s="11">
        <v>5.41404748E8</v>
      </c>
      <c r="B114" s="146">
        <v>7110.0</v>
      </c>
      <c r="C114" s="32"/>
    </row>
    <row r="115">
      <c r="A115" s="11">
        <v>1.86076244E8</v>
      </c>
      <c r="B115" s="146">
        <v>7111.0</v>
      </c>
      <c r="C115" s="32"/>
    </row>
    <row r="116">
      <c r="A116" s="11">
        <v>2.1555256E8</v>
      </c>
      <c r="B116" s="146">
        <v>7112.0</v>
      </c>
      <c r="C116" s="32"/>
    </row>
    <row r="117">
      <c r="A117" s="11">
        <v>3.98843683E8</v>
      </c>
      <c r="B117" s="146">
        <v>7113.0</v>
      </c>
      <c r="C117" s="32"/>
    </row>
    <row r="118">
      <c r="A118" s="11">
        <v>5.57794169E8</v>
      </c>
      <c r="B118" s="146">
        <v>7114.0</v>
      </c>
      <c r="C118" s="32"/>
    </row>
    <row r="119">
      <c r="A119" s="11">
        <v>5.80941122E8</v>
      </c>
      <c r="B119" s="146">
        <v>7115.0</v>
      </c>
      <c r="C119" s="32"/>
    </row>
    <row r="120">
      <c r="A120" s="11">
        <v>5.95333066E8</v>
      </c>
      <c r="B120" s="146">
        <v>7116.0</v>
      </c>
      <c r="C120" s="32"/>
    </row>
    <row r="121">
      <c r="A121" s="11">
        <v>7.75269163E8</v>
      </c>
      <c r="B121" s="146">
        <v>7117.0</v>
      </c>
      <c r="C121" s="32"/>
    </row>
    <row r="122">
      <c r="A122" s="11">
        <v>7.16555894E8</v>
      </c>
      <c r="B122" s="146">
        <v>7118.0</v>
      </c>
      <c r="C122" s="32"/>
    </row>
    <row r="123">
      <c r="A123" s="11">
        <v>6.7027055E8</v>
      </c>
      <c r="B123" s="146">
        <v>7119.0</v>
      </c>
      <c r="C123" s="32"/>
    </row>
    <row r="124">
      <c r="A124" s="11">
        <v>7.72278916E8</v>
      </c>
      <c r="B124" s="146">
        <v>7120.0</v>
      </c>
      <c r="C124" s="32"/>
    </row>
    <row r="125">
      <c r="A125" s="11">
        <v>7.59997226E8</v>
      </c>
      <c r="B125" s="146">
        <v>7121.0</v>
      </c>
      <c r="C125" s="32"/>
    </row>
    <row r="126">
      <c r="A126" s="11">
        <v>7.34003683E8</v>
      </c>
      <c r="B126" s="146">
        <v>7122.0</v>
      </c>
      <c r="C126" s="32"/>
    </row>
    <row r="127">
      <c r="A127" s="11">
        <v>1.29179637E8</v>
      </c>
      <c r="B127" s="146">
        <v>7123.0</v>
      </c>
      <c r="C127" s="32"/>
    </row>
    <row r="128">
      <c r="A128" s="11">
        <v>6.91585499E8</v>
      </c>
      <c r="B128" s="146">
        <v>7124.0</v>
      </c>
      <c r="C128" s="32"/>
    </row>
    <row r="129">
      <c r="A129" s="11">
        <v>5.47171747E8</v>
      </c>
      <c r="B129" s="146">
        <v>7125.0</v>
      </c>
      <c r="C129" s="32"/>
    </row>
    <row r="130">
      <c r="A130" s="11">
        <v>5.57026359E8</v>
      </c>
      <c r="B130" s="146">
        <v>7126.0</v>
      </c>
      <c r="C130" s="32"/>
    </row>
    <row r="131">
      <c r="A131" s="11">
        <v>4.98530562E8</v>
      </c>
      <c r="B131" s="146">
        <v>7127.0</v>
      </c>
      <c r="C131" s="32"/>
    </row>
    <row r="132">
      <c r="A132" s="11">
        <v>4.46997065E8</v>
      </c>
      <c r="B132" s="146">
        <v>7128.0</v>
      </c>
      <c r="C132" s="32"/>
    </row>
    <row r="133">
      <c r="A133" s="11">
        <v>5.38732071E8</v>
      </c>
      <c r="B133" s="146">
        <v>7129.0</v>
      </c>
      <c r="C133" s="32"/>
    </row>
    <row r="134">
      <c r="A134" s="11">
        <v>1.62867307E8</v>
      </c>
      <c r="B134" s="146">
        <v>7130.0</v>
      </c>
      <c r="C134" s="32"/>
    </row>
    <row r="135">
      <c r="A135" s="11">
        <v>1.01308548E8</v>
      </c>
      <c r="B135" s="146">
        <v>7131.0</v>
      </c>
      <c r="C135" s="32"/>
    </row>
    <row r="136">
      <c r="A136" s="11">
        <v>2.94358976E8</v>
      </c>
      <c r="B136" s="146">
        <v>7132.0</v>
      </c>
      <c r="C136" s="32"/>
    </row>
    <row r="137">
      <c r="A137" s="11">
        <v>1.79825055E8</v>
      </c>
      <c r="B137" s="146">
        <v>7133.0</v>
      </c>
      <c r="C137" s="32"/>
    </row>
    <row r="138">
      <c r="A138" s="11">
        <v>3.50552844E8</v>
      </c>
      <c r="B138" s="146">
        <v>7134.0</v>
      </c>
      <c r="C138" s="32"/>
    </row>
    <row r="139">
      <c r="A139" s="11">
        <v>4.11874748E8</v>
      </c>
      <c r="B139" s="146">
        <v>7135.0</v>
      </c>
      <c r="C139" s="32"/>
    </row>
    <row r="140">
      <c r="A140" s="11">
        <v>8.17651397E8</v>
      </c>
      <c r="B140" s="146">
        <v>7136.0</v>
      </c>
      <c r="C140" s="32"/>
    </row>
    <row r="141">
      <c r="A141" s="11">
        <v>2.7346188E8</v>
      </c>
      <c r="B141" s="146">
        <v>7137.0</v>
      </c>
      <c r="C141" s="32"/>
    </row>
    <row r="142">
      <c r="A142" s="11">
        <v>2.81162245E8</v>
      </c>
      <c r="B142" s="146">
        <v>7138.0</v>
      </c>
      <c r="C142" s="32"/>
    </row>
    <row r="143">
      <c r="A143" s="11">
        <v>6.02801025E8</v>
      </c>
      <c r="B143" s="146">
        <v>7139.0</v>
      </c>
      <c r="C143" s="32"/>
    </row>
    <row r="144">
      <c r="A144" s="11">
        <v>4.97287191E8</v>
      </c>
      <c r="B144" s="146">
        <v>7140.0</v>
      </c>
      <c r="C144" s="32"/>
    </row>
    <row r="145">
      <c r="A145" s="11">
        <v>8.69675576E8</v>
      </c>
      <c r="B145" s="146">
        <v>7141.0</v>
      </c>
      <c r="C145" s="32"/>
    </row>
    <row r="146">
      <c r="A146" s="11">
        <v>7.47169427E8</v>
      </c>
      <c r="B146" s="146">
        <v>7142.0</v>
      </c>
      <c r="C146" s="32"/>
    </row>
    <row r="147">
      <c r="A147" s="11">
        <v>6.96074365E8</v>
      </c>
      <c r="B147" s="146">
        <v>7143.0</v>
      </c>
      <c r="C147" s="32"/>
    </row>
    <row r="148">
      <c r="A148" s="11">
        <v>1.2116431E8</v>
      </c>
      <c r="B148" s="146">
        <v>7144.0</v>
      </c>
      <c r="C148" s="32"/>
    </row>
    <row r="149">
      <c r="A149" s="11">
        <v>3.83014806E8</v>
      </c>
      <c r="B149" s="146">
        <v>7145.0</v>
      </c>
      <c r="C149" s="32"/>
    </row>
    <row r="150">
      <c r="A150" s="11">
        <v>3.91722319E8</v>
      </c>
      <c r="B150" s="146">
        <v>7146.0</v>
      </c>
      <c r="C150" s="32"/>
    </row>
    <row r="151">
      <c r="A151" s="11">
        <v>3.81997472E8</v>
      </c>
      <c r="B151" s="146">
        <v>7147.0</v>
      </c>
      <c r="C151" s="32"/>
    </row>
    <row r="152">
      <c r="A152" s="11">
        <v>5.53601968E8</v>
      </c>
      <c r="B152" s="146">
        <v>7148.0</v>
      </c>
      <c r="C152" s="32"/>
    </row>
    <row r="153">
      <c r="A153" s="11">
        <v>8.4977659E8</v>
      </c>
      <c r="B153" s="146">
        <v>7149.0</v>
      </c>
      <c r="C153" s="32"/>
    </row>
    <row r="154">
      <c r="A154" s="11">
        <v>6.70278492E8</v>
      </c>
      <c r="B154" s="146">
        <v>7150.0</v>
      </c>
      <c r="C154" s="32"/>
    </row>
    <row r="155">
      <c r="A155" s="11">
        <v>7.03898062E8</v>
      </c>
      <c r="B155" s="146">
        <v>7151.0</v>
      </c>
      <c r="C155" s="32"/>
    </row>
    <row r="156">
      <c r="A156" s="11">
        <v>8.25272433E8</v>
      </c>
      <c r="B156" s="146">
        <v>7152.0</v>
      </c>
      <c r="C156" s="32"/>
    </row>
    <row r="157">
      <c r="A157" s="11">
        <v>1.29336372E8</v>
      </c>
      <c r="B157" s="146">
        <v>7153.0</v>
      </c>
      <c r="C157" s="32"/>
    </row>
    <row r="158">
      <c r="A158" s="11">
        <v>4.49243373E8</v>
      </c>
      <c r="B158" s="146">
        <v>7154.0</v>
      </c>
      <c r="C158" s="32"/>
    </row>
    <row r="159">
      <c r="A159" s="11">
        <v>5.63710971E8</v>
      </c>
      <c r="B159" s="146">
        <v>7155.0</v>
      </c>
      <c r="C159" s="32"/>
    </row>
    <row r="160">
      <c r="A160" s="11">
        <v>9.39509024E8</v>
      </c>
      <c r="B160" s="146">
        <v>7156.0</v>
      </c>
      <c r="C160" s="32"/>
    </row>
    <row r="161">
      <c r="A161" s="11">
        <v>9.47435282E8</v>
      </c>
      <c r="B161" s="146">
        <v>7157.0</v>
      </c>
      <c r="C161" s="32"/>
    </row>
    <row r="162">
      <c r="A162" s="11">
        <v>7.08698055E8</v>
      </c>
      <c r="B162" s="146">
        <v>7158.0</v>
      </c>
      <c r="C162" s="32"/>
    </row>
    <row r="163">
      <c r="A163" s="11">
        <v>9.3733466E8</v>
      </c>
      <c r="B163" s="146">
        <v>7159.0</v>
      </c>
      <c r="C163" s="32"/>
    </row>
    <row r="164">
      <c r="A164" s="11">
        <v>7.16409571E8</v>
      </c>
      <c r="B164" s="146">
        <v>7160.0</v>
      </c>
      <c r="C164" s="32"/>
    </row>
    <row r="165">
      <c r="A165" s="11">
        <v>5.52447081E8</v>
      </c>
      <c r="B165" s="146">
        <v>7161.0</v>
      </c>
      <c r="C165" s="32"/>
    </row>
    <row r="166">
      <c r="A166" s="11">
        <v>9.30541614E8</v>
      </c>
      <c r="B166" s="146">
        <v>7162.0</v>
      </c>
      <c r="C166" s="32"/>
    </row>
    <row r="167">
      <c r="A167" s="11">
        <v>3.42820511E8</v>
      </c>
      <c r="B167" s="146">
        <v>7163.0</v>
      </c>
      <c r="C167" s="32"/>
    </row>
    <row r="168">
      <c r="A168" s="11">
        <v>7.04534424E8</v>
      </c>
      <c r="B168" s="146">
        <v>7164.0</v>
      </c>
      <c r="C168" s="32"/>
    </row>
    <row r="169">
      <c r="A169" s="11">
        <v>6.22609752E8</v>
      </c>
      <c r="B169" s="146">
        <v>7165.0</v>
      </c>
      <c r="C169" s="32"/>
    </row>
    <row r="170">
      <c r="A170" s="11">
        <v>5.30445635E8</v>
      </c>
      <c r="B170" s="146">
        <v>7166.0</v>
      </c>
      <c r="C170" s="32"/>
    </row>
    <row r="171">
      <c r="A171" s="11">
        <v>8.22292358E8</v>
      </c>
      <c r="B171" s="146">
        <v>7167.0</v>
      </c>
      <c r="C171" s="32"/>
    </row>
    <row r="172">
      <c r="A172" s="11">
        <v>3.55202237E8</v>
      </c>
      <c r="B172" s="146">
        <v>7168.0</v>
      </c>
      <c r="C172" s="32"/>
    </row>
    <row r="173">
      <c r="A173" s="11">
        <v>8.9122121E8</v>
      </c>
      <c r="B173" s="146">
        <v>7169.0</v>
      </c>
      <c r="C173" s="32"/>
    </row>
    <row r="174">
      <c r="A174" s="11">
        <v>1.88577684E8</v>
      </c>
      <c r="B174" s="146">
        <v>7170.0</v>
      </c>
      <c r="C174" s="32"/>
    </row>
    <row r="175">
      <c r="A175" s="11">
        <v>5.82843785E8</v>
      </c>
      <c r="B175" s="146">
        <v>7171.0</v>
      </c>
      <c r="C175" s="32"/>
    </row>
    <row r="176">
      <c r="A176" s="11">
        <v>6.848239E8</v>
      </c>
      <c r="B176" s="146">
        <v>7172.0</v>
      </c>
      <c r="C176" s="32"/>
    </row>
    <row r="177">
      <c r="A177" s="11">
        <v>3.29300357E8</v>
      </c>
      <c r="B177" s="146">
        <v>7173.0</v>
      </c>
      <c r="C177" s="32"/>
    </row>
    <row r="178">
      <c r="A178" s="11">
        <v>6.14980067E8</v>
      </c>
      <c r="B178" s="146">
        <v>7174.0</v>
      </c>
      <c r="C178" s="32"/>
    </row>
    <row r="179">
      <c r="A179" s="11">
        <v>9.92264816E8</v>
      </c>
      <c r="B179" s="146">
        <v>7175.0</v>
      </c>
      <c r="C179" s="32"/>
    </row>
    <row r="180">
      <c r="A180" s="11">
        <v>6.31542414E8</v>
      </c>
      <c r="B180" s="146">
        <v>7176.0</v>
      </c>
      <c r="C180" s="32"/>
    </row>
    <row r="181">
      <c r="A181" s="11">
        <v>9.19899997E8</v>
      </c>
      <c r="B181" s="146">
        <v>7177.0</v>
      </c>
      <c r="C181" s="32"/>
    </row>
    <row r="182">
      <c r="A182" s="11">
        <v>4.55798655E8</v>
      </c>
      <c r="B182" s="146">
        <v>7178.0</v>
      </c>
      <c r="C182" s="32"/>
    </row>
    <row r="183">
      <c r="A183" s="11">
        <v>3.58155287E8</v>
      </c>
      <c r="B183" s="146">
        <v>7179.0</v>
      </c>
      <c r="C183" s="32"/>
    </row>
    <row r="184">
      <c r="A184" s="11">
        <v>3.85425286E8</v>
      </c>
      <c r="B184" s="146">
        <v>7180.0</v>
      </c>
      <c r="C184" s="32"/>
    </row>
    <row r="185">
      <c r="A185" s="11">
        <v>7.31801066E8</v>
      </c>
      <c r="B185" s="146">
        <v>7181.0</v>
      </c>
      <c r="C185" s="32"/>
    </row>
    <row r="186">
      <c r="A186" s="11">
        <v>1.19916167E8</v>
      </c>
      <c r="B186" s="146">
        <v>7182.0</v>
      </c>
      <c r="C186" s="32"/>
    </row>
    <row r="187">
      <c r="A187" s="11">
        <v>7.57923311E8</v>
      </c>
      <c r="B187" s="146">
        <v>7183.0</v>
      </c>
      <c r="C187" s="32"/>
    </row>
    <row r="188">
      <c r="A188" s="11">
        <v>1.8062203E8</v>
      </c>
      <c r="B188" s="146">
        <v>7184.0</v>
      </c>
      <c r="C188" s="32"/>
    </row>
    <row r="189">
      <c r="A189" s="11">
        <v>6.28783363E8</v>
      </c>
      <c r="B189" s="146">
        <v>7185.0</v>
      </c>
      <c r="C189" s="32"/>
    </row>
    <row r="190">
      <c r="A190" s="11">
        <v>2.31787188E8</v>
      </c>
      <c r="B190" s="146">
        <v>7186.0</v>
      </c>
      <c r="C190" s="32"/>
    </row>
    <row r="191">
      <c r="A191" s="11">
        <v>1.41160475E8</v>
      </c>
      <c r="B191" s="146">
        <v>7187.0</v>
      </c>
      <c r="C191" s="32"/>
    </row>
    <row r="192">
      <c r="A192" s="11">
        <v>3.68100745E8</v>
      </c>
      <c r="B192" s="146">
        <v>7188.0</v>
      </c>
      <c r="C192" s="32"/>
    </row>
    <row r="193">
      <c r="A193" s="11">
        <v>2.85130303E8</v>
      </c>
      <c r="B193" s="146">
        <v>7189.0</v>
      </c>
      <c r="C193" s="32"/>
    </row>
    <row r="194">
      <c r="A194" s="11">
        <v>5.76777543E8</v>
      </c>
      <c r="B194" s="146">
        <v>7190.0</v>
      </c>
      <c r="C194" s="32"/>
    </row>
    <row r="195">
      <c r="A195" s="11">
        <v>2.47205185E8</v>
      </c>
      <c r="B195" s="146">
        <v>7191.0</v>
      </c>
      <c r="C195" s="32"/>
    </row>
    <row r="196">
      <c r="A196" s="11">
        <v>5.92673187E8</v>
      </c>
      <c r="B196" s="146">
        <v>7192.0</v>
      </c>
      <c r="C196" s="32"/>
    </row>
    <row r="197">
      <c r="A197" s="11">
        <v>3.86473419E8</v>
      </c>
      <c r="B197" s="146">
        <v>7193.0</v>
      </c>
      <c r="C197" s="32"/>
    </row>
    <row r="198">
      <c r="A198" s="11">
        <v>4.29445035E8</v>
      </c>
      <c r="B198" s="146">
        <v>7194.0</v>
      </c>
      <c r="C198" s="32"/>
    </row>
    <row r="199">
      <c r="A199" s="11">
        <v>2.72604039E8</v>
      </c>
      <c r="B199" s="146">
        <v>7195.0</v>
      </c>
      <c r="C199" s="32"/>
    </row>
    <row r="200">
      <c r="A200" s="11">
        <v>8.69311134E8</v>
      </c>
      <c r="B200" s="146">
        <v>7196.0</v>
      </c>
      <c r="C200" s="32"/>
    </row>
    <row r="201">
      <c r="A201" s="11">
        <v>1.00151727E8</v>
      </c>
      <c r="B201" s="146">
        <v>7197.0</v>
      </c>
      <c r="C201" s="32"/>
    </row>
    <row r="202">
      <c r="A202" s="11">
        <v>5.70585724E8</v>
      </c>
      <c r="B202" s="146">
        <v>7198.0</v>
      </c>
      <c r="C202" s="32"/>
    </row>
    <row r="203">
      <c r="A203" s="11">
        <v>8.46439988E8</v>
      </c>
      <c r="B203" s="146">
        <v>7199.0</v>
      </c>
      <c r="C203" s="32"/>
    </row>
    <row r="204">
      <c r="A204" s="11">
        <v>5.88674363E8</v>
      </c>
      <c r="B204" s="146">
        <v>7200.0</v>
      </c>
      <c r="C204" s="32"/>
    </row>
    <row r="205">
      <c r="A205" s="11">
        <v>4.49085834E8</v>
      </c>
      <c r="B205" s="146">
        <v>7201.0</v>
      </c>
      <c r="C205" s="32"/>
    </row>
    <row r="206">
      <c r="A206" s="11">
        <v>5.83211722E8</v>
      </c>
      <c r="B206" s="146">
        <v>7202.0</v>
      </c>
      <c r="C206" s="32"/>
    </row>
    <row r="207">
      <c r="A207" s="11">
        <v>9.62857791E8</v>
      </c>
      <c r="B207" s="146">
        <v>7203.0</v>
      </c>
      <c r="C207" s="32"/>
    </row>
    <row r="208">
      <c r="A208" s="11">
        <v>7.06306358E8</v>
      </c>
      <c r="B208" s="146">
        <v>7204.0</v>
      </c>
      <c r="C208" s="32"/>
    </row>
    <row r="209">
      <c r="A209" s="11">
        <v>3.23613407E8</v>
      </c>
      <c r="B209" s="146">
        <v>7205.0</v>
      </c>
      <c r="C209" s="32"/>
    </row>
    <row r="210">
      <c r="A210" s="11">
        <v>3.97139987E8</v>
      </c>
      <c r="B210" s="146">
        <v>7206.0</v>
      </c>
      <c r="C210" s="32"/>
    </row>
    <row r="211">
      <c r="A211" s="11">
        <v>4.32134537E8</v>
      </c>
      <c r="B211" s="146">
        <v>7207.0</v>
      </c>
      <c r="C211" s="32"/>
    </row>
    <row r="212">
      <c r="A212" s="11">
        <v>3.93070885E8</v>
      </c>
      <c r="B212" s="146">
        <v>7208.0</v>
      </c>
      <c r="C212" s="32"/>
    </row>
    <row r="213">
      <c r="A213" s="11">
        <v>6.17476198E8</v>
      </c>
      <c r="B213" s="146">
        <v>7209.0</v>
      </c>
      <c r="C213" s="32"/>
    </row>
    <row r="214">
      <c r="A214" s="11">
        <v>6.27951176E8</v>
      </c>
      <c r="B214" s="146">
        <v>7210.0</v>
      </c>
      <c r="C214" s="32"/>
    </row>
    <row r="215">
      <c r="A215" s="11">
        <v>7.34043653E8</v>
      </c>
      <c r="B215" s="146">
        <v>7211.0</v>
      </c>
      <c r="C215" s="32"/>
    </row>
    <row r="216">
      <c r="A216" s="11">
        <v>1.23095264E8</v>
      </c>
      <c r="B216" s="146">
        <v>7212.0</v>
      </c>
      <c r="C216" s="32"/>
    </row>
    <row r="217">
      <c r="A217" s="11">
        <v>4.82509598E8</v>
      </c>
      <c r="B217" s="146">
        <v>7213.0</v>
      </c>
      <c r="C217" s="32"/>
    </row>
    <row r="218">
      <c r="A218" s="11">
        <v>1.71344613E8</v>
      </c>
      <c r="B218" s="146">
        <v>7214.0</v>
      </c>
      <c r="C218" s="32"/>
    </row>
    <row r="219">
      <c r="A219" s="11">
        <v>5.20776519E8</v>
      </c>
      <c r="B219" s="146">
        <v>7215.0</v>
      </c>
      <c r="C219" s="32"/>
    </row>
    <row r="220">
      <c r="A220" s="11">
        <v>9.53880972E8</v>
      </c>
      <c r="B220" s="146">
        <v>7216.0</v>
      </c>
      <c r="C220" s="32"/>
    </row>
    <row r="221">
      <c r="A221" s="11">
        <v>9.12166493E8</v>
      </c>
      <c r="B221" s="146">
        <v>7217.0</v>
      </c>
      <c r="C221" s="32"/>
    </row>
    <row r="222">
      <c r="A222" s="11">
        <v>2.75188456E8</v>
      </c>
      <c r="B222" s="146">
        <v>7218.0</v>
      </c>
      <c r="C222" s="32"/>
    </row>
    <row r="223">
      <c r="A223" s="11">
        <v>5.00697484E8</v>
      </c>
      <c r="B223" s="146">
        <v>7219.0</v>
      </c>
      <c r="C223" s="32"/>
    </row>
    <row r="224">
      <c r="A224" s="11">
        <v>5.0222522E8</v>
      </c>
      <c r="B224" s="146">
        <v>7220.0</v>
      </c>
      <c r="C224" s="32"/>
    </row>
    <row r="225">
      <c r="A225" s="11">
        <v>2.23157237E8</v>
      </c>
      <c r="B225" s="146">
        <v>7221.0</v>
      </c>
      <c r="C225" s="32"/>
    </row>
    <row r="226">
      <c r="A226" s="11">
        <v>9.47225263E8</v>
      </c>
      <c r="B226" s="146">
        <v>7222.0</v>
      </c>
      <c r="C226" s="32"/>
    </row>
    <row r="227">
      <c r="A227" s="11">
        <v>5.26315844E8</v>
      </c>
      <c r="B227" s="146">
        <v>7223.0</v>
      </c>
      <c r="C227" s="32"/>
    </row>
    <row r="228">
      <c r="A228" s="11">
        <v>6.34715893E8</v>
      </c>
      <c r="B228" s="146">
        <v>7224.0</v>
      </c>
      <c r="C228" s="32"/>
    </row>
    <row r="229">
      <c r="A229" s="11">
        <v>6.89594781E8</v>
      </c>
      <c r="B229" s="146">
        <v>7225.0</v>
      </c>
      <c r="C229" s="32"/>
    </row>
    <row r="230">
      <c r="A230" s="11">
        <v>2.79943141E8</v>
      </c>
      <c r="B230" s="146">
        <v>7226.0</v>
      </c>
      <c r="C230" s="32"/>
    </row>
    <row r="231">
      <c r="A231" s="11">
        <v>8.91023001E8</v>
      </c>
      <c r="B231" s="146">
        <v>7227.0</v>
      </c>
      <c r="C231" s="32"/>
    </row>
    <row r="232">
      <c r="A232" s="11">
        <v>6.17908596E8</v>
      </c>
      <c r="B232" s="146">
        <v>7228.0</v>
      </c>
      <c r="C232" s="32"/>
    </row>
    <row r="233">
      <c r="A233" s="11">
        <v>8.08154953E8</v>
      </c>
      <c r="B233" s="146">
        <v>7229.0</v>
      </c>
      <c r="C233" s="32"/>
    </row>
    <row r="234">
      <c r="A234" s="11">
        <v>6.58653303E8</v>
      </c>
      <c r="B234" s="146">
        <v>7230.0</v>
      </c>
      <c r="C234" s="32"/>
    </row>
    <row r="235">
      <c r="A235" s="11">
        <v>9.54104702E8</v>
      </c>
      <c r="B235" s="146">
        <v>7231.0</v>
      </c>
      <c r="C235" s="32"/>
    </row>
    <row r="236">
      <c r="A236" s="11">
        <v>7.65024257E8</v>
      </c>
      <c r="B236" s="146">
        <v>7232.0</v>
      </c>
      <c r="C236" s="32"/>
    </row>
    <row r="237">
      <c r="A237" s="11">
        <v>4.62921854E8</v>
      </c>
      <c r="B237" s="146">
        <v>7233.0</v>
      </c>
      <c r="C237" s="32"/>
    </row>
    <row r="238">
      <c r="A238" s="11">
        <v>3.45121908E8</v>
      </c>
      <c r="B238" s="146">
        <v>7234.0</v>
      </c>
      <c r="C238" s="32"/>
    </row>
    <row r="239">
      <c r="A239" s="11">
        <v>7.8381361E8</v>
      </c>
      <c r="B239" s="146">
        <v>7235.0</v>
      </c>
      <c r="C239" s="32"/>
    </row>
    <row r="240">
      <c r="A240" s="11">
        <v>7.79023847E8</v>
      </c>
      <c r="B240" s="146">
        <v>7236.0</v>
      </c>
      <c r="C240" s="32"/>
    </row>
    <row r="241">
      <c r="A241" s="11">
        <v>3.99556814E8</v>
      </c>
      <c r="B241" s="146">
        <v>7237.0</v>
      </c>
      <c r="C241" s="32"/>
    </row>
    <row r="242">
      <c r="A242" s="11">
        <v>1.63708182E8</v>
      </c>
      <c r="B242" s="146">
        <v>7238.0</v>
      </c>
      <c r="C242" s="32"/>
    </row>
    <row r="243">
      <c r="A243" s="11">
        <v>5.71567047E8</v>
      </c>
      <c r="B243" s="146">
        <v>7239.0</v>
      </c>
      <c r="C243" s="32"/>
    </row>
    <row r="244">
      <c r="A244" s="11">
        <v>3.31400937E8</v>
      </c>
      <c r="B244" s="146">
        <v>7240.0</v>
      </c>
      <c r="C244" s="32"/>
    </row>
    <row r="245">
      <c r="A245" s="11">
        <v>4.33178871E8</v>
      </c>
      <c r="B245" s="146">
        <v>7241.0</v>
      </c>
      <c r="C245" s="32"/>
    </row>
    <row r="246">
      <c r="A246" s="11">
        <v>1.68011974E8</v>
      </c>
      <c r="B246" s="146">
        <v>7242.0</v>
      </c>
      <c r="C246" s="32"/>
    </row>
    <row r="247">
      <c r="A247" s="11">
        <v>9.79900283E8</v>
      </c>
      <c r="B247" s="146">
        <v>7243.0</v>
      </c>
      <c r="C247" s="32"/>
    </row>
    <row r="248">
      <c r="A248" s="11">
        <v>2.23733986E8</v>
      </c>
      <c r="B248" s="146">
        <v>7244.0</v>
      </c>
      <c r="C248" s="32"/>
    </row>
    <row r="249">
      <c r="A249" s="11">
        <v>4.8210855E8</v>
      </c>
      <c r="B249" s="146">
        <v>7245.0</v>
      </c>
      <c r="C249" s="32"/>
    </row>
    <row r="250">
      <c r="A250" s="11">
        <v>3.35471123E8</v>
      </c>
      <c r="B250" s="146">
        <v>7246.0</v>
      </c>
      <c r="C250" s="32"/>
    </row>
    <row r="251">
      <c r="A251" s="11">
        <v>5.76828477E8</v>
      </c>
      <c r="B251" s="146">
        <v>7247.0</v>
      </c>
      <c r="C251" s="32"/>
    </row>
    <row r="252">
      <c r="A252" s="11">
        <v>1.68177289E8</v>
      </c>
      <c r="B252" s="146">
        <v>7248.0</v>
      </c>
      <c r="C252" s="32"/>
    </row>
    <row r="253">
      <c r="A253" s="11">
        <v>9.67964066E8</v>
      </c>
      <c r="B253" s="146">
        <v>7249.0</v>
      </c>
      <c r="C253" s="32"/>
    </row>
    <row r="254">
      <c r="A254" s="11">
        <v>3.37334434E8</v>
      </c>
      <c r="B254" s="146">
        <v>7250.0</v>
      </c>
      <c r="C254" s="32"/>
    </row>
    <row r="255">
      <c r="A255" s="11">
        <v>6.48122606E8</v>
      </c>
      <c r="B255" s="146">
        <v>7251.0</v>
      </c>
      <c r="C255" s="32"/>
    </row>
    <row r="256">
      <c r="A256" s="11">
        <v>7.26168238E8</v>
      </c>
      <c r="B256" s="146">
        <v>7252.0</v>
      </c>
      <c r="C256" s="32"/>
    </row>
    <row r="257">
      <c r="A257" s="11">
        <v>9.49313001E8</v>
      </c>
      <c r="B257" s="146">
        <v>7253.0</v>
      </c>
      <c r="C257" s="32"/>
    </row>
    <row r="258">
      <c r="A258" s="11">
        <v>9.27588647E8</v>
      </c>
      <c r="B258" s="146">
        <v>7254.0</v>
      </c>
      <c r="C258" s="32"/>
    </row>
    <row r="259">
      <c r="A259" s="11">
        <v>6.62472505E8</v>
      </c>
      <c r="B259" s="146">
        <v>7255.0</v>
      </c>
      <c r="C259" s="32"/>
    </row>
    <row r="260">
      <c r="A260" s="11">
        <v>9.53745788E8</v>
      </c>
      <c r="B260" s="146">
        <v>7256.0</v>
      </c>
      <c r="C260" s="32"/>
    </row>
    <row r="261">
      <c r="A261" s="11">
        <v>6.39490845E8</v>
      </c>
      <c r="B261" s="146">
        <v>7257.0</v>
      </c>
      <c r="C261" s="32"/>
    </row>
    <row r="262">
      <c r="A262" s="11">
        <v>6.88371769E8</v>
      </c>
      <c r="B262" s="146">
        <v>7258.0</v>
      </c>
      <c r="C262" s="32"/>
    </row>
    <row r="263">
      <c r="A263" s="11">
        <v>7.74343561E8</v>
      </c>
      <c r="B263" s="146">
        <v>7259.0</v>
      </c>
      <c r="C263" s="32"/>
    </row>
    <row r="264">
      <c r="A264" s="11">
        <v>2.0900224E8</v>
      </c>
      <c r="B264" s="146">
        <v>7260.0</v>
      </c>
      <c r="C264" s="32"/>
    </row>
    <row r="265">
      <c r="A265" s="11">
        <v>7.05841062E8</v>
      </c>
      <c r="B265" s="146">
        <v>7261.0</v>
      </c>
      <c r="C265" s="32"/>
    </row>
    <row r="266">
      <c r="A266" s="11">
        <v>6.02061056E8</v>
      </c>
      <c r="B266" s="146">
        <v>7262.0</v>
      </c>
      <c r="C266" s="32"/>
    </row>
    <row r="267">
      <c r="A267" s="11">
        <v>6.87956384E8</v>
      </c>
      <c r="B267" s="146">
        <v>7263.0</v>
      </c>
      <c r="C267" s="32"/>
    </row>
    <row r="268">
      <c r="A268" s="11">
        <v>9.13719475E8</v>
      </c>
      <c r="B268" s="146">
        <v>7264.0</v>
      </c>
      <c r="C268" s="32"/>
    </row>
    <row r="269">
      <c r="A269" s="11">
        <v>2.23442507E8</v>
      </c>
      <c r="B269" s="146">
        <v>7265.0</v>
      </c>
      <c r="C269" s="32"/>
    </row>
    <row r="270">
      <c r="A270" s="11">
        <v>4.31290753E8</v>
      </c>
      <c r="B270" s="146">
        <v>7266.0</v>
      </c>
      <c r="C270" s="32"/>
    </row>
    <row r="271">
      <c r="A271" s="11">
        <v>9.73423105E8</v>
      </c>
      <c r="B271" s="146">
        <v>7267.0</v>
      </c>
      <c r="C271" s="32"/>
    </row>
    <row r="272">
      <c r="A272" s="11">
        <v>8.95418626E8</v>
      </c>
      <c r="B272" s="146">
        <v>7268.0</v>
      </c>
      <c r="C272" s="32"/>
    </row>
    <row r="273">
      <c r="A273" s="11">
        <v>7.88680022E8</v>
      </c>
      <c r="B273" s="146">
        <v>7269.0</v>
      </c>
      <c r="C273" s="32"/>
    </row>
    <row r="274">
      <c r="A274" s="11">
        <v>1.56852527E8</v>
      </c>
      <c r="B274" s="146">
        <v>7270.0</v>
      </c>
      <c r="C274" s="32"/>
    </row>
    <row r="275">
      <c r="A275" s="11">
        <v>3.47231897E8</v>
      </c>
      <c r="B275" s="146">
        <v>7271.0</v>
      </c>
      <c r="C275" s="32"/>
    </row>
    <row r="276">
      <c r="A276" s="11">
        <v>2.85249892E8</v>
      </c>
      <c r="B276" s="146">
        <v>7272.0</v>
      </c>
      <c r="C276" s="32"/>
    </row>
    <row r="277">
      <c r="A277" s="11">
        <v>1.53662407E8</v>
      </c>
      <c r="B277" s="146">
        <v>7273.0</v>
      </c>
      <c r="C277" s="32"/>
    </row>
    <row r="278">
      <c r="A278" s="11">
        <v>8.20557762E8</v>
      </c>
      <c r="B278" s="146">
        <v>7274.0</v>
      </c>
      <c r="C278" s="32"/>
    </row>
    <row r="279">
      <c r="A279" s="11">
        <v>2.44582061E8</v>
      </c>
      <c r="B279" s="146">
        <v>7275.0</v>
      </c>
      <c r="C279" s="32"/>
    </row>
    <row r="280">
      <c r="A280" s="11">
        <v>2.91222997E8</v>
      </c>
      <c r="B280" s="146">
        <v>7276.0</v>
      </c>
      <c r="C280" s="32"/>
    </row>
    <row r="281">
      <c r="A281" s="11">
        <v>9.45115575E8</v>
      </c>
      <c r="B281" s="146">
        <v>7277.0</v>
      </c>
      <c r="C281" s="32"/>
    </row>
    <row r="282">
      <c r="A282" s="11">
        <v>6.74600039E8</v>
      </c>
      <c r="B282" s="146">
        <v>7278.0</v>
      </c>
      <c r="C282" s="32"/>
    </row>
    <row r="283">
      <c r="A283" s="11">
        <v>8.69834866E8</v>
      </c>
      <c r="B283" s="146">
        <v>7279.0</v>
      </c>
      <c r="C283" s="32"/>
    </row>
    <row r="284">
      <c r="A284" s="11">
        <v>8.31980016E8</v>
      </c>
      <c r="B284" s="146">
        <v>7280.0</v>
      </c>
      <c r="C284" s="32"/>
    </row>
    <row r="285">
      <c r="A285" s="11">
        <v>2.71870309E8</v>
      </c>
      <c r="B285" s="146">
        <v>7281.0</v>
      </c>
      <c r="C285" s="32"/>
    </row>
    <row r="286">
      <c r="A286" s="11">
        <v>4.85800682E8</v>
      </c>
      <c r="B286" s="146">
        <v>7282.0</v>
      </c>
      <c r="C286" s="32"/>
    </row>
    <row r="287">
      <c r="A287" s="11">
        <v>2.04675135E8</v>
      </c>
      <c r="B287" s="146">
        <v>7283.0</v>
      </c>
      <c r="C287" s="32"/>
    </row>
    <row r="288">
      <c r="A288" s="11">
        <v>8.27883498E8</v>
      </c>
      <c r="B288" s="146">
        <v>7284.0</v>
      </c>
      <c r="C288" s="32"/>
    </row>
    <row r="289">
      <c r="A289" s="11">
        <v>3.9767916E8</v>
      </c>
      <c r="B289" s="146">
        <v>7285.0</v>
      </c>
      <c r="C289" s="32"/>
    </row>
    <row r="290">
      <c r="A290" s="11">
        <v>9.6129618E8</v>
      </c>
      <c r="B290" s="146">
        <v>7286.0</v>
      </c>
      <c r="C290" s="32"/>
    </row>
    <row r="291">
      <c r="A291" s="11">
        <v>3.58593133E8</v>
      </c>
      <c r="B291" s="146">
        <v>7287.0</v>
      </c>
      <c r="C291" s="32"/>
    </row>
    <row r="292">
      <c r="A292" s="11">
        <v>6.68635378E8</v>
      </c>
      <c r="B292" s="146">
        <v>7288.0</v>
      </c>
      <c r="C292" s="32"/>
    </row>
    <row r="293">
      <c r="A293" s="11">
        <v>5.10818783E8</v>
      </c>
      <c r="B293" s="146">
        <v>7289.0</v>
      </c>
      <c r="C293" s="32"/>
    </row>
    <row r="294">
      <c r="A294" s="11">
        <v>6.42710851E8</v>
      </c>
      <c r="B294" s="146">
        <v>7290.0</v>
      </c>
      <c r="C294" s="32"/>
    </row>
    <row r="295">
      <c r="A295" s="11">
        <v>4.72957909E8</v>
      </c>
      <c r="B295" s="146">
        <v>7291.0</v>
      </c>
      <c r="C295" s="32"/>
    </row>
    <row r="296">
      <c r="A296" s="11">
        <v>8.54505258E8</v>
      </c>
      <c r="B296" s="146">
        <v>7292.0</v>
      </c>
      <c r="C296" s="32"/>
    </row>
    <row r="297">
      <c r="A297" s="11">
        <v>3.46065205E8</v>
      </c>
      <c r="B297" s="146">
        <v>7293.0</v>
      </c>
      <c r="C297" s="32"/>
    </row>
    <row r="298">
      <c r="A298" s="11">
        <v>8.48643363E8</v>
      </c>
      <c r="B298" s="146">
        <v>7294.0</v>
      </c>
      <c r="C298" s="32"/>
    </row>
    <row r="299">
      <c r="A299" s="11">
        <v>7.40453917E8</v>
      </c>
      <c r="B299" s="146">
        <v>7295.0</v>
      </c>
      <c r="C299" s="32"/>
    </row>
    <row r="300">
      <c r="A300" s="11">
        <v>3.07067369E8</v>
      </c>
      <c r="B300" s="146">
        <v>7296.0</v>
      </c>
      <c r="C300" s="32"/>
    </row>
    <row r="301">
      <c r="A301" s="11">
        <v>1.07706038E8</v>
      </c>
      <c r="B301" s="146">
        <v>7297.0</v>
      </c>
      <c r="C301" s="32"/>
    </row>
    <row r="302">
      <c r="A302" s="11">
        <v>5.69664997E8</v>
      </c>
      <c r="B302" s="146">
        <v>7298.0</v>
      </c>
      <c r="C302" s="32"/>
    </row>
    <row r="303">
      <c r="A303" s="11">
        <v>9.0829806E8</v>
      </c>
      <c r="B303" s="146">
        <v>7299.0</v>
      </c>
      <c r="C303" s="32"/>
    </row>
    <row r="304">
      <c r="A304" s="11">
        <v>3.95582713E8</v>
      </c>
      <c r="B304" s="146">
        <v>7300.0</v>
      </c>
      <c r="C304" s="32"/>
    </row>
    <row r="305">
      <c r="A305" s="11">
        <v>2.81963219E8</v>
      </c>
      <c r="B305" s="146">
        <v>7301.0</v>
      </c>
      <c r="C305" s="32"/>
    </row>
    <row r="306">
      <c r="A306" s="11">
        <v>1.01675509E8</v>
      </c>
      <c r="B306" s="146">
        <v>7302.0</v>
      </c>
      <c r="C306" s="32"/>
    </row>
    <row r="307">
      <c r="A307" s="11">
        <v>5.75189976E8</v>
      </c>
      <c r="B307" s="146">
        <v>7303.0</v>
      </c>
      <c r="C307" s="32"/>
    </row>
    <row r="308">
      <c r="A308" s="11">
        <v>7.01526899E8</v>
      </c>
      <c r="B308" s="146">
        <v>7304.0</v>
      </c>
      <c r="C308" s="32"/>
    </row>
    <row r="309">
      <c r="A309" s="11">
        <v>9.61122485E8</v>
      </c>
      <c r="B309" s="146">
        <v>7305.0</v>
      </c>
      <c r="C309" s="32"/>
    </row>
    <row r="310">
      <c r="A310" s="11">
        <v>7.90285997E8</v>
      </c>
      <c r="B310" s="146">
        <v>7306.0</v>
      </c>
      <c r="C310" s="32"/>
    </row>
    <row r="311">
      <c r="A311" s="11">
        <v>2.7089789E8</v>
      </c>
      <c r="B311" s="146">
        <v>7307.0</v>
      </c>
      <c r="C311" s="32"/>
    </row>
    <row r="312">
      <c r="A312" s="11">
        <v>1.6226417E8</v>
      </c>
      <c r="B312" s="146">
        <v>7308.0</v>
      </c>
      <c r="C312" s="32"/>
    </row>
    <row r="313">
      <c r="A313" s="11">
        <v>6.51738329E8</v>
      </c>
      <c r="B313" s="146">
        <v>7309.0</v>
      </c>
      <c r="C313" s="32"/>
    </row>
    <row r="314">
      <c r="A314" s="11">
        <v>7.5598553E8</v>
      </c>
      <c r="B314" s="146">
        <v>7310.0</v>
      </c>
      <c r="C314" s="32"/>
    </row>
    <row r="315">
      <c r="A315" s="11">
        <v>6.39234206E8</v>
      </c>
      <c r="B315" s="146">
        <v>7311.0</v>
      </c>
      <c r="C315" s="32"/>
    </row>
    <row r="316">
      <c r="A316" s="11">
        <v>6.24453199E8</v>
      </c>
      <c r="B316" s="146">
        <v>7312.0</v>
      </c>
      <c r="C316" s="32"/>
    </row>
    <row r="317">
      <c r="A317" s="11">
        <v>1.14148275E8</v>
      </c>
      <c r="B317" s="146">
        <v>7313.0</v>
      </c>
      <c r="C317" s="32"/>
    </row>
    <row r="318">
      <c r="A318" s="11">
        <v>5.24044316E8</v>
      </c>
      <c r="B318" s="146">
        <v>7314.0</v>
      </c>
      <c r="C318" s="32"/>
    </row>
    <row r="319">
      <c r="A319" s="11">
        <v>8.12283553E8</v>
      </c>
      <c r="B319" s="146">
        <v>7315.0</v>
      </c>
      <c r="C319" s="32"/>
    </row>
    <row r="320">
      <c r="A320" s="11">
        <v>4.92951954E8</v>
      </c>
      <c r="B320" s="146">
        <v>7316.0</v>
      </c>
      <c r="C320" s="32"/>
    </row>
    <row r="321">
      <c r="A321" s="11">
        <v>2.02014839E8</v>
      </c>
      <c r="B321" s="146">
        <v>7317.0</v>
      </c>
      <c r="C321" s="32"/>
    </row>
    <row r="322">
      <c r="A322" s="11">
        <v>3.73076272E8</v>
      </c>
      <c r="B322" s="146">
        <v>7318.0</v>
      </c>
      <c r="C322" s="32"/>
    </row>
    <row r="323">
      <c r="A323" s="11">
        <v>1.27165439E8</v>
      </c>
      <c r="B323" s="146">
        <v>7319.0</v>
      </c>
      <c r="C323" s="32"/>
    </row>
    <row r="324">
      <c r="A324" s="11">
        <v>3.96060242E8</v>
      </c>
      <c r="B324" s="146">
        <v>7320.0</v>
      </c>
      <c r="C324" s="32"/>
    </row>
    <row r="325">
      <c r="A325" s="11">
        <v>3.88956201E8</v>
      </c>
      <c r="B325" s="146">
        <v>7321.0</v>
      </c>
      <c r="C325" s="32"/>
    </row>
    <row r="326">
      <c r="A326" s="11">
        <v>3.97641496E8</v>
      </c>
      <c r="B326" s="146">
        <v>7322.0</v>
      </c>
      <c r="C326" s="32"/>
    </row>
    <row r="327">
      <c r="A327" s="11">
        <v>6.80047918E8</v>
      </c>
      <c r="B327" s="146">
        <v>7323.0</v>
      </c>
      <c r="C327" s="32"/>
    </row>
    <row r="328">
      <c r="A328" s="11">
        <v>9.79825854E8</v>
      </c>
      <c r="B328" s="146">
        <v>7324.0</v>
      </c>
      <c r="C328" s="32"/>
    </row>
    <row r="329">
      <c r="A329" s="11">
        <v>1.09652123E8</v>
      </c>
      <c r="B329" s="146">
        <v>7325.0</v>
      </c>
      <c r="C329" s="32"/>
    </row>
    <row r="330">
      <c r="A330" s="11">
        <v>8.9501543E8</v>
      </c>
      <c r="B330" s="146">
        <v>7326.0</v>
      </c>
      <c r="C330" s="32"/>
    </row>
    <row r="331">
      <c r="A331" s="11">
        <v>4.20181266E8</v>
      </c>
      <c r="B331" s="146">
        <v>7327.0</v>
      </c>
      <c r="C331" s="32"/>
    </row>
    <row r="332">
      <c r="A332" s="11">
        <v>6.83985762E8</v>
      </c>
      <c r="B332" s="146">
        <v>7328.0</v>
      </c>
      <c r="C332" s="32"/>
    </row>
    <row r="333">
      <c r="A333" s="11">
        <v>1.94896632E8</v>
      </c>
      <c r="B333" s="146">
        <v>7329.0</v>
      </c>
      <c r="C333" s="32"/>
    </row>
    <row r="334">
      <c r="A334" s="11">
        <v>8.80967556E8</v>
      </c>
      <c r="B334" s="146">
        <v>7330.0</v>
      </c>
      <c r="C334" s="32"/>
    </row>
    <row r="335">
      <c r="A335" s="11">
        <v>9.1013746E8</v>
      </c>
      <c r="B335" s="146">
        <v>7331.0</v>
      </c>
      <c r="C335" s="32"/>
    </row>
    <row r="336">
      <c r="A336" s="11">
        <v>8.10941949E8</v>
      </c>
      <c r="B336" s="146">
        <v>7332.0</v>
      </c>
      <c r="C336" s="32"/>
    </row>
    <row r="337">
      <c r="A337" s="11">
        <v>3.32089471E8</v>
      </c>
      <c r="B337" s="146">
        <v>7333.0</v>
      </c>
      <c r="C337" s="32"/>
    </row>
    <row r="338">
      <c r="A338" s="11">
        <v>2.74279107E8</v>
      </c>
      <c r="B338" s="146">
        <v>7334.0</v>
      </c>
      <c r="C338" s="32"/>
    </row>
    <row r="339">
      <c r="A339" s="11">
        <v>6.51893547E8</v>
      </c>
      <c r="B339" s="146">
        <v>7335.0</v>
      </c>
      <c r="C339" s="32"/>
    </row>
    <row r="340">
      <c r="A340" s="11">
        <v>8.52049106E8</v>
      </c>
      <c r="B340" s="146">
        <v>7336.0</v>
      </c>
      <c r="C340" s="32"/>
    </row>
    <row r="341">
      <c r="A341" s="11">
        <v>5.9976463E8</v>
      </c>
      <c r="B341" s="146">
        <v>7337.0</v>
      </c>
      <c r="C341" s="32"/>
    </row>
    <row r="342">
      <c r="A342" s="11">
        <v>1.39312632E8</v>
      </c>
      <c r="B342" s="146">
        <v>7338.0</v>
      </c>
      <c r="C342" s="32"/>
    </row>
    <row r="343">
      <c r="A343" s="11">
        <v>4.04896211E8</v>
      </c>
      <c r="B343" s="146">
        <v>7339.0</v>
      </c>
      <c r="C343" s="32"/>
    </row>
    <row r="344">
      <c r="A344" s="11">
        <v>5.05189238E8</v>
      </c>
      <c r="B344" s="146">
        <v>7340.0</v>
      </c>
      <c r="C344" s="32"/>
    </row>
    <row r="345">
      <c r="A345" s="11">
        <v>4.18347672E8</v>
      </c>
      <c r="B345" s="146">
        <v>7341.0</v>
      </c>
      <c r="C345" s="32"/>
    </row>
    <row r="346">
      <c r="A346" s="11">
        <v>5.2255482E8</v>
      </c>
      <c r="B346" s="146">
        <v>7342.0</v>
      </c>
      <c r="C346" s="32"/>
    </row>
    <row r="347">
      <c r="A347" s="11">
        <v>7.6225285E8</v>
      </c>
      <c r="B347" s="146">
        <v>7343.0</v>
      </c>
      <c r="C347" s="32"/>
    </row>
    <row r="348">
      <c r="A348" s="11">
        <v>2.6348909E8</v>
      </c>
      <c r="B348" s="146">
        <v>7344.0</v>
      </c>
      <c r="C348" s="32"/>
    </row>
    <row r="349">
      <c r="A349" s="11">
        <v>6.39317725E8</v>
      </c>
      <c r="B349" s="146">
        <v>7345.0</v>
      </c>
      <c r="C349" s="32"/>
    </row>
    <row r="350">
      <c r="A350" s="11">
        <v>3.23259997E8</v>
      </c>
      <c r="B350" s="146">
        <v>7346.0</v>
      </c>
      <c r="C350" s="32"/>
    </row>
    <row r="351">
      <c r="A351" s="11">
        <v>3.82721227E8</v>
      </c>
      <c r="B351" s="146">
        <v>7347.0</v>
      </c>
      <c r="C351" s="32"/>
    </row>
    <row r="352">
      <c r="A352" s="11">
        <v>8.56981144E8</v>
      </c>
      <c r="B352" s="146">
        <v>7348.0</v>
      </c>
      <c r="C352" s="32"/>
    </row>
    <row r="353">
      <c r="A353" s="11">
        <v>1.54437826E8</v>
      </c>
      <c r="B353" s="146">
        <v>7349.0</v>
      </c>
      <c r="C353" s="32"/>
    </row>
    <row r="354">
      <c r="A354" s="11">
        <v>9.42455716E8</v>
      </c>
      <c r="B354" s="146">
        <v>7350.0</v>
      </c>
      <c r="C354" s="32"/>
    </row>
    <row r="355">
      <c r="A355" s="11">
        <v>2.3558048E8</v>
      </c>
      <c r="B355" s="146">
        <v>7351.0</v>
      </c>
      <c r="C355" s="32"/>
    </row>
    <row r="356">
      <c r="A356" s="11">
        <v>5.13305256E8</v>
      </c>
      <c r="B356" s="146">
        <v>7352.0</v>
      </c>
      <c r="C356" s="32"/>
    </row>
    <row r="357">
      <c r="A357" s="11">
        <v>1.69189714E8</v>
      </c>
      <c r="B357" s="146">
        <v>7353.0</v>
      </c>
      <c r="C357" s="32"/>
    </row>
    <row r="358">
      <c r="A358" s="11">
        <v>1.55851482E8</v>
      </c>
      <c r="B358" s="146">
        <v>7354.0</v>
      </c>
      <c r="C358" s="32"/>
    </row>
    <row r="359">
      <c r="A359" s="11">
        <v>4.5390154E8</v>
      </c>
      <c r="B359" s="146">
        <v>7355.0</v>
      </c>
      <c r="C359" s="32"/>
    </row>
    <row r="360">
      <c r="A360" s="11">
        <v>9.13600504E8</v>
      </c>
      <c r="B360" s="146">
        <v>7356.0</v>
      </c>
      <c r="C360" s="32"/>
    </row>
    <row r="361">
      <c r="A361" s="11">
        <v>9.97945133E8</v>
      </c>
      <c r="B361" s="146">
        <v>7357.0</v>
      </c>
      <c r="C361" s="32"/>
    </row>
    <row r="362">
      <c r="A362" s="11">
        <v>5.7398378E8</v>
      </c>
      <c r="B362" s="146">
        <v>7358.0</v>
      </c>
      <c r="C362" s="32"/>
    </row>
    <row r="363">
      <c r="A363" s="11">
        <v>5.85505581E8</v>
      </c>
      <c r="B363" s="146">
        <v>7359.0</v>
      </c>
      <c r="C363" s="32"/>
    </row>
    <row r="364">
      <c r="A364" s="11">
        <v>4.81352063E8</v>
      </c>
      <c r="B364" s="146">
        <v>7360.0</v>
      </c>
      <c r="C364" s="32"/>
    </row>
    <row r="365">
      <c r="A365" s="11">
        <v>4.43691633E8</v>
      </c>
      <c r="B365" s="146">
        <v>7361.0</v>
      </c>
      <c r="C365" s="32"/>
    </row>
    <row r="366">
      <c r="A366" s="11">
        <v>8.45895251E8</v>
      </c>
      <c r="B366" s="146">
        <v>7362.0</v>
      </c>
      <c r="C366" s="32"/>
    </row>
    <row r="367">
      <c r="A367" s="11">
        <v>7.59950869E8</v>
      </c>
      <c r="B367" s="146">
        <v>7363.0</v>
      </c>
      <c r="C367" s="32"/>
    </row>
    <row r="368">
      <c r="A368" s="11">
        <v>9.56196904E8</v>
      </c>
      <c r="B368" s="146">
        <v>7364.0</v>
      </c>
      <c r="C368" s="32"/>
    </row>
    <row r="369">
      <c r="A369" s="11">
        <v>1.45362791E8</v>
      </c>
      <c r="B369" s="146">
        <v>7365.0</v>
      </c>
      <c r="C369" s="32"/>
    </row>
    <row r="370">
      <c r="A370" s="11">
        <v>1.74311248E8</v>
      </c>
      <c r="B370" s="146">
        <v>7366.0</v>
      </c>
      <c r="C370" s="32"/>
    </row>
    <row r="371">
      <c r="A371" s="11">
        <v>1.06908395E8</v>
      </c>
      <c r="B371" s="146">
        <v>7367.0</v>
      </c>
      <c r="C371" s="32"/>
    </row>
    <row r="372">
      <c r="A372" s="11">
        <v>3.03816286E8</v>
      </c>
      <c r="B372" s="146">
        <v>7368.0</v>
      </c>
      <c r="C372" s="32"/>
    </row>
    <row r="373">
      <c r="A373" s="11">
        <v>8.50203325E8</v>
      </c>
      <c r="B373" s="146">
        <v>7369.0</v>
      </c>
      <c r="C373" s="32"/>
    </row>
    <row r="374">
      <c r="A374" s="11">
        <v>7.73612795E8</v>
      </c>
      <c r="B374" s="146">
        <v>7370.0</v>
      </c>
      <c r="C374" s="32"/>
    </row>
    <row r="375">
      <c r="A375" s="11">
        <v>2.68783672E8</v>
      </c>
      <c r="B375" s="146">
        <v>7371.0</v>
      </c>
      <c r="C375" s="32"/>
    </row>
    <row r="376">
      <c r="A376" s="11">
        <v>2.53132773E8</v>
      </c>
      <c r="B376" s="146">
        <v>7372.0</v>
      </c>
      <c r="C376" s="32"/>
    </row>
    <row r="377">
      <c r="A377" s="11">
        <v>3.97551915E8</v>
      </c>
      <c r="B377" s="146">
        <v>7373.0</v>
      </c>
      <c r="C377" s="32"/>
    </row>
    <row r="378">
      <c r="A378" s="11">
        <v>1.87213064E8</v>
      </c>
      <c r="B378" s="146">
        <v>7374.0</v>
      </c>
      <c r="C378" s="32"/>
    </row>
    <row r="379">
      <c r="A379" s="11">
        <v>2.69949347E8</v>
      </c>
      <c r="B379" s="146">
        <v>7375.0</v>
      </c>
      <c r="C379" s="32"/>
    </row>
    <row r="380">
      <c r="A380" s="11">
        <v>3.09595385E8</v>
      </c>
      <c r="B380" s="146">
        <v>7376.0</v>
      </c>
      <c r="C380" s="32"/>
    </row>
    <row r="381">
      <c r="A381" s="11">
        <v>9.90195047E8</v>
      </c>
      <c r="B381" s="146">
        <v>7377.0</v>
      </c>
      <c r="C381" s="32"/>
    </row>
    <row r="382">
      <c r="A382" s="11">
        <v>2.94138199E8</v>
      </c>
      <c r="B382" s="146">
        <v>7378.0</v>
      </c>
      <c r="C382" s="32"/>
    </row>
    <row r="383">
      <c r="A383" s="11">
        <v>7.22573346E8</v>
      </c>
      <c r="B383" s="146">
        <v>7379.0</v>
      </c>
      <c r="C383" s="32"/>
    </row>
    <row r="384">
      <c r="A384" s="11">
        <v>1.42742104E8</v>
      </c>
      <c r="B384" s="146">
        <v>7380.0</v>
      </c>
      <c r="C384" s="32"/>
    </row>
    <row r="385">
      <c r="A385" s="11">
        <v>3.98963488E8</v>
      </c>
      <c r="B385" s="146">
        <v>7381.0</v>
      </c>
      <c r="C385" s="32"/>
    </row>
    <row r="386">
      <c r="A386" s="11">
        <v>8.28332806E8</v>
      </c>
      <c r="B386" s="146">
        <v>7382.0</v>
      </c>
      <c r="C386" s="32"/>
    </row>
    <row r="387">
      <c r="A387" s="11">
        <v>1.92761627E8</v>
      </c>
      <c r="B387" s="146">
        <v>7383.0</v>
      </c>
      <c r="C387" s="32"/>
    </row>
    <row r="388">
      <c r="A388" s="11">
        <v>9.39787033E8</v>
      </c>
      <c r="B388" s="146">
        <v>7384.0</v>
      </c>
      <c r="C388" s="32"/>
    </row>
    <row r="389">
      <c r="A389" s="11">
        <v>6.99274638E8</v>
      </c>
      <c r="B389" s="146">
        <v>7385.0</v>
      </c>
      <c r="C389" s="32"/>
    </row>
    <row r="390">
      <c r="A390" s="11">
        <v>2.51905854E8</v>
      </c>
      <c r="B390" s="146">
        <v>7386.0</v>
      </c>
      <c r="C390" s="32"/>
    </row>
    <row r="391">
      <c r="A391" s="11">
        <v>7.95336902E8</v>
      </c>
      <c r="B391" s="146">
        <v>7387.0</v>
      </c>
      <c r="C391" s="32"/>
    </row>
    <row r="392">
      <c r="A392" s="11">
        <v>2.21575315E8</v>
      </c>
      <c r="B392" s="146">
        <v>7388.0</v>
      </c>
      <c r="C392" s="32"/>
    </row>
    <row r="393">
      <c r="A393" s="11">
        <v>7.32908739E8</v>
      </c>
      <c r="B393" s="146">
        <v>7389.0</v>
      </c>
      <c r="C393" s="32"/>
    </row>
    <row r="394">
      <c r="A394" s="11">
        <v>5.16677117E8</v>
      </c>
      <c r="B394" s="146">
        <v>7390.0</v>
      </c>
      <c r="C394" s="32"/>
    </row>
    <row r="395">
      <c r="A395" s="11">
        <v>1.62394918E8</v>
      </c>
      <c r="B395" s="146">
        <v>7391.0</v>
      </c>
      <c r="C395" s="32"/>
    </row>
    <row r="396">
      <c r="A396" s="11">
        <v>8.41867249E8</v>
      </c>
      <c r="B396" s="146">
        <v>7392.0</v>
      </c>
      <c r="C396" s="32"/>
    </row>
    <row r="397">
      <c r="A397" s="11">
        <v>9.66561011E8</v>
      </c>
      <c r="B397" s="146">
        <v>7393.0</v>
      </c>
      <c r="C397" s="32"/>
    </row>
    <row r="398">
      <c r="A398" s="11">
        <v>6.73699078E8</v>
      </c>
      <c r="B398" s="146">
        <v>7394.0</v>
      </c>
      <c r="C398" s="32"/>
    </row>
    <row r="399">
      <c r="A399" s="11">
        <v>7.0604281E8</v>
      </c>
      <c r="B399" s="146">
        <v>7395.0</v>
      </c>
      <c r="C399" s="32"/>
    </row>
    <row r="400">
      <c r="A400" s="11">
        <v>2.69013671E8</v>
      </c>
      <c r="B400" s="146">
        <v>7396.0</v>
      </c>
      <c r="C400" s="32"/>
    </row>
    <row r="401">
      <c r="A401" s="11">
        <v>6.58534896E8</v>
      </c>
      <c r="B401" s="146">
        <v>7397.0</v>
      </c>
      <c r="C401" s="32"/>
    </row>
    <row r="402">
      <c r="A402" s="11">
        <v>9.9348749E8</v>
      </c>
      <c r="B402" s="146">
        <v>7398.0</v>
      </c>
      <c r="C402" s="32"/>
    </row>
    <row r="403">
      <c r="A403" s="11">
        <v>4.205464E8</v>
      </c>
      <c r="B403" s="146">
        <v>7399.0</v>
      </c>
      <c r="C403" s="32"/>
    </row>
    <row r="404">
      <c r="A404" s="11">
        <v>7.5057258E8</v>
      </c>
      <c r="B404" s="146">
        <v>7400.0</v>
      </c>
      <c r="C404" s="32"/>
    </row>
    <row r="405">
      <c r="A405" s="11">
        <v>4.91863908E8</v>
      </c>
      <c r="B405" s="146">
        <v>7401.0</v>
      </c>
      <c r="C405" s="32"/>
    </row>
    <row r="406">
      <c r="A406" s="11">
        <v>8.50029621E8</v>
      </c>
      <c r="B406" s="146">
        <v>7402.0</v>
      </c>
      <c r="C406" s="32"/>
    </row>
    <row r="407">
      <c r="A407" s="11">
        <v>9.07371911E8</v>
      </c>
      <c r="B407" s="146">
        <v>7403.0</v>
      </c>
      <c r="C407" s="32"/>
    </row>
    <row r="408">
      <c r="A408" s="11">
        <v>4.03869532E8</v>
      </c>
      <c r="B408" s="146">
        <v>7404.0</v>
      </c>
      <c r="C408" s="32"/>
    </row>
    <row r="409">
      <c r="A409" s="11">
        <v>6.78587259E8</v>
      </c>
      <c r="B409" s="146">
        <v>7405.0</v>
      </c>
      <c r="C409" s="32"/>
    </row>
    <row r="410">
      <c r="A410" s="11">
        <v>1.27361868E8</v>
      </c>
      <c r="B410" s="146">
        <v>7406.0</v>
      </c>
      <c r="C410" s="32"/>
    </row>
    <row r="411">
      <c r="A411" s="11">
        <v>5.51171784E8</v>
      </c>
      <c r="B411" s="146">
        <v>7407.0</v>
      </c>
      <c r="C411" s="32"/>
    </row>
    <row r="412">
      <c r="A412" s="11">
        <v>7.44245006E8</v>
      </c>
      <c r="B412" s="146">
        <v>7408.0</v>
      </c>
      <c r="C412" s="32"/>
    </row>
    <row r="413">
      <c r="A413" s="11">
        <v>8.51830858E8</v>
      </c>
      <c r="B413" s="146">
        <v>7409.0</v>
      </c>
      <c r="C413" s="32"/>
    </row>
    <row r="414">
      <c r="A414" s="11">
        <v>7.57112231E8</v>
      </c>
      <c r="B414" s="146">
        <v>7410.0</v>
      </c>
      <c r="C414" s="32"/>
    </row>
    <row r="415">
      <c r="A415" s="11">
        <v>2.52498827E8</v>
      </c>
      <c r="B415" s="146">
        <v>7411.0</v>
      </c>
      <c r="C415" s="32"/>
    </row>
    <row r="416">
      <c r="A416" s="11">
        <v>1.96232521E8</v>
      </c>
      <c r="B416" s="146">
        <v>7412.0</v>
      </c>
      <c r="C416" s="32"/>
    </row>
    <row r="417">
      <c r="A417" s="11">
        <v>5.04911607E8</v>
      </c>
      <c r="B417" s="146">
        <v>7413.0</v>
      </c>
      <c r="C417" s="32"/>
    </row>
    <row r="418">
      <c r="A418" s="11">
        <v>2.70712433E8</v>
      </c>
      <c r="B418" s="146">
        <v>7414.0</v>
      </c>
      <c r="C418" s="32"/>
    </row>
    <row r="419">
      <c r="A419" s="11">
        <v>2.41586898E8</v>
      </c>
      <c r="B419" s="146">
        <v>7415.0</v>
      </c>
      <c r="C419" s="32"/>
    </row>
    <row r="420">
      <c r="A420" s="11">
        <v>9.428722E8</v>
      </c>
      <c r="B420" s="146">
        <v>7416.0</v>
      </c>
      <c r="C420" s="32"/>
    </row>
    <row r="421">
      <c r="A421" s="11">
        <v>4.52246241E8</v>
      </c>
      <c r="B421" s="146">
        <v>7417.0</v>
      </c>
      <c r="C421" s="32"/>
    </row>
    <row r="422">
      <c r="A422" s="11">
        <v>1.42933049E8</v>
      </c>
      <c r="B422" s="146">
        <v>7418.0</v>
      </c>
      <c r="C422" s="32"/>
    </row>
    <row r="423">
      <c r="A423" s="11">
        <v>6.50742707E8</v>
      </c>
      <c r="B423" s="146">
        <v>7419.0</v>
      </c>
      <c r="C423" s="32"/>
    </row>
    <row r="424">
      <c r="A424" s="11">
        <v>8.31519719E8</v>
      </c>
      <c r="B424" s="146">
        <v>7420.0</v>
      </c>
      <c r="C424" s="32"/>
    </row>
    <row r="425">
      <c r="A425" s="11">
        <v>9.30271385E8</v>
      </c>
      <c r="B425" s="146">
        <v>7421.0</v>
      </c>
      <c r="C425" s="32"/>
    </row>
    <row r="426">
      <c r="A426" s="11">
        <v>1.39127845E8</v>
      </c>
      <c r="B426" s="146">
        <v>7422.0</v>
      </c>
      <c r="C426" s="32"/>
    </row>
    <row r="427">
      <c r="A427" s="11">
        <v>3.51825705E8</v>
      </c>
      <c r="B427" s="146">
        <v>7423.0</v>
      </c>
      <c r="C427" s="32"/>
    </row>
    <row r="428">
      <c r="A428" s="11">
        <v>6.05216894E8</v>
      </c>
      <c r="B428" s="146">
        <v>7424.0</v>
      </c>
      <c r="C428" s="32"/>
    </row>
    <row r="429">
      <c r="A429" s="11">
        <v>2.66124343E8</v>
      </c>
      <c r="B429" s="146">
        <v>7425.0</v>
      </c>
      <c r="C429" s="32"/>
    </row>
    <row r="430">
      <c r="A430" s="11">
        <v>6.25517042E8</v>
      </c>
      <c r="B430" s="146">
        <v>7426.0</v>
      </c>
      <c r="C430" s="32"/>
    </row>
    <row r="431">
      <c r="A431" s="11">
        <v>7.73061254E8</v>
      </c>
      <c r="B431" s="146">
        <v>7427.0</v>
      </c>
      <c r="C431" s="32"/>
    </row>
    <row r="432">
      <c r="A432" s="11">
        <v>8.17400264E8</v>
      </c>
      <c r="B432" s="146">
        <v>7428.0</v>
      </c>
      <c r="C432" s="32"/>
    </row>
    <row r="433">
      <c r="A433" s="11">
        <v>3.64328642E8</v>
      </c>
      <c r="B433" s="146">
        <v>7429.0</v>
      </c>
      <c r="C433" s="32"/>
    </row>
    <row r="434">
      <c r="A434" s="11">
        <v>1.85877739E8</v>
      </c>
      <c r="B434" s="146">
        <v>7430.0</v>
      </c>
      <c r="C434" s="32"/>
    </row>
    <row r="435">
      <c r="A435" s="11">
        <v>8.86427939E8</v>
      </c>
      <c r="B435" s="146">
        <v>7431.0</v>
      </c>
      <c r="C435" s="32"/>
    </row>
    <row r="436">
      <c r="A436" s="11">
        <v>4.35681919E8</v>
      </c>
      <c r="B436" s="146">
        <v>7432.0</v>
      </c>
      <c r="C436" s="32"/>
    </row>
    <row r="437">
      <c r="A437" s="11">
        <v>6.08713367E8</v>
      </c>
      <c r="B437" s="146">
        <v>7433.0</v>
      </c>
      <c r="C437" s="32"/>
    </row>
    <row r="438">
      <c r="A438" s="11">
        <v>1.57629537E8</v>
      </c>
      <c r="B438" s="146">
        <v>7434.0</v>
      </c>
      <c r="C438" s="32"/>
    </row>
    <row r="439">
      <c r="A439" s="11">
        <v>2.96174147E8</v>
      </c>
      <c r="B439" s="146">
        <v>7435.0</v>
      </c>
      <c r="C439" s="32"/>
    </row>
    <row r="440">
      <c r="A440" s="11">
        <v>9.64776839E8</v>
      </c>
      <c r="B440" s="146">
        <v>7436.0</v>
      </c>
      <c r="C440" s="32"/>
    </row>
    <row r="441">
      <c r="A441" s="11">
        <v>6.18078155E8</v>
      </c>
      <c r="B441" s="146">
        <v>7437.0</v>
      </c>
      <c r="C441" s="32"/>
    </row>
    <row r="442">
      <c r="A442" s="11">
        <v>4.02255622E8</v>
      </c>
      <c r="B442" s="146">
        <v>7438.0</v>
      </c>
      <c r="C442" s="32"/>
    </row>
    <row r="443">
      <c r="A443" s="11">
        <v>8.58997864E8</v>
      </c>
      <c r="B443" s="146">
        <v>7439.0</v>
      </c>
      <c r="C443" s="32"/>
    </row>
    <row r="444">
      <c r="A444" s="11">
        <v>8.68463578E8</v>
      </c>
      <c r="B444" s="146">
        <v>7440.0</v>
      </c>
      <c r="C444" s="32"/>
    </row>
    <row r="445">
      <c r="A445" s="11">
        <v>5.2503204E8</v>
      </c>
      <c r="B445" s="146">
        <v>7441.0</v>
      </c>
      <c r="C445" s="32"/>
    </row>
    <row r="446">
      <c r="A446" s="11">
        <v>3.40756604E8</v>
      </c>
      <c r="B446" s="146">
        <v>7442.0</v>
      </c>
      <c r="C446" s="32"/>
    </row>
    <row r="447">
      <c r="A447" s="11">
        <v>1.48866695E8</v>
      </c>
      <c r="B447" s="146">
        <v>7443.0</v>
      </c>
      <c r="C447" s="32"/>
    </row>
    <row r="448">
      <c r="A448" s="11">
        <v>6.64243565E8</v>
      </c>
      <c r="B448" s="146">
        <v>7444.0</v>
      </c>
      <c r="C448" s="32"/>
    </row>
    <row r="449">
      <c r="A449" s="11">
        <v>7.2767906E8</v>
      </c>
      <c r="B449" s="146">
        <v>7445.0</v>
      </c>
      <c r="C449" s="32"/>
    </row>
    <row r="450">
      <c r="A450" s="11">
        <v>1.15171396E8</v>
      </c>
      <c r="B450" s="146">
        <v>7446.0</v>
      </c>
      <c r="C450" s="32"/>
    </row>
    <row r="451">
      <c r="A451" s="11">
        <v>6.80611973E8</v>
      </c>
      <c r="B451" s="146">
        <v>7447.0</v>
      </c>
      <c r="C451" s="32"/>
    </row>
    <row r="452">
      <c r="A452" s="11">
        <v>5.49757141E8</v>
      </c>
      <c r="B452" s="146">
        <v>7448.0</v>
      </c>
      <c r="C452" s="32"/>
    </row>
    <row r="453">
      <c r="A453" s="11">
        <v>6.86265827E8</v>
      </c>
      <c r="B453" s="146">
        <v>7449.0</v>
      </c>
      <c r="C453" s="32"/>
    </row>
    <row r="454">
      <c r="A454" s="11">
        <v>3.68456373E8</v>
      </c>
      <c r="B454" s="146">
        <v>7450.0</v>
      </c>
      <c r="C454" s="32"/>
    </row>
    <row r="455">
      <c r="A455" s="11">
        <v>4.71884571E8</v>
      </c>
      <c r="B455" s="146">
        <v>7451.0</v>
      </c>
      <c r="C455" s="32"/>
    </row>
    <row r="456">
      <c r="A456" s="11">
        <v>7.82703252E8</v>
      </c>
      <c r="B456" s="146">
        <v>7452.0</v>
      </c>
      <c r="C456" s="32"/>
    </row>
    <row r="457">
      <c r="A457" s="11">
        <v>9.81247544E8</v>
      </c>
      <c r="B457" s="146">
        <v>7453.0</v>
      </c>
      <c r="C457" s="32"/>
    </row>
    <row r="458">
      <c r="A458" s="11">
        <v>6.10325087E8</v>
      </c>
      <c r="B458" s="146">
        <v>7454.0</v>
      </c>
      <c r="C458" s="32"/>
    </row>
    <row r="459">
      <c r="A459" s="11">
        <v>9.16912639E8</v>
      </c>
      <c r="B459" s="146">
        <v>7455.0</v>
      </c>
      <c r="C459" s="32"/>
    </row>
    <row r="460">
      <c r="A460" s="11">
        <v>6.53452274E8</v>
      </c>
      <c r="B460" s="146">
        <v>7456.0</v>
      </c>
      <c r="C460" s="32"/>
    </row>
    <row r="461">
      <c r="A461" s="11">
        <v>2.79162921E8</v>
      </c>
      <c r="B461" s="146">
        <v>7457.0</v>
      </c>
      <c r="C461" s="32"/>
    </row>
    <row r="462">
      <c r="A462" s="11">
        <v>4.97202545E8</v>
      </c>
      <c r="B462" s="146">
        <v>7458.0</v>
      </c>
      <c r="C462" s="32"/>
    </row>
    <row r="463">
      <c r="A463" s="11">
        <v>1.32447736E8</v>
      </c>
      <c r="B463" s="146">
        <v>7459.0</v>
      </c>
      <c r="C463" s="32"/>
    </row>
    <row r="464">
      <c r="A464" s="11">
        <v>5.0768286E8</v>
      </c>
      <c r="B464" s="146">
        <v>7460.0</v>
      </c>
      <c r="C464" s="32"/>
    </row>
    <row r="465">
      <c r="A465" s="11">
        <v>7.61009925E8</v>
      </c>
      <c r="B465" s="146">
        <v>7461.0</v>
      </c>
      <c r="C465" s="32"/>
    </row>
    <row r="466">
      <c r="A466" s="11">
        <v>6.87456815E8</v>
      </c>
      <c r="B466" s="146">
        <v>7462.0</v>
      </c>
      <c r="C466" s="32"/>
    </row>
    <row r="467">
      <c r="A467" s="11">
        <v>3.71784472E8</v>
      </c>
      <c r="B467" s="146">
        <v>7463.0</v>
      </c>
      <c r="C467" s="32"/>
    </row>
    <row r="468">
      <c r="A468" s="11">
        <v>8.65389264E8</v>
      </c>
      <c r="B468" s="146">
        <v>7464.0</v>
      </c>
      <c r="C468" s="32"/>
    </row>
    <row r="469">
      <c r="A469" s="11">
        <v>1.04092876E8</v>
      </c>
      <c r="B469" s="146">
        <v>7465.0</v>
      </c>
      <c r="C469" s="32"/>
    </row>
    <row r="470">
      <c r="A470" s="11">
        <v>3.675671E8</v>
      </c>
      <c r="B470" s="146">
        <v>7466.0</v>
      </c>
      <c r="C470" s="32"/>
    </row>
    <row r="471">
      <c r="A471" s="11">
        <v>2.22226037E8</v>
      </c>
      <c r="B471" s="146">
        <v>7467.0</v>
      </c>
      <c r="C471" s="32"/>
    </row>
    <row r="472">
      <c r="A472" s="11">
        <v>6.24064328E8</v>
      </c>
      <c r="B472" s="146">
        <v>7468.0</v>
      </c>
      <c r="C472" s="32"/>
    </row>
    <row r="473">
      <c r="A473" s="11">
        <v>8.01853752E8</v>
      </c>
      <c r="B473" s="146">
        <v>7469.0</v>
      </c>
      <c r="C473" s="32"/>
    </row>
    <row r="474">
      <c r="A474" s="11">
        <v>7.32856842E8</v>
      </c>
      <c r="B474" s="146">
        <v>7470.0</v>
      </c>
      <c r="C474" s="32"/>
    </row>
    <row r="475">
      <c r="A475" s="11">
        <v>6.02090909E8</v>
      </c>
      <c r="B475" s="146">
        <v>7471.0</v>
      </c>
      <c r="C475" s="32"/>
    </row>
    <row r="476">
      <c r="A476" s="11">
        <v>1.45976812E8</v>
      </c>
      <c r="B476" s="146">
        <v>7472.0</v>
      </c>
      <c r="C476" s="32"/>
    </row>
    <row r="477">
      <c r="A477" s="11">
        <v>6.29624634E8</v>
      </c>
      <c r="B477" s="146">
        <v>7473.0</v>
      </c>
      <c r="C477" s="32"/>
    </row>
    <row r="478">
      <c r="A478" s="11">
        <v>2.21283906E8</v>
      </c>
      <c r="B478" s="146">
        <v>7474.0</v>
      </c>
      <c r="C478" s="32"/>
    </row>
    <row r="479">
      <c r="A479" s="11">
        <v>6.01266076E8</v>
      </c>
      <c r="B479" s="146">
        <v>7475.0</v>
      </c>
      <c r="C479" s="32"/>
    </row>
    <row r="480">
      <c r="A480" s="11">
        <v>4.10204047E8</v>
      </c>
      <c r="B480" s="146">
        <v>7476.0</v>
      </c>
      <c r="C480" s="32"/>
    </row>
    <row r="481">
      <c r="A481" s="11">
        <v>2.12173745E8</v>
      </c>
      <c r="B481" s="146">
        <v>7477.0</v>
      </c>
      <c r="C481" s="32"/>
    </row>
    <row r="482">
      <c r="A482" s="11">
        <v>8.87675126E8</v>
      </c>
      <c r="B482" s="146">
        <v>7478.0</v>
      </c>
      <c r="C482" s="32"/>
    </row>
    <row r="483">
      <c r="A483" s="11">
        <v>1.34056883E8</v>
      </c>
      <c r="B483" s="146">
        <v>7479.0</v>
      </c>
      <c r="C483" s="32"/>
    </row>
    <row r="484">
      <c r="A484" s="11">
        <v>2.48514454E8</v>
      </c>
      <c r="B484" s="146">
        <v>7480.0</v>
      </c>
      <c r="C484" s="32"/>
    </row>
    <row r="485">
      <c r="A485" s="11">
        <v>7.31981019E8</v>
      </c>
      <c r="B485" s="146">
        <v>7481.0</v>
      </c>
      <c r="C485" s="32"/>
    </row>
    <row r="486">
      <c r="A486" s="11">
        <v>5.55300815E8</v>
      </c>
      <c r="B486" s="146">
        <v>7482.0</v>
      </c>
      <c r="C486" s="32"/>
    </row>
    <row r="487">
      <c r="A487" s="11">
        <v>4.33872866E8</v>
      </c>
      <c r="B487" s="146">
        <v>7483.0</v>
      </c>
      <c r="C487" s="32"/>
    </row>
    <row r="488">
      <c r="A488" s="11">
        <v>1.13128484E8</v>
      </c>
      <c r="B488" s="146">
        <v>7484.0</v>
      </c>
      <c r="C488" s="32"/>
    </row>
    <row r="489">
      <c r="A489" s="11">
        <v>4.61319536E8</v>
      </c>
      <c r="B489" s="146">
        <v>7485.0</v>
      </c>
      <c r="C489" s="32"/>
    </row>
    <row r="490">
      <c r="A490" s="11">
        <v>6.02149839E8</v>
      </c>
      <c r="B490" s="146">
        <v>7486.0</v>
      </c>
      <c r="C490" s="32"/>
    </row>
    <row r="491">
      <c r="A491" s="11">
        <v>9.91256384E8</v>
      </c>
      <c r="B491" s="146">
        <v>7487.0</v>
      </c>
      <c r="C491" s="32"/>
    </row>
    <row r="492">
      <c r="A492" s="11">
        <v>1.08215774E8</v>
      </c>
      <c r="B492" s="146">
        <v>7488.0</v>
      </c>
      <c r="C492" s="32"/>
    </row>
    <row r="493">
      <c r="A493" s="11">
        <v>6.53135401E8</v>
      </c>
      <c r="B493" s="146">
        <v>7489.0</v>
      </c>
      <c r="C493" s="32"/>
    </row>
    <row r="494">
      <c r="A494" s="11">
        <v>4.0105394E8</v>
      </c>
      <c r="B494" s="146">
        <v>7490.0</v>
      </c>
      <c r="C494" s="32"/>
    </row>
    <row r="495">
      <c r="A495" s="11">
        <v>1.06382441E8</v>
      </c>
      <c r="B495" s="146">
        <v>7491.0</v>
      </c>
      <c r="C495" s="32"/>
    </row>
    <row r="496">
      <c r="A496" s="11">
        <v>6.9721303E8</v>
      </c>
      <c r="B496" s="146">
        <v>7492.0</v>
      </c>
      <c r="C496" s="32"/>
    </row>
    <row r="497">
      <c r="A497" s="11">
        <v>3.35698828E8</v>
      </c>
      <c r="B497" s="146">
        <v>7493.0</v>
      </c>
      <c r="C497" s="32"/>
    </row>
    <row r="498">
      <c r="A498" s="11">
        <v>7.77726158E8</v>
      </c>
      <c r="B498" s="146">
        <v>7494.0</v>
      </c>
      <c r="C498" s="32"/>
    </row>
    <row r="499">
      <c r="A499" s="11">
        <v>9.70016199E8</v>
      </c>
      <c r="B499" s="146">
        <v>7495.0</v>
      </c>
      <c r="C499" s="32"/>
    </row>
    <row r="500">
      <c r="A500" s="11">
        <v>5.25963158E8</v>
      </c>
      <c r="B500" s="146">
        <v>7496.0</v>
      </c>
      <c r="C500" s="32"/>
    </row>
    <row r="501">
      <c r="A501" s="11">
        <v>5.8655483E8</v>
      </c>
      <c r="B501" s="146">
        <v>7497.0</v>
      </c>
      <c r="C501" s="32"/>
    </row>
    <row r="502">
      <c r="A502" s="11">
        <v>3.55621975E8</v>
      </c>
      <c r="B502" s="146">
        <v>7498.0</v>
      </c>
      <c r="C502" s="32"/>
    </row>
    <row r="503">
      <c r="A503" s="11">
        <v>1.66952192E8</v>
      </c>
      <c r="B503" s="146">
        <v>7499.0</v>
      </c>
      <c r="C503" s="32"/>
    </row>
    <row r="504">
      <c r="A504" s="11">
        <v>8.46360575E8</v>
      </c>
      <c r="B504" s="146">
        <v>7500.0</v>
      </c>
      <c r="C504" s="32"/>
    </row>
    <row r="505">
      <c r="A505" s="11">
        <v>6.51266718E8</v>
      </c>
      <c r="B505" s="146">
        <v>7501.0</v>
      </c>
      <c r="C505" s="32"/>
    </row>
    <row r="506">
      <c r="A506" s="11">
        <v>4.44665386E8</v>
      </c>
      <c r="B506" s="146">
        <v>7502.0</v>
      </c>
      <c r="C506" s="32"/>
    </row>
    <row r="507">
      <c r="A507" s="11">
        <v>3.28165284E8</v>
      </c>
      <c r="B507" s="146">
        <v>7503.0</v>
      </c>
      <c r="C507" s="32"/>
    </row>
    <row r="508">
      <c r="A508" s="11">
        <v>6.89917232E8</v>
      </c>
      <c r="B508" s="146">
        <v>7504.0</v>
      </c>
      <c r="C508" s="32"/>
    </row>
    <row r="509">
      <c r="A509" s="11">
        <v>6.04476803E8</v>
      </c>
      <c r="B509" s="146">
        <v>7505.0</v>
      </c>
      <c r="C509" s="32"/>
    </row>
    <row r="510">
      <c r="A510" s="11">
        <v>3.07381782E8</v>
      </c>
      <c r="B510" s="146">
        <v>7506.0</v>
      </c>
      <c r="C510" s="32"/>
    </row>
    <row r="511">
      <c r="A511" s="11">
        <v>9.44983549E8</v>
      </c>
      <c r="B511" s="146">
        <v>7507.0</v>
      </c>
      <c r="C511" s="32"/>
    </row>
    <row r="512">
      <c r="A512" s="11">
        <v>6.46209222E8</v>
      </c>
      <c r="B512" s="146">
        <v>7508.0</v>
      </c>
      <c r="C512" s="32"/>
    </row>
    <row r="513">
      <c r="A513" s="11">
        <v>8.85945263E8</v>
      </c>
      <c r="B513" s="146">
        <v>7509.0</v>
      </c>
      <c r="C513" s="32"/>
    </row>
    <row r="514">
      <c r="A514" s="11">
        <v>7.80258204E8</v>
      </c>
      <c r="B514" s="146">
        <v>7510.0</v>
      </c>
      <c r="C514" s="32"/>
    </row>
    <row r="515">
      <c r="A515" s="11">
        <v>7.57006418E8</v>
      </c>
      <c r="B515" s="146">
        <v>7511.0</v>
      </c>
      <c r="C515" s="32"/>
    </row>
    <row r="516">
      <c r="A516" s="11">
        <v>5.74101744E8</v>
      </c>
      <c r="B516" s="146">
        <v>7512.0</v>
      </c>
      <c r="C516" s="32"/>
    </row>
    <row r="517">
      <c r="A517" s="11">
        <v>2.01241092E8</v>
      </c>
      <c r="B517" s="146">
        <v>7513.0</v>
      </c>
      <c r="C517" s="32"/>
    </row>
    <row r="518">
      <c r="A518" s="11">
        <v>5.48808335E8</v>
      </c>
      <c r="B518" s="146">
        <v>7514.0</v>
      </c>
      <c r="C518" s="32"/>
    </row>
    <row r="519">
      <c r="A519" s="11">
        <v>7.96012648E8</v>
      </c>
      <c r="B519" s="146">
        <v>7515.0</v>
      </c>
      <c r="C519" s="32"/>
    </row>
    <row r="520">
      <c r="A520" s="11">
        <v>2.59640834E8</v>
      </c>
      <c r="B520" s="146">
        <v>7516.0</v>
      </c>
      <c r="C520" s="32"/>
    </row>
    <row r="521">
      <c r="A521" s="11">
        <v>4.16049106E8</v>
      </c>
      <c r="B521" s="146">
        <v>7517.0</v>
      </c>
      <c r="C521" s="32"/>
    </row>
    <row r="522">
      <c r="A522" s="11">
        <v>1.33292118E8</v>
      </c>
      <c r="B522" s="146">
        <v>7518.0</v>
      </c>
      <c r="C522" s="32"/>
    </row>
    <row r="523">
      <c r="A523" s="11">
        <v>7.16364746E8</v>
      </c>
      <c r="B523" s="146">
        <v>7519.0</v>
      </c>
      <c r="C523" s="32"/>
    </row>
    <row r="524">
      <c r="A524" s="11">
        <v>7.10976256E8</v>
      </c>
      <c r="B524" s="146">
        <v>7520.0</v>
      </c>
      <c r="C524" s="32"/>
    </row>
    <row r="525">
      <c r="A525" s="11">
        <v>4.62832825E8</v>
      </c>
      <c r="B525" s="146">
        <v>7521.0</v>
      </c>
      <c r="C525" s="32"/>
    </row>
    <row r="526">
      <c r="A526" s="11">
        <v>6.16828298E8</v>
      </c>
      <c r="B526" s="146">
        <v>7522.0</v>
      </c>
      <c r="C526" s="32"/>
    </row>
    <row r="527">
      <c r="A527" s="11">
        <v>4.20362932E8</v>
      </c>
      <c r="B527" s="146">
        <v>7523.0</v>
      </c>
      <c r="C527" s="32"/>
    </row>
    <row r="528">
      <c r="A528" s="11">
        <v>1.39935588E8</v>
      </c>
      <c r="B528" s="146">
        <v>7524.0</v>
      </c>
      <c r="C528" s="32"/>
    </row>
    <row r="529">
      <c r="A529" s="11">
        <v>2.76830243E8</v>
      </c>
      <c r="B529" s="146">
        <v>7525.0</v>
      </c>
      <c r="C529" s="32"/>
    </row>
    <row r="530">
      <c r="A530" s="11">
        <v>8.12055784E8</v>
      </c>
      <c r="B530" s="146">
        <v>7526.0</v>
      </c>
      <c r="C530" s="32"/>
    </row>
    <row r="531">
      <c r="A531" s="11">
        <v>2.11700451E8</v>
      </c>
      <c r="B531" s="146">
        <v>7527.0</v>
      </c>
      <c r="C531" s="32"/>
    </row>
    <row r="532">
      <c r="A532" s="11">
        <v>9.99937202E8</v>
      </c>
      <c r="B532" s="146">
        <v>7528.0</v>
      </c>
      <c r="C532" s="32"/>
    </row>
    <row r="533">
      <c r="A533" s="11">
        <v>3.91526008E8</v>
      </c>
      <c r="B533" s="146">
        <v>7529.0</v>
      </c>
      <c r="C533" s="32"/>
    </row>
    <row r="534">
      <c r="A534" s="11">
        <v>8.67678551E8</v>
      </c>
      <c r="B534" s="146">
        <v>7530.0</v>
      </c>
      <c r="C534" s="32"/>
    </row>
    <row r="535">
      <c r="A535" s="11">
        <v>3.53812422E8</v>
      </c>
      <c r="B535" s="146">
        <v>7531.0</v>
      </c>
      <c r="C535" s="32"/>
    </row>
    <row r="536">
      <c r="A536" s="11">
        <v>5.66967455E8</v>
      </c>
      <c r="B536" s="146">
        <v>7532.0</v>
      </c>
      <c r="C536" s="32"/>
    </row>
    <row r="537">
      <c r="A537" s="11">
        <v>4.18517254E8</v>
      </c>
      <c r="B537" s="146">
        <v>7533.0</v>
      </c>
      <c r="C537" s="32"/>
    </row>
    <row r="538">
      <c r="A538" s="11">
        <v>5.70069888E8</v>
      </c>
      <c r="B538" s="146">
        <v>7534.0</v>
      </c>
      <c r="C538" s="32"/>
    </row>
    <row r="539">
      <c r="A539" s="11">
        <v>7.36244947E8</v>
      </c>
      <c r="B539" s="146">
        <v>7535.0</v>
      </c>
      <c r="C539" s="32"/>
    </row>
    <row r="540">
      <c r="A540" s="11">
        <v>7.07799149E8</v>
      </c>
      <c r="B540" s="146">
        <v>7536.0</v>
      </c>
      <c r="C540" s="32"/>
    </row>
    <row r="541">
      <c r="A541" s="11">
        <v>4.07154894E8</v>
      </c>
      <c r="B541" s="146">
        <v>7537.0</v>
      </c>
      <c r="C541" s="32"/>
    </row>
    <row r="542">
      <c r="A542" s="11">
        <v>4.44503198E8</v>
      </c>
      <c r="B542" s="146">
        <v>7538.0</v>
      </c>
      <c r="C542" s="32"/>
    </row>
    <row r="543">
      <c r="A543" s="11">
        <v>2.25966194E8</v>
      </c>
      <c r="B543" s="146">
        <v>7539.0</v>
      </c>
      <c r="C543" s="32"/>
    </row>
    <row r="544">
      <c r="A544" s="11">
        <v>7.18592517E8</v>
      </c>
      <c r="B544" s="146">
        <v>7540.0</v>
      </c>
      <c r="C544" s="32"/>
    </row>
    <row r="545">
      <c r="A545" s="11">
        <v>2.39519464E8</v>
      </c>
      <c r="B545" s="146">
        <v>7541.0</v>
      </c>
      <c r="C545" s="32"/>
    </row>
    <row r="546">
      <c r="A546" s="11">
        <v>5.95845831E8</v>
      </c>
      <c r="B546" s="146">
        <v>7542.0</v>
      </c>
      <c r="C546" s="32"/>
    </row>
    <row r="547">
      <c r="A547" s="11">
        <v>5.87327077E8</v>
      </c>
      <c r="B547" s="146">
        <v>7543.0</v>
      </c>
      <c r="C547" s="32"/>
    </row>
    <row r="548">
      <c r="A548" s="11">
        <v>2.72993243E8</v>
      </c>
      <c r="B548" s="146">
        <v>7544.0</v>
      </c>
      <c r="C548" s="32"/>
    </row>
    <row r="549">
      <c r="A549" s="11">
        <v>2.89549322E8</v>
      </c>
      <c r="B549" s="146">
        <v>7545.0</v>
      </c>
      <c r="C549" s="32"/>
    </row>
    <row r="550">
      <c r="A550" s="11">
        <v>6.77318584E8</v>
      </c>
      <c r="B550" s="146">
        <v>7546.0</v>
      </c>
      <c r="C550" s="32"/>
    </row>
    <row r="551">
      <c r="A551" s="11">
        <v>7.80849006E8</v>
      </c>
      <c r="B551" s="146">
        <v>7547.0</v>
      </c>
      <c r="C551" s="32"/>
    </row>
    <row r="552">
      <c r="A552" s="11">
        <v>4.96162314E8</v>
      </c>
      <c r="B552" s="146">
        <v>7548.0</v>
      </c>
      <c r="C552" s="32"/>
    </row>
    <row r="553">
      <c r="A553" s="11">
        <v>9.44511737E8</v>
      </c>
      <c r="B553" s="146">
        <v>7549.0</v>
      </c>
      <c r="C553" s="32"/>
    </row>
    <row r="554">
      <c r="A554" s="11">
        <v>4.89080289E8</v>
      </c>
      <c r="B554" s="146">
        <v>7550.0</v>
      </c>
      <c r="C554" s="32"/>
    </row>
    <row r="555">
      <c r="A555" s="11">
        <v>1.87922274E8</v>
      </c>
      <c r="B555" s="146">
        <v>7551.0</v>
      </c>
      <c r="C555" s="32"/>
    </row>
    <row r="556">
      <c r="A556" s="11">
        <v>5.42621122E8</v>
      </c>
      <c r="B556" s="146">
        <v>7552.0</v>
      </c>
      <c r="C556" s="32"/>
    </row>
    <row r="557">
      <c r="A557" s="11">
        <v>7.16242454E8</v>
      </c>
      <c r="B557" s="146">
        <v>7553.0</v>
      </c>
      <c r="C557" s="32"/>
    </row>
    <row r="558">
      <c r="A558" s="11">
        <v>9.04853588E8</v>
      </c>
      <c r="B558" s="146">
        <v>7554.0</v>
      </c>
      <c r="C558" s="32"/>
    </row>
    <row r="559">
      <c r="A559" s="11">
        <v>5.4810826E8</v>
      </c>
      <c r="B559" s="146">
        <v>7555.0</v>
      </c>
      <c r="C559" s="32"/>
    </row>
    <row r="560">
      <c r="A560" s="11">
        <v>7.28111046E8</v>
      </c>
      <c r="B560" s="146">
        <v>7556.0</v>
      </c>
      <c r="C560" s="32"/>
    </row>
    <row r="561">
      <c r="A561" s="11">
        <v>4.43919678E8</v>
      </c>
      <c r="B561" s="146">
        <v>7557.0</v>
      </c>
      <c r="C561" s="32"/>
    </row>
    <row r="562">
      <c r="A562" s="11">
        <v>5.52936314E8</v>
      </c>
      <c r="B562" s="146">
        <v>7558.0</v>
      </c>
      <c r="C562" s="32"/>
    </row>
    <row r="563">
      <c r="A563" s="11">
        <v>3.66915047E8</v>
      </c>
      <c r="B563" s="146">
        <v>7559.0</v>
      </c>
      <c r="C563" s="32"/>
    </row>
    <row r="564">
      <c r="A564" s="11">
        <v>3.30070652E8</v>
      </c>
      <c r="B564" s="146">
        <v>7560.0</v>
      </c>
      <c r="C564" s="32"/>
    </row>
    <row r="565">
      <c r="A565" s="11">
        <v>2.89623425E8</v>
      </c>
      <c r="B565" s="146">
        <v>7561.0</v>
      </c>
      <c r="C565" s="32"/>
    </row>
    <row r="566">
      <c r="A566" s="11">
        <v>2.51348084E8</v>
      </c>
      <c r="B566" s="146">
        <v>7562.0</v>
      </c>
      <c r="C566" s="32"/>
    </row>
    <row r="567">
      <c r="A567" s="11">
        <v>4.31475435E8</v>
      </c>
      <c r="B567" s="146">
        <v>7563.0</v>
      </c>
      <c r="C567" s="32"/>
    </row>
    <row r="568">
      <c r="A568" s="11">
        <v>6.45007746E8</v>
      </c>
      <c r="B568" s="146">
        <v>7564.0</v>
      </c>
      <c r="C568" s="32"/>
    </row>
    <row r="569">
      <c r="A569" s="11">
        <v>5.32451566E8</v>
      </c>
      <c r="B569" s="146">
        <v>7565.0</v>
      </c>
      <c r="C569" s="32"/>
    </row>
    <row r="570">
      <c r="A570" s="11">
        <v>7.91171941E8</v>
      </c>
      <c r="B570" s="146">
        <v>7566.0</v>
      </c>
      <c r="C570" s="32"/>
    </row>
    <row r="571">
      <c r="A571" s="11">
        <v>6.82657038E8</v>
      </c>
      <c r="B571" s="146">
        <v>7567.0</v>
      </c>
      <c r="C571" s="32"/>
    </row>
    <row r="572">
      <c r="A572" s="11">
        <v>2.48430325E8</v>
      </c>
      <c r="B572" s="146">
        <v>7568.0</v>
      </c>
      <c r="C572" s="32"/>
    </row>
    <row r="573">
      <c r="A573" s="11">
        <v>5.71888424E8</v>
      </c>
      <c r="B573" s="146">
        <v>7569.0</v>
      </c>
      <c r="C573" s="32"/>
    </row>
    <row r="574">
      <c r="A574" s="11">
        <v>6.03509919E8</v>
      </c>
      <c r="B574" s="146">
        <v>7570.0</v>
      </c>
      <c r="C574" s="32"/>
    </row>
    <row r="575">
      <c r="A575" s="11">
        <v>7.92127079E8</v>
      </c>
      <c r="B575" s="146">
        <v>7571.0</v>
      </c>
      <c r="C575" s="32"/>
    </row>
    <row r="576">
      <c r="A576" s="11">
        <v>8.75344203E8</v>
      </c>
      <c r="B576" s="146">
        <v>7572.0</v>
      </c>
      <c r="C576" s="32"/>
    </row>
    <row r="577">
      <c r="A577" s="11">
        <v>8.9853478E8</v>
      </c>
      <c r="B577" s="146">
        <v>7573.0</v>
      </c>
      <c r="C577" s="32"/>
    </row>
    <row r="578">
      <c r="A578" s="11">
        <v>3.80850861E8</v>
      </c>
      <c r="B578" s="146">
        <v>7574.0</v>
      </c>
      <c r="C578" s="32"/>
    </row>
    <row r="579">
      <c r="A579" s="11">
        <v>6.71476352E8</v>
      </c>
      <c r="B579" s="146">
        <v>7575.0</v>
      </c>
      <c r="C579" s="32"/>
    </row>
    <row r="580">
      <c r="A580" s="11">
        <v>9.42217267E8</v>
      </c>
      <c r="B580" s="146">
        <v>7576.0</v>
      </c>
      <c r="C580" s="32"/>
    </row>
    <row r="581">
      <c r="A581" s="11">
        <v>1.47555999E8</v>
      </c>
      <c r="B581" s="146">
        <v>7577.0</v>
      </c>
      <c r="C581" s="32"/>
    </row>
    <row r="582">
      <c r="A582" s="11">
        <v>8.68438769E8</v>
      </c>
      <c r="B582" s="146">
        <v>7578.0</v>
      </c>
      <c r="C582" s="32"/>
    </row>
    <row r="583">
      <c r="A583" s="11">
        <v>4.09427146E8</v>
      </c>
      <c r="B583" s="146">
        <v>7579.0</v>
      </c>
      <c r="C583" s="32"/>
    </row>
    <row r="584">
      <c r="A584" s="11">
        <v>4.53335189E8</v>
      </c>
      <c r="B584" s="146">
        <v>7580.0</v>
      </c>
      <c r="C584" s="32"/>
    </row>
    <row r="585">
      <c r="A585" s="11">
        <v>3.77549138E8</v>
      </c>
      <c r="B585" s="146">
        <v>7581.0</v>
      </c>
      <c r="C585" s="32"/>
    </row>
    <row r="586">
      <c r="A586" s="11">
        <v>6.05216813E8</v>
      </c>
      <c r="B586" s="146">
        <v>7582.0</v>
      </c>
      <c r="C586" s="32"/>
    </row>
    <row r="587">
      <c r="A587" s="11">
        <v>7.29019544E8</v>
      </c>
      <c r="B587" s="146">
        <v>7583.0</v>
      </c>
      <c r="C587" s="32"/>
    </row>
    <row r="588">
      <c r="A588" s="11">
        <v>4.94574482E8</v>
      </c>
      <c r="B588" s="146">
        <v>7584.0</v>
      </c>
      <c r="C588" s="32"/>
    </row>
    <row r="589">
      <c r="A589" s="11">
        <v>1.04270534E8</v>
      </c>
      <c r="B589" s="146">
        <v>7585.0</v>
      </c>
      <c r="C589" s="32"/>
    </row>
    <row r="590">
      <c r="A590" s="11">
        <v>6.38163209E8</v>
      </c>
      <c r="B590" s="146">
        <v>7586.0</v>
      </c>
      <c r="C590" s="32"/>
    </row>
    <row r="591">
      <c r="A591" s="11">
        <v>6.02605067E8</v>
      </c>
      <c r="B591" s="146">
        <v>7587.0</v>
      </c>
      <c r="C591" s="32"/>
    </row>
    <row r="592">
      <c r="A592" s="11">
        <v>8.47733651E8</v>
      </c>
      <c r="B592" s="146">
        <v>7588.0</v>
      </c>
      <c r="C592" s="32"/>
    </row>
    <row r="593">
      <c r="A593" s="11">
        <v>3.88246824E8</v>
      </c>
      <c r="B593" s="146">
        <v>7589.0</v>
      </c>
      <c r="C593" s="32"/>
    </row>
    <row r="594">
      <c r="A594" s="11">
        <v>8.64343711E8</v>
      </c>
      <c r="B594" s="146">
        <v>7590.0</v>
      </c>
      <c r="C594" s="32"/>
    </row>
    <row r="595">
      <c r="A595" s="11">
        <v>1.05624914E8</v>
      </c>
      <c r="B595" s="146">
        <v>7591.0</v>
      </c>
      <c r="C595" s="32"/>
    </row>
    <row r="596">
      <c r="A596" s="11">
        <v>2.66692568E8</v>
      </c>
      <c r="B596" s="146">
        <v>7592.0</v>
      </c>
      <c r="C596" s="32"/>
    </row>
    <row r="597">
      <c r="A597" s="11">
        <v>5.13742196E8</v>
      </c>
      <c r="B597" s="146">
        <v>7593.0</v>
      </c>
      <c r="C597" s="32"/>
    </row>
    <row r="598">
      <c r="A598" s="11">
        <v>7.30382404E8</v>
      </c>
      <c r="B598" s="146">
        <v>7594.0</v>
      </c>
      <c r="C598" s="32"/>
    </row>
    <row r="599">
      <c r="A599" s="11">
        <v>3.98495359E8</v>
      </c>
      <c r="B599" s="146">
        <v>7595.0</v>
      </c>
      <c r="C599" s="32"/>
    </row>
    <row r="600">
      <c r="A600" s="11">
        <v>9.97540936E8</v>
      </c>
      <c r="B600" s="146">
        <v>7596.0</v>
      </c>
      <c r="C600" s="32"/>
    </row>
    <row r="601">
      <c r="A601" s="11">
        <v>7.57868883E8</v>
      </c>
      <c r="B601" s="146">
        <v>7597.0</v>
      </c>
      <c r="C601" s="32"/>
    </row>
    <row r="602">
      <c r="A602" s="11">
        <v>1.12255578E8</v>
      </c>
      <c r="B602" s="146">
        <v>7598.0</v>
      </c>
      <c r="C602" s="32"/>
    </row>
    <row r="603">
      <c r="A603" s="11">
        <v>5.57896066E8</v>
      </c>
      <c r="B603" s="146">
        <v>7599.0</v>
      </c>
      <c r="C603" s="32"/>
    </row>
    <row r="604">
      <c r="A604" s="11">
        <v>5.57964904E8</v>
      </c>
      <c r="B604" s="146">
        <v>7600.0</v>
      </c>
      <c r="C604" s="32"/>
    </row>
    <row r="605">
      <c r="A605" s="11">
        <v>9.067249E8</v>
      </c>
      <c r="B605" s="146">
        <v>7601.0</v>
      </c>
      <c r="C605" s="32"/>
    </row>
    <row r="606">
      <c r="A606" s="11">
        <v>7.16979089E8</v>
      </c>
      <c r="B606" s="146">
        <v>7602.0</v>
      </c>
      <c r="C606" s="32"/>
    </row>
    <row r="607">
      <c r="A607" s="11">
        <v>2.11586632E8</v>
      </c>
      <c r="B607" s="146">
        <v>7603.0</v>
      </c>
      <c r="C607" s="32"/>
    </row>
    <row r="608">
      <c r="A608" s="11">
        <v>2.52418873E8</v>
      </c>
      <c r="B608" s="146">
        <v>7604.0</v>
      </c>
      <c r="C608" s="32"/>
    </row>
    <row r="609">
      <c r="A609" s="11">
        <v>2.69837445E8</v>
      </c>
      <c r="B609" s="146">
        <v>7605.0</v>
      </c>
      <c r="C609" s="32"/>
    </row>
    <row r="610">
      <c r="A610" s="11">
        <v>4.62996606E8</v>
      </c>
      <c r="B610" s="146">
        <v>7606.0</v>
      </c>
      <c r="C610" s="32"/>
    </row>
    <row r="611">
      <c r="A611" s="11">
        <v>7.71492533E8</v>
      </c>
      <c r="B611" s="146">
        <v>7607.0</v>
      </c>
      <c r="C611" s="32"/>
    </row>
    <row r="612">
      <c r="A612" s="11">
        <v>5.27572326E8</v>
      </c>
      <c r="B612" s="146">
        <v>7608.0</v>
      </c>
      <c r="C612" s="32"/>
    </row>
    <row r="613">
      <c r="A613" s="11">
        <v>3.83480167E8</v>
      </c>
      <c r="B613" s="146">
        <v>7609.0</v>
      </c>
      <c r="C613" s="32"/>
    </row>
    <row r="614">
      <c r="A614" s="11">
        <v>3.46138989E8</v>
      </c>
      <c r="B614" s="146">
        <v>7610.0</v>
      </c>
      <c r="C614" s="32"/>
    </row>
    <row r="615">
      <c r="A615" s="11">
        <v>4.88050223E8</v>
      </c>
      <c r="B615" s="146">
        <v>7611.0</v>
      </c>
      <c r="C615" s="32"/>
    </row>
    <row r="616">
      <c r="A616" s="11">
        <v>6.3542987E8</v>
      </c>
      <c r="B616" s="146">
        <v>7612.0</v>
      </c>
      <c r="C616" s="32"/>
    </row>
    <row r="617">
      <c r="A617" s="11">
        <v>9.35697879E8</v>
      </c>
      <c r="B617" s="146">
        <v>7613.0</v>
      </c>
      <c r="C617" s="32"/>
    </row>
    <row r="618">
      <c r="A618" s="11">
        <v>2.17395553E8</v>
      </c>
      <c r="B618" s="146">
        <v>7614.0</v>
      </c>
      <c r="C618" s="32"/>
    </row>
    <row r="619">
      <c r="A619" s="11">
        <v>4.29236609E8</v>
      </c>
      <c r="B619" s="146">
        <v>7615.0</v>
      </c>
      <c r="C619" s="32"/>
    </row>
    <row r="620">
      <c r="A620" s="11">
        <v>6.89528844E8</v>
      </c>
      <c r="B620" s="146">
        <v>7616.0</v>
      </c>
      <c r="C620" s="32"/>
    </row>
    <row r="621">
      <c r="A621" s="11">
        <v>7.4516028E8</v>
      </c>
      <c r="B621" s="146">
        <v>7617.0</v>
      </c>
      <c r="C621" s="32"/>
    </row>
    <row r="622">
      <c r="A622" s="11">
        <v>8.73022776E8</v>
      </c>
      <c r="B622" s="146">
        <v>7618.0</v>
      </c>
      <c r="C622" s="32"/>
    </row>
    <row r="623">
      <c r="A623" s="11">
        <v>6.17093615E8</v>
      </c>
      <c r="B623" s="146">
        <v>7619.0</v>
      </c>
      <c r="C623" s="32"/>
    </row>
    <row r="624">
      <c r="A624" s="11">
        <v>5.29536769E8</v>
      </c>
      <c r="B624" s="146">
        <v>7620.0</v>
      </c>
      <c r="C624" s="32"/>
    </row>
    <row r="625">
      <c r="A625" s="11">
        <v>1.1657631E8</v>
      </c>
      <c r="B625" s="146">
        <v>7621.0</v>
      </c>
      <c r="C625" s="32"/>
    </row>
    <row r="626">
      <c r="A626" s="11">
        <v>5.79866823E8</v>
      </c>
      <c r="B626" s="146">
        <v>7622.0</v>
      </c>
      <c r="C626" s="32"/>
    </row>
    <row r="627">
      <c r="A627" s="11">
        <v>9.62164328E8</v>
      </c>
      <c r="B627" s="146">
        <v>7623.0</v>
      </c>
      <c r="C627" s="32"/>
    </row>
    <row r="628">
      <c r="A628" s="11">
        <v>8.91497241E8</v>
      </c>
      <c r="B628" s="146">
        <v>7624.0</v>
      </c>
      <c r="C628" s="32"/>
    </row>
    <row r="629">
      <c r="A629" s="11">
        <v>8.72124264E8</v>
      </c>
      <c r="B629" s="146">
        <v>7625.0</v>
      </c>
      <c r="C629" s="32"/>
    </row>
    <row r="630">
      <c r="A630" s="11">
        <v>2.00997937E8</v>
      </c>
      <c r="B630" s="146">
        <v>7626.0</v>
      </c>
      <c r="C630" s="32"/>
    </row>
    <row r="631">
      <c r="A631" s="11">
        <v>6.78790085E8</v>
      </c>
      <c r="B631" s="146">
        <v>7627.0</v>
      </c>
      <c r="C631" s="32"/>
    </row>
    <row r="632">
      <c r="A632" s="11">
        <v>4.96620864E8</v>
      </c>
      <c r="B632" s="146">
        <v>7628.0</v>
      </c>
      <c r="C632" s="32"/>
    </row>
    <row r="633">
      <c r="A633" s="11">
        <v>9.33446403E8</v>
      </c>
      <c r="B633" s="146">
        <v>7629.0</v>
      </c>
      <c r="C633" s="32"/>
    </row>
    <row r="634">
      <c r="A634" s="11">
        <v>6.9180154E8</v>
      </c>
      <c r="B634" s="146">
        <v>7630.0</v>
      </c>
      <c r="C634" s="32"/>
    </row>
    <row r="635">
      <c r="A635" s="11">
        <v>4.85487922E8</v>
      </c>
      <c r="B635" s="146">
        <v>7631.0</v>
      </c>
      <c r="C635" s="32"/>
    </row>
    <row r="636">
      <c r="A636" s="11">
        <v>1.01159007E8</v>
      </c>
      <c r="B636" s="146">
        <v>7632.0</v>
      </c>
      <c r="C636" s="32"/>
    </row>
    <row r="637">
      <c r="A637" s="11">
        <v>7.25194975E8</v>
      </c>
      <c r="B637" s="146">
        <v>7633.0</v>
      </c>
      <c r="C637" s="32"/>
    </row>
    <row r="638">
      <c r="A638" s="11">
        <v>7.14936985E8</v>
      </c>
      <c r="B638" s="146">
        <v>7634.0</v>
      </c>
      <c r="C638" s="32"/>
    </row>
    <row r="639">
      <c r="A639" s="11">
        <v>8.27670735E8</v>
      </c>
      <c r="B639" s="146">
        <v>7635.0</v>
      </c>
      <c r="C639" s="32"/>
    </row>
    <row r="640">
      <c r="A640" s="11">
        <v>6.01925873E8</v>
      </c>
      <c r="B640" s="146">
        <v>7636.0</v>
      </c>
      <c r="C640" s="32"/>
    </row>
    <row r="641">
      <c r="A641" s="11">
        <v>2.7028954E8</v>
      </c>
      <c r="B641" s="146">
        <v>7637.0</v>
      </c>
      <c r="C641" s="32"/>
    </row>
    <row r="642">
      <c r="A642" s="11">
        <v>9.79565857E8</v>
      </c>
      <c r="B642" s="146">
        <v>7638.0</v>
      </c>
      <c r="C642" s="32"/>
    </row>
    <row r="643">
      <c r="A643" s="11">
        <v>6.66076372E8</v>
      </c>
      <c r="B643" s="146">
        <v>7639.0</v>
      </c>
      <c r="C643" s="32"/>
    </row>
    <row r="644">
      <c r="A644" s="11">
        <v>3.59013323E8</v>
      </c>
      <c r="B644" s="146">
        <v>7640.0</v>
      </c>
      <c r="C644" s="32"/>
    </row>
    <row r="645">
      <c r="A645" s="11">
        <v>4.28977594E8</v>
      </c>
      <c r="B645" s="146">
        <v>7641.0</v>
      </c>
      <c r="C645" s="32"/>
    </row>
    <row r="646">
      <c r="A646" s="11">
        <v>5.64996131E8</v>
      </c>
      <c r="B646" s="146">
        <v>7642.0</v>
      </c>
      <c r="C646" s="32"/>
    </row>
    <row r="647">
      <c r="A647" s="11">
        <v>7.50926071E8</v>
      </c>
      <c r="B647" s="146">
        <v>7643.0</v>
      </c>
      <c r="C647" s="32"/>
    </row>
    <row r="648">
      <c r="A648" s="11">
        <v>2.89316712E8</v>
      </c>
      <c r="B648" s="146">
        <v>7644.0</v>
      </c>
      <c r="C648" s="32"/>
    </row>
    <row r="649">
      <c r="A649" s="11">
        <v>2.11418628E8</v>
      </c>
      <c r="B649" s="146">
        <v>7645.0</v>
      </c>
      <c r="C649" s="32"/>
    </row>
    <row r="650">
      <c r="A650" s="11">
        <v>5.4760036E8</v>
      </c>
      <c r="B650" s="146">
        <v>7646.0</v>
      </c>
      <c r="C650" s="32"/>
    </row>
    <row r="651">
      <c r="A651" s="11">
        <v>6.17863952E8</v>
      </c>
      <c r="B651" s="146">
        <v>7647.0</v>
      </c>
      <c r="C651" s="32"/>
    </row>
    <row r="652">
      <c r="A652" s="11">
        <v>6.81278151E8</v>
      </c>
      <c r="B652" s="146">
        <v>7648.0</v>
      </c>
      <c r="C652" s="32"/>
    </row>
    <row r="653">
      <c r="A653" s="11">
        <v>5.22551035E8</v>
      </c>
      <c r="B653" s="146">
        <v>7649.0</v>
      </c>
      <c r="C653" s="32"/>
    </row>
    <row r="654">
      <c r="A654" s="11">
        <v>7.75531274E8</v>
      </c>
      <c r="B654" s="146">
        <v>7650.0</v>
      </c>
      <c r="C654" s="32"/>
    </row>
    <row r="655">
      <c r="A655" s="11">
        <v>4.23728474E8</v>
      </c>
      <c r="B655" s="146">
        <v>7651.0</v>
      </c>
      <c r="C655" s="32"/>
    </row>
    <row r="656">
      <c r="A656" s="11">
        <v>3.83867898E8</v>
      </c>
      <c r="B656" s="146">
        <v>7652.0</v>
      </c>
      <c r="C656" s="32"/>
    </row>
    <row r="657">
      <c r="A657" s="11">
        <v>7.74782518E8</v>
      </c>
      <c r="B657" s="146">
        <v>7653.0</v>
      </c>
      <c r="C657" s="32"/>
    </row>
    <row r="658">
      <c r="A658" s="11">
        <v>1.55902991E8</v>
      </c>
      <c r="B658" s="146">
        <v>7654.0</v>
      </c>
      <c r="C658" s="32"/>
    </row>
    <row r="659">
      <c r="A659" s="11">
        <v>4.70208723E8</v>
      </c>
      <c r="B659" s="146">
        <v>7655.0</v>
      </c>
      <c r="C659" s="32"/>
    </row>
    <row r="660">
      <c r="A660" s="11">
        <v>6.28596846E8</v>
      </c>
      <c r="B660" s="146">
        <v>7656.0</v>
      </c>
      <c r="C660" s="32"/>
    </row>
    <row r="661">
      <c r="A661" s="11">
        <v>8.4156294E8</v>
      </c>
      <c r="B661" s="146">
        <v>7657.0</v>
      </c>
      <c r="C661" s="32"/>
    </row>
    <row r="662">
      <c r="A662" s="11">
        <v>2.06546223E8</v>
      </c>
      <c r="B662" s="146">
        <v>7658.0</v>
      </c>
      <c r="C662" s="32"/>
    </row>
    <row r="663">
      <c r="A663" s="11">
        <v>2.83789862E8</v>
      </c>
      <c r="B663" s="146">
        <v>7659.0</v>
      </c>
      <c r="C663" s="32"/>
    </row>
    <row r="664">
      <c r="A664" s="11">
        <v>3.32354446E8</v>
      </c>
      <c r="B664" s="146">
        <v>7660.0</v>
      </c>
      <c r="C664" s="32"/>
    </row>
    <row r="665">
      <c r="A665" s="11">
        <v>5.47169821E8</v>
      </c>
      <c r="B665" s="146">
        <v>7661.0</v>
      </c>
      <c r="C665" s="32"/>
    </row>
    <row r="666">
      <c r="A666" s="11">
        <v>6.4958917E8</v>
      </c>
      <c r="B666" s="146">
        <v>7662.0</v>
      </c>
      <c r="C666" s="32"/>
    </row>
    <row r="667">
      <c r="A667" s="11">
        <v>1.9198668E8</v>
      </c>
      <c r="B667" s="146">
        <v>7663.0</v>
      </c>
      <c r="C667" s="32"/>
    </row>
    <row r="668">
      <c r="A668" s="11">
        <v>6.2890783E8</v>
      </c>
      <c r="B668" s="146">
        <v>7664.0</v>
      </c>
      <c r="C668" s="32"/>
    </row>
    <row r="669">
      <c r="A669" s="11">
        <v>7.90065645E8</v>
      </c>
      <c r="B669" s="146">
        <v>7665.0</v>
      </c>
      <c r="C669" s="32"/>
    </row>
    <row r="670">
      <c r="A670" s="11">
        <v>6.9191459E8</v>
      </c>
      <c r="B670" s="146">
        <v>7666.0</v>
      </c>
      <c r="C670" s="32"/>
    </row>
    <row r="671">
      <c r="A671" s="11">
        <v>2.35012572E8</v>
      </c>
      <c r="B671" s="146">
        <v>7667.0</v>
      </c>
      <c r="C671" s="32"/>
    </row>
    <row r="672">
      <c r="A672" s="11">
        <v>9.21656399E8</v>
      </c>
      <c r="B672" s="146">
        <v>7668.0</v>
      </c>
      <c r="C672" s="32"/>
    </row>
    <row r="673">
      <c r="A673" s="11">
        <v>5.07859251E8</v>
      </c>
      <c r="B673" s="146">
        <v>7669.0</v>
      </c>
      <c r="C673" s="32"/>
    </row>
    <row r="674">
      <c r="A674" s="11">
        <v>4.9366679E8</v>
      </c>
      <c r="B674" s="146">
        <v>7670.0</v>
      </c>
      <c r="C674" s="32"/>
    </row>
    <row r="675">
      <c r="A675" s="11">
        <v>4.7695374E8</v>
      </c>
      <c r="B675" s="146">
        <v>7671.0</v>
      </c>
      <c r="C675" s="32"/>
    </row>
    <row r="676">
      <c r="A676" s="11">
        <v>8.95162547E8</v>
      </c>
      <c r="B676" s="146">
        <v>7672.0</v>
      </c>
      <c r="C676" s="32"/>
    </row>
    <row r="677">
      <c r="A677" s="11">
        <v>3.2252711E8</v>
      </c>
      <c r="B677" s="146">
        <v>7673.0</v>
      </c>
      <c r="C677" s="32"/>
    </row>
    <row r="678">
      <c r="A678" s="11">
        <v>4.81756297E8</v>
      </c>
      <c r="B678" s="146">
        <v>7674.0</v>
      </c>
      <c r="C678" s="32"/>
    </row>
    <row r="679">
      <c r="A679" s="11">
        <v>4.03673758E8</v>
      </c>
      <c r="B679" s="146">
        <v>7675.0</v>
      </c>
      <c r="C679" s="32"/>
    </row>
    <row r="680">
      <c r="A680" s="11">
        <v>7.1305319E8</v>
      </c>
      <c r="B680" s="146">
        <v>7676.0</v>
      </c>
      <c r="C680" s="32"/>
    </row>
    <row r="681">
      <c r="A681" s="11">
        <v>5.29308925E8</v>
      </c>
      <c r="B681" s="146">
        <v>7677.0</v>
      </c>
      <c r="C681" s="32"/>
    </row>
    <row r="682">
      <c r="A682" s="11">
        <v>7.38363921E8</v>
      </c>
      <c r="B682" s="146">
        <v>7678.0</v>
      </c>
      <c r="C682" s="32"/>
    </row>
    <row r="683">
      <c r="A683" s="11">
        <v>7.57166116E8</v>
      </c>
      <c r="B683" s="146">
        <v>7679.0</v>
      </c>
      <c r="C683" s="32"/>
    </row>
    <row r="684">
      <c r="A684" s="11">
        <v>3.40167827E8</v>
      </c>
      <c r="B684" s="146">
        <v>7680.0</v>
      </c>
      <c r="C684" s="32"/>
    </row>
    <row r="685">
      <c r="A685" s="11">
        <v>1.50744507E8</v>
      </c>
      <c r="B685" s="146">
        <v>7681.0</v>
      </c>
      <c r="C685" s="32"/>
    </row>
    <row r="686">
      <c r="A686" s="11">
        <v>1.52156363E8</v>
      </c>
      <c r="B686" s="146">
        <v>7682.0</v>
      </c>
      <c r="C686" s="32"/>
    </row>
    <row r="687">
      <c r="A687" s="11">
        <v>2.38576232E8</v>
      </c>
      <c r="B687" s="146">
        <v>7683.0</v>
      </c>
      <c r="C687" s="32"/>
    </row>
    <row r="688">
      <c r="A688" s="11">
        <v>7.24605441E8</v>
      </c>
      <c r="B688" s="146">
        <v>7684.0</v>
      </c>
      <c r="C688" s="32"/>
    </row>
    <row r="689">
      <c r="A689" s="11">
        <v>3.91918462E8</v>
      </c>
      <c r="B689" s="146">
        <v>7685.0</v>
      </c>
      <c r="C689" s="32"/>
    </row>
    <row r="690">
      <c r="A690" s="11">
        <v>9.11960951E8</v>
      </c>
      <c r="B690" s="146">
        <v>7686.0</v>
      </c>
      <c r="C690" s="32"/>
    </row>
    <row r="691">
      <c r="A691" s="11">
        <v>6.10931475E8</v>
      </c>
      <c r="B691" s="146">
        <v>7687.0</v>
      </c>
      <c r="C691" s="32"/>
    </row>
    <row r="692">
      <c r="A692" s="11">
        <v>4.89900623E8</v>
      </c>
      <c r="B692" s="146">
        <v>7688.0</v>
      </c>
      <c r="C692" s="32"/>
    </row>
    <row r="693">
      <c r="A693" s="11">
        <v>8.52705831E8</v>
      </c>
      <c r="B693" s="146">
        <v>7689.0</v>
      </c>
      <c r="C693" s="32"/>
    </row>
    <row r="694">
      <c r="A694" s="11">
        <v>7.05269718E8</v>
      </c>
      <c r="B694" s="146">
        <v>7690.0</v>
      </c>
      <c r="C694" s="32"/>
    </row>
    <row r="695">
      <c r="A695" s="11">
        <v>7.36259159E8</v>
      </c>
      <c r="B695" s="146">
        <v>7691.0</v>
      </c>
      <c r="C695" s="32"/>
    </row>
    <row r="696">
      <c r="A696" s="11">
        <v>1.65975668E8</v>
      </c>
      <c r="B696" s="146">
        <v>7692.0</v>
      </c>
      <c r="C696" s="32"/>
    </row>
    <row r="697">
      <c r="A697" s="11">
        <v>6.70262815E8</v>
      </c>
      <c r="B697" s="146">
        <v>7693.0</v>
      </c>
      <c r="C697" s="32"/>
    </row>
    <row r="698">
      <c r="A698" s="11">
        <v>2.37337025E8</v>
      </c>
      <c r="B698" s="146">
        <v>7694.0</v>
      </c>
      <c r="C698" s="32"/>
    </row>
    <row r="699">
      <c r="A699" s="11">
        <v>6.83423678E8</v>
      </c>
      <c r="B699" s="146">
        <v>7695.0</v>
      </c>
      <c r="C699" s="32"/>
    </row>
    <row r="700">
      <c r="A700" s="11">
        <v>8.5130693E8</v>
      </c>
      <c r="B700" s="146">
        <v>7696.0</v>
      </c>
      <c r="C700" s="32"/>
    </row>
    <row r="701">
      <c r="A701" s="11">
        <v>4.80724612E8</v>
      </c>
      <c r="B701" s="146">
        <v>7697.0</v>
      </c>
      <c r="C701" s="32"/>
    </row>
    <row r="702">
      <c r="A702" s="11">
        <v>8.82014804E8</v>
      </c>
      <c r="B702" s="146">
        <v>7698.0</v>
      </c>
      <c r="C702" s="32"/>
    </row>
    <row r="703">
      <c r="A703" s="11">
        <v>4.92123791E8</v>
      </c>
      <c r="B703" s="146">
        <v>7699.0</v>
      </c>
      <c r="C703" s="32"/>
    </row>
    <row r="704">
      <c r="A704" s="11">
        <v>8.06553539E8</v>
      </c>
      <c r="B704" s="146">
        <v>7700.0</v>
      </c>
      <c r="C704" s="32"/>
    </row>
    <row r="705">
      <c r="A705" s="11">
        <v>2.3888016E8</v>
      </c>
      <c r="B705" s="146">
        <v>7701.0</v>
      </c>
      <c r="C705" s="32"/>
    </row>
    <row r="706">
      <c r="A706" s="11">
        <v>6.36516726E8</v>
      </c>
      <c r="B706" s="146">
        <v>7702.0</v>
      </c>
      <c r="C706" s="32"/>
    </row>
    <row r="707">
      <c r="A707" s="11">
        <v>3.87010282E8</v>
      </c>
      <c r="B707" s="146">
        <v>7703.0</v>
      </c>
      <c r="C707" s="32"/>
    </row>
    <row r="708">
      <c r="A708" s="11">
        <v>2.81196503E8</v>
      </c>
      <c r="B708" s="146">
        <v>7704.0</v>
      </c>
      <c r="C708" s="32"/>
    </row>
    <row r="709">
      <c r="A709" s="11">
        <v>1.01676517E8</v>
      </c>
      <c r="B709" s="146">
        <v>7705.0</v>
      </c>
      <c r="C709" s="32"/>
    </row>
    <row r="710">
      <c r="A710" s="11">
        <v>6.1077567E8</v>
      </c>
      <c r="B710" s="146">
        <v>7706.0</v>
      </c>
      <c r="C710" s="32"/>
    </row>
    <row r="711">
      <c r="A711" s="11">
        <v>3.85789177E8</v>
      </c>
      <c r="B711" s="146">
        <v>7707.0</v>
      </c>
      <c r="C711" s="32"/>
    </row>
    <row r="712">
      <c r="A712" s="11">
        <v>2.05489476E8</v>
      </c>
      <c r="B712" s="146">
        <v>7708.0</v>
      </c>
      <c r="C712" s="32"/>
    </row>
    <row r="713">
      <c r="A713" s="11">
        <v>9.41648437E8</v>
      </c>
      <c r="B713" s="146">
        <v>7709.0</v>
      </c>
      <c r="C713" s="32"/>
    </row>
    <row r="714">
      <c r="A714" s="11">
        <v>3.44413252E8</v>
      </c>
      <c r="B714" s="146">
        <v>7710.0</v>
      </c>
      <c r="C714" s="32"/>
    </row>
    <row r="715">
      <c r="A715" s="11">
        <v>8.12087827E8</v>
      </c>
      <c r="B715" s="146">
        <v>7711.0</v>
      </c>
      <c r="C715" s="32"/>
    </row>
    <row r="716">
      <c r="A716" s="11">
        <v>9.71268458E8</v>
      </c>
      <c r="B716" s="146">
        <v>7712.0</v>
      </c>
      <c r="C716" s="32"/>
    </row>
    <row r="717">
      <c r="A717" s="11">
        <v>4.80203693E8</v>
      </c>
      <c r="B717" s="146">
        <v>7713.0</v>
      </c>
      <c r="C717" s="32"/>
    </row>
    <row r="718">
      <c r="A718" s="11">
        <v>9.06158254E8</v>
      </c>
      <c r="B718" s="146">
        <v>7714.0</v>
      </c>
      <c r="C718" s="32"/>
    </row>
    <row r="719">
      <c r="A719" s="11">
        <v>5.10916531E8</v>
      </c>
      <c r="B719" s="146">
        <v>7715.0</v>
      </c>
      <c r="C719" s="32"/>
    </row>
    <row r="720">
      <c r="A720" s="11">
        <v>9.74285622E8</v>
      </c>
      <c r="B720" s="146">
        <v>7716.0</v>
      </c>
      <c r="C720" s="32"/>
    </row>
    <row r="721">
      <c r="A721" s="11">
        <v>6.1482222E8</v>
      </c>
      <c r="B721" s="146">
        <v>7717.0</v>
      </c>
      <c r="C721" s="32"/>
    </row>
    <row r="722">
      <c r="A722" s="11">
        <v>6.31053824E8</v>
      </c>
      <c r="B722" s="146">
        <v>7718.0</v>
      </c>
      <c r="C722" s="32"/>
    </row>
    <row r="723">
      <c r="A723" s="11">
        <v>8.27765774E8</v>
      </c>
      <c r="B723" s="146">
        <v>7719.0</v>
      </c>
      <c r="C723" s="32"/>
    </row>
    <row r="724">
      <c r="A724" s="11">
        <v>3.11885918E8</v>
      </c>
      <c r="B724" s="146">
        <v>7720.0</v>
      </c>
      <c r="C724" s="32"/>
    </row>
    <row r="725">
      <c r="A725" s="11">
        <v>2.27844108E8</v>
      </c>
      <c r="B725" s="146">
        <v>7721.0</v>
      </c>
      <c r="C725" s="32"/>
    </row>
    <row r="726">
      <c r="A726" s="11">
        <v>9.90078767E8</v>
      </c>
      <c r="B726" s="146">
        <v>7722.0</v>
      </c>
      <c r="C726" s="32"/>
    </row>
    <row r="727">
      <c r="A727" s="11">
        <v>5.94087123E8</v>
      </c>
      <c r="B727" s="146">
        <v>7723.0</v>
      </c>
      <c r="C727" s="32"/>
    </row>
    <row r="728">
      <c r="A728" s="11">
        <v>8.74296071E8</v>
      </c>
      <c r="B728" s="146">
        <v>7724.0</v>
      </c>
      <c r="C728" s="32"/>
    </row>
    <row r="729">
      <c r="A729" s="11">
        <v>7.54429391E8</v>
      </c>
      <c r="B729" s="146">
        <v>7725.0</v>
      </c>
      <c r="C729" s="32"/>
    </row>
    <row r="730">
      <c r="A730" s="11">
        <v>6.72353431E8</v>
      </c>
      <c r="B730" s="146">
        <v>7726.0</v>
      </c>
      <c r="C730" s="32"/>
    </row>
    <row r="731">
      <c r="A731" s="11">
        <v>5.59711803E8</v>
      </c>
      <c r="B731" s="146">
        <v>7727.0</v>
      </c>
      <c r="C731" s="32"/>
    </row>
    <row r="732">
      <c r="A732" s="11">
        <v>5.6236366E8</v>
      </c>
      <c r="B732" s="146">
        <v>7728.0</v>
      </c>
      <c r="C732" s="32"/>
    </row>
    <row r="733">
      <c r="A733" s="11">
        <v>2.88470486E8</v>
      </c>
      <c r="B733" s="146">
        <v>7729.0</v>
      </c>
      <c r="C733" s="32"/>
    </row>
    <row r="734">
      <c r="A734" s="11">
        <v>9.27516099E8</v>
      </c>
      <c r="B734" s="146">
        <v>7730.0</v>
      </c>
      <c r="C734" s="32"/>
    </row>
    <row r="735">
      <c r="A735" s="11">
        <v>4.49782796E8</v>
      </c>
      <c r="B735" s="146">
        <v>7731.0</v>
      </c>
      <c r="C735" s="32"/>
    </row>
    <row r="736">
      <c r="A736" s="11">
        <v>1.42834451E8</v>
      </c>
      <c r="B736" s="146">
        <v>7732.0</v>
      </c>
      <c r="C736" s="32"/>
    </row>
    <row r="737">
      <c r="A737" s="11">
        <v>2.14207953E8</v>
      </c>
      <c r="B737" s="146">
        <v>7733.0</v>
      </c>
      <c r="C737" s="32"/>
    </row>
    <row r="738">
      <c r="A738" s="11">
        <v>6.29792334E8</v>
      </c>
      <c r="B738" s="146">
        <v>7734.0</v>
      </c>
      <c r="C738" s="32"/>
    </row>
    <row r="739">
      <c r="A739" s="11">
        <v>6.82603096E8</v>
      </c>
      <c r="B739" s="146">
        <v>7735.0</v>
      </c>
      <c r="C739" s="32"/>
    </row>
    <row r="740">
      <c r="A740" s="11">
        <v>7.23132559E8</v>
      </c>
      <c r="B740" s="146">
        <v>7736.0</v>
      </c>
      <c r="C740" s="32"/>
    </row>
    <row r="741">
      <c r="A741" s="11">
        <v>5.34001831E8</v>
      </c>
      <c r="B741" s="146">
        <v>7737.0</v>
      </c>
      <c r="C741" s="32"/>
    </row>
    <row r="742">
      <c r="A742" s="11">
        <v>9.50150557E8</v>
      </c>
      <c r="B742" s="146">
        <v>7738.0</v>
      </c>
      <c r="C742" s="32"/>
    </row>
    <row r="743">
      <c r="A743" s="11">
        <v>8.94610733E8</v>
      </c>
      <c r="B743" s="146">
        <v>7739.0</v>
      </c>
      <c r="C743" s="32"/>
    </row>
    <row r="744">
      <c r="A744" s="11">
        <v>1.39007062E8</v>
      </c>
      <c r="B744" s="146">
        <v>7740.0</v>
      </c>
      <c r="C744" s="32"/>
    </row>
    <row r="745">
      <c r="A745" s="11">
        <v>7.69566467E8</v>
      </c>
      <c r="B745" s="146">
        <v>7741.0</v>
      </c>
      <c r="C745" s="32"/>
    </row>
    <row r="746">
      <c r="A746" s="11">
        <v>4.34324146E8</v>
      </c>
      <c r="B746" s="146">
        <v>7742.0</v>
      </c>
      <c r="C746" s="32"/>
    </row>
    <row r="747">
      <c r="A747" s="11">
        <v>7.32702322E8</v>
      </c>
      <c r="B747" s="146">
        <v>7743.0</v>
      </c>
      <c r="C747" s="32"/>
    </row>
    <row r="748">
      <c r="A748" s="11">
        <v>9.23138112E8</v>
      </c>
      <c r="B748" s="146">
        <v>7744.0</v>
      </c>
      <c r="C748" s="32"/>
    </row>
    <row r="749">
      <c r="A749" s="11">
        <v>6.023403E8</v>
      </c>
      <c r="B749" s="146">
        <v>7745.0</v>
      </c>
      <c r="C749" s="32"/>
    </row>
    <row r="750">
      <c r="A750" s="11">
        <v>7.24341101E8</v>
      </c>
      <c r="B750" s="146">
        <v>7746.0</v>
      </c>
      <c r="C750" s="32"/>
    </row>
    <row r="751">
      <c r="A751" s="11">
        <v>7.60626899E8</v>
      </c>
      <c r="B751" s="146">
        <v>7747.0</v>
      </c>
      <c r="C751" s="32"/>
    </row>
    <row r="752">
      <c r="A752" s="11">
        <v>6.82174377E8</v>
      </c>
      <c r="B752" s="146">
        <v>7748.0</v>
      </c>
      <c r="C752" s="32"/>
    </row>
    <row r="753">
      <c r="A753" s="11">
        <v>9.75788385E8</v>
      </c>
      <c r="B753" s="146">
        <v>7749.0</v>
      </c>
      <c r="C753" s="32"/>
    </row>
    <row r="754">
      <c r="A754" s="11">
        <v>3.84461529E8</v>
      </c>
      <c r="B754" s="146">
        <v>7750.0</v>
      </c>
      <c r="C754" s="32"/>
    </row>
    <row r="755">
      <c r="A755" s="11">
        <v>8.96730139E8</v>
      </c>
      <c r="B755" s="146">
        <v>7751.0</v>
      </c>
      <c r="C755" s="32"/>
    </row>
    <row r="756">
      <c r="A756" s="11">
        <v>6.73726467E8</v>
      </c>
      <c r="B756" s="146">
        <v>7752.0</v>
      </c>
      <c r="C756" s="32"/>
    </row>
    <row r="757">
      <c r="A757" s="11">
        <v>9.20546261E8</v>
      </c>
      <c r="B757" s="146">
        <v>7753.0</v>
      </c>
      <c r="C757" s="32"/>
    </row>
    <row r="758">
      <c r="A758" s="11">
        <v>6.04521738E8</v>
      </c>
      <c r="B758" s="146">
        <v>7754.0</v>
      </c>
      <c r="C758" s="32"/>
    </row>
    <row r="759">
      <c r="A759" s="11">
        <v>9.65819569E8</v>
      </c>
      <c r="B759" s="146">
        <v>7755.0</v>
      </c>
      <c r="C759" s="32"/>
    </row>
    <row r="760">
      <c r="A760" s="11">
        <v>8.79706641E8</v>
      </c>
      <c r="B760" s="146">
        <v>7756.0</v>
      </c>
      <c r="C760" s="32"/>
    </row>
    <row r="761">
      <c r="A761" s="11">
        <v>3.0294478E8</v>
      </c>
      <c r="B761" s="146">
        <v>7757.0</v>
      </c>
      <c r="C761" s="32"/>
    </row>
    <row r="762">
      <c r="A762" s="11">
        <v>6.00174896E8</v>
      </c>
      <c r="B762" s="146">
        <v>7758.0</v>
      </c>
      <c r="C762" s="32"/>
    </row>
    <row r="763">
      <c r="A763" s="11">
        <v>6.82478274E8</v>
      </c>
      <c r="B763" s="146">
        <v>7759.0</v>
      </c>
      <c r="C763" s="32"/>
    </row>
    <row r="764">
      <c r="A764" s="11">
        <v>4.5268697E8</v>
      </c>
      <c r="B764" s="146">
        <v>7760.0</v>
      </c>
      <c r="C764" s="32"/>
    </row>
    <row r="765">
      <c r="A765" s="11">
        <v>1.67238303E8</v>
      </c>
      <c r="B765" s="146">
        <v>7761.0</v>
      </c>
      <c r="C765" s="32"/>
    </row>
    <row r="766">
      <c r="A766" s="11">
        <v>6.44176678E8</v>
      </c>
      <c r="B766" s="146">
        <v>7762.0</v>
      </c>
      <c r="C766" s="32"/>
    </row>
    <row r="767">
      <c r="A767" s="11">
        <v>5.74810746E8</v>
      </c>
      <c r="B767" s="146">
        <v>7763.0</v>
      </c>
      <c r="C767" s="32"/>
    </row>
    <row r="768">
      <c r="A768" s="11">
        <v>5.23629252E8</v>
      </c>
      <c r="B768" s="146">
        <v>7764.0</v>
      </c>
      <c r="C768" s="32"/>
    </row>
    <row r="769">
      <c r="A769" s="11">
        <v>1.29239407E8</v>
      </c>
      <c r="B769" s="146">
        <v>7765.0</v>
      </c>
      <c r="C769" s="32"/>
    </row>
    <row r="770">
      <c r="A770" s="11">
        <v>5.4764297E8</v>
      </c>
      <c r="B770" s="146">
        <v>7766.0</v>
      </c>
      <c r="C770" s="32"/>
    </row>
    <row r="771">
      <c r="A771" s="11">
        <v>2.14336372E8</v>
      </c>
      <c r="B771" s="146">
        <v>7767.0</v>
      </c>
      <c r="C771" s="32"/>
    </row>
    <row r="772">
      <c r="A772" s="11">
        <v>6.5034746E8</v>
      </c>
      <c r="B772" s="146">
        <v>7768.0</v>
      </c>
      <c r="C772" s="32"/>
    </row>
    <row r="773">
      <c r="A773" s="11">
        <v>8.0525288E8</v>
      </c>
      <c r="B773" s="146">
        <v>7769.0</v>
      </c>
      <c r="C773" s="32"/>
    </row>
    <row r="774">
      <c r="A774" s="11">
        <v>5.01645718E8</v>
      </c>
      <c r="B774" s="146">
        <v>7770.0</v>
      </c>
      <c r="C774" s="32"/>
    </row>
    <row r="775">
      <c r="A775" s="11">
        <v>6.86786314E8</v>
      </c>
      <c r="B775" s="146">
        <v>7771.0</v>
      </c>
      <c r="C775" s="32"/>
    </row>
    <row r="776">
      <c r="A776" s="11">
        <v>3.4142749E8</v>
      </c>
      <c r="B776" s="146">
        <v>7772.0</v>
      </c>
      <c r="C776" s="32"/>
    </row>
    <row r="777">
      <c r="A777" s="11">
        <v>4.08024443E8</v>
      </c>
      <c r="B777" s="146">
        <v>7773.0</v>
      </c>
      <c r="C777" s="32"/>
    </row>
    <row r="778">
      <c r="A778" s="11">
        <v>8.42392428E8</v>
      </c>
      <c r="B778" s="146">
        <v>7774.0</v>
      </c>
      <c r="C778" s="32"/>
    </row>
    <row r="779">
      <c r="A779" s="11">
        <v>4.14460674E8</v>
      </c>
      <c r="B779" s="146">
        <v>7775.0</v>
      </c>
      <c r="C779" s="32"/>
    </row>
    <row r="780">
      <c r="A780" s="11">
        <v>4.66504245E8</v>
      </c>
      <c r="B780" s="146">
        <v>7776.0</v>
      </c>
      <c r="C780" s="32"/>
    </row>
    <row r="781">
      <c r="A781" s="11">
        <v>5.25209075E8</v>
      </c>
      <c r="B781" s="146">
        <v>7777.0</v>
      </c>
      <c r="C781" s="32"/>
    </row>
    <row r="782">
      <c r="A782" s="11">
        <v>7.25891917E8</v>
      </c>
      <c r="B782" s="146">
        <v>7778.0</v>
      </c>
      <c r="C782" s="32"/>
    </row>
    <row r="783">
      <c r="A783" s="11">
        <v>8.61451374E8</v>
      </c>
      <c r="B783" s="146">
        <v>7779.0</v>
      </c>
      <c r="C783" s="32"/>
    </row>
    <row r="784">
      <c r="A784" s="11">
        <v>7.85522551E8</v>
      </c>
      <c r="B784" s="146">
        <v>7780.0</v>
      </c>
      <c r="C784" s="32"/>
    </row>
    <row r="785">
      <c r="A785" s="11">
        <v>8.27946433E8</v>
      </c>
      <c r="B785" s="146">
        <v>7781.0</v>
      </c>
      <c r="C785" s="32"/>
    </row>
    <row r="786">
      <c r="A786" s="11">
        <v>8.21571665E8</v>
      </c>
      <c r="B786" s="146">
        <v>7782.0</v>
      </c>
      <c r="C786" s="32"/>
    </row>
    <row r="787">
      <c r="A787" s="11">
        <v>9.97185211E8</v>
      </c>
      <c r="B787" s="146">
        <v>7783.0</v>
      </c>
      <c r="C787" s="32"/>
    </row>
    <row r="788">
      <c r="A788" s="11">
        <v>2.73510092E8</v>
      </c>
      <c r="B788" s="146">
        <v>7784.0</v>
      </c>
      <c r="C788" s="32"/>
    </row>
    <row r="789">
      <c r="A789" s="11">
        <v>2.07166908E8</v>
      </c>
      <c r="B789" s="146">
        <v>7785.0</v>
      </c>
      <c r="C789" s="32"/>
    </row>
    <row r="790">
      <c r="A790" s="11">
        <v>7.88312875E8</v>
      </c>
      <c r="B790" s="146">
        <v>7786.0</v>
      </c>
      <c r="C790" s="32"/>
    </row>
    <row r="791">
      <c r="A791" s="11">
        <v>1.04389204E8</v>
      </c>
      <c r="B791" s="146">
        <v>7787.0</v>
      </c>
      <c r="C791" s="32"/>
    </row>
    <row r="792">
      <c r="A792" s="11">
        <v>5.49795765E8</v>
      </c>
      <c r="B792" s="146">
        <v>7788.0</v>
      </c>
      <c r="C792" s="32"/>
    </row>
    <row r="793">
      <c r="A793" s="11">
        <v>2.74153892E8</v>
      </c>
      <c r="B793" s="146">
        <v>7789.0</v>
      </c>
      <c r="C793" s="32"/>
    </row>
    <row r="794">
      <c r="A794" s="11">
        <v>7.1626942E8</v>
      </c>
      <c r="B794" s="146">
        <v>7790.0</v>
      </c>
      <c r="C794" s="32"/>
    </row>
    <row r="795">
      <c r="A795" s="11">
        <v>9.32311493E8</v>
      </c>
      <c r="B795" s="146">
        <v>7791.0</v>
      </c>
      <c r="C795" s="32"/>
    </row>
    <row r="796">
      <c r="A796" s="11">
        <v>2.01908265E8</v>
      </c>
      <c r="B796" s="146">
        <v>7792.0</v>
      </c>
      <c r="C796" s="32"/>
    </row>
    <row r="797">
      <c r="A797" s="11">
        <v>1.701582E8</v>
      </c>
      <c r="B797" s="146">
        <v>7793.0</v>
      </c>
      <c r="C797" s="32"/>
    </row>
    <row r="798">
      <c r="A798" s="11">
        <v>8.20731451E8</v>
      </c>
      <c r="B798" s="146">
        <v>7794.0</v>
      </c>
      <c r="C798" s="32"/>
    </row>
    <row r="799">
      <c r="A799" s="11">
        <v>6.9096888E8</v>
      </c>
      <c r="B799" s="146">
        <v>7795.0</v>
      </c>
      <c r="C799" s="32"/>
    </row>
    <row r="800">
      <c r="A800" s="11">
        <v>1.08129364E8</v>
      </c>
      <c r="B800" s="146">
        <v>7796.0</v>
      </c>
      <c r="C800" s="32"/>
    </row>
    <row r="801">
      <c r="A801" s="11">
        <v>4.98137527E8</v>
      </c>
      <c r="B801" s="146">
        <v>7797.0</v>
      </c>
      <c r="C801" s="32"/>
    </row>
    <row r="802">
      <c r="A802" s="11">
        <v>5.74357102E8</v>
      </c>
      <c r="B802" s="146">
        <v>7798.0</v>
      </c>
      <c r="C802" s="32"/>
    </row>
    <row r="803">
      <c r="A803" s="11">
        <v>7.08781302E8</v>
      </c>
      <c r="B803" s="146">
        <v>7799.0</v>
      </c>
      <c r="C803" s="32"/>
    </row>
    <row r="804">
      <c r="A804" s="11">
        <v>1.62649422E8</v>
      </c>
      <c r="B804" s="146">
        <v>7800.0</v>
      </c>
      <c r="C804" s="32"/>
    </row>
    <row r="805">
      <c r="A805" s="11">
        <v>9.50764735E8</v>
      </c>
      <c r="B805" s="146">
        <v>7801.0</v>
      </c>
      <c r="C805" s="32"/>
    </row>
    <row r="806">
      <c r="A806" s="11">
        <v>8.40872917E8</v>
      </c>
      <c r="B806" s="146">
        <v>7802.0</v>
      </c>
      <c r="C806" s="32"/>
    </row>
    <row r="807">
      <c r="A807" s="11">
        <v>6.26574938E8</v>
      </c>
      <c r="B807" s="146">
        <v>7803.0</v>
      </c>
      <c r="C807" s="32"/>
    </row>
    <row r="808">
      <c r="A808" s="11">
        <v>6.62301176E8</v>
      </c>
      <c r="B808" s="146">
        <v>7804.0</v>
      </c>
      <c r="C808" s="32"/>
    </row>
    <row r="809">
      <c r="A809" s="11">
        <v>5.96060186E8</v>
      </c>
      <c r="B809" s="146">
        <v>7805.0</v>
      </c>
      <c r="C809" s="32"/>
    </row>
    <row r="810">
      <c r="A810" s="11">
        <v>9.32329644E8</v>
      </c>
      <c r="B810" s="146">
        <v>7806.0</v>
      </c>
      <c r="C810" s="32"/>
    </row>
    <row r="811">
      <c r="A811" s="11">
        <v>2.24594964E8</v>
      </c>
      <c r="B811" s="146">
        <v>7807.0</v>
      </c>
      <c r="C811" s="32"/>
    </row>
    <row r="812">
      <c r="A812" s="11">
        <v>2.68983422E8</v>
      </c>
      <c r="B812" s="146">
        <v>7808.0</v>
      </c>
      <c r="C812" s="32"/>
    </row>
    <row r="813">
      <c r="A813" s="11">
        <v>8.36692803E8</v>
      </c>
      <c r="B813" s="146">
        <v>7809.0</v>
      </c>
      <c r="C813" s="32"/>
    </row>
    <row r="814">
      <c r="A814" s="11">
        <v>4.99248918E8</v>
      </c>
      <c r="B814" s="146">
        <v>7810.0</v>
      </c>
      <c r="C814" s="32"/>
    </row>
    <row r="815">
      <c r="A815" s="11">
        <v>2.02489899E8</v>
      </c>
      <c r="B815" s="146">
        <v>7811.0</v>
      </c>
      <c r="C815" s="32"/>
    </row>
    <row r="816">
      <c r="A816" s="11">
        <v>2.31806043E8</v>
      </c>
      <c r="B816" s="146">
        <v>7812.0</v>
      </c>
      <c r="C816" s="32"/>
    </row>
    <row r="817">
      <c r="A817" s="11">
        <v>9.71454928E8</v>
      </c>
      <c r="B817" s="146">
        <v>7813.0</v>
      </c>
      <c r="C817" s="32"/>
    </row>
    <row r="818">
      <c r="A818" s="11">
        <v>2.25327122E8</v>
      </c>
      <c r="B818" s="146">
        <v>7814.0</v>
      </c>
      <c r="C818" s="32"/>
    </row>
    <row r="819">
      <c r="A819" s="11">
        <v>7.42823814E8</v>
      </c>
      <c r="B819" s="146">
        <v>7815.0</v>
      </c>
      <c r="C819" s="32"/>
    </row>
    <row r="820">
      <c r="A820" s="11">
        <v>7.55552177E8</v>
      </c>
      <c r="B820" s="146">
        <v>7816.0</v>
      </c>
      <c r="C820" s="32"/>
    </row>
    <row r="821">
      <c r="A821" s="11">
        <v>9.84087447E8</v>
      </c>
      <c r="B821" s="146">
        <v>7817.0</v>
      </c>
      <c r="C821" s="32"/>
    </row>
    <row r="822">
      <c r="A822" s="11">
        <v>5.33792149E8</v>
      </c>
      <c r="B822" s="146">
        <v>7818.0</v>
      </c>
      <c r="C822" s="32"/>
    </row>
    <row r="823">
      <c r="A823" s="11">
        <v>7.1785629E8</v>
      </c>
      <c r="B823" s="146">
        <v>7819.0</v>
      </c>
      <c r="C823" s="32"/>
    </row>
    <row r="824">
      <c r="A824" s="11">
        <v>2.29215062E8</v>
      </c>
      <c r="B824" s="146">
        <v>7820.0</v>
      </c>
      <c r="C824" s="32"/>
    </row>
    <row r="825">
      <c r="A825" s="11">
        <v>2.92056252E8</v>
      </c>
      <c r="B825" s="146">
        <v>7821.0</v>
      </c>
      <c r="C825" s="32"/>
    </row>
    <row r="826">
      <c r="A826" s="11">
        <v>5.89048267E8</v>
      </c>
      <c r="B826" s="146">
        <v>7822.0</v>
      </c>
      <c r="C826" s="32"/>
    </row>
    <row r="827">
      <c r="A827" s="11">
        <v>6.14535751E8</v>
      </c>
      <c r="B827" s="146">
        <v>7823.0</v>
      </c>
      <c r="C827" s="32"/>
    </row>
    <row r="828">
      <c r="A828" s="11">
        <v>5.87723115E8</v>
      </c>
      <c r="B828" s="146">
        <v>7824.0</v>
      </c>
      <c r="C828" s="32"/>
    </row>
    <row r="829">
      <c r="A829" s="11">
        <v>3.97238311E8</v>
      </c>
      <c r="B829" s="146">
        <v>7825.0</v>
      </c>
      <c r="C829" s="32"/>
    </row>
    <row r="830">
      <c r="A830" s="11">
        <v>2.55523734E8</v>
      </c>
      <c r="B830" s="146">
        <v>7826.0</v>
      </c>
      <c r="C830" s="32"/>
    </row>
    <row r="831">
      <c r="A831" s="11">
        <v>9.18755074E8</v>
      </c>
      <c r="B831" s="146">
        <v>7827.0</v>
      </c>
      <c r="C831" s="32"/>
    </row>
    <row r="832">
      <c r="A832" s="11">
        <v>5.61292206E8</v>
      </c>
      <c r="B832" s="146">
        <v>7828.0</v>
      </c>
      <c r="C832" s="32"/>
    </row>
    <row r="833">
      <c r="A833" s="11">
        <v>1.31511717E8</v>
      </c>
      <c r="B833" s="146">
        <v>7829.0</v>
      </c>
      <c r="C833" s="32"/>
    </row>
    <row r="834">
      <c r="A834" s="11">
        <v>6.82911084E8</v>
      </c>
      <c r="B834" s="146">
        <v>7830.0</v>
      </c>
      <c r="C834" s="32"/>
    </row>
    <row r="835">
      <c r="A835" s="11">
        <v>2.87183453E8</v>
      </c>
      <c r="B835" s="146">
        <v>7831.0</v>
      </c>
      <c r="C835" s="32"/>
    </row>
    <row r="836">
      <c r="A836" s="11">
        <v>6.24837468E8</v>
      </c>
      <c r="B836" s="146">
        <v>7832.0</v>
      </c>
      <c r="C836" s="32"/>
    </row>
    <row r="837">
      <c r="A837" s="11">
        <v>3.76730622E8</v>
      </c>
      <c r="B837" s="146">
        <v>7833.0</v>
      </c>
      <c r="C837" s="32"/>
    </row>
    <row r="838">
      <c r="A838" s="11">
        <v>4.91066443E8</v>
      </c>
      <c r="B838" s="146">
        <v>7834.0</v>
      </c>
      <c r="C838" s="32"/>
    </row>
    <row r="839">
      <c r="A839" s="11">
        <v>1.22407316E8</v>
      </c>
      <c r="B839" s="146">
        <v>7835.0</v>
      </c>
      <c r="C839" s="32"/>
    </row>
    <row r="840">
      <c r="A840" s="11">
        <v>9.16733851E8</v>
      </c>
      <c r="B840" s="146">
        <v>7836.0</v>
      </c>
      <c r="C840" s="32"/>
    </row>
    <row r="841">
      <c r="A841" s="11">
        <v>8.32565376E8</v>
      </c>
      <c r="B841" s="146">
        <v>7837.0</v>
      </c>
      <c r="C841" s="32"/>
    </row>
    <row r="842">
      <c r="A842" s="11">
        <v>7.64714543E8</v>
      </c>
      <c r="B842" s="146">
        <v>7838.0</v>
      </c>
      <c r="C842" s="32"/>
    </row>
    <row r="843">
      <c r="A843" s="11">
        <v>4.95384226E8</v>
      </c>
      <c r="B843" s="146">
        <v>7839.0</v>
      </c>
      <c r="C843" s="32"/>
    </row>
    <row r="844">
      <c r="A844" s="11">
        <v>1.23134237E8</v>
      </c>
      <c r="B844" s="146">
        <v>7840.0</v>
      </c>
      <c r="C844" s="32"/>
    </row>
    <row r="845">
      <c r="A845" s="11">
        <v>5.96110318E8</v>
      </c>
      <c r="B845" s="146">
        <v>7841.0</v>
      </c>
      <c r="C845" s="32"/>
    </row>
    <row r="846">
      <c r="A846" s="11">
        <v>7.95293545E8</v>
      </c>
      <c r="B846" s="146">
        <v>7842.0</v>
      </c>
      <c r="C846" s="32"/>
    </row>
    <row r="847">
      <c r="A847" s="11">
        <v>3.62502481E8</v>
      </c>
      <c r="B847" s="146">
        <v>7843.0</v>
      </c>
      <c r="C847" s="32"/>
    </row>
    <row r="848">
      <c r="A848" s="11">
        <v>2.51513806E8</v>
      </c>
      <c r="B848" s="146">
        <v>7844.0</v>
      </c>
      <c r="C848" s="32"/>
    </row>
    <row r="849">
      <c r="A849" s="11">
        <v>4.6265272E8</v>
      </c>
      <c r="B849" s="146">
        <v>7845.0</v>
      </c>
      <c r="C849" s="32"/>
    </row>
    <row r="850">
      <c r="A850" s="11">
        <v>8.76835377E8</v>
      </c>
      <c r="B850" s="146">
        <v>7846.0</v>
      </c>
      <c r="C850" s="32"/>
    </row>
    <row r="851">
      <c r="A851" s="11">
        <v>6.81920568E8</v>
      </c>
      <c r="B851" s="146">
        <v>7847.0</v>
      </c>
      <c r="C851" s="32"/>
    </row>
    <row r="852">
      <c r="A852" s="11">
        <v>4.95157368E8</v>
      </c>
      <c r="B852" s="146">
        <v>7848.0</v>
      </c>
      <c r="C852" s="32"/>
    </row>
    <row r="853">
      <c r="A853" s="11">
        <v>5.80294161E8</v>
      </c>
      <c r="B853" s="146">
        <v>7849.0</v>
      </c>
      <c r="C853" s="32"/>
    </row>
    <row r="854">
      <c r="A854" s="11">
        <v>1.18967845E8</v>
      </c>
      <c r="B854" s="146">
        <v>7850.0</v>
      </c>
      <c r="C854" s="32"/>
    </row>
    <row r="855">
      <c r="A855" s="11">
        <v>6.87008697E8</v>
      </c>
      <c r="B855" s="146">
        <v>7851.0</v>
      </c>
      <c r="C855" s="32"/>
    </row>
    <row r="856">
      <c r="A856" s="11">
        <v>2.4945074E8</v>
      </c>
      <c r="B856" s="146">
        <v>7852.0</v>
      </c>
      <c r="C856" s="32"/>
    </row>
    <row r="857">
      <c r="A857" s="11">
        <v>4.83246161E8</v>
      </c>
      <c r="B857" s="146">
        <v>7853.0</v>
      </c>
      <c r="C857" s="32"/>
    </row>
    <row r="858">
      <c r="A858" s="11">
        <v>9.57038311E8</v>
      </c>
      <c r="B858" s="146">
        <v>7854.0</v>
      </c>
      <c r="C858" s="32"/>
    </row>
    <row r="859">
      <c r="A859" s="11">
        <v>4.01720999E8</v>
      </c>
      <c r="B859" s="146">
        <v>7855.0</v>
      </c>
      <c r="C859" s="32"/>
    </row>
    <row r="860">
      <c r="A860" s="11">
        <v>6.27789667E8</v>
      </c>
      <c r="B860" s="146">
        <v>7856.0</v>
      </c>
      <c r="C860" s="32"/>
    </row>
    <row r="861">
      <c r="A861" s="11">
        <v>9.98072446E8</v>
      </c>
      <c r="B861" s="146">
        <v>7857.0</v>
      </c>
      <c r="C861" s="32"/>
    </row>
    <row r="862">
      <c r="A862" s="11">
        <v>4.70634797E8</v>
      </c>
      <c r="B862" s="146">
        <v>7858.0</v>
      </c>
      <c r="C862" s="32"/>
    </row>
    <row r="863">
      <c r="A863" s="11">
        <v>7.05962673E8</v>
      </c>
      <c r="B863" s="146">
        <v>7859.0</v>
      </c>
      <c r="C863" s="32"/>
    </row>
    <row r="864">
      <c r="A864" s="11">
        <v>5.59275255E8</v>
      </c>
      <c r="B864" s="146">
        <v>7860.0</v>
      </c>
      <c r="C864" s="32"/>
    </row>
    <row r="865">
      <c r="A865" s="11">
        <v>9.25679878E8</v>
      </c>
      <c r="B865" s="146">
        <v>7861.0</v>
      </c>
      <c r="C865" s="32"/>
    </row>
    <row r="866">
      <c r="A866" s="11">
        <v>4.19871133E8</v>
      </c>
      <c r="B866" s="146">
        <v>7862.0</v>
      </c>
      <c r="C866" s="32"/>
    </row>
    <row r="867">
      <c r="A867" s="11">
        <v>2.76206837E8</v>
      </c>
      <c r="B867" s="146">
        <v>7863.0</v>
      </c>
      <c r="C867" s="32"/>
    </row>
    <row r="868">
      <c r="A868" s="11">
        <v>7.47565539E8</v>
      </c>
      <c r="B868" s="146">
        <v>7864.0</v>
      </c>
      <c r="C868" s="32"/>
    </row>
    <row r="869">
      <c r="A869" s="11">
        <v>7.49123852E8</v>
      </c>
      <c r="B869" s="146">
        <v>7865.0</v>
      </c>
      <c r="C869" s="32"/>
    </row>
    <row r="870">
      <c r="A870" s="11">
        <v>2.6648955E8</v>
      </c>
      <c r="B870" s="146">
        <v>7866.0</v>
      </c>
      <c r="C870" s="32"/>
    </row>
    <row r="871">
      <c r="A871" s="11">
        <v>8.46758473E8</v>
      </c>
      <c r="B871" s="146">
        <v>7867.0</v>
      </c>
      <c r="C871" s="32"/>
    </row>
    <row r="872">
      <c r="A872" s="11">
        <v>1.18330416E8</v>
      </c>
      <c r="B872" s="146">
        <v>7868.0</v>
      </c>
      <c r="C872" s="32"/>
    </row>
    <row r="873">
      <c r="A873" s="11">
        <v>8.05615246E8</v>
      </c>
      <c r="B873" s="146">
        <v>7869.0</v>
      </c>
      <c r="C873" s="32"/>
    </row>
    <row r="874">
      <c r="A874" s="11">
        <v>2.41412893E8</v>
      </c>
      <c r="B874" s="146">
        <v>7870.0</v>
      </c>
      <c r="C874" s="32"/>
    </row>
    <row r="875">
      <c r="A875" s="11">
        <v>9.99945837E8</v>
      </c>
      <c r="B875" s="146">
        <v>7871.0</v>
      </c>
      <c r="C875" s="32"/>
    </row>
    <row r="876">
      <c r="A876" s="11">
        <v>1.76158727E8</v>
      </c>
      <c r="B876" s="146">
        <v>7872.0</v>
      </c>
      <c r="C876" s="32"/>
    </row>
    <row r="877">
      <c r="A877" s="11">
        <v>2.57515644E8</v>
      </c>
      <c r="B877" s="146">
        <v>7873.0</v>
      </c>
      <c r="C877" s="32"/>
    </row>
    <row r="878">
      <c r="A878" s="11">
        <v>3.90938095E8</v>
      </c>
      <c r="B878" s="146">
        <v>7874.0</v>
      </c>
      <c r="C878" s="32"/>
    </row>
    <row r="879">
      <c r="A879" s="11">
        <v>8.71239619E8</v>
      </c>
      <c r="B879" s="146">
        <v>7875.0</v>
      </c>
      <c r="C879" s="32"/>
    </row>
    <row r="880">
      <c r="A880" s="11">
        <v>2.86144275E8</v>
      </c>
      <c r="B880" s="146">
        <v>7876.0</v>
      </c>
      <c r="C880" s="32"/>
    </row>
    <row r="881">
      <c r="A881" s="11">
        <v>2.97881769E8</v>
      </c>
      <c r="B881" s="146">
        <v>7877.0</v>
      </c>
      <c r="C881" s="32"/>
    </row>
    <row r="882">
      <c r="A882" s="11">
        <v>9.04505039E8</v>
      </c>
      <c r="B882" s="146">
        <v>7878.0</v>
      </c>
      <c r="C882" s="32"/>
    </row>
    <row r="883">
      <c r="A883" s="11">
        <v>5.36260152E8</v>
      </c>
      <c r="B883" s="146">
        <v>7879.0</v>
      </c>
      <c r="C883" s="32"/>
    </row>
    <row r="884">
      <c r="A884" s="11">
        <v>8.41055231E8</v>
      </c>
      <c r="B884" s="146">
        <v>7880.0</v>
      </c>
      <c r="C884" s="32"/>
    </row>
    <row r="885">
      <c r="A885" s="11">
        <v>4.27343628E8</v>
      </c>
      <c r="B885" s="146">
        <v>7881.0</v>
      </c>
      <c r="C885" s="32"/>
    </row>
    <row r="886">
      <c r="A886" s="11">
        <v>6.35781488E8</v>
      </c>
      <c r="B886" s="146">
        <v>7882.0</v>
      </c>
      <c r="C886" s="32"/>
    </row>
    <row r="887">
      <c r="A887" s="11">
        <v>8.94511426E8</v>
      </c>
      <c r="B887" s="146">
        <v>7883.0</v>
      </c>
      <c r="C887" s="32"/>
    </row>
    <row r="888">
      <c r="A888" s="11">
        <v>6.89126981E8</v>
      </c>
      <c r="B888" s="146">
        <v>7884.0</v>
      </c>
      <c r="C888" s="32"/>
    </row>
    <row r="889">
      <c r="A889" s="11">
        <v>5.51110477E8</v>
      </c>
      <c r="B889" s="146">
        <v>7885.0</v>
      </c>
      <c r="C889" s="32"/>
    </row>
    <row r="890">
      <c r="A890" s="11">
        <v>7.7105407E8</v>
      </c>
      <c r="B890" s="146">
        <v>7886.0</v>
      </c>
      <c r="C890" s="32"/>
    </row>
    <row r="891">
      <c r="A891" s="11">
        <v>8.31977226E8</v>
      </c>
      <c r="B891" s="146">
        <v>7887.0</v>
      </c>
      <c r="C891" s="32"/>
    </row>
    <row r="892">
      <c r="A892" s="11">
        <v>6.27207497E8</v>
      </c>
      <c r="B892" s="146">
        <v>7888.0</v>
      </c>
      <c r="C892" s="32"/>
    </row>
    <row r="893">
      <c r="A893" s="11">
        <v>6.15361806E8</v>
      </c>
      <c r="B893" s="146">
        <v>7889.0</v>
      </c>
      <c r="C893" s="32"/>
    </row>
    <row r="894">
      <c r="A894" s="11">
        <v>2.99198713E8</v>
      </c>
      <c r="B894" s="146">
        <v>7890.0</v>
      </c>
      <c r="C894" s="32"/>
    </row>
    <row r="895">
      <c r="A895" s="11">
        <v>3.53847745E8</v>
      </c>
      <c r="B895" s="146">
        <v>7891.0</v>
      </c>
      <c r="C895" s="32"/>
    </row>
    <row r="896">
      <c r="A896" s="11">
        <v>6.99886203E8</v>
      </c>
      <c r="B896" s="146">
        <v>7892.0</v>
      </c>
      <c r="C896" s="32"/>
    </row>
    <row r="897">
      <c r="A897" s="11">
        <v>9.06063784E8</v>
      </c>
      <c r="B897" s="146">
        <v>7893.0</v>
      </c>
      <c r="C897" s="32"/>
    </row>
    <row r="898">
      <c r="A898" s="11">
        <v>1.62608453E8</v>
      </c>
      <c r="B898" s="146">
        <v>7894.0</v>
      </c>
      <c r="C898" s="32"/>
    </row>
    <row r="899">
      <c r="A899" s="11">
        <v>6.82478234E8</v>
      </c>
      <c r="B899" s="146">
        <v>7895.0</v>
      </c>
      <c r="C899" s="32"/>
    </row>
    <row r="900">
      <c r="A900" s="11">
        <v>1.32134336E8</v>
      </c>
      <c r="B900" s="146">
        <v>7896.0</v>
      </c>
      <c r="C900" s="32"/>
    </row>
    <row r="901">
      <c r="A901" s="11">
        <v>9.46281752E8</v>
      </c>
      <c r="B901" s="146">
        <v>7897.0</v>
      </c>
      <c r="C901" s="32"/>
    </row>
    <row r="902">
      <c r="A902" s="11">
        <v>9.99462242E8</v>
      </c>
      <c r="B902" s="146">
        <v>7898.0</v>
      </c>
      <c r="C902" s="32"/>
    </row>
    <row r="903">
      <c r="A903" s="11">
        <v>5.67625664E8</v>
      </c>
      <c r="B903" s="146">
        <v>7899.0</v>
      </c>
      <c r="C903" s="32"/>
    </row>
    <row r="904">
      <c r="A904" s="11">
        <v>1.04828519E8</v>
      </c>
      <c r="B904" s="146">
        <v>7900.0</v>
      </c>
      <c r="C904" s="32"/>
    </row>
    <row r="905">
      <c r="A905" s="11">
        <v>7.63642433E8</v>
      </c>
      <c r="B905" s="146">
        <v>7901.0</v>
      </c>
      <c r="C905" s="32"/>
    </row>
    <row r="906">
      <c r="A906" s="11">
        <v>8.54461974E8</v>
      </c>
      <c r="B906" s="146">
        <v>7902.0</v>
      </c>
      <c r="C906" s="32"/>
    </row>
    <row r="907">
      <c r="A907" s="11">
        <v>8.05481517E8</v>
      </c>
      <c r="B907" s="146">
        <v>7903.0</v>
      </c>
      <c r="C907" s="32"/>
    </row>
    <row r="908">
      <c r="A908" s="11">
        <v>1.60584422E8</v>
      </c>
      <c r="B908" s="146">
        <v>7904.0</v>
      </c>
      <c r="C908" s="32"/>
    </row>
    <row r="909">
      <c r="A909" s="11">
        <v>5.76859874E8</v>
      </c>
      <c r="B909" s="146">
        <v>7905.0</v>
      </c>
      <c r="C909" s="32"/>
    </row>
    <row r="910">
      <c r="A910" s="11">
        <v>2.93654588E8</v>
      </c>
      <c r="B910" s="146">
        <v>7906.0</v>
      </c>
      <c r="C910" s="32"/>
    </row>
    <row r="911">
      <c r="A911" s="11">
        <v>2.02380624E8</v>
      </c>
      <c r="B911" s="146">
        <v>7907.0</v>
      </c>
      <c r="C911" s="32"/>
    </row>
    <row r="912">
      <c r="A912" s="11">
        <v>7.27498982E8</v>
      </c>
      <c r="B912" s="146">
        <v>7908.0</v>
      </c>
      <c r="C912" s="32"/>
    </row>
    <row r="913">
      <c r="A913" s="11">
        <v>2.53676825E8</v>
      </c>
      <c r="B913" s="146">
        <v>7909.0</v>
      </c>
      <c r="C913" s="32"/>
    </row>
    <row r="914">
      <c r="A914" s="11">
        <v>2.89109257E8</v>
      </c>
      <c r="B914" s="146">
        <v>7910.0</v>
      </c>
      <c r="C914" s="32"/>
    </row>
    <row r="915">
      <c r="A915" s="11">
        <v>8.39024219E8</v>
      </c>
      <c r="B915" s="146">
        <v>7911.0</v>
      </c>
      <c r="C915" s="32"/>
    </row>
    <row r="916">
      <c r="A916" s="11">
        <v>6.69659623E8</v>
      </c>
      <c r="B916" s="146">
        <v>7912.0</v>
      </c>
      <c r="C916" s="32"/>
    </row>
    <row r="917">
      <c r="A917" s="11">
        <v>8.11749057E8</v>
      </c>
      <c r="B917" s="146">
        <v>7913.0</v>
      </c>
      <c r="C917" s="32"/>
    </row>
    <row r="918">
      <c r="A918" s="11">
        <v>9.09407943E8</v>
      </c>
      <c r="B918" s="146">
        <v>7914.0</v>
      </c>
      <c r="C918" s="32"/>
    </row>
    <row r="919">
      <c r="A919" s="11">
        <v>7.95534308E8</v>
      </c>
      <c r="B919" s="146">
        <v>7915.0</v>
      </c>
      <c r="C919" s="32"/>
    </row>
    <row r="920">
      <c r="A920" s="11">
        <v>6.31836794E8</v>
      </c>
      <c r="B920" s="146">
        <v>7916.0</v>
      </c>
      <c r="C920" s="32"/>
    </row>
    <row r="921">
      <c r="A921" s="11">
        <v>1.93382716E8</v>
      </c>
      <c r="B921" s="146">
        <v>7917.0</v>
      </c>
      <c r="C921" s="32"/>
    </row>
    <row r="922">
      <c r="A922" s="11">
        <v>3.43678369E8</v>
      </c>
      <c r="B922" s="146">
        <v>7918.0</v>
      </c>
      <c r="C922" s="32"/>
    </row>
    <row r="923">
      <c r="A923" s="11">
        <v>9.83703724E8</v>
      </c>
      <c r="B923" s="146">
        <v>7919.0</v>
      </c>
      <c r="C923" s="32"/>
    </row>
    <row r="924">
      <c r="A924" s="11">
        <v>9.07894924E8</v>
      </c>
      <c r="B924" s="146">
        <v>7920.0</v>
      </c>
      <c r="C924" s="32"/>
    </row>
    <row r="925">
      <c r="A925" s="11">
        <v>9.51477775E8</v>
      </c>
      <c r="B925" s="146">
        <v>7921.0</v>
      </c>
      <c r="C925" s="32"/>
    </row>
    <row r="926">
      <c r="A926" s="11">
        <v>4.48246093E8</v>
      </c>
      <c r="B926" s="146">
        <v>7922.0</v>
      </c>
      <c r="C926" s="32"/>
    </row>
    <row r="927">
      <c r="A927" s="11">
        <v>3.46795097E8</v>
      </c>
      <c r="B927" s="146">
        <v>7923.0</v>
      </c>
      <c r="C927" s="32"/>
    </row>
    <row r="928">
      <c r="A928" s="11">
        <v>9.34979453E8</v>
      </c>
      <c r="B928" s="146">
        <v>7924.0</v>
      </c>
      <c r="C928" s="32"/>
    </row>
    <row r="929">
      <c r="A929" s="11">
        <v>5.67624937E8</v>
      </c>
      <c r="B929" s="146">
        <v>7925.0</v>
      </c>
      <c r="C929" s="32"/>
    </row>
    <row r="930">
      <c r="A930" s="11">
        <v>2.73226143E8</v>
      </c>
      <c r="B930" s="146">
        <v>7926.0</v>
      </c>
      <c r="C930" s="32"/>
    </row>
    <row r="931">
      <c r="A931" s="11">
        <v>3.94805706E8</v>
      </c>
      <c r="B931" s="146">
        <v>7927.0</v>
      </c>
      <c r="C931" s="32"/>
    </row>
    <row r="932">
      <c r="A932" s="11">
        <v>5.97913938E8</v>
      </c>
      <c r="B932" s="146">
        <v>7928.0</v>
      </c>
      <c r="C932" s="32"/>
    </row>
    <row r="933">
      <c r="A933" s="11">
        <v>2.03436882E8</v>
      </c>
      <c r="B933" s="146">
        <v>7929.0</v>
      </c>
      <c r="C933" s="32"/>
    </row>
    <row r="934">
      <c r="A934" s="11">
        <v>4.74404453E8</v>
      </c>
      <c r="B934" s="146">
        <v>7930.0</v>
      </c>
      <c r="C934" s="32"/>
    </row>
    <row r="935">
      <c r="A935" s="11">
        <v>3.47990176E8</v>
      </c>
      <c r="B935" s="146">
        <v>7931.0</v>
      </c>
      <c r="C935" s="32"/>
    </row>
    <row r="936">
      <c r="A936" s="11">
        <v>9.45527121E8</v>
      </c>
      <c r="B936" s="146">
        <v>7932.0</v>
      </c>
      <c r="C936" s="32"/>
    </row>
    <row r="937">
      <c r="A937" s="11">
        <v>1.54257881E8</v>
      </c>
      <c r="B937" s="146">
        <v>7933.0</v>
      </c>
      <c r="C937" s="32"/>
    </row>
    <row r="938">
      <c r="A938" s="11">
        <v>1.39241403E8</v>
      </c>
      <c r="B938" s="146">
        <v>7934.0</v>
      </c>
      <c r="C938" s="32"/>
    </row>
    <row r="939">
      <c r="A939" s="11">
        <v>3.42578163E8</v>
      </c>
      <c r="B939" s="146">
        <v>7935.0</v>
      </c>
      <c r="C939" s="32"/>
    </row>
    <row r="940">
      <c r="A940" s="11">
        <v>2.05135569E8</v>
      </c>
      <c r="B940" s="146">
        <v>7936.0</v>
      </c>
      <c r="C940" s="32"/>
    </row>
    <row r="941">
      <c r="A941" s="11">
        <v>2.85969906E8</v>
      </c>
      <c r="B941" s="146">
        <v>7937.0</v>
      </c>
      <c r="C941" s="32"/>
    </row>
    <row r="942">
      <c r="A942" s="11">
        <v>5.06072837E8</v>
      </c>
      <c r="B942" s="146">
        <v>7938.0</v>
      </c>
      <c r="C942" s="32"/>
    </row>
    <row r="943">
      <c r="A943" s="11">
        <v>3.55165964E8</v>
      </c>
      <c r="B943" s="146">
        <v>7939.0</v>
      </c>
      <c r="C943" s="32"/>
    </row>
    <row r="944">
      <c r="A944" s="11">
        <v>6.36495147E8</v>
      </c>
      <c r="B944" s="146">
        <v>7940.0</v>
      </c>
      <c r="C944" s="32"/>
    </row>
    <row r="945">
      <c r="A945" s="11">
        <v>8.64001942E8</v>
      </c>
      <c r="B945" s="146">
        <v>7941.0</v>
      </c>
      <c r="C945" s="32"/>
    </row>
    <row r="946">
      <c r="A946" s="11">
        <v>1.85155593E8</v>
      </c>
      <c r="B946" s="146">
        <v>7942.0</v>
      </c>
      <c r="C946" s="32"/>
    </row>
    <row r="947">
      <c r="A947" s="11">
        <v>4.71030193E8</v>
      </c>
      <c r="B947" s="146">
        <v>7943.0</v>
      </c>
      <c r="C947" s="32"/>
    </row>
    <row r="948">
      <c r="A948" s="11">
        <v>4.03511466E8</v>
      </c>
      <c r="B948" s="146">
        <v>7944.0</v>
      </c>
      <c r="C948" s="32"/>
    </row>
    <row r="949">
      <c r="A949" s="11">
        <v>2.09955061E8</v>
      </c>
      <c r="B949" s="146">
        <v>7945.0</v>
      </c>
      <c r="C949" s="32"/>
    </row>
    <row r="950">
      <c r="A950" s="11">
        <v>3.32947311E8</v>
      </c>
      <c r="B950" s="146">
        <v>7946.0</v>
      </c>
      <c r="C950" s="32"/>
    </row>
    <row r="951">
      <c r="A951" s="11">
        <v>4.20941978E8</v>
      </c>
      <c r="B951" s="146">
        <v>7947.0</v>
      </c>
      <c r="C951" s="32"/>
    </row>
    <row r="952">
      <c r="A952" s="11">
        <v>8.22375429E8</v>
      </c>
      <c r="B952" s="146">
        <v>7948.0</v>
      </c>
      <c r="C952" s="32"/>
    </row>
    <row r="953">
      <c r="A953" s="11">
        <v>1.51499058E8</v>
      </c>
      <c r="B953" s="146">
        <v>7949.0</v>
      </c>
      <c r="C953" s="32"/>
    </row>
    <row r="954">
      <c r="A954" s="11">
        <v>1.40409323E8</v>
      </c>
      <c r="B954" s="146">
        <v>7950.0</v>
      </c>
      <c r="C954" s="32"/>
    </row>
    <row r="955">
      <c r="A955" s="11">
        <v>1.48778984E8</v>
      </c>
      <c r="B955" s="146">
        <v>7951.0</v>
      </c>
      <c r="C955" s="32"/>
    </row>
    <row r="956">
      <c r="A956" s="11">
        <v>4.26847108E8</v>
      </c>
      <c r="B956" s="146">
        <v>7952.0</v>
      </c>
      <c r="C956" s="32"/>
    </row>
    <row r="957">
      <c r="A957" s="11">
        <v>8.59522466E8</v>
      </c>
      <c r="B957" s="146">
        <v>7953.0</v>
      </c>
      <c r="C957" s="32"/>
    </row>
    <row r="958">
      <c r="A958" s="11">
        <v>1.19838452E8</v>
      </c>
      <c r="B958" s="146">
        <v>7954.0</v>
      </c>
      <c r="C958" s="32"/>
    </row>
    <row r="959">
      <c r="A959" s="11">
        <v>3.34928737E8</v>
      </c>
      <c r="B959" s="146">
        <v>7955.0</v>
      </c>
      <c r="C959" s="32"/>
    </row>
    <row r="960">
      <c r="A960" s="11">
        <v>4.3515496E8</v>
      </c>
      <c r="B960" s="146">
        <v>7956.0</v>
      </c>
      <c r="C960" s="32"/>
    </row>
    <row r="961">
      <c r="A961" s="11">
        <v>5.54372206E8</v>
      </c>
      <c r="B961" s="146">
        <v>7957.0</v>
      </c>
      <c r="C961" s="32"/>
    </row>
    <row r="962">
      <c r="A962" s="11">
        <v>6.91434611E8</v>
      </c>
      <c r="B962" s="146">
        <v>7958.0</v>
      </c>
      <c r="C962" s="32"/>
    </row>
    <row r="963">
      <c r="A963" s="11">
        <v>3.8077823E8</v>
      </c>
      <c r="B963" s="146">
        <v>7959.0</v>
      </c>
      <c r="C963" s="32"/>
    </row>
    <row r="964">
      <c r="A964" s="11">
        <v>9.98801812E8</v>
      </c>
      <c r="B964" s="146">
        <v>7960.0</v>
      </c>
      <c r="C964" s="32"/>
    </row>
    <row r="965">
      <c r="A965" s="11">
        <v>1.76385395E8</v>
      </c>
      <c r="B965" s="146">
        <v>7961.0</v>
      </c>
      <c r="C965" s="32"/>
    </row>
    <row r="966">
      <c r="A966" s="11">
        <v>3.23181294E8</v>
      </c>
      <c r="B966" s="146">
        <v>7962.0</v>
      </c>
      <c r="C966" s="32"/>
    </row>
    <row r="967">
      <c r="A967" s="11">
        <v>7.16303137E8</v>
      </c>
      <c r="B967" s="146">
        <v>7963.0</v>
      </c>
      <c r="C967" s="32"/>
    </row>
    <row r="968">
      <c r="A968" s="11">
        <v>8.52694303E8</v>
      </c>
      <c r="B968" s="146">
        <v>7964.0</v>
      </c>
      <c r="C968" s="32"/>
    </row>
    <row r="969">
      <c r="A969" s="11">
        <v>6.39602231E8</v>
      </c>
      <c r="B969" s="146">
        <v>7965.0</v>
      </c>
      <c r="C969" s="32"/>
    </row>
    <row r="970">
      <c r="A970" s="11">
        <v>9.12732049E8</v>
      </c>
      <c r="B970" s="146">
        <v>7966.0</v>
      </c>
      <c r="C970" s="32"/>
    </row>
    <row r="971">
      <c r="A971" s="11">
        <v>8.92382947E8</v>
      </c>
      <c r="B971" s="146">
        <v>7967.0</v>
      </c>
      <c r="C971" s="32"/>
    </row>
    <row r="972">
      <c r="A972" s="11">
        <v>9.91693521E8</v>
      </c>
      <c r="B972" s="146">
        <v>7968.0</v>
      </c>
      <c r="C972" s="32"/>
    </row>
    <row r="973">
      <c r="A973" s="11">
        <v>8.22477416E8</v>
      </c>
      <c r="B973" s="146">
        <v>7969.0</v>
      </c>
      <c r="C973" s="32"/>
    </row>
    <row r="974">
      <c r="A974" s="11">
        <v>5.20398941E8</v>
      </c>
      <c r="B974" s="146">
        <v>7970.0</v>
      </c>
      <c r="C974" s="32"/>
    </row>
    <row r="975">
      <c r="A975" s="11">
        <v>3.74033841E8</v>
      </c>
      <c r="B975" s="146">
        <v>7971.0</v>
      </c>
      <c r="C975" s="32"/>
    </row>
    <row r="976">
      <c r="A976" s="11">
        <v>2.02547694E8</v>
      </c>
      <c r="B976" s="146">
        <v>7972.0</v>
      </c>
      <c r="C976" s="32"/>
    </row>
    <row r="977">
      <c r="A977" s="11">
        <v>2.07704144E8</v>
      </c>
      <c r="B977" s="146">
        <v>7973.0</v>
      </c>
      <c r="C977" s="32"/>
    </row>
    <row r="978">
      <c r="A978" s="11">
        <v>7.27956557E8</v>
      </c>
      <c r="B978" s="146">
        <v>7974.0</v>
      </c>
      <c r="C978" s="32"/>
    </row>
    <row r="979">
      <c r="A979" s="11">
        <v>8.87039963E8</v>
      </c>
      <c r="B979" s="146">
        <v>7975.0</v>
      </c>
      <c r="C979" s="32"/>
    </row>
    <row r="980">
      <c r="A980" s="11">
        <v>8.08925785E8</v>
      </c>
      <c r="B980" s="146">
        <v>7976.0</v>
      </c>
      <c r="C980" s="32"/>
    </row>
    <row r="981">
      <c r="A981" s="11">
        <v>1.04647704E8</v>
      </c>
      <c r="B981" s="146">
        <v>7977.0</v>
      </c>
      <c r="C981" s="32"/>
    </row>
    <row r="982">
      <c r="A982" s="11">
        <v>1.44179297E8</v>
      </c>
      <c r="B982" s="146">
        <v>7978.0</v>
      </c>
      <c r="C982" s="32"/>
    </row>
    <row r="983">
      <c r="A983" s="11">
        <v>7.06591441E8</v>
      </c>
      <c r="B983" s="146">
        <v>7979.0</v>
      </c>
      <c r="C983" s="32"/>
    </row>
    <row r="984">
      <c r="A984" s="11">
        <v>5.03557844E8</v>
      </c>
      <c r="B984" s="146">
        <v>7980.0</v>
      </c>
      <c r="C984" s="32"/>
    </row>
    <row r="985">
      <c r="A985" s="11">
        <v>4.34327021E8</v>
      </c>
      <c r="B985" s="146">
        <v>7981.0</v>
      </c>
      <c r="C985" s="32"/>
    </row>
    <row r="986">
      <c r="A986" s="11">
        <v>3.89881912E8</v>
      </c>
      <c r="B986" s="146">
        <v>7982.0</v>
      </c>
      <c r="C986" s="32"/>
    </row>
    <row r="987">
      <c r="A987" s="11">
        <v>6.3040833E8</v>
      </c>
      <c r="B987" s="146">
        <v>7983.0</v>
      </c>
      <c r="C987" s="32"/>
    </row>
    <row r="988">
      <c r="A988" s="11">
        <v>8.02900743E8</v>
      </c>
      <c r="B988" s="146">
        <v>7984.0</v>
      </c>
      <c r="C988" s="32"/>
    </row>
    <row r="989">
      <c r="A989" s="11">
        <v>6.15734342E8</v>
      </c>
      <c r="B989" s="146">
        <v>7985.0</v>
      </c>
      <c r="C989" s="32"/>
    </row>
    <row r="990">
      <c r="A990" s="11">
        <v>3.06948436E8</v>
      </c>
      <c r="B990" s="146">
        <v>7986.0</v>
      </c>
      <c r="C990" s="32"/>
    </row>
    <row r="991">
      <c r="A991" s="11">
        <v>4.99947688E8</v>
      </c>
      <c r="B991" s="146">
        <v>7987.0</v>
      </c>
      <c r="C991" s="32"/>
    </row>
    <row r="992">
      <c r="A992" s="11">
        <v>3.71936597E8</v>
      </c>
      <c r="B992" s="146">
        <v>7988.0</v>
      </c>
      <c r="C992" s="32"/>
    </row>
    <row r="993">
      <c r="A993" s="11">
        <v>8.56596111E8</v>
      </c>
      <c r="B993" s="146">
        <v>7989.0</v>
      </c>
      <c r="C993" s="32"/>
    </row>
    <row r="994">
      <c r="A994" s="11">
        <v>3.44429316E8</v>
      </c>
      <c r="B994" s="146">
        <v>7990.0</v>
      </c>
      <c r="C994" s="32"/>
    </row>
    <row r="995">
      <c r="A995" s="11">
        <v>1.48829224E8</v>
      </c>
      <c r="B995" s="146">
        <v>7991.0</v>
      </c>
      <c r="C995" s="32"/>
    </row>
    <row r="996">
      <c r="A996" s="11">
        <v>5.78152089E8</v>
      </c>
      <c r="B996" s="146">
        <v>7992.0</v>
      </c>
      <c r="C996" s="32"/>
    </row>
    <row r="997">
      <c r="A997" s="11">
        <v>8.16359979E8</v>
      </c>
      <c r="B997" s="146">
        <v>7993.0</v>
      </c>
      <c r="C997" s="32"/>
    </row>
    <row r="998">
      <c r="A998" s="11">
        <v>4.73193463E8</v>
      </c>
      <c r="B998" s="146">
        <v>7994.0</v>
      </c>
      <c r="C998" s="32"/>
    </row>
    <row r="999">
      <c r="A999" s="11">
        <v>3.18203426E8</v>
      </c>
      <c r="B999" s="146">
        <v>7995.0</v>
      </c>
      <c r="C999" s="32"/>
    </row>
    <row r="1000">
      <c r="A1000" s="11">
        <v>8.59328901E8</v>
      </c>
      <c r="B1000" s="146">
        <v>7996.0</v>
      </c>
      <c r="C1000" s="32"/>
    </row>
    <row r="1001">
      <c r="A1001" s="11">
        <v>4.91881402E8</v>
      </c>
      <c r="B1001" s="146">
        <v>7997.0</v>
      </c>
      <c r="C1001" s="32"/>
    </row>
    <row r="1002">
      <c r="A1002" s="11">
        <v>5.09389448E8</v>
      </c>
      <c r="B1002" s="146">
        <v>7998.0</v>
      </c>
      <c r="C1002" s="32"/>
    </row>
    <row r="1003">
      <c r="A1003" s="11">
        <v>1.21511868E8</v>
      </c>
      <c r="B1003" s="146">
        <v>7999.0</v>
      </c>
      <c r="C1003" s="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5"/>
    <col customWidth="1" min="3" max="3" width="20.5"/>
  </cols>
  <sheetData>
    <row r="1">
      <c r="A1" s="147">
        <v>99.0</v>
      </c>
      <c r="B1" s="148" t="s">
        <v>4103</v>
      </c>
      <c r="C1" s="149" t="s">
        <v>555</v>
      </c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</row>
    <row r="2">
      <c r="A2" s="151" t="s">
        <v>5117</v>
      </c>
      <c r="B2" s="152" t="s">
        <v>5118</v>
      </c>
      <c r="C2" s="60" t="s">
        <v>2776</v>
      </c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>
      <c r="A3" s="153" t="s">
        <v>5119</v>
      </c>
      <c r="B3" s="154" t="s">
        <v>5120</v>
      </c>
      <c r="C3" s="155" t="s">
        <v>5121</v>
      </c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>
      <c r="A4" s="151">
        <v>0.0</v>
      </c>
      <c r="B4" s="148">
        <v>20000.0</v>
      </c>
      <c r="C4" s="50">
        <v>11413.0</v>
      </c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>
      <c r="A5" s="151">
        <v>1.0</v>
      </c>
      <c r="B5" s="148">
        <v>20001.0</v>
      </c>
      <c r="C5" s="50">
        <v>21721.0</v>
      </c>
      <c r="D5" s="150"/>
      <c r="E5" s="150"/>
      <c r="F5" s="150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50"/>
      <c r="S5" s="150"/>
      <c r="T5" s="150"/>
      <c r="U5" s="150"/>
      <c r="V5" s="150"/>
      <c r="W5" s="150"/>
      <c r="X5" s="150"/>
      <c r="Y5" s="150"/>
    </row>
    <row r="6">
      <c r="A6" s="151">
        <v>1.0</v>
      </c>
      <c r="B6" s="156">
        <v>20002.0</v>
      </c>
      <c r="C6" s="50">
        <v>11518.0</v>
      </c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</row>
    <row r="7">
      <c r="A7" s="151">
        <v>1.0</v>
      </c>
      <c r="B7" s="156">
        <v>20003.0</v>
      </c>
      <c r="C7" s="50">
        <v>51915.0</v>
      </c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150"/>
      <c r="W7" s="150"/>
      <c r="X7" s="150"/>
      <c r="Y7" s="150"/>
    </row>
    <row r="8">
      <c r="A8" s="151">
        <v>1.0</v>
      </c>
      <c r="B8" s="148">
        <v>20004.0</v>
      </c>
      <c r="C8" s="50">
        <v>122915.0</v>
      </c>
      <c r="D8" s="150"/>
      <c r="E8" s="150"/>
      <c r="F8" s="150"/>
      <c r="G8" s="150"/>
      <c r="H8" s="150"/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</row>
    <row r="9">
      <c r="A9" s="151">
        <v>0.0</v>
      </c>
      <c r="B9" s="148">
        <v>20005.0</v>
      </c>
      <c r="C9" s="50">
        <v>21513.0</v>
      </c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</row>
    <row r="10">
      <c r="A10" s="151">
        <v>1.0</v>
      </c>
      <c r="B10" s="156">
        <v>20006.0</v>
      </c>
      <c r="C10" s="50">
        <v>61920.0</v>
      </c>
      <c r="D10" s="150"/>
      <c r="E10" s="150"/>
      <c r="F10" s="150"/>
      <c r="G10" s="150"/>
      <c r="H10" s="150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</row>
    <row r="11">
      <c r="A11" s="151">
        <v>1.0</v>
      </c>
      <c r="B11" s="156">
        <v>20007.0</v>
      </c>
      <c r="C11" s="50">
        <v>112815.0</v>
      </c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</row>
    <row r="12">
      <c r="A12" s="151">
        <v>1.0</v>
      </c>
      <c r="B12" s="148">
        <v>20008.0</v>
      </c>
      <c r="C12" s="50">
        <v>111313.0</v>
      </c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</row>
    <row r="13">
      <c r="A13" s="151">
        <v>0.0</v>
      </c>
      <c r="B13" s="148">
        <v>20009.0</v>
      </c>
      <c r="C13" s="50">
        <v>71820.0</v>
      </c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</row>
    <row r="14">
      <c r="A14" s="151">
        <v>0.0</v>
      </c>
      <c r="B14" s="156">
        <v>20010.0</v>
      </c>
      <c r="C14" s="50">
        <v>31014.0</v>
      </c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</row>
    <row r="15">
      <c r="A15" s="151">
        <v>0.0</v>
      </c>
      <c r="B15" s="148">
        <v>20011.0</v>
      </c>
      <c r="C15" s="50">
        <v>71821.0</v>
      </c>
      <c r="D15" s="150"/>
      <c r="E15" s="150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</row>
    <row r="16">
      <c r="A16" s="151">
        <v>1.0</v>
      </c>
      <c r="B16" s="148">
        <v>20012.0</v>
      </c>
      <c r="C16" s="50">
        <v>72318.0</v>
      </c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</row>
    <row r="17">
      <c r="A17" s="151">
        <v>1.0</v>
      </c>
      <c r="B17" s="156">
        <v>20013.0</v>
      </c>
      <c r="C17" s="50">
        <v>111621.0</v>
      </c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</row>
    <row r="18">
      <c r="A18" s="151">
        <v>0.0</v>
      </c>
      <c r="B18" s="156">
        <v>20014.0</v>
      </c>
      <c r="C18" s="50">
        <v>32717.0</v>
      </c>
      <c r="D18" s="150"/>
      <c r="E18" s="150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</row>
    <row r="19">
      <c r="A19" s="151">
        <v>1.0</v>
      </c>
      <c r="B19" s="148">
        <v>20015.0</v>
      </c>
      <c r="C19" s="50">
        <v>81115.0</v>
      </c>
      <c r="D19" s="150"/>
      <c r="E19" s="150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</row>
    <row r="20">
      <c r="A20" s="151">
        <v>0.0</v>
      </c>
      <c r="B20" s="148">
        <v>20016.0</v>
      </c>
      <c r="C20" s="50">
        <v>50813.0</v>
      </c>
      <c r="D20" s="150"/>
      <c r="E20" s="150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</row>
    <row r="21">
      <c r="A21" s="151">
        <v>0.0</v>
      </c>
      <c r="B21" s="156">
        <v>20017.0</v>
      </c>
      <c r="C21" s="50">
        <v>92920.0</v>
      </c>
      <c r="D21" s="150"/>
      <c r="E21" s="150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</row>
    <row r="22">
      <c r="A22" s="151">
        <v>0.0</v>
      </c>
      <c r="B22" s="156">
        <v>20018.0</v>
      </c>
      <c r="C22" s="50">
        <v>21519.0</v>
      </c>
      <c r="D22" s="150"/>
      <c r="E22" s="150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</row>
    <row r="23">
      <c r="A23" s="151">
        <v>1.0</v>
      </c>
      <c r="B23" s="148">
        <v>20019.0</v>
      </c>
      <c r="C23" s="50">
        <v>81220.0</v>
      </c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</row>
    <row r="24">
      <c r="A24" s="151">
        <v>0.0</v>
      </c>
      <c r="B24" s="148">
        <v>20020.0</v>
      </c>
      <c r="C24" s="50">
        <v>70918.0</v>
      </c>
      <c r="D24" s="150"/>
      <c r="E24" s="150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</row>
    <row r="25">
      <c r="A25" s="151">
        <v>0.0</v>
      </c>
      <c r="B25" s="156">
        <v>20021.0</v>
      </c>
      <c r="C25" s="50">
        <v>120518.0</v>
      </c>
      <c r="D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</row>
    <row r="26">
      <c r="A26" s="151">
        <v>1.0</v>
      </c>
      <c r="B26" s="148">
        <v>20022.0</v>
      </c>
      <c r="C26" s="50">
        <v>120219.0</v>
      </c>
      <c r="D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</row>
    <row r="27">
      <c r="A27" s="151">
        <v>1.0</v>
      </c>
      <c r="B27" s="148">
        <v>20023.0</v>
      </c>
      <c r="C27" s="50">
        <v>42614.0</v>
      </c>
      <c r="D27" s="150"/>
      <c r="E27" s="150"/>
      <c r="F27" s="150"/>
      <c r="G27" s="150"/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</row>
    <row r="28">
      <c r="A28" s="151">
        <v>0.0</v>
      </c>
      <c r="B28" s="156">
        <v>20024.0</v>
      </c>
      <c r="C28" s="50">
        <v>21220.0</v>
      </c>
      <c r="D28" s="150"/>
      <c r="E28" s="150"/>
      <c r="F28" s="150"/>
      <c r="G28" s="150"/>
      <c r="H28" s="150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</row>
    <row r="29">
      <c r="A29" s="151">
        <v>1.0</v>
      </c>
      <c r="B29" s="156">
        <v>20025.0</v>
      </c>
      <c r="C29" s="50">
        <v>60118.0</v>
      </c>
      <c r="D29" s="150"/>
      <c r="E29" s="150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</row>
    <row r="30">
      <c r="A30" s="151">
        <v>1.0</v>
      </c>
      <c r="B30" s="148">
        <v>20026.0</v>
      </c>
      <c r="C30" s="50">
        <v>41813.0</v>
      </c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</row>
    <row r="31">
      <c r="A31" s="151">
        <v>0.0</v>
      </c>
      <c r="B31" s="148">
        <v>20027.0</v>
      </c>
      <c r="C31" s="50">
        <v>110416.0</v>
      </c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</row>
    <row r="32">
      <c r="A32" s="151">
        <v>0.0</v>
      </c>
      <c r="B32" s="156">
        <v>20028.0</v>
      </c>
      <c r="C32" s="50">
        <v>80922.0</v>
      </c>
      <c r="D32" s="150"/>
      <c r="E32" s="150"/>
      <c r="F32" s="150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</row>
    <row r="33">
      <c r="A33" s="151">
        <v>0.0</v>
      </c>
      <c r="B33" s="156">
        <v>20029.0</v>
      </c>
      <c r="C33" s="50">
        <v>52817.0</v>
      </c>
      <c r="D33" s="150"/>
      <c r="E33" s="150"/>
      <c r="F33" s="150"/>
      <c r="G33" s="150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</row>
    <row r="34">
      <c r="A34" s="151">
        <v>0.0</v>
      </c>
      <c r="B34" s="148">
        <v>20030.0</v>
      </c>
      <c r="C34" s="50">
        <v>42814.0</v>
      </c>
      <c r="D34" s="150"/>
      <c r="E34" s="150"/>
      <c r="F34" s="150"/>
      <c r="G34" s="150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</row>
    <row r="35">
      <c r="A35" s="151">
        <v>0.0</v>
      </c>
      <c r="B35" s="148">
        <v>20031.0</v>
      </c>
      <c r="C35" s="50">
        <v>50514.0</v>
      </c>
      <c r="D35" s="150"/>
      <c r="E35" s="150"/>
      <c r="F35" s="150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</row>
    <row r="36">
      <c r="A36" s="151">
        <v>0.0</v>
      </c>
      <c r="B36" s="156">
        <v>20032.0</v>
      </c>
      <c r="C36" s="50">
        <v>101415.0</v>
      </c>
      <c r="D36" s="150"/>
      <c r="E36" s="150"/>
      <c r="F36" s="150"/>
      <c r="G36" s="150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</row>
    <row r="37">
      <c r="A37" s="151">
        <v>1.0</v>
      </c>
      <c r="B37" s="148">
        <v>20033.0</v>
      </c>
      <c r="C37" s="50">
        <v>12215.0</v>
      </c>
      <c r="D37" s="150"/>
      <c r="E37" s="150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</row>
    <row r="38">
      <c r="A38" s="151">
        <v>1.0</v>
      </c>
      <c r="B38" s="148">
        <v>20034.0</v>
      </c>
      <c r="C38" s="50">
        <v>120220.0</v>
      </c>
      <c r="D38" s="150"/>
      <c r="E38" s="150"/>
      <c r="F38" s="150"/>
      <c r="G38" s="150"/>
      <c r="H38" s="150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</row>
    <row r="39">
      <c r="A39" s="151">
        <v>1.0</v>
      </c>
      <c r="B39" s="156">
        <v>20035.0</v>
      </c>
      <c r="C39" s="50">
        <v>122314.0</v>
      </c>
      <c r="D39" s="150"/>
      <c r="E39" s="150"/>
      <c r="F39" s="150"/>
      <c r="G39" s="150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</row>
    <row r="40">
      <c r="A40" s="151">
        <v>0.0</v>
      </c>
      <c r="B40" s="156">
        <v>20036.0</v>
      </c>
      <c r="C40" s="50">
        <v>63021.0</v>
      </c>
      <c r="D40" s="150"/>
      <c r="E40" s="150"/>
      <c r="F40" s="150"/>
      <c r="G40" s="150"/>
      <c r="H40" s="150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</row>
    <row r="41">
      <c r="A41" s="151">
        <v>1.0</v>
      </c>
      <c r="B41" s="148">
        <v>20037.0</v>
      </c>
      <c r="C41" s="50">
        <v>92922.0</v>
      </c>
      <c r="D41" s="150"/>
      <c r="E41" s="150"/>
      <c r="F41" s="150"/>
      <c r="G41" s="150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</row>
    <row r="42">
      <c r="A42" s="151">
        <v>0.0</v>
      </c>
      <c r="B42" s="148">
        <v>20038.0</v>
      </c>
      <c r="C42" s="50">
        <v>42622.0</v>
      </c>
      <c r="D42" s="150"/>
      <c r="E42" s="150"/>
      <c r="F42" s="150"/>
      <c r="G42" s="150"/>
      <c r="H42" s="150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</row>
    <row r="43">
      <c r="A43" s="151">
        <v>1.0</v>
      </c>
      <c r="B43" s="156">
        <v>20039.0</v>
      </c>
      <c r="C43" s="50">
        <v>111616.0</v>
      </c>
      <c r="D43" s="150"/>
      <c r="E43" s="150"/>
      <c r="F43" s="150"/>
      <c r="G43" s="150"/>
      <c r="H43" s="150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</row>
    <row r="44">
      <c r="A44" s="151">
        <v>1.0</v>
      </c>
      <c r="B44" s="156">
        <v>20040.0</v>
      </c>
      <c r="C44" s="50">
        <v>51218.0</v>
      </c>
      <c r="D44" s="150"/>
      <c r="E44" s="150"/>
      <c r="F44" s="150"/>
      <c r="G44" s="150"/>
      <c r="H44" s="150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</row>
    <row r="45">
      <c r="A45" s="151">
        <v>1.0</v>
      </c>
      <c r="B45" s="148">
        <v>20041.0</v>
      </c>
      <c r="C45" s="50">
        <v>110715.0</v>
      </c>
      <c r="D45" s="150"/>
      <c r="E45" s="150"/>
      <c r="F45" s="150"/>
      <c r="G45" s="150"/>
      <c r="H45" s="150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</row>
    <row r="46">
      <c r="A46" s="151">
        <v>1.0</v>
      </c>
      <c r="B46" s="148">
        <v>20042.0</v>
      </c>
      <c r="C46" s="50">
        <v>92114.0</v>
      </c>
      <c r="D46" s="150"/>
      <c r="E46" s="150"/>
      <c r="F46" s="150"/>
      <c r="G46" s="150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</row>
    <row r="47">
      <c r="A47" s="151">
        <v>1.0</v>
      </c>
      <c r="B47" s="156">
        <v>20043.0</v>
      </c>
      <c r="C47" s="50">
        <v>91015.0</v>
      </c>
      <c r="D47" s="150"/>
      <c r="E47" s="150"/>
      <c r="F47" s="150"/>
      <c r="G47" s="150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</row>
    <row r="48">
      <c r="A48" s="151">
        <v>1.0</v>
      </c>
      <c r="B48" s="148">
        <v>20044.0</v>
      </c>
      <c r="C48" s="50">
        <v>71121.0</v>
      </c>
      <c r="D48" s="150"/>
      <c r="E48" s="150"/>
      <c r="F48" s="150"/>
      <c r="G48" s="150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</row>
    <row r="49">
      <c r="A49" s="151">
        <v>0.0</v>
      </c>
      <c r="B49" s="148">
        <v>20045.0</v>
      </c>
      <c r="C49" s="50">
        <v>51217.0</v>
      </c>
      <c r="D49" s="150"/>
      <c r="E49" s="150"/>
      <c r="F49" s="150"/>
      <c r="G49" s="150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</row>
    <row r="50">
      <c r="A50" s="151">
        <v>0.0</v>
      </c>
      <c r="B50" s="156">
        <v>20046.0</v>
      </c>
      <c r="C50" s="50">
        <v>73013.0</v>
      </c>
      <c r="D50" s="150"/>
      <c r="E50" s="150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</row>
    <row r="51">
      <c r="A51" s="151">
        <v>0.0</v>
      </c>
      <c r="B51" s="156">
        <v>20047.0</v>
      </c>
      <c r="C51" s="50">
        <v>103017.0</v>
      </c>
      <c r="D51" s="150"/>
      <c r="E51" s="150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</row>
    <row r="52">
      <c r="A52" s="151">
        <v>0.0</v>
      </c>
      <c r="B52" s="148">
        <v>20048.0</v>
      </c>
      <c r="C52" s="50">
        <v>72714.0</v>
      </c>
      <c r="D52" s="150"/>
      <c r="E52" s="150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</row>
    <row r="53">
      <c r="A53" s="151">
        <v>0.0</v>
      </c>
      <c r="B53" s="148">
        <v>20049.0</v>
      </c>
      <c r="C53" s="50">
        <v>101213.0</v>
      </c>
      <c r="D53" s="150"/>
      <c r="E53" s="150"/>
      <c r="F53" s="150"/>
      <c r="G53" s="150"/>
      <c r="H53" s="150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</row>
    <row r="54">
      <c r="A54" s="151">
        <v>1.0</v>
      </c>
      <c r="B54" s="156">
        <v>20050.0</v>
      </c>
      <c r="C54" s="50">
        <v>62515.0</v>
      </c>
      <c r="D54" s="150"/>
      <c r="E54" s="150"/>
      <c r="F54" s="150"/>
      <c r="G54" s="150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</row>
    <row r="55">
      <c r="A55" s="151">
        <v>0.0</v>
      </c>
      <c r="B55" s="156">
        <v>20051.0</v>
      </c>
      <c r="C55" s="50">
        <v>32817.0</v>
      </c>
      <c r="D55" s="150"/>
      <c r="E55" s="150"/>
      <c r="F55" s="150"/>
      <c r="G55" s="150"/>
      <c r="H55" s="150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</row>
    <row r="56">
      <c r="A56" s="151">
        <v>0.0</v>
      </c>
      <c r="B56" s="148">
        <v>20052.0</v>
      </c>
      <c r="C56" s="50">
        <v>61116.0</v>
      </c>
      <c r="D56" s="150"/>
      <c r="E56" s="150"/>
      <c r="F56" s="150"/>
      <c r="G56" s="150"/>
      <c r="H56" s="150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</row>
    <row r="57">
      <c r="A57" s="151">
        <v>0.0</v>
      </c>
      <c r="B57" s="148">
        <v>20053.0</v>
      </c>
      <c r="C57" s="50">
        <v>60318.0</v>
      </c>
      <c r="D57" s="150"/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</row>
    <row r="58">
      <c r="A58" s="151">
        <v>1.0</v>
      </c>
      <c r="B58" s="156">
        <v>20054.0</v>
      </c>
      <c r="C58" s="50">
        <v>10919.0</v>
      </c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</row>
    <row r="59">
      <c r="A59" s="151">
        <v>1.0</v>
      </c>
      <c r="B59" s="148">
        <v>20055.0</v>
      </c>
      <c r="C59" s="50">
        <v>110413.0</v>
      </c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</row>
    <row r="60">
      <c r="A60" s="151">
        <v>0.0</v>
      </c>
      <c r="B60" s="148">
        <v>20056.0</v>
      </c>
      <c r="C60" s="50">
        <v>90519.0</v>
      </c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</row>
    <row r="61">
      <c r="A61" s="151">
        <v>1.0</v>
      </c>
      <c r="B61" s="156">
        <v>20057.0</v>
      </c>
      <c r="C61" s="50">
        <v>31713.0</v>
      </c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</row>
    <row r="62">
      <c r="A62" s="151">
        <v>1.0</v>
      </c>
      <c r="B62" s="156">
        <v>20058.0</v>
      </c>
      <c r="C62" s="50">
        <v>62222.0</v>
      </c>
      <c r="D62" s="150"/>
      <c r="E62" s="150"/>
      <c r="F62" s="150"/>
      <c r="G62" s="150"/>
      <c r="H62" s="150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</row>
    <row r="63">
      <c r="A63" s="151">
        <v>1.0</v>
      </c>
      <c r="B63" s="148">
        <v>20059.0</v>
      </c>
      <c r="C63" s="50">
        <v>72017.0</v>
      </c>
      <c r="D63" s="150"/>
      <c r="E63" s="150"/>
      <c r="F63" s="150"/>
      <c r="G63" s="150"/>
      <c r="H63" s="150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</row>
    <row r="64">
      <c r="A64" s="151">
        <v>1.0</v>
      </c>
      <c r="B64" s="148">
        <v>20060.0</v>
      </c>
      <c r="C64" s="50">
        <v>101320.0</v>
      </c>
      <c r="D64" s="150"/>
      <c r="E64" s="150"/>
      <c r="F64" s="150"/>
      <c r="G64" s="150"/>
      <c r="H64" s="150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</row>
    <row r="65">
      <c r="A65" s="151">
        <v>1.0</v>
      </c>
      <c r="B65" s="156">
        <v>20061.0</v>
      </c>
      <c r="C65" s="50">
        <v>22422.0</v>
      </c>
      <c r="D65" s="150"/>
      <c r="E65" s="150"/>
      <c r="F65" s="150"/>
      <c r="G65" s="150"/>
      <c r="H65" s="150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</row>
    <row r="66">
      <c r="A66" s="151">
        <v>0.0</v>
      </c>
      <c r="B66" s="156">
        <v>20062.0</v>
      </c>
      <c r="C66" s="50">
        <v>60813.0</v>
      </c>
      <c r="D66" s="150"/>
      <c r="E66" s="150"/>
      <c r="F66" s="150"/>
      <c r="G66" s="150"/>
      <c r="H66" s="150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</row>
    <row r="67">
      <c r="A67" s="151">
        <v>1.0</v>
      </c>
      <c r="B67" s="148">
        <v>20063.0</v>
      </c>
      <c r="C67" s="50">
        <v>93014.0</v>
      </c>
      <c r="D67" s="150"/>
      <c r="E67" s="150"/>
      <c r="F67" s="150"/>
      <c r="G67" s="150"/>
      <c r="H67" s="150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</row>
    <row r="68">
      <c r="A68" s="151">
        <v>0.0</v>
      </c>
      <c r="B68" s="148">
        <v>20064.0</v>
      </c>
      <c r="C68" s="50">
        <v>42313.0</v>
      </c>
      <c r="D68" s="150"/>
      <c r="E68" s="150"/>
      <c r="F68" s="150"/>
      <c r="G68" s="150"/>
      <c r="H68" s="150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</row>
    <row r="69">
      <c r="A69" s="151">
        <v>0.0</v>
      </c>
      <c r="B69" s="156">
        <v>20065.0</v>
      </c>
      <c r="C69" s="50">
        <v>22020.0</v>
      </c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</row>
    <row r="70">
      <c r="A70" s="151">
        <v>1.0</v>
      </c>
      <c r="B70" s="148">
        <v>20066.0</v>
      </c>
      <c r="C70" s="50">
        <v>100914.0</v>
      </c>
      <c r="D70" s="150"/>
      <c r="E70" s="150"/>
      <c r="F70" s="150"/>
      <c r="G70" s="150"/>
      <c r="H70" s="150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</row>
    <row r="71">
      <c r="A71" s="151">
        <v>0.0</v>
      </c>
      <c r="B71" s="148">
        <v>20067.0</v>
      </c>
      <c r="C71" s="50">
        <v>111119.0</v>
      </c>
      <c r="D71" s="150"/>
      <c r="E71" s="150"/>
      <c r="F71" s="150"/>
      <c r="G71" s="150"/>
      <c r="H71" s="150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</row>
    <row r="72">
      <c r="A72" s="151">
        <v>0.0</v>
      </c>
      <c r="B72" s="156">
        <v>20068.0</v>
      </c>
      <c r="C72" s="50">
        <v>11420.0</v>
      </c>
      <c r="D72" s="150"/>
      <c r="E72" s="150"/>
      <c r="F72" s="150"/>
      <c r="G72" s="150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</row>
    <row r="73">
      <c r="A73" s="151">
        <v>0.0</v>
      </c>
      <c r="B73" s="156">
        <v>20069.0</v>
      </c>
      <c r="C73" s="50">
        <v>73121.0</v>
      </c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</row>
    <row r="74">
      <c r="A74" s="151">
        <v>1.0</v>
      </c>
      <c r="B74" s="148">
        <v>20070.0</v>
      </c>
      <c r="C74" s="50">
        <v>120120.0</v>
      </c>
      <c r="D74" s="150"/>
      <c r="E74" s="150"/>
      <c r="F74" s="150"/>
      <c r="G74" s="150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</row>
    <row r="75">
      <c r="A75" s="151">
        <v>0.0</v>
      </c>
      <c r="B75" s="148">
        <v>20071.0</v>
      </c>
      <c r="C75" s="50">
        <v>60514.0</v>
      </c>
      <c r="D75" s="150"/>
      <c r="E75" s="150"/>
      <c r="F75" s="150"/>
      <c r="G75" s="150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</row>
    <row r="76">
      <c r="A76" s="151">
        <v>0.0</v>
      </c>
      <c r="B76" s="156">
        <v>20072.0</v>
      </c>
      <c r="C76" s="50">
        <v>50122.0</v>
      </c>
      <c r="D76" s="150"/>
      <c r="E76" s="150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</row>
    <row r="77">
      <c r="A77" s="151">
        <v>0.0</v>
      </c>
      <c r="B77" s="156">
        <v>20073.0</v>
      </c>
      <c r="C77" s="50">
        <v>100519.0</v>
      </c>
      <c r="D77" s="150"/>
      <c r="E77" s="150"/>
      <c r="F77" s="150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</row>
    <row r="78">
      <c r="A78" s="151">
        <v>1.0</v>
      </c>
      <c r="B78" s="148">
        <v>20074.0</v>
      </c>
      <c r="C78" s="50">
        <v>102916.0</v>
      </c>
      <c r="D78" s="150"/>
      <c r="E78" s="150"/>
      <c r="F78" s="150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</row>
    <row r="79">
      <c r="A79" s="151">
        <v>1.0</v>
      </c>
      <c r="B79" s="148">
        <v>20075.0</v>
      </c>
      <c r="C79" s="50">
        <v>100121.0</v>
      </c>
      <c r="D79" s="150"/>
      <c r="E79" s="150"/>
      <c r="F79" s="150"/>
      <c r="G79" s="150"/>
      <c r="H79" s="150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</row>
    <row r="80">
      <c r="A80" s="151">
        <v>0.0</v>
      </c>
      <c r="B80" s="156">
        <v>20076.0</v>
      </c>
      <c r="C80" s="50">
        <v>102919.0</v>
      </c>
      <c r="D80" s="150"/>
      <c r="E80" s="150"/>
      <c r="F80" s="150"/>
      <c r="G80" s="150"/>
      <c r="H80" s="150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</row>
    <row r="81">
      <c r="A81" s="151">
        <v>0.0</v>
      </c>
      <c r="B81" s="148">
        <v>20077.0</v>
      </c>
      <c r="C81" s="50">
        <v>122015.0</v>
      </c>
      <c r="D81" s="150"/>
      <c r="E81" s="150"/>
      <c r="F81" s="150"/>
      <c r="G81" s="150"/>
      <c r="H81" s="150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</row>
    <row r="82">
      <c r="A82" s="151">
        <v>1.0</v>
      </c>
      <c r="B82" s="148">
        <v>20078.0</v>
      </c>
      <c r="C82" s="50">
        <v>91615.0</v>
      </c>
      <c r="D82" s="150"/>
      <c r="E82" s="150"/>
      <c r="F82" s="150"/>
      <c r="G82" s="150"/>
      <c r="H82" s="150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</row>
    <row r="83">
      <c r="A83" s="151">
        <v>0.0</v>
      </c>
      <c r="B83" s="156">
        <v>20079.0</v>
      </c>
      <c r="C83" s="50">
        <v>42916.0</v>
      </c>
      <c r="D83" s="150"/>
      <c r="E83" s="150"/>
      <c r="F83" s="150"/>
      <c r="G83" s="150"/>
      <c r="H83" s="150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</row>
    <row r="84">
      <c r="A84" s="151">
        <v>1.0</v>
      </c>
      <c r="B84" s="156">
        <v>20080.0</v>
      </c>
      <c r="C84" s="50">
        <v>71313.0</v>
      </c>
      <c r="D84" s="150"/>
      <c r="E84" s="150"/>
      <c r="F84" s="150"/>
      <c r="G84" s="150"/>
      <c r="H84" s="150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</row>
    <row r="85">
      <c r="A85" s="151">
        <v>0.0</v>
      </c>
      <c r="B85" s="148">
        <v>20081.0</v>
      </c>
      <c r="C85" s="50">
        <v>110820.0</v>
      </c>
      <c r="D85" s="150"/>
      <c r="E85" s="150"/>
      <c r="F85" s="150"/>
      <c r="G85" s="150"/>
      <c r="H85" s="150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</row>
    <row r="86">
      <c r="A86" s="151">
        <v>0.0</v>
      </c>
      <c r="B86" s="148">
        <v>20082.0</v>
      </c>
      <c r="C86" s="50">
        <v>31720.0</v>
      </c>
      <c r="D86" s="150"/>
      <c r="E86" s="150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</row>
    <row r="87">
      <c r="A87" s="151">
        <v>1.0</v>
      </c>
      <c r="B87" s="156">
        <v>20083.0</v>
      </c>
      <c r="C87" s="50">
        <v>121815.0</v>
      </c>
      <c r="D87" s="150"/>
      <c r="E87" s="150"/>
      <c r="F87" s="150"/>
      <c r="G87" s="150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</row>
    <row r="88">
      <c r="A88" s="151">
        <v>1.0</v>
      </c>
      <c r="B88" s="156">
        <v>20084.0</v>
      </c>
      <c r="C88" s="50">
        <v>10719.0</v>
      </c>
      <c r="D88" s="150"/>
      <c r="E88" s="150"/>
      <c r="F88" s="150"/>
      <c r="G88" s="150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</row>
    <row r="89">
      <c r="A89" s="151">
        <v>1.0</v>
      </c>
      <c r="B89" s="148">
        <v>20085.0</v>
      </c>
      <c r="C89" s="50">
        <v>122316.0</v>
      </c>
      <c r="D89" s="150"/>
      <c r="E89" s="150"/>
      <c r="F89" s="150"/>
      <c r="G89" s="150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</row>
    <row r="90">
      <c r="A90" s="151">
        <v>0.0</v>
      </c>
      <c r="B90" s="148">
        <v>20086.0</v>
      </c>
      <c r="C90" s="50">
        <v>82315.0</v>
      </c>
      <c r="D90" s="150"/>
      <c r="E90" s="150"/>
      <c r="F90" s="150"/>
      <c r="G90" s="150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</row>
    <row r="91">
      <c r="A91" s="151">
        <v>1.0</v>
      </c>
      <c r="B91" s="156">
        <v>20087.0</v>
      </c>
      <c r="C91" s="50">
        <v>21017.0</v>
      </c>
      <c r="D91" s="150"/>
      <c r="E91" s="150"/>
      <c r="F91" s="150"/>
      <c r="G91" s="150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</row>
    <row r="92">
      <c r="A92" s="151">
        <v>0.0</v>
      </c>
      <c r="B92" s="148">
        <v>20088.0</v>
      </c>
      <c r="C92" s="50">
        <v>70520.0</v>
      </c>
      <c r="D92" s="150"/>
      <c r="E92" s="150"/>
      <c r="F92" s="150"/>
      <c r="G92" s="150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</row>
    <row r="93">
      <c r="A93" s="151">
        <v>1.0</v>
      </c>
      <c r="B93" s="148">
        <v>20089.0</v>
      </c>
      <c r="C93" s="50">
        <v>72113.0</v>
      </c>
      <c r="D93" s="150"/>
      <c r="E93" s="150"/>
      <c r="F93" s="150"/>
      <c r="G93" s="150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</row>
    <row r="94">
      <c r="A94" s="151">
        <v>1.0</v>
      </c>
      <c r="B94" s="156">
        <v>20090.0</v>
      </c>
      <c r="C94" s="50">
        <v>121216.0</v>
      </c>
      <c r="D94" s="150"/>
      <c r="E94" s="150"/>
      <c r="F94" s="150"/>
      <c r="G94" s="150"/>
      <c r="H94" s="150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</row>
    <row r="95">
      <c r="A95" s="151">
        <v>0.0</v>
      </c>
      <c r="B95" s="156">
        <v>20091.0</v>
      </c>
      <c r="C95" s="50">
        <v>52119.0</v>
      </c>
      <c r="D95" s="150"/>
      <c r="E95" s="150"/>
      <c r="F95" s="150"/>
      <c r="G95" s="150"/>
      <c r="H95" s="150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</row>
    <row r="96">
      <c r="A96" s="151">
        <v>0.0</v>
      </c>
      <c r="B96" s="148">
        <v>20092.0</v>
      </c>
      <c r="C96" s="50">
        <v>92617.0</v>
      </c>
      <c r="D96" s="150"/>
      <c r="E96" s="150"/>
      <c r="F96" s="150"/>
      <c r="G96" s="150"/>
      <c r="H96" s="150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</row>
    <row r="97">
      <c r="A97" s="151">
        <v>1.0</v>
      </c>
      <c r="B97" s="148">
        <v>20093.0</v>
      </c>
      <c r="C97" s="50">
        <v>31222.0</v>
      </c>
      <c r="D97" s="150"/>
      <c r="E97" s="150"/>
      <c r="F97" s="150"/>
      <c r="G97" s="150"/>
      <c r="H97" s="150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</row>
    <row r="98">
      <c r="A98" s="151">
        <v>1.0</v>
      </c>
      <c r="B98" s="156">
        <v>20094.0</v>
      </c>
      <c r="C98" s="50">
        <v>121417.0</v>
      </c>
      <c r="D98" s="150"/>
      <c r="E98" s="150"/>
      <c r="F98" s="150"/>
      <c r="G98" s="150"/>
      <c r="H98" s="150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</row>
    <row r="99">
      <c r="A99" s="151">
        <v>1.0</v>
      </c>
      <c r="B99" s="156">
        <v>20095.0</v>
      </c>
      <c r="C99" s="50">
        <v>50715.0</v>
      </c>
      <c r="D99" s="150"/>
      <c r="E99" s="150"/>
      <c r="F99" s="150"/>
      <c r="G99" s="150"/>
      <c r="H99" s="150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</row>
    <row r="100">
      <c r="A100" s="151">
        <v>0.0</v>
      </c>
      <c r="B100" s="148">
        <v>20096.0</v>
      </c>
      <c r="C100" s="50">
        <v>71114.0</v>
      </c>
      <c r="D100" s="150"/>
      <c r="E100" s="150"/>
      <c r="F100" s="150"/>
      <c r="G100" s="150"/>
      <c r="H100" s="150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</row>
    <row r="101">
      <c r="A101" s="151">
        <v>1.0</v>
      </c>
      <c r="B101" s="148">
        <v>20097.0</v>
      </c>
      <c r="C101" s="50">
        <v>52713.0</v>
      </c>
      <c r="D101" s="150"/>
      <c r="E101" s="150"/>
      <c r="F101" s="150"/>
      <c r="G101" s="150"/>
      <c r="H101" s="150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</row>
    <row r="102">
      <c r="A102" s="151">
        <v>0.0</v>
      </c>
      <c r="B102" s="156">
        <v>20098.0</v>
      </c>
      <c r="C102" s="50">
        <v>52113.0</v>
      </c>
      <c r="D102" s="150"/>
      <c r="E102" s="150"/>
      <c r="F102" s="150"/>
      <c r="G102" s="150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</row>
    <row r="103">
      <c r="A103" s="151">
        <v>0.0</v>
      </c>
      <c r="B103" s="148">
        <v>20099.0</v>
      </c>
      <c r="C103" s="50">
        <v>83020.0</v>
      </c>
      <c r="D103" s="150"/>
      <c r="E103" s="150"/>
      <c r="F103" s="150"/>
      <c r="G103" s="150"/>
      <c r="H103" s="150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</row>
    <row r="104">
      <c r="A104" s="151">
        <v>1.0</v>
      </c>
      <c r="B104" s="148">
        <v>20100.0</v>
      </c>
      <c r="C104" s="50">
        <v>32021.0</v>
      </c>
      <c r="D104" s="150"/>
      <c r="E104" s="150"/>
      <c r="F104" s="150"/>
      <c r="G104" s="150"/>
      <c r="H104" s="150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</row>
    <row r="105">
      <c r="A105" s="151">
        <v>1.0</v>
      </c>
      <c r="B105" s="156">
        <v>20101.0</v>
      </c>
      <c r="C105" s="50">
        <v>72019.0</v>
      </c>
      <c r="D105" s="150"/>
      <c r="E105" s="150"/>
      <c r="F105" s="150"/>
      <c r="G105" s="150"/>
      <c r="H105" s="150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</row>
    <row r="106">
      <c r="A106" s="151">
        <v>0.0</v>
      </c>
      <c r="B106" s="156">
        <v>20102.0</v>
      </c>
      <c r="C106" s="50">
        <v>72515.0</v>
      </c>
      <c r="D106" s="150"/>
      <c r="E106" s="150"/>
      <c r="F106" s="150"/>
      <c r="G106" s="150"/>
      <c r="H106" s="150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</row>
    <row r="107">
      <c r="A107" s="151">
        <v>1.0</v>
      </c>
      <c r="B107" s="148">
        <v>20103.0</v>
      </c>
      <c r="C107" s="50">
        <v>51514.0</v>
      </c>
      <c r="D107" s="150"/>
      <c r="E107" s="150"/>
      <c r="F107" s="150"/>
      <c r="G107" s="150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</row>
    <row r="108">
      <c r="A108" s="151">
        <v>1.0</v>
      </c>
      <c r="B108" s="148">
        <v>20104.0</v>
      </c>
      <c r="C108" s="50">
        <v>50221.0</v>
      </c>
      <c r="D108" s="150"/>
      <c r="E108" s="150"/>
      <c r="F108" s="150"/>
      <c r="G108" s="150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</row>
    <row r="109">
      <c r="A109" s="151">
        <v>1.0</v>
      </c>
      <c r="B109" s="156">
        <v>20105.0</v>
      </c>
      <c r="C109" s="50">
        <v>121614.0</v>
      </c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</row>
    <row r="110">
      <c r="A110" s="151">
        <v>1.0</v>
      </c>
      <c r="B110" s="156">
        <v>20106.0</v>
      </c>
      <c r="C110" s="50">
        <v>40414.0</v>
      </c>
      <c r="D110" s="150"/>
      <c r="E110" s="150"/>
      <c r="F110" s="150"/>
      <c r="G110" s="150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</row>
    <row r="111">
      <c r="A111" s="151">
        <v>1.0</v>
      </c>
      <c r="B111" s="148">
        <v>20107.0</v>
      </c>
      <c r="C111" s="50">
        <v>53122.0</v>
      </c>
      <c r="D111" s="150"/>
      <c r="E111" s="150"/>
      <c r="F111" s="150"/>
      <c r="G111" s="150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</row>
    <row r="112">
      <c r="A112" s="151">
        <v>1.0</v>
      </c>
      <c r="B112" s="148">
        <v>20108.0</v>
      </c>
      <c r="C112" s="50">
        <v>22315.0</v>
      </c>
      <c r="D112" s="150"/>
      <c r="E112" s="150"/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</row>
    <row r="113">
      <c r="A113" s="151">
        <v>1.0</v>
      </c>
      <c r="B113" s="156">
        <v>20109.0</v>
      </c>
      <c r="C113" s="50">
        <v>112416.0</v>
      </c>
      <c r="D113" s="150"/>
      <c r="E113" s="150"/>
      <c r="F113" s="150"/>
      <c r="G113" s="150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</row>
    <row r="114">
      <c r="A114" s="151">
        <v>0.0</v>
      </c>
      <c r="B114" s="148">
        <v>20110.0</v>
      </c>
      <c r="C114" s="50">
        <v>52421.0</v>
      </c>
      <c r="D114" s="150"/>
      <c r="E114" s="150"/>
      <c r="F114" s="150"/>
      <c r="G114" s="150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</row>
    <row r="115">
      <c r="A115" s="151">
        <v>1.0</v>
      </c>
      <c r="B115" s="148">
        <v>20111.0</v>
      </c>
      <c r="C115" s="50">
        <v>53014.0</v>
      </c>
      <c r="D115" s="150"/>
      <c r="E115" s="150"/>
      <c r="F115" s="150"/>
      <c r="G115" s="150"/>
      <c r="H115" s="150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</row>
    <row r="116">
      <c r="A116" s="151">
        <v>0.0</v>
      </c>
      <c r="B116" s="156">
        <v>20112.0</v>
      </c>
      <c r="C116" s="50">
        <v>42119.0</v>
      </c>
      <c r="D116" s="150"/>
      <c r="E116" s="150"/>
      <c r="F116" s="150"/>
      <c r="G116" s="150"/>
      <c r="H116" s="150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</row>
    <row r="117">
      <c r="A117" s="151">
        <v>1.0</v>
      </c>
      <c r="B117" s="156">
        <v>20113.0</v>
      </c>
      <c r="C117" s="50">
        <v>60216.0</v>
      </c>
      <c r="D117" s="150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</row>
    <row r="118">
      <c r="A118" s="151">
        <v>0.0</v>
      </c>
      <c r="B118" s="148">
        <v>20114.0</v>
      </c>
      <c r="C118" s="50">
        <v>72021.0</v>
      </c>
      <c r="D118" s="150"/>
      <c r="E118" s="150"/>
      <c r="F118" s="150"/>
      <c r="G118" s="150"/>
      <c r="H118" s="150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</row>
    <row r="119">
      <c r="A119" s="151">
        <v>0.0</v>
      </c>
      <c r="B119" s="148">
        <v>20115.0</v>
      </c>
      <c r="C119" s="50">
        <v>111722.0</v>
      </c>
      <c r="D119" s="150"/>
      <c r="E119" s="150"/>
      <c r="F119" s="150"/>
      <c r="G119" s="150"/>
      <c r="H119" s="150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</row>
    <row r="120">
      <c r="A120" s="151">
        <v>0.0</v>
      </c>
      <c r="B120" s="156">
        <v>20116.0</v>
      </c>
      <c r="C120" s="50">
        <v>90913.0</v>
      </c>
      <c r="D120" s="150"/>
      <c r="E120" s="150"/>
      <c r="F120" s="150"/>
      <c r="G120" s="150"/>
      <c r="H120" s="150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</row>
    <row r="121">
      <c r="A121" s="151">
        <v>0.0</v>
      </c>
      <c r="B121" s="156">
        <v>20117.0</v>
      </c>
      <c r="C121" s="50">
        <v>10816.0</v>
      </c>
      <c r="D121" s="150"/>
      <c r="E121" s="150"/>
      <c r="F121" s="150"/>
      <c r="G121" s="150"/>
      <c r="H121" s="150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</row>
    <row r="122">
      <c r="A122" s="151">
        <v>1.0</v>
      </c>
      <c r="B122" s="148">
        <v>20118.0</v>
      </c>
      <c r="C122" s="50">
        <v>120418.0</v>
      </c>
      <c r="D122" s="150"/>
      <c r="E122" s="150"/>
      <c r="F122" s="150"/>
      <c r="G122" s="150"/>
      <c r="H122" s="150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</row>
    <row r="123">
      <c r="A123" s="151">
        <v>1.0</v>
      </c>
      <c r="B123" s="148">
        <v>20119.0</v>
      </c>
      <c r="C123" s="50">
        <v>102016.0</v>
      </c>
      <c r="D123" s="150"/>
      <c r="E123" s="150"/>
      <c r="F123" s="150"/>
      <c r="G123" s="150"/>
      <c r="H123" s="150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</row>
    <row r="124">
      <c r="A124" s="151">
        <v>1.0</v>
      </c>
      <c r="B124" s="156">
        <v>20120.0</v>
      </c>
      <c r="C124" s="50">
        <v>113017.0</v>
      </c>
      <c r="D124" s="150"/>
      <c r="E124" s="150"/>
      <c r="F124" s="150"/>
      <c r="G124" s="150"/>
      <c r="H124" s="150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</row>
    <row r="125">
      <c r="A125" s="151">
        <v>0.0</v>
      </c>
      <c r="B125" s="148">
        <v>20121.0</v>
      </c>
      <c r="C125" s="50">
        <v>80718.0</v>
      </c>
      <c r="D125" s="150"/>
      <c r="E125" s="150"/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</row>
    <row r="126">
      <c r="A126" s="151">
        <v>0.0</v>
      </c>
      <c r="B126" s="148">
        <v>20122.0</v>
      </c>
      <c r="C126" s="50">
        <v>50818.0</v>
      </c>
      <c r="D126" s="150"/>
      <c r="E126" s="150"/>
      <c r="F126" s="150"/>
      <c r="G126" s="150"/>
      <c r="H126" s="150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</row>
    <row r="127">
      <c r="A127" s="151">
        <v>1.0</v>
      </c>
      <c r="B127" s="156">
        <v>20123.0</v>
      </c>
      <c r="C127" s="50">
        <v>22515.0</v>
      </c>
      <c r="D127" s="150"/>
      <c r="E127" s="150"/>
      <c r="F127" s="150"/>
      <c r="G127" s="150"/>
      <c r="H127" s="150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</row>
    <row r="128">
      <c r="A128" s="151">
        <v>0.0</v>
      </c>
      <c r="B128" s="156">
        <v>20124.0</v>
      </c>
      <c r="C128" s="50">
        <v>33119.0</v>
      </c>
      <c r="D128" s="150"/>
      <c r="E128" s="150"/>
      <c r="F128" s="150"/>
      <c r="G128" s="150"/>
      <c r="H128" s="150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</row>
    <row r="129">
      <c r="A129" s="151">
        <v>0.0</v>
      </c>
      <c r="B129" s="148">
        <v>20125.0</v>
      </c>
      <c r="C129" s="50">
        <v>122715.0</v>
      </c>
      <c r="D129" s="150"/>
      <c r="E129" s="150"/>
      <c r="F129" s="150"/>
      <c r="G129" s="150"/>
      <c r="H129" s="150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</row>
    <row r="130">
      <c r="A130" s="151">
        <v>0.0</v>
      </c>
      <c r="B130" s="148">
        <v>20126.0</v>
      </c>
      <c r="C130" s="50">
        <v>21718.0</v>
      </c>
      <c r="D130" s="150"/>
      <c r="E130" s="150"/>
      <c r="F130" s="150"/>
      <c r="G130" s="150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</row>
    <row r="131">
      <c r="A131" s="151">
        <v>0.0</v>
      </c>
      <c r="B131" s="156">
        <v>20127.0</v>
      </c>
      <c r="C131" s="50">
        <v>61519.0</v>
      </c>
      <c r="D131" s="150"/>
      <c r="E131" s="150"/>
      <c r="F131" s="150"/>
      <c r="G131" s="150"/>
      <c r="H131" s="150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</row>
    <row r="132">
      <c r="A132" s="151">
        <v>1.0</v>
      </c>
      <c r="B132" s="156">
        <v>20128.0</v>
      </c>
      <c r="C132" s="50">
        <v>30321.0</v>
      </c>
      <c r="D132" s="150"/>
      <c r="E132" s="150"/>
      <c r="F132" s="150"/>
      <c r="G132" s="150"/>
      <c r="H132" s="150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</row>
    <row r="133">
      <c r="A133" s="151">
        <v>0.0</v>
      </c>
      <c r="B133" s="148">
        <v>20129.0</v>
      </c>
      <c r="C133" s="50">
        <v>20321.0</v>
      </c>
      <c r="D133" s="150"/>
      <c r="E133" s="150"/>
      <c r="F133" s="150"/>
      <c r="G133" s="150"/>
      <c r="H133" s="150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</row>
    <row r="134">
      <c r="A134" s="151">
        <v>0.0</v>
      </c>
      <c r="B134" s="148">
        <v>20130.0</v>
      </c>
      <c r="C134" s="50">
        <v>91416.0</v>
      </c>
      <c r="D134" s="150"/>
      <c r="E134" s="150"/>
      <c r="F134" s="150"/>
      <c r="G134" s="150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</row>
    <row r="135">
      <c r="A135" s="151">
        <v>1.0</v>
      </c>
      <c r="B135" s="156">
        <v>20131.0</v>
      </c>
      <c r="C135" s="50">
        <v>112013.0</v>
      </c>
      <c r="D135" s="150"/>
      <c r="E135" s="150"/>
      <c r="F135" s="150"/>
      <c r="G135" s="150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</row>
    <row r="136">
      <c r="A136" s="151">
        <v>1.0</v>
      </c>
      <c r="B136" s="148">
        <v>20132.0</v>
      </c>
      <c r="C136" s="50">
        <v>32014.0</v>
      </c>
      <c r="D136" s="150"/>
      <c r="E136" s="150"/>
      <c r="F136" s="150"/>
      <c r="G136" s="150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</row>
    <row r="137">
      <c r="A137" s="151">
        <v>1.0</v>
      </c>
      <c r="B137" s="148">
        <v>20133.0</v>
      </c>
      <c r="C137" s="50">
        <v>112216.0</v>
      </c>
      <c r="D137" s="150"/>
      <c r="E137" s="150"/>
      <c r="F137" s="150"/>
      <c r="G137" s="150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</row>
    <row r="138">
      <c r="A138" s="151">
        <v>0.0</v>
      </c>
      <c r="B138" s="156">
        <v>20134.0</v>
      </c>
      <c r="C138" s="50">
        <v>52219.0</v>
      </c>
      <c r="D138" s="150"/>
      <c r="E138" s="150"/>
      <c r="F138" s="150"/>
      <c r="G138" s="150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</row>
    <row r="139">
      <c r="A139" s="151">
        <v>1.0</v>
      </c>
      <c r="B139" s="156">
        <v>20135.0</v>
      </c>
      <c r="C139" s="50">
        <v>31613.0</v>
      </c>
      <c r="D139" s="150"/>
      <c r="E139" s="150"/>
      <c r="F139" s="150"/>
      <c r="G139" s="150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</row>
    <row r="140">
      <c r="A140" s="151">
        <v>1.0</v>
      </c>
      <c r="B140" s="148">
        <v>20136.0</v>
      </c>
      <c r="C140" s="50">
        <v>62414.0</v>
      </c>
      <c r="D140" s="150"/>
      <c r="E140" s="150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</row>
    <row r="141">
      <c r="A141" s="151">
        <v>0.0</v>
      </c>
      <c r="B141" s="148">
        <v>20137.0</v>
      </c>
      <c r="C141" s="50">
        <v>71720.0</v>
      </c>
      <c r="D141" s="150"/>
      <c r="E141" s="150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</row>
    <row r="142">
      <c r="A142" s="151">
        <v>1.0</v>
      </c>
      <c r="B142" s="156">
        <v>20138.0</v>
      </c>
      <c r="C142" s="50">
        <v>111117.0</v>
      </c>
      <c r="D142" s="150"/>
      <c r="E142" s="150"/>
      <c r="F142" s="150"/>
      <c r="G142" s="150"/>
      <c r="H142" s="150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</row>
    <row r="143">
      <c r="A143" s="151">
        <v>0.0</v>
      </c>
      <c r="B143" s="156">
        <v>20139.0</v>
      </c>
      <c r="C143" s="50">
        <v>93020.0</v>
      </c>
      <c r="D143" s="150"/>
      <c r="E143" s="150"/>
      <c r="F143" s="150"/>
      <c r="G143" s="150"/>
      <c r="H143" s="150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</row>
    <row r="144">
      <c r="A144" s="151">
        <v>0.0</v>
      </c>
      <c r="B144" s="148">
        <v>20140.0</v>
      </c>
      <c r="C144" s="50">
        <v>71321.0</v>
      </c>
      <c r="D144" s="150"/>
      <c r="E144" s="150"/>
      <c r="F144" s="150"/>
      <c r="G144" s="150"/>
      <c r="H144" s="150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</row>
    <row r="145">
      <c r="A145" s="151">
        <v>0.0</v>
      </c>
      <c r="B145" s="148">
        <v>20141.0</v>
      </c>
      <c r="C145" s="50">
        <v>101116.0</v>
      </c>
      <c r="D145" s="150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</row>
    <row r="146">
      <c r="A146" s="151">
        <v>1.0</v>
      </c>
      <c r="B146" s="156">
        <v>20142.0</v>
      </c>
      <c r="C146" s="50">
        <v>10413.0</v>
      </c>
      <c r="D146" s="150"/>
      <c r="E146" s="150"/>
      <c r="F146" s="150"/>
      <c r="G146" s="150"/>
      <c r="H146" s="150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</row>
    <row r="147">
      <c r="A147" s="151">
        <v>0.0</v>
      </c>
      <c r="B147" s="148">
        <v>20143.0</v>
      </c>
      <c r="C147" s="50">
        <v>42016.0</v>
      </c>
      <c r="D147" s="150"/>
      <c r="E147" s="150"/>
      <c r="F147" s="150"/>
      <c r="G147" s="150"/>
      <c r="H147" s="150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</row>
    <row r="148">
      <c r="A148" s="151">
        <v>1.0</v>
      </c>
      <c r="B148" s="148">
        <v>20144.0</v>
      </c>
      <c r="C148" s="50">
        <v>72016.0</v>
      </c>
      <c r="D148" s="150"/>
      <c r="E148" s="150"/>
      <c r="F148" s="150"/>
      <c r="G148" s="150"/>
      <c r="H148" s="150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</row>
    <row r="149">
      <c r="A149" s="151">
        <v>0.0</v>
      </c>
      <c r="B149" s="156">
        <v>20145.0</v>
      </c>
      <c r="C149" s="50">
        <v>32419.0</v>
      </c>
      <c r="D149" s="150"/>
      <c r="E149" s="150"/>
      <c r="F149" s="150"/>
      <c r="G149" s="150"/>
      <c r="H149" s="150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</row>
    <row r="150">
      <c r="A150" s="151">
        <v>0.0</v>
      </c>
      <c r="B150" s="156">
        <v>20146.0</v>
      </c>
      <c r="C150" s="50">
        <v>70416.0</v>
      </c>
      <c r="D150" s="150"/>
      <c r="E150" s="150"/>
      <c r="F150" s="150"/>
      <c r="G150" s="150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</row>
    <row r="151">
      <c r="A151" s="151">
        <v>1.0</v>
      </c>
      <c r="B151" s="148">
        <v>20147.0</v>
      </c>
      <c r="C151" s="50">
        <v>81122.0</v>
      </c>
      <c r="D151" s="150"/>
      <c r="E151" s="150"/>
      <c r="F151" s="150"/>
      <c r="G151" s="150"/>
      <c r="H151" s="150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</row>
    <row r="152">
      <c r="A152" s="151">
        <v>1.0</v>
      </c>
      <c r="B152" s="148">
        <v>20148.0</v>
      </c>
      <c r="C152" s="50">
        <v>61718.0</v>
      </c>
      <c r="D152" s="150"/>
      <c r="E152" s="150"/>
      <c r="F152" s="150"/>
      <c r="G152" s="150"/>
      <c r="H152" s="150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</row>
    <row r="153">
      <c r="A153" s="151">
        <v>1.0</v>
      </c>
      <c r="B153" s="156">
        <v>20149.0</v>
      </c>
      <c r="C153" s="50">
        <v>110818.0</v>
      </c>
      <c r="D153" s="150"/>
      <c r="E153" s="150"/>
      <c r="F153" s="150"/>
      <c r="G153" s="150"/>
      <c r="H153" s="150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</row>
    <row r="154">
      <c r="A154" s="151">
        <v>1.0</v>
      </c>
      <c r="B154" s="156">
        <v>20150.0</v>
      </c>
      <c r="C154" s="50">
        <v>60918.0</v>
      </c>
      <c r="D154" s="150"/>
      <c r="E154" s="150"/>
      <c r="F154" s="150"/>
      <c r="G154" s="150"/>
      <c r="H154" s="150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</row>
    <row r="155">
      <c r="A155" s="151">
        <v>0.0</v>
      </c>
      <c r="B155" s="148">
        <v>20151.0</v>
      </c>
      <c r="C155" s="50">
        <v>82717.0</v>
      </c>
      <c r="D155" s="150"/>
      <c r="E155" s="150"/>
      <c r="F155" s="150"/>
      <c r="G155" s="150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</row>
    <row r="156">
      <c r="A156" s="151">
        <v>1.0</v>
      </c>
      <c r="B156" s="148">
        <v>20152.0</v>
      </c>
      <c r="C156" s="50">
        <v>21621.0</v>
      </c>
      <c r="D156" s="150"/>
      <c r="E156" s="150"/>
      <c r="F156" s="150"/>
      <c r="G156" s="150"/>
      <c r="H156" s="150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</row>
    <row r="157">
      <c r="A157" s="151">
        <v>0.0</v>
      </c>
      <c r="B157" s="156">
        <v>20153.0</v>
      </c>
      <c r="C157" s="50">
        <v>22216.0</v>
      </c>
      <c r="D157" s="150"/>
      <c r="E157" s="150"/>
      <c r="F157" s="150"/>
      <c r="G157" s="150"/>
      <c r="H157" s="150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</row>
    <row r="158">
      <c r="A158" s="151">
        <v>1.0</v>
      </c>
      <c r="B158" s="148">
        <v>20154.0</v>
      </c>
      <c r="C158" s="50">
        <v>50922.0</v>
      </c>
      <c r="D158" s="150"/>
      <c r="E158" s="150"/>
      <c r="F158" s="150"/>
      <c r="G158" s="150"/>
      <c r="H158" s="150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</row>
    <row r="159">
      <c r="A159" s="151">
        <v>0.0</v>
      </c>
      <c r="B159" s="148">
        <v>20155.0</v>
      </c>
      <c r="C159" s="50">
        <v>82621.0</v>
      </c>
      <c r="D159" s="150"/>
      <c r="E159" s="150"/>
      <c r="F159" s="150"/>
      <c r="G159" s="150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</row>
    <row r="160">
      <c r="A160" s="151">
        <v>0.0</v>
      </c>
      <c r="B160" s="156">
        <v>20156.0</v>
      </c>
      <c r="C160" s="50">
        <v>32120.0</v>
      </c>
      <c r="D160" s="150"/>
      <c r="E160" s="150"/>
      <c r="F160" s="150"/>
      <c r="G160" s="150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</row>
    <row r="161">
      <c r="A161" s="151">
        <v>0.0</v>
      </c>
      <c r="B161" s="156">
        <v>20157.0</v>
      </c>
      <c r="C161" s="50">
        <v>41117.0</v>
      </c>
      <c r="D161" s="150"/>
      <c r="E161" s="150"/>
      <c r="F161" s="150"/>
      <c r="G161" s="150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</row>
    <row r="162">
      <c r="A162" s="151">
        <v>0.0</v>
      </c>
      <c r="B162" s="148">
        <v>20158.0</v>
      </c>
      <c r="C162" s="50">
        <v>91716.0</v>
      </c>
      <c r="D162" s="150"/>
      <c r="E162" s="150"/>
      <c r="F162" s="150"/>
      <c r="G162" s="150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</row>
    <row r="163">
      <c r="A163" s="151">
        <v>1.0</v>
      </c>
      <c r="B163" s="148">
        <v>20159.0</v>
      </c>
      <c r="C163" s="50">
        <v>22013.0</v>
      </c>
      <c r="D163" s="150"/>
      <c r="E163" s="150"/>
      <c r="F163" s="150"/>
      <c r="G163" s="150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</row>
    <row r="164">
      <c r="A164" s="151">
        <v>1.0</v>
      </c>
      <c r="B164" s="156">
        <v>20160.0</v>
      </c>
      <c r="C164" s="50">
        <v>101013.0</v>
      </c>
      <c r="D164" s="150"/>
      <c r="E164" s="150"/>
      <c r="F164" s="150"/>
      <c r="G164" s="150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</row>
    <row r="165">
      <c r="A165" s="151">
        <v>0.0</v>
      </c>
      <c r="B165" s="156">
        <v>20161.0</v>
      </c>
      <c r="C165" s="50">
        <v>42813.0</v>
      </c>
      <c r="D165" s="150"/>
      <c r="E165" s="150"/>
      <c r="F165" s="150"/>
      <c r="G165" s="150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</row>
    <row r="166">
      <c r="A166" s="151">
        <v>0.0</v>
      </c>
      <c r="B166" s="148">
        <v>20162.0</v>
      </c>
      <c r="C166" s="50">
        <v>92019.0</v>
      </c>
      <c r="D166" s="150"/>
      <c r="E166" s="150"/>
      <c r="F166" s="150"/>
      <c r="G166" s="150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</row>
    <row r="167">
      <c r="A167" s="151">
        <v>0.0</v>
      </c>
      <c r="B167" s="148">
        <v>20163.0</v>
      </c>
      <c r="C167" s="50">
        <v>82321.0</v>
      </c>
      <c r="D167" s="150"/>
      <c r="E167" s="150"/>
      <c r="F167" s="150"/>
      <c r="G167" s="150"/>
      <c r="H167" s="150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</row>
    <row r="168">
      <c r="A168" s="151">
        <v>0.0</v>
      </c>
      <c r="B168" s="156">
        <v>20164.0</v>
      </c>
      <c r="C168" s="50">
        <v>42113.0</v>
      </c>
      <c r="D168" s="150"/>
      <c r="E168" s="150"/>
      <c r="F168" s="150"/>
      <c r="G168" s="150"/>
      <c r="H168" s="150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</row>
    <row r="169">
      <c r="A169" s="151">
        <v>0.0</v>
      </c>
      <c r="B169" s="148">
        <v>20165.0</v>
      </c>
      <c r="C169" s="50">
        <v>101914.0</v>
      </c>
      <c r="D169" s="150"/>
      <c r="E169" s="150"/>
      <c r="F169" s="150"/>
      <c r="G169" s="150"/>
      <c r="H169" s="150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</row>
    <row r="170">
      <c r="A170" s="151">
        <v>1.0</v>
      </c>
      <c r="B170" s="148">
        <v>20166.0</v>
      </c>
      <c r="C170" s="50">
        <v>92221.0</v>
      </c>
      <c r="D170" s="150"/>
      <c r="E170" s="150"/>
      <c r="F170" s="150"/>
      <c r="G170" s="150"/>
      <c r="H170" s="150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</row>
    <row r="171">
      <c r="A171" s="151">
        <v>0.0</v>
      </c>
      <c r="B171" s="156">
        <v>20167.0</v>
      </c>
      <c r="C171" s="50">
        <v>111419.0</v>
      </c>
      <c r="D171" s="150"/>
      <c r="E171" s="150"/>
      <c r="F171" s="150"/>
      <c r="G171" s="150"/>
      <c r="H171" s="150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</row>
    <row r="172">
      <c r="A172" s="151">
        <v>1.0</v>
      </c>
      <c r="B172" s="156">
        <v>20168.0</v>
      </c>
      <c r="C172" s="50">
        <v>51720.0</v>
      </c>
      <c r="D172" s="150"/>
      <c r="E172" s="150"/>
      <c r="F172" s="150"/>
      <c r="G172" s="150"/>
      <c r="H172" s="150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</row>
    <row r="173">
      <c r="A173" s="151">
        <v>0.0</v>
      </c>
      <c r="B173" s="148">
        <v>20169.0</v>
      </c>
      <c r="C173" s="50">
        <v>82920.0</v>
      </c>
      <c r="D173" s="150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</row>
    <row r="174">
      <c r="A174" s="151">
        <v>1.0</v>
      </c>
      <c r="B174" s="148">
        <v>20170.0</v>
      </c>
      <c r="C174" s="50">
        <v>111819.0</v>
      </c>
      <c r="D174" s="150"/>
      <c r="E174" s="150"/>
      <c r="F174" s="150"/>
      <c r="G174" s="150"/>
      <c r="H174" s="150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</row>
    <row r="175">
      <c r="A175" s="151">
        <v>0.0</v>
      </c>
      <c r="B175" s="156">
        <v>20171.0</v>
      </c>
      <c r="C175" s="50">
        <v>81717.0</v>
      </c>
      <c r="D175" s="150"/>
      <c r="E175" s="150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</row>
    <row r="176">
      <c r="A176" s="151">
        <v>1.0</v>
      </c>
      <c r="B176" s="156">
        <v>20172.0</v>
      </c>
      <c r="C176" s="50">
        <v>50521.0</v>
      </c>
      <c r="D176" s="150"/>
      <c r="E176" s="150"/>
      <c r="F176" s="150"/>
      <c r="G176" s="150"/>
      <c r="H176" s="150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</row>
    <row r="177">
      <c r="A177" s="151">
        <v>1.0</v>
      </c>
      <c r="B177" s="148">
        <v>20173.0</v>
      </c>
      <c r="C177" s="50">
        <v>101917.0</v>
      </c>
      <c r="D177" s="150"/>
      <c r="E177" s="150"/>
      <c r="F177" s="150"/>
      <c r="G177" s="150"/>
      <c r="H177" s="150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</row>
    <row r="178">
      <c r="A178" s="151">
        <v>1.0</v>
      </c>
      <c r="B178" s="148">
        <v>20174.0</v>
      </c>
      <c r="C178" s="50">
        <v>61913.0</v>
      </c>
      <c r="D178" s="150"/>
      <c r="E178" s="150"/>
      <c r="F178" s="150"/>
      <c r="G178" s="150"/>
      <c r="H178" s="150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</row>
    <row r="179">
      <c r="A179" s="151">
        <v>0.0</v>
      </c>
      <c r="B179" s="156">
        <v>20175.0</v>
      </c>
      <c r="C179" s="50">
        <v>91317.0</v>
      </c>
      <c r="D179" s="150"/>
      <c r="E179" s="150"/>
      <c r="F179" s="150"/>
      <c r="G179" s="150"/>
      <c r="H179" s="150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</row>
    <row r="180">
      <c r="A180" s="151">
        <v>0.0</v>
      </c>
      <c r="B180" s="148">
        <v>20176.0</v>
      </c>
      <c r="C180" s="50">
        <v>82618.0</v>
      </c>
      <c r="D180" s="150"/>
      <c r="E180" s="150"/>
      <c r="F180" s="150"/>
      <c r="G180" s="150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</row>
    <row r="181">
      <c r="A181" s="151">
        <v>0.0</v>
      </c>
      <c r="B181" s="148">
        <v>20177.0</v>
      </c>
      <c r="C181" s="50">
        <v>81121.0</v>
      </c>
      <c r="D181" s="150"/>
      <c r="E181" s="150"/>
      <c r="F181" s="150"/>
      <c r="G181" s="150"/>
      <c r="H181" s="150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</row>
    <row r="182">
      <c r="A182" s="151">
        <v>0.0</v>
      </c>
      <c r="B182" s="156">
        <v>20178.0</v>
      </c>
      <c r="C182" s="50">
        <v>40914.0</v>
      </c>
      <c r="D182" s="150"/>
      <c r="E182" s="150"/>
      <c r="F182" s="150"/>
      <c r="G182" s="150"/>
      <c r="H182" s="150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</row>
    <row r="183">
      <c r="A183" s="151">
        <v>1.0</v>
      </c>
      <c r="B183" s="156">
        <v>20179.0</v>
      </c>
      <c r="C183" s="50">
        <v>93022.0</v>
      </c>
      <c r="D183" s="150"/>
      <c r="E183" s="150"/>
      <c r="F183" s="150"/>
      <c r="G183" s="150"/>
      <c r="H183" s="150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</row>
    <row r="184">
      <c r="A184" s="151">
        <v>0.0</v>
      </c>
      <c r="B184" s="148">
        <v>20180.0</v>
      </c>
      <c r="C184" s="50">
        <v>10116.0</v>
      </c>
      <c r="D184" s="150"/>
      <c r="E184" s="150"/>
      <c r="F184" s="150"/>
      <c r="G184" s="150"/>
      <c r="H184" s="150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</row>
    <row r="185">
      <c r="A185" s="151">
        <v>1.0</v>
      </c>
      <c r="B185" s="148">
        <v>20181.0</v>
      </c>
      <c r="C185" s="50">
        <v>53118.0</v>
      </c>
      <c r="D185" s="150"/>
      <c r="E185" s="150"/>
      <c r="F185" s="150"/>
      <c r="G185" s="150"/>
      <c r="H185" s="150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</row>
    <row r="186">
      <c r="A186" s="151">
        <v>1.0</v>
      </c>
      <c r="B186" s="156">
        <v>20182.0</v>
      </c>
      <c r="C186" s="50">
        <v>82014.0</v>
      </c>
      <c r="D186" s="150"/>
      <c r="E186" s="150"/>
      <c r="F186" s="150"/>
      <c r="G186" s="150"/>
      <c r="H186" s="150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</row>
    <row r="187">
      <c r="A187" s="151">
        <v>0.0</v>
      </c>
      <c r="B187" s="156">
        <v>20183.0</v>
      </c>
      <c r="C187" s="50">
        <v>20320.0</v>
      </c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</row>
    <row r="188">
      <c r="A188" s="151">
        <v>0.0</v>
      </c>
      <c r="B188" s="148">
        <v>20184.0</v>
      </c>
      <c r="C188" s="50">
        <v>32313.0</v>
      </c>
      <c r="D188" s="150"/>
      <c r="E188" s="150"/>
      <c r="F188" s="150"/>
      <c r="G188" s="150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</row>
    <row r="189">
      <c r="A189" s="151">
        <v>0.0</v>
      </c>
      <c r="B189" s="148">
        <v>20185.0</v>
      </c>
      <c r="C189" s="50">
        <v>73116.0</v>
      </c>
      <c r="D189" s="150"/>
      <c r="E189" s="150"/>
      <c r="F189" s="150"/>
      <c r="G189" s="150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</row>
    <row r="190">
      <c r="A190" s="151">
        <v>0.0</v>
      </c>
      <c r="B190" s="156">
        <v>20186.0</v>
      </c>
      <c r="C190" s="50">
        <v>91620.0</v>
      </c>
      <c r="D190" s="150"/>
      <c r="E190" s="150"/>
      <c r="F190" s="150"/>
      <c r="G190" s="150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</row>
    <row r="191">
      <c r="A191" s="151">
        <v>0.0</v>
      </c>
      <c r="B191" s="148">
        <v>20187.0</v>
      </c>
      <c r="C191" s="50">
        <v>40714.0</v>
      </c>
      <c r="D191" s="150"/>
      <c r="E191" s="150"/>
      <c r="F191" s="150"/>
      <c r="G191" s="150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</row>
    <row r="192">
      <c r="A192" s="151">
        <v>0.0</v>
      </c>
      <c r="B192" s="148">
        <v>20188.0</v>
      </c>
      <c r="C192" s="50">
        <v>92622.0</v>
      </c>
      <c r="D192" s="150"/>
      <c r="E192" s="150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</row>
    <row r="193">
      <c r="A193" s="151">
        <v>1.0</v>
      </c>
      <c r="B193" s="156">
        <v>20189.0</v>
      </c>
      <c r="C193" s="50">
        <v>101016.0</v>
      </c>
      <c r="D193" s="150"/>
      <c r="E193" s="150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</row>
    <row r="194">
      <c r="A194" s="151">
        <v>0.0</v>
      </c>
      <c r="B194" s="156">
        <v>20190.0</v>
      </c>
      <c r="C194" s="50">
        <v>92715.0</v>
      </c>
      <c r="D194" s="150"/>
      <c r="E194" s="150"/>
      <c r="F194" s="150"/>
      <c r="G194" s="150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</row>
    <row r="195">
      <c r="A195" s="151">
        <v>0.0</v>
      </c>
      <c r="B195" s="148">
        <v>20191.0</v>
      </c>
      <c r="C195" s="50">
        <v>102318.0</v>
      </c>
      <c r="D195" s="150"/>
      <c r="E195" s="150"/>
      <c r="F195" s="150"/>
      <c r="G195" s="150"/>
      <c r="H195" s="150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</row>
    <row r="196">
      <c r="A196" s="151">
        <v>0.0</v>
      </c>
      <c r="B196" s="148">
        <v>20192.0</v>
      </c>
      <c r="C196" s="50">
        <v>80418.0</v>
      </c>
      <c r="D196" s="150"/>
      <c r="E196" s="150"/>
      <c r="F196" s="150"/>
      <c r="G196" s="150"/>
      <c r="H196" s="150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</row>
    <row r="197">
      <c r="A197" s="151">
        <v>1.0</v>
      </c>
      <c r="B197" s="156">
        <v>20193.0</v>
      </c>
      <c r="C197" s="50">
        <v>40115.0</v>
      </c>
      <c r="D197" s="150"/>
      <c r="E197" s="150"/>
      <c r="F197" s="150"/>
      <c r="G197" s="150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</row>
    <row r="198">
      <c r="A198" s="151">
        <v>1.0</v>
      </c>
      <c r="B198" s="156">
        <v>20194.0</v>
      </c>
      <c r="C198" s="50">
        <v>53019.0</v>
      </c>
      <c r="D198" s="150"/>
      <c r="E198" s="150"/>
      <c r="F198" s="150"/>
      <c r="G198" s="150"/>
      <c r="H198" s="150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</row>
    <row r="199">
      <c r="A199" s="151">
        <v>0.0</v>
      </c>
      <c r="B199" s="148">
        <v>20195.0</v>
      </c>
      <c r="C199" s="50">
        <v>123016.0</v>
      </c>
      <c r="D199" s="150"/>
      <c r="E199" s="150"/>
      <c r="F199" s="150"/>
      <c r="G199" s="150"/>
      <c r="H199" s="150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</row>
    <row r="200">
      <c r="A200" s="151">
        <v>0.0</v>
      </c>
      <c r="B200" s="148">
        <v>20196.0</v>
      </c>
      <c r="C200" s="50">
        <v>112914.0</v>
      </c>
      <c r="D200" s="150"/>
      <c r="E200" s="150"/>
      <c r="F200" s="150"/>
      <c r="G200" s="150"/>
      <c r="H200" s="150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</row>
    <row r="201">
      <c r="A201" s="151">
        <v>0.0</v>
      </c>
      <c r="B201" s="156">
        <v>20197.0</v>
      </c>
      <c r="C201" s="50">
        <v>22021.0</v>
      </c>
      <c r="D201" s="150"/>
      <c r="E201" s="150"/>
      <c r="F201" s="150"/>
      <c r="G201" s="150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</row>
    <row r="202">
      <c r="A202" s="151">
        <v>1.0</v>
      </c>
      <c r="B202" s="148">
        <v>20198.0</v>
      </c>
      <c r="C202" s="50">
        <v>60616.0</v>
      </c>
      <c r="D202" s="150"/>
      <c r="E202" s="150"/>
      <c r="F202" s="150"/>
      <c r="G202" s="150"/>
      <c r="H202" s="150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</row>
    <row r="203">
      <c r="A203" s="151">
        <v>0.0</v>
      </c>
      <c r="B203" s="148">
        <v>20199.0</v>
      </c>
      <c r="C203" s="50">
        <v>52015.0</v>
      </c>
      <c r="D203" s="150"/>
      <c r="E203" s="150"/>
      <c r="F203" s="150"/>
      <c r="G203" s="150"/>
      <c r="H203" s="150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</row>
    <row r="204">
      <c r="A204" s="151">
        <v>1.0</v>
      </c>
      <c r="B204" s="156">
        <v>20200.0</v>
      </c>
      <c r="C204" s="50">
        <v>11522.0</v>
      </c>
      <c r="D204" s="150"/>
      <c r="E204" s="150"/>
      <c r="F204" s="150"/>
      <c r="G204" s="150"/>
      <c r="H204" s="150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</row>
    <row r="205">
      <c r="A205" s="151">
        <v>0.0</v>
      </c>
      <c r="B205" s="156">
        <v>20201.0</v>
      </c>
      <c r="C205" s="50">
        <v>71517.0</v>
      </c>
      <c r="D205" s="150"/>
      <c r="E205" s="150"/>
      <c r="F205" s="150"/>
      <c r="G205" s="150"/>
      <c r="H205" s="150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</row>
    <row r="206">
      <c r="A206" s="151">
        <v>1.0</v>
      </c>
      <c r="B206" s="148">
        <v>20202.0</v>
      </c>
      <c r="C206" s="50">
        <v>91014.0</v>
      </c>
      <c r="D206" s="150"/>
      <c r="E206" s="150"/>
      <c r="F206" s="150"/>
      <c r="G206" s="150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</row>
    <row r="207">
      <c r="A207" s="151">
        <v>0.0</v>
      </c>
      <c r="B207" s="148">
        <v>20203.0</v>
      </c>
      <c r="C207" s="50">
        <v>30116.0</v>
      </c>
      <c r="D207" s="150"/>
      <c r="E207" s="150"/>
      <c r="F207" s="150"/>
      <c r="G207" s="150"/>
      <c r="H207" s="150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</row>
    <row r="208">
      <c r="A208" s="151">
        <v>1.0</v>
      </c>
      <c r="B208" s="156">
        <v>20204.0</v>
      </c>
      <c r="C208" s="50">
        <v>90521.0</v>
      </c>
      <c r="D208" s="150"/>
      <c r="E208" s="150"/>
      <c r="F208" s="150"/>
      <c r="G208" s="150"/>
      <c r="H208" s="150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</row>
    <row r="209">
      <c r="A209" s="151">
        <v>1.0</v>
      </c>
      <c r="B209" s="156">
        <v>20205.0</v>
      </c>
      <c r="C209" s="50">
        <v>50216.0</v>
      </c>
      <c r="D209" s="150"/>
      <c r="E209" s="150"/>
      <c r="F209" s="150"/>
      <c r="G209" s="150"/>
      <c r="H209" s="150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</row>
    <row r="210">
      <c r="A210" s="151">
        <v>0.0</v>
      </c>
      <c r="B210" s="148">
        <v>20206.0</v>
      </c>
      <c r="C210" s="50">
        <v>92815.0</v>
      </c>
      <c r="D210" s="150"/>
      <c r="E210" s="150"/>
      <c r="F210" s="150"/>
      <c r="G210" s="150"/>
      <c r="H210" s="150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</row>
    <row r="211">
      <c r="A211" s="151">
        <v>1.0</v>
      </c>
      <c r="B211" s="148">
        <v>20207.0</v>
      </c>
      <c r="C211" s="50">
        <v>122714.0</v>
      </c>
      <c r="D211" s="150"/>
      <c r="E211" s="150"/>
      <c r="F211" s="150"/>
      <c r="G211" s="150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</row>
    <row r="212">
      <c r="A212" s="151">
        <v>0.0</v>
      </c>
      <c r="B212" s="156">
        <v>20208.0</v>
      </c>
      <c r="C212" s="50">
        <v>32015.0</v>
      </c>
      <c r="D212" s="150"/>
      <c r="E212" s="150"/>
      <c r="F212" s="150"/>
      <c r="G212" s="150"/>
      <c r="H212" s="150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</row>
    <row r="213">
      <c r="A213" s="151">
        <v>0.0</v>
      </c>
      <c r="B213" s="148">
        <v>20209.0</v>
      </c>
      <c r="C213" s="50">
        <v>72620.0</v>
      </c>
      <c r="D213" s="150"/>
      <c r="E213" s="150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</row>
    <row r="214">
      <c r="A214" s="151">
        <v>0.0</v>
      </c>
      <c r="B214" s="148">
        <v>20210.0</v>
      </c>
      <c r="C214" s="50">
        <v>101214.0</v>
      </c>
      <c r="D214" s="150"/>
      <c r="E214" s="150"/>
      <c r="F214" s="150"/>
      <c r="G214" s="150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</row>
    <row r="215">
      <c r="A215" s="151">
        <v>1.0</v>
      </c>
      <c r="B215" s="156">
        <v>20211.0</v>
      </c>
      <c r="C215" s="50">
        <v>71714.0</v>
      </c>
      <c r="D215" s="150"/>
      <c r="E215" s="150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</row>
    <row r="216">
      <c r="A216" s="151">
        <v>0.0</v>
      </c>
      <c r="B216" s="156">
        <v>20212.0</v>
      </c>
      <c r="C216" s="50">
        <v>60419.0</v>
      </c>
      <c r="D216" s="150"/>
      <c r="E216" s="150"/>
      <c r="F216" s="150"/>
      <c r="G216" s="150"/>
      <c r="H216" s="150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</row>
    <row r="217">
      <c r="A217" s="151">
        <v>0.0</v>
      </c>
      <c r="B217" s="148">
        <v>20213.0</v>
      </c>
      <c r="C217" s="50">
        <v>62322.0</v>
      </c>
      <c r="D217" s="150"/>
      <c r="E217" s="150"/>
      <c r="F217" s="150"/>
      <c r="G217" s="150"/>
      <c r="H217" s="150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</row>
    <row r="218">
      <c r="A218" s="151">
        <v>1.0</v>
      </c>
      <c r="B218" s="148">
        <v>20214.0</v>
      </c>
      <c r="C218" s="50">
        <v>82118.0</v>
      </c>
      <c r="D218" s="150"/>
      <c r="E218" s="150"/>
      <c r="F218" s="150"/>
      <c r="G218" s="150"/>
      <c r="H218" s="150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</row>
    <row r="219">
      <c r="A219" s="151">
        <v>0.0</v>
      </c>
      <c r="B219" s="156">
        <v>20215.0</v>
      </c>
      <c r="C219" s="50">
        <v>120322.0</v>
      </c>
      <c r="D219" s="150"/>
      <c r="E219" s="150"/>
      <c r="F219" s="150"/>
      <c r="G219" s="150"/>
      <c r="H219" s="150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</row>
    <row r="220">
      <c r="A220" s="151">
        <v>1.0</v>
      </c>
      <c r="B220" s="156">
        <v>20216.0</v>
      </c>
      <c r="C220" s="50">
        <v>52621.0</v>
      </c>
      <c r="D220" s="150"/>
      <c r="E220" s="150"/>
      <c r="F220" s="150"/>
      <c r="G220" s="150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</row>
    <row r="221">
      <c r="A221" s="151">
        <v>0.0</v>
      </c>
      <c r="B221" s="148">
        <v>20217.0</v>
      </c>
      <c r="C221" s="50">
        <v>10213.0</v>
      </c>
      <c r="D221" s="150"/>
      <c r="E221" s="150"/>
      <c r="F221" s="150"/>
      <c r="G221" s="150"/>
      <c r="H221" s="150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</row>
    <row r="222">
      <c r="A222" s="151">
        <v>0.0</v>
      </c>
      <c r="B222" s="148">
        <v>20218.0</v>
      </c>
      <c r="C222" s="50">
        <v>100118.0</v>
      </c>
      <c r="D222" s="150"/>
      <c r="E222" s="150"/>
      <c r="F222" s="150"/>
      <c r="G222" s="150"/>
      <c r="H222" s="150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</row>
    <row r="223">
      <c r="A223" s="151">
        <v>1.0</v>
      </c>
      <c r="B223" s="156">
        <v>20219.0</v>
      </c>
      <c r="C223" s="50">
        <v>31314.0</v>
      </c>
      <c r="D223" s="150"/>
      <c r="E223" s="150"/>
      <c r="F223" s="150"/>
      <c r="G223" s="150"/>
      <c r="H223" s="150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</row>
    <row r="224">
      <c r="A224" s="151">
        <v>1.0</v>
      </c>
      <c r="B224" s="148">
        <v>20220.0</v>
      </c>
      <c r="C224" s="50">
        <v>70317.0</v>
      </c>
      <c r="D224" s="150"/>
      <c r="E224" s="150"/>
      <c r="F224" s="150"/>
      <c r="G224" s="150"/>
      <c r="H224" s="150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</row>
    <row r="225">
      <c r="A225" s="151">
        <v>0.0</v>
      </c>
      <c r="B225" s="148">
        <v>20221.0</v>
      </c>
      <c r="C225" s="50">
        <v>50116.0</v>
      </c>
      <c r="D225" s="150"/>
      <c r="E225" s="150"/>
      <c r="F225" s="150"/>
      <c r="G225" s="150"/>
      <c r="H225" s="150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</row>
    <row r="226">
      <c r="A226" s="151">
        <v>1.0</v>
      </c>
      <c r="B226" s="156">
        <v>20222.0</v>
      </c>
      <c r="C226" s="50">
        <v>11316.0</v>
      </c>
      <c r="D226" s="150"/>
      <c r="E226" s="150"/>
      <c r="F226" s="150"/>
      <c r="G226" s="150"/>
      <c r="H226" s="150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</row>
    <row r="227">
      <c r="A227" s="151">
        <v>1.0</v>
      </c>
      <c r="B227" s="156">
        <v>20223.0</v>
      </c>
      <c r="C227" s="50">
        <v>121016.0</v>
      </c>
      <c r="D227" s="150"/>
      <c r="E227" s="150"/>
      <c r="F227" s="150"/>
      <c r="G227" s="150"/>
      <c r="H227" s="150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</row>
    <row r="228">
      <c r="A228" s="151">
        <v>0.0</v>
      </c>
      <c r="B228" s="148">
        <v>20224.0</v>
      </c>
      <c r="C228" s="50">
        <v>41120.0</v>
      </c>
      <c r="D228" s="150"/>
      <c r="E228" s="150"/>
      <c r="F228" s="150"/>
      <c r="G228" s="150"/>
      <c r="H228" s="150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</row>
    <row r="229">
      <c r="A229" s="151">
        <v>1.0</v>
      </c>
      <c r="B229" s="148">
        <v>20225.0</v>
      </c>
      <c r="C229" s="50">
        <v>90422.0</v>
      </c>
      <c r="D229" s="150"/>
      <c r="E229" s="150"/>
      <c r="F229" s="150"/>
      <c r="G229" s="150"/>
      <c r="H229" s="150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</row>
    <row r="230">
      <c r="A230" s="151">
        <v>1.0</v>
      </c>
      <c r="B230" s="156">
        <v>20226.0</v>
      </c>
      <c r="C230" s="50">
        <v>11320.0</v>
      </c>
      <c r="D230" s="150"/>
      <c r="E230" s="150"/>
      <c r="F230" s="150"/>
      <c r="G230" s="150"/>
      <c r="H230" s="150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</row>
    <row r="231">
      <c r="A231" s="151">
        <v>0.0</v>
      </c>
      <c r="B231" s="156">
        <v>20227.0</v>
      </c>
      <c r="C231" s="50">
        <v>70618.0</v>
      </c>
      <c r="D231" s="150"/>
      <c r="E231" s="150"/>
      <c r="F231" s="150"/>
      <c r="G231" s="150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</row>
    <row r="232">
      <c r="A232" s="151">
        <v>1.0</v>
      </c>
      <c r="B232" s="148">
        <v>20228.0</v>
      </c>
      <c r="C232" s="50">
        <v>101017.0</v>
      </c>
      <c r="D232" s="150"/>
      <c r="E232" s="150"/>
      <c r="F232" s="150"/>
      <c r="G232" s="150"/>
      <c r="H232" s="150"/>
      <c r="I232" s="150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</row>
    <row r="233">
      <c r="A233" s="151">
        <v>1.0</v>
      </c>
      <c r="B233" s="148">
        <v>20229.0</v>
      </c>
      <c r="C233" s="50">
        <v>72121.0</v>
      </c>
      <c r="D233" s="150"/>
      <c r="E233" s="150"/>
      <c r="F233" s="150"/>
      <c r="G233" s="150"/>
      <c r="H233" s="150"/>
      <c r="I233" s="150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</row>
    <row r="234">
      <c r="A234" s="151">
        <v>1.0</v>
      </c>
      <c r="B234" s="156">
        <v>20230.0</v>
      </c>
      <c r="C234" s="50">
        <v>110116.0</v>
      </c>
      <c r="D234" s="150"/>
      <c r="E234" s="150"/>
      <c r="F234" s="150"/>
      <c r="G234" s="150"/>
      <c r="H234" s="150"/>
      <c r="I234" s="150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</row>
    <row r="235">
      <c r="A235" s="151">
        <v>1.0</v>
      </c>
      <c r="B235" s="148">
        <v>20231.0</v>
      </c>
      <c r="C235" s="50">
        <v>21120.0</v>
      </c>
      <c r="D235" s="150"/>
      <c r="E235" s="150"/>
      <c r="F235" s="150"/>
      <c r="G235" s="150"/>
      <c r="H235" s="150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</row>
    <row r="236">
      <c r="A236" s="151">
        <v>1.0</v>
      </c>
      <c r="B236" s="148">
        <v>20232.0</v>
      </c>
      <c r="C236" s="50">
        <v>31821.0</v>
      </c>
      <c r="D236" s="150"/>
      <c r="E236" s="150"/>
      <c r="F236" s="150"/>
      <c r="G236" s="150"/>
      <c r="H236" s="150"/>
      <c r="I236" s="150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</row>
    <row r="237">
      <c r="A237" s="151">
        <v>0.0</v>
      </c>
      <c r="B237" s="156">
        <v>20233.0</v>
      </c>
      <c r="C237" s="50">
        <v>90713.0</v>
      </c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</row>
    <row r="238">
      <c r="A238" s="151">
        <v>1.0</v>
      </c>
      <c r="B238" s="156">
        <v>20234.0</v>
      </c>
      <c r="C238" s="50">
        <v>50214.0</v>
      </c>
      <c r="D238" s="150"/>
      <c r="E238" s="150"/>
      <c r="F238" s="150"/>
      <c r="G238" s="150"/>
      <c r="H238" s="150"/>
      <c r="I238" s="150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</row>
    <row r="239">
      <c r="A239" s="151">
        <v>1.0</v>
      </c>
      <c r="B239" s="148">
        <v>20235.0</v>
      </c>
      <c r="C239" s="50">
        <v>123115.0</v>
      </c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</row>
    <row r="240">
      <c r="A240" s="151">
        <v>0.0</v>
      </c>
      <c r="B240" s="148">
        <v>20236.0</v>
      </c>
      <c r="C240" s="50">
        <v>31620.0</v>
      </c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</row>
    <row r="241">
      <c r="A241" s="151">
        <v>0.0</v>
      </c>
      <c r="B241" s="156">
        <v>20237.0</v>
      </c>
      <c r="C241" s="50">
        <v>102915.0</v>
      </c>
      <c r="D241" s="150"/>
      <c r="E241" s="150"/>
      <c r="F241" s="150"/>
      <c r="G241" s="150"/>
      <c r="H241" s="150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</row>
    <row r="242">
      <c r="A242" s="151">
        <v>1.0</v>
      </c>
      <c r="B242" s="156">
        <v>20238.0</v>
      </c>
      <c r="C242" s="50">
        <v>70319.0</v>
      </c>
      <c r="D242" s="150"/>
      <c r="E242" s="150"/>
      <c r="F242" s="150"/>
      <c r="G242" s="150"/>
      <c r="H242" s="150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</row>
    <row r="243">
      <c r="A243" s="151">
        <v>1.0</v>
      </c>
      <c r="B243" s="148">
        <v>20239.0</v>
      </c>
      <c r="C243" s="50">
        <v>50217.0</v>
      </c>
      <c r="D243" s="150"/>
      <c r="E243" s="150"/>
      <c r="F243" s="150"/>
      <c r="G243" s="150"/>
      <c r="H243" s="150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</row>
    <row r="244">
      <c r="A244" s="151">
        <v>1.0</v>
      </c>
      <c r="B244" s="148">
        <v>20240.0</v>
      </c>
      <c r="C244" s="50">
        <v>91516.0</v>
      </c>
      <c r="D244" s="150"/>
      <c r="E244" s="150"/>
      <c r="F244" s="150"/>
      <c r="G244" s="150"/>
      <c r="H244" s="150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</row>
    <row r="245">
      <c r="A245" s="151">
        <v>0.0</v>
      </c>
      <c r="B245" s="156">
        <v>20241.0</v>
      </c>
      <c r="C245" s="50">
        <v>52514.0</v>
      </c>
      <c r="D245" s="150"/>
      <c r="E245" s="150"/>
      <c r="F245" s="150"/>
      <c r="G245" s="150"/>
      <c r="H245" s="150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</row>
    <row r="246">
      <c r="A246" s="151">
        <v>1.0</v>
      </c>
      <c r="B246" s="148">
        <v>20242.0</v>
      </c>
      <c r="C246" s="50">
        <v>42518.0</v>
      </c>
      <c r="D246" s="150"/>
      <c r="E246" s="150"/>
      <c r="F246" s="150"/>
      <c r="G246" s="150"/>
      <c r="H246" s="150"/>
      <c r="I246" s="150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</row>
    <row r="247">
      <c r="A247" s="151">
        <v>0.0</v>
      </c>
      <c r="B247" s="148">
        <v>20243.0</v>
      </c>
      <c r="C247" s="50">
        <v>100716.0</v>
      </c>
      <c r="D247" s="150"/>
      <c r="E247" s="150"/>
      <c r="F247" s="150"/>
      <c r="G247" s="150"/>
      <c r="H247" s="150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</row>
    <row r="248">
      <c r="A248" s="151">
        <v>1.0</v>
      </c>
      <c r="B248" s="156">
        <v>20244.0</v>
      </c>
      <c r="C248" s="50">
        <v>81619.0</v>
      </c>
      <c r="D248" s="150"/>
      <c r="E248" s="150"/>
      <c r="F248" s="150"/>
      <c r="G248" s="150"/>
      <c r="H248" s="150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</row>
    <row r="249">
      <c r="A249" s="151">
        <v>1.0</v>
      </c>
      <c r="B249" s="156">
        <v>20245.0</v>
      </c>
      <c r="C249" s="50">
        <v>102613.0</v>
      </c>
      <c r="D249" s="150"/>
      <c r="E249" s="150"/>
      <c r="F249" s="150"/>
      <c r="G249" s="150"/>
      <c r="H249" s="150"/>
      <c r="I249" s="150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</row>
    <row r="250">
      <c r="A250" s="151">
        <v>1.0</v>
      </c>
      <c r="B250" s="148">
        <v>20246.0</v>
      </c>
      <c r="C250" s="50">
        <v>51119.0</v>
      </c>
      <c r="D250" s="150"/>
      <c r="E250" s="150"/>
      <c r="F250" s="150"/>
      <c r="G250" s="150"/>
      <c r="H250" s="150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</row>
    <row r="251">
      <c r="A251" s="151">
        <v>0.0</v>
      </c>
      <c r="B251" s="148">
        <v>20247.0</v>
      </c>
      <c r="C251" s="50">
        <v>71016.0</v>
      </c>
      <c r="D251" s="150"/>
      <c r="E251" s="150"/>
      <c r="F251" s="150"/>
      <c r="G251" s="150"/>
      <c r="H251" s="150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</row>
    <row r="252">
      <c r="A252" s="151">
        <v>1.0</v>
      </c>
      <c r="B252" s="156">
        <v>20248.0</v>
      </c>
      <c r="C252" s="50">
        <v>72418.0</v>
      </c>
      <c r="D252" s="150"/>
      <c r="E252" s="150"/>
      <c r="F252" s="150"/>
      <c r="G252" s="150"/>
      <c r="H252" s="150"/>
      <c r="I252" s="150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</row>
    <row r="253">
      <c r="A253" s="151">
        <v>0.0</v>
      </c>
      <c r="B253" s="156">
        <v>20249.0</v>
      </c>
      <c r="C253" s="50">
        <v>50622.0</v>
      </c>
      <c r="D253" s="150"/>
      <c r="E253" s="150"/>
      <c r="F253" s="150"/>
      <c r="G253" s="150"/>
      <c r="H253" s="150"/>
      <c r="I253" s="150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</row>
    <row r="254">
      <c r="A254" s="151">
        <v>0.0</v>
      </c>
      <c r="B254" s="148">
        <v>20250.0</v>
      </c>
      <c r="C254" s="50">
        <v>82818.0</v>
      </c>
      <c r="D254" s="150"/>
      <c r="E254" s="150"/>
      <c r="F254" s="150"/>
      <c r="G254" s="150"/>
      <c r="H254" s="150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</row>
    <row r="255">
      <c r="A255" s="151">
        <v>1.0</v>
      </c>
      <c r="B255" s="148">
        <v>20251.0</v>
      </c>
      <c r="C255" s="50">
        <v>71322.0</v>
      </c>
      <c r="D255" s="150"/>
      <c r="E255" s="150"/>
      <c r="F255" s="150"/>
      <c r="G255" s="150"/>
      <c r="H255" s="150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</row>
    <row r="256">
      <c r="A256" s="151">
        <v>1.0</v>
      </c>
      <c r="B256" s="156">
        <v>20252.0</v>
      </c>
      <c r="C256" s="50">
        <v>51815.0</v>
      </c>
      <c r="D256" s="150"/>
      <c r="E256" s="150"/>
      <c r="F256" s="150"/>
      <c r="G256" s="150"/>
      <c r="H256" s="150"/>
      <c r="I256" s="150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</row>
    <row r="257">
      <c r="A257" s="151">
        <v>0.0</v>
      </c>
      <c r="B257" s="148">
        <v>20253.0</v>
      </c>
      <c r="C257" s="50">
        <v>11221.0</v>
      </c>
      <c r="D257" s="150"/>
      <c r="E257" s="150"/>
      <c r="F257" s="150"/>
      <c r="G257" s="150"/>
      <c r="H257" s="150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</row>
    <row r="258">
      <c r="A258" s="151">
        <v>0.0</v>
      </c>
      <c r="B258" s="148">
        <v>20254.0</v>
      </c>
      <c r="C258" s="50">
        <v>32122.0</v>
      </c>
      <c r="D258" s="150"/>
      <c r="E258" s="150"/>
      <c r="F258" s="150"/>
      <c r="G258" s="150"/>
      <c r="H258" s="150"/>
      <c r="I258" s="150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</row>
    <row r="259">
      <c r="A259" s="151">
        <v>1.0</v>
      </c>
      <c r="B259" s="156">
        <v>20255.0</v>
      </c>
      <c r="C259" s="50">
        <v>30819.0</v>
      </c>
      <c r="D259" s="150"/>
      <c r="E259" s="150"/>
      <c r="F259" s="150"/>
      <c r="G259" s="150"/>
      <c r="H259" s="150"/>
      <c r="I259" s="150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</row>
    <row r="260">
      <c r="A260" s="151">
        <v>1.0</v>
      </c>
      <c r="B260" s="156">
        <v>20256.0</v>
      </c>
      <c r="C260" s="50">
        <v>60917.0</v>
      </c>
      <c r="D260" s="150"/>
      <c r="E260" s="150"/>
      <c r="F260" s="150"/>
      <c r="G260" s="150"/>
      <c r="H260" s="150"/>
      <c r="I260" s="150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</row>
    <row r="261">
      <c r="A261" s="151">
        <v>1.0</v>
      </c>
      <c r="B261" s="148">
        <v>20257.0</v>
      </c>
      <c r="C261" s="50">
        <v>12015.0</v>
      </c>
      <c r="D261" s="150"/>
      <c r="E261" s="150"/>
      <c r="F261" s="150"/>
      <c r="G261" s="150"/>
      <c r="H261" s="150"/>
      <c r="I261" s="150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</row>
    <row r="262">
      <c r="A262" s="151">
        <v>1.0</v>
      </c>
      <c r="B262" s="148">
        <v>20258.0</v>
      </c>
      <c r="C262" s="50">
        <v>31214.0</v>
      </c>
      <c r="D262" s="150"/>
      <c r="E262" s="150"/>
      <c r="F262" s="150"/>
      <c r="G262" s="150"/>
      <c r="H262" s="150"/>
      <c r="I262" s="150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</row>
    <row r="263">
      <c r="A263" s="151">
        <v>0.0</v>
      </c>
      <c r="B263" s="156">
        <v>20259.0</v>
      </c>
      <c r="C263" s="50">
        <v>90717.0</v>
      </c>
      <c r="D263" s="150"/>
      <c r="E263" s="150"/>
      <c r="F263" s="150"/>
      <c r="G263" s="150"/>
      <c r="H263" s="150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</row>
    <row r="264">
      <c r="A264" s="151">
        <v>0.0</v>
      </c>
      <c r="B264" s="156">
        <v>20260.0</v>
      </c>
      <c r="C264" s="50">
        <v>22316.0</v>
      </c>
      <c r="D264" s="150"/>
      <c r="E264" s="150"/>
      <c r="F264" s="150"/>
      <c r="G264" s="150"/>
      <c r="H264" s="150"/>
      <c r="I264" s="150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</row>
    <row r="265">
      <c r="A265" s="151">
        <v>0.0</v>
      </c>
      <c r="B265" s="148">
        <v>20261.0</v>
      </c>
      <c r="C265" s="50">
        <v>112422.0</v>
      </c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</row>
    <row r="266">
      <c r="A266" s="151">
        <v>1.0</v>
      </c>
      <c r="B266" s="148">
        <v>20262.0</v>
      </c>
      <c r="C266" s="50">
        <v>122914.0</v>
      </c>
      <c r="D266" s="150"/>
      <c r="E266" s="150"/>
      <c r="F266" s="150"/>
      <c r="G266" s="150"/>
      <c r="H266" s="150"/>
      <c r="I266" s="150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</row>
    <row r="267">
      <c r="A267" s="151">
        <v>1.0</v>
      </c>
      <c r="B267" s="156">
        <v>20263.0</v>
      </c>
      <c r="C267" s="50">
        <v>72114.0</v>
      </c>
      <c r="D267" s="150"/>
      <c r="E267" s="150"/>
      <c r="F267" s="150"/>
      <c r="G267" s="150"/>
      <c r="H267" s="150"/>
      <c r="I267" s="150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</row>
    <row r="268">
      <c r="A268" s="151">
        <v>0.0</v>
      </c>
      <c r="B268" s="148">
        <v>20264.0</v>
      </c>
      <c r="C268" s="50">
        <v>41014.0</v>
      </c>
      <c r="D268" s="150"/>
      <c r="E268" s="150"/>
      <c r="F268" s="150"/>
      <c r="G268" s="150"/>
      <c r="H268" s="150"/>
      <c r="I268" s="150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</row>
    <row r="269">
      <c r="A269" s="151">
        <v>0.0</v>
      </c>
      <c r="B269" s="148">
        <v>20265.0</v>
      </c>
      <c r="C269" s="50">
        <v>12221.0</v>
      </c>
      <c r="D269" s="150"/>
      <c r="E269" s="150"/>
      <c r="F269" s="150"/>
      <c r="G269" s="150"/>
      <c r="H269" s="150"/>
      <c r="I269" s="150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</row>
    <row r="270">
      <c r="A270" s="151">
        <v>0.0</v>
      </c>
      <c r="B270" s="156">
        <v>20266.0</v>
      </c>
      <c r="C270" s="50">
        <v>102321.0</v>
      </c>
      <c r="D270" s="150"/>
      <c r="E270" s="150"/>
      <c r="F270" s="150"/>
      <c r="G270" s="150"/>
      <c r="H270" s="150"/>
      <c r="I270" s="150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</row>
    <row r="271">
      <c r="A271" s="151">
        <v>1.0</v>
      </c>
      <c r="B271" s="156">
        <v>20267.0</v>
      </c>
      <c r="C271" s="50">
        <v>30913.0</v>
      </c>
      <c r="D271" s="150"/>
      <c r="E271" s="150"/>
      <c r="F271" s="150"/>
      <c r="G271" s="150"/>
      <c r="H271" s="150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</row>
    <row r="272">
      <c r="A272" s="151">
        <v>1.0</v>
      </c>
      <c r="B272" s="148">
        <v>20268.0</v>
      </c>
      <c r="C272" s="50">
        <v>41815.0</v>
      </c>
      <c r="D272" s="150"/>
      <c r="E272" s="150"/>
      <c r="F272" s="150"/>
      <c r="G272" s="150"/>
      <c r="H272" s="150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</row>
    <row r="273">
      <c r="A273" s="151">
        <v>1.0</v>
      </c>
      <c r="B273" s="148">
        <v>20269.0</v>
      </c>
      <c r="C273" s="50">
        <v>123116.0</v>
      </c>
      <c r="D273" s="150"/>
      <c r="E273" s="150"/>
      <c r="F273" s="150"/>
      <c r="G273" s="150"/>
      <c r="H273" s="150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</row>
    <row r="274">
      <c r="A274" s="151">
        <v>0.0</v>
      </c>
      <c r="B274" s="156">
        <v>20270.0</v>
      </c>
      <c r="C274" s="50">
        <v>31514.0</v>
      </c>
      <c r="D274" s="150"/>
      <c r="E274" s="150"/>
      <c r="F274" s="150"/>
      <c r="G274" s="150"/>
      <c r="H274" s="150"/>
      <c r="I274" s="150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</row>
    <row r="275">
      <c r="A275" s="151">
        <v>0.0</v>
      </c>
      <c r="B275" s="156">
        <v>20271.0</v>
      </c>
      <c r="C275" s="50">
        <v>120913.0</v>
      </c>
      <c r="D275" s="150"/>
      <c r="E275" s="150"/>
      <c r="F275" s="150"/>
      <c r="G275" s="150"/>
      <c r="H275" s="150"/>
      <c r="I275" s="150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</row>
    <row r="276">
      <c r="A276" s="151">
        <v>0.0</v>
      </c>
      <c r="B276" s="148">
        <v>20272.0</v>
      </c>
      <c r="C276" s="50">
        <v>81119.0</v>
      </c>
      <c r="D276" s="150"/>
      <c r="E276" s="150"/>
      <c r="F276" s="150"/>
      <c r="G276" s="150"/>
      <c r="H276" s="150"/>
      <c r="I276" s="150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</row>
    <row r="277">
      <c r="A277" s="151">
        <v>0.0</v>
      </c>
      <c r="B277" s="148">
        <v>20273.0</v>
      </c>
      <c r="C277" s="50">
        <v>92519.0</v>
      </c>
      <c r="D277" s="150"/>
      <c r="E277" s="150"/>
      <c r="F277" s="150"/>
      <c r="G277" s="150"/>
      <c r="H277" s="150"/>
      <c r="I277" s="150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</row>
    <row r="278">
      <c r="A278" s="151">
        <v>1.0</v>
      </c>
      <c r="B278" s="156">
        <v>20274.0</v>
      </c>
      <c r="C278" s="50">
        <v>22616.0</v>
      </c>
      <c r="D278" s="150"/>
      <c r="E278" s="150"/>
      <c r="F278" s="150"/>
      <c r="G278" s="150"/>
      <c r="H278" s="150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</row>
    <row r="279">
      <c r="A279" s="151">
        <v>0.0</v>
      </c>
      <c r="B279" s="148">
        <v>20275.0</v>
      </c>
      <c r="C279" s="50">
        <v>112721.0</v>
      </c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</row>
    <row r="280">
      <c r="A280" s="151">
        <v>0.0</v>
      </c>
      <c r="B280" s="148">
        <v>20276.0</v>
      </c>
      <c r="C280" s="50">
        <v>92915.0</v>
      </c>
      <c r="D280" s="150"/>
      <c r="E280" s="150"/>
      <c r="F280" s="150"/>
      <c r="G280" s="150"/>
      <c r="H280" s="150"/>
      <c r="I280" s="150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</row>
    <row r="281">
      <c r="A281" s="151">
        <v>1.0</v>
      </c>
      <c r="B281" s="156">
        <v>20277.0</v>
      </c>
      <c r="C281" s="50">
        <v>91013.0</v>
      </c>
      <c r="D281" s="150"/>
      <c r="E281" s="150"/>
      <c r="F281" s="150"/>
      <c r="G281" s="150"/>
      <c r="H281" s="150"/>
      <c r="I281" s="150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</row>
    <row r="282">
      <c r="A282" s="151">
        <v>0.0</v>
      </c>
      <c r="B282" s="156">
        <v>20278.0</v>
      </c>
      <c r="C282" s="50">
        <v>31421.0</v>
      </c>
      <c r="D282" s="150"/>
      <c r="E282" s="150"/>
      <c r="F282" s="150"/>
      <c r="G282" s="150"/>
      <c r="H282" s="150"/>
      <c r="I282" s="150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</row>
    <row r="283">
      <c r="A283" s="151">
        <v>0.0</v>
      </c>
      <c r="B283" s="148">
        <v>20279.0</v>
      </c>
      <c r="C283" s="50">
        <v>100821.0</v>
      </c>
      <c r="D283" s="150"/>
      <c r="E283" s="150"/>
      <c r="F283" s="150"/>
      <c r="G283" s="150"/>
      <c r="H283" s="150"/>
      <c r="I283" s="150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</row>
    <row r="284">
      <c r="A284" s="151">
        <v>1.0</v>
      </c>
      <c r="B284" s="148">
        <v>20280.0</v>
      </c>
      <c r="C284" s="50">
        <v>81020.0</v>
      </c>
      <c r="D284" s="150"/>
      <c r="E284" s="150"/>
      <c r="F284" s="150"/>
      <c r="G284" s="150"/>
      <c r="H284" s="150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</row>
    <row r="285">
      <c r="A285" s="151">
        <v>1.0</v>
      </c>
      <c r="B285" s="156">
        <v>20281.0</v>
      </c>
      <c r="C285" s="50">
        <v>51917.0</v>
      </c>
      <c r="D285" s="150"/>
      <c r="E285" s="150"/>
      <c r="F285" s="150"/>
      <c r="G285" s="150"/>
      <c r="H285" s="150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</row>
    <row r="286">
      <c r="A286" s="151">
        <v>1.0</v>
      </c>
      <c r="B286" s="156">
        <v>20282.0</v>
      </c>
      <c r="C286" s="50">
        <v>101117.0</v>
      </c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</row>
    <row r="287">
      <c r="A287" s="151">
        <v>1.0</v>
      </c>
      <c r="B287" s="148">
        <v>20283.0</v>
      </c>
      <c r="C287" s="50">
        <v>112819.0</v>
      </c>
      <c r="D287" s="150"/>
      <c r="E287" s="150"/>
      <c r="F287" s="150"/>
      <c r="G287" s="150"/>
      <c r="H287" s="150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</row>
    <row r="288">
      <c r="A288" s="151">
        <v>0.0</v>
      </c>
      <c r="B288" s="148">
        <v>20284.0</v>
      </c>
      <c r="C288" s="50">
        <v>100915.0</v>
      </c>
      <c r="D288" s="150"/>
      <c r="E288" s="150"/>
      <c r="F288" s="150"/>
      <c r="G288" s="150"/>
      <c r="H288" s="150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</row>
    <row r="289">
      <c r="A289" s="151">
        <v>0.0</v>
      </c>
      <c r="B289" s="156">
        <v>20285.0</v>
      </c>
      <c r="C289" s="50">
        <v>91618.0</v>
      </c>
      <c r="D289" s="150"/>
      <c r="E289" s="150"/>
      <c r="F289" s="150"/>
      <c r="G289" s="150"/>
      <c r="H289" s="150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</row>
    <row r="290">
      <c r="A290" s="151">
        <v>0.0</v>
      </c>
      <c r="B290" s="148">
        <v>20286.0</v>
      </c>
      <c r="C290" s="50">
        <v>82515.0</v>
      </c>
      <c r="D290" s="150"/>
      <c r="E290" s="150"/>
      <c r="F290" s="150"/>
      <c r="G290" s="150"/>
      <c r="H290" s="150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</row>
    <row r="291">
      <c r="A291" s="151">
        <v>1.0</v>
      </c>
      <c r="B291" s="148">
        <v>20287.0</v>
      </c>
      <c r="C291" s="50">
        <v>50321.0</v>
      </c>
      <c r="D291" s="150"/>
      <c r="E291" s="150"/>
      <c r="F291" s="150"/>
      <c r="G291" s="150"/>
      <c r="H291" s="150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</row>
    <row r="292">
      <c r="A292" s="151">
        <v>1.0</v>
      </c>
      <c r="B292" s="156">
        <v>20288.0</v>
      </c>
      <c r="C292" s="50">
        <v>120414.0</v>
      </c>
      <c r="D292" s="150"/>
      <c r="E292" s="150"/>
      <c r="F292" s="150"/>
      <c r="G292" s="150"/>
      <c r="H292" s="150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</row>
    <row r="293">
      <c r="A293" s="151">
        <v>1.0</v>
      </c>
      <c r="B293" s="156">
        <v>20289.0</v>
      </c>
      <c r="C293" s="50">
        <v>91815.0</v>
      </c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</row>
    <row r="294">
      <c r="A294" s="151">
        <v>1.0</v>
      </c>
      <c r="B294" s="148">
        <v>20290.0</v>
      </c>
      <c r="C294" s="50">
        <v>91314.0</v>
      </c>
      <c r="D294" s="150"/>
      <c r="E294" s="150"/>
      <c r="F294" s="150"/>
      <c r="G294" s="150"/>
      <c r="H294" s="150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</row>
    <row r="295">
      <c r="A295" s="151">
        <v>1.0</v>
      </c>
      <c r="B295" s="148">
        <v>20291.0</v>
      </c>
      <c r="C295" s="50">
        <v>91215.0</v>
      </c>
      <c r="D295" s="150"/>
      <c r="E295" s="150"/>
      <c r="F295" s="150"/>
      <c r="G295" s="150"/>
      <c r="H295" s="150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</row>
    <row r="296">
      <c r="A296" s="151">
        <v>1.0</v>
      </c>
      <c r="B296" s="156">
        <v>20292.0</v>
      </c>
      <c r="C296" s="50">
        <v>62218.0</v>
      </c>
      <c r="D296" s="150"/>
      <c r="E296" s="150"/>
      <c r="F296" s="150"/>
      <c r="G296" s="150"/>
      <c r="H296" s="150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</row>
    <row r="297">
      <c r="A297" s="151">
        <v>0.0</v>
      </c>
      <c r="B297" s="156">
        <v>20293.0</v>
      </c>
      <c r="C297" s="50">
        <v>52916.0</v>
      </c>
      <c r="D297" s="150"/>
      <c r="E297" s="150"/>
      <c r="F297" s="150"/>
      <c r="G297" s="150"/>
      <c r="H297" s="150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</row>
    <row r="298">
      <c r="A298" s="151">
        <v>0.0</v>
      </c>
      <c r="B298" s="148">
        <v>20294.0</v>
      </c>
      <c r="C298" s="50">
        <v>72616.0</v>
      </c>
      <c r="D298" s="150"/>
      <c r="E298" s="150"/>
      <c r="F298" s="150"/>
      <c r="G298" s="150"/>
      <c r="H298" s="150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</row>
    <row r="299">
      <c r="A299" s="151">
        <v>1.0</v>
      </c>
      <c r="B299" s="148">
        <v>20295.0</v>
      </c>
      <c r="C299" s="50">
        <v>10113.0</v>
      </c>
      <c r="D299" s="150"/>
      <c r="E299" s="150"/>
      <c r="F299" s="150"/>
      <c r="G299" s="150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</row>
    <row r="300">
      <c r="A300" s="151">
        <v>1.0</v>
      </c>
      <c r="B300" s="156">
        <v>20296.0</v>
      </c>
      <c r="C300" s="50">
        <v>120320.0</v>
      </c>
      <c r="D300" s="150"/>
      <c r="E300" s="150"/>
      <c r="F300" s="150"/>
      <c r="G300" s="150"/>
      <c r="H300" s="150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</row>
    <row r="301">
      <c r="A301" s="151">
        <v>0.0</v>
      </c>
      <c r="B301" s="148">
        <v>20297.0</v>
      </c>
      <c r="C301" s="50">
        <v>110521.0</v>
      </c>
      <c r="D301" s="150"/>
      <c r="E301" s="150"/>
      <c r="F301" s="150"/>
      <c r="G301" s="150"/>
      <c r="H301" s="150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</row>
    <row r="302">
      <c r="A302" s="151">
        <v>1.0</v>
      </c>
      <c r="B302" s="148">
        <v>20298.0</v>
      </c>
      <c r="C302" s="50">
        <v>21121.0</v>
      </c>
      <c r="D302" s="150"/>
      <c r="E302" s="150"/>
      <c r="F302" s="150"/>
      <c r="G302" s="150"/>
      <c r="H302" s="150"/>
      <c r="I302" s="150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</row>
    <row r="303">
      <c r="A303" s="151">
        <v>1.0</v>
      </c>
      <c r="B303" s="156">
        <v>20299.0</v>
      </c>
      <c r="C303" s="50">
        <v>100122.0</v>
      </c>
      <c r="D303" s="150"/>
      <c r="E303" s="150"/>
      <c r="F303" s="150"/>
      <c r="G303" s="150"/>
      <c r="H303" s="150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</row>
    <row r="304">
      <c r="A304" s="151">
        <v>0.0</v>
      </c>
      <c r="B304" s="156">
        <v>20300.0</v>
      </c>
      <c r="C304" s="50">
        <v>53013.0</v>
      </c>
      <c r="D304" s="150"/>
      <c r="E304" s="150"/>
      <c r="F304" s="150"/>
      <c r="G304" s="150"/>
      <c r="H304" s="150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</row>
    <row r="305">
      <c r="A305" s="151">
        <v>0.0</v>
      </c>
      <c r="B305" s="148">
        <v>20301.0</v>
      </c>
      <c r="C305" s="50">
        <v>70922.0</v>
      </c>
      <c r="D305" s="150"/>
      <c r="E305" s="150"/>
      <c r="F305" s="150"/>
      <c r="G305" s="150"/>
      <c r="H305" s="150"/>
      <c r="I305" s="150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</row>
    <row r="306">
      <c r="A306" s="151">
        <v>0.0</v>
      </c>
      <c r="B306" s="148">
        <v>20302.0</v>
      </c>
      <c r="C306" s="50">
        <v>51715.0</v>
      </c>
      <c r="D306" s="150"/>
      <c r="E306" s="150"/>
      <c r="F306" s="150"/>
      <c r="G306" s="150"/>
      <c r="H306" s="150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</row>
    <row r="307">
      <c r="A307" s="151">
        <v>0.0</v>
      </c>
      <c r="B307" s="156">
        <v>20303.0</v>
      </c>
      <c r="C307" s="50">
        <v>70420.0</v>
      </c>
      <c r="D307" s="150"/>
      <c r="E307" s="150"/>
      <c r="F307" s="150"/>
      <c r="G307" s="150"/>
      <c r="H307" s="150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</row>
    <row r="308">
      <c r="A308" s="151">
        <v>0.0</v>
      </c>
      <c r="B308" s="156">
        <v>20304.0</v>
      </c>
      <c r="C308" s="50">
        <v>62714.0</v>
      </c>
      <c r="D308" s="150"/>
      <c r="E308" s="150"/>
      <c r="F308" s="150"/>
      <c r="G308" s="150"/>
      <c r="H308" s="150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</row>
    <row r="309">
      <c r="A309" s="151">
        <v>0.0</v>
      </c>
      <c r="B309" s="148">
        <v>20305.0</v>
      </c>
      <c r="C309" s="50">
        <v>92420.0</v>
      </c>
      <c r="D309" s="150"/>
      <c r="E309" s="150"/>
      <c r="F309" s="150"/>
      <c r="G309" s="150"/>
      <c r="H309" s="150"/>
      <c r="I309" s="150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</row>
    <row r="310">
      <c r="A310" s="151">
        <v>1.0</v>
      </c>
      <c r="B310" s="148">
        <v>20306.0</v>
      </c>
      <c r="C310" s="50">
        <v>111522.0</v>
      </c>
      <c r="D310" s="150"/>
      <c r="E310" s="150"/>
      <c r="F310" s="150"/>
      <c r="G310" s="150"/>
      <c r="H310" s="150"/>
      <c r="I310" s="150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</row>
    <row r="311">
      <c r="A311" s="151">
        <v>0.0</v>
      </c>
      <c r="B311" s="156">
        <v>20307.0</v>
      </c>
      <c r="C311" s="50">
        <v>20114.0</v>
      </c>
      <c r="D311" s="150"/>
      <c r="E311" s="150"/>
      <c r="F311" s="150"/>
      <c r="G311" s="150"/>
      <c r="H311" s="150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</row>
    <row r="312">
      <c r="A312" s="151">
        <v>0.0</v>
      </c>
      <c r="B312" s="148">
        <v>20308.0</v>
      </c>
      <c r="C312" s="50">
        <v>12621.0</v>
      </c>
      <c r="D312" s="150"/>
      <c r="E312" s="150"/>
      <c r="F312" s="150"/>
      <c r="G312" s="150"/>
      <c r="H312" s="150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</row>
    <row r="313">
      <c r="A313" s="151">
        <v>1.0</v>
      </c>
      <c r="B313" s="148">
        <v>20309.0</v>
      </c>
      <c r="C313" s="50">
        <v>61522.0</v>
      </c>
      <c r="D313" s="150"/>
      <c r="E313" s="150"/>
      <c r="F313" s="150"/>
      <c r="G313" s="150"/>
      <c r="H313" s="150"/>
      <c r="I313" s="150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</row>
    <row r="314">
      <c r="A314" s="151">
        <v>0.0</v>
      </c>
      <c r="B314" s="156">
        <v>20310.0</v>
      </c>
      <c r="C314" s="50">
        <v>81915.0</v>
      </c>
      <c r="D314" s="150"/>
      <c r="E314" s="150"/>
      <c r="F314" s="150"/>
      <c r="G314" s="150"/>
      <c r="H314" s="150"/>
      <c r="I314" s="150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</row>
    <row r="315">
      <c r="A315" s="151">
        <v>1.0</v>
      </c>
      <c r="B315" s="156">
        <v>20311.0</v>
      </c>
      <c r="C315" s="50">
        <v>120115.0</v>
      </c>
      <c r="D315" s="150"/>
      <c r="E315" s="150"/>
      <c r="F315" s="150"/>
      <c r="G315" s="150"/>
      <c r="H315" s="150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</row>
    <row r="316">
      <c r="A316" s="151">
        <v>0.0</v>
      </c>
      <c r="B316" s="148">
        <v>20312.0</v>
      </c>
      <c r="C316" s="50">
        <v>100315.0</v>
      </c>
      <c r="D316" s="150"/>
      <c r="E316" s="150"/>
      <c r="F316" s="150"/>
      <c r="G316" s="150"/>
      <c r="H316" s="150"/>
      <c r="I316" s="150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</row>
    <row r="317">
      <c r="A317" s="151">
        <v>0.0</v>
      </c>
      <c r="B317" s="148">
        <v>20313.0</v>
      </c>
      <c r="C317" s="50">
        <v>121117.0</v>
      </c>
      <c r="D317" s="150"/>
      <c r="E317" s="150"/>
      <c r="F317" s="150"/>
      <c r="G317" s="150"/>
      <c r="H317" s="150"/>
      <c r="I317" s="150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</row>
    <row r="318">
      <c r="A318" s="151">
        <v>0.0</v>
      </c>
      <c r="B318" s="156">
        <v>20314.0</v>
      </c>
      <c r="C318" s="50">
        <v>102120.0</v>
      </c>
      <c r="D318" s="150"/>
      <c r="E318" s="150"/>
      <c r="F318" s="150"/>
      <c r="G318" s="150"/>
      <c r="H318" s="150"/>
      <c r="I318" s="150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</row>
    <row r="319">
      <c r="A319" s="151">
        <v>1.0</v>
      </c>
      <c r="B319" s="156">
        <v>20315.0</v>
      </c>
      <c r="C319" s="50">
        <v>92618.0</v>
      </c>
      <c r="D319" s="150"/>
      <c r="E319" s="150"/>
      <c r="F319" s="150"/>
      <c r="G319" s="150"/>
      <c r="H319" s="150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</row>
    <row r="320">
      <c r="A320" s="151">
        <v>1.0</v>
      </c>
      <c r="B320" s="148">
        <v>20316.0</v>
      </c>
      <c r="C320" s="50">
        <v>110513.0</v>
      </c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</row>
    <row r="321">
      <c r="A321" s="151">
        <v>1.0</v>
      </c>
      <c r="B321" s="148">
        <v>20317.0</v>
      </c>
      <c r="C321" s="50">
        <v>121518.0</v>
      </c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</row>
    <row r="322">
      <c r="A322" s="151">
        <v>1.0</v>
      </c>
      <c r="B322" s="156">
        <v>20318.0</v>
      </c>
      <c r="C322" s="50">
        <v>81814.0</v>
      </c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</row>
    <row r="323">
      <c r="A323" s="151">
        <v>0.0</v>
      </c>
      <c r="B323" s="148">
        <v>20319.0</v>
      </c>
      <c r="C323" s="50">
        <v>102416.0</v>
      </c>
      <c r="D323" s="150"/>
      <c r="E323" s="150"/>
      <c r="F323" s="150"/>
      <c r="G323" s="150"/>
      <c r="H323" s="150"/>
      <c r="I323" s="150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</row>
    <row r="324">
      <c r="A324" s="151">
        <v>1.0</v>
      </c>
      <c r="B324" s="148">
        <v>20320.0</v>
      </c>
      <c r="C324" s="50">
        <v>61416.0</v>
      </c>
      <c r="D324" s="150"/>
      <c r="E324" s="150"/>
      <c r="F324" s="150"/>
      <c r="G324" s="150"/>
      <c r="H324" s="150"/>
      <c r="I324" s="150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</row>
    <row r="325">
      <c r="A325" s="151">
        <v>1.0</v>
      </c>
      <c r="B325" s="156">
        <v>20321.0</v>
      </c>
      <c r="C325" s="50">
        <v>60720.0</v>
      </c>
      <c r="D325" s="150"/>
      <c r="E325" s="150"/>
      <c r="F325" s="150"/>
      <c r="G325" s="150"/>
      <c r="H325" s="150"/>
      <c r="I325" s="150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</row>
    <row r="326">
      <c r="A326" s="151">
        <v>1.0</v>
      </c>
      <c r="B326" s="156">
        <v>20322.0</v>
      </c>
      <c r="C326" s="50">
        <v>91921.0</v>
      </c>
      <c r="D326" s="150"/>
      <c r="E326" s="150"/>
      <c r="F326" s="150"/>
      <c r="G326" s="150"/>
      <c r="H326" s="150"/>
      <c r="I326" s="150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</row>
    <row r="327">
      <c r="A327" s="151">
        <v>1.0</v>
      </c>
      <c r="B327" s="148">
        <v>20323.0</v>
      </c>
      <c r="C327" s="50">
        <v>30114.0</v>
      </c>
      <c r="D327" s="150"/>
      <c r="E327" s="150"/>
      <c r="F327" s="150"/>
      <c r="G327" s="150"/>
      <c r="H327" s="150"/>
      <c r="I327" s="150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</row>
    <row r="328">
      <c r="A328" s="151">
        <v>1.0</v>
      </c>
      <c r="B328" s="148">
        <v>20324.0</v>
      </c>
      <c r="C328" s="50">
        <v>51413.0</v>
      </c>
      <c r="D328" s="150"/>
      <c r="E328" s="150"/>
      <c r="F328" s="150"/>
      <c r="G328" s="150"/>
      <c r="H328" s="150"/>
      <c r="I328" s="150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</row>
    <row r="329">
      <c r="A329" s="151">
        <v>0.0</v>
      </c>
      <c r="B329" s="156">
        <v>20325.0</v>
      </c>
      <c r="C329" s="50">
        <v>82521.0</v>
      </c>
      <c r="D329" s="150"/>
      <c r="E329" s="150"/>
      <c r="F329" s="150"/>
      <c r="G329" s="150"/>
      <c r="H329" s="150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</row>
    <row r="330">
      <c r="A330" s="151">
        <v>0.0</v>
      </c>
      <c r="B330" s="156">
        <v>20326.0</v>
      </c>
      <c r="C330" s="50">
        <v>70119.0</v>
      </c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</row>
    <row r="331">
      <c r="A331" s="151">
        <v>0.0</v>
      </c>
      <c r="B331" s="148">
        <v>20327.0</v>
      </c>
      <c r="C331" s="50">
        <v>70617.0</v>
      </c>
      <c r="D331" s="150"/>
      <c r="E331" s="150"/>
      <c r="F331" s="150"/>
      <c r="G331" s="150"/>
      <c r="H331" s="150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</row>
    <row r="332">
      <c r="A332" s="151">
        <v>1.0</v>
      </c>
      <c r="B332" s="148">
        <v>20328.0</v>
      </c>
      <c r="C332" s="50">
        <v>102917.0</v>
      </c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</row>
    <row r="333">
      <c r="A333" s="151">
        <v>1.0</v>
      </c>
      <c r="B333" s="156">
        <v>20329.0</v>
      </c>
      <c r="C333" s="50">
        <v>82318.0</v>
      </c>
      <c r="D333" s="150"/>
      <c r="E333" s="150"/>
      <c r="F333" s="150"/>
      <c r="G333" s="150"/>
      <c r="H333" s="150"/>
      <c r="I333" s="150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</row>
    <row r="334">
      <c r="A334" s="151">
        <v>0.0</v>
      </c>
      <c r="B334" s="148">
        <v>20330.0</v>
      </c>
      <c r="C334" s="50">
        <v>120718.0</v>
      </c>
      <c r="D334" s="150"/>
      <c r="E334" s="150"/>
      <c r="F334" s="150"/>
      <c r="G334" s="150"/>
      <c r="H334" s="150"/>
      <c r="I334" s="150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</row>
    <row r="335">
      <c r="A335" s="151">
        <v>0.0</v>
      </c>
      <c r="B335" s="148">
        <v>20331.0</v>
      </c>
      <c r="C335" s="50">
        <v>81918.0</v>
      </c>
      <c r="D335" s="150"/>
      <c r="E335" s="150"/>
      <c r="F335" s="150"/>
      <c r="G335" s="150"/>
      <c r="H335" s="150"/>
      <c r="I335" s="150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</row>
    <row r="336">
      <c r="A336" s="151">
        <v>0.0</v>
      </c>
      <c r="B336" s="156">
        <v>20332.0</v>
      </c>
      <c r="C336" s="50">
        <v>42615.0</v>
      </c>
      <c r="D336" s="150"/>
      <c r="E336" s="150"/>
      <c r="F336" s="150"/>
      <c r="G336" s="150"/>
      <c r="H336" s="150"/>
      <c r="I336" s="150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</row>
    <row r="337">
      <c r="A337" s="151">
        <v>1.0</v>
      </c>
      <c r="B337" s="156">
        <v>20333.0</v>
      </c>
      <c r="C337" s="50">
        <v>30918.0</v>
      </c>
      <c r="D337" s="150"/>
      <c r="E337" s="150"/>
      <c r="F337" s="150"/>
      <c r="G337" s="150"/>
      <c r="H337" s="150"/>
      <c r="I337" s="150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</row>
    <row r="338">
      <c r="A338" s="151">
        <v>0.0</v>
      </c>
      <c r="B338" s="148">
        <v>20334.0</v>
      </c>
      <c r="C338" s="50">
        <v>11620.0</v>
      </c>
      <c r="D338" s="150"/>
      <c r="E338" s="150"/>
      <c r="F338" s="150"/>
      <c r="G338" s="150"/>
      <c r="H338" s="150"/>
      <c r="I338" s="150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</row>
    <row r="339">
      <c r="A339" s="151">
        <v>0.0</v>
      </c>
      <c r="B339" s="148">
        <v>20335.0</v>
      </c>
      <c r="C339" s="50">
        <v>101819.0</v>
      </c>
      <c r="D339" s="150"/>
      <c r="E339" s="150"/>
      <c r="F339" s="150"/>
      <c r="G339" s="150"/>
      <c r="H339" s="150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</row>
    <row r="340">
      <c r="A340" s="151">
        <v>1.0</v>
      </c>
      <c r="B340" s="156">
        <v>20336.0</v>
      </c>
      <c r="C340" s="50">
        <v>22519.0</v>
      </c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</row>
    <row r="341">
      <c r="A341" s="151">
        <v>1.0</v>
      </c>
      <c r="B341" s="156">
        <v>20337.0</v>
      </c>
      <c r="C341" s="50">
        <v>72118.0</v>
      </c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</row>
    <row r="342">
      <c r="A342" s="151">
        <v>0.0</v>
      </c>
      <c r="B342" s="148">
        <v>20338.0</v>
      </c>
      <c r="C342" s="50">
        <v>102514.0</v>
      </c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</row>
    <row r="343">
      <c r="A343" s="151">
        <v>0.0</v>
      </c>
      <c r="B343" s="148">
        <v>20339.0</v>
      </c>
      <c r="C343" s="50">
        <v>60117.0</v>
      </c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</row>
    <row r="344">
      <c r="A344" s="151">
        <v>0.0</v>
      </c>
      <c r="B344" s="156">
        <v>20340.0</v>
      </c>
      <c r="C344" s="50">
        <v>110118.0</v>
      </c>
      <c r="D344" s="150"/>
      <c r="E344" s="150"/>
      <c r="F344" s="150"/>
      <c r="G344" s="150"/>
      <c r="H344" s="150"/>
      <c r="I344" s="150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</row>
    <row r="345">
      <c r="A345" s="151">
        <v>1.0</v>
      </c>
      <c r="B345" s="148">
        <v>20341.0</v>
      </c>
      <c r="C345" s="50">
        <v>70517.0</v>
      </c>
      <c r="D345" s="150"/>
      <c r="E345" s="150"/>
      <c r="F345" s="150"/>
      <c r="G345" s="150"/>
      <c r="H345" s="150"/>
      <c r="I345" s="150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</row>
    <row r="346">
      <c r="A346" s="151">
        <v>0.0</v>
      </c>
      <c r="B346" s="148">
        <v>20342.0</v>
      </c>
      <c r="C346" s="50">
        <v>81016.0</v>
      </c>
      <c r="D346" s="150"/>
      <c r="E346" s="150"/>
      <c r="F346" s="150"/>
      <c r="G346" s="150"/>
      <c r="H346" s="150"/>
      <c r="I346" s="150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</row>
    <row r="347">
      <c r="A347" s="151">
        <v>1.0</v>
      </c>
      <c r="B347" s="156">
        <v>20343.0</v>
      </c>
      <c r="C347" s="50">
        <v>31413.0</v>
      </c>
      <c r="D347" s="150"/>
      <c r="E347" s="150"/>
      <c r="F347" s="150"/>
      <c r="G347" s="150"/>
      <c r="H347" s="150"/>
      <c r="I347" s="150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</row>
    <row r="348">
      <c r="A348" s="151">
        <v>0.0</v>
      </c>
      <c r="B348" s="156">
        <v>20344.0</v>
      </c>
      <c r="C348" s="50">
        <v>21318.0</v>
      </c>
      <c r="D348" s="150"/>
      <c r="E348" s="150"/>
      <c r="F348" s="150"/>
      <c r="G348" s="150"/>
      <c r="H348" s="150"/>
      <c r="I348" s="150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</row>
    <row r="349">
      <c r="A349" s="151">
        <v>1.0</v>
      </c>
      <c r="B349" s="148">
        <v>20345.0</v>
      </c>
      <c r="C349" s="50">
        <v>113022.0</v>
      </c>
      <c r="D349" s="150"/>
      <c r="E349" s="150"/>
      <c r="F349" s="150"/>
      <c r="G349" s="150"/>
      <c r="H349" s="150"/>
      <c r="I349" s="150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</row>
    <row r="350">
      <c r="A350" s="151">
        <v>1.0</v>
      </c>
      <c r="B350" s="148">
        <v>20346.0</v>
      </c>
      <c r="C350" s="50">
        <v>100416.0</v>
      </c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</row>
    <row r="351">
      <c r="A351" s="151">
        <v>1.0</v>
      </c>
      <c r="B351" s="156">
        <v>20347.0</v>
      </c>
      <c r="C351" s="50">
        <v>20913.0</v>
      </c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</row>
    <row r="352">
      <c r="A352" s="151">
        <v>0.0</v>
      </c>
      <c r="B352" s="156">
        <v>20348.0</v>
      </c>
      <c r="C352" s="50">
        <v>52221.0</v>
      </c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</row>
    <row r="353">
      <c r="A353" s="151">
        <v>1.0</v>
      </c>
      <c r="B353" s="148">
        <v>20349.0</v>
      </c>
      <c r="C353" s="50">
        <v>11318.0</v>
      </c>
      <c r="D353" s="150"/>
      <c r="E353" s="150"/>
      <c r="F353" s="150"/>
      <c r="G353" s="150"/>
      <c r="H353" s="150"/>
      <c r="I353" s="150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</row>
    <row r="354">
      <c r="A354" s="151">
        <v>1.0</v>
      </c>
      <c r="B354" s="148">
        <v>20350.0</v>
      </c>
      <c r="C354" s="50">
        <v>121321.0</v>
      </c>
      <c r="D354" s="150"/>
      <c r="E354" s="150"/>
      <c r="F354" s="150"/>
      <c r="G354" s="150"/>
      <c r="H354" s="150"/>
      <c r="I354" s="150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</row>
    <row r="355">
      <c r="A355" s="151">
        <v>0.0</v>
      </c>
      <c r="B355" s="156">
        <v>20351.0</v>
      </c>
      <c r="C355" s="50">
        <v>80417.0</v>
      </c>
      <c r="D355" s="150"/>
      <c r="E355" s="150"/>
      <c r="F355" s="150"/>
      <c r="G355" s="150"/>
      <c r="H355" s="150"/>
      <c r="I355" s="150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</row>
    <row r="356">
      <c r="A356" s="151">
        <v>0.0</v>
      </c>
      <c r="B356" s="148">
        <v>20352.0</v>
      </c>
      <c r="C356" s="50">
        <v>80721.0</v>
      </c>
      <c r="D356" s="150"/>
      <c r="E356" s="150"/>
      <c r="F356" s="150"/>
      <c r="G356" s="150"/>
      <c r="H356" s="150"/>
      <c r="I356" s="150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</row>
    <row r="357">
      <c r="A357" s="151">
        <v>1.0</v>
      </c>
      <c r="B357" s="148">
        <v>20353.0</v>
      </c>
      <c r="C357" s="50">
        <v>111214.0</v>
      </c>
      <c r="D357" s="150"/>
      <c r="E357" s="150"/>
      <c r="F357" s="150"/>
      <c r="G357" s="150"/>
      <c r="H357" s="150"/>
      <c r="I357" s="150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</row>
    <row r="358">
      <c r="A358" s="151">
        <v>1.0</v>
      </c>
      <c r="B358" s="156">
        <v>20354.0</v>
      </c>
      <c r="C358" s="50">
        <v>61513.0</v>
      </c>
      <c r="D358" s="150"/>
      <c r="E358" s="150"/>
      <c r="F358" s="150"/>
      <c r="G358" s="150"/>
      <c r="H358" s="150"/>
      <c r="I358" s="150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</row>
    <row r="359">
      <c r="A359" s="151">
        <v>0.0</v>
      </c>
      <c r="B359" s="156">
        <v>20355.0</v>
      </c>
      <c r="C359" s="50">
        <v>51013.0</v>
      </c>
      <c r="D359" s="150"/>
      <c r="E359" s="150"/>
      <c r="F359" s="150"/>
      <c r="G359" s="150"/>
      <c r="H359" s="150"/>
      <c r="I359" s="150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</row>
    <row r="360">
      <c r="A360" s="151">
        <v>0.0</v>
      </c>
      <c r="B360" s="148">
        <v>20356.0</v>
      </c>
      <c r="C360" s="50">
        <v>42914.0</v>
      </c>
      <c r="D360" s="150"/>
      <c r="E360" s="150"/>
      <c r="F360" s="150"/>
      <c r="G360" s="150"/>
      <c r="H360" s="150"/>
      <c r="I360" s="150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</row>
    <row r="361">
      <c r="A361" s="151">
        <v>0.0</v>
      </c>
      <c r="B361" s="148">
        <v>20357.0</v>
      </c>
      <c r="C361" s="50">
        <v>110217.0</v>
      </c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</row>
    <row r="362">
      <c r="A362" s="151">
        <v>0.0</v>
      </c>
      <c r="B362" s="156">
        <v>20358.0</v>
      </c>
      <c r="C362" s="50">
        <v>121821.0</v>
      </c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</row>
    <row r="363">
      <c r="A363" s="151">
        <v>0.0</v>
      </c>
      <c r="B363" s="156">
        <v>20359.0</v>
      </c>
      <c r="C363" s="50">
        <v>32713.0</v>
      </c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</row>
    <row r="364">
      <c r="A364" s="151">
        <v>1.0</v>
      </c>
      <c r="B364" s="148">
        <v>20360.0</v>
      </c>
      <c r="C364" s="50">
        <v>10417.0</v>
      </c>
      <c r="D364" s="150"/>
      <c r="E364" s="150"/>
      <c r="F364" s="150"/>
      <c r="G364" s="150"/>
      <c r="H364" s="150"/>
      <c r="I364" s="150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</row>
    <row r="365">
      <c r="A365" s="151">
        <v>1.0</v>
      </c>
      <c r="B365" s="148">
        <v>20361.0</v>
      </c>
      <c r="C365" s="50">
        <v>12213.0</v>
      </c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</row>
    <row r="366">
      <c r="A366" s="151">
        <v>0.0</v>
      </c>
      <c r="B366" s="156">
        <v>20362.0</v>
      </c>
      <c r="C366" s="50">
        <v>22115.0</v>
      </c>
      <c r="D366" s="150"/>
      <c r="E366" s="150"/>
      <c r="F366" s="150"/>
      <c r="G366" s="150"/>
      <c r="H366" s="150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</row>
    <row r="367">
      <c r="A367" s="151">
        <v>1.0</v>
      </c>
      <c r="B367" s="148">
        <v>20363.0</v>
      </c>
      <c r="C367" s="50">
        <v>40615.0</v>
      </c>
      <c r="D367" s="150"/>
      <c r="E367" s="150"/>
      <c r="F367" s="150"/>
      <c r="G367" s="150"/>
      <c r="H367" s="150"/>
      <c r="I367" s="150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</row>
    <row r="368">
      <c r="A368" s="151">
        <v>1.0</v>
      </c>
      <c r="B368" s="148">
        <v>20364.0</v>
      </c>
      <c r="C368" s="50">
        <v>21920.0</v>
      </c>
      <c r="D368" s="150"/>
      <c r="E368" s="150"/>
      <c r="F368" s="150"/>
      <c r="G368" s="150"/>
      <c r="H368" s="150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</row>
    <row r="369">
      <c r="A369" s="151">
        <v>0.0</v>
      </c>
      <c r="B369" s="156">
        <v>20365.0</v>
      </c>
      <c r="C369" s="50">
        <v>61819.0</v>
      </c>
      <c r="D369" s="150"/>
      <c r="E369" s="150"/>
      <c r="F369" s="150"/>
      <c r="G369" s="150"/>
      <c r="H369" s="150"/>
      <c r="I369" s="150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</row>
    <row r="370">
      <c r="A370" s="151">
        <v>0.0</v>
      </c>
      <c r="B370" s="156">
        <v>20366.0</v>
      </c>
      <c r="C370" s="50">
        <v>120921.0</v>
      </c>
      <c r="D370" s="150"/>
      <c r="E370" s="150"/>
      <c r="F370" s="150"/>
      <c r="G370" s="150"/>
      <c r="H370" s="150"/>
      <c r="I370" s="150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</row>
    <row r="371">
      <c r="A371" s="151">
        <v>1.0</v>
      </c>
      <c r="B371" s="148">
        <v>20367.0</v>
      </c>
      <c r="C371" s="50">
        <v>110822.0</v>
      </c>
      <c r="D371" s="150"/>
      <c r="E371" s="150"/>
      <c r="F371" s="150"/>
      <c r="G371" s="150"/>
      <c r="H371" s="150"/>
      <c r="I371" s="150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</row>
    <row r="372">
      <c r="A372" s="151">
        <v>1.0</v>
      </c>
      <c r="B372" s="148">
        <v>20368.0</v>
      </c>
      <c r="C372" s="50">
        <v>61413.0</v>
      </c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</row>
    <row r="373">
      <c r="A373" s="151">
        <v>1.0</v>
      </c>
      <c r="B373" s="156">
        <v>20369.0</v>
      </c>
      <c r="C373" s="50">
        <v>110813.0</v>
      </c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</row>
    <row r="374">
      <c r="A374" s="151">
        <v>0.0</v>
      </c>
      <c r="B374" s="156">
        <v>20370.0</v>
      </c>
      <c r="C374" s="50">
        <v>100622.0</v>
      </c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</row>
    <row r="375">
      <c r="A375" s="151">
        <v>0.0</v>
      </c>
      <c r="B375" s="148">
        <v>20371.0</v>
      </c>
      <c r="C375" s="50">
        <v>72119.0</v>
      </c>
      <c r="D375" s="150"/>
      <c r="E375" s="150"/>
      <c r="F375" s="150"/>
      <c r="G375" s="150"/>
      <c r="H375" s="150"/>
      <c r="I375" s="150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</row>
    <row r="376">
      <c r="A376" s="151">
        <v>0.0</v>
      </c>
      <c r="B376" s="148">
        <v>20372.0</v>
      </c>
      <c r="C376" s="50">
        <v>11515.0</v>
      </c>
      <c r="D376" s="150"/>
      <c r="E376" s="150"/>
      <c r="F376" s="150"/>
      <c r="G376" s="150"/>
      <c r="H376" s="150"/>
      <c r="I376" s="150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</row>
    <row r="377">
      <c r="A377" s="151">
        <v>0.0</v>
      </c>
      <c r="B377" s="156">
        <v>20373.0</v>
      </c>
      <c r="C377" s="50">
        <v>43020.0</v>
      </c>
      <c r="D377" s="150"/>
      <c r="E377" s="150"/>
      <c r="F377" s="150"/>
      <c r="G377" s="150"/>
      <c r="H377" s="150"/>
      <c r="I377" s="150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</row>
    <row r="378">
      <c r="A378" s="151">
        <v>0.0</v>
      </c>
      <c r="B378" s="148">
        <v>20374.0</v>
      </c>
      <c r="C378" s="50">
        <v>20915.0</v>
      </c>
      <c r="D378" s="150"/>
      <c r="E378" s="150"/>
      <c r="F378" s="150"/>
      <c r="G378" s="150"/>
      <c r="H378" s="150"/>
      <c r="I378" s="150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</row>
    <row r="379">
      <c r="A379" s="151">
        <v>0.0</v>
      </c>
      <c r="B379" s="148">
        <v>20375.0</v>
      </c>
      <c r="C379" s="50">
        <v>111918.0</v>
      </c>
      <c r="D379" s="150"/>
      <c r="E379" s="150"/>
      <c r="F379" s="150"/>
      <c r="G379" s="150"/>
      <c r="H379" s="150"/>
      <c r="I379" s="150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</row>
    <row r="380">
      <c r="A380" s="151">
        <v>0.0</v>
      </c>
      <c r="B380" s="156">
        <v>20376.0</v>
      </c>
      <c r="C380" s="50">
        <v>72922.0</v>
      </c>
      <c r="D380" s="150"/>
      <c r="E380" s="150"/>
      <c r="F380" s="150"/>
      <c r="G380" s="150"/>
      <c r="H380" s="150"/>
      <c r="I380" s="150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</row>
    <row r="381">
      <c r="A381" s="151">
        <v>0.0</v>
      </c>
      <c r="B381" s="156">
        <v>20377.0</v>
      </c>
      <c r="C381" s="50">
        <v>50817.0</v>
      </c>
      <c r="D381" s="150"/>
      <c r="E381" s="150"/>
      <c r="F381" s="150"/>
      <c r="G381" s="150"/>
      <c r="H381" s="150"/>
      <c r="I381" s="150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</row>
    <row r="382">
      <c r="A382" s="151">
        <v>0.0</v>
      </c>
      <c r="B382" s="148">
        <v>20378.0</v>
      </c>
      <c r="C382" s="50">
        <v>82821.0</v>
      </c>
      <c r="D382" s="150"/>
      <c r="E382" s="150"/>
      <c r="F382" s="150"/>
      <c r="G382" s="150"/>
      <c r="H382" s="150"/>
      <c r="I382" s="150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</row>
    <row r="383">
      <c r="A383" s="151">
        <v>1.0</v>
      </c>
      <c r="B383" s="148">
        <v>20379.0</v>
      </c>
      <c r="C383" s="50">
        <v>52116.0</v>
      </c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</row>
    <row r="384">
      <c r="A384" s="151">
        <v>1.0</v>
      </c>
      <c r="B384" s="156">
        <v>20380.0</v>
      </c>
      <c r="C384" s="50">
        <v>51321.0</v>
      </c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</row>
    <row r="385">
      <c r="A385" s="151">
        <v>0.0</v>
      </c>
      <c r="B385" s="156">
        <v>20381.0</v>
      </c>
      <c r="C385" s="50">
        <v>100522.0</v>
      </c>
      <c r="D385" s="150"/>
      <c r="E385" s="150"/>
      <c r="F385" s="150"/>
      <c r="G385" s="150"/>
      <c r="H385" s="150"/>
      <c r="I385" s="150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</row>
    <row r="386">
      <c r="A386" s="151">
        <v>0.0</v>
      </c>
      <c r="B386" s="148">
        <v>20382.0</v>
      </c>
      <c r="C386" s="50">
        <v>11314.0</v>
      </c>
      <c r="D386" s="150"/>
      <c r="E386" s="150"/>
      <c r="F386" s="150"/>
      <c r="G386" s="150"/>
      <c r="H386" s="150"/>
      <c r="I386" s="150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</row>
    <row r="387">
      <c r="A387" s="151">
        <v>1.0</v>
      </c>
      <c r="B387" s="148">
        <v>20383.0</v>
      </c>
      <c r="C387" s="50">
        <v>102718.0</v>
      </c>
      <c r="D387" s="150"/>
      <c r="E387" s="150"/>
      <c r="F387" s="150"/>
      <c r="G387" s="150"/>
      <c r="H387" s="150"/>
      <c r="I387" s="150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</row>
    <row r="388">
      <c r="A388" s="151">
        <v>1.0</v>
      </c>
      <c r="B388" s="156">
        <v>20384.0</v>
      </c>
      <c r="C388" s="50">
        <v>33122.0</v>
      </c>
      <c r="D388" s="150"/>
      <c r="E388" s="150"/>
      <c r="F388" s="150"/>
      <c r="G388" s="150"/>
      <c r="H388" s="150"/>
      <c r="I388" s="150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</row>
    <row r="389">
      <c r="A389" s="151">
        <v>0.0</v>
      </c>
      <c r="B389" s="148">
        <v>20385.0</v>
      </c>
      <c r="C389" s="50">
        <v>43016.0</v>
      </c>
      <c r="D389" s="150"/>
      <c r="E389" s="150"/>
      <c r="F389" s="150"/>
      <c r="G389" s="150"/>
      <c r="H389" s="150"/>
      <c r="I389" s="150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</row>
    <row r="390">
      <c r="A390" s="151">
        <v>0.0</v>
      </c>
      <c r="B390" s="148">
        <v>20386.0</v>
      </c>
      <c r="C390" s="50">
        <v>122219.0</v>
      </c>
      <c r="D390" s="150"/>
      <c r="E390" s="150"/>
      <c r="F390" s="150"/>
      <c r="G390" s="150"/>
      <c r="H390" s="150"/>
      <c r="I390" s="150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</row>
    <row r="391">
      <c r="A391" s="151">
        <v>0.0</v>
      </c>
      <c r="B391" s="156">
        <v>20387.0</v>
      </c>
      <c r="C391" s="50">
        <v>102521.0</v>
      </c>
      <c r="D391" s="150"/>
      <c r="E391" s="150"/>
      <c r="F391" s="150"/>
      <c r="G391" s="150"/>
      <c r="H391" s="150"/>
      <c r="I391" s="150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</row>
    <row r="392">
      <c r="A392" s="151">
        <v>0.0</v>
      </c>
      <c r="B392" s="156">
        <v>20388.0</v>
      </c>
      <c r="C392" s="50">
        <v>40817.0</v>
      </c>
      <c r="D392" s="150"/>
      <c r="E392" s="150"/>
      <c r="F392" s="150"/>
      <c r="G392" s="150"/>
      <c r="H392" s="150"/>
      <c r="I392" s="150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</row>
    <row r="393">
      <c r="A393" s="151">
        <v>0.0</v>
      </c>
      <c r="B393" s="148">
        <v>20389.0</v>
      </c>
      <c r="C393" s="50">
        <v>82713.0</v>
      </c>
      <c r="D393" s="150"/>
      <c r="E393" s="150"/>
      <c r="F393" s="150"/>
      <c r="G393" s="150"/>
      <c r="H393" s="150"/>
      <c r="I393" s="150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</row>
    <row r="394">
      <c r="A394" s="151">
        <v>0.0</v>
      </c>
      <c r="B394" s="148">
        <v>20390.0</v>
      </c>
      <c r="C394" s="50">
        <v>62313.0</v>
      </c>
      <c r="D394" s="150"/>
      <c r="E394" s="150"/>
      <c r="F394" s="150"/>
      <c r="G394" s="150"/>
      <c r="H394" s="150"/>
      <c r="I394" s="150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</row>
    <row r="395">
      <c r="A395" s="151">
        <v>0.0</v>
      </c>
      <c r="B395" s="156">
        <v>20391.0</v>
      </c>
      <c r="C395" s="50">
        <v>22116.0</v>
      </c>
      <c r="D395" s="150"/>
      <c r="E395" s="150"/>
      <c r="F395" s="150"/>
      <c r="G395" s="150"/>
      <c r="H395" s="150"/>
      <c r="I395" s="150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</row>
    <row r="396">
      <c r="A396" s="151">
        <v>1.0</v>
      </c>
      <c r="B396" s="156">
        <v>20392.0</v>
      </c>
      <c r="C396" s="50">
        <v>60618.0</v>
      </c>
      <c r="D396" s="150"/>
      <c r="E396" s="150"/>
      <c r="F396" s="150"/>
      <c r="G396" s="150"/>
      <c r="H396" s="150"/>
      <c r="I396" s="150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</row>
    <row r="397">
      <c r="A397" s="151">
        <v>0.0</v>
      </c>
      <c r="B397" s="148">
        <v>20393.0</v>
      </c>
      <c r="C397" s="50">
        <v>100316.0</v>
      </c>
      <c r="D397" s="150"/>
      <c r="E397" s="150"/>
      <c r="F397" s="150"/>
      <c r="G397" s="150"/>
      <c r="H397" s="150"/>
      <c r="I397" s="150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</row>
    <row r="398">
      <c r="A398" s="151">
        <v>0.0</v>
      </c>
      <c r="B398" s="148">
        <v>20394.0</v>
      </c>
      <c r="C398" s="50">
        <v>51716.0</v>
      </c>
      <c r="D398" s="150"/>
      <c r="E398" s="150"/>
      <c r="F398" s="150"/>
      <c r="G398" s="150"/>
      <c r="H398" s="150"/>
      <c r="I398" s="150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</row>
    <row r="399">
      <c r="A399" s="151">
        <v>1.0</v>
      </c>
      <c r="B399" s="156">
        <v>20395.0</v>
      </c>
      <c r="C399" s="50">
        <v>91919.0</v>
      </c>
      <c r="D399" s="150"/>
      <c r="E399" s="150"/>
      <c r="F399" s="150"/>
      <c r="G399" s="150"/>
      <c r="H399" s="150"/>
      <c r="I399" s="150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</row>
    <row r="400">
      <c r="A400" s="151">
        <v>1.0</v>
      </c>
      <c r="B400" s="148">
        <v>20396.0</v>
      </c>
      <c r="C400" s="50">
        <v>100220.0</v>
      </c>
      <c r="D400" s="150"/>
      <c r="E400" s="150"/>
      <c r="F400" s="150"/>
      <c r="G400" s="150"/>
      <c r="H400" s="150"/>
      <c r="I400" s="150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</row>
    <row r="401">
      <c r="A401" s="151">
        <v>1.0</v>
      </c>
      <c r="B401" s="148">
        <v>20397.0</v>
      </c>
      <c r="C401" s="50">
        <v>21322.0</v>
      </c>
      <c r="D401" s="150"/>
      <c r="E401" s="150"/>
      <c r="F401" s="150"/>
      <c r="G401" s="150"/>
      <c r="H401" s="150"/>
      <c r="I401" s="150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</row>
    <row r="402">
      <c r="A402" s="151">
        <v>0.0</v>
      </c>
      <c r="B402" s="156">
        <v>20398.0</v>
      </c>
      <c r="C402" s="50">
        <v>30620.0</v>
      </c>
      <c r="D402" s="150"/>
      <c r="E402" s="150"/>
      <c r="F402" s="150"/>
      <c r="G402" s="150"/>
      <c r="H402" s="150"/>
      <c r="I402" s="150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</row>
    <row r="403">
      <c r="A403" s="151">
        <v>0.0</v>
      </c>
      <c r="B403" s="156">
        <v>20399.0</v>
      </c>
      <c r="C403" s="50">
        <v>71220.0</v>
      </c>
      <c r="D403" s="150"/>
      <c r="E403" s="150"/>
      <c r="F403" s="150"/>
      <c r="G403" s="150"/>
      <c r="H403" s="150"/>
      <c r="I403" s="150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</row>
    <row r="404">
      <c r="A404" s="151">
        <v>1.0</v>
      </c>
      <c r="B404" s="148">
        <v>20400.0</v>
      </c>
      <c r="C404" s="50">
        <v>71221.0</v>
      </c>
      <c r="D404" s="150"/>
      <c r="E404" s="150"/>
      <c r="F404" s="150"/>
      <c r="G404" s="150"/>
      <c r="H404" s="150"/>
      <c r="I404" s="150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</row>
    <row r="405">
      <c r="A405" s="151">
        <v>1.0</v>
      </c>
      <c r="B405" s="148">
        <v>20401.0</v>
      </c>
      <c r="C405" s="50">
        <v>53021.0</v>
      </c>
      <c r="D405" s="150"/>
      <c r="E405" s="150"/>
      <c r="F405" s="150"/>
      <c r="G405" s="150"/>
      <c r="H405" s="150"/>
      <c r="I405" s="150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</row>
    <row r="406">
      <c r="A406" s="151">
        <v>1.0</v>
      </c>
      <c r="B406" s="156">
        <v>20402.0</v>
      </c>
      <c r="C406" s="50">
        <v>62615.0</v>
      </c>
      <c r="D406" s="150"/>
      <c r="E406" s="150"/>
      <c r="F406" s="150"/>
      <c r="G406" s="150"/>
      <c r="H406" s="150"/>
      <c r="I406" s="150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</row>
    <row r="407">
      <c r="A407" s="151">
        <v>1.0</v>
      </c>
      <c r="B407" s="156">
        <v>20403.0</v>
      </c>
      <c r="C407" s="50">
        <v>80819.0</v>
      </c>
      <c r="D407" s="150"/>
      <c r="E407" s="150"/>
      <c r="F407" s="150"/>
      <c r="G407" s="150"/>
      <c r="H407" s="150"/>
      <c r="I407" s="150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</row>
    <row r="408">
      <c r="A408" s="151">
        <v>1.0</v>
      </c>
      <c r="B408" s="148">
        <v>20404.0</v>
      </c>
      <c r="C408" s="50">
        <v>121921.0</v>
      </c>
      <c r="D408" s="150"/>
      <c r="E408" s="150"/>
      <c r="F408" s="150"/>
      <c r="G408" s="150"/>
      <c r="H408" s="150"/>
      <c r="I408" s="150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</row>
    <row r="409">
      <c r="A409" s="151">
        <v>1.0</v>
      </c>
      <c r="B409" s="148">
        <v>20405.0</v>
      </c>
      <c r="C409" s="50">
        <v>70421.0</v>
      </c>
      <c r="D409" s="150"/>
      <c r="E409" s="150"/>
      <c r="F409" s="150"/>
      <c r="G409" s="150"/>
      <c r="H409" s="150"/>
      <c r="I409" s="150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</row>
    <row r="410">
      <c r="A410" s="151">
        <v>0.0</v>
      </c>
      <c r="B410" s="156">
        <v>20406.0</v>
      </c>
      <c r="C410" s="50">
        <v>30619.0</v>
      </c>
      <c r="D410" s="150"/>
      <c r="E410" s="150"/>
      <c r="F410" s="150"/>
      <c r="G410" s="150"/>
      <c r="H410" s="150"/>
      <c r="I410" s="150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</row>
    <row r="411">
      <c r="A411" s="151">
        <v>1.0</v>
      </c>
      <c r="B411" s="148">
        <v>20407.0</v>
      </c>
      <c r="C411" s="50">
        <v>91115.0</v>
      </c>
      <c r="D411" s="150"/>
      <c r="E411" s="150"/>
      <c r="F411" s="150"/>
      <c r="G411" s="150"/>
      <c r="H411" s="150"/>
      <c r="I411" s="150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</row>
    <row r="412">
      <c r="A412" s="151">
        <v>1.0</v>
      </c>
      <c r="B412" s="148">
        <v>20408.0</v>
      </c>
      <c r="C412" s="50">
        <v>122018.0</v>
      </c>
      <c r="D412" s="150"/>
      <c r="E412" s="150"/>
      <c r="F412" s="150"/>
      <c r="G412" s="150"/>
      <c r="H412" s="150"/>
      <c r="I412" s="150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</row>
    <row r="413">
      <c r="A413" s="151">
        <v>0.0</v>
      </c>
      <c r="B413" s="156">
        <v>20409.0</v>
      </c>
      <c r="C413" s="50">
        <v>92216.0</v>
      </c>
      <c r="D413" s="150"/>
      <c r="E413" s="150"/>
      <c r="F413" s="150"/>
      <c r="G413" s="150"/>
      <c r="H413" s="150"/>
      <c r="I413" s="150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</row>
    <row r="414">
      <c r="A414" s="151">
        <v>0.0</v>
      </c>
      <c r="B414" s="156">
        <v>20410.0</v>
      </c>
      <c r="C414" s="50">
        <v>93013.0</v>
      </c>
      <c r="D414" s="150"/>
      <c r="E414" s="150"/>
      <c r="F414" s="150"/>
      <c r="G414" s="150"/>
      <c r="H414" s="150"/>
      <c r="I414" s="150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</row>
    <row r="415">
      <c r="A415" s="151">
        <v>0.0</v>
      </c>
      <c r="B415" s="148">
        <v>20411.0</v>
      </c>
      <c r="C415" s="50">
        <v>81520.0</v>
      </c>
      <c r="D415" s="150"/>
      <c r="E415" s="150"/>
      <c r="F415" s="150"/>
      <c r="G415" s="150"/>
      <c r="H415" s="150"/>
      <c r="I415" s="150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</row>
    <row r="416">
      <c r="A416" s="151">
        <v>0.0</v>
      </c>
      <c r="B416" s="148">
        <v>20412.0</v>
      </c>
      <c r="C416" s="50">
        <v>31013.0</v>
      </c>
      <c r="D416" s="150"/>
      <c r="E416" s="150"/>
      <c r="F416" s="150"/>
      <c r="G416" s="150"/>
      <c r="H416" s="150"/>
      <c r="I416" s="150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</row>
    <row r="417">
      <c r="A417" s="151">
        <v>0.0</v>
      </c>
      <c r="B417" s="156">
        <v>20413.0</v>
      </c>
      <c r="C417" s="50">
        <v>110214.0</v>
      </c>
      <c r="D417" s="150"/>
      <c r="E417" s="150"/>
      <c r="F417" s="150"/>
      <c r="G417" s="150"/>
      <c r="H417" s="150"/>
      <c r="I417" s="150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</row>
    <row r="418">
      <c r="A418" s="151">
        <v>0.0</v>
      </c>
      <c r="B418" s="156">
        <v>20414.0</v>
      </c>
      <c r="C418" s="50">
        <v>50819.0</v>
      </c>
      <c r="D418" s="150"/>
      <c r="E418" s="150"/>
      <c r="F418" s="150"/>
      <c r="G418" s="150"/>
      <c r="H418" s="150"/>
      <c r="I418" s="150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</row>
    <row r="419">
      <c r="A419" s="151">
        <v>1.0</v>
      </c>
      <c r="B419" s="148">
        <v>20415.0</v>
      </c>
      <c r="C419" s="50">
        <v>111115.0</v>
      </c>
      <c r="D419" s="150"/>
      <c r="E419" s="150"/>
      <c r="F419" s="150"/>
      <c r="G419" s="150"/>
      <c r="H419" s="150"/>
      <c r="I419" s="150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</row>
    <row r="420">
      <c r="A420" s="151">
        <v>1.0</v>
      </c>
      <c r="B420" s="148">
        <v>20416.0</v>
      </c>
      <c r="C420" s="50">
        <v>62920.0</v>
      </c>
      <c r="D420" s="150"/>
      <c r="E420" s="150"/>
      <c r="F420" s="150"/>
      <c r="G420" s="150"/>
      <c r="H420" s="150"/>
      <c r="I420" s="150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</row>
    <row r="421">
      <c r="A421" s="151">
        <v>1.0</v>
      </c>
      <c r="B421" s="156">
        <v>20417.0</v>
      </c>
      <c r="C421" s="50">
        <v>110117.0</v>
      </c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</row>
    <row r="422">
      <c r="A422" s="151">
        <v>1.0</v>
      </c>
      <c r="B422" s="148">
        <v>20418.0</v>
      </c>
      <c r="C422" s="50">
        <v>50517.0</v>
      </c>
      <c r="D422" s="150"/>
      <c r="E422" s="150"/>
      <c r="F422" s="150"/>
      <c r="G422" s="150"/>
      <c r="H422" s="150"/>
      <c r="I422" s="150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</row>
    <row r="423">
      <c r="A423" s="151">
        <v>0.0</v>
      </c>
      <c r="B423" s="148">
        <v>20419.0</v>
      </c>
      <c r="C423" s="50">
        <v>32215.0</v>
      </c>
      <c r="D423" s="150"/>
      <c r="E423" s="150"/>
      <c r="F423" s="150"/>
      <c r="G423" s="150"/>
      <c r="H423" s="150"/>
      <c r="I423" s="150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</row>
    <row r="424">
      <c r="A424" s="151">
        <v>0.0</v>
      </c>
      <c r="B424" s="156">
        <v>20420.0</v>
      </c>
      <c r="C424" s="50">
        <v>122616.0</v>
      </c>
      <c r="D424" s="150"/>
      <c r="E424" s="150"/>
      <c r="F424" s="150"/>
      <c r="G424" s="150"/>
      <c r="H424" s="150"/>
      <c r="I424" s="150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</row>
    <row r="425">
      <c r="A425" s="151">
        <v>1.0</v>
      </c>
      <c r="B425" s="156">
        <v>20421.0</v>
      </c>
      <c r="C425" s="50">
        <v>73115.0</v>
      </c>
      <c r="D425" s="150"/>
      <c r="E425" s="150"/>
      <c r="F425" s="150"/>
      <c r="G425" s="150"/>
      <c r="H425" s="150"/>
      <c r="I425" s="150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</row>
    <row r="426">
      <c r="A426" s="151">
        <v>0.0</v>
      </c>
      <c r="B426" s="148">
        <v>20422.0</v>
      </c>
      <c r="C426" s="50">
        <v>123014.0</v>
      </c>
      <c r="D426" s="150"/>
      <c r="E426" s="150"/>
      <c r="F426" s="150"/>
      <c r="G426" s="150"/>
      <c r="H426" s="150"/>
      <c r="I426" s="150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</row>
    <row r="427">
      <c r="A427" s="151">
        <v>0.0</v>
      </c>
      <c r="B427" s="148">
        <v>20423.0</v>
      </c>
      <c r="C427" s="50">
        <v>123119.0</v>
      </c>
      <c r="D427" s="150"/>
      <c r="E427" s="150"/>
      <c r="F427" s="150"/>
      <c r="G427" s="150"/>
      <c r="H427" s="150"/>
      <c r="I427" s="150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</row>
    <row r="428">
      <c r="A428" s="151">
        <v>0.0</v>
      </c>
      <c r="B428" s="156">
        <v>20424.0</v>
      </c>
      <c r="C428" s="50">
        <v>41415.0</v>
      </c>
      <c r="D428" s="150"/>
      <c r="E428" s="150"/>
      <c r="F428" s="150"/>
      <c r="G428" s="150"/>
      <c r="H428" s="150"/>
      <c r="I428" s="150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</row>
    <row r="429">
      <c r="A429" s="151">
        <v>1.0</v>
      </c>
      <c r="B429" s="156">
        <v>20425.0</v>
      </c>
      <c r="C429" s="50">
        <v>12419.0</v>
      </c>
      <c r="D429" s="150"/>
      <c r="E429" s="150"/>
      <c r="F429" s="150"/>
      <c r="G429" s="150"/>
      <c r="H429" s="150"/>
      <c r="I429" s="150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</row>
    <row r="430">
      <c r="A430" s="151">
        <v>1.0</v>
      </c>
      <c r="B430" s="148">
        <v>20426.0</v>
      </c>
      <c r="C430" s="50">
        <v>61213.0</v>
      </c>
      <c r="D430" s="150"/>
      <c r="E430" s="150"/>
      <c r="F430" s="150"/>
      <c r="G430" s="150"/>
      <c r="H430" s="150"/>
      <c r="I430" s="150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</row>
    <row r="431">
      <c r="A431" s="151">
        <v>1.0</v>
      </c>
      <c r="B431" s="148">
        <v>20427.0</v>
      </c>
      <c r="C431" s="50">
        <v>101218.0</v>
      </c>
      <c r="D431" s="150"/>
      <c r="E431" s="150"/>
      <c r="F431" s="150"/>
      <c r="G431" s="150"/>
      <c r="H431" s="150"/>
      <c r="I431" s="150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</row>
    <row r="432">
      <c r="A432" s="151">
        <v>1.0</v>
      </c>
      <c r="B432" s="156">
        <v>20428.0</v>
      </c>
      <c r="C432" s="50">
        <v>111321.0</v>
      </c>
      <c r="D432" s="150"/>
      <c r="E432" s="150"/>
      <c r="F432" s="150"/>
      <c r="G432" s="150"/>
      <c r="H432" s="150"/>
      <c r="I432" s="150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</row>
    <row r="433">
      <c r="A433" s="151">
        <v>0.0</v>
      </c>
      <c r="B433" s="148">
        <v>20429.0</v>
      </c>
      <c r="C433" s="50">
        <v>90513.0</v>
      </c>
      <c r="D433" s="150"/>
      <c r="E433" s="150"/>
      <c r="F433" s="150"/>
      <c r="G433" s="150"/>
      <c r="H433" s="150"/>
      <c r="I433" s="150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</row>
    <row r="434">
      <c r="A434" s="151">
        <v>1.0</v>
      </c>
      <c r="B434" s="148">
        <v>20430.0</v>
      </c>
      <c r="C434" s="50">
        <v>90814.0</v>
      </c>
      <c r="D434" s="150"/>
      <c r="E434" s="150"/>
      <c r="F434" s="150"/>
      <c r="G434" s="150"/>
      <c r="H434" s="150"/>
      <c r="I434" s="150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</row>
    <row r="435">
      <c r="A435" s="151">
        <v>1.0</v>
      </c>
      <c r="B435" s="156">
        <v>20431.0</v>
      </c>
      <c r="C435" s="50">
        <v>82216.0</v>
      </c>
      <c r="D435" s="150"/>
      <c r="E435" s="150"/>
      <c r="F435" s="150"/>
      <c r="G435" s="150"/>
      <c r="H435" s="150"/>
      <c r="I435" s="150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</row>
    <row r="436">
      <c r="A436" s="151">
        <v>0.0</v>
      </c>
      <c r="B436" s="156">
        <v>20432.0</v>
      </c>
      <c r="C436" s="50">
        <v>53117.0</v>
      </c>
      <c r="D436" s="150"/>
      <c r="E436" s="150"/>
      <c r="F436" s="150"/>
      <c r="G436" s="150"/>
      <c r="H436" s="150"/>
      <c r="I436" s="150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</row>
    <row r="437">
      <c r="A437" s="151">
        <v>1.0</v>
      </c>
      <c r="B437" s="148">
        <v>20433.0</v>
      </c>
      <c r="C437" s="50">
        <v>82422.0</v>
      </c>
      <c r="D437" s="150"/>
      <c r="E437" s="150"/>
      <c r="F437" s="150"/>
      <c r="G437" s="150"/>
      <c r="H437" s="150"/>
      <c r="I437" s="150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</row>
    <row r="438">
      <c r="A438" s="151">
        <v>1.0</v>
      </c>
      <c r="B438" s="148">
        <v>20434.0</v>
      </c>
      <c r="C438" s="50">
        <v>11818.0</v>
      </c>
      <c r="D438" s="150"/>
      <c r="E438" s="150"/>
      <c r="F438" s="150"/>
      <c r="G438" s="150"/>
      <c r="H438" s="150"/>
      <c r="I438" s="150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</row>
    <row r="439">
      <c r="A439" s="151">
        <v>1.0</v>
      </c>
      <c r="B439" s="156">
        <v>20435.0</v>
      </c>
      <c r="C439" s="50">
        <v>21319.0</v>
      </c>
      <c r="D439" s="150"/>
      <c r="E439" s="150"/>
      <c r="F439" s="150"/>
      <c r="G439" s="150"/>
      <c r="H439" s="150"/>
      <c r="I439" s="150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</row>
    <row r="440">
      <c r="A440" s="151">
        <v>0.0</v>
      </c>
      <c r="B440" s="156">
        <v>20436.0</v>
      </c>
      <c r="C440" s="50">
        <v>40819.0</v>
      </c>
      <c r="D440" s="150"/>
      <c r="E440" s="150"/>
      <c r="F440" s="150"/>
      <c r="G440" s="150"/>
      <c r="H440" s="150"/>
      <c r="I440" s="150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</row>
    <row r="441">
      <c r="A441" s="151">
        <v>1.0</v>
      </c>
      <c r="B441" s="148">
        <v>20437.0</v>
      </c>
      <c r="C441" s="50">
        <v>92713.0</v>
      </c>
      <c r="D441" s="150"/>
      <c r="E441" s="150"/>
      <c r="F441" s="150"/>
      <c r="G441" s="150"/>
      <c r="H441" s="150"/>
      <c r="I441" s="150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</row>
    <row r="442">
      <c r="A442" s="151">
        <v>1.0</v>
      </c>
      <c r="B442" s="148">
        <v>20438.0</v>
      </c>
      <c r="C442" s="50">
        <v>31218.0</v>
      </c>
      <c r="D442" s="150"/>
      <c r="E442" s="150"/>
      <c r="F442" s="150"/>
      <c r="G442" s="150"/>
      <c r="H442" s="150"/>
      <c r="I442" s="150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</row>
    <row r="443">
      <c r="A443" s="151">
        <v>1.0</v>
      </c>
      <c r="B443" s="156">
        <v>20439.0</v>
      </c>
      <c r="C443" s="50">
        <v>82120.0</v>
      </c>
      <c r="D443" s="150"/>
      <c r="E443" s="150"/>
      <c r="F443" s="150"/>
      <c r="G443" s="150"/>
      <c r="H443" s="150"/>
      <c r="I443" s="150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</row>
    <row r="444">
      <c r="A444" s="151">
        <v>0.0</v>
      </c>
      <c r="B444" s="148">
        <v>20440.0</v>
      </c>
      <c r="C444" s="50">
        <v>52819.0</v>
      </c>
      <c r="D444" s="150"/>
      <c r="E444" s="150"/>
      <c r="F444" s="150"/>
      <c r="G444" s="150"/>
      <c r="H444" s="150"/>
      <c r="I444" s="150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</row>
    <row r="445">
      <c r="A445" s="151">
        <v>0.0</v>
      </c>
      <c r="B445" s="148">
        <v>20441.0</v>
      </c>
      <c r="C445" s="50">
        <v>120820.0</v>
      </c>
      <c r="D445" s="150"/>
      <c r="E445" s="150"/>
      <c r="F445" s="150"/>
      <c r="G445" s="150"/>
      <c r="H445" s="150"/>
      <c r="I445" s="150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</row>
    <row r="446">
      <c r="A446" s="151">
        <v>1.0</v>
      </c>
      <c r="B446" s="156">
        <v>20442.0</v>
      </c>
      <c r="C446" s="50">
        <v>31714.0</v>
      </c>
      <c r="D446" s="150"/>
      <c r="E446" s="150"/>
      <c r="F446" s="150"/>
      <c r="G446" s="150"/>
      <c r="H446" s="150"/>
      <c r="I446" s="150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</row>
    <row r="447">
      <c r="A447" s="151">
        <v>1.0</v>
      </c>
      <c r="B447" s="156">
        <v>20443.0</v>
      </c>
      <c r="C447" s="50">
        <v>21113.0</v>
      </c>
      <c r="D447" s="150"/>
      <c r="E447" s="150"/>
      <c r="F447" s="150"/>
      <c r="G447" s="150"/>
      <c r="H447" s="150"/>
      <c r="I447" s="150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</row>
    <row r="448">
      <c r="A448" s="151">
        <v>0.0</v>
      </c>
      <c r="B448" s="148">
        <v>20444.0</v>
      </c>
      <c r="C448" s="50">
        <v>110622.0</v>
      </c>
      <c r="D448" s="150"/>
      <c r="E448" s="150"/>
      <c r="F448" s="150"/>
      <c r="G448" s="150"/>
      <c r="H448" s="150"/>
      <c r="I448" s="150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</row>
    <row r="449">
      <c r="A449" s="151">
        <v>0.0</v>
      </c>
      <c r="B449" s="148">
        <v>20445.0</v>
      </c>
      <c r="C449" s="50">
        <v>80116.0</v>
      </c>
      <c r="D449" s="150"/>
      <c r="E449" s="150"/>
      <c r="F449" s="150"/>
      <c r="G449" s="150"/>
      <c r="H449" s="150"/>
      <c r="I449" s="150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</row>
    <row r="450">
      <c r="A450" s="151">
        <v>0.0</v>
      </c>
      <c r="B450" s="156">
        <v>20446.0</v>
      </c>
      <c r="C450" s="50">
        <v>70920.0</v>
      </c>
      <c r="D450" s="150"/>
      <c r="E450" s="150"/>
      <c r="F450" s="150"/>
      <c r="G450" s="150"/>
      <c r="H450" s="150"/>
      <c r="I450" s="150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</row>
    <row r="451">
      <c r="A451" s="151">
        <v>1.0</v>
      </c>
      <c r="B451" s="156">
        <v>20447.0</v>
      </c>
      <c r="C451" s="50">
        <v>80522.0</v>
      </c>
      <c r="D451" s="150"/>
      <c r="E451" s="150"/>
      <c r="F451" s="150"/>
      <c r="G451" s="150"/>
      <c r="H451" s="150"/>
      <c r="I451" s="150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</row>
    <row r="452">
      <c r="A452" s="151">
        <v>0.0</v>
      </c>
      <c r="B452" s="148">
        <v>20448.0</v>
      </c>
      <c r="C452" s="50">
        <v>42114.0</v>
      </c>
      <c r="D452" s="150"/>
      <c r="E452" s="150"/>
      <c r="F452" s="150"/>
      <c r="G452" s="150"/>
      <c r="H452" s="150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</row>
    <row r="453">
      <c r="A453" s="151">
        <v>1.0</v>
      </c>
      <c r="B453" s="148">
        <v>20449.0</v>
      </c>
      <c r="C453" s="50">
        <v>51222.0</v>
      </c>
      <c r="D453" s="150"/>
      <c r="E453" s="150"/>
      <c r="F453" s="150"/>
      <c r="G453" s="150"/>
      <c r="H453" s="150"/>
      <c r="I453" s="150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</row>
    <row r="454">
      <c r="A454" s="151">
        <v>0.0</v>
      </c>
      <c r="B454" s="156">
        <v>20450.0</v>
      </c>
      <c r="C454" s="50">
        <v>22222.0</v>
      </c>
      <c r="D454" s="150"/>
      <c r="E454" s="150"/>
      <c r="F454" s="150"/>
      <c r="G454" s="150"/>
      <c r="H454" s="150"/>
      <c r="I454" s="150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</row>
    <row r="455">
      <c r="A455" s="151">
        <v>0.0</v>
      </c>
      <c r="B455" s="148">
        <v>20451.0</v>
      </c>
      <c r="C455" s="50">
        <v>11715.0</v>
      </c>
      <c r="D455" s="150"/>
      <c r="E455" s="150"/>
      <c r="F455" s="150"/>
      <c r="G455" s="150"/>
      <c r="H455" s="150"/>
      <c r="I455" s="150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</row>
    <row r="456">
      <c r="A456" s="151">
        <v>1.0</v>
      </c>
      <c r="B456" s="148">
        <v>20452.0</v>
      </c>
      <c r="C456" s="50">
        <v>80617.0</v>
      </c>
      <c r="D456" s="150"/>
      <c r="E456" s="150"/>
      <c r="F456" s="150"/>
      <c r="G456" s="150"/>
      <c r="H456" s="150"/>
      <c r="I456" s="150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</row>
    <row r="457">
      <c r="A457" s="151">
        <v>0.0</v>
      </c>
      <c r="B457" s="156">
        <v>20453.0</v>
      </c>
      <c r="C457" s="50">
        <v>90618.0</v>
      </c>
      <c r="D457" s="150"/>
      <c r="E457" s="150"/>
      <c r="F457" s="150"/>
      <c r="G457" s="150"/>
      <c r="H457" s="150"/>
      <c r="I457" s="150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</row>
    <row r="458">
      <c r="A458" s="151">
        <v>0.0</v>
      </c>
      <c r="B458" s="156">
        <v>20454.0</v>
      </c>
      <c r="C458" s="50">
        <v>52318.0</v>
      </c>
      <c r="D458" s="150"/>
      <c r="E458" s="150"/>
      <c r="F458" s="150"/>
      <c r="G458" s="150"/>
      <c r="H458" s="150"/>
      <c r="I458" s="150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</row>
    <row r="459">
      <c r="A459" s="151">
        <v>0.0</v>
      </c>
      <c r="B459" s="148">
        <v>20455.0</v>
      </c>
      <c r="C459" s="50">
        <v>42221.0</v>
      </c>
      <c r="D459" s="150"/>
      <c r="E459" s="150"/>
      <c r="F459" s="150"/>
      <c r="G459" s="150"/>
      <c r="H459" s="150"/>
      <c r="I459" s="150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</row>
    <row r="460">
      <c r="A460" s="151">
        <v>1.0</v>
      </c>
      <c r="B460" s="148">
        <v>20456.0</v>
      </c>
      <c r="C460" s="50">
        <v>110821.0</v>
      </c>
      <c r="D460" s="150"/>
      <c r="E460" s="150"/>
      <c r="F460" s="150"/>
      <c r="G460" s="150"/>
      <c r="H460" s="150"/>
      <c r="I460" s="150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</row>
    <row r="461">
      <c r="A461" s="151">
        <v>0.0</v>
      </c>
      <c r="B461" s="156">
        <v>20457.0</v>
      </c>
      <c r="C461" s="50">
        <v>121514.0</v>
      </c>
      <c r="D461" s="150"/>
      <c r="E461" s="150"/>
      <c r="F461" s="150"/>
      <c r="G461" s="150"/>
      <c r="H461" s="150"/>
      <c r="I461" s="150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</row>
    <row r="462">
      <c r="A462" s="151">
        <v>1.0</v>
      </c>
      <c r="B462" s="156">
        <v>20458.0</v>
      </c>
      <c r="C462" s="50">
        <v>21813.0</v>
      </c>
      <c r="D462" s="150"/>
      <c r="E462" s="150"/>
      <c r="F462" s="150"/>
      <c r="G462" s="150"/>
      <c r="H462" s="150"/>
      <c r="I462" s="150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</row>
    <row r="463">
      <c r="A463" s="151">
        <v>0.0</v>
      </c>
      <c r="B463" s="148">
        <v>20459.0</v>
      </c>
      <c r="C463" s="50">
        <v>81720.0</v>
      </c>
      <c r="D463" s="150"/>
      <c r="E463" s="150"/>
      <c r="F463" s="150"/>
      <c r="G463" s="150"/>
      <c r="H463" s="150"/>
      <c r="I463" s="150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</row>
    <row r="464">
      <c r="A464" s="151">
        <v>1.0</v>
      </c>
      <c r="B464" s="148">
        <v>20460.0</v>
      </c>
      <c r="C464" s="50">
        <v>50318.0</v>
      </c>
      <c r="D464" s="150"/>
      <c r="E464" s="150"/>
      <c r="F464" s="150"/>
      <c r="G464" s="150"/>
      <c r="H464" s="150"/>
      <c r="I464" s="150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</row>
    <row r="465">
      <c r="A465" s="151">
        <v>0.0</v>
      </c>
      <c r="B465" s="156">
        <v>20461.0</v>
      </c>
      <c r="C465" s="50">
        <v>73122.0</v>
      </c>
      <c r="D465" s="150"/>
      <c r="E465" s="150"/>
      <c r="F465" s="150"/>
      <c r="G465" s="150"/>
      <c r="H465" s="150"/>
      <c r="I465" s="150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</row>
    <row r="466">
      <c r="A466" s="151">
        <v>0.0</v>
      </c>
      <c r="B466" s="148">
        <v>20462.0</v>
      </c>
      <c r="C466" s="50">
        <v>81818.0</v>
      </c>
      <c r="D466" s="150"/>
      <c r="E466" s="150"/>
      <c r="F466" s="150"/>
      <c r="G466" s="150"/>
      <c r="H466" s="150"/>
      <c r="I466" s="150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</row>
    <row r="467">
      <c r="A467" s="151">
        <v>0.0</v>
      </c>
      <c r="B467" s="148">
        <v>20463.0</v>
      </c>
      <c r="C467" s="50">
        <v>121213.0</v>
      </c>
      <c r="D467" s="150"/>
      <c r="E467" s="150"/>
      <c r="F467" s="150"/>
      <c r="G467" s="150"/>
      <c r="H467" s="150"/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</row>
    <row r="468">
      <c r="A468" s="151">
        <v>0.0</v>
      </c>
      <c r="B468" s="156">
        <v>20464.0</v>
      </c>
      <c r="C468" s="50">
        <v>111413.0</v>
      </c>
      <c r="D468" s="150"/>
      <c r="E468" s="150"/>
      <c r="F468" s="150"/>
      <c r="G468" s="150"/>
      <c r="H468" s="150"/>
      <c r="I468" s="150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</row>
    <row r="469">
      <c r="A469" s="151">
        <v>0.0</v>
      </c>
      <c r="B469" s="156">
        <v>20465.0</v>
      </c>
      <c r="C469" s="50">
        <v>112214.0</v>
      </c>
      <c r="D469" s="150"/>
      <c r="E469" s="150"/>
      <c r="F469" s="150"/>
      <c r="G469" s="150"/>
      <c r="H469" s="150"/>
      <c r="I469" s="150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</row>
    <row r="470">
      <c r="A470" s="151">
        <v>1.0</v>
      </c>
      <c r="B470" s="148">
        <v>20466.0</v>
      </c>
      <c r="C470" s="50">
        <v>61919.0</v>
      </c>
      <c r="D470" s="150"/>
      <c r="E470" s="150"/>
      <c r="F470" s="150"/>
      <c r="G470" s="150"/>
      <c r="H470" s="150"/>
      <c r="I470" s="150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</row>
    <row r="471">
      <c r="A471" s="151">
        <v>1.0</v>
      </c>
      <c r="B471" s="148">
        <v>20467.0</v>
      </c>
      <c r="C471" s="50">
        <v>100113.0</v>
      </c>
      <c r="D471" s="150"/>
      <c r="E471" s="150"/>
      <c r="F471" s="150"/>
      <c r="G471" s="150"/>
      <c r="H471" s="150"/>
      <c r="I471" s="150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</row>
    <row r="472">
      <c r="A472" s="151">
        <v>0.0</v>
      </c>
      <c r="B472" s="156">
        <v>20468.0</v>
      </c>
      <c r="C472" s="50">
        <v>60113.0</v>
      </c>
      <c r="D472" s="150"/>
      <c r="E472" s="150"/>
      <c r="F472" s="150"/>
      <c r="G472" s="150"/>
      <c r="H472" s="150"/>
      <c r="I472" s="150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</row>
    <row r="473">
      <c r="A473" s="151">
        <v>0.0</v>
      </c>
      <c r="B473" s="156">
        <v>20469.0</v>
      </c>
      <c r="C473" s="50">
        <v>62518.0</v>
      </c>
      <c r="D473" s="150"/>
      <c r="E473" s="150"/>
      <c r="F473" s="150"/>
      <c r="G473" s="150"/>
      <c r="H473" s="150"/>
      <c r="I473" s="150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</row>
    <row r="474">
      <c r="A474" s="151">
        <v>1.0</v>
      </c>
      <c r="B474" s="148">
        <v>20470.0</v>
      </c>
      <c r="C474" s="50">
        <v>71213.0</v>
      </c>
      <c r="D474" s="150"/>
      <c r="E474" s="150"/>
      <c r="F474" s="150"/>
      <c r="G474" s="150"/>
      <c r="H474" s="150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</row>
    <row r="475">
      <c r="A475" s="151">
        <v>1.0</v>
      </c>
      <c r="B475" s="148">
        <v>20471.0</v>
      </c>
      <c r="C475" s="50">
        <v>11516.0</v>
      </c>
      <c r="D475" s="150"/>
      <c r="E475" s="150"/>
      <c r="F475" s="150"/>
      <c r="G475" s="150"/>
      <c r="H475" s="150"/>
      <c r="I475" s="150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</row>
    <row r="476">
      <c r="A476" s="151">
        <v>0.0</v>
      </c>
      <c r="B476" s="156">
        <v>20472.0</v>
      </c>
      <c r="C476" s="50">
        <v>12114.0</v>
      </c>
      <c r="D476" s="150"/>
      <c r="E476" s="150"/>
      <c r="F476" s="150"/>
      <c r="G476" s="150"/>
      <c r="H476" s="150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</row>
    <row r="477">
      <c r="A477" s="151">
        <v>1.0</v>
      </c>
      <c r="B477" s="148">
        <v>20473.0</v>
      </c>
      <c r="C477" s="50">
        <v>81316.0</v>
      </c>
      <c r="D477" s="150"/>
      <c r="E477" s="150"/>
      <c r="F477" s="150"/>
      <c r="G477" s="150"/>
      <c r="H477" s="150"/>
      <c r="I477" s="150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</row>
    <row r="478">
      <c r="A478" s="151">
        <v>1.0</v>
      </c>
      <c r="B478" s="148">
        <v>20474.0</v>
      </c>
      <c r="C478" s="50">
        <v>63013.0</v>
      </c>
      <c r="D478" s="150"/>
      <c r="E478" s="150"/>
      <c r="F478" s="150"/>
      <c r="G478" s="150"/>
      <c r="H478" s="150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</row>
    <row r="479">
      <c r="A479" s="151">
        <v>1.0</v>
      </c>
      <c r="B479" s="156">
        <v>20475.0</v>
      </c>
      <c r="C479" s="50">
        <v>102616.0</v>
      </c>
      <c r="D479" s="150"/>
      <c r="E479" s="150"/>
      <c r="F479" s="150"/>
      <c r="G479" s="150"/>
      <c r="H479" s="150"/>
      <c r="I479" s="150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</row>
    <row r="480">
      <c r="A480" s="151">
        <v>0.0</v>
      </c>
      <c r="B480" s="156">
        <v>20476.0</v>
      </c>
      <c r="C480" s="50">
        <v>30314.0</v>
      </c>
      <c r="D480" s="150"/>
      <c r="E480" s="150"/>
      <c r="F480" s="150"/>
      <c r="G480" s="150"/>
      <c r="H480" s="150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</row>
    <row r="481">
      <c r="A481" s="151">
        <v>0.0</v>
      </c>
      <c r="B481" s="148">
        <v>20477.0</v>
      </c>
      <c r="C481" s="50">
        <v>42818.0</v>
      </c>
      <c r="D481" s="150"/>
      <c r="E481" s="150"/>
      <c r="F481" s="150"/>
      <c r="G481" s="150"/>
      <c r="H481" s="150"/>
      <c r="I481" s="150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</row>
    <row r="482">
      <c r="A482" s="151">
        <v>1.0</v>
      </c>
      <c r="B482" s="148">
        <v>20478.0</v>
      </c>
      <c r="C482" s="50">
        <v>102419.0</v>
      </c>
      <c r="D482" s="150"/>
      <c r="E482" s="150"/>
      <c r="F482" s="150"/>
      <c r="G482" s="150"/>
      <c r="H482" s="150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</row>
    <row r="483">
      <c r="A483" s="151">
        <v>1.0</v>
      </c>
      <c r="B483" s="156">
        <v>20479.0</v>
      </c>
      <c r="C483" s="50">
        <v>52018.0</v>
      </c>
      <c r="D483" s="150"/>
      <c r="E483" s="150"/>
      <c r="F483" s="150"/>
      <c r="G483" s="150"/>
      <c r="H483" s="150"/>
      <c r="I483" s="150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</row>
    <row r="484">
      <c r="A484" s="151">
        <v>1.0</v>
      </c>
      <c r="B484" s="156">
        <v>20480.0</v>
      </c>
      <c r="C484" s="50">
        <v>22117.0</v>
      </c>
      <c r="D484" s="150"/>
      <c r="E484" s="150"/>
      <c r="F484" s="150"/>
      <c r="G484" s="150"/>
      <c r="H484" s="150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</row>
    <row r="485">
      <c r="A485" s="151">
        <v>1.0</v>
      </c>
      <c r="B485" s="148">
        <v>20481.0</v>
      </c>
      <c r="C485" s="50">
        <v>41420.0</v>
      </c>
      <c r="D485" s="150"/>
      <c r="E485" s="150"/>
      <c r="F485" s="150"/>
      <c r="G485" s="150"/>
      <c r="H485" s="150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</row>
    <row r="486">
      <c r="A486" s="151">
        <v>0.0</v>
      </c>
      <c r="B486" s="148">
        <v>20482.0</v>
      </c>
      <c r="C486" s="50">
        <v>31213.0</v>
      </c>
      <c r="D486" s="150"/>
      <c r="E486" s="150"/>
      <c r="F486" s="150"/>
      <c r="G486" s="150"/>
      <c r="H486" s="150"/>
      <c r="I486" s="150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</row>
    <row r="487">
      <c r="A487" s="151">
        <v>0.0</v>
      </c>
      <c r="B487" s="156">
        <v>20483.0</v>
      </c>
      <c r="C487" s="50">
        <v>40117.0</v>
      </c>
      <c r="D487" s="150"/>
      <c r="E487" s="150"/>
      <c r="F487" s="150"/>
      <c r="G487" s="150"/>
      <c r="H487" s="150"/>
      <c r="I487" s="150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</row>
    <row r="488">
      <c r="A488" s="151">
        <v>0.0</v>
      </c>
      <c r="B488" s="148">
        <v>20484.0</v>
      </c>
      <c r="C488" s="50">
        <v>12615.0</v>
      </c>
      <c r="D488" s="150"/>
      <c r="E488" s="150"/>
      <c r="F488" s="150"/>
      <c r="G488" s="150"/>
      <c r="H488" s="150"/>
      <c r="I488" s="150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</row>
    <row r="489">
      <c r="A489" s="151">
        <v>1.0</v>
      </c>
      <c r="B489" s="148">
        <v>20485.0</v>
      </c>
      <c r="C489" s="50">
        <v>61515.0</v>
      </c>
      <c r="D489" s="150"/>
      <c r="E489" s="150"/>
      <c r="F489" s="150"/>
      <c r="G489" s="150"/>
      <c r="H489" s="150"/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</row>
    <row r="490">
      <c r="A490" s="151">
        <v>1.0</v>
      </c>
      <c r="B490" s="156">
        <v>20486.0</v>
      </c>
      <c r="C490" s="50">
        <v>100913.0</v>
      </c>
      <c r="D490" s="150"/>
      <c r="E490" s="150"/>
      <c r="F490" s="150"/>
      <c r="G490" s="150"/>
      <c r="H490" s="150"/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</row>
    <row r="491">
      <c r="A491" s="151">
        <v>0.0</v>
      </c>
      <c r="B491" s="156">
        <v>20487.0</v>
      </c>
      <c r="C491" s="50">
        <v>80118.0</v>
      </c>
      <c r="D491" s="150"/>
      <c r="E491" s="150"/>
      <c r="F491" s="150"/>
      <c r="G491" s="150"/>
      <c r="H491" s="150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</row>
    <row r="492">
      <c r="A492" s="151">
        <v>1.0</v>
      </c>
      <c r="B492" s="148">
        <v>20488.0</v>
      </c>
      <c r="C492" s="50">
        <v>110916.0</v>
      </c>
      <c r="D492" s="150"/>
      <c r="E492" s="150"/>
      <c r="F492" s="150"/>
      <c r="G492" s="150"/>
      <c r="H492" s="150"/>
      <c r="I492" s="150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</row>
    <row r="493">
      <c r="A493" s="151">
        <v>1.0</v>
      </c>
      <c r="B493" s="148">
        <v>20489.0</v>
      </c>
      <c r="C493" s="50">
        <v>112421.0</v>
      </c>
      <c r="D493" s="150"/>
      <c r="E493" s="150"/>
      <c r="F493" s="150"/>
      <c r="G493" s="150"/>
      <c r="H493" s="150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</row>
    <row r="494">
      <c r="A494" s="151">
        <v>0.0</v>
      </c>
      <c r="B494" s="156">
        <v>20490.0</v>
      </c>
      <c r="C494" s="50">
        <v>10917.0</v>
      </c>
      <c r="D494" s="150"/>
      <c r="E494" s="150"/>
      <c r="F494" s="150"/>
      <c r="G494" s="150"/>
      <c r="H494" s="150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</row>
    <row r="495">
      <c r="A495" s="151">
        <v>0.0</v>
      </c>
      <c r="B495" s="156">
        <v>20491.0</v>
      </c>
      <c r="C495" s="50">
        <v>12017.0</v>
      </c>
      <c r="D495" s="150"/>
      <c r="E495" s="150"/>
      <c r="F495" s="150"/>
      <c r="G495" s="150"/>
      <c r="H495" s="150"/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</row>
    <row r="496">
      <c r="A496" s="151">
        <v>1.0</v>
      </c>
      <c r="B496" s="148">
        <v>20492.0</v>
      </c>
      <c r="C496" s="50">
        <v>111821.0</v>
      </c>
      <c r="D496" s="150"/>
      <c r="E496" s="150"/>
      <c r="F496" s="150"/>
      <c r="G496" s="150"/>
      <c r="H496" s="150"/>
      <c r="I496" s="150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</row>
    <row r="497">
      <c r="A497" s="151">
        <v>0.0</v>
      </c>
      <c r="B497" s="148">
        <v>20493.0</v>
      </c>
      <c r="C497" s="50">
        <v>40718.0</v>
      </c>
      <c r="D497" s="150"/>
      <c r="E497" s="150"/>
      <c r="F497" s="150"/>
      <c r="G497" s="150"/>
      <c r="H497" s="150"/>
      <c r="I497" s="150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</row>
    <row r="498">
      <c r="A498" s="151">
        <v>0.0</v>
      </c>
      <c r="B498" s="156">
        <v>20494.0</v>
      </c>
      <c r="C498" s="50">
        <v>10218.0</v>
      </c>
      <c r="D498" s="150"/>
      <c r="E498" s="150"/>
      <c r="F498" s="150"/>
      <c r="G498" s="150"/>
      <c r="H498" s="150"/>
      <c r="I498" s="150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</row>
    <row r="499">
      <c r="A499" s="151">
        <v>0.0</v>
      </c>
      <c r="B499" s="148">
        <v>20495.0</v>
      </c>
      <c r="C499" s="50">
        <v>121413.0</v>
      </c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</row>
    <row r="500">
      <c r="A500" s="151">
        <v>1.0</v>
      </c>
      <c r="B500" s="148">
        <v>20496.0</v>
      </c>
      <c r="C500" s="50">
        <v>120613.0</v>
      </c>
      <c r="D500" s="150"/>
      <c r="E500" s="150"/>
      <c r="F500" s="150"/>
      <c r="G500" s="150"/>
      <c r="H500" s="150"/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</row>
    <row r="501">
      <c r="A501" s="151">
        <v>0.0</v>
      </c>
      <c r="B501" s="156">
        <v>20497.0</v>
      </c>
      <c r="C501" s="50">
        <v>41517.0</v>
      </c>
      <c r="D501" s="150"/>
      <c r="E501" s="150"/>
      <c r="F501" s="150"/>
      <c r="G501" s="150"/>
      <c r="H501" s="150"/>
      <c r="I501" s="150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</row>
    <row r="502">
      <c r="A502" s="151">
        <v>0.0</v>
      </c>
      <c r="B502" s="156">
        <v>20498.0</v>
      </c>
      <c r="C502" s="50">
        <v>121618.0</v>
      </c>
      <c r="D502" s="150"/>
      <c r="E502" s="150"/>
      <c r="F502" s="150"/>
      <c r="G502" s="150"/>
      <c r="H502" s="150"/>
      <c r="I502" s="150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</row>
    <row r="503">
      <c r="A503" s="151">
        <v>0.0</v>
      </c>
      <c r="B503" s="148">
        <v>20499.0</v>
      </c>
      <c r="C503" s="50">
        <v>31522.0</v>
      </c>
      <c r="D503" s="150"/>
      <c r="E503" s="150"/>
      <c r="F503" s="150"/>
      <c r="G503" s="150"/>
      <c r="H503" s="150"/>
      <c r="I503" s="150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</row>
    <row r="504">
      <c r="A504" s="151">
        <v>0.0</v>
      </c>
      <c r="B504" s="148">
        <v>20500.0</v>
      </c>
      <c r="C504" s="50">
        <v>70220.0</v>
      </c>
      <c r="D504" s="150"/>
      <c r="E504" s="150"/>
      <c r="F504" s="150"/>
      <c r="G504" s="150"/>
      <c r="H504" s="150"/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</row>
    <row r="505">
      <c r="A505" s="151">
        <v>0.0</v>
      </c>
      <c r="B505" s="156">
        <v>20501.0</v>
      </c>
      <c r="C505" s="50">
        <v>121822.0</v>
      </c>
      <c r="D505" s="150"/>
      <c r="E505" s="150"/>
      <c r="F505" s="150"/>
      <c r="G505" s="150"/>
      <c r="H505" s="150"/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</row>
    <row r="506">
      <c r="A506" s="151">
        <v>1.0</v>
      </c>
      <c r="B506" s="156">
        <v>20502.0</v>
      </c>
      <c r="C506" s="50">
        <v>61720.0</v>
      </c>
      <c r="D506" s="150"/>
      <c r="E506" s="150"/>
      <c r="F506" s="150"/>
      <c r="G506" s="150"/>
      <c r="H506" s="150"/>
      <c r="I506" s="150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</row>
    <row r="507">
      <c r="A507" s="151">
        <v>1.0</v>
      </c>
      <c r="B507" s="148">
        <v>20503.0</v>
      </c>
      <c r="C507" s="50">
        <v>120817.0</v>
      </c>
      <c r="D507" s="150"/>
      <c r="E507" s="150"/>
      <c r="F507" s="150"/>
      <c r="G507" s="150"/>
      <c r="H507" s="150"/>
      <c r="I507" s="150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</row>
    <row r="508">
      <c r="A508" s="151">
        <v>1.0</v>
      </c>
      <c r="B508" s="148">
        <v>20504.0</v>
      </c>
      <c r="C508" s="50">
        <v>82221.0</v>
      </c>
      <c r="D508" s="150"/>
      <c r="E508" s="150"/>
      <c r="F508" s="150"/>
      <c r="G508" s="150"/>
      <c r="H508" s="150"/>
      <c r="I508" s="150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</row>
    <row r="509">
      <c r="A509" s="151">
        <v>0.0</v>
      </c>
      <c r="B509" s="156">
        <v>20505.0</v>
      </c>
      <c r="C509" s="50">
        <v>102317.0</v>
      </c>
      <c r="D509" s="150"/>
      <c r="E509" s="150"/>
      <c r="F509" s="150"/>
      <c r="G509" s="150"/>
      <c r="H509" s="150"/>
      <c r="I509" s="150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</row>
    <row r="510">
      <c r="A510" s="151">
        <v>0.0</v>
      </c>
      <c r="B510" s="148">
        <v>20506.0</v>
      </c>
      <c r="C510" s="50">
        <v>41714.0</v>
      </c>
      <c r="D510" s="150"/>
      <c r="E510" s="150"/>
      <c r="F510" s="150"/>
      <c r="G510" s="150"/>
      <c r="H510" s="150"/>
      <c r="I510" s="150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</row>
    <row r="511">
      <c r="A511" s="151">
        <v>0.0</v>
      </c>
      <c r="B511" s="148">
        <v>20507.0</v>
      </c>
      <c r="C511" s="50">
        <v>70813.0</v>
      </c>
      <c r="D511" s="150"/>
      <c r="E511" s="150"/>
      <c r="F511" s="150"/>
      <c r="G511" s="150"/>
      <c r="H511" s="150"/>
      <c r="I511" s="150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</row>
    <row r="512">
      <c r="A512" s="151">
        <v>1.0</v>
      </c>
      <c r="B512" s="156">
        <v>20508.0</v>
      </c>
      <c r="C512" s="50">
        <v>110719.0</v>
      </c>
      <c r="D512" s="150"/>
      <c r="E512" s="150"/>
      <c r="F512" s="150"/>
      <c r="G512" s="150"/>
      <c r="H512" s="150"/>
      <c r="I512" s="150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</row>
    <row r="513">
      <c r="A513" s="151">
        <v>0.0</v>
      </c>
      <c r="B513" s="156">
        <v>20509.0</v>
      </c>
      <c r="C513" s="50">
        <v>41818.0</v>
      </c>
      <c r="D513" s="150"/>
      <c r="E513" s="150"/>
      <c r="F513" s="150"/>
      <c r="G513" s="150"/>
      <c r="H513" s="150"/>
      <c r="I513" s="150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</row>
    <row r="514">
      <c r="A514" s="151">
        <v>1.0</v>
      </c>
      <c r="B514" s="148">
        <v>20510.0</v>
      </c>
      <c r="C514" s="50">
        <v>71422.0</v>
      </c>
      <c r="D514" s="150"/>
      <c r="E514" s="150"/>
      <c r="F514" s="150"/>
      <c r="G514" s="150"/>
      <c r="H514" s="150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</row>
    <row r="515">
      <c r="A515" s="151">
        <v>1.0</v>
      </c>
      <c r="B515" s="148">
        <v>20511.0</v>
      </c>
      <c r="C515" s="50">
        <v>11814.0</v>
      </c>
      <c r="D515" s="150"/>
      <c r="E515" s="150"/>
      <c r="F515" s="150"/>
      <c r="G515" s="150"/>
      <c r="H515" s="150"/>
      <c r="I515" s="150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</row>
    <row r="516">
      <c r="A516" s="151">
        <v>0.0</v>
      </c>
      <c r="B516" s="156">
        <v>20512.0</v>
      </c>
      <c r="C516" s="50">
        <v>21522.0</v>
      </c>
      <c r="D516" s="150"/>
      <c r="E516" s="150"/>
      <c r="F516" s="150"/>
      <c r="G516" s="150"/>
      <c r="H516" s="150"/>
      <c r="I516" s="150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</row>
    <row r="517">
      <c r="A517" s="151">
        <v>1.0</v>
      </c>
      <c r="B517" s="156">
        <v>20513.0</v>
      </c>
      <c r="C517" s="50">
        <v>10314.0</v>
      </c>
      <c r="D517" s="150"/>
      <c r="E517" s="150"/>
      <c r="F517" s="150"/>
      <c r="G517" s="150"/>
      <c r="H517" s="150"/>
      <c r="I517" s="150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</row>
    <row r="518">
      <c r="A518" s="151">
        <v>0.0</v>
      </c>
      <c r="B518" s="148">
        <v>20514.0</v>
      </c>
      <c r="C518" s="50">
        <v>121915.0</v>
      </c>
      <c r="D518" s="150"/>
      <c r="E518" s="150"/>
      <c r="F518" s="150"/>
      <c r="G518" s="150"/>
      <c r="H518" s="150"/>
      <c r="I518" s="150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</row>
    <row r="519">
      <c r="A519" s="151">
        <v>1.0</v>
      </c>
      <c r="B519" s="148">
        <v>20515.0</v>
      </c>
      <c r="C519" s="50">
        <v>40619.0</v>
      </c>
      <c r="D519" s="150"/>
      <c r="E519" s="150"/>
      <c r="F519" s="150"/>
      <c r="G519" s="150"/>
      <c r="H519" s="150"/>
      <c r="I519" s="150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</row>
    <row r="520">
      <c r="A520" s="151">
        <v>0.0</v>
      </c>
      <c r="B520" s="156">
        <v>20516.0</v>
      </c>
      <c r="C520" s="50">
        <v>121217.0</v>
      </c>
      <c r="D520" s="150"/>
      <c r="E520" s="150"/>
      <c r="F520" s="150"/>
      <c r="G520" s="150"/>
      <c r="H520" s="150"/>
      <c r="I520" s="150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</row>
    <row r="521">
      <c r="A521" s="151">
        <v>0.0</v>
      </c>
      <c r="B521" s="148">
        <v>20517.0</v>
      </c>
      <c r="C521" s="50">
        <v>42216.0</v>
      </c>
      <c r="D521" s="150"/>
      <c r="E521" s="150"/>
      <c r="F521" s="150"/>
      <c r="G521" s="150"/>
      <c r="H521" s="150"/>
      <c r="I521" s="150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</row>
    <row r="522">
      <c r="A522" s="151">
        <v>1.0</v>
      </c>
      <c r="B522" s="148">
        <v>20518.0</v>
      </c>
      <c r="C522" s="50">
        <v>43021.0</v>
      </c>
      <c r="D522" s="150"/>
      <c r="E522" s="150"/>
      <c r="F522" s="150"/>
      <c r="G522" s="150"/>
      <c r="H522" s="150"/>
      <c r="I522" s="150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</row>
    <row r="523">
      <c r="A523" s="151">
        <v>0.0</v>
      </c>
      <c r="B523" s="156">
        <v>20519.0</v>
      </c>
      <c r="C523" s="50">
        <v>100215.0</v>
      </c>
      <c r="D523" s="150"/>
      <c r="E523" s="150"/>
      <c r="F523" s="150"/>
      <c r="G523" s="150"/>
      <c r="H523" s="150"/>
      <c r="I523" s="150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</row>
    <row r="524">
      <c r="A524" s="151">
        <v>1.0</v>
      </c>
      <c r="B524" s="156">
        <v>20520.0</v>
      </c>
      <c r="C524" s="50">
        <v>42617.0</v>
      </c>
      <c r="D524" s="150"/>
      <c r="E524" s="150"/>
      <c r="F524" s="150"/>
      <c r="G524" s="150"/>
      <c r="H524" s="150"/>
      <c r="I524" s="150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</row>
    <row r="525">
      <c r="A525" s="151">
        <v>0.0</v>
      </c>
      <c r="B525" s="148">
        <v>20521.0</v>
      </c>
      <c r="C525" s="50">
        <v>51520.0</v>
      </c>
      <c r="D525" s="150"/>
      <c r="E525" s="150"/>
      <c r="F525" s="150"/>
      <c r="G525" s="150"/>
      <c r="H525" s="150"/>
      <c r="I525" s="150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</row>
    <row r="526">
      <c r="A526" s="151">
        <v>0.0</v>
      </c>
      <c r="B526" s="148">
        <v>20522.0</v>
      </c>
      <c r="C526" s="50">
        <v>50315.0</v>
      </c>
      <c r="D526" s="150"/>
      <c r="E526" s="150"/>
      <c r="F526" s="150"/>
      <c r="G526" s="150"/>
      <c r="H526" s="150"/>
      <c r="I526" s="150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</row>
    <row r="527">
      <c r="A527" s="151">
        <v>0.0</v>
      </c>
      <c r="B527" s="156">
        <v>20523.0</v>
      </c>
      <c r="C527" s="50">
        <v>93019.0</v>
      </c>
      <c r="D527" s="150"/>
      <c r="E527" s="150"/>
      <c r="F527" s="150"/>
      <c r="G527" s="150"/>
      <c r="H527" s="150"/>
      <c r="I527" s="150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</row>
    <row r="528">
      <c r="A528" s="151">
        <v>0.0</v>
      </c>
      <c r="B528" s="156">
        <v>20524.0</v>
      </c>
      <c r="C528" s="50">
        <v>61315.0</v>
      </c>
      <c r="D528" s="150"/>
      <c r="E528" s="150"/>
      <c r="F528" s="150"/>
      <c r="G528" s="150"/>
      <c r="H528" s="150"/>
      <c r="I528" s="150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</row>
    <row r="529">
      <c r="A529" s="151">
        <v>0.0</v>
      </c>
      <c r="B529" s="148">
        <v>20525.0</v>
      </c>
      <c r="C529" s="50">
        <v>122419.0</v>
      </c>
      <c r="D529" s="150"/>
      <c r="E529" s="150"/>
      <c r="F529" s="150"/>
      <c r="G529" s="150"/>
      <c r="H529" s="150"/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</row>
    <row r="530">
      <c r="A530" s="151">
        <v>0.0</v>
      </c>
      <c r="B530" s="148">
        <v>20526.0</v>
      </c>
      <c r="C530" s="50">
        <v>120413.0</v>
      </c>
      <c r="D530" s="150"/>
      <c r="E530" s="150"/>
      <c r="F530" s="150"/>
      <c r="G530" s="150"/>
      <c r="H530" s="150"/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</row>
    <row r="531">
      <c r="A531" s="151">
        <v>0.0</v>
      </c>
      <c r="B531" s="156">
        <v>20527.0</v>
      </c>
      <c r="C531" s="50">
        <v>11120.0</v>
      </c>
      <c r="D531" s="150"/>
      <c r="E531" s="150"/>
      <c r="F531" s="150"/>
      <c r="G531" s="150"/>
      <c r="H531" s="150"/>
      <c r="I531" s="150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</row>
    <row r="532">
      <c r="A532" s="151">
        <v>0.0</v>
      </c>
      <c r="B532" s="148">
        <v>20528.0</v>
      </c>
      <c r="C532" s="50">
        <v>103119.0</v>
      </c>
      <c r="D532" s="150"/>
      <c r="E532" s="150"/>
      <c r="F532" s="150"/>
      <c r="G532" s="150"/>
      <c r="H532" s="150"/>
      <c r="I532" s="150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</row>
    <row r="533">
      <c r="A533" s="151">
        <v>1.0</v>
      </c>
      <c r="B533" s="148">
        <v>20529.0</v>
      </c>
      <c r="C533" s="50">
        <v>31313.0</v>
      </c>
      <c r="D533" s="150"/>
      <c r="E533" s="150"/>
      <c r="F533" s="150"/>
      <c r="G533" s="150"/>
      <c r="H533" s="150"/>
      <c r="I533" s="150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</row>
    <row r="534">
      <c r="A534" s="151">
        <v>0.0</v>
      </c>
      <c r="B534" s="156">
        <v>20530.0</v>
      </c>
      <c r="C534" s="50">
        <v>21918.0</v>
      </c>
      <c r="D534" s="150"/>
      <c r="E534" s="150"/>
      <c r="F534" s="150"/>
      <c r="G534" s="150"/>
      <c r="H534" s="150"/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</row>
    <row r="535">
      <c r="A535" s="151">
        <v>0.0</v>
      </c>
      <c r="B535" s="156">
        <v>20531.0</v>
      </c>
      <c r="C535" s="50">
        <v>12516.0</v>
      </c>
      <c r="D535" s="150"/>
      <c r="E535" s="150"/>
      <c r="F535" s="150"/>
      <c r="G535" s="150"/>
      <c r="H535" s="150"/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</row>
    <row r="536">
      <c r="A536" s="151">
        <v>0.0</v>
      </c>
      <c r="B536" s="148">
        <v>20532.0</v>
      </c>
      <c r="C536" s="50">
        <v>20421.0</v>
      </c>
      <c r="D536" s="150"/>
      <c r="E536" s="150"/>
      <c r="F536" s="150"/>
      <c r="G536" s="150"/>
      <c r="H536" s="150"/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</row>
    <row r="537">
      <c r="A537" s="151">
        <v>0.0</v>
      </c>
      <c r="B537" s="148">
        <v>20533.0</v>
      </c>
      <c r="C537" s="50">
        <v>21717.0</v>
      </c>
      <c r="D537" s="150"/>
      <c r="E537" s="150"/>
      <c r="F537" s="150"/>
      <c r="G537" s="150"/>
      <c r="H537" s="150"/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</row>
    <row r="538">
      <c r="A538" s="151">
        <v>1.0</v>
      </c>
      <c r="B538" s="156">
        <v>20534.0</v>
      </c>
      <c r="C538" s="50">
        <v>81722.0</v>
      </c>
      <c r="D538" s="150"/>
      <c r="E538" s="150"/>
      <c r="F538" s="150"/>
      <c r="G538" s="150"/>
      <c r="H538" s="150"/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</row>
    <row r="539">
      <c r="A539" s="151">
        <v>1.0</v>
      </c>
      <c r="B539" s="156">
        <v>20535.0</v>
      </c>
      <c r="C539" s="50">
        <v>10514.0</v>
      </c>
      <c r="D539" s="150"/>
      <c r="E539" s="150"/>
      <c r="F539" s="150"/>
      <c r="G539" s="150"/>
      <c r="H539" s="150"/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</row>
    <row r="540">
      <c r="A540" s="151">
        <v>0.0</v>
      </c>
      <c r="B540" s="148">
        <v>20536.0</v>
      </c>
      <c r="C540" s="50">
        <v>90516.0</v>
      </c>
      <c r="D540" s="150"/>
      <c r="E540" s="150"/>
      <c r="F540" s="150"/>
      <c r="G540" s="150"/>
      <c r="H540" s="150"/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</row>
    <row r="541">
      <c r="A541" s="151">
        <v>1.0</v>
      </c>
      <c r="B541" s="148">
        <v>20537.0</v>
      </c>
      <c r="C541" s="50">
        <v>10722.0</v>
      </c>
      <c r="D541" s="150"/>
      <c r="E541" s="150"/>
      <c r="F541" s="150"/>
      <c r="G541" s="150"/>
      <c r="H541" s="150"/>
      <c r="I541" s="150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</row>
    <row r="542">
      <c r="A542" s="151">
        <v>0.0</v>
      </c>
      <c r="B542" s="156">
        <v>20538.0</v>
      </c>
      <c r="C542" s="50">
        <v>111220.0</v>
      </c>
      <c r="D542" s="150"/>
      <c r="E542" s="150"/>
      <c r="F542" s="150"/>
      <c r="G542" s="150"/>
      <c r="H542" s="150"/>
      <c r="I542" s="150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</row>
    <row r="543">
      <c r="A543" s="151">
        <v>1.0</v>
      </c>
      <c r="B543" s="148">
        <v>20539.0</v>
      </c>
      <c r="C543" s="50">
        <v>32614.0</v>
      </c>
      <c r="D543" s="150"/>
      <c r="E543" s="150"/>
      <c r="F543" s="150"/>
      <c r="G543" s="150"/>
      <c r="H543" s="150"/>
      <c r="I543" s="150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</row>
    <row r="544">
      <c r="A544" s="151">
        <v>1.0</v>
      </c>
      <c r="B544" s="148">
        <v>20540.0</v>
      </c>
      <c r="C544" s="50">
        <v>20521.0</v>
      </c>
      <c r="D544" s="150"/>
      <c r="E544" s="150"/>
      <c r="F544" s="150"/>
      <c r="G544" s="150"/>
      <c r="H544" s="150"/>
      <c r="I544" s="150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</row>
    <row r="545">
      <c r="A545" s="151">
        <v>1.0</v>
      </c>
      <c r="B545" s="156">
        <v>20541.0</v>
      </c>
      <c r="C545" s="50">
        <v>111814.0</v>
      </c>
      <c r="D545" s="150"/>
      <c r="E545" s="150"/>
      <c r="F545" s="150"/>
      <c r="G545" s="150"/>
      <c r="H545" s="150"/>
      <c r="I545" s="150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</row>
    <row r="546">
      <c r="A546" s="151">
        <v>0.0</v>
      </c>
      <c r="B546" s="156">
        <v>20542.0</v>
      </c>
      <c r="C546" s="50">
        <v>10321.0</v>
      </c>
      <c r="D546" s="150"/>
      <c r="E546" s="150"/>
      <c r="F546" s="150"/>
      <c r="G546" s="150"/>
      <c r="H546" s="150"/>
      <c r="I546" s="150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</row>
    <row r="547">
      <c r="A547" s="151">
        <v>0.0</v>
      </c>
      <c r="B547" s="148">
        <v>20543.0</v>
      </c>
      <c r="C547" s="50">
        <v>21818.0</v>
      </c>
      <c r="D547" s="150"/>
      <c r="E547" s="150"/>
      <c r="F547" s="150"/>
      <c r="G547" s="150"/>
      <c r="H547" s="150"/>
      <c r="I547" s="150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</row>
    <row r="548">
      <c r="A548" s="151">
        <v>0.0</v>
      </c>
      <c r="B548" s="148">
        <v>20544.0</v>
      </c>
      <c r="C548" s="50">
        <v>102617.0</v>
      </c>
      <c r="D548" s="150"/>
      <c r="E548" s="150"/>
      <c r="F548" s="150"/>
      <c r="G548" s="150"/>
      <c r="H548" s="150"/>
      <c r="I548" s="150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</row>
    <row r="549">
      <c r="A549" s="151">
        <v>1.0</v>
      </c>
      <c r="B549" s="156">
        <v>20545.0</v>
      </c>
      <c r="C549" s="50">
        <v>102019.0</v>
      </c>
      <c r="D549" s="150"/>
      <c r="E549" s="150"/>
      <c r="F549" s="150"/>
      <c r="G549" s="150"/>
      <c r="H549" s="150"/>
      <c r="I549" s="150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</row>
    <row r="550">
      <c r="A550" s="151">
        <v>0.0</v>
      </c>
      <c r="B550" s="156">
        <v>20546.0</v>
      </c>
      <c r="C550" s="50">
        <v>70819.0</v>
      </c>
      <c r="D550" s="150"/>
      <c r="E550" s="150"/>
      <c r="F550" s="150"/>
      <c r="G550" s="150"/>
      <c r="H550" s="150"/>
      <c r="I550" s="150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</row>
    <row r="551">
      <c r="A551" s="151">
        <v>0.0</v>
      </c>
      <c r="B551" s="148">
        <v>20547.0</v>
      </c>
      <c r="C551" s="50">
        <v>40121.0</v>
      </c>
      <c r="D551" s="150"/>
      <c r="E551" s="150"/>
      <c r="F551" s="150"/>
      <c r="G551" s="150"/>
      <c r="H551" s="150"/>
      <c r="I551" s="150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</row>
    <row r="552">
      <c r="A552" s="151">
        <v>1.0</v>
      </c>
      <c r="B552" s="148">
        <v>20548.0</v>
      </c>
      <c r="C552" s="50">
        <v>101719.0</v>
      </c>
      <c r="D552" s="150"/>
      <c r="E552" s="150"/>
      <c r="F552" s="150"/>
      <c r="G552" s="150"/>
      <c r="H552" s="150"/>
      <c r="I552" s="150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</row>
    <row r="553">
      <c r="A553" s="151">
        <v>1.0</v>
      </c>
      <c r="B553" s="156">
        <v>20549.0</v>
      </c>
      <c r="C553" s="50">
        <v>31417.0</v>
      </c>
      <c r="D553" s="150"/>
      <c r="E553" s="150"/>
      <c r="F553" s="150"/>
      <c r="G553" s="150"/>
      <c r="H553" s="150"/>
      <c r="I553" s="150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</row>
    <row r="554">
      <c r="A554" s="151">
        <v>1.0</v>
      </c>
      <c r="B554" s="148">
        <v>20550.0</v>
      </c>
      <c r="C554" s="50">
        <v>102117.0</v>
      </c>
      <c r="D554" s="150"/>
      <c r="E554" s="150"/>
      <c r="F554" s="150"/>
      <c r="G554" s="150"/>
      <c r="H554" s="150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</row>
    <row r="555">
      <c r="A555" s="151">
        <v>0.0</v>
      </c>
      <c r="B555" s="148">
        <v>20551.0</v>
      </c>
      <c r="C555" s="50">
        <v>30822.0</v>
      </c>
      <c r="D555" s="150"/>
      <c r="E555" s="150"/>
      <c r="F555" s="150"/>
      <c r="G555" s="150"/>
      <c r="H555" s="150"/>
      <c r="I555" s="150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</row>
    <row r="556">
      <c r="A556" s="151">
        <v>0.0</v>
      </c>
      <c r="B556" s="156">
        <v>20552.0</v>
      </c>
      <c r="C556" s="50">
        <v>33114.0</v>
      </c>
      <c r="D556" s="150"/>
      <c r="E556" s="150"/>
      <c r="F556" s="150"/>
      <c r="G556" s="150"/>
      <c r="H556" s="150"/>
      <c r="I556" s="150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</row>
    <row r="557">
      <c r="A557" s="151">
        <v>1.0</v>
      </c>
      <c r="B557" s="156">
        <v>20553.0</v>
      </c>
      <c r="C557" s="50">
        <v>82616.0</v>
      </c>
      <c r="D557" s="150"/>
      <c r="E557" s="150"/>
      <c r="F557" s="150"/>
      <c r="G557" s="150"/>
      <c r="H557" s="150"/>
      <c r="I557" s="150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</row>
    <row r="558">
      <c r="A558" s="151">
        <v>0.0</v>
      </c>
      <c r="B558" s="148">
        <v>20554.0</v>
      </c>
      <c r="C558" s="50">
        <v>72519.0</v>
      </c>
      <c r="D558" s="150"/>
      <c r="E558" s="150"/>
      <c r="F558" s="150"/>
      <c r="G558" s="150"/>
      <c r="H558" s="150"/>
      <c r="I558" s="150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</row>
    <row r="559">
      <c r="A559" s="151">
        <v>0.0</v>
      </c>
      <c r="B559" s="148">
        <v>20555.0</v>
      </c>
      <c r="C559" s="50">
        <v>21217.0</v>
      </c>
      <c r="D559" s="150"/>
      <c r="E559" s="150"/>
      <c r="F559" s="150"/>
      <c r="G559" s="150"/>
      <c r="H559" s="150"/>
      <c r="I559" s="150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</row>
    <row r="560">
      <c r="A560" s="151">
        <v>1.0</v>
      </c>
      <c r="B560" s="156">
        <v>20556.0</v>
      </c>
      <c r="C560" s="50">
        <v>11418.0</v>
      </c>
      <c r="D560" s="150"/>
      <c r="E560" s="150"/>
      <c r="F560" s="150"/>
      <c r="G560" s="150"/>
      <c r="H560" s="150"/>
      <c r="I560" s="150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</row>
    <row r="561">
      <c r="A561" s="151">
        <v>0.0</v>
      </c>
      <c r="B561" s="156">
        <v>20557.0</v>
      </c>
      <c r="C561" s="50">
        <v>82122.0</v>
      </c>
      <c r="D561" s="150"/>
      <c r="E561" s="150"/>
      <c r="F561" s="150"/>
      <c r="G561" s="150"/>
      <c r="H561" s="150"/>
      <c r="I561" s="150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</row>
    <row r="562">
      <c r="A562" s="151">
        <v>0.0</v>
      </c>
      <c r="B562" s="148">
        <v>20558.0</v>
      </c>
      <c r="C562" s="50">
        <v>52614.0</v>
      </c>
      <c r="D562" s="150"/>
      <c r="E562" s="150"/>
      <c r="F562" s="150"/>
      <c r="G562" s="150"/>
      <c r="H562" s="150"/>
      <c r="I562" s="150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</row>
    <row r="563">
      <c r="A563" s="151">
        <v>0.0</v>
      </c>
      <c r="B563" s="148">
        <v>20559.0</v>
      </c>
      <c r="C563" s="50">
        <v>90818.0</v>
      </c>
      <c r="D563" s="150"/>
      <c r="E563" s="150"/>
      <c r="F563" s="150"/>
      <c r="G563" s="150"/>
      <c r="H563" s="150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</row>
    <row r="564">
      <c r="A564" s="151">
        <v>1.0</v>
      </c>
      <c r="B564" s="156">
        <v>20560.0</v>
      </c>
      <c r="C564" s="50">
        <v>122822.0</v>
      </c>
      <c r="D564" s="150"/>
      <c r="E564" s="150"/>
      <c r="F564" s="150"/>
      <c r="G564" s="150"/>
      <c r="H564" s="150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</row>
    <row r="565">
      <c r="A565" s="151">
        <v>1.0</v>
      </c>
      <c r="B565" s="148">
        <v>20561.0</v>
      </c>
      <c r="C565" s="50">
        <v>122114.0</v>
      </c>
      <c r="D565" s="150"/>
      <c r="E565" s="150"/>
      <c r="F565" s="150"/>
      <c r="G565" s="150"/>
      <c r="H565" s="150"/>
      <c r="I565" s="150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</row>
    <row r="566">
      <c r="A566" s="151">
        <v>1.0</v>
      </c>
      <c r="B566" s="148">
        <v>20562.0</v>
      </c>
      <c r="C566" s="50">
        <v>52413.0</v>
      </c>
      <c r="D566" s="150"/>
      <c r="E566" s="150"/>
      <c r="F566" s="150"/>
      <c r="G566" s="150"/>
      <c r="H566" s="150"/>
      <c r="I566" s="150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</row>
    <row r="567">
      <c r="A567" s="151">
        <v>0.0</v>
      </c>
      <c r="B567" s="156">
        <v>20563.0</v>
      </c>
      <c r="C567" s="50">
        <v>81221.0</v>
      </c>
      <c r="D567" s="150"/>
      <c r="E567" s="150"/>
      <c r="F567" s="150"/>
      <c r="G567" s="150"/>
      <c r="H567" s="150"/>
      <c r="I567" s="150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</row>
    <row r="568">
      <c r="A568" s="151">
        <v>0.0</v>
      </c>
      <c r="B568" s="156">
        <v>20564.0</v>
      </c>
      <c r="C568" s="50">
        <v>21615.0</v>
      </c>
      <c r="D568" s="150"/>
      <c r="E568" s="150"/>
      <c r="F568" s="150"/>
      <c r="G568" s="150"/>
      <c r="H568" s="150"/>
      <c r="I568" s="150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</row>
    <row r="569">
      <c r="A569" s="151">
        <v>1.0</v>
      </c>
      <c r="B569" s="148">
        <v>20565.0</v>
      </c>
      <c r="C569" s="50">
        <v>101516.0</v>
      </c>
      <c r="D569" s="150"/>
      <c r="E569" s="150"/>
      <c r="F569" s="150"/>
      <c r="G569" s="150"/>
      <c r="H569" s="150"/>
      <c r="I569" s="150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</row>
    <row r="570">
      <c r="A570" s="151">
        <v>0.0</v>
      </c>
      <c r="B570" s="148">
        <v>20566.0</v>
      </c>
      <c r="C570" s="50">
        <v>21416.0</v>
      </c>
      <c r="D570" s="150"/>
      <c r="E570" s="150"/>
      <c r="F570" s="150"/>
      <c r="G570" s="150"/>
      <c r="H570" s="150"/>
      <c r="I570" s="150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</row>
    <row r="571">
      <c r="A571" s="151">
        <v>1.0</v>
      </c>
      <c r="B571" s="156">
        <v>20567.0</v>
      </c>
      <c r="C571" s="50">
        <v>91116.0</v>
      </c>
      <c r="D571" s="150"/>
      <c r="E571" s="150"/>
      <c r="F571" s="150"/>
      <c r="G571" s="150"/>
      <c r="H571" s="150"/>
      <c r="I571" s="150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</row>
    <row r="572">
      <c r="A572" s="151">
        <v>0.0</v>
      </c>
      <c r="B572" s="156">
        <v>20568.0</v>
      </c>
      <c r="C572" s="50">
        <v>42215.0</v>
      </c>
      <c r="D572" s="150"/>
      <c r="E572" s="150"/>
      <c r="F572" s="150"/>
      <c r="G572" s="150"/>
      <c r="H572" s="150"/>
      <c r="I572" s="150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</row>
    <row r="573">
      <c r="A573" s="151">
        <v>1.0</v>
      </c>
      <c r="B573" s="148">
        <v>20569.0</v>
      </c>
      <c r="C573" s="50">
        <v>111316.0</v>
      </c>
      <c r="D573" s="150"/>
      <c r="E573" s="150"/>
      <c r="F573" s="150"/>
      <c r="G573" s="150"/>
      <c r="H573" s="150"/>
      <c r="I573" s="150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</row>
    <row r="574">
      <c r="A574" s="151">
        <v>0.0</v>
      </c>
      <c r="B574" s="148">
        <v>20570.0</v>
      </c>
      <c r="C574" s="50">
        <v>62815.0</v>
      </c>
      <c r="D574" s="150"/>
      <c r="E574" s="150"/>
      <c r="F574" s="150"/>
      <c r="G574" s="150"/>
      <c r="H574" s="150"/>
      <c r="I574" s="150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</row>
    <row r="575">
      <c r="A575" s="151">
        <v>1.0</v>
      </c>
      <c r="B575" s="156">
        <v>20571.0</v>
      </c>
      <c r="C575" s="50">
        <v>43015.0</v>
      </c>
      <c r="D575" s="150"/>
      <c r="E575" s="150"/>
      <c r="F575" s="150"/>
      <c r="G575" s="150"/>
      <c r="H575" s="150"/>
      <c r="I575" s="150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</row>
    <row r="576">
      <c r="A576" s="151">
        <v>0.0</v>
      </c>
      <c r="B576" s="148">
        <v>20572.0</v>
      </c>
      <c r="C576" s="50">
        <v>32213.0</v>
      </c>
      <c r="D576" s="150"/>
      <c r="E576" s="150"/>
      <c r="F576" s="150"/>
      <c r="G576" s="150"/>
      <c r="H576" s="150"/>
      <c r="I576" s="150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</row>
    <row r="577">
      <c r="A577" s="151">
        <v>0.0</v>
      </c>
      <c r="B577" s="148">
        <v>20573.0</v>
      </c>
      <c r="C577" s="50">
        <v>32513.0</v>
      </c>
      <c r="D577" s="150"/>
      <c r="E577" s="150"/>
      <c r="F577" s="150"/>
      <c r="G577" s="150"/>
      <c r="H577" s="150"/>
      <c r="I577" s="150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</row>
    <row r="578">
      <c r="A578" s="151">
        <v>1.0</v>
      </c>
      <c r="B578" s="156">
        <v>20574.0</v>
      </c>
      <c r="C578" s="50">
        <v>71018.0</v>
      </c>
      <c r="D578" s="150"/>
      <c r="E578" s="150"/>
      <c r="F578" s="150"/>
      <c r="G578" s="150"/>
      <c r="H578" s="150"/>
      <c r="I578" s="150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</row>
    <row r="579">
      <c r="A579" s="151">
        <v>0.0</v>
      </c>
      <c r="B579" s="156">
        <v>20575.0</v>
      </c>
      <c r="C579" s="50">
        <v>60517.0</v>
      </c>
      <c r="D579" s="150"/>
      <c r="E579" s="150"/>
      <c r="F579" s="150"/>
      <c r="G579" s="150"/>
      <c r="H579" s="150"/>
      <c r="I579" s="150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</row>
    <row r="580">
      <c r="A580" s="151">
        <v>0.0</v>
      </c>
      <c r="B580" s="148">
        <v>20576.0</v>
      </c>
      <c r="C580" s="50">
        <v>60522.0</v>
      </c>
      <c r="D580" s="150"/>
      <c r="E580" s="150"/>
      <c r="F580" s="150"/>
      <c r="G580" s="150"/>
      <c r="H580" s="150"/>
      <c r="I580" s="150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</row>
    <row r="581">
      <c r="A581" s="151">
        <v>1.0</v>
      </c>
      <c r="B581" s="148">
        <v>20577.0</v>
      </c>
      <c r="C581" s="50">
        <v>61020.0</v>
      </c>
      <c r="D581" s="150"/>
      <c r="E581" s="150"/>
      <c r="F581" s="150"/>
      <c r="G581" s="150"/>
      <c r="H581" s="150"/>
      <c r="I581" s="150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</row>
    <row r="582">
      <c r="A582" s="151">
        <v>0.0</v>
      </c>
      <c r="B582" s="156">
        <v>20578.0</v>
      </c>
      <c r="C582" s="50">
        <v>81215.0</v>
      </c>
      <c r="D582" s="150"/>
      <c r="E582" s="150"/>
      <c r="F582" s="150"/>
      <c r="G582" s="150"/>
      <c r="H582" s="150"/>
      <c r="I582" s="150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</row>
    <row r="583">
      <c r="A583" s="151">
        <v>1.0</v>
      </c>
      <c r="B583" s="156">
        <v>20579.0</v>
      </c>
      <c r="C583" s="50">
        <v>82314.0</v>
      </c>
      <c r="D583" s="150"/>
      <c r="E583" s="150"/>
      <c r="F583" s="150"/>
      <c r="G583" s="150"/>
      <c r="H583" s="150"/>
      <c r="I583" s="150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</row>
    <row r="584">
      <c r="A584" s="151">
        <v>0.0</v>
      </c>
      <c r="B584" s="148">
        <v>20580.0</v>
      </c>
      <c r="C584" s="50">
        <v>51920.0</v>
      </c>
      <c r="D584" s="150"/>
      <c r="E584" s="150"/>
      <c r="F584" s="150"/>
      <c r="G584" s="150"/>
      <c r="H584" s="150"/>
      <c r="I584" s="150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</row>
    <row r="585">
      <c r="A585" s="151">
        <v>1.0</v>
      </c>
      <c r="B585" s="148">
        <v>20581.0</v>
      </c>
      <c r="C585" s="50">
        <v>91814.0</v>
      </c>
      <c r="D585" s="150"/>
      <c r="E585" s="150"/>
      <c r="F585" s="150"/>
      <c r="G585" s="150"/>
      <c r="H585" s="150"/>
      <c r="I585" s="150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</row>
    <row r="586">
      <c r="A586" s="151">
        <v>1.0</v>
      </c>
      <c r="B586" s="156">
        <v>20582.0</v>
      </c>
      <c r="C586" s="50">
        <v>60418.0</v>
      </c>
      <c r="D586" s="150"/>
      <c r="E586" s="150"/>
      <c r="F586" s="150"/>
      <c r="G586" s="150"/>
      <c r="H586" s="150"/>
      <c r="I586" s="150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</row>
    <row r="587">
      <c r="A587" s="151">
        <v>1.0</v>
      </c>
      <c r="B587" s="148">
        <v>20583.0</v>
      </c>
      <c r="C587" s="50">
        <v>80713.0</v>
      </c>
      <c r="D587" s="150"/>
      <c r="E587" s="150"/>
      <c r="F587" s="150"/>
      <c r="G587" s="150"/>
      <c r="H587" s="150"/>
      <c r="I587" s="150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</row>
    <row r="588">
      <c r="A588" s="151">
        <v>0.0</v>
      </c>
      <c r="B588" s="148">
        <v>20584.0</v>
      </c>
      <c r="C588" s="50">
        <v>71519.0</v>
      </c>
      <c r="D588" s="150"/>
      <c r="E588" s="150"/>
      <c r="F588" s="150"/>
      <c r="G588" s="150"/>
      <c r="H588" s="150"/>
      <c r="I588" s="150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</row>
    <row r="589">
      <c r="A589" s="151">
        <v>0.0</v>
      </c>
      <c r="B589" s="156">
        <v>20585.0</v>
      </c>
      <c r="C589" s="50">
        <v>122022.0</v>
      </c>
      <c r="D589" s="150"/>
      <c r="E589" s="150"/>
      <c r="F589" s="150"/>
      <c r="G589" s="150"/>
      <c r="H589" s="150"/>
      <c r="I589" s="150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</row>
    <row r="590">
      <c r="A590" s="151">
        <v>0.0</v>
      </c>
      <c r="B590" s="156">
        <v>20586.0</v>
      </c>
      <c r="C590" s="50">
        <v>92817.0</v>
      </c>
      <c r="D590" s="150"/>
      <c r="E590" s="150"/>
      <c r="F590" s="150"/>
      <c r="G590" s="150"/>
      <c r="H590" s="150"/>
      <c r="I590" s="150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</row>
    <row r="591">
      <c r="A591" s="151">
        <v>0.0</v>
      </c>
      <c r="B591" s="148">
        <v>20587.0</v>
      </c>
      <c r="C591" s="50">
        <v>102615.0</v>
      </c>
      <c r="D591" s="150"/>
      <c r="E591" s="150"/>
      <c r="F591" s="150"/>
      <c r="G591" s="150"/>
      <c r="H591" s="150"/>
      <c r="I591" s="150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</row>
    <row r="592">
      <c r="A592" s="151">
        <v>0.0</v>
      </c>
      <c r="B592" s="148">
        <v>20588.0</v>
      </c>
      <c r="C592" s="50">
        <v>11016.0</v>
      </c>
      <c r="D592" s="150"/>
      <c r="E592" s="150"/>
      <c r="F592" s="150"/>
      <c r="G592" s="150"/>
      <c r="H592" s="150"/>
      <c r="I592" s="150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</row>
    <row r="593">
      <c r="A593" s="151">
        <v>1.0</v>
      </c>
      <c r="B593" s="156">
        <v>20589.0</v>
      </c>
      <c r="C593" s="50">
        <v>50522.0</v>
      </c>
      <c r="D593" s="150"/>
      <c r="E593" s="150"/>
      <c r="F593" s="150"/>
      <c r="G593" s="150"/>
      <c r="H593" s="150"/>
      <c r="I593" s="150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</row>
    <row r="594">
      <c r="A594" s="151">
        <v>1.0</v>
      </c>
      <c r="B594" s="156">
        <v>20590.0</v>
      </c>
      <c r="C594" s="50">
        <v>122214.0</v>
      </c>
      <c r="D594" s="150"/>
      <c r="E594" s="150"/>
      <c r="F594" s="150"/>
      <c r="G594" s="150"/>
      <c r="H594" s="150"/>
      <c r="I594" s="150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</row>
    <row r="595">
      <c r="A595" s="151">
        <v>1.0</v>
      </c>
      <c r="B595" s="148">
        <v>20591.0</v>
      </c>
      <c r="C595" s="50">
        <v>72618.0</v>
      </c>
      <c r="D595" s="150"/>
      <c r="E595" s="150"/>
      <c r="F595" s="150"/>
      <c r="G595" s="150"/>
      <c r="H595" s="150"/>
      <c r="I595" s="150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</row>
    <row r="596">
      <c r="A596" s="151">
        <v>1.0</v>
      </c>
      <c r="B596" s="148">
        <v>20592.0</v>
      </c>
      <c r="C596" s="50">
        <v>42115.0</v>
      </c>
      <c r="D596" s="150"/>
      <c r="E596" s="150"/>
      <c r="F596" s="150"/>
      <c r="G596" s="150"/>
      <c r="H596" s="150"/>
      <c r="I596" s="150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</row>
    <row r="597">
      <c r="A597" s="151">
        <v>0.0</v>
      </c>
      <c r="B597" s="156">
        <v>20593.0</v>
      </c>
      <c r="C597" s="50">
        <v>91619.0</v>
      </c>
      <c r="D597" s="150"/>
      <c r="E597" s="150"/>
      <c r="F597" s="150"/>
      <c r="G597" s="150"/>
      <c r="H597" s="150"/>
      <c r="I597" s="150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</row>
    <row r="598">
      <c r="A598" s="151">
        <v>1.0</v>
      </c>
      <c r="B598" s="148">
        <v>20594.0</v>
      </c>
      <c r="C598" s="50">
        <v>33115.0</v>
      </c>
      <c r="D598" s="150"/>
      <c r="E598" s="150"/>
      <c r="F598" s="150"/>
      <c r="G598" s="150"/>
      <c r="H598" s="150"/>
      <c r="I598" s="150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</row>
    <row r="599">
      <c r="A599" s="151">
        <v>1.0</v>
      </c>
      <c r="B599" s="148">
        <v>20595.0</v>
      </c>
      <c r="C599" s="50">
        <v>42120.0</v>
      </c>
      <c r="D599" s="150"/>
      <c r="E599" s="150"/>
      <c r="F599" s="150"/>
      <c r="G599" s="150"/>
      <c r="H599" s="150"/>
      <c r="I599" s="150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</row>
    <row r="600">
      <c r="A600" s="151">
        <v>1.0</v>
      </c>
      <c r="B600" s="156">
        <v>20596.0</v>
      </c>
      <c r="C600" s="50">
        <v>22916.0</v>
      </c>
      <c r="D600" s="150"/>
      <c r="E600" s="150"/>
      <c r="F600" s="150"/>
      <c r="G600" s="150"/>
      <c r="H600" s="150"/>
      <c r="I600" s="150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</row>
    <row r="601">
      <c r="A601" s="151">
        <v>0.0</v>
      </c>
      <c r="B601" s="156">
        <v>20597.0</v>
      </c>
      <c r="C601" s="50">
        <v>100414.0</v>
      </c>
      <c r="D601" s="150"/>
      <c r="E601" s="150"/>
      <c r="F601" s="150"/>
      <c r="G601" s="150"/>
      <c r="H601" s="150"/>
      <c r="I601" s="150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</row>
    <row r="602">
      <c r="A602" s="151">
        <v>1.0</v>
      </c>
      <c r="B602" s="148">
        <v>20598.0</v>
      </c>
      <c r="C602" s="50">
        <v>22018.0</v>
      </c>
      <c r="D602" s="150"/>
      <c r="E602" s="150"/>
      <c r="F602" s="150"/>
      <c r="G602" s="150"/>
      <c r="H602" s="150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</row>
    <row r="603">
      <c r="A603" s="151">
        <v>0.0</v>
      </c>
      <c r="B603" s="148">
        <v>20599.0</v>
      </c>
      <c r="C603" s="50">
        <v>110716.0</v>
      </c>
      <c r="D603" s="150"/>
      <c r="E603" s="150"/>
      <c r="F603" s="150"/>
      <c r="G603" s="150"/>
      <c r="H603" s="150"/>
      <c r="I603" s="150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</row>
    <row r="604">
      <c r="A604" s="151">
        <v>1.0</v>
      </c>
      <c r="B604" s="156">
        <v>20600.0</v>
      </c>
      <c r="C604" s="50">
        <v>72816.0</v>
      </c>
      <c r="D604" s="150"/>
      <c r="E604" s="150"/>
      <c r="F604" s="150"/>
      <c r="G604" s="150"/>
      <c r="H604" s="150"/>
      <c r="I604" s="150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</row>
    <row r="605">
      <c r="A605" s="151">
        <v>0.0</v>
      </c>
      <c r="B605" s="156">
        <v>20601.0</v>
      </c>
      <c r="C605" s="50">
        <v>72615.0</v>
      </c>
      <c r="D605" s="150"/>
      <c r="E605" s="150"/>
      <c r="F605" s="150"/>
      <c r="G605" s="150"/>
      <c r="H605" s="150"/>
      <c r="I605" s="150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</row>
    <row r="606">
      <c r="A606" s="151">
        <v>0.0</v>
      </c>
      <c r="B606" s="148">
        <v>20602.0</v>
      </c>
      <c r="C606" s="50">
        <v>90615.0</v>
      </c>
      <c r="D606" s="150"/>
      <c r="E606" s="150"/>
      <c r="F606" s="150"/>
      <c r="G606" s="150"/>
      <c r="H606" s="150"/>
      <c r="I606" s="150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</row>
    <row r="607">
      <c r="A607" s="151">
        <v>0.0</v>
      </c>
      <c r="B607" s="148">
        <v>20603.0</v>
      </c>
      <c r="C607" s="50">
        <v>41720.0</v>
      </c>
      <c r="D607" s="150"/>
      <c r="E607" s="150"/>
      <c r="F607" s="150"/>
      <c r="G607" s="150"/>
      <c r="H607" s="150"/>
      <c r="I607" s="150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</row>
    <row r="608">
      <c r="A608" s="151">
        <v>1.0</v>
      </c>
      <c r="B608" s="156">
        <v>20604.0</v>
      </c>
      <c r="C608" s="50">
        <v>30516.0</v>
      </c>
      <c r="D608" s="150"/>
      <c r="E608" s="150"/>
      <c r="F608" s="150"/>
      <c r="G608" s="150"/>
      <c r="H608" s="150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</row>
    <row r="609">
      <c r="A609" s="151">
        <v>0.0</v>
      </c>
      <c r="B609" s="148">
        <v>20605.0</v>
      </c>
      <c r="C609" s="50">
        <v>61617.0</v>
      </c>
      <c r="D609" s="150"/>
      <c r="E609" s="150"/>
      <c r="F609" s="150"/>
      <c r="G609" s="150"/>
      <c r="H609" s="150"/>
      <c r="I609" s="150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</row>
    <row r="610">
      <c r="A610" s="151">
        <v>0.0</v>
      </c>
      <c r="B610" s="148">
        <v>20606.0</v>
      </c>
      <c r="C610" s="50">
        <v>102115.0</v>
      </c>
      <c r="D610" s="150"/>
      <c r="E610" s="150"/>
      <c r="F610" s="150"/>
      <c r="G610" s="150"/>
      <c r="H610" s="150"/>
      <c r="I610" s="150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</row>
    <row r="611">
      <c r="A611" s="151">
        <v>1.0</v>
      </c>
      <c r="B611" s="156">
        <v>20607.0</v>
      </c>
      <c r="C611" s="50">
        <v>50713.0</v>
      </c>
      <c r="D611" s="150"/>
      <c r="E611" s="150"/>
      <c r="F611" s="150"/>
      <c r="G611" s="150"/>
      <c r="H611" s="150"/>
      <c r="I611" s="150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</row>
    <row r="612">
      <c r="A612" s="151">
        <v>1.0</v>
      </c>
      <c r="B612" s="156">
        <v>20608.0</v>
      </c>
      <c r="C612" s="50">
        <v>53115.0</v>
      </c>
      <c r="D612" s="150"/>
      <c r="E612" s="150"/>
      <c r="F612" s="150"/>
      <c r="G612" s="150"/>
      <c r="H612" s="150"/>
      <c r="I612" s="150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</row>
    <row r="613">
      <c r="A613" s="151">
        <v>0.0</v>
      </c>
      <c r="B613" s="148">
        <v>20609.0</v>
      </c>
      <c r="C613" s="50">
        <v>82417.0</v>
      </c>
      <c r="D613" s="150"/>
      <c r="E613" s="150"/>
      <c r="F613" s="150"/>
      <c r="G613" s="150"/>
      <c r="H613" s="150"/>
      <c r="I613" s="150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</row>
    <row r="614">
      <c r="A614" s="151">
        <v>1.0</v>
      </c>
      <c r="B614" s="148">
        <v>20610.0</v>
      </c>
      <c r="C614" s="50">
        <v>80919.0</v>
      </c>
      <c r="D614" s="150"/>
      <c r="E614" s="150"/>
      <c r="F614" s="150"/>
      <c r="G614" s="150"/>
      <c r="H614" s="150"/>
      <c r="I614" s="150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</row>
    <row r="615">
      <c r="A615" s="151">
        <v>1.0</v>
      </c>
      <c r="B615" s="156">
        <v>20611.0</v>
      </c>
      <c r="C615" s="50">
        <v>110417.0</v>
      </c>
      <c r="D615" s="150"/>
      <c r="E615" s="150"/>
      <c r="F615" s="150"/>
      <c r="G615" s="150"/>
      <c r="H615" s="150"/>
      <c r="I615" s="150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</row>
    <row r="616">
      <c r="A616" s="151">
        <v>1.0</v>
      </c>
      <c r="B616" s="156">
        <v>20612.0</v>
      </c>
      <c r="C616" s="50">
        <v>100218.0</v>
      </c>
      <c r="D616" s="150"/>
      <c r="E616" s="150"/>
      <c r="F616" s="150"/>
      <c r="G616" s="150"/>
      <c r="H616" s="150"/>
      <c r="I616" s="150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</row>
    <row r="617">
      <c r="A617" s="151">
        <v>0.0</v>
      </c>
      <c r="B617" s="148">
        <v>20613.0</v>
      </c>
      <c r="C617" s="50">
        <v>113015.0</v>
      </c>
      <c r="D617" s="150"/>
      <c r="E617" s="150"/>
      <c r="F617" s="150"/>
      <c r="G617" s="150"/>
      <c r="H617" s="150"/>
      <c r="I617" s="150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</row>
    <row r="618">
      <c r="A618" s="151">
        <v>1.0</v>
      </c>
      <c r="B618" s="148">
        <v>20614.0</v>
      </c>
      <c r="C618" s="50">
        <v>10322.0</v>
      </c>
      <c r="D618" s="150"/>
      <c r="E618" s="150"/>
      <c r="F618" s="150"/>
      <c r="G618" s="150"/>
      <c r="H618" s="150"/>
      <c r="I618" s="150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</row>
    <row r="619">
      <c r="A619" s="151">
        <v>1.0</v>
      </c>
      <c r="B619" s="156">
        <v>20615.0</v>
      </c>
      <c r="C619" s="50">
        <v>70916.0</v>
      </c>
      <c r="D619" s="150"/>
      <c r="E619" s="150"/>
      <c r="F619" s="150"/>
      <c r="G619" s="150"/>
      <c r="H619" s="150"/>
      <c r="I619" s="150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</row>
    <row r="620">
      <c r="A620" s="151">
        <v>1.0</v>
      </c>
      <c r="B620" s="148">
        <v>20616.0</v>
      </c>
      <c r="C620" s="50">
        <v>41313.0</v>
      </c>
      <c r="D620" s="150"/>
      <c r="E620" s="150"/>
      <c r="F620" s="150"/>
      <c r="G620" s="150"/>
      <c r="H620" s="150"/>
      <c r="I620" s="150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</row>
    <row r="621">
      <c r="A621" s="151">
        <v>0.0</v>
      </c>
      <c r="B621" s="148">
        <v>20617.0</v>
      </c>
      <c r="C621" s="50">
        <v>11313.0</v>
      </c>
      <c r="D621" s="150"/>
      <c r="E621" s="150"/>
      <c r="F621" s="150"/>
      <c r="G621" s="150"/>
      <c r="H621" s="150"/>
      <c r="I621" s="150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</row>
    <row r="622">
      <c r="A622" s="151">
        <v>0.0</v>
      </c>
      <c r="B622" s="156">
        <v>20618.0</v>
      </c>
      <c r="C622" s="50">
        <v>22019.0</v>
      </c>
      <c r="D622" s="150"/>
      <c r="E622" s="150"/>
      <c r="F622" s="150"/>
      <c r="G622" s="150"/>
      <c r="H622" s="150"/>
      <c r="I622" s="150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</row>
    <row r="623">
      <c r="A623" s="151">
        <v>0.0</v>
      </c>
      <c r="B623" s="156">
        <v>20619.0</v>
      </c>
      <c r="C623" s="50">
        <v>121015.0</v>
      </c>
      <c r="D623" s="150"/>
      <c r="E623" s="150"/>
      <c r="F623" s="150"/>
      <c r="G623" s="150"/>
      <c r="H623" s="150"/>
      <c r="I623" s="150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</row>
    <row r="624">
      <c r="A624" s="151">
        <v>0.0</v>
      </c>
      <c r="B624" s="148">
        <v>20620.0</v>
      </c>
      <c r="C624" s="50">
        <v>92522.0</v>
      </c>
      <c r="D624" s="150"/>
      <c r="E624" s="150"/>
      <c r="F624" s="150"/>
      <c r="G624" s="150"/>
      <c r="H624" s="150"/>
      <c r="I624" s="150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</row>
    <row r="625">
      <c r="A625" s="151">
        <v>0.0</v>
      </c>
      <c r="B625" s="148">
        <v>20621.0</v>
      </c>
      <c r="C625" s="50">
        <v>32521.0</v>
      </c>
      <c r="D625" s="150"/>
      <c r="E625" s="150"/>
      <c r="F625" s="150"/>
      <c r="G625" s="150"/>
      <c r="H625" s="150"/>
      <c r="I625" s="150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</row>
    <row r="626">
      <c r="A626" s="151">
        <v>0.0</v>
      </c>
      <c r="B626" s="156">
        <v>20622.0</v>
      </c>
      <c r="C626" s="50">
        <v>52821.0</v>
      </c>
      <c r="D626" s="150"/>
      <c r="E626" s="150"/>
      <c r="F626" s="150"/>
      <c r="G626" s="150"/>
      <c r="H626" s="150"/>
      <c r="I626" s="150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</row>
    <row r="627">
      <c r="A627" s="151">
        <v>1.0</v>
      </c>
      <c r="B627" s="156">
        <v>20623.0</v>
      </c>
      <c r="C627" s="50">
        <v>72218.0</v>
      </c>
      <c r="D627" s="150"/>
      <c r="E627" s="150"/>
      <c r="F627" s="150"/>
      <c r="G627" s="150"/>
      <c r="H627" s="150"/>
      <c r="I627" s="150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</row>
    <row r="628">
      <c r="A628" s="151">
        <v>1.0</v>
      </c>
      <c r="B628" s="148">
        <v>20624.0</v>
      </c>
      <c r="C628" s="50">
        <v>10820.0</v>
      </c>
      <c r="D628" s="150"/>
      <c r="E628" s="150"/>
      <c r="F628" s="150"/>
      <c r="G628" s="150"/>
      <c r="H628" s="150"/>
      <c r="I628" s="150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</row>
    <row r="629">
      <c r="A629" s="151">
        <v>0.0</v>
      </c>
      <c r="B629" s="148">
        <v>20625.0</v>
      </c>
      <c r="C629" s="50">
        <v>91119.0</v>
      </c>
      <c r="D629" s="150"/>
      <c r="E629" s="150"/>
      <c r="F629" s="150"/>
      <c r="G629" s="150"/>
      <c r="H629" s="150"/>
      <c r="I629" s="150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</row>
    <row r="630">
      <c r="A630" s="151">
        <v>1.0</v>
      </c>
      <c r="B630" s="156">
        <v>20626.0</v>
      </c>
      <c r="C630" s="50">
        <v>40222.0</v>
      </c>
      <c r="D630" s="150"/>
      <c r="E630" s="150"/>
      <c r="F630" s="150"/>
      <c r="G630" s="150"/>
      <c r="H630" s="150"/>
      <c r="I630" s="150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</row>
    <row r="631">
      <c r="A631" s="151">
        <v>0.0</v>
      </c>
      <c r="B631" s="148">
        <v>20627.0</v>
      </c>
      <c r="C631" s="50">
        <v>121622.0</v>
      </c>
      <c r="D631" s="150"/>
      <c r="E631" s="150"/>
      <c r="F631" s="150"/>
      <c r="G631" s="150"/>
      <c r="H631" s="150"/>
      <c r="I631" s="150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</row>
    <row r="632">
      <c r="A632" s="151">
        <v>0.0</v>
      </c>
      <c r="B632" s="148">
        <v>20628.0</v>
      </c>
      <c r="C632" s="50">
        <v>110420.0</v>
      </c>
      <c r="D632" s="150"/>
      <c r="E632" s="150"/>
      <c r="F632" s="150"/>
      <c r="G632" s="150"/>
      <c r="H632" s="150"/>
      <c r="I632" s="150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</row>
    <row r="633">
      <c r="A633" s="151">
        <v>1.0</v>
      </c>
      <c r="B633" s="156">
        <v>20629.0</v>
      </c>
      <c r="C633" s="50">
        <v>71915.0</v>
      </c>
      <c r="D633" s="150"/>
      <c r="E633" s="150"/>
      <c r="F633" s="150"/>
      <c r="G633" s="150"/>
      <c r="H633" s="150"/>
      <c r="I633" s="150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</row>
    <row r="634">
      <c r="A634" s="151">
        <v>1.0</v>
      </c>
      <c r="B634" s="156">
        <v>20630.0</v>
      </c>
      <c r="C634" s="50">
        <v>111815.0</v>
      </c>
      <c r="D634" s="150"/>
      <c r="E634" s="150"/>
      <c r="F634" s="150"/>
      <c r="G634" s="150"/>
      <c r="H634" s="150"/>
      <c r="I634" s="150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</row>
    <row r="635">
      <c r="A635" s="151">
        <v>0.0</v>
      </c>
      <c r="B635" s="148">
        <v>20631.0</v>
      </c>
      <c r="C635" s="50">
        <v>72814.0</v>
      </c>
      <c r="D635" s="150"/>
      <c r="E635" s="150"/>
      <c r="F635" s="150"/>
      <c r="G635" s="150"/>
      <c r="H635" s="150"/>
      <c r="I635" s="150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</row>
    <row r="636">
      <c r="A636" s="151">
        <v>1.0</v>
      </c>
      <c r="B636" s="148">
        <v>20632.0</v>
      </c>
      <c r="C636" s="50">
        <v>122920.0</v>
      </c>
      <c r="D636" s="150"/>
      <c r="E636" s="150"/>
      <c r="F636" s="150"/>
      <c r="G636" s="150"/>
      <c r="H636" s="150"/>
      <c r="I636" s="150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</row>
    <row r="637">
      <c r="A637" s="151">
        <v>1.0</v>
      </c>
      <c r="B637" s="156">
        <v>20633.0</v>
      </c>
      <c r="C637" s="50">
        <v>40114.0</v>
      </c>
      <c r="D637" s="150"/>
      <c r="E637" s="150"/>
      <c r="F637" s="150"/>
      <c r="G637" s="150"/>
      <c r="H637" s="150"/>
      <c r="I637" s="150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</row>
    <row r="638">
      <c r="A638" s="151">
        <v>1.0</v>
      </c>
      <c r="B638" s="156">
        <v>20634.0</v>
      </c>
      <c r="C638" s="50">
        <v>41820.0</v>
      </c>
      <c r="D638" s="150"/>
      <c r="E638" s="150"/>
      <c r="F638" s="150"/>
      <c r="G638" s="150"/>
      <c r="H638" s="150"/>
      <c r="I638" s="150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</row>
    <row r="639">
      <c r="A639" s="151">
        <v>0.0</v>
      </c>
      <c r="B639" s="148">
        <v>20635.0</v>
      </c>
      <c r="C639" s="50">
        <v>11720.0</v>
      </c>
      <c r="D639" s="150"/>
      <c r="E639" s="150"/>
      <c r="F639" s="150"/>
      <c r="G639" s="150"/>
      <c r="H639" s="150"/>
      <c r="I639" s="150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</row>
    <row r="640">
      <c r="A640" s="151">
        <v>1.0</v>
      </c>
      <c r="B640" s="148">
        <v>20636.0</v>
      </c>
      <c r="C640" s="50">
        <v>110520.0</v>
      </c>
      <c r="D640" s="150"/>
      <c r="E640" s="150"/>
      <c r="F640" s="150"/>
      <c r="G640" s="150"/>
      <c r="H640" s="150"/>
      <c r="I640" s="150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</row>
    <row r="641">
      <c r="A641" s="151">
        <v>1.0</v>
      </c>
      <c r="B641" s="156">
        <v>20637.0</v>
      </c>
      <c r="C641" s="50">
        <v>51116.0</v>
      </c>
      <c r="D641" s="150"/>
      <c r="E641" s="150"/>
      <c r="F641" s="150"/>
      <c r="G641" s="150"/>
      <c r="H641" s="150"/>
      <c r="I641" s="150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</row>
    <row r="642">
      <c r="A642" s="151">
        <v>0.0</v>
      </c>
      <c r="B642" s="148">
        <v>20638.0</v>
      </c>
      <c r="C642" s="50">
        <v>80722.0</v>
      </c>
      <c r="D642" s="150"/>
      <c r="E642" s="150"/>
      <c r="F642" s="150"/>
      <c r="G642" s="150"/>
      <c r="H642" s="150"/>
      <c r="I642" s="150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</row>
    <row r="643">
      <c r="A643" s="151">
        <v>1.0</v>
      </c>
      <c r="B643" s="148">
        <v>20639.0</v>
      </c>
      <c r="C643" s="50">
        <v>70218.0</v>
      </c>
      <c r="D643" s="150"/>
      <c r="E643" s="150"/>
      <c r="F643" s="150"/>
      <c r="G643" s="150"/>
      <c r="H643" s="150"/>
      <c r="I643" s="150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</row>
    <row r="644">
      <c r="A644" s="151">
        <v>1.0</v>
      </c>
      <c r="B644" s="156">
        <v>20640.0</v>
      </c>
      <c r="C644" s="50">
        <v>31622.0</v>
      </c>
      <c r="D644" s="150"/>
      <c r="E644" s="150"/>
      <c r="F644" s="150"/>
      <c r="G644" s="150"/>
      <c r="H644" s="150"/>
      <c r="I644" s="150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</row>
    <row r="645">
      <c r="A645" s="151">
        <v>0.0</v>
      </c>
      <c r="B645" s="156">
        <v>20641.0</v>
      </c>
      <c r="C645" s="50">
        <v>11820.0</v>
      </c>
      <c r="D645" s="150"/>
      <c r="E645" s="150"/>
      <c r="F645" s="150"/>
      <c r="G645" s="150"/>
      <c r="H645" s="150"/>
      <c r="I645" s="150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</row>
    <row r="646">
      <c r="A646" s="151">
        <v>0.0</v>
      </c>
      <c r="B646" s="148">
        <v>20642.0</v>
      </c>
      <c r="C646" s="50">
        <v>91122.0</v>
      </c>
      <c r="D646" s="150"/>
      <c r="E646" s="150"/>
      <c r="F646" s="150"/>
      <c r="G646" s="150"/>
      <c r="H646" s="150"/>
      <c r="I646" s="150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</row>
    <row r="647">
      <c r="A647" s="151">
        <v>1.0</v>
      </c>
      <c r="B647" s="148">
        <v>20643.0</v>
      </c>
      <c r="C647" s="50">
        <v>103121.0</v>
      </c>
      <c r="D647" s="150"/>
      <c r="E647" s="150"/>
      <c r="F647" s="150"/>
      <c r="G647" s="150"/>
      <c r="H647" s="150"/>
      <c r="I647" s="150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</row>
    <row r="648">
      <c r="A648" s="151">
        <v>1.0</v>
      </c>
      <c r="B648" s="156">
        <v>20644.0</v>
      </c>
      <c r="C648" s="50">
        <v>81914.0</v>
      </c>
      <c r="D648" s="150"/>
      <c r="E648" s="150"/>
      <c r="F648" s="150"/>
      <c r="G648" s="150"/>
      <c r="H648" s="150"/>
      <c r="I648" s="150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</row>
    <row r="649">
      <c r="A649" s="151">
        <v>0.0</v>
      </c>
      <c r="B649" s="156">
        <v>20645.0</v>
      </c>
      <c r="C649" s="50">
        <v>80219.0</v>
      </c>
      <c r="D649" s="150"/>
      <c r="E649" s="150"/>
      <c r="F649" s="150"/>
      <c r="G649" s="150"/>
      <c r="H649" s="150"/>
      <c r="I649" s="150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</row>
    <row r="650">
      <c r="A650" s="151">
        <v>0.0</v>
      </c>
      <c r="B650" s="148">
        <v>20646.0</v>
      </c>
      <c r="C650" s="50">
        <v>112121.0</v>
      </c>
      <c r="D650" s="150"/>
      <c r="E650" s="150"/>
      <c r="F650" s="150"/>
      <c r="G650" s="150"/>
      <c r="H650" s="150"/>
      <c r="I650" s="150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</row>
    <row r="651">
      <c r="A651" s="151">
        <v>0.0</v>
      </c>
      <c r="B651" s="148">
        <v>20647.0</v>
      </c>
      <c r="C651" s="50">
        <v>92917.0</v>
      </c>
      <c r="D651" s="150"/>
      <c r="E651" s="150"/>
      <c r="F651" s="150"/>
      <c r="G651" s="150"/>
      <c r="H651" s="150"/>
      <c r="I651" s="150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</row>
    <row r="652">
      <c r="A652" s="151">
        <v>1.0</v>
      </c>
      <c r="B652" s="156">
        <v>20648.0</v>
      </c>
      <c r="C652" s="50">
        <v>120521.0</v>
      </c>
      <c r="D652" s="150"/>
      <c r="E652" s="150"/>
      <c r="F652" s="150"/>
      <c r="G652" s="150"/>
      <c r="H652" s="150"/>
      <c r="I652" s="150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</row>
    <row r="653">
      <c r="A653" s="151">
        <v>0.0</v>
      </c>
      <c r="B653" s="148">
        <v>20649.0</v>
      </c>
      <c r="C653" s="50">
        <v>51114.0</v>
      </c>
      <c r="D653" s="150"/>
      <c r="E653" s="150"/>
      <c r="F653" s="150"/>
      <c r="G653" s="150"/>
      <c r="H653" s="150"/>
      <c r="I653" s="150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</row>
    <row r="654">
      <c r="A654" s="151">
        <v>1.0</v>
      </c>
      <c r="B654" s="148">
        <v>20650.0</v>
      </c>
      <c r="C654" s="50">
        <v>52515.0</v>
      </c>
      <c r="D654" s="150"/>
      <c r="E654" s="150"/>
      <c r="F654" s="150"/>
      <c r="G654" s="150"/>
      <c r="H654" s="150"/>
      <c r="I654" s="150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</row>
    <row r="655">
      <c r="A655" s="151">
        <v>1.0</v>
      </c>
      <c r="B655" s="156">
        <v>20651.0</v>
      </c>
      <c r="C655" s="50">
        <v>121717.0</v>
      </c>
      <c r="D655" s="150"/>
      <c r="E655" s="150"/>
      <c r="F655" s="150"/>
      <c r="G655" s="150"/>
      <c r="H655" s="150"/>
      <c r="I655" s="150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</row>
    <row r="656">
      <c r="A656" s="151">
        <v>1.0</v>
      </c>
      <c r="B656" s="156">
        <v>20652.0</v>
      </c>
      <c r="C656" s="50">
        <v>92015.0</v>
      </c>
      <c r="D656" s="150"/>
      <c r="E656" s="150"/>
      <c r="F656" s="150"/>
      <c r="G656" s="150"/>
      <c r="H656" s="150"/>
      <c r="I656" s="150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</row>
    <row r="657">
      <c r="A657" s="151">
        <v>1.0</v>
      </c>
      <c r="B657" s="148">
        <v>20653.0</v>
      </c>
      <c r="C657" s="50">
        <v>113020.0</v>
      </c>
      <c r="D657" s="150"/>
      <c r="E657" s="150"/>
      <c r="F657" s="150"/>
      <c r="G657" s="150"/>
      <c r="H657" s="150"/>
      <c r="I657" s="150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</row>
    <row r="658">
      <c r="A658" s="151">
        <v>0.0</v>
      </c>
      <c r="B658" s="148">
        <v>20654.0</v>
      </c>
      <c r="C658" s="50">
        <v>102816.0</v>
      </c>
      <c r="D658" s="150"/>
      <c r="E658" s="150"/>
      <c r="F658" s="150"/>
      <c r="G658" s="150"/>
      <c r="H658" s="150"/>
      <c r="I658" s="150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</row>
    <row r="659">
      <c r="A659" s="151">
        <v>0.0</v>
      </c>
      <c r="B659" s="156">
        <v>20655.0</v>
      </c>
      <c r="C659" s="50">
        <v>72213.0</v>
      </c>
      <c r="D659" s="150"/>
      <c r="E659" s="150"/>
      <c r="F659" s="150"/>
      <c r="G659" s="150"/>
      <c r="H659" s="150"/>
      <c r="I659" s="150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</row>
    <row r="660">
      <c r="A660" s="151">
        <v>1.0</v>
      </c>
      <c r="B660" s="156">
        <v>20656.0</v>
      </c>
      <c r="C660" s="50">
        <v>33016.0</v>
      </c>
      <c r="D660" s="150"/>
      <c r="E660" s="150"/>
      <c r="F660" s="150"/>
      <c r="G660" s="150"/>
      <c r="H660" s="150"/>
      <c r="I660" s="150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</row>
    <row r="661">
      <c r="A661" s="151">
        <v>1.0</v>
      </c>
      <c r="B661" s="148">
        <v>20657.0</v>
      </c>
      <c r="C661" s="50">
        <v>41422.0</v>
      </c>
      <c r="D661" s="150"/>
      <c r="E661" s="150"/>
      <c r="F661" s="150"/>
      <c r="G661" s="150"/>
      <c r="H661" s="150"/>
      <c r="I661" s="150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</row>
    <row r="662">
      <c r="A662" s="151">
        <v>1.0</v>
      </c>
      <c r="B662" s="148">
        <v>20658.0</v>
      </c>
      <c r="C662" s="50">
        <v>110920.0</v>
      </c>
      <c r="D662" s="150"/>
      <c r="E662" s="150"/>
      <c r="F662" s="150"/>
      <c r="G662" s="150"/>
      <c r="H662" s="150"/>
      <c r="I662" s="150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</row>
    <row r="663">
      <c r="A663" s="151">
        <v>1.0</v>
      </c>
      <c r="B663" s="156">
        <v>20659.0</v>
      </c>
      <c r="C663" s="50">
        <v>50420.0</v>
      </c>
      <c r="D663" s="150"/>
      <c r="E663" s="150"/>
      <c r="F663" s="150"/>
      <c r="G663" s="150"/>
      <c r="H663" s="150"/>
      <c r="I663" s="150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</row>
    <row r="664">
      <c r="A664" s="151">
        <v>0.0</v>
      </c>
      <c r="B664" s="148">
        <v>20660.0</v>
      </c>
      <c r="C664" s="50">
        <v>72518.0</v>
      </c>
      <c r="D664" s="150"/>
      <c r="E664" s="150"/>
      <c r="F664" s="150"/>
      <c r="G664" s="150"/>
      <c r="H664" s="150"/>
      <c r="I664" s="150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</row>
    <row r="665">
      <c r="A665" s="151">
        <v>1.0</v>
      </c>
      <c r="B665" s="148">
        <v>20661.0</v>
      </c>
      <c r="C665" s="50">
        <v>30717.0</v>
      </c>
      <c r="D665" s="150"/>
      <c r="E665" s="150"/>
      <c r="F665" s="150"/>
      <c r="G665" s="150"/>
      <c r="H665" s="150"/>
      <c r="I665" s="150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</row>
    <row r="666">
      <c r="A666" s="151">
        <v>0.0</v>
      </c>
      <c r="B666" s="156">
        <v>20662.0</v>
      </c>
      <c r="C666" s="50">
        <v>32819.0</v>
      </c>
      <c r="D666" s="150"/>
      <c r="E666" s="150"/>
      <c r="F666" s="150"/>
      <c r="G666" s="150"/>
      <c r="H666" s="150"/>
      <c r="I666" s="150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</row>
    <row r="667">
      <c r="A667" s="151">
        <v>1.0</v>
      </c>
      <c r="B667" s="156">
        <v>20663.0</v>
      </c>
      <c r="C667" s="50">
        <v>111213.0</v>
      </c>
      <c r="D667" s="150"/>
      <c r="E667" s="150"/>
      <c r="F667" s="150"/>
      <c r="G667" s="150"/>
      <c r="H667" s="150"/>
      <c r="I667" s="150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</row>
    <row r="668">
      <c r="A668" s="151">
        <v>0.0</v>
      </c>
      <c r="B668" s="148">
        <v>20664.0</v>
      </c>
      <c r="C668" s="50">
        <v>111416.0</v>
      </c>
      <c r="D668" s="150"/>
      <c r="E668" s="150"/>
      <c r="F668" s="150"/>
      <c r="G668" s="150"/>
      <c r="H668" s="150"/>
      <c r="I668" s="150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</row>
    <row r="669">
      <c r="A669" s="151">
        <v>1.0</v>
      </c>
      <c r="B669" s="148">
        <v>20665.0</v>
      </c>
      <c r="C669" s="50">
        <v>61817.0</v>
      </c>
      <c r="D669" s="150"/>
      <c r="E669" s="150"/>
      <c r="F669" s="150"/>
      <c r="G669" s="150"/>
      <c r="H669" s="150"/>
      <c r="I669" s="150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</row>
    <row r="670">
      <c r="A670" s="151">
        <v>0.0</v>
      </c>
      <c r="B670" s="156">
        <v>20666.0</v>
      </c>
      <c r="C670" s="50">
        <v>102619.0</v>
      </c>
      <c r="D670" s="150"/>
      <c r="E670" s="150"/>
      <c r="F670" s="150"/>
      <c r="G670" s="150"/>
      <c r="H670" s="150"/>
      <c r="I670" s="150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</row>
    <row r="671">
      <c r="A671" s="151">
        <v>1.0</v>
      </c>
      <c r="B671" s="156">
        <v>20667.0</v>
      </c>
      <c r="C671" s="50">
        <v>70716.0</v>
      </c>
      <c r="D671" s="150"/>
      <c r="E671" s="150"/>
      <c r="F671" s="150"/>
      <c r="G671" s="150"/>
      <c r="H671" s="150"/>
      <c r="I671" s="150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</row>
    <row r="672">
      <c r="A672" s="151">
        <v>0.0</v>
      </c>
      <c r="B672" s="148">
        <v>20668.0</v>
      </c>
      <c r="C672" s="50">
        <v>21417.0</v>
      </c>
      <c r="D672" s="150"/>
      <c r="E672" s="150"/>
      <c r="F672" s="150"/>
      <c r="G672" s="150"/>
      <c r="H672" s="150"/>
      <c r="I672" s="150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</row>
    <row r="673">
      <c r="A673" s="151">
        <v>0.0</v>
      </c>
      <c r="B673" s="148">
        <v>20669.0</v>
      </c>
      <c r="C673" s="50">
        <v>60622.0</v>
      </c>
      <c r="D673" s="150"/>
      <c r="E673" s="150"/>
      <c r="F673" s="150"/>
      <c r="G673" s="150"/>
      <c r="H673" s="150"/>
      <c r="I673" s="150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</row>
    <row r="674">
      <c r="A674" s="151">
        <v>1.0</v>
      </c>
      <c r="B674" s="156">
        <v>20670.0</v>
      </c>
      <c r="C674" s="50">
        <v>51516.0</v>
      </c>
      <c r="D674" s="150"/>
      <c r="E674" s="150"/>
      <c r="F674" s="150"/>
      <c r="G674" s="150"/>
      <c r="H674" s="150"/>
      <c r="I674" s="150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</row>
    <row r="675">
      <c r="A675" s="151">
        <v>0.0</v>
      </c>
      <c r="B675" s="148">
        <v>20671.0</v>
      </c>
      <c r="C675" s="50">
        <v>121818.0</v>
      </c>
      <c r="D675" s="150"/>
      <c r="E675" s="150"/>
      <c r="F675" s="150"/>
      <c r="G675" s="150"/>
      <c r="H675" s="150"/>
      <c r="I675" s="150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</row>
    <row r="676">
      <c r="A676" s="151">
        <v>1.0</v>
      </c>
      <c r="B676" s="148">
        <v>20672.0</v>
      </c>
      <c r="C676" s="50">
        <v>32815.0</v>
      </c>
      <c r="D676" s="150"/>
      <c r="E676" s="150"/>
      <c r="F676" s="150"/>
      <c r="G676" s="150"/>
      <c r="H676" s="150"/>
      <c r="I676" s="150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</row>
    <row r="677">
      <c r="A677" s="151">
        <v>0.0</v>
      </c>
      <c r="B677" s="156">
        <v>20673.0</v>
      </c>
      <c r="C677" s="50">
        <v>123114.0</v>
      </c>
      <c r="D677" s="150"/>
      <c r="E677" s="150"/>
      <c r="F677" s="150"/>
      <c r="G677" s="150"/>
      <c r="H677" s="150"/>
      <c r="I677" s="150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</row>
    <row r="678">
      <c r="A678" s="151">
        <v>1.0</v>
      </c>
      <c r="B678" s="156">
        <v>20674.0</v>
      </c>
      <c r="C678" s="50">
        <v>62422.0</v>
      </c>
      <c r="D678" s="150"/>
      <c r="E678" s="150"/>
      <c r="F678" s="150"/>
      <c r="G678" s="150"/>
      <c r="H678" s="150"/>
      <c r="I678" s="150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</row>
    <row r="679">
      <c r="A679" s="151">
        <v>0.0</v>
      </c>
      <c r="B679" s="148">
        <v>20675.0</v>
      </c>
      <c r="C679" s="50">
        <v>122013.0</v>
      </c>
      <c r="D679" s="150"/>
      <c r="E679" s="150"/>
      <c r="F679" s="150"/>
      <c r="G679" s="150"/>
      <c r="H679" s="150"/>
      <c r="I679" s="150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</row>
    <row r="680">
      <c r="A680" s="151">
        <v>0.0</v>
      </c>
      <c r="B680" s="148">
        <v>20676.0</v>
      </c>
      <c r="C680" s="50">
        <v>101113.0</v>
      </c>
      <c r="D680" s="150"/>
      <c r="E680" s="150"/>
      <c r="F680" s="150"/>
      <c r="G680" s="150"/>
      <c r="H680" s="150"/>
      <c r="I680" s="150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</row>
    <row r="681">
      <c r="A681" s="151">
        <v>1.0</v>
      </c>
      <c r="B681" s="156">
        <v>20677.0</v>
      </c>
      <c r="C681" s="50">
        <v>73022.0</v>
      </c>
      <c r="D681" s="150"/>
      <c r="E681" s="150"/>
      <c r="F681" s="150"/>
      <c r="G681" s="150"/>
      <c r="H681" s="150"/>
      <c r="I681" s="150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</row>
    <row r="682">
      <c r="A682" s="151">
        <v>0.0</v>
      </c>
      <c r="B682" s="156">
        <v>20678.0</v>
      </c>
      <c r="C682" s="50">
        <v>112314.0</v>
      </c>
      <c r="D682" s="150"/>
      <c r="E682" s="150"/>
      <c r="F682" s="150"/>
      <c r="G682" s="150"/>
      <c r="H682" s="150"/>
      <c r="I682" s="150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</row>
    <row r="683">
      <c r="A683" s="151">
        <v>1.0</v>
      </c>
      <c r="B683" s="148">
        <v>20679.0</v>
      </c>
      <c r="C683" s="50">
        <v>61716.0</v>
      </c>
      <c r="D683" s="150"/>
      <c r="E683" s="150"/>
      <c r="F683" s="150"/>
      <c r="G683" s="150"/>
      <c r="H683" s="150"/>
      <c r="I683" s="150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</row>
    <row r="684">
      <c r="A684" s="151">
        <v>1.0</v>
      </c>
      <c r="B684" s="148">
        <v>20680.0</v>
      </c>
      <c r="C684" s="50">
        <v>51313.0</v>
      </c>
      <c r="D684" s="150"/>
      <c r="E684" s="150"/>
      <c r="F684" s="150"/>
      <c r="G684" s="150"/>
      <c r="H684" s="150"/>
      <c r="I684" s="150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</row>
    <row r="685">
      <c r="A685" s="151">
        <v>1.0</v>
      </c>
      <c r="B685" s="156">
        <v>20681.0</v>
      </c>
      <c r="C685" s="50">
        <v>52620.0</v>
      </c>
      <c r="D685" s="150"/>
      <c r="E685" s="150"/>
      <c r="F685" s="150"/>
      <c r="G685" s="150"/>
      <c r="H685" s="150"/>
      <c r="I685" s="150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</row>
    <row r="686">
      <c r="A686" s="151">
        <v>1.0</v>
      </c>
      <c r="B686" s="148">
        <v>20682.0</v>
      </c>
      <c r="C686" s="50">
        <v>112113.0</v>
      </c>
      <c r="D686" s="150"/>
      <c r="E686" s="150"/>
      <c r="F686" s="150"/>
      <c r="G686" s="150"/>
      <c r="H686" s="150"/>
      <c r="I686" s="150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</row>
    <row r="687">
      <c r="A687" s="151">
        <v>0.0</v>
      </c>
      <c r="B687" s="148">
        <v>20683.0</v>
      </c>
      <c r="C687" s="50">
        <v>72416.0</v>
      </c>
      <c r="D687" s="150"/>
      <c r="E687" s="150"/>
      <c r="F687" s="150"/>
      <c r="G687" s="150"/>
      <c r="H687" s="150"/>
      <c r="I687" s="150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</row>
    <row r="688">
      <c r="A688" s="151">
        <v>1.0</v>
      </c>
      <c r="B688" s="156">
        <v>20684.0</v>
      </c>
      <c r="C688" s="50">
        <v>70622.0</v>
      </c>
      <c r="D688" s="150"/>
      <c r="E688" s="150"/>
      <c r="F688" s="150"/>
      <c r="G688" s="150"/>
      <c r="H688" s="150"/>
      <c r="I688" s="150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</row>
    <row r="689">
      <c r="A689" s="151">
        <v>0.0</v>
      </c>
      <c r="B689" s="156">
        <v>20685.0</v>
      </c>
      <c r="C689" s="50">
        <v>50621.0</v>
      </c>
      <c r="D689" s="150"/>
      <c r="E689" s="150"/>
      <c r="F689" s="150"/>
      <c r="G689" s="150"/>
      <c r="H689" s="150"/>
      <c r="I689" s="150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</row>
    <row r="690">
      <c r="A690" s="151">
        <v>1.0</v>
      </c>
      <c r="B690" s="148">
        <v>20686.0</v>
      </c>
      <c r="C690" s="50">
        <v>72022.0</v>
      </c>
      <c r="D690" s="150"/>
      <c r="E690" s="150"/>
      <c r="F690" s="150"/>
      <c r="G690" s="150"/>
      <c r="H690" s="150"/>
      <c r="I690" s="150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</row>
    <row r="691">
      <c r="A691" s="151">
        <v>0.0</v>
      </c>
      <c r="B691" s="148">
        <v>20687.0</v>
      </c>
      <c r="C691" s="50">
        <v>13120.0</v>
      </c>
      <c r="D691" s="150"/>
      <c r="E691" s="150"/>
      <c r="F691" s="150"/>
      <c r="G691" s="150"/>
      <c r="H691" s="150"/>
      <c r="I691" s="150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</row>
    <row r="692">
      <c r="A692" s="151">
        <v>1.0</v>
      </c>
      <c r="B692" s="156">
        <v>20688.0</v>
      </c>
      <c r="C692" s="50">
        <v>72619.0</v>
      </c>
      <c r="D692" s="150"/>
      <c r="E692" s="150"/>
      <c r="F692" s="150"/>
      <c r="G692" s="150"/>
      <c r="H692" s="150"/>
      <c r="I692" s="150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</row>
    <row r="693">
      <c r="A693" s="151">
        <v>0.0</v>
      </c>
      <c r="B693" s="156">
        <v>20689.0</v>
      </c>
      <c r="C693" s="50">
        <v>61118.0</v>
      </c>
      <c r="D693" s="150"/>
      <c r="E693" s="150"/>
      <c r="F693" s="150"/>
      <c r="G693" s="150"/>
      <c r="H693" s="150"/>
      <c r="I693" s="150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</row>
    <row r="694">
      <c r="A694" s="151">
        <v>0.0</v>
      </c>
      <c r="B694" s="148">
        <v>20690.0</v>
      </c>
      <c r="C694" s="50">
        <v>70816.0</v>
      </c>
      <c r="D694" s="150"/>
      <c r="E694" s="150"/>
      <c r="F694" s="150"/>
      <c r="G694" s="150"/>
      <c r="H694" s="150"/>
      <c r="I694" s="150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</row>
    <row r="695">
      <c r="A695" s="151">
        <v>0.0</v>
      </c>
      <c r="B695" s="148">
        <v>20691.0</v>
      </c>
      <c r="C695" s="50">
        <v>91916.0</v>
      </c>
      <c r="D695" s="150"/>
      <c r="E695" s="150"/>
      <c r="F695" s="150"/>
      <c r="G695" s="150"/>
      <c r="H695" s="150"/>
      <c r="I695" s="150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</row>
    <row r="696">
      <c r="A696" s="151">
        <v>1.0</v>
      </c>
      <c r="B696" s="156">
        <v>20692.0</v>
      </c>
      <c r="C696" s="50">
        <v>10715.0</v>
      </c>
      <c r="D696" s="150"/>
      <c r="E696" s="150"/>
      <c r="F696" s="150"/>
      <c r="G696" s="150"/>
      <c r="H696" s="150"/>
      <c r="I696" s="150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</row>
    <row r="697">
      <c r="A697" s="151">
        <v>1.0</v>
      </c>
      <c r="B697" s="148">
        <v>20693.0</v>
      </c>
      <c r="C697" s="50">
        <v>10714.0</v>
      </c>
      <c r="D697" s="150"/>
      <c r="E697" s="150"/>
      <c r="F697" s="150"/>
      <c r="G697" s="150"/>
      <c r="H697" s="150"/>
      <c r="I697" s="150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</row>
    <row r="698">
      <c r="A698" s="151">
        <v>1.0</v>
      </c>
      <c r="B698" s="148">
        <v>20694.0</v>
      </c>
      <c r="C698" s="50">
        <v>112918.0</v>
      </c>
      <c r="D698" s="150"/>
      <c r="E698" s="150"/>
      <c r="F698" s="150"/>
      <c r="G698" s="150"/>
      <c r="H698" s="150"/>
      <c r="I698" s="150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</row>
    <row r="699">
      <c r="A699" s="151">
        <v>1.0</v>
      </c>
      <c r="B699" s="156">
        <v>20695.0</v>
      </c>
      <c r="C699" s="50">
        <v>12422.0</v>
      </c>
      <c r="D699" s="150"/>
      <c r="E699" s="150"/>
      <c r="F699" s="150"/>
      <c r="G699" s="150"/>
      <c r="H699" s="150"/>
      <c r="I699" s="150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</row>
    <row r="700">
      <c r="A700" s="151">
        <v>0.0</v>
      </c>
      <c r="B700" s="156">
        <v>20696.0</v>
      </c>
      <c r="C700" s="50">
        <v>92613.0</v>
      </c>
      <c r="D700" s="150"/>
      <c r="E700" s="150"/>
      <c r="F700" s="150"/>
      <c r="G700" s="150"/>
      <c r="H700" s="150"/>
      <c r="I700" s="150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</row>
    <row r="701">
      <c r="A701" s="151">
        <v>1.0</v>
      </c>
      <c r="B701" s="148">
        <v>20697.0</v>
      </c>
      <c r="C701" s="50">
        <v>30117.0</v>
      </c>
      <c r="D701" s="150"/>
      <c r="E701" s="150"/>
      <c r="F701" s="150"/>
      <c r="G701" s="150"/>
      <c r="H701" s="150"/>
      <c r="I701" s="150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</row>
    <row r="702">
      <c r="A702" s="151">
        <v>1.0</v>
      </c>
      <c r="B702" s="148">
        <v>20698.0</v>
      </c>
      <c r="C702" s="50">
        <v>120215.0</v>
      </c>
      <c r="D702" s="150"/>
      <c r="E702" s="150"/>
      <c r="F702" s="150"/>
      <c r="G702" s="150"/>
      <c r="H702" s="150"/>
      <c r="I702" s="150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</row>
    <row r="703">
      <c r="A703" s="151">
        <v>1.0</v>
      </c>
      <c r="B703" s="156">
        <v>20699.0</v>
      </c>
      <c r="C703" s="50">
        <v>92013.0</v>
      </c>
      <c r="D703" s="150"/>
      <c r="E703" s="150"/>
      <c r="F703" s="150"/>
      <c r="G703" s="150"/>
      <c r="H703" s="150"/>
      <c r="I703" s="150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</row>
    <row r="704">
      <c r="A704" s="151">
        <v>1.0</v>
      </c>
      <c r="B704" s="156">
        <v>20700.0</v>
      </c>
      <c r="C704" s="50">
        <v>51617.0</v>
      </c>
      <c r="D704" s="150"/>
      <c r="E704" s="150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</row>
    <row r="705">
      <c r="A705" s="151">
        <v>1.0</v>
      </c>
      <c r="B705" s="148">
        <v>20701.0</v>
      </c>
      <c r="C705" s="50">
        <v>31915.0</v>
      </c>
      <c r="D705" s="150"/>
      <c r="E705" s="150"/>
      <c r="F705" s="150"/>
      <c r="G705" s="150"/>
      <c r="H705" s="150"/>
      <c r="I705" s="150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</row>
    <row r="706">
      <c r="A706" s="151">
        <v>1.0</v>
      </c>
      <c r="B706" s="148">
        <v>20702.0</v>
      </c>
      <c r="C706" s="50">
        <v>110713.0</v>
      </c>
      <c r="D706" s="150"/>
      <c r="E706" s="150"/>
      <c r="F706" s="150"/>
      <c r="G706" s="150"/>
      <c r="H706" s="150"/>
      <c r="I706" s="150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</row>
    <row r="707">
      <c r="A707" s="151">
        <v>1.0</v>
      </c>
      <c r="B707" s="156">
        <v>20703.0</v>
      </c>
      <c r="C707" s="50">
        <v>33116.0</v>
      </c>
      <c r="D707" s="150"/>
      <c r="E707" s="150"/>
      <c r="F707" s="150"/>
      <c r="G707" s="150"/>
      <c r="H707" s="150"/>
      <c r="I707" s="150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</row>
    <row r="708">
      <c r="A708" s="151">
        <v>1.0</v>
      </c>
      <c r="B708" s="148">
        <v>20704.0</v>
      </c>
      <c r="C708" s="50">
        <v>22217.0</v>
      </c>
      <c r="D708" s="150"/>
      <c r="E708" s="150"/>
      <c r="F708" s="150"/>
      <c r="G708" s="150"/>
      <c r="H708" s="150"/>
      <c r="I708" s="150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</row>
    <row r="709">
      <c r="A709" s="151">
        <v>1.0</v>
      </c>
      <c r="B709" s="148">
        <v>20705.0</v>
      </c>
      <c r="C709" s="50">
        <v>81222.0</v>
      </c>
      <c r="D709" s="150"/>
      <c r="E709" s="150"/>
      <c r="F709" s="150"/>
      <c r="G709" s="150"/>
      <c r="H709" s="150"/>
      <c r="I709" s="150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</row>
    <row r="710">
      <c r="A710" s="151">
        <v>0.0</v>
      </c>
      <c r="B710" s="156">
        <v>20706.0</v>
      </c>
      <c r="C710" s="50">
        <v>50917.0</v>
      </c>
      <c r="D710" s="150"/>
      <c r="E710" s="150"/>
      <c r="F710" s="150"/>
      <c r="G710" s="150"/>
      <c r="H710" s="150"/>
      <c r="I710" s="150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</row>
    <row r="711">
      <c r="A711" s="151">
        <v>1.0</v>
      </c>
      <c r="B711" s="156">
        <v>20707.0</v>
      </c>
      <c r="C711" s="50">
        <v>42817.0</v>
      </c>
      <c r="D711" s="150"/>
      <c r="E711" s="150"/>
      <c r="F711" s="150"/>
      <c r="G711" s="150"/>
      <c r="H711" s="150"/>
      <c r="I711" s="150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</row>
    <row r="712">
      <c r="A712" s="151">
        <v>0.0</v>
      </c>
      <c r="B712" s="148">
        <v>20708.0</v>
      </c>
      <c r="C712" s="50">
        <v>11816.0</v>
      </c>
      <c r="D712" s="150"/>
      <c r="E712" s="150"/>
      <c r="F712" s="150"/>
      <c r="G712" s="150"/>
      <c r="H712" s="150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</row>
    <row r="713">
      <c r="A713" s="151">
        <v>0.0</v>
      </c>
      <c r="B713" s="148">
        <v>20709.0</v>
      </c>
      <c r="C713" s="50">
        <v>91822.0</v>
      </c>
      <c r="D713" s="150"/>
      <c r="E713" s="150"/>
      <c r="F713" s="150"/>
      <c r="G713" s="150"/>
      <c r="H713" s="150"/>
      <c r="I713" s="150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</row>
    <row r="714">
      <c r="A714" s="151">
        <v>1.0</v>
      </c>
      <c r="B714" s="156">
        <v>20710.0</v>
      </c>
      <c r="C714" s="50">
        <v>113018.0</v>
      </c>
      <c r="D714" s="150"/>
      <c r="E714" s="150"/>
      <c r="F714" s="150"/>
      <c r="G714" s="150"/>
      <c r="H714" s="150"/>
      <c r="I714" s="150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</row>
    <row r="715">
      <c r="A715" s="151">
        <v>1.0</v>
      </c>
      <c r="B715" s="156">
        <v>20711.0</v>
      </c>
      <c r="C715" s="50">
        <v>111622.0</v>
      </c>
      <c r="D715" s="150"/>
      <c r="E715" s="150"/>
      <c r="F715" s="150"/>
      <c r="G715" s="150"/>
      <c r="H715" s="150"/>
      <c r="I715" s="150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</row>
    <row r="716">
      <c r="A716" s="151">
        <v>1.0</v>
      </c>
      <c r="B716" s="148">
        <v>20712.0</v>
      </c>
      <c r="C716" s="50">
        <v>71922.0</v>
      </c>
      <c r="D716" s="150"/>
      <c r="E716" s="150"/>
      <c r="F716" s="150"/>
      <c r="G716" s="150"/>
      <c r="H716" s="150"/>
      <c r="I716" s="150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</row>
    <row r="717">
      <c r="A717" s="151">
        <v>0.0</v>
      </c>
      <c r="B717" s="148">
        <v>20713.0</v>
      </c>
      <c r="C717" s="50">
        <v>40321.0</v>
      </c>
      <c r="D717" s="150"/>
      <c r="E717" s="150"/>
      <c r="F717" s="150"/>
      <c r="G717" s="150"/>
      <c r="H717" s="150"/>
      <c r="I717" s="150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</row>
    <row r="718">
      <c r="A718" s="151">
        <v>0.0</v>
      </c>
      <c r="B718" s="156">
        <v>20714.0</v>
      </c>
      <c r="C718" s="50">
        <v>50617.0</v>
      </c>
      <c r="D718" s="150"/>
      <c r="E718" s="150"/>
      <c r="F718" s="150"/>
      <c r="G718" s="150"/>
      <c r="H718" s="150"/>
      <c r="I718" s="150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</row>
    <row r="719">
      <c r="A719" s="151">
        <v>0.0</v>
      </c>
      <c r="B719" s="148">
        <v>20715.0</v>
      </c>
      <c r="C719" s="50">
        <v>42315.0</v>
      </c>
      <c r="D719" s="150"/>
      <c r="E719" s="150"/>
      <c r="F719" s="150"/>
      <c r="G719" s="150"/>
      <c r="H719" s="150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</row>
    <row r="720">
      <c r="A720" s="151">
        <v>0.0</v>
      </c>
      <c r="B720" s="148">
        <v>20716.0</v>
      </c>
      <c r="C720" s="50">
        <v>83118.0</v>
      </c>
      <c r="D720" s="150"/>
      <c r="E720" s="150"/>
      <c r="F720" s="150"/>
      <c r="G720" s="150"/>
      <c r="H720" s="150"/>
      <c r="I720" s="150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</row>
    <row r="721">
      <c r="A721" s="151">
        <v>1.0</v>
      </c>
      <c r="B721" s="156">
        <v>20717.0</v>
      </c>
      <c r="C721" s="50">
        <v>31322.0</v>
      </c>
      <c r="D721" s="150"/>
      <c r="E721" s="150"/>
      <c r="F721" s="150"/>
      <c r="G721" s="150"/>
      <c r="H721" s="150"/>
      <c r="I721" s="150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</row>
    <row r="722">
      <c r="A722" s="151">
        <v>1.0</v>
      </c>
      <c r="B722" s="156">
        <v>20718.0</v>
      </c>
      <c r="C722" s="50">
        <v>71822.0</v>
      </c>
      <c r="D722" s="150"/>
      <c r="E722" s="150"/>
      <c r="F722" s="150"/>
      <c r="G722" s="150"/>
      <c r="H722" s="150"/>
      <c r="I722" s="150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</row>
    <row r="723">
      <c r="A723" s="151">
        <v>0.0</v>
      </c>
      <c r="B723" s="148">
        <v>20719.0</v>
      </c>
      <c r="C723" s="50">
        <v>82916.0</v>
      </c>
      <c r="D723" s="150"/>
      <c r="E723" s="150"/>
      <c r="F723" s="150"/>
      <c r="G723" s="150"/>
      <c r="H723" s="150"/>
      <c r="I723" s="150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</row>
    <row r="724">
      <c r="A724" s="151">
        <v>0.0</v>
      </c>
      <c r="B724" s="148">
        <v>20720.0</v>
      </c>
      <c r="C724" s="50">
        <v>51422.0</v>
      </c>
      <c r="D724" s="150"/>
      <c r="E724" s="150"/>
      <c r="F724" s="150"/>
      <c r="G724" s="150"/>
      <c r="H724" s="150"/>
      <c r="I724" s="150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</row>
    <row r="725">
      <c r="A725" s="151">
        <v>0.0</v>
      </c>
      <c r="B725" s="156">
        <v>20721.0</v>
      </c>
      <c r="C725" s="50">
        <v>81715.0</v>
      </c>
      <c r="D725" s="150"/>
      <c r="E725" s="150"/>
      <c r="F725" s="150"/>
      <c r="G725" s="150"/>
      <c r="H725" s="150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</row>
    <row r="726">
      <c r="A726" s="151">
        <v>1.0</v>
      </c>
      <c r="B726" s="156">
        <v>20722.0</v>
      </c>
      <c r="C726" s="50">
        <v>42314.0</v>
      </c>
      <c r="D726" s="150"/>
      <c r="E726" s="150"/>
      <c r="F726" s="150"/>
      <c r="G726" s="150"/>
      <c r="H726" s="150"/>
      <c r="I726" s="150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</row>
    <row r="727">
      <c r="A727" s="151">
        <v>0.0</v>
      </c>
      <c r="B727" s="148">
        <v>20723.0</v>
      </c>
      <c r="C727" s="50">
        <v>20914.0</v>
      </c>
      <c r="D727" s="150"/>
      <c r="E727" s="150"/>
      <c r="F727" s="150"/>
      <c r="G727" s="150"/>
      <c r="H727" s="150"/>
      <c r="I727" s="150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</row>
    <row r="728">
      <c r="A728" s="151">
        <v>1.0</v>
      </c>
      <c r="B728" s="148">
        <v>20724.0</v>
      </c>
      <c r="C728" s="50">
        <v>13018.0</v>
      </c>
      <c r="D728" s="150"/>
      <c r="E728" s="150"/>
      <c r="F728" s="150"/>
      <c r="G728" s="150"/>
      <c r="H728" s="150"/>
      <c r="I728" s="150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</row>
    <row r="729">
      <c r="A729" s="151">
        <v>1.0</v>
      </c>
      <c r="B729" s="156">
        <v>20725.0</v>
      </c>
      <c r="C729" s="50">
        <v>71014.0</v>
      </c>
      <c r="D729" s="150"/>
      <c r="E729" s="150"/>
      <c r="F729" s="150"/>
      <c r="G729" s="150"/>
      <c r="H729" s="150"/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</row>
    <row r="730">
      <c r="A730" s="151">
        <v>1.0</v>
      </c>
      <c r="B730" s="148">
        <v>20726.0</v>
      </c>
      <c r="C730" s="50">
        <v>20816.0</v>
      </c>
      <c r="D730" s="150"/>
      <c r="E730" s="150"/>
      <c r="F730" s="150"/>
      <c r="G730" s="150"/>
      <c r="H730" s="150"/>
      <c r="I730" s="150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</row>
    <row r="731">
      <c r="A731" s="151">
        <v>1.0</v>
      </c>
      <c r="B731" s="148">
        <v>20727.0</v>
      </c>
      <c r="C731" s="50">
        <v>50920.0</v>
      </c>
      <c r="D731" s="150"/>
      <c r="E731" s="150"/>
      <c r="F731" s="150"/>
      <c r="G731" s="150"/>
      <c r="H731" s="150"/>
      <c r="I731" s="150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</row>
    <row r="732">
      <c r="A732" s="151">
        <v>1.0</v>
      </c>
      <c r="B732" s="156">
        <v>20728.0</v>
      </c>
      <c r="C732" s="50">
        <v>31919.0</v>
      </c>
      <c r="D732" s="150"/>
      <c r="E732" s="150"/>
      <c r="F732" s="150"/>
      <c r="G732" s="150"/>
      <c r="H732" s="150"/>
      <c r="I732" s="150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</row>
    <row r="733">
      <c r="A733" s="151">
        <v>1.0</v>
      </c>
      <c r="B733" s="156">
        <v>20729.0</v>
      </c>
      <c r="C733" s="50">
        <v>123022.0</v>
      </c>
      <c r="D733" s="150"/>
      <c r="E733" s="150"/>
      <c r="F733" s="150"/>
      <c r="G733" s="150"/>
      <c r="H733" s="150"/>
      <c r="I733" s="150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</row>
    <row r="734">
      <c r="A734" s="151">
        <v>1.0</v>
      </c>
      <c r="B734" s="148">
        <v>20730.0</v>
      </c>
      <c r="C734" s="50">
        <v>30722.0</v>
      </c>
      <c r="D734" s="150"/>
      <c r="E734" s="150"/>
      <c r="F734" s="150"/>
      <c r="G734" s="150"/>
      <c r="H734" s="150"/>
      <c r="I734" s="150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</row>
    <row r="735">
      <c r="A735" s="151">
        <v>0.0</v>
      </c>
      <c r="B735" s="148">
        <v>20731.0</v>
      </c>
      <c r="C735" s="50">
        <v>103013.0</v>
      </c>
      <c r="D735" s="150"/>
      <c r="E735" s="150"/>
      <c r="F735" s="150"/>
      <c r="G735" s="150"/>
      <c r="H735" s="150"/>
      <c r="I735" s="150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</row>
    <row r="736">
      <c r="A736" s="151">
        <v>1.0</v>
      </c>
      <c r="B736" s="156">
        <v>20732.0</v>
      </c>
      <c r="C736" s="50">
        <v>40313.0</v>
      </c>
      <c r="D736" s="150"/>
      <c r="E736" s="150"/>
      <c r="F736" s="150"/>
      <c r="G736" s="150"/>
      <c r="H736" s="150"/>
      <c r="I736" s="150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</row>
    <row r="737">
      <c r="A737" s="151">
        <v>1.0</v>
      </c>
      <c r="B737" s="156">
        <v>20733.0</v>
      </c>
      <c r="C737" s="50">
        <v>31122.0</v>
      </c>
      <c r="D737" s="150"/>
      <c r="E737" s="150"/>
      <c r="F737" s="150"/>
      <c r="G737" s="150"/>
      <c r="H737" s="150"/>
      <c r="I737" s="150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</row>
    <row r="738">
      <c r="A738" s="151">
        <v>1.0</v>
      </c>
      <c r="B738" s="148">
        <v>20734.0</v>
      </c>
      <c r="C738" s="50">
        <v>92919.0</v>
      </c>
      <c r="D738" s="150"/>
      <c r="E738" s="150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</row>
    <row r="739">
      <c r="A739" s="151">
        <v>1.0</v>
      </c>
      <c r="B739" s="148">
        <v>20735.0</v>
      </c>
      <c r="C739" s="50">
        <v>122514.0</v>
      </c>
      <c r="D739" s="150"/>
      <c r="E739" s="150"/>
      <c r="F739" s="150"/>
      <c r="G739" s="150"/>
      <c r="H739" s="150"/>
      <c r="I739" s="150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</row>
    <row r="740">
      <c r="A740" s="151">
        <v>0.0</v>
      </c>
      <c r="B740" s="156">
        <v>20736.0</v>
      </c>
      <c r="C740" s="50">
        <v>33014.0</v>
      </c>
      <c r="D740" s="150"/>
      <c r="E740" s="150"/>
      <c r="F740" s="150"/>
      <c r="G740" s="150"/>
      <c r="H740" s="150"/>
      <c r="I740" s="150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</row>
    <row r="741">
      <c r="A741" s="151">
        <v>0.0</v>
      </c>
      <c r="B741" s="148">
        <v>20737.0</v>
      </c>
      <c r="C741" s="50">
        <v>72215.0</v>
      </c>
      <c r="D741" s="150"/>
      <c r="E741" s="150"/>
      <c r="F741" s="150"/>
      <c r="G741" s="150"/>
      <c r="H741" s="150"/>
      <c r="I741" s="150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</row>
    <row r="742">
      <c r="A742" s="151">
        <v>0.0</v>
      </c>
      <c r="B742" s="148">
        <v>20738.0</v>
      </c>
      <c r="C742" s="50">
        <v>101622.0</v>
      </c>
      <c r="D742" s="150"/>
      <c r="E742" s="150"/>
      <c r="F742" s="150"/>
      <c r="G742" s="150"/>
      <c r="H742" s="150"/>
      <c r="I742" s="150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</row>
    <row r="743">
      <c r="A743" s="151">
        <v>0.0</v>
      </c>
      <c r="B743" s="156">
        <v>20739.0</v>
      </c>
      <c r="C743" s="50">
        <v>21314.0</v>
      </c>
      <c r="D743" s="150"/>
      <c r="E743" s="150"/>
      <c r="F743" s="150"/>
      <c r="G743" s="150"/>
      <c r="H743" s="150"/>
      <c r="I743" s="150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</row>
    <row r="744">
      <c r="A744" s="151">
        <v>0.0</v>
      </c>
      <c r="B744" s="156">
        <v>20740.0</v>
      </c>
      <c r="C744" s="50">
        <v>60322.0</v>
      </c>
      <c r="D744" s="150"/>
      <c r="E744" s="150"/>
      <c r="F744" s="150"/>
      <c r="G744" s="150"/>
      <c r="H744" s="150"/>
      <c r="I744" s="150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</row>
    <row r="745">
      <c r="A745" s="151">
        <v>0.0</v>
      </c>
      <c r="B745" s="148">
        <v>20741.0</v>
      </c>
      <c r="C745" s="50">
        <v>90219.0</v>
      </c>
      <c r="D745" s="150"/>
      <c r="E745" s="150"/>
      <c r="F745" s="150"/>
      <c r="G745" s="150"/>
      <c r="H745" s="150"/>
      <c r="I745" s="150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</row>
    <row r="746">
      <c r="A746" s="151">
        <v>0.0</v>
      </c>
      <c r="B746" s="148">
        <v>20742.0</v>
      </c>
      <c r="C746" s="50">
        <v>90517.0</v>
      </c>
      <c r="D746" s="150"/>
      <c r="E746" s="150"/>
      <c r="F746" s="150"/>
      <c r="G746" s="150"/>
      <c r="H746" s="150"/>
      <c r="I746" s="150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</row>
    <row r="747">
      <c r="A747" s="151">
        <v>0.0</v>
      </c>
      <c r="B747" s="156">
        <v>20743.0</v>
      </c>
      <c r="C747" s="50">
        <v>110817.0</v>
      </c>
      <c r="D747" s="150"/>
      <c r="E747" s="150"/>
      <c r="F747" s="150"/>
      <c r="G747" s="150"/>
      <c r="H747" s="150"/>
      <c r="I747" s="150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</row>
    <row r="748">
      <c r="A748" s="151">
        <v>0.0</v>
      </c>
      <c r="B748" s="156">
        <v>20744.0</v>
      </c>
      <c r="C748" s="50">
        <v>11717.0</v>
      </c>
      <c r="D748" s="150"/>
      <c r="E748" s="150"/>
      <c r="F748" s="150"/>
      <c r="G748" s="150"/>
      <c r="H748" s="150"/>
      <c r="I748" s="150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</row>
    <row r="749">
      <c r="A749" s="151">
        <v>0.0</v>
      </c>
      <c r="B749" s="148">
        <v>20745.0</v>
      </c>
      <c r="C749" s="50">
        <v>70217.0</v>
      </c>
      <c r="D749" s="150"/>
      <c r="E749" s="150"/>
      <c r="F749" s="150"/>
      <c r="G749" s="150"/>
      <c r="H749" s="150"/>
      <c r="I749" s="150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</row>
    <row r="750">
      <c r="A750" s="151">
        <v>1.0</v>
      </c>
      <c r="B750" s="148">
        <v>20746.0</v>
      </c>
      <c r="C750" s="50">
        <v>81813.0</v>
      </c>
      <c r="D750" s="150"/>
      <c r="E750" s="150"/>
      <c r="F750" s="150"/>
      <c r="G750" s="150"/>
      <c r="H750" s="150"/>
      <c r="I750" s="150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</row>
    <row r="751">
      <c r="A751" s="151">
        <v>0.0</v>
      </c>
      <c r="B751" s="156">
        <v>20747.0</v>
      </c>
      <c r="C751" s="50">
        <v>101220.0</v>
      </c>
      <c r="D751" s="150"/>
      <c r="E751" s="150"/>
      <c r="F751" s="150"/>
      <c r="G751" s="150"/>
      <c r="H751" s="150"/>
      <c r="I751" s="150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</row>
    <row r="752">
      <c r="A752" s="151">
        <v>1.0</v>
      </c>
      <c r="B752" s="148">
        <v>20748.0</v>
      </c>
      <c r="C752" s="50">
        <v>20317.0</v>
      </c>
      <c r="D752" s="150"/>
      <c r="E752" s="150"/>
      <c r="F752" s="150"/>
      <c r="G752" s="150"/>
      <c r="H752" s="150"/>
      <c r="I752" s="150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</row>
    <row r="753">
      <c r="A753" s="151">
        <v>0.0</v>
      </c>
      <c r="B753" s="148">
        <v>20749.0</v>
      </c>
      <c r="C753" s="50">
        <v>80122.0</v>
      </c>
      <c r="D753" s="150"/>
      <c r="E753" s="150"/>
      <c r="F753" s="150"/>
      <c r="G753" s="150"/>
      <c r="H753" s="150"/>
      <c r="I753" s="150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</row>
    <row r="754">
      <c r="A754" s="151">
        <v>1.0</v>
      </c>
      <c r="B754" s="156">
        <v>20750.0</v>
      </c>
      <c r="C754" s="50">
        <v>42514.0</v>
      </c>
      <c r="D754" s="150"/>
      <c r="E754" s="150"/>
      <c r="F754" s="150"/>
      <c r="G754" s="150"/>
      <c r="H754" s="150"/>
      <c r="I754" s="150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</row>
    <row r="755">
      <c r="A755" s="151">
        <v>0.0</v>
      </c>
      <c r="B755" s="156">
        <v>20751.0</v>
      </c>
      <c r="C755" s="50">
        <v>52319.0</v>
      </c>
      <c r="D755" s="150"/>
      <c r="E755" s="150"/>
      <c r="F755" s="150"/>
      <c r="G755" s="150"/>
      <c r="H755" s="150"/>
      <c r="I755" s="150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</row>
    <row r="756">
      <c r="A756" s="151">
        <v>0.0</v>
      </c>
      <c r="B756" s="148">
        <v>20752.0</v>
      </c>
      <c r="C756" s="50">
        <v>111116.0</v>
      </c>
      <c r="D756" s="150"/>
      <c r="E756" s="150"/>
      <c r="F756" s="150"/>
      <c r="G756" s="150"/>
      <c r="H756" s="150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</row>
    <row r="757">
      <c r="A757" s="151">
        <v>0.0</v>
      </c>
      <c r="B757" s="148">
        <v>20753.0</v>
      </c>
      <c r="C757" s="50">
        <v>42819.0</v>
      </c>
      <c r="D757" s="150"/>
      <c r="E757" s="150"/>
      <c r="F757" s="150"/>
      <c r="G757" s="150"/>
      <c r="H757" s="150"/>
      <c r="I757" s="150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</row>
    <row r="758">
      <c r="A758" s="151">
        <v>0.0</v>
      </c>
      <c r="B758" s="156">
        <v>20754.0</v>
      </c>
      <c r="C758" s="50">
        <v>122816.0</v>
      </c>
      <c r="D758" s="150"/>
      <c r="E758" s="150"/>
      <c r="F758" s="150"/>
      <c r="G758" s="150"/>
      <c r="H758" s="150"/>
      <c r="I758" s="150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</row>
    <row r="759">
      <c r="A759" s="151">
        <v>0.0</v>
      </c>
      <c r="B759" s="156">
        <v>20755.0</v>
      </c>
      <c r="C759" s="50">
        <v>30219.0</v>
      </c>
      <c r="D759" s="150"/>
      <c r="E759" s="150"/>
      <c r="F759" s="150"/>
      <c r="G759" s="150"/>
      <c r="H759" s="150"/>
      <c r="I759" s="150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</row>
    <row r="760">
      <c r="A760" s="151">
        <v>1.0</v>
      </c>
      <c r="B760" s="148">
        <v>20756.0</v>
      </c>
      <c r="C760" s="50">
        <v>51919.0</v>
      </c>
      <c r="D760" s="150"/>
      <c r="E760" s="150"/>
      <c r="F760" s="150"/>
      <c r="G760" s="150"/>
      <c r="H760" s="150"/>
      <c r="I760" s="150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</row>
    <row r="761">
      <c r="A761" s="151">
        <v>0.0</v>
      </c>
      <c r="B761" s="148">
        <v>20757.0</v>
      </c>
      <c r="C761" s="50">
        <v>52019.0</v>
      </c>
      <c r="D761" s="150"/>
      <c r="E761" s="150"/>
      <c r="F761" s="150"/>
      <c r="G761" s="150"/>
      <c r="H761" s="150"/>
      <c r="I761" s="150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</row>
    <row r="762">
      <c r="A762" s="151">
        <v>1.0</v>
      </c>
      <c r="B762" s="156">
        <v>20758.0</v>
      </c>
      <c r="C762" s="50">
        <v>113021.0</v>
      </c>
      <c r="D762" s="150"/>
      <c r="E762" s="150"/>
      <c r="F762" s="150"/>
      <c r="G762" s="150"/>
      <c r="H762" s="150"/>
      <c r="I762" s="150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</row>
    <row r="763">
      <c r="A763" s="151">
        <v>1.0</v>
      </c>
      <c r="B763" s="148">
        <v>20759.0</v>
      </c>
      <c r="C763" s="50">
        <v>42619.0</v>
      </c>
      <c r="D763" s="150"/>
      <c r="E763" s="150"/>
      <c r="F763" s="150"/>
      <c r="G763" s="150"/>
      <c r="H763" s="150"/>
      <c r="I763" s="150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</row>
    <row r="764">
      <c r="A764" s="151">
        <v>0.0</v>
      </c>
      <c r="B764" s="148">
        <v>20760.0</v>
      </c>
      <c r="C764" s="50">
        <v>71814.0</v>
      </c>
      <c r="D764" s="150"/>
      <c r="E764" s="150"/>
      <c r="F764" s="150"/>
      <c r="G764" s="150"/>
      <c r="H764" s="150"/>
      <c r="I764" s="150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</row>
    <row r="765">
      <c r="A765" s="151">
        <v>1.0</v>
      </c>
      <c r="B765" s="156">
        <v>20761.0</v>
      </c>
      <c r="C765" s="50">
        <v>40618.0</v>
      </c>
      <c r="D765" s="150"/>
      <c r="E765" s="150"/>
      <c r="F765" s="150"/>
      <c r="G765" s="150"/>
      <c r="H765" s="150"/>
      <c r="I765" s="150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</row>
    <row r="766">
      <c r="A766" s="151">
        <v>1.0</v>
      </c>
      <c r="B766" s="156">
        <v>20762.0</v>
      </c>
      <c r="C766" s="50">
        <v>12713.0</v>
      </c>
      <c r="D766" s="150"/>
      <c r="E766" s="150"/>
      <c r="F766" s="150"/>
      <c r="G766" s="150"/>
      <c r="H766" s="150"/>
      <c r="I766" s="150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</row>
    <row r="767">
      <c r="A767" s="151">
        <v>1.0</v>
      </c>
      <c r="B767" s="148">
        <v>20763.0</v>
      </c>
      <c r="C767" s="50">
        <v>100515.0</v>
      </c>
      <c r="D767" s="150"/>
      <c r="E767" s="150"/>
      <c r="F767" s="150"/>
      <c r="G767" s="150"/>
      <c r="H767" s="150"/>
      <c r="I767" s="150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</row>
    <row r="768">
      <c r="A768" s="151">
        <v>0.0</v>
      </c>
      <c r="B768" s="148">
        <v>20764.0</v>
      </c>
      <c r="C768" s="50">
        <v>31415.0</v>
      </c>
      <c r="D768" s="150"/>
      <c r="E768" s="150"/>
      <c r="F768" s="150"/>
      <c r="G768" s="150"/>
      <c r="H768" s="150"/>
      <c r="I768" s="150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</row>
    <row r="769">
      <c r="A769" s="151">
        <v>1.0</v>
      </c>
      <c r="B769" s="156">
        <v>20765.0</v>
      </c>
      <c r="C769" s="50">
        <v>111120.0</v>
      </c>
      <c r="D769" s="150"/>
      <c r="E769" s="150"/>
      <c r="F769" s="150"/>
      <c r="G769" s="150"/>
      <c r="H769" s="150"/>
      <c r="I769" s="150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</row>
    <row r="770">
      <c r="A770" s="151">
        <v>1.0</v>
      </c>
      <c r="B770" s="156">
        <v>20766.0</v>
      </c>
      <c r="C770" s="50">
        <v>22822.0</v>
      </c>
      <c r="D770" s="150"/>
      <c r="E770" s="150"/>
      <c r="F770" s="150"/>
      <c r="G770" s="150"/>
      <c r="H770" s="150"/>
      <c r="I770" s="150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</row>
    <row r="771">
      <c r="A771" s="151">
        <v>0.0</v>
      </c>
      <c r="B771" s="148">
        <v>20767.0</v>
      </c>
      <c r="C771" s="50">
        <v>30318.0</v>
      </c>
      <c r="D771" s="150"/>
      <c r="E771" s="150"/>
      <c r="F771" s="150"/>
      <c r="G771" s="150"/>
      <c r="H771" s="150"/>
      <c r="I771" s="150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</row>
    <row r="772">
      <c r="A772" s="151">
        <v>0.0</v>
      </c>
      <c r="B772" s="148">
        <v>20768.0</v>
      </c>
      <c r="C772" s="50">
        <v>103019.0</v>
      </c>
      <c r="D772" s="150"/>
      <c r="E772" s="150"/>
      <c r="F772" s="150"/>
      <c r="G772" s="150"/>
      <c r="H772" s="150"/>
      <c r="I772" s="150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</row>
    <row r="773">
      <c r="A773" s="151">
        <v>0.0</v>
      </c>
      <c r="B773" s="156">
        <v>20769.0</v>
      </c>
      <c r="C773" s="50">
        <v>51318.0</v>
      </c>
      <c r="D773" s="150"/>
      <c r="E773" s="150"/>
      <c r="F773" s="150"/>
      <c r="G773" s="150"/>
      <c r="H773" s="150"/>
      <c r="I773" s="150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</row>
    <row r="774">
      <c r="A774" s="151">
        <v>0.0</v>
      </c>
      <c r="B774" s="148">
        <v>20770.0</v>
      </c>
      <c r="C774" s="50">
        <v>101520.0</v>
      </c>
      <c r="D774" s="150"/>
      <c r="E774" s="150"/>
      <c r="F774" s="150"/>
      <c r="G774" s="150"/>
      <c r="H774" s="150"/>
      <c r="I774" s="150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</row>
    <row r="775">
      <c r="A775" s="151">
        <v>1.0</v>
      </c>
      <c r="B775" s="148">
        <v>20771.0</v>
      </c>
      <c r="C775" s="50">
        <v>21022.0</v>
      </c>
      <c r="D775" s="150"/>
      <c r="E775" s="150"/>
      <c r="F775" s="150"/>
      <c r="G775" s="150"/>
      <c r="H775" s="150"/>
      <c r="I775" s="150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</row>
    <row r="776">
      <c r="A776" s="151">
        <v>1.0</v>
      </c>
      <c r="B776" s="156">
        <v>20772.0</v>
      </c>
      <c r="C776" s="50">
        <v>103122.0</v>
      </c>
      <c r="D776" s="150"/>
      <c r="E776" s="150"/>
      <c r="F776" s="150"/>
      <c r="G776" s="150"/>
      <c r="H776" s="150"/>
      <c r="I776" s="150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</row>
    <row r="777">
      <c r="A777" s="151">
        <v>0.0</v>
      </c>
      <c r="B777" s="156">
        <v>20773.0</v>
      </c>
      <c r="C777" s="50">
        <v>100520.0</v>
      </c>
      <c r="D777" s="150"/>
      <c r="E777" s="150"/>
      <c r="F777" s="150"/>
      <c r="G777" s="150"/>
      <c r="H777" s="150"/>
      <c r="I777" s="150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</row>
    <row r="778">
      <c r="A778" s="151">
        <v>1.0</v>
      </c>
      <c r="B778" s="148">
        <v>20774.0</v>
      </c>
      <c r="C778" s="50">
        <v>91913.0</v>
      </c>
      <c r="D778" s="150"/>
      <c r="E778" s="150"/>
      <c r="F778" s="150"/>
      <c r="G778" s="150"/>
      <c r="H778" s="150"/>
      <c r="I778" s="150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</row>
    <row r="779">
      <c r="A779" s="151">
        <v>1.0</v>
      </c>
      <c r="B779" s="148">
        <v>20775.0</v>
      </c>
      <c r="C779" s="50">
        <v>81920.0</v>
      </c>
      <c r="D779" s="150"/>
      <c r="E779" s="150"/>
      <c r="F779" s="150"/>
      <c r="G779" s="150"/>
      <c r="H779" s="150"/>
      <c r="I779" s="150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</row>
    <row r="780">
      <c r="A780" s="151">
        <v>0.0</v>
      </c>
      <c r="B780" s="156">
        <v>20776.0</v>
      </c>
      <c r="C780" s="50">
        <v>110814.0</v>
      </c>
      <c r="D780" s="150"/>
      <c r="E780" s="150"/>
      <c r="F780" s="150"/>
      <c r="G780" s="150"/>
      <c r="H780" s="150"/>
      <c r="I780" s="150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</row>
    <row r="781">
      <c r="A781" s="151">
        <v>1.0</v>
      </c>
      <c r="B781" s="156">
        <v>20777.0</v>
      </c>
      <c r="C781" s="50">
        <v>92317.0</v>
      </c>
      <c r="D781" s="150"/>
      <c r="E781" s="150"/>
      <c r="F781" s="150"/>
      <c r="G781" s="150"/>
      <c r="H781" s="150"/>
      <c r="I781" s="150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</row>
    <row r="782">
      <c r="A782" s="151">
        <v>1.0</v>
      </c>
      <c r="B782" s="148">
        <v>20778.0</v>
      </c>
      <c r="C782" s="50">
        <v>62018.0</v>
      </c>
      <c r="D782" s="150"/>
      <c r="E782" s="150"/>
      <c r="F782" s="150"/>
      <c r="G782" s="150"/>
      <c r="H782" s="150"/>
      <c r="I782" s="150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</row>
    <row r="783">
      <c r="A783" s="151">
        <v>1.0</v>
      </c>
      <c r="B783" s="148">
        <v>20779.0</v>
      </c>
      <c r="C783" s="50">
        <v>101120.0</v>
      </c>
      <c r="D783" s="150"/>
      <c r="E783" s="150"/>
      <c r="F783" s="150"/>
      <c r="G783" s="150"/>
      <c r="H783" s="150"/>
      <c r="I783" s="150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</row>
    <row r="784">
      <c r="A784" s="151">
        <v>0.0</v>
      </c>
      <c r="B784" s="156">
        <v>20780.0</v>
      </c>
      <c r="C784" s="50">
        <v>112021.0</v>
      </c>
      <c r="D784" s="150"/>
      <c r="E784" s="150"/>
      <c r="F784" s="150"/>
      <c r="G784" s="150"/>
      <c r="H784" s="150"/>
      <c r="I784" s="150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</row>
    <row r="785">
      <c r="A785" s="151">
        <v>0.0</v>
      </c>
      <c r="B785" s="148">
        <v>20781.0</v>
      </c>
      <c r="C785" s="50">
        <v>22413.0</v>
      </c>
      <c r="D785" s="150"/>
      <c r="E785" s="150"/>
      <c r="F785" s="150"/>
      <c r="G785" s="150"/>
      <c r="H785" s="150"/>
      <c r="I785" s="150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</row>
    <row r="786">
      <c r="A786" s="151">
        <v>1.0</v>
      </c>
      <c r="B786" s="148">
        <v>20782.0</v>
      </c>
      <c r="C786" s="50">
        <v>30319.0</v>
      </c>
      <c r="D786" s="150"/>
      <c r="E786" s="150"/>
      <c r="F786" s="150"/>
      <c r="G786" s="150"/>
      <c r="H786" s="150"/>
      <c r="I786" s="150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</row>
    <row r="787">
      <c r="A787" s="151">
        <v>1.0</v>
      </c>
      <c r="B787" s="156">
        <v>20783.0</v>
      </c>
      <c r="C787" s="50">
        <v>50416.0</v>
      </c>
      <c r="D787" s="150"/>
      <c r="E787" s="150"/>
      <c r="F787" s="150"/>
      <c r="G787" s="150"/>
      <c r="H787" s="150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</row>
    <row r="788">
      <c r="A788" s="151">
        <v>1.0</v>
      </c>
      <c r="B788" s="156">
        <v>20784.0</v>
      </c>
      <c r="C788" s="50">
        <v>21521.0</v>
      </c>
      <c r="D788" s="150"/>
      <c r="E788" s="150"/>
      <c r="F788" s="150"/>
      <c r="G788" s="150"/>
      <c r="H788" s="150"/>
      <c r="I788" s="150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</row>
    <row r="789">
      <c r="A789" s="151">
        <v>0.0</v>
      </c>
      <c r="B789" s="148">
        <v>20785.0</v>
      </c>
      <c r="C789" s="50">
        <v>120119.0</v>
      </c>
      <c r="D789" s="150"/>
      <c r="E789" s="150"/>
      <c r="F789" s="150"/>
      <c r="G789" s="150"/>
      <c r="H789" s="150"/>
      <c r="I789" s="150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</row>
    <row r="790">
      <c r="A790" s="151">
        <v>0.0</v>
      </c>
      <c r="B790" s="148">
        <v>20786.0</v>
      </c>
      <c r="C790" s="50">
        <v>41315.0</v>
      </c>
      <c r="D790" s="150"/>
      <c r="E790" s="150"/>
      <c r="F790" s="150"/>
      <c r="G790" s="150"/>
      <c r="H790" s="150"/>
      <c r="I790" s="150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</row>
    <row r="791">
      <c r="A791" s="151">
        <v>1.0</v>
      </c>
      <c r="B791" s="156">
        <v>20787.0</v>
      </c>
      <c r="C791" s="50">
        <v>92722.0</v>
      </c>
      <c r="D791" s="150"/>
      <c r="E791" s="150"/>
      <c r="F791" s="150"/>
      <c r="G791" s="150"/>
      <c r="H791" s="150"/>
      <c r="I791" s="150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</row>
    <row r="792">
      <c r="A792" s="151">
        <v>0.0</v>
      </c>
      <c r="B792" s="156">
        <v>20788.0</v>
      </c>
      <c r="C792" s="50">
        <v>91918.0</v>
      </c>
      <c r="D792" s="150"/>
      <c r="E792" s="150"/>
      <c r="F792" s="150"/>
      <c r="G792" s="150"/>
      <c r="H792" s="150"/>
      <c r="I792" s="150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</row>
    <row r="793">
      <c r="A793" s="151">
        <v>1.0</v>
      </c>
      <c r="B793" s="148">
        <v>20789.0</v>
      </c>
      <c r="C793" s="50">
        <v>41917.0</v>
      </c>
      <c r="D793" s="150"/>
      <c r="E793" s="150"/>
      <c r="F793" s="150"/>
      <c r="G793" s="150"/>
      <c r="H793" s="150"/>
      <c r="I793" s="150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</row>
    <row r="794">
      <c r="A794" s="151">
        <v>0.0</v>
      </c>
      <c r="B794" s="148">
        <v>20790.0</v>
      </c>
      <c r="C794" s="50">
        <v>22214.0</v>
      </c>
      <c r="D794" s="150"/>
      <c r="E794" s="150"/>
      <c r="F794" s="150"/>
      <c r="G794" s="150"/>
      <c r="H794" s="150"/>
      <c r="I794" s="150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</row>
    <row r="795">
      <c r="A795" s="151">
        <v>0.0</v>
      </c>
      <c r="B795" s="156">
        <v>20791.0</v>
      </c>
      <c r="C795" s="50">
        <v>100620.0</v>
      </c>
      <c r="D795" s="150"/>
      <c r="E795" s="150"/>
      <c r="F795" s="150"/>
      <c r="G795" s="150"/>
      <c r="H795" s="150"/>
      <c r="I795" s="150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</row>
    <row r="796">
      <c r="A796" s="151">
        <v>0.0</v>
      </c>
      <c r="B796" s="148">
        <v>20792.0</v>
      </c>
      <c r="C796" s="50">
        <v>50919.0</v>
      </c>
      <c r="D796" s="150"/>
      <c r="E796" s="150"/>
      <c r="F796" s="150"/>
      <c r="G796" s="150"/>
      <c r="H796" s="150"/>
      <c r="I796" s="150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</row>
    <row r="797">
      <c r="A797" s="151">
        <v>1.0</v>
      </c>
      <c r="B797" s="148">
        <v>20793.0</v>
      </c>
      <c r="C797" s="50">
        <v>70718.0</v>
      </c>
      <c r="D797" s="150"/>
      <c r="E797" s="150"/>
      <c r="F797" s="150"/>
      <c r="G797" s="150"/>
      <c r="H797" s="150"/>
      <c r="I797" s="150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</row>
    <row r="798">
      <c r="A798" s="151">
        <v>1.0</v>
      </c>
      <c r="B798" s="156">
        <v>20794.0</v>
      </c>
      <c r="C798" s="50">
        <v>112320.0</v>
      </c>
      <c r="D798" s="150"/>
      <c r="E798" s="150"/>
      <c r="F798" s="150"/>
      <c r="G798" s="150"/>
      <c r="H798" s="150"/>
      <c r="I798" s="150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</row>
    <row r="799">
      <c r="A799" s="151">
        <v>1.0</v>
      </c>
      <c r="B799" s="156">
        <v>20795.0</v>
      </c>
      <c r="C799" s="50">
        <v>41115.0</v>
      </c>
      <c r="D799" s="150"/>
      <c r="E799" s="150"/>
      <c r="F799" s="150"/>
      <c r="G799" s="150"/>
      <c r="H799" s="150"/>
      <c r="I799" s="150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</row>
    <row r="800">
      <c r="A800" s="151">
        <v>1.0</v>
      </c>
      <c r="B800" s="148">
        <v>20796.0</v>
      </c>
      <c r="C800" s="50">
        <v>11819.0</v>
      </c>
      <c r="D800" s="150"/>
      <c r="E800" s="150"/>
      <c r="F800" s="150"/>
      <c r="G800" s="150"/>
      <c r="H800" s="150"/>
      <c r="I800" s="150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</row>
    <row r="801">
      <c r="A801" s="151">
        <v>0.0</v>
      </c>
      <c r="B801" s="148">
        <v>20797.0</v>
      </c>
      <c r="C801" s="50">
        <v>120118.0</v>
      </c>
      <c r="D801" s="150"/>
      <c r="E801" s="150"/>
      <c r="F801" s="150"/>
      <c r="G801" s="150"/>
      <c r="H801" s="150"/>
      <c r="I801" s="150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</row>
    <row r="802">
      <c r="A802" s="151">
        <v>1.0</v>
      </c>
      <c r="B802" s="156">
        <v>20798.0</v>
      </c>
      <c r="C802" s="50">
        <v>12620.0</v>
      </c>
      <c r="D802" s="150"/>
      <c r="E802" s="150"/>
      <c r="F802" s="150"/>
      <c r="G802" s="150"/>
      <c r="H802" s="150"/>
      <c r="I802" s="150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</row>
    <row r="803">
      <c r="A803" s="151">
        <v>1.0</v>
      </c>
      <c r="B803" s="156">
        <v>20799.0</v>
      </c>
      <c r="C803" s="50">
        <v>101422.0</v>
      </c>
      <c r="D803" s="150"/>
      <c r="E803" s="150"/>
      <c r="F803" s="150"/>
      <c r="G803" s="150"/>
      <c r="H803" s="150"/>
      <c r="I803" s="150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</row>
    <row r="804">
      <c r="A804" s="151">
        <v>0.0</v>
      </c>
      <c r="B804" s="148">
        <v>20800.0</v>
      </c>
      <c r="C804" s="50">
        <v>63018.0</v>
      </c>
      <c r="D804" s="150"/>
      <c r="E804" s="150"/>
      <c r="F804" s="150"/>
      <c r="G804" s="150"/>
      <c r="H804" s="150"/>
      <c r="I804" s="150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</row>
    <row r="805">
      <c r="A805" s="151">
        <v>0.0</v>
      </c>
      <c r="B805" s="148">
        <v>20801.0</v>
      </c>
      <c r="C805" s="50">
        <v>52114.0</v>
      </c>
      <c r="D805" s="150"/>
      <c r="E805" s="150"/>
      <c r="F805" s="150"/>
      <c r="G805" s="150"/>
      <c r="H805" s="150"/>
      <c r="I805" s="150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</row>
    <row r="806">
      <c r="A806" s="151">
        <v>1.0</v>
      </c>
      <c r="B806" s="156">
        <v>20802.0</v>
      </c>
      <c r="C806" s="50">
        <v>122622.0</v>
      </c>
      <c r="D806" s="150"/>
      <c r="E806" s="150"/>
      <c r="F806" s="150"/>
      <c r="G806" s="150"/>
      <c r="H806" s="150"/>
      <c r="I806" s="150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</row>
    <row r="807">
      <c r="A807" s="151">
        <v>1.0</v>
      </c>
      <c r="B807" s="148">
        <v>20803.0</v>
      </c>
      <c r="C807" s="50">
        <v>52813.0</v>
      </c>
      <c r="D807" s="150"/>
      <c r="E807" s="150"/>
      <c r="F807" s="150"/>
      <c r="G807" s="150"/>
      <c r="H807" s="150"/>
      <c r="I807" s="150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</row>
    <row r="808">
      <c r="A808" s="151">
        <v>0.0</v>
      </c>
      <c r="B808" s="148">
        <v>20804.0</v>
      </c>
      <c r="C808" s="50">
        <v>20513.0</v>
      </c>
      <c r="D808" s="150"/>
      <c r="E808" s="150"/>
      <c r="F808" s="150"/>
      <c r="G808" s="150"/>
      <c r="H808" s="150"/>
      <c r="I808" s="150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</row>
    <row r="809">
      <c r="A809" s="151">
        <v>1.0</v>
      </c>
      <c r="B809" s="156">
        <v>20805.0</v>
      </c>
      <c r="C809" s="50">
        <v>80413.0</v>
      </c>
      <c r="D809" s="150"/>
      <c r="E809" s="150"/>
      <c r="F809" s="150"/>
      <c r="G809" s="150"/>
      <c r="H809" s="150"/>
      <c r="I809" s="150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</row>
    <row r="810">
      <c r="A810" s="151">
        <v>1.0</v>
      </c>
      <c r="B810" s="156">
        <v>20806.0</v>
      </c>
      <c r="C810" s="50">
        <v>82918.0</v>
      </c>
      <c r="D810" s="150"/>
      <c r="E810" s="150"/>
      <c r="F810" s="150"/>
      <c r="G810" s="150"/>
      <c r="H810" s="150"/>
      <c r="I810" s="150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</row>
    <row r="811">
      <c r="A811" s="151">
        <v>0.0</v>
      </c>
      <c r="B811" s="148">
        <v>20807.0</v>
      </c>
      <c r="C811" s="50">
        <v>90621.0</v>
      </c>
      <c r="D811" s="150"/>
      <c r="E811" s="150"/>
      <c r="F811" s="150"/>
      <c r="G811" s="150"/>
      <c r="H811" s="150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</row>
    <row r="812">
      <c r="A812" s="151">
        <v>0.0</v>
      </c>
      <c r="B812" s="148">
        <v>20808.0</v>
      </c>
      <c r="C812" s="50">
        <v>102522.0</v>
      </c>
      <c r="D812" s="150"/>
      <c r="E812" s="150"/>
      <c r="F812" s="150"/>
      <c r="G812" s="150"/>
      <c r="H812" s="150"/>
      <c r="I812" s="150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</row>
    <row r="813">
      <c r="A813" s="151">
        <v>1.0</v>
      </c>
      <c r="B813" s="156">
        <v>20809.0</v>
      </c>
      <c r="C813" s="50">
        <v>32917.0</v>
      </c>
      <c r="D813" s="150"/>
      <c r="E813" s="150"/>
      <c r="F813" s="150"/>
      <c r="G813" s="150"/>
      <c r="H813" s="150"/>
      <c r="I813" s="150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</row>
    <row r="814">
      <c r="A814" s="151">
        <v>0.0</v>
      </c>
      <c r="B814" s="156">
        <v>20810.0</v>
      </c>
      <c r="C814" s="50">
        <v>102819.0</v>
      </c>
      <c r="D814" s="150"/>
      <c r="E814" s="150"/>
      <c r="F814" s="150"/>
      <c r="G814" s="150"/>
      <c r="H814" s="150"/>
      <c r="I814" s="150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</row>
    <row r="815">
      <c r="A815" s="151">
        <v>1.0</v>
      </c>
      <c r="B815" s="148">
        <v>20811.0</v>
      </c>
      <c r="C815" s="50">
        <v>72913.0</v>
      </c>
      <c r="D815" s="150"/>
      <c r="E815" s="150"/>
      <c r="F815" s="150"/>
      <c r="G815" s="150"/>
      <c r="H815" s="150"/>
      <c r="I815" s="150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</row>
    <row r="816">
      <c r="A816" s="151">
        <v>0.0</v>
      </c>
      <c r="B816" s="148">
        <v>20812.0</v>
      </c>
      <c r="C816" s="50">
        <v>21015.0</v>
      </c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</row>
    <row r="817">
      <c r="A817" s="151">
        <v>1.0</v>
      </c>
      <c r="B817" s="156">
        <v>20813.0</v>
      </c>
      <c r="C817" s="50">
        <v>33022.0</v>
      </c>
      <c r="D817" s="150"/>
      <c r="E817" s="150"/>
      <c r="F817" s="150"/>
      <c r="G817" s="150"/>
      <c r="H817" s="150"/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</row>
    <row r="818">
      <c r="A818" s="151">
        <v>1.0</v>
      </c>
      <c r="B818" s="148">
        <v>20814.0</v>
      </c>
      <c r="C818" s="50">
        <v>80820.0</v>
      </c>
      <c r="D818" s="150"/>
      <c r="E818" s="150"/>
      <c r="F818" s="150"/>
      <c r="G818" s="150"/>
      <c r="H818" s="150"/>
      <c r="I818" s="150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</row>
    <row r="819">
      <c r="A819" s="151">
        <v>1.0</v>
      </c>
      <c r="B819" s="148">
        <v>20815.0</v>
      </c>
      <c r="C819" s="50">
        <v>121819.0</v>
      </c>
      <c r="D819" s="150"/>
      <c r="E819" s="150"/>
      <c r="F819" s="150"/>
      <c r="G819" s="150"/>
      <c r="H819" s="150"/>
      <c r="I819" s="150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</row>
    <row r="820">
      <c r="A820" s="151">
        <v>1.0</v>
      </c>
      <c r="B820" s="156">
        <v>20816.0</v>
      </c>
      <c r="C820" s="50">
        <v>71619.0</v>
      </c>
      <c r="D820" s="150"/>
      <c r="E820" s="150"/>
      <c r="F820" s="150"/>
      <c r="G820" s="150"/>
      <c r="H820" s="150"/>
      <c r="I820" s="150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</row>
    <row r="821">
      <c r="A821" s="151">
        <v>0.0</v>
      </c>
      <c r="B821" s="156">
        <v>20817.0</v>
      </c>
      <c r="C821" s="50">
        <v>120720.0</v>
      </c>
      <c r="D821" s="150"/>
      <c r="E821" s="150"/>
      <c r="F821" s="150"/>
      <c r="G821" s="150"/>
      <c r="H821" s="150"/>
      <c r="I821" s="150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</row>
    <row r="822">
      <c r="A822" s="151">
        <v>0.0</v>
      </c>
      <c r="B822" s="148">
        <v>20818.0</v>
      </c>
      <c r="C822" s="50">
        <v>112813.0</v>
      </c>
      <c r="D822" s="150"/>
      <c r="E822" s="150"/>
      <c r="F822" s="150"/>
      <c r="G822" s="150"/>
      <c r="H822" s="150"/>
      <c r="I822" s="150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</row>
    <row r="823">
      <c r="A823" s="151">
        <v>0.0</v>
      </c>
      <c r="B823" s="148">
        <v>20819.0</v>
      </c>
      <c r="C823" s="50">
        <v>50317.0</v>
      </c>
      <c r="D823" s="150"/>
      <c r="E823" s="150"/>
      <c r="F823" s="150"/>
      <c r="G823" s="150"/>
      <c r="H823" s="150"/>
      <c r="I823" s="150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</row>
    <row r="824">
      <c r="A824" s="151">
        <v>0.0</v>
      </c>
      <c r="B824" s="156">
        <v>20820.0</v>
      </c>
      <c r="C824" s="50">
        <v>91019.0</v>
      </c>
      <c r="D824" s="150"/>
      <c r="E824" s="150"/>
      <c r="F824" s="150"/>
      <c r="G824" s="150"/>
      <c r="H824" s="150"/>
      <c r="I824" s="150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</row>
    <row r="825">
      <c r="A825" s="151">
        <v>1.0</v>
      </c>
      <c r="B825" s="156">
        <v>20821.0</v>
      </c>
      <c r="C825" s="50">
        <v>30814.0</v>
      </c>
      <c r="D825" s="150"/>
      <c r="E825" s="150"/>
      <c r="F825" s="150"/>
      <c r="G825" s="150"/>
      <c r="H825" s="150"/>
      <c r="I825" s="150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</row>
    <row r="826">
      <c r="A826" s="151">
        <v>1.0</v>
      </c>
      <c r="B826" s="148">
        <v>20822.0</v>
      </c>
      <c r="C826" s="50">
        <v>62113.0</v>
      </c>
      <c r="D826" s="150"/>
      <c r="E826" s="150"/>
      <c r="F826" s="150"/>
      <c r="G826" s="150"/>
      <c r="H826" s="150"/>
      <c r="I826" s="150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</row>
    <row r="827">
      <c r="A827" s="151">
        <v>1.0</v>
      </c>
      <c r="B827" s="148">
        <v>20823.0</v>
      </c>
      <c r="C827" s="50">
        <v>61113.0</v>
      </c>
      <c r="D827" s="150"/>
      <c r="E827" s="150"/>
      <c r="F827" s="150"/>
      <c r="G827" s="150"/>
      <c r="H827" s="150"/>
      <c r="I827" s="150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</row>
    <row r="828">
      <c r="A828" s="151">
        <v>1.0</v>
      </c>
      <c r="B828" s="156">
        <v>20824.0</v>
      </c>
      <c r="C828" s="50">
        <v>82721.0</v>
      </c>
      <c r="D828" s="150"/>
      <c r="E828" s="150"/>
      <c r="F828" s="150"/>
      <c r="G828" s="150"/>
      <c r="H828" s="150"/>
      <c r="I828" s="150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</row>
    <row r="829">
      <c r="A829" s="151">
        <v>0.0</v>
      </c>
      <c r="B829" s="148">
        <v>20825.0</v>
      </c>
      <c r="C829" s="50">
        <v>70318.0</v>
      </c>
      <c r="D829" s="150"/>
      <c r="E829" s="150"/>
      <c r="F829" s="150"/>
      <c r="G829" s="150"/>
      <c r="H829" s="150"/>
      <c r="I829" s="150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</row>
    <row r="830">
      <c r="A830" s="151">
        <v>1.0</v>
      </c>
      <c r="B830" s="148">
        <v>20826.0</v>
      </c>
      <c r="C830" s="50">
        <v>110119.0</v>
      </c>
      <c r="D830" s="150"/>
      <c r="E830" s="150"/>
      <c r="F830" s="150"/>
      <c r="G830" s="150"/>
      <c r="H830" s="150"/>
      <c r="I830" s="150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</row>
    <row r="831">
      <c r="A831" s="151">
        <v>0.0</v>
      </c>
      <c r="B831" s="156">
        <v>20827.0</v>
      </c>
      <c r="C831" s="50">
        <v>121617.0</v>
      </c>
      <c r="D831" s="150"/>
      <c r="E831" s="150"/>
      <c r="F831" s="150"/>
      <c r="G831" s="150"/>
      <c r="H831" s="150"/>
      <c r="I831" s="150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</row>
    <row r="832">
      <c r="A832" s="151">
        <v>0.0</v>
      </c>
      <c r="B832" s="156">
        <v>20828.0</v>
      </c>
      <c r="C832" s="50">
        <v>12414.0</v>
      </c>
      <c r="D832" s="150"/>
      <c r="E832" s="150"/>
      <c r="F832" s="150"/>
      <c r="G832" s="150"/>
      <c r="H832" s="150"/>
      <c r="I832" s="150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</row>
    <row r="833">
      <c r="A833" s="151">
        <v>1.0</v>
      </c>
      <c r="B833" s="148">
        <v>20829.0</v>
      </c>
      <c r="C833" s="50">
        <v>12515.0</v>
      </c>
      <c r="D833" s="150"/>
      <c r="E833" s="150"/>
      <c r="F833" s="150"/>
      <c r="G833" s="150"/>
      <c r="H833" s="150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</row>
    <row r="834">
      <c r="A834" s="151">
        <v>1.0</v>
      </c>
      <c r="B834" s="148">
        <v>20830.0</v>
      </c>
      <c r="C834" s="50">
        <v>80813.0</v>
      </c>
      <c r="D834" s="150"/>
      <c r="E834" s="150"/>
      <c r="F834" s="150"/>
      <c r="G834" s="150"/>
      <c r="H834" s="150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</row>
    <row r="835">
      <c r="A835" s="151">
        <v>1.0</v>
      </c>
      <c r="B835" s="156">
        <v>20831.0</v>
      </c>
      <c r="C835" s="50">
        <v>92813.0</v>
      </c>
      <c r="D835" s="150"/>
      <c r="E835" s="150"/>
      <c r="F835" s="150"/>
      <c r="G835" s="150"/>
      <c r="H835" s="150"/>
      <c r="I835" s="150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</row>
    <row r="836">
      <c r="A836" s="151">
        <v>0.0</v>
      </c>
      <c r="B836" s="156">
        <v>20832.0</v>
      </c>
      <c r="C836" s="50">
        <v>42320.0</v>
      </c>
      <c r="D836" s="150"/>
      <c r="E836" s="150"/>
      <c r="F836" s="150"/>
      <c r="G836" s="150"/>
      <c r="H836" s="150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</row>
    <row r="837">
      <c r="A837" s="151">
        <v>0.0</v>
      </c>
      <c r="B837" s="148">
        <v>20833.0</v>
      </c>
      <c r="C837" s="50">
        <v>13114.0</v>
      </c>
      <c r="D837" s="150"/>
      <c r="E837" s="150"/>
      <c r="F837" s="150"/>
      <c r="G837" s="150"/>
      <c r="H837" s="150"/>
      <c r="I837" s="150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</row>
    <row r="838">
      <c r="A838" s="151">
        <v>1.0</v>
      </c>
      <c r="B838" s="148">
        <v>20834.0</v>
      </c>
      <c r="C838" s="50">
        <v>82319.0</v>
      </c>
      <c r="D838" s="150"/>
      <c r="E838" s="150"/>
      <c r="F838" s="150"/>
      <c r="G838" s="150"/>
      <c r="H838" s="150"/>
      <c r="I838" s="150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</row>
    <row r="839">
      <c r="A839" s="151">
        <v>0.0</v>
      </c>
      <c r="B839" s="156">
        <v>20835.0</v>
      </c>
      <c r="C839" s="50">
        <v>51220.0</v>
      </c>
      <c r="D839" s="150"/>
      <c r="E839" s="150"/>
      <c r="F839" s="150"/>
      <c r="G839" s="150"/>
      <c r="H839" s="150"/>
      <c r="I839" s="150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</row>
    <row r="840">
      <c r="A840" s="151">
        <v>1.0</v>
      </c>
      <c r="B840" s="148">
        <v>20836.0</v>
      </c>
      <c r="C840" s="50">
        <v>20917.0</v>
      </c>
      <c r="D840" s="150"/>
      <c r="E840" s="150"/>
      <c r="F840" s="150"/>
      <c r="G840" s="150"/>
      <c r="H840" s="150"/>
      <c r="I840" s="150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</row>
    <row r="841">
      <c r="A841" s="151">
        <v>0.0</v>
      </c>
      <c r="B841" s="148">
        <v>20837.0</v>
      </c>
      <c r="C841" s="50">
        <v>52220.0</v>
      </c>
      <c r="D841" s="150"/>
      <c r="E841" s="150"/>
      <c r="F841" s="150"/>
      <c r="G841" s="150"/>
      <c r="H841" s="150"/>
      <c r="I841" s="150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</row>
    <row r="842">
      <c r="A842" s="151">
        <v>1.0</v>
      </c>
      <c r="B842" s="156">
        <v>20838.0</v>
      </c>
      <c r="C842" s="50">
        <v>100822.0</v>
      </c>
      <c r="D842" s="150"/>
      <c r="E842" s="150"/>
      <c r="F842" s="150"/>
      <c r="G842" s="150"/>
      <c r="H842" s="150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</row>
    <row r="843">
      <c r="A843" s="151">
        <v>0.0</v>
      </c>
      <c r="B843" s="156">
        <v>20839.0</v>
      </c>
      <c r="C843" s="50">
        <v>42121.0</v>
      </c>
      <c r="D843" s="150"/>
      <c r="E843" s="150"/>
      <c r="F843" s="150"/>
      <c r="G843" s="150"/>
      <c r="H843" s="150"/>
      <c r="I843" s="150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</row>
    <row r="844">
      <c r="A844" s="151">
        <v>0.0</v>
      </c>
      <c r="B844" s="148">
        <v>20840.0</v>
      </c>
      <c r="C844" s="50">
        <v>30316.0</v>
      </c>
      <c r="D844" s="150"/>
      <c r="E844" s="150"/>
      <c r="F844" s="150"/>
      <c r="G844" s="150"/>
      <c r="H844" s="150"/>
      <c r="I844" s="150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</row>
    <row r="845">
      <c r="A845" s="151">
        <v>1.0</v>
      </c>
      <c r="B845" s="148">
        <v>20841.0</v>
      </c>
      <c r="C845" s="50">
        <v>31820.0</v>
      </c>
      <c r="D845" s="150"/>
      <c r="E845" s="150"/>
      <c r="F845" s="150"/>
      <c r="G845" s="150"/>
      <c r="H845" s="150"/>
      <c r="I845" s="150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</row>
    <row r="846">
      <c r="A846" s="151">
        <v>1.0</v>
      </c>
      <c r="B846" s="156">
        <v>20842.0</v>
      </c>
      <c r="C846" s="50">
        <v>11219.0</v>
      </c>
      <c r="D846" s="150"/>
      <c r="E846" s="150"/>
      <c r="F846" s="150"/>
      <c r="G846" s="150"/>
      <c r="H846" s="150"/>
      <c r="I846" s="150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</row>
    <row r="847">
      <c r="A847" s="151">
        <v>0.0</v>
      </c>
      <c r="B847" s="156">
        <v>20843.0</v>
      </c>
      <c r="C847" s="50">
        <v>71314.0</v>
      </c>
      <c r="D847" s="150"/>
      <c r="E847" s="150"/>
      <c r="F847" s="150"/>
      <c r="G847" s="150"/>
      <c r="H847" s="150"/>
      <c r="I847" s="150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</row>
    <row r="848">
      <c r="A848" s="151">
        <v>1.0</v>
      </c>
      <c r="B848" s="148">
        <v>20844.0</v>
      </c>
      <c r="C848" s="50">
        <v>53022.0</v>
      </c>
      <c r="D848" s="150"/>
      <c r="E848" s="150"/>
      <c r="F848" s="150"/>
      <c r="G848" s="150"/>
      <c r="H848" s="150"/>
      <c r="I848" s="150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</row>
    <row r="849">
      <c r="A849" s="151">
        <v>0.0</v>
      </c>
      <c r="B849" s="148">
        <v>20845.0</v>
      </c>
      <c r="C849" s="50">
        <v>111919.0</v>
      </c>
      <c r="D849" s="150"/>
      <c r="E849" s="150"/>
      <c r="F849" s="150"/>
      <c r="G849" s="150"/>
      <c r="H849" s="150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</row>
    <row r="850">
      <c r="A850" s="151">
        <v>1.0</v>
      </c>
      <c r="B850" s="156">
        <v>20846.0</v>
      </c>
      <c r="C850" s="50">
        <v>103118.0</v>
      </c>
      <c r="D850" s="150"/>
      <c r="E850" s="150"/>
      <c r="F850" s="150"/>
      <c r="G850" s="150"/>
      <c r="H850" s="150"/>
      <c r="I850" s="150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</row>
    <row r="851">
      <c r="A851" s="151">
        <v>1.0</v>
      </c>
      <c r="B851" s="148">
        <v>20847.0</v>
      </c>
      <c r="C851" s="50">
        <v>30618.0</v>
      </c>
      <c r="D851" s="150"/>
      <c r="E851" s="150"/>
      <c r="F851" s="150"/>
      <c r="G851" s="150"/>
      <c r="H851" s="150"/>
      <c r="I851" s="150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</row>
    <row r="852">
      <c r="A852" s="151">
        <v>0.0</v>
      </c>
      <c r="B852" s="148">
        <v>20848.0</v>
      </c>
      <c r="C852" s="50">
        <v>90922.0</v>
      </c>
      <c r="D852" s="150"/>
      <c r="E852" s="150"/>
      <c r="F852" s="150"/>
      <c r="G852" s="150"/>
      <c r="H852" s="150"/>
      <c r="I852" s="150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</row>
    <row r="853">
      <c r="A853" s="151">
        <v>1.0</v>
      </c>
      <c r="B853" s="156">
        <v>20849.0</v>
      </c>
      <c r="C853" s="50">
        <v>111620.0</v>
      </c>
      <c r="D853" s="150"/>
      <c r="E853" s="150"/>
      <c r="F853" s="150"/>
      <c r="G853" s="150"/>
      <c r="H853" s="150"/>
      <c r="I853" s="150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</row>
    <row r="854">
      <c r="A854" s="151">
        <v>0.0</v>
      </c>
      <c r="B854" s="156">
        <v>20850.0</v>
      </c>
      <c r="C854" s="50">
        <v>60417.0</v>
      </c>
      <c r="D854" s="150"/>
      <c r="E854" s="150"/>
      <c r="F854" s="150"/>
      <c r="G854" s="150"/>
      <c r="H854" s="150"/>
      <c r="I854" s="150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</row>
    <row r="855">
      <c r="A855" s="151">
        <v>0.0</v>
      </c>
      <c r="B855" s="148">
        <v>20851.0</v>
      </c>
      <c r="C855" s="50">
        <v>80915.0</v>
      </c>
      <c r="D855" s="150"/>
      <c r="E855" s="150"/>
      <c r="F855" s="150"/>
      <c r="G855" s="150"/>
      <c r="H855" s="150"/>
      <c r="I855" s="150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</row>
    <row r="856">
      <c r="A856" s="151">
        <v>0.0</v>
      </c>
      <c r="B856" s="148">
        <v>20852.0</v>
      </c>
      <c r="C856" s="50">
        <v>30720.0</v>
      </c>
      <c r="D856" s="150"/>
      <c r="E856" s="150"/>
      <c r="F856" s="150"/>
      <c r="G856" s="150"/>
      <c r="H856" s="150"/>
      <c r="I856" s="150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</row>
    <row r="857">
      <c r="A857" s="151">
        <v>1.0</v>
      </c>
      <c r="B857" s="156">
        <v>20853.0</v>
      </c>
      <c r="C857" s="50">
        <v>82113.0</v>
      </c>
      <c r="D857" s="150"/>
      <c r="E857" s="150"/>
      <c r="F857" s="150"/>
      <c r="G857" s="150"/>
      <c r="H857" s="150"/>
      <c r="I857" s="150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</row>
    <row r="858">
      <c r="A858" s="151">
        <v>0.0</v>
      </c>
      <c r="B858" s="156">
        <v>20854.0</v>
      </c>
      <c r="C858" s="50">
        <v>53119.0</v>
      </c>
      <c r="D858" s="150"/>
      <c r="E858" s="150"/>
      <c r="F858" s="150"/>
      <c r="G858" s="150"/>
      <c r="H858" s="150"/>
      <c r="I858" s="150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</row>
    <row r="859">
      <c r="A859" s="151">
        <v>0.0</v>
      </c>
      <c r="B859" s="148">
        <v>20855.0</v>
      </c>
      <c r="C859" s="50">
        <v>71815.0</v>
      </c>
      <c r="D859" s="150"/>
      <c r="E859" s="150"/>
      <c r="F859" s="150"/>
      <c r="G859" s="150"/>
      <c r="H859" s="150"/>
      <c r="I859" s="150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</row>
    <row r="860">
      <c r="A860" s="151">
        <v>1.0</v>
      </c>
      <c r="B860" s="148">
        <v>20856.0</v>
      </c>
      <c r="C860" s="50">
        <v>51717.0</v>
      </c>
      <c r="D860" s="150"/>
      <c r="E860" s="150"/>
      <c r="F860" s="150"/>
      <c r="G860" s="150"/>
      <c r="H860" s="150"/>
      <c r="I860" s="150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</row>
    <row r="861">
      <c r="A861" s="151">
        <v>0.0</v>
      </c>
      <c r="B861" s="156">
        <v>20857.0</v>
      </c>
      <c r="C861" s="50">
        <v>72713.0</v>
      </c>
      <c r="D861" s="150"/>
      <c r="E861" s="150"/>
      <c r="F861" s="150"/>
      <c r="G861" s="150"/>
      <c r="H861" s="150"/>
      <c r="I861" s="150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</row>
    <row r="862">
      <c r="A862" s="151">
        <v>1.0</v>
      </c>
      <c r="B862" s="148">
        <v>20858.0</v>
      </c>
      <c r="C862" s="50">
        <v>82015.0</v>
      </c>
      <c r="D862" s="150"/>
      <c r="E862" s="150"/>
      <c r="F862" s="150"/>
      <c r="G862" s="150"/>
      <c r="H862" s="150"/>
      <c r="I862" s="150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</row>
    <row r="863">
      <c r="A863" s="151">
        <v>1.0</v>
      </c>
      <c r="B863" s="148">
        <v>20859.0</v>
      </c>
      <c r="C863" s="50">
        <v>120917.0</v>
      </c>
      <c r="D863" s="150"/>
      <c r="E863" s="150"/>
      <c r="F863" s="150"/>
      <c r="G863" s="150"/>
      <c r="H863" s="150"/>
      <c r="I863" s="150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</row>
    <row r="864">
      <c r="A864" s="151">
        <v>0.0</v>
      </c>
      <c r="B864" s="156">
        <v>20860.0</v>
      </c>
      <c r="C864" s="50">
        <v>12322.0</v>
      </c>
      <c r="D864" s="150"/>
      <c r="E864" s="150"/>
      <c r="F864" s="150"/>
      <c r="G864" s="150"/>
      <c r="H864" s="150"/>
      <c r="I864" s="150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</row>
    <row r="865">
      <c r="A865" s="151">
        <v>0.0</v>
      </c>
      <c r="B865" s="156">
        <v>20861.0</v>
      </c>
      <c r="C865" s="50">
        <v>90819.0</v>
      </c>
      <c r="D865" s="150"/>
      <c r="E865" s="150"/>
      <c r="F865" s="150"/>
      <c r="G865" s="150"/>
      <c r="H865" s="150"/>
      <c r="I865" s="150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</row>
    <row r="866">
      <c r="A866" s="151">
        <v>0.0</v>
      </c>
      <c r="B866" s="148">
        <v>20862.0</v>
      </c>
      <c r="C866" s="50">
        <v>33120.0</v>
      </c>
      <c r="D866" s="150"/>
      <c r="E866" s="150"/>
      <c r="F866" s="150"/>
      <c r="G866" s="150"/>
      <c r="H866" s="150"/>
      <c r="I866" s="150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</row>
    <row r="867">
      <c r="A867" s="151">
        <v>1.0</v>
      </c>
      <c r="B867" s="148">
        <v>20863.0</v>
      </c>
      <c r="C867" s="50">
        <v>31719.0</v>
      </c>
      <c r="D867" s="150"/>
      <c r="E867" s="150"/>
      <c r="F867" s="150"/>
      <c r="G867" s="150"/>
      <c r="H867" s="150"/>
      <c r="I867" s="150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</row>
    <row r="868">
      <c r="A868" s="151">
        <v>1.0</v>
      </c>
      <c r="B868" s="156">
        <v>20864.0</v>
      </c>
      <c r="C868" s="50">
        <v>10815.0</v>
      </c>
      <c r="D868" s="150"/>
      <c r="E868" s="150"/>
      <c r="F868" s="150"/>
      <c r="G868" s="150"/>
      <c r="H868" s="150"/>
      <c r="I868" s="150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</row>
    <row r="869">
      <c r="A869" s="151">
        <v>1.0</v>
      </c>
      <c r="B869" s="156">
        <v>20865.0</v>
      </c>
      <c r="C869" s="50">
        <v>71921.0</v>
      </c>
      <c r="D869" s="150"/>
      <c r="E869" s="150"/>
      <c r="F869" s="150"/>
      <c r="G869" s="150"/>
      <c r="H869" s="150"/>
      <c r="I869" s="150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</row>
    <row r="870">
      <c r="A870" s="151">
        <v>0.0</v>
      </c>
      <c r="B870" s="148">
        <v>20866.0</v>
      </c>
      <c r="C870" s="50">
        <v>71620.0</v>
      </c>
      <c r="D870" s="150"/>
      <c r="E870" s="150"/>
      <c r="F870" s="150"/>
      <c r="G870" s="150"/>
      <c r="H870" s="150"/>
      <c r="I870" s="150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</row>
    <row r="871">
      <c r="A871" s="151">
        <v>0.0</v>
      </c>
      <c r="B871" s="148">
        <v>20867.0</v>
      </c>
      <c r="C871" s="50">
        <v>62816.0</v>
      </c>
      <c r="D871" s="150"/>
      <c r="E871" s="150"/>
      <c r="F871" s="150"/>
      <c r="G871" s="150"/>
      <c r="H871" s="150"/>
      <c r="I871" s="150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</row>
    <row r="872">
      <c r="A872" s="151">
        <v>0.0</v>
      </c>
      <c r="B872" s="156">
        <v>20868.0</v>
      </c>
      <c r="C872" s="50">
        <v>82622.0</v>
      </c>
      <c r="D872" s="150"/>
      <c r="E872" s="150"/>
      <c r="F872" s="150"/>
      <c r="G872" s="150"/>
      <c r="H872" s="150"/>
      <c r="I872" s="150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</row>
    <row r="873">
      <c r="A873" s="151">
        <v>0.0</v>
      </c>
      <c r="B873" s="148">
        <v>20869.0</v>
      </c>
      <c r="C873" s="50">
        <v>53116.0</v>
      </c>
      <c r="D873" s="150"/>
      <c r="E873" s="150"/>
      <c r="F873" s="150"/>
      <c r="G873" s="150"/>
      <c r="H873" s="150"/>
      <c r="I873" s="150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</row>
    <row r="874">
      <c r="A874" s="151">
        <v>0.0</v>
      </c>
      <c r="B874" s="148">
        <v>20870.0</v>
      </c>
      <c r="C874" s="50">
        <v>60316.0</v>
      </c>
      <c r="D874" s="150"/>
      <c r="E874" s="150"/>
      <c r="F874" s="150"/>
      <c r="G874" s="150"/>
      <c r="H874" s="150"/>
      <c r="I874" s="150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</row>
    <row r="875">
      <c r="A875" s="151">
        <v>0.0</v>
      </c>
      <c r="B875" s="156">
        <v>20871.0</v>
      </c>
      <c r="C875" s="50">
        <v>51622.0</v>
      </c>
      <c r="D875" s="150"/>
      <c r="E875" s="150"/>
      <c r="F875" s="150"/>
      <c r="G875" s="150"/>
      <c r="H875" s="150"/>
      <c r="I875" s="150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</row>
    <row r="876">
      <c r="A876" s="151">
        <v>0.0</v>
      </c>
      <c r="B876" s="156">
        <v>20872.0</v>
      </c>
      <c r="C876" s="50">
        <v>92219.0</v>
      </c>
      <c r="D876" s="150"/>
      <c r="E876" s="150"/>
      <c r="F876" s="150"/>
      <c r="G876" s="150"/>
      <c r="H876" s="150"/>
      <c r="I876" s="150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</row>
    <row r="877">
      <c r="A877" s="151">
        <v>1.0</v>
      </c>
      <c r="B877" s="148">
        <v>20873.0</v>
      </c>
      <c r="C877" s="50">
        <v>101314.0</v>
      </c>
      <c r="D877" s="150"/>
      <c r="E877" s="150"/>
      <c r="F877" s="150"/>
      <c r="G877" s="150"/>
      <c r="H877" s="150"/>
      <c r="I877" s="150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</row>
    <row r="878">
      <c r="A878" s="151">
        <v>1.0</v>
      </c>
      <c r="B878" s="148">
        <v>20874.0</v>
      </c>
      <c r="C878" s="50">
        <v>31216.0</v>
      </c>
      <c r="D878" s="150"/>
      <c r="E878" s="150"/>
      <c r="F878" s="150"/>
      <c r="G878" s="150"/>
      <c r="H878" s="150"/>
      <c r="I878" s="150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</row>
    <row r="879">
      <c r="A879" s="151">
        <v>1.0</v>
      </c>
      <c r="B879" s="156">
        <v>20875.0</v>
      </c>
      <c r="C879" s="50">
        <v>30417.0</v>
      </c>
      <c r="D879" s="150"/>
      <c r="E879" s="150"/>
      <c r="F879" s="150"/>
      <c r="G879" s="150"/>
      <c r="H879" s="150"/>
      <c r="I879" s="150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</row>
    <row r="880">
      <c r="A880" s="151">
        <v>0.0</v>
      </c>
      <c r="B880" s="156">
        <v>20876.0</v>
      </c>
      <c r="C880" s="50">
        <v>70418.0</v>
      </c>
      <c r="D880" s="150"/>
      <c r="E880" s="150"/>
      <c r="F880" s="150"/>
      <c r="G880" s="150"/>
      <c r="H880" s="150"/>
      <c r="I880" s="150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</row>
    <row r="881">
      <c r="A881" s="151">
        <v>0.0</v>
      </c>
      <c r="B881" s="148">
        <v>20877.0</v>
      </c>
      <c r="C881" s="50">
        <v>31617.0</v>
      </c>
      <c r="D881" s="150"/>
      <c r="E881" s="150"/>
      <c r="F881" s="150"/>
      <c r="G881" s="150"/>
      <c r="H881" s="150"/>
      <c r="I881" s="150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</row>
    <row r="882">
      <c r="A882" s="151">
        <v>1.0</v>
      </c>
      <c r="B882" s="148">
        <v>20878.0</v>
      </c>
      <c r="C882" s="50">
        <v>60520.0</v>
      </c>
      <c r="D882" s="150"/>
      <c r="E882" s="150"/>
      <c r="F882" s="150"/>
      <c r="G882" s="150"/>
      <c r="H882" s="150"/>
      <c r="I882" s="150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</row>
    <row r="883">
      <c r="A883" s="151">
        <v>1.0</v>
      </c>
      <c r="B883" s="156">
        <v>20879.0</v>
      </c>
      <c r="C883" s="50">
        <v>73119.0</v>
      </c>
      <c r="D883" s="150"/>
      <c r="E883" s="150"/>
      <c r="F883" s="150"/>
      <c r="G883" s="150"/>
      <c r="H883" s="150"/>
      <c r="I883" s="150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</row>
    <row r="884">
      <c r="A884" s="151">
        <v>0.0</v>
      </c>
      <c r="B884" s="148">
        <v>20880.0</v>
      </c>
      <c r="C884" s="50">
        <v>111813.0</v>
      </c>
      <c r="D884" s="150"/>
      <c r="E884" s="150"/>
      <c r="F884" s="150"/>
      <c r="G884" s="150"/>
      <c r="H884" s="150"/>
      <c r="I884" s="150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</row>
    <row r="885">
      <c r="A885" s="151">
        <v>1.0</v>
      </c>
      <c r="B885" s="148">
        <v>20881.0</v>
      </c>
      <c r="C885" s="50">
        <v>121318.0</v>
      </c>
      <c r="D885" s="150"/>
      <c r="E885" s="150"/>
      <c r="F885" s="150"/>
      <c r="G885" s="150"/>
      <c r="H885" s="150"/>
      <c r="I885" s="150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</row>
    <row r="886">
      <c r="A886" s="151">
        <v>0.0</v>
      </c>
      <c r="B886" s="156">
        <v>20882.0</v>
      </c>
      <c r="C886" s="50">
        <v>52120.0</v>
      </c>
      <c r="D886" s="150"/>
      <c r="E886" s="150"/>
      <c r="F886" s="150"/>
      <c r="G886" s="150"/>
      <c r="H886" s="150"/>
      <c r="I886" s="150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</row>
    <row r="887">
      <c r="A887" s="151">
        <v>1.0</v>
      </c>
      <c r="B887" s="156">
        <v>20883.0</v>
      </c>
      <c r="C887" s="50">
        <v>101316.0</v>
      </c>
      <c r="D887" s="150"/>
      <c r="E887" s="150"/>
      <c r="F887" s="150"/>
      <c r="G887" s="150"/>
      <c r="H887" s="150"/>
      <c r="I887" s="150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</row>
    <row r="888">
      <c r="A888" s="151">
        <v>1.0</v>
      </c>
      <c r="B888" s="148">
        <v>20884.0</v>
      </c>
      <c r="C888" s="50">
        <v>10414.0</v>
      </c>
      <c r="D888" s="150"/>
      <c r="E888" s="150"/>
      <c r="F888" s="150"/>
      <c r="G888" s="150"/>
      <c r="H888" s="150"/>
      <c r="I888" s="150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</row>
    <row r="889">
      <c r="A889" s="151">
        <v>1.0</v>
      </c>
      <c r="B889" s="148">
        <v>20885.0</v>
      </c>
      <c r="C889" s="50">
        <v>122014.0</v>
      </c>
      <c r="D889" s="150"/>
      <c r="E889" s="150"/>
      <c r="F889" s="150"/>
      <c r="G889" s="150"/>
      <c r="H889" s="150"/>
      <c r="I889" s="150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</row>
    <row r="890">
      <c r="A890" s="151">
        <v>1.0</v>
      </c>
      <c r="B890" s="156">
        <v>20886.0</v>
      </c>
      <c r="C890" s="50">
        <v>82520.0</v>
      </c>
      <c r="D890" s="150"/>
      <c r="E890" s="150"/>
      <c r="F890" s="150"/>
      <c r="G890" s="150"/>
      <c r="H890" s="150"/>
      <c r="I890" s="150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</row>
    <row r="891">
      <c r="A891" s="151">
        <v>0.0</v>
      </c>
      <c r="B891" s="156">
        <v>20887.0</v>
      </c>
      <c r="C891" s="50">
        <v>70518.0</v>
      </c>
      <c r="D891" s="150"/>
      <c r="E891" s="150"/>
      <c r="F891" s="150"/>
      <c r="G891" s="150"/>
      <c r="H891" s="150"/>
      <c r="I891" s="150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</row>
    <row r="892">
      <c r="A892" s="151">
        <v>0.0</v>
      </c>
      <c r="B892" s="148">
        <v>20888.0</v>
      </c>
      <c r="C892" s="50">
        <v>62514.0</v>
      </c>
      <c r="D892" s="150"/>
      <c r="E892" s="150"/>
      <c r="F892" s="150"/>
      <c r="G892" s="150"/>
      <c r="H892" s="150"/>
      <c r="I892" s="150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</row>
    <row r="893">
      <c r="A893" s="151">
        <v>1.0</v>
      </c>
      <c r="B893" s="148">
        <v>20889.0</v>
      </c>
      <c r="C893" s="50">
        <v>110718.0</v>
      </c>
      <c r="D893" s="150"/>
      <c r="E893" s="150"/>
      <c r="F893" s="150"/>
      <c r="G893" s="150"/>
      <c r="H893" s="150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</row>
    <row r="894">
      <c r="A894" s="151">
        <v>1.0</v>
      </c>
      <c r="B894" s="156">
        <v>20890.0</v>
      </c>
      <c r="C894" s="50">
        <v>41620.0</v>
      </c>
      <c r="D894" s="150"/>
      <c r="E894" s="150"/>
      <c r="F894" s="150"/>
      <c r="G894" s="150"/>
      <c r="H894" s="150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</row>
    <row r="895">
      <c r="A895" s="151">
        <v>0.0</v>
      </c>
      <c r="B895" s="148">
        <v>20891.0</v>
      </c>
      <c r="C895" s="50">
        <v>52417.0</v>
      </c>
      <c r="D895" s="150"/>
      <c r="E895" s="150"/>
      <c r="F895" s="150"/>
      <c r="G895" s="150"/>
      <c r="H895" s="150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</row>
    <row r="896">
      <c r="A896" s="151">
        <v>1.0</v>
      </c>
      <c r="B896" s="148">
        <v>20892.0</v>
      </c>
      <c r="C896" s="50">
        <v>12722.0</v>
      </c>
      <c r="D896" s="150"/>
      <c r="E896" s="150"/>
      <c r="F896" s="150"/>
      <c r="G896" s="150"/>
      <c r="H896" s="150"/>
      <c r="I896" s="150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</row>
    <row r="897">
      <c r="A897" s="151">
        <v>0.0</v>
      </c>
      <c r="B897" s="156">
        <v>20893.0</v>
      </c>
      <c r="C897" s="50">
        <v>92515.0</v>
      </c>
      <c r="D897" s="150"/>
      <c r="E897" s="150"/>
      <c r="F897" s="150"/>
      <c r="G897" s="150"/>
      <c r="H897" s="150"/>
      <c r="I897" s="150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</row>
    <row r="898">
      <c r="A898" s="151">
        <v>1.0</v>
      </c>
      <c r="B898" s="156">
        <v>20894.0</v>
      </c>
      <c r="C898" s="50">
        <v>62314.0</v>
      </c>
      <c r="D898" s="150"/>
      <c r="E898" s="150"/>
      <c r="F898" s="150"/>
      <c r="G898" s="150"/>
      <c r="H898" s="150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</row>
    <row r="899">
      <c r="A899" s="151">
        <v>0.0</v>
      </c>
      <c r="B899" s="148">
        <v>20895.0</v>
      </c>
      <c r="C899" s="50">
        <v>61322.0</v>
      </c>
      <c r="D899" s="150"/>
      <c r="E899" s="150"/>
      <c r="F899" s="150"/>
      <c r="G899" s="150"/>
      <c r="H899" s="150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</row>
    <row r="900">
      <c r="A900" s="151">
        <v>1.0</v>
      </c>
      <c r="B900" s="148">
        <v>20896.0</v>
      </c>
      <c r="C900" s="50">
        <v>10215.0</v>
      </c>
      <c r="D900" s="150"/>
      <c r="E900" s="150"/>
      <c r="F900" s="150"/>
      <c r="G900" s="150"/>
      <c r="H900" s="150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</row>
    <row r="901">
      <c r="A901" s="151">
        <v>1.0</v>
      </c>
      <c r="B901" s="156">
        <v>20897.0</v>
      </c>
      <c r="C901" s="50">
        <v>52017.0</v>
      </c>
      <c r="D901" s="150"/>
      <c r="E901" s="150"/>
      <c r="F901" s="150"/>
      <c r="G901" s="150"/>
      <c r="H901" s="150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</row>
    <row r="902">
      <c r="A902" s="151">
        <v>1.0</v>
      </c>
      <c r="B902" s="156">
        <v>20898.0</v>
      </c>
      <c r="C902" s="50">
        <v>30820.0</v>
      </c>
      <c r="D902" s="150"/>
      <c r="E902" s="150"/>
      <c r="F902" s="150"/>
      <c r="G902" s="150"/>
      <c r="H902" s="150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</row>
    <row r="903">
      <c r="A903" s="151">
        <v>1.0</v>
      </c>
      <c r="B903" s="148">
        <v>20899.0</v>
      </c>
      <c r="C903" s="50">
        <v>32616.0</v>
      </c>
      <c r="D903" s="150"/>
      <c r="E903" s="150"/>
      <c r="F903" s="150"/>
      <c r="G903" s="150"/>
      <c r="H903" s="150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</row>
    <row r="904">
      <c r="A904" s="151">
        <v>0.0</v>
      </c>
      <c r="B904" s="148">
        <v>20900.0</v>
      </c>
      <c r="C904" s="50">
        <v>83021.0</v>
      </c>
      <c r="D904" s="150"/>
      <c r="E904" s="150"/>
      <c r="F904" s="150"/>
      <c r="G904" s="150"/>
      <c r="H904" s="150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</row>
    <row r="905">
      <c r="A905" s="151">
        <v>1.0</v>
      </c>
      <c r="B905" s="156">
        <v>20901.0</v>
      </c>
      <c r="C905" s="50">
        <v>41514.0</v>
      </c>
      <c r="D905" s="150"/>
      <c r="E905" s="150"/>
      <c r="F905" s="150"/>
      <c r="G905" s="150"/>
      <c r="H905" s="150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</row>
    <row r="906">
      <c r="A906" s="151">
        <v>1.0</v>
      </c>
      <c r="B906" s="148">
        <v>20902.0</v>
      </c>
      <c r="C906" s="50">
        <v>72919.0</v>
      </c>
      <c r="D906" s="150"/>
      <c r="E906" s="150"/>
      <c r="F906" s="150"/>
      <c r="G906" s="150"/>
      <c r="H906" s="150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</row>
    <row r="907">
      <c r="A907" s="151">
        <v>1.0</v>
      </c>
      <c r="B907" s="148">
        <v>20903.0</v>
      </c>
      <c r="C907" s="50">
        <v>71715.0</v>
      </c>
      <c r="D907" s="150"/>
      <c r="E907" s="150"/>
      <c r="F907" s="150"/>
      <c r="G907" s="150"/>
      <c r="H907" s="150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</row>
    <row r="908">
      <c r="A908" s="151">
        <v>1.0</v>
      </c>
      <c r="B908" s="156">
        <v>20904.0</v>
      </c>
      <c r="C908" s="50">
        <v>71721.0</v>
      </c>
      <c r="D908" s="150"/>
      <c r="E908" s="150"/>
      <c r="F908" s="150"/>
      <c r="G908" s="150"/>
      <c r="H908" s="150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</row>
    <row r="909">
      <c r="A909" s="151">
        <v>1.0</v>
      </c>
      <c r="B909" s="156">
        <v>20905.0</v>
      </c>
      <c r="C909" s="50">
        <v>90915.0</v>
      </c>
      <c r="D909" s="150"/>
      <c r="E909" s="150"/>
      <c r="F909" s="150"/>
      <c r="G909" s="150"/>
      <c r="H909" s="150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</row>
    <row r="910">
      <c r="A910" s="151">
        <v>0.0</v>
      </c>
      <c r="B910" s="148">
        <v>20906.0</v>
      </c>
      <c r="C910" s="50">
        <v>111519.0</v>
      </c>
      <c r="D910" s="150"/>
      <c r="E910" s="150"/>
      <c r="F910" s="150"/>
      <c r="G910" s="150"/>
      <c r="H910" s="150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</row>
    <row r="911">
      <c r="A911" s="151">
        <v>1.0</v>
      </c>
      <c r="B911" s="148">
        <v>20907.0</v>
      </c>
      <c r="C911" s="50">
        <v>10617.0</v>
      </c>
      <c r="D911" s="150"/>
      <c r="E911" s="150"/>
      <c r="F911" s="150"/>
      <c r="G911" s="150"/>
      <c r="H911" s="150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</row>
    <row r="912">
      <c r="A912" s="151">
        <v>0.0</v>
      </c>
      <c r="B912" s="156">
        <v>20908.0</v>
      </c>
      <c r="C912" s="50">
        <v>111018.0</v>
      </c>
      <c r="D912" s="150"/>
      <c r="E912" s="150"/>
      <c r="F912" s="150"/>
      <c r="G912" s="150"/>
      <c r="H912" s="150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</row>
    <row r="913">
      <c r="A913" s="151">
        <v>0.0</v>
      </c>
      <c r="B913" s="156">
        <v>20909.0</v>
      </c>
      <c r="C913" s="50">
        <v>11417.0</v>
      </c>
      <c r="D913" s="150"/>
      <c r="E913" s="150"/>
      <c r="F913" s="150"/>
      <c r="G913" s="150"/>
      <c r="H913" s="150"/>
      <c r="I913" s="150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</row>
    <row r="914">
      <c r="A914" s="151">
        <v>0.0</v>
      </c>
      <c r="B914" s="148">
        <v>20910.0</v>
      </c>
      <c r="C914" s="50">
        <v>81615.0</v>
      </c>
      <c r="D914" s="150"/>
      <c r="E914" s="150"/>
      <c r="F914" s="150"/>
      <c r="G914" s="150"/>
      <c r="H914" s="150"/>
      <c r="I914" s="150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</row>
    <row r="915">
      <c r="A915" s="151">
        <v>0.0</v>
      </c>
      <c r="B915" s="148">
        <v>20911.0</v>
      </c>
      <c r="C915" s="50">
        <v>91720.0</v>
      </c>
      <c r="D915" s="150"/>
      <c r="E915" s="150"/>
      <c r="F915" s="150"/>
      <c r="G915" s="150"/>
      <c r="H915" s="150"/>
      <c r="I915" s="150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</row>
    <row r="916">
      <c r="A916" s="151">
        <v>1.0</v>
      </c>
      <c r="B916" s="156">
        <v>20912.0</v>
      </c>
      <c r="C916" s="50">
        <v>71415.0</v>
      </c>
      <c r="D916" s="150"/>
      <c r="E916" s="150"/>
      <c r="F916" s="150"/>
      <c r="G916" s="150"/>
      <c r="H916" s="150"/>
      <c r="I916" s="150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</row>
    <row r="917">
      <c r="A917" s="151">
        <v>1.0</v>
      </c>
      <c r="B917" s="148">
        <v>20913.0</v>
      </c>
      <c r="C917" s="50">
        <v>30714.0</v>
      </c>
      <c r="D917" s="150"/>
      <c r="E917" s="150"/>
      <c r="F917" s="150"/>
      <c r="G917" s="150"/>
      <c r="H917" s="150"/>
      <c r="I917" s="150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</row>
    <row r="918">
      <c r="A918" s="151">
        <v>1.0</v>
      </c>
      <c r="B918" s="148">
        <v>20914.0</v>
      </c>
      <c r="C918" s="50">
        <v>71416.0</v>
      </c>
      <c r="D918" s="150"/>
      <c r="E918" s="150"/>
      <c r="F918" s="150"/>
      <c r="G918" s="150"/>
      <c r="H918" s="150"/>
      <c r="I918" s="150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</row>
    <row r="919">
      <c r="A919" s="151">
        <v>1.0</v>
      </c>
      <c r="B919" s="156">
        <v>20915.0</v>
      </c>
      <c r="C919" s="50">
        <v>91315.0</v>
      </c>
      <c r="D919" s="150"/>
      <c r="E919" s="150"/>
      <c r="F919" s="150"/>
      <c r="G919" s="150"/>
      <c r="H919" s="150"/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</row>
    <row r="920">
      <c r="A920" s="151">
        <v>1.0</v>
      </c>
      <c r="B920" s="156">
        <v>20916.0</v>
      </c>
      <c r="C920" s="50">
        <v>112022.0</v>
      </c>
      <c r="D920" s="150"/>
      <c r="E920" s="150"/>
      <c r="F920" s="150"/>
      <c r="G920" s="150"/>
      <c r="H920" s="150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</row>
    <row r="921">
      <c r="A921" s="151">
        <v>0.0</v>
      </c>
      <c r="B921" s="148">
        <v>20917.0</v>
      </c>
      <c r="C921" s="50">
        <v>122221.0</v>
      </c>
      <c r="D921" s="150"/>
      <c r="E921" s="150"/>
      <c r="F921" s="150"/>
      <c r="G921" s="150"/>
      <c r="H921" s="150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</row>
    <row r="922">
      <c r="A922" s="151">
        <v>0.0</v>
      </c>
      <c r="B922" s="148">
        <v>20918.0</v>
      </c>
      <c r="C922" s="50">
        <v>62717.0</v>
      </c>
      <c r="D922" s="150"/>
      <c r="E922" s="150"/>
      <c r="F922" s="150"/>
      <c r="G922" s="150"/>
      <c r="H922" s="150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</row>
    <row r="923">
      <c r="A923" s="151">
        <v>0.0</v>
      </c>
      <c r="B923" s="156">
        <v>20919.0</v>
      </c>
      <c r="C923" s="50">
        <v>61713.0</v>
      </c>
      <c r="D923" s="150"/>
      <c r="E923" s="150"/>
      <c r="F923" s="150"/>
      <c r="G923" s="150"/>
      <c r="H923" s="150"/>
      <c r="I923" s="150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</row>
    <row r="924">
      <c r="A924" s="151">
        <v>1.0</v>
      </c>
      <c r="B924" s="156">
        <v>20920.0</v>
      </c>
      <c r="C924" s="50">
        <v>41118.0</v>
      </c>
      <c r="D924" s="150"/>
      <c r="E924" s="150"/>
      <c r="F924" s="150"/>
      <c r="G924" s="150"/>
      <c r="H924" s="150"/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</row>
    <row r="925">
      <c r="A925" s="151">
        <v>0.0</v>
      </c>
      <c r="B925" s="148">
        <v>20921.0</v>
      </c>
      <c r="C925" s="50">
        <v>52917.0</v>
      </c>
      <c r="D925" s="150"/>
      <c r="E925" s="150"/>
      <c r="F925" s="150"/>
      <c r="G925" s="150"/>
      <c r="H925" s="150"/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</row>
    <row r="926">
      <c r="A926" s="151">
        <v>0.0</v>
      </c>
      <c r="B926" s="148">
        <v>20922.0</v>
      </c>
      <c r="C926" s="50">
        <v>70320.0</v>
      </c>
      <c r="D926" s="150"/>
      <c r="E926" s="150"/>
      <c r="F926" s="150"/>
      <c r="G926" s="150"/>
      <c r="H926" s="150"/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</row>
    <row r="927">
      <c r="A927" s="151">
        <v>0.0</v>
      </c>
      <c r="B927" s="156">
        <v>20923.0</v>
      </c>
      <c r="C927" s="50">
        <v>82822.0</v>
      </c>
      <c r="D927" s="150"/>
      <c r="E927" s="150"/>
      <c r="F927" s="150"/>
      <c r="G927" s="150"/>
      <c r="H927" s="150"/>
      <c r="I927" s="150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</row>
    <row r="928">
      <c r="A928" s="151">
        <v>0.0</v>
      </c>
      <c r="B928" s="148">
        <v>20924.0</v>
      </c>
      <c r="C928" s="50">
        <v>82121.0</v>
      </c>
      <c r="D928" s="150"/>
      <c r="E928" s="150"/>
      <c r="F928" s="150"/>
      <c r="G928" s="150"/>
      <c r="H928" s="150"/>
      <c r="I928" s="150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</row>
    <row r="929">
      <c r="A929" s="151">
        <v>0.0</v>
      </c>
      <c r="B929" s="148">
        <v>20925.0</v>
      </c>
      <c r="C929" s="50">
        <v>122621.0</v>
      </c>
      <c r="D929" s="150"/>
      <c r="E929" s="150"/>
      <c r="F929" s="150"/>
      <c r="G929" s="150"/>
      <c r="H929" s="150"/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</row>
    <row r="930">
      <c r="A930" s="151">
        <v>1.0</v>
      </c>
      <c r="B930" s="156">
        <v>20926.0</v>
      </c>
      <c r="C930" s="50">
        <v>41713.0</v>
      </c>
      <c r="D930" s="150"/>
      <c r="E930" s="150"/>
      <c r="F930" s="150"/>
      <c r="G930" s="150"/>
      <c r="H930" s="150"/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</row>
    <row r="931">
      <c r="A931" s="151">
        <v>0.0</v>
      </c>
      <c r="B931" s="156">
        <v>20927.0</v>
      </c>
      <c r="C931" s="50">
        <v>31917.0</v>
      </c>
      <c r="D931" s="150"/>
      <c r="E931" s="150"/>
      <c r="F931" s="150"/>
      <c r="G931" s="150"/>
      <c r="H931" s="150"/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</row>
    <row r="932">
      <c r="A932" s="151">
        <v>1.0</v>
      </c>
      <c r="B932" s="148">
        <v>20928.0</v>
      </c>
      <c r="C932" s="50">
        <v>102218.0</v>
      </c>
      <c r="D932" s="150"/>
      <c r="E932" s="150"/>
      <c r="F932" s="150"/>
      <c r="G932" s="150"/>
      <c r="H932" s="150"/>
      <c r="I932" s="150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</row>
    <row r="933">
      <c r="A933" s="151">
        <v>0.0</v>
      </c>
      <c r="B933" s="148">
        <v>20929.0</v>
      </c>
      <c r="C933" s="50">
        <v>122315.0</v>
      </c>
      <c r="D933" s="150"/>
      <c r="E933" s="150"/>
      <c r="F933" s="150"/>
      <c r="G933" s="150"/>
      <c r="H933" s="150"/>
      <c r="I933" s="150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</row>
    <row r="934">
      <c r="A934" s="151">
        <v>0.0</v>
      </c>
      <c r="B934" s="156">
        <v>20930.0</v>
      </c>
      <c r="C934" s="50">
        <v>120814.0</v>
      </c>
      <c r="D934" s="150"/>
      <c r="E934" s="150"/>
      <c r="F934" s="150"/>
      <c r="G934" s="150"/>
      <c r="H934" s="150"/>
      <c r="I934" s="150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</row>
    <row r="935">
      <c r="A935" s="151">
        <v>0.0</v>
      </c>
      <c r="B935" s="156">
        <v>20931.0</v>
      </c>
      <c r="C935" s="50">
        <v>20817.0</v>
      </c>
      <c r="D935" s="150"/>
      <c r="E935" s="150"/>
      <c r="F935" s="150"/>
      <c r="G935" s="150"/>
      <c r="H935" s="150"/>
      <c r="I935" s="150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</row>
    <row r="936">
      <c r="A936" s="151">
        <v>1.0</v>
      </c>
      <c r="B936" s="148">
        <v>20932.0</v>
      </c>
      <c r="C936" s="50">
        <v>31315.0</v>
      </c>
      <c r="D936" s="150"/>
      <c r="E936" s="150"/>
      <c r="F936" s="150"/>
      <c r="G936" s="150"/>
      <c r="H936" s="150"/>
      <c r="I936" s="150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</row>
    <row r="937">
      <c r="A937" s="151">
        <v>1.0</v>
      </c>
      <c r="B937" s="148">
        <v>20933.0</v>
      </c>
      <c r="C937" s="50">
        <v>111014.0</v>
      </c>
      <c r="D937" s="150"/>
      <c r="E937" s="150"/>
      <c r="F937" s="150"/>
      <c r="G937" s="150"/>
      <c r="H937" s="150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</row>
    <row r="938">
      <c r="A938" s="151">
        <v>1.0</v>
      </c>
      <c r="B938" s="156">
        <v>20934.0</v>
      </c>
      <c r="C938" s="50">
        <v>32017.0</v>
      </c>
      <c r="D938" s="150"/>
      <c r="E938" s="150"/>
      <c r="F938" s="150"/>
      <c r="G938" s="150"/>
      <c r="H938" s="150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</row>
    <row r="939">
      <c r="A939" s="151">
        <v>0.0</v>
      </c>
      <c r="B939" s="148">
        <v>20935.0</v>
      </c>
      <c r="C939" s="50">
        <v>121520.0</v>
      </c>
      <c r="D939" s="150"/>
      <c r="E939" s="150"/>
      <c r="F939" s="150"/>
      <c r="G939" s="150"/>
      <c r="H939" s="150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</row>
    <row r="940">
      <c r="A940" s="151">
        <v>1.0</v>
      </c>
      <c r="B940" s="148">
        <v>20936.0</v>
      </c>
      <c r="C940" s="50">
        <v>121013.0</v>
      </c>
      <c r="D940" s="150"/>
      <c r="E940" s="150"/>
      <c r="F940" s="150"/>
      <c r="G940" s="150"/>
      <c r="H940" s="150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</row>
    <row r="941">
      <c r="A941" s="151">
        <v>1.0</v>
      </c>
      <c r="B941" s="156">
        <v>20937.0</v>
      </c>
      <c r="C941" s="50">
        <v>12013.0</v>
      </c>
      <c r="D941" s="150"/>
      <c r="E941" s="150"/>
      <c r="F941" s="150"/>
      <c r="G941" s="150"/>
      <c r="H941" s="150"/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</row>
    <row r="942">
      <c r="A942" s="151">
        <v>0.0</v>
      </c>
      <c r="B942" s="156">
        <v>20938.0</v>
      </c>
      <c r="C942" s="50">
        <v>71217.0</v>
      </c>
      <c r="D942" s="150"/>
      <c r="E942" s="150"/>
      <c r="F942" s="150"/>
      <c r="G942" s="150"/>
      <c r="H942" s="150"/>
      <c r="I942" s="150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</row>
    <row r="943">
      <c r="A943" s="151">
        <v>1.0</v>
      </c>
      <c r="B943" s="148">
        <v>20939.0</v>
      </c>
      <c r="C943" s="50">
        <v>110516.0</v>
      </c>
      <c r="D943" s="150"/>
      <c r="E943" s="150"/>
      <c r="F943" s="150"/>
      <c r="G943" s="150"/>
      <c r="H943" s="150"/>
      <c r="I943" s="150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</row>
    <row r="944">
      <c r="A944" s="151">
        <v>1.0</v>
      </c>
      <c r="B944" s="148">
        <v>20940.0</v>
      </c>
      <c r="C944" s="50">
        <v>110922.0</v>
      </c>
      <c r="D944" s="150"/>
      <c r="E944" s="150"/>
      <c r="F944" s="150"/>
      <c r="G944" s="150"/>
      <c r="H944" s="150"/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</row>
    <row r="945">
      <c r="A945" s="151">
        <v>1.0</v>
      </c>
      <c r="B945" s="156">
        <v>20941.0</v>
      </c>
      <c r="C945" s="50">
        <v>20819.0</v>
      </c>
      <c r="D945" s="150"/>
      <c r="E945" s="150"/>
      <c r="F945" s="150"/>
      <c r="G945" s="150"/>
      <c r="H945" s="150"/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</row>
    <row r="946">
      <c r="A946" s="151">
        <v>1.0</v>
      </c>
      <c r="B946" s="156">
        <v>20942.0</v>
      </c>
      <c r="C946" s="50">
        <v>62213.0</v>
      </c>
      <c r="D946" s="150"/>
      <c r="E946" s="150"/>
      <c r="F946" s="150"/>
      <c r="G946" s="150"/>
      <c r="H946" s="150"/>
      <c r="I946" s="150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</row>
    <row r="947">
      <c r="A947" s="151">
        <v>1.0</v>
      </c>
      <c r="B947" s="148">
        <v>20943.0</v>
      </c>
      <c r="C947" s="50">
        <v>22920.0</v>
      </c>
      <c r="D947" s="150"/>
      <c r="E947" s="150"/>
      <c r="F947" s="150"/>
      <c r="G947" s="150"/>
      <c r="H947" s="150"/>
      <c r="I947" s="150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</row>
    <row r="948">
      <c r="A948" s="151">
        <v>1.0</v>
      </c>
      <c r="B948" s="148">
        <v>20944.0</v>
      </c>
      <c r="C948" s="50">
        <v>110918.0</v>
      </c>
      <c r="D948" s="150"/>
      <c r="E948" s="150"/>
      <c r="F948" s="150"/>
      <c r="G948" s="150"/>
      <c r="H948" s="150"/>
      <c r="I948" s="150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</row>
    <row r="949">
      <c r="A949" s="151">
        <v>1.0</v>
      </c>
      <c r="B949" s="156">
        <v>20945.0</v>
      </c>
      <c r="C949" s="50">
        <v>101022.0</v>
      </c>
      <c r="D949" s="150"/>
      <c r="E949" s="150"/>
      <c r="F949" s="150"/>
      <c r="G949" s="150"/>
      <c r="H949" s="150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</row>
    <row r="950">
      <c r="A950" s="151">
        <v>0.0</v>
      </c>
      <c r="B950" s="148">
        <v>20946.0</v>
      </c>
      <c r="C950" s="50">
        <v>60218.0</v>
      </c>
      <c r="D950" s="150"/>
      <c r="E950" s="150"/>
      <c r="F950" s="150"/>
      <c r="G950" s="150"/>
      <c r="H950" s="150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</row>
    <row r="951">
      <c r="A951" s="151">
        <v>0.0</v>
      </c>
      <c r="B951" s="148">
        <v>20947.0</v>
      </c>
      <c r="C951" s="50">
        <v>42419.0</v>
      </c>
      <c r="D951" s="150"/>
      <c r="E951" s="150"/>
      <c r="F951" s="150"/>
      <c r="G951" s="150"/>
      <c r="H951" s="150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</row>
    <row r="952">
      <c r="A952" s="151">
        <v>0.0</v>
      </c>
      <c r="B952" s="156">
        <v>20948.0</v>
      </c>
      <c r="C952" s="50">
        <v>51822.0</v>
      </c>
      <c r="D952" s="150"/>
      <c r="E952" s="150"/>
      <c r="F952" s="150"/>
      <c r="G952" s="150"/>
      <c r="H952" s="150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</row>
    <row r="953">
      <c r="A953" s="151">
        <v>0.0</v>
      </c>
      <c r="B953" s="156">
        <v>20949.0</v>
      </c>
      <c r="C953" s="50">
        <v>72217.0</v>
      </c>
      <c r="D953" s="150"/>
      <c r="E953" s="150"/>
      <c r="F953" s="150"/>
      <c r="G953" s="150"/>
      <c r="H953" s="150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</row>
    <row r="954">
      <c r="A954" s="151">
        <v>0.0</v>
      </c>
      <c r="B954" s="148">
        <v>20950.0</v>
      </c>
      <c r="C954" s="50">
        <v>62021.0</v>
      </c>
      <c r="D954" s="150"/>
      <c r="E954" s="150"/>
      <c r="F954" s="150"/>
      <c r="G954" s="150"/>
      <c r="H954" s="150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</row>
    <row r="955">
      <c r="A955" s="151">
        <v>1.0</v>
      </c>
      <c r="B955" s="148">
        <v>20951.0</v>
      </c>
      <c r="C955" s="50">
        <v>11321.0</v>
      </c>
      <c r="D955" s="150"/>
      <c r="E955" s="150"/>
      <c r="F955" s="150"/>
      <c r="G955" s="150"/>
      <c r="H955" s="150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</row>
    <row r="956">
      <c r="A956" s="151">
        <v>1.0</v>
      </c>
      <c r="B956" s="156">
        <v>20952.0</v>
      </c>
      <c r="C956" s="50">
        <v>42117.0</v>
      </c>
      <c r="D956" s="150"/>
      <c r="E956" s="150"/>
      <c r="F956" s="150"/>
      <c r="G956" s="150"/>
      <c r="H956" s="150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</row>
    <row r="957">
      <c r="A957" s="151">
        <v>1.0</v>
      </c>
      <c r="B957" s="156">
        <v>20953.0</v>
      </c>
      <c r="C957" s="50">
        <v>100616.0</v>
      </c>
      <c r="D957" s="150"/>
      <c r="E957" s="150"/>
      <c r="F957" s="150"/>
      <c r="G957" s="150"/>
      <c r="H957" s="150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</row>
    <row r="958">
      <c r="A958" s="151">
        <v>1.0</v>
      </c>
      <c r="B958" s="148">
        <v>20954.0</v>
      </c>
      <c r="C958" s="50">
        <v>112114.0</v>
      </c>
      <c r="D958" s="150"/>
      <c r="E958" s="150"/>
      <c r="F958" s="150"/>
      <c r="G958" s="150"/>
      <c r="H958" s="150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</row>
    <row r="959">
      <c r="A959" s="151">
        <v>0.0</v>
      </c>
      <c r="B959" s="148">
        <v>20955.0</v>
      </c>
      <c r="C959" s="50">
        <v>90322.0</v>
      </c>
      <c r="D959" s="150"/>
      <c r="E959" s="150"/>
      <c r="F959" s="150"/>
      <c r="G959" s="150"/>
      <c r="H959" s="150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</row>
    <row r="960">
      <c r="A960" s="151">
        <v>1.0</v>
      </c>
      <c r="B960" s="156">
        <v>20956.0</v>
      </c>
      <c r="C960" s="50">
        <v>51417.0</v>
      </c>
      <c r="D960" s="150"/>
      <c r="E960" s="150"/>
      <c r="F960" s="150"/>
      <c r="G960" s="150"/>
      <c r="H960" s="150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</row>
    <row r="961">
      <c r="A961" s="151">
        <v>1.0</v>
      </c>
      <c r="B961" s="148">
        <v>20957.0</v>
      </c>
      <c r="C961" s="50">
        <v>80218.0</v>
      </c>
      <c r="D961" s="150"/>
      <c r="E961" s="150"/>
      <c r="F961" s="150"/>
      <c r="G961" s="150"/>
      <c r="H961" s="150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</row>
    <row r="962">
      <c r="A962" s="151">
        <v>1.0</v>
      </c>
      <c r="B962" s="148">
        <v>20958.0</v>
      </c>
      <c r="C962" s="50">
        <v>22517.0</v>
      </c>
      <c r="D962" s="150"/>
      <c r="E962" s="150"/>
      <c r="F962" s="150"/>
      <c r="G962" s="150"/>
      <c r="H962" s="150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</row>
    <row r="963">
      <c r="A963" s="151">
        <v>1.0</v>
      </c>
      <c r="B963" s="156">
        <v>20959.0</v>
      </c>
      <c r="C963" s="50">
        <v>110721.0</v>
      </c>
      <c r="D963" s="150"/>
      <c r="E963" s="150"/>
      <c r="F963" s="150"/>
      <c r="G963" s="150"/>
      <c r="H963" s="150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</row>
    <row r="964">
      <c r="A964" s="151">
        <v>1.0</v>
      </c>
      <c r="B964" s="156">
        <v>20960.0</v>
      </c>
      <c r="C964" s="50">
        <v>71616.0</v>
      </c>
      <c r="D964" s="150"/>
      <c r="E964" s="150"/>
      <c r="F964" s="150"/>
      <c r="G964" s="150"/>
      <c r="H964" s="150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</row>
    <row r="965">
      <c r="A965" s="151">
        <v>0.0</v>
      </c>
      <c r="B965" s="148">
        <v>20961.0</v>
      </c>
      <c r="C965" s="50">
        <v>92120.0</v>
      </c>
      <c r="D965" s="150"/>
      <c r="E965" s="150"/>
      <c r="F965" s="150"/>
      <c r="G965" s="150"/>
      <c r="H965" s="150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</row>
    <row r="966">
      <c r="A966" s="151">
        <v>0.0</v>
      </c>
      <c r="B966" s="148">
        <v>20962.0</v>
      </c>
      <c r="C966" s="50">
        <v>41414.0</v>
      </c>
      <c r="D966" s="150"/>
      <c r="E966" s="150"/>
      <c r="F966" s="150"/>
      <c r="G966" s="150"/>
      <c r="H966" s="150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</row>
    <row r="967">
      <c r="A967" s="151">
        <v>0.0</v>
      </c>
      <c r="B967" s="156">
        <v>20963.0</v>
      </c>
      <c r="C967" s="50">
        <v>50921.0</v>
      </c>
      <c r="D967" s="150"/>
      <c r="E967" s="150"/>
      <c r="F967" s="150"/>
      <c r="G967" s="150"/>
      <c r="H967" s="150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</row>
    <row r="968">
      <c r="A968" s="151">
        <v>1.0</v>
      </c>
      <c r="B968" s="156">
        <v>20964.0</v>
      </c>
      <c r="C968" s="50">
        <v>22221.0</v>
      </c>
      <c r="D968" s="150"/>
      <c r="E968" s="150"/>
      <c r="F968" s="150"/>
      <c r="G968" s="150"/>
      <c r="H968" s="150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</row>
    <row r="969">
      <c r="A969" s="151">
        <v>1.0</v>
      </c>
      <c r="B969" s="148">
        <v>20965.0</v>
      </c>
      <c r="C969" s="50">
        <v>40717.0</v>
      </c>
      <c r="D969" s="150"/>
      <c r="E969" s="150"/>
      <c r="F969" s="150"/>
      <c r="G969" s="150"/>
      <c r="H969" s="150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</row>
    <row r="970">
      <c r="A970" s="151">
        <v>0.0</v>
      </c>
      <c r="B970" s="148">
        <v>20966.0</v>
      </c>
      <c r="C970" s="50">
        <v>60820.0</v>
      </c>
      <c r="D970" s="150"/>
      <c r="E970" s="150"/>
      <c r="F970" s="150"/>
      <c r="G970" s="150"/>
      <c r="H970" s="150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</row>
    <row r="971">
      <c r="A971" s="151">
        <v>1.0</v>
      </c>
      <c r="B971" s="156">
        <v>20967.0</v>
      </c>
      <c r="C971" s="50">
        <v>30718.0</v>
      </c>
      <c r="D971" s="150"/>
      <c r="E971" s="150"/>
      <c r="F971" s="150"/>
      <c r="G971" s="150"/>
      <c r="H971" s="150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</row>
    <row r="972">
      <c r="A972" s="151">
        <v>1.0</v>
      </c>
      <c r="B972" s="148">
        <v>20968.0</v>
      </c>
      <c r="C972" s="50">
        <v>101716.0</v>
      </c>
      <c r="D972" s="150"/>
      <c r="E972" s="150"/>
      <c r="F972" s="150"/>
      <c r="G972" s="150"/>
      <c r="H972" s="150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</row>
    <row r="973">
      <c r="A973" s="151">
        <v>1.0</v>
      </c>
      <c r="B973" s="148">
        <v>20969.0</v>
      </c>
      <c r="C973" s="50">
        <v>63015.0</v>
      </c>
      <c r="D973" s="150"/>
      <c r="E973" s="150"/>
      <c r="F973" s="150"/>
      <c r="G973" s="150"/>
      <c r="H973" s="150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</row>
    <row r="974">
      <c r="A974" s="151">
        <v>0.0</v>
      </c>
      <c r="B974" s="156">
        <v>20970.0</v>
      </c>
      <c r="C974" s="50">
        <v>100313.0</v>
      </c>
      <c r="D974" s="150"/>
      <c r="E974" s="150"/>
      <c r="F974" s="150"/>
      <c r="G974" s="150"/>
      <c r="H974" s="150"/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</row>
    <row r="975">
      <c r="A975" s="151">
        <v>0.0</v>
      </c>
      <c r="B975" s="156">
        <v>20971.0</v>
      </c>
      <c r="C975" s="50">
        <v>12222.0</v>
      </c>
      <c r="D975" s="150"/>
      <c r="E975" s="150"/>
      <c r="F975" s="150"/>
      <c r="G975" s="150"/>
      <c r="H975" s="150"/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</row>
    <row r="976">
      <c r="A976" s="151">
        <v>0.0</v>
      </c>
      <c r="B976" s="148">
        <v>20972.0</v>
      </c>
      <c r="C976" s="50">
        <v>112118.0</v>
      </c>
      <c r="D976" s="150"/>
      <c r="E976" s="150"/>
      <c r="F976" s="150"/>
      <c r="G976" s="150"/>
      <c r="H976" s="150"/>
      <c r="I976" s="150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</row>
    <row r="977">
      <c r="A977" s="151">
        <v>0.0</v>
      </c>
      <c r="B977" s="148">
        <v>20973.0</v>
      </c>
      <c r="C977" s="50">
        <v>50613.0</v>
      </c>
      <c r="D977" s="150"/>
      <c r="E977" s="150"/>
      <c r="F977" s="150"/>
      <c r="G977" s="150"/>
      <c r="H977" s="150"/>
      <c r="I977" s="150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</row>
    <row r="978">
      <c r="A978" s="151">
        <v>1.0</v>
      </c>
      <c r="B978" s="156">
        <v>20974.0</v>
      </c>
      <c r="C978" s="50">
        <v>50120.0</v>
      </c>
      <c r="D978" s="150"/>
      <c r="E978" s="150"/>
      <c r="F978" s="150"/>
      <c r="G978" s="150"/>
      <c r="H978" s="150"/>
      <c r="I978" s="150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</row>
    <row r="979">
      <c r="A979" s="151">
        <v>1.0</v>
      </c>
      <c r="B979" s="156">
        <v>20975.0</v>
      </c>
      <c r="C979" s="50">
        <v>92415.0</v>
      </c>
      <c r="D979" s="150"/>
      <c r="E979" s="150"/>
      <c r="F979" s="150"/>
      <c r="G979" s="150"/>
      <c r="H979" s="150"/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</row>
    <row r="980">
      <c r="A980" s="151">
        <v>1.0</v>
      </c>
      <c r="B980" s="148">
        <v>20976.0</v>
      </c>
      <c r="C980" s="50">
        <v>21213.0</v>
      </c>
      <c r="D980" s="150"/>
      <c r="E980" s="150"/>
      <c r="F980" s="150"/>
      <c r="G980" s="150"/>
      <c r="H980" s="150"/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</row>
    <row r="981">
      <c r="A981" s="151">
        <v>0.0</v>
      </c>
      <c r="B981" s="148">
        <v>20977.0</v>
      </c>
      <c r="C981" s="50">
        <v>111921.0</v>
      </c>
      <c r="D981" s="150"/>
      <c r="E981" s="150"/>
      <c r="F981" s="150"/>
      <c r="G981" s="150"/>
      <c r="H981" s="150"/>
      <c r="I981" s="150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</row>
    <row r="982">
      <c r="A982" s="151">
        <v>0.0</v>
      </c>
      <c r="B982" s="156">
        <v>20978.0</v>
      </c>
      <c r="C982" s="50">
        <v>120315.0</v>
      </c>
      <c r="D982" s="150"/>
      <c r="E982" s="150"/>
      <c r="F982" s="150"/>
      <c r="G982" s="150"/>
      <c r="H982" s="150"/>
      <c r="I982" s="150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</row>
    <row r="983">
      <c r="A983" s="151">
        <v>1.0</v>
      </c>
      <c r="B983" s="148">
        <v>20979.0</v>
      </c>
      <c r="C983" s="50">
        <v>70314.0</v>
      </c>
      <c r="D983" s="150"/>
      <c r="E983" s="150"/>
      <c r="F983" s="150"/>
      <c r="G983" s="150"/>
      <c r="H983" s="150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</row>
    <row r="984">
      <c r="A984" s="151">
        <v>0.0</v>
      </c>
      <c r="B984" s="148">
        <v>20980.0</v>
      </c>
      <c r="C984" s="50">
        <v>62319.0</v>
      </c>
      <c r="D984" s="150"/>
      <c r="E984" s="150"/>
      <c r="F984" s="150"/>
      <c r="G984" s="150"/>
      <c r="H984" s="150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</row>
    <row r="985">
      <c r="A985" s="151">
        <v>1.0</v>
      </c>
      <c r="B985" s="156">
        <v>20981.0</v>
      </c>
      <c r="C985" s="50">
        <v>103018.0</v>
      </c>
      <c r="D985" s="150"/>
      <c r="E985" s="150"/>
      <c r="F985" s="150"/>
      <c r="G985" s="150"/>
      <c r="H985" s="150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</row>
    <row r="986">
      <c r="A986" s="151">
        <v>1.0</v>
      </c>
      <c r="B986" s="156">
        <v>20982.0</v>
      </c>
      <c r="C986" s="50">
        <v>122521.0</v>
      </c>
      <c r="D986" s="150"/>
      <c r="E986" s="150"/>
      <c r="F986" s="150"/>
      <c r="G986" s="150"/>
      <c r="H986" s="150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</row>
    <row r="987">
      <c r="A987" s="151">
        <v>0.0</v>
      </c>
      <c r="B987" s="148">
        <v>20983.0</v>
      </c>
      <c r="C987" s="50">
        <v>62220.0</v>
      </c>
      <c r="D987" s="150"/>
      <c r="E987" s="150"/>
      <c r="F987" s="150"/>
      <c r="G987" s="150"/>
      <c r="H987" s="150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</row>
    <row r="988">
      <c r="A988" s="151">
        <v>1.0</v>
      </c>
      <c r="B988" s="148">
        <v>20984.0</v>
      </c>
      <c r="C988" s="50">
        <v>40518.0</v>
      </c>
      <c r="D988" s="150"/>
      <c r="E988" s="150"/>
      <c r="F988" s="150"/>
      <c r="G988" s="150"/>
      <c r="H988" s="150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</row>
    <row r="989">
      <c r="A989" s="151">
        <v>1.0</v>
      </c>
      <c r="B989" s="156">
        <v>20985.0</v>
      </c>
      <c r="C989" s="50">
        <v>62316.0</v>
      </c>
      <c r="D989" s="150"/>
      <c r="E989" s="150"/>
      <c r="F989" s="150"/>
      <c r="G989" s="150"/>
      <c r="H989" s="150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</row>
    <row r="990">
      <c r="A990" s="151">
        <v>0.0</v>
      </c>
      <c r="B990" s="156">
        <v>20986.0</v>
      </c>
      <c r="C990" s="50">
        <v>121219.0</v>
      </c>
      <c r="D990" s="150"/>
      <c r="E990" s="150"/>
      <c r="F990" s="150"/>
      <c r="G990" s="150"/>
      <c r="H990" s="150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</row>
    <row r="991">
      <c r="A991" s="151">
        <v>0.0</v>
      </c>
      <c r="B991" s="148">
        <v>20987.0</v>
      </c>
      <c r="C991" s="50">
        <v>40814.0</v>
      </c>
      <c r="D991" s="150"/>
      <c r="E991" s="150"/>
      <c r="F991" s="150"/>
      <c r="G991" s="150"/>
      <c r="H991" s="150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</row>
    <row r="992">
      <c r="A992" s="151">
        <v>0.0</v>
      </c>
      <c r="B992" s="148">
        <v>20988.0</v>
      </c>
      <c r="C992" s="50">
        <v>72414.0</v>
      </c>
      <c r="D992" s="150"/>
      <c r="E992" s="150"/>
      <c r="F992" s="150"/>
      <c r="G992" s="150"/>
      <c r="H992" s="150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</row>
    <row r="993">
      <c r="A993" s="151">
        <v>0.0</v>
      </c>
      <c r="B993" s="156">
        <v>20989.0</v>
      </c>
      <c r="C993" s="50">
        <v>51517.0</v>
      </c>
      <c r="D993" s="150"/>
      <c r="E993" s="150"/>
      <c r="F993" s="150"/>
      <c r="G993" s="150"/>
      <c r="H993" s="150"/>
      <c r="I993" s="150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</row>
    <row r="994">
      <c r="A994" s="151">
        <v>1.0</v>
      </c>
      <c r="B994" s="148">
        <v>20990.0</v>
      </c>
      <c r="C994" s="50">
        <v>81721.0</v>
      </c>
      <c r="D994" s="150"/>
      <c r="E994" s="150"/>
      <c r="F994" s="150"/>
      <c r="G994" s="150"/>
      <c r="H994" s="150"/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</row>
    <row r="995">
      <c r="A995" s="151">
        <v>0.0</v>
      </c>
      <c r="B995" s="148">
        <v>20991.0</v>
      </c>
      <c r="C995" s="50">
        <v>81913.0</v>
      </c>
      <c r="D995" s="150"/>
      <c r="E995" s="150"/>
      <c r="F995" s="150"/>
      <c r="G995" s="150"/>
      <c r="H995" s="150"/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</row>
    <row r="996">
      <c r="A996" s="151">
        <v>1.0</v>
      </c>
      <c r="B996" s="156">
        <v>20992.0</v>
      </c>
      <c r="C996" s="50">
        <v>101019.0</v>
      </c>
      <c r="D996" s="150"/>
      <c r="E996" s="150"/>
      <c r="F996" s="150"/>
      <c r="G996" s="150"/>
      <c r="H996" s="150"/>
      <c r="I996" s="150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</row>
    <row r="997">
      <c r="A997" s="151">
        <v>0.0</v>
      </c>
      <c r="B997" s="156">
        <v>20993.0</v>
      </c>
      <c r="C997" s="50">
        <v>50414.0</v>
      </c>
      <c r="D997" s="150"/>
      <c r="E997" s="150"/>
      <c r="F997" s="150"/>
      <c r="G997" s="150"/>
      <c r="H997" s="150"/>
      <c r="I997" s="150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</row>
    <row r="998">
      <c r="A998" s="151">
        <v>1.0</v>
      </c>
      <c r="B998" s="148">
        <v>20994.0</v>
      </c>
      <c r="C998" s="50">
        <v>92318.0</v>
      </c>
      <c r="D998" s="150"/>
      <c r="E998" s="150"/>
      <c r="F998" s="150"/>
      <c r="G998" s="150"/>
      <c r="H998" s="150"/>
      <c r="I998" s="150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</row>
    <row r="999">
      <c r="A999" s="151">
        <v>0.0</v>
      </c>
      <c r="B999" s="148">
        <v>20995.0</v>
      </c>
      <c r="C999" s="50">
        <v>21115.0</v>
      </c>
      <c r="D999" s="150"/>
      <c r="E999" s="150"/>
      <c r="F999" s="150"/>
      <c r="G999" s="150"/>
      <c r="H999" s="150"/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</row>
    <row r="1000">
      <c r="A1000" s="151">
        <v>1.0</v>
      </c>
      <c r="B1000" s="156">
        <v>20996.0</v>
      </c>
      <c r="C1000" s="50">
        <v>11019.0</v>
      </c>
      <c r="D1000" s="150"/>
      <c r="E1000" s="150"/>
      <c r="F1000" s="150"/>
      <c r="G1000" s="150"/>
      <c r="H1000" s="150"/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</row>
    <row r="1001">
      <c r="A1001" s="151">
        <v>0.0</v>
      </c>
      <c r="B1001" s="156">
        <v>20997.0</v>
      </c>
      <c r="C1001" s="50">
        <v>42715.0</v>
      </c>
      <c r="D1001" s="150"/>
      <c r="E1001" s="150"/>
      <c r="F1001" s="150"/>
      <c r="G1001" s="150"/>
      <c r="H1001" s="150"/>
      <c r="I1001" s="150"/>
      <c r="J1001" s="150"/>
      <c r="K1001" s="150"/>
      <c r="L1001" s="150"/>
      <c r="M1001" s="150"/>
      <c r="N1001" s="150"/>
      <c r="O1001" s="150"/>
      <c r="P1001" s="150"/>
      <c r="Q1001" s="150"/>
      <c r="R1001" s="150"/>
      <c r="S1001" s="150"/>
      <c r="T1001" s="150"/>
      <c r="U1001" s="150"/>
      <c r="V1001" s="150"/>
      <c r="W1001" s="150"/>
      <c r="X1001" s="150"/>
      <c r="Y1001" s="150"/>
    </row>
    <row r="1002">
      <c r="A1002" s="151">
        <v>1.0</v>
      </c>
      <c r="B1002" s="148">
        <v>20998.0</v>
      </c>
      <c r="C1002" s="50">
        <v>90914.0</v>
      </c>
      <c r="D1002" s="150"/>
      <c r="E1002" s="150"/>
      <c r="F1002" s="150"/>
      <c r="G1002" s="150"/>
      <c r="H1002" s="150"/>
      <c r="I1002" s="150"/>
      <c r="J1002" s="150"/>
      <c r="K1002" s="150"/>
      <c r="L1002" s="150"/>
      <c r="M1002" s="150"/>
      <c r="N1002" s="150"/>
      <c r="O1002" s="150"/>
      <c r="P1002" s="150"/>
      <c r="Q1002" s="150"/>
      <c r="R1002" s="150"/>
      <c r="S1002" s="150"/>
      <c r="T1002" s="150"/>
      <c r="U1002" s="150"/>
      <c r="V1002" s="150"/>
      <c r="W1002" s="150"/>
      <c r="X1002" s="150"/>
      <c r="Y1002" s="150"/>
    </row>
    <row r="1003">
      <c r="A1003" s="151">
        <v>0.0</v>
      </c>
      <c r="B1003" s="148">
        <v>20999.0</v>
      </c>
      <c r="C1003" s="50">
        <v>51722.0</v>
      </c>
      <c r="D1003" s="150"/>
      <c r="E1003" s="150"/>
      <c r="F1003" s="150"/>
      <c r="G1003" s="150"/>
      <c r="H1003" s="150"/>
      <c r="I1003" s="150"/>
      <c r="J1003" s="150"/>
      <c r="K1003" s="150"/>
      <c r="L1003" s="150"/>
      <c r="M1003" s="150"/>
      <c r="N1003" s="150"/>
      <c r="O1003" s="150"/>
      <c r="P1003" s="150"/>
      <c r="Q1003" s="150"/>
      <c r="R1003" s="150"/>
      <c r="S1003" s="150"/>
      <c r="T1003" s="150"/>
      <c r="U1003" s="150"/>
      <c r="V1003" s="150"/>
      <c r="W1003" s="150"/>
      <c r="X1003" s="150"/>
      <c r="Y1003" s="150"/>
    </row>
    <row r="1004">
      <c r="A1004" s="150"/>
      <c r="B1004" s="148"/>
      <c r="C1004" s="157"/>
      <c r="D1004" s="150"/>
      <c r="E1004" s="150"/>
      <c r="F1004" s="150"/>
      <c r="G1004" s="150"/>
      <c r="H1004" s="150"/>
      <c r="I1004" s="150"/>
      <c r="J1004" s="150"/>
      <c r="K1004" s="150"/>
      <c r="L1004" s="150"/>
      <c r="M1004" s="150"/>
      <c r="N1004" s="150"/>
      <c r="O1004" s="150"/>
      <c r="P1004" s="150"/>
      <c r="Q1004" s="150"/>
      <c r="R1004" s="150"/>
      <c r="S1004" s="150"/>
      <c r="T1004" s="150"/>
      <c r="U1004" s="150"/>
      <c r="V1004" s="150"/>
      <c r="W1004" s="150"/>
      <c r="X1004" s="150"/>
      <c r="Y1004" s="150"/>
    </row>
    <row r="1005">
      <c r="A1005" s="150"/>
      <c r="B1005" s="156"/>
      <c r="C1005" s="157"/>
      <c r="D1005" s="150"/>
      <c r="E1005" s="150"/>
      <c r="F1005" s="150"/>
      <c r="G1005" s="150"/>
      <c r="H1005" s="150"/>
      <c r="I1005" s="150"/>
      <c r="J1005" s="150"/>
      <c r="K1005" s="150"/>
      <c r="L1005" s="150"/>
      <c r="M1005" s="150"/>
      <c r="N1005" s="150"/>
      <c r="O1005" s="150"/>
      <c r="P1005" s="150"/>
      <c r="Q1005" s="150"/>
      <c r="R1005" s="150"/>
      <c r="S1005" s="150"/>
      <c r="T1005" s="150"/>
      <c r="U1005" s="150"/>
      <c r="V1005" s="150"/>
      <c r="W1005" s="150"/>
      <c r="X1005" s="150"/>
      <c r="Y1005" s="150"/>
    </row>
    <row r="1006">
      <c r="A1006" s="150"/>
      <c r="B1006" s="156"/>
      <c r="C1006" s="157"/>
      <c r="D1006" s="150"/>
      <c r="E1006" s="150"/>
      <c r="F1006" s="150"/>
      <c r="G1006" s="150"/>
      <c r="H1006" s="150"/>
      <c r="I1006" s="150"/>
      <c r="J1006" s="150"/>
      <c r="K1006" s="150"/>
      <c r="L1006" s="150"/>
      <c r="M1006" s="150"/>
      <c r="N1006" s="150"/>
      <c r="O1006" s="150"/>
      <c r="P1006" s="150"/>
      <c r="Q1006" s="150"/>
      <c r="R1006" s="150"/>
      <c r="S1006" s="150"/>
      <c r="T1006" s="150"/>
      <c r="U1006" s="150"/>
      <c r="V1006" s="150"/>
      <c r="W1006" s="150"/>
      <c r="X1006" s="150"/>
      <c r="Y1006" s="150"/>
    </row>
    <row r="1007">
      <c r="A1007" s="150"/>
      <c r="B1007" s="156"/>
      <c r="C1007" s="157"/>
      <c r="D1007" s="150"/>
      <c r="E1007" s="150"/>
      <c r="F1007" s="150"/>
      <c r="G1007" s="150"/>
      <c r="H1007" s="150"/>
      <c r="I1007" s="150"/>
      <c r="J1007" s="150"/>
      <c r="K1007" s="150"/>
      <c r="L1007" s="150"/>
      <c r="M1007" s="150"/>
      <c r="N1007" s="150"/>
      <c r="O1007" s="150"/>
      <c r="P1007" s="150"/>
      <c r="Q1007" s="150"/>
      <c r="R1007" s="150"/>
      <c r="S1007" s="150"/>
      <c r="T1007" s="150"/>
      <c r="U1007" s="150"/>
      <c r="V1007" s="150"/>
      <c r="W1007" s="150"/>
      <c r="X1007" s="150"/>
      <c r="Y1007" s="150"/>
    </row>
    <row r="1008">
      <c r="A1008" s="150"/>
      <c r="B1008" s="156"/>
      <c r="C1008" s="157"/>
      <c r="D1008" s="150"/>
      <c r="E1008" s="150"/>
      <c r="F1008" s="150"/>
      <c r="G1008" s="150"/>
      <c r="H1008" s="150"/>
      <c r="I1008" s="150"/>
      <c r="J1008" s="150"/>
      <c r="K1008" s="150"/>
      <c r="L1008" s="150"/>
      <c r="M1008" s="150"/>
      <c r="N1008" s="150"/>
      <c r="O1008" s="150"/>
      <c r="P1008" s="150"/>
      <c r="Q1008" s="150"/>
      <c r="R1008" s="150"/>
      <c r="S1008" s="150"/>
      <c r="T1008" s="150"/>
      <c r="U1008" s="150"/>
      <c r="V1008" s="150"/>
      <c r="W1008" s="150"/>
      <c r="X1008" s="150"/>
      <c r="Y1008" s="150"/>
    </row>
    <row r="1009">
      <c r="A1009" s="150"/>
      <c r="B1009" s="156"/>
      <c r="C1009" s="157"/>
      <c r="D1009" s="150"/>
      <c r="E1009" s="150"/>
      <c r="F1009" s="150"/>
      <c r="G1009" s="150"/>
      <c r="H1009" s="150"/>
      <c r="I1009" s="150"/>
      <c r="J1009" s="150"/>
      <c r="K1009" s="150"/>
      <c r="L1009" s="150"/>
      <c r="M1009" s="150"/>
      <c r="N1009" s="150"/>
      <c r="O1009" s="150"/>
      <c r="P1009" s="150"/>
      <c r="Q1009" s="150"/>
      <c r="R1009" s="150"/>
      <c r="S1009" s="150"/>
      <c r="T1009" s="150"/>
      <c r="U1009" s="150"/>
      <c r="V1009" s="150"/>
      <c r="W1009" s="150"/>
      <c r="X1009" s="150"/>
      <c r="Y1009" s="150"/>
    </row>
    <row r="1010">
      <c r="A1010" s="150"/>
      <c r="B1010" s="156"/>
      <c r="C1010" s="157"/>
      <c r="D1010" s="150"/>
      <c r="E1010" s="150"/>
      <c r="F1010" s="150"/>
      <c r="G1010" s="150"/>
      <c r="H1010" s="150"/>
      <c r="I1010" s="150"/>
      <c r="J1010" s="150"/>
      <c r="K1010" s="150"/>
      <c r="L1010" s="150"/>
      <c r="M1010" s="150"/>
      <c r="N1010" s="150"/>
      <c r="O1010" s="150"/>
      <c r="P1010" s="150"/>
      <c r="Q1010" s="150"/>
      <c r="R1010" s="150"/>
      <c r="S1010" s="150"/>
      <c r="T1010" s="150"/>
      <c r="U1010" s="150"/>
      <c r="V1010" s="150"/>
      <c r="W1010" s="150"/>
      <c r="X1010" s="150"/>
      <c r="Y1010" s="150"/>
    </row>
    <row r="1011">
      <c r="A1011" s="150"/>
      <c r="B1011" s="156"/>
      <c r="C1011" s="157"/>
      <c r="D1011" s="150"/>
      <c r="E1011" s="150"/>
      <c r="F1011" s="150"/>
      <c r="G1011" s="150"/>
      <c r="H1011" s="150"/>
      <c r="I1011" s="150"/>
      <c r="J1011" s="150"/>
      <c r="K1011" s="150"/>
      <c r="L1011" s="150"/>
      <c r="M1011" s="150"/>
      <c r="N1011" s="150"/>
      <c r="O1011" s="150"/>
      <c r="P1011" s="150"/>
      <c r="Q1011" s="150"/>
      <c r="R1011" s="150"/>
      <c r="S1011" s="150"/>
      <c r="T1011" s="150"/>
      <c r="U1011" s="150"/>
      <c r="V1011" s="150"/>
      <c r="W1011" s="150"/>
      <c r="X1011" s="150"/>
      <c r="Y1011" s="150"/>
    </row>
    <row r="1012">
      <c r="A1012" s="150"/>
      <c r="B1012" s="156"/>
      <c r="C1012" s="157"/>
      <c r="D1012" s="150"/>
      <c r="E1012" s="150"/>
      <c r="F1012" s="150"/>
      <c r="G1012" s="150"/>
      <c r="H1012" s="150"/>
      <c r="I1012" s="150"/>
      <c r="J1012" s="150"/>
      <c r="K1012" s="150"/>
      <c r="L1012" s="150"/>
      <c r="M1012" s="150"/>
      <c r="N1012" s="150"/>
      <c r="O1012" s="150"/>
      <c r="P1012" s="150"/>
      <c r="Q1012" s="150"/>
      <c r="R1012" s="150"/>
      <c r="S1012" s="150"/>
      <c r="T1012" s="150"/>
      <c r="U1012" s="150"/>
      <c r="V1012" s="150"/>
      <c r="W1012" s="150"/>
      <c r="X1012" s="150"/>
      <c r="Y1012" s="150"/>
    </row>
    <row r="1013">
      <c r="A1013" s="150"/>
      <c r="B1013" s="156"/>
      <c r="C1013" s="157"/>
      <c r="D1013" s="150"/>
      <c r="E1013" s="150"/>
      <c r="F1013" s="150"/>
      <c r="G1013" s="150"/>
      <c r="H1013" s="150"/>
      <c r="I1013" s="150"/>
      <c r="J1013" s="150"/>
      <c r="K1013" s="150"/>
      <c r="L1013" s="150"/>
      <c r="M1013" s="150"/>
      <c r="N1013" s="150"/>
      <c r="O1013" s="150"/>
      <c r="P1013" s="150"/>
      <c r="Q1013" s="150"/>
      <c r="R1013" s="150"/>
      <c r="S1013" s="150"/>
      <c r="T1013" s="150"/>
      <c r="U1013" s="150"/>
      <c r="V1013" s="150"/>
      <c r="W1013" s="150"/>
      <c r="X1013" s="150"/>
      <c r="Y1013" s="150"/>
    </row>
    <row r="1014">
      <c r="A1014" s="150"/>
      <c r="B1014" s="156"/>
      <c r="C1014" s="157"/>
      <c r="D1014" s="150"/>
      <c r="E1014" s="150"/>
      <c r="F1014" s="150"/>
      <c r="G1014" s="150"/>
      <c r="H1014" s="150"/>
      <c r="I1014" s="150"/>
      <c r="J1014" s="150"/>
      <c r="K1014" s="150"/>
      <c r="L1014" s="150"/>
      <c r="M1014" s="150"/>
      <c r="N1014" s="150"/>
      <c r="O1014" s="150"/>
      <c r="P1014" s="150"/>
      <c r="Q1014" s="150"/>
      <c r="R1014" s="150"/>
      <c r="S1014" s="150"/>
      <c r="T1014" s="150"/>
      <c r="U1014" s="150"/>
      <c r="V1014" s="150"/>
      <c r="W1014" s="150"/>
      <c r="X1014" s="150"/>
      <c r="Y1014" s="150"/>
    </row>
    <row r="1015">
      <c r="A1015" s="150"/>
      <c r="B1015" s="156"/>
      <c r="C1015" s="157"/>
      <c r="D1015" s="150"/>
      <c r="E1015" s="150"/>
      <c r="F1015" s="150"/>
      <c r="G1015" s="150"/>
      <c r="H1015" s="150"/>
      <c r="I1015" s="150"/>
      <c r="J1015" s="150"/>
      <c r="K1015" s="150"/>
      <c r="L1015" s="150"/>
      <c r="M1015" s="150"/>
      <c r="N1015" s="150"/>
      <c r="O1015" s="150"/>
      <c r="P1015" s="150"/>
      <c r="Q1015" s="150"/>
      <c r="R1015" s="150"/>
      <c r="S1015" s="150"/>
      <c r="T1015" s="150"/>
      <c r="U1015" s="150"/>
      <c r="V1015" s="150"/>
      <c r="W1015" s="150"/>
      <c r="X1015" s="150"/>
      <c r="Y1015" s="150"/>
    </row>
    <row r="1016">
      <c r="A1016" s="150"/>
      <c r="B1016" s="156"/>
      <c r="C1016" s="157"/>
      <c r="D1016" s="150"/>
      <c r="E1016" s="150"/>
      <c r="F1016" s="150"/>
      <c r="G1016" s="150"/>
      <c r="H1016" s="150"/>
      <c r="I1016" s="150"/>
      <c r="J1016" s="150"/>
      <c r="K1016" s="150"/>
      <c r="L1016" s="150"/>
      <c r="M1016" s="150"/>
      <c r="N1016" s="150"/>
      <c r="O1016" s="150"/>
      <c r="P1016" s="150"/>
      <c r="Q1016" s="150"/>
      <c r="R1016" s="150"/>
      <c r="S1016" s="150"/>
      <c r="T1016" s="150"/>
      <c r="U1016" s="150"/>
      <c r="V1016" s="150"/>
      <c r="W1016" s="150"/>
      <c r="X1016" s="150"/>
      <c r="Y1016" s="150"/>
    </row>
    <row r="1017">
      <c r="A1017" s="150"/>
      <c r="B1017" s="156"/>
      <c r="C1017" s="157"/>
      <c r="D1017" s="150"/>
      <c r="E1017" s="150"/>
      <c r="F1017" s="150"/>
      <c r="G1017" s="150"/>
      <c r="H1017" s="150"/>
      <c r="I1017" s="150"/>
      <c r="J1017" s="150"/>
      <c r="K1017" s="150"/>
      <c r="L1017" s="150"/>
      <c r="M1017" s="150"/>
      <c r="N1017" s="150"/>
      <c r="O1017" s="150"/>
      <c r="P1017" s="150"/>
      <c r="Q1017" s="150"/>
      <c r="R1017" s="150"/>
      <c r="S1017" s="150"/>
      <c r="T1017" s="150"/>
      <c r="U1017" s="150"/>
      <c r="V1017" s="150"/>
      <c r="W1017" s="150"/>
      <c r="X1017" s="150"/>
      <c r="Y1017" s="150"/>
    </row>
    <row r="1018">
      <c r="A1018" s="150"/>
      <c r="B1018" s="156"/>
      <c r="C1018" s="157"/>
      <c r="D1018" s="150"/>
      <c r="E1018" s="150"/>
      <c r="F1018" s="150"/>
      <c r="G1018" s="150"/>
      <c r="H1018" s="150"/>
      <c r="I1018" s="150"/>
      <c r="J1018" s="150"/>
      <c r="K1018" s="150"/>
      <c r="L1018" s="150"/>
      <c r="M1018" s="150"/>
      <c r="N1018" s="150"/>
      <c r="O1018" s="150"/>
      <c r="P1018" s="150"/>
      <c r="Q1018" s="150"/>
      <c r="R1018" s="150"/>
      <c r="S1018" s="150"/>
      <c r="T1018" s="150"/>
      <c r="U1018" s="150"/>
      <c r="V1018" s="150"/>
      <c r="W1018" s="150"/>
      <c r="X1018" s="150"/>
      <c r="Y1018" s="150"/>
    </row>
    <row r="1019">
      <c r="A1019" s="150"/>
      <c r="B1019" s="156"/>
      <c r="C1019" s="157"/>
      <c r="D1019" s="150"/>
      <c r="E1019" s="150"/>
      <c r="F1019" s="150"/>
      <c r="G1019" s="150"/>
      <c r="H1019" s="150"/>
      <c r="I1019" s="150"/>
      <c r="J1019" s="150"/>
      <c r="K1019" s="150"/>
      <c r="L1019" s="150"/>
      <c r="M1019" s="150"/>
      <c r="N1019" s="150"/>
      <c r="O1019" s="150"/>
      <c r="P1019" s="150"/>
      <c r="Q1019" s="150"/>
      <c r="R1019" s="150"/>
      <c r="S1019" s="150"/>
      <c r="T1019" s="150"/>
      <c r="U1019" s="150"/>
      <c r="V1019" s="150"/>
      <c r="W1019" s="150"/>
      <c r="X1019" s="150"/>
      <c r="Y1019" s="150"/>
    </row>
    <row r="1020">
      <c r="A1020" s="150"/>
      <c r="B1020" s="156"/>
      <c r="C1020" s="157"/>
      <c r="D1020" s="150"/>
      <c r="E1020" s="150"/>
      <c r="F1020" s="150"/>
      <c r="G1020" s="150"/>
      <c r="H1020" s="150"/>
      <c r="I1020" s="150"/>
      <c r="J1020" s="150"/>
      <c r="K1020" s="150"/>
      <c r="L1020" s="150"/>
      <c r="M1020" s="150"/>
      <c r="N1020" s="150"/>
      <c r="O1020" s="150"/>
      <c r="P1020" s="150"/>
      <c r="Q1020" s="150"/>
      <c r="R1020" s="150"/>
      <c r="S1020" s="150"/>
      <c r="T1020" s="150"/>
      <c r="U1020" s="150"/>
      <c r="V1020" s="150"/>
      <c r="W1020" s="150"/>
      <c r="X1020" s="150"/>
      <c r="Y1020" s="150"/>
    </row>
    <row r="1021">
      <c r="A1021" s="150"/>
      <c r="B1021" s="156"/>
      <c r="C1021" s="157"/>
      <c r="D1021" s="150"/>
      <c r="E1021" s="150"/>
      <c r="F1021" s="150"/>
      <c r="G1021" s="150"/>
      <c r="H1021" s="150"/>
      <c r="I1021" s="150"/>
      <c r="J1021" s="150"/>
      <c r="K1021" s="150"/>
      <c r="L1021" s="150"/>
      <c r="M1021" s="150"/>
      <c r="N1021" s="150"/>
      <c r="O1021" s="150"/>
      <c r="P1021" s="150"/>
      <c r="Q1021" s="150"/>
      <c r="R1021" s="150"/>
      <c r="S1021" s="150"/>
      <c r="T1021" s="150"/>
      <c r="U1021" s="150"/>
      <c r="V1021" s="150"/>
      <c r="W1021" s="150"/>
      <c r="X1021" s="150"/>
      <c r="Y1021" s="150"/>
    </row>
    <row r="1022">
      <c r="A1022" s="150"/>
      <c r="B1022" s="156"/>
      <c r="C1022" s="157"/>
      <c r="D1022" s="150"/>
      <c r="E1022" s="150"/>
      <c r="F1022" s="150"/>
      <c r="G1022" s="150"/>
      <c r="H1022" s="150"/>
      <c r="I1022" s="150"/>
      <c r="J1022" s="150"/>
      <c r="K1022" s="150"/>
      <c r="L1022" s="150"/>
      <c r="M1022" s="150"/>
      <c r="N1022" s="150"/>
      <c r="O1022" s="150"/>
      <c r="P1022" s="150"/>
      <c r="Q1022" s="150"/>
      <c r="R1022" s="150"/>
      <c r="S1022" s="150"/>
      <c r="T1022" s="150"/>
      <c r="U1022" s="150"/>
      <c r="V1022" s="150"/>
      <c r="W1022" s="150"/>
      <c r="X1022" s="150"/>
      <c r="Y1022" s="150"/>
    </row>
    <row r="1023">
      <c r="A1023" s="150"/>
      <c r="B1023" s="156"/>
      <c r="C1023" s="157"/>
      <c r="D1023" s="150"/>
      <c r="E1023" s="150"/>
      <c r="F1023" s="150"/>
      <c r="G1023" s="150"/>
      <c r="H1023" s="150"/>
      <c r="I1023" s="150"/>
      <c r="J1023" s="150"/>
      <c r="K1023" s="150"/>
      <c r="L1023" s="150"/>
      <c r="M1023" s="150"/>
      <c r="N1023" s="150"/>
      <c r="O1023" s="150"/>
      <c r="P1023" s="150"/>
      <c r="Q1023" s="150"/>
      <c r="R1023" s="150"/>
      <c r="S1023" s="150"/>
      <c r="T1023" s="150"/>
      <c r="U1023" s="150"/>
      <c r="V1023" s="150"/>
      <c r="W1023" s="150"/>
      <c r="X1023" s="150"/>
      <c r="Y1023" s="150"/>
    </row>
    <row r="1024">
      <c r="A1024" s="150"/>
      <c r="B1024" s="156"/>
      <c r="C1024" s="157"/>
      <c r="D1024" s="150"/>
      <c r="E1024" s="150"/>
      <c r="F1024" s="150"/>
      <c r="G1024" s="150"/>
      <c r="H1024" s="150"/>
      <c r="I1024" s="150"/>
      <c r="J1024" s="150"/>
      <c r="K1024" s="150"/>
      <c r="L1024" s="150"/>
      <c r="M1024" s="150"/>
      <c r="N1024" s="150"/>
      <c r="O1024" s="150"/>
      <c r="P1024" s="150"/>
      <c r="Q1024" s="150"/>
      <c r="R1024" s="150"/>
      <c r="S1024" s="150"/>
      <c r="T1024" s="150"/>
      <c r="U1024" s="150"/>
      <c r="V1024" s="150"/>
      <c r="W1024" s="150"/>
      <c r="X1024" s="150"/>
      <c r="Y1024" s="150"/>
    </row>
    <row r="1025">
      <c r="A1025" s="150"/>
      <c r="B1025" s="156"/>
      <c r="C1025" s="157"/>
      <c r="D1025" s="150"/>
      <c r="E1025" s="150"/>
      <c r="F1025" s="150"/>
      <c r="G1025" s="150"/>
      <c r="H1025" s="150"/>
      <c r="I1025" s="150"/>
      <c r="J1025" s="150"/>
      <c r="K1025" s="150"/>
      <c r="L1025" s="150"/>
      <c r="M1025" s="150"/>
      <c r="N1025" s="150"/>
      <c r="O1025" s="150"/>
      <c r="P1025" s="150"/>
      <c r="Q1025" s="150"/>
      <c r="R1025" s="150"/>
      <c r="S1025" s="150"/>
      <c r="T1025" s="150"/>
      <c r="U1025" s="150"/>
      <c r="V1025" s="150"/>
      <c r="W1025" s="150"/>
      <c r="X1025" s="150"/>
      <c r="Y1025" s="150"/>
    </row>
    <row r="1026">
      <c r="A1026" s="150"/>
      <c r="B1026" s="156"/>
      <c r="C1026" s="157"/>
      <c r="D1026" s="150"/>
      <c r="E1026" s="150"/>
      <c r="F1026" s="150"/>
      <c r="G1026" s="150"/>
      <c r="H1026" s="150"/>
      <c r="I1026" s="150"/>
      <c r="J1026" s="150"/>
      <c r="K1026" s="150"/>
      <c r="L1026" s="150"/>
      <c r="M1026" s="150"/>
      <c r="N1026" s="150"/>
      <c r="O1026" s="150"/>
      <c r="P1026" s="150"/>
      <c r="Q1026" s="150"/>
      <c r="R1026" s="150"/>
      <c r="S1026" s="150"/>
      <c r="T1026" s="150"/>
      <c r="U1026" s="150"/>
      <c r="V1026" s="150"/>
      <c r="W1026" s="150"/>
      <c r="X1026" s="150"/>
      <c r="Y1026" s="150"/>
    </row>
    <row r="1027">
      <c r="A1027" s="150"/>
      <c r="B1027" s="156"/>
      <c r="C1027" s="157"/>
      <c r="D1027" s="150"/>
      <c r="E1027" s="150"/>
      <c r="F1027" s="150"/>
      <c r="G1027" s="150"/>
      <c r="H1027" s="150"/>
      <c r="I1027" s="150"/>
      <c r="J1027" s="150"/>
      <c r="K1027" s="150"/>
      <c r="L1027" s="150"/>
      <c r="M1027" s="150"/>
      <c r="N1027" s="150"/>
      <c r="O1027" s="150"/>
      <c r="P1027" s="150"/>
      <c r="Q1027" s="150"/>
      <c r="R1027" s="150"/>
      <c r="S1027" s="150"/>
      <c r="T1027" s="150"/>
      <c r="U1027" s="150"/>
      <c r="V1027" s="150"/>
      <c r="W1027" s="150"/>
      <c r="X1027" s="150"/>
      <c r="Y1027" s="150"/>
    </row>
    <row r="1028">
      <c r="A1028" s="150"/>
      <c r="B1028" s="156"/>
      <c r="C1028" s="157"/>
      <c r="D1028" s="150"/>
      <c r="E1028" s="150"/>
      <c r="F1028" s="150"/>
      <c r="G1028" s="150"/>
      <c r="H1028" s="150"/>
      <c r="I1028" s="150"/>
      <c r="J1028" s="150"/>
      <c r="K1028" s="150"/>
      <c r="L1028" s="150"/>
      <c r="M1028" s="150"/>
      <c r="N1028" s="150"/>
      <c r="O1028" s="150"/>
      <c r="P1028" s="150"/>
      <c r="Q1028" s="150"/>
      <c r="R1028" s="150"/>
      <c r="S1028" s="150"/>
      <c r="T1028" s="150"/>
      <c r="U1028" s="150"/>
      <c r="V1028" s="150"/>
      <c r="W1028" s="150"/>
      <c r="X1028" s="150"/>
      <c r="Y1028" s="150"/>
    </row>
    <row r="1029">
      <c r="A1029" s="150"/>
      <c r="B1029" s="156"/>
      <c r="C1029" s="157"/>
      <c r="D1029" s="150"/>
      <c r="E1029" s="150"/>
      <c r="F1029" s="150"/>
      <c r="G1029" s="150"/>
      <c r="H1029" s="150"/>
      <c r="I1029" s="150"/>
      <c r="J1029" s="150"/>
      <c r="K1029" s="150"/>
      <c r="L1029" s="150"/>
      <c r="M1029" s="150"/>
      <c r="N1029" s="150"/>
      <c r="O1029" s="150"/>
      <c r="P1029" s="150"/>
      <c r="Q1029" s="150"/>
      <c r="R1029" s="150"/>
      <c r="S1029" s="150"/>
      <c r="T1029" s="150"/>
      <c r="U1029" s="150"/>
      <c r="V1029" s="150"/>
      <c r="W1029" s="150"/>
      <c r="X1029" s="150"/>
      <c r="Y1029" s="150"/>
    </row>
    <row r="1030">
      <c r="A1030" s="150"/>
      <c r="B1030" s="156"/>
      <c r="C1030" s="157"/>
      <c r="D1030" s="150"/>
      <c r="E1030" s="150"/>
      <c r="F1030" s="150"/>
      <c r="G1030" s="150"/>
      <c r="H1030" s="150"/>
      <c r="I1030" s="150"/>
      <c r="J1030" s="150"/>
      <c r="K1030" s="150"/>
      <c r="L1030" s="150"/>
      <c r="M1030" s="150"/>
      <c r="N1030" s="150"/>
      <c r="O1030" s="150"/>
      <c r="P1030" s="150"/>
      <c r="Q1030" s="150"/>
      <c r="R1030" s="150"/>
      <c r="S1030" s="150"/>
      <c r="T1030" s="150"/>
      <c r="U1030" s="150"/>
      <c r="V1030" s="150"/>
      <c r="W1030" s="150"/>
      <c r="X1030" s="150"/>
      <c r="Y1030" s="150"/>
    </row>
    <row r="1031">
      <c r="A1031" s="150"/>
      <c r="B1031" s="156"/>
      <c r="C1031" s="157"/>
      <c r="D1031" s="150"/>
      <c r="E1031" s="150"/>
      <c r="F1031" s="150"/>
      <c r="G1031" s="150"/>
      <c r="H1031" s="150"/>
      <c r="I1031" s="150"/>
      <c r="J1031" s="150"/>
      <c r="K1031" s="150"/>
      <c r="L1031" s="150"/>
      <c r="M1031" s="150"/>
      <c r="N1031" s="150"/>
      <c r="O1031" s="150"/>
      <c r="P1031" s="150"/>
      <c r="Q1031" s="150"/>
      <c r="R1031" s="150"/>
      <c r="S1031" s="150"/>
      <c r="T1031" s="150"/>
      <c r="U1031" s="150"/>
      <c r="V1031" s="150"/>
      <c r="W1031" s="150"/>
      <c r="X1031" s="150"/>
      <c r="Y1031" s="150"/>
    </row>
    <row r="1032">
      <c r="A1032" s="150"/>
      <c r="B1032" s="156"/>
      <c r="C1032" s="157"/>
      <c r="D1032" s="150"/>
      <c r="E1032" s="150"/>
      <c r="F1032" s="150"/>
      <c r="G1032" s="150"/>
      <c r="H1032" s="150"/>
      <c r="I1032" s="150"/>
      <c r="J1032" s="150"/>
      <c r="K1032" s="150"/>
      <c r="L1032" s="150"/>
      <c r="M1032" s="150"/>
      <c r="N1032" s="150"/>
      <c r="O1032" s="150"/>
      <c r="P1032" s="150"/>
      <c r="Q1032" s="150"/>
      <c r="R1032" s="150"/>
      <c r="S1032" s="150"/>
      <c r="T1032" s="150"/>
      <c r="U1032" s="150"/>
      <c r="V1032" s="150"/>
      <c r="W1032" s="150"/>
      <c r="X1032" s="150"/>
      <c r="Y1032" s="150"/>
    </row>
    <row r="1033">
      <c r="A1033" s="150"/>
      <c r="B1033" s="156"/>
      <c r="C1033" s="157"/>
      <c r="D1033" s="150"/>
      <c r="E1033" s="150"/>
      <c r="F1033" s="150"/>
      <c r="G1033" s="150"/>
      <c r="H1033" s="150"/>
      <c r="I1033" s="150"/>
      <c r="J1033" s="150"/>
      <c r="K1033" s="150"/>
      <c r="L1033" s="150"/>
      <c r="M1033" s="150"/>
      <c r="N1033" s="150"/>
      <c r="O1033" s="150"/>
      <c r="P1033" s="150"/>
      <c r="Q1033" s="150"/>
      <c r="R1033" s="150"/>
      <c r="S1033" s="150"/>
      <c r="T1033" s="150"/>
      <c r="U1033" s="150"/>
      <c r="V1033" s="150"/>
      <c r="W1033" s="150"/>
      <c r="X1033" s="150"/>
      <c r="Y1033" s="150"/>
    </row>
    <row r="1034">
      <c r="A1034" s="150"/>
      <c r="B1034" s="156"/>
      <c r="C1034" s="157"/>
      <c r="D1034" s="150"/>
      <c r="E1034" s="150"/>
      <c r="F1034" s="150"/>
      <c r="G1034" s="150"/>
      <c r="H1034" s="150"/>
      <c r="I1034" s="150"/>
      <c r="J1034" s="150"/>
      <c r="K1034" s="150"/>
      <c r="L1034" s="150"/>
      <c r="M1034" s="150"/>
      <c r="N1034" s="150"/>
      <c r="O1034" s="150"/>
      <c r="P1034" s="150"/>
      <c r="Q1034" s="150"/>
      <c r="R1034" s="150"/>
      <c r="S1034" s="150"/>
      <c r="T1034" s="150"/>
      <c r="U1034" s="150"/>
      <c r="V1034" s="150"/>
      <c r="W1034" s="150"/>
      <c r="X1034" s="150"/>
      <c r="Y1034" s="150"/>
    </row>
    <row r="1035">
      <c r="A1035" s="150"/>
      <c r="B1035" s="156"/>
      <c r="C1035" s="157"/>
      <c r="D1035" s="150"/>
      <c r="E1035" s="150"/>
      <c r="F1035" s="150"/>
      <c r="G1035" s="150"/>
      <c r="H1035" s="150"/>
      <c r="I1035" s="150"/>
      <c r="J1035" s="150"/>
      <c r="K1035" s="150"/>
      <c r="L1035" s="150"/>
      <c r="M1035" s="150"/>
      <c r="N1035" s="150"/>
      <c r="O1035" s="150"/>
      <c r="P1035" s="150"/>
      <c r="Q1035" s="150"/>
      <c r="R1035" s="150"/>
      <c r="S1035" s="150"/>
      <c r="T1035" s="150"/>
      <c r="U1035" s="150"/>
      <c r="V1035" s="150"/>
      <c r="W1035" s="150"/>
      <c r="X1035" s="150"/>
      <c r="Y1035" s="150"/>
    </row>
    <row r="1036">
      <c r="A1036" s="150"/>
      <c r="B1036" s="156"/>
      <c r="C1036" s="157"/>
      <c r="D1036" s="150"/>
      <c r="E1036" s="150"/>
      <c r="F1036" s="150"/>
      <c r="G1036" s="150"/>
      <c r="H1036" s="150"/>
      <c r="I1036" s="150"/>
      <c r="J1036" s="150"/>
      <c r="K1036" s="150"/>
      <c r="L1036" s="150"/>
      <c r="M1036" s="150"/>
      <c r="N1036" s="150"/>
      <c r="O1036" s="150"/>
      <c r="P1036" s="150"/>
      <c r="Q1036" s="150"/>
      <c r="R1036" s="150"/>
      <c r="S1036" s="150"/>
      <c r="T1036" s="150"/>
      <c r="U1036" s="150"/>
      <c r="V1036" s="150"/>
      <c r="W1036" s="150"/>
      <c r="X1036" s="150"/>
      <c r="Y1036" s="150"/>
    </row>
    <row r="1037">
      <c r="A1037" s="150"/>
      <c r="B1037" s="156"/>
      <c r="C1037" s="157"/>
      <c r="D1037" s="150"/>
      <c r="E1037" s="150"/>
      <c r="F1037" s="150"/>
      <c r="G1037" s="150"/>
      <c r="H1037" s="150"/>
      <c r="I1037" s="150"/>
      <c r="J1037" s="150"/>
      <c r="K1037" s="150"/>
      <c r="L1037" s="150"/>
      <c r="M1037" s="150"/>
      <c r="N1037" s="150"/>
      <c r="O1037" s="150"/>
      <c r="P1037" s="150"/>
      <c r="Q1037" s="150"/>
      <c r="R1037" s="150"/>
      <c r="S1037" s="150"/>
      <c r="T1037" s="150"/>
      <c r="U1037" s="150"/>
      <c r="V1037" s="150"/>
      <c r="W1037" s="150"/>
      <c r="X1037" s="150"/>
      <c r="Y1037" s="150"/>
    </row>
    <row r="1038">
      <c r="A1038" s="150"/>
      <c r="B1038" s="156"/>
      <c r="C1038" s="157"/>
      <c r="D1038" s="150"/>
      <c r="E1038" s="150"/>
      <c r="F1038" s="150"/>
      <c r="G1038" s="150"/>
      <c r="H1038" s="150"/>
      <c r="I1038" s="150"/>
      <c r="J1038" s="150"/>
      <c r="K1038" s="150"/>
      <c r="L1038" s="150"/>
      <c r="M1038" s="150"/>
      <c r="N1038" s="150"/>
      <c r="O1038" s="150"/>
      <c r="P1038" s="150"/>
      <c r="Q1038" s="150"/>
      <c r="R1038" s="150"/>
      <c r="S1038" s="150"/>
      <c r="T1038" s="150"/>
      <c r="U1038" s="150"/>
      <c r="V1038" s="150"/>
      <c r="W1038" s="150"/>
      <c r="X1038" s="150"/>
      <c r="Y1038" s="150"/>
    </row>
    <row r="1039">
      <c r="A1039" s="150"/>
      <c r="B1039" s="156"/>
      <c r="C1039" s="157"/>
      <c r="D1039" s="150"/>
      <c r="E1039" s="150"/>
      <c r="F1039" s="150"/>
      <c r="G1039" s="150"/>
      <c r="H1039" s="150"/>
      <c r="I1039" s="150"/>
      <c r="J1039" s="150"/>
      <c r="K1039" s="150"/>
      <c r="L1039" s="150"/>
      <c r="M1039" s="150"/>
      <c r="N1039" s="150"/>
      <c r="O1039" s="150"/>
      <c r="P1039" s="150"/>
      <c r="Q1039" s="150"/>
      <c r="R1039" s="150"/>
      <c r="S1039" s="150"/>
      <c r="T1039" s="150"/>
      <c r="U1039" s="150"/>
      <c r="V1039" s="150"/>
      <c r="W1039" s="150"/>
      <c r="X1039" s="150"/>
      <c r="Y1039" s="150"/>
    </row>
    <row r="1040">
      <c r="A1040" s="150"/>
      <c r="B1040" s="156"/>
      <c r="C1040" s="157"/>
      <c r="D1040" s="150"/>
      <c r="E1040" s="150"/>
      <c r="F1040" s="150"/>
      <c r="G1040" s="150"/>
      <c r="H1040" s="150"/>
      <c r="I1040" s="150"/>
      <c r="J1040" s="150"/>
      <c r="K1040" s="150"/>
      <c r="L1040" s="150"/>
      <c r="M1040" s="150"/>
      <c r="N1040" s="150"/>
      <c r="O1040" s="150"/>
      <c r="P1040" s="150"/>
      <c r="Q1040" s="150"/>
      <c r="R1040" s="150"/>
      <c r="S1040" s="150"/>
      <c r="T1040" s="150"/>
      <c r="U1040" s="150"/>
      <c r="V1040" s="150"/>
      <c r="W1040" s="150"/>
      <c r="X1040" s="150"/>
      <c r="Y1040" s="150"/>
    </row>
    <row r="1041">
      <c r="A1041" s="150"/>
      <c r="B1041" s="156"/>
      <c r="C1041" s="157"/>
      <c r="D1041" s="150"/>
      <c r="E1041" s="150"/>
      <c r="F1041" s="150"/>
      <c r="G1041" s="150"/>
      <c r="H1041" s="150"/>
      <c r="I1041" s="150"/>
      <c r="J1041" s="150"/>
      <c r="K1041" s="150"/>
      <c r="L1041" s="150"/>
      <c r="M1041" s="150"/>
      <c r="N1041" s="150"/>
      <c r="O1041" s="150"/>
      <c r="P1041" s="150"/>
      <c r="Q1041" s="150"/>
      <c r="R1041" s="150"/>
      <c r="S1041" s="150"/>
      <c r="T1041" s="150"/>
      <c r="U1041" s="150"/>
      <c r="V1041" s="150"/>
      <c r="W1041" s="150"/>
      <c r="X1041" s="150"/>
      <c r="Y1041" s="150"/>
    </row>
    <row r="1042">
      <c r="A1042" s="150"/>
      <c r="B1042" s="156"/>
      <c r="C1042" s="157"/>
      <c r="D1042" s="150"/>
      <c r="E1042" s="150"/>
      <c r="F1042" s="150"/>
      <c r="G1042" s="150"/>
      <c r="H1042" s="150"/>
      <c r="I1042" s="150"/>
      <c r="J1042" s="150"/>
      <c r="K1042" s="150"/>
      <c r="L1042" s="150"/>
      <c r="M1042" s="150"/>
      <c r="N1042" s="150"/>
      <c r="O1042" s="150"/>
      <c r="P1042" s="150"/>
      <c r="Q1042" s="150"/>
      <c r="R1042" s="150"/>
      <c r="S1042" s="150"/>
      <c r="T1042" s="150"/>
      <c r="U1042" s="150"/>
      <c r="V1042" s="150"/>
      <c r="W1042" s="150"/>
      <c r="X1042" s="150"/>
      <c r="Y1042" s="150"/>
    </row>
    <row r="1043">
      <c r="A1043" s="150"/>
      <c r="B1043" s="156"/>
      <c r="C1043" s="157"/>
      <c r="D1043" s="150"/>
      <c r="E1043" s="150"/>
      <c r="F1043" s="150"/>
      <c r="G1043" s="150"/>
      <c r="H1043" s="150"/>
      <c r="I1043" s="150"/>
      <c r="J1043" s="150"/>
      <c r="K1043" s="150"/>
      <c r="L1043" s="150"/>
      <c r="M1043" s="150"/>
      <c r="N1043" s="150"/>
      <c r="O1043" s="150"/>
      <c r="P1043" s="150"/>
      <c r="Q1043" s="150"/>
      <c r="R1043" s="150"/>
      <c r="S1043" s="150"/>
      <c r="T1043" s="150"/>
      <c r="U1043" s="150"/>
      <c r="V1043" s="150"/>
      <c r="W1043" s="150"/>
      <c r="X1043" s="150"/>
      <c r="Y1043" s="150"/>
    </row>
    <row r="1044">
      <c r="A1044" s="150"/>
      <c r="B1044" s="156"/>
      <c r="C1044" s="157"/>
      <c r="D1044" s="150"/>
      <c r="E1044" s="150"/>
      <c r="F1044" s="150"/>
      <c r="G1044" s="150"/>
      <c r="H1044" s="150"/>
      <c r="I1044" s="150"/>
      <c r="J1044" s="150"/>
      <c r="K1044" s="150"/>
      <c r="L1044" s="150"/>
      <c r="M1044" s="150"/>
      <c r="N1044" s="150"/>
      <c r="O1044" s="150"/>
      <c r="P1044" s="150"/>
      <c r="Q1044" s="150"/>
      <c r="R1044" s="150"/>
      <c r="S1044" s="150"/>
      <c r="T1044" s="150"/>
      <c r="U1044" s="150"/>
      <c r="V1044" s="150"/>
      <c r="W1044" s="150"/>
      <c r="X1044" s="150"/>
      <c r="Y1044" s="150"/>
    </row>
    <row r="1045">
      <c r="A1045" s="150"/>
      <c r="B1045" s="156"/>
      <c r="C1045" s="157"/>
      <c r="D1045" s="150"/>
      <c r="E1045" s="150"/>
      <c r="F1045" s="150"/>
      <c r="G1045" s="150"/>
      <c r="H1045" s="150"/>
      <c r="I1045" s="150"/>
      <c r="J1045" s="150"/>
      <c r="K1045" s="150"/>
      <c r="L1045" s="150"/>
      <c r="M1045" s="150"/>
      <c r="N1045" s="150"/>
      <c r="O1045" s="150"/>
      <c r="P1045" s="150"/>
      <c r="Q1045" s="150"/>
      <c r="R1045" s="150"/>
      <c r="S1045" s="150"/>
      <c r="T1045" s="150"/>
      <c r="U1045" s="150"/>
      <c r="V1045" s="150"/>
      <c r="W1045" s="150"/>
      <c r="X1045" s="150"/>
      <c r="Y1045" s="150"/>
    </row>
    <row r="1046">
      <c r="A1046" s="150"/>
      <c r="B1046" s="156"/>
      <c r="C1046" s="157"/>
      <c r="D1046" s="150"/>
      <c r="E1046" s="150"/>
      <c r="F1046" s="150"/>
      <c r="G1046" s="150"/>
      <c r="H1046" s="150"/>
      <c r="I1046" s="150"/>
      <c r="J1046" s="150"/>
      <c r="K1046" s="150"/>
      <c r="L1046" s="150"/>
      <c r="M1046" s="150"/>
      <c r="N1046" s="150"/>
      <c r="O1046" s="150"/>
      <c r="P1046" s="150"/>
      <c r="Q1046" s="150"/>
      <c r="R1046" s="150"/>
      <c r="S1046" s="150"/>
      <c r="T1046" s="150"/>
      <c r="U1046" s="150"/>
      <c r="V1046" s="150"/>
      <c r="W1046" s="150"/>
      <c r="X1046" s="150"/>
      <c r="Y1046" s="150"/>
    </row>
    <row r="1047">
      <c r="A1047" s="150"/>
      <c r="B1047" s="156"/>
      <c r="C1047" s="157"/>
      <c r="D1047" s="150"/>
      <c r="E1047" s="150"/>
      <c r="F1047" s="150"/>
      <c r="G1047" s="150"/>
      <c r="H1047" s="150"/>
      <c r="I1047" s="150"/>
      <c r="J1047" s="150"/>
      <c r="K1047" s="150"/>
      <c r="L1047" s="150"/>
      <c r="M1047" s="150"/>
      <c r="N1047" s="150"/>
      <c r="O1047" s="150"/>
      <c r="P1047" s="150"/>
      <c r="Q1047" s="150"/>
      <c r="R1047" s="150"/>
      <c r="S1047" s="150"/>
      <c r="T1047" s="150"/>
      <c r="U1047" s="150"/>
      <c r="V1047" s="150"/>
      <c r="W1047" s="150"/>
      <c r="X1047" s="150"/>
      <c r="Y1047" s="150"/>
    </row>
    <row r="1048">
      <c r="A1048" s="150"/>
      <c r="B1048" s="156"/>
      <c r="C1048" s="157"/>
      <c r="D1048" s="150"/>
      <c r="E1048" s="150"/>
      <c r="F1048" s="150"/>
      <c r="G1048" s="150"/>
      <c r="H1048" s="150"/>
      <c r="I1048" s="150"/>
      <c r="J1048" s="150"/>
      <c r="K1048" s="150"/>
      <c r="L1048" s="150"/>
      <c r="M1048" s="150"/>
      <c r="N1048" s="150"/>
      <c r="O1048" s="150"/>
      <c r="P1048" s="150"/>
      <c r="Q1048" s="150"/>
      <c r="R1048" s="150"/>
      <c r="S1048" s="150"/>
      <c r="T1048" s="150"/>
      <c r="U1048" s="150"/>
      <c r="V1048" s="150"/>
      <c r="W1048" s="150"/>
      <c r="X1048" s="150"/>
      <c r="Y1048" s="150"/>
    </row>
    <row r="1049">
      <c r="A1049" s="150"/>
      <c r="B1049" s="156"/>
      <c r="C1049" s="157"/>
      <c r="D1049" s="150"/>
      <c r="E1049" s="150"/>
      <c r="F1049" s="150"/>
      <c r="G1049" s="150"/>
      <c r="H1049" s="150"/>
      <c r="I1049" s="150"/>
      <c r="J1049" s="150"/>
      <c r="K1049" s="150"/>
      <c r="L1049" s="150"/>
      <c r="M1049" s="150"/>
      <c r="N1049" s="150"/>
      <c r="O1049" s="150"/>
      <c r="P1049" s="150"/>
      <c r="Q1049" s="150"/>
      <c r="R1049" s="150"/>
      <c r="S1049" s="150"/>
      <c r="T1049" s="150"/>
      <c r="U1049" s="150"/>
      <c r="V1049" s="150"/>
      <c r="W1049" s="150"/>
      <c r="X1049" s="150"/>
      <c r="Y1049" s="150"/>
    </row>
    <row r="1050">
      <c r="A1050" s="150"/>
      <c r="B1050" s="156"/>
      <c r="C1050" s="157"/>
      <c r="D1050" s="150"/>
      <c r="E1050" s="150"/>
      <c r="F1050" s="150"/>
      <c r="G1050" s="150"/>
      <c r="H1050" s="150"/>
      <c r="I1050" s="150"/>
      <c r="J1050" s="150"/>
      <c r="K1050" s="150"/>
      <c r="L1050" s="150"/>
      <c r="M1050" s="150"/>
      <c r="N1050" s="150"/>
      <c r="O1050" s="150"/>
      <c r="P1050" s="150"/>
      <c r="Q1050" s="150"/>
      <c r="R1050" s="150"/>
      <c r="S1050" s="150"/>
      <c r="T1050" s="150"/>
      <c r="U1050" s="150"/>
      <c r="V1050" s="150"/>
      <c r="W1050" s="150"/>
      <c r="X1050" s="150"/>
      <c r="Y1050" s="150"/>
    </row>
    <row r="1051">
      <c r="A1051" s="150"/>
      <c r="B1051" s="156"/>
      <c r="C1051" s="157"/>
      <c r="D1051" s="150"/>
      <c r="E1051" s="150"/>
      <c r="F1051" s="150"/>
      <c r="G1051" s="150"/>
      <c r="H1051" s="150"/>
      <c r="I1051" s="150"/>
      <c r="J1051" s="150"/>
      <c r="K1051" s="150"/>
      <c r="L1051" s="150"/>
      <c r="M1051" s="150"/>
      <c r="N1051" s="150"/>
      <c r="O1051" s="150"/>
      <c r="P1051" s="150"/>
      <c r="Q1051" s="150"/>
      <c r="R1051" s="150"/>
      <c r="S1051" s="150"/>
      <c r="T1051" s="150"/>
      <c r="U1051" s="150"/>
      <c r="V1051" s="150"/>
      <c r="W1051" s="150"/>
      <c r="X1051" s="150"/>
      <c r="Y1051" s="150"/>
    </row>
    <row r="1052">
      <c r="A1052" s="150"/>
      <c r="B1052" s="156"/>
      <c r="C1052" s="157"/>
      <c r="D1052" s="150"/>
      <c r="E1052" s="150"/>
      <c r="F1052" s="150"/>
      <c r="G1052" s="150"/>
      <c r="H1052" s="150"/>
      <c r="I1052" s="150"/>
      <c r="J1052" s="150"/>
      <c r="K1052" s="150"/>
      <c r="L1052" s="150"/>
      <c r="M1052" s="150"/>
      <c r="N1052" s="150"/>
      <c r="O1052" s="150"/>
      <c r="P1052" s="150"/>
      <c r="Q1052" s="150"/>
      <c r="R1052" s="150"/>
      <c r="S1052" s="150"/>
      <c r="T1052" s="150"/>
      <c r="U1052" s="150"/>
      <c r="V1052" s="150"/>
      <c r="W1052" s="150"/>
      <c r="X1052" s="150"/>
      <c r="Y1052" s="150"/>
    </row>
    <row r="1053">
      <c r="A1053" s="150"/>
      <c r="B1053" s="156"/>
      <c r="C1053" s="157"/>
      <c r="D1053" s="150"/>
      <c r="E1053" s="150"/>
      <c r="F1053" s="150"/>
      <c r="G1053" s="150"/>
      <c r="H1053" s="150"/>
      <c r="I1053" s="150"/>
      <c r="J1053" s="150"/>
      <c r="K1053" s="150"/>
      <c r="L1053" s="150"/>
      <c r="M1053" s="150"/>
      <c r="N1053" s="150"/>
      <c r="O1053" s="150"/>
      <c r="P1053" s="150"/>
      <c r="Q1053" s="150"/>
      <c r="R1053" s="150"/>
      <c r="S1053" s="150"/>
      <c r="T1053" s="150"/>
      <c r="U1053" s="150"/>
      <c r="V1053" s="150"/>
      <c r="W1053" s="150"/>
      <c r="X1053" s="150"/>
      <c r="Y1053" s="150"/>
    </row>
    <row r="1054">
      <c r="A1054" s="150"/>
      <c r="B1054" s="156"/>
      <c r="C1054" s="157"/>
      <c r="D1054" s="150"/>
      <c r="E1054" s="150"/>
      <c r="F1054" s="150"/>
      <c r="G1054" s="150"/>
      <c r="H1054" s="150"/>
      <c r="I1054" s="150"/>
      <c r="J1054" s="150"/>
      <c r="K1054" s="150"/>
      <c r="L1054" s="150"/>
      <c r="M1054" s="150"/>
      <c r="N1054" s="150"/>
      <c r="O1054" s="150"/>
      <c r="P1054" s="150"/>
      <c r="Q1054" s="150"/>
      <c r="R1054" s="150"/>
      <c r="S1054" s="150"/>
      <c r="T1054" s="150"/>
      <c r="U1054" s="150"/>
      <c r="V1054" s="150"/>
      <c r="W1054" s="150"/>
      <c r="X1054" s="150"/>
      <c r="Y1054" s="150"/>
    </row>
    <row r="1055">
      <c r="A1055" s="150"/>
      <c r="B1055" s="156"/>
      <c r="C1055" s="157"/>
      <c r="D1055" s="150"/>
      <c r="E1055" s="150"/>
      <c r="F1055" s="150"/>
      <c r="G1055" s="150"/>
      <c r="H1055" s="150"/>
      <c r="I1055" s="150"/>
      <c r="J1055" s="150"/>
      <c r="K1055" s="150"/>
      <c r="L1055" s="150"/>
      <c r="M1055" s="150"/>
      <c r="N1055" s="150"/>
      <c r="O1055" s="150"/>
      <c r="P1055" s="150"/>
      <c r="Q1055" s="150"/>
      <c r="R1055" s="150"/>
      <c r="S1055" s="150"/>
      <c r="T1055" s="150"/>
      <c r="U1055" s="150"/>
      <c r="V1055" s="150"/>
      <c r="W1055" s="150"/>
      <c r="X1055" s="150"/>
      <c r="Y1055" s="150"/>
    </row>
    <row r="1056">
      <c r="A1056" s="150"/>
      <c r="B1056" s="156"/>
      <c r="C1056" s="157"/>
      <c r="D1056" s="150"/>
      <c r="E1056" s="150"/>
      <c r="F1056" s="150"/>
      <c r="G1056" s="150"/>
      <c r="H1056" s="150"/>
      <c r="I1056" s="150"/>
      <c r="J1056" s="150"/>
      <c r="K1056" s="150"/>
      <c r="L1056" s="150"/>
      <c r="M1056" s="150"/>
      <c r="N1056" s="150"/>
      <c r="O1056" s="150"/>
      <c r="P1056" s="150"/>
      <c r="Q1056" s="150"/>
      <c r="R1056" s="150"/>
      <c r="S1056" s="150"/>
      <c r="T1056" s="150"/>
      <c r="U1056" s="150"/>
      <c r="V1056" s="150"/>
      <c r="W1056" s="150"/>
      <c r="X1056" s="150"/>
      <c r="Y1056" s="150"/>
    </row>
    <row r="1057">
      <c r="A1057" s="150"/>
      <c r="B1057" s="156"/>
      <c r="C1057" s="157"/>
      <c r="D1057" s="150"/>
      <c r="E1057" s="150"/>
      <c r="F1057" s="150"/>
      <c r="G1057" s="150"/>
      <c r="H1057" s="150"/>
      <c r="I1057" s="150"/>
      <c r="J1057" s="150"/>
      <c r="K1057" s="150"/>
      <c r="L1057" s="150"/>
      <c r="M1057" s="150"/>
      <c r="N1057" s="150"/>
      <c r="O1057" s="150"/>
      <c r="P1057" s="150"/>
      <c r="Q1057" s="150"/>
      <c r="R1057" s="150"/>
      <c r="S1057" s="150"/>
      <c r="T1057" s="150"/>
      <c r="U1057" s="150"/>
      <c r="V1057" s="150"/>
      <c r="W1057" s="150"/>
      <c r="X1057" s="150"/>
      <c r="Y1057" s="150"/>
    </row>
    <row r="1058">
      <c r="A1058" s="150"/>
      <c r="B1058" s="156"/>
      <c r="C1058" s="157"/>
      <c r="D1058" s="150"/>
      <c r="E1058" s="150"/>
      <c r="F1058" s="150"/>
      <c r="G1058" s="150"/>
      <c r="H1058" s="150"/>
      <c r="I1058" s="150"/>
      <c r="J1058" s="150"/>
      <c r="K1058" s="150"/>
      <c r="L1058" s="150"/>
      <c r="M1058" s="150"/>
      <c r="N1058" s="150"/>
      <c r="O1058" s="150"/>
      <c r="P1058" s="150"/>
      <c r="Q1058" s="150"/>
      <c r="R1058" s="150"/>
      <c r="S1058" s="150"/>
      <c r="T1058" s="150"/>
      <c r="U1058" s="150"/>
      <c r="V1058" s="150"/>
      <c r="W1058" s="150"/>
      <c r="X1058" s="150"/>
      <c r="Y1058" s="150"/>
    </row>
    <row r="1059">
      <c r="A1059" s="150"/>
      <c r="B1059" s="156"/>
      <c r="C1059" s="157"/>
      <c r="D1059" s="150"/>
      <c r="E1059" s="150"/>
      <c r="F1059" s="150"/>
      <c r="G1059" s="150"/>
      <c r="H1059" s="150"/>
      <c r="I1059" s="150"/>
      <c r="J1059" s="150"/>
      <c r="K1059" s="150"/>
      <c r="L1059" s="150"/>
      <c r="M1059" s="150"/>
      <c r="N1059" s="150"/>
      <c r="O1059" s="150"/>
      <c r="P1059" s="150"/>
      <c r="Q1059" s="150"/>
      <c r="R1059" s="150"/>
      <c r="S1059" s="150"/>
      <c r="T1059" s="150"/>
      <c r="U1059" s="150"/>
      <c r="V1059" s="150"/>
      <c r="W1059" s="150"/>
      <c r="X1059" s="150"/>
      <c r="Y1059" s="150"/>
    </row>
    <row r="1060">
      <c r="A1060" s="150"/>
      <c r="B1060" s="156"/>
      <c r="C1060" s="157"/>
      <c r="D1060" s="150"/>
      <c r="E1060" s="150"/>
      <c r="F1060" s="150"/>
      <c r="G1060" s="150"/>
      <c r="H1060" s="150"/>
      <c r="I1060" s="150"/>
      <c r="J1060" s="150"/>
      <c r="K1060" s="150"/>
      <c r="L1060" s="150"/>
      <c r="M1060" s="150"/>
      <c r="N1060" s="150"/>
      <c r="O1060" s="150"/>
      <c r="P1060" s="150"/>
      <c r="Q1060" s="150"/>
      <c r="R1060" s="150"/>
      <c r="S1060" s="150"/>
      <c r="T1060" s="150"/>
      <c r="U1060" s="150"/>
      <c r="V1060" s="150"/>
      <c r="W1060" s="150"/>
      <c r="X1060" s="150"/>
      <c r="Y1060" s="150"/>
    </row>
    <row r="1061">
      <c r="A1061" s="150"/>
      <c r="B1061" s="156"/>
      <c r="C1061" s="157"/>
      <c r="D1061" s="150"/>
      <c r="E1061" s="150"/>
      <c r="F1061" s="150"/>
      <c r="G1061" s="150"/>
      <c r="H1061" s="150"/>
      <c r="I1061" s="150"/>
      <c r="J1061" s="150"/>
      <c r="K1061" s="150"/>
      <c r="L1061" s="150"/>
      <c r="M1061" s="150"/>
      <c r="N1061" s="150"/>
      <c r="O1061" s="150"/>
      <c r="P1061" s="150"/>
      <c r="Q1061" s="150"/>
      <c r="R1061" s="150"/>
      <c r="S1061" s="150"/>
      <c r="T1061" s="150"/>
      <c r="U1061" s="150"/>
      <c r="V1061" s="150"/>
      <c r="W1061" s="150"/>
      <c r="X1061" s="150"/>
      <c r="Y1061" s="150"/>
    </row>
    <row r="1062">
      <c r="A1062" s="150"/>
      <c r="B1062" s="156"/>
      <c r="C1062" s="157"/>
      <c r="D1062" s="150"/>
      <c r="E1062" s="150"/>
      <c r="F1062" s="150"/>
      <c r="G1062" s="150"/>
      <c r="H1062" s="150"/>
      <c r="I1062" s="150"/>
      <c r="J1062" s="150"/>
      <c r="K1062" s="150"/>
      <c r="L1062" s="150"/>
      <c r="M1062" s="150"/>
      <c r="N1062" s="150"/>
      <c r="O1062" s="150"/>
      <c r="P1062" s="150"/>
      <c r="Q1062" s="150"/>
      <c r="R1062" s="150"/>
      <c r="S1062" s="150"/>
      <c r="T1062" s="150"/>
      <c r="U1062" s="150"/>
      <c r="V1062" s="150"/>
      <c r="W1062" s="150"/>
      <c r="X1062" s="150"/>
      <c r="Y1062" s="150"/>
    </row>
    <row r="1063">
      <c r="A1063" s="150"/>
      <c r="B1063" s="156"/>
      <c r="C1063" s="157"/>
      <c r="D1063" s="150"/>
      <c r="E1063" s="150"/>
      <c r="F1063" s="150"/>
      <c r="G1063" s="150"/>
      <c r="H1063" s="150"/>
      <c r="I1063" s="150"/>
      <c r="J1063" s="150"/>
      <c r="K1063" s="150"/>
      <c r="L1063" s="150"/>
      <c r="M1063" s="150"/>
      <c r="N1063" s="150"/>
      <c r="O1063" s="150"/>
      <c r="P1063" s="150"/>
      <c r="Q1063" s="150"/>
      <c r="R1063" s="150"/>
      <c r="S1063" s="150"/>
      <c r="T1063" s="150"/>
      <c r="U1063" s="150"/>
      <c r="V1063" s="150"/>
      <c r="W1063" s="150"/>
      <c r="X1063" s="150"/>
      <c r="Y1063" s="150"/>
    </row>
    <row r="1064">
      <c r="A1064" s="150"/>
      <c r="B1064" s="156"/>
      <c r="C1064" s="157"/>
      <c r="D1064" s="150"/>
      <c r="E1064" s="150"/>
      <c r="F1064" s="150"/>
      <c r="G1064" s="150"/>
      <c r="H1064" s="150"/>
      <c r="I1064" s="150"/>
      <c r="J1064" s="150"/>
      <c r="K1064" s="150"/>
      <c r="L1064" s="150"/>
      <c r="M1064" s="150"/>
      <c r="N1064" s="150"/>
      <c r="O1064" s="150"/>
      <c r="P1064" s="150"/>
      <c r="Q1064" s="150"/>
      <c r="R1064" s="150"/>
      <c r="S1064" s="150"/>
      <c r="T1064" s="150"/>
      <c r="U1064" s="150"/>
      <c r="V1064" s="150"/>
      <c r="W1064" s="150"/>
      <c r="X1064" s="150"/>
      <c r="Y1064" s="150"/>
    </row>
    <row r="1065">
      <c r="A1065" s="150"/>
      <c r="B1065" s="156"/>
      <c r="C1065" s="157"/>
      <c r="D1065" s="150"/>
      <c r="E1065" s="150"/>
      <c r="F1065" s="150"/>
      <c r="G1065" s="150"/>
      <c r="H1065" s="150"/>
      <c r="I1065" s="150"/>
      <c r="J1065" s="150"/>
      <c r="K1065" s="150"/>
      <c r="L1065" s="150"/>
      <c r="M1065" s="150"/>
      <c r="N1065" s="150"/>
      <c r="O1065" s="150"/>
      <c r="P1065" s="150"/>
      <c r="Q1065" s="150"/>
      <c r="R1065" s="150"/>
      <c r="S1065" s="150"/>
      <c r="T1065" s="150"/>
      <c r="U1065" s="150"/>
      <c r="V1065" s="150"/>
      <c r="W1065" s="150"/>
      <c r="X1065" s="150"/>
      <c r="Y1065" s="150"/>
    </row>
    <row r="1066">
      <c r="A1066" s="150"/>
      <c r="B1066" s="156"/>
      <c r="C1066" s="157"/>
      <c r="D1066" s="150"/>
      <c r="E1066" s="150"/>
      <c r="F1066" s="150"/>
      <c r="G1066" s="150"/>
      <c r="H1066" s="150"/>
      <c r="I1066" s="150"/>
      <c r="J1066" s="150"/>
      <c r="K1066" s="150"/>
      <c r="L1066" s="150"/>
      <c r="M1066" s="150"/>
      <c r="N1066" s="150"/>
      <c r="O1066" s="150"/>
      <c r="P1066" s="150"/>
      <c r="Q1066" s="150"/>
      <c r="R1066" s="150"/>
      <c r="S1066" s="150"/>
      <c r="T1066" s="150"/>
      <c r="U1066" s="150"/>
      <c r="V1066" s="150"/>
      <c r="W1066" s="150"/>
      <c r="X1066" s="150"/>
      <c r="Y1066" s="150"/>
    </row>
    <row r="1067">
      <c r="A1067" s="150"/>
      <c r="B1067" s="156"/>
      <c r="C1067" s="157"/>
      <c r="D1067" s="150"/>
      <c r="E1067" s="150"/>
      <c r="F1067" s="150"/>
      <c r="G1067" s="150"/>
      <c r="H1067" s="150"/>
      <c r="I1067" s="150"/>
      <c r="J1067" s="150"/>
      <c r="K1067" s="150"/>
      <c r="L1067" s="150"/>
      <c r="M1067" s="150"/>
      <c r="N1067" s="150"/>
      <c r="O1067" s="150"/>
      <c r="P1067" s="150"/>
      <c r="Q1067" s="150"/>
      <c r="R1067" s="150"/>
      <c r="S1067" s="150"/>
      <c r="T1067" s="150"/>
      <c r="U1067" s="150"/>
      <c r="V1067" s="150"/>
      <c r="W1067" s="150"/>
      <c r="X1067" s="150"/>
      <c r="Y1067" s="150"/>
    </row>
    <row r="1068">
      <c r="A1068" s="150"/>
      <c r="B1068" s="156"/>
      <c r="C1068" s="157"/>
      <c r="D1068" s="150"/>
      <c r="E1068" s="150"/>
      <c r="F1068" s="150"/>
      <c r="G1068" s="150"/>
      <c r="H1068" s="150"/>
      <c r="I1068" s="150"/>
      <c r="J1068" s="150"/>
      <c r="K1068" s="150"/>
      <c r="L1068" s="150"/>
      <c r="M1068" s="150"/>
      <c r="N1068" s="150"/>
      <c r="O1068" s="150"/>
      <c r="P1068" s="150"/>
      <c r="Q1068" s="150"/>
      <c r="R1068" s="150"/>
      <c r="S1068" s="150"/>
      <c r="T1068" s="150"/>
      <c r="U1068" s="150"/>
      <c r="V1068" s="150"/>
      <c r="W1068" s="150"/>
      <c r="X1068" s="150"/>
      <c r="Y1068" s="150"/>
    </row>
    <row r="1069">
      <c r="A1069" s="150"/>
      <c r="B1069" s="156"/>
      <c r="C1069" s="157"/>
      <c r="D1069" s="150"/>
      <c r="E1069" s="150"/>
      <c r="F1069" s="150"/>
      <c r="G1069" s="150"/>
      <c r="H1069" s="150"/>
      <c r="I1069" s="150"/>
      <c r="J1069" s="150"/>
      <c r="K1069" s="150"/>
      <c r="L1069" s="150"/>
      <c r="M1069" s="150"/>
      <c r="N1069" s="150"/>
      <c r="O1069" s="150"/>
      <c r="P1069" s="150"/>
      <c r="Q1069" s="150"/>
      <c r="R1069" s="150"/>
      <c r="S1069" s="150"/>
      <c r="T1069" s="150"/>
      <c r="U1069" s="150"/>
      <c r="V1069" s="150"/>
      <c r="W1069" s="150"/>
      <c r="X1069" s="150"/>
      <c r="Y1069" s="150"/>
    </row>
    <row r="1070">
      <c r="A1070" s="150"/>
      <c r="B1070" s="156"/>
      <c r="C1070" s="157"/>
      <c r="D1070" s="150"/>
      <c r="E1070" s="150"/>
      <c r="F1070" s="150"/>
      <c r="G1070" s="150"/>
      <c r="H1070" s="150"/>
      <c r="I1070" s="150"/>
      <c r="J1070" s="150"/>
      <c r="K1070" s="150"/>
      <c r="L1070" s="150"/>
      <c r="M1070" s="150"/>
      <c r="N1070" s="150"/>
      <c r="O1070" s="150"/>
      <c r="P1070" s="150"/>
      <c r="Q1070" s="150"/>
      <c r="R1070" s="150"/>
      <c r="S1070" s="150"/>
      <c r="T1070" s="150"/>
      <c r="U1070" s="150"/>
      <c r="V1070" s="150"/>
      <c r="W1070" s="150"/>
      <c r="X1070" s="150"/>
      <c r="Y1070" s="150"/>
    </row>
    <row r="1071">
      <c r="A1071" s="150"/>
      <c r="B1071" s="156"/>
      <c r="C1071" s="157"/>
      <c r="D1071" s="150"/>
      <c r="E1071" s="150"/>
      <c r="F1071" s="150"/>
      <c r="G1071" s="150"/>
      <c r="H1071" s="150"/>
      <c r="I1071" s="150"/>
      <c r="J1071" s="150"/>
      <c r="K1071" s="150"/>
      <c r="L1071" s="150"/>
      <c r="M1071" s="150"/>
      <c r="N1071" s="150"/>
      <c r="O1071" s="150"/>
      <c r="P1071" s="150"/>
      <c r="Q1071" s="150"/>
      <c r="R1071" s="150"/>
      <c r="S1071" s="150"/>
      <c r="T1071" s="150"/>
      <c r="U1071" s="150"/>
      <c r="V1071" s="150"/>
      <c r="W1071" s="150"/>
      <c r="X1071" s="150"/>
      <c r="Y1071" s="150"/>
    </row>
    <row r="1072">
      <c r="A1072" s="150"/>
      <c r="B1072" s="156"/>
      <c r="C1072" s="157"/>
      <c r="D1072" s="150"/>
      <c r="E1072" s="150"/>
      <c r="F1072" s="150"/>
      <c r="G1072" s="150"/>
      <c r="H1072" s="150"/>
      <c r="I1072" s="150"/>
      <c r="J1072" s="150"/>
      <c r="K1072" s="150"/>
      <c r="L1072" s="150"/>
      <c r="M1072" s="150"/>
      <c r="N1072" s="150"/>
      <c r="O1072" s="150"/>
      <c r="P1072" s="150"/>
      <c r="Q1072" s="150"/>
      <c r="R1072" s="150"/>
      <c r="S1072" s="150"/>
      <c r="T1072" s="150"/>
      <c r="U1072" s="150"/>
      <c r="V1072" s="150"/>
      <c r="W1072" s="150"/>
      <c r="X1072" s="150"/>
      <c r="Y1072" s="150"/>
    </row>
    <row r="1073">
      <c r="A1073" s="150"/>
      <c r="B1073" s="156"/>
      <c r="C1073" s="157"/>
      <c r="D1073" s="150"/>
      <c r="E1073" s="150"/>
      <c r="F1073" s="150"/>
      <c r="G1073" s="150"/>
      <c r="H1073" s="150"/>
      <c r="I1073" s="150"/>
      <c r="J1073" s="150"/>
      <c r="K1073" s="150"/>
      <c r="L1073" s="150"/>
      <c r="M1073" s="150"/>
      <c r="N1073" s="150"/>
      <c r="O1073" s="150"/>
      <c r="P1073" s="150"/>
      <c r="Q1073" s="150"/>
      <c r="R1073" s="150"/>
      <c r="S1073" s="150"/>
      <c r="T1073" s="150"/>
      <c r="U1073" s="150"/>
      <c r="V1073" s="150"/>
      <c r="W1073" s="150"/>
      <c r="X1073" s="150"/>
      <c r="Y1073" s="150"/>
    </row>
    <row r="1074">
      <c r="A1074" s="150"/>
      <c r="B1074" s="156"/>
      <c r="C1074" s="157"/>
      <c r="D1074" s="150"/>
      <c r="E1074" s="150"/>
      <c r="F1074" s="150"/>
      <c r="G1074" s="150"/>
      <c r="H1074" s="150"/>
      <c r="I1074" s="150"/>
      <c r="J1074" s="150"/>
      <c r="K1074" s="150"/>
      <c r="L1074" s="150"/>
      <c r="M1074" s="150"/>
      <c r="N1074" s="150"/>
      <c r="O1074" s="150"/>
      <c r="P1074" s="150"/>
      <c r="Q1074" s="150"/>
      <c r="R1074" s="150"/>
      <c r="S1074" s="150"/>
      <c r="T1074" s="150"/>
      <c r="U1074" s="150"/>
      <c r="V1074" s="150"/>
      <c r="W1074" s="150"/>
      <c r="X1074" s="150"/>
      <c r="Y1074" s="150"/>
    </row>
    <row r="1075">
      <c r="A1075" s="150"/>
      <c r="B1075" s="156"/>
      <c r="C1075" s="157"/>
      <c r="D1075" s="150"/>
      <c r="E1075" s="150"/>
      <c r="F1075" s="150"/>
      <c r="G1075" s="150"/>
      <c r="H1075" s="150"/>
      <c r="I1075" s="150"/>
      <c r="J1075" s="150"/>
      <c r="K1075" s="150"/>
      <c r="L1075" s="150"/>
      <c r="M1075" s="150"/>
      <c r="N1075" s="150"/>
      <c r="O1075" s="150"/>
      <c r="P1075" s="150"/>
      <c r="Q1075" s="150"/>
      <c r="R1075" s="150"/>
      <c r="S1075" s="150"/>
      <c r="T1075" s="150"/>
      <c r="U1075" s="150"/>
      <c r="V1075" s="150"/>
      <c r="W1075" s="150"/>
      <c r="X1075" s="150"/>
      <c r="Y1075" s="150"/>
    </row>
    <row r="1076">
      <c r="A1076" s="150"/>
      <c r="B1076" s="156"/>
      <c r="C1076" s="157"/>
      <c r="D1076" s="150"/>
      <c r="E1076" s="150"/>
      <c r="F1076" s="150"/>
      <c r="G1076" s="150"/>
      <c r="H1076" s="150"/>
      <c r="I1076" s="150"/>
      <c r="J1076" s="150"/>
      <c r="K1076" s="150"/>
      <c r="L1076" s="150"/>
      <c r="M1076" s="150"/>
      <c r="N1076" s="150"/>
      <c r="O1076" s="150"/>
      <c r="P1076" s="150"/>
      <c r="Q1076" s="150"/>
      <c r="R1076" s="150"/>
      <c r="S1076" s="150"/>
      <c r="T1076" s="150"/>
      <c r="U1076" s="150"/>
      <c r="V1076" s="150"/>
      <c r="W1076" s="150"/>
      <c r="X1076" s="150"/>
      <c r="Y1076" s="150"/>
    </row>
    <row r="1077">
      <c r="A1077" s="150"/>
      <c r="B1077" s="156"/>
      <c r="C1077" s="157"/>
      <c r="D1077" s="150"/>
      <c r="E1077" s="150"/>
      <c r="F1077" s="150"/>
      <c r="G1077" s="150"/>
      <c r="H1077" s="150"/>
      <c r="I1077" s="150"/>
      <c r="J1077" s="150"/>
      <c r="K1077" s="150"/>
      <c r="L1077" s="150"/>
      <c r="M1077" s="150"/>
      <c r="N1077" s="150"/>
      <c r="O1077" s="150"/>
      <c r="P1077" s="150"/>
      <c r="Q1077" s="150"/>
      <c r="R1077" s="150"/>
      <c r="S1077" s="150"/>
      <c r="T1077" s="150"/>
      <c r="U1077" s="150"/>
      <c r="V1077" s="150"/>
      <c r="W1077" s="150"/>
      <c r="X1077" s="150"/>
      <c r="Y1077" s="150"/>
    </row>
    <row r="1078">
      <c r="A1078" s="150"/>
      <c r="B1078" s="156"/>
      <c r="C1078" s="157"/>
      <c r="D1078" s="150"/>
      <c r="E1078" s="150"/>
      <c r="F1078" s="150"/>
      <c r="G1078" s="150"/>
      <c r="H1078" s="150"/>
      <c r="I1078" s="150"/>
      <c r="J1078" s="150"/>
      <c r="K1078" s="150"/>
      <c r="L1078" s="150"/>
      <c r="M1078" s="150"/>
      <c r="N1078" s="150"/>
      <c r="O1078" s="150"/>
      <c r="P1078" s="150"/>
      <c r="Q1078" s="150"/>
      <c r="R1078" s="150"/>
      <c r="S1078" s="150"/>
      <c r="T1078" s="150"/>
      <c r="U1078" s="150"/>
      <c r="V1078" s="150"/>
      <c r="W1078" s="150"/>
      <c r="X1078" s="150"/>
      <c r="Y1078" s="150"/>
    </row>
    <row r="1079">
      <c r="A1079" s="150"/>
      <c r="B1079" s="156"/>
      <c r="C1079" s="157"/>
      <c r="D1079" s="150"/>
      <c r="E1079" s="150"/>
      <c r="F1079" s="150"/>
      <c r="G1079" s="150"/>
      <c r="H1079" s="150"/>
      <c r="I1079" s="150"/>
      <c r="J1079" s="150"/>
      <c r="K1079" s="150"/>
      <c r="L1079" s="150"/>
      <c r="M1079" s="150"/>
      <c r="N1079" s="150"/>
      <c r="O1079" s="150"/>
      <c r="P1079" s="150"/>
      <c r="Q1079" s="150"/>
      <c r="R1079" s="150"/>
      <c r="S1079" s="150"/>
      <c r="T1079" s="150"/>
      <c r="U1079" s="150"/>
      <c r="V1079" s="150"/>
      <c r="W1079" s="150"/>
      <c r="X1079" s="150"/>
      <c r="Y1079" s="150"/>
    </row>
    <row r="1080">
      <c r="A1080" s="150"/>
      <c r="B1080" s="156"/>
      <c r="C1080" s="157"/>
      <c r="D1080" s="150"/>
      <c r="E1080" s="150"/>
      <c r="F1080" s="150"/>
      <c r="G1080" s="150"/>
      <c r="H1080" s="150"/>
      <c r="I1080" s="150"/>
      <c r="J1080" s="150"/>
      <c r="K1080" s="150"/>
      <c r="L1080" s="150"/>
      <c r="M1080" s="150"/>
      <c r="N1080" s="150"/>
      <c r="O1080" s="150"/>
      <c r="P1080" s="150"/>
      <c r="Q1080" s="150"/>
      <c r="R1080" s="150"/>
      <c r="S1080" s="150"/>
      <c r="T1080" s="150"/>
      <c r="U1080" s="150"/>
      <c r="V1080" s="150"/>
      <c r="W1080" s="150"/>
      <c r="X1080" s="150"/>
      <c r="Y1080" s="150"/>
    </row>
    <row r="1081">
      <c r="A1081" s="150"/>
      <c r="B1081" s="156"/>
      <c r="C1081" s="157"/>
      <c r="D1081" s="150"/>
      <c r="E1081" s="150"/>
      <c r="F1081" s="150"/>
      <c r="G1081" s="150"/>
      <c r="H1081" s="150"/>
      <c r="I1081" s="150"/>
      <c r="J1081" s="150"/>
      <c r="K1081" s="150"/>
      <c r="L1081" s="150"/>
      <c r="M1081" s="150"/>
      <c r="N1081" s="150"/>
      <c r="O1081" s="150"/>
      <c r="P1081" s="150"/>
      <c r="Q1081" s="150"/>
      <c r="R1081" s="150"/>
      <c r="S1081" s="150"/>
      <c r="T1081" s="150"/>
      <c r="U1081" s="150"/>
      <c r="V1081" s="150"/>
      <c r="W1081" s="150"/>
      <c r="X1081" s="150"/>
      <c r="Y1081" s="150"/>
    </row>
    <row r="1082">
      <c r="A1082" s="150"/>
      <c r="B1082" s="156"/>
      <c r="C1082" s="157"/>
      <c r="D1082" s="150"/>
      <c r="E1082" s="150"/>
      <c r="F1082" s="150"/>
      <c r="G1082" s="150"/>
      <c r="H1082" s="150"/>
      <c r="I1082" s="150"/>
      <c r="J1082" s="150"/>
      <c r="K1082" s="150"/>
      <c r="L1082" s="150"/>
      <c r="M1082" s="150"/>
      <c r="N1082" s="150"/>
      <c r="O1082" s="150"/>
      <c r="P1082" s="150"/>
      <c r="Q1082" s="150"/>
      <c r="R1082" s="150"/>
      <c r="S1082" s="150"/>
      <c r="T1082" s="150"/>
      <c r="U1082" s="150"/>
      <c r="V1082" s="150"/>
      <c r="W1082" s="150"/>
      <c r="X1082" s="150"/>
      <c r="Y1082" s="150"/>
    </row>
    <row r="1083">
      <c r="A1083" s="150"/>
      <c r="B1083" s="156"/>
      <c r="C1083" s="157"/>
      <c r="D1083" s="150"/>
      <c r="E1083" s="150"/>
      <c r="F1083" s="150"/>
      <c r="G1083" s="150"/>
      <c r="H1083" s="150"/>
      <c r="I1083" s="150"/>
      <c r="J1083" s="150"/>
      <c r="K1083" s="150"/>
      <c r="L1083" s="150"/>
      <c r="M1083" s="150"/>
      <c r="N1083" s="150"/>
      <c r="O1083" s="150"/>
      <c r="P1083" s="150"/>
      <c r="Q1083" s="150"/>
      <c r="R1083" s="150"/>
      <c r="S1083" s="150"/>
      <c r="T1083" s="150"/>
      <c r="U1083" s="150"/>
      <c r="V1083" s="150"/>
      <c r="W1083" s="150"/>
      <c r="X1083" s="150"/>
      <c r="Y1083" s="150"/>
    </row>
    <row r="1084">
      <c r="A1084" s="150"/>
      <c r="B1084" s="156"/>
      <c r="C1084" s="157"/>
      <c r="D1084" s="150"/>
      <c r="E1084" s="150"/>
      <c r="F1084" s="150"/>
      <c r="G1084" s="150"/>
      <c r="H1084" s="150"/>
      <c r="I1084" s="150"/>
      <c r="J1084" s="150"/>
      <c r="K1084" s="150"/>
      <c r="L1084" s="150"/>
      <c r="M1084" s="150"/>
      <c r="N1084" s="150"/>
      <c r="O1084" s="150"/>
      <c r="P1084" s="150"/>
      <c r="Q1084" s="150"/>
      <c r="R1084" s="150"/>
      <c r="S1084" s="150"/>
      <c r="T1084" s="150"/>
      <c r="U1084" s="150"/>
      <c r="V1084" s="150"/>
      <c r="W1084" s="150"/>
      <c r="X1084" s="150"/>
      <c r="Y1084" s="150"/>
    </row>
    <row r="1085">
      <c r="A1085" s="150"/>
      <c r="B1085" s="156"/>
      <c r="C1085" s="157"/>
      <c r="D1085" s="150"/>
      <c r="E1085" s="150"/>
      <c r="F1085" s="150"/>
      <c r="G1085" s="150"/>
      <c r="H1085" s="150"/>
      <c r="I1085" s="150"/>
      <c r="J1085" s="150"/>
      <c r="K1085" s="150"/>
      <c r="L1085" s="150"/>
      <c r="M1085" s="150"/>
      <c r="N1085" s="150"/>
      <c r="O1085" s="150"/>
      <c r="P1085" s="150"/>
      <c r="Q1085" s="150"/>
      <c r="R1085" s="150"/>
      <c r="S1085" s="150"/>
      <c r="T1085" s="150"/>
      <c r="U1085" s="150"/>
      <c r="V1085" s="150"/>
      <c r="W1085" s="150"/>
      <c r="X1085" s="150"/>
      <c r="Y1085" s="150"/>
    </row>
    <row r="1086">
      <c r="A1086" s="150"/>
      <c r="B1086" s="156"/>
      <c r="C1086" s="157"/>
      <c r="D1086" s="150"/>
      <c r="E1086" s="150"/>
      <c r="F1086" s="150"/>
      <c r="G1086" s="150"/>
      <c r="H1086" s="150"/>
      <c r="I1086" s="150"/>
      <c r="J1086" s="150"/>
      <c r="K1086" s="150"/>
      <c r="L1086" s="150"/>
      <c r="M1086" s="150"/>
      <c r="N1086" s="150"/>
      <c r="O1086" s="150"/>
      <c r="P1086" s="150"/>
      <c r="Q1086" s="150"/>
      <c r="R1086" s="150"/>
      <c r="S1086" s="150"/>
      <c r="T1086" s="150"/>
      <c r="U1086" s="150"/>
      <c r="V1086" s="150"/>
      <c r="W1086" s="150"/>
      <c r="X1086" s="150"/>
      <c r="Y1086" s="150"/>
    </row>
    <row r="1087">
      <c r="A1087" s="150"/>
      <c r="B1087" s="156"/>
      <c r="C1087" s="157"/>
      <c r="D1087" s="150"/>
      <c r="E1087" s="150"/>
      <c r="F1087" s="150"/>
      <c r="G1087" s="150"/>
      <c r="H1087" s="150"/>
      <c r="I1087" s="150"/>
      <c r="J1087" s="150"/>
      <c r="K1087" s="150"/>
      <c r="L1087" s="150"/>
      <c r="M1087" s="150"/>
      <c r="N1087" s="150"/>
      <c r="O1087" s="150"/>
      <c r="P1087" s="150"/>
      <c r="Q1087" s="150"/>
      <c r="R1087" s="150"/>
      <c r="S1087" s="150"/>
      <c r="T1087" s="150"/>
      <c r="U1087" s="150"/>
      <c r="V1087" s="150"/>
      <c r="W1087" s="150"/>
      <c r="X1087" s="150"/>
      <c r="Y1087" s="150"/>
    </row>
    <row r="1088">
      <c r="A1088" s="150"/>
      <c r="B1088" s="156"/>
      <c r="C1088" s="157"/>
      <c r="D1088" s="150"/>
      <c r="E1088" s="150"/>
      <c r="F1088" s="150"/>
      <c r="G1088" s="150"/>
      <c r="H1088" s="150"/>
      <c r="I1088" s="150"/>
      <c r="J1088" s="150"/>
      <c r="K1088" s="150"/>
      <c r="L1088" s="150"/>
      <c r="M1088" s="150"/>
      <c r="N1088" s="150"/>
      <c r="O1088" s="150"/>
      <c r="P1088" s="150"/>
      <c r="Q1088" s="150"/>
      <c r="R1088" s="150"/>
      <c r="S1088" s="150"/>
      <c r="T1088" s="150"/>
      <c r="U1088" s="150"/>
      <c r="V1088" s="150"/>
      <c r="W1088" s="150"/>
      <c r="X1088" s="150"/>
      <c r="Y1088" s="150"/>
    </row>
    <row r="1089">
      <c r="A1089" s="150"/>
      <c r="B1089" s="156"/>
      <c r="C1089" s="157"/>
      <c r="D1089" s="150"/>
      <c r="E1089" s="150"/>
      <c r="F1089" s="150"/>
      <c r="G1089" s="150"/>
      <c r="H1089" s="150"/>
      <c r="I1089" s="150"/>
      <c r="J1089" s="150"/>
      <c r="K1089" s="150"/>
      <c r="L1089" s="150"/>
      <c r="M1089" s="150"/>
      <c r="N1089" s="150"/>
      <c r="O1089" s="150"/>
      <c r="P1089" s="150"/>
      <c r="Q1089" s="150"/>
      <c r="R1089" s="150"/>
      <c r="S1089" s="150"/>
      <c r="T1089" s="150"/>
      <c r="U1089" s="150"/>
      <c r="V1089" s="150"/>
      <c r="W1089" s="150"/>
      <c r="X1089" s="150"/>
      <c r="Y1089" s="150"/>
    </row>
    <row r="1090">
      <c r="A1090" s="150"/>
      <c r="B1090" s="156"/>
      <c r="C1090" s="157"/>
      <c r="D1090" s="150"/>
      <c r="E1090" s="150"/>
      <c r="F1090" s="150"/>
      <c r="G1090" s="150"/>
      <c r="H1090" s="150"/>
      <c r="I1090" s="150"/>
      <c r="J1090" s="150"/>
      <c r="K1090" s="150"/>
      <c r="L1090" s="150"/>
      <c r="M1090" s="150"/>
      <c r="N1090" s="150"/>
      <c r="O1090" s="150"/>
      <c r="P1090" s="150"/>
      <c r="Q1090" s="150"/>
      <c r="R1090" s="150"/>
      <c r="S1090" s="150"/>
      <c r="T1090" s="150"/>
      <c r="U1090" s="150"/>
      <c r="V1090" s="150"/>
      <c r="W1090" s="150"/>
      <c r="X1090" s="150"/>
      <c r="Y1090" s="150"/>
    </row>
    <row r="1091">
      <c r="A1091" s="150"/>
      <c r="B1091" s="156"/>
      <c r="C1091" s="157"/>
      <c r="D1091" s="150"/>
      <c r="E1091" s="150"/>
      <c r="F1091" s="150"/>
      <c r="G1091" s="150"/>
      <c r="H1091" s="150"/>
      <c r="I1091" s="150"/>
      <c r="J1091" s="150"/>
      <c r="K1091" s="150"/>
      <c r="L1091" s="150"/>
      <c r="M1091" s="150"/>
      <c r="N1091" s="150"/>
      <c r="O1091" s="150"/>
      <c r="P1091" s="150"/>
      <c r="Q1091" s="150"/>
      <c r="R1091" s="150"/>
      <c r="S1091" s="150"/>
      <c r="T1091" s="150"/>
      <c r="U1091" s="150"/>
      <c r="V1091" s="150"/>
      <c r="W1091" s="150"/>
      <c r="X1091" s="150"/>
      <c r="Y1091" s="150"/>
    </row>
    <row r="1092">
      <c r="A1092" s="150"/>
      <c r="B1092" s="156"/>
      <c r="C1092" s="157"/>
      <c r="D1092" s="150"/>
      <c r="E1092" s="150"/>
      <c r="F1092" s="150"/>
      <c r="G1092" s="150"/>
      <c r="H1092" s="150"/>
      <c r="I1092" s="150"/>
      <c r="J1092" s="150"/>
      <c r="K1092" s="150"/>
      <c r="L1092" s="150"/>
      <c r="M1092" s="150"/>
      <c r="N1092" s="150"/>
      <c r="O1092" s="150"/>
      <c r="P1092" s="150"/>
      <c r="Q1092" s="150"/>
      <c r="R1092" s="150"/>
      <c r="S1092" s="150"/>
      <c r="T1092" s="150"/>
      <c r="U1092" s="150"/>
      <c r="V1092" s="150"/>
      <c r="W1092" s="150"/>
      <c r="X1092" s="150"/>
      <c r="Y1092" s="150"/>
    </row>
    <row r="1093">
      <c r="A1093" s="150"/>
      <c r="B1093" s="156"/>
      <c r="C1093" s="157"/>
      <c r="D1093" s="150"/>
      <c r="E1093" s="150"/>
      <c r="F1093" s="150"/>
      <c r="G1093" s="150"/>
      <c r="H1093" s="150"/>
      <c r="I1093" s="150"/>
      <c r="J1093" s="150"/>
      <c r="K1093" s="150"/>
      <c r="L1093" s="150"/>
      <c r="M1093" s="150"/>
      <c r="N1093" s="150"/>
      <c r="O1093" s="150"/>
      <c r="P1093" s="150"/>
      <c r="Q1093" s="150"/>
      <c r="R1093" s="150"/>
      <c r="S1093" s="150"/>
      <c r="T1093" s="150"/>
      <c r="U1093" s="150"/>
      <c r="V1093" s="150"/>
      <c r="W1093" s="150"/>
      <c r="X1093" s="150"/>
      <c r="Y1093" s="150"/>
    </row>
    <row r="1094">
      <c r="A1094" s="150"/>
      <c r="B1094" s="156"/>
      <c r="C1094" s="157"/>
      <c r="D1094" s="150"/>
      <c r="E1094" s="150"/>
      <c r="F1094" s="150"/>
      <c r="G1094" s="150"/>
      <c r="H1094" s="150"/>
      <c r="I1094" s="150"/>
      <c r="J1094" s="150"/>
      <c r="K1094" s="150"/>
      <c r="L1094" s="150"/>
      <c r="M1094" s="150"/>
      <c r="N1094" s="150"/>
      <c r="O1094" s="150"/>
      <c r="P1094" s="150"/>
      <c r="Q1094" s="150"/>
      <c r="R1094" s="150"/>
      <c r="S1094" s="150"/>
      <c r="T1094" s="150"/>
      <c r="U1094" s="150"/>
      <c r="V1094" s="150"/>
      <c r="W1094" s="150"/>
      <c r="X1094" s="150"/>
      <c r="Y1094" s="150"/>
    </row>
    <row r="1095">
      <c r="A1095" s="150"/>
      <c r="B1095" s="156"/>
      <c r="C1095" s="157"/>
      <c r="D1095" s="150"/>
      <c r="E1095" s="150"/>
      <c r="F1095" s="150"/>
      <c r="G1095" s="150"/>
      <c r="H1095" s="150"/>
      <c r="I1095" s="150"/>
      <c r="J1095" s="150"/>
      <c r="K1095" s="150"/>
      <c r="L1095" s="150"/>
      <c r="M1095" s="150"/>
      <c r="N1095" s="150"/>
      <c r="O1095" s="150"/>
      <c r="P1095" s="150"/>
      <c r="Q1095" s="150"/>
      <c r="R1095" s="150"/>
      <c r="S1095" s="150"/>
      <c r="T1095" s="150"/>
      <c r="U1095" s="150"/>
      <c r="V1095" s="150"/>
      <c r="W1095" s="150"/>
      <c r="X1095" s="150"/>
      <c r="Y1095" s="150"/>
    </row>
    <row r="1096">
      <c r="A1096" s="150"/>
      <c r="B1096" s="156"/>
      <c r="C1096" s="157"/>
      <c r="D1096" s="150"/>
      <c r="E1096" s="150"/>
      <c r="F1096" s="150"/>
      <c r="G1096" s="150"/>
      <c r="H1096" s="150"/>
      <c r="I1096" s="150"/>
      <c r="J1096" s="150"/>
      <c r="K1096" s="150"/>
      <c r="L1096" s="150"/>
      <c r="M1096" s="150"/>
      <c r="N1096" s="150"/>
      <c r="O1096" s="150"/>
      <c r="P1096" s="150"/>
      <c r="Q1096" s="150"/>
      <c r="R1096" s="150"/>
      <c r="S1096" s="150"/>
      <c r="T1096" s="150"/>
      <c r="U1096" s="150"/>
      <c r="V1096" s="150"/>
      <c r="W1096" s="150"/>
      <c r="X1096" s="150"/>
      <c r="Y1096" s="150"/>
    </row>
    <row r="1097">
      <c r="A1097" s="150"/>
      <c r="B1097" s="156"/>
      <c r="C1097" s="157"/>
      <c r="D1097" s="150"/>
      <c r="E1097" s="150"/>
      <c r="F1097" s="150"/>
      <c r="G1097" s="150"/>
      <c r="H1097" s="150"/>
      <c r="I1097" s="150"/>
      <c r="J1097" s="150"/>
      <c r="K1097" s="150"/>
      <c r="L1097" s="150"/>
      <c r="M1097" s="150"/>
      <c r="N1097" s="150"/>
      <c r="O1097" s="150"/>
      <c r="P1097" s="150"/>
      <c r="Q1097" s="150"/>
      <c r="R1097" s="150"/>
      <c r="S1097" s="150"/>
      <c r="T1097" s="150"/>
      <c r="U1097" s="150"/>
      <c r="V1097" s="150"/>
      <c r="W1097" s="150"/>
      <c r="X1097" s="150"/>
      <c r="Y1097" s="150"/>
    </row>
    <row r="1098">
      <c r="A1098" s="150"/>
      <c r="B1098" s="156"/>
      <c r="C1098" s="157"/>
      <c r="D1098" s="150"/>
      <c r="E1098" s="150"/>
      <c r="F1098" s="150"/>
      <c r="G1098" s="150"/>
      <c r="H1098" s="150"/>
      <c r="I1098" s="150"/>
      <c r="J1098" s="150"/>
      <c r="K1098" s="150"/>
      <c r="L1098" s="150"/>
      <c r="M1098" s="150"/>
      <c r="N1098" s="150"/>
      <c r="O1098" s="150"/>
      <c r="P1098" s="150"/>
      <c r="Q1098" s="150"/>
      <c r="R1098" s="150"/>
      <c r="S1098" s="150"/>
      <c r="T1098" s="150"/>
      <c r="U1098" s="150"/>
      <c r="V1098" s="150"/>
      <c r="W1098" s="150"/>
      <c r="X1098" s="150"/>
      <c r="Y1098" s="150"/>
    </row>
    <row r="1099">
      <c r="A1099" s="150"/>
      <c r="B1099" s="156"/>
      <c r="C1099" s="157"/>
      <c r="D1099" s="150"/>
      <c r="E1099" s="150"/>
      <c r="F1099" s="150"/>
      <c r="G1099" s="150"/>
      <c r="H1099" s="150"/>
      <c r="I1099" s="150"/>
      <c r="J1099" s="150"/>
      <c r="K1099" s="150"/>
      <c r="L1099" s="150"/>
      <c r="M1099" s="150"/>
      <c r="N1099" s="150"/>
      <c r="O1099" s="150"/>
      <c r="P1099" s="150"/>
      <c r="Q1099" s="150"/>
      <c r="R1099" s="150"/>
      <c r="S1099" s="150"/>
      <c r="T1099" s="150"/>
      <c r="U1099" s="150"/>
      <c r="V1099" s="150"/>
      <c r="W1099" s="150"/>
      <c r="X1099" s="150"/>
      <c r="Y1099" s="150"/>
    </row>
    <row r="1100">
      <c r="A1100" s="150"/>
      <c r="B1100" s="156"/>
      <c r="C1100" s="157"/>
      <c r="D1100" s="150"/>
      <c r="E1100" s="150"/>
      <c r="F1100" s="150"/>
      <c r="G1100" s="150"/>
      <c r="H1100" s="150"/>
      <c r="I1100" s="150"/>
      <c r="J1100" s="150"/>
      <c r="K1100" s="150"/>
      <c r="L1100" s="150"/>
      <c r="M1100" s="150"/>
      <c r="N1100" s="150"/>
      <c r="O1100" s="150"/>
      <c r="P1100" s="150"/>
      <c r="Q1100" s="150"/>
      <c r="R1100" s="150"/>
      <c r="S1100" s="150"/>
      <c r="T1100" s="150"/>
      <c r="U1100" s="150"/>
      <c r="V1100" s="150"/>
      <c r="W1100" s="150"/>
      <c r="X1100" s="150"/>
      <c r="Y1100" s="150"/>
    </row>
    <row r="1101">
      <c r="A1101" s="150"/>
      <c r="B1101" s="156"/>
      <c r="C1101" s="157"/>
      <c r="D1101" s="150"/>
      <c r="E1101" s="150"/>
      <c r="F1101" s="150"/>
      <c r="G1101" s="150"/>
      <c r="H1101" s="150"/>
      <c r="I1101" s="150"/>
      <c r="J1101" s="150"/>
      <c r="K1101" s="150"/>
      <c r="L1101" s="150"/>
      <c r="M1101" s="150"/>
      <c r="N1101" s="150"/>
      <c r="O1101" s="150"/>
      <c r="P1101" s="150"/>
      <c r="Q1101" s="150"/>
      <c r="R1101" s="150"/>
      <c r="S1101" s="150"/>
      <c r="T1101" s="150"/>
      <c r="U1101" s="150"/>
      <c r="V1101" s="150"/>
      <c r="W1101" s="150"/>
      <c r="X1101" s="150"/>
      <c r="Y1101" s="150"/>
    </row>
    <row r="1102">
      <c r="A1102" s="150"/>
      <c r="B1102" s="156"/>
      <c r="C1102" s="157"/>
      <c r="D1102" s="150"/>
      <c r="E1102" s="150"/>
      <c r="F1102" s="150"/>
      <c r="G1102" s="150"/>
      <c r="H1102" s="150"/>
      <c r="I1102" s="150"/>
      <c r="J1102" s="150"/>
      <c r="K1102" s="150"/>
      <c r="L1102" s="150"/>
      <c r="M1102" s="150"/>
      <c r="N1102" s="150"/>
      <c r="O1102" s="150"/>
      <c r="P1102" s="150"/>
      <c r="Q1102" s="150"/>
      <c r="R1102" s="150"/>
      <c r="S1102" s="150"/>
      <c r="T1102" s="150"/>
      <c r="U1102" s="150"/>
      <c r="V1102" s="150"/>
      <c r="W1102" s="150"/>
      <c r="X1102" s="150"/>
      <c r="Y1102" s="150"/>
    </row>
    <row r="1103">
      <c r="A1103" s="150"/>
      <c r="B1103" s="156"/>
      <c r="C1103" s="157"/>
      <c r="D1103" s="150"/>
      <c r="E1103" s="150"/>
      <c r="F1103" s="150"/>
      <c r="G1103" s="150"/>
      <c r="H1103" s="150"/>
      <c r="I1103" s="150"/>
      <c r="J1103" s="150"/>
      <c r="K1103" s="150"/>
      <c r="L1103" s="150"/>
      <c r="M1103" s="150"/>
      <c r="N1103" s="150"/>
      <c r="O1103" s="150"/>
      <c r="P1103" s="150"/>
      <c r="Q1103" s="150"/>
      <c r="R1103" s="150"/>
      <c r="S1103" s="150"/>
      <c r="T1103" s="150"/>
      <c r="U1103" s="150"/>
      <c r="V1103" s="150"/>
      <c r="W1103" s="150"/>
      <c r="X1103" s="150"/>
      <c r="Y1103" s="150"/>
    </row>
    <row r="1104">
      <c r="A1104" s="150"/>
      <c r="B1104" s="156"/>
      <c r="C1104" s="157"/>
      <c r="D1104" s="150"/>
      <c r="E1104" s="150"/>
      <c r="F1104" s="150"/>
      <c r="G1104" s="150"/>
      <c r="H1104" s="150"/>
      <c r="I1104" s="150"/>
      <c r="J1104" s="150"/>
      <c r="K1104" s="150"/>
      <c r="L1104" s="150"/>
      <c r="M1104" s="150"/>
      <c r="N1104" s="150"/>
      <c r="O1104" s="150"/>
      <c r="P1104" s="150"/>
      <c r="Q1104" s="150"/>
      <c r="R1104" s="150"/>
      <c r="S1104" s="150"/>
      <c r="T1104" s="150"/>
      <c r="U1104" s="150"/>
      <c r="V1104" s="150"/>
      <c r="W1104" s="150"/>
      <c r="X1104" s="150"/>
      <c r="Y1104" s="150"/>
    </row>
    <row r="1105">
      <c r="A1105" s="150"/>
      <c r="B1105" s="156"/>
      <c r="C1105" s="157"/>
      <c r="D1105" s="150"/>
      <c r="E1105" s="150"/>
      <c r="F1105" s="150"/>
      <c r="G1105" s="150"/>
      <c r="H1105" s="150"/>
      <c r="I1105" s="150"/>
      <c r="J1105" s="150"/>
      <c r="K1105" s="150"/>
      <c r="L1105" s="150"/>
      <c r="M1105" s="150"/>
      <c r="N1105" s="150"/>
      <c r="O1105" s="150"/>
      <c r="P1105" s="150"/>
      <c r="Q1105" s="150"/>
      <c r="R1105" s="150"/>
      <c r="S1105" s="150"/>
      <c r="T1105" s="150"/>
      <c r="U1105" s="150"/>
      <c r="V1105" s="150"/>
      <c r="W1105" s="150"/>
      <c r="X1105" s="150"/>
      <c r="Y1105" s="150"/>
    </row>
    <row r="1106">
      <c r="A1106" s="150"/>
      <c r="B1106" s="156"/>
      <c r="C1106" s="157"/>
      <c r="D1106" s="150"/>
      <c r="E1106" s="150"/>
      <c r="F1106" s="150"/>
      <c r="G1106" s="150"/>
      <c r="H1106" s="150"/>
      <c r="I1106" s="150"/>
      <c r="J1106" s="150"/>
      <c r="K1106" s="150"/>
      <c r="L1106" s="150"/>
      <c r="M1106" s="150"/>
      <c r="N1106" s="150"/>
      <c r="O1106" s="150"/>
      <c r="P1106" s="150"/>
      <c r="Q1106" s="150"/>
      <c r="R1106" s="150"/>
      <c r="S1106" s="150"/>
      <c r="T1106" s="150"/>
      <c r="U1106" s="150"/>
      <c r="V1106" s="150"/>
      <c r="W1106" s="150"/>
      <c r="X1106" s="150"/>
      <c r="Y1106" s="150"/>
    </row>
    <row r="1107">
      <c r="A1107" s="150"/>
      <c r="B1107" s="156"/>
      <c r="C1107" s="157"/>
      <c r="D1107" s="150"/>
      <c r="E1107" s="150"/>
      <c r="F1107" s="150"/>
      <c r="G1107" s="150"/>
      <c r="H1107" s="150"/>
      <c r="I1107" s="150"/>
      <c r="J1107" s="150"/>
      <c r="K1107" s="150"/>
      <c r="L1107" s="150"/>
      <c r="M1107" s="150"/>
      <c r="N1107" s="150"/>
      <c r="O1107" s="150"/>
      <c r="P1107" s="150"/>
      <c r="Q1107" s="150"/>
      <c r="R1107" s="150"/>
      <c r="S1107" s="150"/>
      <c r="T1107" s="150"/>
      <c r="U1107" s="150"/>
      <c r="V1107" s="150"/>
      <c r="W1107" s="150"/>
      <c r="X1107" s="150"/>
      <c r="Y1107" s="150"/>
    </row>
    <row r="1108">
      <c r="A1108" s="150"/>
      <c r="B1108" s="156"/>
      <c r="C1108" s="157"/>
      <c r="D1108" s="150"/>
      <c r="E1108" s="150"/>
      <c r="F1108" s="150"/>
      <c r="G1108" s="150"/>
      <c r="H1108" s="150"/>
      <c r="I1108" s="150"/>
      <c r="J1108" s="150"/>
      <c r="K1108" s="150"/>
      <c r="L1108" s="150"/>
      <c r="M1108" s="150"/>
      <c r="N1108" s="150"/>
      <c r="O1108" s="150"/>
      <c r="P1108" s="150"/>
      <c r="Q1108" s="150"/>
      <c r="R1108" s="150"/>
      <c r="S1108" s="150"/>
      <c r="T1108" s="150"/>
      <c r="U1108" s="150"/>
      <c r="V1108" s="150"/>
      <c r="W1108" s="150"/>
      <c r="X1108" s="150"/>
      <c r="Y1108" s="150"/>
    </row>
    <row r="1109">
      <c r="A1109" s="150"/>
      <c r="B1109" s="156"/>
      <c r="C1109" s="157"/>
      <c r="D1109" s="150"/>
      <c r="E1109" s="150"/>
      <c r="F1109" s="150"/>
      <c r="G1109" s="150"/>
      <c r="H1109" s="150"/>
      <c r="I1109" s="150"/>
      <c r="J1109" s="150"/>
      <c r="K1109" s="150"/>
      <c r="L1109" s="150"/>
      <c r="M1109" s="150"/>
      <c r="N1109" s="150"/>
      <c r="O1109" s="150"/>
      <c r="P1109" s="150"/>
      <c r="Q1109" s="150"/>
      <c r="R1109" s="150"/>
      <c r="S1109" s="150"/>
      <c r="T1109" s="150"/>
      <c r="U1109" s="150"/>
      <c r="V1109" s="150"/>
      <c r="W1109" s="150"/>
      <c r="X1109" s="150"/>
      <c r="Y1109" s="150"/>
    </row>
    <row r="1110">
      <c r="A1110" s="150"/>
      <c r="B1110" s="156"/>
      <c r="C1110" s="157"/>
      <c r="D1110" s="150"/>
      <c r="E1110" s="150"/>
      <c r="F1110" s="150"/>
      <c r="G1110" s="150"/>
      <c r="H1110" s="150"/>
      <c r="I1110" s="150"/>
      <c r="J1110" s="150"/>
      <c r="K1110" s="150"/>
      <c r="L1110" s="150"/>
      <c r="M1110" s="150"/>
      <c r="N1110" s="150"/>
      <c r="O1110" s="150"/>
      <c r="P1110" s="150"/>
      <c r="Q1110" s="150"/>
      <c r="R1110" s="150"/>
      <c r="S1110" s="150"/>
      <c r="T1110" s="150"/>
      <c r="U1110" s="150"/>
      <c r="V1110" s="150"/>
      <c r="W1110" s="150"/>
      <c r="X1110" s="150"/>
      <c r="Y1110" s="150"/>
    </row>
    <row r="1111">
      <c r="A1111" s="150"/>
      <c r="B1111" s="156"/>
      <c r="C1111" s="157"/>
      <c r="D1111" s="150"/>
      <c r="E1111" s="150"/>
      <c r="F1111" s="150"/>
      <c r="G1111" s="150"/>
      <c r="H1111" s="150"/>
      <c r="I1111" s="150"/>
      <c r="J1111" s="150"/>
      <c r="K1111" s="150"/>
      <c r="L1111" s="150"/>
      <c r="M1111" s="150"/>
      <c r="N1111" s="150"/>
      <c r="O1111" s="150"/>
      <c r="P1111" s="150"/>
      <c r="Q1111" s="150"/>
      <c r="R1111" s="150"/>
      <c r="S1111" s="150"/>
      <c r="T1111" s="150"/>
      <c r="U1111" s="150"/>
      <c r="V1111" s="150"/>
      <c r="W1111" s="150"/>
      <c r="X1111" s="150"/>
      <c r="Y1111" s="150"/>
    </row>
    <row r="1112">
      <c r="A1112" s="150"/>
      <c r="B1112" s="156"/>
      <c r="C1112" s="157"/>
      <c r="D1112" s="150"/>
      <c r="E1112" s="150"/>
      <c r="F1112" s="150"/>
      <c r="G1112" s="150"/>
      <c r="H1112" s="150"/>
      <c r="I1112" s="150"/>
      <c r="J1112" s="150"/>
      <c r="K1112" s="150"/>
      <c r="L1112" s="150"/>
      <c r="M1112" s="150"/>
      <c r="N1112" s="150"/>
      <c r="O1112" s="150"/>
      <c r="P1112" s="150"/>
      <c r="Q1112" s="150"/>
      <c r="R1112" s="150"/>
      <c r="S1112" s="150"/>
      <c r="T1112" s="150"/>
      <c r="U1112" s="150"/>
      <c r="V1112" s="150"/>
      <c r="W1112" s="150"/>
      <c r="X1112" s="150"/>
      <c r="Y1112" s="150"/>
    </row>
    <row r="1113">
      <c r="A1113" s="150"/>
      <c r="B1113" s="156"/>
      <c r="C1113" s="157"/>
      <c r="D1113" s="150"/>
      <c r="E1113" s="150"/>
      <c r="F1113" s="150"/>
      <c r="G1113" s="150"/>
      <c r="H1113" s="150"/>
      <c r="I1113" s="150"/>
      <c r="J1113" s="150"/>
      <c r="K1113" s="150"/>
      <c r="L1113" s="150"/>
      <c r="M1113" s="150"/>
      <c r="N1113" s="150"/>
      <c r="O1113" s="150"/>
      <c r="P1113" s="150"/>
      <c r="Q1113" s="150"/>
      <c r="R1113" s="150"/>
      <c r="S1113" s="150"/>
      <c r="T1113" s="150"/>
      <c r="U1113" s="150"/>
      <c r="V1113" s="150"/>
      <c r="W1113" s="150"/>
      <c r="X1113" s="150"/>
      <c r="Y1113" s="150"/>
    </row>
    <row r="1114">
      <c r="A1114" s="150"/>
      <c r="B1114" s="156"/>
      <c r="C1114" s="157"/>
      <c r="D1114" s="150"/>
      <c r="E1114" s="150"/>
      <c r="F1114" s="150"/>
      <c r="G1114" s="150"/>
      <c r="H1114" s="150"/>
      <c r="I1114" s="150"/>
      <c r="J1114" s="150"/>
      <c r="K1114" s="150"/>
      <c r="L1114" s="150"/>
      <c r="M1114" s="150"/>
      <c r="N1114" s="150"/>
      <c r="O1114" s="150"/>
      <c r="P1114" s="150"/>
      <c r="Q1114" s="150"/>
      <c r="R1114" s="150"/>
      <c r="S1114" s="150"/>
      <c r="T1114" s="150"/>
      <c r="U1114" s="150"/>
      <c r="V1114" s="150"/>
      <c r="W1114" s="150"/>
      <c r="X1114" s="150"/>
      <c r="Y1114" s="150"/>
    </row>
    <row r="1115">
      <c r="A1115" s="150"/>
      <c r="B1115" s="156"/>
      <c r="C1115" s="157"/>
      <c r="D1115" s="150"/>
      <c r="E1115" s="150"/>
      <c r="F1115" s="150"/>
      <c r="G1115" s="150"/>
      <c r="H1115" s="150"/>
      <c r="I1115" s="150"/>
      <c r="J1115" s="150"/>
      <c r="K1115" s="150"/>
      <c r="L1115" s="150"/>
      <c r="M1115" s="150"/>
      <c r="N1115" s="150"/>
      <c r="O1115" s="150"/>
      <c r="P1115" s="150"/>
      <c r="Q1115" s="150"/>
      <c r="R1115" s="150"/>
      <c r="S1115" s="150"/>
      <c r="T1115" s="150"/>
      <c r="U1115" s="150"/>
      <c r="V1115" s="150"/>
      <c r="W1115" s="150"/>
      <c r="X1115" s="150"/>
      <c r="Y1115" s="150"/>
    </row>
    <row r="1116">
      <c r="A1116" s="150"/>
      <c r="B1116" s="156"/>
      <c r="C1116" s="157"/>
      <c r="D1116" s="150"/>
      <c r="E1116" s="150"/>
      <c r="F1116" s="150"/>
      <c r="G1116" s="150"/>
      <c r="H1116" s="150"/>
      <c r="I1116" s="150"/>
      <c r="J1116" s="150"/>
      <c r="K1116" s="150"/>
      <c r="L1116" s="150"/>
      <c r="M1116" s="150"/>
      <c r="N1116" s="150"/>
      <c r="O1116" s="150"/>
      <c r="P1116" s="150"/>
      <c r="Q1116" s="150"/>
      <c r="R1116" s="150"/>
      <c r="S1116" s="150"/>
      <c r="T1116" s="150"/>
      <c r="U1116" s="150"/>
      <c r="V1116" s="150"/>
      <c r="W1116" s="150"/>
      <c r="X1116" s="150"/>
      <c r="Y1116" s="150"/>
    </row>
    <row r="1117">
      <c r="A1117" s="150"/>
      <c r="B1117" s="156"/>
      <c r="C1117" s="157"/>
      <c r="D1117" s="150"/>
      <c r="E1117" s="150"/>
      <c r="F1117" s="150"/>
      <c r="G1117" s="150"/>
      <c r="H1117" s="150"/>
      <c r="I1117" s="150"/>
      <c r="J1117" s="150"/>
      <c r="K1117" s="150"/>
      <c r="L1117" s="150"/>
      <c r="M1117" s="150"/>
      <c r="N1117" s="150"/>
      <c r="O1117" s="150"/>
      <c r="P1117" s="150"/>
      <c r="Q1117" s="150"/>
      <c r="R1117" s="150"/>
      <c r="S1117" s="150"/>
      <c r="T1117" s="150"/>
      <c r="U1117" s="150"/>
      <c r="V1117" s="150"/>
      <c r="W1117" s="150"/>
      <c r="X1117" s="150"/>
      <c r="Y1117" s="150"/>
    </row>
    <row r="1118">
      <c r="A1118" s="150"/>
      <c r="B1118" s="156"/>
      <c r="C1118" s="157"/>
      <c r="D1118" s="150"/>
      <c r="E1118" s="150"/>
      <c r="F1118" s="150"/>
      <c r="G1118" s="150"/>
      <c r="H1118" s="150"/>
      <c r="I1118" s="150"/>
      <c r="J1118" s="150"/>
      <c r="K1118" s="150"/>
      <c r="L1118" s="150"/>
      <c r="M1118" s="150"/>
      <c r="N1118" s="150"/>
      <c r="O1118" s="150"/>
      <c r="P1118" s="150"/>
      <c r="Q1118" s="150"/>
      <c r="R1118" s="150"/>
      <c r="S1118" s="150"/>
      <c r="T1118" s="150"/>
      <c r="U1118" s="150"/>
      <c r="V1118" s="150"/>
      <c r="W1118" s="150"/>
      <c r="X1118" s="150"/>
      <c r="Y1118" s="150"/>
    </row>
    <row r="1119">
      <c r="A1119" s="150"/>
      <c r="B1119" s="156"/>
      <c r="C1119" s="157"/>
      <c r="D1119" s="150"/>
      <c r="E1119" s="150"/>
      <c r="F1119" s="150"/>
      <c r="G1119" s="150"/>
      <c r="H1119" s="150"/>
      <c r="I1119" s="150"/>
      <c r="J1119" s="150"/>
      <c r="K1119" s="150"/>
      <c r="L1119" s="150"/>
      <c r="M1119" s="150"/>
      <c r="N1119" s="150"/>
      <c r="O1119" s="150"/>
      <c r="P1119" s="150"/>
      <c r="Q1119" s="150"/>
      <c r="R1119" s="150"/>
      <c r="S1119" s="150"/>
      <c r="T1119" s="150"/>
      <c r="U1119" s="150"/>
      <c r="V1119" s="150"/>
      <c r="W1119" s="150"/>
      <c r="X1119" s="150"/>
      <c r="Y1119" s="150"/>
    </row>
    <row r="1120">
      <c r="A1120" s="150"/>
      <c r="B1120" s="156"/>
      <c r="C1120" s="157"/>
      <c r="D1120" s="150"/>
      <c r="E1120" s="150"/>
      <c r="F1120" s="150"/>
      <c r="G1120" s="150"/>
      <c r="H1120" s="150"/>
      <c r="I1120" s="150"/>
      <c r="J1120" s="150"/>
      <c r="K1120" s="150"/>
      <c r="L1120" s="150"/>
      <c r="M1120" s="150"/>
      <c r="N1120" s="150"/>
      <c r="O1120" s="150"/>
      <c r="P1120" s="150"/>
      <c r="Q1120" s="150"/>
      <c r="R1120" s="150"/>
      <c r="S1120" s="150"/>
      <c r="T1120" s="150"/>
      <c r="U1120" s="150"/>
      <c r="V1120" s="150"/>
      <c r="W1120" s="150"/>
      <c r="X1120" s="150"/>
      <c r="Y1120" s="150"/>
    </row>
    <row r="1121">
      <c r="A1121" s="150"/>
      <c r="B1121" s="156"/>
      <c r="C1121" s="157"/>
      <c r="D1121" s="150"/>
      <c r="E1121" s="150"/>
      <c r="F1121" s="150"/>
      <c r="G1121" s="150"/>
      <c r="H1121" s="150"/>
      <c r="I1121" s="150"/>
      <c r="J1121" s="150"/>
      <c r="K1121" s="150"/>
      <c r="L1121" s="150"/>
      <c r="M1121" s="150"/>
      <c r="N1121" s="150"/>
      <c r="O1121" s="150"/>
      <c r="P1121" s="150"/>
      <c r="Q1121" s="150"/>
      <c r="R1121" s="150"/>
      <c r="S1121" s="150"/>
      <c r="T1121" s="150"/>
      <c r="U1121" s="150"/>
      <c r="V1121" s="150"/>
      <c r="W1121" s="150"/>
      <c r="X1121" s="150"/>
      <c r="Y1121" s="150"/>
    </row>
    <row r="1122">
      <c r="A1122" s="150"/>
      <c r="B1122" s="156"/>
      <c r="C1122" s="157"/>
      <c r="D1122" s="150"/>
      <c r="E1122" s="150"/>
      <c r="F1122" s="150"/>
      <c r="G1122" s="150"/>
      <c r="H1122" s="150"/>
      <c r="I1122" s="150"/>
      <c r="J1122" s="150"/>
      <c r="K1122" s="150"/>
      <c r="L1122" s="150"/>
      <c r="M1122" s="150"/>
      <c r="N1122" s="150"/>
      <c r="O1122" s="150"/>
      <c r="P1122" s="150"/>
      <c r="Q1122" s="150"/>
      <c r="R1122" s="150"/>
      <c r="S1122" s="150"/>
      <c r="T1122" s="150"/>
      <c r="U1122" s="150"/>
      <c r="V1122" s="150"/>
      <c r="W1122" s="150"/>
      <c r="X1122" s="150"/>
      <c r="Y1122" s="150"/>
    </row>
    <row r="1123">
      <c r="A1123" s="150"/>
      <c r="B1123" s="156"/>
      <c r="C1123" s="157"/>
      <c r="D1123" s="150"/>
      <c r="E1123" s="150"/>
      <c r="F1123" s="150"/>
      <c r="G1123" s="150"/>
      <c r="H1123" s="150"/>
      <c r="I1123" s="150"/>
      <c r="J1123" s="150"/>
      <c r="K1123" s="150"/>
      <c r="L1123" s="150"/>
      <c r="M1123" s="150"/>
      <c r="N1123" s="150"/>
      <c r="O1123" s="150"/>
      <c r="P1123" s="150"/>
      <c r="Q1123" s="150"/>
      <c r="R1123" s="150"/>
      <c r="S1123" s="150"/>
      <c r="T1123" s="150"/>
      <c r="U1123" s="150"/>
      <c r="V1123" s="150"/>
      <c r="W1123" s="150"/>
      <c r="X1123" s="150"/>
      <c r="Y1123" s="150"/>
    </row>
    <row r="1124">
      <c r="A1124" s="150"/>
      <c r="B1124" s="156"/>
      <c r="C1124" s="157"/>
      <c r="D1124" s="150"/>
      <c r="E1124" s="150"/>
      <c r="F1124" s="150"/>
      <c r="G1124" s="150"/>
      <c r="H1124" s="150"/>
      <c r="I1124" s="150"/>
      <c r="J1124" s="150"/>
      <c r="K1124" s="150"/>
      <c r="L1124" s="150"/>
      <c r="M1124" s="150"/>
      <c r="N1124" s="150"/>
      <c r="O1124" s="150"/>
      <c r="P1124" s="150"/>
      <c r="Q1124" s="150"/>
      <c r="R1124" s="150"/>
      <c r="S1124" s="150"/>
      <c r="T1124" s="150"/>
      <c r="U1124" s="150"/>
      <c r="V1124" s="150"/>
      <c r="W1124" s="150"/>
      <c r="X1124" s="150"/>
      <c r="Y1124" s="150"/>
    </row>
    <row r="1125">
      <c r="A1125" s="150"/>
      <c r="B1125" s="156"/>
      <c r="C1125" s="157"/>
      <c r="D1125" s="150"/>
      <c r="E1125" s="150"/>
      <c r="F1125" s="150"/>
      <c r="G1125" s="150"/>
      <c r="H1125" s="150"/>
      <c r="I1125" s="150"/>
      <c r="J1125" s="150"/>
      <c r="K1125" s="150"/>
      <c r="L1125" s="150"/>
      <c r="M1125" s="150"/>
      <c r="N1125" s="150"/>
      <c r="O1125" s="150"/>
      <c r="P1125" s="150"/>
      <c r="Q1125" s="150"/>
      <c r="R1125" s="150"/>
      <c r="S1125" s="150"/>
      <c r="T1125" s="150"/>
      <c r="U1125" s="150"/>
      <c r="V1125" s="150"/>
      <c r="W1125" s="150"/>
      <c r="X1125" s="150"/>
      <c r="Y1125" s="150"/>
    </row>
    <row r="1126">
      <c r="A1126" s="150"/>
      <c r="B1126" s="156"/>
      <c r="C1126" s="157"/>
      <c r="D1126" s="150"/>
      <c r="E1126" s="150"/>
      <c r="F1126" s="150"/>
      <c r="G1126" s="150"/>
      <c r="H1126" s="150"/>
      <c r="I1126" s="150"/>
      <c r="J1126" s="150"/>
      <c r="K1126" s="150"/>
      <c r="L1126" s="150"/>
      <c r="M1126" s="150"/>
      <c r="N1126" s="150"/>
      <c r="O1126" s="150"/>
      <c r="P1126" s="150"/>
      <c r="Q1126" s="150"/>
      <c r="R1126" s="150"/>
      <c r="S1126" s="150"/>
      <c r="T1126" s="150"/>
      <c r="U1126" s="150"/>
      <c r="V1126" s="150"/>
      <c r="W1126" s="150"/>
      <c r="X1126" s="150"/>
      <c r="Y1126" s="150"/>
    </row>
    <row r="1127">
      <c r="A1127" s="150"/>
      <c r="B1127" s="156"/>
      <c r="C1127" s="157"/>
      <c r="D1127" s="150"/>
      <c r="E1127" s="150"/>
      <c r="F1127" s="150"/>
      <c r="G1127" s="150"/>
      <c r="H1127" s="150"/>
      <c r="I1127" s="150"/>
      <c r="J1127" s="150"/>
      <c r="K1127" s="150"/>
      <c r="L1127" s="150"/>
      <c r="M1127" s="150"/>
      <c r="N1127" s="150"/>
      <c r="O1127" s="150"/>
      <c r="P1127" s="150"/>
      <c r="Q1127" s="150"/>
      <c r="R1127" s="150"/>
      <c r="S1127" s="150"/>
      <c r="T1127" s="150"/>
      <c r="U1127" s="150"/>
      <c r="V1127" s="150"/>
      <c r="W1127" s="150"/>
      <c r="X1127" s="150"/>
      <c r="Y1127" s="150"/>
    </row>
    <row r="1128">
      <c r="A1128" s="150"/>
      <c r="B1128" s="156"/>
      <c r="C1128" s="157"/>
      <c r="D1128" s="150"/>
      <c r="E1128" s="150"/>
      <c r="F1128" s="150"/>
      <c r="G1128" s="150"/>
      <c r="H1128" s="150"/>
      <c r="I1128" s="150"/>
      <c r="J1128" s="150"/>
      <c r="K1128" s="150"/>
      <c r="L1128" s="150"/>
      <c r="M1128" s="150"/>
      <c r="N1128" s="150"/>
      <c r="O1128" s="150"/>
      <c r="P1128" s="150"/>
      <c r="Q1128" s="150"/>
      <c r="R1128" s="150"/>
      <c r="S1128" s="150"/>
      <c r="T1128" s="150"/>
      <c r="U1128" s="150"/>
      <c r="V1128" s="150"/>
      <c r="W1128" s="150"/>
      <c r="X1128" s="150"/>
      <c r="Y1128" s="150"/>
    </row>
    <row r="1129">
      <c r="A1129" s="150"/>
      <c r="B1129" s="156"/>
      <c r="C1129" s="157"/>
      <c r="D1129" s="150"/>
      <c r="E1129" s="150"/>
      <c r="F1129" s="150"/>
      <c r="G1129" s="150"/>
      <c r="H1129" s="150"/>
      <c r="I1129" s="150"/>
      <c r="J1129" s="150"/>
      <c r="K1129" s="150"/>
      <c r="L1129" s="150"/>
      <c r="M1129" s="150"/>
      <c r="N1129" s="150"/>
      <c r="O1129" s="150"/>
      <c r="P1129" s="150"/>
      <c r="Q1129" s="150"/>
      <c r="R1129" s="150"/>
      <c r="S1129" s="150"/>
      <c r="T1129" s="150"/>
      <c r="U1129" s="150"/>
      <c r="V1129" s="150"/>
      <c r="W1129" s="150"/>
      <c r="X1129" s="150"/>
      <c r="Y1129" s="150"/>
    </row>
    <row r="1130">
      <c r="A1130" s="150"/>
      <c r="B1130" s="156"/>
      <c r="C1130" s="157"/>
      <c r="D1130" s="150"/>
      <c r="E1130" s="150"/>
      <c r="F1130" s="150"/>
      <c r="G1130" s="150"/>
      <c r="H1130" s="150"/>
      <c r="I1130" s="150"/>
      <c r="J1130" s="150"/>
      <c r="K1130" s="150"/>
      <c r="L1130" s="150"/>
      <c r="M1130" s="150"/>
      <c r="N1130" s="150"/>
      <c r="O1130" s="150"/>
      <c r="P1130" s="150"/>
      <c r="Q1130" s="150"/>
      <c r="R1130" s="150"/>
      <c r="S1130" s="150"/>
      <c r="T1130" s="150"/>
      <c r="U1130" s="150"/>
      <c r="V1130" s="150"/>
      <c r="W1130" s="150"/>
      <c r="X1130" s="150"/>
      <c r="Y1130" s="150"/>
    </row>
    <row r="1131">
      <c r="A1131" s="150"/>
      <c r="B1131" s="156"/>
      <c r="C1131" s="157"/>
      <c r="D1131" s="150"/>
      <c r="E1131" s="150"/>
      <c r="F1131" s="150"/>
      <c r="G1131" s="150"/>
      <c r="H1131" s="150"/>
      <c r="I1131" s="150"/>
      <c r="J1131" s="150"/>
      <c r="K1131" s="150"/>
      <c r="L1131" s="150"/>
      <c r="M1131" s="150"/>
      <c r="N1131" s="150"/>
      <c r="O1131" s="150"/>
      <c r="P1131" s="150"/>
      <c r="Q1131" s="150"/>
      <c r="R1131" s="150"/>
      <c r="S1131" s="150"/>
      <c r="T1131" s="150"/>
      <c r="U1131" s="150"/>
      <c r="V1131" s="150"/>
      <c r="W1131" s="150"/>
      <c r="X1131" s="150"/>
      <c r="Y1131" s="150"/>
    </row>
    <row r="1132">
      <c r="A1132" s="150"/>
      <c r="B1132" s="156"/>
      <c r="C1132" s="157"/>
      <c r="D1132" s="150"/>
      <c r="E1132" s="150"/>
      <c r="F1132" s="150"/>
      <c r="G1132" s="150"/>
      <c r="H1132" s="150"/>
      <c r="I1132" s="150"/>
      <c r="J1132" s="150"/>
      <c r="K1132" s="150"/>
      <c r="L1132" s="150"/>
      <c r="M1132" s="150"/>
      <c r="N1132" s="150"/>
      <c r="O1132" s="150"/>
      <c r="P1132" s="150"/>
      <c r="Q1132" s="150"/>
      <c r="R1132" s="150"/>
      <c r="S1132" s="150"/>
      <c r="T1132" s="150"/>
      <c r="U1132" s="150"/>
      <c r="V1132" s="150"/>
      <c r="W1132" s="150"/>
      <c r="X1132" s="150"/>
      <c r="Y1132" s="150"/>
    </row>
    <row r="1133">
      <c r="A1133" s="150"/>
      <c r="B1133" s="156"/>
      <c r="C1133" s="157"/>
      <c r="D1133" s="150"/>
      <c r="E1133" s="150"/>
      <c r="F1133" s="150"/>
      <c r="G1133" s="150"/>
      <c r="H1133" s="150"/>
      <c r="I1133" s="150"/>
      <c r="J1133" s="150"/>
      <c r="K1133" s="150"/>
      <c r="L1133" s="150"/>
      <c r="M1133" s="150"/>
      <c r="N1133" s="150"/>
      <c r="O1133" s="150"/>
      <c r="P1133" s="150"/>
      <c r="Q1133" s="150"/>
      <c r="R1133" s="150"/>
      <c r="S1133" s="150"/>
      <c r="T1133" s="150"/>
      <c r="U1133" s="150"/>
      <c r="V1133" s="150"/>
      <c r="W1133" s="150"/>
      <c r="X1133" s="150"/>
      <c r="Y1133" s="150"/>
    </row>
    <row r="1134">
      <c r="A1134" s="150"/>
      <c r="B1134" s="156"/>
      <c r="C1134" s="157"/>
      <c r="D1134" s="150"/>
      <c r="E1134" s="150"/>
      <c r="F1134" s="150"/>
      <c r="G1134" s="150"/>
      <c r="H1134" s="150"/>
      <c r="I1134" s="150"/>
      <c r="J1134" s="150"/>
      <c r="K1134" s="150"/>
      <c r="L1134" s="150"/>
      <c r="M1134" s="150"/>
      <c r="N1134" s="150"/>
      <c r="O1134" s="150"/>
      <c r="P1134" s="150"/>
      <c r="Q1134" s="150"/>
      <c r="R1134" s="150"/>
      <c r="S1134" s="150"/>
      <c r="T1134" s="150"/>
      <c r="U1134" s="150"/>
      <c r="V1134" s="150"/>
      <c r="W1134" s="150"/>
      <c r="X1134" s="150"/>
      <c r="Y1134" s="150"/>
    </row>
    <row r="1135">
      <c r="A1135" s="150"/>
      <c r="B1135" s="156"/>
      <c r="C1135" s="157"/>
      <c r="D1135" s="150"/>
      <c r="E1135" s="150"/>
      <c r="F1135" s="150"/>
      <c r="G1135" s="150"/>
      <c r="H1135" s="150"/>
      <c r="I1135" s="150"/>
      <c r="J1135" s="150"/>
      <c r="K1135" s="150"/>
      <c r="L1135" s="150"/>
      <c r="M1135" s="150"/>
      <c r="N1135" s="150"/>
      <c r="O1135" s="150"/>
      <c r="P1135" s="150"/>
      <c r="Q1135" s="150"/>
      <c r="R1135" s="150"/>
      <c r="S1135" s="150"/>
      <c r="T1135" s="150"/>
      <c r="U1135" s="150"/>
      <c r="V1135" s="150"/>
      <c r="W1135" s="150"/>
      <c r="X1135" s="150"/>
      <c r="Y1135" s="150"/>
    </row>
    <row r="1136">
      <c r="A1136" s="150"/>
      <c r="B1136" s="156"/>
      <c r="C1136" s="157"/>
      <c r="D1136" s="150"/>
      <c r="E1136" s="150"/>
      <c r="F1136" s="150"/>
      <c r="G1136" s="150"/>
      <c r="H1136" s="150"/>
      <c r="I1136" s="150"/>
      <c r="J1136" s="150"/>
      <c r="K1136" s="150"/>
      <c r="L1136" s="150"/>
      <c r="M1136" s="150"/>
      <c r="N1136" s="150"/>
      <c r="O1136" s="150"/>
      <c r="P1136" s="150"/>
      <c r="Q1136" s="150"/>
      <c r="R1136" s="150"/>
      <c r="S1136" s="150"/>
      <c r="T1136" s="150"/>
      <c r="U1136" s="150"/>
      <c r="V1136" s="150"/>
      <c r="W1136" s="150"/>
      <c r="X1136" s="150"/>
      <c r="Y1136" s="150"/>
    </row>
    <row r="1137">
      <c r="A1137" s="150"/>
      <c r="B1137" s="156"/>
      <c r="C1137" s="157"/>
      <c r="D1137" s="150"/>
      <c r="E1137" s="150"/>
      <c r="F1137" s="150"/>
      <c r="G1137" s="150"/>
      <c r="H1137" s="150"/>
      <c r="I1137" s="150"/>
      <c r="J1137" s="150"/>
      <c r="K1137" s="150"/>
      <c r="L1137" s="150"/>
      <c r="M1137" s="150"/>
      <c r="N1137" s="150"/>
      <c r="O1137" s="150"/>
      <c r="P1137" s="150"/>
      <c r="Q1137" s="150"/>
      <c r="R1137" s="150"/>
      <c r="S1137" s="150"/>
      <c r="T1137" s="150"/>
      <c r="U1137" s="150"/>
      <c r="V1137" s="150"/>
      <c r="W1137" s="150"/>
      <c r="X1137" s="150"/>
      <c r="Y1137" s="150"/>
    </row>
    <row r="1138">
      <c r="A1138" s="150"/>
      <c r="B1138" s="156"/>
      <c r="C1138" s="157"/>
      <c r="D1138" s="150"/>
      <c r="E1138" s="150"/>
      <c r="F1138" s="150"/>
      <c r="G1138" s="150"/>
      <c r="H1138" s="150"/>
      <c r="I1138" s="150"/>
      <c r="J1138" s="150"/>
      <c r="K1138" s="150"/>
      <c r="L1138" s="150"/>
      <c r="M1138" s="150"/>
      <c r="N1138" s="150"/>
      <c r="O1138" s="150"/>
      <c r="P1138" s="150"/>
      <c r="Q1138" s="150"/>
      <c r="R1138" s="150"/>
      <c r="S1138" s="150"/>
      <c r="T1138" s="150"/>
      <c r="U1138" s="150"/>
      <c r="V1138" s="150"/>
      <c r="W1138" s="150"/>
      <c r="X1138" s="150"/>
      <c r="Y1138" s="150"/>
    </row>
    <row r="1139">
      <c r="A1139" s="150"/>
      <c r="B1139" s="156"/>
      <c r="C1139" s="157"/>
      <c r="D1139" s="150"/>
      <c r="E1139" s="150"/>
      <c r="F1139" s="150"/>
      <c r="G1139" s="150"/>
      <c r="H1139" s="150"/>
      <c r="I1139" s="150"/>
      <c r="J1139" s="150"/>
      <c r="K1139" s="150"/>
      <c r="L1139" s="150"/>
      <c r="M1139" s="150"/>
      <c r="N1139" s="150"/>
      <c r="O1139" s="150"/>
      <c r="P1139" s="150"/>
      <c r="Q1139" s="150"/>
      <c r="R1139" s="150"/>
      <c r="S1139" s="150"/>
      <c r="T1139" s="150"/>
      <c r="U1139" s="150"/>
      <c r="V1139" s="150"/>
      <c r="W1139" s="150"/>
      <c r="X1139" s="150"/>
      <c r="Y1139" s="150"/>
    </row>
    <row r="1140">
      <c r="A1140" s="150"/>
      <c r="B1140" s="156"/>
      <c r="C1140" s="157"/>
      <c r="D1140" s="150"/>
      <c r="E1140" s="150"/>
      <c r="F1140" s="150"/>
      <c r="G1140" s="150"/>
      <c r="H1140" s="150"/>
      <c r="I1140" s="150"/>
      <c r="J1140" s="150"/>
      <c r="K1140" s="150"/>
      <c r="L1140" s="150"/>
      <c r="M1140" s="150"/>
      <c r="N1140" s="150"/>
      <c r="O1140" s="150"/>
      <c r="P1140" s="150"/>
      <c r="Q1140" s="150"/>
      <c r="R1140" s="150"/>
      <c r="S1140" s="150"/>
      <c r="T1140" s="150"/>
      <c r="U1140" s="150"/>
      <c r="V1140" s="150"/>
      <c r="W1140" s="150"/>
      <c r="X1140" s="150"/>
      <c r="Y1140" s="150"/>
    </row>
    <row r="1141">
      <c r="A1141" s="150"/>
      <c r="B1141" s="156"/>
      <c r="C1141" s="157"/>
      <c r="D1141" s="150"/>
      <c r="E1141" s="150"/>
      <c r="F1141" s="150"/>
      <c r="G1141" s="150"/>
      <c r="H1141" s="150"/>
      <c r="I1141" s="150"/>
      <c r="J1141" s="150"/>
      <c r="K1141" s="150"/>
      <c r="L1141" s="150"/>
      <c r="M1141" s="150"/>
      <c r="N1141" s="150"/>
      <c r="O1141" s="150"/>
      <c r="P1141" s="150"/>
      <c r="Q1141" s="150"/>
      <c r="R1141" s="150"/>
      <c r="S1141" s="150"/>
      <c r="T1141" s="150"/>
      <c r="U1141" s="150"/>
      <c r="V1141" s="150"/>
      <c r="W1141" s="150"/>
      <c r="X1141" s="150"/>
      <c r="Y1141" s="150"/>
    </row>
    <row r="1142">
      <c r="A1142" s="150"/>
      <c r="B1142" s="156"/>
      <c r="C1142" s="157"/>
      <c r="D1142" s="150"/>
      <c r="E1142" s="150"/>
      <c r="F1142" s="150"/>
      <c r="G1142" s="150"/>
      <c r="H1142" s="150"/>
      <c r="I1142" s="150"/>
      <c r="J1142" s="150"/>
      <c r="K1142" s="150"/>
      <c r="L1142" s="150"/>
      <c r="M1142" s="150"/>
      <c r="N1142" s="150"/>
      <c r="O1142" s="150"/>
      <c r="P1142" s="150"/>
      <c r="Q1142" s="150"/>
      <c r="R1142" s="150"/>
      <c r="S1142" s="150"/>
      <c r="T1142" s="150"/>
      <c r="U1142" s="150"/>
      <c r="V1142" s="150"/>
      <c r="W1142" s="150"/>
      <c r="X1142" s="150"/>
      <c r="Y1142" s="150"/>
    </row>
    <row r="1143">
      <c r="A1143" s="150"/>
      <c r="B1143" s="156"/>
      <c r="C1143" s="157"/>
      <c r="D1143" s="150"/>
      <c r="E1143" s="150"/>
      <c r="F1143" s="150"/>
      <c r="G1143" s="150"/>
      <c r="H1143" s="150"/>
      <c r="I1143" s="150"/>
      <c r="J1143" s="150"/>
      <c r="K1143" s="150"/>
      <c r="L1143" s="150"/>
      <c r="M1143" s="150"/>
      <c r="N1143" s="150"/>
      <c r="O1143" s="150"/>
      <c r="P1143" s="150"/>
      <c r="Q1143" s="150"/>
      <c r="R1143" s="150"/>
      <c r="S1143" s="150"/>
      <c r="T1143" s="150"/>
      <c r="U1143" s="150"/>
      <c r="V1143" s="150"/>
      <c r="W1143" s="150"/>
      <c r="X1143" s="150"/>
      <c r="Y1143" s="150"/>
    </row>
    <row r="1144">
      <c r="A1144" s="150"/>
      <c r="B1144" s="156"/>
      <c r="C1144" s="157"/>
      <c r="D1144" s="150"/>
      <c r="E1144" s="150"/>
      <c r="F1144" s="150"/>
      <c r="G1144" s="150"/>
      <c r="H1144" s="150"/>
      <c r="I1144" s="150"/>
      <c r="J1144" s="150"/>
      <c r="K1144" s="150"/>
      <c r="L1144" s="150"/>
      <c r="M1144" s="150"/>
      <c r="N1144" s="150"/>
      <c r="O1144" s="150"/>
      <c r="P1144" s="150"/>
      <c r="Q1144" s="150"/>
      <c r="R1144" s="150"/>
      <c r="S1144" s="150"/>
      <c r="T1144" s="150"/>
      <c r="U1144" s="150"/>
      <c r="V1144" s="150"/>
      <c r="W1144" s="150"/>
      <c r="X1144" s="150"/>
      <c r="Y1144" s="150"/>
    </row>
    <row r="1145">
      <c r="A1145" s="150"/>
      <c r="B1145" s="156"/>
      <c r="C1145" s="157"/>
      <c r="D1145" s="150"/>
      <c r="E1145" s="150"/>
      <c r="F1145" s="150"/>
      <c r="G1145" s="150"/>
      <c r="H1145" s="150"/>
      <c r="I1145" s="150"/>
      <c r="J1145" s="150"/>
      <c r="K1145" s="150"/>
      <c r="L1145" s="150"/>
      <c r="M1145" s="150"/>
      <c r="N1145" s="150"/>
      <c r="O1145" s="150"/>
      <c r="P1145" s="150"/>
      <c r="Q1145" s="150"/>
      <c r="R1145" s="150"/>
      <c r="S1145" s="150"/>
      <c r="T1145" s="150"/>
      <c r="U1145" s="150"/>
      <c r="V1145" s="150"/>
      <c r="W1145" s="150"/>
      <c r="X1145" s="150"/>
      <c r="Y1145" s="150"/>
    </row>
    <row r="1146">
      <c r="A1146" s="150"/>
      <c r="B1146" s="156"/>
      <c r="C1146" s="157"/>
      <c r="D1146" s="150"/>
      <c r="E1146" s="150"/>
      <c r="F1146" s="150"/>
      <c r="G1146" s="150"/>
      <c r="H1146" s="150"/>
      <c r="I1146" s="150"/>
      <c r="J1146" s="150"/>
      <c r="K1146" s="150"/>
      <c r="L1146" s="150"/>
      <c r="M1146" s="150"/>
      <c r="N1146" s="150"/>
      <c r="O1146" s="150"/>
      <c r="P1146" s="150"/>
      <c r="Q1146" s="150"/>
      <c r="R1146" s="150"/>
      <c r="S1146" s="150"/>
      <c r="T1146" s="150"/>
      <c r="U1146" s="150"/>
      <c r="V1146" s="150"/>
      <c r="W1146" s="150"/>
      <c r="X1146" s="150"/>
      <c r="Y1146" s="150"/>
    </row>
    <row r="1147">
      <c r="A1147" s="150"/>
      <c r="B1147" s="156"/>
      <c r="C1147" s="157"/>
      <c r="D1147" s="150"/>
      <c r="E1147" s="150"/>
      <c r="F1147" s="150"/>
      <c r="G1147" s="150"/>
      <c r="H1147" s="150"/>
      <c r="I1147" s="150"/>
      <c r="J1147" s="150"/>
      <c r="K1147" s="150"/>
      <c r="L1147" s="150"/>
      <c r="M1147" s="150"/>
      <c r="N1147" s="150"/>
      <c r="O1147" s="150"/>
      <c r="P1147" s="150"/>
      <c r="Q1147" s="150"/>
      <c r="R1147" s="150"/>
      <c r="S1147" s="150"/>
      <c r="T1147" s="150"/>
      <c r="U1147" s="150"/>
      <c r="V1147" s="150"/>
      <c r="W1147" s="150"/>
      <c r="X1147" s="150"/>
      <c r="Y1147" s="150"/>
    </row>
    <row r="1148">
      <c r="A1148" s="150"/>
      <c r="B1148" s="156"/>
      <c r="C1148" s="157"/>
      <c r="D1148" s="150"/>
      <c r="E1148" s="150"/>
      <c r="F1148" s="150"/>
      <c r="G1148" s="150"/>
      <c r="H1148" s="150"/>
      <c r="I1148" s="150"/>
      <c r="J1148" s="150"/>
      <c r="K1148" s="150"/>
      <c r="L1148" s="150"/>
      <c r="M1148" s="150"/>
      <c r="N1148" s="150"/>
      <c r="O1148" s="150"/>
      <c r="P1148" s="150"/>
      <c r="Q1148" s="150"/>
      <c r="R1148" s="150"/>
      <c r="S1148" s="150"/>
      <c r="T1148" s="150"/>
      <c r="U1148" s="150"/>
      <c r="V1148" s="150"/>
      <c r="W1148" s="150"/>
      <c r="X1148" s="150"/>
      <c r="Y1148" s="150"/>
    </row>
    <row r="1149">
      <c r="A1149" s="150"/>
      <c r="B1149" s="156"/>
      <c r="C1149" s="157"/>
      <c r="D1149" s="150"/>
      <c r="E1149" s="150"/>
      <c r="F1149" s="150"/>
      <c r="G1149" s="150"/>
      <c r="H1149" s="150"/>
      <c r="I1149" s="150"/>
      <c r="J1149" s="150"/>
      <c r="K1149" s="150"/>
      <c r="L1149" s="150"/>
      <c r="M1149" s="150"/>
      <c r="N1149" s="150"/>
      <c r="O1149" s="150"/>
      <c r="P1149" s="150"/>
      <c r="Q1149" s="150"/>
      <c r="R1149" s="150"/>
      <c r="S1149" s="150"/>
      <c r="T1149" s="150"/>
      <c r="U1149" s="150"/>
      <c r="V1149" s="150"/>
      <c r="W1149" s="150"/>
      <c r="X1149" s="150"/>
      <c r="Y1149" s="150"/>
    </row>
    <row r="1150">
      <c r="A1150" s="150"/>
      <c r="B1150" s="156"/>
      <c r="C1150" s="157"/>
      <c r="D1150" s="150"/>
      <c r="E1150" s="150"/>
      <c r="F1150" s="150"/>
      <c r="G1150" s="150"/>
      <c r="H1150" s="150"/>
      <c r="I1150" s="150"/>
      <c r="J1150" s="150"/>
      <c r="K1150" s="150"/>
      <c r="L1150" s="150"/>
      <c r="M1150" s="150"/>
      <c r="N1150" s="150"/>
      <c r="O1150" s="150"/>
      <c r="P1150" s="150"/>
      <c r="Q1150" s="150"/>
      <c r="R1150" s="150"/>
      <c r="S1150" s="150"/>
      <c r="T1150" s="150"/>
      <c r="U1150" s="150"/>
      <c r="V1150" s="150"/>
      <c r="W1150" s="150"/>
      <c r="X1150" s="150"/>
      <c r="Y1150" s="150"/>
    </row>
    <row r="1151">
      <c r="A1151" s="150"/>
      <c r="B1151" s="156"/>
      <c r="C1151" s="157"/>
      <c r="D1151" s="150"/>
      <c r="E1151" s="150"/>
      <c r="F1151" s="150"/>
      <c r="G1151" s="150"/>
      <c r="H1151" s="150"/>
      <c r="I1151" s="150"/>
      <c r="J1151" s="150"/>
      <c r="K1151" s="150"/>
      <c r="L1151" s="150"/>
      <c r="M1151" s="150"/>
      <c r="N1151" s="150"/>
      <c r="O1151" s="150"/>
      <c r="P1151" s="150"/>
      <c r="Q1151" s="150"/>
      <c r="R1151" s="150"/>
      <c r="S1151" s="150"/>
      <c r="T1151" s="150"/>
      <c r="U1151" s="150"/>
      <c r="V1151" s="150"/>
      <c r="W1151" s="150"/>
      <c r="X1151" s="150"/>
      <c r="Y1151" s="150"/>
    </row>
    <row r="1152">
      <c r="A1152" s="150"/>
      <c r="B1152" s="156"/>
      <c r="C1152" s="157"/>
      <c r="D1152" s="150"/>
      <c r="E1152" s="150"/>
      <c r="F1152" s="150"/>
      <c r="G1152" s="150"/>
      <c r="H1152" s="150"/>
      <c r="I1152" s="150"/>
      <c r="J1152" s="150"/>
      <c r="K1152" s="150"/>
      <c r="L1152" s="150"/>
      <c r="M1152" s="150"/>
      <c r="N1152" s="150"/>
      <c r="O1152" s="150"/>
      <c r="P1152" s="150"/>
      <c r="Q1152" s="150"/>
      <c r="R1152" s="150"/>
      <c r="S1152" s="150"/>
      <c r="T1152" s="150"/>
      <c r="U1152" s="150"/>
      <c r="V1152" s="150"/>
      <c r="W1152" s="150"/>
      <c r="X1152" s="150"/>
      <c r="Y1152" s="150"/>
    </row>
    <row r="1153">
      <c r="A1153" s="150"/>
      <c r="B1153" s="156"/>
      <c r="C1153" s="157"/>
      <c r="D1153" s="150"/>
      <c r="E1153" s="150"/>
      <c r="F1153" s="150"/>
      <c r="G1153" s="150"/>
      <c r="H1153" s="150"/>
      <c r="I1153" s="150"/>
      <c r="J1153" s="150"/>
      <c r="K1153" s="150"/>
      <c r="L1153" s="150"/>
      <c r="M1153" s="150"/>
      <c r="N1153" s="150"/>
      <c r="O1153" s="150"/>
      <c r="P1153" s="150"/>
      <c r="Q1153" s="150"/>
      <c r="R1153" s="150"/>
      <c r="S1153" s="150"/>
      <c r="T1153" s="150"/>
      <c r="U1153" s="150"/>
      <c r="V1153" s="150"/>
      <c r="W1153" s="150"/>
      <c r="X1153" s="150"/>
      <c r="Y1153" s="150"/>
    </row>
    <row r="1154">
      <c r="A1154" s="150"/>
      <c r="B1154" s="156"/>
      <c r="C1154" s="157"/>
      <c r="D1154" s="150"/>
      <c r="E1154" s="150"/>
      <c r="F1154" s="150"/>
      <c r="G1154" s="150"/>
      <c r="H1154" s="150"/>
      <c r="I1154" s="150"/>
      <c r="J1154" s="150"/>
      <c r="K1154" s="150"/>
      <c r="L1154" s="150"/>
      <c r="M1154" s="150"/>
      <c r="N1154" s="150"/>
      <c r="O1154" s="150"/>
      <c r="P1154" s="150"/>
      <c r="Q1154" s="150"/>
      <c r="R1154" s="150"/>
      <c r="S1154" s="150"/>
      <c r="T1154" s="150"/>
      <c r="U1154" s="150"/>
      <c r="V1154" s="150"/>
      <c r="W1154" s="150"/>
      <c r="X1154" s="150"/>
      <c r="Y1154" s="150"/>
    </row>
    <row r="1155">
      <c r="A1155" s="150"/>
      <c r="B1155" s="156"/>
      <c r="C1155" s="157"/>
      <c r="D1155" s="150"/>
      <c r="E1155" s="150"/>
      <c r="F1155" s="150"/>
      <c r="G1155" s="150"/>
      <c r="H1155" s="150"/>
      <c r="I1155" s="150"/>
      <c r="J1155" s="150"/>
      <c r="K1155" s="150"/>
      <c r="L1155" s="150"/>
      <c r="M1155" s="150"/>
      <c r="N1155" s="150"/>
      <c r="O1155" s="150"/>
      <c r="P1155" s="150"/>
      <c r="Q1155" s="150"/>
      <c r="R1155" s="150"/>
      <c r="S1155" s="150"/>
      <c r="T1155" s="150"/>
      <c r="U1155" s="150"/>
      <c r="V1155" s="150"/>
      <c r="W1155" s="150"/>
      <c r="X1155" s="150"/>
      <c r="Y1155" s="150"/>
    </row>
    <row r="1156">
      <c r="A1156" s="150"/>
      <c r="B1156" s="156"/>
      <c r="C1156" s="157"/>
      <c r="D1156" s="150"/>
      <c r="E1156" s="150"/>
      <c r="F1156" s="150"/>
      <c r="G1156" s="150"/>
      <c r="H1156" s="150"/>
      <c r="I1156" s="150"/>
      <c r="J1156" s="150"/>
      <c r="K1156" s="150"/>
      <c r="L1156" s="150"/>
      <c r="M1156" s="150"/>
      <c r="N1156" s="150"/>
      <c r="O1156" s="150"/>
      <c r="P1156" s="150"/>
      <c r="Q1156" s="150"/>
      <c r="R1156" s="150"/>
      <c r="S1156" s="150"/>
      <c r="T1156" s="150"/>
      <c r="U1156" s="150"/>
      <c r="V1156" s="150"/>
      <c r="W1156" s="150"/>
      <c r="X1156" s="150"/>
      <c r="Y1156" s="150"/>
    </row>
    <row r="1157">
      <c r="A1157" s="150"/>
      <c r="B1157" s="156"/>
      <c r="C1157" s="157"/>
      <c r="D1157" s="150"/>
      <c r="E1157" s="150"/>
      <c r="F1157" s="150"/>
      <c r="G1157" s="150"/>
      <c r="H1157" s="150"/>
      <c r="I1157" s="150"/>
      <c r="J1157" s="150"/>
      <c r="K1157" s="150"/>
      <c r="L1157" s="150"/>
      <c r="M1157" s="150"/>
      <c r="N1157" s="150"/>
      <c r="O1157" s="150"/>
      <c r="P1157" s="150"/>
      <c r="Q1157" s="150"/>
      <c r="R1157" s="150"/>
      <c r="S1157" s="150"/>
      <c r="T1157" s="150"/>
      <c r="U1157" s="150"/>
      <c r="V1157" s="150"/>
      <c r="W1157" s="150"/>
      <c r="X1157" s="150"/>
      <c r="Y1157" s="150"/>
    </row>
    <row r="1158">
      <c r="A1158" s="150"/>
      <c r="B1158" s="156"/>
      <c r="C1158" s="157"/>
      <c r="D1158" s="150"/>
      <c r="E1158" s="150"/>
      <c r="F1158" s="150"/>
      <c r="G1158" s="150"/>
      <c r="H1158" s="150"/>
      <c r="I1158" s="150"/>
      <c r="J1158" s="150"/>
      <c r="K1158" s="150"/>
      <c r="L1158" s="150"/>
      <c r="M1158" s="150"/>
      <c r="N1158" s="150"/>
      <c r="O1158" s="150"/>
      <c r="P1158" s="150"/>
      <c r="Q1158" s="150"/>
      <c r="R1158" s="150"/>
      <c r="S1158" s="150"/>
      <c r="T1158" s="150"/>
      <c r="U1158" s="150"/>
      <c r="V1158" s="150"/>
      <c r="W1158" s="150"/>
      <c r="X1158" s="150"/>
      <c r="Y1158" s="150"/>
    </row>
    <row r="1159">
      <c r="A1159" s="150"/>
      <c r="B1159" s="156"/>
      <c r="C1159" s="157"/>
      <c r="D1159" s="150"/>
      <c r="E1159" s="150"/>
      <c r="F1159" s="150"/>
      <c r="G1159" s="150"/>
      <c r="H1159" s="150"/>
      <c r="I1159" s="150"/>
      <c r="J1159" s="150"/>
      <c r="K1159" s="150"/>
      <c r="L1159" s="150"/>
      <c r="M1159" s="150"/>
      <c r="N1159" s="150"/>
      <c r="O1159" s="150"/>
      <c r="P1159" s="150"/>
      <c r="Q1159" s="150"/>
      <c r="R1159" s="150"/>
      <c r="S1159" s="150"/>
      <c r="T1159" s="150"/>
      <c r="U1159" s="150"/>
      <c r="V1159" s="150"/>
      <c r="W1159" s="150"/>
      <c r="X1159" s="150"/>
      <c r="Y1159" s="150"/>
    </row>
    <row r="1160">
      <c r="A1160" s="150"/>
      <c r="B1160" s="156"/>
      <c r="C1160" s="157"/>
      <c r="D1160" s="150"/>
      <c r="E1160" s="150"/>
      <c r="F1160" s="150"/>
      <c r="G1160" s="150"/>
      <c r="H1160" s="150"/>
      <c r="I1160" s="150"/>
      <c r="J1160" s="150"/>
      <c r="K1160" s="150"/>
      <c r="L1160" s="150"/>
      <c r="M1160" s="150"/>
      <c r="N1160" s="150"/>
      <c r="O1160" s="150"/>
      <c r="P1160" s="150"/>
      <c r="Q1160" s="150"/>
      <c r="R1160" s="150"/>
      <c r="S1160" s="150"/>
      <c r="T1160" s="150"/>
      <c r="U1160" s="150"/>
      <c r="V1160" s="150"/>
      <c r="W1160" s="150"/>
      <c r="X1160" s="150"/>
      <c r="Y1160" s="150"/>
    </row>
    <row r="1161">
      <c r="A1161" s="150"/>
      <c r="B1161" s="156"/>
      <c r="C1161" s="157"/>
      <c r="D1161" s="150"/>
      <c r="E1161" s="150"/>
      <c r="F1161" s="150"/>
      <c r="G1161" s="150"/>
      <c r="H1161" s="150"/>
      <c r="I1161" s="150"/>
      <c r="J1161" s="150"/>
      <c r="K1161" s="150"/>
      <c r="L1161" s="150"/>
      <c r="M1161" s="150"/>
      <c r="N1161" s="150"/>
      <c r="O1161" s="150"/>
      <c r="P1161" s="150"/>
      <c r="Q1161" s="150"/>
      <c r="R1161" s="150"/>
      <c r="S1161" s="150"/>
      <c r="T1161" s="150"/>
      <c r="U1161" s="150"/>
      <c r="V1161" s="150"/>
      <c r="W1161" s="150"/>
      <c r="X1161" s="150"/>
      <c r="Y1161" s="150"/>
    </row>
    <row r="1162">
      <c r="A1162" s="150"/>
      <c r="B1162" s="156"/>
      <c r="C1162" s="157"/>
      <c r="D1162" s="150"/>
      <c r="E1162" s="150"/>
      <c r="F1162" s="150"/>
      <c r="G1162" s="150"/>
      <c r="H1162" s="150"/>
      <c r="I1162" s="150"/>
      <c r="J1162" s="150"/>
      <c r="K1162" s="150"/>
      <c r="L1162" s="150"/>
      <c r="M1162" s="150"/>
      <c r="N1162" s="150"/>
      <c r="O1162" s="150"/>
      <c r="P1162" s="150"/>
      <c r="Q1162" s="150"/>
      <c r="R1162" s="150"/>
      <c r="S1162" s="150"/>
      <c r="T1162" s="150"/>
      <c r="U1162" s="150"/>
      <c r="V1162" s="150"/>
      <c r="W1162" s="150"/>
      <c r="X1162" s="150"/>
      <c r="Y1162" s="150"/>
    </row>
    <row r="1163">
      <c r="A1163" s="150"/>
      <c r="B1163" s="156"/>
      <c r="C1163" s="157"/>
      <c r="D1163" s="150"/>
      <c r="E1163" s="150"/>
      <c r="F1163" s="150"/>
      <c r="G1163" s="150"/>
      <c r="H1163" s="150"/>
      <c r="I1163" s="150"/>
      <c r="J1163" s="150"/>
      <c r="K1163" s="150"/>
      <c r="L1163" s="150"/>
      <c r="M1163" s="150"/>
      <c r="N1163" s="150"/>
      <c r="O1163" s="150"/>
      <c r="P1163" s="150"/>
      <c r="Q1163" s="150"/>
      <c r="R1163" s="150"/>
      <c r="S1163" s="150"/>
      <c r="T1163" s="150"/>
      <c r="U1163" s="150"/>
      <c r="V1163" s="150"/>
      <c r="W1163" s="150"/>
      <c r="X1163" s="150"/>
      <c r="Y1163" s="150"/>
    </row>
    <row r="1164">
      <c r="A1164" s="150"/>
      <c r="B1164" s="156"/>
      <c r="C1164" s="157"/>
      <c r="D1164" s="150"/>
      <c r="E1164" s="150"/>
      <c r="F1164" s="150"/>
      <c r="G1164" s="150"/>
      <c r="H1164" s="150"/>
      <c r="I1164" s="150"/>
      <c r="J1164" s="150"/>
      <c r="K1164" s="150"/>
      <c r="L1164" s="150"/>
      <c r="M1164" s="150"/>
      <c r="N1164" s="150"/>
      <c r="O1164" s="150"/>
      <c r="P1164" s="150"/>
      <c r="Q1164" s="150"/>
      <c r="R1164" s="150"/>
      <c r="S1164" s="150"/>
      <c r="T1164" s="150"/>
      <c r="U1164" s="150"/>
      <c r="V1164" s="150"/>
      <c r="W1164" s="150"/>
      <c r="X1164" s="150"/>
      <c r="Y1164" s="150"/>
    </row>
    <row r="1165">
      <c r="A1165" s="150"/>
      <c r="B1165" s="156"/>
      <c r="C1165" s="157"/>
      <c r="D1165" s="150"/>
      <c r="E1165" s="150"/>
      <c r="F1165" s="150"/>
      <c r="G1165" s="150"/>
      <c r="H1165" s="150"/>
      <c r="I1165" s="150"/>
      <c r="J1165" s="150"/>
      <c r="K1165" s="150"/>
      <c r="L1165" s="150"/>
      <c r="M1165" s="150"/>
      <c r="N1165" s="150"/>
      <c r="O1165" s="150"/>
      <c r="P1165" s="150"/>
      <c r="Q1165" s="150"/>
      <c r="R1165" s="150"/>
      <c r="S1165" s="150"/>
      <c r="T1165" s="150"/>
      <c r="U1165" s="150"/>
      <c r="V1165" s="150"/>
      <c r="W1165" s="150"/>
      <c r="X1165" s="150"/>
      <c r="Y1165" s="150"/>
    </row>
    <row r="1166">
      <c r="A1166" s="150"/>
      <c r="B1166" s="156"/>
      <c r="C1166" s="157"/>
      <c r="D1166" s="150"/>
      <c r="E1166" s="150"/>
      <c r="F1166" s="150"/>
      <c r="G1166" s="150"/>
      <c r="H1166" s="150"/>
      <c r="I1166" s="150"/>
      <c r="J1166" s="150"/>
      <c r="K1166" s="150"/>
      <c r="L1166" s="150"/>
      <c r="M1166" s="150"/>
      <c r="N1166" s="150"/>
      <c r="O1166" s="150"/>
      <c r="P1166" s="150"/>
      <c r="Q1166" s="150"/>
      <c r="R1166" s="150"/>
      <c r="S1166" s="150"/>
      <c r="T1166" s="150"/>
      <c r="U1166" s="150"/>
      <c r="V1166" s="150"/>
      <c r="W1166" s="150"/>
      <c r="X1166" s="150"/>
      <c r="Y1166" s="150"/>
    </row>
    <row r="1167">
      <c r="A1167" s="150"/>
      <c r="B1167" s="156"/>
      <c r="C1167" s="157"/>
      <c r="D1167" s="150"/>
      <c r="E1167" s="150"/>
      <c r="F1167" s="150"/>
      <c r="G1167" s="150"/>
      <c r="H1167" s="150"/>
      <c r="I1167" s="150"/>
      <c r="J1167" s="150"/>
      <c r="K1167" s="150"/>
      <c r="L1167" s="150"/>
      <c r="M1167" s="150"/>
      <c r="N1167" s="150"/>
      <c r="O1167" s="150"/>
      <c r="P1167" s="150"/>
      <c r="Q1167" s="150"/>
      <c r="R1167" s="150"/>
      <c r="S1167" s="150"/>
      <c r="T1167" s="150"/>
      <c r="U1167" s="150"/>
      <c r="V1167" s="150"/>
      <c r="W1167" s="150"/>
      <c r="X1167" s="150"/>
      <c r="Y1167" s="150"/>
    </row>
    <row r="1168">
      <c r="A1168" s="150"/>
      <c r="B1168" s="156"/>
      <c r="C1168" s="157"/>
      <c r="D1168" s="150"/>
      <c r="E1168" s="150"/>
      <c r="F1168" s="150"/>
      <c r="G1168" s="150"/>
      <c r="H1168" s="150"/>
      <c r="I1168" s="150"/>
      <c r="J1168" s="150"/>
      <c r="K1168" s="150"/>
      <c r="L1168" s="150"/>
      <c r="M1168" s="150"/>
      <c r="N1168" s="150"/>
      <c r="O1168" s="150"/>
      <c r="P1168" s="150"/>
      <c r="Q1168" s="150"/>
      <c r="R1168" s="150"/>
      <c r="S1168" s="150"/>
      <c r="T1168" s="150"/>
      <c r="U1168" s="150"/>
      <c r="V1168" s="150"/>
      <c r="W1168" s="150"/>
      <c r="X1168" s="150"/>
      <c r="Y1168" s="150"/>
    </row>
    <row r="1169">
      <c r="A1169" s="150"/>
      <c r="B1169" s="156"/>
      <c r="C1169" s="157"/>
      <c r="D1169" s="150"/>
      <c r="E1169" s="150"/>
      <c r="F1169" s="150"/>
      <c r="G1169" s="150"/>
      <c r="H1169" s="150"/>
      <c r="I1169" s="150"/>
      <c r="J1169" s="150"/>
      <c r="K1169" s="150"/>
      <c r="L1169" s="150"/>
      <c r="M1169" s="150"/>
      <c r="N1169" s="150"/>
      <c r="O1169" s="150"/>
      <c r="P1169" s="150"/>
      <c r="Q1169" s="150"/>
      <c r="R1169" s="150"/>
      <c r="S1169" s="150"/>
      <c r="T1169" s="150"/>
      <c r="U1169" s="150"/>
      <c r="V1169" s="150"/>
      <c r="W1169" s="150"/>
      <c r="X1169" s="150"/>
      <c r="Y1169" s="150"/>
    </row>
    <row r="1170">
      <c r="A1170" s="150"/>
      <c r="B1170" s="156"/>
      <c r="C1170" s="157"/>
      <c r="D1170" s="150"/>
      <c r="E1170" s="150"/>
      <c r="F1170" s="150"/>
      <c r="G1170" s="150"/>
      <c r="H1170" s="150"/>
      <c r="I1170" s="150"/>
      <c r="J1170" s="150"/>
      <c r="K1170" s="150"/>
      <c r="L1170" s="150"/>
      <c r="M1170" s="150"/>
      <c r="N1170" s="150"/>
      <c r="O1170" s="150"/>
      <c r="P1170" s="150"/>
      <c r="Q1170" s="150"/>
      <c r="R1170" s="150"/>
      <c r="S1170" s="150"/>
      <c r="T1170" s="150"/>
      <c r="U1170" s="150"/>
      <c r="V1170" s="150"/>
      <c r="W1170" s="150"/>
      <c r="X1170" s="150"/>
      <c r="Y1170" s="150"/>
    </row>
    <row r="1171">
      <c r="A1171" s="150"/>
      <c r="B1171" s="156"/>
      <c r="C1171" s="157"/>
      <c r="D1171" s="150"/>
      <c r="E1171" s="150"/>
      <c r="F1171" s="150"/>
      <c r="G1171" s="150"/>
      <c r="H1171" s="150"/>
      <c r="I1171" s="150"/>
      <c r="J1171" s="150"/>
      <c r="K1171" s="150"/>
      <c r="L1171" s="150"/>
      <c r="M1171" s="150"/>
      <c r="N1171" s="150"/>
      <c r="O1171" s="150"/>
      <c r="P1171" s="150"/>
      <c r="Q1171" s="150"/>
      <c r="R1171" s="150"/>
      <c r="S1171" s="150"/>
      <c r="T1171" s="150"/>
      <c r="U1171" s="150"/>
      <c r="V1171" s="150"/>
      <c r="W1171" s="150"/>
      <c r="X1171" s="150"/>
      <c r="Y1171" s="150"/>
    </row>
    <row r="1172">
      <c r="A1172" s="150"/>
      <c r="B1172" s="156"/>
      <c r="C1172" s="157"/>
      <c r="D1172" s="150"/>
      <c r="E1172" s="150"/>
      <c r="F1172" s="150"/>
      <c r="G1172" s="150"/>
      <c r="H1172" s="150"/>
      <c r="I1172" s="150"/>
      <c r="J1172" s="150"/>
      <c r="K1172" s="150"/>
      <c r="L1172" s="150"/>
      <c r="M1172" s="150"/>
      <c r="N1172" s="150"/>
      <c r="O1172" s="150"/>
      <c r="P1172" s="150"/>
      <c r="Q1172" s="150"/>
      <c r="R1172" s="150"/>
      <c r="S1172" s="150"/>
      <c r="T1172" s="150"/>
      <c r="U1172" s="150"/>
      <c r="V1172" s="150"/>
      <c r="W1172" s="150"/>
      <c r="X1172" s="150"/>
      <c r="Y1172" s="150"/>
    </row>
    <row r="1173">
      <c r="A1173" s="150"/>
      <c r="B1173" s="156"/>
      <c r="C1173" s="157"/>
      <c r="D1173" s="150"/>
      <c r="E1173" s="150"/>
      <c r="F1173" s="150"/>
      <c r="G1173" s="150"/>
      <c r="H1173" s="150"/>
      <c r="I1173" s="150"/>
      <c r="J1173" s="150"/>
      <c r="K1173" s="150"/>
      <c r="L1173" s="150"/>
      <c r="M1173" s="150"/>
      <c r="N1173" s="150"/>
      <c r="O1173" s="150"/>
      <c r="P1173" s="150"/>
      <c r="Q1173" s="150"/>
      <c r="R1173" s="150"/>
      <c r="S1173" s="150"/>
      <c r="T1173" s="150"/>
      <c r="U1173" s="150"/>
      <c r="V1173" s="150"/>
      <c r="W1173" s="150"/>
      <c r="X1173" s="150"/>
      <c r="Y1173" s="150"/>
    </row>
    <row r="1174">
      <c r="A1174" s="150"/>
      <c r="B1174" s="156"/>
      <c r="C1174" s="157"/>
      <c r="D1174" s="150"/>
      <c r="E1174" s="150"/>
      <c r="F1174" s="150"/>
      <c r="G1174" s="150"/>
      <c r="H1174" s="150"/>
      <c r="I1174" s="150"/>
      <c r="J1174" s="150"/>
      <c r="K1174" s="150"/>
      <c r="L1174" s="150"/>
      <c r="M1174" s="150"/>
      <c r="N1174" s="150"/>
      <c r="O1174" s="150"/>
      <c r="P1174" s="150"/>
      <c r="Q1174" s="150"/>
      <c r="R1174" s="150"/>
      <c r="S1174" s="150"/>
      <c r="T1174" s="150"/>
      <c r="U1174" s="150"/>
      <c r="V1174" s="150"/>
      <c r="W1174" s="150"/>
      <c r="X1174" s="150"/>
      <c r="Y1174" s="150"/>
    </row>
    <row r="1175">
      <c r="A1175" s="150"/>
      <c r="B1175" s="156"/>
      <c r="C1175" s="157"/>
      <c r="D1175" s="150"/>
      <c r="E1175" s="150"/>
      <c r="F1175" s="150"/>
      <c r="G1175" s="150"/>
      <c r="H1175" s="150"/>
      <c r="I1175" s="150"/>
      <c r="J1175" s="150"/>
      <c r="K1175" s="150"/>
      <c r="L1175" s="150"/>
      <c r="M1175" s="150"/>
      <c r="N1175" s="150"/>
      <c r="O1175" s="150"/>
      <c r="P1175" s="150"/>
      <c r="Q1175" s="150"/>
      <c r="R1175" s="150"/>
      <c r="S1175" s="150"/>
      <c r="T1175" s="150"/>
      <c r="U1175" s="150"/>
      <c r="V1175" s="150"/>
      <c r="W1175" s="150"/>
      <c r="X1175" s="150"/>
      <c r="Y1175" s="150"/>
    </row>
    <row r="1176">
      <c r="A1176" s="150"/>
      <c r="B1176" s="156"/>
      <c r="C1176" s="157"/>
      <c r="D1176" s="150"/>
      <c r="E1176" s="150"/>
      <c r="F1176" s="150"/>
      <c r="G1176" s="150"/>
      <c r="H1176" s="150"/>
      <c r="I1176" s="150"/>
      <c r="J1176" s="150"/>
      <c r="K1176" s="150"/>
      <c r="L1176" s="150"/>
      <c r="M1176" s="150"/>
      <c r="N1176" s="150"/>
      <c r="O1176" s="150"/>
      <c r="P1176" s="150"/>
      <c r="Q1176" s="150"/>
      <c r="R1176" s="150"/>
      <c r="S1176" s="150"/>
      <c r="T1176" s="150"/>
      <c r="U1176" s="150"/>
      <c r="V1176" s="150"/>
      <c r="W1176" s="150"/>
      <c r="X1176" s="150"/>
      <c r="Y1176" s="150"/>
    </row>
    <row r="1177">
      <c r="A1177" s="150"/>
      <c r="B1177" s="156"/>
      <c r="C1177" s="157"/>
      <c r="D1177" s="150"/>
      <c r="E1177" s="150"/>
      <c r="F1177" s="150"/>
      <c r="G1177" s="150"/>
      <c r="H1177" s="150"/>
      <c r="I1177" s="150"/>
      <c r="J1177" s="150"/>
      <c r="K1177" s="150"/>
      <c r="L1177" s="150"/>
      <c r="M1177" s="150"/>
      <c r="N1177" s="150"/>
      <c r="O1177" s="150"/>
      <c r="P1177" s="150"/>
      <c r="Q1177" s="150"/>
      <c r="R1177" s="150"/>
      <c r="S1177" s="150"/>
      <c r="T1177" s="150"/>
      <c r="U1177" s="150"/>
      <c r="V1177" s="150"/>
      <c r="W1177" s="150"/>
      <c r="X1177" s="150"/>
      <c r="Y1177" s="150"/>
    </row>
    <row r="1178">
      <c r="A1178" s="150"/>
      <c r="B1178" s="156"/>
      <c r="C1178" s="157"/>
      <c r="D1178" s="150"/>
      <c r="E1178" s="150"/>
      <c r="F1178" s="150"/>
      <c r="G1178" s="150"/>
      <c r="H1178" s="150"/>
      <c r="I1178" s="150"/>
      <c r="J1178" s="150"/>
      <c r="K1178" s="150"/>
      <c r="L1178" s="150"/>
      <c r="M1178" s="150"/>
      <c r="N1178" s="150"/>
      <c r="O1178" s="150"/>
      <c r="P1178" s="150"/>
      <c r="Q1178" s="150"/>
      <c r="R1178" s="150"/>
      <c r="S1178" s="150"/>
      <c r="T1178" s="150"/>
      <c r="U1178" s="150"/>
      <c r="V1178" s="150"/>
      <c r="W1178" s="150"/>
      <c r="X1178" s="150"/>
      <c r="Y1178" s="150"/>
    </row>
    <row r="1179">
      <c r="A1179" s="150"/>
      <c r="B1179" s="156"/>
      <c r="C1179" s="157"/>
      <c r="D1179" s="150"/>
      <c r="E1179" s="150"/>
      <c r="F1179" s="150"/>
      <c r="G1179" s="150"/>
      <c r="H1179" s="150"/>
      <c r="I1179" s="150"/>
      <c r="J1179" s="150"/>
      <c r="K1179" s="150"/>
      <c r="L1179" s="150"/>
      <c r="M1179" s="150"/>
      <c r="N1179" s="150"/>
      <c r="O1179" s="150"/>
      <c r="P1179" s="150"/>
      <c r="Q1179" s="150"/>
      <c r="R1179" s="150"/>
      <c r="S1179" s="150"/>
      <c r="T1179" s="150"/>
      <c r="U1179" s="150"/>
      <c r="V1179" s="150"/>
      <c r="W1179" s="150"/>
      <c r="X1179" s="150"/>
      <c r="Y1179" s="150"/>
    </row>
    <row r="1180">
      <c r="A1180" s="150"/>
      <c r="B1180" s="156"/>
      <c r="C1180" s="157"/>
      <c r="D1180" s="150"/>
      <c r="E1180" s="150"/>
      <c r="F1180" s="150"/>
      <c r="G1180" s="150"/>
      <c r="H1180" s="150"/>
      <c r="I1180" s="150"/>
      <c r="J1180" s="150"/>
      <c r="K1180" s="150"/>
      <c r="L1180" s="150"/>
      <c r="M1180" s="150"/>
      <c r="N1180" s="150"/>
      <c r="O1180" s="150"/>
      <c r="P1180" s="150"/>
      <c r="Q1180" s="150"/>
      <c r="R1180" s="150"/>
      <c r="S1180" s="150"/>
      <c r="T1180" s="150"/>
      <c r="U1180" s="150"/>
      <c r="V1180" s="150"/>
      <c r="W1180" s="150"/>
      <c r="X1180" s="150"/>
      <c r="Y1180" s="150"/>
    </row>
    <row r="1181">
      <c r="A1181" s="150"/>
      <c r="B1181" s="156"/>
      <c r="C1181" s="157"/>
      <c r="D1181" s="150"/>
      <c r="E1181" s="150"/>
      <c r="F1181" s="150"/>
      <c r="G1181" s="150"/>
      <c r="H1181" s="150"/>
      <c r="I1181" s="150"/>
      <c r="J1181" s="150"/>
      <c r="K1181" s="150"/>
      <c r="L1181" s="150"/>
      <c r="M1181" s="150"/>
      <c r="N1181" s="150"/>
      <c r="O1181" s="150"/>
      <c r="P1181" s="150"/>
      <c r="Q1181" s="150"/>
      <c r="R1181" s="150"/>
      <c r="S1181" s="150"/>
      <c r="T1181" s="150"/>
      <c r="U1181" s="150"/>
      <c r="V1181" s="150"/>
      <c r="W1181" s="150"/>
      <c r="X1181" s="150"/>
      <c r="Y1181" s="150"/>
    </row>
    <row r="1182">
      <c r="A1182" s="150"/>
      <c r="B1182" s="156"/>
      <c r="C1182" s="157"/>
      <c r="D1182" s="150"/>
      <c r="E1182" s="150"/>
      <c r="F1182" s="150"/>
      <c r="G1182" s="150"/>
      <c r="H1182" s="150"/>
      <c r="I1182" s="150"/>
      <c r="J1182" s="150"/>
      <c r="K1182" s="150"/>
      <c r="L1182" s="150"/>
      <c r="M1182" s="150"/>
      <c r="N1182" s="150"/>
      <c r="O1182" s="150"/>
      <c r="P1182" s="150"/>
      <c r="Q1182" s="150"/>
      <c r="R1182" s="150"/>
      <c r="S1182" s="150"/>
      <c r="T1182" s="150"/>
      <c r="U1182" s="150"/>
      <c r="V1182" s="150"/>
      <c r="W1182" s="150"/>
      <c r="X1182" s="150"/>
      <c r="Y1182" s="150"/>
    </row>
    <row r="1183">
      <c r="A1183" s="150"/>
      <c r="B1183" s="156"/>
      <c r="C1183" s="157"/>
      <c r="D1183" s="150"/>
      <c r="E1183" s="150"/>
      <c r="F1183" s="150"/>
      <c r="G1183" s="150"/>
      <c r="H1183" s="150"/>
      <c r="I1183" s="150"/>
      <c r="J1183" s="150"/>
      <c r="K1183" s="150"/>
      <c r="L1183" s="150"/>
      <c r="M1183" s="150"/>
      <c r="N1183" s="150"/>
      <c r="O1183" s="150"/>
      <c r="P1183" s="150"/>
      <c r="Q1183" s="150"/>
      <c r="R1183" s="150"/>
      <c r="S1183" s="150"/>
      <c r="T1183" s="150"/>
      <c r="U1183" s="150"/>
      <c r="V1183" s="150"/>
      <c r="W1183" s="150"/>
      <c r="X1183" s="150"/>
      <c r="Y1183" s="150"/>
    </row>
    <row r="1184">
      <c r="A1184" s="150"/>
      <c r="B1184" s="156"/>
      <c r="C1184" s="157"/>
      <c r="D1184" s="150"/>
      <c r="E1184" s="150"/>
      <c r="F1184" s="150"/>
      <c r="G1184" s="150"/>
      <c r="H1184" s="150"/>
      <c r="I1184" s="150"/>
      <c r="J1184" s="150"/>
      <c r="K1184" s="150"/>
      <c r="L1184" s="150"/>
      <c r="M1184" s="150"/>
      <c r="N1184" s="150"/>
      <c r="O1184" s="150"/>
      <c r="P1184" s="150"/>
      <c r="Q1184" s="150"/>
      <c r="R1184" s="150"/>
      <c r="S1184" s="150"/>
      <c r="T1184" s="150"/>
      <c r="U1184" s="150"/>
      <c r="V1184" s="150"/>
      <c r="W1184" s="150"/>
      <c r="X1184" s="150"/>
      <c r="Y1184" s="150"/>
    </row>
    <row r="1185">
      <c r="A1185" s="150"/>
      <c r="B1185" s="156"/>
      <c r="C1185" s="157"/>
      <c r="D1185" s="150"/>
      <c r="E1185" s="150"/>
      <c r="F1185" s="150"/>
      <c r="G1185" s="150"/>
      <c r="H1185" s="150"/>
      <c r="I1185" s="150"/>
      <c r="J1185" s="150"/>
      <c r="K1185" s="150"/>
      <c r="L1185" s="150"/>
      <c r="M1185" s="150"/>
      <c r="N1185" s="150"/>
      <c r="O1185" s="150"/>
      <c r="P1185" s="150"/>
      <c r="Q1185" s="150"/>
      <c r="R1185" s="150"/>
      <c r="S1185" s="150"/>
      <c r="T1185" s="150"/>
      <c r="U1185" s="150"/>
      <c r="V1185" s="150"/>
      <c r="W1185" s="150"/>
      <c r="X1185" s="150"/>
      <c r="Y1185" s="150"/>
    </row>
    <row r="1186">
      <c r="A1186" s="150"/>
      <c r="B1186" s="156"/>
      <c r="C1186" s="157"/>
      <c r="D1186" s="150"/>
      <c r="E1186" s="150"/>
      <c r="F1186" s="150"/>
      <c r="G1186" s="150"/>
      <c r="H1186" s="150"/>
      <c r="I1186" s="150"/>
      <c r="J1186" s="150"/>
      <c r="K1186" s="150"/>
      <c r="L1186" s="150"/>
      <c r="M1186" s="150"/>
      <c r="N1186" s="150"/>
      <c r="O1186" s="150"/>
      <c r="P1186" s="150"/>
      <c r="Q1186" s="150"/>
      <c r="R1186" s="150"/>
      <c r="S1186" s="150"/>
      <c r="T1186" s="150"/>
      <c r="U1186" s="150"/>
      <c r="V1186" s="150"/>
      <c r="W1186" s="150"/>
      <c r="X1186" s="150"/>
      <c r="Y1186" s="150"/>
    </row>
    <row r="1187">
      <c r="A1187" s="150"/>
      <c r="B1187" s="156"/>
      <c r="C1187" s="157"/>
      <c r="D1187" s="150"/>
      <c r="E1187" s="150"/>
      <c r="F1187" s="150"/>
      <c r="G1187" s="150"/>
      <c r="H1187" s="150"/>
      <c r="I1187" s="150"/>
      <c r="J1187" s="150"/>
      <c r="K1187" s="150"/>
      <c r="L1187" s="150"/>
      <c r="M1187" s="150"/>
      <c r="N1187" s="150"/>
      <c r="O1187" s="150"/>
      <c r="P1187" s="150"/>
      <c r="Q1187" s="150"/>
      <c r="R1187" s="150"/>
      <c r="S1187" s="150"/>
      <c r="T1187" s="150"/>
      <c r="U1187" s="150"/>
      <c r="V1187" s="150"/>
      <c r="W1187" s="150"/>
      <c r="X1187" s="150"/>
      <c r="Y1187" s="150"/>
    </row>
    <row r="1188">
      <c r="A1188" s="150"/>
      <c r="B1188" s="156"/>
      <c r="C1188" s="157"/>
      <c r="D1188" s="150"/>
      <c r="E1188" s="150"/>
      <c r="F1188" s="150"/>
      <c r="G1188" s="150"/>
      <c r="H1188" s="150"/>
      <c r="I1188" s="150"/>
      <c r="J1188" s="150"/>
      <c r="K1188" s="150"/>
      <c r="L1188" s="150"/>
      <c r="M1188" s="150"/>
      <c r="N1188" s="150"/>
      <c r="O1188" s="150"/>
      <c r="P1188" s="150"/>
      <c r="Q1188" s="150"/>
      <c r="R1188" s="150"/>
      <c r="S1188" s="150"/>
      <c r="T1188" s="150"/>
      <c r="U1188" s="150"/>
      <c r="V1188" s="150"/>
      <c r="W1188" s="150"/>
      <c r="X1188" s="150"/>
      <c r="Y1188" s="150"/>
    </row>
    <row r="1189">
      <c r="A1189" s="150"/>
      <c r="B1189" s="156"/>
      <c r="C1189" s="157"/>
      <c r="D1189" s="150"/>
      <c r="E1189" s="150"/>
      <c r="F1189" s="150"/>
      <c r="G1189" s="150"/>
      <c r="H1189" s="150"/>
      <c r="I1189" s="150"/>
      <c r="J1189" s="150"/>
      <c r="K1189" s="150"/>
      <c r="L1189" s="150"/>
      <c r="M1189" s="150"/>
      <c r="N1189" s="150"/>
      <c r="O1189" s="150"/>
      <c r="P1189" s="150"/>
      <c r="Q1189" s="150"/>
      <c r="R1189" s="150"/>
      <c r="S1189" s="150"/>
      <c r="T1189" s="150"/>
      <c r="U1189" s="150"/>
      <c r="V1189" s="150"/>
      <c r="W1189" s="150"/>
      <c r="X1189" s="150"/>
      <c r="Y1189" s="150"/>
    </row>
    <row r="1190">
      <c r="A1190" s="150"/>
      <c r="B1190" s="156"/>
      <c r="C1190" s="157"/>
      <c r="D1190" s="150"/>
      <c r="E1190" s="150"/>
      <c r="F1190" s="150"/>
      <c r="G1190" s="150"/>
      <c r="H1190" s="150"/>
      <c r="I1190" s="150"/>
      <c r="J1190" s="150"/>
      <c r="K1190" s="150"/>
      <c r="L1190" s="150"/>
      <c r="M1190" s="150"/>
      <c r="N1190" s="150"/>
      <c r="O1190" s="150"/>
      <c r="P1190" s="150"/>
      <c r="Q1190" s="150"/>
      <c r="R1190" s="150"/>
      <c r="S1190" s="150"/>
      <c r="T1190" s="150"/>
      <c r="U1190" s="150"/>
      <c r="V1190" s="150"/>
      <c r="W1190" s="150"/>
      <c r="X1190" s="150"/>
      <c r="Y1190" s="150"/>
    </row>
    <row r="1191">
      <c r="A1191" s="150"/>
      <c r="B1191" s="156"/>
      <c r="C1191" s="157"/>
      <c r="D1191" s="150"/>
      <c r="E1191" s="150"/>
      <c r="F1191" s="150"/>
      <c r="G1191" s="150"/>
      <c r="H1191" s="150"/>
      <c r="I1191" s="150"/>
      <c r="J1191" s="150"/>
      <c r="K1191" s="150"/>
      <c r="L1191" s="150"/>
      <c r="M1191" s="150"/>
      <c r="N1191" s="150"/>
      <c r="O1191" s="150"/>
      <c r="P1191" s="150"/>
      <c r="Q1191" s="150"/>
      <c r="R1191" s="150"/>
      <c r="S1191" s="150"/>
      <c r="T1191" s="150"/>
      <c r="U1191" s="150"/>
      <c r="V1191" s="150"/>
      <c r="W1191" s="150"/>
      <c r="X1191" s="150"/>
      <c r="Y1191" s="150"/>
    </row>
    <row r="1192">
      <c r="A1192" s="150"/>
      <c r="B1192" s="156"/>
      <c r="C1192" s="157"/>
      <c r="D1192" s="150"/>
      <c r="E1192" s="150"/>
      <c r="F1192" s="150"/>
      <c r="G1192" s="150"/>
      <c r="H1192" s="150"/>
      <c r="I1192" s="150"/>
      <c r="J1192" s="150"/>
      <c r="K1192" s="150"/>
      <c r="L1192" s="150"/>
      <c r="M1192" s="150"/>
      <c r="N1192" s="150"/>
      <c r="O1192" s="150"/>
      <c r="P1192" s="150"/>
      <c r="Q1192" s="150"/>
      <c r="R1192" s="150"/>
      <c r="S1192" s="150"/>
      <c r="T1192" s="150"/>
      <c r="U1192" s="150"/>
      <c r="V1192" s="150"/>
      <c r="W1192" s="150"/>
      <c r="X1192" s="150"/>
      <c r="Y1192" s="150"/>
    </row>
    <row r="1193">
      <c r="A1193" s="150"/>
      <c r="B1193" s="156"/>
      <c r="C1193" s="157"/>
      <c r="D1193" s="150"/>
      <c r="E1193" s="150"/>
      <c r="F1193" s="150"/>
      <c r="G1193" s="150"/>
      <c r="H1193" s="150"/>
      <c r="I1193" s="150"/>
      <c r="J1193" s="150"/>
      <c r="K1193" s="150"/>
      <c r="L1193" s="150"/>
      <c r="M1193" s="150"/>
      <c r="N1193" s="150"/>
      <c r="O1193" s="150"/>
      <c r="P1193" s="150"/>
      <c r="Q1193" s="150"/>
      <c r="R1193" s="150"/>
      <c r="S1193" s="150"/>
      <c r="T1193" s="150"/>
      <c r="U1193" s="150"/>
      <c r="V1193" s="150"/>
      <c r="W1193" s="150"/>
      <c r="X1193" s="150"/>
      <c r="Y1193" s="150"/>
    </row>
    <row r="1194">
      <c r="A1194" s="150"/>
      <c r="B1194" s="156"/>
      <c r="C1194" s="157"/>
      <c r="D1194" s="150"/>
      <c r="E1194" s="150"/>
      <c r="F1194" s="150"/>
      <c r="G1194" s="150"/>
      <c r="H1194" s="150"/>
      <c r="I1194" s="150"/>
      <c r="J1194" s="150"/>
      <c r="K1194" s="150"/>
      <c r="L1194" s="150"/>
      <c r="M1194" s="150"/>
      <c r="N1194" s="150"/>
      <c r="O1194" s="150"/>
      <c r="P1194" s="150"/>
      <c r="Q1194" s="150"/>
      <c r="R1194" s="150"/>
      <c r="S1194" s="150"/>
      <c r="T1194" s="150"/>
      <c r="U1194" s="150"/>
      <c r="V1194" s="150"/>
      <c r="W1194" s="150"/>
      <c r="X1194" s="150"/>
      <c r="Y1194" s="150"/>
    </row>
    <row r="1195">
      <c r="A1195" s="150"/>
      <c r="B1195" s="156"/>
      <c r="C1195" s="157"/>
      <c r="D1195" s="150"/>
      <c r="E1195" s="150"/>
      <c r="F1195" s="150"/>
      <c r="G1195" s="150"/>
      <c r="H1195" s="150"/>
      <c r="I1195" s="150"/>
      <c r="J1195" s="150"/>
      <c r="K1195" s="150"/>
      <c r="L1195" s="150"/>
      <c r="M1195" s="150"/>
      <c r="N1195" s="150"/>
      <c r="O1195" s="150"/>
      <c r="P1195" s="150"/>
      <c r="Q1195" s="150"/>
      <c r="R1195" s="150"/>
      <c r="S1195" s="150"/>
      <c r="T1195" s="150"/>
      <c r="U1195" s="150"/>
      <c r="V1195" s="150"/>
      <c r="W1195" s="150"/>
      <c r="X1195" s="150"/>
      <c r="Y1195" s="150"/>
    </row>
    <row r="1196">
      <c r="A1196" s="150"/>
      <c r="B1196" s="156"/>
      <c r="C1196" s="157"/>
      <c r="D1196" s="150"/>
      <c r="E1196" s="150"/>
      <c r="F1196" s="150"/>
      <c r="G1196" s="150"/>
      <c r="H1196" s="150"/>
      <c r="I1196" s="150"/>
      <c r="J1196" s="150"/>
      <c r="K1196" s="150"/>
      <c r="L1196" s="150"/>
      <c r="M1196" s="150"/>
      <c r="N1196" s="150"/>
      <c r="O1196" s="150"/>
      <c r="P1196" s="150"/>
      <c r="Q1196" s="150"/>
      <c r="R1196" s="150"/>
      <c r="S1196" s="150"/>
      <c r="T1196" s="150"/>
      <c r="U1196" s="150"/>
      <c r="V1196" s="150"/>
      <c r="W1196" s="150"/>
      <c r="X1196" s="150"/>
      <c r="Y1196" s="150"/>
    </row>
    <row r="1197">
      <c r="A1197" s="150"/>
      <c r="B1197" s="156"/>
      <c r="C1197" s="157"/>
      <c r="D1197" s="150"/>
      <c r="E1197" s="150"/>
      <c r="F1197" s="150"/>
      <c r="G1197" s="150"/>
      <c r="H1197" s="150"/>
      <c r="I1197" s="150"/>
      <c r="J1197" s="150"/>
      <c r="K1197" s="150"/>
      <c r="L1197" s="150"/>
      <c r="M1197" s="150"/>
      <c r="N1197" s="150"/>
      <c r="O1197" s="150"/>
      <c r="P1197" s="150"/>
      <c r="Q1197" s="150"/>
      <c r="R1197" s="150"/>
      <c r="S1197" s="150"/>
      <c r="T1197" s="150"/>
      <c r="U1197" s="150"/>
      <c r="V1197" s="150"/>
      <c r="W1197" s="150"/>
      <c r="X1197" s="150"/>
      <c r="Y1197" s="150"/>
    </row>
    <row r="1198">
      <c r="A1198" s="150"/>
      <c r="B1198" s="156"/>
      <c r="C1198" s="157"/>
      <c r="D1198" s="150"/>
      <c r="E1198" s="150"/>
      <c r="F1198" s="150"/>
      <c r="G1198" s="150"/>
      <c r="H1198" s="150"/>
      <c r="I1198" s="150"/>
      <c r="J1198" s="150"/>
      <c r="K1198" s="150"/>
      <c r="L1198" s="150"/>
      <c r="M1198" s="150"/>
      <c r="N1198" s="150"/>
      <c r="O1198" s="150"/>
      <c r="P1198" s="150"/>
      <c r="Q1198" s="150"/>
      <c r="R1198" s="150"/>
      <c r="S1198" s="150"/>
      <c r="T1198" s="150"/>
      <c r="U1198" s="150"/>
      <c r="V1198" s="150"/>
      <c r="W1198" s="150"/>
      <c r="X1198" s="150"/>
      <c r="Y1198" s="150"/>
    </row>
    <row r="1199">
      <c r="A1199" s="150"/>
      <c r="B1199" s="156"/>
      <c r="C1199" s="157"/>
      <c r="D1199" s="150"/>
      <c r="E1199" s="150"/>
      <c r="F1199" s="150"/>
      <c r="G1199" s="150"/>
      <c r="H1199" s="150"/>
      <c r="I1199" s="150"/>
      <c r="J1199" s="150"/>
      <c r="K1199" s="150"/>
      <c r="L1199" s="150"/>
      <c r="M1199" s="150"/>
      <c r="N1199" s="150"/>
      <c r="O1199" s="150"/>
      <c r="P1199" s="150"/>
      <c r="Q1199" s="150"/>
      <c r="R1199" s="150"/>
      <c r="S1199" s="150"/>
      <c r="T1199" s="150"/>
      <c r="U1199" s="150"/>
      <c r="V1199" s="150"/>
      <c r="W1199" s="150"/>
      <c r="X1199" s="150"/>
      <c r="Y1199" s="150"/>
    </row>
    <row r="1200">
      <c r="A1200" s="150"/>
      <c r="B1200" s="156"/>
      <c r="C1200" s="157"/>
      <c r="D1200" s="150"/>
      <c r="E1200" s="150"/>
      <c r="F1200" s="150"/>
      <c r="G1200" s="150"/>
      <c r="H1200" s="150"/>
      <c r="I1200" s="150"/>
      <c r="J1200" s="150"/>
      <c r="K1200" s="150"/>
      <c r="L1200" s="150"/>
      <c r="M1200" s="150"/>
      <c r="N1200" s="150"/>
      <c r="O1200" s="150"/>
      <c r="P1200" s="150"/>
      <c r="Q1200" s="150"/>
      <c r="R1200" s="150"/>
      <c r="S1200" s="150"/>
      <c r="T1200" s="150"/>
      <c r="U1200" s="150"/>
      <c r="V1200" s="150"/>
      <c r="W1200" s="150"/>
      <c r="X1200" s="150"/>
      <c r="Y1200" s="150"/>
    </row>
    <row r="1201">
      <c r="A1201" s="150"/>
      <c r="B1201" s="156"/>
      <c r="C1201" s="157"/>
      <c r="D1201" s="150"/>
      <c r="E1201" s="150"/>
      <c r="F1201" s="150"/>
      <c r="G1201" s="150"/>
      <c r="H1201" s="150"/>
      <c r="I1201" s="150"/>
      <c r="J1201" s="150"/>
      <c r="K1201" s="150"/>
      <c r="L1201" s="150"/>
      <c r="M1201" s="150"/>
      <c r="N1201" s="150"/>
      <c r="O1201" s="150"/>
      <c r="P1201" s="150"/>
      <c r="Q1201" s="150"/>
      <c r="R1201" s="150"/>
      <c r="S1201" s="150"/>
      <c r="T1201" s="150"/>
      <c r="U1201" s="150"/>
      <c r="V1201" s="150"/>
      <c r="W1201" s="150"/>
      <c r="X1201" s="150"/>
      <c r="Y1201" s="150"/>
    </row>
    <row r="1202">
      <c r="A1202" s="150"/>
      <c r="B1202" s="156"/>
      <c r="C1202" s="157"/>
      <c r="D1202" s="150"/>
      <c r="E1202" s="150"/>
      <c r="F1202" s="150"/>
      <c r="G1202" s="150"/>
      <c r="H1202" s="150"/>
      <c r="I1202" s="150"/>
      <c r="J1202" s="150"/>
      <c r="K1202" s="150"/>
      <c r="L1202" s="150"/>
      <c r="M1202" s="150"/>
      <c r="N1202" s="150"/>
      <c r="O1202" s="150"/>
      <c r="P1202" s="150"/>
      <c r="Q1202" s="150"/>
      <c r="R1202" s="150"/>
      <c r="S1202" s="150"/>
      <c r="T1202" s="150"/>
      <c r="U1202" s="150"/>
      <c r="V1202" s="150"/>
      <c r="W1202" s="150"/>
      <c r="X1202" s="150"/>
      <c r="Y1202" s="150"/>
    </row>
    <row r="1203">
      <c r="A1203" s="150"/>
      <c r="B1203" s="156"/>
      <c r="C1203" s="157"/>
      <c r="D1203" s="150"/>
      <c r="E1203" s="150"/>
      <c r="F1203" s="150"/>
      <c r="G1203" s="150"/>
      <c r="H1203" s="150"/>
      <c r="I1203" s="150"/>
      <c r="J1203" s="150"/>
      <c r="K1203" s="150"/>
      <c r="L1203" s="150"/>
      <c r="M1203" s="150"/>
      <c r="N1203" s="150"/>
      <c r="O1203" s="150"/>
      <c r="P1203" s="150"/>
      <c r="Q1203" s="150"/>
      <c r="R1203" s="150"/>
      <c r="S1203" s="150"/>
      <c r="T1203" s="150"/>
      <c r="U1203" s="150"/>
      <c r="V1203" s="150"/>
      <c r="W1203" s="150"/>
      <c r="X1203" s="150"/>
      <c r="Y1203" s="150"/>
    </row>
    <row r="1204">
      <c r="A1204" s="150"/>
      <c r="B1204" s="156"/>
      <c r="C1204" s="157"/>
      <c r="D1204" s="150"/>
      <c r="E1204" s="150"/>
      <c r="F1204" s="150"/>
      <c r="G1204" s="150"/>
      <c r="H1204" s="150"/>
      <c r="I1204" s="150"/>
      <c r="J1204" s="150"/>
      <c r="K1204" s="150"/>
      <c r="L1204" s="150"/>
      <c r="M1204" s="150"/>
      <c r="N1204" s="150"/>
      <c r="O1204" s="150"/>
      <c r="P1204" s="150"/>
      <c r="Q1204" s="150"/>
      <c r="R1204" s="150"/>
      <c r="S1204" s="150"/>
      <c r="T1204" s="150"/>
      <c r="U1204" s="150"/>
      <c r="V1204" s="150"/>
      <c r="W1204" s="150"/>
      <c r="X1204" s="150"/>
      <c r="Y1204" s="150"/>
    </row>
    <row r="1205">
      <c r="A1205" s="150"/>
      <c r="B1205" s="156"/>
      <c r="C1205" s="157"/>
      <c r="D1205" s="150"/>
      <c r="E1205" s="150"/>
      <c r="F1205" s="150"/>
      <c r="G1205" s="150"/>
      <c r="H1205" s="150"/>
      <c r="I1205" s="150"/>
      <c r="J1205" s="150"/>
      <c r="K1205" s="150"/>
      <c r="L1205" s="150"/>
      <c r="M1205" s="150"/>
      <c r="N1205" s="150"/>
      <c r="O1205" s="150"/>
      <c r="P1205" s="150"/>
      <c r="Q1205" s="150"/>
      <c r="R1205" s="150"/>
      <c r="S1205" s="150"/>
      <c r="T1205" s="150"/>
      <c r="U1205" s="150"/>
      <c r="V1205" s="150"/>
      <c r="W1205" s="150"/>
      <c r="X1205" s="150"/>
      <c r="Y1205" s="150"/>
    </row>
    <row r="1206">
      <c r="A1206" s="150"/>
      <c r="B1206" s="156"/>
      <c r="C1206" s="157"/>
      <c r="D1206" s="150"/>
      <c r="E1206" s="150"/>
      <c r="F1206" s="150"/>
      <c r="G1206" s="150"/>
      <c r="H1206" s="150"/>
      <c r="I1206" s="150"/>
      <c r="J1206" s="150"/>
      <c r="K1206" s="150"/>
      <c r="L1206" s="150"/>
      <c r="M1206" s="150"/>
      <c r="N1206" s="150"/>
      <c r="O1206" s="150"/>
      <c r="P1206" s="150"/>
      <c r="Q1206" s="150"/>
      <c r="R1206" s="150"/>
      <c r="S1206" s="150"/>
      <c r="T1206" s="150"/>
      <c r="U1206" s="150"/>
      <c r="V1206" s="150"/>
      <c r="W1206" s="150"/>
      <c r="X1206" s="150"/>
      <c r="Y1206" s="150"/>
    </row>
    <row r="1207">
      <c r="A1207" s="150"/>
      <c r="B1207" s="156"/>
      <c r="C1207" s="157"/>
      <c r="D1207" s="150"/>
      <c r="E1207" s="150"/>
      <c r="F1207" s="150"/>
      <c r="G1207" s="150"/>
      <c r="H1207" s="150"/>
      <c r="I1207" s="150"/>
      <c r="J1207" s="150"/>
      <c r="K1207" s="150"/>
      <c r="L1207" s="150"/>
      <c r="M1207" s="150"/>
      <c r="N1207" s="150"/>
      <c r="O1207" s="150"/>
      <c r="P1207" s="150"/>
      <c r="Q1207" s="150"/>
      <c r="R1207" s="150"/>
      <c r="S1207" s="150"/>
      <c r="T1207" s="150"/>
      <c r="U1207" s="150"/>
      <c r="V1207" s="150"/>
      <c r="W1207" s="150"/>
      <c r="X1207" s="150"/>
      <c r="Y1207" s="150"/>
    </row>
    <row r="1208">
      <c r="A1208" s="150"/>
      <c r="B1208" s="156"/>
      <c r="C1208" s="157"/>
      <c r="D1208" s="150"/>
      <c r="E1208" s="150"/>
      <c r="F1208" s="150"/>
      <c r="G1208" s="150"/>
      <c r="H1208" s="150"/>
      <c r="I1208" s="150"/>
      <c r="J1208" s="150"/>
      <c r="K1208" s="150"/>
      <c r="L1208" s="150"/>
      <c r="M1208" s="150"/>
      <c r="N1208" s="150"/>
      <c r="O1208" s="150"/>
      <c r="P1208" s="150"/>
      <c r="Q1208" s="150"/>
      <c r="R1208" s="150"/>
      <c r="S1208" s="150"/>
      <c r="T1208" s="150"/>
      <c r="U1208" s="150"/>
      <c r="V1208" s="150"/>
      <c r="W1208" s="150"/>
      <c r="X1208" s="150"/>
      <c r="Y1208" s="150"/>
    </row>
    <row r="1209">
      <c r="A1209" s="150"/>
      <c r="B1209" s="156"/>
      <c r="C1209" s="157"/>
      <c r="D1209" s="150"/>
      <c r="E1209" s="150"/>
      <c r="F1209" s="150"/>
      <c r="G1209" s="150"/>
      <c r="H1209" s="150"/>
      <c r="I1209" s="150"/>
      <c r="J1209" s="150"/>
      <c r="K1209" s="150"/>
      <c r="L1209" s="150"/>
      <c r="M1209" s="150"/>
      <c r="N1209" s="150"/>
      <c r="O1209" s="150"/>
      <c r="P1209" s="150"/>
      <c r="Q1209" s="150"/>
      <c r="R1209" s="150"/>
      <c r="S1209" s="150"/>
      <c r="T1209" s="150"/>
      <c r="U1209" s="150"/>
      <c r="V1209" s="150"/>
      <c r="W1209" s="150"/>
      <c r="X1209" s="150"/>
      <c r="Y1209" s="150"/>
    </row>
    <row r="1210">
      <c r="A1210" s="150"/>
      <c r="B1210" s="156"/>
      <c r="C1210" s="157"/>
      <c r="D1210" s="150"/>
      <c r="E1210" s="150"/>
      <c r="F1210" s="150"/>
      <c r="G1210" s="150"/>
      <c r="H1210" s="150"/>
      <c r="I1210" s="150"/>
      <c r="J1210" s="150"/>
      <c r="K1210" s="150"/>
      <c r="L1210" s="150"/>
      <c r="M1210" s="150"/>
      <c r="N1210" s="150"/>
      <c r="O1210" s="150"/>
      <c r="P1210" s="150"/>
      <c r="Q1210" s="150"/>
      <c r="R1210" s="150"/>
      <c r="S1210" s="150"/>
      <c r="T1210" s="150"/>
      <c r="U1210" s="150"/>
      <c r="V1210" s="150"/>
      <c r="W1210" s="150"/>
      <c r="X1210" s="150"/>
      <c r="Y1210" s="150"/>
    </row>
    <row r="1211">
      <c r="A1211" s="150"/>
      <c r="B1211" s="156"/>
      <c r="C1211" s="157"/>
      <c r="D1211" s="150"/>
      <c r="E1211" s="150"/>
      <c r="F1211" s="150"/>
      <c r="G1211" s="150"/>
      <c r="H1211" s="150"/>
      <c r="I1211" s="150"/>
      <c r="J1211" s="150"/>
      <c r="K1211" s="150"/>
      <c r="L1211" s="150"/>
      <c r="M1211" s="150"/>
      <c r="N1211" s="150"/>
      <c r="O1211" s="150"/>
      <c r="P1211" s="150"/>
      <c r="Q1211" s="150"/>
      <c r="R1211" s="150"/>
      <c r="S1211" s="150"/>
      <c r="T1211" s="150"/>
      <c r="U1211" s="150"/>
      <c r="V1211" s="150"/>
      <c r="W1211" s="150"/>
      <c r="X1211" s="150"/>
      <c r="Y1211" s="150"/>
    </row>
    <row r="1212">
      <c r="A1212" s="150"/>
      <c r="B1212" s="156"/>
      <c r="C1212" s="157"/>
      <c r="D1212" s="150"/>
      <c r="E1212" s="150"/>
      <c r="F1212" s="150"/>
      <c r="G1212" s="150"/>
      <c r="H1212" s="150"/>
      <c r="I1212" s="150"/>
      <c r="J1212" s="150"/>
      <c r="K1212" s="150"/>
      <c r="L1212" s="150"/>
      <c r="M1212" s="150"/>
      <c r="N1212" s="150"/>
      <c r="O1212" s="150"/>
      <c r="P1212" s="150"/>
      <c r="Q1212" s="150"/>
      <c r="R1212" s="150"/>
      <c r="S1212" s="150"/>
      <c r="T1212" s="150"/>
      <c r="U1212" s="150"/>
      <c r="V1212" s="150"/>
      <c r="W1212" s="150"/>
      <c r="X1212" s="150"/>
      <c r="Y1212" s="150"/>
    </row>
    <row r="1213">
      <c r="A1213" s="150"/>
      <c r="B1213" s="156"/>
      <c r="C1213" s="157"/>
      <c r="D1213" s="150"/>
      <c r="E1213" s="150"/>
      <c r="F1213" s="150"/>
      <c r="G1213" s="150"/>
      <c r="H1213" s="150"/>
      <c r="I1213" s="150"/>
      <c r="J1213" s="150"/>
      <c r="K1213" s="150"/>
      <c r="L1213" s="150"/>
      <c r="M1213" s="150"/>
      <c r="N1213" s="150"/>
      <c r="O1213" s="150"/>
      <c r="P1213" s="150"/>
      <c r="Q1213" s="150"/>
      <c r="R1213" s="150"/>
      <c r="S1213" s="150"/>
      <c r="T1213" s="150"/>
      <c r="U1213" s="150"/>
      <c r="V1213" s="150"/>
      <c r="W1213" s="150"/>
      <c r="X1213" s="150"/>
      <c r="Y1213" s="150"/>
    </row>
    <row r="1214">
      <c r="A1214" s="150"/>
      <c r="B1214" s="156"/>
      <c r="C1214" s="157"/>
      <c r="D1214" s="150"/>
      <c r="E1214" s="150"/>
      <c r="F1214" s="150"/>
      <c r="G1214" s="150"/>
      <c r="H1214" s="150"/>
      <c r="I1214" s="150"/>
      <c r="J1214" s="150"/>
      <c r="K1214" s="150"/>
      <c r="L1214" s="150"/>
      <c r="M1214" s="150"/>
      <c r="N1214" s="150"/>
      <c r="O1214" s="150"/>
      <c r="P1214" s="150"/>
      <c r="Q1214" s="150"/>
      <c r="R1214" s="150"/>
      <c r="S1214" s="150"/>
      <c r="T1214" s="150"/>
      <c r="U1214" s="150"/>
      <c r="V1214" s="150"/>
      <c r="W1214" s="150"/>
      <c r="X1214" s="150"/>
      <c r="Y1214" s="150"/>
    </row>
    <row r="1215">
      <c r="A1215" s="150"/>
      <c r="B1215" s="156"/>
      <c r="C1215" s="157"/>
      <c r="D1215" s="150"/>
      <c r="E1215" s="150"/>
      <c r="F1215" s="150"/>
      <c r="G1215" s="150"/>
      <c r="H1215" s="150"/>
      <c r="I1215" s="150"/>
      <c r="J1215" s="150"/>
      <c r="K1215" s="150"/>
      <c r="L1215" s="150"/>
      <c r="M1215" s="150"/>
      <c r="N1215" s="150"/>
      <c r="O1215" s="150"/>
      <c r="P1215" s="150"/>
      <c r="Q1215" s="150"/>
      <c r="R1215" s="150"/>
      <c r="S1215" s="150"/>
      <c r="T1215" s="150"/>
      <c r="U1215" s="150"/>
      <c r="V1215" s="150"/>
      <c r="W1215" s="150"/>
      <c r="X1215" s="150"/>
      <c r="Y1215" s="150"/>
    </row>
    <row r="1216">
      <c r="A1216" s="150"/>
      <c r="B1216" s="156"/>
      <c r="C1216" s="157"/>
      <c r="D1216" s="150"/>
      <c r="E1216" s="150"/>
      <c r="F1216" s="150"/>
      <c r="G1216" s="150"/>
      <c r="H1216" s="150"/>
      <c r="I1216" s="150"/>
      <c r="J1216" s="150"/>
      <c r="K1216" s="150"/>
      <c r="L1216" s="150"/>
      <c r="M1216" s="150"/>
      <c r="N1216" s="150"/>
      <c r="O1216" s="150"/>
      <c r="P1216" s="150"/>
      <c r="Q1216" s="150"/>
      <c r="R1216" s="150"/>
      <c r="S1216" s="150"/>
      <c r="T1216" s="150"/>
      <c r="U1216" s="150"/>
      <c r="V1216" s="150"/>
      <c r="W1216" s="150"/>
      <c r="X1216" s="150"/>
      <c r="Y1216" s="150"/>
    </row>
    <row r="1217">
      <c r="A1217" s="150"/>
      <c r="B1217" s="156"/>
      <c r="C1217" s="157"/>
      <c r="D1217" s="150"/>
      <c r="E1217" s="150"/>
      <c r="F1217" s="150"/>
      <c r="G1217" s="150"/>
      <c r="H1217" s="150"/>
      <c r="I1217" s="150"/>
      <c r="J1217" s="150"/>
      <c r="K1217" s="150"/>
      <c r="L1217" s="150"/>
      <c r="M1217" s="150"/>
      <c r="N1217" s="150"/>
      <c r="O1217" s="150"/>
      <c r="P1217" s="150"/>
      <c r="Q1217" s="150"/>
      <c r="R1217" s="150"/>
      <c r="S1217" s="150"/>
      <c r="T1217" s="150"/>
      <c r="U1217" s="150"/>
      <c r="V1217" s="150"/>
      <c r="W1217" s="150"/>
      <c r="X1217" s="150"/>
      <c r="Y1217" s="150"/>
    </row>
    <row r="1218">
      <c r="A1218" s="150"/>
      <c r="B1218" s="156"/>
      <c r="C1218" s="157"/>
      <c r="D1218" s="150"/>
      <c r="E1218" s="150"/>
      <c r="F1218" s="150"/>
      <c r="G1218" s="150"/>
      <c r="H1218" s="150"/>
      <c r="I1218" s="150"/>
      <c r="J1218" s="150"/>
      <c r="K1218" s="150"/>
      <c r="L1218" s="150"/>
      <c r="M1218" s="150"/>
      <c r="N1218" s="150"/>
      <c r="O1218" s="150"/>
      <c r="P1218" s="150"/>
      <c r="Q1218" s="150"/>
      <c r="R1218" s="150"/>
      <c r="S1218" s="150"/>
      <c r="T1218" s="150"/>
      <c r="U1218" s="150"/>
      <c r="V1218" s="150"/>
      <c r="W1218" s="150"/>
      <c r="X1218" s="150"/>
      <c r="Y1218" s="150"/>
    </row>
    <row r="1219">
      <c r="A1219" s="150"/>
      <c r="B1219" s="156"/>
      <c r="C1219" s="157"/>
      <c r="D1219" s="150"/>
      <c r="E1219" s="150"/>
      <c r="F1219" s="150"/>
      <c r="G1219" s="150"/>
      <c r="H1219" s="150"/>
      <c r="I1219" s="150"/>
      <c r="J1219" s="150"/>
      <c r="K1219" s="150"/>
      <c r="L1219" s="150"/>
      <c r="M1219" s="150"/>
      <c r="N1219" s="150"/>
      <c r="O1219" s="150"/>
      <c r="P1219" s="150"/>
      <c r="Q1219" s="150"/>
      <c r="R1219" s="150"/>
      <c r="S1219" s="150"/>
      <c r="T1219" s="150"/>
      <c r="U1219" s="150"/>
      <c r="V1219" s="150"/>
      <c r="W1219" s="150"/>
      <c r="X1219" s="150"/>
      <c r="Y1219" s="150"/>
    </row>
    <row r="1220">
      <c r="A1220" s="150"/>
      <c r="B1220" s="156"/>
      <c r="C1220" s="157"/>
      <c r="D1220" s="150"/>
      <c r="E1220" s="150"/>
      <c r="F1220" s="150"/>
      <c r="G1220" s="150"/>
      <c r="H1220" s="150"/>
      <c r="I1220" s="150"/>
      <c r="J1220" s="150"/>
      <c r="K1220" s="150"/>
      <c r="L1220" s="150"/>
      <c r="M1220" s="150"/>
      <c r="N1220" s="150"/>
      <c r="O1220" s="150"/>
      <c r="P1220" s="150"/>
      <c r="Q1220" s="150"/>
      <c r="R1220" s="150"/>
      <c r="S1220" s="150"/>
      <c r="T1220" s="150"/>
      <c r="U1220" s="150"/>
      <c r="V1220" s="150"/>
      <c r="W1220" s="150"/>
      <c r="X1220" s="150"/>
      <c r="Y1220" s="150"/>
    </row>
    <row r="1221">
      <c r="A1221" s="150"/>
      <c r="B1221" s="156"/>
      <c r="C1221" s="157"/>
      <c r="D1221" s="150"/>
      <c r="E1221" s="150"/>
      <c r="F1221" s="150"/>
      <c r="G1221" s="150"/>
      <c r="H1221" s="150"/>
      <c r="I1221" s="150"/>
      <c r="J1221" s="150"/>
      <c r="K1221" s="150"/>
      <c r="L1221" s="150"/>
      <c r="M1221" s="150"/>
      <c r="N1221" s="150"/>
      <c r="O1221" s="150"/>
      <c r="P1221" s="150"/>
      <c r="Q1221" s="150"/>
      <c r="R1221" s="150"/>
      <c r="S1221" s="150"/>
      <c r="T1221" s="150"/>
      <c r="U1221" s="150"/>
      <c r="V1221" s="150"/>
      <c r="W1221" s="150"/>
      <c r="X1221" s="150"/>
      <c r="Y1221" s="150"/>
    </row>
    <row r="1222">
      <c r="A1222" s="150"/>
      <c r="B1222" s="156"/>
      <c r="C1222" s="157"/>
      <c r="D1222" s="150"/>
      <c r="E1222" s="150"/>
      <c r="F1222" s="150"/>
      <c r="G1222" s="150"/>
      <c r="H1222" s="150"/>
      <c r="I1222" s="150"/>
      <c r="J1222" s="150"/>
      <c r="K1222" s="150"/>
      <c r="L1222" s="150"/>
      <c r="M1222" s="150"/>
      <c r="N1222" s="150"/>
      <c r="O1222" s="150"/>
      <c r="P1222" s="150"/>
      <c r="Q1222" s="150"/>
      <c r="R1222" s="150"/>
      <c r="S1222" s="150"/>
      <c r="T1222" s="150"/>
      <c r="U1222" s="150"/>
      <c r="V1222" s="150"/>
      <c r="W1222" s="150"/>
      <c r="X1222" s="150"/>
      <c r="Y1222" s="150"/>
    </row>
    <row r="1223">
      <c r="A1223" s="150"/>
      <c r="B1223" s="156"/>
      <c r="C1223" s="157"/>
      <c r="D1223" s="150"/>
      <c r="E1223" s="150"/>
      <c r="F1223" s="150"/>
      <c r="G1223" s="150"/>
      <c r="H1223" s="150"/>
      <c r="I1223" s="150"/>
      <c r="J1223" s="150"/>
      <c r="K1223" s="150"/>
      <c r="L1223" s="150"/>
      <c r="M1223" s="150"/>
      <c r="N1223" s="150"/>
      <c r="O1223" s="150"/>
      <c r="P1223" s="150"/>
      <c r="Q1223" s="150"/>
      <c r="R1223" s="150"/>
      <c r="S1223" s="150"/>
      <c r="T1223" s="150"/>
      <c r="U1223" s="150"/>
      <c r="V1223" s="150"/>
      <c r="W1223" s="150"/>
      <c r="X1223" s="150"/>
      <c r="Y1223" s="150"/>
    </row>
    <row r="1224">
      <c r="A1224" s="150"/>
      <c r="B1224" s="156"/>
      <c r="C1224" s="157"/>
      <c r="D1224" s="150"/>
      <c r="E1224" s="150"/>
      <c r="F1224" s="150"/>
      <c r="G1224" s="150"/>
      <c r="H1224" s="150"/>
      <c r="I1224" s="150"/>
      <c r="J1224" s="150"/>
      <c r="K1224" s="150"/>
      <c r="L1224" s="150"/>
      <c r="M1224" s="150"/>
      <c r="N1224" s="150"/>
      <c r="O1224" s="150"/>
      <c r="P1224" s="150"/>
      <c r="Q1224" s="150"/>
      <c r="R1224" s="150"/>
      <c r="S1224" s="150"/>
      <c r="T1224" s="150"/>
      <c r="U1224" s="150"/>
      <c r="V1224" s="150"/>
      <c r="W1224" s="150"/>
      <c r="X1224" s="150"/>
      <c r="Y1224" s="150"/>
    </row>
    <row r="1225">
      <c r="A1225" s="150"/>
      <c r="B1225" s="156"/>
      <c r="C1225" s="157"/>
      <c r="D1225" s="150"/>
      <c r="E1225" s="150"/>
      <c r="F1225" s="150"/>
      <c r="G1225" s="150"/>
      <c r="H1225" s="150"/>
      <c r="I1225" s="150"/>
      <c r="J1225" s="150"/>
      <c r="K1225" s="150"/>
      <c r="L1225" s="150"/>
      <c r="M1225" s="150"/>
      <c r="N1225" s="150"/>
      <c r="O1225" s="150"/>
      <c r="P1225" s="150"/>
      <c r="Q1225" s="150"/>
      <c r="R1225" s="150"/>
      <c r="S1225" s="150"/>
      <c r="T1225" s="150"/>
      <c r="U1225" s="150"/>
      <c r="V1225" s="150"/>
      <c r="W1225" s="150"/>
      <c r="X1225" s="150"/>
      <c r="Y1225" s="150"/>
    </row>
    <row r="1226">
      <c r="A1226" s="150"/>
      <c r="B1226" s="156"/>
      <c r="C1226" s="157"/>
      <c r="D1226" s="150"/>
      <c r="E1226" s="150"/>
      <c r="F1226" s="150"/>
      <c r="G1226" s="150"/>
      <c r="H1226" s="150"/>
      <c r="I1226" s="150"/>
      <c r="J1226" s="150"/>
      <c r="K1226" s="150"/>
      <c r="L1226" s="150"/>
      <c r="M1226" s="150"/>
      <c r="N1226" s="150"/>
      <c r="O1226" s="150"/>
      <c r="P1226" s="150"/>
      <c r="Q1226" s="150"/>
      <c r="R1226" s="150"/>
      <c r="S1226" s="150"/>
      <c r="T1226" s="150"/>
      <c r="U1226" s="150"/>
      <c r="V1226" s="150"/>
      <c r="W1226" s="150"/>
      <c r="X1226" s="150"/>
      <c r="Y1226" s="150"/>
    </row>
    <row r="1227">
      <c r="A1227" s="150"/>
      <c r="B1227" s="156"/>
      <c r="C1227" s="157"/>
      <c r="D1227" s="150"/>
      <c r="E1227" s="150"/>
      <c r="F1227" s="150"/>
      <c r="G1227" s="150"/>
      <c r="H1227" s="150"/>
      <c r="I1227" s="150"/>
      <c r="J1227" s="150"/>
      <c r="K1227" s="150"/>
      <c r="L1227" s="150"/>
      <c r="M1227" s="150"/>
      <c r="N1227" s="150"/>
      <c r="O1227" s="150"/>
      <c r="P1227" s="150"/>
      <c r="Q1227" s="150"/>
      <c r="R1227" s="150"/>
      <c r="S1227" s="150"/>
      <c r="T1227" s="150"/>
      <c r="U1227" s="150"/>
      <c r="V1227" s="150"/>
      <c r="W1227" s="150"/>
      <c r="X1227" s="150"/>
      <c r="Y1227" s="150"/>
    </row>
    <row r="1228">
      <c r="A1228" s="150"/>
      <c r="B1228" s="156"/>
      <c r="C1228" s="157"/>
      <c r="D1228" s="150"/>
      <c r="E1228" s="150"/>
      <c r="F1228" s="150"/>
      <c r="G1228" s="150"/>
      <c r="H1228" s="150"/>
      <c r="I1228" s="150"/>
      <c r="J1228" s="150"/>
      <c r="K1228" s="150"/>
      <c r="L1228" s="150"/>
      <c r="M1228" s="150"/>
      <c r="N1228" s="150"/>
      <c r="O1228" s="150"/>
      <c r="P1228" s="150"/>
      <c r="Q1228" s="150"/>
      <c r="R1228" s="150"/>
      <c r="S1228" s="150"/>
      <c r="T1228" s="150"/>
      <c r="U1228" s="150"/>
      <c r="V1228" s="150"/>
      <c r="W1228" s="150"/>
      <c r="X1228" s="150"/>
      <c r="Y1228" s="150"/>
    </row>
    <row r="1229">
      <c r="A1229" s="150"/>
      <c r="B1229" s="156"/>
      <c r="C1229" s="157"/>
      <c r="D1229" s="150"/>
      <c r="E1229" s="150"/>
      <c r="F1229" s="150"/>
      <c r="G1229" s="150"/>
      <c r="H1229" s="150"/>
      <c r="I1229" s="150"/>
      <c r="J1229" s="150"/>
      <c r="K1229" s="150"/>
      <c r="L1229" s="150"/>
      <c r="M1229" s="150"/>
      <c r="N1229" s="150"/>
      <c r="O1229" s="150"/>
      <c r="P1229" s="150"/>
      <c r="Q1229" s="150"/>
      <c r="R1229" s="150"/>
      <c r="S1229" s="150"/>
      <c r="T1229" s="150"/>
      <c r="U1229" s="150"/>
      <c r="V1229" s="150"/>
      <c r="W1229" s="150"/>
      <c r="X1229" s="150"/>
      <c r="Y1229" s="150"/>
    </row>
    <row r="1230">
      <c r="A1230" s="150"/>
      <c r="B1230" s="156"/>
      <c r="C1230" s="157"/>
      <c r="D1230" s="150"/>
      <c r="E1230" s="150"/>
      <c r="F1230" s="150"/>
      <c r="G1230" s="150"/>
      <c r="H1230" s="150"/>
      <c r="I1230" s="150"/>
      <c r="J1230" s="150"/>
      <c r="K1230" s="150"/>
      <c r="L1230" s="150"/>
      <c r="M1230" s="150"/>
      <c r="N1230" s="150"/>
      <c r="O1230" s="150"/>
      <c r="P1230" s="150"/>
      <c r="Q1230" s="150"/>
      <c r="R1230" s="150"/>
      <c r="S1230" s="150"/>
      <c r="T1230" s="150"/>
      <c r="U1230" s="150"/>
      <c r="V1230" s="150"/>
      <c r="W1230" s="150"/>
      <c r="X1230" s="150"/>
      <c r="Y1230" s="150"/>
    </row>
    <row r="1231">
      <c r="A1231" s="150"/>
      <c r="B1231" s="156"/>
      <c r="C1231" s="157"/>
      <c r="D1231" s="150"/>
      <c r="E1231" s="150"/>
      <c r="F1231" s="150"/>
      <c r="G1231" s="150"/>
      <c r="H1231" s="150"/>
      <c r="I1231" s="150"/>
      <c r="J1231" s="150"/>
      <c r="K1231" s="150"/>
      <c r="L1231" s="150"/>
      <c r="M1231" s="150"/>
      <c r="N1231" s="150"/>
      <c r="O1231" s="150"/>
      <c r="P1231" s="150"/>
      <c r="Q1231" s="150"/>
      <c r="R1231" s="150"/>
      <c r="S1231" s="150"/>
      <c r="T1231" s="150"/>
      <c r="U1231" s="150"/>
      <c r="V1231" s="150"/>
      <c r="W1231" s="150"/>
      <c r="X1231" s="150"/>
      <c r="Y1231" s="150"/>
    </row>
    <row r="1232">
      <c r="A1232" s="150"/>
      <c r="B1232" s="156"/>
      <c r="C1232" s="157"/>
      <c r="D1232" s="150"/>
      <c r="E1232" s="150"/>
      <c r="F1232" s="150"/>
      <c r="G1232" s="150"/>
      <c r="H1232" s="150"/>
      <c r="I1232" s="150"/>
      <c r="J1232" s="150"/>
      <c r="K1232" s="150"/>
      <c r="L1232" s="150"/>
      <c r="M1232" s="150"/>
      <c r="N1232" s="150"/>
      <c r="O1232" s="150"/>
      <c r="P1232" s="150"/>
      <c r="Q1232" s="150"/>
      <c r="R1232" s="150"/>
      <c r="S1232" s="150"/>
      <c r="T1232" s="150"/>
      <c r="U1232" s="150"/>
      <c r="V1232" s="150"/>
      <c r="W1232" s="150"/>
      <c r="X1232" s="150"/>
      <c r="Y1232" s="150"/>
    </row>
    <row r="1233">
      <c r="A1233" s="150"/>
      <c r="B1233" s="156"/>
      <c r="C1233" s="157"/>
      <c r="D1233" s="150"/>
      <c r="E1233" s="150"/>
      <c r="F1233" s="150"/>
      <c r="G1233" s="150"/>
      <c r="H1233" s="150"/>
      <c r="I1233" s="150"/>
      <c r="J1233" s="150"/>
      <c r="K1233" s="150"/>
      <c r="L1233" s="150"/>
      <c r="M1233" s="150"/>
      <c r="N1233" s="150"/>
      <c r="O1233" s="150"/>
      <c r="P1233" s="150"/>
      <c r="Q1233" s="150"/>
      <c r="R1233" s="150"/>
      <c r="S1233" s="150"/>
      <c r="T1233" s="150"/>
      <c r="U1233" s="150"/>
      <c r="V1233" s="150"/>
      <c r="W1233" s="150"/>
      <c r="X1233" s="150"/>
      <c r="Y1233" s="150"/>
    </row>
    <row r="1234">
      <c r="A1234" s="150"/>
      <c r="B1234" s="156"/>
      <c r="C1234" s="157"/>
      <c r="D1234" s="150"/>
      <c r="E1234" s="150"/>
      <c r="F1234" s="150"/>
      <c r="G1234" s="150"/>
      <c r="H1234" s="150"/>
      <c r="I1234" s="150"/>
      <c r="J1234" s="150"/>
      <c r="K1234" s="150"/>
      <c r="L1234" s="150"/>
      <c r="M1234" s="150"/>
      <c r="N1234" s="150"/>
      <c r="O1234" s="150"/>
      <c r="P1234" s="150"/>
      <c r="Q1234" s="150"/>
      <c r="R1234" s="150"/>
      <c r="S1234" s="150"/>
      <c r="T1234" s="150"/>
      <c r="U1234" s="150"/>
      <c r="V1234" s="150"/>
      <c r="W1234" s="150"/>
      <c r="X1234" s="150"/>
      <c r="Y1234" s="150"/>
    </row>
    <row r="1235">
      <c r="A1235" s="150"/>
      <c r="B1235" s="156"/>
      <c r="C1235" s="157"/>
      <c r="D1235" s="150"/>
      <c r="E1235" s="150"/>
      <c r="F1235" s="150"/>
      <c r="G1235" s="150"/>
      <c r="H1235" s="150"/>
      <c r="I1235" s="150"/>
      <c r="J1235" s="150"/>
      <c r="K1235" s="150"/>
      <c r="L1235" s="150"/>
      <c r="M1235" s="150"/>
      <c r="N1235" s="150"/>
      <c r="O1235" s="150"/>
      <c r="P1235" s="150"/>
      <c r="Q1235" s="150"/>
      <c r="R1235" s="150"/>
      <c r="S1235" s="150"/>
      <c r="T1235" s="150"/>
      <c r="U1235" s="150"/>
      <c r="V1235" s="150"/>
      <c r="W1235" s="150"/>
      <c r="X1235" s="150"/>
      <c r="Y1235" s="150"/>
    </row>
    <row r="1236">
      <c r="A1236" s="150"/>
      <c r="B1236" s="156"/>
      <c r="C1236" s="157"/>
      <c r="D1236" s="150"/>
      <c r="E1236" s="150"/>
      <c r="F1236" s="150"/>
      <c r="G1236" s="150"/>
      <c r="H1236" s="150"/>
      <c r="I1236" s="150"/>
      <c r="J1236" s="150"/>
      <c r="K1236" s="150"/>
      <c r="L1236" s="150"/>
      <c r="M1236" s="150"/>
      <c r="N1236" s="150"/>
      <c r="O1236" s="150"/>
      <c r="P1236" s="150"/>
      <c r="Q1236" s="150"/>
      <c r="R1236" s="150"/>
      <c r="S1236" s="150"/>
      <c r="T1236" s="150"/>
      <c r="U1236" s="150"/>
      <c r="V1236" s="150"/>
      <c r="W1236" s="150"/>
      <c r="X1236" s="150"/>
      <c r="Y1236" s="150"/>
    </row>
    <row r="1237">
      <c r="A1237" s="150"/>
      <c r="B1237" s="156"/>
      <c r="C1237" s="157"/>
      <c r="D1237" s="150"/>
      <c r="E1237" s="150"/>
      <c r="F1237" s="150"/>
      <c r="G1237" s="150"/>
      <c r="H1237" s="150"/>
      <c r="I1237" s="150"/>
      <c r="J1237" s="150"/>
      <c r="K1237" s="150"/>
      <c r="L1237" s="150"/>
      <c r="M1237" s="150"/>
      <c r="N1237" s="150"/>
      <c r="O1237" s="150"/>
      <c r="P1237" s="150"/>
      <c r="Q1237" s="150"/>
      <c r="R1237" s="150"/>
      <c r="S1237" s="150"/>
      <c r="T1237" s="150"/>
      <c r="U1237" s="150"/>
      <c r="V1237" s="150"/>
      <c r="W1237" s="150"/>
      <c r="X1237" s="150"/>
      <c r="Y1237" s="150"/>
    </row>
    <row r="1238">
      <c r="A1238" s="150"/>
      <c r="B1238" s="156"/>
      <c r="C1238" s="157"/>
      <c r="D1238" s="150"/>
      <c r="E1238" s="150"/>
      <c r="F1238" s="150"/>
      <c r="G1238" s="150"/>
      <c r="H1238" s="150"/>
      <c r="I1238" s="150"/>
      <c r="J1238" s="150"/>
      <c r="K1238" s="150"/>
      <c r="L1238" s="150"/>
      <c r="M1238" s="150"/>
      <c r="N1238" s="150"/>
      <c r="O1238" s="150"/>
      <c r="P1238" s="150"/>
      <c r="Q1238" s="150"/>
      <c r="R1238" s="150"/>
      <c r="S1238" s="150"/>
      <c r="T1238" s="150"/>
      <c r="U1238" s="150"/>
      <c r="V1238" s="150"/>
      <c r="W1238" s="150"/>
      <c r="X1238" s="150"/>
      <c r="Y1238" s="150"/>
    </row>
    <row r="1239">
      <c r="A1239" s="150"/>
      <c r="B1239" s="156"/>
      <c r="C1239" s="157"/>
      <c r="D1239" s="150"/>
      <c r="E1239" s="150"/>
      <c r="F1239" s="150"/>
      <c r="G1239" s="150"/>
      <c r="H1239" s="150"/>
      <c r="I1239" s="150"/>
      <c r="J1239" s="150"/>
      <c r="K1239" s="150"/>
      <c r="L1239" s="150"/>
      <c r="M1239" s="150"/>
      <c r="N1239" s="150"/>
      <c r="O1239" s="150"/>
      <c r="P1239" s="150"/>
      <c r="Q1239" s="150"/>
      <c r="R1239" s="150"/>
      <c r="S1239" s="150"/>
      <c r="T1239" s="150"/>
      <c r="U1239" s="150"/>
      <c r="V1239" s="150"/>
      <c r="W1239" s="150"/>
      <c r="X1239" s="150"/>
      <c r="Y1239" s="150"/>
    </row>
    <row r="1240">
      <c r="A1240" s="150"/>
      <c r="B1240" s="156"/>
      <c r="C1240" s="157"/>
      <c r="D1240" s="150"/>
      <c r="E1240" s="150"/>
      <c r="F1240" s="150"/>
      <c r="G1240" s="150"/>
      <c r="H1240" s="150"/>
      <c r="I1240" s="150"/>
      <c r="J1240" s="150"/>
      <c r="K1240" s="150"/>
      <c r="L1240" s="150"/>
      <c r="M1240" s="150"/>
      <c r="N1240" s="150"/>
      <c r="O1240" s="150"/>
      <c r="P1240" s="150"/>
      <c r="Q1240" s="150"/>
      <c r="R1240" s="150"/>
      <c r="S1240" s="150"/>
      <c r="T1240" s="150"/>
      <c r="U1240" s="150"/>
      <c r="V1240" s="150"/>
      <c r="W1240" s="150"/>
      <c r="X1240" s="150"/>
      <c r="Y1240" s="150"/>
    </row>
    <row r="1241">
      <c r="A1241" s="150"/>
      <c r="B1241" s="156"/>
      <c r="C1241" s="157"/>
      <c r="D1241" s="150"/>
      <c r="E1241" s="150"/>
      <c r="F1241" s="150"/>
      <c r="G1241" s="150"/>
      <c r="H1241" s="150"/>
      <c r="I1241" s="150"/>
      <c r="J1241" s="150"/>
      <c r="K1241" s="150"/>
      <c r="L1241" s="150"/>
      <c r="M1241" s="150"/>
      <c r="N1241" s="150"/>
      <c r="O1241" s="150"/>
      <c r="P1241" s="150"/>
      <c r="Q1241" s="150"/>
      <c r="R1241" s="150"/>
      <c r="S1241" s="150"/>
      <c r="T1241" s="150"/>
      <c r="U1241" s="150"/>
      <c r="V1241" s="150"/>
      <c r="W1241" s="150"/>
      <c r="X1241" s="150"/>
      <c r="Y1241" s="150"/>
    </row>
    <row r="1242">
      <c r="A1242" s="150"/>
      <c r="B1242" s="156"/>
      <c r="C1242" s="157"/>
      <c r="D1242" s="150"/>
      <c r="E1242" s="150"/>
      <c r="F1242" s="150"/>
      <c r="G1242" s="150"/>
      <c r="H1242" s="150"/>
      <c r="I1242" s="150"/>
      <c r="J1242" s="150"/>
      <c r="K1242" s="150"/>
      <c r="L1242" s="150"/>
      <c r="M1242" s="150"/>
      <c r="N1242" s="150"/>
      <c r="O1242" s="150"/>
      <c r="P1242" s="150"/>
      <c r="Q1242" s="150"/>
      <c r="R1242" s="150"/>
      <c r="S1242" s="150"/>
      <c r="T1242" s="150"/>
      <c r="U1242" s="150"/>
      <c r="V1242" s="150"/>
      <c r="W1242" s="150"/>
      <c r="X1242" s="150"/>
      <c r="Y1242" s="150"/>
    </row>
    <row r="1243">
      <c r="A1243" s="150"/>
      <c r="B1243" s="156"/>
      <c r="C1243" s="157"/>
      <c r="D1243" s="150"/>
      <c r="E1243" s="150"/>
      <c r="F1243" s="150"/>
      <c r="G1243" s="150"/>
      <c r="H1243" s="150"/>
      <c r="I1243" s="150"/>
      <c r="J1243" s="150"/>
      <c r="K1243" s="150"/>
      <c r="L1243" s="150"/>
      <c r="M1243" s="150"/>
      <c r="N1243" s="150"/>
      <c r="O1243" s="150"/>
      <c r="P1243" s="150"/>
      <c r="Q1243" s="150"/>
      <c r="R1243" s="150"/>
      <c r="S1243" s="150"/>
      <c r="T1243" s="150"/>
      <c r="U1243" s="150"/>
      <c r="V1243" s="150"/>
      <c r="W1243" s="150"/>
      <c r="X1243" s="150"/>
      <c r="Y1243" s="150"/>
    </row>
    <row r="1244">
      <c r="A1244" s="150"/>
      <c r="B1244" s="156"/>
      <c r="C1244" s="157"/>
      <c r="D1244" s="150"/>
      <c r="E1244" s="150"/>
      <c r="F1244" s="150"/>
      <c r="G1244" s="150"/>
      <c r="H1244" s="150"/>
      <c r="I1244" s="150"/>
      <c r="J1244" s="150"/>
      <c r="K1244" s="150"/>
      <c r="L1244" s="150"/>
      <c r="M1244" s="150"/>
      <c r="N1244" s="150"/>
      <c r="O1244" s="150"/>
      <c r="P1244" s="150"/>
      <c r="Q1244" s="150"/>
      <c r="R1244" s="150"/>
      <c r="S1244" s="150"/>
      <c r="T1244" s="150"/>
      <c r="U1244" s="150"/>
      <c r="V1244" s="150"/>
      <c r="W1244" s="150"/>
      <c r="X1244" s="150"/>
      <c r="Y1244" s="150"/>
    </row>
    <row r="1245">
      <c r="A1245" s="150"/>
      <c r="B1245" s="156"/>
      <c r="C1245" s="157"/>
      <c r="D1245" s="150"/>
      <c r="E1245" s="150"/>
      <c r="F1245" s="150"/>
      <c r="G1245" s="150"/>
      <c r="H1245" s="150"/>
      <c r="I1245" s="150"/>
      <c r="J1245" s="150"/>
      <c r="K1245" s="150"/>
      <c r="L1245" s="150"/>
      <c r="M1245" s="150"/>
      <c r="N1245" s="150"/>
      <c r="O1245" s="150"/>
      <c r="P1245" s="150"/>
      <c r="Q1245" s="150"/>
      <c r="R1245" s="150"/>
      <c r="S1245" s="150"/>
      <c r="T1245" s="150"/>
      <c r="U1245" s="150"/>
      <c r="V1245" s="150"/>
      <c r="W1245" s="150"/>
      <c r="X1245" s="150"/>
      <c r="Y1245" s="150"/>
    </row>
    <row r="1246">
      <c r="A1246" s="150"/>
      <c r="B1246" s="156"/>
      <c r="C1246" s="157"/>
      <c r="D1246" s="150"/>
      <c r="E1246" s="150"/>
      <c r="F1246" s="150"/>
      <c r="G1246" s="150"/>
      <c r="H1246" s="150"/>
      <c r="I1246" s="150"/>
      <c r="J1246" s="150"/>
      <c r="K1246" s="150"/>
      <c r="L1246" s="150"/>
      <c r="M1246" s="150"/>
      <c r="N1246" s="150"/>
      <c r="O1246" s="150"/>
      <c r="P1246" s="150"/>
      <c r="Q1246" s="150"/>
      <c r="R1246" s="150"/>
      <c r="S1246" s="150"/>
      <c r="T1246" s="150"/>
      <c r="U1246" s="150"/>
      <c r="V1246" s="150"/>
      <c r="W1246" s="150"/>
      <c r="X1246" s="150"/>
      <c r="Y1246" s="150"/>
    </row>
    <row r="1247">
      <c r="A1247" s="150"/>
      <c r="B1247" s="156"/>
      <c r="C1247" s="157"/>
      <c r="D1247" s="150"/>
      <c r="E1247" s="150"/>
      <c r="F1247" s="150"/>
      <c r="G1247" s="150"/>
      <c r="H1247" s="150"/>
      <c r="I1247" s="150"/>
      <c r="J1247" s="150"/>
      <c r="K1247" s="150"/>
      <c r="L1247" s="150"/>
      <c r="M1247" s="150"/>
      <c r="N1247" s="150"/>
      <c r="O1247" s="150"/>
      <c r="P1247" s="150"/>
      <c r="Q1247" s="150"/>
      <c r="R1247" s="150"/>
      <c r="S1247" s="150"/>
      <c r="T1247" s="150"/>
      <c r="U1247" s="150"/>
      <c r="V1247" s="150"/>
      <c r="W1247" s="150"/>
      <c r="X1247" s="150"/>
      <c r="Y1247" s="150"/>
    </row>
    <row r="1248">
      <c r="A1248" s="150"/>
      <c r="B1248" s="156"/>
      <c r="C1248" s="157"/>
      <c r="D1248" s="150"/>
      <c r="E1248" s="150"/>
      <c r="F1248" s="150"/>
      <c r="G1248" s="150"/>
      <c r="H1248" s="150"/>
      <c r="I1248" s="150"/>
      <c r="J1248" s="150"/>
      <c r="K1248" s="150"/>
      <c r="L1248" s="150"/>
      <c r="M1248" s="150"/>
      <c r="N1248" s="150"/>
      <c r="O1248" s="150"/>
      <c r="P1248" s="150"/>
      <c r="Q1248" s="150"/>
      <c r="R1248" s="150"/>
      <c r="S1248" s="150"/>
      <c r="T1248" s="150"/>
      <c r="U1248" s="150"/>
      <c r="V1248" s="150"/>
      <c r="W1248" s="150"/>
      <c r="X1248" s="150"/>
      <c r="Y1248" s="150"/>
    </row>
    <row r="1249">
      <c r="A1249" s="150"/>
      <c r="B1249" s="156"/>
      <c r="C1249" s="157"/>
      <c r="D1249" s="150"/>
      <c r="E1249" s="150"/>
      <c r="F1249" s="150"/>
      <c r="G1249" s="150"/>
      <c r="H1249" s="150"/>
      <c r="I1249" s="150"/>
      <c r="J1249" s="150"/>
      <c r="K1249" s="150"/>
      <c r="L1249" s="150"/>
      <c r="M1249" s="150"/>
      <c r="N1249" s="150"/>
      <c r="O1249" s="150"/>
      <c r="P1249" s="150"/>
      <c r="Q1249" s="150"/>
      <c r="R1249" s="150"/>
      <c r="S1249" s="150"/>
      <c r="T1249" s="150"/>
      <c r="U1249" s="150"/>
      <c r="V1249" s="150"/>
      <c r="W1249" s="150"/>
      <c r="X1249" s="150"/>
      <c r="Y1249" s="150"/>
    </row>
    <row r="1250">
      <c r="A1250" s="150"/>
      <c r="B1250" s="156"/>
      <c r="C1250" s="157"/>
      <c r="D1250" s="150"/>
      <c r="E1250" s="150"/>
      <c r="F1250" s="150"/>
      <c r="G1250" s="150"/>
      <c r="H1250" s="150"/>
      <c r="I1250" s="150"/>
      <c r="J1250" s="150"/>
      <c r="K1250" s="150"/>
      <c r="L1250" s="150"/>
      <c r="M1250" s="150"/>
      <c r="N1250" s="150"/>
      <c r="O1250" s="150"/>
      <c r="P1250" s="150"/>
      <c r="Q1250" s="150"/>
      <c r="R1250" s="150"/>
      <c r="S1250" s="150"/>
      <c r="T1250" s="150"/>
      <c r="U1250" s="150"/>
      <c r="V1250" s="150"/>
      <c r="W1250" s="150"/>
      <c r="X1250" s="150"/>
      <c r="Y1250" s="150"/>
    </row>
    <row r="1251">
      <c r="A1251" s="150"/>
      <c r="B1251" s="156"/>
      <c r="C1251" s="157"/>
      <c r="D1251" s="150"/>
      <c r="E1251" s="150"/>
      <c r="F1251" s="150"/>
      <c r="G1251" s="150"/>
      <c r="H1251" s="150"/>
      <c r="I1251" s="150"/>
      <c r="J1251" s="150"/>
      <c r="K1251" s="150"/>
      <c r="L1251" s="150"/>
      <c r="M1251" s="150"/>
      <c r="N1251" s="150"/>
      <c r="O1251" s="150"/>
      <c r="P1251" s="150"/>
      <c r="Q1251" s="150"/>
      <c r="R1251" s="150"/>
      <c r="S1251" s="150"/>
      <c r="T1251" s="150"/>
      <c r="U1251" s="150"/>
      <c r="V1251" s="150"/>
      <c r="W1251" s="150"/>
      <c r="X1251" s="150"/>
      <c r="Y1251" s="150"/>
    </row>
    <row r="1252">
      <c r="A1252" s="150"/>
      <c r="B1252" s="156"/>
      <c r="C1252" s="157"/>
      <c r="D1252" s="150"/>
      <c r="E1252" s="150"/>
      <c r="F1252" s="150"/>
      <c r="G1252" s="150"/>
      <c r="H1252" s="150"/>
      <c r="I1252" s="150"/>
      <c r="J1252" s="150"/>
      <c r="K1252" s="150"/>
      <c r="L1252" s="150"/>
      <c r="M1252" s="150"/>
      <c r="N1252" s="150"/>
      <c r="O1252" s="150"/>
      <c r="P1252" s="150"/>
      <c r="Q1252" s="150"/>
      <c r="R1252" s="150"/>
      <c r="S1252" s="150"/>
      <c r="T1252" s="150"/>
      <c r="U1252" s="150"/>
      <c r="V1252" s="150"/>
      <c r="W1252" s="150"/>
      <c r="X1252" s="150"/>
      <c r="Y1252" s="150"/>
    </row>
    <row r="1253">
      <c r="A1253" s="150"/>
      <c r="B1253" s="156"/>
      <c r="C1253" s="157"/>
      <c r="D1253" s="150"/>
      <c r="E1253" s="150"/>
      <c r="F1253" s="150"/>
      <c r="G1253" s="150"/>
      <c r="H1253" s="150"/>
      <c r="I1253" s="150"/>
      <c r="J1253" s="150"/>
      <c r="K1253" s="150"/>
      <c r="L1253" s="150"/>
      <c r="M1253" s="150"/>
      <c r="N1253" s="150"/>
      <c r="O1253" s="150"/>
      <c r="P1253" s="150"/>
      <c r="Q1253" s="150"/>
      <c r="R1253" s="150"/>
      <c r="S1253" s="150"/>
      <c r="T1253" s="150"/>
      <c r="U1253" s="150"/>
      <c r="V1253" s="150"/>
      <c r="W1253" s="150"/>
      <c r="X1253" s="150"/>
      <c r="Y1253" s="150"/>
    </row>
    <row r="1254">
      <c r="A1254" s="150"/>
      <c r="B1254" s="156"/>
      <c r="C1254" s="157"/>
      <c r="D1254" s="150"/>
      <c r="E1254" s="150"/>
      <c r="F1254" s="150"/>
      <c r="G1254" s="150"/>
      <c r="H1254" s="150"/>
      <c r="I1254" s="150"/>
      <c r="J1254" s="150"/>
      <c r="K1254" s="150"/>
      <c r="L1254" s="150"/>
      <c r="M1254" s="150"/>
      <c r="N1254" s="150"/>
      <c r="O1254" s="150"/>
      <c r="P1254" s="150"/>
      <c r="Q1254" s="150"/>
      <c r="R1254" s="150"/>
      <c r="S1254" s="150"/>
      <c r="T1254" s="150"/>
      <c r="U1254" s="150"/>
      <c r="V1254" s="150"/>
      <c r="W1254" s="150"/>
      <c r="X1254" s="150"/>
      <c r="Y1254" s="150"/>
    </row>
    <row r="1255">
      <c r="A1255" s="150"/>
      <c r="B1255" s="156"/>
      <c r="C1255" s="157"/>
      <c r="D1255" s="150"/>
      <c r="E1255" s="150"/>
      <c r="F1255" s="150"/>
      <c r="G1255" s="150"/>
      <c r="H1255" s="150"/>
      <c r="I1255" s="150"/>
      <c r="J1255" s="150"/>
      <c r="K1255" s="150"/>
      <c r="L1255" s="150"/>
      <c r="M1255" s="150"/>
      <c r="N1255" s="150"/>
      <c r="O1255" s="150"/>
      <c r="P1255" s="150"/>
      <c r="Q1255" s="150"/>
      <c r="R1255" s="150"/>
      <c r="S1255" s="150"/>
      <c r="T1255" s="150"/>
      <c r="U1255" s="150"/>
      <c r="V1255" s="150"/>
      <c r="W1255" s="150"/>
      <c r="X1255" s="150"/>
      <c r="Y1255" s="150"/>
    </row>
    <row r="1256">
      <c r="A1256" s="150"/>
      <c r="B1256" s="156"/>
      <c r="C1256" s="157"/>
      <c r="D1256" s="150"/>
      <c r="E1256" s="150"/>
      <c r="F1256" s="150"/>
      <c r="G1256" s="150"/>
      <c r="H1256" s="150"/>
      <c r="I1256" s="150"/>
      <c r="J1256" s="150"/>
      <c r="K1256" s="150"/>
      <c r="L1256" s="150"/>
      <c r="M1256" s="150"/>
      <c r="N1256" s="150"/>
      <c r="O1256" s="150"/>
      <c r="P1256" s="150"/>
      <c r="Q1256" s="150"/>
      <c r="R1256" s="150"/>
      <c r="S1256" s="150"/>
      <c r="T1256" s="150"/>
      <c r="U1256" s="150"/>
      <c r="V1256" s="150"/>
      <c r="W1256" s="150"/>
      <c r="X1256" s="150"/>
      <c r="Y1256" s="150"/>
    </row>
    <row r="1257">
      <c r="A1257" s="150"/>
      <c r="B1257" s="156"/>
      <c r="C1257" s="157"/>
      <c r="D1257" s="150"/>
      <c r="E1257" s="150"/>
      <c r="F1257" s="150"/>
      <c r="G1257" s="150"/>
      <c r="H1257" s="150"/>
      <c r="I1257" s="150"/>
      <c r="J1257" s="150"/>
      <c r="K1257" s="150"/>
      <c r="L1257" s="150"/>
      <c r="M1257" s="150"/>
      <c r="N1257" s="150"/>
      <c r="O1257" s="150"/>
      <c r="P1257" s="150"/>
      <c r="Q1257" s="150"/>
      <c r="R1257" s="150"/>
      <c r="S1257" s="150"/>
      <c r="T1257" s="150"/>
      <c r="U1257" s="150"/>
      <c r="V1257" s="150"/>
      <c r="W1257" s="150"/>
      <c r="X1257" s="150"/>
      <c r="Y1257" s="150"/>
    </row>
    <row r="1258">
      <c r="A1258" s="150"/>
      <c r="B1258" s="156"/>
      <c r="C1258" s="157"/>
      <c r="D1258" s="150"/>
      <c r="E1258" s="150"/>
      <c r="F1258" s="150"/>
      <c r="G1258" s="150"/>
      <c r="H1258" s="150"/>
      <c r="I1258" s="150"/>
      <c r="J1258" s="150"/>
      <c r="K1258" s="150"/>
      <c r="L1258" s="150"/>
      <c r="M1258" s="150"/>
      <c r="N1258" s="150"/>
      <c r="O1258" s="150"/>
      <c r="P1258" s="150"/>
      <c r="Q1258" s="150"/>
      <c r="R1258" s="150"/>
      <c r="S1258" s="150"/>
      <c r="T1258" s="150"/>
      <c r="U1258" s="150"/>
      <c r="V1258" s="150"/>
      <c r="W1258" s="150"/>
      <c r="X1258" s="150"/>
      <c r="Y1258" s="150"/>
    </row>
    <row r="1259">
      <c r="A1259" s="150"/>
      <c r="B1259" s="156"/>
      <c r="C1259" s="157"/>
      <c r="D1259" s="150"/>
      <c r="E1259" s="150"/>
      <c r="F1259" s="150"/>
      <c r="G1259" s="150"/>
      <c r="H1259" s="150"/>
      <c r="I1259" s="150"/>
      <c r="J1259" s="150"/>
      <c r="K1259" s="150"/>
      <c r="L1259" s="150"/>
      <c r="M1259" s="150"/>
      <c r="N1259" s="150"/>
      <c r="O1259" s="150"/>
      <c r="P1259" s="150"/>
      <c r="Q1259" s="150"/>
      <c r="R1259" s="150"/>
      <c r="S1259" s="150"/>
      <c r="T1259" s="150"/>
      <c r="U1259" s="150"/>
      <c r="V1259" s="150"/>
      <c r="W1259" s="150"/>
      <c r="X1259" s="150"/>
      <c r="Y1259" s="150"/>
    </row>
    <row r="1260">
      <c r="A1260" s="150"/>
      <c r="B1260" s="156"/>
      <c r="C1260" s="157"/>
      <c r="D1260" s="150"/>
      <c r="E1260" s="150"/>
      <c r="F1260" s="150"/>
      <c r="G1260" s="150"/>
      <c r="H1260" s="150"/>
      <c r="I1260" s="150"/>
      <c r="J1260" s="150"/>
      <c r="K1260" s="150"/>
      <c r="L1260" s="150"/>
      <c r="M1260" s="150"/>
      <c r="N1260" s="150"/>
      <c r="O1260" s="150"/>
      <c r="P1260" s="150"/>
      <c r="Q1260" s="150"/>
      <c r="R1260" s="150"/>
      <c r="S1260" s="150"/>
      <c r="T1260" s="150"/>
      <c r="U1260" s="150"/>
      <c r="V1260" s="150"/>
      <c r="W1260" s="150"/>
      <c r="X1260" s="150"/>
      <c r="Y1260" s="150"/>
    </row>
    <row r="1261">
      <c r="A1261" s="150"/>
      <c r="B1261" s="156"/>
      <c r="C1261" s="157"/>
      <c r="D1261" s="150"/>
      <c r="E1261" s="150"/>
      <c r="F1261" s="150"/>
      <c r="G1261" s="150"/>
      <c r="H1261" s="150"/>
      <c r="I1261" s="150"/>
      <c r="J1261" s="150"/>
      <c r="K1261" s="150"/>
      <c r="L1261" s="150"/>
      <c r="M1261" s="150"/>
      <c r="N1261" s="150"/>
      <c r="O1261" s="150"/>
      <c r="P1261" s="150"/>
      <c r="Q1261" s="150"/>
      <c r="R1261" s="150"/>
      <c r="S1261" s="150"/>
      <c r="T1261" s="150"/>
      <c r="U1261" s="150"/>
      <c r="V1261" s="150"/>
      <c r="W1261" s="150"/>
      <c r="X1261" s="150"/>
      <c r="Y1261" s="150"/>
    </row>
    <row r="1262">
      <c r="A1262" s="150"/>
      <c r="B1262" s="156"/>
      <c r="C1262" s="157"/>
      <c r="D1262" s="150"/>
      <c r="E1262" s="150"/>
      <c r="F1262" s="150"/>
      <c r="G1262" s="150"/>
      <c r="H1262" s="150"/>
      <c r="I1262" s="150"/>
      <c r="J1262" s="150"/>
      <c r="K1262" s="150"/>
      <c r="L1262" s="150"/>
      <c r="M1262" s="150"/>
      <c r="N1262" s="150"/>
      <c r="O1262" s="150"/>
      <c r="P1262" s="150"/>
      <c r="Q1262" s="150"/>
      <c r="R1262" s="150"/>
      <c r="S1262" s="150"/>
      <c r="T1262" s="150"/>
      <c r="U1262" s="150"/>
      <c r="V1262" s="150"/>
      <c r="W1262" s="150"/>
      <c r="X1262" s="150"/>
      <c r="Y1262" s="150"/>
    </row>
    <row r="1263">
      <c r="A1263" s="150"/>
      <c r="B1263" s="156"/>
      <c r="C1263" s="157"/>
      <c r="D1263" s="150"/>
      <c r="E1263" s="150"/>
      <c r="F1263" s="150"/>
      <c r="G1263" s="150"/>
      <c r="H1263" s="150"/>
      <c r="I1263" s="150"/>
      <c r="J1263" s="150"/>
      <c r="K1263" s="150"/>
      <c r="L1263" s="150"/>
      <c r="M1263" s="150"/>
      <c r="N1263" s="150"/>
      <c r="O1263" s="150"/>
      <c r="P1263" s="150"/>
      <c r="Q1263" s="150"/>
      <c r="R1263" s="150"/>
      <c r="S1263" s="150"/>
      <c r="T1263" s="150"/>
      <c r="U1263" s="150"/>
      <c r="V1263" s="150"/>
      <c r="W1263" s="150"/>
      <c r="X1263" s="150"/>
      <c r="Y1263" s="150"/>
    </row>
    <row r="1264">
      <c r="A1264" s="150"/>
      <c r="B1264" s="156"/>
      <c r="C1264" s="157"/>
      <c r="D1264" s="150"/>
      <c r="E1264" s="150"/>
      <c r="F1264" s="150"/>
      <c r="G1264" s="150"/>
      <c r="H1264" s="150"/>
      <c r="I1264" s="150"/>
      <c r="J1264" s="150"/>
      <c r="K1264" s="150"/>
      <c r="L1264" s="150"/>
      <c r="M1264" s="150"/>
      <c r="N1264" s="150"/>
      <c r="O1264" s="150"/>
      <c r="P1264" s="150"/>
      <c r="Q1264" s="150"/>
      <c r="R1264" s="150"/>
      <c r="S1264" s="150"/>
      <c r="T1264" s="150"/>
      <c r="U1264" s="150"/>
      <c r="V1264" s="150"/>
      <c r="W1264" s="150"/>
      <c r="X1264" s="150"/>
      <c r="Y1264" s="150"/>
    </row>
    <row r="1265">
      <c r="A1265" s="150"/>
      <c r="B1265" s="156"/>
      <c r="C1265" s="157"/>
      <c r="D1265" s="150"/>
      <c r="E1265" s="150"/>
      <c r="F1265" s="150"/>
      <c r="G1265" s="150"/>
      <c r="H1265" s="150"/>
      <c r="I1265" s="150"/>
      <c r="J1265" s="150"/>
      <c r="K1265" s="150"/>
      <c r="L1265" s="150"/>
      <c r="M1265" s="150"/>
      <c r="N1265" s="150"/>
      <c r="O1265" s="150"/>
      <c r="P1265" s="150"/>
      <c r="Q1265" s="150"/>
      <c r="R1265" s="150"/>
      <c r="S1265" s="150"/>
      <c r="T1265" s="150"/>
      <c r="U1265" s="150"/>
      <c r="V1265" s="150"/>
      <c r="W1265" s="150"/>
      <c r="X1265" s="150"/>
      <c r="Y1265" s="150"/>
    </row>
    <row r="1266">
      <c r="A1266" s="150"/>
      <c r="B1266" s="156"/>
      <c r="C1266" s="157"/>
      <c r="D1266" s="150"/>
      <c r="E1266" s="150"/>
      <c r="F1266" s="150"/>
      <c r="G1266" s="150"/>
      <c r="H1266" s="150"/>
      <c r="I1266" s="150"/>
      <c r="J1266" s="150"/>
      <c r="K1266" s="150"/>
      <c r="L1266" s="150"/>
      <c r="M1266" s="150"/>
      <c r="N1266" s="150"/>
      <c r="O1266" s="150"/>
      <c r="P1266" s="150"/>
      <c r="Q1266" s="150"/>
      <c r="R1266" s="150"/>
      <c r="S1266" s="150"/>
      <c r="T1266" s="150"/>
      <c r="U1266" s="150"/>
      <c r="V1266" s="150"/>
      <c r="W1266" s="150"/>
      <c r="X1266" s="150"/>
      <c r="Y1266" s="150"/>
    </row>
    <row r="1267">
      <c r="A1267" s="150"/>
      <c r="B1267" s="156"/>
      <c r="C1267" s="157"/>
      <c r="D1267" s="150"/>
      <c r="E1267" s="150"/>
      <c r="F1267" s="150"/>
      <c r="G1267" s="150"/>
      <c r="H1267" s="150"/>
      <c r="I1267" s="150"/>
      <c r="J1267" s="150"/>
      <c r="K1267" s="150"/>
      <c r="L1267" s="150"/>
      <c r="M1267" s="150"/>
      <c r="N1267" s="150"/>
      <c r="O1267" s="150"/>
      <c r="P1267" s="150"/>
      <c r="Q1267" s="150"/>
      <c r="R1267" s="150"/>
      <c r="S1267" s="150"/>
      <c r="T1267" s="150"/>
      <c r="U1267" s="150"/>
      <c r="V1267" s="150"/>
      <c r="W1267" s="150"/>
      <c r="X1267" s="150"/>
      <c r="Y1267" s="150"/>
    </row>
    <row r="1268">
      <c r="A1268" s="150"/>
      <c r="B1268" s="156"/>
      <c r="C1268" s="157"/>
      <c r="D1268" s="150"/>
      <c r="E1268" s="150"/>
      <c r="F1268" s="150"/>
      <c r="G1268" s="150"/>
      <c r="H1268" s="150"/>
      <c r="I1268" s="150"/>
      <c r="J1268" s="150"/>
      <c r="K1268" s="150"/>
      <c r="L1268" s="150"/>
      <c r="M1268" s="150"/>
      <c r="N1268" s="150"/>
      <c r="O1268" s="150"/>
      <c r="P1268" s="150"/>
      <c r="Q1268" s="150"/>
      <c r="R1268" s="150"/>
      <c r="S1268" s="150"/>
      <c r="T1268" s="150"/>
      <c r="U1268" s="150"/>
      <c r="V1268" s="150"/>
      <c r="W1268" s="150"/>
      <c r="X1268" s="150"/>
      <c r="Y1268" s="150"/>
    </row>
    <row r="1269">
      <c r="A1269" s="150"/>
      <c r="B1269" s="156"/>
      <c r="C1269" s="157"/>
      <c r="D1269" s="150"/>
      <c r="E1269" s="150"/>
      <c r="F1269" s="150"/>
      <c r="G1269" s="150"/>
      <c r="H1269" s="150"/>
      <c r="I1269" s="150"/>
      <c r="J1269" s="150"/>
      <c r="K1269" s="150"/>
      <c r="L1269" s="150"/>
      <c r="M1269" s="150"/>
      <c r="N1269" s="150"/>
      <c r="O1269" s="150"/>
      <c r="P1269" s="150"/>
      <c r="Q1269" s="150"/>
      <c r="R1269" s="150"/>
      <c r="S1269" s="150"/>
      <c r="T1269" s="150"/>
      <c r="U1269" s="150"/>
      <c r="V1269" s="150"/>
      <c r="W1269" s="150"/>
      <c r="X1269" s="150"/>
      <c r="Y1269" s="150"/>
    </row>
    <row r="1270">
      <c r="A1270" s="150"/>
      <c r="B1270" s="156"/>
      <c r="C1270" s="157"/>
      <c r="D1270" s="150"/>
      <c r="E1270" s="150"/>
      <c r="F1270" s="150"/>
      <c r="G1270" s="150"/>
      <c r="H1270" s="150"/>
      <c r="I1270" s="150"/>
      <c r="J1270" s="150"/>
      <c r="K1270" s="150"/>
      <c r="L1270" s="150"/>
      <c r="M1270" s="150"/>
      <c r="N1270" s="150"/>
      <c r="O1270" s="150"/>
      <c r="P1270" s="150"/>
      <c r="Q1270" s="150"/>
      <c r="R1270" s="150"/>
      <c r="S1270" s="150"/>
      <c r="T1270" s="150"/>
      <c r="U1270" s="150"/>
      <c r="V1270" s="150"/>
      <c r="W1270" s="150"/>
      <c r="X1270" s="150"/>
      <c r="Y1270" s="150"/>
    </row>
    <row r="1271">
      <c r="A1271" s="150"/>
      <c r="B1271" s="156"/>
      <c r="C1271" s="157"/>
      <c r="D1271" s="150"/>
      <c r="E1271" s="150"/>
      <c r="F1271" s="150"/>
      <c r="G1271" s="150"/>
      <c r="H1271" s="150"/>
      <c r="I1271" s="150"/>
      <c r="J1271" s="150"/>
      <c r="K1271" s="150"/>
      <c r="L1271" s="150"/>
      <c r="M1271" s="150"/>
      <c r="N1271" s="150"/>
      <c r="O1271" s="150"/>
      <c r="P1271" s="150"/>
      <c r="Q1271" s="150"/>
      <c r="R1271" s="150"/>
      <c r="S1271" s="150"/>
      <c r="T1271" s="150"/>
      <c r="U1271" s="150"/>
      <c r="V1271" s="150"/>
      <c r="W1271" s="150"/>
      <c r="X1271" s="150"/>
      <c r="Y1271" s="150"/>
    </row>
    <row r="1272">
      <c r="A1272" s="150"/>
      <c r="B1272" s="156"/>
      <c r="C1272" s="157"/>
      <c r="D1272" s="150"/>
      <c r="E1272" s="150"/>
      <c r="F1272" s="150"/>
      <c r="G1272" s="150"/>
      <c r="H1272" s="150"/>
      <c r="I1272" s="150"/>
      <c r="J1272" s="150"/>
      <c r="K1272" s="150"/>
      <c r="L1272" s="150"/>
      <c r="M1272" s="150"/>
      <c r="N1272" s="150"/>
      <c r="O1272" s="150"/>
      <c r="P1272" s="150"/>
      <c r="Q1272" s="150"/>
      <c r="R1272" s="150"/>
      <c r="S1272" s="150"/>
      <c r="T1272" s="150"/>
      <c r="U1272" s="150"/>
      <c r="V1272" s="150"/>
      <c r="W1272" s="150"/>
      <c r="X1272" s="150"/>
      <c r="Y1272" s="150"/>
    </row>
    <row r="1273">
      <c r="A1273" s="150"/>
      <c r="B1273" s="156"/>
      <c r="C1273" s="157"/>
      <c r="D1273" s="150"/>
      <c r="E1273" s="150"/>
      <c r="F1273" s="150"/>
      <c r="G1273" s="150"/>
      <c r="H1273" s="150"/>
      <c r="I1273" s="150"/>
      <c r="J1273" s="150"/>
      <c r="K1273" s="150"/>
      <c r="L1273" s="150"/>
      <c r="M1273" s="150"/>
      <c r="N1273" s="150"/>
      <c r="O1273" s="150"/>
      <c r="P1273" s="150"/>
      <c r="Q1273" s="150"/>
      <c r="R1273" s="150"/>
      <c r="S1273" s="150"/>
      <c r="T1273" s="150"/>
      <c r="U1273" s="150"/>
      <c r="V1273" s="150"/>
      <c r="W1273" s="150"/>
      <c r="X1273" s="150"/>
      <c r="Y1273" s="150"/>
    </row>
    <row r="1274">
      <c r="A1274" s="150"/>
      <c r="B1274" s="156"/>
      <c r="C1274" s="157"/>
      <c r="D1274" s="150"/>
      <c r="E1274" s="150"/>
      <c r="F1274" s="150"/>
      <c r="G1274" s="150"/>
      <c r="H1274" s="150"/>
      <c r="I1274" s="150"/>
      <c r="J1274" s="150"/>
      <c r="K1274" s="150"/>
      <c r="L1274" s="150"/>
      <c r="M1274" s="150"/>
      <c r="N1274" s="150"/>
      <c r="O1274" s="150"/>
      <c r="P1274" s="150"/>
      <c r="Q1274" s="150"/>
      <c r="R1274" s="150"/>
      <c r="S1274" s="150"/>
      <c r="T1274" s="150"/>
      <c r="U1274" s="150"/>
      <c r="V1274" s="150"/>
      <c r="W1274" s="150"/>
      <c r="X1274" s="150"/>
      <c r="Y1274" s="150"/>
    </row>
    <row r="1275">
      <c r="A1275" s="150"/>
      <c r="B1275" s="156"/>
      <c r="C1275" s="157"/>
      <c r="D1275" s="150"/>
      <c r="E1275" s="150"/>
      <c r="F1275" s="150"/>
      <c r="G1275" s="150"/>
      <c r="H1275" s="150"/>
      <c r="I1275" s="150"/>
      <c r="J1275" s="150"/>
      <c r="K1275" s="150"/>
      <c r="L1275" s="150"/>
      <c r="M1275" s="150"/>
      <c r="N1275" s="150"/>
      <c r="O1275" s="150"/>
      <c r="P1275" s="150"/>
      <c r="Q1275" s="150"/>
      <c r="R1275" s="150"/>
      <c r="S1275" s="150"/>
      <c r="T1275" s="150"/>
      <c r="U1275" s="150"/>
      <c r="V1275" s="150"/>
      <c r="W1275" s="150"/>
      <c r="X1275" s="150"/>
      <c r="Y1275" s="150"/>
    </row>
    <row r="1276">
      <c r="A1276" s="150"/>
      <c r="B1276" s="156"/>
      <c r="C1276" s="157"/>
      <c r="D1276" s="150"/>
      <c r="E1276" s="150"/>
      <c r="F1276" s="150"/>
      <c r="G1276" s="150"/>
      <c r="H1276" s="150"/>
      <c r="I1276" s="150"/>
      <c r="J1276" s="150"/>
      <c r="K1276" s="150"/>
      <c r="L1276" s="150"/>
      <c r="M1276" s="150"/>
      <c r="N1276" s="150"/>
      <c r="O1276" s="150"/>
      <c r="P1276" s="150"/>
      <c r="Q1276" s="150"/>
      <c r="R1276" s="150"/>
      <c r="S1276" s="150"/>
      <c r="T1276" s="150"/>
      <c r="U1276" s="150"/>
      <c r="V1276" s="150"/>
      <c r="W1276" s="150"/>
      <c r="X1276" s="150"/>
      <c r="Y1276" s="150"/>
    </row>
    <row r="1277">
      <c r="A1277" s="150"/>
      <c r="B1277" s="156"/>
      <c r="C1277" s="157"/>
      <c r="D1277" s="150"/>
      <c r="E1277" s="150"/>
      <c r="F1277" s="150"/>
      <c r="G1277" s="150"/>
      <c r="H1277" s="150"/>
      <c r="I1277" s="150"/>
      <c r="J1277" s="150"/>
      <c r="K1277" s="150"/>
      <c r="L1277" s="150"/>
      <c r="M1277" s="150"/>
      <c r="N1277" s="150"/>
      <c r="O1277" s="150"/>
      <c r="P1277" s="150"/>
      <c r="Q1277" s="150"/>
      <c r="R1277" s="150"/>
      <c r="S1277" s="150"/>
      <c r="T1277" s="150"/>
      <c r="U1277" s="150"/>
      <c r="V1277" s="150"/>
      <c r="W1277" s="150"/>
      <c r="X1277" s="150"/>
      <c r="Y1277" s="150"/>
    </row>
    <row r="1278">
      <c r="A1278" s="150"/>
      <c r="B1278" s="156"/>
      <c r="C1278" s="157"/>
      <c r="D1278" s="150"/>
      <c r="E1278" s="150"/>
      <c r="F1278" s="150"/>
      <c r="G1278" s="150"/>
      <c r="H1278" s="150"/>
      <c r="I1278" s="150"/>
      <c r="J1278" s="150"/>
      <c r="K1278" s="150"/>
      <c r="L1278" s="150"/>
      <c r="M1278" s="150"/>
      <c r="N1278" s="150"/>
      <c r="O1278" s="150"/>
      <c r="P1278" s="150"/>
      <c r="Q1278" s="150"/>
      <c r="R1278" s="150"/>
      <c r="S1278" s="150"/>
      <c r="T1278" s="150"/>
      <c r="U1278" s="150"/>
      <c r="V1278" s="150"/>
      <c r="W1278" s="150"/>
      <c r="X1278" s="150"/>
      <c r="Y1278" s="150"/>
    </row>
    <row r="1279">
      <c r="A1279" s="150"/>
      <c r="B1279" s="156"/>
      <c r="C1279" s="157"/>
      <c r="D1279" s="150"/>
      <c r="E1279" s="150"/>
      <c r="F1279" s="150"/>
      <c r="G1279" s="150"/>
      <c r="H1279" s="150"/>
      <c r="I1279" s="150"/>
      <c r="J1279" s="150"/>
      <c r="K1279" s="150"/>
      <c r="L1279" s="150"/>
      <c r="M1279" s="150"/>
      <c r="N1279" s="150"/>
      <c r="O1279" s="150"/>
      <c r="P1279" s="150"/>
      <c r="Q1279" s="150"/>
      <c r="R1279" s="150"/>
      <c r="S1279" s="150"/>
      <c r="T1279" s="150"/>
      <c r="U1279" s="150"/>
      <c r="V1279" s="150"/>
      <c r="W1279" s="150"/>
      <c r="X1279" s="150"/>
      <c r="Y1279" s="150"/>
    </row>
    <row r="1280">
      <c r="A1280" s="150"/>
      <c r="B1280" s="156"/>
      <c r="C1280" s="157"/>
      <c r="D1280" s="150"/>
      <c r="E1280" s="150"/>
      <c r="F1280" s="150"/>
      <c r="G1280" s="150"/>
      <c r="H1280" s="150"/>
      <c r="I1280" s="150"/>
      <c r="J1280" s="150"/>
      <c r="K1280" s="150"/>
      <c r="L1280" s="150"/>
      <c r="M1280" s="150"/>
      <c r="N1280" s="150"/>
      <c r="O1280" s="150"/>
      <c r="P1280" s="150"/>
      <c r="Q1280" s="150"/>
      <c r="R1280" s="150"/>
      <c r="S1280" s="150"/>
      <c r="T1280" s="150"/>
      <c r="U1280" s="150"/>
      <c r="V1280" s="150"/>
      <c r="W1280" s="150"/>
      <c r="X1280" s="150"/>
      <c r="Y1280" s="150"/>
    </row>
    <row r="1281">
      <c r="A1281" s="150"/>
      <c r="B1281" s="156"/>
      <c r="C1281" s="157"/>
      <c r="D1281" s="150"/>
      <c r="E1281" s="150"/>
      <c r="F1281" s="150"/>
      <c r="G1281" s="150"/>
      <c r="H1281" s="150"/>
      <c r="I1281" s="150"/>
      <c r="J1281" s="150"/>
      <c r="K1281" s="150"/>
      <c r="L1281" s="150"/>
      <c r="M1281" s="150"/>
      <c r="N1281" s="150"/>
      <c r="O1281" s="150"/>
      <c r="P1281" s="150"/>
      <c r="Q1281" s="150"/>
      <c r="R1281" s="150"/>
      <c r="S1281" s="150"/>
      <c r="T1281" s="150"/>
      <c r="U1281" s="150"/>
      <c r="V1281" s="150"/>
      <c r="W1281" s="150"/>
      <c r="X1281" s="150"/>
      <c r="Y1281" s="150"/>
    </row>
    <row r="1282">
      <c r="A1282" s="150"/>
      <c r="B1282" s="156"/>
      <c r="C1282" s="157"/>
      <c r="D1282" s="150"/>
      <c r="E1282" s="150"/>
      <c r="F1282" s="150"/>
      <c r="G1282" s="150"/>
      <c r="H1282" s="150"/>
      <c r="I1282" s="150"/>
      <c r="J1282" s="150"/>
      <c r="K1282" s="150"/>
      <c r="L1282" s="150"/>
      <c r="M1282" s="150"/>
      <c r="N1282" s="150"/>
      <c r="O1282" s="150"/>
      <c r="P1282" s="150"/>
      <c r="Q1282" s="150"/>
      <c r="R1282" s="150"/>
      <c r="S1282" s="150"/>
      <c r="T1282" s="150"/>
      <c r="U1282" s="150"/>
      <c r="V1282" s="150"/>
      <c r="W1282" s="150"/>
      <c r="X1282" s="150"/>
      <c r="Y1282" s="150"/>
    </row>
    <row r="1283">
      <c r="A1283" s="150"/>
      <c r="B1283" s="156"/>
      <c r="C1283" s="157"/>
      <c r="D1283" s="150"/>
      <c r="E1283" s="150"/>
      <c r="F1283" s="150"/>
      <c r="G1283" s="150"/>
      <c r="H1283" s="150"/>
      <c r="I1283" s="150"/>
      <c r="J1283" s="150"/>
      <c r="K1283" s="150"/>
      <c r="L1283" s="150"/>
      <c r="M1283" s="150"/>
      <c r="N1283" s="150"/>
      <c r="O1283" s="150"/>
      <c r="P1283" s="150"/>
      <c r="Q1283" s="150"/>
      <c r="R1283" s="150"/>
      <c r="S1283" s="150"/>
      <c r="T1283" s="150"/>
      <c r="U1283" s="150"/>
      <c r="V1283" s="150"/>
      <c r="W1283" s="150"/>
      <c r="X1283" s="150"/>
      <c r="Y1283" s="150"/>
    </row>
    <row r="1284">
      <c r="A1284" s="150"/>
      <c r="B1284" s="156"/>
      <c r="C1284" s="157"/>
      <c r="D1284" s="150"/>
      <c r="E1284" s="150"/>
      <c r="F1284" s="150"/>
      <c r="G1284" s="150"/>
      <c r="H1284" s="150"/>
      <c r="I1284" s="150"/>
      <c r="J1284" s="150"/>
      <c r="K1284" s="150"/>
      <c r="L1284" s="150"/>
      <c r="M1284" s="150"/>
      <c r="N1284" s="150"/>
      <c r="O1284" s="150"/>
      <c r="P1284" s="150"/>
      <c r="Q1284" s="150"/>
      <c r="R1284" s="150"/>
      <c r="S1284" s="150"/>
      <c r="T1284" s="150"/>
      <c r="U1284" s="150"/>
      <c r="V1284" s="150"/>
      <c r="W1284" s="150"/>
      <c r="X1284" s="150"/>
      <c r="Y1284" s="150"/>
    </row>
    <row r="1285">
      <c r="A1285" s="150"/>
      <c r="B1285" s="156"/>
      <c r="C1285" s="157"/>
      <c r="D1285" s="150"/>
      <c r="E1285" s="150"/>
      <c r="F1285" s="150"/>
      <c r="G1285" s="150"/>
      <c r="H1285" s="150"/>
      <c r="I1285" s="150"/>
      <c r="J1285" s="150"/>
      <c r="K1285" s="150"/>
      <c r="L1285" s="150"/>
      <c r="M1285" s="150"/>
      <c r="N1285" s="150"/>
      <c r="O1285" s="150"/>
      <c r="P1285" s="150"/>
      <c r="Q1285" s="150"/>
      <c r="R1285" s="150"/>
      <c r="S1285" s="150"/>
      <c r="T1285" s="150"/>
      <c r="U1285" s="150"/>
      <c r="V1285" s="150"/>
      <c r="W1285" s="150"/>
      <c r="X1285" s="150"/>
      <c r="Y1285" s="150"/>
    </row>
    <row r="1286">
      <c r="A1286" s="150"/>
      <c r="B1286" s="156"/>
      <c r="C1286" s="157"/>
      <c r="D1286" s="150"/>
      <c r="E1286" s="150"/>
      <c r="F1286" s="150"/>
      <c r="G1286" s="150"/>
      <c r="H1286" s="150"/>
      <c r="I1286" s="150"/>
      <c r="J1286" s="150"/>
      <c r="K1286" s="150"/>
      <c r="L1286" s="150"/>
      <c r="M1286" s="150"/>
      <c r="N1286" s="150"/>
      <c r="O1286" s="150"/>
      <c r="P1286" s="150"/>
      <c r="Q1286" s="150"/>
      <c r="R1286" s="150"/>
      <c r="S1286" s="150"/>
      <c r="T1286" s="150"/>
      <c r="U1286" s="150"/>
      <c r="V1286" s="150"/>
      <c r="W1286" s="150"/>
      <c r="X1286" s="150"/>
      <c r="Y1286" s="150"/>
    </row>
    <row r="1287">
      <c r="A1287" s="150"/>
      <c r="B1287" s="156"/>
      <c r="C1287" s="157"/>
      <c r="D1287" s="150"/>
      <c r="E1287" s="150"/>
      <c r="F1287" s="150"/>
      <c r="G1287" s="150"/>
      <c r="H1287" s="150"/>
      <c r="I1287" s="150"/>
      <c r="J1287" s="150"/>
      <c r="K1287" s="150"/>
      <c r="L1287" s="150"/>
      <c r="M1287" s="150"/>
      <c r="N1287" s="150"/>
      <c r="O1287" s="150"/>
      <c r="P1287" s="150"/>
      <c r="Q1287" s="150"/>
      <c r="R1287" s="150"/>
      <c r="S1287" s="150"/>
      <c r="T1287" s="150"/>
      <c r="U1287" s="150"/>
      <c r="V1287" s="150"/>
      <c r="W1287" s="150"/>
      <c r="X1287" s="150"/>
      <c r="Y1287" s="150"/>
    </row>
    <row r="1288">
      <c r="A1288" s="150"/>
      <c r="B1288" s="156"/>
      <c r="C1288" s="157"/>
      <c r="D1288" s="150"/>
      <c r="E1288" s="150"/>
      <c r="F1288" s="150"/>
      <c r="G1288" s="150"/>
      <c r="H1288" s="150"/>
      <c r="I1288" s="150"/>
      <c r="J1288" s="150"/>
      <c r="K1288" s="150"/>
      <c r="L1288" s="150"/>
      <c r="M1288" s="150"/>
      <c r="N1288" s="150"/>
      <c r="O1288" s="150"/>
      <c r="P1288" s="150"/>
      <c r="Q1288" s="150"/>
      <c r="R1288" s="150"/>
      <c r="S1288" s="150"/>
      <c r="T1288" s="150"/>
      <c r="U1288" s="150"/>
      <c r="V1288" s="150"/>
      <c r="W1288" s="150"/>
      <c r="X1288" s="150"/>
      <c r="Y1288" s="150"/>
    </row>
    <row r="1289">
      <c r="A1289" s="150"/>
      <c r="B1289" s="156"/>
      <c r="C1289" s="157"/>
      <c r="D1289" s="150"/>
      <c r="E1289" s="150"/>
      <c r="F1289" s="150"/>
      <c r="G1289" s="150"/>
      <c r="H1289" s="150"/>
      <c r="I1289" s="150"/>
      <c r="J1289" s="150"/>
      <c r="K1289" s="150"/>
      <c r="L1289" s="150"/>
      <c r="M1289" s="150"/>
      <c r="N1289" s="150"/>
      <c r="O1289" s="150"/>
      <c r="P1289" s="150"/>
      <c r="Q1289" s="150"/>
      <c r="R1289" s="150"/>
      <c r="S1289" s="150"/>
      <c r="T1289" s="150"/>
      <c r="U1289" s="150"/>
      <c r="V1289" s="150"/>
      <c r="W1289" s="150"/>
      <c r="X1289" s="150"/>
      <c r="Y1289" s="150"/>
    </row>
    <row r="1290">
      <c r="A1290" s="150"/>
      <c r="B1290" s="156"/>
      <c r="C1290" s="157"/>
      <c r="D1290" s="150"/>
      <c r="E1290" s="150"/>
      <c r="F1290" s="150"/>
      <c r="G1290" s="150"/>
      <c r="H1290" s="150"/>
      <c r="I1290" s="150"/>
      <c r="J1290" s="150"/>
      <c r="K1290" s="150"/>
      <c r="L1290" s="150"/>
      <c r="M1290" s="150"/>
      <c r="N1290" s="150"/>
      <c r="O1290" s="150"/>
      <c r="P1290" s="150"/>
      <c r="Q1290" s="150"/>
      <c r="R1290" s="150"/>
      <c r="S1290" s="150"/>
      <c r="T1290" s="150"/>
      <c r="U1290" s="150"/>
      <c r="V1290" s="150"/>
      <c r="W1290" s="150"/>
      <c r="X1290" s="150"/>
      <c r="Y1290" s="150"/>
    </row>
    <row r="1291">
      <c r="A1291" s="150"/>
      <c r="B1291" s="156"/>
      <c r="C1291" s="157"/>
      <c r="D1291" s="150"/>
      <c r="E1291" s="150"/>
      <c r="F1291" s="150"/>
      <c r="G1291" s="150"/>
      <c r="H1291" s="150"/>
      <c r="I1291" s="150"/>
      <c r="J1291" s="150"/>
      <c r="K1291" s="150"/>
      <c r="L1291" s="150"/>
      <c r="M1291" s="150"/>
      <c r="N1291" s="150"/>
      <c r="O1291" s="150"/>
      <c r="P1291" s="150"/>
      <c r="Q1291" s="150"/>
      <c r="R1291" s="150"/>
      <c r="S1291" s="150"/>
      <c r="T1291" s="150"/>
      <c r="U1291" s="150"/>
      <c r="V1291" s="150"/>
      <c r="W1291" s="150"/>
      <c r="X1291" s="150"/>
      <c r="Y1291" s="150"/>
    </row>
    <row r="1292">
      <c r="A1292" s="150"/>
      <c r="B1292" s="156"/>
      <c r="C1292" s="157"/>
      <c r="D1292" s="150"/>
      <c r="E1292" s="150"/>
      <c r="F1292" s="150"/>
      <c r="G1292" s="150"/>
      <c r="H1292" s="150"/>
      <c r="I1292" s="150"/>
      <c r="J1292" s="150"/>
      <c r="K1292" s="150"/>
      <c r="L1292" s="150"/>
      <c r="M1292" s="150"/>
      <c r="N1292" s="150"/>
      <c r="O1292" s="150"/>
      <c r="P1292" s="150"/>
      <c r="Q1292" s="150"/>
      <c r="R1292" s="150"/>
      <c r="S1292" s="150"/>
      <c r="T1292" s="150"/>
      <c r="U1292" s="150"/>
      <c r="V1292" s="150"/>
      <c r="W1292" s="150"/>
      <c r="X1292" s="150"/>
      <c r="Y1292" s="150"/>
    </row>
    <row r="1293">
      <c r="A1293" s="150"/>
      <c r="B1293" s="156"/>
      <c r="C1293" s="157"/>
      <c r="D1293" s="150"/>
      <c r="E1293" s="150"/>
      <c r="F1293" s="150"/>
      <c r="G1293" s="150"/>
      <c r="H1293" s="150"/>
      <c r="I1293" s="150"/>
      <c r="J1293" s="150"/>
      <c r="K1293" s="150"/>
      <c r="L1293" s="150"/>
      <c r="M1293" s="150"/>
      <c r="N1293" s="150"/>
      <c r="O1293" s="150"/>
      <c r="P1293" s="150"/>
      <c r="Q1293" s="150"/>
      <c r="R1293" s="150"/>
      <c r="S1293" s="150"/>
      <c r="T1293" s="150"/>
      <c r="U1293" s="150"/>
      <c r="V1293" s="150"/>
      <c r="W1293" s="150"/>
      <c r="X1293" s="150"/>
      <c r="Y1293" s="150"/>
    </row>
    <row r="1294">
      <c r="A1294" s="150"/>
      <c r="B1294" s="156"/>
      <c r="C1294" s="157"/>
      <c r="D1294" s="150"/>
      <c r="E1294" s="150"/>
      <c r="F1294" s="150"/>
      <c r="G1294" s="150"/>
      <c r="H1294" s="150"/>
      <c r="I1294" s="150"/>
      <c r="J1294" s="150"/>
      <c r="K1294" s="150"/>
      <c r="L1294" s="150"/>
      <c r="M1294" s="150"/>
      <c r="N1294" s="150"/>
      <c r="O1294" s="150"/>
      <c r="P1294" s="150"/>
      <c r="Q1294" s="150"/>
      <c r="R1294" s="150"/>
      <c r="S1294" s="150"/>
      <c r="T1294" s="150"/>
      <c r="U1294" s="150"/>
      <c r="V1294" s="150"/>
      <c r="W1294" s="150"/>
      <c r="X1294" s="150"/>
      <c r="Y1294" s="150"/>
    </row>
    <row r="1295">
      <c r="A1295" s="150"/>
      <c r="B1295" s="156"/>
      <c r="C1295" s="157"/>
      <c r="D1295" s="150"/>
      <c r="E1295" s="150"/>
      <c r="F1295" s="150"/>
      <c r="G1295" s="150"/>
      <c r="H1295" s="150"/>
      <c r="I1295" s="150"/>
      <c r="J1295" s="150"/>
      <c r="K1295" s="150"/>
      <c r="L1295" s="150"/>
      <c r="M1295" s="150"/>
      <c r="N1295" s="150"/>
      <c r="O1295" s="150"/>
      <c r="P1295" s="150"/>
      <c r="Q1295" s="150"/>
      <c r="R1295" s="150"/>
      <c r="S1295" s="150"/>
      <c r="T1295" s="150"/>
      <c r="U1295" s="150"/>
      <c r="V1295" s="150"/>
      <c r="W1295" s="150"/>
      <c r="X1295" s="150"/>
      <c r="Y1295" s="150"/>
    </row>
    <row r="1296">
      <c r="A1296" s="150"/>
      <c r="B1296" s="156"/>
      <c r="C1296" s="157"/>
      <c r="D1296" s="150"/>
      <c r="E1296" s="150"/>
      <c r="F1296" s="150"/>
      <c r="G1296" s="150"/>
      <c r="H1296" s="150"/>
      <c r="I1296" s="150"/>
      <c r="J1296" s="150"/>
      <c r="K1296" s="150"/>
      <c r="L1296" s="150"/>
      <c r="M1296" s="150"/>
      <c r="N1296" s="150"/>
      <c r="O1296" s="150"/>
      <c r="P1296" s="150"/>
      <c r="Q1296" s="150"/>
      <c r="R1296" s="150"/>
      <c r="S1296" s="150"/>
      <c r="T1296" s="150"/>
      <c r="U1296" s="150"/>
      <c r="V1296" s="150"/>
      <c r="W1296" s="150"/>
      <c r="X1296" s="150"/>
      <c r="Y1296" s="150"/>
    </row>
    <row r="1297">
      <c r="A1297" s="150"/>
      <c r="B1297" s="156"/>
      <c r="C1297" s="157"/>
      <c r="D1297" s="150"/>
      <c r="E1297" s="150"/>
      <c r="F1297" s="150"/>
      <c r="G1297" s="150"/>
      <c r="H1297" s="150"/>
      <c r="I1297" s="150"/>
      <c r="J1297" s="150"/>
      <c r="K1297" s="150"/>
      <c r="L1297" s="150"/>
      <c r="M1297" s="150"/>
      <c r="N1297" s="150"/>
      <c r="O1297" s="150"/>
      <c r="P1297" s="150"/>
      <c r="Q1297" s="150"/>
      <c r="R1297" s="150"/>
      <c r="S1297" s="150"/>
      <c r="T1297" s="150"/>
      <c r="U1297" s="150"/>
      <c r="V1297" s="150"/>
      <c r="W1297" s="150"/>
      <c r="X1297" s="150"/>
      <c r="Y1297" s="150"/>
    </row>
    <row r="1298">
      <c r="A1298" s="150"/>
      <c r="B1298" s="156"/>
      <c r="C1298" s="157"/>
      <c r="D1298" s="150"/>
      <c r="E1298" s="150"/>
      <c r="F1298" s="150"/>
      <c r="G1298" s="150"/>
      <c r="H1298" s="150"/>
      <c r="I1298" s="150"/>
      <c r="J1298" s="150"/>
      <c r="K1298" s="150"/>
      <c r="L1298" s="150"/>
      <c r="M1298" s="150"/>
      <c r="N1298" s="150"/>
      <c r="O1298" s="150"/>
      <c r="P1298" s="150"/>
      <c r="Q1298" s="150"/>
      <c r="R1298" s="150"/>
      <c r="S1298" s="150"/>
      <c r="T1298" s="150"/>
      <c r="U1298" s="150"/>
      <c r="V1298" s="150"/>
      <c r="W1298" s="150"/>
      <c r="X1298" s="150"/>
      <c r="Y1298" s="150"/>
    </row>
    <row r="1299">
      <c r="A1299" s="150"/>
      <c r="B1299" s="156"/>
      <c r="C1299" s="157"/>
      <c r="D1299" s="150"/>
      <c r="E1299" s="150"/>
      <c r="F1299" s="150"/>
      <c r="G1299" s="150"/>
      <c r="H1299" s="150"/>
      <c r="I1299" s="150"/>
      <c r="J1299" s="150"/>
      <c r="K1299" s="150"/>
      <c r="L1299" s="150"/>
      <c r="M1299" s="150"/>
      <c r="N1299" s="150"/>
      <c r="O1299" s="150"/>
      <c r="P1299" s="150"/>
      <c r="Q1299" s="150"/>
      <c r="R1299" s="150"/>
      <c r="S1299" s="150"/>
      <c r="T1299" s="150"/>
      <c r="U1299" s="150"/>
      <c r="V1299" s="150"/>
      <c r="W1299" s="150"/>
      <c r="X1299" s="150"/>
      <c r="Y1299" s="150"/>
    </row>
    <row r="1300">
      <c r="A1300" s="150"/>
      <c r="B1300" s="156"/>
      <c r="C1300" s="157"/>
      <c r="D1300" s="150"/>
      <c r="E1300" s="150"/>
      <c r="F1300" s="150"/>
      <c r="G1300" s="150"/>
      <c r="H1300" s="150"/>
      <c r="I1300" s="150"/>
      <c r="J1300" s="150"/>
      <c r="K1300" s="150"/>
      <c r="L1300" s="150"/>
      <c r="M1300" s="150"/>
      <c r="N1300" s="150"/>
      <c r="O1300" s="150"/>
      <c r="P1300" s="150"/>
      <c r="Q1300" s="150"/>
      <c r="R1300" s="150"/>
      <c r="S1300" s="150"/>
      <c r="T1300" s="150"/>
      <c r="U1300" s="150"/>
      <c r="V1300" s="150"/>
      <c r="W1300" s="150"/>
      <c r="X1300" s="150"/>
      <c r="Y1300" s="150"/>
    </row>
    <row r="1301">
      <c r="A1301" s="150"/>
      <c r="B1301" s="156"/>
      <c r="C1301" s="157"/>
      <c r="D1301" s="150"/>
      <c r="E1301" s="150"/>
      <c r="F1301" s="150"/>
      <c r="G1301" s="150"/>
      <c r="H1301" s="150"/>
      <c r="I1301" s="150"/>
      <c r="J1301" s="150"/>
      <c r="K1301" s="150"/>
      <c r="L1301" s="150"/>
      <c r="M1301" s="150"/>
      <c r="N1301" s="150"/>
      <c r="O1301" s="150"/>
      <c r="P1301" s="150"/>
      <c r="Q1301" s="150"/>
      <c r="R1301" s="150"/>
      <c r="S1301" s="150"/>
      <c r="T1301" s="150"/>
      <c r="U1301" s="150"/>
      <c r="V1301" s="150"/>
      <c r="W1301" s="150"/>
      <c r="X1301" s="150"/>
      <c r="Y1301" s="150"/>
    </row>
    <row r="1302">
      <c r="A1302" s="150"/>
      <c r="B1302" s="156"/>
      <c r="C1302" s="157"/>
      <c r="D1302" s="150"/>
      <c r="E1302" s="150"/>
      <c r="F1302" s="150"/>
      <c r="G1302" s="150"/>
      <c r="H1302" s="150"/>
      <c r="I1302" s="150"/>
      <c r="J1302" s="150"/>
      <c r="K1302" s="150"/>
      <c r="L1302" s="150"/>
      <c r="M1302" s="150"/>
      <c r="N1302" s="150"/>
      <c r="O1302" s="150"/>
      <c r="P1302" s="150"/>
      <c r="Q1302" s="150"/>
      <c r="R1302" s="150"/>
      <c r="S1302" s="150"/>
      <c r="T1302" s="150"/>
      <c r="U1302" s="150"/>
      <c r="V1302" s="150"/>
      <c r="W1302" s="150"/>
      <c r="X1302" s="150"/>
      <c r="Y1302" s="150"/>
    </row>
    <row r="1303">
      <c r="A1303" s="150"/>
      <c r="B1303" s="156"/>
      <c r="C1303" s="157"/>
      <c r="D1303" s="150"/>
      <c r="E1303" s="150"/>
      <c r="F1303" s="150"/>
      <c r="G1303" s="150"/>
      <c r="H1303" s="150"/>
      <c r="I1303" s="150"/>
      <c r="J1303" s="150"/>
      <c r="K1303" s="150"/>
      <c r="L1303" s="150"/>
      <c r="M1303" s="150"/>
      <c r="N1303" s="150"/>
      <c r="O1303" s="150"/>
      <c r="P1303" s="150"/>
      <c r="Q1303" s="150"/>
      <c r="R1303" s="150"/>
      <c r="S1303" s="150"/>
      <c r="T1303" s="150"/>
      <c r="U1303" s="150"/>
      <c r="V1303" s="150"/>
      <c r="W1303" s="150"/>
      <c r="X1303" s="150"/>
      <c r="Y1303" s="150"/>
    </row>
    <row r="1304">
      <c r="A1304" s="150"/>
      <c r="B1304" s="156"/>
      <c r="C1304" s="157"/>
      <c r="D1304" s="150"/>
      <c r="E1304" s="150"/>
      <c r="F1304" s="150"/>
      <c r="G1304" s="150"/>
      <c r="H1304" s="150"/>
      <c r="I1304" s="150"/>
      <c r="J1304" s="150"/>
      <c r="K1304" s="150"/>
      <c r="L1304" s="150"/>
      <c r="M1304" s="150"/>
      <c r="N1304" s="150"/>
      <c r="O1304" s="150"/>
      <c r="P1304" s="150"/>
      <c r="Q1304" s="150"/>
      <c r="R1304" s="150"/>
      <c r="S1304" s="150"/>
      <c r="T1304" s="150"/>
      <c r="U1304" s="150"/>
      <c r="V1304" s="150"/>
      <c r="W1304" s="150"/>
      <c r="X1304" s="150"/>
      <c r="Y1304" s="150"/>
    </row>
    <row r="1305">
      <c r="A1305" s="150"/>
      <c r="B1305" s="156"/>
      <c r="C1305" s="157"/>
      <c r="D1305" s="150"/>
      <c r="E1305" s="150"/>
      <c r="F1305" s="150"/>
      <c r="G1305" s="150"/>
      <c r="H1305" s="150"/>
      <c r="I1305" s="150"/>
      <c r="J1305" s="150"/>
      <c r="K1305" s="150"/>
      <c r="L1305" s="150"/>
      <c r="M1305" s="150"/>
      <c r="N1305" s="150"/>
      <c r="O1305" s="150"/>
      <c r="P1305" s="150"/>
      <c r="Q1305" s="150"/>
      <c r="R1305" s="150"/>
      <c r="S1305" s="150"/>
      <c r="T1305" s="150"/>
      <c r="U1305" s="150"/>
      <c r="V1305" s="150"/>
      <c r="W1305" s="150"/>
      <c r="X1305" s="150"/>
      <c r="Y1305" s="150"/>
    </row>
    <row r="1306">
      <c r="A1306" s="150"/>
      <c r="B1306" s="156"/>
      <c r="C1306" s="157"/>
      <c r="D1306" s="150"/>
      <c r="E1306" s="150"/>
      <c r="F1306" s="150"/>
      <c r="G1306" s="150"/>
      <c r="H1306" s="150"/>
      <c r="I1306" s="150"/>
      <c r="J1306" s="150"/>
      <c r="K1306" s="150"/>
      <c r="L1306" s="150"/>
      <c r="M1306" s="150"/>
      <c r="N1306" s="150"/>
      <c r="O1306" s="150"/>
      <c r="P1306" s="150"/>
      <c r="Q1306" s="150"/>
      <c r="R1306" s="150"/>
      <c r="S1306" s="150"/>
      <c r="T1306" s="150"/>
      <c r="U1306" s="150"/>
      <c r="V1306" s="150"/>
      <c r="W1306" s="150"/>
      <c r="X1306" s="150"/>
      <c r="Y1306" s="150"/>
    </row>
    <row r="1307">
      <c r="A1307" s="150"/>
      <c r="B1307" s="156"/>
      <c r="C1307" s="157"/>
      <c r="D1307" s="150"/>
      <c r="E1307" s="150"/>
      <c r="F1307" s="150"/>
      <c r="G1307" s="150"/>
      <c r="H1307" s="150"/>
      <c r="I1307" s="150"/>
      <c r="J1307" s="150"/>
      <c r="K1307" s="150"/>
      <c r="L1307" s="150"/>
      <c r="M1307" s="150"/>
      <c r="N1307" s="150"/>
      <c r="O1307" s="150"/>
      <c r="P1307" s="150"/>
      <c r="Q1307" s="150"/>
      <c r="R1307" s="150"/>
      <c r="S1307" s="150"/>
      <c r="T1307" s="150"/>
      <c r="U1307" s="150"/>
      <c r="V1307" s="150"/>
      <c r="W1307" s="150"/>
      <c r="X1307" s="150"/>
      <c r="Y1307" s="150"/>
    </row>
    <row r="1308">
      <c r="A1308" s="150"/>
      <c r="B1308" s="156"/>
      <c r="C1308" s="157"/>
      <c r="D1308" s="150"/>
      <c r="E1308" s="150"/>
      <c r="F1308" s="150"/>
      <c r="G1308" s="150"/>
      <c r="H1308" s="150"/>
      <c r="I1308" s="150"/>
      <c r="J1308" s="150"/>
      <c r="K1308" s="150"/>
      <c r="L1308" s="150"/>
      <c r="M1308" s="150"/>
      <c r="N1308" s="150"/>
      <c r="O1308" s="150"/>
      <c r="P1308" s="150"/>
      <c r="Q1308" s="150"/>
      <c r="R1308" s="150"/>
      <c r="S1308" s="150"/>
      <c r="T1308" s="150"/>
      <c r="U1308" s="150"/>
      <c r="V1308" s="150"/>
      <c r="W1308" s="150"/>
      <c r="X1308" s="150"/>
      <c r="Y1308" s="150"/>
    </row>
    <row r="1309">
      <c r="A1309" s="150"/>
      <c r="B1309" s="156"/>
      <c r="C1309" s="157"/>
      <c r="D1309" s="150"/>
      <c r="E1309" s="150"/>
      <c r="F1309" s="150"/>
      <c r="G1309" s="150"/>
      <c r="H1309" s="150"/>
      <c r="I1309" s="150"/>
      <c r="J1309" s="150"/>
      <c r="K1309" s="150"/>
      <c r="L1309" s="150"/>
      <c r="M1309" s="150"/>
      <c r="N1309" s="150"/>
      <c r="O1309" s="150"/>
      <c r="P1309" s="150"/>
      <c r="Q1309" s="150"/>
      <c r="R1309" s="150"/>
      <c r="S1309" s="150"/>
      <c r="T1309" s="150"/>
      <c r="U1309" s="150"/>
      <c r="V1309" s="150"/>
      <c r="W1309" s="150"/>
      <c r="X1309" s="150"/>
      <c r="Y1309" s="150"/>
    </row>
    <row r="1310">
      <c r="A1310" s="150"/>
      <c r="B1310" s="156"/>
      <c r="C1310" s="157"/>
      <c r="D1310" s="150"/>
      <c r="E1310" s="150"/>
      <c r="F1310" s="150"/>
      <c r="G1310" s="150"/>
      <c r="H1310" s="150"/>
      <c r="I1310" s="150"/>
      <c r="J1310" s="150"/>
      <c r="K1310" s="150"/>
      <c r="L1310" s="150"/>
      <c r="M1310" s="150"/>
      <c r="N1310" s="150"/>
      <c r="O1310" s="150"/>
      <c r="P1310" s="150"/>
      <c r="Q1310" s="150"/>
      <c r="R1310" s="150"/>
      <c r="S1310" s="150"/>
      <c r="T1310" s="150"/>
      <c r="U1310" s="150"/>
      <c r="V1310" s="150"/>
      <c r="W1310" s="150"/>
      <c r="X1310" s="150"/>
      <c r="Y1310" s="150"/>
    </row>
    <row r="1311">
      <c r="A1311" s="150"/>
      <c r="B1311" s="156"/>
      <c r="C1311" s="157"/>
      <c r="D1311" s="150"/>
      <c r="E1311" s="150"/>
      <c r="F1311" s="150"/>
      <c r="G1311" s="150"/>
      <c r="H1311" s="150"/>
      <c r="I1311" s="150"/>
      <c r="J1311" s="150"/>
      <c r="K1311" s="150"/>
      <c r="L1311" s="150"/>
      <c r="M1311" s="150"/>
      <c r="N1311" s="150"/>
      <c r="O1311" s="150"/>
      <c r="P1311" s="150"/>
      <c r="Q1311" s="150"/>
      <c r="R1311" s="150"/>
      <c r="S1311" s="150"/>
      <c r="T1311" s="150"/>
      <c r="U1311" s="150"/>
      <c r="V1311" s="150"/>
      <c r="W1311" s="150"/>
      <c r="X1311" s="150"/>
      <c r="Y1311" s="150"/>
    </row>
    <row r="1312">
      <c r="A1312" s="150"/>
      <c r="B1312" s="156"/>
      <c r="C1312" s="157"/>
      <c r="D1312" s="150"/>
      <c r="E1312" s="150"/>
      <c r="F1312" s="150"/>
      <c r="G1312" s="150"/>
      <c r="H1312" s="150"/>
      <c r="I1312" s="150"/>
      <c r="J1312" s="150"/>
      <c r="K1312" s="150"/>
      <c r="L1312" s="150"/>
      <c r="M1312" s="150"/>
      <c r="N1312" s="150"/>
      <c r="O1312" s="150"/>
      <c r="P1312" s="150"/>
      <c r="Q1312" s="150"/>
      <c r="R1312" s="150"/>
      <c r="S1312" s="150"/>
      <c r="T1312" s="150"/>
      <c r="U1312" s="150"/>
      <c r="V1312" s="150"/>
      <c r="W1312" s="150"/>
      <c r="X1312" s="150"/>
      <c r="Y1312" s="150"/>
    </row>
    <row r="1313">
      <c r="A1313" s="150"/>
      <c r="B1313" s="156"/>
      <c r="C1313" s="157"/>
      <c r="D1313" s="150"/>
      <c r="E1313" s="150"/>
      <c r="F1313" s="150"/>
      <c r="G1313" s="150"/>
      <c r="H1313" s="150"/>
      <c r="I1313" s="150"/>
      <c r="J1313" s="150"/>
      <c r="K1313" s="150"/>
      <c r="L1313" s="150"/>
      <c r="M1313" s="150"/>
      <c r="N1313" s="150"/>
      <c r="O1313" s="150"/>
      <c r="P1313" s="150"/>
      <c r="Q1313" s="150"/>
      <c r="R1313" s="150"/>
      <c r="S1313" s="150"/>
      <c r="T1313" s="150"/>
      <c r="U1313" s="150"/>
      <c r="V1313" s="150"/>
      <c r="W1313" s="150"/>
      <c r="X1313" s="150"/>
      <c r="Y1313" s="150"/>
    </row>
    <row r="1314">
      <c r="A1314" s="150"/>
      <c r="B1314" s="156"/>
      <c r="C1314" s="157"/>
      <c r="D1314" s="150"/>
      <c r="E1314" s="150"/>
      <c r="F1314" s="150"/>
      <c r="G1314" s="150"/>
      <c r="H1314" s="150"/>
      <c r="I1314" s="150"/>
      <c r="J1314" s="150"/>
      <c r="K1314" s="150"/>
      <c r="L1314" s="150"/>
      <c r="M1314" s="150"/>
      <c r="N1314" s="150"/>
      <c r="O1314" s="150"/>
      <c r="P1314" s="150"/>
      <c r="Q1314" s="150"/>
      <c r="R1314" s="150"/>
      <c r="S1314" s="150"/>
      <c r="T1314" s="150"/>
      <c r="U1314" s="150"/>
      <c r="V1314" s="150"/>
      <c r="W1314" s="150"/>
      <c r="X1314" s="150"/>
      <c r="Y1314" s="150"/>
    </row>
    <row r="1315">
      <c r="A1315" s="150"/>
      <c r="B1315" s="156"/>
      <c r="C1315" s="157"/>
      <c r="D1315" s="150"/>
      <c r="E1315" s="150"/>
      <c r="F1315" s="150"/>
      <c r="G1315" s="150"/>
      <c r="H1315" s="150"/>
      <c r="I1315" s="150"/>
      <c r="J1315" s="150"/>
      <c r="K1315" s="150"/>
      <c r="L1315" s="150"/>
      <c r="M1315" s="150"/>
      <c r="N1315" s="150"/>
      <c r="O1315" s="150"/>
      <c r="P1315" s="150"/>
      <c r="Q1315" s="150"/>
      <c r="R1315" s="150"/>
      <c r="S1315" s="150"/>
      <c r="T1315" s="150"/>
      <c r="U1315" s="150"/>
      <c r="V1315" s="150"/>
      <c r="W1315" s="150"/>
      <c r="X1315" s="150"/>
      <c r="Y1315" s="150"/>
    </row>
    <row r="1316">
      <c r="A1316" s="150"/>
      <c r="B1316" s="156"/>
      <c r="C1316" s="157"/>
      <c r="D1316" s="150"/>
      <c r="E1316" s="150"/>
      <c r="F1316" s="150"/>
      <c r="G1316" s="150"/>
      <c r="H1316" s="150"/>
      <c r="I1316" s="150"/>
      <c r="J1316" s="150"/>
      <c r="K1316" s="150"/>
      <c r="L1316" s="150"/>
      <c r="M1316" s="150"/>
      <c r="N1316" s="150"/>
      <c r="O1316" s="150"/>
      <c r="P1316" s="150"/>
      <c r="Q1316" s="150"/>
      <c r="R1316" s="150"/>
      <c r="S1316" s="150"/>
      <c r="T1316" s="150"/>
      <c r="U1316" s="150"/>
      <c r="V1316" s="150"/>
      <c r="W1316" s="150"/>
      <c r="X1316" s="150"/>
      <c r="Y1316" s="150"/>
    </row>
    <row r="1317">
      <c r="A1317" s="150"/>
      <c r="B1317" s="156"/>
      <c r="C1317" s="157"/>
      <c r="D1317" s="150"/>
      <c r="E1317" s="150"/>
      <c r="F1317" s="150"/>
      <c r="G1317" s="150"/>
      <c r="H1317" s="150"/>
      <c r="I1317" s="150"/>
      <c r="J1317" s="150"/>
      <c r="K1317" s="150"/>
      <c r="L1317" s="150"/>
      <c r="M1317" s="150"/>
      <c r="N1317" s="150"/>
      <c r="O1317" s="150"/>
      <c r="P1317" s="150"/>
      <c r="Q1317" s="150"/>
      <c r="R1317" s="150"/>
      <c r="S1317" s="150"/>
      <c r="T1317" s="150"/>
      <c r="U1317" s="150"/>
      <c r="V1317" s="150"/>
      <c r="W1317" s="150"/>
      <c r="X1317" s="150"/>
      <c r="Y1317" s="150"/>
    </row>
    <row r="1318">
      <c r="A1318" s="150"/>
      <c r="B1318" s="156"/>
      <c r="C1318" s="157"/>
      <c r="D1318" s="150"/>
      <c r="E1318" s="150"/>
      <c r="F1318" s="150"/>
      <c r="G1318" s="150"/>
      <c r="H1318" s="150"/>
      <c r="I1318" s="150"/>
      <c r="J1318" s="150"/>
      <c r="K1318" s="150"/>
      <c r="L1318" s="150"/>
      <c r="M1318" s="150"/>
      <c r="N1318" s="150"/>
      <c r="O1318" s="150"/>
      <c r="P1318" s="150"/>
      <c r="Q1318" s="150"/>
      <c r="R1318" s="150"/>
      <c r="S1318" s="150"/>
      <c r="T1318" s="150"/>
      <c r="U1318" s="150"/>
      <c r="V1318" s="150"/>
      <c r="W1318" s="150"/>
      <c r="X1318" s="150"/>
      <c r="Y1318" s="150"/>
    </row>
    <row r="1319">
      <c r="A1319" s="150"/>
      <c r="B1319" s="156"/>
      <c r="C1319" s="157"/>
      <c r="D1319" s="150"/>
      <c r="E1319" s="150"/>
      <c r="F1319" s="150"/>
      <c r="G1319" s="150"/>
      <c r="H1319" s="150"/>
      <c r="I1319" s="150"/>
      <c r="J1319" s="150"/>
      <c r="K1319" s="150"/>
      <c r="L1319" s="150"/>
      <c r="M1319" s="150"/>
      <c r="N1319" s="150"/>
      <c r="O1319" s="150"/>
      <c r="P1319" s="150"/>
      <c r="Q1319" s="150"/>
      <c r="R1319" s="150"/>
      <c r="S1319" s="150"/>
      <c r="T1319" s="150"/>
      <c r="U1319" s="150"/>
      <c r="V1319" s="150"/>
      <c r="W1319" s="150"/>
      <c r="X1319" s="150"/>
      <c r="Y1319" s="150"/>
    </row>
    <row r="1320">
      <c r="A1320" s="150"/>
      <c r="B1320" s="156"/>
      <c r="C1320" s="157"/>
      <c r="D1320" s="150"/>
      <c r="E1320" s="150"/>
      <c r="F1320" s="150"/>
      <c r="G1320" s="150"/>
      <c r="H1320" s="150"/>
      <c r="I1320" s="150"/>
      <c r="J1320" s="150"/>
      <c r="K1320" s="150"/>
      <c r="L1320" s="150"/>
      <c r="M1320" s="150"/>
      <c r="N1320" s="150"/>
      <c r="O1320" s="150"/>
      <c r="P1320" s="150"/>
      <c r="Q1320" s="150"/>
      <c r="R1320" s="150"/>
      <c r="S1320" s="150"/>
      <c r="T1320" s="150"/>
      <c r="U1320" s="150"/>
      <c r="V1320" s="150"/>
      <c r="W1320" s="150"/>
      <c r="X1320" s="150"/>
      <c r="Y1320" s="150"/>
    </row>
    <row r="1321">
      <c r="A1321" s="150"/>
      <c r="B1321" s="156"/>
      <c r="C1321" s="157"/>
      <c r="D1321" s="150"/>
      <c r="E1321" s="150"/>
      <c r="F1321" s="150"/>
      <c r="G1321" s="150"/>
      <c r="H1321" s="150"/>
      <c r="I1321" s="150"/>
      <c r="J1321" s="150"/>
      <c r="K1321" s="150"/>
      <c r="L1321" s="150"/>
      <c r="M1321" s="150"/>
      <c r="N1321" s="150"/>
      <c r="O1321" s="150"/>
      <c r="P1321" s="150"/>
      <c r="Q1321" s="150"/>
      <c r="R1321" s="150"/>
      <c r="S1321" s="150"/>
      <c r="T1321" s="150"/>
      <c r="U1321" s="150"/>
      <c r="V1321" s="150"/>
      <c r="W1321" s="150"/>
      <c r="X1321" s="150"/>
      <c r="Y1321" s="150"/>
    </row>
    <row r="1322">
      <c r="A1322" s="150"/>
      <c r="B1322" s="156"/>
      <c r="C1322" s="157"/>
      <c r="D1322" s="150"/>
      <c r="E1322" s="150"/>
      <c r="F1322" s="150"/>
      <c r="G1322" s="150"/>
      <c r="H1322" s="150"/>
      <c r="I1322" s="150"/>
      <c r="J1322" s="150"/>
      <c r="K1322" s="150"/>
      <c r="L1322" s="150"/>
      <c r="M1322" s="150"/>
      <c r="N1322" s="150"/>
      <c r="O1322" s="150"/>
      <c r="P1322" s="150"/>
      <c r="Q1322" s="150"/>
      <c r="R1322" s="150"/>
      <c r="S1322" s="150"/>
      <c r="T1322" s="150"/>
      <c r="U1322" s="150"/>
      <c r="V1322" s="150"/>
      <c r="W1322" s="150"/>
      <c r="X1322" s="150"/>
      <c r="Y1322" s="150"/>
    </row>
    <row r="1323">
      <c r="A1323" s="150"/>
      <c r="B1323" s="156"/>
      <c r="C1323" s="157"/>
      <c r="D1323" s="150"/>
      <c r="E1323" s="150"/>
      <c r="F1323" s="150"/>
      <c r="G1323" s="150"/>
      <c r="H1323" s="150"/>
      <c r="I1323" s="150"/>
      <c r="J1323" s="150"/>
      <c r="K1323" s="150"/>
      <c r="L1323" s="150"/>
      <c r="M1323" s="150"/>
      <c r="N1323" s="150"/>
      <c r="O1323" s="150"/>
      <c r="P1323" s="150"/>
      <c r="Q1323" s="150"/>
      <c r="R1323" s="150"/>
      <c r="S1323" s="150"/>
      <c r="T1323" s="150"/>
      <c r="U1323" s="150"/>
      <c r="V1323" s="150"/>
      <c r="W1323" s="150"/>
      <c r="X1323" s="150"/>
      <c r="Y1323" s="150"/>
    </row>
    <row r="1324">
      <c r="A1324" s="150"/>
      <c r="B1324" s="156"/>
      <c r="C1324" s="157"/>
      <c r="D1324" s="150"/>
      <c r="E1324" s="150"/>
      <c r="F1324" s="150"/>
      <c r="G1324" s="150"/>
      <c r="H1324" s="150"/>
      <c r="I1324" s="150"/>
      <c r="J1324" s="150"/>
      <c r="K1324" s="150"/>
      <c r="L1324" s="150"/>
      <c r="M1324" s="150"/>
      <c r="N1324" s="150"/>
      <c r="O1324" s="150"/>
      <c r="P1324" s="150"/>
      <c r="Q1324" s="150"/>
      <c r="R1324" s="150"/>
      <c r="S1324" s="150"/>
      <c r="T1324" s="150"/>
      <c r="U1324" s="150"/>
      <c r="V1324" s="150"/>
      <c r="W1324" s="150"/>
      <c r="X1324" s="150"/>
      <c r="Y1324" s="150"/>
    </row>
    <row r="1325">
      <c r="A1325" s="150"/>
      <c r="B1325" s="156"/>
      <c r="C1325" s="157"/>
      <c r="D1325" s="150"/>
      <c r="E1325" s="150"/>
      <c r="F1325" s="150"/>
      <c r="G1325" s="150"/>
      <c r="H1325" s="150"/>
      <c r="I1325" s="150"/>
      <c r="J1325" s="150"/>
      <c r="K1325" s="150"/>
      <c r="L1325" s="150"/>
      <c r="M1325" s="150"/>
      <c r="N1325" s="150"/>
      <c r="O1325" s="150"/>
      <c r="P1325" s="150"/>
      <c r="Q1325" s="150"/>
      <c r="R1325" s="150"/>
      <c r="S1325" s="150"/>
      <c r="T1325" s="150"/>
      <c r="U1325" s="150"/>
      <c r="V1325" s="150"/>
      <c r="W1325" s="150"/>
      <c r="X1325" s="150"/>
      <c r="Y1325" s="150"/>
    </row>
    <row r="1326">
      <c r="A1326" s="150"/>
      <c r="B1326" s="156"/>
      <c r="C1326" s="157"/>
      <c r="D1326" s="150"/>
      <c r="E1326" s="150"/>
      <c r="F1326" s="150"/>
      <c r="G1326" s="150"/>
      <c r="H1326" s="150"/>
      <c r="I1326" s="150"/>
      <c r="J1326" s="150"/>
      <c r="K1326" s="150"/>
      <c r="L1326" s="150"/>
      <c r="M1326" s="150"/>
      <c r="N1326" s="150"/>
      <c r="O1326" s="150"/>
      <c r="P1326" s="150"/>
      <c r="Q1326" s="150"/>
      <c r="R1326" s="150"/>
      <c r="S1326" s="150"/>
      <c r="T1326" s="150"/>
      <c r="U1326" s="150"/>
      <c r="V1326" s="150"/>
      <c r="W1326" s="150"/>
      <c r="X1326" s="150"/>
      <c r="Y1326" s="150"/>
    </row>
    <row r="1327">
      <c r="A1327" s="150"/>
      <c r="B1327" s="156"/>
      <c r="C1327" s="157"/>
      <c r="D1327" s="150"/>
      <c r="E1327" s="150"/>
      <c r="F1327" s="150"/>
      <c r="G1327" s="150"/>
      <c r="H1327" s="150"/>
      <c r="I1327" s="150"/>
      <c r="J1327" s="150"/>
      <c r="K1327" s="150"/>
      <c r="L1327" s="150"/>
      <c r="M1327" s="150"/>
      <c r="N1327" s="150"/>
      <c r="O1327" s="150"/>
      <c r="P1327" s="150"/>
      <c r="Q1327" s="150"/>
      <c r="R1327" s="150"/>
      <c r="S1327" s="150"/>
      <c r="T1327" s="150"/>
      <c r="U1327" s="150"/>
      <c r="V1327" s="150"/>
      <c r="W1327" s="150"/>
      <c r="X1327" s="150"/>
      <c r="Y1327" s="150"/>
    </row>
    <row r="1328">
      <c r="A1328" s="150"/>
      <c r="B1328" s="156"/>
      <c r="C1328" s="157"/>
      <c r="D1328" s="150"/>
      <c r="E1328" s="150"/>
      <c r="F1328" s="150"/>
      <c r="G1328" s="150"/>
      <c r="H1328" s="150"/>
      <c r="I1328" s="150"/>
      <c r="J1328" s="150"/>
      <c r="K1328" s="150"/>
      <c r="L1328" s="150"/>
      <c r="M1328" s="150"/>
      <c r="N1328" s="150"/>
      <c r="O1328" s="150"/>
      <c r="P1328" s="150"/>
      <c r="Q1328" s="150"/>
      <c r="R1328" s="150"/>
      <c r="S1328" s="150"/>
      <c r="T1328" s="150"/>
      <c r="U1328" s="150"/>
      <c r="V1328" s="150"/>
      <c r="W1328" s="150"/>
      <c r="X1328" s="150"/>
      <c r="Y1328" s="150"/>
    </row>
    <row r="1329">
      <c r="A1329" s="150"/>
      <c r="B1329" s="156"/>
      <c r="C1329" s="157"/>
      <c r="D1329" s="150"/>
      <c r="E1329" s="150"/>
      <c r="F1329" s="150"/>
      <c r="G1329" s="150"/>
      <c r="H1329" s="150"/>
      <c r="I1329" s="150"/>
      <c r="J1329" s="150"/>
      <c r="K1329" s="150"/>
      <c r="L1329" s="150"/>
      <c r="M1329" s="150"/>
      <c r="N1329" s="150"/>
      <c r="O1329" s="150"/>
      <c r="P1329" s="150"/>
      <c r="Q1329" s="150"/>
      <c r="R1329" s="150"/>
      <c r="S1329" s="150"/>
      <c r="T1329" s="150"/>
      <c r="U1329" s="150"/>
      <c r="V1329" s="150"/>
      <c r="W1329" s="150"/>
      <c r="X1329" s="150"/>
      <c r="Y1329" s="150"/>
    </row>
    <row r="1330">
      <c r="A1330" s="150"/>
      <c r="B1330" s="156"/>
      <c r="C1330" s="157"/>
      <c r="D1330" s="150"/>
      <c r="E1330" s="150"/>
      <c r="F1330" s="150"/>
      <c r="G1330" s="150"/>
      <c r="H1330" s="150"/>
      <c r="I1330" s="150"/>
      <c r="J1330" s="150"/>
      <c r="K1330" s="150"/>
      <c r="L1330" s="150"/>
      <c r="M1330" s="150"/>
      <c r="N1330" s="150"/>
      <c r="O1330" s="150"/>
      <c r="P1330" s="150"/>
      <c r="Q1330" s="150"/>
      <c r="R1330" s="150"/>
      <c r="S1330" s="150"/>
      <c r="T1330" s="150"/>
      <c r="U1330" s="150"/>
      <c r="V1330" s="150"/>
      <c r="W1330" s="150"/>
      <c r="X1330" s="150"/>
      <c r="Y1330" s="150"/>
    </row>
    <row r="1331">
      <c r="A1331" s="150"/>
      <c r="B1331" s="156"/>
      <c r="C1331" s="157"/>
      <c r="D1331" s="150"/>
      <c r="E1331" s="150"/>
      <c r="F1331" s="150"/>
      <c r="G1331" s="150"/>
      <c r="H1331" s="150"/>
      <c r="I1331" s="150"/>
      <c r="J1331" s="150"/>
      <c r="K1331" s="150"/>
      <c r="L1331" s="150"/>
      <c r="M1331" s="150"/>
      <c r="N1331" s="150"/>
      <c r="O1331" s="150"/>
      <c r="P1331" s="150"/>
      <c r="Q1331" s="150"/>
      <c r="R1331" s="150"/>
      <c r="S1331" s="150"/>
      <c r="T1331" s="150"/>
      <c r="U1331" s="150"/>
      <c r="V1331" s="150"/>
      <c r="W1331" s="150"/>
      <c r="X1331" s="150"/>
      <c r="Y1331" s="150"/>
    </row>
    <row r="1332">
      <c r="A1332" s="150"/>
      <c r="B1332" s="156"/>
      <c r="C1332" s="157"/>
      <c r="D1332" s="150"/>
      <c r="E1332" s="150"/>
      <c r="F1332" s="150"/>
      <c r="G1332" s="150"/>
      <c r="H1332" s="150"/>
      <c r="I1332" s="150"/>
      <c r="J1332" s="150"/>
      <c r="K1332" s="150"/>
      <c r="L1332" s="150"/>
      <c r="M1332" s="150"/>
      <c r="N1332" s="150"/>
      <c r="O1332" s="150"/>
      <c r="P1332" s="150"/>
      <c r="Q1332" s="150"/>
      <c r="R1332" s="150"/>
      <c r="S1332" s="150"/>
      <c r="T1332" s="150"/>
      <c r="U1332" s="150"/>
      <c r="V1332" s="150"/>
      <c r="W1332" s="150"/>
      <c r="X1332" s="150"/>
      <c r="Y1332" s="150"/>
    </row>
    <row r="1333">
      <c r="A1333" s="150"/>
      <c r="B1333" s="156"/>
      <c r="C1333" s="157"/>
      <c r="D1333" s="150"/>
      <c r="E1333" s="150"/>
      <c r="F1333" s="150"/>
      <c r="G1333" s="150"/>
      <c r="H1333" s="150"/>
      <c r="I1333" s="150"/>
      <c r="J1333" s="150"/>
      <c r="K1333" s="150"/>
      <c r="L1333" s="150"/>
      <c r="M1333" s="150"/>
      <c r="N1333" s="150"/>
      <c r="O1333" s="150"/>
      <c r="P1333" s="150"/>
      <c r="Q1333" s="150"/>
      <c r="R1333" s="150"/>
      <c r="S1333" s="150"/>
      <c r="T1333" s="150"/>
      <c r="U1333" s="150"/>
      <c r="V1333" s="150"/>
      <c r="W1333" s="150"/>
      <c r="X1333" s="150"/>
      <c r="Y1333" s="150"/>
    </row>
    <row r="1334">
      <c r="A1334" s="150"/>
      <c r="B1334" s="156"/>
      <c r="C1334" s="157"/>
      <c r="D1334" s="150"/>
      <c r="E1334" s="150"/>
      <c r="F1334" s="150"/>
      <c r="G1334" s="150"/>
      <c r="H1334" s="150"/>
      <c r="I1334" s="150"/>
      <c r="J1334" s="150"/>
      <c r="K1334" s="150"/>
      <c r="L1334" s="150"/>
      <c r="M1334" s="150"/>
      <c r="N1334" s="150"/>
      <c r="O1334" s="150"/>
      <c r="P1334" s="150"/>
      <c r="Q1334" s="150"/>
      <c r="R1334" s="150"/>
      <c r="S1334" s="150"/>
      <c r="T1334" s="150"/>
      <c r="U1334" s="150"/>
      <c r="V1334" s="150"/>
      <c r="W1334" s="150"/>
      <c r="X1334" s="150"/>
      <c r="Y1334" s="150"/>
    </row>
    <row r="1335">
      <c r="A1335" s="150"/>
      <c r="B1335" s="156"/>
      <c r="C1335" s="157"/>
      <c r="D1335" s="150"/>
      <c r="E1335" s="150"/>
      <c r="F1335" s="150"/>
      <c r="G1335" s="150"/>
      <c r="H1335" s="150"/>
      <c r="I1335" s="150"/>
      <c r="J1335" s="150"/>
      <c r="K1335" s="150"/>
      <c r="L1335" s="150"/>
      <c r="M1335" s="150"/>
      <c r="N1335" s="150"/>
      <c r="O1335" s="150"/>
      <c r="P1335" s="150"/>
      <c r="Q1335" s="150"/>
      <c r="R1335" s="150"/>
      <c r="S1335" s="150"/>
      <c r="T1335" s="150"/>
      <c r="U1335" s="150"/>
      <c r="V1335" s="150"/>
      <c r="W1335" s="150"/>
      <c r="X1335" s="150"/>
      <c r="Y1335" s="150"/>
    </row>
    <row r="1336">
      <c r="A1336" s="150"/>
      <c r="B1336" s="156"/>
      <c r="C1336" s="157"/>
      <c r="D1336" s="150"/>
      <c r="E1336" s="150"/>
      <c r="F1336" s="150"/>
      <c r="G1336" s="150"/>
      <c r="H1336" s="150"/>
      <c r="I1336" s="150"/>
      <c r="J1336" s="150"/>
      <c r="K1336" s="150"/>
      <c r="L1336" s="150"/>
      <c r="M1336" s="150"/>
      <c r="N1336" s="150"/>
      <c r="O1336" s="150"/>
      <c r="P1336" s="150"/>
      <c r="Q1336" s="150"/>
      <c r="R1336" s="150"/>
      <c r="S1336" s="150"/>
      <c r="T1336" s="150"/>
      <c r="U1336" s="150"/>
      <c r="V1336" s="150"/>
      <c r="W1336" s="150"/>
      <c r="X1336" s="150"/>
      <c r="Y1336" s="150"/>
    </row>
    <row r="1337">
      <c r="A1337" s="150"/>
      <c r="B1337" s="156"/>
      <c r="C1337" s="157"/>
      <c r="D1337" s="150"/>
      <c r="E1337" s="150"/>
      <c r="F1337" s="150"/>
      <c r="G1337" s="150"/>
      <c r="H1337" s="150"/>
      <c r="I1337" s="150"/>
      <c r="J1337" s="150"/>
      <c r="K1337" s="150"/>
      <c r="L1337" s="150"/>
      <c r="M1337" s="150"/>
      <c r="N1337" s="150"/>
      <c r="O1337" s="150"/>
      <c r="P1337" s="150"/>
      <c r="Q1337" s="150"/>
      <c r="R1337" s="150"/>
      <c r="S1337" s="150"/>
      <c r="T1337" s="150"/>
      <c r="U1337" s="150"/>
      <c r="V1337" s="150"/>
      <c r="W1337" s="150"/>
      <c r="X1337" s="150"/>
      <c r="Y1337" s="150"/>
    </row>
    <row r="1338">
      <c r="A1338" s="150"/>
      <c r="B1338" s="156"/>
      <c r="C1338" s="157"/>
      <c r="D1338" s="150"/>
      <c r="E1338" s="150"/>
      <c r="F1338" s="150"/>
      <c r="G1338" s="150"/>
      <c r="H1338" s="150"/>
      <c r="I1338" s="150"/>
      <c r="J1338" s="150"/>
      <c r="K1338" s="150"/>
      <c r="L1338" s="150"/>
      <c r="M1338" s="150"/>
      <c r="N1338" s="150"/>
      <c r="O1338" s="150"/>
      <c r="P1338" s="150"/>
      <c r="Q1338" s="150"/>
      <c r="R1338" s="150"/>
      <c r="S1338" s="150"/>
      <c r="T1338" s="150"/>
      <c r="U1338" s="150"/>
      <c r="V1338" s="150"/>
      <c r="W1338" s="150"/>
      <c r="X1338" s="150"/>
      <c r="Y1338" s="150"/>
    </row>
    <row r="1339">
      <c r="A1339" s="150"/>
      <c r="B1339" s="156"/>
      <c r="C1339" s="157"/>
      <c r="D1339" s="150"/>
      <c r="E1339" s="150"/>
      <c r="F1339" s="150"/>
      <c r="G1339" s="150"/>
      <c r="H1339" s="150"/>
      <c r="I1339" s="150"/>
      <c r="J1339" s="150"/>
      <c r="K1339" s="150"/>
      <c r="L1339" s="150"/>
      <c r="M1339" s="150"/>
      <c r="N1339" s="150"/>
      <c r="O1339" s="150"/>
      <c r="P1339" s="150"/>
      <c r="Q1339" s="150"/>
      <c r="R1339" s="150"/>
      <c r="S1339" s="150"/>
      <c r="T1339" s="150"/>
      <c r="U1339" s="150"/>
      <c r="V1339" s="150"/>
      <c r="W1339" s="150"/>
      <c r="X1339" s="150"/>
      <c r="Y1339" s="150"/>
    </row>
    <row r="1340">
      <c r="A1340" s="150"/>
      <c r="B1340" s="156"/>
      <c r="C1340" s="157"/>
      <c r="D1340" s="150"/>
      <c r="E1340" s="150"/>
      <c r="F1340" s="150"/>
      <c r="G1340" s="150"/>
      <c r="H1340" s="150"/>
      <c r="I1340" s="150"/>
      <c r="J1340" s="150"/>
      <c r="K1340" s="150"/>
      <c r="L1340" s="150"/>
      <c r="M1340" s="150"/>
      <c r="N1340" s="150"/>
      <c r="O1340" s="150"/>
      <c r="P1340" s="150"/>
      <c r="Q1340" s="150"/>
      <c r="R1340" s="150"/>
      <c r="S1340" s="150"/>
      <c r="T1340" s="150"/>
      <c r="U1340" s="150"/>
      <c r="V1340" s="150"/>
      <c r="W1340" s="150"/>
      <c r="X1340" s="150"/>
      <c r="Y1340" s="150"/>
    </row>
    <row r="1341">
      <c r="A1341" s="150"/>
      <c r="B1341" s="156"/>
      <c r="C1341" s="157"/>
      <c r="D1341" s="150"/>
      <c r="E1341" s="150"/>
      <c r="F1341" s="150"/>
      <c r="G1341" s="150"/>
      <c r="H1341" s="150"/>
      <c r="I1341" s="150"/>
      <c r="J1341" s="150"/>
      <c r="K1341" s="150"/>
      <c r="L1341" s="150"/>
      <c r="M1341" s="150"/>
      <c r="N1341" s="150"/>
      <c r="O1341" s="150"/>
      <c r="P1341" s="150"/>
      <c r="Q1341" s="150"/>
      <c r="R1341" s="150"/>
      <c r="S1341" s="150"/>
      <c r="T1341" s="150"/>
      <c r="U1341" s="150"/>
      <c r="V1341" s="150"/>
      <c r="W1341" s="150"/>
      <c r="X1341" s="150"/>
      <c r="Y1341" s="150"/>
    </row>
    <row r="1342">
      <c r="A1342" s="150"/>
      <c r="B1342" s="156"/>
      <c r="C1342" s="157"/>
      <c r="D1342" s="150"/>
      <c r="E1342" s="150"/>
      <c r="F1342" s="150"/>
      <c r="G1342" s="150"/>
      <c r="H1342" s="150"/>
      <c r="I1342" s="150"/>
      <c r="J1342" s="150"/>
      <c r="K1342" s="150"/>
      <c r="L1342" s="150"/>
      <c r="M1342" s="150"/>
      <c r="N1342" s="150"/>
      <c r="O1342" s="150"/>
      <c r="P1342" s="150"/>
      <c r="Q1342" s="150"/>
      <c r="R1342" s="150"/>
      <c r="S1342" s="150"/>
      <c r="T1342" s="150"/>
      <c r="U1342" s="150"/>
      <c r="V1342" s="150"/>
      <c r="W1342" s="150"/>
      <c r="X1342" s="150"/>
      <c r="Y1342" s="150"/>
    </row>
    <row r="1343">
      <c r="A1343" s="150"/>
      <c r="B1343" s="156"/>
      <c r="C1343" s="157"/>
      <c r="D1343" s="150"/>
      <c r="E1343" s="150"/>
      <c r="F1343" s="150"/>
      <c r="G1343" s="150"/>
      <c r="H1343" s="150"/>
      <c r="I1343" s="150"/>
      <c r="J1343" s="150"/>
      <c r="K1343" s="150"/>
      <c r="L1343" s="150"/>
      <c r="M1343" s="150"/>
      <c r="N1343" s="150"/>
      <c r="O1343" s="150"/>
      <c r="P1343" s="150"/>
      <c r="Q1343" s="150"/>
      <c r="R1343" s="150"/>
      <c r="S1343" s="150"/>
      <c r="T1343" s="150"/>
      <c r="U1343" s="150"/>
      <c r="V1343" s="150"/>
      <c r="W1343" s="150"/>
      <c r="X1343" s="150"/>
      <c r="Y1343" s="150"/>
    </row>
    <row r="1344">
      <c r="A1344" s="150"/>
      <c r="B1344" s="156"/>
      <c r="C1344" s="157"/>
      <c r="D1344" s="150"/>
      <c r="E1344" s="150"/>
      <c r="F1344" s="150"/>
      <c r="G1344" s="150"/>
      <c r="H1344" s="150"/>
      <c r="I1344" s="150"/>
      <c r="J1344" s="150"/>
      <c r="K1344" s="150"/>
      <c r="L1344" s="150"/>
      <c r="M1344" s="150"/>
      <c r="N1344" s="150"/>
      <c r="O1344" s="150"/>
      <c r="P1344" s="150"/>
      <c r="Q1344" s="150"/>
      <c r="R1344" s="150"/>
      <c r="S1344" s="150"/>
      <c r="T1344" s="150"/>
      <c r="U1344" s="150"/>
      <c r="V1344" s="150"/>
      <c r="W1344" s="150"/>
      <c r="X1344" s="150"/>
      <c r="Y1344" s="150"/>
    </row>
    <row r="1345">
      <c r="A1345" s="150"/>
      <c r="B1345" s="156"/>
      <c r="C1345" s="157"/>
      <c r="D1345" s="150"/>
      <c r="E1345" s="150"/>
      <c r="F1345" s="150"/>
      <c r="G1345" s="150"/>
      <c r="H1345" s="150"/>
      <c r="I1345" s="150"/>
      <c r="J1345" s="150"/>
      <c r="K1345" s="150"/>
      <c r="L1345" s="150"/>
      <c r="M1345" s="150"/>
      <c r="N1345" s="150"/>
      <c r="O1345" s="150"/>
      <c r="P1345" s="150"/>
      <c r="Q1345" s="150"/>
      <c r="R1345" s="150"/>
      <c r="S1345" s="150"/>
      <c r="T1345" s="150"/>
      <c r="U1345" s="150"/>
      <c r="V1345" s="150"/>
      <c r="W1345" s="150"/>
      <c r="X1345" s="150"/>
      <c r="Y1345" s="150"/>
    </row>
    <row r="1346">
      <c r="A1346" s="150"/>
      <c r="B1346" s="156"/>
      <c r="C1346" s="157"/>
      <c r="D1346" s="150"/>
      <c r="E1346" s="150"/>
      <c r="F1346" s="150"/>
      <c r="G1346" s="150"/>
      <c r="H1346" s="150"/>
      <c r="I1346" s="150"/>
      <c r="J1346" s="150"/>
      <c r="K1346" s="150"/>
      <c r="L1346" s="150"/>
      <c r="M1346" s="150"/>
      <c r="N1346" s="150"/>
      <c r="O1346" s="150"/>
      <c r="P1346" s="150"/>
      <c r="Q1346" s="150"/>
      <c r="R1346" s="150"/>
      <c r="S1346" s="150"/>
      <c r="T1346" s="150"/>
      <c r="U1346" s="150"/>
      <c r="V1346" s="150"/>
      <c r="W1346" s="150"/>
      <c r="X1346" s="150"/>
      <c r="Y1346" s="150"/>
    </row>
    <row r="1347">
      <c r="A1347" s="150"/>
      <c r="B1347" s="156"/>
      <c r="C1347" s="157"/>
      <c r="D1347" s="150"/>
      <c r="E1347" s="150"/>
      <c r="F1347" s="150"/>
      <c r="G1347" s="150"/>
      <c r="H1347" s="150"/>
      <c r="I1347" s="150"/>
      <c r="J1347" s="150"/>
      <c r="K1347" s="150"/>
      <c r="L1347" s="150"/>
      <c r="M1347" s="150"/>
      <c r="N1347" s="150"/>
      <c r="O1347" s="150"/>
      <c r="P1347" s="150"/>
      <c r="Q1347" s="150"/>
      <c r="R1347" s="150"/>
      <c r="S1347" s="150"/>
      <c r="T1347" s="150"/>
      <c r="U1347" s="150"/>
      <c r="V1347" s="150"/>
      <c r="W1347" s="150"/>
      <c r="X1347" s="150"/>
      <c r="Y1347" s="150"/>
    </row>
    <row r="1348">
      <c r="A1348" s="150"/>
      <c r="B1348" s="156"/>
      <c r="C1348" s="157"/>
      <c r="D1348" s="150"/>
      <c r="E1348" s="150"/>
      <c r="F1348" s="150"/>
      <c r="G1348" s="150"/>
      <c r="H1348" s="150"/>
      <c r="I1348" s="150"/>
      <c r="J1348" s="150"/>
      <c r="K1348" s="150"/>
      <c r="L1348" s="150"/>
      <c r="M1348" s="150"/>
      <c r="N1348" s="150"/>
      <c r="O1348" s="150"/>
      <c r="P1348" s="150"/>
      <c r="Q1348" s="150"/>
      <c r="R1348" s="150"/>
      <c r="S1348" s="150"/>
      <c r="T1348" s="150"/>
      <c r="U1348" s="150"/>
      <c r="V1348" s="150"/>
      <c r="W1348" s="150"/>
      <c r="X1348" s="150"/>
      <c r="Y1348" s="150"/>
    </row>
    <row r="1349">
      <c r="A1349" s="150"/>
      <c r="B1349" s="156"/>
      <c r="C1349" s="157"/>
      <c r="D1349" s="150"/>
      <c r="E1349" s="150"/>
      <c r="F1349" s="150"/>
      <c r="G1349" s="150"/>
      <c r="H1349" s="150"/>
      <c r="I1349" s="150"/>
      <c r="J1349" s="150"/>
      <c r="K1349" s="150"/>
      <c r="L1349" s="150"/>
      <c r="M1349" s="150"/>
      <c r="N1349" s="150"/>
      <c r="O1349" s="150"/>
      <c r="P1349" s="150"/>
      <c r="Q1349" s="150"/>
      <c r="R1349" s="150"/>
      <c r="S1349" s="150"/>
      <c r="T1349" s="150"/>
      <c r="U1349" s="150"/>
      <c r="V1349" s="150"/>
      <c r="W1349" s="150"/>
      <c r="X1349" s="150"/>
      <c r="Y1349" s="150"/>
    </row>
    <row r="1350">
      <c r="A1350" s="150"/>
      <c r="B1350" s="156"/>
      <c r="C1350" s="157"/>
      <c r="D1350" s="150"/>
      <c r="E1350" s="150"/>
      <c r="F1350" s="150"/>
      <c r="G1350" s="150"/>
      <c r="H1350" s="150"/>
      <c r="I1350" s="150"/>
      <c r="J1350" s="150"/>
      <c r="K1350" s="150"/>
      <c r="L1350" s="150"/>
      <c r="M1350" s="150"/>
      <c r="N1350" s="150"/>
      <c r="O1350" s="150"/>
      <c r="P1350" s="150"/>
      <c r="Q1350" s="150"/>
      <c r="R1350" s="150"/>
      <c r="S1350" s="150"/>
      <c r="T1350" s="150"/>
      <c r="U1350" s="150"/>
      <c r="V1350" s="150"/>
      <c r="W1350" s="150"/>
      <c r="X1350" s="150"/>
      <c r="Y1350" s="150"/>
    </row>
    <row r="1351">
      <c r="A1351" s="150"/>
      <c r="B1351" s="156"/>
      <c r="C1351" s="157"/>
      <c r="D1351" s="150"/>
      <c r="E1351" s="150"/>
      <c r="F1351" s="150"/>
      <c r="G1351" s="150"/>
      <c r="H1351" s="150"/>
      <c r="I1351" s="150"/>
      <c r="J1351" s="150"/>
      <c r="K1351" s="150"/>
      <c r="L1351" s="150"/>
      <c r="M1351" s="150"/>
      <c r="N1351" s="150"/>
      <c r="O1351" s="150"/>
      <c r="P1351" s="150"/>
      <c r="Q1351" s="150"/>
      <c r="R1351" s="150"/>
      <c r="S1351" s="150"/>
      <c r="T1351" s="150"/>
      <c r="U1351" s="150"/>
      <c r="V1351" s="150"/>
      <c r="W1351" s="150"/>
      <c r="X1351" s="150"/>
      <c r="Y1351" s="150"/>
    </row>
    <row r="1352">
      <c r="A1352" s="150"/>
      <c r="B1352" s="156"/>
      <c r="C1352" s="157"/>
      <c r="D1352" s="150"/>
      <c r="E1352" s="150"/>
      <c r="F1352" s="150"/>
      <c r="G1352" s="150"/>
      <c r="H1352" s="150"/>
      <c r="I1352" s="150"/>
      <c r="J1352" s="150"/>
      <c r="K1352" s="150"/>
      <c r="L1352" s="150"/>
      <c r="M1352" s="150"/>
      <c r="N1352" s="150"/>
      <c r="O1352" s="150"/>
      <c r="P1352" s="150"/>
      <c r="Q1352" s="150"/>
      <c r="R1352" s="150"/>
      <c r="S1352" s="150"/>
      <c r="T1352" s="150"/>
      <c r="U1352" s="150"/>
      <c r="V1352" s="150"/>
      <c r="W1352" s="150"/>
      <c r="X1352" s="150"/>
      <c r="Y1352" s="150"/>
    </row>
    <row r="1353">
      <c r="A1353" s="150"/>
      <c r="B1353" s="156"/>
      <c r="C1353" s="157"/>
      <c r="D1353" s="150"/>
      <c r="E1353" s="150"/>
      <c r="F1353" s="150"/>
      <c r="G1353" s="150"/>
      <c r="H1353" s="150"/>
      <c r="I1353" s="150"/>
      <c r="J1353" s="150"/>
      <c r="K1353" s="150"/>
      <c r="L1353" s="150"/>
      <c r="M1353" s="150"/>
      <c r="N1353" s="150"/>
      <c r="O1353" s="150"/>
      <c r="P1353" s="150"/>
      <c r="Q1353" s="150"/>
      <c r="R1353" s="150"/>
      <c r="S1353" s="150"/>
      <c r="T1353" s="150"/>
      <c r="U1353" s="150"/>
      <c r="V1353" s="150"/>
      <c r="W1353" s="150"/>
      <c r="X1353" s="150"/>
      <c r="Y1353" s="150"/>
    </row>
    <row r="1354">
      <c r="A1354" s="150"/>
      <c r="B1354" s="156"/>
      <c r="C1354" s="157"/>
      <c r="D1354" s="150"/>
      <c r="E1354" s="150"/>
      <c r="F1354" s="150"/>
      <c r="G1354" s="150"/>
      <c r="H1354" s="150"/>
      <c r="I1354" s="150"/>
      <c r="J1354" s="150"/>
      <c r="K1354" s="150"/>
      <c r="L1354" s="150"/>
      <c r="M1354" s="150"/>
      <c r="N1354" s="150"/>
      <c r="O1354" s="150"/>
      <c r="P1354" s="150"/>
      <c r="Q1354" s="150"/>
      <c r="R1354" s="150"/>
      <c r="S1354" s="150"/>
      <c r="T1354" s="150"/>
      <c r="U1354" s="150"/>
      <c r="V1354" s="150"/>
      <c r="W1354" s="150"/>
      <c r="X1354" s="150"/>
      <c r="Y1354" s="150"/>
    </row>
    <row r="1355">
      <c r="A1355" s="150"/>
      <c r="B1355" s="156"/>
      <c r="C1355" s="157"/>
      <c r="D1355" s="150"/>
      <c r="E1355" s="150"/>
      <c r="F1355" s="150"/>
      <c r="G1355" s="150"/>
      <c r="H1355" s="150"/>
      <c r="I1355" s="150"/>
      <c r="J1355" s="150"/>
      <c r="K1355" s="150"/>
      <c r="L1355" s="150"/>
      <c r="M1355" s="150"/>
      <c r="N1355" s="150"/>
      <c r="O1355" s="150"/>
      <c r="P1355" s="150"/>
      <c r="Q1355" s="150"/>
      <c r="R1355" s="150"/>
      <c r="S1355" s="150"/>
      <c r="T1355" s="150"/>
      <c r="U1355" s="150"/>
      <c r="V1355" s="150"/>
      <c r="W1355" s="150"/>
      <c r="X1355" s="150"/>
      <c r="Y1355" s="150"/>
    </row>
    <row r="1356">
      <c r="A1356" s="150"/>
      <c r="B1356" s="156"/>
      <c r="C1356" s="157"/>
      <c r="D1356" s="150"/>
      <c r="E1356" s="150"/>
      <c r="F1356" s="150"/>
      <c r="G1356" s="150"/>
      <c r="H1356" s="150"/>
      <c r="I1356" s="150"/>
      <c r="J1356" s="150"/>
      <c r="K1356" s="150"/>
      <c r="L1356" s="150"/>
      <c r="M1356" s="150"/>
      <c r="N1356" s="150"/>
      <c r="O1356" s="150"/>
      <c r="P1356" s="150"/>
      <c r="Q1356" s="150"/>
      <c r="R1356" s="150"/>
      <c r="S1356" s="150"/>
      <c r="T1356" s="150"/>
      <c r="U1356" s="150"/>
      <c r="V1356" s="150"/>
      <c r="W1356" s="150"/>
      <c r="X1356" s="150"/>
      <c r="Y1356" s="150"/>
    </row>
    <row r="1357">
      <c r="A1357" s="150"/>
      <c r="B1357" s="156"/>
      <c r="C1357" s="157"/>
      <c r="D1357" s="150"/>
      <c r="E1357" s="150"/>
      <c r="F1357" s="150"/>
      <c r="G1357" s="150"/>
      <c r="H1357" s="150"/>
      <c r="I1357" s="150"/>
      <c r="J1357" s="150"/>
      <c r="K1357" s="150"/>
      <c r="L1357" s="150"/>
      <c r="M1357" s="150"/>
      <c r="N1357" s="150"/>
      <c r="O1357" s="150"/>
      <c r="P1357" s="150"/>
      <c r="Q1357" s="150"/>
      <c r="R1357" s="150"/>
      <c r="S1357" s="150"/>
      <c r="T1357" s="150"/>
      <c r="U1357" s="150"/>
      <c r="V1357" s="150"/>
      <c r="W1357" s="150"/>
      <c r="X1357" s="150"/>
      <c r="Y1357" s="150"/>
    </row>
    <row r="1358">
      <c r="A1358" s="150"/>
      <c r="B1358" s="156"/>
      <c r="C1358" s="157"/>
      <c r="D1358" s="150"/>
      <c r="E1358" s="150"/>
      <c r="F1358" s="150"/>
      <c r="G1358" s="150"/>
      <c r="H1358" s="150"/>
      <c r="I1358" s="150"/>
      <c r="J1358" s="150"/>
      <c r="K1358" s="150"/>
      <c r="L1358" s="150"/>
      <c r="M1358" s="150"/>
      <c r="N1358" s="150"/>
      <c r="O1358" s="150"/>
      <c r="P1358" s="150"/>
      <c r="Q1358" s="150"/>
      <c r="R1358" s="150"/>
      <c r="S1358" s="150"/>
      <c r="T1358" s="150"/>
      <c r="U1358" s="150"/>
      <c r="V1358" s="150"/>
      <c r="W1358" s="150"/>
      <c r="X1358" s="150"/>
      <c r="Y1358" s="150"/>
    </row>
    <row r="1359">
      <c r="A1359" s="150"/>
      <c r="B1359" s="156"/>
      <c r="C1359" s="157"/>
      <c r="D1359" s="150"/>
      <c r="E1359" s="150"/>
      <c r="F1359" s="150"/>
      <c r="G1359" s="150"/>
      <c r="H1359" s="150"/>
      <c r="I1359" s="150"/>
      <c r="J1359" s="150"/>
      <c r="K1359" s="150"/>
      <c r="L1359" s="150"/>
      <c r="M1359" s="150"/>
      <c r="N1359" s="150"/>
      <c r="O1359" s="150"/>
      <c r="P1359" s="150"/>
      <c r="Q1359" s="150"/>
      <c r="R1359" s="150"/>
      <c r="S1359" s="150"/>
      <c r="T1359" s="150"/>
      <c r="U1359" s="150"/>
      <c r="V1359" s="150"/>
      <c r="W1359" s="150"/>
      <c r="X1359" s="150"/>
      <c r="Y1359" s="150"/>
    </row>
    <row r="1360">
      <c r="A1360" s="150"/>
      <c r="B1360" s="156"/>
      <c r="C1360" s="157"/>
      <c r="D1360" s="150"/>
      <c r="E1360" s="150"/>
      <c r="F1360" s="150"/>
      <c r="G1360" s="150"/>
      <c r="H1360" s="150"/>
      <c r="I1360" s="150"/>
      <c r="J1360" s="150"/>
      <c r="K1360" s="150"/>
      <c r="L1360" s="150"/>
      <c r="M1360" s="150"/>
      <c r="N1360" s="150"/>
      <c r="O1360" s="150"/>
      <c r="P1360" s="150"/>
      <c r="Q1360" s="150"/>
      <c r="R1360" s="150"/>
      <c r="S1360" s="150"/>
      <c r="T1360" s="150"/>
      <c r="U1360" s="150"/>
      <c r="V1360" s="150"/>
      <c r="W1360" s="150"/>
      <c r="X1360" s="150"/>
      <c r="Y1360" s="150"/>
    </row>
    <row r="1361">
      <c r="A1361" s="150"/>
      <c r="B1361" s="156"/>
      <c r="C1361" s="157"/>
      <c r="D1361" s="150"/>
      <c r="E1361" s="150"/>
      <c r="F1361" s="150"/>
      <c r="G1361" s="150"/>
      <c r="H1361" s="150"/>
      <c r="I1361" s="150"/>
      <c r="J1361" s="150"/>
      <c r="K1361" s="150"/>
      <c r="L1361" s="150"/>
      <c r="M1361" s="150"/>
      <c r="N1361" s="150"/>
      <c r="O1361" s="150"/>
      <c r="P1361" s="150"/>
      <c r="Q1361" s="150"/>
      <c r="R1361" s="150"/>
      <c r="S1361" s="150"/>
      <c r="T1361" s="150"/>
      <c r="U1361" s="150"/>
      <c r="V1361" s="150"/>
      <c r="W1361" s="150"/>
      <c r="X1361" s="150"/>
      <c r="Y1361" s="150"/>
    </row>
    <row r="1362">
      <c r="A1362" s="150"/>
      <c r="B1362" s="156"/>
      <c r="C1362" s="157"/>
      <c r="D1362" s="150"/>
      <c r="E1362" s="150"/>
      <c r="F1362" s="150"/>
      <c r="G1362" s="150"/>
      <c r="H1362" s="150"/>
      <c r="I1362" s="150"/>
      <c r="J1362" s="150"/>
      <c r="K1362" s="150"/>
      <c r="L1362" s="150"/>
      <c r="M1362" s="150"/>
      <c r="N1362" s="150"/>
      <c r="O1362" s="150"/>
      <c r="P1362" s="150"/>
      <c r="Q1362" s="150"/>
      <c r="R1362" s="150"/>
      <c r="S1362" s="150"/>
      <c r="T1362" s="150"/>
      <c r="U1362" s="150"/>
      <c r="V1362" s="150"/>
      <c r="W1362" s="150"/>
      <c r="X1362" s="150"/>
      <c r="Y1362" s="150"/>
    </row>
    <row r="1363">
      <c r="A1363" s="150"/>
      <c r="B1363" s="156"/>
      <c r="C1363" s="157"/>
      <c r="D1363" s="150"/>
      <c r="E1363" s="150"/>
      <c r="F1363" s="150"/>
      <c r="G1363" s="150"/>
      <c r="H1363" s="150"/>
      <c r="I1363" s="150"/>
      <c r="J1363" s="150"/>
      <c r="K1363" s="150"/>
      <c r="L1363" s="150"/>
      <c r="M1363" s="150"/>
      <c r="N1363" s="150"/>
      <c r="O1363" s="150"/>
      <c r="P1363" s="150"/>
      <c r="Q1363" s="150"/>
      <c r="R1363" s="150"/>
      <c r="S1363" s="150"/>
      <c r="T1363" s="150"/>
      <c r="U1363" s="150"/>
      <c r="V1363" s="150"/>
      <c r="W1363" s="150"/>
      <c r="X1363" s="150"/>
      <c r="Y1363" s="150"/>
    </row>
    <row r="1364">
      <c r="A1364" s="150"/>
      <c r="B1364" s="156"/>
      <c r="C1364" s="157"/>
      <c r="D1364" s="150"/>
      <c r="E1364" s="150"/>
      <c r="F1364" s="150"/>
      <c r="G1364" s="150"/>
      <c r="H1364" s="150"/>
      <c r="I1364" s="150"/>
      <c r="J1364" s="150"/>
      <c r="K1364" s="150"/>
      <c r="L1364" s="150"/>
      <c r="M1364" s="150"/>
      <c r="N1364" s="150"/>
      <c r="O1364" s="150"/>
      <c r="P1364" s="150"/>
      <c r="Q1364" s="150"/>
      <c r="R1364" s="150"/>
      <c r="S1364" s="150"/>
      <c r="T1364" s="150"/>
      <c r="U1364" s="150"/>
      <c r="V1364" s="150"/>
      <c r="W1364" s="150"/>
      <c r="X1364" s="150"/>
      <c r="Y1364" s="150"/>
    </row>
    <row r="1365">
      <c r="A1365" s="150"/>
      <c r="B1365" s="156"/>
      <c r="C1365" s="157"/>
      <c r="D1365" s="150"/>
      <c r="E1365" s="150"/>
      <c r="F1365" s="150"/>
      <c r="G1365" s="150"/>
      <c r="H1365" s="150"/>
      <c r="I1365" s="150"/>
      <c r="J1365" s="150"/>
      <c r="K1365" s="150"/>
      <c r="L1365" s="150"/>
      <c r="M1365" s="150"/>
      <c r="N1365" s="150"/>
      <c r="O1365" s="150"/>
      <c r="P1365" s="150"/>
      <c r="Q1365" s="150"/>
      <c r="R1365" s="150"/>
      <c r="S1365" s="150"/>
      <c r="T1365" s="150"/>
      <c r="U1365" s="150"/>
      <c r="V1365" s="150"/>
      <c r="W1365" s="150"/>
      <c r="X1365" s="150"/>
      <c r="Y1365" s="150"/>
    </row>
    <row r="1366">
      <c r="A1366" s="150"/>
      <c r="B1366" s="156"/>
      <c r="C1366" s="157"/>
      <c r="D1366" s="150"/>
      <c r="E1366" s="150"/>
      <c r="F1366" s="150"/>
      <c r="G1366" s="150"/>
      <c r="H1366" s="150"/>
      <c r="I1366" s="150"/>
      <c r="J1366" s="150"/>
      <c r="K1366" s="150"/>
      <c r="L1366" s="150"/>
      <c r="M1366" s="150"/>
      <c r="N1366" s="150"/>
      <c r="O1366" s="150"/>
      <c r="P1366" s="150"/>
      <c r="Q1366" s="150"/>
      <c r="R1366" s="150"/>
      <c r="S1366" s="150"/>
      <c r="T1366" s="150"/>
      <c r="U1366" s="150"/>
      <c r="V1366" s="150"/>
      <c r="W1366" s="150"/>
      <c r="X1366" s="150"/>
      <c r="Y1366" s="150"/>
    </row>
    <row r="1367">
      <c r="A1367" s="150"/>
      <c r="B1367" s="156"/>
      <c r="C1367" s="157"/>
      <c r="D1367" s="150"/>
      <c r="E1367" s="150"/>
      <c r="F1367" s="150"/>
      <c r="G1367" s="150"/>
      <c r="H1367" s="150"/>
      <c r="I1367" s="150"/>
      <c r="J1367" s="150"/>
      <c r="K1367" s="150"/>
      <c r="L1367" s="150"/>
      <c r="M1367" s="150"/>
      <c r="N1367" s="150"/>
      <c r="O1367" s="150"/>
      <c r="P1367" s="150"/>
      <c r="Q1367" s="150"/>
      <c r="R1367" s="150"/>
      <c r="S1367" s="150"/>
      <c r="T1367" s="150"/>
      <c r="U1367" s="150"/>
      <c r="V1367" s="150"/>
      <c r="W1367" s="150"/>
      <c r="X1367" s="150"/>
      <c r="Y1367" s="150"/>
    </row>
    <row r="1368">
      <c r="A1368" s="150"/>
      <c r="B1368" s="156"/>
      <c r="C1368" s="157"/>
      <c r="D1368" s="150"/>
      <c r="E1368" s="150"/>
      <c r="F1368" s="150"/>
      <c r="G1368" s="150"/>
      <c r="H1368" s="150"/>
      <c r="I1368" s="150"/>
      <c r="J1368" s="150"/>
      <c r="K1368" s="150"/>
      <c r="L1368" s="150"/>
      <c r="M1368" s="150"/>
      <c r="N1368" s="150"/>
      <c r="O1368" s="150"/>
      <c r="P1368" s="150"/>
      <c r="Q1368" s="150"/>
      <c r="R1368" s="150"/>
      <c r="S1368" s="150"/>
      <c r="T1368" s="150"/>
      <c r="U1368" s="150"/>
      <c r="V1368" s="150"/>
      <c r="W1368" s="150"/>
      <c r="X1368" s="150"/>
      <c r="Y1368" s="150"/>
    </row>
    <row r="1369">
      <c r="A1369" s="150"/>
      <c r="B1369" s="156"/>
      <c r="C1369" s="157"/>
      <c r="D1369" s="150"/>
      <c r="E1369" s="150"/>
      <c r="F1369" s="150"/>
      <c r="G1369" s="150"/>
      <c r="H1369" s="150"/>
      <c r="I1369" s="150"/>
      <c r="J1369" s="150"/>
      <c r="K1369" s="150"/>
      <c r="L1369" s="150"/>
      <c r="M1369" s="150"/>
      <c r="N1369" s="150"/>
      <c r="O1369" s="150"/>
      <c r="P1369" s="150"/>
      <c r="Q1369" s="150"/>
      <c r="R1369" s="150"/>
      <c r="S1369" s="150"/>
      <c r="T1369" s="150"/>
      <c r="U1369" s="150"/>
      <c r="V1369" s="150"/>
      <c r="W1369" s="150"/>
      <c r="X1369" s="150"/>
      <c r="Y1369" s="150"/>
    </row>
    <row r="1370">
      <c r="A1370" s="150"/>
      <c r="B1370" s="156"/>
      <c r="C1370" s="157"/>
      <c r="D1370" s="150"/>
      <c r="E1370" s="150"/>
      <c r="F1370" s="150"/>
      <c r="G1370" s="150"/>
      <c r="H1370" s="150"/>
      <c r="I1370" s="150"/>
      <c r="J1370" s="150"/>
      <c r="K1370" s="150"/>
      <c r="L1370" s="150"/>
      <c r="M1370" s="150"/>
      <c r="N1370" s="150"/>
      <c r="O1370" s="150"/>
      <c r="P1370" s="150"/>
      <c r="Q1370" s="150"/>
      <c r="R1370" s="150"/>
      <c r="S1370" s="150"/>
      <c r="T1370" s="150"/>
      <c r="U1370" s="150"/>
      <c r="V1370" s="150"/>
      <c r="W1370" s="150"/>
      <c r="X1370" s="150"/>
      <c r="Y1370" s="150"/>
    </row>
    <row r="1371">
      <c r="A1371" s="150"/>
      <c r="B1371" s="156"/>
      <c r="C1371" s="157"/>
      <c r="D1371" s="150"/>
      <c r="E1371" s="150"/>
      <c r="F1371" s="150"/>
      <c r="G1371" s="150"/>
      <c r="H1371" s="150"/>
      <c r="I1371" s="150"/>
      <c r="J1371" s="150"/>
      <c r="K1371" s="150"/>
      <c r="L1371" s="150"/>
      <c r="M1371" s="150"/>
      <c r="N1371" s="150"/>
      <c r="O1371" s="150"/>
      <c r="P1371" s="150"/>
      <c r="Q1371" s="150"/>
      <c r="R1371" s="150"/>
      <c r="S1371" s="150"/>
      <c r="T1371" s="150"/>
      <c r="U1371" s="150"/>
      <c r="V1371" s="150"/>
      <c r="W1371" s="150"/>
      <c r="X1371" s="150"/>
      <c r="Y1371" s="150"/>
    </row>
    <row r="1372">
      <c r="A1372" s="150"/>
      <c r="B1372" s="156"/>
      <c r="C1372" s="157"/>
      <c r="D1372" s="150"/>
      <c r="E1372" s="150"/>
      <c r="F1372" s="150"/>
      <c r="G1372" s="150"/>
      <c r="H1372" s="150"/>
      <c r="I1372" s="150"/>
      <c r="J1372" s="150"/>
      <c r="K1372" s="150"/>
      <c r="L1372" s="150"/>
      <c r="M1372" s="150"/>
      <c r="N1372" s="150"/>
      <c r="O1372" s="150"/>
      <c r="P1372" s="150"/>
      <c r="Q1372" s="150"/>
      <c r="R1372" s="150"/>
      <c r="S1372" s="150"/>
      <c r="T1372" s="150"/>
      <c r="U1372" s="150"/>
      <c r="V1372" s="150"/>
      <c r="W1372" s="150"/>
      <c r="X1372" s="150"/>
      <c r="Y1372" s="150"/>
    </row>
    <row r="1373">
      <c r="A1373" s="150"/>
      <c r="B1373" s="156"/>
      <c r="C1373" s="157"/>
      <c r="D1373" s="150"/>
      <c r="E1373" s="150"/>
      <c r="F1373" s="150"/>
      <c r="G1373" s="150"/>
      <c r="H1373" s="150"/>
      <c r="I1373" s="150"/>
      <c r="J1373" s="150"/>
      <c r="K1373" s="150"/>
      <c r="L1373" s="150"/>
      <c r="M1373" s="150"/>
      <c r="N1373" s="150"/>
      <c r="O1373" s="150"/>
      <c r="P1373" s="150"/>
      <c r="Q1373" s="150"/>
      <c r="R1373" s="150"/>
      <c r="S1373" s="150"/>
      <c r="T1373" s="150"/>
      <c r="U1373" s="150"/>
      <c r="V1373" s="150"/>
      <c r="W1373" s="150"/>
      <c r="X1373" s="150"/>
      <c r="Y1373" s="150"/>
    </row>
    <row r="1374">
      <c r="A1374" s="150"/>
      <c r="B1374" s="156"/>
      <c r="C1374" s="157"/>
      <c r="D1374" s="150"/>
      <c r="E1374" s="150"/>
      <c r="F1374" s="150"/>
      <c r="G1374" s="150"/>
      <c r="H1374" s="150"/>
      <c r="I1374" s="150"/>
      <c r="J1374" s="150"/>
      <c r="K1374" s="150"/>
      <c r="L1374" s="150"/>
      <c r="M1374" s="150"/>
      <c r="N1374" s="150"/>
      <c r="O1374" s="150"/>
      <c r="P1374" s="150"/>
      <c r="Q1374" s="150"/>
      <c r="R1374" s="150"/>
      <c r="S1374" s="150"/>
      <c r="T1374" s="150"/>
      <c r="U1374" s="150"/>
      <c r="V1374" s="150"/>
      <c r="W1374" s="150"/>
      <c r="X1374" s="150"/>
      <c r="Y1374" s="150"/>
    </row>
    <row r="1375">
      <c r="A1375" s="150"/>
      <c r="B1375" s="156"/>
      <c r="C1375" s="157"/>
      <c r="D1375" s="150"/>
      <c r="E1375" s="150"/>
      <c r="F1375" s="150"/>
      <c r="G1375" s="150"/>
      <c r="H1375" s="150"/>
      <c r="I1375" s="150"/>
      <c r="J1375" s="150"/>
      <c r="K1375" s="150"/>
      <c r="L1375" s="150"/>
      <c r="M1375" s="150"/>
      <c r="N1375" s="150"/>
      <c r="O1375" s="150"/>
      <c r="P1375" s="150"/>
      <c r="Q1375" s="150"/>
      <c r="R1375" s="150"/>
      <c r="S1375" s="150"/>
      <c r="T1375" s="150"/>
      <c r="U1375" s="150"/>
      <c r="V1375" s="150"/>
      <c r="W1375" s="150"/>
      <c r="X1375" s="150"/>
      <c r="Y1375" s="150"/>
    </row>
    <row r="1376">
      <c r="A1376" s="150"/>
      <c r="B1376" s="156"/>
      <c r="C1376" s="157"/>
      <c r="D1376" s="150"/>
      <c r="E1376" s="150"/>
      <c r="F1376" s="150"/>
      <c r="G1376" s="150"/>
      <c r="H1376" s="150"/>
      <c r="I1376" s="150"/>
      <c r="J1376" s="150"/>
      <c r="K1376" s="150"/>
      <c r="L1376" s="150"/>
      <c r="M1376" s="150"/>
      <c r="N1376" s="150"/>
      <c r="O1376" s="150"/>
      <c r="P1376" s="150"/>
      <c r="Q1376" s="150"/>
      <c r="R1376" s="150"/>
      <c r="S1376" s="150"/>
      <c r="T1376" s="150"/>
      <c r="U1376" s="150"/>
      <c r="V1376" s="150"/>
      <c r="W1376" s="150"/>
      <c r="X1376" s="150"/>
      <c r="Y1376" s="150"/>
    </row>
    <row r="1377">
      <c r="A1377" s="150"/>
      <c r="B1377" s="156"/>
      <c r="C1377" s="157"/>
      <c r="D1377" s="150"/>
      <c r="E1377" s="150"/>
      <c r="F1377" s="150"/>
      <c r="G1377" s="150"/>
      <c r="H1377" s="150"/>
      <c r="I1377" s="150"/>
      <c r="J1377" s="150"/>
      <c r="K1377" s="150"/>
      <c r="L1377" s="150"/>
      <c r="M1377" s="150"/>
      <c r="N1377" s="150"/>
      <c r="O1377" s="150"/>
      <c r="P1377" s="150"/>
      <c r="Q1377" s="150"/>
      <c r="R1377" s="150"/>
      <c r="S1377" s="150"/>
      <c r="T1377" s="150"/>
      <c r="U1377" s="150"/>
      <c r="V1377" s="150"/>
      <c r="W1377" s="150"/>
      <c r="X1377" s="150"/>
      <c r="Y1377" s="150"/>
    </row>
    <row r="1378">
      <c r="A1378" s="150"/>
      <c r="B1378" s="156"/>
      <c r="C1378" s="157"/>
      <c r="D1378" s="150"/>
      <c r="E1378" s="150"/>
      <c r="F1378" s="150"/>
      <c r="G1378" s="150"/>
      <c r="H1378" s="150"/>
      <c r="I1378" s="150"/>
      <c r="J1378" s="150"/>
      <c r="K1378" s="150"/>
      <c r="L1378" s="150"/>
      <c r="M1378" s="150"/>
      <c r="N1378" s="150"/>
      <c r="O1378" s="150"/>
      <c r="P1378" s="150"/>
      <c r="Q1378" s="150"/>
      <c r="R1378" s="150"/>
      <c r="S1378" s="150"/>
      <c r="T1378" s="150"/>
      <c r="U1378" s="150"/>
      <c r="V1378" s="150"/>
      <c r="W1378" s="150"/>
      <c r="X1378" s="150"/>
      <c r="Y1378" s="150"/>
    </row>
    <row r="1379">
      <c r="A1379" s="150"/>
      <c r="B1379" s="156"/>
      <c r="C1379" s="157"/>
      <c r="D1379" s="150"/>
      <c r="E1379" s="150"/>
      <c r="F1379" s="150"/>
      <c r="G1379" s="150"/>
      <c r="H1379" s="150"/>
      <c r="I1379" s="150"/>
      <c r="J1379" s="150"/>
      <c r="K1379" s="150"/>
      <c r="L1379" s="150"/>
      <c r="M1379" s="150"/>
      <c r="N1379" s="150"/>
      <c r="O1379" s="150"/>
      <c r="P1379" s="150"/>
      <c r="Q1379" s="150"/>
      <c r="R1379" s="150"/>
      <c r="S1379" s="150"/>
      <c r="T1379" s="150"/>
      <c r="U1379" s="150"/>
      <c r="V1379" s="150"/>
      <c r="W1379" s="150"/>
      <c r="X1379" s="150"/>
      <c r="Y1379" s="150"/>
    </row>
    <row r="1380">
      <c r="A1380" s="150"/>
      <c r="B1380" s="156"/>
      <c r="C1380" s="157"/>
      <c r="D1380" s="150"/>
      <c r="E1380" s="150"/>
      <c r="F1380" s="150"/>
      <c r="G1380" s="150"/>
      <c r="H1380" s="150"/>
      <c r="I1380" s="150"/>
      <c r="J1380" s="150"/>
      <c r="K1380" s="150"/>
      <c r="L1380" s="150"/>
      <c r="M1380" s="150"/>
      <c r="N1380" s="150"/>
      <c r="O1380" s="150"/>
      <c r="P1380" s="150"/>
      <c r="Q1380" s="150"/>
      <c r="R1380" s="150"/>
      <c r="S1380" s="150"/>
      <c r="T1380" s="150"/>
      <c r="U1380" s="150"/>
      <c r="V1380" s="150"/>
      <c r="W1380" s="150"/>
      <c r="X1380" s="150"/>
      <c r="Y1380" s="150"/>
    </row>
    <row r="1381">
      <c r="A1381" s="150"/>
      <c r="B1381" s="156"/>
      <c r="C1381" s="157"/>
      <c r="D1381" s="150"/>
      <c r="E1381" s="150"/>
      <c r="F1381" s="150"/>
      <c r="G1381" s="150"/>
      <c r="H1381" s="150"/>
      <c r="I1381" s="150"/>
      <c r="J1381" s="150"/>
      <c r="K1381" s="150"/>
      <c r="L1381" s="150"/>
      <c r="M1381" s="150"/>
      <c r="N1381" s="150"/>
      <c r="O1381" s="150"/>
      <c r="P1381" s="150"/>
      <c r="Q1381" s="150"/>
      <c r="R1381" s="150"/>
      <c r="S1381" s="150"/>
      <c r="T1381" s="150"/>
      <c r="U1381" s="150"/>
      <c r="V1381" s="150"/>
      <c r="W1381" s="150"/>
      <c r="X1381" s="150"/>
      <c r="Y1381" s="150"/>
    </row>
    <row r="1382">
      <c r="A1382" s="150"/>
      <c r="B1382" s="156"/>
      <c r="C1382" s="157"/>
      <c r="D1382" s="150"/>
      <c r="E1382" s="150"/>
      <c r="F1382" s="150"/>
      <c r="G1382" s="150"/>
      <c r="H1382" s="150"/>
      <c r="I1382" s="150"/>
      <c r="J1382" s="150"/>
      <c r="K1382" s="150"/>
      <c r="L1382" s="150"/>
      <c r="M1382" s="150"/>
      <c r="N1382" s="150"/>
      <c r="O1382" s="150"/>
      <c r="P1382" s="150"/>
      <c r="Q1382" s="150"/>
      <c r="R1382" s="150"/>
      <c r="S1382" s="150"/>
      <c r="T1382" s="150"/>
      <c r="U1382" s="150"/>
      <c r="V1382" s="150"/>
      <c r="W1382" s="150"/>
      <c r="X1382" s="150"/>
      <c r="Y1382" s="150"/>
    </row>
    <row r="1383">
      <c r="A1383" s="150"/>
      <c r="B1383" s="156"/>
      <c r="C1383" s="157"/>
      <c r="D1383" s="150"/>
      <c r="E1383" s="150"/>
      <c r="F1383" s="150"/>
      <c r="G1383" s="150"/>
      <c r="H1383" s="150"/>
      <c r="I1383" s="150"/>
      <c r="J1383" s="150"/>
      <c r="K1383" s="150"/>
      <c r="L1383" s="150"/>
      <c r="M1383" s="150"/>
      <c r="N1383" s="150"/>
      <c r="O1383" s="150"/>
      <c r="P1383" s="150"/>
      <c r="Q1383" s="150"/>
      <c r="R1383" s="150"/>
      <c r="S1383" s="150"/>
      <c r="T1383" s="150"/>
      <c r="U1383" s="150"/>
      <c r="V1383" s="150"/>
      <c r="W1383" s="150"/>
      <c r="X1383" s="150"/>
      <c r="Y1383" s="150"/>
    </row>
    <row r="1384">
      <c r="A1384" s="150"/>
      <c r="B1384" s="156"/>
      <c r="C1384" s="157"/>
      <c r="D1384" s="150"/>
      <c r="E1384" s="150"/>
      <c r="F1384" s="150"/>
      <c r="G1384" s="150"/>
      <c r="H1384" s="150"/>
      <c r="I1384" s="150"/>
      <c r="J1384" s="150"/>
      <c r="K1384" s="150"/>
      <c r="L1384" s="150"/>
      <c r="M1384" s="150"/>
      <c r="N1384" s="150"/>
      <c r="O1384" s="150"/>
      <c r="P1384" s="150"/>
      <c r="Q1384" s="150"/>
      <c r="R1384" s="150"/>
      <c r="S1384" s="150"/>
      <c r="T1384" s="150"/>
      <c r="U1384" s="150"/>
      <c r="V1384" s="150"/>
      <c r="W1384" s="150"/>
      <c r="X1384" s="150"/>
      <c r="Y1384" s="150"/>
    </row>
    <row r="1385">
      <c r="A1385" s="150"/>
      <c r="B1385" s="156"/>
      <c r="C1385" s="157"/>
      <c r="D1385" s="150"/>
      <c r="E1385" s="150"/>
      <c r="F1385" s="150"/>
      <c r="G1385" s="150"/>
      <c r="H1385" s="150"/>
      <c r="I1385" s="150"/>
      <c r="J1385" s="150"/>
      <c r="K1385" s="150"/>
      <c r="L1385" s="150"/>
      <c r="M1385" s="150"/>
      <c r="N1385" s="150"/>
      <c r="O1385" s="150"/>
      <c r="P1385" s="150"/>
      <c r="Q1385" s="150"/>
      <c r="R1385" s="150"/>
      <c r="S1385" s="150"/>
      <c r="T1385" s="150"/>
      <c r="U1385" s="150"/>
      <c r="V1385" s="150"/>
      <c r="W1385" s="150"/>
      <c r="X1385" s="150"/>
      <c r="Y1385" s="150"/>
    </row>
    <row r="1386">
      <c r="A1386" s="150"/>
      <c r="B1386" s="156"/>
      <c r="C1386" s="157"/>
      <c r="D1386" s="150"/>
      <c r="E1386" s="150"/>
      <c r="F1386" s="150"/>
      <c r="G1386" s="150"/>
      <c r="H1386" s="150"/>
      <c r="I1386" s="150"/>
      <c r="J1386" s="150"/>
      <c r="K1386" s="150"/>
      <c r="L1386" s="150"/>
      <c r="M1386" s="150"/>
      <c r="N1386" s="150"/>
      <c r="O1386" s="150"/>
      <c r="P1386" s="150"/>
      <c r="Q1386" s="150"/>
      <c r="R1386" s="150"/>
      <c r="S1386" s="150"/>
      <c r="T1386" s="150"/>
      <c r="U1386" s="150"/>
      <c r="V1386" s="150"/>
      <c r="W1386" s="150"/>
      <c r="X1386" s="150"/>
      <c r="Y1386" s="150"/>
    </row>
    <row r="1387">
      <c r="A1387" s="150"/>
      <c r="B1387" s="156"/>
      <c r="C1387" s="157"/>
      <c r="D1387" s="150"/>
      <c r="E1387" s="150"/>
      <c r="F1387" s="150"/>
      <c r="G1387" s="150"/>
      <c r="H1387" s="150"/>
      <c r="I1387" s="150"/>
      <c r="J1387" s="150"/>
      <c r="K1387" s="150"/>
      <c r="L1387" s="150"/>
      <c r="M1387" s="150"/>
      <c r="N1387" s="150"/>
      <c r="O1387" s="150"/>
      <c r="P1387" s="150"/>
      <c r="Q1387" s="150"/>
      <c r="R1387" s="150"/>
      <c r="S1387" s="150"/>
      <c r="T1387" s="150"/>
      <c r="U1387" s="150"/>
      <c r="V1387" s="150"/>
      <c r="W1387" s="150"/>
      <c r="X1387" s="150"/>
      <c r="Y1387" s="150"/>
    </row>
    <row r="1388">
      <c r="A1388" s="150"/>
      <c r="B1388" s="156"/>
      <c r="C1388" s="157"/>
      <c r="D1388" s="150"/>
      <c r="E1388" s="150"/>
      <c r="F1388" s="150"/>
      <c r="G1388" s="150"/>
      <c r="H1388" s="150"/>
      <c r="I1388" s="150"/>
      <c r="J1388" s="150"/>
      <c r="K1388" s="150"/>
      <c r="L1388" s="150"/>
      <c r="M1388" s="150"/>
      <c r="N1388" s="150"/>
      <c r="O1388" s="150"/>
      <c r="P1388" s="150"/>
      <c r="Q1388" s="150"/>
      <c r="R1388" s="150"/>
      <c r="S1388" s="150"/>
      <c r="T1388" s="150"/>
      <c r="U1388" s="150"/>
      <c r="V1388" s="150"/>
      <c r="W1388" s="150"/>
      <c r="X1388" s="150"/>
      <c r="Y1388" s="150"/>
    </row>
    <row r="1389">
      <c r="A1389" s="150"/>
      <c r="B1389" s="156"/>
      <c r="C1389" s="157"/>
      <c r="D1389" s="150"/>
      <c r="E1389" s="150"/>
      <c r="F1389" s="150"/>
      <c r="G1389" s="150"/>
      <c r="H1389" s="150"/>
      <c r="I1389" s="150"/>
      <c r="J1389" s="150"/>
      <c r="K1389" s="150"/>
      <c r="L1389" s="150"/>
      <c r="M1389" s="150"/>
      <c r="N1389" s="150"/>
      <c r="O1389" s="150"/>
      <c r="P1389" s="150"/>
      <c r="Q1389" s="150"/>
      <c r="R1389" s="150"/>
      <c r="S1389" s="150"/>
      <c r="T1389" s="150"/>
      <c r="U1389" s="150"/>
      <c r="V1389" s="150"/>
      <c r="W1389" s="150"/>
      <c r="X1389" s="150"/>
      <c r="Y1389" s="150"/>
    </row>
    <row r="1390">
      <c r="A1390" s="150"/>
      <c r="B1390" s="156"/>
      <c r="C1390" s="157"/>
      <c r="D1390" s="150"/>
      <c r="E1390" s="150"/>
      <c r="F1390" s="150"/>
      <c r="G1390" s="150"/>
      <c r="H1390" s="150"/>
      <c r="I1390" s="150"/>
      <c r="J1390" s="150"/>
      <c r="K1390" s="150"/>
      <c r="L1390" s="150"/>
      <c r="M1390" s="150"/>
      <c r="N1390" s="150"/>
      <c r="O1390" s="150"/>
      <c r="P1390" s="150"/>
      <c r="Q1390" s="150"/>
      <c r="R1390" s="150"/>
      <c r="S1390" s="150"/>
      <c r="T1390" s="150"/>
      <c r="U1390" s="150"/>
      <c r="V1390" s="150"/>
      <c r="W1390" s="150"/>
      <c r="X1390" s="150"/>
      <c r="Y1390" s="150"/>
    </row>
    <row r="1391">
      <c r="A1391" s="150"/>
      <c r="B1391" s="156"/>
      <c r="C1391" s="157"/>
      <c r="D1391" s="150"/>
      <c r="E1391" s="150"/>
      <c r="F1391" s="150"/>
      <c r="G1391" s="150"/>
      <c r="H1391" s="150"/>
      <c r="I1391" s="150"/>
      <c r="J1391" s="150"/>
      <c r="K1391" s="150"/>
      <c r="L1391" s="150"/>
      <c r="M1391" s="150"/>
      <c r="N1391" s="150"/>
      <c r="O1391" s="150"/>
      <c r="P1391" s="150"/>
      <c r="Q1391" s="150"/>
      <c r="R1391" s="150"/>
      <c r="S1391" s="150"/>
      <c r="T1391" s="150"/>
      <c r="U1391" s="150"/>
      <c r="V1391" s="150"/>
      <c r="W1391" s="150"/>
      <c r="X1391" s="150"/>
      <c r="Y1391" s="150"/>
    </row>
    <row r="1392">
      <c r="A1392" s="150"/>
      <c r="B1392" s="156"/>
      <c r="C1392" s="157"/>
      <c r="D1392" s="150"/>
      <c r="E1392" s="150"/>
      <c r="F1392" s="150"/>
      <c r="G1392" s="150"/>
      <c r="H1392" s="150"/>
      <c r="I1392" s="150"/>
      <c r="J1392" s="150"/>
      <c r="K1392" s="150"/>
      <c r="L1392" s="150"/>
      <c r="M1392" s="150"/>
      <c r="N1392" s="150"/>
      <c r="O1392" s="150"/>
      <c r="P1392" s="150"/>
      <c r="Q1392" s="150"/>
      <c r="R1392" s="150"/>
      <c r="S1392" s="150"/>
      <c r="T1392" s="150"/>
      <c r="U1392" s="150"/>
      <c r="V1392" s="150"/>
      <c r="W1392" s="150"/>
      <c r="X1392" s="150"/>
      <c r="Y1392" s="150"/>
    </row>
    <row r="1393">
      <c r="A1393" s="150"/>
      <c r="B1393" s="156"/>
      <c r="C1393" s="157"/>
      <c r="D1393" s="150"/>
      <c r="E1393" s="150"/>
      <c r="F1393" s="150"/>
      <c r="G1393" s="150"/>
      <c r="H1393" s="150"/>
      <c r="I1393" s="150"/>
      <c r="J1393" s="150"/>
      <c r="K1393" s="150"/>
      <c r="L1393" s="150"/>
      <c r="M1393" s="150"/>
      <c r="N1393" s="150"/>
      <c r="O1393" s="150"/>
      <c r="P1393" s="150"/>
      <c r="Q1393" s="150"/>
      <c r="R1393" s="150"/>
      <c r="S1393" s="150"/>
      <c r="T1393" s="150"/>
      <c r="U1393" s="150"/>
      <c r="V1393" s="150"/>
      <c r="W1393" s="150"/>
      <c r="X1393" s="150"/>
      <c r="Y1393" s="150"/>
    </row>
    <row r="1394">
      <c r="A1394" s="150"/>
      <c r="B1394" s="156"/>
      <c r="C1394" s="157"/>
      <c r="D1394" s="150"/>
      <c r="E1394" s="150"/>
      <c r="F1394" s="150"/>
      <c r="G1394" s="150"/>
      <c r="H1394" s="150"/>
      <c r="I1394" s="150"/>
      <c r="J1394" s="150"/>
      <c r="K1394" s="150"/>
      <c r="L1394" s="150"/>
      <c r="M1394" s="150"/>
      <c r="N1394" s="150"/>
      <c r="O1394" s="150"/>
      <c r="P1394" s="150"/>
      <c r="Q1394" s="150"/>
      <c r="R1394" s="150"/>
      <c r="S1394" s="150"/>
      <c r="T1394" s="150"/>
      <c r="U1394" s="150"/>
      <c r="V1394" s="150"/>
      <c r="W1394" s="150"/>
      <c r="X1394" s="150"/>
      <c r="Y1394" s="150"/>
    </row>
    <row r="1395">
      <c r="A1395" s="150"/>
      <c r="B1395" s="156"/>
      <c r="C1395" s="157"/>
      <c r="D1395" s="150"/>
      <c r="E1395" s="150"/>
      <c r="F1395" s="150"/>
      <c r="G1395" s="150"/>
      <c r="H1395" s="150"/>
      <c r="I1395" s="150"/>
      <c r="J1395" s="150"/>
      <c r="K1395" s="150"/>
      <c r="L1395" s="150"/>
      <c r="M1395" s="150"/>
      <c r="N1395" s="150"/>
      <c r="O1395" s="150"/>
      <c r="P1395" s="150"/>
      <c r="Q1395" s="150"/>
      <c r="R1395" s="150"/>
      <c r="S1395" s="150"/>
      <c r="T1395" s="150"/>
      <c r="U1395" s="150"/>
      <c r="V1395" s="150"/>
      <c r="W1395" s="150"/>
      <c r="X1395" s="150"/>
      <c r="Y1395" s="150"/>
    </row>
    <row r="1396">
      <c r="A1396" s="150"/>
      <c r="B1396" s="156"/>
      <c r="C1396" s="157"/>
      <c r="D1396" s="150"/>
      <c r="E1396" s="150"/>
      <c r="F1396" s="150"/>
      <c r="G1396" s="150"/>
      <c r="H1396" s="150"/>
      <c r="I1396" s="150"/>
      <c r="J1396" s="150"/>
      <c r="K1396" s="150"/>
      <c r="L1396" s="150"/>
      <c r="M1396" s="150"/>
      <c r="N1396" s="150"/>
      <c r="O1396" s="150"/>
      <c r="P1396" s="150"/>
      <c r="Q1396" s="150"/>
      <c r="R1396" s="150"/>
      <c r="S1396" s="150"/>
      <c r="T1396" s="150"/>
      <c r="U1396" s="150"/>
      <c r="V1396" s="150"/>
      <c r="W1396" s="150"/>
      <c r="X1396" s="150"/>
      <c r="Y1396" s="150"/>
    </row>
    <row r="1397">
      <c r="A1397" s="150"/>
      <c r="B1397" s="156"/>
      <c r="C1397" s="157"/>
      <c r="D1397" s="150"/>
      <c r="E1397" s="150"/>
      <c r="F1397" s="150"/>
      <c r="G1397" s="150"/>
      <c r="H1397" s="150"/>
      <c r="I1397" s="150"/>
      <c r="J1397" s="150"/>
      <c r="K1397" s="150"/>
      <c r="L1397" s="150"/>
      <c r="M1397" s="150"/>
      <c r="N1397" s="150"/>
      <c r="O1397" s="150"/>
      <c r="P1397" s="150"/>
      <c r="Q1397" s="150"/>
      <c r="R1397" s="150"/>
      <c r="S1397" s="150"/>
      <c r="T1397" s="150"/>
      <c r="U1397" s="150"/>
      <c r="V1397" s="150"/>
      <c r="W1397" s="150"/>
      <c r="X1397" s="150"/>
      <c r="Y1397" s="150"/>
    </row>
    <row r="1398">
      <c r="A1398" s="150"/>
      <c r="B1398" s="156"/>
      <c r="C1398" s="157"/>
      <c r="D1398" s="150"/>
      <c r="E1398" s="150"/>
      <c r="F1398" s="150"/>
      <c r="G1398" s="150"/>
      <c r="H1398" s="150"/>
      <c r="I1398" s="150"/>
      <c r="J1398" s="150"/>
      <c r="K1398" s="150"/>
      <c r="L1398" s="150"/>
      <c r="M1398" s="150"/>
      <c r="N1398" s="150"/>
      <c r="O1398" s="150"/>
      <c r="P1398" s="150"/>
      <c r="Q1398" s="150"/>
      <c r="R1398" s="150"/>
      <c r="S1398" s="150"/>
      <c r="T1398" s="150"/>
      <c r="U1398" s="150"/>
      <c r="V1398" s="150"/>
      <c r="W1398" s="150"/>
      <c r="X1398" s="150"/>
      <c r="Y1398" s="150"/>
    </row>
    <row r="1399">
      <c r="A1399" s="150"/>
      <c r="B1399" s="156"/>
      <c r="C1399" s="157"/>
      <c r="D1399" s="150"/>
      <c r="E1399" s="150"/>
      <c r="F1399" s="150"/>
      <c r="G1399" s="150"/>
      <c r="H1399" s="150"/>
      <c r="I1399" s="150"/>
      <c r="J1399" s="150"/>
      <c r="K1399" s="150"/>
      <c r="L1399" s="150"/>
      <c r="M1399" s="150"/>
      <c r="N1399" s="150"/>
      <c r="O1399" s="150"/>
      <c r="P1399" s="150"/>
      <c r="Q1399" s="150"/>
      <c r="R1399" s="150"/>
      <c r="S1399" s="150"/>
      <c r="T1399" s="150"/>
      <c r="U1399" s="150"/>
      <c r="V1399" s="150"/>
      <c r="W1399" s="150"/>
      <c r="X1399" s="150"/>
      <c r="Y1399" s="150"/>
    </row>
    <row r="1400">
      <c r="A1400" s="150"/>
      <c r="B1400" s="156"/>
      <c r="C1400" s="157"/>
      <c r="D1400" s="150"/>
      <c r="E1400" s="150"/>
      <c r="F1400" s="150"/>
      <c r="G1400" s="150"/>
      <c r="H1400" s="150"/>
      <c r="I1400" s="150"/>
      <c r="J1400" s="150"/>
      <c r="K1400" s="150"/>
      <c r="L1400" s="150"/>
      <c r="M1400" s="150"/>
      <c r="N1400" s="150"/>
      <c r="O1400" s="150"/>
      <c r="P1400" s="150"/>
      <c r="Q1400" s="150"/>
      <c r="R1400" s="150"/>
      <c r="S1400" s="150"/>
      <c r="T1400" s="150"/>
      <c r="U1400" s="150"/>
      <c r="V1400" s="150"/>
      <c r="W1400" s="150"/>
      <c r="X1400" s="150"/>
      <c r="Y1400" s="150"/>
    </row>
    <row r="1401">
      <c r="A1401" s="150"/>
      <c r="B1401" s="156"/>
      <c r="C1401" s="157"/>
      <c r="D1401" s="150"/>
      <c r="E1401" s="150"/>
      <c r="F1401" s="150"/>
      <c r="G1401" s="150"/>
      <c r="H1401" s="150"/>
      <c r="I1401" s="150"/>
      <c r="J1401" s="150"/>
      <c r="K1401" s="150"/>
      <c r="L1401" s="150"/>
      <c r="M1401" s="150"/>
      <c r="N1401" s="150"/>
      <c r="O1401" s="150"/>
      <c r="P1401" s="150"/>
      <c r="Q1401" s="150"/>
      <c r="R1401" s="150"/>
      <c r="S1401" s="150"/>
      <c r="T1401" s="150"/>
      <c r="U1401" s="150"/>
      <c r="V1401" s="150"/>
      <c r="W1401" s="150"/>
      <c r="X1401" s="150"/>
      <c r="Y1401" s="150"/>
    </row>
    <row r="1402">
      <c r="A1402" s="150"/>
      <c r="B1402" s="156"/>
      <c r="C1402" s="157"/>
      <c r="D1402" s="150"/>
      <c r="E1402" s="150"/>
      <c r="F1402" s="150"/>
      <c r="G1402" s="150"/>
      <c r="H1402" s="150"/>
      <c r="I1402" s="150"/>
      <c r="J1402" s="150"/>
      <c r="K1402" s="150"/>
      <c r="L1402" s="150"/>
      <c r="M1402" s="150"/>
      <c r="N1402" s="150"/>
      <c r="O1402" s="150"/>
      <c r="P1402" s="150"/>
      <c r="Q1402" s="150"/>
      <c r="R1402" s="150"/>
      <c r="S1402" s="150"/>
      <c r="T1402" s="150"/>
      <c r="U1402" s="150"/>
      <c r="V1402" s="150"/>
      <c r="W1402" s="150"/>
      <c r="X1402" s="150"/>
      <c r="Y1402" s="150"/>
    </row>
    <row r="1403">
      <c r="A1403" s="150"/>
      <c r="B1403" s="156"/>
      <c r="C1403" s="157"/>
      <c r="D1403" s="150"/>
      <c r="E1403" s="150"/>
      <c r="F1403" s="150"/>
      <c r="G1403" s="150"/>
      <c r="H1403" s="150"/>
      <c r="I1403" s="150"/>
      <c r="J1403" s="150"/>
      <c r="K1403" s="150"/>
      <c r="L1403" s="150"/>
      <c r="M1403" s="150"/>
      <c r="N1403" s="150"/>
      <c r="O1403" s="150"/>
      <c r="P1403" s="150"/>
      <c r="Q1403" s="150"/>
      <c r="R1403" s="150"/>
      <c r="S1403" s="150"/>
      <c r="T1403" s="150"/>
      <c r="U1403" s="150"/>
      <c r="V1403" s="150"/>
      <c r="W1403" s="150"/>
      <c r="X1403" s="150"/>
      <c r="Y1403" s="150"/>
    </row>
    <row r="1404">
      <c r="A1404" s="150"/>
      <c r="B1404" s="156"/>
      <c r="C1404" s="157"/>
      <c r="D1404" s="150"/>
      <c r="E1404" s="150"/>
      <c r="F1404" s="150"/>
      <c r="G1404" s="150"/>
      <c r="H1404" s="150"/>
      <c r="I1404" s="150"/>
      <c r="J1404" s="150"/>
      <c r="K1404" s="150"/>
      <c r="L1404" s="150"/>
      <c r="M1404" s="150"/>
      <c r="N1404" s="150"/>
      <c r="O1404" s="150"/>
      <c r="P1404" s="150"/>
      <c r="Q1404" s="150"/>
      <c r="R1404" s="150"/>
      <c r="S1404" s="150"/>
      <c r="T1404" s="150"/>
      <c r="U1404" s="150"/>
      <c r="V1404" s="150"/>
      <c r="W1404" s="150"/>
      <c r="X1404" s="150"/>
      <c r="Y1404" s="150"/>
    </row>
    <row r="1405">
      <c r="A1405" s="150"/>
      <c r="B1405" s="156"/>
      <c r="C1405" s="157"/>
      <c r="D1405" s="150"/>
      <c r="E1405" s="150"/>
      <c r="F1405" s="150"/>
      <c r="G1405" s="150"/>
      <c r="H1405" s="150"/>
      <c r="I1405" s="150"/>
      <c r="J1405" s="150"/>
      <c r="K1405" s="150"/>
      <c r="L1405" s="150"/>
      <c r="M1405" s="150"/>
      <c r="N1405" s="150"/>
      <c r="O1405" s="150"/>
      <c r="P1405" s="150"/>
      <c r="Q1405" s="150"/>
      <c r="R1405" s="150"/>
      <c r="S1405" s="150"/>
      <c r="T1405" s="150"/>
      <c r="U1405" s="150"/>
      <c r="V1405" s="150"/>
      <c r="W1405" s="150"/>
      <c r="X1405" s="150"/>
      <c r="Y1405" s="150"/>
    </row>
    <row r="1406">
      <c r="A1406" s="150"/>
      <c r="B1406" s="156"/>
      <c r="C1406" s="157"/>
      <c r="D1406" s="150"/>
      <c r="E1406" s="150"/>
      <c r="F1406" s="150"/>
      <c r="G1406" s="150"/>
      <c r="H1406" s="150"/>
      <c r="I1406" s="150"/>
      <c r="J1406" s="150"/>
      <c r="K1406" s="150"/>
      <c r="L1406" s="150"/>
      <c r="M1406" s="150"/>
      <c r="N1406" s="150"/>
      <c r="O1406" s="150"/>
      <c r="P1406" s="150"/>
      <c r="Q1406" s="150"/>
      <c r="R1406" s="150"/>
      <c r="S1406" s="150"/>
      <c r="T1406" s="150"/>
      <c r="U1406" s="150"/>
      <c r="V1406" s="150"/>
      <c r="W1406" s="150"/>
      <c r="X1406" s="150"/>
      <c r="Y1406" s="150"/>
    </row>
    <row r="1407">
      <c r="A1407" s="150"/>
      <c r="B1407" s="156"/>
      <c r="C1407" s="157"/>
      <c r="D1407" s="150"/>
      <c r="E1407" s="150"/>
      <c r="F1407" s="150"/>
      <c r="G1407" s="150"/>
      <c r="H1407" s="150"/>
      <c r="I1407" s="150"/>
      <c r="J1407" s="150"/>
      <c r="K1407" s="150"/>
      <c r="L1407" s="150"/>
      <c r="M1407" s="150"/>
      <c r="N1407" s="150"/>
      <c r="O1407" s="150"/>
      <c r="P1407" s="150"/>
      <c r="Q1407" s="150"/>
      <c r="R1407" s="150"/>
      <c r="S1407" s="150"/>
      <c r="T1407" s="150"/>
      <c r="U1407" s="150"/>
      <c r="V1407" s="150"/>
      <c r="W1407" s="150"/>
      <c r="X1407" s="150"/>
      <c r="Y1407" s="150"/>
    </row>
    <row r="1408">
      <c r="A1408" s="150"/>
      <c r="B1408" s="156"/>
      <c r="C1408" s="157"/>
      <c r="D1408" s="150"/>
      <c r="E1408" s="150"/>
      <c r="F1408" s="150"/>
      <c r="G1408" s="150"/>
      <c r="H1408" s="150"/>
      <c r="I1408" s="150"/>
      <c r="J1408" s="150"/>
      <c r="K1408" s="150"/>
      <c r="L1408" s="150"/>
      <c r="M1408" s="150"/>
      <c r="N1408" s="150"/>
      <c r="O1408" s="150"/>
      <c r="P1408" s="150"/>
      <c r="Q1408" s="150"/>
      <c r="R1408" s="150"/>
      <c r="S1408" s="150"/>
      <c r="T1408" s="150"/>
      <c r="U1408" s="150"/>
      <c r="V1408" s="150"/>
      <c r="W1408" s="150"/>
      <c r="X1408" s="150"/>
      <c r="Y1408" s="150"/>
    </row>
    <row r="1409">
      <c r="A1409" s="150"/>
      <c r="B1409" s="156"/>
      <c r="C1409" s="157"/>
      <c r="D1409" s="150"/>
      <c r="E1409" s="150"/>
      <c r="F1409" s="150"/>
      <c r="G1409" s="150"/>
      <c r="H1409" s="150"/>
      <c r="I1409" s="150"/>
      <c r="J1409" s="150"/>
      <c r="K1409" s="150"/>
      <c r="L1409" s="150"/>
      <c r="M1409" s="150"/>
      <c r="N1409" s="150"/>
      <c r="O1409" s="150"/>
      <c r="P1409" s="150"/>
      <c r="Q1409" s="150"/>
      <c r="R1409" s="150"/>
      <c r="S1409" s="150"/>
      <c r="T1409" s="150"/>
      <c r="U1409" s="150"/>
      <c r="V1409" s="150"/>
      <c r="W1409" s="150"/>
      <c r="X1409" s="150"/>
      <c r="Y1409" s="150"/>
    </row>
    <row r="1410">
      <c r="A1410" s="150"/>
      <c r="B1410" s="156"/>
      <c r="C1410" s="157"/>
      <c r="D1410" s="150"/>
      <c r="E1410" s="150"/>
      <c r="F1410" s="150"/>
      <c r="G1410" s="150"/>
      <c r="H1410" s="150"/>
      <c r="I1410" s="150"/>
      <c r="J1410" s="150"/>
      <c r="K1410" s="150"/>
      <c r="L1410" s="150"/>
      <c r="M1410" s="150"/>
      <c r="N1410" s="150"/>
      <c r="O1410" s="150"/>
      <c r="P1410" s="150"/>
      <c r="Q1410" s="150"/>
      <c r="R1410" s="150"/>
      <c r="S1410" s="150"/>
      <c r="T1410" s="150"/>
      <c r="U1410" s="150"/>
      <c r="V1410" s="150"/>
      <c r="W1410" s="150"/>
      <c r="X1410" s="150"/>
      <c r="Y1410" s="150"/>
    </row>
    <row r="1411">
      <c r="A1411" s="150"/>
      <c r="B1411" s="156"/>
      <c r="C1411" s="157"/>
      <c r="D1411" s="150"/>
      <c r="E1411" s="150"/>
      <c r="F1411" s="150"/>
      <c r="G1411" s="150"/>
      <c r="H1411" s="150"/>
      <c r="I1411" s="150"/>
      <c r="J1411" s="150"/>
      <c r="K1411" s="150"/>
      <c r="L1411" s="150"/>
      <c r="M1411" s="150"/>
      <c r="N1411" s="150"/>
      <c r="O1411" s="150"/>
      <c r="P1411" s="150"/>
      <c r="Q1411" s="150"/>
      <c r="R1411" s="150"/>
      <c r="S1411" s="150"/>
      <c r="T1411" s="150"/>
      <c r="U1411" s="150"/>
      <c r="V1411" s="150"/>
      <c r="W1411" s="150"/>
      <c r="X1411" s="150"/>
      <c r="Y1411" s="150"/>
    </row>
    <row r="1412">
      <c r="A1412" s="150"/>
      <c r="B1412" s="156"/>
      <c r="C1412" s="157"/>
      <c r="D1412" s="150"/>
      <c r="E1412" s="150"/>
      <c r="F1412" s="150"/>
      <c r="G1412" s="150"/>
      <c r="H1412" s="150"/>
      <c r="I1412" s="150"/>
      <c r="J1412" s="150"/>
      <c r="K1412" s="150"/>
      <c r="L1412" s="150"/>
      <c r="M1412" s="150"/>
      <c r="N1412" s="150"/>
      <c r="O1412" s="150"/>
      <c r="P1412" s="150"/>
      <c r="Q1412" s="150"/>
      <c r="R1412" s="150"/>
      <c r="S1412" s="150"/>
      <c r="T1412" s="150"/>
      <c r="U1412" s="150"/>
      <c r="V1412" s="150"/>
      <c r="W1412" s="150"/>
      <c r="X1412" s="150"/>
      <c r="Y1412" s="150"/>
    </row>
    <row r="1413">
      <c r="A1413" s="150"/>
      <c r="B1413" s="156"/>
      <c r="C1413" s="157"/>
      <c r="D1413" s="150"/>
      <c r="E1413" s="150"/>
      <c r="F1413" s="150"/>
      <c r="G1413" s="150"/>
      <c r="H1413" s="150"/>
      <c r="I1413" s="150"/>
      <c r="J1413" s="150"/>
      <c r="K1413" s="150"/>
      <c r="L1413" s="150"/>
      <c r="M1413" s="150"/>
      <c r="N1413" s="150"/>
      <c r="O1413" s="150"/>
      <c r="P1413" s="150"/>
      <c r="Q1413" s="150"/>
      <c r="R1413" s="150"/>
      <c r="S1413" s="150"/>
      <c r="T1413" s="150"/>
      <c r="U1413" s="150"/>
      <c r="V1413" s="150"/>
      <c r="W1413" s="150"/>
      <c r="X1413" s="150"/>
      <c r="Y1413" s="150"/>
    </row>
    <row r="1414">
      <c r="A1414" s="150"/>
      <c r="B1414" s="156"/>
      <c r="C1414" s="157"/>
      <c r="D1414" s="150"/>
      <c r="E1414" s="150"/>
      <c r="F1414" s="150"/>
      <c r="G1414" s="150"/>
      <c r="H1414" s="150"/>
      <c r="I1414" s="150"/>
      <c r="J1414" s="150"/>
      <c r="K1414" s="150"/>
      <c r="L1414" s="150"/>
      <c r="M1414" s="150"/>
      <c r="N1414" s="150"/>
      <c r="O1414" s="150"/>
      <c r="P1414" s="150"/>
      <c r="Q1414" s="150"/>
      <c r="R1414" s="150"/>
      <c r="S1414" s="150"/>
      <c r="T1414" s="150"/>
      <c r="U1414" s="150"/>
      <c r="V1414" s="150"/>
      <c r="W1414" s="150"/>
      <c r="X1414" s="150"/>
      <c r="Y1414" s="150"/>
    </row>
    <row r="1415">
      <c r="A1415" s="150"/>
      <c r="B1415" s="156"/>
      <c r="C1415" s="157"/>
      <c r="D1415" s="150"/>
      <c r="E1415" s="150"/>
      <c r="F1415" s="150"/>
      <c r="G1415" s="150"/>
      <c r="H1415" s="150"/>
      <c r="I1415" s="150"/>
      <c r="J1415" s="150"/>
      <c r="K1415" s="150"/>
      <c r="L1415" s="150"/>
      <c r="M1415" s="150"/>
      <c r="N1415" s="150"/>
      <c r="O1415" s="150"/>
      <c r="P1415" s="150"/>
      <c r="Q1415" s="150"/>
      <c r="R1415" s="150"/>
      <c r="S1415" s="150"/>
      <c r="T1415" s="150"/>
      <c r="U1415" s="150"/>
      <c r="V1415" s="150"/>
      <c r="W1415" s="150"/>
      <c r="X1415" s="150"/>
      <c r="Y1415" s="150"/>
    </row>
    <row r="1416">
      <c r="A1416" s="150"/>
      <c r="B1416" s="156"/>
      <c r="C1416" s="157"/>
      <c r="D1416" s="150"/>
      <c r="E1416" s="150"/>
      <c r="F1416" s="150"/>
      <c r="G1416" s="150"/>
      <c r="H1416" s="150"/>
      <c r="I1416" s="150"/>
      <c r="J1416" s="150"/>
      <c r="K1416" s="150"/>
      <c r="L1416" s="150"/>
      <c r="M1416" s="150"/>
      <c r="N1416" s="150"/>
      <c r="O1416" s="150"/>
      <c r="P1416" s="150"/>
      <c r="Q1416" s="150"/>
      <c r="R1416" s="150"/>
      <c r="S1416" s="150"/>
      <c r="T1416" s="150"/>
      <c r="U1416" s="150"/>
      <c r="V1416" s="150"/>
      <c r="W1416" s="150"/>
      <c r="X1416" s="150"/>
      <c r="Y1416" s="150"/>
    </row>
    <row r="1417">
      <c r="A1417" s="150"/>
      <c r="B1417" s="156"/>
      <c r="C1417" s="157"/>
      <c r="D1417" s="150"/>
      <c r="E1417" s="150"/>
      <c r="F1417" s="150"/>
      <c r="G1417" s="150"/>
      <c r="H1417" s="150"/>
      <c r="I1417" s="150"/>
      <c r="J1417" s="150"/>
      <c r="K1417" s="150"/>
      <c r="L1417" s="150"/>
      <c r="M1417" s="150"/>
      <c r="N1417" s="150"/>
      <c r="O1417" s="150"/>
      <c r="P1417" s="150"/>
      <c r="Q1417" s="150"/>
      <c r="R1417" s="150"/>
      <c r="S1417" s="150"/>
      <c r="T1417" s="150"/>
      <c r="U1417" s="150"/>
      <c r="V1417" s="150"/>
      <c r="W1417" s="150"/>
      <c r="X1417" s="150"/>
      <c r="Y1417" s="150"/>
    </row>
    <row r="1418">
      <c r="A1418" s="150"/>
      <c r="B1418" s="156"/>
      <c r="C1418" s="157"/>
      <c r="D1418" s="150"/>
      <c r="E1418" s="150"/>
      <c r="F1418" s="150"/>
      <c r="G1418" s="150"/>
      <c r="H1418" s="150"/>
      <c r="I1418" s="150"/>
      <c r="J1418" s="150"/>
      <c r="K1418" s="150"/>
      <c r="L1418" s="150"/>
      <c r="M1418" s="150"/>
      <c r="N1418" s="150"/>
      <c r="O1418" s="150"/>
      <c r="P1418" s="150"/>
      <c r="Q1418" s="150"/>
      <c r="R1418" s="150"/>
      <c r="S1418" s="150"/>
      <c r="T1418" s="150"/>
      <c r="U1418" s="150"/>
      <c r="V1418" s="150"/>
      <c r="W1418" s="150"/>
      <c r="X1418" s="150"/>
      <c r="Y1418" s="150"/>
    </row>
    <row r="1419">
      <c r="A1419" s="150"/>
      <c r="B1419" s="156"/>
      <c r="C1419" s="157"/>
      <c r="D1419" s="150"/>
      <c r="E1419" s="150"/>
      <c r="F1419" s="150"/>
      <c r="G1419" s="150"/>
      <c r="H1419" s="150"/>
      <c r="I1419" s="150"/>
      <c r="J1419" s="150"/>
      <c r="K1419" s="150"/>
      <c r="L1419" s="150"/>
      <c r="M1419" s="150"/>
      <c r="N1419" s="150"/>
      <c r="O1419" s="150"/>
      <c r="P1419" s="150"/>
      <c r="Q1419" s="150"/>
      <c r="R1419" s="150"/>
      <c r="S1419" s="150"/>
      <c r="T1419" s="150"/>
      <c r="U1419" s="150"/>
      <c r="V1419" s="150"/>
      <c r="W1419" s="150"/>
      <c r="X1419" s="150"/>
      <c r="Y1419" s="150"/>
    </row>
    <row r="1420">
      <c r="A1420" s="150"/>
      <c r="B1420" s="156"/>
      <c r="C1420" s="157"/>
      <c r="D1420" s="150"/>
      <c r="E1420" s="150"/>
      <c r="F1420" s="150"/>
      <c r="G1420" s="150"/>
      <c r="H1420" s="150"/>
      <c r="I1420" s="150"/>
      <c r="J1420" s="150"/>
      <c r="K1420" s="150"/>
      <c r="L1420" s="150"/>
      <c r="M1420" s="150"/>
      <c r="N1420" s="150"/>
      <c r="O1420" s="150"/>
      <c r="P1420" s="150"/>
      <c r="Q1420" s="150"/>
      <c r="R1420" s="150"/>
      <c r="S1420" s="150"/>
      <c r="T1420" s="150"/>
      <c r="U1420" s="150"/>
      <c r="V1420" s="150"/>
      <c r="W1420" s="150"/>
      <c r="X1420" s="150"/>
      <c r="Y1420" s="150"/>
    </row>
    <row r="1421">
      <c r="A1421" s="150"/>
      <c r="B1421" s="156"/>
      <c r="C1421" s="157"/>
      <c r="D1421" s="150"/>
      <c r="E1421" s="150"/>
      <c r="F1421" s="150"/>
      <c r="G1421" s="150"/>
      <c r="H1421" s="150"/>
      <c r="I1421" s="150"/>
      <c r="J1421" s="150"/>
      <c r="K1421" s="150"/>
      <c r="L1421" s="150"/>
      <c r="M1421" s="150"/>
      <c r="N1421" s="150"/>
      <c r="O1421" s="150"/>
      <c r="P1421" s="150"/>
      <c r="Q1421" s="150"/>
      <c r="R1421" s="150"/>
      <c r="S1421" s="150"/>
      <c r="T1421" s="150"/>
      <c r="U1421" s="150"/>
      <c r="V1421" s="150"/>
      <c r="W1421" s="150"/>
      <c r="X1421" s="150"/>
      <c r="Y1421" s="150"/>
    </row>
    <row r="1422">
      <c r="A1422" s="150"/>
      <c r="B1422" s="156"/>
      <c r="C1422" s="157"/>
      <c r="D1422" s="150"/>
      <c r="E1422" s="150"/>
      <c r="F1422" s="150"/>
      <c r="G1422" s="150"/>
      <c r="H1422" s="150"/>
      <c r="I1422" s="150"/>
      <c r="J1422" s="150"/>
      <c r="K1422" s="150"/>
      <c r="L1422" s="150"/>
      <c r="M1422" s="150"/>
      <c r="N1422" s="150"/>
      <c r="O1422" s="150"/>
      <c r="P1422" s="150"/>
      <c r="Q1422" s="150"/>
      <c r="R1422" s="150"/>
      <c r="S1422" s="150"/>
      <c r="T1422" s="150"/>
      <c r="U1422" s="150"/>
      <c r="V1422" s="150"/>
      <c r="W1422" s="150"/>
      <c r="X1422" s="150"/>
      <c r="Y1422" s="150"/>
    </row>
    <row r="1423">
      <c r="A1423" s="150"/>
      <c r="B1423" s="156"/>
      <c r="C1423" s="157"/>
      <c r="D1423" s="150"/>
      <c r="E1423" s="150"/>
      <c r="F1423" s="150"/>
      <c r="G1423" s="150"/>
      <c r="H1423" s="150"/>
      <c r="I1423" s="150"/>
      <c r="J1423" s="150"/>
      <c r="K1423" s="150"/>
      <c r="L1423" s="150"/>
      <c r="M1423" s="150"/>
      <c r="N1423" s="150"/>
      <c r="O1423" s="150"/>
      <c r="P1423" s="150"/>
      <c r="Q1423" s="150"/>
      <c r="R1423" s="150"/>
      <c r="S1423" s="150"/>
      <c r="T1423" s="150"/>
      <c r="U1423" s="150"/>
      <c r="V1423" s="150"/>
      <c r="W1423" s="150"/>
      <c r="X1423" s="150"/>
      <c r="Y1423" s="150"/>
    </row>
    <row r="1424">
      <c r="A1424" s="150"/>
      <c r="B1424" s="156"/>
      <c r="C1424" s="157"/>
      <c r="D1424" s="150"/>
      <c r="E1424" s="150"/>
      <c r="F1424" s="150"/>
      <c r="G1424" s="150"/>
      <c r="H1424" s="150"/>
      <c r="I1424" s="150"/>
      <c r="J1424" s="150"/>
      <c r="K1424" s="150"/>
      <c r="L1424" s="150"/>
      <c r="M1424" s="150"/>
      <c r="N1424" s="150"/>
      <c r="O1424" s="150"/>
      <c r="P1424" s="150"/>
      <c r="Q1424" s="150"/>
      <c r="R1424" s="150"/>
      <c r="S1424" s="150"/>
      <c r="T1424" s="150"/>
      <c r="U1424" s="150"/>
      <c r="V1424" s="150"/>
      <c r="W1424" s="150"/>
      <c r="X1424" s="150"/>
      <c r="Y1424" s="150"/>
    </row>
    <row r="1425">
      <c r="A1425" s="150"/>
      <c r="B1425" s="156"/>
      <c r="C1425" s="157"/>
      <c r="D1425" s="150"/>
      <c r="E1425" s="150"/>
      <c r="F1425" s="150"/>
      <c r="G1425" s="150"/>
      <c r="H1425" s="150"/>
      <c r="I1425" s="150"/>
      <c r="J1425" s="150"/>
      <c r="K1425" s="150"/>
      <c r="L1425" s="150"/>
      <c r="M1425" s="150"/>
      <c r="N1425" s="150"/>
      <c r="O1425" s="150"/>
      <c r="P1425" s="150"/>
      <c r="Q1425" s="150"/>
      <c r="R1425" s="150"/>
      <c r="S1425" s="150"/>
      <c r="T1425" s="150"/>
      <c r="U1425" s="150"/>
      <c r="V1425" s="150"/>
      <c r="W1425" s="150"/>
      <c r="X1425" s="150"/>
      <c r="Y1425" s="150"/>
    </row>
    <row r="1426">
      <c r="A1426" s="150"/>
      <c r="B1426" s="156"/>
      <c r="C1426" s="157"/>
      <c r="D1426" s="150"/>
      <c r="E1426" s="150"/>
      <c r="F1426" s="150"/>
      <c r="G1426" s="150"/>
      <c r="H1426" s="150"/>
      <c r="I1426" s="150"/>
      <c r="J1426" s="150"/>
      <c r="K1426" s="150"/>
      <c r="L1426" s="150"/>
      <c r="M1426" s="150"/>
      <c r="N1426" s="150"/>
      <c r="O1426" s="150"/>
      <c r="P1426" s="150"/>
      <c r="Q1426" s="150"/>
      <c r="R1426" s="150"/>
      <c r="S1426" s="150"/>
      <c r="T1426" s="150"/>
      <c r="U1426" s="150"/>
      <c r="V1426" s="150"/>
      <c r="W1426" s="150"/>
      <c r="X1426" s="150"/>
      <c r="Y1426" s="150"/>
    </row>
    <row r="1427">
      <c r="A1427" s="150"/>
      <c r="B1427" s="156"/>
      <c r="C1427" s="157"/>
      <c r="D1427" s="150"/>
      <c r="E1427" s="150"/>
      <c r="F1427" s="150"/>
      <c r="G1427" s="150"/>
      <c r="H1427" s="150"/>
      <c r="I1427" s="150"/>
      <c r="J1427" s="150"/>
      <c r="K1427" s="150"/>
      <c r="L1427" s="150"/>
      <c r="M1427" s="150"/>
      <c r="N1427" s="150"/>
      <c r="O1427" s="150"/>
      <c r="P1427" s="150"/>
      <c r="Q1427" s="150"/>
      <c r="R1427" s="150"/>
      <c r="S1427" s="150"/>
      <c r="T1427" s="150"/>
      <c r="U1427" s="150"/>
      <c r="V1427" s="150"/>
      <c r="W1427" s="150"/>
      <c r="X1427" s="150"/>
      <c r="Y1427" s="150"/>
    </row>
    <row r="1428">
      <c r="A1428" s="150"/>
      <c r="B1428" s="156"/>
      <c r="C1428" s="157"/>
      <c r="D1428" s="150"/>
      <c r="E1428" s="150"/>
      <c r="F1428" s="150"/>
      <c r="G1428" s="150"/>
      <c r="H1428" s="150"/>
      <c r="I1428" s="150"/>
      <c r="J1428" s="150"/>
      <c r="K1428" s="150"/>
      <c r="L1428" s="150"/>
      <c r="M1428" s="150"/>
      <c r="N1428" s="150"/>
      <c r="O1428" s="150"/>
      <c r="P1428" s="150"/>
      <c r="Q1428" s="150"/>
      <c r="R1428" s="150"/>
      <c r="S1428" s="150"/>
      <c r="T1428" s="150"/>
      <c r="U1428" s="150"/>
      <c r="V1428" s="150"/>
      <c r="W1428" s="150"/>
      <c r="X1428" s="150"/>
      <c r="Y1428" s="150"/>
    </row>
    <row r="1429">
      <c r="A1429" s="150"/>
      <c r="B1429" s="156"/>
      <c r="C1429" s="157"/>
      <c r="D1429" s="150"/>
      <c r="E1429" s="150"/>
      <c r="F1429" s="150"/>
      <c r="G1429" s="150"/>
      <c r="H1429" s="150"/>
      <c r="I1429" s="150"/>
      <c r="J1429" s="150"/>
      <c r="K1429" s="150"/>
      <c r="L1429" s="150"/>
      <c r="M1429" s="150"/>
      <c r="N1429" s="150"/>
      <c r="O1429" s="150"/>
      <c r="P1429" s="150"/>
      <c r="Q1429" s="150"/>
      <c r="R1429" s="150"/>
      <c r="S1429" s="150"/>
      <c r="T1429" s="150"/>
      <c r="U1429" s="150"/>
      <c r="V1429" s="150"/>
      <c r="W1429" s="150"/>
      <c r="X1429" s="150"/>
      <c r="Y1429" s="150"/>
    </row>
    <row r="1430">
      <c r="A1430" s="150"/>
      <c r="B1430" s="156"/>
      <c r="C1430" s="157"/>
      <c r="D1430" s="150"/>
      <c r="E1430" s="150"/>
      <c r="F1430" s="150"/>
      <c r="G1430" s="150"/>
      <c r="H1430" s="150"/>
      <c r="I1430" s="150"/>
      <c r="J1430" s="150"/>
      <c r="K1430" s="150"/>
      <c r="L1430" s="150"/>
      <c r="M1430" s="150"/>
      <c r="N1430" s="150"/>
      <c r="O1430" s="150"/>
      <c r="P1430" s="150"/>
      <c r="Q1430" s="150"/>
      <c r="R1430" s="150"/>
      <c r="S1430" s="150"/>
      <c r="T1430" s="150"/>
      <c r="U1430" s="150"/>
      <c r="V1430" s="150"/>
      <c r="W1430" s="150"/>
      <c r="X1430" s="150"/>
      <c r="Y1430" s="150"/>
    </row>
    <row r="1431">
      <c r="A1431" s="150"/>
      <c r="B1431" s="156"/>
      <c r="C1431" s="157"/>
      <c r="D1431" s="150"/>
      <c r="E1431" s="150"/>
      <c r="F1431" s="150"/>
      <c r="G1431" s="150"/>
      <c r="H1431" s="150"/>
      <c r="I1431" s="150"/>
      <c r="J1431" s="150"/>
      <c r="K1431" s="150"/>
      <c r="L1431" s="150"/>
      <c r="M1431" s="150"/>
      <c r="N1431" s="150"/>
      <c r="O1431" s="150"/>
      <c r="P1431" s="150"/>
      <c r="Q1431" s="150"/>
      <c r="R1431" s="150"/>
      <c r="S1431" s="150"/>
      <c r="T1431" s="150"/>
      <c r="U1431" s="150"/>
      <c r="V1431" s="150"/>
      <c r="W1431" s="150"/>
      <c r="X1431" s="150"/>
      <c r="Y1431" s="150"/>
    </row>
    <row r="1432">
      <c r="A1432" s="150"/>
      <c r="B1432" s="156"/>
      <c r="C1432" s="157"/>
      <c r="D1432" s="150"/>
      <c r="E1432" s="150"/>
      <c r="F1432" s="150"/>
      <c r="G1432" s="150"/>
      <c r="H1432" s="150"/>
      <c r="I1432" s="150"/>
      <c r="J1432" s="150"/>
      <c r="K1432" s="150"/>
      <c r="L1432" s="150"/>
      <c r="M1432" s="150"/>
      <c r="N1432" s="150"/>
      <c r="O1432" s="150"/>
      <c r="P1432" s="150"/>
      <c r="Q1432" s="150"/>
      <c r="R1432" s="150"/>
      <c r="S1432" s="150"/>
      <c r="T1432" s="150"/>
      <c r="U1432" s="150"/>
      <c r="V1432" s="150"/>
      <c r="W1432" s="150"/>
      <c r="X1432" s="150"/>
      <c r="Y1432" s="150"/>
    </row>
    <row r="1433">
      <c r="A1433" s="150"/>
      <c r="B1433" s="156"/>
      <c r="C1433" s="157"/>
      <c r="D1433" s="150"/>
      <c r="E1433" s="150"/>
      <c r="F1433" s="150"/>
      <c r="G1433" s="150"/>
      <c r="H1433" s="150"/>
      <c r="I1433" s="150"/>
      <c r="J1433" s="150"/>
      <c r="K1433" s="150"/>
      <c r="L1433" s="150"/>
      <c r="M1433" s="150"/>
      <c r="N1433" s="150"/>
      <c r="O1433" s="150"/>
      <c r="P1433" s="150"/>
      <c r="Q1433" s="150"/>
      <c r="R1433" s="150"/>
      <c r="S1433" s="150"/>
      <c r="T1433" s="150"/>
      <c r="U1433" s="150"/>
      <c r="V1433" s="150"/>
      <c r="W1433" s="150"/>
      <c r="X1433" s="150"/>
      <c r="Y1433" s="150"/>
    </row>
    <row r="1434">
      <c r="A1434" s="150"/>
      <c r="B1434" s="156"/>
      <c r="C1434" s="157"/>
      <c r="D1434" s="150"/>
      <c r="E1434" s="150"/>
      <c r="F1434" s="150"/>
      <c r="G1434" s="150"/>
      <c r="H1434" s="150"/>
      <c r="I1434" s="150"/>
      <c r="J1434" s="150"/>
      <c r="K1434" s="150"/>
      <c r="L1434" s="150"/>
      <c r="M1434" s="150"/>
      <c r="N1434" s="150"/>
      <c r="O1434" s="150"/>
      <c r="P1434" s="150"/>
      <c r="Q1434" s="150"/>
      <c r="R1434" s="150"/>
      <c r="S1434" s="150"/>
      <c r="T1434" s="150"/>
      <c r="U1434" s="150"/>
      <c r="V1434" s="150"/>
      <c r="W1434" s="150"/>
      <c r="X1434" s="150"/>
      <c r="Y1434" s="150"/>
    </row>
    <row r="1435">
      <c r="A1435" s="150"/>
      <c r="B1435" s="156"/>
      <c r="C1435" s="157"/>
      <c r="D1435" s="150"/>
      <c r="E1435" s="150"/>
      <c r="F1435" s="150"/>
      <c r="G1435" s="150"/>
      <c r="H1435" s="150"/>
      <c r="I1435" s="150"/>
      <c r="J1435" s="150"/>
      <c r="K1435" s="150"/>
      <c r="L1435" s="150"/>
      <c r="M1435" s="150"/>
      <c r="N1435" s="150"/>
      <c r="O1435" s="150"/>
      <c r="P1435" s="150"/>
      <c r="Q1435" s="150"/>
      <c r="R1435" s="150"/>
      <c r="S1435" s="150"/>
      <c r="T1435" s="150"/>
      <c r="U1435" s="150"/>
      <c r="V1435" s="150"/>
      <c r="W1435" s="150"/>
      <c r="X1435" s="150"/>
      <c r="Y1435" s="150"/>
    </row>
    <row r="1436">
      <c r="A1436" s="150"/>
      <c r="B1436" s="156"/>
      <c r="C1436" s="157"/>
      <c r="D1436" s="150"/>
      <c r="E1436" s="150"/>
      <c r="F1436" s="150"/>
      <c r="G1436" s="150"/>
      <c r="H1436" s="150"/>
      <c r="I1436" s="150"/>
      <c r="J1436" s="150"/>
      <c r="K1436" s="150"/>
      <c r="L1436" s="150"/>
      <c r="M1436" s="150"/>
      <c r="N1436" s="150"/>
      <c r="O1436" s="150"/>
      <c r="P1436" s="150"/>
      <c r="Q1436" s="150"/>
      <c r="R1436" s="150"/>
      <c r="S1436" s="150"/>
      <c r="T1436" s="150"/>
      <c r="U1436" s="150"/>
      <c r="V1436" s="150"/>
      <c r="W1436" s="150"/>
      <c r="X1436" s="150"/>
      <c r="Y1436" s="150"/>
    </row>
    <row r="1437">
      <c r="A1437" s="150"/>
      <c r="B1437" s="156"/>
      <c r="C1437" s="157"/>
      <c r="D1437" s="150"/>
      <c r="E1437" s="150"/>
      <c r="F1437" s="150"/>
      <c r="G1437" s="150"/>
      <c r="H1437" s="150"/>
      <c r="I1437" s="150"/>
      <c r="J1437" s="150"/>
      <c r="K1437" s="150"/>
      <c r="L1437" s="150"/>
      <c r="M1437" s="150"/>
      <c r="N1437" s="150"/>
      <c r="O1437" s="150"/>
      <c r="P1437" s="150"/>
      <c r="Q1437" s="150"/>
      <c r="R1437" s="150"/>
      <c r="S1437" s="150"/>
      <c r="T1437" s="150"/>
      <c r="U1437" s="150"/>
      <c r="V1437" s="150"/>
      <c r="W1437" s="150"/>
      <c r="X1437" s="150"/>
      <c r="Y1437" s="150"/>
    </row>
    <row r="1438">
      <c r="A1438" s="150"/>
      <c r="B1438" s="156"/>
      <c r="C1438" s="157"/>
      <c r="D1438" s="150"/>
      <c r="E1438" s="150"/>
      <c r="F1438" s="150"/>
      <c r="G1438" s="150"/>
      <c r="H1438" s="150"/>
      <c r="I1438" s="150"/>
      <c r="J1438" s="150"/>
      <c r="K1438" s="150"/>
      <c r="L1438" s="150"/>
      <c r="M1438" s="150"/>
      <c r="N1438" s="150"/>
      <c r="O1438" s="150"/>
      <c r="P1438" s="150"/>
      <c r="Q1438" s="150"/>
      <c r="R1438" s="150"/>
      <c r="S1438" s="150"/>
      <c r="T1438" s="150"/>
      <c r="U1438" s="150"/>
      <c r="V1438" s="150"/>
      <c r="W1438" s="150"/>
      <c r="X1438" s="150"/>
      <c r="Y1438" s="150"/>
    </row>
    <row r="1439">
      <c r="A1439" s="150"/>
      <c r="B1439" s="156"/>
      <c r="C1439" s="157"/>
      <c r="D1439" s="150"/>
      <c r="E1439" s="150"/>
      <c r="F1439" s="150"/>
      <c r="G1439" s="150"/>
      <c r="H1439" s="150"/>
      <c r="I1439" s="150"/>
      <c r="J1439" s="150"/>
      <c r="K1439" s="150"/>
      <c r="L1439" s="150"/>
      <c r="M1439" s="150"/>
      <c r="N1439" s="150"/>
      <c r="O1439" s="150"/>
      <c r="P1439" s="150"/>
      <c r="Q1439" s="150"/>
      <c r="R1439" s="150"/>
      <c r="S1439" s="150"/>
      <c r="T1439" s="150"/>
      <c r="U1439" s="150"/>
      <c r="V1439" s="150"/>
      <c r="W1439" s="150"/>
      <c r="X1439" s="150"/>
      <c r="Y1439" s="150"/>
    </row>
    <row r="1440">
      <c r="A1440" s="150"/>
      <c r="B1440" s="156"/>
      <c r="C1440" s="157"/>
      <c r="D1440" s="150"/>
      <c r="E1440" s="150"/>
      <c r="F1440" s="150"/>
      <c r="G1440" s="150"/>
      <c r="H1440" s="150"/>
      <c r="I1440" s="150"/>
      <c r="J1440" s="150"/>
      <c r="K1440" s="150"/>
      <c r="L1440" s="150"/>
      <c r="M1440" s="150"/>
      <c r="N1440" s="150"/>
      <c r="O1440" s="150"/>
      <c r="P1440" s="150"/>
      <c r="Q1440" s="150"/>
      <c r="R1440" s="150"/>
      <c r="S1440" s="150"/>
      <c r="T1440" s="150"/>
      <c r="U1440" s="150"/>
      <c r="V1440" s="150"/>
      <c r="W1440" s="150"/>
      <c r="X1440" s="150"/>
      <c r="Y1440" s="150"/>
    </row>
    <row r="1441">
      <c r="A1441" s="150"/>
      <c r="B1441" s="156"/>
      <c r="C1441" s="157"/>
      <c r="D1441" s="150"/>
      <c r="E1441" s="150"/>
      <c r="F1441" s="150"/>
      <c r="G1441" s="150"/>
      <c r="H1441" s="150"/>
      <c r="I1441" s="150"/>
      <c r="J1441" s="150"/>
      <c r="K1441" s="150"/>
      <c r="L1441" s="150"/>
      <c r="M1441" s="150"/>
      <c r="N1441" s="150"/>
      <c r="O1441" s="150"/>
      <c r="P1441" s="150"/>
      <c r="Q1441" s="150"/>
      <c r="R1441" s="150"/>
      <c r="S1441" s="150"/>
      <c r="T1441" s="150"/>
      <c r="U1441" s="150"/>
      <c r="V1441" s="150"/>
      <c r="W1441" s="150"/>
      <c r="X1441" s="150"/>
      <c r="Y1441" s="150"/>
    </row>
    <row r="1442">
      <c r="A1442" s="150"/>
      <c r="B1442" s="156"/>
      <c r="C1442" s="157"/>
      <c r="D1442" s="150"/>
      <c r="E1442" s="150"/>
      <c r="F1442" s="150"/>
      <c r="G1442" s="150"/>
      <c r="H1442" s="150"/>
      <c r="I1442" s="150"/>
      <c r="J1442" s="150"/>
      <c r="K1442" s="150"/>
      <c r="L1442" s="150"/>
      <c r="M1442" s="150"/>
      <c r="N1442" s="150"/>
      <c r="O1442" s="150"/>
      <c r="P1442" s="150"/>
      <c r="Q1442" s="150"/>
      <c r="R1442" s="150"/>
      <c r="S1442" s="150"/>
      <c r="T1442" s="150"/>
      <c r="U1442" s="150"/>
      <c r="V1442" s="150"/>
      <c r="W1442" s="150"/>
      <c r="X1442" s="150"/>
      <c r="Y1442" s="150"/>
    </row>
    <row r="1443">
      <c r="A1443" s="150"/>
      <c r="B1443" s="156"/>
      <c r="C1443" s="157"/>
      <c r="D1443" s="150"/>
      <c r="E1443" s="150"/>
      <c r="F1443" s="150"/>
      <c r="G1443" s="150"/>
      <c r="H1443" s="150"/>
      <c r="I1443" s="150"/>
      <c r="J1443" s="150"/>
      <c r="K1443" s="150"/>
      <c r="L1443" s="150"/>
      <c r="M1443" s="150"/>
      <c r="N1443" s="150"/>
      <c r="O1443" s="150"/>
      <c r="P1443" s="150"/>
      <c r="Q1443" s="150"/>
      <c r="R1443" s="150"/>
      <c r="S1443" s="150"/>
      <c r="T1443" s="150"/>
      <c r="U1443" s="150"/>
      <c r="V1443" s="150"/>
      <c r="W1443" s="150"/>
      <c r="X1443" s="150"/>
      <c r="Y1443" s="150"/>
    </row>
    <row r="1444">
      <c r="A1444" s="150"/>
      <c r="B1444" s="156"/>
      <c r="C1444" s="157"/>
      <c r="D1444" s="150"/>
      <c r="E1444" s="150"/>
      <c r="F1444" s="150"/>
      <c r="G1444" s="150"/>
      <c r="H1444" s="150"/>
      <c r="I1444" s="150"/>
      <c r="J1444" s="150"/>
      <c r="K1444" s="150"/>
      <c r="L1444" s="150"/>
      <c r="M1444" s="150"/>
      <c r="N1444" s="150"/>
      <c r="O1444" s="150"/>
      <c r="P1444" s="150"/>
      <c r="Q1444" s="150"/>
      <c r="R1444" s="150"/>
      <c r="S1444" s="150"/>
      <c r="T1444" s="150"/>
      <c r="U1444" s="150"/>
      <c r="V1444" s="150"/>
      <c r="W1444" s="150"/>
      <c r="X1444" s="150"/>
      <c r="Y1444" s="150"/>
    </row>
    <row r="1445">
      <c r="A1445" s="150"/>
      <c r="B1445" s="156"/>
      <c r="C1445" s="157"/>
      <c r="D1445" s="150"/>
      <c r="E1445" s="150"/>
      <c r="F1445" s="150"/>
      <c r="G1445" s="150"/>
      <c r="H1445" s="150"/>
      <c r="I1445" s="150"/>
      <c r="J1445" s="150"/>
      <c r="K1445" s="150"/>
      <c r="L1445" s="150"/>
      <c r="M1445" s="150"/>
      <c r="N1445" s="150"/>
      <c r="O1445" s="150"/>
      <c r="P1445" s="150"/>
      <c r="Q1445" s="150"/>
      <c r="R1445" s="150"/>
      <c r="S1445" s="150"/>
      <c r="T1445" s="150"/>
      <c r="U1445" s="150"/>
      <c r="V1445" s="150"/>
      <c r="W1445" s="150"/>
      <c r="X1445" s="150"/>
      <c r="Y1445" s="150"/>
    </row>
    <row r="1446">
      <c r="A1446" s="150"/>
      <c r="B1446" s="156"/>
      <c r="C1446" s="157"/>
      <c r="D1446" s="150"/>
      <c r="E1446" s="150"/>
      <c r="F1446" s="150"/>
      <c r="G1446" s="150"/>
      <c r="H1446" s="150"/>
      <c r="I1446" s="150"/>
      <c r="J1446" s="150"/>
      <c r="K1446" s="150"/>
      <c r="L1446" s="150"/>
      <c r="M1446" s="150"/>
      <c r="N1446" s="150"/>
      <c r="O1446" s="150"/>
      <c r="P1446" s="150"/>
      <c r="Q1446" s="150"/>
      <c r="R1446" s="150"/>
      <c r="S1446" s="150"/>
      <c r="T1446" s="150"/>
      <c r="U1446" s="150"/>
      <c r="V1446" s="150"/>
      <c r="W1446" s="150"/>
      <c r="X1446" s="150"/>
      <c r="Y1446" s="150"/>
    </row>
    <row r="1447">
      <c r="A1447" s="150"/>
      <c r="B1447" s="156"/>
      <c r="C1447" s="157"/>
      <c r="D1447" s="150"/>
      <c r="E1447" s="150"/>
      <c r="F1447" s="150"/>
      <c r="G1447" s="150"/>
      <c r="H1447" s="150"/>
      <c r="I1447" s="150"/>
      <c r="J1447" s="150"/>
      <c r="K1447" s="150"/>
      <c r="L1447" s="150"/>
      <c r="M1447" s="150"/>
      <c r="N1447" s="150"/>
      <c r="O1447" s="150"/>
      <c r="P1447" s="150"/>
      <c r="Q1447" s="150"/>
      <c r="R1447" s="150"/>
      <c r="S1447" s="150"/>
      <c r="T1447" s="150"/>
      <c r="U1447" s="150"/>
      <c r="V1447" s="150"/>
      <c r="W1447" s="150"/>
      <c r="X1447" s="150"/>
      <c r="Y1447" s="150"/>
    </row>
    <row r="1448">
      <c r="A1448" s="150"/>
      <c r="B1448" s="156"/>
      <c r="C1448" s="157"/>
      <c r="D1448" s="150"/>
      <c r="E1448" s="150"/>
      <c r="F1448" s="150"/>
      <c r="G1448" s="150"/>
      <c r="H1448" s="150"/>
      <c r="I1448" s="150"/>
      <c r="J1448" s="150"/>
      <c r="K1448" s="150"/>
      <c r="L1448" s="150"/>
      <c r="M1448" s="150"/>
      <c r="N1448" s="150"/>
      <c r="O1448" s="150"/>
      <c r="P1448" s="150"/>
      <c r="Q1448" s="150"/>
      <c r="R1448" s="150"/>
      <c r="S1448" s="150"/>
      <c r="T1448" s="150"/>
      <c r="U1448" s="150"/>
      <c r="V1448" s="150"/>
      <c r="W1448" s="150"/>
      <c r="X1448" s="150"/>
      <c r="Y1448" s="150"/>
    </row>
    <row r="1449">
      <c r="A1449" s="150"/>
      <c r="B1449" s="156"/>
      <c r="C1449" s="157"/>
      <c r="D1449" s="150"/>
      <c r="E1449" s="150"/>
      <c r="F1449" s="150"/>
      <c r="G1449" s="150"/>
      <c r="H1449" s="150"/>
      <c r="I1449" s="150"/>
      <c r="J1449" s="150"/>
      <c r="K1449" s="150"/>
      <c r="L1449" s="150"/>
      <c r="M1449" s="150"/>
      <c r="N1449" s="150"/>
      <c r="O1449" s="150"/>
      <c r="P1449" s="150"/>
      <c r="Q1449" s="150"/>
      <c r="R1449" s="150"/>
      <c r="S1449" s="150"/>
      <c r="T1449" s="150"/>
      <c r="U1449" s="150"/>
      <c r="V1449" s="150"/>
      <c r="W1449" s="150"/>
      <c r="X1449" s="150"/>
      <c r="Y1449" s="150"/>
    </row>
    <row r="1450">
      <c r="A1450" s="150"/>
      <c r="B1450" s="156"/>
      <c r="C1450" s="157"/>
      <c r="D1450" s="150"/>
      <c r="E1450" s="150"/>
      <c r="F1450" s="150"/>
      <c r="G1450" s="150"/>
      <c r="H1450" s="150"/>
      <c r="I1450" s="150"/>
      <c r="J1450" s="150"/>
      <c r="K1450" s="150"/>
      <c r="L1450" s="150"/>
      <c r="M1450" s="150"/>
      <c r="N1450" s="150"/>
      <c r="O1450" s="150"/>
      <c r="P1450" s="150"/>
      <c r="Q1450" s="150"/>
      <c r="R1450" s="150"/>
      <c r="S1450" s="150"/>
      <c r="T1450" s="150"/>
      <c r="U1450" s="150"/>
      <c r="V1450" s="150"/>
      <c r="W1450" s="150"/>
      <c r="X1450" s="150"/>
      <c r="Y1450" s="150"/>
    </row>
    <row r="1451">
      <c r="A1451" s="150"/>
      <c r="B1451" s="156"/>
      <c r="C1451" s="157"/>
      <c r="D1451" s="150"/>
      <c r="E1451" s="150"/>
      <c r="F1451" s="150"/>
      <c r="G1451" s="150"/>
      <c r="H1451" s="150"/>
      <c r="I1451" s="150"/>
      <c r="J1451" s="150"/>
      <c r="K1451" s="150"/>
      <c r="L1451" s="150"/>
      <c r="M1451" s="150"/>
      <c r="N1451" s="150"/>
      <c r="O1451" s="150"/>
      <c r="P1451" s="150"/>
      <c r="Q1451" s="150"/>
      <c r="R1451" s="150"/>
      <c r="S1451" s="150"/>
      <c r="T1451" s="150"/>
      <c r="U1451" s="150"/>
      <c r="V1451" s="150"/>
      <c r="W1451" s="150"/>
      <c r="X1451" s="150"/>
      <c r="Y1451" s="150"/>
    </row>
    <row r="1452">
      <c r="A1452" s="150"/>
      <c r="B1452" s="156"/>
      <c r="C1452" s="157"/>
      <c r="D1452" s="150"/>
      <c r="E1452" s="150"/>
      <c r="F1452" s="150"/>
      <c r="G1452" s="150"/>
      <c r="H1452" s="150"/>
      <c r="I1452" s="150"/>
      <c r="J1452" s="150"/>
      <c r="K1452" s="150"/>
      <c r="L1452" s="150"/>
      <c r="M1452" s="150"/>
      <c r="N1452" s="150"/>
      <c r="O1452" s="150"/>
      <c r="P1452" s="150"/>
      <c r="Q1452" s="150"/>
      <c r="R1452" s="150"/>
      <c r="S1452" s="150"/>
      <c r="T1452" s="150"/>
      <c r="U1452" s="150"/>
      <c r="V1452" s="150"/>
      <c r="W1452" s="150"/>
      <c r="X1452" s="150"/>
      <c r="Y1452" s="150"/>
    </row>
    <row r="1453">
      <c r="A1453" s="150"/>
      <c r="B1453" s="156"/>
      <c r="C1453" s="157"/>
      <c r="D1453" s="150"/>
      <c r="E1453" s="150"/>
      <c r="F1453" s="150"/>
      <c r="G1453" s="150"/>
      <c r="H1453" s="150"/>
      <c r="I1453" s="150"/>
      <c r="J1453" s="150"/>
      <c r="K1453" s="150"/>
      <c r="L1453" s="150"/>
      <c r="M1453" s="150"/>
      <c r="N1453" s="150"/>
      <c r="O1453" s="150"/>
      <c r="P1453" s="150"/>
      <c r="Q1453" s="150"/>
      <c r="R1453" s="150"/>
      <c r="S1453" s="150"/>
      <c r="T1453" s="150"/>
      <c r="U1453" s="150"/>
      <c r="V1453" s="150"/>
      <c r="W1453" s="150"/>
      <c r="X1453" s="150"/>
      <c r="Y1453" s="150"/>
    </row>
    <row r="1454">
      <c r="A1454" s="150"/>
      <c r="B1454" s="156"/>
      <c r="C1454" s="157"/>
      <c r="D1454" s="150"/>
      <c r="E1454" s="150"/>
      <c r="F1454" s="150"/>
      <c r="G1454" s="150"/>
      <c r="H1454" s="150"/>
      <c r="I1454" s="150"/>
      <c r="J1454" s="150"/>
      <c r="K1454" s="150"/>
      <c r="L1454" s="150"/>
      <c r="M1454" s="150"/>
      <c r="N1454" s="150"/>
      <c r="O1454" s="150"/>
      <c r="P1454" s="150"/>
      <c r="Q1454" s="150"/>
      <c r="R1454" s="150"/>
      <c r="S1454" s="150"/>
      <c r="T1454" s="150"/>
      <c r="U1454" s="150"/>
      <c r="V1454" s="150"/>
      <c r="W1454" s="150"/>
      <c r="X1454" s="150"/>
      <c r="Y1454" s="150"/>
    </row>
    <row r="1455">
      <c r="A1455" s="150"/>
      <c r="B1455" s="156"/>
      <c r="C1455" s="157"/>
      <c r="D1455" s="150"/>
      <c r="E1455" s="150"/>
      <c r="F1455" s="150"/>
      <c r="G1455" s="150"/>
      <c r="H1455" s="150"/>
      <c r="I1455" s="150"/>
      <c r="J1455" s="150"/>
      <c r="K1455" s="150"/>
      <c r="L1455" s="150"/>
      <c r="M1455" s="150"/>
      <c r="N1455" s="150"/>
      <c r="O1455" s="150"/>
      <c r="P1455" s="150"/>
      <c r="Q1455" s="150"/>
      <c r="R1455" s="150"/>
      <c r="S1455" s="150"/>
      <c r="T1455" s="150"/>
      <c r="U1455" s="150"/>
      <c r="V1455" s="150"/>
      <c r="W1455" s="150"/>
      <c r="X1455" s="150"/>
      <c r="Y1455" s="150"/>
    </row>
    <row r="1456">
      <c r="A1456" s="150"/>
      <c r="B1456" s="156"/>
      <c r="C1456" s="157"/>
      <c r="D1456" s="150"/>
      <c r="E1456" s="150"/>
      <c r="F1456" s="150"/>
      <c r="G1456" s="150"/>
      <c r="H1456" s="150"/>
      <c r="I1456" s="150"/>
      <c r="J1456" s="150"/>
      <c r="K1456" s="150"/>
      <c r="L1456" s="150"/>
      <c r="M1456" s="150"/>
      <c r="N1456" s="150"/>
      <c r="O1456" s="150"/>
      <c r="P1456" s="150"/>
      <c r="Q1456" s="150"/>
      <c r="R1456" s="150"/>
      <c r="S1456" s="150"/>
      <c r="T1456" s="150"/>
      <c r="U1456" s="150"/>
      <c r="V1456" s="150"/>
      <c r="W1456" s="150"/>
      <c r="X1456" s="150"/>
      <c r="Y1456" s="150"/>
    </row>
    <row r="1457">
      <c r="A1457" s="150"/>
      <c r="B1457" s="156"/>
      <c r="C1457" s="157"/>
      <c r="D1457" s="150"/>
      <c r="E1457" s="150"/>
      <c r="F1457" s="150"/>
      <c r="G1457" s="150"/>
      <c r="H1457" s="150"/>
      <c r="I1457" s="150"/>
      <c r="J1457" s="150"/>
      <c r="K1457" s="150"/>
      <c r="L1457" s="150"/>
      <c r="M1457" s="150"/>
      <c r="N1457" s="150"/>
      <c r="O1457" s="150"/>
      <c r="P1457" s="150"/>
      <c r="Q1457" s="150"/>
      <c r="R1457" s="150"/>
      <c r="S1457" s="150"/>
      <c r="T1457" s="150"/>
      <c r="U1457" s="150"/>
      <c r="V1457" s="150"/>
      <c r="W1457" s="150"/>
      <c r="X1457" s="150"/>
      <c r="Y1457" s="150"/>
    </row>
    <row r="1458">
      <c r="A1458" s="150"/>
      <c r="B1458" s="156"/>
      <c r="C1458" s="157"/>
      <c r="D1458" s="150"/>
      <c r="E1458" s="150"/>
      <c r="F1458" s="150"/>
      <c r="G1458" s="150"/>
      <c r="H1458" s="150"/>
      <c r="I1458" s="150"/>
      <c r="J1458" s="150"/>
      <c r="K1458" s="150"/>
      <c r="L1458" s="150"/>
      <c r="M1458" s="150"/>
      <c r="N1458" s="150"/>
      <c r="O1458" s="150"/>
      <c r="P1458" s="150"/>
      <c r="Q1458" s="150"/>
      <c r="R1458" s="150"/>
      <c r="S1458" s="150"/>
      <c r="T1458" s="150"/>
      <c r="U1458" s="150"/>
      <c r="V1458" s="150"/>
      <c r="W1458" s="150"/>
      <c r="X1458" s="150"/>
      <c r="Y1458" s="150"/>
    </row>
    <row r="1459">
      <c r="A1459" s="150"/>
      <c r="B1459" s="156"/>
      <c r="C1459" s="157"/>
      <c r="D1459" s="150"/>
      <c r="E1459" s="150"/>
      <c r="F1459" s="150"/>
      <c r="G1459" s="150"/>
      <c r="H1459" s="150"/>
      <c r="I1459" s="150"/>
      <c r="J1459" s="150"/>
      <c r="K1459" s="150"/>
      <c r="L1459" s="150"/>
      <c r="M1459" s="150"/>
      <c r="N1459" s="150"/>
      <c r="O1459" s="150"/>
      <c r="P1459" s="150"/>
      <c r="Q1459" s="150"/>
      <c r="R1459" s="150"/>
      <c r="S1459" s="150"/>
      <c r="T1459" s="150"/>
      <c r="U1459" s="150"/>
      <c r="V1459" s="150"/>
      <c r="W1459" s="150"/>
      <c r="X1459" s="150"/>
      <c r="Y1459" s="150"/>
    </row>
    <row r="1460">
      <c r="A1460" s="150"/>
      <c r="B1460" s="156"/>
      <c r="C1460" s="157"/>
      <c r="D1460" s="150"/>
      <c r="E1460" s="150"/>
      <c r="F1460" s="150"/>
      <c r="G1460" s="150"/>
      <c r="H1460" s="150"/>
      <c r="I1460" s="150"/>
      <c r="J1460" s="150"/>
      <c r="K1460" s="150"/>
      <c r="L1460" s="150"/>
      <c r="M1460" s="150"/>
      <c r="N1460" s="150"/>
      <c r="O1460" s="150"/>
      <c r="P1460" s="150"/>
      <c r="Q1460" s="150"/>
      <c r="R1460" s="150"/>
      <c r="S1460" s="150"/>
      <c r="T1460" s="150"/>
      <c r="U1460" s="150"/>
      <c r="V1460" s="150"/>
      <c r="W1460" s="150"/>
      <c r="X1460" s="150"/>
      <c r="Y1460" s="150"/>
    </row>
    <row r="1461">
      <c r="A1461" s="150"/>
      <c r="B1461" s="156"/>
      <c r="C1461" s="157"/>
      <c r="D1461" s="150"/>
      <c r="E1461" s="150"/>
      <c r="F1461" s="150"/>
      <c r="G1461" s="150"/>
      <c r="H1461" s="150"/>
      <c r="I1461" s="150"/>
      <c r="J1461" s="150"/>
      <c r="K1461" s="150"/>
      <c r="L1461" s="150"/>
      <c r="M1461" s="150"/>
      <c r="N1461" s="150"/>
      <c r="O1461" s="150"/>
      <c r="P1461" s="150"/>
      <c r="Q1461" s="150"/>
      <c r="R1461" s="150"/>
      <c r="S1461" s="150"/>
      <c r="T1461" s="150"/>
      <c r="U1461" s="150"/>
      <c r="V1461" s="150"/>
      <c r="W1461" s="150"/>
      <c r="X1461" s="150"/>
      <c r="Y1461" s="150"/>
    </row>
    <row r="1462">
      <c r="A1462" s="150"/>
      <c r="B1462" s="156"/>
      <c r="C1462" s="157"/>
      <c r="D1462" s="150"/>
      <c r="E1462" s="150"/>
      <c r="F1462" s="150"/>
      <c r="G1462" s="150"/>
      <c r="H1462" s="150"/>
      <c r="I1462" s="150"/>
      <c r="J1462" s="150"/>
      <c r="K1462" s="150"/>
      <c r="L1462" s="150"/>
      <c r="M1462" s="150"/>
      <c r="N1462" s="150"/>
      <c r="O1462" s="150"/>
      <c r="P1462" s="150"/>
      <c r="Q1462" s="150"/>
      <c r="R1462" s="150"/>
      <c r="S1462" s="150"/>
      <c r="T1462" s="150"/>
      <c r="U1462" s="150"/>
      <c r="V1462" s="150"/>
      <c r="W1462" s="150"/>
      <c r="X1462" s="150"/>
      <c r="Y1462" s="150"/>
    </row>
    <row r="1463">
      <c r="A1463" s="150"/>
      <c r="B1463" s="156"/>
      <c r="C1463" s="157"/>
      <c r="D1463" s="150"/>
      <c r="E1463" s="150"/>
      <c r="F1463" s="150"/>
      <c r="G1463" s="150"/>
      <c r="H1463" s="150"/>
      <c r="I1463" s="150"/>
      <c r="J1463" s="150"/>
      <c r="K1463" s="150"/>
      <c r="L1463" s="150"/>
      <c r="M1463" s="150"/>
      <c r="N1463" s="150"/>
      <c r="O1463" s="150"/>
      <c r="P1463" s="150"/>
      <c r="Q1463" s="150"/>
      <c r="R1463" s="150"/>
      <c r="S1463" s="150"/>
      <c r="T1463" s="150"/>
      <c r="U1463" s="150"/>
      <c r="V1463" s="150"/>
      <c r="W1463" s="150"/>
      <c r="X1463" s="150"/>
      <c r="Y1463" s="150"/>
    </row>
    <row r="1464">
      <c r="A1464" s="150"/>
      <c r="B1464" s="156"/>
      <c r="C1464" s="157"/>
      <c r="D1464" s="150"/>
      <c r="E1464" s="150"/>
      <c r="F1464" s="150"/>
      <c r="G1464" s="150"/>
      <c r="H1464" s="150"/>
      <c r="I1464" s="150"/>
      <c r="J1464" s="150"/>
      <c r="K1464" s="150"/>
      <c r="L1464" s="150"/>
      <c r="M1464" s="150"/>
      <c r="N1464" s="150"/>
      <c r="O1464" s="150"/>
      <c r="P1464" s="150"/>
      <c r="Q1464" s="150"/>
      <c r="R1464" s="150"/>
      <c r="S1464" s="150"/>
      <c r="T1464" s="150"/>
      <c r="U1464" s="150"/>
      <c r="V1464" s="150"/>
      <c r="W1464" s="150"/>
      <c r="X1464" s="150"/>
      <c r="Y1464" s="150"/>
    </row>
    <row r="1465">
      <c r="A1465" s="150"/>
      <c r="B1465" s="156"/>
      <c r="C1465" s="157"/>
      <c r="D1465" s="150"/>
      <c r="E1465" s="150"/>
      <c r="F1465" s="150"/>
      <c r="G1465" s="150"/>
      <c r="H1465" s="150"/>
      <c r="I1465" s="150"/>
      <c r="J1465" s="150"/>
      <c r="K1465" s="150"/>
      <c r="L1465" s="150"/>
      <c r="M1465" s="150"/>
      <c r="N1465" s="150"/>
      <c r="O1465" s="150"/>
      <c r="P1465" s="150"/>
      <c r="Q1465" s="150"/>
      <c r="R1465" s="150"/>
      <c r="S1465" s="150"/>
      <c r="T1465" s="150"/>
      <c r="U1465" s="150"/>
      <c r="V1465" s="150"/>
      <c r="W1465" s="150"/>
      <c r="X1465" s="150"/>
      <c r="Y1465" s="150"/>
    </row>
    <row r="1466">
      <c r="A1466" s="150"/>
      <c r="B1466" s="156"/>
      <c r="C1466" s="157"/>
      <c r="D1466" s="150"/>
      <c r="E1466" s="150"/>
      <c r="F1466" s="150"/>
      <c r="G1466" s="150"/>
      <c r="H1466" s="150"/>
      <c r="I1466" s="150"/>
      <c r="J1466" s="150"/>
      <c r="K1466" s="150"/>
      <c r="L1466" s="150"/>
      <c r="M1466" s="150"/>
      <c r="N1466" s="150"/>
      <c r="O1466" s="150"/>
      <c r="P1466" s="150"/>
      <c r="Q1466" s="150"/>
      <c r="R1466" s="150"/>
      <c r="S1466" s="150"/>
      <c r="T1466" s="150"/>
      <c r="U1466" s="150"/>
      <c r="V1466" s="150"/>
      <c r="W1466" s="150"/>
      <c r="X1466" s="150"/>
      <c r="Y1466" s="150"/>
    </row>
    <row r="1467">
      <c r="A1467" s="150"/>
      <c r="B1467" s="156"/>
      <c r="C1467" s="157"/>
      <c r="D1467" s="150"/>
      <c r="E1467" s="150"/>
      <c r="F1467" s="150"/>
      <c r="G1467" s="150"/>
      <c r="H1467" s="150"/>
      <c r="I1467" s="150"/>
      <c r="J1467" s="150"/>
      <c r="K1467" s="150"/>
      <c r="L1467" s="150"/>
      <c r="M1467" s="150"/>
      <c r="N1467" s="150"/>
      <c r="O1467" s="150"/>
      <c r="P1467" s="150"/>
      <c r="Q1467" s="150"/>
      <c r="R1467" s="150"/>
      <c r="S1467" s="150"/>
      <c r="T1467" s="150"/>
      <c r="U1467" s="150"/>
      <c r="V1467" s="150"/>
      <c r="W1467" s="150"/>
      <c r="X1467" s="150"/>
      <c r="Y1467" s="150"/>
    </row>
    <row r="1468">
      <c r="A1468" s="150"/>
      <c r="B1468" s="156"/>
      <c r="C1468" s="157"/>
      <c r="D1468" s="150"/>
      <c r="E1468" s="150"/>
      <c r="F1468" s="150"/>
      <c r="G1468" s="150"/>
      <c r="H1468" s="150"/>
      <c r="I1468" s="150"/>
      <c r="J1468" s="150"/>
      <c r="K1468" s="150"/>
      <c r="L1468" s="150"/>
      <c r="M1468" s="150"/>
      <c r="N1468" s="150"/>
      <c r="O1468" s="150"/>
      <c r="P1468" s="150"/>
      <c r="Q1468" s="150"/>
      <c r="R1468" s="150"/>
      <c r="S1468" s="150"/>
      <c r="T1468" s="150"/>
      <c r="U1468" s="150"/>
      <c r="V1468" s="150"/>
      <c r="W1468" s="150"/>
      <c r="X1468" s="150"/>
      <c r="Y1468" s="150"/>
    </row>
    <row r="1469">
      <c r="A1469" s="150"/>
      <c r="B1469" s="156"/>
      <c r="C1469" s="157"/>
      <c r="D1469" s="150"/>
      <c r="E1469" s="150"/>
      <c r="F1469" s="150"/>
      <c r="G1469" s="150"/>
      <c r="H1469" s="150"/>
      <c r="I1469" s="150"/>
      <c r="J1469" s="150"/>
      <c r="K1469" s="150"/>
      <c r="L1469" s="150"/>
      <c r="M1469" s="150"/>
      <c r="N1469" s="150"/>
      <c r="O1469" s="150"/>
      <c r="P1469" s="150"/>
      <c r="Q1469" s="150"/>
      <c r="R1469" s="150"/>
      <c r="S1469" s="150"/>
      <c r="T1469" s="150"/>
      <c r="U1469" s="150"/>
      <c r="V1469" s="150"/>
      <c r="W1469" s="150"/>
      <c r="X1469" s="150"/>
      <c r="Y1469" s="150"/>
    </row>
    <row r="1470">
      <c r="A1470" s="150"/>
      <c r="B1470" s="156"/>
      <c r="C1470" s="157"/>
      <c r="D1470" s="150"/>
      <c r="E1470" s="150"/>
      <c r="F1470" s="150"/>
      <c r="G1470" s="150"/>
      <c r="H1470" s="150"/>
      <c r="I1470" s="150"/>
      <c r="J1470" s="150"/>
      <c r="K1470" s="150"/>
      <c r="L1470" s="150"/>
      <c r="M1470" s="150"/>
      <c r="N1470" s="150"/>
      <c r="O1470" s="150"/>
      <c r="P1470" s="150"/>
      <c r="Q1470" s="150"/>
      <c r="R1470" s="150"/>
      <c r="S1470" s="150"/>
      <c r="T1470" s="150"/>
      <c r="U1470" s="150"/>
      <c r="V1470" s="150"/>
      <c r="W1470" s="150"/>
      <c r="X1470" s="150"/>
      <c r="Y1470" s="150"/>
    </row>
    <row r="1471">
      <c r="A1471" s="150"/>
      <c r="B1471" s="156"/>
      <c r="C1471" s="157"/>
      <c r="D1471" s="150"/>
      <c r="E1471" s="150"/>
      <c r="F1471" s="150"/>
      <c r="G1471" s="150"/>
      <c r="H1471" s="150"/>
      <c r="I1471" s="150"/>
      <c r="J1471" s="150"/>
      <c r="K1471" s="150"/>
      <c r="L1471" s="150"/>
      <c r="M1471" s="150"/>
      <c r="N1471" s="150"/>
      <c r="O1471" s="150"/>
      <c r="P1471" s="150"/>
      <c r="Q1471" s="150"/>
      <c r="R1471" s="150"/>
      <c r="S1471" s="150"/>
      <c r="T1471" s="150"/>
      <c r="U1471" s="150"/>
      <c r="V1471" s="150"/>
      <c r="W1471" s="150"/>
      <c r="X1471" s="150"/>
      <c r="Y1471" s="150"/>
    </row>
    <row r="1472">
      <c r="A1472" s="150"/>
      <c r="B1472" s="156"/>
      <c r="C1472" s="157"/>
      <c r="D1472" s="150"/>
      <c r="E1472" s="150"/>
      <c r="F1472" s="150"/>
      <c r="G1472" s="150"/>
      <c r="H1472" s="150"/>
      <c r="I1472" s="150"/>
      <c r="J1472" s="150"/>
      <c r="K1472" s="150"/>
      <c r="L1472" s="150"/>
      <c r="M1472" s="150"/>
      <c r="N1472" s="150"/>
      <c r="O1472" s="150"/>
      <c r="P1472" s="150"/>
      <c r="Q1472" s="150"/>
      <c r="R1472" s="150"/>
      <c r="S1472" s="150"/>
      <c r="T1472" s="150"/>
      <c r="U1472" s="150"/>
      <c r="V1472" s="150"/>
      <c r="W1472" s="150"/>
      <c r="X1472" s="150"/>
      <c r="Y1472" s="150"/>
    </row>
    <row r="1473">
      <c r="A1473" s="150"/>
      <c r="B1473" s="156"/>
      <c r="C1473" s="157"/>
      <c r="D1473" s="150"/>
      <c r="E1473" s="150"/>
      <c r="F1473" s="150"/>
      <c r="G1473" s="150"/>
      <c r="H1473" s="150"/>
      <c r="I1473" s="150"/>
      <c r="J1473" s="150"/>
      <c r="K1473" s="150"/>
      <c r="L1473" s="150"/>
      <c r="M1473" s="150"/>
      <c r="N1473" s="150"/>
      <c r="O1473" s="150"/>
      <c r="P1473" s="150"/>
      <c r="Q1473" s="150"/>
      <c r="R1473" s="150"/>
      <c r="S1473" s="150"/>
      <c r="T1473" s="150"/>
      <c r="U1473" s="150"/>
      <c r="V1473" s="150"/>
      <c r="W1473" s="150"/>
      <c r="X1473" s="150"/>
      <c r="Y1473" s="150"/>
    </row>
    <row r="1474">
      <c r="A1474" s="150"/>
      <c r="B1474" s="156"/>
      <c r="C1474" s="157"/>
      <c r="D1474" s="150"/>
      <c r="E1474" s="150"/>
      <c r="F1474" s="150"/>
      <c r="G1474" s="150"/>
      <c r="H1474" s="150"/>
      <c r="I1474" s="150"/>
      <c r="J1474" s="150"/>
      <c r="K1474" s="150"/>
      <c r="L1474" s="150"/>
      <c r="M1474" s="150"/>
      <c r="N1474" s="150"/>
      <c r="O1474" s="150"/>
      <c r="P1474" s="150"/>
      <c r="Q1474" s="150"/>
      <c r="R1474" s="150"/>
      <c r="S1474" s="150"/>
      <c r="T1474" s="150"/>
      <c r="U1474" s="150"/>
      <c r="V1474" s="150"/>
      <c r="W1474" s="150"/>
      <c r="X1474" s="150"/>
      <c r="Y1474" s="150"/>
    </row>
    <row r="1475">
      <c r="A1475" s="150"/>
      <c r="B1475" s="156"/>
      <c r="C1475" s="157"/>
      <c r="D1475" s="150"/>
      <c r="E1475" s="150"/>
      <c r="F1475" s="150"/>
      <c r="G1475" s="150"/>
      <c r="H1475" s="150"/>
      <c r="I1475" s="150"/>
      <c r="J1475" s="150"/>
      <c r="K1475" s="150"/>
      <c r="L1475" s="150"/>
      <c r="M1475" s="150"/>
      <c r="N1475" s="150"/>
      <c r="O1475" s="150"/>
      <c r="P1475" s="150"/>
      <c r="Q1475" s="150"/>
      <c r="R1475" s="150"/>
      <c r="S1475" s="150"/>
      <c r="T1475" s="150"/>
      <c r="U1475" s="150"/>
      <c r="V1475" s="150"/>
      <c r="W1475" s="150"/>
      <c r="X1475" s="150"/>
      <c r="Y1475" s="150"/>
    </row>
    <row r="1476">
      <c r="A1476" s="150"/>
      <c r="B1476" s="156"/>
      <c r="C1476" s="157"/>
      <c r="D1476" s="150"/>
      <c r="E1476" s="150"/>
      <c r="F1476" s="150"/>
      <c r="G1476" s="150"/>
      <c r="H1476" s="150"/>
      <c r="I1476" s="150"/>
      <c r="J1476" s="150"/>
      <c r="K1476" s="150"/>
      <c r="L1476" s="150"/>
      <c r="M1476" s="150"/>
      <c r="N1476" s="150"/>
      <c r="O1476" s="150"/>
      <c r="P1476" s="150"/>
      <c r="Q1476" s="150"/>
      <c r="R1476" s="150"/>
      <c r="S1476" s="150"/>
      <c r="T1476" s="150"/>
      <c r="U1476" s="150"/>
      <c r="V1476" s="150"/>
      <c r="W1476" s="150"/>
      <c r="X1476" s="150"/>
      <c r="Y1476" s="150"/>
    </row>
    <row r="1477">
      <c r="A1477" s="150"/>
      <c r="B1477" s="156"/>
      <c r="C1477" s="157"/>
      <c r="D1477" s="150"/>
      <c r="E1477" s="150"/>
      <c r="F1477" s="150"/>
      <c r="G1477" s="150"/>
      <c r="H1477" s="150"/>
      <c r="I1477" s="150"/>
      <c r="J1477" s="150"/>
      <c r="K1477" s="150"/>
      <c r="L1477" s="150"/>
      <c r="M1477" s="150"/>
      <c r="N1477" s="150"/>
      <c r="O1477" s="150"/>
      <c r="P1477" s="150"/>
      <c r="Q1477" s="150"/>
      <c r="R1477" s="150"/>
      <c r="S1477" s="150"/>
      <c r="T1477" s="150"/>
      <c r="U1477" s="150"/>
      <c r="V1477" s="150"/>
      <c r="W1477" s="150"/>
      <c r="X1477" s="150"/>
      <c r="Y1477" s="150"/>
    </row>
    <row r="1478">
      <c r="A1478" s="150"/>
      <c r="B1478" s="156"/>
      <c r="C1478" s="157"/>
      <c r="D1478" s="150"/>
      <c r="E1478" s="150"/>
      <c r="F1478" s="150"/>
      <c r="G1478" s="150"/>
      <c r="H1478" s="150"/>
      <c r="I1478" s="150"/>
      <c r="J1478" s="150"/>
      <c r="K1478" s="150"/>
      <c r="L1478" s="150"/>
      <c r="M1478" s="150"/>
      <c r="N1478" s="150"/>
      <c r="O1478" s="150"/>
      <c r="P1478" s="150"/>
      <c r="Q1478" s="150"/>
      <c r="R1478" s="150"/>
      <c r="S1478" s="150"/>
      <c r="T1478" s="150"/>
      <c r="U1478" s="150"/>
      <c r="V1478" s="150"/>
      <c r="W1478" s="150"/>
      <c r="X1478" s="150"/>
      <c r="Y1478" s="150"/>
    </row>
    <row r="1479">
      <c r="A1479" s="150"/>
      <c r="B1479" s="156"/>
      <c r="C1479" s="157"/>
      <c r="D1479" s="150"/>
      <c r="E1479" s="150"/>
      <c r="F1479" s="150"/>
      <c r="G1479" s="150"/>
      <c r="H1479" s="150"/>
      <c r="I1479" s="150"/>
      <c r="J1479" s="150"/>
      <c r="K1479" s="150"/>
      <c r="L1479" s="150"/>
      <c r="M1479" s="150"/>
      <c r="N1479" s="150"/>
      <c r="O1479" s="150"/>
      <c r="P1479" s="150"/>
      <c r="Q1479" s="150"/>
      <c r="R1479" s="150"/>
      <c r="S1479" s="150"/>
      <c r="T1479" s="150"/>
      <c r="U1479" s="150"/>
      <c r="V1479" s="150"/>
      <c r="W1479" s="150"/>
      <c r="X1479" s="150"/>
      <c r="Y1479" s="150"/>
    </row>
    <row r="1480">
      <c r="A1480" s="150"/>
      <c r="B1480" s="156"/>
      <c r="C1480" s="157"/>
      <c r="D1480" s="150"/>
      <c r="E1480" s="150"/>
      <c r="F1480" s="150"/>
      <c r="G1480" s="150"/>
      <c r="H1480" s="150"/>
      <c r="I1480" s="150"/>
      <c r="J1480" s="150"/>
      <c r="K1480" s="150"/>
      <c r="L1480" s="150"/>
      <c r="M1480" s="150"/>
      <c r="N1480" s="150"/>
      <c r="O1480" s="150"/>
      <c r="P1480" s="150"/>
      <c r="Q1480" s="150"/>
      <c r="R1480" s="150"/>
      <c r="S1480" s="150"/>
      <c r="T1480" s="150"/>
      <c r="U1480" s="150"/>
      <c r="V1480" s="150"/>
      <c r="W1480" s="150"/>
      <c r="X1480" s="150"/>
      <c r="Y1480" s="150"/>
    </row>
    <row r="1481">
      <c r="A1481" s="150"/>
      <c r="B1481" s="156"/>
      <c r="C1481" s="157"/>
      <c r="D1481" s="150"/>
      <c r="E1481" s="150"/>
      <c r="F1481" s="150"/>
      <c r="G1481" s="150"/>
      <c r="H1481" s="150"/>
      <c r="I1481" s="150"/>
      <c r="J1481" s="150"/>
      <c r="K1481" s="150"/>
      <c r="L1481" s="150"/>
      <c r="M1481" s="150"/>
      <c r="N1481" s="150"/>
      <c r="O1481" s="150"/>
      <c r="P1481" s="150"/>
      <c r="Q1481" s="150"/>
      <c r="R1481" s="150"/>
      <c r="S1481" s="150"/>
      <c r="T1481" s="150"/>
      <c r="U1481" s="150"/>
      <c r="V1481" s="150"/>
      <c r="W1481" s="150"/>
      <c r="X1481" s="150"/>
      <c r="Y1481" s="150"/>
    </row>
    <row r="1482">
      <c r="A1482" s="150"/>
      <c r="B1482" s="156"/>
      <c r="C1482" s="157"/>
      <c r="D1482" s="150"/>
      <c r="E1482" s="150"/>
      <c r="F1482" s="150"/>
      <c r="G1482" s="150"/>
      <c r="H1482" s="150"/>
      <c r="I1482" s="150"/>
      <c r="J1482" s="150"/>
      <c r="K1482" s="150"/>
      <c r="L1482" s="150"/>
      <c r="M1482" s="150"/>
      <c r="N1482" s="150"/>
      <c r="O1482" s="150"/>
      <c r="P1482" s="150"/>
      <c r="Q1482" s="150"/>
      <c r="R1482" s="150"/>
      <c r="S1482" s="150"/>
      <c r="T1482" s="150"/>
      <c r="U1482" s="150"/>
      <c r="V1482" s="150"/>
      <c r="W1482" s="150"/>
      <c r="X1482" s="150"/>
      <c r="Y1482" s="150"/>
    </row>
    <row r="1483">
      <c r="A1483" s="150"/>
      <c r="B1483" s="156"/>
      <c r="C1483" s="157"/>
      <c r="D1483" s="150"/>
      <c r="E1483" s="150"/>
      <c r="F1483" s="150"/>
      <c r="G1483" s="150"/>
      <c r="H1483" s="150"/>
      <c r="I1483" s="150"/>
      <c r="J1483" s="150"/>
      <c r="K1483" s="150"/>
      <c r="L1483" s="150"/>
      <c r="M1483" s="150"/>
      <c r="N1483" s="150"/>
      <c r="O1483" s="150"/>
      <c r="P1483" s="150"/>
      <c r="Q1483" s="150"/>
      <c r="R1483" s="150"/>
      <c r="S1483" s="150"/>
      <c r="T1483" s="150"/>
      <c r="U1483" s="150"/>
      <c r="V1483" s="150"/>
      <c r="W1483" s="150"/>
      <c r="X1483" s="150"/>
      <c r="Y1483" s="150"/>
    </row>
    <row r="1484">
      <c r="A1484" s="150"/>
      <c r="B1484" s="156"/>
      <c r="C1484" s="157"/>
      <c r="D1484" s="150"/>
      <c r="E1484" s="150"/>
      <c r="F1484" s="150"/>
      <c r="G1484" s="150"/>
      <c r="H1484" s="150"/>
      <c r="I1484" s="150"/>
      <c r="J1484" s="150"/>
      <c r="K1484" s="150"/>
      <c r="L1484" s="150"/>
      <c r="M1484" s="150"/>
      <c r="N1484" s="150"/>
      <c r="O1484" s="150"/>
      <c r="P1484" s="150"/>
      <c r="Q1484" s="150"/>
      <c r="R1484" s="150"/>
      <c r="S1484" s="150"/>
      <c r="T1484" s="150"/>
      <c r="U1484" s="150"/>
      <c r="V1484" s="150"/>
      <c r="W1484" s="150"/>
      <c r="X1484" s="150"/>
      <c r="Y1484" s="150"/>
    </row>
    <row r="1485">
      <c r="A1485" s="150"/>
      <c r="B1485" s="156"/>
      <c r="C1485" s="157"/>
      <c r="D1485" s="150"/>
      <c r="E1485" s="150"/>
      <c r="F1485" s="150"/>
      <c r="G1485" s="150"/>
      <c r="H1485" s="150"/>
      <c r="I1485" s="150"/>
      <c r="J1485" s="150"/>
      <c r="K1485" s="150"/>
      <c r="L1485" s="150"/>
      <c r="M1485" s="150"/>
      <c r="N1485" s="150"/>
      <c r="O1485" s="150"/>
      <c r="P1485" s="150"/>
      <c r="Q1485" s="150"/>
      <c r="R1485" s="150"/>
      <c r="S1485" s="150"/>
      <c r="T1485" s="150"/>
      <c r="U1485" s="150"/>
      <c r="V1485" s="150"/>
      <c r="W1485" s="150"/>
      <c r="X1485" s="150"/>
      <c r="Y1485" s="150"/>
    </row>
    <row r="1486">
      <c r="A1486" s="150"/>
      <c r="B1486" s="156"/>
      <c r="C1486" s="157"/>
      <c r="D1486" s="150"/>
      <c r="E1486" s="150"/>
      <c r="F1486" s="150"/>
      <c r="G1486" s="150"/>
      <c r="H1486" s="150"/>
      <c r="I1486" s="150"/>
      <c r="J1486" s="150"/>
      <c r="K1486" s="150"/>
      <c r="L1486" s="150"/>
      <c r="M1486" s="150"/>
      <c r="N1486" s="150"/>
      <c r="O1486" s="150"/>
      <c r="P1486" s="150"/>
      <c r="Q1486" s="150"/>
      <c r="R1486" s="150"/>
      <c r="S1486" s="150"/>
      <c r="T1486" s="150"/>
      <c r="U1486" s="150"/>
      <c r="V1486" s="150"/>
      <c r="W1486" s="150"/>
      <c r="X1486" s="150"/>
      <c r="Y1486" s="150"/>
    </row>
    <row r="1487">
      <c r="A1487" s="150"/>
      <c r="B1487" s="156"/>
      <c r="C1487" s="157"/>
      <c r="D1487" s="150"/>
      <c r="E1487" s="150"/>
      <c r="F1487" s="150"/>
      <c r="G1487" s="150"/>
      <c r="H1487" s="150"/>
      <c r="I1487" s="150"/>
      <c r="J1487" s="150"/>
      <c r="K1487" s="150"/>
      <c r="L1487" s="150"/>
      <c r="M1487" s="150"/>
      <c r="N1487" s="150"/>
      <c r="O1487" s="150"/>
      <c r="P1487" s="150"/>
      <c r="Q1487" s="150"/>
      <c r="R1487" s="150"/>
      <c r="S1487" s="150"/>
      <c r="T1487" s="150"/>
      <c r="U1487" s="150"/>
      <c r="V1487" s="150"/>
      <c r="W1487" s="150"/>
      <c r="X1487" s="150"/>
      <c r="Y1487" s="150"/>
    </row>
    <row r="1488">
      <c r="A1488" s="150"/>
      <c r="B1488" s="156"/>
      <c r="C1488" s="157"/>
      <c r="D1488" s="150"/>
      <c r="E1488" s="150"/>
      <c r="F1488" s="150"/>
      <c r="G1488" s="150"/>
      <c r="H1488" s="150"/>
      <c r="I1488" s="150"/>
      <c r="J1488" s="150"/>
      <c r="K1488" s="150"/>
      <c r="L1488" s="150"/>
      <c r="M1488" s="150"/>
      <c r="N1488" s="150"/>
      <c r="O1488" s="150"/>
      <c r="P1488" s="150"/>
      <c r="Q1488" s="150"/>
      <c r="R1488" s="150"/>
      <c r="S1488" s="150"/>
      <c r="T1488" s="150"/>
      <c r="U1488" s="150"/>
      <c r="V1488" s="150"/>
      <c r="W1488" s="150"/>
      <c r="X1488" s="150"/>
      <c r="Y1488" s="150"/>
    </row>
    <row r="1489">
      <c r="A1489" s="150"/>
      <c r="B1489" s="156"/>
      <c r="C1489" s="157"/>
      <c r="D1489" s="150"/>
      <c r="E1489" s="150"/>
      <c r="F1489" s="150"/>
      <c r="G1489" s="150"/>
      <c r="H1489" s="150"/>
      <c r="I1489" s="150"/>
      <c r="J1489" s="150"/>
      <c r="K1489" s="150"/>
      <c r="L1489" s="150"/>
      <c r="M1489" s="150"/>
      <c r="N1489" s="150"/>
      <c r="O1489" s="150"/>
      <c r="P1489" s="150"/>
      <c r="Q1489" s="150"/>
      <c r="R1489" s="150"/>
      <c r="S1489" s="150"/>
      <c r="T1489" s="150"/>
      <c r="U1489" s="150"/>
      <c r="V1489" s="150"/>
      <c r="W1489" s="150"/>
      <c r="X1489" s="150"/>
      <c r="Y1489" s="150"/>
    </row>
    <row r="1490">
      <c r="A1490" s="150"/>
      <c r="B1490" s="156"/>
      <c r="C1490" s="157"/>
      <c r="D1490" s="150"/>
      <c r="E1490" s="150"/>
      <c r="F1490" s="150"/>
      <c r="G1490" s="150"/>
      <c r="H1490" s="150"/>
      <c r="I1490" s="150"/>
      <c r="J1490" s="150"/>
      <c r="K1490" s="150"/>
      <c r="L1490" s="150"/>
      <c r="M1490" s="150"/>
      <c r="N1490" s="150"/>
      <c r="O1490" s="150"/>
      <c r="P1490" s="150"/>
      <c r="Q1490" s="150"/>
      <c r="R1490" s="150"/>
      <c r="S1490" s="150"/>
      <c r="T1490" s="150"/>
      <c r="U1490" s="150"/>
      <c r="V1490" s="150"/>
      <c r="W1490" s="150"/>
      <c r="X1490" s="150"/>
      <c r="Y1490" s="150"/>
    </row>
    <row r="1491">
      <c r="A1491" s="150"/>
      <c r="B1491" s="156"/>
      <c r="C1491" s="157"/>
      <c r="D1491" s="150"/>
      <c r="E1491" s="150"/>
      <c r="F1491" s="150"/>
      <c r="G1491" s="150"/>
      <c r="H1491" s="150"/>
      <c r="I1491" s="150"/>
      <c r="J1491" s="150"/>
      <c r="K1491" s="150"/>
      <c r="L1491" s="150"/>
      <c r="M1491" s="150"/>
      <c r="N1491" s="150"/>
      <c r="O1491" s="150"/>
      <c r="P1491" s="150"/>
      <c r="Q1491" s="150"/>
      <c r="R1491" s="150"/>
      <c r="S1491" s="150"/>
      <c r="T1491" s="150"/>
      <c r="U1491" s="150"/>
      <c r="V1491" s="150"/>
      <c r="W1491" s="150"/>
      <c r="X1491" s="150"/>
      <c r="Y1491" s="150"/>
    </row>
    <row r="1492">
      <c r="A1492" s="150"/>
      <c r="B1492" s="156"/>
      <c r="C1492" s="157"/>
      <c r="D1492" s="150"/>
      <c r="E1492" s="150"/>
      <c r="F1492" s="150"/>
      <c r="G1492" s="150"/>
      <c r="H1492" s="150"/>
      <c r="I1492" s="150"/>
      <c r="J1492" s="150"/>
      <c r="K1492" s="150"/>
      <c r="L1492" s="150"/>
      <c r="M1492" s="150"/>
      <c r="N1492" s="150"/>
      <c r="O1492" s="150"/>
      <c r="P1492" s="150"/>
      <c r="Q1492" s="150"/>
      <c r="R1492" s="150"/>
      <c r="S1492" s="150"/>
      <c r="T1492" s="150"/>
      <c r="U1492" s="150"/>
      <c r="V1492" s="150"/>
      <c r="W1492" s="150"/>
      <c r="X1492" s="150"/>
      <c r="Y1492" s="150"/>
    </row>
    <row r="1493">
      <c r="A1493" s="150"/>
      <c r="B1493" s="156"/>
      <c r="C1493" s="157"/>
      <c r="D1493" s="150"/>
      <c r="E1493" s="150"/>
      <c r="F1493" s="150"/>
      <c r="G1493" s="150"/>
      <c r="H1493" s="150"/>
      <c r="I1493" s="150"/>
      <c r="J1493" s="150"/>
      <c r="K1493" s="150"/>
      <c r="L1493" s="150"/>
      <c r="M1493" s="150"/>
      <c r="N1493" s="150"/>
      <c r="O1493" s="150"/>
      <c r="P1493" s="150"/>
      <c r="Q1493" s="150"/>
      <c r="R1493" s="150"/>
      <c r="S1493" s="150"/>
      <c r="T1493" s="150"/>
      <c r="U1493" s="150"/>
      <c r="V1493" s="150"/>
      <c r="W1493" s="150"/>
      <c r="X1493" s="150"/>
      <c r="Y1493" s="150"/>
    </row>
    <row r="1494">
      <c r="A1494" s="150"/>
      <c r="B1494" s="156"/>
      <c r="C1494" s="157"/>
      <c r="D1494" s="150"/>
      <c r="E1494" s="150"/>
      <c r="F1494" s="150"/>
      <c r="G1494" s="150"/>
      <c r="H1494" s="150"/>
      <c r="I1494" s="150"/>
      <c r="J1494" s="150"/>
      <c r="K1494" s="150"/>
      <c r="L1494" s="150"/>
      <c r="M1494" s="150"/>
      <c r="N1494" s="150"/>
      <c r="O1494" s="150"/>
      <c r="P1494" s="150"/>
      <c r="Q1494" s="150"/>
      <c r="R1494" s="150"/>
      <c r="S1494" s="150"/>
      <c r="T1494" s="150"/>
      <c r="U1494" s="150"/>
      <c r="V1494" s="150"/>
      <c r="W1494" s="150"/>
      <c r="X1494" s="150"/>
      <c r="Y1494" s="150"/>
    </row>
    <row r="1495">
      <c r="A1495" s="150"/>
      <c r="B1495" s="156"/>
      <c r="C1495" s="157"/>
      <c r="D1495" s="150"/>
      <c r="E1495" s="150"/>
      <c r="F1495" s="150"/>
      <c r="G1495" s="150"/>
      <c r="H1495" s="150"/>
      <c r="I1495" s="150"/>
      <c r="J1495" s="150"/>
      <c r="K1495" s="150"/>
      <c r="L1495" s="150"/>
      <c r="M1495" s="150"/>
      <c r="N1495" s="150"/>
      <c r="O1495" s="150"/>
      <c r="P1495" s="150"/>
      <c r="Q1495" s="150"/>
      <c r="R1495" s="150"/>
      <c r="S1495" s="150"/>
      <c r="T1495" s="150"/>
      <c r="U1495" s="150"/>
      <c r="V1495" s="150"/>
      <c r="W1495" s="150"/>
      <c r="X1495" s="150"/>
      <c r="Y1495" s="150"/>
    </row>
    <row r="1496">
      <c r="A1496" s="150"/>
      <c r="B1496" s="156"/>
      <c r="C1496" s="157"/>
      <c r="D1496" s="150"/>
      <c r="E1496" s="150"/>
      <c r="F1496" s="150"/>
      <c r="G1496" s="150"/>
      <c r="H1496" s="150"/>
      <c r="I1496" s="150"/>
      <c r="J1496" s="150"/>
      <c r="K1496" s="150"/>
      <c r="L1496" s="150"/>
      <c r="M1496" s="150"/>
      <c r="N1496" s="150"/>
      <c r="O1496" s="150"/>
      <c r="P1496" s="150"/>
      <c r="Q1496" s="150"/>
      <c r="R1496" s="150"/>
      <c r="S1496" s="150"/>
      <c r="T1496" s="150"/>
      <c r="U1496" s="150"/>
      <c r="V1496" s="150"/>
      <c r="W1496" s="150"/>
      <c r="X1496" s="150"/>
      <c r="Y1496" s="150"/>
    </row>
    <row r="1497">
      <c r="A1497" s="150"/>
      <c r="B1497" s="156"/>
      <c r="C1497" s="157"/>
      <c r="D1497" s="150"/>
      <c r="E1497" s="150"/>
      <c r="F1497" s="150"/>
      <c r="G1497" s="150"/>
      <c r="H1497" s="150"/>
      <c r="I1497" s="150"/>
      <c r="J1497" s="150"/>
      <c r="K1497" s="150"/>
      <c r="L1497" s="150"/>
      <c r="M1497" s="150"/>
      <c r="N1497" s="150"/>
      <c r="O1497" s="150"/>
      <c r="P1497" s="150"/>
      <c r="Q1497" s="150"/>
      <c r="R1497" s="150"/>
      <c r="S1497" s="150"/>
      <c r="T1497" s="150"/>
      <c r="U1497" s="150"/>
      <c r="V1497" s="150"/>
      <c r="W1497" s="150"/>
      <c r="X1497" s="150"/>
      <c r="Y1497" s="150"/>
    </row>
    <row r="1498">
      <c r="A1498" s="150"/>
      <c r="B1498" s="156"/>
      <c r="C1498" s="157"/>
      <c r="D1498" s="150"/>
      <c r="E1498" s="150"/>
      <c r="F1498" s="150"/>
      <c r="G1498" s="150"/>
      <c r="H1498" s="150"/>
      <c r="I1498" s="150"/>
      <c r="J1498" s="150"/>
      <c r="K1498" s="150"/>
      <c r="L1498" s="150"/>
      <c r="M1498" s="150"/>
      <c r="N1498" s="150"/>
      <c r="O1498" s="150"/>
      <c r="P1498" s="150"/>
      <c r="Q1498" s="150"/>
      <c r="R1498" s="150"/>
      <c r="S1498" s="150"/>
      <c r="T1498" s="150"/>
      <c r="U1498" s="150"/>
      <c r="V1498" s="150"/>
      <c r="W1498" s="150"/>
      <c r="X1498" s="150"/>
      <c r="Y1498" s="150"/>
    </row>
    <row r="1499">
      <c r="A1499" s="150"/>
      <c r="B1499" s="156"/>
      <c r="C1499" s="157"/>
      <c r="D1499" s="150"/>
      <c r="E1499" s="150"/>
      <c r="F1499" s="150"/>
      <c r="G1499" s="150"/>
      <c r="H1499" s="150"/>
      <c r="I1499" s="150"/>
      <c r="J1499" s="150"/>
      <c r="K1499" s="150"/>
      <c r="L1499" s="150"/>
      <c r="M1499" s="150"/>
      <c r="N1499" s="150"/>
      <c r="O1499" s="150"/>
      <c r="P1499" s="150"/>
      <c r="Q1499" s="150"/>
      <c r="R1499" s="150"/>
      <c r="S1499" s="150"/>
      <c r="T1499" s="150"/>
      <c r="U1499" s="150"/>
      <c r="V1499" s="150"/>
      <c r="W1499" s="150"/>
      <c r="X1499" s="150"/>
      <c r="Y1499" s="150"/>
    </row>
    <row r="1500">
      <c r="A1500" s="150"/>
      <c r="B1500" s="156"/>
      <c r="C1500" s="157"/>
      <c r="D1500" s="150"/>
      <c r="E1500" s="150"/>
      <c r="F1500" s="150"/>
      <c r="G1500" s="150"/>
      <c r="H1500" s="150"/>
      <c r="I1500" s="150"/>
      <c r="J1500" s="150"/>
      <c r="K1500" s="150"/>
      <c r="L1500" s="150"/>
      <c r="M1500" s="150"/>
      <c r="N1500" s="150"/>
      <c r="O1500" s="150"/>
      <c r="P1500" s="150"/>
      <c r="Q1500" s="150"/>
      <c r="R1500" s="150"/>
      <c r="S1500" s="150"/>
      <c r="T1500" s="150"/>
      <c r="U1500" s="150"/>
      <c r="V1500" s="150"/>
      <c r="W1500" s="150"/>
      <c r="X1500" s="150"/>
      <c r="Y1500" s="150"/>
    </row>
    <row r="1501">
      <c r="A1501" s="150"/>
      <c r="B1501" s="156"/>
      <c r="C1501" s="157"/>
      <c r="D1501" s="150"/>
      <c r="E1501" s="150"/>
      <c r="F1501" s="150"/>
      <c r="G1501" s="150"/>
      <c r="H1501" s="150"/>
      <c r="I1501" s="150"/>
      <c r="J1501" s="150"/>
      <c r="K1501" s="150"/>
      <c r="L1501" s="150"/>
      <c r="M1501" s="150"/>
      <c r="N1501" s="150"/>
      <c r="O1501" s="150"/>
      <c r="P1501" s="150"/>
      <c r="Q1501" s="150"/>
      <c r="R1501" s="150"/>
      <c r="S1501" s="150"/>
      <c r="T1501" s="150"/>
      <c r="U1501" s="150"/>
      <c r="V1501" s="150"/>
      <c r="W1501" s="150"/>
      <c r="X1501" s="150"/>
      <c r="Y1501" s="150"/>
    </row>
    <row r="1502">
      <c r="A1502" s="150"/>
      <c r="B1502" s="156"/>
      <c r="C1502" s="157"/>
      <c r="D1502" s="150"/>
      <c r="E1502" s="150"/>
      <c r="F1502" s="150"/>
      <c r="G1502" s="150"/>
      <c r="H1502" s="150"/>
      <c r="I1502" s="150"/>
      <c r="J1502" s="150"/>
      <c r="K1502" s="150"/>
      <c r="L1502" s="150"/>
      <c r="M1502" s="150"/>
      <c r="N1502" s="150"/>
      <c r="O1502" s="150"/>
      <c r="P1502" s="150"/>
      <c r="Q1502" s="150"/>
      <c r="R1502" s="150"/>
      <c r="S1502" s="150"/>
      <c r="T1502" s="150"/>
      <c r="U1502" s="150"/>
      <c r="V1502" s="150"/>
      <c r="W1502" s="150"/>
      <c r="X1502" s="150"/>
      <c r="Y1502" s="150"/>
    </row>
    <row r="1503">
      <c r="A1503" s="150"/>
      <c r="B1503" s="156"/>
      <c r="C1503" s="157"/>
      <c r="D1503" s="150"/>
      <c r="E1503" s="150"/>
      <c r="F1503" s="150"/>
      <c r="G1503" s="150"/>
      <c r="H1503" s="150"/>
      <c r="I1503" s="150"/>
      <c r="J1503" s="150"/>
      <c r="K1503" s="150"/>
      <c r="L1503" s="150"/>
      <c r="M1503" s="150"/>
      <c r="N1503" s="150"/>
      <c r="O1503" s="150"/>
      <c r="P1503" s="150"/>
      <c r="Q1503" s="150"/>
      <c r="R1503" s="150"/>
      <c r="S1503" s="150"/>
      <c r="T1503" s="150"/>
      <c r="U1503" s="150"/>
      <c r="V1503" s="150"/>
      <c r="W1503" s="150"/>
      <c r="X1503" s="150"/>
      <c r="Y1503" s="150"/>
    </row>
    <row r="1504">
      <c r="A1504" s="150"/>
      <c r="B1504" s="156"/>
      <c r="C1504" s="157"/>
      <c r="D1504" s="150"/>
      <c r="E1504" s="150"/>
      <c r="F1504" s="150"/>
      <c r="G1504" s="150"/>
      <c r="H1504" s="150"/>
      <c r="I1504" s="150"/>
      <c r="J1504" s="150"/>
      <c r="K1504" s="150"/>
      <c r="L1504" s="150"/>
      <c r="M1504" s="150"/>
      <c r="N1504" s="150"/>
      <c r="O1504" s="150"/>
      <c r="P1504" s="150"/>
      <c r="Q1504" s="150"/>
      <c r="R1504" s="150"/>
      <c r="S1504" s="150"/>
      <c r="T1504" s="150"/>
      <c r="U1504" s="150"/>
      <c r="V1504" s="150"/>
      <c r="W1504" s="150"/>
      <c r="X1504" s="150"/>
      <c r="Y1504" s="150"/>
    </row>
    <row r="1505">
      <c r="A1505" s="150"/>
      <c r="B1505" s="156"/>
      <c r="C1505" s="157"/>
      <c r="D1505" s="150"/>
      <c r="E1505" s="150"/>
      <c r="F1505" s="150"/>
      <c r="G1505" s="150"/>
      <c r="H1505" s="150"/>
      <c r="I1505" s="150"/>
      <c r="J1505" s="150"/>
      <c r="K1505" s="150"/>
      <c r="L1505" s="150"/>
      <c r="M1505" s="150"/>
      <c r="N1505" s="150"/>
      <c r="O1505" s="150"/>
      <c r="P1505" s="150"/>
      <c r="Q1505" s="150"/>
      <c r="R1505" s="150"/>
      <c r="S1505" s="150"/>
      <c r="T1505" s="150"/>
      <c r="U1505" s="150"/>
      <c r="V1505" s="150"/>
      <c r="W1505" s="150"/>
      <c r="X1505" s="150"/>
      <c r="Y1505" s="150"/>
    </row>
    <row r="1506">
      <c r="A1506" s="150"/>
      <c r="B1506" s="156"/>
      <c r="C1506" s="157"/>
      <c r="D1506" s="150"/>
      <c r="E1506" s="150"/>
      <c r="F1506" s="150"/>
      <c r="G1506" s="150"/>
      <c r="H1506" s="150"/>
      <c r="I1506" s="150"/>
      <c r="J1506" s="150"/>
      <c r="K1506" s="150"/>
      <c r="L1506" s="150"/>
      <c r="M1506" s="150"/>
      <c r="N1506" s="150"/>
      <c r="O1506" s="150"/>
      <c r="P1506" s="150"/>
      <c r="Q1506" s="150"/>
      <c r="R1506" s="150"/>
      <c r="S1506" s="150"/>
      <c r="T1506" s="150"/>
      <c r="U1506" s="150"/>
      <c r="V1506" s="150"/>
      <c r="W1506" s="150"/>
      <c r="X1506" s="150"/>
      <c r="Y1506" s="150"/>
    </row>
    <row r="1507">
      <c r="A1507" s="150"/>
      <c r="B1507" s="156"/>
      <c r="C1507" s="157"/>
      <c r="D1507" s="150"/>
      <c r="E1507" s="150"/>
      <c r="F1507" s="150"/>
      <c r="G1507" s="150"/>
      <c r="H1507" s="150"/>
      <c r="I1507" s="150"/>
      <c r="J1507" s="150"/>
      <c r="K1507" s="150"/>
      <c r="L1507" s="150"/>
      <c r="M1507" s="150"/>
      <c r="N1507" s="150"/>
      <c r="O1507" s="150"/>
      <c r="P1507" s="150"/>
      <c r="Q1507" s="150"/>
      <c r="R1507" s="150"/>
      <c r="S1507" s="150"/>
      <c r="T1507" s="150"/>
      <c r="U1507" s="150"/>
      <c r="V1507" s="150"/>
      <c r="W1507" s="150"/>
      <c r="X1507" s="150"/>
      <c r="Y1507" s="150"/>
    </row>
    <row r="1508">
      <c r="A1508" s="150"/>
      <c r="B1508" s="156"/>
      <c r="C1508" s="157"/>
      <c r="D1508" s="150"/>
      <c r="E1508" s="150"/>
      <c r="F1508" s="150"/>
      <c r="G1508" s="150"/>
      <c r="H1508" s="150"/>
      <c r="I1508" s="150"/>
      <c r="J1508" s="150"/>
      <c r="K1508" s="150"/>
      <c r="L1508" s="150"/>
      <c r="M1508" s="150"/>
      <c r="N1508" s="150"/>
      <c r="O1508" s="150"/>
      <c r="P1508" s="150"/>
      <c r="Q1508" s="150"/>
      <c r="R1508" s="150"/>
      <c r="S1508" s="150"/>
      <c r="T1508" s="150"/>
      <c r="U1508" s="150"/>
      <c r="V1508" s="150"/>
      <c r="W1508" s="150"/>
      <c r="X1508" s="150"/>
      <c r="Y1508" s="150"/>
    </row>
    <row r="1509">
      <c r="A1509" s="150"/>
      <c r="B1509" s="156"/>
      <c r="C1509" s="157"/>
      <c r="D1509" s="150"/>
      <c r="E1509" s="150"/>
      <c r="F1509" s="150"/>
      <c r="G1509" s="150"/>
      <c r="H1509" s="150"/>
      <c r="I1509" s="150"/>
      <c r="J1509" s="150"/>
      <c r="K1509" s="150"/>
      <c r="L1509" s="150"/>
      <c r="M1509" s="150"/>
      <c r="N1509" s="150"/>
      <c r="O1509" s="150"/>
      <c r="P1509" s="150"/>
      <c r="Q1509" s="150"/>
      <c r="R1509" s="150"/>
      <c r="S1509" s="150"/>
      <c r="T1509" s="150"/>
      <c r="U1509" s="150"/>
      <c r="V1509" s="150"/>
      <c r="W1509" s="150"/>
      <c r="X1509" s="150"/>
      <c r="Y1509" s="150"/>
    </row>
    <row r="1510">
      <c r="A1510" s="150"/>
      <c r="B1510" s="156"/>
      <c r="C1510" s="157"/>
      <c r="D1510" s="150"/>
      <c r="E1510" s="150"/>
      <c r="F1510" s="150"/>
      <c r="G1510" s="150"/>
      <c r="H1510" s="150"/>
      <c r="I1510" s="150"/>
      <c r="J1510" s="150"/>
      <c r="K1510" s="150"/>
      <c r="L1510" s="150"/>
      <c r="M1510" s="150"/>
      <c r="N1510" s="150"/>
      <c r="O1510" s="150"/>
      <c r="P1510" s="150"/>
      <c r="Q1510" s="150"/>
      <c r="R1510" s="150"/>
      <c r="S1510" s="150"/>
      <c r="T1510" s="150"/>
      <c r="U1510" s="150"/>
      <c r="V1510" s="150"/>
      <c r="W1510" s="150"/>
      <c r="X1510" s="150"/>
      <c r="Y1510" s="150"/>
    </row>
    <row r="1511">
      <c r="A1511" s="150"/>
      <c r="B1511" s="156"/>
      <c r="C1511" s="157"/>
      <c r="D1511" s="150"/>
      <c r="E1511" s="150"/>
      <c r="F1511" s="150"/>
      <c r="G1511" s="150"/>
      <c r="H1511" s="150"/>
      <c r="I1511" s="150"/>
      <c r="J1511" s="150"/>
      <c r="K1511" s="150"/>
      <c r="L1511" s="150"/>
      <c r="M1511" s="150"/>
      <c r="N1511" s="150"/>
      <c r="O1511" s="150"/>
      <c r="P1511" s="150"/>
      <c r="Q1511" s="150"/>
      <c r="R1511" s="150"/>
      <c r="S1511" s="150"/>
      <c r="T1511" s="150"/>
      <c r="U1511" s="150"/>
      <c r="V1511" s="150"/>
      <c r="W1511" s="150"/>
      <c r="X1511" s="150"/>
      <c r="Y1511" s="150"/>
    </row>
    <row r="1512">
      <c r="A1512" s="150"/>
      <c r="B1512" s="156"/>
      <c r="C1512" s="157"/>
      <c r="D1512" s="150"/>
      <c r="E1512" s="150"/>
      <c r="F1512" s="150"/>
      <c r="G1512" s="150"/>
      <c r="H1512" s="150"/>
      <c r="I1512" s="150"/>
      <c r="J1512" s="150"/>
      <c r="K1512" s="150"/>
      <c r="L1512" s="150"/>
      <c r="M1512" s="150"/>
      <c r="N1512" s="150"/>
      <c r="O1512" s="150"/>
      <c r="P1512" s="150"/>
      <c r="Q1512" s="150"/>
      <c r="R1512" s="150"/>
      <c r="S1512" s="150"/>
      <c r="T1512" s="150"/>
      <c r="U1512" s="150"/>
      <c r="V1512" s="150"/>
      <c r="W1512" s="150"/>
      <c r="X1512" s="150"/>
      <c r="Y1512" s="150"/>
    </row>
    <row r="1513">
      <c r="A1513" s="150"/>
      <c r="B1513" s="156"/>
      <c r="C1513" s="157"/>
      <c r="D1513" s="150"/>
      <c r="E1513" s="150"/>
      <c r="F1513" s="150"/>
      <c r="G1513" s="150"/>
      <c r="H1513" s="150"/>
      <c r="I1513" s="150"/>
      <c r="J1513" s="150"/>
      <c r="K1513" s="150"/>
      <c r="L1513" s="150"/>
      <c r="M1513" s="150"/>
      <c r="N1513" s="150"/>
      <c r="O1513" s="150"/>
      <c r="P1513" s="150"/>
      <c r="Q1513" s="150"/>
      <c r="R1513" s="150"/>
      <c r="S1513" s="150"/>
      <c r="T1513" s="150"/>
      <c r="U1513" s="150"/>
      <c r="V1513" s="150"/>
      <c r="W1513" s="150"/>
      <c r="X1513" s="150"/>
      <c r="Y1513" s="150"/>
    </row>
    <row r="1514">
      <c r="A1514" s="150"/>
      <c r="B1514" s="156"/>
      <c r="C1514" s="157"/>
      <c r="D1514" s="150"/>
      <c r="E1514" s="150"/>
      <c r="F1514" s="150"/>
      <c r="G1514" s="150"/>
      <c r="H1514" s="150"/>
      <c r="I1514" s="150"/>
      <c r="J1514" s="150"/>
      <c r="K1514" s="150"/>
      <c r="L1514" s="150"/>
      <c r="M1514" s="150"/>
      <c r="N1514" s="150"/>
      <c r="O1514" s="150"/>
      <c r="P1514" s="150"/>
      <c r="Q1514" s="150"/>
      <c r="R1514" s="150"/>
      <c r="S1514" s="150"/>
      <c r="T1514" s="150"/>
      <c r="U1514" s="150"/>
      <c r="V1514" s="150"/>
      <c r="W1514" s="150"/>
      <c r="X1514" s="150"/>
      <c r="Y1514" s="150"/>
    </row>
    <row r="1515">
      <c r="A1515" s="150"/>
      <c r="B1515" s="156"/>
      <c r="C1515" s="157"/>
      <c r="D1515" s="150"/>
      <c r="E1515" s="150"/>
      <c r="F1515" s="150"/>
      <c r="G1515" s="150"/>
      <c r="H1515" s="150"/>
      <c r="I1515" s="150"/>
      <c r="J1515" s="150"/>
      <c r="K1515" s="150"/>
      <c r="L1515" s="150"/>
      <c r="M1515" s="150"/>
      <c r="N1515" s="150"/>
      <c r="O1515" s="150"/>
      <c r="P1515" s="150"/>
      <c r="Q1515" s="150"/>
      <c r="R1515" s="150"/>
      <c r="S1515" s="150"/>
      <c r="T1515" s="150"/>
      <c r="U1515" s="150"/>
      <c r="V1515" s="150"/>
      <c r="W1515" s="150"/>
      <c r="X1515" s="150"/>
      <c r="Y1515" s="150"/>
    </row>
    <row r="1516">
      <c r="A1516" s="150"/>
      <c r="B1516" s="156"/>
      <c r="C1516" s="157"/>
      <c r="D1516" s="150"/>
      <c r="E1516" s="150"/>
      <c r="F1516" s="150"/>
      <c r="G1516" s="150"/>
      <c r="H1516" s="150"/>
      <c r="I1516" s="150"/>
      <c r="J1516" s="150"/>
      <c r="K1516" s="150"/>
      <c r="L1516" s="150"/>
      <c r="M1516" s="150"/>
      <c r="N1516" s="150"/>
      <c r="O1516" s="150"/>
      <c r="P1516" s="150"/>
      <c r="Q1516" s="150"/>
      <c r="R1516" s="150"/>
      <c r="S1516" s="150"/>
      <c r="T1516" s="150"/>
      <c r="U1516" s="150"/>
      <c r="V1516" s="150"/>
      <c r="W1516" s="150"/>
      <c r="X1516" s="150"/>
      <c r="Y1516" s="150"/>
    </row>
    <row r="1517">
      <c r="A1517" s="150"/>
      <c r="B1517" s="156"/>
      <c r="C1517" s="157"/>
      <c r="D1517" s="150"/>
      <c r="E1517" s="150"/>
      <c r="F1517" s="150"/>
      <c r="G1517" s="150"/>
      <c r="H1517" s="150"/>
      <c r="I1517" s="150"/>
      <c r="J1517" s="150"/>
      <c r="K1517" s="150"/>
      <c r="L1517" s="150"/>
      <c r="M1517" s="150"/>
      <c r="N1517" s="150"/>
      <c r="O1517" s="150"/>
      <c r="P1517" s="150"/>
      <c r="Q1517" s="150"/>
      <c r="R1517" s="150"/>
      <c r="S1517" s="150"/>
      <c r="T1517" s="150"/>
      <c r="U1517" s="150"/>
      <c r="V1517" s="150"/>
      <c r="W1517" s="150"/>
      <c r="X1517" s="150"/>
      <c r="Y1517" s="150"/>
    </row>
    <row r="1518">
      <c r="A1518" s="150"/>
      <c r="B1518" s="156"/>
      <c r="C1518" s="157"/>
      <c r="D1518" s="150"/>
      <c r="E1518" s="150"/>
      <c r="F1518" s="150"/>
      <c r="G1518" s="150"/>
      <c r="H1518" s="150"/>
      <c r="I1518" s="150"/>
      <c r="J1518" s="150"/>
      <c r="K1518" s="150"/>
      <c r="L1518" s="150"/>
      <c r="M1518" s="150"/>
      <c r="N1518" s="150"/>
      <c r="O1518" s="150"/>
      <c r="P1518" s="150"/>
      <c r="Q1518" s="150"/>
      <c r="R1518" s="150"/>
      <c r="S1518" s="150"/>
      <c r="T1518" s="150"/>
      <c r="U1518" s="150"/>
      <c r="V1518" s="150"/>
      <c r="W1518" s="150"/>
      <c r="X1518" s="150"/>
      <c r="Y1518" s="150"/>
    </row>
    <row r="1519">
      <c r="A1519" s="150"/>
      <c r="B1519" s="156"/>
      <c r="C1519" s="157"/>
      <c r="D1519" s="150"/>
      <c r="E1519" s="150"/>
      <c r="F1519" s="150"/>
      <c r="G1519" s="150"/>
      <c r="H1519" s="150"/>
      <c r="I1519" s="150"/>
      <c r="J1519" s="150"/>
      <c r="K1519" s="150"/>
      <c r="L1519" s="150"/>
      <c r="M1519" s="150"/>
      <c r="N1519" s="150"/>
      <c r="O1519" s="150"/>
      <c r="P1519" s="150"/>
      <c r="Q1519" s="150"/>
      <c r="R1519" s="150"/>
      <c r="S1519" s="150"/>
      <c r="T1519" s="150"/>
      <c r="U1519" s="150"/>
      <c r="V1519" s="150"/>
      <c r="W1519" s="150"/>
      <c r="X1519" s="150"/>
      <c r="Y1519" s="150"/>
    </row>
    <row r="1520">
      <c r="A1520" s="150"/>
      <c r="B1520" s="156"/>
      <c r="C1520" s="157"/>
      <c r="D1520" s="150"/>
      <c r="E1520" s="150"/>
      <c r="F1520" s="150"/>
      <c r="G1520" s="150"/>
      <c r="H1520" s="150"/>
      <c r="I1520" s="150"/>
      <c r="J1520" s="150"/>
      <c r="K1520" s="150"/>
      <c r="L1520" s="150"/>
      <c r="M1520" s="150"/>
      <c r="N1520" s="150"/>
      <c r="O1520" s="150"/>
      <c r="P1520" s="150"/>
      <c r="Q1520" s="150"/>
      <c r="R1520" s="150"/>
      <c r="S1520" s="150"/>
      <c r="T1520" s="150"/>
      <c r="U1520" s="150"/>
      <c r="V1520" s="150"/>
      <c r="W1520" s="150"/>
      <c r="X1520" s="150"/>
      <c r="Y1520" s="150"/>
    </row>
    <row r="1521">
      <c r="A1521" s="150"/>
      <c r="B1521" s="156"/>
      <c r="C1521" s="157"/>
      <c r="D1521" s="150"/>
      <c r="E1521" s="150"/>
      <c r="F1521" s="150"/>
      <c r="G1521" s="150"/>
      <c r="H1521" s="150"/>
      <c r="I1521" s="150"/>
      <c r="J1521" s="150"/>
      <c r="K1521" s="150"/>
      <c r="L1521" s="150"/>
      <c r="M1521" s="150"/>
      <c r="N1521" s="150"/>
      <c r="O1521" s="150"/>
      <c r="P1521" s="150"/>
      <c r="Q1521" s="150"/>
      <c r="R1521" s="150"/>
      <c r="S1521" s="150"/>
      <c r="T1521" s="150"/>
      <c r="U1521" s="150"/>
      <c r="V1521" s="150"/>
      <c r="W1521" s="150"/>
      <c r="X1521" s="150"/>
      <c r="Y1521" s="150"/>
    </row>
    <row r="1522">
      <c r="A1522" s="150"/>
      <c r="B1522" s="156"/>
      <c r="C1522" s="157"/>
      <c r="D1522" s="150"/>
      <c r="E1522" s="150"/>
      <c r="F1522" s="150"/>
      <c r="G1522" s="150"/>
      <c r="H1522" s="150"/>
      <c r="I1522" s="150"/>
      <c r="J1522" s="150"/>
      <c r="K1522" s="150"/>
      <c r="L1522" s="150"/>
      <c r="M1522" s="150"/>
      <c r="N1522" s="150"/>
      <c r="O1522" s="150"/>
      <c r="P1522" s="150"/>
      <c r="Q1522" s="150"/>
      <c r="R1522" s="150"/>
      <c r="S1522" s="150"/>
      <c r="T1522" s="150"/>
      <c r="U1522" s="150"/>
      <c r="V1522" s="150"/>
      <c r="W1522" s="150"/>
      <c r="X1522" s="150"/>
      <c r="Y1522" s="150"/>
    </row>
    <row r="1523">
      <c r="A1523" s="150"/>
      <c r="B1523" s="156"/>
      <c r="C1523" s="157"/>
      <c r="D1523" s="150"/>
      <c r="E1523" s="150"/>
      <c r="F1523" s="150"/>
      <c r="G1523" s="150"/>
      <c r="H1523" s="150"/>
      <c r="I1523" s="150"/>
      <c r="J1523" s="150"/>
      <c r="K1523" s="150"/>
      <c r="L1523" s="150"/>
      <c r="M1523" s="150"/>
      <c r="N1523" s="150"/>
      <c r="O1523" s="150"/>
      <c r="P1523" s="150"/>
      <c r="Q1523" s="150"/>
      <c r="R1523" s="150"/>
      <c r="S1523" s="150"/>
      <c r="T1523" s="150"/>
      <c r="U1523" s="150"/>
      <c r="V1523" s="150"/>
      <c r="W1523" s="150"/>
      <c r="X1523" s="150"/>
      <c r="Y1523" s="150"/>
    </row>
    <row r="1524">
      <c r="A1524" s="150"/>
      <c r="B1524" s="156"/>
      <c r="C1524" s="157"/>
      <c r="D1524" s="150"/>
      <c r="E1524" s="150"/>
      <c r="F1524" s="150"/>
      <c r="G1524" s="150"/>
      <c r="H1524" s="150"/>
      <c r="I1524" s="150"/>
      <c r="J1524" s="150"/>
      <c r="K1524" s="150"/>
      <c r="L1524" s="150"/>
      <c r="M1524" s="150"/>
      <c r="N1524" s="150"/>
      <c r="O1524" s="150"/>
      <c r="P1524" s="150"/>
      <c r="Q1524" s="150"/>
      <c r="R1524" s="150"/>
      <c r="S1524" s="150"/>
      <c r="T1524" s="150"/>
      <c r="U1524" s="150"/>
      <c r="V1524" s="150"/>
      <c r="W1524" s="150"/>
      <c r="X1524" s="150"/>
      <c r="Y1524" s="150"/>
    </row>
    <row r="1525">
      <c r="A1525" s="150"/>
      <c r="B1525" s="156"/>
      <c r="C1525" s="157"/>
      <c r="D1525" s="150"/>
      <c r="E1525" s="150"/>
      <c r="F1525" s="150"/>
      <c r="G1525" s="150"/>
      <c r="H1525" s="150"/>
      <c r="I1525" s="150"/>
      <c r="J1525" s="150"/>
      <c r="K1525" s="150"/>
      <c r="L1525" s="150"/>
      <c r="M1525" s="150"/>
      <c r="N1525" s="150"/>
      <c r="O1525" s="150"/>
      <c r="P1525" s="150"/>
      <c r="Q1525" s="150"/>
      <c r="R1525" s="150"/>
      <c r="S1525" s="150"/>
      <c r="T1525" s="150"/>
      <c r="U1525" s="150"/>
      <c r="V1525" s="150"/>
      <c r="W1525" s="150"/>
      <c r="X1525" s="150"/>
      <c r="Y1525" s="150"/>
    </row>
    <row r="1526">
      <c r="A1526" s="150"/>
      <c r="B1526" s="156"/>
      <c r="C1526" s="157"/>
      <c r="D1526" s="150"/>
      <c r="E1526" s="150"/>
      <c r="F1526" s="150"/>
      <c r="G1526" s="150"/>
      <c r="H1526" s="150"/>
      <c r="I1526" s="150"/>
      <c r="J1526" s="150"/>
      <c r="K1526" s="150"/>
      <c r="L1526" s="150"/>
      <c r="M1526" s="150"/>
      <c r="N1526" s="150"/>
      <c r="O1526" s="150"/>
      <c r="P1526" s="150"/>
      <c r="Q1526" s="150"/>
      <c r="R1526" s="150"/>
      <c r="S1526" s="150"/>
      <c r="T1526" s="150"/>
      <c r="U1526" s="150"/>
      <c r="V1526" s="150"/>
      <c r="W1526" s="150"/>
      <c r="X1526" s="150"/>
      <c r="Y1526" s="150"/>
    </row>
    <row r="1527">
      <c r="A1527" s="150"/>
      <c r="B1527" s="156"/>
      <c r="C1527" s="157"/>
      <c r="D1527" s="150"/>
      <c r="E1527" s="150"/>
      <c r="F1527" s="150"/>
      <c r="G1527" s="150"/>
      <c r="H1527" s="150"/>
      <c r="I1527" s="150"/>
      <c r="J1527" s="150"/>
      <c r="K1527" s="150"/>
      <c r="L1527" s="150"/>
      <c r="M1527" s="150"/>
      <c r="N1527" s="150"/>
      <c r="O1527" s="150"/>
      <c r="P1527" s="150"/>
      <c r="Q1527" s="150"/>
      <c r="R1527" s="150"/>
      <c r="S1527" s="150"/>
      <c r="T1527" s="150"/>
      <c r="U1527" s="150"/>
      <c r="V1527" s="150"/>
      <c r="W1527" s="150"/>
      <c r="X1527" s="150"/>
      <c r="Y1527" s="150"/>
    </row>
    <row r="1528">
      <c r="A1528" s="150"/>
      <c r="B1528" s="156"/>
      <c r="C1528" s="157"/>
      <c r="D1528" s="150"/>
      <c r="E1528" s="150"/>
      <c r="F1528" s="150"/>
      <c r="G1528" s="150"/>
      <c r="H1528" s="150"/>
      <c r="I1528" s="150"/>
      <c r="J1528" s="150"/>
      <c r="K1528" s="150"/>
      <c r="L1528" s="150"/>
      <c r="M1528" s="150"/>
      <c r="N1528" s="150"/>
      <c r="O1528" s="150"/>
      <c r="P1528" s="150"/>
      <c r="Q1528" s="150"/>
      <c r="R1528" s="150"/>
      <c r="S1528" s="150"/>
      <c r="T1528" s="150"/>
      <c r="U1528" s="150"/>
      <c r="V1528" s="150"/>
      <c r="W1528" s="150"/>
      <c r="X1528" s="150"/>
      <c r="Y1528" s="150"/>
    </row>
    <row r="1529">
      <c r="A1529" s="150"/>
      <c r="B1529" s="156"/>
      <c r="C1529" s="157"/>
      <c r="D1529" s="150"/>
      <c r="E1529" s="150"/>
      <c r="F1529" s="150"/>
      <c r="G1529" s="150"/>
      <c r="H1529" s="150"/>
      <c r="I1529" s="150"/>
      <c r="J1529" s="150"/>
      <c r="K1529" s="150"/>
      <c r="L1529" s="150"/>
      <c r="M1529" s="150"/>
      <c r="N1529" s="150"/>
      <c r="O1529" s="150"/>
      <c r="P1529" s="150"/>
      <c r="Q1529" s="150"/>
      <c r="R1529" s="150"/>
      <c r="S1529" s="150"/>
      <c r="T1529" s="150"/>
      <c r="U1529" s="150"/>
      <c r="V1529" s="150"/>
      <c r="W1529" s="150"/>
      <c r="X1529" s="150"/>
      <c r="Y1529" s="150"/>
    </row>
    <row r="1530">
      <c r="A1530" s="150"/>
      <c r="B1530" s="156"/>
      <c r="C1530" s="157"/>
      <c r="D1530" s="150"/>
      <c r="E1530" s="150"/>
      <c r="F1530" s="150"/>
      <c r="G1530" s="150"/>
      <c r="H1530" s="150"/>
      <c r="I1530" s="150"/>
      <c r="J1530" s="150"/>
      <c r="K1530" s="150"/>
      <c r="L1530" s="150"/>
      <c r="M1530" s="150"/>
      <c r="N1530" s="150"/>
      <c r="O1530" s="150"/>
      <c r="P1530" s="150"/>
      <c r="Q1530" s="150"/>
      <c r="R1530" s="150"/>
      <c r="S1530" s="150"/>
      <c r="T1530" s="150"/>
      <c r="U1530" s="150"/>
      <c r="V1530" s="150"/>
      <c r="W1530" s="150"/>
      <c r="X1530" s="150"/>
      <c r="Y1530" s="150"/>
    </row>
    <row r="1531">
      <c r="A1531" s="150"/>
      <c r="B1531" s="156"/>
      <c r="C1531" s="157"/>
      <c r="D1531" s="150"/>
      <c r="E1531" s="150"/>
      <c r="F1531" s="150"/>
      <c r="G1531" s="150"/>
      <c r="H1531" s="150"/>
      <c r="I1531" s="150"/>
      <c r="J1531" s="150"/>
      <c r="K1531" s="150"/>
      <c r="L1531" s="150"/>
      <c r="M1531" s="150"/>
      <c r="N1531" s="150"/>
      <c r="O1531" s="150"/>
      <c r="P1531" s="150"/>
      <c r="Q1531" s="150"/>
      <c r="R1531" s="150"/>
      <c r="S1531" s="150"/>
      <c r="T1531" s="150"/>
      <c r="U1531" s="150"/>
      <c r="V1531" s="150"/>
      <c r="W1531" s="150"/>
      <c r="X1531" s="150"/>
      <c r="Y1531" s="150"/>
    </row>
    <row r="1532">
      <c r="A1532" s="150"/>
      <c r="B1532" s="156"/>
      <c r="C1532" s="157"/>
      <c r="D1532" s="150"/>
      <c r="E1532" s="150"/>
      <c r="F1532" s="150"/>
      <c r="G1532" s="150"/>
      <c r="H1532" s="150"/>
      <c r="I1532" s="150"/>
      <c r="J1532" s="150"/>
      <c r="K1532" s="150"/>
      <c r="L1532" s="150"/>
      <c r="M1532" s="150"/>
      <c r="N1532" s="150"/>
      <c r="O1532" s="150"/>
      <c r="P1532" s="150"/>
      <c r="Q1532" s="150"/>
      <c r="R1532" s="150"/>
      <c r="S1532" s="150"/>
      <c r="T1532" s="150"/>
      <c r="U1532" s="150"/>
      <c r="V1532" s="150"/>
      <c r="W1532" s="150"/>
      <c r="X1532" s="150"/>
      <c r="Y1532" s="150"/>
    </row>
    <row r="1533">
      <c r="A1533" s="150"/>
      <c r="B1533" s="156"/>
      <c r="C1533" s="157"/>
      <c r="D1533" s="150"/>
      <c r="E1533" s="150"/>
      <c r="F1533" s="150"/>
      <c r="G1533" s="150"/>
      <c r="H1533" s="150"/>
      <c r="I1533" s="150"/>
      <c r="J1533" s="150"/>
      <c r="K1533" s="150"/>
      <c r="L1533" s="150"/>
      <c r="M1533" s="150"/>
      <c r="N1533" s="150"/>
      <c r="O1533" s="150"/>
      <c r="P1533" s="150"/>
      <c r="Q1533" s="150"/>
      <c r="R1533" s="150"/>
      <c r="S1533" s="150"/>
      <c r="T1533" s="150"/>
      <c r="U1533" s="150"/>
      <c r="V1533" s="150"/>
      <c r="W1533" s="150"/>
      <c r="X1533" s="150"/>
      <c r="Y1533" s="150"/>
    </row>
    <row r="1534">
      <c r="A1534" s="150"/>
      <c r="B1534" s="156"/>
      <c r="C1534" s="157"/>
      <c r="D1534" s="150"/>
      <c r="E1534" s="150"/>
      <c r="F1534" s="150"/>
      <c r="G1534" s="150"/>
      <c r="H1534" s="150"/>
      <c r="I1534" s="150"/>
      <c r="J1534" s="150"/>
      <c r="K1534" s="150"/>
      <c r="L1534" s="150"/>
      <c r="M1534" s="150"/>
      <c r="N1534" s="150"/>
      <c r="O1534" s="150"/>
      <c r="P1534" s="150"/>
      <c r="Q1534" s="150"/>
      <c r="R1534" s="150"/>
      <c r="S1534" s="150"/>
      <c r="T1534" s="150"/>
      <c r="U1534" s="150"/>
      <c r="V1534" s="150"/>
      <c r="W1534" s="150"/>
      <c r="X1534" s="150"/>
      <c r="Y1534" s="150"/>
    </row>
    <row r="1535">
      <c r="A1535" s="150"/>
      <c r="B1535" s="156"/>
      <c r="C1535" s="157"/>
      <c r="D1535" s="150"/>
      <c r="E1535" s="150"/>
      <c r="F1535" s="150"/>
      <c r="G1535" s="150"/>
      <c r="H1535" s="150"/>
      <c r="I1535" s="150"/>
      <c r="J1535" s="150"/>
      <c r="K1535" s="150"/>
      <c r="L1535" s="150"/>
      <c r="M1535" s="150"/>
      <c r="N1535" s="150"/>
      <c r="O1535" s="150"/>
      <c r="P1535" s="150"/>
      <c r="Q1535" s="150"/>
      <c r="R1535" s="150"/>
      <c r="S1535" s="150"/>
      <c r="T1535" s="150"/>
      <c r="U1535" s="150"/>
      <c r="V1535" s="150"/>
      <c r="W1535" s="150"/>
      <c r="X1535" s="150"/>
      <c r="Y1535" s="150"/>
    </row>
    <row r="1536">
      <c r="A1536" s="150"/>
      <c r="B1536" s="156"/>
      <c r="C1536" s="157"/>
      <c r="D1536" s="150"/>
      <c r="E1536" s="150"/>
      <c r="F1536" s="150"/>
      <c r="G1536" s="150"/>
      <c r="H1536" s="150"/>
      <c r="I1536" s="150"/>
      <c r="J1536" s="150"/>
      <c r="K1536" s="150"/>
      <c r="L1536" s="150"/>
      <c r="M1536" s="150"/>
      <c r="N1536" s="150"/>
      <c r="O1536" s="150"/>
      <c r="P1536" s="150"/>
      <c r="Q1536" s="150"/>
      <c r="R1536" s="150"/>
      <c r="S1536" s="150"/>
      <c r="T1536" s="150"/>
      <c r="U1536" s="150"/>
      <c r="V1536" s="150"/>
      <c r="W1536" s="150"/>
      <c r="X1536" s="150"/>
      <c r="Y1536" s="150"/>
    </row>
    <row r="1537">
      <c r="A1537" s="150"/>
      <c r="B1537" s="156"/>
      <c r="C1537" s="157"/>
      <c r="D1537" s="150"/>
      <c r="E1537" s="150"/>
      <c r="F1537" s="150"/>
      <c r="G1537" s="150"/>
      <c r="H1537" s="150"/>
      <c r="I1537" s="150"/>
      <c r="J1537" s="150"/>
      <c r="K1537" s="150"/>
      <c r="L1537" s="150"/>
      <c r="M1537" s="150"/>
      <c r="N1537" s="150"/>
      <c r="O1537" s="150"/>
      <c r="P1537" s="150"/>
      <c r="Q1537" s="150"/>
      <c r="R1537" s="150"/>
      <c r="S1537" s="150"/>
      <c r="T1537" s="150"/>
      <c r="U1537" s="150"/>
      <c r="V1537" s="150"/>
      <c r="W1537" s="150"/>
      <c r="X1537" s="150"/>
      <c r="Y1537" s="150"/>
    </row>
    <row r="1538">
      <c r="A1538" s="150"/>
      <c r="B1538" s="156"/>
      <c r="C1538" s="157"/>
      <c r="D1538" s="150"/>
      <c r="E1538" s="150"/>
      <c r="F1538" s="150"/>
      <c r="G1538" s="150"/>
      <c r="H1538" s="150"/>
      <c r="I1538" s="150"/>
      <c r="J1538" s="150"/>
      <c r="K1538" s="150"/>
      <c r="L1538" s="150"/>
      <c r="M1538" s="150"/>
      <c r="N1538" s="150"/>
      <c r="O1538" s="150"/>
      <c r="P1538" s="150"/>
      <c r="Q1538" s="150"/>
      <c r="R1538" s="150"/>
      <c r="S1538" s="150"/>
      <c r="T1538" s="150"/>
      <c r="U1538" s="150"/>
      <c r="V1538" s="150"/>
      <c r="W1538" s="150"/>
      <c r="X1538" s="150"/>
      <c r="Y1538" s="150"/>
    </row>
    <row r="1539">
      <c r="A1539" s="150"/>
      <c r="B1539" s="156"/>
      <c r="C1539" s="157"/>
      <c r="D1539" s="150"/>
      <c r="E1539" s="150"/>
      <c r="F1539" s="150"/>
      <c r="G1539" s="150"/>
      <c r="H1539" s="150"/>
      <c r="I1539" s="150"/>
      <c r="J1539" s="150"/>
      <c r="K1539" s="150"/>
      <c r="L1539" s="150"/>
      <c r="M1539" s="150"/>
      <c r="N1539" s="150"/>
      <c r="O1539" s="150"/>
      <c r="P1539" s="150"/>
      <c r="Q1539" s="150"/>
      <c r="R1539" s="150"/>
      <c r="S1539" s="150"/>
      <c r="T1539" s="150"/>
      <c r="U1539" s="150"/>
      <c r="V1539" s="150"/>
      <c r="W1539" s="150"/>
      <c r="X1539" s="150"/>
      <c r="Y1539" s="150"/>
    </row>
    <row r="1540">
      <c r="A1540" s="150"/>
      <c r="B1540" s="156"/>
      <c r="C1540" s="157"/>
      <c r="D1540" s="150"/>
      <c r="E1540" s="150"/>
      <c r="F1540" s="150"/>
      <c r="G1540" s="150"/>
      <c r="H1540" s="150"/>
      <c r="I1540" s="150"/>
      <c r="J1540" s="150"/>
      <c r="K1540" s="150"/>
      <c r="L1540" s="150"/>
      <c r="M1540" s="150"/>
      <c r="N1540" s="150"/>
      <c r="O1540" s="150"/>
      <c r="P1540" s="150"/>
      <c r="Q1540" s="150"/>
      <c r="R1540" s="150"/>
      <c r="S1540" s="150"/>
      <c r="T1540" s="150"/>
      <c r="U1540" s="150"/>
      <c r="V1540" s="150"/>
      <c r="W1540" s="150"/>
      <c r="X1540" s="150"/>
      <c r="Y1540" s="150"/>
    </row>
    <row r="1541">
      <c r="A1541" s="150"/>
      <c r="B1541" s="156"/>
      <c r="C1541" s="157"/>
      <c r="D1541" s="150"/>
      <c r="E1541" s="150"/>
      <c r="F1541" s="150"/>
      <c r="G1541" s="150"/>
      <c r="H1541" s="150"/>
      <c r="I1541" s="150"/>
      <c r="J1541" s="150"/>
      <c r="K1541" s="150"/>
      <c r="L1541" s="150"/>
      <c r="M1541" s="150"/>
      <c r="N1541" s="150"/>
      <c r="O1541" s="150"/>
      <c r="P1541" s="150"/>
      <c r="Q1541" s="150"/>
      <c r="R1541" s="150"/>
      <c r="S1541" s="150"/>
      <c r="T1541" s="150"/>
      <c r="U1541" s="150"/>
      <c r="V1541" s="150"/>
      <c r="W1541" s="150"/>
      <c r="X1541" s="150"/>
      <c r="Y1541" s="150"/>
    </row>
    <row r="1542">
      <c r="A1542" s="150"/>
      <c r="B1542" s="156"/>
      <c r="C1542" s="157"/>
      <c r="D1542" s="150"/>
      <c r="E1542" s="150"/>
      <c r="F1542" s="150"/>
      <c r="G1542" s="150"/>
      <c r="H1542" s="150"/>
      <c r="I1542" s="150"/>
      <c r="J1542" s="150"/>
      <c r="K1542" s="150"/>
      <c r="L1542" s="150"/>
      <c r="M1542" s="150"/>
      <c r="N1542" s="150"/>
      <c r="O1542" s="150"/>
      <c r="P1542" s="150"/>
      <c r="Q1542" s="150"/>
      <c r="R1542" s="150"/>
      <c r="S1542" s="150"/>
      <c r="T1542" s="150"/>
      <c r="U1542" s="150"/>
      <c r="V1542" s="150"/>
      <c r="W1542" s="150"/>
      <c r="X1542" s="150"/>
      <c r="Y1542" s="150"/>
    </row>
    <row r="1543">
      <c r="A1543" s="150"/>
      <c r="B1543" s="156"/>
      <c r="C1543" s="157"/>
      <c r="D1543" s="150"/>
      <c r="E1543" s="150"/>
      <c r="F1543" s="150"/>
      <c r="G1543" s="150"/>
      <c r="H1543" s="150"/>
      <c r="I1543" s="150"/>
      <c r="J1543" s="150"/>
      <c r="K1543" s="150"/>
      <c r="L1543" s="150"/>
      <c r="M1543" s="150"/>
      <c r="N1543" s="150"/>
      <c r="O1543" s="150"/>
      <c r="P1543" s="150"/>
      <c r="Q1543" s="150"/>
      <c r="R1543" s="150"/>
      <c r="S1543" s="150"/>
      <c r="T1543" s="150"/>
      <c r="U1543" s="150"/>
      <c r="V1543" s="150"/>
      <c r="W1543" s="150"/>
      <c r="X1543" s="150"/>
      <c r="Y1543" s="150"/>
    </row>
    <row r="1544">
      <c r="A1544" s="150"/>
      <c r="B1544" s="156"/>
      <c r="C1544" s="157"/>
      <c r="D1544" s="150"/>
      <c r="E1544" s="150"/>
      <c r="F1544" s="150"/>
      <c r="G1544" s="150"/>
      <c r="H1544" s="150"/>
      <c r="I1544" s="150"/>
      <c r="J1544" s="150"/>
      <c r="K1544" s="150"/>
      <c r="L1544" s="150"/>
      <c r="M1544" s="150"/>
      <c r="N1544" s="150"/>
      <c r="O1544" s="150"/>
      <c r="P1544" s="150"/>
      <c r="Q1544" s="150"/>
      <c r="R1544" s="150"/>
      <c r="S1544" s="150"/>
      <c r="T1544" s="150"/>
      <c r="U1544" s="150"/>
      <c r="V1544" s="150"/>
      <c r="W1544" s="150"/>
      <c r="X1544" s="150"/>
      <c r="Y1544" s="150"/>
    </row>
    <row r="1545">
      <c r="A1545" s="150"/>
      <c r="B1545" s="156"/>
      <c r="C1545" s="157"/>
      <c r="D1545" s="150"/>
      <c r="E1545" s="150"/>
      <c r="F1545" s="150"/>
      <c r="G1545" s="150"/>
      <c r="H1545" s="150"/>
      <c r="I1545" s="150"/>
      <c r="J1545" s="150"/>
      <c r="K1545" s="150"/>
      <c r="L1545" s="150"/>
      <c r="M1545" s="150"/>
      <c r="N1545" s="150"/>
      <c r="O1545" s="150"/>
      <c r="P1545" s="150"/>
      <c r="Q1545" s="150"/>
      <c r="R1545" s="150"/>
      <c r="S1545" s="150"/>
      <c r="T1545" s="150"/>
      <c r="U1545" s="150"/>
      <c r="V1545" s="150"/>
      <c r="W1545" s="150"/>
      <c r="X1545" s="150"/>
      <c r="Y1545" s="150"/>
    </row>
    <row r="1546">
      <c r="A1546" s="150"/>
      <c r="B1546" s="156"/>
      <c r="C1546" s="157"/>
      <c r="D1546" s="150"/>
      <c r="E1546" s="150"/>
      <c r="F1546" s="150"/>
      <c r="G1546" s="150"/>
      <c r="H1546" s="150"/>
      <c r="I1546" s="150"/>
      <c r="J1546" s="150"/>
      <c r="K1546" s="150"/>
      <c r="L1546" s="150"/>
      <c r="M1546" s="150"/>
      <c r="N1546" s="150"/>
      <c r="O1546" s="150"/>
      <c r="P1546" s="150"/>
      <c r="Q1546" s="150"/>
      <c r="R1546" s="150"/>
      <c r="S1546" s="150"/>
      <c r="T1546" s="150"/>
      <c r="U1546" s="150"/>
      <c r="V1546" s="150"/>
      <c r="W1546" s="150"/>
      <c r="X1546" s="150"/>
      <c r="Y1546" s="150"/>
    </row>
    <row r="1547">
      <c r="A1547" s="150"/>
      <c r="B1547" s="156"/>
      <c r="C1547" s="157"/>
      <c r="D1547" s="150"/>
      <c r="E1547" s="150"/>
      <c r="F1547" s="150"/>
      <c r="G1547" s="150"/>
      <c r="H1547" s="150"/>
      <c r="I1547" s="150"/>
      <c r="J1547" s="150"/>
      <c r="K1547" s="150"/>
      <c r="L1547" s="150"/>
      <c r="M1547" s="150"/>
      <c r="N1547" s="150"/>
      <c r="O1547" s="150"/>
      <c r="P1547" s="150"/>
      <c r="Q1547" s="150"/>
      <c r="R1547" s="150"/>
      <c r="S1547" s="150"/>
      <c r="T1547" s="150"/>
      <c r="U1547" s="150"/>
      <c r="V1547" s="150"/>
      <c r="W1547" s="150"/>
      <c r="X1547" s="150"/>
      <c r="Y1547" s="150"/>
    </row>
    <row r="1548">
      <c r="A1548" s="150"/>
      <c r="B1548" s="156"/>
      <c r="C1548" s="157"/>
      <c r="D1548" s="150"/>
      <c r="E1548" s="150"/>
      <c r="F1548" s="150"/>
      <c r="G1548" s="150"/>
      <c r="H1548" s="150"/>
      <c r="I1548" s="150"/>
      <c r="J1548" s="150"/>
      <c r="K1548" s="150"/>
      <c r="L1548" s="150"/>
      <c r="M1548" s="150"/>
      <c r="N1548" s="150"/>
      <c r="O1548" s="150"/>
      <c r="P1548" s="150"/>
      <c r="Q1548" s="150"/>
      <c r="R1548" s="150"/>
      <c r="S1548" s="150"/>
      <c r="T1548" s="150"/>
      <c r="U1548" s="150"/>
      <c r="V1548" s="150"/>
      <c r="W1548" s="150"/>
      <c r="X1548" s="150"/>
      <c r="Y1548" s="150"/>
    </row>
    <row r="1549">
      <c r="A1549" s="150"/>
      <c r="B1549" s="156"/>
      <c r="C1549" s="157"/>
      <c r="D1549" s="150"/>
      <c r="E1549" s="150"/>
      <c r="F1549" s="150"/>
      <c r="G1549" s="150"/>
      <c r="H1549" s="150"/>
      <c r="I1549" s="150"/>
      <c r="J1549" s="150"/>
      <c r="K1549" s="150"/>
      <c r="L1549" s="150"/>
      <c r="M1549" s="150"/>
      <c r="N1549" s="150"/>
      <c r="O1549" s="150"/>
      <c r="P1549" s="150"/>
      <c r="Q1549" s="150"/>
      <c r="R1549" s="150"/>
      <c r="S1549" s="150"/>
      <c r="T1549" s="150"/>
      <c r="U1549" s="150"/>
      <c r="V1549" s="150"/>
      <c r="W1549" s="150"/>
      <c r="X1549" s="150"/>
      <c r="Y1549" s="150"/>
    </row>
    <row r="1550">
      <c r="A1550" s="150"/>
      <c r="B1550" s="156"/>
      <c r="C1550" s="157"/>
      <c r="D1550" s="150"/>
      <c r="E1550" s="150"/>
      <c r="F1550" s="150"/>
      <c r="G1550" s="150"/>
      <c r="H1550" s="150"/>
      <c r="I1550" s="150"/>
      <c r="J1550" s="150"/>
      <c r="K1550" s="150"/>
      <c r="L1550" s="150"/>
      <c r="M1550" s="150"/>
      <c r="N1550" s="150"/>
      <c r="O1550" s="150"/>
      <c r="P1550" s="150"/>
      <c r="Q1550" s="150"/>
      <c r="R1550" s="150"/>
      <c r="S1550" s="150"/>
      <c r="T1550" s="150"/>
      <c r="U1550" s="150"/>
      <c r="V1550" s="150"/>
      <c r="W1550" s="150"/>
      <c r="X1550" s="150"/>
      <c r="Y1550" s="150"/>
    </row>
    <row r="1551">
      <c r="A1551" s="150"/>
      <c r="B1551" s="156"/>
      <c r="C1551" s="157"/>
      <c r="D1551" s="150"/>
      <c r="E1551" s="150"/>
      <c r="F1551" s="150"/>
      <c r="G1551" s="150"/>
      <c r="H1551" s="150"/>
      <c r="I1551" s="150"/>
      <c r="J1551" s="150"/>
      <c r="K1551" s="150"/>
      <c r="L1551" s="150"/>
      <c r="M1551" s="150"/>
      <c r="N1551" s="150"/>
      <c r="O1551" s="150"/>
      <c r="P1551" s="150"/>
      <c r="Q1551" s="150"/>
      <c r="R1551" s="150"/>
      <c r="S1551" s="150"/>
      <c r="T1551" s="150"/>
      <c r="U1551" s="150"/>
      <c r="V1551" s="150"/>
      <c r="W1551" s="150"/>
      <c r="X1551" s="150"/>
      <c r="Y1551" s="150"/>
    </row>
    <row r="1552">
      <c r="A1552" s="150"/>
      <c r="B1552" s="156"/>
      <c r="C1552" s="157"/>
      <c r="D1552" s="150"/>
      <c r="E1552" s="150"/>
      <c r="F1552" s="150"/>
      <c r="G1552" s="150"/>
      <c r="H1552" s="150"/>
      <c r="I1552" s="150"/>
      <c r="J1552" s="150"/>
      <c r="K1552" s="150"/>
      <c r="L1552" s="150"/>
      <c r="M1552" s="150"/>
      <c r="N1552" s="150"/>
      <c r="O1552" s="150"/>
      <c r="P1552" s="150"/>
      <c r="Q1552" s="150"/>
      <c r="R1552" s="150"/>
      <c r="S1552" s="150"/>
      <c r="T1552" s="150"/>
      <c r="U1552" s="150"/>
      <c r="V1552" s="150"/>
      <c r="W1552" s="150"/>
      <c r="X1552" s="150"/>
      <c r="Y1552" s="150"/>
    </row>
    <row r="1553">
      <c r="A1553" s="150"/>
      <c r="B1553" s="156"/>
      <c r="C1553" s="157"/>
      <c r="D1553" s="150"/>
      <c r="E1553" s="150"/>
      <c r="F1553" s="150"/>
      <c r="G1553" s="150"/>
      <c r="H1553" s="150"/>
      <c r="I1553" s="150"/>
      <c r="J1553" s="150"/>
      <c r="K1553" s="150"/>
      <c r="L1553" s="150"/>
      <c r="M1553" s="150"/>
      <c r="N1553" s="150"/>
      <c r="O1553" s="150"/>
      <c r="P1553" s="150"/>
      <c r="Q1553" s="150"/>
      <c r="R1553" s="150"/>
      <c r="S1553" s="150"/>
      <c r="T1553" s="150"/>
      <c r="U1553" s="150"/>
      <c r="V1553" s="150"/>
      <c r="W1553" s="150"/>
      <c r="X1553" s="150"/>
      <c r="Y1553" s="150"/>
    </row>
    <row r="1554">
      <c r="A1554" s="150"/>
      <c r="B1554" s="156"/>
      <c r="C1554" s="157"/>
      <c r="D1554" s="150"/>
      <c r="E1554" s="150"/>
      <c r="F1554" s="150"/>
      <c r="G1554" s="150"/>
      <c r="H1554" s="150"/>
      <c r="I1554" s="150"/>
      <c r="J1554" s="150"/>
      <c r="K1554" s="150"/>
      <c r="L1554" s="150"/>
      <c r="M1554" s="150"/>
      <c r="N1554" s="150"/>
      <c r="O1554" s="150"/>
      <c r="P1554" s="150"/>
      <c r="Q1554" s="150"/>
      <c r="R1554" s="150"/>
      <c r="S1554" s="150"/>
      <c r="T1554" s="150"/>
      <c r="U1554" s="150"/>
      <c r="V1554" s="150"/>
      <c r="W1554" s="150"/>
      <c r="X1554" s="150"/>
      <c r="Y1554" s="150"/>
    </row>
    <row r="1555">
      <c r="A1555" s="150"/>
      <c r="B1555" s="156"/>
      <c r="C1555" s="157"/>
      <c r="D1555" s="150"/>
      <c r="E1555" s="150"/>
      <c r="F1555" s="150"/>
      <c r="G1555" s="150"/>
      <c r="H1555" s="150"/>
      <c r="I1555" s="150"/>
      <c r="J1555" s="150"/>
      <c r="K1555" s="150"/>
      <c r="L1555" s="150"/>
      <c r="M1555" s="150"/>
      <c r="N1555" s="150"/>
      <c r="O1555" s="150"/>
      <c r="P1555" s="150"/>
      <c r="Q1555" s="150"/>
      <c r="R1555" s="150"/>
      <c r="S1555" s="150"/>
      <c r="T1555" s="150"/>
      <c r="U1555" s="150"/>
      <c r="V1555" s="150"/>
      <c r="W1555" s="150"/>
      <c r="X1555" s="150"/>
      <c r="Y1555" s="150"/>
    </row>
    <row r="1556">
      <c r="A1556" s="150"/>
      <c r="B1556" s="156"/>
      <c r="C1556" s="157"/>
      <c r="D1556" s="150"/>
      <c r="E1556" s="150"/>
      <c r="F1556" s="150"/>
      <c r="G1556" s="150"/>
      <c r="H1556" s="150"/>
      <c r="I1556" s="150"/>
      <c r="J1556" s="150"/>
      <c r="K1556" s="150"/>
      <c r="L1556" s="150"/>
      <c r="M1556" s="150"/>
      <c r="N1556" s="150"/>
      <c r="O1556" s="150"/>
      <c r="P1556" s="150"/>
      <c r="Q1556" s="150"/>
      <c r="R1556" s="150"/>
      <c r="S1556" s="150"/>
      <c r="T1556" s="150"/>
      <c r="U1556" s="150"/>
      <c r="V1556" s="150"/>
      <c r="W1556" s="150"/>
      <c r="X1556" s="150"/>
      <c r="Y1556" s="150"/>
    </row>
    <row r="1557">
      <c r="A1557" s="150"/>
      <c r="B1557" s="156"/>
      <c r="C1557" s="157"/>
      <c r="D1557" s="150"/>
      <c r="E1557" s="150"/>
      <c r="F1557" s="150"/>
      <c r="G1557" s="150"/>
      <c r="H1557" s="150"/>
      <c r="I1557" s="150"/>
      <c r="J1557" s="150"/>
      <c r="K1557" s="150"/>
      <c r="L1557" s="150"/>
      <c r="M1557" s="150"/>
      <c r="N1557" s="150"/>
      <c r="O1557" s="150"/>
      <c r="P1557" s="150"/>
      <c r="Q1557" s="150"/>
      <c r="R1557" s="150"/>
      <c r="S1557" s="150"/>
      <c r="T1557" s="150"/>
      <c r="U1557" s="150"/>
      <c r="V1557" s="150"/>
      <c r="W1557" s="150"/>
      <c r="X1557" s="150"/>
      <c r="Y1557" s="150"/>
    </row>
    <row r="1558">
      <c r="A1558" s="150"/>
      <c r="B1558" s="156"/>
      <c r="C1558" s="157"/>
      <c r="D1558" s="150"/>
      <c r="E1558" s="150"/>
      <c r="F1558" s="150"/>
      <c r="G1558" s="150"/>
      <c r="H1558" s="150"/>
      <c r="I1558" s="150"/>
      <c r="J1558" s="150"/>
      <c r="K1558" s="150"/>
      <c r="L1558" s="150"/>
      <c r="M1558" s="150"/>
      <c r="N1558" s="150"/>
      <c r="O1558" s="150"/>
      <c r="P1558" s="150"/>
      <c r="Q1558" s="150"/>
      <c r="R1558" s="150"/>
      <c r="S1558" s="150"/>
      <c r="T1558" s="150"/>
      <c r="U1558" s="150"/>
      <c r="V1558" s="150"/>
      <c r="W1558" s="150"/>
      <c r="X1558" s="150"/>
      <c r="Y1558" s="150"/>
    </row>
    <row r="1559">
      <c r="A1559" s="150"/>
      <c r="B1559" s="156"/>
      <c r="C1559" s="157"/>
      <c r="D1559" s="150"/>
      <c r="E1559" s="150"/>
      <c r="F1559" s="150"/>
      <c r="G1559" s="150"/>
      <c r="H1559" s="150"/>
      <c r="I1559" s="150"/>
      <c r="J1559" s="150"/>
      <c r="K1559" s="150"/>
      <c r="L1559" s="150"/>
      <c r="M1559" s="150"/>
      <c r="N1559" s="150"/>
      <c r="O1559" s="150"/>
      <c r="P1559" s="150"/>
      <c r="Q1559" s="150"/>
      <c r="R1559" s="150"/>
      <c r="S1559" s="150"/>
      <c r="T1559" s="150"/>
      <c r="U1559" s="150"/>
      <c r="V1559" s="150"/>
      <c r="W1559" s="150"/>
      <c r="X1559" s="150"/>
      <c r="Y1559" s="150"/>
    </row>
    <row r="1560">
      <c r="A1560" s="150"/>
      <c r="B1560" s="156"/>
      <c r="C1560" s="157"/>
      <c r="D1560" s="150"/>
      <c r="E1560" s="150"/>
      <c r="F1560" s="150"/>
      <c r="G1560" s="150"/>
      <c r="H1560" s="150"/>
      <c r="I1560" s="150"/>
      <c r="J1560" s="150"/>
      <c r="K1560" s="150"/>
      <c r="L1560" s="150"/>
      <c r="M1560" s="150"/>
      <c r="N1560" s="150"/>
      <c r="O1560" s="150"/>
      <c r="P1560" s="150"/>
      <c r="Q1560" s="150"/>
      <c r="R1560" s="150"/>
      <c r="S1560" s="150"/>
      <c r="T1560" s="150"/>
      <c r="U1560" s="150"/>
      <c r="V1560" s="150"/>
      <c r="W1560" s="150"/>
      <c r="X1560" s="150"/>
      <c r="Y1560" s="150"/>
    </row>
    <row r="1561">
      <c r="A1561" s="150"/>
      <c r="B1561" s="156"/>
      <c r="C1561" s="157"/>
      <c r="D1561" s="150"/>
      <c r="E1561" s="150"/>
      <c r="F1561" s="150"/>
      <c r="G1561" s="150"/>
      <c r="H1561" s="150"/>
      <c r="I1561" s="150"/>
      <c r="J1561" s="150"/>
      <c r="K1561" s="150"/>
      <c r="L1561" s="150"/>
      <c r="M1561" s="150"/>
      <c r="N1561" s="150"/>
      <c r="O1561" s="150"/>
      <c r="P1561" s="150"/>
      <c r="Q1561" s="150"/>
      <c r="R1561" s="150"/>
      <c r="S1561" s="150"/>
      <c r="T1561" s="150"/>
      <c r="U1561" s="150"/>
      <c r="V1561" s="150"/>
      <c r="W1561" s="150"/>
      <c r="X1561" s="150"/>
      <c r="Y1561" s="150"/>
    </row>
    <row r="1562">
      <c r="A1562" s="150"/>
      <c r="B1562" s="156"/>
      <c r="C1562" s="157"/>
      <c r="D1562" s="150"/>
      <c r="E1562" s="150"/>
      <c r="F1562" s="150"/>
      <c r="G1562" s="150"/>
      <c r="H1562" s="150"/>
      <c r="I1562" s="150"/>
      <c r="J1562" s="150"/>
      <c r="K1562" s="150"/>
      <c r="L1562" s="150"/>
      <c r="M1562" s="150"/>
      <c r="N1562" s="150"/>
      <c r="O1562" s="150"/>
      <c r="P1562" s="150"/>
      <c r="Q1562" s="150"/>
      <c r="R1562" s="150"/>
      <c r="S1562" s="150"/>
      <c r="T1562" s="150"/>
      <c r="U1562" s="150"/>
      <c r="V1562" s="150"/>
      <c r="W1562" s="150"/>
      <c r="X1562" s="150"/>
      <c r="Y1562" s="150"/>
    </row>
    <row r="1563">
      <c r="A1563" s="150"/>
      <c r="B1563" s="156"/>
      <c r="C1563" s="157"/>
      <c r="D1563" s="150"/>
      <c r="E1563" s="150"/>
      <c r="F1563" s="150"/>
      <c r="G1563" s="150"/>
      <c r="H1563" s="150"/>
      <c r="I1563" s="150"/>
      <c r="J1563" s="150"/>
      <c r="K1563" s="150"/>
      <c r="L1563" s="150"/>
      <c r="M1563" s="150"/>
      <c r="N1563" s="150"/>
      <c r="O1563" s="150"/>
      <c r="P1563" s="150"/>
      <c r="Q1563" s="150"/>
      <c r="R1563" s="150"/>
      <c r="S1563" s="150"/>
      <c r="T1563" s="150"/>
      <c r="U1563" s="150"/>
      <c r="V1563" s="150"/>
      <c r="W1563" s="150"/>
      <c r="X1563" s="150"/>
      <c r="Y1563" s="150"/>
    </row>
    <row r="1564">
      <c r="A1564" s="150"/>
      <c r="B1564" s="156"/>
      <c r="C1564" s="157"/>
      <c r="D1564" s="150"/>
      <c r="E1564" s="150"/>
      <c r="F1564" s="150"/>
      <c r="G1564" s="150"/>
      <c r="H1564" s="150"/>
      <c r="I1564" s="150"/>
      <c r="J1564" s="150"/>
      <c r="K1564" s="150"/>
      <c r="L1564" s="150"/>
      <c r="M1564" s="150"/>
      <c r="N1564" s="150"/>
      <c r="O1564" s="150"/>
      <c r="P1564" s="150"/>
      <c r="Q1564" s="150"/>
      <c r="R1564" s="150"/>
      <c r="S1564" s="150"/>
      <c r="T1564" s="150"/>
      <c r="U1564" s="150"/>
      <c r="V1564" s="150"/>
      <c r="W1564" s="150"/>
      <c r="X1564" s="150"/>
      <c r="Y1564" s="150"/>
    </row>
    <row r="1565">
      <c r="A1565" s="150"/>
      <c r="B1565" s="156"/>
      <c r="C1565" s="157"/>
      <c r="D1565" s="150"/>
      <c r="E1565" s="150"/>
      <c r="F1565" s="150"/>
      <c r="G1565" s="150"/>
      <c r="H1565" s="150"/>
      <c r="I1565" s="150"/>
      <c r="J1565" s="150"/>
      <c r="K1565" s="150"/>
      <c r="L1565" s="150"/>
      <c r="M1565" s="150"/>
      <c r="N1565" s="150"/>
      <c r="O1565" s="150"/>
      <c r="P1565" s="150"/>
      <c r="Q1565" s="150"/>
      <c r="R1565" s="150"/>
      <c r="S1565" s="150"/>
      <c r="T1565" s="150"/>
      <c r="U1565" s="150"/>
      <c r="V1565" s="150"/>
      <c r="W1565" s="150"/>
      <c r="X1565" s="150"/>
      <c r="Y1565" s="150"/>
    </row>
    <row r="1566">
      <c r="A1566" s="150"/>
      <c r="B1566" s="156"/>
      <c r="C1566" s="157"/>
      <c r="D1566" s="150"/>
      <c r="E1566" s="150"/>
      <c r="F1566" s="150"/>
      <c r="G1566" s="150"/>
      <c r="H1566" s="150"/>
      <c r="I1566" s="150"/>
      <c r="J1566" s="150"/>
      <c r="K1566" s="150"/>
      <c r="L1566" s="150"/>
      <c r="M1566" s="150"/>
      <c r="N1566" s="150"/>
      <c r="O1566" s="150"/>
      <c r="P1566" s="150"/>
      <c r="Q1566" s="150"/>
      <c r="R1566" s="150"/>
      <c r="S1566" s="150"/>
      <c r="T1566" s="150"/>
      <c r="U1566" s="150"/>
      <c r="V1566" s="150"/>
      <c r="W1566" s="150"/>
      <c r="X1566" s="150"/>
      <c r="Y1566" s="150"/>
    </row>
    <row r="1567">
      <c r="A1567" s="150"/>
      <c r="B1567" s="156"/>
      <c r="C1567" s="157"/>
      <c r="D1567" s="150"/>
      <c r="E1567" s="150"/>
      <c r="F1567" s="150"/>
      <c r="G1567" s="150"/>
      <c r="H1567" s="150"/>
      <c r="I1567" s="150"/>
      <c r="J1567" s="150"/>
      <c r="K1567" s="150"/>
      <c r="L1567" s="150"/>
      <c r="M1567" s="150"/>
      <c r="N1567" s="150"/>
      <c r="O1567" s="150"/>
      <c r="P1567" s="150"/>
      <c r="Q1567" s="150"/>
      <c r="R1567" s="150"/>
      <c r="S1567" s="150"/>
      <c r="T1567" s="150"/>
      <c r="U1567" s="150"/>
      <c r="V1567" s="150"/>
      <c r="W1567" s="150"/>
      <c r="X1567" s="150"/>
      <c r="Y1567" s="150"/>
    </row>
    <row r="1568">
      <c r="A1568" s="150"/>
      <c r="B1568" s="156"/>
      <c r="C1568" s="157"/>
      <c r="D1568" s="150"/>
      <c r="E1568" s="150"/>
      <c r="F1568" s="150"/>
      <c r="G1568" s="150"/>
      <c r="H1568" s="150"/>
      <c r="I1568" s="150"/>
      <c r="J1568" s="150"/>
      <c r="K1568" s="150"/>
      <c r="L1568" s="150"/>
      <c r="M1568" s="150"/>
      <c r="N1568" s="150"/>
      <c r="O1568" s="150"/>
      <c r="P1568" s="150"/>
      <c r="Q1568" s="150"/>
      <c r="R1568" s="150"/>
      <c r="S1568" s="150"/>
      <c r="T1568" s="150"/>
      <c r="U1568" s="150"/>
      <c r="V1568" s="150"/>
      <c r="W1568" s="150"/>
      <c r="X1568" s="150"/>
      <c r="Y1568" s="150"/>
    </row>
    <row r="1569">
      <c r="A1569" s="150"/>
      <c r="B1569" s="156"/>
      <c r="C1569" s="157"/>
      <c r="D1569" s="150"/>
      <c r="E1569" s="150"/>
      <c r="F1569" s="150"/>
      <c r="G1569" s="150"/>
      <c r="H1569" s="150"/>
      <c r="I1569" s="150"/>
      <c r="J1569" s="150"/>
      <c r="K1569" s="150"/>
      <c r="L1569" s="150"/>
      <c r="M1569" s="150"/>
      <c r="N1569" s="150"/>
      <c r="O1569" s="150"/>
      <c r="P1569" s="150"/>
      <c r="Q1569" s="150"/>
      <c r="R1569" s="150"/>
      <c r="S1569" s="150"/>
      <c r="T1569" s="150"/>
      <c r="U1569" s="150"/>
      <c r="V1569" s="150"/>
      <c r="W1569" s="150"/>
      <c r="X1569" s="150"/>
      <c r="Y1569" s="150"/>
    </row>
    <row r="1570">
      <c r="A1570" s="150"/>
      <c r="B1570" s="156"/>
      <c r="C1570" s="157"/>
      <c r="D1570" s="150"/>
      <c r="E1570" s="150"/>
      <c r="F1570" s="150"/>
      <c r="G1570" s="150"/>
      <c r="H1570" s="150"/>
      <c r="I1570" s="150"/>
      <c r="J1570" s="150"/>
      <c r="K1570" s="150"/>
      <c r="L1570" s="150"/>
      <c r="M1570" s="150"/>
      <c r="N1570" s="150"/>
      <c r="O1570" s="150"/>
      <c r="P1570" s="150"/>
      <c r="Q1570" s="150"/>
      <c r="R1570" s="150"/>
      <c r="S1570" s="150"/>
      <c r="T1570" s="150"/>
      <c r="U1570" s="150"/>
      <c r="V1570" s="150"/>
      <c r="W1570" s="150"/>
      <c r="X1570" s="150"/>
      <c r="Y1570" s="150"/>
    </row>
    <row r="1571">
      <c r="A1571" s="150"/>
      <c r="B1571" s="156"/>
      <c r="C1571" s="157"/>
      <c r="D1571" s="150"/>
      <c r="E1571" s="150"/>
      <c r="F1571" s="150"/>
      <c r="G1571" s="150"/>
      <c r="H1571" s="150"/>
      <c r="I1571" s="150"/>
      <c r="J1571" s="150"/>
      <c r="K1571" s="150"/>
      <c r="L1571" s="150"/>
      <c r="M1571" s="150"/>
      <c r="N1571" s="150"/>
      <c r="O1571" s="150"/>
      <c r="P1571" s="150"/>
      <c r="Q1571" s="150"/>
      <c r="R1571" s="150"/>
      <c r="S1571" s="150"/>
      <c r="T1571" s="150"/>
      <c r="U1571" s="150"/>
      <c r="V1571" s="150"/>
      <c r="W1571" s="150"/>
      <c r="X1571" s="150"/>
      <c r="Y1571" s="150"/>
    </row>
    <row r="1572">
      <c r="A1572" s="150"/>
      <c r="B1572" s="156"/>
      <c r="C1572" s="157"/>
      <c r="D1572" s="150"/>
      <c r="E1572" s="150"/>
      <c r="F1572" s="150"/>
      <c r="G1572" s="150"/>
      <c r="H1572" s="150"/>
      <c r="I1572" s="150"/>
      <c r="J1572" s="150"/>
      <c r="K1572" s="150"/>
      <c r="L1572" s="150"/>
      <c r="M1572" s="150"/>
      <c r="N1572" s="150"/>
      <c r="O1572" s="150"/>
      <c r="P1572" s="150"/>
      <c r="Q1572" s="150"/>
      <c r="R1572" s="150"/>
      <c r="S1572" s="150"/>
      <c r="T1572" s="150"/>
      <c r="U1572" s="150"/>
      <c r="V1572" s="150"/>
      <c r="W1572" s="150"/>
      <c r="X1572" s="150"/>
      <c r="Y1572" s="150"/>
    </row>
    <row r="1573">
      <c r="A1573" s="150"/>
      <c r="B1573" s="156"/>
      <c r="C1573" s="157"/>
      <c r="D1573" s="150"/>
      <c r="E1573" s="150"/>
      <c r="F1573" s="150"/>
      <c r="G1573" s="150"/>
      <c r="H1573" s="150"/>
      <c r="I1573" s="150"/>
      <c r="J1573" s="150"/>
      <c r="K1573" s="150"/>
      <c r="L1573" s="150"/>
      <c r="M1573" s="150"/>
      <c r="N1573" s="150"/>
      <c r="O1573" s="150"/>
      <c r="P1573" s="150"/>
      <c r="Q1573" s="150"/>
      <c r="R1573" s="150"/>
      <c r="S1573" s="150"/>
      <c r="T1573" s="150"/>
      <c r="U1573" s="150"/>
      <c r="V1573" s="150"/>
      <c r="W1573" s="150"/>
      <c r="X1573" s="150"/>
      <c r="Y1573" s="150"/>
    </row>
    <row r="1574">
      <c r="A1574" s="150"/>
      <c r="B1574" s="156"/>
      <c r="C1574" s="157"/>
      <c r="D1574" s="150"/>
      <c r="E1574" s="150"/>
      <c r="F1574" s="150"/>
      <c r="G1574" s="150"/>
      <c r="H1574" s="150"/>
      <c r="I1574" s="150"/>
      <c r="J1574" s="150"/>
      <c r="K1574" s="150"/>
      <c r="L1574" s="150"/>
      <c r="M1574" s="150"/>
      <c r="N1574" s="150"/>
      <c r="O1574" s="150"/>
      <c r="P1574" s="150"/>
      <c r="Q1574" s="150"/>
      <c r="R1574" s="150"/>
      <c r="S1574" s="150"/>
      <c r="T1574" s="150"/>
      <c r="U1574" s="150"/>
      <c r="V1574" s="150"/>
      <c r="W1574" s="150"/>
      <c r="X1574" s="150"/>
      <c r="Y1574" s="150"/>
    </row>
    <row r="1575">
      <c r="A1575" s="150"/>
      <c r="B1575" s="156"/>
      <c r="C1575" s="157"/>
      <c r="D1575" s="150"/>
      <c r="E1575" s="150"/>
      <c r="F1575" s="150"/>
      <c r="G1575" s="150"/>
      <c r="H1575" s="150"/>
      <c r="I1575" s="150"/>
      <c r="J1575" s="150"/>
      <c r="K1575" s="150"/>
      <c r="L1575" s="150"/>
      <c r="M1575" s="150"/>
      <c r="N1575" s="150"/>
      <c r="O1575" s="150"/>
      <c r="P1575" s="150"/>
      <c r="Q1575" s="150"/>
      <c r="R1575" s="150"/>
      <c r="S1575" s="150"/>
      <c r="T1575" s="150"/>
      <c r="U1575" s="150"/>
      <c r="V1575" s="150"/>
      <c r="W1575" s="150"/>
      <c r="X1575" s="150"/>
      <c r="Y1575" s="150"/>
    </row>
    <row r="1576">
      <c r="A1576" s="150"/>
      <c r="B1576" s="156"/>
      <c r="C1576" s="157"/>
      <c r="D1576" s="150"/>
      <c r="E1576" s="150"/>
      <c r="F1576" s="150"/>
      <c r="G1576" s="150"/>
      <c r="H1576" s="150"/>
      <c r="I1576" s="150"/>
      <c r="J1576" s="150"/>
      <c r="K1576" s="150"/>
      <c r="L1576" s="150"/>
      <c r="M1576" s="150"/>
      <c r="N1576" s="150"/>
      <c r="O1576" s="150"/>
      <c r="P1576" s="150"/>
      <c r="Q1576" s="150"/>
      <c r="R1576" s="150"/>
      <c r="S1576" s="150"/>
      <c r="T1576" s="150"/>
      <c r="U1576" s="150"/>
      <c r="V1576" s="150"/>
      <c r="W1576" s="150"/>
      <c r="X1576" s="150"/>
      <c r="Y1576" s="150"/>
    </row>
    <row r="1577">
      <c r="A1577" s="150"/>
      <c r="B1577" s="156"/>
      <c r="C1577" s="157"/>
      <c r="D1577" s="150"/>
      <c r="E1577" s="150"/>
      <c r="F1577" s="150"/>
      <c r="G1577" s="150"/>
      <c r="H1577" s="150"/>
      <c r="I1577" s="150"/>
      <c r="J1577" s="150"/>
      <c r="K1577" s="150"/>
      <c r="L1577" s="150"/>
      <c r="M1577" s="150"/>
      <c r="N1577" s="150"/>
      <c r="O1577" s="150"/>
      <c r="P1577" s="150"/>
      <c r="Q1577" s="150"/>
      <c r="R1577" s="150"/>
      <c r="S1577" s="150"/>
      <c r="T1577" s="150"/>
      <c r="U1577" s="150"/>
      <c r="V1577" s="150"/>
      <c r="W1577" s="150"/>
      <c r="X1577" s="150"/>
      <c r="Y1577" s="150"/>
    </row>
    <row r="1578">
      <c r="A1578" s="150"/>
      <c r="B1578" s="156"/>
      <c r="C1578" s="157"/>
      <c r="D1578" s="150"/>
      <c r="E1578" s="150"/>
      <c r="F1578" s="150"/>
      <c r="G1578" s="150"/>
      <c r="H1578" s="150"/>
      <c r="I1578" s="150"/>
      <c r="J1578" s="150"/>
      <c r="K1578" s="150"/>
      <c r="L1578" s="150"/>
      <c r="M1578" s="150"/>
      <c r="N1578" s="150"/>
      <c r="O1578" s="150"/>
      <c r="P1578" s="150"/>
      <c r="Q1578" s="150"/>
      <c r="R1578" s="150"/>
      <c r="S1578" s="150"/>
      <c r="T1578" s="150"/>
      <c r="U1578" s="150"/>
      <c r="V1578" s="150"/>
      <c r="W1578" s="150"/>
      <c r="X1578" s="150"/>
      <c r="Y1578" s="150"/>
    </row>
    <row r="1579">
      <c r="A1579" s="150"/>
      <c r="B1579" s="156"/>
      <c r="C1579" s="157"/>
      <c r="D1579" s="150"/>
      <c r="E1579" s="150"/>
      <c r="F1579" s="150"/>
      <c r="G1579" s="150"/>
      <c r="H1579" s="150"/>
      <c r="I1579" s="150"/>
      <c r="J1579" s="150"/>
      <c r="K1579" s="150"/>
      <c r="L1579" s="150"/>
      <c r="M1579" s="150"/>
      <c r="N1579" s="150"/>
      <c r="O1579" s="150"/>
      <c r="P1579" s="150"/>
      <c r="Q1579" s="150"/>
      <c r="R1579" s="150"/>
      <c r="S1579" s="150"/>
      <c r="T1579" s="150"/>
      <c r="U1579" s="150"/>
      <c r="V1579" s="150"/>
      <c r="W1579" s="150"/>
      <c r="X1579" s="150"/>
      <c r="Y1579" s="150"/>
    </row>
    <row r="1580">
      <c r="A1580" s="150"/>
      <c r="B1580" s="156"/>
      <c r="C1580" s="157"/>
      <c r="D1580" s="150"/>
      <c r="E1580" s="150"/>
      <c r="F1580" s="150"/>
      <c r="G1580" s="150"/>
      <c r="H1580" s="150"/>
      <c r="I1580" s="150"/>
      <c r="J1580" s="150"/>
      <c r="K1580" s="150"/>
      <c r="L1580" s="150"/>
      <c r="M1580" s="150"/>
      <c r="N1580" s="150"/>
      <c r="O1580" s="150"/>
      <c r="P1580" s="150"/>
      <c r="Q1580" s="150"/>
      <c r="R1580" s="150"/>
      <c r="S1580" s="150"/>
      <c r="T1580" s="150"/>
      <c r="U1580" s="150"/>
      <c r="V1580" s="150"/>
      <c r="W1580" s="150"/>
      <c r="X1580" s="150"/>
      <c r="Y1580" s="150"/>
    </row>
    <row r="1581">
      <c r="A1581" s="150"/>
      <c r="B1581" s="156"/>
      <c r="C1581" s="157"/>
      <c r="D1581" s="150"/>
      <c r="E1581" s="150"/>
      <c r="F1581" s="150"/>
      <c r="G1581" s="150"/>
      <c r="H1581" s="150"/>
      <c r="I1581" s="150"/>
      <c r="J1581" s="150"/>
      <c r="K1581" s="150"/>
      <c r="L1581" s="150"/>
      <c r="M1581" s="150"/>
      <c r="N1581" s="150"/>
      <c r="O1581" s="150"/>
      <c r="P1581" s="150"/>
      <c r="Q1581" s="150"/>
      <c r="R1581" s="150"/>
      <c r="S1581" s="150"/>
      <c r="T1581" s="150"/>
      <c r="U1581" s="150"/>
      <c r="V1581" s="150"/>
      <c r="W1581" s="150"/>
      <c r="X1581" s="150"/>
      <c r="Y1581" s="150"/>
    </row>
    <row r="1582">
      <c r="A1582" s="150"/>
      <c r="B1582" s="156"/>
      <c r="C1582" s="157"/>
      <c r="D1582" s="150"/>
      <c r="E1582" s="150"/>
      <c r="F1582" s="150"/>
      <c r="G1582" s="150"/>
      <c r="H1582" s="150"/>
      <c r="I1582" s="150"/>
      <c r="J1582" s="150"/>
      <c r="K1582" s="150"/>
      <c r="L1582" s="150"/>
      <c r="M1582" s="150"/>
      <c r="N1582" s="150"/>
      <c r="O1582" s="150"/>
      <c r="P1582" s="150"/>
      <c r="Q1582" s="150"/>
      <c r="R1582" s="150"/>
      <c r="S1582" s="150"/>
      <c r="T1582" s="150"/>
      <c r="U1582" s="150"/>
      <c r="V1582" s="150"/>
      <c r="W1582" s="150"/>
      <c r="X1582" s="150"/>
      <c r="Y1582" s="150"/>
    </row>
    <row r="1583">
      <c r="A1583" s="150"/>
      <c r="B1583" s="156"/>
      <c r="C1583" s="157"/>
      <c r="D1583" s="150"/>
      <c r="E1583" s="150"/>
      <c r="F1583" s="150"/>
      <c r="G1583" s="150"/>
      <c r="H1583" s="150"/>
      <c r="I1583" s="150"/>
      <c r="J1583" s="150"/>
      <c r="K1583" s="150"/>
      <c r="L1583" s="150"/>
      <c r="M1583" s="150"/>
      <c r="N1583" s="150"/>
      <c r="O1583" s="150"/>
      <c r="P1583" s="150"/>
      <c r="Q1583" s="150"/>
      <c r="R1583" s="150"/>
      <c r="S1583" s="150"/>
      <c r="T1583" s="150"/>
      <c r="U1583" s="150"/>
      <c r="V1583" s="150"/>
      <c r="W1583" s="150"/>
      <c r="X1583" s="150"/>
      <c r="Y1583" s="150"/>
    </row>
    <row r="1584">
      <c r="A1584" s="150"/>
      <c r="B1584" s="156"/>
      <c r="C1584" s="157"/>
      <c r="D1584" s="150"/>
      <c r="E1584" s="150"/>
      <c r="F1584" s="150"/>
      <c r="G1584" s="150"/>
      <c r="H1584" s="150"/>
      <c r="I1584" s="150"/>
      <c r="J1584" s="150"/>
      <c r="K1584" s="150"/>
      <c r="L1584" s="150"/>
      <c r="M1584" s="150"/>
      <c r="N1584" s="150"/>
      <c r="O1584" s="150"/>
      <c r="P1584" s="150"/>
      <c r="Q1584" s="150"/>
      <c r="R1584" s="150"/>
      <c r="S1584" s="150"/>
      <c r="T1584" s="150"/>
      <c r="U1584" s="150"/>
      <c r="V1584" s="150"/>
      <c r="W1584" s="150"/>
      <c r="X1584" s="150"/>
      <c r="Y1584" s="150"/>
    </row>
    <row r="1585">
      <c r="A1585" s="150"/>
      <c r="B1585" s="156"/>
      <c r="C1585" s="157"/>
      <c r="D1585" s="150"/>
      <c r="E1585" s="150"/>
      <c r="F1585" s="150"/>
      <c r="G1585" s="150"/>
      <c r="H1585" s="150"/>
      <c r="I1585" s="150"/>
      <c r="J1585" s="150"/>
      <c r="K1585" s="150"/>
      <c r="L1585" s="150"/>
      <c r="M1585" s="150"/>
      <c r="N1585" s="150"/>
      <c r="O1585" s="150"/>
      <c r="P1585" s="150"/>
      <c r="Q1585" s="150"/>
      <c r="R1585" s="150"/>
      <c r="S1585" s="150"/>
      <c r="T1585" s="150"/>
      <c r="U1585" s="150"/>
      <c r="V1585" s="150"/>
      <c r="W1585" s="150"/>
      <c r="X1585" s="150"/>
      <c r="Y1585" s="150"/>
    </row>
    <row r="1586">
      <c r="A1586" s="150"/>
      <c r="B1586" s="156"/>
      <c r="C1586" s="157"/>
      <c r="D1586" s="150"/>
      <c r="E1586" s="150"/>
      <c r="F1586" s="150"/>
      <c r="G1586" s="150"/>
      <c r="H1586" s="150"/>
      <c r="I1586" s="150"/>
      <c r="J1586" s="150"/>
      <c r="K1586" s="150"/>
      <c r="L1586" s="150"/>
      <c r="M1586" s="150"/>
      <c r="N1586" s="150"/>
      <c r="O1586" s="150"/>
      <c r="P1586" s="150"/>
      <c r="Q1586" s="150"/>
      <c r="R1586" s="150"/>
      <c r="S1586" s="150"/>
      <c r="T1586" s="150"/>
      <c r="U1586" s="150"/>
      <c r="V1586" s="150"/>
      <c r="W1586" s="150"/>
      <c r="X1586" s="150"/>
      <c r="Y1586" s="150"/>
    </row>
    <row r="1587">
      <c r="A1587" s="150"/>
      <c r="B1587" s="156"/>
      <c r="C1587" s="157"/>
      <c r="D1587" s="150"/>
      <c r="E1587" s="150"/>
      <c r="F1587" s="150"/>
      <c r="G1587" s="150"/>
      <c r="H1587" s="150"/>
      <c r="I1587" s="150"/>
      <c r="J1587" s="150"/>
      <c r="K1587" s="150"/>
      <c r="L1587" s="150"/>
      <c r="M1587" s="150"/>
      <c r="N1587" s="150"/>
      <c r="O1587" s="150"/>
      <c r="P1587" s="150"/>
      <c r="Q1587" s="150"/>
      <c r="R1587" s="150"/>
      <c r="S1587" s="150"/>
      <c r="T1587" s="150"/>
      <c r="U1587" s="150"/>
      <c r="V1587" s="150"/>
      <c r="W1587" s="150"/>
      <c r="X1587" s="150"/>
      <c r="Y1587" s="150"/>
    </row>
    <row r="1588">
      <c r="A1588" s="150"/>
      <c r="B1588" s="156"/>
      <c r="C1588" s="157"/>
      <c r="D1588" s="150"/>
      <c r="E1588" s="150"/>
      <c r="F1588" s="150"/>
      <c r="G1588" s="150"/>
      <c r="H1588" s="150"/>
      <c r="I1588" s="150"/>
      <c r="J1588" s="150"/>
      <c r="K1588" s="150"/>
      <c r="L1588" s="150"/>
      <c r="M1588" s="150"/>
      <c r="N1588" s="150"/>
      <c r="O1588" s="150"/>
      <c r="P1588" s="150"/>
      <c r="Q1588" s="150"/>
      <c r="R1588" s="150"/>
      <c r="S1588" s="150"/>
      <c r="T1588" s="150"/>
      <c r="U1588" s="150"/>
      <c r="V1588" s="150"/>
      <c r="W1588" s="150"/>
      <c r="X1588" s="150"/>
      <c r="Y1588" s="150"/>
    </row>
    <row r="1589">
      <c r="A1589" s="150"/>
      <c r="B1589" s="156"/>
      <c r="C1589" s="157"/>
      <c r="D1589" s="150"/>
      <c r="E1589" s="150"/>
      <c r="F1589" s="150"/>
      <c r="G1589" s="150"/>
      <c r="H1589" s="150"/>
      <c r="I1589" s="150"/>
      <c r="J1589" s="150"/>
      <c r="K1589" s="150"/>
      <c r="L1589" s="150"/>
      <c r="M1589" s="150"/>
      <c r="N1589" s="150"/>
      <c r="O1589" s="150"/>
      <c r="P1589" s="150"/>
      <c r="Q1589" s="150"/>
      <c r="R1589" s="150"/>
      <c r="S1589" s="150"/>
      <c r="T1589" s="150"/>
      <c r="U1589" s="150"/>
      <c r="V1589" s="150"/>
      <c r="W1589" s="150"/>
      <c r="X1589" s="150"/>
      <c r="Y1589" s="150"/>
    </row>
    <row r="1590">
      <c r="A1590" s="150"/>
      <c r="B1590" s="156"/>
      <c r="C1590" s="157"/>
      <c r="D1590" s="150"/>
      <c r="E1590" s="150"/>
      <c r="F1590" s="150"/>
      <c r="G1590" s="150"/>
      <c r="H1590" s="150"/>
      <c r="I1590" s="150"/>
      <c r="J1590" s="150"/>
      <c r="K1590" s="150"/>
      <c r="L1590" s="150"/>
      <c r="M1590" s="150"/>
      <c r="N1590" s="150"/>
      <c r="O1590" s="150"/>
      <c r="P1590" s="150"/>
      <c r="Q1590" s="150"/>
      <c r="R1590" s="150"/>
      <c r="S1590" s="150"/>
      <c r="T1590" s="150"/>
      <c r="U1590" s="150"/>
      <c r="V1590" s="150"/>
      <c r="W1590" s="150"/>
      <c r="X1590" s="150"/>
      <c r="Y1590" s="150"/>
    </row>
    <row r="1591">
      <c r="A1591" s="150"/>
      <c r="B1591" s="156"/>
      <c r="C1591" s="157"/>
      <c r="D1591" s="150"/>
      <c r="E1591" s="150"/>
      <c r="F1591" s="150"/>
      <c r="G1591" s="150"/>
      <c r="H1591" s="150"/>
      <c r="I1591" s="150"/>
      <c r="J1591" s="150"/>
      <c r="K1591" s="150"/>
      <c r="L1591" s="150"/>
      <c r="M1591" s="150"/>
      <c r="N1591" s="150"/>
      <c r="O1591" s="150"/>
      <c r="P1591" s="150"/>
      <c r="Q1591" s="150"/>
      <c r="R1591" s="150"/>
      <c r="S1591" s="150"/>
      <c r="T1591" s="150"/>
      <c r="U1591" s="150"/>
      <c r="V1591" s="150"/>
      <c r="W1591" s="150"/>
      <c r="X1591" s="150"/>
      <c r="Y1591" s="150"/>
    </row>
    <row r="1592">
      <c r="A1592" s="150"/>
      <c r="B1592" s="156"/>
      <c r="C1592" s="157"/>
      <c r="D1592" s="150"/>
      <c r="E1592" s="150"/>
      <c r="F1592" s="150"/>
      <c r="G1592" s="150"/>
      <c r="H1592" s="150"/>
      <c r="I1592" s="150"/>
      <c r="J1592" s="150"/>
      <c r="K1592" s="150"/>
      <c r="L1592" s="150"/>
      <c r="M1592" s="150"/>
      <c r="N1592" s="150"/>
      <c r="O1592" s="150"/>
      <c r="P1592" s="150"/>
      <c r="Q1592" s="150"/>
      <c r="R1592" s="150"/>
      <c r="S1592" s="150"/>
      <c r="T1592" s="150"/>
      <c r="U1592" s="150"/>
      <c r="V1592" s="150"/>
      <c r="W1592" s="150"/>
      <c r="X1592" s="150"/>
      <c r="Y1592" s="150"/>
    </row>
    <row r="1593">
      <c r="A1593" s="150"/>
      <c r="B1593" s="156"/>
      <c r="C1593" s="157"/>
      <c r="D1593" s="150"/>
      <c r="E1593" s="150"/>
      <c r="F1593" s="150"/>
      <c r="G1593" s="150"/>
      <c r="H1593" s="150"/>
      <c r="I1593" s="150"/>
      <c r="J1593" s="150"/>
      <c r="K1593" s="150"/>
      <c r="L1593" s="150"/>
      <c r="M1593" s="150"/>
      <c r="N1593" s="150"/>
      <c r="O1593" s="150"/>
      <c r="P1593" s="150"/>
      <c r="Q1593" s="150"/>
      <c r="R1593" s="150"/>
      <c r="S1593" s="150"/>
      <c r="T1593" s="150"/>
      <c r="U1593" s="150"/>
      <c r="V1593" s="150"/>
      <c r="W1593" s="150"/>
      <c r="X1593" s="150"/>
      <c r="Y1593" s="150"/>
    </row>
    <row r="1594">
      <c r="A1594" s="150"/>
      <c r="B1594" s="156"/>
      <c r="C1594" s="157"/>
      <c r="D1594" s="150"/>
      <c r="E1594" s="150"/>
      <c r="F1594" s="150"/>
      <c r="G1594" s="150"/>
      <c r="H1594" s="150"/>
      <c r="I1594" s="150"/>
      <c r="J1594" s="150"/>
      <c r="K1594" s="150"/>
      <c r="L1594" s="150"/>
      <c r="M1594" s="150"/>
      <c r="N1594" s="150"/>
      <c r="O1594" s="150"/>
      <c r="P1594" s="150"/>
      <c r="Q1594" s="150"/>
      <c r="R1594" s="150"/>
      <c r="S1594" s="150"/>
      <c r="T1594" s="150"/>
      <c r="U1594" s="150"/>
      <c r="V1594" s="150"/>
      <c r="W1594" s="150"/>
      <c r="X1594" s="150"/>
      <c r="Y1594" s="150"/>
    </row>
    <row r="1595">
      <c r="A1595" s="150"/>
      <c r="B1595" s="156"/>
      <c r="C1595" s="157"/>
      <c r="D1595" s="150"/>
      <c r="E1595" s="150"/>
      <c r="F1595" s="150"/>
      <c r="G1595" s="150"/>
      <c r="H1595" s="150"/>
      <c r="I1595" s="150"/>
      <c r="J1595" s="150"/>
      <c r="K1595" s="150"/>
      <c r="L1595" s="150"/>
      <c r="M1595" s="150"/>
      <c r="N1595" s="150"/>
      <c r="O1595" s="150"/>
      <c r="P1595" s="150"/>
      <c r="Q1595" s="150"/>
      <c r="R1595" s="150"/>
      <c r="S1595" s="150"/>
      <c r="T1595" s="150"/>
      <c r="U1595" s="150"/>
      <c r="V1595" s="150"/>
      <c r="W1595" s="150"/>
      <c r="X1595" s="150"/>
      <c r="Y1595" s="150"/>
    </row>
    <row r="1596">
      <c r="A1596" s="150"/>
      <c r="B1596" s="156"/>
      <c r="C1596" s="157"/>
      <c r="D1596" s="150"/>
      <c r="E1596" s="150"/>
      <c r="F1596" s="150"/>
      <c r="G1596" s="150"/>
      <c r="H1596" s="150"/>
      <c r="I1596" s="150"/>
      <c r="J1596" s="150"/>
      <c r="K1596" s="150"/>
      <c r="L1596" s="150"/>
      <c r="M1596" s="150"/>
      <c r="N1596" s="150"/>
      <c r="O1596" s="150"/>
      <c r="P1596" s="150"/>
      <c r="Q1596" s="150"/>
      <c r="R1596" s="150"/>
      <c r="S1596" s="150"/>
      <c r="T1596" s="150"/>
      <c r="U1596" s="150"/>
      <c r="V1596" s="150"/>
      <c r="W1596" s="150"/>
      <c r="X1596" s="150"/>
      <c r="Y1596" s="150"/>
    </row>
    <row r="1597">
      <c r="A1597" s="150"/>
      <c r="B1597" s="156"/>
      <c r="C1597" s="157"/>
      <c r="D1597" s="150"/>
      <c r="E1597" s="150"/>
      <c r="F1597" s="150"/>
      <c r="G1597" s="150"/>
      <c r="H1597" s="150"/>
      <c r="I1597" s="150"/>
      <c r="J1597" s="150"/>
      <c r="K1597" s="150"/>
      <c r="L1597" s="150"/>
      <c r="M1597" s="150"/>
      <c r="N1597" s="150"/>
      <c r="O1597" s="150"/>
      <c r="P1597" s="150"/>
      <c r="Q1597" s="150"/>
      <c r="R1597" s="150"/>
      <c r="S1597" s="150"/>
      <c r="T1597" s="150"/>
      <c r="U1597" s="150"/>
      <c r="V1597" s="150"/>
      <c r="W1597" s="150"/>
      <c r="X1597" s="150"/>
      <c r="Y1597" s="150"/>
    </row>
    <row r="1598">
      <c r="A1598" s="150"/>
      <c r="B1598" s="156"/>
      <c r="C1598" s="157"/>
      <c r="D1598" s="150"/>
      <c r="E1598" s="150"/>
      <c r="F1598" s="150"/>
      <c r="G1598" s="150"/>
      <c r="H1598" s="150"/>
      <c r="I1598" s="150"/>
      <c r="J1598" s="150"/>
      <c r="K1598" s="150"/>
      <c r="L1598" s="150"/>
      <c r="M1598" s="150"/>
      <c r="N1598" s="150"/>
      <c r="O1598" s="150"/>
      <c r="P1598" s="150"/>
      <c r="Q1598" s="150"/>
      <c r="R1598" s="150"/>
      <c r="S1598" s="150"/>
      <c r="T1598" s="150"/>
      <c r="U1598" s="150"/>
      <c r="V1598" s="150"/>
      <c r="W1598" s="150"/>
      <c r="X1598" s="150"/>
      <c r="Y1598" s="150"/>
    </row>
    <row r="1599">
      <c r="A1599" s="150"/>
      <c r="B1599" s="156"/>
      <c r="C1599" s="157"/>
      <c r="D1599" s="150"/>
      <c r="E1599" s="150"/>
      <c r="F1599" s="150"/>
      <c r="G1599" s="150"/>
      <c r="H1599" s="150"/>
      <c r="I1599" s="150"/>
      <c r="J1599" s="150"/>
      <c r="K1599" s="150"/>
      <c r="L1599" s="150"/>
      <c r="M1599" s="150"/>
      <c r="N1599" s="150"/>
      <c r="O1599" s="150"/>
      <c r="P1599" s="150"/>
      <c r="Q1599" s="150"/>
      <c r="R1599" s="150"/>
      <c r="S1599" s="150"/>
      <c r="T1599" s="150"/>
      <c r="U1599" s="150"/>
      <c r="V1599" s="150"/>
      <c r="W1599" s="150"/>
      <c r="X1599" s="150"/>
      <c r="Y1599" s="150"/>
    </row>
    <row r="1600">
      <c r="A1600" s="150"/>
      <c r="B1600" s="156"/>
      <c r="C1600" s="157"/>
      <c r="D1600" s="150"/>
      <c r="E1600" s="150"/>
      <c r="F1600" s="150"/>
      <c r="G1600" s="150"/>
      <c r="H1600" s="150"/>
      <c r="I1600" s="150"/>
      <c r="J1600" s="150"/>
      <c r="K1600" s="150"/>
      <c r="L1600" s="150"/>
      <c r="M1600" s="150"/>
      <c r="N1600" s="150"/>
      <c r="O1600" s="150"/>
      <c r="P1600" s="150"/>
      <c r="Q1600" s="150"/>
      <c r="R1600" s="150"/>
      <c r="S1600" s="150"/>
      <c r="T1600" s="150"/>
      <c r="U1600" s="150"/>
      <c r="V1600" s="150"/>
      <c r="W1600" s="150"/>
      <c r="X1600" s="150"/>
      <c r="Y1600" s="150"/>
    </row>
    <row r="1601">
      <c r="A1601" s="150"/>
      <c r="B1601" s="156"/>
      <c r="C1601" s="157"/>
      <c r="D1601" s="150"/>
      <c r="E1601" s="150"/>
      <c r="F1601" s="150"/>
      <c r="G1601" s="150"/>
      <c r="H1601" s="150"/>
      <c r="I1601" s="150"/>
      <c r="J1601" s="150"/>
      <c r="K1601" s="150"/>
      <c r="L1601" s="150"/>
      <c r="M1601" s="150"/>
      <c r="N1601" s="150"/>
      <c r="O1601" s="150"/>
      <c r="P1601" s="150"/>
      <c r="Q1601" s="150"/>
      <c r="R1601" s="150"/>
      <c r="S1601" s="150"/>
      <c r="T1601" s="150"/>
      <c r="U1601" s="150"/>
      <c r="V1601" s="150"/>
      <c r="W1601" s="150"/>
      <c r="X1601" s="150"/>
      <c r="Y1601" s="150"/>
    </row>
    <row r="1602">
      <c r="A1602" s="150"/>
      <c r="B1602" s="156"/>
      <c r="C1602" s="157"/>
      <c r="D1602" s="150"/>
      <c r="E1602" s="150"/>
      <c r="F1602" s="150"/>
      <c r="G1602" s="150"/>
      <c r="H1602" s="150"/>
      <c r="I1602" s="150"/>
      <c r="J1602" s="150"/>
      <c r="K1602" s="150"/>
      <c r="L1602" s="150"/>
      <c r="M1602" s="150"/>
      <c r="N1602" s="150"/>
      <c r="O1602" s="150"/>
      <c r="P1602" s="150"/>
      <c r="Q1602" s="150"/>
      <c r="R1602" s="150"/>
      <c r="S1602" s="150"/>
      <c r="T1602" s="150"/>
      <c r="U1602" s="150"/>
      <c r="V1602" s="150"/>
      <c r="W1602" s="150"/>
      <c r="X1602" s="150"/>
      <c r="Y1602" s="150"/>
    </row>
    <row r="1603">
      <c r="A1603" s="150"/>
      <c r="B1603" s="156"/>
      <c r="C1603" s="157"/>
      <c r="D1603" s="150"/>
      <c r="E1603" s="150"/>
      <c r="F1603" s="150"/>
      <c r="G1603" s="150"/>
      <c r="H1603" s="150"/>
      <c r="I1603" s="150"/>
      <c r="J1603" s="150"/>
      <c r="K1603" s="150"/>
      <c r="L1603" s="150"/>
      <c r="M1603" s="150"/>
      <c r="N1603" s="150"/>
      <c r="O1603" s="150"/>
      <c r="P1603" s="150"/>
      <c r="Q1603" s="150"/>
      <c r="R1603" s="150"/>
      <c r="S1603" s="150"/>
      <c r="T1603" s="150"/>
      <c r="U1603" s="150"/>
      <c r="V1603" s="150"/>
      <c r="W1603" s="150"/>
      <c r="X1603" s="150"/>
      <c r="Y1603" s="150"/>
    </row>
    <row r="1604">
      <c r="A1604" s="150"/>
      <c r="B1604" s="156"/>
      <c r="C1604" s="157"/>
      <c r="D1604" s="150"/>
      <c r="E1604" s="150"/>
      <c r="F1604" s="150"/>
      <c r="G1604" s="150"/>
      <c r="H1604" s="150"/>
      <c r="I1604" s="150"/>
      <c r="J1604" s="150"/>
      <c r="K1604" s="150"/>
      <c r="L1604" s="150"/>
      <c r="M1604" s="150"/>
      <c r="N1604" s="150"/>
      <c r="O1604" s="150"/>
      <c r="P1604" s="150"/>
      <c r="Q1604" s="150"/>
      <c r="R1604" s="150"/>
      <c r="S1604" s="150"/>
      <c r="T1604" s="150"/>
      <c r="U1604" s="150"/>
      <c r="V1604" s="150"/>
      <c r="W1604" s="150"/>
      <c r="X1604" s="150"/>
      <c r="Y1604" s="150"/>
    </row>
    <row r="1605">
      <c r="A1605" s="150"/>
      <c r="B1605" s="156"/>
      <c r="C1605" s="157"/>
      <c r="D1605" s="150"/>
      <c r="E1605" s="150"/>
      <c r="F1605" s="150"/>
      <c r="G1605" s="150"/>
      <c r="H1605" s="150"/>
      <c r="I1605" s="150"/>
      <c r="J1605" s="150"/>
      <c r="K1605" s="150"/>
      <c r="L1605" s="150"/>
      <c r="M1605" s="150"/>
      <c r="N1605" s="150"/>
      <c r="O1605" s="150"/>
      <c r="P1605" s="150"/>
      <c r="Q1605" s="150"/>
      <c r="R1605" s="150"/>
      <c r="S1605" s="150"/>
      <c r="T1605" s="150"/>
      <c r="U1605" s="150"/>
      <c r="V1605" s="150"/>
      <c r="W1605" s="150"/>
      <c r="X1605" s="150"/>
      <c r="Y1605" s="150"/>
    </row>
    <row r="1606">
      <c r="A1606" s="150"/>
      <c r="B1606" s="156"/>
      <c r="C1606" s="157"/>
      <c r="D1606" s="150"/>
      <c r="E1606" s="150"/>
      <c r="F1606" s="150"/>
      <c r="G1606" s="150"/>
      <c r="H1606" s="150"/>
      <c r="I1606" s="150"/>
      <c r="J1606" s="150"/>
      <c r="K1606" s="150"/>
      <c r="L1606" s="150"/>
      <c r="M1606" s="150"/>
      <c r="N1606" s="150"/>
      <c r="O1606" s="150"/>
      <c r="P1606" s="150"/>
      <c r="Q1606" s="150"/>
      <c r="R1606" s="150"/>
      <c r="S1606" s="150"/>
      <c r="T1606" s="150"/>
      <c r="U1606" s="150"/>
      <c r="V1606" s="150"/>
      <c r="W1606" s="150"/>
      <c r="X1606" s="150"/>
      <c r="Y1606" s="150"/>
    </row>
    <row r="1607">
      <c r="A1607" s="150"/>
      <c r="B1607" s="156"/>
      <c r="C1607" s="157"/>
      <c r="D1607" s="150"/>
      <c r="E1607" s="150"/>
      <c r="F1607" s="150"/>
      <c r="G1607" s="150"/>
      <c r="H1607" s="150"/>
      <c r="I1607" s="150"/>
      <c r="J1607" s="150"/>
      <c r="K1607" s="150"/>
      <c r="L1607" s="150"/>
      <c r="M1607" s="150"/>
      <c r="N1607" s="150"/>
      <c r="O1607" s="150"/>
      <c r="P1607" s="150"/>
      <c r="Q1607" s="150"/>
      <c r="R1607" s="150"/>
      <c r="S1607" s="150"/>
      <c r="T1607" s="150"/>
      <c r="U1607" s="150"/>
      <c r="V1607" s="150"/>
      <c r="W1607" s="150"/>
      <c r="X1607" s="150"/>
      <c r="Y1607" s="150"/>
    </row>
    <row r="1608">
      <c r="A1608" s="150"/>
      <c r="B1608" s="156"/>
      <c r="C1608" s="157"/>
      <c r="D1608" s="150"/>
      <c r="E1608" s="150"/>
      <c r="F1608" s="150"/>
      <c r="G1608" s="150"/>
      <c r="H1608" s="150"/>
      <c r="I1608" s="150"/>
      <c r="J1608" s="150"/>
      <c r="K1608" s="150"/>
      <c r="L1608" s="150"/>
      <c r="M1608" s="150"/>
      <c r="N1608" s="150"/>
      <c r="O1608" s="150"/>
      <c r="P1608" s="150"/>
      <c r="Q1608" s="150"/>
      <c r="R1608" s="150"/>
      <c r="S1608" s="150"/>
      <c r="T1608" s="150"/>
      <c r="U1608" s="150"/>
      <c r="V1608" s="150"/>
      <c r="W1608" s="150"/>
      <c r="X1608" s="150"/>
      <c r="Y1608" s="150"/>
    </row>
    <row r="1609">
      <c r="A1609" s="150"/>
      <c r="B1609" s="156"/>
      <c r="C1609" s="157"/>
      <c r="D1609" s="150"/>
      <c r="E1609" s="150"/>
      <c r="F1609" s="150"/>
      <c r="G1609" s="150"/>
      <c r="H1609" s="150"/>
      <c r="I1609" s="150"/>
      <c r="J1609" s="150"/>
      <c r="K1609" s="150"/>
      <c r="L1609" s="150"/>
      <c r="M1609" s="150"/>
      <c r="N1609" s="150"/>
      <c r="O1609" s="150"/>
      <c r="P1609" s="150"/>
      <c r="Q1609" s="150"/>
      <c r="R1609" s="150"/>
      <c r="S1609" s="150"/>
      <c r="T1609" s="150"/>
      <c r="U1609" s="150"/>
      <c r="V1609" s="150"/>
      <c r="W1609" s="150"/>
      <c r="X1609" s="150"/>
      <c r="Y1609" s="150"/>
    </row>
    <row r="1610">
      <c r="A1610" s="150"/>
      <c r="B1610" s="156"/>
      <c r="C1610" s="157"/>
      <c r="D1610" s="150"/>
      <c r="E1610" s="150"/>
      <c r="F1610" s="150"/>
      <c r="G1610" s="150"/>
      <c r="H1610" s="150"/>
      <c r="I1610" s="150"/>
      <c r="J1610" s="150"/>
      <c r="K1610" s="150"/>
      <c r="L1610" s="150"/>
      <c r="M1610" s="150"/>
      <c r="N1610" s="150"/>
      <c r="O1610" s="150"/>
      <c r="P1610" s="150"/>
      <c r="Q1610" s="150"/>
      <c r="R1610" s="150"/>
      <c r="S1610" s="150"/>
      <c r="T1610" s="150"/>
      <c r="U1610" s="150"/>
      <c r="V1610" s="150"/>
      <c r="W1610" s="150"/>
      <c r="X1610" s="150"/>
      <c r="Y1610" s="150"/>
    </row>
    <row r="1611">
      <c r="A1611" s="150"/>
      <c r="B1611" s="156"/>
      <c r="C1611" s="157"/>
      <c r="D1611" s="150"/>
      <c r="E1611" s="150"/>
      <c r="F1611" s="150"/>
      <c r="G1611" s="150"/>
      <c r="H1611" s="150"/>
      <c r="I1611" s="150"/>
      <c r="J1611" s="150"/>
      <c r="K1611" s="150"/>
      <c r="L1611" s="150"/>
      <c r="M1611" s="150"/>
      <c r="N1611" s="150"/>
      <c r="O1611" s="150"/>
      <c r="P1611" s="150"/>
      <c r="Q1611" s="150"/>
      <c r="R1611" s="150"/>
      <c r="S1611" s="150"/>
      <c r="T1611" s="150"/>
      <c r="U1611" s="150"/>
      <c r="V1611" s="150"/>
      <c r="W1611" s="150"/>
      <c r="X1611" s="150"/>
      <c r="Y1611" s="150"/>
    </row>
    <row r="1612">
      <c r="A1612" s="150"/>
      <c r="B1612" s="156"/>
      <c r="C1612" s="157"/>
      <c r="D1612" s="150"/>
      <c r="E1612" s="150"/>
      <c r="F1612" s="150"/>
      <c r="G1612" s="150"/>
      <c r="H1612" s="150"/>
      <c r="I1612" s="150"/>
      <c r="J1612" s="150"/>
      <c r="K1612" s="150"/>
      <c r="L1612" s="150"/>
      <c r="M1612" s="150"/>
      <c r="N1612" s="150"/>
      <c r="O1612" s="150"/>
      <c r="P1612" s="150"/>
      <c r="Q1612" s="150"/>
      <c r="R1612" s="150"/>
      <c r="S1612" s="150"/>
      <c r="T1612" s="150"/>
      <c r="U1612" s="150"/>
      <c r="V1612" s="150"/>
      <c r="W1612" s="150"/>
      <c r="X1612" s="150"/>
      <c r="Y1612" s="150"/>
    </row>
    <row r="1613">
      <c r="A1613" s="150"/>
      <c r="B1613" s="156"/>
      <c r="C1613" s="157"/>
      <c r="D1613" s="150"/>
      <c r="E1613" s="150"/>
      <c r="F1613" s="150"/>
      <c r="G1613" s="150"/>
      <c r="H1613" s="150"/>
      <c r="I1613" s="150"/>
      <c r="J1613" s="150"/>
      <c r="K1613" s="150"/>
      <c r="L1613" s="150"/>
      <c r="M1613" s="150"/>
      <c r="N1613" s="150"/>
      <c r="O1613" s="150"/>
      <c r="P1613" s="150"/>
      <c r="Q1613" s="150"/>
      <c r="R1613" s="150"/>
      <c r="S1613" s="150"/>
      <c r="T1613" s="150"/>
      <c r="U1613" s="150"/>
      <c r="V1613" s="150"/>
      <c r="W1613" s="150"/>
      <c r="X1613" s="150"/>
      <c r="Y1613" s="150"/>
    </row>
    <row r="1614">
      <c r="A1614" s="150"/>
      <c r="B1614" s="156"/>
      <c r="C1614" s="157"/>
      <c r="D1614" s="150"/>
      <c r="E1614" s="150"/>
      <c r="F1614" s="150"/>
      <c r="G1614" s="150"/>
      <c r="H1614" s="150"/>
      <c r="I1614" s="150"/>
      <c r="J1614" s="150"/>
      <c r="K1614" s="150"/>
      <c r="L1614" s="150"/>
      <c r="M1614" s="150"/>
      <c r="N1614" s="150"/>
      <c r="O1614" s="150"/>
      <c r="P1614" s="150"/>
      <c r="Q1614" s="150"/>
      <c r="R1614" s="150"/>
      <c r="S1614" s="150"/>
      <c r="T1614" s="150"/>
      <c r="U1614" s="150"/>
      <c r="V1614" s="150"/>
      <c r="W1614" s="150"/>
      <c r="X1614" s="150"/>
      <c r="Y1614" s="150"/>
    </row>
    <row r="1615">
      <c r="A1615" s="150"/>
      <c r="B1615" s="156"/>
      <c r="C1615" s="157"/>
      <c r="D1615" s="150"/>
      <c r="E1615" s="150"/>
      <c r="F1615" s="150"/>
      <c r="G1615" s="150"/>
      <c r="H1615" s="150"/>
      <c r="I1615" s="150"/>
      <c r="J1615" s="150"/>
      <c r="K1615" s="150"/>
      <c r="L1615" s="150"/>
      <c r="M1615" s="150"/>
      <c r="N1615" s="150"/>
      <c r="O1615" s="150"/>
      <c r="P1615" s="150"/>
      <c r="Q1615" s="150"/>
      <c r="R1615" s="150"/>
      <c r="S1615" s="150"/>
      <c r="T1615" s="150"/>
      <c r="U1615" s="150"/>
      <c r="V1615" s="150"/>
      <c r="W1615" s="150"/>
      <c r="X1615" s="150"/>
      <c r="Y1615" s="150"/>
    </row>
    <row r="1616">
      <c r="A1616" s="150"/>
      <c r="B1616" s="156"/>
      <c r="C1616" s="157"/>
      <c r="D1616" s="150"/>
      <c r="E1616" s="150"/>
      <c r="F1616" s="150"/>
      <c r="G1616" s="150"/>
      <c r="H1616" s="150"/>
      <c r="I1616" s="150"/>
      <c r="J1616" s="150"/>
      <c r="K1616" s="150"/>
      <c r="L1616" s="150"/>
      <c r="M1616" s="150"/>
      <c r="N1616" s="150"/>
      <c r="O1616" s="150"/>
      <c r="P1616" s="150"/>
      <c r="Q1616" s="150"/>
      <c r="R1616" s="150"/>
      <c r="S1616" s="150"/>
      <c r="T1616" s="150"/>
      <c r="U1616" s="150"/>
      <c r="V1616" s="150"/>
      <c r="W1616" s="150"/>
      <c r="X1616" s="150"/>
      <c r="Y1616" s="150"/>
    </row>
    <row r="1617">
      <c r="A1617" s="150"/>
      <c r="B1617" s="156"/>
      <c r="C1617" s="157"/>
      <c r="D1617" s="150"/>
      <c r="E1617" s="150"/>
      <c r="F1617" s="150"/>
      <c r="G1617" s="150"/>
      <c r="H1617" s="150"/>
      <c r="I1617" s="150"/>
      <c r="J1617" s="150"/>
      <c r="K1617" s="150"/>
      <c r="L1617" s="150"/>
      <c r="M1617" s="150"/>
      <c r="N1617" s="150"/>
      <c r="O1617" s="150"/>
      <c r="P1617" s="150"/>
      <c r="Q1617" s="150"/>
      <c r="R1617" s="150"/>
      <c r="S1617" s="150"/>
      <c r="T1617" s="150"/>
      <c r="U1617" s="150"/>
      <c r="V1617" s="150"/>
      <c r="W1617" s="150"/>
      <c r="X1617" s="150"/>
      <c r="Y1617" s="150"/>
    </row>
    <row r="1618">
      <c r="A1618" s="150"/>
      <c r="B1618" s="156"/>
      <c r="C1618" s="157"/>
      <c r="D1618" s="150"/>
      <c r="E1618" s="150"/>
      <c r="F1618" s="150"/>
      <c r="G1618" s="150"/>
      <c r="H1618" s="150"/>
      <c r="I1618" s="150"/>
      <c r="J1618" s="150"/>
      <c r="K1618" s="150"/>
      <c r="L1618" s="150"/>
      <c r="M1618" s="150"/>
      <c r="N1618" s="150"/>
      <c r="O1618" s="150"/>
      <c r="P1618" s="150"/>
      <c r="Q1618" s="150"/>
      <c r="R1618" s="150"/>
      <c r="S1618" s="150"/>
      <c r="T1618" s="150"/>
      <c r="U1618" s="150"/>
      <c r="V1618" s="150"/>
      <c r="W1618" s="150"/>
      <c r="X1618" s="150"/>
      <c r="Y1618" s="150"/>
    </row>
    <row r="1619">
      <c r="A1619" s="150"/>
      <c r="B1619" s="156"/>
      <c r="C1619" s="157"/>
      <c r="D1619" s="150"/>
      <c r="E1619" s="150"/>
      <c r="F1619" s="150"/>
      <c r="G1619" s="150"/>
      <c r="H1619" s="150"/>
      <c r="I1619" s="150"/>
      <c r="J1619" s="150"/>
      <c r="K1619" s="150"/>
      <c r="L1619" s="150"/>
      <c r="M1619" s="150"/>
      <c r="N1619" s="150"/>
      <c r="O1619" s="150"/>
      <c r="P1619" s="150"/>
      <c r="Q1619" s="150"/>
      <c r="R1619" s="150"/>
      <c r="S1619" s="150"/>
      <c r="T1619" s="150"/>
      <c r="U1619" s="150"/>
      <c r="V1619" s="150"/>
      <c r="W1619" s="150"/>
      <c r="X1619" s="150"/>
      <c r="Y1619" s="150"/>
    </row>
    <row r="1620">
      <c r="A1620" s="150"/>
      <c r="B1620" s="156"/>
      <c r="C1620" s="157"/>
      <c r="D1620" s="150"/>
      <c r="E1620" s="150"/>
      <c r="F1620" s="150"/>
      <c r="G1620" s="150"/>
      <c r="H1620" s="150"/>
      <c r="I1620" s="150"/>
      <c r="J1620" s="150"/>
      <c r="K1620" s="150"/>
      <c r="L1620" s="150"/>
      <c r="M1620" s="150"/>
      <c r="N1620" s="150"/>
      <c r="O1620" s="150"/>
      <c r="P1620" s="150"/>
      <c r="Q1620" s="150"/>
      <c r="R1620" s="150"/>
      <c r="S1620" s="150"/>
      <c r="T1620" s="150"/>
      <c r="U1620" s="150"/>
      <c r="V1620" s="150"/>
      <c r="W1620" s="150"/>
      <c r="X1620" s="150"/>
      <c r="Y1620" s="150"/>
    </row>
    <row r="1621">
      <c r="A1621" s="150"/>
      <c r="B1621" s="156"/>
      <c r="C1621" s="157"/>
      <c r="D1621" s="150"/>
      <c r="E1621" s="150"/>
      <c r="F1621" s="150"/>
      <c r="G1621" s="150"/>
      <c r="H1621" s="150"/>
      <c r="I1621" s="150"/>
      <c r="J1621" s="150"/>
      <c r="K1621" s="150"/>
      <c r="L1621" s="150"/>
      <c r="M1621" s="150"/>
      <c r="N1621" s="150"/>
      <c r="O1621" s="150"/>
      <c r="P1621" s="150"/>
      <c r="Q1621" s="150"/>
      <c r="R1621" s="150"/>
      <c r="S1621" s="150"/>
      <c r="T1621" s="150"/>
      <c r="U1621" s="150"/>
      <c r="V1621" s="150"/>
      <c r="W1621" s="150"/>
      <c r="X1621" s="150"/>
      <c r="Y1621" s="150"/>
    </row>
    <row r="1622">
      <c r="A1622" s="150"/>
      <c r="B1622" s="156"/>
      <c r="C1622" s="157"/>
      <c r="D1622" s="150"/>
      <c r="E1622" s="150"/>
      <c r="F1622" s="150"/>
      <c r="G1622" s="150"/>
      <c r="H1622" s="150"/>
      <c r="I1622" s="150"/>
      <c r="J1622" s="150"/>
      <c r="K1622" s="150"/>
      <c r="L1622" s="150"/>
      <c r="M1622" s="150"/>
      <c r="N1622" s="150"/>
      <c r="O1622" s="150"/>
      <c r="P1622" s="150"/>
      <c r="Q1622" s="150"/>
      <c r="R1622" s="150"/>
      <c r="S1622" s="150"/>
      <c r="T1622" s="150"/>
      <c r="U1622" s="150"/>
      <c r="V1622" s="150"/>
      <c r="W1622" s="150"/>
      <c r="X1622" s="150"/>
      <c r="Y1622" s="150"/>
    </row>
    <row r="1623">
      <c r="A1623" s="150"/>
      <c r="B1623" s="156"/>
      <c r="C1623" s="157"/>
      <c r="D1623" s="150"/>
      <c r="E1623" s="150"/>
      <c r="F1623" s="150"/>
      <c r="G1623" s="150"/>
      <c r="H1623" s="150"/>
      <c r="I1623" s="150"/>
      <c r="J1623" s="150"/>
      <c r="K1623" s="150"/>
      <c r="L1623" s="150"/>
      <c r="M1623" s="150"/>
      <c r="N1623" s="150"/>
      <c r="O1623" s="150"/>
      <c r="P1623" s="150"/>
      <c r="Q1623" s="150"/>
      <c r="R1623" s="150"/>
      <c r="S1623" s="150"/>
      <c r="T1623" s="150"/>
      <c r="U1623" s="150"/>
      <c r="V1623" s="150"/>
      <c r="W1623" s="150"/>
      <c r="X1623" s="150"/>
      <c r="Y1623" s="150"/>
    </row>
    <row r="1624">
      <c r="A1624" s="150"/>
      <c r="B1624" s="156"/>
      <c r="C1624" s="157"/>
      <c r="D1624" s="150"/>
      <c r="E1624" s="150"/>
      <c r="F1624" s="150"/>
      <c r="G1624" s="150"/>
      <c r="H1624" s="150"/>
      <c r="I1624" s="150"/>
      <c r="J1624" s="150"/>
      <c r="K1624" s="150"/>
      <c r="L1624" s="150"/>
      <c r="M1624" s="150"/>
      <c r="N1624" s="150"/>
      <c r="O1624" s="150"/>
      <c r="P1624" s="150"/>
      <c r="Q1624" s="150"/>
      <c r="R1624" s="150"/>
      <c r="S1624" s="150"/>
      <c r="T1624" s="150"/>
      <c r="U1624" s="150"/>
      <c r="V1624" s="150"/>
      <c r="W1624" s="150"/>
      <c r="X1624" s="150"/>
      <c r="Y1624" s="150"/>
    </row>
    <row r="1625">
      <c r="A1625" s="150"/>
      <c r="B1625" s="156"/>
      <c r="C1625" s="157"/>
      <c r="D1625" s="150"/>
      <c r="E1625" s="150"/>
      <c r="F1625" s="150"/>
      <c r="G1625" s="150"/>
      <c r="H1625" s="150"/>
      <c r="I1625" s="150"/>
      <c r="J1625" s="150"/>
      <c r="K1625" s="150"/>
      <c r="L1625" s="150"/>
      <c r="M1625" s="150"/>
      <c r="N1625" s="150"/>
      <c r="O1625" s="150"/>
      <c r="P1625" s="150"/>
      <c r="Q1625" s="150"/>
      <c r="R1625" s="150"/>
      <c r="S1625" s="150"/>
      <c r="T1625" s="150"/>
      <c r="U1625" s="150"/>
      <c r="V1625" s="150"/>
      <c r="W1625" s="150"/>
      <c r="X1625" s="150"/>
      <c r="Y1625" s="150"/>
    </row>
    <row r="1626">
      <c r="A1626" s="150"/>
      <c r="B1626" s="156"/>
      <c r="C1626" s="157"/>
      <c r="D1626" s="150"/>
      <c r="E1626" s="150"/>
      <c r="F1626" s="150"/>
      <c r="G1626" s="150"/>
      <c r="H1626" s="150"/>
      <c r="I1626" s="150"/>
      <c r="J1626" s="150"/>
      <c r="K1626" s="150"/>
      <c r="L1626" s="150"/>
      <c r="M1626" s="150"/>
      <c r="N1626" s="150"/>
      <c r="O1626" s="150"/>
      <c r="P1626" s="150"/>
      <c r="Q1626" s="150"/>
      <c r="R1626" s="150"/>
      <c r="S1626" s="150"/>
      <c r="T1626" s="150"/>
      <c r="U1626" s="150"/>
      <c r="V1626" s="150"/>
      <c r="W1626" s="150"/>
      <c r="X1626" s="150"/>
      <c r="Y1626" s="150"/>
    </row>
    <row r="1627">
      <c r="A1627" s="150"/>
      <c r="B1627" s="156"/>
      <c r="C1627" s="157"/>
      <c r="D1627" s="150"/>
      <c r="E1627" s="150"/>
      <c r="F1627" s="150"/>
      <c r="G1627" s="150"/>
      <c r="H1627" s="150"/>
      <c r="I1627" s="150"/>
      <c r="J1627" s="150"/>
      <c r="K1627" s="150"/>
      <c r="L1627" s="150"/>
      <c r="M1627" s="150"/>
      <c r="N1627" s="150"/>
      <c r="O1627" s="150"/>
      <c r="P1627" s="150"/>
      <c r="Q1627" s="150"/>
      <c r="R1627" s="150"/>
      <c r="S1627" s="150"/>
      <c r="T1627" s="150"/>
      <c r="U1627" s="150"/>
      <c r="V1627" s="150"/>
      <c r="W1627" s="150"/>
      <c r="X1627" s="150"/>
      <c r="Y1627" s="150"/>
    </row>
    <row r="1628">
      <c r="A1628" s="150"/>
      <c r="B1628" s="156"/>
      <c r="C1628" s="157"/>
      <c r="D1628" s="150"/>
      <c r="E1628" s="150"/>
      <c r="F1628" s="150"/>
      <c r="G1628" s="150"/>
      <c r="H1628" s="150"/>
      <c r="I1628" s="150"/>
      <c r="J1628" s="150"/>
      <c r="K1628" s="150"/>
      <c r="L1628" s="150"/>
      <c r="M1628" s="150"/>
      <c r="N1628" s="150"/>
      <c r="O1628" s="150"/>
      <c r="P1628" s="150"/>
      <c r="Q1628" s="150"/>
      <c r="R1628" s="150"/>
      <c r="S1628" s="150"/>
      <c r="T1628" s="150"/>
      <c r="U1628" s="150"/>
      <c r="V1628" s="150"/>
      <c r="W1628" s="150"/>
      <c r="X1628" s="150"/>
      <c r="Y1628" s="150"/>
    </row>
    <row r="1629">
      <c r="A1629" s="150"/>
      <c r="B1629" s="156"/>
      <c r="C1629" s="157"/>
      <c r="D1629" s="150"/>
      <c r="E1629" s="150"/>
      <c r="F1629" s="150"/>
      <c r="G1629" s="150"/>
      <c r="H1629" s="150"/>
      <c r="I1629" s="150"/>
      <c r="J1629" s="150"/>
      <c r="K1629" s="150"/>
      <c r="L1629" s="150"/>
      <c r="M1629" s="150"/>
      <c r="N1629" s="150"/>
      <c r="O1629" s="150"/>
      <c r="P1629" s="150"/>
      <c r="Q1629" s="150"/>
      <c r="R1629" s="150"/>
      <c r="S1629" s="150"/>
      <c r="T1629" s="150"/>
      <c r="U1629" s="150"/>
      <c r="V1629" s="150"/>
      <c r="W1629" s="150"/>
      <c r="X1629" s="150"/>
      <c r="Y1629" s="150"/>
    </row>
    <row r="1630">
      <c r="A1630" s="150"/>
      <c r="B1630" s="156"/>
      <c r="C1630" s="157"/>
      <c r="D1630" s="150"/>
      <c r="E1630" s="150"/>
      <c r="F1630" s="150"/>
      <c r="G1630" s="150"/>
      <c r="H1630" s="150"/>
      <c r="I1630" s="150"/>
      <c r="J1630" s="150"/>
      <c r="K1630" s="150"/>
      <c r="L1630" s="150"/>
      <c r="M1630" s="150"/>
      <c r="N1630" s="150"/>
      <c r="O1630" s="150"/>
      <c r="P1630" s="150"/>
      <c r="Q1630" s="150"/>
      <c r="R1630" s="150"/>
      <c r="S1630" s="150"/>
      <c r="T1630" s="150"/>
      <c r="U1630" s="150"/>
      <c r="V1630" s="150"/>
      <c r="W1630" s="150"/>
      <c r="X1630" s="150"/>
      <c r="Y1630" s="150"/>
    </row>
    <row r="1631">
      <c r="A1631" s="150"/>
      <c r="B1631" s="156"/>
      <c r="C1631" s="157"/>
      <c r="D1631" s="150"/>
      <c r="E1631" s="150"/>
      <c r="F1631" s="150"/>
      <c r="G1631" s="150"/>
      <c r="H1631" s="150"/>
      <c r="I1631" s="150"/>
      <c r="J1631" s="150"/>
      <c r="K1631" s="150"/>
      <c r="L1631" s="150"/>
      <c r="M1631" s="150"/>
      <c r="N1631" s="150"/>
      <c r="O1631" s="150"/>
      <c r="P1631" s="150"/>
      <c r="Q1631" s="150"/>
      <c r="R1631" s="150"/>
      <c r="S1631" s="150"/>
      <c r="T1631" s="150"/>
      <c r="U1631" s="150"/>
      <c r="V1631" s="150"/>
      <c r="W1631" s="150"/>
      <c r="X1631" s="150"/>
      <c r="Y1631" s="150"/>
    </row>
    <row r="1632">
      <c r="A1632" s="150"/>
      <c r="B1632" s="156"/>
      <c r="C1632" s="157"/>
      <c r="D1632" s="150"/>
      <c r="E1632" s="150"/>
      <c r="F1632" s="150"/>
      <c r="G1632" s="150"/>
      <c r="H1632" s="150"/>
      <c r="I1632" s="150"/>
      <c r="J1632" s="150"/>
      <c r="K1632" s="150"/>
      <c r="L1632" s="150"/>
      <c r="M1632" s="150"/>
      <c r="N1632" s="150"/>
      <c r="O1632" s="150"/>
      <c r="P1632" s="150"/>
      <c r="Q1632" s="150"/>
      <c r="R1632" s="150"/>
      <c r="S1632" s="150"/>
      <c r="T1632" s="150"/>
      <c r="U1632" s="150"/>
      <c r="V1632" s="150"/>
      <c r="W1632" s="150"/>
      <c r="X1632" s="150"/>
      <c r="Y1632" s="150"/>
    </row>
    <row r="1633">
      <c r="A1633" s="150"/>
      <c r="B1633" s="156"/>
      <c r="C1633" s="157"/>
      <c r="D1633" s="150"/>
      <c r="E1633" s="150"/>
      <c r="F1633" s="150"/>
      <c r="G1633" s="150"/>
      <c r="H1633" s="150"/>
      <c r="I1633" s="150"/>
      <c r="J1633" s="150"/>
      <c r="K1633" s="150"/>
      <c r="L1633" s="150"/>
      <c r="M1633" s="150"/>
      <c r="N1633" s="150"/>
      <c r="O1633" s="150"/>
      <c r="P1633" s="150"/>
      <c r="Q1633" s="150"/>
      <c r="R1633" s="150"/>
      <c r="S1633" s="150"/>
      <c r="T1633" s="150"/>
      <c r="U1633" s="150"/>
      <c r="V1633" s="150"/>
      <c r="W1633" s="150"/>
      <c r="X1633" s="150"/>
      <c r="Y1633" s="150"/>
    </row>
    <row r="1634">
      <c r="A1634" s="150"/>
      <c r="B1634" s="156"/>
      <c r="C1634" s="157"/>
      <c r="D1634" s="150"/>
      <c r="E1634" s="150"/>
      <c r="F1634" s="150"/>
      <c r="G1634" s="150"/>
      <c r="H1634" s="150"/>
      <c r="I1634" s="150"/>
      <c r="J1634" s="150"/>
      <c r="K1634" s="150"/>
      <c r="L1634" s="150"/>
      <c r="M1634" s="150"/>
      <c r="N1634" s="150"/>
      <c r="O1634" s="150"/>
      <c r="P1634" s="150"/>
      <c r="Q1634" s="150"/>
      <c r="R1634" s="150"/>
      <c r="S1634" s="150"/>
      <c r="T1634" s="150"/>
      <c r="U1634" s="150"/>
      <c r="V1634" s="150"/>
      <c r="W1634" s="150"/>
      <c r="X1634" s="150"/>
      <c r="Y1634" s="150"/>
    </row>
    <row r="1635">
      <c r="A1635" s="150"/>
      <c r="B1635" s="156"/>
      <c r="C1635" s="157"/>
      <c r="D1635" s="150"/>
      <c r="E1635" s="150"/>
      <c r="F1635" s="150"/>
      <c r="G1635" s="150"/>
      <c r="H1635" s="150"/>
      <c r="I1635" s="150"/>
      <c r="J1635" s="150"/>
      <c r="K1635" s="150"/>
      <c r="L1635" s="150"/>
      <c r="M1635" s="150"/>
      <c r="N1635" s="150"/>
      <c r="O1635" s="150"/>
      <c r="P1635" s="150"/>
      <c r="Q1635" s="150"/>
      <c r="R1635" s="150"/>
      <c r="S1635" s="150"/>
      <c r="T1635" s="150"/>
      <c r="U1635" s="150"/>
      <c r="V1635" s="150"/>
      <c r="W1635" s="150"/>
      <c r="X1635" s="150"/>
      <c r="Y1635" s="150"/>
    </row>
    <row r="1636">
      <c r="A1636" s="150"/>
      <c r="B1636" s="156"/>
      <c r="C1636" s="157"/>
      <c r="D1636" s="150"/>
      <c r="E1636" s="150"/>
      <c r="F1636" s="150"/>
      <c r="G1636" s="150"/>
      <c r="H1636" s="150"/>
      <c r="I1636" s="150"/>
      <c r="J1636" s="150"/>
      <c r="K1636" s="150"/>
      <c r="L1636" s="150"/>
      <c r="M1636" s="150"/>
      <c r="N1636" s="150"/>
      <c r="O1636" s="150"/>
      <c r="P1636" s="150"/>
      <c r="Q1636" s="150"/>
      <c r="R1636" s="150"/>
      <c r="S1636" s="150"/>
      <c r="T1636" s="150"/>
      <c r="U1636" s="150"/>
      <c r="V1636" s="150"/>
      <c r="W1636" s="150"/>
      <c r="X1636" s="150"/>
      <c r="Y1636" s="150"/>
    </row>
    <row r="1637">
      <c r="A1637" s="150"/>
      <c r="B1637" s="156"/>
      <c r="C1637" s="157"/>
      <c r="D1637" s="150"/>
      <c r="E1637" s="150"/>
      <c r="F1637" s="150"/>
      <c r="G1637" s="150"/>
      <c r="H1637" s="150"/>
      <c r="I1637" s="150"/>
      <c r="J1637" s="150"/>
      <c r="K1637" s="150"/>
      <c r="L1637" s="150"/>
      <c r="M1637" s="150"/>
      <c r="N1637" s="150"/>
      <c r="O1637" s="150"/>
      <c r="P1637" s="150"/>
      <c r="Q1637" s="150"/>
      <c r="R1637" s="150"/>
      <c r="S1637" s="150"/>
      <c r="T1637" s="150"/>
      <c r="U1637" s="150"/>
      <c r="V1637" s="150"/>
      <c r="W1637" s="150"/>
      <c r="X1637" s="150"/>
      <c r="Y1637" s="150"/>
    </row>
    <row r="1638">
      <c r="A1638" s="150"/>
      <c r="B1638" s="156"/>
      <c r="C1638" s="157"/>
      <c r="D1638" s="150"/>
      <c r="E1638" s="150"/>
      <c r="F1638" s="150"/>
      <c r="G1638" s="150"/>
      <c r="H1638" s="150"/>
      <c r="I1638" s="150"/>
      <c r="J1638" s="150"/>
      <c r="K1638" s="150"/>
      <c r="L1638" s="150"/>
      <c r="M1638" s="150"/>
      <c r="N1638" s="150"/>
      <c r="O1638" s="150"/>
      <c r="P1638" s="150"/>
      <c r="Q1638" s="150"/>
      <c r="R1638" s="150"/>
      <c r="S1638" s="150"/>
      <c r="T1638" s="150"/>
      <c r="U1638" s="150"/>
      <c r="V1638" s="150"/>
      <c r="W1638" s="150"/>
      <c r="X1638" s="150"/>
      <c r="Y1638" s="150"/>
    </row>
    <row r="1639">
      <c r="A1639" s="150"/>
      <c r="B1639" s="156"/>
      <c r="C1639" s="157"/>
      <c r="D1639" s="150"/>
      <c r="E1639" s="150"/>
      <c r="F1639" s="150"/>
      <c r="G1639" s="150"/>
      <c r="H1639" s="150"/>
      <c r="I1639" s="150"/>
      <c r="J1639" s="150"/>
      <c r="K1639" s="150"/>
      <c r="L1639" s="150"/>
      <c r="M1639" s="150"/>
      <c r="N1639" s="150"/>
      <c r="O1639" s="150"/>
      <c r="P1639" s="150"/>
      <c r="Q1639" s="150"/>
      <c r="R1639" s="150"/>
      <c r="S1639" s="150"/>
      <c r="T1639" s="150"/>
      <c r="U1639" s="150"/>
      <c r="V1639" s="150"/>
      <c r="W1639" s="150"/>
      <c r="X1639" s="150"/>
      <c r="Y1639" s="150"/>
    </row>
    <row r="1640">
      <c r="A1640" s="150"/>
      <c r="B1640" s="156"/>
      <c r="C1640" s="157"/>
      <c r="D1640" s="150"/>
      <c r="E1640" s="150"/>
      <c r="F1640" s="150"/>
      <c r="G1640" s="150"/>
      <c r="H1640" s="150"/>
      <c r="I1640" s="150"/>
      <c r="J1640" s="150"/>
      <c r="K1640" s="150"/>
      <c r="L1640" s="150"/>
      <c r="M1640" s="150"/>
      <c r="N1640" s="150"/>
      <c r="O1640" s="150"/>
      <c r="P1640" s="150"/>
      <c r="Q1640" s="150"/>
      <c r="R1640" s="150"/>
      <c r="S1640" s="150"/>
      <c r="T1640" s="150"/>
      <c r="U1640" s="150"/>
      <c r="V1640" s="150"/>
      <c r="W1640" s="150"/>
      <c r="X1640" s="150"/>
      <c r="Y1640" s="150"/>
    </row>
    <row r="1641">
      <c r="A1641" s="150"/>
      <c r="B1641" s="156"/>
      <c r="C1641" s="157"/>
      <c r="D1641" s="150"/>
      <c r="E1641" s="150"/>
      <c r="F1641" s="150"/>
      <c r="G1641" s="150"/>
      <c r="H1641" s="150"/>
      <c r="I1641" s="150"/>
      <c r="J1641" s="150"/>
      <c r="K1641" s="150"/>
      <c r="L1641" s="150"/>
      <c r="M1641" s="150"/>
      <c r="N1641" s="150"/>
      <c r="O1641" s="150"/>
      <c r="P1641" s="150"/>
      <c r="Q1641" s="150"/>
      <c r="R1641" s="150"/>
      <c r="S1641" s="150"/>
      <c r="T1641" s="150"/>
      <c r="U1641" s="150"/>
      <c r="V1641" s="150"/>
      <c r="W1641" s="150"/>
      <c r="X1641" s="150"/>
      <c r="Y1641" s="150"/>
    </row>
    <row r="1642">
      <c r="A1642" s="150"/>
      <c r="B1642" s="156"/>
      <c r="C1642" s="157"/>
      <c r="D1642" s="150"/>
      <c r="E1642" s="150"/>
      <c r="F1642" s="150"/>
      <c r="G1642" s="150"/>
      <c r="H1642" s="150"/>
      <c r="I1642" s="150"/>
      <c r="J1642" s="150"/>
      <c r="K1642" s="150"/>
      <c r="L1642" s="150"/>
      <c r="M1642" s="150"/>
      <c r="N1642" s="150"/>
      <c r="O1642" s="150"/>
      <c r="P1642" s="150"/>
      <c r="Q1642" s="150"/>
      <c r="R1642" s="150"/>
      <c r="S1642" s="150"/>
      <c r="T1642" s="150"/>
      <c r="U1642" s="150"/>
      <c r="V1642" s="150"/>
      <c r="W1642" s="150"/>
      <c r="X1642" s="150"/>
      <c r="Y1642" s="150"/>
    </row>
    <row r="1643">
      <c r="A1643" s="150"/>
      <c r="B1643" s="156"/>
      <c r="C1643" s="157"/>
      <c r="D1643" s="150"/>
      <c r="E1643" s="150"/>
      <c r="F1643" s="150"/>
      <c r="G1643" s="150"/>
      <c r="H1643" s="150"/>
      <c r="I1643" s="150"/>
      <c r="J1643" s="150"/>
      <c r="K1643" s="150"/>
      <c r="L1643" s="150"/>
      <c r="M1643" s="150"/>
      <c r="N1643" s="150"/>
      <c r="O1643" s="150"/>
      <c r="P1643" s="150"/>
      <c r="Q1643" s="150"/>
      <c r="R1643" s="150"/>
      <c r="S1643" s="150"/>
      <c r="T1643" s="150"/>
      <c r="U1643" s="150"/>
      <c r="V1643" s="150"/>
      <c r="W1643" s="150"/>
      <c r="X1643" s="150"/>
      <c r="Y1643" s="150"/>
    </row>
    <row r="1644">
      <c r="A1644" s="150"/>
      <c r="B1644" s="156"/>
      <c r="C1644" s="157"/>
      <c r="D1644" s="150"/>
      <c r="E1644" s="150"/>
      <c r="F1644" s="150"/>
      <c r="G1644" s="150"/>
      <c r="H1644" s="150"/>
      <c r="I1644" s="150"/>
      <c r="J1644" s="150"/>
      <c r="K1644" s="150"/>
      <c r="L1644" s="150"/>
      <c r="M1644" s="150"/>
      <c r="N1644" s="150"/>
      <c r="O1644" s="150"/>
      <c r="P1644" s="150"/>
      <c r="Q1644" s="150"/>
      <c r="R1644" s="150"/>
      <c r="S1644" s="150"/>
      <c r="T1644" s="150"/>
      <c r="U1644" s="150"/>
      <c r="V1644" s="150"/>
      <c r="W1644" s="150"/>
      <c r="X1644" s="150"/>
      <c r="Y1644" s="150"/>
    </row>
    <row r="1645">
      <c r="A1645" s="150"/>
      <c r="B1645" s="156"/>
      <c r="C1645" s="157"/>
      <c r="D1645" s="150"/>
      <c r="E1645" s="150"/>
      <c r="F1645" s="150"/>
      <c r="G1645" s="150"/>
      <c r="H1645" s="150"/>
      <c r="I1645" s="150"/>
      <c r="J1645" s="150"/>
      <c r="K1645" s="150"/>
      <c r="L1645" s="150"/>
      <c r="M1645" s="150"/>
      <c r="N1645" s="150"/>
      <c r="O1645" s="150"/>
      <c r="P1645" s="150"/>
      <c r="Q1645" s="150"/>
      <c r="R1645" s="150"/>
      <c r="S1645" s="150"/>
      <c r="T1645" s="150"/>
      <c r="U1645" s="150"/>
      <c r="V1645" s="150"/>
      <c r="W1645" s="150"/>
      <c r="X1645" s="150"/>
      <c r="Y1645" s="150"/>
    </row>
    <row r="1646">
      <c r="A1646" s="150"/>
      <c r="B1646" s="156"/>
      <c r="C1646" s="157"/>
      <c r="D1646" s="150"/>
      <c r="E1646" s="150"/>
      <c r="F1646" s="150"/>
      <c r="G1646" s="150"/>
      <c r="H1646" s="150"/>
      <c r="I1646" s="150"/>
      <c r="J1646" s="150"/>
      <c r="K1646" s="150"/>
      <c r="L1646" s="150"/>
      <c r="M1646" s="150"/>
      <c r="N1646" s="150"/>
      <c r="O1646" s="150"/>
      <c r="P1646" s="150"/>
      <c r="Q1646" s="150"/>
      <c r="R1646" s="150"/>
      <c r="S1646" s="150"/>
      <c r="T1646" s="150"/>
      <c r="U1646" s="150"/>
      <c r="V1646" s="150"/>
      <c r="W1646" s="150"/>
      <c r="X1646" s="150"/>
      <c r="Y1646" s="150"/>
    </row>
    <row r="1647">
      <c r="A1647" s="150"/>
      <c r="B1647" s="156"/>
      <c r="C1647" s="157"/>
      <c r="D1647" s="150"/>
      <c r="E1647" s="150"/>
      <c r="F1647" s="150"/>
      <c r="G1647" s="150"/>
      <c r="H1647" s="150"/>
      <c r="I1647" s="150"/>
      <c r="J1647" s="150"/>
      <c r="K1647" s="150"/>
      <c r="L1647" s="150"/>
      <c r="M1647" s="150"/>
      <c r="N1647" s="150"/>
      <c r="O1647" s="150"/>
      <c r="P1647" s="150"/>
      <c r="Q1647" s="150"/>
      <c r="R1647" s="150"/>
      <c r="S1647" s="150"/>
      <c r="T1647" s="150"/>
      <c r="U1647" s="150"/>
      <c r="V1647" s="150"/>
      <c r="W1647" s="150"/>
      <c r="X1647" s="150"/>
      <c r="Y1647" s="150"/>
    </row>
    <row r="1648">
      <c r="A1648" s="150"/>
      <c r="B1648" s="156"/>
      <c r="C1648" s="157"/>
      <c r="D1648" s="150"/>
      <c r="E1648" s="150"/>
      <c r="F1648" s="150"/>
      <c r="G1648" s="150"/>
      <c r="H1648" s="150"/>
      <c r="I1648" s="150"/>
      <c r="J1648" s="150"/>
      <c r="K1648" s="150"/>
      <c r="L1648" s="150"/>
      <c r="M1648" s="150"/>
      <c r="N1648" s="150"/>
      <c r="O1648" s="150"/>
      <c r="P1648" s="150"/>
      <c r="Q1648" s="150"/>
      <c r="R1648" s="150"/>
      <c r="S1648" s="150"/>
      <c r="T1648" s="150"/>
      <c r="U1648" s="150"/>
      <c r="V1648" s="150"/>
      <c r="W1648" s="150"/>
      <c r="X1648" s="150"/>
      <c r="Y1648" s="150"/>
    </row>
    <row r="1649">
      <c r="A1649" s="150"/>
      <c r="B1649" s="156"/>
      <c r="C1649" s="157"/>
      <c r="D1649" s="150"/>
      <c r="E1649" s="150"/>
      <c r="F1649" s="150"/>
      <c r="G1649" s="150"/>
      <c r="H1649" s="150"/>
      <c r="I1649" s="150"/>
      <c r="J1649" s="150"/>
      <c r="K1649" s="150"/>
      <c r="L1649" s="150"/>
      <c r="M1649" s="150"/>
      <c r="N1649" s="150"/>
      <c r="O1649" s="150"/>
      <c r="P1649" s="150"/>
      <c r="Q1649" s="150"/>
      <c r="R1649" s="150"/>
      <c r="S1649" s="150"/>
      <c r="T1649" s="150"/>
      <c r="U1649" s="150"/>
      <c r="V1649" s="150"/>
      <c r="W1649" s="150"/>
      <c r="X1649" s="150"/>
      <c r="Y1649" s="150"/>
    </row>
    <row r="1650">
      <c r="A1650" s="150"/>
      <c r="B1650" s="156"/>
      <c r="C1650" s="157"/>
      <c r="D1650" s="150"/>
      <c r="E1650" s="150"/>
      <c r="F1650" s="150"/>
      <c r="G1650" s="150"/>
      <c r="H1650" s="150"/>
      <c r="I1650" s="150"/>
      <c r="J1650" s="150"/>
      <c r="K1650" s="150"/>
      <c r="L1650" s="150"/>
      <c r="M1650" s="150"/>
      <c r="N1650" s="150"/>
      <c r="O1650" s="150"/>
      <c r="P1650" s="150"/>
      <c r="Q1650" s="150"/>
      <c r="R1650" s="150"/>
      <c r="S1650" s="150"/>
      <c r="T1650" s="150"/>
      <c r="U1650" s="150"/>
      <c r="V1650" s="150"/>
      <c r="W1650" s="150"/>
      <c r="X1650" s="150"/>
      <c r="Y1650" s="150"/>
    </row>
    <row r="1651">
      <c r="A1651" s="150"/>
      <c r="B1651" s="156"/>
      <c r="C1651" s="157"/>
      <c r="D1651" s="150"/>
      <c r="E1651" s="150"/>
      <c r="F1651" s="150"/>
      <c r="G1651" s="150"/>
      <c r="H1651" s="150"/>
      <c r="I1651" s="150"/>
      <c r="J1651" s="150"/>
      <c r="K1651" s="150"/>
      <c r="L1651" s="150"/>
      <c r="M1651" s="150"/>
      <c r="N1651" s="150"/>
      <c r="O1651" s="150"/>
      <c r="P1651" s="150"/>
      <c r="Q1651" s="150"/>
      <c r="R1651" s="150"/>
      <c r="S1651" s="150"/>
      <c r="T1651" s="150"/>
      <c r="U1651" s="150"/>
      <c r="V1651" s="150"/>
      <c r="W1651" s="150"/>
      <c r="X1651" s="150"/>
      <c r="Y1651" s="150"/>
    </row>
    <row r="1652">
      <c r="A1652" s="150"/>
      <c r="B1652" s="156"/>
      <c r="C1652" s="157"/>
      <c r="D1652" s="150"/>
      <c r="E1652" s="150"/>
      <c r="F1652" s="150"/>
      <c r="G1652" s="150"/>
      <c r="H1652" s="150"/>
      <c r="I1652" s="150"/>
      <c r="J1652" s="150"/>
      <c r="K1652" s="150"/>
      <c r="L1652" s="150"/>
      <c r="M1652" s="150"/>
      <c r="N1652" s="150"/>
      <c r="O1652" s="150"/>
      <c r="P1652" s="150"/>
      <c r="Q1652" s="150"/>
      <c r="R1652" s="150"/>
      <c r="S1652" s="150"/>
      <c r="T1652" s="150"/>
      <c r="U1652" s="150"/>
      <c r="V1652" s="150"/>
      <c r="W1652" s="150"/>
      <c r="X1652" s="150"/>
      <c r="Y1652" s="150"/>
    </row>
    <row r="1653">
      <c r="A1653" s="150"/>
      <c r="B1653" s="156"/>
      <c r="C1653" s="157"/>
      <c r="D1653" s="150"/>
      <c r="E1653" s="150"/>
      <c r="F1653" s="150"/>
      <c r="G1653" s="150"/>
      <c r="H1653" s="150"/>
      <c r="I1653" s="150"/>
      <c r="J1653" s="150"/>
      <c r="K1653" s="150"/>
      <c r="L1653" s="150"/>
      <c r="M1653" s="150"/>
      <c r="N1653" s="150"/>
      <c r="O1653" s="150"/>
      <c r="P1653" s="150"/>
      <c r="Q1653" s="150"/>
      <c r="R1653" s="150"/>
      <c r="S1653" s="150"/>
      <c r="T1653" s="150"/>
      <c r="U1653" s="150"/>
      <c r="V1653" s="150"/>
      <c r="W1653" s="150"/>
      <c r="X1653" s="150"/>
      <c r="Y1653" s="150"/>
    </row>
    <row r="1654">
      <c r="A1654" s="150"/>
      <c r="B1654" s="156"/>
      <c r="C1654" s="157"/>
      <c r="D1654" s="150"/>
      <c r="E1654" s="150"/>
      <c r="F1654" s="150"/>
      <c r="G1654" s="150"/>
      <c r="H1654" s="150"/>
      <c r="I1654" s="150"/>
      <c r="J1654" s="150"/>
      <c r="K1654" s="150"/>
      <c r="L1654" s="150"/>
      <c r="M1654" s="150"/>
      <c r="N1654" s="150"/>
      <c r="O1654" s="150"/>
      <c r="P1654" s="150"/>
      <c r="Q1654" s="150"/>
      <c r="R1654" s="150"/>
      <c r="S1654" s="150"/>
      <c r="T1654" s="150"/>
      <c r="U1654" s="150"/>
      <c r="V1654" s="150"/>
      <c r="W1654" s="150"/>
      <c r="X1654" s="150"/>
      <c r="Y1654" s="150"/>
    </row>
    <row r="1655">
      <c r="A1655" s="150"/>
      <c r="B1655" s="156"/>
      <c r="C1655" s="157"/>
      <c r="D1655" s="150"/>
      <c r="E1655" s="150"/>
      <c r="F1655" s="150"/>
      <c r="G1655" s="150"/>
      <c r="H1655" s="150"/>
      <c r="I1655" s="150"/>
      <c r="J1655" s="150"/>
      <c r="K1655" s="150"/>
      <c r="L1655" s="150"/>
      <c r="M1655" s="150"/>
      <c r="N1655" s="150"/>
      <c r="O1655" s="150"/>
      <c r="P1655" s="150"/>
      <c r="Q1655" s="150"/>
      <c r="R1655" s="150"/>
      <c r="S1655" s="150"/>
      <c r="T1655" s="150"/>
      <c r="U1655" s="150"/>
      <c r="V1655" s="150"/>
      <c r="W1655" s="150"/>
      <c r="X1655" s="150"/>
      <c r="Y1655" s="150"/>
    </row>
    <row r="1656">
      <c r="A1656" s="150"/>
      <c r="B1656" s="156"/>
      <c r="C1656" s="157"/>
      <c r="D1656" s="150"/>
      <c r="E1656" s="150"/>
      <c r="F1656" s="150"/>
      <c r="G1656" s="150"/>
      <c r="H1656" s="150"/>
      <c r="I1656" s="150"/>
      <c r="J1656" s="150"/>
      <c r="K1656" s="150"/>
      <c r="L1656" s="150"/>
      <c r="M1656" s="150"/>
      <c r="N1656" s="150"/>
      <c r="O1656" s="150"/>
      <c r="P1656" s="150"/>
      <c r="Q1656" s="150"/>
      <c r="R1656" s="150"/>
      <c r="S1656" s="150"/>
      <c r="T1656" s="150"/>
      <c r="U1656" s="150"/>
      <c r="V1656" s="150"/>
      <c r="W1656" s="150"/>
      <c r="X1656" s="150"/>
      <c r="Y1656" s="150"/>
    </row>
    <row r="1657">
      <c r="A1657" s="150"/>
      <c r="B1657" s="156"/>
      <c r="C1657" s="157"/>
      <c r="D1657" s="150"/>
      <c r="E1657" s="150"/>
      <c r="F1657" s="150"/>
      <c r="G1657" s="150"/>
      <c r="H1657" s="150"/>
      <c r="I1657" s="150"/>
      <c r="J1657" s="150"/>
      <c r="K1657" s="150"/>
      <c r="L1657" s="150"/>
      <c r="M1657" s="150"/>
      <c r="N1657" s="150"/>
      <c r="O1657" s="150"/>
      <c r="P1657" s="150"/>
      <c r="Q1657" s="150"/>
      <c r="R1657" s="150"/>
      <c r="S1657" s="150"/>
      <c r="T1657" s="150"/>
      <c r="U1657" s="150"/>
      <c r="V1657" s="150"/>
      <c r="W1657" s="150"/>
      <c r="X1657" s="150"/>
      <c r="Y1657" s="150"/>
    </row>
    <row r="1658">
      <c r="A1658" s="150"/>
      <c r="B1658" s="156"/>
      <c r="C1658" s="157"/>
      <c r="D1658" s="150"/>
      <c r="E1658" s="150"/>
      <c r="F1658" s="150"/>
      <c r="G1658" s="150"/>
      <c r="H1658" s="150"/>
      <c r="I1658" s="150"/>
      <c r="J1658" s="150"/>
      <c r="K1658" s="150"/>
      <c r="L1658" s="150"/>
      <c r="M1658" s="150"/>
      <c r="N1658" s="150"/>
      <c r="O1658" s="150"/>
      <c r="P1658" s="150"/>
      <c r="Q1658" s="150"/>
      <c r="R1658" s="150"/>
      <c r="S1658" s="150"/>
      <c r="T1658" s="150"/>
      <c r="U1658" s="150"/>
      <c r="V1658" s="150"/>
      <c r="W1658" s="150"/>
      <c r="X1658" s="150"/>
      <c r="Y1658" s="150"/>
    </row>
    <row r="1659">
      <c r="A1659" s="150"/>
      <c r="B1659" s="156"/>
      <c r="C1659" s="157"/>
      <c r="D1659" s="150"/>
      <c r="E1659" s="150"/>
      <c r="F1659" s="150"/>
      <c r="G1659" s="150"/>
      <c r="H1659" s="150"/>
      <c r="I1659" s="150"/>
      <c r="J1659" s="150"/>
      <c r="K1659" s="150"/>
      <c r="L1659" s="150"/>
      <c r="M1659" s="150"/>
      <c r="N1659" s="150"/>
      <c r="O1659" s="150"/>
      <c r="P1659" s="150"/>
      <c r="Q1659" s="150"/>
      <c r="R1659" s="150"/>
      <c r="S1659" s="150"/>
      <c r="T1659" s="150"/>
      <c r="U1659" s="150"/>
      <c r="V1659" s="150"/>
      <c r="W1659" s="150"/>
      <c r="X1659" s="150"/>
      <c r="Y1659" s="150"/>
    </row>
    <row r="1660">
      <c r="A1660" s="150"/>
      <c r="B1660" s="156"/>
      <c r="C1660" s="157"/>
      <c r="D1660" s="150"/>
      <c r="E1660" s="150"/>
      <c r="F1660" s="150"/>
      <c r="G1660" s="150"/>
      <c r="H1660" s="150"/>
      <c r="I1660" s="150"/>
      <c r="J1660" s="150"/>
      <c r="K1660" s="150"/>
      <c r="L1660" s="150"/>
      <c r="M1660" s="150"/>
      <c r="N1660" s="150"/>
      <c r="O1660" s="150"/>
      <c r="P1660" s="150"/>
      <c r="Q1660" s="150"/>
      <c r="R1660" s="150"/>
      <c r="S1660" s="150"/>
      <c r="T1660" s="150"/>
      <c r="U1660" s="150"/>
      <c r="V1660" s="150"/>
      <c r="W1660" s="150"/>
      <c r="X1660" s="150"/>
      <c r="Y1660" s="150"/>
    </row>
    <row r="1661">
      <c r="A1661" s="150"/>
      <c r="B1661" s="156"/>
      <c r="C1661" s="157"/>
      <c r="D1661" s="150"/>
      <c r="E1661" s="150"/>
      <c r="F1661" s="150"/>
      <c r="G1661" s="150"/>
      <c r="H1661" s="150"/>
      <c r="I1661" s="150"/>
      <c r="J1661" s="150"/>
      <c r="K1661" s="150"/>
      <c r="L1661" s="150"/>
      <c r="M1661" s="150"/>
      <c r="N1661" s="150"/>
      <c r="O1661" s="150"/>
      <c r="P1661" s="150"/>
      <c r="Q1661" s="150"/>
      <c r="R1661" s="150"/>
      <c r="S1661" s="150"/>
      <c r="T1661" s="150"/>
      <c r="U1661" s="150"/>
      <c r="V1661" s="150"/>
      <c r="W1661" s="150"/>
      <c r="X1661" s="150"/>
      <c r="Y1661" s="150"/>
    </row>
    <row r="1662">
      <c r="A1662" s="150"/>
      <c r="B1662" s="156"/>
      <c r="C1662" s="157"/>
      <c r="D1662" s="150"/>
      <c r="E1662" s="150"/>
      <c r="F1662" s="150"/>
      <c r="G1662" s="150"/>
      <c r="H1662" s="150"/>
      <c r="I1662" s="150"/>
      <c r="J1662" s="150"/>
      <c r="K1662" s="150"/>
      <c r="L1662" s="150"/>
      <c r="M1662" s="150"/>
      <c r="N1662" s="150"/>
      <c r="O1662" s="150"/>
      <c r="P1662" s="150"/>
      <c r="Q1662" s="150"/>
      <c r="R1662" s="150"/>
      <c r="S1662" s="150"/>
      <c r="T1662" s="150"/>
      <c r="U1662" s="150"/>
      <c r="V1662" s="150"/>
      <c r="W1662" s="150"/>
      <c r="X1662" s="150"/>
      <c r="Y1662" s="150"/>
    </row>
    <row r="1663">
      <c r="A1663" s="150"/>
      <c r="B1663" s="156"/>
      <c r="C1663" s="157"/>
      <c r="D1663" s="150"/>
      <c r="E1663" s="150"/>
      <c r="F1663" s="150"/>
      <c r="G1663" s="150"/>
      <c r="H1663" s="150"/>
      <c r="I1663" s="150"/>
      <c r="J1663" s="150"/>
      <c r="K1663" s="150"/>
      <c r="L1663" s="150"/>
      <c r="M1663" s="150"/>
      <c r="N1663" s="150"/>
      <c r="O1663" s="150"/>
      <c r="P1663" s="150"/>
      <c r="Q1663" s="150"/>
      <c r="R1663" s="150"/>
      <c r="S1663" s="150"/>
      <c r="T1663" s="150"/>
      <c r="U1663" s="150"/>
      <c r="V1663" s="150"/>
      <c r="W1663" s="150"/>
      <c r="X1663" s="150"/>
      <c r="Y1663" s="150"/>
    </row>
    <row r="1664">
      <c r="A1664" s="150"/>
      <c r="B1664" s="156"/>
      <c r="C1664" s="157"/>
      <c r="D1664" s="150"/>
      <c r="E1664" s="150"/>
      <c r="F1664" s="150"/>
      <c r="G1664" s="150"/>
      <c r="H1664" s="150"/>
      <c r="I1664" s="150"/>
      <c r="J1664" s="150"/>
      <c r="K1664" s="150"/>
      <c r="L1664" s="150"/>
      <c r="M1664" s="150"/>
      <c r="N1664" s="150"/>
      <c r="O1664" s="150"/>
      <c r="P1664" s="150"/>
      <c r="Q1664" s="150"/>
      <c r="R1664" s="150"/>
      <c r="S1664" s="150"/>
      <c r="T1664" s="150"/>
      <c r="U1664" s="150"/>
      <c r="V1664" s="150"/>
      <c r="W1664" s="150"/>
      <c r="X1664" s="150"/>
      <c r="Y1664" s="150"/>
    </row>
    <row r="1665">
      <c r="A1665" s="150"/>
      <c r="B1665" s="156"/>
      <c r="C1665" s="157"/>
      <c r="D1665" s="150"/>
      <c r="E1665" s="150"/>
      <c r="F1665" s="150"/>
      <c r="G1665" s="150"/>
      <c r="H1665" s="150"/>
      <c r="I1665" s="150"/>
      <c r="J1665" s="150"/>
      <c r="K1665" s="150"/>
      <c r="L1665" s="150"/>
      <c r="M1665" s="150"/>
      <c r="N1665" s="150"/>
      <c r="O1665" s="150"/>
      <c r="P1665" s="150"/>
      <c r="Q1665" s="150"/>
      <c r="R1665" s="150"/>
      <c r="S1665" s="150"/>
      <c r="T1665" s="150"/>
      <c r="U1665" s="150"/>
      <c r="V1665" s="150"/>
      <c r="W1665" s="150"/>
      <c r="X1665" s="150"/>
      <c r="Y1665" s="150"/>
    </row>
    <row r="1666">
      <c r="A1666" s="150"/>
      <c r="B1666" s="156"/>
      <c r="C1666" s="157"/>
      <c r="D1666" s="150"/>
      <c r="E1666" s="150"/>
      <c r="F1666" s="150"/>
      <c r="G1666" s="150"/>
      <c r="H1666" s="150"/>
      <c r="I1666" s="150"/>
      <c r="J1666" s="150"/>
      <c r="K1666" s="150"/>
      <c r="L1666" s="150"/>
      <c r="M1666" s="150"/>
      <c r="N1666" s="150"/>
      <c r="O1666" s="150"/>
      <c r="P1666" s="150"/>
      <c r="Q1666" s="150"/>
      <c r="R1666" s="150"/>
      <c r="S1666" s="150"/>
      <c r="T1666" s="150"/>
      <c r="U1666" s="150"/>
      <c r="V1666" s="150"/>
      <c r="W1666" s="150"/>
      <c r="X1666" s="150"/>
      <c r="Y1666" s="150"/>
    </row>
    <row r="1667">
      <c r="A1667" s="150"/>
      <c r="B1667" s="156"/>
      <c r="C1667" s="157"/>
      <c r="D1667" s="150"/>
      <c r="E1667" s="150"/>
      <c r="F1667" s="150"/>
      <c r="G1667" s="150"/>
      <c r="H1667" s="150"/>
      <c r="I1667" s="150"/>
      <c r="J1667" s="150"/>
      <c r="K1667" s="150"/>
      <c r="L1667" s="150"/>
      <c r="M1667" s="150"/>
      <c r="N1667" s="150"/>
      <c r="O1667" s="150"/>
      <c r="P1667" s="150"/>
      <c r="Q1667" s="150"/>
      <c r="R1667" s="150"/>
      <c r="S1667" s="150"/>
      <c r="T1667" s="150"/>
      <c r="U1667" s="150"/>
      <c r="V1667" s="150"/>
      <c r="W1667" s="150"/>
      <c r="X1667" s="150"/>
      <c r="Y1667" s="150"/>
    </row>
    <row r="1668">
      <c r="A1668" s="150"/>
      <c r="B1668" s="156"/>
      <c r="C1668" s="157"/>
      <c r="D1668" s="150"/>
      <c r="E1668" s="150"/>
      <c r="F1668" s="150"/>
      <c r="G1668" s="150"/>
      <c r="H1668" s="150"/>
      <c r="I1668" s="150"/>
      <c r="J1668" s="150"/>
      <c r="K1668" s="150"/>
      <c r="L1668" s="150"/>
      <c r="M1668" s="150"/>
      <c r="N1668" s="150"/>
      <c r="O1668" s="150"/>
      <c r="P1668" s="150"/>
      <c r="Q1668" s="150"/>
      <c r="R1668" s="150"/>
      <c r="S1668" s="150"/>
      <c r="T1668" s="150"/>
      <c r="U1668" s="150"/>
      <c r="V1668" s="150"/>
      <c r="W1668" s="150"/>
      <c r="X1668" s="150"/>
      <c r="Y1668" s="150"/>
    </row>
    <row r="1669">
      <c r="A1669" s="150"/>
      <c r="B1669" s="156"/>
      <c r="C1669" s="157"/>
      <c r="D1669" s="150"/>
      <c r="E1669" s="150"/>
      <c r="F1669" s="150"/>
      <c r="G1669" s="150"/>
      <c r="H1669" s="150"/>
      <c r="I1669" s="150"/>
      <c r="J1669" s="150"/>
      <c r="K1669" s="150"/>
      <c r="L1669" s="150"/>
      <c r="M1669" s="150"/>
      <c r="N1669" s="150"/>
      <c r="O1669" s="150"/>
      <c r="P1669" s="150"/>
      <c r="Q1669" s="150"/>
      <c r="R1669" s="150"/>
      <c r="S1669" s="150"/>
      <c r="T1669" s="150"/>
      <c r="U1669" s="150"/>
      <c r="V1669" s="150"/>
      <c r="W1669" s="150"/>
      <c r="X1669" s="150"/>
      <c r="Y1669" s="150"/>
    </row>
    <row r="1670">
      <c r="A1670" s="150"/>
      <c r="B1670" s="156"/>
      <c r="C1670" s="157"/>
      <c r="D1670" s="150"/>
      <c r="E1670" s="150"/>
      <c r="F1670" s="150"/>
      <c r="G1670" s="150"/>
      <c r="H1670" s="150"/>
      <c r="I1670" s="150"/>
      <c r="J1670" s="150"/>
      <c r="K1670" s="150"/>
      <c r="L1670" s="150"/>
      <c r="M1670" s="150"/>
      <c r="N1670" s="150"/>
      <c r="O1670" s="150"/>
      <c r="P1670" s="150"/>
      <c r="Q1670" s="150"/>
      <c r="R1670" s="150"/>
      <c r="S1670" s="150"/>
      <c r="T1670" s="150"/>
      <c r="U1670" s="150"/>
      <c r="V1670" s="150"/>
      <c r="W1670" s="150"/>
      <c r="X1670" s="150"/>
      <c r="Y1670" s="150"/>
    </row>
    <row r="1671">
      <c r="A1671" s="150"/>
      <c r="B1671" s="156"/>
      <c r="C1671" s="157"/>
      <c r="D1671" s="150"/>
      <c r="E1671" s="150"/>
      <c r="F1671" s="150"/>
      <c r="G1671" s="150"/>
      <c r="H1671" s="150"/>
      <c r="I1671" s="150"/>
      <c r="J1671" s="150"/>
      <c r="K1671" s="150"/>
      <c r="L1671" s="150"/>
      <c r="M1671" s="150"/>
      <c r="N1671" s="150"/>
      <c r="O1671" s="150"/>
      <c r="P1671" s="150"/>
      <c r="Q1671" s="150"/>
      <c r="R1671" s="150"/>
      <c r="S1671" s="150"/>
      <c r="T1671" s="150"/>
      <c r="U1671" s="150"/>
      <c r="V1671" s="150"/>
      <c r="W1671" s="150"/>
      <c r="X1671" s="150"/>
      <c r="Y1671" s="150"/>
    </row>
    <row r="1672">
      <c r="A1672" s="150"/>
      <c r="B1672" s="156"/>
      <c r="C1672" s="157"/>
      <c r="D1672" s="150"/>
      <c r="E1672" s="150"/>
      <c r="F1672" s="150"/>
      <c r="G1672" s="150"/>
      <c r="H1672" s="150"/>
      <c r="I1672" s="150"/>
      <c r="J1672" s="150"/>
      <c r="K1672" s="150"/>
      <c r="L1672" s="150"/>
      <c r="M1672" s="150"/>
      <c r="N1672" s="150"/>
      <c r="O1672" s="150"/>
      <c r="P1672" s="150"/>
      <c r="Q1672" s="150"/>
      <c r="R1672" s="150"/>
      <c r="S1672" s="150"/>
      <c r="T1672" s="150"/>
      <c r="U1672" s="150"/>
      <c r="V1672" s="150"/>
      <c r="W1672" s="150"/>
      <c r="X1672" s="150"/>
      <c r="Y1672" s="150"/>
    </row>
    <row r="1673">
      <c r="A1673" s="150"/>
      <c r="B1673" s="156"/>
      <c r="C1673" s="157"/>
      <c r="D1673" s="150"/>
      <c r="E1673" s="150"/>
      <c r="F1673" s="150"/>
      <c r="G1673" s="150"/>
      <c r="H1673" s="150"/>
      <c r="I1673" s="150"/>
      <c r="J1673" s="150"/>
      <c r="K1673" s="150"/>
      <c r="L1673" s="150"/>
      <c r="M1673" s="150"/>
      <c r="N1673" s="150"/>
      <c r="O1673" s="150"/>
      <c r="P1673" s="150"/>
      <c r="Q1673" s="150"/>
      <c r="R1673" s="150"/>
      <c r="S1673" s="150"/>
      <c r="T1673" s="150"/>
      <c r="U1673" s="150"/>
      <c r="V1673" s="150"/>
      <c r="W1673" s="150"/>
      <c r="X1673" s="150"/>
      <c r="Y1673" s="150"/>
    </row>
    <row r="1674">
      <c r="A1674" s="150"/>
      <c r="B1674" s="156"/>
      <c r="C1674" s="157"/>
      <c r="D1674" s="150"/>
      <c r="E1674" s="150"/>
      <c r="F1674" s="150"/>
      <c r="G1674" s="150"/>
      <c r="H1674" s="150"/>
      <c r="I1674" s="150"/>
      <c r="J1674" s="150"/>
      <c r="K1674" s="150"/>
      <c r="L1674" s="150"/>
      <c r="M1674" s="150"/>
      <c r="N1674" s="150"/>
      <c r="O1674" s="150"/>
      <c r="P1674" s="150"/>
      <c r="Q1674" s="150"/>
      <c r="R1674" s="150"/>
      <c r="S1674" s="150"/>
      <c r="T1674" s="150"/>
      <c r="U1674" s="150"/>
      <c r="V1674" s="150"/>
      <c r="W1674" s="150"/>
      <c r="X1674" s="150"/>
      <c r="Y1674" s="150"/>
    </row>
    <row r="1675">
      <c r="A1675" s="150"/>
      <c r="B1675" s="156"/>
      <c r="C1675" s="157"/>
      <c r="D1675" s="150"/>
      <c r="E1675" s="150"/>
      <c r="F1675" s="150"/>
      <c r="G1675" s="150"/>
      <c r="H1675" s="150"/>
      <c r="I1675" s="150"/>
      <c r="J1675" s="150"/>
      <c r="K1675" s="150"/>
      <c r="L1675" s="150"/>
      <c r="M1675" s="150"/>
      <c r="N1675" s="150"/>
      <c r="O1675" s="150"/>
      <c r="P1675" s="150"/>
      <c r="Q1675" s="150"/>
      <c r="R1675" s="150"/>
      <c r="S1675" s="150"/>
      <c r="T1675" s="150"/>
      <c r="U1675" s="150"/>
      <c r="V1675" s="150"/>
      <c r="W1675" s="150"/>
      <c r="X1675" s="150"/>
      <c r="Y1675" s="150"/>
    </row>
    <row r="1676">
      <c r="A1676" s="150"/>
      <c r="B1676" s="156"/>
      <c r="C1676" s="157"/>
      <c r="D1676" s="150"/>
      <c r="E1676" s="150"/>
      <c r="F1676" s="150"/>
      <c r="G1676" s="150"/>
      <c r="H1676" s="150"/>
      <c r="I1676" s="150"/>
      <c r="J1676" s="150"/>
      <c r="K1676" s="150"/>
      <c r="L1676" s="150"/>
      <c r="M1676" s="150"/>
      <c r="N1676" s="150"/>
      <c r="O1676" s="150"/>
      <c r="P1676" s="150"/>
      <c r="Q1676" s="150"/>
      <c r="R1676" s="150"/>
      <c r="S1676" s="150"/>
      <c r="T1676" s="150"/>
      <c r="U1676" s="150"/>
      <c r="V1676" s="150"/>
      <c r="W1676" s="150"/>
      <c r="X1676" s="150"/>
      <c r="Y1676" s="150"/>
    </row>
    <row r="1677">
      <c r="A1677" s="150"/>
      <c r="B1677" s="156"/>
      <c r="C1677" s="157"/>
      <c r="D1677" s="150"/>
      <c r="E1677" s="150"/>
      <c r="F1677" s="150"/>
      <c r="G1677" s="150"/>
      <c r="H1677" s="150"/>
      <c r="I1677" s="150"/>
      <c r="J1677" s="150"/>
      <c r="K1677" s="150"/>
      <c r="L1677" s="150"/>
      <c r="M1677" s="150"/>
      <c r="N1677" s="150"/>
      <c r="O1677" s="150"/>
      <c r="P1677" s="150"/>
      <c r="Q1677" s="150"/>
      <c r="R1677" s="150"/>
      <c r="S1677" s="150"/>
      <c r="T1677" s="150"/>
      <c r="U1677" s="150"/>
      <c r="V1677" s="150"/>
      <c r="W1677" s="150"/>
      <c r="X1677" s="150"/>
      <c r="Y1677" s="150"/>
    </row>
    <row r="1678">
      <c r="A1678" s="150"/>
      <c r="B1678" s="156"/>
      <c r="C1678" s="157"/>
      <c r="D1678" s="150"/>
      <c r="E1678" s="150"/>
      <c r="F1678" s="150"/>
      <c r="G1678" s="150"/>
      <c r="H1678" s="150"/>
      <c r="I1678" s="150"/>
      <c r="J1678" s="150"/>
      <c r="K1678" s="150"/>
      <c r="L1678" s="150"/>
      <c r="M1678" s="150"/>
      <c r="N1678" s="150"/>
      <c r="O1678" s="150"/>
      <c r="P1678" s="150"/>
      <c r="Q1678" s="150"/>
      <c r="R1678" s="150"/>
      <c r="S1678" s="150"/>
      <c r="T1678" s="150"/>
      <c r="U1678" s="150"/>
      <c r="V1678" s="150"/>
      <c r="W1678" s="150"/>
      <c r="X1678" s="150"/>
      <c r="Y1678" s="150"/>
    </row>
    <row r="1679">
      <c r="A1679" s="150"/>
      <c r="B1679" s="156"/>
      <c r="C1679" s="157"/>
      <c r="D1679" s="150"/>
      <c r="E1679" s="150"/>
      <c r="F1679" s="150"/>
      <c r="G1679" s="150"/>
      <c r="H1679" s="150"/>
      <c r="I1679" s="150"/>
      <c r="J1679" s="150"/>
      <c r="K1679" s="150"/>
      <c r="L1679" s="150"/>
      <c r="M1679" s="150"/>
      <c r="N1679" s="150"/>
      <c r="O1679" s="150"/>
      <c r="P1679" s="150"/>
      <c r="Q1679" s="150"/>
      <c r="R1679" s="150"/>
      <c r="S1679" s="150"/>
      <c r="T1679" s="150"/>
      <c r="U1679" s="150"/>
      <c r="V1679" s="150"/>
      <c r="W1679" s="150"/>
      <c r="X1679" s="150"/>
      <c r="Y1679" s="150"/>
    </row>
    <row r="1680">
      <c r="A1680" s="150"/>
      <c r="B1680" s="156"/>
      <c r="C1680" s="157"/>
      <c r="D1680" s="150"/>
      <c r="E1680" s="150"/>
      <c r="F1680" s="150"/>
      <c r="G1680" s="150"/>
      <c r="H1680" s="150"/>
      <c r="I1680" s="150"/>
      <c r="J1680" s="150"/>
      <c r="K1680" s="150"/>
      <c r="L1680" s="150"/>
      <c r="M1680" s="150"/>
      <c r="N1680" s="150"/>
      <c r="O1680" s="150"/>
      <c r="P1680" s="150"/>
      <c r="Q1680" s="150"/>
      <c r="R1680" s="150"/>
      <c r="S1680" s="150"/>
      <c r="T1680" s="150"/>
      <c r="U1680" s="150"/>
      <c r="V1680" s="150"/>
      <c r="W1680" s="150"/>
      <c r="X1680" s="150"/>
      <c r="Y1680" s="150"/>
    </row>
    <row r="1681">
      <c r="A1681" s="150"/>
      <c r="B1681" s="156"/>
      <c r="C1681" s="157"/>
      <c r="D1681" s="150"/>
      <c r="E1681" s="150"/>
      <c r="F1681" s="150"/>
      <c r="G1681" s="150"/>
      <c r="H1681" s="150"/>
      <c r="I1681" s="150"/>
      <c r="J1681" s="150"/>
      <c r="K1681" s="150"/>
      <c r="L1681" s="150"/>
      <c r="M1681" s="150"/>
      <c r="N1681" s="150"/>
      <c r="O1681" s="150"/>
      <c r="P1681" s="150"/>
      <c r="Q1681" s="150"/>
      <c r="R1681" s="150"/>
      <c r="S1681" s="150"/>
      <c r="T1681" s="150"/>
      <c r="U1681" s="150"/>
      <c r="V1681" s="150"/>
      <c r="W1681" s="150"/>
      <c r="X1681" s="150"/>
      <c r="Y1681" s="150"/>
    </row>
    <row r="1682">
      <c r="A1682" s="150"/>
      <c r="B1682" s="156"/>
      <c r="C1682" s="157"/>
      <c r="D1682" s="150"/>
      <c r="E1682" s="150"/>
      <c r="F1682" s="150"/>
      <c r="G1682" s="150"/>
      <c r="H1682" s="150"/>
      <c r="I1682" s="150"/>
      <c r="J1682" s="150"/>
      <c r="K1682" s="150"/>
      <c r="L1682" s="150"/>
      <c r="M1682" s="150"/>
      <c r="N1682" s="150"/>
      <c r="O1682" s="150"/>
      <c r="P1682" s="150"/>
      <c r="Q1682" s="150"/>
      <c r="R1682" s="150"/>
      <c r="S1682" s="150"/>
      <c r="T1682" s="150"/>
      <c r="U1682" s="150"/>
      <c r="V1682" s="150"/>
      <c r="W1682" s="150"/>
      <c r="X1682" s="150"/>
      <c r="Y1682" s="150"/>
    </row>
    <row r="1683">
      <c r="A1683" s="150"/>
      <c r="B1683" s="156"/>
      <c r="C1683" s="157"/>
      <c r="D1683" s="150"/>
      <c r="E1683" s="150"/>
      <c r="F1683" s="150"/>
      <c r="G1683" s="150"/>
      <c r="H1683" s="150"/>
      <c r="I1683" s="150"/>
      <c r="J1683" s="150"/>
      <c r="K1683" s="150"/>
      <c r="L1683" s="150"/>
      <c r="M1683" s="150"/>
      <c r="N1683" s="150"/>
      <c r="O1683" s="150"/>
      <c r="P1683" s="150"/>
      <c r="Q1683" s="150"/>
      <c r="R1683" s="150"/>
      <c r="S1683" s="150"/>
      <c r="T1683" s="150"/>
      <c r="U1683" s="150"/>
      <c r="V1683" s="150"/>
      <c r="W1683" s="150"/>
      <c r="X1683" s="150"/>
      <c r="Y1683" s="150"/>
    </row>
    <row r="1684">
      <c r="A1684" s="150"/>
      <c r="B1684" s="156"/>
      <c r="C1684" s="157"/>
      <c r="D1684" s="150"/>
      <c r="E1684" s="150"/>
      <c r="F1684" s="150"/>
      <c r="G1684" s="150"/>
      <c r="H1684" s="150"/>
      <c r="I1684" s="150"/>
      <c r="J1684" s="150"/>
      <c r="K1684" s="150"/>
      <c r="L1684" s="150"/>
      <c r="M1684" s="150"/>
      <c r="N1684" s="150"/>
      <c r="O1684" s="150"/>
      <c r="P1684" s="150"/>
      <c r="Q1684" s="150"/>
      <c r="R1684" s="150"/>
      <c r="S1684" s="150"/>
      <c r="T1684" s="150"/>
      <c r="U1684" s="150"/>
      <c r="V1684" s="150"/>
      <c r="W1684" s="150"/>
      <c r="X1684" s="150"/>
      <c r="Y1684" s="150"/>
    </row>
    <row r="1685">
      <c r="A1685" s="150"/>
      <c r="B1685" s="156"/>
      <c r="C1685" s="157"/>
      <c r="D1685" s="150"/>
      <c r="E1685" s="150"/>
      <c r="F1685" s="150"/>
      <c r="G1685" s="150"/>
      <c r="H1685" s="150"/>
      <c r="I1685" s="150"/>
      <c r="J1685" s="150"/>
      <c r="K1685" s="150"/>
      <c r="L1685" s="150"/>
      <c r="M1685" s="150"/>
      <c r="N1685" s="150"/>
      <c r="O1685" s="150"/>
      <c r="P1685" s="150"/>
      <c r="Q1685" s="150"/>
      <c r="R1685" s="150"/>
      <c r="S1685" s="150"/>
      <c r="T1685" s="150"/>
      <c r="U1685" s="150"/>
      <c r="V1685" s="150"/>
      <c r="W1685" s="150"/>
      <c r="X1685" s="150"/>
      <c r="Y1685" s="150"/>
    </row>
    <row r="1686">
      <c r="A1686" s="150"/>
      <c r="B1686" s="156"/>
      <c r="C1686" s="157"/>
      <c r="D1686" s="150"/>
      <c r="E1686" s="150"/>
      <c r="F1686" s="150"/>
      <c r="G1686" s="150"/>
      <c r="H1686" s="150"/>
      <c r="I1686" s="150"/>
      <c r="J1686" s="150"/>
      <c r="K1686" s="150"/>
      <c r="L1686" s="150"/>
      <c r="M1686" s="150"/>
      <c r="N1686" s="150"/>
      <c r="O1686" s="150"/>
      <c r="P1686" s="150"/>
      <c r="Q1686" s="150"/>
      <c r="R1686" s="150"/>
      <c r="S1686" s="150"/>
      <c r="T1686" s="150"/>
      <c r="U1686" s="150"/>
      <c r="V1686" s="150"/>
      <c r="W1686" s="150"/>
      <c r="X1686" s="150"/>
      <c r="Y1686" s="150"/>
    </row>
    <row r="1687">
      <c r="A1687" s="150"/>
      <c r="B1687" s="156"/>
      <c r="C1687" s="157"/>
      <c r="D1687" s="150"/>
      <c r="E1687" s="150"/>
      <c r="F1687" s="150"/>
      <c r="G1687" s="150"/>
      <c r="H1687" s="150"/>
      <c r="I1687" s="150"/>
      <c r="J1687" s="150"/>
      <c r="K1687" s="150"/>
      <c r="L1687" s="150"/>
      <c r="M1687" s="150"/>
      <c r="N1687" s="150"/>
      <c r="O1687" s="150"/>
      <c r="P1687" s="150"/>
      <c r="Q1687" s="150"/>
      <c r="R1687" s="150"/>
      <c r="S1687" s="150"/>
      <c r="T1687" s="150"/>
      <c r="U1687" s="150"/>
      <c r="V1687" s="150"/>
      <c r="W1687" s="150"/>
      <c r="X1687" s="150"/>
      <c r="Y1687" s="150"/>
    </row>
    <row r="1688">
      <c r="A1688" s="150"/>
      <c r="B1688" s="156"/>
      <c r="C1688" s="157"/>
      <c r="D1688" s="150"/>
      <c r="E1688" s="150"/>
      <c r="F1688" s="150"/>
      <c r="G1688" s="150"/>
      <c r="H1688" s="150"/>
      <c r="I1688" s="150"/>
      <c r="J1688" s="150"/>
      <c r="K1688" s="150"/>
      <c r="L1688" s="150"/>
      <c r="M1688" s="150"/>
      <c r="N1688" s="150"/>
      <c r="O1688" s="150"/>
      <c r="P1688" s="150"/>
      <c r="Q1688" s="150"/>
      <c r="R1688" s="150"/>
      <c r="S1688" s="150"/>
      <c r="T1688" s="150"/>
      <c r="U1688" s="150"/>
      <c r="V1688" s="150"/>
      <c r="W1688" s="150"/>
      <c r="X1688" s="150"/>
      <c r="Y1688" s="150"/>
    </row>
    <row r="1689">
      <c r="A1689" s="150"/>
      <c r="B1689" s="156"/>
      <c r="C1689" s="157"/>
      <c r="D1689" s="150"/>
      <c r="E1689" s="150"/>
      <c r="F1689" s="150"/>
      <c r="G1689" s="150"/>
      <c r="H1689" s="150"/>
      <c r="I1689" s="150"/>
      <c r="J1689" s="150"/>
      <c r="K1689" s="150"/>
      <c r="L1689" s="150"/>
      <c r="M1689" s="150"/>
      <c r="N1689" s="150"/>
      <c r="O1689" s="150"/>
      <c r="P1689" s="150"/>
      <c r="Q1689" s="150"/>
      <c r="R1689" s="150"/>
      <c r="S1689" s="150"/>
      <c r="T1689" s="150"/>
      <c r="U1689" s="150"/>
      <c r="V1689" s="150"/>
      <c r="W1689" s="150"/>
      <c r="X1689" s="150"/>
      <c r="Y1689" s="150"/>
    </row>
    <row r="1690">
      <c r="A1690" s="150"/>
      <c r="B1690" s="156"/>
      <c r="C1690" s="157"/>
      <c r="D1690" s="150"/>
      <c r="E1690" s="150"/>
      <c r="F1690" s="150"/>
      <c r="G1690" s="150"/>
      <c r="H1690" s="150"/>
      <c r="I1690" s="150"/>
      <c r="J1690" s="150"/>
      <c r="K1690" s="150"/>
      <c r="L1690" s="150"/>
      <c r="M1690" s="150"/>
      <c r="N1690" s="150"/>
      <c r="O1690" s="150"/>
      <c r="P1690" s="150"/>
      <c r="Q1690" s="150"/>
      <c r="R1690" s="150"/>
      <c r="S1690" s="150"/>
      <c r="T1690" s="150"/>
      <c r="U1690" s="150"/>
      <c r="V1690" s="150"/>
      <c r="W1690" s="150"/>
      <c r="X1690" s="150"/>
      <c r="Y1690" s="150"/>
    </row>
    <row r="1691">
      <c r="A1691" s="150"/>
      <c r="B1691" s="156"/>
      <c r="C1691" s="157"/>
      <c r="D1691" s="150"/>
      <c r="E1691" s="150"/>
      <c r="F1691" s="150"/>
      <c r="G1691" s="150"/>
      <c r="H1691" s="150"/>
      <c r="I1691" s="150"/>
      <c r="J1691" s="150"/>
      <c r="K1691" s="150"/>
      <c r="L1691" s="150"/>
      <c r="M1691" s="150"/>
      <c r="N1691" s="150"/>
      <c r="O1691" s="150"/>
      <c r="P1691" s="150"/>
      <c r="Q1691" s="150"/>
      <c r="R1691" s="150"/>
      <c r="S1691" s="150"/>
      <c r="T1691" s="150"/>
      <c r="U1691" s="150"/>
      <c r="V1691" s="150"/>
      <c r="W1691" s="150"/>
      <c r="X1691" s="150"/>
      <c r="Y1691" s="150"/>
    </row>
    <row r="1692">
      <c r="A1692" s="150"/>
      <c r="B1692" s="156"/>
      <c r="C1692" s="157"/>
      <c r="D1692" s="150"/>
      <c r="E1692" s="150"/>
      <c r="F1692" s="150"/>
      <c r="G1692" s="150"/>
      <c r="H1692" s="150"/>
      <c r="I1692" s="150"/>
      <c r="J1692" s="150"/>
      <c r="K1692" s="150"/>
      <c r="L1692" s="150"/>
      <c r="M1692" s="150"/>
      <c r="N1692" s="150"/>
      <c r="O1692" s="150"/>
      <c r="P1692" s="150"/>
      <c r="Q1692" s="150"/>
      <c r="R1692" s="150"/>
      <c r="S1692" s="150"/>
      <c r="T1692" s="150"/>
      <c r="U1692" s="150"/>
      <c r="V1692" s="150"/>
      <c r="W1692" s="150"/>
      <c r="X1692" s="150"/>
      <c r="Y1692" s="150"/>
    </row>
    <row r="1693">
      <c r="A1693" s="150"/>
      <c r="B1693" s="156"/>
      <c r="C1693" s="157"/>
      <c r="D1693" s="150"/>
      <c r="E1693" s="150"/>
      <c r="F1693" s="150"/>
      <c r="G1693" s="150"/>
      <c r="H1693" s="150"/>
      <c r="I1693" s="150"/>
      <c r="J1693" s="150"/>
      <c r="K1693" s="150"/>
      <c r="L1693" s="150"/>
      <c r="M1693" s="150"/>
      <c r="N1693" s="150"/>
      <c r="O1693" s="150"/>
      <c r="P1693" s="150"/>
      <c r="Q1693" s="150"/>
      <c r="R1693" s="150"/>
      <c r="S1693" s="150"/>
      <c r="T1693" s="150"/>
      <c r="U1693" s="150"/>
      <c r="V1693" s="150"/>
      <c r="W1693" s="150"/>
      <c r="X1693" s="150"/>
      <c r="Y1693" s="150"/>
    </row>
    <row r="1694">
      <c r="A1694" s="150"/>
      <c r="B1694" s="156"/>
      <c r="C1694" s="157"/>
      <c r="D1694" s="150"/>
      <c r="E1694" s="150"/>
      <c r="F1694" s="150"/>
      <c r="G1694" s="150"/>
      <c r="H1694" s="150"/>
      <c r="I1694" s="150"/>
      <c r="J1694" s="150"/>
      <c r="K1694" s="150"/>
      <c r="L1694" s="150"/>
      <c r="M1694" s="150"/>
      <c r="N1694" s="150"/>
      <c r="O1694" s="150"/>
      <c r="P1694" s="150"/>
      <c r="Q1694" s="150"/>
      <c r="R1694" s="150"/>
      <c r="S1694" s="150"/>
      <c r="T1694" s="150"/>
      <c r="U1694" s="150"/>
      <c r="V1694" s="150"/>
      <c r="W1694" s="150"/>
      <c r="X1694" s="150"/>
      <c r="Y1694" s="150"/>
    </row>
    <row r="1695">
      <c r="A1695" s="150"/>
      <c r="B1695" s="156"/>
      <c r="C1695" s="157"/>
      <c r="D1695" s="150"/>
      <c r="E1695" s="150"/>
      <c r="F1695" s="150"/>
      <c r="G1695" s="150"/>
      <c r="H1695" s="150"/>
      <c r="I1695" s="150"/>
      <c r="J1695" s="150"/>
      <c r="K1695" s="150"/>
      <c r="L1695" s="150"/>
      <c r="M1695" s="150"/>
      <c r="N1695" s="150"/>
      <c r="O1695" s="150"/>
      <c r="P1695" s="150"/>
      <c r="Q1695" s="150"/>
      <c r="R1695" s="150"/>
      <c r="S1695" s="150"/>
      <c r="T1695" s="150"/>
      <c r="U1695" s="150"/>
      <c r="V1695" s="150"/>
      <c r="W1695" s="150"/>
      <c r="X1695" s="150"/>
      <c r="Y1695" s="150"/>
    </row>
    <row r="1696">
      <c r="A1696" s="150"/>
      <c r="B1696" s="156"/>
      <c r="C1696" s="157"/>
      <c r="D1696" s="150"/>
      <c r="E1696" s="150"/>
      <c r="F1696" s="150"/>
      <c r="G1696" s="150"/>
      <c r="H1696" s="150"/>
      <c r="I1696" s="150"/>
      <c r="J1696" s="150"/>
      <c r="K1696" s="150"/>
      <c r="L1696" s="150"/>
      <c r="M1696" s="150"/>
      <c r="N1696" s="150"/>
      <c r="O1696" s="150"/>
      <c r="P1696" s="150"/>
      <c r="Q1696" s="150"/>
      <c r="R1696" s="150"/>
      <c r="S1696" s="150"/>
      <c r="T1696" s="150"/>
      <c r="U1696" s="150"/>
      <c r="V1696" s="150"/>
      <c r="W1696" s="150"/>
      <c r="X1696" s="150"/>
      <c r="Y1696" s="150"/>
    </row>
    <row r="1697">
      <c r="A1697" s="150"/>
      <c r="B1697" s="156"/>
      <c r="C1697" s="157"/>
      <c r="D1697" s="150"/>
      <c r="E1697" s="150"/>
      <c r="F1697" s="150"/>
      <c r="G1697" s="150"/>
      <c r="H1697" s="150"/>
      <c r="I1697" s="150"/>
      <c r="J1697" s="150"/>
      <c r="K1697" s="150"/>
      <c r="L1697" s="150"/>
      <c r="M1697" s="150"/>
      <c r="N1697" s="150"/>
      <c r="O1697" s="150"/>
      <c r="P1697" s="150"/>
      <c r="Q1697" s="150"/>
      <c r="R1697" s="150"/>
      <c r="S1697" s="150"/>
      <c r="T1697" s="150"/>
      <c r="U1697" s="150"/>
      <c r="V1697" s="150"/>
      <c r="W1697" s="150"/>
      <c r="X1697" s="150"/>
      <c r="Y1697" s="150"/>
    </row>
    <row r="1698">
      <c r="A1698" s="150"/>
      <c r="B1698" s="156"/>
      <c r="C1698" s="157"/>
      <c r="D1698" s="150"/>
      <c r="E1698" s="150"/>
      <c r="F1698" s="150"/>
      <c r="G1698" s="150"/>
      <c r="H1698" s="150"/>
      <c r="I1698" s="150"/>
      <c r="J1698" s="150"/>
      <c r="K1698" s="150"/>
      <c r="L1698" s="150"/>
      <c r="M1698" s="150"/>
      <c r="N1698" s="150"/>
      <c r="O1698" s="150"/>
      <c r="P1698" s="150"/>
      <c r="Q1698" s="150"/>
      <c r="R1698" s="150"/>
      <c r="S1698" s="150"/>
      <c r="T1698" s="150"/>
      <c r="U1698" s="150"/>
      <c r="V1698" s="150"/>
      <c r="W1698" s="150"/>
      <c r="X1698" s="150"/>
      <c r="Y1698" s="150"/>
    </row>
    <row r="1699">
      <c r="A1699" s="150"/>
      <c r="B1699" s="156"/>
      <c r="C1699" s="157"/>
      <c r="D1699" s="150"/>
      <c r="E1699" s="150"/>
      <c r="F1699" s="150"/>
      <c r="G1699" s="150"/>
      <c r="H1699" s="150"/>
      <c r="I1699" s="150"/>
      <c r="J1699" s="150"/>
      <c r="K1699" s="150"/>
      <c r="L1699" s="150"/>
      <c r="M1699" s="150"/>
      <c r="N1699" s="150"/>
      <c r="O1699" s="150"/>
      <c r="P1699" s="150"/>
      <c r="Q1699" s="150"/>
      <c r="R1699" s="150"/>
      <c r="S1699" s="150"/>
      <c r="T1699" s="150"/>
      <c r="U1699" s="150"/>
      <c r="V1699" s="150"/>
      <c r="W1699" s="150"/>
      <c r="X1699" s="150"/>
      <c r="Y1699" s="150"/>
    </row>
    <row r="1700">
      <c r="A1700" s="150"/>
      <c r="B1700" s="156"/>
      <c r="C1700" s="157"/>
      <c r="D1700" s="150"/>
      <c r="E1700" s="150"/>
      <c r="F1700" s="150"/>
      <c r="G1700" s="150"/>
      <c r="H1700" s="150"/>
      <c r="I1700" s="150"/>
      <c r="J1700" s="150"/>
      <c r="K1700" s="150"/>
      <c r="L1700" s="150"/>
      <c r="M1700" s="150"/>
      <c r="N1700" s="150"/>
      <c r="O1700" s="150"/>
      <c r="P1700" s="150"/>
      <c r="Q1700" s="150"/>
      <c r="R1700" s="150"/>
      <c r="S1700" s="150"/>
      <c r="T1700" s="150"/>
      <c r="U1700" s="150"/>
      <c r="V1700" s="150"/>
      <c r="W1700" s="150"/>
      <c r="X1700" s="150"/>
      <c r="Y1700" s="150"/>
    </row>
    <row r="1701">
      <c r="A1701" s="150"/>
      <c r="B1701" s="156"/>
      <c r="C1701" s="157"/>
      <c r="D1701" s="150"/>
      <c r="E1701" s="150"/>
      <c r="F1701" s="150"/>
      <c r="G1701" s="150"/>
      <c r="H1701" s="150"/>
      <c r="I1701" s="150"/>
      <c r="J1701" s="150"/>
      <c r="K1701" s="150"/>
      <c r="L1701" s="150"/>
      <c r="M1701" s="150"/>
      <c r="N1701" s="150"/>
      <c r="O1701" s="150"/>
      <c r="P1701" s="150"/>
      <c r="Q1701" s="150"/>
      <c r="R1701" s="150"/>
      <c r="S1701" s="150"/>
      <c r="T1701" s="150"/>
      <c r="U1701" s="150"/>
      <c r="V1701" s="150"/>
      <c r="W1701" s="150"/>
      <c r="X1701" s="150"/>
      <c r="Y1701" s="150"/>
    </row>
    <row r="1702">
      <c r="A1702" s="150"/>
      <c r="B1702" s="156"/>
      <c r="C1702" s="157"/>
      <c r="D1702" s="150"/>
      <c r="E1702" s="150"/>
      <c r="F1702" s="150"/>
      <c r="G1702" s="150"/>
      <c r="H1702" s="150"/>
      <c r="I1702" s="150"/>
      <c r="J1702" s="150"/>
      <c r="K1702" s="150"/>
      <c r="L1702" s="150"/>
      <c r="M1702" s="150"/>
      <c r="N1702" s="150"/>
      <c r="O1702" s="150"/>
      <c r="P1702" s="150"/>
      <c r="Q1702" s="150"/>
      <c r="R1702" s="150"/>
      <c r="S1702" s="150"/>
      <c r="T1702" s="150"/>
      <c r="U1702" s="150"/>
      <c r="V1702" s="150"/>
      <c r="W1702" s="150"/>
      <c r="X1702" s="150"/>
      <c r="Y1702" s="150"/>
    </row>
    <row r="1703">
      <c r="A1703" s="150"/>
      <c r="B1703" s="156"/>
      <c r="C1703" s="157"/>
      <c r="D1703" s="150"/>
      <c r="E1703" s="150"/>
      <c r="F1703" s="150"/>
      <c r="G1703" s="150"/>
      <c r="H1703" s="150"/>
      <c r="I1703" s="150"/>
      <c r="J1703" s="150"/>
      <c r="K1703" s="150"/>
      <c r="L1703" s="150"/>
      <c r="M1703" s="150"/>
      <c r="N1703" s="150"/>
      <c r="O1703" s="150"/>
      <c r="P1703" s="150"/>
      <c r="Q1703" s="150"/>
      <c r="R1703" s="150"/>
      <c r="S1703" s="150"/>
      <c r="T1703" s="150"/>
      <c r="U1703" s="150"/>
      <c r="V1703" s="150"/>
      <c r="W1703" s="150"/>
      <c r="X1703" s="150"/>
      <c r="Y1703" s="150"/>
    </row>
    <row r="1704">
      <c r="A1704" s="150"/>
      <c r="B1704" s="156"/>
      <c r="C1704" s="157"/>
      <c r="D1704" s="150"/>
      <c r="E1704" s="150"/>
      <c r="F1704" s="150"/>
      <c r="G1704" s="150"/>
      <c r="H1704" s="150"/>
      <c r="I1704" s="150"/>
      <c r="J1704" s="150"/>
      <c r="K1704" s="150"/>
      <c r="L1704" s="150"/>
      <c r="M1704" s="150"/>
      <c r="N1704" s="150"/>
      <c r="O1704" s="150"/>
      <c r="P1704" s="150"/>
      <c r="Q1704" s="150"/>
      <c r="R1704" s="150"/>
      <c r="S1704" s="150"/>
      <c r="T1704" s="150"/>
      <c r="U1704" s="150"/>
      <c r="V1704" s="150"/>
      <c r="W1704" s="150"/>
      <c r="X1704" s="150"/>
      <c r="Y1704" s="150"/>
    </row>
    <row r="1705">
      <c r="A1705" s="150"/>
      <c r="B1705" s="156"/>
      <c r="C1705" s="157"/>
      <c r="D1705" s="150"/>
      <c r="E1705" s="150"/>
      <c r="F1705" s="150"/>
      <c r="G1705" s="150"/>
      <c r="H1705" s="150"/>
      <c r="I1705" s="150"/>
      <c r="J1705" s="150"/>
      <c r="K1705" s="150"/>
      <c r="L1705" s="150"/>
      <c r="M1705" s="150"/>
      <c r="N1705" s="150"/>
      <c r="O1705" s="150"/>
      <c r="P1705" s="150"/>
      <c r="Q1705" s="150"/>
      <c r="R1705" s="150"/>
      <c r="S1705" s="150"/>
      <c r="T1705" s="150"/>
      <c r="U1705" s="150"/>
      <c r="V1705" s="150"/>
      <c r="W1705" s="150"/>
      <c r="X1705" s="150"/>
      <c r="Y1705" s="150"/>
    </row>
    <row r="1706">
      <c r="A1706" s="150"/>
      <c r="B1706" s="156"/>
      <c r="C1706" s="157"/>
      <c r="D1706" s="150"/>
      <c r="E1706" s="150"/>
      <c r="F1706" s="150"/>
      <c r="G1706" s="150"/>
      <c r="H1706" s="150"/>
      <c r="I1706" s="150"/>
      <c r="J1706" s="150"/>
      <c r="K1706" s="150"/>
      <c r="L1706" s="150"/>
      <c r="M1706" s="150"/>
      <c r="N1706" s="150"/>
      <c r="O1706" s="150"/>
      <c r="P1706" s="150"/>
      <c r="Q1706" s="150"/>
      <c r="R1706" s="150"/>
      <c r="S1706" s="150"/>
      <c r="T1706" s="150"/>
      <c r="U1706" s="150"/>
      <c r="V1706" s="150"/>
      <c r="W1706" s="150"/>
      <c r="X1706" s="150"/>
      <c r="Y1706" s="150"/>
    </row>
    <row r="1707">
      <c r="A1707" s="150"/>
      <c r="B1707" s="156"/>
      <c r="C1707" s="157"/>
      <c r="D1707" s="150"/>
      <c r="E1707" s="150"/>
      <c r="F1707" s="150"/>
      <c r="G1707" s="150"/>
      <c r="H1707" s="150"/>
      <c r="I1707" s="150"/>
      <c r="J1707" s="150"/>
      <c r="K1707" s="150"/>
      <c r="L1707" s="150"/>
      <c r="M1707" s="150"/>
      <c r="N1707" s="150"/>
      <c r="O1707" s="150"/>
      <c r="P1707" s="150"/>
      <c r="Q1707" s="150"/>
      <c r="R1707" s="150"/>
      <c r="S1707" s="150"/>
      <c r="T1707" s="150"/>
      <c r="U1707" s="150"/>
      <c r="V1707" s="150"/>
      <c r="W1707" s="150"/>
      <c r="X1707" s="150"/>
      <c r="Y1707" s="150"/>
    </row>
    <row r="1708">
      <c r="A1708" s="150"/>
      <c r="B1708" s="156"/>
      <c r="C1708" s="157"/>
      <c r="D1708" s="150"/>
      <c r="E1708" s="150"/>
      <c r="F1708" s="150"/>
      <c r="G1708" s="150"/>
      <c r="H1708" s="150"/>
      <c r="I1708" s="150"/>
      <c r="J1708" s="150"/>
      <c r="K1708" s="150"/>
      <c r="L1708" s="150"/>
      <c r="M1708" s="150"/>
      <c r="N1708" s="150"/>
      <c r="O1708" s="150"/>
      <c r="P1708" s="150"/>
      <c r="Q1708" s="150"/>
      <c r="R1708" s="150"/>
      <c r="S1708" s="150"/>
      <c r="T1708" s="150"/>
      <c r="U1708" s="150"/>
      <c r="V1708" s="150"/>
      <c r="W1708" s="150"/>
      <c r="X1708" s="150"/>
      <c r="Y1708" s="150"/>
    </row>
    <row r="1709">
      <c r="A1709" s="150"/>
      <c r="B1709" s="156"/>
      <c r="C1709" s="157"/>
      <c r="D1709" s="150"/>
      <c r="E1709" s="150"/>
      <c r="F1709" s="150"/>
      <c r="G1709" s="150"/>
      <c r="H1709" s="150"/>
      <c r="I1709" s="150"/>
      <c r="J1709" s="150"/>
      <c r="K1709" s="150"/>
      <c r="L1709" s="150"/>
      <c r="M1709" s="150"/>
      <c r="N1709" s="150"/>
      <c r="O1709" s="150"/>
      <c r="P1709" s="150"/>
      <c r="Q1709" s="150"/>
      <c r="R1709" s="150"/>
      <c r="S1709" s="150"/>
      <c r="T1709" s="150"/>
      <c r="U1709" s="150"/>
      <c r="V1709" s="150"/>
      <c r="W1709" s="150"/>
      <c r="X1709" s="150"/>
      <c r="Y1709" s="150"/>
    </row>
    <row r="1710">
      <c r="A1710" s="150"/>
      <c r="B1710" s="156"/>
      <c r="C1710" s="157"/>
      <c r="D1710" s="150"/>
      <c r="E1710" s="150"/>
      <c r="F1710" s="150"/>
      <c r="G1710" s="150"/>
      <c r="H1710" s="150"/>
      <c r="I1710" s="150"/>
      <c r="J1710" s="150"/>
      <c r="K1710" s="150"/>
      <c r="L1710" s="150"/>
      <c r="M1710" s="150"/>
      <c r="N1710" s="150"/>
      <c r="O1710" s="150"/>
      <c r="P1710" s="150"/>
      <c r="Q1710" s="150"/>
      <c r="R1710" s="150"/>
      <c r="S1710" s="150"/>
      <c r="T1710" s="150"/>
      <c r="U1710" s="150"/>
      <c r="V1710" s="150"/>
      <c r="W1710" s="150"/>
      <c r="X1710" s="150"/>
      <c r="Y1710" s="150"/>
    </row>
    <row r="1711">
      <c r="A1711" s="150"/>
      <c r="B1711" s="156"/>
      <c r="C1711" s="157"/>
      <c r="D1711" s="150"/>
      <c r="E1711" s="150"/>
      <c r="F1711" s="150"/>
      <c r="G1711" s="150"/>
      <c r="H1711" s="150"/>
      <c r="I1711" s="150"/>
      <c r="J1711" s="150"/>
      <c r="K1711" s="150"/>
      <c r="L1711" s="150"/>
      <c r="M1711" s="150"/>
      <c r="N1711" s="150"/>
      <c r="O1711" s="150"/>
      <c r="P1711" s="150"/>
      <c r="Q1711" s="150"/>
      <c r="R1711" s="150"/>
      <c r="S1711" s="150"/>
      <c r="T1711" s="150"/>
      <c r="U1711" s="150"/>
      <c r="V1711" s="150"/>
      <c r="W1711" s="150"/>
      <c r="X1711" s="150"/>
      <c r="Y1711" s="150"/>
    </row>
    <row r="1712">
      <c r="A1712" s="150"/>
      <c r="B1712" s="156"/>
      <c r="C1712" s="157"/>
      <c r="D1712" s="150"/>
      <c r="E1712" s="150"/>
      <c r="F1712" s="150"/>
      <c r="G1712" s="150"/>
      <c r="H1712" s="150"/>
      <c r="I1712" s="150"/>
      <c r="J1712" s="150"/>
      <c r="K1712" s="150"/>
      <c r="L1712" s="150"/>
      <c r="M1712" s="150"/>
      <c r="N1712" s="150"/>
      <c r="O1712" s="150"/>
      <c r="P1712" s="150"/>
      <c r="Q1712" s="150"/>
      <c r="R1712" s="150"/>
      <c r="S1712" s="150"/>
      <c r="T1712" s="150"/>
      <c r="U1712" s="150"/>
      <c r="V1712" s="150"/>
      <c r="W1712" s="150"/>
      <c r="X1712" s="150"/>
      <c r="Y1712" s="150"/>
    </row>
    <row r="1713">
      <c r="A1713" s="150"/>
      <c r="B1713" s="156"/>
      <c r="C1713" s="157"/>
      <c r="D1713" s="150"/>
      <c r="E1713" s="150"/>
      <c r="F1713" s="150"/>
      <c r="G1713" s="150"/>
      <c r="H1713" s="150"/>
      <c r="I1713" s="150"/>
      <c r="J1713" s="150"/>
      <c r="K1713" s="150"/>
      <c r="L1713" s="150"/>
      <c r="M1713" s="150"/>
      <c r="N1713" s="150"/>
      <c r="O1713" s="150"/>
      <c r="P1713" s="150"/>
      <c r="Q1713" s="150"/>
      <c r="R1713" s="150"/>
      <c r="S1713" s="150"/>
      <c r="T1713" s="150"/>
      <c r="U1713" s="150"/>
      <c r="V1713" s="150"/>
      <c r="W1713" s="150"/>
      <c r="X1713" s="150"/>
      <c r="Y1713" s="150"/>
    </row>
    <row r="1714">
      <c r="A1714" s="150"/>
      <c r="B1714" s="156"/>
      <c r="C1714" s="157"/>
      <c r="D1714" s="150"/>
      <c r="E1714" s="150"/>
      <c r="F1714" s="150"/>
      <c r="G1714" s="150"/>
      <c r="H1714" s="150"/>
      <c r="I1714" s="150"/>
      <c r="J1714" s="150"/>
      <c r="K1714" s="150"/>
      <c r="L1714" s="150"/>
      <c r="M1714" s="150"/>
      <c r="N1714" s="150"/>
      <c r="O1714" s="150"/>
      <c r="P1714" s="150"/>
      <c r="Q1714" s="150"/>
      <c r="R1714" s="150"/>
      <c r="S1714" s="150"/>
      <c r="T1714" s="150"/>
      <c r="U1714" s="150"/>
      <c r="V1714" s="150"/>
      <c r="W1714" s="150"/>
      <c r="X1714" s="150"/>
      <c r="Y1714" s="150"/>
    </row>
    <row r="1715">
      <c r="A1715" s="150"/>
      <c r="B1715" s="156"/>
      <c r="C1715" s="157"/>
      <c r="D1715" s="150"/>
      <c r="E1715" s="150"/>
      <c r="F1715" s="150"/>
      <c r="G1715" s="150"/>
      <c r="H1715" s="150"/>
      <c r="I1715" s="150"/>
      <c r="J1715" s="150"/>
      <c r="K1715" s="150"/>
      <c r="L1715" s="150"/>
      <c r="M1715" s="150"/>
      <c r="N1715" s="150"/>
      <c r="O1715" s="150"/>
      <c r="P1715" s="150"/>
      <c r="Q1715" s="150"/>
      <c r="R1715" s="150"/>
      <c r="S1715" s="150"/>
      <c r="T1715" s="150"/>
      <c r="U1715" s="150"/>
      <c r="V1715" s="150"/>
      <c r="W1715" s="150"/>
      <c r="X1715" s="150"/>
      <c r="Y1715" s="150"/>
    </row>
    <row r="1716">
      <c r="A1716" s="150"/>
      <c r="B1716" s="156"/>
      <c r="C1716" s="157"/>
      <c r="D1716" s="150"/>
      <c r="E1716" s="150"/>
      <c r="F1716" s="150"/>
      <c r="G1716" s="150"/>
      <c r="H1716" s="150"/>
      <c r="I1716" s="150"/>
      <c r="J1716" s="150"/>
      <c r="K1716" s="150"/>
      <c r="L1716" s="150"/>
      <c r="M1716" s="150"/>
      <c r="N1716" s="150"/>
      <c r="O1716" s="150"/>
      <c r="P1716" s="150"/>
      <c r="Q1716" s="150"/>
      <c r="R1716" s="150"/>
      <c r="S1716" s="150"/>
      <c r="T1716" s="150"/>
      <c r="U1716" s="150"/>
      <c r="V1716" s="150"/>
      <c r="W1716" s="150"/>
      <c r="X1716" s="150"/>
      <c r="Y1716" s="150"/>
    </row>
    <row r="1717">
      <c r="A1717" s="150"/>
      <c r="B1717" s="156"/>
      <c r="C1717" s="157"/>
      <c r="D1717" s="150"/>
      <c r="E1717" s="150"/>
      <c r="F1717" s="150"/>
      <c r="G1717" s="150"/>
      <c r="H1717" s="150"/>
      <c r="I1717" s="150"/>
      <c r="J1717" s="150"/>
      <c r="K1717" s="150"/>
      <c r="L1717" s="150"/>
      <c r="M1717" s="150"/>
      <c r="N1717" s="150"/>
      <c r="O1717" s="150"/>
      <c r="P1717" s="150"/>
      <c r="Q1717" s="150"/>
      <c r="R1717" s="150"/>
      <c r="S1717" s="150"/>
      <c r="T1717" s="150"/>
      <c r="U1717" s="150"/>
      <c r="V1717" s="150"/>
      <c r="W1717" s="150"/>
      <c r="X1717" s="150"/>
      <c r="Y1717" s="150"/>
    </row>
    <row r="1718">
      <c r="A1718" s="150"/>
      <c r="B1718" s="156"/>
      <c r="C1718" s="157"/>
      <c r="D1718" s="150"/>
      <c r="E1718" s="150"/>
      <c r="F1718" s="150"/>
      <c r="G1718" s="150"/>
      <c r="H1718" s="150"/>
      <c r="I1718" s="150"/>
      <c r="J1718" s="150"/>
      <c r="K1718" s="150"/>
      <c r="L1718" s="150"/>
      <c r="M1718" s="150"/>
      <c r="N1718" s="150"/>
      <c r="O1718" s="150"/>
      <c r="P1718" s="150"/>
      <c r="Q1718" s="150"/>
      <c r="R1718" s="150"/>
      <c r="S1718" s="150"/>
      <c r="T1718" s="150"/>
      <c r="U1718" s="150"/>
      <c r="V1718" s="150"/>
      <c r="W1718" s="150"/>
      <c r="X1718" s="150"/>
      <c r="Y1718" s="150"/>
    </row>
    <row r="1719">
      <c r="A1719" s="150"/>
      <c r="B1719" s="156"/>
      <c r="C1719" s="157"/>
      <c r="D1719" s="150"/>
      <c r="E1719" s="150"/>
      <c r="F1719" s="150"/>
      <c r="G1719" s="150"/>
      <c r="H1719" s="150"/>
      <c r="I1719" s="150"/>
      <c r="J1719" s="150"/>
      <c r="K1719" s="150"/>
      <c r="L1719" s="150"/>
      <c r="M1719" s="150"/>
      <c r="N1719" s="150"/>
      <c r="O1719" s="150"/>
      <c r="P1719" s="150"/>
      <c r="Q1719" s="150"/>
      <c r="R1719" s="150"/>
      <c r="S1719" s="150"/>
      <c r="T1719" s="150"/>
      <c r="U1719" s="150"/>
      <c r="V1719" s="150"/>
      <c r="W1719" s="150"/>
      <c r="X1719" s="150"/>
      <c r="Y1719" s="150"/>
    </row>
    <row r="1720">
      <c r="A1720" s="150"/>
      <c r="B1720" s="156"/>
      <c r="C1720" s="157"/>
      <c r="D1720" s="150"/>
      <c r="E1720" s="150"/>
      <c r="F1720" s="150"/>
      <c r="G1720" s="150"/>
      <c r="H1720" s="150"/>
      <c r="I1720" s="150"/>
      <c r="J1720" s="150"/>
      <c r="K1720" s="150"/>
      <c r="L1720" s="150"/>
      <c r="M1720" s="150"/>
      <c r="N1720" s="150"/>
      <c r="O1720" s="150"/>
      <c r="P1720" s="150"/>
      <c r="Q1720" s="150"/>
      <c r="R1720" s="150"/>
      <c r="S1720" s="150"/>
      <c r="T1720" s="150"/>
      <c r="U1720" s="150"/>
      <c r="V1720" s="150"/>
      <c r="W1720" s="150"/>
      <c r="X1720" s="150"/>
      <c r="Y1720" s="150"/>
    </row>
    <row r="1721">
      <c r="A1721" s="150"/>
      <c r="B1721" s="156"/>
      <c r="C1721" s="157"/>
      <c r="D1721" s="150"/>
      <c r="E1721" s="150"/>
      <c r="F1721" s="150"/>
      <c r="G1721" s="150"/>
      <c r="H1721" s="150"/>
      <c r="I1721" s="150"/>
      <c r="J1721" s="150"/>
      <c r="K1721" s="150"/>
      <c r="L1721" s="150"/>
      <c r="M1721" s="150"/>
      <c r="N1721" s="150"/>
      <c r="O1721" s="150"/>
      <c r="P1721" s="150"/>
      <c r="Q1721" s="150"/>
      <c r="R1721" s="150"/>
      <c r="S1721" s="150"/>
      <c r="T1721" s="150"/>
      <c r="U1721" s="150"/>
      <c r="V1721" s="150"/>
      <c r="W1721" s="150"/>
      <c r="X1721" s="150"/>
      <c r="Y1721" s="150"/>
    </row>
    <row r="1722">
      <c r="A1722" s="150"/>
      <c r="B1722" s="156"/>
      <c r="C1722" s="157"/>
      <c r="D1722" s="150"/>
      <c r="E1722" s="150"/>
      <c r="F1722" s="150"/>
      <c r="G1722" s="150"/>
      <c r="H1722" s="150"/>
      <c r="I1722" s="150"/>
      <c r="J1722" s="150"/>
      <c r="K1722" s="150"/>
      <c r="L1722" s="150"/>
      <c r="M1722" s="150"/>
      <c r="N1722" s="150"/>
      <c r="O1722" s="150"/>
      <c r="P1722" s="150"/>
      <c r="Q1722" s="150"/>
      <c r="R1722" s="150"/>
      <c r="S1722" s="150"/>
      <c r="T1722" s="150"/>
      <c r="U1722" s="150"/>
      <c r="V1722" s="150"/>
      <c r="W1722" s="150"/>
      <c r="X1722" s="150"/>
      <c r="Y1722" s="150"/>
    </row>
    <row r="1723">
      <c r="A1723" s="150"/>
      <c r="B1723" s="156"/>
      <c r="C1723" s="157"/>
      <c r="D1723" s="150"/>
      <c r="E1723" s="150"/>
      <c r="F1723" s="150"/>
      <c r="G1723" s="150"/>
      <c r="H1723" s="150"/>
      <c r="I1723" s="150"/>
      <c r="J1723" s="150"/>
      <c r="K1723" s="150"/>
      <c r="L1723" s="150"/>
      <c r="M1723" s="150"/>
      <c r="N1723" s="150"/>
      <c r="O1723" s="150"/>
      <c r="P1723" s="150"/>
      <c r="Q1723" s="150"/>
      <c r="R1723" s="150"/>
      <c r="S1723" s="150"/>
      <c r="T1723" s="150"/>
      <c r="U1723" s="150"/>
      <c r="V1723" s="150"/>
      <c r="W1723" s="150"/>
      <c r="X1723" s="150"/>
      <c r="Y1723" s="150"/>
    </row>
    <row r="1724">
      <c r="A1724" s="150"/>
      <c r="B1724" s="156"/>
      <c r="C1724" s="157"/>
      <c r="D1724" s="150"/>
      <c r="E1724" s="150"/>
      <c r="F1724" s="150"/>
      <c r="G1724" s="150"/>
      <c r="H1724" s="150"/>
      <c r="I1724" s="150"/>
      <c r="J1724" s="150"/>
      <c r="K1724" s="150"/>
      <c r="L1724" s="150"/>
      <c r="M1724" s="150"/>
      <c r="N1724" s="150"/>
      <c r="O1724" s="150"/>
      <c r="P1724" s="150"/>
      <c r="Q1724" s="150"/>
      <c r="R1724" s="150"/>
      <c r="S1724" s="150"/>
      <c r="T1724" s="150"/>
      <c r="U1724" s="150"/>
      <c r="V1724" s="150"/>
      <c r="W1724" s="150"/>
      <c r="X1724" s="150"/>
      <c r="Y1724" s="150"/>
    </row>
    <row r="1725">
      <c r="A1725" s="150"/>
      <c r="B1725" s="156"/>
      <c r="C1725" s="157"/>
      <c r="D1725" s="150"/>
      <c r="E1725" s="150"/>
      <c r="F1725" s="150"/>
      <c r="G1725" s="150"/>
      <c r="H1725" s="150"/>
      <c r="I1725" s="150"/>
      <c r="J1725" s="150"/>
      <c r="K1725" s="150"/>
      <c r="L1725" s="150"/>
      <c r="M1725" s="150"/>
      <c r="N1725" s="150"/>
      <c r="O1725" s="150"/>
      <c r="P1725" s="150"/>
      <c r="Q1725" s="150"/>
      <c r="R1725" s="150"/>
      <c r="S1725" s="150"/>
      <c r="T1725" s="150"/>
      <c r="U1725" s="150"/>
      <c r="V1725" s="150"/>
      <c r="W1725" s="150"/>
      <c r="X1725" s="150"/>
      <c r="Y1725" s="150"/>
    </row>
    <row r="1726">
      <c r="A1726" s="150"/>
      <c r="B1726" s="156"/>
      <c r="C1726" s="157"/>
      <c r="D1726" s="150"/>
      <c r="E1726" s="150"/>
      <c r="F1726" s="150"/>
      <c r="G1726" s="150"/>
      <c r="H1726" s="150"/>
      <c r="I1726" s="150"/>
      <c r="J1726" s="150"/>
      <c r="K1726" s="150"/>
      <c r="L1726" s="150"/>
      <c r="M1726" s="150"/>
      <c r="N1726" s="150"/>
      <c r="O1726" s="150"/>
      <c r="P1726" s="150"/>
      <c r="Q1726" s="150"/>
      <c r="R1726" s="150"/>
      <c r="S1726" s="150"/>
      <c r="T1726" s="150"/>
      <c r="U1726" s="150"/>
      <c r="V1726" s="150"/>
      <c r="W1726" s="150"/>
      <c r="X1726" s="150"/>
      <c r="Y1726" s="150"/>
    </row>
    <row r="1727">
      <c r="A1727" s="150"/>
      <c r="B1727" s="156"/>
      <c r="C1727" s="157"/>
      <c r="D1727" s="150"/>
      <c r="E1727" s="150"/>
      <c r="F1727" s="150"/>
      <c r="G1727" s="150"/>
      <c r="H1727" s="150"/>
      <c r="I1727" s="150"/>
      <c r="J1727" s="150"/>
      <c r="K1727" s="150"/>
      <c r="L1727" s="150"/>
      <c r="M1727" s="150"/>
      <c r="N1727" s="150"/>
      <c r="O1727" s="150"/>
      <c r="P1727" s="150"/>
      <c r="Q1727" s="150"/>
      <c r="R1727" s="150"/>
      <c r="S1727" s="150"/>
      <c r="T1727" s="150"/>
      <c r="U1727" s="150"/>
      <c r="V1727" s="150"/>
      <c r="W1727" s="150"/>
      <c r="X1727" s="150"/>
      <c r="Y1727" s="150"/>
    </row>
    <row r="1728">
      <c r="A1728" s="150"/>
      <c r="B1728" s="156"/>
      <c r="C1728" s="157"/>
      <c r="D1728" s="150"/>
      <c r="E1728" s="150"/>
      <c r="F1728" s="150"/>
      <c r="G1728" s="150"/>
      <c r="H1728" s="150"/>
      <c r="I1728" s="150"/>
      <c r="J1728" s="150"/>
      <c r="K1728" s="150"/>
      <c r="L1728" s="150"/>
      <c r="M1728" s="150"/>
      <c r="N1728" s="150"/>
      <c r="O1728" s="150"/>
      <c r="P1728" s="150"/>
      <c r="Q1728" s="150"/>
      <c r="R1728" s="150"/>
      <c r="S1728" s="150"/>
      <c r="T1728" s="150"/>
      <c r="U1728" s="150"/>
      <c r="V1728" s="150"/>
      <c r="W1728" s="150"/>
      <c r="X1728" s="150"/>
      <c r="Y1728" s="150"/>
    </row>
    <row r="1729">
      <c r="A1729" s="150"/>
      <c r="B1729" s="156"/>
      <c r="C1729" s="157"/>
      <c r="D1729" s="150"/>
      <c r="E1729" s="150"/>
      <c r="F1729" s="150"/>
      <c r="G1729" s="150"/>
      <c r="H1729" s="150"/>
      <c r="I1729" s="150"/>
      <c r="J1729" s="150"/>
      <c r="K1729" s="150"/>
      <c r="L1729" s="150"/>
      <c r="M1729" s="150"/>
      <c r="N1729" s="150"/>
      <c r="O1729" s="150"/>
      <c r="P1729" s="150"/>
      <c r="Q1729" s="150"/>
      <c r="R1729" s="150"/>
      <c r="S1729" s="150"/>
      <c r="T1729" s="150"/>
      <c r="U1729" s="150"/>
      <c r="V1729" s="150"/>
      <c r="W1729" s="150"/>
      <c r="X1729" s="150"/>
      <c r="Y1729" s="150"/>
    </row>
    <row r="1730">
      <c r="A1730" s="150"/>
      <c r="B1730" s="156"/>
      <c r="C1730" s="157"/>
      <c r="D1730" s="150"/>
      <c r="E1730" s="150"/>
      <c r="F1730" s="150"/>
      <c r="G1730" s="150"/>
      <c r="H1730" s="150"/>
      <c r="I1730" s="150"/>
      <c r="J1730" s="150"/>
      <c r="K1730" s="150"/>
      <c r="L1730" s="150"/>
      <c r="M1730" s="150"/>
      <c r="N1730" s="150"/>
      <c r="O1730" s="150"/>
      <c r="P1730" s="150"/>
      <c r="Q1730" s="150"/>
      <c r="R1730" s="150"/>
      <c r="S1730" s="150"/>
      <c r="T1730" s="150"/>
      <c r="U1730" s="150"/>
      <c r="V1730" s="150"/>
      <c r="W1730" s="150"/>
      <c r="X1730" s="150"/>
      <c r="Y1730" s="150"/>
    </row>
    <row r="1731">
      <c r="A1731" s="150"/>
      <c r="B1731" s="156"/>
      <c r="C1731" s="157"/>
      <c r="D1731" s="150"/>
      <c r="E1731" s="150"/>
      <c r="F1731" s="150"/>
      <c r="G1731" s="150"/>
      <c r="H1731" s="150"/>
      <c r="I1731" s="150"/>
      <c r="J1731" s="150"/>
      <c r="K1731" s="150"/>
      <c r="L1731" s="150"/>
      <c r="M1731" s="150"/>
      <c r="N1731" s="150"/>
      <c r="O1731" s="150"/>
      <c r="P1731" s="150"/>
      <c r="Q1731" s="150"/>
      <c r="R1731" s="150"/>
      <c r="S1731" s="150"/>
      <c r="T1731" s="150"/>
      <c r="U1731" s="150"/>
      <c r="V1731" s="150"/>
      <c r="W1731" s="150"/>
      <c r="X1731" s="150"/>
      <c r="Y1731" s="150"/>
    </row>
    <row r="1732">
      <c r="A1732" s="150"/>
      <c r="B1732" s="156"/>
      <c r="C1732" s="157"/>
      <c r="D1732" s="150"/>
      <c r="E1732" s="150"/>
      <c r="F1732" s="150"/>
      <c r="G1732" s="150"/>
      <c r="H1732" s="150"/>
      <c r="I1732" s="150"/>
      <c r="J1732" s="150"/>
      <c r="K1732" s="150"/>
      <c r="L1732" s="150"/>
      <c r="M1732" s="150"/>
      <c r="N1732" s="150"/>
      <c r="O1732" s="150"/>
      <c r="P1732" s="150"/>
      <c r="Q1732" s="150"/>
      <c r="R1732" s="150"/>
      <c r="S1732" s="150"/>
      <c r="T1732" s="150"/>
      <c r="U1732" s="150"/>
      <c r="V1732" s="150"/>
      <c r="W1732" s="150"/>
      <c r="X1732" s="150"/>
      <c r="Y1732" s="150"/>
    </row>
    <row r="1733">
      <c r="A1733" s="150"/>
      <c r="B1733" s="156"/>
      <c r="C1733" s="157"/>
      <c r="D1733" s="150"/>
      <c r="E1733" s="150"/>
      <c r="F1733" s="150"/>
      <c r="G1733" s="150"/>
      <c r="H1733" s="150"/>
      <c r="I1733" s="150"/>
      <c r="J1733" s="150"/>
      <c r="K1733" s="150"/>
      <c r="L1733" s="150"/>
      <c r="M1733" s="150"/>
      <c r="N1733" s="150"/>
      <c r="O1733" s="150"/>
      <c r="P1733" s="150"/>
      <c r="Q1733" s="150"/>
      <c r="R1733" s="150"/>
      <c r="S1733" s="150"/>
      <c r="T1733" s="150"/>
      <c r="U1733" s="150"/>
      <c r="V1733" s="150"/>
      <c r="W1733" s="150"/>
      <c r="X1733" s="150"/>
      <c r="Y1733" s="150"/>
    </row>
    <row r="1734">
      <c r="A1734" s="150"/>
      <c r="B1734" s="156"/>
      <c r="C1734" s="157"/>
      <c r="D1734" s="150"/>
      <c r="E1734" s="150"/>
      <c r="F1734" s="150"/>
      <c r="G1734" s="150"/>
      <c r="H1734" s="150"/>
      <c r="I1734" s="150"/>
      <c r="J1734" s="150"/>
      <c r="K1734" s="150"/>
      <c r="L1734" s="150"/>
      <c r="M1734" s="150"/>
      <c r="N1734" s="150"/>
      <c r="O1734" s="150"/>
      <c r="P1734" s="150"/>
      <c r="Q1734" s="150"/>
      <c r="R1734" s="150"/>
      <c r="S1734" s="150"/>
      <c r="T1734" s="150"/>
      <c r="U1734" s="150"/>
      <c r="V1734" s="150"/>
      <c r="W1734" s="150"/>
      <c r="X1734" s="150"/>
      <c r="Y1734" s="150"/>
    </row>
    <row r="1735">
      <c r="A1735" s="150"/>
      <c r="B1735" s="156"/>
      <c r="C1735" s="157"/>
      <c r="D1735" s="150"/>
      <c r="E1735" s="150"/>
      <c r="F1735" s="150"/>
      <c r="G1735" s="150"/>
      <c r="H1735" s="150"/>
      <c r="I1735" s="150"/>
      <c r="J1735" s="150"/>
      <c r="K1735" s="150"/>
      <c r="L1735" s="150"/>
      <c r="M1735" s="150"/>
      <c r="N1735" s="150"/>
      <c r="O1735" s="150"/>
      <c r="P1735" s="150"/>
      <c r="Q1735" s="150"/>
      <c r="R1735" s="150"/>
      <c r="S1735" s="150"/>
      <c r="T1735" s="150"/>
      <c r="U1735" s="150"/>
      <c r="V1735" s="150"/>
      <c r="W1735" s="150"/>
      <c r="X1735" s="150"/>
      <c r="Y1735" s="150"/>
    </row>
    <row r="1736">
      <c r="A1736" s="150"/>
      <c r="B1736" s="156"/>
      <c r="C1736" s="157"/>
      <c r="D1736" s="150"/>
      <c r="E1736" s="150"/>
      <c r="F1736" s="150"/>
      <c r="G1736" s="150"/>
      <c r="H1736" s="150"/>
      <c r="I1736" s="150"/>
      <c r="J1736" s="150"/>
      <c r="K1736" s="150"/>
      <c r="L1736" s="150"/>
      <c r="M1736" s="150"/>
      <c r="N1736" s="150"/>
      <c r="O1736" s="150"/>
      <c r="P1736" s="150"/>
      <c r="Q1736" s="150"/>
      <c r="R1736" s="150"/>
      <c r="S1736" s="150"/>
      <c r="T1736" s="150"/>
      <c r="U1736" s="150"/>
      <c r="V1736" s="150"/>
      <c r="W1736" s="150"/>
      <c r="X1736" s="150"/>
      <c r="Y1736" s="150"/>
    </row>
    <row r="1737">
      <c r="A1737" s="150"/>
      <c r="B1737" s="156"/>
      <c r="C1737" s="157"/>
      <c r="D1737" s="150"/>
      <c r="E1737" s="150"/>
      <c r="F1737" s="150"/>
      <c r="G1737" s="150"/>
      <c r="H1737" s="150"/>
      <c r="I1737" s="150"/>
      <c r="J1737" s="150"/>
      <c r="K1737" s="150"/>
      <c r="L1737" s="150"/>
      <c r="M1737" s="150"/>
      <c r="N1737" s="150"/>
      <c r="O1737" s="150"/>
      <c r="P1737" s="150"/>
      <c r="Q1737" s="150"/>
      <c r="R1737" s="150"/>
      <c r="S1737" s="150"/>
      <c r="T1737" s="150"/>
      <c r="U1737" s="150"/>
      <c r="V1737" s="150"/>
      <c r="W1737" s="150"/>
      <c r="X1737" s="150"/>
      <c r="Y1737" s="150"/>
    </row>
    <row r="1738">
      <c r="A1738" s="150"/>
      <c r="B1738" s="156"/>
      <c r="C1738" s="157"/>
      <c r="D1738" s="150"/>
      <c r="E1738" s="150"/>
      <c r="F1738" s="150"/>
      <c r="G1738" s="150"/>
      <c r="H1738" s="150"/>
      <c r="I1738" s="150"/>
      <c r="J1738" s="150"/>
      <c r="K1738" s="150"/>
      <c r="L1738" s="150"/>
      <c r="M1738" s="150"/>
      <c r="N1738" s="150"/>
      <c r="O1738" s="150"/>
      <c r="P1738" s="150"/>
      <c r="Q1738" s="150"/>
      <c r="R1738" s="150"/>
      <c r="S1738" s="150"/>
      <c r="T1738" s="150"/>
      <c r="U1738" s="150"/>
      <c r="V1738" s="150"/>
      <c r="W1738" s="150"/>
      <c r="X1738" s="150"/>
      <c r="Y1738" s="150"/>
    </row>
    <row r="1739">
      <c r="A1739" s="150"/>
      <c r="B1739" s="156"/>
      <c r="C1739" s="157"/>
      <c r="D1739" s="150"/>
      <c r="E1739" s="150"/>
      <c r="F1739" s="150"/>
      <c r="G1739" s="150"/>
      <c r="H1739" s="150"/>
      <c r="I1739" s="150"/>
      <c r="J1739" s="150"/>
      <c r="K1739" s="150"/>
      <c r="L1739" s="150"/>
      <c r="M1739" s="150"/>
      <c r="N1739" s="150"/>
      <c r="O1739" s="150"/>
      <c r="P1739" s="150"/>
      <c r="Q1739" s="150"/>
      <c r="R1739" s="150"/>
      <c r="S1739" s="150"/>
      <c r="T1739" s="150"/>
      <c r="U1739" s="150"/>
      <c r="V1739" s="150"/>
      <c r="W1739" s="150"/>
      <c r="X1739" s="150"/>
      <c r="Y1739" s="150"/>
    </row>
    <row r="1740">
      <c r="A1740" s="150"/>
      <c r="B1740" s="156"/>
      <c r="C1740" s="157"/>
      <c r="D1740" s="150"/>
      <c r="E1740" s="150"/>
      <c r="F1740" s="150"/>
      <c r="G1740" s="150"/>
      <c r="H1740" s="150"/>
      <c r="I1740" s="150"/>
      <c r="J1740" s="150"/>
      <c r="K1740" s="150"/>
      <c r="L1740" s="150"/>
      <c r="M1740" s="150"/>
      <c r="N1740" s="150"/>
      <c r="O1740" s="150"/>
      <c r="P1740" s="150"/>
      <c r="Q1740" s="150"/>
      <c r="R1740" s="150"/>
      <c r="S1740" s="150"/>
      <c r="T1740" s="150"/>
      <c r="U1740" s="150"/>
      <c r="V1740" s="150"/>
      <c r="W1740" s="150"/>
      <c r="X1740" s="150"/>
      <c r="Y1740" s="150"/>
    </row>
    <row r="1741">
      <c r="A1741" s="150"/>
      <c r="B1741" s="156"/>
      <c r="C1741" s="157"/>
      <c r="D1741" s="150"/>
      <c r="E1741" s="150"/>
      <c r="F1741" s="150"/>
      <c r="G1741" s="150"/>
      <c r="H1741" s="150"/>
      <c r="I1741" s="150"/>
      <c r="J1741" s="150"/>
      <c r="K1741" s="150"/>
      <c r="L1741" s="150"/>
      <c r="M1741" s="150"/>
      <c r="N1741" s="150"/>
      <c r="O1741" s="150"/>
      <c r="P1741" s="150"/>
      <c r="Q1741" s="150"/>
      <c r="R1741" s="150"/>
      <c r="S1741" s="150"/>
      <c r="T1741" s="150"/>
      <c r="U1741" s="150"/>
      <c r="V1741" s="150"/>
      <c r="W1741" s="150"/>
      <c r="X1741" s="150"/>
      <c r="Y1741" s="150"/>
    </row>
    <row r="1742">
      <c r="A1742" s="150"/>
      <c r="B1742" s="156"/>
      <c r="C1742" s="157"/>
      <c r="D1742" s="150"/>
      <c r="E1742" s="150"/>
      <c r="F1742" s="150"/>
      <c r="G1742" s="150"/>
      <c r="H1742" s="150"/>
      <c r="I1742" s="150"/>
      <c r="J1742" s="150"/>
      <c r="K1742" s="150"/>
      <c r="L1742" s="150"/>
      <c r="M1742" s="150"/>
      <c r="N1742" s="150"/>
      <c r="O1742" s="150"/>
      <c r="P1742" s="150"/>
      <c r="Q1742" s="150"/>
      <c r="R1742" s="150"/>
      <c r="S1742" s="150"/>
      <c r="T1742" s="150"/>
      <c r="U1742" s="150"/>
      <c r="V1742" s="150"/>
      <c r="W1742" s="150"/>
      <c r="X1742" s="150"/>
      <c r="Y1742" s="150"/>
    </row>
    <row r="1743">
      <c r="A1743" s="150"/>
      <c r="B1743" s="156"/>
      <c r="C1743" s="157"/>
      <c r="D1743" s="150"/>
      <c r="E1743" s="150"/>
      <c r="F1743" s="150"/>
      <c r="G1743" s="150"/>
      <c r="H1743" s="150"/>
      <c r="I1743" s="150"/>
      <c r="J1743" s="150"/>
      <c r="K1743" s="150"/>
      <c r="L1743" s="150"/>
      <c r="M1743" s="150"/>
      <c r="N1743" s="150"/>
      <c r="O1743" s="150"/>
      <c r="P1743" s="150"/>
      <c r="Q1743" s="150"/>
      <c r="R1743" s="150"/>
      <c r="S1743" s="150"/>
      <c r="T1743" s="150"/>
      <c r="U1743" s="150"/>
      <c r="V1743" s="150"/>
      <c r="W1743" s="150"/>
      <c r="X1743" s="150"/>
      <c r="Y1743" s="150"/>
    </row>
    <row r="1744">
      <c r="A1744" s="150"/>
      <c r="B1744" s="156"/>
      <c r="C1744" s="157"/>
      <c r="D1744" s="150"/>
      <c r="E1744" s="150"/>
      <c r="F1744" s="150"/>
      <c r="G1744" s="150"/>
      <c r="H1744" s="150"/>
      <c r="I1744" s="150"/>
      <c r="J1744" s="150"/>
      <c r="K1744" s="150"/>
      <c r="L1744" s="150"/>
      <c r="M1744" s="150"/>
      <c r="N1744" s="150"/>
      <c r="O1744" s="150"/>
      <c r="P1744" s="150"/>
      <c r="Q1744" s="150"/>
      <c r="R1744" s="150"/>
      <c r="S1744" s="150"/>
      <c r="T1744" s="150"/>
      <c r="U1744" s="150"/>
      <c r="V1744" s="150"/>
      <c r="W1744" s="150"/>
      <c r="X1744" s="150"/>
      <c r="Y1744" s="150"/>
    </row>
    <row r="1745">
      <c r="A1745" s="150"/>
      <c r="B1745" s="156"/>
      <c r="C1745" s="157"/>
      <c r="D1745" s="150"/>
      <c r="E1745" s="150"/>
      <c r="F1745" s="150"/>
      <c r="G1745" s="150"/>
      <c r="H1745" s="150"/>
      <c r="I1745" s="150"/>
      <c r="J1745" s="150"/>
      <c r="K1745" s="150"/>
      <c r="L1745" s="150"/>
      <c r="M1745" s="150"/>
      <c r="N1745" s="150"/>
      <c r="O1745" s="150"/>
      <c r="P1745" s="150"/>
      <c r="Q1745" s="150"/>
      <c r="R1745" s="150"/>
      <c r="S1745" s="150"/>
      <c r="T1745" s="150"/>
      <c r="U1745" s="150"/>
      <c r="V1745" s="150"/>
      <c r="W1745" s="150"/>
      <c r="X1745" s="150"/>
      <c r="Y1745" s="150"/>
    </row>
    <row r="1746">
      <c r="A1746" s="150"/>
      <c r="B1746" s="156"/>
      <c r="C1746" s="157"/>
      <c r="D1746" s="150"/>
      <c r="E1746" s="150"/>
      <c r="F1746" s="150"/>
      <c r="G1746" s="150"/>
      <c r="H1746" s="150"/>
      <c r="I1746" s="150"/>
      <c r="J1746" s="150"/>
      <c r="K1746" s="150"/>
      <c r="L1746" s="150"/>
      <c r="M1746" s="150"/>
      <c r="N1746" s="150"/>
      <c r="O1746" s="150"/>
      <c r="P1746" s="150"/>
      <c r="Q1746" s="150"/>
      <c r="R1746" s="150"/>
      <c r="S1746" s="150"/>
      <c r="T1746" s="150"/>
      <c r="U1746" s="150"/>
      <c r="V1746" s="150"/>
      <c r="W1746" s="150"/>
      <c r="X1746" s="150"/>
      <c r="Y1746" s="150"/>
    </row>
    <row r="1747">
      <c r="A1747" s="150"/>
      <c r="B1747" s="156"/>
      <c r="C1747" s="157"/>
      <c r="D1747" s="150"/>
      <c r="E1747" s="150"/>
      <c r="F1747" s="150"/>
      <c r="G1747" s="150"/>
      <c r="H1747" s="150"/>
      <c r="I1747" s="150"/>
      <c r="J1747" s="150"/>
      <c r="K1747" s="150"/>
      <c r="L1747" s="150"/>
      <c r="M1747" s="150"/>
      <c r="N1747" s="150"/>
      <c r="O1747" s="150"/>
      <c r="P1747" s="150"/>
      <c r="Q1747" s="150"/>
      <c r="R1747" s="150"/>
      <c r="S1747" s="150"/>
      <c r="T1747" s="150"/>
      <c r="U1747" s="150"/>
      <c r="V1747" s="150"/>
      <c r="W1747" s="150"/>
      <c r="X1747" s="150"/>
      <c r="Y1747" s="150"/>
    </row>
    <row r="1748">
      <c r="A1748" s="150"/>
      <c r="B1748" s="156"/>
      <c r="C1748" s="157"/>
      <c r="D1748" s="150"/>
      <c r="E1748" s="150"/>
      <c r="F1748" s="150"/>
      <c r="G1748" s="150"/>
      <c r="H1748" s="150"/>
      <c r="I1748" s="150"/>
      <c r="J1748" s="150"/>
      <c r="K1748" s="150"/>
      <c r="L1748" s="150"/>
      <c r="M1748" s="150"/>
      <c r="N1748" s="150"/>
      <c r="O1748" s="150"/>
      <c r="P1748" s="150"/>
      <c r="Q1748" s="150"/>
      <c r="R1748" s="150"/>
      <c r="S1748" s="150"/>
      <c r="T1748" s="150"/>
      <c r="U1748" s="150"/>
      <c r="V1748" s="150"/>
      <c r="W1748" s="150"/>
      <c r="X1748" s="150"/>
      <c r="Y1748" s="150"/>
    </row>
    <row r="1749">
      <c r="A1749" s="150"/>
      <c r="B1749" s="156"/>
      <c r="C1749" s="157"/>
      <c r="D1749" s="150"/>
      <c r="E1749" s="150"/>
      <c r="F1749" s="150"/>
      <c r="G1749" s="150"/>
      <c r="H1749" s="150"/>
      <c r="I1749" s="150"/>
      <c r="J1749" s="150"/>
      <c r="K1749" s="150"/>
      <c r="L1749" s="150"/>
      <c r="M1749" s="150"/>
      <c r="N1749" s="150"/>
      <c r="O1749" s="150"/>
      <c r="P1749" s="150"/>
      <c r="Q1749" s="150"/>
      <c r="R1749" s="150"/>
      <c r="S1749" s="150"/>
      <c r="T1749" s="150"/>
      <c r="U1749" s="150"/>
      <c r="V1749" s="150"/>
      <c r="W1749" s="150"/>
      <c r="X1749" s="150"/>
      <c r="Y1749" s="150"/>
    </row>
    <row r="1750">
      <c r="A1750" s="150"/>
      <c r="B1750" s="156"/>
      <c r="C1750" s="157"/>
      <c r="D1750" s="150"/>
      <c r="E1750" s="150"/>
      <c r="F1750" s="150"/>
      <c r="G1750" s="150"/>
      <c r="H1750" s="150"/>
      <c r="I1750" s="150"/>
      <c r="J1750" s="150"/>
      <c r="K1750" s="150"/>
      <c r="L1750" s="150"/>
      <c r="M1750" s="150"/>
      <c r="N1750" s="150"/>
      <c r="O1750" s="150"/>
      <c r="P1750" s="150"/>
      <c r="Q1750" s="150"/>
      <c r="R1750" s="150"/>
      <c r="S1750" s="150"/>
      <c r="T1750" s="150"/>
      <c r="U1750" s="150"/>
      <c r="V1750" s="150"/>
      <c r="W1750" s="150"/>
      <c r="X1750" s="150"/>
      <c r="Y1750" s="150"/>
    </row>
    <row r="1751">
      <c r="A1751" s="150"/>
      <c r="B1751" s="156"/>
      <c r="C1751" s="157"/>
      <c r="D1751" s="150"/>
      <c r="E1751" s="150"/>
      <c r="F1751" s="150"/>
      <c r="G1751" s="150"/>
      <c r="H1751" s="150"/>
      <c r="I1751" s="150"/>
      <c r="J1751" s="150"/>
      <c r="K1751" s="150"/>
      <c r="L1751" s="150"/>
      <c r="M1751" s="150"/>
      <c r="N1751" s="150"/>
      <c r="O1751" s="150"/>
      <c r="P1751" s="150"/>
      <c r="Q1751" s="150"/>
      <c r="R1751" s="150"/>
      <c r="S1751" s="150"/>
      <c r="T1751" s="150"/>
      <c r="U1751" s="150"/>
      <c r="V1751" s="150"/>
      <c r="W1751" s="150"/>
      <c r="X1751" s="150"/>
      <c r="Y1751" s="150"/>
    </row>
    <row r="1752">
      <c r="A1752" s="150"/>
      <c r="B1752" s="156"/>
      <c r="C1752" s="157"/>
      <c r="D1752" s="150"/>
      <c r="E1752" s="150"/>
      <c r="F1752" s="150"/>
      <c r="G1752" s="150"/>
      <c r="H1752" s="150"/>
      <c r="I1752" s="150"/>
      <c r="J1752" s="150"/>
      <c r="K1752" s="150"/>
      <c r="L1752" s="150"/>
      <c r="M1752" s="150"/>
      <c r="N1752" s="150"/>
      <c r="O1752" s="150"/>
      <c r="P1752" s="150"/>
      <c r="Q1752" s="150"/>
      <c r="R1752" s="150"/>
      <c r="S1752" s="150"/>
      <c r="T1752" s="150"/>
      <c r="U1752" s="150"/>
      <c r="V1752" s="150"/>
      <c r="W1752" s="150"/>
      <c r="X1752" s="150"/>
      <c r="Y1752" s="150"/>
    </row>
    <row r="1753">
      <c r="A1753" s="150"/>
      <c r="B1753" s="156"/>
      <c r="C1753" s="157"/>
      <c r="D1753" s="150"/>
      <c r="E1753" s="150"/>
      <c r="F1753" s="150"/>
      <c r="G1753" s="150"/>
      <c r="H1753" s="150"/>
      <c r="I1753" s="150"/>
      <c r="J1753" s="150"/>
      <c r="K1753" s="150"/>
      <c r="L1753" s="150"/>
      <c r="M1753" s="150"/>
      <c r="N1753" s="150"/>
      <c r="O1753" s="150"/>
      <c r="P1753" s="150"/>
      <c r="Q1753" s="150"/>
      <c r="R1753" s="150"/>
      <c r="S1753" s="150"/>
      <c r="T1753" s="150"/>
      <c r="U1753" s="150"/>
      <c r="V1753" s="150"/>
      <c r="W1753" s="150"/>
      <c r="X1753" s="150"/>
      <c r="Y1753" s="150"/>
    </row>
    <row r="1754">
      <c r="A1754" s="150"/>
      <c r="B1754" s="156"/>
      <c r="C1754" s="157"/>
      <c r="D1754" s="150"/>
      <c r="E1754" s="150"/>
      <c r="F1754" s="150"/>
      <c r="G1754" s="150"/>
      <c r="H1754" s="150"/>
      <c r="I1754" s="150"/>
      <c r="J1754" s="150"/>
      <c r="K1754" s="150"/>
      <c r="L1754" s="150"/>
      <c r="M1754" s="150"/>
      <c r="N1754" s="150"/>
      <c r="O1754" s="150"/>
      <c r="P1754" s="150"/>
      <c r="Q1754" s="150"/>
      <c r="R1754" s="150"/>
      <c r="S1754" s="150"/>
      <c r="T1754" s="150"/>
      <c r="U1754" s="150"/>
      <c r="V1754" s="150"/>
      <c r="W1754" s="150"/>
      <c r="X1754" s="150"/>
      <c r="Y1754" s="150"/>
    </row>
    <row r="1755">
      <c r="A1755" s="150"/>
      <c r="B1755" s="156"/>
      <c r="C1755" s="157"/>
      <c r="D1755" s="150"/>
      <c r="E1755" s="150"/>
      <c r="F1755" s="150"/>
      <c r="G1755" s="150"/>
      <c r="H1755" s="150"/>
      <c r="I1755" s="150"/>
      <c r="J1755" s="150"/>
      <c r="K1755" s="150"/>
      <c r="L1755" s="150"/>
      <c r="M1755" s="150"/>
      <c r="N1755" s="150"/>
      <c r="O1755" s="150"/>
      <c r="P1755" s="150"/>
      <c r="Q1755" s="150"/>
      <c r="R1755" s="150"/>
      <c r="S1755" s="150"/>
      <c r="T1755" s="150"/>
      <c r="U1755" s="150"/>
      <c r="V1755" s="150"/>
      <c r="W1755" s="150"/>
      <c r="X1755" s="150"/>
      <c r="Y1755" s="150"/>
    </row>
    <row r="1756">
      <c r="A1756" s="150"/>
      <c r="B1756" s="156"/>
      <c r="C1756" s="157"/>
      <c r="D1756" s="150"/>
      <c r="E1756" s="150"/>
      <c r="F1756" s="150"/>
      <c r="G1756" s="150"/>
      <c r="H1756" s="150"/>
      <c r="I1756" s="150"/>
      <c r="J1756" s="150"/>
      <c r="K1756" s="150"/>
      <c r="L1756" s="150"/>
      <c r="M1756" s="150"/>
      <c r="N1756" s="150"/>
      <c r="O1756" s="150"/>
      <c r="P1756" s="150"/>
      <c r="Q1756" s="150"/>
      <c r="R1756" s="150"/>
      <c r="S1756" s="150"/>
      <c r="T1756" s="150"/>
      <c r="U1756" s="150"/>
      <c r="V1756" s="150"/>
      <c r="W1756" s="150"/>
      <c r="X1756" s="150"/>
      <c r="Y1756" s="150"/>
    </row>
    <row r="1757">
      <c r="A1757" s="150"/>
      <c r="B1757" s="156"/>
      <c r="C1757" s="157"/>
      <c r="D1757" s="150"/>
      <c r="E1757" s="150"/>
      <c r="F1757" s="150"/>
      <c r="G1757" s="150"/>
      <c r="H1757" s="150"/>
      <c r="I1757" s="150"/>
      <c r="J1757" s="150"/>
      <c r="K1757" s="150"/>
      <c r="L1757" s="150"/>
      <c r="M1757" s="150"/>
      <c r="N1757" s="150"/>
      <c r="O1757" s="150"/>
      <c r="P1757" s="150"/>
      <c r="Q1757" s="150"/>
      <c r="R1757" s="150"/>
      <c r="S1757" s="150"/>
      <c r="T1757" s="150"/>
      <c r="U1757" s="150"/>
      <c r="V1757" s="150"/>
      <c r="W1757" s="150"/>
      <c r="X1757" s="150"/>
      <c r="Y1757" s="150"/>
    </row>
    <row r="1758">
      <c r="A1758" s="150"/>
      <c r="B1758" s="156"/>
      <c r="C1758" s="157"/>
      <c r="D1758" s="150"/>
      <c r="E1758" s="150"/>
      <c r="F1758" s="150"/>
      <c r="G1758" s="150"/>
      <c r="H1758" s="150"/>
      <c r="I1758" s="150"/>
      <c r="J1758" s="150"/>
      <c r="K1758" s="150"/>
      <c r="L1758" s="150"/>
      <c r="M1758" s="150"/>
      <c r="N1758" s="150"/>
      <c r="O1758" s="150"/>
      <c r="P1758" s="150"/>
      <c r="Q1758" s="150"/>
      <c r="R1758" s="150"/>
      <c r="S1758" s="150"/>
      <c r="T1758" s="150"/>
      <c r="U1758" s="150"/>
      <c r="V1758" s="150"/>
      <c r="W1758" s="150"/>
      <c r="X1758" s="150"/>
      <c r="Y1758" s="150"/>
    </row>
    <row r="1759">
      <c r="A1759" s="150"/>
      <c r="B1759" s="156"/>
      <c r="C1759" s="157"/>
      <c r="D1759" s="150"/>
      <c r="E1759" s="150"/>
      <c r="F1759" s="150"/>
      <c r="G1759" s="150"/>
      <c r="H1759" s="150"/>
      <c r="I1759" s="150"/>
      <c r="J1759" s="150"/>
      <c r="K1759" s="150"/>
      <c r="L1759" s="150"/>
      <c r="M1759" s="150"/>
      <c r="N1759" s="150"/>
      <c r="O1759" s="150"/>
      <c r="P1759" s="150"/>
      <c r="Q1759" s="150"/>
      <c r="R1759" s="150"/>
      <c r="S1759" s="150"/>
      <c r="T1759" s="150"/>
      <c r="U1759" s="150"/>
      <c r="V1759" s="150"/>
      <c r="W1759" s="150"/>
      <c r="X1759" s="150"/>
      <c r="Y1759" s="150"/>
    </row>
    <row r="1760">
      <c r="A1760" s="150"/>
      <c r="B1760" s="156"/>
      <c r="C1760" s="157"/>
      <c r="D1760" s="150"/>
      <c r="E1760" s="150"/>
      <c r="F1760" s="150"/>
      <c r="G1760" s="150"/>
      <c r="H1760" s="150"/>
      <c r="I1760" s="150"/>
      <c r="J1760" s="150"/>
      <c r="K1760" s="150"/>
      <c r="L1760" s="150"/>
      <c r="M1760" s="150"/>
      <c r="N1760" s="150"/>
      <c r="O1760" s="150"/>
      <c r="P1760" s="150"/>
      <c r="Q1760" s="150"/>
      <c r="R1760" s="150"/>
      <c r="S1760" s="150"/>
      <c r="T1760" s="150"/>
      <c r="U1760" s="150"/>
      <c r="V1760" s="150"/>
      <c r="W1760" s="150"/>
      <c r="X1760" s="150"/>
      <c r="Y1760" s="150"/>
    </row>
    <row r="1761">
      <c r="A1761" s="150"/>
      <c r="B1761" s="156"/>
      <c r="C1761" s="157"/>
      <c r="D1761" s="150"/>
      <c r="E1761" s="150"/>
      <c r="F1761" s="150"/>
      <c r="G1761" s="150"/>
      <c r="H1761" s="150"/>
      <c r="I1761" s="150"/>
      <c r="J1761" s="150"/>
      <c r="K1761" s="150"/>
      <c r="L1761" s="150"/>
      <c r="M1761" s="150"/>
      <c r="N1761" s="150"/>
      <c r="O1761" s="150"/>
      <c r="P1761" s="150"/>
      <c r="Q1761" s="150"/>
      <c r="R1761" s="150"/>
      <c r="S1761" s="150"/>
      <c r="T1761" s="150"/>
      <c r="U1761" s="150"/>
      <c r="V1761" s="150"/>
      <c r="W1761" s="150"/>
      <c r="X1761" s="150"/>
      <c r="Y1761" s="150"/>
    </row>
    <row r="1762">
      <c r="A1762" s="150"/>
      <c r="B1762" s="156"/>
      <c r="C1762" s="157"/>
      <c r="D1762" s="150"/>
      <c r="E1762" s="150"/>
      <c r="F1762" s="150"/>
      <c r="G1762" s="150"/>
      <c r="H1762" s="150"/>
      <c r="I1762" s="150"/>
      <c r="J1762" s="150"/>
      <c r="K1762" s="150"/>
      <c r="L1762" s="150"/>
      <c r="M1762" s="150"/>
      <c r="N1762" s="150"/>
      <c r="O1762" s="150"/>
      <c r="P1762" s="150"/>
      <c r="Q1762" s="150"/>
      <c r="R1762" s="150"/>
      <c r="S1762" s="150"/>
      <c r="T1762" s="150"/>
      <c r="U1762" s="150"/>
      <c r="V1762" s="150"/>
      <c r="W1762" s="150"/>
      <c r="X1762" s="150"/>
      <c r="Y1762" s="150"/>
    </row>
    <row r="1763">
      <c r="A1763" s="150"/>
      <c r="B1763" s="156"/>
      <c r="C1763" s="157"/>
      <c r="D1763" s="150"/>
      <c r="E1763" s="150"/>
      <c r="F1763" s="150"/>
      <c r="G1763" s="150"/>
      <c r="H1763" s="150"/>
      <c r="I1763" s="150"/>
      <c r="J1763" s="150"/>
      <c r="K1763" s="150"/>
      <c r="L1763" s="150"/>
      <c r="M1763" s="150"/>
      <c r="N1763" s="150"/>
      <c r="O1763" s="150"/>
      <c r="P1763" s="150"/>
      <c r="Q1763" s="150"/>
      <c r="R1763" s="150"/>
      <c r="S1763" s="150"/>
      <c r="T1763" s="150"/>
      <c r="U1763" s="150"/>
      <c r="V1763" s="150"/>
      <c r="W1763" s="150"/>
      <c r="X1763" s="150"/>
      <c r="Y1763" s="150"/>
    </row>
    <row r="1764">
      <c r="A1764" s="150"/>
      <c r="B1764" s="156"/>
      <c r="C1764" s="157"/>
      <c r="D1764" s="150"/>
      <c r="E1764" s="150"/>
      <c r="F1764" s="150"/>
      <c r="G1764" s="150"/>
      <c r="H1764" s="150"/>
      <c r="I1764" s="150"/>
      <c r="J1764" s="150"/>
      <c r="K1764" s="150"/>
      <c r="L1764" s="150"/>
      <c r="M1764" s="150"/>
      <c r="N1764" s="150"/>
      <c r="O1764" s="150"/>
      <c r="P1764" s="150"/>
      <c r="Q1764" s="150"/>
      <c r="R1764" s="150"/>
      <c r="S1764" s="150"/>
      <c r="T1764" s="150"/>
      <c r="U1764" s="150"/>
      <c r="V1764" s="150"/>
      <c r="W1764" s="150"/>
      <c r="X1764" s="150"/>
      <c r="Y1764" s="150"/>
    </row>
    <row r="1765">
      <c r="A1765" s="150"/>
      <c r="B1765" s="156"/>
      <c r="C1765" s="157"/>
      <c r="D1765" s="150"/>
      <c r="E1765" s="150"/>
      <c r="F1765" s="150"/>
      <c r="G1765" s="150"/>
      <c r="H1765" s="150"/>
      <c r="I1765" s="150"/>
      <c r="J1765" s="150"/>
      <c r="K1765" s="150"/>
      <c r="L1765" s="150"/>
      <c r="M1765" s="150"/>
      <c r="N1765" s="150"/>
      <c r="O1765" s="150"/>
      <c r="P1765" s="150"/>
      <c r="Q1765" s="150"/>
      <c r="R1765" s="150"/>
      <c r="S1765" s="150"/>
      <c r="T1765" s="150"/>
      <c r="U1765" s="150"/>
      <c r="V1765" s="150"/>
      <c r="W1765" s="150"/>
      <c r="X1765" s="150"/>
      <c r="Y1765" s="150"/>
    </row>
    <row r="1766">
      <c r="A1766" s="150"/>
      <c r="B1766" s="156"/>
      <c r="C1766" s="157"/>
      <c r="D1766" s="150"/>
      <c r="E1766" s="150"/>
      <c r="F1766" s="150"/>
      <c r="G1766" s="150"/>
      <c r="H1766" s="150"/>
      <c r="I1766" s="150"/>
      <c r="J1766" s="150"/>
      <c r="K1766" s="150"/>
      <c r="L1766" s="150"/>
      <c r="M1766" s="150"/>
      <c r="N1766" s="150"/>
      <c r="O1766" s="150"/>
      <c r="P1766" s="150"/>
      <c r="Q1766" s="150"/>
      <c r="R1766" s="150"/>
      <c r="S1766" s="150"/>
      <c r="T1766" s="150"/>
      <c r="U1766" s="150"/>
      <c r="V1766" s="150"/>
      <c r="W1766" s="150"/>
      <c r="X1766" s="150"/>
      <c r="Y1766" s="150"/>
    </row>
    <row r="1767">
      <c r="A1767" s="150"/>
      <c r="B1767" s="156"/>
      <c r="C1767" s="157"/>
      <c r="D1767" s="150"/>
      <c r="E1767" s="150"/>
      <c r="F1767" s="150"/>
      <c r="G1767" s="150"/>
      <c r="H1767" s="150"/>
      <c r="I1767" s="150"/>
      <c r="J1767" s="150"/>
      <c r="K1767" s="150"/>
      <c r="L1767" s="150"/>
      <c r="M1767" s="150"/>
      <c r="N1767" s="150"/>
      <c r="O1767" s="150"/>
      <c r="P1767" s="150"/>
      <c r="Q1767" s="150"/>
      <c r="R1767" s="150"/>
      <c r="S1767" s="150"/>
      <c r="T1767" s="150"/>
      <c r="U1767" s="150"/>
      <c r="V1767" s="150"/>
      <c r="W1767" s="150"/>
      <c r="X1767" s="150"/>
      <c r="Y1767" s="150"/>
    </row>
    <row r="1768">
      <c r="A1768" s="150"/>
      <c r="B1768" s="156"/>
      <c r="C1768" s="157"/>
      <c r="D1768" s="150"/>
      <c r="E1768" s="150"/>
      <c r="F1768" s="150"/>
      <c r="G1768" s="150"/>
      <c r="H1768" s="150"/>
      <c r="I1768" s="150"/>
      <c r="J1768" s="150"/>
      <c r="K1768" s="150"/>
      <c r="L1768" s="150"/>
      <c r="M1768" s="150"/>
      <c r="N1768" s="150"/>
      <c r="O1768" s="150"/>
      <c r="P1768" s="150"/>
      <c r="Q1768" s="150"/>
      <c r="R1768" s="150"/>
      <c r="S1768" s="150"/>
      <c r="T1768" s="150"/>
      <c r="U1768" s="150"/>
      <c r="V1768" s="150"/>
      <c r="W1768" s="150"/>
      <c r="X1768" s="150"/>
      <c r="Y1768" s="150"/>
    </row>
    <row r="1769">
      <c r="A1769" s="150"/>
      <c r="B1769" s="156"/>
      <c r="C1769" s="157"/>
      <c r="D1769" s="150"/>
      <c r="E1769" s="150"/>
      <c r="F1769" s="150"/>
      <c r="G1769" s="150"/>
      <c r="H1769" s="150"/>
      <c r="I1769" s="150"/>
      <c r="J1769" s="150"/>
      <c r="K1769" s="150"/>
      <c r="L1769" s="150"/>
      <c r="M1769" s="150"/>
      <c r="N1769" s="150"/>
      <c r="O1769" s="150"/>
      <c r="P1769" s="150"/>
      <c r="Q1769" s="150"/>
      <c r="R1769" s="150"/>
      <c r="S1769" s="150"/>
      <c r="T1769" s="150"/>
      <c r="U1769" s="150"/>
      <c r="V1769" s="150"/>
      <c r="W1769" s="150"/>
      <c r="X1769" s="150"/>
      <c r="Y1769" s="150"/>
    </row>
    <row r="1770">
      <c r="A1770" s="150"/>
      <c r="B1770" s="156"/>
      <c r="C1770" s="157"/>
      <c r="D1770" s="150"/>
      <c r="E1770" s="150"/>
      <c r="F1770" s="150"/>
      <c r="G1770" s="150"/>
      <c r="H1770" s="150"/>
      <c r="I1770" s="150"/>
      <c r="J1770" s="150"/>
      <c r="K1770" s="150"/>
      <c r="L1770" s="150"/>
      <c r="M1770" s="150"/>
      <c r="N1770" s="150"/>
      <c r="O1770" s="150"/>
      <c r="P1770" s="150"/>
      <c r="Q1770" s="150"/>
      <c r="R1770" s="150"/>
      <c r="S1770" s="150"/>
      <c r="T1770" s="150"/>
      <c r="U1770" s="150"/>
      <c r="V1770" s="150"/>
      <c r="W1770" s="150"/>
      <c r="X1770" s="150"/>
      <c r="Y1770" s="150"/>
    </row>
    <row r="1771">
      <c r="A1771" s="150"/>
      <c r="B1771" s="156"/>
      <c r="C1771" s="157"/>
      <c r="D1771" s="150"/>
      <c r="E1771" s="150"/>
      <c r="F1771" s="150"/>
      <c r="G1771" s="150"/>
      <c r="H1771" s="150"/>
      <c r="I1771" s="150"/>
      <c r="J1771" s="150"/>
      <c r="K1771" s="150"/>
      <c r="L1771" s="150"/>
      <c r="M1771" s="150"/>
      <c r="N1771" s="150"/>
      <c r="O1771" s="150"/>
      <c r="P1771" s="150"/>
      <c r="Q1771" s="150"/>
      <c r="R1771" s="150"/>
      <c r="S1771" s="150"/>
      <c r="T1771" s="150"/>
      <c r="U1771" s="150"/>
      <c r="V1771" s="150"/>
      <c r="W1771" s="150"/>
      <c r="X1771" s="150"/>
      <c r="Y1771" s="150"/>
    </row>
    <row r="1772">
      <c r="A1772" s="150"/>
      <c r="B1772" s="156"/>
      <c r="C1772" s="157"/>
      <c r="D1772" s="150"/>
      <c r="E1772" s="150"/>
      <c r="F1772" s="150"/>
      <c r="G1772" s="150"/>
      <c r="H1772" s="150"/>
      <c r="I1772" s="150"/>
      <c r="J1772" s="150"/>
      <c r="K1772" s="150"/>
      <c r="L1772" s="150"/>
      <c r="M1772" s="150"/>
      <c r="N1772" s="150"/>
      <c r="O1772" s="150"/>
      <c r="P1772" s="150"/>
      <c r="Q1772" s="150"/>
      <c r="R1772" s="150"/>
      <c r="S1772" s="150"/>
      <c r="T1772" s="150"/>
      <c r="U1772" s="150"/>
      <c r="V1772" s="150"/>
      <c r="W1772" s="150"/>
      <c r="X1772" s="150"/>
      <c r="Y1772" s="150"/>
    </row>
    <row r="1773">
      <c r="A1773" s="150"/>
      <c r="B1773" s="156"/>
      <c r="C1773" s="157"/>
      <c r="D1773" s="150"/>
      <c r="E1773" s="150"/>
      <c r="F1773" s="150"/>
      <c r="G1773" s="150"/>
      <c r="H1773" s="150"/>
      <c r="I1773" s="150"/>
      <c r="J1773" s="150"/>
      <c r="K1773" s="150"/>
      <c r="L1773" s="150"/>
      <c r="M1773" s="150"/>
      <c r="N1773" s="150"/>
      <c r="O1773" s="150"/>
      <c r="P1773" s="150"/>
      <c r="Q1773" s="150"/>
      <c r="R1773" s="150"/>
      <c r="S1773" s="150"/>
      <c r="T1773" s="150"/>
      <c r="U1773" s="150"/>
      <c r="V1773" s="150"/>
      <c r="W1773" s="150"/>
      <c r="X1773" s="150"/>
      <c r="Y1773" s="150"/>
    </row>
    <row r="1774">
      <c r="A1774" s="150"/>
      <c r="B1774" s="156"/>
      <c r="C1774" s="157"/>
      <c r="D1774" s="150"/>
      <c r="E1774" s="150"/>
      <c r="F1774" s="150"/>
      <c r="G1774" s="150"/>
      <c r="H1774" s="150"/>
      <c r="I1774" s="150"/>
      <c r="J1774" s="150"/>
      <c r="K1774" s="150"/>
      <c r="L1774" s="150"/>
      <c r="M1774" s="150"/>
      <c r="N1774" s="150"/>
      <c r="O1774" s="150"/>
      <c r="P1774" s="150"/>
      <c r="Q1774" s="150"/>
      <c r="R1774" s="150"/>
      <c r="S1774" s="150"/>
      <c r="T1774" s="150"/>
      <c r="U1774" s="150"/>
      <c r="V1774" s="150"/>
      <c r="W1774" s="150"/>
      <c r="X1774" s="150"/>
      <c r="Y1774" s="150"/>
    </row>
    <row r="1775">
      <c r="A1775" s="150"/>
      <c r="B1775" s="156"/>
      <c r="C1775" s="157"/>
      <c r="D1775" s="150"/>
      <c r="E1775" s="150"/>
      <c r="F1775" s="150"/>
      <c r="G1775" s="150"/>
      <c r="H1775" s="150"/>
      <c r="I1775" s="150"/>
      <c r="J1775" s="150"/>
      <c r="K1775" s="150"/>
      <c r="L1775" s="150"/>
      <c r="M1775" s="150"/>
      <c r="N1775" s="150"/>
      <c r="O1775" s="150"/>
      <c r="P1775" s="150"/>
      <c r="Q1775" s="150"/>
      <c r="R1775" s="150"/>
      <c r="S1775" s="150"/>
      <c r="T1775" s="150"/>
      <c r="U1775" s="150"/>
      <c r="V1775" s="150"/>
      <c r="W1775" s="150"/>
      <c r="X1775" s="150"/>
      <c r="Y1775" s="150"/>
    </row>
    <row r="1776">
      <c r="A1776" s="150"/>
      <c r="B1776" s="156"/>
      <c r="C1776" s="157"/>
      <c r="D1776" s="150"/>
      <c r="E1776" s="150"/>
      <c r="F1776" s="150"/>
      <c r="G1776" s="150"/>
      <c r="H1776" s="150"/>
      <c r="I1776" s="150"/>
      <c r="J1776" s="150"/>
      <c r="K1776" s="150"/>
      <c r="L1776" s="150"/>
      <c r="M1776" s="150"/>
      <c r="N1776" s="150"/>
      <c r="O1776" s="150"/>
      <c r="P1776" s="150"/>
      <c r="Q1776" s="150"/>
      <c r="R1776" s="150"/>
      <c r="S1776" s="150"/>
      <c r="T1776" s="150"/>
      <c r="U1776" s="150"/>
      <c r="V1776" s="150"/>
      <c r="W1776" s="150"/>
      <c r="X1776" s="150"/>
      <c r="Y1776" s="150"/>
    </row>
    <row r="1777">
      <c r="A1777" s="150"/>
      <c r="B1777" s="156"/>
      <c r="C1777" s="157"/>
      <c r="D1777" s="150"/>
      <c r="E1777" s="150"/>
      <c r="F1777" s="150"/>
      <c r="G1777" s="150"/>
      <c r="H1777" s="150"/>
      <c r="I1777" s="150"/>
      <c r="J1777" s="150"/>
      <c r="K1777" s="150"/>
      <c r="L1777" s="150"/>
      <c r="M1777" s="150"/>
      <c r="N1777" s="150"/>
      <c r="O1777" s="150"/>
      <c r="P1777" s="150"/>
      <c r="Q1777" s="150"/>
      <c r="R1777" s="150"/>
      <c r="S1777" s="150"/>
      <c r="T1777" s="150"/>
      <c r="U1777" s="150"/>
      <c r="V1777" s="150"/>
      <c r="W1777" s="150"/>
      <c r="X1777" s="150"/>
      <c r="Y1777" s="150"/>
    </row>
    <row r="1778">
      <c r="A1778" s="150"/>
      <c r="B1778" s="156"/>
      <c r="C1778" s="157"/>
      <c r="D1778" s="150"/>
      <c r="E1778" s="150"/>
      <c r="F1778" s="150"/>
      <c r="G1778" s="150"/>
      <c r="H1778" s="150"/>
      <c r="I1778" s="150"/>
      <c r="J1778" s="150"/>
      <c r="K1778" s="150"/>
      <c r="L1778" s="150"/>
      <c r="M1778" s="150"/>
      <c r="N1778" s="150"/>
      <c r="O1778" s="150"/>
      <c r="P1778" s="150"/>
      <c r="Q1778" s="150"/>
      <c r="R1778" s="150"/>
      <c r="S1778" s="150"/>
      <c r="T1778" s="150"/>
      <c r="U1778" s="150"/>
      <c r="V1778" s="150"/>
      <c r="W1778" s="150"/>
      <c r="X1778" s="150"/>
      <c r="Y1778" s="150"/>
    </row>
    <row r="1779">
      <c r="A1779" s="150"/>
      <c r="B1779" s="156"/>
      <c r="C1779" s="157"/>
      <c r="D1779" s="150"/>
      <c r="E1779" s="150"/>
      <c r="F1779" s="150"/>
      <c r="G1779" s="150"/>
      <c r="H1779" s="150"/>
      <c r="I1779" s="150"/>
      <c r="J1779" s="150"/>
      <c r="K1779" s="150"/>
      <c r="L1779" s="150"/>
      <c r="M1779" s="150"/>
      <c r="N1779" s="150"/>
      <c r="O1779" s="150"/>
      <c r="P1779" s="150"/>
      <c r="Q1779" s="150"/>
      <c r="R1779" s="150"/>
      <c r="S1779" s="150"/>
      <c r="T1779" s="150"/>
      <c r="U1779" s="150"/>
      <c r="V1779" s="150"/>
      <c r="W1779" s="150"/>
      <c r="X1779" s="150"/>
      <c r="Y1779" s="150"/>
    </row>
    <row r="1780">
      <c r="A1780" s="150"/>
      <c r="B1780" s="156"/>
      <c r="C1780" s="157"/>
      <c r="D1780" s="150"/>
      <c r="E1780" s="150"/>
      <c r="F1780" s="150"/>
      <c r="G1780" s="150"/>
      <c r="H1780" s="150"/>
      <c r="I1780" s="150"/>
      <c r="J1780" s="150"/>
      <c r="K1780" s="150"/>
      <c r="L1780" s="150"/>
      <c r="M1780" s="150"/>
      <c r="N1780" s="150"/>
      <c r="O1780" s="150"/>
      <c r="P1780" s="150"/>
      <c r="Q1780" s="150"/>
      <c r="R1780" s="150"/>
      <c r="S1780" s="150"/>
      <c r="T1780" s="150"/>
      <c r="U1780" s="150"/>
      <c r="V1780" s="150"/>
      <c r="W1780" s="150"/>
      <c r="X1780" s="150"/>
      <c r="Y1780" s="150"/>
    </row>
    <row r="1781">
      <c r="A1781" s="150"/>
      <c r="B1781" s="156"/>
      <c r="C1781" s="157"/>
      <c r="D1781" s="150"/>
      <c r="E1781" s="150"/>
      <c r="F1781" s="150"/>
      <c r="G1781" s="150"/>
      <c r="H1781" s="150"/>
      <c r="I1781" s="150"/>
      <c r="J1781" s="150"/>
      <c r="K1781" s="150"/>
      <c r="L1781" s="150"/>
      <c r="M1781" s="150"/>
      <c r="N1781" s="150"/>
      <c r="O1781" s="150"/>
      <c r="P1781" s="150"/>
      <c r="Q1781" s="150"/>
      <c r="R1781" s="150"/>
      <c r="S1781" s="150"/>
      <c r="T1781" s="150"/>
      <c r="U1781" s="150"/>
      <c r="V1781" s="150"/>
      <c r="W1781" s="150"/>
      <c r="X1781" s="150"/>
      <c r="Y1781" s="150"/>
    </row>
    <row r="1782">
      <c r="A1782" s="150"/>
      <c r="B1782" s="156"/>
      <c r="C1782" s="157"/>
      <c r="D1782" s="150"/>
      <c r="E1782" s="150"/>
      <c r="F1782" s="150"/>
      <c r="G1782" s="150"/>
      <c r="H1782" s="150"/>
      <c r="I1782" s="150"/>
      <c r="J1782" s="150"/>
      <c r="K1782" s="150"/>
      <c r="L1782" s="150"/>
      <c r="M1782" s="150"/>
      <c r="N1782" s="150"/>
      <c r="O1782" s="150"/>
      <c r="P1782" s="150"/>
      <c r="Q1782" s="150"/>
      <c r="R1782" s="150"/>
      <c r="S1782" s="150"/>
      <c r="T1782" s="150"/>
      <c r="U1782" s="150"/>
      <c r="V1782" s="150"/>
      <c r="W1782" s="150"/>
      <c r="X1782" s="150"/>
      <c r="Y1782" s="150"/>
    </row>
    <row r="1783">
      <c r="A1783" s="150"/>
      <c r="B1783" s="156"/>
      <c r="C1783" s="157"/>
      <c r="D1783" s="150"/>
      <c r="E1783" s="150"/>
      <c r="F1783" s="150"/>
      <c r="G1783" s="150"/>
      <c r="H1783" s="150"/>
      <c r="I1783" s="150"/>
      <c r="J1783" s="150"/>
      <c r="K1783" s="150"/>
      <c r="L1783" s="150"/>
      <c r="M1783" s="150"/>
      <c r="N1783" s="150"/>
      <c r="O1783" s="150"/>
      <c r="P1783" s="150"/>
      <c r="Q1783" s="150"/>
      <c r="R1783" s="150"/>
      <c r="S1783" s="150"/>
      <c r="T1783" s="150"/>
      <c r="U1783" s="150"/>
      <c r="V1783" s="150"/>
      <c r="W1783" s="150"/>
      <c r="X1783" s="150"/>
      <c r="Y1783" s="150"/>
    </row>
    <row r="1784">
      <c r="A1784" s="150"/>
      <c r="B1784" s="156"/>
      <c r="C1784" s="157"/>
      <c r="D1784" s="150"/>
      <c r="E1784" s="150"/>
      <c r="F1784" s="150"/>
      <c r="G1784" s="150"/>
      <c r="H1784" s="150"/>
      <c r="I1784" s="150"/>
      <c r="J1784" s="150"/>
      <c r="K1784" s="150"/>
      <c r="L1784" s="150"/>
      <c r="M1784" s="150"/>
      <c r="N1784" s="150"/>
      <c r="O1784" s="150"/>
      <c r="P1784" s="150"/>
      <c r="Q1784" s="150"/>
      <c r="R1784" s="150"/>
      <c r="S1784" s="150"/>
      <c r="T1784" s="150"/>
      <c r="U1784" s="150"/>
      <c r="V1784" s="150"/>
      <c r="W1784" s="150"/>
      <c r="X1784" s="150"/>
      <c r="Y1784" s="150"/>
    </row>
    <row r="1785">
      <c r="A1785" s="150"/>
      <c r="B1785" s="156"/>
      <c r="C1785" s="157"/>
      <c r="D1785" s="150"/>
      <c r="E1785" s="150"/>
      <c r="F1785" s="150"/>
      <c r="G1785" s="150"/>
      <c r="H1785" s="150"/>
      <c r="I1785" s="150"/>
      <c r="J1785" s="150"/>
      <c r="K1785" s="150"/>
      <c r="L1785" s="150"/>
      <c r="M1785" s="150"/>
      <c r="N1785" s="150"/>
      <c r="O1785" s="150"/>
      <c r="P1785" s="150"/>
      <c r="Q1785" s="150"/>
      <c r="R1785" s="150"/>
      <c r="S1785" s="150"/>
      <c r="T1785" s="150"/>
      <c r="U1785" s="150"/>
      <c r="V1785" s="150"/>
      <c r="W1785" s="150"/>
      <c r="X1785" s="150"/>
      <c r="Y1785" s="150"/>
    </row>
    <row r="1786">
      <c r="A1786" s="150"/>
      <c r="B1786" s="156"/>
      <c r="C1786" s="157"/>
      <c r="D1786" s="150"/>
      <c r="E1786" s="150"/>
      <c r="F1786" s="150"/>
      <c r="G1786" s="150"/>
      <c r="H1786" s="150"/>
      <c r="I1786" s="150"/>
      <c r="J1786" s="150"/>
      <c r="K1786" s="150"/>
      <c r="L1786" s="150"/>
      <c r="M1786" s="150"/>
      <c r="N1786" s="150"/>
      <c r="O1786" s="150"/>
      <c r="P1786" s="150"/>
      <c r="Q1786" s="150"/>
      <c r="R1786" s="150"/>
      <c r="S1786" s="150"/>
      <c r="T1786" s="150"/>
      <c r="U1786" s="150"/>
      <c r="V1786" s="150"/>
      <c r="W1786" s="150"/>
      <c r="X1786" s="150"/>
      <c r="Y1786" s="150"/>
    </row>
    <row r="1787">
      <c r="A1787" s="150"/>
      <c r="B1787" s="156"/>
      <c r="C1787" s="157"/>
      <c r="D1787" s="150"/>
      <c r="E1787" s="150"/>
      <c r="F1787" s="150"/>
      <c r="G1787" s="150"/>
      <c r="H1787" s="150"/>
      <c r="I1787" s="150"/>
      <c r="J1787" s="150"/>
      <c r="K1787" s="150"/>
      <c r="L1787" s="150"/>
      <c r="M1787" s="150"/>
      <c r="N1787" s="150"/>
      <c r="O1787" s="150"/>
      <c r="P1787" s="150"/>
      <c r="Q1787" s="150"/>
      <c r="R1787" s="150"/>
      <c r="S1787" s="150"/>
      <c r="T1787" s="150"/>
      <c r="U1787" s="150"/>
      <c r="V1787" s="150"/>
      <c r="W1787" s="150"/>
      <c r="X1787" s="150"/>
      <c r="Y1787" s="150"/>
    </row>
    <row r="1788">
      <c r="A1788" s="150"/>
      <c r="B1788" s="156"/>
      <c r="C1788" s="157"/>
      <c r="D1788" s="150"/>
      <c r="E1788" s="150"/>
      <c r="F1788" s="150"/>
      <c r="G1788" s="150"/>
      <c r="H1788" s="150"/>
      <c r="I1788" s="150"/>
      <c r="J1788" s="150"/>
      <c r="K1788" s="150"/>
      <c r="L1788" s="150"/>
      <c r="M1788" s="150"/>
      <c r="N1788" s="150"/>
      <c r="O1788" s="150"/>
      <c r="P1788" s="150"/>
      <c r="Q1788" s="150"/>
      <c r="R1788" s="150"/>
      <c r="S1788" s="150"/>
      <c r="T1788" s="150"/>
      <c r="U1788" s="150"/>
      <c r="V1788" s="150"/>
      <c r="W1788" s="150"/>
      <c r="X1788" s="150"/>
      <c r="Y1788" s="150"/>
    </row>
    <row r="1789">
      <c r="A1789" s="150"/>
      <c r="B1789" s="156"/>
      <c r="C1789" s="157"/>
      <c r="D1789" s="150"/>
      <c r="E1789" s="150"/>
      <c r="F1789" s="150"/>
      <c r="G1789" s="150"/>
      <c r="H1789" s="150"/>
      <c r="I1789" s="150"/>
      <c r="J1789" s="150"/>
      <c r="K1789" s="150"/>
      <c r="L1789" s="150"/>
      <c r="M1789" s="150"/>
      <c r="N1789" s="150"/>
      <c r="O1789" s="150"/>
      <c r="P1789" s="150"/>
      <c r="Q1789" s="150"/>
      <c r="R1789" s="150"/>
      <c r="S1789" s="150"/>
      <c r="T1789" s="150"/>
      <c r="U1789" s="150"/>
      <c r="V1789" s="150"/>
      <c r="W1789" s="150"/>
      <c r="X1789" s="150"/>
      <c r="Y1789" s="150"/>
    </row>
    <row r="1790">
      <c r="A1790" s="150"/>
      <c r="B1790" s="156"/>
      <c r="C1790" s="157"/>
      <c r="D1790" s="150"/>
      <c r="E1790" s="150"/>
      <c r="F1790" s="150"/>
      <c r="G1790" s="150"/>
      <c r="H1790" s="150"/>
      <c r="I1790" s="150"/>
      <c r="J1790" s="150"/>
      <c r="K1790" s="150"/>
      <c r="L1790" s="150"/>
      <c r="M1790" s="150"/>
      <c r="N1790" s="150"/>
      <c r="O1790" s="150"/>
      <c r="P1790" s="150"/>
      <c r="Q1790" s="150"/>
      <c r="R1790" s="150"/>
      <c r="S1790" s="150"/>
      <c r="T1790" s="150"/>
      <c r="U1790" s="150"/>
      <c r="V1790" s="150"/>
      <c r="W1790" s="150"/>
      <c r="X1790" s="150"/>
      <c r="Y1790" s="150"/>
    </row>
    <row r="1791">
      <c r="A1791" s="150"/>
      <c r="B1791" s="156"/>
      <c r="C1791" s="157"/>
      <c r="D1791" s="150"/>
      <c r="E1791" s="150"/>
      <c r="F1791" s="150"/>
      <c r="G1791" s="150"/>
      <c r="H1791" s="150"/>
      <c r="I1791" s="150"/>
      <c r="J1791" s="150"/>
      <c r="K1791" s="150"/>
      <c r="L1791" s="150"/>
      <c r="M1791" s="150"/>
      <c r="N1791" s="150"/>
      <c r="O1791" s="150"/>
      <c r="P1791" s="150"/>
      <c r="Q1791" s="150"/>
      <c r="R1791" s="150"/>
      <c r="S1791" s="150"/>
      <c r="T1791" s="150"/>
      <c r="U1791" s="150"/>
      <c r="V1791" s="150"/>
      <c r="W1791" s="150"/>
      <c r="X1791" s="150"/>
      <c r="Y1791" s="150"/>
    </row>
    <row r="1792">
      <c r="A1792" s="150"/>
      <c r="B1792" s="156"/>
      <c r="C1792" s="157"/>
      <c r="D1792" s="150"/>
      <c r="E1792" s="150"/>
      <c r="F1792" s="150"/>
      <c r="G1792" s="150"/>
      <c r="H1792" s="150"/>
      <c r="I1792" s="150"/>
      <c r="J1792" s="150"/>
      <c r="K1792" s="150"/>
      <c r="L1792" s="150"/>
      <c r="M1792" s="150"/>
      <c r="N1792" s="150"/>
      <c r="O1792" s="150"/>
      <c r="P1792" s="150"/>
      <c r="Q1792" s="150"/>
      <c r="R1792" s="150"/>
      <c r="S1792" s="150"/>
      <c r="T1792" s="150"/>
      <c r="U1792" s="150"/>
      <c r="V1792" s="150"/>
      <c r="W1792" s="150"/>
      <c r="X1792" s="150"/>
      <c r="Y1792" s="150"/>
    </row>
    <row r="1793">
      <c r="A1793" s="150"/>
      <c r="B1793" s="156"/>
      <c r="C1793" s="157"/>
      <c r="D1793" s="150"/>
      <c r="E1793" s="150"/>
      <c r="F1793" s="150"/>
      <c r="G1793" s="150"/>
      <c r="H1793" s="150"/>
      <c r="I1793" s="150"/>
      <c r="J1793" s="150"/>
      <c r="K1793" s="150"/>
      <c r="L1793" s="150"/>
      <c r="M1793" s="150"/>
      <c r="N1793" s="150"/>
      <c r="O1793" s="150"/>
      <c r="P1793" s="150"/>
      <c r="Q1793" s="150"/>
      <c r="R1793" s="150"/>
      <c r="S1793" s="150"/>
      <c r="T1793" s="150"/>
      <c r="U1793" s="150"/>
      <c r="V1793" s="150"/>
      <c r="W1793" s="150"/>
      <c r="X1793" s="150"/>
      <c r="Y1793" s="150"/>
    </row>
    <row r="1794">
      <c r="A1794" s="150"/>
      <c r="B1794" s="156"/>
      <c r="C1794" s="157"/>
      <c r="D1794" s="150"/>
      <c r="E1794" s="150"/>
      <c r="F1794" s="150"/>
      <c r="G1794" s="150"/>
      <c r="H1794" s="150"/>
      <c r="I1794" s="150"/>
      <c r="J1794" s="150"/>
      <c r="K1794" s="150"/>
      <c r="L1794" s="150"/>
      <c r="M1794" s="150"/>
      <c r="N1794" s="150"/>
      <c r="O1794" s="150"/>
      <c r="P1794" s="150"/>
      <c r="Q1794" s="150"/>
      <c r="R1794" s="150"/>
      <c r="S1794" s="150"/>
      <c r="T1794" s="150"/>
      <c r="U1794" s="150"/>
      <c r="V1794" s="150"/>
      <c r="W1794" s="150"/>
      <c r="X1794" s="150"/>
      <c r="Y1794" s="150"/>
    </row>
    <row r="1795">
      <c r="A1795" s="150"/>
      <c r="B1795" s="156"/>
      <c r="C1795" s="157"/>
      <c r="D1795" s="150"/>
      <c r="E1795" s="150"/>
      <c r="F1795" s="150"/>
      <c r="G1795" s="150"/>
      <c r="H1795" s="150"/>
      <c r="I1795" s="150"/>
      <c r="J1795" s="150"/>
      <c r="K1795" s="150"/>
      <c r="L1795" s="150"/>
      <c r="M1795" s="150"/>
      <c r="N1795" s="150"/>
      <c r="O1795" s="150"/>
      <c r="P1795" s="150"/>
      <c r="Q1795" s="150"/>
      <c r="R1795" s="150"/>
      <c r="S1795" s="150"/>
      <c r="T1795" s="150"/>
      <c r="U1795" s="150"/>
      <c r="V1795" s="150"/>
      <c r="W1795" s="150"/>
      <c r="X1795" s="150"/>
      <c r="Y1795" s="150"/>
    </row>
    <row r="1796">
      <c r="A1796" s="150"/>
      <c r="B1796" s="156"/>
      <c r="C1796" s="157"/>
      <c r="D1796" s="150"/>
      <c r="E1796" s="150"/>
      <c r="F1796" s="150"/>
      <c r="G1796" s="150"/>
      <c r="H1796" s="150"/>
      <c r="I1796" s="150"/>
      <c r="J1796" s="150"/>
      <c r="K1796" s="150"/>
      <c r="L1796" s="150"/>
      <c r="M1796" s="150"/>
      <c r="N1796" s="150"/>
      <c r="O1796" s="150"/>
      <c r="P1796" s="150"/>
      <c r="Q1796" s="150"/>
      <c r="R1796" s="150"/>
      <c r="S1796" s="150"/>
      <c r="T1796" s="150"/>
      <c r="U1796" s="150"/>
      <c r="V1796" s="150"/>
      <c r="W1796" s="150"/>
      <c r="X1796" s="150"/>
      <c r="Y1796" s="150"/>
    </row>
    <row r="1797">
      <c r="A1797" s="150"/>
      <c r="B1797" s="156"/>
      <c r="C1797" s="157"/>
      <c r="D1797" s="150"/>
      <c r="E1797" s="150"/>
      <c r="F1797" s="150"/>
      <c r="G1797" s="150"/>
      <c r="H1797" s="150"/>
      <c r="I1797" s="150"/>
      <c r="J1797" s="150"/>
      <c r="K1797" s="150"/>
      <c r="L1797" s="150"/>
      <c r="M1797" s="150"/>
      <c r="N1797" s="150"/>
      <c r="O1797" s="150"/>
      <c r="P1797" s="150"/>
      <c r="Q1797" s="150"/>
      <c r="R1797" s="150"/>
      <c r="S1797" s="150"/>
      <c r="T1797" s="150"/>
      <c r="U1797" s="150"/>
      <c r="V1797" s="150"/>
      <c r="W1797" s="150"/>
      <c r="X1797" s="150"/>
      <c r="Y1797" s="150"/>
    </row>
    <row r="1798">
      <c r="A1798" s="150"/>
      <c r="B1798" s="156"/>
      <c r="C1798" s="157"/>
      <c r="D1798" s="150"/>
      <c r="E1798" s="150"/>
      <c r="F1798" s="150"/>
      <c r="G1798" s="150"/>
      <c r="H1798" s="150"/>
      <c r="I1798" s="150"/>
      <c r="J1798" s="150"/>
      <c r="K1798" s="150"/>
      <c r="L1798" s="150"/>
      <c r="M1798" s="150"/>
      <c r="N1798" s="150"/>
      <c r="O1798" s="150"/>
      <c r="P1798" s="150"/>
      <c r="Q1798" s="150"/>
      <c r="R1798" s="150"/>
      <c r="S1798" s="150"/>
      <c r="T1798" s="150"/>
      <c r="U1798" s="150"/>
      <c r="V1798" s="150"/>
      <c r="W1798" s="150"/>
      <c r="X1798" s="150"/>
      <c r="Y1798" s="150"/>
    </row>
    <row r="1799">
      <c r="A1799" s="150"/>
      <c r="B1799" s="156"/>
      <c r="C1799" s="157"/>
      <c r="D1799" s="150"/>
      <c r="E1799" s="150"/>
      <c r="F1799" s="150"/>
      <c r="G1799" s="150"/>
      <c r="H1799" s="150"/>
      <c r="I1799" s="150"/>
      <c r="J1799" s="150"/>
      <c r="K1799" s="150"/>
      <c r="L1799" s="150"/>
      <c r="M1799" s="150"/>
      <c r="N1799" s="150"/>
      <c r="O1799" s="150"/>
      <c r="P1799" s="150"/>
      <c r="Q1799" s="150"/>
      <c r="R1799" s="150"/>
      <c r="S1799" s="150"/>
      <c r="T1799" s="150"/>
      <c r="U1799" s="150"/>
      <c r="V1799" s="150"/>
      <c r="W1799" s="150"/>
      <c r="X1799" s="150"/>
      <c r="Y1799" s="150"/>
    </row>
    <row r="1800">
      <c r="A1800" s="150"/>
      <c r="B1800" s="156"/>
      <c r="C1800" s="157"/>
      <c r="D1800" s="150"/>
      <c r="E1800" s="150"/>
      <c r="F1800" s="150"/>
      <c r="G1800" s="150"/>
      <c r="H1800" s="150"/>
      <c r="I1800" s="150"/>
      <c r="J1800" s="150"/>
      <c r="K1800" s="150"/>
      <c r="L1800" s="150"/>
      <c r="M1800" s="150"/>
      <c r="N1800" s="150"/>
      <c r="O1800" s="150"/>
      <c r="P1800" s="150"/>
      <c r="Q1800" s="150"/>
      <c r="R1800" s="150"/>
      <c r="S1800" s="150"/>
      <c r="T1800" s="150"/>
      <c r="U1800" s="150"/>
      <c r="V1800" s="150"/>
      <c r="W1800" s="150"/>
      <c r="X1800" s="150"/>
      <c r="Y1800" s="150"/>
    </row>
    <row r="1801">
      <c r="A1801" s="150"/>
      <c r="B1801" s="156"/>
      <c r="C1801" s="157"/>
      <c r="D1801" s="150"/>
      <c r="E1801" s="150"/>
      <c r="F1801" s="150"/>
      <c r="G1801" s="150"/>
      <c r="H1801" s="150"/>
      <c r="I1801" s="150"/>
      <c r="J1801" s="150"/>
      <c r="K1801" s="150"/>
      <c r="L1801" s="150"/>
      <c r="M1801" s="150"/>
      <c r="N1801" s="150"/>
      <c r="O1801" s="150"/>
      <c r="P1801" s="150"/>
      <c r="Q1801" s="150"/>
      <c r="R1801" s="150"/>
      <c r="S1801" s="150"/>
      <c r="T1801" s="150"/>
      <c r="U1801" s="150"/>
      <c r="V1801" s="150"/>
      <c r="W1801" s="150"/>
      <c r="X1801" s="150"/>
      <c r="Y1801" s="150"/>
    </row>
    <row r="1802">
      <c r="A1802" s="150"/>
      <c r="B1802" s="156"/>
      <c r="C1802" s="157"/>
      <c r="D1802" s="150"/>
      <c r="E1802" s="150"/>
      <c r="F1802" s="150"/>
      <c r="G1802" s="150"/>
      <c r="H1802" s="150"/>
      <c r="I1802" s="150"/>
      <c r="J1802" s="150"/>
      <c r="K1802" s="150"/>
      <c r="L1802" s="150"/>
      <c r="M1802" s="150"/>
      <c r="N1802" s="150"/>
      <c r="O1802" s="150"/>
      <c r="P1802" s="150"/>
      <c r="Q1802" s="150"/>
      <c r="R1802" s="150"/>
      <c r="S1802" s="150"/>
      <c r="T1802" s="150"/>
      <c r="U1802" s="150"/>
      <c r="V1802" s="150"/>
      <c r="W1802" s="150"/>
      <c r="X1802" s="150"/>
      <c r="Y1802" s="150"/>
    </row>
    <row r="1803">
      <c r="A1803" s="150"/>
      <c r="B1803" s="156"/>
      <c r="C1803" s="157"/>
      <c r="D1803" s="150"/>
      <c r="E1803" s="150"/>
      <c r="F1803" s="150"/>
      <c r="G1803" s="150"/>
      <c r="H1803" s="150"/>
      <c r="I1803" s="150"/>
      <c r="J1803" s="150"/>
      <c r="K1803" s="150"/>
      <c r="L1803" s="150"/>
      <c r="M1803" s="150"/>
      <c r="N1803" s="150"/>
      <c r="O1803" s="150"/>
      <c r="P1803" s="150"/>
      <c r="Q1803" s="150"/>
      <c r="R1803" s="150"/>
      <c r="S1803" s="150"/>
      <c r="T1803" s="150"/>
      <c r="U1803" s="150"/>
      <c r="V1803" s="150"/>
      <c r="W1803" s="150"/>
      <c r="X1803" s="150"/>
      <c r="Y1803" s="150"/>
    </row>
    <row r="1804">
      <c r="A1804" s="150"/>
      <c r="B1804" s="156"/>
      <c r="C1804" s="157"/>
      <c r="D1804" s="150"/>
      <c r="E1804" s="150"/>
      <c r="F1804" s="150"/>
      <c r="G1804" s="150"/>
      <c r="H1804" s="150"/>
      <c r="I1804" s="150"/>
      <c r="J1804" s="150"/>
      <c r="K1804" s="150"/>
      <c r="L1804" s="150"/>
      <c r="M1804" s="150"/>
      <c r="N1804" s="150"/>
      <c r="O1804" s="150"/>
      <c r="P1804" s="150"/>
      <c r="Q1804" s="150"/>
      <c r="R1804" s="150"/>
      <c r="S1804" s="150"/>
      <c r="T1804" s="150"/>
      <c r="U1804" s="150"/>
      <c r="V1804" s="150"/>
      <c r="W1804" s="150"/>
      <c r="X1804" s="150"/>
      <c r="Y1804" s="150"/>
    </row>
    <row r="1805">
      <c r="A1805" s="150"/>
      <c r="B1805" s="156"/>
      <c r="C1805" s="157"/>
      <c r="D1805" s="150"/>
      <c r="E1805" s="150"/>
      <c r="F1805" s="150"/>
      <c r="G1805" s="150"/>
      <c r="H1805" s="150"/>
      <c r="I1805" s="150"/>
      <c r="J1805" s="150"/>
      <c r="K1805" s="150"/>
      <c r="L1805" s="150"/>
      <c r="M1805" s="150"/>
      <c r="N1805" s="150"/>
      <c r="O1805" s="150"/>
      <c r="P1805" s="150"/>
      <c r="Q1805" s="150"/>
      <c r="R1805" s="150"/>
      <c r="S1805" s="150"/>
      <c r="T1805" s="150"/>
      <c r="U1805" s="150"/>
      <c r="V1805" s="150"/>
      <c r="W1805" s="150"/>
      <c r="X1805" s="150"/>
      <c r="Y1805" s="150"/>
    </row>
    <row r="1806">
      <c r="A1806" s="150"/>
      <c r="B1806" s="156"/>
      <c r="C1806" s="157"/>
      <c r="D1806" s="150"/>
      <c r="E1806" s="150"/>
      <c r="F1806" s="150"/>
      <c r="G1806" s="150"/>
      <c r="H1806" s="150"/>
      <c r="I1806" s="150"/>
      <c r="J1806" s="150"/>
      <c r="K1806" s="150"/>
      <c r="L1806" s="150"/>
      <c r="M1806" s="150"/>
      <c r="N1806" s="150"/>
      <c r="O1806" s="150"/>
      <c r="P1806" s="150"/>
      <c r="Q1806" s="150"/>
      <c r="R1806" s="150"/>
      <c r="S1806" s="150"/>
      <c r="T1806" s="150"/>
      <c r="U1806" s="150"/>
      <c r="V1806" s="150"/>
      <c r="W1806" s="150"/>
      <c r="X1806" s="150"/>
      <c r="Y1806" s="150"/>
    </row>
    <row r="1807">
      <c r="A1807" s="150"/>
      <c r="B1807" s="156"/>
      <c r="C1807" s="157"/>
      <c r="D1807" s="150"/>
      <c r="E1807" s="150"/>
      <c r="F1807" s="150"/>
      <c r="G1807" s="150"/>
      <c r="H1807" s="150"/>
      <c r="I1807" s="150"/>
      <c r="J1807" s="150"/>
      <c r="K1807" s="150"/>
      <c r="L1807" s="150"/>
      <c r="M1807" s="150"/>
      <c r="N1807" s="150"/>
      <c r="O1807" s="150"/>
      <c r="P1807" s="150"/>
      <c r="Q1807" s="150"/>
      <c r="R1807" s="150"/>
      <c r="S1807" s="150"/>
      <c r="T1807" s="150"/>
      <c r="U1807" s="150"/>
      <c r="V1807" s="150"/>
      <c r="W1807" s="150"/>
      <c r="X1807" s="150"/>
      <c r="Y1807" s="150"/>
    </row>
    <row r="1808">
      <c r="A1808" s="150"/>
      <c r="B1808" s="156"/>
      <c r="C1808" s="157"/>
      <c r="D1808" s="150"/>
      <c r="E1808" s="150"/>
      <c r="F1808" s="150"/>
      <c r="G1808" s="150"/>
      <c r="H1808" s="150"/>
      <c r="I1808" s="150"/>
      <c r="J1808" s="150"/>
      <c r="K1808" s="150"/>
      <c r="L1808" s="150"/>
      <c r="M1808" s="150"/>
      <c r="N1808" s="150"/>
      <c r="O1808" s="150"/>
      <c r="P1808" s="150"/>
      <c r="Q1808" s="150"/>
      <c r="R1808" s="150"/>
      <c r="S1808" s="150"/>
      <c r="T1808" s="150"/>
      <c r="U1808" s="150"/>
      <c r="V1808" s="150"/>
      <c r="W1808" s="150"/>
      <c r="X1808" s="150"/>
      <c r="Y1808" s="150"/>
    </row>
    <row r="1809">
      <c r="A1809" s="150"/>
      <c r="B1809" s="156"/>
      <c r="C1809" s="157"/>
      <c r="D1809" s="150"/>
      <c r="E1809" s="150"/>
      <c r="F1809" s="150"/>
      <c r="G1809" s="150"/>
      <c r="H1809" s="150"/>
      <c r="I1809" s="150"/>
      <c r="J1809" s="150"/>
      <c r="K1809" s="150"/>
      <c r="L1809" s="150"/>
      <c r="M1809" s="150"/>
      <c r="N1809" s="150"/>
      <c r="O1809" s="150"/>
      <c r="P1809" s="150"/>
      <c r="Q1809" s="150"/>
      <c r="R1809" s="150"/>
      <c r="S1809" s="150"/>
      <c r="T1809" s="150"/>
      <c r="U1809" s="150"/>
      <c r="V1809" s="150"/>
      <c r="W1809" s="150"/>
      <c r="X1809" s="150"/>
      <c r="Y1809" s="150"/>
    </row>
    <row r="1810">
      <c r="A1810" s="150"/>
      <c r="B1810" s="156"/>
      <c r="C1810" s="157"/>
      <c r="D1810" s="150"/>
      <c r="E1810" s="150"/>
      <c r="F1810" s="150"/>
      <c r="G1810" s="150"/>
      <c r="H1810" s="150"/>
      <c r="I1810" s="150"/>
      <c r="J1810" s="150"/>
      <c r="K1810" s="150"/>
      <c r="L1810" s="150"/>
      <c r="M1810" s="150"/>
      <c r="N1810" s="150"/>
      <c r="O1810" s="150"/>
      <c r="P1810" s="150"/>
      <c r="Q1810" s="150"/>
      <c r="R1810" s="150"/>
      <c r="S1810" s="150"/>
      <c r="T1810" s="150"/>
      <c r="U1810" s="150"/>
      <c r="V1810" s="150"/>
      <c r="W1810" s="150"/>
      <c r="X1810" s="150"/>
      <c r="Y1810" s="150"/>
    </row>
    <row r="1811">
      <c r="A1811" s="150"/>
      <c r="B1811" s="156"/>
      <c r="C1811" s="157"/>
      <c r="D1811" s="150"/>
      <c r="E1811" s="150"/>
      <c r="F1811" s="150"/>
      <c r="G1811" s="150"/>
      <c r="H1811" s="150"/>
      <c r="I1811" s="150"/>
      <c r="J1811" s="150"/>
      <c r="K1811" s="150"/>
      <c r="L1811" s="150"/>
      <c r="M1811" s="150"/>
      <c r="N1811" s="150"/>
      <c r="O1811" s="150"/>
      <c r="P1811" s="150"/>
      <c r="Q1811" s="150"/>
      <c r="R1811" s="150"/>
      <c r="S1811" s="150"/>
      <c r="T1811" s="150"/>
      <c r="U1811" s="150"/>
      <c r="V1811" s="150"/>
      <c r="W1811" s="150"/>
      <c r="X1811" s="150"/>
      <c r="Y1811" s="150"/>
    </row>
    <row r="1812">
      <c r="A1812" s="150"/>
      <c r="B1812" s="156"/>
      <c r="C1812" s="157"/>
      <c r="D1812" s="150"/>
      <c r="E1812" s="150"/>
      <c r="F1812" s="150"/>
      <c r="G1812" s="150"/>
      <c r="H1812" s="150"/>
      <c r="I1812" s="150"/>
      <c r="J1812" s="150"/>
      <c r="K1812" s="150"/>
      <c r="L1812" s="150"/>
      <c r="M1812" s="150"/>
      <c r="N1812" s="150"/>
      <c r="O1812" s="150"/>
      <c r="P1812" s="150"/>
      <c r="Q1812" s="150"/>
      <c r="R1812" s="150"/>
      <c r="S1812" s="150"/>
      <c r="T1812" s="150"/>
      <c r="U1812" s="150"/>
      <c r="V1812" s="150"/>
      <c r="W1812" s="150"/>
      <c r="X1812" s="150"/>
      <c r="Y1812" s="150"/>
    </row>
    <row r="1813">
      <c r="A1813" s="150"/>
      <c r="B1813" s="156"/>
      <c r="C1813" s="157"/>
      <c r="D1813" s="150"/>
      <c r="E1813" s="150"/>
      <c r="F1813" s="150"/>
      <c r="G1813" s="150"/>
      <c r="H1813" s="150"/>
      <c r="I1813" s="150"/>
      <c r="J1813" s="150"/>
      <c r="K1813" s="150"/>
      <c r="L1813" s="150"/>
      <c r="M1813" s="150"/>
      <c r="N1813" s="150"/>
      <c r="O1813" s="150"/>
      <c r="P1813" s="150"/>
      <c r="Q1813" s="150"/>
      <c r="R1813" s="150"/>
      <c r="S1813" s="150"/>
      <c r="T1813" s="150"/>
      <c r="U1813" s="150"/>
      <c r="V1813" s="150"/>
      <c r="W1813" s="150"/>
      <c r="X1813" s="150"/>
      <c r="Y1813" s="150"/>
    </row>
    <row r="1814">
      <c r="A1814" s="150"/>
      <c r="B1814" s="156"/>
      <c r="C1814" s="157"/>
      <c r="D1814" s="150"/>
      <c r="E1814" s="150"/>
      <c r="F1814" s="150"/>
      <c r="G1814" s="150"/>
      <c r="H1814" s="150"/>
      <c r="I1814" s="150"/>
      <c r="J1814" s="150"/>
      <c r="K1814" s="150"/>
      <c r="L1814" s="150"/>
      <c r="M1814" s="150"/>
      <c r="N1814" s="150"/>
      <c r="O1814" s="150"/>
      <c r="P1814" s="150"/>
      <c r="Q1814" s="150"/>
      <c r="R1814" s="150"/>
      <c r="S1814" s="150"/>
      <c r="T1814" s="150"/>
      <c r="U1814" s="150"/>
      <c r="V1814" s="150"/>
      <c r="W1814" s="150"/>
      <c r="X1814" s="150"/>
      <c r="Y1814" s="150"/>
    </row>
    <row r="1815">
      <c r="A1815" s="150"/>
      <c r="B1815" s="156"/>
      <c r="C1815" s="157"/>
      <c r="D1815" s="150"/>
      <c r="E1815" s="150"/>
      <c r="F1815" s="150"/>
      <c r="G1815" s="150"/>
      <c r="H1815" s="150"/>
      <c r="I1815" s="150"/>
      <c r="J1815" s="150"/>
      <c r="K1815" s="150"/>
      <c r="L1815" s="150"/>
      <c r="M1815" s="150"/>
      <c r="N1815" s="150"/>
      <c r="O1815" s="150"/>
      <c r="P1815" s="150"/>
      <c r="Q1815" s="150"/>
      <c r="R1815" s="150"/>
      <c r="S1815" s="150"/>
      <c r="T1815" s="150"/>
      <c r="U1815" s="150"/>
      <c r="V1815" s="150"/>
      <c r="W1815" s="150"/>
      <c r="X1815" s="150"/>
      <c r="Y1815" s="150"/>
    </row>
    <row r="1816">
      <c r="A1816" s="150"/>
      <c r="B1816" s="156"/>
      <c r="C1816" s="157"/>
      <c r="D1816" s="150"/>
      <c r="E1816" s="150"/>
      <c r="F1816" s="150"/>
      <c r="G1816" s="150"/>
      <c r="H1816" s="150"/>
      <c r="I1816" s="150"/>
      <c r="J1816" s="150"/>
      <c r="K1816" s="150"/>
      <c r="L1816" s="150"/>
      <c r="M1816" s="150"/>
      <c r="N1816" s="150"/>
      <c r="O1816" s="150"/>
      <c r="P1816" s="150"/>
      <c r="Q1816" s="150"/>
      <c r="R1816" s="150"/>
      <c r="S1816" s="150"/>
      <c r="T1816" s="150"/>
      <c r="U1816" s="150"/>
      <c r="V1816" s="150"/>
      <c r="W1816" s="150"/>
      <c r="X1816" s="150"/>
      <c r="Y1816" s="150"/>
    </row>
    <row r="1817">
      <c r="A1817" s="150"/>
      <c r="B1817" s="156"/>
      <c r="C1817" s="157"/>
      <c r="D1817" s="150"/>
      <c r="E1817" s="150"/>
      <c r="F1817" s="150"/>
      <c r="G1817" s="150"/>
      <c r="H1817" s="150"/>
      <c r="I1817" s="150"/>
      <c r="J1817" s="150"/>
      <c r="K1817" s="150"/>
      <c r="L1817" s="150"/>
      <c r="M1817" s="150"/>
      <c r="N1817" s="150"/>
      <c r="O1817" s="150"/>
      <c r="P1817" s="150"/>
      <c r="Q1817" s="150"/>
      <c r="R1817" s="150"/>
      <c r="S1817" s="150"/>
      <c r="T1817" s="150"/>
      <c r="U1817" s="150"/>
      <c r="V1817" s="150"/>
      <c r="W1817" s="150"/>
      <c r="X1817" s="150"/>
      <c r="Y1817" s="150"/>
    </row>
    <row r="1818">
      <c r="A1818" s="150"/>
      <c r="B1818" s="156"/>
      <c r="C1818" s="157"/>
      <c r="D1818" s="150"/>
      <c r="E1818" s="150"/>
      <c r="F1818" s="150"/>
      <c r="G1818" s="150"/>
      <c r="H1818" s="150"/>
      <c r="I1818" s="150"/>
      <c r="J1818" s="150"/>
      <c r="K1818" s="150"/>
      <c r="L1818" s="150"/>
      <c r="M1818" s="150"/>
      <c r="N1818" s="150"/>
      <c r="O1818" s="150"/>
      <c r="P1818" s="150"/>
      <c r="Q1818" s="150"/>
      <c r="R1818" s="150"/>
      <c r="S1818" s="150"/>
      <c r="T1818" s="150"/>
      <c r="U1818" s="150"/>
      <c r="V1818" s="150"/>
      <c r="W1818" s="150"/>
      <c r="X1818" s="150"/>
      <c r="Y1818" s="150"/>
    </row>
    <row r="1819">
      <c r="A1819" s="150"/>
      <c r="B1819" s="156"/>
      <c r="C1819" s="157"/>
      <c r="D1819" s="150"/>
      <c r="E1819" s="150"/>
      <c r="F1819" s="150"/>
      <c r="G1819" s="150"/>
      <c r="H1819" s="150"/>
      <c r="I1819" s="150"/>
      <c r="J1819" s="150"/>
      <c r="K1819" s="150"/>
      <c r="L1819" s="150"/>
      <c r="M1819" s="150"/>
      <c r="N1819" s="150"/>
      <c r="O1819" s="150"/>
      <c r="P1819" s="150"/>
      <c r="Q1819" s="150"/>
      <c r="R1819" s="150"/>
      <c r="S1819" s="150"/>
      <c r="T1819" s="150"/>
      <c r="U1819" s="150"/>
      <c r="V1819" s="150"/>
      <c r="W1819" s="150"/>
      <c r="X1819" s="150"/>
      <c r="Y1819" s="150"/>
    </row>
    <row r="1820">
      <c r="A1820" s="150"/>
      <c r="B1820" s="156"/>
      <c r="C1820" s="157"/>
      <c r="D1820" s="150"/>
      <c r="E1820" s="150"/>
      <c r="F1820" s="150"/>
      <c r="G1820" s="150"/>
      <c r="H1820" s="150"/>
      <c r="I1820" s="150"/>
      <c r="J1820" s="150"/>
      <c r="K1820" s="150"/>
      <c r="L1820" s="150"/>
      <c r="M1820" s="150"/>
      <c r="N1820" s="150"/>
      <c r="O1820" s="150"/>
      <c r="P1820" s="150"/>
      <c r="Q1820" s="150"/>
      <c r="R1820" s="150"/>
      <c r="S1820" s="150"/>
      <c r="T1820" s="150"/>
      <c r="U1820" s="150"/>
      <c r="V1820" s="150"/>
      <c r="W1820" s="150"/>
      <c r="X1820" s="150"/>
      <c r="Y1820" s="150"/>
    </row>
    <row r="1821">
      <c r="A1821" s="150"/>
      <c r="B1821" s="156"/>
      <c r="C1821" s="157"/>
      <c r="D1821" s="150"/>
      <c r="E1821" s="150"/>
      <c r="F1821" s="150"/>
      <c r="G1821" s="150"/>
      <c r="H1821" s="150"/>
      <c r="I1821" s="150"/>
      <c r="J1821" s="150"/>
      <c r="K1821" s="150"/>
      <c r="L1821" s="150"/>
      <c r="M1821" s="150"/>
      <c r="N1821" s="150"/>
      <c r="O1821" s="150"/>
      <c r="P1821" s="150"/>
      <c r="Q1821" s="150"/>
      <c r="R1821" s="150"/>
      <c r="S1821" s="150"/>
      <c r="T1821" s="150"/>
      <c r="U1821" s="150"/>
      <c r="V1821" s="150"/>
      <c r="W1821" s="150"/>
      <c r="X1821" s="150"/>
      <c r="Y1821" s="150"/>
    </row>
    <row r="1822">
      <c r="A1822" s="150"/>
      <c r="B1822" s="156"/>
      <c r="C1822" s="157"/>
      <c r="D1822" s="150"/>
      <c r="E1822" s="150"/>
      <c r="F1822" s="150"/>
      <c r="G1822" s="150"/>
      <c r="H1822" s="150"/>
      <c r="I1822" s="150"/>
      <c r="J1822" s="150"/>
      <c r="K1822" s="150"/>
      <c r="L1822" s="150"/>
      <c r="M1822" s="150"/>
      <c r="N1822" s="150"/>
      <c r="O1822" s="150"/>
      <c r="P1822" s="150"/>
      <c r="Q1822" s="150"/>
      <c r="R1822" s="150"/>
      <c r="S1822" s="150"/>
      <c r="T1822" s="150"/>
      <c r="U1822" s="150"/>
      <c r="V1822" s="150"/>
      <c r="W1822" s="150"/>
      <c r="X1822" s="150"/>
      <c r="Y1822" s="150"/>
    </row>
    <row r="1823">
      <c r="A1823" s="150"/>
      <c r="B1823" s="156"/>
      <c r="C1823" s="157"/>
      <c r="D1823" s="150"/>
      <c r="E1823" s="150"/>
      <c r="F1823" s="150"/>
      <c r="G1823" s="150"/>
      <c r="H1823" s="150"/>
      <c r="I1823" s="150"/>
      <c r="J1823" s="150"/>
      <c r="K1823" s="150"/>
      <c r="L1823" s="150"/>
      <c r="M1823" s="150"/>
      <c r="N1823" s="150"/>
      <c r="O1823" s="150"/>
      <c r="P1823" s="150"/>
      <c r="Q1823" s="150"/>
      <c r="R1823" s="150"/>
      <c r="S1823" s="150"/>
      <c r="T1823" s="150"/>
      <c r="U1823" s="150"/>
      <c r="V1823" s="150"/>
      <c r="W1823" s="150"/>
      <c r="X1823" s="150"/>
      <c r="Y1823" s="150"/>
    </row>
    <row r="1824">
      <c r="A1824" s="150"/>
      <c r="B1824" s="156"/>
      <c r="C1824" s="157"/>
      <c r="D1824" s="150"/>
      <c r="E1824" s="150"/>
      <c r="F1824" s="150"/>
      <c r="G1824" s="150"/>
      <c r="H1824" s="150"/>
      <c r="I1824" s="150"/>
      <c r="J1824" s="150"/>
      <c r="K1824" s="150"/>
      <c r="L1824" s="150"/>
      <c r="M1824" s="150"/>
      <c r="N1824" s="150"/>
      <c r="O1824" s="150"/>
      <c r="P1824" s="150"/>
      <c r="Q1824" s="150"/>
      <c r="R1824" s="150"/>
      <c r="S1824" s="150"/>
      <c r="T1824" s="150"/>
      <c r="U1824" s="150"/>
      <c r="V1824" s="150"/>
      <c r="W1824" s="150"/>
      <c r="X1824" s="150"/>
      <c r="Y1824" s="150"/>
    </row>
    <row r="1825">
      <c r="A1825" s="150"/>
      <c r="B1825" s="156"/>
      <c r="C1825" s="157"/>
      <c r="D1825" s="150"/>
      <c r="E1825" s="150"/>
      <c r="F1825" s="150"/>
      <c r="G1825" s="150"/>
      <c r="H1825" s="150"/>
      <c r="I1825" s="150"/>
      <c r="J1825" s="150"/>
      <c r="K1825" s="150"/>
      <c r="L1825" s="150"/>
      <c r="M1825" s="150"/>
      <c r="N1825" s="150"/>
      <c r="O1825" s="150"/>
      <c r="P1825" s="150"/>
      <c r="Q1825" s="150"/>
      <c r="R1825" s="150"/>
      <c r="S1825" s="150"/>
      <c r="T1825" s="150"/>
      <c r="U1825" s="150"/>
      <c r="V1825" s="150"/>
      <c r="W1825" s="150"/>
      <c r="X1825" s="150"/>
      <c r="Y1825" s="150"/>
    </row>
    <row r="1826">
      <c r="A1826" s="150"/>
      <c r="B1826" s="156"/>
      <c r="C1826" s="157"/>
      <c r="D1826" s="150"/>
      <c r="E1826" s="150"/>
      <c r="F1826" s="150"/>
      <c r="G1826" s="150"/>
      <c r="H1826" s="150"/>
      <c r="I1826" s="150"/>
      <c r="J1826" s="150"/>
      <c r="K1826" s="150"/>
      <c r="L1826" s="150"/>
      <c r="M1826" s="150"/>
      <c r="N1826" s="150"/>
      <c r="O1826" s="150"/>
      <c r="P1826" s="150"/>
      <c r="Q1826" s="150"/>
      <c r="R1826" s="150"/>
      <c r="S1826" s="150"/>
      <c r="T1826" s="150"/>
      <c r="U1826" s="150"/>
      <c r="V1826" s="150"/>
      <c r="W1826" s="150"/>
      <c r="X1826" s="150"/>
      <c r="Y1826" s="150"/>
    </row>
    <row r="1827">
      <c r="A1827" s="150"/>
      <c r="B1827" s="156"/>
      <c r="C1827" s="157"/>
      <c r="D1827" s="150"/>
      <c r="E1827" s="150"/>
      <c r="F1827" s="150"/>
      <c r="G1827" s="150"/>
      <c r="H1827" s="150"/>
      <c r="I1827" s="150"/>
      <c r="J1827" s="150"/>
      <c r="K1827" s="150"/>
      <c r="L1827" s="150"/>
      <c r="M1827" s="150"/>
      <c r="N1827" s="150"/>
      <c r="O1827" s="150"/>
      <c r="P1827" s="150"/>
      <c r="Q1827" s="150"/>
      <c r="R1827" s="150"/>
      <c r="S1827" s="150"/>
      <c r="T1827" s="150"/>
      <c r="U1827" s="150"/>
      <c r="V1827" s="150"/>
      <c r="W1827" s="150"/>
      <c r="X1827" s="150"/>
      <c r="Y1827" s="150"/>
    </row>
    <row r="1828">
      <c r="A1828" s="150"/>
      <c r="B1828" s="156"/>
      <c r="C1828" s="157"/>
      <c r="D1828" s="150"/>
      <c r="E1828" s="150"/>
      <c r="F1828" s="150"/>
      <c r="G1828" s="150"/>
      <c r="H1828" s="150"/>
      <c r="I1828" s="150"/>
      <c r="J1828" s="150"/>
      <c r="K1828" s="150"/>
      <c r="L1828" s="150"/>
      <c r="M1828" s="150"/>
      <c r="N1828" s="150"/>
      <c r="O1828" s="150"/>
      <c r="P1828" s="150"/>
      <c r="Q1828" s="150"/>
      <c r="R1828" s="150"/>
      <c r="S1828" s="150"/>
      <c r="T1828" s="150"/>
      <c r="U1828" s="150"/>
      <c r="V1828" s="150"/>
      <c r="W1828" s="150"/>
      <c r="X1828" s="150"/>
      <c r="Y1828" s="150"/>
    </row>
    <row r="1829">
      <c r="A1829" s="150"/>
      <c r="B1829" s="156"/>
      <c r="C1829" s="157"/>
      <c r="D1829" s="150"/>
      <c r="E1829" s="150"/>
      <c r="F1829" s="150"/>
      <c r="G1829" s="150"/>
      <c r="H1829" s="150"/>
      <c r="I1829" s="150"/>
      <c r="J1829" s="150"/>
      <c r="K1829" s="150"/>
      <c r="L1829" s="150"/>
      <c r="M1829" s="150"/>
      <c r="N1829" s="150"/>
      <c r="O1829" s="150"/>
      <c r="P1829" s="150"/>
      <c r="Q1829" s="150"/>
      <c r="R1829" s="150"/>
      <c r="S1829" s="150"/>
      <c r="T1829" s="150"/>
      <c r="U1829" s="150"/>
      <c r="V1829" s="150"/>
      <c r="W1829" s="150"/>
      <c r="X1829" s="150"/>
      <c r="Y1829" s="150"/>
    </row>
    <row r="1830">
      <c r="A1830" s="150"/>
      <c r="B1830" s="156"/>
      <c r="C1830" s="157"/>
      <c r="D1830" s="150"/>
      <c r="E1830" s="150"/>
      <c r="F1830" s="150"/>
      <c r="G1830" s="150"/>
      <c r="H1830" s="150"/>
      <c r="I1830" s="150"/>
      <c r="J1830" s="150"/>
      <c r="K1830" s="150"/>
      <c r="L1830" s="150"/>
      <c r="M1830" s="150"/>
      <c r="N1830" s="150"/>
      <c r="O1830" s="150"/>
      <c r="P1830" s="150"/>
      <c r="Q1830" s="150"/>
      <c r="R1830" s="150"/>
      <c r="S1830" s="150"/>
      <c r="T1830" s="150"/>
      <c r="U1830" s="150"/>
      <c r="V1830" s="150"/>
      <c r="W1830" s="150"/>
      <c r="X1830" s="150"/>
      <c r="Y1830" s="150"/>
    </row>
    <row r="1831">
      <c r="A1831" s="150"/>
      <c r="B1831" s="156"/>
      <c r="C1831" s="157"/>
      <c r="D1831" s="150"/>
      <c r="E1831" s="150"/>
      <c r="F1831" s="150"/>
      <c r="G1831" s="150"/>
      <c r="H1831" s="150"/>
      <c r="I1831" s="150"/>
      <c r="J1831" s="150"/>
      <c r="K1831" s="150"/>
      <c r="L1831" s="150"/>
      <c r="M1831" s="150"/>
      <c r="N1831" s="150"/>
      <c r="O1831" s="150"/>
      <c r="P1831" s="150"/>
      <c r="Q1831" s="150"/>
      <c r="R1831" s="150"/>
      <c r="S1831" s="150"/>
      <c r="T1831" s="150"/>
      <c r="U1831" s="150"/>
      <c r="V1831" s="150"/>
      <c r="W1831" s="150"/>
      <c r="X1831" s="150"/>
      <c r="Y1831" s="150"/>
    </row>
    <row r="1832">
      <c r="A1832" s="150"/>
      <c r="B1832" s="156"/>
      <c r="C1832" s="157"/>
      <c r="D1832" s="150"/>
      <c r="E1832" s="150"/>
      <c r="F1832" s="150"/>
      <c r="G1832" s="150"/>
      <c r="H1832" s="150"/>
      <c r="I1832" s="150"/>
      <c r="J1832" s="150"/>
      <c r="K1832" s="150"/>
      <c r="L1832" s="150"/>
      <c r="M1832" s="150"/>
      <c r="N1832" s="150"/>
      <c r="O1832" s="150"/>
      <c r="P1832" s="150"/>
      <c r="Q1832" s="150"/>
      <c r="R1832" s="150"/>
      <c r="S1832" s="150"/>
      <c r="T1832" s="150"/>
      <c r="U1832" s="150"/>
      <c r="V1832" s="150"/>
      <c r="W1832" s="150"/>
      <c r="X1832" s="150"/>
      <c r="Y1832" s="150"/>
    </row>
    <row r="1833">
      <c r="A1833" s="150"/>
      <c r="B1833" s="156"/>
      <c r="C1833" s="157"/>
      <c r="D1833" s="150"/>
      <c r="E1833" s="150"/>
      <c r="F1833" s="150"/>
      <c r="G1833" s="150"/>
      <c r="H1833" s="150"/>
      <c r="I1833" s="150"/>
      <c r="J1833" s="150"/>
      <c r="K1833" s="150"/>
      <c r="L1833" s="150"/>
      <c r="M1833" s="150"/>
      <c r="N1833" s="150"/>
      <c r="O1833" s="150"/>
      <c r="P1833" s="150"/>
      <c r="Q1833" s="150"/>
      <c r="R1833" s="150"/>
      <c r="S1833" s="150"/>
      <c r="T1833" s="150"/>
      <c r="U1833" s="150"/>
      <c r="V1833" s="150"/>
      <c r="W1833" s="150"/>
      <c r="X1833" s="150"/>
      <c r="Y1833" s="150"/>
    </row>
    <row r="1834">
      <c r="A1834" s="150"/>
      <c r="B1834" s="156"/>
      <c r="C1834" s="157"/>
      <c r="D1834" s="150"/>
      <c r="E1834" s="150"/>
      <c r="F1834" s="150"/>
      <c r="G1834" s="150"/>
      <c r="H1834" s="150"/>
      <c r="I1834" s="150"/>
      <c r="J1834" s="150"/>
      <c r="K1834" s="150"/>
      <c r="L1834" s="150"/>
      <c r="M1834" s="150"/>
      <c r="N1834" s="150"/>
      <c r="O1834" s="150"/>
      <c r="P1834" s="150"/>
      <c r="Q1834" s="150"/>
      <c r="R1834" s="150"/>
      <c r="S1834" s="150"/>
      <c r="T1834" s="150"/>
      <c r="U1834" s="150"/>
      <c r="V1834" s="150"/>
      <c r="W1834" s="150"/>
      <c r="X1834" s="150"/>
      <c r="Y1834" s="150"/>
    </row>
    <row r="1835">
      <c r="A1835" s="150"/>
      <c r="B1835" s="156"/>
      <c r="C1835" s="157"/>
      <c r="D1835" s="150"/>
      <c r="E1835" s="150"/>
      <c r="F1835" s="150"/>
      <c r="G1835" s="150"/>
      <c r="H1835" s="150"/>
      <c r="I1835" s="150"/>
      <c r="J1835" s="150"/>
      <c r="K1835" s="150"/>
      <c r="L1835" s="150"/>
      <c r="M1835" s="150"/>
      <c r="N1835" s="150"/>
      <c r="O1835" s="150"/>
      <c r="P1835" s="150"/>
      <c r="Q1835" s="150"/>
      <c r="R1835" s="150"/>
      <c r="S1835" s="150"/>
      <c r="T1835" s="150"/>
      <c r="U1835" s="150"/>
      <c r="V1835" s="150"/>
      <c r="W1835" s="150"/>
      <c r="X1835" s="150"/>
      <c r="Y1835" s="150"/>
    </row>
    <row r="1836">
      <c r="A1836" s="150"/>
      <c r="B1836" s="156"/>
      <c r="C1836" s="157"/>
      <c r="D1836" s="150"/>
      <c r="E1836" s="150"/>
      <c r="F1836" s="150"/>
      <c r="G1836" s="150"/>
      <c r="H1836" s="150"/>
      <c r="I1836" s="150"/>
      <c r="J1836" s="150"/>
      <c r="K1836" s="150"/>
      <c r="L1836" s="150"/>
      <c r="M1836" s="150"/>
      <c r="N1836" s="150"/>
      <c r="O1836" s="150"/>
      <c r="P1836" s="150"/>
      <c r="Q1836" s="150"/>
      <c r="R1836" s="150"/>
      <c r="S1836" s="150"/>
      <c r="T1836" s="150"/>
      <c r="U1836" s="150"/>
      <c r="V1836" s="150"/>
      <c r="W1836" s="150"/>
      <c r="X1836" s="150"/>
      <c r="Y1836" s="150"/>
    </row>
    <row r="1837">
      <c r="A1837" s="150"/>
      <c r="B1837" s="156"/>
      <c r="C1837" s="157"/>
      <c r="D1837" s="150"/>
      <c r="E1837" s="150"/>
      <c r="F1837" s="150"/>
      <c r="G1837" s="150"/>
      <c r="H1837" s="150"/>
      <c r="I1837" s="150"/>
      <c r="J1837" s="150"/>
      <c r="K1837" s="150"/>
      <c r="L1837" s="150"/>
      <c r="M1837" s="150"/>
      <c r="N1837" s="150"/>
      <c r="O1837" s="150"/>
      <c r="P1837" s="150"/>
      <c r="Q1837" s="150"/>
      <c r="R1837" s="150"/>
      <c r="S1837" s="150"/>
      <c r="T1837" s="150"/>
      <c r="U1837" s="150"/>
      <c r="V1837" s="150"/>
      <c r="W1837" s="150"/>
      <c r="X1837" s="150"/>
      <c r="Y1837" s="150"/>
    </row>
    <row r="1838">
      <c r="A1838" s="150"/>
      <c r="B1838" s="156"/>
      <c r="C1838" s="157"/>
      <c r="D1838" s="150"/>
      <c r="E1838" s="150"/>
      <c r="F1838" s="150"/>
      <c r="G1838" s="150"/>
      <c r="H1838" s="150"/>
      <c r="I1838" s="150"/>
      <c r="J1838" s="150"/>
      <c r="K1838" s="150"/>
      <c r="L1838" s="150"/>
      <c r="M1838" s="150"/>
      <c r="N1838" s="150"/>
      <c r="O1838" s="150"/>
      <c r="P1838" s="150"/>
      <c r="Q1838" s="150"/>
      <c r="R1838" s="150"/>
      <c r="S1838" s="150"/>
      <c r="T1838" s="150"/>
      <c r="U1838" s="150"/>
      <c r="V1838" s="150"/>
      <c r="W1838" s="150"/>
      <c r="X1838" s="150"/>
      <c r="Y1838" s="150"/>
    </row>
    <row r="1839">
      <c r="A1839" s="150"/>
      <c r="B1839" s="156"/>
      <c r="C1839" s="157"/>
      <c r="D1839" s="150"/>
      <c r="E1839" s="150"/>
      <c r="F1839" s="150"/>
      <c r="G1839" s="150"/>
      <c r="H1839" s="150"/>
      <c r="I1839" s="150"/>
      <c r="J1839" s="150"/>
      <c r="K1839" s="150"/>
      <c r="L1839" s="150"/>
      <c r="M1839" s="150"/>
      <c r="N1839" s="150"/>
      <c r="O1839" s="150"/>
      <c r="P1839" s="150"/>
      <c r="Q1839" s="150"/>
      <c r="R1839" s="150"/>
      <c r="S1839" s="150"/>
      <c r="T1839" s="150"/>
      <c r="U1839" s="150"/>
      <c r="V1839" s="150"/>
      <c r="W1839" s="150"/>
      <c r="X1839" s="150"/>
      <c r="Y1839" s="150"/>
    </row>
    <row r="1840">
      <c r="A1840" s="150"/>
      <c r="B1840" s="156"/>
      <c r="C1840" s="157"/>
      <c r="D1840" s="150"/>
      <c r="E1840" s="150"/>
      <c r="F1840" s="150"/>
      <c r="G1840" s="150"/>
      <c r="H1840" s="150"/>
      <c r="I1840" s="150"/>
      <c r="J1840" s="150"/>
      <c r="K1840" s="150"/>
      <c r="L1840" s="150"/>
      <c r="M1840" s="150"/>
      <c r="N1840" s="150"/>
      <c r="O1840" s="150"/>
      <c r="P1840" s="150"/>
      <c r="Q1840" s="150"/>
      <c r="R1840" s="150"/>
      <c r="S1840" s="150"/>
      <c r="T1840" s="150"/>
      <c r="U1840" s="150"/>
      <c r="V1840" s="150"/>
      <c r="W1840" s="150"/>
      <c r="X1840" s="150"/>
      <c r="Y1840" s="150"/>
    </row>
    <row r="1841">
      <c r="A1841" s="150"/>
      <c r="B1841" s="156"/>
      <c r="C1841" s="157"/>
      <c r="D1841" s="150"/>
      <c r="E1841" s="150"/>
      <c r="F1841" s="150"/>
      <c r="G1841" s="150"/>
      <c r="H1841" s="150"/>
      <c r="I1841" s="150"/>
      <c r="J1841" s="150"/>
      <c r="K1841" s="150"/>
      <c r="L1841" s="150"/>
      <c r="M1841" s="150"/>
      <c r="N1841" s="150"/>
      <c r="O1841" s="150"/>
      <c r="P1841" s="150"/>
      <c r="Q1841" s="150"/>
      <c r="R1841" s="150"/>
      <c r="S1841" s="150"/>
      <c r="T1841" s="150"/>
      <c r="U1841" s="150"/>
      <c r="V1841" s="150"/>
      <c r="W1841" s="150"/>
      <c r="X1841" s="150"/>
      <c r="Y1841" s="150"/>
    </row>
    <row r="1842">
      <c r="A1842" s="150"/>
      <c r="B1842" s="156"/>
      <c r="C1842" s="157"/>
      <c r="D1842" s="150"/>
      <c r="E1842" s="150"/>
      <c r="F1842" s="150"/>
      <c r="G1842" s="150"/>
      <c r="H1842" s="150"/>
      <c r="I1842" s="150"/>
      <c r="J1842" s="150"/>
      <c r="K1842" s="150"/>
      <c r="L1842" s="150"/>
      <c r="M1842" s="150"/>
      <c r="N1842" s="150"/>
      <c r="O1842" s="150"/>
      <c r="P1842" s="150"/>
      <c r="Q1842" s="150"/>
      <c r="R1842" s="150"/>
      <c r="S1842" s="150"/>
      <c r="T1842" s="150"/>
      <c r="U1842" s="150"/>
      <c r="V1842" s="150"/>
      <c r="W1842" s="150"/>
      <c r="X1842" s="150"/>
      <c r="Y1842" s="150"/>
    </row>
    <row r="1843">
      <c r="A1843" s="150"/>
      <c r="B1843" s="156"/>
      <c r="C1843" s="157"/>
      <c r="D1843" s="150"/>
      <c r="E1843" s="150"/>
      <c r="F1843" s="150"/>
      <c r="G1843" s="150"/>
      <c r="H1843" s="150"/>
      <c r="I1843" s="150"/>
      <c r="J1843" s="150"/>
      <c r="K1843" s="150"/>
      <c r="L1843" s="150"/>
      <c r="M1843" s="150"/>
      <c r="N1843" s="150"/>
      <c r="O1843" s="150"/>
      <c r="P1843" s="150"/>
      <c r="Q1843" s="150"/>
      <c r="R1843" s="150"/>
      <c r="S1843" s="150"/>
      <c r="T1843" s="150"/>
      <c r="U1843" s="150"/>
      <c r="V1843" s="150"/>
      <c r="W1843" s="150"/>
      <c r="X1843" s="150"/>
      <c r="Y1843" s="150"/>
    </row>
    <row r="1844">
      <c r="A1844" s="150"/>
      <c r="B1844" s="156"/>
      <c r="C1844" s="157"/>
      <c r="D1844" s="150"/>
      <c r="E1844" s="150"/>
      <c r="F1844" s="150"/>
      <c r="G1844" s="150"/>
      <c r="H1844" s="150"/>
      <c r="I1844" s="150"/>
      <c r="J1844" s="150"/>
      <c r="K1844" s="150"/>
      <c r="L1844" s="150"/>
      <c r="M1844" s="150"/>
      <c r="N1844" s="150"/>
      <c r="O1844" s="150"/>
      <c r="P1844" s="150"/>
      <c r="Q1844" s="150"/>
      <c r="R1844" s="150"/>
      <c r="S1844" s="150"/>
      <c r="T1844" s="150"/>
      <c r="U1844" s="150"/>
      <c r="V1844" s="150"/>
      <c r="W1844" s="150"/>
      <c r="X1844" s="150"/>
      <c r="Y1844" s="150"/>
    </row>
    <row r="1845">
      <c r="A1845" s="150"/>
      <c r="B1845" s="156"/>
      <c r="C1845" s="157"/>
      <c r="D1845" s="150"/>
      <c r="E1845" s="150"/>
      <c r="F1845" s="150"/>
      <c r="G1845" s="150"/>
      <c r="H1845" s="150"/>
      <c r="I1845" s="150"/>
      <c r="J1845" s="150"/>
      <c r="K1845" s="150"/>
      <c r="L1845" s="150"/>
      <c r="M1845" s="150"/>
      <c r="N1845" s="150"/>
      <c r="O1845" s="150"/>
      <c r="P1845" s="150"/>
      <c r="Q1845" s="150"/>
      <c r="R1845" s="150"/>
      <c r="S1845" s="150"/>
      <c r="T1845" s="150"/>
      <c r="U1845" s="150"/>
      <c r="V1845" s="150"/>
      <c r="W1845" s="150"/>
      <c r="X1845" s="150"/>
      <c r="Y1845" s="150"/>
    </row>
    <row r="1846">
      <c r="A1846" s="150"/>
      <c r="B1846" s="156"/>
      <c r="C1846" s="157"/>
      <c r="D1846" s="150"/>
      <c r="E1846" s="150"/>
      <c r="F1846" s="150"/>
      <c r="G1846" s="150"/>
      <c r="H1846" s="150"/>
      <c r="I1846" s="150"/>
      <c r="J1846" s="150"/>
      <c r="K1846" s="150"/>
      <c r="L1846" s="150"/>
      <c r="M1846" s="150"/>
      <c r="N1846" s="150"/>
      <c r="O1846" s="150"/>
      <c r="P1846" s="150"/>
      <c r="Q1846" s="150"/>
      <c r="R1846" s="150"/>
      <c r="S1846" s="150"/>
      <c r="T1846" s="150"/>
      <c r="U1846" s="150"/>
      <c r="V1846" s="150"/>
      <c r="W1846" s="150"/>
      <c r="X1846" s="150"/>
      <c r="Y1846" s="150"/>
    </row>
    <row r="1847">
      <c r="A1847" s="150"/>
      <c r="B1847" s="156"/>
      <c r="C1847" s="157"/>
      <c r="D1847" s="150"/>
      <c r="E1847" s="150"/>
      <c r="F1847" s="150"/>
      <c r="G1847" s="150"/>
      <c r="H1847" s="150"/>
      <c r="I1847" s="150"/>
      <c r="J1847" s="150"/>
      <c r="K1847" s="150"/>
      <c r="L1847" s="150"/>
      <c r="M1847" s="150"/>
      <c r="N1847" s="150"/>
      <c r="O1847" s="150"/>
      <c r="P1847" s="150"/>
      <c r="Q1847" s="150"/>
      <c r="R1847" s="150"/>
      <c r="S1847" s="150"/>
      <c r="T1847" s="150"/>
      <c r="U1847" s="150"/>
      <c r="V1847" s="150"/>
      <c r="W1847" s="150"/>
      <c r="X1847" s="150"/>
      <c r="Y1847" s="150"/>
    </row>
    <row r="1848">
      <c r="A1848" s="150"/>
      <c r="B1848" s="156"/>
      <c r="C1848" s="157"/>
      <c r="D1848" s="150"/>
      <c r="E1848" s="150"/>
      <c r="F1848" s="150"/>
      <c r="G1848" s="150"/>
      <c r="H1848" s="150"/>
      <c r="I1848" s="150"/>
      <c r="J1848" s="150"/>
      <c r="K1848" s="150"/>
      <c r="L1848" s="150"/>
      <c r="M1848" s="150"/>
      <c r="N1848" s="150"/>
      <c r="O1848" s="150"/>
      <c r="P1848" s="150"/>
      <c r="Q1848" s="150"/>
      <c r="R1848" s="150"/>
      <c r="S1848" s="150"/>
      <c r="T1848" s="150"/>
      <c r="U1848" s="150"/>
      <c r="V1848" s="150"/>
      <c r="W1848" s="150"/>
      <c r="X1848" s="150"/>
      <c r="Y1848" s="150"/>
    </row>
    <row r="1849">
      <c r="A1849" s="150"/>
      <c r="B1849" s="156"/>
      <c r="C1849" s="157"/>
      <c r="D1849" s="150"/>
      <c r="E1849" s="150"/>
      <c r="F1849" s="150"/>
      <c r="G1849" s="150"/>
      <c r="H1849" s="150"/>
      <c r="I1849" s="150"/>
      <c r="J1849" s="150"/>
      <c r="K1849" s="150"/>
      <c r="L1849" s="150"/>
      <c r="M1849" s="150"/>
      <c r="N1849" s="150"/>
      <c r="O1849" s="150"/>
      <c r="P1849" s="150"/>
      <c r="Q1849" s="150"/>
      <c r="R1849" s="150"/>
      <c r="S1849" s="150"/>
      <c r="T1849" s="150"/>
      <c r="U1849" s="150"/>
      <c r="V1849" s="150"/>
      <c r="W1849" s="150"/>
      <c r="X1849" s="150"/>
      <c r="Y1849" s="150"/>
    </row>
    <row r="1850">
      <c r="A1850" s="150"/>
      <c r="B1850" s="156"/>
      <c r="C1850" s="157"/>
      <c r="D1850" s="150"/>
      <c r="E1850" s="150"/>
      <c r="F1850" s="150"/>
      <c r="G1850" s="150"/>
      <c r="H1850" s="150"/>
      <c r="I1850" s="150"/>
      <c r="J1850" s="150"/>
      <c r="K1850" s="150"/>
      <c r="L1850" s="150"/>
      <c r="M1850" s="150"/>
      <c r="N1850" s="150"/>
      <c r="O1850" s="150"/>
      <c r="P1850" s="150"/>
      <c r="Q1850" s="150"/>
      <c r="R1850" s="150"/>
      <c r="S1850" s="150"/>
      <c r="T1850" s="150"/>
      <c r="U1850" s="150"/>
      <c r="V1850" s="150"/>
      <c r="W1850" s="150"/>
      <c r="X1850" s="150"/>
      <c r="Y1850" s="150"/>
    </row>
    <row r="1851">
      <c r="A1851" s="150"/>
      <c r="B1851" s="156"/>
      <c r="C1851" s="157"/>
      <c r="D1851" s="150"/>
      <c r="E1851" s="150"/>
      <c r="F1851" s="150"/>
      <c r="G1851" s="150"/>
      <c r="H1851" s="150"/>
      <c r="I1851" s="150"/>
      <c r="J1851" s="150"/>
      <c r="K1851" s="150"/>
      <c r="L1851" s="150"/>
      <c r="M1851" s="150"/>
      <c r="N1851" s="150"/>
      <c r="O1851" s="150"/>
      <c r="P1851" s="150"/>
      <c r="Q1851" s="150"/>
      <c r="R1851" s="150"/>
      <c r="S1851" s="150"/>
      <c r="T1851" s="150"/>
      <c r="U1851" s="150"/>
      <c r="V1851" s="150"/>
      <c r="W1851" s="150"/>
      <c r="X1851" s="150"/>
      <c r="Y1851" s="150"/>
    </row>
    <row r="1852">
      <c r="A1852" s="150"/>
      <c r="B1852" s="156"/>
      <c r="C1852" s="157"/>
      <c r="D1852" s="150"/>
      <c r="E1852" s="150"/>
      <c r="F1852" s="150"/>
      <c r="G1852" s="150"/>
      <c r="H1852" s="150"/>
      <c r="I1852" s="150"/>
      <c r="J1852" s="150"/>
      <c r="K1852" s="150"/>
      <c r="L1852" s="150"/>
      <c r="M1852" s="150"/>
      <c r="N1852" s="150"/>
      <c r="O1852" s="150"/>
      <c r="P1852" s="150"/>
      <c r="Q1852" s="150"/>
      <c r="R1852" s="150"/>
      <c r="S1852" s="150"/>
      <c r="T1852" s="150"/>
      <c r="U1852" s="150"/>
      <c r="V1852" s="150"/>
      <c r="W1852" s="150"/>
      <c r="X1852" s="150"/>
      <c r="Y1852" s="150"/>
    </row>
    <row r="1853">
      <c r="A1853" s="150"/>
      <c r="B1853" s="156"/>
      <c r="C1853" s="157"/>
      <c r="D1853" s="150"/>
      <c r="E1853" s="150"/>
      <c r="F1853" s="150"/>
      <c r="G1853" s="150"/>
      <c r="H1853" s="150"/>
      <c r="I1853" s="150"/>
      <c r="J1853" s="150"/>
      <c r="K1853" s="150"/>
      <c r="L1853" s="150"/>
      <c r="M1853" s="150"/>
      <c r="N1853" s="150"/>
      <c r="O1853" s="150"/>
      <c r="P1853" s="150"/>
      <c r="Q1853" s="150"/>
      <c r="R1853" s="150"/>
      <c r="S1853" s="150"/>
      <c r="T1853" s="150"/>
      <c r="U1853" s="150"/>
      <c r="V1853" s="150"/>
      <c r="W1853" s="150"/>
      <c r="X1853" s="150"/>
      <c r="Y1853" s="150"/>
    </row>
    <row r="1854">
      <c r="A1854" s="150"/>
      <c r="B1854" s="156"/>
      <c r="C1854" s="157"/>
      <c r="D1854" s="150"/>
      <c r="E1854" s="150"/>
      <c r="F1854" s="150"/>
      <c r="G1854" s="150"/>
      <c r="H1854" s="150"/>
      <c r="I1854" s="150"/>
      <c r="J1854" s="150"/>
      <c r="K1854" s="150"/>
      <c r="L1854" s="150"/>
      <c r="M1854" s="150"/>
      <c r="N1854" s="150"/>
      <c r="O1854" s="150"/>
      <c r="P1854" s="150"/>
      <c r="Q1854" s="150"/>
      <c r="R1854" s="150"/>
      <c r="S1854" s="150"/>
      <c r="T1854" s="150"/>
      <c r="U1854" s="150"/>
      <c r="V1854" s="150"/>
      <c r="W1854" s="150"/>
      <c r="X1854" s="150"/>
      <c r="Y1854" s="150"/>
    </row>
    <row r="1855">
      <c r="A1855" s="150"/>
      <c r="B1855" s="156"/>
      <c r="C1855" s="157"/>
      <c r="D1855" s="150"/>
      <c r="E1855" s="150"/>
      <c r="F1855" s="150"/>
      <c r="G1855" s="150"/>
      <c r="H1855" s="150"/>
      <c r="I1855" s="150"/>
      <c r="J1855" s="150"/>
      <c r="K1855" s="150"/>
      <c r="L1855" s="150"/>
      <c r="M1855" s="150"/>
      <c r="N1855" s="150"/>
      <c r="O1855" s="150"/>
      <c r="P1855" s="150"/>
      <c r="Q1855" s="150"/>
      <c r="R1855" s="150"/>
      <c r="S1855" s="150"/>
      <c r="T1855" s="150"/>
      <c r="U1855" s="150"/>
      <c r="V1855" s="150"/>
      <c r="W1855" s="150"/>
      <c r="X1855" s="150"/>
      <c r="Y1855" s="150"/>
    </row>
    <row r="1856">
      <c r="A1856" s="150"/>
      <c r="B1856" s="156"/>
      <c r="C1856" s="157"/>
      <c r="D1856" s="150"/>
      <c r="E1856" s="150"/>
      <c r="F1856" s="150"/>
      <c r="G1856" s="150"/>
      <c r="H1856" s="150"/>
      <c r="I1856" s="150"/>
      <c r="J1856" s="150"/>
      <c r="K1856" s="150"/>
      <c r="L1856" s="150"/>
      <c r="M1856" s="150"/>
      <c r="N1856" s="150"/>
      <c r="O1856" s="150"/>
      <c r="P1856" s="150"/>
      <c r="Q1856" s="150"/>
      <c r="R1856" s="150"/>
      <c r="S1856" s="150"/>
      <c r="T1856" s="150"/>
      <c r="U1856" s="150"/>
      <c r="V1856" s="150"/>
      <c r="W1856" s="150"/>
      <c r="X1856" s="150"/>
      <c r="Y1856" s="150"/>
    </row>
    <row r="1857">
      <c r="A1857" s="150"/>
      <c r="B1857" s="156"/>
      <c r="C1857" s="157"/>
      <c r="D1857" s="150"/>
      <c r="E1857" s="150"/>
      <c r="F1857" s="150"/>
      <c r="G1857" s="150"/>
      <c r="H1857" s="150"/>
      <c r="I1857" s="150"/>
      <c r="J1857" s="150"/>
      <c r="K1857" s="150"/>
      <c r="L1857" s="150"/>
      <c r="M1857" s="150"/>
      <c r="N1857" s="150"/>
      <c r="O1857" s="150"/>
      <c r="P1857" s="150"/>
      <c r="Q1857" s="150"/>
      <c r="R1857" s="150"/>
      <c r="S1857" s="150"/>
      <c r="T1857" s="150"/>
      <c r="U1857" s="150"/>
      <c r="V1857" s="150"/>
      <c r="W1857" s="150"/>
      <c r="X1857" s="150"/>
      <c r="Y1857" s="150"/>
    </row>
    <row r="1858">
      <c r="A1858" s="150"/>
      <c r="B1858" s="156"/>
      <c r="C1858" s="157"/>
      <c r="D1858" s="150"/>
      <c r="E1858" s="150"/>
      <c r="F1858" s="150"/>
      <c r="G1858" s="150"/>
      <c r="H1858" s="150"/>
      <c r="I1858" s="150"/>
      <c r="J1858" s="150"/>
      <c r="K1858" s="150"/>
      <c r="L1858" s="150"/>
      <c r="M1858" s="150"/>
      <c r="N1858" s="150"/>
      <c r="O1858" s="150"/>
      <c r="P1858" s="150"/>
      <c r="Q1858" s="150"/>
      <c r="R1858" s="150"/>
      <c r="S1858" s="150"/>
      <c r="T1858" s="150"/>
      <c r="U1858" s="150"/>
      <c r="V1858" s="150"/>
      <c r="W1858" s="150"/>
      <c r="X1858" s="150"/>
      <c r="Y1858" s="150"/>
    </row>
    <row r="1859">
      <c r="A1859" s="150"/>
      <c r="B1859" s="156"/>
      <c r="C1859" s="157"/>
      <c r="D1859" s="150"/>
      <c r="E1859" s="150"/>
      <c r="F1859" s="150"/>
      <c r="G1859" s="150"/>
      <c r="H1859" s="150"/>
      <c r="I1859" s="150"/>
      <c r="J1859" s="150"/>
      <c r="K1859" s="150"/>
      <c r="L1859" s="150"/>
      <c r="M1859" s="150"/>
      <c r="N1859" s="150"/>
      <c r="O1859" s="150"/>
      <c r="P1859" s="150"/>
      <c r="Q1859" s="150"/>
      <c r="R1859" s="150"/>
      <c r="S1859" s="150"/>
      <c r="T1859" s="150"/>
      <c r="U1859" s="150"/>
      <c r="V1859" s="150"/>
      <c r="W1859" s="150"/>
      <c r="X1859" s="150"/>
      <c r="Y1859" s="150"/>
    </row>
    <row r="1860">
      <c r="A1860" s="150"/>
      <c r="B1860" s="156"/>
      <c r="C1860" s="157"/>
      <c r="D1860" s="150"/>
      <c r="E1860" s="150"/>
      <c r="F1860" s="150"/>
      <c r="G1860" s="150"/>
      <c r="H1860" s="150"/>
      <c r="I1860" s="150"/>
      <c r="J1860" s="150"/>
      <c r="K1860" s="150"/>
      <c r="L1860" s="150"/>
      <c r="M1860" s="150"/>
      <c r="N1860" s="150"/>
      <c r="O1860" s="150"/>
      <c r="P1860" s="150"/>
      <c r="Q1860" s="150"/>
      <c r="R1860" s="150"/>
      <c r="S1860" s="150"/>
      <c r="T1860" s="150"/>
      <c r="U1860" s="150"/>
      <c r="V1860" s="150"/>
      <c r="W1860" s="150"/>
      <c r="X1860" s="150"/>
      <c r="Y1860" s="150"/>
    </row>
    <row r="1861">
      <c r="A1861" s="150"/>
      <c r="B1861" s="156"/>
      <c r="C1861" s="157"/>
      <c r="D1861" s="150"/>
      <c r="E1861" s="150"/>
      <c r="F1861" s="150"/>
      <c r="G1861" s="150"/>
      <c r="H1861" s="150"/>
      <c r="I1861" s="150"/>
      <c r="J1861" s="150"/>
      <c r="K1861" s="150"/>
      <c r="L1861" s="150"/>
      <c r="M1861" s="150"/>
      <c r="N1861" s="150"/>
      <c r="O1861" s="150"/>
      <c r="P1861" s="150"/>
      <c r="Q1861" s="150"/>
      <c r="R1861" s="150"/>
      <c r="S1861" s="150"/>
      <c r="T1861" s="150"/>
      <c r="U1861" s="150"/>
      <c r="V1861" s="150"/>
      <c r="W1861" s="150"/>
      <c r="X1861" s="150"/>
      <c r="Y1861" s="150"/>
    </row>
    <row r="1862">
      <c r="A1862" s="150"/>
      <c r="B1862" s="156"/>
      <c r="C1862" s="157"/>
      <c r="D1862" s="150"/>
      <c r="E1862" s="150"/>
      <c r="F1862" s="150"/>
      <c r="G1862" s="150"/>
      <c r="H1862" s="150"/>
      <c r="I1862" s="150"/>
      <c r="J1862" s="150"/>
      <c r="K1862" s="150"/>
      <c r="L1862" s="150"/>
      <c r="M1862" s="150"/>
      <c r="N1862" s="150"/>
      <c r="O1862" s="150"/>
      <c r="P1862" s="150"/>
      <c r="Q1862" s="150"/>
      <c r="R1862" s="150"/>
      <c r="S1862" s="150"/>
      <c r="T1862" s="150"/>
      <c r="U1862" s="150"/>
      <c r="V1862" s="150"/>
      <c r="W1862" s="150"/>
      <c r="X1862" s="150"/>
      <c r="Y1862" s="150"/>
    </row>
    <row r="1863">
      <c r="A1863" s="150"/>
      <c r="B1863" s="156"/>
      <c r="C1863" s="157"/>
      <c r="D1863" s="150"/>
      <c r="E1863" s="150"/>
      <c r="F1863" s="150"/>
      <c r="G1863" s="150"/>
      <c r="H1863" s="150"/>
      <c r="I1863" s="150"/>
      <c r="J1863" s="150"/>
      <c r="K1863" s="150"/>
      <c r="L1863" s="150"/>
      <c r="M1863" s="150"/>
      <c r="N1863" s="150"/>
      <c r="O1863" s="150"/>
      <c r="P1863" s="150"/>
      <c r="Q1863" s="150"/>
      <c r="R1863" s="150"/>
      <c r="S1863" s="150"/>
      <c r="T1863" s="150"/>
      <c r="U1863" s="150"/>
      <c r="V1863" s="150"/>
      <c r="W1863" s="150"/>
      <c r="X1863" s="150"/>
      <c r="Y1863" s="150"/>
    </row>
    <row r="1864">
      <c r="A1864" s="150"/>
      <c r="B1864" s="156"/>
      <c r="C1864" s="157"/>
      <c r="D1864" s="150"/>
      <c r="E1864" s="150"/>
      <c r="F1864" s="150"/>
      <c r="G1864" s="150"/>
      <c r="H1864" s="150"/>
      <c r="I1864" s="150"/>
      <c r="J1864" s="150"/>
      <c r="K1864" s="150"/>
      <c r="L1864" s="150"/>
      <c r="M1864" s="150"/>
      <c r="N1864" s="150"/>
      <c r="O1864" s="150"/>
      <c r="P1864" s="150"/>
      <c r="Q1864" s="150"/>
      <c r="R1864" s="150"/>
      <c r="S1864" s="150"/>
      <c r="T1864" s="150"/>
      <c r="U1864" s="150"/>
      <c r="V1864" s="150"/>
      <c r="W1864" s="150"/>
      <c r="X1864" s="150"/>
      <c r="Y1864" s="150"/>
    </row>
    <row r="1865">
      <c r="A1865" s="150"/>
      <c r="B1865" s="156"/>
      <c r="C1865" s="157"/>
      <c r="D1865" s="150"/>
      <c r="E1865" s="150"/>
      <c r="F1865" s="150"/>
      <c r="G1865" s="150"/>
      <c r="H1865" s="150"/>
      <c r="I1865" s="150"/>
      <c r="J1865" s="150"/>
      <c r="K1865" s="150"/>
      <c r="L1865" s="150"/>
      <c r="M1865" s="150"/>
      <c r="N1865" s="150"/>
      <c r="O1865" s="150"/>
      <c r="P1865" s="150"/>
      <c r="Q1865" s="150"/>
      <c r="R1865" s="150"/>
      <c r="S1865" s="150"/>
      <c r="T1865" s="150"/>
      <c r="U1865" s="150"/>
      <c r="V1865" s="150"/>
      <c r="W1865" s="150"/>
      <c r="X1865" s="150"/>
      <c r="Y1865" s="150"/>
    </row>
    <row r="1866">
      <c r="A1866" s="150"/>
      <c r="B1866" s="156"/>
      <c r="C1866" s="157"/>
      <c r="D1866" s="150"/>
      <c r="E1866" s="150"/>
      <c r="F1866" s="150"/>
      <c r="G1866" s="150"/>
      <c r="H1866" s="150"/>
      <c r="I1866" s="150"/>
      <c r="J1866" s="150"/>
      <c r="K1866" s="150"/>
      <c r="L1866" s="150"/>
      <c r="M1866" s="150"/>
      <c r="N1866" s="150"/>
      <c r="O1866" s="150"/>
      <c r="P1866" s="150"/>
      <c r="Q1866" s="150"/>
      <c r="R1866" s="150"/>
      <c r="S1866" s="150"/>
      <c r="T1866" s="150"/>
      <c r="U1866" s="150"/>
      <c r="V1866" s="150"/>
      <c r="W1866" s="150"/>
      <c r="X1866" s="150"/>
      <c r="Y1866" s="150"/>
    </row>
    <row r="1867">
      <c r="A1867" s="150"/>
      <c r="B1867" s="156"/>
      <c r="C1867" s="157"/>
      <c r="D1867" s="150"/>
      <c r="E1867" s="150"/>
      <c r="F1867" s="150"/>
      <c r="G1867" s="150"/>
      <c r="H1867" s="150"/>
      <c r="I1867" s="150"/>
      <c r="J1867" s="150"/>
      <c r="K1867" s="150"/>
      <c r="L1867" s="150"/>
      <c r="M1867" s="150"/>
      <c r="N1867" s="150"/>
      <c r="O1867" s="150"/>
      <c r="P1867" s="150"/>
      <c r="Q1867" s="150"/>
      <c r="R1867" s="150"/>
      <c r="S1867" s="150"/>
      <c r="T1867" s="150"/>
      <c r="U1867" s="150"/>
      <c r="V1867" s="150"/>
      <c r="W1867" s="150"/>
      <c r="X1867" s="150"/>
      <c r="Y1867" s="150"/>
    </row>
    <row r="1868">
      <c r="A1868" s="150"/>
      <c r="B1868" s="156"/>
      <c r="C1868" s="157"/>
      <c r="D1868" s="150"/>
      <c r="E1868" s="150"/>
      <c r="F1868" s="150"/>
      <c r="G1868" s="150"/>
      <c r="H1868" s="150"/>
      <c r="I1868" s="150"/>
      <c r="J1868" s="150"/>
      <c r="K1868" s="150"/>
      <c r="L1868" s="150"/>
      <c r="M1868" s="150"/>
      <c r="N1868" s="150"/>
      <c r="O1868" s="150"/>
      <c r="P1868" s="150"/>
      <c r="Q1868" s="150"/>
      <c r="R1868" s="150"/>
      <c r="S1868" s="150"/>
      <c r="T1868" s="150"/>
      <c r="U1868" s="150"/>
      <c r="V1868" s="150"/>
      <c r="W1868" s="150"/>
      <c r="X1868" s="150"/>
      <c r="Y1868" s="150"/>
    </row>
    <row r="1869">
      <c r="A1869" s="150"/>
      <c r="B1869" s="156"/>
      <c r="C1869" s="157"/>
      <c r="D1869" s="150"/>
      <c r="E1869" s="150"/>
      <c r="F1869" s="150"/>
      <c r="G1869" s="150"/>
      <c r="H1869" s="150"/>
      <c r="I1869" s="150"/>
      <c r="J1869" s="150"/>
      <c r="K1869" s="150"/>
      <c r="L1869" s="150"/>
      <c r="M1869" s="150"/>
      <c r="N1869" s="150"/>
      <c r="O1869" s="150"/>
      <c r="P1869" s="150"/>
      <c r="Q1869" s="150"/>
      <c r="R1869" s="150"/>
      <c r="S1869" s="150"/>
      <c r="T1869" s="150"/>
      <c r="U1869" s="150"/>
      <c r="V1869" s="150"/>
      <c r="W1869" s="150"/>
      <c r="X1869" s="150"/>
      <c r="Y1869" s="150"/>
    </row>
    <row r="1870">
      <c r="A1870" s="150"/>
      <c r="B1870" s="156"/>
      <c r="C1870" s="157"/>
      <c r="D1870" s="150"/>
      <c r="E1870" s="150"/>
      <c r="F1870" s="150"/>
      <c r="G1870" s="150"/>
      <c r="H1870" s="150"/>
      <c r="I1870" s="150"/>
      <c r="J1870" s="150"/>
      <c r="K1870" s="150"/>
      <c r="L1870" s="150"/>
      <c r="M1870" s="150"/>
      <c r="N1870" s="150"/>
      <c r="O1870" s="150"/>
      <c r="P1870" s="150"/>
      <c r="Q1870" s="150"/>
      <c r="R1870" s="150"/>
      <c r="S1870" s="150"/>
      <c r="T1870" s="150"/>
      <c r="U1870" s="150"/>
      <c r="V1870" s="150"/>
      <c r="W1870" s="150"/>
      <c r="X1870" s="150"/>
      <c r="Y1870" s="150"/>
    </row>
    <row r="1871">
      <c r="A1871" s="150"/>
      <c r="B1871" s="156"/>
      <c r="C1871" s="157"/>
      <c r="D1871" s="150"/>
      <c r="E1871" s="150"/>
      <c r="F1871" s="150"/>
      <c r="G1871" s="150"/>
      <c r="H1871" s="150"/>
      <c r="I1871" s="150"/>
      <c r="J1871" s="150"/>
      <c r="K1871" s="150"/>
      <c r="L1871" s="150"/>
      <c r="M1871" s="150"/>
      <c r="N1871" s="150"/>
      <c r="O1871" s="150"/>
      <c r="P1871" s="150"/>
      <c r="Q1871" s="150"/>
      <c r="R1871" s="150"/>
      <c r="S1871" s="150"/>
      <c r="T1871" s="150"/>
      <c r="U1871" s="150"/>
      <c r="V1871" s="150"/>
      <c r="W1871" s="150"/>
      <c r="X1871" s="150"/>
      <c r="Y1871" s="150"/>
    </row>
    <row r="1872">
      <c r="A1872" s="150"/>
      <c r="B1872" s="156"/>
      <c r="C1872" s="157"/>
      <c r="D1872" s="150"/>
      <c r="E1872" s="150"/>
      <c r="F1872" s="150"/>
      <c r="G1872" s="150"/>
      <c r="H1872" s="150"/>
      <c r="I1872" s="150"/>
      <c r="J1872" s="150"/>
      <c r="K1872" s="150"/>
      <c r="L1872" s="150"/>
      <c r="M1872" s="150"/>
      <c r="N1872" s="150"/>
      <c r="O1872" s="150"/>
      <c r="P1872" s="150"/>
      <c r="Q1872" s="150"/>
      <c r="R1872" s="150"/>
      <c r="S1872" s="150"/>
      <c r="T1872" s="150"/>
      <c r="U1872" s="150"/>
      <c r="V1872" s="150"/>
      <c r="W1872" s="150"/>
      <c r="X1872" s="150"/>
      <c r="Y1872" s="150"/>
    </row>
    <row r="1873">
      <c r="A1873" s="150"/>
      <c r="B1873" s="156"/>
      <c r="C1873" s="157"/>
      <c r="D1873" s="150"/>
      <c r="E1873" s="150"/>
      <c r="F1873" s="150"/>
      <c r="G1873" s="150"/>
      <c r="H1873" s="150"/>
      <c r="I1873" s="150"/>
      <c r="J1873" s="150"/>
      <c r="K1873" s="150"/>
      <c r="L1873" s="150"/>
      <c r="M1873" s="150"/>
      <c r="N1873" s="150"/>
      <c r="O1873" s="150"/>
      <c r="P1873" s="150"/>
      <c r="Q1873" s="150"/>
      <c r="R1873" s="150"/>
      <c r="S1873" s="150"/>
      <c r="T1873" s="150"/>
      <c r="U1873" s="150"/>
      <c r="V1873" s="150"/>
      <c r="W1873" s="150"/>
      <c r="X1873" s="150"/>
      <c r="Y1873" s="150"/>
    </row>
    <row r="1874">
      <c r="A1874" s="150"/>
      <c r="B1874" s="156"/>
      <c r="C1874" s="157"/>
      <c r="D1874" s="150"/>
      <c r="E1874" s="150"/>
      <c r="F1874" s="150"/>
      <c r="G1874" s="150"/>
      <c r="H1874" s="150"/>
      <c r="I1874" s="150"/>
      <c r="J1874" s="150"/>
      <c r="K1874" s="150"/>
      <c r="L1874" s="150"/>
      <c r="M1874" s="150"/>
      <c r="N1874" s="150"/>
      <c r="O1874" s="150"/>
      <c r="P1874" s="150"/>
      <c r="Q1874" s="150"/>
      <c r="R1874" s="150"/>
      <c r="S1874" s="150"/>
      <c r="T1874" s="150"/>
      <c r="U1874" s="150"/>
      <c r="V1874" s="150"/>
      <c r="W1874" s="150"/>
      <c r="X1874" s="150"/>
      <c r="Y1874" s="150"/>
    </row>
    <row r="1875">
      <c r="A1875" s="150"/>
      <c r="B1875" s="156"/>
      <c r="C1875" s="157"/>
      <c r="D1875" s="150"/>
      <c r="E1875" s="150"/>
      <c r="F1875" s="150"/>
      <c r="G1875" s="150"/>
      <c r="H1875" s="150"/>
      <c r="I1875" s="150"/>
      <c r="J1875" s="150"/>
      <c r="K1875" s="150"/>
      <c r="L1875" s="150"/>
      <c r="M1875" s="150"/>
      <c r="N1875" s="150"/>
      <c r="O1875" s="150"/>
      <c r="P1875" s="150"/>
      <c r="Q1875" s="150"/>
      <c r="R1875" s="150"/>
      <c r="S1875" s="150"/>
      <c r="T1875" s="150"/>
      <c r="U1875" s="150"/>
      <c r="V1875" s="150"/>
      <c r="W1875" s="150"/>
      <c r="X1875" s="150"/>
      <c r="Y1875" s="150"/>
    </row>
    <row r="1876">
      <c r="A1876" s="150"/>
      <c r="B1876" s="156"/>
      <c r="C1876" s="157"/>
      <c r="D1876" s="150"/>
      <c r="E1876" s="150"/>
      <c r="F1876" s="150"/>
      <c r="G1876" s="150"/>
      <c r="H1876" s="150"/>
      <c r="I1876" s="150"/>
      <c r="J1876" s="150"/>
      <c r="K1876" s="150"/>
      <c r="L1876" s="150"/>
      <c r="M1876" s="150"/>
      <c r="N1876" s="150"/>
      <c r="O1876" s="150"/>
      <c r="P1876" s="150"/>
      <c r="Q1876" s="150"/>
      <c r="R1876" s="150"/>
      <c r="S1876" s="150"/>
      <c r="T1876" s="150"/>
      <c r="U1876" s="150"/>
      <c r="V1876" s="150"/>
      <c r="W1876" s="150"/>
      <c r="X1876" s="150"/>
      <c r="Y1876" s="150"/>
    </row>
    <row r="1877">
      <c r="A1877" s="150"/>
      <c r="B1877" s="156"/>
      <c r="C1877" s="157"/>
      <c r="D1877" s="150"/>
      <c r="E1877" s="150"/>
      <c r="F1877" s="150"/>
      <c r="G1877" s="150"/>
      <c r="H1877" s="150"/>
      <c r="I1877" s="150"/>
      <c r="J1877" s="150"/>
      <c r="K1877" s="150"/>
      <c r="L1877" s="150"/>
      <c r="M1877" s="150"/>
      <c r="N1877" s="150"/>
      <c r="O1877" s="150"/>
      <c r="P1877" s="150"/>
      <c r="Q1877" s="150"/>
      <c r="R1877" s="150"/>
      <c r="S1877" s="150"/>
      <c r="T1877" s="150"/>
      <c r="U1877" s="150"/>
      <c r="V1877" s="150"/>
      <c r="W1877" s="150"/>
      <c r="X1877" s="150"/>
      <c r="Y1877" s="150"/>
    </row>
    <row r="1878">
      <c r="A1878" s="150"/>
      <c r="B1878" s="156"/>
      <c r="C1878" s="157"/>
      <c r="D1878" s="150"/>
      <c r="E1878" s="150"/>
      <c r="F1878" s="150"/>
      <c r="G1878" s="150"/>
      <c r="H1878" s="150"/>
      <c r="I1878" s="150"/>
      <c r="J1878" s="150"/>
      <c r="K1878" s="150"/>
      <c r="L1878" s="150"/>
      <c r="M1878" s="150"/>
      <c r="N1878" s="150"/>
      <c r="O1878" s="150"/>
      <c r="P1878" s="150"/>
      <c r="Q1878" s="150"/>
      <c r="R1878" s="150"/>
      <c r="S1878" s="150"/>
      <c r="T1878" s="150"/>
      <c r="U1878" s="150"/>
      <c r="V1878" s="150"/>
      <c r="W1878" s="150"/>
      <c r="X1878" s="150"/>
      <c r="Y1878" s="150"/>
    </row>
    <row r="1879">
      <c r="A1879" s="150"/>
      <c r="B1879" s="156"/>
      <c r="C1879" s="157"/>
      <c r="D1879" s="150"/>
      <c r="E1879" s="150"/>
      <c r="F1879" s="150"/>
      <c r="G1879" s="150"/>
      <c r="H1879" s="150"/>
      <c r="I1879" s="150"/>
      <c r="J1879" s="150"/>
      <c r="K1879" s="150"/>
      <c r="L1879" s="150"/>
      <c r="M1879" s="150"/>
      <c r="N1879" s="150"/>
      <c r="O1879" s="150"/>
      <c r="P1879" s="150"/>
      <c r="Q1879" s="150"/>
      <c r="R1879" s="150"/>
      <c r="S1879" s="150"/>
      <c r="T1879" s="150"/>
      <c r="U1879" s="150"/>
      <c r="V1879" s="150"/>
      <c r="W1879" s="150"/>
      <c r="X1879" s="150"/>
      <c r="Y1879" s="150"/>
    </row>
    <row r="1880">
      <c r="A1880" s="150"/>
      <c r="B1880" s="156"/>
      <c r="C1880" s="157"/>
      <c r="D1880" s="150"/>
      <c r="E1880" s="150"/>
      <c r="F1880" s="150"/>
      <c r="G1880" s="150"/>
      <c r="H1880" s="150"/>
      <c r="I1880" s="150"/>
      <c r="J1880" s="150"/>
      <c r="K1880" s="150"/>
      <c r="L1880" s="150"/>
      <c r="M1880" s="150"/>
      <c r="N1880" s="150"/>
      <c r="O1880" s="150"/>
      <c r="P1880" s="150"/>
      <c r="Q1880" s="150"/>
      <c r="R1880" s="150"/>
      <c r="S1880" s="150"/>
      <c r="T1880" s="150"/>
      <c r="U1880" s="150"/>
      <c r="V1880" s="150"/>
      <c r="W1880" s="150"/>
      <c r="X1880" s="150"/>
      <c r="Y1880" s="150"/>
    </row>
    <row r="1881">
      <c r="A1881" s="150"/>
      <c r="B1881" s="156"/>
      <c r="C1881" s="157"/>
      <c r="D1881" s="150"/>
      <c r="E1881" s="150"/>
      <c r="F1881" s="150"/>
      <c r="G1881" s="150"/>
      <c r="H1881" s="150"/>
      <c r="I1881" s="150"/>
      <c r="J1881" s="150"/>
      <c r="K1881" s="150"/>
      <c r="L1881" s="150"/>
      <c r="M1881" s="150"/>
      <c r="N1881" s="150"/>
      <c r="O1881" s="150"/>
      <c r="P1881" s="150"/>
      <c r="Q1881" s="150"/>
      <c r="R1881" s="150"/>
      <c r="S1881" s="150"/>
      <c r="T1881" s="150"/>
      <c r="U1881" s="150"/>
      <c r="V1881" s="150"/>
      <c r="W1881" s="150"/>
      <c r="X1881" s="150"/>
      <c r="Y1881" s="150"/>
    </row>
    <row r="1882">
      <c r="A1882" s="150"/>
      <c r="B1882" s="156"/>
      <c r="C1882" s="157"/>
      <c r="D1882" s="150"/>
      <c r="E1882" s="150"/>
      <c r="F1882" s="150"/>
      <c r="G1882" s="150"/>
      <c r="H1882" s="150"/>
      <c r="I1882" s="150"/>
      <c r="J1882" s="150"/>
      <c r="K1882" s="150"/>
      <c r="L1882" s="150"/>
      <c r="M1882" s="150"/>
      <c r="N1882" s="150"/>
      <c r="O1882" s="150"/>
      <c r="P1882" s="150"/>
      <c r="Q1882" s="150"/>
      <c r="R1882" s="150"/>
      <c r="S1882" s="150"/>
      <c r="T1882" s="150"/>
      <c r="U1882" s="150"/>
      <c r="V1882" s="150"/>
      <c r="W1882" s="150"/>
      <c r="X1882" s="150"/>
      <c r="Y1882" s="150"/>
    </row>
    <row r="1883">
      <c r="A1883" s="150"/>
      <c r="B1883" s="156"/>
      <c r="C1883" s="157"/>
      <c r="D1883" s="150"/>
      <c r="E1883" s="150"/>
      <c r="F1883" s="150"/>
      <c r="G1883" s="150"/>
      <c r="H1883" s="150"/>
      <c r="I1883" s="150"/>
      <c r="J1883" s="150"/>
      <c r="K1883" s="150"/>
      <c r="L1883" s="150"/>
      <c r="M1883" s="150"/>
      <c r="N1883" s="150"/>
      <c r="O1883" s="150"/>
      <c r="P1883" s="150"/>
      <c r="Q1883" s="150"/>
      <c r="R1883" s="150"/>
      <c r="S1883" s="150"/>
      <c r="T1883" s="150"/>
      <c r="U1883" s="150"/>
      <c r="V1883" s="150"/>
      <c r="W1883" s="150"/>
      <c r="X1883" s="150"/>
      <c r="Y1883" s="150"/>
    </row>
    <row r="1884">
      <c r="A1884" s="150"/>
      <c r="B1884" s="156"/>
      <c r="C1884" s="157"/>
      <c r="D1884" s="150"/>
      <c r="E1884" s="150"/>
      <c r="F1884" s="150"/>
      <c r="G1884" s="150"/>
      <c r="H1884" s="150"/>
      <c r="I1884" s="150"/>
      <c r="J1884" s="150"/>
      <c r="K1884" s="150"/>
      <c r="L1884" s="150"/>
      <c r="M1884" s="150"/>
      <c r="N1884" s="150"/>
      <c r="O1884" s="150"/>
      <c r="P1884" s="150"/>
      <c r="Q1884" s="150"/>
      <c r="R1884" s="150"/>
      <c r="S1884" s="150"/>
      <c r="T1884" s="150"/>
      <c r="U1884" s="150"/>
      <c r="V1884" s="150"/>
      <c r="W1884" s="150"/>
      <c r="X1884" s="150"/>
      <c r="Y1884" s="150"/>
    </row>
    <row r="1885">
      <c r="A1885" s="150"/>
      <c r="B1885" s="156"/>
      <c r="C1885" s="157"/>
      <c r="D1885" s="150"/>
      <c r="E1885" s="150"/>
      <c r="F1885" s="150"/>
      <c r="G1885" s="150"/>
      <c r="H1885" s="150"/>
      <c r="I1885" s="150"/>
      <c r="J1885" s="150"/>
      <c r="K1885" s="150"/>
      <c r="L1885" s="150"/>
      <c r="M1885" s="150"/>
      <c r="N1885" s="150"/>
      <c r="O1885" s="150"/>
      <c r="P1885" s="150"/>
      <c r="Q1885" s="150"/>
      <c r="R1885" s="150"/>
      <c r="S1885" s="150"/>
      <c r="T1885" s="150"/>
      <c r="U1885" s="150"/>
      <c r="V1885" s="150"/>
      <c r="W1885" s="150"/>
      <c r="X1885" s="150"/>
      <c r="Y1885" s="150"/>
    </row>
    <row r="1886">
      <c r="A1886" s="150"/>
      <c r="B1886" s="156"/>
      <c r="C1886" s="157"/>
      <c r="D1886" s="150"/>
      <c r="E1886" s="150"/>
      <c r="F1886" s="150"/>
      <c r="G1886" s="150"/>
      <c r="H1886" s="150"/>
      <c r="I1886" s="150"/>
      <c r="J1886" s="150"/>
      <c r="K1886" s="150"/>
      <c r="L1886" s="150"/>
      <c r="M1886" s="150"/>
      <c r="N1886" s="150"/>
      <c r="O1886" s="150"/>
      <c r="P1886" s="150"/>
      <c r="Q1886" s="150"/>
      <c r="R1886" s="150"/>
      <c r="S1886" s="150"/>
      <c r="T1886" s="150"/>
      <c r="U1886" s="150"/>
      <c r="V1886" s="150"/>
      <c r="W1886" s="150"/>
      <c r="X1886" s="150"/>
      <c r="Y1886" s="150"/>
    </row>
    <row r="1887">
      <c r="A1887" s="150"/>
      <c r="B1887" s="156"/>
      <c r="C1887" s="157"/>
      <c r="D1887" s="150"/>
      <c r="E1887" s="150"/>
      <c r="F1887" s="150"/>
      <c r="G1887" s="150"/>
      <c r="H1887" s="150"/>
      <c r="I1887" s="150"/>
      <c r="J1887" s="150"/>
      <c r="K1887" s="150"/>
      <c r="L1887" s="150"/>
      <c r="M1887" s="150"/>
      <c r="N1887" s="150"/>
      <c r="O1887" s="150"/>
      <c r="P1887" s="150"/>
      <c r="Q1887" s="150"/>
      <c r="R1887" s="150"/>
      <c r="S1887" s="150"/>
      <c r="T1887" s="150"/>
      <c r="U1887" s="150"/>
      <c r="V1887" s="150"/>
      <c r="W1887" s="150"/>
      <c r="X1887" s="150"/>
      <c r="Y1887" s="150"/>
    </row>
    <row r="1888">
      <c r="A1888" s="150"/>
      <c r="B1888" s="156"/>
      <c r="C1888" s="157"/>
      <c r="D1888" s="150"/>
      <c r="E1888" s="150"/>
      <c r="F1888" s="150"/>
      <c r="G1888" s="150"/>
      <c r="H1888" s="150"/>
      <c r="I1888" s="150"/>
      <c r="J1888" s="150"/>
      <c r="K1888" s="150"/>
      <c r="L1888" s="150"/>
      <c r="M1888" s="150"/>
      <c r="N1888" s="150"/>
      <c r="O1888" s="150"/>
      <c r="P1888" s="150"/>
      <c r="Q1888" s="150"/>
      <c r="R1888" s="150"/>
      <c r="S1888" s="150"/>
      <c r="T1888" s="150"/>
      <c r="U1888" s="150"/>
      <c r="V1888" s="150"/>
      <c r="W1888" s="150"/>
      <c r="X1888" s="150"/>
      <c r="Y1888" s="150"/>
    </row>
    <row r="1889">
      <c r="A1889" s="150"/>
      <c r="B1889" s="156"/>
      <c r="C1889" s="157"/>
      <c r="D1889" s="150"/>
      <c r="E1889" s="150"/>
      <c r="F1889" s="150"/>
      <c r="G1889" s="150"/>
      <c r="H1889" s="150"/>
      <c r="I1889" s="150"/>
      <c r="J1889" s="150"/>
      <c r="K1889" s="150"/>
      <c r="L1889" s="150"/>
      <c r="M1889" s="150"/>
      <c r="N1889" s="150"/>
      <c r="O1889" s="150"/>
      <c r="P1889" s="150"/>
      <c r="Q1889" s="150"/>
      <c r="R1889" s="150"/>
      <c r="S1889" s="150"/>
      <c r="T1889" s="150"/>
      <c r="U1889" s="150"/>
      <c r="V1889" s="150"/>
      <c r="W1889" s="150"/>
      <c r="X1889" s="150"/>
      <c r="Y1889" s="150"/>
    </row>
    <row r="1890">
      <c r="A1890" s="150"/>
      <c r="B1890" s="156"/>
      <c r="C1890" s="157"/>
      <c r="D1890" s="150"/>
      <c r="E1890" s="150"/>
      <c r="F1890" s="150"/>
      <c r="G1890" s="150"/>
      <c r="H1890" s="150"/>
      <c r="I1890" s="150"/>
      <c r="J1890" s="150"/>
      <c r="K1890" s="150"/>
      <c r="L1890" s="150"/>
      <c r="M1890" s="150"/>
      <c r="N1890" s="150"/>
      <c r="O1890" s="150"/>
      <c r="P1890" s="150"/>
      <c r="Q1890" s="150"/>
      <c r="R1890" s="150"/>
      <c r="S1890" s="150"/>
      <c r="T1890" s="150"/>
      <c r="U1890" s="150"/>
      <c r="V1890" s="150"/>
      <c r="W1890" s="150"/>
      <c r="X1890" s="150"/>
      <c r="Y1890" s="150"/>
    </row>
    <row r="1891">
      <c r="A1891" s="150"/>
      <c r="B1891" s="156"/>
      <c r="C1891" s="157"/>
      <c r="D1891" s="150"/>
      <c r="E1891" s="150"/>
      <c r="F1891" s="150"/>
      <c r="G1891" s="150"/>
      <c r="H1891" s="150"/>
      <c r="I1891" s="150"/>
      <c r="J1891" s="150"/>
      <c r="K1891" s="150"/>
      <c r="L1891" s="150"/>
      <c r="M1891" s="150"/>
      <c r="N1891" s="150"/>
      <c r="O1891" s="150"/>
      <c r="P1891" s="150"/>
      <c r="Q1891" s="150"/>
      <c r="R1891" s="150"/>
      <c r="S1891" s="150"/>
      <c r="T1891" s="150"/>
      <c r="U1891" s="150"/>
      <c r="V1891" s="150"/>
      <c r="W1891" s="150"/>
      <c r="X1891" s="150"/>
      <c r="Y1891" s="150"/>
    </row>
    <row r="1892">
      <c r="A1892" s="150"/>
      <c r="B1892" s="156"/>
      <c r="C1892" s="157"/>
      <c r="D1892" s="150"/>
      <c r="E1892" s="150"/>
      <c r="F1892" s="150"/>
      <c r="G1892" s="150"/>
      <c r="H1892" s="150"/>
      <c r="I1892" s="150"/>
      <c r="J1892" s="150"/>
      <c r="K1892" s="150"/>
      <c r="L1892" s="150"/>
      <c r="M1892" s="150"/>
      <c r="N1892" s="150"/>
      <c r="O1892" s="150"/>
      <c r="P1892" s="150"/>
      <c r="Q1892" s="150"/>
      <c r="R1892" s="150"/>
      <c r="S1892" s="150"/>
      <c r="T1892" s="150"/>
      <c r="U1892" s="150"/>
      <c r="V1892" s="150"/>
      <c r="W1892" s="150"/>
      <c r="X1892" s="150"/>
      <c r="Y1892" s="150"/>
    </row>
    <row r="1893">
      <c r="A1893" s="150"/>
      <c r="B1893" s="156"/>
      <c r="C1893" s="157"/>
      <c r="D1893" s="150"/>
      <c r="E1893" s="150"/>
      <c r="F1893" s="150"/>
      <c r="G1893" s="150"/>
      <c r="H1893" s="150"/>
      <c r="I1893" s="150"/>
      <c r="J1893" s="150"/>
      <c r="K1893" s="150"/>
      <c r="L1893" s="150"/>
      <c r="M1893" s="150"/>
      <c r="N1893" s="150"/>
      <c r="O1893" s="150"/>
      <c r="P1893" s="150"/>
      <c r="Q1893" s="150"/>
      <c r="R1893" s="150"/>
      <c r="S1893" s="150"/>
      <c r="T1893" s="150"/>
      <c r="U1893" s="150"/>
      <c r="V1893" s="150"/>
      <c r="W1893" s="150"/>
      <c r="X1893" s="150"/>
      <c r="Y1893" s="150"/>
    </row>
    <row r="1894">
      <c r="A1894" s="150"/>
      <c r="B1894" s="156"/>
      <c r="C1894" s="157"/>
      <c r="D1894" s="150"/>
      <c r="E1894" s="150"/>
      <c r="F1894" s="150"/>
      <c r="G1894" s="150"/>
      <c r="H1894" s="150"/>
      <c r="I1894" s="150"/>
      <c r="J1894" s="150"/>
      <c r="K1894" s="150"/>
      <c r="L1894" s="150"/>
      <c r="M1894" s="150"/>
      <c r="N1894" s="150"/>
      <c r="O1894" s="150"/>
      <c r="P1894" s="150"/>
      <c r="Q1894" s="150"/>
      <c r="R1894" s="150"/>
      <c r="S1894" s="150"/>
      <c r="T1894" s="150"/>
      <c r="U1894" s="150"/>
      <c r="V1894" s="150"/>
      <c r="W1894" s="150"/>
      <c r="X1894" s="150"/>
      <c r="Y1894" s="150"/>
    </row>
    <row r="1895">
      <c r="A1895" s="150"/>
      <c r="B1895" s="156"/>
      <c r="C1895" s="157"/>
      <c r="D1895" s="150"/>
      <c r="E1895" s="150"/>
      <c r="F1895" s="150"/>
      <c r="G1895" s="150"/>
      <c r="H1895" s="150"/>
      <c r="I1895" s="150"/>
      <c r="J1895" s="150"/>
      <c r="K1895" s="150"/>
      <c r="L1895" s="150"/>
      <c r="M1895" s="150"/>
      <c r="N1895" s="150"/>
      <c r="O1895" s="150"/>
      <c r="P1895" s="150"/>
      <c r="Q1895" s="150"/>
      <c r="R1895" s="150"/>
      <c r="S1895" s="150"/>
      <c r="T1895" s="150"/>
      <c r="U1895" s="150"/>
      <c r="V1895" s="150"/>
      <c r="W1895" s="150"/>
      <c r="X1895" s="150"/>
      <c r="Y1895" s="150"/>
    </row>
    <row r="1896">
      <c r="A1896" s="150"/>
      <c r="B1896" s="156"/>
      <c r="C1896" s="157"/>
      <c r="D1896" s="150"/>
      <c r="E1896" s="150"/>
      <c r="F1896" s="150"/>
      <c r="G1896" s="150"/>
      <c r="H1896" s="150"/>
      <c r="I1896" s="150"/>
      <c r="J1896" s="150"/>
      <c r="K1896" s="150"/>
      <c r="L1896" s="150"/>
      <c r="M1896" s="150"/>
      <c r="N1896" s="150"/>
      <c r="O1896" s="150"/>
      <c r="P1896" s="150"/>
      <c r="Q1896" s="150"/>
      <c r="R1896" s="150"/>
      <c r="S1896" s="150"/>
      <c r="T1896" s="150"/>
      <c r="U1896" s="150"/>
      <c r="V1896" s="150"/>
      <c r="W1896" s="150"/>
      <c r="X1896" s="150"/>
      <c r="Y1896" s="150"/>
    </row>
    <row r="1897">
      <c r="A1897" s="150"/>
      <c r="B1897" s="156"/>
      <c r="C1897" s="157"/>
      <c r="D1897" s="150"/>
      <c r="E1897" s="150"/>
      <c r="F1897" s="150"/>
      <c r="G1897" s="150"/>
      <c r="H1897" s="150"/>
      <c r="I1897" s="150"/>
      <c r="J1897" s="150"/>
      <c r="K1897" s="150"/>
      <c r="L1897" s="150"/>
      <c r="M1897" s="150"/>
      <c r="N1897" s="150"/>
      <c r="O1897" s="150"/>
      <c r="P1897" s="150"/>
      <c r="Q1897" s="150"/>
      <c r="R1897" s="150"/>
      <c r="S1897" s="150"/>
      <c r="T1897" s="150"/>
      <c r="U1897" s="150"/>
      <c r="V1897" s="150"/>
      <c r="W1897" s="150"/>
      <c r="X1897" s="150"/>
      <c r="Y1897" s="150"/>
    </row>
    <row r="1898">
      <c r="A1898" s="150"/>
      <c r="B1898" s="156"/>
      <c r="C1898" s="157"/>
      <c r="D1898" s="150"/>
      <c r="E1898" s="150"/>
      <c r="F1898" s="150"/>
      <c r="G1898" s="150"/>
      <c r="H1898" s="150"/>
      <c r="I1898" s="150"/>
      <c r="J1898" s="150"/>
      <c r="K1898" s="150"/>
      <c r="L1898" s="150"/>
      <c r="M1898" s="150"/>
      <c r="N1898" s="150"/>
      <c r="O1898" s="150"/>
      <c r="P1898" s="150"/>
      <c r="Q1898" s="150"/>
      <c r="R1898" s="150"/>
      <c r="S1898" s="150"/>
      <c r="T1898" s="150"/>
      <c r="U1898" s="150"/>
      <c r="V1898" s="150"/>
      <c r="W1898" s="150"/>
      <c r="X1898" s="150"/>
      <c r="Y1898" s="150"/>
    </row>
    <row r="1899">
      <c r="A1899" s="150"/>
      <c r="B1899" s="156"/>
      <c r="C1899" s="157"/>
      <c r="D1899" s="150"/>
      <c r="E1899" s="150"/>
      <c r="F1899" s="150"/>
      <c r="G1899" s="150"/>
      <c r="H1899" s="150"/>
      <c r="I1899" s="150"/>
      <c r="J1899" s="150"/>
      <c r="K1899" s="150"/>
      <c r="L1899" s="150"/>
      <c r="M1899" s="150"/>
      <c r="N1899" s="150"/>
      <c r="O1899" s="150"/>
      <c r="P1899" s="150"/>
      <c r="Q1899" s="150"/>
      <c r="R1899" s="150"/>
      <c r="S1899" s="150"/>
      <c r="T1899" s="150"/>
      <c r="U1899" s="150"/>
      <c r="V1899" s="150"/>
      <c r="W1899" s="150"/>
      <c r="X1899" s="150"/>
      <c r="Y1899" s="150"/>
    </row>
    <row r="1900">
      <c r="A1900" s="150"/>
      <c r="B1900" s="156"/>
      <c r="C1900" s="157"/>
      <c r="D1900" s="150"/>
      <c r="E1900" s="150"/>
      <c r="F1900" s="150"/>
      <c r="G1900" s="150"/>
      <c r="H1900" s="150"/>
      <c r="I1900" s="150"/>
      <c r="J1900" s="150"/>
      <c r="K1900" s="150"/>
      <c r="L1900" s="150"/>
      <c r="M1900" s="150"/>
      <c r="N1900" s="150"/>
      <c r="O1900" s="150"/>
      <c r="P1900" s="150"/>
      <c r="Q1900" s="150"/>
      <c r="R1900" s="150"/>
      <c r="S1900" s="150"/>
      <c r="T1900" s="150"/>
      <c r="U1900" s="150"/>
      <c r="V1900" s="150"/>
      <c r="W1900" s="150"/>
      <c r="X1900" s="150"/>
      <c r="Y1900" s="150"/>
    </row>
    <row r="1901">
      <c r="A1901" s="150"/>
      <c r="B1901" s="156"/>
      <c r="C1901" s="157"/>
      <c r="D1901" s="150"/>
      <c r="E1901" s="150"/>
      <c r="F1901" s="150"/>
      <c r="G1901" s="150"/>
      <c r="H1901" s="150"/>
      <c r="I1901" s="150"/>
      <c r="J1901" s="150"/>
      <c r="K1901" s="150"/>
      <c r="L1901" s="150"/>
      <c r="M1901" s="150"/>
      <c r="N1901" s="150"/>
      <c r="O1901" s="150"/>
      <c r="P1901" s="150"/>
      <c r="Q1901" s="150"/>
      <c r="R1901" s="150"/>
      <c r="S1901" s="150"/>
      <c r="T1901" s="150"/>
      <c r="U1901" s="150"/>
      <c r="V1901" s="150"/>
      <c r="W1901" s="150"/>
      <c r="X1901" s="150"/>
      <c r="Y1901" s="150"/>
    </row>
    <row r="1902">
      <c r="A1902" s="150"/>
      <c r="B1902" s="156"/>
      <c r="C1902" s="157"/>
      <c r="D1902" s="150"/>
      <c r="E1902" s="150"/>
      <c r="F1902" s="150"/>
      <c r="G1902" s="150"/>
      <c r="H1902" s="150"/>
      <c r="I1902" s="150"/>
      <c r="J1902" s="150"/>
      <c r="K1902" s="150"/>
      <c r="L1902" s="150"/>
      <c r="M1902" s="150"/>
      <c r="N1902" s="150"/>
      <c r="O1902" s="150"/>
      <c r="P1902" s="150"/>
      <c r="Q1902" s="150"/>
      <c r="R1902" s="150"/>
      <c r="S1902" s="150"/>
      <c r="T1902" s="150"/>
      <c r="U1902" s="150"/>
      <c r="V1902" s="150"/>
      <c r="W1902" s="150"/>
      <c r="X1902" s="150"/>
      <c r="Y1902" s="150"/>
    </row>
    <row r="1903">
      <c r="A1903" s="150"/>
      <c r="B1903" s="156"/>
      <c r="C1903" s="157"/>
      <c r="D1903" s="150"/>
      <c r="E1903" s="150"/>
      <c r="F1903" s="150"/>
      <c r="G1903" s="150"/>
      <c r="H1903" s="150"/>
      <c r="I1903" s="150"/>
      <c r="J1903" s="150"/>
      <c r="K1903" s="150"/>
      <c r="L1903" s="150"/>
      <c r="M1903" s="150"/>
      <c r="N1903" s="150"/>
      <c r="O1903" s="150"/>
      <c r="P1903" s="150"/>
      <c r="Q1903" s="150"/>
      <c r="R1903" s="150"/>
      <c r="S1903" s="150"/>
      <c r="T1903" s="150"/>
      <c r="U1903" s="150"/>
      <c r="V1903" s="150"/>
      <c r="W1903" s="150"/>
      <c r="X1903" s="150"/>
      <c r="Y1903" s="150"/>
    </row>
    <row r="1904">
      <c r="A1904" s="150"/>
      <c r="B1904" s="156"/>
      <c r="C1904" s="157"/>
      <c r="D1904" s="150"/>
      <c r="E1904" s="150"/>
      <c r="F1904" s="150"/>
      <c r="G1904" s="150"/>
      <c r="H1904" s="150"/>
      <c r="I1904" s="150"/>
      <c r="J1904" s="150"/>
      <c r="K1904" s="150"/>
      <c r="L1904" s="150"/>
      <c r="M1904" s="150"/>
      <c r="N1904" s="150"/>
      <c r="O1904" s="150"/>
      <c r="P1904" s="150"/>
      <c r="Q1904" s="150"/>
      <c r="R1904" s="150"/>
      <c r="S1904" s="150"/>
      <c r="T1904" s="150"/>
      <c r="U1904" s="150"/>
      <c r="V1904" s="150"/>
      <c r="W1904" s="150"/>
      <c r="X1904" s="150"/>
      <c r="Y1904" s="150"/>
    </row>
    <row r="1905">
      <c r="A1905" s="150"/>
      <c r="B1905" s="156"/>
      <c r="C1905" s="157"/>
      <c r="D1905" s="150"/>
      <c r="E1905" s="150"/>
      <c r="F1905" s="150"/>
      <c r="G1905" s="150"/>
      <c r="H1905" s="150"/>
      <c r="I1905" s="150"/>
      <c r="J1905" s="150"/>
      <c r="K1905" s="150"/>
      <c r="L1905" s="150"/>
      <c r="M1905" s="150"/>
      <c r="N1905" s="150"/>
      <c r="O1905" s="150"/>
      <c r="P1905" s="150"/>
      <c r="Q1905" s="150"/>
      <c r="R1905" s="150"/>
      <c r="S1905" s="150"/>
      <c r="T1905" s="150"/>
      <c r="U1905" s="150"/>
      <c r="V1905" s="150"/>
      <c r="W1905" s="150"/>
      <c r="X1905" s="150"/>
      <c r="Y1905" s="150"/>
    </row>
    <row r="1906">
      <c r="A1906" s="150"/>
      <c r="B1906" s="156"/>
      <c r="C1906" s="157"/>
      <c r="D1906" s="150"/>
      <c r="E1906" s="150"/>
      <c r="F1906" s="150"/>
      <c r="G1906" s="150"/>
      <c r="H1906" s="150"/>
      <c r="I1906" s="150"/>
      <c r="J1906" s="150"/>
      <c r="K1906" s="150"/>
      <c r="L1906" s="150"/>
      <c r="M1906" s="150"/>
      <c r="N1906" s="150"/>
      <c r="O1906" s="150"/>
      <c r="P1906" s="150"/>
      <c r="Q1906" s="150"/>
      <c r="R1906" s="150"/>
      <c r="S1906" s="150"/>
      <c r="T1906" s="150"/>
      <c r="U1906" s="150"/>
      <c r="V1906" s="150"/>
      <c r="W1906" s="150"/>
      <c r="X1906" s="150"/>
      <c r="Y1906" s="150"/>
    </row>
    <row r="1907">
      <c r="A1907" s="150"/>
      <c r="B1907" s="156"/>
      <c r="C1907" s="157"/>
      <c r="D1907" s="150"/>
      <c r="E1907" s="150"/>
      <c r="F1907" s="150"/>
      <c r="G1907" s="150"/>
      <c r="H1907" s="150"/>
      <c r="I1907" s="150"/>
      <c r="J1907" s="150"/>
      <c r="K1907" s="150"/>
      <c r="L1907" s="150"/>
      <c r="M1907" s="150"/>
      <c r="N1907" s="150"/>
      <c r="O1907" s="150"/>
      <c r="P1907" s="150"/>
      <c r="Q1907" s="150"/>
      <c r="R1907" s="150"/>
      <c r="S1907" s="150"/>
      <c r="T1907" s="150"/>
      <c r="U1907" s="150"/>
      <c r="V1907" s="150"/>
      <c r="W1907" s="150"/>
      <c r="X1907" s="150"/>
      <c r="Y1907" s="150"/>
    </row>
    <row r="1908">
      <c r="A1908" s="150"/>
      <c r="B1908" s="156"/>
      <c r="C1908" s="157"/>
      <c r="D1908" s="150"/>
      <c r="E1908" s="150"/>
      <c r="F1908" s="150"/>
      <c r="G1908" s="150"/>
      <c r="H1908" s="150"/>
      <c r="I1908" s="150"/>
      <c r="J1908" s="150"/>
      <c r="K1908" s="150"/>
      <c r="L1908" s="150"/>
      <c r="M1908" s="150"/>
      <c r="N1908" s="150"/>
      <c r="O1908" s="150"/>
      <c r="P1908" s="150"/>
      <c r="Q1908" s="150"/>
      <c r="R1908" s="150"/>
      <c r="S1908" s="150"/>
      <c r="T1908" s="150"/>
      <c r="U1908" s="150"/>
      <c r="V1908" s="150"/>
      <c r="W1908" s="150"/>
      <c r="X1908" s="150"/>
      <c r="Y1908" s="150"/>
    </row>
    <row r="1909">
      <c r="A1909" s="150"/>
      <c r="B1909" s="156"/>
      <c r="C1909" s="157"/>
      <c r="D1909" s="150"/>
      <c r="E1909" s="150"/>
      <c r="F1909" s="150"/>
      <c r="G1909" s="150"/>
      <c r="H1909" s="150"/>
      <c r="I1909" s="150"/>
      <c r="J1909" s="150"/>
      <c r="K1909" s="150"/>
      <c r="L1909" s="150"/>
      <c r="M1909" s="150"/>
      <c r="N1909" s="150"/>
      <c r="O1909" s="150"/>
      <c r="P1909" s="150"/>
      <c r="Q1909" s="150"/>
      <c r="R1909" s="150"/>
      <c r="S1909" s="150"/>
      <c r="T1909" s="150"/>
      <c r="U1909" s="150"/>
      <c r="V1909" s="150"/>
      <c r="W1909" s="150"/>
      <c r="X1909" s="150"/>
      <c r="Y1909" s="150"/>
    </row>
    <row r="1910">
      <c r="A1910" s="150"/>
      <c r="B1910" s="156"/>
      <c r="C1910" s="157"/>
      <c r="D1910" s="150"/>
      <c r="E1910" s="150"/>
      <c r="F1910" s="150"/>
      <c r="G1910" s="150"/>
      <c r="H1910" s="150"/>
      <c r="I1910" s="150"/>
      <c r="J1910" s="150"/>
      <c r="K1910" s="150"/>
      <c r="L1910" s="150"/>
      <c r="M1910" s="150"/>
      <c r="N1910" s="150"/>
      <c r="O1910" s="150"/>
      <c r="P1910" s="150"/>
      <c r="Q1910" s="150"/>
      <c r="R1910" s="150"/>
      <c r="S1910" s="150"/>
      <c r="T1910" s="150"/>
      <c r="U1910" s="150"/>
      <c r="V1910" s="150"/>
      <c r="W1910" s="150"/>
      <c r="X1910" s="150"/>
      <c r="Y1910" s="150"/>
    </row>
    <row r="1911">
      <c r="A1911" s="150"/>
      <c r="B1911" s="156"/>
      <c r="C1911" s="157"/>
      <c r="D1911" s="150"/>
      <c r="E1911" s="150"/>
      <c r="F1911" s="150"/>
      <c r="G1911" s="150"/>
      <c r="H1911" s="150"/>
      <c r="I1911" s="150"/>
      <c r="J1911" s="150"/>
      <c r="K1911" s="150"/>
      <c r="L1911" s="150"/>
      <c r="M1911" s="150"/>
      <c r="N1911" s="150"/>
      <c r="O1911" s="150"/>
      <c r="P1911" s="150"/>
      <c r="Q1911" s="150"/>
      <c r="R1911" s="150"/>
      <c r="S1911" s="150"/>
      <c r="T1911" s="150"/>
      <c r="U1911" s="150"/>
      <c r="V1911" s="150"/>
      <c r="W1911" s="150"/>
      <c r="X1911" s="150"/>
      <c r="Y1911" s="150"/>
    </row>
    <row r="1912">
      <c r="A1912" s="150"/>
      <c r="B1912" s="156"/>
      <c r="C1912" s="157"/>
      <c r="D1912" s="150"/>
      <c r="E1912" s="150"/>
      <c r="F1912" s="150"/>
      <c r="G1912" s="150"/>
      <c r="H1912" s="150"/>
      <c r="I1912" s="150"/>
      <c r="J1912" s="150"/>
      <c r="K1912" s="150"/>
      <c r="L1912" s="150"/>
      <c r="M1912" s="150"/>
      <c r="N1912" s="150"/>
      <c r="O1912" s="150"/>
      <c r="P1912" s="150"/>
      <c r="Q1912" s="150"/>
      <c r="R1912" s="150"/>
      <c r="S1912" s="150"/>
      <c r="T1912" s="150"/>
      <c r="U1912" s="150"/>
      <c r="V1912" s="150"/>
      <c r="W1912" s="150"/>
      <c r="X1912" s="150"/>
      <c r="Y1912" s="150"/>
    </row>
    <row r="1913">
      <c r="A1913" s="150"/>
      <c r="B1913" s="156"/>
      <c r="C1913" s="157"/>
      <c r="D1913" s="150"/>
      <c r="E1913" s="150"/>
      <c r="F1913" s="150"/>
      <c r="G1913" s="150"/>
      <c r="H1913" s="150"/>
      <c r="I1913" s="150"/>
      <c r="J1913" s="150"/>
      <c r="K1913" s="150"/>
      <c r="L1913" s="150"/>
      <c r="M1913" s="150"/>
      <c r="N1913" s="150"/>
      <c r="O1913" s="150"/>
      <c r="P1913" s="150"/>
      <c r="Q1913" s="150"/>
      <c r="R1913" s="150"/>
      <c r="S1913" s="150"/>
      <c r="T1913" s="150"/>
      <c r="U1913" s="150"/>
      <c r="V1913" s="150"/>
      <c r="W1913" s="150"/>
      <c r="X1913" s="150"/>
      <c r="Y1913" s="150"/>
    </row>
    <row r="1914">
      <c r="A1914" s="150"/>
      <c r="B1914" s="156"/>
      <c r="C1914" s="157"/>
      <c r="D1914" s="150"/>
      <c r="E1914" s="150"/>
      <c r="F1914" s="150"/>
      <c r="G1914" s="150"/>
      <c r="H1914" s="150"/>
      <c r="I1914" s="150"/>
      <c r="J1914" s="150"/>
      <c r="K1914" s="150"/>
      <c r="L1914" s="150"/>
      <c r="M1914" s="150"/>
      <c r="N1914" s="150"/>
      <c r="O1914" s="150"/>
      <c r="P1914" s="150"/>
      <c r="Q1914" s="150"/>
      <c r="R1914" s="150"/>
      <c r="S1914" s="150"/>
      <c r="T1914" s="150"/>
      <c r="U1914" s="150"/>
      <c r="V1914" s="150"/>
      <c r="W1914" s="150"/>
      <c r="X1914" s="150"/>
      <c r="Y1914" s="150"/>
    </row>
    <row r="1915">
      <c r="A1915" s="150"/>
      <c r="B1915" s="156"/>
      <c r="C1915" s="157"/>
      <c r="D1915" s="150"/>
      <c r="E1915" s="150"/>
      <c r="F1915" s="150"/>
      <c r="G1915" s="150"/>
      <c r="H1915" s="150"/>
      <c r="I1915" s="150"/>
      <c r="J1915" s="150"/>
      <c r="K1915" s="150"/>
      <c r="L1915" s="150"/>
      <c r="M1915" s="150"/>
      <c r="N1915" s="150"/>
      <c r="O1915" s="150"/>
      <c r="P1915" s="150"/>
      <c r="Q1915" s="150"/>
      <c r="R1915" s="150"/>
      <c r="S1915" s="150"/>
      <c r="T1915" s="150"/>
      <c r="U1915" s="150"/>
      <c r="V1915" s="150"/>
      <c r="W1915" s="150"/>
      <c r="X1915" s="150"/>
      <c r="Y1915" s="150"/>
    </row>
    <row r="1916">
      <c r="A1916" s="150"/>
      <c r="B1916" s="156"/>
      <c r="C1916" s="157"/>
      <c r="D1916" s="150"/>
      <c r="E1916" s="150"/>
      <c r="F1916" s="150"/>
      <c r="G1916" s="150"/>
      <c r="H1916" s="150"/>
      <c r="I1916" s="150"/>
      <c r="J1916" s="150"/>
      <c r="K1916" s="150"/>
      <c r="L1916" s="150"/>
      <c r="M1916" s="150"/>
      <c r="N1916" s="150"/>
      <c r="O1916" s="150"/>
      <c r="P1916" s="150"/>
      <c r="Q1916" s="150"/>
      <c r="R1916" s="150"/>
      <c r="S1916" s="150"/>
      <c r="T1916" s="150"/>
      <c r="U1916" s="150"/>
      <c r="V1916" s="150"/>
      <c r="W1916" s="150"/>
      <c r="X1916" s="150"/>
      <c r="Y1916" s="150"/>
    </row>
    <row r="1917">
      <c r="A1917" s="150"/>
      <c r="B1917" s="156"/>
      <c r="C1917" s="157"/>
      <c r="D1917" s="150"/>
      <c r="E1917" s="150"/>
      <c r="F1917" s="150"/>
      <c r="G1917" s="150"/>
      <c r="H1917" s="150"/>
      <c r="I1917" s="150"/>
      <c r="J1917" s="150"/>
      <c r="K1917" s="150"/>
      <c r="L1917" s="150"/>
      <c r="M1917" s="150"/>
      <c r="N1917" s="150"/>
      <c r="O1917" s="150"/>
      <c r="P1917" s="150"/>
      <c r="Q1917" s="150"/>
      <c r="R1917" s="150"/>
      <c r="S1917" s="150"/>
      <c r="T1917" s="150"/>
      <c r="U1917" s="150"/>
      <c r="V1917" s="150"/>
      <c r="W1917" s="150"/>
      <c r="X1917" s="150"/>
      <c r="Y1917" s="150"/>
    </row>
    <row r="1918">
      <c r="A1918" s="150"/>
      <c r="B1918" s="156"/>
      <c r="C1918" s="157"/>
      <c r="D1918" s="150"/>
      <c r="E1918" s="150"/>
      <c r="F1918" s="150"/>
      <c r="G1918" s="150"/>
      <c r="H1918" s="150"/>
      <c r="I1918" s="150"/>
      <c r="J1918" s="150"/>
      <c r="K1918" s="150"/>
      <c r="L1918" s="150"/>
      <c r="M1918" s="150"/>
      <c r="N1918" s="150"/>
      <c r="O1918" s="150"/>
      <c r="P1918" s="150"/>
      <c r="Q1918" s="150"/>
      <c r="R1918" s="150"/>
      <c r="S1918" s="150"/>
      <c r="T1918" s="150"/>
      <c r="U1918" s="150"/>
      <c r="V1918" s="150"/>
      <c r="W1918" s="150"/>
      <c r="X1918" s="150"/>
      <c r="Y1918" s="150"/>
    </row>
    <row r="1919">
      <c r="A1919" s="150"/>
      <c r="B1919" s="156"/>
      <c r="C1919" s="157"/>
      <c r="D1919" s="150"/>
      <c r="E1919" s="150"/>
      <c r="F1919" s="150"/>
      <c r="G1919" s="150"/>
      <c r="H1919" s="150"/>
      <c r="I1919" s="150"/>
      <c r="J1919" s="150"/>
      <c r="K1919" s="150"/>
      <c r="L1919" s="150"/>
      <c r="M1919" s="150"/>
      <c r="N1919" s="150"/>
      <c r="O1919" s="150"/>
      <c r="P1919" s="150"/>
      <c r="Q1919" s="150"/>
      <c r="R1919" s="150"/>
      <c r="S1919" s="150"/>
      <c r="T1919" s="150"/>
      <c r="U1919" s="150"/>
      <c r="V1919" s="150"/>
      <c r="W1919" s="150"/>
      <c r="X1919" s="150"/>
      <c r="Y1919" s="150"/>
    </row>
    <row r="1920">
      <c r="A1920" s="150"/>
      <c r="B1920" s="156"/>
      <c r="C1920" s="157"/>
      <c r="D1920" s="150"/>
      <c r="E1920" s="150"/>
      <c r="F1920" s="150"/>
      <c r="G1920" s="150"/>
      <c r="H1920" s="150"/>
      <c r="I1920" s="150"/>
      <c r="J1920" s="150"/>
      <c r="K1920" s="150"/>
      <c r="L1920" s="150"/>
      <c r="M1920" s="150"/>
      <c r="N1920" s="150"/>
      <c r="O1920" s="150"/>
      <c r="P1920" s="150"/>
      <c r="Q1920" s="150"/>
      <c r="R1920" s="150"/>
      <c r="S1920" s="150"/>
      <c r="T1920" s="150"/>
      <c r="U1920" s="150"/>
      <c r="V1920" s="150"/>
      <c r="W1920" s="150"/>
      <c r="X1920" s="150"/>
      <c r="Y1920" s="150"/>
    </row>
    <row r="1921">
      <c r="A1921" s="150"/>
      <c r="B1921" s="156"/>
      <c r="C1921" s="157"/>
      <c r="D1921" s="150"/>
      <c r="E1921" s="150"/>
      <c r="F1921" s="150"/>
      <c r="G1921" s="150"/>
      <c r="H1921" s="150"/>
      <c r="I1921" s="150"/>
      <c r="J1921" s="150"/>
      <c r="K1921" s="150"/>
      <c r="L1921" s="150"/>
      <c r="M1921" s="150"/>
      <c r="N1921" s="150"/>
      <c r="O1921" s="150"/>
      <c r="P1921" s="150"/>
      <c r="Q1921" s="150"/>
      <c r="R1921" s="150"/>
      <c r="S1921" s="150"/>
      <c r="T1921" s="150"/>
      <c r="U1921" s="150"/>
      <c r="V1921" s="150"/>
      <c r="W1921" s="150"/>
      <c r="X1921" s="150"/>
      <c r="Y1921" s="150"/>
    </row>
    <row r="1922">
      <c r="A1922" s="150"/>
      <c r="B1922" s="156"/>
      <c r="C1922" s="157"/>
      <c r="D1922" s="150"/>
      <c r="E1922" s="150"/>
      <c r="F1922" s="150"/>
      <c r="G1922" s="150"/>
      <c r="H1922" s="150"/>
      <c r="I1922" s="150"/>
      <c r="J1922" s="150"/>
      <c r="K1922" s="150"/>
      <c r="L1922" s="150"/>
      <c r="M1922" s="150"/>
      <c r="N1922" s="150"/>
      <c r="O1922" s="150"/>
      <c r="P1922" s="150"/>
      <c r="Q1922" s="150"/>
      <c r="R1922" s="150"/>
      <c r="S1922" s="150"/>
      <c r="T1922" s="150"/>
      <c r="U1922" s="150"/>
      <c r="V1922" s="150"/>
      <c r="W1922" s="150"/>
      <c r="X1922" s="150"/>
      <c r="Y1922" s="150"/>
    </row>
    <row r="1923">
      <c r="A1923" s="150"/>
      <c r="B1923" s="156"/>
      <c r="C1923" s="157"/>
      <c r="D1923" s="150"/>
      <c r="E1923" s="150"/>
      <c r="F1923" s="150"/>
      <c r="G1923" s="150"/>
      <c r="H1923" s="150"/>
      <c r="I1923" s="150"/>
      <c r="J1923" s="150"/>
      <c r="K1923" s="150"/>
      <c r="L1923" s="150"/>
      <c r="M1923" s="150"/>
      <c r="N1923" s="150"/>
      <c r="O1923" s="150"/>
      <c r="P1923" s="150"/>
      <c r="Q1923" s="150"/>
      <c r="R1923" s="150"/>
      <c r="S1923" s="150"/>
      <c r="T1923" s="150"/>
      <c r="U1923" s="150"/>
      <c r="V1923" s="150"/>
      <c r="W1923" s="150"/>
      <c r="X1923" s="150"/>
      <c r="Y1923" s="150"/>
    </row>
    <row r="1924">
      <c r="A1924" s="150"/>
      <c r="B1924" s="156"/>
      <c r="C1924" s="157"/>
      <c r="D1924" s="150"/>
      <c r="E1924" s="150"/>
      <c r="F1924" s="150"/>
      <c r="G1924" s="150"/>
      <c r="H1924" s="150"/>
      <c r="I1924" s="150"/>
      <c r="J1924" s="150"/>
      <c r="K1924" s="150"/>
      <c r="L1924" s="150"/>
      <c r="M1924" s="150"/>
      <c r="N1924" s="150"/>
      <c r="O1924" s="150"/>
      <c r="P1924" s="150"/>
      <c r="Q1924" s="150"/>
      <c r="R1924" s="150"/>
      <c r="S1924" s="150"/>
      <c r="T1924" s="150"/>
      <c r="U1924" s="150"/>
      <c r="V1924" s="150"/>
      <c r="W1924" s="150"/>
      <c r="X1924" s="150"/>
      <c r="Y1924" s="150"/>
    </row>
    <row r="1925">
      <c r="A1925" s="150"/>
      <c r="B1925" s="156"/>
      <c r="C1925" s="157"/>
      <c r="D1925" s="150"/>
      <c r="E1925" s="150"/>
      <c r="F1925" s="150"/>
      <c r="G1925" s="150"/>
      <c r="H1925" s="150"/>
      <c r="I1925" s="150"/>
      <c r="J1925" s="150"/>
      <c r="K1925" s="150"/>
      <c r="L1925" s="150"/>
      <c r="M1925" s="150"/>
      <c r="N1925" s="150"/>
      <c r="O1925" s="150"/>
      <c r="P1925" s="150"/>
      <c r="Q1925" s="150"/>
      <c r="R1925" s="150"/>
      <c r="S1925" s="150"/>
      <c r="T1925" s="150"/>
      <c r="U1925" s="150"/>
      <c r="V1925" s="150"/>
      <c r="W1925" s="150"/>
      <c r="X1925" s="150"/>
      <c r="Y1925" s="150"/>
    </row>
    <row r="1926">
      <c r="A1926" s="150"/>
      <c r="B1926" s="156"/>
      <c r="C1926" s="157"/>
      <c r="D1926" s="150"/>
      <c r="E1926" s="150"/>
      <c r="F1926" s="150"/>
      <c r="G1926" s="150"/>
      <c r="H1926" s="150"/>
      <c r="I1926" s="150"/>
      <c r="J1926" s="150"/>
      <c r="K1926" s="150"/>
      <c r="L1926" s="150"/>
      <c r="M1926" s="150"/>
      <c r="N1926" s="150"/>
      <c r="O1926" s="150"/>
      <c r="P1926" s="150"/>
      <c r="Q1926" s="150"/>
      <c r="R1926" s="150"/>
      <c r="S1926" s="150"/>
      <c r="T1926" s="150"/>
      <c r="U1926" s="150"/>
      <c r="V1926" s="150"/>
      <c r="W1926" s="150"/>
      <c r="X1926" s="150"/>
      <c r="Y1926" s="150"/>
    </row>
    <row r="1927">
      <c r="A1927" s="150"/>
      <c r="B1927" s="156"/>
      <c r="C1927" s="157"/>
      <c r="D1927" s="150"/>
      <c r="E1927" s="150"/>
      <c r="F1927" s="150"/>
      <c r="G1927" s="150"/>
      <c r="H1927" s="150"/>
      <c r="I1927" s="150"/>
      <c r="J1927" s="150"/>
      <c r="K1927" s="150"/>
      <c r="L1927" s="150"/>
      <c r="M1927" s="150"/>
      <c r="N1927" s="150"/>
      <c r="O1927" s="150"/>
      <c r="P1927" s="150"/>
      <c r="Q1927" s="150"/>
      <c r="R1927" s="150"/>
      <c r="S1927" s="150"/>
      <c r="T1927" s="150"/>
      <c r="U1927" s="150"/>
      <c r="V1927" s="150"/>
      <c r="W1927" s="150"/>
      <c r="X1927" s="150"/>
      <c r="Y1927" s="150"/>
    </row>
    <row r="1928">
      <c r="A1928" s="150"/>
      <c r="B1928" s="156"/>
      <c r="C1928" s="157"/>
      <c r="D1928" s="150"/>
      <c r="E1928" s="150"/>
      <c r="F1928" s="150"/>
      <c r="G1928" s="150"/>
      <c r="H1928" s="150"/>
      <c r="I1928" s="150"/>
      <c r="J1928" s="150"/>
      <c r="K1928" s="150"/>
      <c r="L1928" s="150"/>
      <c r="M1928" s="150"/>
      <c r="N1928" s="150"/>
      <c r="O1928" s="150"/>
      <c r="P1928" s="150"/>
      <c r="Q1928" s="150"/>
      <c r="R1928" s="150"/>
      <c r="S1928" s="150"/>
      <c r="T1928" s="150"/>
      <c r="U1928" s="150"/>
      <c r="V1928" s="150"/>
      <c r="W1928" s="150"/>
      <c r="X1928" s="150"/>
      <c r="Y1928" s="150"/>
    </row>
    <row r="1929">
      <c r="A1929" s="150"/>
      <c r="B1929" s="156"/>
      <c r="C1929" s="157"/>
      <c r="D1929" s="150"/>
      <c r="E1929" s="150"/>
      <c r="F1929" s="150"/>
      <c r="G1929" s="150"/>
      <c r="H1929" s="150"/>
      <c r="I1929" s="150"/>
      <c r="J1929" s="150"/>
      <c r="K1929" s="150"/>
      <c r="L1929" s="150"/>
      <c r="M1929" s="150"/>
      <c r="N1929" s="150"/>
      <c r="O1929" s="150"/>
      <c r="P1929" s="150"/>
      <c r="Q1929" s="150"/>
      <c r="R1929" s="150"/>
      <c r="S1929" s="150"/>
      <c r="T1929" s="150"/>
      <c r="U1929" s="150"/>
      <c r="V1929" s="150"/>
      <c r="W1929" s="150"/>
      <c r="X1929" s="150"/>
      <c r="Y1929" s="150"/>
    </row>
    <row r="1930">
      <c r="A1930" s="150"/>
      <c r="B1930" s="156"/>
      <c r="C1930" s="157"/>
      <c r="D1930" s="150"/>
      <c r="E1930" s="150"/>
      <c r="F1930" s="150"/>
      <c r="G1930" s="150"/>
      <c r="H1930" s="150"/>
      <c r="I1930" s="150"/>
      <c r="J1930" s="150"/>
      <c r="K1930" s="150"/>
      <c r="L1930" s="150"/>
      <c r="M1930" s="150"/>
      <c r="N1930" s="150"/>
      <c r="O1930" s="150"/>
      <c r="P1930" s="150"/>
      <c r="Q1930" s="150"/>
      <c r="R1930" s="150"/>
      <c r="S1930" s="150"/>
      <c r="T1930" s="150"/>
      <c r="U1930" s="150"/>
      <c r="V1930" s="150"/>
      <c r="W1930" s="150"/>
      <c r="X1930" s="150"/>
      <c r="Y1930" s="150"/>
    </row>
    <row r="1931">
      <c r="A1931" s="150"/>
      <c r="B1931" s="156"/>
      <c r="C1931" s="157"/>
      <c r="D1931" s="150"/>
      <c r="E1931" s="150"/>
      <c r="F1931" s="150"/>
      <c r="G1931" s="150"/>
      <c r="H1931" s="150"/>
      <c r="I1931" s="150"/>
      <c r="J1931" s="150"/>
      <c r="K1931" s="150"/>
      <c r="L1931" s="150"/>
      <c r="M1931" s="150"/>
      <c r="N1931" s="150"/>
      <c r="O1931" s="150"/>
      <c r="P1931" s="150"/>
      <c r="Q1931" s="150"/>
      <c r="R1931" s="150"/>
      <c r="S1931" s="150"/>
      <c r="T1931" s="150"/>
      <c r="U1931" s="150"/>
      <c r="V1931" s="150"/>
      <c r="W1931" s="150"/>
      <c r="X1931" s="150"/>
      <c r="Y1931" s="150"/>
    </row>
    <row r="1932">
      <c r="A1932" s="150"/>
      <c r="B1932" s="156"/>
      <c r="C1932" s="157"/>
      <c r="D1932" s="150"/>
      <c r="E1932" s="150"/>
      <c r="F1932" s="150"/>
      <c r="G1932" s="150"/>
      <c r="H1932" s="150"/>
      <c r="I1932" s="150"/>
      <c r="J1932" s="150"/>
      <c r="K1932" s="150"/>
      <c r="L1932" s="150"/>
      <c r="M1932" s="150"/>
      <c r="N1932" s="150"/>
      <c r="O1932" s="150"/>
      <c r="P1932" s="150"/>
      <c r="Q1932" s="150"/>
      <c r="R1932" s="150"/>
      <c r="S1932" s="150"/>
      <c r="T1932" s="150"/>
      <c r="U1932" s="150"/>
      <c r="V1932" s="150"/>
      <c r="W1932" s="150"/>
      <c r="X1932" s="150"/>
      <c r="Y1932" s="150"/>
    </row>
    <row r="1933">
      <c r="A1933" s="150"/>
      <c r="B1933" s="156"/>
      <c r="C1933" s="157"/>
      <c r="D1933" s="150"/>
      <c r="E1933" s="150"/>
      <c r="F1933" s="150"/>
      <c r="G1933" s="150"/>
      <c r="H1933" s="150"/>
      <c r="I1933" s="150"/>
      <c r="J1933" s="150"/>
      <c r="K1933" s="150"/>
      <c r="L1933" s="150"/>
      <c r="M1933" s="150"/>
      <c r="N1933" s="150"/>
      <c r="O1933" s="150"/>
      <c r="P1933" s="150"/>
      <c r="Q1933" s="150"/>
      <c r="R1933" s="150"/>
      <c r="S1933" s="150"/>
      <c r="T1933" s="150"/>
      <c r="U1933" s="150"/>
      <c r="V1933" s="150"/>
      <c r="W1933" s="150"/>
      <c r="X1933" s="150"/>
      <c r="Y1933" s="150"/>
    </row>
    <row r="1934">
      <c r="A1934" s="150"/>
      <c r="B1934" s="156"/>
      <c r="C1934" s="157"/>
      <c r="D1934" s="150"/>
      <c r="E1934" s="150"/>
      <c r="F1934" s="150"/>
      <c r="G1934" s="150"/>
      <c r="H1934" s="150"/>
      <c r="I1934" s="150"/>
      <c r="J1934" s="150"/>
      <c r="K1934" s="150"/>
      <c r="L1934" s="150"/>
      <c r="M1934" s="150"/>
      <c r="N1934" s="150"/>
      <c r="O1934" s="150"/>
      <c r="P1934" s="150"/>
      <c r="Q1934" s="150"/>
      <c r="R1934" s="150"/>
      <c r="S1934" s="150"/>
      <c r="T1934" s="150"/>
      <c r="U1934" s="150"/>
      <c r="V1934" s="150"/>
      <c r="W1934" s="150"/>
      <c r="X1934" s="150"/>
      <c r="Y1934" s="150"/>
    </row>
    <row r="1935">
      <c r="A1935" s="150"/>
      <c r="B1935" s="156"/>
      <c r="C1935" s="157"/>
      <c r="D1935" s="150"/>
      <c r="E1935" s="150"/>
      <c r="F1935" s="150"/>
      <c r="G1935" s="150"/>
      <c r="H1935" s="150"/>
      <c r="I1935" s="150"/>
      <c r="J1935" s="150"/>
      <c r="K1935" s="150"/>
      <c r="L1935" s="150"/>
      <c r="M1935" s="150"/>
      <c r="N1935" s="150"/>
      <c r="O1935" s="150"/>
      <c r="P1935" s="150"/>
      <c r="Q1935" s="150"/>
      <c r="R1935" s="150"/>
      <c r="S1935" s="150"/>
      <c r="T1935" s="150"/>
      <c r="U1935" s="150"/>
      <c r="V1935" s="150"/>
      <c r="W1935" s="150"/>
      <c r="X1935" s="150"/>
      <c r="Y1935" s="150"/>
    </row>
    <row r="1936">
      <c r="A1936" s="150"/>
      <c r="B1936" s="156"/>
      <c r="C1936" s="157"/>
      <c r="D1936" s="150"/>
      <c r="E1936" s="150"/>
      <c r="F1936" s="150"/>
      <c r="G1936" s="150"/>
      <c r="H1936" s="150"/>
      <c r="I1936" s="150"/>
      <c r="J1936" s="150"/>
      <c r="K1936" s="150"/>
      <c r="L1936" s="150"/>
      <c r="M1936" s="150"/>
      <c r="N1936" s="150"/>
      <c r="O1936" s="150"/>
      <c r="P1936" s="150"/>
      <c r="Q1936" s="150"/>
      <c r="R1936" s="150"/>
      <c r="S1936" s="150"/>
      <c r="T1936" s="150"/>
      <c r="U1936" s="150"/>
      <c r="V1936" s="150"/>
      <c r="W1936" s="150"/>
      <c r="X1936" s="150"/>
      <c r="Y1936" s="150"/>
    </row>
    <row r="1937">
      <c r="A1937" s="150"/>
      <c r="B1937" s="156"/>
      <c r="C1937" s="157"/>
      <c r="D1937" s="150"/>
      <c r="E1937" s="150"/>
      <c r="F1937" s="150"/>
      <c r="G1937" s="150"/>
      <c r="H1937" s="150"/>
      <c r="I1937" s="150"/>
      <c r="J1937" s="150"/>
      <c r="K1937" s="150"/>
      <c r="L1937" s="150"/>
      <c r="M1937" s="150"/>
      <c r="N1937" s="150"/>
      <c r="O1937" s="150"/>
      <c r="P1937" s="150"/>
      <c r="Q1937" s="150"/>
      <c r="R1937" s="150"/>
      <c r="S1937" s="150"/>
      <c r="T1937" s="150"/>
      <c r="U1937" s="150"/>
      <c r="V1937" s="150"/>
      <c r="W1937" s="150"/>
      <c r="X1937" s="150"/>
      <c r="Y1937" s="150"/>
    </row>
    <row r="1938">
      <c r="A1938" s="150"/>
      <c r="B1938" s="156"/>
      <c r="C1938" s="157"/>
      <c r="D1938" s="150"/>
      <c r="E1938" s="150"/>
      <c r="F1938" s="150"/>
      <c r="G1938" s="150"/>
      <c r="H1938" s="150"/>
      <c r="I1938" s="150"/>
      <c r="J1938" s="150"/>
      <c r="K1938" s="150"/>
      <c r="L1938" s="150"/>
      <c r="M1938" s="150"/>
      <c r="N1938" s="150"/>
      <c r="O1938" s="150"/>
      <c r="P1938" s="150"/>
      <c r="Q1938" s="150"/>
      <c r="R1938" s="150"/>
      <c r="S1938" s="150"/>
      <c r="T1938" s="150"/>
      <c r="U1938" s="150"/>
      <c r="V1938" s="150"/>
      <c r="W1938" s="150"/>
      <c r="X1938" s="150"/>
      <c r="Y1938" s="150"/>
    </row>
    <row r="1939">
      <c r="A1939" s="150"/>
      <c r="B1939" s="156"/>
      <c r="C1939" s="157"/>
      <c r="D1939" s="150"/>
      <c r="E1939" s="150"/>
      <c r="F1939" s="150"/>
      <c r="G1939" s="150"/>
      <c r="H1939" s="150"/>
      <c r="I1939" s="150"/>
      <c r="J1939" s="150"/>
      <c r="K1939" s="150"/>
      <c r="L1939" s="150"/>
      <c r="M1939" s="150"/>
      <c r="N1939" s="150"/>
      <c r="O1939" s="150"/>
      <c r="P1939" s="150"/>
      <c r="Q1939" s="150"/>
      <c r="R1939" s="150"/>
      <c r="S1939" s="150"/>
      <c r="T1939" s="150"/>
      <c r="U1939" s="150"/>
      <c r="V1939" s="150"/>
      <c r="W1939" s="150"/>
      <c r="X1939" s="150"/>
      <c r="Y1939" s="150"/>
    </row>
    <row r="1940">
      <c r="A1940" s="150"/>
      <c r="B1940" s="156"/>
      <c r="C1940" s="157"/>
      <c r="D1940" s="150"/>
      <c r="E1940" s="150"/>
      <c r="F1940" s="150"/>
      <c r="G1940" s="150"/>
      <c r="H1940" s="150"/>
      <c r="I1940" s="150"/>
      <c r="J1940" s="150"/>
      <c r="K1940" s="150"/>
      <c r="L1940" s="150"/>
      <c r="M1940" s="150"/>
      <c r="N1940" s="150"/>
      <c r="O1940" s="150"/>
      <c r="P1940" s="150"/>
      <c r="Q1940" s="150"/>
      <c r="R1940" s="150"/>
      <c r="S1940" s="150"/>
      <c r="T1940" s="150"/>
      <c r="U1940" s="150"/>
      <c r="V1940" s="150"/>
      <c r="W1940" s="150"/>
      <c r="X1940" s="150"/>
      <c r="Y1940" s="150"/>
    </row>
    <row r="1941">
      <c r="A1941" s="150"/>
      <c r="B1941" s="156"/>
      <c r="C1941" s="157"/>
      <c r="D1941" s="150"/>
      <c r="E1941" s="150"/>
      <c r="F1941" s="150"/>
      <c r="G1941" s="150"/>
      <c r="H1941" s="150"/>
      <c r="I1941" s="150"/>
      <c r="J1941" s="150"/>
      <c r="K1941" s="150"/>
      <c r="L1941" s="150"/>
      <c r="M1941" s="150"/>
      <c r="N1941" s="150"/>
      <c r="O1941" s="150"/>
      <c r="P1941" s="150"/>
      <c r="Q1941" s="150"/>
      <c r="R1941" s="150"/>
      <c r="S1941" s="150"/>
      <c r="T1941" s="150"/>
      <c r="U1941" s="150"/>
      <c r="V1941" s="150"/>
      <c r="W1941" s="150"/>
      <c r="X1941" s="150"/>
      <c r="Y1941" s="150"/>
    </row>
    <row r="1942">
      <c r="A1942" s="150"/>
      <c r="B1942" s="156"/>
      <c r="C1942" s="157"/>
      <c r="D1942" s="150"/>
      <c r="E1942" s="150"/>
      <c r="F1942" s="150"/>
      <c r="G1942" s="150"/>
      <c r="H1942" s="150"/>
      <c r="I1942" s="150"/>
      <c r="J1942" s="150"/>
      <c r="K1942" s="150"/>
      <c r="L1942" s="150"/>
      <c r="M1942" s="150"/>
      <c r="N1942" s="150"/>
      <c r="O1942" s="150"/>
      <c r="P1942" s="150"/>
      <c r="Q1942" s="150"/>
      <c r="R1942" s="150"/>
      <c r="S1942" s="150"/>
      <c r="T1942" s="150"/>
      <c r="U1942" s="150"/>
      <c r="V1942" s="150"/>
      <c r="W1942" s="150"/>
      <c r="X1942" s="150"/>
      <c r="Y1942" s="150"/>
    </row>
    <row r="1943">
      <c r="A1943" s="150"/>
      <c r="B1943" s="156"/>
      <c r="C1943" s="157"/>
      <c r="D1943" s="150"/>
      <c r="E1943" s="150"/>
      <c r="F1943" s="150"/>
      <c r="G1943" s="150"/>
      <c r="H1943" s="150"/>
      <c r="I1943" s="150"/>
      <c r="J1943" s="150"/>
      <c r="K1943" s="150"/>
      <c r="L1943" s="150"/>
      <c r="M1943" s="150"/>
      <c r="N1943" s="150"/>
      <c r="O1943" s="150"/>
      <c r="P1943" s="150"/>
      <c r="Q1943" s="150"/>
      <c r="R1943" s="150"/>
      <c r="S1943" s="150"/>
      <c r="T1943" s="150"/>
      <c r="U1943" s="150"/>
      <c r="V1943" s="150"/>
      <c r="W1943" s="150"/>
      <c r="X1943" s="150"/>
      <c r="Y1943" s="150"/>
    </row>
    <row r="1944">
      <c r="A1944" s="150"/>
      <c r="B1944" s="156"/>
      <c r="C1944" s="157"/>
      <c r="D1944" s="150"/>
      <c r="E1944" s="150"/>
      <c r="F1944" s="150"/>
      <c r="G1944" s="150"/>
      <c r="H1944" s="150"/>
      <c r="I1944" s="150"/>
      <c r="J1944" s="150"/>
      <c r="K1944" s="150"/>
      <c r="L1944" s="150"/>
      <c r="M1944" s="150"/>
      <c r="N1944" s="150"/>
      <c r="O1944" s="150"/>
      <c r="P1944" s="150"/>
      <c r="Q1944" s="150"/>
      <c r="R1944" s="150"/>
      <c r="S1944" s="150"/>
      <c r="T1944" s="150"/>
      <c r="U1944" s="150"/>
      <c r="V1944" s="150"/>
      <c r="W1944" s="150"/>
      <c r="X1944" s="150"/>
      <c r="Y1944" s="150"/>
    </row>
    <row r="1945">
      <c r="A1945" s="150"/>
      <c r="B1945" s="156"/>
      <c r="C1945" s="157"/>
      <c r="D1945" s="150"/>
      <c r="E1945" s="150"/>
      <c r="F1945" s="150"/>
      <c r="G1945" s="150"/>
      <c r="H1945" s="150"/>
      <c r="I1945" s="150"/>
      <c r="J1945" s="150"/>
      <c r="K1945" s="150"/>
      <c r="L1945" s="150"/>
      <c r="M1945" s="150"/>
      <c r="N1945" s="150"/>
      <c r="O1945" s="150"/>
      <c r="P1945" s="150"/>
      <c r="Q1945" s="150"/>
      <c r="R1945" s="150"/>
      <c r="S1945" s="150"/>
      <c r="T1945" s="150"/>
      <c r="U1945" s="150"/>
      <c r="V1945" s="150"/>
      <c r="W1945" s="150"/>
      <c r="X1945" s="150"/>
      <c r="Y1945" s="150"/>
    </row>
    <row r="1946">
      <c r="A1946" s="150"/>
      <c r="B1946" s="156"/>
      <c r="C1946" s="157"/>
      <c r="D1946" s="150"/>
      <c r="E1946" s="150"/>
      <c r="F1946" s="150"/>
      <c r="G1946" s="150"/>
      <c r="H1946" s="150"/>
      <c r="I1946" s="150"/>
      <c r="J1946" s="150"/>
      <c r="K1946" s="150"/>
      <c r="L1946" s="150"/>
      <c r="M1946" s="150"/>
      <c r="N1946" s="150"/>
      <c r="O1946" s="150"/>
      <c r="P1946" s="150"/>
      <c r="Q1946" s="150"/>
      <c r="R1946" s="150"/>
      <c r="S1946" s="150"/>
      <c r="T1946" s="150"/>
      <c r="U1946" s="150"/>
      <c r="V1946" s="150"/>
      <c r="W1946" s="150"/>
      <c r="X1946" s="150"/>
      <c r="Y1946" s="150"/>
    </row>
    <row r="1947">
      <c r="A1947" s="150"/>
      <c r="B1947" s="156"/>
      <c r="C1947" s="157"/>
      <c r="D1947" s="150"/>
      <c r="E1947" s="150"/>
      <c r="F1947" s="150"/>
      <c r="G1947" s="150"/>
      <c r="H1947" s="150"/>
      <c r="I1947" s="150"/>
      <c r="J1947" s="150"/>
      <c r="K1947" s="150"/>
      <c r="L1947" s="150"/>
      <c r="M1947" s="150"/>
      <c r="N1947" s="150"/>
      <c r="O1947" s="150"/>
      <c r="P1947" s="150"/>
      <c r="Q1947" s="150"/>
      <c r="R1947" s="150"/>
      <c r="S1947" s="150"/>
      <c r="T1947" s="150"/>
      <c r="U1947" s="150"/>
      <c r="V1947" s="150"/>
      <c r="W1947" s="150"/>
      <c r="X1947" s="150"/>
      <c r="Y1947" s="150"/>
    </row>
    <row r="1948">
      <c r="A1948" s="150"/>
      <c r="B1948" s="156"/>
      <c r="C1948" s="157"/>
      <c r="D1948" s="150"/>
      <c r="E1948" s="150"/>
      <c r="F1948" s="150"/>
      <c r="G1948" s="150"/>
      <c r="H1948" s="150"/>
      <c r="I1948" s="150"/>
      <c r="J1948" s="150"/>
      <c r="K1948" s="150"/>
      <c r="L1948" s="150"/>
      <c r="M1948" s="150"/>
      <c r="N1948" s="150"/>
      <c r="O1948" s="150"/>
      <c r="P1948" s="150"/>
      <c r="Q1948" s="150"/>
      <c r="R1948" s="150"/>
      <c r="S1948" s="150"/>
      <c r="T1948" s="150"/>
      <c r="U1948" s="150"/>
      <c r="V1948" s="150"/>
      <c r="W1948" s="150"/>
      <c r="X1948" s="150"/>
      <c r="Y1948" s="150"/>
    </row>
    <row r="1949">
      <c r="A1949" s="150"/>
      <c r="B1949" s="156"/>
      <c r="C1949" s="157"/>
      <c r="D1949" s="150"/>
      <c r="E1949" s="150"/>
      <c r="F1949" s="150"/>
      <c r="G1949" s="150"/>
      <c r="H1949" s="150"/>
      <c r="I1949" s="150"/>
      <c r="J1949" s="150"/>
      <c r="K1949" s="150"/>
      <c r="L1949" s="150"/>
      <c r="M1949" s="150"/>
      <c r="N1949" s="150"/>
      <c r="O1949" s="150"/>
      <c r="P1949" s="150"/>
      <c r="Q1949" s="150"/>
      <c r="R1949" s="150"/>
      <c r="S1949" s="150"/>
      <c r="T1949" s="150"/>
      <c r="U1949" s="150"/>
      <c r="V1949" s="150"/>
      <c r="W1949" s="150"/>
      <c r="X1949" s="150"/>
      <c r="Y1949" s="150"/>
    </row>
    <row r="1950">
      <c r="A1950" s="150"/>
      <c r="B1950" s="156"/>
      <c r="C1950" s="157"/>
      <c r="D1950" s="150"/>
      <c r="E1950" s="150"/>
      <c r="F1950" s="150"/>
      <c r="G1950" s="150"/>
      <c r="H1950" s="150"/>
      <c r="I1950" s="150"/>
      <c r="J1950" s="150"/>
      <c r="K1950" s="150"/>
      <c r="L1950" s="150"/>
      <c r="M1950" s="150"/>
      <c r="N1950" s="150"/>
      <c r="O1950" s="150"/>
      <c r="P1950" s="150"/>
      <c r="Q1950" s="150"/>
      <c r="R1950" s="150"/>
      <c r="S1950" s="150"/>
      <c r="T1950" s="150"/>
      <c r="U1950" s="150"/>
      <c r="V1950" s="150"/>
      <c r="W1950" s="150"/>
      <c r="X1950" s="150"/>
      <c r="Y1950" s="150"/>
    </row>
    <row r="1951">
      <c r="A1951" s="150"/>
      <c r="B1951" s="156"/>
      <c r="C1951" s="157"/>
      <c r="D1951" s="150"/>
      <c r="E1951" s="150"/>
      <c r="F1951" s="150"/>
      <c r="G1951" s="150"/>
      <c r="H1951" s="150"/>
      <c r="I1951" s="150"/>
      <c r="J1951" s="150"/>
      <c r="K1951" s="150"/>
      <c r="L1951" s="150"/>
      <c r="M1951" s="150"/>
      <c r="N1951" s="150"/>
      <c r="O1951" s="150"/>
      <c r="P1951" s="150"/>
      <c r="Q1951" s="150"/>
      <c r="R1951" s="150"/>
      <c r="S1951" s="150"/>
      <c r="T1951" s="150"/>
      <c r="U1951" s="150"/>
      <c r="V1951" s="150"/>
      <c r="W1951" s="150"/>
      <c r="X1951" s="150"/>
      <c r="Y1951" s="150"/>
    </row>
    <row r="1952">
      <c r="A1952" s="150"/>
      <c r="B1952" s="156"/>
      <c r="C1952" s="157"/>
      <c r="D1952" s="150"/>
      <c r="E1952" s="150"/>
      <c r="F1952" s="150"/>
      <c r="G1952" s="150"/>
      <c r="H1952" s="150"/>
      <c r="I1952" s="150"/>
      <c r="J1952" s="150"/>
      <c r="K1952" s="150"/>
      <c r="L1952" s="150"/>
      <c r="M1952" s="150"/>
      <c r="N1952" s="150"/>
      <c r="O1952" s="150"/>
      <c r="P1952" s="150"/>
      <c r="Q1952" s="150"/>
      <c r="R1952" s="150"/>
      <c r="S1952" s="150"/>
      <c r="T1952" s="150"/>
      <c r="U1952" s="150"/>
      <c r="V1952" s="150"/>
      <c r="W1952" s="150"/>
      <c r="X1952" s="150"/>
      <c r="Y1952" s="150"/>
    </row>
    <row r="1953">
      <c r="A1953" s="150"/>
      <c r="B1953" s="156"/>
      <c r="C1953" s="157"/>
      <c r="D1953" s="150"/>
      <c r="E1953" s="150"/>
      <c r="F1953" s="150"/>
      <c r="G1953" s="150"/>
      <c r="H1953" s="150"/>
      <c r="I1953" s="150"/>
      <c r="J1953" s="150"/>
      <c r="K1953" s="150"/>
      <c r="L1953" s="150"/>
      <c r="M1953" s="150"/>
      <c r="N1953" s="150"/>
      <c r="O1953" s="150"/>
      <c r="P1953" s="150"/>
      <c r="Q1953" s="150"/>
      <c r="R1953" s="150"/>
      <c r="S1953" s="150"/>
      <c r="T1953" s="150"/>
      <c r="U1953" s="150"/>
      <c r="V1953" s="150"/>
      <c r="W1953" s="150"/>
      <c r="X1953" s="150"/>
      <c r="Y1953" s="150"/>
    </row>
    <row r="1954">
      <c r="A1954" s="150"/>
      <c r="B1954" s="156"/>
      <c r="C1954" s="157"/>
      <c r="D1954" s="150"/>
      <c r="E1954" s="150"/>
      <c r="F1954" s="150"/>
      <c r="G1954" s="150"/>
      <c r="H1954" s="150"/>
      <c r="I1954" s="150"/>
      <c r="J1954" s="150"/>
      <c r="K1954" s="150"/>
      <c r="L1954" s="150"/>
      <c r="M1954" s="150"/>
      <c r="N1954" s="150"/>
      <c r="O1954" s="150"/>
      <c r="P1954" s="150"/>
      <c r="Q1954" s="150"/>
      <c r="R1954" s="150"/>
      <c r="S1954" s="150"/>
      <c r="T1954" s="150"/>
      <c r="U1954" s="150"/>
      <c r="V1954" s="150"/>
      <c r="W1954" s="150"/>
      <c r="X1954" s="150"/>
      <c r="Y1954" s="150"/>
    </row>
    <row r="1955">
      <c r="A1955" s="150"/>
      <c r="B1955" s="156"/>
      <c r="C1955" s="157"/>
      <c r="D1955" s="150"/>
      <c r="E1955" s="150"/>
      <c r="F1955" s="150"/>
      <c r="G1955" s="150"/>
      <c r="H1955" s="150"/>
      <c r="I1955" s="150"/>
      <c r="J1955" s="150"/>
      <c r="K1955" s="150"/>
      <c r="L1955" s="150"/>
      <c r="M1955" s="150"/>
      <c r="N1955" s="150"/>
      <c r="O1955" s="150"/>
      <c r="P1955" s="150"/>
      <c r="Q1955" s="150"/>
      <c r="R1955" s="150"/>
      <c r="S1955" s="150"/>
      <c r="T1955" s="150"/>
      <c r="U1955" s="150"/>
      <c r="V1955" s="150"/>
      <c r="W1955" s="150"/>
      <c r="X1955" s="150"/>
      <c r="Y1955" s="150"/>
    </row>
    <row r="1956">
      <c r="A1956" s="150"/>
      <c r="B1956" s="156"/>
      <c r="C1956" s="157"/>
      <c r="D1956" s="150"/>
      <c r="E1956" s="150"/>
      <c r="F1956" s="150"/>
      <c r="G1956" s="150"/>
      <c r="H1956" s="150"/>
      <c r="I1956" s="150"/>
      <c r="J1956" s="150"/>
      <c r="K1956" s="150"/>
      <c r="L1956" s="150"/>
      <c r="M1956" s="150"/>
      <c r="N1956" s="150"/>
      <c r="O1956" s="150"/>
      <c r="P1956" s="150"/>
      <c r="Q1956" s="150"/>
      <c r="R1956" s="150"/>
      <c r="S1956" s="150"/>
      <c r="T1956" s="150"/>
      <c r="U1956" s="150"/>
      <c r="V1956" s="150"/>
      <c r="W1956" s="150"/>
      <c r="X1956" s="150"/>
      <c r="Y1956" s="150"/>
    </row>
    <row r="1957">
      <c r="A1957" s="150"/>
      <c r="B1957" s="156"/>
      <c r="C1957" s="157"/>
      <c r="D1957" s="150"/>
      <c r="E1957" s="150"/>
      <c r="F1957" s="150"/>
      <c r="G1957" s="150"/>
      <c r="H1957" s="150"/>
      <c r="I1957" s="150"/>
      <c r="J1957" s="150"/>
      <c r="K1957" s="150"/>
      <c r="L1957" s="150"/>
      <c r="M1957" s="150"/>
      <c r="N1957" s="150"/>
      <c r="O1957" s="150"/>
      <c r="P1957" s="150"/>
      <c r="Q1957" s="150"/>
      <c r="R1957" s="150"/>
      <c r="S1957" s="150"/>
      <c r="T1957" s="150"/>
      <c r="U1957" s="150"/>
      <c r="V1957" s="150"/>
      <c r="W1957" s="150"/>
      <c r="X1957" s="150"/>
      <c r="Y1957" s="150"/>
    </row>
    <row r="1958">
      <c r="A1958" s="150"/>
      <c r="B1958" s="156"/>
      <c r="C1958" s="157"/>
      <c r="D1958" s="150"/>
      <c r="E1958" s="150"/>
      <c r="F1958" s="150"/>
      <c r="G1958" s="150"/>
      <c r="H1958" s="150"/>
      <c r="I1958" s="150"/>
      <c r="J1958" s="150"/>
      <c r="K1958" s="150"/>
      <c r="L1958" s="150"/>
      <c r="M1958" s="150"/>
      <c r="N1958" s="150"/>
      <c r="O1958" s="150"/>
      <c r="P1958" s="150"/>
      <c r="Q1958" s="150"/>
      <c r="R1958" s="150"/>
      <c r="S1958" s="150"/>
      <c r="T1958" s="150"/>
      <c r="U1958" s="150"/>
      <c r="V1958" s="150"/>
      <c r="W1958" s="150"/>
      <c r="X1958" s="150"/>
      <c r="Y1958" s="150"/>
    </row>
    <row r="1959">
      <c r="A1959" s="150"/>
      <c r="B1959" s="156"/>
      <c r="C1959" s="157"/>
      <c r="D1959" s="150"/>
      <c r="E1959" s="150"/>
      <c r="F1959" s="150"/>
      <c r="G1959" s="150"/>
      <c r="H1959" s="150"/>
      <c r="I1959" s="150"/>
      <c r="J1959" s="150"/>
      <c r="K1959" s="150"/>
      <c r="L1959" s="150"/>
      <c r="M1959" s="150"/>
      <c r="N1959" s="150"/>
      <c r="O1959" s="150"/>
      <c r="P1959" s="150"/>
      <c r="Q1959" s="150"/>
      <c r="R1959" s="150"/>
      <c r="S1959" s="150"/>
      <c r="T1959" s="150"/>
      <c r="U1959" s="150"/>
      <c r="V1959" s="150"/>
      <c r="W1959" s="150"/>
      <c r="X1959" s="150"/>
      <c r="Y1959" s="150"/>
    </row>
    <row r="1960">
      <c r="A1960" s="150"/>
      <c r="B1960" s="156"/>
      <c r="C1960" s="157"/>
      <c r="D1960" s="150"/>
      <c r="E1960" s="150"/>
      <c r="F1960" s="150"/>
      <c r="G1960" s="150"/>
      <c r="H1960" s="150"/>
      <c r="I1960" s="150"/>
      <c r="J1960" s="150"/>
      <c r="K1960" s="150"/>
      <c r="L1960" s="150"/>
      <c r="M1960" s="150"/>
      <c r="N1960" s="150"/>
      <c r="O1960" s="150"/>
      <c r="P1960" s="150"/>
      <c r="Q1960" s="150"/>
      <c r="R1960" s="150"/>
      <c r="S1960" s="150"/>
      <c r="T1960" s="150"/>
      <c r="U1960" s="150"/>
      <c r="V1960" s="150"/>
      <c r="W1960" s="150"/>
      <c r="X1960" s="150"/>
      <c r="Y1960" s="150"/>
    </row>
    <row r="1961">
      <c r="A1961" s="150"/>
      <c r="B1961" s="156"/>
      <c r="C1961" s="157"/>
      <c r="D1961" s="150"/>
      <c r="E1961" s="150"/>
      <c r="F1961" s="150"/>
      <c r="G1961" s="150"/>
      <c r="H1961" s="150"/>
      <c r="I1961" s="150"/>
      <c r="J1961" s="150"/>
      <c r="K1961" s="150"/>
      <c r="L1961" s="150"/>
      <c r="M1961" s="150"/>
      <c r="N1961" s="150"/>
      <c r="O1961" s="150"/>
      <c r="P1961" s="150"/>
      <c r="Q1961" s="150"/>
      <c r="R1961" s="150"/>
      <c r="S1961" s="150"/>
      <c r="T1961" s="150"/>
      <c r="U1961" s="150"/>
      <c r="V1961" s="150"/>
      <c r="W1961" s="150"/>
      <c r="X1961" s="150"/>
      <c r="Y1961" s="150"/>
    </row>
    <row r="1962">
      <c r="A1962" s="150"/>
      <c r="B1962" s="156"/>
      <c r="C1962" s="157"/>
      <c r="D1962" s="150"/>
      <c r="E1962" s="150"/>
      <c r="F1962" s="150"/>
      <c r="G1962" s="150"/>
      <c r="H1962" s="150"/>
      <c r="I1962" s="150"/>
      <c r="J1962" s="150"/>
      <c r="K1962" s="150"/>
      <c r="L1962" s="150"/>
      <c r="M1962" s="150"/>
      <c r="N1962" s="150"/>
      <c r="O1962" s="150"/>
      <c r="P1962" s="150"/>
      <c r="Q1962" s="150"/>
      <c r="R1962" s="150"/>
      <c r="S1962" s="150"/>
      <c r="T1962" s="150"/>
      <c r="U1962" s="150"/>
      <c r="V1962" s="150"/>
      <c r="W1962" s="150"/>
      <c r="X1962" s="150"/>
      <c r="Y1962" s="150"/>
    </row>
    <row r="1963">
      <c r="A1963" s="150"/>
      <c r="B1963" s="156"/>
      <c r="C1963" s="157"/>
      <c r="D1963" s="150"/>
      <c r="E1963" s="150"/>
      <c r="F1963" s="150"/>
      <c r="G1963" s="150"/>
      <c r="H1963" s="150"/>
      <c r="I1963" s="150"/>
      <c r="J1963" s="150"/>
      <c r="K1963" s="150"/>
      <c r="L1963" s="150"/>
      <c r="M1963" s="150"/>
      <c r="N1963" s="150"/>
      <c r="O1963" s="150"/>
      <c r="P1963" s="150"/>
      <c r="Q1963" s="150"/>
      <c r="R1963" s="150"/>
      <c r="S1963" s="150"/>
      <c r="T1963" s="150"/>
      <c r="U1963" s="150"/>
      <c r="V1963" s="150"/>
      <c r="W1963" s="150"/>
      <c r="X1963" s="150"/>
      <c r="Y1963" s="150"/>
    </row>
    <row r="1964">
      <c r="A1964" s="150"/>
      <c r="B1964" s="156"/>
      <c r="C1964" s="157"/>
      <c r="D1964" s="150"/>
      <c r="E1964" s="150"/>
      <c r="F1964" s="150"/>
      <c r="G1964" s="150"/>
      <c r="H1964" s="150"/>
      <c r="I1964" s="150"/>
      <c r="J1964" s="150"/>
      <c r="K1964" s="150"/>
      <c r="L1964" s="150"/>
      <c r="M1964" s="150"/>
      <c r="N1964" s="150"/>
      <c r="O1964" s="150"/>
      <c r="P1964" s="150"/>
      <c r="Q1964" s="150"/>
      <c r="R1964" s="150"/>
      <c r="S1964" s="150"/>
      <c r="T1964" s="150"/>
      <c r="U1964" s="150"/>
      <c r="V1964" s="150"/>
      <c r="W1964" s="150"/>
      <c r="X1964" s="150"/>
      <c r="Y1964" s="150"/>
    </row>
    <row r="1965">
      <c r="A1965" s="150"/>
      <c r="B1965" s="156"/>
      <c r="C1965" s="157"/>
      <c r="D1965" s="150"/>
      <c r="E1965" s="150"/>
      <c r="F1965" s="150"/>
      <c r="G1965" s="150"/>
      <c r="H1965" s="150"/>
      <c r="I1965" s="150"/>
      <c r="J1965" s="150"/>
      <c r="K1965" s="150"/>
      <c r="L1965" s="150"/>
      <c r="M1965" s="150"/>
      <c r="N1965" s="150"/>
      <c r="O1965" s="150"/>
      <c r="P1965" s="150"/>
      <c r="Q1965" s="150"/>
      <c r="R1965" s="150"/>
      <c r="S1965" s="150"/>
      <c r="T1965" s="150"/>
      <c r="U1965" s="150"/>
      <c r="V1965" s="150"/>
      <c r="W1965" s="150"/>
      <c r="X1965" s="150"/>
      <c r="Y1965" s="150"/>
    </row>
    <row r="1966">
      <c r="A1966" s="150"/>
      <c r="B1966" s="156"/>
      <c r="C1966" s="157"/>
      <c r="D1966" s="150"/>
      <c r="E1966" s="150"/>
      <c r="F1966" s="150"/>
      <c r="G1966" s="150"/>
      <c r="H1966" s="150"/>
      <c r="I1966" s="150"/>
      <c r="J1966" s="150"/>
      <c r="K1966" s="150"/>
      <c r="L1966" s="150"/>
      <c r="M1966" s="150"/>
      <c r="N1966" s="150"/>
      <c r="O1966" s="150"/>
      <c r="P1966" s="150"/>
      <c r="Q1966" s="150"/>
      <c r="R1966" s="150"/>
      <c r="S1966" s="150"/>
      <c r="T1966" s="150"/>
      <c r="U1966" s="150"/>
      <c r="V1966" s="150"/>
      <c r="W1966" s="150"/>
      <c r="X1966" s="150"/>
      <c r="Y1966" s="150"/>
    </row>
    <row r="1967">
      <c r="A1967" s="150"/>
      <c r="B1967" s="156"/>
      <c r="C1967" s="157"/>
      <c r="D1967" s="150"/>
      <c r="E1967" s="150"/>
      <c r="F1967" s="150"/>
      <c r="G1967" s="150"/>
      <c r="H1967" s="150"/>
      <c r="I1967" s="150"/>
      <c r="J1967" s="150"/>
      <c r="K1967" s="150"/>
      <c r="L1967" s="150"/>
      <c r="M1967" s="150"/>
      <c r="N1967" s="150"/>
      <c r="O1967" s="150"/>
      <c r="P1967" s="150"/>
      <c r="Q1967" s="150"/>
      <c r="R1967" s="150"/>
      <c r="S1967" s="150"/>
      <c r="T1967" s="150"/>
      <c r="U1967" s="150"/>
      <c r="V1967" s="150"/>
      <c r="W1967" s="150"/>
      <c r="X1967" s="150"/>
      <c r="Y1967" s="150"/>
    </row>
    <row r="1968">
      <c r="A1968" s="150"/>
      <c r="B1968" s="156"/>
      <c r="C1968" s="157"/>
      <c r="D1968" s="150"/>
      <c r="E1968" s="150"/>
      <c r="F1968" s="150"/>
      <c r="G1968" s="150"/>
      <c r="H1968" s="150"/>
      <c r="I1968" s="150"/>
      <c r="J1968" s="150"/>
      <c r="K1968" s="150"/>
      <c r="L1968" s="150"/>
      <c r="M1968" s="150"/>
      <c r="N1968" s="150"/>
      <c r="O1968" s="150"/>
      <c r="P1968" s="150"/>
      <c r="Q1968" s="150"/>
      <c r="R1968" s="150"/>
      <c r="S1968" s="150"/>
      <c r="T1968" s="150"/>
      <c r="U1968" s="150"/>
      <c r="V1968" s="150"/>
      <c r="W1968" s="150"/>
      <c r="X1968" s="150"/>
      <c r="Y1968" s="150"/>
    </row>
    <row r="1969">
      <c r="A1969" s="150"/>
      <c r="B1969" s="156"/>
      <c r="C1969" s="157"/>
      <c r="D1969" s="150"/>
      <c r="E1969" s="150"/>
      <c r="F1969" s="150"/>
      <c r="G1969" s="150"/>
      <c r="H1969" s="150"/>
      <c r="I1969" s="150"/>
      <c r="J1969" s="150"/>
      <c r="K1969" s="150"/>
      <c r="L1969" s="150"/>
      <c r="M1969" s="150"/>
      <c r="N1969" s="150"/>
      <c r="O1969" s="150"/>
      <c r="P1969" s="150"/>
      <c r="Q1969" s="150"/>
      <c r="R1969" s="150"/>
      <c r="S1969" s="150"/>
      <c r="T1969" s="150"/>
      <c r="U1969" s="150"/>
      <c r="V1969" s="150"/>
      <c r="W1969" s="150"/>
      <c r="X1969" s="150"/>
      <c r="Y1969" s="150"/>
    </row>
    <row r="1970">
      <c r="A1970" s="150"/>
      <c r="B1970" s="156"/>
      <c r="C1970" s="157"/>
      <c r="D1970" s="150"/>
      <c r="E1970" s="150"/>
      <c r="F1970" s="150"/>
      <c r="G1970" s="150"/>
      <c r="H1970" s="150"/>
      <c r="I1970" s="150"/>
      <c r="J1970" s="150"/>
      <c r="K1970" s="150"/>
      <c r="L1970" s="150"/>
      <c r="M1970" s="150"/>
      <c r="N1970" s="150"/>
      <c r="O1970" s="150"/>
      <c r="P1970" s="150"/>
      <c r="Q1970" s="150"/>
      <c r="R1970" s="150"/>
      <c r="S1970" s="150"/>
      <c r="T1970" s="150"/>
      <c r="U1970" s="150"/>
      <c r="V1970" s="150"/>
      <c r="W1970" s="150"/>
      <c r="X1970" s="150"/>
      <c r="Y1970" s="150"/>
    </row>
    <row r="1971">
      <c r="A1971" s="150"/>
      <c r="B1971" s="156"/>
      <c r="C1971" s="157"/>
      <c r="D1971" s="150"/>
      <c r="E1971" s="150"/>
      <c r="F1971" s="150"/>
      <c r="G1971" s="150"/>
      <c r="H1971" s="150"/>
      <c r="I1971" s="150"/>
      <c r="J1971" s="150"/>
      <c r="K1971" s="150"/>
      <c r="L1971" s="150"/>
      <c r="M1971" s="150"/>
      <c r="N1971" s="150"/>
      <c r="O1971" s="150"/>
      <c r="P1971" s="150"/>
      <c r="Q1971" s="150"/>
      <c r="R1971" s="150"/>
      <c r="S1971" s="150"/>
      <c r="T1971" s="150"/>
      <c r="U1971" s="150"/>
      <c r="V1971" s="150"/>
      <c r="W1971" s="150"/>
      <c r="X1971" s="150"/>
      <c r="Y1971" s="150"/>
    </row>
    <row r="1972">
      <c r="A1972" s="150"/>
      <c r="B1972" s="156"/>
      <c r="C1972" s="157"/>
      <c r="D1972" s="150"/>
      <c r="E1972" s="150"/>
      <c r="F1972" s="150"/>
      <c r="G1972" s="150"/>
      <c r="H1972" s="150"/>
      <c r="I1972" s="150"/>
      <c r="J1972" s="150"/>
      <c r="K1972" s="150"/>
      <c r="L1972" s="150"/>
      <c r="M1972" s="150"/>
      <c r="N1972" s="150"/>
      <c r="O1972" s="150"/>
      <c r="P1972" s="150"/>
      <c r="Q1972" s="150"/>
      <c r="R1972" s="150"/>
      <c r="S1972" s="150"/>
      <c r="T1972" s="150"/>
      <c r="U1972" s="150"/>
      <c r="V1972" s="150"/>
      <c r="W1972" s="150"/>
      <c r="X1972" s="150"/>
      <c r="Y1972" s="150"/>
    </row>
    <row r="1973">
      <c r="A1973" s="150"/>
      <c r="B1973" s="156"/>
      <c r="C1973" s="157"/>
      <c r="D1973" s="150"/>
      <c r="E1973" s="150"/>
      <c r="F1973" s="150"/>
      <c r="G1973" s="150"/>
      <c r="H1973" s="150"/>
      <c r="I1973" s="150"/>
      <c r="J1973" s="150"/>
      <c r="K1973" s="150"/>
      <c r="L1973" s="150"/>
      <c r="M1973" s="150"/>
      <c r="N1973" s="150"/>
      <c r="O1973" s="150"/>
      <c r="P1973" s="150"/>
      <c r="Q1973" s="150"/>
      <c r="R1973" s="150"/>
      <c r="S1973" s="150"/>
      <c r="T1973" s="150"/>
      <c r="U1973" s="150"/>
      <c r="V1973" s="150"/>
      <c r="W1973" s="150"/>
      <c r="X1973" s="150"/>
      <c r="Y1973" s="150"/>
    </row>
    <row r="1974">
      <c r="A1974" s="150"/>
      <c r="B1974" s="156"/>
      <c r="C1974" s="157"/>
      <c r="D1974" s="150"/>
      <c r="E1974" s="150"/>
      <c r="F1974" s="150"/>
      <c r="G1974" s="150"/>
      <c r="H1974" s="150"/>
      <c r="I1974" s="150"/>
      <c r="J1974" s="150"/>
      <c r="K1974" s="150"/>
      <c r="L1974" s="150"/>
      <c r="M1974" s="150"/>
      <c r="N1974" s="150"/>
      <c r="O1974" s="150"/>
      <c r="P1974" s="150"/>
      <c r="Q1974" s="150"/>
      <c r="R1974" s="150"/>
      <c r="S1974" s="150"/>
      <c r="T1974" s="150"/>
      <c r="U1974" s="150"/>
      <c r="V1974" s="150"/>
      <c r="W1974" s="150"/>
      <c r="X1974" s="150"/>
      <c r="Y1974" s="150"/>
    </row>
    <row r="1975">
      <c r="A1975" s="150"/>
      <c r="B1975" s="156"/>
      <c r="C1975" s="157"/>
      <c r="D1975" s="150"/>
      <c r="E1975" s="150"/>
      <c r="F1975" s="150"/>
      <c r="G1975" s="150"/>
      <c r="H1975" s="150"/>
      <c r="I1975" s="150"/>
      <c r="J1975" s="150"/>
      <c r="K1975" s="150"/>
      <c r="L1975" s="150"/>
      <c r="M1975" s="150"/>
      <c r="N1975" s="150"/>
      <c r="O1975" s="150"/>
      <c r="P1975" s="150"/>
      <c r="Q1975" s="150"/>
      <c r="R1975" s="150"/>
      <c r="S1975" s="150"/>
      <c r="T1975" s="150"/>
      <c r="U1975" s="150"/>
      <c r="V1975" s="150"/>
      <c r="W1975" s="150"/>
      <c r="X1975" s="150"/>
      <c r="Y1975" s="150"/>
    </row>
    <row r="1976">
      <c r="A1976" s="150"/>
      <c r="B1976" s="156"/>
      <c r="C1976" s="157"/>
      <c r="D1976" s="150"/>
      <c r="E1976" s="150"/>
      <c r="F1976" s="150"/>
      <c r="G1976" s="150"/>
      <c r="H1976" s="150"/>
      <c r="I1976" s="150"/>
      <c r="J1976" s="150"/>
      <c r="K1976" s="150"/>
      <c r="L1976" s="150"/>
      <c r="M1976" s="150"/>
      <c r="N1976" s="150"/>
      <c r="O1976" s="150"/>
      <c r="P1976" s="150"/>
      <c r="Q1976" s="150"/>
      <c r="R1976" s="150"/>
      <c r="S1976" s="150"/>
      <c r="T1976" s="150"/>
      <c r="U1976" s="150"/>
      <c r="V1976" s="150"/>
      <c r="W1976" s="150"/>
      <c r="X1976" s="150"/>
      <c r="Y1976" s="150"/>
    </row>
    <row r="1977">
      <c r="A1977" s="150"/>
      <c r="B1977" s="156"/>
      <c r="C1977" s="157"/>
      <c r="D1977" s="150"/>
      <c r="E1977" s="150"/>
      <c r="F1977" s="150"/>
      <c r="G1977" s="150"/>
      <c r="H1977" s="150"/>
      <c r="I1977" s="150"/>
      <c r="J1977" s="150"/>
      <c r="K1977" s="150"/>
      <c r="L1977" s="150"/>
      <c r="M1977" s="150"/>
      <c r="N1977" s="150"/>
      <c r="O1977" s="150"/>
      <c r="P1977" s="150"/>
      <c r="Q1977" s="150"/>
      <c r="R1977" s="150"/>
      <c r="S1977" s="150"/>
      <c r="T1977" s="150"/>
      <c r="U1977" s="150"/>
      <c r="V1977" s="150"/>
      <c r="W1977" s="150"/>
      <c r="X1977" s="150"/>
      <c r="Y1977" s="150"/>
    </row>
    <row r="1978">
      <c r="A1978" s="150"/>
      <c r="B1978" s="156"/>
      <c r="C1978" s="157"/>
      <c r="D1978" s="150"/>
      <c r="E1978" s="150"/>
      <c r="F1978" s="150"/>
      <c r="G1978" s="150"/>
      <c r="H1978" s="150"/>
      <c r="I1978" s="150"/>
      <c r="J1978" s="150"/>
      <c r="K1978" s="150"/>
      <c r="L1978" s="150"/>
      <c r="M1978" s="150"/>
      <c r="N1978" s="150"/>
      <c r="O1978" s="150"/>
      <c r="P1978" s="150"/>
      <c r="Q1978" s="150"/>
      <c r="R1978" s="150"/>
      <c r="S1978" s="150"/>
      <c r="T1978" s="150"/>
      <c r="U1978" s="150"/>
      <c r="V1978" s="150"/>
      <c r="W1978" s="150"/>
      <c r="X1978" s="150"/>
      <c r="Y1978" s="150"/>
    </row>
    <row r="1979">
      <c r="A1979" s="150"/>
      <c r="B1979" s="156"/>
      <c r="C1979" s="157"/>
      <c r="D1979" s="150"/>
      <c r="E1979" s="150"/>
      <c r="F1979" s="150"/>
      <c r="G1979" s="150"/>
      <c r="H1979" s="150"/>
      <c r="I1979" s="150"/>
      <c r="J1979" s="150"/>
      <c r="K1979" s="150"/>
      <c r="L1979" s="150"/>
      <c r="M1979" s="150"/>
      <c r="N1979" s="150"/>
      <c r="O1979" s="150"/>
      <c r="P1979" s="150"/>
      <c r="Q1979" s="150"/>
      <c r="R1979" s="150"/>
      <c r="S1979" s="150"/>
      <c r="T1979" s="150"/>
      <c r="U1979" s="150"/>
      <c r="V1979" s="150"/>
      <c r="W1979" s="150"/>
      <c r="X1979" s="150"/>
      <c r="Y1979" s="150"/>
    </row>
    <row r="1980">
      <c r="A1980" s="150"/>
      <c r="B1980" s="156"/>
      <c r="C1980" s="157"/>
      <c r="D1980" s="150"/>
      <c r="E1980" s="150"/>
      <c r="F1980" s="150"/>
      <c r="G1980" s="150"/>
      <c r="H1980" s="150"/>
      <c r="I1980" s="150"/>
      <c r="J1980" s="150"/>
      <c r="K1980" s="150"/>
      <c r="L1980" s="150"/>
      <c r="M1980" s="150"/>
      <c r="N1980" s="150"/>
      <c r="O1980" s="150"/>
      <c r="P1980" s="150"/>
      <c r="Q1980" s="150"/>
      <c r="R1980" s="150"/>
      <c r="S1980" s="150"/>
      <c r="T1980" s="150"/>
      <c r="U1980" s="150"/>
      <c r="V1980" s="150"/>
      <c r="W1980" s="150"/>
      <c r="X1980" s="150"/>
      <c r="Y1980" s="150"/>
    </row>
    <row r="1981">
      <c r="A1981" s="150"/>
      <c r="B1981" s="156"/>
      <c r="C1981" s="157"/>
      <c r="D1981" s="150"/>
      <c r="E1981" s="150"/>
      <c r="F1981" s="150"/>
      <c r="G1981" s="150"/>
      <c r="H1981" s="150"/>
      <c r="I1981" s="150"/>
      <c r="J1981" s="150"/>
      <c r="K1981" s="150"/>
      <c r="L1981" s="150"/>
      <c r="M1981" s="150"/>
      <c r="N1981" s="150"/>
      <c r="O1981" s="150"/>
      <c r="P1981" s="150"/>
      <c r="Q1981" s="150"/>
      <c r="R1981" s="150"/>
      <c r="S1981" s="150"/>
      <c r="T1981" s="150"/>
      <c r="U1981" s="150"/>
      <c r="V1981" s="150"/>
      <c r="W1981" s="150"/>
      <c r="X1981" s="150"/>
      <c r="Y1981" s="150"/>
    </row>
    <row r="1982">
      <c r="A1982" s="150"/>
      <c r="B1982" s="156"/>
      <c r="C1982" s="157"/>
      <c r="D1982" s="150"/>
      <c r="E1982" s="150"/>
      <c r="F1982" s="150"/>
      <c r="G1982" s="150"/>
      <c r="H1982" s="150"/>
      <c r="I1982" s="150"/>
      <c r="J1982" s="150"/>
      <c r="K1982" s="150"/>
      <c r="L1982" s="150"/>
      <c r="M1982" s="150"/>
      <c r="N1982" s="150"/>
      <c r="O1982" s="150"/>
      <c r="P1982" s="150"/>
      <c r="Q1982" s="150"/>
      <c r="R1982" s="150"/>
      <c r="S1982" s="150"/>
      <c r="T1982" s="150"/>
      <c r="U1982" s="150"/>
      <c r="V1982" s="150"/>
      <c r="W1982" s="150"/>
      <c r="X1982" s="150"/>
      <c r="Y1982" s="150"/>
    </row>
    <row r="1983">
      <c r="A1983" s="150"/>
      <c r="B1983" s="156"/>
      <c r="C1983" s="157"/>
      <c r="D1983" s="150"/>
      <c r="E1983" s="150"/>
      <c r="F1983" s="150"/>
      <c r="G1983" s="150"/>
      <c r="H1983" s="150"/>
      <c r="I1983" s="150"/>
      <c r="J1983" s="150"/>
      <c r="K1983" s="150"/>
      <c r="L1983" s="150"/>
      <c r="M1983" s="150"/>
      <c r="N1983" s="150"/>
      <c r="O1983" s="150"/>
      <c r="P1983" s="150"/>
      <c r="Q1983" s="150"/>
      <c r="R1983" s="150"/>
      <c r="S1983" s="150"/>
      <c r="T1983" s="150"/>
      <c r="U1983" s="150"/>
      <c r="V1983" s="150"/>
      <c r="W1983" s="150"/>
      <c r="X1983" s="150"/>
      <c r="Y1983" s="150"/>
    </row>
    <row r="1984">
      <c r="A1984" s="150"/>
      <c r="B1984" s="156"/>
      <c r="C1984" s="157"/>
      <c r="D1984" s="150"/>
      <c r="E1984" s="150"/>
      <c r="F1984" s="150"/>
      <c r="G1984" s="150"/>
      <c r="H1984" s="150"/>
      <c r="I1984" s="150"/>
      <c r="J1984" s="150"/>
      <c r="K1984" s="150"/>
      <c r="L1984" s="150"/>
      <c r="M1984" s="150"/>
      <c r="N1984" s="150"/>
      <c r="O1984" s="150"/>
      <c r="P1984" s="150"/>
      <c r="Q1984" s="150"/>
      <c r="R1984" s="150"/>
      <c r="S1984" s="150"/>
      <c r="T1984" s="150"/>
      <c r="U1984" s="150"/>
      <c r="V1984" s="150"/>
      <c r="W1984" s="150"/>
      <c r="X1984" s="150"/>
      <c r="Y1984" s="150"/>
    </row>
    <row r="1985">
      <c r="A1985" s="150"/>
      <c r="B1985" s="156"/>
      <c r="C1985" s="157"/>
      <c r="D1985" s="150"/>
      <c r="E1985" s="150"/>
      <c r="F1985" s="150"/>
      <c r="G1985" s="150"/>
      <c r="H1985" s="150"/>
      <c r="I1985" s="150"/>
      <c r="J1985" s="150"/>
      <c r="K1985" s="150"/>
      <c r="L1985" s="150"/>
      <c r="M1985" s="150"/>
      <c r="N1985" s="150"/>
      <c r="O1985" s="150"/>
      <c r="P1985" s="150"/>
      <c r="Q1985" s="150"/>
      <c r="R1985" s="150"/>
      <c r="S1985" s="150"/>
      <c r="T1985" s="150"/>
      <c r="U1985" s="150"/>
      <c r="V1985" s="150"/>
      <c r="W1985" s="150"/>
      <c r="X1985" s="150"/>
      <c r="Y1985" s="150"/>
    </row>
    <row r="1986">
      <c r="A1986" s="150"/>
      <c r="B1986" s="156"/>
      <c r="C1986" s="157"/>
      <c r="D1986" s="150"/>
      <c r="E1986" s="150"/>
      <c r="F1986" s="150"/>
      <c r="G1986" s="150"/>
      <c r="H1986" s="150"/>
      <c r="I1986" s="150"/>
      <c r="J1986" s="150"/>
      <c r="K1986" s="150"/>
      <c r="L1986" s="150"/>
      <c r="M1986" s="150"/>
      <c r="N1986" s="150"/>
      <c r="O1986" s="150"/>
      <c r="P1986" s="150"/>
      <c r="Q1986" s="150"/>
      <c r="R1986" s="150"/>
      <c r="S1986" s="150"/>
      <c r="T1986" s="150"/>
      <c r="U1986" s="150"/>
      <c r="V1986" s="150"/>
      <c r="W1986" s="150"/>
      <c r="X1986" s="150"/>
      <c r="Y1986" s="150"/>
    </row>
    <row r="1987">
      <c r="A1987" s="150"/>
      <c r="B1987" s="156"/>
      <c r="C1987" s="157"/>
      <c r="D1987" s="150"/>
      <c r="E1987" s="150"/>
      <c r="F1987" s="150"/>
      <c r="G1987" s="150"/>
      <c r="H1987" s="150"/>
      <c r="I1987" s="150"/>
      <c r="J1987" s="150"/>
      <c r="K1987" s="150"/>
      <c r="L1987" s="150"/>
      <c r="M1987" s="150"/>
      <c r="N1987" s="150"/>
      <c r="O1987" s="150"/>
      <c r="P1987" s="150"/>
      <c r="Q1987" s="150"/>
      <c r="R1987" s="150"/>
      <c r="S1987" s="150"/>
      <c r="T1987" s="150"/>
      <c r="U1987" s="150"/>
      <c r="V1987" s="150"/>
      <c r="W1987" s="150"/>
      <c r="X1987" s="150"/>
      <c r="Y1987" s="150"/>
    </row>
    <row r="1988">
      <c r="A1988" s="150"/>
      <c r="B1988" s="156"/>
      <c r="C1988" s="157"/>
      <c r="D1988" s="150"/>
      <c r="E1988" s="150"/>
      <c r="F1988" s="150"/>
      <c r="G1988" s="150"/>
      <c r="H1988" s="150"/>
      <c r="I1988" s="150"/>
      <c r="J1988" s="150"/>
      <c r="K1988" s="150"/>
      <c r="L1988" s="150"/>
      <c r="M1988" s="150"/>
      <c r="N1988" s="150"/>
      <c r="O1988" s="150"/>
      <c r="P1988" s="150"/>
      <c r="Q1988" s="150"/>
      <c r="R1988" s="150"/>
      <c r="S1988" s="150"/>
      <c r="T1988" s="150"/>
      <c r="U1988" s="150"/>
      <c r="V1988" s="150"/>
      <c r="W1988" s="150"/>
      <c r="X1988" s="150"/>
      <c r="Y1988" s="150"/>
    </row>
    <row r="1989">
      <c r="A1989" s="150"/>
      <c r="B1989" s="156"/>
      <c r="C1989" s="157"/>
      <c r="D1989" s="150"/>
      <c r="E1989" s="150"/>
      <c r="F1989" s="150"/>
      <c r="G1989" s="150"/>
      <c r="H1989" s="150"/>
      <c r="I1989" s="150"/>
      <c r="J1989" s="150"/>
      <c r="K1989" s="150"/>
      <c r="L1989" s="150"/>
      <c r="M1989" s="150"/>
      <c r="N1989" s="150"/>
      <c r="O1989" s="150"/>
      <c r="P1989" s="150"/>
      <c r="Q1989" s="150"/>
      <c r="R1989" s="150"/>
      <c r="S1989" s="150"/>
      <c r="T1989" s="150"/>
      <c r="U1989" s="150"/>
      <c r="V1989" s="150"/>
      <c r="W1989" s="150"/>
      <c r="X1989" s="150"/>
      <c r="Y1989" s="150"/>
    </row>
    <row r="1990">
      <c r="A1990" s="150"/>
      <c r="B1990" s="156"/>
      <c r="C1990" s="157"/>
      <c r="D1990" s="150"/>
      <c r="E1990" s="150"/>
      <c r="F1990" s="150"/>
      <c r="G1990" s="150"/>
      <c r="H1990" s="150"/>
      <c r="I1990" s="150"/>
      <c r="J1990" s="150"/>
      <c r="K1990" s="150"/>
      <c r="L1990" s="150"/>
      <c r="M1990" s="150"/>
      <c r="N1990" s="150"/>
      <c r="O1990" s="150"/>
      <c r="P1990" s="150"/>
      <c r="Q1990" s="150"/>
      <c r="R1990" s="150"/>
      <c r="S1990" s="150"/>
      <c r="T1990" s="150"/>
      <c r="U1990" s="150"/>
      <c r="V1990" s="150"/>
      <c r="W1990" s="150"/>
      <c r="X1990" s="150"/>
      <c r="Y1990" s="150"/>
    </row>
    <row r="1991">
      <c r="A1991" s="150"/>
      <c r="B1991" s="156"/>
      <c r="C1991" s="157"/>
      <c r="D1991" s="150"/>
      <c r="E1991" s="150"/>
      <c r="F1991" s="150"/>
      <c r="G1991" s="150"/>
      <c r="H1991" s="150"/>
      <c r="I1991" s="150"/>
      <c r="J1991" s="150"/>
      <c r="K1991" s="150"/>
      <c r="L1991" s="150"/>
      <c r="M1991" s="150"/>
      <c r="N1991" s="150"/>
      <c r="O1991" s="150"/>
      <c r="P1991" s="150"/>
      <c r="Q1991" s="150"/>
      <c r="R1991" s="150"/>
      <c r="S1991" s="150"/>
      <c r="T1991" s="150"/>
      <c r="U1991" s="150"/>
      <c r="V1991" s="150"/>
      <c r="W1991" s="150"/>
      <c r="X1991" s="150"/>
      <c r="Y1991" s="150"/>
    </row>
    <row r="1992">
      <c r="A1992" s="150"/>
      <c r="B1992" s="156"/>
      <c r="C1992" s="157"/>
      <c r="D1992" s="150"/>
      <c r="E1992" s="150"/>
      <c r="F1992" s="150"/>
      <c r="G1992" s="150"/>
      <c r="H1992" s="150"/>
      <c r="I1992" s="150"/>
      <c r="J1992" s="150"/>
      <c r="K1992" s="150"/>
      <c r="L1992" s="150"/>
      <c r="M1992" s="150"/>
      <c r="N1992" s="150"/>
      <c r="O1992" s="150"/>
      <c r="P1992" s="150"/>
      <c r="Q1992" s="150"/>
      <c r="R1992" s="150"/>
      <c r="S1992" s="150"/>
      <c r="T1992" s="150"/>
      <c r="U1992" s="150"/>
      <c r="V1992" s="150"/>
      <c r="W1992" s="150"/>
      <c r="X1992" s="150"/>
      <c r="Y1992" s="15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2" width="13.5"/>
    <col customWidth="1" min="3" max="3" width="14.5"/>
    <col customWidth="1" min="4" max="4" width="19.75"/>
    <col customWidth="1" min="5" max="5" width="15.0"/>
    <col customWidth="1" min="6" max="6" width="20.38"/>
    <col customWidth="1" min="7" max="7" width="26.5"/>
    <col customWidth="1" min="8" max="8" width="24.0"/>
    <col customWidth="1" min="9" max="9" width="22.13"/>
    <col customWidth="1" min="10" max="10" width="26.88"/>
    <col customWidth="1" min="11" max="11" width="29.63"/>
    <col customWidth="1" min="12" max="12" width="20.0"/>
    <col customWidth="1" min="13" max="13" width="20.25"/>
    <col customWidth="1" min="14" max="14" width="21.25"/>
    <col customWidth="1" min="15" max="15" width="18.38"/>
    <col customWidth="1" min="16" max="16" width="12.25"/>
  </cols>
  <sheetData>
    <row r="1">
      <c r="A1" s="147" t="s">
        <v>551</v>
      </c>
      <c r="B1" s="147" t="s">
        <v>551</v>
      </c>
      <c r="C1" s="147" t="s">
        <v>14</v>
      </c>
      <c r="D1" s="158">
        <v>999.0</v>
      </c>
      <c r="E1" s="147">
        <v>99.0</v>
      </c>
      <c r="F1" s="159" t="s">
        <v>4106</v>
      </c>
      <c r="G1" s="159" t="s">
        <v>4106</v>
      </c>
      <c r="H1" s="159" t="s">
        <v>4106</v>
      </c>
      <c r="I1" s="159" t="s">
        <v>4106</v>
      </c>
      <c r="J1" s="159" t="s">
        <v>4106</v>
      </c>
      <c r="K1" s="159" t="s">
        <v>4106</v>
      </c>
      <c r="L1" s="159" t="s">
        <v>4106</v>
      </c>
      <c r="M1" s="159" t="s">
        <v>4106</v>
      </c>
      <c r="N1" s="147" t="s">
        <v>555</v>
      </c>
      <c r="O1" s="147" t="s">
        <v>551</v>
      </c>
      <c r="P1" s="147" t="s">
        <v>552</v>
      </c>
    </row>
    <row r="2">
      <c r="A2" s="160" t="s">
        <v>4107</v>
      </c>
      <c r="B2" s="160" t="s">
        <v>4107</v>
      </c>
      <c r="C2" s="161" t="s">
        <v>5122</v>
      </c>
      <c r="D2" s="162" t="s">
        <v>5097</v>
      </c>
      <c r="E2" s="161" t="s">
        <v>5123</v>
      </c>
      <c r="F2" s="163" t="s">
        <v>5124</v>
      </c>
      <c r="G2" s="163" t="s">
        <v>5124</v>
      </c>
      <c r="H2" s="163" t="s">
        <v>5124</v>
      </c>
      <c r="I2" s="163" t="s">
        <v>5124</v>
      </c>
      <c r="J2" s="163" t="s">
        <v>5124</v>
      </c>
      <c r="K2" s="163" t="s">
        <v>5124</v>
      </c>
      <c r="L2" s="163" t="s">
        <v>5124</v>
      </c>
      <c r="M2" s="163" t="s">
        <v>5124</v>
      </c>
      <c r="N2" s="164" t="s">
        <v>2776</v>
      </c>
      <c r="O2" s="138" t="s">
        <v>5125</v>
      </c>
      <c r="P2" s="161" t="s">
        <v>5126</v>
      </c>
    </row>
    <row r="3">
      <c r="A3" s="153" t="s">
        <v>514</v>
      </c>
      <c r="B3" s="153" t="s">
        <v>4114</v>
      </c>
      <c r="C3" s="153" t="s">
        <v>3790</v>
      </c>
      <c r="D3" s="165" t="s">
        <v>5104</v>
      </c>
      <c r="E3" s="153" t="s">
        <v>5127</v>
      </c>
      <c r="F3" s="166" t="s">
        <v>5128</v>
      </c>
      <c r="G3" s="166" t="s">
        <v>5129</v>
      </c>
      <c r="H3" s="166" t="s">
        <v>5130</v>
      </c>
      <c r="I3" s="166" t="s">
        <v>5131</v>
      </c>
      <c r="J3" s="166" t="s">
        <v>5132</v>
      </c>
      <c r="K3" s="166" t="s">
        <v>5133</v>
      </c>
      <c r="L3" s="166" t="s">
        <v>5134</v>
      </c>
      <c r="M3" s="166" t="s">
        <v>5135</v>
      </c>
      <c r="N3" s="167" t="s">
        <v>2785</v>
      </c>
      <c r="O3" s="125" t="s">
        <v>5109</v>
      </c>
      <c r="P3" s="153" t="s">
        <v>5136</v>
      </c>
      <c r="Q3" s="10"/>
    </row>
    <row r="4">
      <c r="A4" s="160">
        <v>40.0</v>
      </c>
      <c r="B4" s="160">
        <v>96.0</v>
      </c>
      <c r="C4" s="147">
        <v>7000.0</v>
      </c>
      <c r="D4" s="168">
        <v>213.0</v>
      </c>
      <c r="E4" s="24">
        <v>56.0</v>
      </c>
      <c r="F4" s="169">
        <v>-85341.59</v>
      </c>
      <c r="G4" s="169">
        <v>64104.63</v>
      </c>
      <c r="H4" s="169">
        <v>87878.92</v>
      </c>
      <c r="I4" s="169">
        <v>-89107.57</v>
      </c>
      <c r="J4" s="169">
        <v>77625.11</v>
      </c>
      <c r="K4" s="169">
        <v>-65420.56</v>
      </c>
      <c r="L4" s="169">
        <v>-50046.17</v>
      </c>
      <c r="M4" s="169">
        <v>-66296.88</v>
      </c>
      <c r="N4" s="50">
        <v>11413.0</v>
      </c>
      <c r="O4" s="111">
        <v>22.0</v>
      </c>
      <c r="P4" s="168">
        <v>5.0</v>
      </c>
    </row>
    <row r="5">
      <c r="A5" s="160">
        <v>81.0</v>
      </c>
      <c r="B5" s="160">
        <v>93.0</v>
      </c>
      <c r="C5" s="170">
        <v>7001.0</v>
      </c>
      <c r="D5" s="168">
        <v>220.0</v>
      </c>
      <c r="E5" s="24">
        <v>42.0</v>
      </c>
      <c r="F5" s="169">
        <v>-54760.12</v>
      </c>
      <c r="G5" s="169">
        <v>10305.79</v>
      </c>
      <c r="H5" s="169">
        <v>-34467.85</v>
      </c>
      <c r="I5" s="169">
        <v>99149.02</v>
      </c>
      <c r="J5" s="169">
        <v>51828.86</v>
      </c>
      <c r="K5" s="169">
        <v>85183.72</v>
      </c>
      <c r="L5" s="169">
        <v>-11490.7</v>
      </c>
      <c r="M5" s="169">
        <v>53369.1</v>
      </c>
      <c r="N5" s="50">
        <v>21721.0</v>
      </c>
      <c r="O5" s="111">
        <v>22.0</v>
      </c>
      <c r="P5" s="168">
        <v>8.0</v>
      </c>
    </row>
    <row r="6">
      <c r="A6" s="160">
        <v>81.0</v>
      </c>
      <c r="B6" s="160">
        <v>97.0</v>
      </c>
      <c r="C6" s="170">
        <v>7002.0</v>
      </c>
      <c r="D6" s="168">
        <v>200.0</v>
      </c>
      <c r="E6" s="24">
        <v>28.0</v>
      </c>
      <c r="F6" s="169">
        <v>-97512.1</v>
      </c>
      <c r="G6" s="169">
        <v>-33451.51</v>
      </c>
      <c r="H6" s="169">
        <v>-66907.51</v>
      </c>
      <c r="I6" s="169">
        <v>-36130.24</v>
      </c>
      <c r="J6" s="169">
        <v>39908.17</v>
      </c>
      <c r="K6" s="169">
        <v>60619.42</v>
      </c>
      <c r="L6" s="169">
        <v>9307.85</v>
      </c>
      <c r="M6" s="169">
        <v>61434.8</v>
      </c>
      <c r="N6" s="50">
        <v>11518.0</v>
      </c>
      <c r="O6" s="111">
        <v>22.0</v>
      </c>
      <c r="P6" s="168">
        <v>9.0</v>
      </c>
    </row>
    <row r="7">
      <c r="A7" s="160">
        <v>41.0</v>
      </c>
      <c r="B7" s="160">
        <v>4.0</v>
      </c>
      <c r="C7" s="170">
        <v>7003.0</v>
      </c>
      <c r="D7" s="168">
        <v>209.0</v>
      </c>
      <c r="E7" s="24">
        <v>12.0</v>
      </c>
      <c r="F7" s="169">
        <v>39704.9</v>
      </c>
      <c r="G7" s="169">
        <v>4578.06</v>
      </c>
      <c r="H7" s="169">
        <v>-24246.9</v>
      </c>
      <c r="I7" s="169">
        <v>-32437.18</v>
      </c>
      <c r="J7" s="169">
        <v>-80036.16</v>
      </c>
      <c r="K7" s="169">
        <v>41806.04</v>
      </c>
      <c r="L7" s="169">
        <v>-73061.59</v>
      </c>
      <c r="M7" s="169">
        <v>-29376.12</v>
      </c>
      <c r="N7" s="50">
        <v>51915.0</v>
      </c>
      <c r="O7" s="111">
        <v>20.0</v>
      </c>
      <c r="P7" s="168">
        <v>6.0</v>
      </c>
    </row>
    <row r="8">
      <c r="A8" s="160">
        <v>61.0</v>
      </c>
      <c r="B8" s="160">
        <v>53.0</v>
      </c>
      <c r="C8" s="170">
        <v>7004.0</v>
      </c>
      <c r="D8" s="168">
        <v>218.0</v>
      </c>
      <c r="E8" s="24">
        <v>38.0</v>
      </c>
      <c r="F8" s="169">
        <v>44078.52</v>
      </c>
      <c r="G8" s="169">
        <v>19387.2</v>
      </c>
      <c r="H8" s="169">
        <v>13440.29</v>
      </c>
      <c r="I8" s="169">
        <v>-9910.7</v>
      </c>
      <c r="J8" s="169">
        <v>-15869.02</v>
      </c>
      <c r="K8" s="169">
        <v>19905.52</v>
      </c>
      <c r="L8" s="169">
        <v>-55926.34</v>
      </c>
      <c r="M8" s="169">
        <v>34442.5</v>
      </c>
      <c r="N8" s="50">
        <v>122915.0</v>
      </c>
      <c r="O8" s="111">
        <v>23.0</v>
      </c>
      <c r="P8" s="168">
        <v>4.0</v>
      </c>
    </row>
    <row r="9">
      <c r="A9" s="160">
        <v>20.0</v>
      </c>
      <c r="B9" s="160">
        <v>59.0</v>
      </c>
      <c r="C9" s="147">
        <v>7005.0</v>
      </c>
      <c r="D9" s="168">
        <v>204.0</v>
      </c>
      <c r="E9" s="24">
        <v>46.0</v>
      </c>
      <c r="F9" s="169">
        <v>-31254.05</v>
      </c>
      <c r="G9" s="169">
        <v>-33215.44</v>
      </c>
      <c r="H9" s="169">
        <v>-31296.99</v>
      </c>
      <c r="I9" s="169">
        <v>-46534.16</v>
      </c>
      <c r="J9" s="169">
        <v>40945.2</v>
      </c>
      <c r="K9" s="169">
        <v>-7647.16</v>
      </c>
      <c r="L9" s="169">
        <v>90461.37</v>
      </c>
      <c r="M9" s="169">
        <v>24146.46</v>
      </c>
      <c r="N9" s="50">
        <v>21513.0</v>
      </c>
      <c r="O9" s="111">
        <v>22.0</v>
      </c>
      <c r="P9" s="168">
        <v>4.0</v>
      </c>
    </row>
    <row r="10">
      <c r="A10" s="160">
        <v>41.0</v>
      </c>
      <c r="B10" s="160">
        <v>11.0</v>
      </c>
      <c r="C10" s="170">
        <v>7006.0</v>
      </c>
      <c r="D10" s="168">
        <v>205.0</v>
      </c>
      <c r="E10" s="24">
        <v>34.0</v>
      </c>
      <c r="F10" s="169">
        <v>12749.15</v>
      </c>
      <c r="G10" s="169">
        <v>4294.29</v>
      </c>
      <c r="H10" s="169">
        <v>53509.04</v>
      </c>
      <c r="I10" s="169">
        <v>-93755.78</v>
      </c>
      <c r="J10" s="169">
        <v>64189.77</v>
      </c>
      <c r="K10" s="169">
        <v>14296.87</v>
      </c>
      <c r="L10" s="169">
        <v>-58961.74</v>
      </c>
      <c r="M10" s="169">
        <v>19601.42</v>
      </c>
      <c r="N10" s="50">
        <v>61920.0</v>
      </c>
      <c r="O10" s="111">
        <v>21.0</v>
      </c>
      <c r="P10" s="168">
        <v>9.0</v>
      </c>
    </row>
    <row r="11">
      <c r="A11" s="160">
        <v>61.0</v>
      </c>
      <c r="B11" s="160">
        <v>66.0</v>
      </c>
      <c r="C11" s="170">
        <v>7007.0</v>
      </c>
      <c r="D11" s="168">
        <v>201.0</v>
      </c>
      <c r="E11" s="24">
        <v>35.0</v>
      </c>
      <c r="F11" s="169">
        <v>-98837.03</v>
      </c>
      <c r="G11" s="169">
        <v>-81805.73</v>
      </c>
      <c r="H11" s="169">
        <v>55914.1</v>
      </c>
      <c r="I11" s="169">
        <v>25320.68</v>
      </c>
      <c r="J11" s="169">
        <v>82243.49</v>
      </c>
      <c r="K11" s="169">
        <v>-84469.54</v>
      </c>
      <c r="L11" s="169">
        <v>-75837.09</v>
      </c>
      <c r="M11" s="169">
        <v>-24540.38</v>
      </c>
      <c r="N11" s="50">
        <v>112815.0</v>
      </c>
      <c r="O11" s="111">
        <v>21.0</v>
      </c>
      <c r="P11" s="168">
        <v>8.0</v>
      </c>
    </row>
    <row r="12">
      <c r="A12" s="160">
        <v>82.0</v>
      </c>
      <c r="B12" s="160">
        <v>16.0</v>
      </c>
      <c r="C12" s="170">
        <v>7008.0</v>
      </c>
      <c r="D12" s="168">
        <v>210.0</v>
      </c>
      <c r="E12" s="24">
        <v>43.0</v>
      </c>
      <c r="F12" s="169">
        <v>-41336.64</v>
      </c>
      <c r="G12" s="169">
        <v>67667.69</v>
      </c>
      <c r="H12" s="169">
        <v>-69583.88</v>
      </c>
      <c r="I12" s="169">
        <v>-53978.7</v>
      </c>
      <c r="J12" s="169">
        <v>90507.77</v>
      </c>
      <c r="K12" s="169">
        <v>-61276.15</v>
      </c>
      <c r="L12" s="169">
        <v>40821.16</v>
      </c>
      <c r="M12" s="169">
        <v>-70213.92</v>
      </c>
      <c r="N12" s="50">
        <v>111313.0</v>
      </c>
      <c r="O12" s="111">
        <v>20.0</v>
      </c>
      <c r="P12" s="168">
        <v>1.0</v>
      </c>
    </row>
    <row r="13">
      <c r="A13" s="160">
        <v>20.0</v>
      </c>
      <c r="B13" s="160">
        <v>75.0</v>
      </c>
      <c r="C13" s="170">
        <v>7009.0</v>
      </c>
      <c r="D13" s="168">
        <v>213.0</v>
      </c>
      <c r="E13" s="24">
        <v>21.0</v>
      </c>
      <c r="F13" s="169">
        <v>-26962.86</v>
      </c>
      <c r="G13" s="169">
        <v>57429.01</v>
      </c>
      <c r="H13" s="169">
        <v>-21576.22</v>
      </c>
      <c r="I13" s="169">
        <v>1249.22</v>
      </c>
      <c r="J13" s="169">
        <v>-82349.39</v>
      </c>
      <c r="K13" s="169">
        <v>6913.82</v>
      </c>
      <c r="L13" s="169">
        <v>-6138.01</v>
      </c>
      <c r="M13" s="169">
        <v>12636.06</v>
      </c>
      <c r="N13" s="50">
        <v>71820.0</v>
      </c>
      <c r="O13" s="111">
        <v>22.0</v>
      </c>
      <c r="P13" s="168">
        <v>9.0</v>
      </c>
    </row>
    <row r="14">
      <c r="A14" s="160">
        <v>41.0</v>
      </c>
      <c r="B14" s="160">
        <v>24.0</v>
      </c>
      <c r="C14" s="147">
        <v>7010.0</v>
      </c>
      <c r="D14" s="168">
        <v>209.0</v>
      </c>
      <c r="E14" s="24">
        <v>51.0</v>
      </c>
      <c r="F14" s="169">
        <v>36903.54</v>
      </c>
      <c r="G14" s="169">
        <v>85486.79</v>
      </c>
      <c r="H14" s="169">
        <v>43606.03</v>
      </c>
      <c r="I14" s="169">
        <v>-21987.54</v>
      </c>
      <c r="J14" s="169">
        <v>-15269.74</v>
      </c>
      <c r="K14" s="169">
        <v>80225.67</v>
      </c>
      <c r="L14" s="169">
        <v>-7825.92</v>
      </c>
      <c r="M14" s="169">
        <v>-13637.22</v>
      </c>
      <c r="N14" s="50">
        <v>31014.0</v>
      </c>
      <c r="O14" s="111">
        <v>23.0</v>
      </c>
      <c r="P14" s="168">
        <v>5.0</v>
      </c>
    </row>
    <row r="15">
      <c r="A15" s="160">
        <v>41.0</v>
      </c>
      <c r="B15" s="160">
        <v>26.0</v>
      </c>
      <c r="C15" s="170">
        <v>7011.0</v>
      </c>
      <c r="D15" s="168">
        <v>217.0</v>
      </c>
      <c r="E15" s="24">
        <v>24.0</v>
      </c>
      <c r="F15" s="169">
        <v>81396.41</v>
      </c>
      <c r="G15" s="169">
        <v>-53859.29</v>
      </c>
      <c r="H15" s="169">
        <v>85686.9</v>
      </c>
      <c r="I15" s="169">
        <v>-14397.41</v>
      </c>
      <c r="J15" s="169">
        <v>-42715.32</v>
      </c>
      <c r="K15" s="169">
        <v>-55758.41</v>
      </c>
      <c r="L15" s="169">
        <v>-66586.94</v>
      </c>
      <c r="M15" s="169">
        <v>-30118.43</v>
      </c>
      <c r="N15" s="50">
        <v>71821.0</v>
      </c>
      <c r="O15" s="111">
        <v>22.0</v>
      </c>
      <c r="P15" s="168">
        <v>9.0</v>
      </c>
    </row>
    <row r="16">
      <c r="A16" s="160">
        <v>41.0</v>
      </c>
      <c r="B16" s="160">
        <v>27.0</v>
      </c>
      <c r="C16" s="170">
        <v>7012.0</v>
      </c>
      <c r="D16" s="168">
        <v>204.0</v>
      </c>
      <c r="E16" s="24">
        <v>96.0</v>
      </c>
      <c r="F16" s="169">
        <v>36566.42</v>
      </c>
      <c r="G16" s="169">
        <v>20328.98</v>
      </c>
      <c r="H16" s="169">
        <v>-41507.73</v>
      </c>
      <c r="I16" s="169">
        <v>-18114.25</v>
      </c>
      <c r="J16" s="169">
        <v>-47139.12</v>
      </c>
      <c r="K16" s="169">
        <v>10392.93</v>
      </c>
      <c r="L16" s="169">
        <v>74562.73</v>
      </c>
      <c r="M16" s="169">
        <v>52171.36</v>
      </c>
      <c r="N16" s="50">
        <v>72318.0</v>
      </c>
      <c r="O16" s="111">
        <v>23.0</v>
      </c>
      <c r="P16" s="168">
        <v>9.0</v>
      </c>
    </row>
    <row r="17">
      <c r="A17" s="160">
        <v>61.0</v>
      </c>
      <c r="B17" s="160">
        <v>76.0</v>
      </c>
      <c r="C17" s="170">
        <v>7013.0</v>
      </c>
      <c r="D17" s="168">
        <v>210.0</v>
      </c>
      <c r="E17" s="24">
        <v>96.0</v>
      </c>
      <c r="F17" s="169">
        <v>17451.5</v>
      </c>
      <c r="G17" s="169">
        <v>73436.22</v>
      </c>
      <c r="H17" s="169">
        <v>-45504.67</v>
      </c>
      <c r="I17" s="169">
        <v>-89860.99</v>
      </c>
      <c r="J17" s="169">
        <v>18670.72</v>
      </c>
      <c r="K17" s="169">
        <v>-5562.77</v>
      </c>
      <c r="L17" s="169">
        <v>35345.21</v>
      </c>
      <c r="M17" s="169">
        <v>-52440.38</v>
      </c>
      <c r="N17" s="50">
        <v>111621.0</v>
      </c>
      <c r="O17" s="111">
        <v>21.0</v>
      </c>
      <c r="P17" s="168">
        <v>5.0</v>
      </c>
    </row>
    <row r="18">
      <c r="A18" s="160">
        <v>41.0</v>
      </c>
      <c r="B18" s="160">
        <v>36.0</v>
      </c>
      <c r="C18" s="170">
        <v>7014.0</v>
      </c>
      <c r="D18" s="168">
        <v>202.0</v>
      </c>
      <c r="E18" s="24">
        <v>71.0</v>
      </c>
      <c r="F18" s="169">
        <v>-24179.53</v>
      </c>
      <c r="G18" s="169">
        <v>-9130.67</v>
      </c>
      <c r="H18" s="169">
        <v>-10810.8</v>
      </c>
      <c r="I18" s="169">
        <v>-35451.72</v>
      </c>
      <c r="J18" s="169">
        <v>-50849.68</v>
      </c>
      <c r="K18" s="169">
        <v>18428.82</v>
      </c>
      <c r="L18" s="169">
        <v>-57518.46</v>
      </c>
      <c r="M18" s="169">
        <v>9826.28</v>
      </c>
      <c r="N18" s="50">
        <v>32717.0</v>
      </c>
      <c r="O18" s="111">
        <v>22.0</v>
      </c>
      <c r="P18" s="168">
        <v>3.0</v>
      </c>
    </row>
    <row r="19">
      <c r="A19" s="160">
        <v>82.0</v>
      </c>
      <c r="B19" s="160">
        <v>33.0</v>
      </c>
      <c r="C19" s="147">
        <v>7015.0</v>
      </c>
      <c r="D19" s="168">
        <v>215.0</v>
      </c>
      <c r="E19" s="24">
        <v>38.0</v>
      </c>
      <c r="F19" s="169">
        <v>-75252.33</v>
      </c>
      <c r="G19" s="169">
        <v>70919.46</v>
      </c>
      <c r="H19" s="169">
        <v>-7279.93</v>
      </c>
      <c r="I19" s="169">
        <v>7106.94</v>
      </c>
      <c r="J19" s="169">
        <v>97554.83</v>
      </c>
      <c r="K19" s="169">
        <v>86177.18</v>
      </c>
      <c r="L19" s="169">
        <v>23725.51</v>
      </c>
      <c r="M19" s="169">
        <v>9980.71</v>
      </c>
      <c r="N19" s="50">
        <v>81115.0</v>
      </c>
      <c r="O19" s="111">
        <v>22.0</v>
      </c>
      <c r="P19" s="168">
        <v>5.0</v>
      </c>
    </row>
    <row r="20">
      <c r="A20" s="160">
        <v>41.0</v>
      </c>
      <c r="B20" s="160">
        <v>39.0</v>
      </c>
      <c r="C20" s="170">
        <v>7016.0</v>
      </c>
      <c r="D20" s="168">
        <v>206.0</v>
      </c>
      <c r="E20" s="24">
        <v>17.0</v>
      </c>
      <c r="F20" s="169">
        <v>26993.62</v>
      </c>
      <c r="G20" s="169">
        <v>33556.2</v>
      </c>
      <c r="H20" s="169">
        <v>42700.49</v>
      </c>
      <c r="I20" s="169">
        <v>77953.66</v>
      </c>
      <c r="J20" s="169">
        <v>34484.59</v>
      </c>
      <c r="K20" s="169">
        <v>-38771.9</v>
      </c>
      <c r="L20" s="169">
        <v>-35201.53</v>
      </c>
      <c r="M20" s="169">
        <v>48672.65</v>
      </c>
      <c r="N20" s="50">
        <v>50813.0</v>
      </c>
      <c r="O20" s="111">
        <v>20.0</v>
      </c>
      <c r="P20" s="168">
        <v>3.0</v>
      </c>
    </row>
    <row r="21">
      <c r="A21" s="160">
        <v>82.0</v>
      </c>
      <c r="B21" s="160">
        <v>36.0</v>
      </c>
      <c r="C21" s="170">
        <v>7017.0</v>
      </c>
      <c r="D21" s="168">
        <v>214.0</v>
      </c>
      <c r="E21" s="24">
        <v>39.0</v>
      </c>
      <c r="F21" s="169">
        <v>-52388.85</v>
      </c>
      <c r="G21" s="169">
        <v>-77047.58</v>
      </c>
      <c r="H21" s="169">
        <v>-12408.05</v>
      </c>
      <c r="I21" s="169">
        <v>-37656.88</v>
      </c>
      <c r="J21" s="169">
        <v>67164.95</v>
      </c>
      <c r="K21" s="169">
        <v>17306.69</v>
      </c>
      <c r="L21" s="169">
        <v>69773.71</v>
      </c>
      <c r="M21" s="169">
        <v>82854.35</v>
      </c>
      <c r="N21" s="50">
        <v>92920.0</v>
      </c>
      <c r="O21" s="111">
        <v>22.0</v>
      </c>
      <c r="P21" s="168">
        <v>9.0</v>
      </c>
    </row>
    <row r="22">
      <c r="A22" s="160">
        <v>41.0</v>
      </c>
      <c r="B22" s="160">
        <v>43.0</v>
      </c>
      <c r="C22" s="170">
        <v>7018.0</v>
      </c>
      <c r="D22" s="168">
        <v>210.0</v>
      </c>
      <c r="E22" s="24">
        <v>64.0</v>
      </c>
      <c r="F22" s="169">
        <v>-51200.0</v>
      </c>
      <c r="G22" s="169">
        <v>74393.83</v>
      </c>
      <c r="H22" s="169">
        <v>-14415.85</v>
      </c>
      <c r="I22" s="169">
        <v>71183.82</v>
      </c>
      <c r="J22" s="169">
        <v>-49072.48</v>
      </c>
      <c r="K22" s="169">
        <v>47529.63</v>
      </c>
      <c r="L22" s="169">
        <v>75482.24</v>
      </c>
      <c r="M22" s="169">
        <v>-30.0</v>
      </c>
      <c r="N22" s="50">
        <v>21519.0</v>
      </c>
      <c r="O22" s="111">
        <v>23.0</v>
      </c>
      <c r="P22" s="168">
        <v>5.0</v>
      </c>
    </row>
    <row r="23">
      <c r="A23" s="160">
        <v>20.0</v>
      </c>
      <c r="B23" s="160">
        <v>96.0</v>
      </c>
      <c r="C23" s="170">
        <v>7019.0</v>
      </c>
      <c r="D23" s="168">
        <v>200.0</v>
      </c>
      <c r="E23" s="24">
        <v>76.0</v>
      </c>
      <c r="F23" s="169">
        <v>82274.07</v>
      </c>
      <c r="G23" s="169">
        <v>991.81</v>
      </c>
      <c r="H23" s="169">
        <v>-39281.5</v>
      </c>
      <c r="I23" s="169">
        <v>-5678.27</v>
      </c>
      <c r="J23" s="169">
        <v>-62079.39</v>
      </c>
      <c r="K23" s="169">
        <v>89591.31</v>
      </c>
      <c r="L23" s="169">
        <v>32601.18</v>
      </c>
      <c r="M23" s="169">
        <v>-96979.14</v>
      </c>
      <c r="N23" s="50">
        <v>81220.0</v>
      </c>
      <c r="O23" s="111">
        <v>21.0</v>
      </c>
      <c r="P23" s="168">
        <v>8.0</v>
      </c>
    </row>
    <row r="24">
      <c r="A24" s="160">
        <v>82.0</v>
      </c>
      <c r="B24" s="160">
        <v>42.0</v>
      </c>
      <c r="C24" s="147">
        <v>7020.0</v>
      </c>
      <c r="D24" s="168">
        <v>201.0</v>
      </c>
      <c r="E24" s="24">
        <v>29.0</v>
      </c>
      <c r="F24" s="169">
        <v>-60123.37</v>
      </c>
      <c r="G24" s="169">
        <v>-21605.73</v>
      </c>
      <c r="H24" s="169">
        <v>-74000.96</v>
      </c>
      <c r="I24" s="169">
        <v>48727.45</v>
      </c>
      <c r="J24" s="169">
        <v>5434.29</v>
      </c>
      <c r="K24" s="169">
        <v>4684.08</v>
      </c>
      <c r="L24" s="169">
        <v>-38701.46</v>
      </c>
      <c r="M24" s="169">
        <v>-49461.76</v>
      </c>
      <c r="N24" s="50">
        <v>70918.0</v>
      </c>
      <c r="O24" s="111">
        <v>21.0</v>
      </c>
      <c r="P24" s="168">
        <v>1.0</v>
      </c>
    </row>
    <row r="25">
      <c r="A25" s="160">
        <v>82.0</v>
      </c>
      <c r="B25" s="160">
        <v>44.0</v>
      </c>
      <c r="C25" s="170">
        <v>7021.0</v>
      </c>
      <c r="D25" s="168">
        <v>211.0</v>
      </c>
      <c r="E25" s="24">
        <v>38.0</v>
      </c>
      <c r="F25" s="169">
        <v>37018.2</v>
      </c>
      <c r="G25" s="169">
        <v>-20029.02</v>
      </c>
      <c r="H25" s="169">
        <v>15977.79</v>
      </c>
      <c r="I25" s="169">
        <v>-27859.03</v>
      </c>
      <c r="J25" s="169">
        <v>-37889.41</v>
      </c>
      <c r="K25" s="169">
        <v>95655.3</v>
      </c>
      <c r="L25" s="169">
        <v>-22956.62</v>
      </c>
      <c r="M25" s="169">
        <v>-75000.66</v>
      </c>
      <c r="N25" s="50">
        <v>120518.0</v>
      </c>
      <c r="O25" s="111">
        <v>20.0</v>
      </c>
      <c r="P25" s="168">
        <v>5.0</v>
      </c>
    </row>
    <row r="26">
      <c r="A26" s="160">
        <v>21.0</v>
      </c>
      <c r="B26" s="160">
        <v>0.0</v>
      </c>
      <c r="C26" s="170">
        <v>7022.0</v>
      </c>
      <c r="D26" s="168">
        <v>209.0</v>
      </c>
      <c r="E26" s="24">
        <v>62.0</v>
      </c>
      <c r="F26" s="169">
        <v>-43096.67</v>
      </c>
      <c r="G26" s="169">
        <v>-92621.46</v>
      </c>
      <c r="H26" s="169">
        <v>-8224.27</v>
      </c>
      <c r="I26" s="169">
        <v>-77763.03</v>
      </c>
      <c r="J26" s="169">
        <v>-97389.66</v>
      </c>
      <c r="K26" s="169">
        <v>68869.1</v>
      </c>
      <c r="L26" s="169">
        <v>1385.51</v>
      </c>
      <c r="M26" s="169">
        <v>97938.79</v>
      </c>
      <c r="N26" s="50">
        <v>120219.0</v>
      </c>
      <c r="O26" s="111">
        <v>22.0</v>
      </c>
      <c r="P26" s="168">
        <v>1.0</v>
      </c>
    </row>
    <row r="27">
      <c r="A27" s="160">
        <v>62.0</v>
      </c>
      <c r="B27" s="160">
        <v>1.0</v>
      </c>
      <c r="C27" s="170">
        <v>7023.0</v>
      </c>
      <c r="D27" s="168">
        <v>209.0</v>
      </c>
      <c r="E27" s="24">
        <v>52.0</v>
      </c>
      <c r="F27" s="169">
        <v>1706.1</v>
      </c>
      <c r="G27" s="169">
        <v>-23782.17</v>
      </c>
      <c r="H27" s="169">
        <v>-85123.29</v>
      </c>
      <c r="I27" s="169">
        <v>77629.09</v>
      </c>
      <c r="J27" s="169">
        <v>24252.27</v>
      </c>
      <c r="K27" s="169">
        <v>-96809.56</v>
      </c>
      <c r="L27" s="169">
        <v>-54715.17</v>
      </c>
      <c r="M27" s="169">
        <v>-74817.56</v>
      </c>
      <c r="N27" s="50">
        <v>42614.0</v>
      </c>
      <c r="O27" s="111">
        <v>21.0</v>
      </c>
      <c r="P27" s="168">
        <v>6.0</v>
      </c>
    </row>
    <row r="28">
      <c r="A28" s="160">
        <v>62.0</v>
      </c>
      <c r="B28" s="160">
        <v>2.0</v>
      </c>
      <c r="C28" s="170">
        <v>7024.0</v>
      </c>
      <c r="D28" s="168">
        <v>218.0</v>
      </c>
      <c r="E28" s="24">
        <v>38.0</v>
      </c>
      <c r="F28" s="169">
        <v>32677.45</v>
      </c>
      <c r="G28" s="169">
        <v>85544.71</v>
      </c>
      <c r="H28" s="169">
        <v>-90734.71</v>
      </c>
      <c r="I28" s="169">
        <v>1995.16</v>
      </c>
      <c r="J28" s="169">
        <v>-33887.48</v>
      </c>
      <c r="K28" s="169">
        <v>-42384.91</v>
      </c>
      <c r="L28" s="169">
        <v>25168.39</v>
      </c>
      <c r="M28" s="169">
        <v>-68265.84</v>
      </c>
      <c r="N28" s="50">
        <v>21220.0</v>
      </c>
      <c r="O28" s="111">
        <v>22.0</v>
      </c>
      <c r="P28" s="168">
        <v>1.0</v>
      </c>
    </row>
    <row r="29">
      <c r="A29" s="160">
        <v>41.0</v>
      </c>
      <c r="B29" s="160">
        <v>55.0</v>
      </c>
      <c r="C29" s="147">
        <v>7025.0</v>
      </c>
      <c r="D29" s="168">
        <v>202.0</v>
      </c>
      <c r="E29" s="24">
        <v>40.0</v>
      </c>
      <c r="F29" s="169">
        <v>10671.21</v>
      </c>
      <c r="G29" s="169">
        <v>49274.2</v>
      </c>
      <c r="H29" s="169">
        <v>16819.36</v>
      </c>
      <c r="I29" s="169">
        <v>15156.42</v>
      </c>
      <c r="J29" s="169">
        <v>35411.94</v>
      </c>
      <c r="K29" s="169">
        <v>-12776.57</v>
      </c>
      <c r="L29" s="169">
        <v>89928.98</v>
      </c>
      <c r="M29" s="169">
        <v>-76532.26</v>
      </c>
      <c r="N29" s="50">
        <v>60118.0</v>
      </c>
      <c r="O29" s="111">
        <v>21.0</v>
      </c>
      <c r="P29" s="168">
        <v>3.0</v>
      </c>
    </row>
    <row r="30">
      <c r="A30" s="160">
        <v>21.0</v>
      </c>
      <c r="B30" s="160">
        <v>9.0</v>
      </c>
      <c r="C30" s="170">
        <v>7026.0</v>
      </c>
      <c r="D30" s="168">
        <v>209.0</v>
      </c>
      <c r="E30" s="24">
        <v>87.0</v>
      </c>
      <c r="F30" s="169">
        <v>31414.23</v>
      </c>
      <c r="G30" s="169">
        <v>-52557.32</v>
      </c>
      <c r="H30" s="169">
        <v>-55395.09</v>
      </c>
      <c r="I30" s="169">
        <v>97814.95</v>
      </c>
      <c r="J30" s="169">
        <v>-43469.23</v>
      </c>
      <c r="K30" s="169">
        <v>-13031.87</v>
      </c>
      <c r="L30" s="169">
        <v>-21174.96</v>
      </c>
      <c r="M30" s="169">
        <v>-86366.03</v>
      </c>
      <c r="N30" s="50">
        <v>41813.0</v>
      </c>
      <c r="O30" s="111">
        <v>20.0</v>
      </c>
      <c r="P30" s="168">
        <v>1.0</v>
      </c>
    </row>
    <row r="31">
      <c r="A31" s="160">
        <v>82.0</v>
      </c>
      <c r="B31" s="160">
        <v>56.0</v>
      </c>
      <c r="C31" s="170">
        <v>7027.0</v>
      </c>
      <c r="D31" s="168">
        <v>211.0</v>
      </c>
      <c r="E31" s="24">
        <v>61.0</v>
      </c>
      <c r="F31" s="169">
        <v>-58887.54</v>
      </c>
      <c r="G31" s="169">
        <v>-18371.3</v>
      </c>
      <c r="H31" s="169">
        <v>4252.21</v>
      </c>
      <c r="I31" s="169">
        <v>15220.9</v>
      </c>
      <c r="J31" s="169">
        <v>75714.77</v>
      </c>
      <c r="K31" s="169">
        <v>87482.6</v>
      </c>
      <c r="L31" s="169">
        <v>74908.33</v>
      </c>
      <c r="M31" s="169">
        <v>4890.34</v>
      </c>
      <c r="N31" s="50">
        <v>110416.0</v>
      </c>
      <c r="O31" s="111">
        <v>21.0</v>
      </c>
      <c r="P31" s="168">
        <v>1.0</v>
      </c>
    </row>
    <row r="32">
      <c r="A32" s="160">
        <v>82.0</v>
      </c>
      <c r="B32" s="160">
        <v>57.0</v>
      </c>
      <c r="C32" s="170">
        <v>7028.0</v>
      </c>
      <c r="D32" s="168">
        <v>202.0</v>
      </c>
      <c r="E32" s="24">
        <v>10.0</v>
      </c>
      <c r="F32" s="169">
        <v>18605.98</v>
      </c>
      <c r="G32" s="169">
        <v>-34220.56</v>
      </c>
      <c r="H32" s="169">
        <v>19140.26</v>
      </c>
      <c r="I32" s="169">
        <v>125.4</v>
      </c>
      <c r="J32" s="169">
        <v>72195.94</v>
      </c>
      <c r="K32" s="169">
        <v>-56424.46</v>
      </c>
      <c r="L32" s="169">
        <v>-9396.08</v>
      </c>
      <c r="M32" s="169">
        <v>10968.16</v>
      </c>
      <c r="N32" s="50">
        <v>80922.0</v>
      </c>
      <c r="O32" s="111">
        <v>20.0</v>
      </c>
      <c r="P32" s="168">
        <v>2.0</v>
      </c>
    </row>
    <row r="33">
      <c r="A33" s="160">
        <v>62.0</v>
      </c>
      <c r="B33" s="160">
        <v>10.0</v>
      </c>
      <c r="C33" s="170">
        <v>7029.0</v>
      </c>
      <c r="D33" s="168">
        <v>206.0</v>
      </c>
      <c r="E33" s="24">
        <v>35.0</v>
      </c>
      <c r="F33" s="169">
        <v>-85565.88</v>
      </c>
      <c r="G33" s="169">
        <v>-15366.36</v>
      </c>
      <c r="H33" s="169">
        <v>-3266.03</v>
      </c>
      <c r="I33" s="169">
        <v>54109.44</v>
      </c>
      <c r="J33" s="169">
        <v>46186.19</v>
      </c>
      <c r="K33" s="169">
        <v>-37324.5</v>
      </c>
      <c r="L33" s="169">
        <v>39491.61</v>
      </c>
      <c r="M33" s="169">
        <v>68350.57</v>
      </c>
      <c r="N33" s="50">
        <v>52817.0</v>
      </c>
      <c r="O33" s="111">
        <v>23.0</v>
      </c>
      <c r="P33" s="168">
        <v>2.0</v>
      </c>
    </row>
    <row r="34">
      <c r="A34" s="160">
        <v>41.0</v>
      </c>
      <c r="B34" s="160">
        <v>63.0</v>
      </c>
      <c r="C34" s="147">
        <v>7030.0</v>
      </c>
      <c r="D34" s="168">
        <v>211.0</v>
      </c>
      <c r="E34" s="24">
        <v>57.0</v>
      </c>
      <c r="F34" s="169">
        <v>-23710.35</v>
      </c>
      <c r="G34" s="169">
        <v>68926.39</v>
      </c>
      <c r="H34" s="169">
        <v>-46698.28</v>
      </c>
      <c r="I34" s="169">
        <v>8685.01</v>
      </c>
      <c r="J34" s="169">
        <v>-5207.54</v>
      </c>
      <c r="K34" s="169">
        <v>95109.41</v>
      </c>
      <c r="L34" s="169">
        <v>95360.07</v>
      </c>
      <c r="M34" s="169">
        <v>97685.86</v>
      </c>
      <c r="N34" s="50">
        <v>42814.0</v>
      </c>
      <c r="O34" s="111">
        <v>20.0</v>
      </c>
      <c r="P34" s="168">
        <v>6.0</v>
      </c>
    </row>
    <row r="35">
      <c r="A35" s="160">
        <v>21.0</v>
      </c>
      <c r="B35" s="160">
        <v>20.0</v>
      </c>
      <c r="C35" s="170">
        <v>7031.0</v>
      </c>
      <c r="D35" s="168">
        <v>201.0</v>
      </c>
      <c r="E35" s="24">
        <v>87.0</v>
      </c>
      <c r="F35" s="169">
        <v>-56817.73</v>
      </c>
      <c r="G35" s="169">
        <v>-16729.79</v>
      </c>
      <c r="H35" s="169">
        <v>89744.79</v>
      </c>
      <c r="I35" s="169">
        <v>-96435.35</v>
      </c>
      <c r="J35" s="169">
        <v>23500.73</v>
      </c>
      <c r="K35" s="169">
        <v>-74583.9</v>
      </c>
      <c r="L35" s="169">
        <v>71415.3</v>
      </c>
      <c r="M35" s="169">
        <v>-36991.49</v>
      </c>
      <c r="N35" s="50">
        <v>50514.0</v>
      </c>
      <c r="O35" s="111">
        <v>20.0</v>
      </c>
      <c r="P35" s="168">
        <v>9.0</v>
      </c>
    </row>
    <row r="36">
      <c r="A36" s="160">
        <v>62.0</v>
      </c>
      <c r="B36" s="160">
        <v>16.0</v>
      </c>
      <c r="C36" s="170">
        <v>7032.0</v>
      </c>
      <c r="D36" s="168">
        <v>207.0</v>
      </c>
      <c r="E36" s="24">
        <v>24.0</v>
      </c>
      <c r="F36" s="169">
        <v>-25293.58</v>
      </c>
      <c r="G36" s="169">
        <v>64277.79</v>
      </c>
      <c r="H36" s="169">
        <v>-58018.63</v>
      </c>
      <c r="I36" s="169">
        <v>13825.32</v>
      </c>
      <c r="J36" s="169">
        <v>-89364.99</v>
      </c>
      <c r="K36" s="169">
        <v>-85976.79</v>
      </c>
      <c r="L36" s="169">
        <v>67343.33</v>
      </c>
      <c r="M36" s="169">
        <v>54825.21</v>
      </c>
      <c r="N36" s="50">
        <v>101415.0</v>
      </c>
      <c r="O36" s="111">
        <v>20.0</v>
      </c>
      <c r="P36" s="168">
        <v>9.0</v>
      </c>
    </row>
    <row r="37">
      <c r="A37" s="160">
        <v>41.0</v>
      </c>
      <c r="B37" s="160">
        <v>70.0</v>
      </c>
      <c r="C37" s="170">
        <v>7033.0</v>
      </c>
      <c r="D37" s="168">
        <v>218.0</v>
      </c>
      <c r="E37" s="24">
        <v>14.0</v>
      </c>
      <c r="F37" s="169">
        <v>-95009.49</v>
      </c>
      <c r="G37" s="169">
        <v>-30140.81</v>
      </c>
      <c r="H37" s="169">
        <v>-37648.54</v>
      </c>
      <c r="I37" s="169">
        <v>88363.85</v>
      </c>
      <c r="J37" s="169">
        <v>13191.62</v>
      </c>
      <c r="K37" s="169">
        <v>47407.26</v>
      </c>
      <c r="L37" s="169">
        <v>-59258.65</v>
      </c>
      <c r="M37" s="169">
        <v>3900.57</v>
      </c>
      <c r="N37" s="50">
        <v>12215.0</v>
      </c>
      <c r="O37" s="111">
        <v>21.0</v>
      </c>
      <c r="P37" s="168">
        <v>9.0</v>
      </c>
    </row>
    <row r="38">
      <c r="A38" s="160">
        <v>82.0</v>
      </c>
      <c r="B38" s="160">
        <v>67.0</v>
      </c>
      <c r="C38" s="170">
        <v>7034.0</v>
      </c>
      <c r="D38" s="168">
        <v>213.0</v>
      </c>
      <c r="E38" s="24">
        <v>47.0</v>
      </c>
      <c r="F38" s="169">
        <v>-93564.02</v>
      </c>
      <c r="G38" s="169">
        <v>-83932.44</v>
      </c>
      <c r="H38" s="169">
        <v>93520.73</v>
      </c>
      <c r="I38" s="169">
        <v>-74633.38</v>
      </c>
      <c r="J38" s="169">
        <v>-1064.33</v>
      </c>
      <c r="K38" s="169">
        <v>48158.76</v>
      </c>
      <c r="L38" s="169">
        <v>-17656.6</v>
      </c>
      <c r="M38" s="169">
        <v>26986.75</v>
      </c>
      <c r="N38" s="50">
        <v>120220.0</v>
      </c>
      <c r="O38" s="111">
        <v>23.0</v>
      </c>
      <c r="P38" s="168">
        <v>2.0</v>
      </c>
    </row>
    <row r="39">
      <c r="A39" s="160">
        <v>82.0</v>
      </c>
      <c r="B39" s="160">
        <v>64.0</v>
      </c>
      <c r="C39" s="147">
        <v>7035.0</v>
      </c>
      <c r="D39" s="168">
        <v>211.0</v>
      </c>
      <c r="E39" s="24">
        <v>19.0</v>
      </c>
      <c r="F39" s="169">
        <v>-92225.79</v>
      </c>
      <c r="G39" s="169">
        <v>11972.93</v>
      </c>
      <c r="H39" s="169">
        <v>14277.61</v>
      </c>
      <c r="I39" s="169">
        <v>-240.71</v>
      </c>
      <c r="J39" s="169">
        <v>-10255.59</v>
      </c>
      <c r="K39" s="169">
        <v>-6694.47</v>
      </c>
      <c r="L39" s="169">
        <v>85989.75</v>
      </c>
      <c r="M39" s="169">
        <v>58098.95</v>
      </c>
      <c r="N39" s="50">
        <v>122314.0</v>
      </c>
      <c r="O39" s="111">
        <v>23.0</v>
      </c>
      <c r="P39" s="168">
        <v>7.0</v>
      </c>
    </row>
    <row r="40">
      <c r="A40" s="160">
        <v>62.0</v>
      </c>
      <c r="B40" s="160">
        <v>27.0</v>
      </c>
      <c r="C40" s="170">
        <v>7036.0</v>
      </c>
      <c r="D40" s="168">
        <v>210.0</v>
      </c>
      <c r="E40" s="24">
        <v>33.0</v>
      </c>
      <c r="F40" s="169">
        <v>19877.05</v>
      </c>
      <c r="G40" s="169">
        <v>91713.61</v>
      </c>
      <c r="H40" s="169">
        <v>84810.86</v>
      </c>
      <c r="I40" s="169">
        <v>88300.36</v>
      </c>
      <c r="J40" s="169">
        <v>-91972.12</v>
      </c>
      <c r="K40" s="169">
        <v>9199.61</v>
      </c>
      <c r="L40" s="169">
        <v>-12719.26</v>
      </c>
      <c r="M40" s="169">
        <v>5469.06</v>
      </c>
      <c r="N40" s="50">
        <v>63021.0</v>
      </c>
      <c r="O40" s="111">
        <v>21.0</v>
      </c>
      <c r="P40" s="168">
        <v>9.0</v>
      </c>
    </row>
    <row r="41">
      <c r="A41" s="160">
        <v>41.0</v>
      </c>
      <c r="B41" s="160">
        <v>79.0</v>
      </c>
      <c r="C41" s="170">
        <v>7037.0</v>
      </c>
      <c r="D41" s="168">
        <v>207.0</v>
      </c>
      <c r="E41" s="24">
        <v>44.0</v>
      </c>
      <c r="F41" s="169">
        <v>51415.94</v>
      </c>
      <c r="G41" s="169">
        <v>-31903.85</v>
      </c>
      <c r="H41" s="169">
        <v>86142.85</v>
      </c>
      <c r="I41" s="169">
        <v>-14116.02</v>
      </c>
      <c r="J41" s="169">
        <v>-54540.11</v>
      </c>
      <c r="K41" s="169">
        <v>38733.05</v>
      </c>
      <c r="L41" s="169">
        <v>-29491.46</v>
      </c>
      <c r="M41" s="169">
        <v>-91050.02</v>
      </c>
      <c r="N41" s="50">
        <v>92922.0</v>
      </c>
      <c r="O41" s="111">
        <v>21.0</v>
      </c>
      <c r="P41" s="168">
        <v>9.0</v>
      </c>
    </row>
    <row r="42">
      <c r="A42" s="160">
        <v>82.0</v>
      </c>
      <c r="B42" s="160">
        <v>77.0</v>
      </c>
      <c r="C42" s="170">
        <v>7038.0</v>
      </c>
      <c r="D42" s="168">
        <v>220.0</v>
      </c>
      <c r="E42" s="24">
        <v>27.0</v>
      </c>
      <c r="F42" s="169">
        <v>-97573.19</v>
      </c>
      <c r="G42" s="169">
        <v>-42370.87</v>
      </c>
      <c r="H42" s="169">
        <v>-48778.46</v>
      </c>
      <c r="I42" s="169">
        <v>-35007.94</v>
      </c>
      <c r="J42" s="169">
        <v>97982.91</v>
      </c>
      <c r="K42" s="169">
        <v>24219.6</v>
      </c>
      <c r="L42" s="169">
        <v>-41376.42</v>
      </c>
      <c r="M42" s="169">
        <v>-45637.82</v>
      </c>
      <c r="N42" s="50">
        <v>42622.0</v>
      </c>
      <c r="O42" s="111">
        <v>20.0</v>
      </c>
      <c r="P42" s="168">
        <v>8.0</v>
      </c>
    </row>
    <row r="43">
      <c r="A43" s="160">
        <v>62.0</v>
      </c>
      <c r="B43" s="160">
        <v>30.0</v>
      </c>
      <c r="C43" s="170">
        <v>7039.0</v>
      </c>
      <c r="D43" s="168">
        <v>220.0</v>
      </c>
      <c r="E43" s="24">
        <v>96.0</v>
      </c>
      <c r="F43" s="169">
        <v>-69957.66</v>
      </c>
      <c r="G43" s="169">
        <v>30365.27</v>
      </c>
      <c r="H43" s="169">
        <v>-18052.52</v>
      </c>
      <c r="I43" s="169">
        <v>30390.64</v>
      </c>
      <c r="J43" s="169">
        <v>-61040.83</v>
      </c>
      <c r="K43" s="169">
        <v>26570.79</v>
      </c>
      <c r="L43" s="169">
        <v>14017.83</v>
      </c>
      <c r="M43" s="169">
        <v>79524.99</v>
      </c>
      <c r="N43" s="50">
        <v>111616.0</v>
      </c>
      <c r="O43" s="111">
        <v>22.0</v>
      </c>
      <c r="P43" s="168">
        <v>4.0</v>
      </c>
    </row>
    <row r="44">
      <c r="A44" s="160">
        <v>21.0</v>
      </c>
      <c r="B44" s="160">
        <v>36.0</v>
      </c>
      <c r="C44" s="147">
        <v>7040.0</v>
      </c>
      <c r="D44" s="168">
        <v>218.0</v>
      </c>
      <c r="E44" s="24">
        <v>76.0</v>
      </c>
      <c r="F44" s="169">
        <v>53253.85</v>
      </c>
      <c r="G44" s="169">
        <v>-49789.59</v>
      </c>
      <c r="H44" s="169">
        <v>95869.43</v>
      </c>
      <c r="I44" s="169">
        <v>-36265.86</v>
      </c>
      <c r="J44" s="169">
        <v>69626.29</v>
      </c>
      <c r="K44" s="169">
        <v>-3228.59</v>
      </c>
      <c r="L44" s="169">
        <v>46046.82</v>
      </c>
      <c r="M44" s="169">
        <v>-27832.67</v>
      </c>
      <c r="N44" s="50">
        <v>51218.0</v>
      </c>
      <c r="O44" s="111">
        <v>21.0</v>
      </c>
      <c r="P44" s="168">
        <v>6.0</v>
      </c>
    </row>
    <row r="45">
      <c r="A45" s="160">
        <v>41.0</v>
      </c>
      <c r="B45" s="160">
        <v>86.0</v>
      </c>
      <c r="C45" s="170">
        <v>7041.0</v>
      </c>
      <c r="D45" s="168">
        <v>212.0</v>
      </c>
      <c r="E45" s="24">
        <v>80.0</v>
      </c>
      <c r="F45" s="169">
        <v>48146.18</v>
      </c>
      <c r="G45" s="169">
        <v>-15548.73</v>
      </c>
      <c r="H45" s="169">
        <v>-18533.0</v>
      </c>
      <c r="I45" s="169">
        <v>51349.73</v>
      </c>
      <c r="J45" s="169">
        <v>16289.77</v>
      </c>
      <c r="K45" s="169">
        <v>99470.81</v>
      </c>
      <c r="L45" s="169">
        <v>-33019.7</v>
      </c>
      <c r="M45" s="169">
        <v>-86160.65</v>
      </c>
      <c r="N45" s="50">
        <v>110715.0</v>
      </c>
      <c r="O45" s="111">
        <v>23.0</v>
      </c>
      <c r="P45" s="168">
        <v>9.0</v>
      </c>
    </row>
    <row r="46">
      <c r="A46" s="160">
        <v>41.0</v>
      </c>
      <c r="B46" s="160">
        <v>87.0</v>
      </c>
      <c r="C46" s="170">
        <v>7042.0</v>
      </c>
      <c r="D46" s="168">
        <v>218.0</v>
      </c>
      <c r="E46" s="24">
        <v>13.0</v>
      </c>
      <c r="F46" s="169">
        <v>14784.67</v>
      </c>
      <c r="G46" s="169">
        <v>-40482.96</v>
      </c>
      <c r="H46" s="169">
        <v>-41270.09</v>
      </c>
      <c r="I46" s="169">
        <v>44091.95</v>
      </c>
      <c r="J46" s="169">
        <v>-14648.45</v>
      </c>
      <c r="K46" s="169">
        <v>36676.44</v>
      </c>
      <c r="L46" s="169">
        <v>78139.39</v>
      </c>
      <c r="M46" s="169">
        <v>75072.23</v>
      </c>
      <c r="N46" s="50">
        <v>92114.0</v>
      </c>
      <c r="O46" s="111">
        <v>21.0</v>
      </c>
      <c r="P46" s="168">
        <v>8.0</v>
      </c>
    </row>
    <row r="47">
      <c r="A47" s="160">
        <v>62.0</v>
      </c>
      <c r="B47" s="160">
        <v>34.0</v>
      </c>
      <c r="C47" s="170">
        <v>7043.0</v>
      </c>
      <c r="D47" s="168">
        <v>205.0</v>
      </c>
      <c r="E47" s="24">
        <v>68.0</v>
      </c>
      <c r="F47" s="169">
        <v>-43272.5</v>
      </c>
      <c r="G47" s="169">
        <v>45633.27</v>
      </c>
      <c r="H47" s="169">
        <v>47796.2</v>
      </c>
      <c r="I47" s="169">
        <v>-41786.39</v>
      </c>
      <c r="J47" s="169">
        <v>58423.69</v>
      </c>
      <c r="K47" s="169">
        <v>28878.69</v>
      </c>
      <c r="L47" s="169">
        <v>83878.57</v>
      </c>
      <c r="M47" s="169">
        <v>-17525.12</v>
      </c>
      <c r="N47" s="50">
        <v>91015.0</v>
      </c>
      <c r="O47" s="111">
        <v>23.0</v>
      </c>
      <c r="P47" s="168">
        <v>3.0</v>
      </c>
    </row>
    <row r="48">
      <c r="A48" s="160">
        <v>62.0</v>
      </c>
      <c r="B48" s="160">
        <v>37.0</v>
      </c>
      <c r="C48" s="170">
        <v>7044.0</v>
      </c>
      <c r="D48" s="168">
        <v>214.0</v>
      </c>
      <c r="E48" s="24">
        <v>57.0</v>
      </c>
      <c r="F48" s="169">
        <v>31242.0</v>
      </c>
      <c r="G48" s="169">
        <v>49384.05</v>
      </c>
      <c r="H48" s="169">
        <v>-41807.83</v>
      </c>
      <c r="I48" s="169">
        <v>-92795.49</v>
      </c>
      <c r="J48" s="169">
        <v>37145.74</v>
      </c>
      <c r="K48" s="169">
        <v>51089.89</v>
      </c>
      <c r="L48" s="169">
        <v>55270.31</v>
      </c>
      <c r="M48" s="169">
        <v>44101.87</v>
      </c>
      <c r="N48" s="50">
        <v>71121.0</v>
      </c>
      <c r="O48" s="111">
        <v>23.0</v>
      </c>
      <c r="P48" s="168">
        <v>2.0</v>
      </c>
    </row>
    <row r="49">
      <c r="A49" s="160">
        <v>82.0</v>
      </c>
      <c r="B49" s="160">
        <v>89.0</v>
      </c>
      <c r="C49" s="147">
        <v>7045.0</v>
      </c>
      <c r="D49" s="168">
        <v>217.0</v>
      </c>
      <c r="E49" s="24">
        <v>54.0</v>
      </c>
      <c r="F49" s="169">
        <v>17619.59</v>
      </c>
      <c r="G49" s="169">
        <v>62482.14</v>
      </c>
      <c r="H49" s="169">
        <v>-92576.93</v>
      </c>
      <c r="I49" s="169">
        <v>11011.4</v>
      </c>
      <c r="J49" s="169">
        <v>89816.44</v>
      </c>
      <c r="K49" s="169">
        <v>-92902.0</v>
      </c>
      <c r="L49" s="169">
        <v>-49044.11</v>
      </c>
      <c r="M49" s="169">
        <v>40928.79</v>
      </c>
      <c r="N49" s="50">
        <v>51217.0</v>
      </c>
      <c r="O49" s="111">
        <v>23.0</v>
      </c>
      <c r="P49" s="168">
        <v>4.0</v>
      </c>
    </row>
    <row r="50">
      <c r="A50" s="160">
        <v>21.0</v>
      </c>
      <c r="B50" s="160">
        <v>52.0</v>
      </c>
      <c r="C50" s="170">
        <v>7046.0</v>
      </c>
      <c r="D50" s="168">
        <v>213.0</v>
      </c>
      <c r="E50" s="24">
        <v>11.0</v>
      </c>
      <c r="F50" s="169">
        <v>73918.06</v>
      </c>
      <c r="G50" s="169">
        <v>-16470.32</v>
      </c>
      <c r="H50" s="169">
        <v>-52338.08</v>
      </c>
      <c r="I50" s="169">
        <v>-70069.5</v>
      </c>
      <c r="J50" s="169">
        <v>-22481.1</v>
      </c>
      <c r="K50" s="169">
        <v>3617.25</v>
      </c>
      <c r="L50" s="169">
        <v>92173.35</v>
      </c>
      <c r="M50" s="169">
        <v>38514.35</v>
      </c>
      <c r="N50" s="50">
        <v>73013.0</v>
      </c>
      <c r="O50" s="111">
        <v>21.0</v>
      </c>
      <c r="P50" s="168">
        <v>5.0</v>
      </c>
    </row>
    <row r="51">
      <c r="A51" s="160">
        <v>62.0</v>
      </c>
      <c r="B51" s="160">
        <v>48.0</v>
      </c>
      <c r="C51" s="170">
        <v>7047.0</v>
      </c>
      <c r="D51" s="168">
        <v>220.0</v>
      </c>
      <c r="E51" s="24">
        <v>12.0</v>
      </c>
      <c r="F51" s="169">
        <v>24906.19</v>
      </c>
      <c r="G51" s="169">
        <v>30134.96</v>
      </c>
      <c r="H51" s="169">
        <v>-73719.33</v>
      </c>
      <c r="I51" s="169">
        <v>-20855.04</v>
      </c>
      <c r="J51" s="169">
        <v>17917.21</v>
      </c>
      <c r="K51" s="169">
        <v>35061.53</v>
      </c>
      <c r="L51" s="169">
        <v>38737.46</v>
      </c>
      <c r="M51" s="169">
        <v>12838.41</v>
      </c>
      <c r="N51" s="50">
        <v>103017.0</v>
      </c>
      <c r="O51" s="111">
        <v>23.0</v>
      </c>
      <c r="P51" s="168">
        <v>2.0</v>
      </c>
    </row>
    <row r="52">
      <c r="A52" s="160">
        <v>21.0</v>
      </c>
      <c r="B52" s="160">
        <v>56.0</v>
      </c>
      <c r="C52" s="170">
        <v>7048.0</v>
      </c>
      <c r="D52" s="168">
        <v>218.0</v>
      </c>
      <c r="E52" s="24">
        <v>85.0</v>
      </c>
      <c r="F52" s="169">
        <v>85600.37</v>
      </c>
      <c r="G52" s="169">
        <v>81757.16</v>
      </c>
      <c r="H52" s="169">
        <v>50768.67</v>
      </c>
      <c r="I52" s="169">
        <v>10538.28</v>
      </c>
      <c r="J52" s="169">
        <v>-16755.13</v>
      </c>
      <c r="K52" s="169">
        <v>42851.31</v>
      </c>
      <c r="L52" s="169">
        <v>-73352.43</v>
      </c>
      <c r="M52" s="169">
        <v>-31182.7</v>
      </c>
      <c r="N52" s="50">
        <v>72714.0</v>
      </c>
      <c r="O52" s="111">
        <v>23.0</v>
      </c>
      <c r="P52" s="168">
        <v>9.0</v>
      </c>
    </row>
    <row r="53">
      <c r="A53" s="160">
        <v>42.0</v>
      </c>
      <c r="B53" s="160">
        <v>6.0</v>
      </c>
      <c r="C53" s="170">
        <v>7049.0</v>
      </c>
      <c r="D53" s="168">
        <v>216.0</v>
      </c>
      <c r="E53" s="24">
        <v>62.0</v>
      </c>
      <c r="F53" s="169">
        <v>80545.92</v>
      </c>
      <c r="G53" s="169">
        <v>38253.27</v>
      </c>
      <c r="H53" s="169">
        <v>-76474.72</v>
      </c>
      <c r="I53" s="169">
        <v>4827.92</v>
      </c>
      <c r="J53" s="169">
        <v>85661.35</v>
      </c>
      <c r="K53" s="169">
        <v>-40208.96</v>
      </c>
      <c r="L53" s="169">
        <v>-37773.12</v>
      </c>
      <c r="M53" s="169">
        <v>-77569.52</v>
      </c>
      <c r="N53" s="50">
        <v>101213.0</v>
      </c>
      <c r="O53" s="111">
        <v>23.0</v>
      </c>
      <c r="P53" s="168">
        <v>4.0</v>
      </c>
    </row>
    <row r="54">
      <c r="A54" s="160">
        <v>83.0</v>
      </c>
      <c r="B54" s="160">
        <v>5.0</v>
      </c>
      <c r="C54" s="147">
        <v>7050.0</v>
      </c>
      <c r="D54" s="168">
        <v>200.0</v>
      </c>
      <c r="E54" s="24">
        <v>70.0</v>
      </c>
      <c r="F54" s="169">
        <v>87836.78</v>
      </c>
      <c r="G54" s="169">
        <v>75160.56</v>
      </c>
      <c r="H54" s="169">
        <v>-49044.89</v>
      </c>
      <c r="I54" s="169">
        <v>-7398.8</v>
      </c>
      <c r="J54" s="169">
        <v>71167.48</v>
      </c>
      <c r="K54" s="169">
        <v>86405.42</v>
      </c>
      <c r="L54" s="169">
        <v>68206.42</v>
      </c>
      <c r="M54" s="169">
        <v>96766.88</v>
      </c>
      <c r="N54" s="50">
        <v>62515.0</v>
      </c>
      <c r="O54" s="111">
        <v>20.0</v>
      </c>
      <c r="P54" s="168">
        <v>3.0</v>
      </c>
    </row>
    <row r="55">
      <c r="A55" s="160">
        <v>21.0</v>
      </c>
      <c r="B55" s="160">
        <v>66.0</v>
      </c>
      <c r="C55" s="170">
        <v>7051.0</v>
      </c>
      <c r="D55" s="168">
        <v>214.0</v>
      </c>
      <c r="E55" s="24">
        <v>60.0</v>
      </c>
      <c r="F55" s="169">
        <v>45018.4</v>
      </c>
      <c r="G55" s="169">
        <v>-43779.39</v>
      </c>
      <c r="H55" s="169">
        <v>86560.08</v>
      </c>
      <c r="I55" s="169">
        <v>-24978.44</v>
      </c>
      <c r="J55" s="169">
        <v>-91421.42</v>
      </c>
      <c r="K55" s="169">
        <v>64335.08</v>
      </c>
      <c r="L55" s="169">
        <v>83938.01</v>
      </c>
      <c r="M55" s="169">
        <v>-84161.59</v>
      </c>
      <c r="N55" s="50">
        <v>32817.0</v>
      </c>
      <c r="O55" s="111">
        <v>22.0</v>
      </c>
      <c r="P55" s="168">
        <v>8.0</v>
      </c>
    </row>
    <row r="56">
      <c r="A56" s="160">
        <v>42.0</v>
      </c>
      <c r="B56" s="160">
        <v>15.0</v>
      </c>
      <c r="C56" s="170">
        <v>7052.0</v>
      </c>
      <c r="D56" s="168">
        <v>206.0</v>
      </c>
      <c r="E56" s="24">
        <v>29.0</v>
      </c>
      <c r="F56" s="169">
        <v>-70499.27</v>
      </c>
      <c r="G56" s="169">
        <v>11231.34</v>
      </c>
      <c r="H56" s="169">
        <v>-95539.23</v>
      </c>
      <c r="I56" s="169">
        <v>74380.49</v>
      </c>
      <c r="J56" s="169">
        <v>33745.27</v>
      </c>
      <c r="K56" s="169">
        <v>-39639.83</v>
      </c>
      <c r="L56" s="169">
        <v>4801.75</v>
      </c>
      <c r="M56" s="169">
        <v>-31260.28</v>
      </c>
      <c r="N56" s="50">
        <v>61116.0</v>
      </c>
      <c r="O56" s="111">
        <v>23.0</v>
      </c>
      <c r="P56" s="168">
        <v>3.0</v>
      </c>
    </row>
    <row r="57">
      <c r="A57" s="160">
        <v>83.0</v>
      </c>
      <c r="B57" s="160">
        <v>12.0</v>
      </c>
      <c r="C57" s="170">
        <v>7053.0</v>
      </c>
      <c r="D57" s="168">
        <v>213.0</v>
      </c>
      <c r="E57" s="24">
        <v>50.0</v>
      </c>
      <c r="F57" s="169">
        <v>49890.62</v>
      </c>
      <c r="G57" s="169">
        <v>83089.97</v>
      </c>
      <c r="H57" s="169">
        <v>28695.73</v>
      </c>
      <c r="I57" s="169">
        <v>83066.59</v>
      </c>
      <c r="J57" s="169">
        <v>57169.21</v>
      </c>
      <c r="K57" s="169">
        <v>-77358.42</v>
      </c>
      <c r="L57" s="169">
        <v>81679.22</v>
      </c>
      <c r="M57" s="169">
        <v>-59042.39</v>
      </c>
      <c r="N57" s="50">
        <v>60318.0</v>
      </c>
      <c r="O57" s="111">
        <v>21.0</v>
      </c>
      <c r="P57" s="168">
        <v>8.0</v>
      </c>
    </row>
    <row r="58">
      <c r="A58" s="160">
        <v>42.0</v>
      </c>
      <c r="B58" s="160">
        <v>16.0</v>
      </c>
      <c r="C58" s="170">
        <v>7054.0</v>
      </c>
      <c r="D58" s="168">
        <v>211.0</v>
      </c>
      <c r="E58" s="24">
        <v>54.0</v>
      </c>
      <c r="F58" s="169">
        <v>-39691.77</v>
      </c>
      <c r="G58" s="169">
        <v>-19061.35</v>
      </c>
      <c r="H58" s="169">
        <v>74015.64</v>
      </c>
      <c r="I58" s="169">
        <v>11364.0</v>
      </c>
      <c r="J58" s="169">
        <v>35943.6</v>
      </c>
      <c r="K58" s="169">
        <v>18561.25</v>
      </c>
      <c r="L58" s="169">
        <v>-48208.93</v>
      </c>
      <c r="M58" s="169">
        <v>99476.89</v>
      </c>
      <c r="N58" s="50">
        <v>10919.0</v>
      </c>
      <c r="O58" s="111">
        <v>23.0</v>
      </c>
      <c r="P58" s="168">
        <v>8.0</v>
      </c>
    </row>
    <row r="59">
      <c r="A59" s="160">
        <v>21.0</v>
      </c>
      <c r="B59" s="160">
        <v>71.0</v>
      </c>
      <c r="C59" s="147">
        <v>7055.0</v>
      </c>
      <c r="D59" s="168">
        <v>206.0</v>
      </c>
      <c r="E59" s="24">
        <v>78.0</v>
      </c>
      <c r="F59" s="169">
        <v>27631.52</v>
      </c>
      <c r="G59" s="169">
        <v>85809.23</v>
      </c>
      <c r="H59" s="169">
        <v>44387.62</v>
      </c>
      <c r="I59" s="169">
        <v>93826.82</v>
      </c>
      <c r="J59" s="169">
        <v>-97822.5</v>
      </c>
      <c r="K59" s="169">
        <v>82986.35</v>
      </c>
      <c r="L59" s="169">
        <v>7132.2</v>
      </c>
      <c r="M59" s="169">
        <v>88822.77</v>
      </c>
      <c r="N59" s="50">
        <v>110413.0</v>
      </c>
      <c r="O59" s="111">
        <v>23.0</v>
      </c>
      <c r="P59" s="168">
        <v>2.0</v>
      </c>
    </row>
    <row r="60">
      <c r="A60" s="160">
        <v>42.0</v>
      </c>
      <c r="B60" s="160">
        <v>21.0</v>
      </c>
      <c r="C60" s="170">
        <v>7056.0</v>
      </c>
      <c r="D60" s="168">
        <v>201.0</v>
      </c>
      <c r="E60" s="24">
        <v>85.0</v>
      </c>
      <c r="F60" s="169">
        <v>-64683.48</v>
      </c>
      <c r="G60" s="169">
        <v>1113.5</v>
      </c>
      <c r="H60" s="169">
        <v>-11543.42</v>
      </c>
      <c r="I60" s="169">
        <v>68840.12</v>
      </c>
      <c r="J60" s="169">
        <v>96523.32</v>
      </c>
      <c r="K60" s="169">
        <v>-87531.92</v>
      </c>
      <c r="L60" s="169">
        <v>-14522.34</v>
      </c>
      <c r="M60" s="169">
        <v>-76893.65</v>
      </c>
      <c r="N60" s="50">
        <v>90519.0</v>
      </c>
      <c r="O60" s="111">
        <v>20.0</v>
      </c>
      <c r="P60" s="168">
        <v>8.0</v>
      </c>
    </row>
    <row r="61">
      <c r="A61" s="160">
        <v>62.0</v>
      </c>
      <c r="B61" s="160">
        <v>70.0</v>
      </c>
      <c r="C61" s="170">
        <v>7057.0</v>
      </c>
      <c r="D61" s="168">
        <v>207.0</v>
      </c>
      <c r="E61" s="24">
        <v>37.0</v>
      </c>
      <c r="F61" s="169">
        <v>72571.82</v>
      </c>
      <c r="G61" s="169">
        <v>-51596.13</v>
      </c>
      <c r="H61" s="169">
        <v>-78220.98</v>
      </c>
      <c r="I61" s="169">
        <v>-86213.88</v>
      </c>
      <c r="J61" s="169">
        <v>-29815.71</v>
      </c>
      <c r="K61" s="169">
        <v>32404.77</v>
      </c>
      <c r="L61" s="169">
        <v>12982.8</v>
      </c>
      <c r="M61" s="169">
        <v>89241.5</v>
      </c>
      <c r="N61" s="50">
        <v>31713.0</v>
      </c>
      <c r="O61" s="111">
        <v>21.0</v>
      </c>
      <c r="P61" s="168">
        <v>4.0</v>
      </c>
    </row>
    <row r="62">
      <c r="A62" s="160">
        <v>42.0</v>
      </c>
      <c r="B62" s="160">
        <v>24.0</v>
      </c>
      <c r="C62" s="170">
        <v>7058.0</v>
      </c>
      <c r="D62" s="168">
        <v>205.0</v>
      </c>
      <c r="E62" s="24">
        <v>98.0</v>
      </c>
      <c r="F62" s="169">
        <v>-13581.33</v>
      </c>
      <c r="G62" s="169">
        <v>-35188.52</v>
      </c>
      <c r="H62" s="169">
        <v>72622.18</v>
      </c>
      <c r="I62" s="169">
        <v>-14094.1</v>
      </c>
      <c r="J62" s="169">
        <v>13757.19</v>
      </c>
      <c r="K62" s="169">
        <v>26416.87</v>
      </c>
      <c r="L62" s="169">
        <v>37334.43</v>
      </c>
      <c r="M62" s="169">
        <v>-74272.5</v>
      </c>
      <c r="N62" s="50">
        <v>62222.0</v>
      </c>
      <c r="O62" s="111">
        <v>22.0</v>
      </c>
      <c r="P62" s="168">
        <v>4.0</v>
      </c>
    </row>
    <row r="63">
      <c r="A63" s="160">
        <v>21.0</v>
      </c>
      <c r="B63" s="160">
        <v>81.0</v>
      </c>
      <c r="C63" s="170">
        <v>7059.0</v>
      </c>
      <c r="D63" s="168">
        <v>200.0</v>
      </c>
      <c r="E63" s="24">
        <v>84.0</v>
      </c>
      <c r="F63" s="169">
        <v>-62294.36</v>
      </c>
      <c r="G63" s="169">
        <v>93079.88</v>
      </c>
      <c r="H63" s="169">
        <v>-32676.81</v>
      </c>
      <c r="I63" s="169">
        <v>1027.97</v>
      </c>
      <c r="J63" s="169">
        <v>-47210.37</v>
      </c>
      <c r="K63" s="169">
        <v>71361.4</v>
      </c>
      <c r="L63" s="169">
        <v>75945.98</v>
      </c>
      <c r="M63" s="169">
        <v>85384.35</v>
      </c>
      <c r="N63" s="50">
        <v>72017.0</v>
      </c>
      <c r="O63" s="111">
        <v>23.0</v>
      </c>
      <c r="P63" s="168">
        <v>6.0</v>
      </c>
    </row>
    <row r="64">
      <c r="A64" s="160">
        <v>62.0</v>
      </c>
      <c r="B64" s="160">
        <v>78.0</v>
      </c>
      <c r="C64" s="147">
        <v>7060.0</v>
      </c>
      <c r="D64" s="168">
        <v>212.0</v>
      </c>
      <c r="E64" s="24">
        <v>83.0</v>
      </c>
      <c r="F64" s="169">
        <v>-63098.89</v>
      </c>
      <c r="G64" s="169">
        <v>-86788.86</v>
      </c>
      <c r="H64" s="169">
        <v>55102.82</v>
      </c>
      <c r="I64" s="169">
        <v>74900.82</v>
      </c>
      <c r="J64" s="169">
        <v>-83999.02</v>
      </c>
      <c r="K64" s="169">
        <v>5617.11</v>
      </c>
      <c r="L64" s="169">
        <v>87617.01</v>
      </c>
      <c r="M64" s="169">
        <v>-32655.8</v>
      </c>
      <c r="N64" s="50">
        <v>101320.0</v>
      </c>
      <c r="O64" s="111">
        <v>21.0</v>
      </c>
      <c r="P64" s="168">
        <v>6.0</v>
      </c>
    </row>
    <row r="65">
      <c r="A65" s="160">
        <v>21.0</v>
      </c>
      <c r="B65" s="160">
        <v>86.0</v>
      </c>
      <c r="C65" s="170">
        <v>7061.0</v>
      </c>
      <c r="D65" s="168">
        <v>201.0</v>
      </c>
      <c r="E65" s="24">
        <v>80.0</v>
      </c>
      <c r="F65" s="169">
        <v>-85269.57</v>
      </c>
      <c r="G65" s="169">
        <v>43406.89</v>
      </c>
      <c r="H65" s="169">
        <v>13379.84</v>
      </c>
      <c r="I65" s="169">
        <v>-81404.65</v>
      </c>
      <c r="J65" s="169">
        <v>-41730.79</v>
      </c>
      <c r="K65" s="169">
        <v>41182.58</v>
      </c>
      <c r="L65" s="169">
        <v>-52137.57</v>
      </c>
      <c r="M65" s="169">
        <v>52875.14</v>
      </c>
      <c r="N65" s="50">
        <v>22422.0</v>
      </c>
      <c r="O65" s="111">
        <v>20.0</v>
      </c>
      <c r="P65" s="168">
        <v>2.0</v>
      </c>
    </row>
    <row r="66">
      <c r="A66" s="160">
        <v>83.0</v>
      </c>
      <c r="B66" s="160">
        <v>32.0</v>
      </c>
      <c r="C66" s="170">
        <v>7062.0</v>
      </c>
      <c r="D66" s="168">
        <v>205.0</v>
      </c>
      <c r="E66" s="24">
        <v>33.0</v>
      </c>
      <c r="F66" s="169">
        <v>25408.05</v>
      </c>
      <c r="G66" s="169">
        <v>58744.65</v>
      </c>
      <c r="H66" s="169">
        <v>86162.24</v>
      </c>
      <c r="I66" s="169">
        <v>16641.1</v>
      </c>
      <c r="J66" s="169">
        <v>-15657.91</v>
      </c>
      <c r="K66" s="169">
        <v>39924.63</v>
      </c>
      <c r="L66" s="169">
        <v>30462.11</v>
      </c>
      <c r="M66" s="169">
        <v>-74558.24</v>
      </c>
      <c r="N66" s="50">
        <v>60813.0</v>
      </c>
      <c r="O66" s="111">
        <v>23.0</v>
      </c>
      <c r="P66" s="168">
        <v>4.0</v>
      </c>
    </row>
    <row r="67">
      <c r="A67" s="160">
        <v>83.0</v>
      </c>
      <c r="B67" s="160">
        <v>35.0</v>
      </c>
      <c r="C67" s="170">
        <v>7063.0</v>
      </c>
      <c r="D67" s="168">
        <v>201.0</v>
      </c>
      <c r="E67" s="24">
        <v>20.0</v>
      </c>
      <c r="F67" s="169">
        <v>53271.75</v>
      </c>
      <c r="G67" s="169">
        <v>20214.51</v>
      </c>
      <c r="H67" s="169">
        <v>-57206.28</v>
      </c>
      <c r="I67" s="169">
        <v>-10654.18</v>
      </c>
      <c r="J67" s="169">
        <v>-17352.82</v>
      </c>
      <c r="K67" s="169">
        <v>13340.94</v>
      </c>
      <c r="L67" s="169">
        <v>13317.08</v>
      </c>
      <c r="M67" s="169">
        <v>-18220.93</v>
      </c>
      <c r="N67" s="50">
        <v>93014.0</v>
      </c>
      <c r="O67" s="111">
        <v>20.0</v>
      </c>
      <c r="P67" s="168">
        <v>7.0</v>
      </c>
    </row>
    <row r="68">
      <c r="A68" s="160">
        <v>21.0</v>
      </c>
      <c r="B68" s="160">
        <v>91.0</v>
      </c>
      <c r="C68" s="170">
        <v>7064.0</v>
      </c>
      <c r="D68" s="168">
        <v>200.0</v>
      </c>
      <c r="E68" s="24">
        <v>39.0</v>
      </c>
      <c r="F68" s="169">
        <v>68001.25</v>
      </c>
      <c r="G68" s="169">
        <v>-25134.22</v>
      </c>
      <c r="H68" s="169">
        <v>-78151.28</v>
      </c>
      <c r="I68" s="169">
        <v>-25172.68</v>
      </c>
      <c r="J68" s="169">
        <v>39148.81</v>
      </c>
      <c r="K68" s="169">
        <v>-91653.8</v>
      </c>
      <c r="L68" s="169">
        <v>86159.36</v>
      </c>
      <c r="M68" s="169">
        <v>-67291.94</v>
      </c>
      <c r="N68" s="50">
        <v>42313.0</v>
      </c>
      <c r="O68" s="111">
        <v>21.0</v>
      </c>
      <c r="P68" s="168">
        <v>9.0</v>
      </c>
    </row>
    <row r="69">
      <c r="A69" s="160">
        <v>62.0</v>
      </c>
      <c r="B69" s="160">
        <v>89.0</v>
      </c>
      <c r="C69" s="147">
        <v>7065.0</v>
      </c>
      <c r="D69" s="168">
        <v>211.0</v>
      </c>
      <c r="E69" s="24">
        <v>55.0</v>
      </c>
      <c r="F69" s="169">
        <v>70072.72</v>
      </c>
      <c r="G69" s="169">
        <v>-5908.9</v>
      </c>
      <c r="H69" s="169">
        <v>-43645.68</v>
      </c>
      <c r="I69" s="169">
        <v>-91816.8</v>
      </c>
      <c r="J69" s="169">
        <v>-26872.74</v>
      </c>
      <c r="K69" s="169">
        <v>-47420.34</v>
      </c>
      <c r="L69" s="169">
        <v>-64057.97</v>
      </c>
      <c r="M69" s="169">
        <v>-418.18</v>
      </c>
      <c r="N69" s="50">
        <v>22020.0</v>
      </c>
      <c r="O69" s="111">
        <v>23.0</v>
      </c>
      <c r="P69" s="168">
        <v>9.0</v>
      </c>
    </row>
    <row r="70">
      <c r="A70" s="160">
        <v>42.0</v>
      </c>
      <c r="B70" s="160">
        <v>43.0</v>
      </c>
      <c r="C70" s="170">
        <v>7066.0</v>
      </c>
      <c r="D70" s="168">
        <v>217.0</v>
      </c>
      <c r="E70" s="24">
        <v>93.0</v>
      </c>
      <c r="F70" s="169">
        <v>47115.77</v>
      </c>
      <c r="G70" s="169">
        <v>29733.99</v>
      </c>
      <c r="H70" s="169">
        <v>21415.41</v>
      </c>
      <c r="I70" s="169">
        <v>36525.01</v>
      </c>
      <c r="J70" s="169">
        <v>-52262.83</v>
      </c>
      <c r="K70" s="169">
        <v>44019.23</v>
      </c>
      <c r="L70" s="169">
        <v>-26543.32</v>
      </c>
      <c r="M70" s="169">
        <v>95972.36</v>
      </c>
      <c r="N70" s="50">
        <v>100914.0</v>
      </c>
      <c r="O70" s="111">
        <v>23.0</v>
      </c>
      <c r="P70" s="168">
        <v>9.0</v>
      </c>
    </row>
    <row r="71">
      <c r="A71" s="160">
        <v>22.0</v>
      </c>
      <c r="B71" s="160">
        <v>2.0</v>
      </c>
      <c r="C71" s="170">
        <v>7067.0</v>
      </c>
      <c r="D71" s="168">
        <v>206.0</v>
      </c>
      <c r="E71" s="24">
        <v>33.0</v>
      </c>
      <c r="F71" s="169">
        <v>-85453.0</v>
      </c>
      <c r="G71" s="169">
        <v>-72159.1</v>
      </c>
      <c r="H71" s="169">
        <v>-57007.84</v>
      </c>
      <c r="I71" s="169">
        <v>8613.56</v>
      </c>
      <c r="J71" s="169">
        <v>12600.75</v>
      </c>
      <c r="K71" s="169">
        <v>-19299.58</v>
      </c>
      <c r="L71" s="169">
        <v>80015.05</v>
      </c>
      <c r="M71" s="169">
        <v>-38129.07</v>
      </c>
      <c r="N71" s="50">
        <v>111119.0</v>
      </c>
      <c r="O71" s="111">
        <v>21.0</v>
      </c>
      <c r="P71" s="168">
        <v>8.0</v>
      </c>
    </row>
    <row r="72">
      <c r="A72" s="160">
        <v>83.0</v>
      </c>
      <c r="B72" s="160">
        <v>47.0</v>
      </c>
      <c r="C72" s="170">
        <v>7068.0</v>
      </c>
      <c r="D72" s="168">
        <v>212.0</v>
      </c>
      <c r="E72" s="24">
        <v>47.0</v>
      </c>
      <c r="F72" s="169">
        <v>-93753.15</v>
      </c>
      <c r="G72" s="169">
        <v>14699.02</v>
      </c>
      <c r="H72" s="169">
        <v>88936.96</v>
      </c>
      <c r="I72" s="169">
        <v>34985.38</v>
      </c>
      <c r="J72" s="169">
        <v>50427.09</v>
      </c>
      <c r="K72" s="169">
        <v>-32118.62</v>
      </c>
      <c r="L72" s="169">
        <v>45964.04</v>
      </c>
      <c r="M72" s="169">
        <v>-6004.82</v>
      </c>
      <c r="N72" s="50">
        <v>11420.0</v>
      </c>
      <c r="O72" s="111">
        <v>22.0</v>
      </c>
      <c r="P72" s="168">
        <v>6.0</v>
      </c>
    </row>
    <row r="73">
      <c r="A73" s="160">
        <v>62.0</v>
      </c>
      <c r="B73" s="160">
        <v>99.0</v>
      </c>
      <c r="C73" s="170">
        <v>7069.0</v>
      </c>
      <c r="D73" s="168">
        <v>209.0</v>
      </c>
      <c r="E73" s="24">
        <v>47.0</v>
      </c>
      <c r="F73" s="169">
        <v>-91734.99</v>
      </c>
      <c r="G73" s="169">
        <v>13053.96</v>
      </c>
      <c r="H73" s="169">
        <v>32416.87</v>
      </c>
      <c r="I73" s="169">
        <v>-26823.8</v>
      </c>
      <c r="J73" s="169">
        <v>22217.0</v>
      </c>
      <c r="K73" s="169">
        <v>-99996.86</v>
      </c>
      <c r="L73" s="169">
        <v>-16846.22</v>
      </c>
      <c r="M73" s="169">
        <v>76328.5</v>
      </c>
      <c r="N73" s="50">
        <v>73121.0</v>
      </c>
      <c r="O73" s="111">
        <v>22.0</v>
      </c>
      <c r="P73" s="168">
        <v>8.0</v>
      </c>
    </row>
    <row r="74">
      <c r="A74" s="160">
        <v>61.0</v>
      </c>
      <c r="B74" s="160">
        <v>37.0</v>
      </c>
      <c r="C74" s="147">
        <v>7070.0</v>
      </c>
      <c r="D74" s="168">
        <v>213.0</v>
      </c>
      <c r="E74" s="24">
        <v>12.0</v>
      </c>
      <c r="F74" s="169">
        <v>68458.52</v>
      </c>
      <c r="G74" s="169">
        <v>35049.45</v>
      </c>
      <c r="H74" s="169">
        <v>31902.25</v>
      </c>
      <c r="I74" s="169">
        <v>-31352.35</v>
      </c>
      <c r="J74" s="169">
        <v>14875.89</v>
      </c>
      <c r="K74" s="169">
        <v>62750.11</v>
      </c>
      <c r="L74" s="169">
        <v>-66385.51</v>
      </c>
      <c r="M74" s="169">
        <v>-87517.57</v>
      </c>
      <c r="N74" s="50">
        <v>120120.0</v>
      </c>
      <c r="O74" s="111">
        <v>20.0</v>
      </c>
      <c r="P74" s="168">
        <v>9.0</v>
      </c>
    </row>
    <row r="75">
      <c r="A75" s="160">
        <v>22.0</v>
      </c>
      <c r="B75" s="160">
        <v>9.0</v>
      </c>
      <c r="C75" s="170">
        <v>7071.0</v>
      </c>
      <c r="D75" s="168">
        <v>203.0</v>
      </c>
      <c r="E75" s="24">
        <v>43.0</v>
      </c>
      <c r="F75" s="169">
        <v>-44397.56</v>
      </c>
      <c r="G75" s="169">
        <v>-29995.11</v>
      </c>
      <c r="H75" s="169">
        <v>-20401.55</v>
      </c>
      <c r="I75" s="169">
        <v>78079.58</v>
      </c>
      <c r="J75" s="169">
        <v>-9471.61</v>
      </c>
      <c r="K75" s="169">
        <v>86720.56</v>
      </c>
      <c r="L75" s="169">
        <v>78877.38</v>
      </c>
      <c r="M75" s="169">
        <v>7015.43</v>
      </c>
      <c r="N75" s="50">
        <v>60514.0</v>
      </c>
      <c r="O75" s="111">
        <v>20.0</v>
      </c>
      <c r="P75" s="168">
        <v>4.0</v>
      </c>
    </row>
    <row r="76">
      <c r="A76" s="160">
        <v>42.0</v>
      </c>
      <c r="B76" s="160">
        <v>59.0</v>
      </c>
      <c r="C76" s="170">
        <v>7072.0</v>
      </c>
      <c r="D76" s="168">
        <v>208.0</v>
      </c>
      <c r="E76" s="24">
        <v>88.0</v>
      </c>
      <c r="F76" s="169">
        <v>84796.17</v>
      </c>
      <c r="G76" s="169">
        <v>4106.53</v>
      </c>
      <c r="H76" s="169">
        <v>75425.04</v>
      </c>
      <c r="I76" s="169">
        <v>-70711.65</v>
      </c>
      <c r="J76" s="169">
        <v>-86855.39</v>
      </c>
      <c r="K76" s="169">
        <v>53584.65</v>
      </c>
      <c r="L76" s="169">
        <v>-4744.64</v>
      </c>
      <c r="M76" s="169">
        <v>6426.95</v>
      </c>
      <c r="N76" s="50">
        <v>50122.0</v>
      </c>
      <c r="O76" s="111">
        <v>21.0</v>
      </c>
      <c r="P76" s="168">
        <v>6.0</v>
      </c>
    </row>
    <row r="77">
      <c r="A77" s="160">
        <v>42.0</v>
      </c>
      <c r="B77" s="160">
        <v>61.0</v>
      </c>
      <c r="C77" s="170">
        <v>7073.0</v>
      </c>
      <c r="D77" s="168">
        <v>212.0</v>
      </c>
      <c r="E77" s="24">
        <v>33.0</v>
      </c>
      <c r="F77" s="169">
        <v>-67232.08</v>
      </c>
      <c r="G77" s="169">
        <v>66017.75</v>
      </c>
      <c r="H77" s="169">
        <v>79757.57</v>
      </c>
      <c r="I77" s="169">
        <v>-49647.37</v>
      </c>
      <c r="J77" s="169">
        <v>7431.45</v>
      </c>
      <c r="K77" s="169">
        <v>-23915.0</v>
      </c>
      <c r="L77" s="169">
        <v>97406.0</v>
      </c>
      <c r="M77" s="169">
        <v>19442.96</v>
      </c>
      <c r="N77" s="50">
        <v>100519.0</v>
      </c>
      <c r="O77" s="111">
        <v>20.0</v>
      </c>
      <c r="P77" s="168">
        <v>2.0</v>
      </c>
    </row>
    <row r="78">
      <c r="A78" s="160">
        <v>63.0</v>
      </c>
      <c r="B78" s="160">
        <v>12.0</v>
      </c>
      <c r="C78" s="170">
        <v>7074.0</v>
      </c>
      <c r="D78" s="168">
        <v>213.0</v>
      </c>
      <c r="E78" s="24">
        <v>10.0</v>
      </c>
      <c r="F78" s="169">
        <v>-6165.42</v>
      </c>
      <c r="G78" s="169">
        <v>-25972.03</v>
      </c>
      <c r="H78" s="169">
        <v>-80199.03</v>
      </c>
      <c r="I78" s="169">
        <v>74095.46</v>
      </c>
      <c r="J78" s="169">
        <v>-7057.02</v>
      </c>
      <c r="K78" s="169">
        <v>14086.56</v>
      </c>
      <c r="L78" s="169">
        <v>69981.79</v>
      </c>
      <c r="M78" s="169">
        <v>98849.21</v>
      </c>
      <c r="N78" s="50">
        <v>102916.0</v>
      </c>
      <c r="O78" s="111">
        <v>22.0</v>
      </c>
      <c r="P78" s="168">
        <v>2.0</v>
      </c>
    </row>
    <row r="79">
      <c r="A79" s="160">
        <v>22.0</v>
      </c>
      <c r="B79" s="160">
        <v>16.0</v>
      </c>
      <c r="C79" s="147">
        <v>7075.0</v>
      </c>
      <c r="D79" s="168">
        <v>209.0</v>
      </c>
      <c r="E79" s="24">
        <v>17.0</v>
      </c>
      <c r="F79" s="169">
        <v>-27324.72</v>
      </c>
      <c r="G79" s="169">
        <v>90250.68</v>
      </c>
      <c r="H79" s="169">
        <v>67952.78</v>
      </c>
      <c r="I79" s="169">
        <v>-45443.23</v>
      </c>
      <c r="J79" s="169">
        <v>77748.27</v>
      </c>
      <c r="K79" s="169">
        <v>-92458.83</v>
      </c>
      <c r="L79" s="169">
        <v>-1150.61</v>
      </c>
      <c r="M79" s="169">
        <v>-41939.61</v>
      </c>
      <c r="N79" s="50">
        <v>100121.0</v>
      </c>
      <c r="O79" s="111">
        <v>21.0</v>
      </c>
      <c r="P79" s="168">
        <v>8.0</v>
      </c>
    </row>
    <row r="80">
      <c r="A80" s="160">
        <v>63.0</v>
      </c>
      <c r="B80" s="160">
        <v>14.0</v>
      </c>
      <c r="C80" s="170">
        <v>7076.0</v>
      </c>
      <c r="D80" s="168">
        <v>214.0</v>
      </c>
      <c r="E80" s="24">
        <v>94.0</v>
      </c>
      <c r="F80" s="169">
        <v>-78865.03</v>
      </c>
      <c r="G80" s="169">
        <v>-96673.56</v>
      </c>
      <c r="H80" s="169">
        <v>77594.81</v>
      </c>
      <c r="I80" s="169">
        <v>69837.72</v>
      </c>
      <c r="J80" s="169">
        <v>63218.27</v>
      </c>
      <c r="K80" s="169">
        <v>86906.03</v>
      </c>
      <c r="L80" s="169">
        <v>-68117.82</v>
      </c>
      <c r="M80" s="169">
        <v>7307.51</v>
      </c>
      <c r="N80" s="50">
        <v>102919.0</v>
      </c>
      <c r="O80" s="111">
        <v>21.0</v>
      </c>
      <c r="P80" s="168">
        <v>5.0</v>
      </c>
    </row>
    <row r="81">
      <c r="A81" s="160">
        <v>42.0</v>
      </c>
      <c r="B81" s="160">
        <v>67.0</v>
      </c>
      <c r="C81" s="170">
        <v>7077.0</v>
      </c>
      <c r="D81" s="168">
        <v>218.0</v>
      </c>
      <c r="E81" s="24">
        <v>36.0</v>
      </c>
      <c r="F81" s="169">
        <v>74674.27</v>
      </c>
      <c r="G81" s="169">
        <v>2857.37</v>
      </c>
      <c r="H81" s="169">
        <v>-40407.23</v>
      </c>
      <c r="I81" s="169">
        <v>-43774.06</v>
      </c>
      <c r="J81" s="169">
        <v>-61050.54</v>
      </c>
      <c r="K81" s="169">
        <v>93322.22</v>
      </c>
      <c r="L81" s="169">
        <v>-70047.87</v>
      </c>
      <c r="M81" s="169">
        <v>-60801.87</v>
      </c>
      <c r="N81" s="50">
        <v>122015.0</v>
      </c>
      <c r="O81" s="111">
        <v>22.0</v>
      </c>
      <c r="P81" s="168">
        <v>3.0</v>
      </c>
    </row>
    <row r="82">
      <c r="A82" s="160">
        <v>83.0</v>
      </c>
      <c r="B82" s="160">
        <v>66.0</v>
      </c>
      <c r="C82" s="170">
        <v>7078.0</v>
      </c>
      <c r="D82" s="168">
        <v>218.0</v>
      </c>
      <c r="E82" s="24">
        <v>14.0</v>
      </c>
      <c r="F82" s="169">
        <v>2746.59</v>
      </c>
      <c r="G82" s="169">
        <v>-44475.24</v>
      </c>
      <c r="H82" s="169">
        <v>58850.34</v>
      </c>
      <c r="I82" s="169">
        <v>79874.62</v>
      </c>
      <c r="J82" s="169">
        <v>67654.78</v>
      </c>
      <c r="K82" s="169">
        <v>-93251.25</v>
      </c>
      <c r="L82" s="169">
        <v>-58923.47</v>
      </c>
      <c r="M82" s="169">
        <v>-8997.96</v>
      </c>
      <c r="N82" s="50">
        <v>91615.0</v>
      </c>
      <c r="O82" s="111">
        <v>22.0</v>
      </c>
      <c r="P82" s="168">
        <v>5.0</v>
      </c>
    </row>
    <row r="83">
      <c r="A83" s="160">
        <v>63.0</v>
      </c>
      <c r="B83" s="160">
        <v>19.0</v>
      </c>
      <c r="C83" s="170">
        <v>7079.0</v>
      </c>
      <c r="D83" s="168">
        <v>203.0</v>
      </c>
      <c r="E83" s="24">
        <v>61.0</v>
      </c>
      <c r="F83" s="169">
        <v>-31655.68</v>
      </c>
      <c r="G83" s="169">
        <v>9076.53</v>
      </c>
      <c r="H83" s="169">
        <v>73379.35</v>
      </c>
      <c r="I83" s="169">
        <v>-88262.1</v>
      </c>
      <c r="J83" s="169">
        <v>-34907.81</v>
      </c>
      <c r="K83" s="169">
        <v>63871.1</v>
      </c>
      <c r="L83" s="169">
        <v>89646.62</v>
      </c>
      <c r="M83" s="169">
        <v>-71867.27</v>
      </c>
      <c r="N83" s="50">
        <v>42916.0</v>
      </c>
      <c r="O83" s="111">
        <v>23.0</v>
      </c>
      <c r="P83" s="168">
        <v>5.0</v>
      </c>
    </row>
    <row r="84">
      <c r="A84" s="160">
        <v>83.0</v>
      </c>
      <c r="B84" s="160">
        <v>67.0</v>
      </c>
      <c r="C84" s="147">
        <v>7080.0</v>
      </c>
      <c r="D84" s="168">
        <v>206.0</v>
      </c>
      <c r="E84" s="24">
        <v>88.0</v>
      </c>
      <c r="F84" s="169">
        <v>-63382.42</v>
      </c>
      <c r="G84" s="169">
        <v>-44996.17</v>
      </c>
      <c r="H84" s="169">
        <v>-61627.62</v>
      </c>
      <c r="I84" s="169">
        <v>-57361.99</v>
      </c>
      <c r="J84" s="169">
        <v>58186.16</v>
      </c>
      <c r="K84" s="169">
        <v>82279.84</v>
      </c>
      <c r="L84" s="169">
        <v>-78129.97</v>
      </c>
      <c r="M84" s="169">
        <v>83448.02</v>
      </c>
      <c r="N84" s="50">
        <v>71313.0</v>
      </c>
      <c r="O84" s="111">
        <v>22.0</v>
      </c>
      <c r="P84" s="168">
        <v>6.0</v>
      </c>
    </row>
    <row r="85">
      <c r="A85" s="160">
        <v>22.0</v>
      </c>
      <c r="B85" s="160">
        <v>25.0</v>
      </c>
      <c r="C85" s="170">
        <v>7081.0</v>
      </c>
      <c r="D85" s="168">
        <v>211.0</v>
      </c>
      <c r="E85" s="24">
        <v>90.0</v>
      </c>
      <c r="F85" s="169">
        <v>-70844.55</v>
      </c>
      <c r="G85" s="169">
        <v>-3970.97</v>
      </c>
      <c r="H85" s="169">
        <v>30519.55</v>
      </c>
      <c r="I85" s="169">
        <v>-63662.76</v>
      </c>
      <c r="J85" s="169">
        <v>-74059.46</v>
      </c>
      <c r="K85" s="169">
        <v>-52917.35</v>
      </c>
      <c r="L85" s="169">
        <v>69747.92</v>
      </c>
      <c r="M85" s="169">
        <v>-70725.25</v>
      </c>
      <c r="N85" s="50">
        <v>110820.0</v>
      </c>
      <c r="O85" s="111">
        <v>20.0</v>
      </c>
      <c r="P85" s="168">
        <v>9.0</v>
      </c>
    </row>
    <row r="86">
      <c r="A86" s="160">
        <v>63.0</v>
      </c>
      <c r="B86" s="160">
        <v>25.0</v>
      </c>
      <c r="C86" s="170">
        <v>7082.0</v>
      </c>
      <c r="D86" s="168">
        <v>215.0</v>
      </c>
      <c r="E86" s="24">
        <v>45.0</v>
      </c>
      <c r="F86" s="169">
        <v>41448.54</v>
      </c>
      <c r="G86" s="169">
        <v>-86167.33</v>
      </c>
      <c r="H86" s="169">
        <v>-13339.2</v>
      </c>
      <c r="I86" s="169">
        <v>42852.21</v>
      </c>
      <c r="J86" s="169">
        <v>54562.04</v>
      </c>
      <c r="K86" s="169">
        <v>13496.19</v>
      </c>
      <c r="L86" s="169">
        <v>-84304.21</v>
      </c>
      <c r="M86" s="169">
        <v>-52481.59</v>
      </c>
      <c r="N86" s="50">
        <v>31720.0</v>
      </c>
      <c r="O86" s="111">
        <v>21.0</v>
      </c>
      <c r="P86" s="168">
        <v>4.0</v>
      </c>
    </row>
    <row r="87">
      <c r="A87" s="160">
        <v>63.0</v>
      </c>
      <c r="B87" s="160">
        <v>26.0</v>
      </c>
      <c r="C87" s="170">
        <v>7083.0</v>
      </c>
      <c r="D87" s="168">
        <v>216.0</v>
      </c>
      <c r="E87" s="24">
        <v>37.0</v>
      </c>
      <c r="F87" s="169">
        <v>82212.7</v>
      </c>
      <c r="G87" s="169">
        <v>69247.55</v>
      </c>
      <c r="H87" s="169">
        <v>-81019.31</v>
      </c>
      <c r="I87" s="169">
        <v>-6786.38</v>
      </c>
      <c r="J87" s="169">
        <v>-45757.29</v>
      </c>
      <c r="K87" s="169">
        <v>-19158.75</v>
      </c>
      <c r="L87" s="169">
        <v>-50373.17</v>
      </c>
      <c r="M87" s="169">
        <v>-6921.08</v>
      </c>
      <c r="N87" s="50">
        <v>121815.0</v>
      </c>
      <c r="O87" s="111">
        <v>22.0</v>
      </c>
      <c r="P87" s="168">
        <v>6.0</v>
      </c>
    </row>
    <row r="88">
      <c r="A88" s="160">
        <v>42.0</v>
      </c>
      <c r="B88" s="160">
        <v>78.0</v>
      </c>
      <c r="C88" s="170">
        <v>7084.0</v>
      </c>
      <c r="D88" s="168">
        <v>205.0</v>
      </c>
      <c r="E88" s="24">
        <v>27.0</v>
      </c>
      <c r="F88" s="169">
        <v>35312.23</v>
      </c>
      <c r="G88" s="169">
        <v>70992.67</v>
      </c>
      <c r="H88" s="169">
        <v>90721.39</v>
      </c>
      <c r="I88" s="169">
        <v>-76794.26</v>
      </c>
      <c r="J88" s="169">
        <v>-69522.7</v>
      </c>
      <c r="K88" s="169">
        <v>9887.66</v>
      </c>
      <c r="L88" s="169">
        <v>42717.47</v>
      </c>
      <c r="M88" s="169">
        <v>80734.22</v>
      </c>
      <c r="N88" s="50">
        <v>10719.0</v>
      </c>
      <c r="O88" s="111">
        <v>20.0</v>
      </c>
      <c r="P88" s="168">
        <v>7.0</v>
      </c>
    </row>
    <row r="89">
      <c r="A89" s="160">
        <v>22.0</v>
      </c>
      <c r="B89" s="160">
        <v>37.0</v>
      </c>
      <c r="C89" s="147">
        <v>7085.0</v>
      </c>
      <c r="D89" s="168">
        <v>219.0</v>
      </c>
      <c r="E89" s="24">
        <v>28.0</v>
      </c>
      <c r="F89" s="169">
        <v>-26050.62</v>
      </c>
      <c r="G89" s="169">
        <v>-81386.97</v>
      </c>
      <c r="H89" s="169">
        <v>-89970.1</v>
      </c>
      <c r="I89" s="169">
        <v>-21538.37</v>
      </c>
      <c r="J89" s="169">
        <v>31635.22</v>
      </c>
      <c r="K89" s="169">
        <v>92993.55</v>
      </c>
      <c r="L89" s="169">
        <v>-10749.61</v>
      </c>
      <c r="M89" s="169">
        <v>53084.14</v>
      </c>
      <c r="N89" s="50">
        <v>122316.0</v>
      </c>
      <c r="O89" s="111">
        <v>20.0</v>
      </c>
      <c r="P89" s="168">
        <v>4.0</v>
      </c>
    </row>
    <row r="90">
      <c r="A90" s="160">
        <v>42.0</v>
      </c>
      <c r="B90" s="160">
        <v>85.0</v>
      </c>
      <c r="C90" s="170">
        <v>7086.0</v>
      </c>
      <c r="D90" s="168">
        <v>212.0</v>
      </c>
      <c r="E90" s="24">
        <v>29.0</v>
      </c>
      <c r="F90" s="169">
        <v>69613.55</v>
      </c>
      <c r="G90" s="169">
        <v>12099.07</v>
      </c>
      <c r="H90" s="169">
        <v>55731.25</v>
      </c>
      <c r="I90" s="169">
        <v>-33504.22</v>
      </c>
      <c r="J90" s="169">
        <v>-22114.46</v>
      </c>
      <c r="K90" s="169">
        <v>3394.03</v>
      </c>
      <c r="L90" s="169">
        <v>-12343.29</v>
      </c>
      <c r="M90" s="169">
        <v>30485.33</v>
      </c>
      <c r="N90" s="50">
        <v>82315.0</v>
      </c>
      <c r="O90" s="111">
        <v>20.0</v>
      </c>
      <c r="P90" s="168">
        <v>4.0</v>
      </c>
    </row>
    <row r="91">
      <c r="A91" s="160">
        <v>42.0</v>
      </c>
      <c r="B91" s="160">
        <v>91.0</v>
      </c>
      <c r="C91" s="170">
        <v>7087.0</v>
      </c>
      <c r="D91" s="168">
        <v>207.0</v>
      </c>
      <c r="E91" s="24">
        <v>96.0</v>
      </c>
      <c r="F91" s="169">
        <v>-61537.85</v>
      </c>
      <c r="G91" s="169">
        <v>33818.24</v>
      </c>
      <c r="H91" s="169">
        <v>86257.56</v>
      </c>
      <c r="I91" s="169">
        <v>12416.91</v>
      </c>
      <c r="J91" s="169">
        <v>-14200.02</v>
      </c>
      <c r="K91" s="169">
        <v>96692.51</v>
      </c>
      <c r="L91" s="169">
        <v>-6165.12</v>
      </c>
      <c r="M91" s="169">
        <v>54469.2</v>
      </c>
      <c r="N91" s="50">
        <v>21017.0</v>
      </c>
      <c r="O91" s="111">
        <v>22.0</v>
      </c>
      <c r="P91" s="168">
        <v>6.0</v>
      </c>
    </row>
    <row r="92">
      <c r="A92" s="160">
        <v>83.0</v>
      </c>
      <c r="B92" s="160">
        <v>91.0</v>
      </c>
      <c r="C92" s="170">
        <v>7088.0</v>
      </c>
      <c r="D92" s="168">
        <v>206.0</v>
      </c>
      <c r="E92" s="24">
        <v>94.0</v>
      </c>
      <c r="F92" s="169">
        <v>-19343.1</v>
      </c>
      <c r="G92" s="169">
        <v>80518.59</v>
      </c>
      <c r="H92" s="169">
        <v>-74829.84</v>
      </c>
      <c r="I92" s="169">
        <v>-22056.09</v>
      </c>
      <c r="J92" s="169">
        <v>-94332.17</v>
      </c>
      <c r="K92" s="169">
        <v>-31816.73</v>
      </c>
      <c r="L92" s="169">
        <v>620.9</v>
      </c>
      <c r="M92" s="169">
        <v>70466.53</v>
      </c>
      <c r="N92" s="50">
        <v>70520.0</v>
      </c>
      <c r="O92" s="111">
        <v>20.0</v>
      </c>
      <c r="P92" s="168">
        <v>6.0</v>
      </c>
    </row>
    <row r="93">
      <c r="A93" s="160">
        <v>83.0</v>
      </c>
      <c r="B93" s="160">
        <v>93.0</v>
      </c>
      <c r="C93" s="170">
        <v>7089.0</v>
      </c>
      <c r="D93" s="168">
        <v>203.0</v>
      </c>
      <c r="E93" s="24">
        <v>78.0</v>
      </c>
      <c r="F93" s="169">
        <v>-13248.91</v>
      </c>
      <c r="G93" s="169">
        <v>36824.21</v>
      </c>
      <c r="H93" s="169">
        <v>-27034.3</v>
      </c>
      <c r="I93" s="169">
        <v>-69014.56</v>
      </c>
      <c r="J93" s="169">
        <v>65242.45</v>
      </c>
      <c r="K93" s="169">
        <v>-83339.32</v>
      </c>
      <c r="L93" s="169">
        <v>-66163.98</v>
      </c>
      <c r="M93" s="169">
        <v>12504.66</v>
      </c>
      <c r="N93" s="50">
        <v>72113.0</v>
      </c>
      <c r="O93" s="111">
        <v>21.0</v>
      </c>
      <c r="P93" s="168">
        <v>4.0</v>
      </c>
    </row>
    <row r="94">
      <c r="A94" s="160">
        <v>22.0</v>
      </c>
      <c r="B94" s="160">
        <v>50.0</v>
      </c>
      <c r="C94" s="147">
        <v>7090.0</v>
      </c>
      <c r="D94" s="168">
        <v>201.0</v>
      </c>
      <c r="E94" s="24">
        <v>99.0</v>
      </c>
      <c r="F94" s="169">
        <v>-9164.3</v>
      </c>
      <c r="G94" s="169">
        <v>-60171.62</v>
      </c>
      <c r="H94" s="169">
        <v>37425.7</v>
      </c>
      <c r="I94" s="169">
        <v>27121.21</v>
      </c>
      <c r="J94" s="169">
        <v>-60727.1</v>
      </c>
      <c r="K94" s="169">
        <v>26827.69</v>
      </c>
      <c r="L94" s="169">
        <v>-84922.19</v>
      </c>
      <c r="M94" s="169">
        <v>49990.29</v>
      </c>
      <c r="N94" s="50">
        <v>121216.0</v>
      </c>
      <c r="O94" s="111">
        <v>22.0</v>
      </c>
      <c r="P94" s="168">
        <v>3.0</v>
      </c>
    </row>
    <row r="95">
      <c r="A95" s="160">
        <v>63.0</v>
      </c>
      <c r="B95" s="160">
        <v>52.0</v>
      </c>
      <c r="C95" s="170">
        <v>7091.0</v>
      </c>
      <c r="D95" s="168">
        <v>205.0</v>
      </c>
      <c r="E95" s="24">
        <v>80.0</v>
      </c>
      <c r="F95" s="169">
        <v>-13658.16</v>
      </c>
      <c r="G95" s="169">
        <v>-75840.76</v>
      </c>
      <c r="H95" s="169">
        <v>-20087.7</v>
      </c>
      <c r="I95" s="169">
        <v>55944.68</v>
      </c>
      <c r="J95" s="169">
        <v>-8353.0</v>
      </c>
      <c r="K95" s="169">
        <v>-69077.34</v>
      </c>
      <c r="L95" s="169">
        <v>78707.0</v>
      </c>
      <c r="M95" s="169">
        <v>-21084.89</v>
      </c>
      <c r="N95" s="50">
        <v>52119.0</v>
      </c>
      <c r="O95" s="111">
        <v>23.0</v>
      </c>
      <c r="P95" s="168">
        <v>5.0</v>
      </c>
    </row>
    <row r="96">
      <c r="A96" s="160">
        <v>63.0</v>
      </c>
      <c r="B96" s="160">
        <v>55.0</v>
      </c>
      <c r="C96" s="170">
        <v>7092.0</v>
      </c>
      <c r="D96" s="168">
        <v>206.0</v>
      </c>
      <c r="E96" s="24">
        <v>32.0</v>
      </c>
      <c r="F96" s="169">
        <v>-64481.7</v>
      </c>
      <c r="G96" s="169">
        <v>8822.41</v>
      </c>
      <c r="H96" s="169">
        <v>22421.47</v>
      </c>
      <c r="I96" s="169">
        <v>-57384.84</v>
      </c>
      <c r="J96" s="169">
        <v>42879.61</v>
      </c>
      <c r="K96" s="169">
        <v>-24490.95</v>
      </c>
      <c r="L96" s="169">
        <v>49204.65</v>
      </c>
      <c r="M96" s="169">
        <v>9034.0</v>
      </c>
      <c r="N96" s="50">
        <v>92617.0</v>
      </c>
      <c r="O96" s="111">
        <v>23.0</v>
      </c>
      <c r="P96" s="168">
        <v>9.0</v>
      </c>
    </row>
    <row r="97">
      <c r="A97" s="160">
        <v>43.0</v>
      </c>
      <c r="B97" s="160">
        <v>8.0</v>
      </c>
      <c r="C97" s="170">
        <v>7093.0</v>
      </c>
      <c r="D97" s="168">
        <v>217.0</v>
      </c>
      <c r="E97" s="24">
        <v>24.0</v>
      </c>
      <c r="F97" s="169">
        <v>-94862.33</v>
      </c>
      <c r="G97" s="169">
        <v>14973.12</v>
      </c>
      <c r="H97" s="169">
        <v>32529.99</v>
      </c>
      <c r="I97" s="169">
        <v>74041.05</v>
      </c>
      <c r="J97" s="169">
        <v>-9507.62</v>
      </c>
      <c r="K97" s="169">
        <v>83079.96</v>
      </c>
      <c r="L97" s="169">
        <v>-92917.88</v>
      </c>
      <c r="M97" s="169">
        <v>86474.04</v>
      </c>
      <c r="N97" s="50">
        <v>31222.0</v>
      </c>
      <c r="O97" s="111">
        <v>23.0</v>
      </c>
      <c r="P97" s="168">
        <v>2.0</v>
      </c>
    </row>
    <row r="98">
      <c r="A98" s="160">
        <v>84.0</v>
      </c>
      <c r="B98" s="160">
        <v>5.0</v>
      </c>
      <c r="C98" s="170">
        <v>7094.0</v>
      </c>
      <c r="D98" s="168">
        <v>220.0</v>
      </c>
      <c r="E98" s="24">
        <v>62.0</v>
      </c>
      <c r="F98" s="169">
        <v>57475.43</v>
      </c>
      <c r="G98" s="169">
        <v>-82246.66</v>
      </c>
      <c r="H98" s="169">
        <v>-71433.02</v>
      </c>
      <c r="I98" s="169">
        <v>76432.14</v>
      </c>
      <c r="J98" s="169">
        <v>56267.44</v>
      </c>
      <c r="K98" s="169">
        <v>64016.48</v>
      </c>
      <c r="L98" s="169">
        <v>82951.5</v>
      </c>
      <c r="M98" s="169">
        <v>-61583.91</v>
      </c>
      <c r="N98" s="50">
        <v>121417.0</v>
      </c>
      <c r="O98" s="111">
        <v>22.0</v>
      </c>
      <c r="P98" s="168">
        <v>8.0</v>
      </c>
    </row>
    <row r="99">
      <c r="A99" s="160">
        <v>63.0</v>
      </c>
      <c r="B99" s="160">
        <v>63.0</v>
      </c>
      <c r="C99" s="147">
        <v>7095.0</v>
      </c>
      <c r="D99" s="168">
        <v>217.0</v>
      </c>
      <c r="E99" s="24">
        <v>96.0</v>
      </c>
      <c r="F99" s="169">
        <v>-48905.94</v>
      </c>
      <c r="G99" s="169">
        <v>-61337.79</v>
      </c>
      <c r="H99" s="169">
        <v>62400.29</v>
      </c>
      <c r="I99" s="169">
        <v>31066.35</v>
      </c>
      <c r="J99" s="169">
        <v>-54632.53</v>
      </c>
      <c r="K99" s="169">
        <v>36321.02</v>
      </c>
      <c r="L99" s="169">
        <v>-59919.9</v>
      </c>
      <c r="M99" s="169">
        <v>-22193.8</v>
      </c>
      <c r="N99" s="50">
        <v>50715.0</v>
      </c>
      <c r="O99" s="111">
        <v>22.0</v>
      </c>
      <c r="P99" s="168">
        <v>3.0</v>
      </c>
    </row>
    <row r="100">
      <c r="A100" s="160">
        <v>63.0</v>
      </c>
      <c r="B100" s="160">
        <v>64.0</v>
      </c>
      <c r="C100" s="170">
        <v>7096.0</v>
      </c>
      <c r="D100" s="168">
        <v>219.0</v>
      </c>
      <c r="E100" s="24">
        <v>42.0</v>
      </c>
      <c r="F100" s="169">
        <v>-30554.37</v>
      </c>
      <c r="G100" s="169">
        <v>-51051.25</v>
      </c>
      <c r="H100" s="169">
        <v>6091.29</v>
      </c>
      <c r="I100" s="169">
        <v>65987.02</v>
      </c>
      <c r="J100" s="169">
        <v>-62817.15</v>
      </c>
      <c r="K100" s="169">
        <v>13947.87</v>
      </c>
      <c r="L100" s="169">
        <v>-57928.18</v>
      </c>
      <c r="M100" s="169">
        <v>56613.22</v>
      </c>
      <c r="N100" s="50">
        <v>71114.0</v>
      </c>
      <c r="O100" s="111">
        <v>20.0</v>
      </c>
      <c r="P100" s="168">
        <v>4.0</v>
      </c>
    </row>
    <row r="101">
      <c r="A101" s="160">
        <v>63.0</v>
      </c>
      <c r="B101" s="160">
        <v>73.0</v>
      </c>
      <c r="C101" s="170">
        <v>7097.0</v>
      </c>
      <c r="D101" s="168">
        <v>208.0</v>
      </c>
      <c r="E101" s="24">
        <v>24.0</v>
      </c>
      <c r="F101" s="169">
        <v>-17417.79</v>
      </c>
      <c r="G101" s="169">
        <v>28138.25</v>
      </c>
      <c r="H101" s="169">
        <v>-5982.08</v>
      </c>
      <c r="I101" s="169">
        <v>50951.93</v>
      </c>
      <c r="J101" s="169">
        <v>45223.62</v>
      </c>
      <c r="K101" s="169">
        <v>72365.09</v>
      </c>
      <c r="L101" s="169">
        <v>-2921.91</v>
      </c>
      <c r="M101" s="169">
        <v>33700.46</v>
      </c>
      <c r="N101" s="50">
        <v>52713.0</v>
      </c>
      <c r="O101" s="111">
        <v>23.0</v>
      </c>
      <c r="P101" s="168">
        <v>4.0</v>
      </c>
    </row>
    <row r="102">
      <c r="A102" s="160">
        <v>63.0</v>
      </c>
      <c r="B102" s="160">
        <v>75.0</v>
      </c>
      <c r="C102" s="170">
        <v>7098.0</v>
      </c>
      <c r="D102" s="168">
        <v>218.0</v>
      </c>
      <c r="E102" s="24">
        <v>36.0</v>
      </c>
      <c r="F102" s="169">
        <v>-41462.88</v>
      </c>
      <c r="G102" s="169">
        <v>89349.73</v>
      </c>
      <c r="H102" s="169">
        <v>-29.72</v>
      </c>
      <c r="I102" s="169">
        <v>-53142.58</v>
      </c>
      <c r="J102" s="169">
        <v>5088.94</v>
      </c>
      <c r="K102" s="169">
        <v>26227.42</v>
      </c>
      <c r="L102" s="169">
        <v>54343.02</v>
      </c>
      <c r="M102" s="169">
        <v>-37614.88</v>
      </c>
      <c r="N102" s="50">
        <v>52113.0</v>
      </c>
      <c r="O102" s="111">
        <v>20.0</v>
      </c>
      <c r="P102" s="168">
        <v>2.0</v>
      </c>
    </row>
    <row r="103">
      <c r="A103" s="160">
        <v>63.0</v>
      </c>
      <c r="B103" s="160">
        <v>79.0</v>
      </c>
      <c r="C103" s="170">
        <v>7099.0</v>
      </c>
      <c r="D103" s="168">
        <v>206.0</v>
      </c>
      <c r="E103" s="24">
        <v>90.0</v>
      </c>
      <c r="F103" s="169">
        <v>-26828.46</v>
      </c>
      <c r="G103" s="169">
        <v>58915.0</v>
      </c>
      <c r="H103" s="169">
        <v>-54881.16</v>
      </c>
      <c r="I103" s="169">
        <v>-95405.46</v>
      </c>
      <c r="J103" s="169">
        <v>44218.7</v>
      </c>
      <c r="K103" s="169">
        <v>41321.19</v>
      </c>
      <c r="L103" s="169">
        <v>-63177.81</v>
      </c>
      <c r="M103" s="169">
        <v>10644.41</v>
      </c>
      <c r="N103" s="50">
        <v>83020.0</v>
      </c>
      <c r="O103" s="111">
        <v>23.0</v>
      </c>
      <c r="P103" s="168">
        <v>2.0</v>
      </c>
    </row>
    <row r="104">
      <c r="A104" s="160">
        <v>63.0</v>
      </c>
      <c r="B104" s="160">
        <v>82.0</v>
      </c>
      <c r="C104" s="147">
        <v>7100.0</v>
      </c>
      <c r="D104" s="168">
        <v>207.0</v>
      </c>
      <c r="E104" s="24">
        <v>58.0</v>
      </c>
      <c r="F104" s="169">
        <v>73892.39</v>
      </c>
      <c r="G104" s="169">
        <v>7513.31</v>
      </c>
      <c r="H104" s="169">
        <v>58936.42</v>
      </c>
      <c r="I104" s="169">
        <v>23858.71</v>
      </c>
      <c r="J104" s="169">
        <v>46482.53</v>
      </c>
      <c r="K104" s="169">
        <v>25008.45</v>
      </c>
      <c r="L104" s="169">
        <v>42215.99</v>
      </c>
      <c r="M104" s="169">
        <v>41860.88</v>
      </c>
      <c r="N104" s="50">
        <v>32021.0</v>
      </c>
      <c r="O104" s="111">
        <v>21.0</v>
      </c>
      <c r="P104" s="168">
        <v>7.0</v>
      </c>
    </row>
    <row r="105">
      <c r="A105" s="160">
        <v>22.0</v>
      </c>
      <c r="B105" s="160">
        <v>88.0</v>
      </c>
      <c r="C105" s="170">
        <v>7101.0</v>
      </c>
      <c r="D105" s="168">
        <v>210.0</v>
      </c>
      <c r="E105" s="24">
        <v>77.0</v>
      </c>
      <c r="F105" s="169">
        <v>85712.74</v>
      </c>
      <c r="G105" s="169">
        <v>-25032.29</v>
      </c>
      <c r="H105" s="169">
        <v>-9470.76</v>
      </c>
      <c r="I105" s="169">
        <v>-29642.14</v>
      </c>
      <c r="J105" s="169">
        <v>1318.19</v>
      </c>
      <c r="K105" s="169">
        <v>86446.18</v>
      </c>
      <c r="L105" s="169">
        <v>-46057.71</v>
      </c>
      <c r="M105" s="169">
        <v>20216.91</v>
      </c>
      <c r="N105" s="50">
        <v>72019.0</v>
      </c>
      <c r="O105" s="111">
        <v>22.0</v>
      </c>
      <c r="P105" s="168">
        <v>1.0</v>
      </c>
    </row>
    <row r="106">
      <c r="A106" s="160">
        <v>22.0</v>
      </c>
      <c r="B106" s="160">
        <v>91.0</v>
      </c>
      <c r="C106" s="170">
        <v>7102.0</v>
      </c>
      <c r="D106" s="168">
        <v>205.0</v>
      </c>
      <c r="E106" s="24">
        <v>25.0</v>
      </c>
      <c r="F106" s="169">
        <v>35659.55</v>
      </c>
      <c r="G106" s="169">
        <v>-91224.39</v>
      </c>
      <c r="H106" s="169">
        <v>-91061.5</v>
      </c>
      <c r="I106" s="169">
        <v>57646.62</v>
      </c>
      <c r="J106" s="169">
        <v>-53357.37</v>
      </c>
      <c r="K106" s="169">
        <v>-33241.3</v>
      </c>
      <c r="L106" s="169">
        <v>87599.95</v>
      </c>
      <c r="M106" s="169">
        <v>95266.32</v>
      </c>
      <c r="N106" s="50">
        <v>72515.0</v>
      </c>
      <c r="O106" s="111">
        <v>23.0</v>
      </c>
      <c r="P106" s="168">
        <v>5.0</v>
      </c>
    </row>
    <row r="107">
      <c r="A107" s="160">
        <v>84.0</v>
      </c>
      <c r="B107" s="160">
        <v>36.0</v>
      </c>
      <c r="C107" s="170">
        <v>7103.0</v>
      </c>
      <c r="D107" s="168">
        <v>212.0</v>
      </c>
      <c r="E107" s="24">
        <v>96.0</v>
      </c>
      <c r="F107" s="169">
        <v>-40212.74</v>
      </c>
      <c r="G107" s="169">
        <v>-21642.05</v>
      </c>
      <c r="H107" s="169">
        <v>-61039.95</v>
      </c>
      <c r="I107" s="169">
        <v>69876.49</v>
      </c>
      <c r="J107" s="169">
        <v>-87813.56</v>
      </c>
      <c r="K107" s="169">
        <v>-68823.43</v>
      </c>
      <c r="L107" s="169">
        <v>-86063.08</v>
      </c>
      <c r="M107" s="169">
        <v>-90033.14</v>
      </c>
      <c r="N107" s="50">
        <v>51514.0</v>
      </c>
      <c r="O107" s="111">
        <v>20.0</v>
      </c>
      <c r="P107" s="168">
        <v>7.0</v>
      </c>
    </row>
    <row r="108">
      <c r="A108" s="160">
        <v>84.0</v>
      </c>
      <c r="B108" s="160">
        <v>38.0</v>
      </c>
      <c r="C108" s="170">
        <v>7104.0</v>
      </c>
      <c r="D108" s="168">
        <v>220.0</v>
      </c>
      <c r="E108" s="24">
        <v>88.0</v>
      </c>
      <c r="F108" s="169">
        <v>6200.1</v>
      </c>
      <c r="G108" s="169">
        <v>46161.35</v>
      </c>
      <c r="H108" s="169">
        <v>74849.91</v>
      </c>
      <c r="I108" s="169">
        <v>92451.41</v>
      </c>
      <c r="J108" s="169">
        <v>-22147.22</v>
      </c>
      <c r="K108" s="169">
        <v>-22389.18</v>
      </c>
      <c r="L108" s="169">
        <v>-96854.34</v>
      </c>
      <c r="M108" s="169">
        <v>-62177.69</v>
      </c>
      <c r="N108" s="50">
        <v>50221.0</v>
      </c>
      <c r="O108" s="111">
        <v>20.0</v>
      </c>
      <c r="P108" s="168">
        <v>2.0</v>
      </c>
    </row>
    <row r="109">
      <c r="A109" s="160">
        <v>22.0</v>
      </c>
      <c r="B109" s="160">
        <v>94.0</v>
      </c>
      <c r="C109" s="147">
        <v>7105.0</v>
      </c>
      <c r="D109" s="168">
        <v>205.0</v>
      </c>
      <c r="E109" s="24">
        <v>63.0</v>
      </c>
      <c r="F109" s="169">
        <v>-91037.8</v>
      </c>
      <c r="G109" s="169">
        <v>12594.89</v>
      </c>
      <c r="H109" s="169">
        <v>-88036.4</v>
      </c>
      <c r="I109" s="169">
        <v>32909.43</v>
      </c>
      <c r="J109" s="169">
        <v>-42695.04</v>
      </c>
      <c r="K109" s="169">
        <v>73703.1</v>
      </c>
      <c r="L109" s="169">
        <v>-77799.6</v>
      </c>
      <c r="M109" s="169">
        <v>5376.46</v>
      </c>
      <c r="N109" s="50">
        <v>121614.0</v>
      </c>
      <c r="O109" s="111">
        <v>23.0</v>
      </c>
      <c r="P109" s="168">
        <v>8.0</v>
      </c>
    </row>
    <row r="110">
      <c r="A110" s="160">
        <v>43.0</v>
      </c>
      <c r="B110" s="160">
        <v>45.0</v>
      </c>
      <c r="C110" s="170">
        <v>7106.0</v>
      </c>
      <c r="D110" s="168">
        <v>215.0</v>
      </c>
      <c r="E110" s="24">
        <v>89.0</v>
      </c>
      <c r="F110" s="169">
        <v>-8095.32</v>
      </c>
      <c r="G110" s="169">
        <v>93175.33</v>
      </c>
      <c r="H110" s="169">
        <v>-40180.87</v>
      </c>
      <c r="I110" s="169">
        <v>67202.06</v>
      </c>
      <c r="J110" s="169">
        <v>29597.57</v>
      </c>
      <c r="K110" s="169">
        <v>51511.58</v>
      </c>
      <c r="L110" s="169">
        <v>403.94</v>
      </c>
      <c r="M110" s="169">
        <v>20925.97</v>
      </c>
      <c r="N110" s="50">
        <v>40414.0</v>
      </c>
      <c r="O110" s="111">
        <v>22.0</v>
      </c>
      <c r="P110" s="168">
        <v>2.0</v>
      </c>
    </row>
    <row r="111">
      <c r="A111" s="160">
        <v>84.0</v>
      </c>
      <c r="B111" s="160">
        <v>43.0</v>
      </c>
      <c r="C111" s="170">
        <v>7107.0</v>
      </c>
      <c r="D111" s="168">
        <v>219.0</v>
      </c>
      <c r="E111" s="24">
        <v>72.0</v>
      </c>
      <c r="F111" s="169">
        <v>92819.33</v>
      </c>
      <c r="G111" s="169">
        <v>2530.21</v>
      </c>
      <c r="H111" s="169">
        <v>-18466.94</v>
      </c>
      <c r="I111" s="169">
        <v>-14539.07</v>
      </c>
      <c r="J111" s="169">
        <v>32573.04</v>
      </c>
      <c r="K111" s="169">
        <v>-45075.65</v>
      </c>
      <c r="L111" s="169">
        <v>-77639.38</v>
      </c>
      <c r="M111" s="169">
        <v>-40342.97</v>
      </c>
      <c r="N111" s="50">
        <v>53122.0</v>
      </c>
      <c r="O111" s="111">
        <v>22.0</v>
      </c>
      <c r="P111" s="168">
        <v>4.0</v>
      </c>
    </row>
    <row r="112">
      <c r="A112" s="160">
        <v>43.0</v>
      </c>
      <c r="B112" s="160">
        <v>52.0</v>
      </c>
      <c r="C112" s="170">
        <v>7108.0</v>
      </c>
      <c r="D112" s="168">
        <v>200.0</v>
      </c>
      <c r="E112" s="24">
        <v>71.0</v>
      </c>
      <c r="F112" s="169">
        <v>17372.07</v>
      </c>
      <c r="G112" s="169">
        <v>-7624.79</v>
      </c>
      <c r="H112" s="169">
        <v>-6162.27</v>
      </c>
      <c r="I112" s="169">
        <v>34745.31</v>
      </c>
      <c r="J112" s="169">
        <v>-10824.89</v>
      </c>
      <c r="K112" s="169">
        <v>86434.83</v>
      </c>
      <c r="L112" s="169">
        <v>-48663.15</v>
      </c>
      <c r="M112" s="169">
        <v>-49839.26</v>
      </c>
      <c r="N112" s="50">
        <v>22315.0</v>
      </c>
      <c r="O112" s="111">
        <v>20.0</v>
      </c>
      <c r="P112" s="168">
        <v>5.0</v>
      </c>
    </row>
    <row r="113">
      <c r="A113" s="160">
        <v>23.0</v>
      </c>
      <c r="B113" s="160">
        <v>7.0</v>
      </c>
      <c r="C113" s="170">
        <v>7109.0</v>
      </c>
      <c r="D113" s="168">
        <v>210.0</v>
      </c>
      <c r="E113" s="24">
        <v>56.0</v>
      </c>
      <c r="F113" s="169">
        <v>-78286.19</v>
      </c>
      <c r="G113" s="169">
        <v>37026.35</v>
      </c>
      <c r="H113" s="169">
        <v>32865.39</v>
      </c>
      <c r="I113" s="169">
        <v>-74677.21</v>
      </c>
      <c r="J113" s="169">
        <v>57137.2</v>
      </c>
      <c r="K113" s="169">
        <v>36667.08</v>
      </c>
      <c r="L113" s="169">
        <v>26934.4</v>
      </c>
      <c r="M113" s="169">
        <v>14546.68</v>
      </c>
      <c r="N113" s="50">
        <v>112416.0</v>
      </c>
      <c r="O113" s="111">
        <v>21.0</v>
      </c>
      <c r="P113" s="168">
        <v>7.0</v>
      </c>
    </row>
    <row r="114">
      <c r="A114" s="160">
        <v>84.0</v>
      </c>
      <c r="B114" s="160">
        <v>54.0</v>
      </c>
      <c r="C114" s="147">
        <v>7110.0</v>
      </c>
      <c r="D114" s="168">
        <v>220.0</v>
      </c>
      <c r="E114" s="24">
        <v>49.0</v>
      </c>
      <c r="F114" s="169">
        <v>-43354.51</v>
      </c>
      <c r="G114" s="169">
        <v>13819.9</v>
      </c>
      <c r="H114" s="169">
        <v>31797.84</v>
      </c>
      <c r="I114" s="169">
        <v>37395.54</v>
      </c>
      <c r="J114" s="169">
        <v>-56981.04</v>
      </c>
      <c r="K114" s="169">
        <v>87260.89</v>
      </c>
      <c r="L114" s="169">
        <v>-82934.26</v>
      </c>
      <c r="M114" s="169">
        <v>89197.21</v>
      </c>
      <c r="N114" s="50">
        <v>52421.0</v>
      </c>
      <c r="O114" s="111">
        <v>21.0</v>
      </c>
      <c r="P114" s="168">
        <v>2.0</v>
      </c>
    </row>
    <row r="115">
      <c r="A115" s="160">
        <v>43.0</v>
      </c>
      <c r="B115" s="160">
        <v>59.0</v>
      </c>
      <c r="C115" s="170">
        <v>7111.0</v>
      </c>
      <c r="D115" s="168">
        <v>214.0</v>
      </c>
      <c r="E115" s="24">
        <v>70.0</v>
      </c>
      <c r="F115" s="169">
        <v>58182.5</v>
      </c>
      <c r="G115" s="169">
        <v>35217.97</v>
      </c>
      <c r="H115" s="169">
        <v>-37361.89</v>
      </c>
      <c r="I115" s="169">
        <v>-42980.16</v>
      </c>
      <c r="J115" s="169">
        <v>-6050.87</v>
      </c>
      <c r="K115" s="169">
        <v>-48356.72</v>
      </c>
      <c r="L115" s="169">
        <v>-76122.19</v>
      </c>
      <c r="M115" s="169">
        <v>-37356.95</v>
      </c>
      <c r="N115" s="50">
        <v>53014.0</v>
      </c>
      <c r="O115" s="111">
        <v>23.0</v>
      </c>
      <c r="P115" s="168">
        <v>7.0</v>
      </c>
    </row>
    <row r="116">
      <c r="A116" s="160">
        <v>84.0</v>
      </c>
      <c r="B116" s="160">
        <v>55.0</v>
      </c>
      <c r="C116" s="170">
        <v>7112.0</v>
      </c>
      <c r="D116" s="168">
        <v>206.0</v>
      </c>
      <c r="E116" s="24">
        <v>49.0</v>
      </c>
      <c r="F116" s="169">
        <v>-48320.33</v>
      </c>
      <c r="G116" s="169">
        <v>32221.81</v>
      </c>
      <c r="H116" s="169">
        <v>16957.46</v>
      </c>
      <c r="I116" s="169">
        <v>-66444.93</v>
      </c>
      <c r="J116" s="169">
        <v>-7068.08</v>
      </c>
      <c r="K116" s="169">
        <v>36085.45</v>
      </c>
      <c r="L116" s="169">
        <v>-60290.62</v>
      </c>
      <c r="M116" s="169">
        <v>-68934.75</v>
      </c>
      <c r="N116" s="50">
        <v>42119.0</v>
      </c>
      <c r="O116" s="111">
        <v>22.0</v>
      </c>
      <c r="P116" s="168">
        <v>1.0</v>
      </c>
    </row>
    <row r="117">
      <c r="A117" s="160">
        <v>64.0</v>
      </c>
      <c r="B117" s="160">
        <v>9.0</v>
      </c>
      <c r="C117" s="170">
        <v>7113.0</v>
      </c>
      <c r="D117" s="168">
        <v>204.0</v>
      </c>
      <c r="E117" s="24">
        <v>26.0</v>
      </c>
      <c r="F117" s="169">
        <v>-86609.81</v>
      </c>
      <c r="G117" s="169">
        <v>3034.58</v>
      </c>
      <c r="H117" s="169">
        <v>-47845.0</v>
      </c>
      <c r="I117" s="169">
        <v>-14969.38</v>
      </c>
      <c r="J117" s="169">
        <v>40584.12</v>
      </c>
      <c r="K117" s="169">
        <v>54657.46</v>
      </c>
      <c r="L117" s="169">
        <v>55218.4</v>
      </c>
      <c r="M117" s="169">
        <v>-1008.37</v>
      </c>
      <c r="N117" s="50">
        <v>60216.0</v>
      </c>
      <c r="O117" s="111">
        <v>21.0</v>
      </c>
      <c r="P117" s="168">
        <v>4.0</v>
      </c>
    </row>
    <row r="118">
      <c r="A118" s="160">
        <v>64.0</v>
      </c>
      <c r="B118" s="160">
        <v>10.0</v>
      </c>
      <c r="C118" s="170">
        <v>7114.0</v>
      </c>
      <c r="D118" s="168">
        <v>216.0</v>
      </c>
      <c r="E118" s="24">
        <v>73.0</v>
      </c>
      <c r="F118" s="169">
        <v>6807.99</v>
      </c>
      <c r="G118" s="169">
        <v>-28744.05</v>
      </c>
      <c r="H118" s="169">
        <v>18612.19</v>
      </c>
      <c r="I118" s="169">
        <v>-13315.99</v>
      </c>
      <c r="J118" s="169">
        <v>-96803.4</v>
      </c>
      <c r="K118" s="169">
        <v>-2983.23</v>
      </c>
      <c r="L118" s="169">
        <v>-24555.4</v>
      </c>
      <c r="M118" s="169">
        <v>21013.88</v>
      </c>
      <c r="N118" s="50">
        <v>72021.0</v>
      </c>
      <c r="O118" s="111">
        <v>21.0</v>
      </c>
      <c r="P118" s="168">
        <v>2.0</v>
      </c>
    </row>
    <row r="119">
      <c r="A119" s="160">
        <v>23.0</v>
      </c>
      <c r="B119" s="160">
        <v>15.0</v>
      </c>
      <c r="C119" s="147">
        <v>7115.0</v>
      </c>
      <c r="D119" s="168">
        <v>204.0</v>
      </c>
      <c r="E119" s="24">
        <v>81.0</v>
      </c>
      <c r="F119" s="169">
        <v>2896.68</v>
      </c>
      <c r="G119" s="169">
        <v>-1995.58</v>
      </c>
      <c r="H119" s="169">
        <v>-6387.92</v>
      </c>
      <c r="I119" s="169">
        <v>-74108.81</v>
      </c>
      <c r="J119" s="169">
        <v>-7027.31</v>
      </c>
      <c r="K119" s="169">
        <v>-83146.86</v>
      </c>
      <c r="L119" s="169">
        <v>-40427.67</v>
      </c>
      <c r="M119" s="169">
        <v>61854.19</v>
      </c>
      <c r="N119" s="50">
        <v>111722.0</v>
      </c>
      <c r="O119" s="111">
        <v>21.0</v>
      </c>
      <c r="P119" s="168">
        <v>7.0</v>
      </c>
    </row>
    <row r="120">
      <c r="A120" s="160">
        <v>64.0</v>
      </c>
      <c r="B120" s="160">
        <v>12.0</v>
      </c>
      <c r="C120" s="170">
        <v>7116.0</v>
      </c>
      <c r="D120" s="168">
        <v>219.0</v>
      </c>
      <c r="E120" s="24">
        <v>62.0</v>
      </c>
      <c r="F120" s="169">
        <v>-69146.63</v>
      </c>
      <c r="G120" s="169">
        <v>29385.63</v>
      </c>
      <c r="H120" s="169">
        <v>97716.82</v>
      </c>
      <c r="I120" s="169">
        <v>50746.52</v>
      </c>
      <c r="J120" s="169">
        <v>-72945.99</v>
      </c>
      <c r="K120" s="169">
        <v>-13241.06</v>
      </c>
      <c r="L120" s="169">
        <v>14642.44</v>
      </c>
      <c r="M120" s="169">
        <v>-44257.03</v>
      </c>
      <c r="N120" s="50">
        <v>90913.0</v>
      </c>
      <c r="O120" s="111">
        <v>22.0</v>
      </c>
      <c r="P120" s="168">
        <v>7.0</v>
      </c>
    </row>
    <row r="121">
      <c r="A121" s="160">
        <v>23.0</v>
      </c>
      <c r="B121" s="160">
        <v>17.0</v>
      </c>
      <c r="C121" s="170">
        <v>7117.0</v>
      </c>
      <c r="D121" s="168">
        <v>210.0</v>
      </c>
      <c r="E121" s="24">
        <v>17.0</v>
      </c>
      <c r="F121" s="169">
        <v>-26976.75</v>
      </c>
      <c r="G121" s="169">
        <v>-39191.1</v>
      </c>
      <c r="H121" s="169">
        <v>12973.47</v>
      </c>
      <c r="I121" s="169">
        <v>-57629.86</v>
      </c>
      <c r="J121" s="169">
        <v>66291.42</v>
      </c>
      <c r="K121" s="169">
        <v>53394.39</v>
      </c>
      <c r="L121" s="169">
        <v>-87994.42</v>
      </c>
      <c r="M121" s="169">
        <v>83558.11</v>
      </c>
      <c r="N121" s="50">
        <v>10816.0</v>
      </c>
      <c r="O121" s="111">
        <v>22.0</v>
      </c>
      <c r="P121" s="168">
        <v>9.0</v>
      </c>
    </row>
    <row r="122">
      <c r="A122" s="160">
        <v>64.0</v>
      </c>
      <c r="B122" s="160">
        <v>14.0</v>
      </c>
      <c r="C122" s="170">
        <v>7118.0</v>
      </c>
      <c r="D122" s="168">
        <v>210.0</v>
      </c>
      <c r="E122" s="24">
        <v>25.0</v>
      </c>
      <c r="F122" s="169">
        <v>39094.02</v>
      </c>
      <c r="G122" s="169">
        <v>-85053.77</v>
      </c>
      <c r="H122" s="169">
        <v>-71062.19</v>
      </c>
      <c r="I122" s="169">
        <v>-68220.09</v>
      </c>
      <c r="J122" s="169">
        <v>70764.29</v>
      </c>
      <c r="K122" s="169">
        <v>-30563.58</v>
      </c>
      <c r="L122" s="169">
        <v>33085.45</v>
      </c>
      <c r="M122" s="169">
        <v>47193.72</v>
      </c>
      <c r="N122" s="50">
        <v>120418.0</v>
      </c>
      <c r="O122" s="111">
        <v>21.0</v>
      </c>
      <c r="P122" s="168">
        <v>6.0</v>
      </c>
    </row>
    <row r="123">
      <c r="A123" s="160">
        <v>84.0</v>
      </c>
      <c r="B123" s="160">
        <v>63.0</v>
      </c>
      <c r="C123" s="170">
        <v>7119.0</v>
      </c>
      <c r="D123" s="168">
        <v>207.0</v>
      </c>
      <c r="E123" s="24">
        <v>20.0</v>
      </c>
      <c r="F123" s="169">
        <v>17711.19</v>
      </c>
      <c r="G123" s="169">
        <v>-75846.21</v>
      </c>
      <c r="H123" s="169">
        <v>86949.65</v>
      </c>
      <c r="I123" s="169">
        <v>-47527.51</v>
      </c>
      <c r="J123" s="169">
        <v>19020.5</v>
      </c>
      <c r="K123" s="169">
        <v>55521.17</v>
      </c>
      <c r="L123" s="169">
        <v>35285.0</v>
      </c>
      <c r="M123" s="169">
        <v>-79995.44</v>
      </c>
      <c r="N123" s="50">
        <v>102016.0</v>
      </c>
      <c r="O123" s="111">
        <v>21.0</v>
      </c>
      <c r="P123" s="168">
        <v>4.0</v>
      </c>
    </row>
    <row r="124">
      <c r="A124" s="160">
        <v>43.0</v>
      </c>
      <c r="B124" s="160">
        <v>68.0</v>
      </c>
      <c r="C124" s="147">
        <v>7120.0</v>
      </c>
      <c r="D124" s="168">
        <v>209.0</v>
      </c>
      <c r="E124" s="24">
        <v>39.0</v>
      </c>
      <c r="F124" s="169">
        <v>-85947.85</v>
      </c>
      <c r="G124" s="169">
        <v>83676.86</v>
      </c>
      <c r="H124" s="169">
        <v>-96074.57</v>
      </c>
      <c r="I124" s="169">
        <v>-47307.74</v>
      </c>
      <c r="J124" s="169">
        <v>75868.32</v>
      </c>
      <c r="K124" s="169">
        <v>-98707.09</v>
      </c>
      <c r="L124" s="169">
        <v>82724.85</v>
      </c>
      <c r="M124" s="169">
        <v>-81636.46</v>
      </c>
      <c r="N124" s="50">
        <v>113017.0</v>
      </c>
      <c r="O124" s="111">
        <v>22.0</v>
      </c>
      <c r="P124" s="168">
        <v>8.0</v>
      </c>
    </row>
    <row r="125">
      <c r="A125" s="160">
        <v>64.0</v>
      </c>
      <c r="B125" s="160">
        <v>17.0</v>
      </c>
      <c r="C125" s="170">
        <v>7121.0</v>
      </c>
      <c r="D125" s="168">
        <v>220.0</v>
      </c>
      <c r="E125" s="24">
        <v>66.0</v>
      </c>
      <c r="F125" s="169">
        <v>30853.43</v>
      </c>
      <c r="G125" s="169">
        <v>-68369.36</v>
      </c>
      <c r="H125" s="169">
        <v>-11587.95</v>
      </c>
      <c r="I125" s="169">
        <v>-73390.73</v>
      </c>
      <c r="J125" s="169">
        <v>69894.15</v>
      </c>
      <c r="K125" s="169">
        <v>-63454.17</v>
      </c>
      <c r="L125" s="169">
        <v>-99117.52</v>
      </c>
      <c r="M125" s="169">
        <v>-91446.74</v>
      </c>
      <c r="N125" s="50">
        <v>80718.0</v>
      </c>
      <c r="O125" s="111">
        <v>22.0</v>
      </c>
      <c r="P125" s="168">
        <v>4.0</v>
      </c>
    </row>
    <row r="126">
      <c r="A126" s="160">
        <v>64.0</v>
      </c>
      <c r="B126" s="160">
        <v>19.0</v>
      </c>
      <c r="C126" s="170">
        <v>7122.0</v>
      </c>
      <c r="D126" s="168">
        <v>205.0</v>
      </c>
      <c r="E126" s="24">
        <v>93.0</v>
      </c>
      <c r="F126" s="169">
        <v>4577.28</v>
      </c>
      <c r="G126" s="169">
        <v>20729.88</v>
      </c>
      <c r="H126" s="169">
        <v>92177.24</v>
      </c>
      <c r="I126" s="169">
        <v>-43345.46</v>
      </c>
      <c r="J126" s="169">
        <v>3524.8</v>
      </c>
      <c r="K126" s="169">
        <v>12674.36</v>
      </c>
      <c r="L126" s="169">
        <v>38515.83</v>
      </c>
      <c r="M126" s="169">
        <v>65742.53</v>
      </c>
      <c r="N126" s="50">
        <v>50818.0</v>
      </c>
      <c r="O126" s="111">
        <v>21.0</v>
      </c>
      <c r="P126" s="168">
        <v>7.0</v>
      </c>
    </row>
    <row r="127">
      <c r="A127" s="160">
        <v>23.0</v>
      </c>
      <c r="B127" s="160">
        <v>26.0</v>
      </c>
      <c r="C127" s="170">
        <v>7123.0</v>
      </c>
      <c r="D127" s="168">
        <v>203.0</v>
      </c>
      <c r="E127" s="24">
        <v>72.0</v>
      </c>
      <c r="F127" s="169">
        <v>45549.82</v>
      </c>
      <c r="G127" s="169">
        <v>78802.82</v>
      </c>
      <c r="H127" s="169">
        <v>-80570.99</v>
      </c>
      <c r="I127" s="169">
        <v>-3761.47</v>
      </c>
      <c r="J127" s="169">
        <v>-10865.31</v>
      </c>
      <c r="K127" s="169">
        <v>34550.71</v>
      </c>
      <c r="L127" s="169">
        <v>-87037.63</v>
      </c>
      <c r="M127" s="169">
        <v>-90879.58</v>
      </c>
      <c r="N127" s="50">
        <v>22515.0</v>
      </c>
      <c r="O127" s="111">
        <v>21.0</v>
      </c>
      <c r="P127" s="168">
        <v>3.0</v>
      </c>
    </row>
    <row r="128">
      <c r="A128" s="160">
        <v>43.0</v>
      </c>
      <c r="B128" s="160">
        <v>79.0</v>
      </c>
      <c r="C128" s="170">
        <v>7124.0</v>
      </c>
      <c r="D128" s="168">
        <v>216.0</v>
      </c>
      <c r="E128" s="24">
        <v>47.0</v>
      </c>
      <c r="F128" s="169">
        <v>66117.08</v>
      </c>
      <c r="G128" s="169">
        <v>50981.36</v>
      </c>
      <c r="H128" s="169">
        <v>59042.87</v>
      </c>
      <c r="I128" s="169">
        <v>95100.13</v>
      </c>
      <c r="J128" s="169">
        <v>-46272.23</v>
      </c>
      <c r="K128" s="169">
        <v>91205.35</v>
      </c>
      <c r="L128" s="169">
        <v>-13025.37</v>
      </c>
      <c r="M128" s="169">
        <v>5048.67</v>
      </c>
      <c r="N128" s="50">
        <v>33119.0</v>
      </c>
      <c r="O128" s="111">
        <v>22.0</v>
      </c>
      <c r="P128" s="168">
        <v>8.0</v>
      </c>
    </row>
    <row r="129">
      <c r="A129" s="160">
        <v>23.0</v>
      </c>
      <c r="B129" s="160">
        <v>35.0</v>
      </c>
      <c r="C129" s="147">
        <v>7125.0</v>
      </c>
      <c r="D129" s="168">
        <v>215.0</v>
      </c>
      <c r="E129" s="24">
        <v>51.0</v>
      </c>
      <c r="F129" s="169">
        <v>-60140.13</v>
      </c>
      <c r="G129" s="169">
        <v>64009.63</v>
      </c>
      <c r="H129" s="169">
        <v>49369.42</v>
      </c>
      <c r="I129" s="169">
        <v>11705.82</v>
      </c>
      <c r="J129" s="169">
        <v>-78675.77</v>
      </c>
      <c r="K129" s="169">
        <v>42362.45</v>
      </c>
      <c r="L129" s="169">
        <v>-76767.65</v>
      </c>
      <c r="M129" s="169">
        <v>99716.91</v>
      </c>
      <c r="N129" s="50">
        <v>122715.0</v>
      </c>
      <c r="O129" s="111">
        <v>20.0</v>
      </c>
      <c r="P129" s="168">
        <v>9.0</v>
      </c>
    </row>
    <row r="130">
      <c r="A130" s="160">
        <v>23.0</v>
      </c>
      <c r="B130" s="160">
        <v>36.0</v>
      </c>
      <c r="C130" s="170">
        <v>7126.0</v>
      </c>
      <c r="D130" s="168">
        <v>202.0</v>
      </c>
      <c r="E130" s="24">
        <v>63.0</v>
      </c>
      <c r="F130" s="169">
        <v>-10697.55</v>
      </c>
      <c r="G130" s="169">
        <v>85505.68</v>
      </c>
      <c r="H130" s="169">
        <v>33511.61</v>
      </c>
      <c r="I130" s="169">
        <v>-96927.96</v>
      </c>
      <c r="J130" s="169">
        <v>8354.0</v>
      </c>
      <c r="K130" s="169">
        <v>-58009.56</v>
      </c>
      <c r="L130" s="169">
        <v>-12010.97</v>
      </c>
      <c r="M130" s="169">
        <v>-17290.52</v>
      </c>
      <c r="N130" s="50">
        <v>21718.0</v>
      </c>
      <c r="O130" s="111">
        <v>21.0</v>
      </c>
      <c r="P130" s="168">
        <v>7.0</v>
      </c>
    </row>
    <row r="131">
      <c r="A131" s="160">
        <v>84.0</v>
      </c>
      <c r="B131" s="160">
        <v>97.0</v>
      </c>
      <c r="C131" s="170">
        <v>7127.0</v>
      </c>
      <c r="D131" s="168">
        <v>211.0</v>
      </c>
      <c r="E131" s="24">
        <v>90.0</v>
      </c>
      <c r="F131" s="169">
        <v>57322.7</v>
      </c>
      <c r="G131" s="169">
        <v>7298.47</v>
      </c>
      <c r="H131" s="169">
        <v>34550.47</v>
      </c>
      <c r="I131" s="169">
        <v>-6487.91</v>
      </c>
      <c r="J131" s="169">
        <v>80213.01</v>
      </c>
      <c r="K131" s="169">
        <v>94430.09</v>
      </c>
      <c r="L131" s="169">
        <v>-23727.3</v>
      </c>
      <c r="M131" s="169">
        <v>75488.6</v>
      </c>
      <c r="N131" s="50">
        <v>61519.0</v>
      </c>
      <c r="O131" s="111">
        <v>23.0</v>
      </c>
      <c r="P131" s="168">
        <v>2.0</v>
      </c>
    </row>
    <row r="132">
      <c r="A132" s="160">
        <v>84.0</v>
      </c>
      <c r="B132" s="160">
        <v>98.0</v>
      </c>
      <c r="C132" s="170">
        <v>7128.0</v>
      </c>
      <c r="D132" s="168">
        <v>206.0</v>
      </c>
      <c r="E132" s="24">
        <v>61.0</v>
      </c>
      <c r="F132" s="169">
        <v>88873.33</v>
      </c>
      <c r="G132" s="169">
        <v>-87972.88</v>
      </c>
      <c r="H132" s="169">
        <v>50708.01</v>
      </c>
      <c r="I132" s="169">
        <v>16629.71</v>
      </c>
      <c r="J132" s="169">
        <v>83226.56</v>
      </c>
      <c r="K132" s="169">
        <v>-84989.17</v>
      </c>
      <c r="L132" s="169">
        <v>-47354.17</v>
      </c>
      <c r="M132" s="169">
        <v>63615.5</v>
      </c>
      <c r="N132" s="50">
        <v>30321.0</v>
      </c>
      <c r="O132" s="111">
        <v>23.0</v>
      </c>
      <c r="P132" s="168">
        <v>4.0</v>
      </c>
    </row>
    <row r="133">
      <c r="A133" s="160">
        <v>23.0</v>
      </c>
      <c r="B133" s="160">
        <v>58.0</v>
      </c>
      <c r="C133" s="170">
        <v>7129.0</v>
      </c>
      <c r="D133" s="168">
        <v>205.0</v>
      </c>
      <c r="E133" s="24">
        <v>90.0</v>
      </c>
      <c r="F133" s="169">
        <v>80549.81</v>
      </c>
      <c r="G133" s="169">
        <v>56224.86</v>
      </c>
      <c r="H133" s="169">
        <v>-60937.26</v>
      </c>
      <c r="I133" s="169">
        <v>67021.01</v>
      </c>
      <c r="J133" s="169">
        <v>-82490.51</v>
      </c>
      <c r="K133" s="169">
        <v>-23677.93</v>
      </c>
      <c r="L133" s="169">
        <v>24927.23</v>
      </c>
      <c r="M133" s="169">
        <v>10301.32</v>
      </c>
      <c r="N133" s="50">
        <v>20321.0</v>
      </c>
      <c r="O133" s="111">
        <v>23.0</v>
      </c>
      <c r="P133" s="168">
        <v>4.0</v>
      </c>
    </row>
    <row r="134">
      <c r="A134" s="160">
        <v>64.0</v>
      </c>
      <c r="B134" s="160">
        <v>58.0</v>
      </c>
      <c r="C134" s="147">
        <v>7130.0</v>
      </c>
      <c r="D134" s="168">
        <v>205.0</v>
      </c>
      <c r="E134" s="24">
        <v>47.0</v>
      </c>
      <c r="F134" s="169">
        <v>45431.16</v>
      </c>
      <c r="G134" s="169">
        <v>-17708.39</v>
      </c>
      <c r="H134" s="169">
        <v>35798.18</v>
      </c>
      <c r="I134" s="169">
        <v>7038.27</v>
      </c>
      <c r="J134" s="169">
        <v>-72825.94</v>
      </c>
      <c r="K134" s="169">
        <v>48929.8</v>
      </c>
      <c r="L134" s="169">
        <v>9779.15</v>
      </c>
      <c r="M134" s="169">
        <v>-62951.55</v>
      </c>
      <c r="N134" s="50">
        <v>91416.0</v>
      </c>
      <c r="O134" s="111">
        <v>23.0</v>
      </c>
      <c r="P134" s="168">
        <v>8.0</v>
      </c>
    </row>
    <row r="135">
      <c r="A135" s="160">
        <v>85.0</v>
      </c>
      <c r="B135" s="160">
        <v>7.0</v>
      </c>
      <c r="C135" s="170">
        <v>7131.0</v>
      </c>
      <c r="D135" s="168">
        <v>206.0</v>
      </c>
      <c r="E135" s="24">
        <v>39.0</v>
      </c>
      <c r="F135" s="169">
        <v>16627.95</v>
      </c>
      <c r="G135" s="169">
        <v>-8970.27</v>
      </c>
      <c r="H135" s="169">
        <v>3026.16</v>
      </c>
      <c r="I135" s="169">
        <v>5877.07</v>
      </c>
      <c r="J135" s="169">
        <v>75579.71</v>
      </c>
      <c r="K135" s="169">
        <v>-60714.48</v>
      </c>
      <c r="L135" s="169">
        <v>-15490.39</v>
      </c>
      <c r="M135" s="169">
        <v>12800.09</v>
      </c>
      <c r="N135" s="50">
        <v>112013.0</v>
      </c>
      <c r="O135" s="111">
        <v>22.0</v>
      </c>
      <c r="P135" s="168">
        <v>9.0</v>
      </c>
    </row>
    <row r="136">
      <c r="A136" s="160">
        <v>23.0</v>
      </c>
      <c r="B136" s="160">
        <v>64.0</v>
      </c>
      <c r="C136" s="170">
        <v>7132.0</v>
      </c>
      <c r="D136" s="168">
        <v>206.0</v>
      </c>
      <c r="E136" s="24">
        <v>88.0</v>
      </c>
      <c r="F136" s="169">
        <v>-7556.87</v>
      </c>
      <c r="G136" s="169">
        <v>-1862.05</v>
      </c>
      <c r="H136" s="169">
        <v>56188.1</v>
      </c>
      <c r="I136" s="169">
        <v>-60736.09</v>
      </c>
      <c r="J136" s="169">
        <v>-38280.35</v>
      </c>
      <c r="K136" s="169">
        <v>90527.42</v>
      </c>
      <c r="L136" s="169">
        <v>-53143.32</v>
      </c>
      <c r="M136" s="169">
        <v>4184.39</v>
      </c>
      <c r="N136" s="50">
        <v>32014.0</v>
      </c>
      <c r="O136" s="111">
        <v>20.0</v>
      </c>
      <c r="P136" s="168">
        <v>2.0</v>
      </c>
    </row>
    <row r="137">
      <c r="A137" s="160">
        <v>44.0</v>
      </c>
      <c r="B137" s="160">
        <v>16.0</v>
      </c>
      <c r="C137" s="170">
        <v>7133.0</v>
      </c>
      <c r="D137" s="168">
        <v>208.0</v>
      </c>
      <c r="E137" s="24">
        <v>94.0</v>
      </c>
      <c r="F137" s="169">
        <v>10746.23</v>
      </c>
      <c r="G137" s="169">
        <v>97843.53</v>
      </c>
      <c r="H137" s="169">
        <v>65684.7</v>
      </c>
      <c r="I137" s="169">
        <v>-49023.7</v>
      </c>
      <c r="J137" s="169">
        <v>61698.87</v>
      </c>
      <c r="K137" s="169">
        <v>-41822.31</v>
      </c>
      <c r="L137" s="169">
        <v>78271.26</v>
      </c>
      <c r="M137" s="169">
        <v>-82105.77</v>
      </c>
      <c r="N137" s="50">
        <v>112216.0</v>
      </c>
      <c r="O137" s="111">
        <v>23.0</v>
      </c>
      <c r="P137" s="168">
        <v>6.0</v>
      </c>
    </row>
    <row r="138">
      <c r="A138" s="160">
        <v>64.0</v>
      </c>
      <c r="B138" s="160">
        <v>64.0</v>
      </c>
      <c r="C138" s="170">
        <v>7134.0</v>
      </c>
      <c r="D138" s="168">
        <v>215.0</v>
      </c>
      <c r="E138" s="24">
        <v>18.0</v>
      </c>
      <c r="F138" s="169">
        <v>-69450.17</v>
      </c>
      <c r="G138" s="169">
        <v>41652.83</v>
      </c>
      <c r="H138" s="169">
        <v>-11758.3</v>
      </c>
      <c r="I138" s="169">
        <v>-1512.59</v>
      </c>
      <c r="J138" s="169">
        <v>49289.96</v>
      </c>
      <c r="K138" s="169">
        <v>70470.42</v>
      </c>
      <c r="L138" s="169">
        <v>-23678.47</v>
      </c>
      <c r="M138" s="169">
        <v>86600.9</v>
      </c>
      <c r="N138" s="50">
        <v>52219.0</v>
      </c>
      <c r="O138" s="111">
        <v>22.0</v>
      </c>
      <c r="P138" s="168">
        <v>5.0</v>
      </c>
    </row>
    <row r="139">
      <c r="A139" s="160">
        <v>64.0</v>
      </c>
      <c r="B139" s="160">
        <v>72.0</v>
      </c>
      <c r="C139" s="147">
        <v>7135.0</v>
      </c>
      <c r="D139" s="168">
        <v>207.0</v>
      </c>
      <c r="E139" s="24">
        <v>73.0</v>
      </c>
      <c r="F139" s="169">
        <v>-12784.8</v>
      </c>
      <c r="G139" s="169">
        <v>84631.8</v>
      </c>
      <c r="H139" s="169">
        <v>27125.31</v>
      </c>
      <c r="I139" s="169">
        <v>52370.45</v>
      </c>
      <c r="J139" s="169">
        <v>-7949.59</v>
      </c>
      <c r="K139" s="169">
        <v>84826.24</v>
      </c>
      <c r="L139" s="169">
        <v>-40644.97</v>
      </c>
      <c r="M139" s="169">
        <v>-61040.56</v>
      </c>
      <c r="N139" s="50">
        <v>31613.0</v>
      </c>
      <c r="O139" s="111">
        <v>20.0</v>
      </c>
      <c r="P139" s="168">
        <v>5.0</v>
      </c>
    </row>
    <row r="140">
      <c r="A140" s="160">
        <v>85.0</v>
      </c>
      <c r="B140" s="160">
        <v>22.0</v>
      </c>
      <c r="C140" s="170">
        <v>7136.0</v>
      </c>
      <c r="D140" s="168">
        <v>208.0</v>
      </c>
      <c r="E140" s="24">
        <v>68.0</v>
      </c>
      <c r="F140" s="169">
        <v>-4252.67</v>
      </c>
      <c r="G140" s="169">
        <v>39608.58</v>
      </c>
      <c r="H140" s="169">
        <v>-15113.23</v>
      </c>
      <c r="I140" s="169">
        <v>-68279.88</v>
      </c>
      <c r="J140" s="169">
        <v>1231.87</v>
      </c>
      <c r="K140" s="169">
        <v>-32538.35</v>
      </c>
      <c r="L140" s="169">
        <v>-73435.19</v>
      </c>
      <c r="M140" s="169">
        <v>29127.08</v>
      </c>
      <c r="N140" s="50">
        <v>62414.0</v>
      </c>
      <c r="O140" s="111">
        <v>20.0</v>
      </c>
      <c r="P140" s="168">
        <v>7.0</v>
      </c>
    </row>
    <row r="141">
      <c r="A141" s="160">
        <v>85.0</v>
      </c>
      <c r="B141" s="160">
        <v>24.0</v>
      </c>
      <c r="C141" s="170">
        <v>7137.0</v>
      </c>
      <c r="D141" s="168">
        <v>203.0</v>
      </c>
      <c r="E141" s="24">
        <v>77.0</v>
      </c>
      <c r="F141" s="169">
        <v>19004.97</v>
      </c>
      <c r="G141" s="169">
        <v>92352.89</v>
      </c>
      <c r="H141" s="169">
        <v>-84836.87</v>
      </c>
      <c r="I141" s="169">
        <v>47959.36</v>
      </c>
      <c r="J141" s="169">
        <v>-11214.24</v>
      </c>
      <c r="K141" s="169">
        <v>-73945.36</v>
      </c>
      <c r="L141" s="169">
        <v>-85957.34</v>
      </c>
      <c r="M141" s="169">
        <v>-22593.08</v>
      </c>
      <c r="N141" s="50">
        <v>71720.0</v>
      </c>
      <c r="O141" s="111">
        <v>21.0</v>
      </c>
      <c r="P141" s="168">
        <v>7.0</v>
      </c>
    </row>
    <row r="142">
      <c r="A142" s="160">
        <v>44.0</v>
      </c>
      <c r="B142" s="160">
        <v>29.0</v>
      </c>
      <c r="C142" s="170">
        <v>7138.0</v>
      </c>
      <c r="D142" s="168">
        <v>220.0</v>
      </c>
      <c r="E142" s="24">
        <v>18.0</v>
      </c>
      <c r="F142" s="169">
        <v>-78230.92</v>
      </c>
      <c r="G142" s="169">
        <v>13608.56</v>
      </c>
      <c r="H142" s="169">
        <v>125.82</v>
      </c>
      <c r="I142" s="169">
        <v>55203.92</v>
      </c>
      <c r="J142" s="169">
        <v>-14425.4</v>
      </c>
      <c r="K142" s="169">
        <v>39105.52</v>
      </c>
      <c r="L142" s="169">
        <v>-23557.75</v>
      </c>
      <c r="M142" s="169">
        <v>32941.49</v>
      </c>
      <c r="N142" s="50">
        <v>111117.0</v>
      </c>
      <c r="O142" s="111">
        <v>22.0</v>
      </c>
      <c r="P142" s="168">
        <v>3.0</v>
      </c>
    </row>
    <row r="143">
      <c r="A143" s="160">
        <v>85.0</v>
      </c>
      <c r="B143" s="160">
        <v>26.0</v>
      </c>
      <c r="C143" s="170">
        <v>7139.0</v>
      </c>
      <c r="D143" s="168">
        <v>214.0</v>
      </c>
      <c r="E143" s="24">
        <v>22.0</v>
      </c>
      <c r="F143" s="169">
        <v>-79968.66</v>
      </c>
      <c r="G143" s="169">
        <v>98349.12</v>
      </c>
      <c r="H143" s="169">
        <v>35039.53</v>
      </c>
      <c r="I143" s="169">
        <v>-45228.59</v>
      </c>
      <c r="J143" s="169">
        <v>19638.97</v>
      </c>
      <c r="K143" s="169">
        <v>-76283.75</v>
      </c>
      <c r="L143" s="169">
        <v>-49802.44</v>
      </c>
      <c r="M143" s="169">
        <v>-3987.09</v>
      </c>
      <c r="N143" s="50">
        <v>93020.0</v>
      </c>
      <c r="O143" s="111">
        <v>20.0</v>
      </c>
      <c r="P143" s="168">
        <v>3.0</v>
      </c>
    </row>
    <row r="144">
      <c r="A144" s="160">
        <v>85.0</v>
      </c>
      <c r="B144" s="160">
        <v>28.0</v>
      </c>
      <c r="C144" s="147">
        <v>7140.0</v>
      </c>
      <c r="D144" s="168">
        <v>205.0</v>
      </c>
      <c r="E144" s="24">
        <v>39.0</v>
      </c>
      <c r="F144" s="169">
        <v>-49593.2</v>
      </c>
      <c r="G144" s="169">
        <v>64911.52</v>
      </c>
      <c r="H144" s="169">
        <v>-45335.4</v>
      </c>
      <c r="I144" s="169">
        <v>92521.85</v>
      </c>
      <c r="J144" s="169">
        <v>35416.2</v>
      </c>
      <c r="K144" s="169">
        <v>18643.33</v>
      </c>
      <c r="L144" s="169">
        <v>3125.23</v>
      </c>
      <c r="M144" s="169">
        <v>23001.28</v>
      </c>
      <c r="N144" s="50">
        <v>71321.0</v>
      </c>
      <c r="O144" s="111">
        <v>20.0</v>
      </c>
      <c r="P144" s="168">
        <v>1.0</v>
      </c>
    </row>
    <row r="145">
      <c r="A145" s="160">
        <v>23.0</v>
      </c>
      <c r="B145" s="160">
        <v>85.0</v>
      </c>
      <c r="C145" s="170">
        <v>7141.0</v>
      </c>
      <c r="D145" s="168">
        <v>220.0</v>
      </c>
      <c r="E145" s="24">
        <v>18.0</v>
      </c>
      <c r="F145" s="169">
        <v>-50929.76</v>
      </c>
      <c r="G145" s="169">
        <v>-63028.88</v>
      </c>
      <c r="H145" s="169">
        <v>68214.05</v>
      </c>
      <c r="I145" s="169">
        <v>51515.65</v>
      </c>
      <c r="J145" s="169">
        <v>90898.97</v>
      </c>
      <c r="K145" s="169">
        <v>79693.23</v>
      </c>
      <c r="L145" s="169">
        <v>-1107.59</v>
      </c>
      <c r="M145" s="169">
        <v>-14278.16</v>
      </c>
      <c r="N145" s="50">
        <v>101116.0</v>
      </c>
      <c r="O145" s="111">
        <v>21.0</v>
      </c>
      <c r="P145" s="168">
        <v>3.0</v>
      </c>
    </row>
    <row r="146">
      <c r="A146" s="160">
        <v>85.0</v>
      </c>
      <c r="B146" s="160">
        <v>31.0</v>
      </c>
      <c r="C146" s="170">
        <v>7142.0</v>
      </c>
      <c r="D146" s="168">
        <v>202.0</v>
      </c>
      <c r="E146" s="24">
        <v>57.0</v>
      </c>
      <c r="F146" s="169">
        <v>-2157.89</v>
      </c>
      <c r="G146" s="169">
        <v>-18000.65</v>
      </c>
      <c r="H146" s="169">
        <v>-26972.93</v>
      </c>
      <c r="I146" s="169">
        <v>-79959.29</v>
      </c>
      <c r="J146" s="169">
        <v>-52357.09</v>
      </c>
      <c r="K146" s="169">
        <v>12185.94</v>
      </c>
      <c r="L146" s="169">
        <v>38381.3</v>
      </c>
      <c r="M146" s="169">
        <v>59624.13</v>
      </c>
      <c r="N146" s="50">
        <v>10413.0</v>
      </c>
      <c r="O146" s="111">
        <v>21.0</v>
      </c>
      <c r="P146" s="168">
        <v>2.0</v>
      </c>
    </row>
    <row r="147">
      <c r="A147" s="160">
        <v>23.0</v>
      </c>
      <c r="B147" s="160">
        <v>88.0</v>
      </c>
      <c r="C147" s="170">
        <v>7143.0</v>
      </c>
      <c r="D147" s="168">
        <v>217.0</v>
      </c>
      <c r="E147" s="24">
        <v>78.0</v>
      </c>
      <c r="F147" s="169">
        <v>-75805.9</v>
      </c>
      <c r="G147" s="169">
        <v>-40169.72</v>
      </c>
      <c r="H147" s="169">
        <v>-90066.15</v>
      </c>
      <c r="I147" s="169">
        <v>-2273.11</v>
      </c>
      <c r="J147" s="169">
        <v>-6384.03</v>
      </c>
      <c r="K147" s="169">
        <v>-17821.08</v>
      </c>
      <c r="L147" s="169">
        <v>53190.6</v>
      </c>
      <c r="M147" s="169">
        <v>13670.99</v>
      </c>
      <c r="N147" s="50">
        <v>42016.0</v>
      </c>
      <c r="O147" s="111">
        <v>22.0</v>
      </c>
      <c r="P147" s="168">
        <v>6.0</v>
      </c>
    </row>
    <row r="148">
      <c r="A148" s="160">
        <v>44.0</v>
      </c>
      <c r="B148" s="160">
        <v>37.0</v>
      </c>
      <c r="C148" s="170">
        <v>7144.0</v>
      </c>
      <c r="D148" s="168">
        <v>204.0</v>
      </c>
      <c r="E148" s="24">
        <v>47.0</v>
      </c>
      <c r="F148" s="169">
        <v>-58171.28</v>
      </c>
      <c r="G148" s="169">
        <v>26147.24</v>
      </c>
      <c r="H148" s="169">
        <v>51946.06</v>
      </c>
      <c r="I148" s="169">
        <v>-29508.55</v>
      </c>
      <c r="J148" s="169">
        <v>-46177.15</v>
      </c>
      <c r="K148" s="169">
        <v>-86766.74</v>
      </c>
      <c r="L148" s="169">
        <v>-66246.43</v>
      </c>
      <c r="M148" s="169">
        <v>-99006.46</v>
      </c>
      <c r="N148" s="50">
        <v>72016.0</v>
      </c>
      <c r="O148" s="111">
        <v>21.0</v>
      </c>
      <c r="P148" s="168">
        <v>1.0</v>
      </c>
    </row>
    <row r="149">
      <c r="A149" s="160">
        <v>64.0</v>
      </c>
      <c r="B149" s="160">
        <v>90.0</v>
      </c>
      <c r="C149" s="147">
        <v>7145.0</v>
      </c>
      <c r="D149" s="168">
        <v>212.0</v>
      </c>
      <c r="E149" s="24">
        <v>42.0</v>
      </c>
      <c r="F149" s="169">
        <v>44701.16</v>
      </c>
      <c r="G149" s="169">
        <v>33832.55</v>
      </c>
      <c r="H149" s="169">
        <v>4253.66</v>
      </c>
      <c r="I149" s="169">
        <v>88413.56</v>
      </c>
      <c r="J149" s="169">
        <v>61898.97</v>
      </c>
      <c r="K149" s="169">
        <v>41025.27</v>
      </c>
      <c r="L149" s="169">
        <v>-18327.7</v>
      </c>
      <c r="M149" s="169">
        <v>-54471.13</v>
      </c>
      <c r="N149" s="50">
        <v>32419.0</v>
      </c>
      <c r="O149" s="111">
        <v>22.0</v>
      </c>
      <c r="P149" s="168">
        <v>8.0</v>
      </c>
    </row>
    <row r="150">
      <c r="A150" s="160">
        <v>23.0</v>
      </c>
      <c r="B150" s="160">
        <v>99.0</v>
      </c>
      <c r="C150" s="170">
        <v>7146.0</v>
      </c>
      <c r="D150" s="168">
        <v>204.0</v>
      </c>
      <c r="E150" s="24">
        <v>29.0</v>
      </c>
      <c r="F150" s="169">
        <v>14911.25</v>
      </c>
      <c r="G150" s="169">
        <v>-15938.53</v>
      </c>
      <c r="H150" s="169">
        <v>90644.89</v>
      </c>
      <c r="I150" s="169">
        <v>17352.61</v>
      </c>
      <c r="J150" s="169">
        <v>-84535.64</v>
      </c>
      <c r="K150" s="169">
        <v>25410.95</v>
      </c>
      <c r="L150" s="169">
        <v>-26126.33</v>
      </c>
      <c r="M150" s="169">
        <v>95822.25</v>
      </c>
      <c r="N150" s="50">
        <v>70416.0</v>
      </c>
      <c r="O150" s="111">
        <v>20.0</v>
      </c>
      <c r="P150" s="168">
        <v>2.0</v>
      </c>
    </row>
    <row r="151">
      <c r="A151" s="160">
        <v>85.0</v>
      </c>
      <c r="B151" s="160">
        <v>43.0</v>
      </c>
      <c r="C151" s="170">
        <v>7147.0</v>
      </c>
      <c r="D151" s="168">
        <v>211.0</v>
      </c>
      <c r="E151" s="24">
        <v>52.0</v>
      </c>
      <c r="F151" s="169">
        <v>35288.38</v>
      </c>
      <c r="G151" s="169">
        <v>-23294.62</v>
      </c>
      <c r="H151" s="169">
        <v>83420.23</v>
      </c>
      <c r="I151" s="169">
        <v>52760.72</v>
      </c>
      <c r="J151" s="169">
        <v>25762.7</v>
      </c>
      <c r="K151" s="169">
        <v>-5264.23</v>
      </c>
      <c r="L151" s="169">
        <v>9514.77</v>
      </c>
      <c r="M151" s="169">
        <v>-93355.22</v>
      </c>
      <c r="N151" s="50">
        <v>81122.0</v>
      </c>
      <c r="O151" s="111">
        <v>22.0</v>
      </c>
      <c r="P151" s="168">
        <v>2.0</v>
      </c>
    </row>
    <row r="152">
      <c r="A152" s="160">
        <v>44.0</v>
      </c>
      <c r="B152" s="160">
        <v>53.0</v>
      </c>
      <c r="C152" s="170">
        <v>7148.0</v>
      </c>
      <c r="D152" s="168">
        <v>206.0</v>
      </c>
      <c r="E152" s="24">
        <v>34.0</v>
      </c>
      <c r="F152" s="169">
        <v>27274.44</v>
      </c>
      <c r="G152" s="169">
        <v>49933.82</v>
      </c>
      <c r="H152" s="169">
        <v>-96185.43</v>
      </c>
      <c r="I152" s="169">
        <v>77794.0</v>
      </c>
      <c r="J152" s="169">
        <v>-32635.06</v>
      </c>
      <c r="K152" s="169">
        <v>-76628.23</v>
      </c>
      <c r="L152" s="169">
        <v>-35306.02</v>
      </c>
      <c r="M152" s="169">
        <v>-85330.53</v>
      </c>
      <c r="N152" s="50">
        <v>61718.0</v>
      </c>
      <c r="O152" s="111">
        <v>23.0</v>
      </c>
      <c r="P152" s="168">
        <v>6.0</v>
      </c>
    </row>
    <row r="153">
      <c r="A153" s="160">
        <v>65.0</v>
      </c>
      <c r="B153" s="160">
        <v>2.0</v>
      </c>
      <c r="C153" s="170">
        <v>7149.0</v>
      </c>
      <c r="D153" s="168">
        <v>208.0</v>
      </c>
      <c r="E153" s="24">
        <v>28.0</v>
      </c>
      <c r="F153" s="169">
        <v>-30630.01</v>
      </c>
      <c r="G153" s="169">
        <v>-97684.82</v>
      </c>
      <c r="H153" s="169">
        <v>91991.52</v>
      </c>
      <c r="I153" s="169">
        <v>25532.29</v>
      </c>
      <c r="J153" s="169">
        <v>63549.61</v>
      </c>
      <c r="K153" s="169">
        <v>19595.67</v>
      </c>
      <c r="L153" s="169">
        <v>-85284.5</v>
      </c>
      <c r="M153" s="169">
        <v>95454.37</v>
      </c>
      <c r="N153" s="50">
        <v>110818.0</v>
      </c>
      <c r="O153" s="111">
        <v>21.0</v>
      </c>
      <c r="P153" s="168">
        <v>7.0</v>
      </c>
    </row>
    <row r="154">
      <c r="A154" s="160">
        <v>24.0</v>
      </c>
      <c r="B154" s="160">
        <v>8.0</v>
      </c>
      <c r="C154" s="147">
        <v>7150.0</v>
      </c>
      <c r="D154" s="168">
        <v>203.0</v>
      </c>
      <c r="E154" s="24">
        <v>37.0</v>
      </c>
      <c r="F154" s="169">
        <v>-95530.43</v>
      </c>
      <c r="G154" s="169">
        <v>33406.64</v>
      </c>
      <c r="H154" s="169">
        <v>52881.11</v>
      </c>
      <c r="I154" s="169">
        <v>11868.79</v>
      </c>
      <c r="J154" s="169">
        <v>-46058.37</v>
      </c>
      <c r="K154" s="169">
        <v>80646.46</v>
      </c>
      <c r="L154" s="169">
        <v>44373.14</v>
      </c>
      <c r="M154" s="169">
        <v>60734.74</v>
      </c>
      <c r="N154" s="50">
        <v>60918.0</v>
      </c>
      <c r="O154" s="111">
        <v>21.0</v>
      </c>
      <c r="P154" s="168">
        <v>9.0</v>
      </c>
    </row>
    <row r="155">
      <c r="A155" s="160">
        <v>44.0</v>
      </c>
      <c r="B155" s="160">
        <v>59.0</v>
      </c>
      <c r="C155" s="170">
        <v>7151.0</v>
      </c>
      <c r="D155" s="168">
        <v>206.0</v>
      </c>
      <c r="E155" s="24">
        <v>35.0</v>
      </c>
      <c r="F155" s="169">
        <v>83873.46</v>
      </c>
      <c r="G155" s="169">
        <v>87374.38</v>
      </c>
      <c r="H155" s="169">
        <v>71224.99</v>
      </c>
      <c r="I155" s="169">
        <v>-52226.28</v>
      </c>
      <c r="J155" s="169">
        <v>57347.04</v>
      </c>
      <c r="K155" s="169">
        <v>65288.13</v>
      </c>
      <c r="L155" s="169">
        <v>-72065.5</v>
      </c>
      <c r="M155" s="169">
        <v>5858.95</v>
      </c>
      <c r="N155" s="50">
        <v>82717.0</v>
      </c>
      <c r="O155" s="111">
        <v>22.0</v>
      </c>
      <c r="P155" s="168">
        <v>8.0</v>
      </c>
    </row>
    <row r="156">
      <c r="A156" s="160">
        <v>65.0</v>
      </c>
      <c r="B156" s="160">
        <v>8.0</v>
      </c>
      <c r="C156" s="170">
        <v>7152.0</v>
      </c>
      <c r="D156" s="168">
        <v>205.0</v>
      </c>
      <c r="E156" s="24">
        <v>33.0</v>
      </c>
      <c r="F156" s="169">
        <v>-79726.27</v>
      </c>
      <c r="G156" s="169">
        <v>58494.76</v>
      </c>
      <c r="H156" s="169">
        <v>-61828.2</v>
      </c>
      <c r="I156" s="169">
        <v>-349.97</v>
      </c>
      <c r="J156" s="169">
        <v>76717.21</v>
      </c>
      <c r="K156" s="169">
        <v>74192.5</v>
      </c>
      <c r="L156" s="169">
        <v>-95187.68</v>
      </c>
      <c r="M156" s="169">
        <v>7413.6</v>
      </c>
      <c r="N156" s="50">
        <v>21621.0</v>
      </c>
      <c r="O156" s="111">
        <v>20.0</v>
      </c>
      <c r="P156" s="168">
        <v>8.0</v>
      </c>
    </row>
    <row r="157">
      <c r="A157" s="160">
        <v>85.0</v>
      </c>
      <c r="B157" s="160">
        <v>58.0</v>
      </c>
      <c r="C157" s="170">
        <v>7153.0</v>
      </c>
      <c r="D157" s="168">
        <v>212.0</v>
      </c>
      <c r="E157" s="24">
        <v>24.0</v>
      </c>
      <c r="F157" s="169">
        <v>-34162.98</v>
      </c>
      <c r="G157" s="169">
        <v>-55192.09</v>
      </c>
      <c r="H157" s="169">
        <v>18560.77</v>
      </c>
      <c r="I157" s="169">
        <v>-61952.35</v>
      </c>
      <c r="J157" s="169">
        <v>91172.81</v>
      </c>
      <c r="K157" s="169">
        <v>-69927.95</v>
      </c>
      <c r="L157" s="169">
        <v>-22353.02</v>
      </c>
      <c r="M157" s="169">
        <v>88815.87</v>
      </c>
      <c r="N157" s="50">
        <v>22216.0</v>
      </c>
      <c r="O157" s="111">
        <v>23.0</v>
      </c>
      <c r="P157" s="168">
        <v>1.0</v>
      </c>
    </row>
    <row r="158">
      <c r="A158" s="160">
        <v>65.0</v>
      </c>
      <c r="B158" s="160">
        <v>11.0</v>
      </c>
      <c r="C158" s="170">
        <v>7154.0</v>
      </c>
      <c r="D158" s="168">
        <v>219.0</v>
      </c>
      <c r="E158" s="24">
        <v>89.0</v>
      </c>
      <c r="F158" s="169">
        <v>18053.51</v>
      </c>
      <c r="G158" s="169">
        <v>-24687.06</v>
      </c>
      <c r="H158" s="169">
        <v>31746.53</v>
      </c>
      <c r="I158" s="169">
        <v>-32016.29</v>
      </c>
      <c r="J158" s="169">
        <v>52652.13</v>
      </c>
      <c r="K158" s="169">
        <v>35192.61</v>
      </c>
      <c r="L158" s="169">
        <v>76099.78</v>
      </c>
      <c r="M158" s="169">
        <v>30966.42</v>
      </c>
      <c r="N158" s="50">
        <v>50922.0</v>
      </c>
      <c r="O158" s="111">
        <v>21.0</v>
      </c>
      <c r="P158" s="168">
        <v>5.0</v>
      </c>
    </row>
    <row r="159">
      <c r="A159" s="160">
        <v>24.0</v>
      </c>
      <c r="B159" s="160">
        <v>17.0</v>
      </c>
      <c r="C159" s="147">
        <v>7155.0</v>
      </c>
      <c r="D159" s="168">
        <v>210.0</v>
      </c>
      <c r="E159" s="24">
        <v>98.0</v>
      </c>
      <c r="F159" s="169">
        <v>26875.82</v>
      </c>
      <c r="G159" s="169">
        <v>-80086.11</v>
      </c>
      <c r="H159" s="169">
        <v>-76891.61</v>
      </c>
      <c r="I159" s="169">
        <v>-68698.37</v>
      </c>
      <c r="J159" s="169">
        <v>28725.14</v>
      </c>
      <c r="K159" s="169">
        <v>-83914.86</v>
      </c>
      <c r="L159" s="169">
        <v>-81181.05</v>
      </c>
      <c r="M159" s="169">
        <v>-94972.15</v>
      </c>
      <c r="N159" s="50">
        <v>82621.0</v>
      </c>
      <c r="O159" s="111">
        <v>22.0</v>
      </c>
      <c r="P159" s="168">
        <v>8.0</v>
      </c>
    </row>
    <row r="160">
      <c r="A160" s="160">
        <v>85.0</v>
      </c>
      <c r="B160" s="160">
        <v>62.0</v>
      </c>
      <c r="C160" s="170">
        <v>7156.0</v>
      </c>
      <c r="D160" s="168">
        <v>209.0</v>
      </c>
      <c r="E160" s="24">
        <v>82.0</v>
      </c>
      <c r="F160" s="169">
        <v>97563.06</v>
      </c>
      <c r="G160" s="169">
        <v>-92275.37</v>
      </c>
      <c r="H160" s="169">
        <v>-73907.9</v>
      </c>
      <c r="I160" s="169">
        <v>79397.3</v>
      </c>
      <c r="J160" s="169">
        <v>80145.61</v>
      </c>
      <c r="K160" s="169">
        <v>65791.4</v>
      </c>
      <c r="L160" s="169">
        <v>99051.01</v>
      </c>
      <c r="M160" s="169">
        <v>-93947.16</v>
      </c>
      <c r="N160" s="50">
        <v>32120.0</v>
      </c>
      <c r="O160" s="111">
        <v>22.0</v>
      </c>
      <c r="P160" s="168">
        <v>9.0</v>
      </c>
    </row>
    <row r="161">
      <c r="A161" s="160">
        <v>65.0</v>
      </c>
      <c r="B161" s="160">
        <v>15.0</v>
      </c>
      <c r="C161" s="170">
        <v>7157.0</v>
      </c>
      <c r="D161" s="168">
        <v>211.0</v>
      </c>
      <c r="E161" s="24">
        <v>28.0</v>
      </c>
      <c r="F161" s="169">
        <v>-2055.95</v>
      </c>
      <c r="G161" s="169">
        <v>-73970.85</v>
      </c>
      <c r="H161" s="169">
        <v>-8394.72</v>
      </c>
      <c r="I161" s="169">
        <v>-53677.92</v>
      </c>
      <c r="J161" s="169">
        <v>48564.16</v>
      </c>
      <c r="K161" s="169">
        <v>-28427.46</v>
      </c>
      <c r="L161" s="169">
        <v>-44088.85</v>
      </c>
      <c r="M161" s="169">
        <v>48805.47</v>
      </c>
      <c r="N161" s="50">
        <v>41117.0</v>
      </c>
      <c r="O161" s="111">
        <v>23.0</v>
      </c>
      <c r="P161" s="168">
        <v>2.0</v>
      </c>
    </row>
    <row r="162">
      <c r="A162" s="160">
        <v>85.0</v>
      </c>
      <c r="B162" s="160">
        <v>64.0</v>
      </c>
      <c r="C162" s="170">
        <v>7158.0</v>
      </c>
      <c r="D162" s="168">
        <v>214.0</v>
      </c>
      <c r="E162" s="24">
        <v>15.0</v>
      </c>
      <c r="F162" s="169">
        <v>84534.44</v>
      </c>
      <c r="G162" s="169">
        <v>-82590.22</v>
      </c>
      <c r="H162" s="169">
        <v>78296.67</v>
      </c>
      <c r="I162" s="169">
        <v>-74419.12</v>
      </c>
      <c r="J162" s="169">
        <v>-13749.77</v>
      </c>
      <c r="K162" s="169">
        <v>-24230.15</v>
      </c>
      <c r="L162" s="169">
        <v>96392.91</v>
      </c>
      <c r="M162" s="169">
        <v>-2245.31</v>
      </c>
      <c r="N162" s="50">
        <v>91716.0</v>
      </c>
      <c r="O162" s="111">
        <v>22.0</v>
      </c>
      <c r="P162" s="168">
        <v>8.0</v>
      </c>
    </row>
    <row r="163">
      <c r="A163" s="160">
        <v>24.0</v>
      </c>
      <c r="B163" s="160">
        <v>19.0</v>
      </c>
      <c r="C163" s="170">
        <v>7159.0</v>
      </c>
      <c r="D163" s="168">
        <v>220.0</v>
      </c>
      <c r="E163" s="24">
        <v>73.0</v>
      </c>
      <c r="F163" s="169">
        <v>-8174.08</v>
      </c>
      <c r="G163" s="169">
        <v>57670.74</v>
      </c>
      <c r="H163" s="169">
        <v>-43776.21</v>
      </c>
      <c r="I163" s="169">
        <v>-11342.41</v>
      </c>
      <c r="J163" s="169">
        <v>-89756.13</v>
      </c>
      <c r="K163" s="169">
        <v>-53536.17</v>
      </c>
      <c r="L163" s="169">
        <v>42502.93</v>
      </c>
      <c r="M163" s="169">
        <v>-54789.33</v>
      </c>
      <c r="N163" s="50">
        <v>22013.0</v>
      </c>
      <c r="O163" s="111">
        <v>20.0</v>
      </c>
      <c r="P163" s="168">
        <v>5.0</v>
      </c>
    </row>
    <row r="164">
      <c r="A164" s="160">
        <v>24.0</v>
      </c>
      <c r="B164" s="160">
        <v>29.0</v>
      </c>
      <c r="C164" s="147">
        <v>7160.0</v>
      </c>
      <c r="D164" s="168">
        <v>214.0</v>
      </c>
      <c r="E164" s="24">
        <v>96.0</v>
      </c>
      <c r="F164" s="169">
        <v>60608.1</v>
      </c>
      <c r="G164" s="169">
        <v>-51109.99</v>
      </c>
      <c r="H164" s="169">
        <v>71414.72</v>
      </c>
      <c r="I164" s="169">
        <v>-90002.19</v>
      </c>
      <c r="J164" s="169">
        <v>-17881.0</v>
      </c>
      <c r="K164" s="169">
        <v>50950.67</v>
      </c>
      <c r="L164" s="169">
        <v>-4705.25</v>
      </c>
      <c r="M164" s="169">
        <v>92884.02</v>
      </c>
      <c r="N164" s="50">
        <v>101013.0</v>
      </c>
      <c r="O164" s="111">
        <v>22.0</v>
      </c>
      <c r="P164" s="168">
        <v>6.0</v>
      </c>
    </row>
    <row r="165">
      <c r="A165" s="160">
        <v>85.0</v>
      </c>
      <c r="B165" s="160">
        <v>76.0</v>
      </c>
      <c r="C165" s="170">
        <v>7161.0</v>
      </c>
      <c r="D165" s="168">
        <v>209.0</v>
      </c>
      <c r="E165" s="24">
        <v>63.0</v>
      </c>
      <c r="F165" s="169">
        <v>89682.27</v>
      </c>
      <c r="G165" s="169">
        <v>35415.87</v>
      </c>
      <c r="H165" s="169">
        <v>42654.62</v>
      </c>
      <c r="I165" s="169">
        <v>20521.03</v>
      </c>
      <c r="J165" s="169">
        <v>69209.85</v>
      </c>
      <c r="K165" s="169">
        <v>-76987.7</v>
      </c>
      <c r="L165" s="169">
        <v>32994.72</v>
      </c>
      <c r="M165" s="169">
        <v>-97561.87</v>
      </c>
      <c r="N165" s="50">
        <v>42813.0</v>
      </c>
      <c r="O165" s="111">
        <v>20.0</v>
      </c>
      <c r="P165" s="168">
        <v>6.0</v>
      </c>
    </row>
    <row r="166">
      <c r="A166" s="160">
        <v>85.0</v>
      </c>
      <c r="B166" s="160">
        <v>88.0</v>
      </c>
      <c r="C166" s="170">
        <v>7162.0</v>
      </c>
      <c r="D166" s="168">
        <v>216.0</v>
      </c>
      <c r="E166" s="24">
        <v>63.0</v>
      </c>
      <c r="F166" s="169">
        <v>-1561.08</v>
      </c>
      <c r="G166" s="169">
        <v>78200.62</v>
      </c>
      <c r="H166" s="169">
        <v>93103.22</v>
      </c>
      <c r="I166" s="169">
        <v>-83990.49</v>
      </c>
      <c r="J166" s="169">
        <v>-83778.82</v>
      </c>
      <c r="K166" s="169">
        <v>69172.09</v>
      </c>
      <c r="L166" s="169">
        <v>18079.35</v>
      </c>
      <c r="M166" s="169">
        <v>-76098.68</v>
      </c>
      <c r="N166" s="50">
        <v>92019.0</v>
      </c>
      <c r="O166" s="111">
        <v>22.0</v>
      </c>
      <c r="P166" s="168">
        <v>8.0</v>
      </c>
    </row>
    <row r="167">
      <c r="A167" s="160">
        <v>65.0</v>
      </c>
      <c r="B167" s="160">
        <v>41.0</v>
      </c>
      <c r="C167" s="170">
        <v>7163.0</v>
      </c>
      <c r="D167" s="168">
        <v>217.0</v>
      </c>
      <c r="E167" s="24">
        <v>78.0</v>
      </c>
      <c r="F167" s="169">
        <v>-27381.97</v>
      </c>
      <c r="G167" s="169">
        <v>70921.92</v>
      </c>
      <c r="H167" s="169">
        <v>78965.84</v>
      </c>
      <c r="I167" s="169">
        <v>-96396.81</v>
      </c>
      <c r="J167" s="169">
        <v>70795.62</v>
      </c>
      <c r="K167" s="169">
        <v>-32151.09</v>
      </c>
      <c r="L167" s="169">
        <v>-98389.89</v>
      </c>
      <c r="M167" s="169">
        <v>5395.02</v>
      </c>
      <c r="N167" s="50">
        <v>82321.0</v>
      </c>
      <c r="O167" s="111">
        <v>22.0</v>
      </c>
      <c r="P167" s="168">
        <v>1.0</v>
      </c>
    </row>
    <row r="168">
      <c r="A168" s="160">
        <v>24.0</v>
      </c>
      <c r="B168" s="160">
        <v>46.0</v>
      </c>
      <c r="C168" s="170">
        <v>7164.0</v>
      </c>
      <c r="D168" s="168">
        <v>213.0</v>
      </c>
      <c r="E168" s="24">
        <v>46.0</v>
      </c>
      <c r="F168" s="169">
        <v>-25565.46</v>
      </c>
      <c r="G168" s="169">
        <v>-96853.35</v>
      </c>
      <c r="H168" s="169">
        <v>-14976.15</v>
      </c>
      <c r="I168" s="169">
        <v>-87624.18</v>
      </c>
      <c r="J168" s="169">
        <v>42826.47</v>
      </c>
      <c r="K168" s="169">
        <v>93489.25</v>
      </c>
      <c r="L168" s="169">
        <v>36530.31</v>
      </c>
      <c r="M168" s="169">
        <v>43635.67</v>
      </c>
      <c r="N168" s="50">
        <v>42113.0</v>
      </c>
      <c r="O168" s="111">
        <v>20.0</v>
      </c>
      <c r="P168" s="168">
        <v>3.0</v>
      </c>
    </row>
    <row r="169">
      <c r="A169" s="160">
        <v>85.0</v>
      </c>
      <c r="B169" s="160">
        <v>89.0</v>
      </c>
      <c r="C169" s="147">
        <v>7165.0</v>
      </c>
      <c r="D169" s="168">
        <v>217.0</v>
      </c>
      <c r="E169" s="24">
        <v>88.0</v>
      </c>
      <c r="F169" s="169">
        <v>46416.29</v>
      </c>
      <c r="G169" s="169">
        <v>75398.27</v>
      </c>
      <c r="H169" s="169">
        <v>-26293.4</v>
      </c>
      <c r="I169" s="169">
        <v>-29380.18</v>
      </c>
      <c r="J169" s="169">
        <v>32521.99</v>
      </c>
      <c r="K169" s="169">
        <v>-70458.83</v>
      </c>
      <c r="L169" s="169">
        <v>-6867.84</v>
      </c>
      <c r="M169" s="169">
        <v>-67634.92</v>
      </c>
      <c r="N169" s="50">
        <v>101914.0</v>
      </c>
      <c r="O169" s="111">
        <v>23.0</v>
      </c>
      <c r="P169" s="168">
        <v>5.0</v>
      </c>
    </row>
    <row r="170">
      <c r="A170" s="160">
        <v>85.0</v>
      </c>
      <c r="B170" s="160">
        <v>93.0</v>
      </c>
      <c r="C170" s="170">
        <v>7166.0</v>
      </c>
      <c r="D170" s="168">
        <v>200.0</v>
      </c>
      <c r="E170" s="24">
        <v>72.0</v>
      </c>
      <c r="F170" s="169">
        <v>-59935.96</v>
      </c>
      <c r="G170" s="169">
        <v>-18373.9</v>
      </c>
      <c r="H170" s="169">
        <v>-70545.89</v>
      </c>
      <c r="I170" s="169">
        <v>-54184.64</v>
      </c>
      <c r="J170" s="169">
        <v>19614.65</v>
      </c>
      <c r="K170" s="169">
        <v>-61942.29</v>
      </c>
      <c r="L170" s="169">
        <v>91646.96</v>
      </c>
      <c r="M170" s="169">
        <v>67908.32</v>
      </c>
      <c r="N170" s="50">
        <v>92221.0</v>
      </c>
      <c r="O170" s="111">
        <v>22.0</v>
      </c>
      <c r="P170" s="168">
        <v>4.0</v>
      </c>
    </row>
    <row r="171">
      <c r="A171" s="160">
        <v>24.0</v>
      </c>
      <c r="B171" s="160">
        <v>53.0</v>
      </c>
      <c r="C171" s="170">
        <v>7167.0</v>
      </c>
      <c r="D171" s="168">
        <v>220.0</v>
      </c>
      <c r="E171" s="24">
        <v>46.0</v>
      </c>
      <c r="F171" s="169">
        <v>51469.56</v>
      </c>
      <c r="G171" s="169">
        <v>25044.57</v>
      </c>
      <c r="H171" s="169">
        <v>68948.5</v>
      </c>
      <c r="I171" s="169">
        <v>-84166.31</v>
      </c>
      <c r="J171" s="169">
        <v>70646.43</v>
      </c>
      <c r="K171" s="169">
        <v>-32932.18</v>
      </c>
      <c r="L171" s="169">
        <v>57025.22</v>
      </c>
      <c r="M171" s="169">
        <v>27933.84</v>
      </c>
      <c r="N171" s="50">
        <v>111419.0</v>
      </c>
      <c r="O171" s="111">
        <v>21.0</v>
      </c>
      <c r="P171" s="168">
        <v>5.0</v>
      </c>
    </row>
    <row r="172">
      <c r="A172" s="160">
        <v>85.0</v>
      </c>
      <c r="B172" s="160">
        <v>97.0</v>
      </c>
      <c r="C172" s="170">
        <v>7168.0</v>
      </c>
      <c r="D172" s="168">
        <v>209.0</v>
      </c>
      <c r="E172" s="24">
        <v>83.0</v>
      </c>
      <c r="F172" s="169">
        <v>-17094.27</v>
      </c>
      <c r="G172" s="169">
        <v>75873.19</v>
      </c>
      <c r="H172" s="169">
        <v>-24950.92</v>
      </c>
      <c r="I172" s="169">
        <v>65790.73</v>
      </c>
      <c r="J172" s="169">
        <v>81982.06</v>
      </c>
      <c r="K172" s="169">
        <v>-5131.35</v>
      </c>
      <c r="L172" s="169">
        <v>-60993.21</v>
      </c>
      <c r="M172" s="169">
        <v>-4205.75</v>
      </c>
      <c r="N172" s="50">
        <v>51720.0</v>
      </c>
      <c r="O172" s="111">
        <v>23.0</v>
      </c>
      <c r="P172" s="168">
        <v>8.0</v>
      </c>
    </row>
    <row r="173">
      <c r="A173" s="160">
        <v>45.0</v>
      </c>
      <c r="B173" s="160">
        <v>4.0</v>
      </c>
      <c r="C173" s="170">
        <v>7169.0</v>
      </c>
      <c r="D173" s="168">
        <v>210.0</v>
      </c>
      <c r="E173" s="24">
        <v>97.0</v>
      </c>
      <c r="F173" s="169">
        <v>-41828.96</v>
      </c>
      <c r="G173" s="169">
        <v>16139.21</v>
      </c>
      <c r="H173" s="169">
        <v>92609.39</v>
      </c>
      <c r="I173" s="169">
        <v>33663.23</v>
      </c>
      <c r="J173" s="169">
        <v>27783.7</v>
      </c>
      <c r="K173" s="169">
        <v>96196.85</v>
      </c>
      <c r="L173" s="169">
        <v>-75582.25</v>
      </c>
      <c r="M173" s="169">
        <v>85847.71</v>
      </c>
      <c r="N173" s="50">
        <v>82920.0</v>
      </c>
      <c r="O173" s="111">
        <v>20.0</v>
      </c>
      <c r="P173" s="168">
        <v>8.0</v>
      </c>
    </row>
    <row r="174">
      <c r="A174" s="160">
        <v>86.0</v>
      </c>
      <c r="B174" s="160">
        <v>0.0</v>
      </c>
      <c r="C174" s="147">
        <v>7170.0</v>
      </c>
      <c r="D174" s="168">
        <v>205.0</v>
      </c>
      <c r="E174" s="24">
        <v>66.0</v>
      </c>
      <c r="F174" s="169">
        <v>28107.58</v>
      </c>
      <c r="G174" s="169">
        <v>43670.7</v>
      </c>
      <c r="H174" s="169">
        <v>-4326.43</v>
      </c>
      <c r="I174" s="169">
        <v>-54462.98</v>
      </c>
      <c r="J174" s="169">
        <v>-58535.12</v>
      </c>
      <c r="K174" s="169">
        <v>10042.62</v>
      </c>
      <c r="L174" s="169">
        <v>-36194.09</v>
      </c>
      <c r="M174" s="169">
        <v>3496.79</v>
      </c>
      <c r="N174" s="50">
        <v>111819.0</v>
      </c>
      <c r="O174" s="111">
        <v>20.0</v>
      </c>
      <c r="P174" s="168">
        <v>9.0</v>
      </c>
    </row>
    <row r="175">
      <c r="A175" s="160">
        <v>65.0</v>
      </c>
      <c r="B175" s="160">
        <v>58.0</v>
      </c>
      <c r="C175" s="170">
        <v>7171.0</v>
      </c>
      <c r="D175" s="168">
        <v>203.0</v>
      </c>
      <c r="E175" s="24">
        <v>66.0</v>
      </c>
      <c r="F175" s="169">
        <v>-67236.01</v>
      </c>
      <c r="G175" s="169">
        <v>-35945.92</v>
      </c>
      <c r="H175" s="169">
        <v>-82960.88</v>
      </c>
      <c r="I175" s="169">
        <v>34979.5</v>
      </c>
      <c r="J175" s="169">
        <v>9142.9</v>
      </c>
      <c r="K175" s="169">
        <v>74870.68</v>
      </c>
      <c r="L175" s="169">
        <v>91967.28</v>
      </c>
      <c r="M175" s="169">
        <v>82964.18</v>
      </c>
      <c r="N175" s="50">
        <v>81717.0</v>
      </c>
      <c r="O175" s="111">
        <v>23.0</v>
      </c>
      <c r="P175" s="168">
        <v>4.0</v>
      </c>
    </row>
    <row r="176">
      <c r="A176" s="160">
        <v>45.0</v>
      </c>
      <c r="B176" s="160">
        <v>18.0</v>
      </c>
      <c r="C176" s="170">
        <v>7172.0</v>
      </c>
      <c r="D176" s="168">
        <v>216.0</v>
      </c>
      <c r="E176" s="24">
        <v>91.0</v>
      </c>
      <c r="F176" s="169">
        <v>-94163.63</v>
      </c>
      <c r="G176" s="169">
        <v>-6582.21</v>
      </c>
      <c r="H176" s="169">
        <v>50067.24</v>
      </c>
      <c r="I176" s="169">
        <v>64125.18</v>
      </c>
      <c r="J176" s="169">
        <v>98756.45</v>
      </c>
      <c r="K176" s="169">
        <v>13399.44</v>
      </c>
      <c r="L176" s="169">
        <v>33065.64</v>
      </c>
      <c r="M176" s="169">
        <v>88529.07</v>
      </c>
      <c r="N176" s="50">
        <v>50521.0</v>
      </c>
      <c r="O176" s="111">
        <v>23.0</v>
      </c>
      <c r="P176" s="168">
        <v>8.0</v>
      </c>
    </row>
    <row r="177">
      <c r="A177" s="160">
        <v>65.0</v>
      </c>
      <c r="B177" s="160">
        <v>70.0</v>
      </c>
      <c r="C177" s="170">
        <v>7173.0</v>
      </c>
      <c r="D177" s="168">
        <v>217.0</v>
      </c>
      <c r="E177" s="24">
        <v>17.0</v>
      </c>
      <c r="F177" s="169">
        <v>71330.32</v>
      </c>
      <c r="G177" s="169">
        <v>-26695.06</v>
      </c>
      <c r="H177" s="169">
        <v>-3190.53</v>
      </c>
      <c r="I177" s="169">
        <v>47317.31</v>
      </c>
      <c r="J177" s="169">
        <v>15586.23</v>
      </c>
      <c r="K177" s="169">
        <v>27166.7</v>
      </c>
      <c r="L177" s="169">
        <v>90730.29</v>
      </c>
      <c r="M177" s="169">
        <v>-2279.52</v>
      </c>
      <c r="N177" s="50">
        <v>101917.0</v>
      </c>
      <c r="O177" s="111">
        <v>23.0</v>
      </c>
      <c r="P177" s="168">
        <v>8.0</v>
      </c>
    </row>
    <row r="178">
      <c r="A178" s="160">
        <v>86.0</v>
      </c>
      <c r="B178" s="160">
        <v>19.0</v>
      </c>
      <c r="C178" s="170">
        <v>7174.0</v>
      </c>
      <c r="D178" s="168">
        <v>214.0</v>
      </c>
      <c r="E178" s="24">
        <v>26.0</v>
      </c>
      <c r="F178" s="169">
        <v>-33679.86</v>
      </c>
      <c r="G178" s="169">
        <v>18025.44</v>
      </c>
      <c r="H178" s="169">
        <v>-54463.28</v>
      </c>
      <c r="I178" s="169">
        <v>-24173.97</v>
      </c>
      <c r="J178" s="169">
        <v>80507.65</v>
      </c>
      <c r="K178" s="169">
        <v>-96152.98</v>
      </c>
      <c r="L178" s="169">
        <v>55934.46</v>
      </c>
      <c r="M178" s="169">
        <v>-58087.28</v>
      </c>
      <c r="N178" s="50">
        <v>61913.0</v>
      </c>
      <c r="O178" s="111">
        <v>20.0</v>
      </c>
      <c r="P178" s="168">
        <v>6.0</v>
      </c>
    </row>
    <row r="179">
      <c r="A179" s="160">
        <v>45.0</v>
      </c>
      <c r="B179" s="160">
        <v>25.0</v>
      </c>
      <c r="C179" s="147">
        <v>7175.0</v>
      </c>
      <c r="D179" s="168">
        <v>210.0</v>
      </c>
      <c r="E179" s="24">
        <v>95.0</v>
      </c>
      <c r="F179" s="169">
        <v>-49295.22</v>
      </c>
      <c r="G179" s="169">
        <v>-89928.59</v>
      </c>
      <c r="H179" s="169">
        <v>99773.01</v>
      </c>
      <c r="I179" s="169">
        <v>16214.76</v>
      </c>
      <c r="J179" s="169">
        <v>-77652.84</v>
      </c>
      <c r="K179" s="169">
        <v>37624.31</v>
      </c>
      <c r="L179" s="169">
        <v>-29764.56</v>
      </c>
      <c r="M179" s="169">
        <v>15894.96</v>
      </c>
      <c r="N179" s="50">
        <v>91317.0</v>
      </c>
      <c r="O179" s="111">
        <v>20.0</v>
      </c>
      <c r="P179" s="168">
        <v>7.0</v>
      </c>
    </row>
    <row r="180">
      <c r="A180" s="160">
        <v>45.0</v>
      </c>
      <c r="B180" s="160">
        <v>26.0</v>
      </c>
      <c r="C180" s="170">
        <v>7176.0</v>
      </c>
      <c r="D180" s="168">
        <v>203.0</v>
      </c>
      <c r="E180" s="24">
        <v>80.0</v>
      </c>
      <c r="F180" s="169">
        <v>-50525.03</v>
      </c>
      <c r="G180" s="169">
        <v>40616.09</v>
      </c>
      <c r="H180" s="169">
        <v>-3108.4</v>
      </c>
      <c r="I180" s="169">
        <v>77600.24</v>
      </c>
      <c r="J180" s="169">
        <v>-37228.5</v>
      </c>
      <c r="K180" s="169">
        <v>29131.35</v>
      </c>
      <c r="L180" s="169">
        <v>-65063.26</v>
      </c>
      <c r="M180" s="169">
        <v>-60897.77</v>
      </c>
      <c r="N180" s="50">
        <v>82618.0</v>
      </c>
      <c r="O180" s="111">
        <v>22.0</v>
      </c>
      <c r="P180" s="168">
        <v>8.0</v>
      </c>
    </row>
    <row r="181">
      <c r="A181" s="160">
        <v>45.0</v>
      </c>
      <c r="B181" s="160">
        <v>29.0</v>
      </c>
      <c r="C181" s="170">
        <v>7177.0</v>
      </c>
      <c r="D181" s="168">
        <v>213.0</v>
      </c>
      <c r="E181" s="24">
        <v>48.0</v>
      </c>
      <c r="F181" s="169">
        <v>56282.87</v>
      </c>
      <c r="G181" s="169">
        <v>3403.87</v>
      </c>
      <c r="H181" s="169">
        <v>27617.88</v>
      </c>
      <c r="I181" s="169">
        <v>-92221.55</v>
      </c>
      <c r="J181" s="169">
        <v>-57263.19</v>
      </c>
      <c r="K181" s="169">
        <v>-70518.76</v>
      </c>
      <c r="L181" s="169">
        <v>44707.06</v>
      </c>
      <c r="M181" s="169">
        <v>-61272.62</v>
      </c>
      <c r="N181" s="50">
        <v>81121.0</v>
      </c>
      <c r="O181" s="111">
        <v>23.0</v>
      </c>
      <c r="P181" s="168">
        <v>1.0</v>
      </c>
    </row>
    <row r="182">
      <c r="A182" s="160">
        <v>24.0</v>
      </c>
      <c r="B182" s="160">
        <v>86.0</v>
      </c>
      <c r="C182" s="170">
        <v>7178.0</v>
      </c>
      <c r="D182" s="168">
        <v>210.0</v>
      </c>
      <c r="E182" s="24">
        <v>92.0</v>
      </c>
      <c r="F182" s="169">
        <v>92417.1</v>
      </c>
      <c r="G182" s="169">
        <v>-81158.6</v>
      </c>
      <c r="H182" s="169">
        <v>60711.81</v>
      </c>
      <c r="I182" s="169">
        <v>-2956.67</v>
      </c>
      <c r="J182" s="169">
        <v>68726.8</v>
      </c>
      <c r="K182" s="169">
        <v>93764.42</v>
      </c>
      <c r="L182" s="169">
        <v>-75673.63</v>
      </c>
      <c r="M182" s="169">
        <v>-28187.56</v>
      </c>
      <c r="N182" s="50">
        <v>40914.0</v>
      </c>
      <c r="O182" s="111">
        <v>22.0</v>
      </c>
      <c r="P182" s="168">
        <v>9.0</v>
      </c>
    </row>
    <row r="183">
      <c r="A183" s="160">
        <v>65.0</v>
      </c>
      <c r="B183" s="160">
        <v>83.0</v>
      </c>
      <c r="C183" s="170">
        <v>7179.0</v>
      </c>
      <c r="D183" s="168">
        <v>211.0</v>
      </c>
      <c r="E183" s="24">
        <v>78.0</v>
      </c>
      <c r="F183" s="169">
        <v>-96561.75</v>
      </c>
      <c r="G183" s="169">
        <v>-243.33</v>
      </c>
      <c r="H183" s="169">
        <v>37497.95</v>
      </c>
      <c r="I183" s="169">
        <v>-50363.53</v>
      </c>
      <c r="J183" s="169">
        <v>72694.18</v>
      </c>
      <c r="K183" s="169">
        <v>-32089.35</v>
      </c>
      <c r="L183" s="169">
        <v>-23764.45</v>
      </c>
      <c r="M183" s="169">
        <v>44233.72</v>
      </c>
      <c r="N183" s="50">
        <v>93022.0</v>
      </c>
      <c r="O183" s="111">
        <v>23.0</v>
      </c>
      <c r="P183" s="168">
        <v>5.0</v>
      </c>
    </row>
    <row r="184">
      <c r="A184" s="160">
        <v>86.0</v>
      </c>
      <c r="B184" s="160">
        <v>32.0</v>
      </c>
      <c r="C184" s="147">
        <v>7180.0</v>
      </c>
      <c r="D184" s="168">
        <v>219.0</v>
      </c>
      <c r="E184" s="24">
        <v>11.0</v>
      </c>
      <c r="F184" s="169">
        <v>-16528.67</v>
      </c>
      <c r="G184" s="169">
        <v>51741.43</v>
      </c>
      <c r="H184" s="169">
        <v>6948.62</v>
      </c>
      <c r="I184" s="169">
        <v>-61168.45</v>
      </c>
      <c r="J184" s="169">
        <v>-15843.36</v>
      </c>
      <c r="K184" s="169">
        <v>81781.93</v>
      </c>
      <c r="L184" s="169">
        <v>-44508.69</v>
      </c>
      <c r="M184" s="169">
        <v>-50497.95</v>
      </c>
      <c r="N184" s="50">
        <v>10116.0</v>
      </c>
      <c r="O184" s="111">
        <v>23.0</v>
      </c>
      <c r="P184" s="168">
        <v>1.0</v>
      </c>
    </row>
    <row r="185">
      <c r="A185" s="160">
        <v>24.0</v>
      </c>
      <c r="B185" s="160">
        <v>87.0</v>
      </c>
      <c r="C185" s="170">
        <v>7181.0</v>
      </c>
      <c r="D185" s="168">
        <v>204.0</v>
      </c>
      <c r="E185" s="24">
        <v>93.0</v>
      </c>
      <c r="F185" s="169">
        <v>40131.65</v>
      </c>
      <c r="G185" s="169">
        <v>28695.77</v>
      </c>
      <c r="H185" s="169">
        <v>-41522.01</v>
      </c>
      <c r="I185" s="169">
        <v>58971.17</v>
      </c>
      <c r="J185" s="169">
        <v>21159.19</v>
      </c>
      <c r="K185" s="169">
        <v>91032.94</v>
      </c>
      <c r="L185" s="169">
        <v>-16266.34</v>
      </c>
      <c r="M185" s="169">
        <v>-15457.35</v>
      </c>
      <c r="N185" s="50">
        <v>53118.0</v>
      </c>
      <c r="O185" s="111">
        <v>22.0</v>
      </c>
      <c r="P185" s="168">
        <v>9.0</v>
      </c>
    </row>
    <row r="186">
      <c r="A186" s="160">
        <v>86.0</v>
      </c>
      <c r="B186" s="160">
        <v>34.0</v>
      </c>
      <c r="C186" s="170">
        <v>7182.0</v>
      </c>
      <c r="D186" s="168">
        <v>201.0</v>
      </c>
      <c r="E186" s="24">
        <v>96.0</v>
      </c>
      <c r="F186" s="169">
        <v>-52123.25</v>
      </c>
      <c r="G186" s="169">
        <v>-84277.08</v>
      </c>
      <c r="H186" s="169">
        <v>46488.45</v>
      </c>
      <c r="I186" s="169">
        <v>63684.08</v>
      </c>
      <c r="J186" s="169">
        <v>-14784.02</v>
      </c>
      <c r="K186" s="169">
        <v>25229.1</v>
      </c>
      <c r="L186" s="169">
        <v>-63174.54</v>
      </c>
      <c r="M186" s="169">
        <v>-48414.94</v>
      </c>
      <c r="N186" s="50">
        <v>82014.0</v>
      </c>
      <c r="O186" s="111">
        <v>21.0</v>
      </c>
      <c r="P186" s="168">
        <v>3.0</v>
      </c>
    </row>
    <row r="187">
      <c r="A187" s="160">
        <v>24.0</v>
      </c>
      <c r="B187" s="160">
        <v>91.0</v>
      </c>
      <c r="C187" s="170">
        <v>7183.0</v>
      </c>
      <c r="D187" s="168">
        <v>201.0</v>
      </c>
      <c r="E187" s="24">
        <v>90.0</v>
      </c>
      <c r="F187" s="169">
        <v>43639.55</v>
      </c>
      <c r="G187" s="169">
        <v>63894.38</v>
      </c>
      <c r="H187" s="169">
        <v>-42385.61</v>
      </c>
      <c r="I187" s="169">
        <v>36258.02</v>
      </c>
      <c r="J187" s="169">
        <v>99702.47</v>
      </c>
      <c r="K187" s="169">
        <v>-27688.03</v>
      </c>
      <c r="L187" s="169">
        <v>46775.11</v>
      </c>
      <c r="M187" s="169">
        <v>18249.51</v>
      </c>
      <c r="N187" s="50">
        <v>20320.0</v>
      </c>
      <c r="O187" s="111">
        <v>23.0</v>
      </c>
      <c r="P187" s="168">
        <v>3.0</v>
      </c>
    </row>
    <row r="188">
      <c r="A188" s="160">
        <v>65.0</v>
      </c>
      <c r="B188" s="160">
        <v>84.0</v>
      </c>
      <c r="C188" s="170">
        <v>7184.0</v>
      </c>
      <c r="D188" s="168">
        <v>219.0</v>
      </c>
      <c r="E188" s="24">
        <v>87.0</v>
      </c>
      <c r="F188" s="169">
        <v>10333.89</v>
      </c>
      <c r="G188" s="169">
        <v>-43866.06</v>
      </c>
      <c r="H188" s="169">
        <v>44959.15</v>
      </c>
      <c r="I188" s="169">
        <v>29938.1</v>
      </c>
      <c r="J188" s="169">
        <v>64610.76</v>
      </c>
      <c r="K188" s="169">
        <v>30762.08</v>
      </c>
      <c r="L188" s="169">
        <v>-2094.39</v>
      </c>
      <c r="M188" s="169">
        <v>-79465.59</v>
      </c>
      <c r="N188" s="50">
        <v>32313.0</v>
      </c>
      <c r="O188" s="111">
        <v>22.0</v>
      </c>
      <c r="P188" s="168">
        <v>7.0</v>
      </c>
    </row>
    <row r="189">
      <c r="A189" s="160">
        <v>86.0</v>
      </c>
      <c r="B189" s="160">
        <v>38.0</v>
      </c>
      <c r="C189" s="147">
        <v>7185.0</v>
      </c>
      <c r="D189" s="168">
        <v>216.0</v>
      </c>
      <c r="E189" s="24">
        <v>46.0</v>
      </c>
      <c r="F189" s="169">
        <v>94110.92</v>
      </c>
      <c r="G189" s="169">
        <v>15644.42</v>
      </c>
      <c r="H189" s="169">
        <v>-45111.1</v>
      </c>
      <c r="I189" s="169">
        <v>-25257.96</v>
      </c>
      <c r="J189" s="169">
        <v>-18509.46</v>
      </c>
      <c r="K189" s="169">
        <v>29442.9</v>
      </c>
      <c r="L189" s="169">
        <v>-41135.71</v>
      </c>
      <c r="M189" s="169">
        <v>-77583.83</v>
      </c>
      <c r="N189" s="50">
        <v>73116.0</v>
      </c>
      <c r="O189" s="111">
        <v>23.0</v>
      </c>
      <c r="P189" s="168">
        <v>4.0</v>
      </c>
    </row>
    <row r="190">
      <c r="A190" s="160">
        <v>66.0</v>
      </c>
      <c r="B190" s="160">
        <v>0.0</v>
      </c>
      <c r="C190" s="170">
        <v>7186.0</v>
      </c>
      <c r="D190" s="168">
        <v>202.0</v>
      </c>
      <c r="E190" s="24">
        <v>18.0</v>
      </c>
      <c r="F190" s="169">
        <v>-56291.77</v>
      </c>
      <c r="G190" s="169">
        <v>91464.62</v>
      </c>
      <c r="H190" s="169">
        <v>45309.61</v>
      </c>
      <c r="I190" s="169">
        <v>-61264.63</v>
      </c>
      <c r="J190" s="169">
        <v>64768.42</v>
      </c>
      <c r="K190" s="169">
        <v>-52225.97</v>
      </c>
      <c r="L190" s="169">
        <v>79817.65</v>
      </c>
      <c r="M190" s="169">
        <v>-73152.93</v>
      </c>
      <c r="N190" s="50">
        <v>91620.0</v>
      </c>
      <c r="O190" s="111">
        <v>22.0</v>
      </c>
      <c r="P190" s="168">
        <v>3.0</v>
      </c>
    </row>
    <row r="191">
      <c r="A191" s="160">
        <v>45.0</v>
      </c>
      <c r="B191" s="160">
        <v>53.0</v>
      </c>
      <c r="C191" s="170">
        <v>7187.0</v>
      </c>
      <c r="D191" s="168">
        <v>203.0</v>
      </c>
      <c r="E191" s="24">
        <v>45.0</v>
      </c>
      <c r="F191" s="169">
        <v>10393.62</v>
      </c>
      <c r="G191" s="169">
        <v>-90477.15</v>
      </c>
      <c r="H191" s="169">
        <v>-90578.68</v>
      </c>
      <c r="I191" s="169">
        <v>-92376.49</v>
      </c>
      <c r="J191" s="169">
        <v>13717.92</v>
      </c>
      <c r="K191" s="169">
        <v>-86111.82</v>
      </c>
      <c r="L191" s="169">
        <v>17374.78</v>
      </c>
      <c r="M191" s="169">
        <v>43689.55</v>
      </c>
      <c r="N191" s="50">
        <v>40714.0</v>
      </c>
      <c r="O191" s="111">
        <v>22.0</v>
      </c>
      <c r="P191" s="168">
        <v>5.0</v>
      </c>
    </row>
    <row r="192">
      <c r="A192" s="160">
        <v>86.0</v>
      </c>
      <c r="B192" s="160">
        <v>50.0</v>
      </c>
      <c r="C192" s="170">
        <v>7188.0</v>
      </c>
      <c r="D192" s="168">
        <v>215.0</v>
      </c>
      <c r="E192" s="24">
        <v>47.0</v>
      </c>
      <c r="F192" s="169">
        <v>-94516.87</v>
      </c>
      <c r="G192" s="169">
        <v>-22496.69</v>
      </c>
      <c r="H192" s="169">
        <v>42721.86</v>
      </c>
      <c r="I192" s="169">
        <v>66448.3</v>
      </c>
      <c r="J192" s="169">
        <v>66438.97</v>
      </c>
      <c r="K192" s="169">
        <v>-10921.64</v>
      </c>
      <c r="L192" s="169">
        <v>-51563.39</v>
      </c>
      <c r="M192" s="169">
        <v>-41431.28</v>
      </c>
      <c r="N192" s="50">
        <v>92622.0</v>
      </c>
      <c r="O192" s="111">
        <v>21.0</v>
      </c>
      <c r="P192" s="168">
        <v>3.0</v>
      </c>
    </row>
    <row r="193">
      <c r="A193" s="160">
        <v>66.0</v>
      </c>
      <c r="B193" s="160">
        <v>7.0</v>
      </c>
      <c r="C193" s="170">
        <v>7189.0</v>
      </c>
      <c r="D193" s="168">
        <v>215.0</v>
      </c>
      <c r="E193" s="24">
        <v>33.0</v>
      </c>
      <c r="F193" s="169">
        <v>41714.2</v>
      </c>
      <c r="G193" s="169">
        <v>-65815.16</v>
      </c>
      <c r="H193" s="169">
        <v>-63624.07</v>
      </c>
      <c r="I193" s="169">
        <v>39109.16</v>
      </c>
      <c r="J193" s="169">
        <v>-21709.76</v>
      </c>
      <c r="K193" s="169">
        <v>-66447.4</v>
      </c>
      <c r="L193" s="169">
        <v>60450.53</v>
      </c>
      <c r="M193" s="169">
        <v>22263.7</v>
      </c>
      <c r="N193" s="50">
        <v>101016.0</v>
      </c>
      <c r="O193" s="111">
        <v>22.0</v>
      </c>
      <c r="P193" s="168">
        <v>9.0</v>
      </c>
    </row>
    <row r="194">
      <c r="A194" s="160">
        <v>25.0</v>
      </c>
      <c r="B194" s="160">
        <v>24.0</v>
      </c>
      <c r="C194" s="147">
        <v>7190.0</v>
      </c>
      <c r="D194" s="168">
        <v>211.0</v>
      </c>
      <c r="E194" s="24">
        <v>83.0</v>
      </c>
      <c r="F194" s="169">
        <v>77930.6</v>
      </c>
      <c r="G194" s="169">
        <v>43976.1</v>
      </c>
      <c r="H194" s="169">
        <v>-49875.23</v>
      </c>
      <c r="I194" s="169">
        <v>-47712.09</v>
      </c>
      <c r="J194" s="169">
        <v>-83531.84</v>
      </c>
      <c r="K194" s="169">
        <v>-91639.71</v>
      </c>
      <c r="L194" s="169">
        <v>32050.04</v>
      </c>
      <c r="M194" s="169">
        <v>-66705.76</v>
      </c>
      <c r="N194" s="50">
        <v>92715.0</v>
      </c>
      <c r="O194" s="111">
        <v>21.0</v>
      </c>
      <c r="P194" s="168">
        <v>1.0</v>
      </c>
    </row>
    <row r="195">
      <c r="A195" s="160">
        <v>25.0</v>
      </c>
      <c r="B195" s="160">
        <v>25.0</v>
      </c>
      <c r="C195" s="170">
        <v>7191.0</v>
      </c>
      <c r="D195" s="168">
        <v>213.0</v>
      </c>
      <c r="E195" s="24">
        <v>18.0</v>
      </c>
      <c r="F195" s="169">
        <v>-1335.14</v>
      </c>
      <c r="G195" s="169">
        <v>92579.06</v>
      </c>
      <c r="H195" s="169">
        <v>92947.14</v>
      </c>
      <c r="I195" s="169">
        <v>-92805.18</v>
      </c>
      <c r="J195" s="169">
        <v>-47274.68</v>
      </c>
      <c r="K195" s="169">
        <v>15220.06</v>
      </c>
      <c r="L195" s="169">
        <v>89176.29</v>
      </c>
      <c r="M195" s="169">
        <v>49112.64</v>
      </c>
      <c r="N195" s="50">
        <v>102318.0</v>
      </c>
      <c r="O195" s="111">
        <v>22.0</v>
      </c>
      <c r="P195" s="168">
        <v>7.0</v>
      </c>
    </row>
    <row r="196">
      <c r="A196" s="160">
        <v>86.0</v>
      </c>
      <c r="B196" s="160">
        <v>72.0</v>
      </c>
      <c r="C196" s="170">
        <v>7192.0</v>
      </c>
      <c r="D196" s="168">
        <v>215.0</v>
      </c>
      <c r="E196" s="24">
        <v>68.0</v>
      </c>
      <c r="F196" s="169">
        <v>77727.11</v>
      </c>
      <c r="G196" s="169">
        <v>87792.61</v>
      </c>
      <c r="H196" s="169">
        <v>23160.79</v>
      </c>
      <c r="I196" s="169">
        <v>56436.4</v>
      </c>
      <c r="J196" s="169">
        <v>-50723.88</v>
      </c>
      <c r="K196" s="169">
        <v>-71757.3</v>
      </c>
      <c r="L196" s="169">
        <v>-63431.83</v>
      </c>
      <c r="M196" s="169">
        <v>-29480.77</v>
      </c>
      <c r="N196" s="50">
        <v>80418.0</v>
      </c>
      <c r="O196" s="111">
        <v>20.0</v>
      </c>
      <c r="P196" s="168">
        <v>2.0</v>
      </c>
    </row>
    <row r="197">
      <c r="A197" s="160">
        <v>86.0</v>
      </c>
      <c r="B197" s="160">
        <v>73.0</v>
      </c>
      <c r="C197" s="170">
        <v>7193.0</v>
      </c>
      <c r="D197" s="168">
        <v>213.0</v>
      </c>
      <c r="E197" s="24">
        <v>27.0</v>
      </c>
      <c r="F197" s="169">
        <v>-30521.46</v>
      </c>
      <c r="G197" s="169">
        <v>-68642.93</v>
      </c>
      <c r="H197" s="169">
        <v>64502.39</v>
      </c>
      <c r="I197" s="169">
        <v>-18411.87</v>
      </c>
      <c r="J197" s="169">
        <v>-87265.74</v>
      </c>
      <c r="K197" s="169">
        <v>-82621.85</v>
      </c>
      <c r="L197" s="169">
        <v>-58981.77</v>
      </c>
      <c r="M197" s="169">
        <v>66314.27</v>
      </c>
      <c r="N197" s="50">
        <v>40115.0</v>
      </c>
      <c r="O197" s="111">
        <v>22.0</v>
      </c>
      <c r="P197" s="168">
        <v>2.0</v>
      </c>
    </row>
    <row r="198">
      <c r="A198" s="160">
        <v>45.0</v>
      </c>
      <c r="B198" s="160">
        <v>79.0</v>
      </c>
      <c r="C198" s="170">
        <v>7194.0</v>
      </c>
      <c r="D198" s="168">
        <v>212.0</v>
      </c>
      <c r="E198" s="24">
        <v>75.0</v>
      </c>
      <c r="F198" s="169">
        <v>91674.04</v>
      </c>
      <c r="G198" s="169">
        <v>-53098.69</v>
      </c>
      <c r="H198" s="169">
        <v>26547.02</v>
      </c>
      <c r="I198" s="169">
        <v>81927.8</v>
      </c>
      <c r="J198" s="169">
        <v>-97785.04</v>
      </c>
      <c r="K198" s="169">
        <v>60507.45</v>
      </c>
      <c r="L198" s="169">
        <v>45346.87</v>
      </c>
      <c r="M198" s="169">
        <v>99731.04</v>
      </c>
      <c r="N198" s="50">
        <v>53019.0</v>
      </c>
      <c r="O198" s="111">
        <v>23.0</v>
      </c>
      <c r="P198" s="168">
        <v>1.0</v>
      </c>
    </row>
    <row r="199">
      <c r="A199" s="160">
        <v>86.0</v>
      </c>
      <c r="B199" s="160">
        <v>76.0</v>
      </c>
      <c r="C199" s="147">
        <v>7195.0</v>
      </c>
      <c r="D199" s="168">
        <v>209.0</v>
      </c>
      <c r="E199" s="24">
        <v>26.0</v>
      </c>
      <c r="F199" s="169">
        <v>-78091.52</v>
      </c>
      <c r="G199" s="169">
        <v>58396.62</v>
      </c>
      <c r="H199" s="169">
        <v>-14145.61</v>
      </c>
      <c r="I199" s="169">
        <v>19004.37</v>
      </c>
      <c r="J199" s="169">
        <v>-15421.16</v>
      </c>
      <c r="K199" s="169">
        <v>-77054.76</v>
      </c>
      <c r="L199" s="169">
        <v>61690.31</v>
      </c>
      <c r="M199" s="169">
        <v>31494.55</v>
      </c>
      <c r="N199" s="50">
        <v>123016.0</v>
      </c>
      <c r="O199" s="111">
        <v>23.0</v>
      </c>
      <c r="P199" s="168">
        <v>1.0</v>
      </c>
    </row>
    <row r="200">
      <c r="A200" s="160">
        <v>66.0</v>
      </c>
      <c r="B200" s="160">
        <v>30.0</v>
      </c>
      <c r="C200" s="170">
        <v>7196.0</v>
      </c>
      <c r="D200" s="168">
        <v>213.0</v>
      </c>
      <c r="E200" s="24">
        <v>30.0</v>
      </c>
      <c r="F200" s="169">
        <v>-63153.49</v>
      </c>
      <c r="G200" s="169">
        <v>-71186.54</v>
      </c>
      <c r="H200" s="169">
        <v>92281.49</v>
      </c>
      <c r="I200" s="169">
        <v>-24580.77</v>
      </c>
      <c r="J200" s="169">
        <v>-9999.03</v>
      </c>
      <c r="K200" s="169">
        <v>24279.15</v>
      </c>
      <c r="L200" s="169">
        <v>44168.91</v>
      </c>
      <c r="M200" s="169">
        <v>-40412.1</v>
      </c>
      <c r="N200" s="50">
        <v>112914.0</v>
      </c>
      <c r="O200" s="111">
        <v>23.0</v>
      </c>
      <c r="P200" s="168">
        <v>5.0</v>
      </c>
    </row>
    <row r="201">
      <c r="A201" s="160">
        <v>45.0</v>
      </c>
      <c r="B201" s="160">
        <v>82.0</v>
      </c>
      <c r="C201" s="170">
        <v>7197.0</v>
      </c>
      <c r="D201" s="168">
        <v>200.0</v>
      </c>
      <c r="E201" s="24">
        <v>23.0</v>
      </c>
      <c r="F201" s="169">
        <v>40549.47</v>
      </c>
      <c r="G201" s="169">
        <v>32858.22</v>
      </c>
      <c r="H201" s="169">
        <v>86522.92</v>
      </c>
      <c r="I201" s="169">
        <v>88189.48</v>
      </c>
      <c r="J201" s="169">
        <v>-75127.28</v>
      </c>
      <c r="K201" s="169">
        <v>-8827.6</v>
      </c>
      <c r="L201" s="169">
        <v>-45558.88</v>
      </c>
      <c r="M201" s="169">
        <v>-16202.73</v>
      </c>
      <c r="N201" s="50">
        <v>22021.0</v>
      </c>
      <c r="O201" s="111">
        <v>20.0</v>
      </c>
      <c r="P201" s="168">
        <v>1.0</v>
      </c>
    </row>
    <row r="202">
      <c r="A202" s="160">
        <v>66.0</v>
      </c>
      <c r="B202" s="160">
        <v>32.0</v>
      </c>
      <c r="C202" s="170">
        <v>7198.0</v>
      </c>
      <c r="D202" s="168">
        <v>208.0</v>
      </c>
      <c r="E202" s="24">
        <v>55.0</v>
      </c>
      <c r="F202" s="169">
        <v>-2382.48</v>
      </c>
      <c r="G202" s="169">
        <v>-91447.84</v>
      </c>
      <c r="H202" s="169">
        <v>31614.61</v>
      </c>
      <c r="I202" s="169">
        <v>41782.95</v>
      </c>
      <c r="J202" s="169">
        <v>28221.73</v>
      </c>
      <c r="K202" s="169">
        <v>80322.0</v>
      </c>
      <c r="L202" s="169">
        <v>-85554.84</v>
      </c>
      <c r="M202" s="169">
        <v>77987.53</v>
      </c>
      <c r="N202" s="50">
        <v>60616.0</v>
      </c>
      <c r="O202" s="111">
        <v>20.0</v>
      </c>
      <c r="P202" s="168">
        <v>2.0</v>
      </c>
    </row>
    <row r="203">
      <c r="A203" s="160">
        <v>86.0</v>
      </c>
      <c r="B203" s="160">
        <v>82.0</v>
      </c>
      <c r="C203" s="170">
        <v>7199.0</v>
      </c>
      <c r="D203" s="168">
        <v>215.0</v>
      </c>
      <c r="E203" s="24">
        <v>56.0</v>
      </c>
      <c r="F203" s="169">
        <v>-62760.89</v>
      </c>
      <c r="G203" s="169">
        <v>52850.05</v>
      </c>
      <c r="H203" s="169">
        <v>5354.63</v>
      </c>
      <c r="I203" s="169">
        <v>67615.14</v>
      </c>
      <c r="J203" s="169">
        <v>6112.59</v>
      </c>
      <c r="K203" s="169">
        <v>10239.32</v>
      </c>
      <c r="L203" s="169">
        <v>-79445.3</v>
      </c>
      <c r="M203" s="169">
        <v>-30850.07</v>
      </c>
      <c r="N203" s="50">
        <v>52015.0</v>
      </c>
      <c r="O203" s="111">
        <v>22.0</v>
      </c>
      <c r="P203" s="168">
        <v>5.0</v>
      </c>
    </row>
    <row r="204">
      <c r="A204" s="160">
        <v>45.0</v>
      </c>
      <c r="B204" s="160">
        <v>90.0</v>
      </c>
      <c r="C204" s="147">
        <v>7200.0</v>
      </c>
      <c r="D204" s="168">
        <v>203.0</v>
      </c>
      <c r="E204" s="24">
        <v>99.0</v>
      </c>
      <c r="F204" s="169">
        <v>-58016.21</v>
      </c>
      <c r="G204" s="169">
        <v>-53197.78</v>
      </c>
      <c r="H204" s="169">
        <v>-97633.25</v>
      </c>
      <c r="I204" s="169">
        <v>62147.69</v>
      </c>
      <c r="J204" s="169">
        <v>-47607.52</v>
      </c>
      <c r="K204" s="169">
        <v>5192.21</v>
      </c>
      <c r="L204" s="169">
        <v>-25704.6</v>
      </c>
      <c r="M204" s="169">
        <v>55878.37</v>
      </c>
      <c r="N204" s="50">
        <v>11522.0</v>
      </c>
      <c r="O204" s="111">
        <v>20.0</v>
      </c>
      <c r="P204" s="168">
        <v>5.0</v>
      </c>
    </row>
    <row r="205">
      <c r="A205" s="160">
        <v>45.0</v>
      </c>
      <c r="B205" s="160">
        <v>94.0</v>
      </c>
      <c r="C205" s="170">
        <v>7201.0</v>
      </c>
      <c r="D205" s="168">
        <v>202.0</v>
      </c>
      <c r="E205" s="24">
        <v>28.0</v>
      </c>
      <c r="F205" s="169">
        <v>-76821.76</v>
      </c>
      <c r="G205" s="169">
        <v>-8278.72</v>
      </c>
      <c r="H205" s="169">
        <v>-39783.83</v>
      </c>
      <c r="I205" s="169">
        <v>26329.89</v>
      </c>
      <c r="J205" s="169">
        <v>-65613.71</v>
      </c>
      <c r="K205" s="169">
        <v>-97690.71</v>
      </c>
      <c r="L205" s="169">
        <v>-48854.41</v>
      </c>
      <c r="M205" s="169">
        <v>-98983.39</v>
      </c>
      <c r="N205" s="50">
        <v>71517.0</v>
      </c>
      <c r="O205" s="111">
        <v>22.0</v>
      </c>
      <c r="P205" s="168">
        <v>8.0</v>
      </c>
    </row>
    <row r="206">
      <c r="A206" s="160">
        <v>25.0</v>
      </c>
      <c r="B206" s="160">
        <v>47.0</v>
      </c>
      <c r="C206" s="170">
        <v>7202.0</v>
      </c>
      <c r="D206" s="168">
        <v>214.0</v>
      </c>
      <c r="E206" s="24">
        <v>79.0</v>
      </c>
      <c r="F206" s="169">
        <v>61019.51</v>
      </c>
      <c r="G206" s="169">
        <v>-64427.24</v>
      </c>
      <c r="H206" s="169">
        <v>78603.24</v>
      </c>
      <c r="I206" s="169">
        <v>-92903.05</v>
      </c>
      <c r="J206" s="169">
        <v>50393.33</v>
      </c>
      <c r="K206" s="169">
        <v>-85984.61</v>
      </c>
      <c r="L206" s="169">
        <v>-25295.6</v>
      </c>
      <c r="M206" s="169">
        <v>-58996.7</v>
      </c>
      <c r="N206" s="50">
        <v>91014.0</v>
      </c>
      <c r="O206" s="111">
        <v>22.0</v>
      </c>
      <c r="P206" s="168">
        <v>8.0</v>
      </c>
    </row>
    <row r="207">
      <c r="A207" s="160">
        <v>45.0</v>
      </c>
      <c r="B207" s="160">
        <v>96.0</v>
      </c>
      <c r="C207" s="170">
        <v>7203.0</v>
      </c>
      <c r="D207" s="168">
        <v>202.0</v>
      </c>
      <c r="E207" s="24">
        <v>82.0</v>
      </c>
      <c r="F207" s="169">
        <v>-49122.03</v>
      </c>
      <c r="G207" s="169">
        <v>-66115.06</v>
      </c>
      <c r="H207" s="169">
        <v>11202.27</v>
      </c>
      <c r="I207" s="169">
        <v>37416.3</v>
      </c>
      <c r="J207" s="169">
        <v>71192.44</v>
      </c>
      <c r="K207" s="169">
        <v>36739.14</v>
      </c>
      <c r="L207" s="169">
        <v>29741.58</v>
      </c>
      <c r="M207" s="169">
        <v>-74355.13</v>
      </c>
      <c r="N207" s="50">
        <v>30116.0</v>
      </c>
      <c r="O207" s="111">
        <v>20.0</v>
      </c>
      <c r="P207" s="168">
        <v>1.0</v>
      </c>
    </row>
    <row r="208">
      <c r="A208" s="160">
        <v>25.0</v>
      </c>
      <c r="B208" s="160">
        <v>52.0</v>
      </c>
      <c r="C208" s="170">
        <v>7204.0</v>
      </c>
      <c r="D208" s="168">
        <v>207.0</v>
      </c>
      <c r="E208" s="24">
        <v>63.0</v>
      </c>
      <c r="F208" s="169">
        <v>24851.86</v>
      </c>
      <c r="G208" s="169">
        <v>13101.71</v>
      </c>
      <c r="H208" s="169">
        <v>9840.11</v>
      </c>
      <c r="I208" s="169">
        <v>58061.2</v>
      </c>
      <c r="J208" s="169">
        <v>33473.36</v>
      </c>
      <c r="K208" s="169">
        <v>-64517.26</v>
      </c>
      <c r="L208" s="169">
        <v>57633.87</v>
      </c>
      <c r="M208" s="169">
        <v>83691.55</v>
      </c>
      <c r="N208" s="50">
        <v>90521.0</v>
      </c>
      <c r="O208" s="111">
        <v>22.0</v>
      </c>
      <c r="P208" s="168">
        <v>7.0</v>
      </c>
    </row>
    <row r="209">
      <c r="A209" s="160">
        <v>46.0</v>
      </c>
      <c r="B209" s="160">
        <v>6.0</v>
      </c>
      <c r="C209" s="147">
        <v>7205.0</v>
      </c>
      <c r="D209" s="168">
        <v>213.0</v>
      </c>
      <c r="E209" s="24">
        <v>43.0</v>
      </c>
      <c r="F209" s="169">
        <v>67037.14</v>
      </c>
      <c r="G209" s="169">
        <v>-7718.14</v>
      </c>
      <c r="H209" s="169">
        <v>-86068.25</v>
      </c>
      <c r="I209" s="169">
        <v>-1222.04</v>
      </c>
      <c r="J209" s="169">
        <v>-74254.1</v>
      </c>
      <c r="K209" s="169">
        <v>73049.33</v>
      </c>
      <c r="L209" s="169">
        <v>-96443.19</v>
      </c>
      <c r="M209" s="169">
        <v>-54303.07</v>
      </c>
      <c r="N209" s="50">
        <v>50216.0</v>
      </c>
      <c r="O209" s="111">
        <v>21.0</v>
      </c>
      <c r="P209" s="168">
        <v>3.0</v>
      </c>
    </row>
    <row r="210">
      <c r="A210" s="160">
        <v>87.0</v>
      </c>
      <c r="B210" s="160">
        <v>6.0</v>
      </c>
      <c r="C210" s="170">
        <v>7206.0</v>
      </c>
      <c r="D210" s="168">
        <v>210.0</v>
      </c>
      <c r="E210" s="24">
        <v>57.0</v>
      </c>
      <c r="F210" s="169">
        <v>44898.81</v>
      </c>
      <c r="G210" s="169">
        <v>-52149.46</v>
      </c>
      <c r="H210" s="169">
        <v>-20131.28</v>
      </c>
      <c r="I210" s="169">
        <v>-57461.42</v>
      </c>
      <c r="J210" s="169">
        <v>-14698.13</v>
      </c>
      <c r="K210" s="169">
        <v>-61692.94</v>
      </c>
      <c r="L210" s="169">
        <v>-88204.49</v>
      </c>
      <c r="M210" s="169">
        <v>20934.42</v>
      </c>
      <c r="N210" s="50">
        <v>92815.0</v>
      </c>
      <c r="O210" s="111">
        <v>22.0</v>
      </c>
      <c r="P210" s="168">
        <v>8.0</v>
      </c>
    </row>
    <row r="211">
      <c r="A211" s="160">
        <v>66.0</v>
      </c>
      <c r="B211" s="160">
        <v>60.0</v>
      </c>
      <c r="C211" s="170">
        <v>7207.0</v>
      </c>
      <c r="D211" s="168">
        <v>216.0</v>
      </c>
      <c r="E211" s="24">
        <v>89.0</v>
      </c>
      <c r="F211" s="169">
        <v>-76826.94</v>
      </c>
      <c r="G211" s="169">
        <v>20532.95</v>
      </c>
      <c r="H211" s="169">
        <v>-10283.34</v>
      </c>
      <c r="I211" s="169">
        <v>57803.27</v>
      </c>
      <c r="J211" s="169">
        <v>60852.51</v>
      </c>
      <c r="K211" s="169">
        <v>-8028.39</v>
      </c>
      <c r="L211" s="169">
        <v>57980.22</v>
      </c>
      <c r="M211" s="169">
        <v>92345.86</v>
      </c>
      <c r="N211" s="50">
        <v>122714.0</v>
      </c>
      <c r="O211" s="111">
        <v>23.0</v>
      </c>
      <c r="P211" s="168">
        <v>7.0</v>
      </c>
    </row>
    <row r="212">
      <c r="A212" s="160">
        <v>46.0</v>
      </c>
      <c r="B212" s="160">
        <v>13.0</v>
      </c>
      <c r="C212" s="170">
        <v>7208.0</v>
      </c>
      <c r="D212" s="168">
        <v>204.0</v>
      </c>
      <c r="E212" s="24">
        <v>49.0</v>
      </c>
      <c r="F212" s="169">
        <v>-1197.3</v>
      </c>
      <c r="G212" s="169">
        <v>789.99</v>
      </c>
      <c r="H212" s="169">
        <v>-73179.74</v>
      </c>
      <c r="I212" s="169">
        <v>56890.43</v>
      </c>
      <c r="J212" s="169">
        <v>37137.33</v>
      </c>
      <c r="K212" s="169">
        <v>-67551.59</v>
      </c>
      <c r="L212" s="169">
        <v>-86944.53</v>
      </c>
      <c r="M212" s="169">
        <v>-91418.05</v>
      </c>
      <c r="N212" s="50">
        <v>32015.0</v>
      </c>
      <c r="O212" s="111">
        <v>23.0</v>
      </c>
      <c r="P212" s="168">
        <v>8.0</v>
      </c>
    </row>
    <row r="213">
      <c r="A213" s="160">
        <v>66.0</v>
      </c>
      <c r="B213" s="160">
        <v>63.0</v>
      </c>
      <c r="C213" s="170">
        <v>7209.0</v>
      </c>
      <c r="D213" s="168">
        <v>206.0</v>
      </c>
      <c r="E213" s="24">
        <v>84.0</v>
      </c>
      <c r="F213" s="169">
        <v>-52235.86</v>
      </c>
      <c r="G213" s="169">
        <v>-36934.34</v>
      </c>
      <c r="H213" s="169">
        <v>-63696.03</v>
      </c>
      <c r="I213" s="169">
        <v>29781.65</v>
      </c>
      <c r="J213" s="169">
        <v>-72225.9</v>
      </c>
      <c r="K213" s="169">
        <v>48806.34</v>
      </c>
      <c r="L213" s="169">
        <v>-29000.05</v>
      </c>
      <c r="M213" s="169">
        <v>-89518.66</v>
      </c>
      <c r="N213" s="50">
        <v>72620.0</v>
      </c>
      <c r="O213" s="111">
        <v>21.0</v>
      </c>
      <c r="P213" s="168">
        <v>9.0</v>
      </c>
    </row>
    <row r="214">
      <c r="A214" s="160">
        <v>25.0</v>
      </c>
      <c r="B214" s="160">
        <v>67.0</v>
      </c>
      <c r="C214" s="147">
        <v>7210.0</v>
      </c>
      <c r="D214" s="168">
        <v>212.0</v>
      </c>
      <c r="E214" s="24">
        <v>24.0</v>
      </c>
      <c r="F214" s="169">
        <v>24517.76</v>
      </c>
      <c r="G214" s="169">
        <v>-79177.27</v>
      </c>
      <c r="H214" s="169">
        <v>75371.17</v>
      </c>
      <c r="I214" s="169">
        <v>56554.21</v>
      </c>
      <c r="J214" s="169">
        <v>62681.27</v>
      </c>
      <c r="K214" s="169">
        <v>-45237.46</v>
      </c>
      <c r="L214" s="169">
        <v>28009.24</v>
      </c>
      <c r="M214" s="169">
        <v>51753.36</v>
      </c>
      <c r="N214" s="50">
        <v>101214.0</v>
      </c>
      <c r="O214" s="111">
        <v>22.0</v>
      </c>
      <c r="P214" s="168">
        <v>7.0</v>
      </c>
    </row>
    <row r="215">
      <c r="A215" s="160">
        <v>87.0</v>
      </c>
      <c r="B215" s="160">
        <v>13.0</v>
      </c>
      <c r="C215" s="170">
        <v>7211.0</v>
      </c>
      <c r="D215" s="168">
        <v>218.0</v>
      </c>
      <c r="E215" s="24">
        <v>75.0</v>
      </c>
      <c r="F215" s="169">
        <v>-35677.53</v>
      </c>
      <c r="G215" s="169">
        <v>-79271.4</v>
      </c>
      <c r="H215" s="169">
        <v>54840.97</v>
      </c>
      <c r="I215" s="169">
        <v>54914.74</v>
      </c>
      <c r="J215" s="169">
        <v>-32022.09</v>
      </c>
      <c r="K215" s="169">
        <v>68354.85</v>
      </c>
      <c r="L215" s="169">
        <v>-74055.68</v>
      </c>
      <c r="M215" s="169">
        <v>24118.54</v>
      </c>
      <c r="N215" s="50">
        <v>71714.0</v>
      </c>
      <c r="O215" s="111">
        <v>22.0</v>
      </c>
      <c r="P215" s="168">
        <v>8.0</v>
      </c>
    </row>
    <row r="216">
      <c r="A216" s="160">
        <v>25.0</v>
      </c>
      <c r="B216" s="160">
        <v>68.0</v>
      </c>
      <c r="C216" s="170">
        <v>7212.0</v>
      </c>
      <c r="D216" s="168">
        <v>210.0</v>
      </c>
      <c r="E216" s="24">
        <v>45.0</v>
      </c>
      <c r="F216" s="169">
        <v>18576.04</v>
      </c>
      <c r="G216" s="169">
        <v>-63618.28</v>
      </c>
      <c r="H216" s="169">
        <v>-75996.16</v>
      </c>
      <c r="I216" s="169">
        <v>37076.16</v>
      </c>
      <c r="J216" s="169">
        <v>-2825.41</v>
      </c>
      <c r="K216" s="169">
        <v>-10626.59</v>
      </c>
      <c r="L216" s="169">
        <v>52565.44</v>
      </c>
      <c r="M216" s="169">
        <v>-22850.09</v>
      </c>
      <c r="N216" s="50">
        <v>60419.0</v>
      </c>
      <c r="O216" s="111">
        <v>22.0</v>
      </c>
      <c r="P216" s="168">
        <v>1.0</v>
      </c>
    </row>
    <row r="217">
      <c r="A217" s="160">
        <v>25.0</v>
      </c>
      <c r="B217" s="160">
        <v>71.0</v>
      </c>
      <c r="C217" s="170">
        <v>7213.0</v>
      </c>
      <c r="D217" s="168">
        <v>220.0</v>
      </c>
      <c r="E217" s="24">
        <v>29.0</v>
      </c>
      <c r="F217" s="169">
        <v>86671.98</v>
      </c>
      <c r="G217" s="169">
        <v>16286.94</v>
      </c>
      <c r="H217" s="169">
        <v>-77096.24</v>
      </c>
      <c r="I217" s="169">
        <v>22737.56</v>
      </c>
      <c r="J217" s="169">
        <v>93389.93</v>
      </c>
      <c r="K217" s="169">
        <v>80379.89</v>
      </c>
      <c r="L217" s="169">
        <v>-32084.51</v>
      </c>
      <c r="M217" s="169">
        <v>-79110.84</v>
      </c>
      <c r="N217" s="50">
        <v>62322.0</v>
      </c>
      <c r="O217" s="111">
        <v>21.0</v>
      </c>
      <c r="P217" s="168">
        <v>8.0</v>
      </c>
    </row>
    <row r="218">
      <c r="A218" s="160">
        <v>66.0</v>
      </c>
      <c r="B218" s="160">
        <v>69.0</v>
      </c>
      <c r="C218" s="170">
        <v>7214.0</v>
      </c>
      <c r="D218" s="168">
        <v>213.0</v>
      </c>
      <c r="E218" s="24">
        <v>53.0</v>
      </c>
      <c r="F218" s="169">
        <v>-8432.92</v>
      </c>
      <c r="G218" s="169">
        <v>-70448.62</v>
      </c>
      <c r="H218" s="169">
        <v>-68171.29</v>
      </c>
      <c r="I218" s="169">
        <v>79143.53</v>
      </c>
      <c r="J218" s="169">
        <v>37449.72</v>
      </c>
      <c r="K218" s="169">
        <v>152.95</v>
      </c>
      <c r="L218" s="169">
        <v>-2700.36</v>
      </c>
      <c r="M218" s="169">
        <v>-61121.13</v>
      </c>
      <c r="N218" s="50">
        <v>82118.0</v>
      </c>
      <c r="O218" s="111">
        <v>23.0</v>
      </c>
      <c r="P218" s="168">
        <v>9.0</v>
      </c>
    </row>
    <row r="219">
      <c r="A219" s="160">
        <v>25.0</v>
      </c>
      <c r="B219" s="160">
        <v>74.0</v>
      </c>
      <c r="C219" s="147">
        <v>7215.0</v>
      </c>
      <c r="D219" s="168">
        <v>213.0</v>
      </c>
      <c r="E219" s="24">
        <v>45.0</v>
      </c>
      <c r="F219" s="169">
        <v>-98470.68</v>
      </c>
      <c r="G219" s="169">
        <v>-23005.44</v>
      </c>
      <c r="H219" s="169">
        <v>-90598.66</v>
      </c>
      <c r="I219" s="169">
        <v>12894.18</v>
      </c>
      <c r="J219" s="169">
        <v>35173.37</v>
      </c>
      <c r="K219" s="169">
        <v>90116.34</v>
      </c>
      <c r="L219" s="169">
        <v>48307.14</v>
      </c>
      <c r="M219" s="169">
        <v>-82948.06</v>
      </c>
      <c r="N219" s="50">
        <v>120322.0</v>
      </c>
      <c r="O219" s="111">
        <v>20.0</v>
      </c>
      <c r="P219" s="168">
        <v>2.0</v>
      </c>
    </row>
    <row r="220">
      <c r="A220" s="160">
        <v>25.0</v>
      </c>
      <c r="B220" s="160">
        <v>75.0</v>
      </c>
      <c r="C220" s="170">
        <v>7216.0</v>
      </c>
      <c r="D220" s="168">
        <v>200.0</v>
      </c>
      <c r="E220" s="24">
        <v>13.0</v>
      </c>
      <c r="F220" s="169">
        <v>-58668.8</v>
      </c>
      <c r="G220" s="169">
        <v>-91899.62</v>
      </c>
      <c r="H220" s="169">
        <v>-3674.33</v>
      </c>
      <c r="I220" s="169">
        <v>64020.73</v>
      </c>
      <c r="J220" s="169">
        <v>23803.25</v>
      </c>
      <c r="K220" s="169">
        <v>-4102.96</v>
      </c>
      <c r="L220" s="169">
        <v>-23790.77</v>
      </c>
      <c r="M220" s="169">
        <v>-39254.46</v>
      </c>
      <c r="N220" s="50">
        <v>52621.0</v>
      </c>
      <c r="O220" s="111">
        <v>23.0</v>
      </c>
      <c r="P220" s="168">
        <v>2.0</v>
      </c>
    </row>
    <row r="221">
      <c r="A221" s="160">
        <v>46.0</v>
      </c>
      <c r="B221" s="160">
        <v>29.0</v>
      </c>
      <c r="C221" s="170">
        <v>7217.0</v>
      </c>
      <c r="D221" s="168">
        <v>204.0</v>
      </c>
      <c r="E221" s="24">
        <v>81.0</v>
      </c>
      <c r="F221" s="169">
        <v>-40423.03</v>
      </c>
      <c r="G221" s="169">
        <v>90657.2</v>
      </c>
      <c r="H221" s="169">
        <v>-60275.85</v>
      </c>
      <c r="I221" s="169">
        <v>41128.73</v>
      </c>
      <c r="J221" s="169">
        <v>-58447.66</v>
      </c>
      <c r="K221" s="169">
        <v>-29500.92</v>
      </c>
      <c r="L221" s="169">
        <v>83788.9</v>
      </c>
      <c r="M221" s="169">
        <v>37530.83</v>
      </c>
      <c r="N221" s="50">
        <v>10213.0</v>
      </c>
      <c r="O221" s="111">
        <v>23.0</v>
      </c>
      <c r="P221" s="168">
        <v>2.0</v>
      </c>
    </row>
    <row r="222">
      <c r="A222" s="160">
        <v>66.0</v>
      </c>
      <c r="B222" s="160">
        <v>78.0</v>
      </c>
      <c r="C222" s="170">
        <v>7218.0</v>
      </c>
      <c r="D222" s="168">
        <v>209.0</v>
      </c>
      <c r="E222" s="24">
        <v>27.0</v>
      </c>
      <c r="F222" s="169">
        <v>44716.74</v>
      </c>
      <c r="G222" s="169">
        <v>-95344.07</v>
      </c>
      <c r="H222" s="169">
        <v>27895.27</v>
      </c>
      <c r="I222" s="169">
        <v>-31538.05</v>
      </c>
      <c r="J222" s="169">
        <v>70249.69</v>
      </c>
      <c r="K222" s="169">
        <v>-59039.08</v>
      </c>
      <c r="L222" s="169">
        <v>-71948.0</v>
      </c>
      <c r="M222" s="169">
        <v>-57995.37</v>
      </c>
      <c r="N222" s="50">
        <v>100118.0</v>
      </c>
      <c r="O222" s="111">
        <v>23.0</v>
      </c>
      <c r="P222" s="168">
        <v>8.0</v>
      </c>
    </row>
    <row r="223">
      <c r="A223" s="160">
        <v>87.0</v>
      </c>
      <c r="B223" s="160">
        <v>27.0</v>
      </c>
      <c r="C223" s="170">
        <v>7219.0</v>
      </c>
      <c r="D223" s="168">
        <v>203.0</v>
      </c>
      <c r="E223" s="24">
        <v>54.0</v>
      </c>
      <c r="F223" s="169">
        <v>-39214.89</v>
      </c>
      <c r="G223" s="169">
        <v>12256.65</v>
      </c>
      <c r="H223" s="169">
        <v>-81314.04</v>
      </c>
      <c r="I223" s="169">
        <v>69362.67</v>
      </c>
      <c r="J223" s="169">
        <v>39800.92</v>
      </c>
      <c r="K223" s="169">
        <v>94435.62</v>
      </c>
      <c r="L223" s="169">
        <v>-20653.9</v>
      </c>
      <c r="M223" s="169">
        <v>-28622.09</v>
      </c>
      <c r="N223" s="50">
        <v>31314.0</v>
      </c>
      <c r="O223" s="111">
        <v>22.0</v>
      </c>
      <c r="P223" s="168">
        <v>6.0</v>
      </c>
    </row>
    <row r="224">
      <c r="A224" s="160">
        <v>46.0</v>
      </c>
      <c r="B224" s="160">
        <v>33.0</v>
      </c>
      <c r="C224" s="147">
        <v>7220.0</v>
      </c>
      <c r="D224" s="168">
        <v>219.0</v>
      </c>
      <c r="E224" s="24">
        <v>34.0</v>
      </c>
      <c r="F224" s="169">
        <v>33901.94</v>
      </c>
      <c r="G224" s="169">
        <v>-18366.69</v>
      </c>
      <c r="H224" s="169">
        <v>-26353.68</v>
      </c>
      <c r="I224" s="169">
        <v>-87615.06</v>
      </c>
      <c r="J224" s="169">
        <v>-7423.29</v>
      </c>
      <c r="K224" s="169">
        <v>56172.89</v>
      </c>
      <c r="L224" s="169">
        <v>-97897.21</v>
      </c>
      <c r="M224" s="169">
        <v>27971.86</v>
      </c>
      <c r="N224" s="50">
        <v>70317.0</v>
      </c>
      <c r="O224" s="111">
        <v>22.0</v>
      </c>
      <c r="P224" s="168">
        <v>6.0</v>
      </c>
    </row>
    <row r="225">
      <c r="A225" s="160">
        <v>25.0</v>
      </c>
      <c r="B225" s="160">
        <v>87.0</v>
      </c>
      <c r="C225" s="170">
        <v>7221.0</v>
      </c>
      <c r="D225" s="168">
        <v>216.0</v>
      </c>
      <c r="E225" s="24">
        <v>54.0</v>
      </c>
      <c r="F225" s="169">
        <v>57058.83</v>
      </c>
      <c r="G225" s="169">
        <v>23051.51</v>
      </c>
      <c r="H225" s="169">
        <v>-11092.21</v>
      </c>
      <c r="I225" s="169">
        <v>37135.94</v>
      </c>
      <c r="J225" s="169">
        <v>37369.55</v>
      </c>
      <c r="K225" s="169">
        <v>42142.95</v>
      </c>
      <c r="L225" s="169">
        <v>8762.21</v>
      </c>
      <c r="M225" s="169">
        <v>-60177.2</v>
      </c>
      <c r="N225" s="50">
        <v>50116.0</v>
      </c>
      <c r="O225" s="111">
        <v>20.0</v>
      </c>
      <c r="P225" s="168">
        <v>3.0</v>
      </c>
    </row>
    <row r="226">
      <c r="A226" s="160">
        <v>66.0</v>
      </c>
      <c r="B226" s="160">
        <v>84.0</v>
      </c>
      <c r="C226" s="170">
        <v>7222.0</v>
      </c>
      <c r="D226" s="168">
        <v>214.0</v>
      </c>
      <c r="E226" s="24">
        <v>41.0</v>
      </c>
      <c r="F226" s="169">
        <v>-58325.2</v>
      </c>
      <c r="G226" s="169">
        <v>51546.93</v>
      </c>
      <c r="H226" s="169">
        <v>54030.41</v>
      </c>
      <c r="I226" s="169">
        <v>-9996.32</v>
      </c>
      <c r="J226" s="169">
        <v>64378.22</v>
      </c>
      <c r="K226" s="169">
        <v>50724.28</v>
      </c>
      <c r="L226" s="169">
        <v>-52282.12</v>
      </c>
      <c r="M226" s="169">
        <v>87428.16</v>
      </c>
      <c r="N226" s="50">
        <v>11316.0</v>
      </c>
      <c r="O226" s="111">
        <v>23.0</v>
      </c>
      <c r="P226" s="168">
        <v>1.0</v>
      </c>
    </row>
    <row r="227">
      <c r="A227" s="160">
        <v>25.0</v>
      </c>
      <c r="B227" s="160">
        <v>88.0</v>
      </c>
      <c r="C227" s="170">
        <v>7223.0</v>
      </c>
      <c r="D227" s="168">
        <v>213.0</v>
      </c>
      <c r="E227" s="24">
        <v>49.0</v>
      </c>
      <c r="F227" s="169">
        <v>-95248.03</v>
      </c>
      <c r="G227" s="169">
        <v>48950.13</v>
      </c>
      <c r="H227" s="169">
        <v>-39823.91</v>
      </c>
      <c r="I227" s="169">
        <v>-12581.96</v>
      </c>
      <c r="J227" s="169">
        <v>57898.39</v>
      </c>
      <c r="K227" s="169">
        <v>-79797.65</v>
      </c>
      <c r="L227" s="169">
        <v>95482.99</v>
      </c>
      <c r="M227" s="169">
        <v>-34058.19</v>
      </c>
      <c r="N227" s="50">
        <v>121016.0</v>
      </c>
      <c r="O227" s="111">
        <v>20.0</v>
      </c>
      <c r="P227" s="168">
        <v>7.0</v>
      </c>
    </row>
    <row r="228">
      <c r="A228" s="160">
        <v>66.0</v>
      </c>
      <c r="B228" s="160">
        <v>86.0</v>
      </c>
      <c r="C228" s="170">
        <v>7224.0</v>
      </c>
      <c r="D228" s="168">
        <v>220.0</v>
      </c>
      <c r="E228" s="24">
        <v>63.0</v>
      </c>
      <c r="F228" s="169">
        <v>64454.32</v>
      </c>
      <c r="G228" s="169">
        <v>53303.84</v>
      </c>
      <c r="H228" s="169">
        <v>-53878.22</v>
      </c>
      <c r="I228" s="169">
        <v>11164.11</v>
      </c>
      <c r="J228" s="169">
        <v>74831.29</v>
      </c>
      <c r="K228" s="169">
        <v>71947.98</v>
      </c>
      <c r="L228" s="169">
        <v>96097.08</v>
      </c>
      <c r="M228" s="169">
        <v>-92206.71</v>
      </c>
      <c r="N228" s="50">
        <v>41120.0</v>
      </c>
      <c r="O228" s="111">
        <v>20.0</v>
      </c>
      <c r="P228" s="168">
        <v>2.0</v>
      </c>
    </row>
    <row r="229">
      <c r="A229" s="160">
        <v>87.0</v>
      </c>
      <c r="B229" s="160">
        <v>37.0</v>
      </c>
      <c r="C229" s="147">
        <v>7225.0</v>
      </c>
      <c r="D229" s="168">
        <v>211.0</v>
      </c>
      <c r="E229" s="24">
        <v>90.0</v>
      </c>
      <c r="F229" s="169">
        <v>25943.04</v>
      </c>
      <c r="G229" s="169">
        <v>-22407.1</v>
      </c>
      <c r="H229" s="169">
        <v>5831.25</v>
      </c>
      <c r="I229" s="169">
        <v>29469.7</v>
      </c>
      <c r="J229" s="169">
        <v>58329.42</v>
      </c>
      <c r="K229" s="169">
        <v>-11797.54</v>
      </c>
      <c r="L229" s="169">
        <v>-85078.86</v>
      </c>
      <c r="M229" s="169">
        <v>58970.63</v>
      </c>
      <c r="N229" s="50">
        <v>90422.0</v>
      </c>
      <c r="O229" s="111">
        <v>23.0</v>
      </c>
      <c r="P229" s="168">
        <v>5.0</v>
      </c>
    </row>
    <row r="230">
      <c r="A230" s="160">
        <v>66.0</v>
      </c>
      <c r="B230" s="160">
        <v>91.0</v>
      </c>
      <c r="C230" s="170">
        <v>7226.0</v>
      </c>
      <c r="D230" s="168">
        <v>209.0</v>
      </c>
      <c r="E230" s="24">
        <v>32.0</v>
      </c>
      <c r="F230" s="169">
        <v>-78583.36</v>
      </c>
      <c r="G230" s="169">
        <v>-91426.07</v>
      </c>
      <c r="H230" s="169">
        <v>78032.85</v>
      </c>
      <c r="I230" s="169">
        <v>33570.88</v>
      </c>
      <c r="J230" s="169">
        <v>-54874.34</v>
      </c>
      <c r="K230" s="169">
        <v>91482.57</v>
      </c>
      <c r="L230" s="169">
        <v>-18973.61</v>
      </c>
      <c r="M230" s="169">
        <v>68423.99</v>
      </c>
      <c r="N230" s="50">
        <v>11320.0</v>
      </c>
      <c r="O230" s="111">
        <v>21.0</v>
      </c>
      <c r="P230" s="168">
        <v>4.0</v>
      </c>
    </row>
    <row r="231">
      <c r="A231" s="160">
        <v>66.0</v>
      </c>
      <c r="B231" s="160">
        <v>93.0</v>
      </c>
      <c r="C231" s="170">
        <v>7227.0</v>
      </c>
      <c r="D231" s="168">
        <v>213.0</v>
      </c>
      <c r="E231" s="24">
        <v>61.0</v>
      </c>
      <c r="F231" s="169">
        <v>87282.69</v>
      </c>
      <c r="G231" s="169">
        <v>-32674.99</v>
      </c>
      <c r="H231" s="169">
        <v>76881.16</v>
      </c>
      <c r="I231" s="169">
        <v>-12365.22</v>
      </c>
      <c r="J231" s="169">
        <v>7664.21</v>
      </c>
      <c r="K231" s="169">
        <v>91607.25</v>
      </c>
      <c r="L231" s="169">
        <v>27107.18</v>
      </c>
      <c r="M231" s="169">
        <v>86660.26</v>
      </c>
      <c r="N231" s="50">
        <v>70618.0</v>
      </c>
      <c r="O231" s="111">
        <v>23.0</v>
      </c>
      <c r="P231" s="168">
        <v>2.0</v>
      </c>
    </row>
    <row r="232">
      <c r="A232" s="160">
        <v>66.0</v>
      </c>
      <c r="B232" s="160">
        <v>94.0</v>
      </c>
      <c r="C232" s="170">
        <v>7228.0</v>
      </c>
      <c r="D232" s="168">
        <v>200.0</v>
      </c>
      <c r="E232" s="24">
        <v>99.0</v>
      </c>
      <c r="F232" s="169">
        <v>-12874.37</v>
      </c>
      <c r="G232" s="169">
        <v>58874.43</v>
      </c>
      <c r="H232" s="169">
        <v>85012.27</v>
      </c>
      <c r="I232" s="169">
        <v>654.27</v>
      </c>
      <c r="J232" s="169">
        <v>77743.86</v>
      </c>
      <c r="K232" s="169">
        <v>-69741.68</v>
      </c>
      <c r="L232" s="169">
        <v>-66639.73</v>
      </c>
      <c r="M232" s="169">
        <v>8058.66</v>
      </c>
      <c r="N232" s="50">
        <v>101017.0</v>
      </c>
      <c r="O232" s="111">
        <v>21.0</v>
      </c>
      <c r="P232" s="168">
        <v>1.0</v>
      </c>
    </row>
    <row r="233">
      <c r="A233" s="160">
        <v>66.0</v>
      </c>
      <c r="B233" s="160">
        <v>96.0</v>
      </c>
      <c r="C233" s="170">
        <v>7229.0</v>
      </c>
      <c r="D233" s="168">
        <v>204.0</v>
      </c>
      <c r="E233" s="24">
        <v>30.0</v>
      </c>
      <c r="F233" s="169">
        <v>-75179.82</v>
      </c>
      <c r="G233" s="169">
        <v>66188.3</v>
      </c>
      <c r="H233" s="169">
        <v>58823.89</v>
      </c>
      <c r="I233" s="169">
        <v>-59509.54</v>
      </c>
      <c r="J233" s="169">
        <v>-82543.97</v>
      </c>
      <c r="K233" s="169">
        <v>-75039.27</v>
      </c>
      <c r="L233" s="169">
        <v>-87847.03</v>
      </c>
      <c r="M233" s="169">
        <v>-56466.03</v>
      </c>
      <c r="N233" s="50">
        <v>72121.0</v>
      </c>
      <c r="O233" s="111">
        <v>23.0</v>
      </c>
      <c r="P233" s="168">
        <v>6.0</v>
      </c>
    </row>
    <row r="234">
      <c r="A234" s="160">
        <v>87.0</v>
      </c>
      <c r="B234" s="160">
        <v>45.0</v>
      </c>
      <c r="C234" s="147">
        <v>7230.0</v>
      </c>
      <c r="D234" s="168">
        <v>210.0</v>
      </c>
      <c r="E234" s="24">
        <v>12.0</v>
      </c>
      <c r="F234" s="169">
        <v>-13578.61</v>
      </c>
      <c r="G234" s="169">
        <v>68391.51</v>
      </c>
      <c r="H234" s="169">
        <v>-63418.19</v>
      </c>
      <c r="I234" s="169">
        <v>55350.8</v>
      </c>
      <c r="J234" s="169">
        <v>-84862.73</v>
      </c>
      <c r="K234" s="169">
        <v>56246.97</v>
      </c>
      <c r="L234" s="169">
        <v>-77893.39</v>
      </c>
      <c r="M234" s="169">
        <v>26772.74</v>
      </c>
      <c r="N234" s="50">
        <v>110116.0</v>
      </c>
      <c r="O234" s="111">
        <v>20.0</v>
      </c>
      <c r="P234" s="168">
        <v>7.0</v>
      </c>
    </row>
    <row r="235">
      <c r="A235" s="160">
        <v>87.0</v>
      </c>
      <c r="B235" s="160">
        <v>48.0</v>
      </c>
      <c r="C235" s="170">
        <v>7231.0</v>
      </c>
      <c r="D235" s="168">
        <v>215.0</v>
      </c>
      <c r="E235" s="24">
        <v>48.0</v>
      </c>
      <c r="F235" s="169">
        <v>93698.18</v>
      </c>
      <c r="G235" s="169">
        <v>-25997.35</v>
      </c>
      <c r="H235" s="169">
        <v>-84048.49</v>
      </c>
      <c r="I235" s="169">
        <v>-80619.23</v>
      </c>
      <c r="J235" s="169">
        <v>79320.26</v>
      </c>
      <c r="K235" s="169">
        <v>-31359.96</v>
      </c>
      <c r="L235" s="169">
        <v>45968.68</v>
      </c>
      <c r="M235" s="169">
        <v>32524.58</v>
      </c>
      <c r="N235" s="50">
        <v>21120.0</v>
      </c>
      <c r="O235" s="111">
        <v>22.0</v>
      </c>
      <c r="P235" s="168">
        <v>7.0</v>
      </c>
    </row>
    <row r="236">
      <c r="A236" s="160">
        <v>87.0</v>
      </c>
      <c r="B236" s="160">
        <v>49.0</v>
      </c>
      <c r="C236" s="170">
        <v>7232.0</v>
      </c>
      <c r="D236" s="168">
        <v>202.0</v>
      </c>
      <c r="E236" s="24">
        <v>88.0</v>
      </c>
      <c r="F236" s="169">
        <v>-95519.26</v>
      </c>
      <c r="G236" s="169">
        <v>45293.2</v>
      </c>
      <c r="H236" s="169">
        <v>-78157.12</v>
      </c>
      <c r="I236" s="169">
        <v>-56255.08</v>
      </c>
      <c r="J236" s="169">
        <v>45237.46</v>
      </c>
      <c r="K236" s="169">
        <v>-23927.93</v>
      </c>
      <c r="L236" s="169">
        <v>-73.55</v>
      </c>
      <c r="M236" s="169">
        <v>-33437.7</v>
      </c>
      <c r="N236" s="50">
        <v>31821.0</v>
      </c>
      <c r="O236" s="111">
        <v>22.0</v>
      </c>
      <c r="P236" s="168">
        <v>8.0</v>
      </c>
    </row>
    <row r="237">
      <c r="A237" s="160">
        <v>26.0</v>
      </c>
      <c r="B237" s="160">
        <v>8.0</v>
      </c>
      <c r="C237" s="170">
        <v>7233.0</v>
      </c>
      <c r="D237" s="168">
        <v>217.0</v>
      </c>
      <c r="E237" s="24">
        <v>32.0</v>
      </c>
      <c r="F237" s="169">
        <v>-39351.13</v>
      </c>
      <c r="G237" s="169">
        <v>-84470.3</v>
      </c>
      <c r="H237" s="169">
        <v>99224.95</v>
      </c>
      <c r="I237" s="169">
        <v>64652.19</v>
      </c>
      <c r="J237" s="169">
        <v>-1933.12</v>
      </c>
      <c r="K237" s="169">
        <v>-33688.23</v>
      </c>
      <c r="L237" s="169">
        <v>79287.51</v>
      </c>
      <c r="M237" s="169">
        <v>16336.75</v>
      </c>
      <c r="N237" s="50">
        <v>90713.0</v>
      </c>
      <c r="O237" s="111">
        <v>21.0</v>
      </c>
      <c r="P237" s="168">
        <v>5.0</v>
      </c>
    </row>
    <row r="238">
      <c r="A238" s="160">
        <v>87.0</v>
      </c>
      <c r="B238" s="160">
        <v>52.0</v>
      </c>
      <c r="C238" s="170">
        <v>7234.0</v>
      </c>
      <c r="D238" s="168">
        <v>210.0</v>
      </c>
      <c r="E238" s="24">
        <v>93.0</v>
      </c>
      <c r="F238" s="169">
        <v>66968.5</v>
      </c>
      <c r="G238" s="169">
        <v>12354.05</v>
      </c>
      <c r="H238" s="169">
        <v>4078.46</v>
      </c>
      <c r="I238" s="169">
        <v>59769.58</v>
      </c>
      <c r="J238" s="169">
        <v>97988.2</v>
      </c>
      <c r="K238" s="169">
        <v>95375.99</v>
      </c>
      <c r="L238" s="169">
        <v>55474.03</v>
      </c>
      <c r="M238" s="169">
        <v>13610.22</v>
      </c>
      <c r="N238" s="50">
        <v>50214.0</v>
      </c>
      <c r="O238" s="111">
        <v>20.0</v>
      </c>
      <c r="P238" s="168">
        <v>1.0</v>
      </c>
    </row>
    <row r="239">
      <c r="A239" s="160">
        <v>67.0</v>
      </c>
      <c r="B239" s="160">
        <v>4.0</v>
      </c>
      <c r="C239" s="147">
        <v>7235.0</v>
      </c>
      <c r="D239" s="168">
        <v>202.0</v>
      </c>
      <c r="E239" s="24">
        <v>60.0</v>
      </c>
      <c r="F239" s="169">
        <v>-92902.67</v>
      </c>
      <c r="G239" s="169">
        <v>-76438.26</v>
      </c>
      <c r="H239" s="169">
        <v>46539.67</v>
      </c>
      <c r="I239" s="169">
        <v>81402.84</v>
      </c>
      <c r="J239" s="169">
        <v>-31110.06</v>
      </c>
      <c r="K239" s="169">
        <v>-85270.97</v>
      </c>
      <c r="L239" s="169">
        <v>56325.16</v>
      </c>
      <c r="M239" s="169">
        <v>82193.17</v>
      </c>
      <c r="N239" s="50">
        <v>123115.0</v>
      </c>
      <c r="O239" s="111">
        <v>22.0</v>
      </c>
      <c r="P239" s="168">
        <v>6.0</v>
      </c>
    </row>
    <row r="240">
      <c r="A240" s="160">
        <v>46.0</v>
      </c>
      <c r="B240" s="160">
        <v>60.0</v>
      </c>
      <c r="C240" s="170">
        <v>7236.0</v>
      </c>
      <c r="D240" s="168">
        <v>208.0</v>
      </c>
      <c r="E240" s="24">
        <v>90.0</v>
      </c>
      <c r="F240" s="169">
        <v>26312.61</v>
      </c>
      <c r="G240" s="169">
        <v>21088.02</v>
      </c>
      <c r="H240" s="169">
        <v>-55906.45</v>
      </c>
      <c r="I240" s="169">
        <v>95073.05</v>
      </c>
      <c r="J240" s="169">
        <v>-71296.3</v>
      </c>
      <c r="K240" s="169">
        <v>68394.75</v>
      </c>
      <c r="L240" s="169">
        <v>7634.75</v>
      </c>
      <c r="M240" s="169">
        <v>84938.74</v>
      </c>
      <c r="N240" s="50">
        <v>31620.0</v>
      </c>
      <c r="O240" s="111">
        <v>20.0</v>
      </c>
      <c r="P240" s="168">
        <v>6.0</v>
      </c>
    </row>
    <row r="241">
      <c r="A241" s="160">
        <v>26.0</v>
      </c>
      <c r="B241" s="160">
        <v>12.0</v>
      </c>
      <c r="C241" s="170">
        <v>7237.0</v>
      </c>
      <c r="D241" s="168">
        <v>207.0</v>
      </c>
      <c r="E241" s="24">
        <v>29.0</v>
      </c>
      <c r="F241" s="169">
        <v>-13807.96</v>
      </c>
      <c r="G241" s="169">
        <v>52029.35</v>
      </c>
      <c r="H241" s="169">
        <v>71835.36</v>
      </c>
      <c r="I241" s="169">
        <v>-10865.79</v>
      </c>
      <c r="J241" s="169">
        <v>85427.35</v>
      </c>
      <c r="K241" s="169">
        <v>28197.58</v>
      </c>
      <c r="L241" s="169">
        <v>54261.99</v>
      </c>
      <c r="M241" s="169">
        <v>-29373.87</v>
      </c>
      <c r="N241" s="50">
        <v>102915.0</v>
      </c>
      <c r="O241" s="111">
        <v>23.0</v>
      </c>
      <c r="P241" s="168">
        <v>9.0</v>
      </c>
    </row>
    <row r="242">
      <c r="A242" s="160">
        <v>67.0</v>
      </c>
      <c r="B242" s="160">
        <v>14.0</v>
      </c>
      <c r="C242" s="170">
        <v>7238.0</v>
      </c>
      <c r="D242" s="168">
        <v>207.0</v>
      </c>
      <c r="E242" s="24">
        <v>26.0</v>
      </c>
      <c r="F242" s="169">
        <v>-74730.51</v>
      </c>
      <c r="G242" s="169">
        <v>54496.21</v>
      </c>
      <c r="H242" s="169">
        <v>-4971.57</v>
      </c>
      <c r="I242" s="169">
        <v>-67576.85</v>
      </c>
      <c r="J242" s="169">
        <v>94607.35</v>
      </c>
      <c r="K242" s="169">
        <v>84276.19</v>
      </c>
      <c r="L242" s="169">
        <v>-87652.55</v>
      </c>
      <c r="M242" s="169">
        <v>15121.62</v>
      </c>
      <c r="N242" s="50">
        <v>70319.0</v>
      </c>
      <c r="O242" s="111">
        <v>22.0</v>
      </c>
      <c r="P242" s="168">
        <v>4.0</v>
      </c>
    </row>
    <row r="243">
      <c r="A243" s="160">
        <v>26.0</v>
      </c>
      <c r="B243" s="160">
        <v>21.0</v>
      </c>
      <c r="C243" s="170">
        <v>7239.0</v>
      </c>
      <c r="D243" s="168">
        <v>204.0</v>
      </c>
      <c r="E243" s="24">
        <v>43.0</v>
      </c>
      <c r="F243" s="169">
        <v>15261.64</v>
      </c>
      <c r="G243" s="169">
        <v>-79508.47</v>
      </c>
      <c r="H243" s="169">
        <v>65912.86</v>
      </c>
      <c r="I243" s="169">
        <v>13238.18</v>
      </c>
      <c r="J243" s="169">
        <v>-92660.52</v>
      </c>
      <c r="K243" s="169">
        <v>89254.33</v>
      </c>
      <c r="L243" s="169">
        <v>-81762.69</v>
      </c>
      <c r="M243" s="169">
        <v>-8857.05</v>
      </c>
      <c r="N243" s="50">
        <v>50217.0</v>
      </c>
      <c r="O243" s="111">
        <v>23.0</v>
      </c>
      <c r="P243" s="168">
        <v>2.0</v>
      </c>
    </row>
    <row r="244">
      <c r="A244" s="160">
        <v>67.0</v>
      </c>
      <c r="B244" s="160">
        <v>18.0</v>
      </c>
      <c r="C244" s="147">
        <v>7240.0</v>
      </c>
      <c r="D244" s="168">
        <v>206.0</v>
      </c>
      <c r="E244" s="24">
        <v>67.0</v>
      </c>
      <c r="F244" s="169">
        <v>41999.18</v>
      </c>
      <c r="G244" s="169">
        <v>77258.01</v>
      </c>
      <c r="H244" s="169">
        <v>-41660.47</v>
      </c>
      <c r="I244" s="169">
        <v>20046.04</v>
      </c>
      <c r="J244" s="169">
        <v>27201.68</v>
      </c>
      <c r="K244" s="169">
        <v>-27380.6</v>
      </c>
      <c r="L244" s="169">
        <v>12939.43</v>
      </c>
      <c r="M244" s="169">
        <v>-36341.35</v>
      </c>
      <c r="N244" s="50">
        <v>91516.0</v>
      </c>
      <c r="O244" s="111">
        <v>22.0</v>
      </c>
      <c r="P244" s="168">
        <v>2.0</v>
      </c>
    </row>
    <row r="245">
      <c r="A245" s="160">
        <v>46.0</v>
      </c>
      <c r="B245" s="160">
        <v>70.0</v>
      </c>
      <c r="C245" s="170">
        <v>7241.0</v>
      </c>
      <c r="D245" s="168">
        <v>202.0</v>
      </c>
      <c r="E245" s="24">
        <v>55.0</v>
      </c>
      <c r="F245" s="169">
        <v>47114.73</v>
      </c>
      <c r="G245" s="169">
        <v>-6190.9</v>
      </c>
      <c r="H245" s="169">
        <v>-26960.94</v>
      </c>
      <c r="I245" s="169">
        <v>-49940.53</v>
      </c>
      <c r="J245" s="169">
        <v>57424.96</v>
      </c>
      <c r="K245" s="169">
        <v>-17481.3</v>
      </c>
      <c r="L245" s="169">
        <v>-73776.16</v>
      </c>
      <c r="M245" s="169">
        <v>-4880.21</v>
      </c>
      <c r="N245" s="50">
        <v>52514.0</v>
      </c>
      <c r="O245" s="111">
        <v>20.0</v>
      </c>
      <c r="P245" s="168">
        <v>1.0</v>
      </c>
    </row>
    <row r="246">
      <c r="A246" s="160">
        <v>87.0</v>
      </c>
      <c r="B246" s="160">
        <v>67.0</v>
      </c>
      <c r="C246" s="170">
        <v>7242.0</v>
      </c>
      <c r="D246" s="168">
        <v>215.0</v>
      </c>
      <c r="E246" s="24">
        <v>25.0</v>
      </c>
      <c r="F246" s="169">
        <v>92308.54</v>
      </c>
      <c r="G246" s="169">
        <v>91170.87</v>
      </c>
      <c r="H246" s="169">
        <v>-30464.19</v>
      </c>
      <c r="I246" s="169">
        <v>-64702.62</v>
      </c>
      <c r="J246" s="169">
        <v>-29407.74</v>
      </c>
      <c r="K246" s="169">
        <v>41628.89</v>
      </c>
      <c r="L246" s="169">
        <v>-71987.64</v>
      </c>
      <c r="M246" s="169">
        <v>81724.66</v>
      </c>
      <c r="N246" s="50">
        <v>42518.0</v>
      </c>
      <c r="O246" s="111">
        <v>22.0</v>
      </c>
      <c r="P246" s="168">
        <v>6.0</v>
      </c>
    </row>
    <row r="247">
      <c r="A247" s="160">
        <v>67.0</v>
      </c>
      <c r="B247" s="160">
        <v>21.0</v>
      </c>
      <c r="C247" s="170">
        <v>7243.0</v>
      </c>
      <c r="D247" s="168">
        <v>203.0</v>
      </c>
      <c r="E247" s="24">
        <v>64.0</v>
      </c>
      <c r="F247" s="169">
        <v>18473.14</v>
      </c>
      <c r="G247" s="169">
        <v>29146.81</v>
      </c>
      <c r="H247" s="169">
        <v>-75763.96</v>
      </c>
      <c r="I247" s="169">
        <v>-44564.07</v>
      </c>
      <c r="J247" s="169">
        <v>68459.97</v>
      </c>
      <c r="K247" s="169">
        <v>-60053.18</v>
      </c>
      <c r="L247" s="169">
        <v>-59507.25</v>
      </c>
      <c r="M247" s="169">
        <v>-48640.22</v>
      </c>
      <c r="N247" s="50">
        <v>100716.0</v>
      </c>
      <c r="O247" s="111">
        <v>20.0</v>
      </c>
      <c r="P247" s="168">
        <v>3.0</v>
      </c>
    </row>
    <row r="248">
      <c r="A248" s="160">
        <v>26.0</v>
      </c>
      <c r="B248" s="160">
        <v>24.0</v>
      </c>
      <c r="C248" s="170">
        <v>7244.0</v>
      </c>
      <c r="D248" s="168">
        <v>200.0</v>
      </c>
      <c r="E248" s="24">
        <v>65.0</v>
      </c>
      <c r="F248" s="169">
        <v>-40192.46</v>
      </c>
      <c r="G248" s="169">
        <v>50659.99</v>
      </c>
      <c r="H248" s="169">
        <v>-28534.19</v>
      </c>
      <c r="I248" s="169">
        <v>14673.62</v>
      </c>
      <c r="J248" s="169">
        <v>77194.31</v>
      </c>
      <c r="K248" s="169">
        <v>65462.46</v>
      </c>
      <c r="L248" s="169">
        <v>3736.78</v>
      </c>
      <c r="M248" s="169">
        <v>-77696.87</v>
      </c>
      <c r="N248" s="50">
        <v>81619.0</v>
      </c>
      <c r="O248" s="111">
        <v>21.0</v>
      </c>
      <c r="P248" s="168">
        <v>6.0</v>
      </c>
    </row>
    <row r="249">
      <c r="A249" s="160">
        <v>87.0</v>
      </c>
      <c r="B249" s="160">
        <v>69.0</v>
      </c>
      <c r="C249" s="147">
        <v>7245.0</v>
      </c>
      <c r="D249" s="168">
        <v>210.0</v>
      </c>
      <c r="E249" s="24">
        <v>94.0</v>
      </c>
      <c r="F249" s="169">
        <v>58447.37</v>
      </c>
      <c r="G249" s="169">
        <v>-37428.25</v>
      </c>
      <c r="H249" s="169">
        <v>12666.4</v>
      </c>
      <c r="I249" s="169">
        <v>7119.82</v>
      </c>
      <c r="J249" s="169">
        <v>-82118.24</v>
      </c>
      <c r="K249" s="169">
        <v>8939.83</v>
      </c>
      <c r="L249" s="169">
        <v>-9140.29</v>
      </c>
      <c r="M249" s="169">
        <v>-5446.2</v>
      </c>
      <c r="N249" s="50">
        <v>102613.0</v>
      </c>
      <c r="O249" s="111">
        <v>21.0</v>
      </c>
      <c r="P249" s="168">
        <v>4.0</v>
      </c>
    </row>
    <row r="250">
      <c r="A250" s="160">
        <v>26.0</v>
      </c>
      <c r="B250" s="160">
        <v>28.0</v>
      </c>
      <c r="C250" s="170">
        <v>7246.0</v>
      </c>
      <c r="D250" s="168">
        <v>218.0</v>
      </c>
      <c r="E250" s="24">
        <v>30.0</v>
      </c>
      <c r="F250" s="169">
        <v>-52843.17</v>
      </c>
      <c r="G250" s="169">
        <v>-98153.17</v>
      </c>
      <c r="H250" s="169">
        <v>54472.5</v>
      </c>
      <c r="I250" s="169">
        <v>-25335.48</v>
      </c>
      <c r="J250" s="169">
        <v>-87307.92</v>
      </c>
      <c r="K250" s="169">
        <v>68897.63</v>
      </c>
      <c r="L250" s="169">
        <v>-2594.61</v>
      </c>
      <c r="M250" s="169">
        <v>57149.2</v>
      </c>
      <c r="N250" s="50">
        <v>51119.0</v>
      </c>
      <c r="O250" s="111">
        <v>22.0</v>
      </c>
      <c r="P250" s="168">
        <v>2.0</v>
      </c>
    </row>
    <row r="251">
      <c r="A251" s="160">
        <v>26.0</v>
      </c>
      <c r="B251" s="160">
        <v>29.0</v>
      </c>
      <c r="C251" s="170">
        <v>7247.0</v>
      </c>
      <c r="D251" s="168">
        <v>211.0</v>
      </c>
      <c r="E251" s="24">
        <v>15.0</v>
      </c>
      <c r="F251" s="169">
        <v>47879.17</v>
      </c>
      <c r="G251" s="169">
        <v>19126.5</v>
      </c>
      <c r="H251" s="169">
        <v>-93212.06</v>
      </c>
      <c r="I251" s="169">
        <v>62750.38</v>
      </c>
      <c r="J251" s="169">
        <v>97607.07</v>
      </c>
      <c r="K251" s="169">
        <v>-84510.47</v>
      </c>
      <c r="L251" s="169">
        <v>-96.15</v>
      </c>
      <c r="M251" s="169">
        <v>43954.29</v>
      </c>
      <c r="N251" s="50">
        <v>71016.0</v>
      </c>
      <c r="O251" s="111">
        <v>20.0</v>
      </c>
      <c r="P251" s="168">
        <v>6.0</v>
      </c>
    </row>
    <row r="252">
      <c r="A252" s="160">
        <v>87.0</v>
      </c>
      <c r="B252" s="160">
        <v>75.0</v>
      </c>
      <c r="C252" s="170">
        <v>7248.0</v>
      </c>
      <c r="D252" s="168">
        <v>209.0</v>
      </c>
      <c r="E252" s="24">
        <v>96.0</v>
      </c>
      <c r="F252" s="169">
        <v>44584.58</v>
      </c>
      <c r="G252" s="169">
        <v>71447.25</v>
      </c>
      <c r="H252" s="169">
        <v>-14930.67</v>
      </c>
      <c r="I252" s="169">
        <v>-81918.52</v>
      </c>
      <c r="J252" s="169">
        <v>33298.4</v>
      </c>
      <c r="K252" s="169">
        <v>-43586.37</v>
      </c>
      <c r="L252" s="169">
        <v>41797.27</v>
      </c>
      <c r="M252" s="169">
        <v>79818.59</v>
      </c>
      <c r="N252" s="50">
        <v>72418.0</v>
      </c>
      <c r="O252" s="111">
        <v>22.0</v>
      </c>
      <c r="P252" s="168">
        <v>4.0</v>
      </c>
    </row>
    <row r="253">
      <c r="A253" s="160">
        <v>46.0</v>
      </c>
      <c r="B253" s="160">
        <v>80.0</v>
      </c>
      <c r="C253" s="170">
        <v>7249.0</v>
      </c>
      <c r="D253" s="168">
        <v>219.0</v>
      </c>
      <c r="E253" s="24">
        <v>27.0</v>
      </c>
      <c r="F253" s="169">
        <v>-13473.33</v>
      </c>
      <c r="G253" s="169">
        <v>94260.12</v>
      </c>
      <c r="H253" s="169">
        <v>-42288.83</v>
      </c>
      <c r="I253" s="169">
        <v>58740.52</v>
      </c>
      <c r="J253" s="169">
        <v>-28276.25</v>
      </c>
      <c r="K253" s="169">
        <v>-43899.06</v>
      </c>
      <c r="L253" s="169">
        <v>9626.76</v>
      </c>
      <c r="M253" s="169">
        <v>-40600.99</v>
      </c>
      <c r="N253" s="50">
        <v>50622.0</v>
      </c>
      <c r="O253" s="111">
        <v>23.0</v>
      </c>
      <c r="P253" s="168">
        <v>7.0</v>
      </c>
    </row>
    <row r="254">
      <c r="A254" s="160">
        <v>26.0</v>
      </c>
      <c r="B254" s="160">
        <v>34.0</v>
      </c>
      <c r="C254" s="147">
        <v>7250.0</v>
      </c>
      <c r="D254" s="168">
        <v>203.0</v>
      </c>
      <c r="E254" s="24">
        <v>16.0</v>
      </c>
      <c r="F254" s="169">
        <v>84581.73</v>
      </c>
      <c r="G254" s="169">
        <v>31675.47</v>
      </c>
      <c r="H254" s="169">
        <v>25696.95</v>
      </c>
      <c r="I254" s="169">
        <v>18091.74</v>
      </c>
      <c r="J254" s="169">
        <v>-91291.42</v>
      </c>
      <c r="K254" s="169">
        <v>-32890.26</v>
      </c>
      <c r="L254" s="169">
        <v>8502.5</v>
      </c>
      <c r="M254" s="169">
        <v>51365.8</v>
      </c>
      <c r="N254" s="50">
        <v>82818.0</v>
      </c>
      <c r="O254" s="111">
        <v>22.0</v>
      </c>
      <c r="P254" s="168">
        <v>4.0</v>
      </c>
    </row>
    <row r="255">
      <c r="A255" s="160">
        <v>67.0</v>
      </c>
      <c r="B255" s="160">
        <v>36.0</v>
      </c>
      <c r="C255" s="170">
        <v>7251.0</v>
      </c>
      <c r="D255" s="168">
        <v>214.0</v>
      </c>
      <c r="E255" s="24">
        <v>43.0</v>
      </c>
      <c r="F255" s="169">
        <v>-73301.02</v>
      </c>
      <c r="G255" s="169">
        <v>96749.21</v>
      </c>
      <c r="H255" s="169">
        <v>81234.69</v>
      </c>
      <c r="I255" s="169">
        <v>13421.71</v>
      </c>
      <c r="J255" s="169">
        <v>24841.71</v>
      </c>
      <c r="K255" s="169">
        <v>73476.33</v>
      </c>
      <c r="L255" s="169">
        <v>71764.96</v>
      </c>
      <c r="M255" s="169">
        <v>90027.63</v>
      </c>
      <c r="N255" s="50">
        <v>71322.0</v>
      </c>
      <c r="O255" s="111">
        <v>21.0</v>
      </c>
      <c r="P255" s="168">
        <v>9.0</v>
      </c>
    </row>
    <row r="256">
      <c r="A256" s="160">
        <v>87.0</v>
      </c>
      <c r="B256" s="160">
        <v>88.0</v>
      </c>
      <c r="C256" s="170">
        <v>7252.0</v>
      </c>
      <c r="D256" s="168">
        <v>208.0</v>
      </c>
      <c r="E256" s="24">
        <v>84.0</v>
      </c>
      <c r="F256" s="169">
        <v>-33709.33</v>
      </c>
      <c r="G256" s="169">
        <v>56420.05</v>
      </c>
      <c r="H256" s="169">
        <v>57488.05</v>
      </c>
      <c r="I256" s="169">
        <v>-4183.72</v>
      </c>
      <c r="J256" s="169">
        <v>-2468.15</v>
      </c>
      <c r="K256" s="169">
        <v>25820.34</v>
      </c>
      <c r="L256" s="169">
        <v>6918.06</v>
      </c>
      <c r="M256" s="169">
        <v>-3594.15</v>
      </c>
      <c r="N256" s="50">
        <v>51815.0</v>
      </c>
      <c r="O256" s="111">
        <v>21.0</v>
      </c>
      <c r="P256" s="168">
        <v>9.0</v>
      </c>
    </row>
    <row r="257">
      <c r="A257" s="160">
        <v>26.0</v>
      </c>
      <c r="B257" s="160">
        <v>45.0</v>
      </c>
      <c r="C257" s="170">
        <v>7253.0</v>
      </c>
      <c r="D257" s="168">
        <v>211.0</v>
      </c>
      <c r="E257" s="24">
        <v>90.0</v>
      </c>
      <c r="F257" s="169">
        <v>-53899.98</v>
      </c>
      <c r="G257" s="169">
        <v>-9218.01</v>
      </c>
      <c r="H257" s="169">
        <v>-25122.31</v>
      </c>
      <c r="I257" s="169">
        <v>-39138.47</v>
      </c>
      <c r="J257" s="169">
        <v>-98332.14</v>
      </c>
      <c r="K257" s="169">
        <v>-65294.84</v>
      </c>
      <c r="L257" s="169">
        <v>-44226.12</v>
      </c>
      <c r="M257" s="169">
        <v>-26072.55</v>
      </c>
      <c r="N257" s="50">
        <v>11221.0</v>
      </c>
      <c r="O257" s="111">
        <v>21.0</v>
      </c>
      <c r="P257" s="168">
        <v>4.0</v>
      </c>
    </row>
    <row r="258">
      <c r="A258" s="160">
        <v>26.0</v>
      </c>
      <c r="B258" s="160">
        <v>54.0</v>
      </c>
      <c r="C258" s="170">
        <v>7254.0</v>
      </c>
      <c r="D258" s="168">
        <v>216.0</v>
      </c>
      <c r="E258" s="24">
        <v>81.0</v>
      </c>
      <c r="F258" s="169">
        <v>-97707.81</v>
      </c>
      <c r="G258" s="169">
        <v>-41213.72</v>
      </c>
      <c r="H258" s="169">
        <v>-79159.98</v>
      </c>
      <c r="I258" s="169">
        <v>70512.9</v>
      </c>
      <c r="J258" s="169">
        <v>-78841.13</v>
      </c>
      <c r="K258" s="169">
        <v>-11667.22</v>
      </c>
      <c r="L258" s="169">
        <v>-11062.17</v>
      </c>
      <c r="M258" s="169">
        <v>43749.83</v>
      </c>
      <c r="N258" s="50">
        <v>32122.0</v>
      </c>
      <c r="O258" s="111">
        <v>21.0</v>
      </c>
      <c r="P258" s="168">
        <v>1.0</v>
      </c>
    </row>
    <row r="259">
      <c r="A259" s="160">
        <v>87.0</v>
      </c>
      <c r="B259" s="160">
        <v>99.0</v>
      </c>
      <c r="C259" s="147">
        <v>7255.0</v>
      </c>
      <c r="D259" s="168">
        <v>218.0</v>
      </c>
      <c r="E259" s="24">
        <v>46.0</v>
      </c>
      <c r="F259" s="169">
        <v>-68674.88</v>
      </c>
      <c r="G259" s="169">
        <v>-51173.1</v>
      </c>
      <c r="H259" s="169">
        <v>1329.94</v>
      </c>
      <c r="I259" s="169">
        <v>35542.38</v>
      </c>
      <c r="J259" s="169">
        <v>-9983.78</v>
      </c>
      <c r="K259" s="169">
        <v>-57558.03</v>
      </c>
      <c r="L259" s="169">
        <v>-89611.11</v>
      </c>
      <c r="M259" s="169">
        <v>30562.96</v>
      </c>
      <c r="N259" s="50">
        <v>30819.0</v>
      </c>
      <c r="O259" s="111">
        <v>20.0</v>
      </c>
      <c r="P259" s="168">
        <v>2.0</v>
      </c>
    </row>
    <row r="260">
      <c r="A260" s="160">
        <v>47.0</v>
      </c>
      <c r="B260" s="160">
        <v>2.0</v>
      </c>
      <c r="C260" s="170">
        <v>7256.0</v>
      </c>
      <c r="D260" s="168">
        <v>209.0</v>
      </c>
      <c r="E260" s="24">
        <v>37.0</v>
      </c>
      <c r="F260" s="169">
        <v>-26953.33</v>
      </c>
      <c r="G260" s="169">
        <v>-78228.7</v>
      </c>
      <c r="H260" s="169">
        <v>-3346.71</v>
      </c>
      <c r="I260" s="169">
        <v>55255.72</v>
      </c>
      <c r="J260" s="169">
        <v>28117.49</v>
      </c>
      <c r="K260" s="169">
        <v>60565.54</v>
      </c>
      <c r="L260" s="169">
        <v>99688.72</v>
      </c>
      <c r="M260" s="169">
        <v>88823.02</v>
      </c>
      <c r="N260" s="50">
        <v>60917.0</v>
      </c>
      <c r="O260" s="111">
        <v>22.0</v>
      </c>
      <c r="P260" s="168">
        <v>2.0</v>
      </c>
    </row>
    <row r="261">
      <c r="A261" s="160">
        <v>67.0</v>
      </c>
      <c r="B261" s="160">
        <v>50.0</v>
      </c>
      <c r="C261" s="170">
        <v>7257.0</v>
      </c>
      <c r="D261" s="168">
        <v>208.0</v>
      </c>
      <c r="E261" s="24">
        <v>71.0</v>
      </c>
      <c r="F261" s="169">
        <v>26525.19</v>
      </c>
      <c r="G261" s="169">
        <v>-94814.03</v>
      </c>
      <c r="H261" s="169">
        <v>-61263.02</v>
      </c>
      <c r="I261" s="169">
        <v>60356.87</v>
      </c>
      <c r="J261" s="169">
        <v>-99041.94</v>
      </c>
      <c r="K261" s="169">
        <v>41006.39</v>
      </c>
      <c r="L261" s="169">
        <v>87998.24</v>
      </c>
      <c r="M261" s="169">
        <v>-93742.6</v>
      </c>
      <c r="N261" s="50">
        <v>12015.0</v>
      </c>
      <c r="O261" s="111">
        <v>22.0</v>
      </c>
      <c r="P261" s="168">
        <v>9.0</v>
      </c>
    </row>
    <row r="262">
      <c r="A262" s="160">
        <v>26.0</v>
      </c>
      <c r="B262" s="160">
        <v>60.0</v>
      </c>
      <c r="C262" s="170">
        <v>7258.0</v>
      </c>
      <c r="D262" s="168">
        <v>213.0</v>
      </c>
      <c r="E262" s="24">
        <v>75.0</v>
      </c>
      <c r="F262" s="169">
        <v>3520.77</v>
      </c>
      <c r="G262" s="169">
        <v>-76444.3</v>
      </c>
      <c r="H262" s="169">
        <v>-90881.73</v>
      </c>
      <c r="I262" s="169">
        <v>84580.03</v>
      </c>
      <c r="J262" s="169">
        <v>52050.09</v>
      </c>
      <c r="K262" s="169">
        <v>59705.63</v>
      </c>
      <c r="L262" s="169">
        <v>30256.15</v>
      </c>
      <c r="M262" s="169">
        <v>-80130.85</v>
      </c>
      <c r="N262" s="50">
        <v>31214.0</v>
      </c>
      <c r="O262" s="111">
        <v>20.0</v>
      </c>
      <c r="P262" s="168">
        <v>3.0</v>
      </c>
    </row>
    <row r="263">
      <c r="A263" s="160">
        <v>47.0</v>
      </c>
      <c r="B263" s="160">
        <v>11.0</v>
      </c>
      <c r="C263" s="170">
        <v>7259.0</v>
      </c>
      <c r="D263" s="168">
        <v>205.0</v>
      </c>
      <c r="E263" s="24">
        <v>39.0</v>
      </c>
      <c r="F263" s="169">
        <v>21152.54</v>
      </c>
      <c r="G263" s="169">
        <v>-42360.14</v>
      </c>
      <c r="H263" s="169">
        <v>-10435.9</v>
      </c>
      <c r="I263" s="169">
        <v>-4998.4</v>
      </c>
      <c r="J263" s="169">
        <v>-18460.44</v>
      </c>
      <c r="K263" s="169">
        <v>56251.8</v>
      </c>
      <c r="L263" s="169">
        <v>91562.57</v>
      </c>
      <c r="M263" s="169">
        <v>75952.49</v>
      </c>
      <c r="N263" s="50">
        <v>90717.0</v>
      </c>
      <c r="O263" s="111">
        <v>20.0</v>
      </c>
      <c r="P263" s="168">
        <v>1.0</v>
      </c>
    </row>
    <row r="264">
      <c r="A264" s="160">
        <v>67.0</v>
      </c>
      <c r="B264" s="160">
        <v>62.0</v>
      </c>
      <c r="C264" s="147">
        <v>7260.0</v>
      </c>
      <c r="D264" s="168">
        <v>216.0</v>
      </c>
      <c r="E264" s="24">
        <v>36.0</v>
      </c>
      <c r="F264" s="169">
        <v>28499.05</v>
      </c>
      <c r="G264" s="169">
        <v>-22366.61</v>
      </c>
      <c r="H264" s="169">
        <v>68014.57</v>
      </c>
      <c r="I264" s="169">
        <v>-37381.7</v>
      </c>
      <c r="J264" s="169">
        <v>19494.82</v>
      </c>
      <c r="K264" s="169">
        <v>92614.67</v>
      </c>
      <c r="L264" s="169">
        <v>50921.7</v>
      </c>
      <c r="M264" s="169">
        <v>87752.1</v>
      </c>
      <c r="N264" s="50">
        <v>22316.0</v>
      </c>
      <c r="O264" s="111">
        <v>20.0</v>
      </c>
      <c r="P264" s="168">
        <v>4.0</v>
      </c>
    </row>
    <row r="265">
      <c r="A265" s="160">
        <v>47.0</v>
      </c>
      <c r="B265" s="160">
        <v>14.0</v>
      </c>
      <c r="C265" s="170">
        <v>7261.0</v>
      </c>
      <c r="D265" s="168">
        <v>219.0</v>
      </c>
      <c r="E265" s="24">
        <v>54.0</v>
      </c>
      <c r="F265" s="169">
        <v>93381.21</v>
      </c>
      <c r="G265" s="169">
        <v>-3669.21</v>
      </c>
      <c r="H265" s="169">
        <v>-61630.58</v>
      </c>
      <c r="I265" s="169">
        <v>53526.51</v>
      </c>
      <c r="J265" s="169">
        <v>-4277.39</v>
      </c>
      <c r="K265" s="169">
        <v>6074.36</v>
      </c>
      <c r="L265" s="169">
        <v>74024.86</v>
      </c>
      <c r="M265" s="169">
        <v>-77829.99</v>
      </c>
      <c r="N265" s="50">
        <v>112422.0</v>
      </c>
      <c r="O265" s="111">
        <v>23.0</v>
      </c>
      <c r="P265" s="168">
        <v>2.0</v>
      </c>
    </row>
    <row r="266">
      <c r="A266" s="160">
        <v>67.0</v>
      </c>
      <c r="B266" s="160">
        <v>64.0</v>
      </c>
      <c r="C266" s="170">
        <v>7262.0</v>
      </c>
      <c r="D266" s="168">
        <v>203.0</v>
      </c>
      <c r="E266" s="24">
        <v>35.0</v>
      </c>
      <c r="F266" s="169">
        <v>-90465.35</v>
      </c>
      <c r="G266" s="169">
        <v>-21955.34</v>
      </c>
      <c r="H266" s="169">
        <v>-53858.43</v>
      </c>
      <c r="I266" s="169">
        <v>72447.98</v>
      </c>
      <c r="J266" s="169">
        <v>80714.44</v>
      </c>
      <c r="K266" s="169">
        <v>-93546.96</v>
      </c>
      <c r="L266" s="169">
        <v>37069.19</v>
      </c>
      <c r="M266" s="169">
        <v>-4572.58</v>
      </c>
      <c r="N266" s="50">
        <v>122914.0</v>
      </c>
      <c r="O266" s="111">
        <v>21.0</v>
      </c>
      <c r="P266" s="168">
        <v>5.0</v>
      </c>
    </row>
    <row r="267">
      <c r="A267" s="160">
        <v>88.0</v>
      </c>
      <c r="B267" s="160">
        <v>21.0</v>
      </c>
      <c r="C267" s="170">
        <v>7263.0</v>
      </c>
      <c r="D267" s="168">
        <v>218.0</v>
      </c>
      <c r="E267" s="24">
        <v>37.0</v>
      </c>
      <c r="F267" s="169">
        <v>83967.17</v>
      </c>
      <c r="G267" s="169">
        <v>-21602.92</v>
      </c>
      <c r="H267" s="169">
        <v>70668.34</v>
      </c>
      <c r="I267" s="169">
        <v>30576.69</v>
      </c>
      <c r="J267" s="169">
        <v>23896.48</v>
      </c>
      <c r="K267" s="169">
        <v>-55226.82</v>
      </c>
      <c r="L267" s="169">
        <v>-83015.57</v>
      </c>
      <c r="M267" s="169">
        <v>-80824.15</v>
      </c>
      <c r="N267" s="50">
        <v>72114.0</v>
      </c>
      <c r="O267" s="111">
        <v>22.0</v>
      </c>
      <c r="P267" s="168">
        <v>4.0</v>
      </c>
    </row>
    <row r="268">
      <c r="A268" s="160">
        <v>67.0</v>
      </c>
      <c r="B268" s="160">
        <v>80.0</v>
      </c>
      <c r="C268" s="170">
        <v>7264.0</v>
      </c>
      <c r="D268" s="168">
        <v>211.0</v>
      </c>
      <c r="E268" s="24">
        <v>41.0</v>
      </c>
      <c r="F268" s="169">
        <v>-18599.86</v>
      </c>
      <c r="G268" s="169">
        <v>-98862.39</v>
      </c>
      <c r="H268" s="169">
        <v>-80347.83</v>
      </c>
      <c r="I268" s="169">
        <v>-44571.6</v>
      </c>
      <c r="J268" s="169">
        <v>1874.07</v>
      </c>
      <c r="K268" s="169">
        <v>-41767.2</v>
      </c>
      <c r="L268" s="169">
        <v>25550.19</v>
      </c>
      <c r="M268" s="169">
        <v>-47221.83</v>
      </c>
      <c r="N268" s="50">
        <v>41014.0</v>
      </c>
      <c r="O268" s="111">
        <v>23.0</v>
      </c>
      <c r="P268" s="168">
        <v>4.0</v>
      </c>
    </row>
    <row r="269">
      <c r="A269" s="160">
        <v>67.0</v>
      </c>
      <c r="B269" s="160">
        <v>81.0</v>
      </c>
      <c r="C269" s="147">
        <v>7265.0</v>
      </c>
      <c r="D269" s="168">
        <v>210.0</v>
      </c>
      <c r="E269" s="24">
        <v>62.0</v>
      </c>
      <c r="F269" s="169">
        <v>-89805.98</v>
      </c>
      <c r="G269" s="169">
        <v>28086.62</v>
      </c>
      <c r="H269" s="169">
        <v>65994.64</v>
      </c>
      <c r="I269" s="169">
        <v>95294.85</v>
      </c>
      <c r="J269" s="169">
        <v>78231.23</v>
      </c>
      <c r="K269" s="169">
        <v>17069.78</v>
      </c>
      <c r="L269" s="169">
        <v>-76793.55</v>
      </c>
      <c r="M269" s="169">
        <v>23336.95</v>
      </c>
      <c r="N269" s="50">
        <v>12221.0</v>
      </c>
      <c r="O269" s="111">
        <v>22.0</v>
      </c>
      <c r="P269" s="168">
        <v>5.0</v>
      </c>
    </row>
    <row r="270">
      <c r="A270" s="160">
        <v>88.0</v>
      </c>
      <c r="B270" s="160">
        <v>33.0</v>
      </c>
      <c r="C270" s="170">
        <v>7266.0</v>
      </c>
      <c r="D270" s="168">
        <v>206.0</v>
      </c>
      <c r="E270" s="24">
        <v>20.0</v>
      </c>
      <c r="F270" s="169">
        <v>77817.65</v>
      </c>
      <c r="G270" s="169">
        <v>-56831.74</v>
      </c>
      <c r="H270" s="169">
        <v>16705.09</v>
      </c>
      <c r="I270" s="169">
        <v>96564.05</v>
      </c>
      <c r="J270" s="169">
        <v>-33912.65</v>
      </c>
      <c r="K270" s="169">
        <v>41150.97</v>
      </c>
      <c r="L270" s="169">
        <v>-36101.52</v>
      </c>
      <c r="M270" s="169">
        <v>39430.4</v>
      </c>
      <c r="N270" s="50">
        <v>102321.0</v>
      </c>
      <c r="O270" s="111">
        <v>23.0</v>
      </c>
      <c r="P270" s="168">
        <v>3.0</v>
      </c>
    </row>
    <row r="271">
      <c r="A271" s="160">
        <v>88.0</v>
      </c>
      <c r="B271" s="160">
        <v>36.0</v>
      </c>
      <c r="C271" s="170">
        <v>7267.0</v>
      </c>
      <c r="D271" s="168">
        <v>202.0</v>
      </c>
      <c r="E271" s="24">
        <v>69.0</v>
      </c>
      <c r="F271" s="169">
        <v>21183.04</v>
      </c>
      <c r="G271" s="169">
        <v>41344.03</v>
      </c>
      <c r="H271" s="169">
        <v>6451.86</v>
      </c>
      <c r="I271" s="169">
        <v>-28130.07</v>
      </c>
      <c r="J271" s="169">
        <v>21621.33</v>
      </c>
      <c r="K271" s="169">
        <v>-35911.55</v>
      </c>
      <c r="L271" s="169">
        <v>-49906.13</v>
      </c>
      <c r="M271" s="169">
        <v>-59562.2</v>
      </c>
      <c r="N271" s="50">
        <v>30913.0</v>
      </c>
      <c r="O271" s="111">
        <v>23.0</v>
      </c>
      <c r="P271" s="168">
        <v>1.0</v>
      </c>
    </row>
    <row r="272">
      <c r="A272" s="160">
        <v>88.0</v>
      </c>
      <c r="B272" s="160">
        <v>40.0</v>
      </c>
      <c r="C272" s="170">
        <v>7268.0</v>
      </c>
      <c r="D272" s="168">
        <v>201.0</v>
      </c>
      <c r="E272" s="24">
        <v>69.0</v>
      </c>
      <c r="F272" s="169">
        <v>-27259.45</v>
      </c>
      <c r="G272" s="169">
        <v>59444.43</v>
      </c>
      <c r="H272" s="169">
        <v>64715.33</v>
      </c>
      <c r="I272" s="169">
        <v>65516.37</v>
      </c>
      <c r="J272" s="169">
        <v>-82200.71</v>
      </c>
      <c r="K272" s="169">
        <v>18955.47</v>
      </c>
      <c r="L272" s="169">
        <v>-97701.94</v>
      </c>
      <c r="M272" s="169">
        <v>91297.3</v>
      </c>
      <c r="N272" s="50">
        <v>41815.0</v>
      </c>
      <c r="O272" s="111">
        <v>22.0</v>
      </c>
      <c r="P272" s="168">
        <v>3.0</v>
      </c>
    </row>
    <row r="273">
      <c r="A273" s="160">
        <v>26.0</v>
      </c>
      <c r="B273" s="160">
        <v>99.0</v>
      </c>
      <c r="C273" s="170">
        <v>7269.0</v>
      </c>
      <c r="D273" s="168">
        <v>212.0</v>
      </c>
      <c r="E273" s="24">
        <v>28.0</v>
      </c>
      <c r="F273" s="169">
        <v>88225.24</v>
      </c>
      <c r="G273" s="169">
        <v>-91096.52</v>
      </c>
      <c r="H273" s="169">
        <v>-51128.31</v>
      </c>
      <c r="I273" s="169">
        <v>-42174.95</v>
      </c>
      <c r="J273" s="169">
        <v>-1502.55</v>
      </c>
      <c r="K273" s="169">
        <v>33447.11</v>
      </c>
      <c r="L273" s="169">
        <v>60674.87</v>
      </c>
      <c r="M273" s="169">
        <v>95643.45</v>
      </c>
      <c r="N273" s="50">
        <v>123116.0</v>
      </c>
      <c r="O273" s="111">
        <v>23.0</v>
      </c>
      <c r="P273" s="168">
        <v>6.0</v>
      </c>
    </row>
    <row r="274">
      <c r="A274" s="160">
        <v>27.0</v>
      </c>
      <c r="B274" s="160">
        <v>4.0</v>
      </c>
      <c r="C274" s="147">
        <v>7270.0</v>
      </c>
      <c r="D274" s="168">
        <v>213.0</v>
      </c>
      <c r="E274" s="24">
        <v>63.0</v>
      </c>
      <c r="F274" s="169">
        <v>12565.29</v>
      </c>
      <c r="G274" s="169">
        <v>-74909.17</v>
      </c>
      <c r="H274" s="169">
        <v>9603.4</v>
      </c>
      <c r="I274" s="169">
        <v>-87107.05</v>
      </c>
      <c r="J274" s="169">
        <v>-734.65</v>
      </c>
      <c r="K274" s="169">
        <v>-68397.19</v>
      </c>
      <c r="L274" s="169">
        <v>8060.26</v>
      </c>
      <c r="M274" s="169">
        <v>95422.3</v>
      </c>
      <c r="N274" s="50">
        <v>31514.0</v>
      </c>
      <c r="O274" s="111">
        <v>21.0</v>
      </c>
      <c r="P274" s="168">
        <v>3.0</v>
      </c>
    </row>
    <row r="275">
      <c r="A275" s="160">
        <v>47.0</v>
      </c>
      <c r="B275" s="160">
        <v>53.0</v>
      </c>
      <c r="C275" s="170">
        <v>7271.0</v>
      </c>
      <c r="D275" s="168">
        <v>219.0</v>
      </c>
      <c r="E275" s="24">
        <v>65.0</v>
      </c>
      <c r="F275" s="169">
        <v>-50618.07</v>
      </c>
      <c r="G275" s="169">
        <v>85441.06</v>
      </c>
      <c r="H275" s="169">
        <v>12852.7</v>
      </c>
      <c r="I275" s="169">
        <v>-21528.85</v>
      </c>
      <c r="J275" s="169">
        <v>58049.81</v>
      </c>
      <c r="K275" s="169">
        <v>71742.32</v>
      </c>
      <c r="L275" s="169">
        <v>19806.55</v>
      </c>
      <c r="M275" s="169">
        <v>-357.05</v>
      </c>
      <c r="N275" s="50">
        <v>120913.0</v>
      </c>
      <c r="O275" s="111">
        <v>22.0</v>
      </c>
      <c r="P275" s="168">
        <v>8.0</v>
      </c>
    </row>
    <row r="276">
      <c r="A276" s="160">
        <v>88.0</v>
      </c>
      <c r="B276" s="160">
        <v>48.0</v>
      </c>
      <c r="C276" s="170">
        <v>7272.0</v>
      </c>
      <c r="D276" s="168">
        <v>219.0</v>
      </c>
      <c r="E276" s="24">
        <v>40.0</v>
      </c>
      <c r="F276" s="169">
        <v>69758.57</v>
      </c>
      <c r="G276" s="169">
        <v>-52730.71</v>
      </c>
      <c r="H276" s="169">
        <v>55581.2</v>
      </c>
      <c r="I276" s="169">
        <v>33438.58</v>
      </c>
      <c r="J276" s="169">
        <v>75042.12</v>
      </c>
      <c r="K276" s="169">
        <v>68754.39</v>
      </c>
      <c r="L276" s="169">
        <v>-11056.06</v>
      </c>
      <c r="M276" s="169">
        <v>-88432.73</v>
      </c>
      <c r="N276" s="50">
        <v>81119.0</v>
      </c>
      <c r="O276" s="111">
        <v>20.0</v>
      </c>
      <c r="P276" s="168">
        <v>7.0</v>
      </c>
    </row>
    <row r="277">
      <c r="A277" s="160">
        <v>27.0</v>
      </c>
      <c r="B277" s="160">
        <v>7.0</v>
      </c>
      <c r="C277" s="170">
        <v>7273.0</v>
      </c>
      <c r="D277" s="168">
        <v>201.0</v>
      </c>
      <c r="E277" s="24">
        <v>15.0</v>
      </c>
      <c r="F277" s="169">
        <v>95762.91</v>
      </c>
      <c r="G277" s="169">
        <v>-95499.36</v>
      </c>
      <c r="H277" s="169">
        <v>-74506.34</v>
      </c>
      <c r="I277" s="169">
        <v>19249.37</v>
      </c>
      <c r="J277" s="169">
        <v>-19994.92</v>
      </c>
      <c r="K277" s="169">
        <v>60968.78</v>
      </c>
      <c r="L277" s="169">
        <v>-66805.71</v>
      </c>
      <c r="M277" s="169">
        <v>27116.01</v>
      </c>
      <c r="N277" s="50">
        <v>92519.0</v>
      </c>
      <c r="O277" s="111">
        <v>23.0</v>
      </c>
      <c r="P277" s="168">
        <v>9.0</v>
      </c>
    </row>
    <row r="278">
      <c r="A278" s="160">
        <v>68.0</v>
      </c>
      <c r="B278" s="160">
        <v>1.0</v>
      </c>
      <c r="C278" s="170">
        <v>7274.0</v>
      </c>
      <c r="D278" s="168">
        <v>201.0</v>
      </c>
      <c r="E278" s="24">
        <v>11.0</v>
      </c>
      <c r="F278" s="169">
        <v>41805.92</v>
      </c>
      <c r="G278" s="169">
        <v>85372.53</v>
      </c>
      <c r="H278" s="169">
        <v>-38344.33</v>
      </c>
      <c r="I278" s="169">
        <v>-80931.34</v>
      </c>
      <c r="J278" s="169">
        <v>-64599.45</v>
      </c>
      <c r="K278" s="169">
        <v>78625.74</v>
      </c>
      <c r="L278" s="169">
        <v>33702.91</v>
      </c>
      <c r="M278" s="169">
        <v>-48986.61</v>
      </c>
      <c r="N278" s="50">
        <v>22616.0</v>
      </c>
      <c r="O278" s="111">
        <v>22.0</v>
      </c>
      <c r="P278" s="168">
        <v>5.0</v>
      </c>
    </row>
    <row r="279">
      <c r="A279" s="160">
        <v>27.0</v>
      </c>
      <c r="B279" s="160">
        <v>15.0</v>
      </c>
      <c r="C279" s="147">
        <v>7275.0</v>
      </c>
      <c r="D279" s="168">
        <v>203.0</v>
      </c>
      <c r="E279" s="24">
        <v>50.0</v>
      </c>
      <c r="F279" s="169">
        <v>-15284.61</v>
      </c>
      <c r="G279" s="169">
        <v>-64646.6</v>
      </c>
      <c r="H279" s="169">
        <v>-3751.95</v>
      </c>
      <c r="I279" s="169">
        <v>30688.3</v>
      </c>
      <c r="J279" s="169">
        <v>-47436.43</v>
      </c>
      <c r="K279" s="169">
        <v>-14585.11</v>
      </c>
      <c r="L279" s="169">
        <v>51584.37</v>
      </c>
      <c r="M279" s="169">
        <v>65602.59</v>
      </c>
      <c r="N279" s="50">
        <v>112721.0</v>
      </c>
      <c r="O279" s="111">
        <v>21.0</v>
      </c>
      <c r="P279" s="168">
        <v>8.0</v>
      </c>
    </row>
    <row r="280">
      <c r="A280" s="160">
        <v>88.0</v>
      </c>
      <c r="B280" s="160">
        <v>59.0</v>
      </c>
      <c r="C280" s="170">
        <v>7276.0</v>
      </c>
      <c r="D280" s="168">
        <v>214.0</v>
      </c>
      <c r="E280" s="24">
        <v>32.0</v>
      </c>
      <c r="F280" s="169">
        <v>-96036.57</v>
      </c>
      <c r="G280" s="169">
        <v>-66279.94</v>
      </c>
      <c r="H280" s="169">
        <v>77890.2</v>
      </c>
      <c r="I280" s="169">
        <v>61077.95</v>
      </c>
      <c r="J280" s="169">
        <v>-80127.07</v>
      </c>
      <c r="K280" s="169">
        <v>85848.04</v>
      </c>
      <c r="L280" s="169">
        <v>-49602.33</v>
      </c>
      <c r="M280" s="169">
        <v>-37820.91</v>
      </c>
      <c r="N280" s="50">
        <v>92915.0</v>
      </c>
      <c r="O280" s="111">
        <v>22.0</v>
      </c>
      <c r="P280" s="168">
        <v>4.0</v>
      </c>
    </row>
    <row r="281">
      <c r="A281" s="160">
        <v>47.0</v>
      </c>
      <c r="B281" s="160">
        <v>65.0</v>
      </c>
      <c r="C281" s="170">
        <v>7277.0</v>
      </c>
      <c r="D281" s="168">
        <v>202.0</v>
      </c>
      <c r="E281" s="24">
        <v>72.0</v>
      </c>
      <c r="F281" s="169">
        <v>48373.58</v>
      </c>
      <c r="G281" s="169">
        <v>-46824.12</v>
      </c>
      <c r="H281" s="169">
        <v>62951.4</v>
      </c>
      <c r="I281" s="169">
        <v>81176.94</v>
      </c>
      <c r="J281" s="169">
        <v>-16953.22</v>
      </c>
      <c r="K281" s="169">
        <v>-95671.33</v>
      </c>
      <c r="L281" s="169">
        <v>41116.76</v>
      </c>
      <c r="M281" s="169">
        <v>-25675.83</v>
      </c>
      <c r="N281" s="50">
        <v>91013.0</v>
      </c>
      <c r="O281" s="111">
        <v>23.0</v>
      </c>
      <c r="P281" s="168">
        <v>6.0</v>
      </c>
    </row>
    <row r="282">
      <c r="A282" s="160">
        <v>68.0</v>
      </c>
      <c r="B282" s="160">
        <v>18.0</v>
      </c>
      <c r="C282" s="170">
        <v>7278.0</v>
      </c>
      <c r="D282" s="168">
        <v>200.0</v>
      </c>
      <c r="E282" s="24">
        <v>39.0</v>
      </c>
      <c r="F282" s="169">
        <v>45414.64</v>
      </c>
      <c r="G282" s="169">
        <v>19517.15</v>
      </c>
      <c r="H282" s="169">
        <v>84186.56</v>
      </c>
      <c r="I282" s="169">
        <v>-52334.79</v>
      </c>
      <c r="J282" s="169">
        <v>93552.78</v>
      </c>
      <c r="K282" s="169">
        <v>95288.02</v>
      </c>
      <c r="L282" s="169">
        <v>75647.66</v>
      </c>
      <c r="M282" s="169">
        <v>-9062.78</v>
      </c>
      <c r="N282" s="50">
        <v>31421.0</v>
      </c>
      <c r="O282" s="111">
        <v>22.0</v>
      </c>
      <c r="P282" s="168">
        <v>5.0</v>
      </c>
    </row>
    <row r="283">
      <c r="A283" s="160">
        <v>88.0</v>
      </c>
      <c r="B283" s="160">
        <v>77.0</v>
      </c>
      <c r="C283" s="170">
        <v>7279.0</v>
      </c>
      <c r="D283" s="168">
        <v>205.0</v>
      </c>
      <c r="E283" s="24">
        <v>67.0</v>
      </c>
      <c r="F283" s="169">
        <v>15380.72</v>
      </c>
      <c r="G283" s="169">
        <v>-71824.14</v>
      </c>
      <c r="H283" s="169">
        <v>13494.33</v>
      </c>
      <c r="I283" s="169">
        <v>-57780.66</v>
      </c>
      <c r="J283" s="169">
        <v>-84592.19</v>
      </c>
      <c r="K283" s="169">
        <v>25733.53</v>
      </c>
      <c r="L283" s="169">
        <v>6006.09</v>
      </c>
      <c r="M283" s="169">
        <v>43896.28</v>
      </c>
      <c r="N283" s="50">
        <v>100821.0</v>
      </c>
      <c r="O283" s="111">
        <v>23.0</v>
      </c>
      <c r="P283" s="168">
        <v>2.0</v>
      </c>
    </row>
    <row r="284">
      <c r="A284" s="160">
        <v>68.0</v>
      </c>
      <c r="B284" s="160">
        <v>29.0</v>
      </c>
      <c r="C284" s="147">
        <v>7280.0</v>
      </c>
      <c r="D284" s="168">
        <v>214.0</v>
      </c>
      <c r="E284" s="24">
        <v>73.0</v>
      </c>
      <c r="F284" s="169">
        <v>55144.81</v>
      </c>
      <c r="G284" s="169">
        <v>-4411.4</v>
      </c>
      <c r="H284" s="169">
        <v>-71264.99</v>
      </c>
      <c r="I284" s="169">
        <v>69520.93</v>
      </c>
      <c r="J284" s="169">
        <v>-48376.51</v>
      </c>
      <c r="K284" s="169">
        <v>46462.27</v>
      </c>
      <c r="L284" s="169">
        <v>-18669.52</v>
      </c>
      <c r="M284" s="169">
        <v>99365.61</v>
      </c>
      <c r="N284" s="50">
        <v>81020.0</v>
      </c>
      <c r="O284" s="111">
        <v>21.0</v>
      </c>
      <c r="P284" s="168">
        <v>4.0</v>
      </c>
    </row>
    <row r="285">
      <c r="A285" s="160">
        <v>27.0</v>
      </c>
      <c r="B285" s="160">
        <v>38.0</v>
      </c>
      <c r="C285" s="170">
        <v>7281.0</v>
      </c>
      <c r="D285" s="168">
        <v>209.0</v>
      </c>
      <c r="E285" s="24">
        <v>82.0</v>
      </c>
      <c r="F285" s="169">
        <v>-51433.27</v>
      </c>
      <c r="G285" s="169">
        <v>-52005.46</v>
      </c>
      <c r="H285" s="169">
        <v>70216.17</v>
      </c>
      <c r="I285" s="169">
        <v>93787.73</v>
      </c>
      <c r="J285" s="169">
        <v>-44166.51</v>
      </c>
      <c r="K285" s="169">
        <v>53659.35</v>
      </c>
      <c r="L285" s="169">
        <v>7932.63</v>
      </c>
      <c r="M285" s="169">
        <v>-65941.11</v>
      </c>
      <c r="N285" s="50">
        <v>51917.0</v>
      </c>
      <c r="O285" s="111">
        <v>23.0</v>
      </c>
      <c r="P285" s="168">
        <v>3.0</v>
      </c>
    </row>
    <row r="286">
      <c r="A286" s="160">
        <v>68.0</v>
      </c>
      <c r="B286" s="160">
        <v>36.0</v>
      </c>
      <c r="C286" s="170">
        <v>7282.0</v>
      </c>
      <c r="D286" s="168">
        <v>219.0</v>
      </c>
      <c r="E286" s="24">
        <v>48.0</v>
      </c>
      <c r="F286" s="169">
        <v>-53617.68</v>
      </c>
      <c r="G286" s="169">
        <v>83527.15</v>
      </c>
      <c r="H286" s="169">
        <v>-74417.13</v>
      </c>
      <c r="I286" s="169">
        <v>-93700.12</v>
      </c>
      <c r="J286" s="169">
        <v>83887.85</v>
      </c>
      <c r="K286" s="169">
        <v>52420.08</v>
      </c>
      <c r="L286" s="169">
        <v>34419.04</v>
      </c>
      <c r="M286" s="169">
        <v>-3176.13</v>
      </c>
      <c r="N286" s="50">
        <v>101117.0</v>
      </c>
      <c r="O286" s="111">
        <v>20.0</v>
      </c>
      <c r="P286" s="168">
        <v>5.0</v>
      </c>
    </row>
    <row r="287">
      <c r="A287" s="160">
        <v>88.0</v>
      </c>
      <c r="B287" s="160">
        <v>84.0</v>
      </c>
      <c r="C287" s="170">
        <v>7283.0</v>
      </c>
      <c r="D287" s="168">
        <v>219.0</v>
      </c>
      <c r="E287" s="24">
        <v>79.0</v>
      </c>
      <c r="F287" s="169">
        <v>9170.62</v>
      </c>
      <c r="G287" s="169">
        <v>24480.77</v>
      </c>
      <c r="H287" s="169">
        <v>1735.94</v>
      </c>
      <c r="I287" s="169">
        <v>-4404.09</v>
      </c>
      <c r="J287" s="169">
        <v>58261.65</v>
      </c>
      <c r="K287" s="169">
        <v>23280.08</v>
      </c>
      <c r="L287" s="169">
        <v>55496.02</v>
      </c>
      <c r="M287" s="169">
        <v>18891.85</v>
      </c>
      <c r="N287" s="50">
        <v>112819.0</v>
      </c>
      <c r="O287" s="111">
        <v>21.0</v>
      </c>
      <c r="P287" s="168">
        <v>1.0</v>
      </c>
    </row>
    <row r="288">
      <c r="A288" s="160">
        <v>88.0</v>
      </c>
      <c r="B288" s="160">
        <v>87.0</v>
      </c>
      <c r="C288" s="170">
        <v>7284.0</v>
      </c>
      <c r="D288" s="168">
        <v>200.0</v>
      </c>
      <c r="E288" s="24">
        <v>50.0</v>
      </c>
      <c r="F288" s="169">
        <v>-61718.42</v>
      </c>
      <c r="G288" s="169">
        <v>31372.86</v>
      </c>
      <c r="H288" s="169">
        <v>79832.57</v>
      </c>
      <c r="I288" s="169">
        <v>-34608.88</v>
      </c>
      <c r="J288" s="169">
        <v>54538.68</v>
      </c>
      <c r="K288" s="169">
        <v>-17418.36</v>
      </c>
      <c r="L288" s="169">
        <v>-60290.97</v>
      </c>
      <c r="M288" s="169">
        <v>38535.64</v>
      </c>
      <c r="N288" s="50">
        <v>100915.0</v>
      </c>
      <c r="O288" s="111">
        <v>20.0</v>
      </c>
      <c r="P288" s="168">
        <v>9.0</v>
      </c>
    </row>
    <row r="289">
      <c r="A289" s="160">
        <v>68.0</v>
      </c>
      <c r="B289" s="160">
        <v>44.0</v>
      </c>
      <c r="C289" s="147">
        <v>7285.0</v>
      </c>
      <c r="D289" s="168">
        <v>217.0</v>
      </c>
      <c r="E289" s="24">
        <v>44.0</v>
      </c>
      <c r="F289" s="169">
        <v>-58953.22</v>
      </c>
      <c r="G289" s="169">
        <v>-68476.86</v>
      </c>
      <c r="H289" s="169">
        <v>-47272.12</v>
      </c>
      <c r="I289" s="169">
        <v>-56226.08</v>
      </c>
      <c r="J289" s="169">
        <v>-22832.36</v>
      </c>
      <c r="K289" s="169">
        <v>82552.05</v>
      </c>
      <c r="L289" s="169">
        <v>63618.79</v>
      </c>
      <c r="M289" s="169">
        <v>-8029.78</v>
      </c>
      <c r="N289" s="50">
        <v>91618.0</v>
      </c>
      <c r="O289" s="111">
        <v>20.0</v>
      </c>
      <c r="P289" s="168">
        <v>3.0</v>
      </c>
    </row>
    <row r="290">
      <c r="A290" s="160">
        <v>47.0</v>
      </c>
      <c r="B290" s="160">
        <v>96.0</v>
      </c>
      <c r="C290" s="170">
        <v>7286.0</v>
      </c>
      <c r="D290" s="168">
        <v>219.0</v>
      </c>
      <c r="E290" s="24">
        <v>78.0</v>
      </c>
      <c r="F290" s="169">
        <v>-85546.34</v>
      </c>
      <c r="G290" s="169">
        <v>-30746.52</v>
      </c>
      <c r="H290" s="169">
        <v>31116.64</v>
      </c>
      <c r="I290" s="169">
        <v>85465.7</v>
      </c>
      <c r="J290" s="169">
        <v>79558.8</v>
      </c>
      <c r="K290" s="169">
        <v>-69683.16</v>
      </c>
      <c r="L290" s="169">
        <v>95878.65</v>
      </c>
      <c r="M290" s="169">
        <v>96461.72</v>
      </c>
      <c r="N290" s="50">
        <v>82515.0</v>
      </c>
      <c r="O290" s="111">
        <v>23.0</v>
      </c>
      <c r="P290" s="168">
        <v>5.0</v>
      </c>
    </row>
    <row r="291">
      <c r="A291" s="160">
        <v>48.0</v>
      </c>
      <c r="B291" s="160">
        <v>2.0</v>
      </c>
      <c r="C291" s="170">
        <v>7287.0</v>
      </c>
      <c r="D291" s="168">
        <v>216.0</v>
      </c>
      <c r="E291" s="24">
        <v>77.0</v>
      </c>
      <c r="F291" s="169">
        <v>-33820.88</v>
      </c>
      <c r="G291" s="169">
        <v>46988.1</v>
      </c>
      <c r="H291" s="169">
        <v>25858.21</v>
      </c>
      <c r="I291" s="169">
        <v>-76396.26</v>
      </c>
      <c r="J291" s="169">
        <v>-3740.26</v>
      </c>
      <c r="K291" s="169">
        <v>772.67</v>
      </c>
      <c r="L291" s="169">
        <v>-99956.27</v>
      </c>
      <c r="M291" s="169">
        <v>-57850.69</v>
      </c>
      <c r="N291" s="50">
        <v>50321.0</v>
      </c>
      <c r="O291" s="111">
        <v>20.0</v>
      </c>
      <c r="P291" s="168">
        <v>4.0</v>
      </c>
    </row>
    <row r="292">
      <c r="A292" s="160">
        <v>27.0</v>
      </c>
      <c r="B292" s="160">
        <v>54.0</v>
      </c>
      <c r="C292" s="170">
        <v>7288.0</v>
      </c>
      <c r="D292" s="168">
        <v>201.0</v>
      </c>
      <c r="E292" s="24">
        <v>35.0</v>
      </c>
      <c r="F292" s="169">
        <v>17277.16</v>
      </c>
      <c r="G292" s="169">
        <v>-68795.86</v>
      </c>
      <c r="H292" s="169">
        <v>-89083.52</v>
      </c>
      <c r="I292" s="169">
        <v>-11869.62</v>
      </c>
      <c r="J292" s="169">
        <v>87932.69</v>
      </c>
      <c r="K292" s="169">
        <v>-33671.71</v>
      </c>
      <c r="L292" s="169">
        <v>15017.38</v>
      </c>
      <c r="M292" s="169">
        <v>82385.45</v>
      </c>
      <c r="N292" s="50">
        <v>120414.0</v>
      </c>
      <c r="O292" s="111">
        <v>20.0</v>
      </c>
      <c r="P292" s="168">
        <v>1.0</v>
      </c>
    </row>
    <row r="293">
      <c r="A293" s="160">
        <v>68.0</v>
      </c>
      <c r="B293" s="160">
        <v>50.0</v>
      </c>
      <c r="C293" s="170">
        <v>7289.0</v>
      </c>
      <c r="D293" s="168">
        <v>204.0</v>
      </c>
      <c r="E293" s="24">
        <v>50.0</v>
      </c>
      <c r="F293" s="169">
        <v>46796.27</v>
      </c>
      <c r="G293" s="169">
        <v>-69531.35</v>
      </c>
      <c r="H293" s="169">
        <v>4076.49</v>
      </c>
      <c r="I293" s="169">
        <v>86067.49</v>
      </c>
      <c r="J293" s="169">
        <v>-47283.37</v>
      </c>
      <c r="K293" s="169">
        <v>78004.55</v>
      </c>
      <c r="L293" s="169">
        <v>-53871.86</v>
      </c>
      <c r="M293" s="169">
        <v>69838.32</v>
      </c>
      <c r="N293" s="50">
        <v>91815.0</v>
      </c>
      <c r="O293" s="111">
        <v>23.0</v>
      </c>
      <c r="P293" s="168">
        <v>9.0</v>
      </c>
    </row>
    <row r="294">
      <c r="A294" s="160">
        <v>27.0</v>
      </c>
      <c r="B294" s="160">
        <v>56.0</v>
      </c>
      <c r="C294" s="147">
        <v>7290.0</v>
      </c>
      <c r="D294" s="168">
        <v>205.0</v>
      </c>
      <c r="E294" s="24">
        <v>82.0</v>
      </c>
      <c r="F294" s="169">
        <v>-22891.59</v>
      </c>
      <c r="G294" s="169">
        <v>-66282.44</v>
      </c>
      <c r="H294" s="169">
        <v>27505.89</v>
      </c>
      <c r="I294" s="169">
        <v>-40403.36</v>
      </c>
      <c r="J294" s="169">
        <v>-26305.65</v>
      </c>
      <c r="K294" s="169">
        <v>-88932.14</v>
      </c>
      <c r="L294" s="169">
        <v>89114.15</v>
      </c>
      <c r="M294" s="169">
        <v>-76756.09</v>
      </c>
      <c r="N294" s="50">
        <v>91314.0</v>
      </c>
      <c r="O294" s="111">
        <v>21.0</v>
      </c>
      <c r="P294" s="168">
        <v>6.0</v>
      </c>
    </row>
    <row r="295">
      <c r="A295" s="160">
        <v>27.0</v>
      </c>
      <c r="B295" s="160">
        <v>58.0</v>
      </c>
      <c r="C295" s="170">
        <v>7291.0</v>
      </c>
      <c r="D295" s="168">
        <v>219.0</v>
      </c>
      <c r="E295" s="24">
        <v>74.0</v>
      </c>
      <c r="F295" s="169">
        <v>55058.93</v>
      </c>
      <c r="G295" s="169">
        <v>-21420.42</v>
      </c>
      <c r="H295" s="169">
        <v>-99628.95</v>
      </c>
      <c r="I295" s="169">
        <v>22061.65</v>
      </c>
      <c r="J295" s="169">
        <v>87038.09</v>
      </c>
      <c r="K295" s="169">
        <v>17753.04</v>
      </c>
      <c r="L295" s="169">
        <v>55855.59</v>
      </c>
      <c r="M295" s="169">
        <v>-98124.45</v>
      </c>
      <c r="N295" s="50">
        <v>91215.0</v>
      </c>
      <c r="O295" s="111">
        <v>21.0</v>
      </c>
      <c r="P295" s="168">
        <v>3.0</v>
      </c>
    </row>
    <row r="296">
      <c r="A296" s="160">
        <v>68.0</v>
      </c>
      <c r="B296" s="160">
        <v>58.0</v>
      </c>
      <c r="C296" s="170">
        <v>7292.0</v>
      </c>
      <c r="D296" s="168">
        <v>200.0</v>
      </c>
      <c r="E296" s="24">
        <v>48.0</v>
      </c>
      <c r="F296" s="169">
        <v>47415.89</v>
      </c>
      <c r="G296" s="169">
        <v>24496.64</v>
      </c>
      <c r="H296" s="169">
        <v>61066.04</v>
      </c>
      <c r="I296" s="169">
        <v>90016.37</v>
      </c>
      <c r="J296" s="169">
        <v>85464.46</v>
      </c>
      <c r="K296" s="169">
        <v>55966.88</v>
      </c>
      <c r="L296" s="169">
        <v>-83984.43</v>
      </c>
      <c r="M296" s="169">
        <v>14993.06</v>
      </c>
      <c r="N296" s="50">
        <v>62218.0</v>
      </c>
      <c r="O296" s="111">
        <v>21.0</v>
      </c>
      <c r="P296" s="168">
        <v>1.0</v>
      </c>
    </row>
    <row r="297">
      <c r="A297" s="160">
        <v>48.0</v>
      </c>
      <c r="B297" s="160">
        <v>12.0</v>
      </c>
      <c r="C297" s="170">
        <v>7293.0</v>
      </c>
      <c r="D297" s="168">
        <v>204.0</v>
      </c>
      <c r="E297" s="24">
        <v>82.0</v>
      </c>
      <c r="F297" s="169">
        <v>37114.08</v>
      </c>
      <c r="G297" s="169">
        <v>-30075.78</v>
      </c>
      <c r="H297" s="169">
        <v>99552.15</v>
      </c>
      <c r="I297" s="169">
        <v>-35667.05</v>
      </c>
      <c r="J297" s="169">
        <v>13845.71</v>
      </c>
      <c r="K297" s="169">
        <v>66218.98</v>
      </c>
      <c r="L297" s="169">
        <v>-98186.52</v>
      </c>
      <c r="M297" s="169">
        <v>70895.36</v>
      </c>
      <c r="N297" s="50">
        <v>52916.0</v>
      </c>
      <c r="O297" s="111">
        <v>21.0</v>
      </c>
      <c r="P297" s="168">
        <v>6.0</v>
      </c>
    </row>
    <row r="298">
      <c r="A298" s="160">
        <v>27.0</v>
      </c>
      <c r="B298" s="160">
        <v>65.0</v>
      </c>
      <c r="C298" s="170">
        <v>7294.0</v>
      </c>
      <c r="D298" s="168">
        <v>214.0</v>
      </c>
      <c r="E298" s="24">
        <v>78.0</v>
      </c>
      <c r="F298" s="169">
        <v>-52211.69</v>
      </c>
      <c r="G298" s="169">
        <v>-15995.55</v>
      </c>
      <c r="H298" s="169">
        <v>72671.76</v>
      </c>
      <c r="I298" s="169">
        <v>8664.56</v>
      </c>
      <c r="J298" s="169">
        <v>86489.26</v>
      </c>
      <c r="K298" s="169">
        <v>-84214.92</v>
      </c>
      <c r="L298" s="169">
        <v>51875.71</v>
      </c>
      <c r="M298" s="169">
        <v>58640.32</v>
      </c>
      <c r="N298" s="50">
        <v>72616.0</v>
      </c>
      <c r="O298" s="111">
        <v>23.0</v>
      </c>
      <c r="P298" s="168">
        <v>9.0</v>
      </c>
    </row>
    <row r="299">
      <c r="A299" s="160">
        <v>48.0</v>
      </c>
      <c r="B299" s="160">
        <v>14.0</v>
      </c>
      <c r="C299" s="147">
        <v>7295.0</v>
      </c>
      <c r="D299" s="168">
        <v>212.0</v>
      </c>
      <c r="E299" s="24">
        <v>94.0</v>
      </c>
      <c r="F299" s="169">
        <v>55048.49</v>
      </c>
      <c r="G299" s="169">
        <v>16991.58</v>
      </c>
      <c r="H299" s="169">
        <v>11548.9</v>
      </c>
      <c r="I299" s="169">
        <v>-83916.63</v>
      </c>
      <c r="J299" s="169">
        <v>25408.97</v>
      </c>
      <c r="K299" s="169">
        <v>84239.06</v>
      </c>
      <c r="L299" s="169">
        <v>85839.78</v>
      </c>
      <c r="M299" s="169">
        <v>-70929.58</v>
      </c>
      <c r="N299" s="50">
        <v>10113.0</v>
      </c>
      <c r="O299" s="111">
        <v>23.0</v>
      </c>
      <c r="P299" s="168">
        <v>2.0</v>
      </c>
    </row>
    <row r="300">
      <c r="A300" s="160">
        <v>48.0</v>
      </c>
      <c r="B300" s="160">
        <v>15.0</v>
      </c>
      <c r="C300" s="170">
        <v>7296.0</v>
      </c>
      <c r="D300" s="168">
        <v>219.0</v>
      </c>
      <c r="E300" s="24">
        <v>96.0</v>
      </c>
      <c r="F300" s="169">
        <v>83371.23</v>
      </c>
      <c r="G300" s="169">
        <v>-64074.61</v>
      </c>
      <c r="H300" s="169">
        <v>-92003.9</v>
      </c>
      <c r="I300" s="169">
        <v>32481.21</v>
      </c>
      <c r="J300" s="169">
        <v>33831.35</v>
      </c>
      <c r="K300" s="169">
        <v>-33448.57</v>
      </c>
      <c r="L300" s="169">
        <v>-46451.06</v>
      </c>
      <c r="M300" s="169">
        <v>37337.48</v>
      </c>
      <c r="N300" s="50">
        <v>120320.0</v>
      </c>
      <c r="O300" s="111">
        <v>22.0</v>
      </c>
      <c r="P300" s="168">
        <v>3.0</v>
      </c>
    </row>
    <row r="301">
      <c r="A301" s="160">
        <v>68.0</v>
      </c>
      <c r="B301" s="160">
        <v>64.0</v>
      </c>
      <c r="C301" s="170">
        <v>7297.0</v>
      </c>
      <c r="D301" s="168">
        <v>202.0</v>
      </c>
      <c r="E301" s="24">
        <v>88.0</v>
      </c>
      <c r="F301" s="169">
        <v>-38337.02</v>
      </c>
      <c r="G301" s="169">
        <v>-71659.54</v>
      </c>
      <c r="H301" s="169">
        <v>63646.76</v>
      </c>
      <c r="I301" s="169">
        <v>2036.43</v>
      </c>
      <c r="J301" s="169">
        <v>49434.29</v>
      </c>
      <c r="K301" s="169">
        <v>-91341.64</v>
      </c>
      <c r="L301" s="169">
        <v>26969.96</v>
      </c>
      <c r="M301" s="169">
        <v>25846.36</v>
      </c>
      <c r="N301" s="50">
        <v>110521.0</v>
      </c>
      <c r="O301" s="111">
        <v>20.0</v>
      </c>
      <c r="P301" s="168">
        <v>5.0</v>
      </c>
    </row>
    <row r="302">
      <c r="A302" s="160">
        <v>27.0</v>
      </c>
      <c r="B302" s="160">
        <v>64.0</v>
      </c>
      <c r="C302" s="170">
        <v>7298.0</v>
      </c>
      <c r="D302" s="168">
        <v>207.0</v>
      </c>
      <c r="E302" s="24">
        <v>31.0</v>
      </c>
      <c r="F302" s="169">
        <v>-31048.12</v>
      </c>
      <c r="G302" s="169">
        <v>11172.65</v>
      </c>
      <c r="H302" s="169">
        <v>-3508.69</v>
      </c>
      <c r="I302" s="169">
        <v>-8218.85</v>
      </c>
      <c r="J302" s="169">
        <v>15921.39</v>
      </c>
      <c r="K302" s="169">
        <v>-44765.3</v>
      </c>
      <c r="L302" s="169">
        <v>17749.87</v>
      </c>
      <c r="M302" s="169">
        <v>3631.23</v>
      </c>
      <c r="N302" s="50">
        <v>21121.0</v>
      </c>
      <c r="O302" s="111">
        <v>21.0</v>
      </c>
      <c r="P302" s="168">
        <v>5.0</v>
      </c>
    </row>
    <row r="303">
      <c r="A303" s="160">
        <v>89.0</v>
      </c>
      <c r="B303" s="160">
        <v>11.0</v>
      </c>
      <c r="C303" s="170">
        <v>7299.0</v>
      </c>
      <c r="D303" s="168">
        <v>208.0</v>
      </c>
      <c r="E303" s="24">
        <v>66.0</v>
      </c>
      <c r="F303" s="169">
        <v>31147.68</v>
      </c>
      <c r="G303" s="169">
        <v>44602.17</v>
      </c>
      <c r="H303" s="169">
        <v>-88871.04</v>
      </c>
      <c r="I303" s="169">
        <v>45661.75</v>
      </c>
      <c r="J303" s="169">
        <v>-9107.04</v>
      </c>
      <c r="K303" s="169">
        <v>15366.39</v>
      </c>
      <c r="L303" s="169">
        <v>90634.73</v>
      </c>
      <c r="M303" s="169">
        <v>81578.52</v>
      </c>
      <c r="N303" s="50">
        <v>100122.0</v>
      </c>
      <c r="O303" s="111">
        <v>22.0</v>
      </c>
      <c r="P303" s="168">
        <v>3.0</v>
      </c>
    </row>
    <row r="304">
      <c r="A304" s="160">
        <v>89.0</v>
      </c>
      <c r="B304" s="160">
        <v>15.0</v>
      </c>
      <c r="C304" s="147">
        <v>7300.0</v>
      </c>
      <c r="D304" s="168">
        <v>209.0</v>
      </c>
      <c r="E304" s="24">
        <v>33.0</v>
      </c>
      <c r="F304" s="169">
        <v>62135.12</v>
      </c>
      <c r="G304" s="169">
        <v>42412.76</v>
      </c>
      <c r="H304" s="169">
        <v>539.02</v>
      </c>
      <c r="I304" s="169">
        <v>-9119.68</v>
      </c>
      <c r="J304" s="169">
        <v>30796.55</v>
      </c>
      <c r="K304" s="169">
        <v>19363.36</v>
      </c>
      <c r="L304" s="169">
        <v>40120.12</v>
      </c>
      <c r="M304" s="169">
        <v>-26224.33</v>
      </c>
      <c r="N304" s="50">
        <v>53013.0</v>
      </c>
      <c r="O304" s="111">
        <v>21.0</v>
      </c>
      <c r="P304" s="168">
        <v>8.0</v>
      </c>
    </row>
    <row r="305">
      <c r="A305" s="160">
        <v>68.0</v>
      </c>
      <c r="B305" s="160">
        <v>67.0</v>
      </c>
      <c r="C305" s="170">
        <v>7301.0</v>
      </c>
      <c r="D305" s="168">
        <v>216.0</v>
      </c>
      <c r="E305" s="24">
        <v>36.0</v>
      </c>
      <c r="F305" s="169">
        <v>-8268.14</v>
      </c>
      <c r="G305" s="169">
        <v>43420.78</v>
      </c>
      <c r="H305" s="169">
        <v>-15301.84</v>
      </c>
      <c r="I305" s="169">
        <v>44562.96</v>
      </c>
      <c r="J305" s="169">
        <v>-9298.53</v>
      </c>
      <c r="K305" s="169">
        <v>-9462.99</v>
      </c>
      <c r="L305" s="169">
        <v>-20958.83</v>
      </c>
      <c r="M305" s="169">
        <v>91403.62</v>
      </c>
      <c r="N305" s="50">
        <v>70922.0</v>
      </c>
      <c r="O305" s="111">
        <v>23.0</v>
      </c>
      <c r="P305" s="168">
        <v>1.0</v>
      </c>
    </row>
    <row r="306">
      <c r="A306" s="160">
        <v>27.0</v>
      </c>
      <c r="B306" s="160">
        <v>75.0</v>
      </c>
      <c r="C306" s="170">
        <v>7302.0</v>
      </c>
      <c r="D306" s="168">
        <v>206.0</v>
      </c>
      <c r="E306" s="24">
        <v>95.0</v>
      </c>
      <c r="F306" s="169">
        <v>-94496.62</v>
      </c>
      <c r="G306" s="169">
        <v>-66497.93</v>
      </c>
      <c r="H306" s="169">
        <v>-46652.27</v>
      </c>
      <c r="I306" s="169">
        <v>-84934.33</v>
      </c>
      <c r="J306" s="169">
        <v>-67052.52</v>
      </c>
      <c r="K306" s="169">
        <v>-16082.89</v>
      </c>
      <c r="L306" s="169">
        <v>-47358.9</v>
      </c>
      <c r="M306" s="169">
        <v>-70909.88</v>
      </c>
      <c r="N306" s="50">
        <v>51715.0</v>
      </c>
      <c r="O306" s="111">
        <v>21.0</v>
      </c>
      <c r="P306" s="168">
        <v>1.0</v>
      </c>
    </row>
    <row r="307">
      <c r="A307" s="160">
        <v>27.0</v>
      </c>
      <c r="B307" s="160">
        <v>77.0</v>
      </c>
      <c r="C307" s="170">
        <v>7303.0</v>
      </c>
      <c r="D307" s="168">
        <v>214.0</v>
      </c>
      <c r="E307" s="24">
        <v>96.0</v>
      </c>
      <c r="F307" s="169">
        <v>59456.36</v>
      </c>
      <c r="G307" s="169">
        <v>8533.46</v>
      </c>
      <c r="H307" s="169">
        <v>20104.59</v>
      </c>
      <c r="I307" s="169">
        <v>-40698.63</v>
      </c>
      <c r="J307" s="169">
        <v>-72118.98</v>
      </c>
      <c r="K307" s="169">
        <v>27873.96</v>
      </c>
      <c r="L307" s="169">
        <v>-81226.76</v>
      </c>
      <c r="M307" s="169">
        <v>-27579.63</v>
      </c>
      <c r="N307" s="50">
        <v>70420.0</v>
      </c>
      <c r="O307" s="111">
        <v>21.0</v>
      </c>
      <c r="P307" s="168">
        <v>3.0</v>
      </c>
    </row>
    <row r="308">
      <c r="A308" s="160">
        <v>89.0</v>
      </c>
      <c r="B308" s="160">
        <v>23.0</v>
      </c>
      <c r="C308" s="170">
        <v>7304.0</v>
      </c>
      <c r="D308" s="168">
        <v>212.0</v>
      </c>
      <c r="E308" s="24">
        <v>69.0</v>
      </c>
      <c r="F308" s="169">
        <v>2615.47</v>
      </c>
      <c r="G308" s="169">
        <v>-92837.17</v>
      </c>
      <c r="H308" s="169">
        <v>-73226.69</v>
      </c>
      <c r="I308" s="169">
        <v>88743.77</v>
      </c>
      <c r="J308" s="169">
        <v>21417.96</v>
      </c>
      <c r="K308" s="169">
        <v>96345.08</v>
      </c>
      <c r="L308" s="169">
        <v>95515.47</v>
      </c>
      <c r="M308" s="169">
        <v>57549.1</v>
      </c>
      <c r="N308" s="50">
        <v>62714.0</v>
      </c>
      <c r="O308" s="111">
        <v>23.0</v>
      </c>
      <c r="P308" s="168">
        <v>1.0</v>
      </c>
    </row>
    <row r="309">
      <c r="A309" s="160">
        <v>89.0</v>
      </c>
      <c r="B309" s="160">
        <v>26.0</v>
      </c>
      <c r="C309" s="147">
        <v>7305.0</v>
      </c>
      <c r="D309" s="168">
        <v>216.0</v>
      </c>
      <c r="E309" s="24">
        <v>59.0</v>
      </c>
      <c r="F309" s="169">
        <v>63995.87</v>
      </c>
      <c r="G309" s="169">
        <v>-73067.99</v>
      </c>
      <c r="H309" s="169">
        <v>-41943.42</v>
      </c>
      <c r="I309" s="169">
        <v>18402.07</v>
      </c>
      <c r="J309" s="169">
        <v>67413.11</v>
      </c>
      <c r="K309" s="169">
        <v>-85790.91</v>
      </c>
      <c r="L309" s="169">
        <v>81582.45</v>
      </c>
      <c r="M309" s="169">
        <v>15934.12</v>
      </c>
      <c r="N309" s="50">
        <v>92420.0</v>
      </c>
      <c r="O309" s="111">
        <v>21.0</v>
      </c>
      <c r="P309" s="168">
        <v>4.0</v>
      </c>
    </row>
    <row r="310">
      <c r="A310" s="160">
        <v>68.0</v>
      </c>
      <c r="B310" s="160">
        <v>78.0</v>
      </c>
      <c r="C310" s="170">
        <v>7306.0</v>
      </c>
      <c r="D310" s="168">
        <v>200.0</v>
      </c>
      <c r="E310" s="24">
        <v>26.0</v>
      </c>
      <c r="F310" s="169">
        <v>-64554.94</v>
      </c>
      <c r="G310" s="169">
        <v>68781.44</v>
      </c>
      <c r="H310" s="169">
        <v>18006.43</v>
      </c>
      <c r="I310" s="169">
        <v>68855.8</v>
      </c>
      <c r="J310" s="169">
        <v>4843.38</v>
      </c>
      <c r="K310" s="169">
        <v>-50905.12</v>
      </c>
      <c r="L310" s="169">
        <v>57944.7</v>
      </c>
      <c r="M310" s="169">
        <v>-38516.35</v>
      </c>
      <c r="N310" s="50">
        <v>111522.0</v>
      </c>
      <c r="O310" s="111">
        <v>20.0</v>
      </c>
      <c r="P310" s="168">
        <v>7.0</v>
      </c>
    </row>
    <row r="311">
      <c r="A311" s="160">
        <v>89.0</v>
      </c>
      <c r="B311" s="160">
        <v>33.0</v>
      </c>
      <c r="C311" s="170">
        <v>7307.0</v>
      </c>
      <c r="D311" s="168">
        <v>216.0</v>
      </c>
      <c r="E311" s="24">
        <v>37.0</v>
      </c>
      <c r="F311" s="169">
        <v>-6710.38</v>
      </c>
      <c r="G311" s="169">
        <v>-85581.25</v>
      </c>
      <c r="H311" s="169">
        <v>-13759.74</v>
      </c>
      <c r="I311" s="169">
        <v>-21529.26</v>
      </c>
      <c r="J311" s="169">
        <v>-86106.9</v>
      </c>
      <c r="K311" s="169">
        <v>-27791.66</v>
      </c>
      <c r="L311" s="169">
        <v>-19834.76</v>
      </c>
      <c r="M311" s="169">
        <v>-54364.48</v>
      </c>
      <c r="N311" s="50">
        <v>20114.0</v>
      </c>
      <c r="O311" s="111">
        <v>23.0</v>
      </c>
      <c r="P311" s="168">
        <v>8.0</v>
      </c>
    </row>
    <row r="312">
      <c r="A312" s="160">
        <v>89.0</v>
      </c>
      <c r="B312" s="160">
        <v>34.0</v>
      </c>
      <c r="C312" s="170">
        <v>7308.0</v>
      </c>
      <c r="D312" s="168">
        <v>208.0</v>
      </c>
      <c r="E312" s="24">
        <v>61.0</v>
      </c>
      <c r="F312" s="169">
        <v>-77766.12</v>
      </c>
      <c r="G312" s="169">
        <v>50377.19</v>
      </c>
      <c r="H312" s="169">
        <v>-94460.32</v>
      </c>
      <c r="I312" s="169">
        <v>-47357.67</v>
      </c>
      <c r="J312" s="169">
        <v>-72951.41</v>
      </c>
      <c r="K312" s="169">
        <v>-96226.97</v>
      </c>
      <c r="L312" s="169">
        <v>52214.06</v>
      </c>
      <c r="M312" s="169">
        <v>83478.73</v>
      </c>
      <c r="N312" s="50">
        <v>12621.0</v>
      </c>
      <c r="O312" s="111">
        <v>23.0</v>
      </c>
      <c r="P312" s="168">
        <v>6.0</v>
      </c>
    </row>
    <row r="313">
      <c r="A313" s="160">
        <v>68.0</v>
      </c>
      <c r="B313" s="160">
        <v>87.0</v>
      </c>
      <c r="C313" s="170">
        <v>7309.0</v>
      </c>
      <c r="D313" s="168">
        <v>219.0</v>
      </c>
      <c r="E313" s="24">
        <v>75.0</v>
      </c>
      <c r="F313" s="169">
        <v>29350.34</v>
      </c>
      <c r="G313" s="169">
        <v>-45922.53</v>
      </c>
      <c r="H313" s="169">
        <v>-70372.49</v>
      </c>
      <c r="I313" s="169">
        <v>74400.31</v>
      </c>
      <c r="J313" s="169">
        <v>20943.69</v>
      </c>
      <c r="K313" s="169">
        <v>-28740.23</v>
      </c>
      <c r="L313" s="169">
        <v>38487.73</v>
      </c>
      <c r="M313" s="169">
        <v>-12427.54</v>
      </c>
      <c r="N313" s="50">
        <v>61522.0</v>
      </c>
      <c r="O313" s="111">
        <v>22.0</v>
      </c>
      <c r="P313" s="168">
        <v>9.0</v>
      </c>
    </row>
    <row r="314">
      <c r="A314" s="160">
        <v>27.0</v>
      </c>
      <c r="B314" s="160">
        <v>93.0</v>
      </c>
      <c r="C314" s="147">
        <v>7310.0</v>
      </c>
      <c r="D314" s="168">
        <v>218.0</v>
      </c>
      <c r="E314" s="24">
        <v>36.0</v>
      </c>
      <c r="F314" s="169">
        <v>49390.86</v>
      </c>
      <c r="G314" s="169">
        <v>-70395.85</v>
      </c>
      <c r="H314" s="169">
        <v>19739.13</v>
      </c>
      <c r="I314" s="169">
        <v>-28636.7</v>
      </c>
      <c r="J314" s="169">
        <v>30381.59</v>
      </c>
      <c r="K314" s="169">
        <v>-9043.76</v>
      </c>
      <c r="L314" s="169">
        <v>-44591.41</v>
      </c>
      <c r="M314" s="169">
        <v>-86514.21</v>
      </c>
      <c r="N314" s="50">
        <v>81915.0</v>
      </c>
      <c r="O314" s="111">
        <v>21.0</v>
      </c>
      <c r="P314" s="168">
        <v>3.0</v>
      </c>
    </row>
    <row r="315">
      <c r="A315" s="160">
        <v>89.0</v>
      </c>
      <c r="B315" s="160">
        <v>38.0</v>
      </c>
      <c r="C315" s="170">
        <v>7311.0</v>
      </c>
      <c r="D315" s="168">
        <v>213.0</v>
      </c>
      <c r="E315" s="24">
        <v>76.0</v>
      </c>
      <c r="F315" s="169">
        <v>-40350.16</v>
      </c>
      <c r="G315" s="169">
        <v>-79243.69</v>
      </c>
      <c r="H315" s="169">
        <v>-22057.53</v>
      </c>
      <c r="I315" s="169">
        <v>-78741.76</v>
      </c>
      <c r="J315" s="169">
        <v>86556.17</v>
      </c>
      <c r="K315" s="169">
        <v>-78344.11</v>
      </c>
      <c r="L315" s="169">
        <v>9195.91</v>
      </c>
      <c r="M315" s="169">
        <v>-24125.09</v>
      </c>
      <c r="N315" s="50">
        <v>120115.0</v>
      </c>
      <c r="O315" s="111">
        <v>20.0</v>
      </c>
      <c r="P315" s="168">
        <v>5.0</v>
      </c>
    </row>
    <row r="316">
      <c r="A316" s="160">
        <v>89.0</v>
      </c>
      <c r="B316" s="160">
        <v>37.0</v>
      </c>
      <c r="C316" s="170">
        <v>7312.0</v>
      </c>
      <c r="D316" s="168">
        <v>218.0</v>
      </c>
      <c r="E316" s="24">
        <v>18.0</v>
      </c>
      <c r="F316" s="169">
        <v>97524.76</v>
      </c>
      <c r="G316" s="169">
        <v>2144.11</v>
      </c>
      <c r="H316" s="169">
        <v>-42753.22</v>
      </c>
      <c r="I316" s="169">
        <v>-32308.08</v>
      </c>
      <c r="J316" s="169">
        <v>92463.67</v>
      </c>
      <c r="K316" s="169">
        <v>48454.76</v>
      </c>
      <c r="L316" s="169">
        <v>-3611.26</v>
      </c>
      <c r="M316" s="169">
        <v>-79284.96</v>
      </c>
      <c r="N316" s="50">
        <v>100315.0</v>
      </c>
      <c r="O316" s="111">
        <v>21.0</v>
      </c>
      <c r="P316" s="168">
        <v>6.0</v>
      </c>
    </row>
    <row r="317">
      <c r="A317" s="160">
        <v>48.0</v>
      </c>
      <c r="B317" s="160">
        <v>41.0</v>
      </c>
      <c r="C317" s="170">
        <v>7313.0</v>
      </c>
      <c r="D317" s="168">
        <v>220.0</v>
      </c>
      <c r="E317" s="24">
        <v>11.0</v>
      </c>
      <c r="F317" s="169">
        <v>-43950.59</v>
      </c>
      <c r="G317" s="169">
        <v>68560.87</v>
      </c>
      <c r="H317" s="169">
        <v>-18690.86</v>
      </c>
      <c r="I317" s="169">
        <v>76521.78</v>
      </c>
      <c r="J317" s="169">
        <v>42835.66</v>
      </c>
      <c r="K317" s="169">
        <v>-33220.9</v>
      </c>
      <c r="L317" s="169">
        <v>98233.77</v>
      </c>
      <c r="M317" s="169">
        <v>-38923.35</v>
      </c>
      <c r="N317" s="50">
        <v>121117.0</v>
      </c>
      <c r="O317" s="111">
        <v>22.0</v>
      </c>
      <c r="P317" s="168">
        <v>1.0</v>
      </c>
    </row>
    <row r="318">
      <c r="A318" s="160">
        <v>69.0</v>
      </c>
      <c r="B318" s="160">
        <v>7.0</v>
      </c>
      <c r="C318" s="170">
        <v>7314.0</v>
      </c>
      <c r="D318" s="168">
        <v>206.0</v>
      </c>
      <c r="E318" s="24">
        <v>81.0</v>
      </c>
      <c r="F318" s="169">
        <v>-42425.03</v>
      </c>
      <c r="G318" s="169">
        <v>-98679.47</v>
      </c>
      <c r="H318" s="169">
        <v>69896.46</v>
      </c>
      <c r="I318" s="169">
        <v>-26787.54</v>
      </c>
      <c r="J318" s="169">
        <v>-48042.24</v>
      </c>
      <c r="K318" s="169">
        <v>-98976.13</v>
      </c>
      <c r="L318" s="169">
        <v>-3822.54</v>
      </c>
      <c r="M318" s="169">
        <v>-73021.92</v>
      </c>
      <c r="N318" s="50">
        <v>102120.0</v>
      </c>
      <c r="O318" s="111">
        <v>21.0</v>
      </c>
      <c r="P318" s="168">
        <v>1.0</v>
      </c>
    </row>
    <row r="319">
      <c r="A319" s="160">
        <v>69.0</v>
      </c>
      <c r="B319" s="160">
        <v>13.0</v>
      </c>
      <c r="C319" s="147">
        <v>7315.0</v>
      </c>
      <c r="D319" s="168">
        <v>217.0</v>
      </c>
      <c r="E319" s="24">
        <v>46.0</v>
      </c>
      <c r="F319" s="169">
        <v>-7648.93</v>
      </c>
      <c r="G319" s="169">
        <v>55291.78</v>
      </c>
      <c r="H319" s="169">
        <v>72815.48</v>
      </c>
      <c r="I319" s="169">
        <v>-49913.55</v>
      </c>
      <c r="J319" s="169">
        <v>75318.42</v>
      </c>
      <c r="K319" s="169">
        <v>11279.29</v>
      </c>
      <c r="L319" s="169">
        <v>49663.45</v>
      </c>
      <c r="M319" s="169">
        <v>78950.72</v>
      </c>
      <c r="N319" s="50">
        <v>92618.0</v>
      </c>
      <c r="O319" s="111">
        <v>21.0</v>
      </c>
      <c r="P319" s="168">
        <v>4.0</v>
      </c>
    </row>
    <row r="320">
      <c r="A320" s="160">
        <v>48.0</v>
      </c>
      <c r="B320" s="160">
        <v>65.0</v>
      </c>
      <c r="C320" s="170">
        <v>7316.0</v>
      </c>
      <c r="D320" s="168">
        <v>202.0</v>
      </c>
      <c r="E320" s="24">
        <v>25.0</v>
      </c>
      <c r="F320" s="169">
        <v>54044.45</v>
      </c>
      <c r="G320" s="169">
        <v>-20929.31</v>
      </c>
      <c r="H320" s="169">
        <v>84430.25</v>
      </c>
      <c r="I320" s="169">
        <v>-94055.9</v>
      </c>
      <c r="J320" s="169">
        <v>-51633.08</v>
      </c>
      <c r="K320" s="169">
        <v>-92835.45</v>
      </c>
      <c r="L320" s="169">
        <v>68177.91</v>
      </c>
      <c r="M320" s="169">
        <v>-76552.11</v>
      </c>
      <c r="N320" s="50">
        <v>110513.0</v>
      </c>
      <c r="O320" s="111">
        <v>21.0</v>
      </c>
      <c r="P320" s="168">
        <v>7.0</v>
      </c>
    </row>
    <row r="321">
      <c r="A321" s="160">
        <v>28.0</v>
      </c>
      <c r="B321" s="160">
        <v>28.0</v>
      </c>
      <c r="C321" s="170">
        <v>7317.0</v>
      </c>
      <c r="D321" s="168">
        <v>216.0</v>
      </c>
      <c r="E321" s="24">
        <v>87.0</v>
      </c>
      <c r="F321" s="169">
        <v>195.37</v>
      </c>
      <c r="G321" s="169">
        <v>-37084.68</v>
      </c>
      <c r="H321" s="169">
        <v>-21830.55</v>
      </c>
      <c r="I321" s="169">
        <v>83385.51</v>
      </c>
      <c r="J321" s="169">
        <v>91819.13</v>
      </c>
      <c r="K321" s="169">
        <v>-80394.14</v>
      </c>
      <c r="L321" s="169">
        <v>-41390.17</v>
      </c>
      <c r="M321" s="169">
        <v>62920.92</v>
      </c>
      <c r="N321" s="50">
        <v>121518.0</v>
      </c>
      <c r="O321" s="111">
        <v>22.0</v>
      </c>
      <c r="P321" s="168">
        <v>7.0</v>
      </c>
    </row>
    <row r="322">
      <c r="A322" s="160">
        <v>28.0</v>
      </c>
      <c r="B322" s="160">
        <v>33.0</v>
      </c>
      <c r="C322" s="170">
        <v>7318.0</v>
      </c>
      <c r="D322" s="168">
        <v>200.0</v>
      </c>
      <c r="E322" s="24">
        <v>95.0</v>
      </c>
      <c r="F322" s="169">
        <v>-73042.74</v>
      </c>
      <c r="G322" s="169">
        <v>89703.84</v>
      </c>
      <c r="H322" s="169">
        <v>60437.57</v>
      </c>
      <c r="I322" s="169">
        <v>-23189.57</v>
      </c>
      <c r="J322" s="169">
        <v>-53234.0</v>
      </c>
      <c r="K322" s="169">
        <v>-12267.47</v>
      </c>
      <c r="L322" s="169">
        <v>12225.86</v>
      </c>
      <c r="M322" s="169">
        <v>-22062.66</v>
      </c>
      <c r="N322" s="50">
        <v>81814.0</v>
      </c>
      <c r="O322" s="111">
        <v>23.0</v>
      </c>
      <c r="P322" s="168">
        <v>1.0</v>
      </c>
    </row>
    <row r="323">
      <c r="A323" s="160">
        <v>48.0</v>
      </c>
      <c r="B323" s="160">
        <v>83.0</v>
      </c>
      <c r="C323" s="170">
        <v>7319.0</v>
      </c>
      <c r="D323" s="168">
        <v>209.0</v>
      </c>
      <c r="E323" s="24">
        <v>30.0</v>
      </c>
      <c r="F323" s="169">
        <v>43911.64</v>
      </c>
      <c r="G323" s="169">
        <v>-75638.88</v>
      </c>
      <c r="H323" s="169">
        <v>-13192.47</v>
      </c>
      <c r="I323" s="169">
        <v>-14042.22</v>
      </c>
      <c r="J323" s="169">
        <v>-80449.06</v>
      </c>
      <c r="K323" s="169">
        <v>16084.56</v>
      </c>
      <c r="L323" s="169">
        <v>-22960.29</v>
      </c>
      <c r="M323" s="169">
        <v>84733.84</v>
      </c>
      <c r="N323" s="50">
        <v>102416.0</v>
      </c>
      <c r="O323" s="111">
        <v>23.0</v>
      </c>
      <c r="P323" s="168">
        <v>1.0</v>
      </c>
    </row>
    <row r="324">
      <c r="A324" s="160">
        <v>89.0</v>
      </c>
      <c r="B324" s="160">
        <v>80.0</v>
      </c>
      <c r="C324" s="147">
        <v>7320.0</v>
      </c>
      <c r="D324" s="168">
        <v>216.0</v>
      </c>
      <c r="E324" s="24">
        <v>10.0</v>
      </c>
      <c r="F324" s="169">
        <v>-29000.23</v>
      </c>
      <c r="G324" s="169">
        <v>-65042.23</v>
      </c>
      <c r="H324" s="169">
        <v>-52279.82</v>
      </c>
      <c r="I324" s="169">
        <v>86870.79</v>
      </c>
      <c r="J324" s="169">
        <v>21456.48</v>
      </c>
      <c r="K324" s="169">
        <v>75572.61</v>
      </c>
      <c r="L324" s="169">
        <v>46638.53</v>
      </c>
      <c r="M324" s="169">
        <v>2068.52</v>
      </c>
      <c r="N324" s="50">
        <v>61416.0</v>
      </c>
      <c r="O324" s="111">
        <v>23.0</v>
      </c>
      <c r="P324" s="168">
        <v>9.0</v>
      </c>
    </row>
    <row r="325">
      <c r="A325" s="160">
        <v>89.0</v>
      </c>
      <c r="B325" s="160">
        <v>81.0</v>
      </c>
      <c r="C325" s="170">
        <v>7321.0</v>
      </c>
      <c r="D325" s="168">
        <v>219.0</v>
      </c>
      <c r="E325" s="24">
        <v>77.0</v>
      </c>
      <c r="F325" s="169">
        <v>-24589.08</v>
      </c>
      <c r="G325" s="169">
        <v>-8388.73</v>
      </c>
      <c r="H325" s="169">
        <v>47074.5</v>
      </c>
      <c r="I325" s="169">
        <v>-78101.57</v>
      </c>
      <c r="J325" s="169">
        <v>71659.46</v>
      </c>
      <c r="K325" s="169">
        <v>48443.07</v>
      </c>
      <c r="L325" s="169">
        <v>34029.05</v>
      </c>
      <c r="M325" s="169">
        <v>-82457.63</v>
      </c>
      <c r="N325" s="50">
        <v>60720.0</v>
      </c>
      <c r="O325" s="111">
        <v>23.0</v>
      </c>
      <c r="P325" s="168">
        <v>1.0</v>
      </c>
    </row>
    <row r="326">
      <c r="A326" s="160">
        <v>48.0</v>
      </c>
      <c r="B326" s="160">
        <v>86.0</v>
      </c>
      <c r="C326" s="170">
        <v>7322.0</v>
      </c>
      <c r="D326" s="168">
        <v>204.0</v>
      </c>
      <c r="E326" s="24">
        <v>16.0</v>
      </c>
      <c r="F326" s="169">
        <v>-80206.18</v>
      </c>
      <c r="G326" s="169">
        <v>-58130.52</v>
      </c>
      <c r="H326" s="169">
        <v>10352.48</v>
      </c>
      <c r="I326" s="169">
        <v>-61290.06</v>
      </c>
      <c r="J326" s="169">
        <v>-36573.18</v>
      </c>
      <c r="K326" s="169">
        <v>-13107.08</v>
      </c>
      <c r="L326" s="169">
        <v>-72161.93</v>
      </c>
      <c r="M326" s="169">
        <v>29216.78</v>
      </c>
      <c r="N326" s="50">
        <v>91921.0</v>
      </c>
      <c r="O326" s="111">
        <v>20.0</v>
      </c>
      <c r="P326" s="168">
        <v>2.0</v>
      </c>
    </row>
    <row r="327">
      <c r="A327" s="160">
        <v>89.0</v>
      </c>
      <c r="B327" s="160">
        <v>90.0</v>
      </c>
      <c r="C327" s="170">
        <v>7323.0</v>
      </c>
      <c r="D327" s="168">
        <v>204.0</v>
      </c>
      <c r="E327" s="24">
        <v>94.0</v>
      </c>
      <c r="F327" s="169">
        <v>-1813.85</v>
      </c>
      <c r="G327" s="169">
        <v>-25147.48</v>
      </c>
      <c r="H327" s="169">
        <v>50719.55</v>
      </c>
      <c r="I327" s="169">
        <v>91223.41</v>
      </c>
      <c r="J327" s="169">
        <v>-23592.08</v>
      </c>
      <c r="K327" s="169">
        <v>-20520.81</v>
      </c>
      <c r="L327" s="169">
        <v>-16416.45</v>
      </c>
      <c r="M327" s="169">
        <v>-19644.6</v>
      </c>
      <c r="N327" s="50">
        <v>30114.0</v>
      </c>
      <c r="O327" s="111">
        <v>20.0</v>
      </c>
      <c r="P327" s="168">
        <v>1.0</v>
      </c>
    </row>
    <row r="328">
      <c r="A328" s="160">
        <v>28.0</v>
      </c>
      <c r="B328" s="160">
        <v>50.0</v>
      </c>
      <c r="C328" s="170">
        <v>7324.0</v>
      </c>
      <c r="D328" s="168">
        <v>210.0</v>
      </c>
      <c r="E328" s="24">
        <v>75.0</v>
      </c>
      <c r="F328" s="169">
        <v>-24645.45</v>
      </c>
      <c r="G328" s="169">
        <v>14631.99</v>
      </c>
      <c r="H328" s="169">
        <v>-10145.54</v>
      </c>
      <c r="I328" s="169">
        <v>21107.06</v>
      </c>
      <c r="J328" s="169">
        <v>-20614.65</v>
      </c>
      <c r="K328" s="169">
        <v>-58934.6</v>
      </c>
      <c r="L328" s="169">
        <v>-98847.77</v>
      </c>
      <c r="M328" s="169">
        <v>58936.83</v>
      </c>
      <c r="N328" s="50">
        <v>51413.0</v>
      </c>
      <c r="O328" s="111">
        <v>23.0</v>
      </c>
      <c r="P328" s="168">
        <v>6.0</v>
      </c>
    </row>
    <row r="329">
      <c r="A329" s="160">
        <v>69.0</v>
      </c>
      <c r="B329" s="160">
        <v>47.0</v>
      </c>
      <c r="C329" s="147">
        <v>7325.0</v>
      </c>
      <c r="D329" s="168">
        <v>203.0</v>
      </c>
      <c r="E329" s="24">
        <v>31.0</v>
      </c>
      <c r="F329" s="169">
        <v>-80700.12</v>
      </c>
      <c r="G329" s="169">
        <v>41376.78</v>
      </c>
      <c r="H329" s="169">
        <v>60820.31</v>
      </c>
      <c r="I329" s="169">
        <v>59053.28</v>
      </c>
      <c r="J329" s="169">
        <v>-37508.28</v>
      </c>
      <c r="K329" s="169">
        <v>67896.52</v>
      </c>
      <c r="L329" s="169">
        <v>-1505.16</v>
      </c>
      <c r="M329" s="169">
        <v>-48628.23</v>
      </c>
      <c r="N329" s="50">
        <v>82521.0</v>
      </c>
      <c r="O329" s="111">
        <v>20.0</v>
      </c>
      <c r="P329" s="168">
        <v>4.0</v>
      </c>
    </row>
    <row r="330">
      <c r="A330" s="160">
        <v>48.0</v>
      </c>
      <c r="B330" s="160">
        <v>99.0</v>
      </c>
      <c r="C330" s="170">
        <v>7326.0</v>
      </c>
      <c r="D330" s="168">
        <v>206.0</v>
      </c>
      <c r="E330" s="24">
        <v>58.0</v>
      </c>
      <c r="F330" s="169">
        <v>-49095.48</v>
      </c>
      <c r="G330" s="169">
        <v>-10857.45</v>
      </c>
      <c r="H330" s="169">
        <v>-7498.28</v>
      </c>
      <c r="I330" s="169">
        <v>77635.36</v>
      </c>
      <c r="J330" s="169">
        <v>-66469.87</v>
      </c>
      <c r="K330" s="169">
        <v>-19428.75</v>
      </c>
      <c r="L330" s="169">
        <v>-41573.66</v>
      </c>
      <c r="M330" s="169">
        <v>-56059.79</v>
      </c>
      <c r="N330" s="50">
        <v>70119.0</v>
      </c>
      <c r="O330" s="111">
        <v>22.0</v>
      </c>
      <c r="P330" s="168">
        <v>1.0</v>
      </c>
    </row>
    <row r="331">
      <c r="A331" s="160">
        <v>49.0</v>
      </c>
      <c r="B331" s="160">
        <v>1.0</v>
      </c>
      <c r="C331" s="170">
        <v>7327.0</v>
      </c>
      <c r="D331" s="168">
        <v>216.0</v>
      </c>
      <c r="E331" s="24">
        <v>56.0</v>
      </c>
      <c r="F331" s="169">
        <v>-50860.58</v>
      </c>
      <c r="G331" s="169">
        <v>-66354.08</v>
      </c>
      <c r="H331" s="169">
        <v>5058.74</v>
      </c>
      <c r="I331" s="169">
        <v>42925.82</v>
      </c>
      <c r="J331" s="169">
        <v>-15437.37</v>
      </c>
      <c r="K331" s="169">
        <v>-10895.54</v>
      </c>
      <c r="L331" s="169">
        <v>-50784.31</v>
      </c>
      <c r="M331" s="169">
        <v>99848.36</v>
      </c>
      <c r="N331" s="50">
        <v>70617.0</v>
      </c>
      <c r="O331" s="111">
        <v>20.0</v>
      </c>
      <c r="P331" s="168">
        <v>6.0</v>
      </c>
    </row>
    <row r="332">
      <c r="A332" s="160">
        <v>69.0</v>
      </c>
      <c r="B332" s="160">
        <v>52.0</v>
      </c>
      <c r="C332" s="170">
        <v>7328.0</v>
      </c>
      <c r="D332" s="168">
        <v>213.0</v>
      </c>
      <c r="E332" s="24">
        <v>33.0</v>
      </c>
      <c r="F332" s="169">
        <v>26429.85</v>
      </c>
      <c r="G332" s="169">
        <v>-10.38</v>
      </c>
      <c r="H332" s="169">
        <v>-83232.79</v>
      </c>
      <c r="I332" s="169">
        <v>-93268.4</v>
      </c>
      <c r="J332" s="169">
        <v>-33266.44</v>
      </c>
      <c r="K332" s="169">
        <v>48029.89</v>
      </c>
      <c r="L332" s="169">
        <v>-77556.42</v>
      </c>
      <c r="M332" s="169">
        <v>-95997.28</v>
      </c>
      <c r="N332" s="50">
        <v>102917.0</v>
      </c>
      <c r="O332" s="111">
        <v>22.0</v>
      </c>
      <c r="P332" s="168">
        <v>9.0</v>
      </c>
    </row>
    <row r="333">
      <c r="A333" s="160">
        <v>28.0</v>
      </c>
      <c r="B333" s="160">
        <v>57.0</v>
      </c>
      <c r="C333" s="170">
        <v>7329.0</v>
      </c>
      <c r="D333" s="168">
        <v>200.0</v>
      </c>
      <c r="E333" s="24">
        <v>14.0</v>
      </c>
      <c r="F333" s="169">
        <v>-90408.93</v>
      </c>
      <c r="G333" s="169">
        <v>54980.72</v>
      </c>
      <c r="H333" s="169">
        <v>36386.15</v>
      </c>
      <c r="I333" s="169">
        <v>-47079.61</v>
      </c>
      <c r="J333" s="169">
        <v>-38191.29</v>
      </c>
      <c r="K333" s="169">
        <v>-82243.71</v>
      </c>
      <c r="L333" s="169">
        <v>-783.37</v>
      </c>
      <c r="M333" s="169">
        <v>-73919.57</v>
      </c>
      <c r="N333" s="50">
        <v>82318.0</v>
      </c>
      <c r="O333" s="111">
        <v>20.0</v>
      </c>
      <c r="P333" s="168">
        <v>9.0</v>
      </c>
    </row>
    <row r="334">
      <c r="A334" s="160">
        <v>90.0</v>
      </c>
      <c r="B334" s="160">
        <v>1.0</v>
      </c>
      <c r="C334" s="147">
        <v>7330.0</v>
      </c>
      <c r="D334" s="168">
        <v>218.0</v>
      </c>
      <c r="E334" s="24">
        <v>38.0</v>
      </c>
      <c r="F334" s="169">
        <v>-15475.64</v>
      </c>
      <c r="G334" s="169">
        <v>-82309.05</v>
      </c>
      <c r="H334" s="169">
        <v>-19717.56</v>
      </c>
      <c r="I334" s="169">
        <v>88055.05</v>
      </c>
      <c r="J334" s="169">
        <v>-79379.2</v>
      </c>
      <c r="K334" s="169">
        <v>-2618.09</v>
      </c>
      <c r="L334" s="169">
        <v>37390.01</v>
      </c>
      <c r="M334" s="169">
        <v>48837.81</v>
      </c>
      <c r="N334" s="50">
        <v>120718.0</v>
      </c>
      <c r="O334" s="111">
        <v>23.0</v>
      </c>
      <c r="P334" s="168">
        <v>6.0</v>
      </c>
    </row>
    <row r="335">
      <c r="A335" s="160">
        <v>49.0</v>
      </c>
      <c r="B335" s="160">
        <v>6.0</v>
      </c>
      <c r="C335" s="170">
        <v>7331.0</v>
      </c>
      <c r="D335" s="168">
        <v>219.0</v>
      </c>
      <c r="E335" s="24">
        <v>98.0</v>
      </c>
      <c r="F335" s="169">
        <v>97191.85</v>
      </c>
      <c r="G335" s="169">
        <v>-5726.28</v>
      </c>
      <c r="H335" s="169">
        <v>-98349.97</v>
      </c>
      <c r="I335" s="169">
        <v>72172.23</v>
      </c>
      <c r="J335" s="169">
        <v>-34277.97</v>
      </c>
      <c r="K335" s="169">
        <v>-8074.52</v>
      </c>
      <c r="L335" s="169">
        <v>78661.98</v>
      </c>
      <c r="M335" s="169">
        <v>-33706.6</v>
      </c>
      <c r="N335" s="50">
        <v>81918.0</v>
      </c>
      <c r="O335" s="111">
        <v>20.0</v>
      </c>
      <c r="P335" s="168">
        <v>8.0</v>
      </c>
    </row>
    <row r="336">
      <c r="A336" s="160">
        <v>49.0</v>
      </c>
      <c r="B336" s="160">
        <v>10.0</v>
      </c>
      <c r="C336" s="170">
        <v>7332.0</v>
      </c>
      <c r="D336" s="168">
        <v>213.0</v>
      </c>
      <c r="E336" s="24">
        <v>74.0</v>
      </c>
      <c r="F336" s="169">
        <v>-29303.37</v>
      </c>
      <c r="G336" s="169">
        <v>-74862.67</v>
      </c>
      <c r="H336" s="169">
        <v>-58928.43</v>
      </c>
      <c r="I336" s="169">
        <v>-41995.49</v>
      </c>
      <c r="J336" s="169">
        <v>25193.42</v>
      </c>
      <c r="K336" s="169">
        <v>-47046.93</v>
      </c>
      <c r="L336" s="169">
        <v>-59724.07</v>
      </c>
      <c r="M336" s="169">
        <v>-92052.62</v>
      </c>
      <c r="N336" s="50">
        <v>42615.0</v>
      </c>
      <c r="O336" s="111">
        <v>22.0</v>
      </c>
      <c r="P336" s="168">
        <v>9.0</v>
      </c>
    </row>
    <row r="337">
      <c r="A337" s="160">
        <v>28.0</v>
      </c>
      <c r="B337" s="160">
        <v>64.0</v>
      </c>
      <c r="C337" s="170">
        <v>7333.0</v>
      </c>
      <c r="D337" s="168">
        <v>202.0</v>
      </c>
      <c r="E337" s="24">
        <v>11.0</v>
      </c>
      <c r="F337" s="169">
        <v>-56966.62</v>
      </c>
      <c r="G337" s="169">
        <v>-62586.33</v>
      </c>
      <c r="H337" s="169">
        <v>-27720.45</v>
      </c>
      <c r="I337" s="169">
        <v>67633.5</v>
      </c>
      <c r="J337" s="169">
        <v>32977.79</v>
      </c>
      <c r="K337" s="169">
        <v>-39964.99</v>
      </c>
      <c r="L337" s="169">
        <v>75351.33</v>
      </c>
      <c r="M337" s="169">
        <v>-74702.77</v>
      </c>
      <c r="N337" s="50">
        <v>30918.0</v>
      </c>
      <c r="O337" s="111">
        <v>21.0</v>
      </c>
      <c r="P337" s="168">
        <v>1.0</v>
      </c>
    </row>
    <row r="338">
      <c r="A338" s="160">
        <v>69.0</v>
      </c>
      <c r="B338" s="160">
        <v>64.0</v>
      </c>
      <c r="C338" s="170">
        <v>7334.0</v>
      </c>
      <c r="D338" s="168">
        <v>206.0</v>
      </c>
      <c r="E338" s="24">
        <v>51.0</v>
      </c>
      <c r="F338" s="169">
        <v>-13464.0</v>
      </c>
      <c r="G338" s="169">
        <v>80906.69</v>
      </c>
      <c r="H338" s="169">
        <v>-16983.9</v>
      </c>
      <c r="I338" s="169">
        <v>12457.2</v>
      </c>
      <c r="J338" s="169">
        <v>47269.4</v>
      </c>
      <c r="K338" s="169">
        <v>27889.47</v>
      </c>
      <c r="L338" s="169">
        <v>-75849.9</v>
      </c>
      <c r="M338" s="169">
        <v>-50332.08</v>
      </c>
      <c r="N338" s="50">
        <v>11620.0</v>
      </c>
      <c r="O338" s="111">
        <v>21.0</v>
      </c>
      <c r="P338" s="168">
        <v>3.0</v>
      </c>
    </row>
    <row r="339">
      <c r="A339" s="160">
        <v>28.0</v>
      </c>
      <c r="B339" s="160">
        <v>69.0</v>
      </c>
      <c r="C339" s="147">
        <v>7335.0</v>
      </c>
      <c r="D339" s="168">
        <v>202.0</v>
      </c>
      <c r="E339" s="24">
        <v>58.0</v>
      </c>
      <c r="F339" s="169">
        <v>-14720.1</v>
      </c>
      <c r="G339" s="169">
        <v>-96399.44</v>
      </c>
      <c r="H339" s="169">
        <v>77855.58</v>
      </c>
      <c r="I339" s="169">
        <v>-7407.13</v>
      </c>
      <c r="J339" s="169">
        <v>-96830.14</v>
      </c>
      <c r="K339" s="169">
        <v>-4367.72</v>
      </c>
      <c r="L339" s="169">
        <v>-50566.2</v>
      </c>
      <c r="M339" s="169">
        <v>37153.22</v>
      </c>
      <c r="N339" s="50">
        <v>101819.0</v>
      </c>
      <c r="O339" s="111">
        <v>21.0</v>
      </c>
      <c r="P339" s="168">
        <v>2.0</v>
      </c>
    </row>
    <row r="340">
      <c r="A340" s="160">
        <v>28.0</v>
      </c>
      <c r="B340" s="160">
        <v>70.0</v>
      </c>
      <c r="C340" s="170">
        <v>7336.0</v>
      </c>
      <c r="D340" s="168">
        <v>219.0</v>
      </c>
      <c r="E340" s="24">
        <v>24.0</v>
      </c>
      <c r="F340" s="169">
        <v>89015.11</v>
      </c>
      <c r="G340" s="169">
        <v>-69928.12</v>
      </c>
      <c r="H340" s="169">
        <v>58014.25</v>
      </c>
      <c r="I340" s="169">
        <v>-39717.56</v>
      </c>
      <c r="J340" s="169">
        <v>-12530.82</v>
      </c>
      <c r="K340" s="169">
        <v>-28148.56</v>
      </c>
      <c r="L340" s="169">
        <v>8174.39</v>
      </c>
      <c r="M340" s="169">
        <v>-73421.34</v>
      </c>
      <c r="N340" s="50">
        <v>22519.0</v>
      </c>
      <c r="O340" s="111">
        <v>22.0</v>
      </c>
      <c r="P340" s="168">
        <v>5.0</v>
      </c>
    </row>
    <row r="341">
      <c r="A341" s="160">
        <v>69.0</v>
      </c>
      <c r="B341" s="160">
        <v>65.0</v>
      </c>
      <c r="C341" s="170">
        <v>7337.0</v>
      </c>
      <c r="D341" s="168">
        <v>209.0</v>
      </c>
      <c r="E341" s="24">
        <v>59.0</v>
      </c>
      <c r="F341" s="169">
        <v>6653.62</v>
      </c>
      <c r="G341" s="169">
        <v>-95901.34</v>
      </c>
      <c r="H341" s="169">
        <v>-66648.01</v>
      </c>
      <c r="I341" s="169">
        <v>-97863.1</v>
      </c>
      <c r="J341" s="169">
        <v>-21213.4</v>
      </c>
      <c r="K341" s="169">
        <v>-78921.32</v>
      </c>
      <c r="L341" s="169">
        <v>33599.14</v>
      </c>
      <c r="M341" s="169">
        <v>-69358.04</v>
      </c>
      <c r="N341" s="50">
        <v>72118.0</v>
      </c>
      <c r="O341" s="111">
        <v>22.0</v>
      </c>
      <c r="P341" s="168">
        <v>7.0</v>
      </c>
    </row>
    <row r="342">
      <c r="A342" s="160">
        <v>90.0</v>
      </c>
      <c r="B342" s="160">
        <v>15.0</v>
      </c>
      <c r="C342" s="170">
        <v>7338.0</v>
      </c>
      <c r="D342" s="168">
        <v>201.0</v>
      </c>
      <c r="E342" s="24">
        <v>15.0</v>
      </c>
      <c r="F342" s="169">
        <v>41657.0</v>
      </c>
      <c r="G342" s="169">
        <v>73440.81</v>
      </c>
      <c r="H342" s="169">
        <v>-70246.45</v>
      </c>
      <c r="I342" s="169">
        <v>-44615.16</v>
      </c>
      <c r="J342" s="169">
        <v>17449.48</v>
      </c>
      <c r="K342" s="169">
        <v>18161.93</v>
      </c>
      <c r="L342" s="169">
        <v>92684.33</v>
      </c>
      <c r="M342" s="169">
        <v>-28583.88</v>
      </c>
      <c r="N342" s="50">
        <v>102514.0</v>
      </c>
      <c r="O342" s="111">
        <v>23.0</v>
      </c>
      <c r="P342" s="168">
        <v>5.0</v>
      </c>
    </row>
    <row r="343">
      <c r="A343" s="160">
        <v>69.0</v>
      </c>
      <c r="B343" s="160">
        <v>69.0</v>
      </c>
      <c r="C343" s="170">
        <v>7339.0</v>
      </c>
      <c r="D343" s="168">
        <v>209.0</v>
      </c>
      <c r="E343" s="24">
        <v>12.0</v>
      </c>
      <c r="F343" s="169">
        <v>-37056.87</v>
      </c>
      <c r="G343" s="169">
        <v>-99975.44</v>
      </c>
      <c r="H343" s="169">
        <v>-4859.12</v>
      </c>
      <c r="I343" s="169">
        <v>32437.8</v>
      </c>
      <c r="J343" s="169">
        <v>79476.35</v>
      </c>
      <c r="K343" s="169">
        <v>-40916.74</v>
      </c>
      <c r="L343" s="169">
        <v>-42656.92</v>
      </c>
      <c r="M343" s="169">
        <v>4870.46</v>
      </c>
      <c r="N343" s="50">
        <v>60117.0</v>
      </c>
      <c r="O343" s="111">
        <v>20.0</v>
      </c>
      <c r="P343" s="168">
        <v>4.0</v>
      </c>
    </row>
    <row r="344">
      <c r="A344" s="160">
        <v>28.0</v>
      </c>
      <c r="B344" s="160">
        <v>73.0</v>
      </c>
      <c r="C344" s="147">
        <v>7340.0</v>
      </c>
      <c r="D344" s="168">
        <v>211.0</v>
      </c>
      <c r="E344" s="24">
        <v>56.0</v>
      </c>
      <c r="F344" s="169">
        <v>27549.47</v>
      </c>
      <c r="G344" s="169">
        <v>-19145.94</v>
      </c>
      <c r="H344" s="169">
        <v>-78792.37</v>
      </c>
      <c r="I344" s="169">
        <v>79618.97</v>
      </c>
      <c r="J344" s="169">
        <v>-14599.44</v>
      </c>
      <c r="K344" s="169">
        <v>-46736.0</v>
      </c>
      <c r="L344" s="169">
        <v>-7852.31</v>
      </c>
      <c r="M344" s="169">
        <v>37473.79</v>
      </c>
      <c r="N344" s="50">
        <v>110118.0</v>
      </c>
      <c r="O344" s="111">
        <v>23.0</v>
      </c>
      <c r="P344" s="168">
        <v>9.0</v>
      </c>
    </row>
    <row r="345">
      <c r="A345" s="160">
        <v>28.0</v>
      </c>
      <c r="B345" s="160">
        <v>75.0</v>
      </c>
      <c r="C345" s="170">
        <v>7341.0</v>
      </c>
      <c r="D345" s="168">
        <v>219.0</v>
      </c>
      <c r="E345" s="24">
        <v>22.0</v>
      </c>
      <c r="F345" s="169">
        <v>95742.88</v>
      </c>
      <c r="G345" s="169">
        <v>-81214.91</v>
      </c>
      <c r="H345" s="169">
        <v>95357.4</v>
      </c>
      <c r="I345" s="169">
        <v>93468.18</v>
      </c>
      <c r="J345" s="169">
        <v>81865.14</v>
      </c>
      <c r="K345" s="169">
        <v>30408.38</v>
      </c>
      <c r="L345" s="169">
        <v>-81460.86</v>
      </c>
      <c r="M345" s="169">
        <v>-13044.85</v>
      </c>
      <c r="N345" s="50">
        <v>70517.0</v>
      </c>
      <c r="O345" s="111">
        <v>20.0</v>
      </c>
      <c r="P345" s="168">
        <v>3.0</v>
      </c>
    </row>
    <row r="346">
      <c r="A346" s="160">
        <v>69.0</v>
      </c>
      <c r="B346" s="160">
        <v>72.0</v>
      </c>
      <c r="C346" s="170">
        <v>7342.0</v>
      </c>
      <c r="D346" s="168">
        <v>207.0</v>
      </c>
      <c r="E346" s="24">
        <v>63.0</v>
      </c>
      <c r="F346" s="169">
        <v>-67862.34</v>
      </c>
      <c r="G346" s="169">
        <v>52329.35</v>
      </c>
      <c r="H346" s="169">
        <v>43013.19</v>
      </c>
      <c r="I346" s="169">
        <v>-37967.17</v>
      </c>
      <c r="J346" s="169">
        <v>-22743.32</v>
      </c>
      <c r="K346" s="169">
        <v>-94001.05</v>
      </c>
      <c r="L346" s="169">
        <v>92313.24</v>
      </c>
      <c r="M346" s="169">
        <v>56304.7</v>
      </c>
      <c r="N346" s="50">
        <v>81016.0</v>
      </c>
      <c r="O346" s="111">
        <v>20.0</v>
      </c>
      <c r="P346" s="168">
        <v>4.0</v>
      </c>
    </row>
    <row r="347">
      <c r="A347" s="160">
        <v>90.0</v>
      </c>
      <c r="B347" s="160">
        <v>20.0</v>
      </c>
      <c r="C347" s="170">
        <v>7343.0</v>
      </c>
      <c r="D347" s="168">
        <v>213.0</v>
      </c>
      <c r="E347" s="24">
        <v>61.0</v>
      </c>
      <c r="F347" s="169">
        <v>-16290.46</v>
      </c>
      <c r="G347" s="169">
        <v>-65954.3</v>
      </c>
      <c r="H347" s="169">
        <v>-59213.09</v>
      </c>
      <c r="I347" s="169">
        <v>-22642.49</v>
      </c>
      <c r="J347" s="169">
        <v>-57861.73</v>
      </c>
      <c r="K347" s="169">
        <v>-56116.22</v>
      </c>
      <c r="L347" s="169">
        <v>-48268.37</v>
      </c>
      <c r="M347" s="169">
        <v>-83634.32</v>
      </c>
      <c r="N347" s="50">
        <v>31413.0</v>
      </c>
      <c r="O347" s="111">
        <v>22.0</v>
      </c>
      <c r="P347" s="168">
        <v>5.0</v>
      </c>
    </row>
    <row r="348">
      <c r="A348" s="160">
        <v>69.0</v>
      </c>
      <c r="B348" s="160">
        <v>73.0</v>
      </c>
      <c r="C348" s="170">
        <v>7344.0</v>
      </c>
      <c r="D348" s="168">
        <v>211.0</v>
      </c>
      <c r="E348" s="24">
        <v>27.0</v>
      </c>
      <c r="F348" s="169">
        <v>-53515.83</v>
      </c>
      <c r="G348" s="169">
        <v>-60580.05</v>
      </c>
      <c r="H348" s="169">
        <v>-88884.54</v>
      </c>
      <c r="I348" s="169">
        <v>92336.06</v>
      </c>
      <c r="J348" s="169">
        <v>88106.25</v>
      </c>
      <c r="K348" s="169">
        <v>-42687.85</v>
      </c>
      <c r="L348" s="169">
        <v>-54482.85</v>
      </c>
      <c r="M348" s="169">
        <v>74198.67</v>
      </c>
      <c r="N348" s="50">
        <v>21318.0</v>
      </c>
      <c r="O348" s="111">
        <v>21.0</v>
      </c>
      <c r="P348" s="168">
        <v>9.0</v>
      </c>
    </row>
    <row r="349">
      <c r="A349" s="160">
        <v>49.0</v>
      </c>
      <c r="B349" s="160">
        <v>29.0</v>
      </c>
      <c r="C349" s="147">
        <v>7345.0</v>
      </c>
      <c r="D349" s="168">
        <v>200.0</v>
      </c>
      <c r="E349" s="24">
        <v>28.0</v>
      </c>
      <c r="F349" s="169">
        <v>13915.86</v>
      </c>
      <c r="G349" s="169">
        <v>29601.9</v>
      </c>
      <c r="H349" s="169">
        <v>-30759.96</v>
      </c>
      <c r="I349" s="169">
        <v>-35290.66</v>
      </c>
      <c r="J349" s="169">
        <v>23660.66</v>
      </c>
      <c r="K349" s="169">
        <v>32223.82</v>
      </c>
      <c r="L349" s="169">
        <v>-78039.1</v>
      </c>
      <c r="M349" s="169">
        <v>-50995.41</v>
      </c>
      <c r="N349" s="50">
        <v>113022.0</v>
      </c>
      <c r="O349" s="111">
        <v>23.0</v>
      </c>
      <c r="P349" s="168">
        <v>4.0</v>
      </c>
    </row>
    <row r="350">
      <c r="A350" s="160">
        <v>90.0</v>
      </c>
      <c r="B350" s="160">
        <v>28.0</v>
      </c>
      <c r="C350" s="170">
        <v>7346.0</v>
      </c>
      <c r="D350" s="168">
        <v>208.0</v>
      </c>
      <c r="E350" s="24">
        <v>35.0</v>
      </c>
      <c r="F350" s="169">
        <v>9920.85</v>
      </c>
      <c r="G350" s="169">
        <v>-36695.41</v>
      </c>
      <c r="H350" s="169">
        <v>59210.08</v>
      </c>
      <c r="I350" s="169">
        <v>-73737.9</v>
      </c>
      <c r="J350" s="169">
        <v>-31449.36</v>
      </c>
      <c r="K350" s="169">
        <v>45835.39</v>
      </c>
      <c r="L350" s="169">
        <v>58366.28</v>
      </c>
      <c r="M350" s="169">
        <v>-54079.09</v>
      </c>
      <c r="N350" s="50">
        <v>100416.0</v>
      </c>
      <c r="O350" s="111">
        <v>22.0</v>
      </c>
      <c r="P350" s="168">
        <v>1.0</v>
      </c>
    </row>
    <row r="351">
      <c r="A351" s="160">
        <v>69.0</v>
      </c>
      <c r="B351" s="160">
        <v>84.0</v>
      </c>
      <c r="C351" s="170">
        <v>7347.0</v>
      </c>
      <c r="D351" s="168">
        <v>218.0</v>
      </c>
      <c r="E351" s="24">
        <v>87.0</v>
      </c>
      <c r="F351" s="169">
        <v>-42031.81</v>
      </c>
      <c r="G351" s="169">
        <v>22479.23</v>
      </c>
      <c r="H351" s="169">
        <v>52437.15</v>
      </c>
      <c r="I351" s="169">
        <v>-58733.76</v>
      </c>
      <c r="J351" s="169">
        <v>-48767.99</v>
      </c>
      <c r="K351" s="169">
        <v>-62556.82</v>
      </c>
      <c r="L351" s="169">
        <v>64281.12</v>
      </c>
      <c r="M351" s="169">
        <v>39135.73</v>
      </c>
      <c r="N351" s="50">
        <v>20913.0</v>
      </c>
      <c r="O351" s="111">
        <v>22.0</v>
      </c>
      <c r="P351" s="168">
        <v>7.0</v>
      </c>
    </row>
    <row r="352">
      <c r="A352" s="160">
        <v>49.0</v>
      </c>
      <c r="B352" s="160">
        <v>37.0</v>
      </c>
      <c r="C352" s="170">
        <v>7348.0</v>
      </c>
      <c r="D352" s="168">
        <v>204.0</v>
      </c>
      <c r="E352" s="24">
        <v>54.0</v>
      </c>
      <c r="F352" s="169">
        <v>30380.21</v>
      </c>
      <c r="G352" s="169">
        <v>88386.1</v>
      </c>
      <c r="H352" s="169">
        <v>48905.79</v>
      </c>
      <c r="I352" s="169">
        <v>-33905.45</v>
      </c>
      <c r="J352" s="169">
        <v>14556.54</v>
      </c>
      <c r="K352" s="169">
        <v>34504.09</v>
      </c>
      <c r="L352" s="169">
        <v>66123.98</v>
      </c>
      <c r="M352" s="169">
        <v>-73889.92</v>
      </c>
      <c r="N352" s="50">
        <v>52221.0</v>
      </c>
      <c r="O352" s="111">
        <v>22.0</v>
      </c>
      <c r="P352" s="168">
        <v>4.0</v>
      </c>
    </row>
    <row r="353">
      <c r="A353" s="160">
        <v>28.0</v>
      </c>
      <c r="B353" s="160">
        <v>91.0</v>
      </c>
      <c r="C353" s="170">
        <v>7349.0</v>
      </c>
      <c r="D353" s="168">
        <v>208.0</v>
      </c>
      <c r="E353" s="24">
        <v>46.0</v>
      </c>
      <c r="F353" s="169">
        <v>-68969.75</v>
      </c>
      <c r="G353" s="169">
        <v>79426.38</v>
      </c>
      <c r="H353" s="169">
        <v>-72639.22</v>
      </c>
      <c r="I353" s="169">
        <v>-18743.22</v>
      </c>
      <c r="J353" s="169">
        <v>53819.0</v>
      </c>
      <c r="K353" s="169">
        <v>-69282.68</v>
      </c>
      <c r="L353" s="169">
        <v>59690.12</v>
      </c>
      <c r="M353" s="169">
        <v>90344.15</v>
      </c>
      <c r="N353" s="50">
        <v>11318.0</v>
      </c>
      <c r="O353" s="111">
        <v>22.0</v>
      </c>
      <c r="P353" s="168">
        <v>4.0</v>
      </c>
    </row>
    <row r="354">
      <c r="A354" s="160">
        <v>90.0</v>
      </c>
      <c r="B354" s="160">
        <v>37.0</v>
      </c>
      <c r="C354" s="147">
        <v>7350.0</v>
      </c>
      <c r="D354" s="168">
        <v>206.0</v>
      </c>
      <c r="E354" s="24">
        <v>51.0</v>
      </c>
      <c r="F354" s="169">
        <v>1397.98</v>
      </c>
      <c r="G354" s="169">
        <v>87323.05</v>
      </c>
      <c r="H354" s="169">
        <v>70972.08</v>
      </c>
      <c r="I354" s="169">
        <v>14582.61</v>
      </c>
      <c r="J354" s="169">
        <v>-50521.63</v>
      </c>
      <c r="K354" s="169">
        <v>-1537.11</v>
      </c>
      <c r="L354" s="169">
        <v>86949.35</v>
      </c>
      <c r="M354" s="169">
        <v>-80886.13</v>
      </c>
      <c r="N354" s="50">
        <v>121321.0</v>
      </c>
      <c r="O354" s="111">
        <v>23.0</v>
      </c>
      <c r="P354" s="168">
        <v>2.0</v>
      </c>
    </row>
    <row r="355">
      <c r="A355" s="160">
        <v>69.0</v>
      </c>
      <c r="B355" s="160">
        <v>91.0</v>
      </c>
      <c r="C355" s="170">
        <v>7351.0</v>
      </c>
      <c r="D355" s="168">
        <v>202.0</v>
      </c>
      <c r="E355" s="24">
        <v>42.0</v>
      </c>
      <c r="F355" s="169">
        <v>27806.08</v>
      </c>
      <c r="G355" s="169">
        <v>39541.21</v>
      </c>
      <c r="H355" s="169">
        <v>41049.63</v>
      </c>
      <c r="I355" s="169">
        <v>-29955.6</v>
      </c>
      <c r="J355" s="169">
        <v>-68045.48</v>
      </c>
      <c r="K355" s="169">
        <v>-4678.19</v>
      </c>
      <c r="L355" s="169">
        <v>-51987.47</v>
      </c>
      <c r="M355" s="169">
        <v>23588.83</v>
      </c>
      <c r="N355" s="50">
        <v>80417.0</v>
      </c>
      <c r="O355" s="111">
        <v>21.0</v>
      </c>
      <c r="P355" s="168">
        <v>9.0</v>
      </c>
    </row>
    <row r="356">
      <c r="A356" s="160">
        <v>49.0</v>
      </c>
      <c r="B356" s="160">
        <v>47.0</v>
      </c>
      <c r="C356" s="170">
        <v>7352.0</v>
      </c>
      <c r="D356" s="168">
        <v>209.0</v>
      </c>
      <c r="E356" s="24">
        <v>80.0</v>
      </c>
      <c r="F356" s="169">
        <v>-80404.3</v>
      </c>
      <c r="G356" s="169">
        <v>-22106.53</v>
      </c>
      <c r="H356" s="169">
        <v>24971.32</v>
      </c>
      <c r="I356" s="169">
        <v>87495.25</v>
      </c>
      <c r="J356" s="169">
        <v>-33058.53</v>
      </c>
      <c r="K356" s="169">
        <v>8774.15</v>
      </c>
      <c r="L356" s="169">
        <v>-91005.78</v>
      </c>
      <c r="M356" s="169">
        <v>-95477.95</v>
      </c>
      <c r="N356" s="50">
        <v>80721.0</v>
      </c>
      <c r="O356" s="111">
        <v>23.0</v>
      </c>
      <c r="P356" s="168">
        <v>6.0</v>
      </c>
    </row>
    <row r="357">
      <c r="A357" s="160">
        <v>29.0</v>
      </c>
      <c r="B357" s="160">
        <v>1.0</v>
      </c>
      <c r="C357" s="170">
        <v>7353.0</v>
      </c>
      <c r="D357" s="168">
        <v>217.0</v>
      </c>
      <c r="E357" s="24">
        <v>33.0</v>
      </c>
      <c r="F357" s="169">
        <v>80736.71</v>
      </c>
      <c r="G357" s="169">
        <v>27056.96</v>
      </c>
      <c r="H357" s="169">
        <v>-41880.06</v>
      </c>
      <c r="I357" s="169">
        <v>51324.17</v>
      </c>
      <c r="J357" s="169">
        <v>4190.69</v>
      </c>
      <c r="K357" s="169">
        <v>5344.08</v>
      </c>
      <c r="L357" s="169">
        <v>-25828.82</v>
      </c>
      <c r="M357" s="169">
        <v>-54454.61</v>
      </c>
      <c r="N357" s="50">
        <v>111214.0</v>
      </c>
      <c r="O357" s="111">
        <v>21.0</v>
      </c>
      <c r="P357" s="168">
        <v>6.0</v>
      </c>
    </row>
    <row r="358">
      <c r="A358" s="160">
        <v>49.0</v>
      </c>
      <c r="B358" s="160">
        <v>49.0</v>
      </c>
      <c r="C358" s="170">
        <v>7354.0</v>
      </c>
      <c r="D358" s="168">
        <v>216.0</v>
      </c>
      <c r="E358" s="24">
        <v>47.0</v>
      </c>
      <c r="F358" s="169">
        <v>-52183.46</v>
      </c>
      <c r="G358" s="169">
        <v>-94462.33</v>
      </c>
      <c r="H358" s="169">
        <v>-86905.04</v>
      </c>
      <c r="I358" s="169">
        <v>-95830.58</v>
      </c>
      <c r="J358" s="169">
        <v>-97280.68</v>
      </c>
      <c r="K358" s="169">
        <v>-90107.48</v>
      </c>
      <c r="L358" s="169">
        <v>-56345.96</v>
      </c>
      <c r="M358" s="169">
        <v>-62565.18</v>
      </c>
      <c r="N358" s="50">
        <v>61513.0</v>
      </c>
      <c r="O358" s="111">
        <v>23.0</v>
      </c>
      <c r="P358" s="168">
        <v>9.0</v>
      </c>
    </row>
    <row r="359">
      <c r="A359" s="160">
        <v>90.0</v>
      </c>
      <c r="B359" s="160">
        <v>47.0</v>
      </c>
      <c r="C359" s="147">
        <v>7355.0</v>
      </c>
      <c r="D359" s="168">
        <v>212.0</v>
      </c>
      <c r="E359" s="24">
        <v>95.0</v>
      </c>
      <c r="F359" s="169">
        <v>-40721.81</v>
      </c>
      <c r="G359" s="169">
        <v>62360.15</v>
      </c>
      <c r="H359" s="169">
        <v>23088.58</v>
      </c>
      <c r="I359" s="169">
        <v>-15089.76</v>
      </c>
      <c r="J359" s="169">
        <v>-75840.54</v>
      </c>
      <c r="K359" s="169">
        <v>39398.68</v>
      </c>
      <c r="L359" s="169">
        <v>4034.12</v>
      </c>
      <c r="M359" s="169">
        <v>73104.5</v>
      </c>
      <c r="N359" s="50">
        <v>51013.0</v>
      </c>
      <c r="O359" s="111">
        <v>23.0</v>
      </c>
      <c r="P359" s="168">
        <v>7.0</v>
      </c>
    </row>
    <row r="360">
      <c r="A360" s="160">
        <v>49.0</v>
      </c>
      <c r="B360" s="160">
        <v>52.0</v>
      </c>
      <c r="C360" s="170">
        <v>7356.0</v>
      </c>
      <c r="D360" s="168">
        <v>208.0</v>
      </c>
      <c r="E360" s="24">
        <v>98.0</v>
      </c>
      <c r="F360" s="169">
        <v>33209.69</v>
      </c>
      <c r="G360" s="169">
        <v>80827.38</v>
      </c>
      <c r="H360" s="169">
        <v>-67097.54</v>
      </c>
      <c r="I360" s="169">
        <v>-32183.87</v>
      </c>
      <c r="J360" s="169">
        <v>-93406.01</v>
      </c>
      <c r="K360" s="169">
        <v>-91598.52</v>
      </c>
      <c r="L360" s="169">
        <v>82732.98</v>
      </c>
      <c r="M360" s="169">
        <v>-36116.44</v>
      </c>
      <c r="N360" s="50">
        <v>42914.0</v>
      </c>
      <c r="O360" s="111">
        <v>22.0</v>
      </c>
      <c r="P360" s="168">
        <v>3.0</v>
      </c>
    </row>
    <row r="361">
      <c r="A361" s="160">
        <v>29.0</v>
      </c>
      <c r="B361" s="160">
        <v>7.0</v>
      </c>
      <c r="C361" s="170">
        <v>7357.0</v>
      </c>
      <c r="D361" s="168">
        <v>201.0</v>
      </c>
      <c r="E361" s="24">
        <v>75.0</v>
      </c>
      <c r="F361" s="169">
        <v>42955.18</v>
      </c>
      <c r="G361" s="169">
        <v>81171.09</v>
      </c>
      <c r="H361" s="169">
        <v>-86691.92</v>
      </c>
      <c r="I361" s="169">
        <v>-71788.87</v>
      </c>
      <c r="J361" s="169">
        <v>18053.53</v>
      </c>
      <c r="K361" s="169">
        <v>18913.72</v>
      </c>
      <c r="L361" s="169">
        <v>-65088.38</v>
      </c>
      <c r="M361" s="169">
        <v>-6310.16</v>
      </c>
      <c r="N361" s="50">
        <v>110217.0</v>
      </c>
      <c r="O361" s="111">
        <v>21.0</v>
      </c>
      <c r="P361" s="168">
        <v>4.0</v>
      </c>
    </row>
    <row r="362">
      <c r="A362" s="160">
        <v>70.0</v>
      </c>
      <c r="B362" s="160">
        <v>4.0</v>
      </c>
      <c r="C362" s="170">
        <v>7358.0</v>
      </c>
      <c r="D362" s="168">
        <v>200.0</v>
      </c>
      <c r="E362" s="24">
        <v>19.0</v>
      </c>
      <c r="F362" s="169">
        <v>17012.12</v>
      </c>
      <c r="G362" s="169">
        <v>86819.49</v>
      </c>
      <c r="H362" s="169">
        <v>92629.5</v>
      </c>
      <c r="I362" s="169">
        <v>47198.88</v>
      </c>
      <c r="J362" s="169">
        <v>-28853.58</v>
      </c>
      <c r="K362" s="169">
        <v>75663.42</v>
      </c>
      <c r="L362" s="169">
        <v>-12257.7</v>
      </c>
      <c r="M362" s="169">
        <v>11223.26</v>
      </c>
      <c r="N362" s="50">
        <v>121821.0</v>
      </c>
      <c r="O362" s="111">
        <v>23.0</v>
      </c>
      <c r="P362" s="168">
        <v>3.0</v>
      </c>
    </row>
    <row r="363">
      <c r="A363" s="160">
        <v>70.0</v>
      </c>
      <c r="B363" s="160">
        <v>5.0</v>
      </c>
      <c r="C363" s="170">
        <v>7359.0</v>
      </c>
      <c r="D363" s="168">
        <v>205.0</v>
      </c>
      <c r="E363" s="24">
        <v>43.0</v>
      </c>
      <c r="F363" s="169">
        <v>69806.77</v>
      </c>
      <c r="G363" s="169">
        <v>39019.05</v>
      </c>
      <c r="H363" s="169">
        <v>-72959.63</v>
      </c>
      <c r="I363" s="169">
        <v>86958.42</v>
      </c>
      <c r="J363" s="169">
        <v>-84732.58</v>
      </c>
      <c r="K363" s="169">
        <v>-29895.95</v>
      </c>
      <c r="L363" s="169">
        <v>53647.03</v>
      </c>
      <c r="M363" s="169">
        <v>-16203.08</v>
      </c>
      <c r="N363" s="50">
        <v>32713.0</v>
      </c>
      <c r="O363" s="111">
        <v>21.0</v>
      </c>
      <c r="P363" s="168">
        <v>8.0</v>
      </c>
    </row>
    <row r="364">
      <c r="A364" s="160">
        <v>29.0</v>
      </c>
      <c r="B364" s="160">
        <v>10.0</v>
      </c>
      <c r="C364" s="147">
        <v>7360.0</v>
      </c>
      <c r="D364" s="168">
        <v>216.0</v>
      </c>
      <c r="E364" s="24">
        <v>93.0</v>
      </c>
      <c r="F364" s="169">
        <v>39014.27</v>
      </c>
      <c r="G364" s="169">
        <v>57522.27</v>
      </c>
      <c r="H364" s="169">
        <v>-67365.08</v>
      </c>
      <c r="I364" s="169">
        <v>-87378.98</v>
      </c>
      <c r="J364" s="169">
        <v>-23345.33</v>
      </c>
      <c r="K364" s="169">
        <v>55958.15</v>
      </c>
      <c r="L364" s="169">
        <v>22373.42</v>
      </c>
      <c r="M364" s="169">
        <v>49320.27</v>
      </c>
      <c r="N364" s="50">
        <v>10417.0</v>
      </c>
      <c r="O364" s="111">
        <v>20.0</v>
      </c>
      <c r="P364" s="168">
        <v>8.0</v>
      </c>
    </row>
    <row r="365">
      <c r="A365" s="160">
        <v>29.0</v>
      </c>
      <c r="B365" s="160">
        <v>9.0</v>
      </c>
      <c r="C365" s="170">
        <v>7361.0</v>
      </c>
      <c r="D365" s="168">
        <v>211.0</v>
      </c>
      <c r="E365" s="24">
        <v>35.0</v>
      </c>
      <c r="F365" s="169">
        <v>58666.29</v>
      </c>
      <c r="G365" s="169">
        <v>16953.37</v>
      </c>
      <c r="H365" s="169">
        <v>-83952.15</v>
      </c>
      <c r="I365" s="169">
        <v>-37544.5</v>
      </c>
      <c r="J365" s="169">
        <v>-48218.26</v>
      </c>
      <c r="K365" s="169">
        <v>37001.58</v>
      </c>
      <c r="L365" s="169">
        <v>87200.53</v>
      </c>
      <c r="M365" s="169">
        <v>35889.87</v>
      </c>
      <c r="N365" s="50">
        <v>12213.0</v>
      </c>
      <c r="O365" s="111">
        <v>23.0</v>
      </c>
      <c r="P365" s="168">
        <v>5.0</v>
      </c>
    </row>
    <row r="366">
      <c r="A366" s="160">
        <v>70.0</v>
      </c>
      <c r="B366" s="160">
        <v>11.0</v>
      </c>
      <c r="C366" s="170">
        <v>7362.0</v>
      </c>
      <c r="D366" s="168">
        <v>203.0</v>
      </c>
      <c r="E366" s="24">
        <v>96.0</v>
      </c>
      <c r="F366" s="169">
        <v>-35813.27</v>
      </c>
      <c r="G366" s="169">
        <v>51418.71</v>
      </c>
      <c r="H366" s="169">
        <v>-93409.58</v>
      </c>
      <c r="I366" s="169">
        <v>-78967.22</v>
      </c>
      <c r="J366" s="169">
        <v>39090.45</v>
      </c>
      <c r="K366" s="169">
        <v>-51078.81</v>
      </c>
      <c r="L366" s="169">
        <v>92522.88</v>
      </c>
      <c r="M366" s="169">
        <v>50518.01</v>
      </c>
      <c r="N366" s="50">
        <v>22115.0</v>
      </c>
      <c r="O366" s="111">
        <v>22.0</v>
      </c>
      <c r="P366" s="168">
        <v>8.0</v>
      </c>
    </row>
    <row r="367">
      <c r="A367" s="160">
        <v>29.0</v>
      </c>
      <c r="B367" s="160">
        <v>19.0</v>
      </c>
      <c r="C367" s="170">
        <v>7363.0</v>
      </c>
      <c r="D367" s="168">
        <v>214.0</v>
      </c>
      <c r="E367" s="24">
        <v>65.0</v>
      </c>
      <c r="F367" s="169">
        <v>-66967.36</v>
      </c>
      <c r="G367" s="169">
        <v>99185.86</v>
      </c>
      <c r="H367" s="169">
        <v>21709.64</v>
      </c>
      <c r="I367" s="169">
        <v>-37704.82</v>
      </c>
      <c r="J367" s="169">
        <v>54954.82</v>
      </c>
      <c r="K367" s="169">
        <v>-92810.89</v>
      </c>
      <c r="L367" s="169">
        <v>-63857.73</v>
      </c>
      <c r="M367" s="169">
        <v>32029.38</v>
      </c>
      <c r="N367" s="50">
        <v>40615.0</v>
      </c>
      <c r="O367" s="111">
        <v>22.0</v>
      </c>
      <c r="P367" s="168">
        <v>5.0</v>
      </c>
    </row>
    <row r="368">
      <c r="A368" s="160">
        <v>49.0</v>
      </c>
      <c r="B368" s="160">
        <v>70.0</v>
      </c>
      <c r="C368" s="170">
        <v>7364.0</v>
      </c>
      <c r="D368" s="168">
        <v>205.0</v>
      </c>
      <c r="E368" s="24">
        <v>95.0</v>
      </c>
      <c r="F368" s="169">
        <v>25084.55</v>
      </c>
      <c r="G368" s="169">
        <v>35256.91</v>
      </c>
      <c r="H368" s="169">
        <v>-25554.19</v>
      </c>
      <c r="I368" s="169">
        <v>58370.58</v>
      </c>
      <c r="J368" s="169">
        <v>-69988.95</v>
      </c>
      <c r="K368" s="169">
        <v>-68914.96</v>
      </c>
      <c r="L368" s="169">
        <v>67569.4</v>
      </c>
      <c r="M368" s="169">
        <v>-90030.66</v>
      </c>
      <c r="N368" s="50">
        <v>21920.0</v>
      </c>
      <c r="O368" s="111">
        <v>20.0</v>
      </c>
      <c r="P368" s="168">
        <v>9.0</v>
      </c>
    </row>
    <row r="369">
      <c r="A369" s="160">
        <v>49.0</v>
      </c>
      <c r="B369" s="160">
        <v>71.0</v>
      </c>
      <c r="C369" s="147">
        <v>7365.0</v>
      </c>
      <c r="D369" s="168">
        <v>207.0</v>
      </c>
      <c r="E369" s="24">
        <v>85.0</v>
      </c>
      <c r="F369" s="169">
        <v>40987.55</v>
      </c>
      <c r="G369" s="169">
        <v>-21896.78</v>
      </c>
      <c r="H369" s="169">
        <v>55921.29</v>
      </c>
      <c r="I369" s="169">
        <v>54724.28</v>
      </c>
      <c r="J369" s="169">
        <v>-74274.63</v>
      </c>
      <c r="K369" s="169">
        <v>-29323.26</v>
      </c>
      <c r="L369" s="169">
        <v>-71172.15</v>
      </c>
      <c r="M369" s="169">
        <v>-42103.5</v>
      </c>
      <c r="N369" s="50">
        <v>61819.0</v>
      </c>
      <c r="O369" s="111">
        <v>22.0</v>
      </c>
      <c r="P369" s="168">
        <v>7.0</v>
      </c>
    </row>
    <row r="370">
      <c r="A370" s="160">
        <v>70.0</v>
      </c>
      <c r="B370" s="160">
        <v>22.0</v>
      </c>
      <c r="C370" s="170">
        <v>7366.0</v>
      </c>
      <c r="D370" s="168">
        <v>213.0</v>
      </c>
      <c r="E370" s="24">
        <v>21.0</v>
      </c>
      <c r="F370" s="169">
        <v>95431.39</v>
      </c>
      <c r="G370" s="169">
        <v>14670.98</v>
      </c>
      <c r="H370" s="169">
        <v>-82029.99</v>
      </c>
      <c r="I370" s="169">
        <v>-99031.87</v>
      </c>
      <c r="J370" s="169">
        <v>60616.09</v>
      </c>
      <c r="K370" s="169">
        <v>-88783.37</v>
      </c>
      <c r="L370" s="169">
        <v>-42457.2</v>
      </c>
      <c r="M370" s="169">
        <v>-39737.4</v>
      </c>
      <c r="N370" s="50">
        <v>120921.0</v>
      </c>
      <c r="O370" s="111">
        <v>23.0</v>
      </c>
      <c r="P370" s="168">
        <v>5.0</v>
      </c>
    </row>
    <row r="371">
      <c r="A371" s="160">
        <v>90.0</v>
      </c>
      <c r="B371" s="160">
        <v>72.0</v>
      </c>
      <c r="C371" s="170">
        <v>7367.0</v>
      </c>
      <c r="D371" s="168">
        <v>215.0</v>
      </c>
      <c r="E371" s="24">
        <v>31.0</v>
      </c>
      <c r="F371" s="169">
        <v>-39360.12</v>
      </c>
      <c r="G371" s="169">
        <v>-36706.52</v>
      </c>
      <c r="H371" s="169">
        <v>49780.93</v>
      </c>
      <c r="I371" s="169">
        <v>47585.22</v>
      </c>
      <c r="J371" s="169">
        <v>-83585.66</v>
      </c>
      <c r="K371" s="169">
        <v>-2282.32</v>
      </c>
      <c r="L371" s="169">
        <v>-33359.49</v>
      </c>
      <c r="M371" s="169">
        <v>-82448.63</v>
      </c>
      <c r="N371" s="50">
        <v>110822.0</v>
      </c>
      <c r="O371" s="111">
        <v>22.0</v>
      </c>
      <c r="P371" s="168">
        <v>6.0</v>
      </c>
    </row>
    <row r="372">
      <c r="A372" s="160">
        <v>90.0</v>
      </c>
      <c r="B372" s="160">
        <v>73.0</v>
      </c>
      <c r="C372" s="170">
        <v>7368.0</v>
      </c>
      <c r="D372" s="168">
        <v>208.0</v>
      </c>
      <c r="E372" s="24">
        <v>72.0</v>
      </c>
      <c r="F372" s="169">
        <v>40219.7</v>
      </c>
      <c r="G372" s="169">
        <v>65610.86</v>
      </c>
      <c r="H372" s="169">
        <v>47800.0</v>
      </c>
      <c r="I372" s="169">
        <v>-52467.05</v>
      </c>
      <c r="J372" s="169">
        <v>-79074.09</v>
      </c>
      <c r="K372" s="169">
        <v>-82027.64</v>
      </c>
      <c r="L372" s="169">
        <v>-51806.16</v>
      </c>
      <c r="M372" s="169">
        <v>-82253.45</v>
      </c>
      <c r="N372" s="50">
        <v>61413.0</v>
      </c>
      <c r="O372" s="111">
        <v>21.0</v>
      </c>
      <c r="P372" s="168">
        <v>8.0</v>
      </c>
    </row>
    <row r="373">
      <c r="A373" s="160">
        <v>29.0</v>
      </c>
      <c r="B373" s="160">
        <v>32.0</v>
      </c>
      <c r="C373" s="170">
        <v>7369.0</v>
      </c>
      <c r="D373" s="168">
        <v>208.0</v>
      </c>
      <c r="E373" s="24">
        <v>22.0</v>
      </c>
      <c r="F373" s="169">
        <v>70609.11</v>
      </c>
      <c r="G373" s="169">
        <v>3658.47</v>
      </c>
      <c r="H373" s="169">
        <v>74477.43</v>
      </c>
      <c r="I373" s="169">
        <v>69354.78</v>
      </c>
      <c r="J373" s="169">
        <v>-32027.75</v>
      </c>
      <c r="K373" s="169">
        <v>58583.43</v>
      </c>
      <c r="L373" s="169">
        <v>-76518.84</v>
      </c>
      <c r="M373" s="169">
        <v>-20055.28</v>
      </c>
      <c r="N373" s="50">
        <v>110813.0</v>
      </c>
      <c r="O373" s="111">
        <v>23.0</v>
      </c>
      <c r="P373" s="168">
        <v>3.0</v>
      </c>
    </row>
    <row r="374">
      <c r="A374" s="160">
        <v>90.0</v>
      </c>
      <c r="B374" s="160">
        <v>78.0</v>
      </c>
      <c r="C374" s="147">
        <v>7370.0</v>
      </c>
      <c r="D374" s="168">
        <v>210.0</v>
      </c>
      <c r="E374" s="24">
        <v>52.0</v>
      </c>
      <c r="F374" s="169">
        <v>-48452.22</v>
      </c>
      <c r="G374" s="169">
        <v>-39889.52</v>
      </c>
      <c r="H374" s="169">
        <v>69595.48</v>
      </c>
      <c r="I374" s="169">
        <v>-21121.73</v>
      </c>
      <c r="J374" s="169">
        <v>-32174.78</v>
      </c>
      <c r="K374" s="169">
        <v>-40940.9</v>
      </c>
      <c r="L374" s="169">
        <v>7012.52</v>
      </c>
      <c r="M374" s="169">
        <v>-94314.37</v>
      </c>
      <c r="N374" s="50">
        <v>100622.0</v>
      </c>
      <c r="O374" s="111">
        <v>21.0</v>
      </c>
      <c r="P374" s="168">
        <v>9.0</v>
      </c>
    </row>
    <row r="375">
      <c r="A375" s="160">
        <v>90.0</v>
      </c>
      <c r="B375" s="160">
        <v>80.0</v>
      </c>
      <c r="C375" s="170">
        <v>7371.0</v>
      </c>
      <c r="D375" s="168">
        <v>203.0</v>
      </c>
      <c r="E375" s="24">
        <v>25.0</v>
      </c>
      <c r="F375" s="169">
        <v>81735.61</v>
      </c>
      <c r="G375" s="169">
        <v>-41089.55</v>
      </c>
      <c r="H375" s="169">
        <v>48818.59</v>
      </c>
      <c r="I375" s="169">
        <v>-76556.4</v>
      </c>
      <c r="J375" s="169">
        <v>62579.22</v>
      </c>
      <c r="K375" s="169">
        <v>20661.68</v>
      </c>
      <c r="L375" s="169">
        <v>77058.8</v>
      </c>
      <c r="M375" s="169">
        <v>40492.5</v>
      </c>
      <c r="N375" s="50">
        <v>72119.0</v>
      </c>
      <c r="O375" s="111">
        <v>23.0</v>
      </c>
      <c r="P375" s="168">
        <v>4.0</v>
      </c>
    </row>
    <row r="376">
      <c r="A376" s="160">
        <v>90.0</v>
      </c>
      <c r="B376" s="160">
        <v>81.0</v>
      </c>
      <c r="C376" s="170">
        <v>7372.0</v>
      </c>
      <c r="D376" s="168">
        <v>205.0</v>
      </c>
      <c r="E376" s="24">
        <v>16.0</v>
      </c>
      <c r="F376" s="169">
        <v>52642.09</v>
      </c>
      <c r="G376" s="169">
        <v>11313.31</v>
      </c>
      <c r="H376" s="169">
        <v>-17144.5</v>
      </c>
      <c r="I376" s="169">
        <v>96883.3</v>
      </c>
      <c r="J376" s="169">
        <v>-39268.65</v>
      </c>
      <c r="K376" s="169">
        <v>14188.74</v>
      </c>
      <c r="L376" s="169">
        <v>59548.96</v>
      </c>
      <c r="M376" s="169">
        <v>31876.88</v>
      </c>
      <c r="N376" s="50">
        <v>11515.0</v>
      </c>
      <c r="O376" s="111">
        <v>22.0</v>
      </c>
      <c r="P376" s="168">
        <v>5.0</v>
      </c>
    </row>
    <row r="377">
      <c r="A377" s="160">
        <v>90.0</v>
      </c>
      <c r="B377" s="160">
        <v>90.0</v>
      </c>
      <c r="C377" s="170">
        <v>7373.0</v>
      </c>
      <c r="D377" s="168">
        <v>202.0</v>
      </c>
      <c r="E377" s="24">
        <v>40.0</v>
      </c>
      <c r="F377" s="169">
        <v>22067.69</v>
      </c>
      <c r="G377" s="169">
        <v>-39654.81</v>
      </c>
      <c r="H377" s="169">
        <v>89011.09</v>
      </c>
      <c r="I377" s="169">
        <v>67490.68</v>
      </c>
      <c r="J377" s="169">
        <v>1170.51</v>
      </c>
      <c r="K377" s="169">
        <v>36101.85</v>
      </c>
      <c r="L377" s="169">
        <v>-21471.62</v>
      </c>
      <c r="M377" s="169">
        <v>-35397.97</v>
      </c>
      <c r="N377" s="50">
        <v>43020.0</v>
      </c>
      <c r="O377" s="111">
        <v>20.0</v>
      </c>
      <c r="P377" s="168">
        <v>2.0</v>
      </c>
    </row>
    <row r="378">
      <c r="A378" s="160">
        <v>49.0</v>
      </c>
      <c r="B378" s="160">
        <v>96.0</v>
      </c>
      <c r="C378" s="170">
        <v>7374.0</v>
      </c>
      <c r="D378" s="168">
        <v>213.0</v>
      </c>
      <c r="E378" s="24">
        <v>77.0</v>
      </c>
      <c r="F378" s="169">
        <v>2737.78</v>
      </c>
      <c r="G378" s="169">
        <v>-21479.74</v>
      </c>
      <c r="H378" s="169">
        <v>26565.46</v>
      </c>
      <c r="I378" s="169">
        <v>-79191.9</v>
      </c>
      <c r="J378" s="169">
        <v>65113.9</v>
      </c>
      <c r="K378" s="169">
        <v>-19161.36</v>
      </c>
      <c r="L378" s="169">
        <v>-55823.17</v>
      </c>
      <c r="M378" s="169">
        <v>-37384.55</v>
      </c>
      <c r="N378" s="50">
        <v>20915.0</v>
      </c>
      <c r="O378" s="111">
        <v>20.0</v>
      </c>
      <c r="P378" s="168">
        <v>6.0</v>
      </c>
    </row>
    <row r="379">
      <c r="A379" s="160">
        <v>90.0</v>
      </c>
      <c r="B379" s="160">
        <v>94.0</v>
      </c>
      <c r="C379" s="147">
        <v>7375.0</v>
      </c>
      <c r="D379" s="168">
        <v>204.0</v>
      </c>
      <c r="E379" s="24">
        <v>81.0</v>
      </c>
      <c r="F379" s="169">
        <v>18025.68</v>
      </c>
      <c r="G379" s="169">
        <v>56481.4</v>
      </c>
      <c r="H379" s="169">
        <v>14052.4</v>
      </c>
      <c r="I379" s="169">
        <v>-68818.62</v>
      </c>
      <c r="J379" s="169">
        <v>33600.51</v>
      </c>
      <c r="K379" s="169">
        <v>-11436.79</v>
      </c>
      <c r="L379" s="169">
        <v>-52667.84</v>
      </c>
      <c r="M379" s="169">
        <v>-56235.7</v>
      </c>
      <c r="N379" s="50">
        <v>111918.0</v>
      </c>
      <c r="O379" s="111">
        <v>20.0</v>
      </c>
      <c r="P379" s="168">
        <v>8.0</v>
      </c>
    </row>
    <row r="380">
      <c r="A380" s="160">
        <v>70.0</v>
      </c>
      <c r="B380" s="160">
        <v>49.0</v>
      </c>
      <c r="C380" s="170">
        <v>7376.0</v>
      </c>
      <c r="D380" s="168">
        <v>217.0</v>
      </c>
      <c r="E380" s="24">
        <v>80.0</v>
      </c>
      <c r="F380" s="169">
        <v>28730.6</v>
      </c>
      <c r="G380" s="169">
        <v>41068.59</v>
      </c>
      <c r="H380" s="169">
        <v>-74427.83</v>
      </c>
      <c r="I380" s="169">
        <v>51701.89</v>
      </c>
      <c r="J380" s="169">
        <v>64209.71</v>
      </c>
      <c r="K380" s="169">
        <v>-82097.02</v>
      </c>
      <c r="L380" s="169">
        <v>-19745.52</v>
      </c>
      <c r="M380" s="169">
        <v>39861.82</v>
      </c>
      <c r="N380" s="50">
        <v>72922.0</v>
      </c>
      <c r="O380" s="111">
        <v>23.0</v>
      </c>
      <c r="P380" s="168">
        <v>2.0</v>
      </c>
    </row>
    <row r="381">
      <c r="A381" s="160">
        <v>50.0</v>
      </c>
      <c r="B381" s="160">
        <v>4.0</v>
      </c>
      <c r="C381" s="170">
        <v>7377.0</v>
      </c>
      <c r="D381" s="168">
        <v>201.0</v>
      </c>
      <c r="E381" s="24">
        <v>69.0</v>
      </c>
      <c r="F381" s="169">
        <v>84157.2</v>
      </c>
      <c r="G381" s="169">
        <v>-44003.86</v>
      </c>
      <c r="H381" s="169">
        <v>-70045.41</v>
      </c>
      <c r="I381" s="169">
        <v>69298.16</v>
      </c>
      <c r="J381" s="169">
        <v>82421.6</v>
      </c>
      <c r="K381" s="169">
        <v>46594.96</v>
      </c>
      <c r="L381" s="169">
        <v>-26630.76</v>
      </c>
      <c r="M381" s="169">
        <v>-85279.03</v>
      </c>
      <c r="N381" s="50">
        <v>50817.0</v>
      </c>
      <c r="O381" s="111">
        <v>21.0</v>
      </c>
      <c r="P381" s="168">
        <v>9.0</v>
      </c>
    </row>
    <row r="382">
      <c r="A382" s="160">
        <v>29.0</v>
      </c>
      <c r="B382" s="160">
        <v>59.0</v>
      </c>
      <c r="C382" s="170">
        <v>7378.0</v>
      </c>
      <c r="D382" s="168">
        <v>215.0</v>
      </c>
      <c r="E382" s="24">
        <v>24.0</v>
      </c>
      <c r="F382" s="169">
        <v>-10901.38</v>
      </c>
      <c r="G382" s="169">
        <v>52658.19</v>
      </c>
      <c r="H382" s="169">
        <v>-68496.74</v>
      </c>
      <c r="I382" s="169">
        <v>-77899.17</v>
      </c>
      <c r="J382" s="169">
        <v>58213.11</v>
      </c>
      <c r="K382" s="169">
        <v>48668.16</v>
      </c>
      <c r="L382" s="169">
        <v>29199.88</v>
      </c>
      <c r="M382" s="169">
        <v>59503.06</v>
      </c>
      <c r="N382" s="50">
        <v>82821.0</v>
      </c>
      <c r="O382" s="111">
        <v>22.0</v>
      </c>
      <c r="P382" s="168">
        <v>5.0</v>
      </c>
    </row>
    <row r="383">
      <c r="A383" s="160">
        <v>91.0</v>
      </c>
      <c r="B383" s="160">
        <v>4.0</v>
      </c>
      <c r="C383" s="170">
        <v>7379.0</v>
      </c>
      <c r="D383" s="168">
        <v>220.0</v>
      </c>
      <c r="E383" s="24">
        <v>31.0</v>
      </c>
      <c r="F383" s="169">
        <v>35323.62</v>
      </c>
      <c r="G383" s="169">
        <v>-38197.33</v>
      </c>
      <c r="H383" s="169">
        <v>-97699.1</v>
      </c>
      <c r="I383" s="169">
        <v>63087.4</v>
      </c>
      <c r="J383" s="169">
        <v>8005.86</v>
      </c>
      <c r="K383" s="169">
        <v>-74279.95</v>
      </c>
      <c r="L383" s="169">
        <v>-28238.46</v>
      </c>
      <c r="M383" s="169">
        <v>-90494.34</v>
      </c>
      <c r="N383" s="50">
        <v>52116.0</v>
      </c>
      <c r="O383" s="111">
        <v>22.0</v>
      </c>
      <c r="P383" s="168">
        <v>8.0</v>
      </c>
    </row>
    <row r="384">
      <c r="A384" s="160">
        <v>50.0</v>
      </c>
      <c r="B384" s="160">
        <v>9.0</v>
      </c>
      <c r="C384" s="147">
        <v>7380.0</v>
      </c>
      <c r="D384" s="168">
        <v>220.0</v>
      </c>
      <c r="E384" s="24">
        <v>55.0</v>
      </c>
      <c r="F384" s="169">
        <v>-31758.06</v>
      </c>
      <c r="G384" s="169">
        <v>-29433.87</v>
      </c>
      <c r="H384" s="169">
        <v>59753.42</v>
      </c>
      <c r="I384" s="169">
        <v>45120.64</v>
      </c>
      <c r="J384" s="169">
        <v>58148.89</v>
      </c>
      <c r="K384" s="169">
        <v>66158.11</v>
      </c>
      <c r="L384" s="169">
        <v>-18047.54</v>
      </c>
      <c r="M384" s="169">
        <v>45950.7</v>
      </c>
      <c r="N384" s="50">
        <v>51321.0</v>
      </c>
      <c r="O384" s="111">
        <v>21.0</v>
      </c>
      <c r="P384" s="168">
        <v>5.0</v>
      </c>
    </row>
    <row r="385">
      <c r="A385" s="160">
        <v>70.0</v>
      </c>
      <c r="B385" s="160">
        <v>56.0</v>
      </c>
      <c r="C385" s="170">
        <v>7381.0</v>
      </c>
      <c r="D385" s="168">
        <v>218.0</v>
      </c>
      <c r="E385" s="24">
        <v>19.0</v>
      </c>
      <c r="F385" s="169">
        <v>75829.25</v>
      </c>
      <c r="G385" s="169">
        <v>-82143.95</v>
      </c>
      <c r="H385" s="169">
        <v>-21743.5</v>
      </c>
      <c r="I385" s="169">
        <v>-19283.6</v>
      </c>
      <c r="J385" s="169">
        <v>53039.24</v>
      </c>
      <c r="K385" s="169">
        <v>91925.18</v>
      </c>
      <c r="L385" s="169">
        <v>-33483.83</v>
      </c>
      <c r="M385" s="169">
        <v>-95016.16</v>
      </c>
      <c r="N385" s="50">
        <v>100522.0</v>
      </c>
      <c r="O385" s="111">
        <v>20.0</v>
      </c>
      <c r="P385" s="168">
        <v>6.0</v>
      </c>
    </row>
    <row r="386">
      <c r="A386" s="160">
        <v>50.0</v>
      </c>
      <c r="B386" s="160">
        <v>7.0</v>
      </c>
      <c r="C386" s="170">
        <v>7382.0</v>
      </c>
      <c r="D386" s="168">
        <v>213.0</v>
      </c>
      <c r="E386" s="24">
        <v>72.0</v>
      </c>
      <c r="F386" s="169">
        <v>19759.07</v>
      </c>
      <c r="G386" s="169">
        <v>-60429.65</v>
      </c>
      <c r="H386" s="169">
        <v>-95162.94</v>
      </c>
      <c r="I386" s="169">
        <v>-57120.63</v>
      </c>
      <c r="J386" s="169">
        <v>-33239.1</v>
      </c>
      <c r="K386" s="169">
        <v>-8255.39</v>
      </c>
      <c r="L386" s="169">
        <v>-35054.61</v>
      </c>
      <c r="M386" s="169">
        <v>76182.17</v>
      </c>
      <c r="N386" s="50">
        <v>11314.0</v>
      </c>
      <c r="O386" s="111">
        <v>21.0</v>
      </c>
      <c r="P386" s="168">
        <v>5.0</v>
      </c>
    </row>
    <row r="387">
      <c r="A387" s="160">
        <v>50.0</v>
      </c>
      <c r="B387" s="160">
        <v>14.0</v>
      </c>
      <c r="C387" s="170">
        <v>7383.0</v>
      </c>
      <c r="D387" s="168">
        <v>211.0</v>
      </c>
      <c r="E387" s="24">
        <v>97.0</v>
      </c>
      <c r="F387" s="169">
        <v>37774.05</v>
      </c>
      <c r="G387" s="169">
        <v>79033.43</v>
      </c>
      <c r="H387" s="169">
        <v>-3418.99</v>
      </c>
      <c r="I387" s="169">
        <v>71726.54</v>
      </c>
      <c r="J387" s="169">
        <v>16661.18</v>
      </c>
      <c r="K387" s="169">
        <v>25272.1</v>
      </c>
      <c r="L387" s="169">
        <v>56486.75</v>
      </c>
      <c r="M387" s="169">
        <v>48131.18</v>
      </c>
      <c r="N387" s="50">
        <v>102718.0</v>
      </c>
      <c r="O387" s="111">
        <v>20.0</v>
      </c>
      <c r="P387" s="168">
        <v>5.0</v>
      </c>
    </row>
    <row r="388">
      <c r="A388" s="160">
        <v>50.0</v>
      </c>
      <c r="B388" s="160">
        <v>17.0</v>
      </c>
      <c r="C388" s="170">
        <v>7384.0</v>
      </c>
      <c r="D388" s="168">
        <v>203.0</v>
      </c>
      <c r="E388" s="24">
        <v>78.0</v>
      </c>
      <c r="F388" s="169">
        <v>26180.61</v>
      </c>
      <c r="G388" s="169">
        <v>-25362.24</v>
      </c>
      <c r="H388" s="169">
        <v>-17860.07</v>
      </c>
      <c r="I388" s="169">
        <v>-5195.42</v>
      </c>
      <c r="J388" s="169">
        <v>54762.81</v>
      </c>
      <c r="K388" s="169">
        <v>-80695.77</v>
      </c>
      <c r="L388" s="169">
        <v>23645.01</v>
      </c>
      <c r="M388" s="169">
        <v>64743.45</v>
      </c>
      <c r="N388" s="50">
        <v>33122.0</v>
      </c>
      <c r="O388" s="111">
        <v>20.0</v>
      </c>
      <c r="P388" s="168">
        <v>7.0</v>
      </c>
    </row>
    <row r="389">
      <c r="A389" s="160">
        <v>29.0</v>
      </c>
      <c r="B389" s="160">
        <v>71.0</v>
      </c>
      <c r="C389" s="147">
        <v>7385.0</v>
      </c>
      <c r="D389" s="168">
        <v>200.0</v>
      </c>
      <c r="E389" s="24">
        <v>50.0</v>
      </c>
      <c r="F389" s="169">
        <v>-54118.68</v>
      </c>
      <c r="G389" s="169">
        <v>-60838.33</v>
      </c>
      <c r="H389" s="169">
        <v>59876.6</v>
      </c>
      <c r="I389" s="169">
        <v>23550.12</v>
      </c>
      <c r="J389" s="169">
        <v>-35209.57</v>
      </c>
      <c r="K389" s="169">
        <v>-78087.04</v>
      </c>
      <c r="L389" s="169">
        <v>-89694.01</v>
      </c>
      <c r="M389" s="169">
        <v>-87554.56</v>
      </c>
      <c r="N389" s="50">
        <v>43016.0</v>
      </c>
      <c r="O389" s="111">
        <v>23.0</v>
      </c>
      <c r="P389" s="168">
        <v>6.0</v>
      </c>
    </row>
    <row r="390">
      <c r="A390" s="160">
        <v>29.0</v>
      </c>
      <c r="B390" s="160">
        <v>73.0</v>
      </c>
      <c r="C390" s="170">
        <v>7386.0</v>
      </c>
      <c r="D390" s="168">
        <v>202.0</v>
      </c>
      <c r="E390" s="24">
        <v>18.0</v>
      </c>
      <c r="F390" s="169">
        <v>38115.38</v>
      </c>
      <c r="G390" s="169">
        <v>-9730.97</v>
      </c>
      <c r="H390" s="169">
        <v>64226.81</v>
      </c>
      <c r="I390" s="169">
        <v>69133.53</v>
      </c>
      <c r="J390" s="169">
        <v>-46434.14</v>
      </c>
      <c r="K390" s="169">
        <v>73966.85</v>
      </c>
      <c r="L390" s="169">
        <v>-21922.47</v>
      </c>
      <c r="M390" s="169">
        <v>-63176.62</v>
      </c>
      <c r="N390" s="50">
        <v>122219.0</v>
      </c>
      <c r="O390" s="111">
        <v>20.0</v>
      </c>
      <c r="P390" s="168">
        <v>4.0</v>
      </c>
    </row>
    <row r="391">
      <c r="A391" s="160">
        <v>91.0</v>
      </c>
      <c r="B391" s="160">
        <v>21.0</v>
      </c>
      <c r="C391" s="170">
        <v>7387.0</v>
      </c>
      <c r="D391" s="168">
        <v>207.0</v>
      </c>
      <c r="E391" s="24">
        <v>29.0</v>
      </c>
      <c r="F391" s="169">
        <v>65455.99</v>
      </c>
      <c r="G391" s="169">
        <v>-85844.52</v>
      </c>
      <c r="H391" s="169">
        <v>-47379.45</v>
      </c>
      <c r="I391" s="169">
        <v>97025.1</v>
      </c>
      <c r="J391" s="169">
        <v>-30925.9</v>
      </c>
      <c r="K391" s="169">
        <v>-81633.13</v>
      </c>
      <c r="L391" s="169">
        <v>-92676.65</v>
      </c>
      <c r="M391" s="169">
        <v>-27504.23</v>
      </c>
      <c r="N391" s="50">
        <v>102521.0</v>
      </c>
      <c r="O391" s="111">
        <v>21.0</v>
      </c>
      <c r="P391" s="168">
        <v>1.0</v>
      </c>
    </row>
    <row r="392">
      <c r="A392" s="160">
        <v>29.0</v>
      </c>
      <c r="B392" s="160">
        <v>77.0</v>
      </c>
      <c r="C392" s="170">
        <v>7388.0</v>
      </c>
      <c r="D392" s="168">
        <v>205.0</v>
      </c>
      <c r="E392" s="24">
        <v>91.0</v>
      </c>
      <c r="F392" s="169">
        <v>-45969.68</v>
      </c>
      <c r="G392" s="169">
        <v>92682.48</v>
      </c>
      <c r="H392" s="169">
        <v>-11774.13</v>
      </c>
      <c r="I392" s="169">
        <v>341.91</v>
      </c>
      <c r="J392" s="169">
        <v>32543.53</v>
      </c>
      <c r="K392" s="169">
        <v>1966.74</v>
      </c>
      <c r="L392" s="169">
        <v>-89825.38</v>
      </c>
      <c r="M392" s="169">
        <v>-4260.77</v>
      </c>
      <c r="N392" s="50">
        <v>40817.0</v>
      </c>
      <c r="O392" s="111">
        <v>22.0</v>
      </c>
      <c r="P392" s="168">
        <v>1.0</v>
      </c>
    </row>
    <row r="393">
      <c r="A393" s="160">
        <v>50.0</v>
      </c>
      <c r="B393" s="160">
        <v>30.0</v>
      </c>
      <c r="C393" s="170">
        <v>7389.0</v>
      </c>
      <c r="D393" s="168">
        <v>215.0</v>
      </c>
      <c r="E393" s="24">
        <v>88.0</v>
      </c>
      <c r="F393" s="169">
        <v>-88229.31</v>
      </c>
      <c r="G393" s="169">
        <v>66658.22</v>
      </c>
      <c r="H393" s="169">
        <v>21769.93</v>
      </c>
      <c r="I393" s="169">
        <v>-64845.79</v>
      </c>
      <c r="J393" s="169">
        <v>74382.84</v>
      </c>
      <c r="K393" s="169">
        <v>-69295.89</v>
      </c>
      <c r="L393" s="169">
        <v>19275.12</v>
      </c>
      <c r="M393" s="169">
        <v>94400.44</v>
      </c>
      <c r="N393" s="50">
        <v>82713.0</v>
      </c>
      <c r="O393" s="111">
        <v>20.0</v>
      </c>
      <c r="P393" s="168">
        <v>9.0</v>
      </c>
    </row>
    <row r="394">
      <c r="A394" s="160">
        <v>91.0</v>
      </c>
      <c r="B394" s="160">
        <v>27.0</v>
      </c>
      <c r="C394" s="147">
        <v>7390.0</v>
      </c>
      <c r="D394" s="168">
        <v>220.0</v>
      </c>
      <c r="E394" s="24">
        <v>94.0</v>
      </c>
      <c r="F394" s="169">
        <v>-30629.99</v>
      </c>
      <c r="G394" s="169">
        <v>96764.58</v>
      </c>
      <c r="H394" s="169">
        <v>-90017.39</v>
      </c>
      <c r="I394" s="169">
        <v>13006.23</v>
      </c>
      <c r="J394" s="169">
        <v>-6025.27</v>
      </c>
      <c r="K394" s="169">
        <v>26973.65</v>
      </c>
      <c r="L394" s="169">
        <v>-20102.45</v>
      </c>
      <c r="M394" s="169">
        <v>-6168.96</v>
      </c>
      <c r="N394" s="50">
        <v>62313.0</v>
      </c>
      <c r="O394" s="111">
        <v>23.0</v>
      </c>
      <c r="P394" s="168">
        <v>6.0</v>
      </c>
    </row>
    <row r="395">
      <c r="A395" s="160">
        <v>91.0</v>
      </c>
      <c r="B395" s="160">
        <v>28.0</v>
      </c>
      <c r="C395" s="170">
        <v>7391.0</v>
      </c>
      <c r="D395" s="168">
        <v>211.0</v>
      </c>
      <c r="E395" s="24">
        <v>35.0</v>
      </c>
      <c r="F395" s="169">
        <v>-7870.89</v>
      </c>
      <c r="G395" s="169">
        <v>-75079.34</v>
      </c>
      <c r="H395" s="169">
        <v>12051.82</v>
      </c>
      <c r="I395" s="169">
        <v>-46128.4</v>
      </c>
      <c r="J395" s="169">
        <v>-84400.96</v>
      </c>
      <c r="K395" s="169">
        <v>-73215.3</v>
      </c>
      <c r="L395" s="169">
        <v>84780.3</v>
      </c>
      <c r="M395" s="169">
        <v>-61902.15</v>
      </c>
      <c r="N395" s="50">
        <v>22116.0</v>
      </c>
      <c r="O395" s="111">
        <v>20.0</v>
      </c>
      <c r="P395" s="168">
        <v>2.0</v>
      </c>
    </row>
    <row r="396">
      <c r="A396" s="160">
        <v>29.0</v>
      </c>
      <c r="B396" s="160">
        <v>85.0</v>
      </c>
      <c r="C396" s="170">
        <v>7392.0</v>
      </c>
      <c r="D396" s="168">
        <v>220.0</v>
      </c>
      <c r="E396" s="24">
        <v>67.0</v>
      </c>
      <c r="F396" s="169">
        <v>6659.59</v>
      </c>
      <c r="G396" s="169">
        <v>92135.57</v>
      </c>
      <c r="H396" s="169">
        <v>-59082.18</v>
      </c>
      <c r="I396" s="169">
        <v>15995.35</v>
      </c>
      <c r="J396" s="169">
        <v>86747.2</v>
      </c>
      <c r="K396" s="169">
        <v>33466.64</v>
      </c>
      <c r="L396" s="169">
        <v>-43070.89</v>
      </c>
      <c r="M396" s="169">
        <v>-56734.58</v>
      </c>
      <c r="N396" s="50">
        <v>60618.0</v>
      </c>
      <c r="O396" s="111">
        <v>21.0</v>
      </c>
      <c r="P396" s="168">
        <v>3.0</v>
      </c>
    </row>
    <row r="397">
      <c r="A397" s="160">
        <v>50.0</v>
      </c>
      <c r="B397" s="160">
        <v>40.0</v>
      </c>
      <c r="C397" s="170">
        <v>7393.0</v>
      </c>
      <c r="D397" s="168">
        <v>210.0</v>
      </c>
      <c r="E397" s="24">
        <v>25.0</v>
      </c>
      <c r="F397" s="169">
        <v>-48379.47</v>
      </c>
      <c r="G397" s="169">
        <v>62189.37</v>
      </c>
      <c r="H397" s="169">
        <v>-14951.88</v>
      </c>
      <c r="I397" s="169">
        <v>71619.04</v>
      </c>
      <c r="J397" s="169">
        <v>77607.17</v>
      </c>
      <c r="K397" s="169">
        <v>54070.4</v>
      </c>
      <c r="L397" s="169">
        <v>32509.81</v>
      </c>
      <c r="M397" s="169">
        <v>16010.67</v>
      </c>
      <c r="N397" s="50">
        <v>100316.0</v>
      </c>
      <c r="O397" s="111">
        <v>23.0</v>
      </c>
      <c r="P397" s="168">
        <v>7.0</v>
      </c>
    </row>
    <row r="398">
      <c r="A398" s="160">
        <v>91.0</v>
      </c>
      <c r="B398" s="160">
        <v>43.0</v>
      </c>
      <c r="C398" s="170">
        <v>7394.0</v>
      </c>
      <c r="D398" s="168">
        <v>207.0</v>
      </c>
      <c r="E398" s="24">
        <v>63.0</v>
      </c>
      <c r="F398" s="169">
        <v>-21301.22</v>
      </c>
      <c r="G398" s="169">
        <v>-50423.28</v>
      </c>
      <c r="H398" s="169">
        <v>-55176.77</v>
      </c>
      <c r="I398" s="169">
        <v>80688.9</v>
      </c>
      <c r="J398" s="169">
        <v>4274.76</v>
      </c>
      <c r="K398" s="169">
        <v>-38983.66</v>
      </c>
      <c r="L398" s="169">
        <v>13944.08</v>
      </c>
      <c r="M398" s="169">
        <v>17984.26</v>
      </c>
      <c r="N398" s="50">
        <v>51716.0</v>
      </c>
      <c r="O398" s="111">
        <v>22.0</v>
      </c>
      <c r="P398" s="168">
        <v>4.0</v>
      </c>
    </row>
    <row r="399">
      <c r="A399" s="160">
        <v>91.0</v>
      </c>
      <c r="B399" s="160">
        <v>47.0</v>
      </c>
      <c r="C399" s="147">
        <v>7395.0</v>
      </c>
      <c r="D399" s="168">
        <v>206.0</v>
      </c>
      <c r="E399" s="24">
        <v>84.0</v>
      </c>
      <c r="F399" s="169">
        <v>92939.67</v>
      </c>
      <c r="G399" s="169">
        <v>25021.02</v>
      </c>
      <c r="H399" s="169">
        <v>77869.72</v>
      </c>
      <c r="I399" s="169">
        <v>-40331.87</v>
      </c>
      <c r="J399" s="169">
        <v>-28033.98</v>
      </c>
      <c r="K399" s="169">
        <v>69450.71</v>
      </c>
      <c r="L399" s="169">
        <v>-51861.35</v>
      </c>
      <c r="M399" s="169">
        <v>63056.57</v>
      </c>
      <c r="N399" s="50">
        <v>91919.0</v>
      </c>
      <c r="O399" s="111">
        <v>20.0</v>
      </c>
      <c r="P399" s="168">
        <v>7.0</v>
      </c>
    </row>
    <row r="400">
      <c r="A400" s="160">
        <v>71.0</v>
      </c>
      <c r="B400" s="160">
        <v>0.0</v>
      </c>
      <c r="C400" s="170">
        <v>7396.0</v>
      </c>
      <c r="D400" s="168">
        <v>202.0</v>
      </c>
      <c r="E400" s="24">
        <v>90.0</v>
      </c>
      <c r="F400" s="169">
        <v>-58053.88</v>
      </c>
      <c r="G400" s="169">
        <v>36202.63</v>
      </c>
      <c r="H400" s="169">
        <v>-85964.47</v>
      </c>
      <c r="I400" s="169">
        <v>-8978.82</v>
      </c>
      <c r="J400" s="169">
        <v>-82941.92</v>
      </c>
      <c r="K400" s="169">
        <v>19593.91</v>
      </c>
      <c r="L400" s="169">
        <v>-63176.17</v>
      </c>
      <c r="M400" s="169">
        <v>38448.67</v>
      </c>
      <c r="N400" s="50">
        <v>100220.0</v>
      </c>
      <c r="O400" s="111">
        <v>20.0</v>
      </c>
      <c r="P400" s="168">
        <v>6.0</v>
      </c>
    </row>
    <row r="401">
      <c r="A401" s="160">
        <v>30.0</v>
      </c>
      <c r="B401" s="160">
        <v>4.0</v>
      </c>
      <c r="C401" s="170">
        <v>7397.0</v>
      </c>
      <c r="D401" s="168">
        <v>204.0</v>
      </c>
      <c r="E401" s="24">
        <v>86.0</v>
      </c>
      <c r="F401" s="169">
        <v>58759.93</v>
      </c>
      <c r="G401" s="169">
        <v>-49676.79</v>
      </c>
      <c r="H401" s="169">
        <v>-75696.1</v>
      </c>
      <c r="I401" s="169">
        <v>3666.7</v>
      </c>
      <c r="J401" s="169">
        <v>-95243.93</v>
      </c>
      <c r="K401" s="169">
        <v>-60582.44</v>
      </c>
      <c r="L401" s="169">
        <v>30554.21</v>
      </c>
      <c r="M401" s="169">
        <v>71672.08</v>
      </c>
      <c r="N401" s="50">
        <v>21322.0</v>
      </c>
      <c r="O401" s="111">
        <v>21.0</v>
      </c>
      <c r="P401" s="168">
        <v>4.0</v>
      </c>
    </row>
    <row r="402">
      <c r="A402" s="160">
        <v>30.0</v>
      </c>
      <c r="B402" s="160">
        <v>10.0</v>
      </c>
      <c r="C402" s="170">
        <v>7398.0</v>
      </c>
      <c r="D402" s="168">
        <v>200.0</v>
      </c>
      <c r="E402" s="24">
        <v>11.0</v>
      </c>
      <c r="F402" s="169">
        <v>34633.59</v>
      </c>
      <c r="G402" s="169">
        <v>71675.37</v>
      </c>
      <c r="H402" s="169">
        <v>50072.18</v>
      </c>
      <c r="I402" s="169">
        <v>-14769.9</v>
      </c>
      <c r="J402" s="169">
        <v>34867.42</v>
      </c>
      <c r="K402" s="169">
        <v>44467.04</v>
      </c>
      <c r="L402" s="169">
        <v>88317.85</v>
      </c>
      <c r="M402" s="169">
        <v>66697.07</v>
      </c>
      <c r="N402" s="50">
        <v>30620.0</v>
      </c>
      <c r="O402" s="111">
        <v>23.0</v>
      </c>
      <c r="P402" s="168">
        <v>4.0</v>
      </c>
    </row>
    <row r="403">
      <c r="A403" s="160">
        <v>50.0</v>
      </c>
      <c r="B403" s="160">
        <v>60.0</v>
      </c>
      <c r="C403" s="170">
        <v>7399.0</v>
      </c>
      <c r="D403" s="168">
        <v>215.0</v>
      </c>
      <c r="E403" s="24">
        <v>70.0</v>
      </c>
      <c r="F403" s="169">
        <v>76589.04</v>
      </c>
      <c r="G403" s="169">
        <v>77403.61</v>
      </c>
      <c r="H403" s="169">
        <v>-38456.01</v>
      </c>
      <c r="I403" s="169">
        <v>4052.34</v>
      </c>
      <c r="J403" s="169">
        <v>-35668.74</v>
      </c>
      <c r="K403" s="169">
        <v>-55765.4</v>
      </c>
      <c r="L403" s="169">
        <v>57614.29</v>
      </c>
      <c r="M403" s="169">
        <v>27098.93</v>
      </c>
      <c r="N403" s="50">
        <v>71220.0</v>
      </c>
      <c r="O403" s="111">
        <v>20.0</v>
      </c>
      <c r="P403" s="168">
        <v>9.0</v>
      </c>
    </row>
    <row r="404">
      <c r="A404" s="160">
        <v>71.0</v>
      </c>
      <c r="B404" s="160">
        <v>9.0</v>
      </c>
      <c r="C404" s="147">
        <v>7400.0</v>
      </c>
      <c r="D404" s="168">
        <v>200.0</v>
      </c>
      <c r="E404" s="24">
        <v>46.0</v>
      </c>
      <c r="F404" s="169">
        <v>7104.35</v>
      </c>
      <c r="G404" s="169">
        <v>1398.1</v>
      </c>
      <c r="H404" s="169">
        <v>21655.79</v>
      </c>
      <c r="I404" s="169">
        <v>-54364.41</v>
      </c>
      <c r="J404" s="169">
        <v>-38333.31</v>
      </c>
      <c r="K404" s="169">
        <v>-48200.97</v>
      </c>
      <c r="L404" s="169">
        <v>-11457.38</v>
      </c>
      <c r="M404" s="169">
        <v>97996.72</v>
      </c>
      <c r="N404" s="50">
        <v>71221.0</v>
      </c>
      <c r="O404" s="111">
        <v>21.0</v>
      </c>
      <c r="P404" s="168">
        <v>5.0</v>
      </c>
    </row>
    <row r="405">
      <c r="A405" s="160">
        <v>91.0</v>
      </c>
      <c r="B405" s="160">
        <v>61.0</v>
      </c>
      <c r="C405" s="170">
        <v>7401.0</v>
      </c>
      <c r="D405" s="168">
        <v>211.0</v>
      </c>
      <c r="E405" s="24">
        <v>47.0</v>
      </c>
      <c r="F405" s="169">
        <v>58239.37</v>
      </c>
      <c r="G405" s="169">
        <v>-52499.87</v>
      </c>
      <c r="H405" s="169">
        <v>65916.97</v>
      </c>
      <c r="I405" s="169">
        <v>-52962.66</v>
      </c>
      <c r="J405" s="169">
        <v>52260.51</v>
      </c>
      <c r="K405" s="169">
        <v>-83219.04</v>
      </c>
      <c r="L405" s="169">
        <v>-72311.94</v>
      </c>
      <c r="M405" s="169">
        <v>47847.6</v>
      </c>
      <c r="N405" s="50">
        <v>53021.0</v>
      </c>
      <c r="O405" s="111">
        <v>20.0</v>
      </c>
      <c r="P405" s="168">
        <v>6.0</v>
      </c>
    </row>
    <row r="406">
      <c r="A406" s="160">
        <v>50.0</v>
      </c>
      <c r="B406" s="160">
        <v>66.0</v>
      </c>
      <c r="C406" s="170">
        <v>7402.0</v>
      </c>
      <c r="D406" s="168">
        <v>220.0</v>
      </c>
      <c r="E406" s="24">
        <v>96.0</v>
      </c>
      <c r="F406" s="169">
        <v>61889.51</v>
      </c>
      <c r="G406" s="169">
        <v>-74204.01</v>
      </c>
      <c r="H406" s="169">
        <v>92467.6</v>
      </c>
      <c r="I406" s="169">
        <v>-14091.9</v>
      </c>
      <c r="J406" s="169">
        <v>35046.42</v>
      </c>
      <c r="K406" s="169">
        <v>-69902.88</v>
      </c>
      <c r="L406" s="169">
        <v>58767.93</v>
      </c>
      <c r="M406" s="169">
        <v>-94251.29</v>
      </c>
      <c r="N406" s="50">
        <v>62615.0</v>
      </c>
      <c r="O406" s="111">
        <v>22.0</v>
      </c>
      <c r="P406" s="168">
        <v>7.0</v>
      </c>
    </row>
    <row r="407">
      <c r="A407" s="160">
        <v>50.0</v>
      </c>
      <c r="B407" s="160">
        <v>67.0</v>
      </c>
      <c r="C407" s="170">
        <v>7403.0</v>
      </c>
      <c r="D407" s="168">
        <v>205.0</v>
      </c>
      <c r="E407" s="24">
        <v>55.0</v>
      </c>
      <c r="F407" s="169">
        <v>-68196.28</v>
      </c>
      <c r="G407" s="169">
        <v>56077.61</v>
      </c>
      <c r="H407" s="169">
        <v>24634.94</v>
      </c>
      <c r="I407" s="169">
        <v>-10627.78</v>
      </c>
      <c r="J407" s="169">
        <v>-46124.72</v>
      </c>
      <c r="K407" s="169">
        <v>7782.02</v>
      </c>
      <c r="L407" s="169">
        <v>-12108.06</v>
      </c>
      <c r="M407" s="169">
        <v>-9898.16</v>
      </c>
      <c r="N407" s="50">
        <v>80819.0</v>
      </c>
      <c r="O407" s="111">
        <v>22.0</v>
      </c>
      <c r="P407" s="168">
        <v>5.0</v>
      </c>
    </row>
    <row r="408">
      <c r="A408" s="160">
        <v>50.0</v>
      </c>
      <c r="B408" s="160">
        <v>68.0</v>
      </c>
      <c r="C408" s="170">
        <v>7404.0</v>
      </c>
      <c r="D408" s="168">
        <v>206.0</v>
      </c>
      <c r="E408" s="24">
        <v>82.0</v>
      </c>
      <c r="F408" s="169">
        <v>-69542.07</v>
      </c>
      <c r="G408" s="169">
        <v>12584.84</v>
      </c>
      <c r="H408" s="169">
        <v>-44731.44</v>
      </c>
      <c r="I408" s="169">
        <v>-19715.93</v>
      </c>
      <c r="J408" s="169">
        <v>-37406.86</v>
      </c>
      <c r="K408" s="169">
        <v>3229.13</v>
      </c>
      <c r="L408" s="169">
        <v>51295.7</v>
      </c>
      <c r="M408" s="169">
        <v>46507.59</v>
      </c>
      <c r="N408" s="50">
        <v>121921.0</v>
      </c>
      <c r="O408" s="111">
        <v>22.0</v>
      </c>
      <c r="P408" s="168">
        <v>3.0</v>
      </c>
    </row>
    <row r="409">
      <c r="A409" s="160">
        <v>50.0</v>
      </c>
      <c r="B409" s="160">
        <v>69.0</v>
      </c>
      <c r="C409" s="147">
        <v>7405.0</v>
      </c>
      <c r="D409" s="168">
        <v>211.0</v>
      </c>
      <c r="E409" s="24">
        <v>21.0</v>
      </c>
      <c r="F409" s="169">
        <v>-86365.09</v>
      </c>
      <c r="G409" s="169">
        <v>-27509.82</v>
      </c>
      <c r="H409" s="169">
        <v>-93025.68</v>
      </c>
      <c r="I409" s="169">
        <v>84807.71</v>
      </c>
      <c r="J409" s="169">
        <v>96036.68</v>
      </c>
      <c r="K409" s="169">
        <v>-75765.71</v>
      </c>
      <c r="L409" s="169">
        <v>83558.16</v>
      </c>
      <c r="M409" s="169">
        <v>31854.67</v>
      </c>
      <c r="N409" s="50">
        <v>70421.0</v>
      </c>
      <c r="O409" s="111">
        <v>20.0</v>
      </c>
      <c r="P409" s="168">
        <v>3.0</v>
      </c>
    </row>
    <row r="410">
      <c r="A410" s="160">
        <v>71.0</v>
      </c>
      <c r="B410" s="160">
        <v>18.0</v>
      </c>
      <c r="C410" s="170">
        <v>7406.0</v>
      </c>
      <c r="D410" s="168">
        <v>205.0</v>
      </c>
      <c r="E410" s="24">
        <v>41.0</v>
      </c>
      <c r="F410" s="169">
        <v>-36660.65</v>
      </c>
      <c r="G410" s="169">
        <v>87928.08</v>
      </c>
      <c r="H410" s="169">
        <v>72605.93</v>
      </c>
      <c r="I410" s="169">
        <v>46071.7</v>
      </c>
      <c r="J410" s="169">
        <v>-74619.9</v>
      </c>
      <c r="K410" s="169">
        <v>-24190.26</v>
      </c>
      <c r="L410" s="169">
        <v>19606.81</v>
      </c>
      <c r="M410" s="169">
        <v>-87128.0</v>
      </c>
      <c r="N410" s="50">
        <v>30619.0</v>
      </c>
      <c r="O410" s="111">
        <v>22.0</v>
      </c>
      <c r="P410" s="168">
        <v>2.0</v>
      </c>
    </row>
    <row r="411">
      <c r="A411" s="160">
        <v>71.0</v>
      </c>
      <c r="B411" s="160">
        <v>17.0</v>
      </c>
      <c r="C411" s="170">
        <v>7407.0</v>
      </c>
      <c r="D411" s="168">
        <v>211.0</v>
      </c>
      <c r="E411" s="24">
        <v>64.0</v>
      </c>
      <c r="F411" s="169">
        <v>-39097.47</v>
      </c>
      <c r="G411" s="169">
        <v>53131.61</v>
      </c>
      <c r="H411" s="169">
        <v>-73724.9</v>
      </c>
      <c r="I411" s="169">
        <v>-67987.19</v>
      </c>
      <c r="J411" s="169">
        <v>26646.0</v>
      </c>
      <c r="K411" s="169">
        <v>43293.12</v>
      </c>
      <c r="L411" s="169">
        <v>16958.98</v>
      </c>
      <c r="M411" s="169">
        <v>-9511.79</v>
      </c>
      <c r="N411" s="50">
        <v>91115.0</v>
      </c>
      <c r="O411" s="111">
        <v>20.0</v>
      </c>
      <c r="P411" s="168">
        <v>4.0</v>
      </c>
    </row>
    <row r="412">
      <c r="A412" s="160">
        <v>91.0</v>
      </c>
      <c r="B412" s="160">
        <v>65.0</v>
      </c>
      <c r="C412" s="170">
        <v>7408.0</v>
      </c>
      <c r="D412" s="168">
        <v>204.0</v>
      </c>
      <c r="E412" s="24">
        <v>65.0</v>
      </c>
      <c r="F412" s="169">
        <v>-95162.14</v>
      </c>
      <c r="G412" s="169">
        <v>-34011.54</v>
      </c>
      <c r="H412" s="169">
        <v>-80966.39</v>
      </c>
      <c r="I412" s="169">
        <v>-15365.74</v>
      </c>
      <c r="J412" s="169">
        <v>-6896.27</v>
      </c>
      <c r="K412" s="169">
        <v>14346.46</v>
      </c>
      <c r="L412" s="169">
        <v>64023.66</v>
      </c>
      <c r="M412" s="169">
        <v>60866.59</v>
      </c>
      <c r="N412" s="50">
        <v>122018.0</v>
      </c>
      <c r="O412" s="111">
        <v>20.0</v>
      </c>
      <c r="P412" s="168">
        <v>8.0</v>
      </c>
    </row>
    <row r="413">
      <c r="A413" s="160">
        <v>91.0</v>
      </c>
      <c r="B413" s="160">
        <v>69.0</v>
      </c>
      <c r="C413" s="170">
        <v>7409.0</v>
      </c>
      <c r="D413" s="168">
        <v>205.0</v>
      </c>
      <c r="E413" s="24">
        <v>60.0</v>
      </c>
      <c r="F413" s="169">
        <v>69503.82</v>
      </c>
      <c r="G413" s="169">
        <v>-85394.36</v>
      </c>
      <c r="H413" s="169">
        <v>-70947.84</v>
      </c>
      <c r="I413" s="169">
        <v>-95017.73</v>
      </c>
      <c r="J413" s="169">
        <v>-4367.99</v>
      </c>
      <c r="K413" s="169">
        <v>-96752.44</v>
      </c>
      <c r="L413" s="169">
        <v>-62007.49</v>
      </c>
      <c r="M413" s="169">
        <v>47751.74</v>
      </c>
      <c r="N413" s="50">
        <v>92216.0</v>
      </c>
      <c r="O413" s="111">
        <v>21.0</v>
      </c>
      <c r="P413" s="168">
        <v>9.0</v>
      </c>
    </row>
    <row r="414">
      <c r="A414" s="160">
        <v>91.0</v>
      </c>
      <c r="B414" s="160">
        <v>71.0</v>
      </c>
      <c r="C414" s="147">
        <v>7410.0</v>
      </c>
      <c r="D414" s="168">
        <v>206.0</v>
      </c>
      <c r="E414" s="24">
        <v>69.0</v>
      </c>
      <c r="F414" s="169">
        <v>75617.36</v>
      </c>
      <c r="G414" s="169">
        <v>53046.73</v>
      </c>
      <c r="H414" s="169">
        <v>78485.31</v>
      </c>
      <c r="I414" s="169">
        <v>77681.7</v>
      </c>
      <c r="J414" s="169">
        <v>10144.99</v>
      </c>
      <c r="K414" s="169">
        <v>66734.72</v>
      </c>
      <c r="L414" s="169">
        <v>84847.54</v>
      </c>
      <c r="M414" s="169">
        <v>-17761.78</v>
      </c>
      <c r="N414" s="50">
        <v>93013.0</v>
      </c>
      <c r="O414" s="111">
        <v>21.0</v>
      </c>
      <c r="P414" s="168">
        <v>8.0</v>
      </c>
    </row>
    <row r="415">
      <c r="A415" s="160">
        <v>30.0</v>
      </c>
      <c r="B415" s="160">
        <v>29.0</v>
      </c>
      <c r="C415" s="170">
        <v>7411.0</v>
      </c>
      <c r="D415" s="168">
        <v>217.0</v>
      </c>
      <c r="E415" s="24">
        <v>12.0</v>
      </c>
      <c r="F415" s="169">
        <v>99895.78</v>
      </c>
      <c r="G415" s="169">
        <v>-85357.8</v>
      </c>
      <c r="H415" s="169">
        <v>-64007.56</v>
      </c>
      <c r="I415" s="169">
        <v>-58297.56</v>
      </c>
      <c r="J415" s="169">
        <v>81599.15</v>
      </c>
      <c r="K415" s="169">
        <v>-81026.58</v>
      </c>
      <c r="L415" s="169">
        <v>-50714.83</v>
      </c>
      <c r="M415" s="169">
        <v>48956.98</v>
      </c>
      <c r="N415" s="50">
        <v>81520.0</v>
      </c>
      <c r="O415" s="111">
        <v>23.0</v>
      </c>
      <c r="P415" s="168">
        <v>5.0</v>
      </c>
    </row>
    <row r="416">
      <c r="A416" s="160">
        <v>30.0</v>
      </c>
      <c r="B416" s="160">
        <v>31.0</v>
      </c>
      <c r="C416" s="170">
        <v>7412.0</v>
      </c>
      <c r="D416" s="168">
        <v>208.0</v>
      </c>
      <c r="E416" s="24">
        <v>82.0</v>
      </c>
      <c r="F416" s="169">
        <v>25883.26</v>
      </c>
      <c r="G416" s="169">
        <v>-26838.78</v>
      </c>
      <c r="H416" s="169">
        <v>32643.33</v>
      </c>
      <c r="I416" s="169">
        <v>-41781.46</v>
      </c>
      <c r="J416" s="169">
        <v>-53759.44</v>
      </c>
      <c r="K416" s="169">
        <v>-95690.34</v>
      </c>
      <c r="L416" s="169">
        <v>-18140.02</v>
      </c>
      <c r="M416" s="169">
        <v>-46391.5</v>
      </c>
      <c r="N416" s="50">
        <v>31013.0</v>
      </c>
      <c r="O416" s="111">
        <v>23.0</v>
      </c>
      <c r="P416" s="168">
        <v>1.0</v>
      </c>
    </row>
    <row r="417">
      <c r="A417" s="160">
        <v>30.0</v>
      </c>
      <c r="B417" s="160">
        <v>32.0</v>
      </c>
      <c r="C417" s="170">
        <v>7413.0</v>
      </c>
      <c r="D417" s="168">
        <v>204.0</v>
      </c>
      <c r="E417" s="24">
        <v>51.0</v>
      </c>
      <c r="F417" s="169">
        <v>8718.47</v>
      </c>
      <c r="G417" s="169">
        <v>33946.7</v>
      </c>
      <c r="H417" s="169">
        <v>-88093.33</v>
      </c>
      <c r="I417" s="169">
        <v>86574.15</v>
      </c>
      <c r="J417" s="169">
        <v>44516.59</v>
      </c>
      <c r="K417" s="169">
        <v>59618.68</v>
      </c>
      <c r="L417" s="169">
        <v>9132.38</v>
      </c>
      <c r="M417" s="169">
        <v>-69023.43</v>
      </c>
      <c r="N417" s="50">
        <v>110214.0</v>
      </c>
      <c r="O417" s="111">
        <v>20.0</v>
      </c>
      <c r="P417" s="168">
        <v>9.0</v>
      </c>
    </row>
    <row r="418">
      <c r="A418" s="160">
        <v>91.0</v>
      </c>
      <c r="B418" s="160">
        <v>76.0</v>
      </c>
      <c r="C418" s="170">
        <v>7414.0</v>
      </c>
      <c r="D418" s="168">
        <v>204.0</v>
      </c>
      <c r="E418" s="24">
        <v>67.0</v>
      </c>
      <c r="F418" s="169">
        <v>55107.12</v>
      </c>
      <c r="G418" s="169">
        <v>50748.86</v>
      </c>
      <c r="H418" s="169">
        <v>-44034.71</v>
      </c>
      <c r="I418" s="169">
        <v>-64519.34</v>
      </c>
      <c r="J418" s="169">
        <v>-60127.72</v>
      </c>
      <c r="K418" s="169">
        <v>75547.21</v>
      </c>
      <c r="L418" s="169">
        <v>-76121.54</v>
      </c>
      <c r="M418" s="169">
        <v>-79334.05</v>
      </c>
      <c r="N418" s="50">
        <v>50819.0</v>
      </c>
      <c r="O418" s="111">
        <v>22.0</v>
      </c>
      <c r="P418" s="168">
        <v>6.0</v>
      </c>
    </row>
    <row r="419">
      <c r="A419" s="160">
        <v>30.0</v>
      </c>
      <c r="B419" s="160">
        <v>35.0</v>
      </c>
      <c r="C419" s="147">
        <v>7415.0</v>
      </c>
      <c r="D419" s="168">
        <v>215.0</v>
      </c>
      <c r="E419" s="24">
        <v>88.0</v>
      </c>
      <c r="F419" s="169">
        <v>87693.18</v>
      </c>
      <c r="G419" s="169">
        <v>56579.51</v>
      </c>
      <c r="H419" s="169">
        <v>-41938.66</v>
      </c>
      <c r="I419" s="169">
        <v>41230.92</v>
      </c>
      <c r="J419" s="169">
        <v>60594.26</v>
      </c>
      <c r="K419" s="169">
        <v>61217.36</v>
      </c>
      <c r="L419" s="169">
        <v>57157.03</v>
      </c>
      <c r="M419" s="169">
        <v>-46094.11</v>
      </c>
      <c r="N419" s="50">
        <v>111115.0</v>
      </c>
      <c r="O419" s="111">
        <v>22.0</v>
      </c>
      <c r="P419" s="168">
        <v>9.0</v>
      </c>
    </row>
    <row r="420">
      <c r="A420" s="160">
        <v>30.0</v>
      </c>
      <c r="B420" s="160">
        <v>36.0</v>
      </c>
      <c r="C420" s="170">
        <v>7416.0</v>
      </c>
      <c r="D420" s="168">
        <v>213.0</v>
      </c>
      <c r="E420" s="24">
        <v>19.0</v>
      </c>
      <c r="F420" s="169">
        <v>-14282.76</v>
      </c>
      <c r="G420" s="169">
        <v>24099.11</v>
      </c>
      <c r="H420" s="169">
        <v>21336.25</v>
      </c>
      <c r="I420" s="169">
        <v>-91376.65</v>
      </c>
      <c r="J420" s="169">
        <v>-8738.62</v>
      </c>
      <c r="K420" s="169">
        <v>65302.15</v>
      </c>
      <c r="L420" s="169">
        <v>-56999.3</v>
      </c>
      <c r="M420" s="169">
        <v>30426.65</v>
      </c>
      <c r="N420" s="50">
        <v>62920.0</v>
      </c>
      <c r="O420" s="111">
        <v>20.0</v>
      </c>
      <c r="P420" s="168">
        <v>8.0</v>
      </c>
    </row>
    <row r="421">
      <c r="A421" s="160">
        <v>91.0</v>
      </c>
      <c r="B421" s="160">
        <v>80.0</v>
      </c>
      <c r="C421" s="170">
        <v>7417.0</v>
      </c>
      <c r="D421" s="168">
        <v>204.0</v>
      </c>
      <c r="E421" s="24">
        <v>29.0</v>
      </c>
      <c r="F421" s="169">
        <v>21475.43</v>
      </c>
      <c r="G421" s="169">
        <v>-966.56</v>
      </c>
      <c r="H421" s="169">
        <v>70585.58</v>
      </c>
      <c r="I421" s="169">
        <v>-346.31</v>
      </c>
      <c r="J421" s="169">
        <v>-30861.76</v>
      </c>
      <c r="K421" s="169">
        <v>30859.96</v>
      </c>
      <c r="L421" s="169">
        <v>83513.54</v>
      </c>
      <c r="M421" s="169">
        <v>93804.64</v>
      </c>
      <c r="N421" s="50">
        <v>110117.0</v>
      </c>
      <c r="O421" s="111">
        <v>23.0</v>
      </c>
      <c r="P421" s="168">
        <v>3.0</v>
      </c>
    </row>
    <row r="422">
      <c r="A422" s="160">
        <v>50.0</v>
      </c>
      <c r="B422" s="160">
        <v>85.0</v>
      </c>
      <c r="C422" s="170">
        <v>7418.0</v>
      </c>
      <c r="D422" s="168">
        <v>216.0</v>
      </c>
      <c r="E422" s="24">
        <v>20.0</v>
      </c>
      <c r="F422" s="169">
        <v>60334.74</v>
      </c>
      <c r="G422" s="169">
        <v>-30801.81</v>
      </c>
      <c r="H422" s="169">
        <v>-17330.57</v>
      </c>
      <c r="I422" s="169">
        <v>45094.75</v>
      </c>
      <c r="J422" s="169">
        <v>48516.96</v>
      </c>
      <c r="K422" s="169">
        <v>62895.29</v>
      </c>
      <c r="L422" s="169">
        <v>86622.77</v>
      </c>
      <c r="M422" s="169">
        <v>97692.13</v>
      </c>
      <c r="N422" s="50">
        <v>50517.0</v>
      </c>
      <c r="O422" s="111">
        <v>22.0</v>
      </c>
      <c r="P422" s="168">
        <v>4.0</v>
      </c>
    </row>
    <row r="423">
      <c r="A423" s="160">
        <v>91.0</v>
      </c>
      <c r="B423" s="160">
        <v>83.0</v>
      </c>
      <c r="C423" s="170">
        <v>7419.0</v>
      </c>
      <c r="D423" s="168">
        <v>206.0</v>
      </c>
      <c r="E423" s="24">
        <v>71.0</v>
      </c>
      <c r="F423" s="169">
        <v>51506.67</v>
      </c>
      <c r="G423" s="169">
        <v>-13095.61</v>
      </c>
      <c r="H423" s="169">
        <v>-56175.79</v>
      </c>
      <c r="I423" s="169">
        <v>94572.21</v>
      </c>
      <c r="J423" s="169">
        <v>70137.03</v>
      </c>
      <c r="K423" s="169">
        <v>-70617.83</v>
      </c>
      <c r="L423" s="169">
        <v>-22233.95</v>
      </c>
      <c r="M423" s="169">
        <v>65238.71</v>
      </c>
      <c r="N423" s="50">
        <v>32215.0</v>
      </c>
      <c r="O423" s="111">
        <v>23.0</v>
      </c>
      <c r="P423" s="168">
        <v>5.0</v>
      </c>
    </row>
    <row r="424">
      <c r="A424" s="160">
        <v>91.0</v>
      </c>
      <c r="B424" s="160">
        <v>84.0</v>
      </c>
      <c r="C424" s="147">
        <v>7420.0</v>
      </c>
      <c r="D424" s="168">
        <v>208.0</v>
      </c>
      <c r="E424" s="24">
        <v>29.0</v>
      </c>
      <c r="F424" s="169">
        <v>59726.84</v>
      </c>
      <c r="G424" s="169">
        <v>-65336.92</v>
      </c>
      <c r="H424" s="169">
        <v>21768.58</v>
      </c>
      <c r="I424" s="169">
        <v>89747.82</v>
      </c>
      <c r="J424" s="169">
        <v>29931.52</v>
      </c>
      <c r="K424" s="169">
        <v>-48154.59</v>
      </c>
      <c r="L424" s="169">
        <v>15661.35</v>
      </c>
      <c r="M424" s="169">
        <v>-64560.55</v>
      </c>
      <c r="N424" s="50">
        <v>122616.0</v>
      </c>
      <c r="O424" s="111">
        <v>22.0</v>
      </c>
      <c r="P424" s="168">
        <v>8.0</v>
      </c>
    </row>
    <row r="425">
      <c r="A425" s="160">
        <v>30.0</v>
      </c>
      <c r="B425" s="160">
        <v>44.0</v>
      </c>
      <c r="C425" s="170">
        <v>7421.0</v>
      </c>
      <c r="D425" s="168">
        <v>200.0</v>
      </c>
      <c r="E425" s="24">
        <v>35.0</v>
      </c>
      <c r="F425" s="169">
        <v>40559.05</v>
      </c>
      <c r="G425" s="169">
        <v>-70680.19</v>
      </c>
      <c r="H425" s="169">
        <v>-77795.67</v>
      </c>
      <c r="I425" s="169">
        <v>5522.85</v>
      </c>
      <c r="J425" s="169">
        <v>-24214.47</v>
      </c>
      <c r="K425" s="169">
        <v>92977.92</v>
      </c>
      <c r="L425" s="169">
        <v>-94676.4</v>
      </c>
      <c r="M425" s="169">
        <v>85477.55</v>
      </c>
      <c r="N425" s="50">
        <v>73115.0</v>
      </c>
      <c r="O425" s="111">
        <v>21.0</v>
      </c>
      <c r="P425" s="168">
        <v>3.0</v>
      </c>
    </row>
    <row r="426">
      <c r="A426" s="160">
        <v>71.0</v>
      </c>
      <c r="B426" s="160">
        <v>42.0</v>
      </c>
      <c r="C426" s="170">
        <v>7422.0</v>
      </c>
      <c r="D426" s="168">
        <v>208.0</v>
      </c>
      <c r="E426" s="24">
        <v>94.0</v>
      </c>
      <c r="F426" s="169">
        <v>-11317.19</v>
      </c>
      <c r="G426" s="169">
        <v>32707.31</v>
      </c>
      <c r="H426" s="169">
        <v>-88843.11</v>
      </c>
      <c r="I426" s="169">
        <v>16142.36</v>
      </c>
      <c r="J426" s="169">
        <v>16457.92</v>
      </c>
      <c r="K426" s="169">
        <v>-80539.12</v>
      </c>
      <c r="L426" s="169">
        <v>6275.31</v>
      </c>
      <c r="M426" s="169">
        <v>-73830.25</v>
      </c>
      <c r="N426" s="50">
        <v>123014.0</v>
      </c>
      <c r="O426" s="111">
        <v>23.0</v>
      </c>
      <c r="P426" s="168">
        <v>5.0</v>
      </c>
    </row>
    <row r="427">
      <c r="A427" s="160">
        <v>91.0</v>
      </c>
      <c r="B427" s="160">
        <v>91.0</v>
      </c>
      <c r="C427" s="170">
        <v>7423.0</v>
      </c>
      <c r="D427" s="168">
        <v>214.0</v>
      </c>
      <c r="E427" s="24">
        <v>34.0</v>
      </c>
      <c r="F427" s="169">
        <v>66561.17</v>
      </c>
      <c r="G427" s="169">
        <v>-22774.42</v>
      </c>
      <c r="H427" s="169">
        <v>-10755.26</v>
      </c>
      <c r="I427" s="169">
        <v>-58887.84</v>
      </c>
      <c r="J427" s="169">
        <v>-41147.43</v>
      </c>
      <c r="K427" s="169">
        <v>45882.89</v>
      </c>
      <c r="L427" s="169">
        <v>51090.3</v>
      </c>
      <c r="M427" s="169">
        <v>30737.0</v>
      </c>
      <c r="N427" s="50">
        <v>123119.0</v>
      </c>
      <c r="O427" s="111">
        <v>23.0</v>
      </c>
      <c r="P427" s="168">
        <v>9.0</v>
      </c>
    </row>
    <row r="428">
      <c r="A428" s="160">
        <v>50.0</v>
      </c>
      <c r="B428" s="160">
        <v>96.0</v>
      </c>
      <c r="C428" s="170">
        <v>7424.0</v>
      </c>
      <c r="D428" s="168">
        <v>202.0</v>
      </c>
      <c r="E428" s="24">
        <v>41.0</v>
      </c>
      <c r="F428" s="169">
        <v>17209.05</v>
      </c>
      <c r="G428" s="169">
        <v>23937.93</v>
      </c>
      <c r="H428" s="169">
        <v>-55633.37</v>
      </c>
      <c r="I428" s="169">
        <v>66359.68</v>
      </c>
      <c r="J428" s="169">
        <v>-89696.56</v>
      </c>
      <c r="K428" s="169">
        <v>-68216.13</v>
      </c>
      <c r="L428" s="169">
        <v>86588.3</v>
      </c>
      <c r="M428" s="169">
        <v>81491.01</v>
      </c>
      <c r="N428" s="50">
        <v>41415.0</v>
      </c>
      <c r="O428" s="111">
        <v>22.0</v>
      </c>
      <c r="P428" s="168">
        <v>1.0</v>
      </c>
    </row>
    <row r="429">
      <c r="A429" s="160">
        <v>71.0</v>
      </c>
      <c r="B429" s="160">
        <v>43.0</v>
      </c>
      <c r="C429" s="147">
        <v>7425.0</v>
      </c>
      <c r="D429" s="168">
        <v>211.0</v>
      </c>
      <c r="E429" s="24">
        <v>36.0</v>
      </c>
      <c r="F429" s="169">
        <v>-20820.68</v>
      </c>
      <c r="G429" s="169">
        <v>33514.22</v>
      </c>
      <c r="H429" s="169">
        <v>41016.8</v>
      </c>
      <c r="I429" s="169">
        <v>21179.5</v>
      </c>
      <c r="J429" s="169">
        <v>91204.7</v>
      </c>
      <c r="K429" s="169">
        <v>9790.1</v>
      </c>
      <c r="L429" s="169">
        <v>75102.41</v>
      </c>
      <c r="M429" s="169">
        <v>83359.39</v>
      </c>
      <c r="N429" s="50">
        <v>12419.0</v>
      </c>
      <c r="O429" s="111">
        <v>22.0</v>
      </c>
      <c r="P429" s="168">
        <v>6.0</v>
      </c>
    </row>
    <row r="430">
      <c r="A430" s="160">
        <v>30.0</v>
      </c>
      <c r="B430" s="160">
        <v>50.0</v>
      </c>
      <c r="C430" s="170">
        <v>7426.0</v>
      </c>
      <c r="D430" s="168">
        <v>202.0</v>
      </c>
      <c r="E430" s="24">
        <v>10.0</v>
      </c>
      <c r="F430" s="169">
        <v>67349.98</v>
      </c>
      <c r="G430" s="169">
        <v>-16784.7</v>
      </c>
      <c r="H430" s="169">
        <v>69829.76</v>
      </c>
      <c r="I430" s="169">
        <v>29250.24</v>
      </c>
      <c r="J430" s="169">
        <v>83629.3</v>
      </c>
      <c r="K430" s="169">
        <v>-75024.69</v>
      </c>
      <c r="L430" s="169">
        <v>-36598.56</v>
      </c>
      <c r="M430" s="169">
        <v>67013.04</v>
      </c>
      <c r="N430" s="50">
        <v>61213.0</v>
      </c>
      <c r="O430" s="111">
        <v>22.0</v>
      </c>
      <c r="P430" s="168">
        <v>2.0</v>
      </c>
    </row>
    <row r="431">
      <c r="A431" s="160">
        <v>10.0</v>
      </c>
      <c r="B431" s="160">
        <v>4.0</v>
      </c>
      <c r="C431" s="170">
        <v>7427.0</v>
      </c>
      <c r="D431" s="168">
        <v>205.0</v>
      </c>
      <c r="E431" s="24">
        <v>44.0</v>
      </c>
      <c r="F431" s="169">
        <v>39123.1</v>
      </c>
      <c r="G431" s="169">
        <v>-40509.23</v>
      </c>
      <c r="H431" s="169">
        <v>13912.1</v>
      </c>
      <c r="I431" s="169">
        <v>75752.55</v>
      </c>
      <c r="J431" s="169">
        <v>67523.14</v>
      </c>
      <c r="K431" s="169">
        <v>9583.73</v>
      </c>
      <c r="L431" s="169">
        <v>2697.55</v>
      </c>
      <c r="M431" s="169">
        <v>-15913.88</v>
      </c>
      <c r="N431" s="50">
        <v>101218.0</v>
      </c>
      <c r="O431" s="111">
        <v>21.0</v>
      </c>
      <c r="P431" s="168">
        <v>5.0</v>
      </c>
    </row>
    <row r="432">
      <c r="A432" s="160">
        <v>10.0</v>
      </c>
      <c r="B432" s="160">
        <v>5.0</v>
      </c>
      <c r="C432" s="170">
        <v>7428.0</v>
      </c>
      <c r="D432" s="168">
        <v>215.0</v>
      </c>
      <c r="E432" s="24">
        <v>85.0</v>
      </c>
      <c r="F432" s="169">
        <v>-85739.82</v>
      </c>
      <c r="G432" s="169">
        <v>-2796.93</v>
      </c>
      <c r="H432" s="169">
        <v>18811.94</v>
      </c>
      <c r="I432" s="169">
        <v>-49595.21</v>
      </c>
      <c r="J432" s="169">
        <v>-20859.42</v>
      </c>
      <c r="K432" s="169">
        <v>58662.69</v>
      </c>
      <c r="L432" s="169">
        <v>89721.11</v>
      </c>
      <c r="M432" s="169">
        <v>88296.89</v>
      </c>
      <c r="N432" s="50">
        <v>111321.0</v>
      </c>
      <c r="O432" s="111">
        <v>23.0</v>
      </c>
      <c r="P432" s="168">
        <v>2.0</v>
      </c>
    </row>
    <row r="433">
      <c r="A433" s="160">
        <v>91.0</v>
      </c>
      <c r="B433" s="160">
        <v>99.0</v>
      </c>
      <c r="C433" s="170">
        <v>7429.0</v>
      </c>
      <c r="D433" s="168">
        <v>212.0</v>
      </c>
      <c r="E433" s="24">
        <v>15.0</v>
      </c>
      <c r="F433" s="169">
        <v>-31620.16</v>
      </c>
      <c r="G433" s="169">
        <v>-75476.46</v>
      </c>
      <c r="H433" s="169">
        <v>-57147.53</v>
      </c>
      <c r="I433" s="169">
        <v>-96163.69</v>
      </c>
      <c r="J433" s="169">
        <v>-91627.8</v>
      </c>
      <c r="K433" s="169">
        <v>-42005.67</v>
      </c>
      <c r="L433" s="169">
        <v>94231.03</v>
      </c>
      <c r="M433" s="169">
        <v>-31388.62</v>
      </c>
      <c r="N433" s="50">
        <v>90513.0</v>
      </c>
      <c r="O433" s="111">
        <v>21.0</v>
      </c>
      <c r="P433" s="168">
        <v>6.0</v>
      </c>
    </row>
    <row r="434">
      <c r="A434" s="160">
        <v>30.0</v>
      </c>
      <c r="B434" s="160">
        <v>59.0</v>
      </c>
      <c r="C434" s="147">
        <v>7430.0</v>
      </c>
      <c r="D434" s="168">
        <v>218.0</v>
      </c>
      <c r="E434" s="24">
        <v>71.0</v>
      </c>
      <c r="F434" s="169">
        <v>13551.79</v>
      </c>
      <c r="G434" s="169">
        <v>16193.51</v>
      </c>
      <c r="H434" s="169">
        <v>-8592.24</v>
      </c>
      <c r="I434" s="169">
        <v>24678.3</v>
      </c>
      <c r="J434" s="169">
        <v>-37564.11</v>
      </c>
      <c r="K434" s="169">
        <v>15159.01</v>
      </c>
      <c r="L434" s="169">
        <v>91399.3</v>
      </c>
      <c r="M434" s="169">
        <v>-45173.35</v>
      </c>
      <c r="N434" s="50">
        <v>90814.0</v>
      </c>
      <c r="O434" s="111">
        <v>21.0</v>
      </c>
      <c r="P434" s="168">
        <v>2.0</v>
      </c>
    </row>
    <row r="435">
      <c r="A435" s="160">
        <v>92.0</v>
      </c>
      <c r="B435" s="160">
        <v>4.0</v>
      </c>
      <c r="C435" s="170">
        <v>7431.0</v>
      </c>
      <c r="D435" s="168">
        <v>216.0</v>
      </c>
      <c r="E435" s="24">
        <v>32.0</v>
      </c>
      <c r="F435" s="169">
        <v>84388.29</v>
      </c>
      <c r="G435" s="169">
        <v>-86132.02</v>
      </c>
      <c r="H435" s="169">
        <v>-26765.43</v>
      </c>
      <c r="I435" s="169">
        <v>17013.45</v>
      </c>
      <c r="J435" s="169">
        <v>-87063.56</v>
      </c>
      <c r="K435" s="169">
        <v>4335.92</v>
      </c>
      <c r="L435" s="169">
        <v>-61211.65</v>
      </c>
      <c r="M435" s="169">
        <v>-12841.58</v>
      </c>
      <c r="N435" s="50">
        <v>82216.0</v>
      </c>
      <c r="O435" s="111">
        <v>22.0</v>
      </c>
      <c r="P435" s="168">
        <v>8.0</v>
      </c>
    </row>
    <row r="436">
      <c r="A436" s="160">
        <v>30.0</v>
      </c>
      <c r="B436" s="160">
        <v>64.0</v>
      </c>
      <c r="C436" s="170">
        <v>7432.0</v>
      </c>
      <c r="D436" s="168">
        <v>217.0</v>
      </c>
      <c r="E436" s="24">
        <v>84.0</v>
      </c>
      <c r="F436" s="169">
        <v>23618.44</v>
      </c>
      <c r="G436" s="169">
        <v>-8534.41</v>
      </c>
      <c r="H436" s="169">
        <v>-87067.92</v>
      </c>
      <c r="I436" s="169">
        <v>-29008.09</v>
      </c>
      <c r="J436" s="169">
        <v>88970.09</v>
      </c>
      <c r="K436" s="169">
        <v>50646.99</v>
      </c>
      <c r="L436" s="169">
        <v>-23451.91</v>
      </c>
      <c r="M436" s="169">
        <v>64407.75</v>
      </c>
      <c r="N436" s="50">
        <v>53117.0</v>
      </c>
      <c r="O436" s="111">
        <v>21.0</v>
      </c>
      <c r="P436" s="168">
        <v>9.0</v>
      </c>
    </row>
    <row r="437">
      <c r="A437" s="160">
        <v>30.0</v>
      </c>
      <c r="B437" s="160">
        <v>65.0</v>
      </c>
      <c r="C437" s="170">
        <v>7433.0</v>
      </c>
      <c r="D437" s="168">
        <v>200.0</v>
      </c>
      <c r="E437" s="24">
        <v>37.0</v>
      </c>
      <c r="F437" s="169">
        <v>46336.29</v>
      </c>
      <c r="G437" s="169">
        <v>77671.88</v>
      </c>
      <c r="H437" s="169">
        <v>22078.5</v>
      </c>
      <c r="I437" s="169">
        <v>13095.37</v>
      </c>
      <c r="J437" s="169">
        <v>-1274.43</v>
      </c>
      <c r="K437" s="169">
        <v>-48066.74</v>
      </c>
      <c r="L437" s="169">
        <v>-30383.34</v>
      </c>
      <c r="M437" s="169">
        <v>50522.96</v>
      </c>
      <c r="N437" s="50">
        <v>82422.0</v>
      </c>
      <c r="O437" s="111">
        <v>22.0</v>
      </c>
      <c r="P437" s="168">
        <v>7.0</v>
      </c>
    </row>
    <row r="438">
      <c r="A438" s="160">
        <v>71.0</v>
      </c>
      <c r="B438" s="160">
        <v>61.0</v>
      </c>
      <c r="C438" s="170">
        <v>7434.0</v>
      </c>
      <c r="D438" s="168">
        <v>220.0</v>
      </c>
      <c r="E438" s="24">
        <v>62.0</v>
      </c>
      <c r="F438" s="169">
        <v>-36022.09</v>
      </c>
      <c r="G438" s="169">
        <v>-43616.81</v>
      </c>
      <c r="H438" s="169">
        <v>75462.16</v>
      </c>
      <c r="I438" s="169">
        <v>76818.0</v>
      </c>
      <c r="J438" s="169">
        <v>-49198.42</v>
      </c>
      <c r="K438" s="169">
        <v>-82818.56</v>
      </c>
      <c r="L438" s="169">
        <v>-18847.31</v>
      </c>
      <c r="M438" s="169">
        <v>58941.19</v>
      </c>
      <c r="N438" s="50">
        <v>11818.0</v>
      </c>
      <c r="O438" s="111">
        <v>21.0</v>
      </c>
      <c r="P438" s="168">
        <v>7.0</v>
      </c>
    </row>
    <row r="439">
      <c r="A439" s="160">
        <v>92.0</v>
      </c>
      <c r="B439" s="160">
        <v>9.0</v>
      </c>
      <c r="C439" s="147">
        <v>7435.0</v>
      </c>
      <c r="D439" s="168">
        <v>210.0</v>
      </c>
      <c r="E439" s="24">
        <v>85.0</v>
      </c>
      <c r="F439" s="169">
        <v>-83610.19</v>
      </c>
      <c r="G439" s="169">
        <v>35658.63</v>
      </c>
      <c r="H439" s="169">
        <v>18098.06</v>
      </c>
      <c r="I439" s="169">
        <v>-48675.01</v>
      </c>
      <c r="J439" s="169">
        <v>-55783.38</v>
      </c>
      <c r="K439" s="169">
        <v>12152.27</v>
      </c>
      <c r="L439" s="169">
        <v>69498.73</v>
      </c>
      <c r="M439" s="169">
        <v>34975.56</v>
      </c>
      <c r="N439" s="50">
        <v>21319.0</v>
      </c>
      <c r="O439" s="111">
        <v>21.0</v>
      </c>
      <c r="P439" s="168">
        <v>1.0</v>
      </c>
    </row>
    <row r="440">
      <c r="A440" s="160">
        <v>30.0</v>
      </c>
      <c r="B440" s="160">
        <v>67.0</v>
      </c>
      <c r="C440" s="170">
        <v>7436.0</v>
      </c>
      <c r="D440" s="168">
        <v>215.0</v>
      </c>
      <c r="E440" s="24">
        <v>21.0</v>
      </c>
      <c r="F440" s="169">
        <v>-1268.02</v>
      </c>
      <c r="G440" s="169">
        <v>87056.15</v>
      </c>
      <c r="H440" s="169">
        <v>57489.8</v>
      </c>
      <c r="I440" s="169">
        <v>-61724.97</v>
      </c>
      <c r="J440" s="169">
        <v>-7856.53</v>
      </c>
      <c r="K440" s="169">
        <v>-98589.32</v>
      </c>
      <c r="L440" s="169">
        <v>20380.16</v>
      </c>
      <c r="M440" s="169">
        <v>123.45</v>
      </c>
      <c r="N440" s="50">
        <v>40819.0</v>
      </c>
      <c r="O440" s="111">
        <v>22.0</v>
      </c>
      <c r="P440" s="168">
        <v>1.0</v>
      </c>
    </row>
    <row r="441">
      <c r="A441" s="160">
        <v>10.0</v>
      </c>
      <c r="B441" s="160">
        <v>23.0</v>
      </c>
      <c r="C441" s="170">
        <v>7437.0</v>
      </c>
      <c r="D441" s="168">
        <v>201.0</v>
      </c>
      <c r="E441" s="24">
        <v>56.0</v>
      </c>
      <c r="F441" s="169">
        <v>-49420.21</v>
      </c>
      <c r="G441" s="169">
        <v>-8896.52</v>
      </c>
      <c r="H441" s="169">
        <v>-79494.85</v>
      </c>
      <c r="I441" s="169">
        <v>31346.03</v>
      </c>
      <c r="J441" s="169">
        <v>-61690.28</v>
      </c>
      <c r="K441" s="169">
        <v>70189.45</v>
      </c>
      <c r="L441" s="169">
        <v>14135.7</v>
      </c>
      <c r="M441" s="169">
        <v>63802.69</v>
      </c>
      <c r="N441" s="50">
        <v>92713.0</v>
      </c>
      <c r="O441" s="111">
        <v>22.0</v>
      </c>
      <c r="P441" s="168">
        <v>4.0</v>
      </c>
    </row>
    <row r="442">
      <c r="A442" s="160">
        <v>92.0</v>
      </c>
      <c r="B442" s="160">
        <v>16.0</v>
      </c>
      <c r="C442" s="170">
        <v>7438.0</v>
      </c>
      <c r="D442" s="168">
        <v>209.0</v>
      </c>
      <c r="E442" s="24">
        <v>41.0</v>
      </c>
      <c r="F442" s="169">
        <v>94584.58</v>
      </c>
      <c r="G442" s="169">
        <v>-45575.52</v>
      </c>
      <c r="H442" s="169">
        <v>-78884.2</v>
      </c>
      <c r="I442" s="169">
        <v>75300.01</v>
      </c>
      <c r="J442" s="169">
        <v>34426.39</v>
      </c>
      <c r="K442" s="169">
        <v>-51098.01</v>
      </c>
      <c r="L442" s="169">
        <v>-46039.31</v>
      </c>
      <c r="M442" s="169">
        <v>-38127.83</v>
      </c>
      <c r="N442" s="50">
        <v>31218.0</v>
      </c>
      <c r="O442" s="111">
        <v>21.0</v>
      </c>
      <c r="P442" s="168">
        <v>4.0</v>
      </c>
    </row>
    <row r="443">
      <c r="A443" s="160">
        <v>51.0</v>
      </c>
      <c r="B443" s="160">
        <v>21.0</v>
      </c>
      <c r="C443" s="170">
        <v>7439.0</v>
      </c>
      <c r="D443" s="168">
        <v>202.0</v>
      </c>
      <c r="E443" s="24">
        <v>42.0</v>
      </c>
      <c r="F443" s="169">
        <v>35135.36</v>
      </c>
      <c r="G443" s="169">
        <v>22742.89</v>
      </c>
      <c r="H443" s="169">
        <v>-70703.57</v>
      </c>
      <c r="I443" s="169">
        <v>-77041.28</v>
      </c>
      <c r="J443" s="169">
        <v>65138.74</v>
      </c>
      <c r="K443" s="169">
        <v>-5754.53</v>
      </c>
      <c r="L443" s="169">
        <v>-35401.64</v>
      </c>
      <c r="M443" s="169">
        <v>19689.83</v>
      </c>
      <c r="N443" s="50">
        <v>82120.0</v>
      </c>
      <c r="O443" s="111">
        <v>23.0</v>
      </c>
      <c r="P443" s="168">
        <v>9.0</v>
      </c>
    </row>
    <row r="444">
      <c r="A444" s="160">
        <v>92.0</v>
      </c>
      <c r="B444" s="160">
        <v>18.0</v>
      </c>
      <c r="C444" s="147">
        <v>7440.0</v>
      </c>
      <c r="D444" s="168">
        <v>212.0</v>
      </c>
      <c r="E444" s="24">
        <v>72.0</v>
      </c>
      <c r="F444" s="169">
        <v>-97569.72</v>
      </c>
      <c r="G444" s="169">
        <v>72121.04</v>
      </c>
      <c r="H444" s="169">
        <v>65998.43</v>
      </c>
      <c r="I444" s="169">
        <v>-84366.56</v>
      </c>
      <c r="J444" s="169">
        <v>-36195.16</v>
      </c>
      <c r="K444" s="169">
        <v>25154.99</v>
      </c>
      <c r="L444" s="169">
        <v>-44176.98</v>
      </c>
      <c r="M444" s="169">
        <v>-92371.45</v>
      </c>
      <c r="N444" s="50">
        <v>52819.0</v>
      </c>
      <c r="O444" s="111">
        <v>23.0</v>
      </c>
      <c r="P444" s="168">
        <v>6.0</v>
      </c>
    </row>
    <row r="445">
      <c r="A445" s="160">
        <v>71.0</v>
      </c>
      <c r="B445" s="160">
        <v>71.0</v>
      </c>
      <c r="C445" s="170">
        <v>7441.0</v>
      </c>
      <c r="D445" s="168">
        <v>216.0</v>
      </c>
      <c r="E445" s="24">
        <v>34.0</v>
      </c>
      <c r="F445" s="169">
        <v>8872.38</v>
      </c>
      <c r="G445" s="169">
        <v>-14205.84</v>
      </c>
      <c r="H445" s="169">
        <v>30341.4</v>
      </c>
      <c r="I445" s="169">
        <v>-93520.96</v>
      </c>
      <c r="J445" s="169">
        <v>97773.05</v>
      </c>
      <c r="K445" s="169">
        <v>-46053.88</v>
      </c>
      <c r="L445" s="169">
        <v>34368.27</v>
      </c>
      <c r="M445" s="169">
        <v>79608.79</v>
      </c>
      <c r="N445" s="50">
        <v>120820.0</v>
      </c>
      <c r="O445" s="111">
        <v>20.0</v>
      </c>
      <c r="P445" s="168">
        <v>1.0</v>
      </c>
    </row>
    <row r="446">
      <c r="A446" s="160">
        <v>30.0</v>
      </c>
      <c r="B446" s="160">
        <v>80.0</v>
      </c>
      <c r="C446" s="170">
        <v>7442.0</v>
      </c>
      <c r="D446" s="168">
        <v>216.0</v>
      </c>
      <c r="E446" s="24">
        <v>39.0</v>
      </c>
      <c r="F446" s="169">
        <v>9856.86</v>
      </c>
      <c r="G446" s="169">
        <v>-2003.19</v>
      </c>
      <c r="H446" s="169">
        <v>-89683.49</v>
      </c>
      <c r="I446" s="169">
        <v>-58146.39</v>
      </c>
      <c r="J446" s="169">
        <v>5869.67</v>
      </c>
      <c r="K446" s="169">
        <v>-26483.61</v>
      </c>
      <c r="L446" s="169">
        <v>55614.56</v>
      </c>
      <c r="M446" s="169">
        <v>20423.65</v>
      </c>
      <c r="N446" s="50">
        <v>31714.0</v>
      </c>
      <c r="O446" s="111">
        <v>23.0</v>
      </c>
      <c r="P446" s="168">
        <v>6.0</v>
      </c>
    </row>
    <row r="447">
      <c r="A447" s="160">
        <v>71.0</v>
      </c>
      <c r="B447" s="160">
        <v>77.0</v>
      </c>
      <c r="C447" s="170">
        <v>7443.0</v>
      </c>
      <c r="D447" s="168">
        <v>220.0</v>
      </c>
      <c r="E447" s="24">
        <v>84.0</v>
      </c>
      <c r="F447" s="169">
        <v>-87656.24</v>
      </c>
      <c r="G447" s="169">
        <v>35172.12</v>
      </c>
      <c r="H447" s="169">
        <v>-74780.25</v>
      </c>
      <c r="I447" s="169">
        <v>-54294.52</v>
      </c>
      <c r="J447" s="169">
        <v>-90.0</v>
      </c>
      <c r="K447" s="169">
        <v>34274.8</v>
      </c>
      <c r="L447" s="169">
        <v>13606.91</v>
      </c>
      <c r="M447" s="169">
        <v>49234.35</v>
      </c>
      <c r="N447" s="50">
        <v>21113.0</v>
      </c>
      <c r="O447" s="111">
        <v>23.0</v>
      </c>
      <c r="P447" s="168">
        <v>9.0</v>
      </c>
    </row>
    <row r="448">
      <c r="A448" s="160">
        <v>92.0</v>
      </c>
      <c r="B448" s="160">
        <v>24.0</v>
      </c>
      <c r="C448" s="170">
        <v>7444.0</v>
      </c>
      <c r="D448" s="168">
        <v>204.0</v>
      </c>
      <c r="E448" s="24">
        <v>98.0</v>
      </c>
      <c r="F448" s="169">
        <v>15165.44</v>
      </c>
      <c r="G448" s="169">
        <v>27859.24</v>
      </c>
      <c r="H448" s="169">
        <v>-58238.47</v>
      </c>
      <c r="I448" s="169">
        <v>62077.78</v>
      </c>
      <c r="J448" s="169">
        <v>-42704.07</v>
      </c>
      <c r="K448" s="169">
        <v>78174.75</v>
      </c>
      <c r="L448" s="169">
        <v>-22748.67</v>
      </c>
      <c r="M448" s="169">
        <v>-70557.39</v>
      </c>
      <c r="N448" s="50">
        <v>110622.0</v>
      </c>
      <c r="O448" s="111">
        <v>22.0</v>
      </c>
      <c r="P448" s="168">
        <v>2.0</v>
      </c>
    </row>
    <row r="449">
      <c r="A449" s="160">
        <v>10.0</v>
      </c>
      <c r="B449" s="160">
        <v>38.0</v>
      </c>
      <c r="C449" s="147">
        <v>7445.0</v>
      </c>
      <c r="D449" s="168">
        <v>213.0</v>
      </c>
      <c r="E449" s="24">
        <v>44.0</v>
      </c>
      <c r="F449" s="169">
        <v>-23469.56</v>
      </c>
      <c r="G449" s="169">
        <v>-60957.03</v>
      </c>
      <c r="H449" s="169">
        <v>-913.78</v>
      </c>
      <c r="I449" s="169">
        <v>6906.1</v>
      </c>
      <c r="J449" s="169">
        <v>-44964.0</v>
      </c>
      <c r="K449" s="169">
        <v>-76256.79</v>
      </c>
      <c r="L449" s="169">
        <v>50869.04</v>
      </c>
      <c r="M449" s="169">
        <v>-7524.81</v>
      </c>
      <c r="N449" s="50">
        <v>80116.0</v>
      </c>
      <c r="O449" s="111">
        <v>21.0</v>
      </c>
      <c r="P449" s="168">
        <v>7.0</v>
      </c>
    </row>
    <row r="450">
      <c r="A450" s="160">
        <v>51.0</v>
      </c>
      <c r="B450" s="160">
        <v>34.0</v>
      </c>
      <c r="C450" s="170">
        <v>7446.0</v>
      </c>
      <c r="D450" s="168">
        <v>214.0</v>
      </c>
      <c r="E450" s="24">
        <v>80.0</v>
      </c>
      <c r="F450" s="169">
        <v>60425.41</v>
      </c>
      <c r="G450" s="169">
        <v>-72751.43</v>
      </c>
      <c r="H450" s="169">
        <v>15660.4</v>
      </c>
      <c r="I450" s="169">
        <v>692.15</v>
      </c>
      <c r="J450" s="169">
        <v>10020.61</v>
      </c>
      <c r="K450" s="169">
        <v>-29065.95</v>
      </c>
      <c r="L450" s="169">
        <v>-4148.36</v>
      </c>
      <c r="M450" s="169">
        <v>50655.65</v>
      </c>
      <c r="N450" s="50">
        <v>70920.0</v>
      </c>
      <c r="O450" s="111">
        <v>22.0</v>
      </c>
      <c r="P450" s="168">
        <v>7.0</v>
      </c>
    </row>
    <row r="451">
      <c r="A451" s="160">
        <v>10.0</v>
      </c>
      <c r="B451" s="160">
        <v>41.0</v>
      </c>
      <c r="C451" s="170">
        <v>7447.0</v>
      </c>
      <c r="D451" s="168">
        <v>218.0</v>
      </c>
      <c r="E451" s="24">
        <v>17.0</v>
      </c>
      <c r="F451" s="169">
        <v>48252.76</v>
      </c>
      <c r="G451" s="169">
        <v>11498.66</v>
      </c>
      <c r="H451" s="169">
        <v>17003.4</v>
      </c>
      <c r="I451" s="169">
        <v>-97069.65</v>
      </c>
      <c r="J451" s="169">
        <v>78456.79</v>
      </c>
      <c r="K451" s="169">
        <v>-16467.74</v>
      </c>
      <c r="L451" s="169">
        <v>-83777.91</v>
      </c>
      <c r="M451" s="169">
        <v>-49546.84</v>
      </c>
      <c r="N451" s="50">
        <v>80522.0</v>
      </c>
      <c r="O451" s="111">
        <v>22.0</v>
      </c>
      <c r="P451" s="168">
        <v>1.0</v>
      </c>
    </row>
    <row r="452">
      <c r="A452" s="160">
        <v>71.0</v>
      </c>
      <c r="B452" s="160">
        <v>85.0</v>
      </c>
      <c r="C452" s="170">
        <v>7448.0</v>
      </c>
      <c r="D452" s="168">
        <v>220.0</v>
      </c>
      <c r="E452" s="24">
        <v>18.0</v>
      </c>
      <c r="F452" s="169">
        <v>-21331.51</v>
      </c>
      <c r="G452" s="169">
        <v>19719.09</v>
      </c>
      <c r="H452" s="169">
        <v>81704.7</v>
      </c>
      <c r="I452" s="169">
        <v>69169.54</v>
      </c>
      <c r="J452" s="169">
        <v>92489.48</v>
      </c>
      <c r="K452" s="169">
        <v>64589.23</v>
      </c>
      <c r="L452" s="169">
        <v>-90251.9</v>
      </c>
      <c r="M452" s="169">
        <v>-80590.08</v>
      </c>
      <c r="N452" s="50">
        <v>42114.0</v>
      </c>
      <c r="O452" s="111">
        <v>23.0</v>
      </c>
      <c r="P452" s="168">
        <v>7.0</v>
      </c>
    </row>
    <row r="453">
      <c r="A453" s="160">
        <v>10.0</v>
      </c>
      <c r="B453" s="160">
        <v>45.0</v>
      </c>
      <c r="C453" s="170">
        <v>7449.0</v>
      </c>
      <c r="D453" s="168">
        <v>215.0</v>
      </c>
      <c r="E453" s="24">
        <v>36.0</v>
      </c>
      <c r="F453" s="169">
        <v>55108.74</v>
      </c>
      <c r="G453" s="169">
        <v>-55043.7</v>
      </c>
      <c r="H453" s="169">
        <v>42964.93</v>
      </c>
      <c r="I453" s="169">
        <v>-93750.27</v>
      </c>
      <c r="J453" s="169">
        <v>-82784.18</v>
      </c>
      <c r="K453" s="169">
        <v>-12877.95</v>
      </c>
      <c r="L453" s="169">
        <v>73210.88</v>
      </c>
      <c r="M453" s="169">
        <v>86043.01</v>
      </c>
      <c r="N453" s="50">
        <v>51222.0</v>
      </c>
      <c r="O453" s="111">
        <v>21.0</v>
      </c>
      <c r="P453" s="168">
        <v>5.0</v>
      </c>
    </row>
    <row r="454">
      <c r="A454" s="160">
        <v>71.0</v>
      </c>
      <c r="B454" s="160">
        <v>89.0</v>
      </c>
      <c r="C454" s="147">
        <v>7450.0</v>
      </c>
      <c r="D454" s="168">
        <v>212.0</v>
      </c>
      <c r="E454" s="24">
        <v>65.0</v>
      </c>
      <c r="F454" s="169">
        <v>44660.26</v>
      </c>
      <c r="G454" s="169">
        <v>38625.4</v>
      </c>
      <c r="H454" s="169">
        <v>60065.85</v>
      </c>
      <c r="I454" s="169">
        <v>-34916.14</v>
      </c>
      <c r="J454" s="169">
        <v>35576.12</v>
      </c>
      <c r="K454" s="169">
        <v>-38450.14</v>
      </c>
      <c r="L454" s="169">
        <v>56131.41</v>
      </c>
      <c r="M454" s="169">
        <v>24143.21</v>
      </c>
      <c r="N454" s="50">
        <v>22222.0</v>
      </c>
      <c r="O454" s="111">
        <v>21.0</v>
      </c>
      <c r="P454" s="168">
        <v>2.0</v>
      </c>
    </row>
    <row r="455">
      <c r="A455" s="160">
        <v>51.0</v>
      </c>
      <c r="B455" s="160">
        <v>52.0</v>
      </c>
      <c r="C455" s="170">
        <v>7451.0</v>
      </c>
      <c r="D455" s="168">
        <v>220.0</v>
      </c>
      <c r="E455" s="24">
        <v>56.0</v>
      </c>
      <c r="F455" s="169">
        <v>-62353.56</v>
      </c>
      <c r="G455" s="169">
        <v>40526.45</v>
      </c>
      <c r="H455" s="169">
        <v>-51174.58</v>
      </c>
      <c r="I455" s="169">
        <v>-43758.76</v>
      </c>
      <c r="J455" s="169">
        <v>10387.31</v>
      </c>
      <c r="K455" s="169">
        <v>-8603.32</v>
      </c>
      <c r="L455" s="169">
        <v>38551.71</v>
      </c>
      <c r="M455" s="169">
        <v>69216.62</v>
      </c>
      <c r="N455" s="50">
        <v>11715.0</v>
      </c>
      <c r="O455" s="111">
        <v>21.0</v>
      </c>
      <c r="P455" s="168">
        <v>8.0</v>
      </c>
    </row>
    <row r="456">
      <c r="A456" s="160">
        <v>92.0</v>
      </c>
      <c r="B456" s="160">
        <v>49.0</v>
      </c>
      <c r="C456" s="170">
        <v>7452.0</v>
      </c>
      <c r="D456" s="168">
        <v>211.0</v>
      </c>
      <c r="E456" s="24">
        <v>41.0</v>
      </c>
      <c r="F456" s="169">
        <v>-40771.96</v>
      </c>
      <c r="G456" s="169">
        <v>-53302.76</v>
      </c>
      <c r="H456" s="169">
        <v>-18689.39</v>
      </c>
      <c r="I456" s="169">
        <v>26403.37</v>
      </c>
      <c r="J456" s="169">
        <v>-66097.21</v>
      </c>
      <c r="K456" s="169">
        <v>68232.67</v>
      </c>
      <c r="L456" s="169">
        <v>-64374.91</v>
      </c>
      <c r="M456" s="169">
        <v>28983.15</v>
      </c>
      <c r="N456" s="50">
        <v>80617.0</v>
      </c>
      <c r="O456" s="111">
        <v>20.0</v>
      </c>
      <c r="P456" s="168">
        <v>4.0</v>
      </c>
    </row>
    <row r="457">
      <c r="A457" s="160">
        <v>10.0</v>
      </c>
      <c r="B457" s="160">
        <v>58.0</v>
      </c>
      <c r="C457" s="170">
        <v>7453.0</v>
      </c>
      <c r="D457" s="168">
        <v>213.0</v>
      </c>
      <c r="E457" s="24">
        <v>52.0</v>
      </c>
      <c r="F457" s="169">
        <v>-20437.85</v>
      </c>
      <c r="G457" s="169">
        <v>10307.63</v>
      </c>
      <c r="H457" s="169">
        <v>55185.51</v>
      </c>
      <c r="I457" s="169">
        <v>-29473.32</v>
      </c>
      <c r="J457" s="169">
        <v>-29216.26</v>
      </c>
      <c r="K457" s="169">
        <v>92927.69</v>
      </c>
      <c r="L457" s="169">
        <v>-70181.52</v>
      </c>
      <c r="M457" s="169">
        <v>53658.71</v>
      </c>
      <c r="N457" s="50">
        <v>90618.0</v>
      </c>
      <c r="O457" s="111">
        <v>20.0</v>
      </c>
      <c r="P457" s="168">
        <v>2.0</v>
      </c>
    </row>
    <row r="458">
      <c r="A458" s="160">
        <v>72.0</v>
      </c>
      <c r="B458" s="160">
        <v>3.0</v>
      </c>
      <c r="C458" s="170">
        <v>7454.0</v>
      </c>
      <c r="D458" s="168">
        <v>201.0</v>
      </c>
      <c r="E458" s="24">
        <v>65.0</v>
      </c>
      <c r="F458" s="169">
        <v>60727.24</v>
      </c>
      <c r="G458" s="169">
        <v>-58658.26</v>
      </c>
      <c r="H458" s="169">
        <v>-97156.91</v>
      </c>
      <c r="I458" s="169">
        <v>-49673.83</v>
      </c>
      <c r="J458" s="169">
        <v>-15773.46</v>
      </c>
      <c r="K458" s="169">
        <v>-16134.64</v>
      </c>
      <c r="L458" s="169">
        <v>-15437.26</v>
      </c>
      <c r="M458" s="169">
        <v>41491.22</v>
      </c>
      <c r="N458" s="50">
        <v>52318.0</v>
      </c>
      <c r="O458" s="111">
        <v>20.0</v>
      </c>
      <c r="P458" s="168">
        <v>9.0</v>
      </c>
    </row>
    <row r="459">
      <c r="A459" s="160">
        <v>72.0</v>
      </c>
      <c r="B459" s="160">
        <v>5.0</v>
      </c>
      <c r="C459" s="147">
        <v>7455.0</v>
      </c>
      <c r="D459" s="168">
        <v>208.0</v>
      </c>
      <c r="E459" s="24">
        <v>25.0</v>
      </c>
      <c r="F459" s="169">
        <v>30048.38</v>
      </c>
      <c r="G459" s="169">
        <v>-71854.98</v>
      </c>
      <c r="H459" s="169">
        <v>-11339.04</v>
      </c>
      <c r="I459" s="169">
        <v>-68543.45</v>
      </c>
      <c r="J459" s="169">
        <v>-1245.03</v>
      </c>
      <c r="K459" s="169">
        <v>20310.51</v>
      </c>
      <c r="L459" s="169">
        <v>69418.92</v>
      </c>
      <c r="M459" s="169">
        <v>95129.7</v>
      </c>
      <c r="N459" s="50">
        <v>42221.0</v>
      </c>
      <c r="O459" s="111">
        <v>21.0</v>
      </c>
      <c r="P459" s="168">
        <v>5.0</v>
      </c>
    </row>
    <row r="460">
      <c r="A460" s="160">
        <v>51.0</v>
      </c>
      <c r="B460" s="160">
        <v>59.0</v>
      </c>
      <c r="C460" s="170">
        <v>7456.0</v>
      </c>
      <c r="D460" s="168">
        <v>214.0</v>
      </c>
      <c r="E460" s="24">
        <v>46.0</v>
      </c>
      <c r="F460" s="169">
        <v>38003.41</v>
      </c>
      <c r="G460" s="169">
        <v>27446.87</v>
      </c>
      <c r="H460" s="169">
        <v>8337.87</v>
      </c>
      <c r="I460" s="169">
        <v>92202.56</v>
      </c>
      <c r="J460" s="169">
        <v>-7017.57</v>
      </c>
      <c r="K460" s="169">
        <v>96245.73</v>
      </c>
      <c r="L460" s="169">
        <v>21559.87</v>
      </c>
      <c r="M460" s="169">
        <v>-19572.95</v>
      </c>
      <c r="N460" s="50">
        <v>110821.0</v>
      </c>
      <c r="O460" s="111">
        <v>21.0</v>
      </c>
      <c r="P460" s="168">
        <v>1.0</v>
      </c>
    </row>
    <row r="461">
      <c r="A461" s="160">
        <v>31.0</v>
      </c>
      <c r="B461" s="160">
        <v>11.0</v>
      </c>
      <c r="C461" s="170">
        <v>7457.0</v>
      </c>
      <c r="D461" s="168">
        <v>215.0</v>
      </c>
      <c r="E461" s="24">
        <v>51.0</v>
      </c>
      <c r="F461" s="169">
        <v>95317.52</v>
      </c>
      <c r="G461" s="169">
        <v>-11805.49</v>
      </c>
      <c r="H461" s="169">
        <v>-80684.51</v>
      </c>
      <c r="I461" s="169">
        <v>-52674.46</v>
      </c>
      <c r="J461" s="169">
        <v>25839.09</v>
      </c>
      <c r="K461" s="169">
        <v>-16003.39</v>
      </c>
      <c r="L461" s="169">
        <v>-10791.83</v>
      </c>
      <c r="M461" s="169">
        <v>-61296.29</v>
      </c>
      <c r="N461" s="50">
        <v>121514.0</v>
      </c>
      <c r="O461" s="111">
        <v>20.0</v>
      </c>
      <c r="P461" s="168">
        <v>3.0</v>
      </c>
    </row>
    <row r="462">
      <c r="A462" s="160">
        <v>72.0</v>
      </c>
      <c r="B462" s="160">
        <v>7.0</v>
      </c>
      <c r="C462" s="170">
        <v>7458.0</v>
      </c>
      <c r="D462" s="168">
        <v>216.0</v>
      </c>
      <c r="E462" s="24">
        <v>64.0</v>
      </c>
      <c r="F462" s="169">
        <v>22.48</v>
      </c>
      <c r="G462" s="169">
        <v>68577.55</v>
      </c>
      <c r="H462" s="169">
        <v>-78039.23</v>
      </c>
      <c r="I462" s="169">
        <v>48567.81</v>
      </c>
      <c r="J462" s="169">
        <v>84079.29</v>
      </c>
      <c r="K462" s="169">
        <v>-40539.11</v>
      </c>
      <c r="L462" s="169">
        <v>71027.85</v>
      </c>
      <c r="M462" s="169">
        <v>49501.71</v>
      </c>
      <c r="N462" s="50">
        <v>21813.0</v>
      </c>
      <c r="O462" s="111">
        <v>23.0</v>
      </c>
      <c r="P462" s="168">
        <v>4.0</v>
      </c>
    </row>
    <row r="463">
      <c r="A463" s="160">
        <v>92.0</v>
      </c>
      <c r="B463" s="160">
        <v>59.0</v>
      </c>
      <c r="C463" s="170">
        <v>7459.0</v>
      </c>
      <c r="D463" s="168">
        <v>211.0</v>
      </c>
      <c r="E463" s="24">
        <v>94.0</v>
      </c>
      <c r="F463" s="169">
        <v>-31321.62</v>
      </c>
      <c r="G463" s="169">
        <v>-67969.78</v>
      </c>
      <c r="H463" s="169">
        <v>32670.94</v>
      </c>
      <c r="I463" s="169">
        <v>56143.66</v>
      </c>
      <c r="J463" s="169">
        <v>-45803.01</v>
      </c>
      <c r="K463" s="169">
        <v>-89735.78</v>
      </c>
      <c r="L463" s="169">
        <v>61271.49</v>
      </c>
      <c r="M463" s="169">
        <v>-4326.09</v>
      </c>
      <c r="N463" s="50">
        <v>81720.0</v>
      </c>
      <c r="O463" s="111">
        <v>20.0</v>
      </c>
      <c r="P463" s="168">
        <v>7.0</v>
      </c>
    </row>
    <row r="464">
      <c r="A464" s="160">
        <v>72.0</v>
      </c>
      <c r="B464" s="160">
        <v>13.0</v>
      </c>
      <c r="C464" s="147">
        <v>7460.0</v>
      </c>
      <c r="D464" s="168">
        <v>207.0</v>
      </c>
      <c r="E464" s="24">
        <v>11.0</v>
      </c>
      <c r="F464" s="169">
        <v>92797.96</v>
      </c>
      <c r="G464" s="169">
        <v>-1150.12</v>
      </c>
      <c r="H464" s="169">
        <v>-77032.1</v>
      </c>
      <c r="I464" s="169">
        <v>-88128.64</v>
      </c>
      <c r="J464" s="169">
        <v>67160.83</v>
      </c>
      <c r="K464" s="169">
        <v>786.78</v>
      </c>
      <c r="L464" s="169">
        <v>42444.17</v>
      </c>
      <c r="M464" s="169">
        <v>-65083.08</v>
      </c>
      <c r="N464" s="50">
        <v>50318.0</v>
      </c>
      <c r="O464" s="111">
        <v>21.0</v>
      </c>
      <c r="P464" s="168">
        <v>8.0</v>
      </c>
    </row>
    <row r="465">
      <c r="A465" s="160">
        <v>31.0</v>
      </c>
      <c r="B465" s="160">
        <v>18.0</v>
      </c>
      <c r="C465" s="170">
        <v>7461.0</v>
      </c>
      <c r="D465" s="168">
        <v>211.0</v>
      </c>
      <c r="E465" s="24">
        <v>49.0</v>
      </c>
      <c r="F465" s="169">
        <v>-78146.67</v>
      </c>
      <c r="G465" s="169">
        <v>73234.13</v>
      </c>
      <c r="H465" s="169">
        <v>-57969.63</v>
      </c>
      <c r="I465" s="169">
        <v>-53878.28</v>
      </c>
      <c r="J465" s="169">
        <v>63711.66</v>
      </c>
      <c r="K465" s="169">
        <v>-50435.22</v>
      </c>
      <c r="L465" s="169">
        <v>16076.1</v>
      </c>
      <c r="M465" s="169">
        <v>88493.04</v>
      </c>
      <c r="N465" s="50">
        <v>73122.0</v>
      </c>
      <c r="O465" s="111">
        <v>23.0</v>
      </c>
      <c r="P465" s="168">
        <v>1.0</v>
      </c>
    </row>
    <row r="466">
      <c r="A466" s="160">
        <v>92.0</v>
      </c>
      <c r="B466" s="160">
        <v>63.0</v>
      </c>
      <c r="C466" s="170">
        <v>7462.0</v>
      </c>
      <c r="D466" s="168">
        <v>217.0</v>
      </c>
      <c r="E466" s="24">
        <v>77.0</v>
      </c>
      <c r="F466" s="169">
        <v>90522.62</v>
      </c>
      <c r="G466" s="169">
        <v>16040.9</v>
      </c>
      <c r="H466" s="169">
        <v>-81290.05</v>
      </c>
      <c r="I466" s="169">
        <v>29082.07</v>
      </c>
      <c r="J466" s="169">
        <v>64758.9</v>
      </c>
      <c r="K466" s="169">
        <v>96407.23</v>
      </c>
      <c r="L466" s="169">
        <v>-45834.62</v>
      </c>
      <c r="M466" s="169">
        <v>-24103.87</v>
      </c>
      <c r="N466" s="50">
        <v>81818.0</v>
      </c>
      <c r="O466" s="111">
        <v>20.0</v>
      </c>
      <c r="P466" s="168">
        <v>7.0</v>
      </c>
    </row>
    <row r="467">
      <c r="A467" s="160">
        <v>72.0</v>
      </c>
      <c r="B467" s="160">
        <v>18.0</v>
      </c>
      <c r="C467" s="170">
        <v>7463.0</v>
      </c>
      <c r="D467" s="168">
        <v>218.0</v>
      </c>
      <c r="E467" s="24">
        <v>36.0</v>
      </c>
      <c r="F467" s="169">
        <v>43916.24</v>
      </c>
      <c r="G467" s="169">
        <v>36737.63</v>
      </c>
      <c r="H467" s="169">
        <v>40872.26</v>
      </c>
      <c r="I467" s="169">
        <v>-63670.28</v>
      </c>
      <c r="J467" s="169">
        <v>90769.1</v>
      </c>
      <c r="K467" s="169">
        <v>79601.5</v>
      </c>
      <c r="L467" s="169">
        <v>-7984.72</v>
      </c>
      <c r="M467" s="169">
        <v>-72283.09</v>
      </c>
      <c r="N467" s="50">
        <v>121213.0</v>
      </c>
      <c r="O467" s="111">
        <v>23.0</v>
      </c>
      <c r="P467" s="168">
        <v>2.0</v>
      </c>
    </row>
    <row r="468">
      <c r="A468" s="160">
        <v>31.0</v>
      </c>
      <c r="B468" s="160">
        <v>23.0</v>
      </c>
      <c r="C468" s="170">
        <v>7464.0</v>
      </c>
      <c r="D468" s="168">
        <v>217.0</v>
      </c>
      <c r="E468" s="24">
        <v>60.0</v>
      </c>
      <c r="F468" s="169">
        <v>98614.02</v>
      </c>
      <c r="G468" s="169">
        <v>6588.84</v>
      </c>
      <c r="H468" s="169">
        <v>-57291.4</v>
      </c>
      <c r="I468" s="169">
        <v>-36339.48</v>
      </c>
      <c r="J468" s="169">
        <v>54124.63</v>
      </c>
      <c r="K468" s="169">
        <v>49377.5</v>
      </c>
      <c r="L468" s="169">
        <v>20471.96</v>
      </c>
      <c r="M468" s="169">
        <v>-76419.26</v>
      </c>
      <c r="N468" s="50">
        <v>111413.0</v>
      </c>
      <c r="O468" s="111">
        <v>20.0</v>
      </c>
      <c r="P468" s="168">
        <v>3.0</v>
      </c>
    </row>
    <row r="469">
      <c r="A469" s="160">
        <v>31.0</v>
      </c>
      <c r="B469" s="160">
        <v>24.0</v>
      </c>
      <c r="C469" s="147">
        <v>7465.0</v>
      </c>
      <c r="D469" s="168">
        <v>201.0</v>
      </c>
      <c r="E469" s="24">
        <v>60.0</v>
      </c>
      <c r="F469" s="169">
        <v>-84770.61</v>
      </c>
      <c r="G469" s="169">
        <v>46746.75</v>
      </c>
      <c r="H469" s="169">
        <v>-15725.29</v>
      </c>
      <c r="I469" s="169">
        <v>-30285.39</v>
      </c>
      <c r="J469" s="169">
        <v>30226.26</v>
      </c>
      <c r="K469" s="169">
        <v>-68546.3</v>
      </c>
      <c r="L469" s="169">
        <v>52957.6</v>
      </c>
      <c r="M469" s="169">
        <v>-61074.44</v>
      </c>
      <c r="N469" s="50">
        <v>112214.0</v>
      </c>
      <c r="O469" s="111">
        <v>22.0</v>
      </c>
      <c r="P469" s="168">
        <v>4.0</v>
      </c>
    </row>
    <row r="470">
      <c r="A470" s="160">
        <v>31.0</v>
      </c>
      <c r="B470" s="160">
        <v>22.0</v>
      </c>
      <c r="C470" s="170">
        <v>7466.0</v>
      </c>
      <c r="D470" s="168">
        <v>219.0</v>
      </c>
      <c r="E470" s="24">
        <v>62.0</v>
      </c>
      <c r="F470" s="169">
        <v>43362.32</v>
      </c>
      <c r="G470" s="169">
        <v>78790.31</v>
      </c>
      <c r="H470" s="169">
        <v>-47905.71</v>
      </c>
      <c r="I470" s="169">
        <v>-42462.86</v>
      </c>
      <c r="J470" s="169">
        <v>-8327.87</v>
      </c>
      <c r="K470" s="169">
        <v>25734.57</v>
      </c>
      <c r="L470" s="169">
        <v>73491.8</v>
      </c>
      <c r="M470" s="169">
        <v>-4599.14</v>
      </c>
      <c r="N470" s="50">
        <v>61919.0</v>
      </c>
      <c r="O470" s="111">
        <v>22.0</v>
      </c>
      <c r="P470" s="168">
        <v>8.0</v>
      </c>
    </row>
    <row r="471">
      <c r="A471" s="160">
        <v>92.0</v>
      </c>
      <c r="B471" s="160">
        <v>70.0</v>
      </c>
      <c r="C471" s="170">
        <v>7467.0</v>
      </c>
      <c r="D471" s="168">
        <v>219.0</v>
      </c>
      <c r="E471" s="24">
        <v>22.0</v>
      </c>
      <c r="F471" s="169">
        <v>-59229.31</v>
      </c>
      <c r="G471" s="169">
        <v>44269.27</v>
      </c>
      <c r="H471" s="169">
        <v>21277.02</v>
      </c>
      <c r="I471" s="169">
        <v>38517.26</v>
      </c>
      <c r="J471" s="169">
        <v>-23708.08</v>
      </c>
      <c r="K471" s="169">
        <v>1158.0</v>
      </c>
      <c r="L471" s="169">
        <v>91992.27</v>
      </c>
      <c r="M471" s="169">
        <v>16993.98</v>
      </c>
      <c r="N471" s="50">
        <v>100113.0</v>
      </c>
      <c r="O471" s="111">
        <v>20.0</v>
      </c>
      <c r="P471" s="168">
        <v>6.0</v>
      </c>
    </row>
    <row r="472">
      <c r="A472" s="160">
        <v>10.0</v>
      </c>
      <c r="B472" s="160">
        <v>79.0</v>
      </c>
      <c r="C472" s="170">
        <v>7468.0</v>
      </c>
      <c r="D472" s="168">
        <v>201.0</v>
      </c>
      <c r="E472" s="24">
        <v>72.0</v>
      </c>
      <c r="F472" s="169">
        <v>-13569.59</v>
      </c>
      <c r="G472" s="169">
        <v>99139.38</v>
      </c>
      <c r="H472" s="169">
        <v>76892.71</v>
      </c>
      <c r="I472" s="169">
        <v>99254.04</v>
      </c>
      <c r="J472" s="169">
        <v>30197.78</v>
      </c>
      <c r="K472" s="169">
        <v>83367.74</v>
      </c>
      <c r="L472" s="169">
        <v>53286.08</v>
      </c>
      <c r="M472" s="169">
        <v>-74984.22</v>
      </c>
      <c r="N472" s="50">
        <v>60113.0</v>
      </c>
      <c r="O472" s="111">
        <v>20.0</v>
      </c>
      <c r="P472" s="168">
        <v>4.0</v>
      </c>
    </row>
    <row r="473">
      <c r="A473" s="160">
        <v>92.0</v>
      </c>
      <c r="B473" s="160">
        <v>72.0</v>
      </c>
      <c r="C473" s="170">
        <v>7469.0</v>
      </c>
      <c r="D473" s="168">
        <v>213.0</v>
      </c>
      <c r="E473" s="24">
        <v>20.0</v>
      </c>
      <c r="F473" s="169">
        <v>80232.51</v>
      </c>
      <c r="G473" s="169">
        <v>43159.87</v>
      </c>
      <c r="H473" s="169">
        <v>-1968.66</v>
      </c>
      <c r="I473" s="169">
        <v>-71069.88</v>
      </c>
      <c r="J473" s="169">
        <v>4785.33</v>
      </c>
      <c r="K473" s="169">
        <v>-84796.63</v>
      </c>
      <c r="L473" s="169">
        <v>92456.58</v>
      </c>
      <c r="M473" s="169">
        <v>8622.47</v>
      </c>
      <c r="N473" s="50">
        <v>62518.0</v>
      </c>
      <c r="O473" s="111">
        <v>20.0</v>
      </c>
      <c r="P473" s="168">
        <v>1.0</v>
      </c>
    </row>
    <row r="474">
      <c r="A474" s="160">
        <v>51.0</v>
      </c>
      <c r="B474" s="160">
        <v>77.0</v>
      </c>
      <c r="C474" s="147">
        <v>7470.0</v>
      </c>
      <c r="D474" s="168">
        <v>219.0</v>
      </c>
      <c r="E474" s="24">
        <v>18.0</v>
      </c>
      <c r="F474" s="169">
        <v>-44095.76</v>
      </c>
      <c r="G474" s="169">
        <v>-64220.18</v>
      </c>
      <c r="H474" s="169">
        <v>-700.75</v>
      </c>
      <c r="I474" s="169">
        <v>5702.99</v>
      </c>
      <c r="J474" s="169">
        <v>12886.47</v>
      </c>
      <c r="K474" s="169">
        <v>-11114.63</v>
      </c>
      <c r="L474" s="169">
        <v>-68539.56</v>
      </c>
      <c r="M474" s="169">
        <v>12539.21</v>
      </c>
      <c r="N474" s="50">
        <v>71213.0</v>
      </c>
      <c r="O474" s="111">
        <v>20.0</v>
      </c>
      <c r="P474" s="168">
        <v>7.0</v>
      </c>
    </row>
    <row r="475">
      <c r="A475" s="160">
        <v>10.0</v>
      </c>
      <c r="B475" s="160">
        <v>82.0</v>
      </c>
      <c r="C475" s="170">
        <v>7471.0</v>
      </c>
      <c r="D475" s="168">
        <v>213.0</v>
      </c>
      <c r="E475" s="24">
        <v>12.0</v>
      </c>
      <c r="F475" s="169">
        <v>-45921.79</v>
      </c>
      <c r="G475" s="169">
        <v>10664.97</v>
      </c>
      <c r="H475" s="169">
        <v>-19264.22</v>
      </c>
      <c r="I475" s="169">
        <v>86396.75</v>
      </c>
      <c r="J475" s="169">
        <v>49060.78</v>
      </c>
      <c r="K475" s="169">
        <v>64283.15</v>
      </c>
      <c r="L475" s="169">
        <v>12441.36</v>
      </c>
      <c r="M475" s="169">
        <v>94642.79</v>
      </c>
      <c r="N475" s="50">
        <v>11516.0</v>
      </c>
      <c r="O475" s="111">
        <v>22.0</v>
      </c>
      <c r="P475" s="168">
        <v>5.0</v>
      </c>
    </row>
    <row r="476">
      <c r="A476" s="160">
        <v>10.0</v>
      </c>
      <c r="B476" s="160">
        <v>74.0</v>
      </c>
      <c r="C476" s="170">
        <v>7472.0</v>
      </c>
      <c r="D476" s="168">
        <v>206.0</v>
      </c>
      <c r="E476" s="24">
        <v>94.0</v>
      </c>
      <c r="F476" s="169">
        <v>11512.02</v>
      </c>
      <c r="G476" s="169">
        <v>51762.72</v>
      </c>
      <c r="H476" s="169">
        <v>-67021.66</v>
      </c>
      <c r="I476" s="169">
        <v>23263.58</v>
      </c>
      <c r="J476" s="169">
        <v>35020.54</v>
      </c>
      <c r="K476" s="169">
        <v>88290.23</v>
      </c>
      <c r="L476" s="169">
        <v>60202.31</v>
      </c>
      <c r="M476" s="169">
        <v>1129.18</v>
      </c>
      <c r="N476" s="50">
        <v>12114.0</v>
      </c>
      <c r="O476" s="111">
        <v>22.0</v>
      </c>
      <c r="P476" s="168">
        <v>2.0</v>
      </c>
    </row>
    <row r="477">
      <c r="A477" s="160">
        <v>92.0</v>
      </c>
      <c r="B477" s="160">
        <v>71.0</v>
      </c>
      <c r="C477" s="170">
        <v>7473.0</v>
      </c>
      <c r="D477" s="168">
        <v>220.0</v>
      </c>
      <c r="E477" s="24">
        <v>54.0</v>
      </c>
      <c r="F477" s="169">
        <v>-15654.33</v>
      </c>
      <c r="G477" s="169">
        <v>-46417.01</v>
      </c>
      <c r="H477" s="169">
        <v>-48510.4</v>
      </c>
      <c r="I477" s="169">
        <v>69130.4</v>
      </c>
      <c r="J477" s="169">
        <v>10197.88</v>
      </c>
      <c r="K477" s="169">
        <v>-22600.47</v>
      </c>
      <c r="L477" s="169">
        <v>-14049.53</v>
      </c>
      <c r="M477" s="169">
        <v>-85336.21</v>
      </c>
      <c r="N477" s="50">
        <v>81316.0</v>
      </c>
      <c r="O477" s="111">
        <v>22.0</v>
      </c>
      <c r="P477" s="168">
        <v>2.0</v>
      </c>
    </row>
    <row r="478">
      <c r="A478" s="160">
        <v>72.0</v>
      </c>
      <c r="B478" s="160">
        <v>30.0</v>
      </c>
      <c r="C478" s="170">
        <v>7474.0</v>
      </c>
      <c r="D478" s="168">
        <v>200.0</v>
      </c>
      <c r="E478" s="24">
        <v>41.0</v>
      </c>
      <c r="F478" s="169">
        <v>-61868.97</v>
      </c>
      <c r="G478" s="169">
        <v>-39437.98</v>
      </c>
      <c r="H478" s="169">
        <v>13397.6</v>
      </c>
      <c r="I478" s="169">
        <v>38798.35</v>
      </c>
      <c r="J478" s="169">
        <v>37440.38</v>
      </c>
      <c r="K478" s="169">
        <v>-99213.43</v>
      </c>
      <c r="L478" s="169">
        <v>-94829.8</v>
      </c>
      <c r="M478" s="169">
        <v>-47113.02</v>
      </c>
      <c r="N478" s="50">
        <v>63013.0</v>
      </c>
      <c r="O478" s="111">
        <v>22.0</v>
      </c>
      <c r="P478" s="168">
        <v>4.0</v>
      </c>
    </row>
    <row r="479">
      <c r="A479" s="160">
        <v>10.0</v>
      </c>
      <c r="B479" s="160">
        <v>87.0</v>
      </c>
      <c r="C479" s="147">
        <v>7475.0</v>
      </c>
      <c r="D479" s="168">
        <v>214.0</v>
      </c>
      <c r="E479" s="24">
        <v>74.0</v>
      </c>
      <c r="F479" s="169">
        <v>-82776.8</v>
      </c>
      <c r="G479" s="169">
        <v>-60132.67</v>
      </c>
      <c r="H479" s="169">
        <v>76420.16</v>
      </c>
      <c r="I479" s="169">
        <v>89533.49</v>
      </c>
      <c r="J479" s="169">
        <v>-86701.18</v>
      </c>
      <c r="K479" s="169">
        <v>39256.69</v>
      </c>
      <c r="L479" s="169">
        <v>-46484.26</v>
      </c>
      <c r="M479" s="169">
        <v>-3531.66</v>
      </c>
      <c r="N479" s="50">
        <v>102616.0</v>
      </c>
      <c r="O479" s="111">
        <v>23.0</v>
      </c>
      <c r="P479" s="168">
        <v>6.0</v>
      </c>
    </row>
    <row r="480">
      <c r="A480" s="160">
        <v>31.0</v>
      </c>
      <c r="B480" s="160">
        <v>36.0</v>
      </c>
      <c r="C480" s="170">
        <v>7476.0</v>
      </c>
      <c r="D480" s="168">
        <v>200.0</v>
      </c>
      <c r="E480" s="24">
        <v>32.0</v>
      </c>
      <c r="F480" s="169">
        <v>-13182.84</v>
      </c>
      <c r="G480" s="169">
        <v>-89858.67</v>
      </c>
      <c r="H480" s="169">
        <v>-79930.44</v>
      </c>
      <c r="I480" s="169">
        <v>-42774.53</v>
      </c>
      <c r="J480" s="169">
        <v>-92780.71</v>
      </c>
      <c r="K480" s="169">
        <v>84752.67</v>
      </c>
      <c r="L480" s="169">
        <v>-28812.44</v>
      </c>
      <c r="M480" s="169">
        <v>83030.24</v>
      </c>
      <c r="N480" s="50">
        <v>30314.0</v>
      </c>
      <c r="O480" s="111">
        <v>20.0</v>
      </c>
      <c r="P480" s="168">
        <v>3.0</v>
      </c>
    </row>
    <row r="481">
      <c r="A481" s="160">
        <v>31.0</v>
      </c>
      <c r="B481" s="160">
        <v>37.0</v>
      </c>
      <c r="C481" s="170">
        <v>7477.0</v>
      </c>
      <c r="D481" s="168">
        <v>213.0</v>
      </c>
      <c r="E481" s="24">
        <v>78.0</v>
      </c>
      <c r="F481" s="169">
        <v>15876.23</v>
      </c>
      <c r="G481" s="169">
        <v>-28137.5</v>
      </c>
      <c r="H481" s="169">
        <v>-95701.49</v>
      </c>
      <c r="I481" s="169">
        <v>78694.15</v>
      </c>
      <c r="J481" s="169">
        <v>23498.96</v>
      </c>
      <c r="K481" s="169">
        <v>-25522.52</v>
      </c>
      <c r="L481" s="169">
        <v>98234.34</v>
      </c>
      <c r="M481" s="169">
        <v>95343.8</v>
      </c>
      <c r="N481" s="50">
        <v>42818.0</v>
      </c>
      <c r="O481" s="111">
        <v>21.0</v>
      </c>
      <c r="P481" s="168">
        <v>2.0</v>
      </c>
    </row>
    <row r="482">
      <c r="A482" s="160">
        <v>92.0</v>
      </c>
      <c r="B482" s="160">
        <v>81.0</v>
      </c>
      <c r="C482" s="170">
        <v>7478.0</v>
      </c>
      <c r="D482" s="168">
        <v>203.0</v>
      </c>
      <c r="E482" s="24">
        <v>18.0</v>
      </c>
      <c r="F482" s="169">
        <v>95633.81</v>
      </c>
      <c r="G482" s="169">
        <v>19918.75</v>
      </c>
      <c r="H482" s="169">
        <v>74985.48</v>
      </c>
      <c r="I482" s="169">
        <v>74206.41</v>
      </c>
      <c r="J482" s="169">
        <v>-38573.06</v>
      </c>
      <c r="K482" s="169">
        <v>57058.09</v>
      </c>
      <c r="L482" s="169">
        <v>27463.15</v>
      </c>
      <c r="M482" s="169">
        <v>-82654.79</v>
      </c>
      <c r="N482" s="50">
        <v>102419.0</v>
      </c>
      <c r="O482" s="111">
        <v>20.0</v>
      </c>
      <c r="P482" s="168">
        <v>4.0</v>
      </c>
    </row>
    <row r="483">
      <c r="A483" s="160">
        <v>92.0</v>
      </c>
      <c r="B483" s="160">
        <v>83.0</v>
      </c>
      <c r="C483" s="170">
        <v>7479.0</v>
      </c>
      <c r="D483" s="168">
        <v>212.0</v>
      </c>
      <c r="E483" s="24">
        <v>72.0</v>
      </c>
      <c r="F483" s="169">
        <v>33165.46</v>
      </c>
      <c r="G483" s="169">
        <v>-30199.01</v>
      </c>
      <c r="H483" s="169">
        <v>-11054.3</v>
      </c>
      <c r="I483" s="169">
        <v>-16981.96</v>
      </c>
      <c r="J483" s="169">
        <v>58068.77</v>
      </c>
      <c r="K483" s="169">
        <v>76040.2</v>
      </c>
      <c r="L483" s="169">
        <v>39179.41</v>
      </c>
      <c r="M483" s="169">
        <v>53348.37</v>
      </c>
      <c r="N483" s="50">
        <v>52018.0</v>
      </c>
      <c r="O483" s="111">
        <v>22.0</v>
      </c>
      <c r="P483" s="168">
        <v>4.0</v>
      </c>
    </row>
    <row r="484">
      <c r="A484" s="160">
        <v>72.0</v>
      </c>
      <c r="B484" s="160">
        <v>32.0</v>
      </c>
      <c r="C484" s="147">
        <v>7480.0</v>
      </c>
      <c r="D484" s="168">
        <v>204.0</v>
      </c>
      <c r="E484" s="24">
        <v>10.0</v>
      </c>
      <c r="F484" s="169">
        <v>-90230.87</v>
      </c>
      <c r="G484" s="169">
        <v>30330.18</v>
      </c>
      <c r="H484" s="169">
        <v>-39908.17</v>
      </c>
      <c r="I484" s="169">
        <v>78313.26</v>
      </c>
      <c r="J484" s="169">
        <v>-79197.47</v>
      </c>
      <c r="K484" s="169">
        <v>24944.47</v>
      </c>
      <c r="L484" s="169">
        <v>-35973.07</v>
      </c>
      <c r="M484" s="169">
        <v>77882.33</v>
      </c>
      <c r="N484" s="50">
        <v>22117.0</v>
      </c>
      <c r="O484" s="111">
        <v>21.0</v>
      </c>
      <c r="P484" s="168">
        <v>7.0</v>
      </c>
    </row>
    <row r="485">
      <c r="A485" s="160">
        <v>31.0</v>
      </c>
      <c r="B485" s="160">
        <v>35.0</v>
      </c>
      <c r="C485" s="170">
        <v>7481.0</v>
      </c>
      <c r="D485" s="168">
        <v>209.0</v>
      </c>
      <c r="E485" s="24">
        <v>78.0</v>
      </c>
      <c r="F485" s="169">
        <v>22222.66</v>
      </c>
      <c r="G485" s="169">
        <v>-97150.11</v>
      </c>
      <c r="H485" s="169">
        <v>-51339.09</v>
      </c>
      <c r="I485" s="169">
        <v>28441.43</v>
      </c>
      <c r="J485" s="169">
        <v>-18615.12</v>
      </c>
      <c r="K485" s="169">
        <v>57089.48</v>
      </c>
      <c r="L485" s="169">
        <v>62746.77</v>
      </c>
      <c r="M485" s="169">
        <v>-53485.36</v>
      </c>
      <c r="N485" s="50">
        <v>41420.0</v>
      </c>
      <c r="O485" s="111">
        <v>20.0</v>
      </c>
      <c r="P485" s="168">
        <v>3.0</v>
      </c>
    </row>
    <row r="486">
      <c r="A486" s="160">
        <v>72.0</v>
      </c>
      <c r="B486" s="160">
        <v>38.0</v>
      </c>
      <c r="C486" s="170">
        <v>7482.0</v>
      </c>
      <c r="D486" s="168">
        <v>200.0</v>
      </c>
      <c r="E486" s="24">
        <v>72.0</v>
      </c>
      <c r="F486" s="169">
        <v>-7777.91</v>
      </c>
      <c r="G486" s="169">
        <v>98112.28</v>
      </c>
      <c r="H486" s="169">
        <v>13957.62</v>
      </c>
      <c r="I486" s="169">
        <v>20351.76</v>
      </c>
      <c r="J486" s="169">
        <v>50010.31</v>
      </c>
      <c r="K486" s="169">
        <v>-12951.57</v>
      </c>
      <c r="L486" s="169">
        <v>75055.62</v>
      </c>
      <c r="M486" s="169">
        <v>62043.09</v>
      </c>
      <c r="N486" s="50">
        <v>31213.0</v>
      </c>
      <c r="O486" s="111">
        <v>22.0</v>
      </c>
      <c r="P486" s="168">
        <v>8.0</v>
      </c>
    </row>
    <row r="487">
      <c r="A487" s="160">
        <v>92.0</v>
      </c>
      <c r="B487" s="160">
        <v>88.0</v>
      </c>
      <c r="C487" s="170">
        <v>7483.0</v>
      </c>
      <c r="D487" s="168">
        <v>215.0</v>
      </c>
      <c r="E487" s="24">
        <v>45.0</v>
      </c>
      <c r="F487" s="169">
        <v>-81925.37</v>
      </c>
      <c r="G487" s="169">
        <v>-43171.26</v>
      </c>
      <c r="H487" s="169">
        <v>34721.46</v>
      </c>
      <c r="I487" s="169">
        <v>24724.03</v>
      </c>
      <c r="J487" s="169">
        <v>851.86</v>
      </c>
      <c r="K487" s="169">
        <v>-33959.28</v>
      </c>
      <c r="L487" s="169">
        <v>56144.79</v>
      </c>
      <c r="M487" s="169">
        <v>47493.75</v>
      </c>
      <c r="N487" s="50">
        <v>40117.0</v>
      </c>
      <c r="O487" s="111">
        <v>20.0</v>
      </c>
      <c r="P487" s="168">
        <v>3.0</v>
      </c>
    </row>
    <row r="488">
      <c r="A488" s="160">
        <v>51.0</v>
      </c>
      <c r="B488" s="160">
        <v>93.0</v>
      </c>
      <c r="C488" s="170">
        <v>7484.0</v>
      </c>
      <c r="D488" s="168">
        <v>219.0</v>
      </c>
      <c r="E488" s="24">
        <v>31.0</v>
      </c>
      <c r="F488" s="169">
        <v>8486.65</v>
      </c>
      <c r="G488" s="169">
        <v>68541.82</v>
      </c>
      <c r="H488" s="169">
        <v>39427.62</v>
      </c>
      <c r="I488" s="169">
        <v>-1432.72</v>
      </c>
      <c r="J488" s="169">
        <v>-20479.58</v>
      </c>
      <c r="K488" s="169">
        <v>-48400.29</v>
      </c>
      <c r="L488" s="169">
        <v>59578.1</v>
      </c>
      <c r="M488" s="169">
        <v>51434.66</v>
      </c>
      <c r="N488" s="50">
        <v>12615.0</v>
      </c>
      <c r="O488" s="111">
        <v>21.0</v>
      </c>
      <c r="P488" s="168">
        <v>6.0</v>
      </c>
    </row>
    <row r="489">
      <c r="A489" s="160">
        <v>51.0</v>
      </c>
      <c r="B489" s="160">
        <v>92.0</v>
      </c>
      <c r="C489" s="147">
        <v>7485.0</v>
      </c>
      <c r="D489" s="168">
        <v>202.0</v>
      </c>
      <c r="E489" s="24">
        <v>79.0</v>
      </c>
      <c r="F489" s="169">
        <v>50075.37</v>
      </c>
      <c r="G489" s="169">
        <v>-66712.1</v>
      </c>
      <c r="H489" s="169">
        <v>62264.78</v>
      </c>
      <c r="I489" s="169">
        <v>31335.46</v>
      </c>
      <c r="J489" s="169">
        <v>6411.85</v>
      </c>
      <c r="K489" s="169">
        <v>78697.7</v>
      </c>
      <c r="L489" s="169">
        <v>19835.44</v>
      </c>
      <c r="M489" s="169">
        <v>-64634.59</v>
      </c>
      <c r="N489" s="50">
        <v>61515.0</v>
      </c>
      <c r="O489" s="111">
        <v>22.0</v>
      </c>
      <c r="P489" s="168">
        <v>9.0</v>
      </c>
    </row>
    <row r="490">
      <c r="A490" s="160">
        <v>92.0</v>
      </c>
      <c r="B490" s="160">
        <v>91.0</v>
      </c>
      <c r="C490" s="170">
        <v>7486.0</v>
      </c>
      <c r="D490" s="168">
        <v>204.0</v>
      </c>
      <c r="E490" s="24">
        <v>70.0</v>
      </c>
      <c r="F490" s="169">
        <v>-73962.53</v>
      </c>
      <c r="G490" s="169">
        <v>93.86</v>
      </c>
      <c r="H490" s="169">
        <v>-93787.55</v>
      </c>
      <c r="I490" s="169">
        <v>90114.53</v>
      </c>
      <c r="J490" s="169">
        <v>-1612.58</v>
      </c>
      <c r="K490" s="169">
        <v>39695.54</v>
      </c>
      <c r="L490" s="169">
        <v>51569.24</v>
      </c>
      <c r="M490" s="169">
        <v>86203.1</v>
      </c>
      <c r="N490" s="50">
        <v>100913.0</v>
      </c>
      <c r="O490" s="111">
        <v>21.0</v>
      </c>
      <c r="P490" s="168">
        <v>2.0</v>
      </c>
    </row>
    <row r="491">
      <c r="A491" s="160">
        <v>11.0</v>
      </c>
      <c r="B491" s="160">
        <v>0.0</v>
      </c>
      <c r="C491" s="170">
        <v>7487.0</v>
      </c>
      <c r="D491" s="168">
        <v>205.0</v>
      </c>
      <c r="E491" s="24">
        <v>17.0</v>
      </c>
      <c r="F491" s="169">
        <v>2579.41</v>
      </c>
      <c r="G491" s="169">
        <v>-30269.06</v>
      </c>
      <c r="H491" s="169">
        <v>63303.75</v>
      </c>
      <c r="I491" s="169">
        <v>33284.85</v>
      </c>
      <c r="J491" s="169">
        <v>-12944.18</v>
      </c>
      <c r="K491" s="169">
        <v>9602.87</v>
      </c>
      <c r="L491" s="169">
        <v>85998.32</v>
      </c>
      <c r="M491" s="169">
        <v>3661.41</v>
      </c>
      <c r="N491" s="50">
        <v>80118.0</v>
      </c>
      <c r="O491" s="111">
        <v>20.0</v>
      </c>
      <c r="P491" s="168">
        <v>4.0</v>
      </c>
    </row>
    <row r="492">
      <c r="A492" s="160">
        <v>31.0</v>
      </c>
      <c r="B492" s="160">
        <v>49.0</v>
      </c>
      <c r="C492" s="170">
        <v>7488.0</v>
      </c>
      <c r="D492" s="168">
        <v>217.0</v>
      </c>
      <c r="E492" s="24">
        <v>89.0</v>
      </c>
      <c r="F492" s="169">
        <v>-78112.3</v>
      </c>
      <c r="G492" s="169">
        <v>-95083.17</v>
      </c>
      <c r="H492" s="169">
        <v>36686.79</v>
      </c>
      <c r="I492" s="169">
        <v>-33788.79</v>
      </c>
      <c r="J492" s="169">
        <v>-22022.91</v>
      </c>
      <c r="K492" s="169">
        <v>13184.37</v>
      </c>
      <c r="L492" s="169">
        <v>-68931.4</v>
      </c>
      <c r="M492" s="169">
        <v>56058.08</v>
      </c>
      <c r="N492" s="50">
        <v>110916.0</v>
      </c>
      <c r="O492" s="111">
        <v>23.0</v>
      </c>
      <c r="P492" s="168">
        <v>9.0</v>
      </c>
    </row>
    <row r="493">
      <c r="A493" s="160">
        <v>31.0</v>
      </c>
      <c r="B493" s="160">
        <v>50.0</v>
      </c>
      <c r="C493" s="170">
        <v>7489.0</v>
      </c>
      <c r="D493" s="168">
        <v>210.0</v>
      </c>
      <c r="E493" s="24">
        <v>18.0</v>
      </c>
      <c r="F493" s="169">
        <v>-7083.77</v>
      </c>
      <c r="G493" s="169">
        <v>95933.33</v>
      </c>
      <c r="H493" s="169">
        <v>37092.63</v>
      </c>
      <c r="I493" s="169">
        <v>-90874.01</v>
      </c>
      <c r="J493" s="169">
        <v>-59901.68</v>
      </c>
      <c r="K493" s="169">
        <v>69245.48</v>
      </c>
      <c r="L493" s="169">
        <v>19600.42</v>
      </c>
      <c r="M493" s="169">
        <v>-12085.38</v>
      </c>
      <c r="N493" s="50">
        <v>112421.0</v>
      </c>
      <c r="O493" s="111">
        <v>23.0</v>
      </c>
      <c r="P493" s="168">
        <v>2.0</v>
      </c>
    </row>
    <row r="494">
      <c r="A494" s="160">
        <v>11.0</v>
      </c>
      <c r="B494" s="160">
        <v>3.0</v>
      </c>
      <c r="C494" s="147">
        <v>7490.0</v>
      </c>
      <c r="D494" s="168">
        <v>204.0</v>
      </c>
      <c r="E494" s="24">
        <v>90.0</v>
      </c>
      <c r="F494" s="169">
        <v>3200.34</v>
      </c>
      <c r="G494" s="169">
        <v>-81681.51</v>
      </c>
      <c r="H494" s="169">
        <v>29791.8</v>
      </c>
      <c r="I494" s="169">
        <v>24206.44</v>
      </c>
      <c r="J494" s="169">
        <v>-99309.48</v>
      </c>
      <c r="K494" s="169">
        <v>-25942.32</v>
      </c>
      <c r="L494" s="169">
        <v>-10846.31</v>
      </c>
      <c r="M494" s="169">
        <v>-20056.94</v>
      </c>
      <c r="N494" s="50">
        <v>10917.0</v>
      </c>
      <c r="O494" s="111">
        <v>20.0</v>
      </c>
      <c r="P494" s="168">
        <v>6.0</v>
      </c>
    </row>
    <row r="495">
      <c r="A495" s="160">
        <v>31.0</v>
      </c>
      <c r="B495" s="160">
        <v>52.0</v>
      </c>
      <c r="C495" s="170">
        <v>7491.0</v>
      </c>
      <c r="D495" s="168">
        <v>203.0</v>
      </c>
      <c r="E495" s="24">
        <v>95.0</v>
      </c>
      <c r="F495" s="169">
        <v>54457.67</v>
      </c>
      <c r="G495" s="169">
        <v>-52210.68</v>
      </c>
      <c r="H495" s="169">
        <v>-86576.96</v>
      </c>
      <c r="I495" s="169">
        <v>-9967.26</v>
      </c>
      <c r="J495" s="169">
        <v>35038.29</v>
      </c>
      <c r="K495" s="169">
        <v>98043.36</v>
      </c>
      <c r="L495" s="169">
        <v>-13850.51</v>
      </c>
      <c r="M495" s="169">
        <v>-39554.96</v>
      </c>
      <c r="N495" s="50">
        <v>12017.0</v>
      </c>
      <c r="O495" s="111">
        <v>22.0</v>
      </c>
      <c r="P495" s="168">
        <v>4.0</v>
      </c>
    </row>
    <row r="496">
      <c r="A496" s="160">
        <v>72.0</v>
      </c>
      <c r="B496" s="160">
        <v>48.0</v>
      </c>
      <c r="C496" s="170">
        <v>7492.0</v>
      </c>
      <c r="D496" s="168">
        <v>203.0</v>
      </c>
      <c r="E496" s="24">
        <v>71.0</v>
      </c>
      <c r="F496" s="169">
        <v>10710.62</v>
      </c>
      <c r="G496" s="169">
        <v>-77609.13</v>
      </c>
      <c r="H496" s="169">
        <v>-43219.08</v>
      </c>
      <c r="I496" s="169">
        <v>-6158.89</v>
      </c>
      <c r="J496" s="169">
        <v>35104.59</v>
      </c>
      <c r="K496" s="169">
        <v>39517.3</v>
      </c>
      <c r="L496" s="169">
        <v>-73626.17</v>
      </c>
      <c r="M496" s="169">
        <v>8213.01</v>
      </c>
      <c r="N496" s="50">
        <v>111821.0</v>
      </c>
      <c r="O496" s="111">
        <v>20.0</v>
      </c>
      <c r="P496" s="168">
        <v>1.0</v>
      </c>
    </row>
    <row r="497">
      <c r="A497" s="160">
        <v>31.0</v>
      </c>
      <c r="B497" s="160">
        <v>54.0</v>
      </c>
      <c r="C497" s="170">
        <v>7493.0</v>
      </c>
      <c r="D497" s="168">
        <v>203.0</v>
      </c>
      <c r="E497" s="24">
        <v>11.0</v>
      </c>
      <c r="F497" s="169">
        <v>94247.73</v>
      </c>
      <c r="G497" s="169">
        <v>-81438.65</v>
      </c>
      <c r="H497" s="169">
        <v>92572.1</v>
      </c>
      <c r="I497" s="169">
        <v>85957.05</v>
      </c>
      <c r="J497" s="169">
        <v>73801.64</v>
      </c>
      <c r="K497" s="169">
        <v>77872.91</v>
      </c>
      <c r="L497" s="169">
        <v>-43456.53</v>
      </c>
      <c r="M497" s="169">
        <v>-11933.0</v>
      </c>
      <c r="N497" s="50">
        <v>40718.0</v>
      </c>
      <c r="O497" s="111">
        <v>23.0</v>
      </c>
      <c r="P497" s="168">
        <v>2.0</v>
      </c>
    </row>
    <row r="498">
      <c r="A498" s="160">
        <v>92.0</v>
      </c>
      <c r="B498" s="160">
        <v>99.0</v>
      </c>
      <c r="C498" s="170">
        <v>7494.0</v>
      </c>
      <c r="D498" s="168">
        <v>217.0</v>
      </c>
      <c r="E498" s="24">
        <v>89.0</v>
      </c>
      <c r="F498" s="169">
        <v>-76543.9</v>
      </c>
      <c r="G498" s="169">
        <v>60315.67</v>
      </c>
      <c r="H498" s="169">
        <v>-93361.09</v>
      </c>
      <c r="I498" s="169">
        <v>80146.16</v>
      </c>
      <c r="J498" s="169">
        <v>-78853.39</v>
      </c>
      <c r="K498" s="169">
        <v>-97780.28</v>
      </c>
      <c r="L498" s="169">
        <v>32672.01</v>
      </c>
      <c r="M498" s="169">
        <v>-92877.41</v>
      </c>
      <c r="N498" s="50">
        <v>10218.0</v>
      </c>
      <c r="O498" s="111">
        <v>21.0</v>
      </c>
      <c r="P498" s="168">
        <v>4.0</v>
      </c>
    </row>
    <row r="499">
      <c r="A499" s="160">
        <v>31.0</v>
      </c>
      <c r="B499" s="160">
        <v>56.0</v>
      </c>
      <c r="C499" s="147">
        <v>7495.0</v>
      </c>
      <c r="D499" s="168">
        <v>217.0</v>
      </c>
      <c r="E499" s="24">
        <v>66.0</v>
      </c>
      <c r="F499" s="169">
        <v>-36285.09</v>
      </c>
      <c r="G499" s="169">
        <v>79288.64</v>
      </c>
      <c r="H499" s="169">
        <v>-95414.12</v>
      </c>
      <c r="I499" s="169">
        <v>96827.01</v>
      </c>
      <c r="J499" s="169">
        <v>1958.51</v>
      </c>
      <c r="K499" s="169">
        <v>-84356.99</v>
      </c>
      <c r="L499" s="169">
        <v>-47258.24</v>
      </c>
      <c r="M499" s="169">
        <v>30282.75</v>
      </c>
      <c r="N499" s="50">
        <v>121413.0</v>
      </c>
      <c r="O499" s="111">
        <v>21.0</v>
      </c>
      <c r="P499" s="168">
        <v>8.0</v>
      </c>
    </row>
    <row r="500">
      <c r="A500" s="160">
        <v>11.0</v>
      </c>
      <c r="B500" s="160">
        <v>4.0</v>
      </c>
      <c r="C500" s="170">
        <v>7496.0</v>
      </c>
      <c r="D500" s="168">
        <v>220.0</v>
      </c>
      <c r="E500" s="24">
        <v>20.0</v>
      </c>
      <c r="F500" s="169">
        <v>-34126.71</v>
      </c>
      <c r="G500" s="169">
        <v>54524.58</v>
      </c>
      <c r="H500" s="169">
        <v>-70198.09</v>
      </c>
      <c r="I500" s="169">
        <v>87665.74</v>
      </c>
      <c r="J500" s="169">
        <v>64445.66</v>
      </c>
      <c r="K500" s="169">
        <v>-39103.41</v>
      </c>
      <c r="L500" s="169">
        <v>-56671.65</v>
      </c>
      <c r="M500" s="169">
        <v>-25133.93</v>
      </c>
      <c r="N500" s="50">
        <v>120613.0</v>
      </c>
      <c r="O500" s="111">
        <v>23.0</v>
      </c>
      <c r="P500" s="168">
        <v>3.0</v>
      </c>
    </row>
    <row r="501">
      <c r="A501" s="160">
        <v>72.0</v>
      </c>
      <c r="B501" s="160">
        <v>54.0</v>
      </c>
      <c r="C501" s="170">
        <v>7497.0</v>
      </c>
      <c r="D501" s="168">
        <v>212.0</v>
      </c>
      <c r="E501" s="24">
        <v>54.0</v>
      </c>
      <c r="F501" s="169">
        <v>-10331.77</v>
      </c>
      <c r="G501" s="169">
        <v>-64451.86</v>
      </c>
      <c r="H501" s="169">
        <v>62115.69</v>
      </c>
      <c r="I501" s="169">
        <v>-69390.93</v>
      </c>
      <c r="J501" s="169">
        <v>9259.39</v>
      </c>
      <c r="K501" s="169">
        <v>48206.2</v>
      </c>
      <c r="L501" s="169">
        <v>-86676.81</v>
      </c>
      <c r="M501" s="169">
        <v>-54645.95</v>
      </c>
      <c r="N501" s="50">
        <v>41517.0</v>
      </c>
      <c r="O501" s="111">
        <v>23.0</v>
      </c>
      <c r="P501" s="168">
        <v>6.0</v>
      </c>
    </row>
    <row r="502">
      <c r="A502" s="160">
        <v>52.0</v>
      </c>
      <c r="B502" s="160">
        <v>8.0</v>
      </c>
      <c r="C502" s="170">
        <v>7498.0</v>
      </c>
      <c r="D502" s="168">
        <v>218.0</v>
      </c>
      <c r="E502" s="24">
        <v>72.0</v>
      </c>
      <c r="F502" s="169">
        <v>-42028.73</v>
      </c>
      <c r="G502" s="169">
        <v>-89149.75</v>
      </c>
      <c r="H502" s="169">
        <v>-56755.3</v>
      </c>
      <c r="I502" s="169">
        <v>-11022.71</v>
      </c>
      <c r="J502" s="169">
        <v>-26189.49</v>
      </c>
      <c r="K502" s="169">
        <v>39358.35</v>
      </c>
      <c r="L502" s="169">
        <v>58862.44</v>
      </c>
      <c r="M502" s="169">
        <v>-4427.62</v>
      </c>
      <c r="N502" s="50">
        <v>121618.0</v>
      </c>
      <c r="O502" s="111">
        <v>20.0</v>
      </c>
      <c r="P502" s="168">
        <v>8.0</v>
      </c>
    </row>
    <row r="503">
      <c r="A503" s="160">
        <v>31.0</v>
      </c>
      <c r="B503" s="160">
        <v>61.0</v>
      </c>
      <c r="C503" s="170">
        <v>7499.0</v>
      </c>
      <c r="D503" s="168">
        <v>207.0</v>
      </c>
      <c r="E503" s="24">
        <v>88.0</v>
      </c>
      <c r="F503" s="169">
        <v>59154.98</v>
      </c>
      <c r="G503" s="169">
        <v>84728.37</v>
      </c>
      <c r="H503" s="169">
        <v>16930.56</v>
      </c>
      <c r="I503" s="169">
        <v>-56222.4</v>
      </c>
      <c r="J503" s="169">
        <v>-61922.04</v>
      </c>
      <c r="K503" s="169">
        <v>20056.11</v>
      </c>
      <c r="L503" s="169">
        <v>70847.43</v>
      </c>
      <c r="M503" s="169">
        <v>50444.42</v>
      </c>
      <c r="N503" s="50">
        <v>31522.0</v>
      </c>
      <c r="O503" s="111">
        <v>22.0</v>
      </c>
      <c r="P503" s="168">
        <v>3.0</v>
      </c>
    </row>
    <row r="504">
      <c r="A504" s="160">
        <v>31.0</v>
      </c>
      <c r="B504" s="160">
        <v>60.0</v>
      </c>
      <c r="C504" s="147">
        <v>7500.0</v>
      </c>
      <c r="D504" s="168">
        <v>200.0</v>
      </c>
      <c r="E504" s="24">
        <v>51.0</v>
      </c>
      <c r="F504" s="169">
        <v>-16815.13</v>
      </c>
      <c r="G504" s="169">
        <v>-63446.11</v>
      </c>
      <c r="H504" s="169">
        <v>-1075.15</v>
      </c>
      <c r="I504" s="169">
        <v>-74445.3</v>
      </c>
      <c r="J504" s="169">
        <v>-47635.64</v>
      </c>
      <c r="K504" s="169">
        <v>54888.5</v>
      </c>
      <c r="L504" s="169">
        <v>-14139.58</v>
      </c>
      <c r="M504" s="169">
        <v>-41187.22</v>
      </c>
      <c r="N504" s="50">
        <v>70220.0</v>
      </c>
      <c r="O504" s="111">
        <v>20.0</v>
      </c>
      <c r="P504" s="168">
        <v>1.0</v>
      </c>
    </row>
    <row r="505">
      <c r="A505" s="160">
        <v>52.0</v>
      </c>
      <c r="B505" s="160">
        <v>11.0</v>
      </c>
      <c r="C505" s="170">
        <v>7501.0</v>
      </c>
      <c r="D505" s="168">
        <v>204.0</v>
      </c>
      <c r="E505" s="24">
        <v>12.0</v>
      </c>
      <c r="F505" s="169">
        <v>-63066.34</v>
      </c>
      <c r="G505" s="169">
        <v>88133.34</v>
      </c>
      <c r="H505" s="169">
        <v>77294.31</v>
      </c>
      <c r="I505" s="169">
        <v>-64189.28</v>
      </c>
      <c r="J505" s="169">
        <v>-40345.01</v>
      </c>
      <c r="K505" s="169">
        <v>64926.8</v>
      </c>
      <c r="L505" s="169">
        <v>61175.81</v>
      </c>
      <c r="M505" s="169">
        <v>44041.52</v>
      </c>
      <c r="N505" s="50">
        <v>121822.0</v>
      </c>
      <c r="O505" s="111">
        <v>23.0</v>
      </c>
      <c r="P505" s="168">
        <v>6.0</v>
      </c>
    </row>
    <row r="506">
      <c r="A506" s="160">
        <v>93.0</v>
      </c>
      <c r="B506" s="160">
        <v>9.0</v>
      </c>
      <c r="C506" s="170">
        <v>7502.0</v>
      </c>
      <c r="D506" s="168">
        <v>217.0</v>
      </c>
      <c r="E506" s="24">
        <v>11.0</v>
      </c>
      <c r="F506" s="169">
        <v>-24159.34</v>
      </c>
      <c r="G506" s="169">
        <v>25354.5</v>
      </c>
      <c r="H506" s="169">
        <v>46031.55</v>
      </c>
      <c r="I506" s="169">
        <v>47486.36</v>
      </c>
      <c r="J506" s="169">
        <v>-37902.37</v>
      </c>
      <c r="K506" s="169">
        <v>-85839.7</v>
      </c>
      <c r="L506" s="169">
        <v>29343.91</v>
      </c>
      <c r="M506" s="169">
        <v>-35073.96</v>
      </c>
      <c r="N506" s="50">
        <v>61720.0</v>
      </c>
      <c r="O506" s="111">
        <v>20.0</v>
      </c>
      <c r="P506" s="168">
        <v>3.0</v>
      </c>
    </row>
    <row r="507">
      <c r="A507" s="160">
        <v>72.0</v>
      </c>
      <c r="B507" s="160">
        <v>62.0</v>
      </c>
      <c r="C507" s="170">
        <v>7503.0</v>
      </c>
      <c r="D507" s="168">
        <v>208.0</v>
      </c>
      <c r="E507" s="24">
        <v>41.0</v>
      </c>
      <c r="F507" s="169">
        <v>-86113.79</v>
      </c>
      <c r="G507" s="169">
        <v>10352.4</v>
      </c>
      <c r="H507" s="169">
        <v>-62110.17</v>
      </c>
      <c r="I507" s="169">
        <v>26151.97</v>
      </c>
      <c r="J507" s="169">
        <v>3939.93</v>
      </c>
      <c r="K507" s="169">
        <v>-6359.34</v>
      </c>
      <c r="L507" s="169">
        <v>12933.77</v>
      </c>
      <c r="M507" s="169">
        <v>-36532.26</v>
      </c>
      <c r="N507" s="50">
        <v>120817.0</v>
      </c>
      <c r="O507" s="111">
        <v>20.0</v>
      </c>
      <c r="P507" s="168">
        <v>1.0</v>
      </c>
    </row>
    <row r="508">
      <c r="A508" s="160">
        <v>72.0</v>
      </c>
      <c r="B508" s="160">
        <v>65.0</v>
      </c>
      <c r="C508" s="170">
        <v>7504.0</v>
      </c>
      <c r="D508" s="168">
        <v>210.0</v>
      </c>
      <c r="E508" s="24">
        <v>68.0</v>
      </c>
      <c r="F508" s="169">
        <v>-64818.36</v>
      </c>
      <c r="G508" s="169">
        <v>2462.17</v>
      </c>
      <c r="H508" s="169">
        <v>81809.05</v>
      </c>
      <c r="I508" s="169">
        <v>32353.79</v>
      </c>
      <c r="J508" s="169">
        <v>64388.17</v>
      </c>
      <c r="K508" s="169">
        <v>-48634.67</v>
      </c>
      <c r="L508" s="169">
        <v>67138.37</v>
      </c>
      <c r="M508" s="169">
        <v>9009.08</v>
      </c>
      <c r="N508" s="50">
        <v>82221.0</v>
      </c>
      <c r="O508" s="111">
        <v>22.0</v>
      </c>
      <c r="P508" s="168">
        <v>5.0</v>
      </c>
    </row>
    <row r="509">
      <c r="A509" s="160">
        <v>11.0</v>
      </c>
      <c r="B509" s="160">
        <v>25.0</v>
      </c>
      <c r="C509" s="147">
        <v>7505.0</v>
      </c>
      <c r="D509" s="168">
        <v>207.0</v>
      </c>
      <c r="E509" s="24">
        <v>76.0</v>
      </c>
      <c r="F509" s="169">
        <v>53083.97</v>
      </c>
      <c r="G509" s="169">
        <v>58657.0</v>
      </c>
      <c r="H509" s="169">
        <v>13491.76</v>
      </c>
      <c r="I509" s="169">
        <v>-96422.22</v>
      </c>
      <c r="J509" s="169">
        <v>-52926.05</v>
      </c>
      <c r="K509" s="169">
        <v>51944.83</v>
      </c>
      <c r="L509" s="169">
        <v>-5648.78</v>
      </c>
      <c r="M509" s="169">
        <v>20473.53</v>
      </c>
      <c r="N509" s="50">
        <v>102317.0</v>
      </c>
      <c r="O509" s="111">
        <v>23.0</v>
      </c>
      <c r="P509" s="168">
        <v>1.0</v>
      </c>
    </row>
    <row r="510">
      <c r="A510" s="160">
        <v>31.0</v>
      </c>
      <c r="B510" s="160">
        <v>74.0</v>
      </c>
      <c r="C510" s="170">
        <v>7506.0</v>
      </c>
      <c r="D510" s="168">
        <v>219.0</v>
      </c>
      <c r="E510" s="24">
        <v>64.0</v>
      </c>
      <c r="F510" s="169">
        <v>58682.92</v>
      </c>
      <c r="G510" s="169">
        <v>-69586.99</v>
      </c>
      <c r="H510" s="169">
        <v>3413.43</v>
      </c>
      <c r="I510" s="169">
        <v>-41979.0</v>
      </c>
      <c r="J510" s="169">
        <v>41223.29</v>
      </c>
      <c r="K510" s="169">
        <v>72635.33</v>
      </c>
      <c r="L510" s="169">
        <v>57941.46</v>
      </c>
      <c r="M510" s="169">
        <v>58811.24</v>
      </c>
      <c r="N510" s="50">
        <v>41714.0</v>
      </c>
      <c r="O510" s="111">
        <v>21.0</v>
      </c>
      <c r="P510" s="168">
        <v>2.0</v>
      </c>
    </row>
    <row r="511">
      <c r="A511" s="160">
        <v>31.0</v>
      </c>
      <c r="B511" s="160">
        <v>75.0</v>
      </c>
      <c r="C511" s="170">
        <v>7507.0</v>
      </c>
      <c r="D511" s="168">
        <v>205.0</v>
      </c>
      <c r="E511" s="24">
        <v>81.0</v>
      </c>
      <c r="F511" s="169">
        <v>33385.27</v>
      </c>
      <c r="G511" s="169">
        <v>-43750.93</v>
      </c>
      <c r="H511" s="169">
        <v>92607.31</v>
      </c>
      <c r="I511" s="169">
        <v>-88529.64</v>
      </c>
      <c r="J511" s="169">
        <v>-38718.49</v>
      </c>
      <c r="K511" s="169">
        <v>-14528.56</v>
      </c>
      <c r="L511" s="169">
        <v>50059.57</v>
      </c>
      <c r="M511" s="169">
        <v>63095.09</v>
      </c>
      <c r="N511" s="50">
        <v>70813.0</v>
      </c>
      <c r="O511" s="111">
        <v>21.0</v>
      </c>
      <c r="P511" s="168">
        <v>9.0</v>
      </c>
    </row>
    <row r="512">
      <c r="A512" s="160">
        <v>72.0</v>
      </c>
      <c r="B512" s="160">
        <v>72.0</v>
      </c>
      <c r="C512" s="170">
        <v>7508.0</v>
      </c>
      <c r="D512" s="168">
        <v>216.0</v>
      </c>
      <c r="E512" s="24">
        <v>23.0</v>
      </c>
      <c r="F512" s="169">
        <v>32581.85</v>
      </c>
      <c r="G512" s="169">
        <v>-81107.21</v>
      </c>
      <c r="H512" s="169">
        <v>-90166.06</v>
      </c>
      <c r="I512" s="169">
        <v>92148.45</v>
      </c>
      <c r="J512" s="169">
        <v>-85773.26</v>
      </c>
      <c r="K512" s="169">
        <v>-43485.32</v>
      </c>
      <c r="L512" s="169">
        <v>48505.54</v>
      </c>
      <c r="M512" s="169">
        <v>70369.84</v>
      </c>
      <c r="N512" s="50">
        <v>110719.0</v>
      </c>
      <c r="O512" s="111">
        <v>20.0</v>
      </c>
      <c r="P512" s="168">
        <v>3.0</v>
      </c>
    </row>
    <row r="513">
      <c r="A513" s="160">
        <v>72.0</v>
      </c>
      <c r="B513" s="160">
        <v>70.0</v>
      </c>
      <c r="C513" s="170">
        <v>7509.0</v>
      </c>
      <c r="D513" s="168">
        <v>212.0</v>
      </c>
      <c r="E513" s="24">
        <v>85.0</v>
      </c>
      <c r="F513" s="169">
        <v>38970.02</v>
      </c>
      <c r="G513" s="169">
        <v>94163.17</v>
      </c>
      <c r="H513" s="169">
        <v>-86505.12</v>
      </c>
      <c r="I513" s="169">
        <v>-99830.01</v>
      </c>
      <c r="J513" s="169">
        <v>81854.2</v>
      </c>
      <c r="K513" s="169">
        <v>-79975.73</v>
      </c>
      <c r="L513" s="169">
        <v>28921.9</v>
      </c>
      <c r="M513" s="169">
        <v>-6250.58</v>
      </c>
      <c r="N513" s="50">
        <v>41818.0</v>
      </c>
      <c r="O513" s="111">
        <v>21.0</v>
      </c>
      <c r="P513" s="168">
        <v>5.0</v>
      </c>
    </row>
    <row r="514">
      <c r="A514" s="160">
        <v>11.0</v>
      </c>
      <c r="B514" s="160">
        <v>30.0</v>
      </c>
      <c r="C514" s="147">
        <v>7510.0</v>
      </c>
      <c r="D514" s="168">
        <v>209.0</v>
      </c>
      <c r="E514" s="24">
        <v>71.0</v>
      </c>
      <c r="F514" s="169">
        <v>-13402.44</v>
      </c>
      <c r="G514" s="169">
        <v>-22601.27</v>
      </c>
      <c r="H514" s="169">
        <v>-22963.05</v>
      </c>
      <c r="I514" s="169">
        <v>-25733.68</v>
      </c>
      <c r="J514" s="169">
        <v>-94638.56</v>
      </c>
      <c r="K514" s="169">
        <v>-64183.4</v>
      </c>
      <c r="L514" s="169">
        <v>20235.01</v>
      </c>
      <c r="M514" s="169">
        <v>12080.92</v>
      </c>
      <c r="N514" s="50">
        <v>71422.0</v>
      </c>
      <c r="O514" s="111">
        <v>23.0</v>
      </c>
      <c r="P514" s="168">
        <v>8.0</v>
      </c>
    </row>
    <row r="515">
      <c r="A515" s="160">
        <v>93.0</v>
      </c>
      <c r="B515" s="160">
        <v>23.0</v>
      </c>
      <c r="C515" s="170">
        <v>7511.0</v>
      </c>
      <c r="D515" s="168">
        <v>207.0</v>
      </c>
      <c r="E515" s="24">
        <v>75.0</v>
      </c>
      <c r="F515" s="169">
        <v>-17688.42</v>
      </c>
      <c r="G515" s="169">
        <v>84596.95</v>
      </c>
      <c r="H515" s="169">
        <v>-7245.16</v>
      </c>
      <c r="I515" s="169">
        <v>-10372.84</v>
      </c>
      <c r="J515" s="169">
        <v>17947.23</v>
      </c>
      <c r="K515" s="169">
        <v>37553.08</v>
      </c>
      <c r="L515" s="169">
        <v>38838.86</v>
      </c>
      <c r="M515" s="169">
        <v>-80493.89</v>
      </c>
      <c r="N515" s="50">
        <v>11814.0</v>
      </c>
      <c r="O515" s="111">
        <v>21.0</v>
      </c>
      <c r="P515" s="168">
        <v>2.0</v>
      </c>
    </row>
    <row r="516">
      <c r="A516" s="160">
        <v>52.0</v>
      </c>
      <c r="B516" s="160">
        <v>23.0</v>
      </c>
      <c r="C516" s="170">
        <v>7512.0</v>
      </c>
      <c r="D516" s="168">
        <v>200.0</v>
      </c>
      <c r="E516" s="24">
        <v>59.0</v>
      </c>
      <c r="F516" s="169">
        <v>85656.93</v>
      </c>
      <c r="G516" s="169">
        <v>48659.24</v>
      </c>
      <c r="H516" s="169">
        <v>-79681.09</v>
      </c>
      <c r="I516" s="169">
        <v>-69776.83</v>
      </c>
      <c r="J516" s="169">
        <v>-71054.6</v>
      </c>
      <c r="K516" s="169">
        <v>-24293.93</v>
      </c>
      <c r="L516" s="169">
        <v>-29561.7</v>
      </c>
      <c r="M516" s="169">
        <v>90703.65</v>
      </c>
      <c r="N516" s="50">
        <v>21522.0</v>
      </c>
      <c r="O516" s="111">
        <v>23.0</v>
      </c>
      <c r="P516" s="168">
        <v>8.0</v>
      </c>
    </row>
    <row r="517">
      <c r="A517" s="160">
        <v>31.0</v>
      </c>
      <c r="B517" s="160">
        <v>80.0</v>
      </c>
      <c r="C517" s="170">
        <v>7513.0</v>
      </c>
      <c r="D517" s="168">
        <v>211.0</v>
      </c>
      <c r="E517" s="24">
        <v>94.0</v>
      </c>
      <c r="F517" s="169">
        <v>-41973.2</v>
      </c>
      <c r="G517" s="169">
        <v>-16706.75</v>
      </c>
      <c r="H517" s="169">
        <v>-42252.77</v>
      </c>
      <c r="I517" s="169">
        <v>-59336.69</v>
      </c>
      <c r="J517" s="169">
        <v>8186.78</v>
      </c>
      <c r="K517" s="169">
        <v>38523.57</v>
      </c>
      <c r="L517" s="169">
        <v>-2962.4</v>
      </c>
      <c r="M517" s="169">
        <v>-37929.78</v>
      </c>
      <c r="N517" s="50">
        <v>10314.0</v>
      </c>
      <c r="O517" s="111">
        <v>20.0</v>
      </c>
      <c r="P517" s="168">
        <v>9.0</v>
      </c>
    </row>
    <row r="518">
      <c r="A518" s="160">
        <v>31.0</v>
      </c>
      <c r="B518" s="160">
        <v>76.0</v>
      </c>
      <c r="C518" s="170">
        <v>7514.0</v>
      </c>
      <c r="D518" s="168">
        <v>201.0</v>
      </c>
      <c r="E518" s="24">
        <v>41.0</v>
      </c>
      <c r="F518" s="169">
        <v>77139.82</v>
      </c>
      <c r="G518" s="169">
        <v>-15957.53</v>
      </c>
      <c r="H518" s="169">
        <v>-78202.09</v>
      </c>
      <c r="I518" s="169">
        <v>76443.9</v>
      </c>
      <c r="J518" s="169">
        <v>35117.93</v>
      </c>
      <c r="K518" s="169">
        <v>-56172.85</v>
      </c>
      <c r="L518" s="169">
        <v>-90043.45</v>
      </c>
      <c r="M518" s="169">
        <v>-95328.54</v>
      </c>
      <c r="N518" s="50">
        <v>121915.0</v>
      </c>
      <c r="O518" s="111">
        <v>23.0</v>
      </c>
      <c r="P518" s="168">
        <v>5.0</v>
      </c>
    </row>
    <row r="519">
      <c r="A519" s="160">
        <v>11.0</v>
      </c>
      <c r="B519" s="160">
        <v>36.0</v>
      </c>
      <c r="C519" s="147">
        <v>7515.0</v>
      </c>
      <c r="D519" s="168">
        <v>216.0</v>
      </c>
      <c r="E519" s="24">
        <v>63.0</v>
      </c>
      <c r="F519" s="169">
        <v>82177.03</v>
      </c>
      <c r="G519" s="169">
        <v>86875.14</v>
      </c>
      <c r="H519" s="169">
        <v>26606.27</v>
      </c>
      <c r="I519" s="169">
        <v>-12703.72</v>
      </c>
      <c r="J519" s="169">
        <v>-30124.33</v>
      </c>
      <c r="K519" s="169">
        <v>-30572.64</v>
      </c>
      <c r="L519" s="169">
        <v>-47313.99</v>
      </c>
      <c r="M519" s="169">
        <v>-50244.36</v>
      </c>
      <c r="N519" s="50">
        <v>40619.0</v>
      </c>
      <c r="O519" s="111">
        <v>22.0</v>
      </c>
      <c r="P519" s="168">
        <v>1.0</v>
      </c>
    </row>
    <row r="520">
      <c r="A520" s="160">
        <v>93.0</v>
      </c>
      <c r="B520" s="160">
        <v>29.0</v>
      </c>
      <c r="C520" s="170">
        <v>7516.0</v>
      </c>
      <c r="D520" s="168">
        <v>213.0</v>
      </c>
      <c r="E520" s="24">
        <v>10.0</v>
      </c>
      <c r="F520" s="169">
        <v>-28734.33</v>
      </c>
      <c r="G520" s="169">
        <v>-57026.0</v>
      </c>
      <c r="H520" s="169">
        <v>96983.35</v>
      </c>
      <c r="I520" s="169">
        <v>-35202.88</v>
      </c>
      <c r="J520" s="169">
        <v>91974.74</v>
      </c>
      <c r="K520" s="169">
        <v>-90837.32</v>
      </c>
      <c r="L520" s="169">
        <v>31749.91</v>
      </c>
      <c r="M520" s="169">
        <v>68466.22</v>
      </c>
      <c r="N520" s="50">
        <v>121217.0</v>
      </c>
      <c r="O520" s="111">
        <v>23.0</v>
      </c>
      <c r="P520" s="168">
        <v>4.0</v>
      </c>
    </row>
    <row r="521">
      <c r="A521" s="160">
        <v>93.0</v>
      </c>
      <c r="B521" s="160">
        <v>30.0</v>
      </c>
      <c r="C521" s="170">
        <v>7517.0</v>
      </c>
      <c r="D521" s="168">
        <v>204.0</v>
      </c>
      <c r="E521" s="24">
        <v>59.0</v>
      </c>
      <c r="F521" s="169">
        <v>2803.89</v>
      </c>
      <c r="G521" s="169">
        <v>20094.73</v>
      </c>
      <c r="H521" s="169">
        <v>-33868.95</v>
      </c>
      <c r="I521" s="169">
        <v>16293.68</v>
      </c>
      <c r="J521" s="169">
        <v>-57952.69</v>
      </c>
      <c r="K521" s="169">
        <v>85093.0</v>
      </c>
      <c r="L521" s="169">
        <v>75085.14</v>
      </c>
      <c r="M521" s="169">
        <v>57885.43</v>
      </c>
      <c r="N521" s="50">
        <v>42216.0</v>
      </c>
      <c r="O521" s="111">
        <v>22.0</v>
      </c>
      <c r="P521" s="168">
        <v>5.0</v>
      </c>
    </row>
    <row r="522">
      <c r="A522" s="160">
        <v>93.0</v>
      </c>
      <c r="B522" s="160">
        <v>28.0</v>
      </c>
      <c r="C522" s="170">
        <v>7518.0</v>
      </c>
      <c r="D522" s="168">
        <v>208.0</v>
      </c>
      <c r="E522" s="24">
        <v>28.0</v>
      </c>
      <c r="F522" s="169">
        <v>94795.16</v>
      </c>
      <c r="G522" s="169">
        <v>21307.17</v>
      </c>
      <c r="H522" s="169">
        <v>24129.78</v>
      </c>
      <c r="I522" s="169">
        <v>-87661.92</v>
      </c>
      <c r="J522" s="169">
        <v>29444.89</v>
      </c>
      <c r="K522" s="169">
        <v>86924.94</v>
      </c>
      <c r="L522" s="169">
        <v>29324.71</v>
      </c>
      <c r="M522" s="169">
        <v>19649.41</v>
      </c>
      <c r="N522" s="50">
        <v>43021.0</v>
      </c>
      <c r="O522" s="111">
        <v>21.0</v>
      </c>
      <c r="P522" s="168">
        <v>8.0</v>
      </c>
    </row>
    <row r="523">
      <c r="A523" s="160">
        <v>11.0</v>
      </c>
      <c r="B523" s="160">
        <v>40.0</v>
      </c>
      <c r="C523" s="170">
        <v>7519.0</v>
      </c>
      <c r="D523" s="168">
        <v>207.0</v>
      </c>
      <c r="E523" s="24">
        <v>14.0</v>
      </c>
      <c r="F523" s="169">
        <v>-47991.49</v>
      </c>
      <c r="G523" s="169">
        <v>-92808.24</v>
      </c>
      <c r="H523" s="169">
        <v>-91777.59</v>
      </c>
      <c r="I523" s="169">
        <v>-23390.8</v>
      </c>
      <c r="J523" s="169">
        <v>-45821.43</v>
      </c>
      <c r="K523" s="169">
        <v>-46809.03</v>
      </c>
      <c r="L523" s="169">
        <v>24515.66</v>
      </c>
      <c r="M523" s="169">
        <v>86984.5</v>
      </c>
      <c r="N523" s="50">
        <v>100215.0</v>
      </c>
      <c r="O523" s="111">
        <v>22.0</v>
      </c>
      <c r="P523" s="168">
        <v>8.0</v>
      </c>
    </row>
    <row r="524">
      <c r="A524" s="160">
        <v>52.0</v>
      </c>
      <c r="B524" s="160">
        <v>39.0</v>
      </c>
      <c r="C524" s="147">
        <v>7520.0</v>
      </c>
      <c r="D524" s="168">
        <v>209.0</v>
      </c>
      <c r="E524" s="24">
        <v>11.0</v>
      </c>
      <c r="F524" s="169">
        <v>-75306.2</v>
      </c>
      <c r="G524" s="169">
        <v>-37267.06</v>
      </c>
      <c r="H524" s="169">
        <v>19867.16</v>
      </c>
      <c r="I524" s="169">
        <v>-97028.55</v>
      </c>
      <c r="J524" s="169">
        <v>-35298.88</v>
      </c>
      <c r="K524" s="169">
        <v>-69837.98</v>
      </c>
      <c r="L524" s="169">
        <v>48854.33</v>
      </c>
      <c r="M524" s="169">
        <v>7381.54</v>
      </c>
      <c r="N524" s="50">
        <v>42617.0</v>
      </c>
      <c r="O524" s="111">
        <v>21.0</v>
      </c>
      <c r="P524" s="168">
        <v>3.0</v>
      </c>
    </row>
    <row r="525">
      <c r="A525" s="160">
        <v>72.0</v>
      </c>
      <c r="B525" s="160">
        <v>87.0</v>
      </c>
      <c r="C525" s="170">
        <v>7521.0</v>
      </c>
      <c r="D525" s="168">
        <v>213.0</v>
      </c>
      <c r="E525" s="24">
        <v>76.0</v>
      </c>
      <c r="F525" s="169">
        <v>-78630.44</v>
      </c>
      <c r="G525" s="169">
        <v>-52109.61</v>
      </c>
      <c r="H525" s="169">
        <v>-77518.97</v>
      </c>
      <c r="I525" s="169">
        <v>-52313.69</v>
      </c>
      <c r="J525" s="169">
        <v>40744.26</v>
      </c>
      <c r="K525" s="169">
        <v>8566.04</v>
      </c>
      <c r="L525" s="169">
        <v>-39052.47</v>
      </c>
      <c r="M525" s="169">
        <v>82213.09</v>
      </c>
      <c r="N525" s="50">
        <v>51520.0</v>
      </c>
      <c r="O525" s="111">
        <v>21.0</v>
      </c>
      <c r="P525" s="168">
        <v>5.0</v>
      </c>
    </row>
    <row r="526">
      <c r="A526" s="160">
        <v>31.0</v>
      </c>
      <c r="B526" s="160">
        <v>93.0</v>
      </c>
      <c r="C526" s="170">
        <v>7522.0</v>
      </c>
      <c r="D526" s="168">
        <v>218.0</v>
      </c>
      <c r="E526" s="24">
        <v>25.0</v>
      </c>
      <c r="F526" s="169">
        <v>47711.79</v>
      </c>
      <c r="G526" s="169">
        <v>-31557.35</v>
      </c>
      <c r="H526" s="169">
        <v>5697.58</v>
      </c>
      <c r="I526" s="169">
        <v>44633.53</v>
      </c>
      <c r="J526" s="169">
        <v>11734.22</v>
      </c>
      <c r="K526" s="169">
        <v>22860.62</v>
      </c>
      <c r="L526" s="169">
        <v>85067.28</v>
      </c>
      <c r="M526" s="169">
        <v>2960.59</v>
      </c>
      <c r="N526" s="50">
        <v>50315.0</v>
      </c>
      <c r="O526" s="111">
        <v>20.0</v>
      </c>
      <c r="P526" s="168">
        <v>1.0</v>
      </c>
    </row>
    <row r="527">
      <c r="A527" s="160">
        <v>93.0</v>
      </c>
      <c r="B527" s="160">
        <v>38.0</v>
      </c>
      <c r="C527" s="170">
        <v>7523.0</v>
      </c>
      <c r="D527" s="168">
        <v>204.0</v>
      </c>
      <c r="E527" s="24">
        <v>59.0</v>
      </c>
      <c r="F527" s="169">
        <v>-84978.05</v>
      </c>
      <c r="G527" s="169">
        <v>-93821.86</v>
      </c>
      <c r="H527" s="169">
        <v>-24500.45</v>
      </c>
      <c r="I527" s="169">
        <v>-23916.57</v>
      </c>
      <c r="J527" s="169">
        <v>53725.22</v>
      </c>
      <c r="K527" s="169">
        <v>44726.74</v>
      </c>
      <c r="L527" s="169">
        <v>53226.47</v>
      </c>
      <c r="M527" s="169">
        <v>73358.38</v>
      </c>
      <c r="N527" s="50">
        <v>93019.0</v>
      </c>
      <c r="O527" s="111">
        <v>23.0</v>
      </c>
      <c r="P527" s="168">
        <v>9.0</v>
      </c>
    </row>
    <row r="528">
      <c r="A528" s="160">
        <v>31.0</v>
      </c>
      <c r="B528" s="160">
        <v>95.0</v>
      </c>
      <c r="C528" s="170">
        <v>7524.0</v>
      </c>
      <c r="D528" s="168">
        <v>216.0</v>
      </c>
      <c r="E528" s="24">
        <v>51.0</v>
      </c>
      <c r="F528" s="169">
        <v>53689.46</v>
      </c>
      <c r="G528" s="169">
        <v>24879.94</v>
      </c>
      <c r="H528" s="169">
        <v>-68418.55</v>
      </c>
      <c r="I528" s="169">
        <v>-67521.16</v>
      </c>
      <c r="J528" s="169">
        <v>-38468.76</v>
      </c>
      <c r="K528" s="169">
        <v>-17787.75</v>
      </c>
      <c r="L528" s="169">
        <v>-94800.01</v>
      </c>
      <c r="M528" s="169">
        <v>31960.5</v>
      </c>
      <c r="N528" s="50">
        <v>61315.0</v>
      </c>
      <c r="O528" s="111">
        <v>20.0</v>
      </c>
      <c r="P528" s="168">
        <v>8.0</v>
      </c>
    </row>
    <row r="529">
      <c r="A529" s="160">
        <v>11.0</v>
      </c>
      <c r="B529" s="160">
        <v>44.0</v>
      </c>
      <c r="C529" s="147">
        <v>7525.0</v>
      </c>
      <c r="D529" s="168">
        <v>219.0</v>
      </c>
      <c r="E529" s="24">
        <v>43.0</v>
      </c>
      <c r="F529" s="169">
        <v>-38331.93</v>
      </c>
      <c r="G529" s="169">
        <v>73161.97</v>
      </c>
      <c r="H529" s="169">
        <v>71710.26</v>
      </c>
      <c r="I529" s="169">
        <v>62907.23</v>
      </c>
      <c r="J529" s="169">
        <v>-42810.2</v>
      </c>
      <c r="K529" s="169">
        <v>-7304.26</v>
      </c>
      <c r="L529" s="169">
        <v>-29639.67</v>
      </c>
      <c r="M529" s="169">
        <v>84414.89</v>
      </c>
      <c r="N529" s="50">
        <v>122419.0</v>
      </c>
      <c r="O529" s="111">
        <v>22.0</v>
      </c>
      <c r="P529" s="168">
        <v>6.0</v>
      </c>
    </row>
    <row r="530">
      <c r="A530" s="160">
        <v>93.0</v>
      </c>
      <c r="B530" s="160">
        <v>41.0</v>
      </c>
      <c r="C530" s="170">
        <v>7526.0</v>
      </c>
      <c r="D530" s="168">
        <v>208.0</v>
      </c>
      <c r="E530" s="24">
        <v>92.0</v>
      </c>
      <c r="F530" s="169">
        <v>-52301.38</v>
      </c>
      <c r="G530" s="169">
        <v>94268.41</v>
      </c>
      <c r="H530" s="169">
        <v>-87045.38</v>
      </c>
      <c r="I530" s="169">
        <v>50392.13</v>
      </c>
      <c r="J530" s="169">
        <v>-81123.06</v>
      </c>
      <c r="K530" s="169">
        <v>47061.74</v>
      </c>
      <c r="L530" s="169">
        <v>29264.53</v>
      </c>
      <c r="M530" s="169">
        <v>-73209.35</v>
      </c>
      <c r="N530" s="50">
        <v>120413.0</v>
      </c>
      <c r="O530" s="111">
        <v>22.0</v>
      </c>
      <c r="P530" s="168">
        <v>2.0</v>
      </c>
    </row>
    <row r="531">
      <c r="A531" s="160">
        <v>31.0</v>
      </c>
      <c r="B531" s="160">
        <v>91.0</v>
      </c>
      <c r="C531" s="170">
        <v>7527.0</v>
      </c>
      <c r="D531" s="168">
        <v>200.0</v>
      </c>
      <c r="E531" s="24">
        <v>11.0</v>
      </c>
      <c r="F531" s="169">
        <v>91077.69</v>
      </c>
      <c r="G531" s="169">
        <v>-36403.05</v>
      </c>
      <c r="H531" s="169">
        <v>-72059.35</v>
      </c>
      <c r="I531" s="169">
        <v>-77683.1</v>
      </c>
      <c r="J531" s="169">
        <v>-56711.03</v>
      </c>
      <c r="K531" s="169">
        <v>-79654.88</v>
      </c>
      <c r="L531" s="169">
        <v>58115.28</v>
      </c>
      <c r="M531" s="169">
        <v>42594.44</v>
      </c>
      <c r="N531" s="50">
        <v>11120.0</v>
      </c>
      <c r="O531" s="111">
        <v>21.0</v>
      </c>
      <c r="P531" s="168">
        <v>4.0</v>
      </c>
    </row>
    <row r="532">
      <c r="A532" s="160">
        <v>11.0</v>
      </c>
      <c r="B532" s="160">
        <v>51.0</v>
      </c>
      <c r="C532" s="170">
        <v>7528.0</v>
      </c>
      <c r="D532" s="168">
        <v>216.0</v>
      </c>
      <c r="E532" s="24">
        <v>89.0</v>
      </c>
      <c r="F532" s="169">
        <v>-49231.45</v>
      </c>
      <c r="G532" s="169">
        <v>88255.6</v>
      </c>
      <c r="H532" s="169">
        <v>-51744.08</v>
      </c>
      <c r="I532" s="169">
        <v>-11255.49</v>
      </c>
      <c r="J532" s="169">
        <v>55284.4</v>
      </c>
      <c r="K532" s="169">
        <v>-64473.63</v>
      </c>
      <c r="L532" s="169">
        <v>-49697.27</v>
      </c>
      <c r="M532" s="169">
        <v>-53599.9</v>
      </c>
      <c r="N532" s="50">
        <v>103119.0</v>
      </c>
      <c r="O532" s="111">
        <v>22.0</v>
      </c>
      <c r="P532" s="168">
        <v>1.0</v>
      </c>
    </row>
    <row r="533">
      <c r="A533" s="160">
        <v>72.0</v>
      </c>
      <c r="B533" s="160">
        <v>88.0</v>
      </c>
      <c r="C533" s="170">
        <v>7529.0</v>
      </c>
      <c r="D533" s="168">
        <v>207.0</v>
      </c>
      <c r="E533" s="24">
        <v>20.0</v>
      </c>
      <c r="F533" s="169">
        <v>51700.38</v>
      </c>
      <c r="G533" s="169">
        <v>-42.04</v>
      </c>
      <c r="H533" s="169">
        <v>-84324.76</v>
      </c>
      <c r="I533" s="169">
        <v>-92642.14</v>
      </c>
      <c r="J533" s="169">
        <v>-70637.72</v>
      </c>
      <c r="K533" s="169">
        <v>-29369.35</v>
      </c>
      <c r="L533" s="169">
        <v>-34572.33</v>
      </c>
      <c r="M533" s="169">
        <v>3938.71</v>
      </c>
      <c r="N533" s="50">
        <v>31313.0</v>
      </c>
      <c r="O533" s="111">
        <v>22.0</v>
      </c>
      <c r="P533" s="168">
        <v>8.0</v>
      </c>
    </row>
    <row r="534">
      <c r="A534" s="160">
        <v>72.0</v>
      </c>
      <c r="B534" s="160">
        <v>99.0</v>
      </c>
      <c r="C534" s="147">
        <v>7530.0</v>
      </c>
      <c r="D534" s="168">
        <v>220.0</v>
      </c>
      <c r="E534" s="24">
        <v>25.0</v>
      </c>
      <c r="F534" s="169">
        <v>-73525.59</v>
      </c>
      <c r="G534" s="169">
        <v>81804.61</v>
      </c>
      <c r="H534" s="169">
        <v>-57703.27</v>
      </c>
      <c r="I534" s="169">
        <v>43323.17</v>
      </c>
      <c r="J534" s="169">
        <v>49506.79</v>
      </c>
      <c r="K534" s="169">
        <v>-97586.1</v>
      </c>
      <c r="L534" s="169">
        <v>17288.51</v>
      </c>
      <c r="M534" s="169">
        <v>-89938.35</v>
      </c>
      <c r="N534" s="50">
        <v>21918.0</v>
      </c>
      <c r="O534" s="111">
        <v>20.0</v>
      </c>
      <c r="P534" s="168">
        <v>3.0</v>
      </c>
    </row>
    <row r="535">
      <c r="A535" s="160">
        <v>32.0</v>
      </c>
      <c r="B535" s="160">
        <v>3.0</v>
      </c>
      <c r="C535" s="170">
        <v>7531.0</v>
      </c>
      <c r="D535" s="168">
        <v>217.0</v>
      </c>
      <c r="E535" s="24">
        <v>60.0</v>
      </c>
      <c r="F535" s="169">
        <v>67731.44</v>
      </c>
      <c r="G535" s="169">
        <v>-24049.94</v>
      </c>
      <c r="H535" s="169">
        <v>94469.62</v>
      </c>
      <c r="I535" s="169">
        <v>-15044.21</v>
      </c>
      <c r="J535" s="169">
        <v>-82558.69</v>
      </c>
      <c r="K535" s="169">
        <v>-78991.75</v>
      </c>
      <c r="L535" s="169">
        <v>43688.48</v>
      </c>
      <c r="M535" s="169">
        <v>-41084.56</v>
      </c>
      <c r="N535" s="50">
        <v>12516.0</v>
      </c>
      <c r="O535" s="111">
        <v>21.0</v>
      </c>
      <c r="P535" s="168">
        <v>8.0</v>
      </c>
    </row>
    <row r="536">
      <c r="A536" s="160">
        <v>73.0</v>
      </c>
      <c r="B536" s="160">
        <v>0.0</v>
      </c>
      <c r="C536" s="170">
        <v>7532.0</v>
      </c>
      <c r="D536" s="168">
        <v>212.0</v>
      </c>
      <c r="E536" s="24">
        <v>93.0</v>
      </c>
      <c r="F536" s="169">
        <v>39697.64</v>
      </c>
      <c r="G536" s="169">
        <v>84226.2</v>
      </c>
      <c r="H536" s="169">
        <v>-36749.7</v>
      </c>
      <c r="I536" s="169">
        <v>-33125.31</v>
      </c>
      <c r="J536" s="169">
        <v>-38367.2</v>
      </c>
      <c r="K536" s="169">
        <v>-55605.97</v>
      </c>
      <c r="L536" s="169">
        <v>-8318.06</v>
      </c>
      <c r="M536" s="169">
        <v>-48899.76</v>
      </c>
      <c r="N536" s="50">
        <v>20421.0</v>
      </c>
      <c r="O536" s="111">
        <v>23.0</v>
      </c>
      <c r="P536" s="168">
        <v>1.0</v>
      </c>
    </row>
    <row r="537">
      <c r="A537" s="160">
        <v>52.0</v>
      </c>
      <c r="B537" s="160">
        <v>54.0</v>
      </c>
      <c r="C537" s="170">
        <v>7533.0</v>
      </c>
      <c r="D537" s="168">
        <v>208.0</v>
      </c>
      <c r="E537" s="24">
        <v>72.0</v>
      </c>
      <c r="F537" s="169">
        <v>-84626.95</v>
      </c>
      <c r="G537" s="169">
        <v>-86794.53</v>
      </c>
      <c r="H537" s="169">
        <v>-4031.03</v>
      </c>
      <c r="I537" s="169">
        <v>26710.08</v>
      </c>
      <c r="J537" s="169">
        <v>-17763.54</v>
      </c>
      <c r="K537" s="169">
        <v>-20031.07</v>
      </c>
      <c r="L537" s="169">
        <v>-62584.66</v>
      </c>
      <c r="M537" s="169">
        <v>-21619.45</v>
      </c>
      <c r="N537" s="50">
        <v>21717.0</v>
      </c>
      <c r="O537" s="111">
        <v>22.0</v>
      </c>
      <c r="P537" s="168">
        <v>1.0</v>
      </c>
    </row>
    <row r="538">
      <c r="A538" s="160">
        <v>73.0</v>
      </c>
      <c r="B538" s="160">
        <v>4.0</v>
      </c>
      <c r="C538" s="170">
        <v>7534.0</v>
      </c>
      <c r="D538" s="168">
        <v>208.0</v>
      </c>
      <c r="E538" s="24">
        <v>40.0</v>
      </c>
      <c r="F538" s="169">
        <v>60114.53</v>
      </c>
      <c r="G538" s="169">
        <v>-92586.27</v>
      </c>
      <c r="H538" s="169">
        <v>94249.35</v>
      </c>
      <c r="I538" s="169">
        <v>-2031.24</v>
      </c>
      <c r="J538" s="169">
        <v>6651.44</v>
      </c>
      <c r="K538" s="169">
        <v>-46341.77</v>
      </c>
      <c r="L538" s="169">
        <v>-29090.85</v>
      </c>
      <c r="M538" s="169">
        <v>81628.87</v>
      </c>
      <c r="N538" s="50">
        <v>81722.0</v>
      </c>
      <c r="O538" s="111">
        <v>22.0</v>
      </c>
      <c r="P538" s="168">
        <v>4.0</v>
      </c>
    </row>
    <row r="539">
      <c r="A539" s="160">
        <v>73.0</v>
      </c>
      <c r="B539" s="160">
        <v>5.0</v>
      </c>
      <c r="C539" s="147">
        <v>7535.0</v>
      </c>
      <c r="D539" s="168">
        <v>213.0</v>
      </c>
      <c r="E539" s="24">
        <v>57.0</v>
      </c>
      <c r="F539" s="169">
        <v>28334.44</v>
      </c>
      <c r="G539" s="169">
        <v>-45839.67</v>
      </c>
      <c r="H539" s="169">
        <v>-2771.51</v>
      </c>
      <c r="I539" s="169">
        <v>-24743.35</v>
      </c>
      <c r="J539" s="169">
        <v>84163.35</v>
      </c>
      <c r="K539" s="169">
        <v>-25050.89</v>
      </c>
      <c r="L539" s="169">
        <v>66569.51</v>
      </c>
      <c r="M539" s="169">
        <v>79280.36</v>
      </c>
      <c r="N539" s="50">
        <v>10514.0</v>
      </c>
      <c r="O539" s="111">
        <v>21.0</v>
      </c>
      <c r="P539" s="168">
        <v>1.0</v>
      </c>
    </row>
    <row r="540">
      <c r="A540" s="160">
        <v>73.0</v>
      </c>
      <c r="B540" s="160">
        <v>7.0</v>
      </c>
      <c r="C540" s="170">
        <v>7536.0</v>
      </c>
      <c r="D540" s="168">
        <v>208.0</v>
      </c>
      <c r="E540" s="24">
        <v>43.0</v>
      </c>
      <c r="F540" s="169">
        <v>-5197.45</v>
      </c>
      <c r="G540" s="169">
        <v>71372.02</v>
      </c>
      <c r="H540" s="169">
        <v>-54720.75</v>
      </c>
      <c r="I540" s="169">
        <v>28706.5</v>
      </c>
      <c r="J540" s="169">
        <v>-88832.04</v>
      </c>
      <c r="K540" s="169">
        <v>35011.97</v>
      </c>
      <c r="L540" s="169">
        <v>80039.12</v>
      </c>
      <c r="M540" s="169">
        <v>92624.58</v>
      </c>
      <c r="N540" s="50">
        <v>90516.0</v>
      </c>
      <c r="O540" s="111">
        <v>22.0</v>
      </c>
      <c r="P540" s="168">
        <v>1.0</v>
      </c>
    </row>
    <row r="541">
      <c r="A541" s="160">
        <v>73.0</v>
      </c>
      <c r="B541" s="160">
        <v>8.0</v>
      </c>
      <c r="C541" s="170">
        <v>7537.0</v>
      </c>
      <c r="D541" s="168">
        <v>219.0</v>
      </c>
      <c r="E541" s="24">
        <v>23.0</v>
      </c>
      <c r="F541" s="169">
        <v>91572.93</v>
      </c>
      <c r="G541" s="169">
        <v>-2609.02</v>
      </c>
      <c r="H541" s="169">
        <v>7021.78</v>
      </c>
      <c r="I541" s="169">
        <v>-45328.24</v>
      </c>
      <c r="J541" s="169">
        <v>69819.06</v>
      </c>
      <c r="K541" s="169">
        <v>85124.5</v>
      </c>
      <c r="L541" s="169">
        <v>-60398.08</v>
      </c>
      <c r="M541" s="169">
        <v>62064.91</v>
      </c>
      <c r="N541" s="50">
        <v>10722.0</v>
      </c>
      <c r="O541" s="111">
        <v>23.0</v>
      </c>
      <c r="P541" s="168">
        <v>2.0</v>
      </c>
    </row>
    <row r="542">
      <c r="A542" s="160">
        <v>93.0</v>
      </c>
      <c r="B542" s="160">
        <v>56.0</v>
      </c>
      <c r="C542" s="170">
        <v>7538.0</v>
      </c>
      <c r="D542" s="168">
        <v>217.0</v>
      </c>
      <c r="E542" s="24">
        <v>63.0</v>
      </c>
      <c r="F542" s="169">
        <v>21310.14</v>
      </c>
      <c r="G542" s="169">
        <v>-28831.91</v>
      </c>
      <c r="H542" s="169">
        <v>-53595.01</v>
      </c>
      <c r="I542" s="169">
        <v>53823.52</v>
      </c>
      <c r="J542" s="169">
        <v>-24237.53</v>
      </c>
      <c r="K542" s="169">
        <v>76569.24</v>
      </c>
      <c r="L542" s="169">
        <v>15334.34</v>
      </c>
      <c r="M542" s="169">
        <v>95029.2</v>
      </c>
      <c r="N542" s="50">
        <v>111220.0</v>
      </c>
      <c r="O542" s="111">
        <v>23.0</v>
      </c>
      <c r="P542" s="168">
        <v>9.0</v>
      </c>
    </row>
    <row r="543">
      <c r="A543" s="160">
        <v>32.0</v>
      </c>
      <c r="B543" s="160">
        <v>14.0</v>
      </c>
      <c r="C543" s="170">
        <v>7539.0</v>
      </c>
      <c r="D543" s="168">
        <v>212.0</v>
      </c>
      <c r="E543" s="24">
        <v>26.0</v>
      </c>
      <c r="F543" s="169">
        <v>-34214.97</v>
      </c>
      <c r="G543" s="169">
        <v>-7820.69</v>
      </c>
      <c r="H543" s="169">
        <v>60941.4</v>
      </c>
      <c r="I543" s="169">
        <v>21573.0</v>
      </c>
      <c r="J543" s="169">
        <v>-83279.9</v>
      </c>
      <c r="K543" s="169">
        <v>9442.05</v>
      </c>
      <c r="L543" s="169">
        <v>75237.2</v>
      </c>
      <c r="M543" s="169">
        <v>-85313.07</v>
      </c>
      <c r="N543" s="50">
        <v>32614.0</v>
      </c>
      <c r="O543" s="111">
        <v>23.0</v>
      </c>
      <c r="P543" s="168">
        <v>1.0</v>
      </c>
    </row>
    <row r="544">
      <c r="A544" s="160">
        <v>93.0</v>
      </c>
      <c r="B544" s="160">
        <v>60.0</v>
      </c>
      <c r="C544" s="147">
        <v>7540.0</v>
      </c>
      <c r="D544" s="168">
        <v>219.0</v>
      </c>
      <c r="E544" s="24">
        <v>83.0</v>
      </c>
      <c r="F544" s="169">
        <v>46284.78</v>
      </c>
      <c r="G544" s="169">
        <v>17871.25</v>
      </c>
      <c r="H544" s="169">
        <v>17404.92</v>
      </c>
      <c r="I544" s="169">
        <v>-99891.1</v>
      </c>
      <c r="J544" s="169">
        <v>60696.28</v>
      </c>
      <c r="K544" s="169">
        <v>-70571.24</v>
      </c>
      <c r="L544" s="169">
        <v>-14348.01</v>
      </c>
      <c r="M544" s="169">
        <v>88847.78</v>
      </c>
      <c r="N544" s="50">
        <v>20521.0</v>
      </c>
      <c r="O544" s="111">
        <v>21.0</v>
      </c>
      <c r="P544" s="168">
        <v>6.0</v>
      </c>
    </row>
    <row r="545">
      <c r="A545" s="160">
        <v>93.0</v>
      </c>
      <c r="B545" s="160">
        <v>61.0</v>
      </c>
      <c r="C545" s="170">
        <v>7541.0</v>
      </c>
      <c r="D545" s="168">
        <v>214.0</v>
      </c>
      <c r="E545" s="24">
        <v>32.0</v>
      </c>
      <c r="F545" s="169">
        <v>-67290.01</v>
      </c>
      <c r="G545" s="169">
        <v>-49577.37</v>
      </c>
      <c r="H545" s="169">
        <v>57763.16</v>
      </c>
      <c r="I545" s="169">
        <v>11371.36</v>
      </c>
      <c r="J545" s="169">
        <v>-85021.23</v>
      </c>
      <c r="K545" s="169">
        <v>-92589.18</v>
      </c>
      <c r="L545" s="169">
        <v>72367.45</v>
      </c>
      <c r="M545" s="169">
        <v>4651.3</v>
      </c>
      <c r="N545" s="50">
        <v>111814.0</v>
      </c>
      <c r="O545" s="111">
        <v>22.0</v>
      </c>
      <c r="P545" s="168">
        <v>9.0</v>
      </c>
    </row>
    <row r="546">
      <c r="A546" s="160">
        <v>52.0</v>
      </c>
      <c r="B546" s="160">
        <v>66.0</v>
      </c>
      <c r="C546" s="170">
        <v>7542.0</v>
      </c>
      <c r="D546" s="168">
        <v>213.0</v>
      </c>
      <c r="E546" s="24">
        <v>46.0</v>
      </c>
      <c r="F546" s="169">
        <v>-1254.12</v>
      </c>
      <c r="G546" s="169">
        <v>81674.12</v>
      </c>
      <c r="H546" s="169">
        <v>91063.66</v>
      </c>
      <c r="I546" s="169">
        <v>-7101.81</v>
      </c>
      <c r="J546" s="169">
        <v>-36752.14</v>
      </c>
      <c r="K546" s="169">
        <v>-50484.82</v>
      </c>
      <c r="L546" s="169">
        <v>60628.13</v>
      </c>
      <c r="M546" s="169">
        <v>-41055.4</v>
      </c>
      <c r="N546" s="50">
        <v>10321.0</v>
      </c>
      <c r="O546" s="111">
        <v>22.0</v>
      </c>
      <c r="P546" s="168">
        <v>3.0</v>
      </c>
    </row>
    <row r="547">
      <c r="A547" s="160">
        <v>32.0</v>
      </c>
      <c r="B547" s="160">
        <v>18.0</v>
      </c>
      <c r="C547" s="170">
        <v>7543.0</v>
      </c>
      <c r="D547" s="168">
        <v>216.0</v>
      </c>
      <c r="E547" s="24">
        <v>58.0</v>
      </c>
      <c r="F547" s="169">
        <v>-99620.34</v>
      </c>
      <c r="G547" s="169">
        <v>23520.14</v>
      </c>
      <c r="H547" s="169">
        <v>95954.0</v>
      </c>
      <c r="I547" s="169">
        <v>64312.7</v>
      </c>
      <c r="J547" s="169">
        <v>71535.18</v>
      </c>
      <c r="K547" s="169">
        <v>66477.0</v>
      </c>
      <c r="L547" s="169">
        <v>98991.61</v>
      </c>
      <c r="M547" s="169">
        <v>-45640.65</v>
      </c>
      <c r="N547" s="50">
        <v>21818.0</v>
      </c>
      <c r="O547" s="111">
        <v>20.0</v>
      </c>
      <c r="P547" s="168">
        <v>1.0</v>
      </c>
    </row>
    <row r="548">
      <c r="A548" s="160">
        <v>32.0</v>
      </c>
      <c r="B548" s="160">
        <v>16.0</v>
      </c>
      <c r="C548" s="170">
        <v>7544.0</v>
      </c>
      <c r="D548" s="168">
        <v>215.0</v>
      </c>
      <c r="E548" s="24">
        <v>32.0</v>
      </c>
      <c r="F548" s="169">
        <v>-25695.93</v>
      </c>
      <c r="G548" s="169">
        <v>-88199.03</v>
      </c>
      <c r="H548" s="169">
        <v>-70098.45</v>
      </c>
      <c r="I548" s="169">
        <v>-54820.65</v>
      </c>
      <c r="J548" s="169">
        <v>11743.92</v>
      </c>
      <c r="K548" s="169">
        <v>75252.66</v>
      </c>
      <c r="L548" s="169">
        <v>24735.22</v>
      </c>
      <c r="M548" s="169">
        <v>-59675.5</v>
      </c>
      <c r="N548" s="50">
        <v>102617.0</v>
      </c>
      <c r="O548" s="111">
        <v>21.0</v>
      </c>
      <c r="P548" s="168">
        <v>9.0</v>
      </c>
    </row>
    <row r="549">
      <c r="A549" s="160">
        <v>93.0</v>
      </c>
      <c r="B549" s="160">
        <v>67.0</v>
      </c>
      <c r="C549" s="147">
        <v>7545.0</v>
      </c>
      <c r="D549" s="168">
        <v>210.0</v>
      </c>
      <c r="E549" s="24">
        <v>69.0</v>
      </c>
      <c r="F549" s="169">
        <v>71459.1</v>
      </c>
      <c r="G549" s="169">
        <v>-44455.15</v>
      </c>
      <c r="H549" s="169">
        <v>-69943.17</v>
      </c>
      <c r="I549" s="169">
        <v>65772.34</v>
      </c>
      <c r="J549" s="169">
        <v>-1325.24</v>
      </c>
      <c r="K549" s="169">
        <v>68728.9</v>
      </c>
      <c r="L549" s="169">
        <v>93856.28</v>
      </c>
      <c r="M549" s="169">
        <v>65786.29</v>
      </c>
      <c r="N549" s="50">
        <v>102019.0</v>
      </c>
      <c r="O549" s="111">
        <v>22.0</v>
      </c>
      <c r="P549" s="168">
        <v>1.0</v>
      </c>
    </row>
    <row r="550">
      <c r="A550" s="160">
        <v>11.0</v>
      </c>
      <c r="B550" s="160">
        <v>76.0</v>
      </c>
      <c r="C550" s="170">
        <v>7546.0</v>
      </c>
      <c r="D550" s="168">
        <v>217.0</v>
      </c>
      <c r="E550" s="24">
        <v>64.0</v>
      </c>
      <c r="F550" s="169">
        <v>76512.27</v>
      </c>
      <c r="G550" s="169">
        <v>75485.83</v>
      </c>
      <c r="H550" s="169">
        <v>53568.99</v>
      </c>
      <c r="I550" s="169">
        <v>-81274.26</v>
      </c>
      <c r="J550" s="169">
        <v>4203.46</v>
      </c>
      <c r="K550" s="169">
        <v>-12470.92</v>
      </c>
      <c r="L550" s="169">
        <v>-47561.86</v>
      </c>
      <c r="M550" s="169">
        <v>-82634.01</v>
      </c>
      <c r="N550" s="50">
        <v>70819.0</v>
      </c>
      <c r="O550" s="111">
        <v>20.0</v>
      </c>
      <c r="P550" s="168">
        <v>6.0</v>
      </c>
    </row>
    <row r="551">
      <c r="A551" s="160">
        <v>93.0</v>
      </c>
      <c r="B551" s="160">
        <v>71.0</v>
      </c>
      <c r="C551" s="170">
        <v>7547.0</v>
      </c>
      <c r="D551" s="168">
        <v>206.0</v>
      </c>
      <c r="E551" s="24">
        <v>65.0</v>
      </c>
      <c r="F551" s="169">
        <v>91393.82</v>
      </c>
      <c r="G551" s="169">
        <v>-76537.49</v>
      </c>
      <c r="H551" s="169">
        <v>-56067.67</v>
      </c>
      <c r="I551" s="169">
        <v>-86004.81</v>
      </c>
      <c r="J551" s="169">
        <v>61488.29</v>
      </c>
      <c r="K551" s="169">
        <v>-65795.95</v>
      </c>
      <c r="L551" s="169">
        <v>-34355.72</v>
      </c>
      <c r="M551" s="169">
        <v>62624.24</v>
      </c>
      <c r="N551" s="50">
        <v>40121.0</v>
      </c>
      <c r="O551" s="111">
        <v>23.0</v>
      </c>
      <c r="P551" s="168">
        <v>8.0</v>
      </c>
    </row>
    <row r="552">
      <c r="A552" s="160">
        <v>11.0</v>
      </c>
      <c r="B552" s="160">
        <v>80.0</v>
      </c>
      <c r="C552" s="170">
        <v>7548.0</v>
      </c>
      <c r="D552" s="168">
        <v>217.0</v>
      </c>
      <c r="E552" s="24">
        <v>62.0</v>
      </c>
      <c r="F552" s="169">
        <v>17013.79</v>
      </c>
      <c r="G552" s="169">
        <v>-88890.25</v>
      </c>
      <c r="H552" s="169">
        <v>-47689.1</v>
      </c>
      <c r="I552" s="169">
        <v>-15621.49</v>
      </c>
      <c r="J552" s="169">
        <v>77047.72</v>
      </c>
      <c r="K552" s="169">
        <v>43201.75</v>
      </c>
      <c r="L552" s="169">
        <v>-90089.6</v>
      </c>
      <c r="M552" s="169">
        <v>-78996.27</v>
      </c>
      <c r="N552" s="50">
        <v>101719.0</v>
      </c>
      <c r="O552" s="111">
        <v>20.0</v>
      </c>
      <c r="P552" s="168">
        <v>8.0</v>
      </c>
    </row>
    <row r="553">
      <c r="A553" s="160">
        <v>11.0</v>
      </c>
      <c r="B553" s="160">
        <v>81.0</v>
      </c>
      <c r="C553" s="170">
        <v>7549.0</v>
      </c>
      <c r="D553" s="168">
        <v>210.0</v>
      </c>
      <c r="E553" s="24">
        <v>89.0</v>
      </c>
      <c r="F553" s="169">
        <v>-18237.01</v>
      </c>
      <c r="G553" s="169">
        <v>65611.41</v>
      </c>
      <c r="H553" s="169">
        <v>30698.08</v>
      </c>
      <c r="I553" s="169">
        <v>-62024.61</v>
      </c>
      <c r="J553" s="169">
        <v>-79472.98</v>
      </c>
      <c r="K553" s="169">
        <v>-20307.34</v>
      </c>
      <c r="L553" s="169">
        <v>-36730.69</v>
      </c>
      <c r="M553" s="169">
        <v>-92866.56</v>
      </c>
      <c r="N553" s="50">
        <v>31417.0</v>
      </c>
      <c r="O553" s="111">
        <v>20.0</v>
      </c>
      <c r="P553" s="168">
        <v>7.0</v>
      </c>
    </row>
    <row r="554">
      <c r="A554" s="160">
        <v>93.0</v>
      </c>
      <c r="B554" s="160">
        <v>75.0</v>
      </c>
      <c r="C554" s="147">
        <v>7550.0</v>
      </c>
      <c r="D554" s="168">
        <v>206.0</v>
      </c>
      <c r="E554" s="24">
        <v>50.0</v>
      </c>
      <c r="F554" s="169">
        <v>8902.13</v>
      </c>
      <c r="G554" s="169">
        <v>-78293.09</v>
      </c>
      <c r="H554" s="169">
        <v>45000.38</v>
      </c>
      <c r="I554" s="169">
        <v>-21192.19</v>
      </c>
      <c r="J554" s="169">
        <v>-54906.05</v>
      </c>
      <c r="K554" s="169">
        <v>78714.51</v>
      </c>
      <c r="L554" s="169">
        <v>16579.16</v>
      </c>
      <c r="M554" s="169">
        <v>38454.07</v>
      </c>
      <c r="N554" s="50">
        <v>102117.0</v>
      </c>
      <c r="O554" s="111">
        <v>22.0</v>
      </c>
      <c r="P554" s="168">
        <v>4.0</v>
      </c>
    </row>
    <row r="555">
      <c r="A555" s="160">
        <v>52.0</v>
      </c>
      <c r="B555" s="160">
        <v>79.0</v>
      </c>
      <c r="C555" s="170">
        <v>7551.0</v>
      </c>
      <c r="D555" s="168">
        <v>218.0</v>
      </c>
      <c r="E555" s="24">
        <v>50.0</v>
      </c>
      <c r="F555" s="169">
        <v>-93444.3</v>
      </c>
      <c r="G555" s="169">
        <v>45501.56</v>
      </c>
      <c r="H555" s="169">
        <v>-29937.88</v>
      </c>
      <c r="I555" s="169">
        <v>-12920.92</v>
      </c>
      <c r="J555" s="169">
        <v>31205.29</v>
      </c>
      <c r="K555" s="169">
        <v>-72914.46</v>
      </c>
      <c r="L555" s="169">
        <v>-695.29</v>
      </c>
      <c r="M555" s="169">
        <v>-52999.3</v>
      </c>
      <c r="N555" s="50">
        <v>30822.0</v>
      </c>
      <c r="O555" s="111">
        <v>23.0</v>
      </c>
      <c r="P555" s="168">
        <v>5.0</v>
      </c>
    </row>
    <row r="556">
      <c r="A556" s="160">
        <v>52.0</v>
      </c>
      <c r="B556" s="160">
        <v>81.0</v>
      </c>
      <c r="C556" s="170">
        <v>7552.0</v>
      </c>
      <c r="D556" s="168">
        <v>213.0</v>
      </c>
      <c r="E556" s="24">
        <v>38.0</v>
      </c>
      <c r="F556" s="169">
        <v>2069.05</v>
      </c>
      <c r="G556" s="169">
        <v>1312.84</v>
      </c>
      <c r="H556" s="169">
        <v>-87418.21</v>
      </c>
      <c r="I556" s="169">
        <v>-62256.05</v>
      </c>
      <c r="J556" s="169">
        <v>-81523.73</v>
      </c>
      <c r="K556" s="169">
        <v>50718.49</v>
      </c>
      <c r="L556" s="169">
        <v>83510.21</v>
      </c>
      <c r="M556" s="169">
        <v>48722.78</v>
      </c>
      <c r="N556" s="50">
        <v>33114.0</v>
      </c>
      <c r="O556" s="111">
        <v>21.0</v>
      </c>
      <c r="P556" s="168">
        <v>3.0</v>
      </c>
    </row>
    <row r="557">
      <c r="A557" s="160">
        <v>73.0</v>
      </c>
      <c r="B557" s="160">
        <v>29.0</v>
      </c>
      <c r="C557" s="170">
        <v>7553.0</v>
      </c>
      <c r="D557" s="168">
        <v>205.0</v>
      </c>
      <c r="E557" s="24">
        <v>43.0</v>
      </c>
      <c r="F557" s="169">
        <v>-51390.78</v>
      </c>
      <c r="G557" s="169">
        <v>-99335.48</v>
      </c>
      <c r="H557" s="169">
        <v>-84875.38</v>
      </c>
      <c r="I557" s="169">
        <v>-77645.29</v>
      </c>
      <c r="J557" s="169">
        <v>72961.38</v>
      </c>
      <c r="K557" s="169">
        <v>23572.87</v>
      </c>
      <c r="L557" s="169">
        <v>77476.61</v>
      </c>
      <c r="M557" s="169">
        <v>-65527.85</v>
      </c>
      <c r="N557" s="50">
        <v>82616.0</v>
      </c>
      <c r="O557" s="111">
        <v>20.0</v>
      </c>
      <c r="P557" s="168">
        <v>4.0</v>
      </c>
    </row>
    <row r="558">
      <c r="A558" s="160">
        <v>73.0</v>
      </c>
      <c r="B558" s="160">
        <v>30.0</v>
      </c>
      <c r="C558" s="170">
        <v>7554.0</v>
      </c>
      <c r="D558" s="168">
        <v>209.0</v>
      </c>
      <c r="E558" s="24">
        <v>28.0</v>
      </c>
      <c r="F558" s="169">
        <v>46878.63</v>
      </c>
      <c r="G558" s="169">
        <v>59652.06</v>
      </c>
      <c r="H558" s="169">
        <v>-70337.94</v>
      </c>
      <c r="I558" s="169">
        <v>64776.57</v>
      </c>
      <c r="J558" s="169">
        <v>-69340.01</v>
      </c>
      <c r="K558" s="169">
        <v>96535.55</v>
      </c>
      <c r="L558" s="169">
        <v>18761.91</v>
      </c>
      <c r="M558" s="169">
        <v>38141.31</v>
      </c>
      <c r="N558" s="50">
        <v>72519.0</v>
      </c>
      <c r="O558" s="111">
        <v>23.0</v>
      </c>
      <c r="P558" s="168">
        <v>5.0</v>
      </c>
    </row>
    <row r="559">
      <c r="A559" s="160">
        <v>32.0</v>
      </c>
      <c r="B559" s="160">
        <v>37.0</v>
      </c>
      <c r="C559" s="147">
        <v>7555.0</v>
      </c>
      <c r="D559" s="168">
        <v>212.0</v>
      </c>
      <c r="E559" s="24">
        <v>99.0</v>
      </c>
      <c r="F559" s="169">
        <v>-14564.2</v>
      </c>
      <c r="G559" s="169">
        <v>-19816.63</v>
      </c>
      <c r="H559" s="169">
        <v>74117.62</v>
      </c>
      <c r="I559" s="169">
        <v>-66962.1</v>
      </c>
      <c r="J559" s="169">
        <v>389.25</v>
      </c>
      <c r="K559" s="169">
        <v>98246.67</v>
      </c>
      <c r="L559" s="169">
        <v>8734.54</v>
      </c>
      <c r="M559" s="169">
        <v>-98327.13</v>
      </c>
      <c r="N559" s="50">
        <v>21217.0</v>
      </c>
      <c r="O559" s="111">
        <v>20.0</v>
      </c>
      <c r="P559" s="168">
        <v>1.0</v>
      </c>
    </row>
    <row r="560">
      <c r="A560" s="160">
        <v>11.0</v>
      </c>
      <c r="B560" s="160">
        <v>90.0</v>
      </c>
      <c r="C560" s="170">
        <v>7556.0</v>
      </c>
      <c r="D560" s="168">
        <v>206.0</v>
      </c>
      <c r="E560" s="24">
        <v>59.0</v>
      </c>
      <c r="F560" s="169">
        <v>-55109.65</v>
      </c>
      <c r="G560" s="169">
        <v>-245.29</v>
      </c>
      <c r="H560" s="169">
        <v>73099.59</v>
      </c>
      <c r="I560" s="169">
        <v>39736.06</v>
      </c>
      <c r="J560" s="169">
        <v>-15384.86</v>
      </c>
      <c r="K560" s="169">
        <v>80436.71</v>
      </c>
      <c r="L560" s="169">
        <v>44033.3</v>
      </c>
      <c r="M560" s="169">
        <v>95918.11</v>
      </c>
      <c r="N560" s="50">
        <v>11418.0</v>
      </c>
      <c r="O560" s="111">
        <v>20.0</v>
      </c>
      <c r="P560" s="168">
        <v>9.0</v>
      </c>
    </row>
    <row r="561">
      <c r="A561" s="160">
        <v>32.0</v>
      </c>
      <c r="B561" s="160">
        <v>38.0</v>
      </c>
      <c r="C561" s="170">
        <v>7557.0</v>
      </c>
      <c r="D561" s="168">
        <v>211.0</v>
      </c>
      <c r="E561" s="24">
        <v>87.0</v>
      </c>
      <c r="F561" s="169">
        <v>-35715.25</v>
      </c>
      <c r="G561" s="169">
        <v>22488.59</v>
      </c>
      <c r="H561" s="169">
        <v>82087.53</v>
      </c>
      <c r="I561" s="169">
        <v>66432.35</v>
      </c>
      <c r="J561" s="169">
        <v>-35710.78</v>
      </c>
      <c r="K561" s="169">
        <v>44338.4</v>
      </c>
      <c r="L561" s="169">
        <v>21870.45</v>
      </c>
      <c r="M561" s="169">
        <v>-92215.43</v>
      </c>
      <c r="N561" s="50">
        <v>82122.0</v>
      </c>
      <c r="O561" s="111">
        <v>21.0</v>
      </c>
      <c r="P561" s="168">
        <v>3.0</v>
      </c>
    </row>
    <row r="562">
      <c r="A562" s="160">
        <v>52.0</v>
      </c>
      <c r="B562" s="160">
        <v>89.0</v>
      </c>
      <c r="C562" s="170">
        <v>7558.0</v>
      </c>
      <c r="D562" s="168">
        <v>204.0</v>
      </c>
      <c r="E562" s="24">
        <v>66.0</v>
      </c>
      <c r="F562" s="169">
        <v>87121.49</v>
      </c>
      <c r="G562" s="169">
        <v>13093.79</v>
      </c>
      <c r="H562" s="169">
        <v>98469.0</v>
      </c>
      <c r="I562" s="169">
        <v>-52618.4</v>
      </c>
      <c r="J562" s="169">
        <v>31609.06</v>
      </c>
      <c r="K562" s="169">
        <v>74381.97</v>
      </c>
      <c r="L562" s="169">
        <v>-96633.54</v>
      </c>
      <c r="M562" s="169">
        <v>90113.93</v>
      </c>
      <c r="N562" s="50">
        <v>52614.0</v>
      </c>
      <c r="O562" s="111">
        <v>21.0</v>
      </c>
      <c r="P562" s="168">
        <v>8.0</v>
      </c>
    </row>
    <row r="563">
      <c r="A563" s="160">
        <v>32.0</v>
      </c>
      <c r="B563" s="160">
        <v>42.0</v>
      </c>
      <c r="C563" s="170">
        <v>7559.0</v>
      </c>
      <c r="D563" s="168">
        <v>220.0</v>
      </c>
      <c r="E563" s="24">
        <v>94.0</v>
      </c>
      <c r="F563" s="169">
        <v>-92046.46</v>
      </c>
      <c r="G563" s="169">
        <v>6438.4</v>
      </c>
      <c r="H563" s="169">
        <v>-35022.92</v>
      </c>
      <c r="I563" s="169">
        <v>64593.21</v>
      </c>
      <c r="J563" s="169">
        <v>76284.48</v>
      </c>
      <c r="K563" s="169">
        <v>37936.66</v>
      </c>
      <c r="L563" s="169">
        <v>-52490.2</v>
      </c>
      <c r="M563" s="169">
        <v>89997.34</v>
      </c>
      <c r="N563" s="50">
        <v>90818.0</v>
      </c>
      <c r="O563" s="111">
        <v>20.0</v>
      </c>
      <c r="P563" s="168">
        <v>6.0</v>
      </c>
    </row>
    <row r="564">
      <c r="A564" s="160">
        <v>52.0</v>
      </c>
      <c r="B564" s="160">
        <v>91.0</v>
      </c>
      <c r="C564" s="147">
        <v>7560.0</v>
      </c>
      <c r="D564" s="168">
        <v>215.0</v>
      </c>
      <c r="E564" s="24">
        <v>88.0</v>
      </c>
      <c r="F564" s="169">
        <v>89618.46</v>
      </c>
      <c r="G564" s="169">
        <v>-9764.61</v>
      </c>
      <c r="H564" s="169">
        <v>-35432.37</v>
      </c>
      <c r="I564" s="169">
        <v>13909.79</v>
      </c>
      <c r="J564" s="169">
        <v>-38858.08</v>
      </c>
      <c r="K564" s="169">
        <v>73735.54</v>
      </c>
      <c r="L564" s="169">
        <v>-91433.84</v>
      </c>
      <c r="M564" s="169">
        <v>-97343.67</v>
      </c>
      <c r="N564" s="50">
        <v>122822.0</v>
      </c>
      <c r="O564" s="111">
        <v>21.0</v>
      </c>
      <c r="P564" s="168">
        <v>9.0</v>
      </c>
    </row>
    <row r="565">
      <c r="A565" s="160">
        <v>11.0</v>
      </c>
      <c r="B565" s="160">
        <v>96.0</v>
      </c>
      <c r="C565" s="170">
        <v>7561.0</v>
      </c>
      <c r="D565" s="168">
        <v>211.0</v>
      </c>
      <c r="E565" s="24">
        <v>54.0</v>
      </c>
      <c r="F565" s="169">
        <v>98488.33</v>
      </c>
      <c r="G565" s="169">
        <v>14901.8</v>
      </c>
      <c r="H565" s="169">
        <v>-40924.92</v>
      </c>
      <c r="I565" s="169">
        <v>33864.24</v>
      </c>
      <c r="J565" s="169">
        <v>84801.65</v>
      </c>
      <c r="K565" s="169">
        <v>-51897.77</v>
      </c>
      <c r="L565" s="169">
        <v>94294.86</v>
      </c>
      <c r="M565" s="169">
        <v>74124.29</v>
      </c>
      <c r="N565" s="50">
        <v>122114.0</v>
      </c>
      <c r="O565" s="111">
        <v>20.0</v>
      </c>
      <c r="P565" s="168">
        <v>7.0</v>
      </c>
    </row>
    <row r="566">
      <c r="A566" s="160">
        <v>11.0</v>
      </c>
      <c r="B566" s="160">
        <v>97.0</v>
      </c>
      <c r="C566" s="170">
        <v>7562.0</v>
      </c>
      <c r="D566" s="168">
        <v>208.0</v>
      </c>
      <c r="E566" s="24">
        <v>50.0</v>
      </c>
      <c r="F566" s="169">
        <v>-19753.23</v>
      </c>
      <c r="G566" s="169">
        <v>-79289.89</v>
      </c>
      <c r="H566" s="169">
        <v>99308.3</v>
      </c>
      <c r="I566" s="169">
        <v>68314.35</v>
      </c>
      <c r="J566" s="169">
        <v>-21968.1</v>
      </c>
      <c r="K566" s="169">
        <v>-83292.29</v>
      </c>
      <c r="L566" s="169">
        <v>-39857.1</v>
      </c>
      <c r="M566" s="169">
        <v>12473.69</v>
      </c>
      <c r="N566" s="50">
        <v>52413.0</v>
      </c>
      <c r="O566" s="111">
        <v>22.0</v>
      </c>
      <c r="P566" s="168">
        <v>7.0</v>
      </c>
    </row>
    <row r="567">
      <c r="A567" s="160">
        <v>11.0</v>
      </c>
      <c r="B567" s="160">
        <v>98.0</v>
      </c>
      <c r="C567" s="170">
        <v>7563.0</v>
      </c>
      <c r="D567" s="168">
        <v>213.0</v>
      </c>
      <c r="E567" s="24">
        <v>57.0</v>
      </c>
      <c r="F567" s="169">
        <v>92405.28</v>
      </c>
      <c r="G567" s="169">
        <v>-86567.02</v>
      </c>
      <c r="H567" s="169">
        <v>-94996.13</v>
      </c>
      <c r="I567" s="169">
        <v>-21608.87</v>
      </c>
      <c r="J567" s="169">
        <v>-54456.74</v>
      </c>
      <c r="K567" s="169">
        <v>-58100.61</v>
      </c>
      <c r="L567" s="169">
        <v>-57577.72</v>
      </c>
      <c r="M567" s="169">
        <v>-9631.78</v>
      </c>
      <c r="N567" s="50">
        <v>81221.0</v>
      </c>
      <c r="O567" s="111">
        <v>20.0</v>
      </c>
      <c r="P567" s="168">
        <v>3.0</v>
      </c>
    </row>
    <row r="568">
      <c r="A568" s="160">
        <v>73.0</v>
      </c>
      <c r="B568" s="160">
        <v>43.0</v>
      </c>
      <c r="C568" s="170">
        <v>7564.0</v>
      </c>
      <c r="D568" s="168">
        <v>202.0</v>
      </c>
      <c r="E568" s="24">
        <v>38.0</v>
      </c>
      <c r="F568" s="169">
        <v>22676.97</v>
      </c>
      <c r="G568" s="169">
        <v>-21100.62</v>
      </c>
      <c r="H568" s="169">
        <v>-27476.63</v>
      </c>
      <c r="I568" s="169">
        <v>-26366.59</v>
      </c>
      <c r="J568" s="169">
        <v>71993.8</v>
      </c>
      <c r="K568" s="169">
        <v>68691.95</v>
      </c>
      <c r="L568" s="169">
        <v>4805.43</v>
      </c>
      <c r="M568" s="169">
        <v>24339.14</v>
      </c>
      <c r="N568" s="50">
        <v>21615.0</v>
      </c>
      <c r="O568" s="111">
        <v>23.0</v>
      </c>
      <c r="P568" s="168">
        <v>4.0</v>
      </c>
    </row>
    <row r="569">
      <c r="A569" s="160">
        <v>11.0</v>
      </c>
      <c r="B569" s="160">
        <v>95.0</v>
      </c>
      <c r="C569" s="147">
        <v>7565.0</v>
      </c>
      <c r="D569" s="168">
        <v>207.0</v>
      </c>
      <c r="E569" s="24">
        <v>75.0</v>
      </c>
      <c r="F569" s="169">
        <v>-94869.23</v>
      </c>
      <c r="G569" s="169">
        <v>32699.95</v>
      </c>
      <c r="H569" s="169">
        <v>-5533.93</v>
      </c>
      <c r="I569" s="169">
        <v>21078.76</v>
      </c>
      <c r="J569" s="169">
        <v>44227.89</v>
      </c>
      <c r="K569" s="169">
        <v>-62541.03</v>
      </c>
      <c r="L569" s="169">
        <v>10583.55</v>
      </c>
      <c r="M569" s="169">
        <v>-17581.99</v>
      </c>
      <c r="N569" s="50">
        <v>101516.0</v>
      </c>
      <c r="O569" s="111">
        <v>21.0</v>
      </c>
      <c r="P569" s="168">
        <v>5.0</v>
      </c>
    </row>
    <row r="570">
      <c r="A570" s="160">
        <v>73.0</v>
      </c>
      <c r="B570" s="160">
        <v>41.0</v>
      </c>
      <c r="C570" s="170">
        <v>7566.0</v>
      </c>
      <c r="D570" s="168">
        <v>207.0</v>
      </c>
      <c r="E570" s="24">
        <v>52.0</v>
      </c>
      <c r="F570" s="169">
        <v>-11427.14</v>
      </c>
      <c r="G570" s="169">
        <v>-35510.56</v>
      </c>
      <c r="H570" s="169">
        <v>-84734.07</v>
      </c>
      <c r="I570" s="169">
        <v>57473.47</v>
      </c>
      <c r="J570" s="169">
        <v>-93413.12</v>
      </c>
      <c r="K570" s="169">
        <v>-98129.26</v>
      </c>
      <c r="L570" s="169">
        <v>64571.52</v>
      </c>
      <c r="M570" s="169">
        <v>71490.66</v>
      </c>
      <c r="N570" s="50">
        <v>21416.0</v>
      </c>
      <c r="O570" s="111">
        <v>21.0</v>
      </c>
      <c r="P570" s="168">
        <v>7.0</v>
      </c>
    </row>
    <row r="571">
      <c r="A571" s="160">
        <v>73.0</v>
      </c>
      <c r="B571" s="160">
        <v>46.0</v>
      </c>
      <c r="C571" s="170">
        <v>7567.0</v>
      </c>
      <c r="D571" s="168">
        <v>204.0</v>
      </c>
      <c r="E571" s="24">
        <v>28.0</v>
      </c>
      <c r="F571" s="169">
        <v>35493.01</v>
      </c>
      <c r="G571" s="169">
        <v>83114.34</v>
      </c>
      <c r="H571" s="169">
        <v>-25423.11</v>
      </c>
      <c r="I571" s="169">
        <v>-71177.68</v>
      </c>
      <c r="J571" s="169">
        <v>-37539.72</v>
      </c>
      <c r="K571" s="169">
        <v>45841.39</v>
      </c>
      <c r="L571" s="169">
        <v>91885.31</v>
      </c>
      <c r="M571" s="169">
        <v>-41275.79</v>
      </c>
      <c r="N571" s="50">
        <v>91116.0</v>
      </c>
      <c r="O571" s="111">
        <v>23.0</v>
      </c>
      <c r="P571" s="168">
        <v>3.0</v>
      </c>
    </row>
    <row r="572">
      <c r="A572" s="160">
        <v>93.0</v>
      </c>
      <c r="B572" s="160">
        <v>94.0</v>
      </c>
      <c r="C572" s="170">
        <v>7568.0</v>
      </c>
      <c r="D572" s="168">
        <v>209.0</v>
      </c>
      <c r="E572" s="24">
        <v>62.0</v>
      </c>
      <c r="F572" s="169">
        <v>97952.7</v>
      </c>
      <c r="G572" s="169">
        <v>-63276.14</v>
      </c>
      <c r="H572" s="169">
        <v>-12154.2</v>
      </c>
      <c r="I572" s="169">
        <v>72239.78</v>
      </c>
      <c r="J572" s="169">
        <v>-4548.58</v>
      </c>
      <c r="K572" s="169">
        <v>53669.54</v>
      </c>
      <c r="L572" s="169">
        <v>97231.26</v>
      </c>
      <c r="M572" s="169">
        <v>-67974.27</v>
      </c>
      <c r="N572" s="50">
        <v>42215.0</v>
      </c>
      <c r="O572" s="111">
        <v>22.0</v>
      </c>
      <c r="P572" s="168">
        <v>7.0</v>
      </c>
    </row>
    <row r="573">
      <c r="A573" s="160">
        <v>52.0</v>
      </c>
      <c r="B573" s="160">
        <v>98.0</v>
      </c>
      <c r="C573" s="170">
        <v>7569.0</v>
      </c>
      <c r="D573" s="168">
        <v>208.0</v>
      </c>
      <c r="E573" s="24">
        <v>40.0</v>
      </c>
      <c r="F573" s="169">
        <v>78145.68</v>
      </c>
      <c r="G573" s="169">
        <v>-90961.39</v>
      </c>
      <c r="H573" s="169">
        <v>-58835.0</v>
      </c>
      <c r="I573" s="169">
        <v>-65277.38</v>
      </c>
      <c r="J573" s="169">
        <v>24212.12</v>
      </c>
      <c r="K573" s="169">
        <v>48219.25</v>
      </c>
      <c r="L573" s="169">
        <v>-38386.01</v>
      </c>
      <c r="M573" s="169">
        <v>31411.84</v>
      </c>
      <c r="N573" s="50">
        <v>111316.0</v>
      </c>
      <c r="O573" s="111">
        <v>22.0</v>
      </c>
      <c r="P573" s="168">
        <v>5.0</v>
      </c>
    </row>
    <row r="574">
      <c r="A574" s="160">
        <v>52.0</v>
      </c>
      <c r="B574" s="160">
        <v>92.0</v>
      </c>
      <c r="C574" s="147">
        <v>7570.0</v>
      </c>
      <c r="D574" s="168">
        <v>212.0</v>
      </c>
      <c r="E574" s="24">
        <v>21.0</v>
      </c>
      <c r="F574" s="169">
        <v>-9558.08</v>
      </c>
      <c r="G574" s="169">
        <v>-88601.41</v>
      </c>
      <c r="H574" s="169">
        <v>41081.2</v>
      </c>
      <c r="I574" s="169">
        <v>-93328.2</v>
      </c>
      <c r="J574" s="169">
        <v>-74626.62</v>
      </c>
      <c r="K574" s="169">
        <v>-88571.26</v>
      </c>
      <c r="L574" s="169">
        <v>-65555.19</v>
      </c>
      <c r="M574" s="169">
        <v>13626.8</v>
      </c>
      <c r="N574" s="50">
        <v>62815.0</v>
      </c>
      <c r="O574" s="111">
        <v>23.0</v>
      </c>
      <c r="P574" s="168">
        <v>7.0</v>
      </c>
    </row>
    <row r="575">
      <c r="A575" s="160">
        <v>12.0</v>
      </c>
      <c r="B575" s="160">
        <v>6.0</v>
      </c>
      <c r="C575" s="170">
        <v>7571.0</v>
      </c>
      <c r="D575" s="168">
        <v>201.0</v>
      </c>
      <c r="E575" s="24">
        <v>66.0</v>
      </c>
      <c r="F575" s="169">
        <v>-68827.31</v>
      </c>
      <c r="G575" s="169">
        <v>-65255.02</v>
      </c>
      <c r="H575" s="169">
        <v>12263.76</v>
      </c>
      <c r="I575" s="169">
        <v>-21140.57</v>
      </c>
      <c r="J575" s="169">
        <v>48499.66</v>
      </c>
      <c r="K575" s="169">
        <v>-15327.46</v>
      </c>
      <c r="L575" s="169">
        <v>-50972.45</v>
      </c>
      <c r="M575" s="169">
        <v>-3159.84</v>
      </c>
      <c r="N575" s="50">
        <v>43015.0</v>
      </c>
      <c r="O575" s="111">
        <v>21.0</v>
      </c>
      <c r="P575" s="168">
        <v>2.0</v>
      </c>
    </row>
    <row r="576">
      <c r="A576" s="160">
        <v>73.0</v>
      </c>
      <c r="B576" s="160">
        <v>51.0</v>
      </c>
      <c r="C576" s="170">
        <v>7572.0</v>
      </c>
      <c r="D576" s="168">
        <v>217.0</v>
      </c>
      <c r="E576" s="24">
        <v>49.0</v>
      </c>
      <c r="F576" s="169">
        <v>-5276.09</v>
      </c>
      <c r="G576" s="169">
        <v>11453.8</v>
      </c>
      <c r="H576" s="169">
        <v>38100.91</v>
      </c>
      <c r="I576" s="169">
        <v>75837.02</v>
      </c>
      <c r="J576" s="169">
        <v>-33274.94</v>
      </c>
      <c r="K576" s="169">
        <v>57325.56</v>
      </c>
      <c r="L576" s="169">
        <v>-67112.2</v>
      </c>
      <c r="M576" s="169">
        <v>-25814.81</v>
      </c>
      <c r="N576" s="50">
        <v>32213.0</v>
      </c>
      <c r="O576" s="111">
        <v>20.0</v>
      </c>
      <c r="P576" s="168">
        <v>1.0</v>
      </c>
    </row>
    <row r="577">
      <c r="A577" s="160">
        <v>53.0</v>
      </c>
      <c r="B577" s="160">
        <v>9.0</v>
      </c>
      <c r="C577" s="170">
        <v>7573.0</v>
      </c>
      <c r="D577" s="168">
        <v>206.0</v>
      </c>
      <c r="E577" s="24">
        <v>21.0</v>
      </c>
      <c r="F577" s="169">
        <v>-70943.72</v>
      </c>
      <c r="G577" s="169">
        <v>91509.12</v>
      </c>
      <c r="H577" s="169">
        <v>29441.71</v>
      </c>
      <c r="I577" s="169">
        <v>83169.3</v>
      </c>
      <c r="J577" s="169">
        <v>70148.82</v>
      </c>
      <c r="K577" s="169">
        <v>-70224.27</v>
      </c>
      <c r="L577" s="169">
        <v>-79643.14</v>
      </c>
      <c r="M577" s="169">
        <v>31555.23</v>
      </c>
      <c r="N577" s="50">
        <v>32513.0</v>
      </c>
      <c r="O577" s="111">
        <v>21.0</v>
      </c>
      <c r="P577" s="168">
        <v>4.0</v>
      </c>
    </row>
    <row r="578">
      <c r="A578" s="160">
        <v>12.0</v>
      </c>
      <c r="B578" s="160">
        <v>15.0</v>
      </c>
      <c r="C578" s="170">
        <v>7574.0</v>
      </c>
      <c r="D578" s="168">
        <v>211.0</v>
      </c>
      <c r="E578" s="24">
        <v>80.0</v>
      </c>
      <c r="F578" s="169">
        <v>-50899.88</v>
      </c>
      <c r="G578" s="169">
        <v>48682.69</v>
      </c>
      <c r="H578" s="169">
        <v>-45790.48</v>
      </c>
      <c r="I578" s="169">
        <v>23642.56</v>
      </c>
      <c r="J578" s="169">
        <v>-71228.51</v>
      </c>
      <c r="K578" s="169">
        <v>-29946.75</v>
      </c>
      <c r="L578" s="169">
        <v>16862.52</v>
      </c>
      <c r="M578" s="169">
        <v>55793.96</v>
      </c>
      <c r="N578" s="50">
        <v>71018.0</v>
      </c>
      <c r="O578" s="111">
        <v>21.0</v>
      </c>
      <c r="P578" s="168">
        <v>9.0</v>
      </c>
    </row>
    <row r="579">
      <c r="A579" s="160">
        <v>12.0</v>
      </c>
      <c r="B579" s="160">
        <v>16.0</v>
      </c>
      <c r="C579" s="147">
        <v>7575.0</v>
      </c>
      <c r="D579" s="168">
        <v>204.0</v>
      </c>
      <c r="E579" s="24">
        <v>14.0</v>
      </c>
      <c r="F579" s="169">
        <v>-58573.25</v>
      </c>
      <c r="G579" s="169">
        <v>66586.19</v>
      </c>
      <c r="H579" s="169">
        <v>28937.55</v>
      </c>
      <c r="I579" s="169">
        <v>-91898.16</v>
      </c>
      <c r="J579" s="169">
        <v>1662.25</v>
      </c>
      <c r="K579" s="169">
        <v>-69229.78</v>
      </c>
      <c r="L579" s="169">
        <v>-17052.4</v>
      </c>
      <c r="M579" s="169">
        <v>481.71</v>
      </c>
      <c r="N579" s="50">
        <v>60517.0</v>
      </c>
      <c r="O579" s="111">
        <v>23.0</v>
      </c>
      <c r="P579" s="168">
        <v>5.0</v>
      </c>
    </row>
    <row r="580">
      <c r="A580" s="160">
        <v>12.0</v>
      </c>
      <c r="B580" s="160">
        <v>17.0</v>
      </c>
      <c r="C580" s="170">
        <v>7576.0</v>
      </c>
      <c r="D580" s="168">
        <v>211.0</v>
      </c>
      <c r="E580" s="24">
        <v>45.0</v>
      </c>
      <c r="F580" s="169">
        <v>78308.75</v>
      </c>
      <c r="G580" s="169">
        <v>29413.03</v>
      </c>
      <c r="H580" s="169">
        <v>20038.89</v>
      </c>
      <c r="I580" s="169">
        <v>85644.41</v>
      </c>
      <c r="J580" s="169">
        <v>-383.97</v>
      </c>
      <c r="K580" s="169">
        <v>74276.23</v>
      </c>
      <c r="L580" s="169">
        <v>6964.09</v>
      </c>
      <c r="M580" s="169">
        <v>15104.81</v>
      </c>
      <c r="N580" s="50">
        <v>60522.0</v>
      </c>
      <c r="O580" s="111">
        <v>23.0</v>
      </c>
      <c r="P580" s="168">
        <v>8.0</v>
      </c>
    </row>
    <row r="581">
      <c r="A581" s="160">
        <v>53.0</v>
      </c>
      <c r="B581" s="160">
        <v>12.0</v>
      </c>
      <c r="C581" s="170">
        <v>7577.0</v>
      </c>
      <c r="D581" s="168">
        <v>203.0</v>
      </c>
      <c r="E581" s="24">
        <v>75.0</v>
      </c>
      <c r="F581" s="169">
        <v>12655.11</v>
      </c>
      <c r="G581" s="169">
        <v>-32806.69</v>
      </c>
      <c r="H581" s="169">
        <v>82080.81</v>
      </c>
      <c r="I581" s="169">
        <v>47547.61</v>
      </c>
      <c r="J581" s="169">
        <v>44794.63</v>
      </c>
      <c r="K581" s="169">
        <v>20184.72</v>
      </c>
      <c r="L581" s="169">
        <v>-22753.99</v>
      </c>
      <c r="M581" s="169">
        <v>70237.88</v>
      </c>
      <c r="N581" s="50">
        <v>61020.0</v>
      </c>
      <c r="O581" s="111">
        <v>23.0</v>
      </c>
      <c r="P581" s="168">
        <v>7.0</v>
      </c>
    </row>
    <row r="582">
      <c r="A582" s="160">
        <v>94.0</v>
      </c>
      <c r="B582" s="160">
        <v>10.0</v>
      </c>
      <c r="C582" s="170">
        <v>7578.0</v>
      </c>
      <c r="D582" s="168">
        <v>207.0</v>
      </c>
      <c r="E582" s="24">
        <v>52.0</v>
      </c>
      <c r="F582" s="169">
        <v>56159.74</v>
      </c>
      <c r="G582" s="169">
        <v>-73305.45</v>
      </c>
      <c r="H582" s="169">
        <v>71909.4</v>
      </c>
      <c r="I582" s="169">
        <v>-57350.05</v>
      </c>
      <c r="J582" s="169">
        <v>74387.39</v>
      </c>
      <c r="K582" s="169">
        <v>6330.2</v>
      </c>
      <c r="L582" s="169">
        <v>-45804.79</v>
      </c>
      <c r="M582" s="169">
        <v>8155.36</v>
      </c>
      <c r="N582" s="50">
        <v>81215.0</v>
      </c>
      <c r="O582" s="111">
        <v>20.0</v>
      </c>
      <c r="P582" s="168">
        <v>6.0</v>
      </c>
    </row>
    <row r="583">
      <c r="A583" s="160">
        <v>32.0</v>
      </c>
      <c r="B583" s="160">
        <v>66.0</v>
      </c>
      <c r="C583" s="170">
        <v>7579.0</v>
      </c>
      <c r="D583" s="168">
        <v>212.0</v>
      </c>
      <c r="E583" s="24">
        <v>22.0</v>
      </c>
      <c r="F583" s="169">
        <v>38120.01</v>
      </c>
      <c r="G583" s="169">
        <v>-76414.42</v>
      </c>
      <c r="H583" s="169">
        <v>89491.01</v>
      </c>
      <c r="I583" s="169">
        <v>-43802.32</v>
      </c>
      <c r="J583" s="169">
        <v>77187.64</v>
      </c>
      <c r="K583" s="169">
        <v>15858.45</v>
      </c>
      <c r="L583" s="169">
        <v>-49154.85</v>
      </c>
      <c r="M583" s="169">
        <v>32537.15</v>
      </c>
      <c r="N583" s="50">
        <v>82314.0</v>
      </c>
      <c r="O583" s="111">
        <v>22.0</v>
      </c>
      <c r="P583" s="168">
        <v>8.0</v>
      </c>
    </row>
    <row r="584">
      <c r="A584" s="160">
        <v>94.0</v>
      </c>
      <c r="B584" s="160">
        <v>15.0</v>
      </c>
      <c r="C584" s="147">
        <v>7580.0</v>
      </c>
      <c r="D584" s="168">
        <v>206.0</v>
      </c>
      <c r="E584" s="24">
        <v>85.0</v>
      </c>
      <c r="F584" s="169">
        <v>79007.53</v>
      </c>
      <c r="G584" s="169">
        <v>-4520.3</v>
      </c>
      <c r="H584" s="169">
        <v>57288.6</v>
      </c>
      <c r="I584" s="169">
        <v>69966.12</v>
      </c>
      <c r="J584" s="169">
        <v>-16618.83</v>
      </c>
      <c r="K584" s="169">
        <v>52558.68</v>
      </c>
      <c r="L584" s="169">
        <v>72713.38</v>
      </c>
      <c r="M584" s="169">
        <v>-70901.44</v>
      </c>
      <c r="N584" s="50">
        <v>51920.0</v>
      </c>
      <c r="O584" s="111">
        <v>20.0</v>
      </c>
      <c r="P584" s="168">
        <v>2.0</v>
      </c>
    </row>
    <row r="585">
      <c r="A585" s="160">
        <v>32.0</v>
      </c>
      <c r="B585" s="160">
        <v>74.0</v>
      </c>
      <c r="C585" s="170">
        <v>7581.0</v>
      </c>
      <c r="D585" s="168">
        <v>207.0</v>
      </c>
      <c r="E585" s="24">
        <v>31.0</v>
      </c>
      <c r="F585" s="169">
        <v>74809.4</v>
      </c>
      <c r="G585" s="169">
        <v>-2808.73</v>
      </c>
      <c r="H585" s="169">
        <v>22137.8</v>
      </c>
      <c r="I585" s="169">
        <v>-60992.35</v>
      </c>
      <c r="J585" s="169">
        <v>52773.97</v>
      </c>
      <c r="K585" s="169">
        <v>-27078.55</v>
      </c>
      <c r="L585" s="169">
        <v>-45972.0</v>
      </c>
      <c r="M585" s="169">
        <v>18081.74</v>
      </c>
      <c r="N585" s="50">
        <v>91814.0</v>
      </c>
      <c r="O585" s="111">
        <v>22.0</v>
      </c>
      <c r="P585" s="168">
        <v>5.0</v>
      </c>
    </row>
    <row r="586">
      <c r="A586" s="160">
        <v>12.0</v>
      </c>
      <c r="B586" s="160">
        <v>30.0</v>
      </c>
      <c r="C586" s="170">
        <v>7582.0</v>
      </c>
      <c r="D586" s="168">
        <v>203.0</v>
      </c>
      <c r="E586" s="24">
        <v>50.0</v>
      </c>
      <c r="F586" s="169">
        <v>-73292.56</v>
      </c>
      <c r="G586" s="169">
        <v>58938.71</v>
      </c>
      <c r="H586" s="169">
        <v>61174.35</v>
      </c>
      <c r="I586" s="169">
        <v>81022.81</v>
      </c>
      <c r="J586" s="169">
        <v>-87526.76</v>
      </c>
      <c r="K586" s="169">
        <v>94207.58</v>
      </c>
      <c r="L586" s="169">
        <v>1619.53</v>
      </c>
      <c r="M586" s="169">
        <v>-72127.5</v>
      </c>
      <c r="N586" s="50">
        <v>60418.0</v>
      </c>
      <c r="O586" s="111">
        <v>23.0</v>
      </c>
      <c r="P586" s="168">
        <v>6.0</v>
      </c>
    </row>
    <row r="587">
      <c r="A587" s="160">
        <v>53.0</v>
      </c>
      <c r="B587" s="160">
        <v>30.0</v>
      </c>
      <c r="C587" s="170">
        <v>7583.0</v>
      </c>
      <c r="D587" s="168">
        <v>201.0</v>
      </c>
      <c r="E587" s="24">
        <v>28.0</v>
      </c>
      <c r="F587" s="169">
        <v>-53980.31</v>
      </c>
      <c r="G587" s="169">
        <v>-34048.75</v>
      </c>
      <c r="H587" s="169">
        <v>-69474.37</v>
      </c>
      <c r="I587" s="169">
        <v>-32767.49</v>
      </c>
      <c r="J587" s="169">
        <v>-232.32</v>
      </c>
      <c r="K587" s="169">
        <v>7104.29</v>
      </c>
      <c r="L587" s="169">
        <v>89604.63</v>
      </c>
      <c r="M587" s="169">
        <v>80873.99</v>
      </c>
      <c r="N587" s="50">
        <v>80713.0</v>
      </c>
      <c r="O587" s="111">
        <v>22.0</v>
      </c>
      <c r="P587" s="168">
        <v>7.0</v>
      </c>
    </row>
    <row r="588">
      <c r="A588" s="160">
        <v>32.0</v>
      </c>
      <c r="B588" s="160">
        <v>85.0</v>
      </c>
      <c r="C588" s="170">
        <v>7584.0</v>
      </c>
      <c r="D588" s="168">
        <v>207.0</v>
      </c>
      <c r="E588" s="24">
        <v>69.0</v>
      </c>
      <c r="F588" s="169">
        <v>11923.11</v>
      </c>
      <c r="G588" s="169">
        <v>-88360.67</v>
      </c>
      <c r="H588" s="169">
        <v>86710.71</v>
      </c>
      <c r="I588" s="169">
        <v>-57863.99</v>
      </c>
      <c r="J588" s="169">
        <v>30629.4</v>
      </c>
      <c r="K588" s="169">
        <v>-88237.47</v>
      </c>
      <c r="L588" s="169">
        <v>38060.05</v>
      </c>
      <c r="M588" s="169">
        <v>-12956.08</v>
      </c>
      <c r="N588" s="50">
        <v>71519.0</v>
      </c>
      <c r="O588" s="111">
        <v>22.0</v>
      </c>
      <c r="P588" s="168">
        <v>2.0</v>
      </c>
    </row>
    <row r="589">
      <c r="A589" s="160">
        <v>53.0</v>
      </c>
      <c r="B589" s="160">
        <v>34.0</v>
      </c>
      <c r="C589" s="147">
        <v>7585.0</v>
      </c>
      <c r="D589" s="168">
        <v>202.0</v>
      </c>
      <c r="E589" s="24">
        <v>62.0</v>
      </c>
      <c r="F589" s="169">
        <v>54685.13</v>
      </c>
      <c r="G589" s="169">
        <v>-46521.91</v>
      </c>
      <c r="H589" s="169">
        <v>98949.91</v>
      </c>
      <c r="I589" s="169">
        <v>39902.88</v>
      </c>
      <c r="J589" s="169">
        <v>71168.52</v>
      </c>
      <c r="K589" s="169">
        <v>29516.74</v>
      </c>
      <c r="L589" s="169">
        <v>34991.97</v>
      </c>
      <c r="M589" s="169">
        <v>90148.98</v>
      </c>
      <c r="N589" s="50">
        <v>122022.0</v>
      </c>
      <c r="O589" s="111">
        <v>22.0</v>
      </c>
      <c r="P589" s="168">
        <v>4.0</v>
      </c>
    </row>
    <row r="590">
      <c r="A590" s="160">
        <v>12.0</v>
      </c>
      <c r="B590" s="160">
        <v>37.0</v>
      </c>
      <c r="C590" s="170">
        <v>7586.0</v>
      </c>
      <c r="D590" s="168">
        <v>212.0</v>
      </c>
      <c r="E590" s="24">
        <v>52.0</v>
      </c>
      <c r="F590" s="169">
        <v>4116.27</v>
      </c>
      <c r="G590" s="169">
        <v>-60157.6</v>
      </c>
      <c r="H590" s="169">
        <v>-67266.2</v>
      </c>
      <c r="I590" s="169">
        <v>-2862.97</v>
      </c>
      <c r="J590" s="169">
        <v>78602.4</v>
      </c>
      <c r="K590" s="169">
        <v>52422.72</v>
      </c>
      <c r="L590" s="169">
        <v>-98389.49</v>
      </c>
      <c r="M590" s="169">
        <v>51448.31</v>
      </c>
      <c r="N590" s="50">
        <v>92817.0</v>
      </c>
      <c r="O590" s="111">
        <v>21.0</v>
      </c>
      <c r="P590" s="168">
        <v>1.0</v>
      </c>
    </row>
    <row r="591">
      <c r="A591" s="160">
        <v>94.0</v>
      </c>
      <c r="B591" s="160">
        <v>31.0</v>
      </c>
      <c r="C591" s="170">
        <v>7587.0</v>
      </c>
      <c r="D591" s="168">
        <v>205.0</v>
      </c>
      <c r="E591" s="24">
        <v>73.0</v>
      </c>
      <c r="F591" s="169">
        <v>17033.37</v>
      </c>
      <c r="G591" s="169">
        <v>-67180.35</v>
      </c>
      <c r="H591" s="169">
        <v>24727.75</v>
      </c>
      <c r="I591" s="169">
        <v>65369.74</v>
      </c>
      <c r="J591" s="169">
        <v>-12557.7</v>
      </c>
      <c r="K591" s="169">
        <v>-75232.43</v>
      </c>
      <c r="L591" s="169">
        <v>-30109.71</v>
      </c>
      <c r="M591" s="169">
        <v>-440.32</v>
      </c>
      <c r="N591" s="50">
        <v>102615.0</v>
      </c>
      <c r="O591" s="111">
        <v>22.0</v>
      </c>
      <c r="P591" s="168">
        <v>7.0</v>
      </c>
    </row>
    <row r="592">
      <c r="A592" s="160">
        <v>94.0</v>
      </c>
      <c r="B592" s="160">
        <v>39.0</v>
      </c>
      <c r="C592" s="170">
        <v>7588.0</v>
      </c>
      <c r="D592" s="168">
        <v>217.0</v>
      </c>
      <c r="E592" s="24">
        <v>84.0</v>
      </c>
      <c r="F592" s="169">
        <v>-83173.09</v>
      </c>
      <c r="G592" s="169">
        <v>19220.15</v>
      </c>
      <c r="H592" s="169">
        <v>86217.58</v>
      </c>
      <c r="I592" s="169">
        <v>83817.18</v>
      </c>
      <c r="J592" s="169">
        <v>-6290.56</v>
      </c>
      <c r="K592" s="169">
        <v>-18483.54</v>
      </c>
      <c r="L592" s="169">
        <v>73074.41</v>
      </c>
      <c r="M592" s="169">
        <v>-52421.6</v>
      </c>
      <c r="N592" s="50">
        <v>11016.0</v>
      </c>
      <c r="O592" s="111">
        <v>22.0</v>
      </c>
      <c r="P592" s="168">
        <v>8.0</v>
      </c>
    </row>
    <row r="593">
      <c r="A593" s="160">
        <v>73.0</v>
      </c>
      <c r="B593" s="160">
        <v>92.0</v>
      </c>
      <c r="C593" s="170">
        <v>7589.0</v>
      </c>
      <c r="D593" s="168">
        <v>205.0</v>
      </c>
      <c r="E593" s="24">
        <v>22.0</v>
      </c>
      <c r="F593" s="169">
        <v>-105.34</v>
      </c>
      <c r="G593" s="169">
        <v>95289.27</v>
      </c>
      <c r="H593" s="169">
        <v>-83929.55</v>
      </c>
      <c r="I593" s="169">
        <v>-17842.64</v>
      </c>
      <c r="J593" s="169">
        <v>3261.55</v>
      </c>
      <c r="K593" s="169">
        <v>70851.67</v>
      </c>
      <c r="L593" s="169">
        <v>86494.32</v>
      </c>
      <c r="M593" s="169">
        <v>-12004.26</v>
      </c>
      <c r="N593" s="50">
        <v>50522.0</v>
      </c>
      <c r="O593" s="111">
        <v>22.0</v>
      </c>
      <c r="P593" s="168">
        <v>2.0</v>
      </c>
    </row>
    <row r="594">
      <c r="A594" s="160">
        <v>94.0</v>
      </c>
      <c r="B594" s="160">
        <v>41.0</v>
      </c>
      <c r="C594" s="147">
        <v>7590.0</v>
      </c>
      <c r="D594" s="168">
        <v>201.0</v>
      </c>
      <c r="E594" s="24">
        <v>66.0</v>
      </c>
      <c r="F594" s="169">
        <v>45680.94</v>
      </c>
      <c r="G594" s="169">
        <v>-83875.54</v>
      </c>
      <c r="H594" s="169">
        <v>97123.68</v>
      </c>
      <c r="I594" s="169">
        <v>50959.03</v>
      </c>
      <c r="J594" s="169">
        <v>-3107.0</v>
      </c>
      <c r="K594" s="169">
        <v>-89524.9</v>
      </c>
      <c r="L594" s="169">
        <v>-76712.55</v>
      </c>
      <c r="M594" s="169">
        <v>-94344.41</v>
      </c>
      <c r="N594" s="50">
        <v>122214.0</v>
      </c>
      <c r="O594" s="111">
        <v>20.0</v>
      </c>
      <c r="P594" s="168">
        <v>6.0</v>
      </c>
    </row>
    <row r="595">
      <c r="A595" s="160">
        <v>32.0</v>
      </c>
      <c r="B595" s="160">
        <v>99.0</v>
      </c>
      <c r="C595" s="170">
        <v>7591.0</v>
      </c>
      <c r="D595" s="168">
        <v>203.0</v>
      </c>
      <c r="E595" s="24">
        <v>86.0</v>
      </c>
      <c r="F595" s="169">
        <v>-46328.08</v>
      </c>
      <c r="G595" s="169">
        <v>1082.95</v>
      </c>
      <c r="H595" s="169">
        <v>43796.84</v>
      </c>
      <c r="I595" s="169">
        <v>14397.56</v>
      </c>
      <c r="J595" s="169">
        <v>-13399.7</v>
      </c>
      <c r="K595" s="169">
        <v>-80187.56</v>
      </c>
      <c r="L595" s="169">
        <v>41787.84</v>
      </c>
      <c r="M595" s="169">
        <v>-45310.13</v>
      </c>
      <c r="N595" s="50">
        <v>72618.0</v>
      </c>
      <c r="O595" s="111">
        <v>20.0</v>
      </c>
      <c r="P595" s="168">
        <v>7.0</v>
      </c>
    </row>
    <row r="596">
      <c r="A596" s="160">
        <v>12.0</v>
      </c>
      <c r="B596" s="160">
        <v>52.0</v>
      </c>
      <c r="C596" s="170">
        <v>7592.0</v>
      </c>
      <c r="D596" s="168">
        <v>201.0</v>
      </c>
      <c r="E596" s="24">
        <v>77.0</v>
      </c>
      <c r="F596" s="169">
        <v>50239.67</v>
      </c>
      <c r="G596" s="169">
        <v>-18511.37</v>
      </c>
      <c r="H596" s="169">
        <v>-64380.78</v>
      </c>
      <c r="I596" s="169">
        <v>1268.91</v>
      </c>
      <c r="J596" s="169">
        <v>-53406.38</v>
      </c>
      <c r="K596" s="169">
        <v>-16941.91</v>
      </c>
      <c r="L596" s="169">
        <v>69449.14</v>
      </c>
      <c r="M596" s="169">
        <v>7356.63</v>
      </c>
      <c r="N596" s="50">
        <v>42115.0</v>
      </c>
      <c r="O596" s="111">
        <v>22.0</v>
      </c>
      <c r="P596" s="168">
        <v>2.0</v>
      </c>
    </row>
    <row r="597">
      <c r="A597" s="160">
        <v>33.0</v>
      </c>
      <c r="B597" s="160">
        <v>1.0</v>
      </c>
      <c r="C597" s="170">
        <v>7593.0</v>
      </c>
      <c r="D597" s="168">
        <v>205.0</v>
      </c>
      <c r="E597" s="24">
        <v>77.0</v>
      </c>
      <c r="F597" s="169">
        <v>-7627.35</v>
      </c>
      <c r="G597" s="169">
        <v>44366.78</v>
      </c>
      <c r="H597" s="169">
        <v>61402.95</v>
      </c>
      <c r="I597" s="169">
        <v>-32843.75</v>
      </c>
      <c r="J597" s="169">
        <v>-38304.46</v>
      </c>
      <c r="K597" s="169">
        <v>-18281.35</v>
      </c>
      <c r="L597" s="169">
        <v>69526.12</v>
      </c>
      <c r="M597" s="169">
        <v>44622.14</v>
      </c>
      <c r="N597" s="50">
        <v>91619.0</v>
      </c>
      <c r="O597" s="111">
        <v>23.0</v>
      </c>
      <c r="P597" s="168">
        <v>4.0</v>
      </c>
    </row>
    <row r="598">
      <c r="A598" s="160">
        <v>12.0</v>
      </c>
      <c r="B598" s="160">
        <v>55.0</v>
      </c>
      <c r="C598" s="170">
        <v>7594.0</v>
      </c>
      <c r="D598" s="168">
        <v>200.0</v>
      </c>
      <c r="E598" s="24">
        <v>34.0</v>
      </c>
      <c r="F598" s="169">
        <v>-94950.89</v>
      </c>
      <c r="G598" s="169">
        <v>79165.2</v>
      </c>
      <c r="H598" s="169">
        <v>-98976.65</v>
      </c>
      <c r="I598" s="169">
        <v>-35939.21</v>
      </c>
      <c r="J598" s="169">
        <v>-11855.35</v>
      </c>
      <c r="K598" s="169">
        <v>-4697.8</v>
      </c>
      <c r="L598" s="169">
        <v>-74298.54</v>
      </c>
      <c r="M598" s="169">
        <v>42594.55</v>
      </c>
      <c r="N598" s="50">
        <v>33115.0</v>
      </c>
      <c r="O598" s="111">
        <v>20.0</v>
      </c>
      <c r="P598" s="168">
        <v>4.0</v>
      </c>
    </row>
    <row r="599">
      <c r="A599" s="160">
        <v>33.0</v>
      </c>
      <c r="B599" s="160">
        <v>4.0</v>
      </c>
      <c r="C599" s="147">
        <v>7595.0</v>
      </c>
      <c r="D599" s="168">
        <v>215.0</v>
      </c>
      <c r="E599" s="24">
        <v>94.0</v>
      </c>
      <c r="F599" s="169">
        <v>86494.22</v>
      </c>
      <c r="G599" s="169">
        <v>-13453.07</v>
      </c>
      <c r="H599" s="169">
        <v>3727.57</v>
      </c>
      <c r="I599" s="169">
        <v>57711.66</v>
      </c>
      <c r="J599" s="169">
        <v>-95544.95</v>
      </c>
      <c r="K599" s="169">
        <v>9017.51</v>
      </c>
      <c r="L599" s="169">
        <v>-65409.45</v>
      </c>
      <c r="M599" s="169">
        <v>-24057.59</v>
      </c>
      <c r="N599" s="50">
        <v>42120.0</v>
      </c>
      <c r="O599" s="111">
        <v>23.0</v>
      </c>
      <c r="P599" s="168">
        <v>1.0</v>
      </c>
    </row>
    <row r="600">
      <c r="A600" s="160">
        <v>74.0</v>
      </c>
      <c r="B600" s="160">
        <v>5.0</v>
      </c>
      <c r="C600" s="170">
        <v>7596.0</v>
      </c>
      <c r="D600" s="168">
        <v>205.0</v>
      </c>
      <c r="E600" s="24">
        <v>72.0</v>
      </c>
      <c r="F600" s="169">
        <v>-12220.22</v>
      </c>
      <c r="G600" s="169">
        <v>-58962.11</v>
      </c>
      <c r="H600" s="169">
        <v>43564.28</v>
      </c>
      <c r="I600" s="169">
        <v>71137.23</v>
      </c>
      <c r="J600" s="169">
        <v>-67254.13</v>
      </c>
      <c r="K600" s="169">
        <v>-33012.69</v>
      </c>
      <c r="L600" s="169">
        <v>16215.86</v>
      </c>
      <c r="M600" s="169">
        <v>-64467.23</v>
      </c>
      <c r="N600" s="50">
        <v>22916.0</v>
      </c>
      <c r="O600" s="111">
        <v>23.0</v>
      </c>
      <c r="P600" s="168">
        <v>8.0</v>
      </c>
    </row>
    <row r="601">
      <c r="A601" s="160">
        <v>94.0</v>
      </c>
      <c r="B601" s="160">
        <v>54.0</v>
      </c>
      <c r="C601" s="170">
        <v>7597.0</v>
      </c>
      <c r="D601" s="168">
        <v>206.0</v>
      </c>
      <c r="E601" s="24">
        <v>17.0</v>
      </c>
      <c r="F601" s="169">
        <v>-35588.94</v>
      </c>
      <c r="G601" s="169">
        <v>72023.88</v>
      </c>
      <c r="H601" s="169">
        <v>-86013.29</v>
      </c>
      <c r="I601" s="169">
        <v>72301.78</v>
      </c>
      <c r="J601" s="169">
        <v>50924.72</v>
      </c>
      <c r="K601" s="169">
        <v>-14994.91</v>
      </c>
      <c r="L601" s="169">
        <v>-27098.83</v>
      </c>
      <c r="M601" s="169">
        <v>-57269.77</v>
      </c>
      <c r="N601" s="50">
        <v>100414.0</v>
      </c>
      <c r="O601" s="111">
        <v>21.0</v>
      </c>
      <c r="P601" s="168">
        <v>3.0</v>
      </c>
    </row>
    <row r="602">
      <c r="A602" s="160">
        <v>12.0</v>
      </c>
      <c r="B602" s="160">
        <v>68.0</v>
      </c>
      <c r="C602" s="170">
        <v>7598.0</v>
      </c>
      <c r="D602" s="168">
        <v>205.0</v>
      </c>
      <c r="E602" s="24">
        <v>97.0</v>
      </c>
      <c r="F602" s="169">
        <v>34983.81</v>
      </c>
      <c r="G602" s="169">
        <v>68101.03</v>
      </c>
      <c r="H602" s="169">
        <v>48025.02</v>
      </c>
      <c r="I602" s="169">
        <v>-43208.82</v>
      </c>
      <c r="J602" s="169">
        <v>26494.06</v>
      </c>
      <c r="K602" s="169">
        <v>-38702.58</v>
      </c>
      <c r="L602" s="169">
        <v>66075.57</v>
      </c>
      <c r="M602" s="169">
        <v>32724.46</v>
      </c>
      <c r="N602" s="50">
        <v>22018.0</v>
      </c>
      <c r="O602" s="111">
        <v>20.0</v>
      </c>
      <c r="P602" s="168">
        <v>4.0</v>
      </c>
    </row>
    <row r="603">
      <c r="A603" s="160">
        <v>53.0</v>
      </c>
      <c r="B603" s="160">
        <v>65.0</v>
      </c>
      <c r="C603" s="170">
        <v>7599.0</v>
      </c>
      <c r="D603" s="168">
        <v>219.0</v>
      </c>
      <c r="E603" s="24">
        <v>29.0</v>
      </c>
      <c r="F603" s="169">
        <v>-87176.94</v>
      </c>
      <c r="G603" s="169">
        <v>-62275.97</v>
      </c>
      <c r="H603" s="169">
        <v>47298.99</v>
      </c>
      <c r="I603" s="169">
        <v>-48905.61</v>
      </c>
      <c r="J603" s="169">
        <v>91907.61</v>
      </c>
      <c r="K603" s="169">
        <v>-21128.74</v>
      </c>
      <c r="L603" s="169">
        <v>-86245.03</v>
      </c>
      <c r="M603" s="169">
        <v>-43963.43</v>
      </c>
      <c r="N603" s="50">
        <v>110716.0</v>
      </c>
      <c r="O603" s="111">
        <v>21.0</v>
      </c>
      <c r="P603" s="168">
        <v>6.0</v>
      </c>
    </row>
    <row r="604">
      <c r="A604" s="160">
        <v>74.0</v>
      </c>
      <c r="B604" s="160">
        <v>13.0</v>
      </c>
      <c r="C604" s="147">
        <v>7600.0</v>
      </c>
      <c r="D604" s="168">
        <v>216.0</v>
      </c>
      <c r="E604" s="24">
        <v>42.0</v>
      </c>
      <c r="F604" s="169">
        <v>-99615.17</v>
      </c>
      <c r="G604" s="169">
        <v>-72912.76</v>
      </c>
      <c r="H604" s="169">
        <v>94760.23</v>
      </c>
      <c r="I604" s="169">
        <v>75032.01</v>
      </c>
      <c r="J604" s="169">
        <v>20495.41</v>
      </c>
      <c r="K604" s="169">
        <v>-70496.4</v>
      </c>
      <c r="L604" s="169">
        <v>16323.67</v>
      </c>
      <c r="M604" s="169">
        <v>50821.24</v>
      </c>
      <c r="N604" s="50">
        <v>72816.0</v>
      </c>
      <c r="O604" s="111">
        <v>23.0</v>
      </c>
      <c r="P604" s="168">
        <v>9.0</v>
      </c>
    </row>
    <row r="605">
      <c r="A605" s="160">
        <v>33.0</v>
      </c>
      <c r="B605" s="160">
        <v>18.0</v>
      </c>
      <c r="C605" s="170">
        <v>7601.0</v>
      </c>
      <c r="D605" s="168">
        <v>212.0</v>
      </c>
      <c r="E605" s="24">
        <v>21.0</v>
      </c>
      <c r="F605" s="169">
        <v>-15717.03</v>
      </c>
      <c r="G605" s="169">
        <v>28349.43</v>
      </c>
      <c r="H605" s="169">
        <v>35024.3</v>
      </c>
      <c r="I605" s="169">
        <v>-18543.57</v>
      </c>
      <c r="J605" s="169">
        <v>81775.21</v>
      </c>
      <c r="K605" s="169">
        <v>-81442.78</v>
      </c>
      <c r="L605" s="169">
        <v>68010.7</v>
      </c>
      <c r="M605" s="169">
        <v>7809.45</v>
      </c>
      <c r="N605" s="50">
        <v>72615.0</v>
      </c>
      <c r="O605" s="111">
        <v>22.0</v>
      </c>
      <c r="P605" s="168">
        <v>7.0</v>
      </c>
    </row>
    <row r="606">
      <c r="A606" s="160">
        <v>33.0</v>
      </c>
      <c r="B606" s="160">
        <v>17.0</v>
      </c>
      <c r="C606" s="170">
        <v>7602.0</v>
      </c>
      <c r="D606" s="168">
        <v>209.0</v>
      </c>
      <c r="E606" s="24">
        <v>22.0</v>
      </c>
      <c r="F606" s="169">
        <v>-4990.93</v>
      </c>
      <c r="G606" s="169">
        <v>33482.24</v>
      </c>
      <c r="H606" s="169">
        <v>-18059.3</v>
      </c>
      <c r="I606" s="169">
        <v>-37102.49</v>
      </c>
      <c r="J606" s="169">
        <v>-93608.82</v>
      </c>
      <c r="K606" s="169">
        <v>-56232.57</v>
      </c>
      <c r="L606" s="169">
        <v>-52019.17</v>
      </c>
      <c r="M606" s="169">
        <v>-78062.41</v>
      </c>
      <c r="N606" s="50">
        <v>90615.0</v>
      </c>
      <c r="O606" s="111">
        <v>20.0</v>
      </c>
      <c r="P606" s="168">
        <v>8.0</v>
      </c>
    </row>
    <row r="607">
      <c r="A607" s="160">
        <v>94.0</v>
      </c>
      <c r="B607" s="160">
        <v>66.0</v>
      </c>
      <c r="C607" s="170">
        <v>7603.0</v>
      </c>
      <c r="D607" s="168">
        <v>203.0</v>
      </c>
      <c r="E607" s="24">
        <v>15.0</v>
      </c>
      <c r="F607" s="169">
        <v>10462.38</v>
      </c>
      <c r="G607" s="169">
        <v>-77192.52</v>
      </c>
      <c r="H607" s="169">
        <v>-58821.75</v>
      </c>
      <c r="I607" s="169">
        <v>-85885.0</v>
      </c>
      <c r="J607" s="169">
        <v>92642.21</v>
      </c>
      <c r="K607" s="169">
        <v>96931.0</v>
      </c>
      <c r="L607" s="169">
        <v>19043.97</v>
      </c>
      <c r="M607" s="169">
        <v>36598.77</v>
      </c>
      <c r="N607" s="50">
        <v>41720.0</v>
      </c>
      <c r="O607" s="111">
        <v>20.0</v>
      </c>
      <c r="P607" s="168">
        <v>2.0</v>
      </c>
    </row>
    <row r="608">
      <c r="A608" s="160">
        <v>33.0</v>
      </c>
      <c r="B608" s="160">
        <v>24.0</v>
      </c>
      <c r="C608" s="170">
        <v>7604.0</v>
      </c>
      <c r="D608" s="168">
        <v>217.0</v>
      </c>
      <c r="E608" s="24">
        <v>45.0</v>
      </c>
      <c r="F608" s="169">
        <v>-65229.64</v>
      </c>
      <c r="G608" s="169">
        <v>-916.49</v>
      </c>
      <c r="H608" s="169">
        <v>59169.8</v>
      </c>
      <c r="I608" s="169">
        <v>-93751.35</v>
      </c>
      <c r="J608" s="169">
        <v>37039.64</v>
      </c>
      <c r="K608" s="169">
        <v>82068.09</v>
      </c>
      <c r="L608" s="169">
        <v>80862.29</v>
      </c>
      <c r="M608" s="169">
        <v>-53535.13</v>
      </c>
      <c r="N608" s="50">
        <v>30516.0</v>
      </c>
      <c r="O608" s="111">
        <v>21.0</v>
      </c>
      <c r="P608" s="168">
        <v>9.0</v>
      </c>
    </row>
    <row r="609">
      <c r="A609" s="160">
        <v>74.0</v>
      </c>
      <c r="B609" s="160">
        <v>21.0</v>
      </c>
      <c r="C609" s="147">
        <v>7605.0</v>
      </c>
      <c r="D609" s="168">
        <v>205.0</v>
      </c>
      <c r="E609" s="24">
        <v>56.0</v>
      </c>
      <c r="F609" s="169">
        <v>-57564.65</v>
      </c>
      <c r="G609" s="169">
        <v>36570.85</v>
      </c>
      <c r="H609" s="169">
        <v>-78696.15</v>
      </c>
      <c r="I609" s="169">
        <v>-57761.56</v>
      </c>
      <c r="J609" s="169">
        <v>67933.82</v>
      </c>
      <c r="K609" s="169">
        <v>77257.86</v>
      </c>
      <c r="L609" s="169">
        <v>-58975.34</v>
      </c>
      <c r="M609" s="169">
        <v>-85065.27</v>
      </c>
      <c r="N609" s="50">
        <v>61617.0</v>
      </c>
      <c r="O609" s="111">
        <v>23.0</v>
      </c>
      <c r="P609" s="168">
        <v>1.0</v>
      </c>
    </row>
    <row r="610">
      <c r="A610" s="160">
        <v>74.0</v>
      </c>
      <c r="B610" s="160">
        <v>22.0</v>
      </c>
      <c r="C610" s="170">
        <v>7606.0</v>
      </c>
      <c r="D610" s="168">
        <v>219.0</v>
      </c>
      <c r="E610" s="24">
        <v>59.0</v>
      </c>
      <c r="F610" s="169">
        <v>-24387.17</v>
      </c>
      <c r="G610" s="169">
        <v>28017.47</v>
      </c>
      <c r="H610" s="169">
        <v>-71202.13</v>
      </c>
      <c r="I610" s="169">
        <v>57756.91</v>
      </c>
      <c r="J610" s="169">
        <v>-73318.98</v>
      </c>
      <c r="K610" s="169">
        <v>-42982.78</v>
      </c>
      <c r="L610" s="169">
        <v>-81282.92</v>
      </c>
      <c r="M610" s="169">
        <v>-58227.75</v>
      </c>
      <c r="N610" s="50">
        <v>102115.0</v>
      </c>
      <c r="O610" s="111">
        <v>21.0</v>
      </c>
      <c r="P610" s="168">
        <v>9.0</v>
      </c>
    </row>
    <row r="611">
      <c r="A611" s="160">
        <v>33.0</v>
      </c>
      <c r="B611" s="160">
        <v>27.0</v>
      </c>
      <c r="C611" s="170">
        <v>7607.0</v>
      </c>
      <c r="D611" s="168">
        <v>205.0</v>
      </c>
      <c r="E611" s="24">
        <v>54.0</v>
      </c>
      <c r="F611" s="169">
        <v>45479.53</v>
      </c>
      <c r="G611" s="169">
        <v>72343.73</v>
      </c>
      <c r="H611" s="169">
        <v>70946.61</v>
      </c>
      <c r="I611" s="169">
        <v>87072.35</v>
      </c>
      <c r="J611" s="169">
        <v>-85955.39</v>
      </c>
      <c r="K611" s="169">
        <v>84767.61</v>
      </c>
      <c r="L611" s="169">
        <v>29963.12</v>
      </c>
      <c r="M611" s="169">
        <v>76461.78</v>
      </c>
      <c r="N611" s="50">
        <v>50713.0</v>
      </c>
      <c r="O611" s="111">
        <v>21.0</v>
      </c>
      <c r="P611" s="168">
        <v>8.0</v>
      </c>
    </row>
    <row r="612">
      <c r="A612" s="160">
        <v>33.0</v>
      </c>
      <c r="B612" s="160">
        <v>28.0</v>
      </c>
      <c r="C612" s="170">
        <v>7608.0</v>
      </c>
      <c r="D612" s="168">
        <v>203.0</v>
      </c>
      <c r="E612" s="24">
        <v>59.0</v>
      </c>
      <c r="F612" s="169">
        <v>63369.16</v>
      </c>
      <c r="G612" s="169">
        <v>24428.89</v>
      </c>
      <c r="H612" s="169">
        <v>85180.9</v>
      </c>
      <c r="I612" s="169">
        <v>61676.7</v>
      </c>
      <c r="J612" s="169">
        <v>-24474.45</v>
      </c>
      <c r="K612" s="169">
        <v>28927.67</v>
      </c>
      <c r="L612" s="169">
        <v>-60211.19</v>
      </c>
      <c r="M612" s="169">
        <v>5760.33</v>
      </c>
      <c r="N612" s="50">
        <v>53115.0</v>
      </c>
      <c r="O612" s="111">
        <v>21.0</v>
      </c>
      <c r="P612" s="168">
        <v>4.0</v>
      </c>
    </row>
    <row r="613">
      <c r="A613" s="160">
        <v>33.0</v>
      </c>
      <c r="B613" s="160">
        <v>29.0</v>
      </c>
      <c r="C613" s="170">
        <v>7609.0</v>
      </c>
      <c r="D613" s="168">
        <v>213.0</v>
      </c>
      <c r="E613" s="24">
        <v>67.0</v>
      </c>
      <c r="F613" s="169">
        <v>34946.0</v>
      </c>
      <c r="G613" s="169">
        <v>70094.33</v>
      </c>
      <c r="H613" s="169">
        <v>-63381.46</v>
      </c>
      <c r="I613" s="169">
        <v>-21785.88</v>
      </c>
      <c r="J613" s="169">
        <v>-97369.71</v>
      </c>
      <c r="K613" s="169">
        <v>-32652.84</v>
      </c>
      <c r="L613" s="169">
        <v>38998.69</v>
      </c>
      <c r="M613" s="169">
        <v>19368.93</v>
      </c>
      <c r="N613" s="50">
        <v>82417.0</v>
      </c>
      <c r="O613" s="111">
        <v>22.0</v>
      </c>
      <c r="P613" s="168">
        <v>8.0</v>
      </c>
    </row>
    <row r="614">
      <c r="A614" s="160">
        <v>12.0</v>
      </c>
      <c r="B614" s="160">
        <v>82.0</v>
      </c>
      <c r="C614" s="147">
        <v>7610.0</v>
      </c>
      <c r="D614" s="168">
        <v>215.0</v>
      </c>
      <c r="E614" s="24">
        <v>76.0</v>
      </c>
      <c r="F614" s="169">
        <v>-17010.28</v>
      </c>
      <c r="G614" s="169">
        <v>-73616.55</v>
      </c>
      <c r="H614" s="169">
        <v>91325.01</v>
      </c>
      <c r="I614" s="169">
        <v>-76039.91</v>
      </c>
      <c r="J614" s="169">
        <v>-80107.16</v>
      </c>
      <c r="K614" s="169">
        <v>-61217.68</v>
      </c>
      <c r="L614" s="169">
        <v>55729.26</v>
      </c>
      <c r="M614" s="169">
        <v>-40428.69</v>
      </c>
      <c r="N614" s="50">
        <v>80919.0</v>
      </c>
      <c r="O614" s="111">
        <v>21.0</v>
      </c>
      <c r="P614" s="168">
        <v>1.0</v>
      </c>
    </row>
    <row r="615">
      <c r="A615" s="160">
        <v>74.0</v>
      </c>
      <c r="B615" s="160">
        <v>27.0</v>
      </c>
      <c r="C615" s="170">
        <v>7611.0</v>
      </c>
      <c r="D615" s="168">
        <v>202.0</v>
      </c>
      <c r="E615" s="24">
        <v>15.0</v>
      </c>
      <c r="F615" s="169">
        <v>-57423.22</v>
      </c>
      <c r="G615" s="169">
        <v>47216.72</v>
      </c>
      <c r="H615" s="169">
        <v>21107.08</v>
      </c>
      <c r="I615" s="169">
        <v>-45886.66</v>
      </c>
      <c r="J615" s="169">
        <v>34912.35</v>
      </c>
      <c r="K615" s="169">
        <v>15945.74</v>
      </c>
      <c r="L615" s="169">
        <v>-57404.0</v>
      </c>
      <c r="M615" s="169">
        <v>1428.81</v>
      </c>
      <c r="N615" s="50">
        <v>110417.0</v>
      </c>
      <c r="O615" s="111">
        <v>23.0</v>
      </c>
      <c r="P615" s="168">
        <v>9.0</v>
      </c>
    </row>
    <row r="616">
      <c r="A616" s="160">
        <v>53.0</v>
      </c>
      <c r="B616" s="160">
        <v>77.0</v>
      </c>
      <c r="C616" s="170">
        <v>7612.0</v>
      </c>
      <c r="D616" s="168">
        <v>220.0</v>
      </c>
      <c r="E616" s="24">
        <v>99.0</v>
      </c>
      <c r="F616" s="169">
        <v>32356.14</v>
      </c>
      <c r="G616" s="169">
        <v>-64896.32</v>
      </c>
      <c r="H616" s="169">
        <v>24772.78</v>
      </c>
      <c r="I616" s="169">
        <v>-57777.67</v>
      </c>
      <c r="J616" s="169">
        <v>74898.8</v>
      </c>
      <c r="K616" s="169">
        <v>-55991.79</v>
      </c>
      <c r="L616" s="169">
        <v>60788.05</v>
      </c>
      <c r="M616" s="169">
        <v>70032.04</v>
      </c>
      <c r="N616" s="50">
        <v>100218.0</v>
      </c>
      <c r="O616" s="111">
        <v>21.0</v>
      </c>
      <c r="P616" s="168">
        <v>4.0</v>
      </c>
    </row>
    <row r="617">
      <c r="A617" s="160">
        <v>74.0</v>
      </c>
      <c r="B617" s="160">
        <v>25.0</v>
      </c>
      <c r="C617" s="170">
        <v>7613.0</v>
      </c>
      <c r="D617" s="168">
        <v>201.0</v>
      </c>
      <c r="E617" s="24">
        <v>34.0</v>
      </c>
      <c r="F617" s="169">
        <v>25792.13</v>
      </c>
      <c r="G617" s="169">
        <v>46226.93</v>
      </c>
      <c r="H617" s="169">
        <v>18583.23</v>
      </c>
      <c r="I617" s="169">
        <v>-40204.96</v>
      </c>
      <c r="J617" s="169">
        <v>23607.18</v>
      </c>
      <c r="K617" s="169">
        <v>-86589.21</v>
      </c>
      <c r="L617" s="169">
        <v>22640.71</v>
      </c>
      <c r="M617" s="169">
        <v>81712.68</v>
      </c>
      <c r="N617" s="50">
        <v>113015.0</v>
      </c>
      <c r="O617" s="111">
        <v>23.0</v>
      </c>
      <c r="P617" s="168">
        <v>9.0</v>
      </c>
    </row>
    <row r="618">
      <c r="A618" s="160">
        <v>33.0</v>
      </c>
      <c r="B618" s="160">
        <v>35.0</v>
      </c>
      <c r="C618" s="170">
        <v>7614.0</v>
      </c>
      <c r="D618" s="168">
        <v>208.0</v>
      </c>
      <c r="E618" s="24">
        <v>80.0</v>
      </c>
      <c r="F618" s="169">
        <v>89921.11</v>
      </c>
      <c r="G618" s="169">
        <v>-43354.85</v>
      </c>
      <c r="H618" s="169">
        <v>8619.54</v>
      </c>
      <c r="I618" s="169">
        <v>69997.06</v>
      </c>
      <c r="J618" s="169">
        <v>-57756.88</v>
      </c>
      <c r="K618" s="169">
        <v>64941.19</v>
      </c>
      <c r="L618" s="169">
        <v>-12882.56</v>
      </c>
      <c r="M618" s="169">
        <v>4089.55</v>
      </c>
      <c r="N618" s="50">
        <v>10322.0</v>
      </c>
      <c r="O618" s="111">
        <v>23.0</v>
      </c>
      <c r="P618" s="168">
        <v>7.0</v>
      </c>
    </row>
    <row r="619">
      <c r="A619" s="160">
        <v>53.0</v>
      </c>
      <c r="B619" s="160">
        <v>84.0</v>
      </c>
      <c r="C619" s="147">
        <v>7615.0</v>
      </c>
      <c r="D619" s="168">
        <v>205.0</v>
      </c>
      <c r="E619" s="24">
        <v>98.0</v>
      </c>
      <c r="F619" s="169">
        <v>-20042.08</v>
      </c>
      <c r="G619" s="169">
        <v>-84898.71</v>
      </c>
      <c r="H619" s="169">
        <v>15493.69</v>
      </c>
      <c r="I619" s="169">
        <v>-96710.82</v>
      </c>
      <c r="J619" s="169">
        <v>-54305.17</v>
      </c>
      <c r="K619" s="169">
        <v>-41678.97</v>
      </c>
      <c r="L619" s="169">
        <v>-46554.92</v>
      </c>
      <c r="M619" s="169">
        <v>-20357.69</v>
      </c>
      <c r="N619" s="50">
        <v>70916.0</v>
      </c>
      <c r="O619" s="111">
        <v>23.0</v>
      </c>
      <c r="P619" s="168">
        <v>6.0</v>
      </c>
    </row>
    <row r="620">
      <c r="A620" s="160">
        <v>12.0</v>
      </c>
      <c r="B620" s="160">
        <v>87.0</v>
      </c>
      <c r="C620" s="170">
        <v>7616.0</v>
      </c>
      <c r="D620" s="168">
        <v>218.0</v>
      </c>
      <c r="E620" s="24">
        <v>19.0</v>
      </c>
      <c r="F620" s="169">
        <v>31980.06</v>
      </c>
      <c r="G620" s="169">
        <v>-65872.89</v>
      </c>
      <c r="H620" s="169">
        <v>98034.28</v>
      </c>
      <c r="I620" s="169">
        <v>-1190.09</v>
      </c>
      <c r="J620" s="169">
        <v>52071.97</v>
      </c>
      <c r="K620" s="169">
        <v>47419.31</v>
      </c>
      <c r="L620" s="169">
        <v>-97940.52</v>
      </c>
      <c r="M620" s="169">
        <v>1771.21</v>
      </c>
      <c r="N620" s="50">
        <v>41313.0</v>
      </c>
      <c r="O620" s="111">
        <v>23.0</v>
      </c>
      <c r="P620" s="168">
        <v>5.0</v>
      </c>
    </row>
    <row r="621">
      <c r="A621" s="160">
        <v>94.0</v>
      </c>
      <c r="B621" s="160">
        <v>83.0</v>
      </c>
      <c r="C621" s="170">
        <v>7617.0</v>
      </c>
      <c r="D621" s="168">
        <v>214.0</v>
      </c>
      <c r="E621" s="24">
        <v>39.0</v>
      </c>
      <c r="F621" s="169">
        <v>-14190.47</v>
      </c>
      <c r="G621" s="169">
        <v>-15077.17</v>
      </c>
      <c r="H621" s="169">
        <v>-11142.66</v>
      </c>
      <c r="I621" s="169">
        <v>-43181.1</v>
      </c>
      <c r="J621" s="169">
        <v>-12922.46</v>
      </c>
      <c r="K621" s="169">
        <v>30838.91</v>
      </c>
      <c r="L621" s="169">
        <v>-49710.23</v>
      </c>
      <c r="M621" s="169">
        <v>-83294.49</v>
      </c>
      <c r="N621" s="50">
        <v>11313.0</v>
      </c>
      <c r="O621" s="111">
        <v>20.0</v>
      </c>
      <c r="P621" s="168">
        <v>6.0</v>
      </c>
    </row>
    <row r="622">
      <c r="A622" s="160">
        <v>53.0</v>
      </c>
      <c r="B622" s="160">
        <v>87.0</v>
      </c>
      <c r="C622" s="170">
        <v>7618.0</v>
      </c>
      <c r="D622" s="168">
        <v>219.0</v>
      </c>
      <c r="E622" s="24">
        <v>35.0</v>
      </c>
      <c r="F622" s="169">
        <v>-42470.83</v>
      </c>
      <c r="G622" s="169">
        <v>-12879.32</v>
      </c>
      <c r="H622" s="169">
        <v>-12775.72</v>
      </c>
      <c r="I622" s="169">
        <v>17139.74</v>
      </c>
      <c r="J622" s="169">
        <v>44579.7</v>
      </c>
      <c r="K622" s="169">
        <v>-49715.59</v>
      </c>
      <c r="L622" s="169">
        <v>85211.82</v>
      </c>
      <c r="M622" s="169">
        <v>-18101.34</v>
      </c>
      <c r="N622" s="50">
        <v>22019.0</v>
      </c>
      <c r="O622" s="111">
        <v>22.0</v>
      </c>
      <c r="P622" s="168">
        <v>6.0</v>
      </c>
    </row>
    <row r="623">
      <c r="A623" s="160">
        <v>74.0</v>
      </c>
      <c r="B623" s="160">
        <v>38.0</v>
      </c>
      <c r="C623" s="170">
        <v>7619.0</v>
      </c>
      <c r="D623" s="168">
        <v>207.0</v>
      </c>
      <c r="E623" s="24">
        <v>11.0</v>
      </c>
      <c r="F623" s="169">
        <v>68493.36</v>
      </c>
      <c r="G623" s="169">
        <v>-4224.35</v>
      </c>
      <c r="H623" s="169">
        <v>-90933.37</v>
      </c>
      <c r="I623" s="169">
        <v>-723.34</v>
      </c>
      <c r="J623" s="169">
        <v>27320.32</v>
      </c>
      <c r="K623" s="169">
        <v>-33851.28</v>
      </c>
      <c r="L623" s="169">
        <v>-2624.96</v>
      </c>
      <c r="M623" s="169">
        <v>12521.86</v>
      </c>
      <c r="N623" s="50">
        <v>121015.0</v>
      </c>
      <c r="O623" s="111">
        <v>21.0</v>
      </c>
      <c r="P623" s="168">
        <v>9.0</v>
      </c>
    </row>
    <row r="624">
      <c r="A624" s="160">
        <v>94.0</v>
      </c>
      <c r="B624" s="160">
        <v>88.0</v>
      </c>
      <c r="C624" s="147">
        <v>7620.0</v>
      </c>
      <c r="D624" s="168">
        <v>213.0</v>
      </c>
      <c r="E624" s="24">
        <v>45.0</v>
      </c>
      <c r="F624" s="169">
        <v>98180.75</v>
      </c>
      <c r="G624" s="169">
        <v>36605.32</v>
      </c>
      <c r="H624" s="169">
        <v>-87660.41</v>
      </c>
      <c r="I624" s="169">
        <v>-21864.09</v>
      </c>
      <c r="J624" s="169">
        <v>-96922.2</v>
      </c>
      <c r="K624" s="169">
        <v>52497.64</v>
      </c>
      <c r="L624" s="169">
        <v>-65264.98</v>
      </c>
      <c r="M624" s="169">
        <v>-7328.68</v>
      </c>
      <c r="N624" s="50">
        <v>92522.0</v>
      </c>
      <c r="O624" s="111">
        <v>21.0</v>
      </c>
      <c r="P624" s="168">
        <v>5.0</v>
      </c>
    </row>
    <row r="625">
      <c r="A625" s="160">
        <v>74.0</v>
      </c>
      <c r="B625" s="160">
        <v>44.0</v>
      </c>
      <c r="C625" s="170">
        <v>7621.0</v>
      </c>
      <c r="D625" s="168">
        <v>220.0</v>
      </c>
      <c r="E625" s="24">
        <v>38.0</v>
      </c>
      <c r="F625" s="169">
        <v>-38217.63</v>
      </c>
      <c r="G625" s="169">
        <v>36619.45</v>
      </c>
      <c r="H625" s="169">
        <v>-46718.81</v>
      </c>
      <c r="I625" s="169">
        <v>35002.33</v>
      </c>
      <c r="J625" s="169">
        <v>15233.95</v>
      </c>
      <c r="K625" s="169">
        <v>6879.64</v>
      </c>
      <c r="L625" s="169">
        <v>-38978.26</v>
      </c>
      <c r="M625" s="169">
        <v>54231.06</v>
      </c>
      <c r="N625" s="50">
        <v>32521.0</v>
      </c>
      <c r="O625" s="111">
        <v>22.0</v>
      </c>
      <c r="P625" s="168">
        <v>9.0</v>
      </c>
    </row>
    <row r="626">
      <c r="A626" s="160">
        <v>94.0</v>
      </c>
      <c r="B626" s="160">
        <v>94.0</v>
      </c>
      <c r="C626" s="170">
        <v>7622.0</v>
      </c>
      <c r="D626" s="168">
        <v>207.0</v>
      </c>
      <c r="E626" s="24">
        <v>48.0</v>
      </c>
      <c r="F626" s="169">
        <v>-56869.08</v>
      </c>
      <c r="G626" s="169">
        <v>2948.74</v>
      </c>
      <c r="H626" s="169">
        <v>-44595.82</v>
      </c>
      <c r="I626" s="169">
        <v>53487.14</v>
      </c>
      <c r="J626" s="169">
        <v>48572.71</v>
      </c>
      <c r="K626" s="169">
        <v>12494.1</v>
      </c>
      <c r="L626" s="169">
        <v>-57662.02</v>
      </c>
      <c r="M626" s="169">
        <v>-65132.55</v>
      </c>
      <c r="N626" s="50">
        <v>52821.0</v>
      </c>
      <c r="O626" s="111">
        <v>21.0</v>
      </c>
      <c r="P626" s="168">
        <v>2.0</v>
      </c>
    </row>
    <row r="627">
      <c r="A627" s="160">
        <v>94.0</v>
      </c>
      <c r="B627" s="160">
        <v>97.0</v>
      </c>
      <c r="C627" s="170">
        <v>7623.0</v>
      </c>
      <c r="D627" s="168">
        <v>211.0</v>
      </c>
      <c r="E627" s="24">
        <v>94.0</v>
      </c>
      <c r="F627" s="169">
        <v>17632.55</v>
      </c>
      <c r="G627" s="169">
        <v>-63067.07</v>
      </c>
      <c r="H627" s="169">
        <v>85078.27</v>
      </c>
      <c r="I627" s="169">
        <v>-78199.88</v>
      </c>
      <c r="J627" s="169">
        <v>9551.64</v>
      </c>
      <c r="K627" s="169">
        <v>-27850.2</v>
      </c>
      <c r="L627" s="169">
        <v>-44947.65</v>
      </c>
      <c r="M627" s="169">
        <v>2091.83</v>
      </c>
      <c r="N627" s="50">
        <v>72218.0</v>
      </c>
      <c r="O627" s="111">
        <v>23.0</v>
      </c>
      <c r="P627" s="168">
        <v>6.0</v>
      </c>
    </row>
    <row r="628">
      <c r="A628" s="160">
        <v>95.0</v>
      </c>
      <c r="B628" s="160">
        <v>1.0</v>
      </c>
      <c r="C628" s="170">
        <v>7624.0</v>
      </c>
      <c r="D628" s="168">
        <v>218.0</v>
      </c>
      <c r="E628" s="24">
        <v>41.0</v>
      </c>
      <c r="F628" s="169">
        <v>-65962.46</v>
      </c>
      <c r="G628" s="169">
        <v>90076.72</v>
      </c>
      <c r="H628" s="169">
        <v>-69924.91</v>
      </c>
      <c r="I628" s="169">
        <v>-17831.11</v>
      </c>
      <c r="J628" s="169">
        <v>-84527.26</v>
      </c>
      <c r="K628" s="169">
        <v>-85126.17</v>
      </c>
      <c r="L628" s="169">
        <v>7666.84</v>
      </c>
      <c r="M628" s="169">
        <v>-92978.27</v>
      </c>
      <c r="N628" s="50">
        <v>10820.0</v>
      </c>
      <c r="O628" s="111">
        <v>23.0</v>
      </c>
      <c r="P628" s="168">
        <v>2.0</v>
      </c>
    </row>
    <row r="629">
      <c r="A629" s="160">
        <v>33.0</v>
      </c>
      <c r="B629" s="160">
        <v>57.0</v>
      </c>
      <c r="C629" s="147">
        <v>7625.0</v>
      </c>
      <c r="D629" s="168">
        <v>213.0</v>
      </c>
      <c r="E629" s="24">
        <v>95.0</v>
      </c>
      <c r="F629" s="169">
        <v>28363.75</v>
      </c>
      <c r="G629" s="169">
        <v>-28091.36</v>
      </c>
      <c r="H629" s="169">
        <v>-33204.43</v>
      </c>
      <c r="I629" s="169">
        <v>75583.85</v>
      </c>
      <c r="J629" s="169">
        <v>-4684.0</v>
      </c>
      <c r="K629" s="169">
        <v>-44220.89</v>
      </c>
      <c r="L629" s="169">
        <v>7311.38</v>
      </c>
      <c r="M629" s="169">
        <v>93052.73</v>
      </c>
      <c r="N629" s="50">
        <v>91119.0</v>
      </c>
      <c r="O629" s="111">
        <v>22.0</v>
      </c>
      <c r="P629" s="168">
        <v>7.0</v>
      </c>
    </row>
    <row r="630">
      <c r="A630" s="160">
        <v>33.0</v>
      </c>
      <c r="B630" s="160">
        <v>62.0</v>
      </c>
      <c r="C630" s="170">
        <v>7626.0</v>
      </c>
      <c r="D630" s="168">
        <v>213.0</v>
      </c>
      <c r="E630" s="24">
        <v>79.0</v>
      </c>
      <c r="F630" s="169">
        <v>-60095.15</v>
      </c>
      <c r="G630" s="169">
        <v>-67374.91</v>
      </c>
      <c r="H630" s="169">
        <v>22825.58</v>
      </c>
      <c r="I630" s="169">
        <v>-74070.8</v>
      </c>
      <c r="J630" s="169">
        <v>94184.44</v>
      </c>
      <c r="K630" s="169">
        <v>65281.97</v>
      </c>
      <c r="L630" s="169">
        <v>78827.5</v>
      </c>
      <c r="M630" s="169">
        <v>-91954.32</v>
      </c>
      <c r="N630" s="50">
        <v>40222.0</v>
      </c>
      <c r="O630" s="111">
        <v>21.0</v>
      </c>
      <c r="P630" s="168">
        <v>5.0</v>
      </c>
    </row>
    <row r="631">
      <c r="A631" s="160">
        <v>33.0</v>
      </c>
      <c r="B631" s="160">
        <v>63.0</v>
      </c>
      <c r="C631" s="170">
        <v>7627.0</v>
      </c>
      <c r="D631" s="168">
        <v>202.0</v>
      </c>
      <c r="E631" s="24">
        <v>74.0</v>
      </c>
      <c r="F631" s="169">
        <v>38125.07</v>
      </c>
      <c r="G631" s="169">
        <v>-71035.49</v>
      </c>
      <c r="H631" s="169">
        <v>81697.98</v>
      </c>
      <c r="I631" s="169">
        <v>73581.52</v>
      </c>
      <c r="J631" s="169">
        <v>19572.69</v>
      </c>
      <c r="K631" s="169">
        <v>76072.39</v>
      </c>
      <c r="L631" s="169">
        <v>-41251.49</v>
      </c>
      <c r="M631" s="169">
        <v>21473.73</v>
      </c>
      <c r="N631" s="50">
        <v>121622.0</v>
      </c>
      <c r="O631" s="111">
        <v>21.0</v>
      </c>
      <c r="P631" s="168">
        <v>1.0</v>
      </c>
    </row>
    <row r="632">
      <c r="A632" s="160">
        <v>74.0</v>
      </c>
      <c r="B632" s="160">
        <v>61.0</v>
      </c>
      <c r="C632" s="170">
        <v>7628.0</v>
      </c>
      <c r="D632" s="168">
        <v>207.0</v>
      </c>
      <c r="E632" s="24">
        <v>53.0</v>
      </c>
      <c r="F632" s="169">
        <v>-31619.82</v>
      </c>
      <c r="G632" s="169">
        <v>-73005.43</v>
      </c>
      <c r="H632" s="169">
        <v>41457.54</v>
      </c>
      <c r="I632" s="169">
        <v>-61305.12</v>
      </c>
      <c r="J632" s="169">
        <v>-5489.74</v>
      </c>
      <c r="K632" s="169">
        <v>15548.82</v>
      </c>
      <c r="L632" s="169">
        <v>-47928.48</v>
      </c>
      <c r="M632" s="169">
        <v>41188.88</v>
      </c>
      <c r="N632" s="50">
        <v>110420.0</v>
      </c>
      <c r="O632" s="111">
        <v>21.0</v>
      </c>
      <c r="P632" s="168">
        <v>2.0</v>
      </c>
    </row>
    <row r="633">
      <c r="A633" s="160">
        <v>13.0</v>
      </c>
      <c r="B633" s="160">
        <v>18.0</v>
      </c>
      <c r="C633" s="170">
        <v>7629.0</v>
      </c>
      <c r="D633" s="168">
        <v>214.0</v>
      </c>
      <c r="E633" s="24">
        <v>84.0</v>
      </c>
      <c r="F633" s="169">
        <v>7828.32</v>
      </c>
      <c r="G633" s="169">
        <v>-43741.03</v>
      </c>
      <c r="H633" s="169">
        <v>-3798.59</v>
      </c>
      <c r="I633" s="169">
        <v>-66975.56</v>
      </c>
      <c r="J633" s="169">
        <v>-57119.5</v>
      </c>
      <c r="K633" s="169">
        <v>-20994.33</v>
      </c>
      <c r="L633" s="169">
        <v>3262.2</v>
      </c>
      <c r="M633" s="169">
        <v>84518.2</v>
      </c>
      <c r="N633" s="50">
        <v>71915.0</v>
      </c>
      <c r="O633" s="111">
        <v>22.0</v>
      </c>
      <c r="P633" s="168">
        <v>6.0</v>
      </c>
    </row>
    <row r="634">
      <c r="A634" s="160">
        <v>74.0</v>
      </c>
      <c r="B634" s="160">
        <v>63.0</v>
      </c>
      <c r="C634" s="147">
        <v>7630.0</v>
      </c>
      <c r="D634" s="168">
        <v>215.0</v>
      </c>
      <c r="E634" s="24">
        <v>98.0</v>
      </c>
      <c r="F634" s="169">
        <v>-517.36</v>
      </c>
      <c r="G634" s="169">
        <v>73055.43</v>
      </c>
      <c r="H634" s="169">
        <v>-11664.55</v>
      </c>
      <c r="I634" s="169">
        <v>23077.55</v>
      </c>
      <c r="J634" s="169">
        <v>-68755.1</v>
      </c>
      <c r="K634" s="169">
        <v>62742.12</v>
      </c>
      <c r="L634" s="169">
        <v>-68131.6</v>
      </c>
      <c r="M634" s="169">
        <v>-6696.01</v>
      </c>
      <c r="N634" s="50">
        <v>111815.0</v>
      </c>
      <c r="O634" s="111">
        <v>23.0</v>
      </c>
      <c r="P634" s="168">
        <v>6.0</v>
      </c>
    </row>
    <row r="635">
      <c r="A635" s="160">
        <v>95.0</v>
      </c>
      <c r="B635" s="160">
        <v>12.0</v>
      </c>
      <c r="C635" s="170">
        <v>7631.0</v>
      </c>
      <c r="D635" s="168">
        <v>202.0</v>
      </c>
      <c r="E635" s="24">
        <v>42.0</v>
      </c>
      <c r="F635" s="169">
        <v>-10681.03</v>
      </c>
      <c r="G635" s="169">
        <v>68458.15</v>
      </c>
      <c r="H635" s="169">
        <v>44890.39</v>
      </c>
      <c r="I635" s="169">
        <v>-12257.79</v>
      </c>
      <c r="J635" s="169">
        <v>-45077.07</v>
      </c>
      <c r="K635" s="169">
        <v>-19429.65</v>
      </c>
      <c r="L635" s="169">
        <v>-77725.79</v>
      </c>
      <c r="M635" s="169">
        <v>89819.05</v>
      </c>
      <c r="N635" s="50">
        <v>72814.0</v>
      </c>
      <c r="O635" s="111">
        <v>21.0</v>
      </c>
      <c r="P635" s="168">
        <v>3.0</v>
      </c>
    </row>
    <row r="636">
      <c r="A636" s="160">
        <v>95.0</v>
      </c>
      <c r="B636" s="160">
        <v>10.0</v>
      </c>
      <c r="C636" s="170">
        <v>7632.0</v>
      </c>
      <c r="D636" s="168">
        <v>220.0</v>
      </c>
      <c r="E636" s="24">
        <v>26.0</v>
      </c>
      <c r="F636" s="169">
        <v>-43878.01</v>
      </c>
      <c r="G636" s="169">
        <v>27633.48</v>
      </c>
      <c r="H636" s="169">
        <v>59914.6</v>
      </c>
      <c r="I636" s="169">
        <v>5094.31</v>
      </c>
      <c r="J636" s="169">
        <v>-56746.96</v>
      </c>
      <c r="K636" s="169">
        <v>46729.99</v>
      </c>
      <c r="L636" s="169">
        <v>-98006.63</v>
      </c>
      <c r="M636" s="169">
        <v>-11113.66</v>
      </c>
      <c r="N636" s="50">
        <v>122920.0</v>
      </c>
      <c r="O636" s="111">
        <v>20.0</v>
      </c>
      <c r="P636" s="168">
        <v>6.0</v>
      </c>
    </row>
    <row r="637">
      <c r="A637" s="160">
        <v>33.0</v>
      </c>
      <c r="B637" s="160">
        <v>68.0</v>
      </c>
      <c r="C637" s="170">
        <v>7633.0</v>
      </c>
      <c r="D637" s="168">
        <v>203.0</v>
      </c>
      <c r="E637" s="24">
        <v>36.0</v>
      </c>
      <c r="F637" s="169">
        <v>-47944.49</v>
      </c>
      <c r="G637" s="169">
        <v>-21954.54</v>
      </c>
      <c r="H637" s="169">
        <v>5724.52</v>
      </c>
      <c r="I637" s="169">
        <v>73679.03</v>
      </c>
      <c r="J637" s="169">
        <v>3938.07</v>
      </c>
      <c r="K637" s="169">
        <v>78997.19</v>
      </c>
      <c r="L637" s="169">
        <v>29511.54</v>
      </c>
      <c r="M637" s="169">
        <v>-67762.42</v>
      </c>
      <c r="N637" s="50">
        <v>40114.0</v>
      </c>
      <c r="O637" s="111">
        <v>23.0</v>
      </c>
      <c r="P637" s="168">
        <v>9.0</v>
      </c>
    </row>
    <row r="638">
      <c r="A638" s="160">
        <v>33.0</v>
      </c>
      <c r="B638" s="160">
        <v>65.0</v>
      </c>
      <c r="C638" s="170">
        <v>7634.0</v>
      </c>
      <c r="D638" s="168">
        <v>216.0</v>
      </c>
      <c r="E638" s="24">
        <v>14.0</v>
      </c>
      <c r="F638" s="169">
        <v>-62802.84</v>
      </c>
      <c r="G638" s="169">
        <v>23756.51</v>
      </c>
      <c r="H638" s="169">
        <v>-75886.83</v>
      </c>
      <c r="I638" s="169">
        <v>27468.69</v>
      </c>
      <c r="J638" s="169">
        <v>-97241.41</v>
      </c>
      <c r="K638" s="169">
        <v>-85852.77</v>
      </c>
      <c r="L638" s="169">
        <v>-49047.56</v>
      </c>
      <c r="M638" s="169">
        <v>-56560.71</v>
      </c>
      <c r="N638" s="50">
        <v>41820.0</v>
      </c>
      <c r="O638" s="111">
        <v>21.0</v>
      </c>
      <c r="P638" s="168">
        <v>3.0</v>
      </c>
    </row>
    <row r="639">
      <c r="A639" s="160">
        <v>54.0</v>
      </c>
      <c r="B639" s="160">
        <v>20.0</v>
      </c>
      <c r="C639" s="147">
        <v>7635.0</v>
      </c>
      <c r="D639" s="168">
        <v>217.0</v>
      </c>
      <c r="E639" s="24">
        <v>56.0</v>
      </c>
      <c r="F639" s="169">
        <v>89367.32</v>
      </c>
      <c r="G639" s="169">
        <v>-53470.13</v>
      </c>
      <c r="H639" s="169">
        <v>-41121.29</v>
      </c>
      <c r="I639" s="169">
        <v>56759.83</v>
      </c>
      <c r="J639" s="169">
        <v>-2107.69</v>
      </c>
      <c r="K639" s="169">
        <v>-3570.37</v>
      </c>
      <c r="L639" s="169">
        <v>73602.59</v>
      </c>
      <c r="M639" s="169">
        <v>-95416.32</v>
      </c>
      <c r="N639" s="50">
        <v>11720.0</v>
      </c>
      <c r="O639" s="111">
        <v>21.0</v>
      </c>
      <c r="P639" s="168">
        <v>3.0</v>
      </c>
    </row>
    <row r="640">
      <c r="A640" s="160">
        <v>33.0</v>
      </c>
      <c r="B640" s="160">
        <v>72.0</v>
      </c>
      <c r="C640" s="170">
        <v>7636.0</v>
      </c>
      <c r="D640" s="168">
        <v>214.0</v>
      </c>
      <c r="E640" s="24">
        <v>31.0</v>
      </c>
      <c r="F640" s="169">
        <v>23970.22</v>
      </c>
      <c r="G640" s="169">
        <v>63056.56</v>
      </c>
      <c r="H640" s="169">
        <v>-41950.3</v>
      </c>
      <c r="I640" s="169">
        <v>-21795.29</v>
      </c>
      <c r="J640" s="169">
        <v>49601.28</v>
      </c>
      <c r="K640" s="169">
        <v>6057.57</v>
      </c>
      <c r="L640" s="169">
        <v>-83288.62</v>
      </c>
      <c r="M640" s="169">
        <v>-42897.19</v>
      </c>
      <c r="N640" s="50">
        <v>110520.0</v>
      </c>
      <c r="O640" s="111">
        <v>21.0</v>
      </c>
      <c r="P640" s="168">
        <v>9.0</v>
      </c>
    </row>
    <row r="641">
      <c r="A641" s="160">
        <v>13.0</v>
      </c>
      <c r="B641" s="160">
        <v>24.0</v>
      </c>
      <c r="C641" s="170">
        <v>7637.0</v>
      </c>
      <c r="D641" s="168">
        <v>212.0</v>
      </c>
      <c r="E641" s="24">
        <v>79.0</v>
      </c>
      <c r="F641" s="169">
        <v>-38692.0</v>
      </c>
      <c r="G641" s="169">
        <v>54988.05</v>
      </c>
      <c r="H641" s="169">
        <v>27846.45</v>
      </c>
      <c r="I641" s="169">
        <v>-99754.78</v>
      </c>
      <c r="J641" s="169">
        <v>25719.15</v>
      </c>
      <c r="K641" s="169">
        <v>-89433.95</v>
      </c>
      <c r="L641" s="169">
        <v>-58856.5</v>
      </c>
      <c r="M641" s="169">
        <v>71783.63</v>
      </c>
      <c r="N641" s="50">
        <v>51116.0</v>
      </c>
      <c r="O641" s="111">
        <v>23.0</v>
      </c>
      <c r="P641" s="168">
        <v>7.0</v>
      </c>
    </row>
    <row r="642">
      <c r="A642" s="160">
        <v>13.0</v>
      </c>
      <c r="B642" s="160">
        <v>27.0</v>
      </c>
      <c r="C642" s="170">
        <v>7638.0</v>
      </c>
      <c r="D642" s="168">
        <v>214.0</v>
      </c>
      <c r="E642" s="24">
        <v>40.0</v>
      </c>
      <c r="F642" s="169">
        <v>-61983.0</v>
      </c>
      <c r="G642" s="169">
        <v>76320.75</v>
      </c>
      <c r="H642" s="169">
        <v>-84761.85</v>
      </c>
      <c r="I642" s="169">
        <v>5829.68</v>
      </c>
      <c r="J642" s="169">
        <v>69634.24</v>
      </c>
      <c r="K642" s="169">
        <v>77071.22</v>
      </c>
      <c r="L642" s="169">
        <v>-9334.0</v>
      </c>
      <c r="M642" s="169">
        <v>34017.88</v>
      </c>
      <c r="N642" s="50">
        <v>80722.0</v>
      </c>
      <c r="O642" s="111">
        <v>22.0</v>
      </c>
      <c r="P642" s="168">
        <v>6.0</v>
      </c>
    </row>
    <row r="643">
      <c r="A643" s="160">
        <v>95.0</v>
      </c>
      <c r="B643" s="160">
        <v>11.0</v>
      </c>
      <c r="C643" s="170">
        <v>7639.0</v>
      </c>
      <c r="D643" s="168">
        <v>202.0</v>
      </c>
      <c r="E643" s="24">
        <v>48.0</v>
      </c>
      <c r="F643" s="169">
        <v>-99591.54</v>
      </c>
      <c r="G643" s="169">
        <v>86541.27</v>
      </c>
      <c r="H643" s="169">
        <v>2024.47</v>
      </c>
      <c r="I643" s="169">
        <v>64394.52</v>
      </c>
      <c r="J643" s="169">
        <v>-96558.16</v>
      </c>
      <c r="K643" s="169">
        <v>46085.76</v>
      </c>
      <c r="L643" s="169">
        <v>95034.06</v>
      </c>
      <c r="M643" s="169">
        <v>-21481.62</v>
      </c>
      <c r="N643" s="50">
        <v>70218.0</v>
      </c>
      <c r="O643" s="111">
        <v>21.0</v>
      </c>
      <c r="P643" s="168">
        <v>8.0</v>
      </c>
    </row>
    <row r="644">
      <c r="A644" s="160">
        <v>33.0</v>
      </c>
      <c r="B644" s="160">
        <v>80.0</v>
      </c>
      <c r="C644" s="147">
        <v>7640.0</v>
      </c>
      <c r="D644" s="168">
        <v>201.0</v>
      </c>
      <c r="E644" s="24">
        <v>86.0</v>
      </c>
      <c r="F644" s="169">
        <v>-37364.19</v>
      </c>
      <c r="G644" s="169">
        <v>-47474.94</v>
      </c>
      <c r="H644" s="169">
        <v>-18412.45</v>
      </c>
      <c r="I644" s="169">
        <v>83773.02</v>
      </c>
      <c r="J644" s="169">
        <v>-80016.15</v>
      </c>
      <c r="K644" s="169">
        <v>72541.77</v>
      </c>
      <c r="L644" s="169">
        <v>1023.28</v>
      </c>
      <c r="M644" s="169">
        <v>-28363.93</v>
      </c>
      <c r="N644" s="50">
        <v>31622.0</v>
      </c>
      <c r="O644" s="111">
        <v>20.0</v>
      </c>
      <c r="P644" s="168">
        <v>2.0</v>
      </c>
    </row>
    <row r="645">
      <c r="A645" s="160">
        <v>13.0</v>
      </c>
      <c r="B645" s="160">
        <v>36.0</v>
      </c>
      <c r="C645" s="170">
        <v>7641.0</v>
      </c>
      <c r="D645" s="168">
        <v>206.0</v>
      </c>
      <c r="E645" s="24">
        <v>49.0</v>
      </c>
      <c r="F645" s="169">
        <v>94229.74</v>
      </c>
      <c r="G645" s="169">
        <v>-24918.46</v>
      </c>
      <c r="H645" s="169">
        <v>-37149.79</v>
      </c>
      <c r="I645" s="169">
        <v>-81122.55</v>
      </c>
      <c r="J645" s="169">
        <v>74778.34</v>
      </c>
      <c r="K645" s="169">
        <v>-12631.32</v>
      </c>
      <c r="L645" s="169">
        <v>-22638.13</v>
      </c>
      <c r="M645" s="169">
        <v>97828.06</v>
      </c>
      <c r="N645" s="50">
        <v>11820.0</v>
      </c>
      <c r="O645" s="111">
        <v>21.0</v>
      </c>
      <c r="P645" s="168">
        <v>2.0</v>
      </c>
    </row>
    <row r="646">
      <c r="A646" s="160">
        <v>13.0</v>
      </c>
      <c r="B646" s="160">
        <v>37.0</v>
      </c>
      <c r="C646" s="170">
        <v>7642.0</v>
      </c>
      <c r="D646" s="168">
        <v>201.0</v>
      </c>
      <c r="E646" s="24">
        <v>84.0</v>
      </c>
      <c r="F646" s="169">
        <v>40802.64</v>
      </c>
      <c r="G646" s="169">
        <v>-68397.34</v>
      </c>
      <c r="H646" s="169">
        <v>96278.47</v>
      </c>
      <c r="I646" s="169">
        <v>54759.07</v>
      </c>
      <c r="J646" s="169">
        <v>10392.83</v>
      </c>
      <c r="K646" s="169">
        <v>-2389.11</v>
      </c>
      <c r="L646" s="169">
        <v>-61636.72</v>
      </c>
      <c r="M646" s="169">
        <v>-77602.47</v>
      </c>
      <c r="N646" s="50">
        <v>91122.0</v>
      </c>
      <c r="O646" s="111">
        <v>23.0</v>
      </c>
      <c r="P646" s="168">
        <v>3.0</v>
      </c>
    </row>
    <row r="647">
      <c r="A647" s="160">
        <v>33.0</v>
      </c>
      <c r="B647" s="160">
        <v>85.0</v>
      </c>
      <c r="C647" s="170">
        <v>7643.0</v>
      </c>
      <c r="D647" s="168">
        <v>200.0</v>
      </c>
      <c r="E647" s="24">
        <v>78.0</v>
      </c>
      <c r="F647" s="169">
        <v>81122.25</v>
      </c>
      <c r="G647" s="169">
        <v>61597.87</v>
      </c>
      <c r="H647" s="169">
        <v>-6210.47</v>
      </c>
      <c r="I647" s="169">
        <v>4379.31</v>
      </c>
      <c r="J647" s="169">
        <v>45732.48</v>
      </c>
      <c r="K647" s="169">
        <v>87005.7</v>
      </c>
      <c r="L647" s="169">
        <v>73936.17</v>
      </c>
      <c r="M647" s="169">
        <v>71127.7</v>
      </c>
      <c r="N647" s="50">
        <v>103121.0</v>
      </c>
      <c r="O647" s="111">
        <v>23.0</v>
      </c>
      <c r="P647" s="168">
        <v>7.0</v>
      </c>
    </row>
    <row r="648">
      <c r="A648" s="160">
        <v>54.0</v>
      </c>
      <c r="B648" s="160">
        <v>35.0</v>
      </c>
      <c r="C648" s="170">
        <v>7644.0</v>
      </c>
      <c r="D648" s="168">
        <v>207.0</v>
      </c>
      <c r="E648" s="24">
        <v>51.0</v>
      </c>
      <c r="F648" s="169">
        <v>8715.74</v>
      </c>
      <c r="G648" s="169">
        <v>67063.94</v>
      </c>
      <c r="H648" s="169">
        <v>-86899.07</v>
      </c>
      <c r="I648" s="169">
        <v>-85728.31</v>
      </c>
      <c r="J648" s="169">
        <v>81506.93</v>
      </c>
      <c r="K648" s="169">
        <v>80207.07</v>
      </c>
      <c r="L648" s="169">
        <v>53276.17</v>
      </c>
      <c r="M648" s="169">
        <v>-78192.81</v>
      </c>
      <c r="N648" s="50">
        <v>81914.0</v>
      </c>
      <c r="O648" s="111">
        <v>20.0</v>
      </c>
      <c r="P648" s="168">
        <v>4.0</v>
      </c>
    </row>
    <row r="649">
      <c r="A649" s="160">
        <v>74.0</v>
      </c>
      <c r="B649" s="160">
        <v>84.0</v>
      </c>
      <c r="C649" s="147">
        <v>7645.0</v>
      </c>
      <c r="D649" s="168">
        <v>207.0</v>
      </c>
      <c r="E649" s="24">
        <v>76.0</v>
      </c>
      <c r="F649" s="169">
        <v>-9301.33</v>
      </c>
      <c r="G649" s="169">
        <v>-44519.09</v>
      </c>
      <c r="H649" s="169">
        <v>-47082.15</v>
      </c>
      <c r="I649" s="169">
        <v>43239.19</v>
      </c>
      <c r="J649" s="169">
        <v>-69003.04</v>
      </c>
      <c r="K649" s="169">
        <v>-83857.13</v>
      </c>
      <c r="L649" s="169">
        <v>-57585.74</v>
      </c>
      <c r="M649" s="169">
        <v>31645.5</v>
      </c>
      <c r="N649" s="50">
        <v>80219.0</v>
      </c>
      <c r="O649" s="111">
        <v>21.0</v>
      </c>
      <c r="P649" s="168">
        <v>2.0</v>
      </c>
    </row>
    <row r="650">
      <c r="A650" s="160">
        <v>95.0</v>
      </c>
      <c r="B650" s="160">
        <v>29.0</v>
      </c>
      <c r="C650" s="170">
        <v>7646.0</v>
      </c>
      <c r="D650" s="168">
        <v>219.0</v>
      </c>
      <c r="E650" s="24">
        <v>54.0</v>
      </c>
      <c r="F650" s="169">
        <v>55316.51</v>
      </c>
      <c r="G650" s="169">
        <v>-60787.04</v>
      </c>
      <c r="H650" s="169">
        <v>-965.5</v>
      </c>
      <c r="I650" s="169">
        <v>-53983.09</v>
      </c>
      <c r="J650" s="169">
        <v>14473.5</v>
      </c>
      <c r="K650" s="169">
        <v>-89364.35</v>
      </c>
      <c r="L650" s="169">
        <v>-32143.82</v>
      </c>
      <c r="M650" s="169">
        <v>-78404.89</v>
      </c>
      <c r="N650" s="50">
        <v>112121.0</v>
      </c>
      <c r="O650" s="111">
        <v>21.0</v>
      </c>
      <c r="P650" s="168">
        <v>6.0</v>
      </c>
    </row>
    <row r="651">
      <c r="A651" s="160">
        <v>33.0</v>
      </c>
      <c r="B651" s="160">
        <v>90.0</v>
      </c>
      <c r="C651" s="170">
        <v>7647.0</v>
      </c>
      <c r="D651" s="168">
        <v>218.0</v>
      </c>
      <c r="E651" s="24">
        <v>84.0</v>
      </c>
      <c r="F651" s="169">
        <v>74263.48</v>
      </c>
      <c r="G651" s="169">
        <v>58996.18</v>
      </c>
      <c r="H651" s="169">
        <v>-25806.92</v>
      </c>
      <c r="I651" s="169">
        <v>23719.89</v>
      </c>
      <c r="J651" s="169">
        <v>71965.71</v>
      </c>
      <c r="K651" s="169">
        <v>38859.84</v>
      </c>
      <c r="L651" s="169">
        <v>-34799.7</v>
      </c>
      <c r="M651" s="169">
        <v>16136.56</v>
      </c>
      <c r="N651" s="50">
        <v>92917.0</v>
      </c>
      <c r="O651" s="111">
        <v>23.0</v>
      </c>
      <c r="P651" s="168">
        <v>6.0</v>
      </c>
    </row>
    <row r="652">
      <c r="A652" s="160">
        <v>54.0</v>
      </c>
      <c r="B652" s="160">
        <v>38.0</v>
      </c>
      <c r="C652" s="170">
        <v>7648.0</v>
      </c>
      <c r="D652" s="168">
        <v>218.0</v>
      </c>
      <c r="E652" s="24">
        <v>87.0</v>
      </c>
      <c r="F652" s="169">
        <v>-96459.23</v>
      </c>
      <c r="G652" s="169">
        <v>-587.6</v>
      </c>
      <c r="H652" s="169">
        <v>90410.51</v>
      </c>
      <c r="I652" s="169">
        <v>33096.31</v>
      </c>
      <c r="J652" s="169">
        <v>-64534.0</v>
      </c>
      <c r="K652" s="169">
        <v>-72673.53</v>
      </c>
      <c r="L652" s="169">
        <v>-18203.68</v>
      </c>
      <c r="M652" s="169">
        <v>68921.69</v>
      </c>
      <c r="N652" s="50">
        <v>120521.0</v>
      </c>
      <c r="O652" s="111">
        <v>20.0</v>
      </c>
      <c r="P652" s="168">
        <v>2.0</v>
      </c>
    </row>
    <row r="653">
      <c r="A653" s="160">
        <v>74.0</v>
      </c>
      <c r="B653" s="160">
        <v>88.0</v>
      </c>
      <c r="C653" s="170">
        <v>7649.0</v>
      </c>
      <c r="D653" s="168">
        <v>213.0</v>
      </c>
      <c r="E653" s="24">
        <v>29.0</v>
      </c>
      <c r="F653" s="169">
        <v>6762.2</v>
      </c>
      <c r="G653" s="169">
        <v>41353.38</v>
      </c>
      <c r="H653" s="169">
        <v>62932.69</v>
      </c>
      <c r="I653" s="169">
        <v>-50128.77</v>
      </c>
      <c r="J653" s="169">
        <v>-43033.64</v>
      </c>
      <c r="K653" s="169">
        <v>-35326.95</v>
      </c>
      <c r="L653" s="169">
        <v>80012.17</v>
      </c>
      <c r="M653" s="169">
        <v>65681.93</v>
      </c>
      <c r="N653" s="50">
        <v>51114.0</v>
      </c>
      <c r="O653" s="111">
        <v>23.0</v>
      </c>
      <c r="P653" s="168">
        <v>2.0</v>
      </c>
    </row>
    <row r="654">
      <c r="A654" s="160">
        <v>33.0</v>
      </c>
      <c r="B654" s="160">
        <v>93.0</v>
      </c>
      <c r="C654" s="147">
        <v>7650.0</v>
      </c>
      <c r="D654" s="168">
        <v>208.0</v>
      </c>
      <c r="E654" s="24">
        <v>32.0</v>
      </c>
      <c r="F654" s="169">
        <v>96097.03</v>
      </c>
      <c r="G654" s="169">
        <v>-63076.48</v>
      </c>
      <c r="H654" s="169">
        <v>23888.05</v>
      </c>
      <c r="I654" s="169">
        <v>44486.92</v>
      </c>
      <c r="J654" s="169">
        <v>88116.85</v>
      </c>
      <c r="K654" s="169">
        <v>-48627.0</v>
      </c>
      <c r="L654" s="169">
        <v>46935.25</v>
      </c>
      <c r="M654" s="169">
        <v>8774.76</v>
      </c>
      <c r="N654" s="50">
        <v>52515.0</v>
      </c>
      <c r="O654" s="111">
        <v>22.0</v>
      </c>
      <c r="P654" s="168">
        <v>3.0</v>
      </c>
    </row>
    <row r="655">
      <c r="A655" s="160">
        <v>74.0</v>
      </c>
      <c r="B655" s="160">
        <v>89.0</v>
      </c>
      <c r="C655" s="170">
        <v>7651.0</v>
      </c>
      <c r="D655" s="168">
        <v>218.0</v>
      </c>
      <c r="E655" s="24">
        <v>93.0</v>
      </c>
      <c r="F655" s="169">
        <v>25521.24</v>
      </c>
      <c r="G655" s="169">
        <v>-19475.95</v>
      </c>
      <c r="H655" s="169">
        <v>-39380.65</v>
      </c>
      <c r="I655" s="169">
        <v>-89542.76</v>
      </c>
      <c r="J655" s="169">
        <v>-22921.04</v>
      </c>
      <c r="K655" s="169">
        <v>-33419.8</v>
      </c>
      <c r="L655" s="169">
        <v>-36174.57</v>
      </c>
      <c r="M655" s="169">
        <v>45889.15</v>
      </c>
      <c r="N655" s="50">
        <v>121717.0</v>
      </c>
      <c r="O655" s="111">
        <v>23.0</v>
      </c>
      <c r="P655" s="168">
        <v>6.0</v>
      </c>
    </row>
    <row r="656">
      <c r="A656" s="160">
        <v>95.0</v>
      </c>
      <c r="B656" s="160">
        <v>38.0</v>
      </c>
      <c r="C656" s="170">
        <v>7652.0</v>
      </c>
      <c r="D656" s="168">
        <v>215.0</v>
      </c>
      <c r="E656" s="24">
        <v>35.0</v>
      </c>
      <c r="F656" s="169">
        <v>-73764.68</v>
      </c>
      <c r="G656" s="169">
        <v>-15057.52</v>
      </c>
      <c r="H656" s="169">
        <v>10946.42</v>
      </c>
      <c r="I656" s="169">
        <v>89250.91</v>
      </c>
      <c r="J656" s="169">
        <v>68041.15</v>
      </c>
      <c r="K656" s="169">
        <v>20899.25</v>
      </c>
      <c r="L656" s="169">
        <v>-97972.6</v>
      </c>
      <c r="M656" s="169">
        <v>-92132.98</v>
      </c>
      <c r="N656" s="50">
        <v>92015.0</v>
      </c>
      <c r="O656" s="111">
        <v>20.0</v>
      </c>
      <c r="P656" s="168">
        <v>7.0</v>
      </c>
    </row>
    <row r="657">
      <c r="A657" s="160">
        <v>54.0</v>
      </c>
      <c r="B657" s="160">
        <v>47.0</v>
      </c>
      <c r="C657" s="170">
        <v>7653.0</v>
      </c>
      <c r="D657" s="168">
        <v>219.0</v>
      </c>
      <c r="E657" s="24">
        <v>61.0</v>
      </c>
      <c r="F657" s="169">
        <v>-23148.12</v>
      </c>
      <c r="G657" s="169">
        <v>-47898.46</v>
      </c>
      <c r="H657" s="169">
        <v>-3155.54</v>
      </c>
      <c r="I657" s="169">
        <v>-19594.26</v>
      </c>
      <c r="J657" s="169">
        <v>99109.83</v>
      </c>
      <c r="K657" s="169">
        <v>76135.36</v>
      </c>
      <c r="L657" s="169">
        <v>43358.47</v>
      </c>
      <c r="M657" s="169">
        <v>-38148.21</v>
      </c>
      <c r="N657" s="50">
        <v>113020.0</v>
      </c>
      <c r="O657" s="111">
        <v>21.0</v>
      </c>
      <c r="P657" s="168">
        <v>3.0</v>
      </c>
    </row>
    <row r="658">
      <c r="A658" s="160">
        <v>13.0</v>
      </c>
      <c r="B658" s="160">
        <v>51.0</v>
      </c>
      <c r="C658" s="170">
        <v>7654.0</v>
      </c>
      <c r="D658" s="168">
        <v>200.0</v>
      </c>
      <c r="E658" s="24">
        <v>30.0</v>
      </c>
      <c r="F658" s="169">
        <v>89861.56</v>
      </c>
      <c r="G658" s="169">
        <v>48128.98</v>
      </c>
      <c r="H658" s="169">
        <v>4024.04</v>
      </c>
      <c r="I658" s="169">
        <v>4512.75</v>
      </c>
      <c r="J658" s="169">
        <v>67000.24</v>
      </c>
      <c r="K658" s="169">
        <v>-70847.46</v>
      </c>
      <c r="L658" s="169">
        <v>91026.87</v>
      </c>
      <c r="M658" s="169">
        <v>-11419.43</v>
      </c>
      <c r="N658" s="50">
        <v>102816.0</v>
      </c>
      <c r="O658" s="111">
        <v>23.0</v>
      </c>
      <c r="P658" s="168">
        <v>7.0</v>
      </c>
    </row>
    <row r="659">
      <c r="A659" s="160">
        <v>74.0</v>
      </c>
      <c r="B659" s="160">
        <v>96.0</v>
      </c>
      <c r="C659" s="147">
        <v>7655.0</v>
      </c>
      <c r="D659" s="168">
        <v>218.0</v>
      </c>
      <c r="E659" s="24">
        <v>31.0</v>
      </c>
      <c r="F659" s="169">
        <v>89352.83</v>
      </c>
      <c r="G659" s="169">
        <v>-44854.02</v>
      </c>
      <c r="H659" s="169">
        <v>87574.38</v>
      </c>
      <c r="I659" s="169">
        <v>-87996.95</v>
      </c>
      <c r="J659" s="169">
        <v>-75130.3</v>
      </c>
      <c r="K659" s="169">
        <v>-60209.65</v>
      </c>
      <c r="L659" s="169">
        <v>60194.7</v>
      </c>
      <c r="M659" s="169">
        <v>99708.03</v>
      </c>
      <c r="N659" s="50">
        <v>72213.0</v>
      </c>
      <c r="O659" s="111">
        <v>23.0</v>
      </c>
      <c r="P659" s="168">
        <v>4.0</v>
      </c>
    </row>
    <row r="660">
      <c r="A660" s="160">
        <v>95.0</v>
      </c>
      <c r="B660" s="160">
        <v>47.0</v>
      </c>
      <c r="C660" s="170">
        <v>7656.0</v>
      </c>
      <c r="D660" s="168">
        <v>214.0</v>
      </c>
      <c r="E660" s="24">
        <v>43.0</v>
      </c>
      <c r="F660" s="169">
        <v>-37677.42</v>
      </c>
      <c r="G660" s="169">
        <v>-5919.41</v>
      </c>
      <c r="H660" s="169">
        <v>71193.22</v>
      </c>
      <c r="I660" s="169">
        <v>90612.04</v>
      </c>
      <c r="J660" s="169">
        <v>-24140.21</v>
      </c>
      <c r="K660" s="169">
        <v>-47504.76</v>
      </c>
      <c r="L660" s="169">
        <v>27120.52</v>
      </c>
      <c r="M660" s="169">
        <v>-55074.25</v>
      </c>
      <c r="N660" s="50">
        <v>33016.0</v>
      </c>
      <c r="O660" s="111">
        <v>23.0</v>
      </c>
      <c r="P660" s="168">
        <v>7.0</v>
      </c>
    </row>
    <row r="661">
      <c r="A661" s="160">
        <v>75.0</v>
      </c>
      <c r="B661" s="160">
        <v>0.0</v>
      </c>
      <c r="C661" s="170">
        <v>7657.0</v>
      </c>
      <c r="D661" s="168">
        <v>209.0</v>
      </c>
      <c r="E661" s="24">
        <v>77.0</v>
      </c>
      <c r="F661" s="169">
        <v>77015.33</v>
      </c>
      <c r="G661" s="169">
        <v>-32741.77</v>
      </c>
      <c r="H661" s="169">
        <v>-99914.28</v>
      </c>
      <c r="I661" s="169">
        <v>52124.18</v>
      </c>
      <c r="J661" s="169">
        <v>-38032.05</v>
      </c>
      <c r="K661" s="169">
        <v>-48570.28</v>
      </c>
      <c r="L661" s="169">
        <v>-24358.11</v>
      </c>
      <c r="M661" s="169">
        <v>98134.39</v>
      </c>
      <c r="N661" s="50">
        <v>41422.0</v>
      </c>
      <c r="O661" s="111">
        <v>23.0</v>
      </c>
      <c r="P661" s="168">
        <v>7.0</v>
      </c>
    </row>
    <row r="662">
      <c r="A662" s="160">
        <v>75.0</v>
      </c>
      <c r="B662" s="160">
        <v>1.0</v>
      </c>
      <c r="C662" s="170">
        <v>7658.0</v>
      </c>
      <c r="D662" s="168">
        <v>216.0</v>
      </c>
      <c r="E662" s="24">
        <v>90.0</v>
      </c>
      <c r="F662" s="169">
        <v>78862.78</v>
      </c>
      <c r="G662" s="169">
        <v>35636.96</v>
      </c>
      <c r="H662" s="169">
        <v>47736.61</v>
      </c>
      <c r="I662" s="169">
        <v>-26719.09</v>
      </c>
      <c r="J662" s="169">
        <v>37088.59</v>
      </c>
      <c r="K662" s="169">
        <v>-57602.18</v>
      </c>
      <c r="L662" s="169">
        <v>76956.05</v>
      </c>
      <c r="M662" s="169">
        <v>76676.18</v>
      </c>
      <c r="N662" s="50">
        <v>110920.0</v>
      </c>
      <c r="O662" s="111">
        <v>20.0</v>
      </c>
      <c r="P662" s="168">
        <v>1.0</v>
      </c>
    </row>
    <row r="663">
      <c r="A663" s="160">
        <v>95.0</v>
      </c>
      <c r="B663" s="160">
        <v>50.0</v>
      </c>
      <c r="C663" s="170">
        <v>7659.0</v>
      </c>
      <c r="D663" s="168">
        <v>209.0</v>
      </c>
      <c r="E663" s="24">
        <v>12.0</v>
      </c>
      <c r="F663" s="169">
        <v>-87363.28</v>
      </c>
      <c r="G663" s="169">
        <v>-86726.16</v>
      </c>
      <c r="H663" s="169">
        <v>65381.54</v>
      </c>
      <c r="I663" s="169">
        <v>-4371.34</v>
      </c>
      <c r="J663" s="169">
        <v>-75533.57</v>
      </c>
      <c r="K663" s="169">
        <v>98980.71</v>
      </c>
      <c r="L663" s="169">
        <v>85223.83</v>
      </c>
      <c r="M663" s="169">
        <v>-21075.55</v>
      </c>
      <c r="N663" s="50">
        <v>50420.0</v>
      </c>
      <c r="O663" s="111">
        <v>20.0</v>
      </c>
      <c r="P663" s="168">
        <v>7.0</v>
      </c>
    </row>
    <row r="664">
      <c r="A664" s="160">
        <v>95.0</v>
      </c>
      <c r="B664" s="160">
        <v>53.0</v>
      </c>
      <c r="C664" s="147">
        <v>7660.0</v>
      </c>
      <c r="D664" s="168">
        <v>210.0</v>
      </c>
      <c r="E664" s="24">
        <v>67.0</v>
      </c>
      <c r="F664" s="169">
        <v>-94610.76</v>
      </c>
      <c r="G664" s="169">
        <v>-1123.32</v>
      </c>
      <c r="H664" s="169">
        <v>11673.55</v>
      </c>
      <c r="I664" s="169">
        <v>-20280.96</v>
      </c>
      <c r="J664" s="169">
        <v>-30686.32</v>
      </c>
      <c r="K664" s="169">
        <v>-90951.66</v>
      </c>
      <c r="L664" s="169">
        <v>5971.37</v>
      </c>
      <c r="M664" s="169">
        <v>17765.23</v>
      </c>
      <c r="N664" s="50">
        <v>72518.0</v>
      </c>
      <c r="O664" s="111">
        <v>20.0</v>
      </c>
      <c r="P664" s="168">
        <v>6.0</v>
      </c>
    </row>
    <row r="665">
      <c r="A665" s="160">
        <v>13.0</v>
      </c>
      <c r="B665" s="160">
        <v>61.0</v>
      </c>
      <c r="C665" s="170">
        <v>7661.0</v>
      </c>
      <c r="D665" s="168">
        <v>210.0</v>
      </c>
      <c r="E665" s="24">
        <v>64.0</v>
      </c>
      <c r="F665" s="169">
        <v>46362.12</v>
      </c>
      <c r="G665" s="169">
        <v>-9296.68</v>
      </c>
      <c r="H665" s="169">
        <v>60467.98</v>
      </c>
      <c r="I665" s="169">
        <v>76499.67</v>
      </c>
      <c r="J665" s="169">
        <v>-31758.25</v>
      </c>
      <c r="K665" s="169">
        <v>61020.12</v>
      </c>
      <c r="L665" s="169">
        <v>-94227.93</v>
      </c>
      <c r="M665" s="169">
        <v>-28006.57</v>
      </c>
      <c r="N665" s="50">
        <v>30717.0</v>
      </c>
      <c r="O665" s="111">
        <v>23.0</v>
      </c>
      <c r="P665" s="168">
        <v>2.0</v>
      </c>
    </row>
    <row r="666">
      <c r="A666" s="160">
        <v>75.0</v>
      </c>
      <c r="B666" s="160">
        <v>7.0</v>
      </c>
      <c r="C666" s="170">
        <v>7662.0</v>
      </c>
      <c r="D666" s="168">
        <v>211.0</v>
      </c>
      <c r="E666" s="24">
        <v>10.0</v>
      </c>
      <c r="F666" s="169">
        <v>40944.32</v>
      </c>
      <c r="G666" s="169">
        <v>56794.64</v>
      </c>
      <c r="H666" s="169">
        <v>55616.82</v>
      </c>
      <c r="I666" s="169">
        <v>-16739.61</v>
      </c>
      <c r="J666" s="169">
        <v>4901.34</v>
      </c>
      <c r="K666" s="169">
        <v>85760.36</v>
      </c>
      <c r="L666" s="169">
        <v>40492.92</v>
      </c>
      <c r="M666" s="169">
        <v>25456.01</v>
      </c>
      <c r="N666" s="50">
        <v>32819.0</v>
      </c>
      <c r="O666" s="111">
        <v>23.0</v>
      </c>
      <c r="P666" s="168">
        <v>7.0</v>
      </c>
    </row>
    <row r="667">
      <c r="A667" s="160">
        <v>95.0</v>
      </c>
      <c r="B667" s="160">
        <v>58.0</v>
      </c>
      <c r="C667" s="170">
        <v>7663.0</v>
      </c>
      <c r="D667" s="168">
        <v>216.0</v>
      </c>
      <c r="E667" s="24">
        <v>41.0</v>
      </c>
      <c r="F667" s="169">
        <v>-29868.78</v>
      </c>
      <c r="G667" s="169">
        <v>23950.36</v>
      </c>
      <c r="H667" s="169">
        <v>-76164.09</v>
      </c>
      <c r="I667" s="169">
        <v>-91740.73</v>
      </c>
      <c r="J667" s="169">
        <v>-38959.51</v>
      </c>
      <c r="K667" s="169">
        <v>37001.85</v>
      </c>
      <c r="L667" s="169">
        <v>52814.06</v>
      </c>
      <c r="M667" s="169">
        <v>78337.86</v>
      </c>
      <c r="N667" s="50">
        <v>111213.0</v>
      </c>
      <c r="O667" s="111">
        <v>22.0</v>
      </c>
      <c r="P667" s="168">
        <v>6.0</v>
      </c>
    </row>
    <row r="668">
      <c r="A668" s="160">
        <v>13.0</v>
      </c>
      <c r="B668" s="160">
        <v>67.0</v>
      </c>
      <c r="C668" s="170">
        <v>7664.0</v>
      </c>
      <c r="D668" s="168">
        <v>204.0</v>
      </c>
      <c r="E668" s="24">
        <v>85.0</v>
      </c>
      <c r="F668" s="169">
        <v>90563.73</v>
      </c>
      <c r="G668" s="169">
        <v>33393.62</v>
      </c>
      <c r="H668" s="169">
        <v>87114.01</v>
      </c>
      <c r="I668" s="169">
        <v>9698.01</v>
      </c>
      <c r="J668" s="169">
        <v>-25357.9</v>
      </c>
      <c r="K668" s="169">
        <v>-6152.1</v>
      </c>
      <c r="L668" s="169">
        <v>-49158.01</v>
      </c>
      <c r="M668" s="169">
        <v>27060.81</v>
      </c>
      <c r="N668" s="50">
        <v>111416.0</v>
      </c>
      <c r="O668" s="111">
        <v>20.0</v>
      </c>
      <c r="P668" s="168">
        <v>7.0</v>
      </c>
    </row>
    <row r="669">
      <c r="A669" s="160">
        <v>95.0</v>
      </c>
      <c r="B669" s="160">
        <v>60.0</v>
      </c>
      <c r="C669" s="147">
        <v>7665.0</v>
      </c>
      <c r="D669" s="168">
        <v>201.0</v>
      </c>
      <c r="E669" s="24">
        <v>48.0</v>
      </c>
      <c r="F669" s="169">
        <v>84929.2</v>
      </c>
      <c r="G669" s="169">
        <v>58676.78</v>
      </c>
      <c r="H669" s="169">
        <v>-15827.21</v>
      </c>
      <c r="I669" s="169">
        <v>-3054.74</v>
      </c>
      <c r="J669" s="169">
        <v>-11788.72</v>
      </c>
      <c r="K669" s="169">
        <v>91313.92</v>
      </c>
      <c r="L669" s="169">
        <v>44128.11</v>
      </c>
      <c r="M669" s="169">
        <v>55874.08</v>
      </c>
      <c r="N669" s="50">
        <v>61817.0</v>
      </c>
      <c r="O669" s="111">
        <v>23.0</v>
      </c>
      <c r="P669" s="168">
        <v>7.0</v>
      </c>
    </row>
    <row r="670">
      <c r="A670" s="160">
        <v>13.0</v>
      </c>
      <c r="B670" s="160">
        <v>69.0</v>
      </c>
      <c r="C670" s="170">
        <v>7666.0</v>
      </c>
      <c r="D670" s="168">
        <v>204.0</v>
      </c>
      <c r="E670" s="24">
        <v>16.0</v>
      </c>
      <c r="F670" s="169">
        <v>-64834.18</v>
      </c>
      <c r="G670" s="169">
        <v>795.73</v>
      </c>
      <c r="H670" s="169">
        <v>74154.37</v>
      </c>
      <c r="I670" s="169">
        <v>27551.91</v>
      </c>
      <c r="J670" s="169">
        <v>62084.9</v>
      </c>
      <c r="K670" s="169">
        <v>-83020.39</v>
      </c>
      <c r="L670" s="169">
        <v>-89352.04</v>
      </c>
      <c r="M670" s="169">
        <v>81363.98</v>
      </c>
      <c r="N670" s="50">
        <v>102619.0</v>
      </c>
      <c r="O670" s="111">
        <v>20.0</v>
      </c>
      <c r="P670" s="168">
        <v>2.0</v>
      </c>
    </row>
    <row r="671">
      <c r="A671" s="160">
        <v>54.0</v>
      </c>
      <c r="B671" s="160">
        <v>65.0</v>
      </c>
      <c r="C671" s="170">
        <v>7667.0</v>
      </c>
      <c r="D671" s="168">
        <v>203.0</v>
      </c>
      <c r="E671" s="24">
        <v>12.0</v>
      </c>
      <c r="F671" s="169">
        <v>98095.27</v>
      </c>
      <c r="G671" s="169">
        <v>25510.02</v>
      </c>
      <c r="H671" s="169">
        <v>57861.48</v>
      </c>
      <c r="I671" s="169">
        <v>41575.93</v>
      </c>
      <c r="J671" s="169">
        <v>-40513.64</v>
      </c>
      <c r="K671" s="169">
        <v>-93874.42</v>
      </c>
      <c r="L671" s="169">
        <v>18029.17</v>
      </c>
      <c r="M671" s="169">
        <v>-65054.34</v>
      </c>
      <c r="N671" s="50">
        <v>70716.0</v>
      </c>
      <c r="O671" s="111">
        <v>21.0</v>
      </c>
      <c r="P671" s="168">
        <v>7.0</v>
      </c>
    </row>
    <row r="672">
      <c r="A672" s="160">
        <v>34.0</v>
      </c>
      <c r="B672" s="160">
        <v>21.0</v>
      </c>
      <c r="C672" s="170">
        <v>7668.0</v>
      </c>
      <c r="D672" s="168">
        <v>220.0</v>
      </c>
      <c r="E672" s="24">
        <v>86.0</v>
      </c>
      <c r="F672" s="169">
        <v>53048.81</v>
      </c>
      <c r="G672" s="169">
        <v>7591.16</v>
      </c>
      <c r="H672" s="169">
        <v>-16104.38</v>
      </c>
      <c r="I672" s="169">
        <v>2173.81</v>
      </c>
      <c r="J672" s="169">
        <v>21823.25</v>
      </c>
      <c r="K672" s="169">
        <v>59487.27</v>
      </c>
      <c r="L672" s="169">
        <v>3757.72</v>
      </c>
      <c r="M672" s="169">
        <v>32561.8</v>
      </c>
      <c r="N672" s="50">
        <v>21417.0</v>
      </c>
      <c r="O672" s="111">
        <v>23.0</v>
      </c>
      <c r="P672" s="168">
        <v>1.0</v>
      </c>
    </row>
    <row r="673">
      <c r="A673" s="160">
        <v>13.0</v>
      </c>
      <c r="B673" s="160">
        <v>74.0</v>
      </c>
      <c r="C673" s="170">
        <v>7669.0</v>
      </c>
      <c r="D673" s="168">
        <v>215.0</v>
      </c>
      <c r="E673" s="24">
        <v>24.0</v>
      </c>
      <c r="F673" s="169">
        <v>-69017.09</v>
      </c>
      <c r="G673" s="169">
        <v>-9015.78</v>
      </c>
      <c r="H673" s="169">
        <v>-9705.94</v>
      </c>
      <c r="I673" s="169">
        <v>-16333.74</v>
      </c>
      <c r="J673" s="169">
        <v>552.96</v>
      </c>
      <c r="K673" s="169">
        <v>35558.12</v>
      </c>
      <c r="L673" s="169">
        <v>56584.98</v>
      </c>
      <c r="M673" s="169">
        <v>84565.68</v>
      </c>
      <c r="N673" s="50">
        <v>60622.0</v>
      </c>
      <c r="O673" s="111">
        <v>21.0</v>
      </c>
      <c r="P673" s="168">
        <v>3.0</v>
      </c>
    </row>
    <row r="674">
      <c r="A674" s="160">
        <v>34.0</v>
      </c>
      <c r="B674" s="160">
        <v>23.0</v>
      </c>
      <c r="C674" s="147">
        <v>7670.0</v>
      </c>
      <c r="D674" s="168">
        <v>213.0</v>
      </c>
      <c r="E674" s="24">
        <v>23.0</v>
      </c>
      <c r="F674" s="169">
        <v>-43079.02</v>
      </c>
      <c r="G674" s="169">
        <v>-60065.67</v>
      </c>
      <c r="H674" s="169">
        <v>86772.16</v>
      </c>
      <c r="I674" s="169">
        <v>-16181.44</v>
      </c>
      <c r="J674" s="169">
        <v>7448.81</v>
      </c>
      <c r="K674" s="169">
        <v>37860.08</v>
      </c>
      <c r="L674" s="169">
        <v>15850.6</v>
      </c>
      <c r="M674" s="169">
        <v>-8590.11</v>
      </c>
      <c r="N674" s="50">
        <v>51516.0</v>
      </c>
      <c r="O674" s="111">
        <v>22.0</v>
      </c>
      <c r="P674" s="168">
        <v>2.0</v>
      </c>
    </row>
    <row r="675">
      <c r="A675" s="160">
        <v>95.0</v>
      </c>
      <c r="B675" s="160">
        <v>68.0</v>
      </c>
      <c r="C675" s="170">
        <v>7671.0</v>
      </c>
      <c r="D675" s="168">
        <v>208.0</v>
      </c>
      <c r="E675" s="24">
        <v>54.0</v>
      </c>
      <c r="F675" s="169">
        <v>83782.28</v>
      </c>
      <c r="G675" s="169">
        <v>-26555.19</v>
      </c>
      <c r="H675" s="169">
        <v>-85473.3</v>
      </c>
      <c r="I675" s="169">
        <v>-71546.3</v>
      </c>
      <c r="J675" s="169">
        <v>869.01</v>
      </c>
      <c r="K675" s="169">
        <v>81796.83</v>
      </c>
      <c r="L675" s="169">
        <v>-94893.27</v>
      </c>
      <c r="M675" s="169">
        <v>-14483.89</v>
      </c>
      <c r="N675" s="50">
        <v>121818.0</v>
      </c>
      <c r="O675" s="111">
        <v>21.0</v>
      </c>
      <c r="P675" s="168">
        <v>8.0</v>
      </c>
    </row>
    <row r="676">
      <c r="A676" s="160">
        <v>75.0</v>
      </c>
      <c r="B676" s="160">
        <v>21.0</v>
      </c>
      <c r="C676" s="170">
        <v>7672.0</v>
      </c>
      <c r="D676" s="168">
        <v>201.0</v>
      </c>
      <c r="E676" s="24">
        <v>41.0</v>
      </c>
      <c r="F676" s="169">
        <v>65963.44</v>
      </c>
      <c r="G676" s="169">
        <v>96042.3</v>
      </c>
      <c r="H676" s="169">
        <v>56842.91</v>
      </c>
      <c r="I676" s="169">
        <v>58586.59</v>
      </c>
      <c r="J676" s="169">
        <v>-4070.35</v>
      </c>
      <c r="K676" s="169">
        <v>69680.18</v>
      </c>
      <c r="L676" s="169">
        <v>90380.86</v>
      </c>
      <c r="M676" s="169">
        <v>-65252.89</v>
      </c>
      <c r="N676" s="50">
        <v>32815.0</v>
      </c>
      <c r="O676" s="111">
        <v>23.0</v>
      </c>
      <c r="P676" s="168">
        <v>2.0</v>
      </c>
    </row>
    <row r="677">
      <c r="A677" s="160">
        <v>13.0</v>
      </c>
      <c r="B677" s="160">
        <v>78.0</v>
      </c>
      <c r="C677" s="170">
        <v>7673.0</v>
      </c>
      <c r="D677" s="168">
        <v>218.0</v>
      </c>
      <c r="E677" s="24">
        <v>29.0</v>
      </c>
      <c r="F677" s="169">
        <v>-89827.93</v>
      </c>
      <c r="G677" s="169">
        <v>51249.31</v>
      </c>
      <c r="H677" s="169">
        <v>53516.35</v>
      </c>
      <c r="I677" s="169">
        <v>30313.89</v>
      </c>
      <c r="J677" s="169">
        <v>72169.81</v>
      </c>
      <c r="K677" s="169">
        <v>-69112.99</v>
      </c>
      <c r="L677" s="169">
        <v>-89949.3</v>
      </c>
      <c r="M677" s="169">
        <v>68375.84</v>
      </c>
      <c r="N677" s="50">
        <v>123114.0</v>
      </c>
      <c r="O677" s="111">
        <v>21.0</v>
      </c>
      <c r="P677" s="168">
        <v>3.0</v>
      </c>
    </row>
    <row r="678">
      <c r="A678" s="160">
        <v>75.0</v>
      </c>
      <c r="B678" s="160">
        <v>24.0</v>
      </c>
      <c r="C678" s="170">
        <v>7674.0</v>
      </c>
      <c r="D678" s="168">
        <v>217.0</v>
      </c>
      <c r="E678" s="24">
        <v>50.0</v>
      </c>
      <c r="F678" s="169">
        <v>-7980.45</v>
      </c>
      <c r="G678" s="169">
        <v>29519.6</v>
      </c>
      <c r="H678" s="169">
        <v>-20569.53</v>
      </c>
      <c r="I678" s="169">
        <v>-62264.14</v>
      </c>
      <c r="J678" s="169">
        <v>36494.37</v>
      </c>
      <c r="K678" s="169">
        <v>21795.56</v>
      </c>
      <c r="L678" s="169">
        <v>-70684.08</v>
      </c>
      <c r="M678" s="169">
        <v>35638.0</v>
      </c>
      <c r="N678" s="50">
        <v>62422.0</v>
      </c>
      <c r="O678" s="111">
        <v>20.0</v>
      </c>
      <c r="P678" s="168">
        <v>5.0</v>
      </c>
    </row>
    <row r="679">
      <c r="A679" s="160">
        <v>95.0</v>
      </c>
      <c r="B679" s="160">
        <v>74.0</v>
      </c>
      <c r="C679" s="147">
        <v>7675.0</v>
      </c>
      <c r="D679" s="168">
        <v>220.0</v>
      </c>
      <c r="E679" s="24">
        <v>61.0</v>
      </c>
      <c r="F679" s="169">
        <v>-78880.3</v>
      </c>
      <c r="G679" s="169">
        <v>-56625.2</v>
      </c>
      <c r="H679" s="169">
        <v>10331.31</v>
      </c>
      <c r="I679" s="169">
        <v>-56143.58</v>
      </c>
      <c r="J679" s="169">
        <v>-1653.98</v>
      </c>
      <c r="K679" s="169">
        <v>-48051.79</v>
      </c>
      <c r="L679" s="169">
        <v>22305.86</v>
      </c>
      <c r="M679" s="169">
        <v>-3359.19</v>
      </c>
      <c r="N679" s="50">
        <v>122013.0</v>
      </c>
      <c r="O679" s="111">
        <v>22.0</v>
      </c>
      <c r="P679" s="168">
        <v>7.0</v>
      </c>
    </row>
    <row r="680">
      <c r="A680" s="160">
        <v>13.0</v>
      </c>
      <c r="B680" s="160">
        <v>86.0</v>
      </c>
      <c r="C680" s="170">
        <v>7676.0</v>
      </c>
      <c r="D680" s="168">
        <v>207.0</v>
      </c>
      <c r="E680" s="24">
        <v>78.0</v>
      </c>
      <c r="F680" s="169">
        <v>3634.54</v>
      </c>
      <c r="G680" s="169">
        <v>-5633.96</v>
      </c>
      <c r="H680" s="169">
        <v>-82408.04</v>
      </c>
      <c r="I680" s="169">
        <v>37260.97</v>
      </c>
      <c r="J680" s="169">
        <v>25176.21</v>
      </c>
      <c r="K680" s="169">
        <v>-98850.97</v>
      </c>
      <c r="L680" s="169">
        <v>99597.28</v>
      </c>
      <c r="M680" s="169">
        <v>62772.41</v>
      </c>
      <c r="N680" s="50">
        <v>101113.0</v>
      </c>
      <c r="O680" s="111">
        <v>20.0</v>
      </c>
      <c r="P680" s="168">
        <v>2.0</v>
      </c>
    </row>
    <row r="681">
      <c r="A681" s="160">
        <v>54.0</v>
      </c>
      <c r="B681" s="160">
        <v>83.0</v>
      </c>
      <c r="C681" s="170">
        <v>7677.0</v>
      </c>
      <c r="D681" s="168">
        <v>203.0</v>
      </c>
      <c r="E681" s="24">
        <v>20.0</v>
      </c>
      <c r="F681" s="169">
        <v>4158.45</v>
      </c>
      <c r="G681" s="169">
        <v>-38615.68</v>
      </c>
      <c r="H681" s="169">
        <v>45216.59</v>
      </c>
      <c r="I681" s="169">
        <v>89206.93</v>
      </c>
      <c r="J681" s="169">
        <v>49060.31</v>
      </c>
      <c r="K681" s="169">
        <v>-96040.08</v>
      </c>
      <c r="L681" s="169">
        <v>40555.15</v>
      </c>
      <c r="M681" s="169">
        <v>96054.0</v>
      </c>
      <c r="N681" s="50">
        <v>73022.0</v>
      </c>
      <c r="O681" s="111">
        <v>20.0</v>
      </c>
      <c r="P681" s="168">
        <v>4.0</v>
      </c>
    </row>
    <row r="682">
      <c r="A682" s="160">
        <v>23.0</v>
      </c>
      <c r="B682" s="160">
        <v>11.0</v>
      </c>
      <c r="C682" s="170">
        <v>7678.0</v>
      </c>
      <c r="D682" s="168">
        <v>208.0</v>
      </c>
      <c r="E682" s="24">
        <v>46.0</v>
      </c>
      <c r="F682" s="169">
        <v>57185.92</v>
      </c>
      <c r="G682" s="169">
        <v>-50034.55</v>
      </c>
      <c r="H682" s="169">
        <v>-45972.13</v>
      </c>
      <c r="I682" s="169">
        <v>-11981.8</v>
      </c>
      <c r="J682" s="169">
        <v>45741.72</v>
      </c>
      <c r="K682" s="169">
        <v>-35731.23</v>
      </c>
      <c r="L682" s="169">
        <v>-61101.18</v>
      </c>
      <c r="M682" s="169">
        <v>-13908.73</v>
      </c>
      <c r="N682" s="50">
        <v>112314.0</v>
      </c>
      <c r="O682" s="111">
        <v>23.0</v>
      </c>
      <c r="P682" s="168">
        <v>4.0</v>
      </c>
    </row>
    <row r="683">
      <c r="A683" s="160">
        <v>95.0</v>
      </c>
      <c r="B683" s="160">
        <v>81.0</v>
      </c>
      <c r="C683" s="170">
        <v>7679.0</v>
      </c>
      <c r="D683" s="168">
        <v>212.0</v>
      </c>
      <c r="E683" s="24">
        <v>68.0</v>
      </c>
      <c r="F683" s="169">
        <v>-95472.7</v>
      </c>
      <c r="G683" s="169">
        <v>-97724.71</v>
      </c>
      <c r="H683" s="169">
        <v>16809.72</v>
      </c>
      <c r="I683" s="169">
        <v>70952.94</v>
      </c>
      <c r="J683" s="169">
        <v>99246.29</v>
      </c>
      <c r="K683" s="169">
        <v>98014.16</v>
      </c>
      <c r="L683" s="169">
        <v>33135.62</v>
      </c>
      <c r="M683" s="169">
        <v>20846.52</v>
      </c>
      <c r="N683" s="50">
        <v>61716.0</v>
      </c>
      <c r="O683" s="111">
        <v>23.0</v>
      </c>
      <c r="P683" s="168">
        <v>3.0</v>
      </c>
    </row>
    <row r="684">
      <c r="A684" s="160">
        <v>95.0</v>
      </c>
      <c r="B684" s="160">
        <v>84.0</v>
      </c>
      <c r="C684" s="147">
        <v>7680.0</v>
      </c>
      <c r="D684" s="168">
        <v>210.0</v>
      </c>
      <c r="E684" s="24">
        <v>28.0</v>
      </c>
      <c r="F684" s="169">
        <v>14725.26</v>
      </c>
      <c r="G684" s="169">
        <v>-26166.46</v>
      </c>
      <c r="H684" s="169">
        <v>-85050.07</v>
      </c>
      <c r="I684" s="169">
        <v>18748.32</v>
      </c>
      <c r="J684" s="169">
        <v>-42475.62</v>
      </c>
      <c r="K684" s="169">
        <v>-91843.38</v>
      </c>
      <c r="L684" s="169">
        <v>-85750.82</v>
      </c>
      <c r="M684" s="169">
        <v>65585.21</v>
      </c>
      <c r="N684" s="50">
        <v>51313.0</v>
      </c>
      <c r="O684" s="111">
        <v>21.0</v>
      </c>
      <c r="P684" s="168">
        <v>5.0</v>
      </c>
    </row>
    <row r="685">
      <c r="A685" s="160">
        <v>75.0</v>
      </c>
      <c r="B685" s="160">
        <v>40.0</v>
      </c>
      <c r="C685" s="170">
        <v>7681.0</v>
      </c>
      <c r="D685" s="168">
        <v>209.0</v>
      </c>
      <c r="E685" s="24">
        <v>52.0</v>
      </c>
      <c r="F685" s="169">
        <v>-25926.12</v>
      </c>
      <c r="G685" s="169">
        <v>51106.39</v>
      </c>
      <c r="H685" s="169">
        <v>-22890.35</v>
      </c>
      <c r="I685" s="169">
        <v>30666.78</v>
      </c>
      <c r="J685" s="169">
        <v>-8133.98</v>
      </c>
      <c r="K685" s="169">
        <v>56847.48</v>
      </c>
      <c r="L685" s="169">
        <v>-86857.06</v>
      </c>
      <c r="M685" s="169">
        <v>71651.01</v>
      </c>
      <c r="N685" s="50">
        <v>52620.0</v>
      </c>
      <c r="O685" s="111">
        <v>21.0</v>
      </c>
      <c r="P685" s="168">
        <v>7.0</v>
      </c>
    </row>
    <row r="686">
      <c r="A686" s="160">
        <v>54.0</v>
      </c>
      <c r="B686" s="160">
        <v>92.0</v>
      </c>
      <c r="C686" s="170">
        <v>7682.0</v>
      </c>
      <c r="D686" s="168">
        <v>215.0</v>
      </c>
      <c r="E686" s="24">
        <v>92.0</v>
      </c>
      <c r="F686" s="169">
        <v>-27656.81</v>
      </c>
      <c r="G686" s="169">
        <v>54436.13</v>
      </c>
      <c r="H686" s="169">
        <v>-62039.54</v>
      </c>
      <c r="I686" s="169">
        <v>-85582.75</v>
      </c>
      <c r="J686" s="169">
        <v>39045.81</v>
      </c>
      <c r="K686" s="169">
        <v>73422.22</v>
      </c>
      <c r="L686" s="169">
        <v>-58067.26</v>
      </c>
      <c r="M686" s="169">
        <v>-38040.45</v>
      </c>
      <c r="N686" s="50">
        <v>112113.0</v>
      </c>
      <c r="O686" s="111">
        <v>22.0</v>
      </c>
      <c r="P686" s="168">
        <v>9.0</v>
      </c>
    </row>
    <row r="687">
      <c r="A687" s="160">
        <v>75.0</v>
      </c>
      <c r="B687" s="160">
        <v>42.0</v>
      </c>
      <c r="C687" s="170">
        <v>7683.0</v>
      </c>
      <c r="D687" s="168">
        <v>204.0</v>
      </c>
      <c r="E687" s="24">
        <v>75.0</v>
      </c>
      <c r="F687" s="169">
        <v>-85963.25</v>
      </c>
      <c r="G687" s="169">
        <v>8202.9</v>
      </c>
      <c r="H687" s="169">
        <v>54488.82</v>
      </c>
      <c r="I687" s="169">
        <v>-75470.92</v>
      </c>
      <c r="J687" s="169">
        <v>-57965.49</v>
      </c>
      <c r="K687" s="169">
        <v>-82075.64</v>
      </c>
      <c r="L687" s="169">
        <v>-56077.19</v>
      </c>
      <c r="M687" s="169">
        <v>90062.22</v>
      </c>
      <c r="N687" s="50">
        <v>72416.0</v>
      </c>
      <c r="O687" s="111">
        <v>22.0</v>
      </c>
      <c r="P687" s="168">
        <v>1.0</v>
      </c>
    </row>
    <row r="688">
      <c r="A688" s="160">
        <v>95.0</v>
      </c>
      <c r="B688" s="160">
        <v>90.0</v>
      </c>
      <c r="C688" s="170">
        <v>7684.0</v>
      </c>
      <c r="D688" s="168">
        <v>212.0</v>
      </c>
      <c r="E688" s="24">
        <v>41.0</v>
      </c>
      <c r="F688" s="169">
        <v>94783.91</v>
      </c>
      <c r="G688" s="169">
        <v>63393.22</v>
      </c>
      <c r="H688" s="169">
        <v>-66136.54</v>
      </c>
      <c r="I688" s="169">
        <v>-4660.09</v>
      </c>
      <c r="J688" s="169">
        <v>68098.08</v>
      </c>
      <c r="K688" s="169">
        <v>44451.72</v>
      </c>
      <c r="L688" s="169">
        <v>93241.42</v>
      </c>
      <c r="M688" s="169">
        <v>28541.6</v>
      </c>
      <c r="N688" s="50">
        <v>70622.0</v>
      </c>
      <c r="O688" s="111">
        <v>22.0</v>
      </c>
      <c r="P688" s="168">
        <v>4.0</v>
      </c>
    </row>
    <row r="689">
      <c r="A689" s="160">
        <v>14.0</v>
      </c>
      <c r="B689" s="160">
        <v>0.0</v>
      </c>
      <c r="C689" s="147">
        <v>7685.0</v>
      </c>
      <c r="D689" s="168">
        <v>202.0</v>
      </c>
      <c r="E689" s="24">
        <v>13.0</v>
      </c>
      <c r="F689" s="169">
        <v>66580.9</v>
      </c>
      <c r="G689" s="169">
        <v>32863.33</v>
      </c>
      <c r="H689" s="169">
        <v>14459.1</v>
      </c>
      <c r="I689" s="169">
        <v>-36171.33</v>
      </c>
      <c r="J689" s="169">
        <v>99115.83</v>
      </c>
      <c r="K689" s="169">
        <v>-33037.94</v>
      </c>
      <c r="L689" s="169">
        <v>-5833.14</v>
      </c>
      <c r="M689" s="169">
        <v>58689.45</v>
      </c>
      <c r="N689" s="50">
        <v>50621.0</v>
      </c>
      <c r="O689" s="111">
        <v>20.0</v>
      </c>
      <c r="P689" s="168">
        <v>3.0</v>
      </c>
    </row>
    <row r="690">
      <c r="A690" s="160">
        <v>34.0</v>
      </c>
      <c r="B690" s="160">
        <v>49.0</v>
      </c>
      <c r="C690" s="170">
        <v>7686.0</v>
      </c>
      <c r="D690" s="168">
        <v>216.0</v>
      </c>
      <c r="E690" s="24">
        <v>62.0</v>
      </c>
      <c r="F690" s="169">
        <v>-93847.62</v>
      </c>
      <c r="G690" s="169">
        <v>-62138.97</v>
      </c>
      <c r="H690" s="169">
        <v>99705.09</v>
      </c>
      <c r="I690" s="169">
        <v>-74657.22</v>
      </c>
      <c r="J690" s="169">
        <v>77373.54</v>
      </c>
      <c r="K690" s="169">
        <v>-92051.95</v>
      </c>
      <c r="L690" s="169">
        <v>66595.07</v>
      </c>
      <c r="M690" s="169">
        <v>-76079.85</v>
      </c>
      <c r="N690" s="50">
        <v>72022.0</v>
      </c>
      <c r="O690" s="111">
        <v>21.0</v>
      </c>
      <c r="P690" s="168">
        <v>3.0</v>
      </c>
    </row>
    <row r="691">
      <c r="A691" s="160">
        <v>14.0</v>
      </c>
      <c r="B691" s="160">
        <v>2.0</v>
      </c>
      <c r="C691" s="170">
        <v>7687.0</v>
      </c>
      <c r="D691" s="168">
        <v>200.0</v>
      </c>
      <c r="E691" s="24">
        <v>79.0</v>
      </c>
      <c r="F691" s="169">
        <v>-44519.27</v>
      </c>
      <c r="G691" s="169">
        <v>-21434.57</v>
      </c>
      <c r="H691" s="169">
        <v>-79222.43</v>
      </c>
      <c r="I691" s="169">
        <v>-21528.93</v>
      </c>
      <c r="J691" s="169">
        <v>73802.91</v>
      </c>
      <c r="K691" s="169">
        <v>61174.18</v>
      </c>
      <c r="L691" s="169">
        <v>56523.57</v>
      </c>
      <c r="M691" s="169">
        <v>9711.47</v>
      </c>
      <c r="N691" s="50">
        <v>13120.0</v>
      </c>
      <c r="O691" s="111">
        <v>22.0</v>
      </c>
      <c r="P691" s="168">
        <v>4.0</v>
      </c>
    </row>
    <row r="692">
      <c r="A692" s="160">
        <v>14.0</v>
      </c>
      <c r="B692" s="160">
        <v>1.0</v>
      </c>
      <c r="C692" s="170">
        <v>7688.0</v>
      </c>
      <c r="D692" s="168">
        <v>220.0</v>
      </c>
      <c r="E692" s="24">
        <v>18.0</v>
      </c>
      <c r="F692" s="169">
        <v>19238.3</v>
      </c>
      <c r="G692" s="169">
        <v>13535.3</v>
      </c>
      <c r="H692" s="169">
        <v>-99858.54</v>
      </c>
      <c r="I692" s="169">
        <v>61574.69</v>
      </c>
      <c r="J692" s="169">
        <v>-30662.19</v>
      </c>
      <c r="K692" s="169">
        <v>-19869.55</v>
      </c>
      <c r="L692" s="169">
        <v>3782.13</v>
      </c>
      <c r="M692" s="169">
        <v>-13365.72</v>
      </c>
      <c r="N692" s="50">
        <v>72619.0</v>
      </c>
      <c r="O692" s="111">
        <v>23.0</v>
      </c>
      <c r="P692" s="168">
        <v>8.0</v>
      </c>
    </row>
    <row r="693">
      <c r="A693" s="160">
        <v>75.0</v>
      </c>
      <c r="B693" s="160">
        <v>48.0</v>
      </c>
      <c r="C693" s="170">
        <v>7689.0</v>
      </c>
      <c r="D693" s="168">
        <v>217.0</v>
      </c>
      <c r="E693" s="24">
        <v>86.0</v>
      </c>
      <c r="F693" s="169">
        <v>-54266.92</v>
      </c>
      <c r="G693" s="169">
        <v>48401.48</v>
      </c>
      <c r="H693" s="169">
        <v>-71305.29</v>
      </c>
      <c r="I693" s="169">
        <v>44457.25</v>
      </c>
      <c r="J693" s="169">
        <v>56354.47</v>
      </c>
      <c r="K693" s="169">
        <v>-28657.22</v>
      </c>
      <c r="L693" s="169">
        <v>16278.23</v>
      </c>
      <c r="M693" s="169">
        <v>-80529.65</v>
      </c>
      <c r="N693" s="50">
        <v>61118.0</v>
      </c>
      <c r="O693" s="111">
        <v>23.0</v>
      </c>
      <c r="P693" s="168">
        <v>6.0</v>
      </c>
    </row>
    <row r="694">
      <c r="A694" s="160">
        <v>95.0</v>
      </c>
      <c r="B694" s="160">
        <v>97.0</v>
      </c>
      <c r="C694" s="147">
        <v>7690.0</v>
      </c>
      <c r="D694" s="168">
        <v>210.0</v>
      </c>
      <c r="E694" s="24">
        <v>96.0</v>
      </c>
      <c r="F694" s="169">
        <v>-32686.66</v>
      </c>
      <c r="G694" s="169">
        <v>-67044.34</v>
      </c>
      <c r="H694" s="169">
        <v>-17895.94</v>
      </c>
      <c r="I694" s="169">
        <v>-97522.56</v>
      </c>
      <c r="J694" s="169">
        <v>70905.91</v>
      </c>
      <c r="K694" s="169">
        <v>-92050.94</v>
      </c>
      <c r="L694" s="169">
        <v>-72923.73</v>
      </c>
      <c r="M694" s="169">
        <v>65731.33</v>
      </c>
      <c r="N694" s="50">
        <v>70816.0</v>
      </c>
      <c r="O694" s="111">
        <v>20.0</v>
      </c>
      <c r="P694" s="168">
        <v>1.0</v>
      </c>
    </row>
    <row r="695">
      <c r="A695" s="160">
        <v>96.0</v>
      </c>
      <c r="B695" s="160">
        <v>0.0</v>
      </c>
      <c r="C695" s="170">
        <v>7691.0</v>
      </c>
      <c r="D695" s="168">
        <v>205.0</v>
      </c>
      <c r="E695" s="24">
        <v>81.0</v>
      </c>
      <c r="F695" s="169">
        <v>-99138.77</v>
      </c>
      <c r="G695" s="169">
        <v>-91211.91</v>
      </c>
      <c r="H695" s="169">
        <v>25747.36</v>
      </c>
      <c r="I695" s="169">
        <v>-44516.49</v>
      </c>
      <c r="J695" s="169">
        <v>-15984.07</v>
      </c>
      <c r="K695" s="169">
        <v>-87902.07</v>
      </c>
      <c r="L695" s="169">
        <v>-90857.57</v>
      </c>
      <c r="M695" s="169">
        <v>46175.15</v>
      </c>
      <c r="N695" s="50">
        <v>91916.0</v>
      </c>
      <c r="O695" s="111">
        <v>23.0</v>
      </c>
      <c r="P695" s="168">
        <v>7.0</v>
      </c>
    </row>
    <row r="696">
      <c r="A696" s="160">
        <v>55.0</v>
      </c>
      <c r="B696" s="160">
        <v>11.0</v>
      </c>
      <c r="C696" s="170">
        <v>7692.0</v>
      </c>
      <c r="D696" s="168">
        <v>200.0</v>
      </c>
      <c r="E696" s="24">
        <v>31.0</v>
      </c>
      <c r="F696" s="169">
        <v>-23778.11</v>
      </c>
      <c r="G696" s="169">
        <v>-88194.38</v>
      </c>
      <c r="H696" s="169">
        <v>-87723.51</v>
      </c>
      <c r="I696" s="169">
        <v>-70248.45</v>
      </c>
      <c r="J696" s="169">
        <v>71536.45</v>
      </c>
      <c r="K696" s="169">
        <v>-35447.48</v>
      </c>
      <c r="L696" s="169">
        <v>-33468.97</v>
      </c>
      <c r="M696" s="169">
        <v>56555.82</v>
      </c>
      <c r="N696" s="50">
        <v>10715.0</v>
      </c>
      <c r="O696" s="111">
        <v>21.0</v>
      </c>
      <c r="P696" s="168">
        <v>1.0</v>
      </c>
    </row>
    <row r="697">
      <c r="A697" s="160">
        <v>14.0</v>
      </c>
      <c r="B697" s="160">
        <v>16.0</v>
      </c>
      <c r="C697" s="170">
        <v>7693.0</v>
      </c>
      <c r="D697" s="168">
        <v>204.0</v>
      </c>
      <c r="E697" s="24">
        <v>20.0</v>
      </c>
      <c r="F697" s="169">
        <v>-10401.83</v>
      </c>
      <c r="G697" s="169">
        <v>9374.61</v>
      </c>
      <c r="H697" s="169">
        <v>-74905.39</v>
      </c>
      <c r="I697" s="169">
        <v>-6574.52</v>
      </c>
      <c r="J697" s="169">
        <v>64061.25</v>
      </c>
      <c r="K697" s="169">
        <v>43696.94</v>
      </c>
      <c r="L697" s="169">
        <v>-26198.93</v>
      </c>
      <c r="M697" s="169">
        <v>-54908.42</v>
      </c>
      <c r="N697" s="50">
        <v>10714.0</v>
      </c>
      <c r="O697" s="111">
        <v>20.0</v>
      </c>
      <c r="P697" s="168">
        <v>4.0</v>
      </c>
    </row>
    <row r="698">
      <c r="A698" s="160">
        <v>34.0</v>
      </c>
      <c r="B698" s="160">
        <v>63.0</v>
      </c>
      <c r="C698" s="170">
        <v>7694.0</v>
      </c>
      <c r="D698" s="168">
        <v>201.0</v>
      </c>
      <c r="E698" s="24">
        <v>67.0</v>
      </c>
      <c r="F698" s="169">
        <v>-21844.43</v>
      </c>
      <c r="G698" s="169">
        <v>-12299.08</v>
      </c>
      <c r="H698" s="169">
        <v>21608.07</v>
      </c>
      <c r="I698" s="169">
        <v>3606.91</v>
      </c>
      <c r="J698" s="169">
        <v>48414.58</v>
      </c>
      <c r="K698" s="169">
        <v>37130.1</v>
      </c>
      <c r="L698" s="169">
        <v>13523.29</v>
      </c>
      <c r="M698" s="169">
        <v>-83764.99</v>
      </c>
      <c r="N698" s="50">
        <v>112918.0</v>
      </c>
      <c r="O698" s="111">
        <v>22.0</v>
      </c>
      <c r="P698" s="168">
        <v>1.0</v>
      </c>
    </row>
    <row r="699">
      <c r="A699" s="160">
        <v>14.0</v>
      </c>
      <c r="B699" s="160">
        <v>18.0</v>
      </c>
      <c r="C699" s="147">
        <v>7695.0</v>
      </c>
      <c r="D699" s="168">
        <v>205.0</v>
      </c>
      <c r="E699" s="24">
        <v>64.0</v>
      </c>
      <c r="F699" s="169">
        <v>-24405.28</v>
      </c>
      <c r="G699" s="169">
        <v>31657.22</v>
      </c>
      <c r="H699" s="169">
        <v>-35197.54</v>
      </c>
      <c r="I699" s="169">
        <v>-57868.85</v>
      </c>
      <c r="J699" s="169">
        <v>69876.29</v>
      </c>
      <c r="K699" s="169">
        <v>-15280.29</v>
      </c>
      <c r="L699" s="169">
        <v>6218.25</v>
      </c>
      <c r="M699" s="169">
        <v>-70741.87</v>
      </c>
      <c r="N699" s="50">
        <v>12422.0</v>
      </c>
      <c r="O699" s="111">
        <v>20.0</v>
      </c>
      <c r="P699" s="168">
        <v>1.0</v>
      </c>
    </row>
    <row r="700">
      <c r="A700" s="160">
        <v>96.0</v>
      </c>
      <c r="B700" s="160">
        <v>11.0</v>
      </c>
      <c r="C700" s="170">
        <v>7696.0</v>
      </c>
      <c r="D700" s="168">
        <v>201.0</v>
      </c>
      <c r="E700" s="24">
        <v>11.0</v>
      </c>
      <c r="F700" s="169">
        <v>-49347.0</v>
      </c>
      <c r="G700" s="169">
        <v>20008.96</v>
      </c>
      <c r="H700" s="169">
        <v>-28066.65</v>
      </c>
      <c r="I700" s="169">
        <v>86410.12</v>
      </c>
      <c r="J700" s="169">
        <v>-77039.75</v>
      </c>
      <c r="K700" s="169">
        <v>93946.65</v>
      </c>
      <c r="L700" s="169">
        <v>-85582.59</v>
      </c>
      <c r="M700" s="169">
        <v>-52510.28</v>
      </c>
      <c r="N700" s="50">
        <v>92613.0</v>
      </c>
      <c r="O700" s="111">
        <v>23.0</v>
      </c>
      <c r="P700" s="168">
        <v>1.0</v>
      </c>
    </row>
    <row r="701">
      <c r="A701" s="160">
        <v>14.0</v>
      </c>
      <c r="B701" s="160">
        <v>20.0</v>
      </c>
      <c r="C701" s="170">
        <v>7697.0</v>
      </c>
      <c r="D701" s="168">
        <v>200.0</v>
      </c>
      <c r="E701" s="24">
        <v>51.0</v>
      </c>
      <c r="F701" s="169">
        <v>-7818.63</v>
      </c>
      <c r="G701" s="169">
        <v>-4615.46</v>
      </c>
      <c r="H701" s="169">
        <v>-8856.05</v>
      </c>
      <c r="I701" s="169">
        <v>-12073.61</v>
      </c>
      <c r="J701" s="169">
        <v>31892.02</v>
      </c>
      <c r="K701" s="169">
        <v>83426.41</v>
      </c>
      <c r="L701" s="169">
        <v>-35508.95</v>
      </c>
      <c r="M701" s="169">
        <v>-71106.41</v>
      </c>
      <c r="N701" s="50">
        <v>30117.0</v>
      </c>
      <c r="O701" s="111">
        <v>23.0</v>
      </c>
      <c r="P701" s="168">
        <v>6.0</v>
      </c>
    </row>
    <row r="702">
      <c r="A702" s="160">
        <v>34.0</v>
      </c>
      <c r="B702" s="160">
        <v>70.0</v>
      </c>
      <c r="C702" s="170">
        <v>7698.0</v>
      </c>
      <c r="D702" s="168">
        <v>219.0</v>
      </c>
      <c r="E702" s="24">
        <v>33.0</v>
      </c>
      <c r="F702" s="169">
        <v>14179.92</v>
      </c>
      <c r="G702" s="169">
        <v>-21694.06</v>
      </c>
      <c r="H702" s="169">
        <v>48101.85</v>
      </c>
      <c r="I702" s="169">
        <v>56062.59</v>
      </c>
      <c r="J702" s="169">
        <v>-66490.36</v>
      </c>
      <c r="K702" s="169">
        <v>248.27</v>
      </c>
      <c r="L702" s="169">
        <v>-91454.1</v>
      </c>
      <c r="M702" s="169">
        <v>-39083.29</v>
      </c>
      <c r="N702" s="50">
        <v>120215.0</v>
      </c>
      <c r="O702" s="111">
        <v>22.0</v>
      </c>
      <c r="P702" s="168">
        <v>6.0</v>
      </c>
    </row>
    <row r="703">
      <c r="A703" s="160">
        <v>55.0</v>
      </c>
      <c r="B703" s="160">
        <v>18.0</v>
      </c>
      <c r="C703" s="170">
        <v>7699.0</v>
      </c>
      <c r="D703" s="168">
        <v>202.0</v>
      </c>
      <c r="E703" s="24">
        <v>22.0</v>
      </c>
      <c r="F703" s="169">
        <v>83852.96</v>
      </c>
      <c r="G703" s="169">
        <v>-49605.29</v>
      </c>
      <c r="H703" s="169">
        <v>65196.53</v>
      </c>
      <c r="I703" s="169">
        <v>80303.57</v>
      </c>
      <c r="J703" s="169">
        <v>8397.06</v>
      </c>
      <c r="K703" s="169">
        <v>6879.44</v>
      </c>
      <c r="L703" s="169">
        <v>83016.33</v>
      </c>
      <c r="M703" s="169">
        <v>64282.7</v>
      </c>
      <c r="N703" s="50">
        <v>92013.0</v>
      </c>
      <c r="O703" s="111">
        <v>21.0</v>
      </c>
      <c r="P703" s="168">
        <v>4.0</v>
      </c>
    </row>
    <row r="704">
      <c r="A704" s="160">
        <v>96.0</v>
      </c>
      <c r="B704" s="160">
        <v>16.0</v>
      </c>
      <c r="C704" s="147">
        <v>7700.0</v>
      </c>
      <c r="D704" s="168">
        <v>212.0</v>
      </c>
      <c r="E704" s="24">
        <v>10.0</v>
      </c>
      <c r="F704" s="169">
        <v>5302.03</v>
      </c>
      <c r="G704" s="169">
        <v>-54081.69</v>
      </c>
      <c r="H704" s="169">
        <v>14201.57</v>
      </c>
      <c r="I704" s="169">
        <v>-79319.45</v>
      </c>
      <c r="J704" s="169">
        <v>-98567.18</v>
      </c>
      <c r="K704" s="169">
        <v>-85618.01</v>
      </c>
      <c r="L704" s="169">
        <v>-29794.5</v>
      </c>
      <c r="M704" s="169">
        <v>-77171.82</v>
      </c>
      <c r="N704" s="50">
        <v>51617.0</v>
      </c>
      <c r="O704" s="111">
        <v>20.0</v>
      </c>
      <c r="P704" s="168">
        <v>9.0</v>
      </c>
    </row>
    <row r="705">
      <c r="A705" s="160">
        <v>34.0</v>
      </c>
      <c r="B705" s="160">
        <v>73.0</v>
      </c>
      <c r="C705" s="170">
        <v>7701.0</v>
      </c>
      <c r="D705" s="168">
        <v>217.0</v>
      </c>
      <c r="E705" s="24">
        <v>53.0</v>
      </c>
      <c r="F705" s="169">
        <v>57246.05</v>
      </c>
      <c r="G705" s="169">
        <v>57697.16</v>
      </c>
      <c r="H705" s="169">
        <v>-58666.79</v>
      </c>
      <c r="I705" s="169">
        <v>28676.69</v>
      </c>
      <c r="J705" s="169">
        <v>40847.22</v>
      </c>
      <c r="K705" s="169">
        <v>70732.31</v>
      </c>
      <c r="L705" s="169">
        <v>-85383.64</v>
      </c>
      <c r="M705" s="169">
        <v>-29180.91</v>
      </c>
      <c r="N705" s="50">
        <v>31915.0</v>
      </c>
      <c r="O705" s="111">
        <v>23.0</v>
      </c>
      <c r="P705" s="168">
        <v>9.0</v>
      </c>
    </row>
    <row r="706">
      <c r="A706" s="160">
        <v>96.0</v>
      </c>
      <c r="B706" s="160">
        <v>19.0</v>
      </c>
      <c r="C706" s="170">
        <v>7702.0</v>
      </c>
      <c r="D706" s="168">
        <v>218.0</v>
      </c>
      <c r="E706" s="24">
        <v>54.0</v>
      </c>
      <c r="F706" s="169">
        <v>-97777.06</v>
      </c>
      <c r="G706" s="169">
        <v>32197.0</v>
      </c>
      <c r="H706" s="169">
        <v>-83827.54</v>
      </c>
      <c r="I706" s="169">
        <v>40746.44</v>
      </c>
      <c r="J706" s="169">
        <v>-61462.93</v>
      </c>
      <c r="K706" s="169">
        <v>87939.91</v>
      </c>
      <c r="L706" s="169">
        <v>-37417.96</v>
      </c>
      <c r="M706" s="169">
        <v>69671.67</v>
      </c>
      <c r="N706" s="50">
        <v>110713.0</v>
      </c>
      <c r="O706" s="111">
        <v>20.0</v>
      </c>
      <c r="P706" s="168">
        <v>2.0</v>
      </c>
    </row>
    <row r="707">
      <c r="A707" s="160">
        <v>14.0</v>
      </c>
      <c r="B707" s="160">
        <v>30.0</v>
      </c>
      <c r="C707" s="170">
        <v>7703.0</v>
      </c>
      <c r="D707" s="168">
        <v>202.0</v>
      </c>
      <c r="E707" s="24">
        <v>72.0</v>
      </c>
      <c r="F707" s="169">
        <v>68795.57</v>
      </c>
      <c r="G707" s="169">
        <v>-48482.79</v>
      </c>
      <c r="H707" s="169">
        <v>-3901.95</v>
      </c>
      <c r="I707" s="169">
        <v>-76955.43</v>
      </c>
      <c r="J707" s="169">
        <v>-89543.32</v>
      </c>
      <c r="K707" s="169">
        <v>59636.7</v>
      </c>
      <c r="L707" s="169">
        <v>-46010.62</v>
      </c>
      <c r="M707" s="169">
        <v>-12162.24</v>
      </c>
      <c r="N707" s="50">
        <v>33116.0</v>
      </c>
      <c r="O707" s="111">
        <v>21.0</v>
      </c>
      <c r="P707" s="168">
        <v>2.0</v>
      </c>
    </row>
    <row r="708">
      <c r="A708" s="160">
        <v>34.0</v>
      </c>
      <c r="B708" s="160">
        <v>78.0</v>
      </c>
      <c r="C708" s="170">
        <v>7704.0</v>
      </c>
      <c r="D708" s="168">
        <v>214.0</v>
      </c>
      <c r="E708" s="24">
        <v>17.0</v>
      </c>
      <c r="F708" s="169">
        <v>-57268.67</v>
      </c>
      <c r="G708" s="169">
        <v>-90098.69</v>
      </c>
      <c r="H708" s="169">
        <v>-20253.36</v>
      </c>
      <c r="I708" s="169">
        <v>-3639.17</v>
      </c>
      <c r="J708" s="169">
        <v>-14374.72</v>
      </c>
      <c r="K708" s="169">
        <v>74013.06</v>
      </c>
      <c r="L708" s="169">
        <v>-6399.68</v>
      </c>
      <c r="M708" s="169">
        <v>-7301.27</v>
      </c>
      <c r="N708" s="50">
        <v>22217.0</v>
      </c>
      <c r="O708" s="111">
        <v>22.0</v>
      </c>
      <c r="P708" s="168">
        <v>7.0</v>
      </c>
    </row>
    <row r="709">
      <c r="A709" s="160">
        <v>96.0</v>
      </c>
      <c r="B709" s="160">
        <v>23.0</v>
      </c>
      <c r="C709" s="147">
        <v>7705.0</v>
      </c>
      <c r="D709" s="168">
        <v>219.0</v>
      </c>
      <c r="E709" s="24">
        <v>31.0</v>
      </c>
      <c r="F709" s="169">
        <v>-89847.43</v>
      </c>
      <c r="G709" s="169">
        <v>14060.58</v>
      </c>
      <c r="H709" s="169">
        <v>48969.39</v>
      </c>
      <c r="I709" s="169">
        <v>-93102.0</v>
      </c>
      <c r="J709" s="169">
        <v>98802.22</v>
      </c>
      <c r="K709" s="169">
        <v>89255.6</v>
      </c>
      <c r="L709" s="169">
        <v>15835.73</v>
      </c>
      <c r="M709" s="169">
        <v>-32240.86</v>
      </c>
      <c r="N709" s="50">
        <v>81222.0</v>
      </c>
      <c r="O709" s="111">
        <v>22.0</v>
      </c>
      <c r="P709" s="168">
        <v>5.0</v>
      </c>
    </row>
    <row r="710">
      <c r="A710" s="160">
        <v>14.0</v>
      </c>
      <c r="B710" s="160">
        <v>32.0</v>
      </c>
      <c r="C710" s="170">
        <v>7706.0</v>
      </c>
      <c r="D710" s="168">
        <v>220.0</v>
      </c>
      <c r="E710" s="24">
        <v>68.0</v>
      </c>
      <c r="F710" s="169">
        <v>76483.95</v>
      </c>
      <c r="G710" s="169">
        <v>2055.57</v>
      </c>
      <c r="H710" s="169">
        <v>93991.89</v>
      </c>
      <c r="I710" s="169">
        <v>-38784.71</v>
      </c>
      <c r="J710" s="169">
        <v>-33727.0</v>
      </c>
      <c r="K710" s="169">
        <v>46209.64</v>
      </c>
      <c r="L710" s="169">
        <v>-7091.86</v>
      </c>
      <c r="M710" s="169">
        <v>-9657.34</v>
      </c>
      <c r="N710" s="50">
        <v>50917.0</v>
      </c>
      <c r="O710" s="111">
        <v>21.0</v>
      </c>
      <c r="P710" s="168">
        <v>2.0</v>
      </c>
    </row>
    <row r="711">
      <c r="A711" s="160">
        <v>55.0</v>
      </c>
      <c r="B711" s="160">
        <v>27.0</v>
      </c>
      <c r="C711" s="170">
        <v>7707.0</v>
      </c>
      <c r="D711" s="168">
        <v>212.0</v>
      </c>
      <c r="E711" s="24">
        <v>12.0</v>
      </c>
      <c r="F711" s="169">
        <v>54810.35</v>
      </c>
      <c r="G711" s="169">
        <v>-83135.9</v>
      </c>
      <c r="H711" s="169">
        <v>80828.66</v>
      </c>
      <c r="I711" s="169">
        <v>-30424.09</v>
      </c>
      <c r="J711" s="169">
        <v>-4084.17</v>
      </c>
      <c r="K711" s="169">
        <v>30189.6</v>
      </c>
      <c r="L711" s="169">
        <v>-7422.2</v>
      </c>
      <c r="M711" s="169">
        <v>-12754.64</v>
      </c>
      <c r="N711" s="50">
        <v>42817.0</v>
      </c>
      <c r="O711" s="111">
        <v>20.0</v>
      </c>
      <c r="P711" s="168">
        <v>3.0</v>
      </c>
    </row>
    <row r="712">
      <c r="A712" s="160">
        <v>75.0</v>
      </c>
      <c r="B712" s="160">
        <v>80.0</v>
      </c>
      <c r="C712" s="170">
        <v>7708.0</v>
      </c>
      <c r="D712" s="168">
        <v>208.0</v>
      </c>
      <c r="E712" s="24">
        <v>69.0</v>
      </c>
      <c r="F712" s="169">
        <v>-6045.46</v>
      </c>
      <c r="G712" s="169">
        <v>-54961.76</v>
      </c>
      <c r="H712" s="169">
        <v>23981.92</v>
      </c>
      <c r="I712" s="169">
        <v>65492.49</v>
      </c>
      <c r="J712" s="169">
        <v>74804.89</v>
      </c>
      <c r="K712" s="169">
        <v>37050.49</v>
      </c>
      <c r="L712" s="169">
        <v>-85473.53</v>
      </c>
      <c r="M712" s="169">
        <v>-41706.79</v>
      </c>
      <c r="N712" s="50">
        <v>11816.0</v>
      </c>
      <c r="O712" s="111">
        <v>21.0</v>
      </c>
      <c r="P712" s="168">
        <v>2.0</v>
      </c>
    </row>
    <row r="713">
      <c r="A713" s="160">
        <v>75.0</v>
      </c>
      <c r="B713" s="160">
        <v>81.0</v>
      </c>
      <c r="C713" s="170">
        <v>7709.0</v>
      </c>
      <c r="D713" s="168">
        <v>219.0</v>
      </c>
      <c r="E713" s="24">
        <v>71.0</v>
      </c>
      <c r="F713" s="169">
        <v>42418.35</v>
      </c>
      <c r="G713" s="169">
        <v>-97152.72</v>
      </c>
      <c r="H713" s="169">
        <v>-39725.91</v>
      </c>
      <c r="I713" s="169">
        <v>-70740.12</v>
      </c>
      <c r="J713" s="169">
        <v>-96209.97</v>
      </c>
      <c r="K713" s="169">
        <v>66265.57</v>
      </c>
      <c r="L713" s="169">
        <v>33043.86</v>
      </c>
      <c r="M713" s="169">
        <v>-7672.3</v>
      </c>
      <c r="N713" s="50">
        <v>91822.0</v>
      </c>
      <c r="O713" s="111">
        <v>22.0</v>
      </c>
      <c r="P713" s="168">
        <v>2.0</v>
      </c>
    </row>
    <row r="714">
      <c r="A714" s="160">
        <v>14.0</v>
      </c>
      <c r="B714" s="160">
        <v>38.0</v>
      </c>
      <c r="C714" s="147">
        <v>7710.0</v>
      </c>
      <c r="D714" s="168">
        <v>202.0</v>
      </c>
      <c r="E714" s="24">
        <v>43.0</v>
      </c>
      <c r="F714" s="169">
        <v>45158.03</v>
      </c>
      <c r="G714" s="169">
        <v>-57286.3</v>
      </c>
      <c r="H714" s="169">
        <v>75111.61</v>
      </c>
      <c r="I714" s="169">
        <v>-57693.05</v>
      </c>
      <c r="J714" s="169">
        <v>66033.05</v>
      </c>
      <c r="K714" s="169">
        <v>69399.65</v>
      </c>
      <c r="L714" s="169">
        <v>41246.52</v>
      </c>
      <c r="M714" s="169">
        <v>18058.74</v>
      </c>
      <c r="N714" s="50">
        <v>113018.0</v>
      </c>
      <c r="O714" s="111">
        <v>23.0</v>
      </c>
      <c r="P714" s="168">
        <v>9.0</v>
      </c>
    </row>
    <row r="715">
      <c r="A715" s="160">
        <v>55.0</v>
      </c>
      <c r="B715" s="160">
        <v>35.0</v>
      </c>
      <c r="C715" s="170">
        <v>7711.0</v>
      </c>
      <c r="D715" s="168">
        <v>206.0</v>
      </c>
      <c r="E715" s="24">
        <v>32.0</v>
      </c>
      <c r="F715" s="169">
        <v>-32150.07</v>
      </c>
      <c r="G715" s="169">
        <v>78603.45</v>
      </c>
      <c r="H715" s="169">
        <v>86261.06</v>
      </c>
      <c r="I715" s="169">
        <v>47205.84</v>
      </c>
      <c r="J715" s="169">
        <v>-79416.68</v>
      </c>
      <c r="K715" s="169">
        <v>-59002.11</v>
      </c>
      <c r="L715" s="169">
        <v>-76193.16</v>
      </c>
      <c r="M715" s="169">
        <v>37481.31</v>
      </c>
      <c r="N715" s="50">
        <v>111622.0</v>
      </c>
      <c r="O715" s="111">
        <v>22.0</v>
      </c>
      <c r="P715" s="168">
        <v>4.0</v>
      </c>
    </row>
    <row r="716">
      <c r="A716" s="160">
        <v>75.0</v>
      </c>
      <c r="B716" s="160">
        <v>84.0</v>
      </c>
      <c r="C716" s="170">
        <v>7712.0</v>
      </c>
      <c r="D716" s="168">
        <v>214.0</v>
      </c>
      <c r="E716" s="24">
        <v>50.0</v>
      </c>
      <c r="F716" s="169">
        <v>-91509.03</v>
      </c>
      <c r="G716" s="169">
        <v>-97712.19</v>
      </c>
      <c r="H716" s="169">
        <v>456.14</v>
      </c>
      <c r="I716" s="169">
        <v>13093.29</v>
      </c>
      <c r="J716" s="169">
        <v>64931.99</v>
      </c>
      <c r="K716" s="169">
        <v>72464.03</v>
      </c>
      <c r="L716" s="169">
        <v>-21775.28</v>
      </c>
      <c r="M716" s="169">
        <v>-3848.2</v>
      </c>
      <c r="N716" s="50">
        <v>71922.0</v>
      </c>
      <c r="O716" s="111">
        <v>20.0</v>
      </c>
      <c r="P716" s="168">
        <v>6.0</v>
      </c>
    </row>
    <row r="717">
      <c r="A717" s="160">
        <v>55.0</v>
      </c>
      <c r="B717" s="160">
        <v>37.0</v>
      </c>
      <c r="C717" s="170">
        <v>7713.0</v>
      </c>
      <c r="D717" s="168">
        <v>208.0</v>
      </c>
      <c r="E717" s="24">
        <v>25.0</v>
      </c>
      <c r="F717" s="169">
        <v>84964.39</v>
      </c>
      <c r="G717" s="169">
        <v>-52998.33</v>
      </c>
      <c r="H717" s="169">
        <v>30761.61</v>
      </c>
      <c r="I717" s="169">
        <v>73659.39</v>
      </c>
      <c r="J717" s="169">
        <v>10109.67</v>
      </c>
      <c r="K717" s="169">
        <v>24983.54</v>
      </c>
      <c r="L717" s="169">
        <v>2824.78</v>
      </c>
      <c r="M717" s="169">
        <v>-14759.32</v>
      </c>
      <c r="N717" s="50">
        <v>40321.0</v>
      </c>
      <c r="O717" s="111">
        <v>22.0</v>
      </c>
      <c r="P717" s="168">
        <v>6.0</v>
      </c>
    </row>
    <row r="718">
      <c r="A718" s="160">
        <v>75.0</v>
      </c>
      <c r="B718" s="160">
        <v>88.0</v>
      </c>
      <c r="C718" s="170">
        <v>7714.0</v>
      </c>
      <c r="D718" s="168">
        <v>202.0</v>
      </c>
      <c r="E718" s="24">
        <v>77.0</v>
      </c>
      <c r="F718" s="169">
        <v>-57733.72</v>
      </c>
      <c r="G718" s="169">
        <v>3099.17</v>
      </c>
      <c r="H718" s="169">
        <v>-45384.58</v>
      </c>
      <c r="I718" s="169">
        <v>26014.51</v>
      </c>
      <c r="J718" s="169">
        <v>-78702.14</v>
      </c>
      <c r="K718" s="169">
        <v>-51085.1</v>
      </c>
      <c r="L718" s="169">
        <v>-47677.21</v>
      </c>
      <c r="M718" s="169">
        <v>55508.81</v>
      </c>
      <c r="N718" s="50">
        <v>50617.0</v>
      </c>
      <c r="O718" s="111">
        <v>23.0</v>
      </c>
      <c r="P718" s="168">
        <v>2.0</v>
      </c>
    </row>
    <row r="719">
      <c r="A719" s="160">
        <v>14.0</v>
      </c>
      <c r="B719" s="160">
        <v>46.0</v>
      </c>
      <c r="C719" s="147">
        <v>7715.0</v>
      </c>
      <c r="D719" s="168">
        <v>215.0</v>
      </c>
      <c r="E719" s="24">
        <v>77.0</v>
      </c>
      <c r="F719" s="169">
        <v>-58649.34</v>
      </c>
      <c r="G719" s="169">
        <v>-79860.11</v>
      </c>
      <c r="H719" s="169">
        <v>23966.12</v>
      </c>
      <c r="I719" s="169">
        <v>-4792.1</v>
      </c>
      <c r="J719" s="169">
        <v>13267.7</v>
      </c>
      <c r="K719" s="169">
        <v>-78164.1</v>
      </c>
      <c r="L719" s="169">
        <v>94921.97</v>
      </c>
      <c r="M719" s="169">
        <v>47479.44</v>
      </c>
      <c r="N719" s="50">
        <v>42315.0</v>
      </c>
      <c r="O719" s="111">
        <v>22.0</v>
      </c>
      <c r="P719" s="168">
        <v>1.0</v>
      </c>
    </row>
    <row r="720">
      <c r="A720" s="160">
        <v>96.0</v>
      </c>
      <c r="B720" s="160">
        <v>43.0</v>
      </c>
      <c r="C720" s="170">
        <v>7716.0</v>
      </c>
      <c r="D720" s="168">
        <v>216.0</v>
      </c>
      <c r="E720" s="24">
        <v>51.0</v>
      </c>
      <c r="F720" s="169">
        <v>-3642.75</v>
      </c>
      <c r="G720" s="169">
        <v>34563.94</v>
      </c>
      <c r="H720" s="169">
        <v>6573.63</v>
      </c>
      <c r="I720" s="169">
        <v>-87922.06</v>
      </c>
      <c r="J720" s="169">
        <v>-59048.45</v>
      </c>
      <c r="K720" s="169">
        <v>7032.75</v>
      </c>
      <c r="L720" s="169">
        <v>-49888.02</v>
      </c>
      <c r="M720" s="169">
        <v>-7865.3</v>
      </c>
      <c r="N720" s="50">
        <v>83118.0</v>
      </c>
      <c r="O720" s="111">
        <v>21.0</v>
      </c>
      <c r="P720" s="168">
        <v>5.0</v>
      </c>
    </row>
    <row r="721">
      <c r="A721" s="160">
        <v>75.0</v>
      </c>
      <c r="B721" s="160">
        <v>96.0</v>
      </c>
      <c r="C721" s="170">
        <v>7717.0</v>
      </c>
      <c r="D721" s="168">
        <v>204.0</v>
      </c>
      <c r="E721" s="24">
        <v>80.0</v>
      </c>
      <c r="F721" s="169">
        <v>14212.33</v>
      </c>
      <c r="G721" s="169">
        <v>-19578.21</v>
      </c>
      <c r="H721" s="169">
        <v>65229.97</v>
      </c>
      <c r="I721" s="169">
        <v>59366.05</v>
      </c>
      <c r="J721" s="169">
        <v>18219.91</v>
      </c>
      <c r="K721" s="169">
        <v>-75429.46</v>
      </c>
      <c r="L721" s="169">
        <v>31755.38</v>
      </c>
      <c r="M721" s="169">
        <v>-87048.82</v>
      </c>
      <c r="N721" s="50">
        <v>31322.0</v>
      </c>
      <c r="O721" s="111">
        <v>21.0</v>
      </c>
      <c r="P721" s="168">
        <v>9.0</v>
      </c>
    </row>
    <row r="722">
      <c r="A722" s="160">
        <v>35.0</v>
      </c>
      <c r="B722" s="160">
        <v>1.0</v>
      </c>
      <c r="C722" s="170">
        <v>7718.0</v>
      </c>
      <c r="D722" s="168">
        <v>204.0</v>
      </c>
      <c r="E722" s="24">
        <v>63.0</v>
      </c>
      <c r="F722" s="169">
        <v>-59605.42</v>
      </c>
      <c r="G722" s="169">
        <v>-39517.27</v>
      </c>
      <c r="H722" s="169">
        <v>-81998.13</v>
      </c>
      <c r="I722" s="169">
        <v>27545.44</v>
      </c>
      <c r="J722" s="169">
        <v>65357.05</v>
      </c>
      <c r="K722" s="169">
        <v>26928.96</v>
      </c>
      <c r="L722" s="169">
        <v>40396.87</v>
      </c>
      <c r="M722" s="169">
        <v>5712.47</v>
      </c>
      <c r="N722" s="50">
        <v>71822.0</v>
      </c>
      <c r="O722" s="111">
        <v>22.0</v>
      </c>
      <c r="P722" s="168">
        <v>6.0</v>
      </c>
    </row>
    <row r="723">
      <c r="A723" s="160">
        <v>55.0</v>
      </c>
      <c r="B723" s="160">
        <v>49.0</v>
      </c>
      <c r="C723" s="170">
        <v>7719.0</v>
      </c>
      <c r="D723" s="168">
        <v>211.0</v>
      </c>
      <c r="E723" s="24">
        <v>38.0</v>
      </c>
      <c r="F723" s="169">
        <v>62385.74</v>
      </c>
      <c r="G723" s="169">
        <v>-18081.8</v>
      </c>
      <c r="H723" s="169">
        <v>53503.31</v>
      </c>
      <c r="I723" s="169">
        <v>-40443.9</v>
      </c>
      <c r="J723" s="169">
        <v>-55311.83</v>
      </c>
      <c r="K723" s="169">
        <v>62128.36</v>
      </c>
      <c r="L723" s="169">
        <v>75809.02</v>
      </c>
      <c r="M723" s="169">
        <v>-17223.69</v>
      </c>
      <c r="N723" s="50">
        <v>82916.0</v>
      </c>
      <c r="O723" s="111">
        <v>22.0</v>
      </c>
      <c r="P723" s="168">
        <v>9.0</v>
      </c>
    </row>
    <row r="724">
      <c r="A724" s="160">
        <v>96.0</v>
      </c>
      <c r="B724" s="160">
        <v>45.0</v>
      </c>
      <c r="C724" s="147">
        <v>7720.0</v>
      </c>
      <c r="D724" s="168">
        <v>217.0</v>
      </c>
      <c r="E724" s="24">
        <v>91.0</v>
      </c>
      <c r="F724" s="169">
        <v>-49863.83</v>
      </c>
      <c r="G724" s="169">
        <v>-5475.92</v>
      </c>
      <c r="H724" s="169">
        <v>92014.65</v>
      </c>
      <c r="I724" s="169">
        <v>59183.09</v>
      </c>
      <c r="J724" s="169">
        <v>-25421.83</v>
      </c>
      <c r="K724" s="169">
        <v>70586.01</v>
      </c>
      <c r="L724" s="169">
        <v>92997.34</v>
      </c>
      <c r="M724" s="169">
        <v>80042.31</v>
      </c>
      <c r="N724" s="50">
        <v>51422.0</v>
      </c>
      <c r="O724" s="111">
        <v>21.0</v>
      </c>
      <c r="P724" s="168">
        <v>1.0</v>
      </c>
    </row>
    <row r="725">
      <c r="A725" s="160">
        <v>14.0</v>
      </c>
      <c r="B725" s="160">
        <v>53.0</v>
      </c>
      <c r="C725" s="170">
        <v>7721.0</v>
      </c>
      <c r="D725" s="168">
        <v>203.0</v>
      </c>
      <c r="E725" s="24">
        <v>14.0</v>
      </c>
      <c r="F725" s="169">
        <v>82054.77</v>
      </c>
      <c r="G725" s="169">
        <v>-14147.29</v>
      </c>
      <c r="H725" s="169">
        <v>59704.8</v>
      </c>
      <c r="I725" s="169">
        <v>99972.1</v>
      </c>
      <c r="J725" s="169">
        <v>-52150.89</v>
      </c>
      <c r="K725" s="169">
        <v>-64101.32</v>
      </c>
      <c r="L725" s="169">
        <v>-78976.91</v>
      </c>
      <c r="M725" s="169">
        <v>72363.37</v>
      </c>
      <c r="N725" s="50">
        <v>81715.0</v>
      </c>
      <c r="O725" s="111">
        <v>21.0</v>
      </c>
      <c r="P725" s="168">
        <v>3.0</v>
      </c>
    </row>
    <row r="726">
      <c r="A726" s="160">
        <v>55.0</v>
      </c>
      <c r="B726" s="160">
        <v>51.0</v>
      </c>
      <c r="C726" s="170">
        <v>7722.0</v>
      </c>
      <c r="D726" s="168">
        <v>203.0</v>
      </c>
      <c r="E726" s="24">
        <v>18.0</v>
      </c>
      <c r="F726" s="169">
        <v>43594.64</v>
      </c>
      <c r="G726" s="169">
        <v>59213.22</v>
      </c>
      <c r="H726" s="169">
        <v>35524.89</v>
      </c>
      <c r="I726" s="169">
        <v>64056.15</v>
      </c>
      <c r="J726" s="169">
        <v>-84160.49</v>
      </c>
      <c r="K726" s="169">
        <v>-13538.77</v>
      </c>
      <c r="L726" s="169">
        <v>64775.16</v>
      </c>
      <c r="M726" s="169">
        <v>12693.5</v>
      </c>
      <c r="N726" s="50">
        <v>42314.0</v>
      </c>
      <c r="O726" s="111">
        <v>22.0</v>
      </c>
      <c r="P726" s="168">
        <v>4.0</v>
      </c>
    </row>
    <row r="727">
      <c r="A727" s="160">
        <v>76.0</v>
      </c>
      <c r="B727" s="160">
        <v>2.0</v>
      </c>
      <c r="C727" s="170">
        <v>7723.0</v>
      </c>
      <c r="D727" s="168">
        <v>207.0</v>
      </c>
      <c r="E727" s="24">
        <v>40.0</v>
      </c>
      <c r="F727" s="169">
        <v>-47105.62</v>
      </c>
      <c r="G727" s="169">
        <v>-73312.42</v>
      </c>
      <c r="H727" s="169">
        <v>-91471.61</v>
      </c>
      <c r="I727" s="169">
        <v>65916.35</v>
      </c>
      <c r="J727" s="169">
        <v>-35230.28</v>
      </c>
      <c r="K727" s="169">
        <v>45729.53</v>
      </c>
      <c r="L727" s="169">
        <v>90221.83</v>
      </c>
      <c r="M727" s="169">
        <v>-87409.23</v>
      </c>
      <c r="N727" s="50">
        <v>20914.0</v>
      </c>
      <c r="O727" s="111">
        <v>23.0</v>
      </c>
      <c r="P727" s="168">
        <v>4.0</v>
      </c>
    </row>
    <row r="728">
      <c r="A728" s="160">
        <v>76.0</v>
      </c>
      <c r="B728" s="160">
        <v>3.0</v>
      </c>
      <c r="C728" s="170">
        <v>7724.0</v>
      </c>
      <c r="D728" s="168">
        <v>213.0</v>
      </c>
      <c r="E728" s="24">
        <v>89.0</v>
      </c>
      <c r="F728" s="169">
        <v>-69847.91</v>
      </c>
      <c r="G728" s="169">
        <v>76964.5</v>
      </c>
      <c r="H728" s="169">
        <v>-10296.56</v>
      </c>
      <c r="I728" s="169">
        <v>98531.67</v>
      </c>
      <c r="J728" s="169">
        <v>12886.36</v>
      </c>
      <c r="K728" s="169">
        <v>16079.76</v>
      </c>
      <c r="L728" s="169">
        <v>61554.92</v>
      </c>
      <c r="M728" s="169">
        <v>20485.92</v>
      </c>
      <c r="N728" s="50">
        <v>13018.0</v>
      </c>
      <c r="O728" s="111">
        <v>22.0</v>
      </c>
      <c r="P728" s="168">
        <v>8.0</v>
      </c>
    </row>
    <row r="729">
      <c r="A729" s="160">
        <v>35.0</v>
      </c>
      <c r="B729" s="160">
        <v>8.0</v>
      </c>
      <c r="C729" s="147">
        <v>7725.0</v>
      </c>
      <c r="D729" s="168">
        <v>217.0</v>
      </c>
      <c r="E729" s="24">
        <v>28.0</v>
      </c>
      <c r="F729" s="169">
        <v>-11105.42</v>
      </c>
      <c r="G729" s="169">
        <v>24321.78</v>
      </c>
      <c r="H729" s="169">
        <v>45522.89</v>
      </c>
      <c r="I729" s="169">
        <v>53144.62</v>
      </c>
      <c r="J729" s="169">
        <v>3544.91</v>
      </c>
      <c r="K729" s="169">
        <v>60296.01</v>
      </c>
      <c r="L729" s="169">
        <v>24073.12</v>
      </c>
      <c r="M729" s="169">
        <v>-95649.06</v>
      </c>
      <c r="N729" s="50">
        <v>71014.0</v>
      </c>
      <c r="O729" s="111">
        <v>23.0</v>
      </c>
      <c r="P729" s="168">
        <v>7.0</v>
      </c>
    </row>
    <row r="730">
      <c r="A730" s="160">
        <v>55.0</v>
      </c>
      <c r="B730" s="160">
        <v>55.0</v>
      </c>
      <c r="C730" s="170">
        <v>7726.0</v>
      </c>
      <c r="D730" s="168">
        <v>219.0</v>
      </c>
      <c r="E730" s="24">
        <v>87.0</v>
      </c>
      <c r="F730" s="169">
        <v>21613.52</v>
      </c>
      <c r="G730" s="169">
        <v>18949.46</v>
      </c>
      <c r="H730" s="169">
        <v>-52157.35</v>
      </c>
      <c r="I730" s="169">
        <v>-53531.33</v>
      </c>
      <c r="J730" s="169">
        <v>37140.73</v>
      </c>
      <c r="K730" s="169">
        <v>56347.82</v>
      </c>
      <c r="L730" s="169">
        <v>56408.49</v>
      </c>
      <c r="M730" s="169">
        <v>-483.4</v>
      </c>
      <c r="N730" s="50">
        <v>20816.0</v>
      </c>
      <c r="O730" s="111">
        <v>20.0</v>
      </c>
      <c r="P730" s="168">
        <v>2.0</v>
      </c>
    </row>
    <row r="731">
      <c r="A731" s="160">
        <v>35.0</v>
      </c>
      <c r="B731" s="160">
        <v>9.0</v>
      </c>
      <c r="C731" s="170">
        <v>7727.0</v>
      </c>
      <c r="D731" s="168">
        <v>203.0</v>
      </c>
      <c r="E731" s="24">
        <v>99.0</v>
      </c>
      <c r="F731" s="169">
        <v>-72929.54</v>
      </c>
      <c r="G731" s="169">
        <v>-37653.4</v>
      </c>
      <c r="H731" s="169">
        <v>59853.74</v>
      </c>
      <c r="I731" s="169">
        <v>-93495.78</v>
      </c>
      <c r="J731" s="169">
        <v>76611.31</v>
      </c>
      <c r="K731" s="169">
        <v>-86188.67</v>
      </c>
      <c r="L731" s="169">
        <v>2619.03</v>
      </c>
      <c r="M731" s="169">
        <v>65150.44</v>
      </c>
      <c r="N731" s="50">
        <v>50920.0</v>
      </c>
      <c r="O731" s="111">
        <v>22.0</v>
      </c>
      <c r="P731" s="168">
        <v>6.0</v>
      </c>
    </row>
    <row r="732">
      <c r="A732" s="160">
        <v>55.0</v>
      </c>
      <c r="B732" s="160">
        <v>59.0</v>
      </c>
      <c r="C732" s="170">
        <v>7728.0</v>
      </c>
      <c r="D732" s="168">
        <v>205.0</v>
      </c>
      <c r="E732" s="24">
        <v>25.0</v>
      </c>
      <c r="F732" s="169">
        <v>69951.83</v>
      </c>
      <c r="G732" s="169">
        <v>47888.79</v>
      </c>
      <c r="H732" s="169">
        <v>37879.33</v>
      </c>
      <c r="I732" s="169">
        <v>84855.1</v>
      </c>
      <c r="J732" s="169">
        <v>4013.03</v>
      </c>
      <c r="K732" s="169">
        <v>5503.57</v>
      </c>
      <c r="L732" s="169">
        <v>12705.59</v>
      </c>
      <c r="M732" s="169">
        <v>-29018.11</v>
      </c>
      <c r="N732" s="50">
        <v>31919.0</v>
      </c>
      <c r="O732" s="111">
        <v>20.0</v>
      </c>
      <c r="P732" s="168">
        <v>8.0</v>
      </c>
    </row>
    <row r="733">
      <c r="A733" s="160">
        <v>14.0</v>
      </c>
      <c r="B733" s="160">
        <v>63.0</v>
      </c>
      <c r="C733" s="170">
        <v>7729.0</v>
      </c>
      <c r="D733" s="168">
        <v>200.0</v>
      </c>
      <c r="E733" s="24">
        <v>92.0</v>
      </c>
      <c r="F733" s="169">
        <v>94318.74</v>
      </c>
      <c r="G733" s="169">
        <v>49811.29</v>
      </c>
      <c r="H733" s="169">
        <v>-39990.5</v>
      </c>
      <c r="I733" s="169">
        <v>-87343.23</v>
      </c>
      <c r="J733" s="169">
        <v>-34997.52</v>
      </c>
      <c r="K733" s="169">
        <v>-97036.18</v>
      </c>
      <c r="L733" s="169">
        <v>-73674.3</v>
      </c>
      <c r="M733" s="169">
        <v>-17241.85</v>
      </c>
      <c r="N733" s="50">
        <v>123022.0</v>
      </c>
      <c r="O733" s="111">
        <v>20.0</v>
      </c>
      <c r="P733" s="168">
        <v>2.0</v>
      </c>
    </row>
    <row r="734">
      <c r="A734" s="160">
        <v>14.0</v>
      </c>
      <c r="B734" s="160">
        <v>59.0</v>
      </c>
      <c r="C734" s="147">
        <v>7730.0</v>
      </c>
      <c r="D734" s="168">
        <v>211.0</v>
      </c>
      <c r="E734" s="24">
        <v>63.0</v>
      </c>
      <c r="F734" s="169">
        <v>-98409.85</v>
      </c>
      <c r="G734" s="169">
        <v>75378.71</v>
      </c>
      <c r="H734" s="169">
        <v>39989.03</v>
      </c>
      <c r="I734" s="169">
        <v>80797.74</v>
      </c>
      <c r="J734" s="169">
        <v>45470.19</v>
      </c>
      <c r="K734" s="169">
        <v>-93876.16</v>
      </c>
      <c r="L734" s="169">
        <v>-37910.02</v>
      </c>
      <c r="M734" s="169">
        <v>95635.73</v>
      </c>
      <c r="N734" s="50">
        <v>30722.0</v>
      </c>
      <c r="O734" s="111">
        <v>22.0</v>
      </c>
      <c r="P734" s="168">
        <v>1.0</v>
      </c>
    </row>
    <row r="735">
      <c r="A735" s="160">
        <v>76.0</v>
      </c>
      <c r="B735" s="160">
        <v>10.0</v>
      </c>
      <c r="C735" s="170">
        <v>7731.0</v>
      </c>
      <c r="D735" s="168">
        <v>218.0</v>
      </c>
      <c r="E735" s="24">
        <v>49.0</v>
      </c>
      <c r="F735" s="169">
        <v>-5316.21</v>
      </c>
      <c r="G735" s="169">
        <v>-38317.11</v>
      </c>
      <c r="H735" s="169">
        <v>-85511.29</v>
      </c>
      <c r="I735" s="169">
        <v>20916.2</v>
      </c>
      <c r="J735" s="169">
        <v>24399.91</v>
      </c>
      <c r="K735" s="169">
        <v>-83761.45</v>
      </c>
      <c r="L735" s="169">
        <v>-21278.93</v>
      </c>
      <c r="M735" s="169">
        <v>-24912.29</v>
      </c>
      <c r="N735" s="50">
        <v>103013.0</v>
      </c>
      <c r="O735" s="111">
        <v>23.0</v>
      </c>
      <c r="P735" s="168">
        <v>6.0</v>
      </c>
    </row>
    <row r="736">
      <c r="A736" s="160">
        <v>96.0</v>
      </c>
      <c r="B736" s="160">
        <v>54.0</v>
      </c>
      <c r="C736" s="170">
        <v>7732.0</v>
      </c>
      <c r="D736" s="168">
        <v>213.0</v>
      </c>
      <c r="E736" s="24">
        <v>30.0</v>
      </c>
      <c r="F736" s="169">
        <v>-50068.42</v>
      </c>
      <c r="G736" s="169">
        <v>61560.58</v>
      </c>
      <c r="H736" s="169">
        <v>61805.08</v>
      </c>
      <c r="I736" s="169">
        <v>47198.26</v>
      </c>
      <c r="J736" s="169">
        <v>-75939.16</v>
      </c>
      <c r="K736" s="169">
        <v>-29797.33</v>
      </c>
      <c r="L736" s="169">
        <v>92012.36</v>
      </c>
      <c r="M736" s="169">
        <v>-16468.81</v>
      </c>
      <c r="N736" s="50">
        <v>40313.0</v>
      </c>
      <c r="O736" s="111">
        <v>23.0</v>
      </c>
      <c r="P736" s="168">
        <v>2.0</v>
      </c>
    </row>
    <row r="737">
      <c r="A737" s="160">
        <v>14.0</v>
      </c>
      <c r="B737" s="160">
        <v>67.0</v>
      </c>
      <c r="C737" s="170">
        <v>7733.0</v>
      </c>
      <c r="D737" s="168">
        <v>216.0</v>
      </c>
      <c r="E737" s="24">
        <v>81.0</v>
      </c>
      <c r="F737" s="169">
        <v>62313.24</v>
      </c>
      <c r="G737" s="169">
        <v>-28835.54</v>
      </c>
      <c r="H737" s="169">
        <v>-1249.35</v>
      </c>
      <c r="I737" s="169">
        <v>-93656.38</v>
      </c>
      <c r="J737" s="169">
        <v>-56358.95</v>
      </c>
      <c r="K737" s="169">
        <v>77380.41</v>
      </c>
      <c r="L737" s="169">
        <v>-80349.36</v>
      </c>
      <c r="M737" s="169">
        <v>10809.96</v>
      </c>
      <c r="N737" s="50">
        <v>31122.0</v>
      </c>
      <c r="O737" s="111">
        <v>20.0</v>
      </c>
      <c r="P737" s="168">
        <v>9.0</v>
      </c>
    </row>
    <row r="738">
      <c r="A738" s="160">
        <v>76.0</v>
      </c>
      <c r="B738" s="160">
        <v>14.0</v>
      </c>
      <c r="C738" s="170">
        <v>7734.0</v>
      </c>
      <c r="D738" s="168">
        <v>202.0</v>
      </c>
      <c r="E738" s="24">
        <v>97.0</v>
      </c>
      <c r="F738" s="169">
        <v>-72268.11</v>
      </c>
      <c r="G738" s="169">
        <v>70179.41</v>
      </c>
      <c r="H738" s="169">
        <v>-6641.88</v>
      </c>
      <c r="I738" s="169">
        <v>68281.56</v>
      </c>
      <c r="J738" s="169">
        <v>-9125.45</v>
      </c>
      <c r="K738" s="169">
        <v>-70337.94</v>
      </c>
      <c r="L738" s="169">
        <v>86398.09</v>
      </c>
      <c r="M738" s="169">
        <v>24521.36</v>
      </c>
      <c r="N738" s="50">
        <v>92919.0</v>
      </c>
      <c r="O738" s="111">
        <v>20.0</v>
      </c>
      <c r="P738" s="168">
        <v>3.0</v>
      </c>
    </row>
    <row r="739">
      <c r="A739" s="160">
        <v>35.0</v>
      </c>
      <c r="B739" s="160">
        <v>23.0</v>
      </c>
      <c r="C739" s="147">
        <v>7735.0</v>
      </c>
      <c r="D739" s="168">
        <v>211.0</v>
      </c>
      <c r="E739" s="24">
        <v>29.0</v>
      </c>
      <c r="F739" s="169">
        <v>-25601.94</v>
      </c>
      <c r="G739" s="169">
        <v>78916.94</v>
      </c>
      <c r="H739" s="169">
        <v>9230.85</v>
      </c>
      <c r="I739" s="169">
        <v>91841.13</v>
      </c>
      <c r="J739" s="169">
        <v>810.05</v>
      </c>
      <c r="K739" s="169">
        <v>-4062.37</v>
      </c>
      <c r="L739" s="169">
        <v>-53181.96</v>
      </c>
      <c r="M739" s="169">
        <v>-51522.5</v>
      </c>
      <c r="N739" s="50">
        <v>122514.0</v>
      </c>
      <c r="O739" s="111">
        <v>23.0</v>
      </c>
      <c r="P739" s="168">
        <v>7.0</v>
      </c>
    </row>
    <row r="740">
      <c r="A740" s="160">
        <v>14.0</v>
      </c>
      <c r="B740" s="160">
        <v>79.0</v>
      </c>
      <c r="C740" s="170">
        <v>7736.0</v>
      </c>
      <c r="D740" s="168">
        <v>205.0</v>
      </c>
      <c r="E740" s="24">
        <v>67.0</v>
      </c>
      <c r="F740" s="169">
        <v>-19932.71</v>
      </c>
      <c r="G740" s="169">
        <v>-41480.51</v>
      </c>
      <c r="H740" s="169">
        <v>14952.79</v>
      </c>
      <c r="I740" s="169">
        <v>-524.79</v>
      </c>
      <c r="J740" s="169">
        <v>-81914.53</v>
      </c>
      <c r="K740" s="169">
        <v>54695.58</v>
      </c>
      <c r="L740" s="169">
        <v>-44792.84</v>
      </c>
      <c r="M740" s="169">
        <v>44811.2</v>
      </c>
      <c r="N740" s="50">
        <v>33014.0</v>
      </c>
      <c r="O740" s="111">
        <v>20.0</v>
      </c>
      <c r="P740" s="168">
        <v>5.0</v>
      </c>
    </row>
    <row r="741">
      <c r="A741" s="160">
        <v>96.0</v>
      </c>
      <c r="B741" s="160">
        <v>72.0</v>
      </c>
      <c r="C741" s="170">
        <v>7737.0</v>
      </c>
      <c r="D741" s="168">
        <v>202.0</v>
      </c>
      <c r="E741" s="24">
        <v>33.0</v>
      </c>
      <c r="F741" s="169">
        <v>34933.48</v>
      </c>
      <c r="G741" s="169">
        <v>-69848.85</v>
      </c>
      <c r="H741" s="169">
        <v>-71844.13</v>
      </c>
      <c r="I741" s="169">
        <v>-89298.27</v>
      </c>
      <c r="J741" s="169">
        <v>-39079.5</v>
      </c>
      <c r="K741" s="169">
        <v>49694.35</v>
      </c>
      <c r="L741" s="169">
        <v>78090.65</v>
      </c>
      <c r="M741" s="169">
        <v>-26202.26</v>
      </c>
      <c r="N741" s="50">
        <v>72215.0</v>
      </c>
      <c r="O741" s="111">
        <v>21.0</v>
      </c>
      <c r="P741" s="168">
        <v>6.0</v>
      </c>
    </row>
    <row r="742">
      <c r="A742" s="160">
        <v>35.0</v>
      </c>
      <c r="B742" s="160">
        <v>30.0</v>
      </c>
      <c r="C742" s="170">
        <v>7738.0</v>
      </c>
      <c r="D742" s="168">
        <v>220.0</v>
      </c>
      <c r="E742" s="24">
        <v>37.0</v>
      </c>
      <c r="F742" s="169">
        <v>-14948.32</v>
      </c>
      <c r="G742" s="169">
        <v>17986.07</v>
      </c>
      <c r="H742" s="169">
        <v>-67370.6</v>
      </c>
      <c r="I742" s="169">
        <v>91232.36</v>
      </c>
      <c r="J742" s="169">
        <v>-99979.02</v>
      </c>
      <c r="K742" s="169">
        <v>29133.03</v>
      </c>
      <c r="L742" s="169">
        <v>6048.02</v>
      </c>
      <c r="M742" s="169">
        <v>-77395.06</v>
      </c>
      <c r="N742" s="50">
        <v>101622.0</v>
      </c>
      <c r="O742" s="111">
        <v>20.0</v>
      </c>
      <c r="P742" s="168">
        <v>5.0</v>
      </c>
    </row>
    <row r="743">
      <c r="A743" s="160">
        <v>55.0</v>
      </c>
      <c r="B743" s="160">
        <v>79.0</v>
      </c>
      <c r="C743" s="170">
        <v>7739.0</v>
      </c>
      <c r="D743" s="168">
        <v>202.0</v>
      </c>
      <c r="E743" s="24">
        <v>98.0</v>
      </c>
      <c r="F743" s="169">
        <v>-89266.57</v>
      </c>
      <c r="G743" s="169">
        <v>-34618.48</v>
      </c>
      <c r="H743" s="169">
        <v>35084.19</v>
      </c>
      <c r="I743" s="169">
        <v>34457.84</v>
      </c>
      <c r="J743" s="169">
        <v>-96965.39</v>
      </c>
      <c r="K743" s="169">
        <v>32766.5</v>
      </c>
      <c r="L743" s="169">
        <v>-36093.08</v>
      </c>
      <c r="M743" s="169">
        <v>-21953.33</v>
      </c>
      <c r="N743" s="50">
        <v>21314.0</v>
      </c>
      <c r="O743" s="111">
        <v>21.0</v>
      </c>
      <c r="P743" s="168">
        <v>8.0</v>
      </c>
    </row>
    <row r="744">
      <c r="A744" s="160">
        <v>35.0</v>
      </c>
      <c r="B744" s="160">
        <v>32.0</v>
      </c>
      <c r="C744" s="147">
        <v>7740.0</v>
      </c>
      <c r="D744" s="168">
        <v>207.0</v>
      </c>
      <c r="E744" s="24">
        <v>88.0</v>
      </c>
      <c r="F744" s="169">
        <v>58668.04</v>
      </c>
      <c r="G744" s="169">
        <v>17576.89</v>
      </c>
      <c r="H744" s="169">
        <v>-80082.86</v>
      </c>
      <c r="I744" s="169">
        <v>17064.58</v>
      </c>
      <c r="J744" s="169">
        <v>-37868.66</v>
      </c>
      <c r="K744" s="169">
        <v>-34048.54</v>
      </c>
      <c r="L744" s="169">
        <v>-31033.8</v>
      </c>
      <c r="M744" s="169">
        <v>-83313.58</v>
      </c>
      <c r="N744" s="50">
        <v>60322.0</v>
      </c>
      <c r="O744" s="111">
        <v>21.0</v>
      </c>
      <c r="P744" s="168">
        <v>8.0</v>
      </c>
    </row>
    <row r="745">
      <c r="A745" s="160">
        <v>35.0</v>
      </c>
      <c r="B745" s="160">
        <v>33.0</v>
      </c>
      <c r="C745" s="170">
        <v>7741.0</v>
      </c>
      <c r="D745" s="168">
        <v>206.0</v>
      </c>
      <c r="E745" s="24">
        <v>83.0</v>
      </c>
      <c r="F745" s="169">
        <v>47053.81</v>
      </c>
      <c r="G745" s="169">
        <v>-93395.32</v>
      </c>
      <c r="H745" s="169">
        <v>41226.34</v>
      </c>
      <c r="I745" s="169">
        <v>79994.62</v>
      </c>
      <c r="J745" s="169">
        <v>96073.62</v>
      </c>
      <c r="K745" s="169">
        <v>-41199.43</v>
      </c>
      <c r="L745" s="169">
        <v>-9675.68</v>
      </c>
      <c r="M745" s="169">
        <v>-17989.25</v>
      </c>
      <c r="N745" s="50">
        <v>90219.0</v>
      </c>
      <c r="O745" s="111">
        <v>21.0</v>
      </c>
      <c r="P745" s="168">
        <v>4.0</v>
      </c>
    </row>
    <row r="746">
      <c r="A746" s="160">
        <v>14.0</v>
      </c>
      <c r="B746" s="160">
        <v>85.0</v>
      </c>
      <c r="C746" s="170">
        <v>7742.0</v>
      </c>
      <c r="D746" s="168">
        <v>212.0</v>
      </c>
      <c r="E746" s="24">
        <v>79.0</v>
      </c>
      <c r="F746" s="169">
        <v>78968.31</v>
      </c>
      <c r="G746" s="169">
        <v>-25499.3</v>
      </c>
      <c r="H746" s="169">
        <v>21859.68</v>
      </c>
      <c r="I746" s="169">
        <v>15621.46</v>
      </c>
      <c r="J746" s="169">
        <v>-6557.99</v>
      </c>
      <c r="K746" s="169">
        <v>-2480.84</v>
      </c>
      <c r="L746" s="169">
        <v>39067.69</v>
      </c>
      <c r="M746" s="169">
        <v>41898.96</v>
      </c>
      <c r="N746" s="50">
        <v>90517.0</v>
      </c>
      <c r="O746" s="111">
        <v>20.0</v>
      </c>
      <c r="P746" s="168">
        <v>8.0</v>
      </c>
    </row>
    <row r="747">
      <c r="A747" s="160">
        <v>55.0</v>
      </c>
      <c r="B747" s="160">
        <v>83.0</v>
      </c>
      <c r="C747" s="170">
        <v>7743.0</v>
      </c>
      <c r="D747" s="168">
        <v>215.0</v>
      </c>
      <c r="E747" s="24">
        <v>15.0</v>
      </c>
      <c r="F747" s="169">
        <v>-22022.98</v>
      </c>
      <c r="G747" s="169">
        <v>68118.33</v>
      </c>
      <c r="H747" s="169">
        <v>8141.27</v>
      </c>
      <c r="I747" s="169">
        <v>-61858.49</v>
      </c>
      <c r="J747" s="169">
        <v>-53016.53</v>
      </c>
      <c r="K747" s="169">
        <v>35827.08</v>
      </c>
      <c r="L747" s="169">
        <v>38546.58</v>
      </c>
      <c r="M747" s="169">
        <v>-88107.07</v>
      </c>
      <c r="N747" s="50">
        <v>110817.0</v>
      </c>
      <c r="O747" s="111">
        <v>20.0</v>
      </c>
      <c r="P747" s="168">
        <v>3.0</v>
      </c>
    </row>
    <row r="748">
      <c r="A748" s="160">
        <v>35.0</v>
      </c>
      <c r="B748" s="160">
        <v>36.0</v>
      </c>
      <c r="C748" s="170">
        <v>7744.0</v>
      </c>
      <c r="D748" s="168">
        <v>217.0</v>
      </c>
      <c r="E748" s="24">
        <v>84.0</v>
      </c>
      <c r="F748" s="169">
        <v>70750.22</v>
      </c>
      <c r="G748" s="169">
        <v>-16034.0</v>
      </c>
      <c r="H748" s="169">
        <v>-72451.36</v>
      </c>
      <c r="I748" s="169">
        <v>9574.84</v>
      </c>
      <c r="J748" s="169">
        <v>4228.48</v>
      </c>
      <c r="K748" s="169">
        <v>11166.75</v>
      </c>
      <c r="L748" s="169">
        <v>-95978.57</v>
      </c>
      <c r="M748" s="169">
        <v>31905.76</v>
      </c>
      <c r="N748" s="50">
        <v>11717.0</v>
      </c>
      <c r="O748" s="111">
        <v>23.0</v>
      </c>
      <c r="P748" s="168">
        <v>2.0</v>
      </c>
    </row>
    <row r="749">
      <c r="A749" s="160">
        <v>14.0</v>
      </c>
      <c r="B749" s="160">
        <v>84.0</v>
      </c>
      <c r="C749" s="147">
        <v>7745.0</v>
      </c>
      <c r="D749" s="168">
        <v>201.0</v>
      </c>
      <c r="E749" s="24">
        <v>77.0</v>
      </c>
      <c r="F749" s="169">
        <v>42507.56</v>
      </c>
      <c r="G749" s="169">
        <v>-4933.04</v>
      </c>
      <c r="H749" s="169">
        <v>48063.18</v>
      </c>
      <c r="I749" s="169">
        <v>47191.59</v>
      </c>
      <c r="J749" s="169">
        <v>-66791.16</v>
      </c>
      <c r="K749" s="169">
        <v>32745.91</v>
      </c>
      <c r="L749" s="169">
        <v>-57517.8</v>
      </c>
      <c r="M749" s="169">
        <v>-24651.78</v>
      </c>
      <c r="N749" s="50">
        <v>70217.0</v>
      </c>
      <c r="O749" s="111">
        <v>20.0</v>
      </c>
      <c r="P749" s="168">
        <v>4.0</v>
      </c>
    </row>
    <row r="750">
      <c r="A750" s="160">
        <v>35.0</v>
      </c>
      <c r="B750" s="160">
        <v>39.0</v>
      </c>
      <c r="C750" s="170">
        <v>7746.0</v>
      </c>
      <c r="D750" s="168">
        <v>203.0</v>
      </c>
      <c r="E750" s="24">
        <v>80.0</v>
      </c>
      <c r="F750" s="169">
        <v>-789.89</v>
      </c>
      <c r="G750" s="169">
        <v>60877.61</v>
      </c>
      <c r="H750" s="169">
        <v>-75189.28</v>
      </c>
      <c r="I750" s="169">
        <v>37040.66</v>
      </c>
      <c r="J750" s="169">
        <v>4004.66</v>
      </c>
      <c r="K750" s="169">
        <v>67894.91</v>
      </c>
      <c r="L750" s="169">
        <v>-69146.65</v>
      </c>
      <c r="M750" s="169">
        <v>36945.7</v>
      </c>
      <c r="N750" s="50">
        <v>81813.0</v>
      </c>
      <c r="O750" s="111">
        <v>21.0</v>
      </c>
      <c r="P750" s="168">
        <v>5.0</v>
      </c>
    </row>
    <row r="751">
      <c r="A751" s="160">
        <v>96.0</v>
      </c>
      <c r="B751" s="160">
        <v>84.0</v>
      </c>
      <c r="C751" s="170">
        <v>7747.0</v>
      </c>
      <c r="D751" s="168">
        <v>217.0</v>
      </c>
      <c r="E751" s="24">
        <v>78.0</v>
      </c>
      <c r="F751" s="169">
        <v>71197.21</v>
      </c>
      <c r="G751" s="169">
        <v>86394.8</v>
      </c>
      <c r="H751" s="169">
        <v>-24210.48</v>
      </c>
      <c r="I751" s="169">
        <v>59231.56</v>
      </c>
      <c r="J751" s="169">
        <v>89315.87</v>
      </c>
      <c r="K751" s="169">
        <v>20465.33</v>
      </c>
      <c r="L751" s="169">
        <v>54622.47</v>
      </c>
      <c r="M751" s="169">
        <v>57330.93</v>
      </c>
      <c r="N751" s="50">
        <v>101220.0</v>
      </c>
      <c r="O751" s="111">
        <v>22.0</v>
      </c>
      <c r="P751" s="168">
        <v>8.0</v>
      </c>
    </row>
    <row r="752">
      <c r="A752" s="160">
        <v>96.0</v>
      </c>
      <c r="B752" s="160">
        <v>88.0</v>
      </c>
      <c r="C752" s="170">
        <v>7748.0</v>
      </c>
      <c r="D752" s="168">
        <v>210.0</v>
      </c>
      <c r="E752" s="24">
        <v>64.0</v>
      </c>
      <c r="F752" s="169">
        <v>53281.42</v>
      </c>
      <c r="G752" s="169">
        <v>57230.14</v>
      </c>
      <c r="H752" s="169">
        <v>-29981.26</v>
      </c>
      <c r="I752" s="169">
        <v>-53398.9</v>
      </c>
      <c r="J752" s="169">
        <v>-37749.09</v>
      </c>
      <c r="K752" s="169">
        <v>69152.29</v>
      </c>
      <c r="L752" s="169">
        <v>-61907.32</v>
      </c>
      <c r="M752" s="169">
        <v>-64795.36</v>
      </c>
      <c r="N752" s="50">
        <v>20317.0</v>
      </c>
      <c r="O752" s="111">
        <v>20.0</v>
      </c>
      <c r="P752" s="168">
        <v>1.0</v>
      </c>
    </row>
    <row r="753">
      <c r="A753" s="160">
        <v>96.0</v>
      </c>
      <c r="B753" s="160">
        <v>89.0</v>
      </c>
      <c r="C753" s="170">
        <v>7749.0</v>
      </c>
      <c r="D753" s="168">
        <v>209.0</v>
      </c>
      <c r="E753" s="24">
        <v>97.0</v>
      </c>
      <c r="F753" s="169">
        <v>7457.22</v>
      </c>
      <c r="G753" s="169">
        <v>-27890.57</v>
      </c>
      <c r="H753" s="169">
        <v>49904.49</v>
      </c>
      <c r="I753" s="169">
        <v>29384.71</v>
      </c>
      <c r="J753" s="169">
        <v>44151.43</v>
      </c>
      <c r="K753" s="169">
        <v>-13062.23</v>
      </c>
      <c r="L753" s="169">
        <v>-97155.01</v>
      </c>
      <c r="M753" s="169">
        <v>15205.88</v>
      </c>
      <c r="N753" s="50">
        <v>80122.0</v>
      </c>
      <c r="O753" s="111">
        <v>21.0</v>
      </c>
      <c r="P753" s="168">
        <v>5.0</v>
      </c>
    </row>
    <row r="754">
      <c r="A754" s="160">
        <v>96.0</v>
      </c>
      <c r="B754" s="160">
        <v>91.0</v>
      </c>
      <c r="C754" s="147">
        <v>7750.0</v>
      </c>
      <c r="D754" s="168">
        <v>205.0</v>
      </c>
      <c r="E754" s="24">
        <v>38.0</v>
      </c>
      <c r="F754" s="169">
        <v>-8535.51</v>
      </c>
      <c r="G754" s="169">
        <v>-27156.71</v>
      </c>
      <c r="H754" s="169">
        <v>-38142.42</v>
      </c>
      <c r="I754" s="169">
        <v>-76007.87</v>
      </c>
      <c r="J754" s="169">
        <v>-75677.19</v>
      </c>
      <c r="K754" s="169">
        <v>60988.88</v>
      </c>
      <c r="L754" s="169">
        <v>-30655.29</v>
      </c>
      <c r="M754" s="169">
        <v>61451.48</v>
      </c>
      <c r="N754" s="50">
        <v>42514.0</v>
      </c>
      <c r="O754" s="111">
        <v>23.0</v>
      </c>
      <c r="P754" s="168">
        <v>2.0</v>
      </c>
    </row>
    <row r="755">
      <c r="A755" s="160">
        <v>55.0</v>
      </c>
      <c r="B755" s="160">
        <v>96.0</v>
      </c>
      <c r="C755" s="170">
        <v>7751.0</v>
      </c>
      <c r="D755" s="168">
        <v>200.0</v>
      </c>
      <c r="E755" s="24">
        <v>88.0</v>
      </c>
      <c r="F755" s="169">
        <v>-29386.96</v>
      </c>
      <c r="G755" s="169">
        <v>-18566.79</v>
      </c>
      <c r="H755" s="169">
        <v>7757.74</v>
      </c>
      <c r="I755" s="169">
        <v>-7970.02</v>
      </c>
      <c r="J755" s="169">
        <v>-23084.94</v>
      </c>
      <c r="K755" s="169">
        <v>58690.13</v>
      </c>
      <c r="L755" s="169">
        <v>-61960.54</v>
      </c>
      <c r="M755" s="169">
        <v>98321.91</v>
      </c>
      <c r="N755" s="50">
        <v>52319.0</v>
      </c>
      <c r="O755" s="111">
        <v>23.0</v>
      </c>
      <c r="P755" s="168">
        <v>6.0</v>
      </c>
    </row>
    <row r="756">
      <c r="A756" s="160">
        <v>15.0</v>
      </c>
      <c r="B756" s="160">
        <v>2.0</v>
      </c>
      <c r="C756" s="170">
        <v>7752.0</v>
      </c>
      <c r="D756" s="168">
        <v>203.0</v>
      </c>
      <c r="E756" s="24">
        <v>67.0</v>
      </c>
      <c r="F756" s="169">
        <v>-66710.35</v>
      </c>
      <c r="G756" s="169">
        <v>-538.32</v>
      </c>
      <c r="H756" s="169">
        <v>15148.78</v>
      </c>
      <c r="I756" s="169">
        <v>-65763.59</v>
      </c>
      <c r="J756" s="169">
        <v>-68496.02</v>
      </c>
      <c r="K756" s="169">
        <v>-54340.68</v>
      </c>
      <c r="L756" s="169">
        <v>11091.3</v>
      </c>
      <c r="M756" s="169">
        <v>24673.47</v>
      </c>
      <c r="N756" s="50">
        <v>111116.0</v>
      </c>
      <c r="O756" s="111">
        <v>22.0</v>
      </c>
      <c r="P756" s="168">
        <v>4.0</v>
      </c>
    </row>
    <row r="757">
      <c r="A757" s="160">
        <v>96.0</v>
      </c>
      <c r="B757" s="160">
        <v>94.0</v>
      </c>
      <c r="C757" s="170">
        <v>7753.0</v>
      </c>
      <c r="D757" s="168">
        <v>213.0</v>
      </c>
      <c r="E757" s="24">
        <v>92.0</v>
      </c>
      <c r="F757" s="169">
        <v>-47242.44</v>
      </c>
      <c r="G757" s="169">
        <v>-67829.23</v>
      </c>
      <c r="H757" s="169">
        <v>22816.25</v>
      </c>
      <c r="I757" s="169">
        <v>-86948.36</v>
      </c>
      <c r="J757" s="169">
        <v>-14689.37</v>
      </c>
      <c r="K757" s="169">
        <v>-26095.07</v>
      </c>
      <c r="L757" s="169">
        <v>30296.82</v>
      </c>
      <c r="M757" s="169">
        <v>17808.35</v>
      </c>
      <c r="N757" s="50">
        <v>42819.0</v>
      </c>
      <c r="O757" s="111">
        <v>22.0</v>
      </c>
      <c r="P757" s="168">
        <v>5.0</v>
      </c>
    </row>
    <row r="758">
      <c r="A758" s="160">
        <v>96.0</v>
      </c>
      <c r="B758" s="160">
        <v>96.0</v>
      </c>
      <c r="C758" s="170">
        <v>7754.0</v>
      </c>
      <c r="D758" s="168">
        <v>219.0</v>
      </c>
      <c r="E758" s="24">
        <v>47.0</v>
      </c>
      <c r="F758" s="169">
        <v>-96072.33</v>
      </c>
      <c r="G758" s="169">
        <v>-88415.91</v>
      </c>
      <c r="H758" s="169">
        <v>-80684.21</v>
      </c>
      <c r="I758" s="169">
        <v>-63745.5</v>
      </c>
      <c r="J758" s="169">
        <v>-2332.46</v>
      </c>
      <c r="K758" s="169">
        <v>62440.1</v>
      </c>
      <c r="L758" s="169">
        <v>76016.74</v>
      </c>
      <c r="M758" s="169">
        <v>26918.58</v>
      </c>
      <c r="N758" s="50">
        <v>122816.0</v>
      </c>
      <c r="O758" s="111">
        <v>20.0</v>
      </c>
      <c r="P758" s="168">
        <v>6.0</v>
      </c>
    </row>
    <row r="759">
      <c r="A759" s="160">
        <v>56.0</v>
      </c>
      <c r="B759" s="160">
        <v>0.0</v>
      </c>
      <c r="C759" s="147">
        <v>7755.0</v>
      </c>
      <c r="D759" s="168">
        <v>207.0</v>
      </c>
      <c r="E759" s="24">
        <v>62.0</v>
      </c>
      <c r="F759" s="169">
        <v>-85349.77</v>
      </c>
      <c r="G759" s="169">
        <v>-55498.55</v>
      </c>
      <c r="H759" s="169">
        <v>50890.91</v>
      </c>
      <c r="I759" s="169">
        <v>2630.67</v>
      </c>
      <c r="J759" s="169">
        <v>23312.79</v>
      </c>
      <c r="K759" s="169">
        <v>-89016.82</v>
      </c>
      <c r="L759" s="169">
        <v>63700.37</v>
      </c>
      <c r="M759" s="169">
        <v>-76335.14</v>
      </c>
      <c r="N759" s="50">
        <v>30219.0</v>
      </c>
      <c r="O759" s="111">
        <v>21.0</v>
      </c>
      <c r="P759" s="168">
        <v>9.0</v>
      </c>
    </row>
    <row r="760">
      <c r="A760" s="160">
        <v>76.0</v>
      </c>
      <c r="B760" s="160">
        <v>47.0</v>
      </c>
      <c r="C760" s="170">
        <v>7756.0</v>
      </c>
      <c r="D760" s="168">
        <v>208.0</v>
      </c>
      <c r="E760" s="24">
        <v>63.0</v>
      </c>
      <c r="F760" s="169">
        <v>-2534.66</v>
      </c>
      <c r="G760" s="169">
        <v>76823.99</v>
      </c>
      <c r="H760" s="169">
        <v>62114.5</v>
      </c>
      <c r="I760" s="169">
        <v>-41137.16</v>
      </c>
      <c r="J760" s="169">
        <v>-58376.05</v>
      </c>
      <c r="K760" s="169">
        <v>-65844.2</v>
      </c>
      <c r="L760" s="169">
        <v>61680.34</v>
      </c>
      <c r="M760" s="169">
        <v>-85663.84</v>
      </c>
      <c r="N760" s="50">
        <v>51919.0</v>
      </c>
      <c r="O760" s="111">
        <v>20.0</v>
      </c>
      <c r="P760" s="168">
        <v>8.0</v>
      </c>
    </row>
    <row r="761">
      <c r="A761" s="160">
        <v>15.0</v>
      </c>
      <c r="B761" s="160">
        <v>3.0</v>
      </c>
      <c r="C761" s="170">
        <v>7757.0</v>
      </c>
      <c r="D761" s="168">
        <v>219.0</v>
      </c>
      <c r="E761" s="24">
        <v>56.0</v>
      </c>
      <c r="F761" s="169">
        <v>721.8</v>
      </c>
      <c r="G761" s="169">
        <v>-36402.4</v>
      </c>
      <c r="H761" s="169">
        <v>59003.76</v>
      </c>
      <c r="I761" s="169">
        <v>40113.62</v>
      </c>
      <c r="J761" s="169">
        <v>21661.94</v>
      </c>
      <c r="K761" s="169">
        <v>-42844.5</v>
      </c>
      <c r="L761" s="169">
        <v>79395.82</v>
      </c>
      <c r="M761" s="169">
        <v>-94061.04</v>
      </c>
      <c r="N761" s="50">
        <v>52019.0</v>
      </c>
      <c r="O761" s="111">
        <v>20.0</v>
      </c>
      <c r="P761" s="168">
        <v>5.0</v>
      </c>
    </row>
    <row r="762">
      <c r="A762" s="160">
        <v>56.0</v>
      </c>
      <c r="B762" s="160">
        <v>4.0</v>
      </c>
      <c r="C762" s="170">
        <v>7758.0</v>
      </c>
      <c r="D762" s="168">
        <v>219.0</v>
      </c>
      <c r="E762" s="24">
        <v>13.0</v>
      </c>
      <c r="F762" s="169">
        <v>-86845.08</v>
      </c>
      <c r="G762" s="169">
        <v>79595.53</v>
      </c>
      <c r="H762" s="169">
        <v>65984.36</v>
      </c>
      <c r="I762" s="169">
        <v>9066.68</v>
      </c>
      <c r="J762" s="169">
        <v>-3051.45</v>
      </c>
      <c r="K762" s="169">
        <v>-54483.6</v>
      </c>
      <c r="L762" s="169">
        <v>88851.71</v>
      </c>
      <c r="M762" s="169">
        <v>-46012.28</v>
      </c>
      <c r="N762" s="50">
        <v>113021.0</v>
      </c>
      <c r="O762" s="111">
        <v>20.0</v>
      </c>
      <c r="P762" s="168">
        <v>3.0</v>
      </c>
    </row>
    <row r="763">
      <c r="A763" s="160">
        <v>15.0</v>
      </c>
      <c r="B763" s="160">
        <v>11.0</v>
      </c>
      <c r="C763" s="170">
        <v>7759.0</v>
      </c>
      <c r="D763" s="168">
        <v>204.0</v>
      </c>
      <c r="E763" s="24">
        <v>75.0</v>
      </c>
      <c r="F763" s="169">
        <v>-88977.79</v>
      </c>
      <c r="G763" s="169">
        <v>-78208.77</v>
      </c>
      <c r="H763" s="169">
        <v>-62066.97</v>
      </c>
      <c r="I763" s="169">
        <v>49057.58</v>
      </c>
      <c r="J763" s="169">
        <v>58178.43</v>
      </c>
      <c r="K763" s="169">
        <v>-61718.57</v>
      </c>
      <c r="L763" s="169">
        <v>61868.67</v>
      </c>
      <c r="M763" s="169">
        <v>-56144.44</v>
      </c>
      <c r="N763" s="50">
        <v>42619.0</v>
      </c>
      <c r="O763" s="111">
        <v>20.0</v>
      </c>
      <c r="P763" s="168">
        <v>1.0</v>
      </c>
    </row>
    <row r="764">
      <c r="A764" s="160">
        <v>35.0</v>
      </c>
      <c r="B764" s="160">
        <v>61.0</v>
      </c>
      <c r="C764" s="147">
        <v>7760.0</v>
      </c>
      <c r="D764" s="168">
        <v>208.0</v>
      </c>
      <c r="E764" s="24">
        <v>38.0</v>
      </c>
      <c r="F764" s="169">
        <v>-71953.51</v>
      </c>
      <c r="G764" s="169">
        <v>-54609.25</v>
      </c>
      <c r="H764" s="169">
        <v>35912.06</v>
      </c>
      <c r="I764" s="169">
        <v>8248.54</v>
      </c>
      <c r="J764" s="169">
        <v>22977.54</v>
      </c>
      <c r="K764" s="169">
        <v>-51318.72</v>
      </c>
      <c r="L764" s="169">
        <v>-79777.16</v>
      </c>
      <c r="M764" s="169">
        <v>48860.43</v>
      </c>
      <c r="N764" s="50">
        <v>71814.0</v>
      </c>
      <c r="O764" s="111">
        <v>23.0</v>
      </c>
      <c r="P764" s="168">
        <v>1.0</v>
      </c>
    </row>
    <row r="765">
      <c r="A765" s="160">
        <v>97.0</v>
      </c>
      <c r="B765" s="160">
        <v>11.0</v>
      </c>
      <c r="C765" s="170">
        <v>7761.0</v>
      </c>
      <c r="D765" s="168">
        <v>213.0</v>
      </c>
      <c r="E765" s="24">
        <v>23.0</v>
      </c>
      <c r="F765" s="169">
        <v>-22250.93</v>
      </c>
      <c r="G765" s="169">
        <v>86703.08</v>
      </c>
      <c r="H765" s="169">
        <v>15684.59</v>
      </c>
      <c r="I765" s="169">
        <v>69724.14</v>
      </c>
      <c r="J765" s="169">
        <v>-50953.42</v>
      </c>
      <c r="K765" s="169">
        <v>-77836.96</v>
      </c>
      <c r="L765" s="169">
        <v>25222.93</v>
      </c>
      <c r="M765" s="169">
        <v>33686.35</v>
      </c>
      <c r="N765" s="50">
        <v>40618.0</v>
      </c>
      <c r="O765" s="111">
        <v>23.0</v>
      </c>
      <c r="P765" s="168">
        <v>6.0</v>
      </c>
    </row>
    <row r="766">
      <c r="A766" s="160">
        <v>35.0</v>
      </c>
      <c r="B766" s="160">
        <v>67.0</v>
      </c>
      <c r="C766" s="170">
        <v>7762.0</v>
      </c>
      <c r="D766" s="168">
        <v>212.0</v>
      </c>
      <c r="E766" s="24">
        <v>57.0</v>
      </c>
      <c r="F766" s="169">
        <v>19189.93</v>
      </c>
      <c r="G766" s="169">
        <v>19445.72</v>
      </c>
      <c r="H766" s="169">
        <v>-73291.22</v>
      </c>
      <c r="I766" s="169">
        <v>-53368.45</v>
      </c>
      <c r="J766" s="169">
        <v>-25841.53</v>
      </c>
      <c r="K766" s="169">
        <v>23377.73</v>
      </c>
      <c r="L766" s="169">
        <v>33381.83</v>
      </c>
      <c r="M766" s="169">
        <v>-56627.24</v>
      </c>
      <c r="N766" s="50">
        <v>12713.0</v>
      </c>
      <c r="O766" s="111">
        <v>22.0</v>
      </c>
      <c r="P766" s="168">
        <v>5.0</v>
      </c>
    </row>
    <row r="767">
      <c r="A767" s="160">
        <v>15.0</v>
      </c>
      <c r="B767" s="160">
        <v>22.0</v>
      </c>
      <c r="C767" s="170">
        <v>7763.0</v>
      </c>
      <c r="D767" s="168">
        <v>213.0</v>
      </c>
      <c r="E767" s="24">
        <v>14.0</v>
      </c>
      <c r="F767" s="169">
        <v>27957.11</v>
      </c>
      <c r="G767" s="169">
        <v>69715.48</v>
      </c>
      <c r="H767" s="169">
        <v>831.12</v>
      </c>
      <c r="I767" s="169">
        <v>94068.3</v>
      </c>
      <c r="J767" s="169">
        <v>-29538.27</v>
      </c>
      <c r="K767" s="169">
        <v>-65442.4</v>
      </c>
      <c r="L767" s="169">
        <v>-11629.14</v>
      </c>
      <c r="M767" s="169">
        <v>-75958.66</v>
      </c>
      <c r="N767" s="50">
        <v>100515.0</v>
      </c>
      <c r="O767" s="111">
        <v>21.0</v>
      </c>
      <c r="P767" s="168">
        <v>5.0</v>
      </c>
    </row>
    <row r="768">
      <c r="A768" s="160">
        <v>56.0</v>
      </c>
      <c r="B768" s="160">
        <v>20.0</v>
      </c>
      <c r="C768" s="170">
        <v>7764.0</v>
      </c>
      <c r="D768" s="168">
        <v>209.0</v>
      </c>
      <c r="E768" s="24">
        <v>88.0</v>
      </c>
      <c r="F768" s="169">
        <v>92476.17</v>
      </c>
      <c r="G768" s="169">
        <v>-56204.43</v>
      </c>
      <c r="H768" s="169">
        <v>32814.38</v>
      </c>
      <c r="I768" s="169">
        <v>-40116.18</v>
      </c>
      <c r="J768" s="169">
        <v>84222.62</v>
      </c>
      <c r="K768" s="169">
        <v>-5922.09</v>
      </c>
      <c r="L768" s="169">
        <v>-58407.89</v>
      </c>
      <c r="M768" s="169">
        <v>80122.62</v>
      </c>
      <c r="N768" s="50">
        <v>31415.0</v>
      </c>
      <c r="O768" s="111">
        <v>23.0</v>
      </c>
      <c r="P768" s="168">
        <v>4.0</v>
      </c>
    </row>
    <row r="769">
      <c r="A769" s="160">
        <v>35.0</v>
      </c>
      <c r="B769" s="160">
        <v>72.0</v>
      </c>
      <c r="C769" s="147">
        <v>7765.0</v>
      </c>
      <c r="D769" s="168">
        <v>214.0</v>
      </c>
      <c r="E769" s="24">
        <v>50.0</v>
      </c>
      <c r="F769" s="169">
        <v>30833.26</v>
      </c>
      <c r="G769" s="169">
        <v>-64009.1</v>
      </c>
      <c r="H769" s="169">
        <v>3361.1</v>
      </c>
      <c r="I769" s="169">
        <v>63697.96</v>
      </c>
      <c r="J769" s="169">
        <v>89703.08</v>
      </c>
      <c r="K769" s="169">
        <v>37561.99</v>
      </c>
      <c r="L769" s="169">
        <v>-98008.07</v>
      </c>
      <c r="M769" s="169">
        <v>89302.75</v>
      </c>
      <c r="N769" s="50">
        <v>111120.0</v>
      </c>
      <c r="O769" s="111">
        <v>20.0</v>
      </c>
      <c r="P769" s="168">
        <v>2.0</v>
      </c>
    </row>
    <row r="770">
      <c r="A770" s="160">
        <v>97.0</v>
      </c>
      <c r="B770" s="160">
        <v>18.0</v>
      </c>
      <c r="C770" s="170">
        <v>7766.0</v>
      </c>
      <c r="D770" s="168">
        <v>214.0</v>
      </c>
      <c r="E770" s="24">
        <v>50.0</v>
      </c>
      <c r="F770" s="169">
        <v>31110.56</v>
      </c>
      <c r="G770" s="169">
        <v>27534.05</v>
      </c>
      <c r="H770" s="169">
        <v>92453.9</v>
      </c>
      <c r="I770" s="169">
        <v>45158.86</v>
      </c>
      <c r="J770" s="169">
        <v>-43578.33</v>
      </c>
      <c r="K770" s="169">
        <v>-301.15</v>
      </c>
      <c r="L770" s="169">
        <v>71553.89</v>
      </c>
      <c r="M770" s="169">
        <v>-50821.09</v>
      </c>
      <c r="N770" s="50">
        <v>22822.0</v>
      </c>
      <c r="O770" s="111">
        <v>20.0</v>
      </c>
      <c r="P770" s="168">
        <v>5.0</v>
      </c>
    </row>
    <row r="771">
      <c r="A771" s="160">
        <v>76.0</v>
      </c>
      <c r="B771" s="160">
        <v>71.0</v>
      </c>
      <c r="C771" s="170">
        <v>7767.0</v>
      </c>
      <c r="D771" s="168">
        <v>212.0</v>
      </c>
      <c r="E771" s="24">
        <v>31.0</v>
      </c>
      <c r="F771" s="169">
        <v>90002.93</v>
      </c>
      <c r="G771" s="169">
        <v>26048.06</v>
      </c>
      <c r="H771" s="169">
        <v>-56902.23</v>
      </c>
      <c r="I771" s="169">
        <v>48945.77</v>
      </c>
      <c r="J771" s="169">
        <v>69298.96</v>
      </c>
      <c r="K771" s="169">
        <v>50301.07</v>
      </c>
      <c r="L771" s="169">
        <v>-80531.13</v>
      </c>
      <c r="M771" s="169">
        <v>-45453.23</v>
      </c>
      <c r="N771" s="50">
        <v>30318.0</v>
      </c>
      <c r="O771" s="111">
        <v>22.0</v>
      </c>
      <c r="P771" s="168">
        <v>6.0</v>
      </c>
    </row>
    <row r="772">
      <c r="A772" s="160">
        <v>76.0</v>
      </c>
      <c r="B772" s="160">
        <v>75.0</v>
      </c>
      <c r="C772" s="170">
        <v>7768.0</v>
      </c>
      <c r="D772" s="168">
        <v>210.0</v>
      </c>
      <c r="E772" s="24">
        <v>17.0</v>
      </c>
      <c r="F772" s="169">
        <v>-86089.96</v>
      </c>
      <c r="G772" s="169">
        <v>45573.78</v>
      </c>
      <c r="H772" s="169">
        <v>-47154.08</v>
      </c>
      <c r="I772" s="169">
        <v>61399.57</v>
      </c>
      <c r="J772" s="169">
        <v>-40637.08</v>
      </c>
      <c r="K772" s="169">
        <v>-84788.86</v>
      </c>
      <c r="L772" s="169">
        <v>65747.74</v>
      </c>
      <c r="M772" s="169">
        <v>66828.72</v>
      </c>
      <c r="N772" s="50">
        <v>103019.0</v>
      </c>
      <c r="O772" s="111">
        <v>22.0</v>
      </c>
      <c r="P772" s="168">
        <v>9.0</v>
      </c>
    </row>
    <row r="773">
      <c r="A773" s="160">
        <v>97.0</v>
      </c>
      <c r="B773" s="160">
        <v>23.0</v>
      </c>
      <c r="C773" s="170">
        <v>7769.0</v>
      </c>
      <c r="D773" s="168">
        <v>208.0</v>
      </c>
      <c r="E773" s="24">
        <v>87.0</v>
      </c>
      <c r="F773" s="169">
        <v>97797.03</v>
      </c>
      <c r="G773" s="169">
        <v>-90847.22</v>
      </c>
      <c r="H773" s="169">
        <v>-94496.35</v>
      </c>
      <c r="I773" s="169">
        <v>-37033.4</v>
      </c>
      <c r="J773" s="169">
        <v>25281.72</v>
      </c>
      <c r="K773" s="169">
        <v>26234.56</v>
      </c>
      <c r="L773" s="169">
        <v>-13343.84</v>
      </c>
      <c r="M773" s="169">
        <v>50135.91</v>
      </c>
      <c r="N773" s="50">
        <v>51318.0</v>
      </c>
      <c r="O773" s="111">
        <v>23.0</v>
      </c>
      <c r="P773" s="168">
        <v>3.0</v>
      </c>
    </row>
    <row r="774">
      <c r="A774" s="160">
        <v>15.0</v>
      </c>
      <c r="B774" s="160">
        <v>33.0</v>
      </c>
      <c r="C774" s="147">
        <v>7770.0</v>
      </c>
      <c r="D774" s="168">
        <v>209.0</v>
      </c>
      <c r="E774" s="24">
        <v>86.0</v>
      </c>
      <c r="F774" s="169">
        <v>8022.21</v>
      </c>
      <c r="G774" s="169">
        <v>92218.06</v>
      </c>
      <c r="H774" s="169">
        <v>78588.17</v>
      </c>
      <c r="I774" s="169">
        <v>71883.99</v>
      </c>
      <c r="J774" s="169">
        <v>97557.73</v>
      </c>
      <c r="K774" s="169">
        <v>-77632.29</v>
      </c>
      <c r="L774" s="169">
        <v>53346.43</v>
      </c>
      <c r="M774" s="169">
        <v>-96293.55</v>
      </c>
      <c r="N774" s="50">
        <v>101520.0</v>
      </c>
      <c r="O774" s="111">
        <v>22.0</v>
      </c>
      <c r="P774" s="168">
        <v>4.0</v>
      </c>
    </row>
    <row r="775">
      <c r="A775" s="160">
        <v>76.0</v>
      </c>
      <c r="B775" s="160">
        <v>77.0</v>
      </c>
      <c r="C775" s="170">
        <v>7771.0</v>
      </c>
      <c r="D775" s="168">
        <v>216.0</v>
      </c>
      <c r="E775" s="24">
        <v>83.0</v>
      </c>
      <c r="F775" s="169">
        <v>-43758.73</v>
      </c>
      <c r="G775" s="169">
        <v>21598.11</v>
      </c>
      <c r="H775" s="169">
        <v>-74881.26</v>
      </c>
      <c r="I775" s="169">
        <v>-17502.1</v>
      </c>
      <c r="J775" s="169">
        <v>-54419.7</v>
      </c>
      <c r="K775" s="169">
        <v>-81318.78</v>
      </c>
      <c r="L775" s="169">
        <v>-45750.05</v>
      </c>
      <c r="M775" s="169">
        <v>-30191.2</v>
      </c>
      <c r="N775" s="50">
        <v>21022.0</v>
      </c>
      <c r="O775" s="111">
        <v>20.0</v>
      </c>
      <c r="P775" s="168">
        <v>4.0</v>
      </c>
    </row>
    <row r="776">
      <c r="A776" s="160">
        <v>35.0</v>
      </c>
      <c r="B776" s="160">
        <v>82.0</v>
      </c>
      <c r="C776" s="170">
        <v>7772.0</v>
      </c>
      <c r="D776" s="168">
        <v>211.0</v>
      </c>
      <c r="E776" s="24">
        <v>35.0</v>
      </c>
      <c r="F776" s="169">
        <v>93683.33</v>
      </c>
      <c r="G776" s="169">
        <v>-28585.65</v>
      </c>
      <c r="H776" s="169">
        <v>-88474.61</v>
      </c>
      <c r="I776" s="169">
        <v>85347.13</v>
      </c>
      <c r="J776" s="169">
        <v>6276.96</v>
      </c>
      <c r="K776" s="169">
        <v>-89065.56</v>
      </c>
      <c r="L776" s="169">
        <v>98274.56</v>
      </c>
      <c r="M776" s="169">
        <v>-39666.44</v>
      </c>
      <c r="N776" s="50">
        <v>103122.0</v>
      </c>
      <c r="O776" s="111">
        <v>23.0</v>
      </c>
      <c r="P776" s="168">
        <v>9.0</v>
      </c>
    </row>
    <row r="777">
      <c r="A777" s="160">
        <v>56.0</v>
      </c>
      <c r="B777" s="160">
        <v>31.0</v>
      </c>
      <c r="C777" s="170">
        <v>7773.0</v>
      </c>
      <c r="D777" s="168">
        <v>218.0</v>
      </c>
      <c r="E777" s="24">
        <v>59.0</v>
      </c>
      <c r="F777" s="169">
        <v>58444.47</v>
      </c>
      <c r="G777" s="169">
        <v>-50540.28</v>
      </c>
      <c r="H777" s="169">
        <v>-44775.64</v>
      </c>
      <c r="I777" s="169">
        <v>-54337.06</v>
      </c>
      <c r="J777" s="169">
        <v>-13801.46</v>
      </c>
      <c r="K777" s="169">
        <v>42763.63</v>
      </c>
      <c r="L777" s="169">
        <v>24505.84</v>
      </c>
      <c r="M777" s="169">
        <v>36067.52</v>
      </c>
      <c r="N777" s="50">
        <v>100520.0</v>
      </c>
      <c r="O777" s="111">
        <v>20.0</v>
      </c>
      <c r="P777" s="168">
        <v>5.0</v>
      </c>
    </row>
    <row r="778">
      <c r="A778" s="160">
        <v>97.0</v>
      </c>
      <c r="B778" s="160">
        <v>29.0</v>
      </c>
      <c r="C778" s="170">
        <v>7774.0</v>
      </c>
      <c r="D778" s="168">
        <v>212.0</v>
      </c>
      <c r="E778" s="24">
        <v>13.0</v>
      </c>
      <c r="F778" s="169">
        <v>92702.7</v>
      </c>
      <c r="G778" s="169">
        <v>-66071.44</v>
      </c>
      <c r="H778" s="169">
        <v>-55384.06</v>
      </c>
      <c r="I778" s="169">
        <v>10623.44</v>
      </c>
      <c r="J778" s="169">
        <v>52158.29</v>
      </c>
      <c r="K778" s="169">
        <v>-77537.39</v>
      </c>
      <c r="L778" s="169">
        <v>20295.78</v>
      </c>
      <c r="M778" s="169">
        <v>26889.84</v>
      </c>
      <c r="N778" s="50">
        <v>91913.0</v>
      </c>
      <c r="O778" s="111">
        <v>21.0</v>
      </c>
      <c r="P778" s="168">
        <v>6.0</v>
      </c>
    </row>
    <row r="779">
      <c r="A779" s="160">
        <v>76.0</v>
      </c>
      <c r="B779" s="160">
        <v>76.0</v>
      </c>
      <c r="C779" s="147">
        <v>7775.0</v>
      </c>
      <c r="D779" s="168">
        <v>201.0</v>
      </c>
      <c r="E779" s="24">
        <v>20.0</v>
      </c>
      <c r="F779" s="169">
        <v>89109.73</v>
      </c>
      <c r="G779" s="169">
        <v>79348.57</v>
      </c>
      <c r="H779" s="169">
        <v>9519.17</v>
      </c>
      <c r="I779" s="169">
        <v>72638.11</v>
      </c>
      <c r="J779" s="169">
        <v>13657.3</v>
      </c>
      <c r="K779" s="169">
        <v>98974.38</v>
      </c>
      <c r="L779" s="169">
        <v>-55288.18</v>
      </c>
      <c r="M779" s="169">
        <v>88179.97</v>
      </c>
      <c r="N779" s="50">
        <v>81920.0</v>
      </c>
      <c r="O779" s="111">
        <v>21.0</v>
      </c>
      <c r="P779" s="168">
        <v>7.0</v>
      </c>
    </row>
    <row r="780">
      <c r="A780" s="160">
        <v>15.0</v>
      </c>
      <c r="B780" s="160">
        <v>40.0</v>
      </c>
      <c r="C780" s="170">
        <v>7776.0</v>
      </c>
      <c r="D780" s="168">
        <v>210.0</v>
      </c>
      <c r="E780" s="24">
        <v>15.0</v>
      </c>
      <c r="F780" s="169">
        <v>-95840.36</v>
      </c>
      <c r="G780" s="169">
        <v>815.84</v>
      </c>
      <c r="H780" s="169">
        <v>-43847.78</v>
      </c>
      <c r="I780" s="169">
        <v>-10367.37</v>
      </c>
      <c r="J780" s="169">
        <v>-89932.78</v>
      </c>
      <c r="K780" s="169">
        <v>-91027.28</v>
      </c>
      <c r="L780" s="169">
        <v>-61930.7</v>
      </c>
      <c r="M780" s="169">
        <v>-58426.57</v>
      </c>
      <c r="N780" s="50">
        <v>110814.0</v>
      </c>
      <c r="O780" s="111">
        <v>23.0</v>
      </c>
      <c r="P780" s="168">
        <v>8.0</v>
      </c>
    </row>
    <row r="781">
      <c r="A781" s="160">
        <v>35.0</v>
      </c>
      <c r="B781" s="160">
        <v>91.0</v>
      </c>
      <c r="C781" s="170">
        <v>7777.0</v>
      </c>
      <c r="D781" s="168">
        <v>214.0</v>
      </c>
      <c r="E781" s="24">
        <v>58.0</v>
      </c>
      <c r="F781" s="169">
        <v>-93986.73</v>
      </c>
      <c r="G781" s="169">
        <v>-93131.67</v>
      </c>
      <c r="H781" s="169">
        <v>12512.78</v>
      </c>
      <c r="I781" s="169">
        <v>-92347.81</v>
      </c>
      <c r="J781" s="169">
        <v>438.73</v>
      </c>
      <c r="K781" s="169">
        <v>10192.21</v>
      </c>
      <c r="L781" s="169">
        <v>-28390.65</v>
      </c>
      <c r="M781" s="169">
        <v>85714.48</v>
      </c>
      <c r="N781" s="50">
        <v>92317.0</v>
      </c>
      <c r="O781" s="111">
        <v>22.0</v>
      </c>
      <c r="P781" s="168">
        <v>9.0</v>
      </c>
    </row>
    <row r="782">
      <c r="A782" s="160">
        <v>15.0</v>
      </c>
      <c r="B782" s="160">
        <v>44.0</v>
      </c>
      <c r="C782" s="170">
        <v>7778.0</v>
      </c>
      <c r="D782" s="168">
        <v>204.0</v>
      </c>
      <c r="E782" s="24">
        <v>57.0</v>
      </c>
      <c r="F782" s="169">
        <v>-78666.12</v>
      </c>
      <c r="G782" s="169">
        <v>-37828.98</v>
      </c>
      <c r="H782" s="169">
        <v>-61979.58</v>
      </c>
      <c r="I782" s="169">
        <v>-23745.93</v>
      </c>
      <c r="J782" s="169">
        <v>-77164.99</v>
      </c>
      <c r="K782" s="169">
        <v>68226.07</v>
      </c>
      <c r="L782" s="169">
        <v>38481.96</v>
      </c>
      <c r="M782" s="169">
        <v>-19636.26</v>
      </c>
      <c r="N782" s="50">
        <v>62018.0</v>
      </c>
      <c r="O782" s="111">
        <v>21.0</v>
      </c>
      <c r="P782" s="168">
        <v>4.0</v>
      </c>
    </row>
    <row r="783">
      <c r="A783" s="160">
        <v>35.0</v>
      </c>
      <c r="B783" s="160">
        <v>96.0</v>
      </c>
      <c r="C783" s="170">
        <v>7779.0</v>
      </c>
      <c r="D783" s="168">
        <v>207.0</v>
      </c>
      <c r="E783" s="24">
        <v>66.0</v>
      </c>
      <c r="F783" s="169">
        <v>-83086.98</v>
      </c>
      <c r="G783" s="169">
        <v>45662.59</v>
      </c>
      <c r="H783" s="169">
        <v>22981.24</v>
      </c>
      <c r="I783" s="169">
        <v>95612.3</v>
      </c>
      <c r="J783" s="169">
        <v>20722.03</v>
      </c>
      <c r="K783" s="169">
        <v>-64828.08</v>
      </c>
      <c r="L783" s="169">
        <v>-11234.19</v>
      </c>
      <c r="M783" s="169">
        <v>7268.99</v>
      </c>
      <c r="N783" s="50">
        <v>101120.0</v>
      </c>
      <c r="O783" s="111">
        <v>21.0</v>
      </c>
      <c r="P783" s="168">
        <v>9.0</v>
      </c>
    </row>
    <row r="784">
      <c r="A784" s="160">
        <v>97.0</v>
      </c>
      <c r="B784" s="160">
        <v>42.0</v>
      </c>
      <c r="C784" s="147">
        <v>7780.0</v>
      </c>
      <c r="D784" s="168">
        <v>206.0</v>
      </c>
      <c r="E784" s="24">
        <v>19.0</v>
      </c>
      <c r="F784" s="169">
        <v>-2617.01</v>
      </c>
      <c r="G784" s="169">
        <v>-9408.18</v>
      </c>
      <c r="H784" s="169">
        <v>-43559.69</v>
      </c>
      <c r="I784" s="169">
        <v>74238.51</v>
      </c>
      <c r="J784" s="169">
        <v>-19658.06</v>
      </c>
      <c r="K784" s="169">
        <v>-88602.8</v>
      </c>
      <c r="L784" s="169">
        <v>77231.54</v>
      </c>
      <c r="M784" s="169">
        <v>15870.34</v>
      </c>
      <c r="N784" s="50">
        <v>112021.0</v>
      </c>
      <c r="O784" s="111">
        <v>21.0</v>
      </c>
      <c r="P784" s="168">
        <v>6.0</v>
      </c>
    </row>
    <row r="785">
      <c r="A785" s="160">
        <v>76.0</v>
      </c>
      <c r="B785" s="160">
        <v>98.0</v>
      </c>
      <c r="C785" s="170">
        <v>7781.0</v>
      </c>
      <c r="D785" s="168">
        <v>210.0</v>
      </c>
      <c r="E785" s="24">
        <v>38.0</v>
      </c>
      <c r="F785" s="169">
        <v>75018.9</v>
      </c>
      <c r="G785" s="169">
        <v>-27878.36</v>
      </c>
      <c r="H785" s="169">
        <v>98864.03</v>
      </c>
      <c r="I785" s="169">
        <v>67395.64</v>
      </c>
      <c r="J785" s="169">
        <v>-46697.83</v>
      </c>
      <c r="K785" s="169">
        <v>-17687.51</v>
      </c>
      <c r="L785" s="169">
        <v>47883.55</v>
      </c>
      <c r="M785" s="169">
        <v>-2169.65</v>
      </c>
      <c r="N785" s="50">
        <v>22413.0</v>
      </c>
      <c r="O785" s="111">
        <v>23.0</v>
      </c>
      <c r="P785" s="168">
        <v>6.0</v>
      </c>
    </row>
    <row r="786">
      <c r="A786" s="160">
        <v>77.0</v>
      </c>
      <c r="B786" s="160">
        <v>1.0</v>
      </c>
      <c r="C786" s="170">
        <v>7782.0</v>
      </c>
      <c r="D786" s="168">
        <v>220.0</v>
      </c>
      <c r="E786" s="24">
        <v>88.0</v>
      </c>
      <c r="F786" s="169">
        <v>-79812.49</v>
      </c>
      <c r="G786" s="169">
        <v>98585.7</v>
      </c>
      <c r="H786" s="169">
        <v>88455.17</v>
      </c>
      <c r="I786" s="169">
        <v>-77732.4</v>
      </c>
      <c r="J786" s="169">
        <v>-69532.71</v>
      </c>
      <c r="K786" s="169">
        <v>-28821.46</v>
      </c>
      <c r="L786" s="169">
        <v>43967.76</v>
      </c>
      <c r="M786" s="169">
        <v>-46666.05</v>
      </c>
      <c r="N786" s="50">
        <v>30319.0</v>
      </c>
      <c r="O786" s="111">
        <v>20.0</v>
      </c>
      <c r="P786" s="168">
        <v>5.0</v>
      </c>
    </row>
    <row r="787">
      <c r="A787" s="160">
        <v>77.0</v>
      </c>
      <c r="B787" s="160">
        <v>2.0</v>
      </c>
      <c r="C787" s="170">
        <v>7783.0</v>
      </c>
      <c r="D787" s="168">
        <v>204.0</v>
      </c>
      <c r="E787" s="24">
        <v>18.0</v>
      </c>
      <c r="F787" s="169">
        <v>-13320.32</v>
      </c>
      <c r="G787" s="169">
        <v>-93107.57</v>
      </c>
      <c r="H787" s="169">
        <v>-92324.53</v>
      </c>
      <c r="I787" s="169">
        <v>-88153.3</v>
      </c>
      <c r="J787" s="169">
        <v>-62291.27</v>
      </c>
      <c r="K787" s="169">
        <v>-61929.25</v>
      </c>
      <c r="L787" s="169">
        <v>-52708.03</v>
      </c>
      <c r="M787" s="169">
        <v>-19307.03</v>
      </c>
      <c r="N787" s="50">
        <v>50416.0</v>
      </c>
      <c r="O787" s="111">
        <v>20.0</v>
      </c>
      <c r="P787" s="168">
        <v>8.0</v>
      </c>
    </row>
    <row r="788">
      <c r="A788" s="160">
        <v>56.0</v>
      </c>
      <c r="B788" s="160">
        <v>53.0</v>
      </c>
      <c r="C788" s="170">
        <v>7784.0</v>
      </c>
      <c r="D788" s="168">
        <v>210.0</v>
      </c>
      <c r="E788" s="24">
        <v>49.0</v>
      </c>
      <c r="F788" s="169">
        <v>33395.21</v>
      </c>
      <c r="G788" s="169">
        <v>-49703.77</v>
      </c>
      <c r="H788" s="169">
        <v>13737.85</v>
      </c>
      <c r="I788" s="169">
        <v>14171.3</v>
      </c>
      <c r="J788" s="169">
        <v>77163.31</v>
      </c>
      <c r="K788" s="169">
        <v>-49683.36</v>
      </c>
      <c r="L788" s="169">
        <v>-65492.38</v>
      </c>
      <c r="M788" s="169">
        <v>-80114.03</v>
      </c>
      <c r="N788" s="50">
        <v>21521.0</v>
      </c>
      <c r="O788" s="111">
        <v>20.0</v>
      </c>
      <c r="P788" s="168">
        <v>1.0</v>
      </c>
    </row>
    <row r="789">
      <c r="A789" s="160">
        <v>51.0</v>
      </c>
      <c r="B789" s="160">
        <v>94.0</v>
      </c>
      <c r="C789" s="147">
        <v>7785.0</v>
      </c>
      <c r="D789" s="168">
        <v>214.0</v>
      </c>
      <c r="E789" s="24">
        <v>67.0</v>
      </c>
      <c r="F789" s="169">
        <v>-50048.85</v>
      </c>
      <c r="G789" s="169">
        <v>-74827.4</v>
      </c>
      <c r="H789" s="169">
        <v>98163.81</v>
      </c>
      <c r="I789" s="169">
        <v>-6721.26</v>
      </c>
      <c r="J789" s="169">
        <v>-97791.6</v>
      </c>
      <c r="K789" s="169">
        <v>-77394.3</v>
      </c>
      <c r="L789" s="169">
        <v>-4942.49</v>
      </c>
      <c r="M789" s="169">
        <v>8036.94</v>
      </c>
      <c r="N789" s="50">
        <v>120119.0</v>
      </c>
      <c r="O789" s="111">
        <v>23.0</v>
      </c>
      <c r="P789" s="168">
        <v>8.0</v>
      </c>
    </row>
    <row r="790">
      <c r="A790" s="160">
        <v>15.0</v>
      </c>
      <c r="B790" s="160">
        <v>66.0</v>
      </c>
      <c r="C790" s="170">
        <v>7786.0</v>
      </c>
      <c r="D790" s="168">
        <v>219.0</v>
      </c>
      <c r="E790" s="24">
        <v>49.0</v>
      </c>
      <c r="F790" s="169">
        <v>44648.76</v>
      </c>
      <c r="G790" s="169">
        <v>-32249.01</v>
      </c>
      <c r="H790" s="169">
        <v>-62430.52</v>
      </c>
      <c r="I790" s="169">
        <v>-91248.65</v>
      </c>
      <c r="J790" s="169">
        <v>-11009.49</v>
      </c>
      <c r="K790" s="169">
        <v>10080.21</v>
      </c>
      <c r="L790" s="169">
        <v>10725.93</v>
      </c>
      <c r="M790" s="169">
        <v>-72207.98</v>
      </c>
      <c r="N790" s="50">
        <v>41315.0</v>
      </c>
      <c r="O790" s="111">
        <v>22.0</v>
      </c>
      <c r="P790" s="168">
        <v>4.0</v>
      </c>
    </row>
    <row r="791">
      <c r="A791" s="160">
        <v>97.0</v>
      </c>
      <c r="B791" s="160">
        <v>59.0</v>
      </c>
      <c r="C791" s="170">
        <v>7787.0</v>
      </c>
      <c r="D791" s="168">
        <v>204.0</v>
      </c>
      <c r="E791" s="24">
        <v>23.0</v>
      </c>
      <c r="F791" s="169">
        <v>88653.67</v>
      </c>
      <c r="G791" s="169">
        <v>30511.79</v>
      </c>
      <c r="H791" s="169">
        <v>82166.64</v>
      </c>
      <c r="I791" s="169">
        <v>-94475.96</v>
      </c>
      <c r="J791" s="169">
        <v>-68686.72</v>
      </c>
      <c r="K791" s="169">
        <v>47778.46</v>
      </c>
      <c r="L791" s="169">
        <v>-34930.56</v>
      </c>
      <c r="M791" s="169">
        <v>-60721.32</v>
      </c>
      <c r="N791" s="50">
        <v>92722.0</v>
      </c>
      <c r="O791" s="111">
        <v>22.0</v>
      </c>
      <c r="P791" s="168">
        <v>1.0</v>
      </c>
    </row>
    <row r="792">
      <c r="A792" s="160">
        <v>97.0</v>
      </c>
      <c r="B792" s="160">
        <v>64.0</v>
      </c>
      <c r="C792" s="170">
        <v>7788.0</v>
      </c>
      <c r="D792" s="168">
        <v>207.0</v>
      </c>
      <c r="E792" s="24">
        <v>63.0</v>
      </c>
      <c r="F792" s="169">
        <v>73277.19</v>
      </c>
      <c r="G792" s="169">
        <v>15301.0</v>
      </c>
      <c r="H792" s="169">
        <v>-42175.46</v>
      </c>
      <c r="I792" s="169">
        <v>-56612.91</v>
      </c>
      <c r="J792" s="169">
        <v>-59495.33</v>
      </c>
      <c r="K792" s="169">
        <v>-71432.6</v>
      </c>
      <c r="L792" s="169">
        <v>-28936.78</v>
      </c>
      <c r="M792" s="169">
        <v>11964.55</v>
      </c>
      <c r="N792" s="50">
        <v>91918.0</v>
      </c>
      <c r="O792" s="111">
        <v>20.0</v>
      </c>
      <c r="P792" s="168">
        <v>4.0</v>
      </c>
    </row>
    <row r="793">
      <c r="A793" s="160">
        <v>36.0</v>
      </c>
      <c r="B793" s="160">
        <v>20.0</v>
      </c>
      <c r="C793" s="170">
        <v>7789.0</v>
      </c>
      <c r="D793" s="168">
        <v>212.0</v>
      </c>
      <c r="E793" s="24">
        <v>70.0</v>
      </c>
      <c r="F793" s="169">
        <v>45087.69</v>
      </c>
      <c r="G793" s="169">
        <v>18522.03</v>
      </c>
      <c r="H793" s="169">
        <v>-23944.52</v>
      </c>
      <c r="I793" s="169">
        <v>-56943.07</v>
      </c>
      <c r="J793" s="169">
        <v>49220.49</v>
      </c>
      <c r="K793" s="169">
        <v>44621.93</v>
      </c>
      <c r="L793" s="169">
        <v>-97515.85</v>
      </c>
      <c r="M793" s="169">
        <v>44425.94</v>
      </c>
      <c r="N793" s="50">
        <v>41917.0</v>
      </c>
      <c r="O793" s="111">
        <v>20.0</v>
      </c>
      <c r="P793" s="168">
        <v>9.0</v>
      </c>
    </row>
    <row r="794">
      <c r="A794" s="160">
        <v>56.0</v>
      </c>
      <c r="B794" s="160">
        <v>70.0</v>
      </c>
      <c r="C794" s="147">
        <v>7790.0</v>
      </c>
      <c r="D794" s="168">
        <v>218.0</v>
      </c>
      <c r="E794" s="24">
        <v>95.0</v>
      </c>
      <c r="F794" s="169">
        <v>67301.57</v>
      </c>
      <c r="G794" s="169">
        <v>95206.6</v>
      </c>
      <c r="H794" s="169">
        <v>-64247.81</v>
      </c>
      <c r="I794" s="169">
        <v>92153.22</v>
      </c>
      <c r="J794" s="169">
        <v>-88094.83</v>
      </c>
      <c r="K794" s="169">
        <v>-75789.22</v>
      </c>
      <c r="L794" s="169">
        <v>7548.2</v>
      </c>
      <c r="M794" s="169">
        <v>-72852.62</v>
      </c>
      <c r="N794" s="50">
        <v>22214.0</v>
      </c>
      <c r="O794" s="111">
        <v>22.0</v>
      </c>
      <c r="P794" s="168">
        <v>9.0</v>
      </c>
    </row>
    <row r="795">
      <c r="A795" s="160">
        <v>97.0</v>
      </c>
      <c r="B795" s="160">
        <v>66.0</v>
      </c>
      <c r="C795" s="170">
        <v>7791.0</v>
      </c>
      <c r="D795" s="168">
        <v>213.0</v>
      </c>
      <c r="E795" s="24">
        <v>64.0</v>
      </c>
      <c r="F795" s="169">
        <v>-99831.53</v>
      </c>
      <c r="G795" s="169">
        <v>-86405.31</v>
      </c>
      <c r="H795" s="169">
        <v>68166.6</v>
      </c>
      <c r="I795" s="169">
        <v>-91456.4</v>
      </c>
      <c r="J795" s="169">
        <v>-20785.14</v>
      </c>
      <c r="K795" s="169">
        <v>19457.38</v>
      </c>
      <c r="L795" s="169">
        <v>-99624.16</v>
      </c>
      <c r="M795" s="169">
        <v>-68820.37</v>
      </c>
      <c r="N795" s="50">
        <v>100620.0</v>
      </c>
      <c r="O795" s="111">
        <v>20.0</v>
      </c>
      <c r="P795" s="168">
        <v>2.0</v>
      </c>
    </row>
    <row r="796">
      <c r="A796" s="160">
        <v>97.0</v>
      </c>
      <c r="B796" s="160">
        <v>69.0</v>
      </c>
      <c r="C796" s="170">
        <v>7792.0</v>
      </c>
      <c r="D796" s="168">
        <v>219.0</v>
      </c>
      <c r="E796" s="24">
        <v>97.0</v>
      </c>
      <c r="F796" s="169">
        <v>-97643.33</v>
      </c>
      <c r="G796" s="169">
        <v>-67279.37</v>
      </c>
      <c r="H796" s="169">
        <v>-53189.08</v>
      </c>
      <c r="I796" s="169">
        <v>-1676.93</v>
      </c>
      <c r="J796" s="169">
        <v>-59019.63</v>
      </c>
      <c r="K796" s="169">
        <v>15185.26</v>
      </c>
      <c r="L796" s="169">
        <v>97374.45</v>
      </c>
      <c r="M796" s="169">
        <v>-15738.97</v>
      </c>
      <c r="N796" s="50">
        <v>50919.0</v>
      </c>
      <c r="O796" s="111">
        <v>20.0</v>
      </c>
      <c r="P796" s="168">
        <v>3.0</v>
      </c>
    </row>
    <row r="797">
      <c r="A797" s="160">
        <v>77.0</v>
      </c>
      <c r="B797" s="160">
        <v>24.0</v>
      </c>
      <c r="C797" s="170">
        <v>7793.0</v>
      </c>
      <c r="D797" s="168">
        <v>204.0</v>
      </c>
      <c r="E797" s="24">
        <v>21.0</v>
      </c>
      <c r="F797" s="169">
        <v>20146.44</v>
      </c>
      <c r="G797" s="169">
        <v>75629.99</v>
      </c>
      <c r="H797" s="169">
        <v>-17603.81</v>
      </c>
      <c r="I797" s="169">
        <v>-60443.59</v>
      </c>
      <c r="J797" s="169">
        <v>96972.42</v>
      </c>
      <c r="K797" s="169">
        <v>13513.75</v>
      </c>
      <c r="L797" s="169">
        <v>1897.91</v>
      </c>
      <c r="M797" s="169">
        <v>74849.81</v>
      </c>
      <c r="N797" s="50">
        <v>70718.0</v>
      </c>
      <c r="O797" s="111">
        <v>21.0</v>
      </c>
      <c r="P797" s="168">
        <v>3.0</v>
      </c>
    </row>
    <row r="798">
      <c r="A798" s="160">
        <v>77.0</v>
      </c>
      <c r="B798" s="160">
        <v>25.0</v>
      </c>
      <c r="C798" s="170">
        <v>7794.0</v>
      </c>
      <c r="D798" s="168">
        <v>202.0</v>
      </c>
      <c r="E798" s="24">
        <v>56.0</v>
      </c>
      <c r="F798" s="169">
        <v>18664.52</v>
      </c>
      <c r="G798" s="169">
        <v>93348.93</v>
      </c>
      <c r="H798" s="169">
        <v>62822.06</v>
      </c>
      <c r="I798" s="169">
        <v>86082.83</v>
      </c>
      <c r="J798" s="169">
        <v>-99023.93</v>
      </c>
      <c r="K798" s="169">
        <v>91687.15</v>
      </c>
      <c r="L798" s="169">
        <v>77432.34</v>
      </c>
      <c r="M798" s="169">
        <v>-90207.48</v>
      </c>
      <c r="N798" s="50">
        <v>112320.0</v>
      </c>
      <c r="O798" s="111">
        <v>21.0</v>
      </c>
      <c r="P798" s="168">
        <v>5.0</v>
      </c>
    </row>
    <row r="799">
      <c r="A799" s="160">
        <v>77.0</v>
      </c>
      <c r="B799" s="160">
        <v>26.0</v>
      </c>
      <c r="C799" s="147">
        <v>7795.0</v>
      </c>
      <c r="D799" s="168">
        <v>208.0</v>
      </c>
      <c r="E799" s="24">
        <v>14.0</v>
      </c>
      <c r="F799" s="169">
        <v>37785.48</v>
      </c>
      <c r="G799" s="169">
        <v>43276.09</v>
      </c>
      <c r="H799" s="169">
        <v>-88008.52</v>
      </c>
      <c r="I799" s="169">
        <v>-66490.46</v>
      </c>
      <c r="J799" s="169">
        <v>-46022.2</v>
      </c>
      <c r="K799" s="169">
        <v>-96981.05</v>
      </c>
      <c r="L799" s="169">
        <v>-68835.39</v>
      </c>
      <c r="M799" s="169">
        <v>53567.33</v>
      </c>
      <c r="N799" s="50">
        <v>41115.0</v>
      </c>
      <c r="O799" s="111">
        <v>23.0</v>
      </c>
      <c r="P799" s="168">
        <v>1.0</v>
      </c>
    </row>
    <row r="800">
      <c r="A800" s="160">
        <v>36.0</v>
      </c>
      <c r="B800" s="160">
        <v>34.0</v>
      </c>
      <c r="C800" s="170">
        <v>7796.0</v>
      </c>
      <c r="D800" s="168">
        <v>216.0</v>
      </c>
      <c r="E800" s="24">
        <v>33.0</v>
      </c>
      <c r="F800" s="169">
        <v>-4758.67</v>
      </c>
      <c r="G800" s="169">
        <v>94659.87</v>
      </c>
      <c r="H800" s="169">
        <v>24239.55</v>
      </c>
      <c r="I800" s="169">
        <v>40562.84</v>
      </c>
      <c r="J800" s="169">
        <v>76195.15</v>
      </c>
      <c r="K800" s="169">
        <v>-46530.48</v>
      </c>
      <c r="L800" s="169">
        <v>-84754.27</v>
      </c>
      <c r="M800" s="169">
        <v>12614.32</v>
      </c>
      <c r="N800" s="50">
        <v>11819.0</v>
      </c>
      <c r="O800" s="111">
        <v>23.0</v>
      </c>
      <c r="P800" s="168">
        <v>5.0</v>
      </c>
    </row>
    <row r="801">
      <c r="A801" s="160">
        <v>56.0</v>
      </c>
      <c r="B801" s="160">
        <v>82.0</v>
      </c>
      <c r="C801" s="170">
        <v>7797.0</v>
      </c>
      <c r="D801" s="168">
        <v>212.0</v>
      </c>
      <c r="E801" s="24">
        <v>47.0</v>
      </c>
      <c r="F801" s="169">
        <v>-22721.59</v>
      </c>
      <c r="G801" s="169">
        <v>3568.39</v>
      </c>
      <c r="H801" s="169">
        <v>-63823.84</v>
      </c>
      <c r="I801" s="169">
        <v>66740.95</v>
      </c>
      <c r="J801" s="169">
        <v>-23582.46</v>
      </c>
      <c r="K801" s="169">
        <v>-12049.51</v>
      </c>
      <c r="L801" s="169">
        <v>98879.81</v>
      </c>
      <c r="M801" s="169">
        <v>78859.62</v>
      </c>
      <c r="N801" s="50">
        <v>120118.0</v>
      </c>
      <c r="O801" s="111">
        <v>20.0</v>
      </c>
      <c r="P801" s="168">
        <v>2.0</v>
      </c>
    </row>
    <row r="802">
      <c r="A802" s="160">
        <v>36.0</v>
      </c>
      <c r="B802" s="160">
        <v>37.0</v>
      </c>
      <c r="C802" s="170">
        <v>7798.0</v>
      </c>
      <c r="D802" s="168">
        <v>205.0</v>
      </c>
      <c r="E802" s="24">
        <v>44.0</v>
      </c>
      <c r="F802" s="169">
        <v>-81670.3</v>
      </c>
      <c r="G802" s="169">
        <v>43600.6</v>
      </c>
      <c r="H802" s="169">
        <v>46561.89</v>
      </c>
      <c r="I802" s="169">
        <v>59193.09</v>
      </c>
      <c r="J802" s="169">
        <v>7799.95</v>
      </c>
      <c r="K802" s="169">
        <v>-7830.36</v>
      </c>
      <c r="L802" s="169">
        <v>48220.64</v>
      </c>
      <c r="M802" s="169">
        <v>-60185.64</v>
      </c>
      <c r="N802" s="50">
        <v>12620.0</v>
      </c>
      <c r="O802" s="111">
        <v>21.0</v>
      </c>
      <c r="P802" s="168">
        <v>8.0</v>
      </c>
    </row>
    <row r="803">
      <c r="A803" s="160">
        <v>36.0</v>
      </c>
      <c r="B803" s="160">
        <v>39.0</v>
      </c>
      <c r="C803" s="170">
        <v>7799.0</v>
      </c>
      <c r="D803" s="168">
        <v>218.0</v>
      </c>
      <c r="E803" s="24">
        <v>99.0</v>
      </c>
      <c r="F803" s="169">
        <v>-16132.47</v>
      </c>
      <c r="G803" s="169">
        <v>-93938.25</v>
      </c>
      <c r="H803" s="169">
        <v>-75157.19</v>
      </c>
      <c r="I803" s="169">
        <v>-11440.11</v>
      </c>
      <c r="J803" s="169">
        <v>-66689.06</v>
      </c>
      <c r="K803" s="169">
        <v>19664.22</v>
      </c>
      <c r="L803" s="169">
        <v>18809.96</v>
      </c>
      <c r="M803" s="169">
        <v>-3195.44</v>
      </c>
      <c r="N803" s="50">
        <v>101422.0</v>
      </c>
      <c r="O803" s="111">
        <v>23.0</v>
      </c>
      <c r="P803" s="168">
        <v>8.0</v>
      </c>
    </row>
    <row r="804">
      <c r="A804" s="160">
        <v>97.0</v>
      </c>
      <c r="B804" s="160">
        <v>83.0</v>
      </c>
      <c r="C804" s="147">
        <v>7800.0</v>
      </c>
      <c r="D804" s="168">
        <v>204.0</v>
      </c>
      <c r="E804" s="24">
        <v>60.0</v>
      </c>
      <c r="F804" s="169">
        <v>85194.22</v>
      </c>
      <c r="G804" s="169">
        <v>21244.45</v>
      </c>
      <c r="H804" s="169">
        <v>40796.57</v>
      </c>
      <c r="I804" s="169">
        <v>88247.07</v>
      </c>
      <c r="J804" s="169">
        <v>29151.44</v>
      </c>
      <c r="K804" s="169">
        <v>-94030.6</v>
      </c>
      <c r="L804" s="169">
        <v>99306.06</v>
      </c>
      <c r="M804" s="169">
        <v>27078.73</v>
      </c>
      <c r="N804" s="50">
        <v>63018.0</v>
      </c>
      <c r="O804" s="111">
        <v>22.0</v>
      </c>
      <c r="P804" s="168">
        <v>9.0</v>
      </c>
    </row>
    <row r="805">
      <c r="A805" s="160">
        <v>77.0</v>
      </c>
      <c r="B805" s="160">
        <v>36.0</v>
      </c>
      <c r="C805" s="170">
        <v>7801.0</v>
      </c>
      <c r="D805" s="168">
        <v>204.0</v>
      </c>
      <c r="E805" s="24">
        <v>86.0</v>
      </c>
      <c r="F805" s="169">
        <v>22438.8</v>
      </c>
      <c r="G805" s="169">
        <v>-69862.12</v>
      </c>
      <c r="H805" s="169">
        <v>-40761.73</v>
      </c>
      <c r="I805" s="169">
        <v>29979.91</v>
      </c>
      <c r="J805" s="169">
        <v>-62847.65</v>
      </c>
      <c r="K805" s="169">
        <v>-38294.71</v>
      </c>
      <c r="L805" s="169">
        <v>-84303.36</v>
      </c>
      <c r="M805" s="169">
        <v>69036.57</v>
      </c>
      <c r="N805" s="50">
        <v>52114.0</v>
      </c>
      <c r="O805" s="111">
        <v>23.0</v>
      </c>
      <c r="P805" s="168">
        <v>5.0</v>
      </c>
    </row>
    <row r="806">
      <c r="A806" s="160">
        <v>56.0</v>
      </c>
      <c r="B806" s="160">
        <v>92.0</v>
      </c>
      <c r="C806" s="170">
        <v>7802.0</v>
      </c>
      <c r="D806" s="168">
        <v>213.0</v>
      </c>
      <c r="E806" s="24">
        <v>82.0</v>
      </c>
      <c r="F806" s="169">
        <v>-64783.98</v>
      </c>
      <c r="G806" s="169">
        <v>94861.63</v>
      </c>
      <c r="H806" s="169">
        <v>8373.37</v>
      </c>
      <c r="I806" s="169">
        <v>-78766.66</v>
      </c>
      <c r="J806" s="169">
        <v>-43250.98</v>
      </c>
      <c r="K806" s="169">
        <v>88552.46</v>
      </c>
      <c r="L806" s="169">
        <v>51221.39</v>
      </c>
      <c r="M806" s="169">
        <v>-77614.97</v>
      </c>
      <c r="N806" s="50">
        <v>122622.0</v>
      </c>
      <c r="O806" s="111">
        <v>20.0</v>
      </c>
      <c r="P806" s="168">
        <v>4.0</v>
      </c>
    </row>
    <row r="807">
      <c r="A807" s="160">
        <v>77.0</v>
      </c>
      <c r="B807" s="160">
        <v>43.0</v>
      </c>
      <c r="C807" s="170">
        <v>7803.0</v>
      </c>
      <c r="D807" s="168">
        <v>208.0</v>
      </c>
      <c r="E807" s="24">
        <v>97.0</v>
      </c>
      <c r="F807" s="169">
        <v>-72589.31</v>
      </c>
      <c r="G807" s="169">
        <v>86109.44</v>
      </c>
      <c r="H807" s="169">
        <v>55720.52</v>
      </c>
      <c r="I807" s="169">
        <v>-37075.1</v>
      </c>
      <c r="J807" s="169">
        <v>76261.53</v>
      </c>
      <c r="K807" s="169">
        <v>-94098.49</v>
      </c>
      <c r="L807" s="169">
        <v>-34378.65</v>
      </c>
      <c r="M807" s="169">
        <v>-49913.58</v>
      </c>
      <c r="N807" s="50">
        <v>52813.0</v>
      </c>
      <c r="O807" s="111">
        <v>20.0</v>
      </c>
      <c r="P807" s="168">
        <v>6.0</v>
      </c>
    </row>
    <row r="808">
      <c r="A808" s="160">
        <v>36.0</v>
      </c>
      <c r="B808" s="160">
        <v>47.0</v>
      </c>
      <c r="C808" s="170">
        <v>7804.0</v>
      </c>
      <c r="D808" s="168">
        <v>211.0</v>
      </c>
      <c r="E808" s="24">
        <v>15.0</v>
      </c>
      <c r="F808" s="169">
        <v>-22679.27</v>
      </c>
      <c r="G808" s="169">
        <v>-54213.24</v>
      </c>
      <c r="H808" s="169">
        <v>38255.14</v>
      </c>
      <c r="I808" s="169">
        <v>-65264.32</v>
      </c>
      <c r="J808" s="169">
        <v>-30836.05</v>
      </c>
      <c r="K808" s="169">
        <v>80870.98</v>
      </c>
      <c r="L808" s="169">
        <v>-60552.76</v>
      </c>
      <c r="M808" s="169">
        <v>-89105.98</v>
      </c>
      <c r="N808" s="50">
        <v>20513.0</v>
      </c>
      <c r="O808" s="111">
        <v>20.0</v>
      </c>
      <c r="P808" s="168">
        <v>8.0</v>
      </c>
    </row>
    <row r="809">
      <c r="A809" s="160">
        <v>56.0</v>
      </c>
      <c r="B809" s="160">
        <v>98.0</v>
      </c>
      <c r="C809" s="147">
        <v>7805.0</v>
      </c>
      <c r="D809" s="168">
        <v>213.0</v>
      </c>
      <c r="E809" s="24">
        <v>11.0</v>
      </c>
      <c r="F809" s="169">
        <v>-49366.08</v>
      </c>
      <c r="G809" s="169">
        <v>-17360.95</v>
      </c>
      <c r="H809" s="169">
        <v>4396.75</v>
      </c>
      <c r="I809" s="169">
        <v>-31854.08</v>
      </c>
      <c r="J809" s="169">
        <v>-22964.49</v>
      </c>
      <c r="K809" s="169">
        <v>65086.87</v>
      </c>
      <c r="L809" s="169">
        <v>-2519.4</v>
      </c>
      <c r="M809" s="169">
        <v>-60078.85</v>
      </c>
      <c r="N809" s="50">
        <v>80413.0</v>
      </c>
      <c r="O809" s="111">
        <v>22.0</v>
      </c>
      <c r="P809" s="168">
        <v>4.0</v>
      </c>
    </row>
    <row r="810">
      <c r="A810" s="160">
        <v>16.0</v>
      </c>
      <c r="B810" s="160">
        <v>3.0</v>
      </c>
      <c r="C810" s="170">
        <v>7806.0</v>
      </c>
      <c r="D810" s="168">
        <v>207.0</v>
      </c>
      <c r="E810" s="24">
        <v>65.0</v>
      </c>
      <c r="F810" s="169">
        <v>33092.94</v>
      </c>
      <c r="G810" s="169">
        <v>-55799.79</v>
      </c>
      <c r="H810" s="169">
        <v>-24086.33</v>
      </c>
      <c r="I810" s="169">
        <v>78108.12</v>
      </c>
      <c r="J810" s="169">
        <v>49129.79</v>
      </c>
      <c r="K810" s="169">
        <v>32600.7</v>
      </c>
      <c r="L810" s="169">
        <v>-15583.6</v>
      </c>
      <c r="M810" s="169">
        <v>-28786.8</v>
      </c>
      <c r="N810" s="50">
        <v>82918.0</v>
      </c>
      <c r="O810" s="111">
        <v>23.0</v>
      </c>
      <c r="P810" s="168">
        <v>7.0</v>
      </c>
    </row>
    <row r="811">
      <c r="A811" s="160">
        <v>16.0</v>
      </c>
      <c r="B811" s="160">
        <v>5.0</v>
      </c>
      <c r="C811" s="170">
        <v>7807.0</v>
      </c>
      <c r="D811" s="168">
        <v>202.0</v>
      </c>
      <c r="E811" s="24">
        <v>10.0</v>
      </c>
      <c r="F811" s="169">
        <v>34601.35</v>
      </c>
      <c r="G811" s="169">
        <v>-47946.44</v>
      </c>
      <c r="H811" s="169">
        <v>-41813.65</v>
      </c>
      <c r="I811" s="169">
        <v>-70039.69</v>
      </c>
      <c r="J811" s="169">
        <v>99695.53</v>
      </c>
      <c r="K811" s="169">
        <v>-27347.1</v>
      </c>
      <c r="L811" s="169">
        <v>70593.44</v>
      </c>
      <c r="M811" s="169">
        <v>-8755.11</v>
      </c>
      <c r="N811" s="50">
        <v>90621.0</v>
      </c>
      <c r="O811" s="111">
        <v>23.0</v>
      </c>
      <c r="P811" s="168">
        <v>4.0</v>
      </c>
    </row>
    <row r="812">
      <c r="A812" s="160">
        <v>77.0</v>
      </c>
      <c r="B812" s="160">
        <v>55.0</v>
      </c>
      <c r="C812" s="170">
        <v>7808.0</v>
      </c>
      <c r="D812" s="168">
        <v>211.0</v>
      </c>
      <c r="E812" s="24">
        <v>38.0</v>
      </c>
      <c r="F812" s="169">
        <v>14013.71</v>
      </c>
      <c r="G812" s="169">
        <v>-65271.32</v>
      </c>
      <c r="H812" s="169">
        <v>-66071.28</v>
      </c>
      <c r="I812" s="169">
        <v>-12100.19</v>
      </c>
      <c r="J812" s="169">
        <v>-65827.36</v>
      </c>
      <c r="K812" s="169">
        <v>591.53</v>
      </c>
      <c r="L812" s="169">
        <v>-92491.94</v>
      </c>
      <c r="M812" s="169">
        <v>-75885.7</v>
      </c>
      <c r="N812" s="50">
        <v>102522.0</v>
      </c>
      <c r="O812" s="111">
        <v>21.0</v>
      </c>
      <c r="P812" s="168">
        <v>2.0</v>
      </c>
    </row>
    <row r="813">
      <c r="A813" s="160">
        <v>77.0</v>
      </c>
      <c r="B813" s="160">
        <v>61.0</v>
      </c>
      <c r="C813" s="170">
        <v>7809.0</v>
      </c>
      <c r="D813" s="168">
        <v>209.0</v>
      </c>
      <c r="E813" s="24">
        <v>79.0</v>
      </c>
      <c r="F813" s="169">
        <v>-36636.5</v>
      </c>
      <c r="G813" s="169">
        <v>29310.44</v>
      </c>
      <c r="H813" s="169">
        <v>-17631.37</v>
      </c>
      <c r="I813" s="169">
        <v>-28713.69</v>
      </c>
      <c r="J813" s="169">
        <v>-55339.08</v>
      </c>
      <c r="K813" s="169">
        <v>-33847.69</v>
      </c>
      <c r="L813" s="169">
        <v>96242.46</v>
      </c>
      <c r="M813" s="169">
        <v>31981.33</v>
      </c>
      <c r="N813" s="50">
        <v>32917.0</v>
      </c>
      <c r="O813" s="111">
        <v>20.0</v>
      </c>
      <c r="P813" s="168">
        <v>9.0</v>
      </c>
    </row>
    <row r="814">
      <c r="A814" s="160">
        <v>16.0</v>
      </c>
      <c r="B814" s="160">
        <v>17.0</v>
      </c>
      <c r="C814" s="147">
        <v>7810.0</v>
      </c>
      <c r="D814" s="168">
        <v>210.0</v>
      </c>
      <c r="E814" s="24">
        <v>19.0</v>
      </c>
      <c r="F814" s="169">
        <v>-86773.59</v>
      </c>
      <c r="G814" s="169">
        <v>25844.39</v>
      </c>
      <c r="H814" s="169">
        <v>53289.39</v>
      </c>
      <c r="I814" s="169">
        <v>-24197.55</v>
      </c>
      <c r="J814" s="169">
        <v>94633.14</v>
      </c>
      <c r="K814" s="169">
        <v>26272.23</v>
      </c>
      <c r="L814" s="169">
        <v>-72365.33</v>
      </c>
      <c r="M814" s="169">
        <v>19421.06</v>
      </c>
      <c r="N814" s="50">
        <v>102819.0</v>
      </c>
      <c r="O814" s="111">
        <v>20.0</v>
      </c>
      <c r="P814" s="168">
        <v>9.0</v>
      </c>
    </row>
    <row r="815">
      <c r="A815" s="160">
        <v>16.0</v>
      </c>
      <c r="B815" s="160">
        <v>19.0</v>
      </c>
      <c r="C815" s="170">
        <v>7811.0</v>
      </c>
      <c r="D815" s="168">
        <v>208.0</v>
      </c>
      <c r="E815" s="24">
        <v>58.0</v>
      </c>
      <c r="F815" s="169">
        <v>43303.31</v>
      </c>
      <c r="G815" s="169">
        <v>-14261.56</v>
      </c>
      <c r="H815" s="169">
        <v>24729.81</v>
      </c>
      <c r="I815" s="169">
        <v>23560.12</v>
      </c>
      <c r="J815" s="169">
        <v>41720.66</v>
      </c>
      <c r="K815" s="169">
        <v>-20723.5</v>
      </c>
      <c r="L815" s="169">
        <v>-36306.38</v>
      </c>
      <c r="M815" s="169">
        <v>15657.74</v>
      </c>
      <c r="N815" s="50">
        <v>72913.0</v>
      </c>
      <c r="O815" s="111">
        <v>21.0</v>
      </c>
      <c r="P815" s="168">
        <v>9.0</v>
      </c>
    </row>
    <row r="816">
      <c r="A816" s="160">
        <v>77.0</v>
      </c>
      <c r="B816" s="160">
        <v>64.0</v>
      </c>
      <c r="C816" s="170">
        <v>7812.0</v>
      </c>
      <c r="D816" s="168">
        <v>213.0</v>
      </c>
      <c r="E816" s="24">
        <v>83.0</v>
      </c>
      <c r="F816" s="169">
        <v>81648.33</v>
      </c>
      <c r="G816" s="169">
        <v>-839.75</v>
      </c>
      <c r="H816" s="169">
        <v>-25879.5</v>
      </c>
      <c r="I816" s="169">
        <v>86355.28</v>
      </c>
      <c r="J816" s="169">
        <v>-40806.36</v>
      </c>
      <c r="K816" s="169">
        <v>-63479.09</v>
      </c>
      <c r="L816" s="169">
        <v>-31436.46</v>
      </c>
      <c r="M816" s="169">
        <v>87583.04</v>
      </c>
      <c r="N816" s="50">
        <v>21015.0</v>
      </c>
      <c r="O816" s="111">
        <v>23.0</v>
      </c>
      <c r="P816" s="168">
        <v>1.0</v>
      </c>
    </row>
    <row r="817">
      <c r="A817" s="160">
        <v>57.0</v>
      </c>
      <c r="B817" s="160">
        <v>19.0</v>
      </c>
      <c r="C817" s="170">
        <v>7813.0</v>
      </c>
      <c r="D817" s="168">
        <v>201.0</v>
      </c>
      <c r="E817" s="24">
        <v>29.0</v>
      </c>
      <c r="F817" s="169">
        <v>-71912.13</v>
      </c>
      <c r="G817" s="169">
        <v>22445.21</v>
      </c>
      <c r="H817" s="169">
        <v>-97623.69</v>
      </c>
      <c r="I817" s="169">
        <v>-37912.89</v>
      </c>
      <c r="J817" s="169">
        <v>-94882.26</v>
      </c>
      <c r="K817" s="169">
        <v>-34427.76</v>
      </c>
      <c r="L817" s="169">
        <v>21266.11</v>
      </c>
      <c r="M817" s="169">
        <v>-29304.83</v>
      </c>
      <c r="N817" s="50">
        <v>33022.0</v>
      </c>
      <c r="O817" s="111">
        <v>20.0</v>
      </c>
      <c r="P817" s="168">
        <v>5.0</v>
      </c>
    </row>
    <row r="818">
      <c r="A818" s="160">
        <v>16.0</v>
      </c>
      <c r="B818" s="160">
        <v>23.0</v>
      </c>
      <c r="C818" s="170">
        <v>7814.0</v>
      </c>
      <c r="D818" s="168">
        <v>201.0</v>
      </c>
      <c r="E818" s="24">
        <v>68.0</v>
      </c>
      <c r="F818" s="169">
        <v>3101.14</v>
      </c>
      <c r="G818" s="169">
        <v>-24852.39</v>
      </c>
      <c r="H818" s="169">
        <v>68760.9</v>
      </c>
      <c r="I818" s="169">
        <v>41815.91</v>
      </c>
      <c r="J818" s="169">
        <v>98488.53</v>
      </c>
      <c r="K818" s="169">
        <v>-36.52</v>
      </c>
      <c r="L818" s="169">
        <v>29337.78</v>
      </c>
      <c r="M818" s="169">
        <v>45413.33</v>
      </c>
      <c r="N818" s="50">
        <v>80820.0</v>
      </c>
      <c r="O818" s="111">
        <v>20.0</v>
      </c>
      <c r="P818" s="168">
        <v>2.0</v>
      </c>
    </row>
    <row r="819">
      <c r="A819" s="160">
        <v>16.0</v>
      </c>
      <c r="B819" s="160">
        <v>29.0</v>
      </c>
      <c r="C819" s="147">
        <v>7815.0</v>
      </c>
      <c r="D819" s="168">
        <v>202.0</v>
      </c>
      <c r="E819" s="24">
        <v>85.0</v>
      </c>
      <c r="F819" s="169">
        <v>9827.35</v>
      </c>
      <c r="G819" s="169">
        <v>-7298.0</v>
      </c>
      <c r="H819" s="169">
        <v>36929.44</v>
      </c>
      <c r="I819" s="169">
        <v>75163.14</v>
      </c>
      <c r="J819" s="169">
        <v>52158.89</v>
      </c>
      <c r="K819" s="169">
        <v>-93045.94</v>
      </c>
      <c r="L819" s="169">
        <v>67124.86</v>
      </c>
      <c r="M819" s="169">
        <v>56239.76</v>
      </c>
      <c r="N819" s="50">
        <v>121819.0</v>
      </c>
      <c r="O819" s="111">
        <v>22.0</v>
      </c>
      <c r="P819" s="168">
        <v>2.0</v>
      </c>
    </row>
    <row r="820">
      <c r="A820" s="160">
        <v>36.0</v>
      </c>
      <c r="B820" s="160">
        <v>78.0</v>
      </c>
      <c r="C820" s="170">
        <v>7816.0</v>
      </c>
      <c r="D820" s="168">
        <v>210.0</v>
      </c>
      <c r="E820" s="24">
        <v>84.0</v>
      </c>
      <c r="F820" s="169">
        <v>-65272.67</v>
      </c>
      <c r="G820" s="169">
        <v>92861.57</v>
      </c>
      <c r="H820" s="169">
        <v>77762.54</v>
      </c>
      <c r="I820" s="169">
        <v>78051.46</v>
      </c>
      <c r="J820" s="169">
        <v>-17814.79</v>
      </c>
      <c r="K820" s="169">
        <v>-69664.44</v>
      </c>
      <c r="L820" s="169">
        <v>-20026.98</v>
      </c>
      <c r="M820" s="169">
        <v>-2946.29</v>
      </c>
      <c r="N820" s="50">
        <v>71619.0</v>
      </c>
      <c r="O820" s="111">
        <v>20.0</v>
      </c>
      <c r="P820" s="168">
        <v>5.0</v>
      </c>
    </row>
    <row r="821">
      <c r="A821" s="160">
        <v>98.0</v>
      </c>
      <c r="B821" s="160">
        <v>22.0</v>
      </c>
      <c r="C821" s="170">
        <v>7817.0</v>
      </c>
      <c r="D821" s="168">
        <v>214.0</v>
      </c>
      <c r="E821" s="24">
        <v>83.0</v>
      </c>
      <c r="F821" s="169">
        <v>-5453.38</v>
      </c>
      <c r="G821" s="169">
        <v>-11358.81</v>
      </c>
      <c r="H821" s="169">
        <v>-38220.86</v>
      </c>
      <c r="I821" s="169">
        <v>-68491.93</v>
      </c>
      <c r="J821" s="169">
        <v>-1529.83</v>
      </c>
      <c r="K821" s="169">
        <v>-34552.77</v>
      </c>
      <c r="L821" s="169">
        <v>81770.24</v>
      </c>
      <c r="M821" s="169">
        <v>-21737.99</v>
      </c>
      <c r="N821" s="50">
        <v>120720.0</v>
      </c>
      <c r="O821" s="111">
        <v>21.0</v>
      </c>
      <c r="P821" s="168">
        <v>1.0</v>
      </c>
    </row>
    <row r="822">
      <c r="A822" s="160">
        <v>36.0</v>
      </c>
      <c r="B822" s="160">
        <v>80.0</v>
      </c>
      <c r="C822" s="170">
        <v>7818.0</v>
      </c>
      <c r="D822" s="168">
        <v>215.0</v>
      </c>
      <c r="E822" s="24">
        <v>98.0</v>
      </c>
      <c r="F822" s="169">
        <v>43192.45</v>
      </c>
      <c r="G822" s="169">
        <v>80591.79</v>
      </c>
      <c r="H822" s="169">
        <v>-11863.74</v>
      </c>
      <c r="I822" s="169">
        <v>50974.18</v>
      </c>
      <c r="J822" s="169">
        <v>63940.36</v>
      </c>
      <c r="K822" s="169">
        <v>-24684.32</v>
      </c>
      <c r="L822" s="169">
        <v>-98872.58</v>
      </c>
      <c r="M822" s="169">
        <v>-5390.26</v>
      </c>
      <c r="N822" s="50">
        <v>112813.0</v>
      </c>
      <c r="O822" s="111">
        <v>21.0</v>
      </c>
      <c r="P822" s="168">
        <v>1.0</v>
      </c>
    </row>
    <row r="823">
      <c r="A823" s="160">
        <v>57.0</v>
      </c>
      <c r="B823" s="160">
        <v>29.0</v>
      </c>
      <c r="C823" s="170">
        <v>7819.0</v>
      </c>
      <c r="D823" s="168">
        <v>220.0</v>
      </c>
      <c r="E823" s="24">
        <v>55.0</v>
      </c>
      <c r="F823" s="169">
        <v>7815.5</v>
      </c>
      <c r="G823" s="169">
        <v>25975.23</v>
      </c>
      <c r="H823" s="169">
        <v>-81306.78</v>
      </c>
      <c r="I823" s="169">
        <v>45005.49</v>
      </c>
      <c r="J823" s="169">
        <v>66251.51</v>
      </c>
      <c r="K823" s="169">
        <v>-19240.23</v>
      </c>
      <c r="L823" s="169">
        <v>-32466.75</v>
      </c>
      <c r="M823" s="169">
        <v>-87229.5</v>
      </c>
      <c r="N823" s="50">
        <v>50317.0</v>
      </c>
      <c r="O823" s="111">
        <v>21.0</v>
      </c>
      <c r="P823" s="168">
        <v>5.0</v>
      </c>
    </row>
    <row r="824">
      <c r="A824" s="160">
        <v>16.0</v>
      </c>
      <c r="B824" s="160">
        <v>34.0</v>
      </c>
      <c r="C824" s="147">
        <v>7820.0</v>
      </c>
      <c r="D824" s="168">
        <v>208.0</v>
      </c>
      <c r="E824" s="24">
        <v>12.0</v>
      </c>
      <c r="F824" s="169">
        <v>62781.05</v>
      </c>
      <c r="G824" s="169">
        <v>44868.53</v>
      </c>
      <c r="H824" s="169">
        <v>57655.3</v>
      </c>
      <c r="I824" s="169">
        <v>16969.48</v>
      </c>
      <c r="J824" s="169">
        <v>-98864.67</v>
      </c>
      <c r="K824" s="169">
        <v>-41522.11</v>
      </c>
      <c r="L824" s="169">
        <v>96741.19</v>
      </c>
      <c r="M824" s="169">
        <v>32456.72</v>
      </c>
      <c r="N824" s="50">
        <v>91019.0</v>
      </c>
      <c r="O824" s="111">
        <v>22.0</v>
      </c>
      <c r="P824" s="168">
        <v>8.0</v>
      </c>
    </row>
    <row r="825">
      <c r="A825" s="160">
        <v>98.0</v>
      </c>
      <c r="B825" s="160">
        <v>23.0</v>
      </c>
      <c r="C825" s="170">
        <v>7821.0</v>
      </c>
      <c r="D825" s="168">
        <v>213.0</v>
      </c>
      <c r="E825" s="24">
        <v>61.0</v>
      </c>
      <c r="F825" s="169">
        <v>-62595.61</v>
      </c>
      <c r="G825" s="169">
        <v>-73476.42</v>
      </c>
      <c r="H825" s="169">
        <v>47609.96</v>
      </c>
      <c r="I825" s="169">
        <v>64998.78</v>
      </c>
      <c r="J825" s="169">
        <v>-43107.46</v>
      </c>
      <c r="K825" s="169">
        <v>4873.78</v>
      </c>
      <c r="L825" s="169">
        <v>-63873.92</v>
      </c>
      <c r="M825" s="169">
        <v>-27568.48</v>
      </c>
      <c r="N825" s="50">
        <v>30814.0</v>
      </c>
      <c r="O825" s="111">
        <v>20.0</v>
      </c>
      <c r="P825" s="168">
        <v>5.0</v>
      </c>
    </row>
    <row r="826">
      <c r="A826" s="160">
        <v>16.0</v>
      </c>
      <c r="B826" s="160">
        <v>38.0</v>
      </c>
      <c r="C826" s="170">
        <v>7822.0</v>
      </c>
      <c r="D826" s="168">
        <v>211.0</v>
      </c>
      <c r="E826" s="24">
        <v>92.0</v>
      </c>
      <c r="F826" s="169">
        <v>60029.53</v>
      </c>
      <c r="G826" s="169">
        <v>57244.31</v>
      </c>
      <c r="H826" s="169">
        <v>21819.33</v>
      </c>
      <c r="I826" s="169">
        <v>90704.41</v>
      </c>
      <c r="J826" s="169">
        <v>-97588.12</v>
      </c>
      <c r="K826" s="169">
        <v>70921.09</v>
      </c>
      <c r="L826" s="169">
        <v>-90402.09</v>
      </c>
      <c r="M826" s="169">
        <v>-40913.68</v>
      </c>
      <c r="N826" s="50">
        <v>62113.0</v>
      </c>
      <c r="O826" s="111">
        <v>21.0</v>
      </c>
      <c r="P826" s="168">
        <v>2.0</v>
      </c>
    </row>
    <row r="827">
      <c r="A827" s="160">
        <v>16.0</v>
      </c>
      <c r="B827" s="160">
        <v>42.0</v>
      </c>
      <c r="C827" s="170">
        <v>7823.0</v>
      </c>
      <c r="D827" s="168">
        <v>217.0</v>
      </c>
      <c r="E827" s="24">
        <v>31.0</v>
      </c>
      <c r="F827" s="169">
        <v>99869.82</v>
      </c>
      <c r="G827" s="169">
        <v>-87730.37</v>
      </c>
      <c r="H827" s="169">
        <v>38480.46</v>
      </c>
      <c r="I827" s="169">
        <v>-43095.0</v>
      </c>
      <c r="J827" s="169">
        <v>50101.93</v>
      </c>
      <c r="K827" s="169">
        <v>82562.56</v>
      </c>
      <c r="L827" s="169">
        <v>192.69</v>
      </c>
      <c r="M827" s="169">
        <v>11069.02</v>
      </c>
      <c r="N827" s="50">
        <v>61113.0</v>
      </c>
      <c r="O827" s="111">
        <v>22.0</v>
      </c>
      <c r="P827" s="168">
        <v>1.0</v>
      </c>
    </row>
    <row r="828">
      <c r="A828" s="160">
        <v>36.0</v>
      </c>
      <c r="B828" s="160">
        <v>96.0</v>
      </c>
      <c r="C828" s="170">
        <v>7824.0</v>
      </c>
      <c r="D828" s="168">
        <v>202.0</v>
      </c>
      <c r="E828" s="24">
        <v>94.0</v>
      </c>
      <c r="F828" s="169">
        <v>-71693.16</v>
      </c>
      <c r="G828" s="169">
        <v>-10621.62</v>
      </c>
      <c r="H828" s="169">
        <v>-83026.93</v>
      </c>
      <c r="I828" s="169">
        <v>-26001.88</v>
      </c>
      <c r="J828" s="169">
        <v>6311.26</v>
      </c>
      <c r="K828" s="169">
        <v>-28851.56</v>
      </c>
      <c r="L828" s="169">
        <v>-91643.23</v>
      </c>
      <c r="M828" s="169">
        <v>16954.39</v>
      </c>
      <c r="N828" s="50">
        <v>82721.0</v>
      </c>
      <c r="O828" s="111">
        <v>23.0</v>
      </c>
      <c r="P828" s="168">
        <v>5.0</v>
      </c>
    </row>
    <row r="829">
      <c r="A829" s="160">
        <v>16.0</v>
      </c>
      <c r="B829" s="160">
        <v>51.0</v>
      </c>
      <c r="C829" s="147">
        <v>7825.0</v>
      </c>
      <c r="D829" s="168">
        <v>216.0</v>
      </c>
      <c r="E829" s="24">
        <v>20.0</v>
      </c>
      <c r="F829" s="169">
        <v>-87692.69</v>
      </c>
      <c r="G829" s="169">
        <v>-21751.8</v>
      </c>
      <c r="H829" s="169">
        <v>91170.6</v>
      </c>
      <c r="I829" s="169">
        <v>39667.23</v>
      </c>
      <c r="J829" s="169">
        <v>8882.57</v>
      </c>
      <c r="K829" s="169">
        <v>77242.13</v>
      </c>
      <c r="L829" s="169">
        <v>-3384.15</v>
      </c>
      <c r="M829" s="169">
        <v>91439.27</v>
      </c>
      <c r="N829" s="50">
        <v>70318.0</v>
      </c>
      <c r="O829" s="111">
        <v>23.0</v>
      </c>
      <c r="P829" s="168">
        <v>5.0</v>
      </c>
    </row>
    <row r="830">
      <c r="A830" s="160">
        <v>37.0</v>
      </c>
      <c r="B830" s="160">
        <v>0.0</v>
      </c>
      <c r="C830" s="170">
        <v>7826.0</v>
      </c>
      <c r="D830" s="168">
        <v>203.0</v>
      </c>
      <c r="E830" s="24">
        <v>82.0</v>
      </c>
      <c r="F830" s="169">
        <v>45825.0</v>
      </c>
      <c r="G830" s="169">
        <v>-42683.01</v>
      </c>
      <c r="H830" s="169">
        <v>-99490.26</v>
      </c>
      <c r="I830" s="169">
        <v>-95823.42</v>
      </c>
      <c r="J830" s="169">
        <v>42895.4</v>
      </c>
      <c r="K830" s="169">
        <v>23613.13</v>
      </c>
      <c r="L830" s="169">
        <v>74425.58</v>
      </c>
      <c r="M830" s="169">
        <v>94079.32</v>
      </c>
      <c r="N830" s="50">
        <v>110119.0</v>
      </c>
      <c r="O830" s="111">
        <v>22.0</v>
      </c>
      <c r="P830" s="168">
        <v>2.0</v>
      </c>
    </row>
    <row r="831">
      <c r="A831" s="160">
        <v>57.0</v>
      </c>
      <c r="B831" s="160">
        <v>48.0</v>
      </c>
      <c r="C831" s="170">
        <v>7827.0</v>
      </c>
      <c r="D831" s="168">
        <v>219.0</v>
      </c>
      <c r="E831" s="24">
        <v>97.0</v>
      </c>
      <c r="F831" s="169">
        <v>-11682.32</v>
      </c>
      <c r="G831" s="169">
        <v>23425.16</v>
      </c>
      <c r="H831" s="169">
        <v>-8171.16</v>
      </c>
      <c r="I831" s="169">
        <v>48497.92</v>
      </c>
      <c r="J831" s="169">
        <v>-85820.11</v>
      </c>
      <c r="K831" s="169">
        <v>-82531.65</v>
      </c>
      <c r="L831" s="169">
        <v>-46362.3</v>
      </c>
      <c r="M831" s="169">
        <v>29109.3</v>
      </c>
      <c r="N831" s="50">
        <v>121617.0</v>
      </c>
      <c r="O831" s="111">
        <v>21.0</v>
      </c>
      <c r="P831" s="168">
        <v>9.0</v>
      </c>
    </row>
    <row r="832">
      <c r="A832" s="160">
        <v>98.0</v>
      </c>
      <c r="B832" s="160">
        <v>46.0</v>
      </c>
      <c r="C832" s="170">
        <v>7828.0</v>
      </c>
      <c r="D832" s="168">
        <v>200.0</v>
      </c>
      <c r="E832" s="24">
        <v>11.0</v>
      </c>
      <c r="F832" s="169">
        <v>-30178.38</v>
      </c>
      <c r="G832" s="169">
        <v>-84022.16</v>
      </c>
      <c r="H832" s="169">
        <v>73534.02</v>
      </c>
      <c r="I832" s="169">
        <v>-34285.18</v>
      </c>
      <c r="J832" s="169">
        <v>-11476.03</v>
      </c>
      <c r="K832" s="169">
        <v>74807.87</v>
      </c>
      <c r="L832" s="169">
        <v>-69266.36</v>
      </c>
      <c r="M832" s="169">
        <v>-17806.36</v>
      </c>
      <c r="N832" s="50">
        <v>12414.0</v>
      </c>
      <c r="O832" s="111">
        <v>22.0</v>
      </c>
      <c r="P832" s="168">
        <v>7.0</v>
      </c>
    </row>
    <row r="833">
      <c r="A833" s="160">
        <v>37.0</v>
      </c>
      <c r="B833" s="160">
        <v>5.0</v>
      </c>
      <c r="C833" s="170">
        <v>7829.0</v>
      </c>
      <c r="D833" s="168">
        <v>212.0</v>
      </c>
      <c r="E833" s="24">
        <v>48.0</v>
      </c>
      <c r="F833" s="169">
        <v>70136.82</v>
      </c>
      <c r="G833" s="169">
        <v>27154.4</v>
      </c>
      <c r="H833" s="169">
        <v>-92138.89</v>
      </c>
      <c r="I833" s="169">
        <v>-62558.26</v>
      </c>
      <c r="J833" s="169">
        <v>-33131.43</v>
      </c>
      <c r="K833" s="169">
        <v>-93095.01</v>
      </c>
      <c r="L833" s="169">
        <v>-40827.01</v>
      </c>
      <c r="M833" s="169">
        <v>55969.35</v>
      </c>
      <c r="N833" s="50">
        <v>12515.0</v>
      </c>
      <c r="O833" s="111">
        <v>20.0</v>
      </c>
      <c r="P833" s="168">
        <v>3.0</v>
      </c>
    </row>
    <row r="834">
      <c r="A834" s="160">
        <v>57.0</v>
      </c>
      <c r="B834" s="160">
        <v>55.0</v>
      </c>
      <c r="C834" s="147">
        <v>7830.0</v>
      </c>
      <c r="D834" s="168">
        <v>204.0</v>
      </c>
      <c r="E834" s="24">
        <v>91.0</v>
      </c>
      <c r="F834" s="169">
        <v>-88023.32</v>
      </c>
      <c r="G834" s="169">
        <v>85604.45</v>
      </c>
      <c r="H834" s="169">
        <v>-13341.91</v>
      </c>
      <c r="I834" s="169">
        <v>-66172.88</v>
      </c>
      <c r="J834" s="169">
        <v>-77136.21</v>
      </c>
      <c r="K834" s="169">
        <v>7316.32</v>
      </c>
      <c r="L834" s="169">
        <v>-60035.43</v>
      </c>
      <c r="M834" s="169">
        <v>-53264.86</v>
      </c>
      <c r="N834" s="50">
        <v>80813.0</v>
      </c>
      <c r="O834" s="111">
        <v>22.0</v>
      </c>
      <c r="P834" s="168">
        <v>6.0</v>
      </c>
    </row>
    <row r="835">
      <c r="A835" s="160">
        <v>16.0</v>
      </c>
      <c r="B835" s="160">
        <v>59.0</v>
      </c>
      <c r="C835" s="170">
        <v>7831.0</v>
      </c>
      <c r="D835" s="168">
        <v>213.0</v>
      </c>
      <c r="E835" s="24">
        <v>96.0</v>
      </c>
      <c r="F835" s="169">
        <v>-21457.22</v>
      </c>
      <c r="G835" s="169">
        <v>75934.33</v>
      </c>
      <c r="H835" s="169">
        <v>34811.99</v>
      </c>
      <c r="I835" s="169">
        <v>7953.43</v>
      </c>
      <c r="J835" s="169">
        <v>-1521.01</v>
      </c>
      <c r="K835" s="169">
        <v>26527.05</v>
      </c>
      <c r="L835" s="169">
        <v>-12753.54</v>
      </c>
      <c r="M835" s="169">
        <v>-55058.96</v>
      </c>
      <c r="N835" s="50">
        <v>92813.0</v>
      </c>
      <c r="O835" s="111">
        <v>21.0</v>
      </c>
      <c r="P835" s="168">
        <v>2.0</v>
      </c>
    </row>
    <row r="836">
      <c r="A836" s="160">
        <v>57.0</v>
      </c>
      <c r="B836" s="160">
        <v>59.0</v>
      </c>
      <c r="C836" s="170">
        <v>7832.0</v>
      </c>
      <c r="D836" s="168">
        <v>211.0</v>
      </c>
      <c r="E836" s="24">
        <v>69.0</v>
      </c>
      <c r="F836" s="169">
        <v>-20296.61</v>
      </c>
      <c r="G836" s="169">
        <v>-84230.42</v>
      </c>
      <c r="H836" s="169">
        <v>69636.92</v>
      </c>
      <c r="I836" s="169">
        <v>-50889.42</v>
      </c>
      <c r="J836" s="169">
        <v>98838.2</v>
      </c>
      <c r="K836" s="169">
        <v>70580.19</v>
      </c>
      <c r="L836" s="169">
        <v>15091.99</v>
      </c>
      <c r="M836" s="169">
        <v>-12024.19</v>
      </c>
      <c r="N836" s="50">
        <v>42320.0</v>
      </c>
      <c r="O836" s="111">
        <v>22.0</v>
      </c>
      <c r="P836" s="168">
        <v>1.0</v>
      </c>
    </row>
    <row r="837">
      <c r="A837" s="160">
        <v>78.0</v>
      </c>
      <c r="B837" s="160">
        <v>7.0</v>
      </c>
      <c r="C837" s="170">
        <v>7833.0</v>
      </c>
      <c r="D837" s="168">
        <v>216.0</v>
      </c>
      <c r="E837" s="24">
        <v>36.0</v>
      </c>
      <c r="F837" s="169">
        <v>55497.02</v>
      </c>
      <c r="G837" s="169">
        <v>-91955.62</v>
      </c>
      <c r="H837" s="169">
        <v>-77855.56</v>
      </c>
      <c r="I837" s="169">
        <v>-53032.11</v>
      </c>
      <c r="J837" s="169">
        <v>13987.66</v>
      </c>
      <c r="K837" s="169">
        <v>91079.94</v>
      </c>
      <c r="L837" s="169">
        <v>-32607.37</v>
      </c>
      <c r="M837" s="169">
        <v>67592.83</v>
      </c>
      <c r="N837" s="50">
        <v>13114.0</v>
      </c>
      <c r="O837" s="111">
        <v>21.0</v>
      </c>
      <c r="P837" s="168">
        <v>8.0</v>
      </c>
    </row>
    <row r="838">
      <c r="A838" s="160">
        <v>37.0</v>
      </c>
      <c r="B838" s="160">
        <v>13.0</v>
      </c>
      <c r="C838" s="170">
        <v>7834.0</v>
      </c>
      <c r="D838" s="168">
        <v>210.0</v>
      </c>
      <c r="E838" s="24">
        <v>66.0</v>
      </c>
      <c r="F838" s="169">
        <v>-44979.39</v>
      </c>
      <c r="G838" s="169">
        <v>10394.68</v>
      </c>
      <c r="H838" s="169">
        <v>85536.82</v>
      </c>
      <c r="I838" s="169">
        <v>-48702.39</v>
      </c>
      <c r="J838" s="169">
        <v>-94764.58</v>
      </c>
      <c r="K838" s="169">
        <v>68027.4</v>
      </c>
      <c r="L838" s="169">
        <v>70929.38</v>
      </c>
      <c r="M838" s="169">
        <v>53442.71</v>
      </c>
      <c r="N838" s="50">
        <v>82319.0</v>
      </c>
      <c r="O838" s="111">
        <v>21.0</v>
      </c>
      <c r="P838" s="168">
        <v>2.0</v>
      </c>
    </row>
    <row r="839">
      <c r="A839" s="160">
        <v>98.0</v>
      </c>
      <c r="B839" s="160">
        <v>58.0</v>
      </c>
      <c r="C839" s="147">
        <v>7835.0</v>
      </c>
      <c r="D839" s="168">
        <v>204.0</v>
      </c>
      <c r="E839" s="24">
        <v>79.0</v>
      </c>
      <c r="F839" s="169">
        <v>-15827.84</v>
      </c>
      <c r="G839" s="169">
        <v>45153.38</v>
      </c>
      <c r="H839" s="169">
        <v>71916.08</v>
      </c>
      <c r="I839" s="169">
        <v>89236.56</v>
      </c>
      <c r="J839" s="169">
        <v>-81637.73</v>
      </c>
      <c r="K839" s="169">
        <v>91527.81</v>
      </c>
      <c r="L839" s="169">
        <v>-48654.5</v>
      </c>
      <c r="M839" s="169">
        <v>2082.5</v>
      </c>
      <c r="N839" s="50">
        <v>51220.0</v>
      </c>
      <c r="O839" s="111">
        <v>21.0</v>
      </c>
      <c r="P839" s="168">
        <v>9.0</v>
      </c>
    </row>
    <row r="840">
      <c r="A840" s="160">
        <v>57.0</v>
      </c>
      <c r="B840" s="160">
        <v>69.0</v>
      </c>
      <c r="C840" s="170">
        <v>7836.0</v>
      </c>
      <c r="D840" s="168">
        <v>205.0</v>
      </c>
      <c r="E840" s="24">
        <v>63.0</v>
      </c>
      <c r="F840" s="169">
        <v>-63906.36</v>
      </c>
      <c r="G840" s="169">
        <v>-42038.5</v>
      </c>
      <c r="H840" s="169">
        <v>-4274.64</v>
      </c>
      <c r="I840" s="169">
        <v>-2977.09</v>
      </c>
      <c r="J840" s="169">
        <v>94758.32</v>
      </c>
      <c r="K840" s="169">
        <v>-96646.93</v>
      </c>
      <c r="L840" s="169">
        <v>29267.2</v>
      </c>
      <c r="M840" s="169">
        <v>3686.81</v>
      </c>
      <c r="N840" s="50">
        <v>20917.0</v>
      </c>
      <c r="O840" s="111">
        <v>23.0</v>
      </c>
      <c r="P840" s="168">
        <v>3.0</v>
      </c>
    </row>
    <row r="841">
      <c r="A841" s="160">
        <v>98.0</v>
      </c>
      <c r="B841" s="160">
        <v>68.0</v>
      </c>
      <c r="C841" s="170">
        <v>7837.0</v>
      </c>
      <c r="D841" s="168">
        <v>208.0</v>
      </c>
      <c r="E841" s="24">
        <v>35.0</v>
      </c>
      <c r="F841" s="169">
        <v>-38475.63</v>
      </c>
      <c r="G841" s="169">
        <v>75216.9</v>
      </c>
      <c r="H841" s="169">
        <v>-78347.14</v>
      </c>
      <c r="I841" s="169">
        <v>-99425.74</v>
      </c>
      <c r="J841" s="169">
        <v>55302.28</v>
      </c>
      <c r="K841" s="169">
        <v>82085.96</v>
      </c>
      <c r="L841" s="169">
        <v>20709.41</v>
      </c>
      <c r="M841" s="169">
        <v>-68331.62</v>
      </c>
      <c r="N841" s="50">
        <v>52220.0</v>
      </c>
      <c r="O841" s="111">
        <v>20.0</v>
      </c>
      <c r="P841" s="168">
        <v>5.0</v>
      </c>
    </row>
    <row r="842">
      <c r="A842" s="160">
        <v>16.0</v>
      </c>
      <c r="B842" s="160">
        <v>77.0</v>
      </c>
      <c r="C842" s="170">
        <v>7838.0</v>
      </c>
      <c r="D842" s="168">
        <v>205.0</v>
      </c>
      <c r="E842" s="24">
        <v>77.0</v>
      </c>
      <c r="F842" s="169">
        <v>55710.03</v>
      </c>
      <c r="G842" s="169">
        <v>-18757.1</v>
      </c>
      <c r="H842" s="169">
        <v>-88772.29</v>
      </c>
      <c r="I842" s="169">
        <v>-18444.46</v>
      </c>
      <c r="J842" s="169">
        <v>90271.43</v>
      </c>
      <c r="K842" s="169">
        <v>84008.48</v>
      </c>
      <c r="L842" s="169">
        <v>-65072.64</v>
      </c>
      <c r="M842" s="169">
        <v>93240.73</v>
      </c>
      <c r="N842" s="50">
        <v>100822.0</v>
      </c>
      <c r="O842" s="111">
        <v>20.0</v>
      </c>
      <c r="P842" s="168">
        <v>3.0</v>
      </c>
    </row>
    <row r="843">
      <c r="A843" s="160">
        <v>98.0</v>
      </c>
      <c r="B843" s="160">
        <v>69.0</v>
      </c>
      <c r="C843" s="170">
        <v>7839.0</v>
      </c>
      <c r="D843" s="168">
        <v>218.0</v>
      </c>
      <c r="E843" s="24">
        <v>31.0</v>
      </c>
      <c r="F843" s="169">
        <v>-49891.38</v>
      </c>
      <c r="G843" s="169">
        <v>-21165.86</v>
      </c>
      <c r="H843" s="169">
        <v>-80270.99</v>
      </c>
      <c r="I843" s="169">
        <v>47029.24</v>
      </c>
      <c r="J843" s="169">
        <v>17505.31</v>
      </c>
      <c r="K843" s="169">
        <v>-37874.13</v>
      </c>
      <c r="L843" s="169">
        <v>-23263.28</v>
      </c>
      <c r="M843" s="169">
        <v>-72504.37</v>
      </c>
      <c r="N843" s="50">
        <v>42121.0</v>
      </c>
      <c r="O843" s="111">
        <v>23.0</v>
      </c>
      <c r="P843" s="168">
        <v>1.0</v>
      </c>
    </row>
    <row r="844">
      <c r="A844" s="160">
        <v>78.0</v>
      </c>
      <c r="B844" s="160">
        <v>23.0</v>
      </c>
      <c r="C844" s="147">
        <v>7840.0</v>
      </c>
      <c r="D844" s="168">
        <v>202.0</v>
      </c>
      <c r="E844" s="24">
        <v>25.0</v>
      </c>
      <c r="F844" s="169">
        <v>-30880.82</v>
      </c>
      <c r="G844" s="169">
        <v>12998.24</v>
      </c>
      <c r="H844" s="169">
        <v>-83286.21</v>
      </c>
      <c r="I844" s="169">
        <v>-59202.81</v>
      </c>
      <c r="J844" s="169">
        <v>27056.13</v>
      </c>
      <c r="K844" s="169">
        <v>4394.23</v>
      </c>
      <c r="L844" s="169">
        <v>-86050.22</v>
      </c>
      <c r="M844" s="169">
        <v>-50319.43</v>
      </c>
      <c r="N844" s="50">
        <v>30316.0</v>
      </c>
      <c r="O844" s="111">
        <v>20.0</v>
      </c>
      <c r="P844" s="168">
        <v>3.0</v>
      </c>
    </row>
    <row r="845">
      <c r="A845" s="160">
        <v>37.0</v>
      </c>
      <c r="B845" s="160">
        <v>26.0</v>
      </c>
      <c r="C845" s="170">
        <v>7841.0</v>
      </c>
      <c r="D845" s="168">
        <v>200.0</v>
      </c>
      <c r="E845" s="24">
        <v>38.0</v>
      </c>
      <c r="F845" s="169">
        <v>-47992.87</v>
      </c>
      <c r="G845" s="169">
        <v>-94323.73</v>
      </c>
      <c r="H845" s="169">
        <v>42030.02</v>
      </c>
      <c r="I845" s="169">
        <v>-38486.13</v>
      </c>
      <c r="J845" s="169">
        <v>518.49</v>
      </c>
      <c r="K845" s="169">
        <v>81685.89</v>
      </c>
      <c r="L845" s="169">
        <v>-1504.13</v>
      </c>
      <c r="M845" s="169">
        <v>77200.68</v>
      </c>
      <c r="N845" s="50">
        <v>31820.0</v>
      </c>
      <c r="O845" s="111">
        <v>21.0</v>
      </c>
      <c r="P845" s="168">
        <v>8.0</v>
      </c>
    </row>
    <row r="846">
      <c r="A846" s="160">
        <v>98.0</v>
      </c>
      <c r="B846" s="160">
        <v>77.0</v>
      </c>
      <c r="C846" s="170">
        <v>7842.0</v>
      </c>
      <c r="D846" s="168">
        <v>217.0</v>
      </c>
      <c r="E846" s="24">
        <v>52.0</v>
      </c>
      <c r="F846" s="169">
        <v>42418.54</v>
      </c>
      <c r="G846" s="169">
        <v>-55747.63</v>
      </c>
      <c r="H846" s="169">
        <v>42870.85</v>
      </c>
      <c r="I846" s="169">
        <v>27273.77</v>
      </c>
      <c r="J846" s="169">
        <v>17928.6</v>
      </c>
      <c r="K846" s="169">
        <v>27972.43</v>
      </c>
      <c r="L846" s="169">
        <v>14504.44</v>
      </c>
      <c r="M846" s="169">
        <v>17827.16</v>
      </c>
      <c r="N846" s="50">
        <v>11219.0</v>
      </c>
      <c r="O846" s="111">
        <v>23.0</v>
      </c>
      <c r="P846" s="168">
        <v>3.0</v>
      </c>
    </row>
    <row r="847">
      <c r="A847" s="160">
        <v>78.0</v>
      </c>
      <c r="B847" s="160">
        <v>37.0</v>
      </c>
      <c r="C847" s="170">
        <v>7843.0</v>
      </c>
      <c r="D847" s="168">
        <v>207.0</v>
      </c>
      <c r="E847" s="24">
        <v>22.0</v>
      </c>
      <c r="F847" s="169">
        <v>62628.96</v>
      </c>
      <c r="G847" s="169">
        <v>21940.84</v>
      </c>
      <c r="H847" s="169">
        <v>-57849.41</v>
      </c>
      <c r="I847" s="169">
        <v>-42014.1</v>
      </c>
      <c r="J847" s="169">
        <v>89834.31</v>
      </c>
      <c r="K847" s="169">
        <v>-70354.85</v>
      </c>
      <c r="L847" s="169">
        <v>12049.21</v>
      </c>
      <c r="M847" s="169">
        <v>-83621.98</v>
      </c>
      <c r="N847" s="50">
        <v>71314.0</v>
      </c>
      <c r="O847" s="111">
        <v>22.0</v>
      </c>
      <c r="P847" s="168">
        <v>5.0</v>
      </c>
    </row>
    <row r="848">
      <c r="A848" s="160">
        <v>78.0</v>
      </c>
      <c r="B848" s="160">
        <v>38.0</v>
      </c>
      <c r="C848" s="170">
        <v>7844.0</v>
      </c>
      <c r="D848" s="168">
        <v>216.0</v>
      </c>
      <c r="E848" s="24">
        <v>77.0</v>
      </c>
      <c r="F848" s="169">
        <v>-5103.35</v>
      </c>
      <c r="G848" s="169">
        <v>45375.72</v>
      </c>
      <c r="H848" s="169">
        <v>2224.9</v>
      </c>
      <c r="I848" s="169">
        <v>-5444.17</v>
      </c>
      <c r="J848" s="169">
        <v>-105.59</v>
      </c>
      <c r="K848" s="169">
        <v>13859.55</v>
      </c>
      <c r="L848" s="169">
        <v>6654.81</v>
      </c>
      <c r="M848" s="169">
        <v>83838.03</v>
      </c>
      <c r="N848" s="50">
        <v>53022.0</v>
      </c>
      <c r="O848" s="111">
        <v>23.0</v>
      </c>
      <c r="P848" s="168">
        <v>4.0</v>
      </c>
    </row>
    <row r="849">
      <c r="A849" s="160">
        <v>98.0</v>
      </c>
      <c r="B849" s="160">
        <v>88.0</v>
      </c>
      <c r="C849" s="147">
        <v>7845.0</v>
      </c>
      <c r="D849" s="168">
        <v>209.0</v>
      </c>
      <c r="E849" s="24">
        <v>10.0</v>
      </c>
      <c r="F849" s="169">
        <v>22729.68</v>
      </c>
      <c r="G849" s="169">
        <v>99461.7</v>
      </c>
      <c r="H849" s="169">
        <v>-69950.34</v>
      </c>
      <c r="I849" s="169">
        <v>80821.17</v>
      </c>
      <c r="J849" s="169">
        <v>20813.38</v>
      </c>
      <c r="K849" s="169">
        <v>-14246.78</v>
      </c>
      <c r="L849" s="169">
        <v>29896.58</v>
      </c>
      <c r="M849" s="169">
        <v>-29904.57</v>
      </c>
      <c r="N849" s="50">
        <v>111919.0</v>
      </c>
      <c r="O849" s="111">
        <v>22.0</v>
      </c>
      <c r="P849" s="168">
        <v>5.0</v>
      </c>
    </row>
    <row r="850">
      <c r="A850" s="160">
        <v>16.0</v>
      </c>
      <c r="B850" s="160">
        <v>96.0</v>
      </c>
      <c r="C850" s="170">
        <v>7846.0</v>
      </c>
      <c r="D850" s="168">
        <v>219.0</v>
      </c>
      <c r="E850" s="24">
        <v>65.0</v>
      </c>
      <c r="F850" s="169">
        <v>78752.08</v>
      </c>
      <c r="G850" s="169">
        <v>92255.8</v>
      </c>
      <c r="H850" s="169">
        <v>81281.95</v>
      </c>
      <c r="I850" s="169">
        <v>-25555.46</v>
      </c>
      <c r="J850" s="169">
        <v>14862.88</v>
      </c>
      <c r="K850" s="169">
        <v>45592.84</v>
      </c>
      <c r="L850" s="169">
        <v>62291.25</v>
      </c>
      <c r="M850" s="169">
        <v>-15370.25</v>
      </c>
      <c r="N850" s="50">
        <v>103118.0</v>
      </c>
      <c r="O850" s="111">
        <v>21.0</v>
      </c>
      <c r="P850" s="168">
        <v>6.0</v>
      </c>
    </row>
    <row r="851">
      <c r="A851" s="160">
        <v>78.0</v>
      </c>
      <c r="B851" s="160">
        <v>40.0</v>
      </c>
      <c r="C851" s="170">
        <v>7847.0</v>
      </c>
      <c r="D851" s="168">
        <v>205.0</v>
      </c>
      <c r="E851" s="24">
        <v>12.0</v>
      </c>
      <c r="F851" s="169">
        <v>-45094.09</v>
      </c>
      <c r="G851" s="169">
        <v>30538.7</v>
      </c>
      <c r="H851" s="169">
        <v>60872.44</v>
      </c>
      <c r="I851" s="169">
        <v>-64036.53</v>
      </c>
      <c r="J851" s="169">
        <v>-29609.2</v>
      </c>
      <c r="K851" s="169">
        <v>-62894.16</v>
      </c>
      <c r="L851" s="169">
        <v>-25145.55</v>
      </c>
      <c r="M851" s="169">
        <v>85870.16</v>
      </c>
      <c r="N851" s="50">
        <v>30618.0</v>
      </c>
      <c r="O851" s="111">
        <v>23.0</v>
      </c>
      <c r="P851" s="168">
        <v>6.0</v>
      </c>
    </row>
    <row r="852">
      <c r="A852" s="160">
        <v>57.0</v>
      </c>
      <c r="B852" s="160">
        <v>96.0</v>
      </c>
      <c r="C852" s="170">
        <v>7848.0</v>
      </c>
      <c r="D852" s="168">
        <v>220.0</v>
      </c>
      <c r="E852" s="24">
        <v>91.0</v>
      </c>
      <c r="F852" s="169">
        <v>-39659.37</v>
      </c>
      <c r="G852" s="169">
        <v>-19963.2</v>
      </c>
      <c r="H852" s="169">
        <v>-84855.16</v>
      </c>
      <c r="I852" s="169">
        <v>-32808.13</v>
      </c>
      <c r="J852" s="169">
        <v>-22585.8</v>
      </c>
      <c r="K852" s="169">
        <v>66224.77</v>
      </c>
      <c r="L852" s="169">
        <v>-12634.65</v>
      </c>
      <c r="M852" s="169">
        <v>47159.8</v>
      </c>
      <c r="N852" s="50">
        <v>90922.0</v>
      </c>
      <c r="O852" s="111">
        <v>21.0</v>
      </c>
      <c r="P852" s="168">
        <v>2.0</v>
      </c>
    </row>
    <row r="853">
      <c r="A853" s="160">
        <v>17.0</v>
      </c>
      <c r="B853" s="160">
        <v>4.0</v>
      </c>
      <c r="C853" s="170">
        <v>7849.0</v>
      </c>
      <c r="D853" s="168">
        <v>208.0</v>
      </c>
      <c r="E853" s="24">
        <v>65.0</v>
      </c>
      <c r="F853" s="169">
        <v>33709.62</v>
      </c>
      <c r="G853" s="169">
        <v>-7433.67</v>
      </c>
      <c r="H853" s="169">
        <v>43032.96</v>
      </c>
      <c r="I853" s="169">
        <v>-93242.5</v>
      </c>
      <c r="J853" s="169">
        <v>21821.94</v>
      </c>
      <c r="K853" s="169">
        <v>93196.36</v>
      </c>
      <c r="L853" s="169">
        <v>-14919.72</v>
      </c>
      <c r="M853" s="169">
        <v>-93088.58</v>
      </c>
      <c r="N853" s="50">
        <v>111620.0</v>
      </c>
      <c r="O853" s="111">
        <v>21.0</v>
      </c>
      <c r="P853" s="168">
        <v>8.0</v>
      </c>
    </row>
    <row r="854">
      <c r="A854" s="160">
        <v>58.0</v>
      </c>
      <c r="B854" s="160">
        <v>3.0</v>
      </c>
      <c r="C854" s="147">
        <v>7850.0</v>
      </c>
      <c r="D854" s="168">
        <v>208.0</v>
      </c>
      <c r="E854" s="24">
        <v>52.0</v>
      </c>
      <c r="F854" s="169">
        <v>49942.18</v>
      </c>
      <c r="G854" s="169">
        <v>-43507.02</v>
      </c>
      <c r="H854" s="169">
        <v>67107.61</v>
      </c>
      <c r="I854" s="169">
        <v>3452.92</v>
      </c>
      <c r="J854" s="169">
        <v>36932.63</v>
      </c>
      <c r="K854" s="169">
        <v>-69059.03</v>
      </c>
      <c r="L854" s="169">
        <v>-41857.59</v>
      </c>
      <c r="M854" s="169">
        <v>4210.98</v>
      </c>
      <c r="N854" s="50">
        <v>60417.0</v>
      </c>
      <c r="O854" s="111">
        <v>21.0</v>
      </c>
      <c r="P854" s="168">
        <v>5.0</v>
      </c>
    </row>
    <row r="855">
      <c r="A855" s="160">
        <v>99.0</v>
      </c>
      <c r="B855" s="160">
        <v>5.0</v>
      </c>
      <c r="C855" s="170">
        <v>7851.0</v>
      </c>
      <c r="D855" s="168">
        <v>201.0</v>
      </c>
      <c r="E855" s="24">
        <v>32.0</v>
      </c>
      <c r="F855" s="169">
        <v>49894.93</v>
      </c>
      <c r="G855" s="169">
        <v>21044.91</v>
      </c>
      <c r="H855" s="169">
        <v>92499.32</v>
      </c>
      <c r="I855" s="169">
        <v>86284.2</v>
      </c>
      <c r="J855" s="169">
        <v>70384.97</v>
      </c>
      <c r="K855" s="169">
        <v>17489.09</v>
      </c>
      <c r="L855" s="169">
        <v>17998.4</v>
      </c>
      <c r="M855" s="169">
        <v>74494.33</v>
      </c>
      <c r="N855" s="50">
        <v>80915.0</v>
      </c>
      <c r="O855" s="111">
        <v>22.0</v>
      </c>
      <c r="P855" s="168">
        <v>5.0</v>
      </c>
    </row>
    <row r="856">
      <c r="A856" s="160">
        <v>58.0</v>
      </c>
      <c r="B856" s="160">
        <v>10.0</v>
      </c>
      <c r="C856" s="170">
        <v>7852.0</v>
      </c>
      <c r="D856" s="168">
        <v>205.0</v>
      </c>
      <c r="E856" s="24">
        <v>54.0</v>
      </c>
      <c r="F856" s="169">
        <v>37926.86</v>
      </c>
      <c r="G856" s="169">
        <v>-89633.3</v>
      </c>
      <c r="H856" s="169">
        <v>50918.28</v>
      </c>
      <c r="I856" s="169">
        <v>-14708.01</v>
      </c>
      <c r="J856" s="169">
        <v>71651.48</v>
      </c>
      <c r="K856" s="169">
        <v>-99167.2</v>
      </c>
      <c r="L856" s="169">
        <v>24696.17</v>
      </c>
      <c r="M856" s="169">
        <v>74798.84</v>
      </c>
      <c r="N856" s="50">
        <v>30720.0</v>
      </c>
      <c r="O856" s="111">
        <v>23.0</v>
      </c>
      <c r="P856" s="168">
        <v>3.0</v>
      </c>
    </row>
    <row r="857">
      <c r="A857" s="160">
        <v>78.0</v>
      </c>
      <c r="B857" s="160">
        <v>59.0</v>
      </c>
      <c r="C857" s="170">
        <v>7853.0</v>
      </c>
      <c r="D857" s="168">
        <v>209.0</v>
      </c>
      <c r="E857" s="24">
        <v>99.0</v>
      </c>
      <c r="F857" s="169">
        <v>60800.53</v>
      </c>
      <c r="G857" s="169">
        <v>17281.85</v>
      </c>
      <c r="H857" s="169">
        <v>91868.13</v>
      </c>
      <c r="I857" s="169">
        <v>28388.22</v>
      </c>
      <c r="J857" s="169">
        <v>-51278.09</v>
      </c>
      <c r="K857" s="169">
        <v>-69766.68</v>
      </c>
      <c r="L857" s="169">
        <v>14710.5</v>
      </c>
      <c r="M857" s="169">
        <v>-57162.64</v>
      </c>
      <c r="N857" s="50">
        <v>82113.0</v>
      </c>
      <c r="O857" s="111">
        <v>22.0</v>
      </c>
      <c r="P857" s="168">
        <v>5.0</v>
      </c>
    </row>
    <row r="858">
      <c r="A858" s="160">
        <v>99.0</v>
      </c>
      <c r="B858" s="160">
        <v>13.0</v>
      </c>
      <c r="C858" s="170">
        <v>7854.0</v>
      </c>
      <c r="D858" s="168">
        <v>217.0</v>
      </c>
      <c r="E858" s="24">
        <v>78.0</v>
      </c>
      <c r="F858" s="169">
        <v>87813.6</v>
      </c>
      <c r="G858" s="169">
        <v>61329.35</v>
      </c>
      <c r="H858" s="169">
        <v>65555.62</v>
      </c>
      <c r="I858" s="169">
        <v>-95742.77</v>
      </c>
      <c r="J858" s="169">
        <v>71213.19</v>
      </c>
      <c r="K858" s="169">
        <v>69925.0</v>
      </c>
      <c r="L858" s="169">
        <v>53986.07</v>
      </c>
      <c r="M858" s="169">
        <v>31014.75</v>
      </c>
      <c r="N858" s="50">
        <v>53119.0</v>
      </c>
      <c r="O858" s="111">
        <v>20.0</v>
      </c>
      <c r="P858" s="168">
        <v>9.0</v>
      </c>
    </row>
    <row r="859">
      <c r="A859" s="160">
        <v>78.0</v>
      </c>
      <c r="B859" s="160">
        <v>68.0</v>
      </c>
      <c r="C859" s="147">
        <v>7855.0</v>
      </c>
      <c r="D859" s="168">
        <v>200.0</v>
      </c>
      <c r="E859" s="24">
        <v>58.0</v>
      </c>
      <c r="F859" s="169">
        <v>79126.98</v>
      </c>
      <c r="G859" s="169">
        <v>-34418.87</v>
      </c>
      <c r="H859" s="169">
        <v>-5298.91</v>
      </c>
      <c r="I859" s="169">
        <v>-67957.94</v>
      </c>
      <c r="J859" s="169">
        <v>-7535.05</v>
      </c>
      <c r="K859" s="169">
        <v>89852.55</v>
      </c>
      <c r="L859" s="169">
        <v>2592.89</v>
      </c>
      <c r="M859" s="169">
        <v>-45266.42</v>
      </c>
      <c r="N859" s="50">
        <v>71815.0</v>
      </c>
      <c r="O859" s="111">
        <v>23.0</v>
      </c>
      <c r="P859" s="168">
        <v>8.0</v>
      </c>
    </row>
    <row r="860">
      <c r="A860" s="160">
        <v>17.0</v>
      </c>
      <c r="B860" s="160">
        <v>25.0</v>
      </c>
      <c r="C860" s="170">
        <v>7856.0</v>
      </c>
      <c r="D860" s="168">
        <v>217.0</v>
      </c>
      <c r="E860" s="24">
        <v>60.0</v>
      </c>
      <c r="F860" s="169">
        <v>10462.96</v>
      </c>
      <c r="G860" s="169">
        <v>85405.29</v>
      </c>
      <c r="H860" s="169">
        <v>-62349.03</v>
      </c>
      <c r="I860" s="169">
        <v>39098.63</v>
      </c>
      <c r="J860" s="169">
        <v>-42182.66</v>
      </c>
      <c r="K860" s="169">
        <v>10073.04</v>
      </c>
      <c r="L860" s="169">
        <v>-35768.94</v>
      </c>
      <c r="M860" s="169">
        <v>-78662.44</v>
      </c>
      <c r="N860" s="50">
        <v>51717.0</v>
      </c>
      <c r="O860" s="111">
        <v>20.0</v>
      </c>
      <c r="P860" s="168">
        <v>1.0</v>
      </c>
    </row>
    <row r="861">
      <c r="A861" s="160">
        <v>17.0</v>
      </c>
      <c r="B861" s="160">
        <v>26.0</v>
      </c>
      <c r="C861" s="170">
        <v>7857.0</v>
      </c>
      <c r="D861" s="168">
        <v>201.0</v>
      </c>
      <c r="E861" s="24">
        <v>39.0</v>
      </c>
      <c r="F861" s="169">
        <v>-19418.11</v>
      </c>
      <c r="G861" s="169">
        <v>-50345.08</v>
      </c>
      <c r="H861" s="169">
        <v>73595.16</v>
      </c>
      <c r="I861" s="169">
        <v>-32035.98</v>
      </c>
      <c r="J861" s="169">
        <v>9662.76</v>
      </c>
      <c r="K861" s="169">
        <v>59113.3</v>
      </c>
      <c r="L861" s="169">
        <v>-85736.41</v>
      </c>
      <c r="M861" s="169">
        <v>2146.85</v>
      </c>
      <c r="N861" s="50">
        <v>72713.0</v>
      </c>
      <c r="O861" s="111">
        <v>21.0</v>
      </c>
      <c r="P861" s="168">
        <v>2.0</v>
      </c>
    </row>
    <row r="862">
      <c r="A862" s="160">
        <v>58.0</v>
      </c>
      <c r="B862" s="160">
        <v>22.0</v>
      </c>
      <c r="C862" s="170">
        <v>7858.0</v>
      </c>
      <c r="D862" s="168">
        <v>202.0</v>
      </c>
      <c r="E862" s="24">
        <v>95.0</v>
      </c>
      <c r="F862" s="169">
        <v>-27682.38</v>
      </c>
      <c r="G862" s="169">
        <v>-43638.44</v>
      </c>
      <c r="H862" s="169">
        <v>34522.09</v>
      </c>
      <c r="I862" s="169">
        <v>-69864.57</v>
      </c>
      <c r="J862" s="169">
        <v>-8986.45</v>
      </c>
      <c r="K862" s="169">
        <v>-46765.97</v>
      </c>
      <c r="L862" s="169">
        <v>-9250.49</v>
      </c>
      <c r="M862" s="169">
        <v>-82868.96</v>
      </c>
      <c r="N862" s="50">
        <v>82015.0</v>
      </c>
      <c r="O862" s="111">
        <v>23.0</v>
      </c>
      <c r="P862" s="168">
        <v>4.0</v>
      </c>
    </row>
    <row r="863">
      <c r="A863" s="160">
        <v>78.0</v>
      </c>
      <c r="B863" s="160">
        <v>73.0</v>
      </c>
      <c r="C863" s="170">
        <v>7859.0</v>
      </c>
      <c r="D863" s="168">
        <v>200.0</v>
      </c>
      <c r="E863" s="24">
        <v>89.0</v>
      </c>
      <c r="F863" s="169">
        <v>-56546.29</v>
      </c>
      <c r="G863" s="169">
        <v>25925.35</v>
      </c>
      <c r="H863" s="169">
        <v>-97467.12</v>
      </c>
      <c r="I863" s="169">
        <v>46034.79</v>
      </c>
      <c r="J863" s="169">
        <v>-93754.48</v>
      </c>
      <c r="K863" s="169">
        <v>-45285.14</v>
      </c>
      <c r="L863" s="169">
        <v>76114.94</v>
      </c>
      <c r="M863" s="169">
        <v>-34309.34</v>
      </c>
      <c r="N863" s="50">
        <v>120917.0</v>
      </c>
      <c r="O863" s="111">
        <v>23.0</v>
      </c>
      <c r="P863" s="168">
        <v>3.0</v>
      </c>
    </row>
    <row r="864">
      <c r="A864" s="160">
        <v>58.0</v>
      </c>
      <c r="B864" s="160">
        <v>27.0</v>
      </c>
      <c r="C864" s="147">
        <v>7860.0</v>
      </c>
      <c r="D864" s="168">
        <v>214.0</v>
      </c>
      <c r="E864" s="24">
        <v>23.0</v>
      </c>
      <c r="F864" s="169">
        <v>-4692.96</v>
      </c>
      <c r="G864" s="169">
        <v>3272.09</v>
      </c>
      <c r="H864" s="169">
        <v>52998.27</v>
      </c>
      <c r="I864" s="169">
        <v>-69809.99</v>
      </c>
      <c r="J864" s="169">
        <v>40842.63</v>
      </c>
      <c r="K864" s="169">
        <v>33306.76</v>
      </c>
      <c r="L864" s="169">
        <v>-32964.36</v>
      </c>
      <c r="M864" s="169">
        <v>58055.18</v>
      </c>
      <c r="N864" s="50">
        <v>12322.0</v>
      </c>
      <c r="O864" s="111">
        <v>22.0</v>
      </c>
      <c r="P864" s="168">
        <v>7.0</v>
      </c>
    </row>
    <row r="865">
      <c r="A865" s="160">
        <v>99.0</v>
      </c>
      <c r="B865" s="160">
        <v>26.0</v>
      </c>
      <c r="C865" s="170">
        <v>7861.0</v>
      </c>
      <c r="D865" s="168">
        <v>218.0</v>
      </c>
      <c r="E865" s="24">
        <v>21.0</v>
      </c>
      <c r="F865" s="169">
        <v>12918.14</v>
      </c>
      <c r="G865" s="169">
        <v>22169.63</v>
      </c>
      <c r="H865" s="169">
        <v>78841.48</v>
      </c>
      <c r="I865" s="169">
        <v>-10020.9</v>
      </c>
      <c r="J865" s="169">
        <v>-74228.79</v>
      </c>
      <c r="K865" s="169">
        <v>86522.04</v>
      </c>
      <c r="L865" s="169">
        <v>14183.4</v>
      </c>
      <c r="M865" s="169">
        <v>15634.02</v>
      </c>
      <c r="N865" s="50">
        <v>90819.0</v>
      </c>
      <c r="O865" s="111">
        <v>23.0</v>
      </c>
      <c r="P865" s="168">
        <v>9.0</v>
      </c>
    </row>
    <row r="866">
      <c r="A866" s="160">
        <v>17.0</v>
      </c>
      <c r="B866" s="160">
        <v>36.0</v>
      </c>
      <c r="C866" s="170">
        <v>7862.0</v>
      </c>
      <c r="D866" s="168">
        <v>201.0</v>
      </c>
      <c r="E866" s="24">
        <v>54.0</v>
      </c>
      <c r="F866" s="169">
        <v>47973.6</v>
      </c>
      <c r="G866" s="169">
        <v>75722.74</v>
      </c>
      <c r="H866" s="169">
        <v>70827.16</v>
      </c>
      <c r="I866" s="169">
        <v>63073.21</v>
      </c>
      <c r="J866" s="169">
        <v>-44172.76</v>
      </c>
      <c r="K866" s="169">
        <v>42852.78</v>
      </c>
      <c r="L866" s="169">
        <v>-87000.77</v>
      </c>
      <c r="M866" s="169">
        <v>44451.33</v>
      </c>
      <c r="N866" s="50">
        <v>33120.0</v>
      </c>
      <c r="O866" s="111">
        <v>20.0</v>
      </c>
      <c r="P866" s="168">
        <v>5.0</v>
      </c>
    </row>
    <row r="867">
      <c r="A867" s="160">
        <v>58.0</v>
      </c>
      <c r="B867" s="160">
        <v>33.0</v>
      </c>
      <c r="C867" s="170">
        <v>7863.0</v>
      </c>
      <c r="D867" s="168">
        <v>219.0</v>
      </c>
      <c r="E867" s="24">
        <v>60.0</v>
      </c>
      <c r="F867" s="169">
        <v>56326.68</v>
      </c>
      <c r="G867" s="169">
        <v>-9732.28</v>
      </c>
      <c r="H867" s="169">
        <v>-50486.07</v>
      </c>
      <c r="I867" s="169">
        <v>-60398.38</v>
      </c>
      <c r="J867" s="169">
        <v>60200.2</v>
      </c>
      <c r="K867" s="169">
        <v>-36916.11</v>
      </c>
      <c r="L867" s="169">
        <v>81315.25</v>
      </c>
      <c r="M867" s="169">
        <v>-31563.05</v>
      </c>
      <c r="N867" s="50">
        <v>31719.0</v>
      </c>
      <c r="O867" s="111">
        <v>23.0</v>
      </c>
      <c r="P867" s="168">
        <v>9.0</v>
      </c>
    </row>
    <row r="868">
      <c r="A868" s="160">
        <v>78.0</v>
      </c>
      <c r="B868" s="160">
        <v>82.0</v>
      </c>
      <c r="C868" s="170">
        <v>7864.0</v>
      </c>
      <c r="D868" s="168">
        <v>200.0</v>
      </c>
      <c r="E868" s="24">
        <v>85.0</v>
      </c>
      <c r="F868" s="169">
        <v>-86767.17</v>
      </c>
      <c r="G868" s="169">
        <v>83122.62</v>
      </c>
      <c r="H868" s="169">
        <v>-22684.39</v>
      </c>
      <c r="I868" s="169">
        <v>-58109.39</v>
      </c>
      <c r="J868" s="169">
        <v>84687.56</v>
      </c>
      <c r="K868" s="169">
        <v>93156.33</v>
      </c>
      <c r="L868" s="169">
        <v>-95884.18</v>
      </c>
      <c r="M868" s="169">
        <v>29979.79</v>
      </c>
      <c r="N868" s="50">
        <v>10815.0</v>
      </c>
      <c r="O868" s="111">
        <v>20.0</v>
      </c>
      <c r="P868" s="168">
        <v>4.0</v>
      </c>
    </row>
    <row r="869">
      <c r="A869" s="160">
        <v>58.0</v>
      </c>
      <c r="B869" s="160">
        <v>37.0</v>
      </c>
      <c r="C869" s="147">
        <v>7865.0</v>
      </c>
      <c r="D869" s="168">
        <v>207.0</v>
      </c>
      <c r="E869" s="24">
        <v>21.0</v>
      </c>
      <c r="F869" s="169">
        <v>-78637.5</v>
      </c>
      <c r="G869" s="169">
        <v>-49090.98</v>
      </c>
      <c r="H869" s="169">
        <v>-89231.89</v>
      </c>
      <c r="I869" s="169">
        <v>-93644.64</v>
      </c>
      <c r="J869" s="169">
        <v>-96461.94</v>
      </c>
      <c r="K869" s="169">
        <v>-20556.83</v>
      </c>
      <c r="L869" s="169">
        <v>79173.31</v>
      </c>
      <c r="M869" s="169">
        <v>21263.2</v>
      </c>
      <c r="N869" s="50">
        <v>71921.0</v>
      </c>
      <c r="O869" s="111">
        <v>20.0</v>
      </c>
      <c r="P869" s="168">
        <v>2.0</v>
      </c>
    </row>
    <row r="870">
      <c r="A870" s="160">
        <v>37.0</v>
      </c>
      <c r="B870" s="160">
        <v>90.0</v>
      </c>
      <c r="C870" s="170">
        <v>7866.0</v>
      </c>
      <c r="D870" s="168">
        <v>219.0</v>
      </c>
      <c r="E870" s="24">
        <v>51.0</v>
      </c>
      <c r="F870" s="169">
        <v>85271.24</v>
      </c>
      <c r="G870" s="169">
        <v>-98678.28</v>
      </c>
      <c r="H870" s="169">
        <v>-17655.58</v>
      </c>
      <c r="I870" s="169">
        <v>-18257.38</v>
      </c>
      <c r="J870" s="169">
        <v>54707.64</v>
      </c>
      <c r="K870" s="169">
        <v>-58877.54</v>
      </c>
      <c r="L870" s="169">
        <v>27827.44</v>
      </c>
      <c r="M870" s="169">
        <v>-34466.27</v>
      </c>
      <c r="N870" s="50">
        <v>71620.0</v>
      </c>
      <c r="O870" s="111">
        <v>20.0</v>
      </c>
      <c r="P870" s="168">
        <v>9.0</v>
      </c>
    </row>
    <row r="871">
      <c r="A871" s="160">
        <v>37.0</v>
      </c>
      <c r="B871" s="160">
        <v>91.0</v>
      </c>
      <c r="C871" s="170">
        <v>7867.0</v>
      </c>
      <c r="D871" s="168">
        <v>217.0</v>
      </c>
      <c r="E871" s="24">
        <v>61.0</v>
      </c>
      <c r="F871" s="169">
        <v>-64199.3</v>
      </c>
      <c r="G871" s="169">
        <v>91471.62</v>
      </c>
      <c r="H871" s="169">
        <v>8831.28</v>
      </c>
      <c r="I871" s="169">
        <v>-70253.09</v>
      </c>
      <c r="J871" s="169">
        <v>-39248.48</v>
      </c>
      <c r="K871" s="169">
        <v>76212.52</v>
      </c>
      <c r="L871" s="169">
        <v>-74237.94</v>
      </c>
      <c r="M871" s="169">
        <v>-97379.39</v>
      </c>
      <c r="N871" s="50">
        <v>62816.0</v>
      </c>
      <c r="O871" s="111">
        <v>20.0</v>
      </c>
      <c r="P871" s="168">
        <v>4.0</v>
      </c>
    </row>
    <row r="872">
      <c r="A872" s="160">
        <v>78.0</v>
      </c>
      <c r="B872" s="160">
        <v>87.0</v>
      </c>
      <c r="C872" s="170">
        <v>7868.0</v>
      </c>
      <c r="D872" s="168">
        <v>212.0</v>
      </c>
      <c r="E872" s="24">
        <v>39.0</v>
      </c>
      <c r="F872" s="169">
        <v>-67489.13</v>
      </c>
      <c r="G872" s="169">
        <v>20090.83</v>
      </c>
      <c r="H872" s="169">
        <v>-84889.84</v>
      </c>
      <c r="I872" s="169">
        <v>-55456.47</v>
      </c>
      <c r="J872" s="169">
        <v>-74545.8</v>
      </c>
      <c r="K872" s="169">
        <v>59627.26</v>
      </c>
      <c r="L872" s="169">
        <v>-36467.73</v>
      </c>
      <c r="M872" s="169">
        <v>-33766.6</v>
      </c>
      <c r="N872" s="50">
        <v>82622.0</v>
      </c>
      <c r="O872" s="111">
        <v>23.0</v>
      </c>
      <c r="P872" s="168">
        <v>5.0</v>
      </c>
    </row>
    <row r="873">
      <c r="A873" s="160">
        <v>78.0</v>
      </c>
      <c r="B873" s="160">
        <v>88.0</v>
      </c>
      <c r="C873" s="170">
        <v>7869.0</v>
      </c>
      <c r="D873" s="168">
        <v>216.0</v>
      </c>
      <c r="E873" s="24">
        <v>74.0</v>
      </c>
      <c r="F873" s="169">
        <v>-74681.98</v>
      </c>
      <c r="G873" s="169">
        <v>-77179.44</v>
      </c>
      <c r="H873" s="169">
        <v>44143.76</v>
      </c>
      <c r="I873" s="169">
        <v>32237.92</v>
      </c>
      <c r="J873" s="169">
        <v>-29981.2</v>
      </c>
      <c r="K873" s="169">
        <v>17062.72</v>
      </c>
      <c r="L873" s="169">
        <v>34734.64</v>
      </c>
      <c r="M873" s="169">
        <v>-88151.04</v>
      </c>
      <c r="N873" s="50">
        <v>53116.0</v>
      </c>
      <c r="O873" s="111">
        <v>23.0</v>
      </c>
      <c r="P873" s="168">
        <v>8.0</v>
      </c>
    </row>
    <row r="874">
      <c r="A874" s="160">
        <v>17.0</v>
      </c>
      <c r="B874" s="160">
        <v>45.0</v>
      </c>
      <c r="C874" s="147">
        <v>7870.0</v>
      </c>
      <c r="D874" s="168">
        <v>219.0</v>
      </c>
      <c r="E874" s="24">
        <v>96.0</v>
      </c>
      <c r="F874" s="169">
        <v>29902.5</v>
      </c>
      <c r="G874" s="169">
        <v>54248.57</v>
      </c>
      <c r="H874" s="169">
        <v>31455.28</v>
      </c>
      <c r="I874" s="169">
        <v>27705.19</v>
      </c>
      <c r="J874" s="169">
        <v>75864.4</v>
      </c>
      <c r="K874" s="169">
        <v>19238.48</v>
      </c>
      <c r="L874" s="169">
        <v>25132.07</v>
      </c>
      <c r="M874" s="169">
        <v>61950.46</v>
      </c>
      <c r="N874" s="50">
        <v>60316.0</v>
      </c>
      <c r="O874" s="111">
        <v>20.0</v>
      </c>
      <c r="P874" s="168">
        <v>5.0</v>
      </c>
    </row>
    <row r="875">
      <c r="A875" s="160">
        <v>99.0</v>
      </c>
      <c r="B875" s="160">
        <v>40.0</v>
      </c>
      <c r="C875" s="170">
        <v>7871.0</v>
      </c>
      <c r="D875" s="168">
        <v>205.0</v>
      </c>
      <c r="E875" s="24">
        <v>66.0</v>
      </c>
      <c r="F875" s="169">
        <v>-5369.53</v>
      </c>
      <c r="G875" s="169">
        <v>23897.47</v>
      </c>
      <c r="H875" s="169">
        <v>88730.07</v>
      </c>
      <c r="I875" s="169">
        <v>53622.01</v>
      </c>
      <c r="J875" s="169">
        <v>-78233.85</v>
      </c>
      <c r="K875" s="169">
        <v>-62185.71</v>
      </c>
      <c r="L875" s="169">
        <v>12287.37</v>
      </c>
      <c r="M875" s="169">
        <v>-58749.48</v>
      </c>
      <c r="N875" s="50">
        <v>51622.0</v>
      </c>
      <c r="O875" s="111">
        <v>23.0</v>
      </c>
      <c r="P875" s="168">
        <v>4.0</v>
      </c>
    </row>
    <row r="876">
      <c r="A876" s="160">
        <v>58.0</v>
      </c>
      <c r="B876" s="160">
        <v>45.0</v>
      </c>
      <c r="C876" s="170">
        <v>7872.0</v>
      </c>
      <c r="D876" s="168">
        <v>217.0</v>
      </c>
      <c r="E876" s="24">
        <v>35.0</v>
      </c>
      <c r="F876" s="169">
        <v>31034.13</v>
      </c>
      <c r="G876" s="169">
        <v>6712.9</v>
      </c>
      <c r="H876" s="169">
        <v>-65029.9</v>
      </c>
      <c r="I876" s="169">
        <v>69141.2</v>
      </c>
      <c r="J876" s="169">
        <v>36434.98</v>
      </c>
      <c r="K876" s="169">
        <v>-31352.22</v>
      </c>
      <c r="L876" s="169">
        <v>38898.69</v>
      </c>
      <c r="M876" s="169">
        <v>45938.79</v>
      </c>
      <c r="N876" s="50">
        <v>92219.0</v>
      </c>
      <c r="O876" s="111">
        <v>22.0</v>
      </c>
      <c r="P876" s="168">
        <v>4.0</v>
      </c>
    </row>
    <row r="877">
      <c r="A877" s="160">
        <v>17.0</v>
      </c>
      <c r="B877" s="160">
        <v>49.0</v>
      </c>
      <c r="C877" s="170">
        <v>7873.0</v>
      </c>
      <c r="D877" s="168">
        <v>200.0</v>
      </c>
      <c r="E877" s="24">
        <v>54.0</v>
      </c>
      <c r="F877" s="169">
        <v>-16135.42</v>
      </c>
      <c r="G877" s="169">
        <v>-47984.79</v>
      </c>
      <c r="H877" s="169">
        <v>23487.81</v>
      </c>
      <c r="I877" s="169">
        <v>89995.71</v>
      </c>
      <c r="J877" s="169">
        <v>33420.53</v>
      </c>
      <c r="K877" s="169">
        <v>45164.99</v>
      </c>
      <c r="L877" s="169">
        <v>37526.15</v>
      </c>
      <c r="M877" s="169">
        <v>-82790.14</v>
      </c>
      <c r="N877" s="50">
        <v>101314.0</v>
      </c>
      <c r="O877" s="111">
        <v>23.0</v>
      </c>
      <c r="P877" s="168">
        <v>7.0</v>
      </c>
    </row>
    <row r="878">
      <c r="A878" s="160">
        <v>99.0</v>
      </c>
      <c r="B878" s="160">
        <v>41.0</v>
      </c>
      <c r="C878" s="170">
        <v>7874.0</v>
      </c>
      <c r="D878" s="168">
        <v>209.0</v>
      </c>
      <c r="E878" s="24">
        <v>69.0</v>
      </c>
      <c r="F878" s="169">
        <v>71628.33</v>
      </c>
      <c r="G878" s="169">
        <v>62948.42</v>
      </c>
      <c r="H878" s="169">
        <v>16012.56</v>
      </c>
      <c r="I878" s="169">
        <v>-24914.86</v>
      </c>
      <c r="J878" s="169">
        <v>-13545.24</v>
      </c>
      <c r="K878" s="169">
        <v>-43136.62</v>
      </c>
      <c r="L878" s="169">
        <v>-4610.87</v>
      </c>
      <c r="M878" s="169">
        <v>26655.07</v>
      </c>
      <c r="N878" s="50">
        <v>31216.0</v>
      </c>
      <c r="O878" s="111">
        <v>20.0</v>
      </c>
      <c r="P878" s="168">
        <v>7.0</v>
      </c>
    </row>
    <row r="879">
      <c r="A879" s="160">
        <v>58.0</v>
      </c>
      <c r="B879" s="160">
        <v>48.0</v>
      </c>
      <c r="C879" s="147">
        <v>7875.0</v>
      </c>
      <c r="D879" s="168">
        <v>208.0</v>
      </c>
      <c r="E879" s="24">
        <v>41.0</v>
      </c>
      <c r="F879" s="169">
        <v>76461.64</v>
      </c>
      <c r="G879" s="169">
        <v>61313.97</v>
      </c>
      <c r="H879" s="169">
        <v>12596.74</v>
      </c>
      <c r="I879" s="169">
        <v>-21677.27</v>
      </c>
      <c r="J879" s="169">
        <v>-92506.65</v>
      </c>
      <c r="K879" s="169">
        <v>-83597.96</v>
      </c>
      <c r="L879" s="169">
        <v>96904.79</v>
      </c>
      <c r="M879" s="169">
        <v>-84110.35</v>
      </c>
      <c r="N879" s="50">
        <v>30417.0</v>
      </c>
      <c r="O879" s="111">
        <v>23.0</v>
      </c>
      <c r="P879" s="168">
        <v>9.0</v>
      </c>
    </row>
    <row r="880">
      <c r="A880" s="160">
        <v>78.0</v>
      </c>
      <c r="B880" s="160">
        <v>97.0</v>
      </c>
      <c r="C880" s="170">
        <v>7876.0</v>
      </c>
      <c r="D880" s="168">
        <v>206.0</v>
      </c>
      <c r="E880" s="24">
        <v>56.0</v>
      </c>
      <c r="F880" s="169">
        <v>61227.85</v>
      </c>
      <c r="G880" s="169">
        <v>-79205.28</v>
      </c>
      <c r="H880" s="169">
        <v>-26304.33</v>
      </c>
      <c r="I880" s="169">
        <v>13066.14</v>
      </c>
      <c r="J880" s="169">
        <v>73447.66</v>
      </c>
      <c r="K880" s="169">
        <v>42267.1</v>
      </c>
      <c r="L880" s="169">
        <v>74212.66</v>
      </c>
      <c r="M880" s="169">
        <v>-39911.97</v>
      </c>
      <c r="N880" s="50">
        <v>70418.0</v>
      </c>
      <c r="O880" s="111">
        <v>22.0</v>
      </c>
      <c r="P880" s="168">
        <v>9.0</v>
      </c>
    </row>
    <row r="881">
      <c r="A881" s="160">
        <v>99.0</v>
      </c>
      <c r="B881" s="160">
        <v>46.0</v>
      </c>
      <c r="C881" s="170">
        <v>7877.0</v>
      </c>
      <c r="D881" s="168">
        <v>213.0</v>
      </c>
      <c r="E881" s="24">
        <v>14.0</v>
      </c>
      <c r="F881" s="169">
        <v>51858.11</v>
      </c>
      <c r="G881" s="169">
        <v>89767.53</v>
      </c>
      <c r="H881" s="169">
        <v>-48305.98</v>
      </c>
      <c r="I881" s="169">
        <v>42460.6</v>
      </c>
      <c r="J881" s="169">
        <v>45351.14</v>
      </c>
      <c r="K881" s="169">
        <v>-43507.89</v>
      </c>
      <c r="L881" s="169">
        <v>-29172.33</v>
      </c>
      <c r="M881" s="169">
        <v>-30163.64</v>
      </c>
      <c r="N881" s="50">
        <v>31617.0</v>
      </c>
      <c r="O881" s="111">
        <v>23.0</v>
      </c>
      <c r="P881" s="168">
        <v>1.0</v>
      </c>
    </row>
    <row r="882">
      <c r="A882" s="160">
        <v>99.0</v>
      </c>
      <c r="B882" s="160">
        <v>47.0</v>
      </c>
      <c r="C882" s="170">
        <v>7878.0</v>
      </c>
      <c r="D882" s="168">
        <v>214.0</v>
      </c>
      <c r="E882" s="24">
        <v>57.0</v>
      </c>
      <c r="F882" s="169">
        <v>-30074.87</v>
      </c>
      <c r="G882" s="169">
        <v>-83957.26</v>
      </c>
      <c r="H882" s="169">
        <v>40882.67</v>
      </c>
      <c r="I882" s="169">
        <v>62253.6</v>
      </c>
      <c r="J882" s="169">
        <v>8280.67</v>
      </c>
      <c r="K882" s="169">
        <v>-54685.59</v>
      </c>
      <c r="L882" s="169">
        <v>6100.95</v>
      </c>
      <c r="M882" s="169">
        <v>74498.48</v>
      </c>
      <c r="N882" s="50">
        <v>60520.0</v>
      </c>
      <c r="O882" s="111">
        <v>20.0</v>
      </c>
      <c r="P882" s="168">
        <v>3.0</v>
      </c>
    </row>
    <row r="883">
      <c r="A883" s="160">
        <v>17.0</v>
      </c>
      <c r="B883" s="160">
        <v>55.0</v>
      </c>
      <c r="C883" s="170">
        <v>7879.0</v>
      </c>
      <c r="D883" s="168">
        <v>213.0</v>
      </c>
      <c r="E883" s="24">
        <v>48.0</v>
      </c>
      <c r="F883" s="169">
        <v>99299.27</v>
      </c>
      <c r="G883" s="169">
        <v>-60427.87</v>
      </c>
      <c r="H883" s="169">
        <v>18250.31</v>
      </c>
      <c r="I883" s="169">
        <v>-14485.65</v>
      </c>
      <c r="J883" s="169">
        <v>15367.47</v>
      </c>
      <c r="K883" s="169">
        <v>-62148.24</v>
      </c>
      <c r="L883" s="169">
        <v>-75146.87</v>
      </c>
      <c r="M883" s="169">
        <v>-8521.75</v>
      </c>
      <c r="N883" s="50">
        <v>73119.0</v>
      </c>
      <c r="O883" s="111">
        <v>23.0</v>
      </c>
      <c r="P883" s="168">
        <v>5.0</v>
      </c>
    </row>
    <row r="884">
      <c r="A884" s="160">
        <v>99.0</v>
      </c>
      <c r="B884" s="160">
        <v>49.0</v>
      </c>
      <c r="C884" s="147">
        <v>7880.0</v>
      </c>
      <c r="D884" s="168">
        <v>209.0</v>
      </c>
      <c r="E884" s="24">
        <v>72.0</v>
      </c>
      <c r="F884" s="169">
        <v>-87406.18</v>
      </c>
      <c r="G884" s="169">
        <v>-17497.65</v>
      </c>
      <c r="H884" s="169">
        <v>91376.43</v>
      </c>
      <c r="I884" s="169">
        <v>-33240.32</v>
      </c>
      <c r="J884" s="169">
        <v>-92075.35</v>
      </c>
      <c r="K884" s="169">
        <v>-14270.21</v>
      </c>
      <c r="L884" s="169">
        <v>16283.34</v>
      </c>
      <c r="M884" s="169">
        <v>-26169.63</v>
      </c>
      <c r="N884" s="50">
        <v>111813.0</v>
      </c>
      <c r="O884" s="111">
        <v>20.0</v>
      </c>
      <c r="P884" s="168">
        <v>1.0</v>
      </c>
    </row>
    <row r="885">
      <c r="A885" s="160">
        <v>38.0</v>
      </c>
      <c r="B885" s="160">
        <v>5.0</v>
      </c>
      <c r="C885" s="170">
        <v>7881.0</v>
      </c>
      <c r="D885" s="168">
        <v>202.0</v>
      </c>
      <c r="E885" s="24">
        <v>49.0</v>
      </c>
      <c r="F885" s="169">
        <v>90561.24</v>
      </c>
      <c r="G885" s="169">
        <v>88848.92</v>
      </c>
      <c r="H885" s="169">
        <v>40053.83</v>
      </c>
      <c r="I885" s="169">
        <v>-84178.16</v>
      </c>
      <c r="J885" s="169">
        <v>64662.71</v>
      </c>
      <c r="K885" s="169">
        <v>-2886.31</v>
      </c>
      <c r="L885" s="169">
        <v>7839.88</v>
      </c>
      <c r="M885" s="169">
        <v>70303.5</v>
      </c>
      <c r="N885" s="50">
        <v>121318.0</v>
      </c>
      <c r="O885" s="111">
        <v>21.0</v>
      </c>
      <c r="P885" s="168">
        <v>3.0</v>
      </c>
    </row>
    <row r="886">
      <c r="A886" s="160">
        <v>17.0</v>
      </c>
      <c r="B886" s="160">
        <v>56.0</v>
      </c>
      <c r="C886" s="170">
        <v>7882.0</v>
      </c>
      <c r="D886" s="168">
        <v>206.0</v>
      </c>
      <c r="E886" s="24">
        <v>53.0</v>
      </c>
      <c r="F886" s="169">
        <v>-41709.08</v>
      </c>
      <c r="G886" s="169">
        <v>-30760.63</v>
      </c>
      <c r="H886" s="169">
        <v>-56288.31</v>
      </c>
      <c r="I886" s="169">
        <v>46614.95</v>
      </c>
      <c r="J886" s="169">
        <v>87211.52</v>
      </c>
      <c r="K886" s="169">
        <v>-14655.88</v>
      </c>
      <c r="L886" s="169">
        <v>-42848.89</v>
      </c>
      <c r="M886" s="169">
        <v>-35924.19</v>
      </c>
      <c r="N886" s="50">
        <v>52120.0</v>
      </c>
      <c r="O886" s="111">
        <v>22.0</v>
      </c>
      <c r="P886" s="168">
        <v>8.0</v>
      </c>
    </row>
    <row r="887">
      <c r="A887" s="160">
        <v>38.0</v>
      </c>
      <c r="B887" s="160">
        <v>10.0</v>
      </c>
      <c r="C887" s="170">
        <v>7883.0</v>
      </c>
      <c r="D887" s="168">
        <v>210.0</v>
      </c>
      <c r="E887" s="24">
        <v>69.0</v>
      </c>
      <c r="F887" s="169">
        <v>65281.3</v>
      </c>
      <c r="G887" s="169">
        <v>38555.08</v>
      </c>
      <c r="H887" s="169">
        <v>-30716.65</v>
      </c>
      <c r="I887" s="169">
        <v>-31110.48</v>
      </c>
      <c r="J887" s="169">
        <v>30901.0</v>
      </c>
      <c r="K887" s="169">
        <v>-14175.19</v>
      </c>
      <c r="L887" s="169">
        <v>-66069.6</v>
      </c>
      <c r="M887" s="169">
        <v>79062.9</v>
      </c>
      <c r="N887" s="50">
        <v>101316.0</v>
      </c>
      <c r="O887" s="111">
        <v>23.0</v>
      </c>
      <c r="P887" s="168">
        <v>9.0</v>
      </c>
    </row>
    <row r="888">
      <c r="A888" s="160">
        <v>58.0</v>
      </c>
      <c r="B888" s="160">
        <v>59.0</v>
      </c>
      <c r="C888" s="170">
        <v>7884.0</v>
      </c>
      <c r="D888" s="168">
        <v>213.0</v>
      </c>
      <c r="E888" s="24">
        <v>64.0</v>
      </c>
      <c r="F888" s="169">
        <v>-29176.93</v>
      </c>
      <c r="G888" s="169">
        <v>-10433.58</v>
      </c>
      <c r="H888" s="169">
        <v>26841.79</v>
      </c>
      <c r="I888" s="169">
        <v>54590.29</v>
      </c>
      <c r="J888" s="169">
        <v>79096.83</v>
      </c>
      <c r="K888" s="169">
        <v>-95260.31</v>
      </c>
      <c r="L888" s="169">
        <v>21155.72</v>
      </c>
      <c r="M888" s="169">
        <v>-61722.66</v>
      </c>
      <c r="N888" s="50">
        <v>10414.0</v>
      </c>
      <c r="O888" s="111">
        <v>22.0</v>
      </c>
      <c r="P888" s="168">
        <v>5.0</v>
      </c>
    </row>
    <row r="889">
      <c r="A889" s="160">
        <v>38.0</v>
      </c>
      <c r="B889" s="160">
        <v>11.0</v>
      </c>
      <c r="C889" s="147">
        <v>7885.0</v>
      </c>
      <c r="D889" s="168">
        <v>218.0</v>
      </c>
      <c r="E889" s="24">
        <v>76.0</v>
      </c>
      <c r="F889" s="169">
        <v>-48822.65</v>
      </c>
      <c r="G889" s="169">
        <v>69337.09</v>
      </c>
      <c r="H889" s="169">
        <v>56841.62</v>
      </c>
      <c r="I889" s="169">
        <v>20561.39</v>
      </c>
      <c r="J889" s="169">
        <v>-61663.41</v>
      </c>
      <c r="K889" s="169">
        <v>-73860.4</v>
      </c>
      <c r="L889" s="169">
        <v>-80752.93</v>
      </c>
      <c r="M889" s="169">
        <v>38056.5</v>
      </c>
      <c r="N889" s="50">
        <v>122014.0</v>
      </c>
      <c r="O889" s="111">
        <v>22.0</v>
      </c>
      <c r="P889" s="168">
        <v>5.0</v>
      </c>
    </row>
    <row r="890">
      <c r="A890" s="160">
        <v>58.0</v>
      </c>
      <c r="B890" s="160">
        <v>60.0</v>
      </c>
      <c r="C890" s="170">
        <v>7886.0</v>
      </c>
      <c r="D890" s="168">
        <v>216.0</v>
      </c>
      <c r="E890" s="24">
        <v>40.0</v>
      </c>
      <c r="F890" s="169">
        <v>44077.06</v>
      </c>
      <c r="G890" s="169">
        <v>-99151.88</v>
      </c>
      <c r="H890" s="169">
        <v>60928.97</v>
      </c>
      <c r="I890" s="169">
        <v>61880.28</v>
      </c>
      <c r="J890" s="169">
        <v>76774.9</v>
      </c>
      <c r="K890" s="169">
        <v>-22684.97</v>
      </c>
      <c r="L890" s="169">
        <v>43862.67</v>
      </c>
      <c r="M890" s="169">
        <v>-97647.24</v>
      </c>
      <c r="N890" s="50">
        <v>82520.0</v>
      </c>
      <c r="O890" s="111">
        <v>21.0</v>
      </c>
      <c r="P890" s="168">
        <v>1.0</v>
      </c>
    </row>
    <row r="891">
      <c r="A891" s="160">
        <v>17.0</v>
      </c>
      <c r="B891" s="160">
        <v>66.0</v>
      </c>
      <c r="C891" s="170">
        <v>7887.0</v>
      </c>
      <c r="D891" s="168">
        <v>217.0</v>
      </c>
      <c r="E891" s="24">
        <v>55.0</v>
      </c>
      <c r="F891" s="169">
        <v>-239.09</v>
      </c>
      <c r="G891" s="169">
        <v>35921.27</v>
      </c>
      <c r="H891" s="169">
        <v>-67562.04</v>
      </c>
      <c r="I891" s="169">
        <v>67035.26</v>
      </c>
      <c r="J891" s="169">
        <v>-24182.07</v>
      </c>
      <c r="K891" s="169">
        <v>26880.23</v>
      </c>
      <c r="L891" s="169">
        <v>50061.52</v>
      </c>
      <c r="M891" s="169">
        <v>48692.55</v>
      </c>
      <c r="N891" s="50">
        <v>70518.0</v>
      </c>
      <c r="O891" s="111">
        <v>21.0</v>
      </c>
      <c r="P891" s="168">
        <v>3.0</v>
      </c>
    </row>
    <row r="892">
      <c r="A892" s="160">
        <v>38.0</v>
      </c>
      <c r="B892" s="160">
        <v>14.0</v>
      </c>
      <c r="C892" s="170">
        <v>7888.0</v>
      </c>
      <c r="D892" s="168">
        <v>210.0</v>
      </c>
      <c r="E892" s="24">
        <v>45.0</v>
      </c>
      <c r="F892" s="169">
        <v>-85760.9</v>
      </c>
      <c r="G892" s="169">
        <v>7889.08</v>
      </c>
      <c r="H892" s="169">
        <v>-44814.51</v>
      </c>
      <c r="I892" s="169">
        <v>38257.88</v>
      </c>
      <c r="J892" s="169">
        <v>-74445.88</v>
      </c>
      <c r="K892" s="169">
        <v>15014.68</v>
      </c>
      <c r="L892" s="169">
        <v>86788.13</v>
      </c>
      <c r="M892" s="169">
        <v>29357.77</v>
      </c>
      <c r="N892" s="50">
        <v>62514.0</v>
      </c>
      <c r="O892" s="111">
        <v>21.0</v>
      </c>
      <c r="P892" s="168">
        <v>3.0</v>
      </c>
    </row>
    <row r="893">
      <c r="A893" s="160">
        <v>79.0</v>
      </c>
      <c r="B893" s="160">
        <v>11.0</v>
      </c>
      <c r="C893" s="170">
        <v>7889.0</v>
      </c>
      <c r="D893" s="168">
        <v>210.0</v>
      </c>
      <c r="E893" s="24">
        <v>34.0</v>
      </c>
      <c r="F893" s="169">
        <v>84149.06</v>
      </c>
      <c r="G893" s="169">
        <v>-19655.46</v>
      </c>
      <c r="H893" s="169">
        <v>-45179.19</v>
      </c>
      <c r="I893" s="169">
        <v>62923.92</v>
      </c>
      <c r="J893" s="169">
        <v>-16781.3</v>
      </c>
      <c r="K893" s="169">
        <v>-3561.23</v>
      </c>
      <c r="L893" s="169">
        <v>-10079.4</v>
      </c>
      <c r="M893" s="169">
        <v>-91933.17</v>
      </c>
      <c r="N893" s="50">
        <v>110718.0</v>
      </c>
      <c r="O893" s="111">
        <v>21.0</v>
      </c>
      <c r="P893" s="168">
        <v>6.0</v>
      </c>
    </row>
    <row r="894">
      <c r="A894" s="160">
        <v>38.0</v>
      </c>
      <c r="B894" s="160">
        <v>17.0</v>
      </c>
      <c r="C894" s="147">
        <v>7890.0</v>
      </c>
      <c r="D894" s="168">
        <v>205.0</v>
      </c>
      <c r="E894" s="24">
        <v>71.0</v>
      </c>
      <c r="F894" s="169">
        <v>-2686.49</v>
      </c>
      <c r="G894" s="169">
        <v>-60608.58</v>
      </c>
      <c r="H894" s="169">
        <v>-74002.6</v>
      </c>
      <c r="I894" s="169">
        <v>-99942.18</v>
      </c>
      <c r="J894" s="169">
        <v>10326.77</v>
      </c>
      <c r="K894" s="169">
        <v>-93920.38</v>
      </c>
      <c r="L894" s="169">
        <v>81310.47</v>
      </c>
      <c r="M894" s="169">
        <v>86210.7</v>
      </c>
      <c r="N894" s="50">
        <v>41620.0</v>
      </c>
      <c r="O894" s="111">
        <v>21.0</v>
      </c>
      <c r="P894" s="168">
        <v>3.0</v>
      </c>
    </row>
    <row r="895">
      <c r="A895" s="160">
        <v>79.0</v>
      </c>
      <c r="B895" s="160">
        <v>14.0</v>
      </c>
      <c r="C895" s="170">
        <v>7891.0</v>
      </c>
      <c r="D895" s="168">
        <v>210.0</v>
      </c>
      <c r="E895" s="24">
        <v>81.0</v>
      </c>
      <c r="F895" s="169">
        <v>-28829.24</v>
      </c>
      <c r="G895" s="169">
        <v>-764.93</v>
      </c>
      <c r="H895" s="169">
        <v>27329.73</v>
      </c>
      <c r="I895" s="169">
        <v>-6189.97</v>
      </c>
      <c r="J895" s="169">
        <v>-59165.95</v>
      </c>
      <c r="K895" s="169">
        <v>-21603.47</v>
      </c>
      <c r="L895" s="169">
        <v>54266.42</v>
      </c>
      <c r="M895" s="169">
        <v>-32462.87</v>
      </c>
      <c r="N895" s="50">
        <v>52417.0</v>
      </c>
      <c r="O895" s="111">
        <v>22.0</v>
      </c>
      <c r="P895" s="168">
        <v>2.0</v>
      </c>
    </row>
    <row r="896">
      <c r="A896" s="160">
        <v>38.0</v>
      </c>
      <c r="B896" s="160">
        <v>18.0</v>
      </c>
      <c r="C896" s="170">
        <v>7892.0</v>
      </c>
      <c r="D896" s="168">
        <v>215.0</v>
      </c>
      <c r="E896" s="24">
        <v>19.0</v>
      </c>
      <c r="F896" s="169">
        <v>-89439.79</v>
      </c>
      <c r="G896" s="169">
        <v>-97437.03</v>
      </c>
      <c r="H896" s="169">
        <v>97358.85</v>
      </c>
      <c r="I896" s="169">
        <v>21743.61</v>
      </c>
      <c r="J896" s="169">
        <v>57475.09</v>
      </c>
      <c r="K896" s="169">
        <v>-60915.0</v>
      </c>
      <c r="L896" s="169">
        <v>-92672.3</v>
      </c>
      <c r="M896" s="169">
        <v>17192.42</v>
      </c>
      <c r="N896" s="50">
        <v>12722.0</v>
      </c>
      <c r="O896" s="111">
        <v>20.0</v>
      </c>
      <c r="P896" s="168">
        <v>3.0</v>
      </c>
    </row>
    <row r="897">
      <c r="A897" s="160">
        <v>99.0</v>
      </c>
      <c r="B897" s="160">
        <v>64.0</v>
      </c>
      <c r="C897" s="170">
        <v>7893.0</v>
      </c>
      <c r="D897" s="168">
        <v>205.0</v>
      </c>
      <c r="E897" s="24">
        <v>16.0</v>
      </c>
      <c r="F897" s="169">
        <v>-63260.92</v>
      </c>
      <c r="G897" s="169">
        <v>44643.56</v>
      </c>
      <c r="H897" s="169">
        <v>33976.53</v>
      </c>
      <c r="I897" s="169">
        <v>80344.96</v>
      </c>
      <c r="J897" s="169">
        <v>32933.68</v>
      </c>
      <c r="K897" s="169">
        <v>24028.95</v>
      </c>
      <c r="L897" s="169">
        <v>-82326.85</v>
      </c>
      <c r="M897" s="169">
        <v>-82070.8</v>
      </c>
      <c r="N897" s="50">
        <v>92515.0</v>
      </c>
      <c r="O897" s="111">
        <v>22.0</v>
      </c>
      <c r="P897" s="168">
        <v>5.0</v>
      </c>
    </row>
    <row r="898">
      <c r="A898" s="160">
        <v>38.0</v>
      </c>
      <c r="B898" s="160">
        <v>21.0</v>
      </c>
      <c r="C898" s="170">
        <v>7894.0</v>
      </c>
      <c r="D898" s="168">
        <v>219.0</v>
      </c>
      <c r="E898" s="24">
        <v>23.0</v>
      </c>
      <c r="F898" s="169">
        <v>-95969.77</v>
      </c>
      <c r="G898" s="169">
        <v>-13022.66</v>
      </c>
      <c r="H898" s="169">
        <v>-35503.57</v>
      </c>
      <c r="I898" s="169">
        <v>-59972.06</v>
      </c>
      <c r="J898" s="169">
        <v>-75181.38</v>
      </c>
      <c r="K898" s="169">
        <v>-97062.24</v>
      </c>
      <c r="L898" s="169">
        <v>99433.59</v>
      </c>
      <c r="M898" s="169">
        <v>50663.78</v>
      </c>
      <c r="N898" s="50">
        <v>62314.0</v>
      </c>
      <c r="O898" s="111">
        <v>23.0</v>
      </c>
      <c r="P898" s="168">
        <v>8.0</v>
      </c>
    </row>
    <row r="899">
      <c r="A899" s="160">
        <v>99.0</v>
      </c>
      <c r="B899" s="160">
        <v>72.0</v>
      </c>
      <c r="C899" s="147">
        <v>7895.0</v>
      </c>
      <c r="D899" s="168">
        <v>206.0</v>
      </c>
      <c r="E899" s="24">
        <v>50.0</v>
      </c>
      <c r="F899" s="169">
        <v>-73963.2</v>
      </c>
      <c r="G899" s="169">
        <v>73793.33</v>
      </c>
      <c r="H899" s="169">
        <v>-96078.38</v>
      </c>
      <c r="I899" s="169">
        <v>-7745.54</v>
      </c>
      <c r="J899" s="169">
        <v>21743.84</v>
      </c>
      <c r="K899" s="169">
        <v>59299.19</v>
      </c>
      <c r="L899" s="169">
        <v>-11300.56</v>
      </c>
      <c r="M899" s="169">
        <v>72600.84</v>
      </c>
      <c r="N899" s="50">
        <v>61322.0</v>
      </c>
      <c r="O899" s="111">
        <v>21.0</v>
      </c>
      <c r="P899" s="168">
        <v>4.0</v>
      </c>
    </row>
    <row r="900">
      <c r="A900" s="160">
        <v>99.0</v>
      </c>
      <c r="B900" s="160">
        <v>74.0</v>
      </c>
      <c r="C900" s="170">
        <v>7896.0</v>
      </c>
      <c r="D900" s="168">
        <v>212.0</v>
      </c>
      <c r="E900" s="24">
        <v>85.0</v>
      </c>
      <c r="F900" s="169">
        <v>-81057.83</v>
      </c>
      <c r="G900" s="169">
        <v>-74696.42</v>
      </c>
      <c r="H900" s="169">
        <v>95171.81</v>
      </c>
      <c r="I900" s="169">
        <v>-75687.62</v>
      </c>
      <c r="J900" s="169">
        <v>54574.58</v>
      </c>
      <c r="K900" s="169">
        <v>-24187.93</v>
      </c>
      <c r="L900" s="169">
        <v>46907.41</v>
      </c>
      <c r="M900" s="169">
        <v>-70377.73</v>
      </c>
      <c r="N900" s="50">
        <v>10215.0</v>
      </c>
      <c r="O900" s="111">
        <v>23.0</v>
      </c>
      <c r="P900" s="168">
        <v>8.0</v>
      </c>
    </row>
    <row r="901">
      <c r="A901" s="160">
        <v>58.0</v>
      </c>
      <c r="B901" s="160">
        <v>79.0</v>
      </c>
      <c r="C901" s="170">
        <v>7897.0</v>
      </c>
      <c r="D901" s="168">
        <v>208.0</v>
      </c>
      <c r="E901" s="24">
        <v>95.0</v>
      </c>
      <c r="F901" s="169">
        <v>70292.13</v>
      </c>
      <c r="G901" s="169">
        <v>-70659.64</v>
      </c>
      <c r="H901" s="169">
        <v>-39010.38</v>
      </c>
      <c r="I901" s="169">
        <v>98074.74</v>
      </c>
      <c r="J901" s="169">
        <v>87408.53</v>
      </c>
      <c r="K901" s="169">
        <v>-41688.82</v>
      </c>
      <c r="L901" s="169">
        <v>7425.5</v>
      </c>
      <c r="M901" s="169">
        <v>25608.41</v>
      </c>
      <c r="N901" s="50">
        <v>52017.0</v>
      </c>
      <c r="O901" s="111">
        <v>20.0</v>
      </c>
      <c r="P901" s="168">
        <v>5.0</v>
      </c>
    </row>
    <row r="902">
      <c r="A902" s="160">
        <v>58.0</v>
      </c>
      <c r="B902" s="160">
        <v>80.0</v>
      </c>
      <c r="C902" s="170">
        <v>7898.0</v>
      </c>
      <c r="D902" s="168">
        <v>219.0</v>
      </c>
      <c r="E902" s="24">
        <v>98.0</v>
      </c>
      <c r="F902" s="169">
        <v>-9943.55</v>
      </c>
      <c r="G902" s="169">
        <v>56683.84</v>
      </c>
      <c r="H902" s="169">
        <v>-38991.89</v>
      </c>
      <c r="I902" s="169">
        <v>-74102.71</v>
      </c>
      <c r="J902" s="169">
        <v>-79326.88</v>
      </c>
      <c r="K902" s="169">
        <v>-5201.95</v>
      </c>
      <c r="L902" s="169">
        <v>10233.41</v>
      </c>
      <c r="M902" s="169">
        <v>-79160.47</v>
      </c>
      <c r="N902" s="50">
        <v>30820.0</v>
      </c>
      <c r="O902" s="111">
        <v>21.0</v>
      </c>
      <c r="P902" s="168">
        <v>3.0</v>
      </c>
    </row>
    <row r="903">
      <c r="A903" s="160">
        <v>99.0</v>
      </c>
      <c r="B903" s="160">
        <v>75.0</v>
      </c>
      <c r="C903" s="170">
        <v>7899.0</v>
      </c>
      <c r="D903" s="168">
        <v>205.0</v>
      </c>
      <c r="E903" s="24">
        <v>33.0</v>
      </c>
      <c r="F903" s="169">
        <v>82350.91</v>
      </c>
      <c r="G903" s="169">
        <v>-74397.02</v>
      </c>
      <c r="H903" s="169">
        <v>23281.44</v>
      </c>
      <c r="I903" s="169">
        <v>80834.66</v>
      </c>
      <c r="J903" s="169">
        <v>4944.54</v>
      </c>
      <c r="K903" s="169">
        <v>-93143.76</v>
      </c>
      <c r="L903" s="169">
        <v>19652.91</v>
      </c>
      <c r="M903" s="169">
        <v>34241.38</v>
      </c>
      <c r="N903" s="50">
        <v>32616.0</v>
      </c>
      <c r="O903" s="111">
        <v>20.0</v>
      </c>
      <c r="P903" s="168">
        <v>2.0</v>
      </c>
    </row>
    <row r="904">
      <c r="A904" s="160">
        <v>58.0</v>
      </c>
      <c r="B904" s="160">
        <v>82.0</v>
      </c>
      <c r="C904" s="147">
        <v>7900.0</v>
      </c>
      <c r="D904" s="168">
        <v>214.0</v>
      </c>
      <c r="E904" s="24">
        <v>76.0</v>
      </c>
      <c r="F904" s="169">
        <v>30727.81</v>
      </c>
      <c r="G904" s="169">
        <v>-51942.31</v>
      </c>
      <c r="H904" s="169">
        <v>57384.31</v>
      </c>
      <c r="I904" s="169">
        <v>-64981.36</v>
      </c>
      <c r="J904" s="169">
        <v>71325.62</v>
      </c>
      <c r="K904" s="169">
        <v>16936.72</v>
      </c>
      <c r="L904" s="169">
        <v>28259.08</v>
      </c>
      <c r="M904" s="169">
        <v>-27579.81</v>
      </c>
      <c r="N904" s="50">
        <v>83021.0</v>
      </c>
      <c r="O904" s="111">
        <v>22.0</v>
      </c>
      <c r="P904" s="168">
        <v>1.0</v>
      </c>
    </row>
    <row r="905">
      <c r="A905" s="160">
        <v>58.0</v>
      </c>
      <c r="B905" s="160">
        <v>83.0</v>
      </c>
      <c r="C905" s="170">
        <v>7901.0</v>
      </c>
      <c r="D905" s="168">
        <v>217.0</v>
      </c>
      <c r="E905" s="24">
        <v>53.0</v>
      </c>
      <c r="F905" s="169">
        <v>1440.64</v>
      </c>
      <c r="G905" s="169">
        <v>-973.42</v>
      </c>
      <c r="H905" s="169">
        <v>97523.6</v>
      </c>
      <c r="I905" s="169">
        <v>60346.76</v>
      </c>
      <c r="J905" s="169">
        <v>87265.66</v>
      </c>
      <c r="K905" s="169">
        <v>-27616.01</v>
      </c>
      <c r="L905" s="169">
        <v>-12056.26</v>
      </c>
      <c r="M905" s="169">
        <v>87285.68</v>
      </c>
      <c r="N905" s="50">
        <v>41514.0</v>
      </c>
      <c r="O905" s="111">
        <v>23.0</v>
      </c>
      <c r="P905" s="168">
        <v>3.0</v>
      </c>
    </row>
    <row r="906">
      <c r="A906" s="160">
        <v>99.0</v>
      </c>
      <c r="B906" s="160">
        <v>82.0</v>
      </c>
      <c r="C906" s="170">
        <v>7902.0</v>
      </c>
      <c r="D906" s="168">
        <v>200.0</v>
      </c>
      <c r="E906" s="24">
        <v>40.0</v>
      </c>
      <c r="F906" s="169">
        <v>35575.3</v>
      </c>
      <c r="G906" s="169">
        <v>51888.36</v>
      </c>
      <c r="H906" s="169">
        <v>-30295.41</v>
      </c>
      <c r="I906" s="169">
        <v>-51726.28</v>
      </c>
      <c r="J906" s="169">
        <v>-26146.92</v>
      </c>
      <c r="K906" s="169">
        <v>9131.57</v>
      </c>
      <c r="L906" s="169">
        <v>-67160.58</v>
      </c>
      <c r="M906" s="169">
        <v>41812.6</v>
      </c>
      <c r="N906" s="50">
        <v>72919.0</v>
      </c>
      <c r="O906" s="111">
        <v>21.0</v>
      </c>
      <c r="P906" s="168">
        <v>7.0</v>
      </c>
    </row>
    <row r="907">
      <c r="A907" s="160">
        <v>38.0</v>
      </c>
      <c r="B907" s="160">
        <v>40.0</v>
      </c>
      <c r="C907" s="170">
        <v>7903.0</v>
      </c>
      <c r="D907" s="168">
        <v>206.0</v>
      </c>
      <c r="E907" s="24">
        <v>54.0</v>
      </c>
      <c r="F907" s="169">
        <v>-36805.12</v>
      </c>
      <c r="G907" s="169">
        <v>78573.46</v>
      </c>
      <c r="H907" s="169">
        <v>-99137.14</v>
      </c>
      <c r="I907" s="169">
        <v>57132.19</v>
      </c>
      <c r="J907" s="169">
        <v>-20571.43</v>
      </c>
      <c r="K907" s="169">
        <v>-52419.42</v>
      </c>
      <c r="L907" s="169">
        <v>-30797.69</v>
      </c>
      <c r="M907" s="169">
        <v>2029.15</v>
      </c>
      <c r="N907" s="50">
        <v>71715.0</v>
      </c>
      <c r="O907" s="111">
        <v>22.0</v>
      </c>
      <c r="P907" s="168">
        <v>7.0</v>
      </c>
    </row>
    <row r="908">
      <c r="A908" s="160">
        <v>38.0</v>
      </c>
      <c r="B908" s="160">
        <v>41.0</v>
      </c>
      <c r="C908" s="170">
        <v>7904.0</v>
      </c>
      <c r="D908" s="168">
        <v>206.0</v>
      </c>
      <c r="E908" s="24">
        <v>47.0</v>
      </c>
      <c r="F908" s="169">
        <v>36039.62</v>
      </c>
      <c r="G908" s="169">
        <v>76972.62</v>
      </c>
      <c r="H908" s="169">
        <v>39302.66</v>
      </c>
      <c r="I908" s="169">
        <v>-9024.1</v>
      </c>
      <c r="J908" s="169">
        <v>-67601.86</v>
      </c>
      <c r="K908" s="169">
        <v>17101.3</v>
      </c>
      <c r="L908" s="169">
        <v>40770.22</v>
      </c>
      <c r="M908" s="169">
        <v>38746.5</v>
      </c>
      <c r="N908" s="50">
        <v>71721.0</v>
      </c>
      <c r="O908" s="111">
        <v>20.0</v>
      </c>
      <c r="P908" s="168">
        <v>3.0</v>
      </c>
    </row>
    <row r="909">
      <c r="A909" s="160">
        <v>58.0</v>
      </c>
      <c r="B909" s="160">
        <v>94.0</v>
      </c>
      <c r="C909" s="147">
        <v>7905.0</v>
      </c>
      <c r="D909" s="168">
        <v>217.0</v>
      </c>
      <c r="E909" s="24">
        <v>85.0</v>
      </c>
      <c r="F909" s="169">
        <v>18441.71</v>
      </c>
      <c r="G909" s="169">
        <v>-26801.64</v>
      </c>
      <c r="H909" s="169">
        <v>26452.3</v>
      </c>
      <c r="I909" s="169">
        <v>-51148.32</v>
      </c>
      <c r="J909" s="169">
        <v>66651.58</v>
      </c>
      <c r="K909" s="169">
        <v>-4082.24</v>
      </c>
      <c r="L909" s="169">
        <v>41923.35</v>
      </c>
      <c r="M909" s="169">
        <v>-22418.8</v>
      </c>
      <c r="N909" s="50">
        <v>90915.0</v>
      </c>
      <c r="O909" s="111">
        <v>21.0</v>
      </c>
      <c r="P909" s="168">
        <v>1.0</v>
      </c>
    </row>
    <row r="910">
      <c r="A910" s="160">
        <v>99.0</v>
      </c>
      <c r="B910" s="160">
        <v>90.0</v>
      </c>
      <c r="C910" s="170">
        <v>7906.0</v>
      </c>
      <c r="D910" s="168">
        <v>218.0</v>
      </c>
      <c r="E910" s="24">
        <v>78.0</v>
      </c>
      <c r="F910" s="169">
        <v>39543.34</v>
      </c>
      <c r="G910" s="169">
        <v>-12199.82</v>
      </c>
      <c r="H910" s="169">
        <v>-75773.95</v>
      </c>
      <c r="I910" s="169">
        <v>-35513.22</v>
      </c>
      <c r="J910" s="169">
        <v>2167.95</v>
      </c>
      <c r="K910" s="169">
        <v>9840.03</v>
      </c>
      <c r="L910" s="169">
        <v>7902.82</v>
      </c>
      <c r="M910" s="169">
        <v>2589.51</v>
      </c>
      <c r="N910" s="50">
        <v>111519.0</v>
      </c>
      <c r="O910" s="111">
        <v>23.0</v>
      </c>
      <c r="P910" s="168">
        <v>9.0</v>
      </c>
    </row>
    <row r="911">
      <c r="A911" s="160">
        <v>38.0</v>
      </c>
      <c r="B911" s="160">
        <v>46.0</v>
      </c>
      <c r="C911" s="170">
        <v>7907.0</v>
      </c>
      <c r="D911" s="168">
        <v>214.0</v>
      </c>
      <c r="E911" s="24">
        <v>58.0</v>
      </c>
      <c r="F911" s="169">
        <v>69612.71</v>
      </c>
      <c r="G911" s="169">
        <v>-59692.79</v>
      </c>
      <c r="H911" s="169">
        <v>-41502.36</v>
      </c>
      <c r="I911" s="169">
        <v>-87837.71</v>
      </c>
      <c r="J911" s="169">
        <v>6388.08</v>
      </c>
      <c r="K911" s="169">
        <v>-72463.98</v>
      </c>
      <c r="L911" s="169">
        <v>61169.58</v>
      </c>
      <c r="M911" s="169">
        <v>-5779.52</v>
      </c>
      <c r="N911" s="50">
        <v>10617.0</v>
      </c>
      <c r="O911" s="111">
        <v>22.0</v>
      </c>
      <c r="P911" s="168">
        <v>7.0</v>
      </c>
    </row>
    <row r="912">
      <c r="A912" s="160">
        <v>58.0</v>
      </c>
      <c r="B912" s="160">
        <v>97.0</v>
      </c>
      <c r="C912" s="170">
        <v>7908.0</v>
      </c>
      <c r="D912" s="168">
        <v>217.0</v>
      </c>
      <c r="E912" s="24">
        <v>83.0</v>
      </c>
      <c r="F912" s="169">
        <v>-10335.85</v>
      </c>
      <c r="G912" s="169">
        <v>-56370.27</v>
      </c>
      <c r="H912" s="169">
        <v>99056.04</v>
      </c>
      <c r="I912" s="169">
        <v>-95045.54</v>
      </c>
      <c r="J912" s="169">
        <v>-96395.5</v>
      </c>
      <c r="K912" s="169">
        <v>95913.99</v>
      </c>
      <c r="L912" s="169">
        <v>2176.26</v>
      </c>
      <c r="M912" s="169">
        <v>-37997.81</v>
      </c>
      <c r="N912" s="50">
        <v>111018.0</v>
      </c>
      <c r="O912" s="111">
        <v>20.0</v>
      </c>
      <c r="P912" s="168">
        <v>5.0</v>
      </c>
    </row>
    <row r="913">
      <c r="A913" s="160">
        <v>38.0</v>
      </c>
      <c r="B913" s="160">
        <v>51.0</v>
      </c>
      <c r="C913" s="170">
        <v>7909.0</v>
      </c>
      <c r="D913" s="168">
        <v>208.0</v>
      </c>
      <c r="E913" s="24">
        <v>74.0</v>
      </c>
      <c r="F913" s="169">
        <v>19911.17</v>
      </c>
      <c r="G913" s="169">
        <v>25164.91</v>
      </c>
      <c r="H913" s="169">
        <v>-10277.26</v>
      </c>
      <c r="I913" s="169">
        <v>-10742.93</v>
      </c>
      <c r="J913" s="169">
        <v>-61048.24</v>
      </c>
      <c r="K913" s="169">
        <v>41254.27</v>
      </c>
      <c r="L913" s="169">
        <v>16610.18</v>
      </c>
      <c r="M913" s="169">
        <v>-22344.24</v>
      </c>
      <c r="N913" s="50">
        <v>11417.0</v>
      </c>
      <c r="O913" s="111">
        <v>22.0</v>
      </c>
      <c r="P913" s="168">
        <v>2.0</v>
      </c>
    </row>
    <row r="914">
      <c r="A914" s="160">
        <v>59.0</v>
      </c>
      <c r="B914" s="160">
        <v>0.0</v>
      </c>
      <c r="C914" s="147">
        <v>7910.0</v>
      </c>
      <c r="D914" s="168">
        <v>210.0</v>
      </c>
      <c r="E914" s="24">
        <v>31.0</v>
      </c>
      <c r="F914" s="169">
        <v>11638.16</v>
      </c>
      <c r="G914" s="169">
        <v>-80863.58</v>
      </c>
      <c r="H914" s="169">
        <v>23596.84</v>
      </c>
      <c r="I914" s="169">
        <v>86336.71</v>
      </c>
      <c r="J914" s="169">
        <v>-14719.34</v>
      </c>
      <c r="K914" s="169">
        <v>69649.35</v>
      </c>
      <c r="L914" s="169">
        <v>25709.16</v>
      </c>
      <c r="M914" s="169">
        <v>37628.36</v>
      </c>
      <c r="N914" s="50">
        <v>81615.0</v>
      </c>
      <c r="O914" s="111">
        <v>23.0</v>
      </c>
      <c r="P914" s="168">
        <v>2.0</v>
      </c>
    </row>
    <row r="915">
      <c r="A915" s="160">
        <v>18.0</v>
      </c>
      <c r="B915" s="160">
        <v>9.0</v>
      </c>
      <c r="C915" s="170">
        <v>7911.0</v>
      </c>
      <c r="D915" s="168">
        <v>201.0</v>
      </c>
      <c r="E915" s="24">
        <v>49.0</v>
      </c>
      <c r="F915" s="169">
        <v>41922.62</v>
      </c>
      <c r="G915" s="169">
        <v>93426.86</v>
      </c>
      <c r="H915" s="169">
        <v>-37447.01</v>
      </c>
      <c r="I915" s="169">
        <v>28847.31</v>
      </c>
      <c r="J915" s="169">
        <v>54962.77</v>
      </c>
      <c r="K915" s="169">
        <v>-52370.72</v>
      </c>
      <c r="L915" s="169">
        <v>-82080.03</v>
      </c>
      <c r="M915" s="169">
        <v>-62661.55</v>
      </c>
      <c r="N915" s="50">
        <v>91720.0</v>
      </c>
      <c r="O915" s="111">
        <v>23.0</v>
      </c>
      <c r="P915" s="168">
        <v>2.0</v>
      </c>
    </row>
    <row r="916">
      <c r="A916" s="160">
        <v>79.0</v>
      </c>
      <c r="B916" s="160">
        <v>54.0</v>
      </c>
      <c r="C916" s="170">
        <v>7912.0</v>
      </c>
      <c r="D916" s="168">
        <v>201.0</v>
      </c>
      <c r="E916" s="24">
        <v>77.0</v>
      </c>
      <c r="F916" s="169">
        <v>94725.79</v>
      </c>
      <c r="G916" s="169">
        <v>-69078.34</v>
      </c>
      <c r="H916" s="169">
        <v>-84284.88</v>
      </c>
      <c r="I916" s="169">
        <v>-99111.27</v>
      </c>
      <c r="J916" s="169">
        <v>42926.58</v>
      </c>
      <c r="K916" s="169">
        <v>-56067.04</v>
      </c>
      <c r="L916" s="169">
        <v>-75994.39</v>
      </c>
      <c r="M916" s="169">
        <v>-92816.3</v>
      </c>
      <c r="N916" s="50">
        <v>71415.0</v>
      </c>
      <c r="O916" s="111">
        <v>22.0</v>
      </c>
      <c r="P916" s="168">
        <v>2.0</v>
      </c>
    </row>
    <row r="917">
      <c r="A917" s="160">
        <v>59.0</v>
      </c>
      <c r="B917" s="160">
        <v>11.0</v>
      </c>
      <c r="C917" s="170">
        <v>7913.0</v>
      </c>
      <c r="D917" s="168">
        <v>219.0</v>
      </c>
      <c r="E917" s="24">
        <v>88.0</v>
      </c>
      <c r="F917" s="169">
        <v>-18575.68</v>
      </c>
      <c r="G917" s="169">
        <v>45667.88</v>
      </c>
      <c r="H917" s="169">
        <v>-12011.8</v>
      </c>
      <c r="I917" s="169">
        <v>-54670.51</v>
      </c>
      <c r="J917" s="169">
        <v>-97001.21</v>
      </c>
      <c r="K917" s="169">
        <v>-9605.09</v>
      </c>
      <c r="L917" s="169">
        <v>-98565.8</v>
      </c>
      <c r="M917" s="169">
        <v>-18498.84</v>
      </c>
      <c r="N917" s="50">
        <v>30714.0</v>
      </c>
      <c r="O917" s="111">
        <v>21.0</v>
      </c>
      <c r="P917" s="168">
        <v>7.0</v>
      </c>
    </row>
    <row r="918">
      <c r="A918" s="160">
        <v>38.0</v>
      </c>
      <c r="B918" s="160">
        <v>64.0</v>
      </c>
      <c r="C918" s="170">
        <v>7914.0</v>
      </c>
      <c r="D918" s="168">
        <v>215.0</v>
      </c>
      <c r="E918" s="24">
        <v>87.0</v>
      </c>
      <c r="F918" s="169">
        <v>2089.47</v>
      </c>
      <c r="G918" s="169">
        <v>32264.57</v>
      </c>
      <c r="H918" s="169">
        <v>655.89</v>
      </c>
      <c r="I918" s="169">
        <v>61930.62</v>
      </c>
      <c r="J918" s="169">
        <v>-36669.99</v>
      </c>
      <c r="K918" s="169">
        <v>16315.62</v>
      </c>
      <c r="L918" s="169">
        <v>83989.93</v>
      </c>
      <c r="M918" s="169">
        <v>62714.13</v>
      </c>
      <c r="N918" s="50">
        <v>71416.0</v>
      </c>
      <c r="O918" s="111">
        <v>21.0</v>
      </c>
      <c r="P918" s="168">
        <v>8.0</v>
      </c>
    </row>
    <row r="919">
      <c r="A919" s="160">
        <v>79.0</v>
      </c>
      <c r="B919" s="160">
        <v>60.0</v>
      </c>
      <c r="C919" s="147">
        <v>7915.0</v>
      </c>
      <c r="D919" s="168">
        <v>208.0</v>
      </c>
      <c r="E919" s="24">
        <v>26.0</v>
      </c>
      <c r="F919" s="169">
        <v>11245.83</v>
      </c>
      <c r="G919" s="169">
        <v>88595.19</v>
      </c>
      <c r="H919" s="169">
        <v>-26283.66</v>
      </c>
      <c r="I919" s="169">
        <v>33803.95</v>
      </c>
      <c r="J919" s="169">
        <v>-96807.87</v>
      </c>
      <c r="K919" s="169">
        <v>-74160.09</v>
      </c>
      <c r="L919" s="169">
        <v>83825.49</v>
      </c>
      <c r="M919" s="169">
        <v>58971.77</v>
      </c>
      <c r="N919" s="50">
        <v>91315.0</v>
      </c>
      <c r="O919" s="111">
        <v>23.0</v>
      </c>
      <c r="P919" s="168">
        <v>5.0</v>
      </c>
    </row>
    <row r="920">
      <c r="A920" s="160">
        <v>18.0</v>
      </c>
      <c r="B920" s="160">
        <v>15.0</v>
      </c>
      <c r="C920" s="170">
        <v>7916.0</v>
      </c>
      <c r="D920" s="168">
        <v>202.0</v>
      </c>
      <c r="E920" s="24">
        <v>35.0</v>
      </c>
      <c r="F920" s="169">
        <v>-59384.37</v>
      </c>
      <c r="G920" s="169">
        <v>50651.08</v>
      </c>
      <c r="H920" s="169">
        <v>9695.78</v>
      </c>
      <c r="I920" s="169">
        <v>73227.02</v>
      </c>
      <c r="J920" s="169">
        <v>84103.34</v>
      </c>
      <c r="K920" s="169">
        <v>-76530.46</v>
      </c>
      <c r="L920" s="169">
        <v>-69793.26</v>
      </c>
      <c r="M920" s="169">
        <v>36691.55</v>
      </c>
      <c r="N920" s="50">
        <v>112022.0</v>
      </c>
      <c r="O920" s="111">
        <v>23.0</v>
      </c>
      <c r="P920" s="168">
        <v>9.0</v>
      </c>
    </row>
    <row r="921">
      <c r="A921" s="160">
        <v>79.0</v>
      </c>
      <c r="B921" s="160">
        <v>63.0</v>
      </c>
      <c r="C921" s="170">
        <v>7917.0</v>
      </c>
      <c r="D921" s="168">
        <v>212.0</v>
      </c>
      <c r="E921" s="24">
        <v>72.0</v>
      </c>
      <c r="F921" s="169">
        <v>-25809.03</v>
      </c>
      <c r="G921" s="169">
        <v>48208.33</v>
      </c>
      <c r="H921" s="169">
        <v>527.98</v>
      </c>
      <c r="I921" s="169">
        <v>17851.02</v>
      </c>
      <c r="J921" s="169">
        <v>-16274.02</v>
      </c>
      <c r="K921" s="169">
        <v>42682.34</v>
      </c>
      <c r="L921" s="169">
        <v>-1573.3</v>
      </c>
      <c r="M921" s="169">
        <v>-66713.39</v>
      </c>
      <c r="N921" s="50">
        <v>122221.0</v>
      </c>
      <c r="O921" s="111">
        <v>22.0</v>
      </c>
      <c r="P921" s="168">
        <v>4.0</v>
      </c>
    </row>
    <row r="922">
      <c r="A922" s="160">
        <v>38.0</v>
      </c>
      <c r="B922" s="160">
        <v>68.0</v>
      </c>
      <c r="C922" s="170">
        <v>7918.0</v>
      </c>
      <c r="D922" s="168">
        <v>216.0</v>
      </c>
      <c r="E922" s="24">
        <v>18.0</v>
      </c>
      <c r="F922" s="169">
        <v>-5539.62</v>
      </c>
      <c r="G922" s="169">
        <v>-56510.24</v>
      </c>
      <c r="H922" s="169">
        <v>67940.34</v>
      </c>
      <c r="I922" s="169">
        <v>-64223.27</v>
      </c>
      <c r="J922" s="169">
        <v>3126.79</v>
      </c>
      <c r="K922" s="169">
        <v>-92408.81</v>
      </c>
      <c r="L922" s="169">
        <v>-2108.45</v>
      </c>
      <c r="M922" s="169">
        <v>-46938.68</v>
      </c>
      <c r="N922" s="50">
        <v>62717.0</v>
      </c>
      <c r="O922" s="111">
        <v>21.0</v>
      </c>
      <c r="P922" s="168">
        <v>1.0</v>
      </c>
    </row>
    <row r="923">
      <c r="A923" s="160">
        <v>18.0</v>
      </c>
      <c r="B923" s="160">
        <v>23.0</v>
      </c>
      <c r="C923" s="170">
        <v>7919.0</v>
      </c>
      <c r="D923" s="168">
        <v>202.0</v>
      </c>
      <c r="E923" s="24">
        <v>30.0</v>
      </c>
      <c r="F923" s="169">
        <v>-94209.49</v>
      </c>
      <c r="G923" s="169">
        <v>-87990.1</v>
      </c>
      <c r="H923" s="169">
        <v>92193.78</v>
      </c>
      <c r="I923" s="169">
        <v>-53450.64</v>
      </c>
      <c r="J923" s="169">
        <v>60896.55</v>
      </c>
      <c r="K923" s="169">
        <v>64466.19</v>
      </c>
      <c r="L923" s="169">
        <v>3565.1</v>
      </c>
      <c r="M923" s="169">
        <v>-83836.64</v>
      </c>
      <c r="N923" s="50">
        <v>61713.0</v>
      </c>
      <c r="O923" s="111">
        <v>20.0</v>
      </c>
      <c r="P923" s="168">
        <v>9.0</v>
      </c>
    </row>
    <row r="924">
      <c r="A924" s="160">
        <v>38.0</v>
      </c>
      <c r="B924" s="160">
        <v>73.0</v>
      </c>
      <c r="C924" s="147">
        <v>7920.0</v>
      </c>
      <c r="D924" s="168">
        <v>209.0</v>
      </c>
      <c r="E924" s="24">
        <v>89.0</v>
      </c>
      <c r="F924" s="169">
        <v>-10558.07</v>
      </c>
      <c r="G924" s="169">
        <v>-27636.11</v>
      </c>
      <c r="H924" s="169">
        <v>-66013.24</v>
      </c>
      <c r="I924" s="169">
        <v>69188.49</v>
      </c>
      <c r="J924" s="169">
        <v>-10610.78</v>
      </c>
      <c r="K924" s="169">
        <v>-92676.34</v>
      </c>
      <c r="L924" s="169">
        <v>23300.01</v>
      </c>
      <c r="M924" s="169">
        <v>88044.63</v>
      </c>
      <c r="N924" s="50">
        <v>41118.0</v>
      </c>
      <c r="O924" s="111">
        <v>21.0</v>
      </c>
      <c r="P924" s="168">
        <v>1.0</v>
      </c>
    </row>
    <row r="925">
      <c r="A925" s="160">
        <v>18.0</v>
      </c>
      <c r="B925" s="160">
        <v>31.0</v>
      </c>
      <c r="C925" s="170">
        <v>7921.0</v>
      </c>
      <c r="D925" s="168">
        <v>210.0</v>
      </c>
      <c r="E925" s="24">
        <v>11.0</v>
      </c>
      <c r="F925" s="169">
        <v>60315.89</v>
      </c>
      <c r="G925" s="169">
        <v>60313.44</v>
      </c>
      <c r="H925" s="169">
        <v>-35384.82</v>
      </c>
      <c r="I925" s="169">
        <v>15922.66</v>
      </c>
      <c r="J925" s="169">
        <v>-38783.17</v>
      </c>
      <c r="K925" s="169">
        <v>94753.6</v>
      </c>
      <c r="L925" s="169">
        <v>-13596.79</v>
      </c>
      <c r="M925" s="169">
        <v>6275.41</v>
      </c>
      <c r="N925" s="50">
        <v>52917.0</v>
      </c>
      <c r="O925" s="111">
        <v>20.0</v>
      </c>
      <c r="P925" s="168">
        <v>4.0</v>
      </c>
    </row>
    <row r="926">
      <c r="A926" s="160">
        <v>38.0</v>
      </c>
      <c r="B926" s="160">
        <v>80.0</v>
      </c>
      <c r="C926" s="170">
        <v>7922.0</v>
      </c>
      <c r="D926" s="168">
        <v>205.0</v>
      </c>
      <c r="E926" s="24">
        <v>80.0</v>
      </c>
      <c r="F926" s="169">
        <v>4161.59</v>
      </c>
      <c r="G926" s="169">
        <v>-17565.71</v>
      </c>
      <c r="H926" s="169">
        <v>-59261.48</v>
      </c>
      <c r="I926" s="169">
        <v>41066.92</v>
      </c>
      <c r="J926" s="169">
        <v>18420.42</v>
      </c>
      <c r="K926" s="169">
        <v>-57405.15</v>
      </c>
      <c r="L926" s="169">
        <v>96201.95</v>
      </c>
      <c r="M926" s="169">
        <v>37979.44</v>
      </c>
      <c r="N926" s="50">
        <v>70320.0</v>
      </c>
      <c r="O926" s="111">
        <v>20.0</v>
      </c>
      <c r="P926" s="168">
        <v>2.0</v>
      </c>
    </row>
    <row r="927">
      <c r="A927" s="160">
        <v>79.0</v>
      </c>
      <c r="B927" s="160">
        <v>77.0</v>
      </c>
      <c r="C927" s="170">
        <v>7923.0</v>
      </c>
      <c r="D927" s="168">
        <v>202.0</v>
      </c>
      <c r="E927" s="24">
        <v>76.0</v>
      </c>
      <c r="F927" s="169">
        <v>97457.01</v>
      </c>
      <c r="G927" s="169">
        <v>64621.94</v>
      </c>
      <c r="H927" s="169">
        <v>-13877.59</v>
      </c>
      <c r="I927" s="169">
        <v>26058.69</v>
      </c>
      <c r="J927" s="169">
        <v>-75116.84</v>
      </c>
      <c r="K927" s="169">
        <v>-40731.63</v>
      </c>
      <c r="L927" s="169">
        <v>87904.5</v>
      </c>
      <c r="M927" s="169">
        <v>-88868.09</v>
      </c>
      <c r="N927" s="50">
        <v>82822.0</v>
      </c>
      <c r="O927" s="111">
        <v>22.0</v>
      </c>
      <c r="P927" s="168">
        <v>9.0</v>
      </c>
    </row>
    <row r="928">
      <c r="A928" s="160">
        <v>38.0</v>
      </c>
      <c r="B928" s="160">
        <v>81.0</v>
      </c>
      <c r="C928" s="170">
        <v>7924.0</v>
      </c>
      <c r="D928" s="168">
        <v>213.0</v>
      </c>
      <c r="E928" s="24">
        <v>47.0</v>
      </c>
      <c r="F928" s="169">
        <v>-84815.56</v>
      </c>
      <c r="G928" s="169">
        <v>30973.87</v>
      </c>
      <c r="H928" s="169">
        <v>95514.69</v>
      </c>
      <c r="I928" s="169">
        <v>-65181.36</v>
      </c>
      <c r="J928" s="169">
        <v>-76779.29</v>
      </c>
      <c r="K928" s="169">
        <v>97633.82</v>
      </c>
      <c r="L928" s="169">
        <v>-38955.07</v>
      </c>
      <c r="M928" s="169">
        <v>-15214.72</v>
      </c>
      <c r="N928" s="50">
        <v>82121.0</v>
      </c>
      <c r="O928" s="111">
        <v>23.0</v>
      </c>
      <c r="P928" s="168">
        <v>1.0</v>
      </c>
    </row>
    <row r="929">
      <c r="A929" s="160">
        <v>18.0</v>
      </c>
      <c r="B929" s="160">
        <v>33.0</v>
      </c>
      <c r="C929" s="147">
        <v>7925.0</v>
      </c>
      <c r="D929" s="168">
        <v>211.0</v>
      </c>
      <c r="E929" s="24">
        <v>37.0</v>
      </c>
      <c r="F929" s="169">
        <v>69614.5</v>
      </c>
      <c r="G929" s="169">
        <v>84334.0</v>
      </c>
      <c r="H929" s="169">
        <v>78395.34</v>
      </c>
      <c r="I929" s="169">
        <v>-4745.68</v>
      </c>
      <c r="J929" s="169">
        <v>-33108.81</v>
      </c>
      <c r="K929" s="169">
        <v>70131.11</v>
      </c>
      <c r="L929" s="169">
        <v>978.34</v>
      </c>
      <c r="M929" s="169">
        <v>10228.56</v>
      </c>
      <c r="N929" s="50">
        <v>122621.0</v>
      </c>
      <c r="O929" s="111">
        <v>22.0</v>
      </c>
      <c r="P929" s="168">
        <v>7.0</v>
      </c>
    </row>
    <row r="930">
      <c r="A930" s="160">
        <v>38.0</v>
      </c>
      <c r="B930" s="160">
        <v>84.0</v>
      </c>
      <c r="C930" s="170">
        <v>7926.0</v>
      </c>
      <c r="D930" s="168">
        <v>218.0</v>
      </c>
      <c r="E930" s="24">
        <v>58.0</v>
      </c>
      <c r="F930" s="169">
        <v>-37779.08</v>
      </c>
      <c r="G930" s="169">
        <v>-44450.73</v>
      </c>
      <c r="H930" s="169">
        <v>-41690.36</v>
      </c>
      <c r="I930" s="169">
        <v>61637.39</v>
      </c>
      <c r="J930" s="169">
        <v>-53186.33</v>
      </c>
      <c r="K930" s="169">
        <v>-63447.89</v>
      </c>
      <c r="L930" s="169">
        <v>-9200.72</v>
      </c>
      <c r="M930" s="169">
        <v>46295.4</v>
      </c>
      <c r="N930" s="50">
        <v>41713.0</v>
      </c>
      <c r="O930" s="111">
        <v>20.0</v>
      </c>
      <c r="P930" s="168">
        <v>2.0</v>
      </c>
    </row>
    <row r="931">
      <c r="A931" s="160">
        <v>18.0</v>
      </c>
      <c r="B931" s="160">
        <v>35.0</v>
      </c>
      <c r="C931" s="170">
        <v>7927.0</v>
      </c>
      <c r="D931" s="168">
        <v>217.0</v>
      </c>
      <c r="E931" s="24">
        <v>85.0</v>
      </c>
      <c r="F931" s="169">
        <v>-57646.11</v>
      </c>
      <c r="G931" s="169">
        <v>-95119.5</v>
      </c>
      <c r="H931" s="169">
        <v>-86183.21</v>
      </c>
      <c r="I931" s="169">
        <v>-38935.43</v>
      </c>
      <c r="J931" s="169">
        <v>98949.58</v>
      </c>
      <c r="K931" s="169">
        <v>-46001.65</v>
      </c>
      <c r="L931" s="169">
        <v>-52204.38</v>
      </c>
      <c r="M931" s="169">
        <v>-14632.97</v>
      </c>
      <c r="N931" s="50">
        <v>31917.0</v>
      </c>
      <c r="O931" s="111">
        <v>20.0</v>
      </c>
      <c r="P931" s="168">
        <v>7.0</v>
      </c>
    </row>
    <row r="932">
      <c r="A932" s="160">
        <v>79.0</v>
      </c>
      <c r="B932" s="160">
        <v>88.0</v>
      </c>
      <c r="C932" s="170">
        <v>7928.0</v>
      </c>
      <c r="D932" s="168">
        <v>215.0</v>
      </c>
      <c r="E932" s="24">
        <v>23.0</v>
      </c>
      <c r="F932" s="169">
        <v>-9242.03</v>
      </c>
      <c r="G932" s="169">
        <v>69628.17</v>
      </c>
      <c r="H932" s="169">
        <v>-64308.09</v>
      </c>
      <c r="I932" s="169">
        <v>16941.03</v>
      </c>
      <c r="J932" s="169">
        <v>134.71</v>
      </c>
      <c r="K932" s="169">
        <v>-1604.56</v>
      </c>
      <c r="L932" s="169">
        <v>-75814.23</v>
      </c>
      <c r="M932" s="169">
        <v>-17347.74</v>
      </c>
      <c r="N932" s="50">
        <v>102218.0</v>
      </c>
      <c r="O932" s="111">
        <v>22.0</v>
      </c>
      <c r="P932" s="168">
        <v>7.0</v>
      </c>
    </row>
    <row r="933">
      <c r="A933" s="160">
        <v>18.0</v>
      </c>
      <c r="B933" s="160">
        <v>52.0</v>
      </c>
      <c r="C933" s="170">
        <v>7929.0</v>
      </c>
      <c r="D933" s="168">
        <v>213.0</v>
      </c>
      <c r="E933" s="24">
        <v>48.0</v>
      </c>
      <c r="F933" s="169">
        <v>47899.99</v>
      </c>
      <c r="G933" s="169">
        <v>-46944.58</v>
      </c>
      <c r="H933" s="169">
        <v>-78656.97</v>
      </c>
      <c r="I933" s="169">
        <v>-38712.49</v>
      </c>
      <c r="J933" s="169">
        <v>-12725.26</v>
      </c>
      <c r="K933" s="169">
        <v>1528.79</v>
      </c>
      <c r="L933" s="169">
        <v>-82691.19</v>
      </c>
      <c r="M933" s="169">
        <v>-81435.59</v>
      </c>
      <c r="N933" s="50">
        <v>122315.0</v>
      </c>
      <c r="O933" s="111">
        <v>21.0</v>
      </c>
      <c r="P933" s="168">
        <v>8.0</v>
      </c>
    </row>
    <row r="934">
      <c r="A934" s="160">
        <v>59.0</v>
      </c>
      <c r="B934" s="160">
        <v>58.0</v>
      </c>
      <c r="C934" s="147">
        <v>7930.0</v>
      </c>
      <c r="D934" s="168">
        <v>202.0</v>
      </c>
      <c r="E934" s="24">
        <v>89.0</v>
      </c>
      <c r="F934" s="169">
        <v>10112.35</v>
      </c>
      <c r="G934" s="169">
        <v>-83981.0</v>
      </c>
      <c r="H934" s="169">
        <v>-46330.53</v>
      </c>
      <c r="I934" s="169">
        <v>50444.99</v>
      </c>
      <c r="J934" s="169">
        <v>96239.7</v>
      </c>
      <c r="K934" s="169">
        <v>41652.72</v>
      </c>
      <c r="L934" s="169">
        <v>43981.09</v>
      </c>
      <c r="M934" s="169">
        <v>-20410.1</v>
      </c>
      <c r="N934" s="50">
        <v>120814.0</v>
      </c>
      <c r="O934" s="111">
        <v>23.0</v>
      </c>
      <c r="P934" s="168">
        <v>2.0</v>
      </c>
    </row>
    <row r="935">
      <c r="A935" s="160">
        <v>39.0</v>
      </c>
      <c r="B935" s="160">
        <v>11.0</v>
      </c>
      <c r="C935" s="170">
        <v>7931.0</v>
      </c>
      <c r="D935" s="168">
        <v>209.0</v>
      </c>
      <c r="E935" s="24">
        <v>49.0</v>
      </c>
      <c r="F935" s="169">
        <v>85832.49</v>
      </c>
      <c r="G935" s="169">
        <v>-84855.21</v>
      </c>
      <c r="H935" s="169">
        <v>36944.59</v>
      </c>
      <c r="I935" s="169">
        <v>-73705.55</v>
      </c>
      <c r="J935" s="169">
        <v>82408.55</v>
      </c>
      <c r="K935" s="169">
        <v>58787.61</v>
      </c>
      <c r="L935" s="169">
        <v>98036.06</v>
      </c>
      <c r="M935" s="169">
        <v>83303.85</v>
      </c>
      <c r="N935" s="50">
        <v>20817.0</v>
      </c>
      <c r="O935" s="111">
        <v>21.0</v>
      </c>
      <c r="P935" s="168">
        <v>9.0</v>
      </c>
    </row>
    <row r="936">
      <c r="A936" s="160">
        <v>39.0</v>
      </c>
      <c r="B936" s="160">
        <v>12.0</v>
      </c>
      <c r="C936" s="170">
        <v>7932.0</v>
      </c>
      <c r="D936" s="168">
        <v>218.0</v>
      </c>
      <c r="E936" s="24">
        <v>59.0</v>
      </c>
      <c r="F936" s="169">
        <v>67720.91</v>
      </c>
      <c r="G936" s="169">
        <v>10628.94</v>
      </c>
      <c r="H936" s="169">
        <v>57160.32</v>
      </c>
      <c r="I936" s="169">
        <v>-45227.15</v>
      </c>
      <c r="J936" s="169">
        <v>64507.29</v>
      </c>
      <c r="K936" s="169">
        <v>-72079.71</v>
      </c>
      <c r="L936" s="169">
        <v>29712.36</v>
      </c>
      <c r="M936" s="169">
        <v>-99591.3</v>
      </c>
      <c r="N936" s="50">
        <v>31315.0</v>
      </c>
      <c r="O936" s="111">
        <v>23.0</v>
      </c>
      <c r="P936" s="168">
        <v>3.0</v>
      </c>
    </row>
    <row r="937">
      <c r="A937" s="160">
        <v>39.0</v>
      </c>
      <c r="B937" s="160">
        <v>10.0</v>
      </c>
      <c r="C937" s="170">
        <v>7933.0</v>
      </c>
      <c r="D937" s="168">
        <v>217.0</v>
      </c>
      <c r="E937" s="24">
        <v>52.0</v>
      </c>
      <c r="F937" s="169">
        <v>76703.64</v>
      </c>
      <c r="G937" s="169">
        <v>-60978.82</v>
      </c>
      <c r="H937" s="169">
        <v>-6688.07</v>
      </c>
      <c r="I937" s="169">
        <v>37331.44</v>
      </c>
      <c r="J937" s="169">
        <v>49515.42</v>
      </c>
      <c r="K937" s="169">
        <v>-24169.31</v>
      </c>
      <c r="L937" s="169">
        <v>-45869.38</v>
      </c>
      <c r="M937" s="169">
        <v>-69500.58</v>
      </c>
      <c r="N937" s="50">
        <v>111014.0</v>
      </c>
      <c r="O937" s="111">
        <v>20.0</v>
      </c>
      <c r="P937" s="168">
        <v>6.0</v>
      </c>
    </row>
    <row r="938">
      <c r="A938" s="160">
        <v>18.0</v>
      </c>
      <c r="B938" s="160">
        <v>66.0</v>
      </c>
      <c r="C938" s="170">
        <v>7934.0</v>
      </c>
      <c r="D938" s="168">
        <v>220.0</v>
      </c>
      <c r="E938" s="24">
        <v>64.0</v>
      </c>
      <c r="F938" s="169">
        <v>76212.52</v>
      </c>
      <c r="G938" s="169">
        <v>-6058.91</v>
      </c>
      <c r="H938" s="169">
        <v>-76767.74</v>
      </c>
      <c r="I938" s="169">
        <v>-67887.28</v>
      </c>
      <c r="J938" s="169">
        <v>33599.49</v>
      </c>
      <c r="K938" s="169">
        <v>6869.99</v>
      </c>
      <c r="L938" s="169">
        <v>24675.45</v>
      </c>
      <c r="M938" s="169">
        <v>98482.52</v>
      </c>
      <c r="N938" s="50">
        <v>32017.0</v>
      </c>
      <c r="O938" s="111">
        <v>20.0</v>
      </c>
      <c r="P938" s="168">
        <v>1.0</v>
      </c>
    </row>
    <row r="939">
      <c r="A939" s="160">
        <v>39.0</v>
      </c>
      <c r="B939" s="160">
        <v>17.0</v>
      </c>
      <c r="C939" s="147">
        <v>7935.0</v>
      </c>
      <c r="D939" s="168">
        <v>215.0</v>
      </c>
      <c r="E939" s="24">
        <v>90.0</v>
      </c>
      <c r="F939" s="169">
        <v>60470.28</v>
      </c>
      <c r="G939" s="169">
        <v>-71766.01</v>
      </c>
      <c r="H939" s="169">
        <v>-17309.14</v>
      </c>
      <c r="I939" s="169">
        <v>43480.68</v>
      </c>
      <c r="J939" s="169">
        <v>48984.39</v>
      </c>
      <c r="K939" s="169">
        <v>83287.6</v>
      </c>
      <c r="L939" s="169">
        <v>65920.4</v>
      </c>
      <c r="M939" s="169">
        <v>1198.54</v>
      </c>
      <c r="N939" s="50">
        <v>121520.0</v>
      </c>
      <c r="O939" s="111">
        <v>23.0</v>
      </c>
      <c r="P939" s="168">
        <v>2.0</v>
      </c>
    </row>
    <row r="940">
      <c r="A940" s="160">
        <v>80.0</v>
      </c>
      <c r="B940" s="160">
        <v>15.0</v>
      </c>
      <c r="C940" s="170">
        <v>7936.0</v>
      </c>
      <c r="D940" s="168">
        <v>218.0</v>
      </c>
      <c r="E940" s="24">
        <v>94.0</v>
      </c>
      <c r="F940" s="169">
        <v>58040.0</v>
      </c>
      <c r="G940" s="169">
        <v>60021.74</v>
      </c>
      <c r="H940" s="169">
        <v>-22720.14</v>
      </c>
      <c r="I940" s="169">
        <v>-96882.52</v>
      </c>
      <c r="J940" s="169">
        <v>31838.51</v>
      </c>
      <c r="K940" s="169">
        <v>-69053.25</v>
      </c>
      <c r="L940" s="169">
        <v>-77507.4</v>
      </c>
      <c r="M940" s="169">
        <v>20974.53</v>
      </c>
      <c r="N940" s="50">
        <v>121013.0</v>
      </c>
      <c r="O940" s="111">
        <v>20.0</v>
      </c>
      <c r="P940" s="168">
        <v>8.0</v>
      </c>
    </row>
    <row r="941">
      <c r="A941" s="160">
        <v>80.0</v>
      </c>
      <c r="B941" s="160">
        <v>20.0</v>
      </c>
      <c r="C941" s="170">
        <v>7937.0</v>
      </c>
      <c r="D941" s="168">
        <v>220.0</v>
      </c>
      <c r="E941" s="24">
        <v>36.0</v>
      </c>
      <c r="F941" s="169">
        <v>-76381.86</v>
      </c>
      <c r="G941" s="169">
        <v>8224.16</v>
      </c>
      <c r="H941" s="169">
        <v>-22584.97</v>
      </c>
      <c r="I941" s="169">
        <v>53394.0</v>
      </c>
      <c r="J941" s="169">
        <v>3010.61</v>
      </c>
      <c r="K941" s="169">
        <v>-58422.21</v>
      </c>
      <c r="L941" s="169">
        <v>50519.86</v>
      </c>
      <c r="M941" s="169">
        <v>34461.0</v>
      </c>
      <c r="N941" s="50">
        <v>12013.0</v>
      </c>
      <c r="O941" s="111">
        <v>22.0</v>
      </c>
      <c r="P941" s="168">
        <v>2.0</v>
      </c>
    </row>
    <row r="942">
      <c r="A942" s="160">
        <v>18.0</v>
      </c>
      <c r="B942" s="160">
        <v>80.0</v>
      </c>
      <c r="C942" s="170">
        <v>7938.0</v>
      </c>
      <c r="D942" s="168">
        <v>207.0</v>
      </c>
      <c r="E942" s="24">
        <v>61.0</v>
      </c>
      <c r="F942" s="169">
        <v>10895.98</v>
      </c>
      <c r="G942" s="169">
        <v>-35242.69</v>
      </c>
      <c r="H942" s="169">
        <v>91324.41</v>
      </c>
      <c r="I942" s="169">
        <v>80402.7</v>
      </c>
      <c r="J942" s="169">
        <v>43850.69</v>
      </c>
      <c r="K942" s="169">
        <v>99135.7</v>
      </c>
      <c r="L942" s="169">
        <v>828.05</v>
      </c>
      <c r="M942" s="169">
        <v>60861.23</v>
      </c>
      <c r="N942" s="50">
        <v>71217.0</v>
      </c>
      <c r="O942" s="111">
        <v>22.0</v>
      </c>
      <c r="P942" s="168">
        <v>4.0</v>
      </c>
    </row>
    <row r="943">
      <c r="A943" s="160">
        <v>59.0</v>
      </c>
      <c r="B943" s="160">
        <v>76.0</v>
      </c>
      <c r="C943" s="170">
        <v>7939.0</v>
      </c>
      <c r="D943" s="168">
        <v>220.0</v>
      </c>
      <c r="E943" s="24">
        <v>60.0</v>
      </c>
      <c r="F943" s="169">
        <v>12682.72</v>
      </c>
      <c r="G943" s="169">
        <v>96846.68</v>
      </c>
      <c r="H943" s="169">
        <v>-38364.92</v>
      </c>
      <c r="I943" s="169">
        <v>99375.82</v>
      </c>
      <c r="J943" s="169">
        <v>-94956.93</v>
      </c>
      <c r="K943" s="169">
        <v>-65391.93</v>
      </c>
      <c r="L943" s="169">
        <v>75678.91</v>
      </c>
      <c r="M943" s="169">
        <v>-39597.97</v>
      </c>
      <c r="N943" s="50">
        <v>110516.0</v>
      </c>
      <c r="O943" s="111">
        <v>23.0</v>
      </c>
      <c r="P943" s="168">
        <v>6.0</v>
      </c>
    </row>
    <row r="944">
      <c r="A944" s="160">
        <v>59.0</v>
      </c>
      <c r="B944" s="160">
        <v>78.0</v>
      </c>
      <c r="C944" s="147">
        <v>7940.0</v>
      </c>
      <c r="D944" s="168">
        <v>202.0</v>
      </c>
      <c r="E944" s="24">
        <v>62.0</v>
      </c>
      <c r="F944" s="169">
        <v>47577.43</v>
      </c>
      <c r="G944" s="169">
        <v>-88887.74</v>
      </c>
      <c r="H944" s="169">
        <v>-17852.6</v>
      </c>
      <c r="I944" s="169">
        <v>-92.88</v>
      </c>
      <c r="J944" s="169">
        <v>37360.53</v>
      </c>
      <c r="K944" s="169">
        <v>24221.98</v>
      </c>
      <c r="L944" s="169">
        <v>-8922.72</v>
      </c>
      <c r="M944" s="169">
        <v>-29809.23</v>
      </c>
      <c r="N944" s="50">
        <v>110922.0</v>
      </c>
      <c r="O944" s="111">
        <v>20.0</v>
      </c>
      <c r="P944" s="168">
        <v>2.0</v>
      </c>
    </row>
    <row r="945">
      <c r="A945" s="160">
        <v>18.0</v>
      </c>
      <c r="B945" s="160">
        <v>83.0</v>
      </c>
      <c r="C945" s="170">
        <v>7941.0</v>
      </c>
      <c r="D945" s="168">
        <v>211.0</v>
      </c>
      <c r="E945" s="24">
        <v>10.0</v>
      </c>
      <c r="F945" s="169">
        <v>-60759.85</v>
      </c>
      <c r="G945" s="169">
        <v>83222.93</v>
      </c>
      <c r="H945" s="169">
        <v>-47287.02</v>
      </c>
      <c r="I945" s="169">
        <v>-67687.86</v>
      </c>
      <c r="J945" s="169">
        <v>45053.03</v>
      </c>
      <c r="K945" s="169">
        <v>96370.66</v>
      </c>
      <c r="L945" s="169">
        <v>-10761.99</v>
      </c>
      <c r="M945" s="169">
        <v>61817.01</v>
      </c>
      <c r="N945" s="50">
        <v>20819.0</v>
      </c>
      <c r="O945" s="111">
        <v>21.0</v>
      </c>
      <c r="P945" s="168">
        <v>7.0</v>
      </c>
    </row>
    <row r="946">
      <c r="A946" s="160">
        <v>59.0</v>
      </c>
      <c r="B946" s="160">
        <v>82.0</v>
      </c>
      <c r="C946" s="170">
        <v>7942.0</v>
      </c>
      <c r="D946" s="168">
        <v>219.0</v>
      </c>
      <c r="E946" s="24">
        <v>59.0</v>
      </c>
      <c r="F946" s="169">
        <v>-1650.24</v>
      </c>
      <c r="G946" s="169">
        <v>69757.1</v>
      </c>
      <c r="H946" s="169">
        <v>-50922.37</v>
      </c>
      <c r="I946" s="169">
        <v>-54870.08</v>
      </c>
      <c r="J946" s="169">
        <v>-68443.31</v>
      </c>
      <c r="K946" s="169">
        <v>-13598.86</v>
      </c>
      <c r="L946" s="169">
        <v>1861.22</v>
      </c>
      <c r="M946" s="169">
        <v>-67887.24</v>
      </c>
      <c r="N946" s="50">
        <v>62213.0</v>
      </c>
      <c r="O946" s="111">
        <v>21.0</v>
      </c>
      <c r="P946" s="168">
        <v>3.0</v>
      </c>
    </row>
    <row r="947">
      <c r="A947" s="160">
        <v>59.0</v>
      </c>
      <c r="B947" s="160">
        <v>92.0</v>
      </c>
      <c r="C947" s="170">
        <v>7943.0</v>
      </c>
      <c r="D947" s="168">
        <v>216.0</v>
      </c>
      <c r="E947" s="24">
        <v>24.0</v>
      </c>
      <c r="F947" s="169">
        <v>-62736.62</v>
      </c>
      <c r="G947" s="169">
        <v>-48108.85</v>
      </c>
      <c r="H947" s="169">
        <v>-10697.88</v>
      </c>
      <c r="I947" s="169">
        <v>-98551.14</v>
      </c>
      <c r="J947" s="169">
        <v>-47032.78</v>
      </c>
      <c r="K947" s="169">
        <v>-85822.86</v>
      </c>
      <c r="L947" s="169">
        <v>-80334.92</v>
      </c>
      <c r="M947" s="169">
        <v>-8065.52</v>
      </c>
      <c r="N947" s="50">
        <v>22920.0</v>
      </c>
      <c r="O947" s="111">
        <v>20.0</v>
      </c>
      <c r="P947" s="168">
        <v>3.0</v>
      </c>
    </row>
    <row r="948">
      <c r="A948" s="160">
        <v>59.0</v>
      </c>
      <c r="B948" s="160">
        <v>93.0</v>
      </c>
      <c r="C948" s="170">
        <v>7944.0</v>
      </c>
      <c r="D948" s="168">
        <v>216.0</v>
      </c>
      <c r="E948" s="24">
        <v>32.0</v>
      </c>
      <c r="F948" s="169">
        <v>-90923.52</v>
      </c>
      <c r="G948" s="169">
        <v>-57903.92</v>
      </c>
      <c r="H948" s="169">
        <v>83135.38</v>
      </c>
      <c r="I948" s="169">
        <v>19639.71</v>
      </c>
      <c r="J948" s="169">
        <v>-1657.55</v>
      </c>
      <c r="K948" s="169">
        <v>84556.53</v>
      </c>
      <c r="L948" s="169">
        <v>-33370.67</v>
      </c>
      <c r="M948" s="169">
        <v>-14810.85</v>
      </c>
      <c r="N948" s="50">
        <v>110918.0</v>
      </c>
      <c r="O948" s="111">
        <v>20.0</v>
      </c>
      <c r="P948" s="168">
        <v>6.0</v>
      </c>
    </row>
    <row r="949">
      <c r="A949" s="160">
        <v>80.0</v>
      </c>
      <c r="B949" s="160">
        <v>42.0</v>
      </c>
      <c r="C949" s="147">
        <v>7945.0</v>
      </c>
      <c r="D949" s="168">
        <v>205.0</v>
      </c>
      <c r="E949" s="24">
        <v>78.0</v>
      </c>
      <c r="F949" s="169">
        <v>46248.93</v>
      </c>
      <c r="G949" s="169">
        <v>-36110.99</v>
      </c>
      <c r="H949" s="169">
        <v>89162.15</v>
      </c>
      <c r="I949" s="169">
        <v>-80658.06</v>
      </c>
      <c r="J949" s="169">
        <v>-98622.86</v>
      </c>
      <c r="K949" s="169">
        <v>59413.51</v>
      </c>
      <c r="L949" s="169">
        <v>-79697.88</v>
      </c>
      <c r="M949" s="169">
        <v>-67684.94</v>
      </c>
      <c r="N949" s="50">
        <v>101022.0</v>
      </c>
      <c r="O949" s="111">
        <v>21.0</v>
      </c>
      <c r="P949" s="168">
        <v>6.0</v>
      </c>
    </row>
    <row r="950">
      <c r="A950" s="160">
        <v>59.0</v>
      </c>
      <c r="B950" s="160">
        <v>95.0</v>
      </c>
      <c r="C950" s="170">
        <v>7946.0</v>
      </c>
      <c r="D950" s="168">
        <v>203.0</v>
      </c>
      <c r="E950" s="24">
        <v>54.0</v>
      </c>
      <c r="F950" s="169">
        <v>-65184.7</v>
      </c>
      <c r="G950" s="169">
        <v>-80678.39</v>
      </c>
      <c r="H950" s="169">
        <v>30232.32</v>
      </c>
      <c r="I950" s="169">
        <v>398.01</v>
      </c>
      <c r="J950" s="169">
        <v>-66532.61</v>
      </c>
      <c r="K950" s="169">
        <v>-49467.3</v>
      </c>
      <c r="L950" s="169">
        <v>-6361.46</v>
      </c>
      <c r="M950" s="169">
        <v>79710.44</v>
      </c>
      <c r="N950" s="50">
        <v>60218.0</v>
      </c>
      <c r="O950" s="111">
        <v>22.0</v>
      </c>
      <c r="P950" s="168">
        <v>6.0</v>
      </c>
    </row>
    <row r="951">
      <c r="A951" s="160">
        <v>39.0</v>
      </c>
      <c r="B951" s="160">
        <v>60.0</v>
      </c>
      <c r="C951" s="170">
        <v>7947.0</v>
      </c>
      <c r="D951" s="168">
        <v>206.0</v>
      </c>
      <c r="E951" s="24">
        <v>90.0</v>
      </c>
      <c r="F951" s="169">
        <v>-90723.58</v>
      </c>
      <c r="G951" s="169">
        <v>-90812.54</v>
      </c>
      <c r="H951" s="169">
        <v>-76844.55</v>
      </c>
      <c r="I951" s="169">
        <v>84312.4</v>
      </c>
      <c r="J951" s="169">
        <v>19006.01</v>
      </c>
      <c r="K951" s="169">
        <v>-51071.71</v>
      </c>
      <c r="L951" s="169">
        <v>-81684.66</v>
      </c>
      <c r="M951" s="169">
        <v>-64011.07</v>
      </c>
      <c r="N951" s="50">
        <v>42419.0</v>
      </c>
      <c r="O951" s="111">
        <v>23.0</v>
      </c>
      <c r="P951" s="168">
        <v>6.0</v>
      </c>
    </row>
    <row r="952">
      <c r="A952" s="160">
        <v>19.0</v>
      </c>
      <c r="B952" s="160">
        <v>13.0</v>
      </c>
      <c r="C952" s="170">
        <v>7948.0</v>
      </c>
      <c r="D952" s="168">
        <v>203.0</v>
      </c>
      <c r="E952" s="24">
        <v>71.0</v>
      </c>
      <c r="F952" s="169">
        <v>11000.91</v>
      </c>
      <c r="G952" s="169">
        <v>-24917.42</v>
      </c>
      <c r="H952" s="169">
        <v>-9299.42</v>
      </c>
      <c r="I952" s="169">
        <v>15635.35</v>
      </c>
      <c r="J952" s="169">
        <v>92657.36</v>
      </c>
      <c r="K952" s="169">
        <v>72570.2</v>
      </c>
      <c r="L952" s="169">
        <v>24471.57</v>
      </c>
      <c r="M952" s="169">
        <v>-67621.28</v>
      </c>
      <c r="N952" s="50">
        <v>51822.0</v>
      </c>
      <c r="O952" s="111">
        <v>23.0</v>
      </c>
      <c r="P952" s="168">
        <v>2.0</v>
      </c>
    </row>
    <row r="953">
      <c r="A953" s="160">
        <v>19.0</v>
      </c>
      <c r="B953" s="160">
        <v>19.0</v>
      </c>
      <c r="C953" s="170">
        <v>7949.0</v>
      </c>
      <c r="D953" s="168">
        <v>217.0</v>
      </c>
      <c r="E953" s="24">
        <v>44.0</v>
      </c>
      <c r="F953" s="169">
        <v>-47268.37</v>
      </c>
      <c r="G953" s="169">
        <v>25409.29</v>
      </c>
      <c r="H953" s="169">
        <v>55820.81</v>
      </c>
      <c r="I953" s="169">
        <v>35806.51</v>
      </c>
      <c r="J953" s="169">
        <v>97227.34</v>
      </c>
      <c r="K953" s="169">
        <v>-73725.13</v>
      </c>
      <c r="L953" s="169">
        <v>29442.99</v>
      </c>
      <c r="M953" s="169">
        <v>85630.6</v>
      </c>
      <c r="N953" s="50">
        <v>72217.0</v>
      </c>
      <c r="O953" s="111">
        <v>23.0</v>
      </c>
      <c r="P953" s="168">
        <v>8.0</v>
      </c>
    </row>
    <row r="954">
      <c r="A954" s="160">
        <v>19.0</v>
      </c>
      <c r="B954" s="160">
        <v>22.0</v>
      </c>
      <c r="C954" s="147">
        <v>7950.0</v>
      </c>
      <c r="D954" s="168">
        <v>206.0</v>
      </c>
      <c r="E954" s="24">
        <v>78.0</v>
      </c>
      <c r="F954" s="169">
        <v>-84064.3</v>
      </c>
      <c r="G954" s="169">
        <v>93966.37</v>
      </c>
      <c r="H954" s="169">
        <v>-31434.73</v>
      </c>
      <c r="I954" s="169">
        <v>-25235.4</v>
      </c>
      <c r="J954" s="169">
        <v>58576.39</v>
      </c>
      <c r="K954" s="169">
        <v>37328.18</v>
      </c>
      <c r="L954" s="169">
        <v>92067.13</v>
      </c>
      <c r="M954" s="169">
        <v>-67305.05</v>
      </c>
      <c r="N954" s="50">
        <v>62021.0</v>
      </c>
      <c r="O954" s="111">
        <v>20.0</v>
      </c>
      <c r="P954" s="168">
        <v>1.0</v>
      </c>
    </row>
    <row r="955">
      <c r="A955" s="160">
        <v>19.0</v>
      </c>
      <c r="B955" s="160">
        <v>23.0</v>
      </c>
      <c r="C955" s="170">
        <v>7951.0</v>
      </c>
      <c r="D955" s="168">
        <v>211.0</v>
      </c>
      <c r="E955" s="24">
        <v>23.0</v>
      </c>
      <c r="F955" s="169">
        <v>73582.07</v>
      </c>
      <c r="G955" s="169">
        <v>62970.58</v>
      </c>
      <c r="H955" s="169">
        <v>43822.38</v>
      </c>
      <c r="I955" s="169">
        <v>-45358.36</v>
      </c>
      <c r="J955" s="169">
        <v>-44806.73</v>
      </c>
      <c r="K955" s="169">
        <v>-47462.7</v>
      </c>
      <c r="L955" s="169">
        <v>-560.63</v>
      </c>
      <c r="M955" s="169">
        <v>-80119.56</v>
      </c>
      <c r="N955" s="50">
        <v>11321.0</v>
      </c>
      <c r="O955" s="111">
        <v>23.0</v>
      </c>
      <c r="P955" s="168">
        <v>4.0</v>
      </c>
    </row>
    <row r="956">
      <c r="A956" s="160">
        <v>39.0</v>
      </c>
      <c r="B956" s="160">
        <v>77.0</v>
      </c>
      <c r="C956" s="170">
        <v>7952.0</v>
      </c>
      <c r="D956" s="168">
        <v>217.0</v>
      </c>
      <c r="E956" s="24">
        <v>52.0</v>
      </c>
      <c r="F956" s="169">
        <v>77326.41</v>
      </c>
      <c r="G956" s="169">
        <v>33496.79</v>
      </c>
      <c r="H956" s="169">
        <v>-97439.24</v>
      </c>
      <c r="I956" s="169">
        <v>-19192.59</v>
      </c>
      <c r="J956" s="169">
        <v>-86244.4</v>
      </c>
      <c r="K956" s="169">
        <v>63433.65</v>
      </c>
      <c r="L956" s="169">
        <v>-44934.36</v>
      </c>
      <c r="M956" s="169">
        <v>-97375.32</v>
      </c>
      <c r="N956" s="50">
        <v>42117.0</v>
      </c>
      <c r="O956" s="111">
        <v>22.0</v>
      </c>
      <c r="P956" s="168">
        <v>2.0</v>
      </c>
    </row>
    <row r="957">
      <c r="A957" s="160">
        <v>60.0</v>
      </c>
      <c r="B957" s="160">
        <v>26.0</v>
      </c>
      <c r="C957" s="170">
        <v>7953.0</v>
      </c>
      <c r="D957" s="168">
        <v>210.0</v>
      </c>
      <c r="E957" s="24">
        <v>94.0</v>
      </c>
      <c r="F957" s="169">
        <v>-88090.51</v>
      </c>
      <c r="G957" s="169">
        <v>61130.52</v>
      </c>
      <c r="H957" s="169">
        <v>-28145.31</v>
      </c>
      <c r="I957" s="169">
        <v>23856.14</v>
      </c>
      <c r="J957" s="169">
        <v>3018.47</v>
      </c>
      <c r="K957" s="169">
        <v>54575.52</v>
      </c>
      <c r="L957" s="169">
        <v>60757.03</v>
      </c>
      <c r="M957" s="169">
        <v>-3337.3</v>
      </c>
      <c r="N957" s="50">
        <v>100616.0</v>
      </c>
      <c r="O957" s="111">
        <v>21.0</v>
      </c>
      <c r="P957" s="168">
        <v>5.0</v>
      </c>
    </row>
    <row r="958">
      <c r="A958" s="160">
        <v>80.0</v>
      </c>
      <c r="B958" s="160">
        <v>77.0</v>
      </c>
      <c r="C958" s="170">
        <v>7954.0</v>
      </c>
      <c r="D958" s="168">
        <v>216.0</v>
      </c>
      <c r="E958" s="24">
        <v>68.0</v>
      </c>
      <c r="F958" s="169">
        <v>-62845.06</v>
      </c>
      <c r="G958" s="169">
        <v>81061.03</v>
      </c>
      <c r="H958" s="169">
        <v>-41456.43</v>
      </c>
      <c r="I958" s="169">
        <v>83260.64</v>
      </c>
      <c r="J958" s="169">
        <v>-51872.59</v>
      </c>
      <c r="K958" s="169">
        <v>-66599.66</v>
      </c>
      <c r="L958" s="169">
        <v>43958.54</v>
      </c>
      <c r="M958" s="169">
        <v>17778.66</v>
      </c>
      <c r="N958" s="50">
        <v>112114.0</v>
      </c>
      <c r="O958" s="111">
        <v>22.0</v>
      </c>
      <c r="P958" s="168">
        <v>7.0</v>
      </c>
    </row>
    <row r="959">
      <c r="A959" s="160">
        <v>39.0</v>
      </c>
      <c r="B959" s="160">
        <v>81.0</v>
      </c>
      <c r="C959" s="147">
        <v>7955.0</v>
      </c>
      <c r="D959" s="168">
        <v>208.0</v>
      </c>
      <c r="E959" s="24">
        <v>56.0</v>
      </c>
      <c r="F959" s="169">
        <v>2615.87</v>
      </c>
      <c r="G959" s="169">
        <v>-64604.92</v>
      </c>
      <c r="H959" s="169">
        <v>16554.72</v>
      </c>
      <c r="I959" s="169">
        <v>-43412.14</v>
      </c>
      <c r="J959" s="169">
        <v>33370.88</v>
      </c>
      <c r="K959" s="169">
        <v>-38862.76</v>
      </c>
      <c r="L959" s="169">
        <v>-42989.18</v>
      </c>
      <c r="M959" s="169">
        <v>-25561.09</v>
      </c>
      <c r="N959" s="50">
        <v>90322.0</v>
      </c>
      <c r="O959" s="111">
        <v>22.0</v>
      </c>
      <c r="P959" s="168">
        <v>5.0</v>
      </c>
    </row>
    <row r="960">
      <c r="A960" s="160">
        <v>80.0</v>
      </c>
      <c r="B960" s="160">
        <v>79.0</v>
      </c>
      <c r="C960" s="170">
        <v>7956.0</v>
      </c>
      <c r="D960" s="168">
        <v>205.0</v>
      </c>
      <c r="E960" s="24">
        <v>13.0</v>
      </c>
      <c r="F960" s="169">
        <v>-7279.82</v>
      </c>
      <c r="G960" s="169">
        <v>26235.63</v>
      </c>
      <c r="H960" s="169">
        <v>-42287.75</v>
      </c>
      <c r="I960" s="169">
        <v>65746.86</v>
      </c>
      <c r="J960" s="169">
        <v>67450.06</v>
      </c>
      <c r="K960" s="169">
        <v>36160.51</v>
      </c>
      <c r="L960" s="169">
        <v>-90029.81</v>
      </c>
      <c r="M960" s="169">
        <v>-60069.5</v>
      </c>
      <c r="N960" s="50">
        <v>51417.0</v>
      </c>
      <c r="O960" s="111">
        <v>20.0</v>
      </c>
      <c r="P960" s="168">
        <v>5.0</v>
      </c>
    </row>
    <row r="961">
      <c r="A961" s="160">
        <v>39.0</v>
      </c>
      <c r="B961" s="160">
        <v>84.0</v>
      </c>
      <c r="C961" s="170">
        <v>7957.0</v>
      </c>
      <c r="D961" s="168">
        <v>214.0</v>
      </c>
      <c r="E961" s="24">
        <v>17.0</v>
      </c>
      <c r="F961" s="169">
        <v>64357.76</v>
      </c>
      <c r="G961" s="169">
        <v>-54354.95</v>
      </c>
      <c r="H961" s="169">
        <v>-17268.14</v>
      </c>
      <c r="I961" s="169">
        <v>70750.62</v>
      </c>
      <c r="J961" s="169">
        <v>-83652.43</v>
      </c>
      <c r="K961" s="169">
        <v>42538.67</v>
      </c>
      <c r="L961" s="169">
        <v>41225.89</v>
      </c>
      <c r="M961" s="169">
        <v>-49907.3</v>
      </c>
      <c r="N961" s="50">
        <v>80218.0</v>
      </c>
      <c r="O961" s="111">
        <v>21.0</v>
      </c>
      <c r="P961" s="168">
        <v>7.0</v>
      </c>
    </row>
    <row r="962">
      <c r="A962" s="160">
        <v>60.0</v>
      </c>
      <c r="B962" s="160">
        <v>44.0</v>
      </c>
      <c r="C962" s="170">
        <v>7958.0</v>
      </c>
      <c r="D962" s="168">
        <v>214.0</v>
      </c>
      <c r="E962" s="24">
        <v>69.0</v>
      </c>
      <c r="F962" s="169">
        <v>48518.22</v>
      </c>
      <c r="G962" s="169">
        <v>38533.86</v>
      </c>
      <c r="H962" s="169">
        <v>-71559.2</v>
      </c>
      <c r="I962" s="169">
        <v>-30247.05</v>
      </c>
      <c r="J962" s="169">
        <v>97043.93</v>
      </c>
      <c r="K962" s="169">
        <v>4432.43</v>
      </c>
      <c r="L962" s="169">
        <v>91523.11</v>
      </c>
      <c r="M962" s="169">
        <v>32932.07</v>
      </c>
      <c r="N962" s="50">
        <v>22517.0</v>
      </c>
      <c r="O962" s="111">
        <v>20.0</v>
      </c>
      <c r="P962" s="168">
        <v>3.0</v>
      </c>
    </row>
    <row r="963">
      <c r="A963" s="160">
        <v>19.0</v>
      </c>
      <c r="B963" s="160">
        <v>51.0</v>
      </c>
      <c r="C963" s="170">
        <v>7959.0</v>
      </c>
      <c r="D963" s="168">
        <v>214.0</v>
      </c>
      <c r="E963" s="24">
        <v>49.0</v>
      </c>
      <c r="F963" s="169">
        <v>31232.66</v>
      </c>
      <c r="G963" s="169">
        <v>25454.61</v>
      </c>
      <c r="H963" s="169">
        <v>34393.87</v>
      </c>
      <c r="I963" s="169">
        <v>40857.62</v>
      </c>
      <c r="J963" s="169">
        <v>11287.78</v>
      </c>
      <c r="K963" s="169">
        <v>-71947.19</v>
      </c>
      <c r="L963" s="169">
        <v>-89884.93</v>
      </c>
      <c r="M963" s="169">
        <v>21922.38</v>
      </c>
      <c r="N963" s="50">
        <v>110721.0</v>
      </c>
      <c r="O963" s="111">
        <v>23.0</v>
      </c>
      <c r="P963" s="168">
        <v>9.0</v>
      </c>
    </row>
    <row r="964">
      <c r="A964" s="160">
        <v>40.0</v>
      </c>
      <c r="B964" s="160">
        <v>0.0</v>
      </c>
      <c r="C964" s="147">
        <v>7960.0</v>
      </c>
      <c r="D964" s="168">
        <v>202.0</v>
      </c>
      <c r="E964" s="24">
        <v>54.0</v>
      </c>
      <c r="F964" s="169">
        <v>-21165.44</v>
      </c>
      <c r="G964" s="169">
        <v>-27633.48</v>
      </c>
      <c r="H964" s="169">
        <v>89063.53</v>
      </c>
      <c r="I964" s="169">
        <v>61297.52</v>
      </c>
      <c r="J964" s="169">
        <v>-52579.9</v>
      </c>
      <c r="K964" s="169">
        <v>-46551.14</v>
      </c>
      <c r="L964" s="169">
        <v>-2139.64</v>
      </c>
      <c r="M964" s="169">
        <v>47830.45</v>
      </c>
      <c r="N964" s="50">
        <v>71616.0</v>
      </c>
      <c r="O964" s="111">
        <v>20.0</v>
      </c>
      <c r="P964" s="168">
        <v>4.0</v>
      </c>
    </row>
    <row r="965">
      <c r="A965" s="160">
        <v>80.0</v>
      </c>
      <c r="B965" s="160">
        <v>96.0</v>
      </c>
      <c r="C965" s="170">
        <v>7961.0</v>
      </c>
      <c r="D965" s="168">
        <v>208.0</v>
      </c>
      <c r="E965" s="24">
        <v>35.0</v>
      </c>
      <c r="F965" s="169">
        <v>-3680.14</v>
      </c>
      <c r="G965" s="169">
        <v>-88264.08</v>
      </c>
      <c r="H965" s="169">
        <v>-48086.57</v>
      </c>
      <c r="I965" s="169">
        <v>-52893.73</v>
      </c>
      <c r="J965" s="169">
        <v>-54788.94</v>
      </c>
      <c r="K965" s="169">
        <v>-62392.05</v>
      </c>
      <c r="L965" s="169">
        <v>78849.55</v>
      </c>
      <c r="M965" s="169">
        <v>27914.38</v>
      </c>
      <c r="N965" s="50">
        <v>92120.0</v>
      </c>
      <c r="O965" s="111">
        <v>20.0</v>
      </c>
      <c r="P965" s="168">
        <v>7.0</v>
      </c>
    </row>
    <row r="966">
      <c r="A966" s="160">
        <v>19.0</v>
      </c>
      <c r="B966" s="160">
        <v>56.0</v>
      </c>
      <c r="C966" s="170">
        <v>7962.0</v>
      </c>
      <c r="D966" s="168">
        <v>209.0</v>
      </c>
      <c r="E966" s="24">
        <v>28.0</v>
      </c>
      <c r="F966" s="169">
        <v>40389.92</v>
      </c>
      <c r="G966" s="169">
        <v>36634.95</v>
      </c>
      <c r="H966" s="169">
        <v>-22935.73</v>
      </c>
      <c r="I966" s="169">
        <v>59019.46</v>
      </c>
      <c r="J966" s="169">
        <v>73794.92</v>
      </c>
      <c r="K966" s="169">
        <v>84954.63</v>
      </c>
      <c r="L966" s="169">
        <v>79716.9</v>
      </c>
      <c r="M966" s="169">
        <v>50617.3</v>
      </c>
      <c r="N966" s="50">
        <v>41414.0</v>
      </c>
      <c r="O966" s="111">
        <v>21.0</v>
      </c>
      <c r="P966" s="168">
        <v>8.0</v>
      </c>
    </row>
    <row r="967">
      <c r="A967" s="160">
        <v>81.0</v>
      </c>
      <c r="B967" s="160">
        <v>1.0</v>
      </c>
      <c r="C967" s="170">
        <v>7963.0</v>
      </c>
      <c r="D967" s="168">
        <v>212.0</v>
      </c>
      <c r="E967" s="24">
        <v>17.0</v>
      </c>
      <c r="F967" s="169">
        <v>72724.5</v>
      </c>
      <c r="G967" s="169">
        <v>-21933.79</v>
      </c>
      <c r="H967" s="169">
        <v>-14156.27</v>
      </c>
      <c r="I967" s="169">
        <v>52926.96</v>
      </c>
      <c r="J967" s="169">
        <v>-68698.95</v>
      </c>
      <c r="K967" s="169">
        <v>-3898.46</v>
      </c>
      <c r="L967" s="169">
        <v>36898.31</v>
      </c>
      <c r="M967" s="169">
        <v>-25580.49</v>
      </c>
      <c r="N967" s="50">
        <v>50921.0</v>
      </c>
      <c r="O967" s="111">
        <v>20.0</v>
      </c>
      <c r="P967" s="168">
        <v>6.0</v>
      </c>
    </row>
    <row r="968">
      <c r="A968" s="160">
        <v>81.0</v>
      </c>
      <c r="B968" s="160">
        <v>2.0</v>
      </c>
      <c r="C968" s="170">
        <v>7964.0</v>
      </c>
      <c r="D968" s="168">
        <v>213.0</v>
      </c>
      <c r="E968" s="24">
        <v>70.0</v>
      </c>
      <c r="F968" s="169">
        <v>-93307.65</v>
      </c>
      <c r="G968" s="169">
        <v>56949.49</v>
      </c>
      <c r="H968" s="169">
        <v>-70913.69</v>
      </c>
      <c r="I968" s="169">
        <v>10365.64</v>
      </c>
      <c r="J968" s="169">
        <v>10884.34</v>
      </c>
      <c r="K968" s="169">
        <v>70200.98</v>
      </c>
      <c r="L968" s="169">
        <v>80705.72</v>
      </c>
      <c r="M968" s="169">
        <v>-35486.86</v>
      </c>
      <c r="N968" s="50">
        <v>22221.0</v>
      </c>
      <c r="O968" s="111">
        <v>20.0</v>
      </c>
      <c r="P968" s="168">
        <v>3.0</v>
      </c>
    </row>
    <row r="969">
      <c r="A969" s="160">
        <v>60.0</v>
      </c>
      <c r="B969" s="160">
        <v>59.0</v>
      </c>
      <c r="C969" s="147">
        <v>7965.0</v>
      </c>
      <c r="D969" s="168">
        <v>211.0</v>
      </c>
      <c r="E969" s="24">
        <v>87.0</v>
      </c>
      <c r="F969" s="169">
        <v>55188.59</v>
      </c>
      <c r="G969" s="169">
        <v>-5756.11</v>
      </c>
      <c r="H969" s="169">
        <v>-61724.98</v>
      </c>
      <c r="I969" s="169">
        <v>20635.49</v>
      </c>
      <c r="J969" s="169">
        <v>91888.22</v>
      </c>
      <c r="K969" s="169">
        <v>-13186.24</v>
      </c>
      <c r="L969" s="169">
        <v>-18050.02</v>
      </c>
      <c r="M969" s="169">
        <v>-97891.89</v>
      </c>
      <c r="N969" s="50">
        <v>40717.0</v>
      </c>
      <c r="O969" s="111">
        <v>22.0</v>
      </c>
      <c r="P969" s="168">
        <v>1.0</v>
      </c>
    </row>
    <row r="970">
      <c r="A970" s="160">
        <v>19.0</v>
      </c>
      <c r="B970" s="160">
        <v>69.0</v>
      </c>
      <c r="C970" s="170">
        <v>7966.0</v>
      </c>
      <c r="D970" s="168">
        <v>215.0</v>
      </c>
      <c r="E970" s="24">
        <v>74.0</v>
      </c>
      <c r="F970" s="169">
        <v>39967.05</v>
      </c>
      <c r="G970" s="169">
        <v>-86222.45</v>
      </c>
      <c r="H970" s="169">
        <v>26288.87</v>
      </c>
      <c r="I970" s="169">
        <v>21396.79</v>
      </c>
      <c r="J970" s="169">
        <v>61834.79</v>
      </c>
      <c r="K970" s="169">
        <v>-9840.85</v>
      </c>
      <c r="L970" s="169">
        <v>-80763.01</v>
      </c>
      <c r="M970" s="169">
        <v>27916.13</v>
      </c>
      <c r="N970" s="50">
        <v>60820.0</v>
      </c>
      <c r="O970" s="111">
        <v>23.0</v>
      </c>
      <c r="P970" s="168">
        <v>8.0</v>
      </c>
    </row>
    <row r="971">
      <c r="A971" s="160">
        <v>40.0</v>
      </c>
      <c r="B971" s="160">
        <v>20.0</v>
      </c>
      <c r="C971" s="170">
        <v>7967.0</v>
      </c>
      <c r="D971" s="168">
        <v>220.0</v>
      </c>
      <c r="E971" s="24">
        <v>60.0</v>
      </c>
      <c r="F971" s="169">
        <v>-23745.05</v>
      </c>
      <c r="G971" s="169">
        <v>-8111.62</v>
      </c>
      <c r="H971" s="169">
        <v>-40697.09</v>
      </c>
      <c r="I971" s="169">
        <v>-57379.08</v>
      </c>
      <c r="J971" s="169">
        <v>67526.77</v>
      </c>
      <c r="K971" s="169">
        <v>60269.52</v>
      </c>
      <c r="L971" s="169">
        <v>97826.91</v>
      </c>
      <c r="M971" s="169">
        <v>49391.65</v>
      </c>
      <c r="N971" s="50">
        <v>30718.0</v>
      </c>
      <c r="O971" s="111">
        <v>20.0</v>
      </c>
      <c r="P971" s="168">
        <v>6.0</v>
      </c>
    </row>
    <row r="972">
      <c r="A972" s="160">
        <v>19.0</v>
      </c>
      <c r="B972" s="160">
        <v>74.0</v>
      </c>
      <c r="C972" s="170">
        <v>7968.0</v>
      </c>
      <c r="D972" s="168">
        <v>210.0</v>
      </c>
      <c r="E972" s="24">
        <v>83.0</v>
      </c>
      <c r="F972" s="169">
        <v>15857.63</v>
      </c>
      <c r="G972" s="169">
        <v>-27836.34</v>
      </c>
      <c r="H972" s="169">
        <v>-91163.96</v>
      </c>
      <c r="I972" s="169">
        <v>-34053.15</v>
      </c>
      <c r="J972" s="169">
        <v>59510.24</v>
      </c>
      <c r="K972" s="169">
        <v>-8585.08</v>
      </c>
      <c r="L972" s="169">
        <v>29984.17</v>
      </c>
      <c r="M972" s="169">
        <v>28746.49</v>
      </c>
      <c r="N972" s="50">
        <v>101716.0</v>
      </c>
      <c r="O972" s="111">
        <v>20.0</v>
      </c>
      <c r="P972" s="168">
        <v>9.0</v>
      </c>
    </row>
    <row r="973">
      <c r="A973" s="160">
        <v>19.0</v>
      </c>
      <c r="B973" s="160">
        <v>78.0</v>
      </c>
      <c r="C973" s="170">
        <v>7969.0</v>
      </c>
      <c r="D973" s="168">
        <v>206.0</v>
      </c>
      <c r="E973" s="24">
        <v>15.0</v>
      </c>
      <c r="F973" s="169">
        <v>5042.08</v>
      </c>
      <c r="G973" s="169">
        <v>-56185.6</v>
      </c>
      <c r="H973" s="169">
        <v>-37502.13</v>
      </c>
      <c r="I973" s="169">
        <v>-84292.08</v>
      </c>
      <c r="J973" s="169">
        <v>-87897.29</v>
      </c>
      <c r="K973" s="169">
        <v>80535.6</v>
      </c>
      <c r="L973" s="169">
        <v>-30694.08</v>
      </c>
      <c r="M973" s="169">
        <v>-81956.48</v>
      </c>
      <c r="N973" s="50">
        <v>63015.0</v>
      </c>
      <c r="O973" s="111">
        <v>20.0</v>
      </c>
      <c r="P973" s="168">
        <v>9.0</v>
      </c>
    </row>
    <row r="974">
      <c r="A974" s="160">
        <v>40.0</v>
      </c>
      <c r="B974" s="160">
        <v>27.0</v>
      </c>
      <c r="C974" s="147">
        <v>7970.0</v>
      </c>
      <c r="D974" s="168">
        <v>211.0</v>
      </c>
      <c r="E974" s="24">
        <v>65.0</v>
      </c>
      <c r="F974" s="169">
        <v>54478.26</v>
      </c>
      <c r="G974" s="169">
        <v>-93578.34</v>
      </c>
      <c r="H974" s="169">
        <v>-51894.86</v>
      </c>
      <c r="I974" s="169">
        <v>81781.31</v>
      </c>
      <c r="J974" s="169">
        <v>-30988.04</v>
      </c>
      <c r="K974" s="169">
        <v>4369.27</v>
      </c>
      <c r="L974" s="169">
        <v>-44257.03</v>
      </c>
      <c r="M974" s="169">
        <v>-58598.99</v>
      </c>
      <c r="N974" s="50">
        <v>100313.0</v>
      </c>
      <c r="O974" s="111">
        <v>22.0</v>
      </c>
      <c r="P974" s="168">
        <v>3.0</v>
      </c>
    </row>
    <row r="975">
      <c r="A975" s="160">
        <v>40.0</v>
      </c>
      <c r="B975" s="160">
        <v>30.0</v>
      </c>
      <c r="C975" s="170">
        <v>7971.0</v>
      </c>
      <c r="D975" s="168">
        <v>212.0</v>
      </c>
      <c r="E975" s="24">
        <v>95.0</v>
      </c>
      <c r="F975" s="169">
        <v>-61127.02</v>
      </c>
      <c r="G975" s="169">
        <v>-61543.27</v>
      </c>
      <c r="H975" s="169">
        <v>-82201.17</v>
      </c>
      <c r="I975" s="169">
        <v>-45127.54</v>
      </c>
      <c r="J975" s="169">
        <v>31097.32</v>
      </c>
      <c r="K975" s="169">
        <v>99272.08</v>
      </c>
      <c r="L975" s="169">
        <v>88600.51</v>
      </c>
      <c r="M975" s="169">
        <v>-44462.5</v>
      </c>
      <c r="N975" s="50">
        <v>12222.0</v>
      </c>
      <c r="O975" s="111">
        <v>20.0</v>
      </c>
      <c r="P975" s="168">
        <v>9.0</v>
      </c>
    </row>
    <row r="976">
      <c r="A976" s="160">
        <v>60.0</v>
      </c>
      <c r="B976" s="160">
        <v>78.0</v>
      </c>
      <c r="C976" s="170">
        <v>7972.0</v>
      </c>
      <c r="D976" s="168">
        <v>201.0</v>
      </c>
      <c r="E976" s="24">
        <v>62.0</v>
      </c>
      <c r="F976" s="169">
        <v>-21028.29</v>
      </c>
      <c r="G976" s="169">
        <v>4430.43</v>
      </c>
      <c r="H976" s="169">
        <v>40746.41</v>
      </c>
      <c r="I976" s="169">
        <v>15009.79</v>
      </c>
      <c r="J976" s="169">
        <v>-37496.43</v>
      </c>
      <c r="K976" s="169">
        <v>92183.45</v>
      </c>
      <c r="L976" s="169">
        <v>-45135.99</v>
      </c>
      <c r="M976" s="169">
        <v>-60484.98</v>
      </c>
      <c r="N976" s="50">
        <v>112118.0</v>
      </c>
      <c r="O976" s="111">
        <v>22.0</v>
      </c>
      <c r="P976" s="168">
        <v>2.0</v>
      </c>
    </row>
    <row r="977">
      <c r="A977" s="160">
        <v>19.0</v>
      </c>
      <c r="B977" s="160">
        <v>83.0</v>
      </c>
      <c r="C977" s="170">
        <v>7973.0</v>
      </c>
      <c r="D977" s="168">
        <v>203.0</v>
      </c>
      <c r="E977" s="24">
        <v>52.0</v>
      </c>
      <c r="F977" s="169">
        <v>-78363.77</v>
      </c>
      <c r="G977" s="169">
        <v>48020.96</v>
      </c>
      <c r="H977" s="169">
        <v>85062.19</v>
      </c>
      <c r="I977" s="169">
        <v>-12081.57</v>
      </c>
      <c r="J977" s="169">
        <v>-5354.15</v>
      </c>
      <c r="K977" s="169">
        <v>-34816.7</v>
      </c>
      <c r="L977" s="169">
        <v>-3198.86</v>
      </c>
      <c r="M977" s="169">
        <v>57697.07</v>
      </c>
      <c r="N977" s="50">
        <v>50613.0</v>
      </c>
      <c r="O977" s="111">
        <v>21.0</v>
      </c>
      <c r="P977" s="168">
        <v>5.0</v>
      </c>
    </row>
    <row r="978">
      <c r="A978" s="160">
        <v>19.0</v>
      </c>
      <c r="B978" s="160">
        <v>89.0</v>
      </c>
      <c r="C978" s="170">
        <v>7974.0</v>
      </c>
      <c r="D978" s="168">
        <v>202.0</v>
      </c>
      <c r="E978" s="24">
        <v>75.0</v>
      </c>
      <c r="F978" s="169">
        <v>-19866.57</v>
      </c>
      <c r="G978" s="169">
        <v>63720.66</v>
      </c>
      <c r="H978" s="169">
        <v>84407.5</v>
      </c>
      <c r="I978" s="169">
        <v>-36978.78</v>
      </c>
      <c r="J978" s="169">
        <v>9495.28</v>
      </c>
      <c r="K978" s="169">
        <v>-70431.4</v>
      </c>
      <c r="L978" s="169">
        <v>55161.65</v>
      </c>
      <c r="M978" s="169">
        <v>-35169.71</v>
      </c>
      <c r="N978" s="50">
        <v>50120.0</v>
      </c>
      <c r="O978" s="111">
        <v>21.0</v>
      </c>
      <c r="P978" s="168">
        <v>2.0</v>
      </c>
    </row>
    <row r="979">
      <c r="A979" s="160">
        <v>60.0</v>
      </c>
      <c r="B979" s="160">
        <v>87.0</v>
      </c>
      <c r="C979" s="147">
        <v>7975.0</v>
      </c>
      <c r="D979" s="168">
        <v>206.0</v>
      </c>
      <c r="E979" s="24">
        <v>73.0</v>
      </c>
      <c r="F979" s="169">
        <v>-68604.98</v>
      </c>
      <c r="G979" s="169">
        <v>47442.63</v>
      </c>
      <c r="H979" s="169">
        <v>-18827.59</v>
      </c>
      <c r="I979" s="169">
        <v>-76425.06</v>
      </c>
      <c r="J979" s="169">
        <v>8715.9</v>
      </c>
      <c r="K979" s="169">
        <v>53368.59</v>
      </c>
      <c r="L979" s="169">
        <v>93806.29</v>
      </c>
      <c r="M979" s="169">
        <v>-13356.47</v>
      </c>
      <c r="N979" s="50">
        <v>92415.0</v>
      </c>
      <c r="O979" s="111">
        <v>20.0</v>
      </c>
      <c r="P979" s="168">
        <v>9.0</v>
      </c>
    </row>
    <row r="980">
      <c r="A980" s="160">
        <v>40.0</v>
      </c>
      <c r="B980" s="160">
        <v>39.0</v>
      </c>
      <c r="C980" s="170">
        <v>7976.0</v>
      </c>
      <c r="D980" s="168">
        <v>202.0</v>
      </c>
      <c r="E980" s="24">
        <v>62.0</v>
      </c>
      <c r="F980" s="169">
        <v>42448.83</v>
      </c>
      <c r="G980" s="169">
        <v>9012.34</v>
      </c>
      <c r="H980" s="169">
        <v>-91999.16</v>
      </c>
      <c r="I980" s="169">
        <v>-31377.82</v>
      </c>
      <c r="J980" s="169">
        <v>78153.22</v>
      </c>
      <c r="K980" s="169">
        <v>-30529.11</v>
      </c>
      <c r="L980" s="169">
        <v>-4536.56</v>
      </c>
      <c r="M980" s="169">
        <v>-53008.79</v>
      </c>
      <c r="N980" s="50">
        <v>21213.0</v>
      </c>
      <c r="O980" s="111">
        <v>22.0</v>
      </c>
      <c r="P980" s="168">
        <v>9.0</v>
      </c>
    </row>
    <row r="981">
      <c r="A981" s="160">
        <v>40.0</v>
      </c>
      <c r="B981" s="160">
        <v>40.0</v>
      </c>
      <c r="C981" s="170">
        <v>7977.0</v>
      </c>
      <c r="D981" s="168">
        <v>209.0</v>
      </c>
      <c r="E981" s="24">
        <v>25.0</v>
      </c>
      <c r="F981" s="169">
        <v>5200.27</v>
      </c>
      <c r="G981" s="169">
        <v>65399.07</v>
      </c>
      <c r="H981" s="169">
        <v>52534.81</v>
      </c>
      <c r="I981" s="169">
        <v>-28479.51</v>
      </c>
      <c r="J981" s="169">
        <v>21357.58</v>
      </c>
      <c r="K981" s="169">
        <v>-45402.29</v>
      </c>
      <c r="L981" s="169">
        <v>31036.97</v>
      </c>
      <c r="M981" s="169">
        <v>92158.07</v>
      </c>
      <c r="N981" s="50">
        <v>111921.0</v>
      </c>
      <c r="O981" s="111">
        <v>20.0</v>
      </c>
      <c r="P981" s="168">
        <v>3.0</v>
      </c>
    </row>
    <row r="982">
      <c r="A982" s="160">
        <v>40.0</v>
      </c>
      <c r="B982" s="160">
        <v>42.0</v>
      </c>
      <c r="C982" s="170">
        <v>7978.0</v>
      </c>
      <c r="D982" s="168">
        <v>207.0</v>
      </c>
      <c r="E982" s="24">
        <v>82.0</v>
      </c>
      <c r="F982" s="169">
        <v>74567.22</v>
      </c>
      <c r="G982" s="169">
        <v>85935.03</v>
      </c>
      <c r="H982" s="169">
        <v>-79393.17</v>
      </c>
      <c r="I982" s="169">
        <v>79488.62</v>
      </c>
      <c r="J982" s="169">
        <v>42545.46</v>
      </c>
      <c r="K982" s="169">
        <v>59964.94</v>
      </c>
      <c r="L982" s="169">
        <v>-6253.84</v>
      </c>
      <c r="M982" s="169">
        <v>-80304.62</v>
      </c>
      <c r="N982" s="50">
        <v>120315.0</v>
      </c>
      <c r="O982" s="111">
        <v>23.0</v>
      </c>
      <c r="P982" s="168">
        <v>9.0</v>
      </c>
    </row>
    <row r="983">
      <c r="A983" s="160">
        <v>81.0</v>
      </c>
      <c r="B983" s="160">
        <v>39.0</v>
      </c>
      <c r="C983" s="170">
        <v>7979.0</v>
      </c>
      <c r="D983" s="168">
        <v>204.0</v>
      </c>
      <c r="E983" s="24">
        <v>83.0</v>
      </c>
      <c r="F983" s="169">
        <v>-84291.45</v>
      </c>
      <c r="G983" s="169">
        <v>-91904.2</v>
      </c>
      <c r="H983" s="169">
        <v>19863.85</v>
      </c>
      <c r="I983" s="169">
        <v>-56998.07</v>
      </c>
      <c r="J983" s="169">
        <v>-74068.02</v>
      </c>
      <c r="K983" s="169">
        <v>59372.91</v>
      </c>
      <c r="L983" s="169">
        <v>33608.59</v>
      </c>
      <c r="M983" s="169">
        <v>-70354.87</v>
      </c>
      <c r="N983" s="50">
        <v>70314.0</v>
      </c>
      <c r="O983" s="111">
        <v>23.0</v>
      </c>
      <c r="P983" s="168">
        <v>1.0</v>
      </c>
    </row>
    <row r="984">
      <c r="A984" s="160">
        <v>81.0</v>
      </c>
      <c r="B984" s="160">
        <v>40.0</v>
      </c>
      <c r="C984" s="147">
        <v>7980.0</v>
      </c>
      <c r="D984" s="168">
        <v>203.0</v>
      </c>
      <c r="E984" s="24">
        <v>64.0</v>
      </c>
      <c r="F984" s="169">
        <v>98317.69</v>
      </c>
      <c r="G984" s="169">
        <v>-12134.54</v>
      </c>
      <c r="H984" s="169">
        <v>-9411.84</v>
      </c>
      <c r="I984" s="169">
        <v>-45335.67</v>
      </c>
      <c r="J984" s="169">
        <v>95673.46</v>
      </c>
      <c r="K984" s="169">
        <v>-44859.99</v>
      </c>
      <c r="L984" s="169">
        <v>-84934.69</v>
      </c>
      <c r="M984" s="169">
        <v>80740.66</v>
      </c>
      <c r="N984" s="50">
        <v>62319.0</v>
      </c>
      <c r="O984" s="111">
        <v>21.0</v>
      </c>
      <c r="P984" s="168">
        <v>8.0</v>
      </c>
    </row>
    <row r="985">
      <c r="A985" s="160">
        <v>81.0</v>
      </c>
      <c r="B985" s="160">
        <v>41.0</v>
      </c>
      <c r="C985" s="170">
        <v>7981.0</v>
      </c>
      <c r="D985" s="168">
        <v>209.0</v>
      </c>
      <c r="E985" s="24">
        <v>45.0</v>
      </c>
      <c r="F985" s="169">
        <v>-19765.63</v>
      </c>
      <c r="G985" s="169">
        <v>-87776.43</v>
      </c>
      <c r="H985" s="169">
        <v>-44163.16</v>
      </c>
      <c r="I985" s="169">
        <v>87624.43</v>
      </c>
      <c r="J985" s="169">
        <v>-44369.51</v>
      </c>
      <c r="K985" s="169">
        <v>65031.12</v>
      </c>
      <c r="L985" s="169">
        <v>-72999.27</v>
      </c>
      <c r="M985" s="169">
        <v>-92535.47</v>
      </c>
      <c r="N985" s="50">
        <v>103018.0</v>
      </c>
      <c r="O985" s="111">
        <v>23.0</v>
      </c>
      <c r="P985" s="168">
        <v>8.0</v>
      </c>
    </row>
    <row r="986">
      <c r="A986" s="160">
        <v>81.0</v>
      </c>
      <c r="B986" s="160">
        <v>44.0</v>
      </c>
      <c r="C986" s="170">
        <v>7982.0</v>
      </c>
      <c r="D986" s="168">
        <v>217.0</v>
      </c>
      <c r="E986" s="24">
        <v>10.0</v>
      </c>
      <c r="F986" s="169">
        <v>34825.67</v>
      </c>
      <c r="G986" s="169">
        <v>64771.02</v>
      </c>
      <c r="H986" s="169">
        <v>-32238.5</v>
      </c>
      <c r="I986" s="169">
        <v>12979.0</v>
      </c>
      <c r="J986" s="169">
        <v>74517.48</v>
      </c>
      <c r="K986" s="169">
        <v>16193.74</v>
      </c>
      <c r="L986" s="169">
        <v>-40025.54</v>
      </c>
      <c r="M986" s="169">
        <v>26605.92</v>
      </c>
      <c r="N986" s="50">
        <v>122521.0</v>
      </c>
      <c r="O986" s="111">
        <v>20.0</v>
      </c>
      <c r="P986" s="168">
        <v>8.0</v>
      </c>
    </row>
    <row r="987">
      <c r="A987" s="160">
        <v>81.0</v>
      </c>
      <c r="B987" s="160">
        <v>45.0</v>
      </c>
      <c r="C987" s="170">
        <v>7983.0</v>
      </c>
      <c r="D987" s="168">
        <v>214.0</v>
      </c>
      <c r="E987" s="24">
        <v>64.0</v>
      </c>
      <c r="F987" s="169">
        <v>83334.86</v>
      </c>
      <c r="G987" s="169">
        <v>46815.96</v>
      </c>
      <c r="H987" s="169">
        <v>-98323.61</v>
      </c>
      <c r="I987" s="169">
        <v>23116.5</v>
      </c>
      <c r="J987" s="169">
        <v>-8513.95</v>
      </c>
      <c r="K987" s="169">
        <v>-52876.03</v>
      </c>
      <c r="L987" s="169">
        <v>41222.81</v>
      </c>
      <c r="M987" s="169">
        <v>-28767.41</v>
      </c>
      <c r="N987" s="50">
        <v>62220.0</v>
      </c>
      <c r="O987" s="111">
        <v>21.0</v>
      </c>
      <c r="P987" s="168">
        <v>9.0</v>
      </c>
    </row>
    <row r="988">
      <c r="A988" s="160">
        <v>40.0</v>
      </c>
      <c r="B988" s="160">
        <v>48.0</v>
      </c>
      <c r="C988" s="170">
        <v>7984.0</v>
      </c>
      <c r="D988" s="168">
        <v>212.0</v>
      </c>
      <c r="E988" s="24">
        <v>14.0</v>
      </c>
      <c r="F988" s="169">
        <v>-86055.54</v>
      </c>
      <c r="G988" s="169">
        <v>83893.71</v>
      </c>
      <c r="H988" s="169">
        <v>26460.46</v>
      </c>
      <c r="I988" s="169">
        <v>-48739.69</v>
      </c>
      <c r="J988" s="169">
        <v>27527.79</v>
      </c>
      <c r="K988" s="169">
        <v>2321.84</v>
      </c>
      <c r="L988" s="169">
        <v>11303.64</v>
      </c>
      <c r="M988" s="169">
        <v>71006.22</v>
      </c>
      <c r="N988" s="50">
        <v>40518.0</v>
      </c>
      <c r="O988" s="111">
        <v>22.0</v>
      </c>
      <c r="P988" s="168">
        <v>1.0</v>
      </c>
    </row>
    <row r="989">
      <c r="A989" s="160">
        <v>40.0</v>
      </c>
      <c r="B989" s="160">
        <v>54.0</v>
      </c>
      <c r="C989" s="147">
        <v>7985.0</v>
      </c>
      <c r="D989" s="168">
        <v>215.0</v>
      </c>
      <c r="E989" s="24">
        <v>94.0</v>
      </c>
      <c r="F989" s="169">
        <v>77320.79</v>
      </c>
      <c r="G989" s="169">
        <v>65936.11</v>
      </c>
      <c r="H989" s="169">
        <v>84208.84</v>
      </c>
      <c r="I989" s="169">
        <v>-65959.34</v>
      </c>
      <c r="J989" s="169">
        <v>-7413.9</v>
      </c>
      <c r="K989" s="169">
        <v>-43981.26</v>
      </c>
      <c r="L989" s="169">
        <v>-66562.7</v>
      </c>
      <c r="M989" s="169">
        <v>-8736.26</v>
      </c>
      <c r="N989" s="50">
        <v>62316.0</v>
      </c>
      <c r="O989" s="111">
        <v>21.0</v>
      </c>
      <c r="P989" s="168">
        <v>3.0</v>
      </c>
    </row>
    <row r="990">
      <c r="A990" s="160">
        <v>20.0</v>
      </c>
      <c r="B990" s="160">
        <v>7.0</v>
      </c>
      <c r="C990" s="170">
        <v>7986.0</v>
      </c>
      <c r="D990" s="168">
        <v>210.0</v>
      </c>
      <c r="E990" s="24">
        <v>56.0</v>
      </c>
      <c r="F990" s="169">
        <v>82949.62</v>
      </c>
      <c r="G990" s="169">
        <v>67303.33</v>
      </c>
      <c r="H990" s="169">
        <v>-95034.33</v>
      </c>
      <c r="I990" s="169">
        <v>90448.23</v>
      </c>
      <c r="J990" s="169">
        <v>-16285.62</v>
      </c>
      <c r="K990" s="169">
        <v>-28930.87</v>
      </c>
      <c r="L990" s="169">
        <v>-95347.19</v>
      </c>
      <c r="M990" s="169">
        <v>16963.41</v>
      </c>
      <c r="N990" s="50">
        <v>121219.0</v>
      </c>
      <c r="O990" s="111">
        <v>22.0</v>
      </c>
      <c r="P990" s="168">
        <v>6.0</v>
      </c>
    </row>
    <row r="991">
      <c r="A991" s="160">
        <v>40.0</v>
      </c>
      <c r="B991" s="160">
        <v>58.0</v>
      </c>
      <c r="C991" s="170">
        <v>7987.0</v>
      </c>
      <c r="D991" s="168">
        <v>205.0</v>
      </c>
      <c r="E991" s="24">
        <v>83.0</v>
      </c>
      <c r="F991" s="169">
        <v>57426.93</v>
      </c>
      <c r="G991" s="169">
        <v>24751.25</v>
      </c>
      <c r="H991" s="169">
        <v>63553.02</v>
      </c>
      <c r="I991" s="169">
        <v>-13426.73</v>
      </c>
      <c r="J991" s="169">
        <v>-68940.29</v>
      </c>
      <c r="K991" s="169">
        <v>-99813.82</v>
      </c>
      <c r="L991" s="169">
        <v>-61950.35</v>
      </c>
      <c r="M991" s="169">
        <v>88816.96</v>
      </c>
      <c r="N991" s="50">
        <v>40814.0</v>
      </c>
      <c r="O991" s="111">
        <v>20.0</v>
      </c>
      <c r="P991" s="168">
        <v>2.0</v>
      </c>
    </row>
    <row r="992">
      <c r="A992" s="160">
        <v>40.0</v>
      </c>
      <c r="B992" s="160">
        <v>61.0</v>
      </c>
      <c r="C992" s="170">
        <v>7988.0</v>
      </c>
      <c r="D992" s="168">
        <v>208.0</v>
      </c>
      <c r="E992" s="24">
        <v>64.0</v>
      </c>
      <c r="F992" s="169">
        <v>3562.31</v>
      </c>
      <c r="G992" s="169">
        <v>84050.33</v>
      </c>
      <c r="H992" s="169">
        <v>54063.85</v>
      </c>
      <c r="I992" s="169">
        <v>32761.33</v>
      </c>
      <c r="J992" s="169">
        <v>81316.15</v>
      </c>
      <c r="K992" s="169">
        <v>-41362.04</v>
      </c>
      <c r="L992" s="169">
        <v>40257.09</v>
      </c>
      <c r="M992" s="169">
        <v>73893.24</v>
      </c>
      <c r="N992" s="50">
        <v>72414.0</v>
      </c>
      <c r="O992" s="111">
        <v>21.0</v>
      </c>
      <c r="P992" s="168">
        <v>9.0</v>
      </c>
    </row>
    <row r="993">
      <c r="A993" s="160">
        <v>81.0</v>
      </c>
      <c r="B993" s="160">
        <v>58.0</v>
      </c>
      <c r="C993" s="170">
        <v>7989.0</v>
      </c>
      <c r="D993" s="168">
        <v>213.0</v>
      </c>
      <c r="E993" s="24">
        <v>11.0</v>
      </c>
      <c r="F993" s="169">
        <v>95481.24</v>
      </c>
      <c r="G993" s="169">
        <v>-88583.84</v>
      </c>
      <c r="H993" s="169">
        <v>48240.89</v>
      </c>
      <c r="I993" s="169">
        <v>28969.35</v>
      </c>
      <c r="J993" s="169">
        <v>-69416.4</v>
      </c>
      <c r="K993" s="169">
        <v>37657.96</v>
      </c>
      <c r="L993" s="169">
        <v>-84264.03</v>
      </c>
      <c r="M993" s="169">
        <v>-8376.77</v>
      </c>
      <c r="N993" s="50">
        <v>51517.0</v>
      </c>
      <c r="O993" s="111">
        <v>20.0</v>
      </c>
      <c r="P993" s="168">
        <v>7.0</v>
      </c>
    </row>
    <row r="994">
      <c r="A994" s="160">
        <v>20.0</v>
      </c>
      <c r="B994" s="160">
        <v>20.0</v>
      </c>
      <c r="C994" s="147">
        <v>7990.0</v>
      </c>
      <c r="D994" s="168">
        <v>210.0</v>
      </c>
      <c r="E994" s="24">
        <v>78.0</v>
      </c>
      <c r="F994" s="169">
        <v>-96291.7</v>
      </c>
      <c r="G994" s="169">
        <v>-22170.42</v>
      </c>
      <c r="H994" s="169">
        <v>-76152.92</v>
      </c>
      <c r="I994" s="169">
        <v>-74669.22</v>
      </c>
      <c r="J994" s="169">
        <v>-81112.88</v>
      </c>
      <c r="K994" s="169">
        <v>-65524.47</v>
      </c>
      <c r="L994" s="169">
        <v>-57703.89</v>
      </c>
      <c r="M994" s="169">
        <v>-2643.54</v>
      </c>
      <c r="N994" s="50">
        <v>81721.0</v>
      </c>
      <c r="O994" s="111">
        <v>21.0</v>
      </c>
      <c r="P994" s="168">
        <v>5.0</v>
      </c>
    </row>
    <row r="995">
      <c r="A995" s="160">
        <v>20.0</v>
      </c>
      <c r="B995" s="160">
        <v>21.0</v>
      </c>
      <c r="C995" s="170">
        <v>7991.0</v>
      </c>
      <c r="D995" s="168">
        <v>204.0</v>
      </c>
      <c r="E995" s="24">
        <v>58.0</v>
      </c>
      <c r="F995" s="169">
        <v>-28897.13</v>
      </c>
      <c r="G995" s="169">
        <v>9189.38</v>
      </c>
      <c r="H995" s="169">
        <v>-98479.69</v>
      </c>
      <c r="I995" s="169">
        <v>47013.36</v>
      </c>
      <c r="J995" s="169">
        <v>-84269.3</v>
      </c>
      <c r="K995" s="169">
        <v>-54977.24</v>
      </c>
      <c r="L995" s="169">
        <v>-7537.87</v>
      </c>
      <c r="M995" s="169">
        <v>61810.47</v>
      </c>
      <c r="N995" s="50">
        <v>81913.0</v>
      </c>
      <c r="O995" s="111">
        <v>20.0</v>
      </c>
      <c r="P995" s="168">
        <v>5.0</v>
      </c>
    </row>
    <row r="996">
      <c r="A996" s="160">
        <v>81.0</v>
      </c>
      <c r="B996" s="160">
        <v>68.0</v>
      </c>
      <c r="C996" s="170">
        <v>7992.0</v>
      </c>
      <c r="D996" s="168">
        <v>215.0</v>
      </c>
      <c r="E996" s="24">
        <v>80.0</v>
      </c>
      <c r="F996" s="169">
        <v>-99484.22</v>
      </c>
      <c r="G996" s="169">
        <v>11198.21</v>
      </c>
      <c r="H996" s="169">
        <v>48273.0</v>
      </c>
      <c r="I996" s="169">
        <v>-90725.37</v>
      </c>
      <c r="J996" s="169">
        <v>41060.14</v>
      </c>
      <c r="K996" s="169">
        <v>-94311.42</v>
      </c>
      <c r="L996" s="169">
        <v>19225.86</v>
      </c>
      <c r="M996" s="169">
        <v>-56810.39</v>
      </c>
      <c r="N996" s="50">
        <v>101019.0</v>
      </c>
      <c r="O996" s="111">
        <v>23.0</v>
      </c>
      <c r="P996" s="168">
        <v>3.0</v>
      </c>
    </row>
    <row r="997">
      <c r="A997" s="160">
        <v>40.0</v>
      </c>
      <c r="B997" s="160">
        <v>74.0</v>
      </c>
      <c r="C997" s="170">
        <v>7993.0</v>
      </c>
      <c r="D997" s="168">
        <v>205.0</v>
      </c>
      <c r="E997" s="24">
        <v>25.0</v>
      </c>
      <c r="F997" s="169">
        <v>99441.37</v>
      </c>
      <c r="G997" s="169">
        <v>81008.95</v>
      </c>
      <c r="H997" s="169">
        <v>-67281.26</v>
      </c>
      <c r="I997" s="169">
        <v>36560.66</v>
      </c>
      <c r="J997" s="169">
        <v>17290.27</v>
      </c>
      <c r="K997" s="169">
        <v>-72032.48</v>
      </c>
      <c r="L997" s="169">
        <v>15907.26</v>
      </c>
      <c r="M997" s="169">
        <v>78018.64</v>
      </c>
      <c r="N997" s="50">
        <v>50414.0</v>
      </c>
      <c r="O997" s="111">
        <v>23.0</v>
      </c>
      <c r="P997" s="168">
        <v>5.0</v>
      </c>
    </row>
    <row r="998">
      <c r="A998" s="160">
        <v>81.0</v>
      </c>
      <c r="B998" s="160">
        <v>77.0</v>
      </c>
      <c r="C998" s="170">
        <v>7994.0</v>
      </c>
      <c r="D998" s="168">
        <v>203.0</v>
      </c>
      <c r="E998" s="24">
        <v>47.0</v>
      </c>
      <c r="F998" s="169">
        <v>46946.82</v>
      </c>
      <c r="G998" s="169">
        <v>21570.67</v>
      </c>
      <c r="H998" s="169">
        <v>-32287.34</v>
      </c>
      <c r="I998" s="169">
        <v>15596.52</v>
      </c>
      <c r="J998" s="169">
        <v>87899.61</v>
      </c>
      <c r="K998" s="169">
        <v>-47513.7</v>
      </c>
      <c r="L998" s="169">
        <v>77996.68</v>
      </c>
      <c r="M998" s="169">
        <v>-1896.05</v>
      </c>
      <c r="N998" s="50">
        <v>92318.0</v>
      </c>
      <c r="O998" s="111">
        <v>22.0</v>
      </c>
      <c r="P998" s="168">
        <v>9.0</v>
      </c>
    </row>
    <row r="999">
      <c r="A999" s="160">
        <v>40.0</v>
      </c>
      <c r="B999" s="160">
        <v>83.0</v>
      </c>
      <c r="C999" s="147">
        <v>7995.0</v>
      </c>
      <c r="D999" s="168">
        <v>201.0</v>
      </c>
      <c r="E999" s="24">
        <v>74.0</v>
      </c>
      <c r="F999" s="169">
        <v>-42452.32</v>
      </c>
      <c r="G999" s="169">
        <v>-42382.04</v>
      </c>
      <c r="H999" s="169">
        <v>78097.2</v>
      </c>
      <c r="I999" s="169">
        <v>21050.43</v>
      </c>
      <c r="J999" s="169">
        <v>33697.07</v>
      </c>
      <c r="K999" s="169">
        <v>-30396.81</v>
      </c>
      <c r="L999" s="169">
        <v>45587.54</v>
      </c>
      <c r="M999" s="169">
        <v>98162.69</v>
      </c>
      <c r="N999" s="50">
        <v>21115.0</v>
      </c>
      <c r="O999" s="111">
        <v>21.0</v>
      </c>
      <c r="P999" s="168">
        <v>7.0</v>
      </c>
    </row>
    <row r="1000">
      <c r="A1000" s="160">
        <v>40.0</v>
      </c>
      <c r="B1000" s="160">
        <v>84.0</v>
      </c>
      <c r="C1000" s="170">
        <v>7996.0</v>
      </c>
      <c r="D1000" s="168">
        <v>214.0</v>
      </c>
      <c r="E1000" s="24">
        <v>94.0</v>
      </c>
      <c r="F1000" s="169">
        <v>67411.5</v>
      </c>
      <c r="G1000" s="169">
        <v>-16439.6</v>
      </c>
      <c r="H1000" s="169">
        <v>83997.0</v>
      </c>
      <c r="I1000" s="169">
        <v>-17619.01</v>
      </c>
      <c r="J1000" s="169">
        <v>-33909.88</v>
      </c>
      <c r="K1000" s="169">
        <v>74574.32</v>
      </c>
      <c r="L1000" s="169">
        <v>-11723.25</v>
      </c>
      <c r="M1000" s="169">
        <v>70038.71</v>
      </c>
      <c r="N1000" s="50">
        <v>11019.0</v>
      </c>
      <c r="O1000" s="111">
        <v>23.0</v>
      </c>
      <c r="P1000" s="168">
        <v>5.0</v>
      </c>
    </row>
    <row r="1001">
      <c r="A1001" s="160">
        <v>61.0</v>
      </c>
      <c r="B1001" s="160">
        <v>32.0</v>
      </c>
      <c r="C1001" s="170">
        <v>7997.0</v>
      </c>
      <c r="D1001" s="168">
        <v>202.0</v>
      </c>
      <c r="E1001" s="24">
        <v>12.0</v>
      </c>
      <c r="F1001" s="169">
        <v>34623.12</v>
      </c>
      <c r="G1001" s="169">
        <v>72307.08</v>
      </c>
      <c r="H1001" s="169">
        <v>-20252.48</v>
      </c>
      <c r="I1001" s="169">
        <v>71419.67</v>
      </c>
      <c r="J1001" s="169">
        <v>51960.68</v>
      </c>
      <c r="K1001" s="169">
        <v>54283.76</v>
      </c>
      <c r="L1001" s="169">
        <v>27429.92</v>
      </c>
      <c r="M1001" s="169">
        <v>-49499.28</v>
      </c>
      <c r="N1001" s="50">
        <v>42715.0</v>
      </c>
      <c r="O1001" s="111">
        <v>23.0</v>
      </c>
      <c r="P1001" s="168">
        <v>5.0</v>
      </c>
    </row>
    <row r="1002">
      <c r="A1002" s="160">
        <v>40.0</v>
      </c>
      <c r="B1002" s="160">
        <v>87.0</v>
      </c>
      <c r="C1002" s="170">
        <v>7998.0</v>
      </c>
      <c r="D1002" s="168">
        <v>210.0</v>
      </c>
      <c r="E1002" s="24">
        <v>44.0</v>
      </c>
      <c r="F1002" s="169">
        <v>2251.48</v>
      </c>
      <c r="G1002" s="169">
        <v>-61238.21</v>
      </c>
      <c r="H1002" s="169">
        <v>-57350.12</v>
      </c>
      <c r="I1002" s="169">
        <v>-11868.2</v>
      </c>
      <c r="J1002" s="169">
        <v>46712.22</v>
      </c>
      <c r="K1002" s="169">
        <v>93073.79</v>
      </c>
      <c r="L1002" s="169">
        <v>-58512.31</v>
      </c>
      <c r="M1002" s="169">
        <v>-61756.15</v>
      </c>
      <c r="N1002" s="50">
        <v>90914.0</v>
      </c>
      <c r="O1002" s="111">
        <v>22.0</v>
      </c>
      <c r="P1002" s="168">
        <v>3.0</v>
      </c>
    </row>
    <row r="1003">
      <c r="A1003" s="160">
        <v>81.0</v>
      </c>
      <c r="B1003" s="160">
        <v>85.0</v>
      </c>
      <c r="C1003" s="170">
        <v>7999.0</v>
      </c>
      <c r="D1003" s="168">
        <v>213.0</v>
      </c>
      <c r="E1003" s="24">
        <v>49.0</v>
      </c>
      <c r="F1003" s="169">
        <v>37858.98</v>
      </c>
      <c r="G1003" s="169">
        <v>35416.06</v>
      </c>
      <c r="H1003" s="169">
        <v>540.84</v>
      </c>
      <c r="I1003" s="169">
        <v>-26298.56</v>
      </c>
      <c r="J1003" s="169">
        <v>4169.8</v>
      </c>
      <c r="K1003" s="169">
        <v>-62948.66</v>
      </c>
      <c r="L1003" s="169">
        <v>-75240.29</v>
      </c>
      <c r="M1003" s="169">
        <v>-5482.62</v>
      </c>
      <c r="N1003" s="50">
        <v>51722.0</v>
      </c>
      <c r="O1003" s="111">
        <v>22.0</v>
      </c>
      <c r="P1003" s="168">
        <v>5.0</v>
      </c>
    </row>
    <row r="1004">
      <c r="A1004" s="171"/>
      <c r="B1004" s="171"/>
      <c r="C1004" s="147"/>
      <c r="D1004" s="172"/>
      <c r="F1004" s="173"/>
      <c r="G1004" s="173"/>
      <c r="H1004" s="173"/>
      <c r="I1004" s="173"/>
      <c r="J1004" s="173"/>
      <c r="K1004" s="173"/>
      <c r="L1004" s="173"/>
      <c r="M1004" s="173"/>
      <c r="N1004" s="147"/>
    </row>
    <row r="1005">
      <c r="A1005" s="174" t="s">
        <v>5137</v>
      </c>
      <c r="B1005" s="174"/>
      <c r="C1005" s="170"/>
      <c r="D1005" s="172"/>
      <c r="F1005" s="173"/>
      <c r="G1005" s="173"/>
      <c r="H1005" s="173"/>
      <c r="I1005" s="173"/>
      <c r="J1005" s="173"/>
      <c r="K1005" s="173"/>
      <c r="L1005" s="173"/>
      <c r="M1005" s="173"/>
      <c r="N1005" s="170"/>
    </row>
    <row r="1006">
      <c r="C1006" s="170"/>
      <c r="D1006" s="172"/>
      <c r="F1006" s="173"/>
      <c r="G1006" s="173"/>
      <c r="H1006" s="173"/>
      <c r="I1006" s="173"/>
      <c r="J1006" s="173"/>
      <c r="K1006" s="173"/>
      <c r="L1006" s="173"/>
      <c r="M1006" s="173"/>
      <c r="N1006" s="170"/>
    </row>
    <row r="1007">
      <c r="C1007" s="170"/>
      <c r="D1007" s="172"/>
      <c r="F1007" s="173"/>
      <c r="G1007" s="173"/>
      <c r="H1007" s="173"/>
      <c r="I1007" s="173"/>
      <c r="J1007" s="173"/>
      <c r="K1007" s="173"/>
      <c r="L1007" s="173"/>
      <c r="M1007" s="173"/>
    </row>
    <row r="1008">
      <c r="C1008" s="170"/>
      <c r="D1008" s="172"/>
      <c r="F1008" s="173"/>
      <c r="G1008" s="173"/>
      <c r="H1008" s="173"/>
      <c r="I1008" s="173"/>
      <c r="J1008" s="173"/>
      <c r="K1008" s="173"/>
      <c r="L1008" s="173"/>
      <c r="M1008" s="173"/>
    </row>
    <row r="1009">
      <c r="C1009" s="170"/>
      <c r="D1009" s="172"/>
      <c r="F1009" s="173"/>
      <c r="G1009" s="173"/>
      <c r="H1009" s="173"/>
      <c r="I1009" s="173"/>
      <c r="J1009" s="173"/>
      <c r="K1009" s="173"/>
      <c r="L1009" s="173"/>
      <c r="M1009" s="173"/>
    </row>
    <row r="1010">
      <c r="C1010" s="170"/>
      <c r="D1010" s="172"/>
      <c r="F1010" s="173"/>
      <c r="G1010" s="173"/>
      <c r="H1010" s="173"/>
      <c r="I1010" s="173"/>
      <c r="J1010" s="173"/>
      <c r="K1010" s="173"/>
      <c r="L1010" s="173"/>
      <c r="M1010" s="173"/>
    </row>
    <row r="1011">
      <c r="C1011" s="170"/>
      <c r="D1011" s="172"/>
      <c r="F1011" s="173"/>
      <c r="G1011" s="173"/>
      <c r="H1011" s="173"/>
      <c r="I1011" s="173"/>
      <c r="J1011" s="173"/>
      <c r="K1011" s="173"/>
      <c r="L1011" s="173"/>
      <c r="M1011" s="173"/>
    </row>
    <row r="1012">
      <c r="C1012" s="170"/>
      <c r="D1012" s="172"/>
      <c r="F1012" s="173"/>
      <c r="G1012" s="173"/>
      <c r="H1012" s="173"/>
      <c r="I1012" s="173"/>
      <c r="J1012" s="173"/>
      <c r="K1012" s="173"/>
      <c r="L1012" s="173"/>
      <c r="M1012" s="173"/>
    </row>
    <row r="1013">
      <c r="C1013" s="170"/>
      <c r="D1013" s="172"/>
      <c r="F1013" s="173"/>
      <c r="G1013" s="173"/>
      <c r="H1013" s="173"/>
      <c r="I1013" s="173"/>
      <c r="J1013" s="173"/>
      <c r="K1013" s="173"/>
      <c r="L1013" s="173"/>
      <c r="M1013" s="173"/>
    </row>
    <row r="1014">
      <c r="C1014" s="170"/>
      <c r="D1014" s="172"/>
      <c r="F1014" s="173"/>
      <c r="G1014" s="173"/>
      <c r="H1014" s="173"/>
      <c r="I1014" s="173"/>
      <c r="J1014" s="173"/>
      <c r="K1014" s="173"/>
      <c r="L1014" s="173"/>
      <c r="M1014" s="173"/>
    </row>
    <row r="1015">
      <c r="C1015" s="170"/>
      <c r="D1015" s="172"/>
      <c r="F1015" s="173"/>
      <c r="G1015" s="173"/>
      <c r="H1015" s="173"/>
      <c r="I1015" s="173"/>
      <c r="J1015" s="173"/>
      <c r="K1015" s="173"/>
      <c r="L1015" s="173"/>
      <c r="M1015" s="173"/>
    </row>
    <row r="1016">
      <c r="C1016" s="170"/>
      <c r="D1016" s="172"/>
      <c r="F1016" s="173"/>
      <c r="G1016" s="173"/>
      <c r="H1016" s="173"/>
      <c r="I1016" s="173"/>
      <c r="J1016" s="173"/>
      <c r="K1016" s="173"/>
      <c r="L1016" s="173"/>
      <c r="M1016" s="173"/>
    </row>
    <row r="1017">
      <c r="C1017" s="170"/>
      <c r="D1017" s="172"/>
      <c r="F1017" s="173"/>
      <c r="G1017" s="173"/>
      <c r="H1017" s="173"/>
      <c r="I1017" s="173"/>
      <c r="J1017" s="173"/>
      <c r="K1017" s="173"/>
      <c r="L1017" s="173"/>
      <c r="M1017" s="173"/>
    </row>
    <row r="1018">
      <c r="C1018" s="170"/>
      <c r="D1018" s="172"/>
      <c r="F1018" s="173"/>
      <c r="G1018" s="173"/>
      <c r="H1018" s="173"/>
      <c r="I1018" s="173"/>
      <c r="J1018" s="173"/>
      <c r="K1018" s="173"/>
      <c r="L1018" s="173"/>
      <c r="M1018" s="173"/>
    </row>
    <row r="1019">
      <c r="C1019" s="170"/>
      <c r="D1019" s="172"/>
      <c r="F1019" s="173"/>
      <c r="G1019" s="173"/>
      <c r="H1019" s="173"/>
      <c r="I1019" s="173"/>
      <c r="J1019" s="173"/>
      <c r="K1019" s="173"/>
      <c r="L1019" s="173"/>
      <c r="M1019" s="173"/>
    </row>
    <row r="1020">
      <c r="C1020" s="170"/>
      <c r="D1020" s="172"/>
      <c r="F1020" s="173"/>
      <c r="G1020" s="173"/>
      <c r="H1020" s="173"/>
      <c r="I1020" s="173"/>
      <c r="J1020" s="173"/>
      <c r="K1020" s="173"/>
      <c r="L1020" s="173"/>
      <c r="M1020" s="173"/>
    </row>
    <row r="1021">
      <c r="C1021" s="170"/>
      <c r="D1021" s="172"/>
      <c r="F1021" s="173"/>
      <c r="G1021" s="173"/>
      <c r="H1021" s="173"/>
      <c r="I1021" s="173"/>
      <c r="J1021" s="173"/>
      <c r="K1021" s="173"/>
      <c r="L1021" s="173"/>
      <c r="M1021" s="173"/>
    </row>
    <row r="1022">
      <c r="C1022" s="170"/>
      <c r="D1022" s="172"/>
      <c r="F1022" s="173"/>
      <c r="G1022" s="173"/>
      <c r="H1022" s="173"/>
      <c r="I1022" s="173"/>
      <c r="J1022" s="173"/>
      <c r="K1022" s="173"/>
      <c r="L1022" s="173"/>
      <c r="M1022" s="173"/>
    </row>
    <row r="1023">
      <c r="C1023" s="170"/>
      <c r="D1023" s="172"/>
      <c r="F1023" s="173"/>
      <c r="G1023" s="173"/>
      <c r="H1023" s="173"/>
      <c r="I1023" s="173"/>
      <c r="J1023" s="173"/>
      <c r="K1023" s="173"/>
      <c r="L1023" s="173"/>
      <c r="M1023" s="173"/>
    </row>
    <row r="1024">
      <c r="C1024" s="170"/>
      <c r="D1024" s="172"/>
      <c r="F1024" s="173"/>
      <c r="G1024" s="173"/>
      <c r="H1024" s="173"/>
      <c r="I1024" s="173"/>
      <c r="J1024" s="173"/>
      <c r="K1024" s="173"/>
      <c r="L1024" s="173"/>
      <c r="M1024" s="173"/>
    </row>
    <row r="1025">
      <c r="C1025" s="170"/>
      <c r="D1025" s="172"/>
      <c r="F1025" s="173"/>
      <c r="G1025" s="173"/>
      <c r="H1025" s="173"/>
      <c r="I1025" s="173"/>
      <c r="J1025" s="173"/>
      <c r="K1025" s="173"/>
      <c r="L1025" s="173"/>
      <c r="M1025" s="173"/>
    </row>
    <row r="1026">
      <c r="C1026" s="170"/>
      <c r="D1026" s="172"/>
      <c r="F1026" s="173"/>
      <c r="G1026" s="173"/>
      <c r="H1026" s="173"/>
      <c r="I1026" s="173"/>
      <c r="J1026" s="173"/>
      <c r="K1026" s="173"/>
      <c r="L1026" s="173"/>
      <c r="M1026" s="173"/>
    </row>
    <row r="1027">
      <c r="C1027" s="170"/>
      <c r="D1027" s="172"/>
      <c r="F1027" s="173"/>
      <c r="G1027" s="173"/>
      <c r="H1027" s="173"/>
      <c r="I1027" s="173"/>
      <c r="J1027" s="173"/>
      <c r="K1027" s="173"/>
      <c r="L1027" s="173"/>
      <c r="M1027" s="173"/>
    </row>
    <row r="1028">
      <c r="C1028" s="170"/>
      <c r="D1028" s="172"/>
      <c r="F1028" s="173"/>
      <c r="G1028" s="173"/>
      <c r="H1028" s="173"/>
      <c r="I1028" s="173"/>
      <c r="J1028" s="173"/>
      <c r="K1028" s="173"/>
      <c r="L1028" s="173"/>
      <c r="M1028" s="173"/>
    </row>
    <row r="1029">
      <c r="C1029" s="170"/>
      <c r="D1029" s="172"/>
      <c r="F1029" s="173"/>
      <c r="G1029" s="173"/>
      <c r="H1029" s="173"/>
      <c r="I1029" s="173"/>
      <c r="J1029" s="173"/>
      <c r="K1029" s="173"/>
      <c r="L1029" s="173"/>
      <c r="M1029" s="173"/>
    </row>
    <row r="1030">
      <c r="C1030" s="170"/>
      <c r="D1030" s="172"/>
      <c r="F1030" s="173"/>
      <c r="G1030" s="173"/>
      <c r="H1030" s="173"/>
      <c r="I1030" s="173"/>
      <c r="J1030" s="173"/>
      <c r="K1030" s="173"/>
      <c r="L1030" s="173"/>
      <c r="M1030" s="173"/>
    </row>
    <row r="1031">
      <c r="C1031" s="170"/>
      <c r="D1031" s="172"/>
      <c r="F1031" s="173"/>
      <c r="G1031" s="173"/>
      <c r="H1031" s="173"/>
      <c r="I1031" s="173"/>
      <c r="J1031" s="173"/>
      <c r="K1031" s="173"/>
      <c r="L1031" s="173"/>
      <c r="M1031" s="173"/>
    </row>
    <row r="1032">
      <c r="C1032" s="170"/>
      <c r="D1032" s="172"/>
      <c r="F1032" s="173"/>
      <c r="G1032" s="173"/>
      <c r="H1032" s="173"/>
      <c r="I1032" s="173"/>
      <c r="J1032" s="173"/>
      <c r="K1032" s="173"/>
      <c r="L1032" s="173"/>
      <c r="M1032" s="173"/>
    </row>
    <row r="1033">
      <c r="C1033" s="170"/>
      <c r="D1033" s="172"/>
      <c r="F1033" s="173"/>
      <c r="G1033" s="173"/>
      <c r="H1033" s="173"/>
      <c r="I1033" s="173"/>
      <c r="J1033" s="173"/>
      <c r="K1033" s="173"/>
      <c r="L1033" s="173"/>
      <c r="M1033" s="173"/>
    </row>
    <row r="1034">
      <c r="C1034" s="170"/>
      <c r="D1034" s="172"/>
      <c r="F1034" s="173"/>
      <c r="G1034" s="173"/>
      <c r="H1034" s="173"/>
      <c r="I1034" s="173"/>
      <c r="J1034" s="173"/>
      <c r="K1034" s="173"/>
      <c r="L1034" s="173"/>
      <c r="M1034" s="173"/>
    </row>
    <row r="1035">
      <c r="C1035" s="170"/>
      <c r="D1035" s="172"/>
      <c r="F1035" s="173"/>
      <c r="G1035" s="173"/>
      <c r="H1035" s="173"/>
      <c r="I1035" s="173"/>
      <c r="J1035" s="173"/>
      <c r="K1035" s="173"/>
      <c r="L1035" s="173"/>
      <c r="M1035" s="173"/>
    </row>
    <row r="1036">
      <c r="C1036" s="170"/>
      <c r="D1036" s="172"/>
      <c r="F1036" s="173"/>
      <c r="G1036" s="173"/>
      <c r="H1036" s="173"/>
      <c r="I1036" s="173"/>
      <c r="J1036" s="173"/>
      <c r="K1036" s="173"/>
      <c r="L1036" s="173"/>
      <c r="M1036" s="173"/>
    </row>
    <row r="1037">
      <c r="C1037" s="170"/>
      <c r="D1037" s="172"/>
      <c r="F1037" s="173"/>
      <c r="G1037" s="173"/>
      <c r="H1037" s="173"/>
      <c r="I1037" s="173"/>
      <c r="J1037" s="173"/>
      <c r="K1037" s="173"/>
      <c r="L1037" s="173"/>
      <c r="M1037" s="173"/>
    </row>
    <row r="1038">
      <c r="C1038" s="170"/>
      <c r="D1038" s="172"/>
      <c r="F1038" s="173"/>
      <c r="G1038" s="173"/>
      <c r="H1038" s="173"/>
      <c r="I1038" s="173"/>
      <c r="J1038" s="173"/>
      <c r="K1038" s="173"/>
      <c r="L1038" s="173"/>
      <c r="M1038" s="173"/>
    </row>
    <row r="1039">
      <c r="C1039" s="170"/>
      <c r="D1039" s="172"/>
      <c r="F1039" s="173"/>
      <c r="G1039" s="173"/>
      <c r="H1039" s="173"/>
      <c r="I1039" s="173"/>
      <c r="J1039" s="173"/>
      <c r="K1039" s="173"/>
      <c r="L1039" s="173"/>
      <c r="M1039" s="173"/>
    </row>
    <row r="1040">
      <c r="C1040" s="170"/>
      <c r="D1040" s="172"/>
      <c r="F1040" s="173"/>
      <c r="G1040" s="173"/>
      <c r="H1040" s="173"/>
      <c r="I1040" s="173"/>
      <c r="J1040" s="173"/>
      <c r="K1040" s="173"/>
      <c r="L1040" s="173"/>
      <c r="M1040" s="173"/>
    </row>
    <row r="1041">
      <c r="C1041" s="170"/>
      <c r="D1041" s="172"/>
      <c r="F1041" s="173"/>
      <c r="G1041" s="173"/>
      <c r="H1041" s="173"/>
      <c r="I1041" s="173"/>
      <c r="J1041" s="173"/>
      <c r="K1041" s="173"/>
      <c r="L1041" s="173"/>
      <c r="M1041" s="173"/>
    </row>
    <row r="1042">
      <c r="C1042" s="170"/>
      <c r="D1042" s="172"/>
      <c r="F1042" s="173"/>
      <c r="G1042" s="173"/>
      <c r="H1042" s="173"/>
      <c r="I1042" s="173"/>
      <c r="J1042" s="173"/>
      <c r="K1042" s="173"/>
      <c r="L1042" s="173"/>
      <c r="M1042" s="173"/>
    </row>
    <row r="1043">
      <c r="C1043" s="170"/>
      <c r="D1043" s="172"/>
      <c r="F1043" s="173"/>
      <c r="G1043" s="173"/>
      <c r="H1043" s="173"/>
      <c r="I1043" s="173"/>
      <c r="J1043" s="173"/>
      <c r="K1043" s="173"/>
      <c r="L1043" s="173"/>
      <c r="M1043" s="173"/>
    </row>
    <row r="1044">
      <c r="C1044" s="170"/>
      <c r="D1044" s="172"/>
      <c r="F1044" s="173"/>
      <c r="G1044" s="173"/>
      <c r="H1044" s="173"/>
      <c r="I1044" s="173"/>
      <c r="J1044" s="173"/>
      <c r="K1044" s="173"/>
      <c r="L1044" s="173"/>
      <c r="M1044" s="173"/>
    </row>
    <row r="1045">
      <c r="C1045" s="170"/>
      <c r="D1045" s="172"/>
      <c r="F1045" s="173"/>
      <c r="G1045" s="173"/>
      <c r="H1045" s="173"/>
      <c r="I1045" s="173"/>
      <c r="J1045" s="173"/>
      <c r="K1045" s="173"/>
      <c r="L1045" s="173"/>
      <c r="M1045" s="173"/>
    </row>
    <row r="1046">
      <c r="C1046" s="170"/>
      <c r="D1046" s="172"/>
      <c r="F1046" s="173"/>
      <c r="G1046" s="173"/>
      <c r="H1046" s="173"/>
      <c r="I1046" s="173"/>
      <c r="J1046" s="173"/>
      <c r="K1046" s="173"/>
      <c r="L1046" s="173"/>
      <c r="M1046" s="173"/>
    </row>
    <row r="1047">
      <c r="C1047" s="170"/>
      <c r="D1047" s="172"/>
      <c r="F1047" s="173"/>
      <c r="G1047" s="173"/>
      <c r="H1047" s="173"/>
      <c r="I1047" s="173"/>
      <c r="J1047" s="173"/>
      <c r="K1047" s="173"/>
      <c r="L1047" s="173"/>
      <c r="M1047" s="173"/>
    </row>
    <row r="1048">
      <c r="C1048" s="170"/>
      <c r="D1048" s="172"/>
      <c r="F1048" s="173"/>
      <c r="G1048" s="173"/>
      <c r="H1048" s="173"/>
      <c r="I1048" s="173"/>
      <c r="J1048" s="173"/>
      <c r="K1048" s="173"/>
      <c r="L1048" s="173"/>
      <c r="M1048" s="173"/>
    </row>
    <row r="1049">
      <c r="C1049" s="170"/>
      <c r="D1049" s="172"/>
      <c r="F1049" s="173"/>
      <c r="G1049" s="173"/>
      <c r="H1049" s="173"/>
      <c r="I1049" s="173"/>
      <c r="J1049" s="173"/>
      <c r="K1049" s="173"/>
      <c r="L1049" s="173"/>
      <c r="M1049" s="173"/>
    </row>
    <row r="1050">
      <c r="C1050" s="170"/>
      <c r="D1050" s="172"/>
      <c r="F1050" s="173"/>
      <c r="G1050" s="173"/>
      <c r="H1050" s="173"/>
      <c r="I1050" s="173"/>
      <c r="J1050" s="173"/>
      <c r="K1050" s="173"/>
      <c r="L1050" s="173"/>
      <c r="M1050" s="173"/>
    </row>
    <row r="1051">
      <c r="C1051" s="170"/>
      <c r="D1051" s="172"/>
      <c r="F1051" s="173"/>
      <c r="G1051" s="173"/>
      <c r="H1051" s="173"/>
      <c r="I1051" s="173"/>
      <c r="J1051" s="173"/>
      <c r="K1051" s="173"/>
      <c r="L1051" s="173"/>
      <c r="M1051" s="173"/>
    </row>
    <row r="1052">
      <c r="C1052" s="170"/>
      <c r="D1052" s="172"/>
      <c r="F1052" s="173"/>
      <c r="G1052" s="173"/>
      <c r="H1052" s="173"/>
      <c r="I1052" s="173"/>
      <c r="J1052" s="173"/>
      <c r="K1052" s="173"/>
      <c r="L1052" s="173"/>
      <c r="M1052" s="173"/>
    </row>
    <row r="1053">
      <c r="C1053" s="170"/>
      <c r="D1053" s="172"/>
      <c r="F1053" s="173"/>
      <c r="G1053" s="173"/>
      <c r="H1053" s="173"/>
      <c r="I1053" s="173"/>
      <c r="J1053" s="173"/>
      <c r="K1053" s="173"/>
      <c r="L1053" s="173"/>
      <c r="M1053" s="173"/>
    </row>
    <row r="1054">
      <c r="C1054" s="170"/>
      <c r="D1054" s="172"/>
      <c r="F1054" s="173"/>
      <c r="G1054" s="173"/>
      <c r="H1054" s="173"/>
      <c r="I1054" s="173"/>
      <c r="J1054" s="173"/>
      <c r="K1054" s="173"/>
      <c r="L1054" s="173"/>
      <c r="M1054" s="173"/>
    </row>
    <row r="1055">
      <c r="C1055" s="170"/>
      <c r="D1055" s="172"/>
      <c r="F1055" s="173"/>
      <c r="G1055" s="173"/>
      <c r="H1055" s="173"/>
      <c r="I1055" s="173"/>
      <c r="J1055" s="173"/>
      <c r="K1055" s="173"/>
      <c r="L1055" s="173"/>
      <c r="M1055" s="173"/>
    </row>
    <row r="1056">
      <c r="C1056" s="170"/>
      <c r="D1056" s="172"/>
      <c r="F1056" s="173"/>
      <c r="G1056" s="173"/>
      <c r="H1056" s="173"/>
      <c r="I1056" s="173"/>
      <c r="J1056" s="173"/>
      <c r="K1056" s="173"/>
      <c r="L1056" s="173"/>
      <c r="M1056" s="173"/>
    </row>
    <row r="1057">
      <c r="C1057" s="170"/>
      <c r="D1057" s="172"/>
      <c r="F1057" s="173"/>
      <c r="G1057" s="173"/>
      <c r="H1057" s="173"/>
      <c r="I1057" s="173"/>
      <c r="J1057" s="173"/>
      <c r="K1057" s="173"/>
      <c r="L1057" s="173"/>
      <c r="M1057" s="173"/>
    </row>
    <row r="1058">
      <c r="C1058" s="170"/>
      <c r="D1058" s="172"/>
      <c r="F1058" s="173"/>
      <c r="G1058" s="173"/>
      <c r="H1058" s="173"/>
      <c r="I1058" s="173"/>
      <c r="J1058" s="173"/>
      <c r="K1058" s="173"/>
      <c r="L1058" s="173"/>
      <c r="M1058" s="173"/>
    </row>
    <row r="1059">
      <c r="C1059" s="170"/>
      <c r="D1059" s="172"/>
      <c r="F1059" s="173"/>
      <c r="G1059" s="173"/>
      <c r="H1059" s="173"/>
      <c r="I1059" s="173"/>
      <c r="J1059" s="173"/>
      <c r="K1059" s="173"/>
      <c r="L1059" s="173"/>
      <c r="M1059" s="173"/>
    </row>
    <row r="1060">
      <c r="C1060" s="170"/>
      <c r="D1060" s="172"/>
      <c r="F1060" s="173"/>
      <c r="G1060" s="173"/>
      <c r="H1060" s="173"/>
      <c r="I1060" s="173"/>
      <c r="J1060" s="173"/>
      <c r="K1060" s="173"/>
      <c r="L1060" s="173"/>
      <c r="M1060" s="173"/>
    </row>
    <row r="1061">
      <c r="C1061" s="170"/>
      <c r="D1061" s="172"/>
      <c r="F1061" s="173"/>
      <c r="G1061" s="173"/>
      <c r="H1061" s="173"/>
      <c r="I1061" s="173"/>
      <c r="J1061" s="173"/>
      <c r="K1061" s="173"/>
      <c r="L1061" s="173"/>
      <c r="M1061" s="173"/>
    </row>
    <row r="1062">
      <c r="C1062" s="170"/>
      <c r="D1062" s="172"/>
      <c r="F1062" s="173"/>
      <c r="G1062" s="173"/>
      <c r="H1062" s="173"/>
      <c r="I1062" s="173"/>
      <c r="J1062" s="173"/>
      <c r="K1062" s="173"/>
      <c r="L1062" s="173"/>
      <c r="M1062" s="173"/>
    </row>
    <row r="1063">
      <c r="C1063" s="170"/>
      <c r="D1063" s="172"/>
      <c r="F1063" s="173"/>
      <c r="G1063" s="173"/>
      <c r="H1063" s="173"/>
      <c r="I1063" s="173"/>
      <c r="J1063" s="173"/>
      <c r="K1063" s="173"/>
      <c r="L1063" s="173"/>
      <c r="M1063" s="173"/>
    </row>
    <row r="1064">
      <c r="C1064" s="170"/>
      <c r="D1064" s="172"/>
      <c r="F1064" s="173"/>
      <c r="G1064" s="173"/>
      <c r="H1064" s="173"/>
      <c r="I1064" s="173"/>
      <c r="J1064" s="173"/>
      <c r="K1064" s="173"/>
      <c r="L1064" s="173"/>
      <c r="M1064" s="173"/>
    </row>
    <row r="1065">
      <c r="C1065" s="170"/>
      <c r="D1065" s="172"/>
      <c r="F1065" s="173"/>
      <c r="G1065" s="173"/>
      <c r="H1065" s="173"/>
      <c r="I1065" s="173"/>
      <c r="J1065" s="173"/>
      <c r="K1065" s="173"/>
      <c r="L1065" s="173"/>
      <c r="M1065" s="173"/>
    </row>
    <row r="1066">
      <c r="C1066" s="170"/>
      <c r="D1066" s="172"/>
      <c r="F1066" s="173"/>
      <c r="G1066" s="173"/>
      <c r="H1066" s="173"/>
      <c r="I1066" s="173"/>
      <c r="J1066" s="173"/>
      <c r="K1066" s="173"/>
      <c r="L1066" s="173"/>
      <c r="M1066" s="173"/>
    </row>
    <row r="1067">
      <c r="C1067" s="170"/>
      <c r="D1067" s="172"/>
      <c r="F1067" s="173"/>
      <c r="G1067" s="173"/>
      <c r="H1067" s="173"/>
      <c r="I1067" s="173"/>
      <c r="J1067" s="173"/>
      <c r="K1067" s="173"/>
      <c r="L1067" s="173"/>
      <c r="M1067" s="173"/>
    </row>
    <row r="1068">
      <c r="C1068" s="170"/>
      <c r="D1068" s="172"/>
      <c r="F1068" s="173"/>
      <c r="G1068" s="173"/>
      <c r="H1068" s="173"/>
      <c r="I1068" s="173"/>
      <c r="J1068" s="173"/>
      <c r="K1068" s="173"/>
      <c r="L1068" s="173"/>
      <c r="M1068" s="173"/>
    </row>
    <row r="1069">
      <c r="C1069" s="170"/>
      <c r="D1069" s="172"/>
      <c r="F1069" s="173"/>
      <c r="G1069" s="173"/>
      <c r="H1069" s="173"/>
      <c r="I1069" s="173"/>
      <c r="J1069" s="173"/>
      <c r="K1069" s="173"/>
      <c r="L1069" s="173"/>
      <c r="M1069" s="173"/>
    </row>
    <row r="1070">
      <c r="C1070" s="170"/>
      <c r="D1070" s="172"/>
      <c r="F1070" s="173"/>
      <c r="G1070" s="173"/>
      <c r="H1070" s="173"/>
      <c r="I1070" s="173"/>
      <c r="J1070" s="173"/>
      <c r="K1070" s="173"/>
      <c r="L1070" s="173"/>
      <c r="M1070" s="173"/>
    </row>
    <row r="1071">
      <c r="C1071" s="170"/>
      <c r="D1071" s="172"/>
      <c r="F1071" s="173"/>
      <c r="G1071" s="173"/>
      <c r="H1071" s="173"/>
      <c r="I1071" s="173"/>
      <c r="J1071" s="173"/>
      <c r="K1071" s="173"/>
      <c r="L1071" s="173"/>
      <c r="M1071" s="173"/>
    </row>
    <row r="1072">
      <c r="C1072" s="170"/>
      <c r="D1072" s="172"/>
      <c r="F1072" s="173"/>
      <c r="G1072" s="173"/>
      <c r="H1072" s="173"/>
      <c r="I1072" s="173"/>
      <c r="J1072" s="173"/>
      <c r="K1072" s="173"/>
      <c r="L1072" s="173"/>
      <c r="M1072" s="173"/>
    </row>
    <row r="1073">
      <c r="C1073" s="170"/>
      <c r="D1073" s="172"/>
      <c r="F1073" s="173"/>
      <c r="G1073" s="173"/>
      <c r="H1073" s="173"/>
      <c r="I1073" s="173"/>
      <c r="J1073" s="173"/>
      <c r="K1073" s="173"/>
      <c r="L1073" s="173"/>
      <c r="M1073" s="173"/>
    </row>
    <row r="1074">
      <c r="C1074" s="170"/>
      <c r="D1074" s="172"/>
      <c r="F1074" s="173"/>
      <c r="G1074" s="173"/>
      <c r="H1074" s="173"/>
      <c r="I1074" s="173"/>
      <c r="J1074" s="173"/>
      <c r="K1074" s="173"/>
      <c r="L1074" s="173"/>
      <c r="M1074" s="173"/>
    </row>
    <row r="1075">
      <c r="C1075" s="170"/>
      <c r="D1075" s="172"/>
      <c r="F1075" s="173"/>
      <c r="G1075" s="173"/>
      <c r="H1075" s="173"/>
      <c r="I1075" s="173"/>
      <c r="J1075" s="173"/>
      <c r="K1075" s="173"/>
      <c r="L1075" s="173"/>
      <c r="M1075" s="173"/>
    </row>
    <row r="1076">
      <c r="C1076" s="170"/>
      <c r="D1076" s="172"/>
      <c r="F1076" s="173"/>
      <c r="G1076" s="173"/>
      <c r="H1076" s="173"/>
      <c r="I1076" s="173"/>
      <c r="J1076" s="173"/>
      <c r="K1076" s="173"/>
      <c r="L1076" s="173"/>
      <c r="M1076" s="173"/>
    </row>
    <row r="1077">
      <c r="C1077" s="170"/>
      <c r="D1077" s="172"/>
      <c r="F1077" s="173"/>
      <c r="G1077" s="173"/>
      <c r="H1077" s="173"/>
      <c r="I1077" s="173"/>
      <c r="J1077" s="173"/>
      <c r="K1077" s="173"/>
      <c r="L1077" s="173"/>
      <c r="M1077" s="173"/>
    </row>
    <row r="1078">
      <c r="C1078" s="170"/>
      <c r="D1078" s="172"/>
      <c r="F1078" s="173"/>
      <c r="G1078" s="173"/>
      <c r="H1078" s="173"/>
      <c r="I1078" s="173"/>
      <c r="J1078" s="173"/>
      <c r="K1078" s="173"/>
      <c r="L1078" s="173"/>
      <c r="M1078" s="173"/>
    </row>
    <row r="1079">
      <c r="C1079" s="170"/>
      <c r="D1079" s="172"/>
      <c r="F1079" s="173"/>
      <c r="G1079" s="173"/>
      <c r="H1079" s="173"/>
      <c r="I1079" s="173"/>
      <c r="J1079" s="173"/>
      <c r="K1079" s="173"/>
      <c r="L1079" s="173"/>
      <c r="M1079" s="173"/>
    </row>
    <row r="1080">
      <c r="C1080" s="170"/>
      <c r="D1080" s="172"/>
      <c r="F1080" s="173"/>
      <c r="G1080" s="173"/>
      <c r="H1080" s="173"/>
      <c r="I1080" s="173"/>
      <c r="J1080" s="173"/>
      <c r="K1080" s="173"/>
      <c r="L1080" s="173"/>
      <c r="M1080" s="173"/>
    </row>
    <row r="1081">
      <c r="C1081" s="170"/>
      <c r="D1081" s="172"/>
      <c r="F1081" s="173"/>
      <c r="G1081" s="173"/>
      <c r="H1081" s="173"/>
      <c r="I1081" s="173"/>
      <c r="J1081" s="173"/>
      <c r="K1081" s="173"/>
      <c r="L1081" s="173"/>
      <c r="M1081" s="173"/>
    </row>
    <row r="1082">
      <c r="C1082" s="170"/>
      <c r="D1082" s="172"/>
      <c r="F1082" s="173"/>
      <c r="G1082" s="173"/>
      <c r="H1082" s="173"/>
      <c r="I1082" s="173"/>
      <c r="J1082" s="173"/>
      <c r="K1082" s="173"/>
      <c r="L1082" s="173"/>
      <c r="M1082" s="173"/>
    </row>
    <row r="1083">
      <c r="C1083" s="170"/>
      <c r="D1083" s="172"/>
      <c r="F1083" s="173"/>
      <c r="G1083" s="173"/>
      <c r="H1083" s="173"/>
      <c r="I1083" s="173"/>
      <c r="J1083" s="173"/>
      <c r="K1083" s="173"/>
      <c r="L1083" s="173"/>
      <c r="M1083" s="173"/>
    </row>
    <row r="1084">
      <c r="C1084" s="170"/>
      <c r="D1084" s="172"/>
      <c r="F1084" s="173"/>
      <c r="G1084" s="173"/>
      <c r="H1084" s="173"/>
      <c r="I1084" s="173"/>
      <c r="J1084" s="173"/>
      <c r="K1084" s="173"/>
      <c r="L1084" s="173"/>
      <c r="M1084" s="173"/>
    </row>
    <row r="1085">
      <c r="C1085" s="170"/>
      <c r="D1085" s="172"/>
      <c r="F1085" s="173"/>
      <c r="G1085" s="173"/>
      <c r="H1085" s="173"/>
      <c r="I1085" s="173"/>
      <c r="J1085" s="173"/>
      <c r="K1085" s="173"/>
      <c r="L1085" s="173"/>
      <c r="M1085" s="173"/>
    </row>
    <row r="1086">
      <c r="C1086" s="170"/>
      <c r="D1086" s="172"/>
      <c r="F1086" s="173"/>
      <c r="G1086" s="173"/>
      <c r="H1086" s="173"/>
      <c r="I1086" s="173"/>
      <c r="J1086" s="173"/>
      <c r="K1086" s="173"/>
      <c r="L1086" s="173"/>
      <c r="M1086" s="173"/>
    </row>
    <row r="1087">
      <c r="C1087" s="170"/>
      <c r="D1087" s="172"/>
      <c r="F1087" s="173"/>
      <c r="G1087" s="173"/>
      <c r="H1087" s="173"/>
      <c r="I1087" s="173"/>
      <c r="J1087" s="173"/>
      <c r="K1087" s="173"/>
      <c r="L1087" s="173"/>
      <c r="M1087" s="173"/>
    </row>
    <row r="1088">
      <c r="C1088" s="170"/>
      <c r="D1088" s="172"/>
      <c r="F1088" s="173"/>
      <c r="G1088" s="173"/>
      <c r="H1088" s="173"/>
      <c r="I1088" s="173"/>
      <c r="J1088" s="173"/>
      <c r="K1088" s="173"/>
      <c r="L1088" s="173"/>
      <c r="M1088" s="173"/>
    </row>
    <row r="1089">
      <c r="C1089" s="170"/>
      <c r="D1089" s="172"/>
      <c r="F1089" s="173"/>
      <c r="G1089" s="173"/>
      <c r="H1089" s="173"/>
      <c r="I1089" s="173"/>
      <c r="J1089" s="173"/>
      <c r="K1089" s="173"/>
      <c r="L1089" s="173"/>
      <c r="M1089" s="173"/>
    </row>
    <row r="1090">
      <c r="C1090" s="170"/>
      <c r="D1090" s="172"/>
      <c r="F1090" s="173"/>
      <c r="G1090" s="173"/>
      <c r="H1090" s="173"/>
      <c r="I1090" s="173"/>
      <c r="J1090" s="173"/>
      <c r="K1090" s="173"/>
      <c r="L1090" s="173"/>
      <c r="M1090" s="173"/>
    </row>
    <row r="1091">
      <c r="C1091" s="170"/>
      <c r="D1091" s="172"/>
      <c r="F1091" s="173"/>
      <c r="G1091" s="173"/>
      <c r="H1091" s="173"/>
      <c r="I1091" s="173"/>
      <c r="J1091" s="173"/>
      <c r="K1091" s="173"/>
      <c r="L1091" s="173"/>
      <c r="M1091" s="173"/>
    </row>
    <row r="1092">
      <c r="C1092" s="170"/>
      <c r="D1092" s="172"/>
      <c r="F1092" s="173"/>
      <c r="G1092" s="173"/>
      <c r="H1092" s="173"/>
      <c r="I1092" s="173"/>
      <c r="J1092" s="173"/>
      <c r="K1092" s="173"/>
      <c r="L1092" s="173"/>
      <c r="M1092" s="173"/>
    </row>
    <row r="1093">
      <c r="C1093" s="170"/>
      <c r="D1093" s="172"/>
      <c r="F1093" s="173"/>
      <c r="G1093" s="173"/>
      <c r="H1093" s="173"/>
      <c r="I1093" s="173"/>
      <c r="J1093" s="173"/>
      <c r="K1093" s="173"/>
      <c r="L1093" s="173"/>
      <c r="M1093" s="173"/>
    </row>
    <row r="1094">
      <c r="C1094" s="170"/>
      <c r="D1094" s="172"/>
      <c r="F1094" s="173"/>
      <c r="G1094" s="173"/>
      <c r="H1094" s="173"/>
      <c r="I1094" s="173"/>
      <c r="J1094" s="173"/>
      <c r="K1094" s="173"/>
      <c r="L1094" s="173"/>
      <c r="M1094" s="173"/>
    </row>
    <row r="1095">
      <c r="C1095" s="170"/>
      <c r="D1095" s="172"/>
      <c r="F1095" s="173"/>
      <c r="G1095" s="173"/>
      <c r="H1095" s="173"/>
      <c r="I1095" s="173"/>
      <c r="J1095" s="173"/>
      <c r="K1095" s="173"/>
      <c r="L1095" s="173"/>
      <c r="M1095" s="173"/>
    </row>
    <row r="1096">
      <c r="C1096" s="170"/>
      <c r="D1096" s="172"/>
      <c r="F1096" s="173"/>
      <c r="G1096" s="173"/>
      <c r="H1096" s="173"/>
      <c r="I1096" s="173"/>
      <c r="J1096" s="173"/>
      <c r="K1096" s="173"/>
      <c r="L1096" s="173"/>
      <c r="M1096" s="173"/>
    </row>
    <row r="1097">
      <c r="C1097" s="170"/>
      <c r="D1097" s="172"/>
      <c r="F1097" s="173"/>
      <c r="G1097" s="173"/>
      <c r="H1097" s="173"/>
      <c r="I1097" s="173"/>
      <c r="J1097" s="173"/>
      <c r="K1097" s="173"/>
      <c r="L1097" s="173"/>
      <c r="M1097" s="173"/>
    </row>
    <row r="1098">
      <c r="C1098" s="170"/>
      <c r="D1098" s="172"/>
      <c r="F1098" s="173"/>
      <c r="G1098" s="173"/>
      <c r="H1098" s="173"/>
      <c r="I1098" s="173"/>
      <c r="J1098" s="173"/>
      <c r="K1098" s="173"/>
      <c r="L1098" s="173"/>
      <c r="M1098" s="173"/>
    </row>
    <row r="1099">
      <c r="C1099" s="170"/>
      <c r="D1099" s="172"/>
      <c r="F1099" s="173"/>
      <c r="G1099" s="173"/>
      <c r="H1099" s="173"/>
      <c r="I1099" s="173"/>
      <c r="J1099" s="173"/>
      <c r="K1099" s="173"/>
      <c r="L1099" s="173"/>
      <c r="M1099" s="173"/>
    </row>
    <row r="1100">
      <c r="C1100" s="170"/>
      <c r="D1100" s="172"/>
      <c r="F1100" s="173"/>
      <c r="G1100" s="173"/>
      <c r="H1100" s="173"/>
      <c r="I1100" s="173"/>
      <c r="J1100" s="173"/>
      <c r="K1100" s="173"/>
      <c r="L1100" s="173"/>
      <c r="M1100" s="173"/>
    </row>
    <row r="1101">
      <c r="C1101" s="170"/>
      <c r="D1101" s="172"/>
      <c r="F1101" s="173"/>
      <c r="G1101" s="173"/>
      <c r="H1101" s="173"/>
      <c r="I1101" s="173"/>
      <c r="J1101" s="173"/>
      <c r="K1101" s="173"/>
      <c r="L1101" s="173"/>
      <c r="M1101" s="173"/>
    </row>
    <row r="1102">
      <c r="C1102" s="170"/>
      <c r="D1102" s="172"/>
      <c r="F1102" s="173"/>
      <c r="G1102" s="173"/>
      <c r="H1102" s="173"/>
      <c r="I1102" s="173"/>
      <c r="J1102" s="173"/>
      <c r="K1102" s="173"/>
      <c r="L1102" s="173"/>
      <c r="M1102" s="173"/>
    </row>
    <row r="1103">
      <c r="C1103" s="170"/>
      <c r="D1103" s="172"/>
      <c r="F1103" s="173"/>
      <c r="G1103" s="173"/>
      <c r="H1103" s="173"/>
      <c r="I1103" s="173"/>
      <c r="J1103" s="173"/>
      <c r="K1103" s="173"/>
      <c r="L1103" s="173"/>
      <c r="M1103" s="173"/>
    </row>
    <row r="1104">
      <c r="C1104" s="170"/>
      <c r="D1104" s="172"/>
      <c r="F1104" s="173"/>
      <c r="G1104" s="173"/>
      <c r="H1104" s="173"/>
      <c r="I1104" s="173"/>
      <c r="J1104" s="173"/>
      <c r="K1104" s="173"/>
      <c r="L1104" s="173"/>
      <c r="M1104" s="173"/>
    </row>
    <row r="1105">
      <c r="C1105" s="170"/>
      <c r="D1105" s="172"/>
      <c r="F1105" s="173"/>
      <c r="G1105" s="173"/>
      <c r="H1105" s="173"/>
      <c r="I1105" s="173"/>
      <c r="J1105" s="173"/>
      <c r="K1105" s="173"/>
      <c r="L1105" s="173"/>
      <c r="M1105" s="173"/>
    </row>
    <row r="1106">
      <c r="C1106" s="170"/>
      <c r="D1106" s="172"/>
      <c r="F1106" s="173"/>
      <c r="G1106" s="173"/>
      <c r="H1106" s="173"/>
      <c r="I1106" s="173"/>
      <c r="J1106" s="173"/>
      <c r="K1106" s="173"/>
      <c r="L1106" s="173"/>
      <c r="M1106" s="173"/>
    </row>
    <row r="1107">
      <c r="C1107" s="170"/>
      <c r="D1107" s="172"/>
      <c r="F1107" s="173"/>
      <c r="G1107" s="173"/>
      <c r="H1107" s="173"/>
      <c r="I1107" s="173"/>
      <c r="J1107" s="173"/>
      <c r="K1107" s="173"/>
      <c r="L1107" s="173"/>
      <c r="M1107" s="173"/>
    </row>
    <row r="1108">
      <c r="C1108" s="170"/>
      <c r="D1108" s="172"/>
      <c r="F1108" s="173"/>
      <c r="G1108" s="173"/>
      <c r="H1108" s="173"/>
      <c r="I1108" s="173"/>
      <c r="J1108" s="173"/>
      <c r="K1108" s="173"/>
      <c r="L1108" s="173"/>
      <c r="M1108" s="173"/>
    </row>
    <row r="1109">
      <c r="C1109" s="170"/>
      <c r="D1109" s="172"/>
      <c r="F1109" s="173"/>
      <c r="G1109" s="173"/>
      <c r="H1109" s="173"/>
      <c r="I1109" s="173"/>
      <c r="J1109" s="173"/>
      <c r="K1109" s="173"/>
      <c r="L1109" s="173"/>
      <c r="M1109" s="173"/>
    </row>
    <row r="1110">
      <c r="C1110" s="170"/>
      <c r="D1110" s="172"/>
      <c r="F1110" s="173"/>
      <c r="G1110" s="173"/>
      <c r="H1110" s="173"/>
      <c r="I1110" s="173"/>
      <c r="J1110" s="173"/>
      <c r="K1110" s="173"/>
      <c r="L1110" s="173"/>
      <c r="M1110" s="173"/>
    </row>
    <row r="1111">
      <c r="C1111" s="170"/>
      <c r="D1111" s="172"/>
      <c r="F1111" s="173"/>
      <c r="G1111" s="173"/>
      <c r="H1111" s="173"/>
      <c r="I1111" s="173"/>
      <c r="J1111" s="173"/>
      <c r="K1111" s="173"/>
      <c r="L1111" s="173"/>
      <c r="M1111" s="173"/>
    </row>
    <row r="1112">
      <c r="C1112" s="170"/>
      <c r="D1112" s="172"/>
      <c r="F1112" s="173"/>
      <c r="G1112" s="173"/>
      <c r="H1112" s="173"/>
      <c r="I1112" s="173"/>
      <c r="J1112" s="173"/>
      <c r="K1112" s="173"/>
      <c r="L1112" s="173"/>
      <c r="M1112" s="173"/>
    </row>
    <row r="1113">
      <c r="C1113" s="170"/>
      <c r="D1113" s="172"/>
      <c r="F1113" s="173"/>
      <c r="G1113" s="173"/>
      <c r="H1113" s="173"/>
      <c r="I1113" s="173"/>
      <c r="J1113" s="173"/>
      <c r="K1113" s="173"/>
      <c r="L1113" s="173"/>
      <c r="M1113" s="173"/>
    </row>
    <row r="1114">
      <c r="C1114" s="170"/>
      <c r="D1114" s="172"/>
      <c r="F1114" s="173"/>
      <c r="G1114" s="173"/>
      <c r="H1114" s="173"/>
      <c r="I1114" s="173"/>
      <c r="J1114" s="173"/>
      <c r="K1114" s="173"/>
      <c r="L1114" s="173"/>
      <c r="M1114" s="173"/>
    </row>
    <row r="1115">
      <c r="C1115" s="170"/>
      <c r="D1115" s="172"/>
      <c r="F1115" s="173"/>
      <c r="G1115" s="173"/>
      <c r="H1115" s="173"/>
      <c r="I1115" s="173"/>
      <c r="J1115" s="173"/>
      <c r="K1115" s="173"/>
      <c r="L1115" s="173"/>
      <c r="M1115" s="173"/>
    </row>
    <row r="1116">
      <c r="C1116" s="170"/>
      <c r="D1116" s="172"/>
      <c r="F1116" s="173"/>
      <c r="G1116" s="173"/>
      <c r="H1116" s="173"/>
      <c r="I1116" s="173"/>
      <c r="J1116" s="173"/>
      <c r="K1116" s="173"/>
      <c r="L1116" s="173"/>
      <c r="M1116" s="173"/>
    </row>
    <row r="1117">
      <c r="C1117" s="170"/>
      <c r="D1117" s="172"/>
      <c r="F1117" s="173"/>
      <c r="G1117" s="173"/>
      <c r="H1117" s="173"/>
      <c r="I1117" s="173"/>
      <c r="J1117" s="173"/>
      <c r="K1117" s="173"/>
      <c r="L1117" s="173"/>
      <c r="M1117" s="173"/>
    </row>
    <row r="1118">
      <c r="C1118" s="170"/>
      <c r="D1118" s="172"/>
      <c r="F1118" s="173"/>
      <c r="G1118" s="173"/>
      <c r="H1118" s="173"/>
      <c r="I1118" s="173"/>
      <c r="J1118" s="173"/>
      <c r="K1118" s="173"/>
      <c r="L1118" s="173"/>
      <c r="M1118" s="173"/>
    </row>
    <row r="1119">
      <c r="C1119" s="170"/>
      <c r="D1119" s="172"/>
      <c r="F1119" s="173"/>
      <c r="G1119" s="173"/>
      <c r="H1119" s="173"/>
      <c r="I1119" s="173"/>
      <c r="J1119" s="173"/>
      <c r="K1119" s="173"/>
      <c r="L1119" s="173"/>
      <c r="M1119" s="173"/>
    </row>
    <row r="1120">
      <c r="C1120" s="170"/>
      <c r="D1120" s="172"/>
      <c r="F1120" s="173"/>
      <c r="G1120" s="173"/>
      <c r="H1120" s="173"/>
      <c r="I1120" s="173"/>
      <c r="J1120" s="173"/>
      <c r="K1120" s="173"/>
      <c r="L1120" s="173"/>
      <c r="M1120" s="173"/>
    </row>
    <row r="1121">
      <c r="C1121" s="170"/>
      <c r="D1121" s="172"/>
      <c r="F1121" s="173"/>
      <c r="G1121" s="173"/>
      <c r="H1121" s="173"/>
      <c r="I1121" s="173"/>
      <c r="J1121" s="173"/>
      <c r="K1121" s="173"/>
      <c r="L1121" s="173"/>
      <c r="M1121" s="173"/>
    </row>
    <row r="1122">
      <c r="C1122" s="170"/>
      <c r="D1122" s="172"/>
      <c r="F1122" s="173"/>
      <c r="G1122" s="173"/>
      <c r="H1122" s="173"/>
      <c r="I1122" s="173"/>
      <c r="J1122" s="173"/>
      <c r="K1122" s="173"/>
      <c r="L1122" s="173"/>
      <c r="M1122" s="173"/>
    </row>
    <row r="1123">
      <c r="C1123" s="170"/>
      <c r="D1123" s="172"/>
      <c r="F1123" s="173"/>
      <c r="G1123" s="173"/>
      <c r="H1123" s="173"/>
      <c r="I1123" s="173"/>
      <c r="J1123" s="173"/>
      <c r="K1123" s="173"/>
      <c r="L1123" s="173"/>
      <c r="M1123" s="173"/>
    </row>
    <row r="1124">
      <c r="C1124" s="170"/>
      <c r="D1124" s="172"/>
      <c r="F1124" s="173"/>
      <c r="G1124" s="173"/>
      <c r="H1124" s="173"/>
      <c r="I1124" s="173"/>
      <c r="J1124" s="173"/>
      <c r="K1124" s="173"/>
      <c r="L1124" s="173"/>
      <c r="M1124" s="173"/>
    </row>
    <row r="1125">
      <c r="C1125" s="170"/>
      <c r="D1125" s="172"/>
      <c r="F1125" s="173"/>
      <c r="G1125" s="173"/>
      <c r="H1125" s="173"/>
      <c r="I1125" s="173"/>
      <c r="J1125" s="173"/>
      <c r="K1125" s="173"/>
      <c r="L1125" s="173"/>
      <c r="M1125" s="173"/>
    </row>
    <row r="1126">
      <c r="C1126" s="170"/>
      <c r="D1126" s="172"/>
      <c r="F1126" s="173"/>
      <c r="G1126" s="173"/>
      <c r="H1126" s="173"/>
      <c r="I1126" s="173"/>
      <c r="J1126" s="173"/>
      <c r="K1126" s="173"/>
      <c r="L1126" s="173"/>
      <c r="M1126" s="173"/>
    </row>
    <row r="1127">
      <c r="C1127" s="170"/>
      <c r="D1127" s="172"/>
      <c r="F1127" s="173"/>
      <c r="G1127" s="173"/>
      <c r="H1127" s="173"/>
      <c r="I1127" s="173"/>
      <c r="J1127" s="173"/>
      <c r="K1127" s="173"/>
      <c r="L1127" s="173"/>
      <c r="M1127" s="173"/>
    </row>
    <row r="1128">
      <c r="C1128" s="170"/>
      <c r="D1128" s="172"/>
      <c r="F1128" s="173"/>
      <c r="G1128" s="173"/>
      <c r="H1128" s="173"/>
      <c r="I1128" s="173"/>
      <c r="J1128" s="173"/>
      <c r="K1128" s="173"/>
      <c r="L1128" s="173"/>
      <c r="M1128" s="173"/>
    </row>
    <row r="1129">
      <c r="C1129" s="170"/>
      <c r="D1129" s="172"/>
      <c r="F1129" s="173"/>
      <c r="G1129" s="173"/>
      <c r="H1129" s="173"/>
      <c r="I1129" s="173"/>
      <c r="J1129" s="173"/>
      <c r="K1129" s="173"/>
      <c r="L1129" s="173"/>
      <c r="M1129" s="173"/>
    </row>
    <row r="1130">
      <c r="C1130" s="170"/>
      <c r="D1130" s="172"/>
      <c r="F1130" s="173"/>
      <c r="G1130" s="173"/>
      <c r="H1130" s="173"/>
      <c r="I1130" s="173"/>
      <c r="J1130" s="173"/>
      <c r="K1130" s="173"/>
      <c r="L1130" s="173"/>
      <c r="M1130" s="173"/>
    </row>
    <row r="1131">
      <c r="C1131" s="170"/>
      <c r="D1131" s="172"/>
      <c r="F1131" s="173"/>
      <c r="G1131" s="173"/>
      <c r="H1131" s="173"/>
      <c r="I1131" s="173"/>
      <c r="J1131" s="173"/>
      <c r="K1131" s="173"/>
      <c r="L1131" s="173"/>
      <c r="M1131" s="173"/>
    </row>
    <row r="1132">
      <c r="C1132" s="170"/>
      <c r="D1132" s="172"/>
      <c r="F1132" s="173"/>
      <c r="G1132" s="173"/>
      <c r="H1132" s="173"/>
      <c r="I1132" s="173"/>
      <c r="J1132" s="173"/>
      <c r="K1132" s="173"/>
      <c r="L1132" s="173"/>
      <c r="M1132" s="173"/>
    </row>
    <row r="1133">
      <c r="C1133" s="170"/>
      <c r="D1133" s="172"/>
      <c r="F1133" s="173"/>
      <c r="G1133" s="173"/>
      <c r="H1133" s="173"/>
      <c r="I1133" s="173"/>
      <c r="J1133" s="173"/>
      <c r="K1133" s="173"/>
      <c r="L1133" s="173"/>
      <c r="M1133" s="173"/>
    </row>
    <row r="1134">
      <c r="C1134" s="170"/>
      <c r="D1134" s="172"/>
      <c r="F1134" s="173"/>
      <c r="G1134" s="173"/>
      <c r="H1134" s="173"/>
      <c r="I1134" s="173"/>
      <c r="J1134" s="173"/>
      <c r="K1134" s="173"/>
      <c r="L1134" s="173"/>
      <c r="M1134" s="173"/>
    </row>
    <row r="1135">
      <c r="C1135" s="170"/>
      <c r="D1135" s="172"/>
      <c r="F1135" s="173"/>
      <c r="G1135" s="173"/>
      <c r="H1135" s="173"/>
      <c r="I1135" s="173"/>
      <c r="J1135" s="173"/>
      <c r="K1135" s="173"/>
      <c r="L1135" s="173"/>
      <c r="M1135" s="173"/>
    </row>
    <row r="1136">
      <c r="C1136" s="170"/>
      <c r="D1136" s="172"/>
      <c r="F1136" s="173"/>
      <c r="G1136" s="173"/>
      <c r="H1136" s="173"/>
      <c r="I1136" s="173"/>
      <c r="J1136" s="173"/>
      <c r="K1136" s="173"/>
      <c r="L1136" s="173"/>
      <c r="M1136" s="173"/>
    </row>
    <row r="1137">
      <c r="C1137" s="170"/>
      <c r="D1137" s="172"/>
      <c r="F1137" s="173"/>
      <c r="G1137" s="173"/>
      <c r="H1137" s="173"/>
      <c r="I1137" s="173"/>
      <c r="J1137" s="173"/>
      <c r="K1137" s="173"/>
      <c r="L1137" s="173"/>
      <c r="M1137" s="173"/>
    </row>
    <row r="1138">
      <c r="C1138" s="170"/>
      <c r="D1138" s="172"/>
      <c r="F1138" s="173"/>
      <c r="G1138" s="173"/>
      <c r="H1138" s="173"/>
      <c r="I1138" s="173"/>
      <c r="J1138" s="173"/>
      <c r="K1138" s="173"/>
      <c r="L1138" s="173"/>
      <c r="M1138" s="173"/>
    </row>
    <row r="1139">
      <c r="C1139" s="170"/>
      <c r="D1139" s="172"/>
      <c r="F1139" s="173"/>
      <c r="G1139" s="173"/>
      <c r="H1139" s="173"/>
      <c r="I1139" s="173"/>
      <c r="J1139" s="173"/>
      <c r="K1139" s="173"/>
      <c r="L1139" s="173"/>
      <c r="M1139" s="173"/>
    </row>
    <row r="1140">
      <c r="C1140" s="170"/>
      <c r="D1140" s="172"/>
      <c r="F1140" s="173"/>
      <c r="G1140" s="173"/>
      <c r="H1140" s="173"/>
      <c r="I1140" s="173"/>
      <c r="J1140" s="173"/>
      <c r="K1140" s="173"/>
      <c r="L1140" s="173"/>
      <c r="M1140" s="173"/>
    </row>
    <row r="1141">
      <c r="C1141" s="170"/>
      <c r="D1141" s="172"/>
      <c r="F1141" s="173"/>
      <c r="G1141" s="173"/>
      <c r="H1141" s="173"/>
      <c r="I1141" s="173"/>
      <c r="J1141" s="173"/>
      <c r="K1141" s="173"/>
      <c r="L1141" s="173"/>
      <c r="M1141" s="173"/>
    </row>
    <row r="1142">
      <c r="C1142" s="170"/>
      <c r="D1142" s="172"/>
      <c r="F1142" s="173"/>
      <c r="G1142" s="173"/>
      <c r="H1142" s="173"/>
      <c r="I1142" s="173"/>
      <c r="J1142" s="173"/>
      <c r="K1142" s="173"/>
      <c r="L1142" s="173"/>
      <c r="M1142" s="173"/>
    </row>
    <row r="1143">
      <c r="C1143" s="170"/>
      <c r="D1143" s="172"/>
      <c r="F1143" s="173"/>
      <c r="G1143" s="173"/>
      <c r="H1143" s="173"/>
      <c r="I1143" s="173"/>
      <c r="J1143" s="173"/>
      <c r="K1143" s="173"/>
      <c r="L1143" s="173"/>
      <c r="M1143" s="173"/>
    </row>
    <row r="1144">
      <c r="C1144" s="170"/>
      <c r="D1144" s="172"/>
      <c r="F1144" s="173"/>
      <c r="G1144" s="173"/>
      <c r="H1144" s="173"/>
      <c r="I1144" s="173"/>
      <c r="J1144" s="173"/>
      <c r="K1144" s="173"/>
      <c r="L1144" s="173"/>
      <c r="M1144" s="173"/>
    </row>
    <row r="1145">
      <c r="C1145" s="170"/>
      <c r="D1145" s="172"/>
      <c r="F1145" s="173"/>
      <c r="G1145" s="173"/>
      <c r="H1145" s="173"/>
      <c r="I1145" s="173"/>
      <c r="J1145" s="173"/>
      <c r="K1145" s="173"/>
      <c r="L1145" s="173"/>
      <c r="M1145" s="173"/>
    </row>
    <row r="1146">
      <c r="C1146" s="170"/>
      <c r="D1146" s="172"/>
      <c r="F1146" s="173"/>
      <c r="G1146" s="173"/>
      <c r="H1146" s="173"/>
      <c r="I1146" s="173"/>
      <c r="J1146" s="173"/>
      <c r="K1146" s="173"/>
      <c r="L1146" s="173"/>
      <c r="M1146" s="173"/>
    </row>
    <row r="1147">
      <c r="C1147" s="170"/>
      <c r="D1147" s="172"/>
      <c r="F1147" s="173"/>
      <c r="G1147" s="173"/>
      <c r="H1147" s="173"/>
      <c r="I1147" s="173"/>
      <c r="J1147" s="173"/>
      <c r="K1147" s="173"/>
      <c r="L1147" s="173"/>
      <c r="M1147" s="173"/>
    </row>
    <row r="1148">
      <c r="C1148" s="170"/>
      <c r="D1148" s="172"/>
      <c r="F1148" s="173"/>
      <c r="G1148" s="173"/>
      <c r="H1148" s="173"/>
      <c r="I1148" s="173"/>
      <c r="J1148" s="173"/>
      <c r="K1148" s="173"/>
      <c r="L1148" s="173"/>
      <c r="M1148" s="173"/>
    </row>
    <row r="1149">
      <c r="C1149" s="170"/>
      <c r="D1149" s="172"/>
      <c r="F1149" s="173"/>
      <c r="G1149" s="173"/>
      <c r="H1149" s="173"/>
      <c r="I1149" s="173"/>
      <c r="J1149" s="173"/>
      <c r="K1149" s="173"/>
      <c r="L1149" s="173"/>
      <c r="M1149" s="173"/>
    </row>
    <row r="1150">
      <c r="C1150" s="170"/>
      <c r="D1150" s="172"/>
      <c r="F1150" s="173"/>
      <c r="G1150" s="173"/>
      <c r="H1150" s="173"/>
      <c r="I1150" s="173"/>
      <c r="J1150" s="173"/>
      <c r="K1150" s="173"/>
      <c r="L1150" s="173"/>
      <c r="M1150" s="173"/>
    </row>
    <row r="1151">
      <c r="C1151" s="170"/>
      <c r="D1151" s="172"/>
      <c r="F1151" s="173"/>
      <c r="G1151" s="173"/>
      <c r="H1151" s="173"/>
      <c r="I1151" s="173"/>
      <c r="J1151" s="173"/>
      <c r="K1151" s="173"/>
      <c r="L1151" s="173"/>
      <c r="M1151" s="173"/>
    </row>
    <row r="1152">
      <c r="C1152" s="170"/>
      <c r="D1152" s="172"/>
      <c r="F1152" s="173"/>
      <c r="G1152" s="173"/>
      <c r="H1152" s="173"/>
      <c r="I1152" s="173"/>
      <c r="J1152" s="173"/>
      <c r="K1152" s="173"/>
      <c r="L1152" s="173"/>
      <c r="M1152" s="173"/>
    </row>
    <row r="1153">
      <c r="C1153" s="170"/>
      <c r="D1153" s="172"/>
      <c r="F1153" s="173"/>
      <c r="G1153" s="173"/>
      <c r="H1153" s="173"/>
      <c r="I1153" s="173"/>
      <c r="J1153" s="173"/>
      <c r="K1153" s="173"/>
      <c r="L1153" s="173"/>
      <c r="M1153" s="173"/>
    </row>
    <row r="1154">
      <c r="C1154" s="170"/>
      <c r="D1154" s="172"/>
      <c r="F1154" s="173"/>
      <c r="G1154" s="173"/>
      <c r="H1154" s="173"/>
      <c r="I1154" s="173"/>
      <c r="J1154" s="173"/>
      <c r="K1154" s="173"/>
      <c r="L1154" s="173"/>
      <c r="M1154" s="173"/>
    </row>
    <row r="1155">
      <c r="C1155" s="170"/>
      <c r="D1155" s="172"/>
      <c r="F1155" s="173"/>
      <c r="G1155" s="173"/>
      <c r="H1155" s="173"/>
      <c r="I1155" s="173"/>
      <c r="J1155" s="173"/>
      <c r="K1155" s="173"/>
      <c r="L1155" s="173"/>
      <c r="M1155" s="173"/>
    </row>
    <row r="1156">
      <c r="C1156" s="170"/>
      <c r="D1156" s="172"/>
      <c r="F1156" s="173"/>
      <c r="G1156" s="173"/>
      <c r="H1156" s="173"/>
      <c r="I1156" s="173"/>
      <c r="J1156" s="173"/>
      <c r="K1156" s="173"/>
      <c r="L1156" s="173"/>
      <c r="M1156" s="173"/>
    </row>
    <row r="1157">
      <c r="C1157" s="170"/>
      <c r="D1157" s="172"/>
      <c r="F1157" s="173"/>
      <c r="G1157" s="173"/>
      <c r="H1157" s="173"/>
      <c r="I1157" s="173"/>
      <c r="J1157" s="173"/>
      <c r="K1157" s="173"/>
      <c r="L1157" s="173"/>
      <c r="M1157" s="173"/>
    </row>
    <row r="1158">
      <c r="C1158" s="170"/>
      <c r="D1158" s="172"/>
      <c r="F1158" s="173"/>
      <c r="G1158" s="173"/>
      <c r="H1158" s="173"/>
      <c r="I1158" s="173"/>
      <c r="J1158" s="173"/>
      <c r="K1158" s="173"/>
      <c r="L1158" s="173"/>
      <c r="M1158" s="173"/>
    </row>
    <row r="1159">
      <c r="C1159" s="170"/>
      <c r="D1159" s="172"/>
      <c r="F1159" s="173"/>
      <c r="G1159" s="173"/>
      <c r="H1159" s="173"/>
      <c r="I1159" s="173"/>
      <c r="J1159" s="173"/>
      <c r="K1159" s="173"/>
      <c r="L1159" s="173"/>
      <c r="M1159" s="173"/>
    </row>
    <row r="1160">
      <c r="C1160" s="170"/>
      <c r="D1160" s="172"/>
      <c r="F1160" s="173"/>
      <c r="G1160" s="173"/>
      <c r="H1160" s="173"/>
      <c r="I1160" s="173"/>
      <c r="J1160" s="173"/>
      <c r="K1160" s="173"/>
      <c r="L1160" s="173"/>
      <c r="M1160" s="173"/>
    </row>
    <row r="1161">
      <c r="C1161" s="170"/>
      <c r="D1161" s="172"/>
      <c r="F1161" s="173"/>
      <c r="G1161" s="173"/>
      <c r="H1161" s="173"/>
      <c r="I1161" s="173"/>
      <c r="J1161" s="173"/>
      <c r="K1161" s="173"/>
      <c r="L1161" s="173"/>
      <c r="M1161" s="173"/>
    </row>
    <row r="1162">
      <c r="C1162" s="170"/>
      <c r="D1162" s="172"/>
      <c r="F1162" s="173"/>
      <c r="G1162" s="173"/>
      <c r="H1162" s="173"/>
      <c r="I1162" s="173"/>
      <c r="J1162" s="173"/>
      <c r="K1162" s="173"/>
      <c r="L1162" s="173"/>
      <c r="M1162" s="173"/>
    </row>
    <row r="1163">
      <c r="C1163" s="170"/>
      <c r="D1163" s="172"/>
      <c r="F1163" s="173"/>
      <c r="G1163" s="173"/>
      <c r="H1163" s="173"/>
      <c r="I1163" s="173"/>
      <c r="J1163" s="173"/>
      <c r="K1163" s="173"/>
      <c r="L1163" s="173"/>
      <c r="M1163" s="173"/>
    </row>
    <row r="1164">
      <c r="C1164" s="170"/>
      <c r="D1164" s="172"/>
      <c r="F1164" s="173"/>
      <c r="G1164" s="173"/>
      <c r="H1164" s="173"/>
      <c r="I1164" s="173"/>
      <c r="J1164" s="173"/>
      <c r="K1164" s="173"/>
      <c r="L1164" s="173"/>
      <c r="M1164" s="173"/>
    </row>
    <row r="1165">
      <c r="C1165" s="170"/>
      <c r="D1165" s="172"/>
      <c r="F1165" s="173"/>
      <c r="G1165" s="173"/>
      <c r="H1165" s="173"/>
      <c r="I1165" s="173"/>
      <c r="J1165" s="173"/>
      <c r="K1165" s="173"/>
      <c r="L1165" s="173"/>
      <c r="M1165" s="173"/>
    </row>
    <row r="1166">
      <c r="C1166" s="170"/>
      <c r="D1166" s="172"/>
      <c r="F1166" s="173"/>
      <c r="G1166" s="173"/>
      <c r="H1166" s="173"/>
      <c r="I1166" s="173"/>
      <c r="J1166" s="173"/>
      <c r="K1166" s="173"/>
      <c r="L1166" s="173"/>
      <c r="M1166" s="173"/>
    </row>
    <row r="1167">
      <c r="C1167" s="170"/>
      <c r="D1167" s="172"/>
      <c r="F1167" s="173"/>
      <c r="G1167" s="173"/>
      <c r="H1167" s="173"/>
      <c r="I1167" s="173"/>
      <c r="J1167" s="173"/>
      <c r="K1167" s="173"/>
      <c r="L1167" s="173"/>
      <c r="M1167" s="173"/>
    </row>
    <row r="1168">
      <c r="C1168" s="170"/>
      <c r="D1168" s="172"/>
      <c r="F1168" s="173"/>
      <c r="G1168" s="173"/>
      <c r="H1168" s="173"/>
      <c r="I1168" s="173"/>
      <c r="J1168" s="173"/>
      <c r="K1168" s="173"/>
      <c r="L1168" s="173"/>
      <c r="M1168" s="173"/>
    </row>
    <row r="1169">
      <c r="C1169" s="170"/>
      <c r="D1169" s="172"/>
      <c r="F1169" s="173"/>
      <c r="G1169" s="173"/>
      <c r="H1169" s="173"/>
      <c r="I1169" s="173"/>
      <c r="J1169" s="173"/>
      <c r="K1169" s="173"/>
      <c r="L1169" s="173"/>
      <c r="M1169" s="173"/>
    </row>
    <row r="1170">
      <c r="C1170" s="170"/>
      <c r="D1170" s="172"/>
      <c r="F1170" s="173"/>
      <c r="G1170" s="173"/>
      <c r="H1170" s="173"/>
      <c r="I1170" s="173"/>
      <c r="J1170" s="173"/>
      <c r="K1170" s="173"/>
      <c r="L1170" s="173"/>
      <c r="M1170" s="173"/>
    </row>
    <row r="1171">
      <c r="C1171" s="170"/>
      <c r="D1171" s="172"/>
      <c r="F1171" s="173"/>
      <c r="G1171" s="173"/>
      <c r="H1171" s="173"/>
      <c r="I1171" s="173"/>
      <c r="J1171" s="173"/>
      <c r="K1171" s="173"/>
      <c r="L1171" s="173"/>
      <c r="M1171" s="173"/>
    </row>
    <row r="1172">
      <c r="C1172" s="170"/>
      <c r="D1172" s="172"/>
      <c r="F1172" s="173"/>
      <c r="G1172" s="173"/>
      <c r="H1172" s="173"/>
      <c r="I1172" s="173"/>
      <c r="J1172" s="173"/>
      <c r="K1172" s="173"/>
      <c r="L1172" s="173"/>
      <c r="M1172" s="173"/>
    </row>
    <row r="1173">
      <c r="C1173" s="170"/>
      <c r="D1173" s="172"/>
      <c r="F1173" s="173"/>
      <c r="G1173" s="173"/>
      <c r="H1173" s="173"/>
      <c r="I1173" s="173"/>
      <c r="J1173" s="173"/>
      <c r="K1173" s="173"/>
      <c r="L1173" s="173"/>
      <c r="M1173" s="173"/>
    </row>
    <row r="1174">
      <c r="C1174" s="170"/>
      <c r="D1174" s="172"/>
      <c r="F1174" s="173"/>
      <c r="G1174" s="173"/>
      <c r="H1174" s="173"/>
      <c r="I1174" s="173"/>
      <c r="J1174" s="173"/>
      <c r="K1174" s="173"/>
      <c r="L1174" s="173"/>
      <c r="M1174" s="173"/>
    </row>
    <row r="1175">
      <c r="C1175" s="170"/>
      <c r="D1175" s="172"/>
      <c r="F1175" s="173"/>
      <c r="G1175" s="173"/>
      <c r="H1175" s="173"/>
      <c r="I1175" s="173"/>
      <c r="J1175" s="173"/>
      <c r="K1175" s="173"/>
      <c r="L1175" s="173"/>
      <c r="M1175" s="173"/>
    </row>
    <row r="1176">
      <c r="C1176" s="170"/>
      <c r="D1176" s="172"/>
      <c r="F1176" s="173"/>
      <c r="G1176" s="173"/>
      <c r="H1176" s="173"/>
      <c r="I1176" s="173"/>
      <c r="J1176" s="173"/>
      <c r="K1176" s="173"/>
      <c r="L1176" s="173"/>
      <c r="M1176" s="173"/>
    </row>
    <row r="1177">
      <c r="C1177" s="170"/>
      <c r="D1177" s="172"/>
      <c r="F1177" s="173"/>
      <c r="G1177" s="173"/>
      <c r="H1177" s="173"/>
      <c r="I1177" s="173"/>
      <c r="J1177" s="173"/>
      <c r="K1177" s="173"/>
      <c r="L1177" s="173"/>
      <c r="M1177" s="173"/>
    </row>
    <row r="1178">
      <c r="C1178" s="170"/>
      <c r="D1178" s="172"/>
      <c r="F1178" s="173"/>
      <c r="G1178" s="173"/>
      <c r="H1178" s="173"/>
      <c r="I1178" s="173"/>
      <c r="J1178" s="173"/>
      <c r="K1178" s="173"/>
      <c r="L1178" s="173"/>
      <c r="M1178" s="173"/>
    </row>
    <row r="1179">
      <c r="C1179" s="170"/>
      <c r="D1179" s="172"/>
      <c r="F1179" s="173"/>
      <c r="G1179" s="173"/>
      <c r="H1179" s="173"/>
      <c r="I1179" s="173"/>
      <c r="J1179" s="173"/>
      <c r="K1179" s="173"/>
      <c r="L1179" s="173"/>
      <c r="M1179" s="173"/>
    </row>
    <row r="1180">
      <c r="C1180" s="170"/>
      <c r="D1180" s="172"/>
      <c r="F1180" s="173"/>
      <c r="G1180" s="173"/>
      <c r="H1180" s="173"/>
      <c r="I1180" s="173"/>
      <c r="J1180" s="173"/>
      <c r="K1180" s="173"/>
      <c r="L1180" s="173"/>
      <c r="M1180" s="173"/>
    </row>
    <row r="1181">
      <c r="C1181" s="170"/>
      <c r="D1181" s="172"/>
      <c r="F1181" s="173"/>
      <c r="G1181" s="173"/>
      <c r="H1181" s="173"/>
      <c r="I1181" s="173"/>
      <c r="J1181" s="173"/>
      <c r="K1181" s="173"/>
      <c r="L1181" s="173"/>
      <c r="M1181" s="173"/>
    </row>
    <row r="1182">
      <c r="C1182" s="170"/>
      <c r="D1182" s="172"/>
      <c r="F1182" s="173"/>
      <c r="G1182" s="173"/>
      <c r="H1182" s="173"/>
      <c r="I1182" s="173"/>
      <c r="J1182" s="173"/>
      <c r="K1182" s="173"/>
      <c r="L1182" s="173"/>
      <c r="M1182" s="173"/>
    </row>
    <row r="1183">
      <c r="C1183" s="170"/>
      <c r="D1183" s="172"/>
      <c r="F1183" s="173"/>
      <c r="G1183" s="173"/>
      <c r="H1183" s="173"/>
      <c r="I1183" s="173"/>
      <c r="J1183" s="173"/>
      <c r="K1183" s="173"/>
      <c r="L1183" s="173"/>
      <c r="M1183" s="173"/>
    </row>
    <row r="1184">
      <c r="C1184" s="170"/>
      <c r="D1184" s="172"/>
      <c r="F1184" s="173"/>
      <c r="G1184" s="173"/>
      <c r="H1184" s="173"/>
      <c r="I1184" s="173"/>
      <c r="J1184" s="173"/>
      <c r="K1184" s="173"/>
      <c r="L1184" s="173"/>
      <c r="M1184" s="173"/>
    </row>
    <row r="1185">
      <c r="C1185" s="170"/>
      <c r="D1185" s="172"/>
      <c r="F1185" s="173"/>
      <c r="G1185" s="173"/>
      <c r="H1185" s="173"/>
      <c r="I1185" s="173"/>
      <c r="J1185" s="173"/>
      <c r="K1185" s="173"/>
      <c r="L1185" s="173"/>
      <c r="M1185" s="173"/>
    </row>
    <row r="1186">
      <c r="C1186" s="170"/>
      <c r="D1186" s="172"/>
      <c r="F1186" s="173"/>
      <c r="G1186" s="173"/>
      <c r="H1186" s="173"/>
      <c r="I1186" s="173"/>
      <c r="J1186" s="173"/>
      <c r="K1186" s="173"/>
      <c r="L1186" s="173"/>
      <c r="M1186" s="173"/>
    </row>
    <row r="1187">
      <c r="C1187" s="170"/>
      <c r="D1187" s="172"/>
      <c r="F1187" s="173"/>
      <c r="G1187" s="173"/>
      <c r="H1187" s="173"/>
      <c r="I1187" s="173"/>
      <c r="J1187" s="173"/>
      <c r="K1187" s="173"/>
      <c r="L1187" s="173"/>
      <c r="M1187" s="173"/>
    </row>
    <row r="1188">
      <c r="C1188" s="170"/>
      <c r="D1188" s="172"/>
      <c r="F1188" s="173"/>
      <c r="G1188" s="173"/>
      <c r="H1188" s="173"/>
      <c r="I1188" s="173"/>
      <c r="J1188" s="173"/>
      <c r="K1188" s="173"/>
      <c r="L1188" s="173"/>
      <c r="M1188" s="173"/>
    </row>
    <row r="1189">
      <c r="C1189" s="170"/>
      <c r="D1189" s="172"/>
      <c r="F1189" s="173"/>
      <c r="G1189" s="173"/>
      <c r="H1189" s="173"/>
      <c r="I1189" s="173"/>
      <c r="J1189" s="173"/>
      <c r="K1189" s="173"/>
      <c r="L1189" s="173"/>
      <c r="M1189" s="173"/>
    </row>
    <row r="1190">
      <c r="C1190" s="170"/>
      <c r="D1190" s="172"/>
      <c r="F1190" s="173"/>
      <c r="G1190" s="173"/>
      <c r="H1190" s="173"/>
      <c r="I1190" s="173"/>
      <c r="J1190" s="173"/>
      <c r="K1190" s="173"/>
      <c r="L1190" s="173"/>
      <c r="M1190" s="173"/>
    </row>
    <row r="1191">
      <c r="C1191" s="170"/>
      <c r="D1191" s="172"/>
      <c r="F1191" s="173"/>
      <c r="G1191" s="173"/>
      <c r="H1191" s="173"/>
      <c r="I1191" s="173"/>
      <c r="J1191" s="173"/>
      <c r="K1191" s="173"/>
      <c r="L1191" s="173"/>
      <c r="M1191" s="173"/>
    </row>
    <row r="1192">
      <c r="C1192" s="170"/>
      <c r="D1192" s="172"/>
      <c r="F1192" s="173"/>
      <c r="G1192" s="173"/>
      <c r="H1192" s="173"/>
      <c r="I1192" s="173"/>
      <c r="J1192" s="173"/>
      <c r="K1192" s="173"/>
      <c r="L1192" s="173"/>
      <c r="M1192" s="173"/>
    </row>
    <row r="1193">
      <c r="C1193" s="170"/>
      <c r="D1193" s="172"/>
      <c r="F1193" s="173"/>
      <c r="G1193" s="173"/>
      <c r="H1193" s="173"/>
      <c r="I1193" s="173"/>
      <c r="J1193" s="173"/>
      <c r="K1193" s="173"/>
      <c r="L1193" s="173"/>
      <c r="M1193" s="173"/>
    </row>
    <row r="1194">
      <c r="C1194" s="170"/>
      <c r="D1194" s="172"/>
      <c r="F1194" s="173"/>
      <c r="G1194" s="173"/>
      <c r="H1194" s="173"/>
      <c r="I1194" s="173"/>
      <c r="J1194" s="173"/>
      <c r="K1194" s="173"/>
      <c r="L1194" s="173"/>
      <c r="M1194" s="173"/>
    </row>
    <row r="1195">
      <c r="C1195" s="170"/>
      <c r="D1195" s="172"/>
      <c r="F1195" s="173"/>
      <c r="G1195" s="173"/>
      <c r="H1195" s="173"/>
      <c r="I1195" s="173"/>
      <c r="J1195" s="173"/>
      <c r="K1195" s="173"/>
      <c r="L1195" s="173"/>
      <c r="M1195" s="173"/>
    </row>
    <row r="1196">
      <c r="C1196" s="170"/>
      <c r="D1196" s="172"/>
      <c r="F1196" s="173"/>
      <c r="G1196" s="173"/>
      <c r="H1196" s="173"/>
      <c r="I1196" s="173"/>
      <c r="J1196" s="173"/>
      <c r="K1196" s="173"/>
      <c r="L1196" s="173"/>
      <c r="M1196" s="173"/>
    </row>
    <row r="1197">
      <c r="C1197" s="170"/>
      <c r="D1197" s="172"/>
      <c r="F1197" s="173"/>
      <c r="G1197" s="173"/>
      <c r="H1197" s="173"/>
      <c r="I1197" s="173"/>
      <c r="J1197" s="173"/>
      <c r="K1197" s="173"/>
      <c r="L1197" s="173"/>
      <c r="M1197" s="173"/>
    </row>
    <row r="1198">
      <c r="C1198" s="170"/>
      <c r="D1198" s="172"/>
      <c r="F1198" s="173"/>
      <c r="G1198" s="173"/>
      <c r="H1198" s="173"/>
      <c r="I1198" s="173"/>
      <c r="J1198" s="173"/>
      <c r="K1198" s="173"/>
      <c r="L1198" s="173"/>
      <c r="M1198" s="173"/>
    </row>
    <row r="1199">
      <c r="C1199" s="170"/>
      <c r="D1199" s="172"/>
      <c r="F1199" s="173"/>
      <c r="G1199" s="173"/>
      <c r="H1199" s="173"/>
      <c r="I1199" s="173"/>
      <c r="J1199" s="173"/>
      <c r="K1199" s="173"/>
      <c r="L1199" s="173"/>
      <c r="M1199" s="173"/>
    </row>
    <row r="1200">
      <c r="C1200" s="170"/>
      <c r="D1200" s="172"/>
      <c r="F1200" s="173"/>
      <c r="G1200" s="173"/>
      <c r="H1200" s="173"/>
      <c r="I1200" s="173"/>
      <c r="J1200" s="173"/>
      <c r="K1200" s="173"/>
      <c r="L1200" s="173"/>
      <c r="M1200" s="173"/>
    </row>
    <row r="1201">
      <c r="C1201" s="170"/>
      <c r="D1201" s="172"/>
      <c r="F1201" s="173"/>
      <c r="G1201" s="173"/>
      <c r="H1201" s="173"/>
      <c r="I1201" s="173"/>
      <c r="J1201" s="173"/>
      <c r="K1201" s="173"/>
      <c r="L1201" s="173"/>
      <c r="M1201" s="173"/>
    </row>
    <row r="1202">
      <c r="C1202" s="170"/>
      <c r="D1202" s="172"/>
      <c r="F1202" s="173"/>
      <c r="G1202" s="173"/>
      <c r="H1202" s="173"/>
      <c r="I1202" s="173"/>
      <c r="J1202" s="173"/>
      <c r="K1202" s="173"/>
      <c r="L1202" s="173"/>
      <c r="M1202" s="173"/>
    </row>
    <row r="1203">
      <c r="C1203" s="170"/>
      <c r="D1203" s="172"/>
      <c r="F1203" s="173"/>
      <c r="G1203" s="173"/>
      <c r="H1203" s="173"/>
      <c r="I1203" s="173"/>
      <c r="J1203" s="173"/>
      <c r="K1203" s="173"/>
      <c r="L1203" s="173"/>
      <c r="M1203" s="173"/>
    </row>
    <row r="1204">
      <c r="C1204" s="170"/>
      <c r="D1204" s="172"/>
      <c r="F1204" s="173"/>
      <c r="G1204" s="173"/>
      <c r="H1204" s="173"/>
      <c r="I1204" s="173"/>
      <c r="J1204" s="173"/>
      <c r="K1204" s="173"/>
      <c r="L1204" s="173"/>
      <c r="M1204" s="173"/>
    </row>
    <row r="1205">
      <c r="C1205" s="170"/>
      <c r="D1205" s="172"/>
      <c r="F1205" s="173"/>
      <c r="G1205" s="173"/>
      <c r="H1205" s="173"/>
      <c r="I1205" s="173"/>
      <c r="J1205" s="173"/>
      <c r="K1205" s="173"/>
      <c r="L1205" s="173"/>
      <c r="M1205" s="173"/>
    </row>
    <row r="1206">
      <c r="C1206" s="170"/>
      <c r="D1206" s="172"/>
      <c r="F1206" s="173"/>
      <c r="G1206" s="173"/>
      <c r="H1206" s="173"/>
      <c r="I1206" s="173"/>
      <c r="J1206" s="173"/>
      <c r="K1206" s="173"/>
      <c r="L1206" s="173"/>
      <c r="M1206" s="173"/>
    </row>
    <row r="1207">
      <c r="C1207" s="170"/>
      <c r="D1207" s="172"/>
      <c r="F1207" s="173"/>
      <c r="G1207" s="173"/>
      <c r="H1207" s="173"/>
      <c r="I1207" s="173"/>
      <c r="J1207" s="173"/>
      <c r="K1207" s="173"/>
      <c r="L1207" s="173"/>
      <c r="M1207" s="173"/>
    </row>
    <row r="1208">
      <c r="C1208" s="170"/>
      <c r="D1208" s="172"/>
      <c r="F1208" s="173"/>
      <c r="G1208" s="173"/>
      <c r="H1208" s="173"/>
      <c r="I1208" s="173"/>
      <c r="J1208" s="173"/>
      <c r="K1208" s="173"/>
      <c r="L1208" s="173"/>
      <c r="M1208" s="173"/>
    </row>
    <row r="1209">
      <c r="C1209" s="170"/>
      <c r="D1209" s="172"/>
      <c r="F1209" s="173"/>
      <c r="G1209" s="173"/>
      <c r="H1209" s="173"/>
      <c r="I1209" s="173"/>
      <c r="J1209" s="173"/>
      <c r="K1209" s="173"/>
      <c r="L1209" s="173"/>
      <c r="M1209" s="173"/>
    </row>
    <row r="1210">
      <c r="C1210" s="170"/>
      <c r="D1210" s="172"/>
      <c r="F1210" s="173"/>
      <c r="G1210" s="173"/>
      <c r="H1210" s="173"/>
      <c r="I1210" s="173"/>
      <c r="J1210" s="173"/>
      <c r="K1210" s="173"/>
      <c r="L1210" s="173"/>
      <c r="M1210" s="173"/>
    </row>
    <row r="1211">
      <c r="C1211" s="170"/>
      <c r="D1211" s="172"/>
      <c r="F1211" s="173"/>
      <c r="G1211" s="173"/>
      <c r="H1211" s="173"/>
      <c r="I1211" s="173"/>
      <c r="J1211" s="173"/>
      <c r="K1211" s="173"/>
      <c r="L1211" s="173"/>
      <c r="M1211" s="173"/>
    </row>
    <row r="1212">
      <c r="C1212" s="170"/>
      <c r="D1212" s="172"/>
      <c r="F1212" s="173"/>
      <c r="G1212" s="173"/>
      <c r="H1212" s="173"/>
      <c r="I1212" s="173"/>
      <c r="J1212" s="173"/>
      <c r="K1212" s="173"/>
      <c r="L1212" s="173"/>
      <c r="M1212" s="173"/>
    </row>
    <row r="1213">
      <c r="C1213" s="170"/>
      <c r="D1213" s="172"/>
      <c r="F1213" s="173"/>
      <c r="G1213" s="173"/>
      <c r="H1213" s="173"/>
      <c r="I1213" s="173"/>
      <c r="J1213" s="173"/>
      <c r="K1213" s="173"/>
      <c r="L1213" s="173"/>
      <c r="M1213" s="173"/>
    </row>
    <row r="1214">
      <c r="C1214" s="170"/>
      <c r="D1214" s="172"/>
      <c r="F1214" s="173"/>
      <c r="G1214" s="173"/>
      <c r="H1214" s="173"/>
      <c r="I1214" s="173"/>
      <c r="J1214" s="173"/>
      <c r="K1214" s="173"/>
      <c r="L1214" s="173"/>
      <c r="M1214" s="173"/>
    </row>
    <row r="1215">
      <c r="C1215" s="170"/>
      <c r="D1215" s="172"/>
      <c r="F1215" s="173"/>
      <c r="G1215" s="173"/>
      <c r="H1215" s="173"/>
      <c r="I1215" s="173"/>
      <c r="J1215" s="173"/>
      <c r="K1215" s="173"/>
      <c r="L1215" s="173"/>
      <c r="M1215" s="173"/>
    </row>
    <row r="1216">
      <c r="C1216" s="170"/>
      <c r="D1216" s="172"/>
      <c r="F1216" s="173"/>
      <c r="G1216" s="173"/>
      <c r="H1216" s="173"/>
      <c r="I1216" s="173"/>
      <c r="J1216" s="173"/>
      <c r="K1216" s="173"/>
      <c r="L1216" s="173"/>
      <c r="M1216" s="173"/>
    </row>
    <row r="1217">
      <c r="C1217" s="170"/>
      <c r="D1217" s="172"/>
      <c r="F1217" s="173"/>
      <c r="G1217" s="173"/>
      <c r="H1217" s="173"/>
      <c r="I1217" s="173"/>
      <c r="J1217" s="173"/>
      <c r="K1217" s="173"/>
      <c r="L1217" s="173"/>
      <c r="M1217" s="173"/>
    </row>
    <row r="1218">
      <c r="C1218" s="170"/>
      <c r="D1218" s="172"/>
      <c r="F1218" s="173"/>
      <c r="G1218" s="173"/>
      <c r="H1218" s="173"/>
      <c r="I1218" s="173"/>
      <c r="J1218" s="173"/>
      <c r="K1218" s="173"/>
      <c r="L1218" s="173"/>
      <c r="M1218" s="173"/>
    </row>
    <row r="1219">
      <c r="C1219" s="170"/>
      <c r="D1219" s="172"/>
      <c r="F1219" s="173"/>
      <c r="G1219" s="173"/>
      <c r="H1219" s="173"/>
      <c r="I1219" s="173"/>
      <c r="J1219" s="173"/>
      <c r="K1219" s="173"/>
      <c r="L1219" s="173"/>
      <c r="M1219" s="173"/>
    </row>
    <row r="1220">
      <c r="C1220" s="170"/>
      <c r="D1220" s="172"/>
      <c r="F1220" s="173"/>
      <c r="G1220" s="173"/>
      <c r="H1220" s="173"/>
      <c r="I1220" s="173"/>
      <c r="J1220" s="173"/>
      <c r="K1220" s="173"/>
      <c r="L1220" s="173"/>
      <c r="M1220" s="173"/>
    </row>
    <row r="1221">
      <c r="C1221" s="170"/>
      <c r="D1221" s="172"/>
      <c r="F1221" s="173"/>
      <c r="G1221" s="173"/>
      <c r="H1221" s="173"/>
      <c r="I1221" s="173"/>
      <c r="J1221" s="173"/>
      <c r="K1221" s="173"/>
      <c r="L1221" s="173"/>
      <c r="M1221" s="173"/>
    </row>
    <row r="1222">
      <c r="C1222" s="170"/>
      <c r="D1222" s="172"/>
      <c r="F1222" s="173"/>
      <c r="G1222" s="173"/>
      <c r="H1222" s="173"/>
      <c r="I1222" s="173"/>
      <c r="J1222" s="173"/>
      <c r="K1222" s="173"/>
      <c r="L1222" s="173"/>
      <c r="M1222" s="173"/>
    </row>
    <row r="1223">
      <c r="C1223" s="170"/>
      <c r="D1223" s="172"/>
      <c r="F1223" s="173"/>
      <c r="G1223" s="173"/>
      <c r="H1223" s="173"/>
      <c r="I1223" s="173"/>
      <c r="J1223" s="173"/>
      <c r="K1223" s="173"/>
      <c r="L1223" s="173"/>
      <c r="M1223" s="173"/>
    </row>
    <row r="1224">
      <c r="C1224" s="170"/>
      <c r="D1224" s="172"/>
      <c r="F1224" s="173"/>
      <c r="G1224" s="173"/>
      <c r="H1224" s="173"/>
      <c r="I1224" s="173"/>
      <c r="J1224" s="173"/>
      <c r="K1224" s="173"/>
      <c r="L1224" s="173"/>
      <c r="M1224" s="173"/>
    </row>
    <row r="1225">
      <c r="C1225" s="170"/>
      <c r="D1225" s="172"/>
      <c r="F1225" s="173"/>
      <c r="G1225" s="173"/>
      <c r="H1225" s="173"/>
      <c r="I1225" s="173"/>
      <c r="J1225" s="173"/>
      <c r="K1225" s="173"/>
      <c r="L1225" s="173"/>
      <c r="M1225" s="173"/>
    </row>
    <row r="1226">
      <c r="C1226" s="170"/>
      <c r="D1226" s="172"/>
      <c r="F1226" s="173"/>
      <c r="G1226" s="173"/>
      <c r="H1226" s="173"/>
      <c r="I1226" s="173"/>
      <c r="J1226" s="173"/>
      <c r="K1226" s="173"/>
      <c r="L1226" s="173"/>
      <c r="M1226" s="173"/>
    </row>
    <row r="1227">
      <c r="C1227" s="170"/>
      <c r="D1227" s="172"/>
      <c r="F1227" s="173"/>
      <c r="G1227" s="173"/>
      <c r="H1227" s="173"/>
      <c r="I1227" s="173"/>
      <c r="J1227" s="173"/>
      <c r="K1227" s="173"/>
      <c r="L1227" s="173"/>
      <c r="M1227" s="173"/>
    </row>
    <row r="1228">
      <c r="C1228" s="170"/>
      <c r="D1228" s="172"/>
      <c r="F1228" s="173"/>
      <c r="G1228" s="173"/>
      <c r="H1228" s="173"/>
      <c r="I1228" s="173"/>
      <c r="J1228" s="173"/>
      <c r="K1228" s="173"/>
      <c r="L1228" s="173"/>
      <c r="M1228" s="173"/>
    </row>
    <row r="1229">
      <c r="C1229" s="170"/>
      <c r="D1229" s="172"/>
      <c r="F1229" s="173"/>
      <c r="G1229" s="173"/>
      <c r="H1229" s="173"/>
      <c r="I1229" s="173"/>
      <c r="J1229" s="173"/>
      <c r="K1229" s="173"/>
      <c r="L1229" s="173"/>
      <c r="M1229" s="173"/>
    </row>
    <row r="1230">
      <c r="C1230" s="170"/>
      <c r="D1230" s="172"/>
      <c r="F1230" s="173"/>
      <c r="G1230" s="173"/>
      <c r="H1230" s="173"/>
      <c r="I1230" s="173"/>
      <c r="J1230" s="173"/>
      <c r="K1230" s="173"/>
      <c r="L1230" s="173"/>
      <c r="M1230" s="173"/>
    </row>
    <row r="1231">
      <c r="C1231" s="170"/>
      <c r="D1231" s="172"/>
      <c r="F1231" s="173"/>
      <c r="G1231" s="173"/>
      <c r="H1231" s="173"/>
      <c r="I1231" s="173"/>
      <c r="J1231" s="173"/>
      <c r="K1231" s="173"/>
      <c r="L1231" s="173"/>
      <c r="M1231" s="173"/>
    </row>
    <row r="1232">
      <c r="C1232" s="170"/>
      <c r="D1232" s="172"/>
      <c r="F1232" s="173"/>
      <c r="G1232" s="173"/>
      <c r="H1232" s="173"/>
      <c r="I1232" s="173"/>
      <c r="J1232" s="173"/>
      <c r="K1232" s="173"/>
      <c r="L1232" s="173"/>
      <c r="M1232" s="173"/>
    </row>
    <row r="1233">
      <c r="C1233" s="170"/>
      <c r="D1233" s="172"/>
      <c r="F1233" s="173"/>
      <c r="G1233" s="173"/>
      <c r="H1233" s="173"/>
      <c r="I1233" s="173"/>
      <c r="J1233" s="173"/>
      <c r="K1233" s="173"/>
      <c r="L1233" s="173"/>
      <c r="M1233" s="173"/>
    </row>
    <row r="1234">
      <c r="C1234" s="170"/>
      <c r="D1234" s="172"/>
      <c r="F1234" s="173"/>
      <c r="G1234" s="173"/>
      <c r="H1234" s="173"/>
      <c r="I1234" s="173"/>
      <c r="J1234" s="173"/>
      <c r="K1234" s="173"/>
      <c r="L1234" s="173"/>
      <c r="M1234" s="173"/>
    </row>
    <row r="1235">
      <c r="C1235" s="170"/>
      <c r="D1235" s="172"/>
      <c r="F1235" s="173"/>
      <c r="G1235" s="173"/>
      <c r="H1235" s="173"/>
      <c r="I1235" s="173"/>
      <c r="J1235" s="173"/>
      <c r="K1235" s="173"/>
      <c r="L1235" s="173"/>
      <c r="M1235" s="173"/>
    </row>
    <row r="1236">
      <c r="C1236" s="170"/>
      <c r="D1236" s="172"/>
      <c r="F1236" s="173"/>
      <c r="G1236" s="173"/>
      <c r="H1236" s="173"/>
      <c r="I1236" s="173"/>
      <c r="J1236" s="173"/>
      <c r="K1236" s="173"/>
      <c r="L1236" s="173"/>
      <c r="M1236" s="173"/>
    </row>
    <row r="1237">
      <c r="C1237" s="170"/>
      <c r="D1237" s="172"/>
      <c r="F1237" s="173"/>
      <c r="G1237" s="173"/>
      <c r="H1237" s="173"/>
      <c r="I1237" s="173"/>
      <c r="J1237" s="173"/>
      <c r="K1237" s="173"/>
      <c r="L1237" s="173"/>
      <c r="M1237" s="173"/>
    </row>
    <row r="1238">
      <c r="C1238" s="170"/>
      <c r="D1238" s="172"/>
      <c r="F1238" s="173"/>
      <c r="G1238" s="173"/>
      <c r="H1238" s="173"/>
      <c r="I1238" s="173"/>
      <c r="J1238" s="173"/>
      <c r="K1238" s="173"/>
      <c r="L1238" s="173"/>
      <c r="M1238" s="173"/>
    </row>
    <row r="1239">
      <c r="C1239" s="170"/>
      <c r="D1239" s="172"/>
      <c r="F1239" s="173"/>
      <c r="G1239" s="173"/>
      <c r="H1239" s="173"/>
      <c r="I1239" s="173"/>
      <c r="J1239" s="173"/>
      <c r="K1239" s="173"/>
      <c r="L1239" s="173"/>
      <c r="M1239" s="173"/>
    </row>
    <row r="1240">
      <c r="C1240" s="170"/>
      <c r="D1240" s="172"/>
      <c r="F1240" s="173"/>
      <c r="G1240" s="173"/>
      <c r="H1240" s="173"/>
      <c r="I1240" s="173"/>
      <c r="J1240" s="173"/>
      <c r="K1240" s="173"/>
      <c r="L1240" s="173"/>
      <c r="M1240" s="173"/>
    </row>
    <row r="1241">
      <c r="C1241" s="170"/>
      <c r="D1241" s="172"/>
      <c r="F1241" s="173"/>
      <c r="G1241" s="173"/>
      <c r="H1241" s="173"/>
      <c r="I1241" s="173"/>
      <c r="J1241" s="173"/>
      <c r="K1241" s="173"/>
      <c r="L1241" s="173"/>
      <c r="M1241" s="173"/>
    </row>
    <row r="1242">
      <c r="C1242" s="170"/>
      <c r="D1242" s="172"/>
      <c r="F1242" s="173"/>
      <c r="G1242" s="173"/>
      <c r="H1242" s="173"/>
      <c r="I1242" s="173"/>
      <c r="J1242" s="173"/>
      <c r="K1242" s="173"/>
      <c r="L1242" s="173"/>
      <c r="M1242" s="173"/>
    </row>
    <row r="1243">
      <c r="C1243" s="170"/>
      <c r="D1243" s="172"/>
      <c r="F1243" s="173"/>
      <c r="G1243" s="173"/>
      <c r="H1243" s="173"/>
      <c r="I1243" s="173"/>
      <c r="J1243" s="173"/>
      <c r="K1243" s="173"/>
      <c r="L1243" s="173"/>
      <c r="M1243" s="173"/>
    </row>
    <row r="1244">
      <c r="C1244" s="170"/>
      <c r="D1244" s="172"/>
      <c r="F1244" s="173"/>
      <c r="G1244" s="173"/>
      <c r="H1244" s="173"/>
      <c r="I1244" s="173"/>
      <c r="J1244" s="173"/>
      <c r="K1244" s="173"/>
      <c r="L1244" s="173"/>
      <c r="M1244" s="173"/>
    </row>
    <row r="1245">
      <c r="C1245" s="170"/>
      <c r="D1245" s="172"/>
      <c r="F1245" s="173"/>
      <c r="G1245" s="173"/>
      <c r="H1245" s="173"/>
      <c r="I1245" s="173"/>
      <c r="J1245" s="173"/>
      <c r="K1245" s="173"/>
      <c r="L1245" s="173"/>
      <c r="M1245" s="173"/>
    </row>
    <row r="1246">
      <c r="C1246" s="170"/>
      <c r="D1246" s="172"/>
      <c r="F1246" s="173"/>
      <c r="G1246" s="173"/>
      <c r="H1246" s="173"/>
      <c r="I1246" s="173"/>
      <c r="J1246" s="173"/>
      <c r="K1246" s="173"/>
      <c r="L1246" s="173"/>
      <c r="M1246" s="173"/>
    </row>
    <row r="1247">
      <c r="C1247" s="170"/>
      <c r="D1247" s="172"/>
      <c r="F1247" s="173"/>
      <c r="G1247" s="173"/>
      <c r="H1247" s="173"/>
      <c r="I1247" s="173"/>
      <c r="J1247" s="173"/>
      <c r="K1247" s="173"/>
      <c r="L1247" s="173"/>
      <c r="M1247" s="173"/>
    </row>
    <row r="1248">
      <c r="C1248" s="170"/>
      <c r="D1248" s="172"/>
      <c r="F1248" s="173"/>
      <c r="G1248" s="173"/>
      <c r="H1248" s="173"/>
      <c r="I1248" s="173"/>
      <c r="J1248" s="173"/>
      <c r="K1248" s="173"/>
      <c r="L1248" s="173"/>
      <c r="M1248" s="173"/>
    </row>
    <row r="1249">
      <c r="C1249" s="170"/>
      <c r="D1249" s="172"/>
      <c r="F1249" s="173"/>
      <c r="G1249" s="173"/>
      <c r="H1249" s="173"/>
      <c r="I1249" s="173"/>
      <c r="J1249" s="173"/>
      <c r="K1249" s="173"/>
      <c r="L1249" s="173"/>
      <c r="M1249" s="173"/>
    </row>
    <row r="1250">
      <c r="C1250" s="170"/>
      <c r="D1250" s="172"/>
      <c r="F1250" s="173"/>
      <c r="G1250" s="173"/>
      <c r="H1250" s="173"/>
      <c r="I1250" s="173"/>
      <c r="J1250" s="173"/>
      <c r="K1250" s="173"/>
      <c r="L1250" s="173"/>
      <c r="M1250" s="173"/>
    </row>
    <row r="1251">
      <c r="C1251" s="170"/>
      <c r="D1251" s="172"/>
      <c r="F1251" s="173"/>
      <c r="G1251" s="173"/>
      <c r="H1251" s="173"/>
      <c r="I1251" s="173"/>
      <c r="J1251" s="173"/>
      <c r="K1251" s="173"/>
      <c r="L1251" s="173"/>
      <c r="M1251" s="173"/>
    </row>
    <row r="1252">
      <c r="C1252" s="170"/>
      <c r="D1252" s="172"/>
      <c r="F1252" s="173"/>
      <c r="G1252" s="173"/>
      <c r="H1252" s="173"/>
      <c r="I1252" s="173"/>
      <c r="J1252" s="173"/>
      <c r="K1252" s="173"/>
      <c r="L1252" s="173"/>
      <c r="M1252" s="173"/>
    </row>
    <row r="1253">
      <c r="C1253" s="170"/>
      <c r="D1253" s="172"/>
      <c r="F1253" s="173"/>
      <c r="G1253" s="173"/>
      <c r="H1253" s="173"/>
      <c r="I1253" s="173"/>
      <c r="J1253" s="173"/>
      <c r="K1253" s="173"/>
      <c r="L1253" s="173"/>
      <c r="M1253" s="173"/>
    </row>
    <row r="1254">
      <c r="C1254" s="170"/>
      <c r="D1254" s="172"/>
      <c r="F1254" s="173"/>
      <c r="G1254" s="173"/>
      <c r="H1254" s="173"/>
      <c r="I1254" s="173"/>
      <c r="J1254" s="173"/>
      <c r="K1254" s="173"/>
      <c r="L1254" s="173"/>
      <c r="M1254" s="173"/>
    </row>
    <row r="1255">
      <c r="C1255" s="170"/>
      <c r="D1255" s="172"/>
      <c r="F1255" s="173"/>
      <c r="G1255" s="173"/>
      <c r="H1255" s="173"/>
      <c r="I1255" s="173"/>
      <c r="J1255" s="173"/>
      <c r="K1255" s="173"/>
      <c r="L1255" s="173"/>
      <c r="M1255" s="173"/>
    </row>
    <row r="1256">
      <c r="C1256" s="170"/>
      <c r="D1256" s="172"/>
      <c r="F1256" s="173"/>
      <c r="G1256" s="173"/>
      <c r="H1256" s="173"/>
      <c r="I1256" s="173"/>
      <c r="J1256" s="173"/>
      <c r="K1256" s="173"/>
      <c r="L1256" s="173"/>
      <c r="M1256" s="173"/>
    </row>
    <row r="1257">
      <c r="C1257" s="170"/>
      <c r="D1257" s="172"/>
      <c r="F1257" s="173"/>
      <c r="G1257" s="173"/>
      <c r="H1257" s="173"/>
      <c r="I1257" s="173"/>
      <c r="J1257" s="173"/>
      <c r="K1257" s="173"/>
      <c r="L1257" s="173"/>
      <c r="M1257" s="173"/>
    </row>
    <row r="1258">
      <c r="C1258" s="170"/>
      <c r="D1258" s="172"/>
      <c r="F1258" s="173"/>
      <c r="G1258" s="173"/>
      <c r="H1258" s="173"/>
      <c r="I1258" s="173"/>
      <c r="J1258" s="173"/>
      <c r="K1258" s="173"/>
      <c r="L1258" s="173"/>
      <c r="M1258" s="173"/>
    </row>
    <row r="1259">
      <c r="C1259" s="170"/>
      <c r="D1259" s="172"/>
      <c r="F1259" s="173"/>
      <c r="G1259" s="173"/>
      <c r="H1259" s="173"/>
      <c r="I1259" s="173"/>
      <c r="J1259" s="173"/>
      <c r="K1259" s="173"/>
      <c r="L1259" s="173"/>
      <c r="M1259" s="173"/>
    </row>
    <row r="1260">
      <c r="C1260" s="170"/>
      <c r="D1260" s="172"/>
      <c r="F1260" s="173"/>
      <c r="G1260" s="173"/>
      <c r="H1260" s="173"/>
      <c r="I1260" s="173"/>
      <c r="J1260" s="173"/>
      <c r="K1260" s="173"/>
      <c r="L1260" s="173"/>
      <c r="M1260" s="173"/>
    </row>
    <row r="1261">
      <c r="C1261" s="170"/>
      <c r="D1261" s="172"/>
      <c r="F1261" s="173"/>
      <c r="G1261" s="173"/>
      <c r="H1261" s="173"/>
      <c r="I1261" s="173"/>
      <c r="J1261" s="173"/>
      <c r="K1261" s="173"/>
      <c r="L1261" s="173"/>
      <c r="M1261" s="173"/>
    </row>
    <row r="1262">
      <c r="C1262" s="170"/>
      <c r="D1262" s="172"/>
      <c r="F1262" s="173"/>
      <c r="G1262" s="173"/>
      <c r="H1262" s="173"/>
      <c r="I1262" s="173"/>
      <c r="J1262" s="173"/>
      <c r="K1262" s="173"/>
      <c r="L1262" s="173"/>
      <c r="M1262" s="173"/>
    </row>
    <row r="1263">
      <c r="C1263" s="170"/>
      <c r="D1263" s="172"/>
      <c r="F1263" s="173"/>
      <c r="G1263" s="173"/>
      <c r="H1263" s="173"/>
      <c r="I1263" s="173"/>
      <c r="J1263" s="173"/>
      <c r="K1263" s="173"/>
      <c r="L1263" s="173"/>
      <c r="M1263" s="173"/>
    </row>
    <row r="1264">
      <c r="C1264" s="170"/>
      <c r="D1264" s="172"/>
      <c r="F1264" s="173"/>
      <c r="G1264" s="173"/>
      <c r="H1264" s="173"/>
      <c r="I1264" s="173"/>
      <c r="J1264" s="173"/>
      <c r="K1264" s="173"/>
      <c r="L1264" s="173"/>
      <c r="M1264" s="173"/>
    </row>
    <row r="1265">
      <c r="C1265" s="170"/>
      <c r="D1265" s="172"/>
      <c r="F1265" s="173"/>
      <c r="G1265" s="173"/>
      <c r="H1265" s="173"/>
      <c r="I1265" s="173"/>
      <c r="J1265" s="173"/>
      <c r="K1265" s="173"/>
      <c r="L1265" s="173"/>
      <c r="M1265" s="173"/>
    </row>
    <row r="1266">
      <c r="C1266" s="170"/>
      <c r="D1266" s="172"/>
      <c r="F1266" s="173"/>
      <c r="G1266" s="173"/>
      <c r="H1266" s="173"/>
      <c r="I1266" s="173"/>
      <c r="J1266" s="173"/>
      <c r="K1266" s="173"/>
      <c r="L1266" s="173"/>
      <c r="M1266" s="173"/>
    </row>
    <row r="1267">
      <c r="C1267" s="170"/>
      <c r="D1267" s="172"/>
      <c r="F1267" s="173"/>
      <c r="G1267" s="173"/>
      <c r="H1267" s="173"/>
      <c r="I1267" s="173"/>
      <c r="J1267" s="173"/>
      <c r="K1267" s="173"/>
      <c r="L1267" s="173"/>
      <c r="M1267" s="173"/>
    </row>
    <row r="1268">
      <c r="C1268" s="170"/>
      <c r="D1268" s="172"/>
      <c r="F1268" s="173"/>
      <c r="G1268" s="173"/>
      <c r="H1268" s="173"/>
      <c r="I1268" s="173"/>
      <c r="J1268" s="173"/>
      <c r="K1268" s="173"/>
      <c r="L1268" s="173"/>
      <c r="M1268" s="173"/>
    </row>
    <row r="1269">
      <c r="C1269" s="170"/>
      <c r="D1269" s="172"/>
      <c r="F1269" s="173"/>
      <c r="G1269" s="173"/>
      <c r="H1269" s="173"/>
      <c r="I1269" s="173"/>
      <c r="J1269" s="173"/>
      <c r="K1269" s="173"/>
      <c r="L1269" s="173"/>
      <c r="M1269" s="173"/>
    </row>
    <row r="1270">
      <c r="C1270" s="170"/>
      <c r="D1270" s="172"/>
      <c r="F1270" s="173"/>
      <c r="G1270" s="173"/>
      <c r="H1270" s="173"/>
      <c r="I1270" s="173"/>
      <c r="J1270" s="173"/>
      <c r="K1270" s="173"/>
      <c r="L1270" s="173"/>
      <c r="M1270" s="173"/>
    </row>
    <row r="1271">
      <c r="C1271" s="170"/>
      <c r="D1271" s="172"/>
      <c r="F1271" s="173"/>
      <c r="G1271" s="173"/>
      <c r="H1271" s="173"/>
      <c r="I1271" s="173"/>
      <c r="J1271" s="173"/>
      <c r="K1271" s="173"/>
      <c r="L1271" s="173"/>
      <c r="M1271" s="173"/>
    </row>
    <row r="1272">
      <c r="C1272" s="170"/>
      <c r="D1272" s="172"/>
      <c r="F1272" s="173"/>
      <c r="G1272" s="173"/>
      <c r="H1272" s="173"/>
      <c r="I1272" s="173"/>
      <c r="J1272" s="173"/>
      <c r="K1272" s="173"/>
      <c r="L1272" s="173"/>
      <c r="M1272" s="173"/>
    </row>
    <row r="1273">
      <c r="C1273" s="170"/>
      <c r="D1273" s="172"/>
      <c r="F1273" s="173"/>
      <c r="G1273" s="173"/>
      <c r="H1273" s="173"/>
      <c r="I1273" s="173"/>
      <c r="J1273" s="173"/>
      <c r="K1273" s="173"/>
      <c r="L1273" s="173"/>
      <c r="M1273" s="173"/>
    </row>
    <row r="1274">
      <c r="C1274" s="170"/>
      <c r="D1274" s="172"/>
      <c r="F1274" s="173"/>
      <c r="G1274" s="173"/>
      <c r="H1274" s="173"/>
      <c r="I1274" s="173"/>
      <c r="J1274" s="173"/>
      <c r="K1274" s="173"/>
      <c r="L1274" s="173"/>
      <c r="M1274" s="173"/>
    </row>
    <row r="1275">
      <c r="C1275" s="170"/>
      <c r="D1275" s="172"/>
      <c r="F1275" s="173"/>
      <c r="G1275" s="173"/>
      <c r="H1275" s="173"/>
      <c r="I1275" s="173"/>
      <c r="J1275" s="173"/>
      <c r="K1275" s="173"/>
      <c r="L1275" s="173"/>
      <c r="M1275" s="173"/>
    </row>
    <row r="1276">
      <c r="C1276" s="170"/>
      <c r="D1276" s="172"/>
      <c r="F1276" s="173"/>
      <c r="G1276" s="173"/>
      <c r="H1276" s="173"/>
      <c r="I1276" s="173"/>
      <c r="J1276" s="173"/>
      <c r="K1276" s="173"/>
      <c r="L1276" s="173"/>
      <c r="M1276" s="173"/>
    </row>
    <row r="1277">
      <c r="C1277" s="170"/>
      <c r="D1277" s="172"/>
      <c r="F1277" s="173"/>
      <c r="G1277" s="173"/>
      <c r="H1277" s="173"/>
      <c r="I1277" s="173"/>
      <c r="J1277" s="173"/>
      <c r="K1277" s="173"/>
      <c r="L1277" s="173"/>
      <c r="M1277" s="173"/>
    </row>
    <row r="1278">
      <c r="C1278" s="170"/>
      <c r="D1278" s="172"/>
      <c r="F1278" s="173"/>
      <c r="G1278" s="173"/>
      <c r="H1278" s="173"/>
      <c r="I1278" s="173"/>
      <c r="J1278" s="173"/>
      <c r="K1278" s="173"/>
      <c r="L1278" s="173"/>
      <c r="M1278" s="173"/>
    </row>
    <row r="1279">
      <c r="C1279" s="170"/>
      <c r="D1279" s="172"/>
      <c r="F1279" s="173"/>
      <c r="G1279" s="173"/>
      <c r="H1279" s="173"/>
      <c r="I1279" s="173"/>
      <c r="J1279" s="173"/>
      <c r="K1279" s="173"/>
      <c r="L1279" s="173"/>
      <c r="M1279" s="173"/>
    </row>
    <row r="1280">
      <c r="C1280" s="170"/>
      <c r="D1280" s="172"/>
      <c r="F1280" s="173"/>
      <c r="G1280" s="173"/>
      <c r="H1280" s="173"/>
      <c r="I1280" s="173"/>
      <c r="J1280" s="173"/>
      <c r="K1280" s="173"/>
      <c r="L1280" s="173"/>
      <c r="M1280" s="173"/>
    </row>
    <row r="1281">
      <c r="C1281" s="170"/>
      <c r="D1281" s="172"/>
      <c r="F1281" s="173"/>
      <c r="G1281" s="173"/>
      <c r="H1281" s="173"/>
      <c r="I1281" s="173"/>
      <c r="J1281" s="173"/>
      <c r="K1281" s="173"/>
      <c r="L1281" s="173"/>
      <c r="M1281" s="173"/>
    </row>
    <row r="1282">
      <c r="C1282" s="170"/>
      <c r="D1282" s="172"/>
      <c r="F1282" s="173"/>
      <c r="G1282" s="173"/>
      <c r="H1282" s="173"/>
      <c r="I1282" s="173"/>
      <c r="J1282" s="173"/>
      <c r="K1282" s="173"/>
      <c r="L1282" s="173"/>
      <c r="M1282" s="173"/>
    </row>
    <row r="1283">
      <c r="C1283" s="170"/>
      <c r="D1283" s="172"/>
      <c r="F1283" s="173"/>
      <c r="G1283" s="173"/>
      <c r="H1283" s="173"/>
      <c r="I1283" s="173"/>
      <c r="J1283" s="173"/>
      <c r="K1283" s="173"/>
      <c r="L1283" s="173"/>
      <c r="M1283" s="173"/>
    </row>
    <row r="1284">
      <c r="C1284" s="170"/>
      <c r="D1284" s="172"/>
      <c r="F1284" s="173"/>
      <c r="G1284" s="173"/>
      <c r="H1284" s="173"/>
      <c r="I1284" s="173"/>
      <c r="J1284" s="173"/>
      <c r="K1284" s="173"/>
      <c r="L1284" s="173"/>
      <c r="M1284" s="173"/>
    </row>
    <row r="1285">
      <c r="C1285" s="170"/>
      <c r="D1285" s="172"/>
      <c r="F1285" s="173"/>
      <c r="G1285" s="173"/>
      <c r="H1285" s="173"/>
      <c r="I1285" s="173"/>
      <c r="J1285" s="173"/>
      <c r="K1285" s="173"/>
      <c r="L1285" s="173"/>
      <c r="M1285" s="173"/>
    </row>
    <row r="1286">
      <c r="C1286" s="170"/>
      <c r="D1286" s="172"/>
      <c r="F1286" s="173"/>
      <c r="G1286" s="173"/>
      <c r="H1286" s="173"/>
      <c r="I1286" s="173"/>
      <c r="J1286" s="173"/>
      <c r="K1286" s="173"/>
      <c r="L1286" s="173"/>
      <c r="M1286" s="173"/>
    </row>
    <row r="1287">
      <c r="C1287" s="170"/>
      <c r="D1287" s="172"/>
      <c r="F1287" s="173"/>
      <c r="G1287" s="173"/>
      <c r="H1287" s="173"/>
      <c r="I1287" s="173"/>
      <c r="J1287" s="173"/>
      <c r="K1287" s="173"/>
      <c r="L1287" s="173"/>
      <c r="M1287" s="173"/>
    </row>
    <row r="1288">
      <c r="C1288" s="170"/>
      <c r="D1288" s="172"/>
      <c r="F1288" s="173"/>
      <c r="G1288" s="173"/>
      <c r="H1288" s="173"/>
      <c r="I1288" s="173"/>
      <c r="J1288" s="173"/>
      <c r="K1288" s="173"/>
      <c r="L1288" s="173"/>
      <c r="M1288" s="173"/>
    </row>
    <row r="1289">
      <c r="C1289" s="170"/>
      <c r="D1289" s="172"/>
      <c r="F1289" s="173"/>
      <c r="G1289" s="173"/>
      <c r="H1289" s="173"/>
      <c r="I1289" s="173"/>
      <c r="J1289" s="173"/>
      <c r="K1289" s="173"/>
      <c r="L1289" s="173"/>
      <c r="M1289" s="173"/>
    </row>
    <row r="1290">
      <c r="C1290" s="170"/>
      <c r="D1290" s="172"/>
      <c r="F1290" s="173"/>
      <c r="G1290" s="173"/>
      <c r="H1290" s="173"/>
      <c r="I1290" s="173"/>
      <c r="J1290" s="173"/>
      <c r="K1290" s="173"/>
      <c r="L1290" s="173"/>
      <c r="M1290" s="173"/>
    </row>
    <row r="1291">
      <c r="C1291" s="170"/>
      <c r="D1291" s="172"/>
      <c r="F1291" s="173"/>
      <c r="G1291" s="173"/>
      <c r="H1291" s="173"/>
      <c r="I1291" s="173"/>
      <c r="J1291" s="173"/>
      <c r="K1291" s="173"/>
      <c r="L1291" s="173"/>
      <c r="M1291" s="173"/>
    </row>
    <row r="1292">
      <c r="C1292" s="170"/>
      <c r="D1292" s="172"/>
      <c r="F1292" s="173"/>
      <c r="G1292" s="173"/>
      <c r="H1292" s="173"/>
      <c r="I1292" s="173"/>
      <c r="J1292" s="173"/>
      <c r="K1292" s="173"/>
      <c r="L1292" s="173"/>
      <c r="M1292" s="173"/>
    </row>
    <row r="1293">
      <c r="C1293" s="170"/>
      <c r="D1293" s="172"/>
      <c r="F1293" s="173"/>
      <c r="G1293" s="173"/>
      <c r="H1293" s="173"/>
      <c r="I1293" s="173"/>
      <c r="J1293" s="173"/>
      <c r="K1293" s="173"/>
      <c r="L1293" s="173"/>
      <c r="M1293" s="173"/>
    </row>
    <row r="1294">
      <c r="C1294" s="170"/>
      <c r="D1294" s="172"/>
      <c r="F1294" s="173"/>
      <c r="G1294" s="173"/>
      <c r="H1294" s="173"/>
      <c r="I1294" s="173"/>
      <c r="J1294" s="173"/>
      <c r="K1294" s="173"/>
      <c r="L1294" s="173"/>
      <c r="M1294" s="173"/>
    </row>
    <row r="1295">
      <c r="C1295" s="170"/>
      <c r="D1295" s="172"/>
      <c r="F1295" s="173"/>
      <c r="G1295" s="173"/>
      <c r="H1295" s="173"/>
      <c r="I1295" s="173"/>
      <c r="J1295" s="173"/>
      <c r="K1295" s="173"/>
      <c r="L1295" s="173"/>
      <c r="M1295" s="173"/>
    </row>
    <row r="1296">
      <c r="C1296" s="170"/>
      <c r="D1296" s="172"/>
      <c r="F1296" s="173"/>
      <c r="G1296" s="173"/>
      <c r="H1296" s="173"/>
      <c r="I1296" s="173"/>
      <c r="J1296" s="173"/>
      <c r="K1296" s="173"/>
      <c r="L1296" s="173"/>
      <c r="M1296" s="173"/>
    </row>
    <row r="1297">
      <c r="C1297" s="170"/>
      <c r="D1297" s="172"/>
      <c r="F1297" s="173"/>
      <c r="G1297" s="173"/>
      <c r="H1297" s="173"/>
      <c r="I1297" s="173"/>
      <c r="J1297" s="173"/>
      <c r="K1297" s="173"/>
      <c r="L1297" s="173"/>
      <c r="M1297" s="173"/>
    </row>
    <row r="1298">
      <c r="C1298" s="170"/>
      <c r="D1298" s="172"/>
      <c r="F1298" s="173"/>
      <c r="G1298" s="173"/>
      <c r="H1298" s="173"/>
      <c r="I1298" s="173"/>
      <c r="J1298" s="173"/>
      <c r="K1298" s="173"/>
      <c r="L1298" s="173"/>
      <c r="M1298" s="173"/>
    </row>
    <row r="1299">
      <c r="C1299" s="170"/>
      <c r="D1299" s="172"/>
      <c r="F1299" s="173"/>
      <c r="G1299" s="173"/>
      <c r="H1299" s="173"/>
      <c r="I1299" s="173"/>
      <c r="J1299" s="173"/>
      <c r="K1299" s="173"/>
      <c r="L1299" s="173"/>
      <c r="M1299" s="173"/>
    </row>
    <row r="1300">
      <c r="C1300" s="170"/>
      <c r="D1300" s="172"/>
      <c r="F1300" s="173"/>
      <c r="G1300" s="173"/>
      <c r="H1300" s="173"/>
      <c r="I1300" s="173"/>
      <c r="J1300" s="173"/>
      <c r="K1300" s="173"/>
      <c r="L1300" s="173"/>
      <c r="M1300" s="173"/>
    </row>
    <row r="1301">
      <c r="C1301" s="170"/>
      <c r="D1301" s="172"/>
      <c r="F1301" s="173"/>
      <c r="G1301" s="173"/>
      <c r="H1301" s="173"/>
      <c r="I1301" s="173"/>
      <c r="J1301" s="173"/>
      <c r="K1301" s="173"/>
      <c r="L1301" s="173"/>
      <c r="M1301" s="173"/>
    </row>
    <row r="1302">
      <c r="C1302" s="170"/>
      <c r="D1302" s="172"/>
      <c r="F1302" s="173"/>
      <c r="G1302" s="173"/>
      <c r="H1302" s="173"/>
      <c r="I1302" s="173"/>
      <c r="J1302" s="173"/>
      <c r="K1302" s="173"/>
      <c r="L1302" s="173"/>
      <c r="M1302" s="173"/>
    </row>
    <row r="1303">
      <c r="C1303" s="170"/>
      <c r="D1303" s="172"/>
      <c r="F1303" s="173"/>
      <c r="G1303" s="173"/>
      <c r="H1303" s="173"/>
      <c r="I1303" s="173"/>
      <c r="J1303" s="173"/>
      <c r="K1303" s="173"/>
      <c r="L1303" s="173"/>
      <c r="M1303" s="173"/>
    </row>
    <row r="1304">
      <c r="C1304" s="170"/>
      <c r="D1304" s="172"/>
      <c r="F1304" s="173"/>
      <c r="G1304" s="173"/>
      <c r="H1304" s="173"/>
      <c r="I1304" s="173"/>
      <c r="J1304" s="173"/>
      <c r="K1304" s="173"/>
      <c r="L1304" s="173"/>
      <c r="M1304" s="173"/>
    </row>
    <row r="1305">
      <c r="C1305" s="170"/>
      <c r="D1305" s="172"/>
      <c r="F1305" s="173"/>
      <c r="G1305" s="173"/>
      <c r="H1305" s="173"/>
      <c r="I1305" s="173"/>
      <c r="J1305" s="173"/>
      <c r="K1305" s="173"/>
      <c r="L1305" s="173"/>
      <c r="M1305" s="173"/>
    </row>
    <row r="1306">
      <c r="C1306" s="170"/>
      <c r="D1306" s="172"/>
      <c r="F1306" s="173"/>
      <c r="G1306" s="173"/>
      <c r="H1306" s="173"/>
      <c r="I1306" s="173"/>
      <c r="J1306" s="173"/>
      <c r="K1306" s="173"/>
      <c r="L1306" s="173"/>
      <c r="M1306" s="173"/>
    </row>
    <row r="1307">
      <c r="C1307" s="170"/>
      <c r="D1307" s="172"/>
      <c r="F1307" s="173"/>
      <c r="G1307" s="173"/>
      <c r="H1307" s="173"/>
      <c r="I1307" s="173"/>
      <c r="J1307" s="173"/>
      <c r="K1307" s="173"/>
      <c r="L1307" s="173"/>
      <c r="M1307" s="173"/>
    </row>
    <row r="1308">
      <c r="C1308" s="170"/>
      <c r="D1308" s="172"/>
      <c r="F1308" s="173"/>
      <c r="G1308" s="173"/>
      <c r="H1308" s="173"/>
      <c r="I1308" s="173"/>
      <c r="J1308" s="173"/>
      <c r="K1308" s="173"/>
      <c r="L1308" s="173"/>
      <c r="M1308" s="173"/>
    </row>
    <row r="1309">
      <c r="C1309" s="170"/>
      <c r="D1309" s="172"/>
      <c r="F1309" s="173"/>
      <c r="G1309" s="173"/>
      <c r="H1309" s="173"/>
      <c r="I1309" s="173"/>
      <c r="J1309" s="173"/>
      <c r="K1309" s="173"/>
      <c r="L1309" s="173"/>
      <c r="M1309" s="173"/>
    </row>
    <row r="1310">
      <c r="C1310" s="170"/>
      <c r="D1310" s="172"/>
      <c r="F1310" s="173"/>
      <c r="G1310" s="173"/>
      <c r="H1310" s="173"/>
      <c r="I1310" s="173"/>
      <c r="J1310" s="173"/>
      <c r="K1310" s="173"/>
      <c r="L1310" s="173"/>
      <c r="M1310" s="173"/>
    </row>
    <row r="1311">
      <c r="C1311" s="170"/>
      <c r="D1311" s="172"/>
      <c r="F1311" s="173"/>
      <c r="G1311" s="173"/>
      <c r="H1311" s="173"/>
      <c r="I1311" s="173"/>
      <c r="J1311" s="173"/>
      <c r="K1311" s="173"/>
      <c r="L1311" s="173"/>
      <c r="M1311" s="173"/>
    </row>
    <row r="1312">
      <c r="C1312" s="170"/>
      <c r="D1312" s="172"/>
      <c r="F1312" s="173"/>
      <c r="G1312" s="173"/>
      <c r="H1312" s="173"/>
      <c r="I1312" s="173"/>
      <c r="J1312" s="173"/>
      <c r="K1312" s="173"/>
      <c r="L1312" s="173"/>
      <c r="M1312" s="173"/>
    </row>
    <row r="1313">
      <c r="C1313" s="170"/>
      <c r="D1313" s="172"/>
      <c r="F1313" s="173"/>
      <c r="G1313" s="173"/>
      <c r="H1313" s="173"/>
      <c r="I1313" s="173"/>
      <c r="J1313" s="173"/>
      <c r="K1313" s="173"/>
      <c r="L1313" s="173"/>
      <c r="M1313" s="173"/>
    </row>
    <row r="1314">
      <c r="C1314" s="170"/>
      <c r="D1314" s="172"/>
      <c r="F1314" s="173"/>
      <c r="G1314" s="173"/>
      <c r="H1314" s="173"/>
      <c r="I1314" s="173"/>
      <c r="J1314" s="173"/>
      <c r="K1314" s="173"/>
      <c r="L1314" s="173"/>
      <c r="M1314" s="173"/>
    </row>
    <row r="1315">
      <c r="C1315" s="170"/>
      <c r="D1315" s="172"/>
      <c r="F1315" s="173"/>
      <c r="G1315" s="173"/>
      <c r="H1315" s="173"/>
      <c r="I1315" s="173"/>
      <c r="J1315" s="173"/>
      <c r="K1315" s="173"/>
      <c r="L1315" s="173"/>
      <c r="M1315" s="173"/>
    </row>
    <row r="1316">
      <c r="C1316" s="170"/>
      <c r="D1316" s="172"/>
      <c r="F1316" s="173"/>
      <c r="G1316" s="173"/>
      <c r="H1316" s="173"/>
      <c r="I1316" s="173"/>
      <c r="J1316" s="173"/>
      <c r="K1316" s="173"/>
      <c r="L1316" s="173"/>
      <c r="M1316" s="173"/>
    </row>
    <row r="1317">
      <c r="C1317" s="170"/>
      <c r="D1317" s="172"/>
      <c r="F1317" s="173"/>
      <c r="G1317" s="173"/>
      <c r="H1317" s="173"/>
      <c r="I1317" s="173"/>
      <c r="J1317" s="173"/>
      <c r="K1317" s="173"/>
      <c r="L1317" s="173"/>
      <c r="M1317" s="173"/>
    </row>
    <row r="1318">
      <c r="C1318" s="170"/>
      <c r="D1318" s="172"/>
      <c r="F1318" s="173"/>
      <c r="G1318" s="173"/>
      <c r="H1318" s="173"/>
      <c r="I1318" s="173"/>
      <c r="J1318" s="173"/>
      <c r="K1318" s="173"/>
      <c r="L1318" s="173"/>
      <c r="M1318" s="173"/>
    </row>
    <row r="1319">
      <c r="C1319" s="170"/>
      <c r="D1319" s="172"/>
      <c r="F1319" s="173"/>
      <c r="G1319" s="173"/>
      <c r="H1319" s="173"/>
      <c r="I1319" s="173"/>
      <c r="J1319" s="173"/>
      <c r="K1319" s="173"/>
      <c r="L1319" s="173"/>
      <c r="M1319" s="173"/>
    </row>
    <row r="1320">
      <c r="C1320" s="170"/>
      <c r="D1320" s="172"/>
      <c r="F1320" s="173"/>
      <c r="G1320" s="173"/>
      <c r="H1320" s="173"/>
      <c r="I1320" s="173"/>
      <c r="J1320" s="173"/>
      <c r="K1320" s="173"/>
      <c r="L1320" s="173"/>
      <c r="M1320" s="173"/>
    </row>
    <row r="1321">
      <c r="C1321" s="170"/>
      <c r="D1321" s="172"/>
      <c r="F1321" s="173"/>
      <c r="G1321" s="173"/>
      <c r="H1321" s="173"/>
      <c r="I1321" s="173"/>
      <c r="J1321" s="173"/>
      <c r="K1321" s="173"/>
      <c r="L1321" s="173"/>
      <c r="M1321" s="173"/>
    </row>
    <row r="1322">
      <c r="C1322" s="170"/>
      <c r="D1322" s="172"/>
      <c r="F1322" s="173"/>
      <c r="G1322" s="173"/>
      <c r="H1322" s="173"/>
      <c r="I1322" s="173"/>
      <c r="J1322" s="173"/>
      <c r="K1322" s="173"/>
      <c r="L1322" s="173"/>
      <c r="M1322" s="173"/>
    </row>
    <row r="1323">
      <c r="C1323" s="170"/>
      <c r="D1323" s="172"/>
      <c r="F1323" s="173"/>
      <c r="G1323" s="173"/>
      <c r="H1323" s="173"/>
      <c r="I1323" s="173"/>
      <c r="J1323" s="173"/>
      <c r="K1323" s="173"/>
      <c r="L1323" s="173"/>
      <c r="M1323" s="173"/>
    </row>
    <row r="1324">
      <c r="C1324" s="170"/>
      <c r="D1324" s="172"/>
      <c r="F1324" s="173"/>
      <c r="G1324" s="173"/>
      <c r="H1324" s="173"/>
      <c r="I1324" s="173"/>
      <c r="J1324" s="173"/>
      <c r="K1324" s="173"/>
      <c r="L1324" s="173"/>
      <c r="M1324" s="173"/>
    </row>
    <row r="1325">
      <c r="C1325" s="170"/>
      <c r="D1325" s="172"/>
      <c r="F1325" s="173"/>
      <c r="G1325" s="173"/>
      <c r="H1325" s="173"/>
      <c r="I1325" s="173"/>
      <c r="J1325" s="173"/>
      <c r="K1325" s="173"/>
      <c r="L1325" s="173"/>
      <c r="M1325" s="173"/>
    </row>
    <row r="1326">
      <c r="C1326" s="170"/>
      <c r="D1326" s="172"/>
      <c r="F1326" s="173"/>
      <c r="G1326" s="173"/>
      <c r="H1326" s="173"/>
      <c r="I1326" s="173"/>
      <c r="J1326" s="173"/>
      <c r="K1326" s="173"/>
      <c r="L1326" s="173"/>
      <c r="M1326" s="173"/>
    </row>
    <row r="1327">
      <c r="C1327" s="170"/>
      <c r="D1327" s="172"/>
      <c r="F1327" s="173"/>
      <c r="G1327" s="173"/>
      <c r="H1327" s="173"/>
      <c r="I1327" s="173"/>
      <c r="J1327" s="173"/>
      <c r="K1327" s="173"/>
      <c r="L1327" s="173"/>
      <c r="M1327" s="173"/>
    </row>
    <row r="1328">
      <c r="C1328" s="170"/>
      <c r="D1328" s="172"/>
      <c r="F1328" s="173"/>
      <c r="G1328" s="173"/>
      <c r="H1328" s="173"/>
      <c r="I1328" s="173"/>
      <c r="J1328" s="173"/>
      <c r="K1328" s="173"/>
      <c r="L1328" s="173"/>
      <c r="M1328" s="173"/>
    </row>
    <row r="1329">
      <c r="C1329" s="170"/>
      <c r="D1329" s="172"/>
      <c r="F1329" s="173"/>
      <c r="G1329" s="173"/>
      <c r="H1329" s="173"/>
      <c r="I1329" s="173"/>
      <c r="J1329" s="173"/>
      <c r="K1329" s="173"/>
      <c r="L1329" s="173"/>
      <c r="M1329" s="173"/>
    </row>
    <row r="1330">
      <c r="C1330" s="170"/>
      <c r="D1330" s="172"/>
      <c r="F1330" s="173"/>
      <c r="G1330" s="173"/>
      <c r="H1330" s="173"/>
      <c r="I1330" s="173"/>
      <c r="J1330" s="173"/>
      <c r="K1330" s="173"/>
      <c r="L1330" s="173"/>
      <c r="M1330" s="173"/>
    </row>
    <row r="1331">
      <c r="C1331" s="170"/>
      <c r="D1331" s="172"/>
      <c r="F1331" s="173"/>
      <c r="G1331" s="173"/>
      <c r="H1331" s="173"/>
      <c r="I1331" s="173"/>
      <c r="J1331" s="173"/>
      <c r="K1331" s="173"/>
      <c r="L1331" s="173"/>
      <c r="M1331" s="173"/>
    </row>
    <row r="1332">
      <c r="C1332" s="170"/>
      <c r="D1332" s="172"/>
      <c r="F1332" s="173"/>
      <c r="G1332" s="173"/>
      <c r="H1332" s="173"/>
      <c r="I1332" s="173"/>
      <c r="J1332" s="173"/>
      <c r="K1332" s="173"/>
      <c r="L1332" s="173"/>
      <c r="M1332" s="173"/>
    </row>
    <row r="1333">
      <c r="C1333" s="170"/>
      <c r="D1333" s="172"/>
      <c r="F1333" s="173"/>
      <c r="G1333" s="173"/>
      <c r="H1333" s="173"/>
      <c r="I1333" s="173"/>
      <c r="J1333" s="173"/>
      <c r="K1333" s="173"/>
      <c r="L1333" s="173"/>
      <c r="M1333" s="173"/>
    </row>
    <row r="1334">
      <c r="C1334" s="170"/>
      <c r="D1334" s="172"/>
      <c r="F1334" s="173"/>
      <c r="G1334" s="173"/>
      <c r="H1334" s="173"/>
      <c r="I1334" s="173"/>
      <c r="J1334" s="173"/>
      <c r="K1334" s="173"/>
      <c r="L1334" s="173"/>
      <c r="M1334" s="173"/>
    </row>
    <row r="1335">
      <c r="C1335" s="170"/>
      <c r="D1335" s="172"/>
      <c r="F1335" s="173"/>
      <c r="G1335" s="173"/>
      <c r="H1335" s="173"/>
      <c r="I1335" s="173"/>
      <c r="J1335" s="173"/>
      <c r="K1335" s="173"/>
      <c r="L1335" s="173"/>
      <c r="M1335" s="173"/>
    </row>
    <row r="1336">
      <c r="C1336" s="170"/>
      <c r="D1336" s="172"/>
      <c r="F1336" s="173"/>
      <c r="G1336" s="173"/>
      <c r="H1336" s="173"/>
      <c r="I1336" s="173"/>
      <c r="J1336" s="173"/>
      <c r="K1336" s="173"/>
      <c r="L1336" s="173"/>
      <c r="M1336" s="173"/>
    </row>
    <row r="1337">
      <c r="C1337" s="170"/>
      <c r="D1337" s="172"/>
      <c r="F1337" s="173"/>
      <c r="G1337" s="173"/>
      <c r="H1337" s="173"/>
      <c r="I1337" s="173"/>
      <c r="J1337" s="173"/>
      <c r="K1337" s="173"/>
      <c r="L1337" s="173"/>
      <c r="M1337" s="173"/>
    </row>
    <row r="1338">
      <c r="C1338" s="170"/>
      <c r="D1338" s="172"/>
      <c r="F1338" s="173"/>
      <c r="G1338" s="173"/>
      <c r="H1338" s="173"/>
      <c r="I1338" s="173"/>
      <c r="J1338" s="173"/>
      <c r="K1338" s="173"/>
      <c r="L1338" s="173"/>
      <c r="M1338" s="173"/>
    </row>
    <row r="1339">
      <c r="C1339" s="170"/>
      <c r="D1339" s="172"/>
      <c r="F1339" s="173"/>
      <c r="G1339" s="173"/>
      <c r="H1339" s="173"/>
      <c r="I1339" s="173"/>
      <c r="J1339" s="173"/>
      <c r="K1339" s="173"/>
      <c r="L1339" s="173"/>
      <c r="M1339" s="173"/>
    </row>
    <row r="1340">
      <c r="C1340" s="170"/>
      <c r="D1340" s="172"/>
      <c r="F1340" s="173"/>
      <c r="G1340" s="173"/>
      <c r="H1340" s="173"/>
      <c r="I1340" s="173"/>
      <c r="J1340" s="173"/>
      <c r="K1340" s="173"/>
      <c r="L1340" s="173"/>
      <c r="M1340" s="173"/>
    </row>
    <row r="1341">
      <c r="C1341" s="170"/>
      <c r="D1341" s="172"/>
      <c r="F1341" s="173"/>
      <c r="G1341" s="173"/>
      <c r="H1341" s="173"/>
      <c r="I1341" s="173"/>
      <c r="J1341" s="173"/>
      <c r="K1341" s="173"/>
      <c r="L1341" s="173"/>
      <c r="M1341" s="173"/>
    </row>
    <row r="1342">
      <c r="C1342" s="170"/>
      <c r="D1342" s="172"/>
      <c r="F1342" s="173"/>
      <c r="G1342" s="173"/>
      <c r="H1342" s="173"/>
      <c r="I1342" s="173"/>
      <c r="J1342" s="173"/>
      <c r="K1342" s="173"/>
      <c r="L1342" s="173"/>
      <c r="M1342" s="173"/>
    </row>
    <row r="1343">
      <c r="C1343" s="170"/>
      <c r="D1343" s="172"/>
      <c r="F1343" s="173"/>
      <c r="G1343" s="173"/>
      <c r="H1343" s="173"/>
      <c r="I1343" s="173"/>
      <c r="J1343" s="173"/>
      <c r="K1343" s="173"/>
      <c r="L1343" s="173"/>
      <c r="M1343" s="173"/>
    </row>
    <row r="1344">
      <c r="C1344" s="170"/>
      <c r="D1344" s="172"/>
      <c r="F1344" s="173"/>
      <c r="G1344" s="173"/>
      <c r="H1344" s="173"/>
      <c r="I1344" s="173"/>
      <c r="J1344" s="173"/>
      <c r="K1344" s="173"/>
      <c r="L1344" s="173"/>
      <c r="M1344" s="173"/>
    </row>
    <row r="1345">
      <c r="C1345" s="170"/>
      <c r="D1345" s="172"/>
      <c r="F1345" s="173"/>
      <c r="G1345" s="173"/>
      <c r="H1345" s="173"/>
      <c r="I1345" s="173"/>
      <c r="J1345" s="173"/>
      <c r="K1345" s="173"/>
      <c r="L1345" s="173"/>
      <c r="M1345" s="173"/>
    </row>
    <row r="1346">
      <c r="C1346" s="170"/>
      <c r="D1346" s="172"/>
      <c r="F1346" s="173"/>
      <c r="G1346" s="173"/>
      <c r="H1346" s="173"/>
      <c r="I1346" s="173"/>
      <c r="J1346" s="173"/>
      <c r="K1346" s="173"/>
      <c r="L1346" s="173"/>
      <c r="M1346" s="173"/>
    </row>
    <row r="1347">
      <c r="C1347" s="170"/>
      <c r="D1347" s="172"/>
      <c r="F1347" s="173"/>
      <c r="G1347" s="173"/>
      <c r="H1347" s="173"/>
      <c r="I1347" s="173"/>
      <c r="J1347" s="173"/>
      <c r="K1347" s="173"/>
      <c r="L1347" s="173"/>
      <c r="M1347" s="173"/>
    </row>
    <row r="1348">
      <c r="C1348" s="170"/>
      <c r="D1348" s="172"/>
      <c r="F1348" s="173"/>
      <c r="G1348" s="173"/>
      <c r="H1348" s="173"/>
      <c r="I1348" s="173"/>
      <c r="J1348" s="173"/>
      <c r="K1348" s="173"/>
      <c r="L1348" s="173"/>
      <c r="M1348" s="173"/>
    </row>
    <row r="1349">
      <c r="C1349" s="170"/>
      <c r="D1349" s="172"/>
      <c r="F1349" s="173"/>
      <c r="G1349" s="173"/>
      <c r="H1349" s="173"/>
      <c r="I1349" s="173"/>
      <c r="J1349" s="173"/>
      <c r="K1349" s="173"/>
      <c r="L1349" s="173"/>
      <c r="M1349" s="173"/>
    </row>
    <row r="1350">
      <c r="C1350" s="170"/>
      <c r="D1350" s="172"/>
      <c r="F1350" s="173"/>
      <c r="G1350" s="173"/>
      <c r="H1350" s="173"/>
      <c r="I1350" s="173"/>
      <c r="J1350" s="173"/>
      <c r="K1350" s="173"/>
      <c r="L1350" s="173"/>
      <c r="M1350" s="173"/>
    </row>
    <row r="1351">
      <c r="C1351" s="170"/>
      <c r="D1351" s="172"/>
      <c r="F1351" s="173"/>
      <c r="G1351" s="173"/>
      <c r="H1351" s="173"/>
      <c r="I1351" s="173"/>
      <c r="J1351" s="173"/>
      <c r="K1351" s="173"/>
      <c r="L1351" s="173"/>
      <c r="M1351" s="173"/>
    </row>
    <row r="1352">
      <c r="C1352" s="170"/>
      <c r="D1352" s="172"/>
      <c r="F1352" s="173"/>
      <c r="G1352" s="173"/>
      <c r="H1352" s="173"/>
      <c r="I1352" s="173"/>
      <c r="J1352" s="173"/>
      <c r="K1352" s="173"/>
      <c r="L1352" s="173"/>
      <c r="M1352" s="173"/>
    </row>
    <row r="1353">
      <c r="C1353" s="170"/>
      <c r="D1353" s="172"/>
      <c r="F1353" s="173"/>
      <c r="G1353" s="173"/>
      <c r="H1353" s="173"/>
      <c r="I1353" s="173"/>
      <c r="J1353" s="173"/>
      <c r="K1353" s="173"/>
      <c r="L1353" s="173"/>
      <c r="M1353" s="173"/>
    </row>
    <row r="1354">
      <c r="C1354" s="170"/>
      <c r="D1354" s="172"/>
      <c r="F1354" s="173"/>
      <c r="G1354" s="173"/>
      <c r="H1354" s="173"/>
      <c r="I1354" s="173"/>
      <c r="J1354" s="173"/>
      <c r="K1354" s="173"/>
      <c r="L1354" s="173"/>
      <c r="M1354" s="173"/>
    </row>
    <row r="1355">
      <c r="C1355" s="170"/>
      <c r="D1355" s="172"/>
      <c r="F1355" s="173"/>
      <c r="G1355" s="173"/>
      <c r="H1355" s="173"/>
      <c r="I1355" s="173"/>
      <c r="J1355" s="173"/>
      <c r="K1355" s="173"/>
      <c r="L1355" s="173"/>
      <c r="M1355" s="173"/>
    </row>
    <row r="1356">
      <c r="C1356" s="170"/>
      <c r="D1356" s="172"/>
      <c r="F1356" s="173"/>
      <c r="G1356" s="173"/>
      <c r="H1356" s="173"/>
      <c r="I1356" s="173"/>
      <c r="J1356" s="173"/>
      <c r="K1356" s="173"/>
      <c r="L1356" s="173"/>
      <c r="M1356" s="173"/>
    </row>
    <row r="1357">
      <c r="C1357" s="170"/>
      <c r="D1357" s="172"/>
      <c r="F1357" s="173"/>
      <c r="G1357" s="173"/>
      <c r="H1357" s="173"/>
      <c r="I1357" s="173"/>
      <c r="J1357" s="173"/>
      <c r="K1357" s="173"/>
      <c r="L1357" s="173"/>
      <c r="M1357" s="173"/>
    </row>
    <row r="1358">
      <c r="C1358" s="170"/>
      <c r="D1358" s="172"/>
      <c r="F1358" s="173"/>
      <c r="G1358" s="173"/>
      <c r="H1358" s="173"/>
      <c r="I1358" s="173"/>
      <c r="J1358" s="173"/>
      <c r="K1358" s="173"/>
      <c r="L1358" s="173"/>
      <c r="M1358" s="173"/>
    </row>
    <row r="1359">
      <c r="C1359" s="170"/>
      <c r="D1359" s="172"/>
      <c r="F1359" s="173"/>
      <c r="G1359" s="173"/>
      <c r="H1359" s="173"/>
      <c r="I1359" s="173"/>
      <c r="J1359" s="173"/>
      <c r="K1359" s="173"/>
      <c r="L1359" s="173"/>
      <c r="M1359" s="173"/>
    </row>
    <row r="1360">
      <c r="C1360" s="170"/>
      <c r="D1360" s="172"/>
      <c r="F1360" s="173"/>
      <c r="G1360" s="173"/>
      <c r="H1360" s="173"/>
      <c r="I1360" s="173"/>
      <c r="J1360" s="173"/>
      <c r="K1360" s="173"/>
      <c r="L1360" s="173"/>
      <c r="M1360" s="173"/>
    </row>
    <row r="1361">
      <c r="C1361" s="170"/>
      <c r="D1361" s="172"/>
      <c r="F1361" s="173"/>
      <c r="G1361" s="173"/>
      <c r="H1361" s="173"/>
      <c r="I1361" s="173"/>
      <c r="J1361" s="173"/>
      <c r="K1361" s="173"/>
      <c r="L1361" s="173"/>
      <c r="M1361" s="173"/>
    </row>
    <row r="1362">
      <c r="C1362" s="170"/>
      <c r="D1362" s="172"/>
      <c r="F1362" s="173"/>
      <c r="G1362" s="173"/>
      <c r="H1362" s="173"/>
      <c r="I1362" s="173"/>
      <c r="J1362" s="173"/>
      <c r="K1362" s="173"/>
      <c r="L1362" s="173"/>
      <c r="M1362" s="173"/>
    </row>
    <row r="1363">
      <c r="C1363" s="170"/>
      <c r="D1363" s="172"/>
      <c r="F1363" s="173"/>
      <c r="G1363" s="173"/>
      <c r="H1363" s="173"/>
      <c r="I1363" s="173"/>
      <c r="J1363" s="173"/>
      <c r="K1363" s="173"/>
      <c r="L1363" s="173"/>
      <c r="M1363" s="173"/>
    </row>
    <row r="1364">
      <c r="C1364" s="170"/>
      <c r="D1364" s="172"/>
      <c r="F1364" s="173"/>
      <c r="G1364" s="173"/>
      <c r="H1364" s="173"/>
      <c r="I1364" s="173"/>
      <c r="J1364" s="173"/>
      <c r="K1364" s="173"/>
      <c r="L1364" s="173"/>
      <c r="M1364" s="173"/>
    </row>
    <row r="1365">
      <c r="C1365" s="170"/>
      <c r="D1365" s="172"/>
      <c r="F1365" s="173"/>
      <c r="G1365" s="173"/>
      <c r="H1365" s="173"/>
      <c r="I1365" s="173"/>
      <c r="J1365" s="173"/>
      <c r="K1365" s="173"/>
      <c r="L1365" s="173"/>
      <c r="M1365" s="173"/>
    </row>
    <row r="1366">
      <c r="C1366" s="170"/>
      <c r="D1366" s="172"/>
      <c r="F1366" s="173"/>
      <c r="G1366" s="173"/>
      <c r="H1366" s="173"/>
      <c r="I1366" s="173"/>
      <c r="J1366" s="173"/>
      <c r="K1366" s="173"/>
      <c r="L1366" s="173"/>
      <c r="M1366" s="173"/>
    </row>
    <row r="1367">
      <c r="C1367" s="170"/>
      <c r="D1367" s="172"/>
      <c r="F1367" s="173"/>
      <c r="G1367" s="173"/>
      <c r="H1367" s="173"/>
      <c r="I1367" s="173"/>
      <c r="J1367" s="173"/>
      <c r="K1367" s="173"/>
      <c r="L1367" s="173"/>
      <c r="M1367" s="173"/>
    </row>
    <row r="1368">
      <c r="C1368" s="170"/>
      <c r="D1368" s="172"/>
      <c r="F1368" s="173"/>
      <c r="G1368" s="173"/>
      <c r="H1368" s="173"/>
      <c r="I1368" s="173"/>
      <c r="J1368" s="173"/>
      <c r="K1368" s="173"/>
      <c r="L1368" s="173"/>
      <c r="M1368" s="173"/>
    </row>
    <row r="1369">
      <c r="C1369" s="170"/>
      <c r="D1369" s="172"/>
      <c r="F1369" s="173"/>
      <c r="G1369" s="173"/>
      <c r="H1369" s="173"/>
      <c r="I1369" s="173"/>
      <c r="J1369" s="173"/>
      <c r="K1369" s="173"/>
      <c r="L1369" s="173"/>
      <c r="M1369" s="173"/>
    </row>
    <row r="1370">
      <c r="C1370" s="170"/>
      <c r="D1370" s="172"/>
      <c r="F1370" s="173"/>
      <c r="G1370" s="173"/>
      <c r="H1370" s="173"/>
      <c r="I1370" s="173"/>
      <c r="J1370" s="173"/>
      <c r="K1370" s="173"/>
      <c r="L1370" s="173"/>
      <c r="M1370" s="173"/>
    </row>
    <row r="1371">
      <c r="C1371" s="170"/>
      <c r="D1371" s="172"/>
      <c r="F1371" s="173"/>
      <c r="G1371" s="173"/>
      <c r="H1371" s="173"/>
      <c r="I1371" s="173"/>
      <c r="J1371" s="173"/>
      <c r="K1371" s="173"/>
      <c r="L1371" s="173"/>
      <c r="M1371" s="173"/>
    </row>
    <row r="1372">
      <c r="C1372" s="170"/>
      <c r="D1372" s="172"/>
      <c r="F1372" s="173"/>
      <c r="G1372" s="173"/>
      <c r="H1372" s="173"/>
      <c r="I1372" s="173"/>
      <c r="J1372" s="173"/>
      <c r="K1372" s="173"/>
      <c r="L1372" s="173"/>
      <c r="M1372" s="173"/>
    </row>
    <row r="1373">
      <c r="C1373" s="170"/>
      <c r="D1373" s="172"/>
      <c r="F1373" s="173"/>
      <c r="G1373" s="173"/>
      <c r="H1373" s="173"/>
      <c r="I1373" s="173"/>
      <c r="J1373" s="173"/>
      <c r="K1373" s="173"/>
      <c r="L1373" s="173"/>
      <c r="M1373" s="173"/>
    </row>
    <row r="1374">
      <c r="C1374" s="170"/>
      <c r="D1374" s="172"/>
      <c r="F1374" s="173"/>
      <c r="G1374" s="173"/>
      <c r="H1374" s="173"/>
      <c r="I1374" s="173"/>
      <c r="J1374" s="173"/>
      <c r="K1374" s="173"/>
      <c r="L1374" s="173"/>
      <c r="M1374" s="173"/>
    </row>
    <row r="1375">
      <c r="C1375" s="170"/>
      <c r="D1375" s="172"/>
      <c r="F1375" s="173"/>
      <c r="G1375" s="173"/>
      <c r="H1375" s="173"/>
      <c r="I1375" s="173"/>
      <c r="J1375" s="173"/>
      <c r="K1375" s="173"/>
      <c r="L1375" s="173"/>
      <c r="M1375" s="173"/>
    </row>
    <row r="1376">
      <c r="C1376" s="170"/>
      <c r="D1376" s="172"/>
      <c r="F1376" s="173"/>
      <c r="G1376" s="173"/>
      <c r="H1376" s="173"/>
      <c r="I1376" s="173"/>
      <c r="J1376" s="173"/>
      <c r="K1376" s="173"/>
      <c r="L1376" s="173"/>
      <c r="M1376" s="173"/>
    </row>
    <row r="1377">
      <c r="C1377" s="170"/>
      <c r="D1377" s="172"/>
      <c r="F1377" s="173"/>
      <c r="G1377" s="173"/>
      <c r="H1377" s="173"/>
      <c r="I1377" s="173"/>
      <c r="J1377" s="173"/>
      <c r="K1377" s="173"/>
      <c r="L1377" s="173"/>
      <c r="M1377" s="173"/>
    </row>
    <row r="1378">
      <c r="C1378" s="170"/>
      <c r="D1378" s="172"/>
      <c r="F1378" s="173"/>
      <c r="G1378" s="173"/>
      <c r="H1378" s="173"/>
      <c r="I1378" s="173"/>
      <c r="J1378" s="173"/>
      <c r="K1378" s="173"/>
      <c r="L1378" s="173"/>
      <c r="M1378" s="173"/>
    </row>
    <row r="1379">
      <c r="C1379" s="170"/>
      <c r="D1379" s="172"/>
      <c r="F1379" s="173"/>
      <c r="G1379" s="173"/>
      <c r="H1379" s="173"/>
      <c r="I1379" s="173"/>
      <c r="J1379" s="173"/>
      <c r="K1379" s="173"/>
      <c r="L1379" s="173"/>
      <c r="M1379" s="173"/>
    </row>
    <row r="1380">
      <c r="C1380" s="170"/>
      <c r="D1380" s="172"/>
      <c r="F1380" s="173"/>
      <c r="G1380" s="173"/>
      <c r="H1380" s="173"/>
      <c r="I1380" s="173"/>
      <c r="J1380" s="173"/>
      <c r="K1380" s="173"/>
      <c r="L1380" s="173"/>
      <c r="M1380" s="173"/>
    </row>
    <row r="1381">
      <c r="C1381" s="170"/>
      <c r="D1381" s="172"/>
      <c r="F1381" s="173"/>
      <c r="G1381" s="173"/>
      <c r="H1381" s="173"/>
      <c r="I1381" s="173"/>
      <c r="J1381" s="173"/>
      <c r="K1381" s="173"/>
      <c r="L1381" s="173"/>
      <c r="M1381" s="173"/>
    </row>
    <row r="1382">
      <c r="C1382" s="170"/>
      <c r="D1382" s="172"/>
      <c r="F1382" s="173"/>
      <c r="G1382" s="173"/>
      <c r="H1382" s="173"/>
      <c r="I1382" s="173"/>
      <c r="J1382" s="173"/>
      <c r="K1382" s="173"/>
      <c r="L1382" s="173"/>
      <c r="M1382" s="173"/>
    </row>
    <row r="1383">
      <c r="C1383" s="170"/>
      <c r="D1383" s="172"/>
      <c r="F1383" s="173"/>
      <c r="G1383" s="173"/>
      <c r="H1383" s="173"/>
      <c r="I1383" s="173"/>
      <c r="J1383" s="173"/>
      <c r="K1383" s="173"/>
      <c r="L1383" s="173"/>
      <c r="M1383" s="173"/>
    </row>
    <row r="1384">
      <c r="C1384" s="170"/>
      <c r="D1384" s="172"/>
      <c r="F1384" s="173"/>
      <c r="G1384" s="173"/>
      <c r="H1384" s="173"/>
      <c r="I1384" s="173"/>
      <c r="J1384" s="173"/>
      <c r="K1384" s="173"/>
      <c r="L1384" s="173"/>
      <c r="M1384" s="173"/>
    </row>
    <row r="1385">
      <c r="C1385" s="170"/>
      <c r="D1385" s="172"/>
      <c r="F1385" s="173"/>
      <c r="G1385" s="173"/>
      <c r="H1385" s="173"/>
      <c r="I1385" s="173"/>
      <c r="J1385" s="173"/>
      <c r="K1385" s="173"/>
      <c r="L1385" s="173"/>
      <c r="M1385" s="173"/>
    </row>
    <row r="1386">
      <c r="C1386" s="170"/>
      <c r="D1386" s="172"/>
      <c r="F1386" s="173"/>
      <c r="G1386" s="173"/>
      <c r="H1386" s="173"/>
      <c r="I1386" s="173"/>
      <c r="J1386" s="173"/>
      <c r="K1386" s="173"/>
      <c r="L1386" s="173"/>
      <c r="M1386" s="173"/>
    </row>
    <row r="1387">
      <c r="C1387" s="170"/>
      <c r="D1387" s="172"/>
      <c r="F1387" s="173"/>
      <c r="G1387" s="173"/>
      <c r="H1387" s="173"/>
      <c r="I1387" s="173"/>
      <c r="J1387" s="173"/>
      <c r="K1387" s="173"/>
      <c r="L1387" s="173"/>
      <c r="M1387" s="173"/>
    </row>
    <row r="1388">
      <c r="C1388" s="170"/>
      <c r="D1388" s="172"/>
      <c r="F1388" s="173"/>
      <c r="G1388" s="173"/>
      <c r="H1388" s="173"/>
      <c r="I1388" s="173"/>
      <c r="J1388" s="173"/>
      <c r="K1388" s="173"/>
      <c r="L1388" s="173"/>
      <c r="M1388" s="173"/>
    </row>
    <row r="1389">
      <c r="C1389" s="170"/>
      <c r="D1389" s="172"/>
      <c r="F1389" s="173"/>
      <c r="G1389" s="173"/>
      <c r="H1389" s="173"/>
      <c r="I1389" s="173"/>
      <c r="J1389" s="173"/>
      <c r="K1389" s="173"/>
      <c r="L1389" s="173"/>
      <c r="M1389" s="173"/>
    </row>
    <row r="1390">
      <c r="C1390" s="170"/>
      <c r="D1390" s="172"/>
      <c r="F1390" s="173"/>
      <c r="G1390" s="173"/>
      <c r="H1390" s="173"/>
      <c r="I1390" s="173"/>
      <c r="J1390" s="173"/>
      <c r="K1390" s="173"/>
      <c r="L1390" s="173"/>
      <c r="M1390" s="173"/>
    </row>
    <row r="1391">
      <c r="C1391" s="170"/>
      <c r="D1391" s="172"/>
      <c r="F1391" s="173"/>
      <c r="G1391" s="173"/>
      <c r="H1391" s="173"/>
      <c r="I1391" s="173"/>
      <c r="J1391" s="173"/>
      <c r="K1391" s="173"/>
      <c r="L1391" s="173"/>
      <c r="M1391" s="173"/>
    </row>
    <row r="1392">
      <c r="C1392" s="170"/>
      <c r="D1392" s="172"/>
      <c r="F1392" s="173"/>
      <c r="G1392" s="173"/>
      <c r="H1392" s="173"/>
      <c r="I1392" s="173"/>
      <c r="J1392" s="173"/>
      <c r="K1392" s="173"/>
      <c r="L1392" s="173"/>
      <c r="M1392" s="173"/>
    </row>
    <row r="1393">
      <c r="C1393" s="170"/>
      <c r="D1393" s="172"/>
      <c r="F1393" s="173"/>
      <c r="G1393" s="173"/>
      <c r="H1393" s="173"/>
      <c r="I1393" s="173"/>
      <c r="J1393" s="173"/>
      <c r="K1393" s="173"/>
      <c r="L1393" s="173"/>
      <c r="M1393" s="173"/>
    </row>
    <row r="1394">
      <c r="C1394" s="170"/>
      <c r="D1394" s="172"/>
      <c r="F1394" s="173"/>
      <c r="G1394" s="173"/>
      <c r="H1394" s="173"/>
      <c r="I1394" s="173"/>
      <c r="J1394" s="173"/>
      <c r="K1394" s="173"/>
      <c r="L1394" s="173"/>
      <c r="M1394" s="173"/>
    </row>
    <row r="1395">
      <c r="C1395" s="170"/>
      <c r="D1395" s="172"/>
      <c r="F1395" s="173"/>
      <c r="G1395" s="173"/>
      <c r="H1395" s="173"/>
      <c r="I1395" s="173"/>
      <c r="J1395" s="173"/>
      <c r="K1395" s="173"/>
      <c r="L1395" s="173"/>
      <c r="M1395" s="173"/>
    </row>
    <row r="1396">
      <c r="C1396" s="170"/>
      <c r="D1396" s="172"/>
      <c r="F1396" s="173"/>
      <c r="G1396" s="173"/>
      <c r="H1396" s="173"/>
      <c r="I1396" s="173"/>
      <c r="J1396" s="173"/>
      <c r="K1396" s="173"/>
      <c r="L1396" s="173"/>
      <c r="M1396" s="173"/>
    </row>
    <row r="1397">
      <c r="C1397" s="170"/>
      <c r="D1397" s="172"/>
      <c r="F1397" s="173"/>
      <c r="G1397" s="173"/>
      <c r="H1397" s="173"/>
      <c r="I1397" s="173"/>
      <c r="J1397" s="173"/>
      <c r="K1397" s="173"/>
      <c r="L1397" s="173"/>
      <c r="M1397" s="173"/>
    </row>
    <row r="1398">
      <c r="C1398" s="170"/>
      <c r="D1398" s="172"/>
      <c r="F1398" s="173"/>
      <c r="G1398" s="173"/>
      <c r="H1398" s="173"/>
      <c r="I1398" s="173"/>
      <c r="J1398" s="173"/>
      <c r="K1398" s="173"/>
      <c r="L1398" s="173"/>
      <c r="M1398" s="173"/>
    </row>
    <row r="1399">
      <c r="C1399" s="170"/>
      <c r="D1399" s="172"/>
      <c r="F1399" s="173"/>
      <c r="G1399" s="173"/>
      <c r="H1399" s="173"/>
      <c r="I1399" s="173"/>
      <c r="J1399" s="173"/>
      <c r="K1399" s="173"/>
      <c r="L1399" s="173"/>
      <c r="M1399" s="173"/>
    </row>
    <row r="1400">
      <c r="C1400" s="170"/>
      <c r="D1400" s="172"/>
      <c r="F1400" s="173"/>
      <c r="G1400" s="173"/>
      <c r="H1400" s="173"/>
      <c r="I1400" s="173"/>
      <c r="J1400" s="173"/>
      <c r="K1400" s="173"/>
      <c r="L1400" s="173"/>
      <c r="M1400" s="173"/>
    </row>
    <row r="1401">
      <c r="C1401" s="170"/>
      <c r="D1401" s="172"/>
      <c r="F1401" s="173"/>
      <c r="G1401" s="173"/>
      <c r="H1401" s="173"/>
      <c r="I1401" s="173"/>
      <c r="J1401" s="173"/>
      <c r="K1401" s="173"/>
      <c r="L1401" s="173"/>
      <c r="M1401" s="173"/>
    </row>
    <row r="1402">
      <c r="C1402" s="170"/>
      <c r="D1402" s="172"/>
      <c r="F1402" s="173"/>
      <c r="G1402" s="173"/>
      <c r="H1402" s="173"/>
      <c r="I1402" s="173"/>
      <c r="J1402" s="173"/>
      <c r="K1402" s="173"/>
      <c r="L1402" s="173"/>
      <c r="M1402" s="173"/>
    </row>
    <row r="1403">
      <c r="C1403" s="170"/>
      <c r="D1403" s="172"/>
      <c r="F1403" s="173"/>
      <c r="G1403" s="173"/>
      <c r="H1403" s="173"/>
      <c r="I1403" s="173"/>
      <c r="J1403" s="173"/>
      <c r="K1403" s="173"/>
      <c r="L1403" s="173"/>
      <c r="M1403" s="173"/>
    </row>
    <row r="1404">
      <c r="C1404" s="170"/>
      <c r="D1404" s="172"/>
      <c r="F1404" s="173"/>
      <c r="G1404" s="173"/>
      <c r="H1404" s="173"/>
      <c r="I1404" s="173"/>
      <c r="J1404" s="173"/>
      <c r="K1404" s="173"/>
      <c r="L1404" s="173"/>
      <c r="M1404" s="173"/>
    </row>
    <row r="1405">
      <c r="C1405" s="170"/>
      <c r="D1405" s="172"/>
      <c r="F1405" s="173"/>
      <c r="G1405" s="173"/>
      <c r="H1405" s="173"/>
      <c r="I1405" s="173"/>
      <c r="J1405" s="173"/>
      <c r="K1405" s="173"/>
      <c r="L1405" s="173"/>
      <c r="M1405" s="173"/>
    </row>
    <row r="1406">
      <c r="C1406" s="170"/>
      <c r="D1406" s="172"/>
      <c r="F1406" s="173"/>
      <c r="G1406" s="173"/>
      <c r="H1406" s="173"/>
      <c r="I1406" s="173"/>
      <c r="J1406" s="173"/>
      <c r="K1406" s="173"/>
      <c r="L1406" s="173"/>
      <c r="M1406" s="173"/>
    </row>
    <row r="1407">
      <c r="C1407" s="170"/>
      <c r="D1407" s="172"/>
      <c r="F1407" s="173"/>
      <c r="G1407" s="173"/>
      <c r="H1407" s="173"/>
      <c r="I1407" s="173"/>
      <c r="J1407" s="173"/>
      <c r="K1407" s="173"/>
      <c r="L1407" s="173"/>
      <c r="M1407" s="173"/>
    </row>
    <row r="1408">
      <c r="C1408" s="170"/>
      <c r="D1408" s="172"/>
      <c r="F1408" s="173"/>
      <c r="G1408" s="173"/>
      <c r="H1408" s="173"/>
      <c r="I1408" s="173"/>
      <c r="J1408" s="173"/>
      <c r="K1408" s="173"/>
      <c r="L1408" s="173"/>
      <c r="M1408" s="173"/>
    </row>
    <row r="1409">
      <c r="C1409" s="170"/>
      <c r="D1409" s="172"/>
      <c r="F1409" s="173"/>
      <c r="G1409" s="173"/>
      <c r="H1409" s="173"/>
      <c r="I1409" s="173"/>
      <c r="J1409" s="173"/>
      <c r="K1409" s="173"/>
      <c r="L1409" s="173"/>
      <c r="M1409" s="173"/>
    </row>
    <row r="1410">
      <c r="C1410" s="170"/>
      <c r="D1410" s="172"/>
      <c r="F1410" s="173"/>
      <c r="G1410" s="173"/>
      <c r="H1410" s="173"/>
      <c r="I1410" s="173"/>
      <c r="J1410" s="173"/>
      <c r="K1410" s="173"/>
      <c r="L1410" s="173"/>
      <c r="M1410" s="173"/>
    </row>
    <row r="1411">
      <c r="C1411" s="170"/>
      <c r="D1411" s="172"/>
      <c r="F1411" s="173"/>
      <c r="G1411" s="173"/>
      <c r="H1411" s="173"/>
      <c r="I1411" s="173"/>
      <c r="J1411" s="173"/>
      <c r="K1411" s="173"/>
      <c r="L1411" s="173"/>
      <c r="M1411" s="173"/>
    </row>
    <row r="1412">
      <c r="C1412" s="170"/>
      <c r="D1412" s="172"/>
      <c r="F1412" s="173"/>
      <c r="G1412" s="173"/>
      <c r="H1412" s="173"/>
      <c r="I1412" s="173"/>
      <c r="J1412" s="173"/>
      <c r="K1412" s="173"/>
      <c r="L1412" s="173"/>
      <c r="M1412" s="173"/>
    </row>
    <row r="1413">
      <c r="C1413" s="170"/>
      <c r="D1413" s="172"/>
      <c r="F1413" s="173"/>
      <c r="G1413" s="173"/>
      <c r="H1413" s="173"/>
      <c r="I1413" s="173"/>
      <c r="J1413" s="173"/>
      <c r="K1413" s="173"/>
      <c r="L1413" s="173"/>
      <c r="M1413" s="173"/>
    </row>
    <row r="1414">
      <c r="C1414" s="170"/>
      <c r="D1414" s="172"/>
      <c r="F1414" s="173"/>
      <c r="G1414" s="173"/>
      <c r="H1414" s="173"/>
      <c r="I1414" s="173"/>
      <c r="J1414" s="173"/>
      <c r="K1414" s="173"/>
      <c r="L1414" s="173"/>
      <c r="M1414" s="173"/>
    </row>
    <row r="1415">
      <c r="C1415" s="170"/>
      <c r="D1415" s="172"/>
      <c r="F1415" s="173"/>
      <c r="G1415" s="173"/>
      <c r="H1415" s="173"/>
      <c r="I1415" s="173"/>
      <c r="J1415" s="173"/>
      <c r="K1415" s="173"/>
      <c r="L1415" s="173"/>
      <c r="M1415" s="173"/>
    </row>
    <row r="1416">
      <c r="C1416" s="170"/>
      <c r="D1416" s="172"/>
      <c r="F1416" s="173"/>
      <c r="G1416" s="173"/>
      <c r="H1416" s="173"/>
      <c r="I1416" s="173"/>
      <c r="J1416" s="173"/>
      <c r="K1416" s="173"/>
      <c r="L1416" s="173"/>
      <c r="M1416" s="173"/>
    </row>
    <row r="1417">
      <c r="C1417" s="170"/>
      <c r="D1417" s="172"/>
      <c r="F1417" s="173"/>
      <c r="G1417" s="173"/>
      <c r="H1417" s="173"/>
      <c r="I1417" s="173"/>
      <c r="J1417" s="173"/>
      <c r="K1417" s="173"/>
      <c r="L1417" s="173"/>
      <c r="M1417" s="173"/>
    </row>
    <row r="1418">
      <c r="C1418" s="170"/>
      <c r="D1418" s="172"/>
      <c r="F1418" s="173"/>
      <c r="G1418" s="173"/>
      <c r="H1418" s="173"/>
      <c r="I1418" s="173"/>
      <c r="J1418" s="173"/>
      <c r="K1418" s="173"/>
      <c r="L1418" s="173"/>
      <c r="M1418" s="173"/>
    </row>
    <row r="1419">
      <c r="C1419" s="170"/>
      <c r="D1419" s="172"/>
      <c r="F1419" s="173"/>
      <c r="G1419" s="173"/>
      <c r="H1419" s="173"/>
      <c r="I1419" s="173"/>
      <c r="J1419" s="173"/>
      <c r="K1419" s="173"/>
      <c r="L1419" s="173"/>
      <c r="M1419" s="173"/>
    </row>
    <row r="1420">
      <c r="C1420" s="170"/>
      <c r="D1420" s="172"/>
      <c r="F1420" s="173"/>
      <c r="G1420" s="173"/>
      <c r="H1420" s="173"/>
      <c r="I1420" s="173"/>
      <c r="J1420" s="173"/>
      <c r="K1420" s="173"/>
      <c r="L1420" s="173"/>
      <c r="M1420" s="173"/>
    </row>
    <row r="1421">
      <c r="C1421" s="170"/>
      <c r="D1421" s="172"/>
      <c r="F1421" s="173"/>
      <c r="G1421" s="173"/>
      <c r="H1421" s="173"/>
      <c r="I1421" s="173"/>
      <c r="J1421" s="173"/>
      <c r="K1421" s="173"/>
      <c r="L1421" s="173"/>
      <c r="M1421" s="173"/>
    </row>
    <row r="1422">
      <c r="C1422" s="170"/>
      <c r="D1422" s="172"/>
      <c r="F1422" s="173"/>
      <c r="G1422" s="173"/>
      <c r="H1422" s="173"/>
      <c r="I1422" s="173"/>
      <c r="J1422" s="173"/>
      <c r="K1422" s="173"/>
      <c r="L1422" s="173"/>
      <c r="M1422" s="173"/>
    </row>
    <row r="1423">
      <c r="C1423" s="170"/>
      <c r="D1423" s="172"/>
      <c r="F1423" s="173"/>
      <c r="G1423" s="173"/>
      <c r="H1423" s="173"/>
      <c r="I1423" s="173"/>
      <c r="J1423" s="173"/>
      <c r="K1423" s="173"/>
      <c r="L1423" s="173"/>
      <c r="M1423" s="173"/>
    </row>
    <row r="1424">
      <c r="C1424" s="170"/>
      <c r="D1424" s="172"/>
      <c r="F1424" s="173"/>
      <c r="G1424" s="173"/>
      <c r="H1424" s="173"/>
      <c r="I1424" s="173"/>
      <c r="J1424" s="173"/>
      <c r="K1424" s="173"/>
      <c r="L1424" s="173"/>
      <c r="M1424" s="173"/>
    </row>
    <row r="1425">
      <c r="C1425" s="170"/>
      <c r="D1425" s="172"/>
      <c r="F1425" s="173"/>
      <c r="G1425" s="173"/>
      <c r="H1425" s="173"/>
      <c r="I1425" s="173"/>
      <c r="J1425" s="173"/>
      <c r="K1425" s="173"/>
      <c r="L1425" s="173"/>
      <c r="M1425" s="173"/>
    </row>
    <row r="1426">
      <c r="C1426" s="170"/>
      <c r="D1426" s="172"/>
      <c r="F1426" s="173"/>
      <c r="G1426" s="173"/>
      <c r="H1426" s="173"/>
      <c r="I1426" s="173"/>
      <c r="J1426" s="173"/>
      <c r="K1426" s="173"/>
      <c r="L1426" s="173"/>
      <c r="M1426" s="173"/>
    </row>
    <row r="1427">
      <c r="C1427" s="170"/>
      <c r="D1427" s="172"/>
      <c r="F1427" s="173"/>
      <c r="G1427" s="173"/>
      <c r="H1427" s="173"/>
      <c r="I1427" s="173"/>
      <c r="J1427" s="173"/>
      <c r="K1427" s="173"/>
      <c r="L1427" s="173"/>
      <c r="M1427" s="173"/>
    </row>
    <row r="1428">
      <c r="C1428" s="170"/>
      <c r="D1428" s="172"/>
      <c r="F1428" s="173"/>
      <c r="G1428" s="173"/>
      <c r="H1428" s="173"/>
      <c r="I1428" s="173"/>
      <c r="J1428" s="173"/>
      <c r="K1428" s="173"/>
      <c r="L1428" s="173"/>
      <c r="M1428" s="173"/>
    </row>
    <row r="1429">
      <c r="C1429" s="170"/>
      <c r="D1429" s="172"/>
      <c r="F1429" s="173"/>
      <c r="G1429" s="173"/>
      <c r="H1429" s="173"/>
      <c r="I1429" s="173"/>
      <c r="J1429" s="173"/>
      <c r="K1429" s="173"/>
      <c r="L1429" s="173"/>
      <c r="M1429" s="173"/>
    </row>
    <row r="1430">
      <c r="C1430" s="170"/>
      <c r="D1430" s="172"/>
      <c r="F1430" s="173"/>
      <c r="G1430" s="173"/>
      <c r="H1430" s="173"/>
      <c r="I1430" s="173"/>
      <c r="J1430" s="173"/>
      <c r="K1430" s="173"/>
      <c r="L1430" s="173"/>
      <c r="M1430" s="173"/>
    </row>
    <row r="1431">
      <c r="C1431" s="170"/>
      <c r="D1431" s="172"/>
      <c r="F1431" s="173"/>
      <c r="G1431" s="173"/>
      <c r="H1431" s="173"/>
      <c r="I1431" s="173"/>
      <c r="J1431" s="173"/>
      <c r="K1431" s="173"/>
      <c r="L1431" s="173"/>
      <c r="M1431" s="173"/>
    </row>
    <row r="1432">
      <c r="C1432" s="170"/>
      <c r="D1432" s="172"/>
      <c r="F1432" s="173"/>
      <c r="G1432" s="173"/>
      <c r="H1432" s="173"/>
      <c r="I1432" s="173"/>
      <c r="J1432" s="173"/>
      <c r="K1432" s="173"/>
      <c r="L1432" s="173"/>
      <c r="M1432" s="173"/>
    </row>
    <row r="1433">
      <c r="C1433" s="170"/>
      <c r="D1433" s="172"/>
      <c r="F1433" s="173"/>
      <c r="G1433" s="173"/>
      <c r="H1433" s="173"/>
      <c r="I1433" s="173"/>
      <c r="J1433" s="173"/>
      <c r="K1433" s="173"/>
      <c r="L1433" s="173"/>
      <c r="M1433" s="173"/>
    </row>
    <row r="1434">
      <c r="C1434" s="170"/>
      <c r="D1434" s="172"/>
      <c r="F1434" s="173"/>
      <c r="G1434" s="173"/>
      <c r="H1434" s="173"/>
      <c r="I1434" s="173"/>
      <c r="J1434" s="173"/>
      <c r="K1434" s="173"/>
      <c r="L1434" s="173"/>
      <c r="M1434" s="173"/>
    </row>
    <row r="1435">
      <c r="C1435" s="170"/>
      <c r="D1435" s="172"/>
      <c r="F1435" s="173"/>
      <c r="G1435" s="173"/>
      <c r="H1435" s="173"/>
      <c r="I1435" s="173"/>
      <c r="J1435" s="173"/>
      <c r="K1435" s="173"/>
      <c r="L1435" s="173"/>
      <c r="M1435" s="173"/>
    </row>
    <row r="1436">
      <c r="C1436" s="170"/>
      <c r="D1436" s="172"/>
      <c r="F1436" s="173"/>
      <c r="G1436" s="173"/>
      <c r="H1436" s="173"/>
      <c r="I1436" s="173"/>
      <c r="J1436" s="173"/>
      <c r="K1436" s="173"/>
      <c r="L1436" s="173"/>
      <c r="M1436" s="173"/>
    </row>
    <row r="1437">
      <c r="C1437" s="170"/>
      <c r="D1437" s="172"/>
      <c r="F1437" s="173"/>
      <c r="G1437" s="173"/>
      <c r="H1437" s="173"/>
      <c r="I1437" s="173"/>
      <c r="J1437" s="173"/>
      <c r="K1437" s="173"/>
      <c r="L1437" s="173"/>
      <c r="M1437" s="173"/>
    </row>
    <row r="1438">
      <c r="C1438" s="170"/>
      <c r="D1438" s="172"/>
      <c r="F1438" s="173"/>
      <c r="G1438" s="173"/>
      <c r="H1438" s="173"/>
      <c r="I1438" s="173"/>
      <c r="J1438" s="173"/>
      <c r="K1438" s="173"/>
      <c r="L1438" s="173"/>
      <c r="M1438" s="173"/>
    </row>
    <row r="1439">
      <c r="C1439" s="170"/>
      <c r="D1439" s="172"/>
      <c r="F1439" s="173"/>
      <c r="G1439" s="173"/>
      <c r="H1439" s="173"/>
      <c r="I1439" s="173"/>
      <c r="J1439" s="173"/>
      <c r="K1439" s="173"/>
      <c r="L1439" s="173"/>
      <c r="M1439" s="173"/>
    </row>
    <row r="1440">
      <c r="C1440" s="170"/>
      <c r="D1440" s="172"/>
      <c r="F1440" s="173"/>
      <c r="G1440" s="173"/>
      <c r="H1440" s="173"/>
      <c r="I1440" s="173"/>
      <c r="J1440" s="173"/>
      <c r="K1440" s="173"/>
      <c r="L1440" s="173"/>
      <c r="M1440" s="173"/>
    </row>
    <row r="1441">
      <c r="C1441" s="170"/>
      <c r="D1441" s="172"/>
      <c r="F1441" s="173"/>
      <c r="G1441" s="173"/>
      <c r="H1441" s="173"/>
      <c r="I1441" s="173"/>
      <c r="J1441" s="173"/>
      <c r="K1441" s="173"/>
      <c r="L1441" s="173"/>
      <c r="M1441" s="173"/>
    </row>
    <row r="1442">
      <c r="C1442" s="170"/>
      <c r="D1442" s="172"/>
      <c r="F1442" s="173"/>
      <c r="G1442" s="173"/>
      <c r="H1442" s="173"/>
      <c r="I1442" s="173"/>
      <c r="J1442" s="173"/>
      <c r="K1442" s="173"/>
      <c r="L1442" s="173"/>
      <c r="M1442" s="173"/>
    </row>
    <row r="1443">
      <c r="C1443" s="170"/>
      <c r="D1443" s="172"/>
      <c r="F1443" s="173"/>
      <c r="G1443" s="173"/>
      <c r="H1443" s="173"/>
      <c r="I1443" s="173"/>
      <c r="J1443" s="173"/>
      <c r="K1443" s="173"/>
      <c r="L1443" s="173"/>
      <c r="M1443" s="173"/>
    </row>
    <row r="1444">
      <c r="C1444" s="170"/>
      <c r="D1444" s="172"/>
      <c r="F1444" s="173"/>
      <c r="G1444" s="173"/>
      <c r="H1444" s="173"/>
      <c r="I1444" s="173"/>
      <c r="J1444" s="173"/>
      <c r="K1444" s="173"/>
      <c r="L1444" s="173"/>
      <c r="M1444" s="173"/>
    </row>
    <row r="1445">
      <c r="C1445" s="170"/>
      <c r="D1445" s="172"/>
      <c r="F1445" s="173"/>
      <c r="G1445" s="173"/>
      <c r="H1445" s="173"/>
      <c r="I1445" s="173"/>
      <c r="J1445" s="173"/>
      <c r="K1445" s="173"/>
      <c r="L1445" s="173"/>
      <c r="M1445" s="173"/>
    </row>
    <row r="1446">
      <c r="C1446" s="170"/>
      <c r="D1446" s="172"/>
      <c r="F1446" s="173"/>
      <c r="G1446" s="173"/>
      <c r="H1446" s="173"/>
      <c r="I1446" s="173"/>
      <c r="J1446" s="173"/>
      <c r="K1446" s="173"/>
      <c r="L1446" s="173"/>
      <c r="M1446" s="173"/>
    </row>
    <row r="1447">
      <c r="C1447" s="170"/>
      <c r="D1447" s="172"/>
      <c r="F1447" s="173"/>
      <c r="G1447" s="173"/>
      <c r="H1447" s="173"/>
      <c r="I1447" s="173"/>
      <c r="J1447" s="173"/>
      <c r="K1447" s="173"/>
      <c r="L1447" s="173"/>
      <c r="M1447" s="173"/>
    </row>
    <row r="1448">
      <c r="C1448" s="170"/>
      <c r="D1448" s="172"/>
      <c r="F1448" s="173"/>
      <c r="G1448" s="173"/>
      <c r="H1448" s="173"/>
      <c r="I1448" s="173"/>
      <c r="J1448" s="173"/>
      <c r="K1448" s="173"/>
      <c r="L1448" s="173"/>
      <c r="M1448" s="173"/>
    </row>
    <row r="1449">
      <c r="C1449" s="170"/>
      <c r="D1449" s="172"/>
      <c r="F1449" s="173"/>
      <c r="G1449" s="173"/>
      <c r="H1449" s="173"/>
      <c r="I1449" s="173"/>
      <c r="J1449" s="173"/>
      <c r="K1449" s="173"/>
      <c r="L1449" s="173"/>
      <c r="M1449" s="173"/>
    </row>
    <row r="1450">
      <c r="C1450" s="170"/>
      <c r="D1450" s="172"/>
      <c r="F1450" s="173"/>
      <c r="G1450" s="173"/>
      <c r="H1450" s="173"/>
      <c r="I1450" s="173"/>
      <c r="J1450" s="173"/>
      <c r="K1450" s="173"/>
      <c r="L1450" s="173"/>
      <c r="M1450" s="173"/>
    </row>
    <row r="1451">
      <c r="C1451" s="170"/>
      <c r="D1451" s="172"/>
      <c r="F1451" s="173"/>
      <c r="G1451" s="173"/>
      <c r="H1451" s="173"/>
      <c r="I1451" s="173"/>
      <c r="J1451" s="173"/>
      <c r="K1451" s="173"/>
      <c r="L1451" s="173"/>
      <c r="M1451" s="173"/>
    </row>
    <row r="1452">
      <c r="C1452" s="170"/>
      <c r="D1452" s="172"/>
      <c r="F1452" s="173"/>
      <c r="G1452" s="173"/>
      <c r="H1452" s="173"/>
      <c r="I1452" s="173"/>
      <c r="J1452" s="173"/>
      <c r="K1452" s="173"/>
      <c r="L1452" s="173"/>
      <c r="M1452" s="173"/>
    </row>
    <row r="1453">
      <c r="C1453" s="170"/>
      <c r="D1453" s="172"/>
      <c r="F1453" s="173"/>
      <c r="G1453" s="173"/>
      <c r="H1453" s="173"/>
      <c r="I1453" s="173"/>
      <c r="J1453" s="173"/>
      <c r="K1453" s="173"/>
      <c r="L1453" s="173"/>
      <c r="M1453" s="173"/>
    </row>
    <row r="1454">
      <c r="C1454" s="170"/>
      <c r="D1454" s="172"/>
      <c r="F1454" s="173"/>
      <c r="G1454" s="173"/>
      <c r="H1454" s="173"/>
      <c r="I1454" s="173"/>
      <c r="J1454" s="173"/>
      <c r="K1454" s="173"/>
      <c r="L1454" s="173"/>
      <c r="M1454" s="173"/>
    </row>
    <row r="1455">
      <c r="C1455" s="170"/>
      <c r="D1455" s="172"/>
      <c r="F1455" s="173"/>
      <c r="G1455" s="173"/>
      <c r="H1455" s="173"/>
      <c r="I1455" s="173"/>
      <c r="J1455" s="173"/>
      <c r="K1455" s="173"/>
      <c r="L1455" s="173"/>
      <c r="M1455" s="173"/>
    </row>
    <row r="1456">
      <c r="C1456" s="170"/>
      <c r="D1456" s="172"/>
      <c r="F1456" s="173"/>
      <c r="G1456" s="173"/>
      <c r="H1456" s="173"/>
      <c r="I1456" s="173"/>
      <c r="J1456" s="173"/>
      <c r="K1456" s="173"/>
      <c r="L1456" s="173"/>
      <c r="M1456" s="173"/>
    </row>
    <row r="1457">
      <c r="C1457" s="170"/>
      <c r="D1457" s="172"/>
      <c r="F1457" s="173"/>
      <c r="G1457" s="173"/>
      <c r="H1457" s="173"/>
      <c r="I1457" s="173"/>
      <c r="J1457" s="173"/>
      <c r="K1457" s="173"/>
      <c r="L1457" s="173"/>
      <c r="M1457" s="173"/>
    </row>
    <row r="1458">
      <c r="C1458" s="170"/>
      <c r="D1458" s="172"/>
      <c r="F1458" s="173"/>
      <c r="G1458" s="173"/>
      <c r="H1458" s="173"/>
      <c r="I1458" s="173"/>
      <c r="J1458" s="173"/>
      <c r="K1458" s="173"/>
      <c r="L1458" s="173"/>
      <c r="M1458" s="173"/>
    </row>
    <row r="1459">
      <c r="C1459" s="170"/>
      <c r="D1459" s="172"/>
      <c r="F1459" s="173"/>
      <c r="G1459" s="173"/>
      <c r="H1459" s="173"/>
      <c r="I1459" s="173"/>
      <c r="J1459" s="173"/>
      <c r="K1459" s="173"/>
      <c r="L1459" s="173"/>
      <c r="M1459" s="173"/>
    </row>
    <row r="1460">
      <c r="C1460" s="170"/>
      <c r="D1460" s="172"/>
      <c r="F1460" s="173"/>
      <c r="G1460" s="173"/>
      <c r="H1460" s="173"/>
      <c r="I1460" s="173"/>
      <c r="J1460" s="173"/>
      <c r="K1460" s="173"/>
      <c r="L1460" s="173"/>
      <c r="M1460" s="173"/>
    </row>
    <row r="1461">
      <c r="C1461" s="170"/>
      <c r="D1461" s="172"/>
      <c r="F1461" s="173"/>
      <c r="G1461" s="173"/>
      <c r="H1461" s="173"/>
      <c r="I1461" s="173"/>
      <c r="J1461" s="173"/>
      <c r="K1461" s="173"/>
      <c r="L1461" s="173"/>
      <c r="M1461" s="173"/>
    </row>
    <row r="1462">
      <c r="C1462" s="170"/>
      <c r="D1462" s="172"/>
      <c r="F1462" s="173"/>
      <c r="G1462" s="173"/>
      <c r="H1462" s="173"/>
      <c r="I1462" s="173"/>
      <c r="J1462" s="173"/>
      <c r="K1462" s="173"/>
      <c r="L1462" s="173"/>
      <c r="M1462" s="173"/>
    </row>
    <row r="1463">
      <c r="C1463" s="170"/>
      <c r="D1463" s="172"/>
      <c r="F1463" s="173"/>
      <c r="G1463" s="173"/>
      <c r="H1463" s="173"/>
      <c r="I1463" s="173"/>
      <c r="J1463" s="173"/>
      <c r="K1463" s="173"/>
      <c r="L1463" s="173"/>
      <c r="M1463" s="173"/>
    </row>
    <row r="1464">
      <c r="C1464" s="170"/>
      <c r="D1464" s="172"/>
      <c r="F1464" s="173"/>
      <c r="G1464" s="173"/>
      <c r="H1464" s="173"/>
      <c r="I1464" s="173"/>
      <c r="J1464" s="173"/>
      <c r="K1464" s="173"/>
      <c r="L1464" s="173"/>
      <c r="M1464" s="173"/>
    </row>
    <row r="1465">
      <c r="C1465" s="170"/>
      <c r="D1465" s="172"/>
      <c r="F1465" s="173"/>
      <c r="G1465" s="173"/>
      <c r="H1465" s="173"/>
      <c r="I1465" s="173"/>
      <c r="J1465" s="173"/>
      <c r="K1465" s="173"/>
      <c r="L1465" s="173"/>
      <c r="M1465" s="173"/>
    </row>
    <row r="1466">
      <c r="C1466" s="170"/>
      <c r="D1466" s="172"/>
      <c r="F1466" s="173"/>
      <c r="G1466" s="173"/>
      <c r="H1466" s="173"/>
      <c r="I1466" s="173"/>
      <c r="J1466" s="173"/>
      <c r="K1466" s="173"/>
      <c r="L1466" s="173"/>
      <c r="M1466" s="173"/>
    </row>
    <row r="1467">
      <c r="C1467" s="170"/>
      <c r="D1467" s="172"/>
      <c r="F1467" s="173"/>
      <c r="G1467" s="173"/>
      <c r="H1467" s="173"/>
      <c r="I1467" s="173"/>
      <c r="J1467" s="173"/>
      <c r="K1467" s="173"/>
      <c r="L1467" s="173"/>
      <c r="M1467" s="173"/>
    </row>
    <row r="1468">
      <c r="C1468" s="170"/>
      <c r="D1468" s="172"/>
      <c r="F1468" s="173"/>
      <c r="G1468" s="173"/>
      <c r="H1468" s="173"/>
      <c r="I1468" s="173"/>
      <c r="J1468" s="173"/>
      <c r="K1468" s="173"/>
      <c r="L1468" s="173"/>
      <c r="M1468" s="173"/>
    </row>
    <row r="1469">
      <c r="C1469" s="170"/>
      <c r="D1469" s="172"/>
      <c r="F1469" s="173"/>
      <c r="G1469" s="173"/>
      <c r="H1469" s="173"/>
      <c r="I1469" s="173"/>
      <c r="J1469" s="173"/>
      <c r="K1469" s="173"/>
      <c r="L1469" s="173"/>
      <c r="M1469" s="173"/>
    </row>
    <row r="1470">
      <c r="C1470" s="170"/>
      <c r="D1470" s="172"/>
      <c r="F1470" s="173"/>
      <c r="G1470" s="173"/>
      <c r="H1470" s="173"/>
      <c r="I1470" s="173"/>
      <c r="J1470" s="173"/>
      <c r="K1470" s="173"/>
      <c r="L1470" s="173"/>
      <c r="M1470" s="173"/>
    </row>
    <row r="1471">
      <c r="C1471" s="170"/>
      <c r="D1471" s="172"/>
      <c r="F1471" s="173"/>
      <c r="G1471" s="173"/>
      <c r="H1471" s="173"/>
      <c r="I1471" s="173"/>
      <c r="J1471" s="173"/>
      <c r="K1471" s="173"/>
      <c r="L1471" s="173"/>
      <c r="M1471" s="173"/>
    </row>
    <row r="1472">
      <c r="C1472" s="170"/>
      <c r="D1472" s="172"/>
      <c r="F1472" s="173"/>
      <c r="G1472" s="173"/>
      <c r="H1472" s="173"/>
      <c r="I1472" s="173"/>
      <c r="J1472" s="173"/>
      <c r="K1472" s="173"/>
      <c r="L1472" s="173"/>
      <c r="M1472" s="173"/>
    </row>
    <row r="1473">
      <c r="C1473" s="170"/>
      <c r="D1473" s="172"/>
      <c r="F1473" s="173"/>
      <c r="G1473" s="173"/>
      <c r="H1473" s="173"/>
      <c r="I1473" s="173"/>
      <c r="J1473" s="173"/>
      <c r="K1473" s="173"/>
      <c r="L1473" s="173"/>
      <c r="M1473" s="173"/>
    </row>
    <row r="1474">
      <c r="C1474" s="170"/>
      <c r="D1474" s="172"/>
      <c r="F1474" s="173"/>
      <c r="G1474" s="173"/>
      <c r="H1474" s="173"/>
      <c r="I1474" s="173"/>
      <c r="J1474" s="173"/>
      <c r="K1474" s="173"/>
      <c r="L1474" s="173"/>
      <c r="M1474" s="173"/>
    </row>
    <row r="1475">
      <c r="C1475" s="170"/>
      <c r="D1475" s="172"/>
      <c r="F1475" s="173"/>
      <c r="G1475" s="173"/>
      <c r="H1475" s="173"/>
      <c r="I1475" s="173"/>
      <c r="J1475" s="173"/>
      <c r="K1475" s="173"/>
      <c r="L1475" s="173"/>
      <c r="M1475" s="173"/>
    </row>
    <row r="1476">
      <c r="C1476" s="170"/>
      <c r="D1476" s="172"/>
      <c r="F1476" s="173"/>
      <c r="G1476" s="173"/>
      <c r="H1476" s="173"/>
      <c r="I1476" s="173"/>
      <c r="J1476" s="173"/>
      <c r="K1476" s="173"/>
      <c r="L1476" s="173"/>
      <c r="M1476" s="173"/>
    </row>
    <row r="1477">
      <c r="C1477" s="170"/>
      <c r="D1477" s="172"/>
      <c r="F1477" s="173"/>
      <c r="G1477" s="173"/>
      <c r="H1477" s="173"/>
      <c r="I1477" s="173"/>
      <c r="J1477" s="173"/>
      <c r="K1477" s="173"/>
      <c r="L1477" s="173"/>
      <c r="M1477" s="173"/>
    </row>
    <row r="1478">
      <c r="C1478" s="170"/>
      <c r="D1478" s="172"/>
      <c r="F1478" s="173"/>
      <c r="G1478" s="173"/>
      <c r="H1478" s="173"/>
      <c r="I1478" s="173"/>
      <c r="J1478" s="173"/>
      <c r="K1478" s="173"/>
      <c r="L1478" s="173"/>
      <c r="M1478" s="173"/>
    </row>
    <row r="1479">
      <c r="C1479" s="170"/>
      <c r="D1479" s="172"/>
      <c r="F1479" s="173"/>
      <c r="G1479" s="173"/>
      <c r="H1479" s="173"/>
      <c r="I1479" s="173"/>
      <c r="J1479" s="173"/>
      <c r="K1479" s="173"/>
      <c r="L1479" s="173"/>
      <c r="M1479" s="173"/>
    </row>
    <row r="1480">
      <c r="C1480" s="170"/>
      <c r="D1480" s="172"/>
      <c r="F1480" s="173"/>
      <c r="G1480" s="173"/>
      <c r="H1480" s="173"/>
      <c r="I1480" s="173"/>
      <c r="J1480" s="173"/>
      <c r="K1480" s="173"/>
      <c r="L1480" s="173"/>
      <c r="M1480" s="173"/>
    </row>
    <row r="1481">
      <c r="C1481" s="170"/>
      <c r="D1481" s="172"/>
      <c r="F1481" s="173"/>
      <c r="G1481" s="173"/>
      <c r="H1481" s="173"/>
      <c r="I1481" s="173"/>
      <c r="J1481" s="173"/>
      <c r="K1481" s="173"/>
      <c r="L1481" s="173"/>
      <c r="M1481" s="173"/>
    </row>
    <row r="1482">
      <c r="C1482" s="170"/>
      <c r="D1482" s="172"/>
      <c r="F1482" s="173"/>
      <c r="G1482" s="173"/>
      <c r="H1482" s="173"/>
      <c r="I1482" s="173"/>
      <c r="J1482" s="173"/>
      <c r="K1482" s="173"/>
      <c r="L1482" s="173"/>
      <c r="M1482" s="173"/>
    </row>
    <row r="1483">
      <c r="C1483" s="170"/>
      <c r="D1483" s="172"/>
      <c r="F1483" s="173"/>
      <c r="G1483" s="173"/>
      <c r="H1483" s="173"/>
      <c r="I1483" s="173"/>
      <c r="J1483" s="173"/>
      <c r="K1483" s="173"/>
      <c r="L1483" s="173"/>
      <c r="M1483" s="173"/>
    </row>
    <row r="1484">
      <c r="C1484" s="170"/>
      <c r="D1484" s="172"/>
      <c r="F1484" s="173"/>
      <c r="G1484" s="173"/>
      <c r="H1484" s="173"/>
      <c r="I1484" s="173"/>
      <c r="J1484" s="173"/>
      <c r="K1484" s="173"/>
      <c r="L1484" s="173"/>
      <c r="M1484" s="173"/>
    </row>
    <row r="1485">
      <c r="C1485" s="170"/>
      <c r="D1485" s="172"/>
      <c r="F1485" s="173"/>
      <c r="G1485" s="173"/>
      <c r="H1485" s="173"/>
      <c r="I1485" s="173"/>
      <c r="J1485" s="173"/>
      <c r="K1485" s="173"/>
      <c r="L1485" s="173"/>
      <c r="M1485" s="173"/>
    </row>
    <row r="1486">
      <c r="C1486" s="170"/>
      <c r="D1486" s="172"/>
      <c r="F1486" s="173"/>
      <c r="G1486" s="173"/>
      <c r="H1486" s="173"/>
      <c r="I1486" s="173"/>
      <c r="J1486" s="173"/>
      <c r="K1486" s="173"/>
      <c r="L1486" s="173"/>
      <c r="M1486" s="173"/>
    </row>
    <row r="1487">
      <c r="C1487" s="170"/>
      <c r="D1487" s="172"/>
      <c r="F1487" s="173"/>
      <c r="G1487" s="173"/>
      <c r="H1487" s="173"/>
      <c r="I1487" s="173"/>
      <c r="J1487" s="173"/>
      <c r="K1487" s="173"/>
      <c r="L1487" s="173"/>
      <c r="M1487" s="173"/>
    </row>
    <row r="1488">
      <c r="C1488" s="170"/>
      <c r="D1488" s="172"/>
      <c r="F1488" s="173"/>
      <c r="G1488" s="173"/>
      <c r="H1488" s="173"/>
      <c r="I1488" s="173"/>
      <c r="J1488" s="173"/>
      <c r="K1488" s="173"/>
      <c r="L1488" s="173"/>
      <c r="M1488" s="173"/>
    </row>
    <row r="1489">
      <c r="C1489" s="170"/>
      <c r="D1489" s="172"/>
      <c r="F1489" s="173"/>
      <c r="G1489" s="173"/>
      <c r="H1489" s="173"/>
      <c r="I1489" s="173"/>
      <c r="J1489" s="173"/>
      <c r="K1489" s="173"/>
      <c r="L1489" s="173"/>
      <c r="M1489" s="173"/>
    </row>
    <row r="1490">
      <c r="C1490" s="170"/>
      <c r="D1490" s="172"/>
      <c r="F1490" s="173"/>
      <c r="G1490" s="173"/>
      <c r="H1490" s="173"/>
      <c r="I1490" s="173"/>
      <c r="J1490" s="173"/>
      <c r="K1490" s="173"/>
      <c r="L1490" s="173"/>
      <c r="M1490" s="173"/>
    </row>
    <row r="1491">
      <c r="C1491" s="170"/>
      <c r="D1491" s="172"/>
      <c r="F1491" s="173"/>
      <c r="G1491" s="173"/>
      <c r="H1491" s="173"/>
      <c r="I1491" s="173"/>
      <c r="J1491" s="173"/>
      <c r="K1491" s="173"/>
      <c r="L1491" s="173"/>
      <c r="M1491" s="173"/>
    </row>
    <row r="1492">
      <c r="C1492" s="170"/>
      <c r="D1492" s="172"/>
      <c r="F1492" s="173"/>
      <c r="G1492" s="173"/>
      <c r="H1492" s="173"/>
      <c r="I1492" s="173"/>
      <c r="J1492" s="173"/>
      <c r="K1492" s="173"/>
      <c r="L1492" s="173"/>
      <c r="M1492" s="173"/>
    </row>
    <row r="1493">
      <c r="C1493" s="170"/>
      <c r="D1493" s="172"/>
      <c r="F1493" s="173"/>
      <c r="G1493" s="173"/>
      <c r="H1493" s="173"/>
      <c r="I1493" s="173"/>
      <c r="J1493" s="173"/>
      <c r="K1493" s="173"/>
      <c r="L1493" s="173"/>
      <c r="M1493" s="173"/>
    </row>
    <row r="1494">
      <c r="C1494" s="170"/>
      <c r="D1494" s="172"/>
      <c r="F1494" s="173"/>
      <c r="G1494" s="173"/>
      <c r="H1494" s="173"/>
      <c r="I1494" s="173"/>
      <c r="J1494" s="173"/>
      <c r="K1494" s="173"/>
      <c r="L1494" s="173"/>
      <c r="M1494" s="173"/>
    </row>
    <row r="1495">
      <c r="C1495" s="170"/>
      <c r="D1495" s="172"/>
      <c r="F1495" s="173"/>
      <c r="G1495" s="173"/>
      <c r="H1495" s="173"/>
      <c r="I1495" s="173"/>
      <c r="J1495" s="173"/>
      <c r="K1495" s="173"/>
      <c r="L1495" s="173"/>
      <c r="M1495" s="173"/>
    </row>
    <row r="1496">
      <c r="C1496" s="170"/>
      <c r="D1496" s="172"/>
      <c r="F1496" s="173"/>
      <c r="G1496" s="173"/>
      <c r="H1496" s="173"/>
      <c r="I1496" s="173"/>
      <c r="J1496" s="173"/>
      <c r="K1496" s="173"/>
      <c r="L1496" s="173"/>
      <c r="M1496" s="173"/>
    </row>
    <row r="1497">
      <c r="C1497" s="170"/>
      <c r="D1497" s="172"/>
      <c r="F1497" s="173"/>
      <c r="G1497" s="173"/>
      <c r="H1497" s="173"/>
      <c r="I1497" s="173"/>
      <c r="J1497" s="173"/>
      <c r="K1497" s="173"/>
      <c r="L1497" s="173"/>
      <c r="M1497" s="173"/>
    </row>
    <row r="1498">
      <c r="C1498" s="170"/>
      <c r="D1498" s="172"/>
      <c r="F1498" s="173"/>
      <c r="G1498" s="173"/>
      <c r="H1498" s="173"/>
      <c r="I1498" s="173"/>
      <c r="J1498" s="173"/>
      <c r="K1498" s="173"/>
      <c r="L1498" s="173"/>
      <c r="M1498" s="173"/>
    </row>
    <row r="1499">
      <c r="C1499" s="170"/>
      <c r="D1499" s="172"/>
      <c r="F1499" s="173"/>
      <c r="G1499" s="173"/>
      <c r="H1499" s="173"/>
      <c r="I1499" s="173"/>
      <c r="J1499" s="173"/>
      <c r="K1499" s="173"/>
      <c r="L1499" s="173"/>
      <c r="M1499" s="173"/>
    </row>
    <row r="1500">
      <c r="C1500" s="170"/>
      <c r="D1500" s="172"/>
      <c r="F1500" s="173"/>
      <c r="G1500" s="173"/>
      <c r="H1500" s="173"/>
      <c r="I1500" s="173"/>
      <c r="J1500" s="173"/>
      <c r="K1500" s="173"/>
      <c r="L1500" s="173"/>
      <c r="M1500" s="173"/>
    </row>
    <row r="1501">
      <c r="C1501" s="170"/>
      <c r="D1501" s="172"/>
      <c r="F1501" s="173"/>
      <c r="G1501" s="173"/>
      <c r="H1501" s="173"/>
      <c r="I1501" s="173"/>
      <c r="J1501" s="173"/>
      <c r="K1501" s="173"/>
      <c r="L1501" s="173"/>
      <c r="M1501" s="173"/>
    </row>
    <row r="1502">
      <c r="C1502" s="170"/>
      <c r="D1502" s="172"/>
      <c r="F1502" s="173"/>
      <c r="G1502" s="173"/>
      <c r="H1502" s="173"/>
      <c r="I1502" s="173"/>
      <c r="J1502" s="173"/>
      <c r="K1502" s="173"/>
      <c r="L1502" s="173"/>
      <c r="M1502" s="173"/>
    </row>
    <row r="1503">
      <c r="C1503" s="170"/>
      <c r="D1503" s="172"/>
      <c r="F1503" s="173"/>
      <c r="G1503" s="173"/>
      <c r="H1503" s="173"/>
      <c r="I1503" s="173"/>
      <c r="J1503" s="173"/>
      <c r="K1503" s="173"/>
      <c r="L1503" s="173"/>
      <c r="M1503" s="173"/>
    </row>
    <row r="1504">
      <c r="C1504" s="170"/>
      <c r="D1504" s="172"/>
      <c r="F1504" s="173"/>
      <c r="G1504" s="173"/>
      <c r="H1504" s="173"/>
      <c r="I1504" s="173"/>
      <c r="J1504" s="173"/>
      <c r="K1504" s="173"/>
      <c r="L1504" s="173"/>
      <c r="M1504" s="173"/>
    </row>
    <row r="1505">
      <c r="C1505" s="170"/>
      <c r="D1505" s="172"/>
      <c r="F1505" s="173"/>
      <c r="G1505" s="173"/>
      <c r="H1505" s="173"/>
      <c r="I1505" s="173"/>
      <c r="J1505" s="173"/>
      <c r="K1505" s="173"/>
      <c r="L1505" s="173"/>
      <c r="M1505" s="173"/>
    </row>
    <row r="1506">
      <c r="C1506" s="170"/>
      <c r="D1506" s="172"/>
      <c r="F1506" s="173"/>
      <c r="G1506" s="173"/>
      <c r="H1506" s="173"/>
      <c r="I1506" s="173"/>
      <c r="J1506" s="173"/>
      <c r="K1506" s="173"/>
      <c r="L1506" s="173"/>
      <c r="M1506" s="173"/>
    </row>
    <row r="1507">
      <c r="C1507" s="170"/>
      <c r="D1507" s="172"/>
      <c r="F1507" s="173"/>
      <c r="G1507" s="173"/>
      <c r="H1507" s="173"/>
      <c r="I1507" s="173"/>
      <c r="J1507" s="173"/>
      <c r="K1507" s="173"/>
      <c r="L1507" s="173"/>
      <c r="M1507" s="173"/>
    </row>
    <row r="1508">
      <c r="C1508" s="170"/>
      <c r="D1508" s="172"/>
      <c r="F1508" s="173"/>
      <c r="G1508" s="173"/>
      <c r="H1508" s="173"/>
      <c r="I1508" s="173"/>
      <c r="J1508" s="173"/>
      <c r="K1508" s="173"/>
      <c r="L1508" s="173"/>
      <c r="M1508" s="173"/>
    </row>
    <row r="1509">
      <c r="C1509" s="170"/>
      <c r="D1509" s="172"/>
      <c r="F1509" s="173"/>
      <c r="G1509" s="173"/>
      <c r="H1509" s="173"/>
      <c r="I1509" s="173"/>
      <c r="J1509" s="173"/>
      <c r="K1509" s="173"/>
      <c r="L1509" s="173"/>
      <c r="M1509" s="173"/>
    </row>
    <row r="1510">
      <c r="C1510" s="170"/>
      <c r="D1510" s="172"/>
      <c r="F1510" s="173"/>
      <c r="G1510" s="173"/>
      <c r="H1510" s="173"/>
      <c r="I1510" s="173"/>
      <c r="J1510" s="173"/>
      <c r="K1510" s="173"/>
      <c r="L1510" s="173"/>
      <c r="M1510" s="173"/>
    </row>
    <row r="1511">
      <c r="C1511" s="170"/>
      <c r="D1511" s="172"/>
      <c r="F1511" s="173"/>
      <c r="G1511" s="173"/>
      <c r="H1511" s="173"/>
      <c r="I1511" s="173"/>
      <c r="J1511" s="173"/>
      <c r="K1511" s="173"/>
      <c r="L1511" s="173"/>
      <c r="M1511" s="173"/>
    </row>
    <row r="1512">
      <c r="C1512" s="170"/>
      <c r="D1512" s="172"/>
      <c r="F1512" s="173"/>
      <c r="G1512" s="173"/>
      <c r="H1512" s="173"/>
      <c r="I1512" s="173"/>
      <c r="J1512" s="173"/>
      <c r="K1512" s="173"/>
      <c r="L1512" s="173"/>
      <c r="M1512" s="173"/>
    </row>
    <row r="1513">
      <c r="C1513" s="170"/>
      <c r="D1513" s="172"/>
      <c r="F1513" s="173"/>
      <c r="G1513" s="173"/>
      <c r="H1513" s="173"/>
      <c r="I1513" s="173"/>
      <c r="J1513" s="173"/>
      <c r="K1513" s="173"/>
      <c r="L1513" s="173"/>
      <c r="M1513" s="173"/>
    </row>
    <row r="1514">
      <c r="C1514" s="170"/>
      <c r="D1514" s="172"/>
      <c r="F1514" s="173"/>
      <c r="G1514" s="173"/>
      <c r="H1514" s="173"/>
      <c r="I1514" s="173"/>
      <c r="J1514" s="173"/>
      <c r="K1514" s="173"/>
      <c r="L1514" s="173"/>
      <c r="M1514" s="173"/>
    </row>
    <row r="1515">
      <c r="C1515" s="170"/>
      <c r="D1515" s="172"/>
      <c r="F1515" s="173"/>
      <c r="G1515" s="173"/>
      <c r="H1515" s="173"/>
      <c r="I1515" s="173"/>
      <c r="J1515" s="173"/>
      <c r="K1515" s="173"/>
      <c r="L1515" s="173"/>
      <c r="M1515" s="173"/>
    </row>
    <row r="1516">
      <c r="C1516" s="170"/>
      <c r="D1516" s="172"/>
      <c r="F1516" s="173"/>
      <c r="G1516" s="173"/>
      <c r="H1516" s="173"/>
      <c r="I1516" s="173"/>
      <c r="J1516" s="173"/>
      <c r="K1516" s="173"/>
      <c r="L1516" s="173"/>
      <c r="M1516" s="173"/>
    </row>
    <row r="1517">
      <c r="C1517" s="170"/>
      <c r="D1517" s="172"/>
      <c r="F1517" s="173"/>
      <c r="G1517" s="173"/>
      <c r="H1517" s="173"/>
      <c r="I1517" s="173"/>
      <c r="J1517" s="173"/>
      <c r="K1517" s="173"/>
      <c r="L1517" s="173"/>
      <c r="M1517" s="173"/>
    </row>
    <row r="1518">
      <c r="C1518" s="170"/>
      <c r="D1518" s="172"/>
      <c r="F1518" s="173"/>
      <c r="G1518" s="173"/>
      <c r="H1518" s="173"/>
      <c r="I1518" s="173"/>
      <c r="J1518" s="173"/>
      <c r="K1518" s="173"/>
      <c r="L1518" s="173"/>
      <c r="M1518" s="173"/>
    </row>
    <row r="1519">
      <c r="C1519" s="170"/>
      <c r="D1519" s="172"/>
      <c r="F1519" s="173"/>
      <c r="G1519" s="173"/>
      <c r="H1519" s="173"/>
      <c r="I1519" s="173"/>
      <c r="J1519" s="173"/>
      <c r="K1519" s="173"/>
      <c r="L1519" s="173"/>
      <c r="M1519" s="173"/>
    </row>
    <row r="1520">
      <c r="C1520" s="170"/>
      <c r="D1520" s="172"/>
      <c r="F1520" s="173"/>
      <c r="G1520" s="173"/>
      <c r="H1520" s="173"/>
      <c r="I1520" s="173"/>
      <c r="J1520" s="173"/>
      <c r="K1520" s="173"/>
      <c r="L1520" s="173"/>
      <c r="M1520" s="173"/>
    </row>
    <row r="1521">
      <c r="C1521" s="170"/>
      <c r="D1521" s="172"/>
      <c r="F1521" s="173"/>
      <c r="G1521" s="173"/>
      <c r="H1521" s="173"/>
      <c r="I1521" s="173"/>
      <c r="J1521" s="173"/>
      <c r="K1521" s="173"/>
      <c r="L1521" s="173"/>
      <c r="M1521" s="173"/>
    </row>
    <row r="1522">
      <c r="C1522" s="170"/>
      <c r="D1522" s="172"/>
      <c r="F1522" s="173"/>
      <c r="G1522" s="173"/>
      <c r="H1522" s="173"/>
      <c r="I1522" s="173"/>
      <c r="J1522" s="173"/>
      <c r="K1522" s="173"/>
      <c r="L1522" s="173"/>
      <c r="M1522" s="173"/>
    </row>
    <row r="1523">
      <c r="C1523" s="170"/>
      <c r="D1523" s="172"/>
      <c r="F1523" s="173"/>
      <c r="G1523" s="173"/>
      <c r="H1523" s="173"/>
      <c r="I1523" s="173"/>
      <c r="J1523" s="173"/>
      <c r="K1523" s="173"/>
      <c r="L1523" s="173"/>
      <c r="M1523" s="173"/>
    </row>
    <row r="1524">
      <c r="C1524" s="170"/>
      <c r="D1524" s="172"/>
      <c r="F1524" s="173"/>
      <c r="G1524" s="173"/>
      <c r="H1524" s="173"/>
      <c r="I1524" s="173"/>
      <c r="J1524" s="173"/>
      <c r="K1524" s="173"/>
      <c r="L1524" s="173"/>
      <c r="M1524" s="173"/>
    </row>
    <row r="1525">
      <c r="C1525" s="170"/>
      <c r="D1525" s="172"/>
      <c r="F1525" s="173"/>
      <c r="G1525" s="173"/>
      <c r="H1525" s="173"/>
      <c r="I1525" s="173"/>
      <c r="J1525" s="173"/>
      <c r="K1525" s="173"/>
      <c r="L1525" s="173"/>
      <c r="M1525" s="173"/>
    </row>
    <row r="1526">
      <c r="C1526" s="170"/>
      <c r="D1526" s="172"/>
      <c r="F1526" s="173"/>
      <c r="G1526" s="173"/>
      <c r="H1526" s="173"/>
      <c r="I1526" s="173"/>
      <c r="J1526" s="173"/>
      <c r="K1526" s="173"/>
      <c r="L1526" s="173"/>
      <c r="M1526" s="173"/>
    </row>
    <row r="1527">
      <c r="C1527" s="170"/>
      <c r="D1527" s="172"/>
      <c r="F1527" s="173"/>
      <c r="G1527" s="173"/>
      <c r="H1527" s="173"/>
      <c r="I1527" s="173"/>
      <c r="J1527" s="173"/>
      <c r="K1527" s="173"/>
      <c r="L1527" s="173"/>
      <c r="M1527" s="173"/>
    </row>
    <row r="1528">
      <c r="C1528" s="170"/>
      <c r="D1528" s="172"/>
      <c r="F1528" s="173"/>
      <c r="G1528" s="173"/>
      <c r="H1528" s="173"/>
      <c r="I1528" s="173"/>
      <c r="J1528" s="173"/>
      <c r="K1528" s="173"/>
      <c r="L1528" s="173"/>
      <c r="M1528" s="173"/>
    </row>
    <row r="1529">
      <c r="C1529" s="170"/>
      <c r="D1529" s="172"/>
      <c r="F1529" s="173"/>
      <c r="G1529" s="173"/>
      <c r="H1529" s="173"/>
      <c r="I1529" s="173"/>
      <c r="J1529" s="173"/>
      <c r="K1529" s="173"/>
      <c r="L1529" s="173"/>
      <c r="M1529" s="173"/>
    </row>
    <row r="1530">
      <c r="C1530" s="170"/>
      <c r="D1530" s="172"/>
      <c r="F1530" s="173"/>
      <c r="G1530" s="173"/>
      <c r="H1530" s="173"/>
      <c r="I1530" s="173"/>
      <c r="J1530" s="173"/>
      <c r="K1530" s="173"/>
      <c r="L1530" s="173"/>
      <c r="M1530" s="173"/>
    </row>
    <row r="1531">
      <c r="C1531" s="170"/>
      <c r="D1531" s="172"/>
      <c r="F1531" s="173"/>
      <c r="G1531" s="173"/>
      <c r="H1531" s="173"/>
      <c r="I1531" s="173"/>
      <c r="J1531" s="173"/>
      <c r="K1531" s="173"/>
      <c r="L1531" s="173"/>
      <c r="M1531" s="173"/>
    </row>
    <row r="1532">
      <c r="C1532" s="170"/>
      <c r="D1532" s="172"/>
      <c r="F1532" s="173"/>
      <c r="G1532" s="173"/>
      <c r="H1532" s="173"/>
      <c r="I1532" s="173"/>
      <c r="J1532" s="173"/>
      <c r="K1532" s="173"/>
      <c r="L1532" s="173"/>
      <c r="M1532" s="173"/>
    </row>
    <row r="1533">
      <c r="C1533" s="170"/>
      <c r="D1533" s="172"/>
      <c r="F1533" s="173"/>
      <c r="G1533" s="173"/>
      <c r="H1533" s="173"/>
      <c r="I1533" s="173"/>
      <c r="J1533" s="173"/>
      <c r="K1533" s="173"/>
      <c r="L1533" s="173"/>
      <c r="M1533" s="173"/>
    </row>
    <row r="1534">
      <c r="C1534" s="170"/>
      <c r="D1534" s="172"/>
      <c r="F1534" s="173"/>
      <c r="G1534" s="173"/>
      <c r="H1534" s="173"/>
      <c r="I1534" s="173"/>
      <c r="J1534" s="173"/>
      <c r="K1534" s="173"/>
      <c r="L1534" s="173"/>
      <c r="M1534" s="173"/>
    </row>
    <row r="1535">
      <c r="C1535" s="170"/>
      <c r="D1535" s="172"/>
      <c r="F1535" s="173"/>
      <c r="G1535" s="173"/>
      <c r="H1535" s="173"/>
      <c r="I1535" s="173"/>
      <c r="J1535" s="173"/>
      <c r="K1535" s="173"/>
      <c r="L1535" s="173"/>
      <c r="M1535" s="173"/>
    </row>
    <row r="1536">
      <c r="C1536" s="170"/>
      <c r="D1536" s="172"/>
      <c r="F1536" s="173"/>
      <c r="G1536" s="173"/>
      <c r="H1536" s="173"/>
      <c r="I1536" s="173"/>
      <c r="J1536" s="173"/>
      <c r="K1536" s="173"/>
      <c r="L1536" s="173"/>
      <c r="M1536" s="173"/>
    </row>
    <row r="1537">
      <c r="C1537" s="170"/>
      <c r="D1537" s="172"/>
      <c r="F1537" s="173"/>
      <c r="G1537" s="173"/>
      <c r="H1537" s="173"/>
      <c r="I1537" s="173"/>
      <c r="J1537" s="173"/>
      <c r="K1537" s="173"/>
      <c r="L1537" s="173"/>
      <c r="M1537" s="173"/>
    </row>
    <row r="1538">
      <c r="C1538" s="170"/>
      <c r="D1538" s="172"/>
      <c r="F1538" s="173"/>
      <c r="G1538" s="173"/>
      <c r="H1538" s="173"/>
      <c r="I1538" s="173"/>
      <c r="J1538" s="173"/>
      <c r="K1538" s="173"/>
      <c r="L1538" s="173"/>
      <c r="M1538" s="173"/>
    </row>
    <row r="1539">
      <c r="C1539" s="170"/>
      <c r="D1539" s="172"/>
      <c r="F1539" s="173"/>
      <c r="G1539" s="173"/>
      <c r="H1539" s="173"/>
      <c r="I1539" s="173"/>
      <c r="J1539" s="173"/>
      <c r="K1539" s="173"/>
      <c r="L1539" s="173"/>
      <c r="M1539" s="173"/>
    </row>
    <row r="1540">
      <c r="C1540" s="170"/>
      <c r="D1540" s="172"/>
      <c r="F1540" s="173"/>
      <c r="G1540" s="173"/>
      <c r="H1540" s="173"/>
      <c r="I1540" s="173"/>
      <c r="J1540" s="173"/>
      <c r="K1540" s="173"/>
      <c r="L1540" s="173"/>
      <c r="M1540" s="173"/>
    </row>
    <row r="1541">
      <c r="C1541" s="170"/>
      <c r="D1541" s="172"/>
      <c r="F1541" s="173"/>
      <c r="G1541" s="173"/>
      <c r="H1541" s="173"/>
      <c r="I1541" s="173"/>
      <c r="J1541" s="173"/>
      <c r="K1541" s="173"/>
      <c r="L1541" s="173"/>
      <c r="M1541" s="173"/>
    </row>
    <row r="1542">
      <c r="C1542" s="170"/>
      <c r="D1542" s="172"/>
      <c r="F1542" s="173"/>
      <c r="G1542" s="173"/>
      <c r="H1542" s="173"/>
      <c r="I1542" s="173"/>
      <c r="J1542" s="173"/>
      <c r="K1542" s="173"/>
      <c r="L1542" s="173"/>
      <c r="M1542" s="173"/>
    </row>
    <row r="1543">
      <c r="C1543" s="170"/>
      <c r="D1543" s="172"/>
      <c r="F1543" s="173"/>
      <c r="G1543" s="173"/>
      <c r="H1543" s="173"/>
      <c r="I1543" s="173"/>
      <c r="J1543" s="173"/>
      <c r="K1543" s="173"/>
      <c r="L1543" s="173"/>
      <c r="M1543" s="173"/>
    </row>
    <row r="1544">
      <c r="C1544" s="170"/>
      <c r="D1544" s="172"/>
      <c r="F1544" s="173"/>
      <c r="G1544" s="173"/>
      <c r="H1544" s="173"/>
      <c r="I1544" s="173"/>
      <c r="J1544" s="173"/>
      <c r="K1544" s="173"/>
      <c r="L1544" s="173"/>
      <c r="M1544" s="173"/>
    </row>
    <row r="1545">
      <c r="C1545" s="170"/>
      <c r="D1545" s="172"/>
      <c r="F1545" s="173"/>
      <c r="G1545" s="173"/>
      <c r="H1545" s="173"/>
      <c r="I1545" s="173"/>
      <c r="J1545" s="173"/>
      <c r="K1545" s="173"/>
      <c r="L1545" s="173"/>
      <c r="M1545" s="173"/>
    </row>
    <row r="1546">
      <c r="C1546" s="170"/>
      <c r="D1546" s="172"/>
      <c r="F1546" s="173"/>
      <c r="G1546" s="173"/>
      <c r="H1546" s="173"/>
      <c r="I1546" s="173"/>
      <c r="J1546" s="173"/>
      <c r="K1546" s="173"/>
      <c r="L1546" s="173"/>
      <c r="M1546" s="173"/>
    </row>
    <row r="1547">
      <c r="C1547" s="170"/>
      <c r="D1547" s="172"/>
      <c r="F1547" s="173"/>
      <c r="G1547" s="173"/>
      <c r="H1547" s="173"/>
      <c r="I1547" s="173"/>
      <c r="J1547" s="173"/>
      <c r="K1547" s="173"/>
      <c r="L1547" s="173"/>
      <c r="M1547" s="173"/>
    </row>
    <row r="1548">
      <c r="C1548" s="170"/>
      <c r="D1548" s="172"/>
      <c r="F1548" s="173"/>
      <c r="G1548" s="173"/>
      <c r="H1548" s="173"/>
      <c r="I1548" s="173"/>
      <c r="J1548" s="173"/>
      <c r="K1548" s="173"/>
      <c r="L1548" s="173"/>
      <c r="M1548" s="173"/>
    </row>
    <row r="1549">
      <c r="C1549" s="170"/>
      <c r="D1549" s="172"/>
      <c r="F1549" s="173"/>
      <c r="G1549" s="173"/>
      <c r="H1549" s="173"/>
      <c r="I1549" s="173"/>
      <c r="J1549" s="173"/>
      <c r="K1549" s="173"/>
      <c r="L1549" s="173"/>
      <c r="M1549" s="173"/>
    </row>
    <row r="1550">
      <c r="C1550" s="170"/>
      <c r="D1550" s="172"/>
      <c r="F1550" s="173"/>
      <c r="G1550" s="173"/>
      <c r="H1550" s="173"/>
      <c r="I1550" s="173"/>
      <c r="J1550" s="173"/>
      <c r="K1550" s="173"/>
      <c r="L1550" s="173"/>
      <c r="M1550" s="173"/>
    </row>
    <row r="1551">
      <c r="C1551" s="170"/>
      <c r="D1551" s="172"/>
      <c r="F1551" s="173"/>
      <c r="G1551" s="173"/>
      <c r="H1551" s="173"/>
      <c r="I1551" s="173"/>
      <c r="J1551" s="173"/>
      <c r="K1551" s="173"/>
      <c r="L1551" s="173"/>
      <c r="M1551" s="173"/>
    </row>
    <row r="1552">
      <c r="C1552" s="170"/>
      <c r="D1552" s="172"/>
      <c r="F1552" s="173"/>
      <c r="G1552" s="173"/>
      <c r="H1552" s="173"/>
      <c r="I1552" s="173"/>
      <c r="J1552" s="173"/>
      <c r="K1552" s="173"/>
      <c r="L1552" s="173"/>
      <c r="M1552" s="173"/>
    </row>
    <row r="1553">
      <c r="C1553" s="170"/>
      <c r="D1553" s="172"/>
      <c r="F1553" s="173"/>
      <c r="G1553" s="173"/>
      <c r="H1553" s="173"/>
      <c r="I1553" s="173"/>
      <c r="J1553" s="173"/>
      <c r="K1553" s="173"/>
      <c r="L1553" s="173"/>
      <c r="M1553" s="173"/>
    </row>
    <row r="1554">
      <c r="C1554" s="170"/>
      <c r="D1554" s="172"/>
      <c r="F1554" s="173"/>
      <c r="G1554" s="173"/>
      <c r="H1554" s="173"/>
      <c r="I1554" s="173"/>
      <c r="J1554" s="173"/>
      <c r="K1554" s="173"/>
      <c r="L1554" s="173"/>
      <c r="M1554" s="173"/>
    </row>
    <row r="1555">
      <c r="C1555" s="170"/>
      <c r="D1555" s="172"/>
      <c r="F1555" s="173"/>
      <c r="G1555" s="173"/>
      <c r="H1555" s="173"/>
      <c r="I1555" s="173"/>
      <c r="J1555" s="173"/>
      <c r="K1555" s="173"/>
      <c r="L1555" s="173"/>
      <c r="M1555" s="173"/>
    </row>
    <row r="1556">
      <c r="C1556" s="170"/>
      <c r="D1556" s="172"/>
      <c r="F1556" s="173"/>
      <c r="G1556" s="173"/>
      <c r="H1556" s="173"/>
      <c r="I1556" s="173"/>
      <c r="J1556" s="173"/>
      <c r="K1556" s="173"/>
      <c r="L1556" s="173"/>
      <c r="M1556" s="173"/>
    </row>
    <row r="1557">
      <c r="C1557" s="170"/>
      <c r="D1557" s="172"/>
      <c r="F1557" s="173"/>
      <c r="G1557" s="173"/>
      <c r="H1557" s="173"/>
      <c r="I1557" s="173"/>
      <c r="J1557" s="173"/>
      <c r="K1557" s="173"/>
      <c r="L1557" s="173"/>
      <c r="M1557" s="173"/>
    </row>
    <row r="1558">
      <c r="C1558" s="170"/>
      <c r="D1558" s="172"/>
      <c r="F1558" s="173"/>
      <c r="G1558" s="173"/>
      <c r="H1558" s="173"/>
      <c r="I1558" s="173"/>
      <c r="J1558" s="173"/>
      <c r="K1558" s="173"/>
      <c r="L1558" s="173"/>
      <c r="M1558" s="173"/>
    </row>
    <row r="1559">
      <c r="C1559" s="170"/>
      <c r="D1559" s="172"/>
      <c r="F1559" s="173"/>
      <c r="G1559" s="173"/>
      <c r="H1559" s="173"/>
      <c r="I1559" s="173"/>
      <c r="J1559" s="173"/>
      <c r="K1559" s="173"/>
      <c r="L1559" s="173"/>
      <c r="M1559" s="173"/>
    </row>
    <row r="1560">
      <c r="C1560" s="170"/>
      <c r="D1560" s="172"/>
      <c r="F1560" s="173"/>
      <c r="G1560" s="173"/>
      <c r="H1560" s="173"/>
      <c r="I1560" s="173"/>
      <c r="J1560" s="173"/>
      <c r="K1560" s="173"/>
      <c r="L1560" s="173"/>
      <c r="M1560" s="173"/>
    </row>
    <row r="1561">
      <c r="C1561" s="170"/>
      <c r="D1561" s="172"/>
      <c r="F1561" s="173"/>
      <c r="G1561" s="173"/>
      <c r="H1561" s="173"/>
      <c r="I1561" s="173"/>
      <c r="J1561" s="173"/>
      <c r="K1561" s="173"/>
      <c r="L1561" s="173"/>
      <c r="M1561" s="173"/>
    </row>
    <row r="1562">
      <c r="C1562" s="170"/>
      <c r="D1562" s="172"/>
      <c r="F1562" s="173"/>
      <c r="G1562" s="173"/>
      <c r="H1562" s="173"/>
      <c r="I1562" s="173"/>
      <c r="J1562" s="173"/>
      <c r="K1562" s="173"/>
      <c r="L1562" s="173"/>
      <c r="M1562" s="173"/>
    </row>
    <row r="1563">
      <c r="C1563" s="170"/>
      <c r="D1563" s="172"/>
      <c r="F1563" s="173"/>
      <c r="G1563" s="173"/>
      <c r="H1563" s="173"/>
      <c r="I1563" s="173"/>
      <c r="J1563" s="173"/>
      <c r="K1563" s="173"/>
      <c r="L1563" s="173"/>
      <c r="M1563" s="173"/>
    </row>
    <row r="1564">
      <c r="C1564" s="170"/>
      <c r="D1564" s="172"/>
      <c r="F1564" s="173"/>
      <c r="G1564" s="173"/>
      <c r="H1564" s="173"/>
      <c r="I1564" s="173"/>
      <c r="J1564" s="173"/>
      <c r="K1564" s="173"/>
      <c r="L1564" s="173"/>
      <c r="M1564" s="173"/>
    </row>
    <row r="1565">
      <c r="C1565" s="170"/>
      <c r="D1565" s="172"/>
      <c r="F1565" s="173"/>
      <c r="G1565" s="173"/>
      <c r="H1565" s="173"/>
      <c r="I1565" s="173"/>
      <c r="J1565" s="173"/>
      <c r="K1565" s="173"/>
      <c r="L1565" s="173"/>
      <c r="M1565" s="173"/>
    </row>
    <row r="1566">
      <c r="C1566" s="170"/>
      <c r="D1566" s="172"/>
      <c r="F1566" s="173"/>
      <c r="G1566" s="173"/>
      <c r="H1566" s="173"/>
      <c r="I1566" s="173"/>
      <c r="J1566" s="173"/>
      <c r="K1566" s="173"/>
      <c r="L1566" s="173"/>
      <c r="M1566" s="173"/>
    </row>
    <row r="1567">
      <c r="C1567" s="170"/>
      <c r="D1567" s="172"/>
      <c r="F1567" s="173"/>
      <c r="G1567" s="173"/>
      <c r="H1567" s="173"/>
      <c r="I1567" s="173"/>
      <c r="J1567" s="173"/>
      <c r="K1567" s="173"/>
      <c r="L1567" s="173"/>
      <c r="M1567" s="173"/>
    </row>
    <row r="1568">
      <c r="C1568" s="170"/>
      <c r="D1568" s="172"/>
      <c r="F1568" s="173"/>
      <c r="G1568" s="173"/>
      <c r="H1568" s="173"/>
      <c r="I1568" s="173"/>
      <c r="J1568" s="173"/>
      <c r="K1568" s="173"/>
      <c r="L1568" s="173"/>
      <c r="M1568" s="173"/>
    </row>
    <row r="1569">
      <c r="C1569" s="170"/>
      <c r="D1569" s="172"/>
      <c r="F1569" s="173"/>
      <c r="G1569" s="173"/>
      <c r="H1569" s="173"/>
      <c r="I1569" s="173"/>
      <c r="J1569" s="173"/>
      <c r="K1569" s="173"/>
      <c r="L1569" s="173"/>
      <c r="M1569" s="173"/>
    </row>
    <row r="1570">
      <c r="C1570" s="170"/>
      <c r="D1570" s="172"/>
      <c r="F1570" s="173"/>
      <c r="G1570" s="173"/>
      <c r="H1570" s="173"/>
      <c r="I1570" s="173"/>
      <c r="J1570" s="173"/>
      <c r="K1570" s="173"/>
      <c r="L1570" s="173"/>
      <c r="M1570" s="173"/>
    </row>
    <row r="1571">
      <c r="C1571" s="170"/>
      <c r="D1571" s="172"/>
      <c r="F1571" s="173"/>
      <c r="G1571" s="173"/>
      <c r="H1571" s="173"/>
      <c r="I1571" s="173"/>
      <c r="J1571" s="173"/>
      <c r="K1571" s="173"/>
      <c r="L1571" s="173"/>
      <c r="M1571" s="173"/>
    </row>
    <row r="1572">
      <c r="C1572" s="170"/>
      <c r="D1572" s="172"/>
      <c r="F1572" s="173"/>
      <c r="G1572" s="173"/>
      <c r="H1572" s="173"/>
      <c r="I1572" s="173"/>
      <c r="J1572" s="173"/>
      <c r="K1572" s="173"/>
      <c r="L1572" s="173"/>
      <c r="M1572" s="173"/>
    </row>
    <row r="1573">
      <c r="C1573" s="170"/>
      <c r="D1573" s="172"/>
      <c r="F1573" s="173"/>
      <c r="G1573" s="173"/>
      <c r="H1573" s="173"/>
      <c r="I1573" s="173"/>
      <c r="J1573" s="173"/>
      <c r="K1573" s="173"/>
      <c r="L1573" s="173"/>
      <c r="M1573" s="173"/>
    </row>
    <row r="1574">
      <c r="C1574" s="170"/>
      <c r="D1574" s="172"/>
      <c r="F1574" s="173"/>
      <c r="G1574" s="173"/>
      <c r="H1574" s="173"/>
      <c r="I1574" s="173"/>
      <c r="J1574" s="173"/>
      <c r="K1574" s="173"/>
      <c r="L1574" s="173"/>
      <c r="M1574" s="173"/>
    </row>
    <row r="1575">
      <c r="C1575" s="170"/>
      <c r="D1575" s="172"/>
      <c r="F1575" s="173"/>
      <c r="G1575" s="173"/>
      <c r="H1575" s="173"/>
      <c r="I1575" s="173"/>
      <c r="J1575" s="173"/>
      <c r="K1575" s="173"/>
      <c r="L1575" s="173"/>
      <c r="M1575" s="173"/>
    </row>
    <row r="1576">
      <c r="C1576" s="170"/>
      <c r="D1576" s="172"/>
      <c r="F1576" s="173"/>
      <c r="G1576" s="173"/>
      <c r="H1576" s="173"/>
      <c r="I1576" s="173"/>
      <c r="J1576" s="173"/>
      <c r="K1576" s="173"/>
      <c r="L1576" s="173"/>
      <c r="M1576" s="173"/>
    </row>
    <row r="1577">
      <c r="C1577" s="170"/>
      <c r="D1577" s="172"/>
      <c r="F1577" s="173"/>
      <c r="G1577" s="173"/>
      <c r="H1577" s="173"/>
      <c r="I1577" s="173"/>
      <c r="J1577" s="173"/>
      <c r="K1577" s="173"/>
      <c r="L1577" s="173"/>
      <c r="M1577" s="173"/>
    </row>
    <row r="1578">
      <c r="C1578" s="170"/>
      <c r="D1578" s="172"/>
      <c r="F1578" s="173"/>
      <c r="G1578" s="173"/>
      <c r="H1578" s="173"/>
      <c r="I1578" s="173"/>
      <c r="J1578" s="173"/>
      <c r="K1578" s="173"/>
      <c r="L1578" s="173"/>
      <c r="M1578" s="173"/>
    </row>
    <row r="1579">
      <c r="C1579" s="170"/>
      <c r="D1579" s="172"/>
      <c r="F1579" s="173"/>
      <c r="G1579" s="173"/>
      <c r="H1579" s="173"/>
      <c r="I1579" s="173"/>
      <c r="J1579" s="173"/>
      <c r="K1579" s="173"/>
      <c r="L1579" s="173"/>
      <c r="M1579" s="173"/>
    </row>
    <row r="1580">
      <c r="C1580" s="170"/>
      <c r="D1580" s="172"/>
      <c r="F1580" s="173"/>
      <c r="G1580" s="173"/>
      <c r="H1580" s="173"/>
      <c r="I1580" s="173"/>
      <c r="J1580" s="173"/>
      <c r="K1580" s="173"/>
      <c r="L1580" s="173"/>
      <c r="M1580" s="173"/>
    </row>
    <row r="1581">
      <c r="C1581" s="170"/>
      <c r="D1581" s="172"/>
      <c r="F1581" s="173"/>
      <c r="G1581" s="173"/>
      <c r="H1581" s="173"/>
      <c r="I1581" s="173"/>
      <c r="J1581" s="173"/>
      <c r="K1581" s="173"/>
      <c r="L1581" s="173"/>
      <c r="M1581" s="173"/>
    </row>
    <row r="1582">
      <c r="C1582" s="170"/>
      <c r="D1582" s="172"/>
      <c r="F1582" s="173"/>
      <c r="G1582" s="173"/>
      <c r="H1582" s="173"/>
      <c r="I1582" s="173"/>
      <c r="J1582" s="173"/>
      <c r="K1582" s="173"/>
      <c r="L1582" s="173"/>
      <c r="M1582" s="173"/>
    </row>
    <row r="1583">
      <c r="C1583" s="170"/>
      <c r="D1583" s="172"/>
      <c r="F1583" s="173"/>
      <c r="G1583" s="173"/>
      <c r="H1583" s="173"/>
      <c r="I1583" s="173"/>
      <c r="J1583" s="173"/>
      <c r="K1583" s="173"/>
      <c r="L1583" s="173"/>
      <c r="M1583" s="173"/>
    </row>
    <row r="1584">
      <c r="C1584" s="170"/>
      <c r="D1584" s="172"/>
      <c r="F1584" s="173"/>
      <c r="G1584" s="173"/>
      <c r="H1584" s="173"/>
      <c r="I1584" s="173"/>
      <c r="J1584" s="173"/>
      <c r="K1584" s="173"/>
      <c r="L1584" s="173"/>
      <c r="M1584" s="173"/>
    </row>
    <row r="1585">
      <c r="C1585" s="170"/>
      <c r="D1585" s="172"/>
      <c r="F1585" s="173"/>
      <c r="G1585" s="173"/>
      <c r="H1585" s="173"/>
      <c r="I1585" s="173"/>
      <c r="J1585" s="173"/>
      <c r="K1585" s="173"/>
      <c r="L1585" s="173"/>
      <c r="M1585" s="173"/>
    </row>
    <row r="1586">
      <c r="C1586" s="170"/>
      <c r="D1586" s="172"/>
      <c r="F1586" s="173"/>
      <c r="G1586" s="173"/>
      <c r="H1586" s="173"/>
      <c r="I1586" s="173"/>
      <c r="J1586" s="173"/>
      <c r="K1586" s="173"/>
      <c r="L1586" s="173"/>
      <c r="M1586" s="173"/>
    </row>
    <row r="1587">
      <c r="C1587" s="170"/>
      <c r="D1587" s="172"/>
      <c r="F1587" s="173"/>
      <c r="G1587" s="173"/>
      <c r="H1587" s="173"/>
      <c r="I1587" s="173"/>
      <c r="J1587" s="173"/>
      <c r="K1587" s="173"/>
      <c r="L1587" s="173"/>
      <c r="M1587" s="173"/>
    </row>
    <row r="1588">
      <c r="C1588" s="170"/>
      <c r="D1588" s="172"/>
      <c r="F1588" s="173"/>
      <c r="G1588" s="173"/>
      <c r="H1588" s="173"/>
      <c r="I1588" s="173"/>
      <c r="J1588" s="173"/>
      <c r="K1588" s="173"/>
      <c r="L1588" s="173"/>
      <c r="M1588" s="173"/>
    </row>
    <row r="1589">
      <c r="C1589" s="170"/>
      <c r="D1589" s="172"/>
      <c r="F1589" s="173"/>
      <c r="G1589" s="173"/>
      <c r="H1589" s="173"/>
      <c r="I1589" s="173"/>
      <c r="J1589" s="173"/>
      <c r="K1589" s="173"/>
      <c r="L1589" s="173"/>
      <c r="M1589" s="173"/>
    </row>
    <row r="1590">
      <c r="C1590" s="170"/>
      <c r="D1590" s="172"/>
      <c r="F1590" s="173"/>
      <c r="G1590" s="173"/>
      <c r="H1590" s="173"/>
      <c r="I1590" s="173"/>
      <c r="J1590" s="173"/>
      <c r="K1590" s="173"/>
      <c r="L1590" s="173"/>
      <c r="M1590" s="173"/>
    </row>
    <row r="1591">
      <c r="C1591" s="170"/>
      <c r="D1591" s="172"/>
      <c r="F1591" s="173"/>
      <c r="G1591" s="173"/>
      <c r="H1591" s="173"/>
      <c r="I1591" s="173"/>
      <c r="J1591" s="173"/>
      <c r="K1591" s="173"/>
      <c r="L1591" s="173"/>
      <c r="M1591" s="173"/>
    </row>
    <row r="1592">
      <c r="C1592" s="170"/>
      <c r="D1592" s="172"/>
      <c r="F1592" s="173"/>
      <c r="G1592" s="173"/>
      <c r="H1592" s="173"/>
      <c r="I1592" s="173"/>
      <c r="J1592" s="173"/>
      <c r="K1592" s="173"/>
      <c r="L1592" s="173"/>
      <c r="M1592" s="173"/>
    </row>
    <row r="1593">
      <c r="C1593" s="170"/>
      <c r="D1593" s="172"/>
      <c r="F1593" s="173"/>
      <c r="G1593" s="173"/>
      <c r="H1593" s="173"/>
      <c r="I1593" s="173"/>
      <c r="J1593" s="173"/>
      <c r="K1593" s="173"/>
      <c r="L1593" s="173"/>
      <c r="M1593" s="173"/>
    </row>
    <row r="1594">
      <c r="C1594" s="170"/>
      <c r="D1594" s="172"/>
      <c r="F1594" s="173"/>
      <c r="G1594" s="173"/>
      <c r="H1594" s="173"/>
      <c r="I1594" s="173"/>
      <c r="J1594" s="173"/>
      <c r="K1594" s="173"/>
      <c r="L1594" s="173"/>
      <c r="M1594" s="173"/>
    </row>
    <row r="1595">
      <c r="C1595" s="170"/>
      <c r="D1595" s="172"/>
      <c r="F1595" s="173"/>
      <c r="G1595" s="173"/>
      <c r="H1595" s="173"/>
      <c r="I1595" s="173"/>
      <c r="J1595" s="173"/>
      <c r="K1595" s="173"/>
      <c r="L1595" s="173"/>
      <c r="M1595" s="173"/>
    </row>
    <row r="1596">
      <c r="C1596" s="170"/>
      <c r="D1596" s="172"/>
      <c r="F1596" s="173"/>
      <c r="G1596" s="173"/>
      <c r="H1596" s="173"/>
      <c r="I1596" s="173"/>
      <c r="J1596" s="173"/>
      <c r="K1596" s="173"/>
      <c r="L1596" s="173"/>
      <c r="M1596" s="173"/>
    </row>
    <row r="1597">
      <c r="C1597" s="170"/>
      <c r="D1597" s="172"/>
      <c r="F1597" s="173"/>
      <c r="G1597" s="173"/>
      <c r="H1597" s="173"/>
      <c r="I1597" s="173"/>
      <c r="J1597" s="173"/>
      <c r="K1597" s="173"/>
      <c r="L1597" s="173"/>
      <c r="M1597" s="173"/>
    </row>
    <row r="1598">
      <c r="C1598" s="170"/>
      <c r="D1598" s="172"/>
      <c r="F1598" s="173"/>
      <c r="G1598" s="173"/>
      <c r="H1598" s="173"/>
      <c r="I1598" s="173"/>
      <c r="J1598" s="173"/>
      <c r="K1598" s="173"/>
      <c r="L1598" s="173"/>
      <c r="M1598" s="173"/>
    </row>
    <row r="1599">
      <c r="C1599" s="170"/>
      <c r="D1599" s="172"/>
      <c r="F1599" s="173"/>
      <c r="G1599" s="173"/>
      <c r="H1599" s="173"/>
      <c r="I1599" s="173"/>
      <c r="J1599" s="173"/>
      <c r="K1599" s="173"/>
      <c r="L1599" s="173"/>
      <c r="M1599" s="173"/>
    </row>
    <row r="1600">
      <c r="C1600" s="170"/>
      <c r="D1600" s="172"/>
      <c r="F1600" s="173"/>
      <c r="G1600" s="173"/>
      <c r="H1600" s="173"/>
      <c r="I1600" s="173"/>
      <c r="J1600" s="173"/>
      <c r="K1600" s="173"/>
      <c r="L1600" s="173"/>
      <c r="M1600" s="173"/>
    </row>
    <row r="1601">
      <c r="C1601" s="170"/>
      <c r="D1601" s="172"/>
      <c r="F1601" s="173"/>
      <c r="G1601" s="173"/>
      <c r="H1601" s="173"/>
      <c r="I1601" s="173"/>
      <c r="J1601" s="173"/>
      <c r="K1601" s="173"/>
      <c r="L1601" s="173"/>
      <c r="M1601" s="173"/>
    </row>
    <row r="1602">
      <c r="C1602" s="170"/>
      <c r="D1602" s="172"/>
      <c r="F1602" s="173"/>
      <c r="G1602" s="173"/>
      <c r="H1602" s="173"/>
      <c r="I1602" s="173"/>
      <c r="J1602" s="173"/>
      <c r="K1602" s="173"/>
      <c r="L1602" s="173"/>
      <c r="M1602" s="173"/>
    </row>
    <row r="1603">
      <c r="C1603" s="170"/>
      <c r="D1603" s="172"/>
      <c r="F1603" s="173"/>
      <c r="G1603" s="173"/>
      <c r="H1603" s="173"/>
      <c r="I1603" s="173"/>
      <c r="J1603" s="173"/>
      <c r="K1603" s="173"/>
      <c r="L1603" s="173"/>
      <c r="M1603" s="173"/>
    </row>
    <row r="1604">
      <c r="C1604" s="170"/>
      <c r="D1604" s="172"/>
      <c r="F1604" s="173"/>
      <c r="G1604" s="173"/>
      <c r="H1604" s="173"/>
      <c r="I1604" s="173"/>
      <c r="J1604" s="173"/>
      <c r="K1604" s="173"/>
      <c r="L1604" s="173"/>
      <c r="M1604" s="173"/>
    </row>
    <row r="1605">
      <c r="C1605" s="170"/>
      <c r="D1605" s="172"/>
      <c r="F1605" s="173"/>
      <c r="G1605" s="173"/>
      <c r="H1605" s="173"/>
      <c r="I1605" s="173"/>
      <c r="J1605" s="173"/>
      <c r="K1605" s="173"/>
      <c r="L1605" s="173"/>
      <c r="M1605" s="173"/>
    </row>
    <row r="1606">
      <c r="C1606" s="170"/>
      <c r="D1606" s="172"/>
      <c r="F1606" s="173"/>
      <c r="G1606" s="173"/>
      <c r="H1606" s="173"/>
      <c r="I1606" s="173"/>
      <c r="J1606" s="173"/>
      <c r="K1606" s="173"/>
      <c r="L1606" s="173"/>
      <c r="M1606" s="173"/>
    </row>
    <row r="1607">
      <c r="C1607" s="170"/>
      <c r="D1607" s="172"/>
      <c r="F1607" s="173"/>
      <c r="G1607" s="173"/>
      <c r="H1607" s="173"/>
      <c r="I1607" s="173"/>
      <c r="J1607" s="173"/>
      <c r="K1607" s="173"/>
      <c r="L1607" s="173"/>
      <c r="M1607" s="173"/>
    </row>
    <row r="1608">
      <c r="C1608" s="170"/>
      <c r="D1608" s="172"/>
      <c r="F1608" s="173"/>
      <c r="G1608" s="173"/>
      <c r="H1608" s="173"/>
      <c r="I1608" s="173"/>
      <c r="J1608" s="173"/>
      <c r="K1608" s="173"/>
      <c r="L1608" s="173"/>
      <c r="M1608" s="173"/>
    </row>
    <row r="1609">
      <c r="C1609" s="170"/>
      <c r="D1609" s="172"/>
      <c r="F1609" s="173"/>
      <c r="G1609" s="173"/>
      <c r="H1609" s="173"/>
      <c r="I1609" s="173"/>
      <c r="J1609" s="173"/>
      <c r="K1609" s="173"/>
      <c r="L1609" s="173"/>
      <c r="M1609" s="173"/>
    </row>
    <row r="1610">
      <c r="C1610" s="170"/>
      <c r="D1610" s="172"/>
      <c r="F1610" s="173"/>
      <c r="G1610" s="173"/>
      <c r="H1610" s="173"/>
      <c r="I1610" s="173"/>
      <c r="J1610" s="173"/>
      <c r="K1610" s="173"/>
      <c r="L1610" s="173"/>
      <c r="M1610" s="173"/>
    </row>
    <row r="1611">
      <c r="C1611" s="170"/>
      <c r="D1611" s="172"/>
      <c r="F1611" s="173"/>
      <c r="G1611" s="173"/>
      <c r="H1611" s="173"/>
      <c r="I1611" s="173"/>
      <c r="J1611" s="173"/>
      <c r="K1611" s="173"/>
      <c r="L1611" s="173"/>
      <c r="M1611" s="173"/>
    </row>
    <row r="1612">
      <c r="C1612" s="170"/>
      <c r="D1612" s="172"/>
      <c r="F1612" s="173"/>
      <c r="G1612" s="173"/>
      <c r="H1612" s="173"/>
      <c r="I1612" s="173"/>
      <c r="J1612" s="173"/>
      <c r="K1612" s="173"/>
      <c r="L1612" s="173"/>
      <c r="M1612" s="173"/>
    </row>
    <row r="1613">
      <c r="C1613" s="170"/>
      <c r="D1613" s="172"/>
      <c r="F1613" s="173"/>
      <c r="G1613" s="173"/>
      <c r="H1613" s="173"/>
      <c r="I1613" s="173"/>
      <c r="J1613" s="173"/>
      <c r="K1613" s="173"/>
      <c r="L1613" s="173"/>
      <c r="M1613" s="173"/>
    </row>
    <row r="1614">
      <c r="C1614" s="170"/>
      <c r="D1614" s="172"/>
      <c r="F1614" s="173"/>
      <c r="G1614" s="173"/>
      <c r="H1614" s="173"/>
      <c r="I1614" s="173"/>
      <c r="J1614" s="173"/>
      <c r="K1614" s="173"/>
      <c r="L1614" s="173"/>
      <c r="M1614" s="173"/>
    </row>
    <row r="1615">
      <c r="C1615" s="170"/>
      <c r="D1615" s="172"/>
      <c r="F1615" s="173"/>
      <c r="G1615" s="173"/>
      <c r="H1615" s="173"/>
      <c r="I1615" s="173"/>
      <c r="J1615" s="173"/>
      <c r="K1615" s="173"/>
      <c r="L1615" s="173"/>
      <c r="M1615" s="173"/>
    </row>
    <row r="1616">
      <c r="C1616" s="170"/>
      <c r="D1616" s="172"/>
      <c r="F1616" s="173"/>
      <c r="G1616" s="173"/>
      <c r="H1616" s="173"/>
      <c r="I1616" s="173"/>
      <c r="J1616" s="173"/>
      <c r="K1616" s="173"/>
      <c r="L1616" s="173"/>
      <c r="M1616" s="173"/>
    </row>
    <row r="1617">
      <c r="C1617" s="170"/>
      <c r="D1617" s="172"/>
      <c r="F1617" s="173"/>
      <c r="G1617" s="173"/>
      <c r="H1617" s="173"/>
      <c r="I1617" s="173"/>
      <c r="J1617" s="173"/>
      <c r="K1617" s="173"/>
      <c r="L1617" s="173"/>
      <c r="M1617" s="173"/>
    </row>
    <row r="1618">
      <c r="C1618" s="170"/>
      <c r="D1618" s="172"/>
      <c r="F1618" s="173"/>
      <c r="G1618" s="173"/>
      <c r="H1618" s="173"/>
      <c r="I1618" s="173"/>
      <c r="J1618" s="173"/>
      <c r="K1618" s="173"/>
      <c r="L1618" s="173"/>
      <c r="M1618" s="173"/>
    </row>
    <row r="1619">
      <c r="C1619" s="170"/>
      <c r="D1619" s="172"/>
      <c r="F1619" s="173"/>
      <c r="G1619" s="173"/>
      <c r="H1619" s="173"/>
      <c r="I1619" s="173"/>
      <c r="J1619" s="173"/>
      <c r="K1619" s="173"/>
      <c r="L1619" s="173"/>
      <c r="M1619" s="173"/>
    </row>
    <row r="1620">
      <c r="C1620" s="170"/>
      <c r="D1620" s="172"/>
      <c r="F1620" s="173"/>
      <c r="G1620" s="173"/>
      <c r="H1620" s="173"/>
      <c r="I1620" s="173"/>
      <c r="J1620" s="173"/>
      <c r="K1620" s="173"/>
      <c r="L1620" s="173"/>
      <c r="M1620" s="173"/>
    </row>
    <row r="1621">
      <c r="C1621" s="170"/>
      <c r="D1621" s="172"/>
      <c r="F1621" s="173"/>
      <c r="G1621" s="173"/>
      <c r="H1621" s="173"/>
      <c r="I1621" s="173"/>
      <c r="J1621" s="173"/>
      <c r="K1621" s="173"/>
      <c r="L1621" s="173"/>
      <c r="M1621" s="173"/>
    </row>
    <row r="1622">
      <c r="C1622" s="170"/>
      <c r="D1622" s="172"/>
      <c r="F1622" s="173"/>
      <c r="G1622" s="173"/>
      <c r="H1622" s="173"/>
      <c r="I1622" s="173"/>
      <c r="J1622" s="173"/>
      <c r="K1622" s="173"/>
      <c r="L1622" s="173"/>
      <c r="M1622" s="173"/>
    </row>
    <row r="1623">
      <c r="C1623" s="170"/>
      <c r="D1623" s="172"/>
      <c r="F1623" s="173"/>
      <c r="G1623" s="173"/>
      <c r="H1623" s="173"/>
      <c r="I1623" s="173"/>
      <c r="J1623" s="173"/>
      <c r="K1623" s="173"/>
      <c r="L1623" s="173"/>
      <c r="M1623" s="173"/>
    </row>
    <row r="1624">
      <c r="C1624" s="170"/>
      <c r="D1624" s="172"/>
      <c r="F1624" s="173"/>
      <c r="G1624" s="173"/>
      <c r="H1624" s="173"/>
      <c r="I1624" s="173"/>
      <c r="J1624" s="173"/>
      <c r="K1624" s="173"/>
      <c r="L1624" s="173"/>
      <c r="M1624" s="173"/>
    </row>
    <row r="1625">
      <c r="C1625" s="170"/>
      <c r="D1625" s="172"/>
      <c r="F1625" s="173"/>
      <c r="G1625" s="173"/>
      <c r="H1625" s="173"/>
      <c r="I1625" s="173"/>
      <c r="J1625" s="173"/>
      <c r="K1625" s="173"/>
      <c r="L1625" s="173"/>
      <c r="M1625" s="173"/>
    </row>
    <row r="1626">
      <c r="C1626" s="170"/>
      <c r="D1626" s="172"/>
      <c r="F1626" s="173"/>
      <c r="G1626" s="173"/>
      <c r="H1626" s="173"/>
      <c r="I1626" s="173"/>
      <c r="J1626" s="173"/>
      <c r="K1626" s="173"/>
      <c r="L1626" s="173"/>
      <c r="M1626" s="173"/>
    </row>
    <row r="1627">
      <c r="C1627" s="170"/>
      <c r="D1627" s="172"/>
      <c r="F1627" s="173"/>
      <c r="G1627" s="173"/>
      <c r="H1627" s="173"/>
      <c r="I1627" s="173"/>
      <c r="J1627" s="173"/>
      <c r="K1627" s="173"/>
      <c r="L1627" s="173"/>
      <c r="M1627" s="173"/>
    </row>
    <row r="1628">
      <c r="C1628" s="170"/>
      <c r="D1628" s="172"/>
      <c r="F1628" s="173"/>
      <c r="G1628" s="173"/>
      <c r="H1628" s="173"/>
      <c r="I1628" s="173"/>
      <c r="J1628" s="173"/>
      <c r="K1628" s="173"/>
      <c r="L1628" s="173"/>
      <c r="M1628" s="173"/>
    </row>
    <row r="1629">
      <c r="C1629" s="170"/>
      <c r="D1629" s="172"/>
      <c r="F1629" s="173"/>
      <c r="G1629" s="173"/>
      <c r="H1629" s="173"/>
      <c r="I1629" s="173"/>
      <c r="J1629" s="173"/>
      <c r="K1629" s="173"/>
      <c r="L1629" s="173"/>
      <c r="M1629" s="173"/>
    </row>
    <row r="1630">
      <c r="C1630" s="170"/>
      <c r="D1630" s="172"/>
      <c r="F1630" s="173"/>
      <c r="G1630" s="173"/>
      <c r="H1630" s="173"/>
      <c r="I1630" s="173"/>
      <c r="J1630" s="173"/>
      <c r="K1630" s="173"/>
      <c r="L1630" s="173"/>
      <c r="M1630" s="173"/>
    </row>
    <row r="1631">
      <c r="C1631" s="170"/>
      <c r="D1631" s="172"/>
      <c r="F1631" s="173"/>
      <c r="G1631" s="173"/>
      <c r="H1631" s="173"/>
      <c r="I1631" s="173"/>
      <c r="J1631" s="173"/>
      <c r="K1631" s="173"/>
      <c r="L1631" s="173"/>
      <c r="M1631" s="173"/>
    </row>
    <row r="1632">
      <c r="C1632" s="170"/>
      <c r="D1632" s="172"/>
      <c r="F1632" s="173"/>
      <c r="G1632" s="173"/>
      <c r="H1632" s="173"/>
      <c r="I1632" s="173"/>
      <c r="J1632" s="173"/>
      <c r="K1632" s="173"/>
      <c r="L1632" s="173"/>
      <c r="M1632" s="173"/>
    </row>
    <row r="1633">
      <c r="C1633" s="170"/>
      <c r="D1633" s="172"/>
      <c r="F1633" s="173"/>
      <c r="G1633" s="173"/>
      <c r="H1633" s="173"/>
      <c r="I1633" s="173"/>
      <c r="J1633" s="173"/>
      <c r="K1633" s="173"/>
      <c r="L1633" s="173"/>
      <c r="M1633" s="173"/>
    </row>
    <row r="1634">
      <c r="C1634" s="170"/>
      <c r="D1634" s="172"/>
      <c r="F1634" s="173"/>
      <c r="G1634" s="173"/>
      <c r="H1634" s="173"/>
      <c r="I1634" s="173"/>
      <c r="J1634" s="173"/>
      <c r="K1634" s="173"/>
      <c r="L1634" s="173"/>
      <c r="M1634" s="173"/>
    </row>
    <row r="1635">
      <c r="C1635" s="170"/>
      <c r="D1635" s="172"/>
      <c r="F1635" s="173"/>
      <c r="G1635" s="173"/>
      <c r="H1635" s="173"/>
      <c r="I1635" s="173"/>
      <c r="J1635" s="173"/>
      <c r="K1635" s="173"/>
      <c r="L1635" s="173"/>
      <c r="M1635" s="173"/>
    </row>
    <row r="1636">
      <c r="C1636" s="170"/>
      <c r="D1636" s="172"/>
      <c r="F1636" s="173"/>
      <c r="G1636" s="173"/>
      <c r="H1636" s="173"/>
      <c r="I1636" s="173"/>
      <c r="J1636" s="173"/>
      <c r="K1636" s="173"/>
      <c r="L1636" s="173"/>
      <c r="M1636" s="173"/>
    </row>
    <row r="1637">
      <c r="C1637" s="170"/>
      <c r="D1637" s="172"/>
      <c r="F1637" s="173"/>
      <c r="G1637" s="173"/>
      <c r="H1637" s="173"/>
      <c r="I1637" s="173"/>
      <c r="J1637" s="173"/>
      <c r="K1637" s="173"/>
      <c r="L1637" s="173"/>
      <c r="M1637" s="173"/>
    </row>
    <row r="1638">
      <c r="C1638" s="170"/>
      <c r="D1638" s="172"/>
      <c r="F1638" s="173"/>
      <c r="G1638" s="173"/>
      <c r="H1638" s="173"/>
      <c r="I1638" s="173"/>
      <c r="J1638" s="173"/>
      <c r="K1638" s="173"/>
      <c r="L1638" s="173"/>
      <c r="M1638" s="173"/>
    </row>
    <row r="1639">
      <c r="C1639" s="170"/>
      <c r="D1639" s="172"/>
      <c r="F1639" s="173"/>
      <c r="G1639" s="173"/>
      <c r="H1639" s="173"/>
      <c r="I1639" s="173"/>
      <c r="J1639" s="173"/>
      <c r="K1639" s="173"/>
      <c r="L1639" s="173"/>
      <c r="M1639" s="173"/>
    </row>
    <row r="1640">
      <c r="C1640" s="170"/>
      <c r="D1640" s="172"/>
      <c r="F1640" s="173"/>
      <c r="G1640" s="173"/>
      <c r="H1640" s="173"/>
      <c r="I1640" s="173"/>
      <c r="J1640" s="173"/>
      <c r="K1640" s="173"/>
      <c r="L1640" s="173"/>
      <c r="M1640" s="173"/>
    </row>
    <row r="1641">
      <c r="C1641" s="170"/>
      <c r="D1641" s="172"/>
      <c r="F1641" s="173"/>
      <c r="G1641" s="173"/>
      <c r="H1641" s="173"/>
      <c r="I1641" s="173"/>
      <c r="J1641" s="173"/>
      <c r="K1641" s="173"/>
      <c r="L1641" s="173"/>
      <c r="M1641" s="173"/>
    </row>
    <row r="1642">
      <c r="C1642" s="170"/>
      <c r="D1642" s="172"/>
      <c r="F1642" s="173"/>
      <c r="G1642" s="173"/>
      <c r="H1642" s="173"/>
      <c r="I1642" s="173"/>
      <c r="J1642" s="173"/>
      <c r="K1642" s="173"/>
      <c r="L1642" s="173"/>
      <c r="M1642" s="173"/>
    </row>
    <row r="1643">
      <c r="C1643" s="170"/>
      <c r="D1643" s="172"/>
      <c r="F1643" s="173"/>
      <c r="G1643" s="173"/>
      <c r="H1643" s="173"/>
      <c r="I1643" s="173"/>
      <c r="J1643" s="173"/>
      <c r="K1643" s="173"/>
      <c r="L1643" s="173"/>
      <c r="M1643" s="173"/>
    </row>
    <row r="1644">
      <c r="C1644" s="170"/>
      <c r="D1644" s="172"/>
      <c r="F1644" s="173"/>
      <c r="G1644" s="173"/>
      <c r="H1644" s="173"/>
      <c r="I1644" s="173"/>
      <c r="J1644" s="173"/>
      <c r="K1644" s="173"/>
      <c r="L1644" s="173"/>
      <c r="M1644" s="173"/>
    </row>
    <row r="1645">
      <c r="C1645" s="170"/>
      <c r="D1645" s="172"/>
      <c r="F1645" s="173"/>
      <c r="G1645" s="173"/>
      <c r="H1645" s="173"/>
      <c r="I1645" s="173"/>
      <c r="J1645" s="173"/>
      <c r="K1645" s="173"/>
      <c r="L1645" s="173"/>
      <c r="M1645" s="173"/>
    </row>
    <row r="1646">
      <c r="C1646" s="170"/>
      <c r="D1646" s="172"/>
      <c r="F1646" s="173"/>
      <c r="G1646" s="173"/>
      <c r="H1646" s="173"/>
      <c r="I1646" s="173"/>
      <c r="J1646" s="173"/>
      <c r="K1646" s="173"/>
      <c r="L1646" s="173"/>
      <c r="M1646" s="173"/>
    </row>
    <row r="1647">
      <c r="C1647" s="170"/>
      <c r="D1647" s="172"/>
      <c r="F1647" s="173"/>
      <c r="G1647" s="173"/>
      <c r="H1647" s="173"/>
      <c r="I1647" s="173"/>
      <c r="J1647" s="173"/>
      <c r="K1647" s="173"/>
      <c r="L1647" s="173"/>
      <c r="M1647" s="173"/>
    </row>
    <row r="1648">
      <c r="C1648" s="170"/>
      <c r="D1648" s="172"/>
      <c r="F1648" s="173"/>
      <c r="G1648" s="173"/>
      <c r="H1648" s="173"/>
      <c r="I1648" s="173"/>
      <c r="J1648" s="173"/>
      <c r="K1648" s="173"/>
      <c r="L1648" s="173"/>
      <c r="M1648" s="173"/>
    </row>
    <row r="1649">
      <c r="C1649" s="170"/>
      <c r="D1649" s="172"/>
      <c r="F1649" s="173"/>
      <c r="G1649" s="173"/>
      <c r="H1649" s="173"/>
      <c r="I1649" s="173"/>
      <c r="J1649" s="173"/>
      <c r="K1649" s="173"/>
      <c r="L1649" s="173"/>
      <c r="M1649" s="173"/>
    </row>
    <row r="1650">
      <c r="C1650" s="170"/>
      <c r="D1650" s="172"/>
      <c r="F1650" s="173"/>
      <c r="G1650" s="173"/>
      <c r="H1650" s="173"/>
      <c r="I1650" s="173"/>
      <c r="J1650" s="173"/>
      <c r="K1650" s="173"/>
      <c r="L1650" s="173"/>
      <c r="M1650" s="173"/>
    </row>
    <row r="1651">
      <c r="C1651" s="170"/>
      <c r="D1651" s="172"/>
      <c r="F1651" s="173"/>
      <c r="G1651" s="173"/>
      <c r="H1651" s="173"/>
      <c r="I1651" s="173"/>
      <c r="J1651" s="173"/>
      <c r="K1651" s="173"/>
      <c r="L1651" s="173"/>
      <c r="M1651" s="173"/>
    </row>
    <row r="1652">
      <c r="C1652" s="170"/>
      <c r="D1652" s="172"/>
      <c r="F1652" s="173"/>
      <c r="G1652" s="173"/>
      <c r="H1652" s="173"/>
      <c r="I1652" s="173"/>
      <c r="J1652" s="173"/>
      <c r="K1652" s="173"/>
      <c r="L1652" s="173"/>
      <c r="M1652" s="173"/>
    </row>
    <row r="1653">
      <c r="C1653" s="170"/>
      <c r="D1653" s="172"/>
      <c r="F1653" s="173"/>
      <c r="G1653" s="173"/>
      <c r="H1653" s="173"/>
      <c r="I1653" s="173"/>
      <c r="J1653" s="173"/>
      <c r="K1653" s="173"/>
      <c r="L1653" s="173"/>
      <c r="M1653" s="173"/>
    </row>
    <row r="1654">
      <c r="C1654" s="170"/>
      <c r="D1654" s="172"/>
      <c r="F1654" s="173"/>
      <c r="G1654" s="173"/>
      <c r="H1654" s="173"/>
      <c r="I1654" s="173"/>
      <c r="J1654" s="173"/>
      <c r="K1654" s="173"/>
      <c r="L1654" s="173"/>
      <c r="M1654" s="173"/>
    </row>
    <row r="1655">
      <c r="C1655" s="170"/>
      <c r="D1655" s="172"/>
      <c r="F1655" s="173"/>
      <c r="G1655" s="173"/>
      <c r="H1655" s="173"/>
      <c r="I1655" s="173"/>
      <c r="J1655" s="173"/>
      <c r="K1655" s="173"/>
      <c r="L1655" s="173"/>
      <c r="M1655" s="173"/>
    </row>
    <row r="1656">
      <c r="C1656" s="170"/>
      <c r="D1656" s="172"/>
      <c r="F1656" s="173"/>
      <c r="G1656" s="173"/>
      <c r="H1656" s="173"/>
      <c r="I1656" s="173"/>
      <c r="J1656" s="173"/>
      <c r="K1656" s="173"/>
      <c r="L1656" s="173"/>
      <c r="M1656" s="173"/>
    </row>
    <row r="1657">
      <c r="C1657" s="170"/>
      <c r="D1657" s="172"/>
      <c r="F1657" s="173"/>
      <c r="G1657" s="173"/>
      <c r="H1657" s="173"/>
      <c r="I1657" s="173"/>
      <c r="J1657" s="173"/>
      <c r="K1657" s="173"/>
      <c r="L1657" s="173"/>
      <c r="M1657" s="173"/>
    </row>
    <row r="1658">
      <c r="C1658" s="170"/>
      <c r="D1658" s="172"/>
      <c r="F1658" s="173"/>
      <c r="G1658" s="173"/>
      <c r="H1658" s="173"/>
      <c r="I1658" s="173"/>
      <c r="J1658" s="173"/>
      <c r="K1658" s="173"/>
      <c r="L1658" s="173"/>
      <c r="M1658" s="173"/>
    </row>
    <row r="1659">
      <c r="C1659" s="170"/>
      <c r="D1659" s="172"/>
      <c r="F1659" s="173"/>
      <c r="G1659" s="173"/>
      <c r="H1659" s="173"/>
      <c r="I1659" s="173"/>
      <c r="J1659" s="173"/>
      <c r="K1659" s="173"/>
      <c r="L1659" s="173"/>
      <c r="M1659" s="173"/>
    </row>
    <row r="1660">
      <c r="C1660" s="170"/>
      <c r="D1660" s="172"/>
      <c r="F1660" s="173"/>
      <c r="G1660" s="173"/>
      <c r="H1660" s="173"/>
      <c r="I1660" s="173"/>
      <c r="J1660" s="173"/>
      <c r="K1660" s="173"/>
      <c r="L1660" s="173"/>
      <c r="M1660" s="173"/>
    </row>
    <row r="1661">
      <c r="C1661" s="170"/>
      <c r="D1661" s="172"/>
      <c r="F1661" s="173"/>
      <c r="G1661" s="173"/>
      <c r="H1661" s="173"/>
      <c r="I1661" s="173"/>
      <c r="J1661" s="173"/>
      <c r="K1661" s="173"/>
      <c r="L1661" s="173"/>
      <c r="M1661" s="173"/>
    </row>
    <row r="1662">
      <c r="C1662" s="170"/>
      <c r="D1662" s="172"/>
      <c r="F1662" s="173"/>
      <c r="G1662" s="173"/>
      <c r="H1662" s="173"/>
      <c r="I1662" s="173"/>
      <c r="J1662" s="173"/>
      <c r="K1662" s="173"/>
      <c r="L1662" s="173"/>
      <c r="M1662" s="173"/>
    </row>
    <row r="1663">
      <c r="C1663" s="170"/>
      <c r="D1663" s="172"/>
      <c r="F1663" s="173"/>
      <c r="G1663" s="173"/>
      <c r="H1663" s="173"/>
      <c r="I1663" s="173"/>
      <c r="J1663" s="173"/>
      <c r="K1663" s="173"/>
      <c r="L1663" s="173"/>
      <c r="M1663" s="173"/>
    </row>
    <row r="1664">
      <c r="C1664" s="170"/>
      <c r="D1664" s="172"/>
      <c r="F1664" s="173"/>
      <c r="G1664" s="173"/>
      <c r="H1664" s="173"/>
      <c r="I1664" s="173"/>
      <c r="J1664" s="173"/>
      <c r="K1664" s="173"/>
      <c r="L1664" s="173"/>
      <c r="M1664" s="173"/>
    </row>
    <row r="1665">
      <c r="C1665" s="170"/>
      <c r="D1665" s="172"/>
      <c r="F1665" s="173"/>
      <c r="G1665" s="173"/>
      <c r="H1665" s="173"/>
      <c r="I1665" s="173"/>
      <c r="J1665" s="173"/>
      <c r="K1665" s="173"/>
      <c r="L1665" s="173"/>
      <c r="M1665" s="173"/>
    </row>
    <row r="1666">
      <c r="C1666" s="170"/>
      <c r="D1666" s="172"/>
      <c r="F1666" s="173"/>
      <c r="G1666" s="173"/>
      <c r="H1666" s="173"/>
      <c r="I1666" s="173"/>
      <c r="J1666" s="173"/>
      <c r="K1666" s="173"/>
      <c r="L1666" s="173"/>
      <c r="M1666" s="173"/>
    </row>
    <row r="1667">
      <c r="C1667" s="170"/>
      <c r="D1667" s="172"/>
      <c r="F1667" s="173"/>
      <c r="G1667" s="173"/>
      <c r="H1667" s="173"/>
      <c r="I1667" s="173"/>
      <c r="J1667" s="173"/>
      <c r="K1667" s="173"/>
      <c r="L1667" s="173"/>
      <c r="M1667" s="173"/>
    </row>
    <row r="1668">
      <c r="C1668" s="170"/>
      <c r="D1668" s="172"/>
      <c r="F1668" s="173"/>
      <c r="G1668" s="173"/>
      <c r="H1668" s="173"/>
      <c r="I1668" s="173"/>
      <c r="J1668" s="173"/>
      <c r="K1668" s="173"/>
      <c r="L1668" s="173"/>
      <c r="M1668" s="173"/>
    </row>
    <row r="1669">
      <c r="C1669" s="170"/>
      <c r="D1669" s="172"/>
      <c r="F1669" s="173"/>
      <c r="G1669" s="173"/>
      <c r="H1669" s="173"/>
      <c r="I1669" s="173"/>
      <c r="J1669" s="173"/>
      <c r="K1669" s="173"/>
      <c r="L1669" s="173"/>
      <c r="M1669" s="173"/>
    </row>
    <row r="1670">
      <c r="C1670" s="170"/>
      <c r="D1670" s="172"/>
      <c r="F1670" s="173"/>
      <c r="G1670" s="173"/>
      <c r="H1670" s="173"/>
      <c r="I1670" s="173"/>
      <c r="J1670" s="173"/>
      <c r="K1670" s="173"/>
      <c r="L1670" s="173"/>
      <c r="M1670" s="173"/>
    </row>
    <row r="1671">
      <c r="C1671" s="170"/>
      <c r="D1671" s="172"/>
      <c r="F1671" s="173"/>
      <c r="G1671" s="173"/>
      <c r="H1671" s="173"/>
      <c r="I1671" s="173"/>
      <c r="J1671" s="173"/>
      <c r="K1671" s="173"/>
      <c r="L1671" s="173"/>
      <c r="M1671" s="173"/>
    </row>
    <row r="1672">
      <c r="C1672" s="170"/>
      <c r="D1672" s="172"/>
      <c r="F1672" s="173"/>
      <c r="G1672" s="173"/>
      <c r="H1672" s="173"/>
      <c r="I1672" s="173"/>
      <c r="J1672" s="173"/>
      <c r="K1672" s="173"/>
      <c r="L1672" s="173"/>
      <c r="M1672" s="173"/>
    </row>
    <row r="1673">
      <c r="C1673" s="170"/>
      <c r="D1673" s="172"/>
      <c r="F1673" s="173"/>
      <c r="G1673" s="173"/>
      <c r="H1673" s="173"/>
      <c r="I1673" s="173"/>
      <c r="J1673" s="173"/>
      <c r="K1673" s="173"/>
      <c r="L1673" s="173"/>
      <c r="M1673" s="173"/>
    </row>
    <row r="1674">
      <c r="C1674" s="170"/>
      <c r="D1674" s="172"/>
      <c r="F1674" s="173"/>
      <c r="G1674" s="173"/>
      <c r="H1674" s="173"/>
      <c r="I1674" s="173"/>
      <c r="J1674" s="173"/>
      <c r="K1674" s="173"/>
      <c r="L1674" s="173"/>
      <c r="M1674" s="173"/>
    </row>
    <row r="1675">
      <c r="C1675" s="170"/>
      <c r="D1675" s="172"/>
      <c r="F1675" s="173"/>
      <c r="G1675" s="173"/>
      <c r="H1675" s="173"/>
      <c r="I1675" s="173"/>
      <c r="J1675" s="173"/>
      <c r="K1675" s="173"/>
      <c r="L1675" s="173"/>
      <c r="M1675" s="173"/>
    </row>
    <row r="1676">
      <c r="C1676" s="170"/>
      <c r="D1676" s="172"/>
      <c r="F1676" s="173"/>
      <c r="G1676" s="173"/>
      <c r="H1676" s="173"/>
      <c r="I1676" s="173"/>
      <c r="J1676" s="173"/>
      <c r="K1676" s="173"/>
      <c r="L1676" s="173"/>
      <c r="M1676" s="173"/>
    </row>
    <row r="1677">
      <c r="C1677" s="170"/>
      <c r="D1677" s="172"/>
      <c r="F1677" s="173"/>
      <c r="G1677" s="173"/>
      <c r="H1677" s="173"/>
      <c r="I1677" s="173"/>
      <c r="J1677" s="173"/>
      <c r="K1677" s="173"/>
      <c r="L1677" s="173"/>
      <c r="M1677" s="173"/>
    </row>
    <row r="1678">
      <c r="C1678" s="170"/>
      <c r="D1678" s="172"/>
      <c r="F1678" s="173"/>
      <c r="G1678" s="173"/>
      <c r="H1678" s="173"/>
      <c r="I1678" s="173"/>
      <c r="J1678" s="173"/>
      <c r="K1678" s="173"/>
      <c r="L1678" s="173"/>
      <c r="M1678" s="173"/>
    </row>
    <row r="1679">
      <c r="C1679" s="170"/>
      <c r="D1679" s="172"/>
      <c r="F1679" s="173"/>
      <c r="G1679" s="173"/>
      <c r="H1679" s="173"/>
      <c r="I1679" s="173"/>
      <c r="J1679" s="173"/>
      <c r="K1679" s="173"/>
      <c r="L1679" s="173"/>
      <c r="M1679" s="173"/>
    </row>
    <row r="1680">
      <c r="C1680" s="170"/>
      <c r="D1680" s="172"/>
      <c r="F1680" s="173"/>
      <c r="G1680" s="173"/>
      <c r="H1680" s="173"/>
      <c r="I1680" s="173"/>
      <c r="J1680" s="173"/>
      <c r="K1680" s="173"/>
      <c r="L1680" s="173"/>
      <c r="M1680" s="173"/>
    </row>
    <row r="1681">
      <c r="C1681" s="170"/>
      <c r="D1681" s="172"/>
      <c r="F1681" s="173"/>
      <c r="G1681" s="173"/>
      <c r="H1681" s="173"/>
      <c r="I1681" s="173"/>
      <c r="J1681" s="173"/>
      <c r="K1681" s="173"/>
      <c r="L1681" s="173"/>
      <c r="M1681" s="173"/>
    </row>
    <row r="1682">
      <c r="C1682" s="170"/>
      <c r="D1682" s="172"/>
      <c r="F1682" s="173"/>
      <c r="G1682" s="173"/>
      <c r="H1682" s="173"/>
      <c r="I1682" s="173"/>
      <c r="J1682" s="173"/>
      <c r="K1682" s="173"/>
      <c r="L1682" s="173"/>
      <c r="M1682" s="173"/>
    </row>
    <row r="1683">
      <c r="C1683" s="170"/>
      <c r="D1683" s="172"/>
      <c r="F1683" s="173"/>
      <c r="G1683" s="173"/>
      <c r="H1683" s="173"/>
      <c r="I1683" s="173"/>
      <c r="J1683" s="173"/>
      <c r="K1683" s="173"/>
      <c r="L1683" s="173"/>
      <c r="M1683" s="173"/>
    </row>
    <row r="1684">
      <c r="C1684" s="170"/>
      <c r="D1684" s="172"/>
      <c r="F1684" s="173"/>
      <c r="G1684" s="173"/>
      <c r="H1684" s="173"/>
      <c r="I1684" s="173"/>
      <c r="J1684" s="173"/>
      <c r="K1684" s="173"/>
      <c r="L1684" s="173"/>
      <c r="M1684" s="173"/>
    </row>
    <row r="1685">
      <c r="C1685" s="170"/>
      <c r="D1685" s="172"/>
      <c r="F1685" s="173"/>
      <c r="G1685" s="173"/>
      <c r="H1685" s="173"/>
      <c r="I1685" s="173"/>
      <c r="J1685" s="173"/>
      <c r="K1685" s="173"/>
      <c r="L1685" s="173"/>
      <c r="M1685" s="173"/>
    </row>
    <row r="1686">
      <c r="C1686" s="170"/>
      <c r="D1686" s="172"/>
      <c r="F1686" s="173"/>
      <c r="G1686" s="173"/>
      <c r="H1686" s="173"/>
      <c r="I1686" s="173"/>
      <c r="J1686" s="173"/>
      <c r="K1686" s="173"/>
      <c r="L1686" s="173"/>
      <c r="M1686" s="173"/>
    </row>
    <row r="1687">
      <c r="C1687" s="170"/>
      <c r="D1687" s="172"/>
      <c r="F1687" s="173"/>
      <c r="G1687" s="173"/>
      <c r="H1687" s="173"/>
      <c r="I1687" s="173"/>
      <c r="J1687" s="173"/>
      <c r="K1687" s="173"/>
      <c r="L1687" s="173"/>
      <c r="M1687" s="173"/>
    </row>
    <row r="1688">
      <c r="C1688" s="170"/>
      <c r="D1688" s="172"/>
      <c r="F1688" s="173"/>
      <c r="G1688" s="173"/>
      <c r="H1688" s="173"/>
      <c r="I1688" s="173"/>
      <c r="J1688" s="173"/>
      <c r="K1688" s="173"/>
      <c r="L1688" s="173"/>
      <c r="M1688" s="173"/>
    </row>
    <row r="1689">
      <c r="C1689" s="170"/>
      <c r="D1689" s="172"/>
      <c r="F1689" s="173"/>
      <c r="G1689" s="173"/>
      <c r="H1689" s="173"/>
      <c r="I1689" s="173"/>
      <c r="J1689" s="173"/>
      <c r="K1689" s="173"/>
      <c r="L1689" s="173"/>
      <c r="M1689" s="173"/>
    </row>
    <row r="1690">
      <c r="C1690" s="170"/>
      <c r="D1690" s="172"/>
      <c r="F1690" s="173"/>
      <c r="G1690" s="173"/>
      <c r="H1690" s="173"/>
      <c r="I1690" s="173"/>
      <c r="J1690" s="173"/>
      <c r="K1690" s="173"/>
      <c r="L1690" s="173"/>
      <c r="M1690" s="173"/>
    </row>
    <row r="1691">
      <c r="C1691" s="170"/>
      <c r="D1691" s="172"/>
      <c r="F1691" s="173"/>
      <c r="G1691" s="173"/>
      <c r="H1691" s="173"/>
      <c r="I1691" s="173"/>
      <c r="J1691" s="173"/>
      <c r="K1691" s="173"/>
      <c r="L1691" s="173"/>
      <c r="M1691" s="173"/>
    </row>
    <row r="1692">
      <c r="C1692" s="170"/>
      <c r="D1692" s="172"/>
      <c r="F1692" s="173"/>
      <c r="G1692" s="173"/>
      <c r="H1692" s="173"/>
      <c r="I1692" s="173"/>
      <c r="J1692" s="173"/>
      <c r="K1692" s="173"/>
      <c r="L1692" s="173"/>
      <c r="M1692" s="173"/>
    </row>
    <row r="1693">
      <c r="C1693" s="170"/>
      <c r="D1693" s="172"/>
      <c r="F1693" s="173"/>
      <c r="G1693" s="173"/>
      <c r="H1693" s="173"/>
      <c r="I1693" s="173"/>
      <c r="J1693" s="173"/>
      <c r="K1693" s="173"/>
      <c r="L1693" s="173"/>
      <c r="M1693" s="173"/>
    </row>
    <row r="1694">
      <c r="C1694" s="170"/>
      <c r="D1694" s="172"/>
      <c r="F1694" s="173"/>
      <c r="G1694" s="173"/>
      <c r="H1694" s="173"/>
      <c r="I1694" s="173"/>
      <c r="J1694" s="173"/>
      <c r="K1694" s="173"/>
      <c r="L1694" s="173"/>
      <c r="M1694" s="173"/>
    </row>
    <row r="1695">
      <c r="C1695" s="170"/>
      <c r="D1695" s="172"/>
      <c r="F1695" s="173"/>
      <c r="G1695" s="173"/>
      <c r="H1695" s="173"/>
      <c r="I1695" s="173"/>
      <c r="J1695" s="173"/>
      <c r="K1695" s="173"/>
      <c r="L1695" s="173"/>
      <c r="M1695" s="173"/>
    </row>
    <row r="1696">
      <c r="C1696" s="170"/>
      <c r="D1696" s="172"/>
      <c r="F1696" s="173"/>
      <c r="G1696" s="173"/>
      <c r="H1696" s="173"/>
      <c r="I1696" s="173"/>
      <c r="J1696" s="173"/>
      <c r="K1696" s="173"/>
      <c r="L1696" s="173"/>
      <c r="M1696" s="173"/>
    </row>
    <row r="1697">
      <c r="C1697" s="170"/>
      <c r="D1697" s="172"/>
      <c r="F1697" s="173"/>
      <c r="G1697" s="173"/>
      <c r="H1697" s="173"/>
      <c r="I1697" s="173"/>
      <c r="J1697" s="173"/>
      <c r="K1697" s="173"/>
      <c r="L1697" s="173"/>
      <c r="M1697" s="173"/>
    </row>
    <row r="1698">
      <c r="C1698" s="170"/>
      <c r="D1698" s="172"/>
      <c r="F1698" s="173"/>
      <c r="G1698" s="173"/>
      <c r="H1698" s="173"/>
      <c r="I1698" s="173"/>
      <c r="J1698" s="173"/>
      <c r="K1698" s="173"/>
      <c r="L1698" s="173"/>
      <c r="M1698" s="173"/>
    </row>
    <row r="1699">
      <c r="C1699" s="170"/>
      <c r="D1699" s="172"/>
      <c r="F1699" s="173"/>
      <c r="G1699" s="173"/>
      <c r="H1699" s="173"/>
      <c r="I1699" s="173"/>
      <c r="J1699" s="173"/>
      <c r="K1699" s="173"/>
      <c r="L1699" s="173"/>
      <c r="M1699" s="173"/>
    </row>
    <row r="1700">
      <c r="C1700" s="170"/>
      <c r="D1700" s="172"/>
      <c r="F1700" s="173"/>
      <c r="G1700" s="173"/>
      <c r="H1700" s="173"/>
      <c r="I1700" s="173"/>
      <c r="J1700" s="173"/>
      <c r="K1700" s="173"/>
      <c r="L1700" s="173"/>
      <c r="M1700" s="173"/>
    </row>
    <row r="1701">
      <c r="C1701" s="170"/>
      <c r="D1701" s="172"/>
      <c r="F1701" s="173"/>
      <c r="G1701" s="173"/>
      <c r="H1701" s="173"/>
      <c r="I1701" s="173"/>
      <c r="J1701" s="173"/>
      <c r="K1701" s="173"/>
      <c r="L1701" s="173"/>
      <c r="M1701" s="173"/>
    </row>
    <row r="1702">
      <c r="C1702" s="170"/>
      <c r="D1702" s="172"/>
      <c r="F1702" s="173"/>
      <c r="G1702" s="173"/>
      <c r="H1702" s="173"/>
      <c r="I1702" s="173"/>
      <c r="J1702" s="173"/>
      <c r="K1702" s="173"/>
      <c r="L1702" s="173"/>
      <c r="M1702" s="173"/>
    </row>
    <row r="1703">
      <c r="C1703" s="170"/>
      <c r="D1703" s="172"/>
      <c r="F1703" s="173"/>
      <c r="G1703" s="173"/>
      <c r="H1703" s="173"/>
      <c r="I1703" s="173"/>
      <c r="J1703" s="173"/>
      <c r="K1703" s="173"/>
      <c r="L1703" s="173"/>
      <c r="M1703" s="173"/>
    </row>
    <row r="1704">
      <c r="C1704" s="170"/>
      <c r="D1704" s="172"/>
      <c r="F1704" s="173"/>
      <c r="G1704" s="173"/>
      <c r="H1704" s="173"/>
      <c r="I1704" s="173"/>
      <c r="J1704" s="173"/>
      <c r="K1704" s="173"/>
      <c r="L1704" s="173"/>
      <c r="M1704" s="173"/>
    </row>
    <row r="1705">
      <c r="C1705" s="170"/>
      <c r="D1705" s="172"/>
      <c r="F1705" s="173"/>
      <c r="G1705" s="173"/>
      <c r="H1705" s="173"/>
      <c r="I1705" s="173"/>
      <c r="J1705" s="173"/>
      <c r="K1705" s="173"/>
      <c r="L1705" s="173"/>
      <c r="M1705" s="173"/>
    </row>
    <row r="1706">
      <c r="C1706" s="170"/>
      <c r="D1706" s="172"/>
      <c r="F1706" s="173"/>
      <c r="G1706" s="173"/>
      <c r="H1706" s="173"/>
      <c r="I1706" s="173"/>
      <c r="J1706" s="173"/>
      <c r="K1706" s="173"/>
      <c r="L1706" s="173"/>
      <c r="M1706" s="173"/>
    </row>
    <row r="1707">
      <c r="C1707" s="170"/>
      <c r="D1707" s="172"/>
      <c r="F1707" s="173"/>
      <c r="G1707" s="173"/>
      <c r="H1707" s="173"/>
      <c r="I1707" s="173"/>
      <c r="J1707" s="173"/>
      <c r="K1707" s="173"/>
      <c r="L1707" s="173"/>
      <c r="M1707" s="173"/>
    </row>
    <row r="1708">
      <c r="C1708" s="170"/>
      <c r="D1708" s="172"/>
      <c r="F1708" s="173"/>
      <c r="G1708" s="173"/>
      <c r="H1708" s="173"/>
      <c r="I1708" s="173"/>
      <c r="J1708" s="173"/>
      <c r="K1708" s="173"/>
      <c r="L1708" s="173"/>
      <c r="M1708" s="173"/>
    </row>
    <row r="1709">
      <c r="C1709" s="170"/>
      <c r="D1709" s="172"/>
      <c r="F1709" s="173"/>
      <c r="G1709" s="173"/>
      <c r="H1709" s="173"/>
      <c r="I1709" s="173"/>
      <c r="J1709" s="173"/>
      <c r="K1709" s="173"/>
      <c r="L1709" s="173"/>
      <c r="M1709" s="173"/>
    </row>
    <row r="1710">
      <c r="C1710" s="170"/>
      <c r="D1710" s="172"/>
      <c r="F1710" s="173"/>
      <c r="G1710" s="173"/>
      <c r="H1710" s="173"/>
      <c r="I1710" s="173"/>
      <c r="J1710" s="173"/>
      <c r="K1710" s="173"/>
      <c r="L1710" s="173"/>
      <c r="M1710" s="173"/>
    </row>
    <row r="1711">
      <c r="C1711" s="170"/>
      <c r="D1711" s="172"/>
      <c r="F1711" s="173"/>
      <c r="G1711" s="173"/>
      <c r="H1711" s="173"/>
      <c r="I1711" s="173"/>
      <c r="J1711" s="173"/>
      <c r="K1711" s="173"/>
      <c r="L1711" s="173"/>
      <c r="M1711" s="173"/>
    </row>
    <row r="1712">
      <c r="C1712" s="170"/>
      <c r="D1712" s="172"/>
      <c r="F1712" s="173"/>
      <c r="G1712" s="173"/>
      <c r="H1712" s="173"/>
      <c r="I1712" s="173"/>
      <c r="J1712" s="173"/>
      <c r="K1712" s="173"/>
      <c r="L1712" s="173"/>
      <c r="M1712" s="173"/>
    </row>
    <row r="1713">
      <c r="C1713" s="170"/>
      <c r="D1713" s="172"/>
      <c r="F1713" s="173"/>
      <c r="G1713" s="173"/>
      <c r="H1713" s="173"/>
      <c r="I1713" s="173"/>
      <c r="J1713" s="173"/>
      <c r="K1713" s="173"/>
      <c r="L1713" s="173"/>
      <c r="M1713" s="173"/>
    </row>
    <row r="1714">
      <c r="C1714" s="170"/>
      <c r="D1714" s="172"/>
      <c r="F1714" s="173"/>
      <c r="G1714" s="173"/>
      <c r="H1714" s="173"/>
      <c r="I1714" s="173"/>
      <c r="J1714" s="173"/>
      <c r="K1714" s="173"/>
      <c r="L1714" s="173"/>
      <c r="M1714" s="173"/>
    </row>
    <row r="1715">
      <c r="C1715" s="170"/>
      <c r="D1715" s="172"/>
      <c r="F1715" s="173"/>
      <c r="G1715" s="173"/>
      <c r="H1715" s="173"/>
      <c r="I1715" s="173"/>
      <c r="J1715" s="173"/>
      <c r="K1715" s="173"/>
      <c r="L1715" s="173"/>
      <c r="M1715" s="173"/>
    </row>
    <row r="1716">
      <c r="C1716" s="170"/>
      <c r="D1716" s="172"/>
      <c r="F1716" s="173"/>
      <c r="G1716" s="173"/>
      <c r="H1716" s="173"/>
      <c r="I1716" s="173"/>
      <c r="J1716" s="173"/>
      <c r="K1716" s="173"/>
      <c r="L1716" s="173"/>
      <c r="M1716" s="173"/>
    </row>
    <row r="1717">
      <c r="C1717" s="170"/>
      <c r="D1717" s="172"/>
      <c r="F1717" s="173"/>
      <c r="G1717" s="173"/>
      <c r="H1717" s="173"/>
      <c r="I1717" s="173"/>
      <c r="J1717" s="173"/>
      <c r="K1717" s="173"/>
      <c r="L1717" s="173"/>
      <c r="M1717" s="173"/>
    </row>
    <row r="1718">
      <c r="C1718" s="170"/>
      <c r="D1718" s="172"/>
      <c r="F1718" s="173"/>
      <c r="G1718" s="173"/>
      <c r="H1718" s="173"/>
      <c r="I1718" s="173"/>
      <c r="J1718" s="173"/>
      <c r="K1718" s="173"/>
      <c r="L1718" s="173"/>
      <c r="M1718" s="173"/>
    </row>
    <row r="1719">
      <c r="C1719" s="170"/>
      <c r="D1719" s="172"/>
      <c r="F1719" s="173"/>
      <c r="G1719" s="173"/>
      <c r="H1719" s="173"/>
      <c r="I1719" s="173"/>
      <c r="J1719" s="173"/>
      <c r="K1719" s="173"/>
      <c r="L1719" s="173"/>
      <c r="M1719" s="173"/>
    </row>
    <row r="1720">
      <c r="C1720" s="170"/>
      <c r="D1720" s="172"/>
      <c r="F1720" s="173"/>
      <c r="G1720" s="173"/>
      <c r="H1720" s="173"/>
      <c r="I1720" s="173"/>
      <c r="J1720" s="173"/>
      <c r="K1720" s="173"/>
      <c r="L1720" s="173"/>
      <c r="M1720" s="173"/>
    </row>
    <row r="1721">
      <c r="C1721" s="170"/>
      <c r="D1721" s="172"/>
      <c r="F1721" s="173"/>
      <c r="G1721" s="173"/>
      <c r="H1721" s="173"/>
      <c r="I1721" s="173"/>
      <c r="J1721" s="173"/>
      <c r="K1721" s="173"/>
      <c r="L1721" s="173"/>
      <c r="M1721" s="173"/>
    </row>
    <row r="1722">
      <c r="C1722" s="170"/>
      <c r="D1722" s="172"/>
      <c r="F1722" s="173"/>
      <c r="G1722" s="173"/>
      <c r="H1722" s="173"/>
      <c r="I1722" s="173"/>
      <c r="J1722" s="173"/>
      <c r="K1722" s="173"/>
      <c r="L1722" s="173"/>
      <c r="M1722" s="173"/>
    </row>
    <row r="1723">
      <c r="C1723" s="170"/>
      <c r="D1723" s="172"/>
      <c r="F1723" s="173"/>
      <c r="G1723" s="173"/>
      <c r="H1723" s="173"/>
      <c r="I1723" s="173"/>
      <c r="J1723" s="173"/>
      <c r="K1723" s="173"/>
      <c r="L1723" s="173"/>
      <c r="M1723" s="173"/>
    </row>
    <row r="1724">
      <c r="C1724" s="170"/>
      <c r="D1724" s="172"/>
      <c r="F1724" s="173"/>
      <c r="G1724" s="173"/>
      <c r="H1724" s="173"/>
      <c r="I1724" s="173"/>
      <c r="J1724" s="173"/>
      <c r="K1724" s="173"/>
      <c r="L1724" s="173"/>
      <c r="M1724" s="173"/>
    </row>
    <row r="1725">
      <c r="C1725" s="170"/>
      <c r="D1725" s="172"/>
      <c r="F1725" s="173"/>
      <c r="G1725" s="173"/>
      <c r="H1725" s="173"/>
      <c r="I1725" s="173"/>
      <c r="J1725" s="173"/>
      <c r="K1725" s="173"/>
      <c r="L1725" s="173"/>
      <c r="M1725" s="173"/>
    </row>
    <row r="1726">
      <c r="C1726" s="170"/>
      <c r="D1726" s="172"/>
      <c r="F1726" s="173"/>
      <c r="G1726" s="173"/>
      <c r="H1726" s="173"/>
      <c r="I1726" s="173"/>
      <c r="J1726" s="173"/>
      <c r="K1726" s="173"/>
      <c r="L1726" s="173"/>
      <c r="M1726" s="173"/>
    </row>
    <row r="1727">
      <c r="C1727" s="170"/>
      <c r="D1727" s="172"/>
      <c r="F1727" s="173"/>
      <c r="G1727" s="173"/>
      <c r="H1727" s="173"/>
      <c r="I1727" s="173"/>
      <c r="J1727" s="173"/>
      <c r="K1727" s="173"/>
      <c r="L1727" s="173"/>
      <c r="M1727" s="173"/>
    </row>
    <row r="1728">
      <c r="C1728" s="170"/>
      <c r="D1728" s="172"/>
      <c r="F1728" s="173"/>
      <c r="G1728" s="173"/>
      <c r="H1728" s="173"/>
      <c r="I1728" s="173"/>
      <c r="J1728" s="173"/>
      <c r="K1728" s="173"/>
      <c r="L1728" s="173"/>
      <c r="M1728" s="173"/>
    </row>
    <row r="1729">
      <c r="C1729" s="170"/>
      <c r="D1729" s="172"/>
      <c r="F1729" s="173"/>
      <c r="G1729" s="173"/>
      <c r="H1729" s="173"/>
      <c r="I1729" s="173"/>
      <c r="J1729" s="173"/>
      <c r="K1729" s="173"/>
      <c r="L1729" s="173"/>
      <c r="M1729" s="173"/>
    </row>
    <row r="1730">
      <c r="C1730" s="170"/>
      <c r="D1730" s="172"/>
      <c r="F1730" s="173"/>
      <c r="G1730" s="173"/>
      <c r="H1730" s="173"/>
      <c r="I1730" s="173"/>
      <c r="J1730" s="173"/>
      <c r="K1730" s="173"/>
      <c r="L1730" s="173"/>
      <c r="M1730" s="173"/>
    </row>
    <row r="1731">
      <c r="C1731" s="170"/>
      <c r="D1731" s="172"/>
      <c r="F1731" s="173"/>
      <c r="G1731" s="173"/>
      <c r="H1731" s="173"/>
      <c r="I1731" s="173"/>
      <c r="J1731" s="173"/>
      <c r="K1731" s="173"/>
      <c r="L1731" s="173"/>
      <c r="M1731" s="173"/>
    </row>
    <row r="1732">
      <c r="C1732" s="170"/>
      <c r="D1732" s="172"/>
      <c r="F1732" s="173"/>
      <c r="G1732" s="173"/>
      <c r="H1732" s="173"/>
      <c r="I1732" s="173"/>
      <c r="J1732" s="173"/>
      <c r="K1732" s="173"/>
      <c r="L1732" s="173"/>
      <c r="M1732" s="173"/>
    </row>
    <row r="1733">
      <c r="C1733" s="170"/>
      <c r="D1733" s="172"/>
      <c r="F1733" s="173"/>
      <c r="G1733" s="173"/>
      <c r="H1733" s="173"/>
      <c r="I1733" s="173"/>
      <c r="J1733" s="173"/>
      <c r="K1733" s="173"/>
      <c r="L1733" s="173"/>
      <c r="M1733" s="173"/>
    </row>
    <row r="1734">
      <c r="C1734" s="170"/>
      <c r="D1734" s="172"/>
      <c r="F1734" s="173"/>
      <c r="G1734" s="173"/>
      <c r="H1734" s="173"/>
      <c r="I1734" s="173"/>
      <c r="J1734" s="173"/>
      <c r="K1734" s="173"/>
      <c r="L1734" s="173"/>
      <c r="M1734" s="173"/>
    </row>
    <row r="1735">
      <c r="C1735" s="170"/>
      <c r="D1735" s="172"/>
      <c r="F1735" s="173"/>
      <c r="G1735" s="173"/>
      <c r="H1735" s="173"/>
      <c r="I1735" s="173"/>
      <c r="J1735" s="173"/>
      <c r="K1735" s="173"/>
      <c r="L1735" s="173"/>
      <c r="M1735" s="173"/>
    </row>
    <row r="1736">
      <c r="C1736" s="170"/>
      <c r="D1736" s="172"/>
      <c r="F1736" s="173"/>
      <c r="G1736" s="173"/>
      <c r="H1736" s="173"/>
      <c r="I1736" s="173"/>
      <c r="J1736" s="173"/>
      <c r="K1736" s="173"/>
      <c r="L1736" s="173"/>
      <c r="M1736" s="173"/>
    </row>
    <row r="1737">
      <c r="C1737" s="170"/>
      <c r="D1737" s="172"/>
      <c r="F1737" s="173"/>
      <c r="G1737" s="173"/>
      <c r="H1737" s="173"/>
      <c r="I1737" s="173"/>
      <c r="J1737" s="173"/>
      <c r="K1737" s="173"/>
      <c r="L1737" s="173"/>
      <c r="M1737" s="173"/>
    </row>
    <row r="1738">
      <c r="C1738" s="170"/>
      <c r="D1738" s="172"/>
      <c r="F1738" s="173"/>
      <c r="G1738" s="173"/>
      <c r="H1738" s="173"/>
      <c r="I1738" s="173"/>
      <c r="J1738" s="173"/>
      <c r="K1738" s="173"/>
      <c r="L1738" s="173"/>
      <c r="M1738" s="173"/>
    </row>
    <row r="1739">
      <c r="C1739" s="170"/>
      <c r="D1739" s="172"/>
      <c r="F1739" s="173"/>
      <c r="G1739" s="173"/>
      <c r="H1739" s="173"/>
      <c r="I1739" s="173"/>
      <c r="J1739" s="173"/>
      <c r="K1739" s="173"/>
      <c r="L1739" s="173"/>
      <c r="M1739" s="173"/>
    </row>
    <row r="1740">
      <c r="C1740" s="170"/>
      <c r="D1740" s="172"/>
      <c r="F1740" s="173"/>
      <c r="G1740" s="173"/>
      <c r="H1740" s="173"/>
      <c r="I1740" s="173"/>
      <c r="J1740" s="173"/>
      <c r="K1740" s="173"/>
      <c r="L1740" s="173"/>
      <c r="M1740" s="173"/>
    </row>
    <row r="1741">
      <c r="C1741" s="170"/>
      <c r="D1741" s="172"/>
      <c r="F1741" s="173"/>
      <c r="G1741" s="173"/>
      <c r="H1741" s="173"/>
      <c r="I1741" s="173"/>
      <c r="J1741" s="173"/>
      <c r="K1741" s="173"/>
      <c r="L1741" s="173"/>
      <c r="M1741" s="173"/>
    </row>
    <row r="1742">
      <c r="C1742" s="170"/>
      <c r="D1742" s="172"/>
      <c r="F1742" s="173"/>
      <c r="G1742" s="173"/>
      <c r="H1742" s="173"/>
      <c r="I1742" s="173"/>
      <c r="J1742" s="173"/>
      <c r="K1742" s="173"/>
      <c r="L1742" s="173"/>
      <c r="M1742" s="173"/>
    </row>
    <row r="1743">
      <c r="C1743" s="170"/>
      <c r="D1743" s="172"/>
      <c r="F1743" s="173"/>
      <c r="G1743" s="173"/>
      <c r="H1743" s="173"/>
      <c r="I1743" s="173"/>
      <c r="J1743" s="173"/>
      <c r="K1743" s="173"/>
      <c r="L1743" s="173"/>
      <c r="M1743" s="173"/>
    </row>
    <row r="1744">
      <c r="C1744" s="170"/>
      <c r="D1744" s="172"/>
      <c r="F1744" s="173"/>
      <c r="G1744" s="173"/>
      <c r="H1744" s="173"/>
      <c r="I1744" s="173"/>
      <c r="J1744" s="173"/>
      <c r="K1744" s="173"/>
      <c r="L1744" s="173"/>
      <c r="M1744" s="173"/>
    </row>
    <row r="1745">
      <c r="C1745" s="170"/>
      <c r="D1745" s="172"/>
      <c r="F1745" s="173"/>
      <c r="G1745" s="173"/>
      <c r="H1745" s="173"/>
      <c r="I1745" s="173"/>
      <c r="J1745" s="173"/>
      <c r="K1745" s="173"/>
      <c r="L1745" s="173"/>
      <c r="M1745" s="173"/>
    </row>
    <row r="1746">
      <c r="C1746" s="170"/>
      <c r="D1746" s="172"/>
      <c r="F1746" s="173"/>
      <c r="G1746" s="173"/>
      <c r="H1746" s="173"/>
      <c r="I1746" s="173"/>
      <c r="J1746" s="173"/>
      <c r="K1746" s="173"/>
      <c r="L1746" s="173"/>
      <c r="M1746" s="173"/>
    </row>
    <row r="1747">
      <c r="C1747" s="170"/>
      <c r="D1747" s="172"/>
      <c r="F1747" s="173"/>
      <c r="G1747" s="173"/>
      <c r="H1747" s="173"/>
      <c r="I1747" s="173"/>
      <c r="J1747" s="173"/>
      <c r="K1747" s="173"/>
      <c r="L1747" s="173"/>
      <c r="M1747" s="173"/>
    </row>
    <row r="1748">
      <c r="C1748" s="170"/>
      <c r="D1748" s="172"/>
      <c r="F1748" s="173"/>
      <c r="G1748" s="173"/>
      <c r="H1748" s="173"/>
      <c r="I1748" s="173"/>
      <c r="J1748" s="173"/>
      <c r="K1748" s="173"/>
      <c r="L1748" s="173"/>
      <c r="M1748" s="173"/>
    </row>
    <row r="1749">
      <c r="C1749" s="170"/>
      <c r="D1749" s="172"/>
      <c r="F1749" s="173"/>
      <c r="G1749" s="173"/>
      <c r="H1749" s="173"/>
      <c r="I1749" s="173"/>
      <c r="J1749" s="173"/>
      <c r="K1749" s="173"/>
      <c r="L1749" s="173"/>
      <c r="M1749" s="173"/>
    </row>
    <row r="1750">
      <c r="C1750" s="170"/>
      <c r="D1750" s="172"/>
      <c r="F1750" s="173"/>
      <c r="G1750" s="173"/>
      <c r="H1750" s="173"/>
      <c r="I1750" s="173"/>
      <c r="J1750" s="173"/>
      <c r="K1750" s="173"/>
      <c r="L1750" s="173"/>
      <c r="M1750" s="173"/>
    </row>
    <row r="1751">
      <c r="C1751" s="170"/>
      <c r="D1751" s="172"/>
      <c r="F1751" s="173"/>
      <c r="G1751" s="173"/>
      <c r="H1751" s="173"/>
      <c r="I1751" s="173"/>
      <c r="J1751" s="173"/>
      <c r="K1751" s="173"/>
      <c r="L1751" s="173"/>
      <c r="M1751" s="173"/>
    </row>
    <row r="1752">
      <c r="C1752" s="170"/>
      <c r="D1752" s="172"/>
      <c r="F1752" s="173"/>
      <c r="G1752" s="173"/>
      <c r="H1752" s="173"/>
      <c r="I1752" s="173"/>
      <c r="J1752" s="173"/>
      <c r="K1752" s="173"/>
      <c r="L1752" s="173"/>
      <c r="M1752" s="173"/>
    </row>
    <row r="1753">
      <c r="C1753" s="170"/>
      <c r="D1753" s="172"/>
      <c r="F1753" s="173"/>
      <c r="G1753" s="173"/>
      <c r="H1753" s="173"/>
      <c r="I1753" s="173"/>
      <c r="J1753" s="173"/>
      <c r="K1753" s="173"/>
      <c r="L1753" s="173"/>
      <c r="M1753" s="173"/>
    </row>
    <row r="1754">
      <c r="C1754" s="170"/>
      <c r="D1754" s="172"/>
      <c r="F1754" s="173"/>
      <c r="G1754" s="173"/>
      <c r="H1754" s="173"/>
      <c r="I1754" s="173"/>
      <c r="J1754" s="173"/>
      <c r="K1754" s="173"/>
      <c r="L1754" s="173"/>
      <c r="M1754" s="173"/>
    </row>
    <row r="1755">
      <c r="C1755" s="170"/>
      <c r="D1755" s="172"/>
      <c r="F1755" s="173"/>
      <c r="G1755" s="173"/>
      <c r="H1755" s="173"/>
      <c r="I1755" s="173"/>
      <c r="J1755" s="173"/>
      <c r="K1755" s="173"/>
      <c r="L1755" s="173"/>
      <c r="M1755" s="173"/>
    </row>
    <row r="1756">
      <c r="C1756" s="170"/>
      <c r="D1756" s="172"/>
      <c r="F1756" s="173"/>
      <c r="G1756" s="173"/>
      <c r="H1756" s="173"/>
      <c r="I1756" s="173"/>
      <c r="J1756" s="173"/>
      <c r="K1756" s="173"/>
      <c r="L1756" s="173"/>
      <c r="M1756" s="173"/>
    </row>
    <row r="1757">
      <c r="C1757" s="170"/>
      <c r="D1757" s="172"/>
      <c r="F1757" s="173"/>
      <c r="G1757" s="173"/>
      <c r="H1757" s="173"/>
      <c r="I1757" s="173"/>
      <c r="J1757" s="173"/>
      <c r="K1757" s="173"/>
      <c r="L1757" s="173"/>
      <c r="M1757" s="173"/>
    </row>
    <row r="1758">
      <c r="C1758" s="170"/>
      <c r="D1758" s="172"/>
      <c r="F1758" s="173"/>
      <c r="G1758" s="173"/>
      <c r="H1758" s="173"/>
      <c r="I1758" s="173"/>
      <c r="J1758" s="173"/>
      <c r="K1758" s="173"/>
      <c r="L1758" s="173"/>
      <c r="M1758" s="173"/>
    </row>
    <row r="1759">
      <c r="C1759" s="170"/>
      <c r="D1759" s="172"/>
      <c r="F1759" s="173"/>
      <c r="G1759" s="173"/>
      <c r="H1759" s="173"/>
      <c r="I1759" s="173"/>
      <c r="J1759" s="173"/>
      <c r="K1759" s="173"/>
      <c r="L1759" s="173"/>
      <c r="M1759" s="173"/>
    </row>
    <row r="1760">
      <c r="C1760" s="170"/>
      <c r="D1760" s="172"/>
      <c r="F1760" s="173"/>
      <c r="G1760" s="173"/>
      <c r="H1760" s="173"/>
      <c r="I1760" s="173"/>
      <c r="J1760" s="173"/>
      <c r="K1760" s="173"/>
      <c r="L1760" s="173"/>
      <c r="M1760" s="173"/>
    </row>
    <row r="1761">
      <c r="C1761" s="170"/>
      <c r="D1761" s="172"/>
      <c r="F1761" s="173"/>
      <c r="G1761" s="173"/>
      <c r="H1761" s="173"/>
      <c r="I1761" s="173"/>
      <c r="J1761" s="173"/>
      <c r="K1761" s="173"/>
      <c r="L1761" s="173"/>
      <c r="M1761" s="173"/>
    </row>
    <row r="1762">
      <c r="C1762" s="170"/>
      <c r="D1762" s="172"/>
      <c r="F1762" s="173"/>
      <c r="G1762" s="173"/>
      <c r="H1762" s="173"/>
      <c r="I1762" s="173"/>
      <c r="J1762" s="173"/>
      <c r="K1762" s="173"/>
      <c r="L1762" s="173"/>
      <c r="M1762" s="173"/>
    </row>
    <row r="1763">
      <c r="C1763" s="170"/>
      <c r="D1763" s="172"/>
      <c r="F1763" s="173"/>
      <c r="G1763" s="173"/>
      <c r="H1763" s="173"/>
      <c r="I1763" s="173"/>
      <c r="J1763" s="173"/>
      <c r="K1763" s="173"/>
      <c r="L1763" s="173"/>
      <c r="M1763" s="173"/>
    </row>
    <row r="1764">
      <c r="C1764" s="170"/>
      <c r="D1764" s="172"/>
      <c r="F1764" s="173"/>
      <c r="G1764" s="173"/>
      <c r="H1764" s="173"/>
      <c r="I1764" s="173"/>
      <c r="J1764" s="173"/>
      <c r="K1764" s="173"/>
      <c r="L1764" s="173"/>
      <c r="M1764" s="173"/>
    </row>
    <row r="1765">
      <c r="C1765" s="170"/>
      <c r="D1765" s="172"/>
      <c r="F1765" s="173"/>
      <c r="G1765" s="173"/>
      <c r="H1765" s="173"/>
      <c r="I1765" s="173"/>
      <c r="J1765" s="173"/>
      <c r="K1765" s="173"/>
      <c r="L1765" s="173"/>
      <c r="M1765" s="173"/>
    </row>
    <row r="1766">
      <c r="C1766" s="170"/>
      <c r="D1766" s="172"/>
      <c r="F1766" s="173"/>
      <c r="G1766" s="173"/>
      <c r="H1766" s="173"/>
      <c r="I1766" s="173"/>
      <c r="J1766" s="173"/>
      <c r="K1766" s="173"/>
      <c r="L1766" s="173"/>
      <c r="M1766" s="173"/>
    </row>
    <row r="1767">
      <c r="C1767" s="170"/>
      <c r="D1767" s="172"/>
      <c r="F1767" s="173"/>
      <c r="G1767" s="173"/>
      <c r="H1767" s="173"/>
      <c r="I1767" s="173"/>
      <c r="J1767" s="173"/>
      <c r="K1767" s="173"/>
      <c r="L1767" s="173"/>
      <c r="M1767" s="173"/>
    </row>
    <row r="1768">
      <c r="C1768" s="170"/>
      <c r="D1768" s="172"/>
      <c r="F1768" s="173"/>
      <c r="G1768" s="173"/>
      <c r="H1768" s="173"/>
      <c r="I1768" s="173"/>
      <c r="J1768" s="173"/>
      <c r="K1768" s="173"/>
      <c r="L1768" s="173"/>
      <c r="M1768" s="173"/>
    </row>
    <row r="1769">
      <c r="C1769" s="170"/>
      <c r="D1769" s="172"/>
      <c r="F1769" s="173"/>
      <c r="G1769" s="173"/>
      <c r="H1769" s="173"/>
      <c r="I1769" s="173"/>
      <c r="J1769" s="173"/>
      <c r="K1769" s="173"/>
      <c r="L1769" s="173"/>
      <c r="M1769" s="173"/>
    </row>
    <row r="1770">
      <c r="C1770" s="170"/>
      <c r="D1770" s="172"/>
      <c r="F1770" s="173"/>
      <c r="G1770" s="173"/>
      <c r="H1770" s="173"/>
      <c r="I1770" s="173"/>
      <c r="J1770" s="173"/>
      <c r="K1770" s="173"/>
      <c r="L1770" s="173"/>
      <c r="M1770" s="173"/>
    </row>
    <row r="1771">
      <c r="C1771" s="170"/>
      <c r="D1771" s="172"/>
      <c r="F1771" s="173"/>
      <c r="G1771" s="173"/>
      <c r="H1771" s="173"/>
      <c r="I1771" s="173"/>
      <c r="J1771" s="173"/>
      <c r="K1771" s="173"/>
      <c r="L1771" s="173"/>
      <c r="M1771" s="173"/>
    </row>
    <row r="1772">
      <c r="C1772" s="170"/>
      <c r="D1772" s="172"/>
      <c r="F1772" s="173"/>
      <c r="G1772" s="173"/>
      <c r="H1772" s="173"/>
      <c r="I1772" s="173"/>
      <c r="J1772" s="173"/>
      <c r="K1772" s="173"/>
      <c r="L1772" s="173"/>
      <c r="M1772" s="173"/>
    </row>
    <row r="1773">
      <c r="C1773" s="170"/>
      <c r="D1773" s="172"/>
      <c r="F1773" s="173"/>
      <c r="G1773" s="173"/>
      <c r="H1773" s="173"/>
      <c r="I1773" s="173"/>
      <c r="J1773" s="173"/>
      <c r="K1773" s="173"/>
      <c r="L1773" s="173"/>
      <c r="M1773" s="173"/>
    </row>
    <row r="1774">
      <c r="C1774" s="170"/>
      <c r="D1774" s="172"/>
      <c r="F1774" s="173"/>
      <c r="G1774" s="173"/>
      <c r="H1774" s="173"/>
      <c r="I1774" s="173"/>
      <c r="J1774" s="173"/>
      <c r="K1774" s="173"/>
      <c r="L1774" s="173"/>
      <c r="M1774" s="173"/>
    </row>
    <row r="1775">
      <c r="C1775" s="170"/>
      <c r="D1775" s="172"/>
      <c r="F1775" s="173"/>
      <c r="G1775" s="173"/>
      <c r="H1775" s="173"/>
      <c r="I1775" s="173"/>
      <c r="J1775" s="173"/>
      <c r="K1775" s="173"/>
      <c r="L1775" s="173"/>
      <c r="M1775" s="173"/>
    </row>
    <row r="1776">
      <c r="C1776" s="170"/>
      <c r="D1776" s="172"/>
      <c r="F1776" s="173"/>
      <c r="G1776" s="173"/>
      <c r="H1776" s="173"/>
      <c r="I1776" s="173"/>
      <c r="J1776" s="173"/>
      <c r="K1776" s="173"/>
      <c r="L1776" s="173"/>
      <c r="M1776" s="173"/>
    </row>
    <row r="1777">
      <c r="C1777" s="170"/>
      <c r="D1777" s="172"/>
      <c r="F1777" s="173"/>
      <c r="G1777" s="173"/>
      <c r="H1777" s="173"/>
      <c r="I1777" s="173"/>
      <c r="J1777" s="173"/>
      <c r="K1777" s="173"/>
      <c r="L1777" s="173"/>
      <c r="M1777" s="173"/>
    </row>
    <row r="1778">
      <c r="C1778" s="170"/>
      <c r="D1778" s="172"/>
      <c r="F1778" s="173"/>
      <c r="G1778" s="173"/>
      <c r="H1778" s="173"/>
      <c r="I1778" s="173"/>
      <c r="J1778" s="173"/>
      <c r="K1778" s="173"/>
      <c r="L1778" s="173"/>
      <c r="M1778" s="173"/>
    </row>
    <row r="1779">
      <c r="C1779" s="170"/>
      <c r="D1779" s="172"/>
      <c r="F1779" s="173"/>
      <c r="G1779" s="173"/>
      <c r="H1779" s="173"/>
      <c r="I1779" s="173"/>
      <c r="J1779" s="173"/>
      <c r="K1779" s="173"/>
      <c r="L1779" s="173"/>
      <c r="M1779" s="173"/>
    </row>
    <row r="1780">
      <c r="C1780" s="170"/>
      <c r="D1780" s="172"/>
      <c r="F1780" s="173"/>
      <c r="G1780" s="173"/>
      <c r="H1780" s="173"/>
      <c r="I1780" s="173"/>
      <c r="J1780" s="173"/>
      <c r="K1780" s="173"/>
      <c r="L1780" s="173"/>
      <c r="M1780" s="173"/>
    </row>
    <row r="1781">
      <c r="C1781" s="170"/>
      <c r="D1781" s="172"/>
      <c r="F1781" s="173"/>
      <c r="G1781" s="173"/>
      <c r="H1781" s="173"/>
      <c r="I1781" s="173"/>
      <c r="J1781" s="173"/>
      <c r="K1781" s="173"/>
      <c r="L1781" s="173"/>
      <c r="M1781" s="173"/>
    </row>
    <row r="1782">
      <c r="C1782" s="170"/>
      <c r="D1782" s="172"/>
      <c r="F1782" s="173"/>
      <c r="G1782" s="173"/>
      <c r="H1782" s="173"/>
      <c r="I1782" s="173"/>
      <c r="J1782" s="173"/>
      <c r="K1782" s="173"/>
      <c r="L1782" s="173"/>
      <c r="M1782" s="173"/>
    </row>
    <row r="1783">
      <c r="C1783" s="170"/>
      <c r="D1783" s="172"/>
      <c r="F1783" s="173"/>
      <c r="G1783" s="173"/>
      <c r="H1783" s="173"/>
      <c r="I1783" s="173"/>
      <c r="J1783" s="173"/>
      <c r="K1783" s="173"/>
      <c r="L1783" s="173"/>
      <c r="M1783" s="173"/>
    </row>
    <row r="1784">
      <c r="C1784" s="170"/>
      <c r="D1784" s="172"/>
      <c r="F1784" s="173"/>
      <c r="G1784" s="173"/>
      <c r="H1784" s="173"/>
      <c r="I1784" s="173"/>
      <c r="J1784" s="173"/>
      <c r="K1784" s="173"/>
      <c r="L1784" s="173"/>
      <c r="M1784" s="173"/>
    </row>
    <row r="1785">
      <c r="C1785" s="170"/>
      <c r="D1785" s="172"/>
      <c r="F1785" s="173"/>
      <c r="G1785" s="173"/>
      <c r="H1785" s="173"/>
      <c r="I1785" s="173"/>
      <c r="J1785" s="173"/>
      <c r="K1785" s="173"/>
      <c r="L1785" s="173"/>
      <c r="M1785" s="173"/>
    </row>
    <row r="1786">
      <c r="C1786" s="170"/>
      <c r="D1786" s="172"/>
      <c r="F1786" s="173"/>
      <c r="G1786" s="173"/>
      <c r="H1786" s="173"/>
      <c r="I1786" s="173"/>
      <c r="J1786" s="173"/>
      <c r="K1786" s="173"/>
      <c r="L1786" s="173"/>
      <c r="M1786" s="173"/>
    </row>
    <row r="1787">
      <c r="C1787" s="170"/>
      <c r="D1787" s="172"/>
      <c r="F1787" s="173"/>
      <c r="G1787" s="173"/>
      <c r="H1787" s="173"/>
      <c r="I1787" s="173"/>
      <c r="J1787" s="173"/>
      <c r="K1787" s="173"/>
      <c r="L1787" s="173"/>
      <c r="M1787" s="173"/>
    </row>
    <row r="1788">
      <c r="C1788" s="170"/>
      <c r="D1788" s="172"/>
      <c r="F1788" s="173"/>
      <c r="G1788" s="173"/>
      <c r="H1788" s="173"/>
      <c r="I1788" s="173"/>
      <c r="J1788" s="173"/>
      <c r="K1788" s="173"/>
      <c r="L1788" s="173"/>
      <c r="M1788" s="173"/>
    </row>
    <row r="1789">
      <c r="C1789" s="170"/>
      <c r="D1789" s="172"/>
      <c r="F1789" s="173"/>
      <c r="G1789" s="173"/>
      <c r="H1789" s="173"/>
      <c r="I1789" s="173"/>
      <c r="J1789" s="173"/>
      <c r="K1789" s="173"/>
      <c r="L1789" s="173"/>
      <c r="M1789" s="173"/>
    </row>
    <row r="1790">
      <c r="C1790" s="170"/>
      <c r="D1790" s="172"/>
      <c r="F1790" s="173"/>
      <c r="G1790" s="173"/>
      <c r="H1790" s="173"/>
      <c r="I1790" s="173"/>
      <c r="J1790" s="173"/>
      <c r="K1790" s="173"/>
      <c r="L1790" s="173"/>
      <c r="M1790" s="173"/>
    </row>
    <row r="1791">
      <c r="C1791" s="170"/>
      <c r="D1791" s="172"/>
      <c r="F1791" s="173"/>
      <c r="G1791" s="173"/>
      <c r="H1791" s="173"/>
      <c r="I1791" s="173"/>
      <c r="J1791" s="173"/>
      <c r="K1791" s="173"/>
      <c r="L1791" s="173"/>
      <c r="M1791" s="173"/>
    </row>
    <row r="1792">
      <c r="C1792" s="170"/>
      <c r="D1792" s="172"/>
      <c r="F1792" s="173"/>
      <c r="G1792" s="173"/>
      <c r="H1792" s="173"/>
      <c r="I1792" s="173"/>
      <c r="J1792" s="173"/>
      <c r="K1792" s="173"/>
      <c r="L1792" s="173"/>
      <c r="M1792" s="173"/>
    </row>
    <row r="1793">
      <c r="C1793" s="170"/>
      <c r="D1793" s="172"/>
      <c r="F1793" s="173"/>
      <c r="G1793" s="173"/>
      <c r="H1793" s="173"/>
      <c r="I1793" s="173"/>
      <c r="J1793" s="173"/>
      <c r="K1793" s="173"/>
      <c r="L1793" s="173"/>
      <c r="M1793" s="173"/>
    </row>
    <row r="1794">
      <c r="C1794" s="170"/>
      <c r="D1794" s="172"/>
      <c r="F1794" s="173"/>
      <c r="G1794" s="173"/>
      <c r="H1794" s="173"/>
      <c r="I1794" s="173"/>
      <c r="J1794" s="173"/>
      <c r="K1794" s="173"/>
      <c r="L1794" s="173"/>
      <c r="M1794" s="173"/>
    </row>
    <row r="1795">
      <c r="C1795" s="170"/>
      <c r="D1795" s="172"/>
      <c r="F1795" s="173"/>
      <c r="G1795" s="173"/>
      <c r="H1795" s="173"/>
      <c r="I1795" s="173"/>
      <c r="J1795" s="173"/>
      <c r="K1795" s="173"/>
      <c r="L1795" s="173"/>
      <c r="M1795" s="173"/>
    </row>
    <row r="1796">
      <c r="C1796" s="170"/>
      <c r="D1796" s="172"/>
      <c r="F1796" s="173"/>
      <c r="G1796" s="173"/>
      <c r="H1796" s="173"/>
      <c r="I1796" s="173"/>
      <c r="J1796" s="173"/>
      <c r="K1796" s="173"/>
      <c r="L1796" s="173"/>
      <c r="M1796" s="173"/>
    </row>
    <row r="1797">
      <c r="C1797" s="170"/>
      <c r="D1797" s="172"/>
      <c r="F1797" s="173"/>
      <c r="G1797" s="173"/>
      <c r="H1797" s="173"/>
      <c r="I1797" s="173"/>
      <c r="J1797" s="173"/>
      <c r="K1797" s="173"/>
      <c r="L1797" s="173"/>
      <c r="M1797" s="173"/>
    </row>
    <row r="1798">
      <c r="C1798" s="170"/>
      <c r="D1798" s="172"/>
      <c r="F1798" s="173"/>
      <c r="G1798" s="173"/>
      <c r="H1798" s="173"/>
      <c r="I1798" s="173"/>
      <c r="J1798" s="173"/>
      <c r="K1798" s="173"/>
      <c r="L1798" s="173"/>
      <c r="M1798" s="173"/>
    </row>
    <row r="1799">
      <c r="C1799" s="170"/>
      <c r="D1799" s="172"/>
      <c r="F1799" s="173"/>
      <c r="G1799" s="173"/>
      <c r="H1799" s="173"/>
      <c r="I1799" s="173"/>
      <c r="J1799" s="173"/>
      <c r="K1799" s="173"/>
      <c r="L1799" s="173"/>
      <c r="M1799" s="173"/>
    </row>
    <row r="1800">
      <c r="C1800" s="170"/>
      <c r="D1800" s="172"/>
      <c r="F1800" s="173"/>
      <c r="G1800" s="173"/>
      <c r="H1800" s="173"/>
      <c r="I1800" s="173"/>
      <c r="J1800" s="173"/>
      <c r="K1800" s="173"/>
      <c r="L1800" s="173"/>
      <c r="M1800" s="173"/>
    </row>
    <row r="1801">
      <c r="C1801" s="170"/>
      <c r="D1801" s="172"/>
      <c r="F1801" s="173"/>
      <c r="G1801" s="173"/>
      <c r="H1801" s="173"/>
      <c r="I1801" s="173"/>
      <c r="J1801" s="173"/>
      <c r="K1801" s="173"/>
      <c r="L1801" s="173"/>
      <c r="M1801" s="173"/>
    </row>
    <row r="1802">
      <c r="C1802" s="170"/>
      <c r="D1802" s="172"/>
      <c r="F1802" s="173"/>
      <c r="G1802" s="173"/>
      <c r="H1802" s="173"/>
      <c r="I1802" s="173"/>
      <c r="J1802" s="173"/>
      <c r="K1802" s="173"/>
      <c r="L1802" s="173"/>
      <c r="M1802" s="173"/>
    </row>
    <row r="1803">
      <c r="C1803" s="170"/>
      <c r="D1803" s="172"/>
      <c r="F1803" s="173"/>
      <c r="G1803" s="173"/>
      <c r="H1803" s="173"/>
      <c r="I1803" s="173"/>
      <c r="J1803" s="173"/>
      <c r="K1803" s="173"/>
      <c r="L1803" s="173"/>
      <c r="M1803" s="173"/>
    </row>
    <row r="1804">
      <c r="C1804" s="170"/>
      <c r="D1804" s="172"/>
      <c r="F1804" s="173"/>
      <c r="G1804" s="173"/>
      <c r="H1804" s="173"/>
      <c r="I1804" s="173"/>
      <c r="J1804" s="173"/>
      <c r="K1804" s="173"/>
      <c r="L1804" s="173"/>
      <c r="M1804" s="173"/>
    </row>
    <row r="1805">
      <c r="C1805" s="170"/>
      <c r="D1805" s="172"/>
      <c r="F1805" s="173"/>
      <c r="G1805" s="173"/>
      <c r="H1805" s="173"/>
      <c r="I1805" s="173"/>
      <c r="J1805" s="173"/>
      <c r="K1805" s="173"/>
      <c r="L1805" s="173"/>
      <c r="M1805" s="173"/>
    </row>
    <row r="1806">
      <c r="C1806" s="170"/>
      <c r="D1806" s="172"/>
      <c r="F1806" s="173"/>
      <c r="G1806" s="173"/>
      <c r="H1806" s="173"/>
      <c r="I1806" s="173"/>
      <c r="J1806" s="173"/>
      <c r="K1806" s="173"/>
      <c r="L1806" s="173"/>
      <c r="M1806" s="173"/>
    </row>
    <row r="1807">
      <c r="C1807" s="170"/>
      <c r="D1807" s="172"/>
      <c r="F1807" s="173"/>
      <c r="G1807" s="173"/>
      <c r="H1807" s="173"/>
      <c r="I1807" s="173"/>
      <c r="J1807" s="173"/>
      <c r="K1807" s="173"/>
      <c r="L1807" s="173"/>
      <c r="M1807" s="173"/>
    </row>
    <row r="1808">
      <c r="C1808" s="170"/>
      <c r="D1808" s="172"/>
      <c r="F1808" s="173"/>
      <c r="G1808" s="173"/>
      <c r="H1808" s="173"/>
      <c r="I1808" s="173"/>
      <c r="J1808" s="173"/>
      <c r="K1808" s="173"/>
      <c r="L1808" s="173"/>
      <c r="M1808" s="173"/>
    </row>
    <row r="1809">
      <c r="C1809" s="170"/>
      <c r="D1809" s="172"/>
      <c r="F1809" s="173"/>
      <c r="G1809" s="173"/>
      <c r="H1809" s="173"/>
      <c r="I1809" s="173"/>
      <c r="J1809" s="173"/>
      <c r="K1809" s="173"/>
      <c r="L1809" s="173"/>
      <c r="M1809" s="173"/>
    </row>
    <row r="1810">
      <c r="C1810" s="170"/>
      <c r="D1810" s="172"/>
      <c r="F1810" s="173"/>
      <c r="G1810" s="173"/>
      <c r="H1810" s="173"/>
      <c r="I1810" s="173"/>
      <c r="J1810" s="173"/>
      <c r="K1810" s="173"/>
      <c r="L1810" s="173"/>
      <c r="M1810" s="173"/>
    </row>
    <row r="1811">
      <c r="C1811" s="170"/>
      <c r="D1811" s="172"/>
      <c r="F1811" s="173"/>
      <c r="G1811" s="173"/>
      <c r="H1811" s="173"/>
      <c r="I1811" s="173"/>
      <c r="J1811" s="173"/>
      <c r="K1811" s="173"/>
      <c r="L1811" s="173"/>
      <c r="M1811" s="173"/>
    </row>
    <row r="1812">
      <c r="C1812" s="170"/>
      <c r="D1812" s="172"/>
      <c r="F1812" s="173"/>
      <c r="G1812" s="173"/>
      <c r="H1812" s="173"/>
      <c r="I1812" s="173"/>
      <c r="J1812" s="173"/>
      <c r="K1812" s="173"/>
      <c r="L1812" s="173"/>
      <c r="M1812" s="173"/>
    </row>
    <row r="1813">
      <c r="C1813" s="170"/>
      <c r="D1813" s="172"/>
      <c r="F1813" s="173"/>
      <c r="G1813" s="173"/>
      <c r="H1813" s="173"/>
      <c r="I1813" s="173"/>
      <c r="J1813" s="173"/>
      <c r="K1813" s="173"/>
      <c r="L1813" s="173"/>
      <c r="M1813" s="173"/>
    </row>
    <row r="1814">
      <c r="C1814" s="170"/>
      <c r="D1814" s="172"/>
      <c r="F1814" s="173"/>
      <c r="G1814" s="173"/>
      <c r="H1814" s="173"/>
      <c r="I1814" s="173"/>
      <c r="J1814" s="173"/>
      <c r="K1814" s="173"/>
      <c r="L1814" s="173"/>
      <c r="M1814" s="173"/>
    </row>
    <row r="1815">
      <c r="C1815" s="170"/>
      <c r="D1815" s="172"/>
      <c r="F1815" s="173"/>
      <c r="G1815" s="173"/>
      <c r="H1815" s="173"/>
      <c r="I1815" s="173"/>
      <c r="J1815" s="173"/>
      <c r="K1815" s="173"/>
      <c r="L1815" s="173"/>
      <c r="M1815" s="173"/>
    </row>
    <row r="1816">
      <c r="C1816" s="170"/>
      <c r="D1816" s="172"/>
      <c r="F1816" s="173"/>
      <c r="G1816" s="173"/>
      <c r="H1816" s="173"/>
      <c r="I1816" s="173"/>
      <c r="J1816" s="173"/>
      <c r="K1816" s="173"/>
      <c r="L1816" s="173"/>
      <c r="M1816" s="173"/>
    </row>
    <row r="1817">
      <c r="C1817" s="170"/>
      <c r="D1817" s="172"/>
      <c r="F1817" s="173"/>
      <c r="G1817" s="173"/>
      <c r="H1817" s="173"/>
      <c r="I1817" s="173"/>
      <c r="J1817" s="173"/>
      <c r="K1817" s="173"/>
      <c r="L1817" s="173"/>
      <c r="M1817" s="173"/>
    </row>
    <row r="1818">
      <c r="C1818" s="170"/>
      <c r="D1818" s="172"/>
      <c r="F1818" s="173"/>
      <c r="G1818" s="173"/>
      <c r="H1818" s="173"/>
      <c r="I1818" s="173"/>
      <c r="J1818" s="173"/>
      <c r="K1818" s="173"/>
      <c r="L1818" s="173"/>
      <c r="M1818" s="173"/>
    </row>
    <row r="1819">
      <c r="C1819" s="170"/>
      <c r="D1819" s="172"/>
      <c r="F1819" s="173"/>
      <c r="G1819" s="173"/>
      <c r="H1819" s="173"/>
      <c r="I1819" s="173"/>
      <c r="J1819" s="173"/>
      <c r="K1819" s="173"/>
      <c r="L1819" s="173"/>
      <c r="M1819" s="173"/>
    </row>
    <row r="1820">
      <c r="C1820" s="170"/>
      <c r="D1820" s="172"/>
      <c r="F1820" s="173"/>
      <c r="G1820" s="173"/>
      <c r="H1820" s="173"/>
      <c r="I1820" s="173"/>
      <c r="J1820" s="173"/>
      <c r="K1820" s="173"/>
      <c r="L1820" s="173"/>
      <c r="M1820" s="173"/>
    </row>
    <row r="1821">
      <c r="C1821" s="170"/>
      <c r="D1821" s="172"/>
      <c r="F1821" s="173"/>
      <c r="G1821" s="173"/>
      <c r="H1821" s="173"/>
      <c r="I1821" s="173"/>
      <c r="J1821" s="173"/>
      <c r="K1821" s="173"/>
      <c r="L1821" s="173"/>
      <c r="M1821" s="173"/>
    </row>
    <row r="1822">
      <c r="C1822" s="170"/>
      <c r="D1822" s="172"/>
      <c r="F1822" s="173"/>
      <c r="G1822" s="173"/>
      <c r="H1822" s="173"/>
      <c r="I1822" s="173"/>
      <c r="J1822" s="173"/>
      <c r="K1822" s="173"/>
      <c r="L1822" s="173"/>
      <c r="M1822" s="173"/>
    </row>
    <row r="1823">
      <c r="C1823" s="170"/>
      <c r="D1823" s="172"/>
      <c r="F1823" s="173"/>
      <c r="G1823" s="173"/>
      <c r="H1823" s="173"/>
      <c r="I1823" s="173"/>
      <c r="J1823" s="173"/>
      <c r="K1823" s="173"/>
      <c r="L1823" s="173"/>
      <c r="M1823" s="173"/>
    </row>
    <row r="1824">
      <c r="C1824" s="170"/>
      <c r="D1824" s="172"/>
      <c r="F1824" s="173"/>
      <c r="G1824" s="173"/>
      <c r="H1824" s="173"/>
      <c r="I1824" s="173"/>
      <c r="J1824" s="173"/>
      <c r="K1824" s="173"/>
      <c r="L1824" s="173"/>
      <c r="M1824" s="173"/>
    </row>
    <row r="1825">
      <c r="C1825" s="170"/>
      <c r="D1825" s="172"/>
      <c r="F1825" s="173"/>
      <c r="G1825" s="173"/>
      <c r="H1825" s="173"/>
      <c r="I1825" s="173"/>
      <c r="J1825" s="173"/>
      <c r="K1825" s="173"/>
      <c r="L1825" s="173"/>
      <c r="M1825" s="173"/>
    </row>
    <row r="1826">
      <c r="C1826" s="170"/>
      <c r="D1826" s="172"/>
      <c r="F1826" s="173"/>
      <c r="G1826" s="173"/>
      <c r="H1826" s="173"/>
      <c r="I1826" s="173"/>
      <c r="J1826" s="173"/>
      <c r="K1826" s="173"/>
      <c r="L1826" s="173"/>
      <c r="M1826" s="173"/>
    </row>
    <row r="1827">
      <c r="C1827" s="170"/>
      <c r="D1827" s="172"/>
      <c r="F1827" s="173"/>
      <c r="G1827" s="173"/>
      <c r="H1827" s="173"/>
      <c r="I1827" s="173"/>
      <c r="J1827" s="173"/>
      <c r="K1827" s="173"/>
      <c r="L1827" s="173"/>
      <c r="M1827" s="173"/>
    </row>
    <row r="1828">
      <c r="C1828" s="170"/>
      <c r="D1828" s="172"/>
      <c r="F1828" s="173"/>
      <c r="G1828" s="173"/>
      <c r="H1828" s="173"/>
      <c r="I1828" s="173"/>
      <c r="J1828" s="173"/>
      <c r="K1828" s="173"/>
      <c r="L1828" s="173"/>
      <c r="M1828" s="173"/>
    </row>
    <row r="1829">
      <c r="C1829" s="170"/>
      <c r="D1829" s="172"/>
      <c r="F1829" s="173"/>
      <c r="G1829" s="173"/>
      <c r="H1829" s="173"/>
      <c r="I1829" s="173"/>
      <c r="J1829" s="173"/>
      <c r="K1829" s="173"/>
      <c r="L1829" s="173"/>
      <c r="M1829" s="173"/>
    </row>
    <row r="1830">
      <c r="C1830" s="170"/>
      <c r="D1830" s="172"/>
      <c r="F1830" s="173"/>
      <c r="G1830" s="173"/>
      <c r="H1830" s="173"/>
      <c r="I1830" s="173"/>
      <c r="J1830" s="173"/>
      <c r="K1830" s="173"/>
      <c r="L1830" s="173"/>
      <c r="M1830" s="173"/>
    </row>
    <row r="1831">
      <c r="C1831" s="170"/>
      <c r="D1831" s="172"/>
      <c r="F1831" s="173"/>
      <c r="G1831" s="173"/>
      <c r="H1831" s="173"/>
      <c r="I1831" s="173"/>
      <c r="J1831" s="173"/>
      <c r="K1831" s="173"/>
      <c r="L1831" s="173"/>
      <c r="M1831" s="173"/>
    </row>
    <row r="1832">
      <c r="C1832" s="170"/>
      <c r="D1832" s="172"/>
      <c r="F1832" s="173"/>
      <c r="G1832" s="173"/>
      <c r="H1832" s="173"/>
      <c r="I1832" s="173"/>
      <c r="J1832" s="173"/>
      <c r="K1832" s="173"/>
      <c r="L1832" s="173"/>
      <c r="M1832" s="173"/>
    </row>
    <row r="1833">
      <c r="C1833" s="170"/>
      <c r="D1833" s="172"/>
      <c r="F1833" s="173"/>
      <c r="G1833" s="173"/>
      <c r="H1833" s="173"/>
      <c r="I1833" s="173"/>
      <c r="J1833" s="173"/>
      <c r="K1833" s="173"/>
      <c r="L1833" s="173"/>
      <c r="M1833" s="173"/>
    </row>
    <row r="1834">
      <c r="C1834" s="170"/>
      <c r="D1834" s="172"/>
      <c r="F1834" s="173"/>
      <c r="G1834" s="173"/>
      <c r="H1834" s="173"/>
      <c r="I1834" s="173"/>
      <c r="J1834" s="173"/>
      <c r="K1834" s="173"/>
      <c r="L1834" s="173"/>
      <c r="M1834" s="173"/>
    </row>
    <row r="1835">
      <c r="C1835" s="170"/>
      <c r="D1835" s="172"/>
      <c r="F1835" s="173"/>
      <c r="G1835" s="173"/>
      <c r="H1835" s="173"/>
      <c r="I1835" s="173"/>
      <c r="J1835" s="173"/>
      <c r="K1835" s="173"/>
      <c r="L1835" s="173"/>
      <c r="M1835" s="173"/>
    </row>
    <row r="1836">
      <c r="C1836" s="170"/>
      <c r="D1836" s="172"/>
      <c r="F1836" s="173"/>
      <c r="G1836" s="173"/>
      <c r="H1836" s="173"/>
      <c r="I1836" s="173"/>
      <c r="J1836" s="173"/>
      <c r="K1836" s="173"/>
      <c r="L1836" s="173"/>
      <c r="M1836" s="173"/>
    </row>
    <row r="1837">
      <c r="C1837" s="170"/>
      <c r="D1837" s="172"/>
      <c r="F1837" s="173"/>
      <c r="G1837" s="173"/>
      <c r="H1837" s="173"/>
      <c r="I1837" s="173"/>
      <c r="J1837" s="173"/>
      <c r="K1837" s="173"/>
      <c r="L1837" s="173"/>
      <c r="M1837" s="173"/>
    </row>
    <row r="1838">
      <c r="C1838" s="170"/>
      <c r="D1838" s="172"/>
      <c r="F1838" s="173"/>
      <c r="G1838" s="173"/>
      <c r="H1838" s="173"/>
      <c r="I1838" s="173"/>
      <c r="J1838" s="173"/>
      <c r="K1838" s="173"/>
      <c r="L1838" s="173"/>
      <c r="M1838" s="173"/>
    </row>
    <row r="1839">
      <c r="C1839" s="170"/>
      <c r="D1839" s="172"/>
      <c r="F1839" s="173"/>
      <c r="G1839" s="173"/>
      <c r="H1839" s="173"/>
      <c r="I1839" s="173"/>
      <c r="J1839" s="173"/>
      <c r="K1839" s="173"/>
      <c r="L1839" s="173"/>
      <c r="M1839" s="173"/>
    </row>
    <row r="1840">
      <c r="C1840" s="170"/>
      <c r="D1840" s="172"/>
      <c r="F1840" s="173"/>
      <c r="G1840" s="173"/>
      <c r="H1840" s="173"/>
      <c r="I1840" s="173"/>
      <c r="J1840" s="173"/>
      <c r="K1840" s="173"/>
      <c r="L1840" s="173"/>
      <c r="M1840" s="173"/>
    </row>
    <row r="1841">
      <c r="C1841" s="170"/>
      <c r="D1841" s="172"/>
      <c r="F1841" s="173"/>
      <c r="G1841" s="173"/>
      <c r="H1841" s="173"/>
      <c r="I1841" s="173"/>
      <c r="J1841" s="173"/>
      <c r="K1841" s="173"/>
      <c r="L1841" s="173"/>
      <c r="M1841" s="173"/>
    </row>
    <row r="1842">
      <c r="C1842" s="170"/>
      <c r="D1842" s="172"/>
      <c r="F1842" s="173"/>
      <c r="G1842" s="173"/>
      <c r="H1842" s="173"/>
      <c r="I1842" s="173"/>
      <c r="J1842" s="173"/>
      <c r="K1842" s="173"/>
      <c r="L1842" s="173"/>
      <c r="M1842" s="173"/>
    </row>
    <row r="1843">
      <c r="C1843" s="170"/>
      <c r="D1843" s="172"/>
      <c r="F1843" s="173"/>
      <c r="G1843" s="173"/>
      <c r="H1843" s="173"/>
      <c r="I1843" s="173"/>
      <c r="J1843" s="173"/>
      <c r="K1843" s="173"/>
      <c r="L1843" s="173"/>
      <c r="M1843" s="173"/>
    </row>
    <row r="1844">
      <c r="C1844" s="170"/>
      <c r="D1844" s="172"/>
      <c r="F1844" s="173"/>
      <c r="G1844" s="173"/>
      <c r="H1844" s="173"/>
      <c r="I1844" s="173"/>
      <c r="J1844" s="173"/>
      <c r="K1844" s="173"/>
      <c r="L1844" s="173"/>
      <c r="M1844" s="173"/>
    </row>
    <row r="1845">
      <c r="C1845" s="170"/>
      <c r="D1845" s="172"/>
      <c r="F1845" s="173"/>
      <c r="G1845" s="173"/>
      <c r="H1845" s="173"/>
      <c r="I1845" s="173"/>
      <c r="J1845" s="173"/>
      <c r="K1845" s="173"/>
      <c r="L1845" s="173"/>
      <c r="M1845" s="173"/>
    </row>
    <row r="1846">
      <c r="C1846" s="170"/>
      <c r="D1846" s="172"/>
      <c r="F1846" s="173"/>
      <c r="G1846" s="173"/>
      <c r="H1846" s="173"/>
      <c r="I1846" s="173"/>
      <c r="J1846" s="173"/>
      <c r="K1846" s="173"/>
      <c r="L1846" s="173"/>
      <c r="M1846" s="173"/>
    </row>
    <row r="1847">
      <c r="C1847" s="170"/>
      <c r="D1847" s="172"/>
      <c r="F1847" s="173"/>
      <c r="G1847" s="173"/>
      <c r="H1847" s="173"/>
      <c r="I1847" s="173"/>
      <c r="J1847" s="173"/>
      <c r="K1847" s="173"/>
      <c r="L1847" s="173"/>
      <c r="M1847" s="173"/>
    </row>
    <row r="1848">
      <c r="C1848" s="170"/>
      <c r="D1848" s="172"/>
      <c r="F1848" s="173"/>
      <c r="G1848" s="173"/>
      <c r="H1848" s="173"/>
      <c r="I1848" s="173"/>
      <c r="J1848" s="173"/>
      <c r="K1848" s="173"/>
      <c r="L1848" s="173"/>
      <c r="M1848" s="173"/>
    </row>
    <row r="1849">
      <c r="C1849" s="170"/>
      <c r="D1849" s="172"/>
      <c r="F1849" s="173"/>
      <c r="G1849" s="173"/>
      <c r="H1849" s="173"/>
      <c r="I1849" s="173"/>
      <c r="J1849" s="173"/>
      <c r="K1849" s="173"/>
      <c r="L1849" s="173"/>
      <c r="M1849" s="173"/>
    </row>
    <row r="1850">
      <c r="C1850" s="170"/>
      <c r="D1850" s="172"/>
      <c r="F1850" s="173"/>
      <c r="G1850" s="173"/>
      <c r="H1850" s="173"/>
      <c r="I1850" s="173"/>
      <c r="J1850" s="173"/>
      <c r="K1850" s="173"/>
      <c r="L1850" s="173"/>
      <c r="M1850" s="173"/>
    </row>
    <row r="1851">
      <c r="C1851" s="170"/>
      <c r="D1851" s="172"/>
      <c r="F1851" s="173"/>
      <c r="G1851" s="173"/>
      <c r="H1851" s="173"/>
      <c r="I1851" s="173"/>
      <c r="J1851" s="173"/>
      <c r="K1851" s="173"/>
      <c r="L1851" s="173"/>
      <c r="M1851" s="173"/>
    </row>
    <row r="1852">
      <c r="C1852" s="170"/>
      <c r="D1852" s="172"/>
      <c r="F1852" s="173"/>
      <c r="G1852" s="173"/>
      <c r="H1852" s="173"/>
      <c r="I1852" s="173"/>
      <c r="J1852" s="173"/>
      <c r="K1852" s="173"/>
      <c r="L1852" s="173"/>
      <c r="M1852" s="173"/>
    </row>
    <row r="1853">
      <c r="C1853" s="170"/>
      <c r="D1853" s="172"/>
      <c r="F1853" s="173"/>
      <c r="G1853" s="173"/>
      <c r="H1853" s="173"/>
      <c r="I1853" s="173"/>
      <c r="J1853" s="173"/>
      <c r="K1853" s="173"/>
      <c r="L1853" s="173"/>
      <c r="M1853" s="173"/>
    </row>
    <row r="1854">
      <c r="C1854" s="170"/>
      <c r="D1854" s="172"/>
      <c r="F1854" s="173"/>
      <c r="G1854" s="173"/>
      <c r="H1854" s="173"/>
      <c r="I1854" s="173"/>
      <c r="J1854" s="173"/>
      <c r="K1854" s="173"/>
      <c r="L1854" s="173"/>
      <c r="M1854" s="173"/>
    </row>
    <row r="1855">
      <c r="C1855" s="170"/>
      <c r="D1855" s="172"/>
      <c r="F1855" s="173"/>
      <c r="G1855" s="173"/>
      <c r="H1855" s="173"/>
      <c r="I1855" s="173"/>
      <c r="J1855" s="173"/>
      <c r="K1855" s="173"/>
      <c r="L1855" s="173"/>
      <c r="M1855" s="173"/>
    </row>
    <row r="1856">
      <c r="C1856" s="170"/>
      <c r="D1856" s="172"/>
      <c r="F1856" s="173"/>
      <c r="G1856" s="173"/>
      <c r="H1856" s="173"/>
      <c r="I1856" s="173"/>
      <c r="J1856" s="173"/>
      <c r="K1856" s="173"/>
      <c r="L1856" s="173"/>
      <c r="M1856" s="173"/>
    </row>
    <row r="1857">
      <c r="C1857" s="170"/>
      <c r="D1857" s="172"/>
      <c r="F1857" s="173"/>
      <c r="G1857" s="173"/>
      <c r="H1857" s="173"/>
      <c r="I1857" s="173"/>
      <c r="J1857" s="173"/>
      <c r="K1857" s="173"/>
      <c r="L1857" s="173"/>
      <c r="M1857" s="173"/>
    </row>
    <row r="1858">
      <c r="C1858" s="170"/>
      <c r="D1858" s="172"/>
      <c r="F1858" s="173"/>
      <c r="G1858" s="173"/>
      <c r="H1858" s="173"/>
      <c r="I1858" s="173"/>
      <c r="J1858" s="173"/>
      <c r="K1858" s="173"/>
      <c r="L1858" s="173"/>
      <c r="M1858" s="173"/>
    </row>
    <row r="1859">
      <c r="C1859" s="170"/>
      <c r="D1859" s="172"/>
      <c r="F1859" s="173"/>
      <c r="G1859" s="173"/>
      <c r="H1859" s="173"/>
      <c r="I1859" s="173"/>
      <c r="J1859" s="173"/>
      <c r="K1859" s="173"/>
      <c r="L1859" s="173"/>
      <c r="M1859" s="173"/>
    </row>
    <row r="1860">
      <c r="C1860" s="170"/>
      <c r="D1860" s="172"/>
      <c r="F1860" s="173"/>
      <c r="G1860" s="173"/>
      <c r="H1860" s="173"/>
      <c r="I1860" s="173"/>
      <c r="J1860" s="173"/>
      <c r="K1860" s="173"/>
      <c r="L1860" s="173"/>
      <c r="M1860" s="173"/>
    </row>
    <row r="1861">
      <c r="C1861" s="170"/>
      <c r="D1861" s="172"/>
      <c r="F1861" s="173"/>
      <c r="G1861" s="173"/>
      <c r="H1861" s="173"/>
      <c r="I1861" s="173"/>
      <c r="J1861" s="173"/>
      <c r="K1861" s="173"/>
      <c r="L1861" s="173"/>
      <c r="M1861" s="173"/>
    </row>
    <row r="1862">
      <c r="C1862" s="170"/>
      <c r="D1862" s="172"/>
      <c r="F1862" s="173"/>
      <c r="G1862" s="173"/>
      <c r="H1862" s="173"/>
      <c r="I1862" s="173"/>
      <c r="J1862" s="173"/>
      <c r="K1862" s="173"/>
      <c r="L1862" s="173"/>
      <c r="M1862" s="173"/>
    </row>
    <row r="1863">
      <c r="C1863" s="170"/>
      <c r="D1863" s="172"/>
      <c r="F1863" s="173"/>
      <c r="G1863" s="173"/>
      <c r="H1863" s="173"/>
      <c r="I1863" s="173"/>
      <c r="J1863" s="173"/>
      <c r="K1863" s="173"/>
      <c r="L1863" s="173"/>
      <c r="M1863" s="173"/>
    </row>
    <row r="1864">
      <c r="C1864" s="170"/>
      <c r="D1864" s="172"/>
      <c r="F1864" s="173"/>
      <c r="G1864" s="173"/>
      <c r="H1864" s="173"/>
      <c r="I1864" s="173"/>
      <c r="J1864" s="173"/>
      <c r="K1864" s="173"/>
      <c r="L1864" s="173"/>
      <c r="M1864" s="173"/>
    </row>
    <row r="1865">
      <c r="C1865" s="170"/>
      <c r="D1865" s="172"/>
      <c r="F1865" s="173"/>
      <c r="G1865" s="173"/>
      <c r="H1865" s="173"/>
      <c r="I1865" s="173"/>
      <c r="J1865" s="173"/>
      <c r="K1865" s="173"/>
      <c r="L1865" s="173"/>
      <c r="M1865" s="173"/>
    </row>
    <row r="1866">
      <c r="C1866" s="170"/>
      <c r="D1866" s="172"/>
      <c r="F1866" s="173"/>
      <c r="G1866" s="173"/>
      <c r="H1866" s="173"/>
      <c r="I1866" s="173"/>
      <c r="J1866" s="173"/>
      <c r="K1866" s="173"/>
      <c r="L1866" s="173"/>
      <c r="M1866" s="173"/>
    </row>
    <row r="1867">
      <c r="C1867" s="170"/>
      <c r="D1867" s="172"/>
      <c r="F1867" s="173"/>
      <c r="G1867" s="173"/>
      <c r="H1867" s="173"/>
      <c r="I1867" s="173"/>
      <c r="J1867" s="173"/>
      <c r="K1867" s="173"/>
      <c r="L1867" s="173"/>
      <c r="M1867" s="173"/>
    </row>
    <row r="1868">
      <c r="C1868" s="170"/>
      <c r="D1868" s="172"/>
      <c r="F1868" s="173"/>
      <c r="G1868" s="173"/>
      <c r="H1868" s="173"/>
      <c r="I1868" s="173"/>
      <c r="J1868" s="173"/>
      <c r="K1868" s="173"/>
      <c r="L1868" s="173"/>
      <c r="M1868" s="173"/>
    </row>
    <row r="1869">
      <c r="C1869" s="170"/>
      <c r="D1869" s="172"/>
      <c r="F1869" s="173"/>
      <c r="G1869" s="173"/>
      <c r="H1869" s="173"/>
      <c r="I1869" s="173"/>
      <c r="J1869" s="173"/>
      <c r="K1869" s="173"/>
      <c r="L1869" s="173"/>
      <c r="M1869" s="173"/>
    </row>
    <row r="1870">
      <c r="C1870" s="170"/>
      <c r="D1870" s="172"/>
      <c r="F1870" s="173"/>
      <c r="G1870" s="173"/>
      <c r="H1870" s="173"/>
      <c r="I1870" s="173"/>
      <c r="J1870" s="173"/>
      <c r="K1870" s="173"/>
      <c r="L1870" s="173"/>
      <c r="M1870" s="173"/>
    </row>
    <row r="1871">
      <c r="C1871" s="170"/>
      <c r="D1871" s="172"/>
      <c r="F1871" s="173"/>
      <c r="G1871" s="173"/>
      <c r="H1871" s="173"/>
      <c r="I1871" s="173"/>
      <c r="J1871" s="173"/>
      <c r="K1871" s="173"/>
      <c r="L1871" s="173"/>
      <c r="M1871" s="173"/>
    </row>
    <row r="1872">
      <c r="C1872" s="170"/>
      <c r="D1872" s="172"/>
      <c r="F1872" s="173"/>
      <c r="G1872" s="173"/>
      <c r="H1872" s="173"/>
      <c r="I1872" s="173"/>
      <c r="J1872" s="173"/>
      <c r="K1872" s="173"/>
      <c r="L1872" s="173"/>
      <c r="M1872" s="173"/>
    </row>
    <row r="1873">
      <c r="C1873" s="170"/>
      <c r="D1873" s="172"/>
      <c r="F1873" s="173"/>
      <c r="G1873" s="173"/>
      <c r="H1873" s="173"/>
      <c r="I1873" s="173"/>
      <c r="J1873" s="173"/>
      <c r="K1873" s="173"/>
      <c r="L1873" s="173"/>
      <c r="M1873" s="173"/>
    </row>
    <row r="1874">
      <c r="C1874" s="170"/>
      <c r="D1874" s="172"/>
      <c r="F1874" s="173"/>
      <c r="G1874" s="173"/>
      <c r="H1874" s="173"/>
      <c r="I1874" s="173"/>
      <c r="J1874" s="173"/>
      <c r="K1874" s="173"/>
      <c r="L1874" s="173"/>
      <c r="M1874" s="173"/>
    </row>
    <row r="1875">
      <c r="C1875" s="170"/>
      <c r="D1875" s="172"/>
      <c r="F1875" s="173"/>
      <c r="G1875" s="173"/>
      <c r="H1875" s="173"/>
      <c r="I1875" s="173"/>
      <c r="J1875" s="173"/>
      <c r="K1875" s="173"/>
      <c r="L1875" s="173"/>
      <c r="M1875" s="173"/>
    </row>
    <row r="1876">
      <c r="C1876" s="170"/>
      <c r="D1876" s="172"/>
      <c r="F1876" s="173"/>
      <c r="G1876" s="173"/>
      <c r="H1876" s="173"/>
      <c r="I1876" s="173"/>
      <c r="J1876" s="173"/>
      <c r="K1876" s="173"/>
      <c r="L1876" s="173"/>
      <c r="M1876" s="173"/>
    </row>
    <row r="1877">
      <c r="C1877" s="170"/>
      <c r="D1877" s="172"/>
      <c r="F1877" s="173"/>
      <c r="G1877" s="173"/>
      <c r="H1877" s="173"/>
      <c r="I1877" s="173"/>
      <c r="J1877" s="173"/>
      <c r="K1877" s="173"/>
      <c r="L1877" s="173"/>
      <c r="M1877" s="173"/>
    </row>
    <row r="1878">
      <c r="C1878" s="170"/>
      <c r="D1878" s="172"/>
      <c r="F1878" s="173"/>
      <c r="G1878" s="173"/>
      <c r="H1878" s="173"/>
      <c r="I1878" s="173"/>
      <c r="J1878" s="173"/>
      <c r="K1878" s="173"/>
      <c r="L1878" s="173"/>
      <c r="M1878" s="173"/>
    </row>
    <row r="1879">
      <c r="C1879" s="170"/>
      <c r="D1879" s="172"/>
      <c r="F1879" s="173"/>
      <c r="G1879" s="173"/>
      <c r="H1879" s="173"/>
      <c r="I1879" s="173"/>
      <c r="J1879" s="173"/>
      <c r="K1879" s="173"/>
      <c r="L1879" s="173"/>
      <c r="M1879" s="173"/>
    </row>
    <row r="1880">
      <c r="C1880" s="170"/>
      <c r="D1880" s="172"/>
      <c r="F1880" s="173"/>
      <c r="G1880" s="173"/>
      <c r="H1880" s="173"/>
      <c r="I1880" s="173"/>
      <c r="J1880" s="173"/>
      <c r="K1880" s="173"/>
      <c r="L1880" s="173"/>
      <c r="M1880" s="173"/>
    </row>
    <row r="1881">
      <c r="C1881" s="170"/>
      <c r="D1881" s="172"/>
      <c r="F1881" s="173"/>
      <c r="G1881" s="173"/>
      <c r="H1881" s="173"/>
      <c r="I1881" s="173"/>
      <c r="J1881" s="173"/>
      <c r="K1881" s="173"/>
      <c r="L1881" s="173"/>
      <c r="M1881" s="173"/>
    </row>
    <row r="1882">
      <c r="C1882" s="170"/>
      <c r="D1882" s="172"/>
      <c r="F1882" s="173"/>
      <c r="G1882" s="173"/>
      <c r="H1882" s="173"/>
      <c r="I1882" s="173"/>
      <c r="J1882" s="173"/>
      <c r="K1882" s="173"/>
      <c r="L1882" s="173"/>
      <c r="M1882" s="173"/>
    </row>
    <row r="1883">
      <c r="C1883" s="170"/>
      <c r="D1883" s="172"/>
      <c r="F1883" s="173"/>
      <c r="G1883" s="173"/>
      <c r="H1883" s="173"/>
      <c r="I1883" s="173"/>
      <c r="J1883" s="173"/>
      <c r="K1883" s="173"/>
      <c r="L1883" s="173"/>
      <c r="M1883" s="173"/>
    </row>
    <row r="1884">
      <c r="C1884" s="170"/>
      <c r="D1884" s="172"/>
      <c r="F1884" s="173"/>
      <c r="G1884" s="173"/>
      <c r="H1884" s="173"/>
      <c r="I1884" s="173"/>
      <c r="J1884" s="173"/>
      <c r="K1884" s="173"/>
      <c r="L1884" s="173"/>
      <c r="M1884" s="173"/>
    </row>
    <row r="1885">
      <c r="C1885" s="170"/>
      <c r="D1885" s="172"/>
      <c r="F1885" s="173"/>
      <c r="G1885" s="173"/>
      <c r="H1885" s="173"/>
      <c r="I1885" s="173"/>
      <c r="J1885" s="173"/>
      <c r="K1885" s="173"/>
      <c r="L1885" s="173"/>
      <c r="M1885" s="173"/>
    </row>
    <row r="1886">
      <c r="C1886" s="170"/>
      <c r="D1886" s="172"/>
      <c r="F1886" s="173"/>
      <c r="G1886" s="173"/>
      <c r="H1886" s="173"/>
      <c r="I1886" s="173"/>
      <c r="J1886" s="173"/>
      <c r="K1886" s="173"/>
      <c r="L1886" s="173"/>
      <c r="M1886" s="173"/>
    </row>
    <row r="1887">
      <c r="C1887" s="170"/>
      <c r="D1887" s="172"/>
      <c r="F1887" s="173"/>
      <c r="G1887" s="173"/>
      <c r="H1887" s="173"/>
      <c r="I1887" s="173"/>
      <c r="J1887" s="173"/>
      <c r="K1887" s="173"/>
      <c r="L1887" s="173"/>
      <c r="M1887" s="173"/>
    </row>
    <row r="1888">
      <c r="C1888" s="170"/>
      <c r="D1888" s="172"/>
      <c r="F1888" s="173"/>
      <c r="G1888" s="173"/>
      <c r="H1888" s="173"/>
      <c r="I1888" s="173"/>
      <c r="J1888" s="173"/>
      <c r="K1888" s="173"/>
      <c r="L1888" s="173"/>
      <c r="M1888" s="173"/>
    </row>
    <row r="1889">
      <c r="C1889" s="170"/>
      <c r="D1889" s="172"/>
      <c r="F1889" s="173"/>
      <c r="G1889" s="173"/>
      <c r="H1889" s="173"/>
      <c r="I1889" s="173"/>
      <c r="J1889" s="173"/>
      <c r="K1889" s="173"/>
      <c r="L1889" s="173"/>
      <c r="M1889" s="173"/>
    </row>
    <row r="1890">
      <c r="C1890" s="170"/>
      <c r="D1890" s="172"/>
      <c r="F1890" s="173"/>
      <c r="G1890" s="173"/>
      <c r="H1890" s="173"/>
      <c r="I1890" s="173"/>
      <c r="J1890" s="173"/>
      <c r="K1890" s="173"/>
      <c r="L1890" s="173"/>
      <c r="M1890" s="173"/>
    </row>
    <row r="1891">
      <c r="C1891" s="170"/>
      <c r="D1891" s="172"/>
      <c r="F1891" s="173"/>
      <c r="G1891" s="173"/>
      <c r="H1891" s="173"/>
      <c r="I1891" s="173"/>
      <c r="J1891" s="173"/>
      <c r="K1891" s="173"/>
      <c r="L1891" s="173"/>
      <c r="M1891" s="173"/>
    </row>
    <row r="1892">
      <c r="C1892" s="170"/>
      <c r="D1892" s="172"/>
      <c r="F1892" s="173"/>
      <c r="G1892" s="173"/>
      <c r="H1892" s="173"/>
      <c r="I1892" s="173"/>
      <c r="J1892" s="173"/>
      <c r="K1892" s="173"/>
      <c r="L1892" s="173"/>
      <c r="M1892" s="173"/>
    </row>
    <row r="1893">
      <c r="C1893" s="170"/>
      <c r="D1893" s="172"/>
      <c r="F1893" s="173"/>
      <c r="G1893" s="173"/>
      <c r="H1893" s="173"/>
      <c r="I1893" s="173"/>
      <c r="J1893" s="173"/>
      <c r="K1893" s="173"/>
      <c r="L1893" s="173"/>
      <c r="M1893" s="173"/>
    </row>
    <row r="1894">
      <c r="C1894" s="170"/>
      <c r="D1894" s="172"/>
      <c r="F1894" s="173"/>
      <c r="G1894" s="173"/>
      <c r="H1894" s="173"/>
      <c r="I1894" s="173"/>
      <c r="J1894" s="173"/>
      <c r="K1894" s="173"/>
      <c r="L1894" s="173"/>
      <c r="M1894" s="173"/>
    </row>
    <row r="1895">
      <c r="C1895" s="170"/>
      <c r="D1895" s="172"/>
      <c r="F1895" s="173"/>
      <c r="G1895" s="173"/>
      <c r="H1895" s="173"/>
      <c r="I1895" s="173"/>
      <c r="J1895" s="173"/>
      <c r="K1895" s="173"/>
      <c r="L1895" s="173"/>
      <c r="M1895" s="173"/>
    </row>
    <row r="1896">
      <c r="C1896" s="170"/>
      <c r="D1896" s="172"/>
      <c r="F1896" s="173"/>
      <c r="G1896" s="173"/>
      <c r="H1896" s="173"/>
      <c r="I1896" s="173"/>
      <c r="J1896" s="173"/>
      <c r="K1896" s="173"/>
      <c r="L1896" s="173"/>
      <c r="M1896" s="173"/>
    </row>
    <row r="1897">
      <c r="C1897" s="170"/>
      <c r="D1897" s="172"/>
      <c r="F1897" s="173"/>
      <c r="G1897" s="173"/>
      <c r="H1897" s="173"/>
      <c r="I1897" s="173"/>
      <c r="J1897" s="173"/>
      <c r="K1897" s="173"/>
      <c r="L1897" s="173"/>
      <c r="M1897" s="173"/>
    </row>
    <row r="1898">
      <c r="C1898" s="170"/>
      <c r="D1898" s="172"/>
      <c r="F1898" s="173"/>
      <c r="G1898" s="173"/>
      <c r="H1898" s="173"/>
      <c r="I1898" s="173"/>
      <c r="J1898" s="173"/>
      <c r="K1898" s="173"/>
      <c r="L1898" s="173"/>
      <c r="M1898" s="173"/>
    </row>
    <row r="1899">
      <c r="C1899" s="170"/>
      <c r="D1899" s="172"/>
      <c r="F1899" s="173"/>
      <c r="G1899" s="173"/>
      <c r="H1899" s="173"/>
      <c r="I1899" s="173"/>
      <c r="J1899" s="173"/>
      <c r="K1899" s="173"/>
      <c r="L1899" s="173"/>
      <c r="M1899" s="173"/>
    </row>
    <row r="1900">
      <c r="C1900" s="170"/>
      <c r="D1900" s="172"/>
      <c r="F1900" s="173"/>
      <c r="G1900" s="173"/>
      <c r="H1900" s="173"/>
      <c r="I1900" s="173"/>
      <c r="J1900" s="173"/>
      <c r="K1900" s="173"/>
      <c r="L1900" s="173"/>
      <c r="M1900" s="173"/>
    </row>
    <row r="1901">
      <c r="C1901" s="170"/>
      <c r="D1901" s="172"/>
      <c r="F1901" s="173"/>
      <c r="G1901" s="173"/>
      <c r="H1901" s="173"/>
      <c r="I1901" s="173"/>
      <c r="J1901" s="173"/>
      <c r="K1901" s="173"/>
      <c r="L1901" s="173"/>
      <c r="M1901" s="173"/>
    </row>
    <row r="1902">
      <c r="C1902" s="170"/>
      <c r="D1902" s="172"/>
      <c r="F1902" s="173"/>
      <c r="G1902" s="173"/>
      <c r="H1902" s="173"/>
      <c r="I1902" s="173"/>
      <c r="J1902" s="173"/>
      <c r="K1902" s="173"/>
      <c r="L1902" s="173"/>
      <c r="M1902" s="173"/>
    </row>
    <row r="1903">
      <c r="C1903" s="170"/>
      <c r="D1903" s="172"/>
      <c r="F1903" s="173"/>
      <c r="G1903" s="173"/>
      <c r="H1903" s="173"/>
      <c r="I1903" s="173"/>
      <c r="J1903" s="173"/>
      <c r="K1903" s="173"/>
      <c r="L1903" s="173"/>
      <c r="M1903" s="173"/>
    </row>
    <row r="1904">
      <c r="C1904" s="170"/>
      <c r="D1904" s="172"/>
      <c r="F1904" s="173"/>
      <c r="G1904" s="173"/>
      <c r="H1904" s="173"/>
      <c r="I1904" s="173"/>
      <c r="J1904" s="173"/>
      <c r="K1904" s="173"/>
      <c r="L1904" s="173"/>
      <c r="M1904" s="173"/>
    </row>
    <row r="1905">
      <c r="C1905" s="170"/>
      <c r="D1905" s="172"/>
      <c r="F1905" s="173"/>
      <c r="G1905" s="173"/>
      <c r="H1905" s="173"/>
      <c r="I1905" s="173"/>
      <c r="J1905" s="173"/>
      <c r="K1905" s="173"/>
      <c r="L1905" s="173"/>
      <c r="M1905" s="173"/>
    </row>
    <row r="1906">
      <c r="C1906" s="170"/>
      <c r="D1906" s="172"/>
      <c r="F1906" s="173"/>
      <c r="G1906" s="173"/>
      <c r="H1906" s="173"/>
      <c r="I1906" s="173"/>
      <c r="J1906" s="173"/>
      <c r="K1906" s="173"/>
      <c r="L1906" s="173"/>
      <c r="M1906" s="173"/>
    </row>
    <row r="1907">
      <c r="C1907" s="170"/>
      <c r="D1907" s="172"/>
      <c r="F1907" s="173"/>
      <c r="G1907" s="173"/>
      <c r="H1907" s="173"/>
      <c r="I1907" s="173"/>
      <c r="J1907" s="173"/>
      <c r="K1907" s="173"/>
      <c r="L1907" s="173"/>
      <c r="M1907" s="173"/>
    </row>
    <row r="1908">
      <c r="C1908" s="170"/>
      <c r="D1908" s="172"/>
      <c r="F1908" s="173"/>
      <c r="G1908" s="173"/>
      <c r="H1908" s="173"/>
      <c r="I1908" s="173"/>
      <c r="J1908" s="173"/>
      <c r="K1908" s="173"/>
      <c r="L1908" s="173"/>
      <c r="M1908" s="173"/>
    </row>
    <row r="1909">
      <c r="C1909" s="170"/>
      <c r="D1909" s="172"/>
      <c r="F1909" s="173"/>
      <c r="G1909" s="173"/>
      <c r="H1909" s="173"/>
      <c r="I1909" s="173"/>
      <c r="J1909" s="173"/>
      <c r="K1909" s="173"/>
      <c r="L1909" s="173"/>
      <c r="M1909" s="173"/>
    </row>
    <row r="1910">
      <c r="C1910" s="170"/>
      <c r="D1910" s="172"/>
      <c r="F1910" s="173"/>
      <c r="G1910" s="173"/>
      <c r="H1910" s="173"/>
      <c r="I1910" s="173"/>
      <c r="J1910" s="173"/>
      <c r="K1910" s="173"/>
      <c r="L1910" s="173"/>
      <c r="M1910" s="173"/>
    </row>
    <row r="1911">
      <c r="C1911" s="170"/>
      <c r="D1911" s="172"/>
      <c r="F1911" s="173"/>
      <c r="G1911" s="173"/>
      <c r="H1911" s="173"/>
      <c r="I1911" s="173"/>
      <c r="J1911" s="173"/>
      <c r="K1911" s="173"/>
      <c r="L1911" s="173"/>
      <c r="M1911" s="173"/>
    </row>
    <row r="1912">
      <c r="C1912" s="170"/>
      <c r="D1912" s="172"/>
      <c r="F1912" s="173"/>
      <c r="G1912" s="173"/>
      <c r="H1912" s="173"/>
      <c r="I1912" s="173"/>
      <c r="J1912" s="173"/>
      <c r="K1912" s="173"/>
      <c r="L1912" s="173"/>
      <c r="M1912" s="173"/>
    </row>
    <row r="1913">
      <c r="C1913" s="170"/>
      <c r="D1913" s="172"/>
      <c r="F1913" s="173"/>
      <c r="G1913" s="173"/>
      <c r="H1913" s="173"/>
      <c r="I1913" s="173"/>
      <c r="J1913" s="173"/>
      <c r="K1913" s="173"/>
      <c r="L1913" s="173"/>
      <c r="M1913" s="173"/>
    </row>
    <row r="1914">
      <c r="C1914" s="170"/>
      <c r="D1914" s="172"/>
      <c r="F1914" s="173"/>
      <c r="G1914" s="173"/>
      <c r="H1914" s="173"/>
      <c r="I1914" s="173"/>
      <c r="J1914" s="173"/>
      <c r="K1914" s="173"/>
      <c r="L1914" s="173"/>
      <c r="M1914" s="173"/>
    </row>
    <row r="1915">
      <c r="C1915" s="170"/>
      <c r="D1915" s="172"/>
      <c r="F1915" s="173"/>
      <c r="G1915" s="173"/>
      <c r="H1915" s="173"/>
      <c r="I1915" s="173"/>
      <c r="J1915" s="173"/>
      <c r="K1915" s="173"/>
      <c r="L1915" s="173"/>
      <c r="M1915" s="173"/>
    </row>
    <row r="1916">
      <c r="C1916" s="170"/>
      <c r="D1916" s="172"/>
      <c r="F1916" s="173"/>
      <c r="G1916" s="173"/>
      <c r="H1916" s="173"/>
      <c r="I1916" s="173"/>
      <c r="J1916" s="173"/>
      <c r="K1916" s="173"/>
      <c r="L1916" s="173"/>
      <c r="M1916" s="173"/>
    </row>
    <row r="1917">
      <c r="C1917" s="170"/>
      <c r="D1917" s="172"/>
      <c r="F1917" s="173"/>
      <c r="G1917" s="173"/>
      <c r="H1917" s="173"/>
      <c r="I1917" s="173"/>
      <c r="J1917" s="173"/>
      <c r="K1917" s="173"/>
      <c r="L1917" s="173"/>
      <c r="M1917" s="173"/>
    </row>
    <row r="1918">
      <c r="C1918" s="170"/>
      <c r="D1918" s="172"/>
      <c r="F1918" s="173"/>
      <c r="G1918" s="173"/>
      <c r="H1918" s="173"/>
      <c r="I1918" s="173"/>
      <c r="J1918" s="173"/>
      <c r="K1918" s="173"/>
      <c r="L1918" s="173"/>
      <c r="M1918" s="173"/>
    </row>
    <row r="1919">
      <c r="C1919" s="170"/>
      <c r="D1919" s="172"/>
      <c r="F1919" s="173"/>
      <c r="G1919" s="173"/>
      <c r="H1919" s="173"/>
      <c r="I1919" s="173"/>
      <c r="J1919" s="173"/>
      <c r="K1919" s="173"/>
      <c r="L1919" s="173"/>
      <c r="M1919" s="173"/>
    </row>
    <row r="1920">
      <c r="C1920" s="170"/>
      <c r="D1920" s="172"/>
      <c r="F1920" s="173"/>
      <c r="G1920" s="173"/>
      <c r="H1920" s="173"/>
      <c r="I1920" s="173"/>
      <c r="J1920" s="173"/>
      <c r="K1920" s="173"/>
      <c r="L1920" s="173"/>
      <c r="M1920" s="173"/>
    </row>
    <row r="1921">
      <c r="C1921" s="170"/>
      <c r="D1921" s="172"/>
      <c r="F1921" s="173"/>
      <c r="G1921" s="173"/>
      <c r="H1921" s="173"/>
      <c r="I1921" s="173"/>
      <c r="J1921" s="173"/>
      <c r="K1921" s="173"/>
      <c r="L1921" s="173"/>
      <c r="M1921" s="173"/>
    </row>
    <row r="1922">
      <c r="C1922" s="170"/>
      <c r="D1922" s="172"/>
      <c r="F1922" s="173"/>
      <c r="G1922" s="173"/>
      <c r="H1922" s="173"/>
      <c r="I1922" s="173"/>
      <c r="J1922" s="173"/>
      <c r="K1922" s="173"/>
      <c r="L1922" s="173"/>
      <c r="M1922" s="173"/>
    </row>
    <row r="1923">
      <c r="C1923" s="170"/>
      <c r="D1923" s="172"/>
      <c r="F1923" s="173"/>
      <c r="G1923" s="173"/>
      <c r="H1923" s="173"/>
      <c r="I1923" s="173"/>
      <c r="J1923" s="173"/>
      <c r="K1923" s="173"/>
      <c r="L1923" s="173"/>
      <c r="M1923" s="173"/>
    </row>
    <row r="1924">
      <c r="C1924" s="170"/>
      <c r="D1924" s="172"/>
      <c r="F1924" s="173"/>
      <c r="G1924" s="173"/>
      <c r="H1924" s="173"/>
      <c r="I1924" s="173"/>
      <c r="J1924" s="173"/>
      <c r="K1924" s="173"/>
      <c r="L1924" s="173"/>
      <c r="M1924" s="173"/>
    </row>
    <row r="1925">
      <c r="C1925" s="170"/>
      <c r="D1925" s="172"/>
      <c r="F1925" s="173"/>
      <c r="G1925" s="173"/>
      <c r="H1925" s="173"/>
      <c r="I1925" s="173"/>
      <c r="J1925" s="173"/>
      <c r="K1925" s="173"/>
      <c r="L1925" s="173"/>
      <c r="M1925" s="173"/>
    </row>
    <row r="1926">
      <c r="C1926" s="170"/>
      <c r="D1926" s="172"/>
      <c r="F1926" s="173"/>
      <c r="G1926" s="173"/>
      <c r="H1926" s="173"/>
      <c r="I1926" s="173"/>
      <c r="J1926" s="173"/>
      <c r="K1926" s="173"/>
      <c r="L1926" s="173"/>
      <c r="M1926" s="173"/>
    </row>
    <row r="1927">
      <c r="C1927" s="170"/>
      <c r="D1927" s="172"/>
      <c r="F1927" s="173"/>
      <c r="G1927" s="173"/>
      <c r="H1927" s="173"/>
      <c r="I1927" s="173"/>
      <c r="J1927" s="173"/>
      <c r="K1927" s="173"/>
      <c r="L1927" s="173"/>
      <c r="M1927" s="173"/>
    </row>
    <row r="1928">
      <c r="C1928" s="170"/>
      <c r="D1928" s="172"/>
      <c r="F1928" s="173"/>
      <c r="G1928" s="173"/>
      <c r="H1928" s="173"/>
      <c r="I1928" s="173"/>
      <c r="J1928" s="173"/>
      <c r="K1928" s="173"/>
      <c r="L1928" s="173"/>
      <c r="M1928" s="173"/>
    </row>
    <row r="1929">
      <c r="C1929" s="170"/>
      <c r="D1929" s="172"/>
      <c r="F1929" s="173"/>
      <c r="G1929" s="173"/>
      <c r="H1929" s="173"/>
      <c r="I1929" s="173"/>
      <c r="J1929" s="173"/>
      <c r="K1929" s="173"/>
      <c r="L1929" s="173"/>
      <c r="M1929" s="173"/>
    </row>
    <row r="1930">
      <c r="C1930" s="170"/>
      <c r="D1930" s="172"/>
      <c r="F1930" s="173"/>
      <c r="G1930" s="173"/>
      <c r="H1930" s="173"/>
      <c r="I1930" s="173"/>
      <c r="J1930" s="173"/>
      <c r="K1930" s="173"/>
      <c r="L1930" s="173"/>
      <c r="M1930" s="173"/>
    </row>
    <row r="1931">
      <c r="C1931" s="170"/>
      <c r="D1931" s="172"/>
      <c r="F1931" s="173"/>
      <c r="G1931" s="173"/>
      <c r="H1931" s="173"/>
      <c r="I1931" s="173"/>
      <c r="J1931" s="173"/>
      <c r="K1931" s="173"/>
      <c r="L1931" s="173"/>
      <c r="M1931" s="173"/>
    </row>
    <row r="1932">
      <c r="C1932" s="170"/>
      <c r="D1932" s="172"/>
      <c r="F1932" s="173"/>
      <c r="G1932" s="173"/>
      <c r="H1932" s="173"/>
      <c r="I1932" s="173"/>
      <c r="J1932" s="173"/>
      <c r="K1932" s="173"/>
      <c r="L1932" s="173"/>
      <c r="M1932" s="173"/>
    </row>
    <row r="1933">
      <c r="C1933" s="170"/>
      <c r="D1933" s="172"/>
      <c r="F1933" s="173"/>
      <c r="G1933" s="173"/>
      <c r="H1933" s="173"/>
      <c r="I1933" s="173"/>
      <c r="J1933" s="173"/>
      <c r="K1933" s="173"/>
      <c r="L1933" s="173"/>
      <c r="M1933" s="173"/>
    </row>
    <row r="1934">
      <c r="C1934" s="170"/>
      <c r="D1934" s="172"/>
      <c r="F1934" s="173"/>
      <c r="G1934" s="173"/>
      <c r="H1934" s="173"/>
      <c r="I1934" s="173"/>
      <c r="J1934" s="173"/>
      <c r="K1934" s="173"/>
      <c r="L1934" s="173"/>
      <c r="M1934" s="173"/>
    </row>
    <row r="1935">
      <c r="C1935" s="170"/>
      <c r="D1935" s="172"/>
      <c r="F1935" s="173"/>
      <c r="G1935" s="173"/>
      <c r="H1935" s="173"/>
      <c r="I1935" s="173"/>
      <c r="J1935" s="173"/>
      <c r="K1935" s="173"/>
      <c r="L1935" s="173"/>
      <c r="M1935" s="173"/>
    </row>
    <row r="1936">
      <c r="C1936" s="170"/>
      <c r="D1936" s="172"/>
      <c r="F1936" s="173"/>
      <c r="G1936" s="173"/>
      <c r="H1936" s="173"/>
      <c r="I1936" s="173"/>
      <c r="J1936" s="173"/>
      <c r="K1936" s="173"/>
      <c r="L1936" s="173"/>
      <c r="M1936" s="173"/>
    </row>
    <row r="1937">
      <c r="C1937" s="170"/>
      <c r="D1937" s="172"/>
      <c r="F1937" s="173"/>
      <c r="G1937" s="173"/>
      <c r="H1937" s="173"/>
      <c r="I1937" s="173"/>
      <c r="J1937" s="173"/>
      <c r="K1937" s="173"/>
      <c r="L1937" s="173"/>
      <c r="M1937" s="173"/>
    </row>
    <row r="1938">
      <c r="C1938" s="170"/>
      <c r="D1938" s="172"/>
      <c r="F1938" s="173"/>
      <c r="G1938" s="173"/>
      <c r="H1938" s="173"/>
      <c r="I1938" s="173"/>
      <c r="J1938" s="173"/>
      <c r="K1938" s="173"/>
      <c r="L1938" s="173"/>
      <c r="M1938" s="173"/>
    </row>
    <row r="1939">
      <c r="C1939" s="170"/>
      <c r="D1939" s="172"/>
      <c r="F1939" s="173"/>
      <c r="G1939" s="173"/>
      <c r="H1939" s="173"/>
      <c r="I1939" s="173"/>
      <c r="J1939" s="173"/>
      <c r="K1939" s="173"/>
      <c r="L1939" s="173"/>
      <c r="M1939" s="173"/>
    </row>
    <row r="1940">
      <c r="C1940" s="170"/>
      <c r="D1940" s="172"/>
      <c r="F1940" s="173"/>
      <c r="G1940" s="173"/>
      <c r="H1940" s="173"/>
      <c r="I1940" s="173"/>
      <c r="J1940" s="173"/>
      <c r="K1940" s="173"/>
      <c r="L1940" s="173"/>
      <c r="M1940" s="173"/>
    </row>
    <row r="1941">
      <c r="C1941" s="170"/>
      <c r="D1941" s="172"/>
      <c r="F1941" s="173"/>
      <c r="G1941" s="173"/>
      <c r="H1941" s="173"/>
      <c r="I1941" s="173"/>
      <c r="J1941" s="173"/>
      <c r="K1941" s="173"/>
      <c r="L1941" s="173"/>
      <c r="M1941" s="173"/>
    </row>
    <row r="1942">
      <c r="C1942" s="170"/>
      <c r="D1942" s="172"/>
      <c r="F1942" s="173"/>
      <c r="G1942" s="173"/>
      <c r="H1942" s="173"/>
      <c r="I1942" s="173"/>
      <c r="J1942" s="173"/>
      <c r="K1942" s="173"/>
      <c r="L1942" s="173"/>
      <c r="M1942" s="173"/>
    </row>
    <row r="1943">
      <c r="C1943" s="170"/>
      <c r="D1943" s="172"/>
      <c r="F1943" s="173"/>
      <c r="G1943" s="173"/>
      <c r="H1943" s="173"/>
      <c r="I1943" s="173"/>
      <c r="J1943" s="173"/>
      <c r="K1943" s="173"/>
      <c r="L1943" s="173"/>
      <c r="M1943" s="173"/>
    </row>
    <row r="1944">
      <c r="C1944" s="170"/>
      <c r="D1944" s="172"/>
      <c r="F1944" s="173"/>
      <c r="G1944" s="173"/>
      <c r="H1944" s="173"/>
      <c r="I1944" s="173"/>
      <c r="J1944" s="173"/>
      <c r="K1944" s="173"/>
      <c r="L1944" s="173"/>
      <c r="M1944" s="173"/>
    </row>
    <row r="1945">
      <c r="C1945" s="170"/>
      <c r="D1945" s="172"/>
      <c r="F1945" s="173"/>
      <c r="G1945" s="173"/>
      <c r="H1945" s="173"/>
      <c r="I1945" s="173"/>
      <c r="J1945" s="173"/>
      <c r="K1945" s="173"/>
      <c r="L1945" s="173"/>
      <c r="M1945" s="173"/>
    </row>
    <row r="1946">
      <c r="C1946" s="170"/>
      <c r="D1946" s="172"/>
      <c r="F1946" s="173"/>
      <c r="G1946" s="173"/>
      <c r="H1946" s="173"/>
      <c r="I1946" s="173"/>
      <c r="J1946" s="173"/>
      <c r="K1946" s="173"/>
      <c r="L1946" s="173"/>
      <c r="M1946" s="173"/>
    </row>
    <row r="1947">
      <c r="C1947" s="170"/>
      <c r="D1947" s="172"/>
      <c r="F1947" s="173"/>
      <c r="G1947" s="173"/>
      <c r="H1947" s="173"/>
      <c r="I1947" s="173"/>
      <c r="J1947" s="173"/>
      <c r="K1947" s="173"/>
      <c r="L1947" s="173"/>
      <c r="M1947" s="173"/>
    </row>
    <row r="1948">
      <c r="C1948" s="170"/>
      <c r="D1948" s="172"/>
      <c r="F1948" s="173"/>
      <c r="G1948" s="173"/>
      <c r="H1948" s="173"/>
      <c r="I1948" s="173"/>
      <c r="J1948" s="173"/>
      <c r="K1948" s="173"/>
      <c r="L1948" s="173"/>
      <c r="M1948" s="173"/>
    </row>
    <row r="1949">
      <c r="C1949" s="170"/>
      <c r="D1949" s="172"/>
      <c r="F1949" s="173"/>
      <c r="G1949" s="173"/>
      <c r="H1949" s="173"/>
      <c r="I1949" s="173"/>
      <c r="J1949" s="173"/>
      <c r="K1949" s="173"/>
      <c r="L1949" s="173"/>
      <c r="M1949" s="173"/>
    </row>
    <row r="1950">
      <c r="C1950" s="170"/>
      <c r="D1950" s="172"/>
      <c r="F1950" s="173"/>
      <c r="G1950" s="173"/>
      <c r="H1950" s="173"/>
      <c r="I1950" s="173"/>
      <c r="J1950" s="173"/>
      <c r="K1950" s="173"/>
      <c r="L1950" s="173"/>
      <c r="M1950" s="173"/>
    </row>
    <row r="1951">
      <c r="C1951" s="170"/>
      <c r="D1951" s="172"/>
      <c r="F1951" s="173"/>
      <c r="G1951" s="173"/>
      <c r="H1951" s="173"/>
      <c r="I1951" s="173"/>
      <c r="J1951" s="173"/>
      <c r="K1951" s="173"/>
      <c r="L1951" s="173"/>
      <c r="M1951" s="173"/>
    </row>
    <row r="1952">
      <c r="C1952" s="170"/>
      <c r="D1952" s="172"/>
      <c r="F1952" s="173"/>
      <c r="G1952" s="173"/>
      <c r="H1952" s="173"/>
      <c r="I1952" s="173"/>
      <c r="J1952" s="173"/>
      <c r="K1952" s="173"/>
      <c r="L1952" s="173"/>
      <c r="M1952" s="173"/>
    </row>
    <row r="1953">
      <c r="C1953" s="170"/>
      <c r="D1953" s="172"/>
      <c r="F1953" s="173"/>
      <c r="G1953" s="173"/>
      <c r="H1953" s="173"/>
      <c r="I1953" s="173"/>
      <c r="J1953" s="173"/>
      <c r="K1953" s="173"/>
      <c r="L1953" s="173"/>
      <c r="M1953" s="173"/>
    </row>
    <row r="1954">
      <c r="C1954" s="170"/>
      <c r="D1954" s="172"/>
      <c r="F1954" s="173"/>
      <c r="G1954" s="173"/>
      <c r="H1954" s="173"/>
      <c r="I1954" s="173"/>
      <c r="J1954" s="173"/>
      <c r="K1954" s="173"/>
      <c r="L1954" s="173"/>
      <c r="M1954" s="173"/>
    </row>
    <row r="1955">
      <c r="C1955" s="170"/>
      <c r="D1955" s="172"/>
      <c r="F1955" s="173"/>
      <c r="G1955" s="173"/>
      <c r="H1955" s="173"/>
      <c r="I1955" s="173"/>
      <c r="J1955" s="173"/>
      <c r="K1955" s="173"/>
      <c r="L1955" s="173"/>
      <c r="M1955" s="173"/>
    </row>
    <row r="1956">
      <c r="C1956" s="170"/>
      <c r="D1956" s="172"/>
      <c r="F1956" s="173"/>
      <c r="G1956" s="173"/>
      <c r="H1956" s="173"/>
      <c r="I1956" s="173"/>
      <c r="J1956" s="173"/>
      <c r="K1956" s="173"/>
      <c r="L1956" s="173"/>
      <c r="M1956" s="173"/>
    </row>
    <row r="1957">
      <c r="C1957" s="170"/>
      <c r="D1957" s="172"/>
      <c r="F1957" s="173"/>
      <c r="G1957" s="173"/>
      <c r="H1957" s="173"/>
      <c r="I1957" s="173"/>
      <c r="J1957" s="173"/>
      <c r="K1957" s="173"/>
      <c r="L1957" s="173"/>
      <c r="M1957" s="173"/>
    </row>
    <row r="1958">
      <c r="C1958" s="170"/>
      <c r="D1958" s="172"/>
      <c r="F1958" s="173"/>
      <c r="G1958" s="173"/>
      <c r="H1958" s="173"/>
      <c r="I1958" s="173"/>
      <c r="J1958" s="173"/>
      <c r="K1958" s="173"/>
      <c r="L1958" s="173"/>
      <c r="M1958" s="173"/>
    </row>
    <row r="1959">
      <c r="C1959" s="170"/>
      <c r="D1959" s="172"/>
      <c r="F1959" s="173"/>
      <c r="G1959" s="173"/>
      <c r="H1959" s="173"/>
      <c r="I1959" s="173"/>
      <c r="J1959" s="173"/>
      <c r="K1959" s="173"/>
      <c r="L1959" s="173"/>
      <c r="M1959" s="173"/>
    </row>
    <row r="1960">
      <c r="C1960" s="170"/>
      <c r="D1960" s="172"/>
      <c r="F1960" s="173"/>
      <c r="G1960" s="173"/>
      <c r="H1960" s="173"/>
      <c r="I1960" s="173"/>
      <c r="J1960" s="173"/>
      <c r="K1960" s="173"/>
      <c r="L1960" s="173"/>
      <c r="M1960" s="173"/>
    </row>
    <row r="1961">
      <c r="C1961" s="170"/>
      <c r="D1961" s="172"/>
      <c r="F1961" s="173"/>
      <c r="G1961" s="173"/>
      <c r="H1961" s="173"/>
      <c r="I1961" s="173"/>
      <c r="J1961" s="173"/>
      <c r="K1961" s="173"/>
      <c r="L1961" s="173"/>
      <c r="M1961" s="173"/>
    </row>
    <row r="1962">
      <c r="C1962" s="170"/>
      <c r="D1962" s="172"/>
      <c r="F1962" s="173"/>
      <c r="G1962" s="173"/>
      <c r="H1962" s="173"/>
      <c r="I1962" s="173"/>
      <c r="J1962" s="173"/>
      <c r="K1962" s="173"/>
      <c r="L1962" s="173"/>
      <c r="M1962" s="173"/>
    </row>
    <row r="1963">
      <c r="C1963" s="170"/>
      <c r="D1963" s="172"/>
      <c r="F1963" s="173"/>
      <c r="G1963" s="173"/>
      <c r="H1963" s="173"/>
      <c r="I1963" s="173"/>
      <c r="J1963" s="173"/>
      <c r="K1963" s="173"/>
      <c r="L1963" s="173"/>
      <c r="M1963" s="173"/>
    </row>
    <row r="1964">
      <c r="C1964" s="170"/>
      <c r="D1964" s="172"/>
      <c r="F1964" s="173"/>
      <c r="G1964" s="173"/>
      <c r="H1964" s="173"/>
      <c r="I1964" s="173"/>
      <c r="J1964" s="173"/>
      <c r="K1964" s="173"/>
      <c r="L1964" s="173"/>
      <c r="M1964" s="173"/>
    </row>
    <row r="1965">
      <c r="C1965" s="170"/>
      <c r="D1965" s="172"/>
      <c r="F1965" s="173"/>
      <c r="G1965" s="173"/>
      <c r="H1965" s="173"/>
      <c r="I1965" s="173"/>
      <c r="J1965" s="173"/>
      <c r="K1965" s="173"/>
      <c r="L1965" s="173"/>
      <c r="M1965" s="173"/>
    </row>
    <row r="1966">
      <c r="C1966" s="170"/>
      <c r="D1966" s="172"/>
      <c r="F1966" s="173"/>
      <c r="G1966" s="173"/>
      <c r="H1966" s="173"/>
      <c r="I1966" s="173"/>
      <c r="J1966" s="173"/>
      <c r="K1966" s="173"/>
      <c r="L1966" s="173"/>
      <c r="M1966" s="173"/>
    </row>
    <row r="1967">
      <c r="C1967" s="170"/>
      <c r="D1967" s="172"/>
      <c r="F1967" s="173"/>
      <c r="G1967" s="173"/>
      <c r="H1967" s="173"/>
      <c r="I1967" s="173"/>
      <c r="J1967" s="173"/>
      <c r="K1967" s="173"/>
      <c r="L1967" s="173"/>
      <c r="M1967" s="173"/>
    </row>
    <row r="1968">
      <c r="C1968" s="170"/>
      <c r="D1968" s="172"/>
      <c r="F1968" s="173"/>
      <c r="G1968" s="173"/>
      <c r="H1968" s="173"/>
      <c r="I1968" s="173"/>
      <c r="J1968" s="173"/>
      <c r="K1968" s="173"/>
      <c r="L1968" s="173"/>
      <c r="M1968" s="173"/>
    </row>
    <row r="1969">
      <c r="C1969" s="170"/>
      <c r="D1969" s="172"/>
      <c r="F1969" s="173"/>
      <c r="G1969" s="173"/>
      <c r="H1969" s="173"/>
      <c r="I1969" s="173"/>
      <c r="J1969" s="173"/>
      <c r="K1969" s="173"/>
      <c r="L1969" s="173"/>
      <c r="M1969" s="173"/>
    </row>
    <row r="1970">
      <c r="C1970" s="170"/>
      <c r="D1970" s="172"/>
      <c r="F1970" s="173"/>
      <c r="G1970" s="173"/>
      <c r="H1970" s="173"/>
      <c r="I1970" s="173"/>
      <c r="J1970" s="173"/>
      <c r="K1970" s="173"/>
      <c r="L1970" s="173"/>
      <c r="M1970" s="173"/>
    </row>
    <row r="1971">
      <c r="C1971" s="170"/>
      <c r="D1971" s="172"/>
      <c r="F1971" s="173"/>
      <c r="G1971" s="173"/>
      <c r="H1971" s="173"/>
      <c r="I1971" s="173"/>
      <c r="J1971" s="173"/>
      <c r="K1971" s="173"/>
      <c r="L1971" s="173"/>
      <c r="M1971" s="173"/>
    </row>
    <row r="1972">
      <c r="C1972" s="170"/>
      <c r="D1972" s="172"/>
      <c r="F1972" s="173"/>
      <c r="G1972" s="173"/>
      <c r="H1972" s="173"/>
      <c r="I1972" s="173"/>
      <c r="J1972" s="173"/>
      <c r="K1972" s="173"/>
      <c r="L1972" s="173"/>
      <c r="M1972" s="173"/>
    </row>
    <row r="1973">
      <c r="C1973" s="170"/>
      <c r="D1973" s="172"/>
      <c r="F1973" s="173"/>
      <c r="G1973" s="173"/>
      <c r="H1973" s="173"/>
      <c r="I1973" s="173"/>
      <c r="J1973" s="173"/>
      <c r="K1973" s="173"/>
      <c r="L1973" s="173"/>
      <c r="M1973" s="173"/>
    </row>
    <row r="1974">
      <c r="C1974" s="170"/>
      <c r="D1974" s="172"/>
      <c r="F1974" s="173"/>
      <c r="G1974" s="173"/>
      <c r="H1974" s="173"/>
      <c r="I1974" s="173"/>
      <c r="J1974" s="173"/>
      <c r="K1974" s="173"/>
      <c r="L1974" s="173"/>
      <c r="M1974" s="173"/>
    </row>
    <row r="1975">
      <c r="C1975" s="170"/>
      <c r="D1975" s="172"/>
      <c r="F1975" s="173"/>
      <c r="G1975" s="173"/>
      <c r="H1975" s="173"/>
      <c r="I1975" s="173"/>
      <c r="J1975" s="173"/>
      <c r="K1975" s="173"/>
      <c r="L1975" s="173"/>
      <c r="M1975" s="173"/>
    </row>
    <row r="1976">
      <c r="C1976" s="170"/>
      <c r="D1976" s="172"/>
      <c r="F1976" s="173"/>
      <c r="G1976" s="173"/>
      <c r="H1976" s="173"/>
      <c r="I1976" s="173"/>
      <c r="J1976" s="173"/>
      <c r="K1976" s="173"/>
      <c r="L1976" s="173"/>
      <c r="M1976" s="173"/>
    </row>
    <row r="1977">
      <c r="C1977" s="170"/>
      <c r="D1977" s="172"/>
      <c r="F1977" s="173"/>
      <c r="G1977" s="173"/>
      <c r="H1977" s="173"/>
      <c r="I1977" s="173"/>
      <c r="J1977" s="173"/>
      <c r="K1977" s="173"/>
      <c r="L1977" s="173"/>
      <c r="M1977" s="173"/>
    </row>
    <row r="1978">
      <c r="C1978" s="170"/>
      <c r="D1978" s="172"/>
      <c r="F1978" s="173"/>
      <c r="G1978" s="173"/>
      <c r="H1978" s="173"/>
      <c r="I1978" s="173"/>
      <c r="J1978" s="173"/>
      <c r="K1978" s="173"/>
      <c r="L1978" s="173"/>
      <c r="M1978" s="173"/>
    </row>
    <row r="1979">
      <c r="C1979" s="170"/>
      <c r="D1979" s="172"/>
      <c r="F1979" s="173"/>
      <c r="G1979" s="173"/>
      <c r="H1979" s="173"/>
      <c r="I1979" s="173"/>
      <c r="J1979" s="173"/>
      <c r="K1979" s="173"/>
      <c r="L1979" s="173"/>
      <c r="M1979" s="173"/>
    </row>
    <row r="1980">
      <c r="C1980" s="170"/>
      <c r="D1980" s="172"/>
      <c r="F1980" s="173"/>
      <c r="G1980" s="173"/>
      <c r="H1980" s="173"/>
      <c r="I1980" s="173"/>
      <c r="J1980" s="173"/>
      <c r="K1980" s="173"/>
      <c r="L1980" s="173"/>
      <c r="M1980" s="173"/>
    </row>
    <row r="1981">
      <c r="C1981" s="170"/>
      <c r="D1981" s="172"/>
      <c r="F1981" s="173"/>
      <c r="G1981" s="173"/>
      <c r="H1981" s="173"/>
      <c r="I1981" s="173"/>
      <c r="J1981" s="173"/>
      <c r="K1981" s="173"/>
      <c r="L1981" s="173"/>
      <c r="M1981" s="173"/>
    </row>
    <row r="1982">
      <c r="C1982" s="170"/>
      <c r="D1982" s="172"/>
      <c r="F1982" s="173"/>
      <c r="G1982" s="173"/>
      <c r="H1982" s="173"/>
      <c r="I1982" s="173"/>
      <c r="J1982" s="173"/>
      <c r="K1982" s="173"/>
      <c r="L1982" s="173"/>
      <c r="M1982" s="173"/>
    </row>
    <row r="1983">
      <c r="C1983" s="170"/>
      <c r="D1983" s="172"/>
      <c r="F1983" s="173"/>
      <c r="G1983" s="173"/>
      <c r="H1983" s="173"/>
      <c r="I1983" s="173"/>
      <c r="J1983" s="173"/>
      <c r="K1983" s="173"/>
      <c r="L1983" s="173"/>
      <c r="M1983" s="173"/>
    </row>
    <row r="1984">
      <c r="C1984" s="170"/>
      <c r="D1984" s="172"/>
      <c r="F1984" s="173"/>
      <c r="G1984" s="173"/>
      <c r="H1984" s="173"/>
      <c r="I1984" s="173"/>
      <c r="J1984" s="173"/>
      <c r="K1984" s="173"/>
      <c r="L1984" s="173"/>
      <c r="M1984" s="173"/>
    </row>
    <row r="1985">
      <c r="C1985" s="170"/>
      <c r="D1985" s="172"/>
      <c r="F1985" s="173"/>
      <c r="G1985" s="173"/>
      <c r="H1985" s="173"/>
      <c r="I1985" s="173"/>
      <c r="J1985" s="173"/>
      <c r="K1985" s="173"/>
      <c r="L1985" s="173"/>
      <c r="M1985" s="173"/>
    </row>
    <row r="1986">
      <c r="C1986" s="170"/>
      <c r="D1986" s="172"/>
      <c r="F1986" s="173"/>
      <c r="G1986" s="173"/>
      <c r="H1986" s="173"/>
      <c r="I1986" s="173"/>
      <c r="J1986" s="173"/>
      <c r="K1986" s="173"/>
      <c r="L1986" s="173"/>
      <c r="M1986" s="173"/>
    </row>
    <row r="1987">
      <c r="C1987" s="170"/>
      <c r="D1987" s="172"/>
      <c r="F1987" s="173"/>
      <c r="G1987" s="173"/>
      <c r="H1987" s="173"/>
      <c r="I1987" s="173"/>
      <c r="J1987" s="173"/>
      <c r="K1987" s="173"/>
      <c r="L1987" s="173"/>
      <c r="M1987" s="173"/>
    </row>
    <row r="1988">
      <c r="C1988" s="170"/>
      <c r="D1988" s="172"/>
      <c r="F1988" s="173"/>
      <c r="G1988" s="173"/>
      <c r="H1988" s="173"/>
      <c r="I1988" s="173"/>
      <c r="J1988" s="173"/>
      <c r="K1988" s="173"/>
      <c r="L1988" s="173"/>
      <c r="M1988" s="173"/>
    </row>
    <row r="1989">
      <c r="C1989" s="170"/>
      <c r="D1989" s="172"/>
      <c r="F1989" s="173"/>
      <c r="G1989" s="173"/>
      <c r="H1989" s="173"/>
      <c r="I1989" s="173"/>
      <c r="J1989" s="173"/>
      <c r="K1989" s="173"/>
      <c r="L1989" s="173"/>
      <c r="M1989" s="173"/>
    </row>
    <row r="1990">
      <c r="C1990" s="170"/>
      <c r="D1990" s="172"/>
      <c r="F1990" s="173"/>
      <c r="G1990" s="173"/>
      <c r="H1990" s="173"/>
      <c r="I1990" s="173"/>
      <c r="J1990" s="173"/>
      <c r="K1990" s="173"/>
      <c r="L1990" s="173"/>
      <c r="M1990" s="173"/>
    </row>
    <row r="1991">
      <c r="C1991" s="170"/>
      <c r="D1991" s="172"/>
      <c r="F1991" s="173"/>
      <c r="G1991" s="173"/>
      <c r="H1991" s="173"/>
      <c r="I1991" s="173"/>
      <c r="J1991" s="173"/>
      <c r="K1991" s="173"/>
      <c r="L1991" s="173"/>
      <c r="M1991" s="173"/>
    </row>
    <row r="1992">
      <c r="C1992" s="170"/>
      <c r="D1992" s="172"/>
      <c r="F1992" s="173"/>
      <c r="G1992" s="173"/>
      <c r="H1992" s="173"/>
      <c r="I1992" s="173"/>
      <c r="J1992" s="173"/>
      <c r="K1992" s="173"/>
      <c r="L1992" s="173"/>
      <c r="M1992" s="173"/>
    </row>
    <row r="1993">
      <c r="C1993" s="170"/>
      <c r="D1993" s="172"/>
      <c r="F1993" s="173"/>
      <c r="G1993" s="173"/>
      <c r="H1993" s="173"/>
      <c r="I1993" s="173"/>
      <c r="J1993" s="173"/>
      <c r="K1993" s="173"/>
      <c r="L1993" s="173"/>
      <c r="M1993" s="173"/>
    </row>
    <row r="1994">
      <c r="C1994" s="170"/>
      <c r="D1994" s="172"/>
      <c r="F1994" s="173"/>
      <c r="G1994" s="173"/>
      <c r="H1994" s="173"/>
      <c r="I1994" s="173"/>
      <c r="J1994" s="173"/>
      <c r="K1994" s="173"/>
      <c r="L1994" s="173"/>
      <c r="M1994" s="173"/>
    </row>
    <row r="1995">
      <c r="C1995" s="170"/>
      <c r="D1995" s="172"/>
      <c r="F1995" s="173"/>
      <c r="G1995" s="173"/>
      <c r="H1995" s="173"/>
      <c r="I1995" s="173"/>
      <c r="J1995" s="173"/>
      <c r="K1995" s="173"/>
      <c r="L1995" s="173"/>
      <c r="M1995" s="173"/>
    </row>
    <row r="1996">
      <c r="C1996" s="170"/>
      <c r="D1996" s="172"/>
      <c r="F1996" s="173"/>
      <c r="G1996" s="173"/>
      <c r="H1996" s="173"/>
      <c r="I1996" s="173"/>
      <c r="J1996" s="173"/>
      <c r="K1996" s="173"/>
      <c r="L1996" s="173"/>
      <c r="M1996" s="173"/>
    </row>
    <row r="1997">
      <c r="C1997" s="170"/>
      <c r="D1997" s="172"/>
      <c r="F1997" s="173"/>
      <c r="G1997" s="173"/>
      <c r="H1997" s="173"/>
      <c r="I1997" s="173"/>
      <c r="J1997" s="173"/>
      <c r="K1997" s="173"/>
      <c r="L1997" s="173"/>
      <c r="M1997" s="173"/>
    </row>
    <row r="1998">
      <c r="C1998" s="170"/>
      <c r="D1998" s="172"/>
      <c r="F1998" s="173"/>
      <c r="G1998" s="173"/>
      <c r="H1998" s="173"/>
      <c r="I1998" s="173"/>
      <c r="J1998" s="173"/>
      <c r="K1998" s="173"/>
      <c r="L1998" s="173"/>
      <c r="M1998" s="173"/>
    </row>
    <row r="1999">
      <c r="C1999" s="170"/>
      <c r="D1999" s="172"/>
      <c r="F1999" s="173"/>
      <c r="G1999" s="173"/>
      <c r="H1999" s="173"/>
      <c r="I1999" s="173"/>
      <c r="J1999" s="173"/>
      <c r="K1999" s="173"/>
      <c r="L1999" s="173"/>
      <c r="M1999" s="173"/>
    </row>
    <row r="2000">
      <c r="C2000" s="170"/>
      <c r="D2000" s="172"/>
      <c r="F2000" s="173"/>
      <c r="G2000" s="173"/>
      <c r="H2000" s="173"/>
      <c r="I2000" s="173"/>
      <c r="J2000" s="173"/>
      <c r="K2000" s="173"/>
      <c r="L2000" s="173"/>
      <c r="M2000" s="173"/>
    </row>
    <row r="2001">
      <c r="C2001" s="170"/>
      <c r="D2001" s="172"/>
      <c r="F2001" s="173"/>
      <c r="G2001" s="173"/>
      <c r="H2001" s="173"/>
      <c r="I2001" s="173"/>
      <c r="J2001" s="173"/>
      <c r="K2001" s="173"/>
      <c r="L2001" s="173"/>
      <c r="M2001" s="173"/>
    </row>
    <row r="2002">
      <c r="C2002" s="170"/>
      <c r="D2002" s="172"/>
      <c r="F2002" s="173"/>
      <c r="G2002" s="173"/>
      <c r="H2002" s="173"/>
      <c r="I2002" s="173"/>
      <c r="J2002" s="173"/>
      <c r="K2002" s="173"/>
      <c r="L2002" s="173"/>
      <c r="M2002" s="173"/>
    </row>
    <row r="2003">
      <c r="C2003" s="170"/>
      <c r="D2003" s="172"/>
      <c r="F2003" s="173"/>
      <c r="G2003" s="173"/>
      <c r="H2003" s="173"/>
      <c r="I2003" s="173"/>
      <c r="J2003" s="173"/>
      <c r="K2003" s="173"/>
      <c r="L2003" s="173"/>
      <c r="M2003" s="17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  <col customWidth="1" min="2" max="2" width="8.88"/>
    <col customWidth="1" min="3" max="3" width="18.63"/>
    <col customWidth="1" min="4" max="4" width="12.5"/>
    <col customWidth="1" min="5" max="5" width="14.5"/>
    <col customWidth="1" min="6" max="6" width="16.75"/>
    <col customWidth="1" min="7" max="7" width="17.75"/>
    <col customWidth="1" min="8" max="8" width="22.63"/>
    <col customWidth="1" min="9" max="9" width="20.0"/>
    <col customWidth="1" min="10" max="10" width="15.38"/>
    <col customWidth="1" min="11" max="11" width="11.13"/>
    <col customWidth="1" min="12" max="12" width="12.5"/>
    <col customWidth="1" min="13" max="13" width="31.13"/>
    <col customWidth="1" min="14" max="14" width="28.13"/>
    <col customWidth="1" min="15" max="15" width="30.5"/>
    <col customWidth="1" min="16" max="16" width="29.75"/>
  </cols>
  <sheetData>
    <row r="1">
      <c r="A1" s="147" t="s">
        <v>551</v>
      </c>
      <c r="B1" s="147" t="s">
        <v>551</v>
      </c>
      <c r="C1" s="147" t="s">
        <v>551</v>
      </c>
      <c r="D1" s="147" t="s">
        <v>551</v>
      </c>
      <c r="E1" s="147" t="s">
        <v>552</v>
      </c>
      <c r="F1" s="147" t="s">
        <v>552</v>
      </c>
      <c r="G1" s="175" t="s">
        <v>552</v>
      </c>
      <c r="H1" s="176" t="s">
        <v>544</v>
      </c>
      <c r="I1" s="177" t="s">
        <v>544</v>
      </c>
      <c r="J1" s="147" t="s">
        <v>552</v>
      </c>
      <c r="K1" s="147" t="s">
        <v>552</v>
      </c>
      <c r="L1" s="147" t="s">
        <v>552</v>
      </c>
      <c r="M1" s="177" t="s">
        <v>544</v>
      </c>
      <c r="N1" s="177" t="s">
        <v>544</v>
      </c>
      <c r="O1" s="177" t="s">
        <v>544</v>
      </c>
      <c r="P1" s="177" t="s">
        <v>544</v>
      </c>
    </row>
    <row r="2">
      <c r="A2" s="168" t="s">
        <v>5138</v>
      </c>
      <c r="B2" s="168" t="s">
        <v>5138</v>
      </c>
      <c r="C2" s="168" t="s">
        <v>5138</v>
      </c>
      <c r="D2" s="168" t="s">
        <v>5138</v>
      </c>
      <c r="E2" s="161" t="s">
        <v>3821</v>
      </c>
      <c r="F2" s="161" t="s">
        <v>3821</v>
      </c>
      <c r="G2" s="161" t="s">
        <v>3810</v>
      </c>
      <c r="H2" s="178" t="s">
        <v>5124</v>
      </c>
      <c r="I2" s="179" t="s">
        <v>5124</v>
      </c>
      <c r="J2" s="161" t="s">
        <v>3821</v>
      </c>
      <c r="K2" s="161" t="s">
        <v>3821</v>
      </c>
      <c r="L2" s="161" t="s">
        <v>3821</v>
      </c>
      <c r="M2" s="179" t="s">
        <v>5124</v>
      </c>
      <c r="N2" s="179" t="s">
        <v>5124</v>
      </c>
      <c r="O2" s="179" t="s">
        <v>5124</v>
      </c>
      <c r="P2" s="179" t="s">
        <v>5124</v>
      </c>
      <c r="Q2" s="72"/>
    </row>
    <row r="3">
      <c r="A3" s="153" t="s">
        <v>5139</v>
      </c>
      <c r="B3" s="153" t="s">
        <v>5140</v>
      </c>
      <c r="C3" s="153" t="s">
        <v>5141</v>
      </c>
      <c r="D3" s="153" t="s">
        <v>5142</v>
      </c>
      <c r="E3" s="153" t="s">
        <v>5143</v>
      </c>
      <c r="F3" s="153" t="s">
        <v>5144</v>
      </c>
      <c r="G3" s="180" t="s">
        <v>5145</v>
      </c>
      <c r="H3" s="181" t="s">
        <v>5146</v>
      </c>
      <c r="I3" s="182" t="s">
        <v>5147</v>
      </c>
      <c r="J3" s="153" t="s">
        <v>5148</v>
      </c>
      <c r="K3" s="153" t="s">
        <v>5149</v>
      </c>
      <c r="L3" s="153" t="s">
        <v>5150</v>
      </c>
      <c r="M3" s="182" t="s">
        <v>5151</v>
      </c>
      <c r="N3" s="182" t="s">
        <v>5152</v>
      </c>
      <c r="O3" s="182" t="s">
        <v>5153</v>
      </c>
      <c r="P3" s="182" t="s">
        <v>5154</v>
      </c>
      <c r="Q3" s="10"/>
    </row>
    <row r="4">
      <c r="A4" s="168">
        <v>28.0</v>
      </c>
      <c r="B4" s="168">
        <v>15.0</v>
      </c>
      <c r="C4" s="168">
        <v>65.0</v>
      </c>
      <c r="D4" s="168">
        <v>91.0</v>
      </c>
      <c r="E4" s="168">
        <v>6.0</v>
      </c>
      <c r="F4" s="168">
        <v>9.0</v>
      </c>
      <c r="G4" s="168">
        <v>5.0</v>
      </c>
      <c r="H4" s="183">
        <v>70263.97</v>
      </c>
      <c r="I4" s="184">
        <v>84693.53</v>
      </c>
      <c r="J4" s="168">
        <v>1.0</v>
      </c>
      <c r="K4" s="168">
        <v>6.0</v>
      </c>
      <c r="L4" s="168">
        <v>8.0</v>
      </c>
      <c r="M4" s="184">
        <v>75034.43</v>
      </c>
      <c r="N4" s="184">
        <v>36195.2</v>
      </c>
      <c r="O4" s="184">
        <v>-29494.5</v>
      </c>
      <c r="P4" s="184">
        <v>-18960.52</v>
      </c>
    </row>
    <row r="5">
      <c r="A5" s="168">
        <v>75.0</v>
      </c>
      <c r="B5" s="168">
        <v>60.0</v>
      </c>
      <c r="C5" s="168">
        <v>54.0</v>
      </c>
      <c r="D5" s="168">
        <v>49.0</v>
      </c>
      <c r="E5" s="168">
        <v>2.0</v>
      </c>
      <c r="F5" s="168">
        <v>6.0</v>
      </c>
      <c r="G5" s="168">
        <v>8.0</v>
      </c>
      <c r="H5" s="183">
        <v>-15109.58</v>
      </c>
      <c r="I5" s="184">
        <v>38787.54</v>
      </c>
      <c r="J5" s="168">
        <v>1.0</v>
      </c>
      <c r="K5" s="168">
        <v>1.0</v>
      </c>
      <c r="L5" s="168">
        <v>7.0</v>
      </c>
      <c r="M5" s="184">
        <v>15417.58</v>
      </c>
      <c r="N5" s="184">
        <v>97483.51</v>
      </c>
      <c r="O5" s="184">
        <v>-39924.95</v>
      </c>
      <c r="P5" s="184">
        <v>-94485.9</v>
      </c>
    </row>
    <row r="6">
      <c r="A6" s="168">
        <v>46.0</v>
      </c>
      <c r="B6" s="168">
        <v>72.0</v>
      </c>
      <c r="C6" s="168">
        <v>58.0</v>
      </c>
      <c r="D6" s="168">
        <v>58.0</v>
      </c>
      <c r="E6" s="168">
        <v>3.0</v>
      </c>
      <c r="F6" s="168">
        <v>5.0</v>
      </c>
      <c r="G6" s="168">
        <v>7.0</v>
      </c>
      <c r="H6" s="183">
        <v>92021.16</v>
      </c>
      <c r="I6" s="184">
        <v>14945.12</v>
      </c>
      <c r="J6" s="168">
        <v>8.0</v>
      </c>
      <c r="K6" s="168">
        <v>7.0</v>
      </c>
      <c r="L6" s="168">
        <v>3.0</v>
      </c>
      <c r="M6" s="184">
        <v>-13450.85</v>
      </c>
      <c r="N6" s="184">
        <v>14372.69</v>
      </c>
      <c r="O6" s="184">
        <v>-53757.66</v>
      </c>
      <c r="P6" s="184">
        <v>-93310.48</v>
      </c>
    </row>
    <row r="7">
      <c r="A7" s="168">
        <v>59.0</v>
      </c>
      <c r="B7" s="168">
        <v>69.0</v>
      </c>
      <c r="C7" s="168">
        <v>30.0</v>
      </c>
      <c r="D7" s="168">
        <v>22.0</v>
      </c>
      <c r="E7" s="168">
        <v>5.0</v>
      </c>
      <c r="F7" s="168">
        <v>8.0</v>
      </c>
      <c r="G7" s="168">
        <v>1.0</v>
      </c>
      <c r="H7" s="183">
        <v>-73402.29</v>
      </c>
      <c r="I7" s="184">
        <v>6629.04</v>
      </c>
      <c r="J7" s="168">
        <v>7.0</v>
      </c>
      <c r="K7" s="168">
        <v>5.0</v>
      </c>
      <c r="L7" s="168">
        <v>3.0</v>
      </c>
      <c r="M7" s="184">
        <v>11240.33</v>
      </c>
      <c r="N7" s="184">
        <v>-17683.87</v>
      </c>
      <c r="O7" s="184">
        <v>-6462.22</v>
      </c>
      <c r="P7" s="184">
        <v>68606.18</v>
      </c>
    </row>
    <row r="8">
      <c r="A8" s="168">
        <v>78.0</v>
      </c>
      <c r="B8" s="168">
        <v>96.0</v>
      </c>
      <c r="C8" s="168">
        <v>32.0</v>
      </c>
      <c r="D8" s="168">
        <v>76.0</v>
      </c>
      <c r="E8" s="168">
        <v>2.0</v>
      </c>
      <c r="F8" s="168">
        <v>7.0</v>
      </c>
      <c r="G8" s="168">
        <v>7.0</v>
      </c>
      <c r="H8" s="183">
        <v>19387.36</v>
      </c>
      <c r="I8" s="184">
        <v>71063.04</v>
      </c>
      <c r="J8" s="168">
        <v>3.0</v>
      </c>
      <c r="K8" s="168">
        <v>5.0</v>
      </c>
      <c r="L8" s="168">
        <v>3.0</v>
      </c>
      <c r="M8" s="184">
        <v>63907.78</v>
      </c>
      <c r="N8" s="184">
        <v>-69549.35</v>
      </c>
      <c r="O8" s="184">
        <v>99801.49</v>
      </c>
      <c r="P8" s="184">
        <v>97641.34</v>
      </c>
    </row>
    <row r="9">
      <c r="A9" s="168">
        <v>36.0</v>
      </c>
      <c r="B9" s="168">
        <v>88.0</v>
      </c>
      <c r="C9" s="168">
        <v>21.0</v>
      </c>
      <c r="D9" s="168">
        <v>78.0</v>
      </c>
      <c r="E9" s="168">
        <v>2.0</v>
      </c>
      <c r="F9" s="168">
        <v>1.0</v>
      </c>
      <c r="G9" s="168">
        <v>5.0</v>
      </c>
      <c r="H9" s="183">
        <v>-47345.16</v>
      </c>
      <c r="I9" s="184">
        <v>18782.49</v>
      </c>
      <c r="J9" s="168">
        <v>3.0</v>
      </c>
      <c r="K9" s="168">
        <v>1.0</v>
      </c>
      <c r="L9" s="168">
        <v>7.0</v>
      </c>
      <c r="M9" s="184">
        <v>-7716.74</v>
      </c>
      <c r="N9" s="184">
        <v>-60805.83</v>
      </c>
      <c r="O9" s="184">
        <v>11239.22</v>
      </c>
      <c r="P9" s="184">
        <v>48511.45</v>
      </c>
    </row>
    <row r="10">
      <c r="A10" s="168">
        <v>82.0</v>
      </c>
      <c r="B10" s="168">
        <v>72.0</v>
      </c>
      <c r="C10" s="168">
        <v>67.0</v>
      </c>
      <c r="D10" s="168">
        <v>41.0</v>
      </c>
      <c r="E10" s="168">
        <v>8.0</v>
      </c>
      <c r="F10" s="168">
        <v>7.0</v>
      </c>
      <c r="G10" s="168">
        <v>4.0</v>
      </c>
      <c r="H10" s="183">
        <v>50008.01</v>
      </c>
      <c r="I10" s="184">
        <v>14488.26</v>
      </c>
      <c r="J10" s="168">
        <v>3.0</v>
      </c>
      <c r="K10" s="168">
        <v>3.0</v>
      </c>
      <c r="L10" s="168">
        <v>4.0</v>
      </c>
      <c r="M10" s="184">
        <v>64645.14</v>
      </c>
      <c r="N10" s="184">
        <v>-81865.78</v>
      </c>
      <c r="O10" s="184">
        <v>62731.75</v>
      </c>
      <c r="P10" s="184">
        <v>-73945.57</v>
      </c>
    </row>
    <row r="11">
      <c r="A11" s="168">
        <v>40.0</v>
      </c>
      <c r="B11" s="168">
        <v>50.0</v>
      </c>
      <c r="C11" s="168">
        <v>59.0</v>
      </c>
      <c r="D11" s="168">
        <v>70.0</v>
      </c>
      <c r="E11" s="168">
        <v>9.0</v>
      </c>
      <c r="F11" s="168">
        <v>5.0</v>
      </c>
      <c r="G11" s="168">
        <v>9.0</v>
      </c>
      <c r="H11" s="183">
        <v>-27359.76</v>
      </c>
      <c r="I11" s="184">
        <v>-72964.71</v>
      </c>
      <c r="J11" s="168">
        <v>7.0</v>
      </c>
      <c r="K11" s="168">
        <v>7.0</v>
      </c>
      <c r="L11" s="168">
        <v>1.0</v>
      </c>
      <c r="M11" s="184">
        <v>8492.08</v>
      </c>
      <c r="N11" s="184">
        <v>-23041.12</v>
      </c>
      <c r="O11" s="184">
        <v>-1054.81</v>
      </c>
      <c r="P11" s="184">
        <v>-46306.86</v>
      </c>
    </row>
    <row r="12">
      <c r="A12" s="168">
        <v>51.0</v>
      </c>
      <c r="B12" s="168">
        <v>85.0</v>
      </c>
      <c r="C12" s="168">
        <v>43.0</v>
      </c>
      <c r="D12" s="168">
        <v>46.0</v>
      </c>
      <c r="E12" s="168">
        <v>2.0</v>
      </c>
      <c r="F12" s="168">
        <v>4.0</v>
      </c>
      <c r="G12" s="168">
        <v>5.0</v>
      </c>
      <c r="H12" s="183">
        <v>-38052.87</v>
      </c>
      <c r="I12" s="184">
        <v>-68832.65</v>
      </c>
      <c r="J12" s="168">
        <v>4.0</v>
      </c>
      <c r="K12" s="168">
        <v>8.0</v>
      </c>
      <c r="L12" s="168">
        <v>4.0</v>
      </c>
      <c r="M12" s="184">
        <v>-21894.2</v>
      </c>
      <c r="N12" s="184">
        <v>-77686.73</v>
      </c>
      <c r="O12" s="184">
        <v>14384.96</v>
      </c>
      <c r="P12" s="184">
        <v>81318.67</v>
      </c>
    </row>
    <row r="13">
      <c r="A13" s="168">
        <v>25.0</v>
      </c>
      <c r="B13" s="168">
        <v>58.0</v>
      </c>
      <c r="C13" s="168">
        <v>95.0</v>
      </c>
      <c r="D13" s="168">
        <v>10.0</v>
      </c>
      <c r="E13" s="168">
        <v>9.0</v>
      </c>
      <c r="F13" s="168">
        <v>9.0</v>
      </c>
      <c r="G13" s="168">
        <v>7.0</v>
      </c>
      <c r="H13" s="183">
        <v>33756.81</v>
      </c>
      <c r="I13" s="184">
        <v>-84729.86</v>
      </c>
      <c r="J13" s="168">
        <v>1.0</v>
      </c>
      <c r="K13" s="168">
        <v>3.0</v>
      </c>
      <c r="L13" s="168">
        <v>2.0</v>
      </c>
      <c r="M13" s="184">
        <v>-92172.67</v>
      </c>
      <c r="N13" s="184">
        <v>-18490.76</v>
      </c>
      <c r="O13" s="184">
        <v>-61659.68</v>
      </c>
      <c r="P13" s="184">
        <v>17421.49</v>
      </c>
    </row>
    <row r="14">
      <c r="A14" s="168">
        <v>15.0</v>
      </c>
      <c r="B14" s="168">
        <v>39.0</v>
      </c>
      <c r="C14" s="168">
        <v>96.0</v>
      </c>
      <c r="D14" s="168">
        <v>88.0</v>
      </c>
      <c r="E14" s="168">
        <v>6.0</v>
      </c>
      <c r="F14" s="168">
        <v>5.0</v>
      </c>
      <c r="G14" s="168">
        <v>5.0</v>
      </c>
      <c r="H14" s="183">
        <v>5154.28</v>
      </c>
      <c r="I14" s="184">
        <v>-63940.54</v>
      </c>
      <c r="J14" s="168">
        <v>4.0</v>
      </c>
      <c r="K14" s="168">
        <v>2.0</v>
      </c>
      <c r="L14" s="168">
        <v>8.0</v>
      </c>
      <c r="M14" s="184">
        <v>-83752.82</v>
      </c>
      <c r="N14" s="184">
        <v>13821.99</v>
      </c>
      <c r="O14" s="184">
        <v>-43869.8</v>
      </c>
      <c r="P14" s="184">
        <v>65675.14</v>
      </c>
    </row>
    <row r="15">
      <c r="A15" s="168">
        <v>81.0</v>
      </c>
      <c r="B15" s="168">
        <v>69.0</v>
      </c>
      <c r="C15" s="168">
        <v>96.0</v>
      </c>
      <c r="D15" s="168">
        <v>98.0</v>
      </c>
      <c r="E15" s="168">
        <v>8.0</v>
      </c>
      <c r="F15" s="168">
        <v>7.0</v>
      </c>
      <c r="G15" s="168">
        <v>7.0</v>
      </c>
      <c r="H15" s="183">
        <v>53827.89</v>
      </c>
      <c r="I15" s="184">
        <v>-38800.63</v>
      </c>
      <c r="J15" s="168">
        <v>2.0</v>
      </c>
      <c r="K15" s="168">
        <v>9.0</v>
      </c>
      <c r="L15" s="168">
        <v>2.0</v>
      </c>
      <c r="M15" s="184">
        <v>72539.79</v>
      </c>
      <c r="N15" s="184">
        <v>14811.01</v>
      </c>
      <c r="O15" s="184">
        <v>-67241.69</v>
      </c>
      <c r="P15" s="184">
        <v>-96316.91</v>
      </c>
    </row>
    <row r="16">
      <c r="A16" s="168">
        <v>84.0</v>
      </c>
      <c r="B16" s="168">
        <v>47.0</v>
      </c>
      <c r="C16" s="168">
        <v>96.0</v>
      </c>
      <c r="D16" s="168">
        <v>20.0</v>
      </c>
      <c r="E16" s="168">
        <v>2.0</v>
      </c>
      <c r="F16" s="168">
        <v>5.0</v>
      </c>
      <c r="G16" s="168">
        <v>7.0</v>
      </c>
      <c r="H16" s="183">
        <v>-28956.87</v>
      </c>
      <c r="I16" s="184">
        <v>59161.46</v>
      </c>
      <c r="J16" s="168">
        <v>8.0</v>
      </c>
      <c r="K16" s="168">
        <v>8.0</v>
      </c>
      <c r="L16" s="168">
        <v>1.0</v>
      </c>
      <c r="M16" s="184">
        <v>-65284.08</v>
      </c>
      <c r="N16" s="184">
        <v>-81136.48</v>
      </c>
      <c r="O16" s="184">
        <v>84849.31</v>
      </c>
      <c r="P16" s="184">
        <v>68967.3</v>
      </c>
    </row>
    <row r="17">
      <c r="A17" s="168">
        <v>13.0</v>
      </c>
      <c r="B17" s="168">
        <v>39.0</v>
      </c>
      <c r="C17" s="168">
        <v>44.0</v>
      </c>
      <c r="D17" s="168">
        <v>32.0</v>
      </c>
      <c r="E17" s="168">
        <v>1.0</v>
      </c>
      <c r="F17" s="168">
        <v>7.0</v>
      </c>
      <c r="G17" s="168">
        <v>5.0</v>
      </c>
      <c r="H17" s="183">
        <v>64103.14</v>
      </c>
      <c r="I17" s="184">
        <v>-22957.19</v>
      </c>
      <c r="J17" s="168">
        <v>2.0</v>
      </c>
      <c r="K17" s="168">
        <v>6.0</v>
      </c>
      <c r="L17" s="168">
        <v>8.0</v>
      </c>
      <c r="M17" s="184">
        <v>-37148.52</v>
      </c>
      <c r="N17" s="184">
        <v>-19459.79</v>
      </c>
      <c r="O17" s="184">
        <v>81152.89</v>
      </c>
      <c r="P17" s="184">
        <v>28231.44</v>
      </c>
    </row>
    <row r="18">
      <c r="A18" s="168">
        <v>21.0</v>
      </c>
      <c r="B18" s="168">
        <v>73.0</v>
      </c>
      <c r="C18" s="168">
        <v>22.0</v>
      </c>
      <c r="D18" s="168">
        <v>84.0</v>
      </c>
      <c r="E18" s="168">
        <v>6.0</v>
      </c>
      <c r="F18" s="168">
        <v>7.0</v>
      </c>
      <c r="G18" s="168">
        <v>5.0</v>
      </c>
      <c r="H18" s="183">
        <v>63086.38</v>
      </c>
      <c r="I18" s="184">
        <v>48628.72</v>
      </c>
      <c r="J18" s="168">
        <v>1.0</v>
      </c>
      <c r="K18" s="168">
        <v>7.0</v>
      </c>
      <c r="L18" s="168">
        <v>2.0</v>
      </c>
      <c r="M18" s="184">
        <v>79665.36</v>
      </c>
      <c r="N18" s="184">
        <v>36572.44</v>
      </c>
      <c r="O18" s="184">
        <v>1617.42</v>
      </c>
      <c r="P18" s="184">
        <v>48929.56</v>
      </c>
    </row>
    <row r="19">
      <c r="A19" s="168">
        <v>32.0</v>
      </c>
      <c r="B19" s="168">
        <v>66.0</v>
      </c>
      <c r="C19" s="168">
        <v>30.0</v>
      </c>
      <c r="D19" s="168">
        <v>43.0</v>
      </c>
      <c r="E19" s="168">
        <v>2.0</v>
      </c>
      <c r="F19" s="168">
        <v>5.0</v>
      </c>
      <c r="G19" s="168">
        <v>8.0</v>
      </c>
      <c r="H19" s="183">
        <v>-83410.41</v>
      </c>
      <c r="I19" s="184">
        <v>-41311.5</v>
      </c>
      <c r="J19" s="168">
        <v>8.0</v>
      </c>
      <c r="K19" s="168">
        <v>3.0</v>
      </c>
      <c r="L19" s="168">
        <v>2.0</v>
      </c>
      <c r="M19" s="184">
        <v>93631.49</v>
      </c>
      <c r="N19" s="184">
        <v>-7908.32</v>
      </c>
      <c r="O19" s="184">
        <v>-5684.81</v>
      </c>
      <c r="P19" s="184">
        <v>4678.0</v>
      </c>
    </row>
    <row r="20">
      <c r="A20" s="168">
        <v>32.0</v>
      </c>
      <c r="B20" s="168">
        <v>73.0</v>
      </c>
      <c r="C20" s="168">
        <v>74.0</v>
      </c>
      <c r="D20" s="168">
        <v>89.0</v>
      </c>
      <c r="E20" s="168">
        <v>9.0</v>
      </c>
      <c r="F20" s="168">
        <v>5.0</v>
      </c>
      <c r="G20" s="168">
        <v>5.0</v>
      </c>
      <c r="H20" s="183">
        <v>28192.87</v>
      </c>
      <c r="I20" s="184">
        <v>43128.37</v>
      </c>
      <c r="J20" s="168">
        <v>2.0</v>
      </c>
      <c r="K20" s="168">
        <v>8.0</v>
      </c>
      <c r="L20" s="168">
        <v>1.0</v>
      </c>
      <c r="M20" s="184">
        <v>-60975.94</v>
      </c>
      <c r="N20" s="184">
        <v>85246.33</v>
      </c>
      <c r="O20" s="184">
        <v>19576.68</v>
      </c>
      <c r="P20" s="184">
        <v>-4495.92</v>
      </c>
    </row>
    <row r="21">
      <c r="A21" s="168">
        <v>31.0</v>
      </c>
      <c r="B21" s="168">
        <v>61.0</v>
      </c>
      <c r="C21" s="168">
        <v>11.0</v>
      </c>
      <c r="D21" s="168">
        <v>41.0</v>
      </c>
      <c r="E21" s="168">
        <v>5.0</v>
      </c>
      <c r="F21" s="168">
        <v>8.0</v>
      </c>
      <c r="G21" s="168">
        <v>8.0</v>
      </c>
      <c r="H21" s="183">
        <v>54190.49</v>
      </c>
      <c r="I21" s="184">
        <v>79951.86</v>
      </c>
      <c r="J21" s="168">
        <v>2.0</v>
      </c>
      <c r="K21" s="168">
        <v>5.0</v>
      </c>
      <c r="L21" s="168">
        <v>8.0</v>
      </c>
      <c r="M21" s="184">
        <v>-69515.02</v>
      </c>
      <c r="N21" s="184">
        <v>3700.41</v>
      </c>
      <c r="O21" s="184">
        <v>34084.96</v>
      </c>
      <c r="P21" s="184">
        <v>39216.98</v>
      </c>
    </row>
    <row r="22">
      <c r="A22" s="168">
        <v>69.0</v>
      </c>
      <c r="B22" s="168">
        <v>84.0</v>
      </c>
      <c r="C22" s="168">
        <v>55.0</v>
      </c>
      <c r="D22" s="168">
        <v>25.0</v>
      </c>
      <c r="E22" s="168">
        <v>6.0</v>
      </c>
      <c r="F22" s="168">
        <v>5.0</v>
      </c>
      <c r="G22" s="168">
        <v>7.0</v>
      </c>
      <c r="H22" s="183">
        <v>4045.8</v>
      </c>
      <c r="I22" s="184">
        <v>-16946.18</v>
      </c>
      <c r="J22" s="168">
        <v>1.0</v>
      </c>
      <c r="K22" s="168">
        <v>8.0</v>
      </c>
      <c r="L22" s="168">
        <v>8.0</v>
      </c>
      <c r="M22" s="184">
        <v>-1212.41</v>
      </c>
      <c r="N22" s="184">
        <v>26068.85</v>
      </c>
      <c r="O22" s="184">
        <v>89744.2</v>
      </c>
      <c r="P22" s="184">
        <v>-59727.92</v>
      </c>
    </row>
    <row r="23">
      <c r="A23" s="168">
        <v>27.0</v>
      </c>
      <c r="B23" s="168">
        <v>47.0</v>
      </c>
      <c r="C23" s="168">
        <v>94.0</v>
      </c>
      <c r="D23" s="168">
        <v>11.0</v>
      </c>
      <c r="E23" s="168">
        <v>4.0</v>
      </c>
      <c r="F23" s="168">
        <v>8.0</v>
      </c>
      <c r="G23" s="168">
        <v>6.0</v>
      </c>
      <c r="H23" s="183">
        <v>17568.11</v>
      </c>
      <c r="I23" s="184">
        <v>44189.19</v>
      </c>
      <c r="J23" s="168">
        <v>8.0</v>
      </c>
      <c r="K23" s="168">
        <v>3.0</v>
      </c>
      <c r="L23" s="168">
        <v>5.0</v>
      </c>
      <c r="M23" s="184">
        <v>-76797.78</v>
      </c>
      <c r="N23" s="184">
        <v>-63445.0</v>
      </c>
      <c r="O23" s="184">
        <v>23089.36</v>
      </c>
      <c r="P23" s="184">
        <v>10372.04</v>
      </c>
    </row>
    <row r="24">
      <c r="A24" s="168">
        <v>78.0</v>
      </c>
      <c r="B24" s="168">
        <v>40.0</v>
      </c>
      <c r="C24" s="168">
        <v>30.0</v>
      </c>
      <c r="D24" s="168">
        <v>87.0</v>
      </c>
      <c r="E24" s="168">
        <v>8.0</v>
      </c>
      <c r="F24" s="168">
        <v>7.0</v>
      </c>
      <c r="G24" s="168">
        <v>6.0</v>
      </c>
      <c r="H24" s="183">
        <v>77303.62</v>
      </c>
      <c r="I24" s="184">
        <v>-40513.39</v>
      </c>
      <c r="J24" s="168">
        <v>8.0</v>
      </c>
      <c r="K24" s="168">
        <v>3.0</v>
      </c>
      <c r="L24" s="168">
        <v>1.0</v>
      </c>
      <c r="M24" s="184">
        <v>68938.43</v>
      </c>
      <c r="N24" s="184">
        <v>-50483.99</v>
      </c>
      <c r="O24" s="184">
        <v>-63634.41</v>
      </c>
      <c r="P24" s="184">
        <v>40207.66</v>
      </c>
    </row>
    <row r="25">
      <c r="A25" s="168">
        <v>24.0</v>
      </c>
      <c r="B25" s="168">
        <v>72.0</v>
      </c>
      <c r="C25" s="168">
        <v>99.0</v>
      </c>
      <c r="D25" s="168">
        <v>41.0</v>
      </c>
      <c r="E25" s="168">
        <v>2.0</v>
      </c>
      <c r="F25" s="168">
        <v>6.0</v>
      </c>
      <c r="G25" s="168">
        <v>5.0</v>
      </c>
      <c r="H25" s="183">
        <v>-86021.65</v>
      </c>
      <c r="I25" s="184">
        <v>-9021.42</v>
      </c>
      <c r="J25" s="168">
        <v>5.0</v>
      </c>
      <c r="K25" s="168">
        <v>6.0</v>
      </c>
      <c r="L25" s="168">
        <v>6.0</v>
      </c>
      <c r="M25" s="184">
        <v>45652.98</v>
      </c>
      <c r="N25" s="184">
        <v>24206.02</v>
      </c>
      <c r="O25" s="184">
        <v>-20900.62</v>
      </c>
      <c r="P25" s="184">
        <v>37214.7</v>
      </c>
    </row>
    <row r="26">
      <c r="A26" s="168">
        <v>27.0</v>
      </c>
      <c r="B26" s="168">
        <v>57.0</v>
      </c>
      <c r="C26" s="168">
        <v>59.0</v>
      </c>
      <c r="D26" s="168">
        <v>53.0</v>
      </c>
      <c r="E26" s="168">
        <v>4.0</v>
      </c>
      <c r="F26" s="168">
        <v>6.0</v>
      </c>
      <c r="G26" s="168">
        <v>2.0</v>
      </c>
      <c r="H26" s="183">
        <v>67725.97</v>
      </c>
      <c r="I26" s="184">
        <v>-86866.88</v>
      </c>
      <c r="J26" s="168">
        <v>1.0</v>
      </c>
      <c r="K26" s="168">
        <v>3.0</v>
      </c>
      <c r="L26" s="168">
        <v>3.0</v>
      </c>
      <c r="M26" s="184">
        <v>7688.48</v>
      </c>
      <c r="N26" s="184">
        <v>-80473.57</v>
      </c>
      <c r="O26" s="184">
        <v>14792.51</v>
      </c>
      <c r="P26" s="184">
        <v>-30349.52</v>
      </c>
    </row>
    <row r="27">
      <c r="A27" s="168">
        <v>32.0</v>
      </c>
      <c r="B27" s="168">
        <v>94.0</v>
      </c>
      <c r="C27" s="168">
        <v>24.0</v>
      </c>
      <c r="D27" s="168">
        <v>88.0</v>
      </c>
      <c r="E27" s="168">
        <v>8.0</v>
      </c>
      <c r="F27" s="168">
        <v>5.0</v>
      </c>
      <c r="G27" s="168">
        <v>6.0</v>
      </c>
      <c r="H27" s="183">
        <v>48963.02</v>
      </c>
      <c r="I27" s="184">
        <v>15796.14</v>
      </c>
      <c r="J27" s="168">
        <v>6.0</v>
      </c>
      <c r="K27" s="168">
        <v>4.0</v>
      </c>
      <c r="L27" s="168">
        <v>3.0</v>
      </c>
      <c r="M27" s="184">
        <v>-78933.71</v>
      </c>
      <c r="N27" s="184">
        <v>32125.81</v>
      </c>
      <c r="O27" s="184">
        <v>5904.13</v>
      </c>
      <c r="P27" s="184">
        <v>-62266.24</v>
      </c>
    </row>
    <row r="28">
      <c r="A28" s="168">
        <v>28.0</v>
      </c>
      <c r="B28" s="168">
        <v>54.0</v>
      </c>
      <c r="C28" s="168">
        <v>64.0</v>
      </c>
      <c r="D28" s="168">
        <v>79.0</v>
      </c>
      <c r="E28" s="168">
        <v>3.0</v>
      </c>
      <c r="F28" s="168">
        <v>2.0</v>
      </c>
      <c r="G28" s="168">
        <v>4.0</v>
      </c>
      <c r="H28" s="183">
        <v>23487.7</v>
      </c>
      <c r="I28" s="184">
        <v>-77595.51</v>
      </c>
      <c r="J28" s="168">
        <v>3.0</v>
      </c>
      <c r="K28" s="168">
        <v>4.0</v>
      </c>
      <c r="L28" s="168">
        <v>7.0</v>
      </c>
      <c r="M28" s="184">
        <v>-57613.43</v>
      </c>
      <c r="N28" s="184">
        <v>33774.79</v>
      </c>
      <c r="O28" s="184">
        <v>-1992.27</v>
      </c>
      <c r="P28" s="184">
        <v>-24363.93</v>
      </c>
    </row>
    <row r="29">
      <c r="A29" s="168">
        <v>98.0</v>
      </c>
      <c r="B29" s="168">
        <v>31.0</v>
      </c>
      <c r="C29" s="168">
        <v>71.0</v>
      </c>
      <c r="D29" s="168">
        <v>13.0</v>
      </c>
      <c r="E29" s="168">
        <v>4.0</v>
      </c>
      <c r="F29" s="168">
        <v>6.0</v>
      </c>
      <c r="G29" s="168">
        <v>9.0</v>
      </c>
      <c r="H29" s="183">
        <v>-66115.63</v>
      </c>
      <c r="I29" s="184">
        <v>-43957.62</v>
      </c>
      <c r="J29" s="168">
        <v>3.0</v>
      </c>
      <c r="K29" s="168">
        <v>5.0</v>
      </c>
      <c r="L29" s="168">
        <v>3.0</v>
      </c>
      <c r="M29" s="184">
        <v>-98649.71</v>
      </c>
      <c r="N29" s="184">
        <v>31959.46</v>
      </c>
      <c r="O29" s="184">
        <v>802.86</v>
      </c>
      <c r="P29" s="184">
        <v>91133.05</v>
      </c>
    </row>
    <row r="30">
      <c r="A30" s="168">
        <v>68.0</v>
      </c>
      <c r="B30" s="168">
        <v>42.0</v>
      </c>
      <c r="C30" s="168">
        <v>83.0</v>
      </c>
      <c r="D30" s="168">
        <v>74.0</v>
      </c>
      <c r="E30" s="168">
        <v>9.0</v>
      </c>
      <c r="F30" s="168">
        <v>4.0</v>
      </c>
      <c r="G30" s="168">
        <v>2.0</v>
      </c>
      <c r="H30" s="183">
        <v>33276.67</v>
      </c>
      <c r="I30" s="184">
        <v>42229.95</v>
      </c>
      <c r="J30" s="168">
        <v>7.0</v>
      </c>
      <c r="K30" s="168">
        <v>8.0</v>
      </c>
      <c r="L30" s="168">
        <v>5.0</v>
      </c>
      <c r="M30" s="184">
        <v>-33494.98</v>
      </c>
      <c r="N30" s="184">
        <v>49262.61</v>
      </c>
      <c r="O30" s="184">
        <v>98726.95</v>
      </c>
      <c r="P30" s="184">
        <v>-58361.27</v>
      </c>
    </row>
    <row r="31">
      <c r="A31" s="168">
        <v>40.0</v>
      </c>
      <c r="B31" s="168">
        <v>63.0</v>
      </c>
      <c r="C31" s="168">
        <v>78.0</v>
      </c>
      <c r="D31" s="168">
        <v>69.0</v>
      </c>
      <c r="E31" s="168">
        <v>4.0</v>
      </c>
      <c r="F31" s="168">
        <v>9.0</v>
      </c>
      <c r="G31" s="168">
        <v>2.0</v>
      </c>
      <c r="H31" s="183">
        <v>3146.94</v>
      </c>
      <c r="I31" s="184">
        <v>-8026.18</v>
      </c>
      <c r="J31" s="168">
        <v>3.0</v>
      </c>
      <c r="K31" s="168">
        <v>1.0</v>
      </c>
      <c r="L31" s="168">
        <v>9.0</v>
      </c>
      <c r="M31" s="184">
        <v>-26595.23</v>
      </c>
      <c r="N31" s="184">
        <v>-55779.05</v>
      </c>
      <c r="O31" s="184">
        <v>47765.41</v>
      </c>
      <c r="P31" s="184">
        <v>97041.63</v>
      </c>
    </row>
    <row r="32">
      <c r="A32" s="168">
        <v>86.0</v>
      </c>
      <c r="B32" s="168">
        <v>53.0</v>
      </c>
      <c r="C32" s="168">
        <v>26.0</v>
      </c>
      <c r="D32" s="168">
        <v>45.0</v>
      </c>
      <c r="E32" s="168">
        <v>3.0</v>
      </c>
      <c r="F32" s="168">
        <v>2.0</v>
      </c>
      <c r="G32" s="168">
        <v>3.0</v>
      </c>
      <c r="H32" s="183">
        <v>1337.57</v>
      </c>
      <c r="I32" s="184">
        <v>57867.79</v>
      </c>
      <c r="J32" s="168">
        <v>5.0</v>
      </c>
      <c r="K32" s="168">
        <v>4.0</v>
      </c>
      <c r="L32" s="168">
        <v>7.0</v>
      </c>
      <c r="M32" s="184">
        <v>-72546.45</v>
      </c>
      <c r="N32" s="184">
        <v>-19673.03</v>
      </c>
      <c r="O32" s="184">
        <v>-97456.95</v>
      </c>
      <c r="P32" s="184">
        <v>-22222.42</v>
      </c>
    </row>
    <row r="33">
      <c r="A33" s="168">
        <v>40.0</v>
      </c>
      <c r="B33" s="168">
        <v>81.0</v>
      </c>
      <c r="C33" s="168">
        <v>63.0</v>
      </c>
      <c r="D33" s="168">
        <v>32.0</v>
      </c>
      <c r="E33" s="168">
        <v>4.0</v>
      </c>
      <c r="F33" s="168">
        <v>2.0</v>
      </c>
      <c r="G33" s="168">
        <v>1.0</v>
      </c>
      <c r="H33" s="183">
        <v>4982.42</v>
      </c>
      <c r="I33" s="184">
        <v>-43311.45</v>
      </c>
      <c r="J33" s="168">
        <v>9.0</v>
      </c>
      <c r="K33" s="168">
        <v>2.0</v>
      </c>
      <c r="L33" s="168">
        <v>7.0</v>
      </c>
      <c r="M33" s="184">
        <v>24346.35</v>
      </c>
      <c r="N33" s="184">
        <v>4205.87</v>
      </c>
      <c r="O33" s="184">
        <v>7783.43</v>
      </c>
      <c r="P33" s="184">
        <v>32055.41</v>
      </c>
    </row>
    <row r="34">
      <c r="A34" s="168">
        <v>52.0</v>
      </c>
      <c r="B34" s="168">
        <v>55.0</v>
      </c>
      <c r="C34" s="168">
        <v>75.0</v>
      </c>
      <c r="D34" s="168">
        <v>66.0</v>
      </c>
      <c r="E34" s="168">
        <v>1.0</v>
      </c>
      <c r="F34" s="168">
        <v>3.0</v>
      </c>
      <c r="G34" s="168">
        <v>4.0</v>
      </c>
      <c r="H34" s="183">
        <v>-65301.09</v>
      </c>
      <c r="I34" s="184">
        <v>97535.36</v>
      </c>
      <c r="J34" s="168">
        <v>7.0</v>
      </c>
      <c r="K34" s="168">
        <v>6.0</v>
      </c>
      <c r="L34" s="168">
        <v>3.0</v>
      </c>
      <c r="M34" s="184">
        <v>29128.46</v>
      </c>
      <c r="N34" s="184">
        <v>72965.39</v>
      </c>
      <c r="O34" s="184">
        <v>14093.07</v>
      </c>
      <c r="P34" s="184">
        <v>97473.01</v>
      </c>
    </row>
    <row r="35">
      <c r="A35" s="168">
        <v>17.0</v>
      </c>
      <c r="B35" s="168">
        <v>61.0</v>
      </c>
      <c r="C35" s="168">
        <v>40.0</v>
      </c>
      <c r="D35" s="168">
        <v>81.0</v>
      </c>
      <c r="E35" s="168">
        <v>4.0</v>
      </c>
      <c r="F35" s="168">
        <v>1.0</v>
      </c>
      <c r="G35" s="168">
        <v>6.0</v>
      </c>
      <c r="H35" s="183">
        <v>72775.05</v>
      </c>
      <c r="I35" s="184">
        <v>84352.39</v>
      </c>
      <c r="J35" s="168">
        <v>7.0</v>
      </c>
      <c r="K35" s="168">
        <v>7.0</v>
      </c>
      <c r="L35" s="168">
        <v>1.0</v>
      </c>
      <c r="M35" s="184">
        <v>-58706.56</v>
      </c>
      <c r="N35" s="184">
        <v>-78422.19</v>
      </c>
      <c r="O35" s="184">
        <v>-80035.41</v>
      </c>
      <c r="P35" s="184">
        <v>-69060.09</v>
      </c>
    </row>
    <row r="36">
      <c r="A36" s="168">
        <v>71.0</v>
      </c>
      <c r="B36" s="168">
        <v>19.0</v>
      </c>
      <c r="C36" s="168">
        <v>57.0</v>
      </c>
      <c r="D36" s="168">
        <v>90.0</v>
      </c>
      <c r="E36" s="168">
        <v>2.0</v>
      </c>
      <c r="F36" s="168">
        <v>4.0</v>
      </c>
      <c r="G36" s="168">
        <v>3.0</v>
      </c>
      <c r="H36" s="183">
        <v>73348.04</v>
      </c>
      <c r="I36" s="184">
        <v>-55370.85</v>
      </c>
      <c r="J36" s="168">
        <v>3.0</v>
      </c>
      <c r="K36" s="168">
        <v>3.0</v>
      </c>
      <c r="L36" s="168">
        <v>9.0</v>
      </c>
      <c r="M36" s="184">
        <v>77344.1</v>
      </c>
      <c r="N36" s="184">
        <v>64280.52</v>
      </c>
      <c r="O36" s="184">
        <v>7636.71</v>
      </c>
      <c r="P36" s="184">
        <v>-85377.83</v>
      </c>
    </row>
    <row r="37">
      <c r="A37" s="168">
        <v>27.0</v>
      </c>
      <c r="B37" s="168">
        <v>99.0</v>
      </c>
      <c r="C37" s="168">
        <v>89.0</v>
      </c>
      <c r="D37" s="168">
        <v>36.0</v>
      </c>
      <c r="E37" s="168">
        <v>6.0</v>
      </c>
      <c r="F37" s="168">
        <v>6.0</v>
      </c>
      <c r="G37" s="168">
        <v>4.0</v>
      </c>
      <c r="H37" s="183">
        <v>43085.58</v>
      </c>
      <c r="I37" s="184">
        <v>-10354.99</v>
      </c>
      <c r="J37" s="168">
        <v>1.0</v>
      </c>
      <c r="K37" s="168">
        <v>1.0</v>
      </c>
      <c r="L37" s="168">
        <v>7.0</v>
      </c>
      <c r="M37" s="184">
        <v>-1523.9</v>
      </c>
      <c r="N37" s="184">
        <v>22522.04</v>
      </c>
      <c r="O37" s="184">
        <v>-55164.0</v>
      </c>
      <c r="P37" s="184">
        <v>-32348.59</v>
      </c>
    </row>
    <row r="38">
      <c r="A38" s="168">
        <v>12.0</v>
      </c>
      <c r="B38" s="168">
        <v>44.0</v>
      </c>
      <c r="C38" s="168">
        <v>33.0</v>
      </c>
      <c r="D38" s="168">
        <v>51.0</v>
      </c>
      <c r="E38" s="168">
        <v>2.0</v>
      </c>
      <c r="F38" s="168">
        <v>3.0</v>
      </c>
      <c r="G38" s="168">
        <v>5.0</v>
      </c>
      <c r="H38" s="183">
        <v>76754.8</v>
      </c>
      <c r="I38" s="184">
        <v>-94468.1</v>
      </c>
      <c r="J38" s="168">
        <v>9.0</v>
      </c>
      <c r="K38" s="168">
        <v>8.0</v>
      </c>
      <c r="L38" s="168">
        <v>5.0</v>
      </c>
      <c r="M38" s="184">
        <v>590.17</v>
      </c>
      <c r="N38" s="184">
        <v>30868.97</v>
      </c>
      <c r="O38" s="184">
        <v>-90482.46</v>
      </c>
      <c r="P38" s="184">
        <v>3848.3</v>
      </c>
    </row>
    <row r="39">
      <c r="A39" s="168">
        <v>82.0</v>
      </c>
      <c r="B39" s="168">
        <v>30.0</v>
      </c>
      <c r="C39" s="168">
        <v>14.0</v>
      </c>
      <c r="D39" s="168">
        <v>12.0</v>
      </c>
      <c r="E39" s="168">
        <v>3.0</v>
      </c>
      <c r="F39" s="168">
        <v>4.0</v>
      </c>
      <c r="G39" s="168">
        <v>5.0</v>
      </c>
      <c r="H39" s="183">
        <v>18417.37</v>
      </c>
      <c r="I39" s="184">
        <v>61573.42</v>
      </c>
      <c r="J39" s="168">
        <v>7.0</v>
      </c>
      <c r="K39" s="168">
        <v>4.0</v>
      </c>
      <c r="L39" s="168">
        <v>1.0</v>
      </c>
      <c r="M39" s="184">
        <v>-76894.3</v>
      </c>
      <c r="N39" s="184">
        <v>-85896.12</v>
      </c>
      <c r="O39" s="184">
        <v>-82021.97</v>
      </c>
      <c r="P39" s="184">
        <v>19078.1</v>
      </c>
    </row>
    <row r="40">
      <c r="A40" s="168">
        <v>16.0</v>
      </c>
      <c r="B40" s="168">
        <v>68.0</v>
      </c>
      <c r="C40" s="168">
        <v>30.0</v>
      </c>
      <c r="D40" s="168">
        <v>68.0</v>
      </c>
      <c r="E40" s="168">
        <v>9.0</v>
      </c>
      <c r="F40" s="168">
        <v>5.0</v>
      </c>
      <c r="G40" s="168">
        <v>4.0</v>
      </c>
      <c r="H40" s="183">
        <v>-38319.07</v>
      </c>
      <c r="I40" s="184">
        <v>35657.85</v>
      </c>
      <c r="J40" s="168">
        <v>5.0</v>
      </c>
      <c r="K40" s="168">
        <v>6.0</v>
      </c>
      <c r="L40" s="168">
        <v>8.0</v>
      </c>
      <c r="M40" s="184">
        <v>-90234.84</v>
      </c>
      <c r="N40" s="184">
        <v>14407.57</v>
      </c>
      <c r="O40" s="184">
        <v>-54060.7</v>
      </c>
      <c r="P40" s="184">
        <v>51491.56</v>
      </c>
    </row>
    <row r="41">
      <c r="A41" s="168">
        <v>52.0</v>
      </c>
      <c r="B41" s="168">
        <v>45.0</v>
      </c>
      <c r="C41" s="168">
        <v>24.0</v>
      </c>
      <c r="D41" s="168">
        <v>89.0</v>
      </c>
      <c r="E41" s="168">
        <v>2.0</v>
      </c>
      <c r="F41" s="168">
        <v>5.0</v>
      </c>
      <c r="G41" s="168">
        <v>8.0</v>
      </c>
      <c r="H41" s="183">
        <v>-71664.28</v>
      </c>
      <c r="I41" s="184">
        <v>-10294.12</v>
      </c>
      <c r="J41" s="168">
        <v>1.0</v>
      </c>
      <c r="K41" s="168">
        <v>3.0</v>
      </c>
      <c r="L41" s="168">
        <v>1.0</v>
      </c>
      <c r="M41" s="184">
        <v>40550.16</v>
      </c>
      <c r="N41" s="184">
        <v>-4223.54</v>
      </c>
      <c r="O41" s="184">
        <v>-31462.12</v>
      </c>
      <c r="P41" s="184">
        <v>71125.83</v>
      </c>
    </row>
    <row r="42">
      <c r="A42" s="168">
        <v>51.0</v>
      </c>
      <c r="B42" s="168">
        <v>31.0</v>
      </c>
      <c r="C42" s="168">
        <v>80.0</v>
      </c>
      <c r="D42" s="168">
        <v>61.0</v>
      </c>
      <c r="E42" s="168">
        <v>6.0</v>
      </c>
      <c r="F42" s="168">
        <v>4.0</v>
      </c>
      <c r="G42" s="168">
        <v>3.0</v>
      </c>
      <c r="H42" s="183">
        <v>-86998.6</v>
      </c>
      <c r="I42" s="184">
        <v>92067.39</v>
      </c>
      <c r="J42" s="168">
        <v>8.0</v>
      </c>
      <c r="K42" s="168">
        <v>9.0</v>
      </c>
      <c r="L42" s="168">
        <v>6.0</v>
      </c>
      <c r="M42" s="184">
        <v>-51942.83</v>
      </c>
      <c r="N42" s="184">
        <v>-58630.45</v>
      </c>
      <c r="O42" s="184">
        <v>-20561.55</v>
      </c>
      <c r="P42" s="184">
        <v>60229.38</v>
      </c>
    </row>
    <row r="43">
      <c r="A43" s="168">
        <v>80.0</v>
      </c>
      <c r="B43" s="168">
        <v>88.0</v>
      </c>
      <c r="C43" s="168">
        <v>80.0</v>
      </c>
      <c r="D43" s="168">
        <v>96.0</v>
      </c>
      <c r="E43" s="168">
        <v>3.0</v>
      </c>
      <c r="F43" s="168">
        <v>8.0</v>
      </c>
      <c r="G43" s="168">
        <v>3.0</v>
      </c>
      <c r="H43" s="183">
        <v>54690.15</v>
      </c>
      <c r="I43" s="184">
        <v>-61772.32</v>
      </c>
      <c r="J43" s="168">
        <v>1.0</v>
      </c>
      <c r="K43" s="168">
        <v>3.0</v>
      </c>
      <c r="L43" s="168">
        <v>3.0</v>
      </c>
      <c r="M43" s="184">
        <v>-98144.5</v>
      </c>
      <c r="N43" s="184">
        <v>19847.29</v>
      </c>
      <c r="O43" s="184">
        <v>-65903.41</v>
      </c>
      <c r="P43" s="184">
        <v>39536.33</v>
      </c>
    </row>
    <row r="44">
      <c r="A44" s="168">
        <v>18.0</v>
      </c>
      <c r="B44" s="168">
        <v>28.0</v>
      </c>
      <c r="C44" s="168">
        <v>26.0</v>
      </c>
      <c r="D44" s="168">
        <v>67.0</v>
      </c>
      <c r="E44" s="168">
        <v>3.0</v>
      </c>
      <c r="F44" s="168">
        <v>3.0</v>
      </c>
      <c r="G44" s="168">
        <v>8.0</v>
      </c>
      <c r="H44" s="183">
        <v>52357.62</v>
      </c>
      <c r="I44" s="184">
        <v>52835.49</v>
      </c>
      <c r="J44" s="168">
        <v>6.0</v>
      </c>
      <c r="K44" s="168">
        <v>1.0</v>
      </c>
      <c r="L44" s="168">
        <v>9.0</v>
      </c>
      <c r="M44" s="184">
        <v>-47969.54</v>
      </c>
      <c r="N44" s="184">
        <v>-89759.46</v>
      </c>
      <c r="O44" s="184">
        <v>45657.98</v>
      </c>
      <c r="P44" s="184">
        <v>-45279.05</v>
      </c>
    </row>
    <row r="45">
      <c r="A45" s="168">
        <v>41.0</v>
      </c>
      <c r="B45" s="168">
        <v>44.0</v>
      </c>
      <c r="C45" s="168">
        <v>21.0</v>
      </c>
      <c r="D45" s="168">
        <v>49.0</v>
      </c>
      <c r="E45" s="168">
        <v>2.0</v>
      </c>
      <c r="F45" s="168">
        <v>3.0</v>
      </c>
      <c r="G45" s="168">
        <v>9.0</v>
      </c>
      <c r="H45" s="183">
        <v>-980.35</v>
      </c>
      <c r="I45" s="184">
        <v>-1008.13</v>
      </c>
      <c r="J45" s="168">
        <v>3.0</v>
      </c>
      <c r="K45" s="168">
        <v>8.0</v>
      </c>
      <c r="L45" s="168">
        <v>3.0</v>
      </c>
      <c r="M45" s="184">
        <v>55168.34</v>
      </c>
      <c r="N45" s="184">
        <v>-51261.63</v>
      </c>
      <c r="O45" s="184">
        <v>95476.74</v>
      </c>
      <c r="P45" s="184">
        <v>45079.83</v>
      </c>
    </row>
    <row r="46">
      <c r="A46" s="168">
        <v>27.0</v>
      </c>
      <c r="B46" s="168">
        <v>30.0</v>
      </c>
      <c r="C46" s="168">
        <v>67.0</v>
      </c>
      <c r="D46" s="168">
        <v>13.0</v>
      </c>
      <c r="E46" s="168">
        <v>9.0</v>
      </c>
      <c r="F46" s="168">
        <v>8.0</v>
      </c>
      <c r="G46" s="168">
        <v>1.0</v>
      </c>
      <c r="H46" s="183">
        <v>-61601.4</v>
      </c>
      <c r="I46" s="184">
        <v>-85279.54</v>
      </c>
      <c r="J46" s="168">
        <v>9.0</v>
      </c>
      <c r="K46" s="168">
        <v>7.0</v>
      </c>
      <c r="L46" s="168">
        <v>8.0</v>
      </c>
      <c r="M46" s="184">
        <v>72452.11</v>
      </c>
      <c r="N46" s="184">
        <v>94361.17</v>
      </c>
      <c r="O46" s="184">
        <v>82489.96</v>
      </c>
      <c r="P46" s="184">
        <v>26026.77</v>
      </c>
    </row>
    <row r="47">
      <c r="A47" s="168">
        <v>84.0</v>
      </c>
      <c r="B47" s="168">
        <v>95.0</v>
      </c>
      <c r="C47" s="168">
        <v>68.0</v>
      </c>
      <c r="D47" s="168">
        <v>16.0</v>
      </c>
      <c r="E47" s="168">
        <v>4.0</v>
      </c>
      <c r="F47" s="168">
        <v>9.0</v>
      </c>
      <c r="G47" s="168">
        <v>2.0</v>
      </c>
      <c r="H47" s="183">
        <v>73843.61</v>
      </c>
      <c r="I47" s="184">
        <v>28276.47</v>
      </c>
      <c r="J47" s="168">
        <v>3.0</v>
      </c>
      <c r="K47" s="168">
        <v>5.0</v>
      </c>
      <c r="L47" s="168">
        <v>7.0</v>
      </c>
      <c r="M47" s="184">
        <v>-89241.65</v>
      </c>
      <c r="N47" s="184">
        <v>10287.72</v>
      </c>
      <c r="O47" s="184">
        <v>-45665.57</v>
      </c>
      <c r="P47" s="184">
        <v>-24085.28</v>
      </c>
    </row>
    <row r="48">
      <c r="A48" s="168">
        <v>78.0</v>
      </c>
      <c r="B48" s="168">
        <v>16.0</v>
      </c>
      <c r="C48" s="168">
        <v>79.0</v>
      </c>
      <c r="D48" s="168">
        <v>66.0</v>
      </c>
      <c r="E48" s="168">
        <v>6.0</v>
      </c>
      <c r="F48" s="168">
        <v>1.0</v>
      </c>
      <c r="G48" s="168">
        <v>8.0</v>
      </c>
      <c r="H48" s="183">
        <v>-14954.93</v>
      </c>
      <c r="I48" s="184">
        <v>52000.1</v>
      </c>
      <c r="J48" s="168">
        <v>8.0</v>
      </c>
      <c r="K48" s="168">
        <v>1.0</v>
      </c>
      <c r="L48" s="168">
        <v>5.0</v>
      </c>
      <c r="M48" s="184">
        <v>-94413.38</v>
      </c>
      <c r="N48" s="184">
        <v>-97761.38</v>
      </c>
      <c r="O48" s="184">
        <v>52661.09</v>
      </c>
      <c r="P48" s="184">
        <v>41053.84</v>
      </c>
    </row>
    <row r="49">
      <c r="A49" s="168">
        <v>98.0</v>
      </c>
      <c r="B49" s="168">
        <v>61.0</v>
      </c>
      <c r="C49" s="168">
        <v>51.0</v>
      </c>
      <c r="D49" s="168">
        <v>33.0</v>
      </c>
      <c r="E49" s="168">
        <v>2.0</v>
      </c>
      <c r="F49" s="168">
        <v>2.0</v>
      </c>
      <c r="G49" s="168">
        <v>8.0</v>
      </c>
      <c r="H49" s="183">
        <v>-45896.93</v>
      </c>
      <c r="I49" s="184">
        <v>-558.2</v>
      </c>
      <c r="J49" s="168">
        <v>7.0</v>
      </c>
      <c r="K49" s="168">
        <v>4.0</v>
      </c>
      <c r="L49" s="168">
        <v>5.0</v>
      </c>
      <c r="M49" s="184">
        <v>-99374.91</v>
      </c>
      <c r="N49" s="184">
        <v>28101.46</v>
      </c>
      <c r="O49" s="184">
        <v>87781.11</v>
      </c>
      <c r="P49" s="184">
        <v>59265.88</v>
      </c>
    </row>
    <row r="50">
      <c r="A50" s="168">
        <v>83.0</v>
      </c>
      <c r="B50" s="168">
        <v>65.0</v>
      </c>
      <c r="C50" s="168">
        <v>76.0</v>
      </c>
      <c r="D50" s="168">
        <v>78.0</v>
      </c>
      <c r="E50" s="168">
        <v>2.0</v>
      </c>
      <c r="F50" s="168">
        <v>8.0</v>
      </c>
      <c r="G50" s="168">
        <v>5.0</v>
      </c>
      <c r="H50" s="183">
        <v>45476.73</v>
      </c>
      <c r="I50" s="184">
        <v>-64057.78</v>
      </c>
      <c r="J50" s="168">
        <v>5.0</v>
      </c>
      <c r="K50" s="168">
        <v>7.0</v>
      </c>
      <c r="L50" s="168">
        <v>9.0</v>
      </c>
      <c r="M50" s="184">
        <v>-387.48</v>
      </c>
      <c r="N50" s="184">
        <v>76351.25</v>
      </c>
      <c r="O50" s="184">
        <v>-52497.03</v>
      </c>
      <c r="P50" s="184">
        <v>43976.39</v>
      </c>
    </row>
    <row r="51">
      <c r="A51" s="168">
        <v>64.0</v>
      </c>
      <c r="B51" s="168">
        <v>77.0</v>
      </c>
      <c r="C51" s="168">
        <v>95.0</v>
      </c>
      <c r="D51" s="168">
        <v>43.0</v>
      </c>
      <c r="E51" s="168">
        <v>5.0</v>
      </c>
      <c r="F51" s="168">
        <v>8.0</v>
      </c>
      <c r="G51" s="168">
        <v>8.0</v>
      </c>
      <c r="H51" s="183">
        <v>5887.03</v>
      </c>
      <c r="I51" s="184">
        <v>47028.33</v>
      </c>
      <c r="J51" s="168">
        <v>5.0</v>
      </c>
      <c r="K51" s="168">
        <v>8.0</v>
      </c>
      <c r="L51" s="168">
        <v>3.0</v>
      </c>
      <c r="M51" s="184">
        <v>-48022.29</v>
      </c>
      <c r="N51" s="184">
        <v>75566.96</v>
      </c>
      <c r="O51" s="184">
        <v>-61209.8</v>
      </c>
      <c r="P51" s="184">
        <v>42477.54</v>
      </c>
    </row>
    <row r="52">
      <c r="A52" s="168">
        <v>61.0</v>
      </c>
      <c r="B52" s="168">
        <v>77.0</v>
      </c>
      <c r="C52" s="168">
        <v>93.0</v>
      </c>
      <c r="D52" s="168">
        <v>21.0</v>
      </c>
      <c r="E52" s="168">
        <v>7.0</v>
      </c>
      <c r="F52" s="168">
        <v>5.0</v>
      </c>
      <c r="G52" s="168">
        <v>8.0</v>
      </c>
      <c r="H52" s="183">
        <v>13270.6</v>
      </c>
      <c r="I52" s="184">
        <v>-60485.03</v>
      </c>
      <c r="J52" s="168">
        <v>9.0</v>
      </c>
      <c r="K52" s="168">
        <v>6.0</v>
      </c>
      <c r="L52" s="168">
        <v>5.0</v>
      </c>
      <c r="M52" s="184">
        <v>78421.47</v>
      </c>
      <c r="N52" s="184">
        <v>-70891.02</v>
      </c>
      <c r="O52" s="184">
        <v>35488.57</v>
      </c>
      <c r="P52" s="184">
        <v>89074.09</v>
      </c>
    </row>
    <row r="53">
      <c r="A53" s="168">
        <v>87.0</v>
      </c>
      <c r="B53" s="168">
        <v>57.0</v>
      </c>
      <c r="C53" s="168">
        <v>40.0</v>
      </c>
      <c r="D53" s="168">
        <v>18.0</v>
      </c>
      <c r="E53" s="168">
        <v>7.0</v>
      </c>
      <c r="F53" s="168">
        <v>8.0</v>
      </c>
      <c r="G53" s="168">
        <v>5.0</v>
      </c>
      <c r="H53" s="183">
        <v>-8165.62</v>
      </c>
      <c r="I53" s="184">
        <v>37299.09</v>
      </c>
      <c r="J53" s="168">
        <v>3.0</v>
      </c>
      <c r="K53" s="168">
        <v>3.0</v>
      </c>
      <c r="L53" s="168">
        <v>6.0</v>
      </c>
      <c r="M53" s="184">
        <v>19058.15</v>
      </c>
      <c r="N53" s="184">
        <v>45911.11</v>
      </c>
      <c r="O53" s="184">
        <v>95860.57</v>
      </c>
      <c r="P53" s="184">
        <v>-15848.1</v>
      </c>
    </row>
    <row r="54">
      <c r="A54" s="168">
        <v>95.0</v>
      </c>
      <c r="B54" s="168">
        <v>14.0</v>
      </c>
      <c r="C54" s="168">
        <v>16.0</v>
      </c>
      <c r="D54" s="168">
        <v>71.0</v>
      </c>
      <c r="E54" s="168">
        <v>6.0</v>
      </c>
      <c r="F54" s="168">
        <v>8.0</v>
      </c>
      <c r="G54" s="168">
        <v>5.0</v>
      </c>
      <c r="H54" s="183">
        <v>-7147.94</v>
      </c>
      <c r="I54" s="184">
        <v>90217.74</v>
      </c>
      <c r="J54" s="168">
        <v>5.0</v>
      </c>
      <c r="K54" s="168">
        <v>6.0</v>
      </c>
      <c r="L54" s="168">
        <v>1.0</v>
      </c>
      <c r="M54" s="184">
        <v>-53047.71</v>
      </c>
      <c r="N54" s="184">
        <v>-87366.91</v>
      </c>
      <c r="O54" s="184">
        <v>82570.08</v>
      </c>
      <c r="P54" s="184">
        <v>77294.9</v>
      </c>
    </row>
    <row r="55">
      <c r="A55" s="168">
        <v>13.0</v>
      </c>
      <c r="B55" s="168">
        <v>17.0</v>
      </c>
      <c r="C55" s="168">
        <v>28.0</v>
      </c>
      <c r="D55" s="168">
        <v>60.0</v>
      </c>
      <c r="E55" s="168">
        <v>1.0</v>
      </c>
      <c r="F55" s="168">
        <v>5.0</v>
      </c>
      <c r="G55" s="168">
        <v>5.0</v>
      </c>
      <c r="H55" s="183">
        <v>-37387.9</v>
      </c>
      <c r="I55" s="184">
        <v>-62589.26</v>
      </c>
      <c r="J55" s="168">
        <v>6.0</v>
      </c>
      <c r="K55" s="168">
        <v>2.0</v>
      </c>
      <c r="L55" s="168">
        <v>6.0</v>
      </c>
      <c r="M55" s="184">
        <v>-63891.35</v>
      </c>
      <c r="N55" s="184">
        <v>10002.15</v>
      </c>
      <c r="O55" s="184">
        <v>-76445.62</v>
      </c>
      <c r="P55" s="184">
        <v>-33669.31</v>
      </c>
    </row>
    <row r="56">
      <c r="A56" s="168">
        <v>44.0</v>
      </c>
      <c r="B56" s="168">
        <v>33.0</v>
      </c>
      <c r="C56" s="168">
        <v>84.0</v>
      </c>
      <c r="D56" s="168">
        <v>36.0</v>
      </c>
      <c r="E56" s="168">
        <v>8.0</v>
      </c>
      <c r="F56" s="168">
        <v>5.0</v>
      </c>
      <c r="G56" s="168">
        <v>8.0</v>
      </c>
      <c r="H56" s="183">
        <v>3611.52</v>
      </c>
      <c r="I56" s="184">
        <v>-60031.34</v>
      </c>
      <c r="J56" s="168">
        <v>1.0</v>
      </c>
      <c r="K56" s="168">
        <v>6.0</v>
      </c>
      <c r="L56" s="168">
        <v>8.0</v>
      </c>
      <c r="M56" s="184">
        <v>-64991.3</v>
      </c>
      <c r="N56" s="184">
        <v>-32461.05</v>
      </c>
      <c r="O56" s="184">
        <v>45501.39</v>
      </c>
      <c r="P56" s="184">
        <v>-16360.49</v>
      </c>
    </row>
    <row r="57">
      <c r="A57" s="168">
        <v>59.0</v>
      </c>
      <c r="B57" s="168">
        <v>45.0</v>
      </c>
      <c r="C57" s="168">
        <v>42.0</v>
      </c>
      <c r="D57" s="168">
        <v>76.0</v>
      </c>
      <c r="E57" s="168">
        <v>8.0</v>
      </c>
      <c r="F57" s="168">
        <v>5.0</v>
      </c>
      <c r="G57" s="168">
        <v>5.0</v>
      </c>
      <c r="H57" s="183">
        <v>-39364.8</v>
      </c>
      <c r="I57" s="184">
        <v>-10599.09</v>
      </c>
      <c r="J57" s="168">
        <v>6.0</v>
      </c>
      <c r="K57" s="168">
        <v>9.0</v>
      </c>
      <c r="L57" s="168">
        <v>7.0</v>
      </c>
      <c r="M57" s="184">
        <v>40477.01</v>
      </c>
      <c r="N57" s="184">
        <v>-56434.27</v>
      </c>
      <c r="O57" s="184">
        <v>72128.68</v>
      </c>
      <c r="P57" s="184">
        <v>-46698.38</v>
      </c>
    </row>
    <row r="58">
      <c r="A58" s="168">
        <v>75.0</v>
      </c>
      <c r="B58" s="168">
        <v>55.0</v>
      </c>
      <c r="C58" s="168">
        <v>94.0</v>
      </c>
      <c r="D58" s="168">
        <v>81.0</v>
      </c>
      <c r="E58" s="168">
        <v>5.0</v>
      </c>
      <c r="F58" s="168">
        <v>8.0</v>
      </c>
      <c r="G58" s="168">
        <v>7.0</v>
      </c>
      <c r="H58" s="183">
        <v>57988.64</v>
      </c>
      <c r="I58" s="184">
        <v>-59892.91</v>
      </c>
      <c r="J58" s="168">
        <v>8.0</v>
      </c>
      <c r="K58" s="168">
        <v>5.0</v>
      </c>
      <c r="L58" s="168">
        <v>3.0</v>
      </c>
      <c r="M58" s="184">
        <v>92634.06</v>
      </c>
      <c r="N58" s="184">
        <v>-35950.22</v>
      </c>
      <c r="O58" s="184">
        <v>88068.35</v>
      </c>
      <c r="P58" s="184">
        <v>-50071.11</v>
      </c>
    </row>
    <row r="59">
      <c r="A59" s="168">
        <v>31.0</v>
      </c>
      <c r="B59" s="168">
        <v>76.0</v>
      </c>
      <c r="C59" s="168">
        <v>42.0</v>
      </c>
      <c r="D59" s="168">
        <v>69.0</v>
      </c>
      <c r="E59" s="168">
        <v>1.0</v>
      </c>
      <c r="F59" s="168">
        <v>5.0</v>
      </c>
      <c r="G59" s="168">
        <v>9.0</v>
      </c>
      <c r="H59" s="183">
        <v>-23615.83</v>
      </c>
      <c r="I59" s="184">
        <v>-28371.82</v>
      </c>
      <c r="J59" s="168">
        <v>7.0</v>
      </c>
      <c r="K59" s="168">
        <v>7.0</v>
      </c>
      <c r="L59" s="168">
        <v>9.0</v>
      </c>
      <c r="M59" s="184">
        <v>-77207.61</v>
      </c>
      <c r="N59" s="184">
        <v>28908.91</v>
      </c>
      <c r="O59" s="184">
        <v>-89463.25</v>
      </c>
      <c r="P59" s="184">
        <v>40548.91</v>
      </c>
    </row>
    <row r="60">
      <c r="A60" s="168">
        <v>63.0</v>
      </c>
      <c r="B60" s="168">
        <v>66.0</v>
      </c>
      <c r="C60" s="168">
        <v>55.0</v>
      </c>
      <c r="D60" s="168">
        <v>51.0</v>
      </c>
      <c r="E60" s="168">
        <v>6.0</v>
      </c>
      <c r="F60" s="168">
        <v>7.0</v>
      </c>
      <c r="G60" s="168">
        <v>8.0</v>
      </c>
      <c r="H60" s="183">
        <v>-89090.24</v>
      </c>
      <c r="I60" s="184">
        <v>32470.17</v>
      </c>
      <c r="J60" s="168">
        <v>3.0</v>
      </c>
      <c r="K60" s="168">
        <v>8.0</v>
      </c>
      <c r="L60" s="168">
        <v>4.0</v>
      </c>
      <c r="M60" s="184">
        <v>-29128.82</v>
      </c>
      <c r="N60" s="184">
        <v>-55946.06</v>
      </c>
      <c r="O60" s="184">
        <v>72940.34</v>
      </c>
      <c r="P60" s="184">
        <v>50957.04</v>
      </c>
    </row>
    <row r="61">
      <c r="A61" s="168">
        <v>41.0</v>
      </c>
      <c r="B61" s="168">
        <v>18.0</v>
      </c>
      <c r="C61" s="168">
        <v>13.0</v>
      </c>
      <c r="D61" s="168">
        <v>31.0</v>
      </c>
      <c r="E61" s="168">
        <v>1.0</v>
      </c>
      <c r="F61" s="168">
        <v>9.0</v>
      </c>
      <c r="G61" s="168">
        <v>4.0</v>
      </c>
      <c r="H61" s="183">
        <v>-54201.25</v>
      </c>
      <c r="I61" s="184">
        <v>-23996.84</v>
      </c>
      <c r="J61" s="168">
        <v>9.0</v>
      </c>
      <c r="K61" s="168">
        <v>2.0</v>
      </c>
      <c r="L61" s="168">
        <v>6.0</v>
      </c>
      <c r="M61" s="184">
        <v>60997.09</v>
      </c>
      <c r="N61" s="184">
        <v>-74214.43</v>
      </c>
      <c r="O61" s="184">
        <v>52809.09</v>
      </c>
      <c r="P61" s="184">
        <v>48719.86</v>
      </c>
    </row>
    <row r="62">
      <c r="A62" s="168">
        <v>47.0</v>
      </c>
      <c r="B62" s="168">
        <v>42.0</v>
      </c>
      <c r="C62" s="168">
        <v>25.0</v>
      </c>
      <c r="D62" s="168">
        <v>56.0</v>
      </c>
      <c r="E62" s="168">
        <v>9.0</v>
      </c>
      <c r="F62" s="168">
        <v>8.0</v>
      </c>
      <c r="G62" s="168">
        <v>9.0</v>
      </c>
      <c r="H62" s="183">
        <v>95058.89</v>
      </c>
      <c r="I62" s="184">
        <v>-7351.55</v>
      </c>
      <c r="J62" s="168">
        <v>4.0</v>
      </c>
      <c r="K62" s="168">
        <v>1.0</v>
      </c>
      <c r="L62" s="168">
        <v>3.0</v>
      </c>
      <c r="M62" s="184">
        <v>51133.61</v>
      </c>
      <c r="N62" s="184">
        <v>-6721.15</v>
      </c>
      <c r="O62" s="184">
        <v>-39232.9</v>
      </c>
      <c r="P62" s="184">
        <v>30949.23</v>
      </c>
    </row>
    <row r="63">
      <c r="A63" s="168">
        <v>45.0</v>
      </c>
      <c r="B63" s="168">
        <v>88.0</v>
      </c>
      <c r="C63" s="168">
        <v>28.0</v>
      </c>
      <c r="D63" s="168">
        <v>66.0</v>
      </c>
      <c r="E63" s="168">
        <v>8.0</v>
      </c>
      <c r="F63" s="168">
        <v>4.0</v>
      </c>
      <c r="G63" s="168">
        <v>8.0</v>
      </c>
      <c r="H63" s="183">
        <v>-58564.28</v>
      </c>
      <c r="I63" s="184">
        <v>29914.93</v>
      </c>
      <c r="J63" s="168">
        <v>6.0</v>
      </c>
      <c r="K63" s="168">
        <v>8.0</v>
      </c>
      <c r="L63" s="168">
        <v>7.0</v>
      </c>
      <c r="M63" s="184">
        <v>-89267.55</v>
      </c>
      <c r="N63" s="184">
        <v>45004.28</v>
      </c>
      <c r="O63" s="184">
        <v>-68624.84</v>
      </c>
      <c r="P63" s="184">
        <v>-55633.55</v>
      </c>
    </row>
    <row r="64">
      <c r="A64" s="168">
        <v>59.0</v>
      </c>
      <c r="B64" s="168">
        <v>32.0</v>
      </c>
      <c r="C64" s="168">
        <v>20.0</v>
      </c>
      <c r="D64" s="168">
        <v>45.0</v>
      </c>
      <c r="E64" s="168">
        <v>3.0</v>
      </c>
      <c r="F64" s="168">
        <v>9.0</v>
      </c>
      <c r="G64" s="168">
        <v>3.0</v>
      </c>
      <c r="H64" s="183">
        <v>5151.32</v>
      </c>
      <c r="I64" s="184">
        <v>52716.38</v>
      </c>
      <c r="J64" s="168">
        <v>3.0</v>
      </c>
      <c r="K64" s="168">
        <v>7.0</v>
      </c>
      <c r="L64" s="168">
        <v>5.0</v>
      </c>
      <c r="M64" s="184">
        <v>1353.14</v>
      </c>
      <c r="N64" s="184">
        <v>-95463.7</v>
      </c>
      <c r="O64" s="184">
        <v>7745.17</v>
      </c>
      <c r="P64" s="184">
        <v>46568.54</v>
      </c>
    </row>
    <row r="65">
      <c r="A65" s="168">
        <v>87.0</v>
      </c>
      <c r="B65" s="168">
        <v>12.0</v>
      </c>
      <c r="C65" s="168">
        <v>93.0</v>
      </c>
      <c r="D65" s="168">
        <v>72.0</v>
      </c>
      <c r="E65" s="168">
        <v>2.0</v>
      </c>
      <c r="F65" s="168">
        <v>8.0</v>
      </c>
      <c r="G65" s="168">
        <v>8.0</v>
      </c>
      <c r="H65" s="183">
        <v>-75388.42</v>
      </c>
      <c r="I65" s="184">
        <v>79544.09</v>
      </c>
      <c r="J65" s="168">
        <v>7.0</v>
      </c>
      <c r="K65" s="168">
        <v>2.0</v>
      </c>
      <c r="L65" s="168">
        <v>1.0</v>
      </c>
      <c r="M65" s="184">
        <v>-18735.38</v>
      </c>
      <c r="N65" s="184">
        <v>-45550.58</v>
      </c>
      <c r="O65" s="184">
        <v>42004.43</v>
      </c>
      <c r="P65" s="184">
        <v>-47943.24</v>
      </c>
    </row>
    <row r="66">
      <c r="A66" s="168">
        <v>45.0</v>
      </c>
      <c r="B66" s="168">
        <v>23.0</v>
      </c>
      <c r="C66" s="168">
        <v>13.0</v>
      </c>
      <c r="D66" s="168">
        <v>39.0</v>
      </c>
      <c r="E66" s="168">
        <v>9.0</v>
      </c>
      <c r="F66" s="168">
        <v>3.0</v>
      </c>
      <c r="G66" s="168">
        <v>5.0</v>
      </c>
      <c r="H66" s="183">
        <v>-19750.02</v>
      </c>
      <c r="I66" s="184">
        <v>88370.38</v>
      </c>
      <c r="J66" s="168">
        <v>5.0</v>
      </c>
      <c r="K66" s="168">
        <v>5.0</v>
      </c>
      <c r="L66" s="168">
        <v>7.0</v>
      </c>
      <c r="M66" s="184">
        <v>3488.48</v>
      </c>
      <c r="N66" s="184">
        <v>54446.9</v>
      </c>
      <c r="O66" s="184">
        <v>-45777.48</v>
      </c>
      <c r="P66" s="184">
        <v>60264.37</v>
      </c>
    </row>
    <row r="67">
      <c r="A67" s="168">
        <v>93.0</v>
      </c>
      <c r="B67" s="168">
        <v>79.0</v>
      </c>
      <c r="C67" s="168">
        <v>85.0</v>
      </c>
      <c r="D67" s="168">
        <v>60.0</v>
      </c>
      <c r="E67" s="168">
        <v>4.0</v>
      </c>
      <c r="F67" s="168">
        <v>8.0</v>
      </c>
      <c r="G67" s="168">
        <v>9.0</v>
      </c>
      <c r="H67" s="183">
        <v>-16908.67</v>
      </c>
      <c r="I67" s="184">
        <v>30302.4</v>
      </c>
      <c r="J67" s="168">
        <v>1.0</v>
      </c>
      <c r="K67" s="168">
        <v>8.0</v>
      </c>
      <c r="L67" s="168">
        <v>5.0</v>
      </c>
      <c r="M67" s="184">
        <v>-84251.24</v>
      </c>
      <c r="N67" s="184">
        <v>16564.52</v>
      </c>
      <c r="O67" s="184">
        <v>-49930.76</v>
      </c>
      <c r="P67" s="184">
        <v>1460.97</v>
      </c>
    </row>
    <row r="68">
      <c r="A68" s="168">
        <v>14.0</v>
      </c>
      <c r="B68" s="168">
        <v>40.0</v>
      </c>
      <c r="C68" s="168">
        <v>15.0</v>
      </c>
      <c r="D68" s="168">
        <v>81.0</v>
      </c>
      <c r="E68" s="168">
        <v>6.0</v>
      </c>
      <c r="F68" s="168">
        <v>5.0</v>
      </c>
      <c r="G68" s="168">
        <v>4.0</v>
      </c>
      <c r="H68" s="183">
        <v>24651.83</v>
      </c>
      <c r="I68" s="184">
        <v>-9312.99</v>
      </c>
      <c r="J68" s="168">
        <v>7.0</v>
      </c>
      <c r="K68" s="168">
        <v>2.0</v>
      </c>
      <c r="L68" s="168">
        <v>2.0</v>
      </c>
      <c r="M68" s="184">
        <v>-79780.5</v>
      </c>
      <c r="N68" s="184">
        <v>31980.69</v>
      </c>
      <c r="O68" s="184">
        <v>-86551.15</v>
      </c>
      <c r="P68" s="184">
        <v>66373.6</v>
      </c>
    </row>
    <row r="69">
      <c r="A69" s="168">
        <v>88.0</v>
      </c>
      <c r="B69" s="168">
        <v>87.0</v>
      </c>
      <c r="C69" s="168">
        <v>59.0</v>
      </c>
      <c r="D69" s="168">
        <v>83.0</v>
      </c>
      <c r="E69" s="168">
        <v>7.0</v>
      </c>
      <c r="F69" s="168">
        <v>9.0</v>
      </c>
      <c r="G69" s="168">
        <v>3.0</v>
      </c>
      <c r="H69" s="183">
        <v>-48230.95</v>
      </c>
      <c r="I69" s="184">
        <v>53909.78</v>
      </c>
      <c r="J69" s="168">
        <v>5.0</v>
      </c>
      <c r="K69" s="168">
        <v>5.0</v>
      </c>
      <c r="L69" s="168">
        <v>6.0</v>
      </c>
      <c r="M69" s="184">
        <v>78083.31</v>
      </c>
      <c r="N69" s="184">
        <v>45264.91</v>
      </c>
      <c r="O69" s="184">
        <v>-6900.59</v>
      </c>
      <c r="P69" s="184">
        <v>-36636.47</v>
      </c>
    </row>
    <row r="70">
      <c r="A70" s="168">
        <v>86.0</v>
      </c>
      <c r="B70" s="168">
        <v>46.0</v>
      </c>
      <c r="C70" s="168">
        <v>33.0</v>
      </c>
      <c r="D70" s="168">
        <v>40.0</v>
      </c>
      <c r="E70" s="168">
        <v>7.0</v>
      </c>
      <c r="F70" s="168">
        <v>4.0</v>
      </c>
      <c r="G70" s="168">
        <v>4.0</v>
      </c>
      <c r="H70" s="183">
        <v>-40277.55</v>
      </c>
      <c r="I70" s="184">
        <v>-49865.25</v>
      </c>
      <c r="J70" s="168">
        <v>2.0</v>
      </c>
      <c r="K70" s="168">
        <v>1.0</v>
      </c>
      <c r="L70" s="168">
        <v>4.0</v>
      </c>
      <c r="M70" s="184">
        <v>-70526.72</v>
      </c>
      <c r="N70" s="184">
        <v>21877.29</v>
      </c>
      <c r="O70" s="184">
        <v>86468.38</v>
      </c>
      <c r="P70" s="184">
        <v>27919.98</v>
      </c>
    </row>
    <row r="71">
      <c r="A71" s="168">
        <v>61.0</v>
      </c>
      <c r="B71" s="168">
        <v>27.0</v>
      </c>
      <c r="C71" s="168">
        <v>25.0</v>
      </c>
      <c r="D71" s="168">
        <v>18.0</v>
      </c>
      <c r="E71" s="168">
        <v>2.0</v>
      </c>
      <c r="F71" s="168">
        <v>3.0</v>
      </c>
      <c r="G71" s="168">
        <v>4.0</v>
      </c>
      <c r="H71" s="183">
        <v>13264.61</v>
      </c>
      <c r="I71" s="184">
        <v>-20145.77</v>
      </c>
      <c r="J71" s="168">
        <v>6.0</v>
      </c>
      <c r="K71" s="168">
        <v>1.0</v>
      </c>
      <c r="L71" s="168">
        <v>1.0</v>
      </c>
      <c r="M71" s="184">
        <v>-45317.41</v>
      </c>
      <c r="N71" s="184">
        <v>55075.2</v>
      </c>
      <c r="O71" s="184">
        <v>-48847.99</v>
      </c>
      <c r="P71" s="184">
        <v>41477.68</v>
      </c>
    </row>
    <row r="72">
      <c r="A72" s="168">
        <v>21.0</v>
      </c>
      <c r="B72" s="168">
        <v>89.0</v>
      </c>
      <c r="C72" s="168">
        <v>63.0</v>
      </c>
      <c r="D72" s="168">
        <v>28.0</v>
      </c>
      <c r="E72" s="168">
        <v>4.0</v>
      </c>
      <c r="F72" s="168">
        <v>4.0</v>
      </c>
      <c r="G72" s="168">
        <v>6.0</v>
      </c>
      <c r="H72" s="183">
        <v>41835.44</v>
      </c>
      <c r="I72" s="184">
        <v>62977.41</v>
      </c>
      <c r="J72" s="168">
        <v>4.0</v>
      </c>
      <c r="K72" s="168">
        <v>9.0</v>
      </c>
      <c r="L72" s="168">
        <v>6.0</v>
      </c>
      <c r="M72" s="184">
        <v>46315.82</v>
      </c>
      <c r="N72" s="184">
        <v>18481.9</v>
      </c>
      <c r="O72" s="184">
        <v>14042.26</v>
      </c>
      <c r="P72" s="184">
        <v>-36278.59</v>
      </c>
    </row>
    <row r="73">
      <c r="A73" s="168">
        <v>87.0</v>
      </c>
      <c r="B73" s="168">
        <v>58.0</v>
      </c>
      <c r="C73" s="168">
        <v>70.0</v>
      </c>
      <c r="D73" s="168">
        <v>90.0</v>
      </c>
      <c r="E73" s="168">
        <v>1.0</v>
      </c>
      <c r="F73" s="168">
        <v>4.0</v>
      </c>
      <c r="G73" s="168">
        <v>8.0</v>
      </c>
      <c r="H73" s="183">
        <v>-16976.29</v>
      </c>
      <c r="I73" s="184">
        <v>-13276.42</v>
      </c>
      <c r="J73" s="168">
        <v>1.0</v>
      </c>
      <c r="K73" s="168">
        <v>1.0</v>
      </c>
      <c r="L73" s="168">
        <v>8.0</v>
      </c>
      <c r="M73" s="184">
        <v>-71950.94</v>
      </c>
      <c r="N73" s="184">
        <v>-73524.04</v>
      </c>
      <c r="O73" s="184">
        <v>71066.86</v>
      </c>
      <c r="P73" s="184">
        <v>65615.19</v>
      </c>
    </row>
    <row r="74">
      <c r="A74" s="168">
        <v>28.0</v>
      </c>
      <c r="B74" s="168">
        <v>81.0</v>
      </c>
      <c r="C74" s="168">
        <v>79.0</v>
      </c>
      <c r="D74" s="168">
        <v>32.0</v>
      </c>
      <c r="E74" s="168">
        <v>2.0</v>
      </c>
      <c r="F74" s="168">
        <v>6.0</v>
      </c>
      <c r="G74" s="168">
        <v>5.0</v>
      </c>
      <c r="H74" s="183">
        <v>14321.63</v>
      </c>
      <c r="I74" s="184">
        <v>-96514.05</v>
      </c>
      <c r="J74" s="168">
        <v>6.0</v>
      </c>
      <c r="K74" s="168">
        <v>4.0</v>
      </c>
      <c r="L74" s="168">
        <v>8.0</v>
      </c>
      <c r="M74" s="184">
        <v>-78514.2</v>
      </c>
      <c r="N74" s="184">
        <v>82330.91</v>
      </c>
      <c r="O74" s="184">
        <v>35691.98</v>
      </c>
      <c r="P74" s="184">
        <v>-7439.89</v>
      </c>
    </row>
    <row r="75">
      <c r="A75" s="168">
        <v>82.0</v>
      </c>
      <c r="B75" s="168">
        <v>14.0</v>
      </c>
      <c r="C75" s="168">
        <v>86.0</v>
      </c>
      <c r="D75" s="168">
        <v>99.0</v>
      </c>
      <c r="E75" s="168">
        <v>1.0</v>
      </c>
      <c r="F75" s="168">
        <v>8.0</v>
      </c>
      <c r="G75" s="168">
        <v>3.0</v>
      </c>
      <c r="H75" s="183">
        <v>-28260.27</v>
      </c>
      <c r="I75" s="184">
        <v>50449.76</v>
      </c>
      <c r="J75" s="168">
        <v>8.0</v>
      </c>
      <c r="K75" s="168">
        <v>8.0</v>
      </c>
      <c r="L75" s="168">
        <v>2.0</v>
      </c>
      <c r="M75" s="184">
        <v>41116.81</v>
      </c>
      <c r="N75" s="184">
        <v>92258.98</v>
      </c>
      <c r="O75" s="184">
        <v>16228.35</v>
      </c>
      <c r="P75" s="184">
        <v>85106.95</v>
      </c>
    </row>
    <row r="76">
      <c r="A76" s="168">
        <v>22.0</v>
      </c>
      <c r="B76" s="168">
        <v>50.0</v>
      </c>
      <c r="C76" s="168">
        <v>25.0</v>
      </c>
      <c r="D76" s="168">
        <v>29.0</v>
      </c>
      <c r="E76" s="168">
        <v>5.0</v>
      </c>
      <c r="F76" s="168">
        <v>5.0</v>
      </c>
      <c r="G76" s="168">
        <v>9.0</v>
      </c>
      <c r="H76" s="183">
        <v>54621.41</v>
      </c>
      <c r="I76" s="184">
        <v>4709.45</v>
      </c>
      <c r="J76" s="168">
        <v>8.0</v>
      </c>
      <c r="K76" s="168">
        <v>4.0</v>
      </c>
      <c r="L76" s="168">
        <v>5.0</v>
      </c>
      <c r="M76" s="184">
        <v>5353.36</v>
      </c>
      <c r="N76" s="184">
        <v>-78747.79</v>
      </c>
      <c r="O76" s="184">
        <v>16123.79</v>
      </c>
      <c r="P76" s="184">
        <v>26330.69</v>
      </c>
    </row>
    <row r="77">
      <c r="A77" s="168">
        <v>25.0</v>
      </c>
      <c r="B77" s="168">
        <v>21.0</v>
      </c>
      <c r="C77" s="168">
        <v>92.0</v>
      </c>
      <c r="D77" s="168">
        <v>82.0</v>
      </c>
      <c r="E77" s="168">
        <v>5.0</v>
      </c>
      <c r="F77" s="168">
        <v>3.0</v>
      </c>
      <c r="G77" s="168">
        <v>8.0</v>
      </c>
      <c r="H77" s="183">
        <v>-37368.95</v>
      </c>
      <c r="I77" s="184">
        <v>23392.48</v>
      </c>
      <c r="J77" s="168">
        <v>2.0</v>
      </c>
      <c r="K77" s="168">
        <v>3.0</v>
      </c>
      <c r="L77" s="168">
        <v>1.0</v>
      </c>
      <c r="M77" s="184">
        <v>-5884.5</v>
      </c>
      <c r="N77" s="184">
        <v>-48262.55</v>
      </c>
      <c r="O77" s="184">
        <v>-1267.29</v>
      </c>
      <c r="P77" s="184">
        <v>-90164.26</v>
      </c>
    </row>
    <row r="78">
      <c r="A78" s="168">
        <v>52.0</v>
      </c>
      <c r="B78" s="168">
        <v>91.0</v>
      </c>
      <c r="C78" s="168">
        <v>56.0</v>
      </c>
      <c r="D78" s="168">
        <v>19.0</v>
      </c>
      <c r="E78" s="168">
        <v>7.0</v>
      </c>
      <c r="F78" s="168">
        <v>9.0</v>
      </c>
      <c r="G78" s="168">
        <v>3.0</v>
      </c>
      <c r="H78" s="183">
        <v>72469.25</v>
      </c>
      <c r="I78" s="184">
        <v>7525.0</v>
      </c>
      <c r="J78" s="168">
        <v>5.0</v>
      </c>
      <c r="K78" s="168">
        <v>2.0</v>
      </c>
      <c r="L78" s="168">
        <v>5.0</v>
      </c>
      <c r="M78" s="184">
        <v>-49290.26</v>
      </c>
      <c r="N78" s="184">
        <v>-18082.76</v>
      </c>
      <c r="O78" s="184">
        <v>-24593.18</v>
      </c>
      <c r="P78" s="184">
        <v>-25062.36</v>
      </c>
    </row>
    <row r="79">
      <c r="A79" s="168">
        <v>87.0</v>
      </c>
      <c r="B79" s="168">
        <v>65.0</v>
      </c>
      <c r="C79" s="168">
        <v>98.0</v>
      </c>
      <c r="D79" s="168">
        <v>54.0</v>
      </c>
      <c r="E79" s="168">
        <v>7.0</v>
      </c>
      <c r="F79" s="168">
        <v>8.0</v>
      </c>
      <c r="G79" s="168">
        <v>9.0</v>
      </c>
      <c r="H79" s="183">
        <v>-48408.13</v>
      </c>
      <c r="I79" s="184">
        <v>-2206.18</v>
      </c>
      <c r="J79" s="168">
        <v>1.0</v>
      </c>
      <c r="K79" s="168">
        <v>6.0</v>
      </c>
      <c r="L79" s="168">
        <v>5.0</v>
      </c>
      <c r="M79" s="184">
        <v>54887.99</v>
      </c>
      <c r="N79" s="184">
        <v>-22186.15</v>
      </c>
      <c r="O79" s="184">
        <v>43385.57</v>
      </c>
      <c r="P79" s="184">
        <v>83507.01</v>
      </c>
    </row>
    <row r="80">
      <c r="A80" s="168">
        <v>69.0</v>
      </c>
      <c r="B80" s="168">
        <v>48.0</v>
      </c>
      <c r="C80" s="168">
        <v>73.0</v>
      </c>
      <c r="D80" s="168">
        <v>92.0</v>
      </c>
      <c r="E80" s="168">
        <v>3.0</v>
      </c>
      <c r="F80" s="168">
        <v>3.0</v>
      </c>
      <c r="G80" s="168">
        <v>9.0</v>
      </c>
      <c r="H80" s="183">
        <v>-75165.02</v>
      </c>
      <c r="I80" s="184">
        <v>-2116.17</v>
      </c>
      <c r="J80" s="168">
        <v>5.0</v>
      </c>
      <c r="K80" s="168">
        <v>3.0</v>
      </c>
      <c r="L80" s="168">
        <v>8.0</v>
      </c>
      <c r="M80" s="184">
        <v>15762.08</v>
      </c>
      <c r="N80" s="184">
        <v>69046.61</v>
      </c>
      <c r="O80" s="184">
        <v>86310.25</v>
      </c>
      <c r="P80" s="184">
        <v>11762.66</v>
      </c>
    </row>
    <row r="81">
      <c r="A81" s="168">
        <v>46.0</v>
      </c>
      <c r="B81" s="168">
        <v>31.0</v>
      </c>
      <c r="C81" s="168">
        <v>97.0</v>
      </c>
      <c r="D81" s="168">
        <v>35.0</v>
      </c>
      <c r="E81" s="168">
        <v>4.0</v>
      </c>
      <c r="F81" s="168">
        <v>9.0</v>
      </c>
      <c r="G81" s="168">
        <v>7.0</v>
      </c>
      <c r="H81" s="183">
        <v>-18706.93</v>
      </c>
      <c r="I81" s="184">
        <v>96131.56</v>
      </c>
      <c r="J81" s="168">
        <v>5.0</v>
      </c>
      <c r="K81" s="168">
        <v>2.0</v>
      </c>
      <c r="L81" s="168">
        <v>2.0</v>
      </c>
      <c r="M81" s="184">
        <v>-92846.41</v>
      </c>
      <c r="N81" s="184">
        <v>86445.31</v>
      </c>
      <c r="O81" s="184">
        <v>-46140.21</v>
      </c>
      <c r="P81" s="184">
        <v>89482.94</v>
      </c>
    </row>
    <row r="82">
      <c r="A82" s="168">
        <v>91.0</v>
      </c>
      <c r="B82" s="168">
        <v>31.0</v>
      </c>
      <c r="C82" s="168">
        <v>29.0</v>
      </c>
      <c r="D82" s="168">
        <v>25.0</v>
      </c>
      <c r="E82" s="168">
        <v>5.0</v>
      </c>
      <c r="F82" s="168">
        <v>9.0</v>
      </c>
      <c r="G82" s="168">
        <v>4.0</v>
      </c>
      <c r="H82" s="183">
        <v>-50974.45</v>
      </c>
      <c r="I82" s="184">
        <v>23820.27</v>
      </c>
      <c r="J82" s="168">
        <v>8.0</v>
      </c>
      <c r="K82" s="168">
        <v>3.0</v>
      </c>
      <c r="L82" s="168">
        <v>3.0</v>
      </c>
      <c r="M82" s="184">
        <v>-28019.08</v>
      </c>
      <c r="N82" s="184">
        <v>86563.8</v>
      </c>
      <c r="O82" s="184">
        <v>66702.75</v>
      </c>
      <c r="P82" s="184">
        <v>93196.46</v>
      </c>
    </row>
    <row r="83">
      <c r="A83" s="168">
        <v>87.0</v>
      </c>
      <c r="B83" s="168">
        <v>40.0</v>
      </c>
      <c r="C83" s="168">
        <v>56.0</v>
      </c>
      <c r="D83" s="168">
        <v>63.0</v>
      </c>
      <c r="E83" s="168">
        <v>1.0</v>
      </c>
      <c r="F83" s="168">
        <v>7.0</v>
      </c>
      <c r="G83" s="168">
        <v>2.0</v>
      </c>
      <c r="H83" s="183">
        <v>-81590.09</v>
      </c>
      <c r="I83" s="184">
        <v>-74396.25</v>
      </c>
      <c r="J83" s="168">
        <v>2.0</v>
      </c>
      <c r="K83" s="168">
        <v>1.0</v>
      </c>
      <c r="L83" s="168">
        <v>2.0</v>
      </c>
      <c r="M83" s="184">
        <v>-6467.01</v>
      </c>
      <c r="N83" s="184">
        <v>-77270.12</v>
      </c>
      <c r="O83" s="184">
        <v>-28517.67</v>
      </c>
      <c r="P83" s="184">
        <v>-10421.82</v>
      </c>
    </row>
    <row r="84">
      <c r="A84" s="168">
        <v>66.0</v>
      </c>
      <c r="B84" s="168">
        <v>75.0</v>
      </c>
      <c r="C84" s="168">
        <v>22.0</v>
      </c>
      <c r="D84" s="168">
        <v>80.0</v>
      </c>
      <c r="E84" s="168">
        <v>5.0</v>
      </c>
      <c r="F84" s="168">
        <v>4.0</v>
      </c>
      <c r="G84" s="168">
        <v>3.0</v>
      </c>
      <c r="H84" s="183">
        <v>-34840.81</v>
      </c>
      <c r="I84" s="184">
        <v>-35950.22</v>
      </c>
      <c r="J84" s="168">
        <v>3.0</v>
      </c>
      <c r="K84" s="168">
        <v>4.0</v>
      </c>
      <c r="L84" s="168">
        <v>4.0</v>
      </c>
      <c r="M84" s="184">
        <v>85887.99</v>
      </c>
      <c r="N84" s="184">
        <v>-88222.61</v>
      </c>
      <c r="O84" s="184">
        <v>-32064.81</v>
      </c>
      <c r="P84" s="184">
        <v>-89047.1</v>
      </c>
    </row>
    <row r="85">
      <c r="A85" s="168">
        <v>20.0</v>
      </c>
      <c r="B85" s="168">
        <v>54.0</v>
      </c>
      <c r="C85" s="168">
        <v>66.0</v>
      </c>
      <c r="D85" s="168">
        <v>64.0</v>
      </c>
      <c r="E85" s="168">
        <v>2.0</v>
      </c>
      <c r="F85" s="168">
        <v>2.0</v>
      </c>
      <c r="G85" s="168">
        <v>2.0</v>
      </c>
      <c r="H85" s="183">
        <v>-67482.34</v>
      </c>
      <c r="I85" s="184">
        <v>-72238.44</v>
      </c>
      <c r="J85" s="168">
        <v>2.0</v>
      </c>
      <c r="K85" s="168">
        <v>2.0</v>
      </c>
      <c r="L85" s="168">
        <v>6.0</v>
      </c>
      <c r="M85" s="184">
        <v>-83831.35</v>
      </c>
      <c r="N85" s="184">
        <v>79575.47</v>
      </c>
      <c r="O85" s="184">
        <v>80845.19</v>
      </c>
      <c r="P85" s="184">
        <v>-28330.68</v>
      </c>
    </row>
    <row r="86">
      <c r="A86" s="168">
        <v>20.0</v>
      </c>
      <c r="B86" s="168">
        <v>82.0</v>
      </c>
      <c r="C86" s="168">
        <v>59.0</v>
      </c>
      <c r="D86" s="168">
        <v>34.0</v>
      </c>
      <c r="E86" s="168">
        <v>6.0</v>
      </c>
      <c r="F86" s="168">
        <v>3.0</v>
      </c>
      <c r="G86" s="168">
        <v>3.0</v>
      </c>
      <c r="H86" s="183">
        <v>-13656.46</v>
      </c>
      <c r="I86" s="184">
        <v>78490.5</v>
      </c>
      <c r="J86" s="168">
        <v>4.0</v>
      </c>
      <c r="K86" s="168">
        <v>3.0</v>
      </c>
      <c r="L86" s="168">
        <v>5.0</v>
      </c>
      <c r="M86" s="184">
        <v>-69641.92</v>
      </c>
      <c r="N86" s="184">
        <v>50442.19</v>
      </c>
      <c r="O86" s="184">
        <v>-47442.37</v>
      </c>
      <c r="P86" s="184">
        <v>-99343.11</v>
      </c>
    </row>
    <row r="87">
      <c r="A87" s="168">
        <v>45.0</v>
      </c>
      <c r="B87" s="168">
        <v>19.0</v>
      </c>
      <c r="C87" s="168">
        <v>77.0</v>
      </c>
      <c r="D87" s="168">
        <v>45.0</v>
      </c>
      <c r="E87" s="168">
        <v>1.0</v>
      </c>
      <c r="F87" s="168">
        <v>2.0</v>
      </c>
      <c r="G87" s="168">
        <v>2.0</v>
      </c>
      <c r="H87" s="183">
        <v>-24486.4</v>
      </c>
      <c r="I87" s="184">
        <v>40712.75</v>
      </c>
      <c r="J87" s="168">
        <v>6.0</v>
      </c>
      <c r="K87" s="168">
        <v>4.0</v>
      </c>
      <c r="L87" s="168">
        <v>7.0</v>
      </c>
      <c r="M87" s="184">
        <v>-33583.91</v>
      </c>
      <c r="N87" s="184">
        <v>-24912.38</v>
      </c>
      <c r="O87" s="184">
        <v>-14053.23</v>
      </c>
      <c r="P87" s="184">
        <v>15910.38</v>
      </c>
    </row>
    <row r="88">
      <c r="A88" s="168">
        <v>33.0</v>
      </c>
      <c r="B88" s="168">
        <v>32.0</v>
      </c>
      <c r="C88" s="168">
        <v>77.0</v>
      </c>
      <c r="D88" s="168">
        <v>21.0</v>
      </c>
      <c r="E88" s="168">
        <v>3.0</v>
      </c>
      <c r="F88" s="168">
        <v>3.0</v>
      </c>
      <c r="G88" s="168">
        <v>7.0</v>
      </c>
      <c r="H88" s="183">
        <v>51434.84</v>
      </c>
      <c r="I88" s="184">
        <v>5476.94</v>
      </c>
      <c r="J88" s="168">
        <v>5.0</v>
      </c>
      <c r="K88" s="168">
        <v>8.0</v>
      </c>
      <c r="L88" s="168">
        <v>3.0</v>
      </c>
      <c r="M88" s="184">
        <v>-30270.77</v>
      </c>
      <c r="N88" s="184">
        <v>46565.87</v>
      </c>
      <c r="O88" s="184">
        <v>-70879.1</v>
      </c>
      <c r="P88" s="184">
        <v>1943.54</v>
      </c>
    </row>
    <row r="89">
      <c r="A89" s="168">
        <v>35.0</v>
      </c>
      <c r="B89" s="168">
        <v>51.0</v>
      </c>
      <c r="C89" s="168">
        <v>53.0</v>
      </c>
      <c r="D89" s="168">
        <v>58.0</v>
      </c>
      <c r="E89" s="168">
        <v>3.0</v>
      </c>
      <c r="F89" s="168">
        <v>2.0</v>
      </c>
      <c r="G89" s="168">
        <v>2.0</v>
      </c>
      <c r="H89" s="183">
        <v>69487.91</v>
      </c>
      <c r="I89" s="184">
        <v>-14663.16</v>
      </c>
      <c r="J89" s="168">
        <v>7.0</v>
      </c>
      <c r="K89" s="168">
        <v>9.0</v>
      </c>
      <c r="L89" s="168">
        <v>8.0</v>
      </c>
      <c r="M89" s="184">
        <v>43996.79</v>
      </c>
      <c r="N89" s="184">
        <v>-67259.67</v>
      </c>
      <c r="O89" s="184">
        <v>-97845.85</v>
      </c>
      <c r="P89" s="184">
        <v>-61623.35</v>
      </c>
    </row>
    <row r="90">
      <c r="A90" s="168">
        <v>48.0</v>
      </c>
      <c r="B90" s="168">
        <v>22.0</v>
      </c>
      <c r="C90" s="168">
        <v>64.0</v>
      </c>
      <c r="D90" s="168">
        <v>74.0</v>
      </c>
      <c r="E90" s="168">
        <v>1.0</v>
      </c>
      <c r="F90" s="168">
        <v>7.0</v>
      </c>
      <c r="G90" s="168">
        <v>6.0</v>
      </c>
      <c r="H90" s="183">
        <v>-18149.76</v>
      </c>
      <c r="I90" s="184">
        <v>20926.92</v>
      </c>
      <c r="J90" s="168">
        <v>3.0</v>
      </c>
      <c r="K90" s="168">
        <v>6.0</v>
      </c>
      <c r="L90" s="168">
        <v>1.0</v>
      </c>
      <c r="M90" s="184">
        <v>92171.2</v>
      </c>
      <c r="N90" s="184">
        <v>-37404.94</v>
      </c>
      <c r="O90" s="184">
        <v>301.4</v>
      </c>
      <c r="P90" s="184">
        <v>40566.24</v>
      </c>
    </row>
    <row r="91">
      <c r="A91" s="168">
        <v>97.0</v>
      </c>
      <c r="B91" s="168">
        <v>10.0</v>
      </c>
      <c r="C91" s="168">
        <v>43.0</v>
      </c>
      <c r="D91" s="168">
        <v>18.0</v>
      </c>
      <c r="E91" s="168">
        <v>4.0</v>
      </c>
      <c r="F91" s="168">
        <v>2.0</v>
      </c>
      <c r="G91" s="168">
        <v>7.0</v>
      </c>
      <c r="H91" s="183">
        <v>-45546.68</v>
      </c>
      <c r="I91" s="184">
        <v>5202.8</v>
      </c>
      <c r="J91" s="168">
        <v>8.0</v>
      </c>
      <c r="K91" s="168">
        <v>2.0</v>
      </c>
      <c r="L91" s="168">
        <v>6.0</v>
      </c>
      <c r="M91" s="184">
        <v>-42066.52</v>
      </c>
      <c r="N91" s="184">
        <v>19645.18</v>
      </c>
      <c r="O91" s="184">
        <v>-73528.27</v>
      </c>
      <c r="P91" s="184">
        <v>37661.04</v>
      </c>
    </row>
    <row r="92">
      <c r="A92" s="168">
        <v>91.0</v>
      </c>
      <c r="B92" s="168">
        <v>52.0</v>
      </c>
      <c r="C92" s="168">
        <v>88.0</v>
      </c>
      <c r="D92" s="168">
        <v>69.0</v>
      </c>
      <c r="E92" s="168">
        <v>2.0</v>
      </c>
      <c r="F92" s="168">
        <v>6.0</v>
      </c>
      <c r="G92" s="168">
        <v>5.0</v>
      </c>
      <c r="H92" s="183">
        <v>-23563.93</v>
      </c>
      <c r="I92" s="184">
        <v>66903.1</v>
      </c>
      <c r="J92" s="168">
        <v>1.0</v>
      </c>
      <c r="K92" s="168">
        <v>9.0</v>
      </c>
      <c r="L92" s="168">
        <v>6.0</v>
      </c>
      <c r="M92" s="184">
        <v>8045.34</v>
      </c>
      <c r="N92" s="184">
        <v>52801.62</v>
      </c>
      <c r="O92" s="184">
        <v>-64770.8</v>
      </c>
      <c r="P92" s="184">
        <v>-25959.11</v>
      </c>
    </row>
    <row r="93">
      <c r="A93" s="168">
        <v>30.0</v>
      </c>
      <c r="B93" s="168">
        <v>94.0</v>
      </c>
      <c r="C93" s="168">
        <v>11.0</v>
      </c>
      <c r="D93" s="168">
        <v>58.0</v>
      </c>
      <c r="E93" s="168">
        <v>9.0</v>
      </c>
      <c r="F93" s="168">
        <v>7.0</v>
      </c>
      <c r="G93" s="168">
        <v>9.0</v>
      </c>
      <c r="H93" s="183">
        <v>15214.4</v>
      </c>
      <c r="I93" s="184">
        <v>-6956.37</v>
      </c>
      <c r="J93" s="168">
        <v>6.0</v>
      </c>
      <c r="K93" s="168">
        <v>9.0</v>
      </c>
      <c r="L93" s="168">
        <v>4.0</v>
      </c>
      <c r="M93" s="184">
        <v>-30124.31</v>
      </c>
      <c r="N93" s="184">
        <v>-21669.43</v>
      </c>
      <c r="O93" s="184">
        <v>-24666.65</v>
      </c>
      <c r="P93" s="184">
        <v>24969.54</v>
      </c>
    </row>
    <row r="94">
      <c r="A94" s="168">
        <v>50.0</v>
      </c>
      <c r="B94" s="168">
        <v>61.0</v>
      </c>
      <c r="C94" s="168">
        <v>74.0</v>
      </c>
      <c r="D94" s="168">
        <v>23.0</v>
      </c>
      <c r="E94" s="168">
        <v>3.0</v>
      </c>
      <c r="F94" s="168">
        <v>5.0</v>
      </c>
      <c r="G94" s="168">
        <v>7.0</v>
      </c>
      <c r="H94" s="183">
        <v>23293.14</v>
      </c>
      <c r="I94" s="184">
        <v>94640.61</v>
      </c>
      <c r="J94" s="168">
        <v>6.0</v>
      </c>
      <c r="K94" s="168">
        <v>7.0</v>
      </c>
      <c r="L94" s="168">
        <v>7.0</v>
      </c>
      <c r="M94" s="184">
        <v>-19943.13</v>
      </c>
      <c r="N94" s="184">
        <v>47306.57</v>
      </c>
      <c r="O94" s="184">
        <v>-405.86</v>
      </c>
      <c r="P94" s="184">
        <v>-72221.75</v>
      </c>
    </row>
    <row r="95">
      <c r="A95" s="168">
        <v>91.0</v>
      </c>
      <c r="B95" s="168">
        <v>46.0</v>
      </c>
      <c r="C95" s="168">
        <v>69.0</v>
      </c>
      <c r="D95" s="168">
        <v>43.0</v>
      </c>
      <c r="E95" s="168">
        <v>2.0</v>
      </c>
      <c r="F95" s="168">
        <v>9.0</v>
      </c>
      <c r="G95" s="168">
        <v>7.0</v>
      </c>
      <c r="H95" s="183">
        <v>-87131.91</v>
      </c>
      <c r="I95" s="184">
        <v>-68586.37</v>
      </c>
      <c r="J95" s="168">
        <v>4.0</v>
      </c>
      <c r="K95" s="168">
        <v>3.0</v>
      </c>
      <c r="L95" s="168">
        <v>9.0</v>
      </c>
      <c r="M95" s="184">
        <v>-5586.59</v>
      </c>
      <c r="N95" s="184">
        <v>49225.9</v>
      </c>
      <c r="O95" s="184">
        <v>-96303.71</v>
      </c>
      <c r="P95" s="184">
        <v>39956.87</v>
      </c>
    </row>
    <row r="96">
      <c r="A96" s="168">
        <v>63.0</v>
      </c>
      <c r="B96" s="168">
        <v>33.0</v>
      </c>
      <c r="C96" s="168">
        <v>89.0</v>
      </c>
      <c r="D96" s="168">
        <v>25.0</v>
      </c>
      <c r="E96" s="168">
        <v>8.0</v>
      </c>
      <c r="F96" s="168">
        <v>7.0</v>
      </c>
      <c r="G96" s="168">
        <v>7.0</v>
      </c>
      <c r="H96" s="183">
        <v>11314.39</v>
      </c>
      <c r="I96" s="184">
        <v>-31256.04</v>
      </c>
      <c r="J96" s="168">
        <v>7.0</v>
      </c>
      <c r="K96" s="168">
        <v>9.0</v>
      </c>
      <c r="L96" s="168">
        <v>3.0</v>
      </c>
      <c r="M96" s="184">
        <v>-65074.83</v>
      </c>
      <c r="N96" s="184">
        <v>10149.42</v>
      </c>
      <c r="O96" s="184">
        <v>-13850.15</v>
      </c>
      <c r="P96" s="184">
        <v>-18831.61</v>
      </c>
    </row>
    <row r="97">
      <c r="A97" s="168">
        <v>74.0</v>
      </c>
      <c r="B97" s="168">
        <v>59.0</v>
      </c>
      <c r="C97" s="168">
        <v>92.0</v>
      </c>
      <c r="D97" s="168">
        <v>84.0</v>
      </c>
      <c r="E97" s="168">
        <v>1.0</v>
      </c>
      <c r="F97" s="168">
        <v>7.0</v>
      </c>
      <c r="G97" s="168">
        <v>5.0</v>
      </c>
      <c r="H97" s="183">
        <v>-51367.65</v>
      </c>
      <c r="I97" s="184">
        <v>-62478.11</v>
      </c>
      <c r="J97" s="168">
        <v>9.0</v>
      </c>
      <c r="K97" s="168">
        <v>5.0</v>
      </c>
      <c r="L97" s="168">
        <v>3.0</v>
      </c>
      <c r="M97" s="184">
        <v>-3158.91</v>
      </c>
      <c r="N97" s="184">
        <v>29620.35</v>
      </c>
      <c r="O97" s="184">
        <v>-51615.49</v>
      </c>
      <c r="P97" s="184">
        <v>-61729.27</v>
      </c>
    </row>
    <row r="98">
      <c r="A98" s="168">
        <v>74.0</v>
      </c>
      <c r="B98" s="168">
        <v>96.0</v>
      </c>
      <c r="C98" s="168">
        <v>76.0</v>
      </c>
      <c r="D98" s="168">
        <v>22.0</v>
      </c>
      <c r="E98" s="168">
        <v>4.0</v>
      </c>
      <c r="F98" s="168">
        <v>7.0</v>
      </c>
      <c r="G98" s="168">
        <v>9.0</v>
      </c>
      <c r="H98" s="183">
        <v>45199.12</v>
      </c>
      <c r="I98" s="184">
        <v>26285.6</v>
      </c>
      <c r="J98" s="168">
        <v>3.0</v>
      </c>
      <c r="K98" s="168">
        <v>2.0</v>
      </c>
      <c r="L98" s="168">
        <v>8.0</v>
      </c>
      <c r="M98" s="184">
        <v>93448.36</v>
      </c>
      <c r="N98" s="184">
        <v>-66963.16</v>
      </c>
      <c r="O98" s="184">
        <v>-14460.7</v>
      </c>
      <c r="P98" s="184">
        <v>36776.08</v>
      </c>
    </row>
    <row r="99">
      <c r="A99" s="168">
        <v>80.0</v>
      </c>
      <c r="B99" s="168">
        <v>86.0</v>
      </c>
      <c r="C99" s="168">
        <v>39.0</v>
      </c>
      <c r="D99" s="168">
        <v>72.0</v>
      </c>
      <c r="E99" s="168">
        <v>7.0</v>
      </c>
      <c r="F99" s="168">
        <v>5.0</v>
      </c>
      <c r="G99" s="168">
        <v>8.0</v>
      </c>
      <c r="H99" s="183">
        <v>52585.62</v>
      </c>
      <c r="I99" s="184">
        <v>14401.94</v>
      </c>
      <c r="J99" s="168">
        <v>3.0</v>
      </c>
      <c r="K99" s="168">
        <v>7.0</v>
      </c>
      <c r="L99" s="168">
        <v>3.0</v>
      </c>
      <c r="M99" s="184">
        <v>-48326.07</v>
      </c>
      <c r="N99" s="184">
        <v>6349.61</v>
      </c>
      <c r="O99" s="184">
        <v>77727.11</v>
      </c>
      <c r="P99" s="184">
        <v>-43675.21</v>
      </c>
    </row>
    <row r="100">
      <c r="A100" s="168">
        <v>32.0</v>
      </c>
      <c r="B100" s="168">
        <v>26.0</v>
      </c>
      <c r="C100" s="168">
        <v>50.0</v>
      </c>
      <c r="D100" s="168">
        <v>76.0</v>
      </c>
      <c r="E100" s="168">
        <v>5.0</v>
      </c>
      <c r="F100" s="168">
        <v>9.0</v>
      </c>
      <c r="G100" s="168">
        <v>6.0</v>
      </c>
      <c r="H100" s="183">
        <v>11904.46</v>
      </c>
      <c r="I100" s="184">
        <v>55122.92</v>
      </c>
      <c r="J100" s="168">
        <v>8.0</v>
      </c>
      <c r="K100" s="168">
        <v>4.0</v>
      </c>
      <c r="L100" s="168">
        <v>8.0</v>
      </c>
      <c r="M100" s="184">
        <v>35231.76</v>
      </c>
      <c r="N100" s="184">
        <v>92500.55</v>
      </c>
      <c r="O100" s="184">
        <v>10173.22</v>
      </c>
      <c r="P100" s="184">
        <v>81184.65</v>
      </c>
    </row>
    <row r="101">
      <c r="A101" s="168">
        <v>98.0</v>
      </c>
      <c r="B101" s="168">
        <v>91.0</v>
      </c>
      <c r="C101" s="168">
        <v>42.0</v>
      </c>
      <c r="D101" s="168">
        <v>65.0</v>
      </c>
      <c r="E101" s="168">
        <v>2.0</v>
      </c>
      <c r="F101" s="168">
        <v>8.0</v>
      </c>
      <c r="G101" s="168">
        <v>2.0</v>
      </c>
      <c r="H101" s="183">
        <v>-71189.29</v>
      </c>
      <c r="I101" s="184">
        <v>-96423.11</v>
      </c>
      <c r="J101" s="168">
        <v>3.0</v>
      </c>
      <c r="K101" s="168">
        <v>2.0</v>
      </c>
      <c r="L101" s="168">
        <v>7.0</v>
      </c>
      <c r="M101" s="184">
        <v>-40950.44</v>
      </c>
      <c r="N101" s="184">
        <v>-34620.69</v>
      </c>
      <c r="O101" s="184">
        <v>-20031.11</v>
      </c>
      <c r="P101" s="184">
        <v>-23800.86</v>
      </c>
    </row>
    <row r="102">
      <c r="A102" s="168">
        <v>21.0</v>
      </c>
      <c r="B102" s="168">
        <v>57.0</v>
      </c>
      <c r="C102" s="168">
        <v>26.0</v>
      </c>
      <c r="D102" s="168">
        <v>52.0</v>
      </c>
      <c r="E102" s="168">
        <v>7.0</v>
      </c>
      <c r="F102" s="168">
        <v>6.0</v>
      </c>
      <c r="G102" s="168">
        <v>5.0</v>
      </c>
      <c r="H102" s="183">
        <v>-88831.12</v>
      </c>
      <c r="I102" s="184">
        <v>836.27</v>
      </c>
      <c r="J102" s="168">
        <v>8.0</v>
      </c>
      <c r="K102" s="168">
        <v>1.0</v>
      </c>
      <c r="L102" s="168">
        <v>1.0</v>
      </c>
      <c r="M102" s="184">
        <v>-8960.94</v>
      </c>
      <c r="N102" s="184">
        <v>3974.84</v>
      </c>
      <c r="O102" s="184">
        <v>-74237.98</v>
      </c>
      <c r="P102" s="184">
        <v>-82083.68</v>
      </c>
    </row>
    <row r="103">
      <c r="A103" s="168">
        <v>52.0</v>
      </c>
      <c r="B103" s="168">
        <v>28.0</v>
      </c>
      <c r="C103" s="168">
        <v>34.0</v>
      </c>
      <c r="D103" s="168">
        <v>37.0</v>
      </c>
      <c r="E103" s="168">
        <v>2.0</v>
      </c>
      <c r="F103" s="168">
        <v>2.0</v>
      </c>
      <c r="G103" s="168">
        <v>6.0</v>
      </c>
      <c r="H103" s="183">
        <v>-90244.46</v>
      </c>
      <c r="I103" s="184">
        <v>4507.39</v>
      </c>
      <c r="J103" s="168">
        <v>7.0</v>
      </c>
      <c r="K103" s="168">
        <v>3.0</v>
      </c>
      <c r="L103" s="168">
        <v>1.0</v>
      </c>
      <c r="M103" s="184">
        <v>7234.37</v>
      </c>
      <c r="N103" s="184">
        <v>-32116.97</v>
      </c>
      <c r="O103" s="184">
        <v>8882.95</v>
      </c>
      <c r="P103" s="184">
        <v>-32032.55</v>
      </c>
    </row>
    <row r="104">
      <c r="A104" s="168">
        <v>24.0</v>
      </c>
      <c r="B104" s="168">
        <v>66.0</v>
      </c>
      <c r="C104" s="168">
        <v>33.0</v>
      </c>
      <c r="D104" s="168">
        <v>79.0</v>
      </c>
      <c r="E104" s="168">
        <v>7.0</v>
      </c>
      <c r="F104" s="168">
        <v>5.0</v>
      </c>
      <c r="G104" s="168">
        <v>9.0</v>
      </c>
      <c r="H104" s="183">
        <v>-47132.95</v>
      </c>
      <c r="I104" s="184">
        <v>50925.36</v>
      </c>
      <c r="J104" s="168">
        <v>1.0</v>
      </c>
      <c r="K104" s="168">
        <v>2.0</v>
      </c>
      <c r="L104" s="168">
        <v>7.0</v>
      </c>
      <c r="M104" s="184">
        <v>41633.52</v>
      </c>
      <c r="N104" s="184">
        <v>91498.42</v>
      </c>
      <c r="O104" s="184">
        <v>-70010.36</v>
      </c>
      <c r="P104" s="184">
        <v>-26640.9</v>
      </c>
    </row>
    <row r="105">
      <c r="A105" s="168">
        <v>59.0</v>
      </c>
      <c r="B105" s="168">
        <v>36.0</v>
      </c>
      <c r="C105" s="168">
        <v>91.0</v>
      </c>
      <c r="D105" s="168">
        <v>64.0</v>
      </c>
      <c r="E105" s="168">
        <v>1.0</v>
      </c>
      <c r="F105" s="168">
        <v>6.0</v>
      </c>
      <c r="G105" s="168">
        <v>9.0</v>
      </c>
      <c r="H105" s="183">
        <v>12826.58</v>
      </c>
      <c r="I105" s="184">
        <v>-28269.46</v>
      </c>
      <c r="J105" s="168">
        <v>1.0</v>
      </c>
      <c r="K105" s="168">
        <v>5.0</v>
      </c>
      <c r="L105" s="168">
        <v>3.0</v>
      </c>
      <c r="M105" s="184">
        <v>16220.57</v>
      </c>
      <c r="N105" s="184">
        <v>-27902.28</v>
      </c>
      <c r="O105" s="184">
        <v>-94685.31</v>
      </c>
      <c r="P105" s="184">
        <v>-84763.94</v>
      </c>
    </row>
    <row r="106">
      <c r="A106" s="168">
        <v>88.0</v>
      </c>
      <c r="B106" s="168">
        <v>84.0</v>
      </c>
      <c r="C106" s="168">
        <v>35.0</v>
      </c>
      <c r="D106" s="168">
        <v>35.0</v>
      </c>
      <c r="E106" s="168">
        <v>5.0</v>
      </c>
      <c r="F106" s="168">
        <v>9.0</v>
      </c>
      <c r="G106" s="168">
        <v>9.0</v>
      </c>
      <c r="H106" s="183">
        <v>13119.17</v>
      </c>
      <c r="I106" s="184">
        <v>-36491.81</v>
      </c>
      <c r="J106" s="168">
        <v>7.0</v>
      </c>
      <c r="K106" s="168">
        <v>4.0</v>
      </c>
      <c r="L106" s="168">
        <v>9.0</v>
      </c>
      <c r="M106" s="184">
        <v>-36843.04</v>
      </c>
      <c r="N106" s="184">
        <v>-39897.3</v>
      </c>
      <c r="O106" s="184">
        <v>-85123.06</v>
      </c>
      <c r="P106" s="184">
        <v>-42803.74</v>
      </c>
    </row>
    <row r="107">
      <c r="A107" s="168">
        <v>87.0</v>
      </c>
      <c r="B107" s="168">
        <v>10.0</v>
      </c>
      <c r="C107" s="168">
        <v>20.0</v>
      </c>
      <c r="D107" s="168">
        <v>94.0</v>
      </c>
      <c r="E107" s="168">
        <v>6.0</v>
      </c>
      <c r="F107" s="168">
        <v>9.0</v>
      </c>
      <c r="G107" s="168">
        <v>3.0</v>
      </c>
      <c r="H107" s="183">
        <v>40267.88</v>
      </c>
      <c r="I107" s="184">
        <v>39338.48</v>
      </c>
      <c r="J107" s="168">
        <v>3.0</v>
      </c>
      <c r="K107" s="168">
        <v>1.0</v>
      </c>
      <c r="L107" s="168">
        <v>5.0</v>
      </c>
      <c r="M107" s="184">
        <v>-38476.11</v>
      </c>
      <c r="N107" s="184">
        <v>14842.26</v>
      </c>
      <c r="O107" s="184">
        <v>-83236.7</v>
      </c>
      <c r="P107" s="184">
        <v>51061.16</v>
      </c>
    </row>
    <row r="108">
      <c r="A108" s="168">
        <v>29.0</v>
      </c>
      <c r="B108" s="168">
        <v>75.0</v>
      </c>
      <c r="C108" s="168">
        <v>42.0</v>
      </c>
      <c r="D108" s="168">
        <v>59.0</v>
      </c>
      <c r="E108" s="168">
        <v>2.0</v>
      </c>
      <c r="F108" s="168">
        <v>9.0</v>
      </c>
      <c r="G108" s="168">
        <v>2.0</v>
      </c>
      <c r="H108" s="183">
        <v>87648.64</v>
      </c>
      <c r="I108" s="184">
        <v>-13066.4</v>
      </c>
      <c r="J108" s="168">
        <v>9.0</v>
      </c>
      <c r="K108" s="168">
        <v>2.0</v>
      </c>
      <c r="L108" s="168">
        <v>4.0</v>
      </c>
      <c r="M108" s="184">
        <v>-17867.62</v>
      </c>
      <c r="N108" s="184">
        <v>-53548.59</v>
      </c>
      <c r="O108" s="184">
        <v>21439.66</v>
      </c>
      <c r="P108" s="184">
        <v>-39506.94</v>
      </c>
    </row>
    <row r="109">
      <c r="A109" s="168">
        <v>26.0</v>
      </c>
      <c r="B109" s="168">
        <v>10.0</v>
      </c>
      <c r="C109" s="168">
        <v>22.0</v>
      </c>
      <c r="D109" s="168">
        <v>72.0</v>
      </c>
      <c r="E109" s="168">
        <v>2.0</v>
      </c>
      <c r="F109" s="168">
        <v>3.0</v>
      </c>
      <c r="G109" s="168">
        <v>5.0</v>
      </c>
      <c r="H109" s="183">
        <v>-78191.59</v>
      </c>
      <c r="I109" s="184">
        <v>38706.83</v>
      </c>
      <c r="J109" s="168">
        <v>5.0</v>
      </c>
      <c r="K109" s="168">
        <v>6.0</v>
      </c>
      <c r="L109" s="168">
        <v>4.0</v>
      </c>
      <c r="M109" s="184">
        <v>-39293.45</v>
      </c>
      <c r="N109" s="184">
        <v>67489.29</v>
      </c>
      <c r="O109" s="184">
        <v>76746.03</v>
      </c>
      <c r="P109" s="184">
        <v>-27593.52</v>
      </c>
    </row>
    <row r="110">
      <c r="A110" s="168">
        <v>32.0</v>
      </c>
      <c r="B110" s="168">
        <v>27.0</v>
      </c>
      <c r="C110" s="168">
        <v>69.0</v>
      </c>
      <c r="D110" s="168">
        <v>67.0</v>
      </c>
      <c r="E110" s="168">
        <v>5.0</v>
      </c>
      <c r="F110" s="168">
        <v>2.0</v>
      </c>
      <c r="G110" s="168">
        <v>6.0</v>
      </c>
      <c r="H110" s="183">
        <v>-22568.15</v>
      </c>
      <c r="I110" s="184">
        <v>-75044.09</v>
      </c>
      <c r="J110" s="168">
        <v>4.0</v>
      </c>
      <c r="K110" s="168">
        <v>1.0</v>
      </c>
      <c r="L110" s="168">
        <v>8.0</v>
      </c>
      <c r="M110" s="184">
        <v>-54733.09</v>
      </c>
      <c r="N110" s="184">
        <v>-50122.25</v>
      </c>
      <c r="O110" s="184">
        <v>47489.4</v>
      </c>
      <c r="P110" s="184">
        <v>10710.46</v>
      </c>
    </row>
    <row r="111">
      <c r="A111" s="168">
        <v>23.0</v>
      </c>
      <c r="B111" s="168">
        <v>24.0</v>
      </c>
      <c r="C111" s="168">
        <v>32.0</v>
      </c>
      <c r="D111" s="168">
        <v>71.0</v>
      </c>
      <c r="E111" s="168">
        <v>3.0</v>
      </c>
      <c r="F111" s="168">
        <v>5.0</v>
      </c>
      <c r="G111" s="168">
        <v>3.0</v>
      </c>
      <c r="H111" s="183">
        <v>-27935.83</v>
      </c>
      <c r="I111" s="184">
        <v>56360.26</v>
      </c>
      <c r="J111" s="168">
        <v>4.0</v>
      </c>
      <c r="K111" s="168">
        <v>8.0</v>
      </c>
      <c r="L111" s="168">
        <v>7.0</v>
      </c>
      <c r="M111" s="184">
        <v>6795.28</v>
      </c>
      <c r="N111" s="184">
        <v>9668.42</v>
      </c>
      <c r="O111" s="184">
        <v>4292.55</v>
      </c>
      <c r="P111" s="184">
        <v>-45238.42</v>
      </c>
    </row>
    <row r="112">
      <c r="A112" s="168">
        <v>66.0</v>
      </c>
      <c r="B112" s="168">
        <v>84.0</v>
      </c>
      <c r="C112" s="168">
        <v>87.0</v>
      </c>
      <c r="D112" s="168">
        <v>82.0</v>
      </c>
      <c r="E112" s="168">
        <v>9.0</v>
      </c>
      <c r="F112" s="168">
        <v>6.0</v>
      </c>
      <c r="G112" s="168">
        <v>1.0</v>
      </c>
      <c r="H112" s="183">
        <v>-38932.69</v>
      </c>
      <c r="I112" s="184">
        <v>-24506.65</v>
      </c>
      <c r="J112" s="168">
        <v>8.0</v>
      </c>
      <c r="K112" s="168">
        <v>5.0</v>
      </c>
      <c r="L112" s="168">
        <v>9.0</v>
      </c>
      <c r="M112" s="184">
        <v>-41417.66</v>
      </c>
      <c r="N112" s="184">
        <v>-48978.15</v>
      </c>
      <c r="O112" s="184">
        <v>-51271.18</v>
      </c>
      <c r="P112" s="184">
        <v>48973.28</v>
      </c>
    </row>
    <row r="113">
      <c r="A113" s="168">
        <v>20.0</v>
      </c>
      <c r="B113" s="168">
        <v>68.0</v>
      </c>
      <c r="C113" s="168">
        <v>78.0</v>
      </c>
      <c r="D113" s="168">
        <v>89.0</v>
      </c>
      <c r="E113" s="168">
        <v>4.0</v>
      </c>
      <c r="F113" s="168">
        <v>3.0</v>
      </c>
      <c r="G113" s="168">
        <v>1.0</v>
      </c>
      <c r="H113" s="183">
        <v>66078.21</v>
      </c>
      <c r="I113" s="184">
        <v>54756.42</v>
      </c>
      <c r="J113" s="168">
        <v>7.0</v>
      </c>
      <c r="K113" s="168">
        <v>7.0</v>
      </c>
      <c r="L113" s="168">
        <v>8.0</v>
      </c>
      <c r="M113" s="184">
        <v>-20760.93</v>
      </c>
      <c r="N113" s="184">
        <v>-22908.46</v>
      </c>
      <c r="O113" s="184">
        <v>-22057.57</v>
      </c>
      <c r="P113" s="184">
        <v>-40915.58</v>
      </c>
    </row>
    <row r="114">
      <c r="A114" s="168">
        <v>17.0</v>
      </c>
      <c r="B114" s="168">
        <v>72.0</v>
      </c>
      <c r="C114" s="168">
        <v>50.0</v>
      </c>
      <c r="D114" s="168">
        <v>89.0</v>
      </c>
      <c r="E114" s="168">
        <v>4.0</v>
      </c>
      <c r="F114" s="168">
        <v>1.0</v>
      </c>
      <c r="G114" s="168">
        <v>9.0</v>
      </c>
      <c r="H114" s="183">
        <v>-82898.72</v>
      </c>
      <c r="I114" s="184">
        <v>96729.76</v>
      </c>
      <c r="J114" s="168">
        <v>9.0</v>
      </c>
      <c r="K114" s="168">
        <v>6.0</v>
      </c>
      <c r="L114" s="168">
        <v>9.0</v>
      </c>
      <c r="M114" s="184">
        <v>85400.37</v>
      </c>
      <c r="N114" s="184">
        <v>-36381.92</v>
      </c>
      <c r="O114" s="184">
        <v>-68410.81</v>
      </c>
      <c r="P114" s="184">
        <v>-56861.41</v>
      </c>
    </row>
    <row r="115">
      <c r="A115" s="168">
        <v>47.0</v>
      </c>
      <c r="B115" s="168">
        <v>82.0</v>
      </c>
      <c r="C115" s="168">
        <v>75.0</v>
      </c>
      <c r="D115" s="168">
        <v>50.0</v>
      </c>
      <c r="E115" s="168">
        <v>7.0</v>
      </c>
      <c r="F115" s="168">
        <v>1.0</v>
      </c>
      <c r="G115" s="168">
        <v>9.0</v>
      </c>
      <c r="H115" s="183">
        <v>94200.27</v>
      </c>
      <c r="I115" s="184">
        <v>-76615.22</v>
      </c>
      <c r="J115" s="168">
        <v>8.0</v>
      </c>
      <c r="K115" s="168">
        <v>7.0</v>
      </c>
      <c r="L115" s="168">
        <v>1.0</v>
      </c>
      <c r="M115" s="184">
        <v>95621.53</v>
      </c>
      <c r="N115" s="184">
        <v>45128.89</v>
      </c>
      <c r="O115" s="184">
        <v>-33876.05</v>
      </c>
      <c r="P115" s="184">
        <v>51268.79</v>
      </c>
    </row>
    <row r="116">
      <c r="A116" s="168">
        <v>13.0</v>
      </c>
      <c r="B116" s="168">
        <v>81.0</v>
      </c>
      <c r="C116" s="168">
        <v>82.0</v>
      </c>
      <c r="D116" s="168">
        <v>12.0</v>
      </c>
      <c r="E116" s="168">
        <v>7.0</v>
      </c>
      <c r="F116" s="168">
        <v>9.0</v>
      </c>
      <c r="G116" s="168">
        <v>2.0</v>
      </c>
      <c r="H116" s="183">
        <v>-29807.48</v>
      </c>
      <c r="I116" s="184">
        <v>91568.53</v>
      </c>
      <c r="J116" s="168">
        <v>9.0</v>
      </c>
      <c r="K116" s="168">
        <v>5.0</v>
      </c>
      <c r="L116" s="168">
        <v>8.0</v>
      </c>
      <c r="M116" s="184">
        <v>88602.7</v>
      </c>
      <c r="N116" s="184">
        <v>-12159.53</v>
      </c>
      <c r="O116" s="184">
        <v>93076.75</v>
      </c>
      <c r="P116" s="184">
        <v>-17527.01</v>
      </c>
    </row>
    <row r="117">
      <c r="A117" s="168">
        <v>98.0</v>
      </c>
      <c r="B117" s="168">
        <v>40.0</v>
      </c>
      <c r="C117" s="168">
        <v>29.0</v>
      </c>
      <c r="D117" s="168">
        <v>15.0</v>
      </c>
      <c r="E117" s="168">
        <v>2.0</v>
      </c>
      <c r="F117" s="168">
        <v>9.0</v>
      </c>
      <c r="G117" s="168">
        <v>2.0</v>
      </c>
      <c r="H117" s="183">
        <v>-65010.91</v>
      </c>
      <c r="I117" s="184">
        <v>30917.77</v>
      </c>
      <c r="J117" s="168">
        <v>1.0</v>
      </c>
      <c r="K117" s="168">
        <v>2.0</v>
      </c>
      <c r="L117" s="168">
        <v>3.0</v>
      </c>
      <c r="M117" s="184">
        <v>-11672.43</v>
      </c>
      <c r="N117" s="184">
        <v>40007.63</v>
      </c>
      <c r="O117" s="184">
        <v>22456.82</v>
      </c>
      <c r="P117" s="184">
        <v>-85153.34</v>
      </c>
    </row>
    <row r="118">
      <c r="A118" s="168">
        <v>39.0</v>
      </c>
      <c r="B118" s="168">
        <v>65.0</v>
      </c>
      <c r="C118" s="168">
        <v>40.0</v>
      </c>
      <c r="D118" s="168">
        <v>11.0</v>
      </c>
      <c r="E118" s="168">
        <v>7.0</v>
      </c>
      <c r="F118" s="168">
        <v>2.0</v>
      </c>
      <c r="G118" s="168">
        <v>1.0</v>
      </c>
      <c r="H118" s="183">
        <v>-92689.4</v>
      </c>
      <c r="I118" s="184">
        <v>-35248.78</v>
      </c>
      <c r="J118" s="168">
        <v>8.0</v>
      </c>
      <c r="K118" s="168">
        <v>5.0</v>
      </c>
      <c r="L118" s="168">
        <v>2.0</v>
      </c>
      <c r="M118" s="184">
        <v>-5150.39</v>
      </c>
      <c r="N118" s="184">
        <v>92554.43</v>
      </c>
      <c r="O118" s="184">
        <v>-23064.25</v>
      </c>
      <c r="P118" s="184">
        <v>-67084.21</v>
      </c>
    </row>
    <row r="119">
      <c r="A119" s="168">
        <v>78.0</v>
      </c>
      <c r="B119" s="168">
        <v>17.0</v>
      </c>
      <c r="C119" s="168">
        <v>95.0</v>
      </c>
      <c r="D119" s="168">
        <v>38.0</v>
      </c>
      <c r="E119" s="168">
        <v>4.0</v>
      </c>
      <c r="F119" s="168">
        <v>2.0</v>
      </c>
      <c r="G119" s="168">
        <v>3.0</v>
      </c>
      <c r="H119" s="183">
        <v>-64032.9</v>
      </c>
      <c r="I119" s="184">
        <v>87138.21</v>
      </c>
      <c r="J119" s="168">
        <v>3.0</v>
      </c>
      <c r="K119" s="168">
        <v>2.0</v>
      </c>
      <c r="L119" s="168">
        <v>3.0</v>
      </c>
      <c r="M119" s="184">
        <v>-12185.48</v>
      </c>
      <c r="N119" s="184">
        <v>62748.75</v>
      </c>
      <c r="O119" s="184">
        <v>97760.8</v>
      </c>
      <c r="P119" s="184">
        <v>33686.22</v>
      </c>
    </row>
    <row r="120">
      <c r="A120" s="168">
        <v>98.0</v>
      </c>
      <c r="B120" s="168">
        <v>76.0</v>
      </c>
      <c r="C120" s="168">
        <v>55.0</v>
      </c>
      <c r="D120" s="168">
        <v>93.0</v>
      </c>
      <c r="E120" s="168">
        <v>2.0</v>
      </c>
      <c r="F120" s="168">
        <v>1.0</v>
      </c>
      <c r="G120" s="168">
        <v>8.0</v>
      </c>
      <c r="H120" s="183">
        <v>18362.94</v>
      </c>
      <c r="I120" s="184">
        <v>43262.87</v>
      </c>
      <c r="J120" s="168">
        <v>2.0</v>
      </c>
      <c r="K120" s="168">
        <v>7.0</v>
      </c>
      <c r="L120" s="168">
        <v>7.0</v>
      </c>
      <c r="M120" s="184">
        <v>30785.76</v>
      </c>
      <c r="N120" s="184">
        <v>66054.94</v>
      </c>
      <c r="O120" s="184">
        <v>54051.59</v>
      </c>
      <c r="P120" s="184">
        <v>15721.56</v>
      </c>
    </row>
    <row r="121">
      <c r="A121" s="168">
        <v>61.0</v>
      </c>
      <c r="B121" s="168">
        <v>44.0</v>
      </c>
      <c r="C121" s="168">
        <v>77.0</v>
      </c>
      <c r="D121" s="168">
        <v>42.0</v>
      </c>
      <c r="E121" s="168">
        <v>6.0</v>
      </c>
      <c r="F121" s="168">
        <v>3.0</v>
      </c>
      <c r="G121" s="168">
        <v>1.0</v>
      </c>
      <c r="H121" s="183">
        <v>6996.56</v>
      </c>
      <c r="I121" s="184">
        <v>76163.84</v>
      </c>
      <c r="J121" s="168">
        <v>3.0</v>
      </c>
      <c r="K121" s="168">
        <v>8.0</v>
      </c>
      <c r="L121" s="168">
        <v>1.0</v>
      </c>
      <c r="M121" s="184">
        <v>-24857.92</v>
      </c>
      <c r="N121" s="184">
        <v>-2384.31</v>
      </c>
      <c r="O121" s="184">
        <v>97936.76</v>
      </c>
      <c r="P121" s="184">
        <v>54358.65</v>
      </c>
    </row>
    <row r="122">
      <c r="A122" s="168">
        <v>54.0</v>
      </c>
      <c r="B122" s="168">
        <v>28.0</v>
      </c>
      <c r="C122" s="168">
        <v>77.0</v>
      </c>
      <c r="D122" s="168">
        <v>83.0</v>
      </c>
      <c r="E122" s="168">
        <v>4.0</v>
      </c>
      <c r="F122" s="168">
        <v>8.0</v>
      </c>
      <c r="G122" s="168">
        <v>8.0</v>
      </c>
      <c r="H122" s="183">
        <v>53075.13</v>
      </c>
      <c r="I122" s="184">
        <v>75481.16</v>
      </c>
      <c r="J122" s="168">
        <v>7.0</v>
      </c>
      <c r="K122" s="168">
        <v>7.0</v>
      </c>
      <c r="L122" s="168">
        <v>8.0</v>
      </c>
      <c r="M122" s="184">
        <v>-52843.56</v>
      </c>
      <c r="N122" s="184">
        <v>5120.97</v>
      </c>
      <c r="O122" s="184">
        <v>66248.11</v>
      </c>
      <c r="P122" s="184">
        <v>54049.05</v>
      </c>
    </row>
    <row r="123">
      <c r="A123" s="168">
        <v>45.0</v>
      </c>
      <c r="B123" s="168">
        <v>43.0</v>
      </c>
      <c r="C123" s="168">
        <v>34.0</v>
      </c>
      <c r="D123" s="168">
        <v>63.0</v>
      </c>
      <c r="E123" s="168">
        <v>7.0</v>
      </c>
      <c r="F123" s="168">
        <v>1.0</v>
      </c>
      <c r="G123" s="168">
        <v>4.0</v>
      </c>
      <c r="H123" s="183">
        <v>-57294.48</v>
      </c>
      <c r="I123" s="184">
        <v>-58237.14</v>
      </c>
      <c r="J123" s="168">
        <v>1.0</v>
      </c>
      <c r="K123" s="168">
        <v>1.0</v>
      </c>
      <c r="L123" s="168">
        <v>3.0</v>
      </c>
      <c r="M123" s="184">
        <v>26603.6</v>
      </c>
      <c r="N123" s="184">
        <v>93697.27</v>
      </c>
      <c r="O123" s="184">
        <v>88120.22</v>
      </c>
      <c r="P123" s="184">
        <v>18331.85</v>
      </c>
    </row>
    <row r="124">
      <c r="A124" s="168">
        <v>99.0</v>
      </c>
      <c r="B124" s="168">
        <v>28.0</v>
      </c>
      <c r="C124" s="168">
        <v>60.0</v>
      </c>
      <c r="D124" s="168">
        <v>64.0</v>
      </c>
      <c r="E124" s="168">
        <v>7.0</v>
      </c>
      <c r="F124" s="168">
        <v>8.0</v>
      </c>
      <c r="G124" s="168">
        <v>5.0</v>
      </c>
      <c r="H124" s="183">
        <v>-27349.09</v>
      </c>
      <c r="I124" s="184">
        <v>-91447.51</v>
      </c>
      <c r="J124" s="168">
        <v>8.0</v>
      </c>
      <c r="K124" s="168">
        <v>2.0</v>
      </c>
      <c r="L124" s="168">
        <v>3.0</v>
      </c>
      <c r="M124" s="184">
        <v>-91604.68</v>
      </c>
      <c r="N124" s="184">
        <v>41637.67</v>
      </c>
      <c r="O124" s="184">
        <v>33502.52</v>
      </c>
      <c r="P124" s="184">
        <v>57681.08</v>
      </c>
    </row>
    <row r="125">
      <c r="A125" s="168">
        <v>75.0</v>
      </c>
      <c r="B125" s="168">
        <v>44.0</v>
      </c>
      <c r="C125" s="168">
        <v>71.0</v>
      </c>
      <c r="D125" s="168">
        <v>50.0</v>
      </c>
      <c r="E125" s="168">
        <v>8.0</v>
      </c>
      <c r="F125" s="168">
        <v>4.0</v>
      </c>
      <c r="G125" s="168">
        <v>3.0</v>
      </c>
      <c r="H125" s="183">
        <v>64774.48</v>
      </c>
      <c r="I125" s="184">
        <v>76408.12</v>
      </c>
      <c r="J125" s="168">
        <v>3.0</v>
      </c>
      <c r="K125" s="168">
        <v>1.0</v>
      </c>
      <c r="L125" s="168">
        <v>9.0</v>
      </c>
      <c r="M125" s="184">
        <v>79471.44</v>
      </c>
      <c r="N125" s="184">
        <v>-69058.61</v>
      </c>
      <c r="O125" s="184">
        <v>10429.6</v>
      </c>
      <c r="P125" s="184">
        <v>77010.81</v>
      </c>
    </row>
    <row r="126">
      <c r="A126" s="168">
        <v>13.0</v>
      </c>
      <c r="B126" s="168">
        <v>91.0</v>
      </c>
      <c r="C126" s="168">
        <v>84.0</v>
      </c>
      <c r="D126" s="168">
        <v>92.0</v>
      </c>
      <c r="E126" s="168">
        <v>1.0</v>
      </c>
      <c r="F126" s="168">
        <v>5.0</v>
      </c>
      <c r="G126" s="168">
        <v>1.0</v>
      </c>
      <c r="H126" s="183">
        <v>-18625.57</v>
      </c>
      <c r="I126" s="184">
        <v>43874.3</v>
      </c>
      <c r="J126" s="168">
        <v>3.0</v>
      </c>
      <c r="K126" s="168">
        <v>2.0</v>
      </c>
      <c r="L126" s="168">
        <v>8.0</v>
      </c>
      <c r="M126" s="184">
        <v>80777.29</v>
      </c>
      <c r="N126" s="184">
        <v>31839.45</v>
      </c>
      <c r="O126" s="184">
        <v>-59755.64</v>
      </c>
      <c r="P126" s="184">
        <v>-5473.53</v>
      </c>
    </row>
    <row r="127">
      <c r="A127" s="168">
        <v>92.0</v>
      </c>
      <c r="B127" s="168">
        <v>17.0</v>
      </c>
      <c r="C127" s="168">
        <v>13.0</v>
      </c>
      <c r="D127" s="168">
        <v>92.0</v>
      </c>
      <c r="E127" s="168">
        <v>2.0</v>
      </c>
      <c r="F127" s="168">
        <v>3.0</v>
      </c>
      <c r="G127" s="168">
        <v>3.0</v>
      </c>
      <c r="H127" s="183">
        <v>-66311.05</v>
      </c>
      <c r="I127" s="184">
        <v>60327.94</v>
      </c>
      <c r="J127" s="168">
        <v>9.0</v>
      </c>
      <c r="K127" s="168">
        <v>5.0</v>
      </c>
      <c r="L127" s="168">
        <v>9.0</v>
      </c>
      <c r="M127" s="184">
        <v>81522.96</v>
      </c>
      <c r="N127" s="184">
        <v>77771.17</v>
      </c>
      <c r="O127" s="184">
        <v>-55177.88</v>
      </c>
      <c r="P127" s="184">
        <v>46410.96</v>
      </c>
    </row>
    <row r="128">
      <c r="A128" s="168">
        <v>35.0</v>
      </c>
      <c r="B128" s="168">
        <v>58.0</v>
      </c>
      <c r="C128" s="168">
        <v>64.0</v>
      </c>
      <c r="D128" s="168">
        <v>65.0</v>
      </c>
      <c r="E128" s="168">
        <v>9.0</v>
      </c>
      <c r="F128" s="168">
        <v>1.0</v>
      </c>
      <c r="G128" s="168">
        <v>7.0</v>
      </c>
      <c r="H128" s="183">
        <v>71136.23</v>
      </c>
      <c r="I128" s="184">
        <v>51847.76</v>
      </c>
      <c r="J128" s="168">
        <v>8.0</v>
      </c>
      <c r="K128" s="168">
        <v>3.0</v>
      </c>
      <c r="L128" s="168">
        <v>8.0</v>
      </c>
      <c r="M128" s="184">
        <v>82745.82</v>
      </c>
      <c r="N128" s="184">
        <v>-43152.45</v>
      </c>
      <c r="O128" s="184">
        <v>-71358.27</v>
      </c>
      <c r="P128" s="184">
        <v>-75604.26</v>
      </c>
    </row>
    <row r="129">
      <c r="A129" s="168">
        <v>15.0</v>
      </c>
      <c r="B129" s="168">
        <v>12.0</v>
      </c>
      <c r="C129" s="168">
        <v>32.0</v>
      </c>
      <c r="D129" s="168">
        <v>18.0</v>
      </c>
      <c r="E129" s="168">
        <v>9.0</v>
      </c>
      <c r="F129" s="168">
        <v>3.0</v>
      </c>
      <c r="G129" s="168">
        <v>4.0</v>
      </c>
      <c r="H129" s="183">
        <v>-81734.61</v>
      </c>
      <c r="I129" s="184">
        <v>62582.32</v>
      </c>
      <c r="J129" s="168">
        <v>9.0</v>
      </c>
      <c r="K129" s="168">
        <v>7.0</v>
      </c>
      <c r="L129" s="168">
        <v>7.0</v>
      </c>
      <c r="M129" s="184">
        <v>43050.73</v>
      </c>
      <c r="N129" s="184">
        <v>-51175.77</v>
      </c>
      <c r="O129" s="184">
        <v>88381.64</v>
      </c>
      <c r="P129" s="184">
        <v>14245.8</v>
      </c>
    </row>
    <row r="130">
      <c r="A130" s="168">
        <v>13.0</v>
      </c>
      <c r="B130" s="168">
        <v>63.0</v>
      </c>
      <c r="C130" s="168">
        <v>76.0</v>
      </c>
      <c r="D130" s="168">
        <v>20.0</v>
      </c>
      <c r="E130" s="168">
        <v>4.0</v>
      </c>
      <c r="F130" s="168">
        <v>7.0</v>
      </c>
      <c r="G130" s="168">
        <v>7.0</v>
      </c>
      <c r="H130" s="183">
        <v>51298.96</v>
      </c>
      <c r="I130" s="184">
        <v>-46912.13</v>
      </c>
      <c r="J130" s="168">
        <v>8.0</v>
      </c>
      <c r="K130" s="168">
        <v>7.0</v>
      </c>
      <c r="L130" s="168">
        <v>1.0</v>
      </c>
      <c r="M130" s="184">
        <v>-71319.77</v>
      </c>
      <c r="N130" s="184">
        <v>-71747.8</v>
      </c>
      <c r="O130" s="184">
        <v>10352.16</v>
      </c>
      <c r="P130" s="184">
        <v>-75332.82</v>
      </c>
    </row>
    <row r="131">
      <c r="A131" s="168">
        <v>36.0</v>
      </c>
      <c r="B131" s="168">
        <v>94.0</v>
      </c>
      <c r="C131" s="168">
        <v>44.0</v>
      </c>
      <c r="D131" s="168">
        <v>35.0</v>
      </c>
      <c r="E131" s="168">
        <v>1.0</v>
      </c>
      <c r="F131" s="168">
        <v>4.0</v>
      </c>
      <c r="G131" s="168">
        <v>1.0</v>
      </c>
      <c r="H131" s="183">
        <v>81388.19</v>
      </c>
      <c r="I131" s="184">
        <v>-5051.17</v>
      </c>
      <c r="J131" s="168">
        <v>7.0</v>
      </c>
      <c r="K131" s="168">
        <v>4.0</v>
      </c>
      <c r="L131" s="168">
        <v>3.0</v>
      </c>
      <c r="M131" s="184">
        <v>-43376.34</v>
      </c>
      <c r="N131" s="184">
        <v>-85300.04</v>
      </c>
      <c r="O131" s="184">
        <v>-79784.47</v>
      </c>
      <c r="P131" s="184">
        <v>-45534.58</v>
      </c>
    </row>
    <row r="132">
      <c r="A132" s="168">
        <v>81.0</v>
      </c>
      <c r="B132" s="168">
        <v>76.0</v>
      </c>
      <c r="C132" s="168">
        <v>15.0</v>
      </c>
      <c r="D132" s="168">
        <v>43.0</v>
      </c>
      <c r="E132" s="168">
        <v>9.0</v>
      </c>
      <c r="F132" s="168">
        <v>7.0</v>
      </c>
      <c r="G132" s="168">
        <v>9.0</v>
      </c>
      <c r="H132" s="183">
        <v>89930.98</v>
      </c>
      <c r="I132" s="184">
        <v>66087.88</v>
      </c>
      <c r="J132" s="168">
        <v>1.0</v>
      </c>
      <c r="K132" s="168">
        <v>7.0</v>
      </c>
      <c r="L132" s="168">
        <v>5.0</v>
      </c>
      <c r="M132" s="184">
        <v>73859.55</v>
      </c>
      <c r="N132" s="184">
        <v>81725.39</v>
      </c>
      <c r="O132" s="184">
        <v>97475.64</v>
      </c>
      <c r="P132" s="184">
        <v>41341.61</v>
      </c>
    </row>
    <row r="133">
      <c r="A133" s="168">
        <v>53.0</v>
      </c>
      <c r="B133" s="168">
        <v>22.0</v>
      </c>
      <c r="C133" s="168">
        <v>74.0</v>
      </c>
      <c r="D133" s="168">
        <v>87.0</v>
      </c>
      <c r="E133" s="168">
        <v>2.0</v>
      </c>
      <c r="F133" s="168">
        <v>1.0</v>
      </c>
      <c r="G133" s="168">
        <v>6.0</v>
      </c>
      <c r="H133" s="183">
        <v>-11360.19</v>
      </c>
      <c r="I133" s="184">
        <v>28969.87</v>
      </c>
      <c r="J133" s="168">
        <v>3.0</v>
      </c>
      <c r="K133" s="168">
        <v>4.0</v>
      </c>
      <c r="L133" s="168">
        <v>7.0</v>
      </c>
      <c r="M133" s="184">
        <v>-17553.94</v>
      </c>
      <c r="N133" s="184">
        <v>91492.44</v>
      </c>
      <c r="O133" s="184">
        <v>59025.98</v>
      </c>
      <c r="P133" s="184">
        <v>61471.02</v>
      </c>
    </row>
    <row r="134">
      <c r="A134" s="168">
        <v>63.0</v>
      </c>
      <c r="B134" s="168">
        <v>28.0</v>
      </c>
      <c r="C134" s="168">
        <v>10.0</v>
      </c>
      <c r="D134" s="168">
        <v>24.0</v>
      </c>
      <c r="E134" s="168">
        <v>3.0</v>
      </c>
      <c r="F134" s="168">
        <v>9.0</v>
      </c>
      <c r="G134" s="168">
        <v>7.0</v>
      </c>
      <c r="H134" s="183">
        <v>79966.93</v>
      </c>
      <c r="I134" s="184">
        <v>47509.35</v>
      </c>
      <c r="J134" s="168">
        <v>5.0</v>
      </c>
      <c r="K134" s="168">
        <v>1.0</v>
      </c>
      <c r="L134" s="168">
        <v>8.0</v>
      </c>
      <c r="M134" s="184">
        <v>-8794.61</v>
      </c>
      <c r="N134" s="184">
        <v>21697.64</v>
      </c>
      <c r="O134" s="184">
        <v>49981.39</v>
      </c>
      <c r="P134" s="184">
        <v>-23227.99</v>
      </c>
    </row>
    <row r="135">
      <c r="A135" s="168">
        <v>94.0</v>
      </c>
      <c r="B135" s="168">
        <v>27.0</v>
      </c>
      <c r="C135" s="168">
        <v>62.0</v>
      </c>
      <c r="D135" s="168">
        <v>43.0</v>
      </c>
      <c r="E135" s="168">
        <v>1.0</v>
      </c>
      <c r="F135" s="168">
        <v>6.0</v>
      </c>
      <c r="G135" s="168">
        <v>6.0</v>
      </c>
      <c r="H135" s="183">
        <v>13269.02</v>
      </c>
      <c r="I135" s="184">
        <v>-74280.41</v>
      </c>
      <c r="J135" s="168">
        <v>7.0</v>
      </c>
      <c r="K135" s="168">
        <v>7.0</v>
      </c>
      <c r="L135" s="168">
        <v>7.0</v>
      </c>
      <c r="M135" s="184">
        <v>-45203.6</v>
      </c>
      <c r="N135" s="184">
        <v>70093.01</v>
      </c>
      <c r="O135" s="184">
        <v>-59179.02</v>
      </c>
      <c r="P135" s="184">
        <v>42485.03</v>
      </c>
    </row>
    <row r="136">
      <c r="A136" s="168">
        <v>52.0</v>
      </c>
      <c r="B136" s="168">
        <v>92.0</v>
      </c>
      <c r="C136" s="168">
        <v>21.0</v>
      </c>
      <c r="D136" s="168">
        <v>48.0</v>
      </c>
      <c r="E136" s="168">
        <v>4.0</v>
      </c>
      <c r="F136" s="168">
        <v>7.0</v>
      </c>
      <c r="G136" s="168">
        <v>3.0</v>
      </c>
      <c r="H136" s="183">
        <v>32554.93</v>
      </c>
      <c r="I136" s="184">
        <v>-18041.44</v>
      </c>
      <c r="J136" s="168">
        <v>8.0</v>
      </c>
      <c r="K136" s="168">
        <v>7.0</v>
      </c>
      <c r="L136" s="168">
        <v>1.0</v>
      </c>
      <c r="M136" s="184">
        <v>31248.89</v>
      </c>
      <c r="N136" s="184">
        <v>89982.29</v>
      </c>
      <c r="O136" s="184">
        <v>-78158.08</v>
      </c>
      <c r="P136" s="184">
        <v>79986.0</v>
      </c>
    </row>
    <row r="137">
      <c r="A137" s="168">
        <v>50.0</v>
      </c>
      <c r="B137" s="168">
        <v>21.0</v>
      </c>
      <c r="C137" s="168">
        <v>76.0</v>
      </c>
      <c r="D137" s="168">
        <v>80.0</v>
      </c>
      <c r="E137" s="168">
        <v>7.0</v>
      </c>
      <c r="F137" s="168">
        <v>6.0</v>
      </c>
      <c r="G137" s="168">
        <v>4.0</v>
      </c>
      <c r="H137" s="183">
        <v>45721.31</v>
      </c>
      <c r="I137" s="184">
        <v>86780.42</v>
      </c>
      <c r="J137" s="168">
        <v>7.0</v>
      </c>
      <c r="K137" s="168">
        <v>1.0</v>
      </c>
      <c r="L137" s="168">
        <v>8.0</v>
      </c>
      <c r="M137" s="184">
        <v>59729.77</v>
      </c>
      <c r="N137" s="184">
        <v>32357.86</v>
      </c>
      <c r="O137" s="184">
        <v>-91847.07</v>
      </c>
      <c r="P137" s="184">
        <v>59080.53</v>
      </c>
    </row>
    <row r="138">
      <c r="A138" s="168">
        <v>28.0</v>
      </c>
      <c r="B138" s="168">
        <v>32.0</v>
      </c>
      <c r="C138" s="168">
        <v>76.0</v>
      </c>
      <c r="D138" s="168">
        <v>85.0</v>
      </c>
      <c r="E138" s="168">
        <v>8.0</v>
      </c>
      <c r="F138" s="168">
        <v>3.0</v>
      </c>
      <c r="G138" s="168">
        <v>2.0</v>
      </c>
      <c r="H138" s="183">
        <v>77416.2</v>
      </c>
      <c r="I138" s="184">
        <v>47272.71</v>
      </c>
      <c r="J138" s="168">
        <v>1.0</v>
      </c>
      <c r="K138" s="168">
        <v>8.0</v>
      </c>
      <c r="L138" s="168">
        <v>5.0</v>
      </c>
      <c r="M138" s="184">
        <v>82537.11</v>
      </c>
      <c r="N138" s="184">
        <v>-9630.02</v>
      </c>
      <c r="O138" s="184">
        <v>-53556.11</v>
      </c>
      <c r="P138" s="184">
        <v>-44550.3</v>
      </c>
    </row>
    <row r="139">
      <c r="A139" s="168">
        <v>80.0</v>
      </c>
      <c r="B139" s="168">
        <v>23.0</v>
      </c>
      <c r="C139" s="168">
        <v>68.0</v>
      </c>
      <c r="D139" s="168">
        <v>94.0</v>
      </c>
      <c r="E139" s="168">
        <v>8.0</v>
      </c>
      <c r="F139" s="168">
        <v>4.0</v>
      </c>
      <c r="G139" s="168">
        <v>3.0</v>
      </c>
      <c r="H139" s="183">
        <v>35162.39</v>
      </c>
      <c r="I139" s="184">
        <v>44497.95</v>
      </c>
      <c r="J139" s="168">
        <v>8.0</v>
      </c>
      <c r="K139" s="168">
        <v>9.0</v>
      </c>
      <c r="L139" s="168">
        <v>2.0</v>
      </c>
      <c r="M139" s="184">
        <v>-41275.6</v>
      </c>
      <c r="N139" s="184">
        <v>78211.92</v>
      </c>
      <c r="O139" s="184">
        <v>57170.75</v>
      </c>
      <c r="P139" s="184">
        <v>96953.53</v>
      </c>
    </row>
    <row r="140">
      <c r="A140" s="168">
        <v>75.0</v>
      </c>
      <c r="B140" s="168">
        <v>89.0</v>
      </c>
      <c r="C140" s="168">
        <v>15.0</v>
      </c>
      <c r="D140" s="168">
        <v>60.0</v>
      </c>
      <c r="E140" s="168">
        <v>1.0</v>
      </c>
      <c r="F140" s="168">
        <v>2.0</v>
      </c>
      <c r="G140" s="168">
        <v>9.0</v>
      </c>
      <c r="H140" s="183">
        <v>-24350.43</v>
      </c>
      <c r="I140" s="184">
        <v>-35837.39</v>
      </c>
      <c r="J140" s="168">
        <v>5.0</v>
      </c>
      <c r="K140" s="168">
        <v>3.0</v>
      </c>
      <c r="L140" s="168">
        <v>5.0</v>
      </c>
      <c r="M140" s="184">
        <v>82928.33</v>
      </c>
      <c r="N140" s="184">
        <v>76780.29</v>
      </c>
      <c r="O140" s="184">
        <v>-26789.54</v>
      </c>
      <c r="P140" s="184">
        <v>81294.31</v>
      </c>
    </row>
    <row r="141">
      <c r="A141" s="168">
        <v>50.0</v>
      </c>
      <c r="B141" s="168">
        <v>96.0</v>
      </c>
      <c r="C141" s="168">
        <v>39.0</v>
      </c>
      <c r="D141" s="168">
        <v>29.0</v>
      </c>
      <c r="E141" s="168">
        <v>8.0</v>
      </c>
      <c r="F141" s="168">
        <v>3.0</v>
      </c>
      <c r="G141" s="168">
        <v>2.0</v>
      </c>
      <c r="H141" s="183">
        <v>-71507.55</v>
      </c>
      <c r="I141" s="184">
        <v>14323.89</v>
      </c>
      <c r="J141" s="168">
        <v>2.0</v>
      </c>
      <c r="K141" s="168">
        <v>1.0</v>
      </c>
      <c r="L141" s="168">
        <v>7.0</v>
      </c>
      <c r="M141" s="184">
        <v>-84280.19</v>
      </c>
      <c r="N141" s="184">
        <v>-1188.46</v>
      </c>
      <c r="O141" s="184">
        <v>-35811.67</v>
      </c>
      <c r="P141" s="184">
        <v>21186.52</v>
      </c>
    </row>
    <row r="142">
      <c r="A142" s="168">
        <v>15.0</v>
      </c>
      <c r="B142" s="168">
        <v>82.0</v>
      </c>
      <c r="C142" s="168">
        <v>44.0</v>
      </c>
      <c r="D142" s="168">
        <v>47.0</v>
      </c>
      <c r="E142" s="168">
        <v>8.0</v>
      </c>
      <c r="F142" s="168">
        <v>9.0</v>
      </c>
      <c r="G142" s="168">
        <v>3.0</v>
      </c>
      <c r="H142" s="183">
        <v>-78010.29</v>
      </c>
      <c r="I142" s="184">
        <v>12625.46</v>
      </c>
      <c r="J142" s="168">
        <v>5.0</v>
      </c>
      <c r="K142" s="168">
        <v>2.0</v>
      </c>
      <c r="L142" s="168">
        <v>4.0</v>
      </c>
      <c r="M142" s="184">
        <v>59843.57</v>
      </c>
      <c r="N142" s="184">
        <v>-93268.39</v>
      </c>
      <c r="O142" s="184">
        <v>89265.52</v>
      </c>
      <c r="P142" s="184">
        <v>58235.48</v>
      </c>
    </row>
    <row r="143">
      <c r="A143" s="168">
        <v>23.0</v>
      </c>
      <c r="B143" s="168">
        <v>25.0</v>
      </c>
      <c r="C143" s="168">
        <v>46.0</v>
      </c>
      <c r="D143" s="168">
        <v>33.0</v>
      </c>
      <c r="E143" s="168">
        <v>1.0</v>
      </c>
      <c r="F143" s="168">
        <v>2.0</v>
      </c>
      <c r="G143" s="168">
        <v>6.0</v>
      </c>
      <c r="H143" s="183">
        <v>64023.16</v>
      </c>
      <c r="I143" s="184">
        <v>13203.39</v>
      </c>
      <c r="J143" s="168">
        <v>7.0</v>
      </c>
      <c r="K143" s="168">
        <v>2.0</v>
      </c>
      <c r="L143" s="168">
        <v>2.0</v>
      </c>
      <c r="M143" s="184">
        <v>-63927.44</v>
      </c>
      <c r="N143" s="184">
        <v>-35661.34</v>
      </c>
      <c r="O143" s="184">
        <v>17301.11</v>
      </c>
      <c r="P143" s="184">
        <v>-746.4</v>
      </c>
    </row>
    <row r="144">
      <c r="A144" s="168">
        <v>88.0</v>
      </c>
      <c r="B144" s="168">
        <v>32.0</v>
      </c>
      <c r="C144" s="168">
        <v>79.0</v>
      </c>
      <c r="D144" s="168">
        <v>22.0</v>
      </c>
      <c r="E144" s="168">
        <v>2.0</v>
      </c>
      <c r="F144" s="168">
        <v>3.0</v>
      </c>
      <c r="G144" s="168">
        <v>7.0</v>
      </c>
      <c r="H144" s="183">
        <v>-30394.22</v>
      </c>
      <c r="I144" s="184">
        <v>51866.91</v>
      </c>
      <c r="J144" s="168">
        <v>4.0</v>
      </c>
      <c r="K144" s="168">
        <v>6.0</v>
      </c>
      <c r="L144" s="168">
        <v>3.0</v>
      </c>
      <c r="M144" s="184">
        <v>-60505.25</v>
      </c>
      <c r="N144" s="184">
        <v>54639.91</v>
      </c>
      <c r="O144" s="184">
        <v>-95308.35</v>
      </c>
      <c r="P144" s="184">
        <v>-36554.51</v>
      </c>
    </row>
    <row r="145">
      <c r="A145" s="168">
        <v>40.0</v>
      </c>
      <c r="B145" s="168">
        <v>17.0</v>
      </c>
      <c r="C145" s="168">
        <v>40.0</v>
      </c>
      <c r="D145" s="168">
        <v>84.0</v>
      </c>
      <c r="E145" s="168">
        <v>5.0</v>
      </c>
      <c r="F145" s="168">
        <v>6.0</v>
      </c>
      <c r="G145" s="168">
        <v>7.0</v>
      </c>
      <c r="H145" s="183">
        <v>33120.49</v>
      </c>
      <c r="I145" s="184">
        <v>34152.06</v>
      </c>
      <c r="J145" s="168">
        <v>2.0</v>
      </c>
      <c r="K145" s="168">
        <v>1.0</v>
      </c>
      <c r="L145" s="168">
        <v>4.0</v>
      </c>
      <c r="M145" s="184">
        <v>26695.92</v>
      </c>
      <c r="N145" s="184">
        <v>46024.48</v>
      </c>
      <c r="O145" s="184">
        <v>79609.65</v>
      </c>
      <c r="P145" s="184">
        <v>-68540.68</v>
      </c>
    </row>
    <row r="146">
      <c r="A146" s="168">
        <v>85.0</v>
      </c>
      <c r="B146" s="168">
        <v>43.0</v>
      </c>
      <c r="C146" s="168">
        <v>26.0</v>
      </c>
      <c r="D146" s="168">
        <v>22.0</v>
      </c>
      <c r="E146" s="168">
        <v>5.0</v>
      </c>
      <c r="F146" s="168">
        <v>7.0</v>
      </c>
      <c r="G146" s="168">
        <v>6.0</v>
      </c>
      <c r="H146" s="183">
        <v>25842.27</v>
      </c>
      <c r="I146" s="184">
        <v>-49155.0</v>
      </c>
      <c r="J146" s="168">
        <v>3.0</v>
      </c>
      <c r="K146" s="168">
        <v>3.0</v>
      </c>
      <c r="L146" s="168">
        <v>2.0</v>
      </c>
      <c r="M146" s="184">
        <v>54273.62</v>
      </c>
      <c r="N146" s="184">
        <v>55837.37</v>
      </c>
      <c r="O146" s="184">
        <v>95840.49</v>
      </c>
      <c r="P146" s="184">
        <v>-92713.52</v>
      </c>
    </row>
    <row r="147">
      <c r="A147" s="168">
        <v>21.0</v>
      </c>
      <c r="B147" s="168">
        <v>33.0</v>
      </c>
      <c r="C147" s="168">
        <v>52.0</v>
      </c>
      <c r="D147" s="168">
        <v>81.0</v>
      </c>
      <c r="E147" s="168">
        <v>8.0</v>
      </c>
      <c r="F147" s="168">
        <v>7.0</v>
      </c>
      <c r="G147" s="168">
        <v>3.0</v>
      </c>
      <c r="H147" s="183">
        <v>61836.04</v>
      </c>
      <c r="I147" s="184">
        <v>54670.09</v>
      </c>
      <c r="J147" s="168">
        <v>4.0</v>
      </c>
      <c r="K147" s="168">
        <v>2.0</v>
      </c>
      <c r="L147" s="168">
        <v>6.0</v>
      </c>
      <c r="M147" s="184">
        <v>89492.6</v>
      </c>
      <c r="N147" s="184">
        <v>-75970.4</v>
      </c>
      <c r="O147" s="184">
        <v>8928.55</v>
      </c>
      <c r="P147" s="184">
        <v>-47695.33</v>
      </c>
    </row>
    <row r="148">
      <c r="A148" s="168">
        <v>45.0</v>
      </c>
      <c r="B148" s="168">
        <v>41.0</v>
      </c>
      <c r="C148" s="168">
        <v>97.0</v>
      </c>
      <c r="D148" s="168">
        <v>36.0</v>
      </c>
      <c r="E148" s="168">
        <v>4.0</v>
      </c>
      <c r="F148" s="168">
        <v>6.0</v>
      </c>
      <c r="G148" s="168">
        <v>1.0</v>
      </c>
      <c r="H148" s="183">
        <v>-6049.46</v>
      </c>
      <c r="I148" s="184">
        <v>-88998.99</v>
      </c>
      <c r="J148" s="168">
        <v>2.0</v>
      </c>
      <c r="K148" s="168">
        <v>6.0</v>
      </c>
      <c r="L148" s="168">
        <v>9.0</v>
      </c>
      <c r="M148" s="184">
        <v>84758.44</v>
      </c>
      <c r="N148" s="184">
        <v>-45163.26</v>
      </c>
      <c r="O148" s="184">
        <v>-80630.2</v>
      </c>
      <c r="P148" s="184">
        <v>-22837.19</v>
      </c>
    </row>
    <row r="149">
      <c r="A149" s="168">
        <v>45.0</v>
      </c>
      <c r="B149" s="168">
        <v>47.0</v>
      </c>
      <c r="C149" s="168">
        <v>45.0</v>
      </c>
      <c r="D149" s="168">
        <v>78.0</v>
      </c>
      <c r="E149" s="168">
        <v>5.0</v>
      </c>
      <c r="F149" s="168">
        <v>3.0</v>
      </c>
      <c r="G149" s="168">
        <v>1.0</v>
      </c>
      <c r="H149" s="183">
        <v>-13112.42</v>
      </c>
      <c r="I149" s="184">
        <v>7077.68</v>
      </c>
      <c r="J149" s="168">
        <v>6.0</v>
      </c>
      <c r="K149" s="168">
        <v>8.0</v>
      </c>
      <c r="L149" s="168">
        <v>5.0</v>
      </c>
      <c r="M149" s="184">
        <v>41477.8</v>
      </c>
      <c r="N149" s="184">
        <v>80299.47</v>
      </c>
      <c r="O149" s="184">
        <v>-84737.74</v>
      </c>
      <c r="P149" s="184">
        <v>32052.3</v>
      </c>
    </row>
    <row r="150">
      <c r="A150" s="168">
        <v>78.0</v>
      </c>
      <c r="B150" s="168">
        <v>99.0</v>
      </c>
      <c r="C150" s="168">
        <v>99.0</v>
      </c>
      <c r="D150" s="168">
        <v>82.0</v>
      </c>
      <c r="E150" s="168">
        <v>1.0</v>
      </c>
      <c r="F150" s="168">
        <v>1.0</v>
      </c>
      <c r="G150" s="168">
        <v>3.0</v>
      </c>
      <c r="H150" s="183">
        <v>-60758.03</v>
      </c>
      <c r="I150" s="184">
        <v>-93898.98</v>
      </c>
      <c r="J150" s="168">
        <v>9.0</v>
      </c>
      <c r="K150" s="168">
        <v>3.0</v>
      </c>
      <c r="L150" s="168">
        <v>3.0</v>
      </c>
      <c r="M150" s="184">
        <v>-18579.83</v>
      </c>
      <c r="N150" s="184">
        <v>-30261.9</v>
      </c>
      <c r="O150" s="184">
        <v>-66888.79</v>
      </c>
      <c r="P150" s="184">
        <v>7139.7</v>
      </c>
    </row>
    <row r="151">
      <c r="A151" s="168">
        <v>69.0</v>
      </c>
      <c r="B151" s="168">
        <v>27.0</v>
      </c>
      <c r="C151" s="168">
        <v>44.0</v>
      </c>
      <c r="D151" s="168">
        <v>87.0</v>
      </c>
      <c r="E151" s="168">
        <v>6.0</v>
      </c>
      <c r="F151" s="168">
        <v>1.0</v>
      </c>
      <c r="G151" s="168">
        <v>5.0</v>
      </c>
      <c r="H151" s="183">
        <v>8782.55</v>
      </c>
      <c r="I151" s="184">
        <v>12812.97</v>
      </c>
      <c r="J151" s="168">
        <v>5.0</v>
      </c>
      <c r="K151" s="168">
        <v>5.0</v>
      </c>
      <c r="L151" s="168">
        <v>3.0</v>
      </c>
      <c r="M151" s="184">
        <v>87604.11</v>
      </c>
      <c r="N151" s="184">
        <v>-69164.04</v>
      </c>
      <c r="O151" s="184">
        <v>46602.85</v>
      </c>
      <c r="P151" s="184">
        <v>57194.3</v>
      </c>
    </row>
    <row r="152">
      <c r="A152" s="168">
        <v>44.0</v>
      </c>
      <c r="B152" s="168">
        <v>69.0</v>
      </c>
      <c r="C152" s="168">
        <v>98.0</v>
      </c>
      <c r="D152" s="168">
        <v>80.0</v>
      </c>
      <c r="E152" s="168">
        <v>5.0</v>
      </c>
      <c r="F152" s="168">
        <v>3.0</v>
      </c>
      <c r="G152" s="168">
        <v>2.0</v>
      </c>
      <c r="H152" s="183">
        <v>-67795.15</v>
      </c>
      <c r="I152" s="184">
        <v>-96596.95</v>
      </c>
      <c r="J152" s="168">
        <v>3.0</v>
      </c>
      <c r="K152" s="168">
        <v>8.0</v>
      </c>
      <c r="L152" s="168">
        <v>5.0</v>
      </c>
      <c r="M152" s="184">
        <v>74632.01</v>
      </c>
      <c r="N152" s="184">
        <v>28637.89</v>
      </c>
      <c r="O152" s="184">
        <v>82459.62</v>
      </c>
      <c r="P152" s="184">
        <v>64292.43</v>
      </c>
    </row>
    <row r="153">
      <c r="A153" s="168">
        <v>11.0</v>
      </c>
      <c r="B153" s="168">
        <v>67.0</v>
      </c>
      <c r="C153" s="168">
        <v>17.0</v>
      </c>
      <c r="D153" s="168">
        <v>94.0</v>
      </c>
      <c r="E153" s="168">
        <v>8.0</v>
      </c>
      <c r="F153" s="168">
        <v>5.0</v>
      </c>
      <c r="G153" s="168">
        <v>6.0</v>
      </c>
      <c r="H153" s="183">
        <v>-83567.55</v>
      </c>
      <c r="I153" s="184">
        <v>49641.19</v>
      </c>
      <c r="J153" s="168">
        <v>3.0</v>
      </c>
      <c r="K153" s="168">
        <v>2.0</v>
      </c>
      <c r="L153" s="168">
        <v>9.0</v>
      </c>
      <c r="M153" s="184">
        <v>47225.12</v>
      </c>
      <c r="N153" s="184">
        <v>85340.9</v>
      </c>
      <c r="O153" s="184">
        <v>-49388.28</v>
      </c>
      <c r="P153" s="184">
        <v>78292.72</v>
      </c>
    </row>
    <row r="154">
      <c r="A154" s="168">
        <v>29.0</v>
      </c>
      <c r="B154" s="168">
        <v>46.0</v>
      </c>
      <c r="C154" s="168">
        <v>82.0</v>
      </c>
      <c r="D154" s="168">
        <v>44.0</v>
      </c>
      <c r="E154" s="168">
        <v>8.0</v>
      </c>
      <c r="F154" s="168">
        <v>2.0</v>
      </c>
      <c r="G154" s="168">
        <v>4.0</v>
      </c>
      <c r="H154" s="183">
        <v>58920.83</v>
      </c>
      <c r="I154" s="184">
        <v>59023.86</v>
      </c>
      <c r="J154" s="168">
        <v>5.0</v>
      </c>
      <c r="K154" s="168">
        <v>1.0</v>
      </c>
      <c r="L154" s="168">
        <v>8.0</v>
      </c>
      <c r="M154" s="184">
        <v>65873.13</v>
      </c>
      <c r="N154" s="184">
        <v>23392.24</v>
      </c>
      <c r="O154" s="184">
        <v>-91654.06</v>
      </c>
      <c r="P154" s="184">
        <v>1528.86</v>
      </c>
    </row>
    <row r="155">
      <c r="A155" s="168">
        <v>91.0</v>
      </c>
      <c r="B155" s="168">
        <v>59.0</v>
      </c>
      <c r="C155" s="168">
        <v>80.0</v>
      </c>
      <c r="D155" s="168">
        <v>20.0</v>
      </c>
      <c r="E155" s="168">
        <v>2.0</v>
      </c>
      <c r="F155" s="168">
        <v>6.0</v>
      </c>
      <c r="G155" s="168">
        <v>3.0</v>
      </c>
      <c r="H155" s="183">
        <v>23781.07</v>
      </c>
      <c r="I155" s="184">
        <v>40478.83</v>
      </c>
      <c r="J155" s="168">
        <v>9.0</v>
      </c>
      <c r="K155" s="168">
        <v>5.0</v>
      </c>
      <c r="L155" s="168">
        <v>3.0</v>
      </c>
      <c r="M155" s="184">
        <v>-32906.71</v>
      </c>
      <c r="N155" s="184">
        <v>-5913.8</v>
      </c>
      <c r="O155" s="184">
        <v>92374.97</v>
      </c>
      <c r="P155" s="184">
        <v>92488.48</v>
      </c>
    </row>
    <row r="156">
      <c r="A156" s="168">
        <v>35.0</v>
      </c>
      <c r="B156" s="168">
        <v>71.0</v>
      </c>
      <c r="C156" s="168">
        <v>38.0</v>
      </c>
      <c r="D156" s="168">
        <v>49.0</v>
      </c>
      <c r="E156" s="168">
        <v>9.0</v>
      </c>
      <c r="F156" s="168">
        <v>4.0</v>
      </c>
      <c r="G156" s="168">
        <v>3.0</v>
      </c>
      <c r="H156" s="183">
        <v>24568.63</v>
      </c>
      <c r="I156" s="184">
        <v>-27470.99</v>
      </c>
      <c r="J156" s="168">
        <v>8.0</v>
      </c>
      <c r="K156" s="168">
        <v>8.0</v>
      </c>
      <c r="L156" s="168">
        <v>6.0</v>
      </c>
      <c r="M156" s="184">
        <v>77490.32</v>
      </c>
      <c r="N156" s="184">
        <v>40970.87</v>
      </c>
      <c r="O156" s="184">
        <v>-87313.52</v>
      </c>
      <c r="P156" s="184">
        <v>54147.56</v>
      </c>
    </row>
    <row r="157">
      <c r="A157" s="168">
        <v>35.0</v>
      </c>
      <c r="B157" s="168">
        <v>84.0</v>
      </c>
      <c r="C157" s="168">
        <v>85.0</v>
      </c>
      <c r="D157" s="168">
        <v>12.0</v>
      </c>
      <c r="E157" s="168">
        <v>5.0</v>
      </c>
      <c r="F157" s="168">
        <v>3.0</v>
      </c>
      <c r="G157" s="168">
        <v>7.0</v>
      </c>
      <c r="H157" s="183">
        <v>90456.12</v>
      </c>
      <c r="I157" s="184">
        <v>66028.04</v>
      </c>
      <c r="J157" s="168">
        <v>3.0</v>
      </c>
      <c r="K157" s="168">
        <v>4.0</v>
      </c>
      <c r="L157" s="168">
        <v>6.0</v>
      </c>
      <c r="M157" s="184">
        <v>98830.63</v>
      </c>
      <c r="N157" s="184">
        <v>83083.64</v>
      </c>
      <c r="O157" s="184">
        <v>-82887.03</v>
      </c>
      <c r="P157" s="184">
        <v>11212.62</v>
      </c>
    </row>
    <row r="158">
      <c r="A158" s="168">
        <v>42.0</v>
      </c>
      <c r="B158" s="168">
        <v>56.0</v>
      </c>
      <c r="C158" s="168">
        <v>18.0</v>
      </c>
      <c r="D158" s="168">
        <v>75.0</v>
      </c>
      <c r="E158" s="168">
        <v>1.0</v>
      </c>
      <c r="F158" s="168">
        <v>3.0</v>
      </c>
      <c r="G158" s="168">
        <v>6.0</v>
      </c>
      <c r="H158" s="183">
        <v>-7424.59</v>
      </c>
      <c r="I158" s="184">
        <v>-1613.99</v>
      </c>
      <c r="J158" s="168">
        <v>6.0</v>
      </c>
      <c r="K158" s="168">
        <v>1.0</v>
      </c>
      <c r="L158" s="168">
        <v>7.0</v>
      </c>
      <c r="M158" s="184">
        <v>-89028.57</v>
      </c>
      <c r="N158" s="184">
        <v>-60103.53</v>
      </c>
      <c r="O158" s="184">
        <v>-24975.43</v>
      </c>
      <c r="P158" s="184">
        <v>-51433.01</v>
      </c>
    </row>
    <row r="159">
      <c r="A159" s="168">
        <v>35.0</v>
      </c>
      <c r="B159" s="168">
        <v>21.0</v>
      </c>
      <c r="C159" s="168">
        <v>95.0</v>
      </c>
      <c r="D159" s="168">
        <v>90.0</v>
      </c>
      <c r="E159" s="168">
        <v>2.0</v>
      </c>
      <c r="F159" s="168">
        <v>7.0</v>
      </c>
      <c r="G159" s="168">
        <v>6.0</v>
      </c>
      <c r="H159" s="183">
        <v>79927.3</v>
      </c>
      <c r="I159" s="184">
        <v>-37857.8</v>
      </c>
      <c r="J159" s="168">
        <v>6.0</v>
      </c>
      <c r="K159" s="168">
        <v>3.0</v>
      </c>
      <c r="L159" s="168">
        <v>9.0</v>
      </c>
      <c r="M159" s="184">
        <v>-6236.08</v>
      </c>
      <c r="N159" s="184">
        <v>-74342.53</v>
      </c>
      <c r="O159" s="184">
        <v>24512.36</v>
      </c>
      <c r="P159" s="184">
        <v>64150.13</v>
      </c>
    </row>
    <row r="160">
      <c r="A160" s="168">
        <v>19.0</v>
      </c>
      <c r="B160" s="168">
        <v>99.0</v>
      </c>
      <c r="C160" s="168">
        <v>78.0</v>
      </c>
      <c r="D160" s="168">
        <v>39.0</v>
      </c>
      <c r="E160" s="168">
        <v>6.0</v>
      </c>
      <c r="F160" s="168">
        <v>6.0</v>
      </c>
      <c r="G160" s="168">
        <v>5.0</v>
      </c>
      <c r="H160" s="183">
        <v>-18245.44</v>
      </c>
      <c r="I160" s="184">
        <v>94585.78</v>
      </c>
      <c r="J160" s="168">
        <v>7.0</v>
      </c>
      <c r="K160" s="168">
        <v>3.0</v>
      </c>
      <c r="L160" s="168">
        <v>4.0</v>
      </c>
      <c r="M160" s="184">
        <v>54461.68</v>
      </c>
      <c r="N160" s="184">
        <v>-70711.27</v>
      </c>
      <c r="O160" s="184">
        <v>21091.92</v>
      </c>
      <c r="P160" s="184">
        <v>98950.55</v>
      </c>
    </row>
    <row r="161">
      <c r="A161" s="168">
        <v>94.0</v>
      </c>
      <c r="B161" s="168">
        <v>82.0</v>
      </c>
      <c r="C161" s="168">
        <v>77.0</v>
      </c>
      <c r="D161" s="168">
        <v>94.0</v>
      </c>
      <c r="E161" s="168">
        <v>2.0</v>
      </c>
      <c r="F161" s="168">
        <v>6.0</v>
      </c>
      <c r="G161" s="168">
        <v>6.0</v>
      </c>
      <c r="H161" s="183">
        <v>-47770.84</v>
      </c>
      <c r="I161" s="184">
        <v>-22256.95</v>
      </c>
      <c r="J161" s="168">
        <v>9.0</v>
      </c>
      <c r="K161" s="168">
        <v>4.0</v>
      </c>
      <c r="L161" s="168">
        <v>9.0</v>
      </c>
      <c r="M161" s="184">
        <v>-23978.05</v>
      </c>
      <c r="N161" s="184">
        <v>38725.61</v>
      </c>
      <c r="O161" s="184">
        <v>89148.91</v>
      </c>
      <c r="P161" s="184">
        <v>-89860.14</v>
      </c>
    </row>
    <row r="162">
      <c r="A162" s="168">
        <v>28.0</v>
      </c>
      <c r="B162" s="168">
        <v>15.0</v>
      </c>
      <c r="C162" s="168">
        <v>34.0</v>
      </c>
      <c r="D162" s="168">
        <v>44.0</v>
      </c>
      <c r="E162" s="168">
        <v>6.0</v>
      </c>
      <c r="F162" s="168">
        <v>5.0</v>
      </c>
      <c r="G162" s="168">
        <v>6.0</v>
      </c>
      <c r="H162" s="183">
        <v>-41215.53</v>
      </c>
      <c r="I162" s="184">
        <v>54265.49</v>
      </c>
      <c r="J162" s="168">
        <v>4.0</v>
      </c>
      <c r="K162" s="168">
        <v>4.0</v>
      </c>
      <c r="L162" s="168">
        <v>3.0</v>
      </c>
      <c r="M162" s="184">
        <v>48856.74</v>
      </c>
      <c r="N162" s="184">
        <v>-22363.04</v>
      </c>
      <c r="O162" s="184">
        <v>11789.66</v>
      </c>
      <c r="P162" s="184">
        <v>22433.78</v>
      </c>
    </row>
    <row r="163">
      <c r="A163" s="168">
        <v>34.0</v>
      </c>
      <c r="B163" s="168">
        <v>16.0</v>
      </c>
      <c r="C163" s="168">
        <v>50.0</v>
      </c>
      <c r="D163" s="168">
        <v>58.0</v>
      </c>
      <c r="E163" s="168">
        <v>1.0</v>
      </c>
      <c r="F163" s="168">
        <v>6.0</v>
      </c>
      <c r="G163" s="168">
        <v>5.0</v>
      </c>
      <c r="H163" s="183">
        <v>4815.45</v>
      </c>
      <c r="I163" s="184">
        <v>59896.91</v>
      </c>
      <c r="J163" s="168">
        <v>9.0</v>
      </c>
      <c r="K163" s="168">
        <v>8.0</v>
      </c>
      <c r="L163" s="168">
        <v>1.0</v>
      </c>
      <c r="M163" s="184">
        <v>4018.74</v>
      </c>
      <c r="N163" s="184">
        <v>10500.67</v>
      </c>
      <c r="O163" s="184">
        <v>-91741.52</v>
      </c>
      <c r="P163" s="184">
        <v>-16734.81</v>
      </c>
    </row>
    <row r="164">
      <c r="A164" s="168">
        <v>69.0</v>
      </c>
      <c r="B164" s="168">
        <v>48.0</v>
      </c>
      <c r="C164" s="168">
        <v>98.0</v>
      </c>
      <c r="D164" s="168">
        <v>31.0</v>
      </c>
      <c r="E164" s="168">
        <v>3.0</v>
      </c>
      <c r="F164" s="168">
        <v>6.0</v>
      </c>
      <c r="G164" s="168">
        <v>4.0</v>
      </c>
      <c r="H164" s="183">
        <v>19861.86</v>
      </c>
      <c r="I164" s="184">
        <v>59155.28</v>
      </c>
      <c r="J164" s="168">
        <v>3.0</v>
      </c>
      <c r="K164" s="168">
        <v>6.0</v>
      </c>
      <c r="L164" s="168">
        <v>4.0</v>
      </c>
      <c r="M164" s="184">
        <v>-36000.13</v>
      </c>
      <c r="N164" s="184">
        <v>-32077.92</v>
      </c>
      <c r="O164" s="184">
        <v>-90665.11</v>
      </c>
      <c r="P164" s="184">
        <v>-86957.33</v>
      </c>
    </row>
    <row r="165">
      <c r="A165" s="168">
        <v>32.0</v>
      </c>
      <c r="B165" s="168">
        <v>80.0</v>
      </c>
      <c r="C165" s="168">
        <v>46.0</v>
      </c>
      <c r="D165" s="168">
        <v>43.0</v>
      </c>
      <c r="E165" s="168">
        <v>8.0</v>
      </c>
      <c r="F165" s="168">
        <v>5.0</v>
      </c>
      <c r="G165" s="168">
        <v>8.0</v>
      </c>
      <c r="H165" s="183">
        <v>32646.58</v>
      </c>
      <c r="I165" s="184">
        <v>60740.14</v>
      </c>
      <c r="J165" s="168">
        <v>1.0</v>
      </c>
      <c r="K165" s="168">
        <v>5.0</v>
      </c>
      <c r="L165" s="168">
        <v>2.0</v>
      </c>
      <c r="M165" s="184">
        <v>-64625.86</v>
      </c>
      <c r="N165" s="184">
        <v>60452.5</v>
      </c>
      <c r="O165" s="184">
        <v>-64269.86</v>
      </c>
      <c r="P165" s="184">
        <v>96783.31</v>
      </c>
    </row>
    <row r="166">
      <c r="A166" s="168">
        <v>44.0</v>
      </c>
      <c r="B166" s="168">
        <v>87.0</v>
      </c>
      <c r="C166" s="168">
        <v>64.0</v>
      </c>
      <c r="D166" s="168">
        <v>85.0</v>
      </c>
      <c r="E166" s="168">
        <v>9.0</v>
      </c>
      <c r="F166" s="168">
        <v>4.0</v>
      </c>
      <c r="G166" s="168">
        <v>5.0</v>
      </c>
      <c r="H166" s="183">
        <v>31897.16</v>
      </c>
      <c r="I166" s="184">
        <v>-79964.81</v>
      </c>
      <c r="J166" s="168">
        <v>4.0</v>
      </c>
      <c r="K166" s="168">
        <v>8.0</v>
      </c>
      <c r="L166" s="168">
        <v>6.0</v>
      </c>
      <c r="M166" s="184">
        <v>15724.06</v>
      </c>
      <c r="N166" s="184">
        <v>83765.89</v>
      </c>
      <c r="O166" s="184">
        <v>-9425.33</v>
      </c>
      <c r="P166" s="184">
        <v>2506.01</v>
      </c>
    </row>
    <row r="167">
      <c r="A167" s="168">
        <v>29.0</v>
      </c>
      <c r="B167" s="168">
        <v>72.0</v>
      </c>
      <c r="C167" s="168">
        <v>70.0</v>
      </c>
      <c r="D167" s="168">
        <v>55.0</v>
      </c>
      <c r="E167" s="168">
        <v>3.0</v>
      </c>
      <c r="F167" s="168">
        <v>8.0</v>
      </c>
      <c r="G167" s="168">
        <v>4.0</v>
      </c>
      <c r="H167" s="183">
        <v>-54664.64</v>
      </c>
      <c r="I167" s="184">
        <v>-38599.16</v>
      </c>
      <c r="J167" s="168">
        <v>2.0</v>
      </c>
      <c r="K167" s="168">
        <v>4.0</v>
      </c>
      <c r="L167" s="168">
        <v>1.0</v>
      </c>
      <c r="M167" s="184">
        <v>44944.62</v>
      </c>
      <c r="N167" s="184">
        <v>-54654.37</v>
      </c>
      <c r="O167" s="184">
        <v>-85724.94</v>
      </c>
      <c r="P167" s="184">
        <v>18373.1</v>
      </c>
    </row>
    <row r="168">
      <c r="A168" s="168">
        <v>25.0</v>
      </c>
      <c r="B168" s="168">
        <v>72.0</v>
      </c>
      <c r="C168" s="168">
        <v>56.0</v>
      </c>
      <c r="D168" s="168">
        <v>81.0</v>
      </c>
      <c r="E168" s="168">
        <v>8.0</v>
      </c>
      <c r="F168" s="168">
        <v>5.0</v>
      </c>
      <c r="G168" s="168">
        <v>9.0</v>
      </c>
      <c r="H168" s="183">
        <v>66916.11</v>
      </c>
      <c r="I168" s="184">
        <v>45191.03</v>
      </c>
      <c r="J168" s="168">
        <v>6.0</v>
      </c>
      <c r="K168" s="168">
        <v>6.0</v>
      </c>
      <c r="L168" s="168">
        <v>4.0</v>
      </c>
      <c r="M168" s="184">
        <v>-46290.0</v>
      </c>
      <c r="N168" s="184">
        <v>80108.22</v>
      </c>
      <c r="O168" s="184">
        <v>-49273.85</v>
      </c>
      <c r="P168" s="184">
        <v>92173.71</v>
      </c>
    </row>
    <row r="169">
      <c r="A169" s="168">
        <v>25.0</v>
      </c>
      <c r="B169" s="168">
        <v>50.0</v>
      </c>
      <c r="C169" s="168">
        <v>37.0</v>
      </c>
      <c r="D169" s="168">
        <v>71.0</v>
      </c>
      <c r="E169" s="168">
        <v>7.0</v>
      </c>
      <c r="F169" s="168">
        <v>4.0</v>
      </c>
      <c r="G169" s="168">
        <v>9.0</v>
      </c>
      <c r="H169" s="183">
        <v>-63494.61</v>
      </c>
      <c r="I169" s="184">
        <v>-4763.87</v>
      </c>
      <c r="J169" s="168">
        <v>1.0</v>
      </c>
      <c r="K169" s="168">
        <v>7.0</v>
      </c>
      <c r="L169" s="168">
        <v>6.0</v>
      </c>
      <c r="M169" s="184">
        <v>-18419.79</v>
      </c>
      <c r="N169" s="184">
        <v>59764.49</v>
      </c>
      <c r="O169" s="184">
        <v>-68520.94</v>
      </c>
      <c r="P169" s="184">
        <v>93856.45</v>
      </c>
    </row>
    <row r="170">
      <c r="A170" s="168">
        <v>42.0</v>
      </c>
      <c r="B170" s="168">
        <v>33.0</v>
      </c>
      <c r="C170" s="168">
        <v>96.0</v>
      </c>
      <c r="D170" s="168">
        <v>75.0</v>
      </c>
      <c r="E170" s="168">
        <v>3.0</v>
      </c>
      <c r="F170" s="168">
        <v>9.0</v>
      </c>
      <c r="G170" s="168">
        <v>2.0</v>
      </c>
      <c r="H170" s="183">
        <v>69108.96</v>
      </c>
      <c r="I170" s="184">
        <v>18462.5</v>
      </c>
      <c r="J170" s="168">
        <v>4.0</v>
      </c>
      <c r="K170" s="168">
        <v>5.0</v>
      </c>
      <c r="L170" s="168">
        <v>8.0</v>
      </c>
      <c r="M170" s="184">
        <v>69100.17</v>
      </c>
      <c r="N170" s="184">
        <v>56751.45</v>
      </c>
      <c r="O170" s="184">
        <v>54680.34</v>
      </c>
      <c r="P170" s="184">
        <v>-23975.04</v>
      </c>
    </row>
    <row r="171">
      <c r="A171" s="168">
        <v>82.0</v>
      </c>
      <c r="B171" s="168">
        <v>64.0</v>
      </c>
      <c r="C171" s="168">
        <v>47.0</v>
      </c>
      <c r="D171" s="168">
        <v>14.0</v>
      </c>
      <c r="E171" s="168">
        <v>5.0</v>
      </c>
      <c r="F171" s="168">
        <v>9.0</v>
      </c>
      <c r="G171" s="168">
        <v>6.0</v>
      </c>
      <c r="H171" s="183">
        <v>-69911.49</v>
      </c>
      <c r="I171" s="184">
        <v>-49635.19</v>
      </c>
      <c r="J171" s="168">
        <v>6.0</v>
      </c>
      <c r="K171" s="168">
        <v>8.0</v>
      </c>
      <c r="L171" s="168">
        <v>6.0</v>
      </c>
      <c r="M171" s="184">
        <v>78352.18</v>
      </c>
      <c r="N171" s="184">
        <v>-7247.14</v>
      </c>
      <c r="O171" s="184">
        <v>-45215.32</v>
      </c>
      <c r="P171" s="184">
        <v>65678.77</v>
      </c>
    </row>
    <row r="172">
      <c r="A172" s="168">
        <v>30.0</v>
      </c>
      <c r="B172" s="168">
        <v>10.0</v>
      </c>
      <c r="C172" s="168">
        <v>72.0</v>
      </c>
      <c r="D172" s="168">
        <v>91.0</v>
      </c>
      <c r="E172" s="168">
        <v>9.0</v>
      </c>
      <c r="F172" s="168">
        <v>2.0</v>
      </c>
      <c r="G172" s="168">
        <v>3.0</v>
      </c>
      <c r="H172" s="183">
        <v>7744.2</v>
      </c>
      <c r="I172" s="184">
        <v>-89639.46</v>
      </c>
      <c r="J172" s="168">
        <v>8.0</v>
      </c>
      <c r="K172" s="168">
        <v>4.0</v>
      </c>
      <c r="L172" s="168">
        <v>3.0</v>
      </c>
      <c r="M172" s="184">
        <v>-45234.18</v>
      </c>
      <c r="N172" s="184">
        <v>-2848.44</v>
      </c>
      <c r="O172" s="184">
        <v>-40879.92</v>
      </c>
      <c r="P172" s="184">
        <v>1942.36</v>
      </c>
    </row>
    <row r="173">
      <c r="A173" s="168">
        <v>63.0</v>
      </c>
      <c r="B173" s="168">
        <v>26.0</v>
      </c>
      <c r="C173" s="168">
        <v>18.0</v>
      </c>
      <c r="D173" s="168">
        <v>95.0</v>
      </c>
      <c r="E173" s="168">
        <v>5.0</v>
      </c>
      <c r="F173" s="168">
        <v>6.0</v>
      </c>
      <c r="G173" s="168">
        <v>3.0</v>
      </c>
      <c r="H173" s="183">
        <v>-2263.53</v>
      </c>
      <c r="I173" s="184">
        <v>-47299.97</v>
      </c>
      <c r="J173" s="168">
        <v>6.0</v>
      </c>
      <c r="K173" s="168">
        <v>3.0</v>
      </c>
      <c r="L173" s="168">
        <v>1.0</v>
      </c>
      <c r="M173" s="184">
        <v>82945.23</v>
      </c>
      <c r="N173" s="184">
        <v>6803.41</v>
      </c>
      <c r="O173" s="184">
        <v>-40206.67</v>
      </c>
      <c r="P173" s="184">
        <v>-28335.65</v>
      </c>
    </row>
    <row r="174">
      <c r="A174" s="168">
        <v>44.0</v>
      </c>
      <c r="B174" s="168">
        <v>26.0</v>
      </c>
      <c r="C174" s="168">
        <v>64.0</v>
      </c>
      <c r="D174" s="168">
        <v>66.0</v>
      </c>
      <c r="E174" s="168">
        <v>9.0</v>
      </c>
      <c r="F174" s="168">
        <v>3.0</v>
      </c>
      <c r="G174" s="168">
        <v>6.0</v>
      </c>
      <c r="H174" s="183">
        <v>-86490.07</v>
      </c>
      <c r="I174" s="184">
        <v>56352.57</v>
      </c>
      <c r="J174" s="168">
        <v>3.0</v>
      </c>
      <c r="K174" s="168">
        <v>7.0</v>
      </c>
      <c r="L174" s="168">
        <v>5.0</v>
      </c>
      <c r="M174" s="184">
        <v>-31999.77</v>
      </c>
      <c r="N174" s="184">
        <v>-28670.89</v>
      </c>
      <c r="O174" s="184">
        <v>74358.42</v>
      </c>
      <c r="P174" s="184">
        <v>-84296.43</v>
      </c>
    </row>
    <row r="175">
      <c r="A175" s="168">
        <v>57.0</v>
      </c>
      <c r="B175" s="168">
        <v>86.0</v>
      </c>
      <c r="C175" s="168">
        <v>78.0</v>
      </c>
      <c r="D175" s="168">
        <v>24.0</v>
      </c>
      <c r="E175" s="168">
        <v>7.0</v>
      </c>
      <c r="F175" s="168">
        <v>3.0</v>
      </c>
      <c r="G175" s="168">
        <v>2.0</v>
      </c>
      <c r="H175" s="183">
        <v>-61221.47</v>
      </c>
      <c r="I175" s="184">
        <v>19102.83</v>
      </c>
      <c r="J175" s="168">
        <v>1.0</v>
      </c>
      <c r="K175" s="168">
        <v>4.0</v>
      </c>
      <c r="L175" s="168">
        <v>4.0</v>
      </c>
      <c r="M175" s="184">
        <v>10820.03</v>
      </c>
      <c r="N175" s="184">
        <v>97886.77</v>
      </c>
      <c r="O175" s="184">
        <v>70139.33</v>
      </c>
      <c r="P175" s="184">
        <v>69916.69</v>
      </c>
    </row>
    <row r="176">
      <c r="A176" s="168">
        <v>78.0</v>
      </c>
      <c r="B176" s="168">
        <v>77.0</v>
      </c>
      <c r="C176" s="168">
        <v>13.0</v>
      </c>
      <c r="D176" s="168">
        <v>52.0</v>
      </c>
      <c r="E176" s="168">
        <v>7.0</v>
      </c>
      <c r="F176" s="168">
        <v>6.0</v>
      </c>
      <c r="G176" s="168">
        <v>3.0</v>
      </c>
      <c r="H176" s="183">
        <v>16338.28</v>
      </c>
      <c r="I176" s="184">
        <v>-5875.22</v>
      </c>
      <c r="J176" s="168">
        <v>5.0</v>
      </c>
      <c r="K176" s="168">
        <v>4.0</v>
      </c>
      <c r="L176" s="168">
        <v>7.0</v>
      </c>
      <c r="M176" s="184">
        <v>-72032.7</v>
      </c>
      <c r="N176" s="184">
        <v>-33350.54</v>
      </c>
      <c r="O176" s="184">
        <v>27791.49</v>
      </c>
      <c r="P176" s="184">
        <v>41707.9</v>
      </c>
    </row>
    <row r="177">
      <c r="A177" s="168">
        <v>93.0</v>
      </c>
      <c r="B177" s="168">
        <v>91.0</v>
      </c>
      <c r="C177" s="168">
        <v>59.0</v>
      </c>
      <c r="D177" s="168">
        <v>27.0</v>
      </c>
      <c r="E177" s="168">
        <v>7.0</v>
      </c>
      <c r="F177" s="168">
        <v>2.0</v>
      </c>
      <c r="G177" s="168">
        <v>3.0</v>
      </c>
      <c r="H177" s="183">
        <v>4480.35</v>
      </c>
      <c r="I177" s="184">
        <v>-74214.89</v>
      </c>
      <c r="J177" s="168">
        <v>4.0</v>
      </c>
      <c r="K177" s="168">
        <v>3.0</v>
      </c>
      <c r="L177" s="168">
        <v>6.0</v>
      </c>
      <c r="M177" s="184">
        <v>-85109.92</v>
      </c>
      <c r="N177" s="184">
        <v>88123.04</v>
      </c>
      <c r="O177" s="184">
        <v>42007.73</v>
      </c>
      <c r="P177" s="184">
        <v>97823.32</v>
      </c>
    </row>
    <row r="178">
      <c r="A178" s="168">
        <v>91.0</v>
      </c>
      <c r="B178" s="168">
        <v>83.0</v>
      </c>
      <c r="C178" s="168">
        <v>62.0</v>
      </c>
      <c r="D178" s="168">
        <v>16.0</v>
      </c>
      <c r="E178" s="168">
        <v>4.0</v>
      </c>
      <c r="F178" s="168">
        <v>3.0</v>
      </c>
      <c r="G178" s="168">
        <v>1.0</v>
      </c>
      <c r="H178" s="183">
        <v>88417.85</v>
      </c>
      <c r="I178" s="184">
        <v>-50381.77</v>
      </c>
      <c r="J178" s="168">
        <v>7.0</v>
      </c>
      <c r="K178" s="168">
        <v>3.0</v>
      </c>
      <c r="L178" s="168">
        <v>5.0</v>
      </c>
      <c r="M178" s="184">
        <v>-41786.34</v>
      </c>
      <c r="N178" s="184">
        <v>-78265.74</v>
      </c>
      <c r="O178" s="184">
        <v>87391.31</v>
      </c>
      <c r="P178" s="184">
        <v>52612.56</v>
      </c>
    </row>
    <row r="179">
      <c r="A179" s="168">
        <v>65.0</v>
      </c>
      <c r="B179" s="168">
        <v>45.0</v>
      </c>
      <c r="C179" s="168">
        <v>79.0</v>
      </c>
      <c r="D179" s="168">
        <v>62.0</v>
      </c>
      <c r="E179" s="168">
        <v>7.0</v>
      </c>
      <c r="F179" s="168">
        <v>3.0</v>
      </c>
      <c r="G179" s="168">
        <v>2.0</v>
      </c>
      <c r="H179" s="183">
        <v>65860.13</v>
      </c>
      <c r="I179" s="184">
        <v>44037.96</v>
      </c>
      <c r="J179" s="168">
        <v>6.0</v>
      </c>
      <c r="K179" s="168">
        <v>5.0</v>
      </c>
      <c r="L179" s="168">
        <v>9.0</v>
      </c>
      <c r="M179" s="184">
        <v>-77525.52</v>
      </c>
      <c r="N179" s="184">
        <v>8302.07</v>
      </c>
      <c r="O179" s="184">
        <v>84457.86</v>
      </c>
      <c r="P179" s="184">
        <v>70161.22</v>
      </c>
    </row>
    <row r="180">
      <c r="A180" s="168">
        <v>15.0</v>
      </c>
      <c r="B180" s="168">
        <v>36.0</v>
      </c>
      <c r="C180" s="168">
        <v>40.0</v>
      </c>
      <c r="D180" s="168">
        <v>25.0</v>
      </c>
      <c r="E180" s="168">
        <v>1.0</v>
      </c>
      <c r="F180" s="168">
        <v>1.0</v>
      </c>
      <c r="G180" s="168">
        <v>2.0</v>
      </c>
      <c r="H180" s="183">
        <v>72991.21</v>
      </c>
      <c r="I180" s="184">
        <v>52096.28</v>
      </c>
      <c r="J180" s="168">
        <v>5.0</v>
      </c>
      <c r="K180" s="168">
        <v>9.0</v>
      </c>
      <c r="L180" s="168">
        <v>7.0</v>
      </c>
      <c r="M180" s="184">
        <v>8048.7</v>
      </c>
      <c r="N180" s="184">
        <v>-47632.61</v>
      </c>
      <c r="O180" s="184">
        <v>-41621.28</v>
      </c>
      <c r="P180" s="184">
        <v>-21272.45</v>
      </c>
    </row>
    <row r="181">
      <c r="A181" s="168">
        <v>40.0</v>
      </c>
      <c r="B181" s="168">
        <v>98.0</v>
      </c>
      <c r="C181" s="168">
        <v>75.0</v>
      </c>
      <c r="D181" s="168">
        <v>39.0</v>
      </c>
      <c r="E181" s="168">
        <v>3.0</v>
      </c>
      <c r="F181" s="168">
        <v>2.0</v>
      </c>
      <c r="G181" s="168">
        <v>1.0</v>
      </c>
      <c r="H181" s="183">
        <v>-59303.83</v>
      </c>
      <c r="I181" s="184">
        <v>78441.23</v>
      </c>
      <c r="J181" s="168">
        <v>9.0</v>
      </c>
      <c r="K181" s="168">
        <v>5.0</v>
      </c>
      <c r="L181" s="168">
        <v>2.0</v>
      </c>
      <c r="M181" s="184">
        <v>-46248.59</v>
      </c>
      <c r="N181" s="184">
        <v>51656.79</v>
      </c>
      <c r="O181" s="184">
        <v>-40886.79</v>
      </c>
      <c r="P181" s="184">
        <v>15077.3</v>
      </c>
    </row>
    <row r="182">
      <c r="A182" s="168">
        <v>66.0</v>
      </c>
      <c r="B182" s="168">
        <v>70.0</v>
      </c>
      <c r="C182" s="168">
        <v>15.0</v>
      </c>
      <c r="D182" s="168">
        <v>50.0</v>
      </c>
      <c r="E182" s="168">
        <v>9.0</v>
      </c>
      <c r="F182" s="168">
        <v>2.0</v>
      </c>
      <c r="G182" s="168">
        <v>8.0</v>
      </c>
      <c r="H182" s="183">
        <v>35349.01</v>
      </c>
      <c r="I182" s="184">
        <v>91649.57</v>
      </c>
      <c r="J182" s="168">
        <v>7.0</v>
      </c>
      <c r="K182" s="168">
        <v>6.0</v>
      </c>
      <c r="L182" s="168">
        <v>6.0</v>
      </c>
      <c r="M182" s="184">
        <v>-62015.23</v>
      </c>
      <c r="N182" s="184">
        <v>-5625.75</v>
      </c>
      <c r="O182" s="184">
        <v>-99421.57</v>
      </c>
      <c r="P182" s="184">
        <v>65802.03</v>
      </c>
    </row>
    <row r="183">
      <c r="A183" s="168">
        <v>25.0</v>
      </c>
      <c r="B183" s="168">
        <v>53.0</v>
      </c>
      <c r="C183" s="168">
        <v>38.0</v>
      </c>
      <c r="D183" s="168">
        <v>18.0</v>
      </c>
      <c r="E183" s="168">
        <v>7.0</v>
      </c>
      <c r="F183" s="168">
        <v>1.0</v>
      </c>
      <c r="G183" s="168">
        <v>7.0</v>
      </c>
      <c r="H183" s="183">
        <v>-17150.7</v>
      </c>
      <c r="I183" s="184">
        <v>7511.33</v>
      </c>
      <c r="J183" s="168">
        <v>2.0</v>
      </c>
      <c r="K183" s="168">
        <v>5.0</v>
      </c>
      <c r="L183" s="168">
        <v>5.0</v>
      </c>
      <c r="M183" s="184">
        <v>-88881.76</v>
      </c>
      <c r="N183" s="184">
        <v>49430.02</v>
      </c>
      <c r="O183" s="184">
        <v>2110.95</v>
      </c>
      <c r="P183" s="184">
        <v>32004.65</v>
      </c>
    </row>
    <row r="184">
      <c r="A184" s="168">
        <v>53.0</v>
      </c>
      <c r="B184" s="168">
        <v>36.0</v>
      </c>
      <c r="C184" s="168">
        <v>85.0</v>
      </c>
      <c r="D184" s="168">
        <v>14.0</v>
      </c>
      <c r="E184" s="168">
        <v>2.0</v>
      </c>
      <c r="F184" s="168">
        <v>8.0</v>
      </c>
      <c r="G184" s="168">
        <v>8.0</v>
      </c>
      <c r="H184" s="183">
        <v>93287.25</v>
      </c>
      <c r="I184" s="184">
        <v>-27696.65</v>
      </c>
      <c r="J184" s="168">
        <v>6.0</v>
      </c>
      <c r="K184" s="168">
        <v>6.0</v>
      </c>
      <c r="L184" s="168">
        <v>5.0</v>
      </c>
      <c r="M184" s="184">
        <v>43641.8</v>
      </c>
      <c r="N184" s="184">
        <v>-21557.8</v>
      </c>
      <c r="O184" s="184">
        <v>31504.02</v>
      </c>
      <c r="P184" s="184">
        <v>-89303.84</v>
      </c>
    </row>
    <row r="185">
      <c r="A185" s="168">
        <v>16.0</v>
      </c>
      <c r="B185" s="168">
        <v>51.0</v>
      </c>
      <c r="C185" s="168">
        <v>15.0</v>
      </c>
      <c r="D185" s="168">
        <v>45.0</v>
      </c>
      <c r="E185" s="168">
        <v>5.0</v>
      </c>
      <c r="F185" s="168">
        <v>7.0</v>
      </c>
      <c r="G185" s="168">
        <v>9.0</v>
      </c>
      <c r="H185" s="183">
        <v>-5368.1</v>
      </c>
      <c r="I185" s="184">
        <v>-55661.98</v>
      </c>
      <c r="J185" s="168">
        <v>5.0</v>
      </c>
      <c r="K185" s="168">
        <v>8.0</v>
      </c>
      <c r="L185" s="168">
        <v>1.0</v>
      </c>
      <c r="M185" s="184">
        <v>-73505.83</v>
      </c>
      <c r="N185" s="184">
        <v>76939.72</v>
      </c>
      <c r="O185" s="184">
        <v>15132.14</v>
      </c>
      <c r="P185" s="184">
        <v>58105.33</v>
      </c>
    </row>
    <row r="186">
      <c r="A186" s="168">
        <v>72.0</v>
      </c>
      <c r="B186" s="168">
        <v>42.0</v>
      </c>
      <c r="C186" s="168">
        <v>44.0</v>
      </c>
      <c r="D186" s="168">
        <v>34.0</v>
      </c>
      <c r="E186" s="168">
        <v>4.0</v>
      </c>
      <c r="F186" s="168">
        <v>8.0</v>
      </c>
      <c r="G186" s="168">
        <v>4.0</v>
      </c>
      <c r="H186" s="183">
        <v>79207.72</v>
      </c>
      <c r="I186" s="184">
        <v>11751.39</v>
      </c>
      <c r="J186" s="168">
        <v>5.0</v>
      </c>
      <c r="K186" s="168">
        <v>6.0</v>
      </c>
      <c r="L186" s="168">
        <v>9.0</v>
      </c>
      <c r="M186" s="184">
        <v>-34214.93</v>
      </c>
      <c r="N186" s="184">
        <v>25027.24</v>
      </c>
      <c r="O186" s="184">
        <v>-79616.73</v>
      </c>
      <c r="P186" s="184">
        <v>33769.8</v>
      </c>
    </row>
    <row r="187">
      <c r="A187" s="168">
        <v>25.0</v>
      </c>
      <c r="B187" s="168">
        <v>80.0</v>
      </c>
      <c r="C187" s="168">
        <v>59.0</v>
      </c>
      <c r="D187" s="168">
        <v>79.0</v>
      </c>
      <c r="E187" s="168">
        <v>1.0</v>
      </c>
      <c r="F187" s="168">
        <v>9.0</v>
      </c>
      <c r="G187" s="168">
        <v>2.0</v>
      </c>
      <c r="H187" s="183">
        <v>25007.18</v>
      </c>
      <c r="I187" s="184">
        <v>-91680.4</v>
      </c>
      <c r="J187" s="168">
        <v>1.0</v>
      </c>
      <c r="K187" s="168">
        <v>4.0</v>
      </c>
      <c r="L187" s="168">
        <v>2.0</v>
      </c>
      <c r="M187" s="184">
        <v>-7470.08</v>
      </c>
      <c r="N187" s="184">
        <v>-70434.46</v>
      </c>
      <c r="O187" s="184">
        <v>65804.86</v>
      </c>
      <c r="P187" s="184">
        <v>-13717.11</v>
      </c>
    </row>
    <row r="188">
      <c r="A188" s="168">
        <v>60.0</v>
      </c>
      <c r="B188" s="168">
        <v>84.0</v>
      </c>
      <c r="C188" s="168">
        <v>24.0</v>
      </c>
      <c r="D188" s="168">
        <v>68.0</v>
      </c>
      <c r="E188" s="168">
        <v>4.0</v>
      </c>
      <c r="F188" s="168">
        <v>4.0</v>
      </c>
      <c r="G188" s="168">
        <v>4.0</v>
      </c>
      <c r="H188" s="183">
        <v>-99235.26</v>
      </c>
      <c r="I188" s="184">
        <v>-93006.9</v>
      </c>
      <c r="J188" s="168">
        <v>9.0</v>
      </c>
      <c r="K188" s="168">
        <v>3.0</v>
      </c>
      <c r="L188" s="168">
        <v>6.0</v>
      </c>
      <c r="M188" s="184">
        <v>-22827.61</v>
      </c>
      <c r="N188" s="184">
        <v>62488.44</v>
      </c>
      <c r="O188" s="184">
        <v>-23031.66</v>
      </c>
      <c r="P188" s="184">
        <v>-5885.69</v>
      </c>
    </row>
    <row r="189">
      <c r="A189" s="168">
        <v>27.0</v>
      </c>
      <c r="B189" s="168">
        <v>28.0</v>
      </c>
      <c r="C189" s="168">
        <v>19.0</v>
      </c>
      <c r="D189" s="168">
        <v>49.0</v>
      </c>
      <c r="E189" s="168">
        <v>8.0</v>
      </c>
      <c r="F189" s="168">
        <v>2.0</v>
      </c>
      <c r="G189" s="168">
        <v>9.0</v>
      </c>
      <c r="H189" s="183">
        <v>79094.88</v>
      </c>
      <c r="I189" s="184">
        <v>87217.63</v>
      </c>
      <c r="J189" s="168">
        <v>2.0</v>
      </c>
      <c r="K189" s="168">
        <v>6.0</v>
      </c>
      <c r="L189" s="168">
        <v>9.0</v>
      </c>
      <c r="M189" s="184">
        <v>37182.88</v>
      </c>
      <c r="N189" s="184">
        <v>85404.94</v>
      </c>
      <c r="O189" s="184">
        <v>2424.26</v>
      </c>
      <c r="P189" s="184">
        <v>13050.28</v>
      </c>
    </row>
    <row r="190">
      <c r="A190" s="168">
        <v>93.0</v>
      </c>
      <c r="B190" s="168">
        <v>25.0</v>
      </c>
      <c r="C190" s="168">
        <v>18.0</v>
      </c>
      <c r="D190" s="168">
        <v>95.0</v>
      </c>
      <c r="E190" s="168">
        <v>2.0</v>
      </c>
      <c r="F190" s="168">
        <v>4.0</v>
      </c>
      <c r="G190" s="168">
        <v>9.0</v>
      </c>
      <c r="H190" s="183">
        <v>13524.8</v>
      </c>
      <c r="I190" s="184">
        <v>-95771.93</v>
      </c>
      <c r="J190" s="168">
        <v>6.0</v>
      </c>
      <c r="K190" s="168">
        <v>3.0</v>
      </c>
      <c r="L190" s="168">
        <v>6.0</v>
      </c>
      <c r="M190" s="184">
        <v>90489.73</v>
      </c>
      <c r="N190" s="184">
        <v>50611.9</v>
      </c>
      <c r="O190" s="184">
        <v>-16524.39</v>
      </c>
      <c r="P190" s="184">
        <v>-93864.26</v>
      </c>
    </row>
    <row r="191">
      <c r="A191" s="168">
        <v>34.0</v>
      </c>
      <c r="B191" s="168">
        <v>33.0</v>
      </c>
      <c r="C191" s="168">
        <v>20.0</v>
      </c>
      <c r="D191" s="168">
        <v>12.0</v>
      </c>
      <c r="E191" s="168">
        <v>1.0</v>
      </c>
      <c r="F191" s="168">
        <v>9.0</v>
      </c>
      <c r="G191" s="168">
        <v>9.0</v>
      </c>
      <c r="H191" s="183">
        <v>80689.91</v>
      </c>
      <c r="I191" s="184">
        <v>83256.82</v>
      </c>
      <c r="J191" s="168">
        <v>9.0</v>
      </c>
      <c r="K191" s="168">
        <v>5.0</v>
      </c>
      <c r="L191" s="168">
        <v>9.0</v>
      </c>
      <c r="M191" s="184">
        <v>13475.88</v>
      </c>
      <c r="N191" s="184">
        <v>29654.34</v>
      </c>
      <c r="O191" s="184">
        <v>82851.01</v>
      </c>
      <c r="P191" s="184">
        <v>-29208.02</v>
      </c>
    </row>
    <row r="192">
      <c r="A192" s="168">
        <v>73.0</v>
      </c>
      <c r="B192" s="168">
        <v>43.0</v>
      </c>
      <c r="C192" s="168">
        <v>87.0</v>
      </c>
      <c r="D192" s="168">
        <v>37.0</v>
      </c>
      <c r="E192" s="168">
        <v>9.0</v>
      </c>
      <c r="F192" s="168">
        <v>9.0</v>
      </c>
      <c r="G192" s="168">
        <v>1.0</v>
      </c>
      <c r="H192" s="183">
        <v>-87650.82</v>
      </c>
      <c r="I192" s="184">
        <v>-12741.67</v>
      </c>
      <c r="J192" s="168">
        <v>6.0</v>
      </c>
      <c r="K192" s="168">
        <v>8.0</v>
      </c>
      <c r="L192" s="168">
        <v>8.0</v>
      </c>
      <c r="M192" s="184">
        <v>-80977.99</v>
      </c>
      <c r="N192" s="184">
        <v>80152.68</v>
      </c>
      <c r="O192" s="184">
        <v>-15946.85</v>
      </c>
      <c r="P192" s="184">
        <v>56134.5</v>
      </c>
    </row>
    <row r="193">
      <c r="A193" s="168">
        <v>70.0</v>
      </c>
      <c r="B193" s="168">
        <v>51.0</v>
      </c>
      <c r="C193" s="168">
        <v>23.0</v>
      </c>
      <c r="D193" s="168">
        <v>52.0</v>
      </c>
      <c r="E193" s="168">
        <v>7.0</v>
      </c>
      <c r="F193" s="168">
        <v>9.0</v>
      </c>
      <c r="G193" s="168">
        <v>8.0</v>
      </c>
      <c r="H193" s="183">
        <v>-99010.99</v>
      </c>
      <c r="I193" s="184">
        <v>51645.59</v>
      </c>
      <c r="J193" s="168">
        <v>9.0</v>
      </c>
      <c r="K193" s="168">
        <v>6.0</v>
      </c>
      <c r="L193" s="168">
        <v>2.0</v>
      </c>
      <c r="M193" s="184">
        <v>61806.26</v>
      </c>
      <c r="N193" s="184">
        <v>-94981.65</v>
      </c>
      <c r="O193" s="184">
        <v>-40865.64</v>
      </c>
      <c r="P193" s="184">
        <v>91494.36</v>
      </c>
    </row>
    <row r="194">
      <c r="A194" s="168">
        <v>35.0</v>
      </c>
      <c r="B194" s="168">
        <v>74.0</v>
      </c>
      <c r="C194" s="168">
        <v>48.0</v>
      </c>
      <c r="D194" s="168">
        <v>14.0</v>
      </c>
      <c r="E194" s="168">
        <v>6.0</v>
      </c>
      <c r="F194" s="168">
        <v>1.0</v>
      </c>
      <c r="G194" s="168">
        <v>4.0</v>
      </c>
      <c r="H194" s="183">
        <v>-81501.04</v>
      </c>
      <c r="I194" s="184">
        <v>58553.93</v>
      </c>
      <c r="J194" s="168">
        <v>8.0</v>
      </c>
      <c r="K194" s="168">
        <v>5.0</v>
      </c>
      <c r="L194" s="168">
        <v>6.0</v>
      </c>
      <c r="M194" s="184">
        <v>75902.59</v>
      </c>
      <c r="N194" s="184">
        <v>-80984.94</v>
      </c>
      <c r="O194" s="184">
        <v>88710.08</v>
      </c>
      <c r="P194" s="184">
        <v>-79206.47</v>
      </c>
    </row>
    <row r="195">
      <c r="A195" s="168">
        <v>18.0</v>
      </c>
      <c r="B195" s="168">
        <v>20.0</v>
      </c>
      <c r="C195" s="168">
        <v>44.0</v>
      </c>
      <c r="D195" s="168">
        <v>11.0</v>
      </c>
      <c r="E195" s="168">
        <v>9.0</v>
      </c>
      <c r="F195" s="168">
        <v>8.0</v>
      </c>
      <c r="G195" s="168">
        <v>2.0</v>
      </c>
      <c r="H195" s="183">
        <v>-80053.78</v>
      </c>
      <c r="I195" s="184">
        <v>-8178.06</v>
      </c>
      <c r="J195" s="168">
        <v>2.0</v>
      </c>
      <c r="K195" s="168">
        <v>2.0</v>
      </c>
      <c r="L195" s="168">
        <v>8.0</v>
      </c>
      <c r="M195" s="184">
        <v>-58452.23</v>
      </c>
      <c r="N195" s="184">
        <v>81872.51</v>
      </c>
      <c r="O195" s="184">
        <v>-7258.62</v>
      </c>
      <c r="P195" s="184">
        <v>-67906.72</v>
      </c>
    </row>
    <row r="196">
      <c r="A196" s="168">
        <v>66.0</v>
      </c>
      <c r="B196" s="168">
        <v>35.0</v>
      </c>
      <c r="C196" s="168">
        <v>77.0</v>
      </c>
      <c r="D196" s="168">
        <v>97.0</v>
      </c>
      <c r="E196" s="168">
        <v>2.0</v>
      </c>
      <c r="F196" s="168">
        <v>4.0</v>
      </c>
      <c r="G196" s="168">
        <v>5.0</v>
      </c>
      <c r="H196" s="183">
        <v>77234.09</v>
      </c>
      <c r="I196" s="184">
        <v>57592.75</v>
      </c>
      <c r="J196" s="168">
        <v>6.0</v>
      </c>
      <c r="K196" s="168">
        <v>1.0</v>
      </c>
      <c r="L196" s="168">
        <v>5.0</v>
      </c>
      <c r="M196" s="184">
        <v>-92246.85</v>
      </c>
      <c r="N196" s="184">
        <v>-64252.5</v>
      </c>
      <c r="O196" s="184">
        <v>69325.62</v>
      </c>
      <c r="P196" s="184">
        <v>-77882.61</v>
      </c>
    </row>
    <row r="197">
      <c r="A197" s="168">
        <v>17.0</v>
      </c>
      <c r="B197" s="168">
        <v>95.0</v>
      </c>
      <c r="C197" s="168">
        <v>48.0</v>
      </c>
      <c r="D197" s="168">
        <v>91.0</v>
      </c>
      <c r="E197" s="168">
        <v>5.0</v>
      </c>
      <c r="F197" s="168">
        <v>2.0</v>
      </c>
      <c r="G197" s="168">
        <v>1.0</v>
      </c>
      <c r="H197" s="183">
        <v>50552.53</v>
      </c>
      <c r="I197" s="184">
        <v>63036.22</v>
      </c>
      <c r="J197" s="168">
        <v>8.0</v>
      </c>
      <c r="K197" s="168">
        <v>8.0</v>
      </c>
      <c r="L197" s="168">
        <v>5.0</v>
      </c>
      <c r="M197" s="184">
        <v>-92829.47</v>
      </c>
      <c r="N197" s="184">
        <v>17081.77</v>
      </c>
      <c r="O197" s="184">
        <v>-60678.0</v>
      </c>
      <c r="P197" s="184">
        <v>-19730.68</v>
      </c>
    </row>
    <row r="198">
      <c r="A198" s="168">
        <v>28.0</v>
      </c>
      <c r="B198" s="168">
        <v>16.0</v>
      </c>
      <c r="C198" s="168">
        <v>27.0</v>
      </c>
      <c r="D198" s="168">
        <v>65.0</v>
      </c>
      <c r="E198" s="168">
        <v>4.0</v>
      </c>
      <c r="F198" s="168">
        <v>5.0</v>
      </c>
      <c r="G198" s="168">
        <v>1.0</v>
      </c>
      <c r="H198" s="183">
        <v>20885.78</v>
      </c>
      <c r="I198" s="184">
        <v>91965.29</v>
      </c>
      <c r="J198" s="168">
        <v>5.0</v>
      </c>
      <c r="K198" s="168">
        <v>2.0</v>
      </c>
      <c r="L198" s="168">
        <v>5.0</v>
      </c>
      <c r="M198" s="184">
        <v>-55848.19</v>
      </c>
      <c r="N198" s="184">
        <v>-25315.83</v>
      </c>
      <c r="O198" s="184">
        <v>-5178.17</v>
      </c>
      <c r="P198" s="184">
        <v>-49146.84</v>
      </c>
    </row>
    <row r="199">
      <c r="A199" s="168">
        <v>90.0</v>
      </c>
      <c r="B199" s="168">
        <v>40.0</v>
      </c>
      <c r="C199" s="168">
        <v>53.0</v>
      </c>
      <c r="D199" s="168">
        <v>87.0</v>
      </c>
      <c r="E199" s="168">
        <v>2.0</v>
      </c>
      <c r="F199" s="168">
        <v>1.0</v>
      </c>
      <c r="G199" s="168">
        <v>4.0</v>
      </c>
      <c r="H199" s="183">
        <v>4076.61</v>
      </c>
      <c r="I199" s="184">
        <v>43672.41</v>
      </c>
      <c r="J199" s="168">
        <v>5.0</v>
      </c>
      <c r="K199" s="168">
        <v>8.0</v>
      </c>
      <c r="L199" s="168">
        <v>6.0</v>
      </c>
      <c r="M199" s="184">
        <v>-94722.26</v>
      </c>
      <c r="N199" s="184">
        <v>-53331.21</v>
      </c>
      <c r="O199" s="184">
        <v>-96152.52</v>
      </c>
      <c r="P199" s="184">
        <v>-26465.17</v>
      </c>
    </row>
    <row r="200">
      <c r="A200" s="168">
        <v>67.0</v>
      </c>
      <c r="B200" s="168">
        <v>86.0</v>
      </c>
      <c r="C200" s="168">
        <v>29.0</v>
      </c>
      <c r="D200" s="168">
        <v>31.0</v>
      </c>
      <c r="E200" s="168">
        <v>1.0</v>
      </c>
      <c r="F200" s="168">
        <v>1.0</v>
      </c>
      <c r="G200" s="168">
        <v>5.0</v>
      </c>
      <c r="H200" s="183">
        <v>90858.33</v>
      </c>
      <c r="I200" s="184">
        <v>-57481.01</v>
      </c>
      <c r="J200" s="168">
        <v>5.0</v>
      </c>
      <c r="K200" s="168">
        <v>5.0</v>
      </c>
      <c r="L200" s="168">
        <v>2.0</v>
      </c>
      <c r="M200" s="184">
        <v>64796.23</v>
      </c>
      <c r="N200" s="184">
        <v>-80092.85</v>
      </c>
      <c r="O200" s="184">
        <v>-75057.6</v>
      </c>
      <c r="P200" s="184">
        <v>29661.03</v>
      </c>
    </row>
    <row r="201">
      <c r="A201" s="168">
        <v>90.0</v>
      </c>
      <c r="B201" s="168">
        <v>86.0</v>
      </c>
      <c r="C201" s="168">
        <v>38.0</v>
      </c>
      <c r="D201" s="168">
        <v>60.0</v>
      </c>
      <c r="E201" s="168">
        <v>3.0</v>
      </c>
      <c r="F201" s="168">
        <v>4.0</v>
      </c>
      <c r="G201" s="168">
        <v>8.0</v>
      </c>
      <c r="H201" s="183">
        <v>-72002.08</v>
      </c>
      <c r="I201" s="184">
        <v>-92038.69</v>
      </c>
      <c r="J201" s="168">
        <v>6.0</v>
      </c>
      <c r="K201" s="168">
        <v>2.0</v>
      </c>
      <c r="L201" s="168">
        <v>8.0</v>
      </c>
      <c r="M201" s="184">
        <v>80010.43</v>
      </c>
      <c r="N201" s="184">
        <v>-15137.35</v>
      </c>
      <c r="O201" s="184">
        <v>11786.26</v>
      </c>
      <c r="P201" s="184">
        <v>80814.45</v>
      </c>
    </row>
    <row r="202">
      <c r="A202" s="168">
        <v>48.0</v>
      </c>
      <c r="B202" s="168">
        <v>49.0</v>
      </c>
      <c r="C202" s="168">
        <v>10.0</v>
      </c>
      <c r="D202" s="168">
        <v>71.0</v>
      </c>
      <c r="E202" s="168">
        <v>7.0</v>
      </c>
      <c r="F202" s="168">
        <v>5.0</v>
      </c>
      <c r="G202" s="168">
        <v>8.0</v>
      </c>
      <c r="H202" s="183">
        <v>-50530.39</v>
      </c>
      <c r="I202" s="184">
        <v>-55961.95</v>
      </c>
      <c r="J202" s="168">
        <v>2.0</v>
      </c>
      <c r="K202" s="168">
        <v>8.0</v>
      </c>
      <c r="L202" s="168">
        <v>2.0</v>
      </c>
      <c r="M202" s="184">
        <v>3350.2</v>
      </c>
      <c r="N202" s="184">
        <v>52659.22</v>
      </c>
      <c r="O202" s="184">
        <v>86975.05</v>
      </c>
      <c r="P202" s="184">
        <v>-63613.36</v>
      </c>
    </row>
    <row r="203">
      <c r="A203" s="168">
        <v>66.0</v>
      </c>
      <c r="B203" s="168">
        <v>12.0</v>
      </c>
      <c r="C203" s="168">
        <v>31.0</v>
      </c>
      <c r="D203" s="168">
        <v>21.0</v>
      </c>
      <c r="E203" s="168">
        <v>6.0</v>
      </c>
      <c r="F203" s="168">
        <v>8.0</v>
      </c>
      <c r="G203" s="168">
        <v>3.0</v>
      </c>
      <c r="H203" s="183">
        <v>-48237.42</v>
      </c>
      <c r="I203" s="184">
        <v>96230.87</v>
      </c>
      <c r="J203" s="168">
        <v>8.0</v>
      </c>
      <c r="K203" s="168">
        <v>7.0</v>
      </c>
      <c r="L203" s="168">
        <v>5.0</v>
      </c>
      <c r="M203" s="184">
        <v>61080.53</v>
      </c>
      <c r="N203" s="184">
        <v>-52972.13</v>
      </c>
      <c r="O203" s="184">
        <v>44281.59</v>
      </c>
      <c r="P203" s="184">
        <v>51648.68</v>
      </c>
    </row>
    <row r="204">
      <c r="A204" s="168">
        <v>11.0</v>
      </c>
      <c r="B204" s="168">
        <v>10.0</v>
      </c>
      <c r="C204" s="168">
        <v>65.0</v>
      </c>
      <c r="D204" s="168">
        <v>57.0</v>
      </c>
      <c r="E204" s="168">
        <v>2.0</v>
      </c>
      <c r="F204" s="168">
        <v>8.0</v>
      </c>
      <c r="G204" s="168">
        <v>4.0</v>
      </c>
      <c r="H204" s="183">
        <v>-26532.82</v>
      </c>
      <c r="I204" s="184">
        <v>19443.28</v>
      </c>
      <c r="J204" s="168">
        <v>2.0</v>
      </c>
      <c r="K204" s="168">
        <v>5.0</v>
      </c>
      <c r="L204" s="168">
        <v>6.0</v>
      </c>
      <c r="M204" s="184">
        <v>19832.08</v>
      </c>
      <c r="N204" s="184">
        <v>-59936.27</v>
      </c>
      <c r="O204" s="184">
        <v>28938.68</v>
      </c>
      <c r="P204" s="184">
        <v>-64149.09</v>
      </c>
    </row>
    <row r="205">
      <c r="A205" s="168">
        <v>80.0</v>
      </c>
      <c r="B205" s="168">
        <v>71.0</v>
      </c>
      <c r="C205" s="168">
        <v>64.0</v>
      </c>
      <c r="D205" s="168">
        <v>41.0</v>
      </c>
      <c r="E205" s="168">
        <v>7.0</v>
      </c>
      <c r="F205" s="168">
        <v>3.0</v>
      </c>
      <c r="G205" s="168">
        <v>2.0</v>
      </c>
      <c r="H205" s="183">
        <v>9576.82</v>
      </c>
      <c r="I205" s="184">
        <v>80471.34</v>
      </c>
      <c r="J205" s="168">
        <v>5.0</v>
      </c>
      <c r="K205" s="168">
        <v>7.0</v>
      </c>
      <c r="L205" s="168">
        <v>7.0</v>
      </c>
      <c r="M205" s="184">
        <v>6515.82</v>
      </c>
      <c r="N205" s="184">
        <v>52197.29</v>
      </c>
      <c r="O205" s="184">
        <v>-84038.7</v>
      </c>
      <c r="P205" s="184">
        <v>-31968.21</v>
      </c>
    </row>
    <row r="206">
      <c r="A206" s="168">
        <v>57.0</v>
      </c>
      <c r="B206" s="168">
        <v>83.0</v>
      </c>
      <c r="C206" s="168">
        <v>42.0</v>
      </c>
      <c r="D206" s="168">
        <v>35.0</v>
      </c>
      <c r="E206" s="168">
        <v>5.0</v>
      </c>
      <c r="F206" s="168">
        <v>4.0</v>
      </c>
      <c r="G206" s="168">
        <v>1.0</v>
      </c>
      <c r="H206" s="183">
        <v>-71764.67</v>
      </c>
      <c r="I206" s="184">
        <v>-81346.99</v>
      </c>
      <c r="J206" s="168">
        <v>6.0</v>
      </c>
      <c r="K206" s="168">
        <v>9.0</v>
      </c>
      <c r="L206" s="168">
        <v>9.0</v>
      </c>
      <c r="M206" s="184">
        <v>57368.94</v>
      </c>
      <c r="N206" s="184">
        <v>60218.35</v>
      </c>
      <c r="O206" s="184">
        <v>-45993.71</v>
      </c>
      <c r="P206" s="184">
        <v>-67938.38</v>
      </c>
    </row>
    <row r="207">
      <c r="A207" s="168">
        <v>73.0</v>
      </c>
      <c r="B207" s="168">
        <v>46.0</v>
      </c>
      <c r="C207" s="168">
        <v>95.0</v>
      </c>
      <c r="D207" s="168">
        <v>75.0</v>
      </c>
      <c r="E207" s="168">
        <v>7.0</v>
      </c>
      <c r="F207" s="168">
        <v>2.0</v>
      </c>
      <c r="G207" s="168">
        <v>6.0</v>
      </c>
      <c r="H207" s="183">
        <v>35867.64</v>
      </c>
      <c r="I207" s="184">
        <v>-463.28</v>
      </c>
      <c r="J207" s="168">
        <v>7.0</v>
      </c>
      <c r="K207" s="168">
        <v>1.0</v>
      </c>
      <c r="L207" s="168">
        <v>3.0</v>
      </c>
      <c r="M207" s="184">
        <v>55195.72</v>
      </c>
      <c r="N207" s="184">
        <v>1658.98</v>
      </c>
      <c r="O207" s="184">
        <v>98705.42</v>
      </c>
      <c r="P207" s="184">
        <v>-69227.98</v>
      </c>
    </row>
    <row r="208">
      <c r="A208" s="168">
        <v>55.0</v>
      </c>
      <c r="B208" s="168">
        <v>31.0</v>
      </c>
      <c r="C208" s="168">
        <v>82.0</v>
      </c>
      <c r="D208" s="168">
        <v>74.0</v>
      </c>
      <c r="E208" s="168">
        <v>9.0</v>
      </c>
      <c r="F208" s="168">
        <v>1.0</v>
      </c>
      <c r="G208" s="168">
        <v>1.0</v>
      </c>
      <c r="H208" s="183">
        <v>68738.56</v>
      </c>
      <c r="I208" s="184">
        <v>65915.16</v>
      </c>
      <c r="J208" s="168">
        <v>9.0</v>
      </c>
      <c r="K208" s="168">
        <v>4.0</v>
      </c>
      <c r="L208" s="168">
        <v>9.0</v>
      </c>
      <c r="M208" s="184">
        <v>-33783.47</v>
      </c>
      <c r="N208" s="184">
        <v>-77887.94</v>
      </c>
      <c r="O208" s="184">
        <v>-69260.68</v>
      </c>
      <c r="P208" s="184">
        <v>9761.7</v>
      </c>
    </row>
    <row r="209">
      <c r="A209" s="168">
        <v>57.0</v>
      </c>
      <c r="B209" s="168">
        <v>64.0</v>
      </c>
      <c r="C209" s="168">
        <v>76.0</v>
      </c>
      <c r="D209" s="168">
        <v>34.0</v>
      </c>
      <c r="E209" s="168">
        <v>3.0</v>
      </c>
      <c r="F209" s="168">
        <v>6.0</v>
      </c>
      <c r="G209" s="168">
        <v>9.0</v>
      </c>
      <c r="H209" s="183">
        <v>17120.95</v>
      </c>
      <c r="I209" s="184">
        <v>55531.4</v>
      </c>
      <c r="J209" s="168">
        <v>3.0</v>
      </c>
      <c r="K209" s="168">
        <v>9.0</v>
      </c>
      <c r="L209" s="168">
        <v>6.0</v>
      </c>
      <c r="M209" s="184">
        <v>52110.33</v>
      </c>
      <c r="N209" s="184">
        <v>12674.2</v>
      </c>
      <c r="O209" s="184">
        <v>68256.13</v>
      </c>
      <c r="P209" s="184">
        <v>77640.76</v>
      </c>
    </row>
    <row r="210">
      <c r="A210" s="168">
        <v>53.0</v>
      </c>
      <c r="B210" s="168">
        <v>39.0</v>
      </c>
      <c r="C210" s="168">
        <v>32.0</v>
      </c>
      <c r="D210" s="168">
        <v>18.0</v>
      </c>
      <c r="E210" s="168">
        <v>6.0</v>
      </c>
      <c r="F210" s="168">
        <v>1.0</v>
      </c>
      <c r="G210" s="168">
        <v>9.0</v>
      </c>
      <c r="H210" s="183">
        <v>-45380.59</v>
      </c>
      <c r="I210" s="184">
        <v>-8292.43</v>
      </c>
      <c r="J210" s="168">
        <v>9.0</v>
      </c>
      <c r="K210" s="168">
        <v>3.0</v>
      </c>
      <c r="L210" s="168">
        <v>6.0</v>
      </c>
      <c r="M210" s="184">
        <v>-64987.92</v>
      </c>
      <c r="N210" s="184">
        <v>19401.78</v>
      </c>
      <c r="O210" s="184">
        <v>58656.49</v>
      </c>
      <c r="P210" s="184">
        <v>44961.43</v>
      </c>
    </row>
    <row r="211">
      <c r="A211" s="168">
        <v>54.0</v>
      </c>
      <c r="B211" s="168">
        <v>79.0</v>
      </c>
      <c r="C211" s="168">
        <v>80.0</v>
      </c>
      <c r="D211" s="168">
        <v>85.0</v>
      </c>
      <c r="E211" s="168">
        <v>8.0</v>
      </c>
      <c r="F211" s="168">
        <v>9.0</v>
      </c>
      <c r="G211" s="168">
        <v>1.0</v>
      </c>
      <c r="H211" s="183">
        <v>65921.24</v>
      </c>
      <c r="I211" s="184">
        <v>-52720.11</v>
      </c>
      <c r="J211" s="168">
        <v>6.0</v>
      </c>
      <c r="K211" s="168">
        <v>6.0</v>
      </c>
      <c r="L211" s="168">
        <v>1.0</v>
      </c>
      <c r="M211" s="184">
        <v>-82592.86</v>
      </c>
      <c r="N211" s="184">
        <v>-76217.85</v>
      </c>
      <c r="O211" s="184">
        <v>-39420.06</v>
      </c>
      <c r="P211" s="184">
        <v>-90544.25</v>
      </c>
    </row>
    <row r="212">
      <c r="A212" s="168">
        <v>92.0</v>
      </c>
      <c r="B212" s="168">
        <v>54.0</v>
      </c>
      <c r="C212" s="168">
        <v>58.0</v>
      </c>
      <c r="D212" s="168">
        <v>34.0</v>
      </c>
      <c r="E212" s="168">
        <v>9.0</v>
      </c>
      <c r="F212" s="168">
        <v>9.0</v>
      </c>
      <c r="G212" s="168">
        <v>6.0</v>
      </c>
      <c r="H212" s="183">
        <v>28617.83</v>
      </c>
      <c r="I212" s="184">
        <v>78784.2</v>
      </c>
      <c r="J212" s="168">
        <v>6.0</v>
      </c>
      <c r="K212" s="168">
        <v>1.0</v>
      </c>
      <c r="L212" s="168">
        <v>7.0</v>
      </c>
      <c r="M212" s="184">
        <v>69643.57</v>
      </c>
      <c r="N212" s="184">
        <v>-77026.21</v>
      </c>
      <c r="O212" s="184">
        <v>8608.33</v>
      </c>
      <c r="P212" s="184">
        <v>-3778.19</v>
      </c>
    </row>
    <row r="213">
      <c r="A213" s="168">
        <v>79.0</v>
      </c>
      <c r="B213" s="168">
        <v>97.0</v>
      </c>
      <c r="C213" s="168">
        <v>20.0</v>
      </c>
      <c r="D213" s="168">
        <v>20.0</v>
      </c>
      <c r="E213" s="168">
        <v>9.0</v>
      </c>
      <c r="F213" s="168">
        <v>1.0</v>
      </c>
      <c r="G213" s="168">
        <v>7.0</v>
      </c>
      <c r="H213" s="183">
        <v>62880.79</v>
      </c>
      <c r="I213" s="184">
        <v>79831.4</v>
      </c>
      <c r="J213" s="168">
        <v>1.0</v>
      </c>
      <c r="K213" s="168">
        <v>7.0</v>
      </c>
      <c r="L213" s="168">
        <v>7.0</v>
      </c>
      <c r="M213" s="184">
        <v>-35439.95</v>
      </c>
      <c r="N213" s="184">
        <v>80595.61</v>
      </c>
      <c r="O213" s="184">
        <v>8366.36</v>
      </c>
      <c r="P213" s="184">
        <v>90036.41</v>
      </c>
    </row>
    <row r="214">
      <c r="A214" s="168">
        <v>95.0</v>
      </c>
      <c r="B214" s="168">
        <v>72.0</v>
      </c>
      <c r="C214" s="168">
        <v>11.0</v>
      </c>
      <c r="D214" s="168">
        <v>16.0</v>
      </c>
      <c r="E214" s="168">
        <v>1.0</v>
      </c>
      <c r="F214" s="168">
        <v>6.0</v>
      </c>
      <c r="G214" s="168">
        <v>4.0</v>
      </c>
      <c r="H214" s="183">
        <v>72486.12</v>
      </c>
      <c r="I214" s="184">
        <v>27582.63</v>
      </c>
      <c r="J214" s="168">
        <v>7.0</v>
      </c>
      <c r="K214" s="168">
        <v>1.0</v>
      </c>
      <c r="L214" s="168">
        <v>6.0</v>
      </c>
      <c r="M214" s="184">
        <v>65865.04</v>
      </c>
      <c r="N214" s="184">
        <v>-99094.39</v>
      </c>
      <c r="O214" s="184">
        <v>23385.95</v>
      </c>
      <c r="P214" s="184">
        <v>78523.99</v>
      </c>
    </row>
    <row r="215">
      <c r="A215" s="168">
        <v>37.0</v>
      </c>
      <c r="B215" s="168">
        <v>30.0</v>
      </c>
      <c r="C215" s="168">
        <v>62.0</v>
      </c>
      <c r="D215" s="168">
        <v>58.0</v>
      </c>
      <c r="E215" s="168">
        <v>7.0</v>
      </c>
      <c r="F215" s="168">
        <v>7.0</v>
      </c>
      <c r="G215" s="168">
        <v>5.0</v>
      </c>
      <c r="H215" s="183">
        <v>24909.46</v>
      </c>
      <c r="I215" s="184">
        <v>-33094.74</v>
      </c>
      <c r="J215" s="168">
        <v>7.0</v>
      </c>
      <c r="K215" s="168">
        <v>7.0</v>
      </c>
      <c r="L215" s="168">
        <v>9.0</v>
      </c>
      <c r="M215" s="184">
        <v>-7903.56</v>
      </c>
      <c r="N215" s="184">
        <v>76942.97</v>
      </c>
      <c r="O215" s="184">
        <v>-67302.7</v>
      </c>
      <c r="P215" s="184">
        <v>-59565.06</v>
      </c>
    </row>
    <row r="216">
      <c r="A216" s="168">
        <v>12.0</v>
      </c>
      <c r="B216" s="168">
        <v>27.0</v>
      </c>
      <c r="C216" s="168">
        <v>60.0</v>
      </c>
      <c r="D216" s="168">
        <v>53.0</v>
      </c>
      <c r="E216" s="168">
        <v>8.0</v>
      </c>
      <c r="F216" s="168">
        <v>4.0</v>
      </c>
      <c r="G216" s="168">
        <v>6.0</v>
      </c>
      <c r="H216" s="183">
        <v>-73102.59</v>
      </c>
      <c r="I216" s="184">
        <v>39372.17</v>
      </c>
      <c r="J216" s="168">
        <v>6.0</v>
      </c>
      <c r="K216" s="168">
        <v>7.0</v>
      </c>
      <c r="L216" s="168">
        <v>3.0</v>
      </c>
      <c r="M216" s="184">
        <v>13480.33</v>
      </c>
      <c r="N216" s="184">
        <v>-2582.77</v>
      </c>
      <c r="O216" s="184">
        <v>70943.5</v>
      </c>
      <c r="P216" s="184">
        <v>-41536.24</v>
      </c>
    </row>
    <row r="217">
      <c r="A217" s="168">
        <v>88.0</v>
      </c>
      <c r="B217" s="168">
        <v>16.0</v>
      </c>
      <c r="C217" s="168">
        <v>48.0</v>
      </c>
      <c r="D217" s="168">
        <v>45.0</v>
      </c>
      <c r="E217" s="168">
        <v>1.0</v>
      </c>
      <c r="F217" s="168">
        <v>5.0</v>
      </c>
      <c r="G217" s="168">
        <v>5.0</v>
      </c>
      <c r="H217" s="183">
        <v>-87592.93</v>
      </c>
      <c r="I217" s="184">
        <v>47625.47</v>
      </c>
      <c r="J217" s="168">
        <v>9.0</v>
      </c>
      <c r="K217" s="168">
        <v>2.0</v>
      </c>
      <c r="L217" s="168">
        <v>3.0</v>
      </c>
      <c r="M217" s="184">
        <v>37170.92</v>
      </c>
      <c r="N217" s="184">
        <v>-31144.79</v>
      </c>
      <c r="O217" s="184">
        <v>23986.73</v>
      </c>
      <c r="P217" s="184">
        <v>5041.61</v>
      </c>
    </row>
    <row r="218">
      <c r="A218" s="168">
        <v>48.0</v>
      </c>
      <c r="B218" s="168">
        <v>15.0</v>
      </c>
      <c r="C218" s="168">
        <v>96.0</v>
      </c>
      <c r="D218" s="168">
        <v>79.0</v>
      </c>
      <c r="E218" s="168">
        <v>5.0</v>
      </c>
      <c r="F218" s="168">
        <v>6.0</v>
      </c>
      <c r="G218" s="168">
        <v>7.0</v>
      </c>
      <c r="H218" s="183">
        <v>-53572.78</v>
      </c>
      <c r="I218" s="184">
        <v>-62119.45</v>
      </c>
      <c r="J218" s="168">
        <v>3.0</v>
      </c>
      <c r="K218" s="168">
        <v>9.0</v>
      </c>
      <c r="L218" s="168">
        <v>9.0</v>
      </c>
      <c r="M218" s="184">
        <v>-3856.39</v>
      </c>
      <c r="N218" s="184">
        <v>-54616.92</v>
      </c>
      <c r="O218" s="184">
        <v>37944.8</v>
      </c>
      <c r="P218" s="184">
        <v>7321.06</v>
      </c>
    </row>
    <row r="219">
      <c r="A219" s="168">
        <v>85.0</v>
      </c>
      <c r="B219" s="168">
        <v>55.0</v>
      </c>
      <c r="C219" s="168">
        <v>83.0</v>
      </c>
      <c r="D219" s="168">
        <v>72.0</v>
      </c>
      <c r="E219" s="168">
        <v>3.0</v>
      </c>
      <c r="F219" s="168">
        <v>5.0</v>
      </c>
      <c r="G219" s="168">
        <v>1.0</v>
      </c>
      <c r="H219" s="183">
        <v>-397.65</v>
      </c>
      <c r="I219" s="184">
        <v>-31033.88</v>
      </c>
      <c r="J219" s="168">
        <v>3.0</v>
      </c>
      <c r="K219" s="168">
        <v>4.0</v>
      </c>
      <c r="L219" s="168">
        <v>2.0</v>
      </c>
      <c r="M219" s="184">
        <v>59906.5</v>
      </c>
      <c r="N219" s="184">
        <v>48301.98</v>
      </c>
      <c r="O219" s="184">
        <v>17143.69</v>
      </c>
      <c r="P219" s="184">
        <v>24323.08</v>
      </c>
    </row>
    <row r="220">
      <c r="A220" s="168">
        <v>42.0</v>
      </c>
      <c r="B220" s="168">
        <v>38.0</v>
      </c>
      <c r="C220" s="168">
        <v>15.0</v>
      </c>
      <c r="D220" s="168">
        <v>71.0</v>
      </c>
      <c r="E220" s="168">
        <v>4.0</v>
      </c>
      <c r="F220" s="168">
        <v>7.0</v>
      </c>
      <c r="G220" s="168">
        <v>6.0</v>
      </c>
      <c r="H220" s="183">
        <v>57837.68</v>
      </c>
      <c r="I220" s="184">
        <v>3263.7</v>
      </c>
      <c r="J220" s="168">
        <v>9.0</v>
      </c>
      <c r="K220" s="168">
        <v>3.0</v>
      </c>
      <c r="L220" s="168">
        <v>5.0</v>
      </c>
      <c r="M220" s="184">
        <v>38222.81</v>
      </c>
      <c r="N220" s="184">
        <v>-43547.37</v>
      </c>
      <c r="O220" s="184">
        <v>28004.55</v>
      </c>
      <c r="P220" s="184">
        <v>34229.52</v>
      </c>
    </row>
    <row r="221">
      <c r="A221" s="168">
        <v>95.0</v>
      </c>
      <c r="B221" s="168">
        <v>64.0</v>
      </c>
      <c r="C221" s="168">
        <v>79.0</v>
      </c>
      <c r="D221" s="168">
        <v>15.0</v>
      </c>
      <c r="E221" s="168">
        <v>6.0</v>
      </c>
      <c r="F221" s="168">
        <v>1.0</v>
      </c>
      <c r="G221" s="168">
        <v>7.0</v>
      </c>
      <c r="H221" s="183">
        <v>44653.39</v>
      </c>
      <c r="I221" s="184">
        <v>7240.65</v>
      </c>
      <c r="J221" s="168">
        <v>2.0</v>
      </c>
      <c r="K221" s="168">
        <v>1.0</v>
      </c>
      <c r="L221" s="168">
        <v>3.0</v>
      </c>
      <c r="M221" s="184">
        <v>-88848.1</v>
      </c>
      <c r="N221" s="184">
        <v>66237.82</v>
      </c>
      <c r="O221" s="184">
        <v>-44839.79</v>
      </c>
      <c r="P221" s="184">
        <v>36598.1</v>
      </c>
    </row>
    <row r="222">
      <c r="A222" s="168">
        <v>70.0</v>
      </c>
      <c r="B222" s="168">
        <v>25.0</v>
      </c>
      <c r="C222" s="168">
        <v>25.0</v>
      </c>
      <c r="D222" s="168">
        <v>58.0</v>
      </c>
      <c r="E222" s="168">
        <v>7.0</v>
      </c>
      <c r="F222" s="168">
        <v>6.0</v>
      </c>
      <c r="G222" s="168">
        <v>6.0</v>
      </c>
      <c r="H222" s="183">
        <v>-91480.48</v>
      </c>
      <c r="I222" s="184">
        <v>68583.57</v>
      </c>
      <c r="J222" s="168">
        <v>5.0</v>
      </c>
      <c r="K222" s="168">
        <v>1.0</v>
      </c>
      <c r="L222" s="168">
        <v>1.0</v>
      </c>
      <c r="M222" s="184">
        <v>-33692.28</v>
      </c>
      <c r="N222" s="184">
        <v>39609.31</v>
      </c>
      <c r="O222" s="184">
        <v>37317.55</v>
      </c>
      <c r="P222" s="184">
        <v>-64711.4</v>
      </c>
    </row>
    <row r="223">
      <c r="A223" s="168">
        <v>76.0</v>
      </c>
      <c r="B223" s="168">
        <v>60.0</v>
      </c>
      <c r="C223" s="168">
        <v>14.0</v>
      </c>
      <c r="D223" s="168">
        <v>12.0</v>
      </c>
      <c r="E223" s="168">
        <v>1.0</v>
      </c>
      <c r="F223" s="168">
        <v>7.0</v>
      </c>
      <c r="G223" s="168">
        <v>8.0</v>
      </c>
      <c r="H223" s="183">
        <v>45671.93</v>
      </c>
      <c r="I223" s="184">
        <v>-55348.68</v>
      </c>
      <c r="J223" s="168">
        <v>3.0</v>
      </c>
      <c r="K223" s="168">
        <v>4.0</v>
      </c>
      <c r="L223" s="168">
        <v>3.0</v>
      </c>
      <c r="M223" s="184">
        <v>-26277.25</v>
      </c>
      <c r="N223" s="184">
        <v>74249.07</v>
      </c>
      <c r="O223" s="184">
        <v>46584.33</v>
      </c>
      <c r="P223" s="184">
        <v>19002.42</v>
      </c>
    </row>
    <row r="224">
      <c r="A224" s="168">
        <v>80.0</v>
      </c>
      <c r="B224" s="168">
        <v>83.0</v>
      </c>
      <c r="C224" s="168">
        <v>16.0</v>
      </c>
      <c r="D224" s="168">
        <v>71.0</v>
      </c>
      <c r="E224" s="168">
        <v>6.0</v>
      </c>
      <c r="F224" s="168">
        <v>6.0</v>
      </c>
      <c r="G224" s="168">
        <v>2.0</v>
      </c>
      <c r="H224" s="183">
        <v>-30530.35</v>
      </c>
      <c r="I224" s="184">
        <v>25242.68</v>
      </c>
      <c r="J224" s="168">
        <v>1.0</v>
      </c>
      <c r="K224" s="168">
        <v>9.0</v>
      </c>
      <c r="L224" s="168">
        <v>6.0</v>
      </c>
      <c r="M224" s="184">
        <v>-94791.79</v>
      </c>
      <c r="N224" s="184">
        <v>73272.92</v>
      </c>
      <c r="O224" s="184">
        <v>38698.25</v>
      </c>
      <c r="P224" s="184">
        <v>-4968.84</v>
      </c>
    </row>
    <row r="225">
      <c r="A225" s="168">
        <v>55.0</v>
      </c>
      <c r="B225" s="168">
        <v>88.0</v>
      </c>
      <c r="C225" s="168">
        <v>67.0</v>
      </c>
      <c r="D225" s="168">
        <v>91.0</v>
      </c>
      <c r="E225" s="168">
        <v>2.0</v>
      </c>
      <c r="F225" s="168">
        <v>8.0</v>
      </c>
      <c r="G225" s="168">
        <v>7.0</v>
      </c>
      <c r="H225" s="183">
        <v>76987.36</v>
      </c>
      <c r="I225" s="184">
        <v>-32966.62</v>
      </c>
      <c r="J225" s="168">
        <v>3.0</v>
      </c>
      <c r="K225" s="168">
        <v>6.0</v>
      </c>
      <c r="L225" s="168">
        <v>7.0</v>
      </c>
      <c r="M225" s="184">
        <v>-39991.32</v>
      </c>
      <c r="N225" s="184">
        <v>85818.73</v>
      </c>
      <c r="O225" s="184">
        <v>-63943.78</v>
      </c>
      <c r="P225" s="184">
        <v>-6871.88</v>
      </c>
    </row>
    <row r="226">
      <c r="A226" s="168">
        <v>58.0</v>
      </c>
      <c r="B226" s="168">
        <v>10.0</v>
      </c>
      <c r="C226" s="168">
        <v>96.0</v>
      </c>
      <c r="D226" s="168">
        <v>81.0</v>
      </c>
      <c r="E226" s="168">
        <v>1.0</v>
      </c>
      <c r="F226" s="168">
        <v>2.0</v>
      </c>
      <c r="G226" s="168">
        <v>3.0</v>
      </c>
      <c r="H226" s="183">
        <v>-5925.37</v>
      </c>
      <c r="I226" s="184">
        <v>-10281.71</v>
      </c>
      <c r="J226" s="168">
        <v>6.0</v>
      </c>
      <c r="K226" s="168">
        <v>8.0</v>
      </c>
      <c r="L226" s="168">
        <v>2.0</v>
      </c>
      <c r="M226" s="184">
        <v>-43663.31</v>
      </c>
      <c r="N226" s="184">
        <v>-72864.22</v>
      </c>
      <c r="O226" s="184">
        <v>71969.88</v>
      </c>
      <c r="P226" s="184">
        <v>-32552.63</v>
      </c>
    </row>
    <row r="227">
      <c r="A227" s="168">
        <v>42.0</v>
      </c>
      <c r="B227" s="168">
        <v>72.0</v>
      </c>
      <c r="C227" s="168">
        <v>99.0</v>
      </c>
      <c r="D227" s="168">
        <v>27.0</v>
      </c>
      <c r="E227" s="168">
        <v>2.0</v>
      </c>
      <c r="F227" s="168">
        <v>7.0</v>
      </c>
      <c r="G227" s="168">
        <v>1.0</v>
      </c>
      <c r="H227" s="183">
        <v>-52690.59</v>
      </c>
      <c r="I227" s="184">
        <v>-34119.64</v>
      </c>
      <c r="J227" s="168">
        <v>7.0</v>
      </c>
      <c r="K227" s="168">
        <v>7.0</v>
      </c>
      <c r="L227" s="168">
        <v>8.0</v>
      </c>
      <c r="M227" s="184">
        <v>21429.78</v>
      </c>
      <c r="N227" s="184">
        <v>-21742.27</v>
      </c>
      <c r="O227" s="184">
        <v>71616.17</v>
      </c>
      <c r="P227" s="184">
        <v>-48012.2</v>
      </c>
    </row>
    <row r="228">
      <c r="A228" s="168">
        <v>31.0</v>
      </c>
      <c r="B228" s="168">
        <v>89.0</v>
      </c>
      <c r="C228" s="168">
        <v>67.0</v>
      </c>
      <c r="D228" s="168">
        <v>89.0</v>
      </c>
      <c r="E228" s="168">
        <v>7.0</v>
      </c>
      <c r="F228" s="168">
        <v>3.0</v>
      </c>
      <c r="G228" s="168">
        <v>4.0</v>
      </c>
      <c r="H228" s="183">
        <v>89049.41</v>
      </c>
      <c r="I228" s="184">
        <v>66115.94</v>
      </c>
      <c r="J228" s="168">
        <v>2.0</v>
      </c>
      <c r="K228" s="168">
        <v>8.0</v>
      </c>
      <c r="L228" s="168">
        <v>8.0</v>
      </c>
      <c r="M228" s="184">
        <v>-81487.01</v>
      </c>
      <c r="N228" s="184">
        <v>60642.49</v>
      </c>
      <c r="O228" s="184">
        <v>-99920.23</v>
      </c>
      <c r="P228" s="184">
        <v>-4087.73</v>
      </c>
    </row>
    <row r="229">
      <c r="A229" s="168">
        <v>13.0</v>
      </c>
      <c r="B229" s="168">
        <v>39.0</v>
      </c>
      <c r="C229" s="168">
        <v>94.0</v>
      </c>
      <c r="D229" s="168">
        <v>86.0</v>
      </c>
      <c r="E229" s="168">
        <v>6.0</v>
      </c>
      <c r="F229" s="168">
        <v>1.0</v>
      </c>
      <c r="G229" s="168">
        <v>5.0</v>
      </c>
      <c r="H229" s="183">
        <v>36324.17</v>
      </c>
      <c r="I229" s="184">
        <v>56300.69</v>
      </c>
      <c r="J229" s="168">
        <v>8.0</v>
      </c>
      <c r="K229" s="168">
        <v>1.0</v>
      </c>
      <c r="L229" s="168">
        <v>7.0</v>
      </c>
      <c r="M229" s="184">
        <v>68435.28</v>
      </c>
      <c r="N229" s="184">
        <v>40529.49</v>
      </c>
      <c r="O229" s="184">
        <v>-4295.4</v>
      </c>
      <c r="P229" s="184">
        <v>66639.06</v>
      </c>
    </row>
    <row r="230">
      <c r="A230" s="168">
        <v>49.0</v>
      </c>
      <c r="B230" s="168">
        <v>64.0</v>
      </c>
      <c r="C230" s="168">
        <v>41.0</v>
      </c>
      <c r="D230" s="168">
        <v>41.0</v>
      </c>
      <c r="E230" s="168">
        <v>9.0</v>
      </c>
      <c r="F230" s="168">
        <v>4.0</v>
      </c>
      <c r="G230" s="168">
        <v>1.0</v>
      </c>
      <c r="H230" s="183">
        <v>95727.58</v>
      </c>
      <c r="I230" s="184">
        <v>-1232.67</v>
      </c>
      <c r="J230" s="168">
        <v>8.0</v>
      </c>
      <c r="K230" s="168">
        <v>5.0</v>
      </c>
      <c r="L230" s="168">
        <v>1.0</v>
      </c>
      <c r="M230" s="184">
        <v>45414.24</v>
      </c>
      <c r="N230" s="184">
        <v>-77690.54</v>
      </c>
      <c r="O230" s="184">
        <v>-28775.39</v>
      </c>
      <c r="P230" s="184">
        <v>37068.37</v>
      </c>
    </row>
    <row r="231">
      <c r="A231" s="168">
        <v>62.0</v>
      </c>
      <c r="B231" s="168">
        <v>82.0</v>
      </c>
      <c r="C231" s="168">
        <v>55.0</v>
      </c>
      <c r="D231" s="168">
        <v>63.0</v>
      </c>
      <c r="E231" s="168">
        <v>7.0</v>
      </c>
      <c r="F231" s="168">
        <v>5.0</v>
      </c>
      <c r="G231" s="168">
        <v>2.0</v>
      </c>
      <c r="H231" s="183">
        <v>-96584.68</v>
      </c>
      <c r="I231" s="184">
        <v>51260.7</v>
      </c>
      <c r="J231" s="168">
        <v>7.0</v>
      </c>
      <c r="K231" s="168">
        <v>2.0</v>
      </c>
      <c r="L231" s="168">
        <v>6.0</v>
      </c>
      <c r="M231" s="184">
        <v>57008.75</v>
      </c>
      <c r="N231" s="184">
        <v>-99968.72</v>
      </c>
      <c r="O231" s="184">
        <v>-43928.17</v>
      </c>
      <c r="P231" s="184">
        <v>-45802.73</v>
      </c>
    </row>
    <row r="232">
      <c r="A232" s="168">
        <v>16.0</v>
      </c>
      <c r="B232" s="168">
        <v>63.0</v>
      </c>
      <c r="C232" s="168">
        <v>10.0</v>
      </c>
      <c r="D232" s="168">
        <v>37.0</v>
      </c>
      <c r="E232" s="168">
        <v>9.0</v>
      </c>
      <c r="F232" s="168">
        <v>1.0</v>
      </c>
      <c r="G232" s="168">
        <v>8.0</v>
      </c>
      <c r="H232" s="183">
        <v>16327.85</v>
      </c>
      <c r="I232" s="184">
        <v>-58712.38</v>
      </c>
      <c r="J232" s="168">
        <v>1.0</v>
      </c>
      <c r="K232" s="168">
        <v>4.0</v>
      </c>
      <c r="L232" s="168">
        <v>6.0</v>
      </c>
      <c r="M232" s="184">
        <v>99024.02</v>
      </c>
      <c r="N232" s="184">
        <v>63907.36</v>
      </c>
      <c r="O232" s="184">
        <v>-6221.13</v>
      </c>
      <c r="P232" s="184">
        <v>29395.82</v>
      </c>
    </row>
    <row r="233">
      <c r="A233" s="168">
        <v>83.0</v>
      </c>
      <c r="B233" s="168">
        <v>40.0</v>
      </c>
      <c r="C233" s="168">
        <v>43.0</v>
      </c>
      <c r="D233" s="168">
        <v>27.0</v>
      </c>
      <c r="E233" s="168">
        <v>6.0</v>
      </c>
      <c r="F233" s="168">
        <v>2.0</v>
      </c>
      <c r="G233" s="168">
        <v>3.0</v>
      </c>
      <c r="H233" s="183">
        <v>-49493.27</v>
      </c>
      <c r="I233" s="184">
        <v>-40298.96</v>
      </c>
      <c r="J233" s="168">
        <v>6.0</v>
      </c>
      <c r="K233" s="168">
        <v>2.0</v>
      </c>
      <c r="L233" s="168">
        <v>5.0</v>
      </c>
      <c r="M233" s="184">
        <v>-53460.83</v>
      </c>
      <c r="N233" s="184">
        <v>-84885.38</v>
      </c>
      <c r="O233" s="184">
        <v>33268.67</v>
      </c>
      <c r="P233" s="184">
        <v>-34102.0</v>
      </c>
    </row>
    <row r="234">
      <c r="A234" s="168">
        <v>46.0</v>
      </c>
      <c r="B234" s="168">
        <v>26.0</v>
      </c>
      <c r="C234" s="168">
        <v>54.0</v>
      </c>
      <c r="D234" s="168">
        <v>50.0</v>
      </c>
      <c r="E234" s="168">
        <v>1.0</v>
      </c>
      <c r="F234" s="168">
        <v>8.0</v>
      </c>
      <c r="G234" s="168">
        <v>9.0</v>
      </c>
      <c r="H234" s="183">
        <v>-41325.6</v>
      </c>
      <c r="I234" s="184">
        <v>52161.62</v>
      </c>
      <c r="J234" s="168">
        <v>6.0</v>
      </c>
      <c r="K234" s="168">
        <v>9.0</v>
      </c>
      <c r="L234" s="168">
        <v>9.0</v>
      </c>
      <c r="M234" s="184">
        <v>-6021.37</v>
      </c>
      <c r="N234" s="184">
        <v>1096.03</v>
      </c>
      <c r="O234" s="184">
        <v>82205.52</v>
      </c>
      <c r="P234" s="184">
        <v>-2658.22</v>
      </c>
    </row>
    <row r="235">
      <c r="A235" s="168">
        <v>69.0</v>
      </c>
      <c r="B235" s="168">
        <v>80.0</v>
      </c>
      <c r="C235" s="168">
        <v>49.0</v>
      </c>
      <c r="D235" s="168">
        <v>64.0</v>
      </c>
      <c r="E235" s="168">
        <v>8.0</v>
      </c>
      <c r="F235" s="168">
        <v>3.0</v>
      </c>
      <c r="G235" s="168">
        <v>8.0</v>
      </c>
      <c r="H235" s="183">
        <v>-20295.98</v>
      </c>
      <c r="I235" s="184">
        <v>-41338.48</v>
      </c>
      <c r="J235" s="168">
        <v>5.0</v>
      </c>
      <c r="K235" s="168">
        <v>7.0</v>
      </c>
      <c r="L235" s="168">
        <v>4.0</v>
      </c>
      <c r="M235" s="184">
        <v>58223.93</v>
      </c>
      <c r="N235" s="184">
        <v>58392.73</v>
      </c>
      <c r="O235" s="184">
        <v>-36127.19</v>
      </c>
      <c r="P235" s="184">
        <v>-27646.79</v>
      </c>
    </row>
    <row r="236">
      <c r="A236" s="168">
        <v>77.0</v>
      </c>
      <c r="B236" s="168">
        <v>73.0</v>
      </c>
      <c r="C236" s="168">
        <v>77.0</v>
      </c>
      <c r="D236" s="168">
        <v>23.0</v>
      </c>
      <c r="E236" s="168">
        <v>7.0</v>
      </c>
      <c r="F236" s="168">
        <v>9.0</v>
      </c>
      <c r="G236" s="168">
        <v>9.0</v>
      </c>
      <c r="H236" s="183">
        <v>42074.56</v>
      </c>
      <c r="I236" s="184">
        <v>-48592.44</v>
      </c>
      <c r="J236" s="168">
        <v>9.0</v>
      </c>
      <c r="K236" s="168">
        <v>5.0</v>
      </c>
      <c r="L236" s="168">
        <v>3.0</v>
      </c>
      <c r="M236" s="184">
        <v>-42254.42</v>
      </c>
      <c r="N236" s="184">
        <v>45174.61</v>
      </c>
      <c r="O236" s="184">
        <v>-26527.2</v>
      </c>
      <c r="P236" s="184">
        <v>-46280.03</v>
      </c>
    </row>
    <row r="237">
      <c r="A237" s="168">
        <v>43.0</v>
      </c>
      <c r="B237" s="168">
        <v>78.0</v>
      </c>
      <c r="C237" s="168">
        <v>92.0</v>
      </c>
      <c r="D237" s="168">
        <v>47.0</v>
      </c>
      <c r="E237" s="168">
        <v>9.0</v>
      </c>
      <c r="F237" s="168">
        <v>8.0</v>
      </c>
      <c r="G237" s="168">
        <v>5.0</v>
      </c>
      <c r="H237" s="183">
        <v>-55713.46</v>
      </c>
      <c r="I237" s="184">
        <v>24086.86</v>
      </c>
      <c r="J237" s="168">
        <v>4.0</v>
      </c>
      <c r="K237" s="168">
        <v>1.0</v>
      </c>
      <c r="L237" s="168">
        <v>2.0</v>
      </c>
      <c r="M237" s="184">
        <v>-26821.19</v>
      </c>
      <c r="N237" s="184">
        <v>80948.34</v>
      </c>
      <c r="O237" s="184">
        <v>6748.9</v>
      </c>
      <c r="P237" s="184">
        <v>-82433.0</v>
      </c>
    </row>
    <row r="238">
      <c r="A238" s="168">
        <v>23.0</v>
      </c>
      <c r="B238" s="168">
        <v>19.0</v>
      </c>
      <c r="C238" s="168">
        <v>33.0</v>
      </c>
      <c r="D238" s="168">
        <v>78.0</v>
      </c>
      <c r="E238" s="168">
        <v>3.0</v>
      </c>
      <c r="F238" s="168">
        <v>9.0</v>
      </c>
      <c r="G238" s="168">
        <v>3.0</v>
      </c>
      <c r="H238" s="183">
        <v>76274.54</v>
      </c>
      <c r="I238" s="184">
        <v>18264.51</v>
      </c>
      <c r="J238" s="168">
        <v>3.0</v>
      </c>
      <c r="K238" s="168">
        <v>8.0</v>
      </c>
      <c r="L238" s="168">
        <v>2.0</v>
      </c>
      <c r="M238" s="184">
        <v>8392.1</v>
      </c>
      <c r="N238" s="184">
        <v>98906.62</v>
      </c>
      <c r="O238" s="184">
        <v>-33236.61</v>
      </c>
      <c r="P238" s="184">
        <v>1321.06</v>
      </c>
    </row>
    <row r="239">
      <c r="A239" s="168">
        <v>16.0</v>
      </c>
      <c r="B239" s="168">
        <v>97.0</v>
      </c>
      <c r="C239" s="168">
        <v>10.0</v>
      </c>
      <c r="D239" s="168">
        <v>65.0</v>
      </c>
      <c r="E239" s="168">
        <v>3.0</v>
      </c>
      <c r="F239" s="168">
        <v>5.0</v>
      </c>
      <c r="G239" s="168">
        <v>6.0</v>
      </c>
      <c r="H239" s="183">
        <v>-84716.13</v>
      </c>
      <c r="I239" s="184">
        <v>-25845.15</v>
      </c>
      <c r="J239" s="168">
        <v>2.0</v>
      </c>
      <c r="K239" s="168">
        <v>3.0</v>
      </c>
      <c r="L239" s="168">
        <v>4.0</v>
      </c>
      <c r="M239" s="184">
        <v>67351.41</v>
      </c>
      <c r="N239" s="184">
        <v>20594.29</v>
      </c>
      <c r="O239" s="184">
        <v>-96928.12</v>
      </c>
      <c r="P239" s="184">
        <v>29504.49</v>
      </c>
    </row>
    <row r="240">
      <c r="A240" s="168">
        <v>97.0</v>
      </c>
      <c r="B240" s="168">
        <v>65.0</v>
      </c>
      <c r="C240" s="168">
        <v>69.0</v>
      </c>
      <c r="D240" s="168">
        <v>43.0</v>
      </c>
      <c r="E240" s="168">
        <v>4.0</v>
      </c>
      <c r="F240" s="168">
        <v>3.0</v>
      </c>
      <c r="G240" s="168">
        <v>1.0</v>
      </c>
      <c r="H240" s="183">
        <v>-78266.01</v>
      </c>
      <c r="I240" s="184">
        <v>-19506.8</v>
      </c>
      <c r="J240" s="168">
        <v>2.0</v>
      </c>
      <c r="K240" s="168">
        <v>2.0</v>
      </c>
      <c r="L240" s="168">
        <v>1.0</v>
      </c>
      <c r="M240" s="184">
        <v>-95510.84</v>
      </c>
      <c r="N240" s="184">
        <v>-51187.32</v>
      </c>
      <c r="O240" s="184">
        <v>48802.21</v>
      </c>
      <c r="P240" s="184">
        <v>-95962.42</v>
      </c>
    </row>
    <row r="241">
      <c r="A241" s="168">
        <v>77.0</v>
      </c>
      <c r="B241" s="168">
        <v>12.0</v>
      </c>
      <c r="C241" s="168">
        <v>58.0</v>
      </c>
      <c r="D241" s="168">
        <v>46.0</v>
      </c>
      <c r="E241" s="168">
        <v>4.0</v>
      </c>
      <c r="F241" s="168">
        <v>6.0</v>
      </c>
      <c r="G241" s="168">
        <v>1.0</v>
      </c>
      <c r="H241" s="183">
        <v>-20103.72</v>
      </c>
      <c r="I241" s="184">
        <v>-84650.14</v>
      </c>
      <c r="J241" s="168">
        <v>4.0</v>
      </c>
      <c r="K241" s="168">
        <v>9.0</v>
      </c>
      <c r="L241" s="168">
        <v>7.0</v>
      </c>
      <c r="M241" s="184">
        <v>75247.44</v>
      </c>
      <c r="N241" s="184">
        <v>-20569.91</v>
      </c>
      <c r="O241" s="184">
        <v>-9916.43</v>
      </c>
      <c r="P241" s="184">
        <v>67394.81</v>
      </c>
    </row>
    <row r="242">
      <c r="A242" s="168">
        <v>94.0</v>
      </c>
      <c r="B242" s="168">
        <v>50.0</v>
      </c>
      <c r="C242" s="168">
        <v>85.0</v>
      </c>
      <c r="D242" s="168">
        <v>45.0</v>
      </c>
      <c r="E242" s="168">
        <v>7.0</v>
      </c>
      <c r="F242" s="168">
        <v>1.0</v>
      </c>
      <c r="G242" s="168">
        <v>4.0</v>
      </c>
      <c r="H242" s="183">
        <v>50501.14</v>
      </c>
      <c r="I242" s="184">
        <v>-74330.32</v>
      </c>
      <c r="J242" s="168">
        <v>1.0</v>
      </c>
      <c r="K242" s="168">
        <v>6.0</v>
      </c>
      <c r="L242" s="168">
        <v>8.0</v>
      </c>
      <c r="M242" s="184">
        <v>86931.44</v>
      </c>
      <c r="N242" s="184">
        <v>8850.5</v>
      </c>
      <c r="O242" s="184">
        <v>25823.07</v>
      </c>
      <c r="P242" s="184">
        <v>-90843.59</v>
      </c>
    </row>
    <row r="243">
      <c r="A243" s="168">
        <v>79.0</v>
      </c>
      <c r="B243" s="168">
        <v>47.0</v>
      </c>
      <c r="C243" s="168">
        <v>89.0</v>
      </c>
      <c r="D243" s="168">
        <v>94.0</v>
      </c>
      <c r="E243" s="168">
        <v>4.0</v>
      </c>
      <c r="F243" s="168">
        <v>1.0</v>
      </c>
      <c r="G243" s="168">
        <v>7.0</v>
      </c>
      <c r="H243" s="183">
        <v>58936.61</v>
      </c>
      <c r="I243" s="184">
        <v>-4761.17</v>
      </c>
      <c r="J243" s="168">
        <v>7.0</v>
      </c>
      <c r="K243" s="168">
        <v>8.0</v>
      </c>
      <c r="L243" s="168">
        <v>7.0</v>
      </c>
      <c r="M243" s="184">
        <v>-42366.83</v>
      </c>
      <c r="N243" s="184">
        <v>15723.3</v>
      </c>
      <c r="O243" s="184">
        <v>83300.23</v>
      </c>
      <c r="P243" s="184">
        <v>-84069.88</v>
      </c>
    </row>
    <row r="244">
      <c r="A244" s="168">
        <v>83.0</v>
      </c>
      <c r="B244" s="168">
        <v>71.0</v>
      </c>
      <c r="C244" s="168">
        <v>26.0</v>
      </c>
      <c r="D244" s="168">
        <v>53.0</v>
      </c>
      <c r="E244" s="168">
        <v>9.0</v>
      </c>
      <c r="F244" s="168">
        <v>4.0</v>
      </c>
      <c r="G244" s="168">
        <v>8.0</v>
      </c>
      <c r="H244" s="183">
        <v>59405.43</v>
      </c>
      <c r="I244" s="184">
        <v>-3614.42</v>
      </c>
      <c r="J244" s="168">
        <v>8.0</v>
      </c>
      <c r="K244" s="168">
        <v>9.0</v>
      </c>
      <c r="L244" s="168">
        <v>4.0</v>
      </c>
      <c r="M244" s="184">
        <v>-92235.05</v>
      </c>
      <c r="N244" s="184">
        <v>99251.14</v>
      </c>
      <c r="O244" s="184">
        <v>-76511.13</v>
      </c>
      <c r="P244" s="184">
        <v>47743.89</v>
      </c>
    </row>
    <row r="245">
      <c r="A245" s="168">
        <v>21.0</v>
      </c>
      <c r="B245" s="168">
        <v>38.0</v>
      </c>
      <c r="C245" s="168">
        <v>41.0</v>
      </c>
      <c r="D245" s="168">
        <v>78.0</v>
      </c>
      <c r="E245" s="168">
        <v>1.0</v>
      </c>
      <c r="F245" s="168">
        <v>7.0</v>
      </c>
      <c r="G245" s="168">
        <v>4.0</v>
      </c>
      <c r="H245" s="183">
        <v>-84123.3</v>
      </c>
      <c r="I245" s="184">
        <v>-20132.57</v>
      </c>
      <c r="J245" s="168">
        <v>7.0</v>
      </c>
      <c r="K245" s="168">
        <v>3.0</v>
      </c>
      <c r="L245" s="168">
        <v>4.0</v>
      </c>
      <c r="M245" s="184">
        <v>56371.87</v>
      </c>
      <c r="N245" s="184">
        <v>56849.78</v>
      </c>
      <c r="O245" s="184">
        <v>-53609.57</v>
      </c>
      <c r="P245" s="184">
        <v>-71566.22</v>
      </c>
    </row>
    <row r="246">
      <c r="A246" s="168">
        <v>45.0</v>
      </c>
      <c r="B246" s="168">
        <v>68.0</v>
      </c>
      <c r="C246" s="168">
        <v>50.0</v>
      </c>
      <c r="D246" s="168">
        <v>90.0</v>
      </c>
      <c r="E246" s="168">
        <v>3.0</v>
      </c>
      <c r="F246" s="168">
        <v>8.0</v>
      </c>
      <c r="G246" s="168">
        <v>9.0</v>
      </c>
      <c r="H246" s="183">
        <v>3591.76</v>
      </c>
      <c r="I246" s="184">
        <v>-23012.78</v>
      </c>
      <c r="J246" s="168">
        <v>4.0</v>
      </c>
      <c r="K246" s="168">
        <v>3.0</v>
      </c>
      <c r="L246" s="168">
        <v>1.0</v>
      </c>
      <c r="M246" s="184">
        <v>-19390.01</v>
      </c>
      <c r="N246" s="184">
        <v>24101.94</v>
      </c>
      <c r="O246" s="184">
        <v>-61088.36</v>
      </c>
      <c r="P246" s="184">
        <v>10421.7</v>
      </c>
    </row>
    <row r="247">
      <c r="A247" s="168">
        <v>39.0</v>
      </c>
      <c r="B247" s="168">
        <v>84.0</v>
      </c>
      <c r="C247" s="168">
        <v>55.0</v>
      </c>
      <c r="D247" s="168">
        <v>78.0</v>
      </c>
      <c r="E247" s="168">
        <v>7.0</v>
      </c>
      <c r="F247" s="168">
        <v>4.0</v>
      </c>
      <c r="G247" s="168">
        <v>1.0</v>
      </c>
      <c r="H247" s="183">
        <v>-5182.56</v>
      </c>
      <c r="I247" s="184">
        <v>91368.19</v>
      </c>
      <c r="J247" s="168">
        <v>4.0</v>
      </c>
      <c r="K247" s="168">
        <v>7.0</v>
      </c>
      <c r="L247" s="168">
        <v>6.0</v>
      </c>
      <c r="M247" s="184">
        <v>66438.61</v>
      </c>
      <c r="N247" s="184">
        <v>-73721.36</v>
      </c>
      <c r="O247" s="184">
        <v>50890.47</v>
      </c>
      <c r="P247" s="184">
        <v>31162.03</v>
      </c>
    </row>
    <row r="248">
      <c r="A248" s="168">
        <v>11.0</v>
      </c>
      <c r="B248" s="168">
        <v>87.0</v>
      </c>
      <c r="C248" s="168">
        <v>13.0</v>
      </c>
      <c r="D248" s="168">
        <v>41.0</v>
      </c>
      <c r="E248" s="168">
        <v>1.0</v>
      </c>
      <c r="F248" s="168">
        <v>9.0</v>
      </c>
      <c r="G248" s="168">
        <v>6.0</v>
      </c>
      <c r="H248" s="183">
        <v>54106.68</v>
      </c>
      <c r="I248" s="184">
        <v>35003.14</v>
      </c>
      <c r="J248" s="168">
        <v>1.0</v>
      </c>
      <c r="K248" s="168">
        <v>6.0</v>
      </c>
      <c r="L248" s="168">
        <v>2.0</v>
      </c>
      <c r="M248" s="184">
        <v>-79861.91</v>
      </c>
      <c r="N248" s="184">
        <v>-48857.12</v>
      </c>
      <c r="O248" s="184">
        <v>15262.18</v>
      </c>
      <c r="P248" s="184">
        <v>78122.01</v>
      </c>
    </row>
    <row r="249">
      <c r="A249" s="168">
        <v>39.0</v>
      </c>
      <c r="B249" s="168">
        <v>42.0</v>
      </c>
      <c r="C249" s="168">
        <v>77.0</v>
      </c>
      <c r="D249" s="168">
        <v>37.0</v>
      </c>
      <c r="E249" s="168">
        <v>2.0</v>
      </c>
      <c r="F249" s="168">
        <v>1.0</v>
      </c>
      <c r="G249" s="168">
        <v>7.0</v>
      </c>
      <c r="H249" s="183">
        <v>-38834.46</v>
      </c>
      <c r="I249" s="184">
        <v>29492.96</v>
      </c>
      <c r="J249" s="168">
        <v>6.0</v>
      </c>
      <c r="K249" s="168">
        <v>1.0</v>
      </c>
      <c r="L249" s="168">
        <v>6.0</v>
      </c>
      <c r="M249" s="184">
        <v>-22910.93</v>
      </c>
      <c r="N249" s="184">
        <v>25300.62</v>
      </c>
      <c r="O249" s="184">
        <v>40684.24</v>
      </c>
      <c r="P249" s="184">
        <v>54986.12</v>
      </c>
    </row>
    <row r="250">
      <c r="A250" s="168">
        <v>84.0</v>
      </c>
      <c r="B250" s="168">
        <v>26.0</v>
      </c>
      <c r="C250" s="168">
        <v>25.0</v>
      </c>
      <c r="D250" s="168">
        <v>30.0</v>
      </c>
      <c r="E250" s="168">
        <v>8.0</v>
      </c>
      <c r="F250" s="168">
        <v>6.0</v>
      </c>
      <c r="G250" s="168">
        <v>6.0</v>
      </c>
      <c r="H250" s="183">
        <v>-18571.8</v>
      </c>
      <c r="I250" s="184">
        <v>-18956.79</v>
      </c>
      <c r="J250" s="168">
        <v>2.0</v>
      </c>
      <c r="K250" s="168">
        <v>8.0</v>
      </c>
      <c r="L250" s="168">
        <v>5.0</v>
      </c>
      <c r="M250" s="184">
        <v>-48483.29</v>
      </c>
      <c r="N250" s="184">
        <v>-58359.24</v>
      </c>
      <c r="O250" s="184">
        <v>28548.37</v>
      </c>
      <c r="P250" s="184">
        <v>-47348.43</v>
      </c>
    </row>
    <row r="251">
      <c r="A251" s="168">
        <v>55.0</v>
      </c>
      <c r="B251" s="168">
        <v>62.0</v>
      </c>
      <c r="C251" s="168">
        <v>23.0</v>
      </c>
      <c r="D251" s="168">
        <v>46.0</v>
      </c>
      <c r="E251" s="168">
        <v>3.0</v>
      </c>
      <c r="F251" s="168">
        <v>7.0</v>
      </c>
      <c r="G251" s="168">
        <v>7.0</v>
      </c>
      <c r="H251" s="183">
        <v>12874.17</v>
      </c>
      <c r="I251" s="184">
        <v>-44116.81</v>
      </c>
      <c r="J251" s="168">
        <v>6.0</v>
      </c>
      <c r="K251" s="168">
        <v>3.0</v>
      </c>
      <c r="L251" s="168">
        <v>8.0</v>
      </c>
      <c r="M251" s="184">
        <v>-89053.07</v>
      </c>
      <c r="N251" s="184">
        <v>-66189.28</v>
      </c>
      <c r="O251" s="184">
        <v>36143.34</v>
      </c>
      <c r="P251" s="184">
        <v>-52344.76</v>
      </c>
    </row>
    <row r="252">
      <c r="A252" s="168">
        <v>41.0</v>
      </c>
      <c r="B252" s="168">
        <v>29.0</v>
      </c>
      <c r="C252" s="168">
        <v>47.0</v>
      </c>
      <c r="D252" s="168">
        <v>61.0</v>
      </c>
      <c r="E252" s="168">
        <v>4.0</v>
      </c>
      <c r="F252" s="168">
        <v>6.0</v>
      </c>
      <c r="G252" s="168">
        <v>1.0</v>
      </c>
      <c r="H252" s="183">
        <v>82987.24</v>
      </c>
      <c r="I252" s="184">
        <v>76081.14</v>
      </c>
      <c r="J252" s="168">
        <v>5.0</v>
      </c>
      <c r="K252" s="168">
        <v>5.0</v>
      </c>
      <c r="L252" s="168">
        <v>7.0</v>
      </c>
      <c r="M252" s="184">
        <v>75259.53</v>
      </c>
      <c r="N252" s="184">
        <v>-86746.27</v>
      </c>
      <c r="O252" s="184">
        <v>39251.35</v>
      </c>
      <c r="P252" s="184">
        <v>38278.62</v>
      </c>
    </row>
    <row r="253">
      <c r="A253" s="168">
        <v>16.0</v>
      </c>
      <c r="B253" s="168">
        <v>99.0</v>
      </c>
      <c r="C253" s="168">
        <v>83.0</v>
      </c>
      <c r="D253" s="168">
        <v>45.0</v>
      </c>
      <c r="E253" s="168">
        <v>8.0</v>
      </c>
      <c r="F253" s="168">
        <v>7.0</v>
      </c>
      <c r="G253" s="168">
        <v>7.0</v>
      </c>
      <c r="H253" s="183">
        <v>-50854.36</v>
      </c>
      <c r="I253" s="184">
        <v>93932.74</v>
      </c>
      <c r="J253" s="168">
        <v>8.0</v>
      </c>
      <c r="K253" s="168">
        <v>1.0</v>
      </c>
      <c r="L253" s="168">
        <v>1.0</v>
      </c>
      <c r="M253" s="184">
        <v>6422.33</v>
      </c>
      <c r="N253" s="184">
        <v>21773.53</v>
      </c>
      <c r="O253" s="184">
        <v>11196.59</v>
      </c>
      <c r="P253" s="184">
        <v>6854.91</v>
      </c>
    </row>
    <row r="254">
      <c r="A254" s="168">
        <v>48.0</v>
      </c>
      <c r="B254" s="168">
        <v>31.0</v>
      </c>
      <c r="C254" s="168">
        <v>85.0</v>
      </c>
      <c r="D254" s="168">
        <v>48.0</v>
      </c>
      <c r="E254" s="168">
        <v>2.0</v>
      </c>
      <c r="F254" s="168">
        <v>1.0</v>
      </c>
      <c r="G254" s="168">
        <v>8.0</v>
      </c>
      <c r="H254" s="183">
        <v>39154.71</v>
      </c>
      <c r="I254" s="184">
        <v>85786.48</v>
      </c>
      <c r="J254" s="168">
        <v>7.0</v>
      </c>
      <c r="K254" s="168">
        <v>1.0</v>
      </c>
      <c r="L254" s="168">
        <v>3.0</v>
      </c>
      <c r="M254" s="184">
        <v>20286.2</v>
      </c>
      <c r="N254" s="184">
        <v>29458.56</v>
      </c>
      <c r="O254" s="184">
        <v>7418.82</v>
      </c>
      <c r="P254" s="184">
        <v>-33262.9</v>
      </c>
    </row>
    <row r="255">
      <c r="A255" s="168">
        <v>95.0</v>
      </c>
      <c r="B255" s="168">
        <v>88.0</v>
      </c>
      <c r="C255" s="168">
        <v>76.0</v>
      </c>
      <c r="D255" s="168">
        <v>44.0</v>
      </c>
      <c r="E255" s="168">
        <v>8.0</v>
      </c>
      <c r="F255" s="168">
        <v>7.0</v>
      </c>
      <c r="G255" s="168">
        <v>8.0</v>
      </c>
      <c r="H255" s="183">
        <v>-58617.17</v>
      </c>
      <c r="I255" s="184">
        <v>25445.12</v>
      </c>
      <c r="J255" s="168">
        <v>1.0</v>
      </c>
      <c r="K255" s="168">
        <v>3.0</v>
      </c>
      <c r="L255" s="168">
        <v>8.0</v>
      </c>
      <c r="M255" s="184">
        <v>-13801.79</v>
      </c>
      <c r="N255" s="184">
        <v>-65750.33</v>
      </c>
      <c r="O255" s="184">
        <v>-30146.36</v>
      </c>
      <c r="P255" s="184">
        <v>-40555.8</v>
      </c>
    </row>
    <row r="256">
      <c r="A256" s="168">
        <v>87.0</v>
      </c>
      <c r="B256" s="168">
        <v>28.0</v>
      </c>
      <c r="C256" s="168">
        <v>23.0</v>
      </c>
      <c r="D256" s="168">
        <v>15.0</v>
      </c>
      <c r="E256" s="168">
        <v>6.0</v>
      </c>
      <c r="F256" s="168">
        <v>8.0</v>
      </c>
      <c r="G256" s="168">
        <v>2.0</v>
      </c>
      <c r="H256" s="183">
        <v>24798.43</v>
      </c>
      <c r="I256" s="184">
        <v>32046.09</v>
      </c>
      <c r="J256" s="168">
        <v>3.0</v>
      </c>
      <c r="K256" s="168">
        <v>5.0</v>
      </c>
      <c r="L256" s="168">
        <v>7.0</v>
      </c>
      <c r="M256" s="184">
        <v>-81580.05</v>
      </c>
      <c r="N256" s="184">
        <v>19078.85</v>
      </c>
      <c r="O256" s="184">
        <v>75156.02</v>
      </c>
      <c r="P256" s="184">
        <v>64394.66</v>
      </c>
    </row>
    <row r="257">
      <c r="A257" s="168">
        <v>36.0</v>
      </c>
      <c r="B257" s="168">
        <v>18.0</v>
      </c>
      <c r="C257" s="168">
        <v>71.0</v>
      </c>
      <c r="D257" s="168">
        <v>95.0</v>
      </c>
      <c r="E257" s="168">
        <v>1.0</v>
      </c>
      <c r="F257" s="168">
        <v>8.0</v>
      </c>
      <c r="G257" s="168">
        <v>4.0</v>
      </c>
      <c r="H257" s="183">
        <v>70004.15</v>
      </c>
      <c r="I257" s="184">
        <v>78801.38</v>
      </c>
      <c r="J257" s="168">
        <v>8.0</v>
      </c>
      <c r="K257" s="168">
        <v>5.0</v>
      </c>
      <c r="L257" s="168">
        <v>3.0</v>
      </c>
      <c r="M257" s="184">
        <v>-96866.64</v>
      </c>
      <c r="N257" s="184">
        <v>-74152.69</v>
      </c>
      <c r="O257" s="184">
        <v>68300.35</v>
      </c>
      <c r="P257" s="184">
        <v>-69611.5</v>
      </c>
    </row>
    <row r="258">
      <c r="A258" s="168">
        <v>90.0</v>
      </c>
      <c r="B258" s="168">
        <v>46.0</v>
      </c>
      <c r="C258" s="168">
        <v>27.0</v>
      </c>
      <c r="D258" s="168">
        <v>38.0</v>
      </c>
      <c r="E258" s="168">
        <v>3.0</v>
      </c>
      <c r="F258" s="168">
        <v>2.0</v>
      </c>
      <c r="G258" s="168">
        <v>8.0</v>
      </c>
      <c r="H258" s="183">
        <v>-52170.32</v>
      </c>
      <c r="I258" s="184">
        <v>-97535.57</v>
      </c>
      <c r="J258" s="168">
        <v>7.0</v>
      </c>
      <c r="K258" s="168">
        <v>2.0</v>
      </c>
      <c r="L258" s="168">
        <v>6.0</v>
      </c>
      <c r="M258" s="184">
        <v>74767.27</v>
      </c>
      <c r="N258" s="184">
        <v>-30409.31</v>
      </c>
      <c r="O258" s="184">
        <v>-73928.79</v>
      </c>
      <c r="P258" s="184">
        <v>-4587.13</v>
      </c>
    </row>
    <row r="259">
      <c r="A259" s="168">
        <v>61.0</v>
      </c>
      <c r="B259" s="168">
        <v>17.0</v>
      </c>
      <c r="C259" s="168">
        <v>28.0</v>
      </c>
      <c r="D259" s="168">
        <v>44.0</v>
      </c>
      <c r="E259" s="168">
        <v>8.0</v>
      </c>
      <c r="F259" s="168">
        <v>4.0</v>
      </c>
      <c r="G259" s="168">
        <v>6.0</v>
      </c>
      <c r="H259" s="183">
        <v>-59342.14</v>
      </c>
      <c r="I259" s="184">
        <v>-8397.91</v>
      </c>
      <c r="J259" s="168">
        <v>3.0</v>
      </c>
      <c r="K259" s="168">
        <v>9.0</v>
      </c>
      <c r="L259" s="168">
        <v>6.0</v>
      </c>
      <c r="M259" s="184">
        <v>-33684.46</v>
      </c>
      <c r="N259" s="184">
        <v>-59690.57</v>
      </c>
      <c r="O259" s="184">
        <v>-98925.67</v>
      </c>
      <c r="P259" s="184">
        <v>-48283.96</v>
      </c>
    </row>
    <row r="260">
      <c r="A260" s="168">
        <v>97.0</v>
      </c>
      <c r="B260" s="168">
        <v>88.0</v>
      </c>
      <c r="C260" s="168">
        <v>29.0</v>
      </c>
      <c r="D260" s="168">
        <v>82.0</v>
      </c>
      <c r="E260" s="168">
        <v>2.0</v>
      </c>
      <c r="F260" s="168">
        <v>8.0</v>
      </c>
      <c r="G260" s="168">
        <v>6.0</v>
      </c>
      <c r="H260" s="183">
        <v>77830.94</v>
      </c>
      <c r="I260" s="184">
        <v>-31451.34</v>
      </c>
      <c r="J260" s="168">
        <v>6.0</v>
      </c>
      <c r="K260" s="168">
        <v>6.0</v>
      </c>
      <c r="L260" s="168">
        <v>6.0</v>
      </c>
      <c r="M260" s="184">
        <v>93522.44</v>
      </c>
      <c r="N260" s="184">
        <v>97087.91</v>
      </c>
      <c r="O260" s="184">
        <v>42548.15</v>
      </c>
      <c r="P260" s="184">
        <v>-20753.36</v>
      </c>
    </row>
    <row r="261">
      <c r="A261" s="168">
        <v>96.0</v>
      </c>
      <c r="B261" s="168">
        <v>18.0</v>
      </c>
      <c r="C261" s="168">
        <v>57.0</v>
      </c>
      <c r="D261" s="168">
        <v>58.0</v>
      </c>
      <c r="E261" s="168">
        <v>8.0</v>
      </c>
      <c r="F261" s="168">
        <v>6.0</v>
      </c>
      <c r="G261" s="168">
        <v>9.0</v>
      </c>
      <c r="H261" s="183">
        <v>-34111.32</v>
      </c>
      <c r="I261" s="184">
        <v>-13056.28</v>
      </c>
      <c r="J261" s="168">
        <v>6.0</v>
      </c>
      <c r="K261" s="168">
        <v>7.0</v>
      </c>
      <c r="L261" s="168">
        <v>2.0</v>
      </c>
      <c r="M261" s="184">
        <v>-72516.11</v>
      </c>
      <c r="N261" s="184">
        <v>36257.02</v>
      </c>
      <c r="O261" s="184">
        <v>-59419.33</v>
      </c>
      <c r="P261" s="184">
        <v>36467.69</v>
      </c>
    </row>
    <row r="262">
      <c r="A262" s="168">
        <v>77.0</v>
      </c>
      <c r="B262" s="168">
        <v>28.0</v>
      </c>
      <c r="C262" s="168">
        <v>73.0</v>
      </c>
      <c r="D262" s="168">
        <v>25.0</v>
      </c>
      <c r="E262" s="168">
        <v>9.0</v>
      </c>
      <c r="F262" s="168">
        <v>6.0</v>
      </c>
      <c r="G262" s="168">
        <v>4.0</v>
      </c>
      <c r="H262" s="183">
        <v>57587.45</v>
      </c>
      <c r="I262" s="184">
        <v>-3133.83</v>
      </c>
      <c r="J262" s="168">
        <v>6.0</v>
      </c>
      <c r="K262" s="168">
        <v>8.0</v>
      </c>
      <c r="L262" s="168">
        <v>3.0</v>
      </c>
      <c r="M262" s="184">
        <v>-64240.37</v>
      </c>
      <c r="N262" s="184">
        <v>40622.29</v>
      </c>
      <c r="O262" s="184">
        <v>50254.96</v>
      </c>
      <c r="P262" s="184">
        <v>14581.57</v>
      </c>
    </row>
    <row r="263">
      <c r="A263" s="168">
        <v>76.0</v>
      </c>
      <c r="B263" s="168">
        <v>57.0</v>
      </c>
      <c r="C263" s="168">
        <v>28.0</v>
      </c>
      <c r="D263" s="168">
        <v>55.0</v>
      </c>
      <c r="E263" s="168">
        <v>7.0</v>
      </c>
      <c r="F263" s="168">
        <v>9.0</v>
      </c>
      <c r="G263" s="168">
        <v>8.0</v>
      </c>
      <c r="H263" s="183">
        <v>-13920.19</v>
      </c>
      <c r="I263" s="184">
        <v>-61119.04</v>
      </c>
      <c r="J263" s="168">
        <v>2.0</v>
      </c>
      <c r="K263" s="168">
        <v>7.0</v>
      </c>
      <c r="L263" s="168">
        <v>4.0</v>
      </c>
      <c r="M263" s="184">
        <v>-99002.81</v>
      </c>
      <c r="N263" s="184">
        <v>-36745.96</v>
      </c>
      <c r="O263" s="184">
        <v>-43522.45</v>
      </c>
      <c r="P263" s="184">
        <v>-5302.91</v>
      </c>
    </row>
    <row r="264">
      <c r="A264" s="168">
        <v>48.0</v>
      </c>
      <c r="B264" s="168">
        <v>65.0</v>
      </c>
      <c r="C264" s="168">
        <v>92.0</v>
      </c>
      <c r="D264" s="168">
        <v>53.0</v>
      </c>
      <c r="E264" s="168">
        <v>7.0</v>
      </c>
      <c r="F264" s="168">
        <v>4.0</v>
      </c>
      <c r="G264" s="168">
        <v>5.0</v>
      </c>
      <c r="H264" s="183">
        <v>95283.05</v>
      </c>
      <c r="I264" s="184">
        <v>56969.98</v>
      </c>
      <c r="J264" s="168">
        <v>3.0</v>
      </c>
      <c r="K264" s="168">
        <v>9.0</v>
      </c>
      <c r="L264" s="168">
        <v>7.0</v>
      </c>
      <c r="M264" s="184">
        <v>9761.27</v>
      </c>
      <c r="N264" s="184">
        <v>64245.53</v>
      </c>
      <c r="O264" s="184">
        <v>72722.33</v>
      </c>
      <c r="P264" s="184">
        <v>-12558.03</v>
      </c>
    </row>
    <row r="265">
      <c r="A265" s="168">
        <v>77.0</v>
      </c>
      <c r="B265" s="168">
        <v>81.0</v>
      </c>
      <c r="C265" s="168">
        <v>14.0</v>
      </c>
      <c r="D265" s="168">
        <v>54.0</v>
      </c>
      <c r="E265" s="168">
        <v>5.0</v>
      </c>
      <c r="F265" s="168">
        <v>8.0</v>
      </c>
      <c r="G265" s="168">
        <v>6.0</v>
      </c>
      <c r="H265" s="183">
        <v>-85415.05</v>
      </c>
      <c r="I265" s="184">
        <v>77394.85</v>
      </c>
      <c r="J265" s="168">
        <v>4.0</v>
      </c>
      <c r="K265" s="168">
        <v>2.0</v>
      </c>
      <c r="L265" s="168">
        <v>7.0</v>
      </c>
      <c r="M265" s="184">
        <v>64321.64</v>
      </c>
      <c r="N265" s="184">
        <v>-73569.25</v>
      </c>
      <c r="O265" s="184">
        <v>-19598.15</v>
      </c>
      <c r="P265" s="184">
        <v>95540.5</v>
      </c>
    </row>
    <row r="266">
      <c r="A266" s="168">
        <v>61.0</v>
      </c>
      <c r="B266" s="168">
        <v>99.0</v>
      </c>
      <c r="C266" s="168">
        <v>91.0</v>
      </c>
      <c r="D266" s="168">
        <v>98.0</v>
      </c>
      <c r="E266" s="168">
        <v>2.0</v>
      </c>
      <c r="F266" s="168">
        <v>5.0</v>
      </c>
      <c r="G266" s="168">
        <v>8.0</v>
      </c>
      <c r="H266" s="183">
        <v>-69836.95</v>
      </c>
      <c r="I266" s="184">
        <v>97215.44</v>
      </c>
      <c r="J266" s="168">
        <v>7.0</v>
      </c>
      <c r="K266" s="168">
        <v>8.0</v>
      </c>
      <c r="L266" s="168">
        <v>1.0</v>
      </c>
      <c r="M266" s="184">
        <v>96756.48</v>
      </c>
      <c r="N266" s="184">
        <v>-1134.69</v>
      </c>
      <c r="O266" s="184">
        <v>78842.13</v>
      </c>
      <c r="P266" s="184">
        <v>53377.2</v>
      </c>
    </row>
    <row r="267">
      <c r="A267" s="168">
        <v>71.0</v>
      </c>
      <c r="B267" s="168">
        <v>55.0</v>
      </c>
      <c r="C267" s="168">
        <v>23.0</v>
      </c>
      <c r="D267" s="168">
        <v>28.0</v>
      </c>
      <c r="E267" s="168">
        <v>3.0</v>
      </c>
      <c r="F267" s="168">
        <v>6.0</v>
      </c>
      <c r="G267" s="168">
        <v>8.0</v>
      </c>
      <c r="H267" s="183">
        <v>95180.04</v>
      </c>
      <c r="I267" s="184">
        <v>38862.75</v>
      </c>
      <c r="J267" s="168">
        <v>7.0</v>
      </c>
      <c r="K267" s="168">
        <v>1.0</v>
      </c>
      <c r="L267" s="168">
        <v>1.0</v>
      </c>
      <c r="M267" s="184">
        <v>128.42</v>
      </c>
      <c r="N267" s="184">
        <v>99734.07</v>
      </c>
      <c r="O267" s="184">
        <v>-34117.86</v>
      </c>
      <c r="P267" s="184">
        <v>-8309.84</v>
      </c>
    </row>
    <row r="268">
      <c r="A268" s="168">
        <v>73.0</v>
      </c>
      <c r="B268" s="168">
        <v>37.0</v>
      </c>
      <c r="C268" s="168">
        <v>17.0</v>
      </c>
      <c r="D268" s="168">
        <v>74.0</v>
      </c>
      <c r="E268" s="168">
        <v>7.0</v>
      </c>
      <c r="F268" s="168">
        <v>8.0</v>
      </c>
      <c r="G268" s="168">
        <v>6.0</v>
      </c>
      <c r="H268" s="183">
        <v>85540.39</v>
      </c>
      <c r="I268" s="184">
        <v>43559.51</v>
      </c>
      <c r="J268" s="168">
        <v>1.0</v>
      </c>
      <c r="K268" s="168">
        <v>3.0</v>
      </c>
      <c r="L268" s="168">
        <v>8.0</v>
      </c>
      <c r="M268" s="184">
        <v>-48897.35</v>
      </c>
      <c r="N268" s="184">
        <v>11471.79</v>
      </c>
      <c r="O268" s="184">
        <v>33315.73</v>
      </c>
      <c r="P268" s="184">
        <v>-67664.98</v>
      </c>
    </row>
    <row r="269">
      <c r="A269" s="168">
        <v>29.0</v>
      </c>
      <c r="B269" s="168">
        <v>98.0</v>
      </c>
      <c r="C269" s="168">
        <v>12.0</v>
      </c>
      <c r="D269" s="168">
        <v>61.0</v>
      </c>
      <c r="E269" s="168">
        <v>6.0</v>
      </c>
      <c r="F269" s="168">
        <v>8.0</v>
      </c>
      <c r="G269" s="168">
        <v>3.0</v>
      </c>
      <c r="H269" s="183">
        <v>-26647.09</v>
      </c>
      <c r="I269" s="184">
        <v>-26506.61</v>
      </c>
      <c r="J269" s="168">
        <v>1.0</v>
      </c>
      <c r="K269" s="168">
        <v>9.0</v>
      </c>
      <c r="L269" s="168">
        <v>4.0</v>
      </c>
      <c r="M269" s="184">
        <v>18075.52</v>
      </c>
      <c r="N269" s="184">
        <v>-68431.75</v>
      </c>
      <c r="O269" s="184">
        <v>-72294.44</v>
      </c>
      <c r="P269" s="184">
        <v>-75594.76</v>
      </c>
    </row>
    <row r="270">
      <c r="A270" s="168">
        <v>32.0</v>
      </c>
      <c r="B270" s="168">
        <v>68.0</v>
      </c>
      <c r="C270" s="168">
        <v>30.0</v>
      </c>
      <c r="D270" s="168">
        <v>73.0</v>
      </c>
      <c r="E270" s="168">
        <v>3.0</v>
      </c>
      <c r="F270" s="168">
        <v>6.0</v>
      </c>
      <c r="G270" s="168">
        <v>9.0</v>
      </c>
      <c r="H270" s="183">
        <v>-49045.53</v>
      </c>
      <c r="I270" s="184">
        <v>7480.09</v>
      </c>
      <c r="J270" s="168">
        <v>8.0</v>
      </c>
      <c r="K270" s="168">
        <v>6.0</v>
      </c>
      <c r="L270" s="168">
        <v>7.0</v>
      </c>
      <c r="M270" s="184">
        <v>7298.57</v>
      </c>
      <c r="N270" s="184">
        <v>66407.39</v>
      </c>
      <c r="O270" s="184">
        <v>-77190.41</v>
      </c>
      <c r="P270" s="184">
        <v>64766.82</v>
      </c>
    </row>
    <row r="271">
      <c r="A271" s="168">
        <v>56.0</v>
      </c>
      <c r="B271" s="168">
        <v>78.0</v>
      </c>
      <c r="C271" s="168">
        <v>59.0</v>
      </c>
      <c r="D271" s="168">
        <v>11.0</v>
      </c>
      <c r="E271" s="168">
        <v>6.0</v>
      </c>
      <c r="F271" s="168">
        <v>3.0</v>
      </c>
      <c r="G271" s="168">
        <v>7.0</v>
      </c>
      <c r="H271" s="183">
        <v>67803.07</v>
      </c>
      <c r="I271" s="184">
        <v>38765.68</v>
      </c>
      <c r="J271" s="168">
        <v>4.0</v>
      </c>
      <c r="K271" s="168">
        <v>1.0</v>
      </c>
      <c r="L271" s="168">
        <v>1.0</v>
      </c>
      <c r="M271" s="184">
        <v>-5625.55</v>
      </c>
      <c r="N271" s="184">
        <v>62077.79</v>
      </c>
      <c r="O271" s="184">
        <v>85137.21</v>
      </c>
      <c r="P271" s="184">
        <v>-92692.44</v>
      </c>
    </row>
    <row r="272">
      <c r="A272" s="168">
        <v>34.0</v>
      </c>
      <c r="B272" s="168">
        <v>19.0</v>
      </c>
      <c r="C272" s="168">
        <v>78.0</v>
      </c>
      <c r="D272" s="168">
        <v>39.0</v>
      </c>
      <c r="E272" s="168">
        <v>7.0</v>
      </c>
      <c r="F272" s="168">
        <v>9.0</v>
      </c>
      <c r="G272" s="168">
        <v>2.0</v>
      </c>
      <c r="H272" s="183">
        <v>-46515.36</v>
      </c>
      <c r="I272" s="184">
        <v>18687.41</v>
      </c>
      <c r="J272" s="168">
        <v>7.0</v>
      </c>
      <c r="K272" s="168">
        <v>7.0</v>
      </c>
      <c r="L272" s="168">
        <v>3.0</v>
      </c>
      <c r="M272" s="184">
        <v>70298.77</v>
      </c>
      <c r="N272" s="184">
        <v>97836.99</v>
      </c>
      <c r="O272" s="184">
        <v>10450.59</v>
      </c>
      <c r="P272" s="184">
        <v>-84559.71</v>
      </c>
    </row>
    <row r="273">
      <c r="A273" s="168">
        <v>51.0</v>
      </c>
      <c r="B273" s="168">
        <v>93.0</v>
      </c>
      <c r="C273" s="168">
        <v>44.0</v>
      </c>
      <c r="D273" s="168">
        <v>99.0</v>
      </c>
      <c r="E273" s="168">
        <v>7.0</v>
      </c>
      <c r="F273" s="168">
        <v>7.0</v>
      </c>
      <c r="G273" s="168">
        <v>3.0</v>
      </c>
      <c r="H273" s="183">
        <v>48853.22</v>
      </c>
      <c r="I273" s="184">
        <v>47869.29</v>
      </c>
      <c r="J273" s="168">
        <v>1.0</v>
      </c>
      <c r="K273" s="168">
        <v>9.0</v>
      </c>
      <c r="L273" s="168">
        <v>5.0</v>
      </c>
      <c r="M273" s="184">
        <v>87983.54</v>
      </c>
      <c r="N273" s="184">
        <v>-43370.21</v>
      </c>
      <c r="O273" s="184">
        <v>94006.21</v>
      </c>
      <c r="P273" s="184">
        <v>-61224.7</v>
      </c>
    </row>
    <row r="274">
      <c r="A274" s="168">
        <v>43.0</v>
      </c>
      <c r="B274" s="168">
        <v>33.0</v>
      </c>
      <c r="C274" s="168">
        <v>22.0</v>
      </c>
      <c r="D274" s="168">
        <v>91.0</v>
      </c>
      <c r="E274" s="168">
        <v>4.0</v>
      </c>
      <c r="F274" s="168">
        <v>2.0</v>
      </c>
      <c r="G274" s="168">
        <v>5.0</v>
      </c>
      <c r="H274" s="183">
        <v>76962.37</v>
      </c>
      <c r="I274" s="184">
        <v>74354.93</v>
      </c>
      <c r="J274" s="168">
        <v>3.0</v>
      </c>
      <c r="K274" s="168">
        <v>9.0</v>
      </c>
      <c r="L274" s="168">
        <v>4.0</v>
      </c>
      <c r="M274" s="184">
        <v>-51108.02</v>
      </c>
      <c r="N274" s="184">
        <v>-14383.13</v>
      </c>
      <c r="O274" s="184">
        <v>13216.96</v>
      </c>
      <c r="P274" s="184">
        <v>72631.93</v>
      </c>
    </row>
    <row r="275">
      <c r="A275" s="168">
        <v>98.0</v>
      </c>
      <c r="B275" s="168">
        <v>46.0</v>
      </c>
      <c r="C275" s="168">
        <v>45.0</v>
      </c>
      <c r="D275" s="168">
        <v>67.0</v>
      </c>
      <c r="E275" s="168">
        <v>2.0</v>
      </c>
      <c r="F275" s="168">
        <v>3.0</v>
      </c>
      <c r="G275" s="168">
        <v>4.0</v>
      </c>
      <c r="H275" s="183">
        <v>-65070.38</v>
      </c>
      <c r="I275" s="184">
        <v>2672.33</v>
      </c>
      <c r="J275" s="168">
        <v>5.0</v>
      </c>
      <c r="K275" s="168">
        <v>9.0</v>
      </c>
      <c r="L275" s="168">
        <v>4.0</v>
      </c>
      <c r="M275" s="184">
        <v>-78251.22</v>
      </c>
      <c r="N275" s="184">
        <v>-49334.61</v>
      </c>
      <c r="O275" s="184">
        <v>-68764.13</v>
      </c>
      <c r="P275" s="184">
        <v>-3001.27</v>
      </c>
    </row>
    <row r="276">
      <c r="A276" s="168">
        <v>42.0</v>
      </c>
      <c r="B276" s="168">
        <v>31.0</v>
      </c>
      <c r="C276" s="168">
        <v>26.0</v>
      </c>
      <c r="D276" s="168">
        <v>51.0</v>
      </c>
      <c r="E276" s="168">
        <v>9.0</v>
      </c>
      <c r="F276" s="168">
        <v>5.0</v>
      </c>
      <c r="G276" s="168">
        <v>7.0</v>
      </c>
      <c r="H276" s="183">
        <v>92095.92</v>
      </c>
      <c r="I276" s="184">
        <v>-18817.33</v>
      </c>
      <c r="J276" s="168">
        <v>4.0</v>
      </c>
      <c r="K276" s="168">
        <v>3.0</v>
      </c>
      <c r="L276" s="168">
        <v>2.0</v>
      </c>
      <c r="M276" s="184">
        <v>11321.79</v>
      </c>
      <c r="N276" s="184">
        <v>-36101.26</v>
      </c>
      <c r="O276" s="184">
        <v>26830.33</v>
      </c>
      <c r="P276" s="184">
        <v>-17582.07</v>
      </c>
    </row>
    <row r="277">
      <c r="A277" s="168">
        <v>39.0</v>
      </c>
      <c r="B277" s="168">
        <v>48.0</v>
      </c>
      <c r="C277" s="168">
        <v>19.0</v>
      </c>
      <c r="D277" s="168">
        <v>59.0</v>
      </c>
      <c r="E277" s="168">
        <v>6.0</v>
      </c>
      <c r="F277" s="168">
        <v>4.0</v>
      </c>
      <c r="G277" s="168">
        <v>1.0</v>
      </c>
      <c r="H277" s="183">
        <v>-9872.89</v>
      </c>
      <c r="I277" s="184">
        <v>33027.75</v>
      </c>
      <c r="J277" s="168">
        <v>4.0</v>
      </c>
      <c r="K277" s="168">
        <v>7.0</v>
      </c>
      <c r="L277" s="168">
        <v>7.0</v>
      </c>
      <c r="M277" s="184">
        <v>63298.0</v>
      </c>
      <c r="N277" s="184">
        <v>-1545.32</v>
      </c>
      <c r="O277" s="184">
        <v>-77191.36</v>
      </c>
      <c r="P277" s="184">
        <v>-91970.3</v>
      </c>
    </row>
    <row r="278">
      <c r="A278" s="168">
        <v>56.0</v>
      </c>
      <c r="B278" s="168">
        <v>17.0</v>
      </c>
      <c r="C278" s="168">
        <v>22.0</v>
      </c>
      <c r="D278" s="168">
        <v>39.0</v>
      </c>
      <c r="E278" s="168">
        <v>8.0</v>
      </c>
      <c r="F278" s="168">
        <v>7.0</v>
      </c>
      <c r="G278" s="168">
        <v>7.0</v>
      </c>
      <c r="H278" s="183">
        <v>-98014.67</v>
      </c>
      <c r="I278" s="184">
        <v>45792.58</v>
      </c>
      <c r="J278" s="168">
        <v>2.0</v>
      </c>
      <c r="K278" s="168">
        <v>3.0</v>
      </c>
      <c r="L278" s="168">
        <v>9.0</v>
      </c>
      <c r="M278" s="184">
        <v>86300.02</v>
      </c>
      <c r="N278" s="184">
        <v>-5957.72</v>
      </c>
      <c r="O278" s="184">
        <v>-12490.37</v>
      </c>
      <c r="P278" s="184">
        <v>50368.43</v>
      </c>
    </row>
    <row r="279">
      <c r="A279" s="168">
        <v>55.0</v>
      </c>
      <c r="B279" s="168">
        <v>13.0</v>
      </c>
      <c r="C279" s="168">
        <v>84.0</v>
      </c>
      <c r="D279" s="168">
        <v>25.0</v>
      </c>
      <c r="E279" s="168">
        <v>5.0</v>
      </c>
      <c r="F279" s="168">
        <v>1.0</v>
      </c>
      <c r="G279" s="168">
        <v>2.0</v>
      </c>
      <c r="H279" s="183">
        <v>89796.54</v>
      </c>
      <c r="I279" s="184">
        <v>-2669.94</v>
      </c>
      <c r="J279" s="168">
        <v>7.0</v>
      </c>
      <c r="K279" s="168">
        <v>7.0</v>
      </c>
      <c r="L279" s="168">
        <v>4.0</v>
      </c>
      <c r="M279" s="184">
        <v>52768.28</v>
      </c>
      <c r="N279" s="184">
        <v>9697.87</v>
      </c>
      <c r="O279" s="184">
        <v>-79171.25</v>
      </c>
      <c r="P279" s="184">
        <v>3690.35</v>
      </c>
    </row>
    <row r="280">
      <c r="A280" s="168">
        <v>18.0</v>
      </c>
      <c r="B280" s="168">
        <v>37.0</v>
      </c>
      <c r="C280" s="168">
        <v>72.0</v>
      </c>
      <c r="D280" s="168">
        <v>61.0</v>
      </c>
      <c r="E280" s="168">
        <v>4.0</v>
      </c>
      <c r="F280" s="168">
        <v>7.0</v>
      </c>
      <c r="G280" s="168">
        <v>5.0</v>
      </c>
      <c r="H280" s="183">
        <v>57352.1</v>
      </c>
      <c r="I280" s="184">
        <v>79801.05</v>
      </c>
      <c r="J280" s="168">
        <v>9.0</v>
      </c>
      <c r="K280" s="168">
        <v>5.0</v>
      </c>
      <c r="L280" s="168">
        <v>9.0</v>
      </c>
      <c r="M280" s="184">
        <v>86776.24</v>
      </c>
      <c r="N280" s="184">
        <v>-50067.84</v>
      </c>
      <c r="O280" s="184">
        <v>76202.53</v>
      </c>
      <c r="P280" s="184">
        <v>-50711.88</v>
      </c>
    </row>
    <row r="281">
      <c r="A281" s="168">
        <v>83.0</v>
      </c>
      <c r="B281" s="168">
        <v>61.0</v>
      </c>
      <c r="C281" s="168">
        <v>70.0</v>
      </c>
      <c r="D281" s="168">
        <v>45.0</v>
      </c>
      <c r="E281" s="168">
        <v>7.0</v>
      </c>
      <c r="F281" s="168">
        <v>2.0</v>
      </c>
      <c r="G281" s="168">
        <v>7.0</v>
      </c>
      <c r="H281" s="183">
        <v>-6288.48</v>
      </c>
      <c r="I281" s="184">
        <v>90474.28</v>
      </c>
      <c r="J281" s="168">
        <v>4.0</v>
      </c>
      <c r="K281" s="168">
        <v>6.0</v>
      </c>
      <c r="L281" s="168">
        <v>4.0</v>
      </c>
      <c r="M281" s="184">
        <v>51286.22</v>
      </c>
      <c r="N281" s="184">
        <v>-71331.66</v>
      </c>
      <c r="O281" s="184">
        <v>24096.17</v>
      </c>
      <c r="P281" s="184">
        <v>80265.68</v>
      </c>
    </row>
    <row r="282">
      <c r="A282" s="168">
        <v>80.0</v>
      </c>
      <c r="B282" s="168">
        <v>57.0</v>
      </c>
      <c r="C282" s="168">
        <v>40.0</v>
      </c>
      <c r="D282" s="168">
        <v>38.0</v>
      </c>
      <c r="E282" s="168">
        <v>5.0</v>
      </c>
      <c r="F282" s="168">
        <v>5.0</v>
      </c>
      <c r="G282" s="168">
        <v>6.0</v>
      </c>
      <c r="H282" s="183">
        <v>75444.67</v>
      </c>
      <c r="I282" s="184">
        <v>-59892.77</v>
      </c>
      <c r="J282" s="168">
        <v>9.0</v>
      </c>
      <c r="K282" s="168">
        <v>5.0</v>
      </c>
      <c r="L282" s="168">
        <v>8.0</v>
      </c>
      <c r="M282" s="184">
        <v>42540.21</v>
      </c>
      <c r="N282" s="184">
        <v>71908.48</v>
      </c>
      <c r="O282" s="184">
        <v>76690.06</v>
      </c>
      <c r="P282" s="184">
        <v>-73723.39</v>
      </c>
    </row>
    <row r="283">
      <c r="A283" s="168">
        <v>44.0</v>
      </c>
      <c r="B283" s="168">
        <v>20.0</v>
      </c>
      <c r="C283" s="168">
        <v>68.0</v>
      </c>
      <c r="D283" s="168">
        <v>26.0</v>
      </c>
      <c r="E283" s="168">
        <v>1.0</v>
      </c>
      <c r="F283" s="168">
        <v>7.0</v>
      </c>
      <c r="G283" s="168">
        <v>3.0</v>
      </c>
      <c r="H283" s="183">
        <v>-49157.88</v>
      </c>
      <c r="I283" s="184">
        <v>30092.89</v>
      </c>
      <c r="J283" s="168">
        <v>4.0</v>
      </c>
      <c r="K283" s="168">
        <v>3.0</v>
      </c>
      <c r="L283" s="168">
        <v>2.0</v>
      </c>
      <c r="M283" s="184">
        <v>43364.4</v>
      </c>
      <c r="N283" s="184">
        <v>8083.29</v>
      </c>
      <c r="O283" s="184">
        <v>86878.94</v>
      </c>
      <c r="P283" s="184">
        <v>-36526.24</v>
      </c>
    </row>
    <row r="284">
      <c r="A284" s="168">
        <v>58.0</v>
      </c>
      <c r="B284" s="168">
        <v>64.0</v>
      </c>
      <c r="C284" s="168">
        <v>50.0</v>
      </c>
      <c r="D284" s="168">
        <v>55.0</v>
      </c>
      <c r="E284" s="168">
        <v>9.0</v>
      </c>
      <c r="F284" s="168">
        <v>6.0</v>
      </c>
      <c r="G284" s="168">
        <v>8.0</v>
      </c>
      <c r="H284" s="183">
        <v>31234.91</v>
      </c>
      <c r="I284" s="184">
        <v>82462.56</v>
      </c>
      <c r="J284" s="168">
        <v>8.0</v>
      </c>
      <c r="K284" s="168">
        <v>5.0</v>
      </c>
      <c r="L284" s="168">
        <v>5.0</v>
      </c>
      <c r="M284" s="184">
        <v>37808.22</v>
      </c>
      <c r="N284" s="184">
        <v>54390.19</v>
      </c>
      <c r="O284" s="184">
        <v>-58068.88</v>
      </c>
      <c r="P284" s="184">
        <v>8525.55</v>
      </c>
    </row>
    <row r="285">
      <c r="A285" s="168">
        <v>85.0</v>
      </c>
      <c r="B285" s="168">
        <v>63.0</v>
      </c>
      <c r="C285" s="168">
        <v>63.0</v>
      </c>
      <c r="D285" s="168">
        <v>62.0</v>
      </c>
      <c r="E285" s="168">
        <v>6.0</v>
      </c>
      <c r="F285" s="168">
        <v>3.0</v>
      </c>
      <c r="G285" s="168">
        <v>4.0</v>
      </c>
      <c r="H285" s="183">
        <v>-64556.66</v>
      </c>
      <c r="I285" s="184">
        <v>-20030.63</v>
      </c>
      <c r="J285" s="168">
        <v>2.0</v>
      </c>
      <c r="K285" s="168">
        <v>8.0</v>
      </c>
      <c r="L285" s="168">
        <v>6.0</v>
      </c>
      <c r="M285" s="184">
        <v>-51561.64</v>
      </c>
      <c r="N285" s="184">
        <v>53796.39</v>
      </c>
      <c r="O285" s="184">
        <v>80440.32</v>
      </c>
      <c r="P285" s="184">
        <v>57742.4</v>
      </c>
    </row>
    <row r="286">
      <c r="A286" s="168">
        <v>74.0</v>
      </c>
      <c r="B286" s="168">
        <v>10.0</v>
      </c>
      <c r="C286" s="168">
        <v>88.0</v>
      </c>
      <c r="D286" s="168">
        <v>70.0</v>
      </c>
      <c r="E286" s="168">
        <v>7.0</v>
      </c>
      <c r="F286" s="168">
        <v>8.0</v>
      </c>
      <c r="G286" s="168">
        <v>2.0</v>
      </c>
      <c r="H286" s="183">
        <v>-85622.24</v>
      </c>
      <c r="I286" s="184">
        <v>-71580.57</v>
      </c>
      <c r="J286" s="168">
        <v>5.0</v>
      </c>
      <c r="K286" s="168">
        <v>5.0</v>
      </c>
      <c r="L286" s="168">
        <v>1.0</v>
      </c>
      <c r="M286" s="184">
        <v>72899.23</v>
      </c>
      <c r="N286" s="184">
        <v>41411.32</v>
      </c>
      <c r="O286" s="184">
        <v>32696.96</v>
      </c>
      <c r="P286" s="184">
        <v>53265.29</v>
      </c>
    </row>
    <row r="287">
      <c r="A287" s="168">
        <v>26.0</v>
      </c>
      <c r="B287" s="168">
        <v>86.0</v>
      </c>
      <c r="C287" s="168">
        <v>65.0</v>
      </c>
      <c r="D287" s="168">
        <v>62.0</v>
      </c>
      <c r="E287" s="168">
        <v>7.0</v>
      </c>
      <c r="F287" s="168">
        <v>4.0</v>
      </c>
      <c r="G287" s="168">
        <v>8.0</v>
      </c>
      <c r="H287" s="183">
        <v>-18385.45</v>
      </c>
      <c r="I287" s="184">
        <v>24656.5</v>
      </c>
      <c r="J287" s="168">
        <v>6.0</v>
      </c>
      <c r="K287" s="168">
        <v>3.0</v>
      </c>
      <c r="L287" s="168">
        <v>9.0</v>
      </c>
      <c r="M287" s="184">
        <v>97299.26</v>
      </c>
      <c r="N287" s="184">
        <v>-21570.22</v>
      </c>
      <c r="O287" s="184">
        <v>52769.76</v>
      </c>
      <c r="P287" s="184">
        <v>35984.04</v>
      </c>
    </row>
    <row r="288">
      <c r="A288" s="168">
        <v>62.0</v>
      </c>
      <c r="B288" s="168">
        <v>48.0</v>
      </c>
      <c r="C288" s="168">
        <v>29.0</v>
      </c>
      <c r="D288" s="168">
        <v>33.0</v>
      </c>
      <c r="E288" s="168">
        <v>6.0</v>
      </c>
      <c r="F288" s="168">
        <v>2.0</v>
      </c>
      <c r="G288" s="168">
        <v>5.0</v>
      </c>
      <c r="H288" s="183">
        <v>-95625.82</v>
      </c>
      <c r="I288" s="184">
        <v>-22394.68</v>
      </c>
      <c r="J288" s="168">
        <v>1.0</v>
      </c>
      <c r="K288" s="168">
        <v>8.0</v>
      </c>
      <c r="L288" s="168">
        <v>2.0</v>
      </c>
      <c r="M288" s="184">
        <v>20426.91</v>
      </c>
      <c r="N288" s="184">
        <v>83493.46</v>
      </c>
      <c r="O288" s="184">
        <v>-35606.42</v>
      </c>
      <c r="P288" s="184">
        <v>4968.96</v>
      </c>
    </row>
    <row r="289">
      <c r="A289" s="168">
        <v>61.0</v>
      </c>
      <c r="B289" s="168">
        <v>16.0</v>
      </c>
      <c r="C289" s="168">
        <v>11.0</v>
      </c>
      <c r="D289" s="168">
        <v>59.0</v>
      </c>
      <c r="E289" s="168">
        <v>1.0</v>
      </c>
      <c r="F289" s="168">
        <v>8.0</v>
      </c>
      <c r="G289" s="168">
        <v>6.0</v>
      </c>
      <c r="H289" s="183">
        <v>-38674.65</v>
      </c>
      <c r="I289" s="184">
        <v>4499.27</v>
      </c>
      <c r="J289" s="168">
        <v>9.0</v>
      </c>
      <c r="K289" s="168">
        <v>6.0</v>
      </c>
      <c r="L289" s="168">
        <v>2.0</v>
      </c>
      <c r="M289" s="184">
        <v>38640.43</v>
      </c>
      <c r="N289" s="184">
        <v>329.19</v>
      </c>
      <c r="O289" s="184">
        <v>25322.99</v>
      </c>
      <c r="P289" s="184">
        <v>-84235.11</v>
      </c>
    </row>
    <row r="290">
      <c r="A290" s="168">
        <v>69.0</v>
      </c>
      <c r="B290" s="168">
        <v>78.0</v>
      </c>
      <c r="C290" s="168">
        <v>14.0</v>
      </c>
      <c r="D290" s="168">
        <v>37.0</v>
      </c>
      <c r="E290" s="168">
        <v>8.0</v>
      </c>
      <c r="F290" s="168">
        <v>5.0</v>
      </c>
      <c r="G290" s="168">
        <v>6.0</v>
      </c>
      <c r="H290" s="183">
        <v>-23207.23</v>
      </c>
      <c r="I290" s="184">
        <v>28271.73</v>
      </c>
      <c r="J290" s="168">
        <v>2.0</v>
      </c>
      <c r="K290" s="168">
        <v>1.0</v>
      </c>
      <c r="L290" s="168">
        <v>8.0</v>
      </c>
      <c r="M290" s="184">
        <v>64706.44</v>
      </c>
      <c r="N290" s="184">
        <v>-99298.64</v>
      </c>
      <c r="O290" s="184">
        <v>45281.86</v>
      </c>
      <c r="P290" s="184">
        <v>47242.95</v>
      </c>
    </row>
    <row r="291">
      <c r="A291" s="168">
        <v>88.0</v>
      </c>
      <c r="B291" s="168">
        <v>87.0</v>
      </c>
      <c r="C291" s="168">
        <v>42.0</v>
      </c>
      <c r="D291" s="168">
        <v>39.0</v>
      </c>
      <c r="E291" s="168">
        <v>2.0</v>
      </c>
      <c r="F291" s="168">
        <v>6.0</v>
      </c>
      <c r="G291" s="168">
        <v>8.0</v>
      </c>
      <c r="H291" s="183">
        <v>39706.15</v>
      </c>
      <c r="I291" s="184">
        <v>-30542.44</v>
      </c>
      <c r="J291" s="168">
        <v>2.0</v>
      </c>
      <c r="K291" s="168">
        <v>9.0</v>
      </c>
      <c r="L291" s="168">
        <v>5.0</v>
      </c>
      <c r="M291" s="184">
        <v>-67715.33</v>
      </c>
      <c r="N291" s="184">
        <v>27081.1</v>
      </c>
      <c r="O291" s="184">
        <v>-89234.31</v>
      </c>
      <c r="P291" s="184">
        <v>-67266.94</v>
      </c>
    </row>
    <row r="292">
      <c r="A292" s="168">
        <v>70.0</v>
      </c>
      <c r="B292" s="168">
        <v>14.0</v>
      </c>
      <c r="C292" s="168">
        <v>29.0</v>
      </c>
      <c r="D292" s="168">
        <v>37.0</v>
      </c>
      <c r="E292" s="168">
        <v>8.0</v>
      </c>
      <c r="F292" s="168">
        <v>6.0</v>
      </c>
      <c r="G292" s="168">
        <v>8.0</v>
      </c>
      <c r="H292" s="183">
        <v>-9614.8</v>
      </c>
      <c r="I292" s="184">
        <v>63673.87</v>
      </c>
      <c r="J292" s="168">
        <v>8.0</v>
      </c>
      <c r="K292" s="168">
        <v>9.0</v>
      </c>
      <c r="L292" s="168">
        <v>7.0</v>
      </c>
      <c r="M292" s="184">
        <v>82645.86</v>
      </c>
      <c r="N292" s="184">
        <v>-62693.26</v>
      </c>
      <c r="O292" s="184">
        <v>-90025.12</v>
      </c>
      <c r="P292" s="184">
        <v>20889.47</v>
      </c>
    </row>
    <row r="293">
      <c r="A293" s="168">
        <v>35.0</v>
      </c>
      <c r="B293" s="168">
        <v>28.0</v>
      </c>
      <c r="C293" s="168">
        <v>64.0</v>
      </c>
      <c r="D293" s="168">
        <v>50.0</v>
      </c>
      <c r="E293" s="168">
        <v>8.0</v>
      </c>
      <c r="F293" s="168">
        <v>8.0</v>
      </c>
      <c r="G293" s="168">
        <v>9.0</v>
      </c>
      <c r="H293" s="183">
        <v>-48872.5</v>
      </c>
      <c r="I293" s="184">
        <v>4013.1</v>
      </c>
      <c r="J293" s="168">
        <v>5.0</v>
      </c>
      <c r="K293" s="168">
        <v>5.0</v>
      </c>
      <c r="L293" s="168">
        <v>2.0</v>
      </c>
      <c r="M293" s="184">
        <v>49919.38</v>
      </c>
      <c r="N293" s="184">
        <v>55382.5</v>
      </c>
      <c r="O293" s="184">
        <v>30311.51</v>
      </c>
      <c r="P293" s="184">
        <v>48191.22</v>
      </c>
    </row>
    <row r="294">
      <c r="A294" s="168">
        <v>37.0</v>
      </c>
      <c r="B294" s="168">
        <v>24.0</v>
      </c>
      <c r="C294" s="168">
        <v>58.0</v>
      </c>
      <c r="D294" s="168">
        <v>68.0</v>
      </c>
      <c r="E294" s="168">
        <v>6.0</v>
      </c>
      <c r="F294" s="168">
        <v>8.0</v>
      </c>
      <c r="G294" s="168">
        <v>6.0</v>
      </c>
      <c r="H294" s="183">
        <v>-58505.4</v>
      </c>
      <c r="I294" s="184">
        <v>-60133.21</v>
      </c>
      <c r="J294" s="168">
        <v>7.0</v>
      </c>
      <c r="K294" s="168">
        <v>4.0</v>
      </c>
      <c r="L294" s="168">
        <v>4.0</v>
      </c>
      <c r="M294" s="184">
        <v>-56318.35</v>
      </c>
      <c r="N294" s="184">
        <v>38439.92</v>
      </c>
      <c r="O294" s="184">
        <v>-73853.49</v>
      </c>
      <c r="P294" s="184">
        <v>20715.22</v>
      </c>
    </row>
    <row r="295">
      <c r="A295" s="168">
        <v>18.0</v>
      </c>
      <c r="B295" s="168">
        <v>47.0</v>
      </c>
      <c r="C295" s="168">
        <v>42.0</v>
      </c>
      <c r="D295" s="168">
        <v>23.0</v>
      </c>
      <c r="E295" s="168">
        <v>3.0</v>
      </c>
      <c r="F295" s="168">
        <v>9.0</v>
      </c>
      <c r="G295" s="168">
        <v>1.0</v>
      </c>
      <c r="H295" s="183">
        <v>84032.21</v>
      </c>
      <c r="I295" s="184">
        <v>52935.92</v>
      </c>
      <c r="J295" s="168">
        <v>2.0</v>
      </c>
      <c r="K295" s="168">
        <v>1.0</v>
      </c>
      <c r="L295" s="168">
        <v>8.0</v>
      </c>
      <c r="M295" s="184">
        <v>89620.72</v>
      </c>
      <c r="N295" s="184">
        <v>-41622.08</v>
      </c>
      <c r="O295" s="184">
        <v>55861.88</v>
      </c>
      <c r="P295" s="184">
        <v>83710.09</v>
      </c>
    </row>
    <row r="296">
      <c r="A296" s="168">
        <v>37.0</v>
      </c>
      <c r="B296" s="168">
        <v>54.0</v>
      </c>
      <c r="C296" s="168">
        <v>35.0</v>
      </c>
      <c r="D296" s="168">
        <v>17.0</v>
      </c>
      <c r="E296" s="168">
        <v>6.0</v>
      </c>
      <c r="F296" s="168">
        <v>6.0</v>
      </c>
      <c r="G296" s="168">
        <v>8.0</v>
      </c>
      <c r="H296" s="183">
        <v>88048.74</v>
      </c>
      <c r="I296" s="184">
        <v>30593.76</v>
      </c>
      <c r="J296" s="168">
        <v>4.0</v>
      </c>
      <c r="K296" s="168">
        <v>3.0</v>
      </c>
      <c r="L296" s="168">
        <v>2.0</v>
      </c>
      <c r="M296" s="184">
        <v>-72281.87</v>
      </c>
      <c r="N296" s="184">
        <v>-83621.67</v>
      </c>
      <c r="O296" s="184">
        <v>-56672.51</v>
      </c>
      <c r="P296" s="184">
        <v>-52173.98</v>
      </c>
    </row>
    <row r="297">
      <c r="A297" s="168">
        <v>59.0</v>
      </c>
      <c r="B297" s="168">
        <v>67.0</v>
      </c>
      <c r="C297" s="168">
        <v>51.0</v>
      </c>
      <c r="D297" s="168">
        <v>70.0</v>
      </c>
      <c r="E297" s="168">
        <v>3.0</v>
      </c>
      <c r="F297" s="168">
        <v>1.0</v>
      </c>
      <c r="G297" s="168">
        <v>9.0</v>
      </c>
      <c r="H297" s="183">
        <v>-53831.68</v>
      </c>
      <c r="I297" s="184">
        <v>-59.3</v>
      </c>
      <c r="J297" s="168">
        <v>8.0</v>
      </c>
      <c r="K297" s="168">
        <v>3.0</v>
      </c>
      <c r="L297" s="168">
        <v>5.0</v>
      </c>
      <c r="M297" s="184">
        <v>-35164.31</v>
      </c>
      <c r="N297" s="184">
        <v>72589.78</v>
      </c>
      <c r="O297" s="184">
        <v>-82504.2</v>
      </c>
      <c r="P297" s="184">
        <v>-94333.8</v>
      </c>
    </row>
    <row r="298">
      <c r="A298" s="168">
        <v>75.0</v>
      </c>
      <c r="B298" s="168">
        <v>22.0</v>
      </c>
      <c r="C298" s="168">
        <v>65.0</v>
      </c>
      <c r="D298" s="168">
        <v>94.0</v>
      </c>
      <c r="E298" s="168">
        <v>6.0</v>
      </c>
      <c r="F298" s="168">
        <v>8.0</v>
      </c>
      <c r="G298" s="168">
        <v>4.0</v>
      </c>
      <c r="H298" s="183">
        <v>25327.94</v>
      </c>
      <c r="I298" s="184">
        <v>-57531.26</v>
      </c>
      <c r="J298" s="168">
        <v>2.0</v>
      </c>
      <c r="K298" s="168">
        <v>2.0</v>
      </c>
      <c r="L298" s="168">
        <v>3.0</v>
      </c>
      <c r="M298" s="184">
        <v>8936.07</v>
      </c>
      <c r="N298" s="184">
        <v>-64282.91</v>
      </c>
      <c r="O298" s="184">
        <v>-71070.33</v>
      </c>
      <c r="P298" s="184">
        <v>55642.24</v>
      </c>
    </row>
    <row r="299">
      <c r="A299" s="168">
        <v>98.0</v>
      </c>
      <c r="B299" s="168">
        <v>36.0</v>
      </c>
      <c r="C299" s="168">
        <v>80.0</v>
      </c>
      <c r="D299" s="168">
        <v>76.0</v>
      </c>
      <c r="E299" s="168">
        <v>4.0</v>
      </c>
      <c r="F299" s="168">
        <v>9.0</v>
      </c>
      <c r="G299" s="168">
        <v>9.0</v>
      </c>
      <c r="H299" s="183">
        <v>36448.67</v>
      </c>
      <c r="I299" s="184">
        <v>-5105.48</v>
      </c>
      <c r="J299" s="168">
        <v>5.0</v>
      </c>
      <c r="K299" s="168">
        <v>7.0</v>
      </c>
      <c r="L299" s="168">
        <v>2.0</v>
      </c>
      <c r="M299" s="184">
        <v>59431.43</v>
      </c>
      <c r="N299" s="184">
        <v>65126.86</v>
      </c>
      <c r="O299" s="184">
        <v>-37769.86</v>
      </c>
      <c r="P299" s="184">
        <v>62337.09</v>
      </c>
    </row>
    <row r="300">
      <c r="A300" s="168">
        <v>26.0</v>
      </c>
      <c r="B300" s="168">
        <v>88.0</v>
      </c>
      <c r="C300" s="168">
        <v>60.0</v>
      </c>
      <c r="D300" s="168">
        <v>83.0</v>
      </c>
      <c r="E300" s="168">
        <v>7.0</v>
      </c>
      <c r="F300" s="168">
        <v>4.0</v>
      </c>
      <c r="G300" s="168">
        <v>5.0</v>
      </c>
      <c r="H300" s="183">
        <v>69464.44</v>
      </c>
      <c r="I300" s="184">
        <v>63554.45</v>
      </c>
      <c r="J300" s="168">
        <v>3.0</v>
      </c>
      <c r="K300" s="168">
        <v>4.0</v>
      </c>
      <c r="L300" s="168">
        <v>2.0</v>
      </c>
      <c r="M300" s="184">
        <v>-12379.43</v>
      </c>
      <c r="N300" s="184">
        <v>57350.6</v>
      </c>
      <c r="O300" s="184">
        <v>53825.34</v>
      </c>
      <c r="P300" s="184">
        <v>-18105.59</v>
      </c>
    </row>
    <row r="301">
      <c r="A301" s="168">
        <v>11.0</v>
      </c>
      <c r="B301" s="168">
        <v>38.0</v>
      </c>
      <c r="C301" s="168">
        <v>88.0</v>
      </c>
      <c r="D301" s="168">
        <v>75.0</v>
      </c>
      <c r="E301" s="168">
        <v>9.0</v>
      </c>
      <c r="F301" s="168">
        <v>9.0</v>
      </c>
      <c r="G301" s="168">
        <v>5.0</v>
      </c>
      <c r="H301" s="183">
        <v>-99936.57</v>
      </c>
      <c r="I301" s="184">
        <v>35042.89</v>
      </c>
      <c r="J301" s="168">
        <v>2.0</v>
      </c>
      <c r="K301" s="168">
        <v>6.0</v>
      </c>
      <c r="L301" s="168">
        <v>3.0</v>
      </c>
      <c r="M301" s="184">
        <v>-22140.58</v>
      </c>
      <c r="N301" s="184">
        <v>80779.33</v>
      </c>
      <c r="O301" s="184">
        <v>-97865.61</v>
      </c>
      <c r="P301" s="184">
        <v>12741.47</v>
      </c>
    </row>
    <row r="302">
      <c r="A302" s="168">
        <v>84.0</v>
      </c>
      <c r="B302" s="168">
        <v>25.0</v>
      </c>
      <c r="C302" s="168">
        <v>82.0</v>
      </c>
      <c r="D302" s="168">
        <v>36.0</v>
      </c>
      <c r="E302" s="168">
        <v>8.0</v>
      </c>
      <c r="F302" s="168">
        <v>5.0</v>
      </c>
      <c r="G302" s="168">
        <v>7.0</v>
      </c>
      <c r="H302" s="183">
        <v>83720.15</v>
      </c>
      <c r="I302" s="184">
        <v>17893.63</v>
      </c>
      <c r="J302" s="168">
        <v>2.0</v>
      </c>
      <c r="K302" s="168">
        <v>8.0</v>
      </c>
      <c r="L302" s="168">
        <v>8.0</v>
      </c>
      <c r="M302" s="184">
        <v>73644.72</v>
      </c>
      <c r="N302" s="184">
        <v>48276.2</v>
      </c>
      <c r="O302" s="184">
        <v>6916.72</v>
      </c>
      <c r="P302" s="184">
        <v>-76991.7</v>
      </c>
    </row>
    <row r="303">
      <c r="A303" s="168">
        <v>82.0</v>
      </c>
      <c r="B303" s="168">
        <v>55.0</v>
      </c>
      <c r="C303" s="168">
        <v>22.0</v>
      </c>
      <c r="D303" s="168">
        <v>81.0</v>
      </c>
      <c r="E303" s="168">
        <v>9.0</v>
      </c>
      <c r="F303" s="168">
        <v>5.0</v>
      </c>
      <c r="G303" s="168">
        <v>3.0</v>
      </c>
      <c r="H303" s="183">
        <v>-50921.2</v>
      </c>
      <c r="I303" s="184">
        <v>-49683.76</v>
      </c>
      <c r="J303" s="168">
        <v>3.0</v>
      </c>
      <c r="K303" s="168">
        <v>8.0</v>
      </c>
      <c r="L303" s="168">
        <v>9.0</v>
      </c>
      <c r="M303" s="184">
        <v>-94724.19</v>
      </c>
      <c r="N303" s="184">
        <v>-47093.05</v>
      </c>
      <c r="O303" s="184">
        <v>-45985.86</v>
      </c>
      <c r="P303" s="184">
        <v>-32504.39</v>
      </c>
    </row>
    <row r="304">
      <c r="A304" s="168">
        <v>18.0</v>
      </c>
      <c r="B304" s="168">
        <v>30.0</v>
      </c>
      <c r="C304" s="168">
        <v>71.0</v>
      </c>
      <c r="D304" s="168">
        <v>64.0</v>
      </c>
      <c r="E304" s="168">
        <v>4.0</v>
      </c>
      <c r="F304" s="168">
        <v>7.0</v>
      </c>
      <c r="G304" s="168">
        <v>4.0</v>
      </c>
      <c r="H304" s="183">
        <v>-41168.8</v>
      </c>
      <c r="I304" s="184">
        <v>-71629.39</v>
      </c>
      <c r="J304" s="168">
        <v>8.0</v>
      </c>
      <c r="K304" s="168">
        <v>7.0</v>
      </c>
      <c r="L304" s="168">
        <v>8.0</v>
      </c>
      <c r="M304" s="184">
        <v>83581.49</v>
      </c>
      <c r="N304" s="184">
        <v>-33249.64</v>
      </c>
      <c r="O304" s="184">
        <v>97686.23</v>
      </c>
      <c r="P304" s="184">
        <v>31394.42</v>
      </c>
    </row>
    <row r="305">
      <c r="A305" s="168">
        <v>66.0</v>
      </c>
      <c r="B305" s="168">
        <v>75.0</v>
      </c>
      <c r="C305" s="168">
        <v>71.0</v>
      </c>
      <c r="D305" s="168">
        <v>94.0</v>
      </c>
      <c r="E305" s="168">
        <v>2.0</v>
      </c>
      <c r="F305" s="168">
        <v>3.0</v>
      </c>
      <c r="G305" s="168">
        <v>3.0</v>
      </c>
      <c r="H305" s="183">
        <v>-97573.29</v>
      </c>
      <c r="I305" s="184">
        <v>15268.86</v>
      </c>
      <c r="J305" s="168">
        <v>9.0</v>
      </c>
      <c r="K305" s="168">
        <v>2.0</v>
      </c>
      <c r="L305" s="168">
        <v>6.0</v>
      </c>
      <c r="M305" s="184">
        <v>-17320.1</v>
      </c>
      <c r="N305" s="184">
        <v>-45937.9</v>
      </c>
      <c r="O305" s="184">
        <v>97454.8</v>
      </c>
      <c r="P305" s="184">
        <v>84937.83</v>
      </c>
    </row>
    <row r="306">
      <c r="A306" s="168">
        <v>32.0</v>
      </c>
      <c r="B306" s="168">
        <v>18.0</v>
      </c>
      <c r="C306" s="168">
        <v>24.0</v>
      </c>
      <c r="D306" s="168">
        <v>62.0</v>
      </c>
      <c r="E306" s="168">
        <v>1.0</v>
      </c>
      <c r="F306" s="168">
        <v>4.0</v>
      </c>
      <c r="G306" s="168">
        <v>1.0</v>
      </c>
      <c r="H306" s="183">
        <v>81096.68</v>
      </c>
      <c r="I306" s="184">
        <v>-44800.39</v>
      </c>
      <c r="J306" s="168">
        <v>8.0</v>
      </c>
      <c r="K306" s="168">
        <v>6.0</v>
      </c>
      <c r="L306" s="168">
        <v>4.0</v>
      </c>
      <c r="M306" s="184">
        <v>-71266.66</v>
      </c>
      <c r="N306" s="184">
        <v>41957.48</v>
      </c>
      <c r="O306" s="184">
        <v>-68700.06</v>
      </c>
      <c r="P306" s="184">
        <v>-58025.17</v>
      </c>
    </row>
    <row r="307">
      <c r="A307" s="168">
        <v>11.0</v>
      </c>
      <c r="B307" s="168">
        <v>35.0</v>
      </c>
      <c r="C307" s="168">
        <v>51.0</v>
      </c>
      <c r="D307" s="168">
        <v>92.0</v>
      </c>
      <c r="E307" s="168">
        <v>4.0</v>
      </c>
      <c r="F307" s="168">
        <v>3.0</v>
      </c>
      <c r="G307" s="168">
        <v>6.0</v>
      </c>
      <c r="H307" s="183">
        <v>25765.22</v>
      </c>
      <c r="I307" s="184">
        <v>-95507.21</v>
      </c>
      <c r="J307" s="168">
        <v>6.0</v>
      </c>
      <c r="K307" s="168">
        <v>1.0</v>
      </c>
      <c r="L307" s="168">
        <v>4.0</v>
      </c>
      <c r="M307" s="184">
        <v>-22010.79</v>
      </c>
      <c r="N307" s="184">
        <v>-85230.76</v>
      </c>
      <c r="O307" s="184">
        <v>-86964.31</v>
      </c>
      <c r="P307" s="184">
        <v>-87512.37</v>
      </c>
    </row>
    <row r="308">
      <c r="A308" s="168">
        <v>21.0</v>
      </c>
      <c r="B308" s="168">
        <v>24.0</v>
      </c>
      <c r="C308" s="168">
        <v>69.0</v>
      </c>
      <c r="D308" s="168">
        <v>41.0</v>
      </c>
      <c r="E308" s="168">
        <v>4.0</v>
      </c>
      <c r="F308" s="168">
        <v>1.0</v>
      </c>
      <c r="G308" s="168">
        <v>7.0</v>
      </c>
      <c r="H308" s="183">
        <v>-78930.58</v>
      </c>
      <c r="I308" s="184">
        <v>-66888.27</v>
      </c>
      <c r="J308" s="168">
        <v>4.0</v>
      </c>
      <c r="K308" s="168">
        <v>8.0</v>
      </c>
      <c r="L308" s="168">
        <v>4.0</v>
      </c>
      <c r="M308" s="184">
        <v>-45097.3</v>
      </c>
      <c r="N308" s="184">
        <v>-72689.41</v>
      </c>
      <c r="O308" s="184">
        <v>-14980.56</v>
      </c>
      <c r="P308" s="184">
        <v>-55728.45</v>
      </c>
    </row>
    <row r="309">
      <c r="A309" s="168">
        <v>65.0</v>
      </c>
      <c r="B309" s="168">
        <v>80.0</v>
      </c>
      <c r="C309" s="168">
        <v>15.0</v>
      </c>
      <c r="D309" s="168">
        <v>49.0</v>
      </c>
      <c r="E309" s="168">
        <v>1.0</v>
      </c>
      <c r="F309" s="168">
        <v>6.0</v>
      </c>
      <c r="G309" s="168">
        <v>7.0</v>
      </c>
      <c r="H309" s="183">
        <v>-43623.38</v>
      </c>
      <c r="I309" s="184">
        <v>-28160.5</v>
      </c>
      <c r="J309" s="168">
        <v>4.0</v>
      </c>
      <c r="K309" s="168">
        <v>7.0</v>
      </c>
      <c r="L309" s="168">
        <v>6.0</v>
      </c>
      <c r="M309" s="184">
        <v>6811.99</v>
      </c>
      <c r="N309" s="184">
        <v>86882.11</v>
      </c>
      <c r="O309" s="184">
        <v>34662.91</v>
      </c>
      <c r="P309" s="184">
        <v>-25058.36</v>
      </c>
    </row>
    <row r="310">
      <c r="A310" s="168">
        <v>40.0</v>
      </c>
      <c r="B310" s="168">
        <v>86.0</v>
      </c>
      <c r="C310" s="168">
        <v>33.0</v>
      </c>
      <c r="D310" s="168">
        <v>63.0</v>
      </c>
      <c r="E310" s="168">
        <v>8.0</v>
      </c>
      <c r="F310" s="168">
        <v>7.0</v>
      </c>
      <c r="G310" s="168">
        <v>9.0</v>
      </c>
      <c r="H310" s="183">
        <v>88321.02</v>
      </c>
      <c r="I310" s="184">
        <v>2699.27</v>
      </c>
      <c r="J310" s="168">
        <v>4.0</v>
      </c>
      <c r="K310" s="168">
        <v>8.0</v>
      </c>
      <c r="L310" s="168">
        <v>8.0</v>
      </c>
      <c r="M310" s="184">
        <v>12395.6</v>
      </c>
      <c r="N310" s="184">
        <v>96596.46</v>
      </c>
      <c r="O310" s="184">
        <v>-46219.92</v>
      </c>
      <c r="P310" s="184">
        <v>97994.45</v>
      </c>
    </row>
    <row r="311">
      <c r="A311" s="168">
        <v>99.0</v>
      </c>
      <c r="B311" s="168">
        <v>88.0</v>
      </c>
      <c r="C311" s="168">
        <v>53.0</v>
      </c>
      <c r="D311" s="168">
        <v>42.0</v>
      </c>
      <c r="E311" s="168">
        <v>6.0</v>
      </c>
      <c r="F311" s="168">
        <v>7.0</v>
      </c>
      <c r="G311" s="168">
        <v>8.0</v>
      </c>
      <c r="H311" s="183">
        <v>89591.26</v>
      </c>
      <c r="I311" s="184">
        <v>-89720.67</v>
      </c>
      <c r="J311" s="168">
        <v>6.0</v>
      </c>
      <c r="K311" s="168">
        <v>8.0</v>
      </c>
      <c r="L311" s="168">
        <v>9.0</v>
      </c>
      <c r="M311" s="184">
        <v>-81335.96</v>
      </c>
      <c r="N311" s="184">
        <v>-17383.66</v>
      </c>
      <c r="O311" s="184">
        <v>93775.02</v>
      </c>
      <c r="P311" s="184">
        <v>36972.46</v>
      </c>
    </row>
    <row r="312">
      <c r="A312" s="168">
        <v>36.0</v>
      </c>
      <c r="B312" s="168">
        <v>55.0</v>
      </c>
      <c r="C312" s="168">
        <v>20.0</v>
      </c>
      <c r="D312" s="168">
        <v>42.0</v>
      </c>
      <c r="E312" s="168">
        <v>7.0</v>
      </c>
      <c r="F312" s="168">
        <v>9.0</v>
      </c>
      <c r="G312" s="168">
        <v>9.0</v>
      </c>
      <c r="H312" s="183">
        <v>49143.44</v>
      </c>
      <c r="I312" s="184">
        <v>-36082.12</v>
      </c>
      <c r="J312" s="168">
        <v>8.0</v>
      </c>
      <c r="K312" s="168">
        <v>7.0</v>
      </c>
      <c r="L312" s="168">
        <v>6.0</v>
      </c>
      <c r="M312" s="184">
        <v>53218.43</v>
      </c>
      <c r="N312" s="184">
        <v>-52385.54</v>
      </c>
      <c r="O312" s="184">
        <v>-56615.05</v>
      </c>
      <c r="P312" s="184">
        <v>-31866.43</v>
      </c>
    </row>
    <row r="313">
      <c r="A313" s="168">
        <v>42.0</v>
      </c>
      <c r="B313" s="168">
        <v>79.0</v>
      </c>
      <c r="C313" s="168">
        <v>64.0</v>
      </c>
      <c r="D313" s="168">
        <v>40.0</v>
      </c>
      <c r="E313" s="168">
        <v>1.0</v>
      </c>
      <c r="F313" s="168">
        <v>8.0</v>
      </c>
      <c r="G313" s="168">
        <v>4.0</v>
      </c>
      <c r="H313" s="183">
        <v>-49431.21</v>
      </c>
      <c r="I313" s="184">
        <v>95144.71</v>
      </c>
      <c r="J313" s="168">
        <v>9.0</v>
      </c>
      <c r="K313" s="168">
        <v>9.0</v>
      </c>
      <c r="L313" s="168">
        <v>4.0</v>
      </c>
      <c r="M313" s="184">
        <v>53813.1</v>
      </c>
      <c r="N313" s="184">
        <v>-48882.17</v>
      </c>
      <c r="O313" s="184">
        <v>-92295.29</v>
      </c>
      <c r="P313" s="184">
        <v>-92550.55</v>
      </c>
    </row>
    <row r="314">
      <c r="A314" s="168">
        <v>63.0</v>
      </c>
      <c r="B314" s="168">
        <v>42.0</v>
      </c>
      <c r="C314" s="168">
        <v>71.0</v>
      </c>
      <c r="D314" s="168">
        <v>90.0</v>
      </c>
      <c r="E314" s="168">
        <v>1.0</v>
      </c>
      <c r="F314" s="168">
        <v>9.0</v>
      </c>
      <c r="G314" s="168">
        <v>1.0</v>
      </c>
      <c r="H314" s="183">
        <v>76202.17</v>
      </c>
      <c r="I314" s="184">
        <v>-49210.13</v>
      </c>
      <c r="J314" s="168">
        <v>6.0</v>
      </c>
      <c r="K314" s="168">
        <v>6.0</v>
      </c>
      <c r="L314" s="168">
        <v>8.0</v>
      </c>
      <c r="M314" s="184">
        <v>-71083.3</v>
      </c>
      <c r="N314" s="184">
        <v>-86612.91</v>
      </c>
      <c r="O314" s="184">
        <v>65290.31</v>
      </c>
      <c r="P314" s="184">
        <v>36999.3</v>
      </c>
    </row>
    <row r="315">
      <c r="A315" s="168">
        <v>83.0</v>
      </c>
      <c r="B315" s="168">
        <v>34.0</v>
      </c>
      <c r="C315" s="168">
        <v>76.0</v>
      </c>
      <c r="D315" s="168">
        <v>89.0</v>
      </c>
      <c r="E315" s="168">
        <v>4.0</v>
      </c>
      <c r="F315" s="168">
        <v>4.0</v>
      </c>
      <c r="G315" s="168">
        <v>3.0</v>
      </c>
      <c r="H315" s="183">
        <v>-94599.19</v>
      </c>
      <c r="I315" s="184">
        <v>16964.76</v>
      </c>
      <c r="J315" s="168">
        <v>4.0</v>
      </c>
      <c r="K315" s="168">
        <v>7.0</v>
      </c>
      <c r="L315" s="168">
        <v>4.0</v>
      </c>
      <c r="M315" s="184">
        <v>-68133.58</v>
      </c>
      <c r="N315" s="184">
        <v>95292.21</v>
      </c>
      <c r="O315" s="184">
        <v>34400.1</v>
      </c>
      <c r="P315" s="184">
        <v>5837.58</v>
      </c>
    </row>
    <row r="316">
      <c r="A316" s="168">
        <v>99.0</v>
      </c>
      <c r="B316" s="168">
        <v>28.0</v>
      </c>
      <c r="C316" s="168">
        <v>36.0</v>
      </c>
      <c r="D316" s="168">
        <v>43.0</v>
      </c>
      <c r="E316" s="168">
        <v>1.0</v>
      </c>
      <c r="F316" s="168">
        <v>1.0</v>
      </c>
      <c r="G316" s="168">
        <v>1.0</v>
      </c>
      <c r="H316" s="183">
        <v>71623.15</v>
      </c>
      <c r="I316" s="184">
        <v>75355.31</v>
      </c>
      <c r="J316" s="168">
        <v>8.0</v>
      </c>
      <c r="K316" s="168">
        <v>5.0</v>
      </c>
      <c r="L316" s="168">
        <v>5.0</v>
      </c>
      <c r="M316" s="184">
        <v>-48133.0</v>
      </c>
      <c r="N316" s="184">
        <v>89209.91</v>
      </c>
      <c r="O316" s="184">
        <v>51793.37</v>
      </c>
      <c r="P316" s="184">
        <v>17471.78</v>
      </c>
    </row>
    <row r="317">
      <c r="A317" s="168">
        <v>78.0</v>
      </c>
      <c r="B317" s="168">
        <v>46.0</v>
      </c>
      <c r="C317" s="168">
        <v>60.0</v>
      </c>
      <c r="D317" s="168">
        <v>20.0</v>
      </c>
      <c r="E317" s="168">
        <v>8.0</v>
      </c>
      <c r="F317" s="168">
        <v>3.0</v>
      </c>
      <c r="G317" s="168">
        <v>5.0</v>
      </c>
      <c r="H317" s="183">
        <v>20794.88</v>
      </c>
      <c r="I317" s="184">
        <v>67229.56</v>
      </c>
      <c r="J317" s="168">
        <v>4.0</v>
      </c>
      <c r="K317" s="168">
        <v>7.0</v>
      </c>
      <c r="L317" s="168">
        <v>6.0</v>
      </c>
      <c r="M317" s="184">
        <v>-9666.83</v>
      </c>
      <c r="N317" s="184">
        <v>28695.17</v>
      </c>
      <c r="O317" s="184">
        <v>-12464.29</v>
      </c>
      <c r="P317" s="184">
        <v>97433.21</v>
      </c>
    </row>
    <row r="318">
      <c r="A318" s="168">
        <v>69.0</v>
      </c>
      <c r="B318" s="168">
        <v>64.0</v>
      </c>
      <c r="C318" s="168">
        <v>26.0</v>
      </c>
      <c r="D318" s="168">
        <v>55.0</v>
      </c>
      <c r="E318" s="168">
        <v>2.0</v>
      </c>
      <c r="F318" s="168">
        <v>1.0</v>
      </c>
      <c r="G318" s="168">
        <v>7.0</v>
      </c>
      <c r="H318" s="183">
        <v>-10364.41</v>
      </c>
      <c r="I318" s="184">
        <v>34610.16</v>
      </c>
      <c r="J318" s="168">
        <v>5.0</v>
      </c>
      <c r="K318" s="168">
        <v>4.0</v>
      </c>
      <c r="L318" s="168">
        <v>3.0</v>
      </c>
      <c r="M318" s="184">
        <v>13018.77</v>
      </c>
      <c r="N318" s="184">
        <v>-519.43</v>
      </c>
      <c r="O318" s="184">
        <v>-91787.51</v>
      </c>
      <c r="P318" s="184">
        <v>79896.67</v>
      </c>
    </row>
    <row r="319">
      <c r="A319" s="168">
        <v>61.0</v>
      </c>
      <c r="B319" s="168">
        <v>75.0</v>
      </c>
      <c r="C319" s="168">
        <v>17.0</v>
      </c>
      <c r="D319" s="168">
        <v>87.0</v>
      </c>
      <c r="E319" s="168">
        <v>6.0</v>
      </c>
      <c r="F319" s="168">
        <v>5.0</v>
      </c>
      <c r="G319" s="168">
        <v>6.0</v>
      </c>
      <c r="H319" s="183">
        <v>17132.21</v>
      </c>
      <c r="I319" s="184">
        <v>-43157.72</v>
      </c>
      <c r="J319" s="168">
        <v>6.0</v>
      </c>
      <c r="K319" s="168">
        <v>9.0</v>
      </c>
      <c r="L319" s="168">
        <v>9.0</v>
      </c>
      <c r="M319" s="184">
        <v>-357.48</v>
      </c>
      <c r="N319" s="184">
        <v>44690.67</v>
      </c>
      <c r="O319" s="184">
        <v>-24519.69</v>
      </c>
      <c r="P319" s="184">
        <v>72097.99</v>
      </c>
    </row>
    <row r="320">
      <c r="A320" s="168">
        <v>60.0</v>
      </c>
      <c r="B320" s="168">
        <v>75.0</v>
      </c>
      <c r="C320" s="168">
        <v>57.0</v>
      </c>
      <c r="D320" s="168">
        <v>16.0</v>
      </c>
      <c r="E320" s="168">
        <v>3.0</v>
      </c>
      <c r="F320" s="168">
        <v>7.0</v>
      </c>
      <c r="G320" s="168">
        <v>3.0</v>
      </c>
      <c r="H320" s="183">
        <v>59330.5</v>
      </c>
      <c r="I320" s="184">
        <v>-12872.18</v>
      </c>
      <c r="J320" s="168">
        <v>3.0</v>
      </c>
      <c r="K320" s="168">
        <v>7.0</v>
      </c>
      <c r="L320" s="168">
        <v>2.0</v>
      </c>
      <c r="M320" s="184">
        <v>98765.88</v>
      </c>
      <c r="N320" s="184">
        <v>-77087.16</v>
      </c>
      <c r="O320" s="184">
        <v>26488.68</v>
      </c>
      <c r="P320" s="184">
        <v>-39985.44</v>
      </c>
    </row>
    <row r="321">
      <c r="A321" s="168">
        <v>20.0</v>
      </c>
      <c r="B321" s="168">
        <v>64.0</v>
      </c>
      <c r="C321" s="168">
        <v>35.0</v>
      </c>
      <c r="D321" s="168">
        <v>44.0</v>
      </c>
      <c r="E321" s="168">
        <v>2.0</v>
      </c>
      <c r="F321" s="168">
        <v>6.0</v>
      </c>
      <c r="G321" s="168">
        <v>2.0</v>
      </c>
      <c r="H321" s="183">
        <v>-59181.59</v>
      </c>
      <c r="I321" s="184">
        <v>93235.88</v>
      </c>
      <c r="J321" s="168">
        <v>9.0</v>
      </c>
      <c r="K321" s="168">
        <v>5.0</v>
      </c>
      <c r="L321" s="168">
        <v>6.0</v>
      </c>
      <c r="M321" s="184">
        <v>-5553.19</v>
      </c>
      <c r="N321" s="184">
        <v>7614.38</v>
      </c>
      <c r="O321" s="184">
        <v>-77875.5</v>
      </c>
      <c r="P321" s="184">
        <v>-8844.33</v>
      </c>
    </row>
    <row r="322">
      <c r="A322" s="168">
        <v>96.0</v>
      </c>
      <c r="B322" s="168">
        <v>83.0</v>
      </c>
      <c r="C322" s="168">
        <v>43.0</v>
      </c>
      <c r="D322" s="168">
        <v>46.0</v>
      </c>
      <c r="E322" s="168">
        <v>3.0</v>
      </c>
      <c r="F322" s="168">
        <v>3.0</v>
      </c>
      <c r="G322" s="168">
        <v>9.0</v>
      </c>
      <c r="H322" s="183">
        <v>52525.3</v>
      </c>
      <c r="I322" s="184">
        <v>-54866.92</v>
      </c>
      <c r="J322" s="168">
        <v>2.0</v>
      </c>
      <c r="K322" s="168">
        <v>5.0</v>
      </c>
      <c r="L322" s="168">
        <v>9.0</v>
      </c>
      <c r="M322" s="184">
        <v>68903.88</v>
      </c>
      <c r="N322" s="184">
        <v>86775.1</v>
      </c>
      <c r="O322" s="184">
        <v>31290.23</v>
      </c>
      <c r="P322" s="184">
        <v>63022.81</v>
      </c>
    </row>
    <row r="323">
      <c r="A323" s="168">
        <v>66.0</v>
      </c>
      <c r="B323" s="168">
        <v>13.0</v>
      </c>
      <c r="C323" s="168">
        <v>19.0</v>
      </c>
      <c r="D323" s="168">
        <v>55.0</v>
      </c>
      <c r="E323" s="168">
        <v>6.0</v>
      </c>
      <c r="F323" s="168">
        <v>2.0</v>
      </c>
      <c r="G323" s="168">
        <v>9.0</v>
      </c>
      <c r="H323" s="183">
        <v>24837.17</v>
      </c>
      <c r="I323" s="184">
        <v>58222.5</v>
      </c>
      <c r="J323" s="168">
        <v>6.0</v>
      </c>
      <c r="K323" s="168">
        <v>5.0</v>
      </c>
      <c r="L323" s="168">
        <v>8.0</v>
      </c>
      <c r="M323" s="184">
        <v>-50431.69</v>
      </c>
      <c r="N323" s="184">
        <v>-51756.2</v>
      </c>
      <c r="O323" s="184">
        <v>34090.27</v>
      </c>
      <c r="P323" s="184">
        <v>-19829.91</v>
      </c>
    </row>
    <row r="324">
      <c r="A324" s="168">
        <v>42.0</v>
      </c>
      <c r="B324" s="168">
        <v>79.0</v>
      </c>
      <c r="C324" s="168">
        <v>66.0</v>
      </c>
      <c r="D324" s="168">
        <v>65.0</v>
      </c>
      <c r="E324" s="168">
        <v>2.0</v>
      </c>
      <c r="F324" s="168">
        <v>9.0</v>
      </c>
      <c r="G324" s="168">
        <v>7.0</v>
      </c>
      <c r="H324" s="183">
        <v>60129.62</v>
      </c>
      <c r="I324" s="184">
        <v>66963.08</v>
      </c>
      <c r="J324" s="168">
        <v>9.0</v>
      </c>
      <c r="K324" s="168">
        <v>1.0</v>
      </c>
      <c r="L324" s="168">
        <v>1.0</v>
      </c>
      <c r="M324" s="184">
        <v>18306.48</v>
      </c>
      <c r="N324" s="184">
        <v>14397.08</v>
      </c>
      <c r="O324" s="184">
        <v>-52735.69</v>
      </c>
      <c r="P324" s="184">
        <v>4512.83</v>
      </c>
    </row>
    <row r="325">
      <c r="A325" s="168">
        <v>52.0</v>
      </c>
      <c r="B325" s="168">
        <v>26.0</v>
      </c>
      <c r="C325" s="168">
        <v>38.0</v>
      </c>
      <c r="D325" s="168">
        <v>73.0</v>
      </c>
      <c r="E325" s="168">
        <v>6.0</v>
      </c>
      <c r="F325" s="168">
        <v>9.0</v>
      </c>
      <c r="G325" s="168">
        <v>6.0</v>
      </c>
      <c r="H325" s="183">
        <v>72666.07</v>
      </c>
      <c r="I325" s="184">
        <v>-53330.02</v>
      </c>
      <c r="J325" s="168">
        <v>8.0</v>
      </c>
      <c r="K325" s="168">
        <v>5.0</v>
      </c>
      <c r="L325" s="168">
        <v>8.0</v>
      </c>
      <c r="M325" s="184">
        <v>83109.98</v>
      </c>
      <c r="N325" s="184">
        <v>20142.6</v>
      </c>
      <c r="O325" s="184">
        <v>-30690.05</v>
      </c>
      <c r="P325" s="184">
        <v>49249.0</v>
      </c>
    </row>
    <row r="326">
      <c r="A326" s="168">
        <v>23.0</v>
      </c>
      <c r="B326" s="168">
        <v>14.0</v>
      </c>
      <c r="C326" s="168">
        <v>55.0</v>
      </c>
      <c r="D326" s="168">
        <v>34.0</v>
      </c>
      <c r="E326" s="168">
        <v>6.0</v>
      </c>
      <c r="F326" s="168">
        <v>7.0</v>
      </c>
      <c r="G326" s="168">
        <v>8.0</v>
      </c>
      <c r="H326" s="183">
        <v>41735.97</v>
      </c>
      <c r="I326" s="184">
        <v>-20402.23</v>
      </c>
      <c r="J326" s="168">
        <v>1.0</v>
      </c>
      <c r="K326" s="168">
        <v>4.0</v>
      </c>
      <c r="L326" s="168">
        <v>6.0</v>
      </c>
      <c r="M326" s="184">
        <v>-53590.09</v>
      </c>
      <c r="N326" s="184">
        <v>-70566.3</v>
      </c>
      <c r="O326" s="184">
        <v>-94372.14</v>
      </c>
      <c r="P326" s="184">
        <v>-70073.48</v>
      </c>
    </row>
    <row r="327">
      <c r="A327" s="168">
        <v>55.0</v>
      </c>
      <c r="B327" s="168">
        <v>83.0</v>
      </c>
      <c r="C327" s="168">
        <v>55.0</v>
      </c>
      <c r="D327" s="168">
        <v>61.0</v>
      </c>
      <c r="E327" s="168">
        <v>6.0</v>
      </c>
      <c r="F327" s="168">
        <v>6.0</v>
      </c>
      <c r="G327" s="168">
        <v>6.0</v>
      </c>
      <c r="H327" s="183">
        <v>19918.56</v>
      </c>
      <c r="I327" s="184">
        <v>43339.89</v>
      </c>
      <c r="J327" s="168">
        <v>8.0</v>
      </c>
      <c r="K327" s="168">
        <v>1.0</v>
      </c>
      <c r="L327" s="168">
        <v>2.0</v>
      </c>
      <c r="M327" s="184">
        <v>94481.95</v>
      </c>
      <c r="N327" s="184">
        <v>-15711.34</v>
      </c>
      <c r="O327" s="184">
        <v>-87170.35</v>
      </c>
      <c r="P327" s="184">
        <v>-87100.69</v>
      </c>
    </row>
    <row r="328">
      <c r="A328" s="168">
        <v>79.0</v>
      </c>
      <c r="B328" s="168">
        <v>88.0</v>
      </c>
      <c r="C328" s="168">
        <v>56.0</v>
      </c>
      <c r="D328" s="168">
        <v>89.0</v>
      </c>
      <c r="E328" s="168">
        <v>7.0</v>
      </c>
      <c r="F328" s="168">
        <v>8.0</v>
      </c>
      <c r="G328" s="168">
        <v>7.0</v>
      </c>
      <c r="H328" s="183">
        <v>-7557.98</v>
      </c>
      <c r="I328" s="184">
        <v>58182.06</v>
      </c>
      <c r="J328" s="168">
        <v>6.0</v>
      </c>
      <c r="K328" s="168">
        <v>4.0</v>
      </c>
      <c r="L328" s="168">
        <v>8.0</v>
      </c>
      <c r="M328" s="184">
        <v>-69464.37</v>
      </c>
      <c r="N328" s="184">
        <v>51942.2</v>
      </c>
      <c r="O328" s="184">
        <v>20501.59</v>
      </c>
      <c r="P328" s="184">
        <v>85532.91</v>
      </c>
    </row>
    <row r="329">
      <c r="A329" s="168">
        <v>75.0</v>
      </c>
      <c r="B329" s="168">
        <v>75.0</v>
      </c>
      <c r="C329" s="168">
        <v>40.0</v>
      </c>
      <c r="D329" s="168">
        <v>45.0</v>
      </c>
      <c r="E329" s="168">
        <v>4.0</v>
      </c>
      <c r="F329" s="168">
        <v>6.0</v>
      </c>
      <c r="G329" s="168">
        <v>2.0</v>
      </c>
      <c r="H329" s="183">
        <v>72528.27</v>
      </c>
      <c r="I329" s="184">
        <v>71618.04</v>
      </c>
      <c r="J329" s="168">
        <v>2.0</v>
      </c>
      <c r="K329" s="168">
        <v>4.0</v>
      </c>
      <c r="L329" s="168">
        <v>7.0</v>
      </c>
      <c r="M329" s="184">
        <v>-34354.38</v>
      </c>
      <c r="N329" s="184">
        <v>39657.89</v>
      </c>
      <c r="O329" s="184">
        <v>52850.25</v>
      </c>
      <c r="P329" s="184">
        <v>82792.19</v>
      </c>
    </row>
    <row r="330">
      <c r="A330" s="168">
        <v>59.0</v>
      </c>
      <c r="B330" s="168">
        <v>79.0</v>
      </c>
      <c r="C330" s="168">
        <v>14.0</v>
      </c>
      <c r="D330" s="168">
        <v>18.0</v>
      </c>
      <c r="E330" s="168">
        <v>1.0</v>
      </c>
      <c r="F330" s="168">
        <v>7.0</v>
      </c>
      <c r="G330" s="168">
        <v>4.0</v>
      </c>
      <c r="H330" s="183">
        <v>60255.07</v>
      </c>
      <c r="I330" s="184">
        <v>-82310.14</v>
      </c>
      <c r="J330" s="168">
        <v>8.0</v>
      </c>
      <c r="K330" s="168">
        <v>1.0</v>
      </c>
      <c r="L330" s="168">
        <v>7.0</v>
      </c>
      <c r="M330" s="184">
        <v>-91798.6</v>
      </c>
      <c r="N330" s="184">
        <v>79365.24</v>
      </c>
      <c r="O330" s="184">
        <v>60145.29</v>
      </c>
      <c r="P330" s="184">
        <v>-39046.02</v>
      </c>
    </row>
    <row r="331">
      <c r="A331" s="168">
        <v>50.0</v>
      </c>
      <c r="B331" s="168">
        <v>83.0</v>
      </c>
      <c r="C331" s="168">
        <v>61.0</v>
      </c>
      <c r="D331" s="168">
        <v>12.0</v>
      </c>
      <c r="E331" s="168">
        <v>5.0</v>
      </c>
      <c r="F331" s="168">
        <v>2.0</v>
      </c>
      <c r="G331" s="168">
        <v>1.0</v>
      </c>
      <c r="H331" s="183">
        <v>-75741.08</v>
      </c>
      <c r="I331" s="184">
        <v>50658.43</v>
      </c>
      <c r="J331" s="168">
        <v>7.0</v>
      </c>
      <c r="K331" s="168">
        <v>3.0</v>
      </c>
      <c r="L331" s="168">
        <v>5.0</v>
      </c>
      <c r="M331" s="184">
        <v>39516.39</v>
      </c>
      <c r="N331" s="184">
        <v>-34031.17</v>
      </c>
      <c r="O331" s="184">
        <v>-41231.68</v>
      </c>
      <c r="P331" s="184">
        <v>-7617.09</v>
      </c>
    </row>
    <row r="332">
      <c r="A332" s="168">
        <v>49.0</v>
      </c>
      <c r="B332" s="168">
        <v>42.0</v>
      </c>
      <c r="C332" s="168">
        <v>15.0</v>
      </c>
      <c r="D332" s="168">
        <v>28.0</v>
      </c>
      <c r="E332" s="168">
        <v>6.0</v>
      </c>
      <c r="F332" s="168">
        <v>4.0</v>
      </c>
      <c r="G332" s="168">
        <v>8.0</v>
      </c>
      <c r="H332" s="183">
        <v>-59316.4</v>
      </c>
      <c r="I332" s="184">
        <v>-34097.25</v>
      </c>
      <c r="J332" s="168">
        <v>7.0</v>
      </c>
      <c r="K332" s="168">
        <v>5.0</v>
      </c>
      <c r="L332" s="168">
        <v>9.0</v>
      </c>
      <c r="M332" s="184">
        <v>29574.77</v>
      </c>
      <c r="N332" s="184">
        <v>90089.37</v>
      </c>
      <c r="O332" s="184">
        <v>-11897.37</v>
      </c>
      <c r="P332" s="184">
        <v>60672.81</v>
      </c>
    </row>
    <row r="333">
      <c r="A333" s="168">
        <v>83.0</v>
      </c>
      <c r="B333" s="168">
        <v>92.0</v>
      </c>
      <c r="C333" s="168">
        <v>61.0</v>
      </c>
      <c r="D333" s="168">
        <v>90.0</v>
      </c>
      <c r="E333" s="168">
        <v>8.0</v>
      </c>
      <c r="F333" s="168">
        <v>1.0</v>
      </c>
      <c r="G333" s="168">
        <v>6.0</v>
      </c>
      <c r="H333" s="183">
        <v>-73964.86</v>
      </c>
      <c r="I333" s="184">
        <v>54870.16</v>
      </c>
      <c r="J333" s="168">
        <v>5.0</v>
      </c>
      <c r="K333" s="168">
        <v>7.0</v>
      </c>
      <c r="L333" s="168">
        <v>8.0</v>
      </c>
      <c r="M333" s="184">
        <v>27406.85</v>
      </c>
      <c r="N333" s="184">
        <v>-10450.39</v>
      </c>
      <c r="O333" s="184">
        <v>-17848.68</v>
      </c>
      <c r="P333" s="184">
        <v>89130.51</v>
      </c>
    </row>
    <row r="334">
      <c r="A334" s="168">
        <v>68.0</v>
      </c>
      <c r="B334" s="168">
        <v>25.0</v>
      </c>
      <c r="C334" s="168">
        <v>80.0</v>
      </c>
      <c r="D334" s="168">
        <v>25.0</v>
      </c>
      <c r="E334" s="168">
        <v>5.0</v>
      </c>
      <c r="F334" s="168">
        <v>8.0</v>
      </c>
      <c r="G334" s="168">
        <v>1.0</v>
      </c>
      <c r="H334" s="183">
        <v>30599.83</v>
      </c>
      <c r="I334" s="184">
        <v>-18960.32</v>
      </c>
      <c r="J334" s="168">
        <v>9.0</v>
      </c>
      <c r="K334" s="168">
        <v>5.0</v>
      </c>
      <c r="L334" s="168">
        <v>1.0</v>
      </c>
      <c r="M334" s="184">
        <v>85970.05</v>
      </c>
      <c r="N334" s="184">
        <v>23598.97</v>
      </c>
      <c r="O334" s="184">
        <v>-72078.22</v>
      </c>
      <c r="P334" s="184">
        <v>-21691.65</v>
      </c>
    </row>
    <row r="335">
      <c r="A335" s="168">
        <v>48.0</v>
      </c>
      <c r="B335" s="168">
        <v>30.0</v>
      </c>
      <c r="C335" s="168">
        <v>50.0</v>
      </c>
      <c r="D335" s="168">
        <v>64.0</v>
      </c>
      <c r="E335" s="168">
        <v>4.0</v>
      </c>
      <c r="F335" s="168">
        <v>6.0</v>
      </c>
      <c r="G335" s="168">
        <v>1.0</v>
      </c>
      <c r="H335" s="183">
        <v>96492.96</v>
      </c>
      <c r="I335" s="184">
        <v>60929.37</v>
      </c>
      <c r="J335" s="168">
        <v>8.0</v>
      </c>
      <c r="K335" s="168">
        <v>9.0</v>
      </c>
      <c r="L335" s="168">
        <v>6.0</v>
      </c>
      <c r="M335" s="184">
        <v>44497.67</v>
      </c>
      <c r="N335" s="184">
        <v>-38968.31</v>
      </c>
      <c r="O335" s="184">
        <v>-62157.96</v>
      </c>
      <c r="P335" s="184">
        <v>-66761.72</v>
      </c>
    </row>
    <row r="336">
      <c r="A336" s="168">
        <v>82.0</v>
      </c>
      <c r="B336" s="168">
        <v>80.0</v>
      </c>
      <c r="C336" s="168">
        <v>46.0</v>
      </c>
      <c r="D336" s="168">
        <v>65.0</v>
      </c>
      <c r="E336" s="168">
        <v>6.0</v>
      </c>
      <c r="F336" s="168">
        <v>1.0</v>
      </c>
      <c r="G336" s="168">
        <v>3.0</v>
      </c>
      <c r="H336" s="183">
        <v>-57002.34</v>
      </c>
      <c r="I336" s="184">
        <v>4649.06</v>
      </c>
      <c r="J336" s="168">
        <v>1.0</v>
      </c>
      <c r="K336" s="168">
        <v>9.0</v>
      </c>
      <c r="L336" s="168">
        <v>8.0</v>
      </c>
      <c r="M336" s="184">
        <v>18135.46</v>
      </c>
      <c r="N336" s="184">
        <v>8593.16</v>
      </c>
      <c r="O336" s="184">
        <v>34468.89</v>
      </c>
      <c r="P336" s="184">
        <v>8811.15</v>
      </c>
    </row>
    <row r="337">
      <c r="A337" s="168">
        <v>43.0</v>
      </c>
      <c r="B337" s="168">
        <v>95.0</v>
      </c>
      <c r="C337" s="168">
        <v>22.0</v>
      </c>
      <c r="D337" s="168">
        <v>32.0</v>
      </c>
      <c r="E337" s="168">
        <v>6.0</v>
      </c>
      <c r="F337" s="168">
        <v>1.0</v>
      </c>
      <c r="G337" s="168">
        <v>1.0</v>
      </c>
      <c r="H337" s="183">
        <v>-10065.05</v>
      </c>
      <c r="I337" s="184">
        <v>-570.16</v>
      </c>
      <c r="J337" s="168">
        <v>6.0</v>
      </c>
      <c r="K337" s="168">
        <v>8.0</v>
      </c>
      <c r="L337" s="168">
        <v>9.0</v>
      </c>
      <c r="M337" s="184">
        <v>37879.54</v>
      </c>
      <c r="N337" s="184">
        <v>-16592.11</v>
      </c>
      <c r="O337" s="184">
        <v>9541.03</v>
      </c>
      <c r="P337" s="184">
        <v>-37601.34</v>
      </c>
    </row>
    <row r="338">
      <c r="A338" s="168">
        <v>59.0</v>
      </c>
      <c r="B338" s="168">
        <v>69.0</v>
      </c>
      <c r="C338" s="168">
        <v>18.0</v>
      </c>
      <c r="D338" s="168">
        <v>44.0</v>
      </c>
      <c r="E338" s="168">
        <v>3.0</v>
      </c>
      <c r="F338" s="168">
        <v>3.0</v>
      </c>
      <c r="G338" s="168">
        <v>4.0</v>
      </c>
      <c r="H338" s="183">
        <v>-49845.75</v>
      </c>
      <c r="I338" s="184">
        <v>-66154.73</v>
      </c>
      <c r="J338" s="168">
        <v>8.0</v>
      </c>
      <c r="K338" s="168">
        <v>3.0</v>
      </c>
      <c r="L338" s="168">
        <v>5.0</v>
      </c>
      <c r="M338" s="184">
        <v>-37480.33</v>
      </c>
      <c r="N338" s="184">
        <v>69574.75</v>
      </c>
      <c r="O338" s="184">
        <v>68627.72</v>
      </c>
      <c r="P338" s="184">
        <v>-15467.75</v>
      </c>
    </row>
    <row r="339">
      <c r="A339" s="168">
        <v>77.0</v>
      </c>
      <c r="B339" s="168">
        <v>37.0</v>
      </c>
      <c r="C339" s="168">
        <v>27.0</v>
      </c>
      <c r="D339" s="168">
        <v>36.0</v>
      </c>
      <c r="E339" s="168">
        <v>3.0</v>
      </c>
      <c r="F339" s="168">
        <v>1.0</v>
      </c>
      <c r="G339" s="168">
        <v>8.0</v>
      </c>
      <c r="H339" s="183">
        <v>30851.66</v>
      </c>
      <c r="I339" s="184">
        <v>92498.06</v>
      </c>
      <c r="J339" s="168">
        <v>9.0</v>
      </c>
      <c r="K339" s="168">
        <v>2.0</v>
      </c>
      <c r="L339" s="168">
        <v>2.0</v>
      </c>
      <c r="M339" s="184">
        <v>61206.69</v>
      </c>
      <c r="N339" s="184">
        <v>95903.85</v>
      </c>
      <c r="O339" s="184">
        <v>-75443.21</v>
      </c>
      <c r="P339" s="184">
        <v>-76395.98</v>
      </c>
    </row>
    <row r="340">
      <c r="A340" s="168">
        <v>36.0</v>
      </c>
      <c r="B340" s="168">
        <v>36.0</v>
      </c>
      <c r="C340" s="168">
        <v>70.0</v>
      </c>
      <c r="D340" s="168">
        <v>67.0</v>
      </c>
      <c r="E340" s="168">
        <v>4.0</v>
      </c>
      <c r="F340" s="168">
        <v>4.0</v>
      </c>
      <c r="G340" s="168">
        <v>9.0</v>
      </c>
      <c r="H340" s="183">
        <v>16815.28</v>
      </c>
      <c r="I340" s="184">
        <v>-48707.66</v>
      </c>
      <c r="J340" s="168">
        <v>5.0</v>
      </c>
      <c r="K340" s="168">
        <v>5.0</v>
      </c>
      <c r="L340" s="168">
        <v>9.0</v>
      </c>
      <c r="M340" s="184">
        <v>95423.98</v>
      </c>
      <c r="N340" s="184">
        <v>15633.67</v>
      </c>
      <c r="O340" s="184">
        <v>79096.4</v>
      </c>
      <c r="P340" s="184">
        <v>20176.5</v>
      </c>
    </row>
    <row r="341">
      <c r="A341" s="168">
        <v>45.0</v>
      </c>
      <c r="B341" s="168">
        <v>80.0</v>
      </c>
      <c r="C341" s="168">
        <v>10.0</v>
      </c>
      <c r="D341" s="168">
        <v>67.0</v>
      </c>
      <c r="E341" s="168">
        <v>1.0</v>
      </c>
      <c r="F341" s="168">
        <v>8.0</v>
      </c>
      <c r="G341" s="168">
        <v>4.0</v>
      </c>
      <c r="H341" s="183">
        <v>29927.0</v>
      </c>
      <c r="I341" s="184">
        <v>21676.31</v>
      </c>
      <c r="J341" s="168">
        <v>2.0</v>
      </c>
      <c r="K341" s="168">
        <v>9.0</v>
      </c>
      <c r="L341" s="168">
        <v>5.0</v>
      </c>
      <c r="M341" s="184">
        <v>-87381.46</v>
      </c>
      <c r="N341" s="184">
        <v>-40397.73</v>
      </c>
      <c r="O341" s="184">
        <v>83420.56</v>
      </c>
      <c r="P341" s="184">
        <v>27366.83</v>
      </c>
    </row>
    <row r="342">
      <c r="A342" s="168">
        <v>37.0</v>
      </c>
      <c r="B342" s="168">
        <v>78.0</v>
      </c>
      <c r="C342" s="168">
        <v>58.0</v>
      </c>
      <c r="D342" s="168">
        <v>24.0</v>
      </c>
      <c r="E342" s="168">
        <v>9.0</v>
      </c>
      <c r="F342" s="168">
        <v>9.0</v>
      </c>
      <c r="G342" s="168">
        <v>6.0</v>
      </c>
      <c r="H342" s="183">
        <v>-32422.85</v>
      </c>
      <c r="I342" s="184">
        <v>-92451.69</v>
      </c>
      <c r="J342" s="168">
        <v>9.0</v>
      </c>
      <c r="K342" s="168">
        <v>2.0</v>
      </c>
      <c r="L342" s="168">
        <v>5.0</v>
      </c>
      <c r="M342" s="184">
        <v>-65369.06</v>
      </c>
      <c r="N342" s="184">
        <v>31188.33</v>
      </c>
      <c r="O342" s="184">
        <v>-62080.16</v>
      </c>
      <c r="P342" s="184">
        <v>47080.94</v>
      </c>
    </row>
    <row r="343">
      <c r="A343" s="168">
        <v>65.0</v>
      </c>
      <c r="B343" s="168">
        <v>58.0</v>
      </c>
      <c r="C343" s="168">
        <v>29.0</v>
      </c>
      <c r="D343" s="168">
        <v>59.0</v>
      </c>
      <c r="E343" s="168">
        <v>7.0</v>
      </c>
      <c r="F343" s="168">
        <v>4.0</v>
      </c>
      <c r="G343" s="168">
        <v>2.0</v>
      </c>
      <c r="H343" s="183">
        <v>95573.51</v>
      </c>
      <c r="I343" s="184">
        <v>-22427.68</v>
      </c>
      <c r="J343" s="168">
        <v>5.0</v>
      </c>
      <c r="K343" s="168">
        <v>7.0</v>
      </c>
      <c r="L343" s="168">
        <v>3.0</v>
      </c>
      <c r="M343" s="184">
        <v>42266.55</v>
      </c>
      <c r="N343" s="184">
        <v>-84322.21</v>
      </c>
      <c r="O343" s="184">
        <v>41270.89</v>
      </c>
      <c r="P343" s="184">
        <v>-24526.35</v>
      </c>
    </row>
    <row r="344">
      <c r="A344" s="168">
        <v>56.0</v>
      </c>
      <c r="B344" s="168">
        <v>97.0</v>
      </c>
      <c r="C344" s="168">
        <v>59.0</v>
      </c>
      <c r="D344" s="168">
        <v>23.0</v>
      </c>
      <c r="E344" s="168">
        <v>7.0</v>
      </c>
      <c r="F344" s="168">
        <v>6.0</v>
      </c>
      <c r="G344" s="168">
        <v>7.0</v>
      </c>
      <c r="H344" s="183">
        <v>61923.85</v>
      </c>
      <c r="I344" s="184">
        <v>37287.73</v>
      </c>
      <c r="J344" s="168">
        <v>5.0</v>
      </c>
      <c r="K344" s="168">
        <v>4.0</v>
      </c>
      <c r="L344" s="168">
        <v>3.0</v>
      </c>
      <c r="M344" s="184">
        <v>-49184.11</v>
      </c>
      <c r="N344" s="184">
        <v>3067.18</v>
      </c>
      <c r="O344" s="184">
        <v>-15554.28</v>
      </c>
      <c r="P344" s="184">
        <v>77021.91</v>
      </c>
    </row>
    <row r="345">
      <c r="A345" s="168">
        <v>18.0</v>
      </c>
      <c r="B345" s="168">
        <v>83.0</v>
      </c>
      <c r="C345" s="168">
        <v>27.0</v>
      </c>
      <c r="D345" s="168">
        <v>16.0</v>
      </c>
      <c r="E345" s="168">
        <v>4.0</v>
      </c>
      <c r="F345" s="168">
        <v>2.0</v>
      </c>
      <c r="G345" s="168">
        <v>2.0</v>
      </c>
      <c r="H345" s="183">
        <v>-17212.07</v>
      </c>
      <c r="I345" s="184">
        <v>-4485.67</v>
      </c>
      <c r="J345" s="168">
        <v>3.0</v>
      </c>
      <c r="K345" s="168">
        <v>5.0</v>
      </c>
      <c r="L345" s="168">
        <v>4.0</v>
      </c>
      <c r="M345" s="184">
        <v>7930.67</v>
      </c>
      <c r="N345" s="184">
        <v>-13658.01</v>
      </c>
      <c r="O345" s="184">
        <v>78410.92</v>
      </c>
      <c r="P345" s="184">
        <v>51813.36</v>
      </c>
    </row>
    <row r="346">
      <c r="A346" s="168">
        <v>18.0</v>
      </c>
      <c r="B346" s="168">
        <v>43.0</v>
      </c>
      <c r="C346" s="168">
        <v>92.0</v>
      </c>
      <c r="D346" s="168">
        <v>23.0</v>
      </c>
      <c r="E346" s="168">
        <v>3.0</v>
      </c>
      <c r="F346" s="168">
        <v>7.0</v>
      </c>
      <c r="G346" s="168">
        <v>2.0</v>
      </c>
      <c r="H346" s="183">
        <v>-57402.4</v>
      </c>
      <c r="I346" s="184">
        <v>-64276.02</v>
      </c>
      <c r="J346" s="168">
        <v>3.0</v>
      </c>
      <c r="K346" s="168">
        <v>8.0</v>
      </c>
      <c r="L346" s="168">
        <v>2.0</v>
      </c>
      <c r="M346" s="184">
        <v>90835.96</v>
      </c>
      <c r="N346" s="184">
        <v>96460.43</v>
      </c>
      <c r="O346" s="184">
        <v>-52943.72</v>
      </c>
      <c r="P346" s="184">
        <v>54796.84</v>
      </c>
    </row>
    <row r="347">
      <c r="A347" s="168">
        <v>67.0</v>
      </c>
      <c r="B347" s="168">
        <v>13.0</v>
      </c>
      <c r="C347" s="168">
        <v>76.0</v>
      </c>
      <c r="D347" s="168">
        <v>14.0</v>
      </c>
      <c r="E347" s="168">
        <v>7.0</v>
      </c>
      <c r="F347" s="168">
        <v>2.0</v>
      </c>
      <c r="G347" s="168">
        <v>5.0</v>
      </c>
      <c r="H347" s="183">
        <v>-28453.5</v>
      </c>
      <c r="I347" s="184">
        <v>-4814.7</v>
      </c>
      <c r="J347" s="168">
        <v>4.0</v>
      </c>
      <c r="K347" s="168">
        <v>6.0</v>
      </c>
      <c r="L347" s="168">
        <v>9.0</v>
      </c>
      <c r="M347" s="184">
        <v>-36926.96</v>
      </c>
      <c r="N347" s="184">
        <v>97132.1</v>
      </c>
      <c r="O347" s="184">
        <v>78257.94</v>
      </c>
      <c r="P347" s="184">
        <v>2887.75</v>
      </c>
    </row>
    <row r="348">
      <c r="A348" s="168">
        <v>13.0</v>
      </c>
      <c r="B348" s="168">
        <v>40.0</v>
      </c>
      <c r="C348" s="168">
        <v>41.0</v>
      </c>
      <c r="D348" s="168">
        <v>93.0</v>
      </c>
      <c r="E348" s="168">
        <v>6.0</v>
      </c>
      <c r="F348" s="168">
        <v>2.0</v>
      </c>
      <c r="G348" s="168">
        <v>7.0</v>
      </c>
      <c r="H348" s="183">
        <v>15371.28</v>
      </c>
      <c r="I348" s="184">
        <v>-51911.76</v>
      </c>
      <c r="J348" s="168">
        <v>2.0</v>
      </c>
      <c r="K348" s="168">
        <v>5.0</v>
      </c>
      <c r="L348" s="168">
        <v>1.0</v>
      </c>
      <c r="M348" s="184">
        <v>72105.98</v>
      </c>
      <c r="N348" s="184">
        <v>-1070.77</v>
      </c>
      <c r="O348" s="184">
        <v>33424.73</v>
      </c>
      <c r="P348" s="184">
        <v>-55409.87</v>
      </c>
    </row>
    <row r="349">
      <c r="A349" s="168">
        <v>28.0</v>
      </c>
      <c r="B349" s="168">
        <v>63.0</v>
      </c>
      <c r="C349" s="168">
        <v>27.0</v>
      </c>
      <c r="D349" s="168">
        <v>48.0</v>
      </c>
      <c r="E349" s="168">
        <v>8.0</v>
      </c>
      <c r="F349" s="168">
        <v>5.0</v>
      </c>
      <c r="G349" s="168">
        <v>6.0</v>
      </c>
      <c r="H349" s="183">
        <v>26701.23</v>
      </c>
      <c r="I349" s="184">
        <v>-53146.21</v>
      </c>
      <c r="J349" s="168">
        <v>9.0</v>
      </c>
      <c r="K349" s="168">
        <v>9.0</v>
      </c>
      <c r="L349" s="168">
        <v>7.0</v>
      </c>
      <c r="M349" s="184">
        <v>68049.93</v>
      </c>
      <c r="N349" s="184">
        <v>94601.05</v>
      </c>
      <c r="O349" s="184">
        <v>51352.39</v>
      </c>
      <c r="P349" s="184">
        <v>-35104.49</v>
      </c>
    </row>
    <row r="350">
      <c r="A350" s="168">
        <v>57.0</v>
      </c>
      <c r="B350" s="168">
        <v>24.0</v>
      </c>
      <c r="C350" s="168">
        <v>16.0</v>
      </c>
      <c r="D350" s="168">
        <v>95.0</v>
      </c>
      <c r="E350" s="168">
        <v>8.0</v>
      </c>
      <c r="F350" s="168">
        <v>7.0</v>
      </c>
      <c r="G350" s="168">
        <v>1.0</v>
      </c>
      <c r="H350" s="183">
        <v>89376.72</v>
      </c>
      <c r="I350" s="184">
        <v>60824.59</v>
      </c>
      <c r="J350" s="168">
        <v>1.0</v>
      </c>
      <c r="K350" s="168">
        <v>3.0</v>
      </c>
      <c r="L350" s="168">
        <v>5.0</v>
      </c>
      <c r="M350" s="184">
        <v>-89763.72</v>
      </c>
      <c r="N350" s="184">
        <v>805.56</v>
      </c>
      <c r="O350" s="184">
        <v>51235.15</v>
      </c>
      <c r="P350" s="184">
        <v>62075.97</v>
      </c>
    </row>
    <row r="351">
      <c r="A351" s="168">
        <v>81.0</v>
      </c>
      <c r="B351" s="168">
        <v>69.0</v>
      </c>
      <c r="C351" s="168">
        <v>87.0</v>
      </c>
      <c r="D351" s="168">
        <v>79.0</v>
      </c>
      <c r="E351" s="168">
        <v>2.0</v>
      </c>
      <c r="F351" s="168">
        <v>6.0</v>
      </c>
      <c r="G351" s="168">
        <v>6.0</v>
      </c>
      <c r="H351" s="183">
        <v>58433.35</v>
      </c>
      <c r="I351" s="184">
        <v>60523.04</v>
      </c>
      <c r="J351" s="168">
        <v>7.0</v>
      </c>
      <c r="K351" s="168">
        <v>7.0</v>
      </c>
      <c r="L351" s="168">
        <v>8.0</v>
      </c>
      <c r="M351" s="184">
        <v>-29922.7</v>
      </c>
      <c r="N351" s="184">
        <v>-12129.76</v>
      </c>
      <c r="O351" s="184">
        <v>73228.17</v>
      </c>
      <c r="P351" s="184">
        <v>-32503.31</v>
      </c>
    </row>
    <row r="352">
      <c r="A352" s="168">
        <v>51.0</v>
      </c>
      <c r="B352" s="168">
        <v>37.0</v>
      </c>
      <c r="C352" s="168">
        <v>78.0</v>
      </c>
      <c r="D352" s="168">
        <v>59.0</v>
      </c>
      <c r="E352" s="168">
        <v>3.0</v>
      </c>
      <c r="F352" s="168">
        <v>1.0</v>
      </c>
      <c r="G352" s="168">
        <v>5.0</v>
      </c>
      <c r="H352" s="183">
        <v>45753.98</v>
      </c>
      <c r="I352" s="184">
        <v>65805.8</v>
      </c>
      <c r="J352" s="168">
        <v>5.0</v>
      </c>
      <c r="K352" s="168">
        <v>1.0</v>
      </c>
      <c r="L352" s="168">
        <v>4.0</v>
      </c>
      <c r="M352" s="184">
        <v>-34511.01</v>
      </c>
      <c r="N352" s="184">
        <v>18028.45</v>
      </c>
      <c r="O352" s="184">
        <v>-9306.21</v>
      </c>
      <c r="P352" s="184">
        <v>-65351.95</v>
      </c>
    </row>
    <row r="353">
      <c r="A353" s="168">
        <v>70.0</v>
      </c>
      <c r="B353" s="168">
        <v>80.0</v>
      </c>
      <c r="C353" s="168">
        <v>56.0</v>
      </c>
      <c r="D353" s="168">
        <v>18.0</v>
      </c>
      <c r="E353" s="168">
        <v>6.0</v>
      </c>
      <c r="F353" s="168">
        <v>6.0</v>
      </c>
      <c r="G353" s="168">
        <v>3.0</v>
      </c>
      <c r="H353" s="183">
        <v>81303.46</v>
      </c>
      <c r="I353" s="184">
        <v>-23779.66</v>
      </c>
      <c r="J353" s="168">
        <v>8.0</v>
      </c>
      <c r="K353" s="168">
        <v>5.0</v>
      </c>
      <c r="L353" s="168">
        <v>9.0</v>
      </c>
      <c r="M353" s="184">
        <v>65788.82</v>
      </c>
      <c r="N353" s="184">
        <v>56480.55</v>
      </c>
      <c r="O353" s="184">
        <v>-21133.37</v>
      </c>
      <c r="P353" s="184">
        <v>41991.97</v>
      </c>
    </row>
    <row r="354">
      <c r="A354" s="168">
        <v>80.0</v>
      </c>
      <c r="B354" s="168">
        <v>77.0</v>
      </c>
      <c r="C354" s="168">
        <v>23.0</v>
      </c>
      <c r="D354" s="168">
        <v>37.0</v>
      </c>
      <c r="E354" s="168">
        <v>2.0</v>
      </c>
      <c r="F354" s="168">
        <v>5.0</v>
      </c>
      <c r="G354" s="168">
        <v>4.0</v>
      </c>
      <c r="H354" s="183">
        <v>-60925.73</v>
      </c>
      <c r="I354" s="184">
        <v>-55029.86</v>
      </c>
      <c r="J354" s="168">
        <v>4.0</v>
      </c>
      <c r="K354" s="168">
        <v>4.0</v>
      </c>
      <c r="L354" s="168">
        <v>1.0</v>
      </c>
      <c r="M354" s="184">
        <v>65809.85</v>
      </c>
      <c r="N354" s="184">
        <v>-47067.29</v>
      </c>
      <c r="O354" s="184">
        <v>-70116.35</v>
      </c>
      <c r="P354" s="184">
        <v>-29272.46</v>
      </c>
    </row>
    <row r="355">
      <c r="A355" s="168">
        <v>65.0</v>
      </c>
      <c r="B355" s="168">
        <v>87.0</v>
      </c>
      <c r="C355" s="168">
        <v>28.0</v>
      </c>
      <c r="D355" s="168">
        <v>24.0</v>
      </c>
      <c r="E355" s="168">
        <v>7.0</v>
      </c>
      <c r="F355" s="168">
        <v>3.0</v>
      </c>
      <c r="G355" s="168">
        <v>2.0</v>
      </c>
      <c r="H355" s="183">
        <v>68386.54</v>
      </c>
      <c r="I355" s="184">
        <v>-83666.07</v>
      </c>
      <c r="J355" s="168">
        <v>9.0</v>
      </c>
      <c r="K355" s="168">
        <v>5.0</v>
      </c>
      <c r="L355" s="168">
        <v>3.0</v>
      </c>
      <c r="M355" s="184">
        <v>-20442.66</v>
      </c>
      <c r="N355" s="184">
        <v>94240.66</v>
      </c>
      <c r="O355" s="184">
        <v>-49549.77</v>
      </c>
      <c r="P355" s="184">
        <v>4654.92</v>
      </c>
    </row>
    <row r="356">
      <c r="A356" s="168">
        <v>93.0</v>
      </c>
      <c r="B356" s="168">
        <v>69.0</v>
      </c>
      <c r="C356" s="168">
        <v>84.0</v>
      </c>
      <c r="D356" s="168">
        <v>81.0</v>
      </c>
      <c r="E356" s="168">
        <v>8.0</v>
      </c>
      <c r="F356" s="168">
        <v>4.0</v>
      </c>
      <c r="G356" s="168">
        <v>3.0</v>
      </c>
      <c r="H356" s="183">
        <v>-50157.19</v>
      </c>
      <c r="I356" s="184">
        <v>92193.63</v>
      </c>
      <c r="J356" s="168">
        <v>1.0</v>
      </c>
      <c r="K356" s="168">
        <v>8.0</v>
      </c>
      <c r="L356" s="168">
        <v>6.0</v>
      </c>
      <c r="M356" s="184">
        <v>78996.29</v>
      </c>
      <c r="N356" s="184">
        <v>29438.21</v>
      </c>
      <c r="O356" s="184">
        <v>38025.0</v>
      </c>
      <c r="P356" s="184">
        <v>49689.88</v>
      </c>
    </row>
    <row r="357">
      <c r="A357" s="168">
        <v>72.0</v>
      </c>
      <c r="B357" s="168">
        <v>20.0</v>
      </c>
      <c r="C357" s="168">
        <v>87.0</v>
      </c>
      <c r="D357" s="168">
        <v>37.0</v>
      </c>
      <c r="E357" s="168">
        <v>7.0</v>
      </c>
      <c r="F357" s="168">
        <v>2.0</v>
      </c>
      <c r="G357" s="168">
        <v>4.0</v>
      </c>
      <c r="H357" s="183">
        <v>-1237.14</v>
      </c>
      <c r="I357" s="184">
        <v>7116.84</v>
      </c>
      <c r="J357" s="168">
        <v>3.0</v>
      </c>
      <c r="K357" s="168">
        <v>2.0</v>
      </c>
      <c r="L357" s="168">
        <v>5.0</v>
      </c>
      <c r="M357" s="184">
        <v>-81535.63</v>
      </c>
      <c r="N357" s="184">
        <v>97382.37</v>
      </c>
      <c r="O357" s="184">
        <v>50836.54</v>
      </c>
      <c r="P357" s="184">
        <v>-90188.09</v>
      </c>
    </row>
    <row r="358">
      <c r="A358" s="168">
        <v>48.0</v>
      </c>
      <c r="B358" s="168">
        <v>16.0</v>
      </c>
      <c r="C358" s="168">
        <v>54.0</v>
      </c>
      <c r="D358" s="168">
        <v>60.0</v>
      </c>
      <c r="E358" s="168">
        <v>4.0</v>
      </c>
      <c r="F358" s="168">
        <v>3.0</v>
      </c>
      <c r="G358" s="168">
        <v>5.0</v>
      </c>
      <c r="H358" s="183">
        <v>1928.14</v>
      </c>
      <c r="I358" s="184">
        <v>-1079.73</v>
      </c>
      <c r="J358" s="168">
        <v>6.0</v>
      </c>
      <c r="K358" s="168">
        <v>4.0</v>
      </c>
      <c r="L358" s="168">
        <v>9.0</v>
      </c>
      <c r="M358" s="184">
        <v>-92022.18</v>
      </c>
      <c r="N358" s="184">
        <v>-51639.72</v>
      </c>
      <c r="O358" s="184">
        <v>15680.73</v>
      </c>
      <c r="P358" s="184">
        <v>-74783.73</v>
      </c>
    </row>
    <row r="359">
      <c r="A359" s="168">
        <v>52.0</v>
      </c>
      <c r="B359" s="168">
        <v>81.0</v>
      </c>
      <c r="C359" s="168">
        <v>79.0</v>
      </c>
      <c r="D359" s="168">
        <v>99.0</v>
      </c>
      <c r="E359" s="168">
        <v>8.0</v>
      </c>
      <c r="F359" s="168">
        <v>4.0</v>
      </c>
      <c r="G359" s="168">
        <v>6.0</v>
      </c>
      <c r="H359" s="183">
        <v>79285.79</v>
      </c>
      <c r="I359" s="184">
        <v>-36985.66</v>
      </c>
      <c r="J359" s="168">
        <v>5.0</v>
      </c>
      <c r="K359" s="168">
        <v>2.0</v>
      </c>
      <c r="L359" s="168">
        <v>9.0</v>
      </c>
      <c r="M359" s="184">
        <v>59834.0</v>
      </c>
      <c r="N359" s="184">
        <v>-21267.92</v>
      </c>
      <c r="O359" s="184">
        <v>724.77</v>
      </c>
      <c r="P359" s="184">
        <v>83800.16</v>
      </c>
    </row>
    <row r="360">
      <c r="A360" s="168">
        <v>41.0</v>
      </c>
      <c r="B360" s="168">
        <v>70.0</v>
      </c>
      <c r="C360" s="168">
        <v>62.0</v>
      </c>
      <c r="D360" s="168">
        <v>90.0</v>
      </c>
      <c r="E360" s="168">
        <v>8.0</v>
      </c>
      <c r="F360" s="168">
        <v>5.0</v>
      </c>
      <c r="G360" s="168">
        <v>8.0</v>
      </c>
      <c r="H360" s="183">
        <v>11964.07</v>
      </c>
      <c r="I360" s="184">
        <v>9515.15</v>
      </c>
      <c r="J360" s="168">
        <v>9.0</v>
      </c>
      <c r="K360" s="168">
        <v>4.0</v>
      </c>
      <c r="L360" s="168">
        <v>1.0</v>
      </c>
      <c r="M360" s="184">
        <v>76805.0</v>
      </c>
      <c r="N360" s="184">
        <v>68995.31</v>
      </c>
      <c r="O360" s="184">
        <v>29781.89</v>
      </c>
      <c r="P360" s="184">
        <v>48745.03</v>
      </c>
    </row>
    <row r="361">
      <c r="A361" s="168">
        <v>41.0</v>
      </c>
      <c r="B361" s="168">
        <v>58.0</v>
      </c>
      <c r="C361" s="168">
        <v>28.0</v>
      </c>
      <c r="D361" s="168">
        <v>61.0</v>
      </c>
      <c r="E361" s="168">
        <v>9.0</v>
      </c>
      <c r="F361" s="168">
        <v>6.0</v>
      </c>
      <c r="G361" s="168">
        <v>2.0</v>
      </c>
      <c r="H361" s="183">
        <v>-39196.51</v>
      </c>
      <c r="I361" s="184">
        <v>22786.09</v>
      </c>
      <c r="J361" s="168">
        <v>9.0</v>
      </c>
      <c r="K361" s="168">
        <v>6.0</v>
      </c>
      <c r="L361" s="168">
        <v>6.0</v>
      </c>
      <c r="M361" s="184">
        <v>54180.74</v>
      </c>
      <c r="N361" s="184">
        <v>93669.68</v>
      </c>
      <c r="O361" s="184">
        <v>39111.97</v>
      </c>
      <c r="P361" s="184">
        <v>39504.66</v>
      </c>
    </row>
    <row r="362">
      <c r="A362" s="168">
        <v>81.0</v>
      </c>
      <c r="B362" s="168">
        <v>73.0</v>
      </c>
      <c r="C362" s="168">
        <v>76.0</v>
      </c>
      <c r="D362" s="168">
        <v>22.0</v>
      </c>
      <c r="E362" s="168">
        <v>2.0</v>
      </c>
      <c r="F362" s="168">
        <v>8.0</v>
      </c>
      <c r="G362" s="168">
        <v>8.0</v>
      </c>
      <c r="H362" s="183">
        <v>94107.83</v>
      </c>
      <c r="I362" s="184">
        <v>19885.05</v>
      </c>
      <c r="J362" s="168">
        <v>1.0</v>
      </c>
      <c r="K362" s="168">
        <v>5.0</v>
      </c>
      <c r="L362" s="168">
        <v>9.0</v>
      </c>
      <c r="M362" s="184">
        <v>-77618.17</v>
      </c>
      <c r="N362" s="184">
        <v>24137.03</v>
      </c>
      <c r="O362" s="184">
        <v>-70636.81</v>
      </c>
      <c r="P362" s="184">
        <v>-33417.5</v>
      </c>
    </row>
    <row r="363">
      <c r="A363" s="168">
        <v>54.0</v>
      </c>
      <c r="B363" s="168">
        <v>54.0</v>
      </c>
      <c r="C363" s="168">
        <v>43.0</v>
      </c>
      <c r="D363" s="168">
        <v>44.0</v>
      </c>
      <c r="E363" s="168">
        <v>7.0</v>
      </c>
      <c r="F363" s="168">
        <v>2.0</v>
      </c>
      <c r="G363" s="168">
        <v>9.0</v>
      </c>
      <c r="H363" s="183">
        <v>41264.12</v>
      </c>
      <c r="I363" s="184">
        <v>90650.32</v>
      </c>
      <c r="J363" s="168">
        <v>6.0</v>
      </c>
      <c r="K363" s="168">
        <v>3.0</v>
      </c>
      <c r="L363" s="168">
        <v>5.0</v>
      </c>
      <c r="M363" s="184">
        <v>4473.42</v>
      </c>
      <c r="N363" s="184">
        <v>-19304.62</v>
      </c>
      <c r="O363" s="184">
        <v>68897.13</v>
      </c>
      <c r="P363" s="184">
        <v>87193.07</v>
      </c>
    </row>
    <row r="364">
      <c r="A364" s="168">
        <v>15.0</v>
      </c>
      <c r="B364" s="168">
        <v>36.0</v>
      </c>
      <c r="C364" s="168">
        <v>34.0</v>
      </c>
      <c r="D364" s="168">
        <v>62.0</v>
      </c>
      <c r="E364" s="168">
        <v>7.0</v>
      </c>
      <c r="F364" s="168">
        <v>8.0</v>
      </c>
      <c r="G364" s="168">
        <v>4.0</v>
      </c>
      <c r="H364" s="183">
        <v>2251.59</v>
      </c>
      <c r="I364" s="184">
        <v>-31018.4</v>
      </c>
      <c r="J364" s="168">
        <v>9.0</v>
      </c>
      <c r="K364" s="168">
        <v>2.0</v>
      </c>
      <c r="L364" s="168">
        <v>3.0</v>
      </c>
      <c r="M364" s="184">
        <v>-56311.91</v>
      </c>
      <c r="N364" s="184">
        <v>-36307.25</v>
      </c>
      <c r="O364" s="184">
        <v>-8005.3</v>
      </c>
      <c r="P364" s="184">
        <v>-39224.77</v>
      </c>
    </row>
    <row r="365">
      <c r="A365" s="168">
        <v>55.0</v>
      </c>
      <c r="B365" s="168">
        <v>29.0</v>
      </c>
      <c r="C365" s="168">
        <v>21.0</v>
      </c>
      <c r="D365" s="168">
        <v>65.0</v>
      </c>
      <c r="E365" s="168">
        <v>4.0</v>
      </c>
      <c r="F365" s="168">
        <v>9.0</v>
      </c>
      <c r="G365" s="168">
        <v>7.0</v>
      </c>
      <c r="H365" s="183">
        <v>85582.06</v>
      </c>
      <c r="I365" s="184">
        <v>-22793.26</v>
      </c>
      <c r="J365" s="168">
        <v>5.0</v>
      </c>
      <c r="K365" s="168">
        <v>5.0</v>
      </c>
      <c r="L365" s="168">
        <v>9.0</v>
      </c>
      <c r="M365" s="184">
        <v>11243.03</v>
      </c>
      <c r="N365" s="184">
        <v>-33128.23</v>
      </c>
      <c r="O365" s="184">
        <v>-31195.21</v>
      </c>
      <c r="P365" s="184">
        <v>-65743.76</v>
      </c>
    </row>
    <row r="366">
      <c r="A366" s="168">
        <v>81.0</v>
      </c>
      <c r="B366" s="168">
        <v>29.0</v>
      </c>
      <c r="C366" s="168">
        <v>86.0</v>
      </c>
      <c r="D366" s="168">
        <v>46.0</v>
      </c>
      <c r="E366" s="168">
        <v>4.0</v>
      </c>
      <c r="F366" s="168">
        <v>4.0</v>
      </c>
      <c r="G366" s="168">
        <v>4.0</v>
      </c>
      <c r="H366" s="183">
        <v>-58633.64</v>
      </c>
      <c r="I366" s="184">
        <v>-80502.35</v>
      </c>
      <c r="J366" s="168">
        <v>3.0</v>
      </c>
      <c r="K366" s="168">
        <v>9.0</v>
      </c>
      <c r="L366" s="168">
        <v>4.0</v>
      </c>
      <c r="M366" s="184">
        <v>-85740.38</v>
      </c>
      <c r="N366" s="184">
        <v>-84877.34</v>
      </c>
      <c r="O366" s="184">
        <v>63887.72</v>
      </c>
      <c r="P366" s="184">
        <v>-73166.73</v>
      </c>
    </row>
    <row r="367">
      <c r="A367" s="168">
        <v>47.0</v>
      </c>
      <c r="B367" s="168">
        <v>22.0</v>
      </c>
      <c r="C367" s="168">
        <v>40.0</v>
      </c>
      <c r="D367" s="168">
        <v>57.0</v>
      </c>
      <c r="E367" s="168">
        <v>4.0</v>
      </c>
      <c r="F367" s="168">
        <v>7.0</v>
      </c>
      <c r="G367" s="168">
        <v>5.0</v>
      </c>
      <c r="H367" s="183">
        <v>52265.5</v>
      </c>
      <c r="I367" s="184">
        <v>-21437.27</v>
      </c>
      <c r="J367" s="168">
        <v>9.0</v>
      </c>
      <c r="K367" s="168">
        <v>7.0</v>
      </c>
      <c r="L367" s="168">
        <v>1.0</v>
      </c>
      <c r="M367" s="184">
        <v>81971.06</v>
      </c>
      <c r="N367" s="184">
        <v>38911.68</v>
      </c>
      <c r="O367" s="184">
        <v>-48246.83</v>
      </c>
      <c r="P367" s="184">
        <v>63569.34</v>
      </c>
    </row>
    <row r="368">
      <c r="A368" s="168">
        <v>51.0</v>
      </c>
      <c r="B368" s="168">
        <v>58.0</v>
      </c>
      <c r="C368" s="168">
        <v>44.0</v>
      </c>
      <c r="D368" s="168">
        <v>95.0</v>
      </c>
      <c r="E368" s="168">
        <v>8.0</v>
      </c>
      <c r="F368" s="168">
        <v>4.0</v>
      </c>
      <c r="G368" s="168">
        <v>6.0</v>
      </c>
      <c r="H368" s="183">
        <v>85127.93</v>
      </c>
      <c r="I368" s="184">
        <v>-51620.93</v>
      </c>
      <c r="J368" s="168">
        <v>4.0</v>
      </c>
      <c r="K368" s="168">
        <v>7.0</v>
      </c>
      <c r="L368" s="168">
        <v>1.0</v>
      </c>
      <c r="M368" s="184">
        <v>-42695.09</v>
      </c>
      <c r="N368" s="184">
        <v>-19025.96</v>
      </c>
      <c r="O368" s="184">
        <v>-24339.31</v>
      </c>
      <c r="P368" s="184">
        <v>51511.05</v>
      </c>
    </row>
    <row r="369">
      <c r="A369" s="168">
        <v>94.0</v>
      </c>
      <c r="B369" s="168">
        <v>17.0</v>
      </c>
      <c r="C369" s="168">
        <v>19.0</v>
      </c>
      <c r="D369" s="168">
        <v>98.0</v>
      </c>
      <c r="E369" s="168">
        <v>7.0</v>
      </c>
      <c r="F369" s="168">
        <v>5.0</v>
      </c>
      <c r="G369" s="168">
        <v>9.0</v>
      </c>
      <c r="H369" s="183">
        <v>-42820.53</v>
      </c>
      <c r="I369" s="184">
        <v>97777.63</v>
      </c>
      <c r="J369" s="168">
        <v>1.0</v>
      </c>
      <c r="K369" s="168">
        <v>7.0</v>
      </c>
      <c r="L369" s="168">
        <v>2.0</v>
      </c>
      <c r="M369" s="184">
        <v>-24146.59</v>
      </c>
      <c r="N369" s="184">
        <v>61750.56</v>
      </c>
      <c r="O369" s="184">
        <v>99478.8</v>
      </c>
      <c r="P369" s="184">
        <v>-68420.38</v>
      </c>
    </row>
    <row r="370">
      <c r="A370" s="168">
        <v>18.0</v>
      </c>
      <c r="B370" s="168">
        <v>45.0</v>
      </c>
      <c r="C370" s="168">
        <v>49.0</v>
      </c>
      <c r="D370" s="168">
        <v>26.0</v>
      </c>
      <c r="E370" s="168">
        <v>3.0</v>
      </c>
      <c r="F370" s="168">
        <v>6.0</v>
      </c>
      <c r="G370" s="168">
        <v>9.0</v>
      </c>
      <c r="H370" s="183">
        <v>-48033.41</v>
      </c>
      <c r="I370" s="184">
        <v>57790.44</v>
      </c>
      <c r="J370" s="168">
        <v>1.0</v>
      </c>
      <c r="K370" s="168">
        <v>8.0</v>
      </c>
      <c r="L370" s="168">
        <v>3.0</v>
      </c>
      <c r="M370" s="184">
        <v>74565.91</v>
      </c>
      <c r="N370" s="184">
        <v>16870.68</v>
      </c>
      <c r="O370" s="184">
        <v>64881.21</v>
      </c>
      <c r="P370" s="184">
        <v>-51895.9</v>
      </c>
    </row>
    <row r="371">
      <c r="A371" s="168">
        <v>38.0</v>
      </c>
      <c r="B371" s="168">
        <v>40.0</v>
      </c>
      <c r="C371" s="168">
        <v>36.0</v>
      </c>
      <c r="D371" s="168">
        <v>79.0</v>
      </c>
      <c r="E371" s="168">
        <v>4.0</v>
      </c>
      <c r="F371" s="168">
        <v>9.0</v>
      </c>
      <c r="G371" s="168">
        <v>8.0</v>
      </c>
      <c r="H371" s="183">
        <v>42106.23</v>
      </c>
      <c r="I371" s="184">
        <v>-19523.66</v>
      </c>
      <c r="J371" s="168">
        <v>2.0</v>
      </c>
      <c r="K371" s="168">
        <v>4.0</v>
      </c>
      <c r="L371" s="168">
        <v>1.0</v>
      </c>
      <c r="M371" s="184">
        <v>92062.88</v>
      </c>
      <c r="N371" s="184">
        <v>91174.72</v>
      </c>
      <c r="O371" s="184">
        <v>70549.88</v>
      </c>
      <c r="P371" s="184">
        <v>38704.61</v>
      </c>
    </row>
    <row r="372">
      <c r="A372" s="168">
        <v>71.0</v>
      </c>
      <c r="B372" s="168">
        <v>30.0</v>
      </c>
      <c r="C372" s="168">
        <v>10.0</v>
      </c>
      <c r="D372" s="168">
        <v>88.0</v>
      </c>
      <c r="E372" s="168">
        <v>3.0</v>
      </c>
      <c r="F372" s="168">
        <v>9.0</v>
      </c>
      <c r="G372" s="168">
        <v>7.0</v>
      </c>
      <c r="H372" s="183">
        <v>-57714.38</v>
      </c>
      <c r="I372" s="184">
        <v>-24618.63</v>
      </c>
      <c r="J372" s="168">
        <v>3.0</v>
      </c>
      <c r="K372" s="168">
        <v>5.0</v>
      </c>
      <c r="L372" s="168">
        <v>9.0</v>
      </c>
      <c r="M372" s="184">
        <v>18548.45</v>
      </c>
      <c r="N372" s="184">
        <v>55192.21</v>
      </c>
      <c r="O372" s="184">
        <v>-60092.49</v>
      </c>
      <c r="P372" s="184">
        <v>-48213.28</v>
      </c>
    </row>
    <row r="373">
      <c r="A373" s="168">
        <v>73.0</v>
      </c>
      <c r="B373" s="168">
        <v>94.0</v>
      </c>
      <c r="C373" s="168">
        <v>82.0</v>
      </c>
      <c r="D373" s="168">
        <v>64.0</v>
      </c>
      <c r="E373" s="168">
        <v>3.0</v>
      </c>
      <c r="F373" s="168">
        <v>8.0</v>
      </c>
      <c r="G373" s="168">
        <v>7.0</v>
      </c>
      <c r="H373" s="183">
        <v>-13885.52</v>
      </c>
      <c r="I373" s="184">
        <v>-76835.37</v>
      </c>
      <c r="J373" s="168">
        <v>1.0</v>
      </c>
      <c r="K373" s="168">
        <v>1.0</v>
      </c>
      <c r="L373" s="168">
        <v>4.0</v>
      </c>
      <c r="M373" s="184">
        <v>88528.73</v>
      </c>
      <c r="N373" s="184">
        <v>30349.54</v>
      </c>
      <c r="O373" s="184">
        <v>7068.6</v>
      </c>
      <c r="P373" s="184">
        <v>17811.05</v>
      </c>
    </row>
    <row r="374">
      <c r="A374" s="168">
        <v>67.0</v>
      </c>
      <c r="B374" s="168">
        <v>11.0</v>
      </c>
      <c r="C374" s="168">
        <v>80.0</v>
      </c>
      <c r="D374" s="168">
        <v>28.0</v>
      </c>
      <c r="E374" s="168">
        <v>2.0</v>
      </c>
      <c r="F374" s="168">
        <v>7.0</v>
      </c>
      <c r="G374" s="168">
        <v>8.0</v>
      </c>
      <c r="H374" s="183">
        <v>5620.32</v>
      </c>
      <c r="I374" s="184">
        <v>71773.62</v>
      </c>
      <c r="J374" s="168">
        <v>9.0</v>
      </c>
      <c r="K374" s="168">
        <v>4.0</v>
      </c>
      <c r="L374" s="168">
        <v>7.0</v>
      </c>
      <c r="M374" s="184">
        <v>-6087.01</v>
      </c>
      <c r="N374" s="184">
        <v>-76685.4</v>
      </c>
      <c r="O374" s="184">
        <v>-15543.58</v>
      </c>
      <c r="P374" s="184">
        <v>82135.16</v>
      </c>
    </row>
    <row r="375">
      <c r="A375" s="168">
        <v>95.0</v>
      </c>
      <c r="B375" s="168">
        <v>61.0</v>
      </c>
      <c r="C375" s="168">
        <v>10.0</v>
      </c>
      <c r="D375" s="168">
        <v>60.0</v>
      </c>
      <c r="E375" s="168">
        <v>6.0</v>
      </c>
      <c r="F375" s="168">
        <v>7.0</v>
      </c>
      <c r="G375" s="168">
        <v>4.0</v>
      </c>
      <c r="H375" s="183">
        <v>6780.02</v>
      </c>
      <c r="I375" s="184">
        <v>88789.3</v>
      </c>
      <c r="J375" s="168">
        <v>4.0</v>
      </c>
      <c r="K375" s="168">
        <v>5.0</v>
      </c>
      <c r="L375" s="168">
        <v>4.0</v>
      </c>
      <c r="M375" s="184">
        <v>-57325.82</v>
      </c>
      <c r="N375" s="184">
        <v>-32900.2</v>
      </c>
      <c r="O375" s="184">
        <v>23700.89</v>
      </c>
      <c r="P375" s="184">
        <v>-90514.96</v>
      </c>
    </row>
    <row r="376">
      <c r="A376" s="168">
        <v>85.0</v>
      </c>
      <c r="B376" s="168">
        <v>21.0</v>
      </c>
      <c r="C376" s="168">
        <v>68.0</v>
      </c>
      <c r="D376" s="168">
        <v>79.0</v>
      </c>
      <c r="E376" s="168">
        <v>5.0</v>
      </c>
      <c r="F376" s="168">
        <v>8.0</v>
      </c>
      <c r="G376" s="168">
        <v>9.0</v>
      </c>
      <c r="H376" s="183">
        <v>91301.38</v>
      </c>
      <c r="I376" s="184">
        <v>-505.99</v>
      </c>
      <c r="J376" s="168">
        <v>7.0</v>
      </c>
      <c r="K376" s="168">
        <v>4.0</v>
      </c>
      <c r="L376" s="168">
        <v>4.0</v>
      </c>
      <c r="M376" s="184">
        <v>49991.5</v>
      </c>
      <c r="N376" s="184">
        <v>30732.04</v>
      </c>
      <c r="O376" s="184">
        <v>-34913.08</v>
      </c>
      <c r="P376" s="184">
        <v>52653.37</v>
      </c>
    </row>
    <row r="377">
      <c r="A377" s="168">
        <v>79.0</v>
      </c>
      <c r="B377" s="168">
        <v>36.0</v>
      </c>
      <c r="C377" s="168">
        <v>51.0</v>
      </c>
      <c r="D377" s="168">
        <v>11.0</v>
      </c>
      <c r="E377" s="168">
        <v>2.0</v>
      </c>
      <c r="F377" s="168">
        <v>4.0</v>
      </c>
      <c r="G377" s="168">
        <v>3.0</v>
      </c>
      <c r="H377" s="183">
        <v>41465.34</v>
      </c>
      <c r="I377" s="184">
        <v>90578.62</v>
      </c>
      <c r="J377" s="168">
        <v>4.0</v>
      </c>
      <c r="K377" s="168">
        <v>4.0</v>
      </c>
      <c r="L377" s="168">
        <v>3.0</v>
      </c>
      <c r="M377" s="184">
        <v>-59920.11</v>
      </c>
      <c r="N377" s="184">
        <v>-11233.75</v>
      </c>
      <c r="O377" s="184">
        <v>33232.08</v>
      </c>
      <c r="P377" s="184">
        <v>-22531.51</v>
      </c>
    </row>
    <row r="378">
      <c r="A378" s="168">
        <v>18.0</v>
      </c>
      <c r="B378" s="168">
        <v>15.0</v>
      </c>
      <c r="C378" s="168">
        <v>44.0</v>
      </c>
      <c r="D378" s="168">
        <v>29.0</v>
      </c>
      <c r="E378" s="168">
        <v>7.0</v>
      </c>
      <c r="F378" s="168">
        <v>9.0</v>
      </c>
      <c r="G378" s="168">
        <v>2.0</v>
      </c>
      <c r="H378" s="183">
        <v>96043.55</v>
      </c>
      <c r="I378" s="184">
        <v>44533.57</v>
      </c>
      <c r="J378" s="168">
        <v>4.0</v>
      </c>
      <c r="K378" s="168">
        <v>2.0</v>
      </c>
      <c r="L378" s="168">
        <v>6.0</v>
      </c>
      <c r="M378" s="184">
        <v>-50060.38</v>
      </c>
      <c r="N378" s="184">
        <v>95556.93</v>
      </c>
      <c r="O378" s="184">
        <v>92669.26</v>
      </c>
      <c r="P378" s="184">
        <v>53274.71</v>
      </c>
    </row>
    <row r="379">
      <c r="A379" s="168">
        <v>80.0</v>
      </c>
      <c r="B379" s="168">
        <v>62.0</v>
      </c>
      <c r="C379" s="168">
        <v>48.0</v>
      </c>
      <c r="D379" s="168">
        <v>21.0</v>
      </c>
      <c r="E379" s="168">
        <v>9.0</v>
      </c>
      <c r="F379" s="168">
        <v>3.0</v>
      </c>
      <c r="G379" s="168">
        <v>8.0</v>
      </c>
      <c r="H379" s="183">
        <v>97348.92</v>
      </c>
      <c r="I379" s="184">
        <v>-95891.67</v>
      </c>
      <c r="J379" s="168">
        <v>3.0</v>
      </c>
      <c r="K379" s="168">
        <v>7.0</v>
      </c>
      <c r="L379" s="168">
        <v>3.0</v>
      </c>
      <c r="M379" s="184">
        <v>-58873.27</v>
      </c>
      <c r="N379" s="184">
        <v>89021.87</v>
      </c>
      <c r="O379" s="184">
        <v>-45492.49</v>
      </c>
      <c r="P379" s="184">
        <v>-2413.01</v>
      </c>
    </row>
    <row r="380">
      <c r="A380" s="168">
        <v>52.0</v>
      </c>
      <c r="B380" s="168">
        <v>91.0</v>
      </c>
      <c r="C380" s="168">
        <v>30.0</v>
      </c>
      <c r="D380" s="168">
        <v>92.0</v>
      </c>
      <c r="E380" s="168">
        <v>9.0</v>
      </c>
      <c r="F380" s="168">
        <v>2.0</v>
      </c>
      <c r="G380" s="168">
        <v>3.0</v>
      </c>
      <c r="H380" s="183">
        <v>-86868.68</v>
      </c>
      <c r="I380" s="184">
        <v>-44585.72</v>
      </c>
      <c r="J380" s="168">
        <v>6.0</v>
      </c>
      <c r="K380" s="168">
        <v>7.0</v>
      </c>
      <c r="L380" s="168">
        <v>7.0</v>
      </c>
      <c r="M380" s="184">
        <v>93445.31</v>
      </c>
      <c r="N380" s="184">
        <v>76366.27</v>
      </c>
      <c r="O380" s="184">
        <v>-84853.13</v>
      </c>
      <c r="P380" s="184">
        <v>-74831.97</v>
      </c>
    </row>
    <row r="381">
      <c r="A381" s="168">
        <v>88.0</v>
      </c>
      <c r="B381" s="168">
        <v>12.0</v>
      </c>
      <c r="C381" s="168">
        <v>18.0</v>
      </c>
      <c r="D381" s="168">
        <v>16.0</v>
      </c>
      <c r="E381" s="168">
        <v>7.0</v>
      </c>
      <c r="F381" s="168">
        <v>8.0</v>
      </c>
      <c r="G381" s="168">
        <v>2.0</v>
      </c>
      <c r="H381" s="183">
        <v>72018.81</v>
      </c>
      <c r="I381" s="184">
        <v>73209.0</v>
      </c>
      <c r="J381" s="168">
        <v>3.0</v>
      </c>
      <c r="K381" s="168">
        <v>4.0</v>
      </c>
      <c r="L381" s="168">
        <v>8.0</v>
      </c>
      <c r="M381" s="184">
        <v>73929.49</v>
      </c>
      <c r="N381" s="184">
        <v>-19899.72</v>
      </c>
      <c r="O381" s="184">
        <v>83431.32</v>
      </c>
      <c r="P381" s="184">
        <v>43680.85</v>
      </c>
    </row>
    <row r="382">
      <c r="A382" s="168">
        <v>18.0</v>
      </c>
      <c r="B382" s="168">
        <v>37.0</v>
      </c>
      <c r="C382" s="168">
        <v>79.0</v>
      </c>
      <c r="D382" s="168">
        <v>70.0</v>
      </c>
      <c r="E382" s="168">
        <v>8.0</v>
      </c>
      <c r="F382" s="168">
        <v>3.0</v>
      </c>
      <c r="G382" s="168">
        <v>2.0</v>
      </c>
      <c r="H382" s="183">
        <v>12230.21</v>
      </c>
      <c r="I382" s="184">
        <v>-94265.75</v>
      </c>
      <c r="J382" s="168">
        <v>7.0</v>
      </c>
      <c r="K382" s="168">
        <v>4.0</v>
      </c>
      <c r="L382" s="168">
        <v>5.0</v>
      </c>
      <c r="M382" s="184">
        <v>-84045.07</v>
      </c>
      <c r="N382" s="184">
        <v>72659.84</v>
      </c>
      <c r="O382" s="184">
        <v>187.37</v>
      </c>
      <c r="P382" s="184">
        <v>-90045.49</v>
      </c>
    </row>
    <row r="383">
      <c r="A383" s="168">
        <v>27.0</v>
      </c>
      <c r="B383" s="168">
        <v>22.0</v>
      </c>
      <c r="C383" s="168">
        <v>74.0</v>
      </c>
      <c r="D383" s="168">
        <v>25.0</v>
      </c>
      <c r="E383" s="168">
        <v>1.0</v>
      </c>
      <c r="F383" s="168">
        <v>2.0</v>
      </c>
      <c r="G383" s="168">
        <v>1.0</v>
      </c>
      <c r="H383" s="183">
        <v>-34844.31</v>
      </c>
      <c r="I383" s="184">
        <v>-19743.28</v>
      </c>
      <c r="J383" s="168">
        <v>8.0</v>
      </c>
      <c r="K383" s="168">
        <v>4.0</v>
      </c>
      <c r="L383" s="168">
        <v>5.0</v>
      </c>
      <c r="M383" s="184">
        <v>-93137.91</v>
      </c>
      <c r="N383" s="184">
        <v>5275.55</v>
      </c>
      <c r="O383" s="184">
        <v>52774.7</v>
      </c>
      <c r="P383" s="184">
        <v>32711.61</v>
      </c>
    </row>
    <row r="384">
      <c r="A384" s="168">
        <v>58.0</v>
      </c>
      <c r="B384" s="168">
        <v>18.0</v>
      </c>
      <c r="C384" s="168">
        <v>89.0</v>
      </c>
      <c r="D384" s="168">
        <v>32.0</v>
      </c>
      <c r="E384" s="168">
        <v>9.0</v>
      </c>
      <c r="F384" s="168">
        <v>2.0</v>
      </c>
      <c r="G384" s="168">
        <v>5.0</v>
      </c>
      <c r="H384" s="183">
        <v>97564.55</v>
      </c>
      <c r="I384" s="184">
        <v>21200.54</v>
      </c>
      <c r="J384" s="168">
        <v>5.0</v>
      </c>
      <c r="K384" s="168">
        <v>5.0</v>
      </c>
      <c r="L384" s="168">
        <v>9.0</v>
      </c>
      <c r="M384" s="184">
        <v>39057.19</v>
      </c>
      <c r="N384" s="184">
        <v>36836.58</v>
      </c>
      <c r="O384" s="184">
        <v>14512.08</v>
      </c>
      <c r="P384" s="184">
        <v>-74793.33</v>
      </c>
    </row>
    <row r="385">
      <c r="A385" s="168">
        <v>56.0</v>
      </c>
      <c r="B385" s="168">
        <v>42.0</v>
      </c>
      <c r="C385" s="168">
        <v>30.0</v>
      </c>
      <c r="D385" s="168">
        <v>19.0</v>
      </c>
      <c r="E385" s="168">
        <v>8.0</v>
      </c>
      <c r="F385" s="168">
        <v>1.0</v>
      </c>
      <c r="G385" s="168">
        <v>6.0</v>
      </c>
      <c r="H385" s="183">
        <v>-51577.48</v>
      </c>
      <c r="I385" s="184">
        <v>49312.39</v>
      </c>
      <c r="J385" s="168">
        <v>5.0</v>
      </c>
      <c r="K385" s="168">
        <v>5.0</v>
      </c>
      <c r="L385" s="168">
        <v>4.0</v>
      </c>
      <c r="M385" s="184">
        <v>8856.46</v>
      </c>
      <c r="N385" s="184">
        <v>-77546.07</v>
      </c>
      <c r="O385" s="184">
        <v>79124.42</v>
      </c>
      <c r="P385" s="184">
        <v>-86029.36</v>
      </c>
    </row>
    <row r="386">
      <c r="A386" s="168">
        <v>83.0</v>
      </c>
      <c r="B386" s="168">
        <v>19.0</v>
      </c>
      <c r="C386" s="168">
        <v>25.0</v>
      </c>
      <c r="D386" s="168">
        <v>89.0</v>
      </c>
      <c r="E386" s="168">
        <v>6.0</v>
      </c>
      <c r="F386" s="168">
        <v>5.0</v>
      </c>
      <c r="G386" s="168">
        <v>9.0</v>
      </c>
      <c r="H386" s="183">
        <v>88684.18</v>
      </c>
      <c r="I386" s="184">
        <v>59218.45</v>
      </c>
      <c r="J386" s="168">
        <v>9.0</v>
      </c>
      <c r="K386" s="168">
        <v>8.0</v>
      </c>
      <c r="L386" s="168">
        <v>4.0</v>
      </c>
      <c r="M386" s="184">
        <v>-87198.02</v>
      </c>
      <c r="N386" s="184">
        <v>-60259.01</v>
      </c>
      <c r="O386" s="184">
        <v>14340.05</v>
      </c>
      <c r="P386" s="184">
        <v>-92571.33</v>
      </c>
    </row>
    <row r="387">
      <c r="A387" s="168">
        <v>90.0</v>
      </c>
      <c r="B387" s="168">
        <v>54.0</v>
      </c>
      <c r="C387" s="168">
        <v>90.0</v>
      </c>
      <c r="D387" s="168">
        <v>39.0</v>
      </c>
      <c r="E387" s="168">
        <v>1.0</v>
      </c>
      <c r="F387" s="168">
        <v>6.0</v>
      </c>
      <c r="G387" s="168">
        <v>5.0</v>
      </c>
      <c r="H387" s="183">
        <v>84526.8</v>
      </c>
      <c r="I387" s="184">
        <v>-24089.57</v>
      </c>
      <c r="J387" s="168">
        <v>4.0</v>
      </c>
      <c r="K387" s="168">
        <v>3.0</v>
      </c>
      <c r="L387" s="168">
        <v>3.0</v>
      </c>
      <c r="M387" s="184">
        <v>40403.72</v>
      </c>
      <c r="N387" s="184">
        <v>74063.83</v>
      </c>
      <c r="O387" s="184">
        <v>-21798.09</v>
      </c>
      <c r="P387" s="184">
        <v>-99454.75</v>
      </c>
    </row>
    <row r="388">
      <c r="A388" s="168">
        <v>42.0</v>
      </c>
      <c r="B388" s="168">
        <v>31.0</v>
      </c>
      <c r="C388" s="168">
        <v>32.0</v>
      </c>
      <c r="D388" s="168">
        <v>85.0</v>
      </c>
      <c r="E388" s="168">
        <v>8.0</v>
      </c>
      <c r="F388" s="168">
        <v>9.0</v>
      </c>
      <c r="G388" s="168">
        <v>4.0</v>
      </c>
      <c r="H388" s="183">
        <v>-30712.26</v>
      </c>
      <c r="I388" s="184">
        <v>-55523.18</v>
      </c>
      <c r="J388" s="168">
        <v>4.0</v>
      </c>
      <c r="K388" s="168">
        <v>6.0</v>
      </c>
      <c r="L388" s="168">
        <v>5.0</v>
      </c>
      <c r="M388" s="184">
        <v>66868.13</v>
      </c>
      <c r="N388" s="184">
        <v>-41137.39</v>
      </c>
      <c r="O388" s="184">
        <v>-82356.1</v>
      </c>
      <c r="P388" s="184">
        <v>86375.54</v>
      </c>
    </row>
    <row r="389">
      <c r="A389" s="168">
        <v>80.0</v>
      </c>
      <c r="B389" s="168">
        <v>98.0</v>
      </c>
      <c r="C389" s="168">
        <v>42.0</v>
      </c>
      <c r="D389" s="168">
        <v>11.0</v>
      </c>
      <c r="E389" s="168">
        <v>9.0</v>
      </c>
      <c r="F389" s="168">
        <v>5.0</v>
      </c>
      <c r="G389" s="168">
        <v>3.0</v>
      </c>
      <c r="H389" s="183">
        <v>-88345.61</v>
      </c>
      <c r="I389" s="184">
        <v>20911.49</v>
      </c>
      <c r="J389" s="168">
        <v>3.0</v>
      </c>
      <c r="K389" s="168">
        <v>3.0</v>
      </c>
      <c r="L389" s="168">
        <v>1.0</v>
      </c>
      <c r="M389" s="184">
        <v>-61857.88</v>
      </c>
      <c r="N389" s="184">
        <v>8458.64</v>
      </c>
      <c r="O389" s="184">
        <v>-55161.37</v>
      </c>
      <c r="P389" s="184">
        <v>-20849.55</v>
      </c>
    </row>
    <row r="390">
      <c r="A390" s="168">
        <v>23.0</v>
      </c>
      <c r="B390" s="168">
        <v>57.0</v>
      </c>
      <c r="C390" s="168">
        <v>29.0</v>
      </c>
      <c r="D390" s="168">
        <v>33.0</v>
      </c>
      <c r="E390" s="168">
        <v>5.0</v>
      </c>
      <c r="F390" s="168">
        <v>4.0</v>
      </c>
      <c r="G390" s="168">
        <v>2.0</v>
      </c>
      <c r="H390" s="183">
        <v>72377.1</v>
      </c>
      <c r="I390" s="184">
        <v>-75354.32</v>
      </c>
      <c r="J390" s="168">
        <v>5.0</v>
      </c>
      <c r="K390" s="168">
        <v>4.0</v>
      </c>
      <c r="L390" s="168">
        <v>6.0</v>
      </c>
      <c r="M390" s="184">
        <v>77126.11</v>
      </c>
      <c r="N390" s="184">
        <v>42041.04</v>
      </c>
      <c r="O390" s="184">
        <v>25488.75</v>
      </c>
      <c r="P390" s="184">
        <v>94006.85</v>
      </c>
    </row>
    <row r="391">
      <c r="A391" s="168">
        <v>83.0</v>
      </c>
      <c r="B391" s="168">
        <v>35.0</v>
      </c>
      <c r="C391" s="168">
        <v>52.0</v>
      </c>
      <c r="D391" s="168">
        <v>53.0</v>
      </c>
      <c r="E391" s="168">
        <v>3.0</v>
      </c>
      <c r="F391" s="168">
        <v>3.0</v>
      </c>
      <c r="G391" s="168">
        <v>2.0</v>
      </c>
      <c r="H391" s="183">
        <v>-65507.23</v>
      </c>
      <c r="I391" s="184">
        <v>-49535.03</v>
      </c>
      <c r="J391" s="168">
        <v>1.0</v>
      </c>
      <c r="K391" s="168">
        <v>4.0</v>
      </c>
      <c r="L391" s="168">
        <v>4.0</v>
      </c>
      <c r="M391" s="184">
        <v>37514.93</v>
      </c>
      <c r="N391" s="184">
        <v>-6823.14</v>
      </c>
      <c r="O391" s="184">
        <v>-86427.5</v>
      </c>
      <c r="P391" s="184">
        <v>49267.12</v>
      </c>
    </row>
    <row r="392">
      <c r="A392" s="168">
        <v>18.0</v>
      </c>
      <c r="B392" s="168">
        <v>83.0</v>
      </c>
      <c r="C392" s="168">
        <v>87.0</v>
      </c>
      <c r="D392" s="168">
        <v>87.0</v>
      </c>
      <c r="E392" s="168">
        <v>3.0</v>
      </c>
      <c r="F392" s="168">
        <v>2.0</v>
      </c>
      <c r="G392" s="168">
        <v>1.0</v>
      </c>
      <c r="H392" s="183">
        <v>68381.8</v>
      </c>
      <c r="I392" s="184">
        <v>-38826.7</v>
      </c>
      <c r="J392" s="168">
        <v>6.0</v>
      </c>
      <c r="K392" s="168">
        <v>3.0</v>
      </c>
      <c r="L392" s="168">
        <v>6.0</v>
      </c>
      <c r="M392" s="184">
        <v>52.78</v>
      </c>
      <c r="N392" s="184">
        <v>-60990.87</v>
      </c>
      <c r="O392" s="184">
        <v>-93250.48</v>
      </c>
      <c r="P392" s="184">
        <v>79500.02</v>
      </c>
    </row>
    <row r="393">
      <c r="A393" s="168">
        <v>75.0</v>
      </c>
      <c r="B393" s="168">
        <v>35.0</v>
      </c>
      <c r="C393" s="168">
        <v>80.0</v>
      </c>
      <c r="D393" s="168">
        <v>33.0</v>
      </c>
      <c r="E393" s="168">
        <v>3.0</v>
      </c>
      <c r="F393" s="168">
        <v>2.0</v>
      </c>
      <c r="G393" s="168">
        <v>2.0</v>
      </c>
      <c r="H393" s="183">
        <v>55420.96</v>
      </c>
      <c r="I393" s="184">
        <v>19204.97</v>
      </c>
      <c r="J393" s="168">
        <v>4.0</v>
      </c>
      <c r="K393" s="168">
        <v>7.0</v>
      </c>
      <c r="L393" s="168">
        <v>6.0</v>
      </c>
      <c r="M393" s="184">
        <v>-34586.65</v>
      </c>
      <c r="N393" s="184">
        <v>76558.43</v>
      </c>
      <c r="O393" s="184">
        <v>-45343.62</v>
      </c>
      <c r="P393" s="184">
        <v>-3263.32</v>
      </c>
    </row>
    <row r="394">
      <c r="A394" s="168">
        <v>79.0</v>
      </c>
      <c r="B394" s="168">
        <v>95.0</v>
      </c>
      <c r="C394" s="168">
        <v>68.0</v>
      </c>
      <c r="D394" s="168">
        <v>93.0</v>
      </c>
      <c r="E394" s="168">
        <v>6.0</v>
      </c>
      <c r="F394" s="168">
        <v>1.0</v>
      </c>
      <c r="G394" s="168">
        <v>2.0</v>
      </c>
      <c r="H394" s="183">
        <v>-53790.99</v>
      </c>
      <c r="I394" s="184">
        <v>-79366.95</v>
      </c>
      <c r="J394" s="168">
        <v>6.0</v>
      </c>
      <c r="K394" s="168">
        <v>2.0</v>
      </c>
      <c r="L394" s="168">
        <v>7.0</v>
      </c>
      <c r="M394" s="184">
        <v>-1484.86</v>
      </c>
      <c r="N394" s="184">
        <v>-76651.87</v>
      </c>
      <c r="O394" s="184">
        <v>17979.6</v>
      </c>
      <c r="P394" s="184">
        <v>-48658.29</v>
      </c>
    </row>
    <row r="395">
      <c r="A395" s="168">
        <v>65.0</v>
      </c>
      <c r="B395" s="168">
        <v>53.0</v>
      </c>
      <c r="C395" s="168">
        <v>74.0</v>
      </c>
      <c r="D395" s="168">
        <v>82.0</v>
      </c>
      <c r="E395" s="168">
        <v>3.0</v>
      </c>
      <c r="F395" s="168">
        <v>2.0</v>
      </c>
      <c r="G395" s="168">
        <v>3.0</v>
      </c>
      <c r="H395" s="183">
        <v>-99268.51</v>
      </c>
      <c r="I395" s="184">
        <v>-98413.46</v>
      </c>
      <c r="J395" s="168">
        <v>6.0</v>
      </c>
      <c r="K395" s="168">
        <v>4.0</v>
      </c>
      <c r="L395" s="168">
        <v>2.0</v>
      </c>
      <c r="M395" s="184">
        <v>12419.26</v>
      </c>
      <c r="N395" s="184">
        <v>87080.29</v>
      </c>
      <c r="O395" s="184">
        <v>14800.75</v>
      </c>
      <c r="P395" s="184">
        <v>89626.42</v>
      </c>
    </row>
    <row r="396">
      <c r="A396" s="168">
        <v>20.0</v>
      </c>
      <c r="B396" s="168">
        <v>76.0</v>
      </c>
      <c r="C396" s="168">
        <v>73.0</v>
      </c>
      <c r="D396" s="168">
        <v>38.0</v>
      </c>
      <c r="E396" s="168">
        <v>1.0</v>
      </c>
      <c r="F396" s="168">
        <v>2.0</v>
      </c>
      <c r="G396" s="168">
        <v>7.0</v>
      </c>
      <c r="H396" s="183">
        <v>-30814.64</v>
      </c>
      <c r="I396" s="184">
        <v>36447.18</v>
      </c>
      <c r="J396" s="168">
        <v>7.0</v>
      </c>
      <c r="K396" s="168">
        <v>1.0</v>
      </c>
      <c r="L396" s="168">
        <v>5.0</v>
      </c>
      <c r="M396" s="184">
        <v>38119.37</v>
      </c>
      <c r="N396" s="184">
        <v>-53107.18</v>
      </c>
      <c r="O396" s="184">
        <v>-37645.53</v>
      </c>
      <c r="P396" s="184">
        <v>14827.56</v>
      </c>
    </row>
    <row r="397">
      <c r="A397" s="168">
        <v>82.0</v>
      </c>
      <c r="B397" s="168">
        <v>17.0</v>
      </c>
      <c r="C397" s="168">
        <v>43.0</v>
      </c>
      <c r="D397" s="168">
        <v>34.0</v>
      </c>
      <c r="E397" s="168">
        <v>9.0</v>
      </c>
      <c r="F397" s="168">
        <v>3.0</v>
      </c>
      <c r="G397" s="168">
        <v>7.0</v>
      </c>
      <c r="H397" s="183">
        <v>22515.76</v>
      </c>
      <c r="I397" s="184">
        <v>-32548.67</v>
      </c>
      <c r="J397" s="168">
        <v>2.0</v>
      </c>
      <c r="K397" s="168">
        <v>7.0</v>
      </c>
      <c r="L397" s="168">
        <v>1.0</v>
      </c>
      <c r="M397" s="184">
        <v>58818.58</v>
      </c>
      <c r="N397" s="184">
        <v>9422.41</v>
      </c>
      <c r="O397" s="184">
        <v>-78624.32</v>
      </c>
      <c r="P397" s="184">
        <v>-21359.97</v>
      </c>
    </row>
    <row r="398">
      <c r="A398" s="168">
        <v>48.0</v>
      </c>
      <c r="B398" s="168">
        <v>87.0</v>
      </c>
      <c r="C398" s="168">
        <v>93.0</v>
      </c>
      <c r="D398" s="168">
        <v>93.0</v>
      </c>
      <c r="E398" s="168">
        <v>6.0</v>
      </c>
      <c r="F398" s="168">
        <v>7.0</v>
      </c>
      <c r="G398" s="168">
        <v>1.0</v>
      </c>
      <c r="H398" s="183">
        <v>-8923.2</v>
      </c>
      <c r="I398" s="184">
        <v>12509.7</v>
      </c>
      <c r="J398" s="168">
        <v>5.0</v>
      </c>
      <c r="K398" s="168">
        <v>7.0</v>
      </c>
      <c r="L398" s="168">
        <v>8.0</v>
      </c>
      <c r="M398" s="184">
        <v>-35869.93</v>
      </c>
      <c r="N398" s="184">
        <v>-47275.69</v>
      </c>
      <c r="O398" s="184">
        <v>14079.66</v>
      </c>
      <c r="P398" s="184">
        <v>60392.82</v>
      </c>
    </row>
    <row r="399">
      <c r="A399" s="168">
        <v>44.0</v>
      </c>
      <c r="B399" s="168">
        <v>98.0</v>
      </c>
      <c r="C399" s="168">
        <v>69.0</v>
      </c>
      <c r="D399" s="168">
        <v>74.0</v>
      </c>
      <c r="E399" s="168">
        <v>5.0</v>
      </c>
      <c r="F399" s="168">
        <v>7.0</v>
      </c>
      <c r="G399" s="168">
        <v>7.0</v>
      </c>
      <c r="H399" s="183">
        <v>50520.98</v>
      </c>
      <c r="I399" s="184">
        <v>41998.15</v>
      </c>
      <c r="J399" s="168">
        <v>1.0</v>
      </c>
      <c r="K399" s="168">
        <v>3.0</v>
      </c>
      <c r="L399" s="168">
        <v>1.0</v>
      </c>
      <c r="M399" s="184">
        <v>90069.85</v>
      </c>
      <c r="N399" s="184">
        <v>-52373.32</v>
      </c>
      <c r="O399" s="184">
        <v>77117.39</v>
      </c>
      <c r="P399" s="184">
        <v>-1513.15</v>
      </c>
    </row>
    <row r="400">
      <c r="A400" s="168">
        <v>79.0</v>
      </c>
      <c r="B400" s="168">
        <v>73.0</v>
      </c>
      <c r="C400" s="168">
        <v>41.0</v>
      </c>
      <c r="D400" s="168">
        <v>84.0</v>
      </c>
      <c r="E400" s="168">
        <v>7.0</v>
      </c>
      <c r="F400" s="168">
        <v>1.0</v>
      </c>
      <c r="G400" s="168">
        <v>9.0</v>
      </c>
      <c r="H400" s="183">
        <v>-81208.55</v>
      </c>
      <c r="I400" s="184">
        <v>28761.11</v>
      </c>
      <c r="J400" s="168">
        <v>8.0</v>
      </c>
      <c r="K400" s="168">
        <v>3.0</v>
      </c>
      <c r="L400" s="168">
        <v>5.0</v>
      </c>
      <c r="M400" s="184">
        <v>95853.57</v>
      </c>
      <c r="N400" s="184">
        <v>25827.6</v>
      </c>
      <c r="O400" s="184">
        <v>65443.4</v>
      </c>
      <c r="P400" s="184">
        <v>-11077.75</v>
      </c>
    </row>
    <row r="401">
      <c r="A401" s="168">
        <v>92.0</v>
      </c>
      <c r="B401" s="168">
        <v>13.0</v>
      </c>
      <c r="C401" s="168">
        <v>65.0</v>
      </c>
      <c r="D401" s="168">
        <v>76.0</v>
      </c>
      <c r="E401" s="168">
        <v>2.0</v>
      </c>
      <c r="F401" s="168">
        <v>7.0</v>
      </c>
      <c r="G401" s="168">
        <v>3.0</v>
      </c>
      <c r="H401" s="183">
        <v>-43610.4</v>
      </c>
      <c r="I401" s="184">
        <v>-3215.49</v>
      </c>
      <c r="J401" s="168">
        <v>1.0</v>
      </c>
      <c r="K401" s="168">
        <v>6.0</v>
      </c>
      <c r="L401" s="168">
        <v>6.0</v>
      </c>
      <c r="M401" s="184">
        <v>50122.81</v>
      </c>
      <c r="N401" s="184">
        <v>78553.58</v>
      </c>
      <c r="O401" s="184">
        <v>-32979.8</v>
      </c>
      <c r="P401" s="184">
        <v>2893.27</v>
      </c>
    </row>
    <row r="402">
      <c r="A402" s="168">
        <v>66.0</v>
      </c>
      <c r="B402" s="168">
        <v>81.0</v>
      </c>
      <c r="C402" s="168">
        <v>52.0</v>
      </c>
      <c r="D402" s="168">
        <v>94.0</v>
      </c>
      <c r="E402" s="168">
        <v>8.0</v>
      </c>
      <c r="F402" s="168">
        <v>9.0</v>
      </c>
      <c r="G402" s="168">
        <v>5.0</v>
      </c>
      <c r="H402" s="183">
        <v>69410.01</v>
      </c>
      <c r="I402" s="184">
        <v>20550.62</v>
      </c>
      <c r="J402" s="168">
        <v>5.0</v>
      </c>
      <c r="K402" s="168">
        <v>7.0</v>
      </c>
      <c r="L402" s="168">
        <v>5.0</v>
      </c>
      <c r="M402" s="184">
        <v>38729.11</v>
      </c>
      <c r="N402" s="184">
        <v>58928.57</v>
      </c>
      <c r="O402" s="184">
        <v>81447.79</v>
      </c>
      <c r="P402" s="184">
        <v>-70516.63</v>
      </c>
    </row>
    <row r="403">
      <c r="A403" s="168">
        <v>76.0</v>
      </c>
      <c r="B403" s="168">
        <v>36.0</v>
      </c>
      <c r="C403" s="168">
        <v>64.0</v>
      </c>
      <c r="D403" s="168">
        <v>83.0</v>
      </c>
      <c r="E403" s="168">
        <v>6.0</v>
      </c>
      <c r="F403" s="168">
        <v>3.0</v>
      </c>
      <c r="G403" s="168">
        <v>3.0</v>
      </c>
      <c r="H403" s="183">
        <v>90774.73</v>
      </c>
      <c r="I403" s="184">
        <v>97408.45</v>
      </c>
      <c r="J403" s="168">
        <v>6.0</v>
      </c>
      <c r="K403" s="168">
        <v>4.0</v>
      </c>
      <c r="L403" s="168">
        <v>9.0</v>
      </c>
      <c r="M403" s="184">
        <v>-53112.26</v>
      </c>
      <c r="N403" s="184">
        <v>-84597.39</v>
      </c>
      <c r="O403" s="184">
        <v>-28181.5</v>
      </c>
      <c r="P403" s="184">
        <v>36675.76</v>
      </c>
    </row>
    <row r="404">
      <c r="A404" s="168">
        <v>88.0</v>
      </c>
      <c r="B404" s="168">
        <v>44.0</v>
      </c>
      <c r="C404" s="168">
        <v>32.0</v>
      </c>
      <c r="D404" s="168">
        <v>32.0</v>
      </c>
      <c r="E404" s="168">
        <v>4.0</v>
      </c>
      <c r="F404" s="168">
        <v>5.0</v>
      </c>
      <c r="G404" s="168">
        <v>8.0</v>
      </c>
      <c r="H404" s="183">
        <v>44670.95</v>
      </c>
      <c r="I404" s="184">
        <v>94760.87</v>
      </c>
      <c r="J404" s="168">
        <v>5.0</v>
      </c>
      <c r="K404" s="168">
        <v>5.0</v>
      </c>
      <c r="L404" s="168">
        <v>3.0</v>
      </c>
      <c r="M404" s="184">
        <v>-60819.7</v>
      </c>
      <c r="N404" s="184">
        <v>-29483.02</v>
      </c>
      <c r="O404" s="184">
        <v>-92685.02</v>
      </c>
      <c r="P404" s="184">
        <v>-21300.91</v>
      </c>
    </row>
    <row r="405">
      <c r="A405" s="168">
        <v>89.0</v>
      </c>
      <c r="B405" s="168">
        <v>23.0</v>
      </c>
      <c r="C405" s="168">
        <v>20.0</v>
      </c>
      <c r="D405" s="168">
        <v>56.0</v>
      </c>
      <c r="E405" s="168">
        <v>3.0</v>
      </c>
      <c r="F405" s="168">
        <v>3.0</v>
      </c>
      <c r="G405" s="168">
        <v>5.0</v>
      </c>
      <c r="H405" s="183">
        <v>-31639.71</v>
      </c>
      <c r="I405" s="184">
        <v>-60317.22</v>
      </c>
      <c r="J405" s="168">
        <v>9.0</v>
      </c>
      <c r="K405" s="168">
        <v>5.0</v>
      </c>
      <c r="L405" s="168">
        <v>7.0</v>
      </c>
      <c r="M405" s="184">
        <v>-9951.72</v>
      </c>
      <c r="N405" s="184">
        <v>-22202.89</v>
      </c>
      <c r="O405" s="184">
        <v>811.23</v>
      </c>
      <c r="P405" s="184">
        <v>30601.74</v>
      </c>
    </row>
    <row r="406">
      <c r="A406" s="168">
        <v>44.0</v>
      </c>
      <c r="B406" s="168">
        <v>11.0</v>
      </c>
      <c r="C406" s="168">
        <v>13.0</v>
      </c>
      <c r="D406" s="168">
        <v>51.0</v>
      </c>
      <c r="E406" s="168">
        <v>7.0</v>
      </c>
      <c r="F406" s="168">
        <v>8.0</v>
      </c>
      <c r="G406" s="168">
        <v>8.0</v>
      </c>
      <c r="H406" s="183">
        <v>-29065.33</v>
      </c>
      <c r="I406" s="184">
        <v>-10599.26</v>
      </c>
      <c r="J406" s="168">
        <v>3.0</v>
      </c>
      <c r="K406" s="168">
        <v>7.0</v>
      </c>
      <c r="L406" s="168">
        <v>4.0</v>
      </c>
      <c r="M406" s="184">
        <v>-93741.27</v>
      </c>
      <c r="N406" s="184">
        <v>44248.1</v>
      </c>
      <c r="O406" s="184">
        <v>76635.72</v>
      </c>
      <c r="P406" s="184">
        <v>66502.77</v>
      </c>
    </row>
    <row r="407">
      <c r="A407" s="168">
        <v>19.0</v>
      </c>
      <c r="B407" s="168">
        <v>84.0</v>
      </c>
      <c r="C407" s="168">
        <v>70.0</v>
      </c>
      <c r="D407" s="168">
        <v>42.0</v>
      </c>
      <c r="E407" s="168">
        <v>6.0</v>
      </c>
      <c r="F407" s="168">
        <v>5.0</v>
      </c>
      <c r="G407" s="168">
        <v>9.0</v>
      </c>
      <c r="H407" s="183">
        <v>52051.44</v>
      </c>
      <c r="I407" s="184">
        <v>86497.01</v>
      </c>
      <c r="J407" s="168">
        <v>7.0</v>
      </c>
      <c r="K407" s="168">
        <v>3.0</v>
      </c>
      <c r="L407" s="168">
        <v>8.0</v>
      </c>
      <c r="M407" s="184">
        <v>-57816.26</v>
      </c>
      <c r="N407" s="184">
        <v>7525.88</v>
      </c>
      <c r="O407" s="184">
        <v>59216.13</v>
      </c>
      <c r="P407" s="184">
        <v>-29989.4</v>
      </c>
    </row>
    <row r="408">
      <c r="A408" s="168">
        <v>38.0</v>
      </c>
      <c r="B408" s="168">
        <v>69.0</v>
      </c>
      <c r="C408" s="168">
        <v>86.0</v>
      </c>
      <c r="D408" s="168">
        <v>50.0</v>
      </c>
      <c r="E408" s="168">
        <v>4.0</v>
      </c>
      <c r="F408" s="168">
        <v>8.0</v>
      </c>
      <c r="G408" s="168">
        <v>3.0</v>
      </c>
      <c r="H408" s="183">
        <v>7079.91</v>
      </c>
      <c r="I408" s="184">
        <v>-36961.65</v>
      </c>
      <c r="J408" s="168">
        <v>4.0</v>
      </c>
      <c r="K408" s="168">
        <v>9.0</v>
      </c>
      <c r="L408" s="168">
        <v>5.0</v>
      </c>
      <c r="M408" s="184">
        <v>76235.38</v>
      </c>
      <c r="N408" s="184">
        <v>29900.78</v>
      </c>
      <c r="O408" s="184">
        <v>-18792.35</v>
      </c>
      <c r="P408" s="184">
        <v>79595.93</v>
      </c>
    </row>
    <row r="409">
      <c r="A409" s="168">
        <v>14.0</v>
      </c>
      <c r="B409" s="168">
        <v>55.0</v>
      </c>
      <c r="C409" s="168">
        <v>43.0</v>
      </c>
      <c r="D409" s="168">
        <v>66.0</v>
      </c>
      <c r="E409" s="168">
        <v>2.0</v>
      </c>
      <c r="F409" s="168">
        <v>9.0</v>
      </c>
      <c r="G409" s="168">
        <v>7.0</v>
      </c>
      <c r="H409" s="183">
        <v>-5489.48</v>
      </c>
      <c r="I409" s="184">
        <v>63356.59</v>
      </c>
      <c r="J409" s="168">
        <v>8.0</v>
      </c>
      <c r="K409" s="168">
        <v>3.0</v>
      </c>
      <c r="L409" s="168">
        <v>9.0</v>
      </c>
      <c r="M409" s="184">
        <v>23965.16</v>
      </c>
      <c r="N409" s="184">
        <v>49662.7</v>
      </c>
      <c r="O409" s="184">
        <v>-40841.09</v>
      </c>
      <c r="P409" s="184">
        <v>-70971.23</v>
      </c>
    </row>
    <row r="410">
      <c r="A410" s="168">
        <v>33.0</v>
      </c>
      <c r="B410" s="168">
        <v>66.0</v>
      </c>
      <c r="C410" s="168">
        <v>30.0</v>
      </c>
      <c r="D410" s="168">
        <v>15.0</v>
      </c>
      <c r="E410" s="168">
        <v>6.0</v>
      </c>
      <c r="F410" s="168">
        <v>3.0</v>
      </c>
      <c r="G410" s="168">
        <v>6.0</v>
      </c>
      <c r="H410" s="183">
        <v>25843.8</v>
      </c>
      <c r="I410" s="184">
        <v>-10495.05</v>
      </c>
      <c r="J410" s="168">
        <v>5.0</v>
      </c>
      <c r="K410" s="168">
        <v>1.0</v>
      </c>
      <c r="L410" s="168">
        <v>4.0</v>
      </c>
      <c r="M410" s="184">
        <v>44298.52</v>
      </c>
      <c r="N410" s="184">
        <v>-87168.72</v>
      </c>
      <c r="O410" s="184">
        <v>-20708.33</v>
      </c>
      <c r="P410" s="184">
        <v>7530.65</v>
      </c>
    </row>
    <row r="411">
      <c r="A411" s="168">
        <v>89.0</v>
      </c>
      <c r="B411" s="168">
        <v>55.0</v>
      </c>
      <c r="C411" s="168">
        <v>37.0</v>
      </c>
      <c r="D411" s="168">
        <v>56.0</v>
      </c>
      <c r="E411" s="168">
        <v>8.0</v>
      </c>
      <c r="F411" s="168">
        <v>7.0</v>
      </c>
      <c r="G411" s="168">
        <v>8.0</v>
      </c>
      <c r="H411" s="183">
        <v>22931.0</v>
      </c>
      <c r="I411" s="184">
        <v>-51805.04</v>
      </c>
      <c r="J411" s="168">
        <v>9.0</v>
      </c>
      <c r="K411" s="168">
        <v>3.0</v>
      </c>
      <c r="L411" s="168">
        <v>8.0</v>
      </c>
      <c r="M411" s="184">
        <v>34181.69</v>
      </c>
      <c r="N411" s="184">
        <v>-74822.83</v>
      </c>
      <c r="O411" s="184">
        <v>-47201.52</v>
      </c>
      <c r="P411" s="184">
        <v>-72903.39</v>
      </c>
    </row>
    <row r="412">
      <c r="A412" s="168">
        <v>69.0</v>
      </c>
      <c r="B412" s="168">
        <v>76.0</v>
      </c>
      <c r="C412" s="168">
        <v>41.0</v>
      </c>
      <c r="D412" s="168">
        <v>14.0</v>
      </c>
      <c r="E412" s="168">
        <v>4.0</v>
      </c>
      <c r="F412" s="168">
        <v>6.0</v>
      </c>
      <c r="G412" s="168">
        <v>4.0</v>
      </c>
      <c r="H412" s="183">
        <v>-21616.47</v>
      </c>
      <c r="I412" s="184">
        <v>16163.75</v>
      </c>
      <c r="J412" s="168">
        <v>4.0</v>
      </c>
      <c r="K412" s="168">
        <v>7.0</v>
      </c>
      <c r="L412" s="168">
        <v>7.0</v>
      </c>
      <c r="M412" s="184">
        <v>-72197.57</v>
      </c>
      <c r="N412" s="184">
        <v>91471.47</v>
      </c>
      <c r="O412" s="184">
        <v>48971.54</v>
      </c>
      <c r="P412" s="184">
        <v>-77363.82</v>
      </c>
    </row>
    <row r="413">
      <c r="A413" s="168">
        <v>21.0</v>
      </c>
      <c r="B413" s="168">
        <v>72.0</v>
      </c>
      <c r="C413" s="168">
        <v>41.0</v>
      </c>
      <c r="D413" s="168">
        <v>99.0</v>
      </c>
      <c r="E413" s="168">
        <v>5.0</v>
      </c>
      <c r="F413" s="168">
        <v>8.0</v>
      </c>
      <c r="G413" s="168">
        <v>6.0</v>
      </c>
      <c r="H413" s="183">
        <v>14831.5</v>
      </c>
      <c r="I413" s="184">
        <v>-32990.49</v>
      </c>
      <c r="J413" s="168">
        <v>8.0</v>
      </c>
      <c r="K413" s="168">
        <v>8.0</v>
      </c>
      <c r="L413" s="168">
        <v>2.0</v>
      </c>
      <c r="M413" s="184">
        <v>6771.68</v>
      </c>
      <c r="N413" s="184">
        <v>74041.06</v>
      </c>
      <c r="O413" s="184">
        <v>-6774.31</v>
      </c>
      <c r="P413" s="184">
        <v>8224.1</v>
      </c>
    </row>
    <row r="414">
      <c r="A414" s="168">
        <v>41.0</v>
      </c>
      <c r="B414" s="168">
        <v>53.0</v>
      </c>
      <c r="C414" s="168">
        <v>79.0</v>
      </c>
      <c r="D414" s="168">
        <v>72.0</v>
      </c>
      <c r="E414" s="168">
        <v>5.0</v>
      </c>
      <c r="F414" s="168">
        <v>4.0</v>
      </c>
      <c r="G414" s="168">
        <v>2.0</v>
      </c>
      <c r="H414" s="183">
        <v>-19016.16</v>
      </c>
      <c r="I414" s="184">
        <v>40995.96</v>
      </c>
      <c r="J414" s="168">
        <v>7.0</v>
      </c>
      <c r="K414" s="168">
        <v>9.0</v>
      </c>
      <c r="L414" s="168">
        <v>9.0</v>
      </c>
      <c r="M414" s="184">
        <v>-35968.8</v>
      </c>
      <c r="N414" s="184">
        <v>-19674.54</v>
      </c>
      <c r="O414" s="184">
        <v>-89488.04</v>
      </c>
      <c r="P414" s="184">
        <v>-47657.54</v>
      </c>
    </row>
    <row r="415">
      <c r="A415" s="168">
        <v>25.0</v>
      </c>
      <c r="B415" s="168">
        <v>28.0</v>
      </c>
      <c r="C415" s="168">
        <v>53.0</v>
      </c>
      <c r="D415" s="168">
        <v>61.0</v>
      </c>
      <c r="E415" s="168">
        <v>9.0</v>
      </c>
      <c r="F415" s="168">
        <v>6.0</v>
      </c>
      <c r="G415" s="168">
        <v>4.0</v>
      </c>
      <c r="H415" s="183">
        <v>-72579.51</v>
      </c>
      <c r="I415" s="184">
        <v>78486.09</v>
      </c>
      <c r="J415" s="168">
        <v>2.0</v>
      </c>
      <c r="K415" s="168">
        <v>2.0</v>
      </c>
      <c r="L415" s="168">
        <v>1.0</v>
      </c>
      <c r="M415" s="184">
        <v>-1955.06</v>
      </c>
      <c r="N415" s="184">
        <v>96650.42</v>
      </c>
      <c r="O415" s="184">
        <v>16616.52</v>
      </c>
      <c r="P415" s="184">
        <v>-91832.08</v>
      </c>
    </row>
    <row r="416">
      <c r="A416" s="168">
        <v>47.0</v>
      </c>
      <c r="B416" s="168">
        <v>37.0</v>
      </c>
      <c r="C416" s="168">
        <v>71.0</v>
      </c>
      <c r="D416" s="168">
        <v>82.0</v>
      </c>
      <c r="E416" s="168">
        <v>2.0</v>
      </c>
      <c r="F416" s="168">
        <v>2.0</v>
      </c>
      <c r="G416" s="168">
        <v>1.0</v>
      </c>
      <c r="H416" s="183">
        <v>-7783.37</v>
      </c>
      <c r="I416" s="184">
        <v>29700.61</v>
      </c>
      <c r="J416" s="168">
        <v>9.0</v>
      </c>
      <c r="K416" s="168">
        <v>4.0</v>
      </c>
      <c r="L416" s="168">
        <v>8.0</v>
      </c>
      <c r="M416" s="184">
        <v>29161.74</v>
      </c>
      <c r="N416" s="184">
        <v>67015.87</v>
      </c>
      <c r="O416" s="184">
        <v>-1899.3</v>
      </c>
      <c r="P416" s="184">
        <v>-90653.1</v>
      </c>
    </row>
    <row r="417">
      <c r="A417" s="168">
        <v>46.0</v>
      </c>
      <c r="B417" s="168">
        <v>47.0</v>
      </c>
      <c r="C417" s="168">
        <v>59.0</v>
      </c>
      <c r="D417" s="168">
        <v>14.0</v>
      </c>
      <c r="E417" s="168">
        <v>1.0</v>
      </c>
      <c r="F417" s="168">
        <v>4.0</v>
      </c>
      <c r="G417" s="168">
        <v>4.0</v>
      </c>
      <c r="H417" s="183">
        <v>-52087.59</v>
      </c>
      <c r="I417" s="184">
        <v>-11379.82</v>
      </c>
      <c r="J417" s="168">
        <v>1.0</v>
      </c>
      <c r="K417" s="168">
        <v>2.0</v>
      </c>
      <c r="L417" s="168">
        <v>7.0</v>
      </c>
      <c r="M417" s="184">
        <v>-2818.52</v>
      </c>
      <c r="N417" s="184">
        <v>-89416.05</v>
      </c>
      <c r="O417" s="184">
        <v>90937.02</v>
      </c>
      <c r="P417" s="184">
        <v>-2327.71</v>
      </c>
    </row>
    <row r="418">
      <c r="A418" s="168">
        <v>73.0</v>
      </c>
      <c r="B418" s="168">
        <v>11.0</v>
      </c>
      <c r="C418" s="168">
        <v>39.0</v>
      </c>
      <c r="D418" s="168">
        <v>47.0</v>
      </c>
      <c r="E418" s="168">
        <v>4.0</v>
      </c>
      <c r="F418" s="168">
        <v>1.0</v>
      </c>
      <c r="G418" s="168">
        <v>2.0</v>
      </c>
      <c r="H418" s="183">
        <v>-49366.93</v>
      </c>
      <c r="I418" s="184">
        <v>29895.59</v>
      </c>
      <c r="J418" s="168">
        <v>8.0</v>
      </c>
      <c r="K418" s="168">
        <v>8.0</v>
      </c>
      <c r="L418" s="168">
        <v>5.0</v>
      </c>
      <c r="M418" s="184">
        <v>-46131.1</v>
      </c>
      <c r="N418" s="184">
        <v>57686.99</v>
      </c>
      <c r="O418" s="184">
        <v>1153.98</v>
      </c>
      <c r="P418" s="184">
        <v>-46544.44</v>
      </c>
    </row>
    <row r="419">
      <c r="A419" s="168">
        <v>68.0</v>
      </c>
      <c r="B419" s="168">
        <v>19.0</v>
      </c>
      <c r="C419" s="168">
        <v>10.0</v>
      </c>
      <c r="D419" s="168">
        <v>71.0</v>
      </c>
      <c r="E419" s="168">
        <v>2.0</v>
      </c>
      <c r="F419" s="168">
        <v>4.0</v>
      </c>
      <c r="G419" s="168">
        <v>4.0</v>
      </c>
      <c r="H419" s="183">
        <v>-30158.47</v>
      </c>
      <c r="I419" s="184">
        <v>-94765.29</v>
      </c>
      <c r="J419" s="168">
        <v>7.0</v>
      </c>
      <c r="K419" s="168">
        <v>5.0</v>
      </c>
      <c r="L419" s="168">
        <v>4.0</v>
      </c>
      <c r="M419" s="184">
        <v>-19367.61</v>
      </c>
      <c r="N419" s="184">
        <v>-50001.61</v>
      </c>
      <c r="O419" s="184">
        <v>66315.91</v>
      </c>
      <c r="P419" s="184">
        <v>-18653.35</v>
      </c>
    </row>
    <row r="420">
      <c r="A420" s="168">
        <v>62.0</v>
      </c>
      <c r="B420" s="168">
        <v>96.0</v>
      </c>
      <c r="C420" s="168">
        <v>34.0</v>
      </c>
      <c r="D420" s="168">
        <v>55.0</v>
      </c>
      <c r="E420" s="168">
        <v>1.0</v>
      </c>
      <c r="F420" s="168">
        <v>2.0</v>
      </c>
      <c r="G420" s="168">
        <v>5.0</v>
      </c>
      <c r="H420" s="183">
        <v>74195.83</v>
      </c>
      <c r="I420" s="184">
        <v>22226.19</v>
      </c>
      <c r="J420" s="168">
        <v>5.0</v>
      </c>
      <c r="K420" s="168">
        <v>3.0</v>
      </c>
      <c r="L420" s="168">
        <v>7.0</v>
      </c>
      <c r="M420" s="184">
        <v>-17501.4</v>
      </c>
      <c r="N420" s="184">
        <v>-34397.87</v>
      </c>
      <c r="O420" s="184">
        <v>-44642.66</v>
      </c>
      <c r="P420" s="184">
        <v>-85743.31</v>
      </c>
    </row>
    <row r="421">
      <c r="A421" s="168">
        <v>92.0</v>
      </c>
      <c r="B421" s="168">
        <v>23.0</v>
      </c>
      <c r="C421" s="168">
        <v>37.0</v>
      </c>
      <c r="D421" s="168">
        <v>21.0</v>
      </c>
      <c r="E421" s="168">
        <v>4.0</v>
      </c>
      <c r="F421" s="168">
        <v>4.0</v>
      </c>
      <c r="G421" s="168">
        <v>8.0</v>
      </c>
      <c r="H421" s="183">
        <v>-41535.73</v>
      </c>
      <c r="I421" s="184">
        <v>-9632.25</v>
      </c>
      <c r="J421" s="168">
        <v>4.0</v>
      </c>
      <c r="K421" s="168">
        <v>6.0</v>
      </c>
      <c r="L421" s="168">
        <v>6.0</v>
      </c>
      <c r="M421" s="184">
        <v>-23340.22</v>
      </c>
      <c r="N421" s="184">
        <v>-80287.39</v>
      </c>
      <c r="O421" s="184">
        <v>41901.56</v>
      </c>
      <c r="P421" s="184">
        <v>75453.79</v>
      </c>
    </row>
    <row r="422">
      <c r="A422" s="168">
        <v>10.0</v>
      </c>
      <c r="B422" s="168">
        <v>72.0</v>
      </c>
      <c r="C422" s="168">
        <v>45.0</v>
      </c>
      <c r="D422" s="168">
        <v>21.0</v>
      </c>
      <c r="E422" s="168">
        <v>4.0</v>
      </c>
      <c r="F422" s="168">
        <v>5.0</v>
      </c>
      <c r="G422" s="168">
        <v>5.0</v>
      </c>
      <c r="H422" s="183">
        <v>-76489.52</v>
      </c>
      <c r="I422" s="184">
        <v>75906.22</v>
      </c>
      <c r="J422" s="168">
        <v>7.0</v>
      </c>
      <c r="K422" s="168">
        <v>6.0</v>
      </c>
      <c r="L422" s="168">
        <v>8.0</v>
      </c>
      <c r="M422" s="184">
        <v>-66132.09</v>
      </c>
      <c r="N422" s="184">
        <v>43267.17</v>
      </c>
      <c r="O422" s="184">
        <v>23031.06</v>
      </c>
      <c r="P422" s="184">
        <v>88042.66</v>
      </c>
    </row>
    <row r="423">
      <c r="A423" s="168">
        <v>55.0</v>
      </c>
      <c r="B423" s="168">
        <v>41.0</v>
      </c>
      <c r="C423" s="168">
        <v>61.0</v>
      </c>
      <c r="D423" s="168">
        <v>28.0</v>
      </c>
      <c r="E423" s="168">
        <v>3.0</v>
      </c>
      <c r="F423" s="168">
        <v>8.0</v>
      </c>
      <c r="G423" s="168">
        <v>2.0</v>
      </c>
      <c r="H423" s="183">
        <v>-9032.18</v>
      </c>
      <c r="I423" s="184">
        <v>395.06</v>
      </c>
      <c r="J423" s="168">
        <v>6.0</v>
      </c>
      <c r="K423" s="168">
        <v>4.0</v>
      </c>
      <c r="L423" s="168">
        <v>9.0</v>
      </c>
      <c r="M423" s="184">
        <v>72913.76</v>
      </c>
      <c r="N423" s="184">
        <v>-72976.03</v>
      </c>
      <c r="O423" s="184">
        <v>-26367.53</v>
      </c>
      <c r="P423" s="184">
        <v>-70783.18</v>
      </c>
    </row>
    <row r="424">
      <c r="A424" s="168">
        <v>29.0</v>
      </c>
      <c r="B424" s="168">
        <v>43.0</v>
      </c>
      <c r="C424" s="168">
        <v>79.0</v>
      </c>
      <c r="D424" s="168">
        <v>61.0</v>
      </c>
      <c r="E424" s="168">
        <v>4.0</v>
      </c>
      <c r="F424" s="168">
        <v>5.0</v>
      </c>
      <c r="G424" s="168">
        <v>3.0</v>
      </c>
      <c r="H424" s="183">
        <v>41362.67</v>
      </c>
      <c r="I424" s="184">
        <v>-80763.57</v>
      </c>
      <c r="J424" s="168">
        <v>8.0</v>
      </c>
      <c r="K424" s="168">
        <v>6.0</v>
      </c>
      <c r="L424" s="168">
        <v>7.0</v>
      </c>
      <c r="M424" s="184">
        <v>11912.56</v>
      </c>
      <c r="N424" s="184">
        <v>33605.5</v>
      </c>
      <c r="O424" s="184">
        <v>42389.9</v>
      </c>
      <c r="P424" s="184">
        <v>38928.29</v>
      </c>
    </row>
    <row r="425">
      <c r="A425" s="168">
        <v>73.0</v>
      </c>
      <c r="B425" s="168">
        <v>86.0</v>
      </c>
      <c r="C425" s="168">
        <v>12.0</v>
      </c>
      <c r="D425" s="168">
        <v>55.0</v>
      </c>
      <c r="E425" s="168">
        <v>2.0</v>
      </c>
      <c r="F425" s="168">
        <v>2.0</v>
      </c>
      <c r="G425" s="168">
        <v>9.0</v>
      </c>
      <c r="H425" s="183">
        <v>36245.49</v>
      </c>
      <c r="I425" s="184">
        <v>95033.54</v>
      </c>
      <c r="J425" s="168">
        <v>9.0</v>
      </c>
      <c r="K425" s="168">
        <v>9.0</v>
      </c>
      <c r="L425" s="168">
        <v>9.0</v>
      </c>
      <c r="M425" s="184">
        <v>-79491.83</v>
      </c>
      <c r="N425" s="184">
        <v>-15683.81</v>
      </c>
      <c r="O425" s="184">
        <v>-88912.84</v>
      </c>
      <c r="P425" s="184">
        <v>21669.34</v>
      </c>
    </row>
    <row r="426">
      <c r="A426" s="168">
        <v>36.0</v>
      </c>
      <c r="B426" s="168">
        <v>74.0</v>
      </c>
      <c r="C426" s="168">
        <v>45.0</v>
      </c>
      <c r="D426" s="168">
        <v>41.0</v>
      </c>
      <c r="E426" s="168">
        <v>3.0</v>
      </c>
      <c r="F426" s="168">
        <v>3.0</v>
      </c>
      <c r="G426" s="168">
        <v>6.0</v>
      </c>
      <c r="H426" s="183">
        <v>72474.07</v>
      </c>
      <c r="I426" s="184">
        <v>73826.89</v>
      </c>
      <c r="J426" s="168">
        <v>7.0</v>
      </c>
      <c r="K426" s="168">
        <v>8.0</v>
      </c>
      <c r="L426" s="168">
        <v>8.0</v>
      </c>
      <c r="M426" s="184">
        <v>82618.4</v>
      </c>
      <c r="N426" s="184">
        <v>17334.34</v>
      </c>
      <c r="O426" s="184">
        <v>-12109.4</v>
      </c>
      <c r="P426" s="184">
        <v>-59861.94</v>
      </c>
    </row>
    <row r="427">
      <c r="A427" s="168">
        <v>82.0</v>
      </c>
      <c r="B427" s="168">
        <v>77.0</v>
      </c>
      <c r="C427" s="168">
        <v>24.0</v>
      </c>
      <c r="D427" s="168">
        <v>58.0</v>
      </c>
      <c r="E427" s="168">
        <v>9.0</v>
      </c>
      <c r="F427" s="168">
        <v>9.0</v>
      </c>
      <c r="G427" s="168">
        <v>8.0</v>
      </c>
      <c r="H427" s="183">
        <v>-71387.91</v>
      </c>
      <c r="I427" s="184">
        <v>44864.62</v>
      </c>
      <c r="J427" s="168">
        <v>9.0</v>
      </c>
      <c r="K427" s="168">
        <v>4.0</v>
      </c>
      <c r="L427" s="168">
        <v>2.0</v>
      </c>
      <c r="M427" s="184">
        <v>-43254.33</v>
      </c>
      <c r="N427" s="184">
        <v>-90165.23</v>
      </c>
      <c r="O427" s="184">
        <v>98435.54</v>
      </c>
      <c r="P427" s="184">
        <v>-91045.27</v>
      </c>
    </row>
    <row r="428">
      <c r="A428" s="168">
        <v>55.0</v>
      </c>
      <c r="B428" s="168">
        <v>12.0</v>
      </c>
      <c r="C428" s="168">
        <v>56.0</v>
      </c>
      <c r="D428" s="168">
        <v>42.0</v>
      </c>
      <c r="E428" s="168">
        <v>8.0</v>
      </c>
      <c r="F428" s="168">
        <v>6.0</v>
      </c>
      <c r="G428" s="168">
        <v>5.0</v>
      </c>
      <c r="H428" s="183">
        <v>3624.17</v>
      </c>
      <c r="I428" s="184">
        <v>40326.89</v>
      </c>
      <c r="J428" s="168">
        <v>8.0</v>
      </c>
      <c r="K428" s="168">
        <v>7.0</v>
      </c>
      <c r="L428" s="168">
        <v>5.0</v>
      </c>
      <c r="M428" s="184">
        <v>-37392.33</v>
      </c>
      <c r="N428" s="184">
        <v>-54150.12</v>
      </c>
      <c r="O428" s="184">
        <v>-78325.48</v>
      </c>
      <c r="P428" s="184">
        <v>-80549.68</v>
      </c>
    </row>
    <row r="429">
      <c r="A429" s="168">
        <v>48.0</v>
      </c>
      <c r="B429" s="168">
        <v>36.0</v>
      </c>
      <c r="C429" s="168">
        <v>12.0</v>
      </c>
      <c r="D429" s="168">
        <v>92.0</v>
      </c>
      <c r="E429" s="168">
        <v>1.0</v>
      </c>
      <c r="F429" s="168">
        <v>8.0</v>
      </c>
      <c r="G429" s="168">
        <v>4.0</v>
      </c>
      <c r="H429" s="183">
        <v>-32674.12</v>
      </c>
      <c r="I429" s="184">
        <v>69264.5</v>
      </c>
      <c r="J429" s="168">
        <v>2.0</v>
      </c>
      <c r="K429" s="168">
        <v>2.0</v>
      </c>
      <c r="L429" s="168">
        <v>7.0</v>
      </c>
      <c r="M429" s="184">
        <v>17104.14</v>
      </c>
      <c r="N429" s="184">
        <v>-93605.29</v>
      </c>
      <c r="O429" s="184">
        <v>30344.26</v>
      </c>
      <c r="P429" s="184">
        <v>-7939.92</v>
      </c>
    </row>
    <row r="430">
      <c r="A430" s="168">
        <v>58.0</v>
      </c>
      <c r="B430" s="168">
        <v>83.0</v>
      </c>
      <c r="C430" s="168">
        <v>92.0</v>
      </c>
      <c r="D430" s="168">
        <v>97.0</v>
      </c>
      <c r="E430" s="168">
        <v>8.0</v>
      </c>
      <c r="F430" s="168">
        <v>5.0</v>
      </c>
      <c r="G430" s="168">
        <v>3.0</v>
      </c>
      <c r="H430" s="183">
        <v>37432.96</v>
      </c>
      <c r="I430" s="184">
        <v>36321.94</v>
      </c>
      <c r="J430" s="168">
        <v>5.0</v>
      </c>
      <c r="K430" s="168">
        <v>7.0</v>
      </c>
      <c r="L430" s="168">
        <v>4.0</v>
      </c>
      <c r="M430" s="184">
        <v>89941.49</v>
      </c>
      <c r="N430" s="184">
        <v>-94720.08</v>
      </c>
      <c r="O430" s="184">
        <v>87642.73</v>
      </c>
      <c r="P430" s="184">
        <v>16073.2</v>
      </c>
    </row>
    <row r="431">
      <c r="A431" s="168">
        <v>29.0</v>
      </c>
      <c r="B431" s="168">
        <v>35.0</v>
      </c>
      <c r="C431" s="168">
        <v>44.0</v>
      </c>
      <c r="D431" s="168">
        <v>15.0</v>
      </c>
      <c r="E431" s="168">
        <v>5.0</v>
      </c>
      <c r="F431" s="168">
        <v>4.0</v>
      </c>
      <c r="G431" s="168">
        <v>6.0</v>
      </c>
      <c r="H431" s="183">
        <v>-75525.41</v>
      </c>
      <c r="I431" s="184">
        <v>-836.41</v>
      </c>
      <c r="J431" s="168">
        <v>7.0</v>
      </c>
      <c r="K431" s="168">
        <v>3.0</v>
      </c>
      <c r="L431" s="168">
        <v>4.0</v>
      </c>
      <c r="M431" s="184">
        <v>64552.31</v>
      </c>
      <c r="N431" s="184">
        <v>-7299.03</v>
      </c>
      <c r="O431" s="184">
        <v>-36607.76</v>
      </c>
      <c r="P431" s="184">
        <v>88996.24</v>
      </c>
    </row>
    <row r="432">
      <c r="A432" s="168">
        <v>91.0</v>
      </c>
      <c r="B432" s="168">
        <v>95.0</v>
      </c>
      <c r="C432" s="168">
        <v>91.0</v>
      </c>
      <c r="D432" s="168">
        <v>49.0</v>
      </c>
      <c r="E432" s="168">
        <v>7.0</v>
      </c>
      <c r="F432" s="168">
        <v>3.0</v>
      </c>
      <c r="G432" s="168">
        <v>9.0</v>
      </c>
      <c r="H432" s="183">
        <v>-79955.48</v>
      </c>
      <c r="I432" s="184">
        <v>13047.55</v>
      </c>
      <c r="J432" s="168">
        <v>4.0</v>
      </c>
      <c r="K432" s="168">
        <v>8.0</v>
      </c>
      <c r="L432" s="168">
        <v>1.0</v>
      </c>
      <c r="M432" s="184">
        <v>95212.44</v>
      </c>
      <c r="N432" s="184">
        <v>-32280.82</v>
      </c>
      <c r="O432" s="184">
        <v>96380.91</v>
      </c>
      <c r="P432" s="184">
        <v>-45357.76</v>
      </c>
    </row>
    <row r="433">
      <c r="A433" s="168">
        <v>76.0</v>
      </c>
      <c r="B433" s="168">
        <v>36.0</v>
      </c>
      <c r="C433" s="168">
        <v>21.0</v>
      </c>
      <c r="D433" s="168">
        <v>70.0</v>
      </c>
      <c r="E433" s="168">
        <v>5.0</v>
      </c>
      <c r="F433" s="168">
        <v>6.0</v>
      </c>
      <c r="G433" s="168">
        <v>3.0</v>
      </c>
      <c r="H433" s="183">
        <v>-64806.34</v>
      </c>
      <c r="I433" s="184">
        <v>-51055.71</v>
      </c>
      <c r="J433" s="168">
        <v>4.0</v>
      </c>
      <c r="K433" s="168">
        <v>7.0</v>
      </c>
      <c r="L433" s="168">
        <v>5.0</v>
      </c>
      <c r="M433" s="184">
        <v>-30693.8</v>
      </c>
      <c r="N433" s="184">
        <v>-91767.12</v>
      </c>
      <c r="O433" s="184">
        <v>42789.39</v>
      </c>
      <c r="P433" s="184">
        <v>-14484.77</v>
      </c>
    </row>
    <row r="434">
      <c r="A434" s="168">
        <v>56.0</v>
      </c>
      <c r="B434" s="168">
        <v>65.0</v>
      </c>
      <c r="C434" s="168">
        <v>22.0</v>
      </c>
      <c r="D434" s="168">
        <v>90.0</v>
      </c>
      <c r="E434" s="168">
        <v>7.0</v>
      </c>
      <c r="F434" s="168">
        <v>9.0</v>
      </c>
      <c r="G434" s="168">
        <v>6.0</v>
      </c>
      <c r="H434" s="183">
        <v>-63514.19</v>
      </c>
      <c r="I434" s="184">
        <v>-25912.83</v>
      </c>
      <c r="J434" s="168">
        <v>1.0</v>
      </c>
      <c r="K434" s="168">
        <v>3.0</v>
      </c>
      <c r="L434" s="168">
        <v>7.0</v>
      </c>
      <c r="M434" s="184">
        <v>69319.11</v>
      </c>
      <c r="N434" s="184">
        <v>25278.76</v>
      </c>
      <c r="O434" s="184">
        <v>1203.39</v>
      </c>
      <c r="P434" s="184">
        <v>12299.89</v>
      </c>
    </row>
    <row r="435">
      <c r="A435" s="168">
        <v>37.0</v>
      </c>
      <c r="B435" s="168">
        <v>56.0</v>
      </c>
      <c r="C435" s="168">
        <v>44.0</v>
      </c>
      <c r="D435" s="168">
        <v>14.0</v>
      </c>
      <c r="E435" s="168">
        <v>3.0</v>
      </c>
      <c r="F435" s="168">
        <v>3.0</v>
      </c>
      <c r="G435" s="168">
        <v>4.0</v>
      </c>
      <c r="H435" s="183">
        <v>59363.15</v>
      </c>
      <c r="I435" s="184">
        <v>-61036.93</v>
      </c>
      <c r="J435" s="168">
        <v>5.0</v>
      </c>
      <c r="K435" s="168">
        <v>2.0</v>
      </c>
      <c r="L435" s="168">
        <v>5.0</v>
      </c>
      <c r="M435" s="184">
        <v>91816.5</v>
      </c>
      <c r="N435" s="184">
        <v>-18698.62</v>
      </c>
      <c r="O435" s="184">
        <v>88658.43</v>
      </c>
      <c r="P435" s="184">
        <v>50616.53</v>
      </c>
    </row>
    <row r="436">
      <c r="A436" s="168">
        <v>86.0</v>
      </c>
      <c r="B436" s="168">
        <v>54.0</v>
      </c>
      <c r="C436" s="168">
        <v>99.0</v>
      </c>
      <c r="D436" s="168">
        <v>47.0</v>
      </c>
      <c r="E436" s="168">
        <v>3.0</v>
      </c>
      <c r="F436" s="168">
        <v>6.0</v>
      </c>
      <c r="G436" s="168">
        <v>9.0</v>
      </c>
      <c r="H436" s="183">
        <v>-4288.67</v>
      </c>
      <c r="I436" s="184">
        <v>39619.49</v>
      </c>
      <c r="J436" s="168">
        <v>7.0</v>
      </c>
      <c r="K436" s="168">
        <v>6.0</v>
      </c>
      <c r="L436" s="168">
        <v>5.0</v>
      </c>
      <c r="M436" s="184">
        <v>-27465.21</v>
      </c>
      <c r="N436" s="184">
        <v>2056.36</v>
      </c>
      <c r="O436" s="184">
        <v>41918.23</v>
      </c>
      <c r="P436" s="184">
        <v>-44391.79</v>
      </c>
    </row>
    <row r="437">
      <c r="A437" s="168">
        <v>66.0</v>
      </c>
      <c r="B437" s="168">
        <v>53.0</v>
      </c>
      <c r="C437" s="168">
        <v>99.0</v>
      </c>
      <c r="D437" s="168">
        <v>75.0</v>
      </c>
      <c r="E437" s="168">
        <v>4.0</v>
      </c>
      <c r="F437" s="168">
        <v>4.0</v>
      </c>
      <c r="G437" s="168">
        <v>7.0</v>
      </c>
      <c r="H437" s="183">
        <v>4839.91</v>
      </c>
      <c r="I437" s="184">
        <v>-38578.37</v>
      </c>
      <c r="J437" s="168">
        <v>5.0</v>
      </c>
      <c r="K437" s="168">
        <v>9.0</v>
      </c>
      <c r="L437" s="168">
        <v>9.0</v>
      </c>
      <c r="M437" s="184">
        <v>43559.77</v>
      </c>
      <c r="N437" s="184">
        <v>-97958.96</v>
      </c>
      <c r="O437" s="184">
        <v>88410.01</v>
      </c>
      <c r="P437" s="184">
        <v>50479.8</v>
      </c>
    </row>
    <row r="438">
      <c r="A438" s="168">
        <v>26.0</v>
      </c>
      <c r="B438" s="168">
        <v>19.0</v>
      </c>
      <c r="C438" s="168">
        <v>14.0</v>
      </c>
      <c r="D438" s="168">
        <v>49.0</v>
      </c>
      <c r="E438" s="168">
        <v>6.0</v>
      </c>
      <c r="F438" s="168">
        <v>9.0</v>
      </c>
      <c r="G438" s="168">
        <v>6.0</v>
      </c>
      <c r="H438" s="183">
        <v>-89801.76</v>
      </c>
      <c r="I438" s="184">
        <v>81615.89</v>
      </c>
      <c r="J438" s="168">
        <v>5.0</v>
      </c>
      <c r="K438" s="168">
        <v>9.0</v>
      </c>
      <c r="L438" s="168">
        <v>3.0</v>
      </c>
      <c r="M438" s="184">
        <v>-29043.87</v>
      </c>
      <c r="N438" s="184">
        <v>-38533.13</v>
      </c>
      <c r="O438" s="184">
        <v>-78894.08</v>
      </c>
      <c r="P438" s="184">
        <v>68268.22</v>
      </c>
    </row>
    <row r="439">
      <c r="A439" s="168">
        <v>46.0</v>
      </c>
      <c r="B439" s="168">
        <v>54.0</v>
      </c>
      <c r="C439" s="168">
        <v>16.0</v>
      </c>
      <c r="D439" s="168">
        <v>57.0</v>
      </c>
      <c r="E439" s="168">
        <v>2.0</v>
      </c>
      <c r="F439" s="168">
        <v>7.0</v>
      </c>
      <c r="G439" s="168">
        <v>1.0</v>
      </c>
      <c r="H439" s="183">
        <v>-76584.25</v>
      </c>
      <c r="I439" s="184">
        <v>36915.53</v>
      </c>
      <c r="J439" s="168">
        <v>9.0</v>
      </c>
      <c r="K439" s="168">
        <v>6.0</v>
      </c>
      <c r="L439" s="168">
        <v>1.0</v>
      </c>
      <c r="M439" s="184">
        <v>-94072.74</v>
      </c>
      <c r="N439" s="184">
        <v>-86536.53</v>
      </c>
      <c r="O439" s="184">
        <v>-23618.61</v>
      </c>
      <c r="P439" s="184">
        <v>-16760.85</v>
      </c>
    </row>
    <row r="440">
      <c r="A440" s="168">
        <v>95.0</v>
      </c>
      <c r="B440" s="168">
        <v>82.0</v>
      </c>
      <c r="C440" s="168">
        <v>31.0</v>
      </c>
      <c r="D440" s="168">
        <v>56.0</v>
      </c>
      <c r="E440" s="168">
        <v>2.0</v>
      </c>
      <c r="F440" s="168">
        <v>6.0</v>
      </c>
      <c r="G440" s="168">
        <v>8.0</v>
      </c>
      <c r="H440" s="183">
        <v>-98097.15</v>
      </c>
      <c r="I440" s="184">
        <v>-26817.05</v>
      </c>
      <c r="J440" s="168">
        <v>3.0</v>
      </c>
      <c r="K440" s="168">
        <v>2.0</v>
      </c>
      <c r="L440" s="168">
        <v>9.0</v>
      </c>
      <c r="M440" s="184">
        <v>97126.99</v>
      </c>
      <c r="N440" s="184">
        <v>79521.66</v>
      </c>
      <c r="O440" s="184">
        <v>-69329.1</v>
      </c>
      <c r="P440" s="184">
        <v>54954.25</v>
      </c>
    </row>
    <row r="441">
      <c r="A441" s="168">
        <v>36.0</v>
      </c>
      <c r="B441" s="168">
        <v>42.0</v>
      </c>
      <c r="C441" s="168">
        <v>97.0</v>
      </c>
      <c r="D441" s="168">
        <v>72.0</v>
      </c>
      <c r="E441" s="168">
        <v>1.0</v>
      </c>
      <c r="F441" s="168">
        <v>1.0</v>
      </c>
      <c r="G441" s="168">
        <v>5.0</v>
      </c>
      <c r="H441" s="183">
        <v>63803.57</v>
      </c>
      <c r="I441" s="184">
        <v>92486.68</v>
      </c>
      <c r="J441" s="168">
        <v>1.0</v>
      </c>
      <c r="K441" s="168">
        <v>8.0</v>
      </c>
      <c r="L441" s="168">
        <v>1.0</v>
      </c>
      <c r="M441" s="184">
        <v>-77623.89</v>
      </c>
      <c r="N441" s="184">
        <v>87308.81</v>
      </c>
      <c r="O441" s="184">
        <v>-85810.93</v>
      </c>
      <c r="P441" s="184">
        <v>88071.79</v>
      </c>
    </row>
    <row r="442">
      <c r="A442" s="168">
        <v>16.0</v>
      </c>
      <c r="B442" s="168">
        <v>51.0</v>
      </c>
      <c r="C442" s="168">
        <v>81.0</v>
      </c>
      <c r="D442" s="168">
        <v>89.0</v>
      </c>
      <c r="E442" s="168">
        <v>1.0</v>
      </c>
      <c r="F442" s="168">
        <v>8.0</v>
      </c>
      <c r="G442" s="168">
        <v>7.0</v>
      </c>
      <c r="H442" s="183">
        <v>8828.5</v>
      </c>
      <c r="I442" s="184">
        <v>98580.11</v>
      </c>
      <c r="J442" s="168">
        <v>9.0</v>
      </c>
      <c r="K442" s="168">
        <v>8.0</v>
      </c>
      <c r="L442" s="168">
        <v>3.0</v>
      </c>
      <c r="M442" s="184">
        <v>89345.36</v>
      </c>
      <c r="N442" s="184">
        <v>71660.91</v>
      </c>
      <c r="O442" s="184">
        <v>-54110.62</v>
      </c>
      <c r="P442" s="184">
        <v>7571.16</v>
      </c>
    </row>
    <row r="443">
      <c r="A443" s="168">
        <v>37.0</v>
      </c>
      <c r="B443" s="168">
        <v>99.0</v>
      </c>
      <c r="C443" s="168">
        <v>24.0</v>
      </c>
      <c r="D443" s="168">
        <v>80.0</v>
      </c>
      <c r="E443" s="168">
        <v>3.0</v>
      </c>
      <c r="F443" s="168">
        <v>5.0</v>
      </c>
      <c r="G443" s="168">
        <v>5.0</v>
      </c>
      <c r="H443" s="183">
        <v>98348.99</v>
      </c>
      <c r="I443" s="184">
        <v>-46690.49</v>
      </c>
      <c r="J443" s="168">
        <v>1.0</v>
      </c>
      <c r="K443" s="168">
        <v>7.0</v>
      </c>
      <c r="L443" s="168">
        <v>5.0</v>
      </c>
      <c r="M443" s="184">
        <v>63577.55</v>
      </c>
      <c r="N443" s="184">
        <v>92681.56</v>
      </c>
      <c r="O443" s="184">
        <v>-24662.08</v>
      </c>
      <c r="P443" s="184">
        <v>12481.87</v>
      </c>
    </row>
    <row r="444">
      <c r="A444" s="168">
        <v>15.0</v>
      </c>
      <c r="B444" s="168">
        <v>52.0</v>
      </c>
      <c r="C444" s="168">
        <v>83.0</v>
      </c>
      <c r="D444" s="168">
        <v>99.0</v>
      </c>
      <c r="E444" s="168">
        <v>1.0</v>
      </c>
      <c r="F444" s="168">
        <v>7.0</v>
      </c>
      <c r="G444" s="168">
        <v>7.0</v>
      </c>
      <c r="H444" s="183">
        <v>-89122.08</v>
      </c>
      <c r="I444" s="184">
        <v>-84281.78</v>
      </c>
      <c r="J444" s="168">
        <v>3.0</v>
      </c>
      <c r="K444" s="168">
        <v>3.0</v>
      </c>
      <c r="L444" s="168">
        <v>6.0</v>
      </c>
      <c r="M444" s="184">
        <v>10133.13</v>
      </c>
      <c r="N444" s="184">
        <v>95880.11</v>
      </c>
      <c r="O444" s="184">
        <v>-53573.73</v>
      </c>
      <c r="P444" s="184">
        <v>-32130.52</v>
      </c>
    </row>
    <row r="445">
      <c r="A445" s="168">
        <v>82.0</v>
      </c>
      <c r="B445" s="168">
        <v>97.0</v>
      </c>
      <c r="C445" s="168">
        <v>97.0</v>
      </c>
      <c r="D445" s="168">
        <v>45.0</v>
      </c>
      <c r="E445" s="168">
        <v>1.0</v>
      </c>
      <c r="F445" s="168">
        <v>5.0</v>
      </c>
      <c r="G445" s="168">
        <v>6.0</v>
      </c>
      <c r="H445" s="183">
        <v>-88824.54</v>
      </c>
      <c r="I445" s="184">
        <v>-43492.29</v>
      </c>
      <c r="J445" s="168">
        <v>5.0</v>
      </c>
      <c r="K445" s="168">
        <v>1.0</v>
      </c>
      <c r="L445" s="168">
        <v>4.0</v>
      </c>
      <c r="M445" s="184">
        <v>6832.3</v>
      </c>
      <c r="N445" s="184">
        <v>-21140.21</v>
      </c>
      <c r="O445" s="184">
        <v>-8902.7</v>
      </c>
      <c r="P445" s="184">
        <v>-49796.94</v>
      </c>
    </row>
    <row r="446">
      <c r="A446" s="168">
        <v>38.0</v>
      </c>
      <c r="B446" s="168">
        <v>63.0</v>
      </c>
      <c r="C446" s="168">
        <v>24.0</v>
      </c>
      <c r="D446" s="168">
        <v>88.0</v>
      </c>
      <c r="E446" s="168">
        <v>3.0</v>
      </c>
      <c r="F446" s="168">
        <v>7.0</v>
      </c>
      <c r="G446" s="168">
        <v>4.0</v>
      </c>
      <c r="H446" s="183">
        <v>-11293.83</v>
      </c>
      <c r="I446" s="184">
        <v>-36848.59</v>
      </c>
      <c r="J446" s="168">
        <v>6.0</v>
      </c>
      <c r="K446" s="168">
        <v>2.0</v>
      </c>
      <c r="L446" s="168">
        <v>1.0</v>
      </c>
      <c r="M446" s="184">
        <v>-50115.31</v>
      </c>
      <c r="N446" s="184">
        <v>9104.39</v>
      </c>
      <c r="O446" s="184">
        <v>15249.15</v>
      </c>
      <c r="P446" s="184">
        <v>16951.29</v>
      </c>
    </row>
    <row r="447">
      <c r="A447" s="168">
        <v>23.0</v>
      </c>
      <c r="B447" s="168">
        <v>76.0</v>
      </c>
      <c r="C447" s="168">
        <v>46.0</v>
      </c>
      <c r="D447" s="168">
        <v>75.0</v>
      </c>
      <c r="E447" s="168">
        <v>5.0</v>
      </c>
      <c r="F447" s="168">
        <v>6.0</v>
      </c>
      <c r="G447" s="168">
        <v>3.0</v>
      </c>
      <c r="H447" s="183">
        <v>95047.37</v>
      </c>
      <c r="I447" s="184">
        <v>92499.18</v>
      </c>
      <c r="J447" s="168">
        <v>4.0</v>
      </c>
      <c r="K447" s="168">
        <v>2.0</v>
      </c>
      <c r="L447" s="168">
        <v>8.0</v>
      </c>
      <c r="M447" s="184">
        <v>-43572.23</v>
      </c>
      <c r="N447" s="184">
        <v>-51026.68</v>
      </c>
      <c r="O447" s="184">
        <v>-34091.97</v>
      </c>
      <c r="P447" s="184">
        <v>-47412.29</v>
      </c>
    </row>
    <row r="448">
      <c r="A448" s="168">
        <v>20.0</v>
      </c>
      <c r="B448" s="168">
        <v>21.0</v>
      </c>
      <c r="C448" s="168">
        <v>67.0</v>
      </c>
      <c r="D448" s="168">
        <v>35.0</v>
      </c>
      <c r="E448" s="168">
        <v>1.0</v>
      </c>
      <c r="F448" s="168">
        <v>4.0</v>
      </c>
      <c r="G448" s="168">
        <v>9.0</v>
      </c>
      <c r="H448" s="183">
        <v>32562.45</v>
      </c>
      <c r="I448" s="184">
        <v>-96735.54</v>
      </c>
      <c r="J448" s="168">
        <v>1.0</v>
      </c>
      <c r="K448" s="168">
        <v>6.0</v>
      </c>
      <c r="L448" s="168">
        <v>4.0</v>
      </c>
      <c r="M448" s="184">
        <v>-44350.28</v>
      </c>
      <c r="N448" s="184">
        <v>17898.73</v>
      </c>
      <c r="O448" s="184">
        <v>-80820.78</v>
      </c>
      <c r="P448" s="184">
        <v>-70349.92</v>
      </c>
    </row>
    <row r="449">
      <c r="A449" s="168">
        <v>66.0</v>
      </c>
      <c r="B449" s="168">
        <v>16.0</v>
      </c>
      <c r="C449" s="168">
        <v>97.0</v>
      </c>
      <c r="D449" s="168">
        <v>20.0</v>
      </c>
      <c r="E449" s="168">
        <v>8.0</v>
      </c>
      <c r="F449" s="168">
        <v>3.0</v>
      </c>
      <c r="G449" s="168">
        <v>7.0</v>
      </c>
      <c r="H449" s="183">
        <v>58933.67</v>
      </c>
      <c r="I449" s="184">
        <v>-17744.59</v>
      </c>
      <c r="J449" s="168">
        <v>8.0</v>
      </c>
      <c r="K449" s="168">
        <v>9.0</v>
      </c>
      <c r="L449" s="168">
        <v>5.0</v>
      </c>
      <c r="M449" s="184">
        <v>-74090.84</v>
      </c>
      <c r="N449" s="184">
        <v>11842.17</v>
      </c>
      <c r="O449" s="184">
        <v>76336.01</v>
      </c>
      <c r="P449" s="184">
        <v>18892.23</v>
      </c>
    </row>
    <row r="450">
      <c r="A450" s="168">
        <v>42.0</v>
      </c>
      <c r="B450" s="168">
        <v>85.0</v>
      </c>
      <c r="C450" s="168">
        <v>13.0</v>
      </c>
      <c r="D450" s="168">
        <v>69.0</v>
      </c>
      <c r="E450" s="168">
        <v>3.0</v>
      </c>
      <c r="F450" s="168">
        <v>9.0</v>
      </c>
      <c r="G450" s="168">
        <v>5.0</v>
      </c>
      <c r="H450" s="183">
        <v>33924.78</v>
      </c>
      <c r="I450" s="184">
        <v>-89036.49</v>
      </c>
      <c r="J450" s="168">
        <v>4.0</v>
      </c>
      <c r="K450" s="168">
        <v>3.0</v>
      </c>
      <c r="L450" s="168">
        <v>8.0</v>
      </c>
      <c r="M450" s="184">
        <v>-23789.53</v>
      </c>
      <c r="N450" s="184">
        <v>21504.87</v>
      </c>
      <c r="O450" s="184">
        <v>71075.16</v>
      </c>
      <c r="P450" s="184">
        <v>-75798.26</v>
      </c>
    </row>
    <row r="451">
      <c r="A451" s="168">
        <v>23.0</v>
      </c>
      <c r="B451" s="168">
        <v>32.0</v>
      </c>
      <c r="C451" s="168">
        <v>70.0</v>
      </c>
      <c r="D451" s="168">
        <v>43.0</v>
      </c>
      <c r="E451" s="168">
        <v>5.0</v>
      </c>
      <c r="F451" s="168">
        <v>7.0</v>
      </c>
      <c r="G451" s="168">
        <v>5.0</v>
      </c>
      <c r="H451" s="183">
        <v>-57829.03</v>
      </c>
      <c r="I451" s="184">
        <v>-48691.35</v>
      </c>
      <c r="J451" s="168">
        <v>5.0</v>
      </c>
      <c r="K451" s="168">
        <v>1.0</v>
      </c>
      <c r="L451" s="168">
        <v>1.0</v>
      </c>
      <c r="M451" s="184">
        <v>47277.44</v>
      </c>
      <c r="N451" s="184">
        <v>91481.07</v>
      </c>
      <c r="O451" s="184">
        <v>-59938.28</v>
      </c>
      <c r="P451" s="184">
        <v>-7465.46</v>
      </c>
    </row>
    <row r="452">
      <c r="A452" s="168">
        <v>69.0</v>
      </c>
      <c r="B452" s="168">
        <v>48.0</v>
      </c>
      <c r="C452" s="168">
        <v>22.0</v>
      </c>
      <c r="D452" s="168">
        <v>53.0</v>
      </c>
      <c r="E452" s="168">
        <v>4.0</v>
      </c>
      <c r="F452" s="168">
        <v>5.0</v>
      </c>
      <c r="G452" s="168">
        <v>9.0</v>
      </c>
      <c r="H452" s="183">
        <v>-91696.46</v>
      </c>
      <c r="I452" s="184">
        <v>11878.11</v>
      </c>
      <c r="J452" s="168">
        <v>8.0</v>
      </c>
      <c r="K452" s="168">
        <v>7.0</v>
      </c>
      <c r="L452" s="168">
        <v>2.0</v>
      </c>
      <c r="M452" s="184">
        <v>-78908.71</v>
      </c>
      <c r="N452" s="184">
        <v>98856.74</v>
      </c>
      <c r="O452" s="184">
        <v>81315.27</v>
      </c>
      <c r="P452" s="184">
        <v>50584.64</v>
      </c>
    </row>
    <row r="453">
      <c r="A453" s="168">
        <v>81.0</v>
      </c>
      <c r="B453" s="168">
        <v>55.0</v>
      </c>
      <c r="C453" s="168">
        <v>20.0</v>
      </c>
      <c r="D453" s="168">
        <v>67.0</v>
      </c>
      <c r="E453" s="168">
        <v>4.0</v>
      </c>
      <c r="F453" s="168">
        <v>5.0</v>
      </c>
      <c r="G453" s="168">
        <v>5.0</v>
      </c>
      <c r="H453" s="183">
        <v>83576.79</v>
      </c>
      <c r="I453" s="184">
        <v>-5821.42</v>
      </c>
      <c r="J453" s="168">
        <v>1.0</v>
      </c>
      <c r="K453" s="168">
        <v>6.0</v>
      </c>
      <c r="L453" s="168">
        <v>8.0</v>
      </c>
      <c r="M453" s="184">
        <v>40682.02</v>
      </c>
      <c r="N453" s="184">
        <v>21408.91</v>
      </c>
      <c r="O453" s="184">
        <v>-26445.82</v>
      </c>
      <c r="P453" s="184">
        <v>99764.32</v>
      </c>
    </row>
    <row r="454">
      <c r="A454" s="168">
        <v>16.0</v>
      </c>
      <c r="B454" s="168">
        <v>46.0</v>
      </c>
      <c r="C454" s="168">
        <v>67.0</v>
      </c>
      <c r="D454" s="168">
        <v>50.0</v>
      </c>
      <c r="E454" s="168">
        <v>8.0</v>
      </c>
      <c r="F454" s="168">
        <v>9.0</v>
      </c>
      <c r="G454" s="168">
        <v>9.0</v>
      </c>
      <c r="H454" s="183">
        <v>66434.74</v>
      </c>
      <c r="I454" s="184">
        <v>59096.18</v>
      </c>
      <c r="J454" s="168">
        <v>2.0</v>
      </c>
      <c r="K454" s="168">
        <v>5.0</v>
      </c>
      <c r="L454" s="168">
        <v>3.0</v>
      </c>
      <c r="M454" s="184">
        <v>89891.04</v>
      </c>
      <c r="N454" s="184">
        <v>78065.69</v>
      </c>
      <c r="O454" s="184">
        <v>-6197.36</v>
      </c>
      <c r="P454" s="184">
        <v>-54107.53</v>
      </c>
    </row>
    <row r="455">
      <c r="A455" s="168">
        <v>99.0</v>
      </c>
      <c r="B455" s="168">
        <v>41.0</v>
      </c>
      <c r="C455" s="168">
        <v>74.0</v>
      </c>
      <c r="D455" s="168">
        <v>53.0</v>
      </c>
      <c r="E455" s="168">
        <v>4.0</v>
      </c>
      <c r="F455" s="168">
        <v>5.0</v>
      </c>
      <c r="G455" s="168">
        <v>5.0</v>
      </c>
      <c r="H455" s="183">
        <v>-86441.73</v>
      </c>
      <c r="I455" s="184">
        <v>-33671.59</v>
      </c>
      <c r="J455" s="168">
        <v>8.0</v>
      </c>
      <c r="K455" s="168">
        <v>3.0</v>
      </c>
      <c r="L455" s="168">
        <v>7.0</v>
      </c>
      <c r="M455" s="184">
        <v>-55837.66</v>
      </c>
      <c r="N455" s="184">
        <v>25168.0</v>
      </c>
      <c r="O455" s="184">
        <v>-48077.82</v>
      </c>
      <c r="P455" s="184">
        <v>-39775.2</v>
      </c>
    </row>
    <row r="456">
      <c r="A456" s="168">
        <v>56.0</v>
      </c>
      <c r="B456" s="168">
        <v>84.0</v>
      </c>
      <c r="C456" s="168">
        <v>19.0</v>
      </c>
      <c r="D456" s="168">
        <v>11.0</v>
      </c>
      <c r="E456" s="168">
        <v>3.0</v>
      </c>
      <c r="F456" s="168">
        <v>9.0</v>
      </c>
      <c r="G456" s="168">
        <v>9.0</v>
      </c>
      <c r="H456" s="183">
        <v>-6901.84</v>
      </c>
      <c r="I456" s="184">
        <v>44918.82</v>
      </c>
      <c r="J456" s="168">
        <v>3.0</v>
      </c>
      <c r="K456" s="168">
        <v>1.0</v>
      </c>
      <c r="L456" s="168">
        <v>9.0</v>
      </c>
      <c r="M456" s="184">
        <v>-55312.6</v>
      </c>
      <c r="N456" s="184">
        <v>39181.3</v>
      </c>
      <c r="O456" s="184">
        <v>-39425.05</v>
      </c>
      <c r="P456" s="184">
        <v>-82601.31</v>
      </c>
    </row>
    <row r="457">
      <c r="A457" s="168">
        <v>65.0</v>
      </c>
      <c r="B457" s="168">
        <v>54.0</v>
      </c>
      <c r="C457" s="168">
        <v>78.0</v>
      </c>
      <c r="D457" s="168">
        <v>69.0</v>
      </c>
      <c r="E457" s="168">
        <v>9.0</v>
      </c>
      <c r="F457" s="168">
        <v>5.0</v>
      </c>
      <c r="G457" s="168">
        <v>9.0</v>
      </c>
      <c r="H457" s="183">
        <v>29506.99</v>
      </c>
      <c r="I457" s="184">
        <v>-30490.08</v>
      </c>
      <c r="J457" s="168">
        <v>7.0</v>
      </c>
      <c r="K457" s="168">
        <v>2.0</v>
      </c>
      <c r="L457" s="168">
        <v>7.0</v>
      </c>
      <c r="M457" s="184">
        <v>-93970.01</v>
      </c>
      <c r="N457" s="184">
        <v>-16589.7</v>
      </c>
      <c r="O457" s="184">
        <v>-4191.49</v>
      </c>
      <c r="P457" s="184">
        <v>3996.89</v>
      </c>
    </row>
    <row r="458">
      <c r="A458" s="168">
        <v>43.0</v>
      </c>
      <c r="B458" s="168">
        <v>59.0</v>
      </c>
      <c r="C458" s="168">
        <v>63.0</v>
      </c>
      <c r="D458" s="168">
        <v>32.0</v>
      </c>
      <c r="E458" s="168">
        <v>1.0</v>
      </c>
      <c r="F458" s="168">
        <v>9.0</v>
      </c>
      <c r="G458" s="168">
        <v>6.0</v>
      </c>
      <c r="H458" s="183">
        <v>63534.96</v>
      </c>
      <c r="I458" s="184">
        <v>-10638.48</v>
      </c>
      <c r="J458" s="168">
        <v>9.0</v>
      </c>
      <c r="K458" s="168">
        <v>7.0</v>
      </c>
      <c r="L458" s="168">
        <v>6.0</v>
      </c>
      <c r="M458" s="184">
        <v>-96812.2</v>
      </c>
      <c r="N458" s="184">
        <v>77690.87</v>
      </c>
      <c r="O458" s="184">
        <v>83243.77</v>
      </c>
      <c r="P458" s="184">
        <v>-38675.69</v>
      </c>
    </row>
    <row r="459">
      <c r="A459" s="168">
        <v>28.0</v>
      </c>
      <c r="B459" s="168">
        <v>87.0</v>
      </c>
      <c r="C459" s="168">
        <v>73.0</v>
      </c>
      <c r="D459" s="168">
        <v>47.0</v>
      </c>
      <c r="E459" s="168">
        <v>7.0</v>
      </c>
      <c r="F459" s="168">
        <v>9.0</v>
      </c>
      <c r="G459" s="168">
        <v>8.0</v>
      </c>
      <c r="H459" s="183">
        <v>19152.83</v>
      </c>
      <c r="I459" s="184">
        <v>-94977.86</v>
      </c>
      <c r="J459" s="168">
        <v>7.0</v>
      </c>
      <c r="K459" s="168">
        <v>4.0</v>
      </c>
      <c r="L459" s="168">
        <v>7.0</v>
      </c>
      <c r="M459" s="184">
        <v>58109.49</v>
      </c>
      <c r="N459" s="184">
        <v>-94221.38</v>
      </c>
      <c r="O459" s="184">
        <v>89351.9</v>
      </c>
      <c r="P459" s="184">
        <v>42852.89</v>
      </c>
    </row>
    <row r="460">
      <c r="A460" s="168">
        <v>48.0</v>
      </c>
      <c r="B460" s="168">
        <v>32.0</v>
      </c>
      <c r="C460" s="168">
        <v>47.0</v>
      </c>
      <c r="D460" s="168">
        <v>34.0</v>
      </c>
      <c r="E460" s="168">
        <v>9.0</v>
      </c>
      <c r="F460" s="168">
        <v>6.0</v>
      </c>
      <c r="G460" s="168">
        <v>8.0</v>
      </c>
      <c r="H460" s="183">
        <v>-2179.86</v>
      </c>
      <c r="I460" s="184">
        <v>13161.61</v>
      </c>
      <c r="J460" s="168">
        <v>6.0</v>
      </c>
      <c r="K460" s="168">
        <v>5.0</v>
      </c>
      <c r="L460" s="168">
        <v>7.0</v>
      </c>
      <c r="M460" s="184">
        <v>30272.33</v>
      </c>
      <c r="N460" s="184">
        <v>56548.39</v>
      </c>
      <c r="O460" s="184">
        <v>-93736.04</v>
      </c>
      <c r="P460" s="184">
        <v>84459.33</v>
      </c>
    </row>
    <row r="461">
      <c r="A461" s="168">
        <v>75.0</v>
      </c>
      <c r="B461" s="168">
        <v>12.0</v>
      </c>
      <c r="C461" s="168">
        <v>79.0</v>
      </c>
      <c r="D461" s="168">
        <v>65.0</v>
      </c>
      <c r="E461" s="168">
        <v>3.0</v>
      </c>
      <c r="F461" s="168">
        <v>8.0</v>
      </c>
      <c r="G461" s="168">
        <v>4.0</v>
      </c>
      <c r="H461" s="183">
        <v>-88359.06</v>
      </c>
      <c r="I461" s="184">
        <v>6548.14</v>
      </c>
      <c r="J461" s="168">
        <v>7.0</v>
      </c>
      <c r="K461" s="168">
        <v>9.0</v>
      </c>
      <c r="L461" s="168">
        <v>1.0</v>
      </c>
      <c r="M461" s="184">
        <v>8234.94</v>
      </c>
      <c r="N461" s="184">
        <v>-63208.91</v>
      </c>
      <c r="O461" s="184">
        <v>-30311.44</v>
      </c>
      <c r="P461" s="184">
        <v>-91423.98</v>
      </c>
    </row>
    <row r="462">
      <c r="A462" s="168">
        <v>66.0</v>
      </c>
      <c r="B462" s="168">
        <v>22.0</v>
      </c>
      <c r="C462" s="168">
        <v>95.0</v>
      </c>
      <c r="D462" s="168">
        <v>41.0</v>
      </c>
      <c r="E462" s="168">
        <v>4.0</v>
      </c>
      <c r="F462" s="168">
        <v>8.0</v>
      </c>
      <c r="G462" s="168">
        <v>3.0</v>
      </c>
      <c r="H462" s="183">
        <v>-35693.43</v>
      </c>
      <c r="I462" s="184">
        <v>-70207.64</v>
      </c>
      <c r="J462" s="168">
        <v>7.0</v>
      </c>
      <c r="K462" s="168">
        <v>3.0</v>
      </c>
      <c r="L462" s="168">
        <v>3.0</v>
      </c>
      <c r="M462" s="184">
        <v>31727.7</v>
      </c>
      <c r="N462" s="184">
        <v>-41213.17</v>
      </c>
      <c r="O462" s="184">
        <v>56043.58</v>
      </c>
      <c r="P462" s="184">
        <v>-32369.82</v>
      </c>
    </row>
    <row r="463">
      <c r="A463" s="168">
        <v>94.0</v>
      </c>
      <c r="B463" s="168">
        <v>93.0</v>
      </c>
      <c r="C463" s="168">
        <v>21.0</v>
      </c>
      <c r="D463" s="168">
        <v>25.0</v>
      </c>
      <c r="E463" s="168">
        <v>1.0</v>
      </c>
      <c r="F463" s="168">
        <v>4.0</v>
      </c>
      <c r="G463" s="168">
        <v>2.0</v>
      </c>
      <c r="H463" s="183">
        <v>-20473.11</v>
      </c>
      <c r="I463" s="184">
        <v>61874.27</v>
      </c>
      <c r="J463" s="168">
        <v>1.0</v>
      </c>
      <c r="K463" s="168">
        <v>2.0</v>
      </c>
      <c r="L463" s="168">
        <v>2.0</v>
      </c>
      <c r="M463" s="184">
        <v>56876.55</v>
      </c>
      <c r="N463" s="184">
        <v>-7874.09</v>
      </c>
      <c r="O463" s="184">
        <v>-80623.24</v>
      </c>
      <c r="P463" s="184">
        <v>68210.34</v>
      </c>
    </row>
    <row r="464">
      <c r="A464" s="168">
        <v>51.0</v>
      </c>
      <c r="B464" s="168">
        <v>98.0</v>
      </c>
      <c r="C464" s="168">
        <v>68.0</v>
      </c>
      <c r="D464" s="168">
        <v>76.0</v>
      </c>
      <c r="E464" s="168">
        <v>4.0</v>
      </c>
      <c r="F464" s="168">
        <v>3.0</v>
      </c>
      <c r="G464" s="168">
        <v>1.0</v>
      </c>
      <c r="H464" s="183">
        <v>85361.52</v>
      </c>
      <c r="I464" s="184">
        <v>82655.35</v>
      </c>
      <c r="J464" s="168">
        <v>3.0</v>
      </c>
      <c r="K464" s="168">
        <v>2.0</v>
      </c>
      <c r="L464" s="168">
        <v>6.0</v>
      </c>
      <c r="M464" s="184">
        <v>97452.56</v>
      </c>
      <c r="N464" s="184">
        <v>-59984.91</v>
      </c>
      <c r="O464" s="184">
        <v>-42651.47</v>
      </c>
      <c r="P464" s="184">
        <v>63196.5</v>
      </c>
    </row>
    <row r="465">
      <c r="A465" s="168">
        <v>51.0</v>
      </c>
      <c r="B465" s="168">
        <v>13.0</v>
      </c>
      <c r="C465" s="168">
        <v>99.0</v>
      </c>
      <c r="D465" s="168">
        <v>90.0</v>
      </c>
      <c r="E465" s="168">
        <v>2.0</v>
      </c>
      <c r="F465" s="168">
        <v>2.0</v>
      </c>
      <c r="G465" s="168">
        <v>7.0</v>
      </c>
      <c r="H465" s="183">
        <v>57665.35</v>
      </c>
      <c r="I465" s="184">
        <v>-14127.57</v>
      </c>
      <c r="J465" s="168">
        <v>2.0</v>
      </c>
      <c r="K465" s="168">
        <v>2.0</v>
      </c>
      <c r="L465" s="168">
        <v>6.0</v>
      </c>
      <c r="M465" s="184">
        <v>-85294.54</v>
      </c>
      <c r="N465" s="184">
        <v>-48669.01</v>
      </c>
      <c r="O465" s="184">
        <v>93899.14</v>
      </c>
      <c r="P465" s="184">
        <v>-79521.62</v>
      </c>
    </row>
    <row r="466">
      <c r="A466" s="168">
        <v>58.0</v>
      </c>
      <c r="B466" s="168">
        <v>65.0</v>
      </c>
      <c r="C466" s="168">
        <v>34.0</v>
      </c>
      <c r="D466" s="168">
        <v>64.0</v>
      </c>
      <c r="E466" s="168">
        <v>4.0</v>
      </c>
      <c r="F466" s="168">
        <v>1.0</v>
      </c>
      <c r="G466" s="168">
        <v>8.0</v>
      </c>
      <c r="H466" s="183">
        <v>-72384.48</v>
      </c>
      <c r="I466" s="184">
        <v>17662.59</v>
      </c>
      <c r="J466" s="168">
        <v>6.0</v>
      </c>
      <c r="K466" s="168">
        <v>1.0</v>
      </c>
      <c r="L466" s="168">
        <v>3.0</v>
      </c>
      <c r="M466" s="184">
        <v>-4864.8</v>
      </c>
      <c r="N466" s="184">
        <v>-63630.01</v>
      </c>
      <c r="O466" s="184">
        <v>-48736.96</v>
      </c>
      <c r="P466" s="184">
        <v>55347.4</v>
      </c>
    </row>
    <row r="467">
      <c r="A467" s="168">
        <v>17.0</v>
      </c>
      <c r="B467" s="168">
        <v>29.0</v>
      </c>
      <c r="C467" s="168">
        <v>14.0</v>
      </c>
      <c r="D467" s="168">
        <v>89.0</v>
      </c>
      <c r="E467" s="168">
        <v>7.0</v>
      </c>
      <c r="F467" s="168">
        <v>7.0</v>
      </c>
      <c r="G467" s="168">
        <v>7.0</v>
      </c>
      <c r="H467" s="183">
        <v>99424.92</v>
      </c>
      <c r="I467" s="184">
        <v>43095.85</v>
      </c>
      <c r="J467" s="168">
        <v>6.0</v>
      </c>
      <c r="K467" s="168">
        <v>6.0</v>
      </c>
      <c r="L467" s="168">
        <v>7.0</v>
      </c>
      <c r="M467" s="184">
        <v>-99553.79</v>
      </c>
      <c r="N467" s="184">
        <v>-34695.51</v>
      </c>
      <c r="O467" s="184">
        <v>-55775.1</v>
      </c>
      <c r="P467" s="184">
        <v>33582.15</v>
      </c>
    </row>
    <row r="468">
      <c r="A468" s="168">
        <v>92.0</v>
      </c>
      <c r="B468" s="168">
        <v>26.0</v>
      </c>
      <c r="C468" s="168">
        <v>13.0</v>
      </c>
      <c r="D468" s="168">
        <v>64.0</v>
      </c>
      <c r="E468" s="168">
        <v>2.0</v>
      </c>
      <c r="F468" s="168">
        <v>8.0</v>
      </c>
      <c r="G468" s="168">
        <v>3.0</v>
      </c>
      <c r="H468" s="183">
        <v>-31003.1</v>
      </c>
      <c r="I468" s="184">
        <v>-90660.35</v>
      </c>
      <c r="J468" s="168">
        <v>3.0</v>
      </c>
      <c r="K468" s="168">
        <v>7.0</v>
      </c>
      <c r="L468" s="168">
        <v>6.0</v>
      </c>
      <c r="M468" s="184">
        <v>-28125.47</v>
      </c>
      <c r="N468" s="184">
        <v>47397.77</v>
      </c>
      <c r="O468" s="184">
        <v>-34147.47</v>
      </c>
      <c r="P468" s="184">
        <v>19019.4</v>
      </c>
    </row>
    <row r="469">
      <c r="A469" s="168">
        <v>80.0</v>
      </c>
      <c r="B469" s="168">
        <v>19.0</v>
      </c>
      <c r="C469" s="168">
        <v>81.0</v>
      </c>
      <c r="D469" s="168">
        <v>18.0</v>
      </c>
      <c r="E469" s="168">
        <v>7.0</v>
      </c>
      <c r="F469" s="168">
        <v>7.0</v>
      </c>
      <c r="G469" s="168">
        <v>9.0</v>
      </c>
      <c r="H469" s="183">
        <v>36909.84</v>
      </c>
      <c r="I469" s="184">
        <v>3445.85</v>
      </c>
      <c r="J469" s="168">
        <v>7.0</v>
      </c>
      <c r="K469" s="168">
        <v>4.0</v>
      </c>
      <c r="L469" s="168">
        <v>9.0</v>
      </c>
      <c r="M469" s="184">
        <v>88555.51</v>
      </c>
      <c r="N469" s="184">
        <v>-66255.67</v>
      </c>
      <c r="O469" s="184">
        <v>-38110.44</v>
      </c>
      <c r="P469" s="184">
        <v>-29281.83</v>
      </c>
    </row>
    <row r="470">
      <c r="A470" s="168">
        <v>70.0</v>
      </c>
      <c r="B470" s="168">
        <v>31.0</v>
      </c>
      <c r="C470" s="168">
        <v>12.0</v>
      </c>
      <c r="D470" s="168">
        <v>47.0</v>
      </c>
      <c r="E470" s="168">
        <v>8.0</v>
      </c>
      <c r="F470" s="168">
        <v>3.0</v>
      </c>
      <c r="G470" s="168">
        <v>3.0</v>
      </c>
      <c r="H470" s="183">
        <v>-8359.19</v>
      </c>
      <c r="I470" s="184">
        <v>-86733.13</v>
      </c>
      <c r="J470" s="168">
        <v>6.0</v>
      </c>
      <c r="K470" s="168">
        <v>4.0</v>
      </c>
      <c r="L470" s="168">
        <v>1.0</v>
      </c>
      <c r="M470" s="184">
        <v>-40401.31</v>
      </c>
      <c r="N470" s="184">
        <v>71184.39</v>
      </c>
      <c r="O470" s="184">
        <v>36279.89</v>
      </c>
      <c r="P470" s="184">
        <v>-22785.46</v>
      </c>
    </row>
    <row r="471">
      <c r="A471" s="168">
        <v>84.0</v>
      </c>
      <c r="B471" s="168">
        <v>92.0</v>
      </c>
      <c r="C471" s="168">
        <v>34.0</v>
      </c>
      <c r="D471" s="168">
        <v>16.0</v>
      </c>
      <c r="E471" s="168">
        <v>3.0</v>
      </c>
      <c r="F471" s="168">
        <v>9.0</v>
      </c>
      <c r="G471" s="168">
        <v>8.0</v>
      </c>
      <c r="H471" s="183">
        <v>-30919.2</v>
      </c>
      <c r="I471" s="184">
        <v>14798.91</v>
      </c>
      <c r="J471" s="168">
        <v>9.0</v>
      </c>
      <c r="K471" s="168">
        <v>7.0</v>
      </c>
      <c r="L471" s="168">
        <v>2.0</v>
      </c>
      <c r="M471" s="184">
        <v>-41312.17</v>
      </c>
      <c r="N471" s="184">
        <v>-10936.91</v>
      </c>
      <c r="O471" s="184">
        <v>69641.94</v>
      </c>
      <c r="P471" s="184">
        <v>51535.42</v>
      </c>
    </row>
    <row r="472">
      <c r="A472" s="168">
        <v>71.0</v>
      </c>
      <c r="B472" s="168">
        <v>55.0</v>
      </c>
      <c r="C472" s="168">
        <v>30.0</v>
      </c>
      <c r="D472" s="168">
        <v>51.0</v>
      </c>
      <c r="E472" s="168">
        <v>3.0</v>
      </c>
      <c r="F472" s="168">
        <v>3.0</v>
      </c>
      <c r="G472" s="168">
        <v>8.0</v>
      </c>
      <c r="H472" s="183">
        <v>41340.08</v>
      </c>
      <c r="I472" s="184">
        <v>8227.11</v>
      </c>
      <c r="J472" s="168">
        <v>1.0</v>
      </c>
      <c r="K472" s="168">
        <v>9.0</v>
      </c>
      <c r="L472" s="168">
        <v>2.0</v>
      </c>
      <c r="M472" s="184">
        <v>21124.82</v>
      </c>
      <c r="N472" s="184">
        <v>57843.01</v>
      </c>
      <c r="O472" s="184">
        <v>14386.98</v>
      </c>
      <c r="P472" s="184">
        <v>-45314.92</v>
      </c>
    </row>
    <row r="473">
      <c r="A473" s="168">
        <v>53.0</v>
      </c>
      <c r="B473" s="168">
        <v>98.0</v>
      </c>
      <c r="C473" s="168">
        <v>24.0</v>
      </c>
      <c r="D473" s="168">
        <v>98.0</v>
      </c>
      <c r="E473" s="168">
        <v>5.0</v>
      </c>
      <c r="F473" s="168">
        <v>8.0</v>
      </c>
      <c r="G473" s="168">
        <v>6.0</v>
      </c>
      <c r="H473" s="183">
        <v>-82588.72</v>
      </c>
      <c r="I473" s="184">
        <v>73592.97</v>
      </c>
      <c r="J473" s="168">
        <v>2.0</v>
      </c>
      <c r="K473" s="168">
        <v>2.0</v>
      </c>
      <c r="L473" s="168">
        <v>9.0</v>
      </c>
      <c r="M473" s="184">
        <v>39813.74</v>
      </c>
      <c r="N473" s="184">
        <v>8965.37</v>
      </c>
      <c r="O473" s="184">
        <v>-8606.02</v>
      </c>
      <c r="P473" s="184">
        <v>4794.56</v>
      </c>
    </row>
    <row r="474">
      <c r="A474" s="168">
        <v>15.0</v>
      </c>
      <c r="B474" s="168">
        <v>56.0</v>
      </c>
      <c r="C474" s="168">
        <v>74.0</v>
      </c>
      <c r="D474" s="168">
        <v>10.0</v>
      </c>
      <c r="E474" s="168">
        <v>2.0</v>
      </c>
      <c r="F474" s="168">
        <v>8.0</v>
      </c>
      <c r="G474" s="168">
        <v>8.0</v>
      </c>
      <c r="H474" s="183">
        <v>62842.42</v>
      </c>
      <c r="I474" s="184">
        <v>-85160.58</v>
      </c>
      <c r="J474" s="168">
        <v>2.0</v>
      </c>
      <c r="K474" s="168">
        <v>9.0</v>
      </c>
      <c r="L474" s="168">
        <v>5.0</v>
      </c>
      <c r="M474" s="184">
        <v>-76663.66</v>
      </c>
      <c r="N474" s="184">
        <v>32824.15</v>
      </c>
      <c r="O474" s="184">
        <v>-15557.86</v>
      </c>
      <c r="P474" s="184">
        <v>25052.57</v>
      </c>
    </row>
    <row r="475">
      <c r="A475" s="168">
        <v>13.0</v>
      </c>
      <c r="B475" s="168">
        <v>79.0</v>
      </c>
      <c r="C475" s="168">
        <v>44.0</v>
      </c>
      <c r="D475" s="168">
        <v>41.0</v>
      </c>
      <c r="E475" s="168">
        <v>1.0</v>
      </c>
      <c r="F475" s="168">
        <v>6.0</v>
      </c>
      <c r="G475" s="168">
        <v>9.0</v>
      </c>
      <c r="H475" s="183">
        <v>-92716.02</v>
      </c>
      <c r="I475" s="184">
        <v>-22489.53</v>
      </c>
      <c r="J475" s="168">
        <v>9.0</v>
      </c>
      <c r="K475" s="168">
        <v>6.0</v>
      </c>
      <c r="L475" s="168">
        <v>4.0</v>
      </c>
      <c r="M475" s="184">
        <v>15790.53</v>
      </c>
      <c r="N475" s="184">
        <v>-8704.61</v>
      </c>
      <c r="O475" s="184">
        <v>-15723.37</v>
      </c>
      <c r="P475" s="184">
        <v>40773.48</v>
      </c>
    </row>
    <row r="476">
      <c r="A476" s="168">
        <v>81.0</v>
      </c>
      <c r="B476" s="168">
        <v>23.0</v>
      </c>
      <c r="C476" s="168">
        <v>98.0</v>
      </c>
      <c r="D476" s="168">
        <v>90.0</v>
      </c>
      <c r="E476" s="168">
        <v>8.0</v>
      </c>
      <c r="F476" s="168">
        <v>8.0</v>
      </c>
      <c r="G476" s="168">
        <v>3.0</v>
      </c>
      <c r="H476" s="183">
        <v>77080.28</v>
      </c>
      <c r="I476" s="184">
        <v>-94946.55</v>
      </c>
      <c r="J476" s="168">
        <v>5.0</v>
      </c>
      <c r="K476" s="168">
        <v>3.0</v>
      </c>
      <c r="L476" s="168">
        <v>1.0</v>
      </c>
      <c r="M476" s="184">
        <v>23102.72</v>
      </c>
      <c r="N476" s="184">
        <v>77273.97</v>
      </c>
      <c r="O476" s="184">
        <v>50685.64</v>
      </c>
      <c r="P476" s="184">
        <v>39752.19</v>
      </c>
    </row>
    <row r="477">
      <c r="A477" s="168">
        <v>41.0</v>
      </c>
      <c r="B477" s="168">
        <v>71.0</v>
      </c>
      <c r="C477" s="168">
        <v>86.0</v>
      </c>
      <c r="D477" s="168">
        <v>18.0</v>
      </c>
      <c r="E477" s="168">
        <v>5.0</v>
      </c>
      <c r="F477" s="168">
        <v>9.0</v>
      </c>
      <c r="G477" s="168">
        <v>6.0</v>
      </c>
      <c r="H477" s="183">
        <v>32562.92</v>
      </c>
      <c r="I477" s="184">
        <v>77838.49</v>
      </c>
      <c r="J477" s="168">
        <v>4.0</v>
      </c>
      <c r="K477" s="168">
        <v>3.0</v>
      </c>
      <c r="L477" s="168">
        <v>5.0</v>
      </c>
      <c r="M477" s="184">
        <v>38267.28</v>
      </c>
      <c r="N477" s="184">
        <v>-89400.58</v>
      </c>
      <c r="O477" s="184">
        <v>23502.93</v>
      </c>
      <c r="P477" s="184">
        <v>8548.47</v>
      </c>
    </row>
    <row r="478">
      <c r="A478" s="168">
        <v>47.0</v>
      </c>
      <c r="B478" s="168">
        <v>96.0</v>
      </c>
      <c r="C478" s="168">
        <v>63.0</v>
      </c>
      <c r="D478" s="168">
        <v>30.0</v>
      </c>
      <c r="E478" s="168">
        <v>4.0</v>
      </c>
      <c r="F478" s="168">
        <v>3.0</v>
      </c>
      <c r="G478" s="168">
        <v>6.0</v>
      </c>
      <c r="H478" s="183">
        <v>4374.89</v>
      </c>
      <c r="I478" s="184">
        <v>-39556.6</v>
      </c>
      <c r="J478" s="168">
        <v>1.0</v>
      </c>
      <c r="K478" s="168">
        <v>2.0</v>
      </c>
      <c r="L478" s="168">
        <v>6.0</v>
      </c>
      <c r="M478" s="184">
        <v>71335.02</v>
      </c>
      <c r="N478" s="184">
        <v>71740.57</v>
      </c>
      <c r="O478" s="184">
        <v>59513.74</v>
      </c>
      <c r="P478" s="184">
        <v>-71665.87</v>
      </c>
    </row>
    <row r="479">
      <c r="A479" s="168">
        <v>30.0</v>
      </c>
      <c r="B479" s="168">
        <v>50.0</v>
      </c>
      <c r="C479" s="168">
        <v>25.0</v>
      </c>
      <c r="D479" s="168">
        <v>60.0</v>
      </c>
      <c r="E479" s="168">
        <v>2.0</v>
      </c>
      <c r="F479" s="168">
        <v>6.0</v>
      </c>
      <c r="G479" s="168">
        <v>2.0</v>
      </c>
      <c r="H479" s="183">
        <v>-85596.93</v>
      </c>
      <c r="I479" s="184">
        <v>-14138.74</v>
      </c>
      <c r="J479" s="168">
        <v>5.0</v>
      </c>
      <c r="K479" s="168">
        <v>7.0</v>
      </c>
      <c r="L479" s="168">
        <v>7.0</v>
      </c>
      <c r="M479" s="184">
        <v>-13344.96</v>
      </c>
      <c r="N479" s="184">
        <v>46550.29</v>
      </c>
      <c r="O479" s="184">
        <v>-19208.62</v>
      </c>
      <c r="P479" s="184">
        <v>54086.99</v>
      </c>
    </row>
    <row r="480">
      <c r="A480" s="168">
        <v>17.0</v>
      </c>
      <c r="B480" s="168">
        <v>45.0</v>
      </c>
      <c r="C480" s="168">
        <v>55.0</v>
      </c>
      <c r="D480" s="168">
        <v>93.0</v>
      </c>
      <c r="E480" s="168">
        <v>2.0</v>
      </c>
      <c r="F480" s="168">
        <v>6.0</v>
      </c>
      <c r="G480" s="168">
        <v>2.0</v>
      </c>
      <c r="H480" s="183">
        <v>73413.57</v>
      </c>
      <c r="I480" s="184">
        <v>22772.79</v>
      </c>
      <c r="J480" s="168">
        <v>6.0</v>
      </c>
      <c r="K480" s="168">
        <v>5.0</v>
      </c>
      <c r="L480" s="168">
        <v>4.0</v>
      </c>
      <c r="M480" s="184">
        <v>-75573.56</v>
      </c>
      <c r="N480" s="184">
        <v>-47728.76</v>
      </c>
      <c r="O480" s="184">
        <v>49804.27</v>
      </c>
      <c r="P480" s="184">
        <v>-89949.63</v>
      </c>
    </row>
    <row r="481">
      <c r="A481" s="168">
        <v>49.0</v>
      </c>
      <c r="B481" s="168">
        <v>39.0</v>
      </c>
      <c r="C481" s="168">
        <v>16.0</v>
      </c>
      <c r="D481" s="168">
        <v>78.0</v>
      </c>
      <c r="E481" s="168">
        <v>5.0</v>
      </c>
      <c r="F481" s="168">
        <v>2.0</v>
      </c>
      <c r="G481" s="168">
        <v>1.0</v>
      </c>
      <c r="H481" s="183">
        <v>39735.06</v>
      </c>
      <c r="I481" s="184">
        <v>-17702.14</v>
      </c>
      <c r="J481" s="168">
        <v>7.0</v>
      </c>
      <c r="K481" s="168">
        <v>9.0</v>
      </c>
      <c r="L481" s="168">
        <v>9.0</v>
      </c>
      <c r="M481" s="184">
        <v>-37214.86</v>
      </c>
      <c r="N481" s="184">
        <v>-76050.19</v>
      </c>
      <c r="O481" s="184">
        <v>63600.78</v>
      </c>
      <c r="P481" s="184">
        <v>18775.91</v>
      </c>
    </row>
    <row r="482">
      <c r="A482" s="168">
        <v>53.0</v>
      </c>
      <c r="B482" s="168">
        <v>99.0</v>
      </c>
      <c r="C482" s="168">
        <v>15.0</v>
      </c>
      <c r="D482" s="168">
        <v>91.0</v>
      </c>
      <c r="E482" s="168">
        <v>7.0</v>
      </c>
      <c r="F482" s="168">
        <v>2.0</v>
      </c>
      <c r="G482" s="168">
        <v>2.0</v>
      </c>
      <c r="H482" s="183">
        <v>90965.21</v>
      </c>
      <c r="I482" s="184">
        <v>-37652.32</v>
      </c>
      <c r="J482" s="168">
        <v>4.0</v>
      </c>
      <c r="K482" s="168">
        <v>1.0</v>
      </c>
      <c r="L482" s="168">
        <v>5.0</v>
      </c>
      <c r="M482" s="184">
        <v>50999.16</v>
      </c>
      <c r="N482" s="184">
        <v>-64128.32</v>
      </c>
      <c r="O482" s="184">
        <v>79642.63</v>
      </c>
      <c r="P482" s="184">
        <v>60463.69</v>
      </c>
    </row>
    <row r="483">
      <c r="A483" s="168">
        <v>59.0</v>
      </c>
      <c r="B483" s="168">
        <v>38.0</v>
      </c>
      <c r="C483" s="168">
        <v>93.0</v>
      </c>
      <c r="D483" s="168">
        <v>12.0</v>
      </c>
      <c r="E483" s="168">
        <v>3.0</v>
      </c>
      <c r="F483" s="168">
        <v>1.0</v>
      </c>
      <c r="G483" s="168">
        <v>3.0</v>
      </c>
      <c r="H483" s="183">
        <v>37126.66</v>
      </c>
      <c r="I483" s="184">
        <v>90134.26</v>
      </c>
      <c r="J483" s="168">
        <v>9.0</v>
      </c>
      <c r="K483" s="168">
        <v>7.0</v>
      </c>
      <c r="L483" s="168">
        <v>9.0</v>
      </c>
      <c r="M483" s="184">
        <v>70588.35</v>
      </c>
      <c r="N483" s="184">
        <v>75706.94</v>
      </c>
      <c r="O483" s="184">
        <v>42700.79</v>
      </c>
      <c r="P483" s="184">
        <v>-45117.29</v>
      </c>
    </row>
    <row r="484">
      <c r="A484" s="168">
        <v>86.0</v>
      </c>
      <c r="B484" s="168">
        <v>18.0</v>
      </c>
      <c r="C484" s="168">
        <v>53.0</v>
      </c>
      <c r="D484" s="168">
        <v>90.0</v>
      </c>
      <c r="E484" s="168">
        <v>2.0</v>
      </c>
      <c r="F484" s="168">
        <v>2.0</v>
      </c>
      <c r="G484" s="168">
        <v>6.0</v>
      </c>
      <c r="H484" s="183">
        <v>27622.07</v>
      </c>
      <c r="I484" s="184">
        <v>-11154.22</v>
      </c>
      <c r="J484" s="168">
        <v>5.0</v>
      </c>
      <c r="K484" s="168">
        <v>3.0</v>
      </c>
      <c r="L484" s="168">
        <v>6.0</v>
      </c>
      <c r="M484" s="184">
        <v>46173.3</v>
      </c>
      <c r="N484" s="184">
        <v>-23375.27</v>
      </c>
      <c r="O484" s="184">
        <v>31047.76</v>
      </c>
      <c r="P484" s="184">
        <v>95345.8</v>
      </c>
    </row>
    <row r="485">
      <c r="A485" s="168">
        <v>77.0</v>
      </c>
      <c r="B485" s="168">
        <v>83.0</v>
      </c>
      <c r="C485" s="168">
        <v>81.0</v>
      </c>
      <c r="D485" s="168">
        <v>75.0</v>
      </c>
      <c r="E485" s="168">
        <v>3.0</v>
      </c>
      <c r="F485" s="168">
        <v>3.0</v>
      </c>
      <c r="G485" s="168">
        <v>3.0</v>
      </c>
      <c r="H485" s="183">
        <v>49558.04</v>
      </c>
      <c r="I485" s="184">
        <v>78202.17</v>
      </c>
      <c r="J485" s="168">
        <v>9.0</v>
      </c>
      <c r="K485" s="168">
        <v>3.0</v>
      </c>
      <c r="L485" s="168">
        <v>4.0</v>
      </c>
      <c r="M485" s="184">
        <v>-76542.31</v>
      </c>
      <c r="N485" s="184">
        <v>-85449.65</v>
      </c>
      <c r="O485" s="184">
        <v>-86575.52</v>
      </c>
      <c r="P485" s="184">
        <v>-48577.9</v>
      </c>
    </row>
    <row r="486">
      <c r="A486" s="168">
        <v>51.0</v>
      </c>
      <c r="B486" s="168">
        <v>89.0</v>
      </c>
      <c r="C486" s="168">
        <v>18.0</v>
      </c>
      <c r="D486" s="168">
        <v>65.0</v>
      </c>
      <c r="E486" s="168">
        <v>2.0</v>
      </c>
      <c r="F486" s="168">
        <v>6.0</v>
      </c>
      <c r="G486" s="168">
        <v>9.0</v>
      </c>
      <c r="H486" s="183">
        <v>68710.82</v>
      </c>
      <c r="I486" s="184">
        <v>-44878.99</v>
      </c>
      <c r="J486" s="168">
        <v>6.0</v>
      </c>
      <c r="K486" s="168">
        <v>2.0</v>
      </c>
      <c r="L486" s="168">
        <v>7.0</v>
      </c>
      <c r="M486" s="184">
        <v>22608.48</v>
      </c>
      <c r="N486" s="184">
        <v>89876.02</v>
      </c>
      <c r="O486" s="184">
        <v>26526.91</v>
      </c>
      <c r="P486" s="184">
        <v>26801.42</v>
      </c>
    </row>
    <row r="487">
      <c r="A487" s="168">
        <v>78.0</v>
      </c>
      <c r="B487" s="168">
        <v>12.0</v>
      </c>
      <c r="C487" s="168">
        <v>70.0</v>
      </c>
      <c r="D487" s="168">
        <v>50.0</v>
      </c>
      <c r="E487" s="168">
        <v>3.0</v>
      </c>
      <c r="F487" s="168">
        <v>3.0</v>
      </c>
      <c r="G487" s="168">
        <v>7.0</v>
      </c>
      <c r="H487" s="183">
        <v>65575.71</v>
      </c>
      <c r="I487" s="184">
        <v>-81088.94</v>
      </c>
      <c r="J487" s="168">
        <v>4.0</v>
      </c>
      <c r="K487" s="168">
        <v>8.0</v>
      </c>
      <c r="L487" s="168">
        <v>9.0</v>
      </c>
      <c r="M487" s="184">
        <v>27939.93</v>
      </c>
      <c r="N487" s="184">
        <v>-93340.01</v>
      </c>
      <c r="O487" s="184">
        <v>-52195.74</v>
      </c>
      <c r="P487" s="184">
        <v>-41805.19</v>
      </c>
    </row>
    <row r="488">
      <c r="A488" s="168">
        <v>80.0</v>
      </c>
      <c r="B488" s="168">
        <v>17.0</v>
      </c>
      <c r="C488" s="168">
        <v>68.0</v>
      </c>
      <c r="D488" s="168">
        <v>95.0</v>
      </c>
      <c r="E488" s="168">
        <v>2.0</v>
      </c>
      <c r="F488" s="168">
        <v>9.0</v>
      </c>
      <c r="G488" s="168">
        <v>2.0</v>
      </c>
      <c r="H488" s="183">
        <v>-94069.04</v>
      </c>
      <c r="I488" s="184">
        <v>-41862.54</v>
      </c>
      <c r="J488" s="168">
        <v>7.0</v>
      </c>
      <c r="K488" s="168">
        <v>8.0</v>
      </c>
      <c r="L488" s="168">
        <v>9.0</v>
      </c>
      <c r="M488" s="184">
        <v>-51161.18</v>
      </c>
      <c r="N488" s="184">
        <v>50631.0</v>
      </c>
      <c r="O488" s="184">
        <v>-63880.27</v>
      </c>
      <c r="P488" s="184">
        <v>77657.09</v>
      </c>
    </row>
    <row r="489">
      <c r="A489" s="168">
        <v>27.0</v>
      </c>
      <c r="B489" s="168">
        <v>76.0</v>
      </c>
      <c r="C489" s="168">
        <v>30.0</v>
      </c>
      <c r="D489" s="168">
        <v>61.0</v>
      </c>
      <c r="E489" s="168">
        <v>2.0</v>
      </c>
      <c r="F489" s="168">
        <v>7.0</v>
      </c>
      <c r="G489" s="168">
        <v>8.0</v>
      </c>
      <c r="H489" s="183">
        <v>-2312.68</v>
      </c>
      <c r="I489" s="184">
        <v>-5440.98</v>
      </c>
      <c r="J489" s="168">
        <v>9.0</v>
      </c>
      <c r="K489" s="168">
        <v>9.0</v>
      </c>
      <c r="L489" s="168">
        <v>9.0</v>
      </c>
      <c r="M489" s="184">
        <v>69355.72</v>
      </c>
      <c r="N489" s="184">
        <v>7884.69</v>
      </c>
      <c r="O489" s="184">
        <v>-62610.2</v>
      </c>
      <c r="P489" s="184">
        <v>-16116.94</v>
      </c>
    </row>
    <row r="490">
      <c r="A490" s="168">
        <v>92.0</v>
      </c>
      <c r="B490" s="168">
        <v>72.0</v>
      </c>
      <c r="C490" s="168">
        <v>44.0</v>
      </c>
      <c r="D490" s="168">
        <v>54.0</v>
      </c>
      <c r="E490" s="168">
        <v>2.0</v>
      </c>
      <c r="F490" s="168">
        <v>2.0</v>
      </c>
      <c r="G490" s="168">
        <v>3.0</v>
      </c>
      <c r="H490" s="183">
        <v>98300.03</v>
      </c>
      <c r="I490" s="184">
        <v>41404.25</v>
      </c>
      <c r="J490" s="168">
        <v>9.0</v>
      </c>
      <c r="K490" s="168">
        <v>2.0</v>
      </c>
      <c r="L490" s="168">
        <v>2.0</v>
      </c>
      <c r="M490" s="184">
        <v>56583.36</v>
      </c>
      <c r="N490" s="184">
        <v>62610.99</v>
      </c>
      <c r="O490" s="184">
        <v>-5249.03</v>
      </c>
      <c r="P490" s="184">
        <v>-83846.96</v>
      </c>
    </row>
    <row r="491">
      <c r="A491" s="168">
        <v>74.0</v>
      </c>
      <c r="B491" s="168">
        <v>45.0</v>
      </c>
      <c r="C491" s="168">
        <v>24.0</v>
      </c>
      <c r="D491" s="168">
        <v>42.0</v>
      </c>
      <c r="E491" s="168">
        <v>3.0</v>
      </c>
      <c r="F491" s="168">
        <v>8.0</v>
      </c>
      <c r="G491" s="168">
        <v>9.0</v>
      </c>
      <c r="H491" s="183">
        <v>-20280.8</v>
      </c>
      <c r="I491" s="184">
        <v>-74128.88</v>
      </c>
      <c r="J491" s="168">
        <v>9.0</v>
      </c>
      <c r="K491" s="168">
        <v>6.0</v>
      </c>
      <c r="L491" s="168">
        <v>7.0</v>
      </c>
      <c r="M491" s="184">
        <v>-32252.22</v>
      </c>
      <c r="N491" s="184">
        <v>59234.26</v>
      </c>
      <c r="O491" s="184">
        <v>28476.81</v>
      </c>
      <c r="P491" s="184">
        <v>-98557.75</v>
      </c>
    </row>
    <row r="492">
      <c r="A492" s="168">
        <v>81.0</v>
      </c>
      <c r="B492" s="168">
        <v>47.0</v>
      </c>
      <c r="C492" s="168">
        <v>22.0</v>
      </c>
      <c r="D492" s="168">
        <v>89.0</v>
      </c>
      <c r="E492" s="168">
        <v>3.0</v>
      </c>
      <c r="F492" s="168">
        <v>3.0</v>
      </c>
      <c r="G492" s="168">
        <v>6.0</v>
      </c>
      <c r="H492" s="183">
        <v>-40973.93</v>
      </c>
      <c r="I492" s="184">
        <v>51810.27</v>
      </c>
      <c r="J492" s="168">
        <v>2.0</v>
      </c>
      <c r="K492" s="168">
        <v>5.0</v>
      </c>
      <c r="L492" s="168">
        <v>9.0</v>
      </c>
      <c r="M492" s="184">
        <v>-21188.41</v>
      </c>
      <c r="N492" s="184">
        <v>-96509.61</v>
      </c>
      <c r="O492" s="184">
        <v>-59159.09</v>
      </c>
      <c r="P492" s="184">
        <v>87188.68</v>
      </c>
    </row>
    <row r="493">
      <c r="A493" s="168">
        <v>47.0</v>
      </c>
      <c r="B493" s="168">
        <v>43.0</v>
      </c>
      <c r="C493" s="168">
        <v>26.0</v>
      </c>
      <c r="D493" s="168">
        <v>77.0</v>
      </c>
      <c r="E493" s="168">
        <v>8.0</v>
      </c>
      <c r="F493" s="168">
        <v>9.0</v>
      </c>
      <c r="G493" s="168">
        <v>3.0</v>
      </c>
      <c r="H493" s="183">
        <v>56637.63</v>
      </c>
      <c r="I493" s="184">
        <v>99821.71</v>
      </c>
      <c r="J493" s="168">
        <v>7.0</v>
      </c>
      <c r="K493" s="168">
        <v>4.0</v>
      </c>
      <c r="L493" s="168">
        <v>8.0</v>
      </c>
      <c r="M493" s="184">
        <v>77501.03</v>
      </c>
      <c r="N493" s="184">
        <v>-26515.6</v>
      </c>
      <c r="O493" s="184">
        <v>-82971.74</v>
      </c>
      <c r="P493" s="184">
        <v>-9611.82</v>
      </c>
    </row>
    <row r="494">
      <c r="A494" s="168">
        <v>72.0</v>
      </c>
      <c r="B494" s="168">
        <v>89.0</v>
      </c>
      <c r="C494" s="168">
        <v>21.0</v>
      </c>
      <c r="D494" s="168">
        <v>13.0</v>
      </c>
      <c r="E494" s="168">
        <v>4.0</v>
      </c>
      <c r="F494" s="168">
        <v>6.0</v>
      </c>
      <c r="G494" s="168">
        <v>5.0</v>
      </c>
      <c r="H494" s="183">
        <v>66381.44</v>
      </c>
      <c r="I494" s="184">
        <v>7669.92</v>
      </c>
      <c r="J494" s="168">
        <v>9.0</v>
      </c>
      <c r="K494" s="168">
        <v>4.0</v>
      </c>
      <c r="L494" s="168">
        <v>9.0</v>
      </c>
      <c r="M494" s="184">
        <v>-39320.22</v>
      </c>
      <c r="N494" s="184">
        <v>84223.14</v>
      </c>
      <c r="O494" s="184">
        <v>-15658.67</v>
      </c>
      <c r="P494" s="184">
        <v>70454.03</v>
      </c>
    </row>
    <row r="495">
      <c r="A495" s="168">
        <v>62.0</v>
      </c>
      <c r="B495" s="168">
        <v>32.0</v>
      </c>
      <c r="C495" s="168">
        <v>74.0</v>
      </c>
      <c r="D495" s="168">
        <v>23.0</v>
      </c>
      <c r="E495" s="168">
        <v>1.0</v>
      </c>
      <c r="F495" s="168">
        <v>3.0</v>
      </c>
      <c r="G495" s="168">
        <v>9.0</v>
      </c>
      <c r="H495" s="183">
        <v>-11667.88</v>
      </c>
      <c r="I495" s="184">
        <v>-96744.17</v>
      </c>
      <c r="J495" s="168">
        <v>8.0</v>
      </c>
      <c r="K495" s="168">
        <v>8.0</v>
      </c>
      <c r="L495" s="168">
        <v>2.0</v>
      </c>
      <c r="M495" s="184">
        <v>48917.95</v>
      </c>
      <c r="N495" s="184">
        <v>92908.84</v>
      </c>
      <c r="O495" s="184">
        <v>55028.62</v>
      </c>
      <c r="P495" s="184">
        <v>41667.95</v>
      </c>
    </row>
    <row r="496">
      <c r="A496" s="168">
        <v>32.0</v>
      </c>
      <c r="B496" s="168">
        <v>36.0</v>
      </c>
      <c r="C496" s="168">
        <v>79.0</v>
      </c>
      <c r="D496" s="168">
        <v>35.0</v>
      </c>
      <c r="E496" s="168">
        <v>6.0</v>
      </c>
      <c r="F496" s="168">
        <v>5.0</v>
      </c>
      <c r="G496" s="168">
        <v>9.0</v>
      </c>
      <c r="H496" s="183">
        <v>30266.46</v>
      </c>
      <c r="I496" s="184">
        <v>79770.73</v>
      </c>
      <c r="J496" s="168">
        <v>9.0</v>
      </c>
      <c r="K496" s="168">
        <v>3.0</v>
      </c>
      <c r="L496" s="168">
        <v>9.0</v>
      </c>
      <c r="M496" s="184">
        <v>-53676.58</v>
      </c>
      <c r="N496" s="184">
        <v>94986.62</v>
      </c>
      <c r="O496" s="184">
        <v>91483.21</v>
      </c>
      <c r="P496" s="184">
        <v>60097.78</v>
      </c>
    </row>
    <row r="497">
      <c r="A497" s="168">
        <v>47.0</v>
      </c>
      <c r="B497" s="168">
        <v>69.0</v>
      </c>
      <c r="C497" s="168">
        <v>28.0</v>
      </c>
      <c r="D497" s="168">
        <v>89.0</v>
      </c>
      <c r="E497" s="168">
        <v>7.0</v>
      </c>
      <c r="F497" s="168">
        <v>9.0</v>
      </c>
      <c r="G497" s="168">
        <v>2.0</v>
      </c>
      <c r="H497" s="183">
        <v>-73848.82</v>
      </c>
      <c r="I497" s="184">
        <v>20085.87</v>
      </c>
      <c r="J497" s="168">
        <v>2.0</v>
      </c>
      <c r="K497" s="168">
        <v>3.0</v>
      </c>
      <c r="L497" s="168">
        <v>8.0</v>
      </c>
      <c r="M497" s="184">
        <v>33079.41</v>
      </c>
      <c r="N497" s="184">
        <v>37386.8</v>
      </c>
      <c r="O497" s="184">
        <v>32577.58</v>
      </c>
      <c r="P497" s="184">
        <v>-16478.23</v>
      </c>
    </row>
    <row r="498">
      <c r="A498" s="168">
        <v>94.0</v>
      </c>
      <c r="B498" s="168">
        <v>69.0</v>
      </c>
      <c r="C498" s="168">
        <v>95.0</v>
      </c>
      <c r="D498" s="168">
        <v>83.0</v>
      </c>
      <c r="E498" s="168">
        <v>9.0</v>
      </c>
      <c r="F498" s="168">
        <v>9.0</v>
      </c>
      <c r="G498" s="168">
        <v>1.0</v>
      </c>
      <c r="H498" s="183">
        <v>42114.52</v>
      </c>
      <c r="I498" s="184">
        <v>-26629.25</v>
      </c>
      <c r="J498" s="168">
        <v>9.0</v>
      </c>
      <c r="K498" s="168">
        <v>5.0</v>
      </c>
      <c r="L498" s="168">
        <v>9.0</v>
      </c>
      <c r="M498" s="184">
        <v>1678.25</v>
      </c>
      <c r="N498" s="184">
        <v>-27539.39</v>
      </c>
      <c r="O498" s="184">
        <v>80676.58</v>
      </c>
      <c r="P498" s="184">
        <v>5351.03</v>
      </c>
    </row>
    <row r="499">
      <c r="A499" s="168">
        <v>91.0</v>
      </c>
      <c r="B499" s="168">
        <v>99.0</v>
      </c>
      <c r="C499" s="168">
        <v>72.0</v>
      </c>
      <c r="D499" s="168">
        <v>37.0</v>
      </c>
      <c r="E499" s="168">
        <v>3.0</v>
      </c>
      <c r="F499" s="168">
        <v>2.0</v>
      </c>
      <c r="G499" s="168">
        <v>7.0</v>
      </c>
      <c r="H499" s="183">
        <v>-83095.54</v>
      </c>
      <c r="I499" s="184">
        <v>40292.9</v>
      </c>
      <c r="J499" s="168">
        <v>8.0</v>
      </c>
      <c r="K499" s="168">
        <v>3.0</v>
      </c>
      <c r="L499" s="168">
        <v>4.0</v>
      </c>
      <c r="M499" s="184">
        <v>69311.87</v>
      </c>
      <c r="N499" s="184">
        <v>-15474.52</v>
      </c>
      <c r="O499" s="184">
        <v>-16190.15</v>
      </c>
      <c r="P499" s="184">
        <v>78684.91</v>
      </c>
    </row>
    <row r="500">
      <c r="A500" s="168">
        <v>32.0</v>
      </c>
      <c r="B500" s="168">
        <v>43.0</v>
      </c>
      <c r="C500" s="168">
        <v>92.0</v>
      </c>
      <c r="D500" s="168">
        <v>21.0</v>
      </c>
      <c r="E500" s="168">
        <v>1.0</v>
      </c>
      <c r="F500" s="168">
        <v>1.0</v>
      </c>
      <c r="G500" s="168">
        <v>5.0</v>
      </c>
      <c r="H500" s="183">
        <v>98228.0</v>
      </c>
      <c r="I500" s="184">
        <v>14188.28</v>
      </c>
      <c r="J500" s="168">
        <v>9.0</v>
      </c>
      <c r="K500" s="168">
        <v>1.0</v>
      </c>
      <c r="L500" s="168">
        <v>5.0</v>
      </c>
      <c r="M500" s="184">
        <v>85418.51</v>
      </c>
      <c r="N500" s="184">
        <v>55989.72</v>
      </c>
      <c r="O500" s="184">
        <v>-58997.05</v>
      </c>
      <c r="P500" s="184">
        <v>-32426.93</v>
      </c>
    </row>
    <row r="501">
      <c r="A501" s="168">
        <v>38.0</v>
      </c>
      <c r="B501" s="168">
        <v>39.0</v>
      </c>
      <c r="C501" s="168">
        <v>92.0</v>
      </c>
      <c r="D501" s="168">
        <v>98.0</v>
      </c>
      <c r="E501" s="168">
        <v>3.0</v>
      </c>
      <c r="F501" s="168">
        <v>7.0</v>
      </c>
      <c r="G501" s="168">
        <v>3.0</v>
      </c>
      <c r="H501" s="183">
        <v>6170.53</v>
      </c>
      <c r="I501" s="184">
        <v>88811.61</v>
      </c>
      <c r="J501" s="168">
        <v>4.0</v>
      </c>
      <c r="K501" s="168">
        <v>4.0</v>
      </c>
      <c r="L501" s="168">
        <v>1.0</v>
      </c>
      <c r="M501" s="184">
        <v>-59000.71</v>
      </c>
      <c r="N501" s="184">
        <v>98458.28</v>
      </c>
      <c r="O501" s="184">
        <v>-75841.78</v>
      </c>
      <c r="P501" s="184">
        <v>35791.74</v>
      </c>
    </row>
    <row r="502">
      <c r="A502" s="168">
        <v>27.0</v>
      </c>
      <c r="B502" s="168">
        <v>81.0</v>
      </c>
      <c r="C502" s="168">
        <v>56.0</v>
      </c>
      <c r="D502" s="168">
        <v>73.0</v>
      </c>
      <c r="E502" s="168">
        <v>7.0</v>
      </c>
      <c r="F502" s="168">
        <v>5.0</v>
      </c>
      <c r="G502" s="168">
        <v>1.0</v>
      </c>
      <c r="H502" s="183">
        <v>49416.6</v>
      </c>
      <c r="I502" s="184">
        <v>-84475.9</v>
      </c>
      <c r="J502" s="168">
        <v>5.0</v>
      </c>
      <c r="K502" s="168">
        <v>4.0</v>
      </c>
      <c r="L502" s="168">
        <v>3.0</v>
      </c>
      <c r="M502" s="184">
        <v>49182.75</v>
      </c>
      <c r="N502" s="184">
        <v>-80259.71</v>
      </c>
      <c r="O502" s="184">
        <v>66036.53</v>
      </c>
      <c r="P502" s="184">
        <v>27118.96</v>
      </c>
    </row>
    <row r="503">
      <c r="A503" s="168">
        <v>57.0</v>
      </c>
      <c r="B503" s="168">
        <v>93.0</v>
      </c>
      <c r="C503" s="168">
        <v>24.0</v>
      </c>
      <c r="D503" s="168">
        <v>44.0</v>
      </c>
      <c r="E503" s="168">
        <v>4.0</v>
      </c>
      <c r="F503" s="168">
        <v>3.0</v>
      </c>
      <c r="G503" s="168">
        <v>7.0</v>
      </c>
      <c r="H503" s="183">
        <v>79230.79</v>
      </c>
      <c r="I503" s="184">
        <v>-84593.34</v>
      </c>
      <c r="J503" s="168">
        <v>1.0</v>
      </c>
      <c r="K503" s="168">
        <v>3.0</v>
      </c>
      <c r="L503" s="168">
        <v>3.0</v>
      </c>
      <c r="M503" s="184">
        <v>7211.42</v>
      </c>
      <c r="N503" s="184">
        <v>76482.61</v>
      </c>
      <c r="O503" s="184">
        <v>-35938.42</v>
      </c>
      <c r="P503" s="184">
        <v>37229.59</v>
      </c>
    </row>
    <row r="504">
      <c r="A504" s="168">
        <v>95.0</v>
      </c>
      <c r="B504" s="168">
        <v>53.0</v>
      </c>
      <c r="C504" s="168">
        <v>17.0</v>
      </c>
      <c r="D504" s="168">
        <v>20.0</v>
      </c>
      <c r="E504" s="168">
        <v>5.0</v>
      </c>
      <c r="F504" s="168">
        <v>1.0</v>
      </c>
      <c r="G504" s="168">
        <v>6.0</v>
      </c>
      <c r="H504" s="183">
        <v>-41598.72</v>
      </c>
      <c r="I504" s="184">
        <v>91444.37</v>
      </c>
      <c r="J504" s="168">
        <v>3.0</v>
      </c>
      <c r="K504" s="168">
        <v>6.0</v>
      </c>
      <c r="L504" s="168">
        <v>8.0</v>
      </c>
      <c r="M504" s="184">
        <v>16726.59</v>
      </c>
      <c r="N504" s="184">
        <v>89121.3</v>
      </c>
      <c r="O504" s="184">
        <v>87657.41</v>
      </c>
      <c r="P504" s="184">
        <v>-68277.72</v>
      </c>
    </row>
    <row r="505">
      <c r="A505" s="168">
        <v>90.0</v>
      </c>
      <c r="B505" s="168">
        <v>94.0</v>
      </c>
      <c r="C505" s="168">
        <v>76.0</v>
      </c>
      <c r="D505" s="168">
        <v>31.0</v>
      </c>
      <c r="E505" s="168">
        <v>1.0</v>
      </c>
      <c r="F505" s="168">
        <v>7.0</v>
      </c>
      <c r="G505" s="168">
        <v>3.0</v>
      </c>
      <c r="H505" s="183">
        <v>-73381.12</v>
      </c>
      <c r="I505" s="184">
        <v>-71548.24</v>
      </c>
      <c r="J505" s="168">
        <v>3.0</v>
      </c>
      <c r="K505" s="168">
        <v>2.0</v>
      </c>
      <c r="L505" s="168">
        <v>7.0</v>
      </c>
      <c r="M505" s="184">
        <v>93951.3</v>
      </c>
      <c r="N505" s="184">
        <v>23316.69</v>
      </c>
      <c r="O505" s="184">
        <v>-81757.27</v>
      </c>
      <c r="P505" s="184">
        <v>40592.01</v>
      </c>
    </row>
    <row r="506">
      <c r="A506" s="168">
        <v>16.0</v>
      </c>
      <c r="B506" s="168">
        <v>26.0</v>
      </c>
      <c r="C506" s="168">
        <v>70.0</v>
      </c>
      <c r="D506" s="168">
        <v>92.0</v>
      </c>
      <c r="E506" s="168">
        <v>4.0</v>
      </c>
      <c r="F506" s="168">
        <v>6.0</v>
      </c>
      <c r="G506" s="168">
        <v>9.0</v>
      </c>
      <c r="H506" s="183">
        <v>278.61</v>
      </c>
      <c r="I506" s="184">
        <v>-91130.9</v>
      </c>
      <c r="J506" s="168">
        <v>8.0</v>
      </c>
      <c r="K506" s="168">
        <v>3.0</v>
      </c>
      <c r="L506" s="168">
        <v>1.0</v>
      </c>
      <c r="M506" s="184">
        <v>36340.62</v>
      </c>
      <c r="N506" s="184">
        <v>73695.4</v>
      </c>
      <c r="O506" s="184">
        <v>28706.54</v>
      </c>
      <c r="P506" s="184">
        <v>-74334.93</v>
      </c>
    </row>
    <row r="507">
      <c r="A507" s="168">
        <v>80.0</v>
      </c>
      <c r="B507" s="168">
        <v>53.0</v>
      </c>
      <c r="C507" s="168">
        <v>79.0</v>
      </c>
      <c r="D507" s="168">
        <v>74.0</v>
      </c>
      <c r="E507" s="168">
        <v>1.0</v>
      </c>
      <c r="F507" s="168">
        <v>3.0</v>
      </c>
      <c r="G507" s="168">
        <v>2.0</v>
      </c>
      <c r="H507" s="183">
        <v>-39253.05</v>
      </c>
      <c r="I507" s="184">
        <v>-69110.98</v>
      </c>
      <c r="J507" s="168">
        <v>7.0</v>
      </c>
      <c r="K507" s="168">
        <v>6.0</v>
      </c>
      <c r="L507" s="168">
        <v>7.0</v>
      </c>
      <c r="M507" s="184">
        <v>35021.16</v>
      </c>
      <c r="N507" s="184">
        <v>-96429.01</v>
      </c>
      <c r="O507" s="184">
        <v>23699.29</v>
      </c>
      <c r="P507" s="184">
        <v>-12598.28</v>
      </c>
    </row>
    <row r="508">
      <c r="A508" s="168">
        <v>45.0</v>
      </c>
      <c r="B508" s="168">
        <v>58.0</v>
      </c>
      <c r="C508" s="168">
        <v>95.0</v>
      </c>
      <c r="D508" s="168">
        <v>81.0</v>
      </c>
      <c r="E508" s="168">
        <v>3.0</v>
      </c>
      <c r="F508" s="168">
        <v>9.0</v>
      </c>
      <c r="G508" s="168">
        <v>6.0</v>
      </c>
      <c r="H508" s="183">
        <v>31635.78</v>
      </c>
      <c r="I508" s="184">
        <v>36121.02</v>
      </c>
      <c r="J508" s="168">
        <v>1.0</v>
      </c>
      <c r="K508" s="168">
        <v>9.0</v>
      </c>
      <c r="L508" s="168">
        <v>8.0</v>
      </c>
      <c r="M508" s="184">
        <v>67726.77</v>
      </c>
      <c r="N508" s="184">
        <v>46968.19</v>
      </c>
      <c r="O508" s="184">
        <v>-83462.03</v>
      </c>
      <c r="P508" s="184">
        <v>57131.28</v>
      </c>
    </row>
    <row r="509">
      <c r="A509" s="168">
        <v>33.0</v>
      </c>
      <c r="B509" s="168">
        <v>18.0</v>
      </c>
      <c r="C509" s="168">
        <v>12.0</v>
      </c>
      <c r="D509" s="168">
        <v>39.0</v>
      </c>
      <c r="E509" s="168">
        <v>9.0</v>
      </c>
      <c r="F509" s="168">
        <v>2.0</v>
      </c>
      <c r="G509" s="168">
        <v>6.0</v>
      </c>
      <c r="H509" s="183">
        <v>-51626.12</v>
      </c>
      <c r="I509" s="184">
        <v>46545.49</v>
      </c>
      <c r="J509" s="168">
        <v>7.0</v>
      </c>
      <c r="K509" s="168">
        <v>3.0</v>
      </c>
      <c r="L509" s="168">
        <v>6.0</v>
      </c>
      <c r="M509" s="184">
        <v>-72966.81</v>
      </c>
      <c r="N509" s="184">
        <v>-31515.02</v>
      </c>
      <c r="O509" s="184">
        <v>-54907.13</v>
      </c>
      <c r="P509" s="184">
        <v>-44028.09</v>
      </c>
    </row>
    <row r="510">
      <c r="A510" s="168">
        <v>55.0</v>
      </c>
      <c r="B510" s="168">
        <v>10.0</v>
      </c>
      <c r="C510" s="168">
        <v>62.0</v>
      </c>
      <c r="D510" s="168">
        <v>43.0</v>
      </c>
      <c r="E510" s="168">
        <v>5.0</v>
      </c>
      <c r="F510" s="168">
        <v>6.0</v>
      </c>
      <c r="G510" s="168">
        <v>2.0</v>
      </c>
      <c r="H510" s="183">
        <v>56886.11</v>
      </c>
      <c r="I510" s="184">
        <v>51642.58</v>
      </c>
      <c r="J510" s="168">
        <v>8.0</v>
      </c>
      <c r="K510" s="168">
        <v>8.0</v>
      </c>
      <c r="L510" s="168">
        <v>7.0</v>
      </c>
      <c r="M510" s="184">
        <v>-51235.64</v>
      </c>
      <c r="N510" s="184">
        <v>-42169.07</v>
      </c>
      <c r="O510" s="184">
        <v>77382.29</v>
      </c>
      <c r="P510" s="184">
        <v>-29213.17</v>
      </c>
    </row>
    <row r="511">
      <c r="A511" s="168">
        <v>50.0</v>
      </c>
      <c r="B511" s="168">
        <v>34.0</v>
      </c>
      <c r="C511" s="168">
        <v>72.0</v>
      </c>
      <c r="D511" s="168">
        <v>52.0</v>
      </c>
      <c r="E511" s="168">
        <v>4.0</v>
      </c>
      <c r="F511" s="168">
        <v>6.0</v>
      </c>
      <c r="G511" s="168">
        <v>3.0</v>
      </c>
      <c r="H511" s="183">
        <v>39449.23</v>
      </c>
      <c r="I511" s="184">
        <v>89157.14</v>
      </c>
      <c r="J511" s="168">
        <v>6.0</v>
      </c>
      <c r="K511" s="168">
        <v>6.0</v>
      </c>
      <c r="L511" s="168">
        <v>2.0</v>
      </c>
      <c r="M511" s="184">
        <v>-63252.96</v>
      </c>
      <c r="N511" s="184">
        <v>-79965.48</v>
      </c>
      <c r="O511" s="184">
        <v>97250.21</v>
      </c>
      <c r="P511" s="184">
        <v>-37310.74</v>
      </c>
    </row>
    <row r="512">
      <c r="A512" s="168">
        <v>50.0</v>
      </c>
      <c r="B512" s="168">
        <v>94.0</v>
      </c>
      <c r="C512" s="168">
        <v>65.0</v>
      </c>
      <c r="D512" s="168">
        <v>58.0</v>
      </c>
      <c r="E512" s="168">
        <v>5.0</v>
      </c>
      <c r="F512" s="168">
        <v>2.0</v>
      </c>
      <c r="G512" s="168">
        <v>4.0</v>
      </c>
      <c r="H512" s="183">
        <v>-74837.86</v>
      </c>
      <c r="I512" s="184">
        <v>-94641.01</v>
      </c>
      <c r="J512" s="168">
        <v>7.0</v>
      </c>
      <c r="K512" s="168">
        <v>6.0</v>
      </c>
      <c r="L512" s="168">
        <v>3.0</v>
      </c>
      <c r="M512" s="184">
        <v>-75309.0</v>
      </c>
      <c r="N512" s="184">
        <v>-56022.96</v>
      </c>
      <c r="O512" s="184">
        <v>-62756.65</v>
      </c>
      <c r="P512" s="184">
        <v>90218.09</v>
      </c>
    </row>
    <row r="513">
      <c r="A513" s="168">
        <v>55.0</v>
      </c>
      <c r="B513" s="168">
        <v>25.0</v>
      </c>
      <c r="C513" s="168">
        <v>39.0</v>
      </c>
      <c r="D513" s="168">
        <v>22.0</v>
      </c>
      <c r="E513" s="168">
        <v>1.0</v>
      </c>
      <c r="F513" s="168">
        <v>3.0</v>
      </c>
      <c r="G513" s="168">
        <v>7.0</v>
      </c>
      <c r="H513" s="183">
        <v>-697.69</v>
      </c>
      <c r="I513" s="184">
        <v>6388.12</v>
      </c>
      <c r="J513" s="168">
        <v>2.0</v>
      </c>
      <c r="K513" s="168">
        <v>9.0</v>
      </c>
      <c r="L513" s="168">
        <v>6.0</v>
      </c>
      <c r="M513" s="184">
        <v>-32173.78</v>
      </c>
      <c r="N513" s="184">
        <v>33945.14</v>
      </c>
      <c r="O513" s="184">
        <v>60601.8</v>
      </c>
      <c r="P513" s="184">
        <v>-58086.2</v>
      </c>
    </row>
    <row r="514">
      <c r="A514" s="168">
        <v>90.0</v>
      </c>
      <c r="B514" s="168">
        <v>45.0</v>
      </c>
      <c r="C514" s="168">
        <v>19.0</v>
      </c>
      <c r="D514" s="168">
        <v>80.0</v>
      </c>
      <c r="E514" s="168">
        <v>7.0</v>
      </c>
      <c r="F514" s="168">
        <v>4.0</v>
      </c>
      <c r="G514" s="168">
        <v>4.0</v>
      </c>
      <c r="H514" s="183">
        <v>-66945.47</v>
      </c>
      <c r="I514" s="184">
        <v>67965.64</v>
      </c>
      <c r="J514" s="168">
        <v>3.0</v>
      </c>
      <c r="K514" s="168">
        <v>2.0</v>
      </c>
      <c r="L514" s="168">
        <v>9.0</v>
      </c>
      <c r="M514" s="184">
        <v>96954.77</v>
      </c>
      <c r="N514" s="184">
        <v>-56406.43</v>
      </c>
      <c r="O514" s="184">
        <v>57023.91</v>
      </c>
      <c r="P514" s="184">
        <v>14499.03</v>
      </c>
    </row>
    <row r="515">
      <c r="A515" s="168">
        <v>40.0</v>
      </c>
      <c r="B515" s="168">
        <v>58.0</v>
      </c>
      <c r="C515" s="168">
        <v>57.0</v>
      </c>
      <c r="D515" s="168">
        <v>73.0</v>
      </c>
      <c r="E515" s="168">
        <v>2.0</v>
      </c>
      <c r="F515" s="168">
        <v>7.0</v>
      </c>
      <c r="G515" s="168">
        <v>7.0</v>
      </c>
      <c r="H515" s="183">
        <v>27486.39</v>
      </c>
      <c r="I515" s="184">
        <v>6265.16</v>
      </c>
      <c r="J515" s="168">
        <v>6.0</v>
      </c>
      <c r="K515" s="168">
        <v>9.0</v>
      </c>
      <c r="L515" s="168">
        <v>5.0</v>
      </c>
      <c r="M515" s="184">
        <v>-60837.16</v>
      </c>
      <c r="N515" s="184">
        <v>1981.0</v>
      </c>
      <c r="O515" s="184">
        <v>41959.13</v>
      </c>
      <c r="P515" s="184">
        <v>-39996.86</v>
      </c>
    </row>
    <row r="516">
      <c r="A516" s="168">
        <v>62.0</v>
      </c>
      <c r="B516" s="168">
        <v>44.0</v>
      </c>
      <c r="C516" s="168">
        <v>61.0</v>
      </c>
      <c r="D516" s="168">
        <v>17.0</v>
      </c>
      <c r="E516" s="168">
        <v>7.0</v>
      </c>
      <c r="F516" s="168">
        <v>4.0</v>
      </c>
      <c r="G516" s="168">
        <v>1.0</v>
      </c>
      <c r="H516" s="183">
        <v>-14171.29</v>
      </c>
      <c r="I516" s="184">
        <v>39128.24</v>
      </c>
      <c r="J516" s="168">
        <v>9.0</v>
      </c>
      <c r="K516" s="168">
        <v>8.0</v>
      </c>
      <c r="L516" s="168">
        <v>7.0</v>
      </c>
      <c r="M516" s="184">
        <v>17405.47</v>
      </c>
      <c r="N516" s="184">
        <v>72206.21</v>
      </c>
      <c r="O516" s="184">
        <v>76193.73</v>
      </c>
      <c r="P516" s="184">
        <v>-57780.39</v>
      </c>
    </row>
    <row r="517">
      <c r="A517" s="168">
        <v>35.0</v>
      </c>
      <c r="B517" s="168">
        <v>50.0</v>
      </c>
      <c r="C517" s="168">
        <v>10.0</v>
      </c>
      <c r="D517" s="168">
        <v>79.0</v>
      </c>
      <c r="E517" s="168">
        <v>5.0</v>
      </c>
      <c r="F517" s="168">
        <v>7.0</v>
      </c>
      <c r="G517" s="168">
        <v>6.0</v>
      </c>
      <c r="H517" s="183">
        <v>-12436.66</v>
      </c>
      <c r="I517" s="184">
        <v>72084.34</v>
      </c>
      <c r="J517" s="168">
        <v>5.0</v>
      </c>
      <c r="K517" s="168">
        <v>4.0</v>
      </c>
      <c r="L517" s="168">
        <v>9.0</v>
      </c>
      <c r="M517" s="184">
        <v>16409.72</v>
      </c>
      <c r="N517" s="184">
        <v>-60099.35</v>
      </c>
      <c r="O517" s="184">
        <v>43734.2</v>
      </c>
      <c r="P517" s="184">
        <v>74282.21</v>
      </c>
    </row>
    <row r="518">
      <c r="A518" s="168">
        <v>22.0</v>
      </c>
      <c r="B518" s="168">
        <v>21.0</v>
      </c>
      <c r="C518" s="168">
        <v>71.0</v>
      </c>
      <c r="D518" s="168">
        <v>20.0</v>
      </c>
      <c r="E518" s="168">
        <v>1.0</v>
      </c>
      <c r="F518" s="168">
        <v>1.0</v>
      </c>
      <c r="G518" s="168">
        <v>3.0</v>
      </c>
      <c r="H518" s="183">
        <v>76063.68</v>
      </c>
      <c r="I518" s="184">
        <v>-77661.01</v>
      </c>
      <c r="J518" s="168">
        <v>7.0</v>
      </c>
      <c r="K518" s="168">
        <v>8.0</v>
      </c>
      <c r="L518" s="168">
        <v>1.0</v>
      </c>
      <c r="M518" s="184">
        <v>-73922.79</v>
      </c>
      <c r="N518" s="184">
        <v>53624.55</v>
      </c>
      <c r="O518" s="184">
        <v>-62476.73</v>
      </c>
      <c r="P518" s="184">
        <v>56282.09</v>
      </c>
    </row>
    <row r="519">
      <c r="A519" s="168">
        <v>82.0</v>
      </c>
      <c r="B519" s="168">
        <v>74.0</v>
      </c>
      <c r="C519" s="168">
        <v>64.0</v>
      </c>
      <c r="D519" s="168">
        <v>77.0</v>
      </c>
      <c r="E519" s="168">
        <v>1.0</v>
      </c>
      <c r="F519" s="168">
        <v>6.0</v>
      </c>
      <c r="G519" s="168">
        <v>5.0</v>
      </c>
      <c r="H519" s="183">
        <v>-52533.42</v>
      </c>
      <c r="I519" s="184">
        <v>-96692.48</v>
      </c>
      <c r="J519" s="168">
        <v>9.0</v>
      </c>
      <c r="K519" s="168">
        <v>1.0</v>
      </c>
      <c r="L519" s="168">
        <v>3.0</v>
      </c>
      <c r="M519" s="184">
        <v>-90602.09</v>
      </c>
      <c r="N519" s="184">
        <v>-41901.86</v>
      </c>
      <c r="O519" s="184">
        <v>-29322.65</v>
      </c>
      <c r="P519" s="184">
        <v>55562.72</v>
      </c>
    </row>
    <row r="520">
      <c r="A520" s="168">
        <v>87.0</v>
      </c>
      <c r="B520" s="168">
        <v>53.0</v>
      </c>
      <c r="C520" s="168">
        <v>78.0</v>
      </c>
      <c r="D520" s="168">
        <v>68.0</v>
      </c>
      <c r="E520" s="168">
        <v>5.0</v>
      </c>
      <c r="F520" s="168">
        <v>3.0</v>
      </c>
      <c r="G520" s="168">
        <v>7.0</v>
      </c>
      <c r="H520" s="183">
        <v>56070.07</v>
      </c>
      <c r="I520" s="184">
        <v>87193.63</v>
      </c>
      <c r="J520" s="168">
        <v>1.0</v>
      </c>
      <c r="K520" s="168">
        <v>5.0</v>
      </c>
      <c r="L520" s="168">
        <v>4.0</v>
      </c>
      <c r="M520" s="184">
        <v>34066.26</v>
      </c>
      <c r="N520" s="184">
        <v>4167.27</v>
      </c>
      <c r="O520" s="184">
        <v>45967.13</v>
      </c>
      <c r="P520" s="184">
        <v>5331.28</v>
      </c>
    </row>
    <row r="521">
      <c r="A521" s="168">
        <v>55.0</v>
      </c>
      <c r="B521" s="168">
        <v>36.0</v>
      </c>
      <c r="C521" s="168">
        <v>15.0</v>
      </c>
      <c r="D521" s="168">
        <v>24.0</v>
      </c>
      <c r="E521" s="168">
        <v>3.0</v>
      </c>
      <c r="F521" s="168">
        <v>5.0</v>
      </c>
      <c r="G521" s="168">
        <v>1.0</v>
      </c>
      <c r="H521" s="183">
        <v>70017.49</v>
      </c>
      <c r="I521" s="184">
        <v>52022.21</v>
      </c>
      <c r="J521" s="168">
        <v>3.0</v>
      </c>
      <c r="K521" s="168">
        <v>3.0</v>
      </c>
      <c r="L521" s="168">
        <v>6.0</v>
      </c>
      <c r="M521" s="184">
        <v>-98183.28</v>
      </c>
      <c r="N521" s="184">
        <v>-96755.56</v>
      </c>
      <c r="O521" s="184">
        <v>23675.3</v>
      </c>
      <c r="P521" s="184">
        <v>78817.82</v>
      </c>
    </row>
    <row r="522">
      <c r="A522" s="168">
        <v>64.0</v>
      </c>
      <c r="B522" s="168">
        <v>26.0</v>
      </c>
      <c r="C522" s="168">
        <v>48.0</v>
      </c>
      <c r="D522" s="168">
        <v>11.0</v>
      </c>
      <c r="E522" s="168">
        <v>6.0</v>
      </c>
      <c r="F522" s="168">
        <v>7.0</v>
      </c>
      <c r="G522" s="168">
        <v>7.0</v>
      </c>
      <c r="H522" s="183">
        <v>-14322.61</v>
      </c>
      <c r="I522" s="184">
        <v>53608.08</v>
      </c>
      <c r="J522" s="168">
        <v>4.0</v>
      </c>
      <c r="K522" s="168">
        <v>2.0</v>
      </c>
      <c r="L522" s="168">
        <v>4.0</v>
      </c>
      <c r="M522" s="184">
        <v>2626.1</v>
      </c>
      <c r="N522" s="184">
        <v>25836.33</v>
      </c>
      <c r="O522" s="184">
        <v>-76616.25</v>
      </c>
      <c r="P522" s="184">
        <v>-89901.46</v>
      </c>
    </row>
    <row r="523">
      <c r="A523" s="168">
        <v>62.0</v>
      </c>
      <c r="B523" s="168">
        <v>14.0</v>
      </c>
      <c r="C523" s="168">
        <v>46.0</v>
      </c>
      <c r="D523" s="168">
        <v>42.0</v>
      </c>
      <c r="E523" s="168">
        <v>8.0</v>
      </c>
      <c r="F523" s="168">
        <v>1.0</v>
      </c>
      <c r="G523" s="168">
        <v>6.0</v>
      </c>
      <c r="H523" s="183">
        <v>25720.94</v>
      </c>
      <c r="I523" s="184">
        <v>29171.74</v>
      </c>
      <c r="J523" s="168">
        <v>6.0</v>
      </c>
      <c r="K523" s="168">
        <v>9.0</v>
      </c>
      <c r="L523" s="168">
        <v>9.0</v>
      </c>
      <c r="M523" s="184">
        <v>-30315.05</v>
      </c>
      <c r="N523" s="184">
        <v>-58571.03</v>
      </c>
      <c r="O523" s="184">
        <v>85680.17</v>
      </c>
      <c r="P523" s="184">
        <v>54519.92</v>
      </c>
    </row>
    <row r="524">
      <c r="A524" s="168">
        <v>60.0</v>
      </c>
      <c r="B524" s="168">
        <v>33.0</v>
      </c>
      <c r="C524" s="168">
        <v>59.0</v>
      </c>
      <c r="D524" s="168">
        <v>27.0</v>
      </c>
      <c r="E524" s="168">
        <v>8.0</v>
      </c>
      <c r="F524" s="168">
        <v>7.0</v>
      </c>
      <c r="G524" s="168">
        <v>6.0</v>
      </c>
      <c r="H524" s="183">
        <v>3473.11</v>
      </c>
      <c r="I524" s="184">
        <v>58123.25</v>
      </c>
      <c r="J524" s="168">
        <v>4.0</v>
      </c>
      <c r="K524" s="168">
        <v>6.0</v>
      </c>
      <c r="L524" s="168">
        <v>5.0</v>
      </c>
      <c r="M524" s="184">
        <v>79207.4</v>
      </c>
      <c r="N524" s="184">
        <v>-37192.63</v>
      </c>
      <c r="O524" s="184">
        <v>22446.83</v>
      </c>
      <c r="P524" s="184">
        <v>34837.97</v>
      </c>
    </row>
    <row r="525">
      <c r="A525" s="168">
        <v>71.0</v>
      </c>
      <c r="B525" s="168">
        <v>35.0</v>
      </c>
      <c r="C525" s="168">
        <v>15.0</v>
      </c>
      <c r="D525" s="168">
        <v>70.0</v>
      </c>
      <c r="E525" s="168">
        <v>5.0</v>
      </c>
      <c r="F525" s="168">
        <v>6.0</v>
      </c>
      <c r="G525" s="168">
        <v>7.0</v>
      </c>
      <c r="H525" s="183">
        <v>26041.23</v>
      </c>
      <c r="I525" s="184">
        <v>54404.81</v>
      </c>
      <c r="J525" s="168">
        <v>9.0</v>
      </c>
      <c r="K525" s="168">
        <v>5.0</v>
      </c>
      <c r="L525" s="168">
        <v>8.0</v>
      </c>
      <c r="M525" s="184">
        <v>45946.77</v>
      </c>
      <c r="N525" s="184">
        <v>-8176.03</v>
      </c>
      <c r="O525" s="184">
        <v>51833.41</v>
      </c>
      <c r="P525" s="184">
        <v>-77868.2</v>
      </c>
    </row>
    <row r="526">
      <c r="A526" s="168">
        <v>22.0</v>
      </c>
      <c r="B526" s="168">
        <v>60.0</v>
      </c>
      <c r="C526" s="168">
        <v>38.0</v>
      </c>
      <c r="D526" s="168">
        <v>62.0</v>
      </c>
      <c r="E526" s="168">
        <v>9.0</v>
      </c>
      <c r="F526" s="168">
        <v>6.0</v>
      </c>
      <c r="G526" s="168">
        <v>1.0</v>
      </c>
      <c r="H526" s="183">
        <v>25339.05</v>
      </c>
      <c r="I526" s="184">
        <v>51661.85</v>
      </c>
      <c r="J526" s="168">
        <v>5.0</v>
      </c>
      <c r="K526" s="168">
        <v>1.0</v>
      </c>
      <c r="L526" s="168">
        <v>3.0</v>
      </c>
      <c r="M526" s="184">
        <v>54993.22</v>
      </c>
      <c r="N526" s="184">
        <v>-62409.87</v>
      </c>
      <c r="O526" s="184">
        <v>-30875.04</v>
      </c>
      <c r="P526" s="184">
        <v>4557.29</v>
      </c>
    </row>
    <row r="527">
      <c r="A527" s="168">
        <v>87.0</v>
      </c>
      <c r="B527" s="168">
        <v>37.0</v>
      </c>
      <c r="C527" s="168">
        <v>99.0</v>
      </c>
      <c r="D527" s="168">
        <v>30.0</v>
      </c>
      <c r="E527" s="168">
        <v>7.0</v>
      </c>
      <c r="F527" s="168">
        <v>7.0</v>
      </c>
      <c r="G527" s="168">
        <v>7.0</v>
      </c>
      <c r="H527" s="183">
        <v>-92031.57</v>
      </c>
      <c r="I527" s="184">
        <v>72160.07</v>
      </c>
      <c r="J527" s="168">
        <v>8.0</v>
      </c>
      <c r="K527" s="168">
        <v>3.0</v>
      </c>
      <c r="L527" s="168">
        <v>1.0</v>
      </c>
      <c r="M527" s="184">
        <v>99805.88</v>
      </c>
      <c r="N527" s="184">
        <v>17252.19</v>
      </c>
      <c r="O527" s="184">
        <v>-37467.93</v>
      </c>
      <c r="P527" s="184">
        <v>-91664.11</v>
      </c>
    </row>
    <row r="528">
      <c r="A528" s="168">
        <v>25.0</v>
      </c>
      <c r="B528" s="168">
        <v>45.0</v>
      </c>
      <c r="C528" s="168">
        <v>54.0</v>
      </c>
      <c r="D528" s="168">
        <v>58.0</v>
      </c>
      <c r="E528" s="168">
        <v>9.0</v>
      </c>
      <c r="F528" s="168">
        <v>1.0</v>
      </c>
      <c r="G528" s="168">
        <v>6.0</v>
      </c>
      <c r="H528" s="183">
        <v>-76481.46</v>
      </c>
      <c r="I528" s="184">
        <v>19407.73</v>
      </c>
      <c r="J528" s="168">
        <v>3.0</v>
      </c>
      <c r="K528" s="168">
        <v>9.0</v>
      </c>
      <c r="L528" s="168">
        <v>7.0</v>
      </c>
      <c r="M528" s="184">
        <v>-72943.9</v>
      </c>
      <c r="N528" s="184">
        <v>-26344.38</v>
      </c>
      <c r="O528" s="184">
        <v>-13666.43</v>
      </c>
      <c r="P528" s="184">
        <v>-7357.13</v>
      </c>
    </row>
    <row r="529">
      <c r="A529" s="168">
        <v>85.0</v>
      </c>
      <c r="B529" s="168">
        <v>93.0</v>
      </c>
      <c r="C529" s="168">
        <v>87.0</v>
      </c>
      <c r="D529" s="168">
        <v>99.0</v>
      </c>
      <c r="E529" s="168">
        <v>9.0</v>
      </c>
      <c r="F529" s="168">
        <v>7.0</v>
      </c>
      <c r="G529" s="168">
        <v>9.0</v>
      </c>
      <c r="H529" s="183">
        <v>-34704.47</v>
      </c>
      <c r="I529" s="184">
        <v>80261.64</v>
      </c>
      <c r="J529" s="168">
        <v>1.0</v>
      </c>
      <c r="K529" s="168">
        <v>8.0</v>
      </c>
      <c r="L529" s="168">
        <v>4.0</v>
      </c>
      <c r="M529" s="184">
        <v>-85498.88</v>
      </c>
      <c r="N529" s="184">
        <v>-39990.92</v>
      </c>
      <c r="O529" s="184">
        <v>-40712.22</v>
      </c>
      <c r="P529" s="184">
        <v>-78393.61</v>
      </c>
    </row>
    <row r="530">
      <c r="A530" s="168">
        <v>46.0</v>
      </c>
      <c r="B530" s="168">
        <v>82.0</v>
      </c>
      <c r="C530" s="168">
        <v>23.0</v>
      </c>
      <c r="D530" s="168">
        <v>62.0</v>
      </c>
      <c r="E530" s="168">
        <v>1.0</v>
      </c>
      <c r="F530" s="168">
        <v>6.0</v>
      </c>
      <c r="G530" s="168">
        <v>5.0</v>
      </c>
      <c r="H530" s="183">
        <v>-66647.62</v>
      </c>
      <c r="I530" s="184">
        <v>-24862.09</v>
      </c>
      <c r="J530" s="168">
        <v>7.0</v>
      </c>
      <c r="K530" s="168">
        <v>7.0</v>
      </c>
      <c r="L530" s="168">
        <v>3.0</v>
      </c>
      <c r="M530" s="184">
        <v>-58195.42</v>
      </c>
      <c r="N530" s="184">
        <v>99826.1</v>
      </c>
      <c r="O530" s="184">
        <v>23752.18</v>
      </c>
      <c r="P530" s="184">
        <v>24762.0</v>
      </c>
    </row>
    <row r="531">
      <c r="A531" s="168">
        <v>66.0</v>
      </c>
      <c r="B531" s="168">
        <v>77.0</v>
      </c>
      <c r="C531" s="168">
        <v>34.0</v>
      </c>
      <c r="D531" s="168">
        <v>37.0</v>
      </c>
      <c r="E531" s="168">
        <v>9.0</v>
      </c>
      <c r="F531" s="168">
        <v>9.0</v>
      </c>
      <c r="G531" s="168">
        <v>8.0</v>
      </c>
      <c r="H531" s="183">
        <v>-8979.43</v>
      </c>
      <c r="I531" s="184">
        <v>-76495.52</v>
      </c>
      <c r="J531" s="168">
        <v>4.0</v>
      </c>
      <c r="K531" s="168">
        <v>7.0</v>
      </c>
      <c r="L531" s="168">
        <v>4.0</v>
      </c>
      <c r="M531" s="184">
        <v>96227.62</v>
      </c>
      <c r="N531" s="184">
        <v>-77304.77</v>
      </c>
      <c r="O531" s="184">
        <v>-39539.77</v>
      </c>
      <c r="P531" s="184">
        <v>56012.02</v>
      </c>
    </row>
    <row r="532">
      <c r="A532" s="168">
        <v>11.0</v>
      </c>
      <c r="B532" s="168">
        <v>77.0</v>
      </c>
      <c r="C532" s="168">
        <v>27.0</v>
      </c>
      <c r="D532" s="168">
        <v>69.0</v>
      </c>
      <c r="E532" s="168">
        <v>1.0</v>
      </c>
      <c r="F532" s="168">
        <v>5.0</v>
      </c>
      <c r="G532" s="168">
        <v>5.0</v>
      </c>
      <c r="H532" s="183">
        <v>-19703.99</v>
      </c>
      <c r="I532" s="184">
        <v>-27267.65</v>
      </c>
      <c r="J532" s="168">
        <v>3.0</v>
      </c>
      <c r="K532" s="168">
        <v>8.0</v>
      </c>
      <c r="L532" s="168">
        <v>9.0</v>
      </c>
      <c r="M532" s="184">
        <v>52156.18</v>
      </c>
      <c r="N532" s="184">
        <v>-25647.42</v>
      </c>
      <c r="O532" s="184">
        <v>-88631.87</v>
      </c>
      <c r="P532" s="184">
        <v>74562.62</v>
      </c>
    </row>
    <row r="533">
      <c r="A533" s="168">
        <v>48.0</v>
      </c>
      <c r="B533" s="168">
        <v>82.0</v>
      </c>
      <c r="C533" s="168">
        <v>72.0</v>
      </c>
      <c r="D533" s="168">
        <v>62.0</v>
      </c>
      <c r="E533" s="168">
        <v>2.0</v>
      </c>
      <c r="F533" s="168">
        <v>8.0</v>
      </c>
      <c r="G533" s="168">
        <v>4.0</v>
      </c>
      <c r="H533" s="183">
        <v>19235.95</v>
      </c>
      <c r="I533" s="184">
        <v>-26657.03</v>
      </c>
      <c r="J533" s="168">
        <v>4.0</v>
      </c>
      <c r="K533" s="168">
        <v>2.0</v>
      </c>
      <c r="L533" s="168">
        <v>4.0</v>
      </c>
      <c r="M533" s="184">
        <v>-30645.0</v>
      </c>
      <c r="N533" s="184">
        <v>-37393.33</v>
      </c>
      <c r="O533" s="184">
        <v>92053.29</v>
      </c>
      <c r="P533" s="184">
        <v>90994.54</v>
      </c>
    </row>
    <row r="534">
      <c r="A534" s="168">
        <v>96.0</v>
      </c>
      <c r="B534" s="168">
        <v>65.0</v>
      </c>
      <c r="C534" s="168">
        <v>29.0</v>
      </c>
      <c r="D534" s="168">
        <v>74.0</v>
      </c>
      <c r="E534" s="168">
        <v>6.0</v>
      </c>
      <c r="F534" s="168">
        <v>5.0</v>
      </c>
      <c r="G534" s="168">
        <v>8.0</v>
      </c>
      <c r="H534" s="183">
        <v>-8734.64</v>
      </c>
      <c r="I534" s="184">
        <v>-76489.76</v>
      </c>
      <c r="J534" s="168">
        <v>9.0</v>
      </c>
      <c r="K534" s="168">
        <v>5.0</v>
      </c>
      <c r="L534" s="168">
        <v>4.0</v>
      </c>
      <c r="M534" s="184">
        <v>74719.44</v>
      </c>
      <c r="N534" s="184">
        <v>84351.01</v>
      </c>
      <c r="O534" s="184">
        <v>-71865.53</v>
      </c>
      <c r="P534" s="184">
        <v>-29541.68</v>
      </c>
    </row>
    <row r="535">
      <c r="A535" s="168">
        <v>97.0</v>
      </c>
      <c r="B535" s="168">
        <v>36.0</v>
      </c>
      <c r="C535" s="168">
        <v>86.0</v>
      </c>
      <c r="D535" s="168">
        <v>51.0</v>
      </c>
      <c r="E535" s="168">
        <v>4.0</v>
      </c>
      <c r="F535" s="168">
        <v>4.0</v>
      </c>
      <c r="G535" s="168">
        <v>5.0</v>
      </c>
      <c r="H535" s="183">
        <v>-72238.14</v>
      </c>
      <c r="I535" s="184">
        <v>-71749.49</v>
      </c>
      <c r="J535" s="168">
        <v>4.0</v>
      </c>
      <c r="K535" s="168">
        <v>9.0</v>
      </c>
      <c r="L535" s="168">
        <v>1.0</v>
      </c>
      <c r="M535" s="184">
        <v>28680.46</v>
      </c>
      <c r="N535" s="184">
        <v>-68182.6</v>
      </c>
      <c r="O535" s="184">
        <v>-57844.29</v>
      </c>
      <c r="P535" s="184">
        <v>89031.5</v>
      </c>
    </row>
    <row r="536">
      <c r="A536" s="168">
        <v>94.0</v>
      </c>
      <c r="B536" s="168">
        <v>84.0</v>
      </c>
      <c r="C536" s="168">
        <v>38.0</v>
      </c>
      <c r="D536" s="168">
        <v>90.0</v>
      </c>
      <c r="E536" s="168">
        <v>1.0</v>
      </c>
      <c r="F536" s="168">
        <v>8.0</v>
      </c>
      <c r="G536" s="168">
        <v>2.0</v>
      </c>
      <c r="H536" s="183">
        <v>-47580.68</v>
      </c>
      <c r="I536" s="184">
        <v>-73701.64</v>
      </c>
      <c r="J536" s="168">
        <v>4.0</v>
      </c>
      <c r="K536" s="168">
        <v>8.0</v>
      </c>
      <c r="L536" s="168">
        <v>7.0</v>
      </c>
      <c r="M536" s="184">
        <v>-19765.19</v>
      </c>
      <c r="N536" s="184">
        <v>79089.97</v>
      </c>
      <c r="O536" s="184">
        <v>22318.17</v>
      </c>
      <c r="P536" s="184">
        <v>-35711.78</v>
      </c>
    </row>
    <row r="537">
      <c r="A537" s="168">
        <v>26.0</v>
      </c>
      <c r="B537" s="168">
        <v>60.0</v>
      </c>
      <c r="C537" s="168">
        <v>81.0</v>
      </c>
      <c r="D537" s="168">
        <v>63.0</v>
      </c>
      <c r="E537" s="168">
        <v>3.0</v>
      </c>
      <c r="F537" s="168">
        <v>5.0</v>
      </c>
      <c r="G537" s="168">
        <v>4.0</v>
      </c>
      <c r="H537" s="183">
        <v>-34780.79</v>
      </c>
      <c r="I537" s="184">
        <v>38863.07</v>
      </c>
      <c r="J537" s="168">
        <v>1.0</v>
      </c>
      <c r="K537" s="168">
        <v>7.0</v>
      </c>
      <c r="L537" s="168">
        <v>6.0</v>
      </c>
      <c r="M537" s="184">
        <v>74840.57</v>
      </c>
      <c r="N537" s="184">
        <v>4043.03</v>
      </c>
      <c r="O537" s="184">
        <v>72689.54</v>
      </c>
      <c r="P537" s="184">
        <v>50302.63</v>
      </c>
    </row>
    <row r="538">
      <c r="A538" s="168">
        <v>18.0</v>
      </c>
      <c r="B538" s="168">
        <v>40.0</v>
      </c>
      <c r="C538" s="168">
        <v>19.0</v>
      </c>
      <c r="D538" s="168">
        <v>83.0</v>
      </c>
      <c r="E538" s="168">
        <v>1.0</v>
      </c>
      <c r="F538" s="168">
        <v>2.0</v>
      </c>
      <c r="G538" s="168">
        <v>4.0</v>
      </c>
      <c r="H538" s="183">
        <v>75528.76</v>
      </c>
      <c r="I538" s="184">
        <v>30250.65</v>
      </c>
      <c r="J538" s="168">
        <v>7.0</v>
      </c>
      <c r="K538" s="168">
        <v>6.0</v>
      </c>
      <c r="L538" s="168">
        <v>2.0</v>
      </c>
      <c r="M538" s="184">
        <v>77691.62</v>
      </c>
      <c r="N538" s="184">
        <v>40608.23</v>
      </c>
      <c r="O538" s="184">
        <v>-59691.08</v>
      </c>
      <c r="P538" s="184">
        <v>86240.17</v>
      </c>
    </row>
    <row r="539">
      <c r="A539" s="168">
        <v>58.0</v>
      </c>
      <c r="B539" s="168">
        <v>29.0</v>
      </c>
      <c r="C539" s="168">
        <v>60.0</v>
      </c>
      <c r="D539" s="168">
        <v>47.0</v>
      </c>
      <c r="E539" s="168">
        <v>8.0</v>
      </c>
      <c r="F539" s="168">
        <v>4.0</v>
      </c>
      <c r="G539" s="168">
        <v>8.0</v>
      </c>
      <c r="H539" s="183">
        <v>45080.58</v>
      </c>
      <c r="I539" s="184">
        <v>-35874.74</v>
      </c>
      <c r="J539" s="168">
        <v>6.0</v>
      </c>
      <c r="K539" s="168">
        <v>3.0</v>
      </c>
      <c r="L539" s="168">
        <v>6.0</v>
      </c>
      <c r="M539" s="184">
        <v>31472.46</v>
      </c>
      <c r="N539" s="184">
        <v>-14857.38</v>
      </c>
      <c r="O539" s="184">
        <v>-73210.3</v>
      </c>
      <c r="P539" s="184">
        <v>-65365.6</v>
      </c>
    </row>
    <row r="540">
      <c r="A540" s="168">
        <v>38.0</v>
      </c>
      <c r="B540" s="168">
        <v>49.0</v>
      </c>
      <c r="C540" s="168">
        <v>14.0</v>
      </c>
      <c r="D540" s="168">
        <v>65.0</v>
      </c>
      <c r="E540" s="168">
        <v>2.0</v>
      </c>
      <c r="F540" s="168">
        <v>4.0</v>
      </c>
      <c r="G540" s="168">
        <v>1.0</v>
      </c>
      <c r="H540" s="183">
        <v>-54068.19</v>
      </c>
      <c r="I540" s="184">
        <v>-24157.04</v>
      </c>
      <c r="J540" s="168">
        <v>2.0</v>
      </c>
      <c r="K540" s="168">
        <v>3.0</v>
      </c>
      <c r="L540" s="168">
        <v>7.0</v>
      </c>
      <c r="M540" s="184">
        <v>-1625.27</v>
      </c>
      <c r="N540" s="184">
        <v>-14339.46</v>
      </c>
      <c r="O540" s="184">
        <v>91414.5</v>
      </c>
      <c r="P540" s="184">
        <v>85009.7</v>
      </c>
    </row>
    <row r="541">
      <c r="A541" s="168">
        <v>23.0</v>
      </c>
      <c r="B541" s="168">
        <v>37.0</v>
      </c>
      <c r="C541" s="168">
        <v>36.0</v>
      </c>
      <c r="D541" s="168">
        <v>69.0</v>
      </c>
      <c r="E541" s="168">
        <v>8.0</v>
      </c>
      <c r="F541" s="168">
        <v>8.0</v>
      </c>
      <c r="G541" s="168">
        <v>1.0</v>
      </c>
      <c r="H541" s="183">
        <v>29112.2</v>
      </c>
      <c r="I541" s="184">
        <v>-28931.41</v>
      </c>
      <c r="J541" s="168">
        <v>6.0</v>
      </c>
      <c r="K541" s="168">
        <v>6.0</v>
      </c>
      <c r="L541" s="168">
        <v>6.0</v>
      </c>
      <c r="M541" s="184">
        <v>91562.45</v>
      </c>
      <c r="N541" s="184">
        <v>62657.24</v>
      </c>
      <c r="O541" s="184">
        <v>-13472.35</v>
      </c>
      <c r="P541" s="184">
        <v>15859.08</v>
      </c>
    </row>
    <row r="542">
      <c r="A542" s="168">
        <v>77.0</v>
      </c>
      <c r="B542" s="168">
        <v>96.0</v>
      </c>
      <c r="C542" s="168">
        <v>42.0</v>
      </c>
      <c r="D542" s="168">
        <v>72.0</v>
      </c>
      <c r="E542" s="168">
        <v>6.0</v>
      </c>
      <c r="F542" s="168">
        <v>1.0</v>
      </c>
      <c r="G542" s="168">
        <v>8.0</v>
      </c>
      <c r="H542" s="183">
        <v>42164.57</v>
      </c>
      <c r="I542" s="184">
        <v>-83140.78</v>
      </c>
      <c r="J542" s="168">
        <v>7.0</v>
      </c>
      <c r="K542" s="168">
        <v>3.0</v>
      </c>
      <c r="L542" s="168">
        <v>5.0</v>
      </c>
      <c r="M542" s="184">
        <v>-45283.47</v>
      </c>
      <c r="N542" s="184">
        <v>17441.16</v>
      </c>
      <c r="O542" s="184">
        <v>77105.88</v>
      </c>
      <c r="P542" s="184">
        <v>-71366.74</v>
      </c>
    </row>
    <row r="543">
      <c r="A543" s="168">
        <v>55.0</v>
      </c>
      <c r="B543" s="168">
        <v>12.0</v>
      </c>
      <c r="C543" s="168">
        <v>99.0</v>
      </c>
      <c r="D543" s="168">
        <v>91.0</v>
      </c>
      <c r="E543" s="168">
        <v>9.0</v>
      </c>
      <c r="F543" s="168">
        <v>1.0</v>
      </c>
      <c r="G543" s="168">
        <v>6.0</v>
      </c>
      <c r="H543" s="183">
        <v>97671.32</v>
      </c>
      <c r="I543" s="184">
        <v>-25798.52</v>
      </c>
      <c r="J543" s="168">
        <v>6.0</v>
      </c>
      <c r="K543" s="168">
        <v>8.0</v>
      </c>
      <c r="L543" s="168">
        <v>7.0</v>
      </c>
      <c r="M543" s="184">
        <v>33072.24</v>
      </c>
      <c r="N543" s="184">
        <v>-61738.46</v>
      </c>
      <c r="O543" s="184">
        <v>-53924.2</v>
      </c>
      <c r="P543" s="184">
        <v>-47980.28</v>
      </c>
    </row>
    <row r="544">
      <c r="A544" s="168">
        <v>31.0</v>
      </c>
      <c r="B544" s="168">
        <v>81.0</v>
      </c>
      <c r="C544" s="168">
        <v>16.0</v>
      </c>
      <c r="D544" s="168">
        <v>96.0</v>
      </c>
      <c r="E544" s="168">
        <v>8.0</v>
      </c>
      <c r="F544" s="168">
        <v>8.0</v>
      </c>
      <c r="G544" s="168">
        <v>9.0</v>
      </c>
      <c r="H544" s="183">
        <v>-92253.66</v>
      </c>
      <c r="I544" s="184">
        <v>-41037.13</v>
      </c>
      <c r="J544" s="168">
        <v>5.0</v>
      </c>
      <c r="K544" s="168">
        <v>2.0</v>
      </c>
      <c r="L544" s="168">
        <v>8.0</v>
      </c>
      <c r="M544" s="184">
        <v>-26132.94</v>
      </c>
      <c r="N544" s="184">
        <v>-476.33</v>
      </c>
      <c r="O544" s="184">
        <v>-90916.01</v>
      </c>
      <c r="P544" s="184">
        <v>-55053.71</v>
      </c>
    </row>
    <row r="545">
      <c r="A545" s="168">
        <v>70.0</v>
      </c>
      <c r="B545" s="168">
        <v>99.0</v>
      </c>
      <c r="C545" s="168">
        <v>71.0</v>
      </c>
      <c r="D545" s="168">
        <v>18.0</v>
      </c>
      <c r="E545" s="168">
        <v>6.0</v>
      </c>
      <c r="F545" s="168">
        <v>6.0</v>
      </c>
      <c r="G545" s="168">
        <v>6.0</v>
      </c>
      <c r="H545" s="183">
        <v>7339.08</v>
      </c>
      <c r="I545" s="184">
        <v>18446.19</v>
      </c>
      <c r="J545" s="168">
        <v>7.0</v>
      </c>
      <c r="K545" s="168">
        <v>6.0</v>
      </c>
      <c r="L545" s="168">
        <v>7.0</v>
      </c>
      <c r="M545" s="184">
        <v>50398.8</v>
      </c>
      <c r="N545" s="184">
        <v>14688.18</v>
      </c>
      <c r="O545" s="184">
        <v>8223.57</v>
      </c>
      <c r="P545" s="184">
        <v>-72302.16</v>
      </c>
    </row>
    <row r="546">
      <c r="A546" s="168">
        <v>76.0</v>
      </c>
      <c r="B546" s="168">
        <v>39.0</v>
      </c>
      <c r="C546" s="168">
        <v>25.0</v>
      </c>
      <c r="D546" s="168">
        <v>36.0</v>
      </c>
      <c r="E546" s="168">
        <v>8.0</v>
      </c>
      <c r="F546" s="168">
        <v>9.0</v>
      </c>
      <c r="G546" s="168">
        <v>7.0</v>
      </c>
      <c r="H546" s="183">
        <v>-11237.69</v>
      </c>
      <c r="I546" s="184">
        <v>-78992.07</v>
      </c>
      <c r="J546" s="168">
        <v>8.0</v>
      </c>
      <c r="K546" s="168">
        <v>2.0</v>
      </c>
      <c r="L546" s="168">
        <v>5.0</v>
      </c>
      <c r="M546" s="184">
        <v>56883.06</v>
      </c>
      <c r="N546" s="184">
        <v>70370.9</v>
      </c>
      <c r="O546" s="184">
        <v>67628.98</v>
      </c>
      <c r="P546" s="184">
        <v>76059.37</v>
      </c>
    </row>
    <row r="547">
      <c r="A547" s="168">
        <v>89.0</v>
      </c>
      <c r="B547" s="168">
        <v>50.0</v>
      </c>
      <c r="C547" s="168">
        <v>75.0</v>
      </c>
      <c r="D547" s="168">
        <v>61.0</v>
      </c>
      <c r="E547" s="168">
        <v>5.0</v>
      </c>
      <c r="F547" s="168">
        <v>6.0</v>
      </c>
      <c r="G547" s="168">
        <v>7.0</v>
      </c>
      <c r="H547" s="183">
        <v>-11270.21</v>
      </c>
      <c r="I547" s="184">
        <v>-59449.67</v>
      </c>
      <c r="J547" s="168">
        <v>7.0</v>
      </c>
      <c r="K547" s="168">
        <v>9.0</v>
      </c>
      <c r="L547" s="168">
        <v>8.0</v>
      </c>
      <c r="M547" s="184">
        <v>40479.46</v>
      </c>
      <c r="N547" s="184">
        <v>63500.2</v>
      </c>
      <c r="O547" s="184">
        <v>-7912.53</v>
      </c>
      <c r="P547" s="184">
        <v>72027.05</v>
      </c>
    </row>
    <row r="548">
      <c r="A548" s="168">
        <v>53.0</v>
      </c>
      <c r="B548" s="168">
        <v>19.0</v>
      </c>
      <c r="C548" s="168">
        <v>44.0</v>
      </c>
      <c r="D548" s="168">
        <v>79.0</v>
      </c>
      <c r="E548" s="168">
        <v>3.0</v>
      </c>
      <c r="F548" s="168">
        <v>7.0</v>
      </c>
      <c r="G548" s="168">
        <v>4.0</v>
      </c>
      <c r="H548" s="183">
        <v>-26749.03</v>
      </c>
      <c r="I548" s="184">
        <v>-58657.48</v>
      </c>
      <c r="J548" s="168">
        <v>5.0</v>
      </c>
      <c r="K548" s="168">
        <v>8.0</v>
      </c>
      <c r="L548" s="168">
        <v>5.0</v>
      </c>
      <c r="M548" s="184">
        <v>88744.49</v>
      </c>
      <c r="N548" s="184">
        <v>-40651.71</v>
      </c>
      <c r="O548" s="184">
        <v>5399.43</v>
      </c>
      <c r="P548" s="184">
        <v>-27502.63</v>
      </c>
    </row>
    <row r="549">
      <c r="A549" s="168">
        <v>10.0</v>
      </c>
      <c r="B549" s="168">
        <v>33.0</v>
      </c>
      <c r="C549" s="168">
        <v>54.0</v>
      </c>
      <c r="D549" s="168">
        <v>99.0</v>
      </c>
      <c r="E549" s="168">
        <v>4.0</v>
      </c>
      <c r="F549" s="168">
        <v>7.0</v>
      </c>
      <c r="G549" s="168">
        <v>9.0</v>
      </c>
      <c r="H549" s="183">
        <v>19062.62</v>
      </c>
      <c r="I549" s="184">
        <v>-99332.3</v>
      </c>
      <c r="J549" s="168">
        <v>8.0</v>
      </c>
      <c r="K549" s="168">
        <v>6.0</v>
      </c>
      <c r="L549" s="168">
        <v>1.0</v>
      </c>
      <c r="M549" s="184">
        <v>47926.16</v>
      </c>
      <c r="N549" s="184">
        <v>24045.9</v>
      </c>
      <c r="O549" s="184">
        <v>52337.82</v>
      </c>
      <c r="P549" s="184">
        <v>55923.16</v>
      </c>
    </row>
    <row r="550">
      <c r="A550" s="168">
        <v>53.0</v>
      </c>
      <c r="B550" s="168">
        <v>44.0</v>
      </c>
      <c r="C550" s="168">
        <v>82.0</v>
      </c>
      <c r="D550" s="168">
        <v>46.0</v>
      </c>
      <c r="E550" s="168">
        <v>7.0</v>
      </c>
      <c r="F550" s="168">
        <v>4.0</v>
      </c>
      <c r="G550" s="168">
        <v>5.0</v>
      </c>
      <c r="H550" s="183">
        <v>8150.71</v>
      </c>
      <c r="I550" s="184">
        <v>27617.08</v>
      </c>
      <c r="J550" s="168">
        <v>5.0</v>
      </c>
      <c r="K550" s="168">
        <v>4.0</v>
      </c>
      <c r="L550" s="168">
        <v>2.0</v>
      </c>
      <c r="M550" s="184">
        <v>-64502.02</v>
      </c>
      <c r="N550" s="184">
        <v>82368.11</v>
      </c>
      <c r="O550" s="184">
        <v>-57433.28</v>
      </c>
      <c r="P550" s="184">
        <v>-20870.6</v>
      </c>
    </row>
    <row r="551">
      <c r="A551" s="168">
        <v>54.0</v>
      </c>
      <c r="B551" s="168">
        <v>82.0</v>
      </c>
      <c r="C551" s="168">
        <v>14.0</v>
      </c>
      <c r="D551" s="168">
        <v>16.0</v>
      </c>
      <c r="E551" s="168">
        <v>6.0</v>
      </c>
      <c r="F551" s="168">
        <v>9.0</v>
      </c>
      <c r="G551" s="168">
        <v>5.0</v>
      </c>
      <c r="H551" s="183">
        <v>31430.6</v>
      </c>
      <c r="I551" s="184">
        <v>42254.1</v>
      </c>
      <c r="J551" s="168">
        <v>1.0</v>
      </c>
      <c r="K551" s="168">
        <v>8.0</v>
      </c>
      <c r="L551" s="168">
        <v>6.0</v>
      </c>
      <c r="M551" s="184">
        <v>-88021.83</v>
      </c>
      <c r="N551" s="184">
        <v>13061.58</v>
      </c>
      <c r="O551" s="184">
        <v>-2271.63</v>
      </c>
      <c r="P551" s="184">
        <v>-16342.02</v>
      </c>
    </row>
    <row r="552">
      <c r="A552" s="168">
        <v>14.0</v>
      </c>
      <c r="B552" s="168">
        <v>43.0</v>
      </c>
      <c r="C552" s="168">
        <v>38.0</v>
      </c>
      <c r="D552" s="168">
        <v>37.0</v>
      </c>
      <c r="E552" s="168">
        <v>4.0</v>
      </c>
      <c r="F552" s="168">
        <v>5.0</v>
      </c>
      <c r="G552" s="168">
        <v>3.0</v>
      </c>
      <c r="H552" s="183">
        <v>57152.54</v>
      </c>
      <c r="I552" s="184">
        <v>-55143.79</v>
      </c>
      <c r="J552" s="168">
        <v>2.0</v>
      </c>
      <c r="K552" s="168">
        <v>9.0</v>
      </c>
      <c r="L552" s="168">
        <v>6.0</v>
      </c>
      <c r="M552" s="184">
        <v>12221.29</v>
      </c>
      <c r="N552" s="184">
        <v>-79354.67</v>
      </c>
      <c r="O552" s="184">
        <v>83402.24</v>
      </c>
      <c r="P552" s="184">
        <v>-93501.1</v>
      </c>
    </row>
    <row r="553">
      <c r="A553" s="168">
        <v>61.0</v>
      </c>
      <c r="B553" s="168">
        <v>44.0</v>
      </c>
      <c r="C553" s="168">
        <v>47.0</v>
      </c>
      <c r="D553" s="168">
        <v>39.0</v>
      </c>
      <c r="E553" s="168">
        <v>8.0</v>
      </c>
      <c r="F553" s="168">
        <v>5.0</v>
      </c>
      <c r="G553" s="168">
        <v>3.0</v>
      </c>
      <c r="H553" s="183">
        <v>15691.55</v>
      </c>
      <c r="I553" s="184">
        <v>81368.68</v>
      </c>
      <c r="J553" s="168">
        <v>6.0</v>
      </c>
      <c r="K553" s="168">
        <v>9.0</v>
      </c>
      <c r="L553" s="168">
        <v>1.0</v>
      </c>
      <c r="M553" s="184">
        <v>12838.33</v>
      </c>
      <c r="N553" s="184">
        <v>-8477.81</v>
      </c>
      <c r="O553" s="184">
        <v>76791.23</v>
      </c>
      <c r="P553" s="184">
        <v>-26424.52</v>
      </c>
    </row>
    <row r="554">
      <c r="A554" s="168">
        <v>90.0</v>
      </c>
      <c r="B554" s="168">
        <v>55.0</v>
      </c>
      <c r="C554" s="168">
        <v>56.0</v>
      </c>
      <c r="D554" s="168">
        <v>61.0</v>
      </c>
      <c r="E554" s="168">
        <v>4.0</v>
      </c>
      <c r="F554" s="168">
        <v>3.0</v>
      </c>
      <c r="G554" s="168">
        <v>1.0</v>
      </c>
      <c r="H554" s="183">
        <v>96076.18</v>
      </c>
      <c r="I554" s="184">
        <v>4066.09</v>
      </c>
      <c r="J554" s="168">
        <v>6.0</v>
      </c>
      <c r="K554" s="168">
        <v>7.0</v>
      </c>
      <c r="L554" s="168">
        <v>6.0</v>
      </c>
      <c r="M554" s="184">
        <v>-45076.03</v>
      </c>
      <c r="N554" s="184">
        <v>61646.56</v>
      </c>
      <c r="O554" s="184">
        <v>7755.8</v>
      </c>
      <c r="P554" s="184">
        <v>-78422.57</v>
      </c>
    </row>
    <row r="555">
      <c r="A555" s="168">
        <v>62.0</v>
      </c>
      <c r="B555" s="168">
        <v>33.0</v>
      </c>
      <c r="C555" s="168">
        <v>66.0</v>
      </c>
      <c r="D555" s="168">
        <v>48.0</v>
      </c>
      <c r="E555" s="168">
        <v>6.0</v>
      </c>
      <c r="F555" s="168">
        <v>3.0</v>
      </c>
      <c r="G555" s="168">
        <v>5.0</v>
      </c>
      <c r="H555" s="183">
        <v>10425.38</v>
      </c>
      <c r="I555" s="184">
        <v>-9241.23</v>
      </c>
      <c r="J555" s="168">
        <v>1.0</v>
      </c>
      <c r="K555" s="168">
        <v>9.0</v>
      </c>
      <c r="L555" s="168">
        <v>8.0</v>
      </c>
      <c r="M555" s="184">
        <v>-13239.35</v>
      </c>
      <c r="N555" s="184">
        <v>-50710.3</v>
      </c>
      <c r="O555" s="184">
        <v>48877.37</v>
      </c>
      <c r="P555" s="184">
        <v>-94697.96</v>
      </c>
    </row>
    <row r="556">
      <c r="A556" s="168">
        <v>68.0</v>
      </c>
      <c r="B556" s="168">
        <v>37.0</v>
      </c>
      <c r="C556" s="168">
        <v>26.0</v>
      </c>
      <c r="D556" s="168">
        <v>40.0</v>
      </c>
      <c r="E556" s="168">
        <v>4.0</v>
      </c>
      <c r="F556" s="168">
        <v>1.0</v>
      </c>
      <c r="G556" s="168">
        <v>9.0</v>
      </c>
      <c r="H556" s="183">
        <v>-54437.72</v>
      </c>
      <c r="I556" s="184">
        <v>86487.83</v>
      </c>
      <c r="J556" s="168">
        <v>6.0</v>
      </c>
      <c r="K556" s="168">
        <v>2.0</v>
      </c>
      <c r="L556" s="168">
        <v>8.0</v>
      </c>
      <c r="M556" s="184">
        <v>-35647.23</v>
      </c>
      <c r="N556" s="184">
        <v>67423.5</v>
      </c>
      <c r="O556" s="184">
        <v>8102.13</v>
      </c>
      <c r="P556" s="184">
        <v>-23947.36</v>
      </c>
    </row>
    <row r="557">
      <c r="A557" s="168">
        <v>99.0</v>
      </c>
      <c r="B557" s="168">
        <v>76.0</v>
      </c>
      <c r="C557" s="168">
        <v>64.0</v>
      </c>
      <c r="D557" s="168">
        <v>61.0</v>
      </c>
      <c r="E557" s="168">
        <v>5.0</v>
      </c>
      <c r="F557" s="168">
        <v>5.0</v>
      </c>
      <c r="G557" s="168">
        <v>1.0</v>
      </c>
      <c r="H557" s="183">
        <v>-59395.32</v>
      </c>
      <c r="I557" s="184">
        <v>7514.59</v>
      </c>
      <c r="J557" s="168">
        <v>8.0</v>
      </c>
      <c r="K557" s="168">
        <v>6.0</v>
      </c>
      <c r="L557" s="168">
        <v>2.0</v>
      </c>
      <c r="M557" s="184">
        <v>-71311.11</v>
      </c>
      <c r="N557" s="184">
        <v>-42196.01</v>
      </c>
      <c r="O557" s="184">
        <v>27896.71</v>
      </c>
      <c r="P557" s="184">
        <v>76527.41</v>
      </c>
    </row>
    <row r="558">
      <c r="A558" s="168">
        <v>50.0</v>
      </c>
      <c r="B558" s="168">
        <v>39.0</v>
      </c>
      <c r="C558" s="168">
        <v>22.0</v>
      </c>
      <c r="D558" s="168">
        <v>14.0</v>
      </c>
      <c r="E558" s="168">
        <v>7.0</v>
      </c>
      <c r="F558" s="168">
        <v>9.0</v>
      </c>
      <c r="G558" s="168">
        <v>7.0</v>
      </c>
      <c r="H558" s="183">
        <v>-94581.07</v>
      </c>
      <c r="I558" s="184">
        <v>60884.7</v>
      </c>
      <c r="J558" s="168">
        <v>8.0</v>
      </c>
      <c r="K558" s="168">
        <v>8.0</v>
      </c>
      <c r="L558" s="168">
        <v>5.0</v>
      </c>
      <c r="M558" s="184">
        <v>60981.37</v>
      </c>
      <c r="N558" s="184">
        <v>18706.83</v>
      </c>
      <c r="O558" s="184">
        <v>-74441.23</v>
      </c>
      <c r="P558" s="184">
        <v>65274.31</v>
      </c>
    </row>
    <row r="559">
      <c r="A559" s="168">
        <v>41.0</v>
      </c>
      <c r="B559" s="168">
        <v>11.0</v>
      </c>
      <c r="C559" s="168">
        <v>64.0</v>
      </c>
      <c r="D559" s="168">
        <v>64.0</v>
      </c>
      <c r="E559" s="168">
        <v>7.0</v>
      </c>
      <c r="F559" s="168">
        <v>1.0</v>
      </c>
      <c r="G559" s="168">
        <v>1.0</v>
      </c>
      <c r="H559" s="183">
        <v>-64974.84</v>
      </c>
      <c r="I559" s="184">
        <v>-27706.05</v>
      </c>
      <c r="J559" s="168">
        <v>2.0</v>
      </c>
      <c r="K559" s="168">
        <v>1.0</v>
      </c>
      <c r="L559" s="168">
        <v>4.0</v>
      </c>
      <c r="M559" s="184">
        <v>-94061.28</v>
      </c>
      <c r="N559" s="184">
        <v>44939.26</v>
      </c>
      <c r="O559" s="184">
        <v>-75607.67</v>
      </c>
      <c r="P559" s="184">
        <v>55480.43</v>
      </c>
    </row>
    <row r="560">
      <c r="A560" s="168">
        <v>71.0</v>
      </c>
      <c r="B560" s="168">
        <v>39.0</v>
      </c>
      <c r="C560" s="168">
        <v>22.0</v>
      </c>
      <c r="D560" s="168">
        <v>65.0</v>
      </c>
      <c r="E560" s="168">
        <v>7.0</v>
      </c>
      <c r="F560" s="168">
        <v>7.0</v>
      </c>
      <c r="G560" s="168">
        <v>7.0</v>
      </c>
      <c r="H560" s="183">
        <v>8460.48</v>
      </c>
      <c r="I560" s="184">
        <v>91208.28</v>
      </c>
      <c r="J560" s="168">
        <v>5.0</v>
      </c>
      <c r="K560" s="168">
        <v>8.0</v>
      </c>
      <c r="L560" s="168">
        <v>9.0</v>
      </c>
      <c r="M560" s="184">
        <v>54413.95</v>
      </c>
      <c r="N560" s="184">
        <v>55400.11</v>
      </c>
      <c r="O560" s="184">
        <v>-58278.48</v>
      </c>
      <c r="P560" s="184">
        <v>18473.33</v>
      </c>
    </row>
    <row r="561">
      <c r="A561" s="168">
        <v>63.0</v>
      </c>
      <c r="B561" s="168">
        <v>76.0</v>
      </c>
      <c r="C561" s="168">
        <v>15.0</v>
      </c>
      <c r="D561" s="168">
        <v>72.0</v>
      </c>
      <c r="E561" s="168">
        <v>8.0</v>
      </c>
      <c r="F561" s="168">
        <v>1.0</v>
      </c>
      <c r="G561" s="168">
        <v>7.0</v>
      </c>
      <c r="H561" s="183">
        <v>46223.4</v>
      </c>
      <c r="I561" s="184">
        <v>-57332.86</v>
      </c>
      <c r="J561" s="168">
        <v>4.0</v>
      </c>
      <c r="K561" s="168">
        <v>2.0</v>
      </c>
      <c r="L561" s="168">
        <v>9.0</v>
      </c>
      <c r="M561" s="184">
        <v>6524.37</v>
      </c>
      <c r="N561" s="184">
        <v>-99880.49</v>
      </c>
      <c r="O561" s="184">
        <v>9791.69</v>
      </c>
      <c r="P561" s="184">
        <v>80389.35</v>
      </c>
    </row>
    <row r="562">
      <c r="A562" s="168">
        <v>75.0</v>
      </c>
      <c r="B562" s="168">
        <v>16.0</v>
      </c>
      <c r="C562" s="168">
        <v>75.0</v>
      </c>
      <c r="D562" s="168">
        <v>29.0</v>
      </c>
      <c r="E562" s="168">
        <v>8.0</v>
      </c>
      <c r="F562" s="168">
        <v>7.0</v>
      </c>
      <c r="G562" s="168">
        <v>3.0</v>
      </c>
      <c r="H562" s="183">
        <v>63552.29</v>
      </c>
      <c r="I562" s="184">
        <v>-90634.6</v>
      </c>
      <c r="J562" s="168">
        <v>9.0</v>
      </c>
      <c r="K562" s="168">
        <v>2.0</v>
      </c>
      <c r="L562" s="168">
        <v>8.0</v>
      </c>
      <c r="M562" s="184">
        <v>-27609.64</v>
      </c>
      <c r="N562" s="184">
        <v>15589.13</v>
      </c>
      <c r="O562" s="184">
        <v>-83999.12</v>
      </c>
      <c r="P562" s="184">
        <v>9714.57</v>
      </c>
    </row>
    <row r="563">
      <c r="A563" s="168">
        <v>70.0</v>
      </c>
      <c r="B563" s="168">
        <v>38.0</v>
      </c>
      <c r="C563" s="168">
        <v>41.0</v>
      </c>
      <c r="D563" s="168">
        <v>51.0</v>
      </c>
      <c r="E563" s="168">
        <v>4.0</v>
      </c>
      <c r="F563" s="168">
        <v>7.0</v>
      </c>
      <c r="G563" s="168">
        <v>5.0</v>
      </c>
      <c r="H563" s="183">
        <v>4861.72</v>
      </c>
      <c r="I563" s="184">
        <v>24046.25</v>
      </c>
      <c r="J563" s="168">
        <v>9.0</v>
      </c>
      <c r="K563" s="168">
        <v>4.0</v>
      </c>
      <c r="L563" s="168">
        <v>9.0</v>
      </c>
      <c r="M563" s="184">
        <v>1686.42</v>
      </c>
      <c r="N563" s="184">
        <v>-71061.07</v>
      </c>
      <c r="O563" s="184">
        <v>-64533.29</v>
      </c>
      <c r="P563" s="184">
        <v>73326.58</v>
      </c>
    </row>
    <row r="564">
      <c r="A564" s="168">
        <v>21.0</v>
      </c>
      <c r="B564" s="168">
        <v>25.0</v>
      </c>
      <c r="C564" s="168">
        <v>42.0</v>
      </c>
      <c r="D564" s="168">
        <v>24.0</v>
      </c>
      <c r="E564" s="168">
        <v>5.0</v>
      </c>
      <c r="F564" s="168">
        <v>3.0</v>
      </c>
      <c r="G564" s="168">
        <v>3.0</v>
      </c>
      <c r="H564" s="183">
        <v>51086.0</v>
      </c>
      <c r="I564" s="184">
        <v>44504.5</v>
      </c>
      <c r="J564" s="168">
        <v>8.0</v>
      </c>
      <c r="K564" s="168">
        <v>9.0</v>
      </c>
      <c r="L564" s="168">
        <v>8.0</v>
      </c>
      <c r="M564" s="184">
        <v>59276.96</v>
      </c>
      <c r="N564" s="184">
        <v>-35727.58</v>
      </c>
      <c r="O564" s="184">
        <v>-96719.71</v>
      </c>
      <c r="P564" s="184">
        <v>54039.46</v>
      </c>
    </row>
    <row r="565">
      <c r="A565" s="168">
        <v>37.0</v>
      </c>
      <c r="B565" s="168">
        <v>14.0</v>
      </c>
      <c r="C565" s="168">
        <v>51.0</v>
      </c>
      <c r="D565" s="168">
        <v>40.0</v>
      </c>
      <c r="E565" s="168">
        <v>8.0</v>
      </c>
      <c r="F565" s="168">
        <v>5.0</v>
      </c>
      <c r="G565" s="168">
        <v>7.0</v>
      </c>
      <c r="H565" s="183">
        <v>42493.8</v>
      </c>
      <c r="I565" s="184">
        <v>-83873.58</v>
      </c>
      <c r="J565" s="168">
        <v>9.0</v>
      </c>
      <c r="K565" s="168">
        <v>8.0</v>
      </c>
      <c r="L565" s="168">
        <v>8.0</v>
      </c>
      <c r="M565" s="184">
        <v>-4358.89</v>
      </c>
      <c r="N565" s="184">
        <v>-60784.11</v>
      </c>
      <c r="O565" s="184">
        <v>23401.04</v>
      </c>
      <c r="P565" s="184">
        <v>5858.71</v>
      </c>
    </row>
    <row r="566">
      <c r="A566" s="168">
        <v>96.0</v>
      </c>
      <c r="B566" s="168">
        <v>43.0</v>
      </c>
      <c r="C566" s="168">
        <v>98.0</v>
      </c>
      <c r="D566" s="168">
        <v>80.0</v>
      </c>
      <c r="E566" s="168">
        <v>3.0</v>
      </c>
      <c r="F566" s="168">
        <v>3.0</v>
      </c>
      <c r="G566" s="168">
        <v>2.0</v>
      </c>
      <c r="H566" s="183">
        <v>83305.1</v>
      </c>
      <c r="I566" s="184">
        <v>-93294.65</v>
      </c>
      <c r="J566" s="168">
        <v>8.0</v>
      </c>
      <c r="K566" s="168">
        <v>1.0</v>
      </c>
      <c r="L566" s="168">
        <v>6.0</v>
      </c>
      <c r="M566" s="184">
        <v>-56096.55</v>
      </c>
      <c r="N566" s="184">
        <v>46278.54</v>
      </c>
      <c r="O566" s="184">
        <v>90535.85</v>
      </c>
      <c r="P566" s="184">
        <v>473.5</v>
      </c>
    </row>
    <row r="567">
      <c r="A567" s="168">
        <v>68.0</v>
      </c>
      <c r="B567" s="168">
        <v>95.0</v>
      </c>
      <c r="C567" s="168">
        <v>53.0</v>
      </c>
      <c r="D567" s="168">
        <v>64.0</v>
      </c>
      <c r="E567" s="168">
        <v>5.0</v>
      </c>
      <c r="F567" s="168">
        <v>7.0</v>
      </c>
      <c r="G567" s="168">
        <v>1.0</v>
      </c>
      <c r="H567" s="183">
        <v>47619.93</v>
      </c>
      <c r="I567" s="184">
        <v>-52065.71</v>
      </c>
      <c r="J567" s="168">
        <v>8.0</v>
      </c>
      <c r="K567" s="168">
        <v>6.0</v>
      </c>
      <c r="L567" s="168">
        <v>5.0</v>
      </c>
      <c r="M567" s="184">
        <v>91531.08</v>
      </c>
      <c r="N567" s="184">
        <v>85881.36</v>
      </c>
      <c r="O567" s="184">
        <v>46608.28</v>
      </c>
      <c r="P567" s="184">
        <v>67047.4</v>
      </c>
    </row>
    <row r="568">
      <c r="A568" s="168">
        <v>96.0</v>
      </c>
      <c r="B568" s="168">
        <v>26.0</v>
      </c>
      <c r="C568" s="168">
        <v>15.0</v>
      </c>
      <c r="D568" s="168">
        <v>58.0</v>
      </c>
      <c r="E568" s="168">
        <v>4.0</v>
      </c>
      <c r="F568" s="168">
        <v>2.0</v>
      </c>
      <c r="G568" s="168">
        <v>6.0</v>
      </c>
      <c r="H568" s="183">
        <v>-27631.97</v>
      </c>
      <c r="I568" s="184">
        <v>-73253.63</v>
      </c>
      <c r="J568" s="168">
        <v>6.0</v>
      </c>
      <c r="K568" s="168">
        <v>1.0</v>
      </c>
      <c r="L568" s="168">
        <v>4.0</v>
      </c>
      <c r="M568" s="184">
        <v>-33846.66</v>
      </c>
      <c r="N568" s="184">
        <v>42201.07</v>
      </c>
      <c r="O568" s="184">
        <v>94767.72</v>
      </c>
      <c r="P568" s="184">
        <v>41382.68</v>
      </c>
    </row>
    <row r="569">
      <c r="A569" s="168">
        <v>61.0</v>
      </c>
      <c r="B569" s="168">
        <v>30.0</v>
      </c>
      <c r="C569" s="168">
        <v>71.0</v>
      </c>
      <c r="D569" s="168">
        <v>79.0</v>
      </c>
      <c r="E569" s="168">
        <v>5.0</v>
      </c>
      <c r="F569" s="168">
        <v>1.0</v>
      </c>
      <c r="G569" s="168">
        <v>7.0</v>
      </c>
      <c r="H569" s="183">
        <v>47117.72</v>
      </c>
      <c r="I569" s="184">
        <v>-25420.17</v>
      </c>
      <c r="J569" s="168">
        <v>5.0</v>
      </c>
      <c r="K569" s="168">
        <v>7.0</v>
      </c>
      <c r="L569" s="168">
        <v>1.0</v>
      </c>
      <c r="M569" s="184">
        <v>-40717.09</v>
      </c>
      <c r="N569" s="184">
        <v>60060.62</v>
      </c>
      <c r="O569" s="184">
        <v>81577.66</v>
      </c>
      <c r="P569" s="184">
        <v>-31059.93</v>
      </c>
    </row>
    <row r="570">
      <c r="A570" s="168">
        <v>63.0</v>
      </c>
      <c r="B570" s="168">
        <v>71.0</v>
      </c>
      <c r="C570" s="168">
        <v>66.0</v>
      </c>
      <c r="D570" s="168">
        <v>13.0</v>
      </c>
      <c r="E570" s="168">
        <v>4.0</v>
      </c>
      <c r="F570" s="168">
        <v>6.0</v>
      </c>
      <c r="G570" s="168">
        <v>3.0</v>
      </c>
      <c r="H570" s="183">
        <v>-95574.04</v>
      </c>
      <c r="I570" s="184">
        <v>-93705.37</v>
      </c>
      <c r="J570" s="168">
        <v>4.0</v>
      </c>
      <c r="K570" s="168">
        <v>3.0</v>
      </c>
      <c r="L570" s="168">
        <v>9.0</v>
      </c>
      <c r="M570" s="184">
        <v>-15132.53</v>
      </c>
      <c r="N570" s="184">
        <v>-83241.51</v>
      </c>
      <c r="O570" s="184">
        <v>90570.34</v>
      </c>
      <c r="P570" s="184">
        <v>-6695.86</v>
      </c>
    </row>
    <row r="571">
      <c r="A571" s="168">
        <v>64.0</v>
      </c>
      <c r="B571" s="168">
        <v>92.0</v>
      </c>
      <c r="C571" s="168">
        <v>99.0</v>
      </c>
      <c r="D571" s="168">
        <v>24.0</v>
      </c>
      <c r="E571" s="168">
        <v>7.0</v>
      </c>
      <c r="F571" s="168">
        <v>7.0</v>
      </c>
      <c r="G571" s="168">
        <v>4.0</v>
      </c>
      <c r="H571" s="183">
        <v>30891.12</v>
      </c>
      <c r="I571" s="184">
        <v>3963.86</v>
      </c>
      <c r="J571" s="168">
        <v>1.0</v>
      </c>
      <c r="K571" s="168">
        <v>1.0</v>
      </c>
      <c r="L571" s="168">
        <v>8.0</v>
      </c>
      <c r="M571" s="184">
        <v>-66943.7</v>
      </c>
      <c r="N571" s="184">
        <v>-95923.9</v>
      </c>
      <c r="O571" s="184">
        <v>-16929.65</v>
      </c>
      <c r="P571" s="184">
        <v>-601.98</v>
      </c>
    </row>
    <row r="572">
      <c r="A572" s="168">
        <v>89.0</v>
      </c>
      <c r="B572" s="168">
        <v>77.0</v>
      </c>
      <c r="C572" s="168">
        <v>90.0</v>
      </c>
      <c r="D572" s="168">
        <v>31.0</v>
      </c>
      <c r="E572" s="168">
        <v>8.0</v>
      </c>
      <c r="F572" s="168">
        <v>3.0</v>
      </c>
      <c r="G572" s="168">
        <v>3.0</v>
      </c>
      <c r="H572" s="183">
        <v>-73307.44</v>
      </c>
      <c r="I572" s="184">
        <v>18652.38</v>
      </c>
      <c r="J572" s="168">
        <v>9.0</v>
      </c>
      <c r="K572" s="168">
        <v>6.0</v>
      </c>
      <c r="L572" s="168">
        <v>1.0</v>
      </c>
      <c r="M572" s="184">
        <v>-28540.81</v>
      </c>
      <c r="N572" s="184">
        <v>-50372.15</v>
      </c>
      <c r="O572" s="184">
        <v>-65093.34</v>
      </c>
      <c r="P572" s="184">
        <v>28045.06</v>
      </c>
    </row>
    <row r="573">
      <c r="A573" s="168">
        <v>90.0</v>
      </c>
      <c r="B573" s="168">
        <v>94.0</v>
      </c>
      <c r="C573" s="168">
        <v>68.0</v>
      </c>
      <c r="D573" s="168">
        <v>90.0</v>
      </c>
      <c r="E573" s="168">
        <v>6.0</v>
      </c>
      <c r="F573" s="168">
        <v>4.0</v>
      </c>
      <c r="G573" s="168">
        <v>5.0</v>
      </c>
      <c r="H573" s="183">
        <v>-81617.22</v>
      </c>
      <c r="I573" s="184">
        <v>87142.39</v>
      </c>
      <c r="J573" s="168">
        <v>8.0</v>
      </c>
      <c r="K573" s="168">
        <v>4.0</v>
      </c>
      <c r="L573" s="168">
        <v>2.0</v>
      </c>
      <c r="M573" s="184">
        <v>81030.57</v>
      </c>
      <c r="N573" s="184">
        <v>-30668.7</v>
      </c>
      <c r="O573" s="184">
        <v>-56779.26</v>
      </c>
      <c r="P573" s="184">
        <v>61444.82</v>
      </c>
    </row>
    <row r="574">
      <c r="A574" s="168">
        <v>87.0</v>
      </c>
      <c r="B574" s="168">
        <v>82.0</v>
      </c>
      <c r="C574" s="168">
        <v>36.0</v>
      </c>
      <c r="D574" s="168">
        <v>70.0</v>
      </c>
      <c r="E574" s="168">
        <v>2.0</v>
      </c>
      <c r="F574" s="168">
        <v>3.0</v>
      </c>
      <c r="G574" s="168">
        <v>5.0</v>
      </c>
      <c r="H574" s="183">
        <v>-98825.83</v>
      </c>
      <c r="I574" s="184">
        <v>29796.88</v>
      </c>
      <c r="J574" s="168">
        <v>1.0</v>
      </c>
      <c r="K574" s="168">
        <v>2.0</v>
      </c>
      <c r="L574" s="168">
        <v>6.0</v>
      </c>
      <c r="M574" s="184">
        <v>33635.34</v>
      </c>
      <c r="N574" s="184">
        <v>23802.79</v>
      </c>
      <c r="O574" s="184">
        <v>95875.1</v>
      </c>
      <c r="P574" s="184">
        <v>-6791.87</v>
      </c>
    </row>
    <row r="575">
      <c r="A575" s="168">
        <v>64.0</v>
      </c>
      <c r="B575" s="168">
        <v>42.0</v>
      </c>
      <c r="C575" s="168">
        <v>49.0</v>
      </c>
      <c r="D575" s="168">
        <v>33.0</v>
      </c>
      <c r="E575" s="168">
        <v>2.0</v>
      </c>
      <c r="F575" s="168">
        <v>5.0</v>
      </c>
      <c r="G575" s="168">
        <v>9.0</v>
      </c>
      <c r="H575" s="183">
        <v>-56304.55</v>
      </c>
      <c r="I575" s="184">
        <v>-7996.6</v>
      </c>
      <c r="J575" s="168">
        <v>2.0</v>
      </c>
      <c r="K575" s="168">
        <v>8.0</v>
      </c>
      <c r="L575" s="168">
        <v>3.0</v>
      </c>
      <c r="M575" s="184">
        <v>-46025.05</v>
      </c>
      <c r="N575" s="184">
        <v>60977.54</v>
      </c>
      <c r="O575" s="184">
        <v>-97346.93</v>
      </c>
      <c r="P575" s="184">
        <v>-15810.42</v>
      </c>
    </row>
    <row r="576">
      <c r="A576" s="168">
        <v>40.0</v>
      </c>
      <c r="B576" s="168">
        <v>26.0</v>
      </c>
      <c r="C576" s="168">
        <v>92.0</v>
      </c>
      <c r="D576" s="168">
        <v>92.0</v>
      </c>
      <c r="E576" s="168">
        <v>7.0</v>
      </c>
      <c r="F576" s="168">
        <v>5.0</v>
      </c>
      <c r="G576" s="168">
        <v>3.0</v>
      </c>
      <c r="H576" s="183">
        <v>87221.9</v>
      </c>
      <c r="I576" s="184">
        <v>62883.44</v>
      </c>
      <c r="J576" s="168">
        <v>6.0</v>
      </c>
      <c r="K576" s="168">
        <v>3.0</v>
      </c>
      <c r="L576" s="168">
        <v>1.0</v>
      </c>
      <c r="M576" s="184">
        <v>-10116.83</v>
      </c>
      <c r="N576" s="184">
        <v>20347.85</v>
      </c>
      <c r="O576" s="184">
        <v>13237.71</v>
      </c>
      <c r="P576" s="184">
        <v>87204.1</v>
      </c>
    </row>
    <row r="577">
      <c r="A577" s="168">
        <v>44.0</v>
      </c>
      <c r="B577" s="168">
        <v>67.0</v>
      </c>
      <c r="C577" s="168">
        <v>89.0</v>
      </c>
      <c r="D577" s="168">
        <v>19.0</v>
      </c>
      <c r="E577" s="168">
        <v>2.0</v>
      </c>
      <c r="F577" s="168">
        <v>9.0</v>
      </c>
      <c r="G577" s="168">
        <v>7.0</v>
      </c>
      <c r="H577" s="183">
        <v>49063.67</v>
      </c>
      <c r="I577" s="184">
        <v>70711.39</v>
      </c>
      <c r="J577" s="168">
        <v>3.0</v>
      </c>
      <c r="K577" s="168">
        <v>4.0</v>
      </c>
      <c r="L577" s="168">
        <v>3.0</v>
      </c>
      <c r="M577" s="184">
        <v>-35581.97</v>
      </c>
      <c r="N577" s="184">
        <v>728.59</v>
      </c>
      <c r="O577" s="184">
        <v>-7205.39</v>
      </c>
      <c r="P577" s="184">
        <v>-67763.95</v>
      </c>
    </row>
    <row r="578">
      <c r="A578" s="168">
        <v>60.0</v>
      </c>
      <c r="B578" s="168">
        <v>26.0</v>
      </c>
      <c r="C578" s="168">
        <v>21.0</v>
      </c>
      <c r="D578" s="168">
        <v>24.0</v>
      </c>
      <c r="E578" s="168">
        <v>5.0</v>
      </c>
      <c r="F578" s="168">
        <v>3.0</v>
      </c>
      <c r="G578" s="168">
        <v>9.0</v>
      </c>
      <c r="H578" s="183">
        <v>92813.24</v>
      </c>
      <c r="I578" s="184">
        <v>-64436.38</v>
      </c>
      <c r="J578" s="168">
        <v>1.0</v>
      </c>
      <c r="K578" s="168">
        <v>7.0</v>
      </c>
      <c r="L578" s="168">
        <v>3.0</v>
      </c>
      <c r="M578" s="184">
        <v>16074.22</v>
      </c>
      <c r="N578" s="184">
        <v>-49375.76</v>
      </c>
      <c r="O578" s="184">
        <v>-29462.37</v>
      </c>
      <c r="P578" s="184">
        <v>67580.04</v>
      </c>
    </row>
    <row r="579">
      <c r="A579" s="168">
        <v>90.0</v>
      </c>
      <c r="B579" s="168">
        <v>66.0</v>
      </c>
      <c r="C579" s="168">
        <v>65.0</v>
      </c>
      <c r="D579" s="168">
        <v>29.0</v>
      </c>
      <c r="E579" s="168">
        <v>7.0</v>
      </c>
      <c r="F579" s="168">
        <v>7.0</v>
      </c>
      <c r="G579" s="168">
        <v>3.0</v>
      </c>
      <c r="H579" s="183">
        <v>41066.12</v>
      </c>
      <c r="I579" s="184">
        <v>-34280.14</v>
      </c>
      <c r="J579" s="168">
        <v>3.0</v>
      </c>
      <c r="K579" s="168">
        <v>6.0</v>
      </c>
      <c r="L579" s="168">
        <v>5.0</v>
      </c>
      <c r="M579" s="184">
        <v>-81309.58</v>
      </c>
      <c r="N579" s="184">
        <v>93908.25</v>
      </c>
      <c r="O579" s="184">
        <v>-41018.77</v>
      </c>
      <c r="P579" s="184">
        <v>-48936.98</v>
      </c>
    </row>
    <row r="580">
      <c r="A580" s="168">
        <v>40.0</v>
      </c>
      <c r="B580" s="168">
        <v>71.0</v>
      </c>
      <c r="C580" s="168">
        <v>58.0</v>
      </c>
      <c r="D580" s="168">
        <v>36.0</v>
      </c>
      <c r="E580" s="168">
        <v>7.0</v>
      </c>
      <c r="F580" s="168">
        <v>9.0</v>
      </c>
      <c r="G580" s="168">
        <v>7.0</v>
      </c>
      <c r="H580" s="183">
        <v>-8309.59</v>
      </c>
      <c r="I580" s="184">
        <v>-1216.66</v>
      </c>
      <c r="J580" s="168">
        <v>3.0</v>
      </c>
      <c r="K580" s="168">
        <v>6.0</v>
      </c>
      <c r="L580" s="168">
        <v>4.0</v>
      </c>
      <c r="M580" s="184">
        <v>-96502.66</v>
      </c>
      <c r="N580" s="184">
        <v>-14143.48</v>
      </c>
      <c r="O580" s="184">
        <v>-12352.92</v>
      </c>
      <c r="P580" s="184">
        <v>5633.8</v>
      </c>
    </row>
    <row r="581">
      <c r="A581" s="168">
        <v>67.0</v>
      </c>
      <c r="B581" s="168">
        <v>30.0</v>
      </c>
      <c r="C581" s="168">
        <v>25.0</v>
      </c>
      <c r="D581" s="168">
        <v>79.0</v>
      </c>
      <c r="E581" s="168">
        <v>1.0</v>
      </c>
      <c r="F581" s="168">
        <v>3.0</v>
      </c>
      <c r="G581" s="168">
        <v>1.0</v>
      </c>
      <c r="H581" s="183">
        <v>65079.48</v>
      </c>
      <c r="I581" s="184">
        <v>65399.86</v>
      </c>
      <c r="J581" s="168">
        <v>5.0</v>
      </c>
      <c r="K581" s="168">
        <v>2.0</v>
      </c>
      <c r="L581" s="168">
        <v>6.0</v>
      </c>
      <c r="M581" s="184">
        <v>-40969.58</v>
      </c>
      <c r="N581" s="184">
        <v>13059.6</v>
      </c>
      <c r="O581" s="184">
        <v>-73977.11</v>
      </c>
      <c r="P581" s="184">
        <v>-85548.36</v>
      </c>
    </row>
    <row r="582">
      <c r="A582" s="168">
        <v>71.0</v>
      </c>
      <c r="B582" s="168">
        <v>70.0</v>
      </c>
      <c r="C582" s="168">
        <v>35.0</v>
      </c>
      <c r="D582" s="168">
        <v>74.0</v>
      </c>
      <c r="E582" s="168">
        <v>6.0</v>
      </c>
      <c r="F582" s="168">
        <v>7.0</v>
      </c>
      <c r="G582" s="168">
        <v>4.0</v>
      </c>
      <c r="H582" s="183">
        <v>96649.86</v>
      </c>
      <c r="I582" s="184">
        <v>75675.39</v>
      </c>
      <c r="J582" s="168">
        <v>4.0</v>
      </c>
      <c r="K582" s="168">
        <v>5.0</v>
      </c>
      <c r="L582" s="168">
        <v>1.0</v>
      </c>
      <c r="M582" s="184">
        <v>87496.24</v>
      </c>
      <c r="N582" s="184">
        <v>86167.21</v>
      </c>
      <c r="O582" s="184">
        <v>66180.03</v>
      </c>
      <c r="P582" s="184">
        <v>-46589.76</v>
      </c>
    </row>
    <row r="583">
      <c r="A583" s="168">
        <v>87.0</v>
      </c>
      <c r="B583" s="168">
        <v>22.0</v>
      </c>
      <c r="C583" s="168">
        <v>95.0</v>
      </c>
      <c r="D583" s="168">
        <v>81.0</v>
      </c>
      <c r="E583" s="168">
        <v>9.0</v>
      </c>
      <c r="F583" s="168">
        <v>1.0</v>
      </c>
      <c r="G583" s="168">
        <v>4.0</v>
      </c>
      <c r="H583" s="183">
        <v>12971.59</v>
      </c>
      <c r="I583" s="184">
        <v>51826.59</v>
      </c>
      <c r="J583" s="168">
        <v>6.0</v>
      </c>
      <c r="K583" s="168">
        <v>2.0</v>
      </c>
      <c r="L583" s="168">
        <v>8.0</v>
      </c>
      <c r="M583" s="184">
        <v>-72192.66</v>
      </c>
      <c r="N583" s="184">
        <v>-54996.09</v>
      </c>
      <c r="O583" s="184">
        <v>23675.06</v>
      </c>
      <c r="P583" s="184">
        <v>97136.23</v>
      </c>
    </row>
    <row r="584">
      <c r="A584" s="168">
        <v>52.0</v>
      </c>
      <c r="B584" s="168">
        <v>85.0</v>
      </c>
      <c r="C584" s="168">
        <v>51.0</v>
      </c>
      <c r="D584" s="168">
        <v>37.0</v>
      </c>
      <c r="E584" s="168">
        <v>1.0</v>
      </c>
      <c r="F584" s="168">
        <v>4.0</v>
      </c>
      <c r="G584" s="168">
        <v>2.0</v>
      </c>
      <c r="H584" s="183">
        <v>93861.09</v>
      </c>
      <c r="I584" s="184">
        <v>46076.71</v>
      </c>
      <c r="J584" s="168">
        <v>1.0</v>
      </c>
      <c r="K584" s="168">
        <v>3.0</v>
      </c>
      <c r="L584" s="168">
        <v>5.0</v>
      </c>
      <c r="M584" s="184">
        <v>-96965.43</v>
      </c>
      <c r="N584" s="184">
        <v>24029.67</v>
      </c>
      <c r="O584" s="184">
        <v>-5050.39</v>
      </c>
      <c r="P584" s="184">
        <v>-76058.3</v>
      </c>
    </row>
    <row r="585">
      <c r="A585" s="168">
        <v>60.0</v>
      </c>
      <c r="B585" s="168">
        <v>19.0</v>
      </c>
      <c r="C585" s="168">
        <v>73.0</v>
      </c>
      <c r="D585" s="168">
        <v>76.0</v>
      </c>
      <c r="E585" s="168">
        <v>2.0</v>
      </c>
      <c r="F585" s="168">
        <v>4.0</v>
      </c>
      <c r="G585" s="168">
        <v>5.0</v>
      </c>
      <c r="H585" s="183">
        <v>-85523.18</v>
      </c>
      <c r="I585" s="184">
        <v>-62364.52</v>
      </c>
      <c r="J585" s="168">
        <v>8.0</v>
      </c>
      <c r="K585" s="168">
        <v>5.0</v>
      </c>
      <c r="L585" s="168">
        <v>6.0</v>
      </c>
      <c r="M585" s="184">
        <v>-56043.46</v>
      </c>
      <c r="N585" s="184">
        <v>-96304.48</v>
      </c>
      <c r="O585" s="184">
        <v>9175.44</v>
      </c>
      <c r="P585" s="184">
        <v>56903.57</v>
      </c>
    </row>
    <row r="586">
      <c r="A586" s="168">
        <v>60.0</v>
      </c>
      <c r="B586" s="168">
        <v>75.0</v>
      </c>
      <c r="C586" s="168">
        <v>15.0</v>
      </c>
      <c r="D586" s="168">
        <v>61.0</v>
      </c>
      <c r="E586" s="168">
        <v>7.0</v>
      </c>
      <c r="F586" s="168">
        <v>2.0</v>
      </c>
      <c r="G586" s="168">
        <v>2.0</v>
      </c>
      <c r="H586" s="183">
        <v>71645.52</v>
      </c>
      <c r="I586" s="184">
        <v>-46976.51</v>
      </c>
      <c r="J586" s="168">
        <v>5.0</v>
      </c>
      <c r="K586" s="168">
        <v>8.0</v>
      </c>
      <c r="L586" s="168">
        <v>4.0</v>
      </c>
      <c r="M586" s="184">
        <v>-53796.01</v>
      </c>
      <c r="N586" s="184">
        <v>29873.0</v>
      </c>
      <c r="O586" s="184">
        <v>82465.14</v>
      </c>
      <c r="P586" s="184">
        <v>-86545.22</v>
      </c>
    </row>
    <row r="587">
      <c r="A587" s="168">
        <v>81.0</v>
      </c>
      <c r="B587" s="168">
        <v>48.0</v>
      </c>
      <c r="C587" s="168">
        <v>17.0</v>
      </c>
      <c r="D587" s="168">
        <v>70.0</v>
      </c>
      <c r="E587" s="168">
        <v>8.0</v>
      </c>
      <c r="F587" s="168">
        <v>5.0</v>
      </c>
      <c r="G587" s="168">
        <v>6.0</v>
      </c>
      <c r="H587" s="183">
        <v>-30262.45</v>
      </c>
      <c r="I587" s="184">
        <v>-68218.39</v>
      </c>
      <c r="J587" s="168">
        <v>6.0</v>
      </c>
      <c r="K587" s="168">
        <v>6.0</v>
      </c>
      <c r="L587" s="168">
        <v>9.0</v>
      </c>
      <c r="M587" s="184">
        <v>70853.67</v>
      </c>
      <c r="N587" s="184">
        <v>28228.47</v>
      </c>
      <c r="O587" s="184">
        <v>-53287.58</v>
      </c>
      <c r="P587" s="184">
        <v>-15485.24</v>
      </c>
    </row>
    <row r="588">
      <c r="A588" s="168">
        <v>99.0</v>
      </c>
      <c r="B588" s="168">
        <v>80.0</v>
      </c>
      <c r="C588" s="168">
        <v>74.0</v>
      </c>
      <c r="D588" s="168">
        <v>38.0</v>
      </c>
      <c r="E588" s="168">
        <v>2.0</v>
      </c>
      <c r="F588" s="168">
        <v>2.0</v>
      </c>
      <c r="G588" s="168">
        <v>1.0</v>
      </c>
      <c r="H588" s="183">
        <v>-35123.72</v>
      </c>
      <c r="I588" s="184">
        <v>-45315.96</v>
      </c>
      <c r="J588" s="168">
        <v>4.0</v>
      </c>
      <c r="K588" s="168">
        <v>1.0</v>
      </c>
      <c r="L588" s="168">
        <v>9.0</v>
      </c>
      <c r="M588" s="184">
        <v>-30252.73</v>
      </c>
      <c r="N588" s="184">
        <v>12115.61</v>
      </c>
      <c r="O588" s="184">
        <v>56760.48</v>
      </c>
      <c r="P588" s="184">
        <v>37557.7</v>
      </c>
    </row>
    <row r="589">
      <c r="A589" s="168">
        <v>41.0</v>
      </c>
      <c r="B589" s="168">
        <v>14.0</v>
      </c>
      <c r="C589" s="168">
        <v>56.0</v>
      </c>
      <c r="D589" s="168">
        <v>98.0</v>
      </c>
      <c r="E589" s="168">
        <v>5.0</v>
      </c>
      <c r="F589" s="168">
        <v>6.0</v>
      </c>
      <c r="G589" s="168">
        <v>5.0</v>
      </c>
      <c r="H589" s="183">
        <v>-64116.79</v>
      </c>
      <c r="I589" s="184">
        <v>77926.08</v>
      </c>
      <c r="J589" s="168">
        <v>9.0</v>
      </c>
      <c r="K589" s="168">
        <v>6.0</v>
      </c>
      <c r="L589" s="168">
        <v>5.0</v>
      </c>
      <c r="M589" s="184">
        <v>-48061.61</v>
      </c>
      <c r="N589" s="184">
        <v>-71320.35</v>
      </c>
      <c r="O589" s="184">
        <v>74753.81</v>
      </c>
      <c r="P589" s="184">
        <v>-96673.21</v>
      </c>
    </row>
    <row r="590">
      <c r="A590" s="168">
        <v>10.0</v>
      </c>
      <c r="B590" s="168">
        <v>87.0</v>
      </c>
      <c r="C590" s="168">
        <v>52.0</v>
      </c>
      <c r="D590" s="168">
        <v>31.0</v>
      </c>
      <c r="E590" s="168">
        <v>7.0</v>
      </c>
      <c r="F590" s="168">
        <v>1.0</v>
      </c>
      <c r="G590" s="168">
        <v>3.0</v>
      </c>
      <c r="H590" s="183">
        <v>54084.11</v>
      </c>
      <c r="I590" s="184">
        <v>-24144.74</v>
      </c>
      <c r="J590" s="168">
        <v>9.0</v>
      </c>
      <c r="K590" s="168">
        <v>2.0</v>
      </c>
      <c r="L590" s="168">
        <v>4.0</v>
      </c>
      <c r="M590" s="184">
        <v>-65229.26</v>
      </c>
      <c r="N590" s="184">
        <v>42817.32</v>
      </c>
      <c r="O590" s="184">
        <v>79272.76</v>
      </c>
      <c r="P590" s="184">
        <v>45643.24</v>
      </c>
    </row>
    <row r="591">
      <c r="A591" s="168">
        <v>43.0</v>
      </c>
      <c r="B591" s="168">
        <v>37.0</v>
      </c>
      <c r="C591" s="168">
        <v>57.0</v>
      </c>
      <c r="D591" s="168">
        <v>56.0</v>
      </c>
      <c r="E591" s="168">
        <v>6.0</v>
      </c>
      <c r="F591" s="168">
        <v>5.0</v>
      </c>
      <c r="G591" s="168">
        <v>8.0</v>
      </c>
      <c r="H591" s="183">
        <v>48456.56</v>
      </c>
      <c r="I591" s="184">
        <v>7960.55</v>
      </c>
      <c r="J591" s="168">
        <v>5.0</v>
      </c>
      <c r="K591" s="168">
        <v>6.0</v>
      </c>
      <c r="L591" s="168">
        <v>8.0</v>
      </c>
      <c r="M591" s="184">
        <v>-54089.55</v>
      </c>
      <c r="N591" s="184">
        <v>25310.43</v>
      </c>
      <c r="O591" s="184">
        <v>-78281.87</v>
      </c>
      <c r="P591" s="184">
        <v>29537.75</v>
      </c>
    </row>
    <row r="592">
      <c r="A592" s="168">
        <v>64.0</v>
      </c>
      <c r="B592" s="168">
        <v>51.0</v>
      </c>
      <c r="C592" s="168">
        <v>18.0</v>
      </c>
      <c r="D592" s="168">
        <v>83.0</v>
      </c>
      <c r="E592" s="168">
        <v>4.0</v>
      </c>
      <c r="F592" s="168">
        <v>3.0</v>
      </c>
      <c r="G592" s="168">
        <v>2.0</v>
      </c>
      <c r="H592" s="183">
        <v>-70841.07</v>
      </c>
      <c r="I592" s="184">
        <v>24775.59</v>
      </c>
      <c r="J592" s="168">
        <v>4.0</v>
      </c>
      <c r="K592" s="168">
        <v>8.0</v>
      </c>
      <c r="L592" s="168">
        <v>1.0</v>
      </c>
      <c r="M592" s="184">
        <v>55584.45</v>
      </c>
      <c r="N592" s="184">
        <v>-38545.98</v>
      </c>
      <c r="O592" s="184">
        <v>-73929.37</v>
      </c>
      <c r="P592" s="184">
        <v>31026.12</v>
      </c>
    </row>
    <row r="593">
      <c r="A593" s="168">
        <v>64.0</v>
      </c>
      <c r="B593" s="168">
        <v>54.0</v>
      </c>
      <c r="C593" s="168">
        <v>14.0</v>
      </c>
      <c r="D593" s="168">
        <v>68.0</v>
      </c>
      <c r="E593" s="168">
        <v>4.0</v>
      </c>
      <c r="F593" s="168">
        <v>8.0</v>
      </c>
      <c r="G593" s="168">
        <v>5.0</v>
      </c>
      <c r="H593" s="183">
        <v>-13091.86</v>
      </c>
      <c r="I593" s="184">
        <v>-43168.58</v>
      </c>
      <c r="J593" s="168">
        <v>8.0</v>
      </c>
      <c r="K593" s="168">
        <v>3.0</v>
      </c>
      <c r="L593" s="168">
        <v>1.0</v>
      </c>
      <c r="M593" s="184">
        <v>-33609.99</v>
      </c>
      <c r="N593" s="184">
        <v>12459.59</v>
      </c>
      <c r="O593" s="184">
        <v>-54026.26</v>
      </c>
      <c r="P593" s="184">
        <v>68378.75</v>
      </c>
    </row>
    <row r="594">
      <c r="A594" s="168">
        <v>48.0</v>
      </c>
      <c r="B594" s="168">
        <v>53.0</v>
      </c>
      <c r="C594" s="168">
        <v>32.0</v>
      </c>
      <c r="D594" s="168">
        <v>95.0</v>
      </c>
      <c r="E594" s="168">
        <v>6.0</v>
      </c>
      <c r="F594" s="168">
        <v>2.0</v>
      </c>
      <c r="G594" s="168">
        <v>3.0</v>
      </c>
      <c r="H594" s="183">
        <v>-65474.0</v>
      </c>
      <c r="I594" s="184">
        <v>20147.41</v>
      </c>
      <c r="J594" s="168">
        <v>1.0</v>
      </c>
      <c r="K594" s="168">
        <v>9.0</v>
      </c>
      <c r="L594" s="168">
        <v>5.0</v>
      </c>
      <c r="M594" s="184">
        <v>-74016.65</v>
      </c>
      <c r="N594" s="184">
        <v>-21049.4</v>
      </c>
      <c r="O594" s="184">
        <v>26772.19</v>
      </c>
      <c r="P594" s="184">
        <v>95392.17</v>
      </c>
    </row>
    <row r="595">
      <c r="A595" s="168">
        <v>82.0</v>
      </c>
      <c r="B595" s="168">
        <v>28.0</v>
      </c>
      <c r="C595" s="168">
        <v>67.0</v>
      </c>
      <c r="D595" s="168">
        <v>12.0</v>
      </c>
      <c r="E595" s="168">
        <v>8.0</v>
      </c>
      <c r="F595" s="168">
        <v>5.0</v>
      </c>
      <c r="G595" s="168">
        <v>8.0</v>
      </c>
      <c r="H595" s="183">
        <v>6634.85</v>
      </c>
      <c r="I595" s="184">
        <v>-9678.08</v>
      </c>
      <c r="J595" s="168">
        <v>1.0</v>
      </c>
      <c r="K595" s="168">
        <v>3.0</v>
      </c>
      <c r="L595" s="168">
        <v>4.0</v>
      </c>
      <c r="M595" s="184">
        <v>87433.24</v>
      </c>
      <c r="N595" s="184">
        <v>59016.41</v>
      </c>
      <c r="O595" s="184">
        <v>10827.05</v>
      </c>
      <c r="P595" s="184">
        <v>30833.4</v>
      </c>
    </row>
    <row r="596">
      <c r="A596" s="168">
        <v>58.0</v>
      </c>
      <c r="B596" s="168">
        <v>31.0</v>
      </c>
      <c r="C596" s="168">
        <v>77.0</v>
      </c>
      <c r="D596" s="168">
        <v>76.0</v>
      </c>
      <c r="E596" s="168">
        <v>6.0</v>
      </c>
      <c r="F596" s="168">
        <v>3.0</v>
      </c>
      <c r="G596" s="168">
        <v>1.0</v>
      </c>
      <c r="H596" s="183">
        <v>36962.38</v>
      </c>
      <c r="I596" s="184">
        <v>-67633.71</v>
      </c>
      <c r="J596" s="168">
        <v>5.0</v>
      </c>
      <c r="K596" s="168">
        <v>5.0</v>
      </c>
      <c r="L596" s="168">
        <v>9.0</v>
      </c>
      <c r="M596" s="184">
        <v>-22973.84</v>
      </c>
      <c r="N596" s="184">
        <v>-25619.44</v>
      </c>
      <c r="O596" s="184">
        <v>97240.79</v>
      </c>
      <c r="P596" s="184">
        <v>-29433.93</v>
      </c>
    </row>
    <row r="597">
      <c r="A597" s="168">
        <v>52.0</v>
      </c>
      <c r="B597" s="168">
        <v>70.0</v>
      </c>
      <c r="C597" s="168">
        <v>63.0</v>
      </c>
      <c r="D597" s="168">
        <v>25.0</v>
      </c>
      <c r="E597" s="168">
        <v>4.0</v>
      </c>
      <c r="F597" s="168">
        <v>8.0</v>
      </c>
      <c r="G597" s="168">
        <v>6.0</v>
      </c>
      <c r="H597" s="183">
        <v>19197.97</v>
      </c>
      <c r="I597" s="184">
        <v>15275.9</v>
      </c>
      <c r="J597" s="168">
        <v>4.0</v>
      </c>
      <c r="K597" s="168">
        <v>4.0</v>
      </c>
      <c r="L597" s="168">
        <v>2.0</v>
      </c>
      <c r="M597" s="184">
        <v>51271.22</v>
      </c>
      <c r="N597" s="184">
        <v>-3511.9</v>
      </c>
      <c r="O597" s="184">
        <v>-46758.05</v>
      </c>
      <c r="P597" s="184">
        <v>-26916.99</v>
      </c>
    </row>
    <row r="598">
      <c r="A598" s="168">
        <v>70.0</v>
      </c>
      <c r="B598" s="168">
        <v>10.0</v>
      </c>
      <c r="C598" s="168">
        <v>36.0</v>
      </c>
      <c r="D598" s="168">
        <v>49.0</v>
      </c>
      <c r="E598" s="168">
        <v>7.0</v>
      </c>
      <c r="F598" s="168">
        <v>1.0</v>
      </c>
      <c r="G598" s="168">
        <v>6.0</v>
      </c>
      <c r="H598" s="183">
        <v>48258.39</v>
      </c>
      <c r="I598" s="184">
        <v>46184.6</v>
      </c>
      <c r="J598" s="168">
        <v>9.0</v>
      </c>
      <c r="K598" s="168">
        <v>4.0</v>
      </c>
      <c r="L598" s="168">
        <v>9.0</v>
      </c>
      <c r="M598" s="184">
        <v>-71879.56</v>
      </c>
      <c r="N598" s="184">
        <v>-14152.41</v>
      </c>
      <c r="O598" s="184">
        <v>-80027.87</v>
      </c>
      <c r="P598" s="184">
        <v>84282.25</v>
      </c>
    </row>
    <row r="599">
      <c r="A599" s="168">
        <v>72.0</v>
      </c>
      <c r="B599" s="168">
        <v>68.0</v>
      </c>
      <c r="C599" s="168">
        <v>86.0</v>
      </c>
      <c r="D599" s="168">
        <v>61.0</v>
      </c>
      <c r="E599" s="168">
        <v>2.0</v>
      </c>
      <c r="F599" s="168">
        <v>6.0</v>
      </c>
      <c r="G599" s="168">
        <v>7.0</v>
      </c>
      <c r="H599" s="183">
        <v>3098.36</v>
      </c>
      <c r="I599" s="184">
        <v>88489.61</v>
      </c>
      <c r="J599" s="168">
        <v>2.0</v>
      </c>
      <c r="K599" s="168">
        <v>2.0</v>
      </c>
      <c r="L599" s="168">
        <v>6.0</v>
      </c>
      <c r="M599" s="184">
        <v>-51998.13</v>
      </c>
      <c r="N599" s="184">
        <v>-24439.43</v>
      </c>
      <c r="O599" s="184">
        <v>84254.95</v>
      </c>
      <c r="P599" s="184">
        <v>34585.25</v>
      </c>
    </row>
    <row r="600">
      <c r="A600" s="168">
        <v>85.0</v>
      </c>
      <c r="B600" s="168">
        <v>17.0</v>
      </c>
      <c r="C600" s="168">
        <v>11.0</v>
      </c>
      <c r="D600" s="168">
        <v>45.0</v>
      </c>
      <c r="E600" s="168">
        <v>3.0</v>
      </c>
      <c r="F600" s="168">
        <v>6.0</v>
      </c>
      <c r="G600" s="168">
        <v>7.0</v>
      </c>
      <c r="H600" s="183">
        <v>18459.66</v>
      </c>
      <c r="I600" s="184">
        <v>-35529.71</v>
      </c>
      <c r="J600" s="168">
        <v>9.0</v>
      </c>
      <c r="K600" s="168">
        <v>5.0</v>
      </c>
      <c r="L600" s="168">
        <v>9.0</v>
      </c>
      <c r="M600" s="184">
        <v>-81529.49</v>
      </c>
      <c r="N600" s="184">
        <v>-28449.04</v>
      </c>
      <c r="O600" s="184">
        <v>-26952.79</v>
      </c>
      <c r="P600" s="184">
        <v>20500.72</v>
      </c>
    </row>
    <row r="601">
      <c r="A601" s="168">
        <v>90.0</v>
      </c>
      <c r="B601" s="168">
        <v>21.0</v>
      </c>
      <c r="C601" s="168">
        <v>55.0</v>
      </c>
      <c r="D601" s="168">
        <v>20.0</v>
      </c>
      <c r="E601" s="168">
        <v>1.0</v>
      </c>
      <c r="F601" s="168">
        <v>7.0</v>
      </c>
      <c r="G601" s="168">
        <v>2.0</v>
      </c>
      <c r="H601" s="183">
        <v>-89181.6</v>
      </c>
      <c r="I601" s="184">
        <v>59038.96</v>
      </c>
      <c r="J601" s="168">
        <v>6.0</v>
      </c>
      <c r="K601" s="168">
        <v>8.0</v>
      </c>
      <c r="L601" s="168">
        <v>8.0</v>
      </c>
      <c r="M601" s="184">
        <v>-69980.41</v>
      </c>
      <c r="N601" s="184">
        <v>-23961.82</v>
      </c>
      <c r="O601" s="184">
        <v>28565.73</v>
      </c>
      <c r="P601" s="184">
        <v>-27377.65</v>
      </c>
    </row>
    <row r="602">
      <c r="A602" s="168">
        <v>91.0</v>
      </c>
      <c r="B602" s="168">
        <v>33.0</v>
      </c>
      <c r="C602" s="168">
        <v>73.0</v>
      </c>
      <c r="D602" s="168">
        <v>55.0</v>
      </c>
      <c r="E602" s="168">
        <v>2.0</v>
      </c>
      <c r="F602" s="168">
        <v>7.0</v>
      </c>
      <c r="G602" s="168">
        <v>9.0</v>
      </c>
      <c r="H602" s="183">
        <v>74256.83</v>
      </c>
      <c r="I602" s="184">
        <v>34998.78</v>
      </c>
      <c r="J602" s="168">
        <v>9.0</v>
      </c>
      <c r="K602" s="168">
        <v>5.0</v>
      </c>
      <c r="L602" s="168">
        <v>3.0</v>
      </c>
      <c r="M602" s="184">
        <v>48330.76</v>
      </c>
      <c r="N602" s="184">
        <v>-9339.61</v>
      </c>
      <c r="O602" s="184">
        <v>24326.42</v>
      </c>
      <c r="P602" s="184">
        <v>85111.33</v>
      </c>
    </row>
    <row r="603">
      <c r="A603" s="168">
        <v>75.0</v>
      </c>
      <c r="B603" s="168">
        <v>54.0</v>
      </c>
      <c r="C603" s="168">
        <v>44.0</v>
      </c>
      <c r="D603" s="168">
        <v>37.0</v>
      </c>
      <c r="E603" s="168">
        <v>2.0</v>
      </c>
      <c r="F603" s="168">
        <v>2.0</v>
      </c>
      <c r="G603" s="168">
        <v>3.0</v>
      </c>
      <c r="H603" s="183">
        <v>-14071.74</v>
      </c>
      <c r="I603" s="184">
        <v>-71752.05</v>
      </c>
      <c r="J603" s="168">
        <v>8.0</v>
      </c>
      <c r="K603" s="168">
        <v>9.0</v>
      </c>
      <c r="L603" s="168">
        <v>3.0</v>
      </c>
      <c r="M603" s="184">
        <v>16960.92</v>
      </c>
      <c r="N603" s="184">
        <v>-75335.36</v>
      </c>
      <c r="O603" s="184">
        <v>-54371.0</v>
      </c>
      <c r="P603" s="184">
        <v>70409.9</v>
      </c>
    </row>
    <row r="604">
      <c r="A604" s="168">
        <v>76.0</v>
      </c>
      <c r="B604" s="168">
        <v>48.0</v>
      </c>
      <c r="C604" s="168">
        <v>45.0</v>
      </c>
      <c r="D604" s="168">
        <v>27.0</v>
      </c>
      <c r="E604" s="168">
        <v>8.0</v>
      </c>
      <c r="F604" s="168">
        <v>9.0</v>
      </c>
      <c r="G604" s="168">
        <v>8.0</v>
      </c>
      <c r="H604" s="183">
        <v>-60598.31</v>
      </c>
      <c r="I604" s="184">
        <v>-9652.37</v>
      </c>
      <c r="J604" s="168">
        <v>3.0</v>
      </c>
      <c r="K604" s="168">
        <v>3.0</v>
      </c>
      <c r="L604" s="168">
        <v>7.0</v>
      </c>
      <c r="M604" s="184">
        <v>-79826.89</v>
      </c>
      <c r="N604" s="184">
        <v>43665.36</v>
      </c>
      <c r="O604" s="184">
        <v>-62122.28</v>
      </c>
      <c r="P604" s="184">
        <v>76070.54</v>
      </c>
    </row>
    <row r="605">
      <c r="A605" s="168">
        <v>57.0</v>
      </c>
      <c r="B605" s="168">
        <v>43.0</v>
      </c>
      <c r="C605" s="168">
        <v>41.0</v>
      </c>
      <c r="D605" s="168">
        <v>54.0</v>
      </c>
      <c r="E605" s="168">
        <v>4.0</v>
      </c>
      <c r="F605" s="168">
        <v>3.0</v>
      </c>
      <c r="G605" s="168">
        <v>2.0</v>
      </c>
      <c r="H605" s="183">
        <v>21693.34</v>
      </c>
      <c r="I605" s="184">
        <v>-59422.79</v>
      </c>
      <c r="J605" s="168">
        <v>3.0</v>
      </c>
      <c r="K605" s="168">
        <v>4.0</v>
      </c>
      <c r="L605" s="168">
        <v>7.0</v>
      </c>
      <c r="M605" s="184">
        <v>96366.96</v>
      </c>
      <c r="N605" s="184">
        <v>76973.02</v>
      </c>
      <c r="O605" s="184">
        <v>2395.31</v>
      </c>
      <c r="P605" s="184">
        <v>-73917.79</v>
      </c>
    </row>
    <row r="606">
      <c r="A606" s="168">
        <v>34.0</v>
      </c>
      <c r="B606" s="168">
        <v>21.0</v>
      </c>
      <c r="C606" s="168">
        <v>67.0</v>
      </c>
      <c r="D606" s="168">
        <v>76.0</v>
      </c>
      <c r="E606" s="168">
        <v>9.0</v>
      </c>
      <c r="F606" s="168">
        <v>8.0</v>
      </c>
      <c r="G606" s="168">
        <v>4.0</v>
      </c>
      <c r="H606" s="183">
        <v>-54284.91</v>
      </c>
      <c r="I606" s="184">
        <v>-58.93</v>
      </c>
      <c r="J606" s="168">
        <v>7.0</v>
      </c>
      <c r="K606" s="168">
        <v>1.0</v>
      </c>
      <c r="L606" s="168">
        <v>2.0</v>
      </c>
      <c r="M606" s="184">
        <v>-99621.47</v>
      </c>
      <c r="N606" s="184">
        <v>65646.51</v>
      </c>
      <c r="O606" s="184">
        <v>8443.08</v>
      </c>
      <c r="P606" s="184">
        <v>23945.11</v>
      </c>
    </row>
    <row r="607">
      <c r="A607" s="168">
        <v>54.0</v>
      </c>
      <c r="B607" s="168">
        <v>25.0</v>
      </c>
      <c r="C607" s="168">
        <v>89.0</v>
      </c>
      <c r="D607" s="168">
        <v>28.0</v>
      </c>
      <c r="E607" s="168">
        <v>9.0</v>
      </c>
      <c r="F607" s="168">
        <v>2.0</v>
      </c>
      <c r="G607" s="168">
        <v>2.0</v>
      </c>
      <c r="H607" s="183">
        <v>-53955.71</v>
      </c>
      <c r="I607" s="184">
        <v>74136.46</v>
      </c>
      <c r="J607" s="168">
        <v>7.0</v>
      </c>
      <c r="K607" s="168">
        <v>7.0</v>
      </c>
      <c r="L607" s="168">
        <v>3.0</v>
      </c>
      <c r="M607" s="184">
        <v>3435.0</v>
      </c>
      <c r="N607" s="184">
        <v>43705.81</v>
      </c>
      <c r="O607" s="184">
        <v>80157.51</v>
      </c>
      <c r="P607" s="184">
        <v>-76909.99</v>
      </c>
    </row>
    <row r="608">
      <c r="A608" s="168">
        <v>85.0</v>
      </c>
      <c r="B608" s="168">
        <v>27.0</v>
      </c>
      <c r="C608" s="168">
        <v>87.0</v>
      </c>
      <c r="D608" s="168">
        <v>89.0</v>
      </c>
      <c r="E608" s="168">
        <v>2.0</v>
      </c>
      <c r="F608" s="168">
        <v>4.0</v>
      </c>
      <c r="G608" s="168">
        <v>7.0</v>
      </c>
      <c r="H608" s="183">
        <v>-35071.94</v>
      </c>
      <c r="I608" s="184">
        <v>33193.45</v>
      </c>
      <c r="J608" s="168">
        <v>2.0</v>
      </c>
      <c r="K608" s="168">
        <v>2.0</v>
      </c>
      <c r="L608" s="168">
        <v>4.0</v>
      </c>
      <c r="M608" s="184">
        <v>63204.22</v>
      </c>
      <c r="N608" s="184">
        <v>-12101.52</v>
      </c>
      <c r="O608" s="184">
        <v>-90168.19</v>
      </c>
      <c r="P608" s="184">
        <v>-31745.79</v>
      </c>
    </row>
    <row r="609">
      <c r="A609" s="168">
        <v>29.0</v>
      </c>
      <c r="B609" s="168">
        <v>98.0</v>
      </c>
      <c r="C609" s="168">
        <v>20.0</v>
      </c>
      <c r="D609" s="168">
        <v>67.0</v>
      </c>
      <c r="E609" s="168">
        <v>2.0</v>
      </c>
      <c r="F609" s="168">
        <v>2.0</v>
      </c>
      <c r="G609" s="168">
        <v>8.0</v>
      </c>
      <c r="H609" s="183">
        <v>-6515.06</v>
      </c>
      <c r="I609" s="184">
        <v>55786.21</v>
      </c>
      <c r="J609" s="168">
        <v>3.0</v>
      </c>
      <c r="K609" s="168">
        <v>3.0</v>
      </c>
      <c r="L609" s="168">
        <v>5.0</v>
      </c>
      <c r="M609" s="184">
        <v>84968.53</v>
      </c>
      <c r="N609" s="184">
        <v>-26312.41</v>
      </c>
      <c r="O609" s="184">
        <v>-46195.41</v>
      </c>
      <c r="P609" s="184">
        <v>60323.78</v>
      </c>
    </row>
    <row r="610">
      <c r="A610" s="168">
        <v>72.0</v>
      </c>
      <c r="B610" s="168">
        <v>61.0</v>
      </c>
      <c r="C610" s="168">
        <v>34.0</v>
      </c>
      <c r="D610" s="168">
        <v>90.0</v>
      </c>
      <c r="E610" s="168">
        <v>7.0</v>
      </c>
      <c r="F610" s="168">
        <v>7.0</v>
      </c>
      <c r="G610" s="168">
        <v>1.0</v>
      </c>
      <c r="H610" s="183">
        <v>19462.6</v>
      </c>
      <c r="I610" s="184">
        <v>3218.25</v>
      </c>
      <c r="J610" s="168">
        <v>4.0</v>
      </c>
      <c r="K610" s="168">
        <v>2.0</v>
      </c>
      <c r="L610" s="168">
        <v>5.0</v>
      </c>
      <c r="M610" s="184">
        <v>2330.62</v>
      </c>
      <c r="N610" s="184">
        <v>-93480.95</v>
      </c>
      <c r="O610" s="184">
        <v>-29818.94</v>
      </c>
      <c r="P610" s="184">
        <v>-2056.6</v>
      </c>
    </row>
    <row r="611">
      <c r="A611" s="168">
        <v>58.0</v>
      </c>
      <c r="B611" s="168">
        <v>33.0</v>
      </c>
      <c r="C611" s="168">
        <v>44.0</v>
      </c>
      <c r="D611" s="168">
        <v>53.0</v>
      </c>
      <c r="E611" s="168">
        <v>3.0</v>
      </c>
      <c r="F611" s="168">
        <v>8.0</v>
      </c>
      <c r="G611" s="168">
        <v>7.0</v>
      </c>
      <c r="H611" s="183">
        <v>44182.24</v>
      </c>
      <c r="I611" s="184">
        <v>-65242.87</v>
      </c>
      <c r="J611" s="168">
        <v>5.0</v>
      </c>
      <c r="K611" s="168">
        <v>8.0</v>
      </c>
      <c r="L611" s="168">
        <v>8.0</v>
      </c>
      <c r="M611" s="184">
        <v>-15845.1</v>
      </c>
      <c r="N611" s="184">
        <v>11979.63</v>
      </c>
      <c r="O611" s="184">
        <v>-75221.51</v>
      </c>
      <c r="P611" s="184">
        <v>82654.98</v>
      </c>
    </row>
    <row r="612">
      <c r="A612" s="168">
        <v>19.0</v>
      </c>
      <c r="B612" s="168">
        <v>44.0</v>
      </c>
      <c r="C612" s="168">
        <v>38.0</v>
      </c>
      <c r="D612" s="168">
        <v>87.0</v>
      </c>
      <c r="E612" s="168">
        <v>5.0</v>
      </c>
      <c r="F612" s="168">
        <v>1.0</v>
      </c>
      <c r="G612" s="168">
        <v>8.0</v>
      </c>
      <c r="H612" s="183">
        <v>-16471.54</v>
      </c>
      <c r="I612" s="184">
        <v>9945.28</v>
      </c>
      <c r="J612" s="168">
        <v>5.0</v>
      </c>
      <c r="K612" s="168">
        <v>3.0</v>
      </c>
      <c r="L612" s="168">
        <v>4.0</v>
      </c>
      <c r="M612" s="184">
        <v>-7424.73</v>
      </c>
      <c r="N612" s="184">
        <v>20058.82</v>
      </c>
      <c r="O612" s="184">
        <v>-12006.1</v>
      </c>
      <c r="P612" s="184">
        <v>-73902.53</v>
      </c>
    </row>
    <row r="613">
      <c r="A613" s="168">
        <v>12.0</v>
      </c>
      <c r="B613" s="168">
        <v>18.0</v>
      </c>
      <c r="C613" s="168">
        <v>71.0</v>
      </c>
      <c r="D613" s="168">
        <v>54.0</v>
      </c>
      <c r="E613" s="168">
        <v>6.0</v>
      </c>
      <c r="F613" s="168">
        <v>7.0</v>
      </c>
      <c r="G613" s="168">
        <v>6.0</v>
      </c>
      <c r="H613" s="183">
        <v>45001.31</v>
      </c>
      <c r="I613" s="184">
        <v>56855.91</v>
      </c>
      <c r="J613" s="168">
        <v>8.0</v>
      </c>
      <c r="K613" s="168">
        <v>8.0</v>
      </c>
      <c r="L613" s="168">
        <v>5.0</v>
      </c>
      <c r="M613" s="184">
        <v>1950.52</v>
      </c>
      <c r="N613" s="184">
        <v>-58840.11</v>
      </c>
      <c r="O613" s="184">
        <v>-59993.53</v>
      </c>
      <c r="P613" s="184">
        <v>55187.67</v>
      </c>
    </row>
    <row r="614">
      <c r="A614" s="168">
        <v>28.0</v>
      </c>
      <c r="B614" s="168">
        <v>73.0</v>
      </c>
      <c r="C614" s="168">
        <v>84.0</v>
      </c>
      <c r="D614" s="168">
        <v>54.0</v>
      </c>
      <c r="E614" s="168">
        <v>7.0</v>
      </c>
      <c r="F614" s="168">
        <v>8.0</v>
      </c>
      <c r="G614" s="168">
        <v>3.0</v>
      </c>
      <c r="H614" s="183">
        <v>-61443.41</v>
      </c>
      <c r="I614" s="184">
        <v>90892.05</v>
      </c>
      <c r="J614" s="168">
        <v>4.0</v>
      </c>
      <c r="K614" s="168">
        <v>2.0</v>
      </c>
      <c r="L614" s="168">
        <v>3.0</v>
      </c>
      <c r="M614" s="184">
        <v>12662.16</v>
      </c>
      <c r="N614" s="184">
        <v>-23061.55</v>
      </c>
      <c r="O614" s="184">
        <v>70922.54</v>
      </c>
      <c r="P614" s="184">
        <v>8272.56</v>
      </c>
    </row>
    <row r="615">
      <c r="A615" s="168">
        <v>39.0</v>
      </c>
      <c r="B615" s="168">
        <v>68.0</v>
      </c>
      <c r="C615" s="168">
        <v>35.0</v>
      </c>
      <c r="D615" s="168">
        <v>71.0</v>
      </c>
      <c r="E615" s="168">
        <v>5.0</v>
      </c>
      <c r="F615" s="168">
        <v>6.0</v>
      </c>
      <c r="G615" s="168">
        <v>4.0</v>
      </c>
      <c r="H615" s="183">
        <v>46010.93</v>
      </c>
      <c r="I615" s="184">
        <v>17809.9</v>
      </c>
      <c r="J615" s="168">
        <v>5.0</v>
      </c>
      <c r="K615" s="168">
        <v>1.0</v>
      </c>
      <c r="L615" s="168">
        <v>9.0</v>
      </c>
      <c r="M615" s="184">
        <v>-77797.39</v>
      </c>
      <c r="N615" s="184">
        <v>-38080.52</v>
      </c>
      <c r="O615" s="184">
        <v>-42266.21</v>
      </c>
      <c r="P615" s="184">
        <v>-81283.72</v>
      </c>
    </row>
    <row r="616">
      <c r="A616" s="168">
        <v>35.0</v>
      </c>
      <c r="B616" s="168">
        <v>41.0</v>
      </c>
      <c r="C616" s="168">
        <v>92.0</v>
      </c>
      <c r="D616" s="168">
        <v>17.0</v>
      </c>
      <c r="E616" s="168">
        <v>8.0</v>
      </c>
      <c r="F616" s="168">
        <v>3.0</v>
      </c>
      <c r="G616" s="168">
        <v>5.0</v>
      </c>
      <c r="H616" s="183">
        <v>-58800.82</v>
      </c>
      <c r="I616" s="184">
        <v>71778.06</v>
      </c>
      <c r="J616" s="168">
        <v>3.0</v>
      </c>
      <c r="K616" s="168">
        <v>8.0</v>
      </c>
      <c r="L616" s="168">
        <v>2.0</v>
      </c>
      <c r="M616" s="184">
        <v>53612.72</v>
      </c>
      <c r="N616" s="184">
        <v>52606.16</v>
      </c>
      <c r="O616" s="184">
        <v>-7031.91</v>
      </c>
      <c r="P616" s="184">
        <v>-70941.54</v>
      </c>
    </row>
    <row r="617">
      <c r="A617" s="168">
        <v>71.0</v>
      </c>
      <c r="B617" s="168">
        <v>11.0</v>
      </c>
      <c r="C617" s="168">
        <v>16.0</v>
      </c>
      <c r="D617" s="168">
        <v>24.0</v>
      </c>
      <c r="E617" s="168">
        <v>7.0</v>
      </c>
      <c r="F617" s="168">
        <v>4.0</v>
      </c>
      <c r="G617" s="168">
        <v>7.0</v>
      </c>
      <c r="H617" s="183">
        <v>-35789.06</v>
      </c>
      <c r="I617" s="184">
        <v>-78191.85</v>
      </c>
      <c r="J617" s="168">
        <v>9.0</v>
      </c>
      <c r="K617" s="168">
        <v>1.0</v>
      </c>
      <c r="L617" s="168">
        <v>8.0</v>
      </c>
      <c r="M617" s="184">
        <v>28378.82</v>
      </c>
      <c r="N617" s="184">
        <v>-97283.77</v>
      </c>
      <c r="O617" s="184">
        <v>-94894.57</v>
      </c>
      <c r="P617" s="184">
        <v>-63587.66</v>
      </c>
    </row>
    <row r="618">
      <c r="A618" s="168">
        <v>76.0</v>
      </c>
      <c r="B618" s="168">
        <v>39.0</v>
      </c>
      <c r="C618" s="168">
        <v>61.0</v>
      </c>
      <c r="D618" s="168">
        <v>80.0</v>
      </c>
      <c r="E618" s="168">
        <v>6.0</v>
      </c>
      <c r="F618" s="168">
        <v>5.0</v>
      </c>
      <c r="G618" s="168">
        <v>9.0</v>
      </c>
      <c r="H618" s="183">
        <v>50230.73</v>
      </c>
      <c r="I618" s="184">
        <v>-77498.83</v>
      </c>
      <c r="J618" s="168">
        <v>2.0</v>
      </c>
      <c r="K618" s="168">
        <v>6.0</v>
      </c>
      <c r="L618" s="168">
        <v>2.0</v>
      </c>
      <c r="M618" s="184">
        <v>44300.13</v>
      </c>
      <c r="N618" s="184">
        <v>7997.02</v>
      </c>
      <c r="O618" s="184">
        <v>-73123.77</v>
      </c>
      <c r="P618" s="184">
        <v>-20702.69</v>
      </c>
    </row>
    <row r="619">
      <c r="A619" s="168">
        <v>44.0</v>
      </c>
      <c r="B619" s="168">
        <v>96.0</v>
      </c>
      <c r="C619" s="168">
        <v>75.0</v>
      </c>
      <c r="D619" s="168">
        <v>65.0</v>
      </c>
      <c r="E619" s="168">
        <v>9.0</v>
      </c>
      <c r="F619" s="168">
        <v>7.0</v>
      </c>
      <c r="G619" s="168">
        <v>7.0</v>
      </c>
      <c r="H619" s="183">
        <v>10347.13</v>
      </c>
      <c r="I619" s="184">
        <v>-33998.66</v>
      </c>
      <c r="J619" s="168">
        <v>8.0</v>
      </c>
      <c r="K619" s="168">
        <v>6.0</v>
      </c>
      <c r="L619" s="168">
        <v>7.0</v>
      </c>
      <c r="M619" s="184">
        <v>-55007.46</v>
      </c>
      <c r="N619" s="184">
        <v>75794.17</v>
      </c>
      <c r="O619" s="184">
        <v>-6765.77</v>
      </c>
      <c r="P619" s="184">
        <v>-84349.67</v>
      </c>
    </row>
    <row r="620">
      <c r="A620" s="168">
        <v>41.0</v>
      </c>
      <c r="B620" s="168">
        <v>97.0</v>
      </c>
      <c r="C620" s="168">
        <v>81.0</v>
      </c>
      <c r="D620" s="168">
        <v>98.0</v>
      </c>
      <c r="E620" s="168">
        <v>9.0</v>
      </c>
      <c r="F620" s="168">
        <v>9.0</v>
      </c>
      <c r="G620" s="168">
        <v>9.0</v>
      </c>
      <c r="H620" s="183">
        <v>64469.19</v>
      </c>
      <c r="I620" s="184">
        <v>82024.35</v>
      </c>
      <c r="J620" s="168">
        <v>2.0</v>
      </c>
      <c r="K620" s="168">
        <v>3.0</v>
      </c>
      <c r="L620" s="168">
        <v>5.0</v>
      </c>
      <c r="M620" s="184">
        <v>-9012.86</v>
      </c>
      <c r="N620" s="184">
        <v>-47931.2</v>
      </c>
      <c r="O620" s="184">
        <v>3920.58</v>
      </c>
      <c r="P620" s="184">
        <v>58723.87</v>
      </c>
    </row>
    <row r="621">
      <c r="A621" s="168">
        <v>11.0</v>
      </c>
      <c r="B621" s="168">
        <v>62.0</v>
      </c>
      <c r="C621" s="168">
        <v>56.0</v>
      </c>
      <c r="D621" s="168">
        <v>89.0</v>
      </c>
      <c r="E621" s="168">
        <v>7.0</v>
      </c>
      <c r="F621" s="168">
        <v>7.0</v>
      </c>
      <c r="G621" s="168">
        <v>8.0</v>
      </c>
      <c r="H621" s="183">
        <v>30338.6</v>
      </c>
      <c r="I621" s="184">
        <v>-93195.56</v>
      </c>
      <c r="J621" s="168">
        <v>7.0</v>
      </c>
      <c r="K621" s="168">
        <v>3.0</v>
      </c>
      <c r="L621" s="168">
        <v>4.0</v>
      </c>
      <c r="M621" s="184">
        <v>-52963.05</v>
      </c>
      <c r="N621" s="184">
        <v>18343.5</v>
      </c>
      <c r="O621" s="184">
        <v>-49680.73</v>
      </c>
      <c r="P621" s="184">
        <v>33326.14</v>
      </c>
    </row>
    <row r="622">
      <c r="A622" s="168">
        <v>13.0</v>
      </c>
      <c r="B622" s="168">
        <v>62.0</v>
      </c>
      <c r="C622" s="168">
        <v>85.0</v>
      </c>
      <c r="D622" s="168">
        <v>56.0</v>
      </c>
      <c r="E622" s="168">
        <v>1.0</v>
      </c>
      <c r="F622" s="168">
        <v>9.0</v>
      </c>
      <c r="G622" s="168">
        <v>2.0</v>
      </c>
      <c r="H622" s="183">
        <v>-42515.62</v>
      </c>
      <c r="I622" s="184">
        <v>13010.64</v>
      </c>
      <c r="J622" s="168">
        <v>5.0</v>
      </c>
      <c r="K622" s="168">
        <v>9.0</v>
      </c>
      <c r="L622" s="168">
        <v>4.0</v>
      </c>
      <c r="M622" s="184">
        <v>17133.46</v>
      </c>
      <c r="N622" s="184">
        <v>38469.74</v>
      </c>
      <c r="O622" s="184">
        <v>79979.91</v>
      </c>
      <c r="P622" s="184">
        <v>-51243.2</v>
      </c>
    </row>
    <row r="623">
      <c r="A623" s="168">
        <v>28.0</v>
      </c>
      <c r="B623" s="168">
        <v>55.0</v>
      </c>
      <c r="C623" s="168">
        <v>47.0</v>
      </c>
      <c r="D623" s="168">
        <v>72.0</v>
      </c>
      <c r="E623" s="168">
        <v>4.0</v>
      </c>
      <c r="F623" s="168">
        <v>8.0</v>
      </c>
      <c r="G623" s="168">
        <v>9.0</v>
      </c>
      <c r="H623" s="183">
        <v>-25445.54</v>
      </c>
      <c r="I623" s="184">
        <v>-5244.48</v>
      </c>
      <c r="J623" s="168">
        <v>4.0</v>
      </c>
      <c r="K623" s="168">
        <v>7.0</v>
      </c>
      <c r="L623" s="168">
        <v>2.0</v>
      </c>
      <c r="M623" s="184">
        <v>-66606.77</v>
      </c>
      <c r="N623" s="184">
        <v>-30583.31</v>
      </c>
      <c r="O623" s="184">
        <v>-35533.88</v>
      </c>
      <c r="P623" s="184">
        <v>-40903.11</v>
      </c>
    </row>
    <row r="624">
      <c r="A624" s="168">
        <v>42.0</v>
      </c>
      <c r="B624" s="168">
        <v>97.0</v>
      </c>
      <c r="C624" s="168">
        <v>12.0</v>
      </c>
      <c r="D624" s="168">
        <v>65.0</v>
      </c>
      <c r="E624" s="168">
        <v>5.0</v>
      </c>
      <c r="F624" s="168">
        <v>2.0</v>
      </c>
      <c r="G624" s="168">
        <v>5.0</v>
      </c>
      <c r="H624" s="183">
        <v>-66044.54</v>
      </c>
      <c r="I624" s="184">
        <v>81321.51</v>
      </c>
      <c r="J624" s="168">
        <v>4.0</v>
      </c>
      <c r="K624" s="168">
        <v>1.0</v>
      </c>
      <c r="L624" s="168">
        <v>5.0</v>
      </c>
      <c r="M624" s="184">
        <v>18600.56</v>
      </c>
      <c r="N624" s="184">
        <v>48798.66</v>
      </c>
      <c r="O624" s="184">
        <v>-37146.06</v>
      </c>
      <c r="P624" s="184">
        <v>-25614.49</v>
      </c>
    </row>
    <row r="625">
      <c r="A625" s="168">
        <v>50.0</v>
      </c>
      <c r="B625" s="168">
        <v>27.0</v>
      </c>
      <c r="C625" s="168">
        <v>14.0</v>
      </c>
      <c r="D625" s="168">
        <v>12.0</v>
      </c>
      <c r="E625" s="168">
        <v>4.0</v>
      </c>
      <c r="F625" s="168">
        <v>9.0</v>
      </c>
      <c r="G625" s="168">
        <v>4.0</v>
      </c>
      <c r="H625" s="183">
        <v>38539.13</v>
      </c>
      <c r="I625" s="184">
        <v>68260.33</v>
      </c>
      <c r="J625" s="168">
        <v>2.0</v>
      </c>
      <c r="K625" s="168">
        <v>5.0</v>
      </c>
      <c r="L625" s="168">
        <v>3.0</v>
      </c>
      <c r="M625" s="184">
        <v>-29974.75</v>
      </c>
      <c r="N625" s="184">
        <v>10718.23</v>
      </c>
      <c r="O625" s="184">
        <v>86935.07</v>
      </c>
      <c r="P625" s="184">
        <v>32704.97</v>
      </c>
    </row>
    <row r="626">
      <c r="A626" s="168">
        <v>54.0</v>
      </c>
      <c r="B626" s="168">
        <v>22.0</v>
      </c>
      <c r="C626" s="168">
        <v>98.0</v>
      </c>
      <c r="D626" s="168">
        <v>26.0</v>
      </c>
      <c r="E626" s="168">
        <v>3.0</v>
      </c>
      <c r="F626" s="168">
        <v>5.0</v>
      </c>
      <c r="G626" s="168">
        <v>7.0</v>
      </c>
      <c r="H626" s="183">
        <v>92128.73</v>
      </c>
      <c r="I626" s="184">
        <v>68335.83</v>
      </c>
      <c r="J626" s="168">
        <v>5.0</v>
      </c>
      <c r="K626" s="168">
        <v>1.0</v>
      </c>
      <c r="L626" s="168">
        <v>6.0</v>
      </c>
      <c r="M626" s="184">
        <v>-23177.68</v>
      </c>
      <c r="N626" s="184">
        <v>26545.51</v>
      </c>
      <c r="O626" s="184">
        <v>57050.58</v>
      </c>
      <c r="P626" s="184">
        <v>-83270.08</v>
      </c>
    </row>
    <row r="627">
      <c r="A627" s="168">
        <v>40.0</v>
      </c>
      <c r="B627" s="168">
        <v>28.0</v>
      </c>
      <c r="C627" s="168">
        <v>28.0</v>
      </c>
      <c r="D627" s="168">
        <v>81.0</v>
      </c>
      <c r="E627" s="168">
        <v>7.0</v>
      </c>
      <c r="F627" s="168">
        <v>4.0</v>
      </c>
      <c r="G627" s="168">
        <v>5.0</v>
      </c>
      <c r="H627" s="183">
        <v>24625.17</v>
      </c>
      <c r="I627" s="184">
        <v>92144.91</v>
      </c>
      <c r="J627" s="168">
        <v>3.0</v>
      </c>
      <c r="K627" s="168">
        <v>9.0</v>
      </c>
      <c r="L627" s="168">
        <v>1.0</v>
      </c>
      <c r="M627" s="184">
        <v>-91909.03</v>
      </c>
      <c r="N627" s="184">
        <v>-85092.59</v>
      </c>
      <c r="O627" s="184">
        <v>62461.36</v>
      </c>
      <c r="P627" s="184">
        <v>-38973.79</v>
      </c>
    </row>
    <row r="628">
      <c r="A628" s="168">
        <v>56.0</v>
      </c>
      <c r="B628" s="168">
        <v>57.0</v>
      </c>
      <c r="C628" s="168">
        <v>12.0</v>
      </c>
      <c r="D628" s="168">
        <v>54.0</v>
      </c>
      <c r="E628" s="168">
        <v>3.0</v>
      </c>
      <c r="F628" s="168">
        <v>7.0</v>
      </c>
      <c r="G628" s="168">
        <v>5.0</v>
      </c>
      <c r="H628" s="183">
        <v>10289.09</v>
      </c>
      <c r="I628" s="184">
        <v>94546.95</v>
      </c>
      <c r="J628" s="168">
        <v>6.0</v>
      </c>
      <c r="K628" s="168">
        <v>7.0</v>
      </c>
      <c r="L628" s="168">
        <v>1.0</v>
      </c>
      <c r="M628" s="184">
        <v>-68701.55</v>
      </c>
      <c r="N628" s="184">
        <v>-36926.21</v>
      </c>
      <c r="O628" s="184">
        <v>-59846.04</v>
      </c>
      <c r="P628" s="184">
        <v>-79633.73</v>
      </c>
    </row>
    <row r="629">
      <c r="A629" s="168">
        <v>10.0</v>
      </c>
      <c r="B629" s="168">
        <v>66.0</v>
      </c>
      <c r="C629" s="168">
        <v>38.0</v>
      </c>
      <c r="D629" s="168">
        <v>39.0</v>
      </c>
      <c r="E629" s="168">
        <v>4.0</v>
      </c>
      <c r="F629" s="168">
        <v>5.0</v>
      </c>
      <c r="G629" s="168">
        <v>4.0</v>
      </c>
      <c r="H629" s="183">
        <v>-67132.33</v>
      </c>
      <c r="I629" s="184">
        <v>-79761.08</v>
      </c>
      <c r="J629" s="168">
        <v>1.0</v>
      </c>
      <c r="K629" s="168">
        <v>5.0</v>
      </c>
      <c r="L629" s="168">
        <v>1.0</v>
      </c>
      <c r="M629" s="184">
        <v>-81650.04</v>
      </c>
      <c r="N629" s="184">
        <v>48662.82</v>
      </c>
      <c r="O629" s="184">
        <v>11101.87</v>
      </c>
      <c r="P629" s="184">
        <v>-25889.61</v>
      </c>
    </row>
    <row r="630">
      <c r="A630" s="168">
        <v>81.0</v>
      </c>
      <c r="B630" s="168">
        <v>67.0</v>
      </c>
      <c r="C630" s="168">
        <v>82.0</v>
      </c>
      <c r="D630" s="168">
        <v>55.0</v>
      </c>
      <c r="E630" s="168">
        <v>5.0</v>
      </c>
      <c r="F630" s="168">
        <v>5.0</v>
      </c>
      <c r="G630" s="168">
        <v>5.0</v>
      </c>
      <c r="H630" s="183">
        <v>-32340.67</v>
      </c>
      <c r="I630" s="184">
        <v>-96093.23</v>
      </c>
      <c r="J630" s="168">
        <v>1.0</v>
      </c>
      <c r="K630" s="168">
        <v>2.0</v>
      </c>
      <c r="L630" s="168">
        <v>5.0</v>
      </c>
      <c r="M630" s="184">
        <v>49333.78</v>
      </c>
      <c r="N630" s="184">
        <v>-22279.33</v>
      </c>
      <c r="O630" s="184">
        <v>-54833.01</v>
      </c>
      <c r="P630" s="184">
        <v>42399.79</v>
      </c>
    </row>
    <row r="631">
      <c r="A631" s="168">
        <v>65.0</v>
      </c>
      <c r="B631" s="168">
        <v>29.0</v>
      </c>
      <c r="C631" s="168">
        <v>85.0</v>
      </c>
      <c r="D631" s="168">
        <v>98.0</v>
      </c>
      <c r="E631" s="168">
        <v>8.0</v>
      </c>
      <c r="F631" s="168">
        <v>4.0</v>
      </c>
      <c r="G631" s="168">
        <v>1.0</v>
      </c>
      <c r="H631" s="183">
        <v>-33905.74</v>
      </c>
      <c r="I631" s="184">
        <v>-61826.56</v>
      </c>
      <c r="J631" s="168">
        <v>1.0</v>
      </c>
      <c r="K631" s="168">
        <v>5.0</v>
      </c>
      <c r="L631" s="168">
        <v>1.0</v>
      </c>
      <c r="M631" s="184">
        <v>-28872.14</v>
      </c>
      <c r="N631" s="184">
        <v>15155.89</v>
      </c>
      <c r="O631" s="184">
        <v>-98834.66</v>
      </c>
      <c r="P631" s="184">
        <v>16734.44</v>
      </c>
    </row>
    <row r="632">
      <c r="A632" s="168">
        <v>77.0</v>
      </c>
      <c r="B632" s="168">
        <v>98.0</v>
      </c>
      <c r="C632" s="168">
        <v>85.0</v>
      </c>
      <c r="D632" s="168">
        <v>23.0</v>
      </c>
      <c r="E632" s="168">
        <v>6.0</v>
      </c>
      <c r="F632" s="168">
        <v>5.0</v>
      </c>
      <c r="G632" s="168">
        <v>3.0</v>
      </c>
      <c r="H632" s="183">
        <v>94615.02</v>
      </c>
      <c r="I632" s="184">
        <v>59858.26</v>
      </c>
      <c r="J632" s="168">
        <v>5.0</v>
      </c>
      <c r="K632" s="168">
        <v>1.0</v>
      </c>
      <c r="L632" s="168">
        <v>5.0</v>
      </c>
      <c r="M632" s="184">
        <v>-8005.72</v>
      </c>
      <c r="N632" s="184">
        <v>16380.82</v>
      </c>
      <c r="O632" s="184">
        <v>28366.8</v>
      </c>
      <c r="P632" s="184">
        <v>77097.09</v>
      </c>
    </row>
    <row r="633">
      <c r="A633" s="168">
        <v>94.0</v>
      </c>
      <c r="B633" s="168">
        <v>24.0</v>
      </c>
      <c r="C633" s="168">
        <v>78.0</v>
      </c>
      <c r="D633" s="168">
        <v>86.0</v>
      </c>
      <c r="E633" s="168">
        <v>8.0</v>
      </c>
      <c r="F633" s="168">
        <v>1.0</v>
      </c>
      <c r="G633" s="168">
        <v>8.0</v>
      </c>
      <c r="H633" s="183">
        <v>61686.45</v>
      </c>
      <c r="I633" s="184">
        <v>-94012.46</v>
      </c>
      <c r="J633" s="168">
        <v>1.0</v>
      </c>
      <c r="K633" s="168">
        <v>1.0</v>
      </c>
      <c r="L633" s="168">
        <v>5.0</v>
      </c>
      <c r="M633" s="184">
        <v>87021.09</v>
      </c>
      <c r="N633" s="184">
        <v>-10413.67</v>
      </c>
      <c r="O633" s="184">
        <v>83754.03</v>
      </c>
      <c r="P633" s="184">
        <v>-50012.18</v>
      </c>
    </row>
    <row r="634">
      <c r="A634" s="168">
        <v>83.0</v>
      </c>
      <c r="B634" s="168">
        <v>20.0</v>
      </c>
      <c r="C634" s="168">
        <v>33.0</v>
      </c>
      <c r="D634" s="168">
        <v>60.0</v>
      </c>
      <c r="E634" s="168">
        <v>1.0</v>
      </c>
      <c r="F634" s="168">
        <v>3.0</v>
      </c>
      <c r="G634" s="168">
        <v>1.0</v>
      </c>
      <c r="H634" s="183">
        <v>72490.47</v>
      </c>
      <c r="I634" s="184">
        <v>-13374.07</v>
      </c>
      <c r="J634" s="168">
        <v>5.0</v>
      </c>
      <c r="K634" s="168">
        <v>4.0</v>
      </c>
      <c r="L634" s="168">
        <v>6.0</v>
      </c>
      <c r="M634" s="184">
        <v>922.71</v>
      </c>
      <c r="N634" s="184">
        <v>42052.34</v>
      </c>
      <c r="O634" s="184">
        <v>-39306.1</v>
      </c>
      <c r="P634" s="184">
        <v>44634.35</v>
      </c>
    </row>
    <row r="635">
      <c r="A635" s="168">
        <v>87.0</v>
      </c>
      <c r="B635" s="168">
        <v>96.0</v>
      </c>
      <c r="C635" s="168">
        <v>38.0</v>
      </c>
      <c r="D635" s="168">
        <v>46.0</v>
      </c>
      <c r="E635" s="168">
        <v>2.0</v>
      </c>
      <c r="F635" s="168">
        <v>8.0</v>
      </c>
      <c r="G635" s="168">
        <v>8.0</v>
      </c>
      <c r="H635" s="183">
        <v>71567.0</v>
      </c>
      <c r="I635" s="184">
        <v>55743.59</v>
      </c>
      <c r="J635" s="168">
        <v>5.0</v>
      </c>
      <c r="K635" s="168">
        <v>5.0</v>
      </c>
      <c r="L635" s="168">
        <v>7.0</v>
      </c>
      <c r="M635" s="184">
        <v>-3179.37</v>
      </c>
      <c r="N635" s="184">
        <v>16956.96</v>
      </c>
      <c r="O635" s="184">
        <v>-39282.84</v>
      </c>
      <c r="P635" s="184">
        <v>-42968.62</v>
      </c>
    </row>
    <row r="636">
      <c r="A636" s="168">
        <v>35.0</v>
      </c>
      <c r="B636" s="168">
        <v>91.0</v>
      </c>
      <c r="C636" s="168">
        <v>43.0</v>
      </c>
      <c r="D636" s="168">
        <v>30.0</v>
      </c>
      <c r="E636" s="168">
        <v>9.0</v>
      </c>
      <c r="F636" s="168">
        <v>1.0</v>
      </c>
      <c r="G636" s="168">
        <v>5.0</v>
      </c>
      <c r="H636" s="183">
        <v>37762.94</v>
      </c>
      <c r="I636" s="184">
        <v>-31840.55</v>
      </c>
      <c r="J636" s="168">
        <v>6.0</v>
      </c>
      <c r="K636" s="168">
        <v>5.0</v>
      </c>
      <c r="L636" s="168">
        <v>9.0</v>
      </c>
      <c r="M636" s="184">
        <v>65831.23</v>
      </c>
      <c r="N636" s="184">
        <v>-39375.39</v>
      </c>
      <c r="O636" s="184">
        <v>-18782.63</v>
      </c>
      <c r="P636" s="184">
        <v>77861.8</v>
      </c>
    </row>
    <row r="637">
      <c r="A637" s="168">
        <v>44.0</v>
      </c>
      <c r="B637" s="168">
        <v>98.0</v>
      </c>
      <c r="C637" s="168">
        <v>85.0</v>
      </c>
      <c r="D637" s="168">
        <v>33.0</v>
      </c>
      <c r="E637" s="168">
        <v>7.0</v>
      </c>
      <c r="F637" s="168">
        <v>8.0</v>
      </c>
      <c r="G637" s="168">
        <v>7.0</v>
      </c>
      <c r="H637" s="183">
        <v>98676.15</v>
      </c>
      <c r="I637" s="184">
        <v>-71575.7</v>
      </c>
      <c r="J637" s="168">
        <v>7.0</v>
      </c>
      <c r="K637" s="168">
        <v>6.0</v>
      </c>
      <c r="L637" s="168">
        <v>6.0</v>
      </c>
      <c r="M637" s="184">
        <v>5564.68</v>
      </c>
      <c r="N637" s="184">
        <v>99015.36</v>
      </c>
      <c r="O637" s="184">
        <v>8110.06</v>
      </c>
      <c r="P637" s="184">
        <v>21064.21</v>
      </c>
    </row>
    <row r="638">
      <c r="A638" s="168">
        <v>54.0</v>
      </c>
      <c r="B638" s="168">
        <v>67.0</v>
      </c>
      <c r="C638" s="168">
        <v>39.0</v>
      </c>
      <c r="D638" s="168">
        <v>54.0</v>
      </c>
      <c r="E638" s="168">
        <v>9.0</v>
      </c>
      <c r="F638" s="168">
        <v>5.0</v>
      </c>
      <c r="G638" s="168">
        <v>5.0</v>
      </c>
      <c r="H638" s="183">
        <v>99933.35</v>
      </c>
      <c r="I638" s="184">
        <v>-23539.28</v>
      </c>
      <c r="J638" s="168">
        <v>9.0</v>
      </c>
      <c r="K638" s="168">
        <v>5.0</v>
      </c>
      <c r="L638" s="168">
        <v>1.0</v>
      </c>
      <c r="M638" s="184">
        <v>89191.65</v>
      </c>
      <c r="N638" s="184">
        <v>20003.29</v>
      </c>
      <c r="O638" s="184">
        <v>-7134.62</v>
      </c>
      <c r="P638" s="184">
        <v>-22115.15</v>
      </c>
    </row>
    <row r="639">
      <c r="A639" s="168">
        <v>93.0</v>
      </c>
      <c r="B639" s="168">
        <v>20.0</v>
      </c>
      <c r="C639" s="168">
        <v>54.0</v>
      </c>
      <c r="D639" s="168">
        <v>59.0</v>
      </c>
      <c r="E639" s="168">
        <v>7.0</v>
      </c>
      <c r="F639" s="168">
        <v>7.0</v>
      </c>
      <c r="G639" s="168">
        <v>4.0</v>
      </c>
      <c r="H639" s="183">
        <v>26375.61</v>
      </c>
      <c r="I639" s="184">
        <v>-5991.88</v>
      </c>
      <c r="J639" s="168">
        <v>6.0</v>
      </c>
      <c r="K639" s="168">
        <v>8.0</v>
      </c>
      <c r="L639" s="168">
        <v>1.0</v>
      </c>
      <c r="M639" s="184">
        <v>82407.0</v>
      </c>
      <c r="N639" s="184">
        <v>73450.94</v>
      </c>
      <c r="O639" s="184">
        <v>40123.7</v>
      </c>
      <c r="P639" s="184">
        <v>83834.66</v>
      </c>
    </row>
    <row r="640">
      <c r="A640" s="168">
        <v>96.0</v>
      </c>
      <c r="B640" s="168">
        <v>35.0</v>
      </c>
      <c r="C640" s="168">
        <v>96.0</v>
      </c>
      <c r="D640" s="168">
        <v>38.0</v>
      </c>
      <c r="E640" s="168">
        <v>3.0</v>
      </c>
      <c r="F640" s="168">
        <v>5.0</v>
      </c>
      <c r="G640" s="168">
        <v>2.0</v>
      </c>
      <c r="H640" s="183">
        <v>80569.07</v>
      </c>
      <c r="I640" s="184">
        <v>-13880.06</v>
      </c>
      <c r="J640" s="168">
        <v>1.0</v>
      </c>
      <c r="K640" s="168">
        <v>8.0</v>
      </c>
      <c r="L640" s="168">
        <v>3.0</v>
      </c>
      <c r="M640" s="184">
        <v>16778.83</v>
      </c>
      <c r="N640" s="184">
        <v>-18441.31</v>
      </c>
      <c r="O640" s="184">
        <v>54287.35</v>
      </c>
      <c r="P640" s="184">
        <v>-89056.18</v>
      </c>
    </row>
    <row r="641">
      <c r="A641" s="168">
        <v>77.0</v>
      </c>
      <c r="B641" s="168">
        <v>74.0</v>
      </c>
      <c r="C641" s="168">
        <v>10.0</v>
      </c>
      <c r="D641" s="168">
        <v>34.0</v>
      </c>
      <c r="E641" s="168">
        <v>2.0</v>
      </c>
      <c r="F641" s="168">
        <v>4.0</v>
      </c>
      <c r="G641" s="168">
        <v>2.0</v>
      </c>
      <c r="H641" s="183">
        <v>10257.49</v>
      </c>
      <c r="I641" s="184">
        <v>-39311.3</v>
      </c>
      <c r="J641" s="168">
        <v>1.0</v>
      </c>
      <c r="K641" s="168">
        <v>1.0</v>
      </c>
      <c r="L641" s="168">
        <v>8.0</v>
      </c>
      <c r="M641" s="184">
        <v>-1949.97</v>
      </c>
      <c r="N641" s="184">
        <v>-20794.4</v>
      </c>
      <c r="O641" s="184">
        <v>20063.7</v>
      </c>
      <c r="P641" s="184">
        <v>-64179.85</v>
      </c>
    </row>
    <row r="642">
      <c r="A642" s="168">
        <v>22.0</v>
      </c>
      <c r="B642" s="168">
        <v>47.0</v>
      </c>
      <c r="C642" s="168">
        <v>79.0</v>
      </c>
      <c r="D642" s="168">
        <v>44.0</v>
      </c>
      <c r="E642" s="168">
        <v>6.0</v>
      </c>
      <c r="F642" s="168">
        <v>2.0</v>
      </c>
      <c r="G642" s="168">
        <v>6.0</v>
      </c>
      <c r="H642" s="183">
        <v>74480.75</v>
      </c>
      <c r="I642" s="184">
        <v>84775.36</v>
      </c>
      <c r="J642" s="168">
        <v>3.0</v>
      </c>
      <c r="K642" s="168">
        <v>9.0</v>
      </c>
      <c r="L642" s="168">
        <v>8.0</v>
      </c>
      <c r="M642" s="184">
        <v>55416.62</v>
      </c>
      <c r="N642" s="184">
        <v>52380.07</v>
      </c>
      <c r="O642" s="184">
        <v>-15093.83</v>
      </c>
      <c r="P642" s="184">
        <v>72560.21</v>
      </c>
    </row>
    <row r="643">
      <c r="A643" s="168">
        <v>50.0</v>
      </c>
      <c r="B643" s="168">
        <v>94.0</v>
      </c>
      <c r="C643" s="168">
        <v>73.0</v>
      </c>
      <c r="D643" s="168">
        <v>52.0</v>
      </c>
      <c r="E643" s="168">
        <v>6.0</v>
      </c>
      <c r="F643" s="168">
        <v>2.0</v>
      </c>
      <c r="G643" s="168">
        <v>7.0</v>
      </c>
      <c r="H643" s="183">
        <v>-16973.65</v>
      </c>
      <c r="I643" s="184">
        <v>23270.37</v>
      </c>
      <c r="J643" s="168">
        <v>8.0</v>
      </c>
      <c r="K643" s="168">
        <v>2.0</v>
      </c>
      <c r="L643" s="168">
        <v>8.0</v>
      </c>
      <c r="M643" s="184">
        <v>-78402.95</v>
      </c>
      <c r="N643" s="184">
        <v>55458.95</v>
      </c>
      <c r="O643" s="184">
        <v>-51937.6</v>
      </c>
      <c r="P643" s="184">
        <v>56305.18</v>
      </c>
    </row>
    <row r="644">
      <c r="A644" s="168">
        <v>88.0</v>
      </c>
      <c r="B644" s="168">
        <v>20.0</v>
      </c>
      <c r="C644" s="168">
        <v>38.0</v>
      </c>
      <c r="D644" s="168">
        <v>68.0</v>
      </c>
      <c r="E644" s="168">
        <v>2.0</v>
      </c>
      <c r="F644" s="168">
        <v>6.0</v>
      </c>
      <c r="G644" s="168">
        <v>2.0</v>
      </c>
      <c r="H644" s="183">
        <v>-61641.8</v>
      </c>
      <c r="I644" s="184">
        <v>56984.29</v>
      </c>
      <c r="J644" s="168">
        <v>8.0</v>
      </c>
      <c r="K644" s="168">
        <v>5.0</v>
      </c>
      <c r="L644" s="168">
        <v>3.0</v>
      </c>
      <c r="M644" s="184">
        <v>46924.18</v>
      </c>
      <c r="N644" s="184">
        <v>58221.69</v>
      </c>
      <c r="O644" s="184">
        <v>22159.16</v>
      </c>
      <c r="P644" s="184">
        <v>-73791.72</v>
      </c>
    </row>
    <row r="645">
      <c r="A645" s="168">
        <v>80.0</v>
      </c>
      <c r="B645" s="168">
        <v>92.0</v>
      </c>
      <c r="C645" s="168">
        <v>32.0</v>
      </c>
      <c r="D645" s="168">
        <v>39.0</v>
      </c>
      <c r="E645" s="168">
        <v>9.0</v>
      </c>
      <c r="F645" s="168">
        <v>7.0</v>
      </c>
      <c r="G645" s="168">
        <v>8.0</v>
      </c>
      <c r="H645" s="183">
        <v>-93809.47</v>
      </c>
      <c r="I645" s="184">
        <v>46484.36</v>
      </c>
      <c r="J645" s="168">
        <v>8.0</v>
      </c>
      <c r="K645" s="168">
        <v>6.0</v>
      </c>
      <c r="L645" s="168">
        <v>3.0</v>
      </c>
      <c r="M645" s="184">
        <v>-92065.81</v>
      </c>
      <c r="N645" s="184">
        <v>-61169.45</v>
      </c>
      <c r="O645" s="184">
        <v>-7277.02</v>
      </c>
      <c r="P645" s="184">
        <v>-53552.95</v>
      </c>
    </row>
    <row r="646">
      <c r="A646" s="168">
        <v>97.0</v>
      </c>
      <c r="B646" s="168">
        <v>61.0</v>
      </c>
      <c r="C646" s="168">
        <v>76.0</v>
      </c>
      <c r="D646" s="168">
        <v>25.0</v>
      </c>
      <c r="E646" s="168">
        <v>6.0</v>
      </c>
      <c r="F646" s="168">
        <v>2.0</v>
      </c>
      <c r="G646" s="168">
        <v>8.0</v>
      </c>
      <c r="H646" s="183">
        <v>34626.97</v>
      </c>
      <c r="I646" s="184">
        <v>-17856.88</v>
      </c>
      <c r="J646" s="168">
        <v>3.0</v>
      </c>
      <c r="K646" s="168">
        <v>1.0</v>
      </c>
      <c r="L646" s="168">
        <v>7.0</v>
      </c>
      <c r="M646" s="184">
        <v>-75832.63</v>
      </c>
      <c r="N646" s="184">
        <v>-41870.46</v>
      </c>
      <c r="O646" s="184">
        <v>53940.5</v>
      </c>
      <c r="P646" s="184">
        <v>77745.09</v>
      </c>
    </row>
    <row r="647">
      <c r="A647" s="168">
        <v>93.0</v>
      </c>
      <c r="B647" s="168">
        <v>96.0</v>
      </c>
      <c r="C647" s="168">
        <v>50.0</v>
      </c>
      <c r="D647" s="168">
        <v>94.0</v>
      </c>
      <c r="E647" s="168">
        <v>5.0</v>
      </c>
      <c r="F647" s="168">
        <v>8.0</v>
      </c>
      <c r="G647" s="168">
        <v>5.0</v>
      </c>
      <c r="H647" s="183">
        <v>12068.42</v>
      </c>
      <c r="I647" s="184">
        <v>80918.98</v>
      </c>
      <c r="J647" s="168">
        <v>3.0</v>
      </c>
      <c r="K647" s="168">
        <v>2.0</v>
      </c>
      <c r="L647" s="168">
        <v>6.0</v>
      </c>
      <c r="M647" s="184">
        <v>-33174.26</v>
      </c>
      <c r="N647" s="184">
        <v>-30849.84</v>
      </c>
      <c r="O647" s="184">
        <v>92169.96</v>
      </c>
      <c r="P647" s="184">
        <v>-54780.87</v>
      </c>
    </row>
    <row r="648">
      <c r="A648" s="168">
        <v>80.0</v>
      </c>
      <c r="B648" s="168">
        <v>14.0</v>
      </c>
      <c r="C648" s="168">
        <v>80.0</v>
      </c>
      <c r="D648" s="168">
        <v>30.0</v>
      </c>
      <c r="E648" s="168">
        <v>5.0</v>
      </c>
      <c r="F648" s="168">
        <v>8.0</v>
      </c>
      <c r="G648" s="168">
        <v>8.0</v>
      </c>
      <c r="H648" s="183">
        <v>84151.76</v>
      </c>
      <c r="I648" s="184">
        <v>-80205.45</v>
      </c>
      <c r="J648" s="168">
        <v>7.0</v>
      </c>
      <c r="K648" s="168">
        <v>8.0</v>
      </c>
      <c r="L648" s="168">
        <v>7.0</v>
      </c>
      <c r="M648" s="184">
        <v>-34040.21</v>
      </c>
      <c r="N648" s="184">
        <v>-25264.69</v>
      </c>
      <c r="O648" s="184">
        <v>12689.28</v>
      </c>
      <c r="P648" s="184">
        <v>63792.12</v>
      </c>
    </row>
    <row r="649">
      <c r="A649" s="168">
        <v>34.0</v>
      </c>
      <c r="B649" s="168">
        <v>32.0</v>
      </c>
      <c r="C649" s="168">
        <v>76.0</v>
      </c>
      <c r="D649" s="168">
        <v>31.0</v>
      </c>
      <c r="E649" s="168">
        <v>1.0</v>
      </c>
      <c r="F649" s="168">
        <v>5.0</v>
      </c>
      <c r="G649" s="168">
        <v>9.0</v>
      </c>
      <c r="H649" s="183">
        <v>52140.9</v>
      </c>
      <c r="I649" s="184">
        <v>63543.31</v>
      </c>
      <c r="J649" s="168">
        <v>6.0</v>
      </c>
      <c r="K649" s="168">
        <v>9.0</v>
      </c>
      <c r="L649" s="168">
        <v>8.0</v>
      </c>
      <c r="M649" s="184">
        <v>75745.24</v>
      </c>
      <c r="N649" s="184">
        <v>79828.32</v>
      </c>
      <c r="O649" s="184">
        <v>-54322.48</v>
      </c>
      <c r="P649" s="184">
        <v>16516.25</v>
      </c>
    </row>
    <row r="650">
      <c r="A650" s="168">
        <v>42.0</v>
      </c>
      <c r="B650" s="168">
        <v>45.0</v>
      </c>
      <c r="C650" s="168">
        <v>60.0</v>
      </c>
      <c r="D650" s="168">
        <v>37.0</v>
      </c>
      <c r="E650" s="168">
        <v>3.0</v>
      </c>
      <c r="F650" s="168">
        <v>8.0</v>
      </c>
      <c r="G650" s="168">
        <v>4.0</v>
      </c>
      <c r="H650" s="183">
        <v>46147.06</v>
      </c>
      <c r="I650" s="184">
        <v>15888.83</v>
      </c>
      <c r="J650" s="168">
        <v>7.0</v>
      </c>
      <c r="K650" s="168">
        <v>5.0</v>
      </c>
      <c r="L650" s="168">
        <v>9.0</v>
      </c>
      <c r="M650" s="184">
        <v>-2610.94</v>
      </c>
      <c r="N650" s="184">
        <v>12524.66</v>
      </c>
      <c r="O650" s="184">
        <v>-80402.64</v>
      </c>
      <c r="P650" s="184">
        <v>-68099.69</v>
      </c>
    </row>
    <row r="651">
      <c r="A651" s="168">
        <v>86.0</v>
      </c>
      <c r="B651" s="168">
        <v>36.0</v>
      </c>
      <c r="C651" s="168">
        <v>72.0</v>
      </c>
      <c r="D651" s="168">
        <v>83.0</v>
      </c>
      <c r="E651" s="168">
        <v>3.0</v>
      </c>
      <c r="F651" s="168">
        <v>9.0</v>
      </c>
      <c r="G651" s="168">
        <v>1.0</v>
      </c>
      <c r="H651" s="183">
        <v>-79677.82</v>
      </c>
      <c r="I651" s="184">
        <v>-41450.99</v>
      </c>
      <c r="J651" s="168">
        <v>8.0</v>
      </c>
      <c r="K651" s="168">
        <v>4.0</v>
      </c>
      <c r="L651" s="168">
        <v>9.0</v>
      </c>
      <c r="M651" s="184">
        <v>87646.9</v>
      </c>
      <c r="N651" s="184">
        <v>-31226.01</v>
      </c>
      <c r="O651" s="184">
        <v>-34982.77</v>
      </c>
      <c r="P651" s="184">
        <v>38824.48</v>
      </c>
    </row>
    <row r="652">
      <c r="A652" s="168">
        <v>58.0</v>
      </c>
      <c r="B652" s="168">
        <v>64.0</v>
      </c>
      <c r="C652" s="168">
        <v>12.0</v>
      </c>
      <c r="D652" s="168">
        <v>75.0</v>
      </c>
      <c r="E652" s="168">
        <v>3.0</v>
      </c>
      <c r="F652" s="168">
        <v>4.0</v>
      </c>
      <c r="G652" s="168">
        <v>3.0</v>
      </c>
      <c r="H652" s="183">
        <v>62094.47</v>
      </c>
      <c r="I652" s="184">
        <v>25418.31</v>
      </c>
      <c r="J652" s="168">
        <v>9.0</v>
      </c>
      <c r="K652" s="168">
        <v>8.0</v>
      </c>
      <c r="L652" s="168">
        <v>1.0</v>
      </c>
      <c r="M652" s="184">
        <v>-74608.68</v>
      </c>
      <c r="N652" s="184">
        <v>79504.38</v>
      </c>
      <c r="O652" s="184">
        <v>27140.89</v>
      </c>
      <c r="P652" s="184">
        <v>46142.3</v>
      </c>
    </row>
    <row r="653">
      <c r="A653" s="168">
        <v>68.0</v>
      </c>
      <c r="B653" s="168">
        <v>72.0</v>
      </c>
      <c r="C653" s="168">
        <v>11.0</v>
      </c>
      <c r="D653" s="168">
        <v>90.0</v>
      </c>
      <c r="E653" s="168">
        <v>2.0</v>
      </c>
      <c r="F653" s="168">
        <v>1.0</v>
      </c>
      <c r="G653" s="168">
        <v>1.0</v>
      </c>
      <c r="H653" s="183">
        <v>-70413.25</v>
      </c>
      <c r="I653" s="184">
        <v>-34664.27</v>
      </c>
      <c r="J653" s="168">
        <v>9.0</v>
      </c>
      <c r="K653" s="168">
        <v>5.0</v>
      </c>
      <c r="L653" s="168">
        <v>9.0</v>
      </c>
      <c r="M653" s="184">
        <v>52608.57</v>
      </c>
      <c r="N653" s="184">
        <v>92292.44</v>
      </c>
      <c r="O653" s="184">
        <v>-45632.91</v>
      </c>
      <c r="P653" s="184">
        <v>81839.11</v>
      </c>
    </row>
    <row r="654">
      <c r="A654" s="168">
        <v>47.0</v>
      </c>
      <c r="B654" s="168">
        <v>75.0</v>
      </c>
      <c r="C654" s="168">
        <v>98.0</v>
      </c>
      <c r="D654" s="168">
        <v>81.0</v>
      </c>
      <c r="E654" s="168">
        <v>5.0</v>
      </c>
      <c r="F654" s="168">
        <v>3.0</v>
      </c>
      <c r="G654" s="168">
        <v>1.0</v>
      </c>
      <c r="H654" s="183">
        <v>31719.47</v>
      </c>
      <c r="I654" s="184">
        <v>-73300.99</v>
      </c>
      <c r="J654" s="168">
        <v>1.0</v>
      </c>
      <c r="K654" s="168">
        <v>4.0</v>
      </c>
      <c r="L654" s="168">
        <v>6.0</v>
      </c>
      <c r="M654" s="184">
        <v>-50551.58</v>
      </c>
      <c r="N654" s="184">
        <v>-86007.16</v>
      </c>
      <c r="O654" s="184">
        <v>-16769.31</v>
      </c>
      <c r="P654" s="184">
        <v>18801.4</v>
      </c>
    </row>
    <row r="655">
      <c r="A655" s="168">
        <v>51.0</v>
      </c>
      <c r="B655" s="168">
        <v>14.0</v>
      </c>
      <c r="C655" s="168">
        <v>91.0</v>
      </c>
      <c r="D655" s="168">
        <v>78.0</v>
      </c>
      <c r="E655" s="168">
        <v>9.0</v>
      </c>
      <c r="F655" s="168">
        <v>1.0</v>
      </c>
      <c r="G655" s="168">
        <v>7.0</v>
      </c>
      <c r="H655" s="183">
        <v>-82234.38</v>
      </c>
      <c r="I655" s="184">
        <v>-15677.24</v>
      </c>
      <c r="J655" s="168">
        <v>9.0</v>
      </c>
      <c r="K655" s="168">
        <v>2.0</v>
      </c>
      <c r="L655" s="168">
        <v>1.0</v>
      </c>
      <c r="M655" s="184">
        <v>-82199.83</v>
      </c>
      <c r="N655" s="184">
        <v>84556.06</v>
      </c>
      <c r="O655" s="184">
        <v>39785.01</v>
      </c>
      <c r="P655" s="184">
        <v>-52734.95</v>
      </c>
    </row>
    <row r="656">
      <c r="A656" s="168">
        <v>77.0</v>
      </c>
      <c r="B656" s="168">
        <v>21.0</v>
      </c>
      <c r="C656" s="168">
        <v>40.0</v>
      </c>
      <c r="D656" s="168">
        <v>44.0</v>
      </c>
      <c r="E656" s="168">
        <v>5.0</v>
      </c>
      <c r="F656" s="168">
        <v>1.0</v>
      </c>
      <c r="G656" s="168">
        <v>2.0</v>
      </c>
      <c r="H656" s="183">
        <v>26300.82</v>
      </c>
      <c r="I656" s="184">
        <v>20455.33</v>
      </c>
      <c r="J656" s="168">
        <v>6.0</v>
      </c>
      <c r="K656" s="168">
        <v>3.0</v>
      </c>
      <c r="L656" s="168">
        <v>7.0</v>
      </c>
      <c r="M656" s="184">
        <v>-6683.9</v>
      </c>
      <c r="N656" s="184">
        <v>-47814.57</v>
      </c>
      <c r="O656" s="184">
        <v>-11827.08</v>
      </c>
      <c r="P656" s="184">
        <v>-54884.43</v>
      </c>
    </row>
    <row r="657">
      <c r="A657" s="168">
        <v>76.0</v>
      </c>
      <c r="B657" s="168">
        <v>52.0</v>
      </c>
      <c r="C657" s="168">
        <v>58.0</v>
      </c>
      <c r="D657" s="168">
        <v>81.0</v>
      </c>
      <c r="E657" s="168">
        <v>4.0</v>
      </c>
      <c r="F657" s="168">
        <v>7.0</v>
      </c>
      <c r="G657" s="168">
        <v>5.0</v>
      </c>
      <c r="H657" s="183">
        <v>-9112.74</v>
      </c>
      <c r="I657" s="184">
        <v>90277.59</v>
      </c>
      <c r="J657" s="168">
        <v>1.0</v>
      </c>
      <c r="K657" s="168">
        <v>9.0</v>
      </c>
      <c r="L657" s="168">
        <v>2.0</v>
      </c>
      <c r="M657" s="184">
        <v>-9221.06</v>
      </c>
      <c r="N657" s="184">
        <v>-31735.44</v>
      </c>
      <c r="O657" s="184">
        <v>85547.52</v>
      </c>
      <c r="P657" s="184">
        <v>57673.21</v>
      </c>
    </row>
    <row r="658">
      <c r="A658" s="168">
        <v>89.0</v>
      </c>
      <c r="B658" s="168">
        <v>68.0</v>
      </c>
      <c r="C658" s="168">
        <v>42.0</v>
      </c>
      <c r="D658" s="168">
        <v>73.0</v>
      </c>
      <c r="E658" s="168">
        <v>1.0</v>
      </c>
      <c r="F658" s="168">
        <v>2.0</v>
      </c>
      <c r="G658" s="168">
        <v>1.0</v>
      </c>
      <c r="H658" s="183">
        <v>25708.94</v>
      </c>
      <c r="I658" s="184">
        <v>49985.9</v>
      </c>
      <c r="J658" s="168">
        <v>7.0</v>
      </c>
      <c r="K658" s="168">
        <v>2.0</v>
      </c>
      <c r="L658" s="168">
        <v>8.0</v>
      </c>
      <c r="M658" s="184">
        <v>73081.52</v>
      </c>
      <c r="N658" s="184">
        <v>-7013.45</v>
      </c>
      <c r="O658" s="184">
        <v>42656.9</v>
      </c>
      <c r="P658" s="184">
        <v>64226.49</v>
      </c>
    </row>
    <row r="659">
      <c r="A659" s="168">
        <v>24.0</v>
      </c>
      <c r="B659" s="168">
        <v>81.0</v>
      </c>
      <c r="C659" s="168">
        <v>48.0</v>
      </c>
      <c r="D659" s="168">
        <v>61.0</v>
      </c>
      <c r="E659" s="168">
        <v>4.0</v>
      </c>
      <c r="F659" s="168">
        <v>5.0</v>
      </c>
      <c r="G659" s="168">
        <v>4.0</v>
      </c>
      <c r="H659" s="183">
        <v>12048.8</v>
      </c>
      <c r="I659" s="184">
        <v>67867.06</v>
      </c>
      <c r="J659" s="168">
        <v>2.0</v>
      </c>
      <c r="K659" s="168">
        <v>2.0</v>
      </c>
      <c r="L659" s="168">
        <v>3.0</v>
      </c>
      <c r="M659" s="184">
        <v>34285.89</v>
      </c>
      <c r="N659" s="184">
        <v>52755.83</v>
      </c>
      <c r="O659" s="184">
        <v>-76830.6</v>
      </c>
      <c r="P659" s="184">
        <v>43664.7</v>
      </c>
    </row>
    <row r="660">
      <c r="A660" s="168">
        <v>61.0</v>
      </c>
      <c r="B660" s="168">
        <v>48.0</v>
      </c>
      <c r="C660" s="168">
        <v>18.0</v>
      </c>
      <c r="D660" s="168">
        <v>86.0</v>
      </c>
      <c r="E660" s="168">
        <v>8.0</v>
      </c>
      <c r="F660" s="168">
        <v>1.0</v>
      </c>
      <c r="G660" s="168">
        <v>7.0</v>
      </c>
      <c r="H660" s="183">
        <v>78699.46</v>
      </c>
      <c r="I660" s="184">
        <v>24744.84</v>
      </c>
      <c r="J660" s="168">
        <v>8.0</v>
      </c>
      <c r="K660" s="168">
        <v>7.0</v>
      </c>
      <c r="L660" s="168">
        <v>1.0</v>
      </c>
      <c r="M660" s="184">
        <v>4943.03</v>
      </c>
      <c r="N660" s="184">
        <v>42088.64</v>
      </c>
      <c r="O660" s="184">
        <v>-97206.46</v>
      </c>
      <c r="P660" s="184">
        <v>-94498.4</v>
      </c>
    </row>
    <row r="661">
      <c r="A661" s="168">
        <v>60.0</v>
      </c>
      <c r="B661" s="168">
        <v>90.0</v>
      </c>
      <c r="C661" s="168">
        <v>43.0</v>
      </c>
      <c r="D661" s="168">
        <v>45.0</v>
      </c>
      <c r="E661" s="168">
        <v>8.0</v>
      </c>
      <c r="F661" s="168">
        <v>4.0</v>
      </c>
      <c r="G661" s="168">
        <v>9.0</v>
      </c>
      <c r="H661" s="183">
        <v>-22408.17</v>
      </c>
      <c r="I661" s="184">
        <v>93883.94</v>
      </c>
      <c r="J661" s="168">
        <v>3.0</v>
      </c>
      <c r="K661" s="168">
        <v>7.0</v>
      </c>
      <c r="L661" s="168">
        <v>6.0</v>
      </c>
      <c r="M661" s="184">
        <v>-45859.77</v>
      </c>
      <c r="N661" s="184">
        <v>19193.03</v>
      </c>
      <c r="O661" s="184">
        <v>6927.61</v>
      </c>
      <c r="P661" s="184">
        <v>74407.76</v>
      </c>
    </row>
    <row r="662">
      <c r="A662" s="168">
        <v>86.0</v>
      </c>
      <c r="B662" s="168">
        <v>10.0</v>
      </c>
      <c r="C662" s="168">
        <v>58.0</v>
      </c>
      <c r="D662" s="168">
        <v>20.0</v>
      </c>
      <c r="E662" s="168">
        <v>1.0</v>
      </c>
      <c r="F662" s="168">
        <v>7.0</v>
      </c>
      <c r="G662" s="168">
        <v>5.0</v>
      </c>
      <c r="H662" s="183">
        <v>-25266.11</v>
      </c>
      <c r="I662" s="184">
        <v>27318.03</v>
      </c>
      <c r="J662" s="168">
        <v>1.0</v>
      </c>
      <c r="K662" s="168">
        <v>5.0</v>
      </c>
      <c r="L662" s="168">
        <v>6.0</v>
      </c>
      <c r="M662" s="184">
        <v>98219.83</v>
      </c>
      <c r="N662" s="184">
        <v>-47691.1</v>
      </c>
      <c r="O662" s="184">
        <v>60464.05</v>
      </c>
      <c r="P662" s="184">
        <v>73554.71</v>
      </c>
    </row>
    <row r="663">
      <c r="A663" s="168">
        <v>39.0</v>
      </c>
      <c r="B663" s="168">
        <v>98.0</v>
      </c>
      <c r="C663" s="168">
        <v>53.0</v>
      </c>
      <c r="D663" s="168">
        <v>93.0</v>
      </c>
      <c r="E663" s="168">
        <v>1.0</v>
      </c>
      <c r="F663" s="168">
        <v>9.0</v>
      </c>
      <c r="G663" s="168">
        <v>3.0</v>
      </c>
      <c r="H663" s="183">
        <v>-39395.67</v>
      </c>
      <c r="I663" s="184">
        <v>39229.56</v>
      </c>
      <c r="J663" s="168">
        <v>6.0</v>
      </c>
      <c r="K663" s="168">
        <v>3.0</v>
      </c>
      <c r="L663" s="168">
        <v>9.0</v>
      </c>
      <c r="M663" s="184">
        <v>-48207.99</v>
      </c>
      <c r="N663" s="184">
        <v>-59651.73</v>
      </c>
      <c r="O663" s="184">
        <v>44513.53</v>
      </c>
      <c r="P663" s="184">
        <v>-3695.89</v>
      </c>
    </row>
    <row r="664">
      <c r="A664" s="168">
        <v>91.0</v>
      </c>
      <c r="B664" s="168">
        <v>62.0</v>
      </c>
      <c r="C664" s="168">
        <v>42.0</v>
      </c>
      <c r="D664" s="168">
        <v>80.0</v>
      </c>
      <c r="E664" s="168">
        <v>2.0</v>
      </c>
      <c r="F664" s="168">
        <v>5.0</v>
      </c>
      <c r="G664" s="168">
        <v>5.0</v>
      </c>
      <c r="H664" s="183">
        <v>53554.69</v>
      </c>
      <c r="I664" s="184">
        <v>77309.79</v>
      </c>
      <c r="J664" s="168">
        <v>6.0</v>
      </c>
      <c r="K664" s="168">
        <v>1.0</v>
      </c>
      <c r="L664" s="168">
        <v>8.0</v>
      </c>
      <c r="M664" s="184">
        <v>97524.22</v>
      </c>
      <c r="N664" s="184">
        <v>-42188.89</v>
      </c>
      <c r="O664" s="184">
        <v>-22672.85</v>
      </c>
      <c r="P664" s="184">
        <v>-68800.2</v>
      </c>
    </row>
    <row r="665">
      <c r="A665" s="168">
        <v>28.0</v>
      </c>
      <c r="B665" s="168">
        <v>84.0</v>
      </c>
      <c r="C665" s="168">
        <v>26.0</v>
      </c>
      <c r="D665" s="168">
        <v>82.0</v>
      </c>
      <c r="E665" s="168">
        <v>8.0</v>
      </c>
      <c r="F665" s="168">
        <v>3.0</v>
      </c>
      <c r="G665" s="168">
        <v>1.0</v>
      </c>
      <c r="H665" s="183">
        <v>-85954.56</v>
      </c>
      <c r="I665" s="184">
        <v>27589.14</v>
      </c>
      <c r="J665" s="168">
        <v>9.0</v>
      </c>
      <c r="K665" s="168">
        <v>3.0</v>
      </c>
      <c r="L665" s="168">
        <v>1.0</v>
      </c>
      <c r="M665" s="184">
        <v>-34624.31</v>
      </c>
      <c r="N665" s="184">
        <v>96970.12</v>
      </c>
      <c r="O665" s="184">
        <v>97968.39</v>
      </c>
      <c r="P665" s="184">
        <v>-17069.24</v>
      </c>
    </row>
    <row r="666">
      <c r="A666" s="168">
        <v>35.0</v>
      </c>
      <c r="B666" s="168">
        <v>25.0</v>
      </c>
      <c r="C666" s="168">
        <v>43.0</v>
      </c>
      <c r="D666" s="168">
        <v>23.0</v>
      </c>
      <c r="E666" s="168">
        <v>1.0</v>
      </c>
      <c r="F666" s="168">
        <v>5.0</v>
      </c>
      <c r="G666" s="168">
        <v>2.0</v>
      </c>
      <c r="H666" s="183">
        <v>24204.48</v>
      </c>
      <c r="I666" s="184">
        <v>-77742.79</v>
      </c>
      <c r="J666" s="168">
        <v>8.0</v>
      </c>
      <c r="K666" s="168">
        <v>8.0</v>
      </c>
      <c r="L666" s="168">
        <v>6.0</v>
      </c>
      <c r="M666" s="184">
        <v>48787.1</v>
      </c>
      <c r="N666" s="184">
        <v>50474.71</v>
      </c>
      <c r="O666" s="184">
        <v>83669.77</v>
      </c>
      <c r="P666" s="184">
        <v>70731.4</v>
      </c>
    </row>
    <row r="667">
      <c r="A667" s="168">
        <v>53.0</v>
      </c>
      <c r="B667" s="168">
        <v>38.0</v>
      </c>
      <c r="C667" s="168">
        <v>29.0</v>
      </c>
      <c r="D667" s="168">
        <v>57.0</v>
      </c>
      <c r="E667" s="168">
        <v>4.0</v>
      </c>
      <c r="F667" s="168">
        <v>1.0</v>
      </c>
      <c r="G667" s="168">
        <v>2.0</v>
      </c>
      <c r="H667" s="183">
        <v>-76967.91</v>
      </c>
      <c r="I667" s="184">
        <v>9709.86</v>
      </c>
      <c r="J667" s="168">
        <v>1.0</v>
      </c>
      <c r="K667" s="168">
        <v>9.0</v>
      </c>
      <c r="L667" s="168">
        <v>6.0</v>
      </c>
      <c r="M667" s="184">
        <v>-94135.98</v>
      </c>
      <c r="N667" s="184">
        <v>-79623.72</v>
      </c>
      <c r="O667" s="184">
        <v>7383.6</v>
      </c>
      <c r="P667" s="184">
        <v>58249.7</v>
      </c>
    </row>
    <row r="668">
      <c r="A668" s="168">
        <v>42.0</v>
      </c>
      <c r="B668" s="168">
        <v>70.0</v>
      </c>
      <c r="C668" s="168">
        <v>28.0</v>
      </c>
      <c r="D668" s="168">
        <v>44.0</v>
      </c>
      <c r="E668" s="168">
        <v>8.0</v>
      </c>
      <c r="F668" s="168">
        <v>2.0</v>
      </c>
      <c r="G668" s="168">
        <v>2.0</v>
      </c>
      <c r="H668" s="183">
        <v>-91425.48</v>
      </c>
      <c r="I668" s="184">
        <v>93804.92</v>
      </c>
      <c r="J668" s="168">
        <v>6.0</v>
      </c>
      <c r="K668" s="168">
        <v>8.0</v>
      </c>
      <c r="L668" s="168">
        <v>1.0</v>
      </c>
      <c r="M668" s="184">
        <v>-95249.86</v>
      </c>
      <c r="N668" s="184">
        <v>-46344.85</v>
      </c>
      <c r="O668" s="184">
        <v>-83575.01</v>
      </c>
      <c r="P668" s="184">
        <v>68660.05</v>
      </c>
    </row>
    <row r="669">
      <c r="A669" s="168">
        <v>37.0</v>
      </c>
      <c r="B669" s="168">
        <v>13.0</v>
      </c>
      <c r="C669" s="168">
        <v>31.0</v>
      </c>
      <c r="D669" s="168">
        <v>80.0</v>
      </c>
      <c r="E669" s="168">
        <v>6.0</v>
      </c>
      <c r="F669" s="168">
        <v>2.0</v>
      </c>
      <c r="G669" s="168">
        <v>4.0</v>
      </c>
      <c r="H669" s="183">
        <v>36872.41</v>
      </c>
      <c r="I669" s="184">
        <v>5792.03</v>
      </c>
      <c r="J669" s="168">
        <v>6.0</v>
      </c>
      <c r="K669" s="168">
        <v>5.0</v>
      </c>
      <c r="L669" s="168">
        <v>3.0</v>
      </c>
      <c r="M669" s="184">
        <v>46146.67</v>
      </c>
      <c r="N669" s="184">
        <v>17089.16</v>
      </c>
      <c r="O669" s="184">
        <v>-90411.86</v>
      </c>
      <c r="P669" s="184">
        <v>-29556.42</v>
      </c>
    </row>
    <row r="670">
      <c r="A670" s="168">
        <v>10.0</v>
      </c>
      <c r="B670" s="168">
        <v>41.0</v>
      </c>
      <c r="C670" s="168">
        <v>62.0</v>
      </c>
      <c r="D670" s="168">
        <v>33.0</v>
      </c>
      <c r="E670" s="168">
        <v>8.0</v>
      </c>
      <c r="F670" s="168">
        <v>2.0</v>
      </c>
      <c r="G670" s="168">
        <v>5.0</v>
      </c>
      <c r="H670" s="183">
        <v>57345.23</v>
      </c>
      <c r="I670" s="184">
        <v>-72218.42</v>
      </c>
      <c r="J670" s="168">
        <v>1.0</v>
      </c>
      <c r="K670" s="168">
        <v>5.0</v>
      </c>
      <c r="L670" s="168">
        <v>7.0</v>
      </c>
      <c r="M670" s="184">
        <v>-76931.22</v>
      </c>
      <c r="N670" s="184">
        <v>-18095.79</v>
      </c>
      <c r="O670" s="184">
        <v>-59568.69</v>
      </c>
      <c r="P670" s="184">
        <v>69245.81</v>
      </c>
    </row>
    <row r="671">
      <c r="A671" s="168">
        <v>23.0</v>
      </c>
      <c r="B671" s="168">
        <v>66.0</v>
      </c>
      <c r="C671" s="168">
        <v>74.0</v>
      </c>
      <c r="D671" s="168">
        <v>91.0</v>
      </c>
      <c r="E671" s="168">
        <v>9.0</v>
      </c>
      <c r="F671" s="168">
        <v>4.0</v>
      </c>
      <c r="G671" s="168">
        <v>5.0</v>
      </c>
      <c r="H671" s="183">
        <v>-48948.33</v>
      </c>
      <c r="I671" s="184">
        <v>-32647.06</v>
      </c>
      <c r="J671" s="168">
        <v>3.0</v>
      </c>
      <c r="K671" s="168">
        <v>9.0</v>
      </c>
      <c r="L671" s="168">
        <v>1.0</v>
      </c>
      <c r="M671" s="184">
        <v>-84909.13</v>
      </c>
      <c r="N671" s="184">
        <v>13263.17</v>
      </c>
      <c r="O671" s="184">
        <v>52746.49</v>
      </c>
      <c r="P671" s="184">
        <v>-92523.33</v>
      </c>
    </row>
    <row r="672">
      <c r="A672" s="168">
        <v>16.0</v>
      </c>
      <c r="B672" s="168">
        <v>23.0</v>
      </c>
      <c r="C672" s="168">
        <v>23.0</v>
      </c>
      <c r="D672" s="168">
        <v>17.0</v>
      </c>
      <c r="E672" s="168">
        <v>1.0</v>
      </c>
      <c r="F672" s="168">
        <v>5.0</v>
      </c>
      <c r="G672" s="168">
        <v>5.0</v>
      </c>
      <c r="H672" s="183">
        <v>64209.93</v>
      </c>
      <c r="I672" s="184">
        <v>-6699.69</v>
      </c>
      <c r="J672" s="168">
        <v>7.0</v>
      </c>
      <c r="K672" s="168">
        <v>6.0</v>
      </c>
      <c r="L672" s="168">
        <v>5.0</v>
      </c>
      <c r="M672" s="184">
        <v>-72118.62</v>
      </c>
      <c r="N672" s="184">
        <v>39906.77</v>
      </c>
      <c r="O672" s="184">
        <v>-5109.17</v>
      </c>
      <c r="P672" s="184">
        <v>-86793.19</v>
      </c>
    </row>
    <row r="673">
      <c r="A673" s="168">
        <v>25.0</v>
      </c>
      <c r="B673" s="168">
        <v>59.0</v>
      </c>
      <c r="C673" s="168">
        <v>22.0</v>
      </c>
      <c r="D673" s="168">
        <v>30.0</v>
      </c>
      <c r="E673" s="168">
        <v>9.0</v>
      </c>
      <c r="F673" s="168">
        <v>5.0</v>
      </c>
      <c r="G673" s="168">
        <v>7.0</v>
      </c>
      <c r="H673" s="183">
        <v>54978.4</v>
      </c>
      <c r="I673" s="184">
        <v>-71386.29</v>
      </c>
      <c r="J673" s="168">
        <v>1.0</v>
      </c>
      <c r="K673" s="168">
        <v>2.0</v>
      </c>
      <c r="L673" s="168">
        <v>4.0</v>
      </c>
      <c r="M673" s="184">
        <v>27367.65</v>
      </c>
      <c r="N673" s="184">
        <v>61147.82</v>
      </c>
      <c r="O673" s="184">
        <v>-44574.8</v>
      </c>
      <c r="P673" s="184">
        <v>-84.44</v>
      </c>
    </row>
    <row r="674">
      <c r="A674" s="168">
        <v>12.0</v>
      </c>
      <c r="B674" s="168">
        <v>20.0</v>
      </c>
      <c r="C674" s="168">
        <v>19.0</v>
      </c>
      <c r="D674" s="168">
        <v>29.0</v>
      </c>
      <c r="E674" s="168">
        <v>7.0</v>
      </c>
      <c r="F674" s="168">
        <v>5.0</v>
      </c>
      <c r="G674" s="168">
        <v>5.0</v>
      </c>
      <c r="H674" s="183">
        <v>69249.43</v>
      </c>
      <c r="I674" s="184">
        <v>-98324.78</v>
      </c>
      <c r="J674" s="168">
        <v>5.0</v>
      </c>
      <c r="K674" s="168">
        <v>7.0</v>
      </c>
      <c r="L674" s="168">
        <v>2.0</v>
      </c>
      <c r="M674" s="184">
        <v>18221.63</v>
      </c>
      <c r="N674" s="184">
        <v>64077.36</v>
      </c>
      <c r="O674" s="184">
        <v>24269.87</v>
      </c>
      <c r="P674" s="184">
        <v>-98961.22</v>
      </c>
    </row>
    <row r="675">
      <c r="A675" s="168">
        <v>36.0</v>
      </c>
      <c r="B675" s="168">
        <v>51.0</v>
      </c>
      <c r="C675" s="168">
        <v>12.0</v>
      </c>
      <c r="D675" s="168">
        <v>80.0</v>
      </c>
      <c r="E675" s="168">
        <v>5.0</v>
      </c>
      <c r="F675" s="168">
        <v>7.0</v>
      </c>
      <c r="G675" s="168">
        <v>1.0</v>
      </c>
      <c r="H675" s="183">
        <v>-43857.23</v>
      </c>
      <c r="I675" s="184">
        <v>-5514.45</v>
      </c>
      <c r="J675" s="168">
        <v>4.0</v>
      </c>
      <c r="K675" s="168">
        <v>4.0</v>
      </c>
      <c r="L675" s="168">
        <v>2.0</v>
      </c>
      <c r="M675" s="184">
        <v>72518.48</v>
      </c>
      <c r="N675" s="184">
        <v>-36653.08</v>
      </c>
      <c r="O675" s="184">
        <v>5088.59</v>
      </c>
      <c r="P675" s="184">
        <v>-79823.52</v>
      </c>
    </row>
    <row r="676">
      <c r="A676" s="168">
        <v>37.0</v>
      </c>
      <c r="B676" s="168">
        <v>37.0</v>
      </c>
      <c r="C676" s="168">
        <v>80.0</v>
      </c>
      <c r="D676" s="168">
        <v>87.0</v>
      </c>
      <c r="E676" s="168">
        <v>3.0</v>
      </c>
      <c r="F676" s="168">
        <v>5.0</v>
      </c>
      <c r="G676" s="168">
        <v>9.0</v>
      </c>
      <c r="H676" s="183">
        <v>36189.65</v>
      </c>
      <c r="I676" s="184">
        <v>-35817.36</v>
      </c>
      <c r="J676" s="168">
        <v>2.0</v>
      </c>
      <c r="K676" s="168">
        <v>5.0</v>
      </c>
      <c r="L676" s="168">
        <v>3.0</v>
      </c>
      <c r="M676" s="184">
        <v>86127.49</v>
      </c>
      <c r="N676" s="184">
        <v>3489.24</v>
      </c>
      <c r="O676" s="184">
        <v>-68847.21</v>
      </c>
      <c r="P676" s="184">
        <v>31181.85</v>
      </c>
    </row>
    <row r="677">
      <c r="A677" s="168">
        <v>99.0</v>
      </c>
      <c r="B677" s="168">
        <v>69.0</v>
      </c>
      <c r="C677" s="168">
        <v>49.0</v>
      </c>
      <c r="D677" s="168">
        <v>83.0</v>
      </c>
      <c r="E677" s="168">
        <v>1.0</v>
      </c>
      <c r="F677" s="168">
        <v>1.0</v>
      </c>
      <c r="G677" s="168">
        <v>3.0</v>
      </c>
      <c r="H677" s="183">
        <v>91603.45</v>
      </c>
      <c r="I677" s="184">
        <v>51736.68</v>
      </c>
      <c r="J677" s="168">
        <v>2.0</v>
      </c>
      <c r="K677" s="168">
        <v>8.0</v>
      </c>
      <c r="L677" s="168">
        <v>8.0</v>
      </c>
      <c r="M677" s="184">
        <v>-49994.85</v>
      </c>
      <c r="N677" s="184">
        <v>82047.09</v>
      </c>
      <c r="O677" s="184">
        <v>89945.12</v>
      </c>
      <c r="P677" s="184">
        <v>-57558.84</v>
      </c>
    </row>
    <row r="678">
      <c r="A678" s="168">
        <v>38.0</v>
      </c>
      <c r="B678" s="168">
        <v>19.0</v>
      </c>
      <c r="C678" s="168">
        <v>14.0</v>
      </c>
      <c r="D678" s="168">
        <v>53.0</v>
      </c>
      <c r="E678" s="168">
        <v>1.0</v>
      </c>
      <c r="F678" s="168">
        <v>9.0</v>
      </c>
      <c r="G678" s="168">
        <v>9.0</v>
      </c>
      <c r="H678" s="183">
        <v>-69199.57</v>
      </c>
      <c r="I678" s="184">
        <v>20601.81</v>
      </c>
      <c r="J678" s="168">
        <v>3.0</v>
      </c>
      <c r="K678" s="168">
        <v>8.0</v>
      </c>
      <c r="L678" s="168">
        <v>6.0</v>
      </c>
      <c r="M678" s="184">
        <v>-37623.76</v>
      </c>
      <c r="N678" s="184">
        <v>-23859.72</v>
      </c>
      <c r="O678" s="184">
        <v>-56447.81</v>
      </c>
      <c r="P678" s="184">
        <v>-4285.33</v>
      </c>
    </row>
    <row r="679">
      <c r="A679" s="168">
        <v>70.0</v>
      </c>
      <c r="B679" s="168">
        <v>81.0</v>
      </c>
      <c r="C679" s="168">
        <v>47.0</v>
      </c>
      <c r="D679" s="168">
        <v>30.0</v>
      </c>
      <c r="E679" s="168">
        <v>9.0</v>
      </c>
      <c r="F679" s="168">
        <v>3.0</v>
      </c>
      <c r="G679" s="168">
        <v>6.0</v>
      </c>
      <c r="H679" s="183">
        <v>29276.77</v>
      </c>
      <c r="I679" s="184">
        <v>-89322.96</v>
      </c>
      <c r="J679" s="168">
        <v>8.0</v>
      </c>
      <c r="K679" s="168">
        <v>4.0</v>
      </c>
      <c r="L679" s="168">
        <v>5.0</v>
      </c>
      <c r="M679" s="184">
        <v>-55691.72</v>
      </c>
      <c r="N679" s="184">
        <v>-5365.96</v>
      </c>
      <c r="O679" s="184">
        <v>62431.37</v>
      </c>
      <c r="P679" s="184">
        <v>5378.37</v>
      </c>
    </row>
    <row r="680">
      <c r="A680" s="168">
        <v>65.0</v>
      </c>
      <c r="B680" s="168">
        <v>20.0</v>
      </c>
      <c r="C680" s="168">
        <v>71.0</v>
      </c>
      <c r="D680" s="168">
        <v>31.0</v>
      </c>
      <c r="E680" s="168">
        <v>5.0</v>
      </c>
      <c r="F680" s="168">
        <v>9.0</v>
      </c>
      <c r="G680" s="168">
        <v>7.0</v>
      </c>
      <c r="H680" s="183">
        <v>19960.48</v>
      </c>
      <c r="I680" s="184">
        <v>97086.81</v>
      </c>
      <c r="J680" s="168">
        <v>6.0</v>
      </c>
      <c r="K680" s="168">
        <v>1.0</v>
      </c>
      <c r="L680" s="168">
        <v>7.0</v>
      </c>
      <c r="M680" s="184">
        <v>32411.72</v>
      </c>
      <c r="N680" s="184">
        <v>15215.37</v>
      </c>
      <c r="O680" s="184">
        <v>51805.28</v>
      </c>
      <c r="P680" s="184">
        <v>-48783.11</v>
      </c>
    </row>
    <row r="681">
      <c r="A681" s="168">
        <v>88.0</v>
      </c>
      <c r="B681" s="168">
        <v>25.0</v>
      </c>
      <c r="C681" s="168">
        <v>48.0</v>
      </c>
      <c r="D681" s="168">
        <v>39.0</v>
      </c>
      <c r="E681" s="168">
        <v>4.0</v>
      </c>
      <c r="F681" s="168">
        <v>6.0</v>
      </c>
      <c r="G681" s="168">
        <v>1.0</v>
      </c>
      <c r="H681" s="183">
        <v>-11484.46</v>
      </c>
      <c r="I681" s="184">
        <v>-7151.93</v>
      </c>
      <c r="J681" s="168">
        <v>5.0</v>
      </c>
      <c r="K681" s="168">
        <v>4.0</v>
      </c>
      <c r="L681" s="168">
        <v>3.0</v>
      </c>
      <c r="M681" s="184">
        <v>-54295.12</v>
      </c>
      <c r="N681" s="184">
        <v>54406.17</v>
      </c>
      <c r="O681" s="184">
        <v>-93361.23</v>
      </c>
      <c r="P681" s="184">
        <v>-67098.37</v>
      </c>
    </row>
    <row r="682">
      <c r="A682" s="168">
        <v>79.0</v>
      </c>
      <c r="B682" s="168">
        <v>63.0</v>
      </c>
      <c r="C682" s="168">
        <v>26.0</v>
      </c>
      <c r="D682" s="168">
        <v>47.0</v>
      </c>
      <c r="E682" s="168">
        <v>4.0</v>
      </c>
      <c r="F682" s="168">
        <v>7.0</v>
      </c>
      <c r="G682" s="168">
        <v>6.0</v>
      </c>
      <c r="H682" s="183">
        <v>70452.72</v>
      </c>
      <c r="I682" s="184">
        <v>-8505.07</v>
      </c>
      <c r="J682" s="168">
        <v>7.0</v>
      </c>
      <c r="K682" s="168">
        <v>9.0</v>
      </c>
      <c r="L682" s="168">
        <v>7.0</v>
      </c>
      <c r="M682" s="184">
        <v>90893.1</v>
      </c>
      <c r="N682" s="184">
        <v>80694.45</v>
      </c>
      <c r="O682" s="184">
        <v>38393.41</v>
      </c>
      <c r="P682" s="184">
        <v>-45335.1</v>
      </c>
    </row>
    <row r="683">
      <c r="A683" s="168">
        <v>22.0</v>
      </c>
      <c r="B683" s="168">
        <v>64.0</v>
      </c>
      <c r="C683" s="168">
        <v>48.0</v>
      </c>
      <c r="D683" s="168">
        <v>41.0</v>
      </c>
      <c r="E683" s="168">
        <v>2.0</v>
      </c>
      <c r="F683" s="168">
        <v>1.0</v>
      </c>
      <c r="G683" s="168">
        <v>8.0</v>
      </c>
      <c r="H683" s="183">
        <v>-96429.72</v>
      </c>
      <c r="I683" s="184">
        <v>-56740.74</v>
      </c>
      <c r="J683" s="168">
        <v>3.0</v>
      </c>
      <c r="K683" s="168">
        <v>4.0</v>
      </c>
      <c r="L683" s="168">
        <v>5.0</v>
      </c>
      <c r="M683" s="184">
        <v>84617.55</v>
      </c>
      <c r="N683" s="184">
        <v>79993.55</v>
      </c>
      <c r="O683" s="184">
        <v>-28465.52</v>
      </c>
      <c r="P683" s="184">
        <v>-41742.99</v>
      </c>
    </row>
    <row r="684">
      <c r="A684" s="168">
        <v>87.0</v>
      </c>
      <c r="B684" s="168">
        <v>42.0</v>
      </c>
      <c r="C684" s="168">
        <v>20.0</v>
      </c>
      <c r="D684" s="168">
        <v>41.0</v>
      </c>
      <c r="E684" s="168">
        <v>3.0</v>
      </c>
      <c r="F684" s="168">
        <v>6.0</v>
      </c>
      <c r="G684" s="168">
        <v>5.0</v>
      </c>
      <c r="H684" s="183">
        <v>65717.31</v>
      </c>
      <c r="I684" s="184">
        <v>-22942.69</v>
      </c>
      <c r="J684" s="168">
        <v>7.0</v>
      </c>
      <c r="K684" s="168">
        <v>3.0</v>
      </c>
      <c r="L684" s="168">
        <v>5.0</v>
      </c>
      <c r="M684" s="184">
        <v>74461.21</v>
      </c>
      <c r="N684" s="184">
        <v>16629.16</v>
      </c>
      <c r="O684" s="184">
        <v>33016.62</v>
      </c>
      <c r="P684" s="184">
        <v>-4122.0</v>
      </c>
    </row>
    <row r="685">
      <c r="A685" s="168">
        <v>80.0</v>
      </c>
      <c r="B685" s="168">
        <v>52.0</v>
      </c>
      <c r="C685" s="168">
        <v>85.0</v>
      </c>
      <c r="D685" s="168">
        <v>59.0</v>
      </c>
      <c r="E685" s="168">
        <v>4.0</v>
      </c>
      <c r="F685" s="168">
        <v>8.0</v>
      </c>
      <c r="G685" s="168">
        <v>5.0</v>
      </c>
      <c r="H685" s="183">
        <v>-48492.94</v>
      </c>
      <c r="I685" s="184">
        <v>66794.93</v>
      </c>
      <c r="J685" s="168">
        <v>5.0</v>
      </c>
      <c r="K685" s="168">
        <v>8.0</v>
      </c>
      <c r="L685" s="168">
        <v>9.0</v>
      </c>
      <c r="M685" s="184">
        <v>21200.05</v>
      </c>
      <c r="N685" s="184">
        <v>93440.17</v>
      </c>
      <c r="O685" s="184">
        <v>-98412.32</v>
      </c>
      <c r="P685" s="184">
        <v>73341.49</v>
      </c>
    </row>
    <row r="686">
      <c r="A686" s="168">
        <v>94.0</v>
      </c>
      <c r="B686" s="168">
        <v>75.0</v>
      </c>
      <c r="C686" s="168">
        <v>35.0</v>
      </c>
      <c r="D686" s="168">
        <v>10.0</v>
      </c>
      <c r="E686" s="168">
        <v>8.0</v>
      </c>
      <c r="F686" s="168">
        <v>5.0</v>
      </c>
      <c r="G686" s="168">
        <v>6.0</v>
      </c>
      <c r="H686" s="183">
        <v>-24966.49</v>
      </c>
      <c r="I686" s="184">
        <v>61240.84</v>
      </c>
      <c r="J686" s="168">
        <v>5.0</v>
      </c>
      <c r="K686" s="168">
        <v>3.0</v>
      </c>
      <c r="L686" s="168">
        <v>8.0</v>
      </c>
      <c r="M686" s="184">
        <v>34147.99</v>
      </c>
      <c r="N686" s="184">
        <v>-33052.05</v>
      </c>
      <c r="O686" s="184">
        <v>-62792.98</v>
      </c>
      <c r="P686" s="184">
        <v>-67643.62</v>
      </c>
    </row>
    <row r="687">
      <c r="A687" s="168">
        <v>65.0</v>
      </c>
      <c r="B687" s="168">
        <v>43.0</v>
      </c>
      <c r="C687" s="168">
        <v>73.0</v>
      </c>
      <c r="D687" s="168">
        <v>63.0</v>
      </c>
      <c r="E687" s="168">
        <v>6.0</v>
      </c>
      <c r="F687" s="168">
        <v>5.0</v>
      </c>
      <c r="G687" s="168">
        <v>3.0</v>
      </c>
      <c r="H687" s="183">
        <v>-13220.07</v>
      </c>
      <c r="I687" s="184">
        <v>91161.07</v>
      </c>
      <c r="J687" s="168">
        <v>9.0</v>
      </c>
      <c r="K687" s="168">
        <v>9.0</v>
      </c>
      <c r="L687" s="168">
        <v>3.0</v>
      </c>
      <c r="M687" s="184">
        <v>-63932.09</v>
      </c>
      <c r="N687" s="184">
        <v>-51837.61</v>
      </c>
      <c r="O687" s="184">
        <v>45171.46</v>
      </c>
      <c r="P687" s="184">
        <v>-5414.16</v>
      </c>
    </row>
    <row r="688">
      <c r="A688" s="168">
        <v>50.0</v>
      </c>
      <c r="B688" s="168">
        <v>43.0</v>
      </c>
      <c r="C688" s="168">
        <v>56.0</v>
      </c>
      <c r="D688" s="168">
        <v>42.0</v>
      </c>
      <c r="E688" s="168">
        <v>4.0</v>
      </c>
      <c r="F688" s="168">
        <v>6.0</v>
      </c>
      <c r="G688" s="168">
        <v>6.0</v>
      </c>
      <c r="H688" s="183">
        <v>-2018.54</v>
      </c>
      <c r="I688" s="184">
        <v>21878.16</v>
      </c>
      <c r="J688" s="168">
        <v>8.0</v>
      </c>
      <c r="K688" s="168">
        <v>2.0</v>
      </c>
      <c r="L688" s="168">
        <v>1.0</v>
      </c>
      <c r="M688" s="184">
        <v>39554.32</v>
      </c>
      <c r="N688" s="184">
        <v>-88281.59</v>
      </c>
      <c r="O688" s="184">
        <v>-96484.29</v>
      </c>
      <c r="P688" s="184">
        <v>68973.51</v>
      </c>
    </row>
    <row r="689">
      <c r="A689" s="168">
        <v>82.0</v>
      </c>
      <c r="B689" s="168">
        <v>65.0</v>
      </c>
      <c r="C689" s="168">
        <v>98.0</v>
      </c>
      <c r="D689" s="168">
        <v>57.0</v>
      </c>
      <c r="E689" s="168">
        <v>7.0</v>
      </c>
      <c r="F689" s="168">
        <v>3.0</v>
      </c>
      <c r="G689" s="168">
        <v>7.0</v>
      </c>
      <c r="H689" s="183">
        <v>-18307.6</v>
      </c>
      <c r="I689" s="184">
        <v>8898.93</v>
      </c>
      <c r="J689" s="168">
        <v>3.0</v>
      </c>
      <c r="K689" s="168">
        <v>6.0</v>
      </c>
      <c r="L689" s="168">
        <v>8.0</v>
      </c>
      <c r="M689" s="184">
        <v>88756.92</v>
      </c>
      <c r="N689" s="184">
        <v>5275.76</v>
      </c>
      <c r="O689" s="184">
        <v>-4385.81</v>
      </c>
      <c r="P689" s="184">
        <v>5517.34</v>
      </c>
    </row>
    <row r="690">
      <c r="A690" s="168">
        <v>60.0</v>
      </c>
      <c r="B690" s="168">
        <v>87.0</v>
      </c>
      <c r="C690" s="168">
        <v>41.0</v>
      </c>
      <c r="D690" s="168">
        <v>66.0</v>
      </c>
      <c r="E690" s="168">
        <v>9.0</v>
      </c>
      <c r="F690" s="168">
        <v>6.0</v>
      </c>
      <c r="G690" s="168">
        <v>1.0</v>
      </c>
      <c r="H690" s="183">
        <v>94317.4</v>
      </c>
      <c r="I690" s="184">
        <v>-86969.67</v>
      </c>
      <c r="J690" s="168">
        <v>1.0</v>
      </c>
      <c r="K690" s="168">
        <v>3.0</v>
      </c>
      <c r="L690" s="168">
        <v>5.0</v>
      </c>
      <c r="M690" s="184">
        <v>-45823.0</v>
      </c>
      <c r="N690" s="184">
        <v>-14653.57</v>
      </c>
      <c r="O690" s="184">
        <v>86419.23</v>
      </c>
      <c r="P690" s="184">
        <v>-33088.41</v>
      </c>
    </row>
    <row r="691">
      <c r="A691" s="168">
        <v>36.0</v>
      </c>
      <c r="B691" s="168">
        <v>56.0</v>
      </c>
      <c r="C691" s="168">
        <v>70.0</v>
      </c>
      <c r="D691" s="168">
        <v>30.0</v>
      </c>
      <c r="E691" s="168">
        <v>5.0</v>
      </c>
      <c r="F691" s="168">
        <v>7.0</v>
      </c>
      <c r="G691" s="168">
        <v>6.0</v>
      </c>
      <c r="H691" s="183">
        <v>-84840.97</v>
      </c>
      <c r="I691" s="184">
        <v>-65180.44</v>
      </c>
      <c r="J691" s="168">
        <v>8.0</v>
      </c>
      <c r="K691" s="168">
        <v>5.0</v>
      </c>
      <c r="L691" s="168">
        <v>6.0</v>
      </c>
      <c r="M691" s="184">
        <v>19697.77</v>
      </c>
      <c r="N691" s="184">
        <v>22419.15</v>
      </c>
      <c r="O691" s="184">
        <v>37537.99</v>
      </c>
      <c r="P691" s="184">
        <v>6473.97</v>
      </c>
    </row>
    <row r="692">
      <c r="A692" s="168">
        <v>98.0</v>
      </c>
      <c r="B692" s="168">
        <v>12.0</v>
      </c>
      <c r="C692" s="168">
        <v>11.0</v>
      </c>
      <c r="D692" s="168">
        <v>70.0</v>
      </c>
      <c r="E692" s="168">
        <v>7.0</v>
      </c>
      <c r="F692" s="168">
        <v>1.0</v>
      </c>
      <c r="G692" s="168">
        <v>6.0</v>
      </c>
      <c r="H692" s="183">
        <v>-81081.4</v>
      </c>
      <c r="I692" s="184">
        <v>-99756.61</v>
      </c>
      <c r="J692" s="168">
        <v>5.0</v>
      </c>
      <c r="K692" s="168">
        <v>4.0</v>
      </c>
      <c r="L692" s="168">
        <v>3.0</v>
      </c>
      <c r="M692" s="184">
        <v>76984.36</v>
      </c>
      <c r="N692" s="184">
        <v>-4471.74</v>
      </c>
      <c r="O692" s="184">
        <v>42576.84</v>
      </c>
      <c r="P692" s="184">
        <v>86648.84</v>
      </c>
    </row>
    <row r="693">
      <c r="A693" s="168">
        <v>39.0</v>
      </c>
      <c r="B693" s="168">
        <v>24.0</v>
      </c>
      <c r="C693" s="168">
        <v>86.0</v>
      </c>
      <c r="D693" s="168">
        <v>86.0</v>
      </c>
      <c r="E693" s="168">
        <v>3.0</v>
      </c>
      <c r="F693" s="168">
        <v>6.0</v>
      </c>
      <c r="G693" s="168">
        <v>4.0</v>
      </c>
      <c r="H693" s="183">
        <v>-64291.2</v>
      </c>
      <c r="I693" s="184">
        <v>-31067.64</v>
      </c>
      <c r="J693" s="168">
        <v>6.0</v>
      </c>
      <c r="K693" s="168">
        <v>6.0</v>
      </c>
      <c r="L693" s="168">
        <v>9.0</v>
      </c>
      <c r="M693" s="184">
        <v>-84273.46</v>
      </c>
      <c r="N693" s="184">
        <v>-59070.37</v>
      </c>
      <c r="O693" s="184">
        <v>-41507.81</v>
      </c>
      <c r="P693" s="184">
        <v>28298.78</v>
      </c>
    </row>
    <row r="694">
      <c r="A694" s="168">
        <v>94.0</v>
      </c>
      <c r="B694" s="168">
        <v>97.0</v>
      </c>
      <c r="C694" s="168">
        <v>97.0</v>
      </c>
      <c r="D694" s="168">
        <v>58.0</v>
      </c>
      <c r="E694" s="168">
        <v>6.0</v>
      </c>
      <c r="F694" s="168">
        <v>6.0</v>
      </c>
      <c r="G694" s="168">
        <v>8.0</v>
      </c>
      <c r="H694" s="183">
        <v>95622.25</v>
      </c>
      <c r="I694" s="184">
        <v>28692.67</v>
      </c>
      <c r="J694" s="168">
        <v>3.0</v>
      </c>
      <c r="K694" s="168">
        <v>8.0</v>
      </c>
      <c r="L694" s="168">
        <v>1.0</v>
      </c>
      <c r="M694" s="184">
        <v>81938.87</v>
      </c>
      <c r="N694" s="184">
        <v>-35377.89</v>
      </c>
      <c r="O694" s="184">
        <v>-2305.68</v>
      </c>
      <c r="P694" s="184">
        <v>-89570.22</v>
      </c>
    </row>
    <row r="695">
      <c r="A695" s="168">
        <v>40.0</v>
      </c>
      <c r="B695" s="168">
        <v>85.0</v>
      </c>
      <c r="C695" s="168">
        <v>41.0</v>
      </c>
      <c r="D695" s="168">
        <v>35.0</v>
      </c>
      <c r="E695" s="168">
        <v>9.0</v>
      </c>
      <c r="F695" s="168">
        <v>4.0</v>
      </c>
      <c r="G695" s="168">
        <v>8.0</v>
      </c>
      <c r="H695" s="183">
        <v>-84094.98</v>
      </c>
      <c r="I695" s="184">
        <v>71003.74</v>
      </c>
      <c r="J695" s="168">
        <v>9.0</v>
      </c>
      <c r="K695" s="168">
        <v>5.0</v>
      </c>
      <c r="L695" s="168">
        <v>8.0</v>
      </c>
      <c r="M695" s="184">
        <v>-9021.79</v>
      </c>
      <c r="N695" s="184">
        <v>36071.54</v>
      </c>
      <c r="O695" s="184">
        <v>-10427.93</v>
      </c>
      <c r="P695" s="184">
        <v>-59035.56</v>
      </c>
    </row>
    <row r="696">
      <c r="A696" s="168">
        <v>80.0</v>
      </c>
      <c r="B696" s="168">
        <v>60.0</v>
      </c>
      <c r="C696" s="168">
        <v>92.0</v>
      </c>
      <c r="D696" s="168">
        <v>63.0</v>
      </c>
      <c r="E696" s="168">
        <v>6.0</v>
      </c>
      <c r="F696" s="168">
        <v>8.0</v>
      </c>
      <c r="G696" s="168">
        <v>2.0</v>
      </c>
      <c r="H696" s="183">
        <v>-74713.0</v>
      </c>
      <c r="I696" s="184">
        <v>-8505.89</v>
      </c>
      <c r="J696" s="168">
        <v>1.0</v>
      </c>
      <c r="K696" s="168">
        <v>1.0</v>
      </c>
      <c r="L696" s="168">
        <v>6.0</v>
      </c>
      <c r="M696" s="184">
        <v>93266.12</v>
      </c>
      <c r="N696" s="184">
        <v>82235.64</v>
      </c>
      <c r="O696" s="184">
        <v>-36996.53</v>
      </c>
      <c r="P696" s="184">
        <v>-10076.65</v>
      </c>
    </row>
    <row r="697">
      <c r="A697" s="168">
        <v>11.0</v>
      </c>
      <c r="B697" s="168">
        <v>70.0</v>
      </c>
      <c r="C697" s="168">
        <v>72.0</v>
      </c>
      <c r="D697" s="168">
        <v>87.0</v>
      </c>
      <c r="E697" s="168">
        <v>7.0</v>
      </c>
      <c r="F697" s="168">
        <v>8.0</v>
      </c>
      <c r="G697" s="168">
        <v>5.0</v>
      </c>
      <c r="H697" s="183">
        <v>7907.16</v>
      </c>
      <c r="I697" s="184">
        <v>55172.69</v>
      </c>
      <c r="J697" s="168">
        <v>8.0</v>
      </c>
      <c r="K697" s="168">
        <v>5.0</v>
      </c>
      <c r="L697" s="168">
        <v>4.0</v>
      </c>
      <c r="M697" s="184">
        <v>44865.41</v>
      </c>
      <c r="N697" s="184">
        <v>-29588.64</v>
      </c>
      <c r="O697" s="184">
        <v>-53178.6</v>
      </c>
      <c r="P697" s="184">
        <v>-30313.06</v>
      </c>
    </row>
    <row r="698">
      <c r="A698" s="168">
        <v>14.0</v>
      </c>
      <c r="B698" s="168">
        <v>17.0</v>
      </c>
      <c r="C698" s="168">
        <v>76.0</v>
      </c>
      <c r="D698" s="168">
        <v>16.0</v>
      </c>
      <c r="E698" s="168">
        <v>8.0</v>
      </c>
      <c r="F698" s="168">
        <v>2.0</v>
      </c>
      <c r="G698" s="168">
        <v>4.0</v>
      </c>
      <c r="H698" s="183">
        <v>-4062.25</v>
      </c>
      <c r="I698" s="184">
        <v>38433.19</v>
      </c>
      <c r="J698" s="168">
        <v>6.0</v>
      </c>
      <c r="K698" s="168">
        <v>2.0</v>
      </c>
      <c r="L698" s="168">
        <v>3.0</v>
      </c>
      <c r="M698" s="184">
        <v>-23985.75</v>
      </c>
      <c r="N698" s="184">
        <v>-31011.39</v>
      </c>
      <c r="O698" s="184">
        <v>52426.25</v>
      </c>
      <c r="P698" s="184">
        <v>-67598.92</v>
      </c>
    </row>
    <row r="699">
      <c r="A699" s="168">
        <v>87.0</v>
      </c>
      <c r="B699" s="168">
        <v>55.0</v>
      </c>
      <c r="C699" s="168">
        <v>17.0</v>
      </c>
      <c r="D699" s="168">
        <v>64.0</v>
      </c>
      <c r="E699" s="168">
        <v>5.0</v>
      </c>
      <c r="F699" s="168">
        <v>5.0</v>
      </c>
      <c r="G699" s="168">
        <v>5.0</v>
      </c>
      <c r="H699" s="183">
        <v>-56763.97</v>
      </c>
      <c r="I699" s="184">
        <v>71967.51</v>
      </c>
      <c r="J699" s="168">
        <v>4.0</v>
      </c>
      <c r="K699" s="168">
        <v>4.0</v>
      </c>
      <c r="L699" s="168">
        <v>3.0</v>
      </c>
      <c r="M699" s="184">
        <v>-43889.17</v>
      </c>
      <c r="N699" s="184">
        <v>44555.97</v>
      </c>
      <c r="O699" s="184">
        <v>21597.26</v>
      </c>
      <c r="P699" s="184">
        <v>1283.34</v>
      </c>
    </row>
    <row r="700">
      <c r="A700" s="168">
        <v>93.0</v>
      </c>
      <c r="B700" s="168">
        <v>80.0</v>
      </c>
      <c r="C700" s="168">
        <v>55.0</v>
      </c>
      <c r="D700" s="168">
        <v>80.0</v>
      </c>
      <c r="E700" s="168">
        <v>7.0</v>
      </c>
      <c r="F700" s="168">
        <v>4.0</v>
      </c>
      <c r="G700" s="168">
        <v>9.0</v>
      </c>
      <c r="H700" s="183">
        <v>-40309.18</v>
      </c>
      <c r="I700" s="184">
        <v>34111.59</v>
      </c>
      <c r="J700" s="168">
        <v>3.0</v>
      </c>
      <c r="K700" s="168">
        <v>4.0</v>
      </c>
      <c r="L700" s="168">
        <v>7.0</v>
      </c>
      <c r="M700" s="184">
        <v>-2345.03</v>
      </c>
      <c r="N700" s="184">
        <v>54025.88</v>
      </c>
      <c r="O700" s="184">
        <v>-99648.26</v>
      </c>
      <c r="P700" s="184">
        <v>73539.94</v>
      </c>
    </row>
    <row r="701">
      <c r="A701" s="168">
        <v>72.0</v>
      </c>
      <c r="B701" s="168">
        <v>50.0</v>
      </c>
      <c r="C701" s="168">
        <v>30.0</v>
      </c>
      <c r="D701" s="168">
        <v>49.0</v>
      </c>
      <c r="E701" s="168">
        <v>8.0</v>
      </c>
      <c r="F701" s="168">
        <v>5.0</v>
      </c>
      <c r="G701" s="168">
        <v>4.0</v>
      </c>
      <c r="H701" s="183">
        <v>40443.7</v>
      </c>
      <c r="I701" s="184">
        <v>11721.77</v>
      </c>
      <c r="J701" s="168">
        <v>3.0</v>
      </c>
      <c r="K701" s="168">
        <v>2.0</v>
      </c>
      <c r="L701" s="168">
        <v>3.0</v>
      </c>
      <c r="M701" s="184">
        <v>-5256.04</v>
      </c>
      <c r="N701" s="184">
        <v>87311.59</v>
      </c>
      <c r="O701" s="184">
        <v>80928.99</v>
      </c>
      <c r="P701" s="184">
        <v>-79428.43</v>
      </c>
    </row>
    <row r="702">
      <c r="A702" s="168">
        <v>70.0</v>
      </c>
      <c r="B702" s="168">
        <v>69.0</v>
      </c>
      <c r="C702" s="168">
        <v>92.0</v>
      </c>
      <c r="D702" s="168">
        <v>56.0</v>
      </c>
      <c r="E702" s="168">
        <v>5.0</v>
      </c>
      <c r="F702" s="168">
        <v>9.0</v>
      </c>
      <c r="G702" s="168">
        <v>1.0</v>
      </c>
      <c r="H702" s="183">
        <v>32868.23</v>
      </c>
      <c r="I702" s="184">
        <v>12312.82</v>
      </c>
      <c r="J702" s="168">
        <v>7.0</v>
      </c>
      <c r="K702" s="168">
        <v>9.0</v>
      </c>
      <c r="L702" s="168">
        <v>8.0</v>
      </c>
      <c r="M702" s="184">
        <v>94750.56</v>
      </c>
      <c r="N702" s="184">
        <v>-74452.27</v>
      </c>
      <c r="O702" s="184">
        <v>-53704.54</v>
      </c>
      <c r="P702" s="184">
        <v>7060.09</v>
      </c>
    </row>
    <row r="703">
      <c r="A703" s="168">
        <v>85.0</v>
      </c>
      <c r="B703" s="168">
        <v>30.0</v>
      </c>
      <c r="C703" s="168">
        <v>35.0</v>
      </c>
      <c r="D703" s="168">
        <v>74.0</v>
      </c>
      <c r="E703" s="168">
        <v>7.0</v>
      </c>
      <c r="F703" s="168">
        <v>4.0</v>
      </c>
      <c r="G703" s="168">
        <v>9.0</v>
      </c>
      <c r="H703" s="183">
        <v>23395.16</v>
      </c>
      <c r="I703" s="184">
        <v>-98905.78</v>
      </c>
      <c r="J703" s="168">
        <v>3.0</v>
      </c>
      <c r="K703" s="168">
        <v>2.0</v>
      </c>
      <c r="L703" s="168">
        <v>7.0</v>
      </c>
      <c r="M703" s="184">
        <v>-90128.18</v>
      </c>
      <c r="N703" s="184">
        <v>-76969.36</v>
      </c>
      <c r="O703" s="184">
        <v>-83681.13</v>
      </c>
      <c r="P703" s="184">
        <v>68464.8</v>
      </c>
    </row>
    <row r="704">
      <c r="A704" s="168">
        <v>49.0</v>
      </c>
      <c r="B704" s="168">
        <v>52.0</v>
      </c>
      <c r="C704" s="168">
        <v>24.0</v>
      </c>
      <c r="D704" s="168">
        <v>64.0</v>
      </c>
      <c r="E704" s="168">
        <v>2.0</v>
      </c>
      <c r="F704" s="168">
        <v>1.0</v>
      </c>
      <c r="G704" s="168">
        <v>3.0</v>
      </c>
      <c r="H704" s="183">
        <v>35898.95</v>
      </c>
      <c r="I704" s="184">
        <v>37484.89</v>
      </c>
      <c r="J704" s="168">
        <v>8.0</v>
      </c>
      <c r="K704" s="168">
        <v>5.0</v>
      </c>
      <c r="L704" s="168">
        <v>3.0</v>
      </c>
      <c r="M704" s="184">
        <v>18646.7</v>
      </c>
      <c r="N704" s="184">
        <v>-9164.06</v>
      </c>
      <c r="O704" s="184">
        <v>-14325.59</v>
      </c>
      <c r="P704" s="184">
        <v>6713.73</v>
      </c>
    </row>
    <row r="705">
      <c r="A705" s="168">
        <v>43.0</v>
      </c>
      <c r="B705" s="168">
        <v>14.0</v>
      </c>
      <c r="C705" s="168">
        <v>11.0</v>
      </c>
      <c r="D705" s="168">
        <v>91.0</v>
      </c>
      <c r="E705" s="168">
        <v>2.0</v>
      </c>
      <c r="F705" s="168">
        <v>9.0</v>
      </c>
      <c r="G705" s="168">
        <v>9.0</v>
      </c>
      <c r="H705" s="183">
        <v>63087.07</v>
      </c>
      <c r="I705" s="184">
        <v>-29802.44</v>
      </c>
      <c r="J705" s="168">
        <v>7.0</v>
      </c>
      <c r="K705" s="168">
        <v>8.0</v>
      </c>
      <c r="L705" s="168">
        <v>4.0</v>
      </c>
      <c r="M705" s="184">
        <v>72086.94</v>
      </c>
      <c r="N705" s="184">
        <v>91817.38</v>
      </c>
      <c r="O705" s="184">
        <v>83770.85</v>
      </c>
      <c r="P705" s="184">
        <v>-64062.42</v>
      </c>
    </row>
    <row r="706">
      <c r="A706" s="168">
        <v>89.0</v>
      </c>
      <c r="B706" s="168">
        <v>36.0</v>
      </c>
      <c r="C706" s="168">
        <v>92.0</v>
      </c>
      <c r="D706" s="168">
        <v>47.0</v>
      </c>
      <c r="E706" s="168">
        <v>2.0</v>
      </c>
      <c r="F706" s="168">
        <v>3.0</v>
      </c>
      <c r="G706" s="168">
        <v>9.0</v>
      </c>
      <c r="H706" s="183">
        <v>-21178.08</v>
      </c>
      <c r="I706" s="184">
        <v>-42342.59</v>
      </c>
      <c r="J706" s="168">
        <v>3.0</v>
      </c>
      <c r="K706" s="168">
        <v>5.0</v>
      </c>
      <c r="L706" s="168">
        <v>9.0</v>
      </c>
      <c r="M706" s="184">
        <v>77328.98</v>
      </c>
      <c r="N706" s="184">
        <v>26500.17</v>
      </c>
      <c r="O706" s="184">
        <v>2612.48</v>
      </c>
      <c r="P706" s="184">
        <v>85223.13</v>
      </c>
    </row>
    <row r="707">
      <c r="A707" s="168">
        <v>79.0</v>
      </c>
      <c r="B707" s="168">
        <v>36.0</v>
      </c>
      <c r="C707" s="168">
        <v>10.0</v>
      </c>
      <c r="D707" s="168">
        <v>38.0</v>
      </c>
      <c r="E707" s="168">
        <v>8.0</v>
      </c>
      <c r="F707" s="168">
        <v>9.0</v>
      </c>
      <c r="G707" s="168">
        <v>9.0</v>
      </c>
      <c r="H707" s="183">
        <v>26873.16</v>
      </c>
      <c r="I707" s="184">
        <v>-32969.51</v>
      </c>
      <c r="J707" s="168">
        <v>4.0</v>
      </c>
      <c r="K707" s="168">
        <v>5.0</v>
      </c>
      <c r="L707" s="168">
        <v>7.0</v>
      </c>
      <c r="M707" s="184">
        <v>13581.91</v>
      </c>
      <c r="N707" s="184">
        <v>-10344.93</v>
      </c>
      <c r="O707" s="184">
        <v>20910.32</v>
      </c>
      <c r="P707" s="184">
        <v>-98883.57</v>
      </c>
    </row>
    <row r="708">
      <c r="A708" s="168">
        <v>56.0</v>
      </c>
      <c r="B708" s="168">
        <v>47.0</v>
      </c>
      <c r="C708" s="168">
        <v>30.0</v>
      </c>
      <c r="D708" s="168">
        <v>62.0</v>
      </c>
      <c r="E708" s="168">
        <v>1.0</v>
      </c>
      <c r="F708" s="168">
        <v>9.0</v>
      </c>
      <c r="G708" s="168">
        <v>2.0</v>
      </c>
      <c r="H708" s="183">
        <v>78020.39</v>
      </c>
      <c r="I708" s="184">
        <v>-97701.84</v>
      </c>
      <c r="J708" s="168">
        <v>9.0</v>
      </c>
      <c r="K708" s="168">
        <v>8.0</v>
      </c>
      <c r="L708" s="168">
        <v>9.0</v>
      </c>
      <c r="M708" s="184">
        <v>33440.93</v>
      </c>
      <c r="N708" s="184">
        <v>79844.0</v>
      </c>
      <c r="O708" s="184">
        <v>-7141.73</v>
      </c>
      <c r="P708" s="184">
        <v>45639.99</v>
      </c>
    </row>
    <row r="709">
      <c r="A709" s="168">
        <v>84.0</v>
      </c>
      <c r="B709" s="168">
        <v>49.0</v>
      </c>
      <c r="C709" s="168">
        <v>88.0</v>
      </c>
      <c r="D709" s="168">
        <v>50.0</v>
      </c>
      <c r="E709" s="168">
        <v>1.0</v>
      </c>
      <c r="F709" s="168">
        <v>9.0</v>
      </c>
      <c r="G709" s="168">
        <v>9.0</v>
      </c>
      <c r="H709" s="183">
        <v>34509.99</v>
      </c>
      <c r="I709" s="184">
        <v>95276.5</v>
      </c>
      <c r="J709" s="168">
        <v>7.0</v>
      </c>
      <c r="K709" s="168">
        <v>2.0</v>
      </c>
      <c r="L709" s="168">
        <v>6.0</v>
      </c>
      <c r="M709" s="184">
        <v>-4676.41</v>
      </c>
      <c r="N709" s="184">
        <v>-69739.7</v>
      </c>
      <c r="O709" s="184">
        <v>-66503.06</v>
      </c>
      <c r="P709" s="184">
        <v>12496.0</v>
      </c>
    </row>
    <row r="710">
      <c r="A710" s="168">
        <v>41.0</v>
      </c>
      <c r="B710" s="168">
        <v>58.0</v>
      </c>
      <c r="C710" s="168">
        <v>68.0</v>
      </c>
      <c r="D710" s="168">
        <v>94.0</v>
      </c>
      <c r="E710" s="168">
        <v>3.0</v>
      </c>
      <c r="F710" s="168">
        <v>2.0</v>
      </c>
      <c r="G710" s="168">
        <v>1.0</v>
      </c>
      <c r="H710" s="183">
        <v>46372.29</v>
      </c>
      <c r="I710" s="184">
        <v>-15372.06</v>
      </c>
      <c r="J710" s="168">
        <v>9.0</v>
      </c>
      <c r="K710" s="168">
        <v>3.0</v>
      </c>
      <c r="L710" s="168">
        <v>7.0</v>
      </c>
      <c r="M710" s="184">
        <v>-4313.61</v>
      </c>
      <c r="N710" s="184">
        <v>28850.55</v>
      </c>
      <c r="O710" s="184">
        <v>49455.56</v>
      </c>
      <c r="P710" s="184">
        <v>-42145.96</v>
      </c>
    </row>
    <row r="711">
      <c r="A711" s="168">
        <v>56.0</v>
      </c>
      <c r="B711" s="168">
        <v>27.0</v>
      </c>
      <c r="C711" s="168">
        <v>68.0</v>
      </c>
      <c r="D711" s="168">
        <v>39.0</v>
      </c>
      <c r="E711" s="168">
        <v>6.0</v>
      </c>
      <c r="F711" s="168">
        <v>9.0</v>
      </c>
      <c r="G711" s="168">
        <v>4.0</v>
      </c>
      <c r="H711" s="183">
        <v>83026.0</v>
      </c>
      <c r="I711" s="184">
        <v>69658.85</v>
      </c>
      <c r="J711" s="168">
        <v>6.0</v>
      </c>
      <c r="K711" s="168">
        <v>5.0</v>
      </c>
      <c r="L711" s="168">
        <v>3.0</v>
      </c>
      <c r="M711" s="184">
        <v>-38366.86</v>
      </c>
      <c r="N711" s="184">
        <v>27245.54</v>
      </c>
      <c r="O711" s="184">
        <v>-41639.18</v>
      </c>
      <c r="P711" s="184">
        <v>-59681.31</v>
      </c>
    </row>
    <row r="712">
      <c r="A712" s="168">
        <v>34.0</v>
      </c>
      <c r="B712" s="168">
        <v>60.0</v>
      </c>
      <c r="C712" s="168">
        <v>17.0</v>
      </c>
      <c r="D712" s="168">
        <v>65.0</v>
      </c>
      <c r="E712" s="168">
        <v>5.0</v>
      </c>
      <c r="F712" s="168">
        <v>1.0</v>
      </c>
      <c r="G712" s="168">
        <v>1.0</v>
      </c>
      <c r="H712" s="183">
        <v>74391.46</v>
      </c>
      <c r="I712" s="184">
        <v>10770.84</v>
      </c>
      <c r="J712" s="168">
        <v>7.0</v>
      </c>
      <c r="K712" s="168">
        <v>8.0</v>
      </c>
      <c r="L712" s="168">
        <v>5.0</v>
      </c>
      <c r="M712" s="184">
        <v>88415.09</v>
      </c>
      <c r="N712" s="184">
        <v>34976.25</v>
      </c>
      <c r="O712" s="184">
        <v>-36529.82</v>
      </c>
      <c r="P712" s="184">
        <v>-1949.22</v>
      </c>
    </row>
    <row r="713">
      <c r="A713" s="168">
        <v>60.0</v>
      </c>
      <c r="B713" s="168">
        <v>22.0</v>
      </c>
      <c r="C713" s="168">
        <v>44.0</v>
      </c>
      <c r="D713" s="168">
        <v>75.0</v>
      </c>
      <c r="E713" s="168">
        <v>8.0</v>
      </c>
      <c r="F713" s="168">
        <v>4.0</v>
      </c>
      <c r="G713" s="168">
        <v>2.0</v>
      </c>
      <c r="H713" s="183">
        <v>82262.42</v>
      </c>
      <c r="I713" s="184">
        <v>49426.07</v>
      </c>
      <c r="J713" s="168">
        <v>3.0</v>
      </c>
      <c r="K713" s="168">
        <v>9.0</v>
      </c>
      <c r="L713" s="168">
        <v>2.0</v>
      </c>
      <c r="M713" s="184">
        <v>-7488.01</v>
      </c>
      <c r="N713" s="184">
        <v>66983.86</v>
      </c>
      <c r="O713" s="184">
        <v>21395.85</v>
      </c>
      <c r="P713" s="184">
        <v>30493.71</v>
      </c>
    </row>
    <row r="714">
      <c r="A714" s="168">
        <v>95.0</v>
      </c>
      <c r="B714" s="168">
        <v>78.0</v>
      </c>
      <c r="C714" s="168">
        <v>75.0</v>
      </c>
      <c r="D714" s="168">
        <v>86.0</v>
      </c>
      <c r="E714" s="168">
        <v>9.0</v>
      </c>
      <c r="F714" s="168">
        <v>1.0</v>
      </c>
      <c r="G714" s="168">
        <v>8.0</v>
      </c>
      <c r="H714" s="183">
        <v>-85734.73</v>
      </c>
      <c r="I714" s="184">
        <v>-16920.63</v>
      </c>
      <c r="J714" s="168">
        <v>5.0</v>
      </c>
      <c r="K714" s="168">
        <v>5.0</v>
      </c>
      <c r="L714" s="168">
        <v>5.0</v>
      </c>
      <c r="M714" s="184">
        <v>60506.83</v>
      </c>
      <c r="N714" s="184">
        <v>-72662.65</v>
      </c>
      <c r="O714" s="184">
        <v>56915.58</v>
      </c>
      <c r="P714" s="184">
        <v>-79429.8</v>
      </c>
    </row>
    <row r="715">
      <c r="A715" s="168">
        <v>56.0</v>
      </c>
      <c r="B715" s="168">
        <v>14.0</v>
      </c>
      <c r="C715" s="168">
        <v>90.0</v>
      </c>
      <c r="D715" s="168">
        <v>58.0</v>
      </c>
      <c r="E715" s="168">
        <v>5.0</v>
      </c>
      <c r="F715" s="168">
        <v>2.0</v>
      </c>
      <c r="G715" s="168">
        <v>7.0</v>
      </c>
      <c r="H715" s="183">
        <v>61007.43</v>
      </c>
      <c r="I715" s="184">
        <v>54125.6</v>
      </c>
      <c r="J715" s="168">
        <v>2.0</v>
      </c>
      <c r="K715" s="168">
        <v>3.0</v>
      </c>
      <c r="L715" s="168">
        <v>7.0</v>
      </c>
      <c r="M715" s="184">
        <v>65983.0</v>
      </c>
      <c r="N715" s="184">
        <v>-43110.8</v>
      </c>
      <c r="O715" s="184">
        <v>58505.42</v>
      </c>
      <c r="P715" s="184">
        <v>-60907.58</v>
      </c>
    </row>
    <row r="716">
      <c r="A716" s="168">
        <v>17.0</v>
      </c>
      <c r="B716" s="168">
        <v>65.0</v>
      </c>
      <c r="C716" s="168">
        <v>36.0</v>
      </c>
      <c r="D716" s="168">
        <v>55.0</v>
      </c>
      <c r="E716" s="168">
        <v>6.0</v>
      </c>
      <c r="F716" s="168">
        <v>8.0</v>
      </c>
      <c r="G716" s="168">
        <v>4.0</v>
      </c>
      <c r="H716" s="183">
        <v>-11295.15</v>
      </c>
      <c r="I716" s="184">
        <v>30024.23</v>
      </c>
      <c r="J716" s="168">
        <v>5.0</v>
      </c>
      <c r="K716" s="168">
        <v>3.0</v>
      </c>
      <c r="L716" s="168">
        <v>7.0</v>
      </c>
      <c r="M716" s="184">
        <v>27173.36</v>
      </c>
      <c r="N716" s="184">
        <v>-79950.57</v>
      </c>
      <c r="O716" s="184">
        <v>16352.87</v>
      </c>
      <c r="P716" s="184">
        <v>9233.63</v>
      </c>
    </row>
    <row r="717">
      <c r="A717" s="168">
        <v>93.0</v>
      </c>
      <c r="B717" s="168">
        <v>83.0</v>
      </c>
      <c r="C717" s="168">
        <v>74.0</v>
      </c>
      <c r="D717" s="168">
        <v>71.0</v>
      </c>
      <c r="E717" s="168">
        <v>4.0</v>
      </c>
      <c r="F717" s="168">
        <v>7.0</v>
      </c>
      <c r="G717" s="168">
        <v>6.0</v>
      </c>
      <c r="H717" s="183">
        <v>-9369.3</v>
      </c>
      <c r="I717" s="184">
        <v>76074.11</v>
      </c>
      <c r="J717" s="168">
        <v>7.0</v>
      </c>
      <c r="K717" s="168">
        <v>7.0</v>
      </c>
      <c r="L717" s="168">
        <v>2.0</v>
      </c>
      <c r="M717" s="184">
        <v>-33426.2</v>
      </c>
      <c r="N717" s="184">
        <v>-32322.15</v>
      </c>
      <c r="O717" s="184">
        <v>39524.28</v>
      </c>
      <c r="P717" s="184">
        <v>-49054.96</v>
      </c>
    </row>
    <row r="718">
      <c r="A718" s="168">
        <v>19.0</v>
      </c>
      <c r="B718" s="168">
        <v>20.0</v>
      </c>
      <c r="C718" s="168">
        <v>36.0</v>
      </c>
      <c r="D718" s="168">
        <v>71.0</v>
      </c>
      <c r="E718" s="168">
        <v>9.0</v>
      </c>
      <c r="F718" s="168">
        <v>4.0</v>
      </c>
      <c r="G718" s="168">
        <v>8.0</v>
      </c>
      <c r="H718" s="183">
        <v>-97305.52</v>
      </c>
      <c r="I718" s="184">
        <v>79740.71</v>
      </c>
      <c r="J718" s="168">
        <v>7.0</v>
      </c>
      <c r="K718" s="168">
        <v>2.0</v>
      </c>
      <c r="L718" s="168">
        <v>4.0</v>
      </c>
      <c r="M718" s="184">
        <v>3173.72</v>
      </c>
      <c r="N718" s="184">
        <v>-5937.04</v>
      </c>
      <c r="O718" s="184">
        <v>33651.5</v>
      </c>
      <c r="P718" s="184">
        <v>-22018.94</v>
      </c>
    </row>
    <row r="719">
      <c r="A719" s="168">
        <v>32.0</v>
      </c>
      <c r="B719" s="168">
        <v>22.0</v>
      </c>
      <c r="C719" s="168">
        <v>29.0</v>
      </c>
      <c r="D719" s="168">
        <v>52.0</v>
      </c>
      <c r="E719" s="168">
        <v>7.0</v>
      </c>
      <c r="F719" s="168">
        <v>6.0</v>
      </c>
      <c r="G719" s="168">
        <v>1.0</v>
      </c>
      <c r="H719" s="183">
        <v>-25483.02</v>
      </c>
      <c r="I719" s="184">
        <v>-3793.11</v>
      </c>
      <c r="J719" s="168">
        <v>2.0</v>
      </c>
      <c r="K719" s="168">
        <v>3.0</v>
      </c>
      <c r="L719" s="168">
        <v>5.0</v>
      </c>
      <c r="M719" s="184">
        <v>36792.94</v>
      </c>
      <c r="N719" s="184">
        <v>-66297.34</v>
      </c>
      <c r="O719" s="184">
        <v>-32077.1</v>
      </c>
      <c r="P719" s="184">
        <v>-52132.54</v>
      </c>
    </row>
    <row r="720">
      <c r="A720" s="168">
        <v>24.0</v>
      </c>
      <c r="B720" s="168">
        <v>93.0</v>
      </c>
      <c r="C720" s="168">
        <v>22.0</v>
      </c>
      <c r="D720" s="168">
        <v>46.0</v>
      </c>
      <c r="E720" s="168">
        <v>4.0</v>
      </c>
      <c r="F720" s="168">
        <v>8.0</v>
      </c>
      <c r="G720" s="168">
        <v>5.0</v>
      </c>
      <c r="H720" s="183">
        <v>-56080.59</v>
      </c>
      <c r="I720" s="184">
        <v>-442.96</v>
      </c>
      <c r="J720" s="168">
        <v>4.0</v>
      </c>
      <c r="K720" s="168">
        <v>6.0</v>
      </c>
      <c r="L720" s="168">
        <v>3.0</v>
      </c>
      <c r="M720" s="184">
        <v>-70070.84</v>
      </c>
      <c r="N720" s="184">
        <v>58598.81</v>
      </c>
      <c r="O720" s="184">
        <v>-19064.31</v>
      </c>
      <c r="P720" s="184">
        <v>-28519.08</v>
      </c>
    </row>
    <row r="721">
      <c r="A721" s="168">
        <v>69.0</v>
      </c>
      <c r="B721" s="168">
        <v>66.0</v>
      </c>
      <c r="C721" s="168">
        <v>72.0</v>
      </c>
      <c r="D721" s="168">
        <v>39.0</v>
      </c>
      <c r="E721" s="168">
        <v>3.0</v>
      </c>
      <c r="F721" s="168">
        <v>1.0</v>
      </c>
      <c r="G721" s="168">
        <v>6.0</v>
      </c>
      <c r="H721" s="183">
        <v>20458.89</v>
      </c>
      <c r="I721" s="184">
        <v>-20567.59</v>
      </c>
      <c r="J721" s="168">
        <v>5.0</v>
      </c>
      <c r="K721" s="168">
        <v>5.0</v>
      </c>
      <c r="L721" s="168">
        <v>9.0</v>
      </c>
      <c r="M721" s="184">
        <v>72378.98</v>
      </c>
      <c r="N721" s="184">
        <v>22258.87</v>
      </c>
      <c r="O721" s="184">
        <v>46838.47</v>
      </c>
      <c r="P721" s="184">
        <v>-33775.56</v>
      </c>
    </row>
    <row r="722">
      <c r="A722" s="168">
        <v>26.0</v>
      </c>
      <c r="B722" s="168">
        <v>50.0</v>
      </c>
      <c r="C722" s="168">
        <v>15.0</v>
      </c>
      <c r="D722" s="168">
        <v>74.0</v>
      </c>
      <c r="E722" s="168">
        <v>3.0</v>
      </c>
      <c r="F722" s="168">
        <v>5.0</v>
      </c>
      <c r="G722" s="168">
        <v>1.0</v>
      </c>
      <c r="H722" s="183">
        <v>-78015.66</v>
      </c>
      <c r="I722" s="184">
        <v>49506.31</v>
      </c>
      <c r="J722" s="168">
        <v>3.0</v>
      </c>
      <c r="K722" s="168">
        <v>6.0</v>
      </c>
      <c r="L722" s="168">
        <v>5.0</v>
      </c>
      <c r="M722" s="184">
        <v>-80058.56</v>
      </c>
      <c r="N722" s="184">
        <v>-39939.4</v>
      </c>
      <c r="O722" s="184">
        <v>-29844.22</v>
      </c>
      <c r="P722" s="184">
        <v>-43664.0</v>
      </c>
    </row>
    <row r="723">
      <c r="A723" s="168">
        <v>73.0</v>
      </c>
      <c r="B723" s="168">
        <v>69.0</v>
      </c>
      <c r="C723" s="168">
        <v>94.0</v>
      </c>
      <c r="D723" s="168">
        <v>17.0</v>
      </c>
      <c r="E723" s="168">
        <v>9.0</v>
      </c>
      <c r="F723" s="168">
        <v>6.0</v>
      </c>
      <c r="G723" s="168">
        <v>9.0</v>
      </c>
      <c r="H723" s="183">
        <v>-31226.66</v>
      </c>
      <c r="I723" s="184">
        <v>-3021.63</v>
      </c>
      <c r="J723" s="168">
        <v>9.0</v>
      </c>
      <c r="K723" s="168">
        <v>4.0</v>
      </c>
      <c r="L723" s="168">
        <v>3.0</v>
      </c>
      <c r="M723" s="184">
        <v>-85532.78</v>
      </c>
      <c r="N723" s="184">
        <v>48212.96</v>
      </c>
      <c r="O723" s="184">
        <v>72206.88</v>
      </c>
      <c r="P723" s="184">
        <v>-27598.68</v>
      </c>
    </row>
    <row r="724">
      <c r="A724" s="168">
        <v>98.0</v>
      </c>
      <c r="B724" s="168">
        <v>11.0</v>
      </c>
      <c r="C724" s="168">
        <v>51.0</v>
      </c>
      <c r="D724" s="168">
        <v>64.0</v>
      </c>
      <c r="E724" s="168">
        <v>8.0</v>
      </c>
      <c r="F724" s="168">
        <v>1.0</v>
      </c>
      <c r="G724" s="168">
        <v>6.0</v>
      </c>
      <c r="H724" s="183">
        <v>-56716.76</v>
      </c>
      <c r="I724" s="184">
        <v>78019.69</v>
      </c>
      <c r="J724" s="168">
        <v>5.0</v>
      </c>
      <c r="K724" s="168">
        <v>5.0</v>
      </c>
      <c r="L724" s="168">
        <v>6.0</v>
      </c>
      <c r="M724" s="184">
        <v>42157.03</v>
      </c>
      <c r="N724" s="184">
        <v>14160.49</v>
      </c>
      <c r="O724" s="184">
        <v>73908.29</v>
      </c>
      <c r="P724" s="184">
        <v>-35815.98</v>
      </c>
    </row>
    <row r="725">
      <c r="A725" s="168">
        <v>20.0</v>
      </c>
      <c r="B725" s="168">
        <v>72.0</v>
      </c>
      <c r="C725" s="168">
        <v>73.0</v>
      </c>
      <c r="D725" s="168">
        <v>92.0</v>
      </c>
      <c r="E725" s="168">
        <v>6.0</v>
      </c>
      <c r="F725" s="168">
        <v>9.0</v>
      </c>
      <c r="G725" s="168">
        <v>1.0</v>
      </c>
      <c r="H725" s="183">
        <v>35907.51</v>
      </c>
      <c r="I725" s="184">
        <v>-34610.05</v>
      </c>
      <c r="J725" s="168">
        <v>3.0</v>
      </c>
      <c r="K725" s="168">
        <v>6.0</v>
      </c>
      <c r="L725" s="168">
        <v>6.0</v>
      </c>
      <c r="M725" s="184">
        <v>-30686.17</v>
      </c>
      <c r="N725" s="184">
        <v>96260.01</v>
      </c>
      <c r="O725" s="184">
        <v>-23781.13</v>
      </c>
      <c r="P725" s="184">
        <v>-29924.76</v>
      </c>
    </row>
    <row r="726">
      <c r="A726" s="168">
        <v>80.0</v>
      </c>
      <c r="B726" s="168">
        <v>49.0</v>
      </c>
      <c r="C726" s="168">
        <v>83.0</v>
      </c>
      <c r="D726" s="168">
        <v>44.0</v>
      </c>
      <c r="E726" s="168">
        <v>5.0</v>
      </c>
      <c r="F726" s="168">
        <v>6.0</v>
      </c>
      <c r="G726" s="168">
        <v>1.0</v>
      </c>
      <c r="H726" s="183">
        <v>-50200.22</v>
      </c>
      <c r="I726" s="184">
        <v>29973.03</v>
      </c>
      <c r="J726" s="168">
        <v>6.0</v>
      </c>
      <c r="K726" s="168">
        <v>6.0</v>
      </c>
      <c r="L726" s="168">
        <v>8.0</v>
      </c>
      <c r="M726" s="184">
        <v>-67453.25</v>
      </c>
      <c r="N726" s="184">
        <v>-29078.29</v>
      </c>
      <c r="O726" s="184">
        <v>-86911.4</v>
      </c>
      <c r="P726" s="184">
        <v>55815.94</v>
      </c>
    </row>
    <row r="727">
      <c r="A727" s="168">
        <v>85.0</v>
      </c>
      <c r="B727" s="168">
        <v>71.0</v>
      </c>
      <c r="C727" s="168">
        <v>16.0</v>
      </c>
      <c r="D727" s="168">
        <v>45.0</v>
      </c>
      <c r="E727" s="168">
        <v>2.0</v>
      </c>
      <c r="F727" s="168">
        <v>1.0</v>
      </c>
      <c r="G727" s="168">
        <v>3.0</v>
      </c>
      <c r="H727" s="183">
        <v>-67901.4</v>
      </c>
      <c r="I727" s="184">
        <v>-20880.53</v>
      </c>
      <c r="J727" s="168">
        <v>6.0</v>
      </c>
      <c r="K727" s="168">
        <v>7.0</v>
      </c>
      <c r="L727" s="168">
        <v>9.0</v>
      </c>
      <c r="M727" s="184">
        <v>17596.03</v>
      </c>
      <c r="N727" s="184">
        <v>21730.91</v>
      </c>
      <c r="O727" s="184">
        <v>31606.56</v>
      </c>
      <c r="P727" s="184">
        <v>67429.7</v>
      </c>
    </row>
    <row r="728">
      <c r="A728" s="168">
        <v>16.0</v>
      </c>
      <c r="B728" s="168">
        <v>24.0</v>
      </c>
      <c r="C728" s="168">
        <v>61.0</v>
      </c>
      <c r="D728" s="168">
        <v>61.0</v>
      </c>
      <c r="E728" s="168">
        <v>8.0</v>
      </c>
      <c r="F728" s="168">
        <v>1.0</v>
      </c>
      <c r="G728" s="168">
        <v>6.0</v>
      </c>
      <c r="H728" s="183">
        <v>-72874.58</v>
      </c>
      <c r="I728" s="184">
        <v>-4283.34</v>
      </c>
      <c r="J728" s="168">
        <v>8.0</v>
      </c>
      <c r="K728" s="168">
        <v>2.0</v>
      </c>
      <c r="L728" s="168">
        <v>8.0</v>
      </c>
      <c r="M728" s="184">
        <v>96964.45</v>
      </c>
      <c r="N728" s="184">
        <v>46932.46</v>
      </c>
      <c r="O728" s="184">
        <v>-27425.93</v>
      </c>
      <c r="P728" s="184">
        <v>72852.74</v>
      </c>
    </row>
    <row r="729">
      <c r="A729" s="168">
        <v>71.0</v>
      </c>
      <c r="B729" s="168">
        <v>54.0</v>
      </c>
      <c r="C729" s="168">
        <v>34.0</v>
      </c>
      <c r="D729" s="168">
        <v>17.0</v>
      </c>
      <c r="E729" s="168">
        <v>6.0</v>
      </c>
      <c r="F729" s="168">
        <v>3.0</v>
      </c>
      <c r="G729" s="168">
        <v>4.0</v>
      </c>
      <c r="H729" s="183">
        <v>81848.03</v>
      </c>
      <c r="I729" s="184">
        <v>95609.55</v>
      </c>
      <c r="J729" s="168">
        <v>9.0</v>
      </c>
      <c r="K729" s="168">
        <v>9.0</v>
      </c>
      <c r="L729" s="168">
        <v>3.0</v>
      </c>
      <c r="M729" s="184">
        <v>-29176.97</v>
      </c>
      <c r="N729" s="184">
        <v>53811.47</v>
      </c>
      <c r="O729" s="184">
        <v>-14785.43</v>
      </c>
      <c r="P729" s="184">
        <v>-36490.72</v>
      </c>
    </row>
    <row r="730">
      <c r="A730" s="168">
        <v>17.0</v>
      </c>
      <c r="B730" s="168">
        <v>27.0</v>
      </c>
      <c r="C730" s="168">
        <v>21.0</v>
      </c>
      <c r="D730" s="168">
        <v>74.0</v>
      </c>
      <c r="E730" s="168">
        <v>7.0</v>
      </c>
      <c r="F730" s="168">
        <v>6.0</v>
      </c>
      <c r="G730" s="168">
        <v>3.0</v>
      </c>
      <c r="H730" s="183">
        <v>3600.73</v>
      </c>
      <c r="I730" s="184">
        <v>93063.26</v>
      </c>
      <c r="J730" s="168">
        <v>8.0</v>
      </c>
      <c r="K730" s="168">
        <v>9.0</v>
      </c>
      <c r="L730" s="168">
        <v>7.0</v>
      </c>
      <c r="M730" s="184">
        <v>44082.1</v>
      </c>
      <c r="N730" s="184">
        <v>-25273.86</v>
      </c>
      <c r="O730" s="184">
        <v>-25002.83</v>
      </c>
      <c r="P730" s="184">
        <v>-11901.41</v>
      </c>
    </row>
    <row r="731">
      <c r="A731" s="168">
        <v>12.0</v>
      </c>
      <c r="B731" s="168">
        <v>12.0</v>
      </c>
      <c r="C731" s="168">
        <v>29.0</v>
      </c>
      <c r="D731" s="168">
        <v>30.0</v>
      </c>
      <c r="E731" s="168">
        <v>8.0</v>
      </c>
      <c r="F731" s="168">
        <v>4.0</v>
      </c>
      <c r="G731" s="168">
        <v>7.0</v>
      </c>
      <c r="H731" s="183">
        <v>-51728.54</v>
      </c>
      <c r="I731" s="184">
        <v>-77118.01</v>
      </c>
      <c r="J731" s="168">
        <v>3.0</v>
      </c>
      <c r="K731" s="168">
        <v>4.0</v>
      </c>
      <c r="L731" s="168">
        <v>9.0</v>
      </c>
      <c r="M731" s="184">
        <v>40073.56</v>
      </c>
      <c r="N731" s="184">
        <v>-28865.49</v>
      </c>
      <c r="O731" s="184">
        <v>-31510.35</v>
      </c>
      <c r="P731" s="184">
        <v>92388.21</v>
      </c>
    </row>
    <row r="732">
      <c r="A732" s="168">
        <v>83.0</v>
      </c>
      <c r="B732" s="168">
        <v>84.0</v>
      </c>
      <c r="C732" s="168">
        <v>24.0</v>
      </c>
      <c r="D732" s="168">
        <v>74.0</v>
      </c>
      <c r="E732" s="168">
        <v>5.0</v>
      </c>
      <c r="F732" s="168">
        <v>3.0</v>
      </c>
      <c r="G732" s="168">
        <v>3.0</v>
      </c>
      <c r="H732" s="183">
        <v>35919.46</v>
      </c>
      <c r="I732" s="184">
        <v>78630.23</v>
      </c>
      <c r="J732" s="168">
        <v>7.0</v>
      </c>
      <c r="K732" s="168">
        <v>7.0</v>
      </c>
      <c r="L732" s="168">
        <v>4.0</v>
      </c>
      <c r="M732" s="184">
        <v>39245.65</v>
      </c>
      <c r="N732" s="184">
        <v>50156.1</v>
      </c>
      <c r="O732" s="184">
        <v>-19069.97</v>
      </c>
      <c r="P732" s="184">
        <v>-64057.91</v>
      </c>
    </row>
    <row r="733">
      <c r="A733" s="168">
        <v>70.0</v>
      </c>
      <c r="B733" s="168">
        <v>67.0</v>
      </c>
      <c r="C733" s="168">
        <v>97.0</v>
      </c>
      <c r="D733" s="168">
        <v>46.0</v>
      </c>
      <c r="E733" s="168">
        <v>3.0</v>
      </c>
      <c r="F733" s="168">
        <v>7.0</v>
      </c>
      <c r="G733" s="168">
        <v>9.0</v>
      </c>
      <c r="H733" s="183">
        <v>64978.37</v>
      </c>
      <c r="I733" s="184">
        <v>-56308.59</v>
      </c>
      <c r="J733" s="168">
        <v>9.0</v>
      </c>
      <c r="K733" s="168">
        <v>8.0</v>
      </c>
      <c r="L733" s="168">
        <v>3.0</v>
      </c>
      <c r="M733" s="184">
        <v>-90511.21</v>
      </c>
      <c r="N733" s="184">
        <v>53328.21</v>
      </c>
      <c r="O733" s="184">
        <v>-19745.55</v>
      </c>
      <c r="P733" s="184">
        <v>47363.74</v>
      </c>
    </row>
    <row r="734">
      <c r="A734" s="168">
        <v>14.0</v>
      </c>
      <c r="B734" s="168">
        <v>87.0</v>
      </c>
      <c r="C734" s="168">
        <v>64.0</v>
      </c>
      <c r="D734" s="168">
        <v>46.0</v>
      </c>
      <c r="E734" s="168">
        <v>4.0</v>
      </c>
      <c r="F734" s="168">
        <v>3.0</v>
      </c>
      <c r="G734" s="168">
        <v>5.0</v>
      </c>
      <c r="H734" s="183">
        <v>-57191.71</v>
      </c>
      <c r="I734" s="184">
        <v>-62185.53</v>
      </c>
      <c r="J734" s="168">
        <v>4.0</v>
      </c>
      <c r="K734" s="168">
        <v>8.0</v>
      </c>
      <c r="L734" s="168">
        <v>9.0</v>
      </c>
      <c r="M734" s="184">
        <v>19955.02</v>
      </c>
      <c r="N734" s="184">
        <v>85390.37</v>
      </c>
      <c r="O734" s="184">
        <v>95126.48</v>
      </c>
      <c r="P734" s="184">
        <v>72886.56</v>
      </c>
    </row>
    <row r="735">
      <c r="A735" s="168">
        <v>55.0</v>
      </c>
      <c r="B735" s="168">
        <v>85.0</v>
      </c>
      <c r="C735" s="168">
        <v>16.0</v>
      </c>
      <c r="D735" s="168">
        <v>25.0</v>
      </c>
      <c r="E735" s="168">
        <v>4.0</v>
      </c>
      <c r="F735" s="168">
        <v>9.0</v>
      </c>
      <c r="G735" s="168">
        <v>6.0</v>
      </c>
      <c r="H735" s="183">
        <v>-61773.06</v>
      </c>
      <c r="I735" s="184">
        <v>24283.16</v>
      </c>
      <c r="J735" s="168">
        <v>3.0</v>
      </c>
      <c r="K735" s="168">
        <v>4.0</v>
      </c>
      <c r="L735" s="168">
        <v>2.0</v>
      </c>
      <c r="M735" s="184">
        <v>-83460.04</v>
      </c>
      <c r="N735" s="184">
        <v>-50044.43</v>
      </c>
      <c r="O735" s="184">
        <v>79154.81</v>
      </c>
      <c r="P735" s="184">
        <v>86555.43</v>
      </c>
    </row>
    <row r="736">
      <c r="A736" s="168">
        <v>82.0</v>
      </c>
      <c r="B736" s="168">
        <v>98.0</v>
      </c>
      <c r="C736" s="168">
        <v>23.0</v>
      </c>
      <c r="D736" s="168">
        <v>74.0</v>
      </c>
      <c r="E736" s="168">
        <v>8.0</v>
      </c>
      <c r="F736" s="168">
        <v>5.0</v>
      </c>
      <c r="G736" s="168">
        <v>7.0</v>
      </c>
      <c r="H736" s="183">
        <v>65242.79</v>
      </c>
      <c r="I736" s="184">
        <v>-89373.67</v>
      </c>
      <c r="J736" s="168">
        <v>9.0</v>
      </c>
      <c r="K736" s="168">
        <v>4.0</v>
      </c>
      <c r="L736" s="168">
        <v>9.0</v>
      </c>
      <c r="M736" s="184">
        <v>-52445.22</v>
      </c>
      <c r="N736" s="184">
        <v>-27211.65</v>
      </c>
      <c r="O736" s="184">
        <v>49658.62</v>
      </c>
      <c r="P736" s="184">
        <v>-38835.4</v>
      </c>
    </row>
    <row r="737">
      <c r="A737" s="168">
        <v>16.0</v>
      </c>
      <c r="B737" s="168">
        <v>46.0</v>
      </c>
      <c r="C737" s="168">
        <v>89.0</v>
      </c>
      <c r="D737" s="168">
        <v>22.0</v>
      </c>
      <c r="E737" s="168">
        <v>7.0</v>
      </c>
      <c r="F737" s="168">
        <v>6.0</v>
      </c>
      <c r="G737" s="168">
        <v>6.0</v>
      </c>
      <c r="H737" s="183">
        <v>10458.17</v>
      </c>
      <c r="I737" s="184">
        <v>13251.94</v>
      </c>
      <c r="J737" s="168">
        <v>2.0</v>
      </c>
      <c r="K737" s="168">
        <v>5.0</v>
      </c>
      <c r="L737" s="168">
        <v>9.0</v>
      </c>
      <c r="M737" s="184">
        <v>64311.33</v>
      </c>
      <c r="N737" s="184">
        <v>90956.81</v>
      </c>
      <c r="O737" s="184">
        <v>-80959.12</v>
      </c>
      <c r="P737" s="184">
        <v>-90592.72</v>
      </c>
    </row>
    <row r="738">
      <c r="A738" s="168">
        <v>28.0</v>
      </c>
      <c r="B738" s="168">
        <v>73.0</v>
      </c>
      <c r="C738" s="168">
        <v>36.0</v>
      </c>
      <c r="D738" s="168">
        <v>35.0</v>
      </c>
      <c r="E738" s="168">
        <v>9.0</v>
      </c>
      <c r="F738" s="168">
        <v>7.0</v>
      </c>
      <c r="G738" s="168">
        <v>8.0</v>
      </c>
      <c r="H738" s="183">
        <v>-73116.37</v>
      </c>
      <c r="I738" s="184">
        <v>3705.72</v>
      </c>
      <c r="J738" s="168">
        <v>9.0</v>
      </c>
      <c r="K738" s="168">
        <v>2.0</v>
      </c>
      <c r="L738" s="168">
        <v>2.0</v>
      </c>
      <c r="M738" s="184">
        <v>16779.36</v>
      </c>
      <c r="N738" s="184">
        <v>-13264.03</v>
      </c>
      <c r="O738" s="184">
        <v>84330.81</v>
      </c>
      <c r="P738" s="184">
        <v>31201.36</v>
      </c>
    </row>
    <row r="739">
      <c r="A739" s="168">
        <v>87.0</v>
      </c>
      <c r="B739" s="168">
        <v>22.0</v>
      </c>
      <c r="C739" s="168">
        <v>90.0</v>
      </c>
      <c r="D739" s="168">
        <v>86.0</v>
      </c>
      <c r="E739" s="168">
        <v>2.0</v>
      </c>
      <c r="F739" s="168">
        <v>6.0</v>
      </c>
      <c r="G739" s="168">
        <v>9.0</v>
      </c>
      <c r="H739" s="183">
        <v>12448.32</v>
      </c>
      <c r="I739" s="184">
        <v>83035.33</v>
      </c>
      <c r="J739" s="168">
        <v>9.0</v>
      </c>
      <c r="K739" s="168">
        <v>6.0</v>
      </c>
      <c r="L739" s="168">
        <v>8.0</v>
      </c>
      <c r="M739" s="184">
        <v>-96301.39</v>
      </c>
      <c r="N739" s="184">
        <v>-52198.89</v>
      </c>
      <c r="O739" s="184">
        <v>-92033.46</v>
      </c>
      <c r="P739" s="184">
        <v>-19615.95</v>
      </c>
    </row>
    <row r="740">
      <c r="A740" s="168">
        <v>61.0</v>
      </c>
      <c r="B740" s="168">
        <v>50.0</v>
      </c>
      <c r="C740" s="168">
        <v>65.0</v>
      </c>
      <c r="D740" s="168">
        <v>90.0</v>
      </c>
      <c r="E740" s="168">
        <v>6.0</v>
      </c>
      <c r="F740" s="168">
        <v>8.0</v>
      </c>
      <c r="G740" s="168">
        <v>9.0</v>
      </c>
      <c r="H740" s="183">
        <v>-1002.8</v>
      </c>
      <c r="I740" s="184">
        <v>-70200.78</v>
      </c>
      <c r="J740" s="168">
        <v>2.0</v>
      </c>
      <c r="K740" s="168">
        <v>4.0</v>
      </c>
      <c r="L740" s="168">
        <v>4.0</v>
      </c>
      <c r="M740" s="184">
        <v>7098.54</v>
      </c>
      <c r="N740" s="184">
        <v>89401.06</v>
      </c>
      <c r="O740" s="184">
        <v>-17231.21</v>
      </c>
      <c r="P740" s="184">
        <v>-1515.66</v>
      </c>
    </row>
    <row r="741">
      <c r="A741" s="168">
        <v>81.0</v>
      </c>
      <c r="B741" s="168">
        <v>28.0</v>
      </c>
      <c r="C741" s="168">
        <v>86.0</v>
      </c>
      <c r="D741" s="168">
        <v>35.0</v>
      </c>
      <c r="E741" s="168">
        <v>5.0</v>
      </c>
      <c r="F741" s="168">
        <v>9.0</v>
      </c>
      <c r="G741" s="168">
        <v>4.0</v>
      </c>
      <c r="H741" s="183">
        <v>88264.55</v>
      </c>
      <c r="I741" s="184">
        <v>-27401.13</v>
      </c>
      <c r="J741" s="168">
        <v>8.0</v>
      </c>
      <c r="K741" s="168">
        <v>4.0</v>
      </c>
      <c r="L741" s="168">
        <v>3.0</v>
      </c>
      <c r="M741" s="184">
        <v>4888.11</v>
      </c>
      <c r="N741" s="184">
        <v>38678.36</v>
      </c>
      <c r="O741" s="184">
        <v>57400.21</v>
      </c>
      <c r="P741" s="184">
        <v>-44927.72</v>
      </c>
    </row>
    <row r="742">
      <c r="A742" s="168">
        <v>50.0</v>
      </c>
      <c r="B742" s="168">
        <v>62.0</v>
      </c>
      <c r="C742" s="168">
        <v>47.0</v>
      </c>
      <c r="D742" s="168">
        <v>47.0</v>
      </c>
      <c r="E742" s="168">
        <v>2.0</v>
      </c>
      <c r="F742" s="168">
        <v>9.0</v>
      </c>
      <c r="G742" s="168">
        <v>3.0</v>
      </c>
      <c r="H742" s="183">
        <v>94082.61</v>
      </c>
      <c r="I742" s="184">
        <v>7809.98</v>
      </c>
      <c r="J742" s="168">
        <v>4.0</v>
      </c>
      <c r="K742" s="168">
        <v>2.0</v>
      </c>
      <c r="L742" s="168">
        <v>3.0</v>
      </c>
      <c r="M742" s="184">
        <v>23388.92</v>
      </c>
      <c r="N742" s="184">
        <v>-74601.56</v>
      </c>
      <c r="O742" s="184">
        <v>11651.28</v>
      </c>
      <c r="P742" s="184">
        <v>-4295.07</v>
      </c>
    </row>
    <row r="743">
      <c r="A743" s="168">
        <v>20.0</v>
      </c>
      <c r="B743" s="168">
        <v>89.0</v>
      </c>
      <c r="C743" s="168">
        <v>76.0</v>
      </c>
      <c r="D743" s="168">
        <v>73.0</v>
      </c>
      <c r="E743" s="168">
        <v>2.0</v>
      </c>
      <c r="F743" s="168">
        <v>4.0</v>
      </c>
      <c r="G743" s="168">
        <v>7.0</v>
      </c>
      <c r="H743" s="183">
        <v>11102.25</v>
      </c>
      <c r="I743" s="184">
        <v>-64993.57</v>
      </c>
      <c r="J743" s="168">
        <v>3.0</v>
      </c>
      <c r="K743" s="168">
        <v>2.0</v>
      </c>
      <c r="L743" s="168">
        <v>9.0</v>
      </c>
      <c r="M743" s="184">
        <v>5217.34</v>
      </c>
      <c r="N743" s="184">
        <v>-34664.94</v>
      </c>
      <c r="O743" s="184">
        <v>-59045.48</v>
      </c>
      <c r="P743" s="184">
        <v>-27559.89</v>
      </c>
    </row>
    <row r="744">
      <c r="A744" s="168">
        <v>14.0</v>
      </c>
      <c r="B744" s="168">
        <v>44.0</v>
      </c>
      <c r="C744" s="168">
        <v>99.0</v>
      </c>
      <c r="D744" s="168">
        <v>44.0</v>
      </c>
      <c r="E744" s="168">
        <v>4.0</v>
      </c>
      <c r="F744" s="168">
        <v>3.0</v>
      </c>
      <c r="G744" s="168">
        <v>1.0</v>
      </c>
      <c r="H744" s="183">
        <v>-87377.5</v>
      </c>
      <c r="I744" s="184">
        <v>-55963.89</v>
      </c>
      <c r="J744" s="168">
        <v>3.0</v>
      </c>
      <c r="K744" s="168">
        <v>8.0</v>
      </c>
      <c r="L744" s="168">
        <v>7.0</v>
      </c>
      <c r="M744" s="184">
        <v>13835.06</v>
      </c>
      <c r="N744" s="184">
        <v>22292.22</v>
      </c>
      <c r="O744" s="184">
        <v>44858.94</v>
      </c>
      <c r="P744" s="184">
        <v>-85769.95</v>
      </c>
    </row>
    <row r="745">
      <c r="A745" s="168">
        <v>47.0</v>
      </c>
      <c r="B745" s="168">
        <v>91.0</v>
      </c>
      <c r="C745" s="168">
        <v>99.0</v>
      </c>
      <c r="D745" s="168">
        <v>75.0</v>
      </c>
      <c r="E745" s="168">
        <v>9.0</v>
      </c>
      <c r="F745" s="168">
        <v>7.0</v>
      </c>
      <c r="G745" s="168">
        <v>6.0</v>
      </c>
      <c r="H745" s="183">
        <v>92230.67</v>
      </c>
      <c r="I745" s="184">
        <v>-13258.03</v>
      </c>
      <c r="J745" s="168">
        <v>9.0</v>
      </c>
      <c r="K745" s="168">
        <v>1.0</v>
      </c>
      <c r="L745" s="168">
        <v>3.0</v>
      </c>
      <c r="M745" s="184">
        <v>-81208.7</v>
      </c>
      <c r="N745" s="184">
        <v>-47461.09</v>
      </c>
      <c r="O745" s="184">
        <v>3690.73</v>
      </c>
      <c r="P745" s="184">
        <v>-82645.57</v>
      </c>
    </row>
    <row r="746">
      <c r="A746" s="168">
        <v>61.0</v>
      </c>
      <c r="B746" s="168">
        <v>85.0</v>
      </c>
      <c r="C746" s="168">
        <v>69.0</v>
      </c>
      <c r="D746" s="168">
        <v>92.0</v>
      </c>
      <c r="E746" s="168">
        <v>3.0</v>
      </c>
      <c r="F746" s="168">
        <v>1.0</v>
      </c>
      <c r="G746" s="168">
        <v>6.0</v>
      </c>
      <c r="H746" s="183">
        <v>-17711.64</v>
      </c>
      <c r="I746" s="184">
        <v>-66721.21</v>
      </c>
      <c r="J746" s="168">
        <v>7.0</v>
      </c>
      <c r="K746" s="168">
        <v>4.0</v>
      </c>
      <c r="L746" s="168">
        <v>8.0</v>
      </c>
      <c r="M746" s="184">
        <v>-56386.06</v>
      </c>
      <c r="N746" s="184">
        <v>-40907.39</v>
      </c>
      <c r="O746" s="184">
        <v>-46531.33</v>
      </c>
      <c r="P746" s="184">
        <v>41284.95</v>
      </c>
    </row>
    <row r="747">
      <c r="A747" s="168">
        <v>53.0</v>
      </c>
      <c r="B747" s="168">
        <v>84.0</v>
      </c>
      <c r="C747" s="168">
        <v>61.0</v>
      </c>
      <c r="D747" s="168">
        <v>68.0</v>
      </c>
      <c r="E747" s="168">
        <v>8.0</v>
      </c>
      <c r="F747" s="168">
        <v>6.0</v>
      </c>
      <c r="G747" s="168">
        <v>2.0</v>
      </c>
      <c r="H747" s="183">
        <v>47935.59</v>
      </c>
      <c r="I747" s="184">
        <v>-77032.73</v>
      </c>
      <c r="J747" s="168">
        <v>3.0</v>
      </c>
      <c r="K747" s="168">
        <v>5.0</v>
      </c>
      <c r="L747" s="168">
        <v>4.0</v>
      </c>
      <c r="M747" s="184">
        <v>-37588.51</v>
      </c>
      <c r="N747" s="184">
        <v>5928.3</v>
      </c>
      <c r="O747" s="184">
        <v>4572.37</v>
      </c>
      <c r="P747" s="184">
        <v>86729.53</v>
      </c>
    </row>
    <row r="748">
      <c r="A748" s="168">
        <v>78.0</v>
      </c>
      <c r="B748" s="168">
        <v>70.0</v>
      </c>
      <c r="C748" s="168">
        <v>65.0</v>
      </c>
      <c r="D748" s="168">
        <v>42.0</v>
      </c>
      <c r="E748" s="168">
        <v>1.0</v>
      </c>
      <c r="F748" s="168">
        <v>6.0</v>
      </c>
      <c r="G748" s="168">
        <v>3.0</v>
      </c>
      <c r="H748" s="183">
        <v>6060.3</v>
      </c>
      <c r="I748" s="184">
        <v>59476.64</v>
      </c>
      <c r="J748" s="168">
        <v>8.0</v>
      </c>
      <c r="K748" s="168">
        <v>6.0</v>
      </c>
      <c r="L748" s="168">
        <v>3.0</v>
      </c>
      <c r="M748" s="184">
        <v>-3038.85</v>
      </c>
      <c r="N748" s="184">
        <v>16604.59</v>
      </c>
      <c r="O748" s="184">
        <v>3061.04</v>
      </c>
      <c r="P748" s="184">
        <v>34689.31</v>
      </c>
    </row>
    <row r="749">
      <c r="A749" s="168">
        <v>19.0</v>
      </c>
      <c r="B749" s="168">
        <v>93.0</v>
      </c>
      <c r="C749" s="168">
        <v>70.0</v>
      </c>
      <c r="D749" s="168">
        <v>85.0</v>
      </c>
      <c r="E749" s="168">
        <v>4.0</v>
      </c>
      <c r="F749" s="168">
        <v>2.0</v>
      </c>
      <c r="G749" s="168">
        <v>1.0</v>
      </c>
      <c r="H749" s="183">
        <v>-63392.4</v>
      </c>
      <c r="I749" s="184">
        <v>-72521.02</v>
      </c>
      <c r="J749" s="168">
        <v>4.0</v>
      </c>
      <c r="K749" s="168">
        <v>6.0</v>
      </c>
      <c r="L749" s="168">
        <v>7.0</v>
      </c>
      <c r="M749" s="184">
        <v>-5839.31</v>
      </c>
      <c r="N749" s="184">
        <v>-38465.12</v>
      </c>
      <c r="O749" s="184">
        <v>59108.3</v>
      </c>
      <c r="P749" s="184">
        <v>76404.03</v>
      </c>
    </row>
    <row r="750">
      <c r="A750" s="168">
        <v>50.0</v>
      </c>
      <c r="B750" s="168">
        <v>69.0</v>
      </c>
      <c r="C750" s="168">
        <v>28.0</v>
      </c>
      <c r="D750" s="168">
        <v>47.0</v>
      </c>
      <c r="E750" s="168">
        <v>8.0</v>
      </c>
      <c r="F750" s="168">
        <v>3.0</v>
      </c>
      <c r="G750" s="168">
        <v>8.0</v>
      </c>
      <c r="H750" s="183">
        <v>-80022.51</v>
      </c>
      <c r="I750" s="184">
        <v>44198.14</v>
      </c>
      <c r="J750" s="168">
        <v>3.0</v>
      </c>
      <c r="K750" s="168">
        <v>4.0</v>
      </c>
      <c r="L750" s="168">
        <v>7.0</v>
      </c>
      <c r="M750" s="184">
        <v>-50579.28</v>
      </c>
      <c r="N750" s="184">
        <v>-86769.95</v>
      </c>
      <c r="O750" s="184">
        <v>66022.32</v>
      </c>
      <c r="P750" s="184">
        <v>-69146.11</v>
      </c>
    </row>
    <row r="751">
      <c r="A751" s="168">
        <v>76.0</v>
      </c>
      <c r="B751" s="168">
        <v>13.0</v>
      </c>
      <c r="C751" s="168">
        <v>65.0</v>
      </c>
      <c r="D751" s="168">
        <v>66.0</v>
      </c>
      <c r="E751" s="168">
        <v>2.0</v>
      </c>
      <c r="F751" s="168">
        <v>1.0</v>
      </c>
      <c r="G751" s="168">
        <v>7.0</v>
      </c>
      <c r="H751" s="183">
        <v>-47228.2</v>
      </c>
      <c r="I751" s="184">
        <v>-49445.94</v>
      </c>
      <c r="J751" s="168">
        <v>7.0</v>
      </c>
      <c r="K751" s="168">
        <v>7.0</v>
      </c>
      <c r="L751" s="168">
        <v>4.0</v>
      </c>
      <c r="M751" s="184">
        <v>65121.59</v>
      </c>
      <c r="N751" s="184">
        <v>-51012.0</v>
      </c>
      <c r="O751" s="184">
        <v>-97881.39</v>
      </c>
      <c r="P751" s="184">
        <v>59598.14</v>
      </c>
    </row>
    <row r="752">
      <c r="A752" s="168">
        <v>49.0</v>
      </c>
      <c r="B752" s="168">
        <v>76.0</v>
      </c>
      <c r="C752" s="168">
        <v>23.0</v>
      </c>
      <c r="D752" s="168">
        <v>76.0</v>
      </c>
      <c r="E752" s="168">
        <v>5.0</v>
      </c>
      <c r="F752" s="168">
        <v>8.0</v>
      </c>
      <c r="G752" s="168">
        <v>3.0</v>
      </c>
      <c r="H752" s="183">
        <v>6397.82</v>
      </c>
      <c r="I752" s="184">
        <v>84617.67</v>
      </c>
      <c r="J752" s="168">
        <v>7.0</v>
      </c>
      <c r="K752" s="168">
        <v>4.0</v>
      </c>
      <c r="L752" s="168">
        <v>2.0</v>
      </c>
      <c r="M752" s="184">
        <v>10873.07</v>
      </c>
      <c r="N752" s="184">
        <v>45096.63</v>
      </c>
      <c r="O752" s="184">
        <v>29521.4</v>
      </c>
      <c r="P752" s="184">
        <v>-65908.55</v>
      </c>
    </row>
    <row r="753">
      <c r="A753" s="168">
        <v>99.0</v>
      </c>
      <c r="B753" s="168">
        <v>64.0</v>
      </c>
      <c r="C753" s="168">
        <v>89.0</v>
      </c>
      <c r="D753" s="168">
        <v>55.0</v>
      </c>
      <c r="E753" s="168">
        <v>9.0</v>
      </c>
      <c r="F753" s="168">
        <v>7.0</v>
      </c>
      <c r="G753" s="168">
        <v>2.0</v>
      </c>
      <c r="H753" s="183">
        <v>-50840.23</v>
      </c>
      <c r="I753" s="184">
        <v>80861.27</v>
      </c>
      <c r="J753" s="168">
        <v>4.0</v>
      </c>
      <c r="K753" s="168">
        <v>1.0</v>
      </c>
      <c r="L753" s="168">
        <v>3.0</v>
      </c>
      <c r="M753" s="184">
        <v>62705.66</v>
      </c>
      <c r="N753" s="184">
        <v>-4466.13</v>
      </c>
      <c r="O753" s="184">
        <v>52311.17</v>
      </c>
      <c r="P753" s="184">
        <v>-86854.97</v>
      </c>
    </row>
    <row r="754">
      <c r="A754" s="168">
        <v>98.0</v>
      </c>
      <c r="B754" s="168">
        <v>18.0</v>
      </c>
      <c r="C754" s="168">
        <v>75.0</v>
      </c>
      <c r="D754" s="168">
        <v>30.0</v>
      </c>
      <c r="E754" s="168">
        <v>8.0</v>
      </c>
      <c r="F754" s="168">
        <v>3.0</v>
      </c>
      <c r="G754" s="168">
        <v>3.0</v>
      </c>
      <c r="H754" s="183">
        <v>97833.34</v>
      </c>
      <c r="I754" s="184">
        <v>-54854.61</v>
      </c>
      <c r="J754" s="168">
        <v>2.0</v>
      </c>
      <c r="K754" s="168">
        <v>5.0</v>
      </c>
      <c r="L754" s="168">
        <v>2.0</v>
      </c>
      <c r="M754" s="184">
        <v>-93400.54</v>
      </c>
      <c r="N754" s="184">
        <v>-59852.35</v>
      </c>
      <c r="O754" s="184">
        <v>-19863.31</v>
      </c>
      <c r="P754" s="184">
        <v>-24492.09</v>
      </c>
    </row>
    <row r="755">
      <c r="A755" s="168">
        <v>31.0</v>
      </c>
      <c r="B755" s="168">
        <v>34.0</v>
      </c>
      <c r="C755" s="168">
        <v>17.0</v>
      </c>
      <c r="D755" s="168">
        <v>28.0</v>
      </c>
      <c r="E755" s="168">
        <v>2.0</v>
      </c>
      <c r="F755" s="168">
        <v>2.0</v>
      </c>
      <c r="G755" s="168">
        <v>2.0</v>
      </c>
      <c r="H755" s="183">
        <v>-86979.15</v>
      </c>
      <c r="I755" s="184">
        <v>-72115.14</v>
      </c>
      <c r="J755" s="168">
        <v>3.0</v>
      </c>
      <c r="K755" s="168">
        <v>4.0</v>
      </c>
      <c r="L755" s="168">
        <v>2.0</v>
      </c>
      <c r="M755" s="184">
        <v>68481.97</v>
      </c>
      <c r="N755" s="184">
        <v>-56955.19</v>
      </c>
      <c r="O755" s="184">
        <v>25478.32</v>
      </c>
      <c r="P755" s="184">
        <v>-76758.54</v>
      </c>
    </row>
    <row r="756">
      <c r="A756" s="168">
        <v>86.0</v>
      </c>
      <c r="B756" s="168">
        <v>42.0</v>
      </c>
      <c r="C756" s="168">
        <v>94.0</v>
      </c>
      <c r="D756" s="168">
        <v>70.0</v>
      </c>
      <c r="E756" s="168">
        <v>3.0</v>
      </c>
      <c r="F756" s="168">
        <v>3.0</v>
      </c>
      <c r="G756" s="168">
        <v>5.0</v>
      </c>
      <c r="H756" s="183">
        <v>-51580.72</v>
      </c>
      <c r="I756" s="184">
        <v>39119.3</v>
      </c>
      <c r="J756" s="168">
        <v>2.0</v>
      </c>
      <c r="K756" s="168">
        <v>1.0</v>
      </c>
      <c r="L756" s="168">
        <v>2.0</v>
      </c>
      <c r="M756" s="184">
        <v>-72018.26</v>
      </c>
      <c r="N756" s="184">
        <v>-89375.62</v>
      </c>
      <c r="O756" s="184">
        <v>56538.81</v>
      </c>
      <c r="P756" s="184">
        <v>-33468.36</v>
      </c>
    </row>
    <row r="757">
      <c r="A757" s="168">
        <v>89.0</v>
      </c>
      <c r="B757" s="168">
        <v>53.0</v>
      </c>
      <c r="C757" s="168">
        <v>58.0</v>
      </c>
      <c r="D757" s="168">
        <v>72.0</v>
      </c>
      <c r="E757" s="168">
        <v>8.0</v>
      </c>
      <c r="F757" s="168">
        <v>2.0</v>
      </c>
      <c r="G757" s="168">
        <v>9.0</v>
      </c>
      <c r="H757" s="183">
        <v>-61156.83</v>
      </c>
      <c r="I757" s="184">
        <v>-38904.71</v>
      </c>
      <c r="J757" s="168">
        <v>2.0</v>
      </c>
      <c r="K757" s="168">
        <v>5.0</v>
      </c>
      <c r="L757" s="168">
        <v>8.0</v>
      </c>
      <c r="M757" s="184">
        <v>85379.6</v>
      </c>
      <c r="N757" s="184">
        <v>55141.04</v>
      </c>
      <c r="O757" s="184">
        <v>-63945.69</v>
      </c>
      <c r="P757" s="184">
        <v>64712.16</v>
      </c>
    </row>
    <row r="758">
      <c r="A758" s="168">
        <v>82.0</v>
      </c>
      <c r="B758" s="168">
        <v>42.0</v>
      </c>
      <c r="C758" s="168">
        <v>11.0</v>
      </c>
      <c r="D758" s="168">
        <v>69.0</v>
      </c>
      <c r="E758" s="168">
        <v>9.0</v>
      </c>
      <c r="F758" s="168">
        <v>5.0</v>
      </c>
      <c r="G758" s="168">
        <v>9.0</v>
      </c>
      <c r="H758" s="183">
        <v>-3915.19</v>
      </c>
      <c r="I758" s="184">
        <v>-1623.58</v>
      </c>
      <c r="J758" s="168">
        <v>2.0</v>
      </c>
      <c r="K758" s="168">
        <v>1.0</v>
      </c>
      <c r="L758" s="168">
        <v>3.0</v>
      </c>
      <c r="M758" s="184">
        <v>-85215.62</v>
      </c>
      <c r="N758" s="184">
        <v>-86687.99</v>
      </c>
      <c r="O758" s="184">
        <v>77425.64</v>
      </c>
      <c r="P758" s="184">
        <v>-9959.75</v>
      </c>
    </row>
    <row r="759">
      <c r="A759" s="168">
        <v>89.0</v>
      </c>
      <c r="B759" s="168">
        <v>37.0</v>
      </c>
      <c r="C759" s="168">
        <v>12.0</v>
      </c>
      <c r="D759" s="168">
        <v>90.0</v>
      </c>
      <c r="E759" s="168">
        <v>9.0</v>
      </c>
      <c r="F759" s="168">
        <v>9.0</v>
      </c>
      <c r="G759" s="168">
        <v>8.0</v>
      </c>
      <c r="H759" s="183">
        <v>-55606.68</v>
      </c>
      <c r="I759" s="184">
        <v>-57779.52</v>
      </c>
      <c r="J759" s="168">
        <v>8.0</v>
      </c>
      <c r="K759" s="168">
        <v>6.0</v>
      </c>
      <c r="L759" s="168">
        <v>9.0</v>
      </c>
      <c r="M759" s="184">
        <v>-31248.67</v>
      </c>
      <c r="N759" s="184">
        <v>-60061.3</v>
      </c>
      <c r="O759" s="184">
        <v>8993.91</v>
      </c>
      <c r="P759" s="184">
        <v>6830.93</v>
      </c>
    </row>
    <row r="760">
      <c r="A760" s="168">
        <v>60.0</v>
      </c>
      <c r="B760" s="168">
        <v>36.0</v>
      </c>
      <c r="C760" s="168">
        <v>73.0</v>
      </c>
      <c r="D760" s="168">
        <v>82.0</v>
      </c>
      <c r="E760" s="168">
        <v>6.0</v>
      </c>
      <c r="F760" s="168">
        <v>9.0</v>
      </c>
      <c r="G760" s="168">
        <v>6.0</v>
      </c>
      <c r="H760" s="183">
        <v>-28206.62</v>
      </c>
      <c r="I760" s="184">
        <v>-68970.23</v>
      </c>
      <c r="J760" s="168">
        <v>3.0</v>
      </c>
      <c r="K760" s="168">
        <v>8.0</v>
      </c>
      <c r="L760" s="168">
        <v>4.0</v>
      </c>
      <c r="M760" s="184">
        <v>87129.33</v>
      </c>
      <c r="N760" s="184">
        <v>25907.72</v>
      </c>
      <c r="O760" s="184">
        <v>-36237.24</v>
      </c>
      <c r="P760" s="184">
        <v>78023.35</v>
      </c>
    </row>
    <row r="761">
      <c r="A761" s="168">
        <v>76.0</v>
      </c>
      <c r="B761" s="168">
        <v>84.0</v>
      </c>
      <c r="C761" s="168">
        <v>40.0</v>
      </c>
      <c r="D761" s="168">
        <v>49.0</v>
      </c>
      <c r="E761" s="168">
        <v>2.0</v>
      </c>
      <c r="F761" s="168">
        <v>8.0</v>
      </c>
      <c r="G761" s="168">
        <v>6.0</v>
      </c>
      <c r="H761" s="183">
        <v>70067.03</v>
      </c>
      <c r="I761" s="184">
        <v>53415.63</v>
      </c>
      <c r="J761" s="168">
        <v>9.0</v>
      </c>
      <c r="K761" s="168">
        <v>8.0</v>
      </c>
      <c r="L761" s="168">
        <v>5.0</v>
      </c>
      <c r="M761" s="184">
        <v>-2533.0</v>
      </c>
      <c r="N761" s="184">
        <v>17504.54</v>
      </c>
      <c r="O761" s="184">
        <v>28897.34</v>
      </c>
      <c r="P761" s="184">
        <v>-36033.23</v>
      </c>
    </row>
    <row r="762">
      <c r="A762" s="168">
        <v>23.0</v>
      </c>
      <c r="B762" s="168">
        <v>13.0</v>
      </c>
      <c r="C762" s="168">
        <v>63.0</v>
      </c>
      <c r="D762" s="168">
        <v>14.0</v>
      </c>
      <c r="E762" s="168">
        <v>8.0</v>
      </c>
      <c r="F762" s="168">
        <v>6.0</v>
      </c>
      <c r="G762" s="168">
        <v>2.0</v>
      </c>
      <c r="H762" s="183">
        <v>75645.54</v>
      </c>
      <c r="I762" s="184">
        <v>59878.24</v>
      </c>
      <c r="J762" s="168">
        <v>4.0</v>
      </c>
      <c r="K762" s="168">
        <v>8.0</v>
      </c>
      <c r="L762" s="168">
        <v>3.0</v>
      </c>
      <c r="M762" s="184">
        <v>44103.09</v>
      </c>
      <c r="N762" s="184">
        <v>-67464.0</v>
      </c>
      <c r="O762" s="184">
        <v>72774.24</v>
      </c>
      <c r="P762" s="184">
        <v>-43378.39</v>
      </c>
    </row>
    <row r="763">
      <c r="A763" s="168">
        <v>28.0</v>
      </c>
      <c r="B763" s="168">
        <v>91.0</v>
      </c>
      <c r="C763" s="168">
        <v>99.0</v>
      </c>
      <c r="D763" s="168">
        <v>21.0</v>
      </c>
      <c r="E763" s="168">
        <v>3.0</v>
      </c>
      <c r="F763" s="168">
        <v>6.0</v>
      </c>
      <c r="G763" s="168">
        <v>7.0</v>
      </c>
      <c r="H763" s="183">
        <v>18967.59</v>
      </c>
      <c r="I763" s="184">
        <v>15070.38</v>
      </c>
      <c r="J763" s="168">
        <v>5.0</v>
      </c>
      <c r="K763" s="168">
        <v>5.0</v>
      </c>
      <c r="L763" s="168">
        <v>7.0</v>
      </c>
      <c r="M763" s="184">
        <v>-12980.57</v>
      </c>
      <c r="N763" s="184">
        <v>-5714.38</v>
      </c>
      <c r="O763" s="184">
        <v>-89100.6</v>
      </c>
      <c r="P763" s="184">
        <v>-14421.42</v>
      </c>
    </row>
    <row r="764">
      <c r="A764" s="168">
        <v>33.0</v>
      </c>
      <c r="B764" s="168">
        <v>33.0</v>
      </c>
      <c r="C764" s="168">
        <v>94.0</v>
      </c>
      <c r="D764" s="168">
        <v>82.0</v>
      </c>
      <c r="E764" s="168">
        <v>7.0</v>
      </c>
      <c r="F764" s="168">
        <v>2.0</v>
      </c>
      <c r="G764" s="168">
        <v>7.0</v>
      </c>
      <c r="H764" s="183">
        <v>-42542.31</v>
      </c>
      <c r="I764" s="184">
        <v>-5094.1</v>
      </c>
      <c r="J764" s="168">
        <v>3.0</v>
      </c>
      <c r="K764" s="168">
        <v>3.0</v>
      </c>
      <c r="L764" s="168">
        <v>2.0</v>
      </c>
      <c r="M764" s="184">
        <v>8600.29</v>
      </c>
      <c r="N764" s="184">
        <v>57604.82</v>
      </c>
      <c r="O764" s="184">
        <v>-11510.57</v>
      </c>
      <c r="P764" s="184">
        <v>-93892.97</v>
      </c>
    </row>
    <row r="765">
      <c r="A765" s="168">
        <v>12.0</v>
      </c>
      <c r="B765" s="168">
        <v>56.0</v>
      </c>
      <c r="C765" s="168">
        <v>19.0</v>
      </c>
      <c r="D765" s="168">
        <v>32.0</v>
      </c>
      <c r="E765" s="168">
        <v>8.0</v>
      </c>
      <c r="F765" s="168">
        <v>7.0</v>
      </c>
      <c r="G765" s="168">
        <v>2.0</v>
      </c>
      <c r="H765" s="183">
        <v>36923.68</v>
      </c>
      <c r="I765" s="184">
        <v>-47576.3</v>
      </c>
      <c r="J765" s="168">
        <v>7.0</v>
      </c>
      <c r="K765" s="168">
        <v>5.0</v>
      </c>
      <c r="L765" s="168">
        <v>7.0</v>
      </c>
      <c r="M765" s="184">
        <v>-23647.18</v>
      </c>
      <c r="N765" s="184">
        <v>10989.11</v>
      </c>
      <c r="O765" s="184">
        <v>31945.71</v>
      </c>
      <c r="P765" s="184">
        <v>-53425.62</v>
      </c>
    </row>
    <row r="766">
      <c r="A766" s="168">
        <v>13.0</v>
      </c>
      <c r="B766" s="168">
        <v>49.0</v>
      </c>
      <c r="C766" s="168">
        <v>79.0</v>
      </c>
      <c r="D766" s="168">
        <v>48.0</v>
      </c>
      <c r="E766" s="168">
        <v>7.0</v>
      </c>
      <c r="F766" s="168">
        <v>7.0</v>
      </c>
      <c r="G766" s="168">
        <v>3.0</v>
      </c>
      <c r="H766" s="183">
        <v>-82101.59</v>
      </c>
      <c r="I766" s="184">
        <v>54016.18</v>
      </c>
      <c r="J766" s="168">
        <v>2.0</v>
      </c>
      <c r="K766" s="168">
        <v>2.0</v>
      </c>
      <c r="L766" s="168">
        <v>2.0</v>
      </c>
      <c r="M766" s="184">
        <v>-45019.65</v>
      </c>
      <c r="N766" s="184">
        <v>97264.05</v>
      </c>
      <c r="O766" s="184">
        <v>39330.81</v>
      </c>
      <c r="P766" s="184">
        <v>85412.36</v>
      </c>
    </row>
    <row r="767">
      <c r="A767" s="168">
        <v>26.0</v>
      </c>
      <c r="B767" s="168">
        <v>95.0</v>
      </c>
      <c r="C767" s="168">
        <v>68.0</v>
      </c>
      <c r="D767" s="168">
        <v>78.0</v>
      </c>
      <c r="E767" s="168">
        <v>2.0</v>
      </c>
      <c r="F767" s="168">
        <v>2.0</v>
      </c>
      <c r="G767" s="168">
        <v>9.0</v>
      </c>
      <c r="H767" s="183">
        <v>33150.07</v>
      </c>
      <c r="I767" s="184">
        <v>95010.58</v>
      </c>
      <c r="J767" s="168">
        <v>7.0</v>
      </c>
      <c r="K767" s="168">
        <v>7.0</v>
      </c>
      <c r="L767" s="168">
        <v>2.0</v>
      </c>
      <c r="M767" s="184">
        <v>-34254.74</v>
      </c>
      <c r="N767" s="184">
        <v>-995.36</v>
      </c>
      <c r="O767" s="184">
        <v>30195.46</v>
      </c>
      <c r="P767" s="184">
        <v>55039.88</v>
      </c>
    </row>
    <row r="768">
      <c r="A768" s="168">
        <v>84.0</v>
      </c>
      <c r="B768" s="168">
        <v>91.0</v>
      </c>
      <c r="C768" s="168">
        <v>94.0</v>
      </c>
      <c r="D768" s="168">
        <v>20.0</v>
      </c>
      <c r="E768" s="168">
        <v>2.0</v>
      </c>
      <c r="F768" s="168">
        <v>3.0</v>
      </c>
      <c r="G768" s="168">
        <v>4.0</v>
      </c>
      <c r="H768" s="183">
        <v>-46100.53</v>
      </c>
      <c r="I768" s="184">
        <v>-49954.81</v>
      </c>
      <c r="J768" s="168">
        <v>2.0</v>
      </c>
      <c r="K768" s="168">
        <v>9.0</v>
      </c>
      <c r="L768" s="168">
        <v>5.0</v>
      </c>
      <c r="M768" s="184">
        <v>97170.8</v>
      </c>
      <c r="N768" s="184">
        <v>-84822.27</v>
      </c>
      <c r="O768" s="184">
        <v>28453.45</v>
      </c>
      <c r="P768" s="184">
        <v>-81679.24</v>
      </c>
    </row>
    <row r="769">
      <c r="A769" s="168">
        <v>62.0</v>
      </c>
      <c r="B769" s="168">
        <v>51.0</v>
      </c>
      <c r="C769" s="168">
        <v>87.0</v>
      </c>
      <c r="D769" s="168">
        <v>27.0</v>
      </c>
      <c r="E769" s="168">
        <v>6.0</v>
      </c>
      <c r="F769" s="168">
        <v>9.0</v>
      </c>
      <c r="G769" s="168">
        <v>8.0</v>
      </c>
      <c r="H769" s="183">
        <v>8600.65</v>
      </c>
      <c r="I769" s="184">
        <v>-64699.76</v>
      </c>
      <c r="J769" s="168">
        <v>2.0</v>
      </c>
      <c r="K769" s="168">
        <v>4.0</v>
      </c>
      <c r="L769" s="168">
        <v>6.0</v>
      </c>
      <c r="M769" s="184">
        <v>70275.45</v>
      </c>
      <c r="N769" s="184">
        <v>-23549.61</v>
      </c>
      <c r="O769" s="184">
        <v>43432.92</v>
      </c>
      <c r="P769" s="184">
        <v>-58047.53</v>
      </c>
    </row>
    <row r="770">
      <c r="A770" s="168">
        <v>40.0</v>
      </c>
      <c r="B770" s="168">
        <v>74.0</v>
      </c>
      <c r="C770" s="168">
        <v>38.0</v>
      </c>
      <c r="D770" s="168">
        <v>19.0</v>
      </c>
      <c r="E770" s="168">
        <v>8.0</v>
      </c>
      <c r="F770" s="168">
        <v>4.0</v>
      </c>
      <c r="G770" s="168">
        <v>6.0</v>
      </c>
      <c r="H770" s="183">
        <v>-28441.99</v>
      </c>
      <c r="I770" s="184">
        <v>53783.35</v>
      </c>
      <c r="J770" s="168">
        <v>5.0</v>
      </c>
      <c r="K770" s="168">
        <v>4.0</v>
      </c>
      <c r="L770" s="168">
        <v>9.0</v>
      </c>
      <c r="M770" s="184">
        <v>-13217.36</v>
      </c>
      <c r="N770" s="184">
        <v>38988.46</v>
      </c>
      <c r="O770" s="184">
        <v>55707.11</v>
      </c>
      <c r="P770" s="184">
        <v>6878.84</v>
      </c>
    </row>
    <row r="771">
      <c r="A771" s="168">
        <v>75.0</v>
      </c>
      <c r="B771" s="168">
        <v>88.0</v>
      </c>
      <c r="C771" s="168">
        <v>26.0</v>
      </c>
      <c r="D771" s="168">
        <v>83.0</v>
      </c>
      <c r="E771" s="168">
        <v>9.0</v>
      </c>
      <c r="F771" s="168">
        <v>8.0</v>
      </c>
      <c r="G771" s="168">
        <v>3.0</v>
      </c>
      <c r="H771" s="183">
        <v>-49681.6</v>
      </c>
      <c r="I771" s="184">
        <v>-62339.24</v>
      </c>
      <c r="J771" s="168">
        <v>6.0</v>
      </c>
      <c r="K771" s="168">
        <v>1.0</v>
      </c>
      <c r="L771" s="168">
        <v>9.0</v>
      </c>
      <c r="M771" s="184">
        <v>-86457.72</v>
      </c>
      <c r="N771" s="184">
        <v>23573.23</v>
      </c>
      <c r="O771" s="184">
        <v>75414.26</v>
      </c>
      <c r="P771" s="184">
        <v>-45755.07</v>
      </c>
    </row>
    <row r="772">
      <c r="A772" s="168">
        <v>37.0</v>
      </c>
      <c r="B772" s="168">
        <v>62.0</v>
      </c>
      <c r="C772" s="168">
        <v>70.0</v>
      </c>
      <c r="D772" s="168">
        <v>59.0</v>
      </c>
      <c r="E772" s="168">
        <v>2.0</v>
      </c>
      <c r="F772" s="168">
        <v>6.0</v>
      </c>
      <c r="G772" s="168">
        <v>7.0</v>
      </c>
      <c r="H772" s="183">
        <v>-23133.01</v>
      </c>
      <c r="I772" s="184">
        <v>35944.84</v>
      </c>
      <c r="J772" s="168">
        <v>9.0</v>
      </c>
      <c r="K772" s="168">
        <v>1.0</v>
      </c>
      <c r="L772" s="168">
        <v>4.0</v>
      </c>
      <c r="M772" s="184">
        <v>55583.76</v>
      </c>
      <c r="N772" s="184">
        <v>8600.64</v>
      </c>
      <c r="O772" s="184">
        <v>-3698.99</v>
      </c>
      <c r="P772" s="184">
        <v>-71547.92</v>
      </c>
    </row>
    <row r="773">
      <c r="A773" s="168">
        <v>80.0</v>
      </c>
      <c r="B773" s="168">
        <v>86.0</v>
      </c>
      <c r="C773" s="168">
        <v>50.0</v>
      </c>
      <c r="D773" s="168">
        <v>54.0</v>
      </c>
      <c r="E773" s="168">
        <v>6.0</v>
      </c>
      <c r="F773" s="168">
        <v>3.0</v>
      </c>
      <c r="G773" s="168">
        <v>1.0</v>
      </c>
      <c r="H773" s="183">
        <v>15063.09</v>
      </c>
      <c r="I773" s="184">
        <v>14365.96</v>
      </c>
      <c r="J773" s="168">
        <v>9.0</v>
      </c>
      <c r="K773" s="168">
        <v>2.0</v>
      </c>
      <c r="L773" s="168">
        <v>2.0</v>
      </c>
      <c r="M773" s="184">
        <v>87843.93</v>
      </c>
      <c r="N773" s="184">
        <v>52624.84</v>
      </c>
      <c r="O773" s="184">
        <v>46129.8</v>
      </c>
      <c r="P773" s="184">
        <v>67062.76</v>
      </c>
    </row>
    <row r="774">
      <c r="A774" s="168">
        <v>77.0</v>
      </c>
      <c r="B774" s="168">
        <v>77.0</v>
      </c>
      <c r="C774" s="168">
        <v>63.0</v>
      </c>
      <c r="D774" s="168">
        <v>89.0</v>
      </c>
      <c r="E774" s="168">
        <v>5.0</v>
      </c>
      <c r="F774" s="168">
        <v>7.0</v>
      </c>
      <c r="G774" s="168">
        <v>5.0</v>
      </c>
      <c r="H774" s="183">
        <v>-58534.88</v>
      </c>
      <c r="I774" s="184">
        <v>-47932.57</v>
      </c>
      <c r="J774" s="168">
        <v>4.0</v>
      </c>
      <c r="K774" s="168">
        <v>4.0</v>
      </c>
      <c r="L774" s="168">
        <v>4.0</v>
      </c>
      <c r="M774" s="184">
        <v>4040.01</v>
      </c>
      <c r="N774" s="184">
        <v>58218.7</v>
      </c>
      <c r="O774" s="184">
        <v>4884.62</v>
      </c>
      <c r="P774" s="184">
        <v>13221.8</v>
      </c>
    </row>
    <row r="775">
      <c r="A775" s="168">
        <v>44.0</v>
      </c>
      <c r="B775" s="168">
        <v>72.0</v>
      </c>
      <c r="C775" s="168">
        <v>11.0</v>
      </c>
      <c r="D775" s="168">
        <v>33.0</v>
      </c>
      <c r="E775" s="168">
        <v>6.0</v>
      </c>
      <c r="F775" s="168">
        <v>1.0</v>
      </c>
      <c r="G775" s="168">
        <v>8.0</v>
      </c>
      <c r="H775" s="183">
        <v>-3083.58</v>
      </c>
      <c r="I775" s="184">
        <v>44414.74</v>
      </c>
      <c r="J775" s="168">
        <v>2.0</v>
      </c>
      <c r="K775" s="168">
        <v>8.0</v>
      </c>
      <c r="L775" s="168">
        <v>1.0</v>
      </c>
      <c r="M775" s="184">
        <v>-7377.46</v>
      </c>
      <c r="N775" s="184">
        <v>51003.75</v>
      </c>
      <c r="O775" s="184">
        <v>-15712.53</v>
      </c>
      <c r="P775" s="184">
        <v>-39663.25</v>
      </c>
    </row>
    <row r="776">
      <c r="A776" s="168">
        <v>26.0</v>
      </c>
      <c r="B776" s="168">
        <v>62.0</v>
      </c>
      <c r="C776" s="168">
        <v>22.0</v>
      </c>
      <c r="D776" s="168">
        <v>15.0</v>
      </c>
      <c r="E776" s="168">
        <v>2.0</v>
      </c>
      <c r="F776" s="168">
        <v>5.0</v>
      </c>
      <c r="G776" s="168">
        <v>7.0</v>
      </c>
      <c r="H776" s="183">
        <v>-34450.73</v>
      </c>
      <c r="I776" s="184">
        <v>-69351.43</v>
      </c>
      <c r="J776" s="168">
        <v>4.0</v>
      </c>
      <c r="K776" s="168">
        <v>5.0</v>
      </c>
      <c r="L776" s="168">
        <v>2.0</v>
      </c>
      <c r="M776" s="184">
        <v>-80075.77</v>
      </c>
      <c r="N776" s="184">
        <v>97903.05</v>
      </c>
      <c r="O776" s="184">
        <v>-48065.14</v>
      </c>
      <c r="P776" s="184">
        <v>43906.36</v>
      </c>
    </row>
    <row r="777">
      <c r="A777" s="168">
        <v>55.0</v>
      </c>
      <c r="B777" s="168">
        <v>92.0</v>
      </c>
      <c r="C777" s="168">
        <v>89.0</v>
      </c>
      <c r="D777" s="168">
        <v>27.0</v>
      </c>
      <c r="E777" s="168">
        <v>5.0</v>
      </c>
      <c r="F777" s="168">
        <v>8.0</v>
      </c>
      <c r="G777" s="168">
        <v>7.0</v>
      </c>
      <c r="H777" s="183">
        <v>38643.66</v>
      </c>
      <c r="I777" s="184">
        <v>77020.68</v>
      </c>
      <c r="J777" s="168">
        <v>1.0</v>
      </c>
      <c r="K777" s="168">
        <v>9.0</v>
      </c>
      <c r="L777" s="168">
        <v>6.0</v>
      </c>
      <c r="M777" s="184">
        <v>70340.21</v>
      </c>
      <c r="N777" s="184">
        <v>-40960.52</v>
      </c>
      <c r="O777" s="184">
        <v>-22285.24</v>
      </c>
      <c r="P777" s="184">
        <v>-32006.29</v>
      </c>
    </row>
    <row r="778">
      <c r="A778" s="168">
        <v>34.0</v>
      </c>
      <c r="B778" s="168">
        <v>92.0</v>
      </c>
      <c r="C778" s="168">
        <v>76.0</v>
      </c>
      <c r="D778" s="168">
        <v>57.0</v>
      </c>
      <c r="E778" s="168">
        <v>6.0</v>
      </c>
      <c r="F778" s="168">
        <v>7.0</v>
      </c>
      <c r="G778" s="168">
        <v>2.0</v>
      </c>
      <c r="H778" s="183">
        <v>-35905.83</v>
      </c>
      <c r="I778" s="184">
        <v>-20487.17</v>
      </c>
      <c r="J778" s="168">
        <v>2.0</v>
      </c>
      <c r="K778" s="168">
        <v>8.0</v>
      </c>
      <c r="L778" s="168">
        <v>9.0</v>
      </c>
      <c r="M778" s="184">
        <v>76909.58</v>
      </c>
      <c r="N778" s="184">
        <v>-135.3</v>
      </c>
      <c r="O778" s="184">
        <v>-95422.14</v>
      </c>
      <c r="P778" s="184">
        <v>16889.17</v>
      </c>
    </row>
    <row r="779">
      <c r="A779" s="168">
        <v>65.0</v>
      </c>
      <c r="B779" s="168">
        <v>86.0</v>
      </c>
      <c r="C779" s="168">
        <v>81.0</v>
      </c>
      <c r="D779" s="168">
        <v>59.0</v>
      </c>
      <c r="E779" s="168">
        <v>3.0</v>
      </c>
      <c r="F779" s="168">
        <v>7.0</v>
      </c>
      <c r="G779" s="168">
        <v>3.0</v>
      </c>
      <c r="H779" s="183">
        <v>-70732.73</v>
      </c>
      <c r="I779" s="184">
        <v>-66174.23</v>
      </c>
      <c r="J779" s="168">
        <v>6.0</v>
      </c>
      <c r="K779" s="168">
        <v>1.0</v>
      </c>
      <c r="L779" s="168">
        <v>6.0</v>
      </c>
      <c r="M779" s="184">
        <v>52721.46</v>
      </c>
      <c r="N779" s="184">
        <v>12396.78</v>
      </c>
      <c r="O779" s="184">
        <v>33874.26</v>
      </c>
      <c r="P779" s="184">
        <v>30812.91</v>
      </c>
    </row>
    <row r="780">
      <c r="A780" s="168">
        <v>73.0</v>
      </c>
      <c r="B780" s="168">
        <v>21.0</v>
      </c>
      <c r="C780" s="168">
        <v>77.0</v>
      </c>
      <c r="D780" s="168">
        <v>62.0</v>
      </c>
      <c r="E780" s="168">
        <v>3.0</v>
      </c>
      <c r="F780" s="168">
        <v>2.0</v>
      </c>
      <c r="G780" s="168">
        <v>2.0</v>
      </c>
      <c r="H780" s="183">
        <v>-8656.22</v>
      </c>
      <c r="I780" s="184">
        <v>-86379.46</v>
      </c>
      <c r="J780" s="168">
        <v>9.0</v>
      </c>
      <c r="K780" s="168">
        <v>1.0</v>
      </c>
      <c r="L780" s="168">
        <v>1.0</v>
      </c>
      <c r="M780" s="184">
        <v>89415.37</v>
      </c>
      <c r="N780" s="184">
        <v>-87988.46</v>
      </c>
      <c r="O780" s="184">
        <v>-85362.12</v>
      </c>
      <c r="P780" s="184">
        <v>-58088.28</v>
      </c>
    </row>
    <row r="781">
      <c r="A781" s="168">
        <v>12.0</v>
      </c>
      <c r="B781" s="168">
        <v>66.0</v>
      </c>
      <c r="C781" s="168">
        <v>11.0</v>
      </c>
      <c r="D781" s="168">
        <v>79.0</v>
      </c>
      <c r="E781" s="168">
        <v>8.0</v>
      </c>
      <c r="F781" s="168">
        <v>3.0</v>
      </c>
      <c r="G781" s="168">
        <v>1.0</v>
      </c>
      <c r="H781" s="183">
        <v>17927.83</v>
      </c>
      <c r="I781" s="184">
        <v>-26798.89</v>
      </c>
      <c r="J781" s="168">
        <v>6.0</v>
      </c>
      <c r="K781" s="168">
        <v>2.0</v>
      </c>
      <c r="L781" s="168">
        <v>5.0</v>
      </c>
      <c r="M781" s="184">
        <v>42815.4</v>
      </c>
      <c r="N781" s="184">
        <v>-22833.46</v>
      </c>
      <c r="O781" s="184">
        <v>-41970.12</v>
      </c>
      <c r="P781" s="184">
        <v>48135.43</v>
      </c>
    </row>
    <row r="782">
      <c r="A782" s="168">
        <v>79.0</v>
      </c>
      <c r="B782" s="168">
        <v>94.0</v>
      </c>
      <c r="C782" s="168">
        <v>83.0</v>
      </c>
      <c r="D782" s="168">
        <v>74.0</v>
      </c>
      <c r="E782" s="168">
        <v>4.0</v>
      </c>
      <c r="F782" s="168">
        <v>2.0</v>
      </c>
      <c r="G782" s="168">
        <v>9.0</v>
      </c>
      <c r="H782" s="183">
        <v>-65194.93</v>
      </c>
      <c r="I782" s="184">
        <v>54214.77</v>
      </c>
      <c r="J782" s="168">
        <v>1.0</v>
      </c>
      <c r="K782" s="168">
        <v>5.0</v>
      </c>
      <c r="L782" s="168">
        <v>7.0</v>
      </c>
      <c r="M782" s="184">
        <v>70448.74</v>
      </c>
      <c r="N782" s="184">
        <v>-97959.56</v>
      </c>
      <c r="O782" s="184">
        <v>-15065.47</v>
      </c>
      <c r="P782" s="184">
        <v>8665.14</v>
      </c>
    </row>
    <row r="783">
      <c r="A783" s="168">
        <v>72.0</v>
      </c>
      <c r="B783" s="168">
        <v>64.0</v>
      </c>
      <c r="C783" s="168">
        <v>49.0</v>
      </c>
      <c r="D783" s="168">
        <v>39.0</v>
      </c>
      <c r="E783" s="168">
        <v>7.0</v>
      </c>
      <c r="F783" s="168">
        <v>1.0</v>
      </c>
      <c r="G783" s="168">
        <v>1.0</v>
      </c>
      <c r="H783" s="183">
        <v>-60114.34</v>
      </c>
      <c r="I783" s="184">
        <v>38900.25</v>
      </c>
      <c r="J783" s="168">
        <v>5.0</v>
      </c>
      <c r="K783" s="168">
        <v>5.0</v>
      </c>
      <c r="L783" s="168">
        <v>7.0</v>
      </c>
      <c r="M783" s="184">
        <v>-62779.0</v>
      </c>
      <c r="N783" s="184">
        <v>75681.36</v>
      </c>
      <c r="O783" s="184">
        <v>55256.78</v>
      </c>
      <c r="P783" s="184">
        <v>25896.48</v>
      </c>
    </row>
    <row r="784">
      <c r="A784" s="168">
        <v>82.0</v>
      </c>
      <c r="B784" s="168">
        <v>91.0</v>
      </c>
      <c r="C784" s="168">
        <v>22.0</v>
      </c>
      <c r="D784" s="168">
        <v>53.0</v>
      </c>
      <c r="E784" s="168">
        <v>9.0</v>
      </c>
      <c r="F784" s="168">
        <v>9.0</v>
      </c>
      <c r="G784" s="168">
        <v>5.0</v>
      </c>
      <c r="H784" s="183">
        <v>-58611.9</v>
      </c>
      <c r="I784" s="184">
        <v>-29701.28</v>
      </c>
      <c r="J784" s="168">
        <v>7.0</v>
      </c>
      <c r="K784" s="168">
        <v>2.0</v>
      </c>
      <c r="L784" s="168">
        <v>8.0</v>
      </c>
      <c r="M784" s="184">
        <v>92106.16</v>
      </c>
      <c r="N784" s="184">
        <v>-59247.12</v>
      </c>
      <c r="O784" s="184">
        <v>-90552.24</v>
      </c>
      <c r="P784" s="184">
        <v>89712.8</v>
      </c>
    </row>
    <row r="785">
      <c r="A785" s="168">
        <v>25.0</v>
      </c>
      <c r="B785" s="168">
        <v>13.0</v>
      </c>
      <c r="C785" s="168">
        <v>24.0</v>
      </c>
      <c r="D785" s="168">
        <v>90.0</v>
      </c>
      <c r="E785" s="168">
        <v>4.0</v>
      </c>
      <c r="F785" s="168">
        <v>1.0</v>
      </c>
      <c r="G785" s="168">
        <v>6.0</v>
      </c>
      <c r="H785" s="183">
        <v>19735.38</v>
      </c>
      <c r="I785" s="184">
        <v>83041.97</v>
      </c>
      <c r="J785" s="168">
        <v>7.0</v>
      </c>
      <c r="K785" s="168">
        <v>8.0</v>
      </c>
      <c r="L785" s="168">
        <v>7.0</v>
      </c>
      <c r="M785" s="184">
        <v>-37225.12</v>
      </c>
      <c r="N785" s="184">
        <v>32291.28</v>
      </c>
      <c r="O785" s="184">
        <v>33636.14</v>
      </c>
      <c r="P785" s="184">
        <v>-77046.67</v>
      </c>
    </row>
    <row r="786">
      <c r="A786" s="168">
        <v>91.0</v>
      </c>
      <c r="B786" s="168">
        <v>79.0</v>
      </c>
      <c r="C786" s="168">
        <v>69.0</v>
      </c>
      <c r="D786" s="168">
        <v>10.0</v>
      </c>
      <c r="E786" s="168">
        <v>1.0</v>
      </c>
      <c r="F786" s="168">
        <v>5.0</v>
      </c>
      <c r="G786" s="168">
        <v>7.0</v>
      </c>
      <c r="H786" s="183">
        <v>3585.85</v>
      </c>
      <c r="I786" s="184">
        <v>80650.5</v>
      </c>
      <c r="J786" s="168">
        <v>8.0</v>
      </c>
      <c r="K786" s="168">
        <v>3.0</v>
      </c>
      <c r="L786" s="168">
        <v>5.0</v>
      </c>
      <c r="M786" s="184">
        <v>33140.85</v>
      </c>
      <c r="N786" s="184">
        <v>-22938.59</v>
      </c>
      <c r="O786" s="184">
        <v>-86470.72</v>
      </c>
      <c r="P786" s="184">
        <v>93939.64</v>
      </c>
    </row>
    <row r="787">
      <c r="A787" s="168">
        <v>94.0</v>
      </c>
      <c r="B787" s="168">
        <v>83.0</v>
      </c>
      <c r="C787" s="168">
        <v>92.0</v>
      </c>
      <c r="D787" s="168">
        <v>71.0</v>
      </c>
      <c r="E787" s="168">
        <v>7.0</v>
      </c>
      <c r="F787" s="168">
        <v>6.0</v>
      </c>
      <c r="G787" s="168">
        <v>9.0</v>
      </c>
      <c r="H787" s="183">
        <v>-43556.45</v>
      </c>
      <c r="I787" s="184">
        <v>20003.49</v>
      </c>
      <c r="J787" s="168">
        <v>7.0</v>
      </c>
      <c r="K787" s="168">
        <v>1.0</v>
      </c>
      <c r="L787" s="168">
        <v>4.0</v>
      </c>
      <c r="M787" s="184">
        <v>17924.96</v>
      </c>
      <c r="N787" s="184">
        <v>-51809.4</v>
      </c>
      <c r="O787" s="184">
        <v>42026.34</v>
      </c>
      <c r="P787" s="184">
        <v>98717.75</v>
      </c>
    </row>
    <row r="788">
      <c r="A788" s="168">
        <v>32.0</v>
      </c>
      <c r="B788" s="168">
        <v>13.0</v>
      </c>
      <c r="C788" s="168">
        <v>34.0</v>
      </c>
      <c r="D788" s="168">
        <v>90.0</v>
      </c>
      <c r="E788" s="168">
        <v>7.0</v>
      </c>
      <c r="F788" s="168">
        <v>7.0</v>
      </c>
      <c r="G788" s="168">
        <v>3.0</v>
      </c>
      <c r="H788" s="183">
        <v>51940.16</v>
      </c>
      <c r="I788" s="184">
        <v>4002.27</v>
      </c>
      <c r="J788" s="168">
        <v>5.0</v>
      </c>
      <c r="K788" s="168">
        <v>4.0</v>
      </c>
      <c r="L788" s="168">
        <v>2.0</v>
      </c>
      <c r="M788" s="184">
        <v>67552.19</v>
      </c>
      <c r="N788" s="184">
        <v>-8267.79</v>
      </c>
      <c r="O788" s="184">
        <v>5322.4</v>
      </c>
      <c r="P788" s="184">
        <v>99526.08</v>
      </c>
    </row>
    <row r="789">
      <c r="A789" s="168">
        <v>60.0</v>
      </c>
      <c r="B789" s="168">
        <v>97.0</v>
      </c>
      <c r="C789" s="168">
        <v>96.0</v>
      </c>
      <c r="D789" s="168">
        <v>36.0</v>
      </c>
      <c r="E789" s="168">
        <v>6.0</v>
      </c>
      <c r="F789" s="168">
        <v>9.0</v>
      </c>
      <c r="G789" s="168">
        <v>4.0</v>
      </c>
      <c r="H789" s="183">
        <v>41530.44</v>
      </c>
      <c r="I789" s="184">
        <v>74443.58</v>
      </c>
      <c r="J789" s="168">
        <v>4.0</v>
      </c>
      <c r="K789" s="168">
        <v>2.0</v>
      </c>
      <c r="L789" s="168">
        <v>8.0</v>
      </c>
      <c r="M789" s="184">
        <v>-42998.55</v>
      </c>
      <c r="N789" s="184">
        <v>10275.3</v>
      </c>
      <c r="O789" s="184">
        <v>92711.55</v>
      </c>
      <c r="P789" s="184">
        <v>47644.11</v>
      </c>
    </row>
    <row r="790">
      <c r="A790" s="168">
        <v>96.0</v>
      </c>
      <c r="B790" s="168">
        <v>80.0</v>
      </c>
      <c r="C790" s="168">
        <v>52.0</v>
      </c>
      <c r="D790" s="168">
        <v>66.0</v>
      </c>
      <c r="E790" s="168">
        <v>6.0</v>
      </c>
      <c r="F790" s="168">
        <v>3.0</v>
      </c>
      <c r="G790" s="168">
        <v>2.0</v>
      </c>
      <c r="H790" s="183">
        <v>70746.11</v>
      </c>
      <c r="I790" s="184">
        <v>73592.96</v>
      </c>
      <c r="J790" s="168">
        <v>2.0</v>
      </c>
      <c r="K790" s="168">
        <v>1.0</v>
      </c>
      <c r="L790" s="168">
        <v>9.0</v>
      </c>
      <c r="M790" s="184">
        <v>-57922.08</v>
      </c>
      <c r="N790" s="184">
        <v>86979.85</v>
      </c>
      <c r="O790" s="184">
        <v>92890.96</v>
      </c>
      <c r="P790" s="184">
        <v>68519.29</v>
      </c>
    </row>
    <row r="791">
      <c r="A791" s="168">
        <v>45.0</v>
      </c>
      <c r="B791" s="168">
        <v>10.0</v>
      </c>
      <c r="C791" s="168">
        <v>41.0</v>
      </c>
      <c r="D791" s="168">
        <v>70.0</v>
      </c>
      <c r="E791" s="168">
        <v>9.0</v>
      </c>
      <c r="F791" s="168">
        <v>4.0</v>
      </c>
      <c r="G791" s="168">
        <v>6.0</v>
      </c>
      <c r="H791" s="183">
        <v>-12177.88</v>
      </c>
      <c r="I791" s="184">
        <v>73105.69</v>
      </c>
      <c r="J791" s="168">
        <v>8.0</v>
      </c>
      <c r="K791" s="168">
        <v>4.0</v>
      </c>
      <c r="L791" s="168">
        <v>1.0</v>
      </c>
      <c r="M791" s="184">
        <v>96810.57</v>
      </c>
      <c r="N791" s="184">
        <v>-86227.01</v>
      </c>
      <c r="O791" s="184">
        <v>-44268.53</v>
      </c>
      <c r="P791" s="184">
        <v>-5639.35</v>
      </c>
    </row>
    <row r="792">
      <c r="A792" s="168">
        <v>73.0</v>
      </c>
      <c r="B792" s="168">
        <v>75.0</v>
      </c>
      <c r="C792" s="168">
        <v>77.0</v>
      </c>
      <c r="D792" s="168">
        <v>45.0</v>
      </c>
      <c r="E792" s="168">
        <v>8.0</v>
      </c>
      <c r="F792" s="168">
        <v>2.0</v>
      </c>
      <c r="G792" s="168">
        <v>3.0</v>
      </c>
      <c r="H792" s="183">
        <v>-46574.0</v>
      </c>
      <c r="I792" s="184">
        <v>-37342.81</v>
      </c>
      <c r="J792" s="168">
        <v>9.0</v>
      </c>
      <c r="K792" s="168">
        <v>8.0</v>
      </c>
      <c r="L792" s="168">
        <v>1.0</v>
      </c>
      <c r="M792" s="184">
        <v>47068.12</v>
      </c>
      <c r="N792" s="184">
        <v>-61857.93</v>
      </c>
      <c r="O792" s="184">
        <v>54789.8</v>
      </c>
      <c r="P792" s="184">
        <v>-52394.02</v>
      </c>
    </row>
    <row r="793">
      <c r="A793" s="168">
        <v>21.0</v>
      </c>
      <c r="B793" s="168">
        <v>35.0</v>
      </c>
      <c r="C793" s="168">
        <v>80.0</v>
      </c>
      <c r="D793" s="168">
        <v>31.0</v>
      </c>
      <c r="E793" s="168">
        <v>1.0</v>
      </c>
      <c r="F793" s="168">
        <v>6.0</v>
      </c>
      <c r="G793" s="168">
        <v>9.0</v>
      </c>
      <c r="H793" s="183">
        <v>-20245.09</v>
      </c>
      <c r="I793" s="184">
        <v>-93545.02</v>
      </c>
      <c r="J793" s="168">
        <v>1.0</v>
      </c>
      <c r="K793" s="168">
        <v>4.0</v>
      </c>
      <c r="L793" s="168">
        <v>4.0</v>
      </c>
      <c r="M793" s="184">
        <v>-45761.08</v>
      </c>
      <c r="N793" s="184">
        <v>89543.74</v>
      </c>
      <c r="O793" s="184">
        <v>-50831.15</v>
      </c>
      <c r="P793" s="184">
        <v>-28903.04</v>
      </c>
    </row>
    <row r="794">
      <c r="A794" s="168">
        <v>40.0</v>
      </c>
      <c r="B794" s="168">
        <v>56.0</v>
      </c>
      <c r="C794" s="168">
        <v>63.0</v>
      </c>
      <c r="D794" s="168">
        <v>15.0</v>
      </c>
      <c r="E794" s="168">
        <v>7.0</v>
      </c>
      <c r="F794" s="168">
        <v>3.0</v>
      </c>
      <c r="G794" s="168">
        <v>3.0</v>
      </c>
      <c r="H794" s="183">
        <v>53614.11</v>
      </c>
      <c r="I794" s="184">
        <v>-62425.28</v>
      </c>
      <c r="J794" s="168">
        <v>1.0</v>
      </c>
      <c r="K794" s="168">
        <v>3.0</v>
      </c>
      <c r="L794" s="168">
        <v>4.0</v>
      </c>
      <c r="M794" s="184">
        <v>-92909.39</v>
      </c>
      <c r="N794" s="184">
        <v>-98793.2</v>
      </c>
      <c r="O794" s="184">
        <v>13997.28</v>
      </c>
      <c r="P794" s="184">
        <v>96803.16</v>
      </c>
    </row>
    <row r="795">
      <c r="A795" s="168">
        <v>37.0</v>
      </c>
      <c r="B795" s="168">
        <v>55.0</v>
      </c>
      <c r="C795" s="168">
        <v>65.0</v>
      </c>
      <c r="D795" s="168">
        <v>72.0</v>
      </c>
      <c r="E795" s="168">
        <v>4.0</v>
      </c>
      <c r="F795" s="168">
        <v>9.0</v>
      </c>
      <c r="G795" s="168">
        <v>2.0</v>
      </c>
      <c r="H795" s="183">
        <v>-49201.04</v>
      </c>
      <c r="I795" s="184">
        <v>-95171.28</v>
      </c>
      <c r="J795" s="168">
        <v>4.0</v>
      </c>
      <c r="K795" s="168">
        <v>2.0</v>
      </c>
      <c r="L795" s="168">
        <v>4.0</v>
      </c>
      <c r="M795" s="184">
        <v>71793.43</v>
      </c>
      <c r="N795" s="184">
        <v>-43592.3</v>
      </c>
      <c r="O795" s="184">
        <v>34062.12</v>
      </c>
      <c r="P795" s="184">
        <v>67014.74</v>
      </c>
    </row>
    <row r="796">
      <c r="A796" s="168">
        <v>51.0</v>
      </c>
      <c r="B796" s="168">
        <v>19.0</v>
      </c>
      <c r="C796" s="168">
        <v>15.0</v>
      </c>
      <c r="D796" s="168">
        <v>61.0</v>
      </c>
      <c r="E796" s="168">
        <v>5.0</v>
      </c>
      <c r="F796" s="168">
        <v>3.0</v>
      </c>
      <c r="G796" s="168">
        <v>9.0</v>
      </c>
      <c r="H796" s="183">
        <v>48238.33</v>
      </c>
      <c r="I796" s="184">
        <v>35496.06</v>
      </c>
      <c r="J796" s="168">
        <v>4.0</v>
      </c>
      <c r="K796" s="168">
        <v>6.0</v>
      </c>
      <c r="L796" s="168">
        <v>4.0</v>
      </c>
      <c r="M796" s="184">
        <v>40762.65</v>
      </c>
      <c r="N796" s="184">
        <v>11918.97</v>
      </c>
      <c r="O796" s="184">
        <v>-89463.25</v>
      </c>
      <c r="P796" s="184">
        <v>97521.64</v>
      </c>
    </row>
    <row r="797">
      <c r="A797" s="168">
        <v>66.0</v>
      </c>
      <c r="B797" s="168">
        <v>93.0</v>
      </c>
      <c r="C797" s="168">
        <v>79.0</v>
      </c>
      <c r="D797" s="168">
        <v>90.0</v>
      </c>
      <c r="E797" s="168">
        <v>4.0</v>
      </c>
      <c r="F797" s="168">
        <v>2.0</v>
      </c>
      <c r="G797" s="168">
        <v>2.0</v>
      </c>
      <c r="H797" s="183">
        <v>-55024.52</v>
      </c>
      <c r="I797" s="184">
        <v>-40709.69</v>
      </c>
      <c r="J797" s="168">
        <v>4.0</v>
      </c>
      <c r="K797" s="168">
        <v>5.0</v>
      </c>
      <c r="L797" s="168">
        <v>5.0</v>
      </c>
      <c r="M797" s="184">
        <v>-80741.67</v>
      </c>
      <c r="N797" s="184">
        <v>-53667.32</v>
      </c>
      <c r="O797" s="184">
        <v>-34925.11</v>
      </c>
      <c r="P797" s="184">
        <v>-52207.02</v>
      </c>
    </row>
    <row r="798">
      <c r="A798" s="168">
        <v>77.0</v>
      </c>
      <c r="B798" s="168">
        <v>62.0</v>
      </c>
      <c r="C798" s="168">
        <v>93.0</v>
      </c>
      <c r="D798" s="168">
        <v>99.0</v>
      </c>
      <c r="E798" s="168">
        <v>2.0</v>
      </c>
      <c r="F798" s="168">
        <v>9.0</v>
      </c>
      <c r="G798" s="168">
        <v>9.0</v>
      </c>
      <c r="H798" s="183">
        <v>-21839.16</v>
      </c>
      <c r="I798" s="184">
        <v>-57180.92</v>
      </c>
      <c r="J798" s="168">
        <v>4.0</v>
      </c>
      <c r="K798" s="168">
        <v>6.0</v>
      </c>
      <c r="L798" s="168">
        <v>3.0</v>
      </c>
      <c r="M798" s="184">
        <v>32215.17</v>
      </c>
      <c r="N798" s="184">
        <v>-1202.64</v>
      </c>
      <c r="O798" s="184">
        <v>-85840.8</v>
      </c>
      <c r="P798" s="184">
        <v>35105.24</v>
      </c>
    </row>
    <row r="799">
      <c r="A799" s="168">
        <v>44.0</v>
      </c>
      <c r="B799" s="168">
        <v>23.0</v>
      </c>
      <c r="C799" s="168">
        <v>67.0</v>
      </c>
      <c r="D799" s="168">
        <v>21.0</v>
      </c>
      <c r="E799" s="168">
        <v>5.0</v>
      </c>
      <c r="F799" s="168">
        <v>2.0</v>
      </c>
      <c r="G799" s="168">
        <v>8.0</v>
      </c>
      <c r="H799" s="183">
        <v>-72614.89</v>
      </c>
      <c r="I799" s="184">
        <v>52271.71</v>
      </c>
      <c r="J799" s="168">
        <v>5.0</v>
      </c>
      <c r="K799" s="168">
        <v>8.0</v>
      </c>
      <c r="L799" s="168">
        <v>6.0</v>
      </c>
      <c r="M799" s="184">
        <v>79688.42</v>
      </c>
      <c r="N799" s="184">
        <v>17734.71</v>
      </c>
      <c r="O799" s="184">
        <v>-92242.1</v>
      </c>
      <c r="P799" s="184">
        <v>-56337.69</v>
      </c>
    </row>
    <row r="800">
      <c r="A800" s="168">
        <v>12.0</v>
      </c>
      <c r="B800" s="168">
        <v>92.0</v>
      </c>
      <c r="C800" s="168">
        <v>84.0</v>
      </c>
      <c r="D800" s="168">
        <v>34.0</v>
      </c>
      <c r="E800" s="168">
        <v>6.0</v>
      </c>
      <c r="F800" s="168">
        <v>9.0</v>
      </c>
      <c r="G800" s="168">
        <v>5.0</v>
      </c>
      <c r="H800" s="183">
        <v>69370.72</v>
      </c>
      <c r="I800" s="184">
        <v>-53990.17</v>
      </c>
      <c r="J800" s="168">
        <v>3.0</v>
      </c>
      <c r="K800" s="168">
        <v>9.0</v>
      </c>
      <c r="L800" s="168">
        <v>9.0</v>
      </c>
      <c r="M800" s="184">
        <v>-97328.52</v>
      </c>
      <c r="N800" s="184">
        <v>17382.6</v>
      </c>
      <c r="O800" s="184">
        <v>-50779.47</v>
      </c>
      <c r="P800" s="184">
        <v>-84840.25</v>
      </c>
    </row>
    <row r="801">
      <c r="A801" s="168">
        <v>91.0</v>
      </c>
      <c r="B801" s="168">
        <v>85.0</v>
      </c>
      <c r="C801" s="168">
        <v>94.0</v>
      </c>
      <c r="D801" s="168">
        <v>85.0</v>
      </c>
      <c r="E801" s="168">
        <v>9.0</v>
      </c>
      <c r="F801" s="168">
        <v>8.0</v>
      </c>
      <c r="G801" s="168">
        <v>8.0</v>
      </c>
      <c r="H801" s="183">
        <v>89832.64</v>
      </c>
      <c r="I801" s="184">
        <v>-3334.05</v>
      </c>
      <c r="J801" s="168">
        <v>6.0</v>
      </c>
      <c r="K801" s="168">
        <v>5.0</v>
      </c>
      <c r="L801" s="168">
        <v>3.0</v>
      </c>
      <c r="M801" s="184">
        <v>-39477.56</v>
      </c>
      <c r="N801" s="184">
        <v>36257.35</v>
      </c>
      <c r="O801" s="184">
        <v>33979.59</v>
      </c>
      <c r="P801" s="184">
        <v>-68091.82</v>
      </c>
    </row>
    <row r="802">
      <c r="A802" s="168">
        <v>26.0</v>
      </c>
      <c r="B802" s="168">
        <v>42.0</v>
      </c>
      <c r="C802" s="168">
        <v>69.0</v>
      </c>
      <c r="D802" s="168">
        <v>20.0</v>
      </c>
      <c r="E802" s="168">
        <v>4.0</v>
      </c>
      <c r="F802" s="168">
        <v>5.0</v>
      </c>
      <c r="G802" s="168">
        <v>4.0</v>
      </c>
      <c r="H802" s="183">
        <v>50395.4</v>
      </c>
      <c r="I802" s="184">
        <v>-1248.73</v>
      </c>
      <c r="J802" s="168">
        <v>9.0</v>
      </c>
      <c r="K802" s="168">
        <v>7.0</v>
      </c>
      <c r="L802" s="168">
        <v>1.0</v>
      </c>
      <c r="M802" s="184">
        <v>-41273.21</v>
      </c>
      <c r="N802" s="184">
        <v>-32193.02</v>
      </c>
      <c r="O802" s="184">
        <v>-32792.62</v>
      </c>
      <c r="P802" s="184">
        <v>70577.76</v>
      </c>
    </row>
    <row r="803">
      <c r="A803" s="168">
        <v>57.0</v>
      </c>
      <c r="B803" s="168">
        <v>21.0</v>
      </c>
      <c r="C803" s="168">
        <v>70.0</v>
      </c>
      <c r="D803" s="168">
        <v>15.0</v>
      </c>
      <c r="E803" s="168">
        <v>6.0</v>
      </c>
      <c r="F803" s="168">
        <v>8.0</v>
      </c>
      <c r="G803" s="168">
        <v>2.0</v>
      </c>
      <c r="H803" s="183">
        <v>-2534.5</v>
      </c>
      <c r="I803" s="184">
        <v>3790.36</v>
      </c>
      <c r="J803" s="168">
        <v>3.0</v>
      </c>
      <c r="K803" s="168">
        <v>1.0</v>
      </c>
      <c r="L803" s="168">
        <v>2.0</v>
      </c>
      <c r="M803" s="184">
        <v>-66943.48</v>
      </c>
      <c r="N803" s="184">
        <v>64250.94</v>
      </c>
      <c r="O803" s="184">
        <v>18194.67</v>
      </c>
      <c r="P803" s="184">
        <v>-98724.46</v>
      </c>
    </row>
    <row r="804">
      <c r="A804" s="168">
        <v>49.0</v>
      </c>
      <c r="B804" s="168">
        <v>33.0</v>
      </c>
      <c r="C804" s="168">
        <v>20.0</v>
      </c>
      <c r="D804" s="168">
        <v>82.0</v>
      </c>
      <c r="E804" s="168">
        <v>3.0</v>
      </c>
      <c r="F804" s="168">
        <v>4.0</v>
      </c>
      <c r="G804" s="168">
        <v>5.0</v>
      </c>
      <c r="H804" s="183">
        <v>70059.29</v>
      </c>
      <c r="I804" s="184">
        <v>-51065.81</v>
      </c>
      <c r="J804" s="168">
        <v>1.0</v>
      </c>
      <c r="K804" s="168">
        <v>7.0</v>
      </c>
      <c r="L804" s="168">
        <v>2.0</v>
      </c>
      <c r="M804" s="184">
        <v>-76260.68</v>
      </c>
      <c r="N804" s="184">
        <v>39006.55</v>
      </c>
      <c r="O804" s="184">
        <v>-50657.18</v>
      </c>
      <c r="P804" s="184">
        <v>8465.21</v>
      </c>
    </row>
    <row r="805">
      <c r="A805" s="168">
        <v>32.0</v>
      </c>
      <c r="B805" s="168">
        <v>29.0</v>
      </c>
      <c r="C805" s="168">
        <v>23.0</v>
      </c>
      <c r="D805" s="168">
        <v>94.0</v>
      </c>
      <c r="E805" s="168">
        <v>8.0</v>
      </c>
      <c r="F805" s="168">
        <v>2.0</v>
      </c>
      <c r="G805" s="168">
        <v>8.0</v>
      </c>
      <c r="H805" s="183">
        <v>-48940.01</v>
      </c>
      <c r="I805" s="184">
        <v>-60271.35</v>
      </c>
      <c r="J805" s="168">
        <v>2.0</v>
      </c>
      <c r="K805" s="168">
        <v>2.0</v>
      </c>
      <c r="L805" s="168">
        <v>8.0</v>
      </c>
      <c r="M805" s="184">
        <v>20629.03</v>
      </c>
      <c r="N805" s="184">
        <v>49785.18</v>
      </c>
      <c r="O805" s="184">
        <v>-50948.13</v>
      </c>
      <c r="P805" s="184">
        <v>-60395.08</v>
      </c>
    </row>
    <row r="806">
      <c r="A806" s="168">
        <v>20.0</v>
      </c>
      <c r="B806" s="168">
        <v>86.0</v>
      </c>
      <c r="C806" s="168">
        <v>14.0</v>
      </c>
      <c r="D806" s="168">
        <v>74.0</v>
      </c>
      <c r="E806" s="168">
        <v>2.0</v>
      </c>
      <c r="F806" s="168">
        <v>5.0</v>
      </c>
      <c r="G806" s="168">
        <v>3.0</v>
      </c>
      <c r="H806" s="183">
        <v>-95488.64</v>
      </c>
      <c r="I806" s="184">
        <v>37539.03</v>
      </c>
      <c r="J806" s="168">
        <v>2.0</v>
      </c>
      <c r="K806" s="168">
        <v>5.0</v>
      </c>
      <c r="L806" s="168">
        <v>5.0</v>
      </c>
      <c r="M806" s="184">
        <v>9099.09</v>
      </c>
      <c r="N806" s="184">
        <v>-52270.85</v>
      </c>
      <c r="O806" s="184">
        <v>10584.57</v>
      </c>
      <c r="P806" s="184">
        <v>-29463.18</v>
      </c>
    </row>
    <row r="807">
      <c r="A807" s="168">
        <v>49.0</v>
      </c>
      <c r="B807" s="168">
        <v>98.0</v>
      </c>
      <c r="C807" s="168">
        <v>87.0</v>
      </c>
      <c r="D807" s="168">
        <v>59.0</v>
      </c>
      <c r="E807" s="168">
        <v>7.0</v>
      </c>
      <c r="F807" s="168">
        <v>8.0</v>
      </c>
      <c r="G807" s="168">
        <v>8.0</v>
      </c>
      <c r="H807" s="183">
        <v>23135.53</v>
      </c>
      <c r="I807" s="184">
        <v>95185.72</v>
      </c>
      <c r="J807" s="168">
        <v>8.0</v>
      </c>
      <c r="K807" s="168">
        <v>6.0</v>
      </c>
      <c r="L807" s="168">
        <v>6.0</v>
      </c>
      <c r="M807" s="184">
        <v>-96841.94</v>
      </c>
      <c r="N807" s="184">
        <v>56390.9</v>
      </c>
      <c r="O807" s="184">
        <v>-74595.09</v>
      </c>
      <c r="P807" s="184">
        <v>77319.85</v>
      </c>
    </row>
    <row r="808">
      <c r="A808" s="168">
        <v>18.0</v>
      </c>
      <c r="B808" s="168">
        <v>56.0</v>
      </c>
      <c r="C808" s="168">
        <v>63.0</v>
      </c>
      <c r="D808" s="168">
        <v>77.0</v>
      </c>
      <c r="E808" s="168">
        <v>7.0</v>
      </c>
      <c r="F808" s="168">
        <v>3.0</v>
      </c>
      <c r="G808" s="168">
        <v>8.0</v>
      </c>
      <c r="H808" s="183">
        <v>86688.82</v>
      </c>
      <c r="I808" s="184">
        <v>-81623.76</v>
      </c>
      <c r="J808" s="168">
        <v>5.0</v>
      </c>
      <c r="K808" s="168">
        <v>5.0</v>
      </c>
      <c r="L808" s="168">
        <v>3.0</v>
      </c>
      <c r="M808" s="184">
        <v>-73187.99</v>
      </c>
      <c r="N808" s="184">
        <v>-48849.81</v>
      </c>
      <c r="O808" s="184">
        <v>-36003.0</v>
      </c>
      <c r="P808" s="184">
        <v>-7202.06</v>
      </c>
    </row>
    <row r="809">
      <c r="A809" s="168">
        <v>84.0</v>
      </c>
      <c r="B809" s="168">
        <v>13.0</v>
      </c>
      <c r="C809" s="168">
        <v>58.0</v>
      </c>
      <c r="D809" s="168">
        <v>75.0</v>
      </c>
      <c r="E809" s="168">
        <v>5.0</v>
      </c>
      <c r="F809" s="168">
        <v>8.0</v>
      </c>
      <c r="G809" s="168">
        <v>4.0</v>
      </c>
      <c r="H809" s="183">
        <v>44826.0</v>
      </c>
      <c r="I809" s="184">
        <v>-50919.59</v>
      </c>
      <c r="J809" s="168">
        <v>6.0</v>
      </c>
      <c r="K809" s="168">
        <v>5.0</v>
      </c>
      <c r="L809" s="168">
        <v>5.0</v>
      </c>
      <c r="M809" s="184">
        <v>-2981.72</v>
      </c>
      <c r="N809" s="184">
        <v>25846.06</v>
      </c>
      <c r="O809" s="184">
        <v>-73811.18</v>
      </c>
      <c r="P809" s="184">
        <v>51682.44</v>
      </c>
    </row>
    <row r="810">
      <c r="A810" s="168">
        <v>70.0</v>
      </c>
      <c r="B810" s="168">
        <v>88.0</v>
      </c>
      <c r="C810" s="168">
        <v>73.0</v>
      </c>
      <c r="D810" s="168">
        <v>65.0</v>
      </c>
      <c r="E810" s="168">
        <v>8.0</v>
      </c>
      <c r="F810" s="168">
        <v>8.0</v>
      </c>
      <c r="G810" s="168">
        <v>7.0</v>
      </c>
      <c r="H810" s="183">
        <v>1247.23</v>
      </c>
      <c r="I810" s="184">
        <v>66126.34</v>
      </c>
      <c r="J810" s="168">
        <v>3.0</v>
      </c>
      <c r="K810" s="168">
        <v>7.0</v>
      </c>
      <c r="L810" s="168">
        <v>7.0</v>
      </c>
      <c r="M810" s="184">
        <v>-25680.44</v>
      </c>
      <c r="N810" s="184">
        <v>93245.53</v>
      </c>
      <c r="O810" s="184">
        <v>44671.72</v>
      </c>
      <c r="P810" s="184">
        <v>-66460.29</v>
      </c>
    </row>
    <row r="811">
      <c r="A811" s="168">
        <v>77.0</v>
      </c>
      <c r="B811" s="168">
        <v>15.0</v>
      </c>
      <c r="C811" s="168">
        <v>31.0</v>
      </c>
      <c r="D811" s="168">
        <v>28.0</v>
      </c>
      <c r="E811" s="168">
        <v>2.0</v>
      </c>
      <c r="F811" s="168">
        <v>4.0</v>
      </c>
      <c r="G811" s="168">
        <v>4.0</v>
      </c>
      <c r="H811" s="183">
        <v>-3072.12</v>
      </c>
      <c r="I811" s="184">
        <v>8921.2</v>
      </c>
      <c r="J811" s="168">
        <v>5.0</v>
      </c>
      <c r="K811" s="168">
        <v>2.0</v>
      </c>
      <c r="L811" s="168">
        <v>4.0</v>
      </c>
      <c r="M811" s="184">
        <v>91289.19</v>
      </c>
      <c r="N811" s="184">
        <v>-18743.99</v>
      </c>
      <c r="O811" s="184">
        <v>-13349.57</v>
      </c>
      <c r="P811" s="184">
        <v>-24176.62</v>
      </c>
    </row>
    <row r="812">
      <c r="A812" s="168">
        <v>64.0</v>
      </c>
      <c r="B812" s="168">
        <v>62.0</v>
      </c>
      <c r="C812" s="168">
        <v>92.0</v>
      </c>
      <c r="D812" s="168">
        <v>27.0</v>
      </c>
      <c r="E812" s="168">
        <v>5.0</v>
      </c>
      <c r="F812" s="168">
        <v>7.0</v>
      </c>
      <c r="G812" s="168">
        <v>3.0</v>
      </c>
      <c r="H812" s="183">
        <v>-85160.15</v>
      </c>
      <c r="I812" s="184">
        <v>9686.98</v>
      </c>
      <c r="J812" s="168">
        <v>7.0</v>
      </c>
      <c r="K812" s="168">
        <v>2.0</v>
      </c>
      <c r="L812" s="168">
        <v>3.0</v>
      </c>
      <c r="M812" s="184">
        <v>94735.8</v>
      </c>
      <c r="N812" s="184">
        <v>-19766.71</v>
      </c>
      <c r="O812" s="184">
        <v>-19279.18</v>
      </c>
      <c r="P812" s="184">
        <v>93426.64</v>
      </c>
    </row>
    <row r="813">
      <c r="A813" s="168">
        <v>85.0</v>
      </c>
      <c r="B813" s="168">
        <v>11.0</v>
      </c>
      <c r="C813" s="168">
        <v>40.0</v>
      </c>
      <c r="D813" s="168">
        <v>82.0</v>
      </c>
      <c r="E813" s="168">
        <v>3.0</v>
      </c>
      <c r="F813" s="168">
        <v>4.0</v>
      </c>
      <c r="G813" s="168">
        <v>9.0</v>
      </c>
      <c r="H813" s="183">
        <v>-42500.59</v>
      </c>
      <c r="I813" s="184">
        <v>-65858.72</v>
      </c>
      <c r="J813" s="168">
        <v>4.0</v>
      </c>
      <c r="K813" s="168">
        <v>1.0</v>
      </c>
      <c r="L813" s="168">
        <v>8.0</v>
      </c>
      <c r="M813" s="184">
        <v>-46240.91</v>
      </c>
      <c r="N813" s="184">
        <v>93016.17</v>
      </c>
      <c r="O813" s="184">
        <v>-22907.21</v>
      </c>
      <c r="P813" s="184">
        <v>80394.24</v>
      </c>
    </row>
    <row r="814">
      <c r="A814" s="168">
        <v>79.0</v>
      </c>
      <c r="B814" s="168">
        <v>30.0</v>
      </c>
      <c r="C814" s="168">
        <v>56.0</v>
      </c>
      <c r="D814" s="168">
        <v>29.0</v>
      </c>
      <c r="E814" s="168">
        <v>7.0</v>
      </c>
      <c r="F814" s="168">
        <v>3.0</v>
      </c>
      <c r="G814" s="168">
        <v>6.0</v>
      </c>
      <c r="H814" s="183">
        <v>89129.21</v>
      </c>
      <c r="I814" s="184">
        <v>-13187.47</v>
      </c>
      <c r="J814" s="168">
        <v>3.0</v>
      </c>
      <c r="K814" s="168">
        <v>2.0</v>
      </c>
      <c r="L814" s="168">
        <v>4.0</v>
      </c>
      <c r="M814" s="184">
        <v>47440.86</v>
      </c>
      <c r="N814" s="184">
        <v>-95325.18</v>
      </c>
      <c r="O814" s="184">
        <v>64411.96</v>
      </c>
      <c r="P814" s="184">
        <v>78261.3</v>
      </c>
    </row>
    <row r="815">
      <c r="A815" s="168">
        <v>99.0</v>
      </c>
      <c r="B815" s="168">
        <v>53.0</v>
      </c>
      <c r="C815" s="168">
        <v>11.0</v>
      </c>
      <c r="D815" s="168">
        <v>60.0</v>
      </c>
      <c r="E815" s="168">
        <v>7.0</v>
      </c>
      <c r="F815" s="168">
        <v>9.0</v>
      </c>
      <c r="G815" s="168">
        <v>7.0</v>
      </c>
      <c r="H815" s="183">
        <v>-50363.55</v>
      </c>
      <c r="I815" s="184">
        <v>-91526.35</v>
      </c>
      <c r="J815" s="168">
        <v>8.0</v>
      </c>
      <c r="K815" s="168">
        <v>3.0</v>
      </c>
      <c r="L815" s="168">
        <v>7.0</v>
      </c>
      <c r="M815" s="184">
        <v>-30688.16</v>
      </c>
      <c r="N815" s="184">
        <v>-75195.93</v>
      </c>
      <c r="O815" s="184">
        <v>37048.54</v>
      </c>
      <c r="P815" s="184">
        <v>92593.43</v>
      </c>
    </row>
    <row r="816">
      <c r="A816" s="168">
        <v>88.0</v>
      </c>
      <c r="B816" s="168">
        <v>55.0</v>
      </c>
      <c r="C816" s="168">
        <v>50.0</v>
      </c>
      <c r="D816" s="168">
        <v>47.0</v>
      </c>
      <c r="E816" s="168">
        <v>5.0</v>
      </c>
      <c r="F816" s="168">
        <v>6.0</v>
      </c>
      <c r="G816" s="168">
        <v>3.0</v>
      </c>
      <c r="H816" s="183">
        <v>21149.32</v>
      </c>
      <c r="I816" s="184">
        <v>70135.58</v>
      </c>
      <c r="J816" s="168">
        <v>4.0</v>
      </c>
      <c r="K816" s="168">
        <v>6.0</v>
      </c>
      <c r="L816" s="168">
        <v>7.0</v>
      </c>
      <c r="M816" s="184">
        <v>32997.37</v>
      </c>
      <c r="N816" s="184">
        <v>53354.39</v>
      </c>
      <c r="O816" s="184">
        <v>-70859.34</v>
      </c>
      <c r="P816" s="184">
        <v>95396.01</v>
      </c>
    </row>
    <row r="817">
      <c r="A817" s="168">
        <v>90.0</v>
      </c>
      <c r="B817" s="168">
        <v>72.0</v>
      </c>
      <c r="C817" s="168">
        <v>14.0</v>
      </c>
      <c r="D817" s="168">
        <v>34.0</v>
      </c>
      <c r="E817" s="168">
        <v>4.0</v>
      </c>
      <c r="F817" s="168">
        <v>7.0</v>
      </c>
      <c r="G817" s="168">
        <v>4.0</v>
      </c>
      <c r="H817" s="183">
        <v>-75617.4</v>
      </c>
      <c r="I817" s="184">
        <v>12773.29</v>
      </c>
      <c r="J817" s="168">
        <v>7.0</v>
      </c>
      <c r="K817" s="168">
        <v>2.0</v>
      </c>
      <c r="L817" s="168">
        <v>4.0</v>
      </c>
      <c r="M817" s="184">
        <v>84251.82</v>
      </c>
      <c r="N817" s="184">
        <v>78424.15</v>
      </c>
      <c r="O817" s="184">
        <v>76350.4</v>
      </c>
      <c r="P817" s="184">
        <v>-57930.2</v>
      </c>
    </row>
    <row r="818">
      <c r="A818" s="168">
        <v>36.0</v>
      </c>
      <c r="B818" s="168">
        <v>60.0</v>
      </c>
      <c r="C818" s="168">
        <v>44.0</v>
      </c>
      <c r="D818" s="168">
        <v>60.0</v>
      </c>
      <c r="E818" s="168">
        <v>7.0</v>
      </c>
      <c r="F818" s="168">
        <v>3.0</v>
      </c>
      <c r="G818" s="168">
        <v>8.0</v>
      </c>
      <c r="H818" s="183">
        <v>34258.33</v>
      </c>
      <c r="I818" s="184">
        <v>-62886.18</v>
      </c>
      <c r="J818" s="168">
        <v>7.0</v>
      </c>
      <c r="K818" s="168">
        <v>9.0</v>
      </c>
      <c r="L818" s="168">
        <v>8.0</v>
      </c>
      <c r="M818" s="184">
        <v>-46191.0</v>
      </c>
      <c r="N818" s="184">
        <v>-1976.3</v>
      </c>
      <c r="O818" s="184">
        <v>17481.42</v>
      </c>
      <c r="P818" s="184">
        <v>-63569.07</v>
      </c>
    </row>
    <row r="819">
      <c r="A819" s="168">
        <v>46.0</v>
      </c>
      <c r="B819" s="168">
        <v>20.0</v>
      </c>
      <c r="C819" s="168">
        <v>15.0</v>
      </c>
      <c r="D819" s="168">
        <v>84.0</v>
      </c>
      <c r="E819" s="168">
        <v>3.0</v>
      </c>
      <c r="F819" s="168">
        <v>4.0</v>
      </c>
      <c r="G819" s="168">
        <v>2.0</v>
      </c>
      <c r="H819" s="183">
        <v>-76172.71</v>
      </c>
      <c r="I819" s="184">
        <v>59962.8</v>
      </c>
      <c r="J819" s="168">
        <v>4.0</v>
      </c>
      <c r="K819" s="168">
        <v>4.0</v>
      </c>
      <c r="L819" s="168">
        <v>3.0</v>
      </c>
      <c r="M819" s="184">
        <v>53829.53</v>
      </c>
      <c r="N819" s="184">
        <v>-28287.53</v>
      </c>
      <c r="O819" s="184">
        <v>86075.95</v>
      </c>
      <c r="P819" s="184">
        <v>-11566.69</v>
      </c>
    </row>
    <row r="820">
      <c r="A820" s="168">
        <v>50.0</v>
      </c>
      <c r="B820" s="168">
        <v>14.0</v>
      </c>
      <c r="C820" s="168">
        <v>86.0</v>
      </c>
      <c r="D820" s="168">
        <v>54.0</v>
      </c>
      <c r="E820" s="168">
        <v>2.0</v>
      </c>
      <c r="F820" s="168">
        <v>8.0</v>
      </c>
      <c r="G820" s="168">
        <v>1.0</v>
      </c>
      <c r="H820" s="183">
        <v>10750.27</v>
      </c>
      <c r="I820" s="184">
        <v>-52069.94</v>
      </c>
      <c r="J820" s="168">
        <v>8.0</v>
      </c>
      <c r="K820" s="168">
        <v>8.0</v>
      </c>
      <c r="L820" s="168">
        <v>3.0</v>
      </c>
      <c r="M820" s="184">
        <v>81768.21</v>
      </c>
      <c r="N820" s="184">
        <v>25302.58</v>
      </c>
      <c r="O820" s="184">
        <v>55959.9</v>
      </c>
      <c r="P820" s="184">
        <v>57581.45</v>
      </c>
    </row>
    <row r="821">
      <c r="A821" s="168">
        <v>77.0</v>
      </c>
      <c r="B821" s="168">
        <v>11.0</v>
      </c>
      <c r="C821" s="168">
        <v>47.0</v>
      </c>
      <c r="D821" s="168">
        <v>49.0</v>
      </c>
      <c r="E821" s="168">
        <v>7.0</v>
      </c>
      <c r="F821" s="168">
        <v>2.0</v>
      </c>
      <c r="G821" s="168">
        <v>1.0</v>
      </c>
      <c r="H821" s="183">
        <v>94367.73</v>
      </c>
      <c r="I821" s="184">
        <v>14371.71</v>
      </c>
      <c r="J821" s="168">
        <v>3.0</v>
      </c>
      <c r="K821" s="168">
        <v>1.0</v>
      </c>
      <c r="L821" s="168">
        <v>6.0</v>
      </c>
      <c r="M821" s="184">
        <v>-74726.55</v>
      </c>
      <c r="N821" s="184">
        <v>-89886.41</v>
      </c>
      <c r="O821" s="184">
        <v>55470.99</v>
      </c>
      <c r="P821" s="184">
        <v>41378.63</v>
      </c>
    </row>
    <row r="822">
      <c r="A822" s="168">
        <v>89.0</v>
      </c>
      <c r="B822" s="168">
        <v>99.0</v>
      </c>
      <c r="C822" s="168">
        <v>93.0</v>
      </c>
      <c r="D822" s="168">
        <v>85.0</v>
      </c>
      <c r="E822" s="168">
        <v>8.0</v>
      </c>
      <c r="F822" s="168">
        <v>1.0</v>
      </c>
      <c r="G822" s="168">
        <v>7.0</v>
      </c>
      <c r="H822" s="183">
        <v>87843.43</v>
      </c>
      <c r="I822" s="184">
        <v>-52511.53</v>
      </c>
      <c r="J822" s="168">
        <v>3.0</v>
      </c>
      <c r="K822" s="168">
        <v>3.0</v>
      </c>
      <c r="L822" s="168">
        <v>6.0</v>
      </c>
      <c r="M822" s="184">
        <v>20559.69</v>
      </c>
      <c r="N822" s="184">
        <v>92849.57</v>
      </c>
      <c r="O822" s="184">
        <v>-88228.72</v>
      </c>
      <c r="P822" s="184">
        <v>-54828.69</v>
      </c>
    </row>
    <row r="823">
      <c r="A823" s="168">
        <v>63.0</v>
      </c>
      <c r="B823" s="168">
        <v>49.0</v>
      </c>
      <c r="C823" s="168">
        <v>11.0</v>
      </c>
      <c r="D823" s="168">
        <v>57.0</v>
      </c>
      <c r="E823" s="168">
        <v>9.0</v>
      </c>
      <c r="F823" s="168">
        <v>1.0</v>
      </c>
      <c r="G823" s="168">
        <v>1.0</v>
      </c>
      <c r="H823" s="183">
        <v>-12093.17</v>
      </c>
      <c r="I823" s="184">
        <v>24848.27</v>
      </c>
      <c r="J823" s="168">
        <v>6.0</v>
      </c>
      <c r="K823" s="168">
        <v>2.0</v>
      </c>
      <c r="L823" s="168">
        <v>4.0</v>
      </c>
      <c r="M823" s="184">
        <v>38018.8</v>
      </c>
      <c r="N823" s="184">
        <v>67804.28</v>
      </c>
      <c r="O823" s="184">
        <v>-96459.82</v>
      </c>
      <c r="P823" s="184">
        <v>31485.87</v>
      </c>
    </row>
    <row r="824">
      <c r="A824" s="168">
        <v>64.0</v>
      </c>
      <c r="B824" s="168">
        <v>38.0</v>
      </c>
      <c r="C824" s="168">
        <v>22.0</v>
      </c>
      <c r="D824" s="168">
        <v>78.0</v>
      </c>
      <c r="E824" s="168">
        <v>9.0</v>
      </c>
      <c r="F824" s="168">
        <v>7.0</v>
      </c>
      <c r="G824" s="168">
        <v>4.0</v>
      </c>
      <c r="H824" s="183">
        <v>-62.52</v>
      </c>
      <c r="I824" s="184">
        <v>18671.42</v>
      </c>
      <c r="J824" s="168">
        <v>6.0</v>
      </c>
      <c r="K824" s="168">
        <v>3.0</v>
      </c>
      <c r="L824" s="168">
        <v>5.0</v>
      </c>
      <c r="M824" s="184">
        <v>-96144.44</v>
      </c>
      <c r="N824" s="184">
        <v>17674.45</v>
      </c>
      <c r="O824" s="184">
        <v>58730.6</v>
      </c>
      <c r="P824" s="184">
        <v>38629.5</v>
      </c>
    </row>
    <row r="825">
      <c r="A825" s="168">
        <v>73.0</v>
      </c>
      <c r="B825" s="168">
        <v>59.0</v>
      </c>
      <c r="C825" s="168">
        <v>32.0</v>
      </c>
      <c r="D825" s="168">
        <v>91.0</v>
      </c>
      <c r="E825" s="168">
        <v>6.0</v>
      </c>
      <c r="F825" s="168">
        <v>1.0</v>
      </c>
      <c r="G825" s="168">
        <v>4.0</v>
      </c>
      <c r="H825" s="183">
        <v>-62715.15</v>
      </c>
      <c r="I825" s="184">
        <v>-54525.5</v>
      </c>
      <c r="J825" s="168">
        <v>4.0</v>
      </c>
      <c r="K825" s="168">
        <v>1.0</v>
      </c>
      <c r="L825" s="168">
        <v>8.0</v>
      </c>
      <c r="M825" s="184">
        <v>-20461.19</v>
      </c>
      <c r="N825" s="184">
        <v>65016.04</v>
      </c>
      <c r="O825" s="184">
        <v>-29580.85</v>
      </c>
      <c r="P825" s="184">
        <v>63255.73</v>
      </c>
    </row>
    <row r="826">
      <c r="A826" s="168">
        <v>55.0</v>
      </c>
      <c r="B826" s="168">
        <v>95.0</v>
      </c>
      <c r="C826" s="168">
        <v>55.0</v>
      </c>
      <c r="D826" s="168">
        <v>61.0</v>
      </c>
      <c r="E826" s="168">
        <v>1.0</v>
      </c>
      <c r="F826" s="168">
        <v>4.0</v>
      </c>
      <c r="G826" s="168">
        <v>2.0</v>
      </c>
      <c r="H826" s="183">
        <v>-98719.99</v>
      </c>
      <c r="I826" s="184">
        <v>54091.69</v>
      </c>
      <c r="J826" s="168">
        <v>5.0</v>
      </c>
      <c r="K826" s="168">
        <v>3.0</v>
      </c>
      <c r="L826" s="168">
        <v>9.0</v>
      </c>
      <c r="M826" s="184">
        <v>-59533.62</v>
      </c>
      <c r="N826" s="184">
        <v>-53900.46</v>
      </c>
      <c r="O826" s="184">
        <v>13571.94</v>
      </c>
      <c r="P826" s="184">
        <v>-54660.99</v>
      </c>
    </row>
    <row r="827">
      <c r="A827" s="168">
        <v>21.0</v>
      </c>
      <c r="B827" s="168">
        <v>83.0</v>
      </c>
      <c r="C827" s="168">
        <v>31.0</v>
      </c>
      <c r="D827" s="168">
        <v>10.0</v>
      </c>
      <c r="E827" s="168">
        <v>7.0</v>
      </c>
      <c r="F827" s="168">
        <v>4.0</v>
      </c>
      <c r="G827" s="168">
        <v>3.0</v>
      </c>
      <c r="H827" s="183">
        <v>31747.91</v>
      </c>
      <c r="I827" s="184">
        <v>34783.08</v>
      </c>
      <c r="J827" s="168">
        <v>8.0</v>
      </c>
      <c r="K827" s="168">
        <v>4.0</v>
      </c>
      <c r="L827" s="168">
        <v>7.0</v>
      </c>
      <c r="M827" s="184">
        <v>-89191.85</v>
      </c>
      <c r="N827" s="184">
        <v>65912.71</v>
      </c>
      <c r="O827" s="184">
        <v>-34309.15</v>
      </c>
      <c r="P827" s="184">
        <v>-27699.37</v>
      </c>
    </row>
    <row r="828">
      <c r="A828" s="168">
        <v>39.0</v>
      </c>
      <c r="B828" s="168">
        <v>87.0</v>
      </c>
      <c r="C828" s="168">
        <v>66.0</v>
      </c>
      <c r="D828" s="168">
        <v>79.0</v>
      </c>
      <c r="E828" s="168">
        <v>4.0</v>
      </c>
      <c r="F828" s="168">
        <v>2.0</v>
      </c>
      <c r="G828" s="168">
        <v>7.0</v>
      </c>
      <c r="H828" s="183">
        <v>76805.75</v>
      </c>
      <c r="I828" s="184">
        <v>-48099.89</v>
      </c>
      <c r="J828" s="168">
        <v>9.0</v>
      </c>
      <c r="K828" s="168">
        <v>2.0</v>
      </c>
      <c r="L828" s="168">
        <v>5.0</v>
      </c>
      <c r="M828" s="184">
        <v>-96637.2</v>
      </c>
      <c r="N828" s="184">
        <v>-90360.87</v>
      </c>
      <c r="O828" s="184">
        <v>-71375.17</v>
      </c>
      <c r="P828" s="184">
        <v>59747.98</v>
      </c>
    </row>
    <row r="829">
      <c r="A829" s="168">
        <v>58.0</v>
      </c>
      <c r="B829" s="168">
        <v>95.0</v>
      </c>
      <c r="C829" s="168">
        <v>35.0</v>
      </c>
      <c r="D829" s="168">
        <v>70.0</v>
      </c>
      <c r="E829" s="168">
        <v>7.0</v>
      </c>
      <c r="F829" s="168">
        <v>3.0</v>
      </c>
      <c r="G829" s="168">
        <v>5.0</v>
      </c>
      <c r="H829" s="183">
        <v>-67307.1</v>
      </c>
      <c r="I829" s="184">
        <v>-15603.27</v>
      </c>
      <c r="J829" s="168">
        <v>7.0</v>
      </c>
      <c r="K829" s="168">
        <v>4.0</v>
      </c>
      <c r="L829" s="168">
        <v>9.0</v>
      </c>
      <c r="M829" s="184">
        <v>-78705.47</v>
      </c>
      <c r="N829" s="184">
        <v>-24271.48</v>
      </c>
      <c r="O829" s="184">
        <v>-61471.92</v>
      </c>
      <c r="P829" s="184">
        <v>-7791.76</v>
      </c>
    </row>
    <row r="830">
      <c r="A830" s="168">
        <v>64.0</v>
      </c>
      <c r="B830" s="168">
        <v>33.0</v>
      </c>
      <c r="C830" s="168">
        <v>94.0</v>
      </c>
      <c r="D830" s="168">
        <v>41.0</v>
      </c>
      <c r="E830" s="168">
        <v>4.0</v>
      </c>
      <c r="F830" s="168">
        <v>7.0</v>
      </c>
      <c r="G830" s="168">
        <v>9.0</v>
      </c>
      <c r="H830" s="183">
        <v>-97712.3</v>
      </c>
      <c r="I830" s="184">
        <v>-89035.65</v>
      </c>
      <c r="J830" s="168">
        <v>5.0</v>
      </c>
      <c r="K830" s="168">
        <v>1.0</v>
      </c>
      <c r="L830" s="168">
        <v>2.0</v>
      </c>
      <c r="M830" s="184">
        <v>20525.02</v>
      </c>
      <c r="N830" s="184">
        <v>-23221.65</v>
      </c>
      <c r="O830" s="184">
        <v>14244.81</v>
      </c>
      <c r="P830" s="184">
        <v>-99923.84</v>
      </c>
    </row>
    <row r="831">
      <c r="A831" s="168">
        <v>83.0</v>
      </c>
      <c r="B831" s="168">
        <v>70.0</v>
      </c>
      <c r="C831" s="168">
        <v>57.0</v>
      </c>
      <c r="D831" s="168">
        <v>94.0</v>
      </c>
      <c r="E831" s="168">
        <v>2.0</v>
      </c>
      <c r="F831" s="168">
        <v>5.0</v>
      </c>
      <c r="G831" s="168">
        <v>9.0</v>
      </c>
      <c r="H831" s="183">
        <v>55728.23</v>
      </c>
      <c r="I831" s="184">
        <v>-88473.06</v>
      </c>
      <c r="J831" s="168">
        <v>9.0</v>
      </c>
      <c r="K831" s="168">
        <v>5.0</v>
      </c>
      <c r="L831" s="168">
        <v>8.0</v>
      </c>
      <c r="M831" s="184">
        <v>-57164.72</v>
      </c>
      <c r="N831" s="184">
        <v>-26656.31</v>
      </c>
      <c r="O831" s="184">
        <v>-3726.99</v>
      </c>
      <c r="P831" s="184">
        <v>-5893.76</v>
      </c>
    </row>
    <row r="832">
      <c r="A832" s="168">
        <v>92.0</v>
      </c>
      <c r="B832" s="168">
        <v>57.0</v>
      </c>
      <c r="C832" s="168">
        <v>68.0</v>
      </c>
      <c r="D832" s="168">
        <v>71.0</v>
      </c>
      <c r="E832" s="168">
        <v>4.0</v>
      </c>
      <c r="F832" s="168">
        <v>9.0</v>
      </c>
      <c r="G832" s="168">
        <v>3.0</v>
      </c>
      <c r="H832" s="183">
        <v>-12545.91</v>
      </c>
      <c r="I832" s="184">
        <v>-40633.1</v>
      </c>
      <c r="J832" s="168">
        <v>2.0</v>
      </c>
      <c r="K832" s="168">
        <v>8.0</v>
      </c>
      <c r="L832" s="168">
        <v>8.0</v>
      </c>
      <c r="M832" s="184">
        <v>39568.29</v>
      </c>
      <c r="N832" s="184">
        <v>45237.31</v>
      </c>
      <c r="O832" s="184">
        <v>-17668.14</v>
      </c>
      <c r="P832" s="184">
        <v>70279.68</v>
      </c>
    </row>
    <row r="833">
      <c r="A833" s="168">
        <v>68.0</v>
      </c>
      <c r="B833" s="168">
        <v>81.0</v>
      </c>
      <c r="C833" s="168">
        <v>25.0</v>
      </c>
      <c r="D833" s="168">
        <v>17.0</v>
      </c>
      <c r="E833" s="168">
        <v>6.0</v>
      </c>
      <c r="F833" s="168">
        <v>9.0</v>
      </c>
      <c r="G833" s="168">
        <v>5.0</v>
      </c>
      <c r="H833" s="183">
        <v>-1222.48</v>
      </c>
      <c r="I833" s="184">
        <v>-268.57</v>
      </c>
      <c r="J833" s="168">
        <v>8.0</v>
      </c>
      <c r="K833" s="168">
        <v>6.0</v>
      </c>
      <c r="L833" s="168">
        <v>1.0</v>
      </c>
      <c r="M833" s="184">
        <v>43442.54</v>
      </c>
      <c r="N833" s="184">
        <v>-50658.03</v>
      </c>
      <c r="O833" s="184">
        <v>69482.33</v>
      </c>
      <c r="P833" s="184">
        <v>44589.96</v>
      </c>
    </row>
    <row r="834">
      <c r="A834" s="168">
        <v>47.0</v>
      </c>
      <c r="B834" s="168">
        <v>92.0</v>
      </c>
      <c r="C834" s="168">
        <v>93.0</v>
      </c>
      <c r="D834" s="168">
        <v>94.0</v>
      </c>
      <c r="E834" s="168">
        <v>5.0</v>
      </c>
      <c r="F834" s="168">
        <v>3.0</v>
      </c>
      <c r="G834" s="168">
        <v>3.0</v>
      </c>
      <c r="H834" s="183">
        <v>-47768.69</v>
      </c>
      <c r="I834" s="184">
        <v>53861.36</v>
      </c>
      <c r="J834" s="168">
        <v>8.0</v>
      </c>
      <c r="K834" s="168">
        <v>8.0</v>
      </c>
      <c r="L834" s="168">
        <v>5.0</v>
      </c>
      <c r="M834" s="184">
        <v>-41102.97</v>
      </c>
      <c r="N834" s="184">
        <v>-61240.56</v>
      </c>
      <c r="O834" s="184">
        <v>20445.0</v>
      </c>
      <c r="P834" s="184">
        <v>87582.29</v>
      </c>
    </row>
    <row r="835">
      <c r="A835" s="168">
        <v>91.0</v>
      </c>
      <c r="B835" s="168">
        <v>85.0</v>
      </c>
      <c r="C835" s="168">
        <v>60.0</v>
      </c>
      <c r="D835" s="168">
        <v>50.0</v>
      </c>
      <c r="E835" s="168">
        <v>6.0</v>
      </c>
      <c r="F835" s="168">
        <v>5.0</v>
      </c>
      <c r="G835" s="168">
        <v>8.0</v>
      </c>
      <c r="H835" s="183">
        <v>-79634.92</v>
      </c>
      <c r="I835" s="184">
        <v>-10210.61</v>
      </c>
      <c r="J835" s="168">
        <v>1.0</v>
      </c>
      <c r="K835" s="168">
        <v>2.0</v>
      </c>
      <c r="L835" s="168">
        <v>1.0</v>
      </c>
      <c r="M835" s="184">
        <v>67161.96</v>
      </c>
      <c r="N835" s="184">
        <v>-8650.77</v>
      </c>
      <c r="O835" s="184">
        <v>59319.99</v>
      </c>
      <c r="P835" s="184">
        <v>41774.95</v>
      </c>
    </row>
    <row r="836">
      <c r="A836" s="168">
        <v>98.0</v>
      </c>
      <c r="B836" s="168">
        <v>23.0</v>
      </c>
      <c r="C836" s="168">
        <v>44.0</v>
      </c>
      <c r="D836" s="168">
        <v>19.0</v>
      </c>
      <c r="E836" s="168">
        <v>2.0</v>
      </c>
      <c r="F836" s="168">
        <v>3.0</v>
      </c>
      <c r="G836" s="168">
        <v>1.0</v>
      </c>
      <c r="H836" s="183">
        <v>-74289.61</v>
      </c>
      <c r="I836" s="184">
        <v>37455.81</v>
      </c>
      <c r="J836" s="168">
        <v>5.0</v>
      </c>
      <c r="K836" s="168">
        <v>5.0</v>
      </c>
      <c r="L836" s="168">
        <v>5.0</v>
      </c>
      <c r="M836" s="184">
        <v>-48530.75</v>
      </c>
      <c r="N836" s="184">
        <v>-23756.33</v>
      </c>
      <c r="O836" s="184">
        <v>-5369.56</v>
      </c>
      <c r="P836" s="184">
        <v>-59683.63</v>
      </c>
    </row>
    <row r="837">
      <c r="A837" s="168">
        <v>24.0</v>
      </c>
      <c r="B837" s="168">
        <v>95.0</v>
      </c>
      <c r="C837" s="168">
        <v>32.0</v>
      </c>
      <c r="D837" s="168">
        <v>30.0</v>
      </c>
      <c r="E837" s="168">
        <v>9.0</v>
      </c>
      <c r="F837" s="168">
        <v>8.0</v>
      </c>
      <c r="G837" s="168">
        <v>3.0</v>
      </c>
      <c r="H837" s="183">
        <v>-55831.92</v>
      </c>
      <c r="I837" s="184">
        <v>-94216.91</v>
      </c>
      <c r="J837" s="168">
        <v>1.0</v>
      </c>
      <c r="K837" s="168">
        <v>9.0</v>
      </c>
      <c r="L837" s="168">
        <v>6.0</v>
      </c>
      <c r="M837" s="184">
        <v>5084.95</v>
      </c>
      <c r="N837" s="184">
        <v>-70791.73</v>
      </c>
      <c r="O837" s="184">
        <v>-11924.99</v>
      </c>
      <c r="P837" s="184">
        <v>44423.74</v>
      </c>
    </row>
    <row r="838">
      <c r="A838" s="168">
        <v>98.0</v>
      </c>
      <c r="B838" s="168">
        <v>30.0</v>
      </c>
      <c r="C838" s="168">
        <v>13.0</v>
      </c>
      <c r="D838" s="168">
        <v>85.0</v>
      </c>
      <c r="E838" s="168">
        <v>6.0</v>
      </c>
      <c r="F838" s="168">
        <v>1.0</v>
      </c>
      <c r="G838" s="168">
        <v>3.0</v>
      </c>
      <c r="H838" s="183">
        <v>-20718.83</v>
      </c>
      <c r="I838" s="184">
        <v>-87216.08</v>
      </c>
      <c r="J838" s="168">
        <v>5.0</v>
      </c>
      <c r="K838" s="168">
        <v>3.0</v>
      </c>
      <c r="L838" s="168">
        <v>3.0</v>
      </c>
      <c r="M838" s="184">
        <v>-78880.9</v>
      </c>
      <c r="N838" s="184">
        <v>10071.86</v>
      </c>
      <c r="O838" s="184">
        <v>-42485.01</v>
      </c>
      <c r="P838" s="184">
        <v>-47769.25</v>
      </c>
    </row>
    <row r="839">
      <c r="A839" s="168">
        <v>98.0</v>
      </c>
      <c r="B839" s="168">
        <v>69.0</v>
      </c>
      <c r="C839" s="168">
        <v>10.0</v>
      </c>
      <c r="D839" s="168">
        <v>77.0</v>
      </c>
      <c r="E839" s="168">
        <v>9.0</v>
      </c>
      <c r="F839" s="168">
        <v>3.0</v>
      </c>
      <c r="G839" s="168">
        <v>4.0</v>
      </c>
      <c r="H839" s="183">
        <v>-83924.94</v>
      </c>
      <c r="I839" s="184">
        <v>-43777.96</v>
      </c>
      <c r="J839" s="168">
        <v>6.0</v>
      </c>
      <c r="K839" s="168">
        <v>3.0</v>
      </c>
      <c r="L839" s="168">
        <v>4.0</v>
      </c>
      <c r="M839" s="184">
        <v>-62522.84</v>
      </c>
      <c r="N839" s="184">
        <v>-46972.96</v>
      </c>
      <c r="O839" s="184">
        <v>-87501.83</v>
      </c>
      <c r="P839" s="184">
        <v>71045.85</v>
      </c>
    </row>
    <row r="840">
      <c r="A840" s="168">
        <v>75.0</v>
      </c>
      <c r="B840" s="168">
        <v>24.0</v>
      </c>
      <c r="C840" s="168">
        <v>42.0</v>
      </c>
      <c r="D840" s="168">
        <v>67.0</v>
      </c>
      <c r="E840" s="168">
        <v>1.0</v>
      </c>
      <c r="F840" s="168">
        <v>3.0</v>
      </c>
      <c r="G840" s="168">
        <v>7.0</v>
      </c>
      <c r="H840" s="183">
        <v>67436.52</v>
      </c>
      <c r="I840" s="184">
        <v>-36798.89</v>
      </c>
      <c r="J840" s="168">
        <v>3.0</v>
      </c>
      <c r="K840" s="168">
        <v>6.0</v>
      </c>
      <c r="L840" s="168">
        <v>4.0</v>
      </c>
      <c r="M840" s="184">
        <v>-91267.5</v>
      </c>
      <c r="N840" s="184">
        <v>-30045.67</v>
      </c>
      <c r="O840" s="184">
        <v>73069.08</v>
      </c>
      <c r="P840" s="184">
        <v>62941.82</v>
      </c>
    </row>
    <row r="841">
      <c r="A841" s="168">
        <v>16.0</v>
      </c>
      <c r="B841" s="168">
        <v>79.0</v>
      </c>
      <c r="C841" s="168">
        <v>49.0</v>
      </c>
      <c r="D841" s="168">
        <v>25.0</v>
      </c>
      <c r="E841" s="168">
        <v>2.0</v>
      </c>
      <c r="F841" s="168">
        <v>4.0</v>
      </c>
      <c r="G841" s="168">
        <v>9.0</v>
      </c>
      <c r="H841" s="183">
        <v>-59152.58</v>
      </c>
      <c r="I841" s="184">
        <v>-15067.25</v>
      </c>
      <c r="J841" s="168">
        <v>4.0</v>
      </c>
      <c r="K841" s="168">
        <v>7.0</v>
      </c>
      <c r="L841" s="168">
        <v>5.0</v>
      </c>
      <c r="M841" s="184">
        <v>76813.01</v>
      </c>
      <c r="N841" s="184">
        <v>-96335.13</v>
      </c>
      <c r="O841" s="184">
        <v>76854.38</v>
      </c>
      <c r="P841" s="184">
        <v>-41367.22</v>
      </c>
    </row>
    <row r="842">
      <c r="A842" s="168">
        <v>17.0</v>
      </c>
      <c r="B842" s="168">
        <v>21.0</v>
      </c>
      <c r="C842" s="168">
        <v>40.0</v>
      </c>
      <c r="D842" s="168">
        <v>56.0</v>
      </c>
      <c r="E842" s="168">
        <v>2.0</v>
      </c>
      <c r="F842" s="168">
        <v>7.0</v>
      </c>
      <c r="G842" s="168">
        <v>4.0</v>
      </c>
      <c r="H842" s="183">
        <v>75468.16</v>
      </c>
      <c r="I842" s="184">
        <v>10269.22</v>
      </c>
      <c r="J842" s="168">
        <v>4.0</v>
      </c>
      <c r="K842" s="168">
        <v>9.0</v>
      </c>
      <c r="L842" s="168">
        <v>6.0</v>
      </c>
      <c r="M842" s="184">
        <v>-97614.49</v>
      </c>
      <c r="N842" s="184">
        <v>-30457.03</v>
      </c>
      <c r="O842" s="184">
        <v>-35221.87</v>
      </c>
      <c r="P842" s="184">
        <v>57142.06</v>
      </c>
    </row>
    <row r="843">
      <c r="A843" s="168">
        <v>29.0</v>
      </c>
      <c r="B843" s="168">
        <v>12.0</v>
      </c>
      <c r="C843" s="168">
        <v>62.0</v>
      </c>
      <c r="D843" s="168">
        <v>67.0</v>
      </c>
      <c r="E843" s="168">
        <v>1.0</v>
      </c>
      <c r="F843" s="168">
        <v>9.0</v>
      </c>
      <c r="G843" s="168">
        <v>2.0</v>
      </c>
      <c r="H843" s="183">
        <v>82688.63</v>
      </c>
      <c r="I843" s="184">
        <v>18566.38</v>
      </c>
      <c r="J843" s="168">
        <v>5.0</v>
      </c>
      <c r="K843" s="168">
        <v>9.0</v>
      </c>
      <c r="L843" s="168">
        <v>3.0</v>
      </c>
      <c r="M843" s="184">
        <v>54068.47</v>
      </c>
      <c r="N843" s="184">
        <v>-66872.85</v>
      </c>
      <c r="O843" s="184">
        <v>-73969.34</v>
      </c>
      <c r="P843" s="184">
        <v>97765.53</v>
      </c>
    </row>
    <row r="844">
      <c r="A844" s="168">
        <v>98.0</v>
      </c>
      <c r="B844" s="168">
        <v>35.0</v>
      </c>
      <c r="C844" s="168">
        <v>15.0</v>
      </c>
      <c r="D844" s="168">
        <v>38.0</v>
      </c>
      <c r="E844" s="168">
        <v>2.0</v>
      </c>
      <c r="F844" s="168">
        <v>4.0</v>
      </c>
      <c r="G844" s="168">
        <v>2.0</v>
      </c>
      <c r="H844" s="183">
        <v>-75597.84</v>
      </c>
      <c r="I844" s="184">
        <v>6778.22</v>
      </c>
      <c r="J844" s="168">
        <v>6.0</v>
      </c>
      <c r="K844" s="168">
        <v>3.0</v>
      </c>
      <c r="L844" s="168">
        <v>5.0</v>
      </c>
      <c r="M844" s="184">
        <v>-99633.11</v>
      </c>
      <c r="N844" s="184">
        <v>1542.23</v>
      </c>
      <c r="O844" s="184">
        <v>72253.51</v>
      </c>
      <c r="P844" s="184">
        <v>15715.95</v>
      </c>
    </row>
    <row r="845">
      <c r="A845" s="168">
        <v>83.0</v>
      </c>
      <c r="B845" s="168">
        <v>93.0</v>
      </c>
      <c r="C845" s="168">
        <v>56.0</v>
      </c>
      <c r="D845" s="168">
        <v>64.0</v>
      </c>
      <c r="E845" s="168">
        <v>9.0</v>
      </c>
      <c r="F845" s="168">
        <v>2.0</v>
      </c>
      <c r="G845" s="168">
        <v>5.0</v>
      </c>
      <c r="H845" s="183">
        <v>97704.24</v>
      </c>
      <c r="I845" s="184">
        <v>29583.16</v>
      </c>
      <c r="J845" s="168">
        <v>3.0</v>
      </c>
      <c r="K845" s="168">
        <v>4.0</v>
      </c>
      <c r="L845" s="168">
        <v>1.0</v>
      </c>
      <c r="M845" s="184">
        <v>61592.91</v>
      </c>
      <c r="N845" s="184">
        <v>96321.38</v>
      </c>
      <c r="O845" s="184">
        <v>61555.54</v>
      </c>
      <c r="P845" s="184">
        <v>-14541.0</v>
      </c>
    </row>
    <row r="846">
      <c r="A846" s="168">
        <v>87.0</v>
      </c>
      <c r="B846" s="168">
        <v>12.0</v>
      </c>
      <c r="C846" s="168">
        <v>59.0</v>
      </c>
      <c r="D846" s="168">
        <v>77.0</v>
      </c>
      <c r="E846" s="168">
        <v>3.0</v>
      </c>
      <c r="F846" s="168">
        <v>2.0</v>
      </c>
      <c r="G846" s="168">
        <v>6.0</v>
      </c>
      <c r="H846" s="183">
        <v>17244.76</v>
      </c>
      <c r="I846" s="184">
        <v>-89798.08</v>
      </c>
      <c r="J846" s="168">
        <v>5.0</v>
      </c>
      <c r="K846" s="168">
        <v>6.0</v>
      </c>
      <c r="L846" s="168">
        <v>1.0</v>
      </c>
      <c r="M846" s="184">
        <v>56183.94</v>
      </c>
      <c r="N846" s="184">
        <v>-60535.15</v>
      </c>
      <c r="O846" s="184">
        <v>13599.34</v>
      </c>
      <c r="P846" s="184">
        <v>4141.09</v>
      </c>
    </row>
    <row r="847">
      <c r="A847" s="168">
        <v>23.0</v>
      </c>
      <c r="B847" s="168">
        <v>96.0</v>
      </c>
      <c r="C847" s="168">
        <v>39.0</v>
      </c>
      <c r="D847" s="168">
        <v>69.0</v>
      </c>
      <c r="E847" s="168">
        <v>3.0</v>
      </c>
      <c r="F847" s="168">
        <v>5.0</v>
      </c>
      <c r="G847" s="168">
        <v>2.0</v>
      </c>
      <c r="H847" s="183">
        <v>-21399.78</v>
      </c>
      <c r="I847" s="184">
        <v>31608.84</v>
      </c>
      <c r="J847" s="168">
        <v>1.0</v>
      </c>
      <c r="K847" s="168">
        <v>7.0</v>
      </c>
      <c r="L847" s="168">
        <v>8.0</v>
      </c>
      <c r="M847" s="184">
        <v>-22035.27</v>
      </c>
      <c r="N847" s="184">
        <v>74855.43</v>
      </c>
      <c r="O847" s="184">
        <v>-2496.13</v>
      </c>
      <c r="P847" s="184">
        <v>53370.19</v>
      </c>
    </row>
    <row r="848">
      <c r="A848" s="168">
        <v>85.0</v>
      </c>
      <c r="B848" s="168">
        <v>87.0</v>
      </c>
      <c r="C848" s="168">
        <v>39.0</v>
      </c>
      <c r="D848" s="168">
        <v>80.0</v>
      </c>
      <c r="E848" s="168">
        <v>9.0</v>
      </c>
      <c r="F848" s="168">
        <v>6.0</v>
      </c>
      <c r="G848" s="168">
        <v>1.0</v>
      </c>
      <c r="H848" s="183">
        <v>-52879.76</v>
      </c>
      <c r="I848" s="184">
        <v>-57997.06</v>
      </c>
      <c r="J848" s="168">
        <v>1.0</v>
      </c>
      <c r="K848" s="168">
        <v>9.0</v>
      </c>
      <c r="L848" s="168">
        <v>1.0</v>
      </c>
      <c r="M848" s="184">
        <v>-42042.43</v>
      </c>
      <c r="N848" s="184">
        <v>27112.4</v>
      </c>
      <c r="O848" s="184">
        <v>-5882.92</v>
      </c>
      <c r="P848" s="184">
        <v>12239.79</v>
      </c>
    </row>
    <row r="849">
      <c r="A849" s="168">
        <v>45.0</v>
      </c>
      <c r="B849" s="168">
        <v>21.0</v>
      </c>
      <c r="C849" s="168">
        <v>44.0</v>
      </c>
      <c r="D849" s="168">
        <v>40.0</v>
      </c>
      <c r="E849" s="168">
        <v>1.0</v>
      </c>
      <c r="F849" s="168">
        <v>2.0</v>
      </c>
      <c r="G849" s="168">
        <v>3.0</v>
      </c>
      <c r="H849" s="183">
        <v>-99725.47</v>
      </c>
      <c r="I849" s="184">
        <v>-80962.87</v>
      </c>
      <c r="J849" s="168">
        <v>8.0</v>
      </c>
      <c r="K849" s="168">
        <v>1.0</v>
      </c>
      <c r="L849" s="168">
        <v>9.0</v>
      </c>
      <c r="M849" s="184">
        <v>-65072.25</v>
      </c>
      <c r="N849" s="184">
        <v>-45151.78</v>
      </c>
      <c r="O849" s="184">
        <v>41912.94</v>
      </c>
      <c r="P849" s="184">
        <v>-53833.76</v>
      </c>
    </row>
    <row r="850">
      <c r="A850" s="168">
        <v>42.0</v>
      </c>
      <c r="B850" s="168">
        <v>41.0</v>
      </c>
      <c r="C850" s="168">
        <v>83.0</v>
      </c>
      <c r="D850" s="168">
        <v>33.0</v>
      </c>
      <c r="E850" s="168">
        <v>2.0</v>
      </c>
      <c r="F850" s="168">
        <v>1.0</v>
      </c>
      <c r="G850" s="168">
        <v>1.0</v>
      </c>
      <c r="H850" s="183">
        <v>51274.21</v>
      </c>
      <c r="I850" s="184">
        <v>37521.83</v>
      </c>
      <c r="J850" s="168">
        <v>1.0</v>
      </c>
      <c r="K850" s="168">
        <v>6.0</v>
      </c>
      <c r="L850" s="168">
        <v>8.0</v>
      </c>
      <c r="M850" s="184">
        <v>6941.82</v>
      </c>
      <c r="N850" s="184">
        <v>43883.17</v>
      </c>
      <c r="O850" s="184">
        <v>70153.86</v>
      </c>
      <c r="P850" s="184">
        <v>92817.69</v>
      </c>
    </row>
    <row r="851">
      <c r="A851" s="168">
        <v>56.0</v>
      </c>
      <c r="B851" s="168">
        <v>69.0</v>
      </c>
      <c r="C851" s="168">
        <v>27.0</v>
      </c>
      <c r="D851" s="168">
        <v>38.0</v>
      </c>
      <c r="E851" s="168">
        <v>5.0</v>
      </c>
      <c r="F851" s="168">
        <v>3.0</v>
      </c>
      <c r="G851" s="168">
        <v>7.0</v>
      </c>
      <c r="H851" s="183">
        <v>72900.16</v>
      </c>
      <c r="I851" s="184">
        <v>-33351.04</v>
      </c>
      <c r="J851" s="168">
        <v>9.0</v>
      </c>
      <c r="K851" s="168">
        <v>5.0</v>
      </c>
      <c r="L851" s="168">
        <v>3.0</v>
      </c>
      <c r="M851" s="184">
        <v>79936.1</v>
      </c>
      <c r="N851" s="184">
        <v>14183.66</v>
      </c>
      <c r="O851" s="184">
        <v>38489.27</v>
      </c>
      <c r="P851" s="184">
        <v>-21508.66</v>
      </c>
    </row>
    <row r="852">
      <c r="A852" s="168">
        <v>29.0</v>
      </c>
      <c r="B852" s="168">
        <v>10.0</v>
      </c>
      <c r="C852" s="168">
        <v>92.0</v>
      </c>
      <c r="D852" s="168">
        <v>30.0</v>
      </c>
      <c r="E852" s="168">
        <v>3.0</v>
      </c>
      <c r="F852" s="168">
        <v>1.0</v>
      </c>
      <c r="G852" s="168">
        <v>7.0</v>
      </c>
      <c r="H852" s="183">
        <v>-25289.94</v>
      </c>
      <c r="I852" s="184">
        <v>25689.47</v>
      </c>
      <c r="J852" s="168">
        <v>8.0</v>
      </c>
      <c r="K852" s="168">
        <v>8.0</v>
      </c>
      <c r="L852" s="168">
        <v>5.0</v>
      </c>
      <c r="M852" s="184">
        <v>57848.87</v>
      </c>
      <c r="N852" s="184">
        <v>-71387.36</v>
      </c>
      <c r="O852" s="184">
        <v>-66663.19</v>
      </c>
      <c r="P852" s="184">
        <v>54041.2</v>
      </c>
    </row>
    <row r="853">
      <c r="A853" s="168">
        <v>77.0</v>
      </c>
      <c r="B853" s="168">
        <v>82.0</v>
      </c>
      <c r="C853" s="168">
        <v>47.0</v>
      </c>
      <c r="D853" s="168">
        <v>94.0</v>
      </c>
      <c r="E853" s="168">
        <v>5.0</v>
      </c>
      <c r="F853" s="168">
        <v>7.0</v>
      </c>
      <c r="G853" s="168">
        <v>9.0</v>
      </c>
      <c r="H853" s="183">
        <v>34499.84</v>
      </c>
      <c r="I853" s="184">
        <v>47034.77</v>
      </c>
      <c r="J853" s="168">
        <v>3.0</v>
      </c>
      <c r="K853" s="168">
        <v>1.0</v>
      </c>
      <c r="L853" s="168">
        <v>8.0</v>
      </c>
      <c r="M853" s="184">
        <v>44073.78</v>
      </c>
      <c r="N853" s="184">
        <v>-3557.31</v>
      </c>
      <c r="O853" s="184">
        <v>-38519.86</v>
      </c>
      <c r="P853" s="184">
        <v>58420.63</v>
      </c>
    </row>
    <row r="854">
      <c r="A854" s="168">
        <v>80.0</v>
      </c>
      <c r="B854" s="168">
        <v>46.0</v>
      </c>
      <c r="C854" s="168">
        <v>66.0</v>
      </c>
      <c r="D854" s="168">
        <v>26.0</v>
      </c>
      <c r="E854" s="168">
        <v>9.0</v>
      </c>
      <c r="F854" s="168">
        <v>7.0</v>
      </c>
      <c r="G854" s="168">
        <v>2.0</v>
      </c>
      <c r="H854" s="183">
        <v>-10319.4</v>
      </c>
      <c r="I854" s="184">
        <v>78283.11</v>
      </c>
      <c r="J854" s="168">
        <v>5.0</v>
      </c>
      <c r="K854" s="168">
        <v>5.0</v>
      </c>
      <c r="L854" s="168">
        <v>3.0</v>
      </c>
      <c r="M854" s="184">
        <v>-37241.23</v>
      </c>
      <c r="N854" s="184">
        <v>-43217.23</v>
      </c>
      <c r="O854" s="184">
        <v>-85433.67</v>
      </c>
      <c r="P854" s="184">
        <v>-872.7</v>
      </c>
    </row>
    <row r="855">
      <c r="A855" s="168">
        <v>51.0</v>
      </c>
      <c r="B855" s="168">
        <v>36.0</v>
      </c>
      <c r="C855" s="168">
        <v>78.0</v>
      </c>
      <c r="D855" s="168">
        <v>46.0</v>
      </c>
      <c r="E855" s="168">
        <v>3.0</v>
      </c>
      <c r="F855" s="168">
        <v>9.0</v>
      </c>
      <c r="G855" s="168">
        <v>6.0</v>
      </c>
      <c r="H855" s="183">
        <v>96266.38</v>
      </c>
      <c r="I855" s="184">
        <v>-27406.26</v>
      </c>
      <c r="J855" s="168">
        <v>8.0</v>
      </c>
      <c r="K855" s="168">
        <v>4.0</v>
      </c>
      <c r="L855" s="168">
        <v>5.0</v>
      </c>
      <c r="M855" s="184">
        <v>91795.44</v>
      </c>
      <c r="N855" s="184">
        <v>-86115.55</v>
      </c>
      <c r="O855" s="184">
        <v>-57722.9</v>
      </c>
      <c r="P855" s="184">
        <v>14474.75</v>
      </c>
    </row>
    <row r="856">
      <c r="A856" s="168">
        <v>49.0</v>
      </c>
      <c r="B856" s="168">
        <v>11.0</v>
      </c>
      <c r="C856" s="168">
        <v>77.0</v>
      </c>
      <c r="D856" s="168">
        <v>63.0</v>
      </c>
      <c r="E856" s="168">
        <v>2.0</v>
      </c>
      <c r="F856" s="168">
        <v>2.0</v>
      </c>
      <c r="G856" s="168">
        <v>6.0</v>
      </c>
      <c r="H856" s="183">
        <v>-96135.75</v>
      </c>
      <c r="I856" s="184">
        <v>-15352.65</v>
      </c>
      <c r="J856" s="168">
        <v>3.0</v>
      </c>
      <c r="K856" s="168">
        <v>7.0</v>
      </c>
      <c r="L856" s="168">
        <v>8.0</v>
      </c>
      <c r="M856" s="184">
        <v>16890.21</v>
      </c>
      <c r="N856" s="184">
        <v>51902.09</v>
      </c>
      <c r="O856" s="184">
        <v>85805.6</v>
      </c>
      <c r="P856" s="184">
        <v>-85228.26</v>
      </c>
    </row>
    <row r="857">
      <c r="A857" s="168">
        <v>20.0</v>
      </c>
      <c r="B857" s="168">
        <v>85.0</v>
      </c>
      <c r="C857" s="168">
        <v>34.0</v>
      </c>
      <c r="D857" s="168">
        <v>40.0</v>
      </c>
      <c r="E857" s="168">
        <v>5.0</v>
      </c>
      <c r="F857" s="168">
        <v>6.0</v>
      </c>
      <c r="G857" s="168">
        <v>6.0</v>
      </c>
      <c r="H857" s="183">
        <v>82164.59</v>
      </c>
      <c r="I857" s="184">
        <v>57183.46</v>
      </c>
      <c r="J857" s="168">
        <v>5.0</v>
      </c>
      <c r="K857" s="168">
        <v>1.0</v>
      </c>
      <c r="L857" s="168">
        <v>9.0</v>
      </c>
      <c r="M857" s="184">
        <v>9168.91</v>
      </c>
      <c r="N857" s="184">
        <v>75291.89</v>
      </c>
      <c r="O857" s="184">
        <v>78171.04</v>
      </c>
      <c r="P857" s="184">
        <v>-79345.06</v>
      </c>
    </row>
    <row r="858">
      <c r="A858" s="168">
        <v>80.0</v>
      </c>
      <c r="B858" s="168">
        <v>84.0</v>
      </c>
      <c r="C858" s="168">
        <v>42.0</v>
      </c>
      <c r="D858" s="168">
        <v>36.0</v>
      </c>
      <c r="E858" s="168">
        <v>6.0</v>
      </c>
      <c r="F858" s="168">
        <v>6.0</v>
      </c>
      <c r="G858" s="168">
        <v>2.0</v>
      </c>
      <c r="H858" s="183">
        <v>9547.22</v>
      </c>
      <c r="I858" s="184">
        <v>76847.91</v>
      </c>
      <c r="J858" s="168">
        <v>8.0</v>
      </c>
      <c r="K858" s="168">
        <v>2.0</v>
      </c>
      <c r="L858" s="168">
        <v>2.0</v>
      </c>
      <c r="M858" s="184">
        <v>-58281.78</v>
      </c>
      <c r="N858" s="184">
        <v>-82999.79</v>
      </c>
      <c r="O858" s="184">
        <v>-1970.06</v>
      </c>
      <c r="P858" s="184">
        <v>41233.51</v>
      </c>
    </row>
    <row r="859">
      <c r="A859" s="168">
        <v>98.0</v>
      </c>
      <c r="B859" s="168">
        <v>89.0</v>
      </c>
      <c r="C859" s="168">
        <v>52.0</v>
      </c>
      <c r="D859" s="168">
        <v>96.0</v>
      </c>
      <c r="E859" s="168">
        <v>4.0</v>
      </c>
      <c r="F859" s="168">
        <v>6.0</v>
      </c>
      <c r="G859" s="168">
        <v>6.0</v>
      </c>
      <c r="H859" s="183">
        <v>39023.13</v>
      </c>
      <c r="I859" s="184">
        <v>35683.62</v>
      </c>
      <c r="J859" s="168">
        <v>9.0</v>
      </c>
      <c r="K859" s="168">
        <v>7.0</v>
      </c>
      <c r="L859" s="168">
        <v>3.0</v>
      </c>
      <c r="M859" s="184">
        <v>-8391.52</v>
      </c>
      <c r="N859" s="184">
        <v>-79681.47</v>
      </c>
      <c r="O859" s="184">
        <v>-6501.79</v>
      </c>
      <c r="P859" s="184">
        <v>6347.6</v>
      </c>
    </row>
    <row r="860">
      <c r="A860" s="168">
        <v>39.0</v>
      </c>
      <c r="B860" s="168">
        <v>29.0</v>
      </c>
      <c r="C860" s="168">
        <v>47.0</v>
      </c>
      <c r="D860" s="168">
        <v>92.0</v>
      </c>
      <c r="E860" s="168">
        <v>6.0</v>
      </c>
      <c r="F860" s="168">
        <v>2.0</v>
      </c>
      <c r="G860" s="168">
        <v>3.0</v>
      </c>
      <c r="H860" s="183">
        <v>-14101.48</v>
      </c>
      <c r="I860" s="184">
        <v>-92386.93</v>
      </c>
      <c r="J860" s="168">
        <v>2.0</v>
      </c>
      <c r="K860" s="168">
        <v>7.0</v>
      </c>
      <c r="L860" s="168">
        <v>8.0</v>
      </c>
      <c r="M860" s="184">
        <v>-26971.05</v>
      </c>
      <c r="N860" s="184">
        <v>-25619.77</v>
      </c>
      <c r="O860" s="184">
        <v>4019.69</v>
      </c>
      <c r="P860" s="184">
        <v>-83380.74</v>
      </c>
    </row>
    <row r="861">
      <c r="A861" s="168">
        <v>65.0</v>
      </c>
      <c r="B861" s="168">
        <v>24.0</v>
      </c>
      <c r="C861" s="168">
        <v>26.0</v>
      </c>
      <c r="D861" s="168">
        <v>29.0</v>
      </c>
      <c r="E861" s="168">
        <v>2.0</v>
      </c>
      <c r="F861" s="168">
        <v>6.0</v>
      </c>
      <c r="G861" s="168">
        <v>8.0</v>
      </c>
      <c r="H861" s="183">
        <v>57244.74</v>
      </c>
      <c r="I861" s="184">
        <v>-16774.53</v>
      </c>
      <c r="J861" s="168">
        <v>3.0</v>
      </c>
      <c r="K861" s="168">
        <v>4.0</v>
      </c>
      <c r="L861" s="168">
        <v>1.0</v>
      </c>
      <c r="M861" s="184">
        <v>-63334.76</v>
      </c>
      <c r="N861" s="184">
        <v>-59004.66</v>
      </c>
      <c r="O861" s="184">
        <v>24544.2</v>
      </c>
      <c r="P861" s="184">
        <v>-52502.72</v>
      </c>
    </row>
    <row r="862">
      <c r="A862" s="168">
        <v>92.0</v>
      </c>
      <c r="B862" s="168">
        <v>87.0</v>
      </c>
      <c r="C862" s="168">
        <v>87.0</v>
      </c>
      <c r="D862" s="168">
        <v>98.0</v>
      </c>
      <c r="E862" s="168">
        <v>2.0</v>
      </c>
      <c r="F862" s="168">
        <v>3.0</v>
      </c>
      <c r="G862" s="168">
        <v>8.0</v>
      </c>
      <c r="H862" s="183">
        <v>4251.57</v>
      </c>
      <c r="I862" s="184">
        <v>73091.21</v>
      </c>
      <c r="J862" s="168">
        <v>8.0</v>
      </c>
      <c r="K862" s="168">
        <v>5.0</v>
      </c>
      <c r="L862" s="168">
        <v>2.0</v>
      </c>
      <c r="M862" s="184">
        <v>78107.29</v>
      </c>
      <c r="N862" s="184">
        <v>53844.46</v>
      </c>
      <c r="O862" s="184">
        <v>-3524.63</v>
      </c>
      <c r="P862" s="184">
        <v>-63379.09</v>
      </c>
    </row>
    <row r="863">
      <c r="A863" s="168">
        <v>79.0</v>
      </c>
      <c r="B863" s="168">
        <v>79.0</v>
      </c>
      <c r="C863" s="168">
        <v>63.0</v>
      </c>
      <c r="D863" s="168">
        <v>40.0</v>
      </c>
      <c r="E863" s="168">
        <v>3.0</v>
      </c>
      <c r="F863" s="168">
        <v>8.0</v>
      </c>
      <c r="G863" s="168">
        <v>2.0</v>
      </c>
      <c r="H863" s="183">
        <v>61324.9</v>
      </c>
      <c r="I863" s="184">
        <v>76407.95</v>
      </c>
      <c r="J863" s="168">
        <v>1.0</v>
      </c>
      <c r="K863" s="168">
        <v>3.0</v>
      </c>
      <c r="L863" s="168">
        <v>1.0</v>
      </c>
      <c r="M863" s="184">
        <v>-97857.73</v>
      </c>
      <c r="N863" s="184">
        <v>-84448.48</v>
      </c>
      <c r="O863" s="184">
        <v>30436.76</v>
      </c>
      <c r="P863" s="184">
        <v>42390.31</v>
      </c>
    </row>
    <row r="864">
      <c r="A864" s="168">
        <v>64.0</v>
      </c>
      <c r="B864" s="168">
        <v>56.0</v>
      </c>
      <c r="C864" s="168">
        <v>10.0</v>
      </c>
      <c r="D864" s="168">
        <v>54.0</v>
      </c>
      <c r="E864" s="168">
        <v>9.0</v>
      </c>
      <c r="F864" s="168">
        <v>8.0</v>
      </c>
      <c r="G864" s="168">
        <v>4.0</v>
      </c>
      <c r="H864" s="183">
        <v>73390.16</v>
      </c>
      <c r="I864" s="184">
        <v>8736.1</v>
      </c>
      <c r="J864" s="168">
        <v>2.0</v>
      </c>
      <c r="K864" s="168">
        <v>4.0</v>
      </c>
      <c r="L864" s="168">
        <v>3.0</v>
      </c>
      <c r="M864" s="184">
        <v>-71959.63</v>
      </c>
      <c r="N864" s="184">
        <v>-95073.14</v>
      </c>
      <c r="O864" s="184">
        <v>-10053.74</v>
      </c>
      <c r="P864" s="184">
        <v>-66400.52</v>
      </c>
    </row>
    <row r="865">
      <c r="A865" s="168">
        <v>18.0</v>
      </c>
      <c r="B865" s="168">
        <v>11.0</v>
      </c>
      <c r="C865" s="168">
        <v>85.0</v>
      </c>
      <c r="D865" s="168">
        <v>91.0</v>
      </c>
      <c r="E865" s="168">
        <v>1.0</v>
      </c>
      <c r="F865" s="168">
        <v>2.0</v>
      </c>
      <c r="G865" s="168">
        <v>3.0</v>
      </c>
      <c r="H865" s="183">
        <v>-92944.31</v>
      </c>
      <c r="I865" s="184">
        <v>16603.63</v>
      </c>
      <c r="J865" s="168">
        <v>1.0</v>
      </c>
      <c r="K865" s="168">
        <v>4.0</v>
      </c>
      <c r="L865" s="168">
        <v>5.0</v>
      </c>
      <c r="M865" s="184">
        <v>38416.86</v>
      </c>
      <c r="N865" s="184">
        <v>-25912.77</v>
      </c>
      <c r="O865" s="184">
        <v>82982.84</v>
      </c>
      <c r="P865" s="184">
        <v>29642.83</v>
      </c>
    </row>
    <row r="866">
      <c r="A866" s="168">
        <v>27.0</v>
      </c>
      <c r="B866" s="168">
        <v>15.0</v>
      </c>
      <c r="C866" s="168">
        <v>18.0</v>
      </c>
      <c r="D866" s="168">
        <v>67.0</v>
      </c>
      <c r="E866" s="168">
        <v>9.0</v>
      </c>
      <c r="F866" s="168">
        <v>4.0</v>
      </c>
      <c r="G866" s="168">
        <v>2.0</v>
      </c>
      <c r="H866" s="183">
        <v>-66754.85</v>
      </c>
      <c r="I866" s="184">
        <v>60529.57</v>
      </c>
      <c r="J866" s="168">
        <v>3.0</v>
      </c>
      <c r="K866" s="168">
        <v>7.0</v>
      </c>
      <c r="L866" s="168">
        <v>7.0</v>
      </c>
      <c r="M866" s="184">
        <v>65746.55</v>
      </c>
      <c r="N866" s="184">
        <v>9171.17</v>
      </c>
      <c r="O866" s="184">
        <v>68504.06</v>
      </c>
      <c r="P866" s="184">
        <v>-17224.64</v>
      </c>
    </row>
    <row r="867">
      <c r="A867" s="168">
        <v>11.0</v>
      </c>
      <c r="B867" s="168">
        <v>67.0</v>
      </c>
      <c r="C867" s="168">
        <v>33.0</v>
      </c>
      <c r="D867" s="168">
        <v>30.0</v>
      </c>
      <c r="E867" s="168">
        <v>2.0</v>
      </c>
      <c r="F867" s="168">
        <v>3.0</v>
      </c>
      <c r="G867" s="168">
        <v>2.0</v>
      </c>
      <c r="H867" s="183">
        <v>79427.29</v>
      </c>
      <c r="I867" s="184">
        <v>-57468.77</v>
      </c>
      <c r="J867" s="168">
        <v>5.0</v>
      </c>
      <c r="K867" s="168">
        <v>2.0</v>
      </c>
      <c r="L867" s="168">
        <v>1.0</v>
      </c>
      <c r="M867" s="184">
        <v>-76109.4</v>
      </c>
      <c r="N867" s="184">
        <v>-67001.64</v>
      </c>
      <c r="O867" s="184">
        <v>-57802.13</v>
      </c>
      <c r="P867" s="184">
        <v>31955.62</v>
      </c>
    </row>
    <row r="868">
      <c r="A868" s="168">
        <v>62.0</v>
      </c>
      <c r="B868" s="168">
        <v>67.0</v>
      </c>
      <c r="C868" s="168">
        <v>67.0</v>
      </c>
      <c r="D868" s="168">
        <v>63.0</v>
      </c>
      <c r="E868" s="168">
        <v>9.0</v>
      </c>
      <c r="F868" s="168">
        <v>2.0</v>
      </c>
      <c r="G868" s="168">
        <v>2.0</v>
      </c>
      <c r="H868" s="183">
        <v>16890.89</v>
      </c>
      <c r="I868" s="184">
        <v>-9486.95</v>
      </c>
      <c r="J868" s="168">
        <v>7.0</v>
      </c>
      <c r="K868" s="168">
        <v>7.0</v>
      </c>
      <c r="L868" s="168">
        <v>7.0</v>
      </c>
      <c r="M868" s="184">
        <v>21929.35</v>
      </c>
      <c r="N868" s="184">
        <v>-23303.01</v>
      </c>
      <c r="O868" s="184">
        <v>-52121.49</v>
      </c>
      <c r="P868" s="184">
        <v>24456.01</v>
      </c>
    </row>
    <row r="869">
      <c r="A869" s="168">
        <v>45.0</v>
      </c>
      <c r="B869" s="168">
        <v>64.0</v>
      </c>
      <c r="C869" s="168">
        <v>73.0</v>
      </c>
      <c r="D869" s="168">
        <v>14.0</v>
      </c>
      <c r="E869" s="168">
        <v>4.0</v>
      </c>
      <c r="F869" s="168">
        <v>2.0</v>
      </c>
      <c r="G869" s="168">
        <v>9.0</v>
      </c>
      <c r="H869" s="183">
        <v>-429.91</v>
      </c>
      <c r="I869" s="184">
        <v>-37416.55</v>
      </c>
      <c r="J869" s="168">
        <v>1.0</v>
      </c>
      <c r="K869" s="168">
        <v>1.0</v>
      </c>
      <c r="L869" s="168">
        <v>8.0</v>
      </c>
      <c r="M869" s="184">
        <v>-60397.26</v>
      </c>
      <c r="N869" s="184">
        <v>35050.6</v>
      </c>
      <c r="O869" s="184">
        <v>71751.54</v>
      </c>
      <c r="P869" s="184">
        <v>74913.74</v>
      </c>
    </row>
    <row r="870">
      <c r="A870" s="168">
        <v>92.0</v>
      </c>
      <c r="B870" s="168">
        <v>45.0</v>
      </c>
      <c r="C870" s="168">
        <v>93.0</v>
      </c>
      <c r="D870" s="168">
        <v>77.0</v>
      </c>
      <c r="E870" s="168">
        <v>8.0</v>
      </c>
      <c r="F870" s="168">
        <v>2.0</v>
      </c>
      <c r="G870" s="168">
        <v>3.0</v>
      </c>
      <c r="H870" s="183">
        <v>89795.89</v>
      </c>
      <c r="I870" s="184">
        <v>82705.57</v>
      </c>
      <c r="J870" s="168">
        <v>7.0</v>
      </c>
      <c r="K870" s="168">
        <v>1.0</v>
      </c>
      <c r="L870" s="168">
        <v>2.0</v>
      </c>
      <c r="M870" s="184">
        <v>83518.87</v>
      </c>
      <c r="N870" s="184">
        <v>-16666.52</v>
      </c>
      <c r="O870" s="184">
        <v>-58298.81</v>
      </c>
      <c r="P870" s="184">
        <v>71291.54</v>
      </c>
    </row>
    <row r="871">
      <c r="A871" s="168">
        <v>48.0</v>
      </c>
      <c r="B871" s="168">
        <v>62.0</v>
      </c>
      <c r="C871" s="168">
        <v>43.0</v>
      </c>
      <c r="D871" s="168">
        <v>81.0</v>
      </c>
      <c r="E871" s="168">
        <v>6.0</v>
      </c>
      <c r="F871" s="168">
        <v>9.0</v>
      </c>
      <c r="G871" s="168">
        <v>2.0</v>
      </c>
      <c r="H871" s="183">
        <v>24171.12</v>
      </c>
      <c r="I871" s="184">
        <v>-24524.38</v>
      </c>
      <c r="J871" s="168">
        <v>8.0</v>
      </c>
      <c r="K871" s="168">
        <v>5.0</v>
      </c>
      <c r="L871" s="168">
        <v>4.0</v>
      </c>
      <c r="M871" s="184">
        <v>16398.61</v>
      </c>
      <c r="N871" s="184">
        <v>65530.86</v>
      </c>
      <c r="O871" s="184">
        <v>74727.01</v>
      </c>
      <c r="P871" s="184">
        <v>-72610.66</v>
      </c>
    </row>
    <row r="872">
      <c r="A872" s="168">
        <v>91.0</v>
      </c>
      <c r="B872" s="168">
        <v>14.0</v>
      </c>
      <c r="C872" s="168">
        <v>32.0</v>
      </c>
      <c r="D872" s="168">
        <v>83.0</v>
      </c>
      <c r="E872" s="168">
        <v>4.0</v>
      </c>
      <c r="F872" s="168">
        <v>3.0</v>
      </c>
      <c r="G872" s="168">
        <v>1.0</v>
      </c>
      <c r="H872" s="183">
        <v>-70946.76</v>
      </c>
      <c r="I872" s="184">
        <v>-68911.41</v>
      </c>
      <c r="J872" s="168">
        <v>2.0</v>
      </c>
      <c r="K872" s="168">
        <v>3.0</v>
      </c>
      <c r="L872" s="168">
        <v>6.0</v>
      </c>
      <c r="M872" s="184">
        <v>-40473.26</v>
      </c>
      <c r="N872" s="184">
        <v>41120.42</v>
      </c>
      <c r="O872" s="184">
        <v>-29788.05</v>
      </c>
      <c r="P872" s="184">
        <v>96796.56</v>
      </c>
    </row>
    <row r="873">
      <c r="A873" s="168">
        <v>62.0</v>
      </c>
      <c r="B873" s="168">
        <v>23.0</v>
      </c>
      <c r="C873" s="168">
        <v>30.0</v>
      </c>
      <c r="D873" s="168">
        <v>28.0</v>
      </c>
      <c r="E873" s="168">
        <v>6.0</v>
      </c>
      <c r="F873" s="168">
        <v>2.0</v>
      </c>
      <c r="G873" s="168">
        <v>5.0</v>
      </c>
      <c r="H873" s="183">
        <v>30778.47</v>
      </c>
      <c r="I873" s="184">
        <v>-82124.38</v>
      </c>
      <c r="J873" s="168">
        <v>4.0</v>
      </c>
      <c r="K873" s="168">
        <v>4.0</v>
      </c>
      <c r="L873" s="168">
        <v>1.0</v>
      </c>
      <c r="M873" s="184">
        <v>-22432.91</v>
      </c>
      <c r="N873" s="184">
        <v>-32217.65</v>
      </c>
      <c r="O873" s="184">
        <v>36676.76</v>
      </c>
      <c r="P873" s="184">
        <v>13645.58</v>
      </c>
    </row>
    <row r="874">
      <c r="A874" s="168">
        <v>46.0</v>
      </c>
      <c r="B874" s="168">
        <v>85.0</v>
      </c>
      <c r="C874" s="168">
        <v>75.0</v>
      </c>
      <c r="D874" s="168">
        <v>49.0</v>
      </c>
      <c r="E874" s="168">
        <v>5.0</v>
      </c>
      <c r="F874" s="168">
        <v>1.0</v>
      </c>
      <c r="G874" s="168">
        <v>2.0</v>
      </c>
      <c r="H874" s="183">
        <v>10810.89</v>
      </c>
      <c r="I874" s="184">
        <v>-18483.28</v>
      </c>
      <c r="J874" s="168">
        <v>6.0</v>
      </c>
      <c r="K874" s="168">
        <v>8.0</v>
      </c>
      <c r="L874" s="168">
        <v>4.0</v>
      </c>
      <c r="M874" s="184">
        <v>42652.81</v>
      </c>
      <c r="N874" s="184">
        <v>-24150.2</v>
      </c>
      <c r="O874" s="184">
        <v>-75044.98</v>
      </c>
      <c r="P874" s="184">
        <v>72822.22</v>
      </c>
    </row>
    <row r="875">
      <c r="A875" s="168">
        <v>59.0</v>
      </c>
      <c r="B875" s="168">
        <v>26.0</v>
      </c>
      <c r="C875" s="168">
        <v>58.0</v>
      </c>
      <c r="D875" s="168">
        <v>12.0</v>
      </c>
      <c r="E875" s="168">
        <v>1.0</v>
      </c>
      <c r="F875" s="168">
        <v>5.0</v>
      </c>
      <c r="G875" s="168">
        <v>1.0</v>
      </c>
      <c r="H875" s="183">
        <v>-62391.7</v>
      </c>
      <c r="I875" s="184">
        <v>-75364.68</v>
      </c>
      <c r="J875" s="168">
        <v>1.0</v>
      </c>
      <c r="K875" s="168">
        <v>1.0</v>
      </c>
      <c r="L875" s="168">
        <v>9.0</v>
      </c>
      <c r="M875" s="184">
        <v>45452.84</v>
      </c>
      <c r="N875" s="184">
        <v>-16676.64</v>
      </c>
      <c r="O875" s="184">
        <v>-35014.38</v>
      </c>
      <c r="P875" s="184">
        <v>-95167.25</v>
      </c>
    </row>
    <row r="876">
      <c r="A876" s="168">
        <v>76.0</v>
      </c>
      <c r="B876" s="168">
        <v>26.0</v>
      </c>
      <c r="C876" s="168">
        <v>88.0</v>
      </c>
      <c r="D876" s="168">
        <v>42.0</v>
      </c>
      <c r="E876" s="168">
        <v>8.0</v>
      </c>
      <c r="F876" s="168">
        <v>2.0</v>
      </c>
      <c r="G876" s="168">
        <v>1.0</v>
      </c>
      <c r="H876" s="183">
        <v>65529.29</v>
      </c>
      <c r="I876" s="184">
        <v>74498.64</v>
      </c>
      <c r="J876" s="168">
        <v>4.0</v>
      </c>
      <c r="K876" s="168">
        <v>2.0</v>
      </c>
      <c r="L876" s="168">
        <v>9.0</v>
      </c>
      <c r="M876" s="184">
        <v>76419.0</v>
      </c>
      <c r="N876" s="184">
        <v>7822.26</v>
      </c>
      <c r="O876" s="184">
        <v>-8136.84</v>
      </c>
      <c r="P876" s="184">
        <v>40436.47</v>
      </c>
    </row>
    <row r="877">
      <c r="A877" s="168">
        <v>92.0</v>
      </c>
      <c r="B877" s="168">
        <v>52.0</v>
      </c>
      <c r="C877" s="168">
        <v>13.0</v>
      </c>
      <c r="D877" s="168">
        <v>51.0</v>
      </c>
      <c r="E877" s="168">
        <v>6.0</v>
      </c>
      <c r="F877" s="168">
        <v>1.0</v>
      </c>
      <c r="G877" s="168">
        <v>9.0</v>
      </c>
      <c r="H877" s="183">
        <v>-66203.68</v>
      </c>
      <c r="I877" s="184">
        <v>44606.19</v>
      </c>
      <c r="J877" s="168">
        <v>9.0</v>
      </c>
      <c r="K877" s="168">
        <v>4.0</v>
      </c>
      <c r="L877" s="168">
        <v>2.0</v>
      </c>
      <c r="M877" s="184">
        <v>38788.03</v>
      </c>
      <c r="N877" s="184">
        <v>11980.72</v>
      </c>
      <c r="O877" s="184">
        <v>-82903.48</v>
      </c>
      <c r="P877" s="184">
        <v>33853.97</v>
      </c>
    </row>
    <row r="878">
      <c r="A878" s="168">
        <v>66.0</v>
      </c>
      <c r="B878" s="168">
        <v>57.0</v>
      </c>
      <c r="C878" s="168">
        <v>28.0</v>
      </c>
      <c r="D878" s="168">
        <v>19.0</v>
      </c>
      <c r="E878" s="168">
        <v>7.0</v>
      </c>
      <c r="F878" s="168">
        <v>1.0</v>
      </c>
      <c r="G878" s="168">
        <v>2.0</v>
      </c>
      <c r="H878" s="183">
        <v>-24622.5</v>
      </c>
      <c r="I878" s="184">
        <v>-95043.77</v>
      </c>
      <c r="J878" s="168">
        <v>9.0</v>
      </c>
      <c r="K878" s="168">
        <v>2.0</v>
      </c>
      <c r="L878" s="168">
        <v>5.0</v>
      </c>
      <c r="M878" s="184">
        <v>24510.23</v>
      </c>
      <c r="N878" s="184">
        <v>-76621.2</v>
      </c>
      <c r="O878" s="184">
        <v>-27635.0</v>
      </c>
      <c r="P878" s="184">
        <v>20623.82</v>
      </c>
    </row>
    <row r="879">
      <c r="A879" s="168">
        <v>80.0</v>
      </c>
      <c r="B879" s="168">
        <v>10.0</v>
      </c>
      <c r="C879" s="168">
        <v>61.0</v>
      </c>
      <c r="D879" s="168">
        <v>26.0</v>
      </c>
      <c r="E879" s="168">
        <v>9.0</v>
      </c>
      <c r="F879" s="168">
        <v>9.0</v>
      </c>
      <c r="G879" s="168">
        <v>2.0</v>
      </c>
      <c r="H879" s="183">
        <v>71874.26</v>
      </c>
      <c r="I879" s="184">
        <v>21178.81</v>
      </c>
      <c r="J879" s="168">
        <v>2.0</v>
      </c>
      <c r="K879" s="168">
        <v>8.0</v>
      </c>
      <c r="L879" s="168">
        <v>5.0</v>
      </c>
      <c r="M879" s="184">
        <v>-46055.35</v>
      </c>
      <c r="N879" s="184">
        <v>67379.23</v>
      </c>
      <c r="O879" s="184">
        <v>27064.73</v>
      </c>
      <c r="P879" s="184">
        <v>-78729.95</v>
      </c>
    </row>
    <row r="880">
      <c r="A880" s="168">
        <v>70.0</v>
      </c>
      <c r="B880" s="168">
        <v>54.0</v>
      </c>
      <c r="C880" s="168">
        <v>95.0</v>
      </c>
      <c r="D880" s="168">
        <v>47.0</v>
      </c>
      <c r="E880" s="168">
        <v>9.0</v>
      </c>
      <c r="F880" s="168">
        <v>2.0</v>
      </c>
      <c r="G880" s="168">
        <v>9.0</v>
      </c>
      <c r="H880" s="183">
        <v>-30085.76</v>
      </c>
      <c r="I880" s="184">
        <v>-51360.08</v>
      </c>
      <c r="J880" s="168">
        <v>5.0</v>
      </c>
      <c r="K880" s="168">
        <v>5.0</v>
      </c>
      <c r="L880" s="168">
        <v>2.0</v>
      </c>
      <c r="M880" s="184">
        <v>98920.62</v>
      </c>
      <c r="N880" s="184">
        <v>74244.78</v>
      </c>
      <c r="O880" s="184">
        <v>-94858.42</v>
      </c>
      <c r="P880" s="184">
        <v>-77037.25</v>
      </c>
    </row>
    <row r="881">
      <c r="A881" s="168">
        <v>46.0</v>
      </c>
      <c r="B881" s="168">
        <v>87.0</v>
      </c>
      <c r="C881" s="168">
        <v>98.0</v>
      </c>
      <c r="D881" s="168">
        <v>25.0</v>
      </c>
      <c r="E881" s="168">
        <v>6.0</v>
      </c>
      <c r="F881" s="168">
        <v>2.0</v>
      </c>
      <c r="G881" s="168">
        <v>4.0</v>
      </c>
      <c r="H881" s="183">
        <v>-78349.74</v>
      </c>
      <c r="I881" s="184">
        <v>-44654.03</v>
      </c>
      <c r="J881" s="168">
        <v>5.0</v>
      </c>
      <c r="K881" s="168">
        <v>3.0</v>
      </c>
      <c r="L881" s="168">
        <v>8.0</v>
      </c>
      <c r="M881" s="184">
        <v>73234.01</v>
      </c>
      <c r="N881" s="184">
        <v>-8119.19</v>
      </c>
      <c r="O881" s="184">
        <v>-69648.12</v>
      </c>
      <c r="P881" s="184">
        <v>35832.18</v>
      </c>
    </row>
    <row r="882">
      <c r="A882" s="168">
        <v>51.0</v>
      </c>
      <c r="B882" s="168">
        <v>49.0</v>
      </c>
      <c r="C882" s="168">
        <v>17.0</v>
      </c>
      <c r="D882" s="168">
        <v>86.0</v>
      </c>
      <c r="E882" s="168">
        <v>4.0</v>
      </c>
      <c r="F882" s="168">
        <v>9.0</v>
      </c>
      <c r="G882" s="168">
        <v>7.0</v>
      </c>
      <c r="H882" s="183">
        <v>-77498.16</v>
      </c>
      <c r="I882" s="184">
        <v>46755.17</v>
      </c>
      <c r="J882" s="168">
        <v>2.0</v>
      </c>
      <c r="K882" s="168">
        <v>7.0</v>
      </c>
      <c r="L882" s="168">
        <v>3.0</v>
      </c>
      <c r="M882" s="184">
        <v>50644.03</v>
      </c>
      <c r="N882" s="184">
        <v>-7986.76</v>
      </c>
      <c r="O882" s="184">
        <v>-8204.9</v>
      </c>
      <c r="P882" s="184">
        <v>77982.15</v>
      </c>
    </row>
    <row r="883">
      <c r="A883" s="168">
        <v>43.0</v>
      </c>
      <c r="B883" s="168">
        <v>73.0</v>
      </c>
      <c r="C883" s="168">
        <v>62.0</v>
      </c>
      <c r="D883" s="168">
        <v>77.0</v>
      </c>
      <c r="E883" s="168">
        <v>2.0</v>
      </c>
      <c r="F883" s="168">
        <v>4.0</v>
      </c>
      <c r="G883" s="168">
        <v>6.0</v>
      </c>
      <c r="H883" s="183">
        <v>66412.01</v>
      </c>
      <c r="I883" s="184">
        <v>-59249.54</v>
      </c>
      <c r="J883" s="168">
        <v>8.0</v>
      </c>
      <c r="K883" s="168">
        <v>8.0</v>
      </c>
      <c r="L883" s="168">
        <v>1.0</v>
      </c>
      <c r="M883" s="184">
        <v>18604.69</v>
      </c>
      <c r="N883" s="184">
        <v>-96897.38</v>
      </c>
      <c r="O883" s="184">
        <v>-62858.87</v>
      </c>
      <c r="P883" s="184">
        <v>-29914.99</v>
      </c>
    </row>
    <row r="884">
      <c r="A884" s="168">
        <v>20.0</v>
      </c>
      <c r="B884" s="168">
        <v>85.0</v>
      </c>
      <c r="C884" s="168">
        <v>89.0</v>
      </c>
      <c r="D884" s="168">
        <v>78.0</v>
      </c>
      <c r="E884" s="168">
        <v>3.0</v>
      </c>
      <c r="F884" s="168">
        <v>7.0</v>
      </c>
      <c r="G884" s="168">
        <v>5.0</v>
      </c>
      <c r="H884" s="183">
        <v>-6994.26</v>
      </c>
      <c r="I884" s="184">
        <v>-15901.22</v>
      </c>
      <c r="J884" s="168">
        <v>3.0</v>
      </c>
      <c r="K884" s="168">
        <v>8.0</v>
      </c>
      <c r="L884" s="168">
        <v>1.0</v>
      </c>
      <c r="M884" s="184">
        <v>72418.85</v>
      </c>
      <c r="N884" s="184">
        <v>-99956.63</v>
      </c>
      <c r="O884" s="184">
        <v>52798.51</v>
      </c>
      <c r="P884" s="184">
        <v>20435.31</v>
      </c>
    </row>
    <row r="885">
      <c r="A885" s="168">
        <v>22.0</v>
      </c>
      <c r="B885" s="168">
        <v>53.0</v>
      </c>
      <c r="C885" s="168">
        <v>19.0</v>
      </c>
      <c r="D885" s="168">
        <v>71.0</v>
      </c>
      <c r="E885" s="168">
        <v>1.0</v>
      </c>
      <c r="F885" s="168">
        <v>6.0</v>
      </c>
      <c r="G885" s="168">
        <v>1.0</v>
      </c>
      <c r="H885" s="183">
        <v>-78205.24</v>
      </c>
      <c r="I885" s="184">
        <v>-77580.61</v>
      </c>
      <c r="J885" s="168">
        <v>1.0</v>
      </c>
      <c r="K885" s="168">
        <v>2.0</v>
      </c>
      <c r="L885" s="168">
        <v>7.0</v>
      </c>
      <c r="M885" s="184">
        <v>-28359.45</v>
      </c>
      <c r="N885" s="184">
        <v>-58555.88</v>
      </c>
      <c r="O885" s="184">
        <v>68825.09</v>
      </c>
      <c r="P885" s="184">
        <v>-9484.51</v>
      </c>
    </row>
    <row r="886">
      <c r="A886" s="168">
        <v>88.0</v>
      </c>
      <c r="B886" s="168">
        <v>88.0</v>
      </c>
      <c r="C886" s="168">
        <v>80.0</v>
      </c>
      <c r="D886" s="168">
        <v>87.0</v>
      </c>
      <c r="E886" s="168">
        <v>2.0</v>
      </c>
      <c r="F886" s="168">
        <v>5.0</v>
      </c>
      <c r="G886" s="168">
        <v>8.0</v>
      </c>
      <c r="H886" s="183">
        <v>-65429.99</v>
      </c>
      <c r="I886" s="184">
        <v>36566.78</v>
      </c>
      <c r="J886" s="168">
        <v>1.0</v>
      </c>
      <c r="K886" s="168">
        <v>4.0</v>
      </c>
      <c r="L886" s="168">
        <v>7.0</v>
      </c>
      <c r="M886" s="184">
        <v>-42404.97</v>
      </c>
      <c r="N886" s="184">
        <v>-8875.89</v>
      </c>
      <c r="O886" s="184">
        <v>26919.26</v>
      </c>
      <c r="P886" s="184">
        <v>-72276.55</v>
      </c>
    </row>
    <row r="887">
      <c r="A887" s="168">
        <v>55.0</v>
      </c>
      <c r="B887" s="168">
        <v>75.0</v>
      </c>
      <c r="C887" s="168">
        <v>80.0</v>
      </c>
      <c r="D887" s="168">
        <v>55.0</v>
      </c>
      <c r="E887" s="168">
        <v>5.0</v>
      </c>
      <c r="F887" s="168">
        <v>1.0</v>
      </c>
      <c r="G887" s="168">
        <v>8.0</v>
      </c>
      <c r="H887" s="183">
        <v>-95225.65</v>
      </c>
      <c r="I887" s="184">
        <v>-20867.78</v>
      </c>
      <c r="J887" s="168">
        <v>7.0</v>
      </c>
      <c r="K887" s="168">
        <v>7.0</v>
      </c>
      <c r="L887" s="168">
        <v>1.0</v>
      </c>
      <c r="M887" s="184">
        <v>-35409.85</v>
      </c>
      <c r="N887" s="184">
        <v>-82974.17</v>
      </c>
      <c r="O887" s="184">
        <v>-32501.19</v>
      </c>
      <c r="P887" s="184">
        <v>-74220.53</v>
      </c>
    </row>
    <row r="888">
      <c r="A888" s="168">
        <v>60.0</v>
      </c>
      <c r="B888" s="168">
        <v>51.0</v>
      </c>
      <c r="C888" s="168">
        <v>62.0</v>
      </c>
      <c r="D888" s="168">
        <v>66.0</v>
      </c>
      <c r="E888" s="168">
        <v>4.0</v>
      </c>
      <c r="F888" s="168">
        <v>8.0</v>
      </c>
      <c r="G888" s="168">
        <v>5.0</v>
      </c>
      <c r="H888" s="183">
        <v>8664.68</v>
      </c>
      <c r="I888" s="184">
        <v>37230.63</v>
      </c>
      <c r="J888" s="168">
        <v>7.0</v>
      </c>
      <c r="K888" s="168">
        <v>8.0</v>
      </c>
      <c r="L888" s="168">
        <v>6.0</v>
      </c>
      <c r="M888" s="184">
        <v>-79170.67</v>
      </c>
      <c r="N888" s="184">
        <v>-63789.94</v>
      </c>
      <c r="O888" s="184">
        <v>75050.34</v>
      </c>
      <c r="P888" s="184">
        <v>-63946.12</v>
      </c>
    </row>
    <row r="889">
      <c r="A889" s="168">
        <v>80.0</v>
      </c>
      <c r="B889" s="168">
        <v>24.0</v>
      </c>
      <c r="C889" s="168">
        <v>71.0</v>
      </c>
      <c r="D889" s="168">
        <v>57.0</v>
      </c>
      <c r="E889" s="168">
        <v>4.0</v>
      </c>
      <c r="F889" s="168">
        <v>8.0</v>
      </c>
      <c r="G889" s="168">
        <v>4.0</v>
      </c>
      <c r="H889" s="183">
        <v>-29666.95</v>
      </c>
      <c r="I889" s="184">
        <v>-33895.45</v>
      </c>
      <c r="J889" s="168">
        <v>1.0</v>
      </c>
      <c r="K889" s="168">
        <v>7.0</v>
      </c>
      <c r="L889" s="168">
        <v>3.0</v>
      </c>
      <c r="M889" s="184">
        <v>93311.77</v>
      </c>
      <c r="N889" s="184">
        <v>-42186.41</v>
      </c>
      <c r="O889" s="184">
        <v>29565.85</v>
      </c>
      <c r="P889" s="184">
        <v>29298.76</v>
      </c>
    </row>
    <row r="890">
      <c r="A890" s="168">
        <v>57.0</v>
      </c>
      <c r="B890" s="168">
        <v>45.0</v>
      </c>
      <c r="C890" s="168">
        <v>80.0</v>
      </c>
      <c r="D890" s="168">
        <v>96.0</v>
      </c>
      <c r="E890" s="168">
        <v>8.0</v>
      </c>
      <c r="F890" s="168">
        <v>5.0</v>
      </c>
      <c r="G890" s="168">
        <v>5.0</v>
      </c>
      <c r="H890" s="183">
        <v>86505.38</v>
      </c>
      <c r="I890" s="184">
        <v>14538.54</v>
      </c>
      <c r="J890" s="168">
        <v>6.0</v>
      </c>
      <c r="K890" s="168">
        <v>6.0</v>
      </c>
      <c r="L890" s="168">
        <v>1.0</v>
      </c>
      <c r="M890" s="184">
        <v>-35046.83</v>
      </c>
      <c r="N890" s="184">
        <v>67280.71</v>
      </c>
      <c r="O890" s="184">
        <v>-68075.34</v>
      </c>
      <c r="P890" s="184">
        <v>-83062.85</v>
      </c>
    </row>
    <row r="891">
      <c r="A891" s="168">
        <v>52.0</v>
      </c>
      <c r="B891" s="168">
        <v>34.0</v>
      </c>
      <c r="C891" s="168">
        <v>51.0</v>
      </c>
      <c r="D891" s="168">
        <v>20.0</v>
      </c>
      <c r="E891" s="168">
        <v>2.0</v>
      </c>
      <c r="F891" s="168">
        <v>4.0</v>
      </c>
      <c r="G891" s="168">
        <v>2.0</v>
      </c>
      <c r="H891" s="183">
        <v>-98970.09</v>
      </c>
      <c r="I891" s="184">
        <v>49273.58</v>
      </c>
      <c r="J891" s="168">
        <v>3.0</v>
      </c>
      <c r="K891" s="168">
        <v>3.0</v>
      </c>
      <c r="L891" s="168">
        <v>3.0</v>
      </c>
      <c r="M891" s="184">
        <v>-2566.69</v>
      </c>
      <c r="N891" s="184">
        <v>69357.57</v>
      </c>
      <c r="O891" s="184">
        <v>43939.07</v>
      </c>
      <c r="P891" s="184">
        <v>-65289.79</v>
      </c>
    </row>
    <row r="892">
      <c r="A892" s="168">
        <v>75.0</v>
      </c>
      <c r="B892" s="168">
        <v>98.0</v>
      </c>
      <c r="C892" s="168">
        <v>64.0</v>
      </c>
      <c r="D892" s="168">
        <v>12.0</v>
      </c>
      <c r="E892" s="168">
        <v>1.0</v>
      </c>
      <c r="F892" s="168">
        <v>5.0</v>
      </c>
      <c r="G892" s="168">
        <v>2.0</v>
      </c>
      <c r="H892" s="183">
        <v>20376.16</v>
      </c>
      <c r="I892" s="184">
        <v>783.07</v>
      </c>
      <c r="J892" s="168">
        <v>1.0</v>
      </c>
      <c r="K892" s="168">
        <v>2.0</v>
      </c>
      <c r="L892" s="168">
        <v>8.0</v>
      </c>
      <c r="M892" s="184">
        <v>-81094.02</v>
      </c>
      <c r="N892" s="184">
        <v>-16367.56</v>
      </c>
      <c r="O892" s="184">
        <v>-18412.06</v>
      </c>
      <c r="P892" s="184">
        <v>-32155.94</v>
      </c>
    </row>
    <row r="893">
      <c r="A893" s="168">
        <v>56.0</v>
      </c>
      <c r="B893" s="168">
        <v>45.0</v>
      </c>
      <c r="C893" s="168">
        <v>72.0</v>
      </c>
      <c r="D893" s="168">
        <v>93.0</v>
      </c>
      <c r="E893" s="168">
        <v>5.0</v>
      </c>
      <c r="F893" s="168">
        <v>2.0</v>
      </c>
      <c r="G893" s="168">
        <v>1.0</v>
      </c>
      <c r="H893" s="183">
        <v>-46456.96</v>
      </c>
      <c r="I893" s="184">
        <v>-43524.25</v>
      </c>
      <c r="J893" s="168">
        <v>3.0</v>
      </c>
      <c r="K893" s="168">
        <v>8.0</v>
      </c>
      <c r="L893" s="168">
        <v>7.0</v>
      </c>
      <c r="M893" s="184">
        <v>80396.61</v>
      </c>
      <c r="N893" s="184">
        <v>74578.24</v>
      </c>
      <c r="O893" s="184">
        <v>80032.62</v>
      </c>
      <c r="P893" s="184">
        <v>-30826.78</v>
      </c>
    </row>
    <row r="894">
      <c r="A894" s="168">
        <v>74.0</v>
      </c>
      <c r="B894" s="168">
        <v>26.0</v>
      </c>
      <c r="C894" s="168">
        <v>76.0</v>
      </c>
      <c r="D894" s="168">
        <v>63.0</v>
      </c>
      <c r="E894" s="168">
        <v>1.0</v>
      </c>
      <c r="F894" s="168">
        <v>2.0</v>
      </c>
      <c r="G894" s="168">
        <v>9.0</v>
      </c>
      <c r="H894" s="183">
        <v>-74597.23</v>
      </c>
      <c r="I894" s="184">
        <v>-66678.2</v>
      </c>
      <c r="J894" s="168">
        <v>8.0</v>
      </c>
      <c r="K894" s="168">
        <v>3.0</v>
      </c>
      <c r="L894" s="168">
        <v>7.0</v>
      </c>
      <c r="M894" s="184">
        <v>-40008.54</v>
      </c>
      <c r="N894" s="184">
        <v>31209.12</v>
      </c>
      <c r="O894" s="184">
        <v>-67939.12</v>
      </c>
      <c r="P894" s="184">
        <v>43570.53</v>
      </c>
    </row>
    <row r="895">
      <c r="A895" s="168">
        <v>55.0</v>
      </c>
      <c r="B895" s="168">
        <v>11.0</v>
      </c>
      <c r="C895" s="168">
        <v>18.0</v>
      </c>
      <c r="D895" s="168">
        <v>71.0</v>
      </c>
      <c r="E895" s="168">
        <v>1.0</v>
      </c>
      <c r="F895" s="168">
        <v>1.0</v>
      </c>
      <c r="G895" s="168">
        <v>1.0</v>
      </c>
      <c r="H895" s="183">
        <v>-80122.79</v>
      </c>
      <c r="I895" s="184">
        <v>90181.59</v>
      </c>
      <c r="J895" s="168">
        <v>7.0</v>
      </c>
      <c r="K895" s="168">
        <v>9.0</v>
      </c>
      <c r="L895" s="168">
        <v>6.0</v>
      </c>
      <c r="M895" s="184">
        <v>55177.31</v>
      </c>
      <c r="N895" s="184">
        <v>-20318.08</v>
      </c>
      <c r="O895" s="184">
        <v>-42676.04</v>
      </c>
      <c r="P895" s="184">
        <v>-42940.13</v>
      </c>
    </row>
    <row r="896">
      <c r="A896" s="168">
        <v>24.0</v>
      </c>
      <c r="B896" s="168">
        <v>94.0</v>
      </c>
      <c r="C896" s="168">
        <v>20.0</v>
      </c>
      <c r="D896" s="168">
        <v>43.0</v>
      </c>
      <c r="E896" s="168">
        <v>6.0</v>
      </c>
      <c r="F896" s="168">
        <v>9.0</v>
      </c>
      <c r="G896" s="168">
        <v>9.0</v>
      </c>
      <c r="H896" s="183">
        <v>81904.92</v>
      </c>
      <c r="I896" s="184">
        <v>96424.72</v>
      </c>
      <c r="J896" s="168">
        <v>7.0</v>
      </c>
      <c r="K896" s="168">
        <v>3.0</v>
      </c>
      <c r="L896" s="168">
        <v>1.0</v>
      </c>
      <c r="M896" s="184">
        <v>-15565.87</v>
      </c>
      <c r="N896" s="184">
        <v>73319.42</v>
      </c>
      <c r="O896" s="184">
        <v>37564.28</v>
      </c>
      <c r="P896" s="184">
        <v>50132.88</v>
      </c>
    </row>
    <row r="897">
      <c r="A897" s="168">
        <v>84.0</v>
      </c>
      <c r="B897" s="168">
        <v>85.0</v>
      </c>
      <c r="C897" s="168">
        <v>30.0</v>
      </c>
      <c r="D897" s="168">
        <v>80.0</v>
      </c>
      <c r="E897" s="168">
        <v>5.0</v>
      </c>
      <c r="F897" s="168">
        <v>1.0</v>
      </c>
      <c r="G897" s="168">
        <v>9.0</v>
      </c>
      <c r="H897" s="183">
        <v>-77974.99</v>
      </c>
      <c r="I897" s="184">
        <v>12731.02</v>
      </c>
      <c r="J897" s="168">
        <v>6.0</v>
      </c>
      <c r="K897" s="168">
        <v>5.0</v>
      </c>
      <c r="L897" s="168">
        <v>1.0</v>
      </c>
      <c r="M897" s="184">
        <v>53242.59</v>
      </c>
      <c r="N897" s="184">
        <v>-13188.37</v>
      </c>
      <c r="O897" s="184">
        <v>-26841.27</v>
      </c>
      <c r="P897" s="184">
        <v>8759.27</v>
      </c>
    </row>
    <row r="898">
      <c r="A898" s="168">
        <v>29.0</v>
      </c>
      <c r="B898" s="168">
        <v>58.0</v>
      </c>
      <c r="C898" s="168">
        <v>58.0</v>
      </c>
      <c r="D898" s="168">
        <v>70.0</v>
      </c>
      <c r="E898" s="168">
        <v>5.0</v>
      </c>
      <c r="F898" s="168">
        <v>9.0</v>
      </c>
      <c r="G898" s="168">
        <v>8.0</v>
      </c>
      <c r="H898" s="183">
        <v>23407.55</v>
      </c>
      <c r="I898" s="184">
        <v>-34045.75</v>
      </c>
      <c r="J898" s="168">
        <v>1.0</v>
      </c>
      <c r="K898" s="168">
        <v>8.0</v>
      </c>
      <c r="L898" s="168">
        <v>7.0</v>
      </c>
      <c r="M898" s="184">
        <v>46670.26</v>
      </c>
      <c r="N898" s="184">
        <v>-98979.07</v>
      </c>
      <c r="O898" s="184">
        <v>41511.1</v>
      </c>
      <c r="P898" s="184">
        <v>55254.52</v>
      </c>
    </row>
    <row r="899">
      <c r="A899" s="168">
        <v>38.0</v>
      </c>
      <c r="B899" s="168">
        <v>66.0</v>
      </c>
      <c r="C899" s="168">
        <v>89.0</v>
      </c>
      <c r="D899" s="168">
        <v>36.0</v>
      </c>
      <c r="E899" s="168">
        <v>9.0</v>
      </c>
      <c r="F899" s="168">
        <v>9.0</v>
      </c>
      <c r="G899" s="168">
        <v>9.0</v>
      </c>
      <c r="H899" s="183">
        <v>23132.73</v>
      </c>
      <c r="I899" s="184">
        <v>-9101.09</v>
      </c>
      <c r="J899" s="168">
        <v>1.0</v>
      </c>
      <c r="K899" s="168">
        <v>9.0</v>
      </c>
      <c r="L899" s="168">
        <v>8.0</v>
      </c>
      <c r="M899" s="184">
        <v>-86760.95</v>
      </c>
      <c r="N899" s="184">
        <v>21076.47</v>
      </c>
      <c r="O899" s="184">
        <v>-35978.93</v>
      </c>
      <c r="P899" s="184">
        <v>-86887.43</v>
      </c>
    </row>
    <row r="900">
      <c r="A900" s="168">
        <v>71.0</v>
      </c>
      <c r="B900" s="168">
        <v>39.0</v>
      </c>
      <c r="C900" s="168">
        <v>52.0</v>
      </c>
      <c r="D900" s="168">
        <v>59.0</v>
      </c>
      <c r="E900" s="168">
        <v>8.0</v>
      </c>
      <c r="F900" s="168">
        <v>8.0</v>
      </c>
      <c r="G900" s="168">
        <v>2.0</v>
      </c>
      <c r="H900" s="183">
        <v>-18977.11</v>
      </c>
      <c r="I900" s="184">
        <v>58880.99</v>
      </c>
      <c r="J900" s="168">
        <v>7.0</v>
      </c>
      <c r="K900" s="168">
        <v>8.0</v>
      </c>
      <c r="L900" s="168">
        <v>3.0</v>
      </c>
      <c r="M900" s="184">
        <v>63727.05</v>
      </c>
      <c r="N900" s="184">
        <v>-68880.17</v>
      </c>
      <c r="O900" s="184">
        <v>-70260.35</v>
      </c>
      <c r="P900" s="184">
        <v>67405.04</v>
      </c>
    </row>
    <row r="901">
      <c r="A901" s="168">
        <v>31.0</v>
      </c>
      <c r="B901" s="168">
        <v>66.0</v>
      </c>
      <c r="C901" s="168">
        <v>99.0</v>
      </c>
      <c r="D901" s="168">
        <v>22.0</v>
      </c>
      <c r="E901" s="168">
        <v>3.0</v>
      </c>
      <c r="F901" s="168">
        <v>9.0</v>
      </c>
      <c r="G901" s="168">
        <v>7.0</v>
      </c>
      <c r="H901" s="183">
        <v>55209.94</v>
      </c>
      <c r="I901" s="184">
        <v>76231.58</v>
      </c>
      <c r="J901" s="168">
        <v>8.0</v>
      </c>
      <c r="K901" s="168">
        <v>6.0</v>
      </c>
      <c r="L901" s="168">
        <v>5.0</v>
      </c>
      <c r="M901" s="184">
        <v>-46920.7</v>
      </c>
      <c r="N901" s="184">
        <v>30460.75</v>
      </c>
      <c r="O901" s="184">
        <v>74246.64</v>
      </c>
      <c r="P901" s="184">
        <v>-11618.7</v>
      </c>
    </row>
    <row r="902">
      <c r="A902" s="168">
        <v>56.0</v>
      </c>
      <c r="B902" s="168">
        <v>51.0</v>
      </c>
      <c r="C902" s="168">
        <v>49.0</v>
      </c>
      <c r="D902" s="168">
        <v>14.0</v>
      </c>
      <c r="E902" s="168">
        <v>4.0</v>
      </c>
      <c r="F902" s="168">
        <v>2.0</v>
      </c>
      <c r="G902" s="168">
        <v>3.0</v>
      </c>
      <c r="H902" s="183">
        <v>-29524.7</v>
      </c>
      <c r="I902" s="184">
        <v>69322.47</v>
      </c>
      <c r="J902" s="168">
        <v>3.0</v>
      </c>
      <c r="K902" s="168">
        <v>8.0</v>
      </c>
      <c r="L902" s="168">
        <v>8.0</v>
      </c>
      <c r="M902" s="184">
        <v>26528.43</v>
      </c>
      <c r="N902" s="184">
        <v>-57500.62</v>
      </c>
      <c r="O902" s="184">
        <v>-24379.06</v>
      </c>
      <c r="P902" s="184">
        <v>75291.69</v>
      </c>
    </row>
    <row r="903">
      <c r="A903" s="168">
        <v>10.0</v>
      </c>
      <c r="B903" s="168">
        <v>94.0</v>
      </c>
      <c r="C903" s="168">
        <v>30.0</v>
      </c>
      <c r="D903" s="168">
        <v>60.0</v>
      </c>
      <c r="E903" s="168">
        <v>1.0</v>
      </c>
      <c r="F903" s="168">
        <v>7.0</v>
      </c>
      <c r="G903" s="168">
        <v>8.0</v>
      </c>
      <c r="H903" s="183">
        <v>-43706.89</v>
      </c>
      <c r="I903" s="184">
        <v>81945.09</v>
      </c>
      <c r="J903" s="168">
        <v>5.0</v>
      </c>
      <c r="K903" s="168">
        <v>4.0</v>
      </c>
      <c r="L903" s="168">
        <v>8.0</v>
      </c>
      <c r="M903" s="184">
        <v>38495.79</v>
      </c>
      <c r="N903" s="184">
        <v>-65981.53</v>
      </c>
      <c r="O903" s="184">
        <v>-6214.49</v>
      </c>
      <c r="P903" s="184">
        <v>-57284.98</v>
      </c>
    </row>
    <row r="904">
      <c r="A904" s="168">
        <v>69.0</v>
      </c>
      <c r="B904" s="168">
        <v>67.0</v>
      </c>
      <c r="C904" s="168">
        <v>71.0</v>
      </c>
      <c r="D904" s="168">
        <v>91.0</v>
      </c>
      <c r="E904" s="168">
        <v>4.0</v>
      </c>
      <c r="F904" s="168">
        <v>3.0</v>
      </c>
      <c r="G904" s="168">
        <v>5.0</v>
      </c>
      <c r="H904" s="183">
        <v>52782.51</v>
      </c>
      <c r="I904" s="184">
        <v>-75573.48</v>
      </c>
      <c r="J904" s="168">
        <v>8.0</v>
      </c>
      <c r="K904" s="168">
        <v>7.0</v>
      </c>
      <c r="L904" s="168">
        <v>9.0</v>
      </c>
      <c r="M904" s="184">
        <v>89787.5</v>
      </c>
      <c r="N904" s="184">
        <v>-38868.24</v>
      </c>
      <c r="O904" s="184">
        <v>2759.29</v>
      </c>
      <c r="P904" s="184">
        <v>-62853.99</v>
      </c>
    </row>
    <row r="905">
      <c r="A905" s="168">
        <v>71.0</v>
      </c>
      <c r="B905" s="168">
        <v>82.0</v>
      </c>
      <c r="C905" s="168">
        <v>75.0</v>
      </c>
      <c r="D905" s="168">
        <v>81.0</v>
      </c>
      <c r="E905" s="168">
        <v>1.0</v>
      </c>
      <c r="F905" s="168">
        <v>8.0</v>
      </c>
      <c r="G905" s="168">
        <v>4.0</v>
      </c>
      <c r="H905" s="183">
        <v>29662.31</v>
      </c>
      <c r="I905" s="184">
        <v>59738.76</v>
      </c>
      <c r="J905" s="168">
        <v>8.0</v>
      </c>
      <c r="K905" s="168">
        <v>5.0</v>
      </c>
      <c r="L905" s="168">
        <v>3.0</v>
      </c>
      <c r="M905" s="184">
        <v>83825.05</v>
      </c>
      <c r="N905" s="184">
        <v>84571.63</v>
      </c>
      <c r="O905" s="184">
        <v>-20283.49</v>
      </c>
      <c r="P905" s="184">
        <v>-23803.07</v>
      </c>
    </row>
    <row r="906">
      <c r="A906" s="168">
        <v>77.0</v>
      </c>
      <c r="B906" s="168">
        <v>21.0</v>
      </c>
      <c r="C906" s="168">
        <v>74.0</v>
      </c>
      <c r="D906" s="168">
        <v>85.0</v>
      </c>
      <c r="E906" s="168">
        <v>2.0</v>
      </c>
      <c r="F906" s="168">
        <v>5.0</v>
      </c>
      <c r="G906" s="168">
        <v>6.0</v>
      </c>
      <c r="H906" s="183">
        <v>-25367.35</v>
      </c>
      <c r="I906" s="184">
        <v>4479.11</v>
      </c>
      <c r="J906" s="168">
        <v>9.0</v>
      </c>
      <c r="K906" s="168">
        <v>5.0</v>
      </c>
      <c r="L906" s="168">
        <v>8.0</v>
      </c>
      <c r="M906" s="184">
        <v>25753.84</v>
      </c>
      <c r="N906" s="184">
        <v>86277.66</v>
      </c>
      <c r="O906" s="184">
        <v>-83432.56</v>
      </c>
      <c r="P906" s="184">
        <v>49279.27</v>
      </c>
    </row>
    <row r="907">
      <c r="A907" s="168">
        <v>26.0</v>
      </c>
      <c r="B907" s="168">
        <v>16.0</v>
      </c>
      <c r="C907" s="168">
        <v>13.0</v>
      </c>
      <c r="D907" s="168">
        <v>33.0</v>
      </c>
      <c r="E907" s="168">
        <v>5.0</v>
      </c>
      <c r="F907" s="168">
        <v>4.0</v>
      </c>
      <c r="G907" s="168">
        <v>3.0</v>
      </c>
      <c r="H907" s="183">
        <v>-78161.14</v>
      </c>
      <c r="I907" s="184">
        <v>52164.77</v>
      </c>
      <c r="J907" s="168">
        <v>3.0</v>
      </c>
      <c r="K907" s="168">
        <v>3.0</v>
      </c>
      <c r="L907" s="168">
        <v>1.0</v>
      </c>
      <c r="M907" s="184">
        <v>-31694.77</v>
      </c>
      <c r="N907" s="184">
        <v>-30088.48</v>
      </c>
      <c r="O907" s="184">
        <v>-64652.41</v>
      </c>
      <c r="P907" s="184">
        <v>-6074.92</v>
      </c>
    </row>
    <row r="908">
      <c r="A908" s="168">
        <v>46.0</v>
      </c>
      <c r="B908" s="168">
        <v>85.0</v>
      </c>
      <c r="C908" s="168">
        <v>31.0</v>
      </c>
      <c r="D908" s="168">
        <v>22.0</v>
      </c>
      <c r="E908" s="168">
        <v>5.0</v>
      </c>
      <c r="F908" s="168">
        <v>6.0</v>
      </c>
      <c r="G908" s="168">
        <v>5.0</v>
      </c>
      <c r="H908" s="183">
        <v>-7429.71</v>
      </c>
      <c r="I908" s="184">
        <v>-70070.57</v>
      </c>
      <c r="J908" s="168">
        <v>8.0</v>
      </c>
      <c r="K908" s="168">
        <v>2.0</v>
      </c>
      <c r="L908" s="168">
        <v>4.0</v>
      </c>
      <c r="M908" s="184">
        <v>-93227.99</v>
      </c>
      <c r="N908" s="184">
        <v>-2944.07</v>
      </c>
      <c r="O908" s="184">
        <v>30992.61</v>
      </c>
      <c r="P908" s="184">
        <v>-1681.88</v>
      </c>
    </row>
    <row r="909">
      <c r="A909" s="168">
        <v>20.0</v>
      </c>
      <c r="B909" s="168">
        <v>90.0</v>
      </c>
      <c r="C909" s="168">
        <v>60.0</v>
      </c>
      <c r="D909" s="168">
        <v>43.0</v>
      </c>
      <c r="E909" s="168">
        <v>9.0</v>
      </c>
      <c r="F909" s="168">
        <v>3.0</v>
      </c>
      <c r="G909" s="168">
        <v>1.0</v>
      </c>
      <c r="H909" s="183">
        <v>-57931.72</v>
      </c>
      <c r="I909" s="184">
        <v>-86653.41</v>
      </c>
      <c r="J909" s="168">
        <v>1.0</v>
      </c>
      <c r="K909" s="168">
        <v>5.0</v>
      </c>
      <c r="L909" s="168">
        <v>1.0</v>
      </c>
      <c r="M909" s="184">
        <v>42997.32</v>
      </c>
      <c r="N909" s="184">
        <v>-10715.74</v>
      </c>
      <c r="O909" s="184">
        <v>54315.71</v>
      </c>
      <c r="P909" s="184">
        <v>6823.17</v>
      </c>
    </row>
    <row r="910">
      <c r="A910" s="168">
        <v>24.0</v>
      </c>
      <c r="B910" s="168">
        <v>26.0</v>
      </c>
      <c r="C910" s="168">
        <v>50.0</v>
      </c>
      <c r="D910" s="168">
        <v>30.0</v>
      </c>
      <c r="E910" s="168">
        <v>4.0</v>
      </c>
      <c r="F910" s="168">
        <v>5.0</v>
      </c>
      <c r="G910" s="168">
        <v>7.0</v>
      </c>
      <c r="H910" s="183">
        <v>-92637.69</v>
      </c>
      <c r="I910" s="184">
        <v>48223.57</v>
      </c>
      <c r="J910" s="168">
        <v>4.0</v>
      </c>
      <c r="K910" s="168">
        <v>8.0</v>
      </c>
      <c r="L910" s="168">
        <v>6.0</v>
      </c>
      <c r="M910" s="184">
        <v>37217.94</v>
      </c>
      <c r="N910" s="184">
        <v>-78753.26</v>
      </c>
      <c r="O910" s="184">
        <v>78054.4</v>
      </c>
      <c r="P910" s="184">
        <v>-87806.84</v>
      </c>
    </row>
    <row r="911">
      <c r="A911" s="168">
        <v>78.0</v>
      </c>
      <c r="B911" s="168">
        <v>22.0</v>
      </c>
      <c r="C911" s="168">
        <v>82.0</v>
      </c>
      <c r="D911" s="168">
        <v>56.0</v>
      </c>
      <c r="E911" s="168">
        <v>3.0</v>
      </c>
      <c r="F911" s="168">
        <v>1.0</v>
      </c>
      <c r="G911" s="168">
        <v>6.0</v>
      </c>
      <c r="H911" s="183">
        <v>-95761.87</v>
      </c>
      <c r="I911" s="184">
        <v>-2111.67</v>
      </c>
      <c r="J911" s="168">
        <v>1.0</v>
      </c>
      <c r="K911" s="168">
        <v>2.0</v>
      </c>
      <c r="L911" s="168">
        <v>5.0</v>
      </c>
      <c r="M911" s="184">
        <v>16898.71</v>
      </c>
      <c r="N911" s="184">
        <v>54604.73</v>
      </c>
      <c r="O911" s="184">
        <v>8607.62</v>
      </c>
      <c r="P911" s="184">
        <v>95437.48</v>
      </c>
    </row>
    <row r="912">
      <c r="A912" s="168">
        <v>32.0</v>
      </c>
      <c r="B912" s="168">
        <v>33.0</v>
      </c>
      <c r="C912" s="168">
        <v>71.0</v>
      </c>
      <c r="D912" s="168">
        <v>76.0</v>
      </c>
      <c r="E912" s="168">
        <v>2.0</v>
      </c>
      <c r="F912" s="168">
        <v>7.0</v>
      </c>
      <c r="G912" s="168">
        <v>8.0</v>
      </c>
      <c r="H912" s="183">
        <v>-21446.29</v>
      </c>
      <c r="I912" s="184">
        <v>-52258.03</v>
      </c>
      <c r="J912" s="168">
        <v>6.0</v>
      </c>
      <c r="K912" s="168">
        <v>4.0</v>
      </c>
      <c r="L912" s="168">
        <v>1.0</v>
      </c>
      <c r="M912" s="184">
        <v>-72223.81</v>
      </c>
      <c r="N912" s="184">
        <v>18276.02</v>
      </c>
      <c r="O912" s="184">
        <v>58680.22</v>
      </c>
      <c r="P912" s="184">
        <v>-41369.27</v>
      </c>
    </row>
    <row r="913">
      <c r="A913" s="168">
        <v>46.0</v>
      </c>
      <c r="B913" s="168">
        <v>37.0</v>
      </c>
      <c r="C913" s="168">
        <v>25.0</v>
      </c>
      <c r="D913" s="168">
        <v>18.0</v>
      </c>
      <c r="E913" s="168">
        <v>8.0</v>
      </c>
      <c r="F913" s="168">
        <v>6.0</v>
      </c>
      <c r="G913" s="168">
        <v>7.0</v>
      </c>
      <c r="H913" s="183">
        <v>37200.9</v>
      </c>
      <c r="I913" s="184">
        <v>-50846.25</v>
      </c>
      <c r="J913" s="168">
        <v>5.0</v>
      </c>
      <c r="K913" s="168">
        <v>2.0</v>
      </c>
      <c r="L913" s="168">
        <v>4.0</v>
      </c>
      <c r="M913" s="184">
        <v>-78448.94</v>
      </c>
      <c r="N913" s="184">
        <v>-90926.28</v>
      </c>
      <c r="O913" s="184">
        <v>-3458.97</v>
      </c>
      <c r="P913" s="184">
        <v>-64938.17</v>
      </c>
    </row>
    <row r="914">
      <c r="A914" s="168">
        <v>13.0</v>
      </c>
      <c r="B914" s="168">
        <v>60.0</v>
      </c>
      <c r="C914" s="168">
        <v>24.0</v>
      </c>
      <c r="D914" s="168">
        <v>51.0</v>
      </c>
      <c r="E914" s="168">
        <v>2.0</v>
      </c>
      <c r="F914" s="168">
        <v>8.0</v>
      </c>
      <c r="G914" s="168">
        <v>6.0</v>
      </c>
      <c r="H914" s="183">
        <v>61960.08</v>
      </c>
      <c r="I914" s="184">
        <v>28093.6</v>
      </c>
      <c r="J914" s="168">
        <v>1.0</v>
      </c>
      <c r="K914" s="168">
        <v>3.0</v>
      </c>
      <c r="L914" s="168">
        <v>9.0</v>
      </c>
      <c r="M914" s="184">
        <v>-66104.0</v>
      </c>
      <c r="N914" s="184">
        <v>7421.18</v>
      </c>
      <c r="O914" s="184">
        <v>49633.21</v>
      </c>
      <c r="P914" s="184">
        <v>88764.93</v>
      </c>
    </row>
    <row r="915">
      <c r="A915" s="168">
        <v>97.0</v>
      </c>
      <c r="B915" s="168">
        <v>34.0</v>
      </c>
      <c r="C915" s="168">
        <v>68.0</v>
      </c>
      <c r="D915" s="168">
        <v>43.0</v>
      </c>
      <c r="E915" s="168">
        <v>4.0</v>
      </c>
      <c r="F915" s="168">
        <v>7.0</v>
      </c>
      <c r="G915" s="168">
        <v>2.0</v>
      </c>
      <c r="H915" s="183">
        <v>-3539.96</v>
      </c>
      <c r="I915" s="184">
        <v>-36965.75</v>
      </c>
      <c r="J915" s="168">
        <v>4.0</v>
      </c>
      <c r="K915" s="168">
        <v>2.0</v>
      </c>
      <c r="L915" s="168">
        <v>8.0</v>
      </c>
      <c r="M915" s="184">
        <v>-31776.0</v>
      </c>
      <c r="N915" s="184">
        <v>-84112.39</v>
      </c>
      <c r="O915" s="184">
        <v>-22332.6</v>
      </c>
      <c r="P915" s="184">
        <v>-15723.99</v>
      </c>
    </row>
    <row r="916">
      <c r="A916" s="168">
        <v>92.0</v>
      </c>
      <c r="B916" s="168">
        <v>26.0</v>
      </c>
      <c r="C916" s="168">
        <v>13.0</v>
      </c>
      <c r="D916" s="168">
        <v>11.0</v>
      </c>
      <c r="E916" s="168">
        <v>8.0</v>
      </c>
      <c r="F916" s="168">
        <v>6.0</v>
      </c>
      <c r="G916" s="168">
        <v>2.0</v>
      </c>
      <c r="H916" s="183">
        <v>83258.04</v>
      </c>
      <c r="I916" s="184">
        <v>-78904.3</v>
      </c>
      <c r="J916" s="168">
        <v>9.0</v>
      </c>
      <c r="K916" s="168">
        <v>9.0</v>
      </c>
      <c r="L916" s="168">
        <v>4.0</v>
      </c>
      <c r="M916" s="184">
        <v>-72943.97</v>
      </c>
      <c r="N916" s="184">
        <v>60083.79</v>
      </c>
      <c r="O916" s="184">
        <v>-19455.15</v>
      </c>
      <c r="P916" s="184">
        <v>-93825.79</v>
      </c>
    </row>
    <row r="917">
      <c r="A917" s="168">
        <v>82.0</v>
      </c>
      <c r="B917" s="168">
        <v>35.0</v>
      </c>
      <c r="C917" s="168">
        <v>50.0</v>
      </c>
      <c r="D917" s="168">
        <v>63.0</v>
      </c>
      <c r="E917" s="168">
        <v>8.0</v>
      </c>
      <c r="F917" s="168">
        <v>2.0</v>
      </c>
      <c r="G917" s="168">
        <v>1.0</v>
      </c>
      <c r="H917" s="183">
        <v>-37908.99</v>
      </c>
      <c r="I917" s="184">
        <v>-2336.12</v>
      </c>
      <c r="J917" s="168">
        <v>8.0</v>
      </c>
      <c r="K917" s="168">
        <v>3.0</v>
      </c>
      <c r="L917" s="168">
        <v>7.0</v>
      </c>
      <c r="M917" s="184">
        <v>-62454.65</v>
      </c>
      <c r="N917" s="184">
        <v>-4635.23</v>
      </c>
      <c r="O917" s="184">
        <v>94423.09</v>
      </c>
      <c r="P917" s="184">
        <v>-67961.46</v>
      </c>
    </row>
    <row r="918">
      <c r="A918" s="168">
        <v>12.0</v>
      </c>
      <c r="B918" s="168">
        <v>93.0</v>
      </c>
      <c r="C918" s="168">
        <v>68.0</v>
      </c>
      <c r="D918" s="168">
        <v>13.0</v>
      </c>
      <c r="E918" s="168">
        <v>3.0</v>
      </c>
      <c r="F918" s="168">
        <v>2.0</v>
      </c>
      <c r="G918" s="168">
        <v>1.0</v>
      </c>
      <c r="H918" s="183">
        <v>-48145.51</v>
      </c>
      <c r="I918" s="184">
        <v>-64738.51</v>
      </c>
      <c r="J918" s="168">
        <v>4.0</v>
      </c>
      <c r="K918" s="168">
        <v>3.0</v>
      </c>
      <c r="L918" s="168">
        <v>1.0</v>
      </c>
      <c r="M918" s="184">
        <v>-27845.47</v>
      </c>
      <c r="N918" s="184">
        <v>55690.74</v>
      </c>
      <c r="O918" s="184">
        <v>-44956.68</v>
      </c>
      <c r="P918" s="184">
        <v>-1048.23</v>
      </c>
    </row>
    <row r="919">
      <c r="A919" s="168">
        <v>78.0</v>
      </c>
      <c r="B919" s="168">
        <v>24.0</v>
      </c>
      <c r="C919" s="168">
        <v>58.0</v>
      </c>
      <c r="D919" s="168">
        <v>62.0</v>
      </c>
      <c r="E919" s="168">
        <v>4.0</v>
      </c>
      <c r="F919" s="168">
        <v>1.0</v>
      </c>
      <c r="G919" s="168">
        <v>8.0</v>
      </c>
      <c r="H919" s="183">
        <v>89806.5</v>
      </c>
      <c r="I919" s="184">
        <v>34526.75</v>
      </c>
      <c r="J919" s="168">
        <v>7.0</v>
      </c>
      <c r="K919" s="168">
        <v>2.0</v>
      </c>
      <c r="L919" s="168">
        <v>8.0</v>
      </c>
      <c r="M919" s="184">
        <v>-83513.49</v>
      </c>
      <c r="N919" s="184">
        <v>-26811.03</v>
      </c>
      <c r="O919" s="184">
        <v>96135.24</v>
      </c>
      <c r="P919" s="184">
        <v>-68581.88</v>
      </c>
    </row>
    <row r="920">
      <c r="A920" s="168">
        <v>27.0</v>
      </c>
      <c r="B920" s="168">
        <v>74.0</v>
      </c>
      <c r="C920" s="168">
        <v>20.0</v>
      </c>
      <c r="D920" s="168">
        <v>54.0</v>
      </c>
      <c r="E920" s="168">
        <v>3.0</v>
      </c>
      <c r="F920" s="168">
        <v>1.0</v>
      </c>
      <c r="G920" s="168">
        <v>1.0</v>
      </c>
      <c r="H920" s="183">
        <v>29850.42</v>
      </c>
      <c r="I920" s="184">
        <v>-28190.72</v>
      </c>
      <c r="J920" s="168">
        <v>1.0</v>
      </c>
      <c r="K920" s="168">
        <v>4.0</v>
      </c>
      <c r="L920" s="168">
        <v>9.0</v>
      </c>
      <c r="M920" s="184">
        <v>87389.98</v>
      </c>
      <c r="N920" s="184">
        <v>16380.82</v>
      </c>
      <c r="O920" s="184">
        <v>-32910.03</v>
      </c>
      <c r="P920" s="184">
        <v>15763.14</v>
      </c>
    </row>
    <row r="921">
      <c r="A921" s="168">
        <v>28.0</v>
      </c>
      <c r="B921" s="168">
        <v>12.0</v>
      </c>
      <c r="C921" s="168">
        <v>46.0</v>
      </c>
      <c r="D921" s="168">
        <v>12.0</v>
      </c>
      <c r="E921" s="168">
        <v>7.0</v>
      </c>
      <c r="F921" s="168">
        <v>8.0</v>
      </c>
      <c r="G921" s="168">
        <v>7.0</v>
      </c>
      <c r="H921" s="183">
        <v>40597.17</v>
      </c>
      <c r="I921" s="184">
        <v>488.63</v>
      </c>
      <c r="J921" s="168">
        <v>8.0</v>
      </c>
      <c r="K921" s="168">
        <v>7.0</v>
      </c>
      <c r="L921" s="168">
        <v>3.0</v>
      </c>
      <c r="M921" s="184">
        <v>21868.67</v>
      </c>
      <c r="N921" s="184">
        <v>-17703.24</v>
      </c>
      <c r="O921" s="184">
        <v>59358.09</v>
      </c>
      <c r="P921" s="184">
        <v>-47288.35</v>
      </c>
    </row>
    <row r="922">
      <c r="A922" s="168">
        <v>53.0</v>
      </c>
      <c r="B922" s="168">
        <v>76.0</v>
      </c>
      <c r="C922" s="168">
        <v>82.0</v>
      </c>
      <c r="D922" s="168">
        <v>38.0</v>
      </c>
      <c r="E922" s="168">
        <v>9.0</v>
      </c>
      <c r="F922" s="168">
        <v>1.0</v>
      </c>
      <c r="G922" s="168">
        <v>3.0</v>
      </c>
      <c r="H922" s="183">
        <v>36101.39</v>
      </c>
      <c r="I922" s="184">
        <v>21996.12</v>
      </c>
      <c r="J922" s="168">
        <v>9.0</v>
      </c>
      <c r="K922" s="168">
        <v>6.0</v>
      </c>
      <c r="L922" s="168">
        <v>1.0</v>
      </c>
      <c r="M922" s="184">
        <v>-90624.28</v>
      </c>
      <c r="N922" s="184">
        <v>5176.0</v>
      </c>
      <c r="O922" s="184">
        <v>-37734.08</v>
      </c>
      <c r="P922" s="184">
        <v>-13434.45</v>
      </c>
    </row>
    <row r="923">
      <c r="A923" s="168">
        <v>98.0</v>
      </c>
      <c r="B923" s="168">
        <v>82.0</v>
      </c>
      <c r="C923" s="168">
        <v>66.0</v>
      </c>
      <c r="D923" s="168">
        <v>69.0</v>
      </c>
      <c r="E923" s="168">
        <v>4.0</v>
      </c>
      <c r="F923" s="168">
        <v>7.0</v>
      </c>
      <c r="G923" s="168">
        <v>5.0</v>
      </c>
      <c r="H923" s="183">
        <v>-97390.84</v>
      </c>
      <c r="I923" s="184">
        <v>-57987.4</v>
      </c>
      <c r="J923" s="168">
        <v>3.0</v>
      </c>
      <c r="K923" s="168">
        <v>3.0</v>
      </c>
      <c r="L923" s="168">
        <v>1.0</v>
      </c>
      <c r="M923" s="184">
        <v>-72095.56</v>
      </c>
      <c r="N923" s="184">
        <v>32696.65</v>
      </c>
      <c r="O923" s="184">
        <v>-43911.43</v>
      </c>
      <c r="P923" s="184">
        <v>70086.85</v>
      </c>
    </row>
    <row r="924">
      <c r="A924" s="168">
        <v>30.0</v>
      </c>
      <c r="B924" s="168">
        <v>66.0</v>
      </c>
      <c r="C924" s="168">
        <v>85.0</v>
      </c>
      <c r="D924" s="168">
        <v>56.0</v>
      </c>
      <c r="E924" s="168">
        <v>9.0</v>
      </c>
      <c r="F924" s="168">
        <v>3.0</v>
      </c>
      <c r="G924" s="168">
        <v>5.0</v>
      </c>
      <c r="H924" s="183">
        <v>36357.87</v>
      </c>
      <c r="I924" s="184">
        <v>99277.3</v>
      </c>
      <c r="J924" s="168">
        <v>1.0</v>
      </c>
      <c r="K924" s="168">
        <v>8.0</v>
      </c>
      <c r="L924" s="168">
        <v>1.0</v>
      </c>
      <c r="M924" s="184">
        <v>56996.52</v>
      </c>
      <c r="N924" s="184">
        <v>13786.69</v>
      </c>
      <c r="O924" s="184">
        <v>-46801.44</v>
      </c>
      <c r="P924" s="184">
        <v>72187.81</v>
      </c>
    </row>
    <row r="925">
      <c r="A925" s="168">
        <v>13.0</v>
      </c>
      <c r="B925" s="168">
        <v>47.0</v>
      </c>
      <c r="C925" s="168">
        <v>49.0</v>
      </c>
      <c r="D925" s="168">
        <v>34.0</v>
      </c>
      <c r="E925" s="168">
        <v>9.0</v>
      </c>
      <c r="F925" s="168">
        <v>5.0</v>
      </c>
      <c r="G925" s="168">
        <v>5.0</v>
      </c>
      <c r="H925" s="183">
        <v>-15942.02</v>
      </c>
      <c r="I925" s="184">
        <v>89531.37</v>
      </c>
      <c r="J925" s="168">
        <v>1.0</v>
      </c>
      <c r="K925" s="168">
        <v>3.0</v>
      </c>
      <c r="L925" s="168">
        <v>4.0</v>
      </c>
      <c r="M925" s="184">
        <v>8435.52</v>
      </c>
      <c r="N925" s="184">
        <v>-39698.98</v>
      </c>
      <c r="O925" s="184">
        <v>-27550.53</v>
      </c>
      <c r="P925" s="184">
        <v>-91493.84</v>
      </c>
    </row>
    <row r="926">
      <c r="A926" s="168">
        <v>32.0</v>
      </c>
      <c r="B926" s="168">
        <v>10.0</v>
      </c>
      <c r="C926" s="168">
        <v>13.0</v>
      </c>
      <c r="D926" s="168">
        <v>15.0</v>
      </c>
      <c r="E926" s="168">
        <v>8.0</v>
      </c>
      <c r="F926" s="168">
        <v>5.0</v>
      </c>
      <c r="G926" s="168">
        <v>5.0</v>
      </c>
      <c r="H926" s="183">
        <v>-11045.35</v>
      </c>
      <c r="I926" s="184">
        <v>17800.96</v>
      </c>
      <c r="J926" s="168">
        <v>1.0</v>
      </c>
      <c r="K926" s="168">
        <v>9.0</v>
      </c>
      <c r="L926" s="168">
        <v>3.0</v>
      </c>
      <c r="M926" s="184">
        <v>-58533.61</v>
      </c>
      <c r="N926" s="184">
        <v>-75357.7</v>
      </c>
      <c r="O926" s="184">
        <v>67968.61</v>
      </c>
      <c r="P926" s="184">
        <v>-24120.89</v>
      </c>
    </row>
    <row r="927">
      <c r="A927" s="168">
        <v>26.0</v>
      </c>
      <c r="B927" s="168">
        <v>65.0</v>
      </c>
      <c r="C927" s="168">
        <v>10.0</v>
      </c>
      <c r="D927" s="168">
        <v>76.0</v>
      </c>
      <c r="E927" s="168">
        <v>1.0</v>
      </c>
      <c r="F927" s="168">
        <v>5.0</v>
      </c>
      <c r="G927" s="168">
        <v>1.0</v>
      </c>
      <c r="H927" s="183">
        <v>54275.02</v>
      </c>
      <c r="I927" s="184">
        <v>-18783.21</v>
      </c>
      <c r="J927" s="168">
        <v>4.0</v>
      </c>
      <c r="K927" s="168">
        <v>1.0</v>
      </c>
      <c r="L927" s="168">
        <v>8.0</v>
      </c>
      <c r="M927" s="184">
        <v>-59395.06</v>
      </c>
      <c r="N927" s="184">
        <v>31597.19</v>
      </c>
      <c r="O927" s="184">
        <v>-19653.84</v>
      </c>
      <c r="P927" s="184">
        <v>-71250.01</v>
      </c>
    </row>
    <row r="928">
      <c r="A928" s="168">
        <v>35.0</v>
      </c>
      <c r="B928" s="168">
        <v>35.0</v>
      </c>
      <c r="C928" s="168">
        <v>30.0</v>
      </c>
      <c r="D928" s="168">
        <v>89.0</v>
      </c>
      <c r="E928" s="168">
        <v>6.0</v>
      </c>
      <c r="F928" s="168">
        <v>5.0</v>
      </c>
      <c r="G928" s="168">
        <v>6.0</v>
      </c>
      <c r="H928" s="183">
        <v>11699.35</v>
      </c>
      <c r="I928" s="184">
        <v>85498.1</v>
      </c>
      <c r="J928" s="168">
        <v>3.0</v>
      </c>
      <c r="K928" s="168">
        <v>1.0</v>
      </c>
      <c r="L928" s="168">
        <v>1.0</v>
      </c>
      <c r="M928" s="184">
        <v>30176.48</v>
      </c>
      <c r="N928" s="184">
        <v>47200.27</v>
      </c>
      <c r="O928" s="184">
        <v>-54950.78</v>
      </c>
      <c r="P928" s="184">
        <v>63213.5</v>
      </c>
    </row>
    <row r="929">
      <c r="A929" s="168">
        <v>60.0</v>
      </c>
      <c r="B929" s="168">
        <v>71.0</v>
      </c>
      <c r="C929" s="168">
        <v>40.0</v>
      </c>
      <c r="D929" s="168">
        <v>67.0</v>
      </c>
      <c r="E929" s="168">
        <v>7.0</v>
      </c>
      <c r="F929" s="168">
        <v>1.0</v>
      </c>
      <c r="G929" s="168">
        <v>9.0</v>
      </c>
      <c r="H929" s="183">
        <v>-1780.66</v>
      </c>
      <c r="I929" s="184">
        <v>95500.21</v>
      </c>
      <c r="J929" s="168">
        <v>8.0</v>
      </c>
      <c r="K929" s="168">
        <v>2.0</v>
      </c>
      <c r="L929" s="168">
        <v>1.0</v>
      </c>
      <c r="M929" s="184">
        <v>-50516.67</v>
      </c>
      <c r="N929" s="184">
        <v>-6909.12</v>
      </c>
      <c r="O929" s="184">
        <v>35292.16</v>
      </c>
      <c r="P929" s="184">
        <v>-89432.86</v>
      </c>
    </row>
    <row r="930">
      <c r="A930" s="168">
        <v>42.0</v>
      </c>
      <c r="B930" s="168">
        <v>60.0</v>
      </c>
      <c r="C930" s="168">
        <v>68.0</v>
      </c>
      <c r="D930" s="168">
        <v>97.0</v>
      </c>
      <c r="E930" s="168">
        <v>7.0</v>
      </c>
      <c r="F930" s="168">
        <v>6.0</v>
      </c>
      <c r="G930" s="168">
        <v>7.0</v>
      </c>
      <c r="H930" s="183">
        <v>-28253.5</v>
      </c>
      <c r="I930" s="184">
        <v>48736.12</v>
      </c>
      <c r="J930" s="168">
        <v>1.0</v>
      </c>
      <c r="K930" s="168">
        <v>4.0</v>
      </c>
      <c r="L930" s="168">
        <v>3.0</v>
      </c>
      <c r="M930" s="184">
        <v>34437.66</v>
      </c>
      <c r="N930" s="184">
        <v>8736.86</v>
      </c>
      <c r="O930" s="184">
        <v>64018.4</v>
      </c>
      <c r="P930" s="184">
        <v>20919.61</v>
      </c>
    </row>
    <row r="931">
      <c r="A931" s="168">
        <v>40.0</v>
      </c>
      <c r="B931" s="168">
        <v>26.0</v>
      </c>
      <c r="C931" s="168">
        <v>68.0</v>
      </c>
      <c r="D931" s="168">
        <v>45.0</v>
      </c>
      <c r="E931" s="168">
        <v>2.0</v>
      </c>
      <c r="F931" s="168">
        <v>9.0</v>
      </c>
      <c r="G931" s="168">
        <v>3.0</v>
      </c>
      <c r="H931" s="183">
        <v>19753.88</v>
      </c>
      <c r="I931" s="184">
        <v>42388.19</v>
      </c>
      <c r="J931" s="168">
        <v>1.0</v>
      </c>
      <c r="K931" s="168">
        <v>2.0</v>
      </c>
      <c r="L931" s="168">
        <v>2.0</v>
      </c>
      <c r="M931" s="184">
        <v>19085.52</v>
      </c>
      <c r="N931" s="184">
        <v>20102.21</v>
      </c>
      <c r="O931" s="184">
        <v>42300.31</v>
      </c>
      <c r="P931" s="184">
        <v>-23704.95</v>
      </c>
    </row>
    <row r="932">
      <c r="A932" s="168">
        <v>44.0</v>
      </c>
      <c r="B932" s="168">
        <v>94.0</v>
      </c>
      <c r="C932" s="168">
        <v>71.0</v>
      </c>
      <c r="D932" s="168">
        <v>91.0</v>
      </c>
      <c r="E932" s="168">
        <v>2.0</v>
      </c>
      <c r="F932" s="168">
        <v>7.0</v>
      </c>
      <c r="G932" s="168">
        <v>9.0</v>
      </c>
      <c r="H932" s="183">
        <v>53031.63</v>
      </c>
      <c r="I932" s="184">
        <v>-89492.21</v>
      </c>
      <c r="J932" s="168">
        <v>3.0</v>
      </c>
      <c r="K932" s="168">
        <v>5.0</v>
      </c>
      <c r="L932" s="168">
        <v>9.0</v>
      </c>
      <c r="M932" s="184">
        <v>44873.63</v>
      </c>
      <c r="N932" s="184">
        <v>-79185.19</v>
      </c>
      <c r="O932" s="184">
        <v>346.09</v>
      </c>
      <c r="P932" s="184">
        <v>-96350.18</v>
      </c>
    </row>
    <row r="933">
      <c r="A933" s="168">
        <v>31.0</v>
      </c>
      <c r="B933" s="168">
        <v>30.0</v>
      </c>
      <c r="C933" s="168">
        <v>59.0</v>
      </c>
      <c r="D933" s="168">
        <v>43.0</v>
      </c>
      <c r="E933" s="168">
        <v>2.0</v>
      </c>
      <c r="F933" s="168">
        <v>3.0</v>
      </c>
      <c r="G933" s="168">
        <v>8.0</v>
      </c>
      <c r="H933" s="183">
        <v>64309.44</v>
      </c>
      <c r="I933" s="184">
        <v>-30260.12</v>
      </c>
      <c r="J933" s="168">
        <v>2.0</v>
      </c>
      <c r="K933" s="168">
        <v>9.0</v>
      </c>
      <c r="L933" s="168">
        <v>5.0</v>
      </c>
      <c r="M933" s="184">
        <v>98841.54</v>
      </c>
      <c r="N933" s="184">
        <v>-44087.26</v>
      </c>
      <c r="O933" s="184">
        <v>-72329.62</v>
      </c>
      <c r="P933" s="184">
        <v>-407.02</v>
      </c>
    </row>
    <row r="934">
      <c r="A934" s="168">
        <v>84.0</v>
      </c>
      <c r="B934" s="168">
        <v>30.0</v>
      </c>
      <c r="C934" s="168">
        <v>85.0</v>
      </c>
      <c r="D934" s="168">
        <v>80.0</v>
      </c>
      <c r="E934" s="168">
        <v>9.0</v>
      </c>
      <c r="F934" s="168">
        <v>9.0</v>
      </c>
      <c r="G934" s="168">
        <v>2.0</v>
      </c>
      <c r="H934" s="183">
        <v>-6884.53</v>
      </c>
      <c r="I934" s="184">
        <v>-37329.33</v>
      </c>
      <c r="J934" s="168">
        <v>9.0</v>
      </c>
      <c r="K934" s="168">
        <v>3.0</v>
      </c>
      <c r="L934" s="168">
        <v>3.0</v>
      </c>
      <c r="M934" s="184">
        <v>-28593.11</v>
      </c>
      <c r="N934" s="184">
        <v>-31557.41</v>
      </c>
      <c r="O934" s="184">
        <v>-71553.13</v>
      </c>
      <c r="P934" s="184">
        <v>-19641.35</v>
      </c>
    </row>
    <row r="935">
      <c r="A935" s="168">
        <v>50.0</v>
      </c>
      <c r="B935" s="168">
        <v>79.0</v>
      </c>
      <c r="C935" s="168">
        <v>61.0</v>
      </c>
      <c r="D935" s="168">
        <v>14.0</v>
      </c>
      <c r="E935" s="168">
        <v>8.0</v>
      </c>
      <c r="F935" s="168">
        <v>8.0</v>
      </c>
      <c r="G935" s="168">
        <v>5.0</v>
      </c>
      <c r="H935" s="183">
        <v>-42290.28</v>
      </c>
      <c r="I935" s="184">
        <v>-96271.74</v>
      </c>
      <c r="J935" s="168">
        <v>5.0</v>
      </c>
      <c r="K935" s="168">
        <v>2.0</v>
      </c>
      <c r="L935" s="168">
        <v>6.0</v>
      </c>
      <c r="M935" s="184">
        <v>39894.72</v>
      </c>
      <c r="N935" s="184">
        <v>-3679.32</v>
      </c>
      <c r="O935" s="184">
        <v>58859.15</v>
      </c>
      <c r="P935" s="184">
        <v>-33840.11</v>
      </c>
    </row>
    <row r="936">
      <c r="A936" s="168">
        <v>81.0</v>
      </c>
      <c r="B936" s="168">
        <v>64.0</v>
      </c>
      <c r="C936" s="168">
        <v>54.0</v>
      </c>
      <c r="D936" s="168">
        <v>48.0</v>
      </c>
      <c r="E936" s="168">
        <v>7.0</v>
      </c>
      <c r="F936" s="168">
        <v>2.0</v>
      </c>
      <c r="G936" s="168">
        <v>6.0</v>
      </c>
      <c r="H936" s="183">
        <v>77670.62</v>
      </c>
      <c r="I936" s="184">
        <v>-85971.78</v>
      </c>
      <c r="J936" s="168">
        <v>3.0</v>
      </c>
      <c r="K936" s="168">
        <v>4.0</v>
      </c>
      <c r="L936" s="168">
        <v>2.0</v>
      </c>
      <c r="M936" s="184">
        <v>-10105.61</v>
      </c>
      <c r="N936" s="184">
        <v>49440.05</v>
      </c>
      <c r="O936" s="184">
        <v>-79553.57</v>
      </c>
      <c r="P936" s="184">
        <v>60917.08</v>
      </c>
    </row>
    <row r="937">
      <c r="A937" s="168">
        <v>40.0</v>
      </c>
      <c r="B937" s="168">
        <v>99.0</v>
      </c>
      <c r="C937" s="168">
        <v>50.0</v>
      </c>
      <c r="D937" s="168">
        <v>59.0</v>
      </c>
      <c r="E937" s="168">
        <v>6.0</v>
      </c>
      <c r="F937" s="168">
        <v>5.0</v>
      </c>
      <c r="G937" s="168">
        <v>1.0</v>
      </c>
      <c r="H937" s="183">
        <v>76720.61</v>
      </c>
      <c r="I937" s="184">
        <v>22894.88</v>
      </c>
      <c r="J937" s="168">
        <v>6.0</v>
      </c>
      <c r="K937" s="168">
        <v>7.0</v>
      </c>
      <c r="L937" s="168">
        <v>2.0</v>
      </c>
      <c r="M937" s="184">
        <v>-33197.62</v>
      </c>
      <c r="N937" s="184">
        <v>7312.08</v>
      </c>
      <c r="O937" s="184">
        <v>-75030.54</v>
      </c>
      <c r="P937" s="184">
        <v>-62592.42</v>
      </c>
    </row>
    <row r="938">
      <c r="A938" s="168">
        <v>74.0</v>
      </c>
      <c r="B938" s="168">
        <v>79.0</v>
      </c>
      <c r="C938" s="168">
        <v>75.0</v>
      </c>
      <c r="D938" s="168">
        <v>47.0</v>
      </c>
      <c r="E938" s="168">
        <v>7.0</v>
      </c>
      <c r="F938" s="168">
        <v>6.0</v>
      </c>
      <c r="G938" s="168">
        <v>4.0</v>
      </c>
      <c r="H938" s="183">
        <v>-98376.23</v>
      </c>
      <c r="I938" s="184">
        <v>-10597.91</v>
      </c>
      <c r="J938" s="168">
        <v>2.0</v>
      </c>
      <c r="K938" s="168">
        <v>2.0</v>
      </c>
      <c r="L938" s="168">
        <v>8.0</v>
      </c>
      <c r="M938" s="184">
        <v>29855.44</v>
      </c>
      <c r="N938" s="184">
        <v>33516.6</v>
      </c>
      <c r="O938" s="184">
        <v>81623.66</v>
      </c>
      <c r="P938" s="184">
        <v>-9409.33</v>
      </c>
    </row>
    <row r="939">
      <c r="A939" s="168">
        <v>35.0</v>
      </c>
      <c r="B939" s="168">
        <v>84.0</v>
      </c>
      <c r="C939" s="168">
        <v>59.0</v>
      </c>
      <c r="D939" s="168">
        <v>86.0</v>
      </c>
      <c r="E939" s="168">
        <v>5.0</v>
      </c>
      <c r="F939" s="168">
        <v>1.0</v>
      </c>
      <c r="G939" s="168">
        <v>1.0</v>
      </c>
      <c r="H939" s="183">
        <v>1912.98</v>
      </c>
      <c r="I939" s="184">
        <v>66790.14</v>
      </c>
      <c r="J939" s="168">
        <v>2.0</v>
      </c>
      <c r="K939" s="168">
        <v>5.0</v>
      </c>
      <c r="L939" s="168">
        <v>9.0</v>
      </c>
      <c r="M939" s="184">
        <v>-55249.26</v>
      </c>
      <c r="N939" s="184">
        <v>-26664.02</v>
      </c>
      <c r="O939" s="184">
        <v>99579.65</v>
      </c>
      <c r="P939" s="184">
        <v>12020.42</v>
      </c>
    </row>
    <row r="940">
      <c r="A940" s="168">
        <v>61.0</v>
      </c>
      <c r="B940" s="168">
        <v>70.0</v>
      </c>
      <c r="C940" s="168">
        <v>98.0</v>
      </c>
      <c r="D940" s="168">
        <v>69.0</v>
      </c>
      <c r="E940" s="168">
        <v>3.0</v>
      </c>
      <c r="F940" s="168">
        <v>4.0</v>
      </c>
      <c r="G940" s="168">
        <v>9.0</v>
      </c>
      <c r="H940" s="183">
        <v>-45872.3</v>
      </c>
      <c r="I940" s="184">
        <v>87514.7</v>
      </c>
      <c r="J940" s="168">
        <v>8.0</v>
      </c>
      <c r="K940" s="168">
        <v>6.0</v>
      </c>
      <c r="L940" s="168">
        <v>3.0</v>
      </c>
      <c r="M940" s="184">
        <v>4625.51</v>
      </c>
      <c r="N940" s="184">
        <v>-89457.96</v>
      </c>
      <c r="O940" s="184">
        <v>13431.73</v>
      </c>
      <c r="P940" s="184">
        <v>-63861.18</v>
      </c>
    </row>
    <row r="941">
      <c r="A941" s="168">
        <v>47.0</v>
      </c>
      <c r="B941" s="168">
        <v>81.0</v>
      </c>
      <c r="C941" s="168">
        <v>76.0</v>
      </c>
      <c r="D941" s="168">
        <v>71.0</v>
      </c>
      <c r="E941" s="168">
        <v>3.0</v>
      </c>
      <c r="F941" s="168">
        <v>1.0</v>
      </c>
      <c r="G941" s="168">
        <v>1.0</v>
      </c>
      <c r="H941" s="183">
        <v>38417.42</v>
      </c>
      <c r="I941" s="184">
        <v>4679.59</v>
      </c>
      <c r="J941" s="168">
        <v>9.0</v>
      </c>
      <c r="K941" s="168">
        <v>2.0</v>
      </c>
      <c r="L941" s="168">
        <v>2.0</v>
      </c>
      <c r="M941" s="184">
        <v>92741.63</v>
      </c>
      <c r="N941" s="184">
        <v>28676.04</v>
      </c>
      <c r="O941" s="184">
        <v>49327.77</v>
      </c>
      <c r="P941" s="184">
        <v>8557.98</v>
      </c>
    </row>
    <row r="942">
      <c r="A942" s="168">
        <v>59.0</v>
      </c>
      <c r="B942" s="168">
        <v>50.0</v>
      </c>
      <c r="C942" s="168">
        <v>12.0</v>
      </c>
      <c r="D942" s="168">
        <v>54.0</v>
      </c>
      <c r="E942" s="168">
        <v>7.0</v>
      </c>
      <c r="F942" s="168">
        <v>9.0</v>
      </c>
      <c r="G942" s="168">
        <v>4.0</v>
      </c>
      <c r="H942" s="183">
        <v>78963.22</v>
      </c>
      <c r="I942" s="184">
        <v>55948.02</v>
      </c>
      <c r="J942" s="168">
        <v>3.0</v>
      </c>
      <c r="K942" s="168">
        <v>8.0</v>
      </c>
      <c r="L942" s="168">
        <v>8.0</v>
      </c>
      <c r="M942" s="184">
        <v>82448.76</v>
      </c>
      <c r="N942" s="184">
        <v>43713.27</v>
      </c>
      <c r="O942" s="184">
        <v>28816.11</v>
      </c>
      <c r="P942" s="184">
        <v>58693.24</v>
      </c>
    </row>
    <row r="943">
      <c r="A943" s="168">
        <v>22.0</v>
      </c>
      <c r="B943" s="168">
        <v>61.0</v>
      </c>
      <c r="C943" s="168">
        <v>99.0</v>
      </c>
      <c r="D943" s="168">
        <v>80.0</v>
      </c>
      <c r="E943" s="168">
        <v>5.0</v>
      </c>
      <c r="F943" s="168">
        <v>1.0</v>
      </c>
      <c r="G943" s="168">
        <v>3.0</v>
      </c>
      <c r="H943" s="183">
        <v>-55634.43</v>
      </c>
      <c r="I943" s="184">
        <v>47381.84</v>
      </c>
      <c r="J943" s="168">
        <v>2.0</v>
      </c>
      <c r="K943" s="168">
        <v>3.0</v>
      </c>
      <c r="L943" s="168">
        <v>3.0</v>
      </c>
      <c r="M943" s="184">
        <v>50973.96</v>
      </c>
      <c r="N943" s="184">
        <v>47088.11</v>
      </c>
      <c r="O943" s="184">
        <v>-19505.92</v>
      </c>
      <c r="P943" s="184">
        <v>-29087.4</v>
      </c>
    </row>
    <row r="944">
      <c r="A944" s="168">
        <v>70.0</v>
      </c>
      <c r="B944" s="168">
        <v>75.0</v>
      </c>
      <c r="C944" s="168">
        <v>24.0</v>
      </c>
      <c r="D944" s="168">
        <v>12.0</v>
      </c>
      <c r="E944" s="168">
        <v>4.0</v>
      </c>
      <c r="F944" s="168">
        <v>4.0</v>
      </c>
      <c r="G944" s="168">
        <v>6.0</v>
      </c>
      <c r="H944" s="183">
        <v>-30809.55</v>
      </c>
      <c r="I944" s="184">
        <v>-41660.76</v>
      </c>
      <c r="J944" s="168">
        <v>8.0</v>
      </c>
      <c r="K944" s="168">
        <v>7.0</v>
      </c>
      <c r="L944" s="168">
        <v>1.0</v>
      </c>
      <c r="M944" s="184">
        <v>90973.27</v>
      </c>
      <c r="N944" s="184">
        <v>66668.97</v>
      </c>
      <c r="O944" s="184">
        <v>-45276.55</v>
      </c>
      <c r="P944" s="184">
        <v>30406.51</v>
      </c>
    </row>
    <row r="945">
      <c r="A945" s="168">
        <v>32.0</v>
      </c>
      <c r="B945" s="168">
        <v>63.0</v>
      </c>
      <c r="C945" s="168">
        <v>61.0</v>
      </c>
      <c r="D945" s="168">
        <v>54.0</v>
      </c>
      <c r="E945" s="168">
        <v>1.0</v>
      </c>
      <c r="F945" s="168">
        <v>3.0</v>
      </c>
      <c r="G945" s="168">
        <v>2.0</v>
      </c>
      <c r="H945" s="183">
        <v>-68613.67</v>
      </c>
      <c r="I945" s="184">
        <v>-70768.23</v>
      </c>
      <c r="J945" s="168">
        <v>3.0</v>
      </c>
      <c r="K945" s="168">
        <v>2.0</v>
      </c>
      <c r="L945" s="168">
        <v>1.0</v>
      </c>
      <c r="M945" s="184">
        <v>90335.59</v>
      </c>
      <c r="N945" s="184">
        <v>24345.98</v>
      </c>
      <c r="O945" s="184">
        <v>-91608.65</v>
      </c>
      <c r="P945" s="184">
        <v>-40797.75</v>
      </c>
    </row>
    <row r="946">
      <c r="A946" s="168">
        <v>43.0</v>
      </c>
      <c r="B946" s="168">
        <v>12.0</v>
      </c>
      <c r="C946" s="168">
        <v>43.0</v>
      </c>
      <c r="D946" s="168">
        <v>11.0</v>
      </c>
      <c r="E946" s="168">
        <v>7.0</v>
      </c>
      <c r="F946" s="168">
        <v>6.0</v>
      </c>
      <c r="G946" s="168">
        <v>5.0</v>
      </c>
      <c r="H946" s="183">
        <v>-18957.17</v>
      </c>
      <c r="I946" s="184">
        <v>-84232.08</v>
      </c>
      <c r="J946" s="168">
        <v>1.0</v>
      </c>
      <c r="K946" s="168">
        <v>6.0</v>
      </c>
      <c r="L946" s="168">
        <v>2.0</v>
      </c>
      <c r="M946" s="184">
        <v>-67119.66</v>
      </c>
      <c r="N946" s="184">
        <v>82130.81</v>
      </c>
      <c r="O946" s="184">
        <v>-9841.42</v>
      </c>
      <c r="P946" s="184">
        <v>98115.46</v>
      </c>
    </row>
    <row r="947">
      <c r="A947" s="168">
        <v>54.0</v>
      </c>
      <c r="B947" s="168">
        <v>33.0</v>
      </c>
      <c r="C947" s="168">
        <v>14.0</v>
      </c>
      <c r="D947" s="168">
        <v>63.0</v>
      </c>
      <c r="E947" s="168">
        <v>5.0</v>
      </c>
      <c r="F947" s="168">
        <v>2.0</v>
      </c>
      <c r="G947" s="168">
        <v>9.0</v>
      </c>
      <c r="H947" s="183">
        <v>77988.17</v>
      </c>
      <c r="I947" s="184">
        <v>48042.85</v>
      </c>
      <c r="J947" s="168">
        <v>1.0</v>
      </c>
      <c r="K947" s="168">
        <v>2.0</v>
      </c>
      <c r="L947" s="168">
        <v>8.0</v>
      </c>
      <c r="M947" s="184">
        <v>20327.07</v>
      </c>
      <c r="N947" s="184">
        <v>28975.72</v>
      </c>
      <c r="O947" s="184">
        <v>-52612.61</v>
      </c>
      <c r="P947" s="184">
        <v>59037.66</v>
      </c>
    </row>
    <row r="948">
      <c r="A948" s="168">
        <v>64.0</v>
      </c>
      <c r="B948" s="168">
        <v>84.0</v>
      </c>
      <c r="C948" s="168">
        <v>57.0</v>
      </c>
      <c r="D948" s="168">
        <v>11.0</v>
      </c>
      <c r="E948" s="168">
        <v>8.0</v>
      </c>
      <c r="F948" s="168">
        <v>5.0</v>
      </c>
      <c r="G948" s="168">
        <v>8.0</v>
      </c>
      <c r="H948" s="183">
        <v>-2746.94</v>
      </c>
      <c r="I948" s="184">
        <v>75721.99</v>
      </c>
      <c r="J948" s="168">
        <v>2.0</v>
      </c>
      <c r="K948" s="168">
        <v>2.0</v>
      </c>
      <c r="L948" s="168">
        <v>2.0</v>
      </c>
      <c r="M948" s="184">
        <v>-90540.65</v>
      </c>
      <c r="N948" s="184">
        <v>91113.04</v>
      </c>
      <c r="O948" s="184">
        <v>-39263.35</v>
      </c>
      <c r="P948" s="184">
        <v>-21792.96</v>
      </c>
    </row>
    <row r="949">
      <c r="A949" s="168">
        <v>76.0</v>
      </c>
      <c r="B949" s="168">
        <v>18.0</v>
      </c>
      <c r="C949" s="168">
        <v>94.0</v>
      </c>
      <c r="D949" s="168">
        <v>42.0</v>
      </c>
      <c r="E949" s="168">
        <v>8.0</v>
      </c>
      <c r="F949" s="168">
        <v>9.0</v>
      </c>
      <c r="G949" s="168">
        <v>7.0</v>
      </c>
      <c r="H949" s="183">
        <v>12633.68</v>
      </c>
      <c r="I949" s="184">
        <v>16636.91</v>
      </c>
      <c r="J949" s="168">
        <v>8.0</v>
      </c>
      <c r="K949" s="168">
        <v>5.0</v>
      </c>
      <c r="L949" s="168">
        <v>6.0</v>
      </c>
      <c r="M949" s="184">
        <v>22806.99</v>
      </c>
      <c r="N949" s="184">
        <v>-96789.62</v>
      </c>
      <c r="O949" s="184">
        <v>-54937.96</v>
      </c>
      <c r="P949" s="184">
        <v>31680.23</v>
      </c>
    </row>
    <row r="950">
      <c r="A950" s="168">
        <v>92.0</v>
      </c>
      <c r="B950" s="168">
        <v>34.0</v>
      </c>
      <c r="C950" s="168">
        <v>18.0</v>
      </c>
      <c r="D950" s="168">
        <v>96.0</v>
      </c>
      <c r="E950" s="168">
        <v>2.0</v>
      </c>
      <c r="F950" s="168">
        <v>8.0</v>
      </c>
      <c r="G950" s="168">
        <v>5.0</v>
      </c>
      <c r="H950" s="183">
        <v>-43266.59</v>
      </c>
      <c r="I950" s="184">
        <v>35542.68</v>
      </c>
      <c r="J950" s="168">
        <v>2.0</v>
      </c>
      <c r="K950" s="168">
        <v>2.0</v>
      </c>
      <c r="L950" s="168">
        <v>8.0</v>
      </c>
      <c r="M950" s="184">
        <v>27857.21</v>
      </c>
      <c r="N950" s="184">
        <v>88608.07</v>
      </c>
      <c r="O950" s="184">
        <v>-70388.87</v>
      </c>
      <c r="P950" s="184">
        <v>1508.67</v>
      </c>
    </row>
    <row r="951">
      <c r="A951" s="168">
        <v>30.0</v>
      </c>
      <c r="B951" s="168">
        <v>28.0</v>
      </c>
      <c r="C951" s="168">
        <v>82.0</v>
      </c>
      <c r="D951" s="168">
        <v>15.0</v>
      </c>
      <c r="E951" s="168">
        <v>3.0</v>
      </c>
      <c r="F951" s="168">
        <v>7.0</v>
      </c>
      <c r="G951" s="168">
        <v>2.0</v>
      </c>
      <c r="H951" s="183">
        <v>98261.31</v>
      </c>
      <c r="I951" s="184">
        <v>33736.32</v>
      </c>
      <c r="J951" s="168">
        <v>6.0</v>
      </c>
      <c r="K951" s="168">
        <v>6.0</v>
      </c>
      <c r="L951" s="168">
        <v>3.0</v>
      </c>
      <c r="M951" s="184">
        <v>-61541.51</v>
      </c>
      <c r="N951" s="184">
        <v>-15593.54</v>
      </c>
      <c r="O951" s="184">
        <v>-83560.01</v>
      </c>
      <c r="P951" s="184">
        <v>50400.24</v>
      </c>
    </row>
    <row r="952">
      <c r="A952" s="168">
        <v>98.0</v>
      </c>
      <c r="B952" s="168">
        <v>66.0</v>
      </c>
      <c r="C952" s="168">
        <v>60.0</v>
      </c>
      <c r="D952" s="168">
        <v>93.0</v>
      </c>
      <c r="E952" s="168">
        <v>7.0</v>
      </c>
      <c r="F952" s="168">
        <v>5.0</v>
      </c>
      <c r="G952" s="168">
        <v>2.0</v>
      </c>
      <c r="H952" s="183">
        <v>22000.56</v>
      </c>
      <c r="I952" s="184">
        <v>19660.36</v>
      </c>
      <c r="J952" s="168">
        <v>8.0</v>
      </c>
      <c r="K952" s="168">
        <v>4.0</v>
      </c>
      <c r="L952" s="168">
        <v>6.0</v>
      </c>
      <c r="M952" s="184">
        <v>-70034.74</v>
      </c>
      <c r="N952" s="184">
        <v>-60972.95</v>
      </c>
      <c r="O952" s="184">
        <v>47817.97</v>
      </c>
      <c r="P952" s="184">
        <v>-58232.51</v>
      </c>
    </row>
    <row r="953">
      <c r="A953" s="168">
        <v>75.0</v>
      </c>
      <c r="B953" s="168">
        <v>47.0</v>
      </c>
      <c r="C953" s="168">
        <v>28.0</v>
      </c>
      <c r="D953" s="168">
        <v>39.0</v>
      </c>
      <c r="E953" s="168">
        <v>3.0</v>
      </c>
      <c r="F953" s="168">
        <v>2.0</v>
      </c>
      <c r="G953" s="168">
        <v>3.0</v>
      </c>
      <c r="H953" s="183">
        <v>79197.47</v>
      </c>
      <c r="I953" s="184">
        <v>-87130.68</v>
      </c>
      <c r="J953" s="168">
        <v>3.0</v>
      </c>
      <c r="K953" s="168">
        <v>7.0</v>
      </c>
      <c r="L953" s="168">
        <v>6.0</v>
      </c>
      <c r="M953" s="184">
        <v>-26037.85</v>
      </c>
      <c r="N953" s="184">
        <v>65642.15</v>
      </c>
      <c r="O953" s="184">
        <v>-2621.22</v>
      </c>
      <c r="P953" s="184">
        <v>-12001.77</v>
      </c>
    </row>
    <row r="954">
      <c r="A954" s="168">
        <v>30.0</v>
      </c>
      <c r="B954" s="168">
        <v>32.0</v>
      </c>
      <c r="C954" s="168">
        <v>31.0</v>
      </c>
      <c r="D954" s="168">
        <v>66.0</v>
      </c>
      <c r="E954" s="168">
        <v>6.0</v>
      </c>
      <c r="F954" s="168">
        <v>2.0</v>
      </c>
      <c r="G954" s="168">
        <v>3.0</v>
      </c>
      <c r="H954" s="183">
        <v>-95411.98</v>
      </c>
      <c r="I954" s="184">
        <v>91297.46</v>
      </c>
      <c r="J954" s="168">
        <v>6.0</v>
      </c>
      <c r="K954" s="168">
        <v>3.0</v>
      </c>
      <c r="L954" s="168">
        <v>6.0</v>
      </c>
      <c r="M954" s="184">
        <v>-68958.89</v>
      </c>
      <c r="N954" s="184">
        <v>75128.37</v>
      </c>
      <c r="O954" s="184">
        <v>-23836.38</v>
      </c>
      <c r="P954" s="184">
        <v>4540.35</v>
      </c>
    </row>
    <row r="955">
      <c r="A955" s="168">
        <v>14.0</v>
      </c>
      <c r="B955" s="168">
        <v>59.0</v>
      </c>
      <c r="C955" s="168">
        <v>32.0</v>
      </c>
      <c r="D955" s="168">
        <v>67.0</v>
      </c>
      <c r="E955" s="168">
        <v>9.0</v>
      </c>
      <c r="F955" s="168">
        <v>3.0</v>
      </c>
      <c r="G955" s="168">
        <v>8.0</v>
      </c>
      <c r="H955" s="183">
        <v>-27545.5</v>
      </c>
      <c r="I955" s="184">
        <v>-37747.05</v>
      </c>
      <c r="J955" s="168">
        <v>6.0</v>
      </c>
      <c r="K955" s="168">
        <v>2.0</v>
      </c>
      <c r="L955" s="168">
        <v>4.0</v>
      </c>
      <c r="M955" s="184">
        <v>74681.57</v>
      </c>
      <c r="N955" s="184">
        <v>88041.37</v>
      </c>
      <c r="O955" s="184">
        <v>65368.12</v>
      </c>
      <c r="P955" s="184">
        <v>-91731.2</v>
      </c>
    </row>
    <row r="956">
      <c r="A956" s="168">
        <v>59.0</v>
      </c>
      <c r="B956" s="168">
        <v>13.0</v>
      </c>
      <c r="C956" s="168">
        <v>68.0</v>
      </c>
      <c r="D956" s="168">
        <v>29.0</v>
      </c>
      <c r="E956" s="168">
        <v>2.0</v>
      </c>
      <c r="F956" s="168">
        <v>3.0</v>
      </c>
      <c r="G956" s="168">
        <v>2.0</v>
      </c>
      <c r="H956" s="183">
        <v>43580.26</v>
      </c>
      <c r="I956" s="184">
        <v>-40824.95</v>
      </c>
      <c r="J956" s="168">
        <v>6.0</v>
      </c>
      <c r="K956" s="168">
        <v>4.0</v>
      </c>
      <c r="L956" s="168">
        <v>4.0</v>
      </c>
      <c r="M956" s="184">
        <v>-81532.22</v>
      </c>
      <c r="N956" s="184">
        <v>-32860.65</v>
      </c>
      <c r="O956" s="184">
        <v>-57868.1</v>
      </c>
      <c r="P956" s="184">
        <v>-94589.47</v>
      </c>
    </row>
    <row r="957">
      <c r="A957" s="168">
        <v>66.0</v>
      </c>
      <c r="B957" s="168">
        <v>42.0</v>
      </c>
      <c r="C957" s="168">
        <v>25.0</v>
      </c>
      <c r="D957" s="168">
        <v>96.0</v>
      </c>
      <c r="E957" s="168">
        <v>7.0</v>
      </c>
      <c r="F957" s="168">
        <v>8.0</v>
      </c>
      <c r="G957" s="168">
        <v>3.0</v>
      </c>
      <c r="H957" s="183">
        <v>-89121.47</v>
      </c>
      <c r="I957" s="184">
        <v>67524.87</v>
      </c>
      <c r="J957" s="168">
        <v>4.0</v>
      </c>
      <c r="K957" s="168">
        <v>4.0</v>
      </c>
      <c r="L957" s="168">
        <v>7.0</v>
      </c>
      <c r="M957" s="184">
        <v>98236.98</v>
      </c>
      <c r="N957" s="184">
        <v>-59773.55</v>
      </c>
      <c r="O957" s="184">
        <v>-97380.03</v>
      </c>
      <c r="P957" s="184">
        <v>90552.89</v>
      </c>
    </row>
    <row r="958">
      <c r="A958" s="168">
        <v>34.0</v>
      </c>
      <c r="B958" s="168">
        <v>61.0</v>
      </c>
      <c r="C958" s="168">
        <v>72.0</v>
      </c>
      <c r="D958" s="168">
        <v>50.0</v>
      </c>
      <c r="E958" s="168">
        <v>8.0</v>
      </c>
      <c r="F958" s="168">
        <v>2.0</v>
      </c>
      <c r="G958" s="168">
        <v>6.0</v>
      </c>
      <c r="H958" s="183">
        <v>-57408.89</v>
      </c>
      <c r="I958" s="184">
        <v>28043.53</v>
      </c>
      <c r="J958" s="168">
        <v>4.0</v>
      </c>
      <c r="K958" s="168">
        <v>6.0</v>
      </c>
      <c r="L958" s="168">
        <v>7.0</v>
      </c>
      <c r="M958" s="184">
        <v>-29649.63</v>
      </c>
      <c r="N958" s="184">
        <v>22607.81</v>
      </c>
      <c r="O958" s="184">
        <v>-33349.97</v>
      </c>
      <c r="P958" s="184">
        <v>51629.81</v>
      </c>
    </row>
    <row r="959">
      <c r="A959" s="168">
        <v>60.0</v>
      </c>
      <c r="B959" s="168">
        <v>51.0</v>
      </c>
      <c r="C959" s="168">
        <v>13.0</v>
      </c>
      <c r="D959" s="168">
        <v>58.0</v>
      </c>
      <c r="E959" s="168">
        <v>3.0</v>
      </c>
      <c r="F959" s="168">
        <v>3.0</v>
      </c>
      <c r="G959" s="168">
        <v>5.0</v>
      </c>
      <c r="H959" s="183">
        <v>-82302.46</v>
      </c>
      <c r="I959" s="184">
        <v>72232.58</v>
      </c>
      <c r="J959" s="168">
        <v>7.0</v>
      </c>
      <c r="K959" s="168">
        <v>3.0</v>
      </c>
      <c r="L959" s="168">
        <v>4.0</v>
      </c>
      <c r="M959" s="184">
        <v>48105.25</v>
      </c>
      <c r="N959" s="184">
        <v>-72074.51</v>
      </c>
      <c r="O959" s="184">
        <v>-37585.13</v>
      </c>
      <c r="P959" s="184">
        <v>76067.49</v>
      </c>
    </row>
    <row r="960">
      <c r="A960" s="168">
        <v>34.0</v>
      </c>
      <c r="B960" s="168">
        <v>42.0</v>
      </c>
      <c r="C960" s="168">
        <v>68.0</v>
      </c>
      <c r="D960" s="168">
        <v>75.0</v>
      </c>
      <c r="E960" s="168">
        <v>8.0</v>
      </c>
      <c r="F960" s="168">
        <v>6.0</v>
      </c>
      <c r="G960" s="168">
        <v>3.0</v>
      </c>
      <c r="H960" s="183">
        <v>-59043.11</v>
      </c>
      <c r="I960" s="184">
        <v>-28876.3</v>
      </c>
      <c r="J960" s="168">
        <v>7.0</v>
      </c>
      <c r="K960" s="168">
        <v>2.0</v>
      </c>
      <c r="L960" s="168">
        <v>6.0</v>
      </c>
      <c r="M960" s="184">
        <v>98310.52</v>
      </c>
      <c r="N960" s="184">
        <v>75835.49</v>
      </c>
      <c r="O960" s="184">
        <v>27481.39</v>
      </c>
      <c r="P960" s="184">
        <v>47591.44</v>
      </c>
    </row>
    <row r="961">
      <c r="A961" s="168">
        <v>85.0</v>
      </c>
      <c r="B961" s="168">
        <v>50.0</v>
      </c>
      <c r="C961" s="168">
        <v>50.0</v>
      </c>
      <c r="D961" s="168">
        <v>77.0</v>
      </c>
      <c r="E961" s="168">
        <v>8.0</v>
      </c>
      <c r="F961" s="168">
        <v>5.0</v>
      </c>
      <c r="G961" s="168">
        <v>7.0</v>
      </c>
      <c r="H961" s="183">
        <v>24491.58</v>
      </c>
      <c r="I961" s="184">
        <v>-13575.87</v>
      </c>
      <c r="J961" s="168">
        <v>4.0</v>
      </c>
      <c r="K961" s="168">
        <v>3.0</v>
      </c>
      <c r="L961" s="168">
        <v>4.0</v>
      </c>
      <c r="M961" s="184">
        <v>23657.82</v>
      </c>
      <c r="N961" s="184">
        <v>18204.73</v>
      </c>
      <c r="O961" s="184">
        <v>-53322.08</v>
      </c>
      <c r="P961" s="184">
        <v>-70676.58</v>
      </c>
    </row>
    <row r="962">
      <c r="A962" s="168">
        <v>20.0</v>
      </c>
      <c r="B962" s="168">
        <v>24.0</v>
      </c>
      <c r="C962" s="168">
        <v>75.0</v>
      </c>
      <c r="D962" s="168">
        <v>58.0</v>
      </c>
      <c r="E962" s="168">
        <v>7.0</v>
      </c>
      <c r="F962" s="168">
        <v>3.0</v>
      </c>
      <c r="G962" s="168">
        <v>5.0</v>
      </c>
      <c r="H962" s="183">
        <v>94051.46</v>
      </c>
      <c r="I962" s="184">
        <v>-44863.82</v>
      </c>
      <c r="J962" s="168">
        <v>6.0</v>
      </c>
      <c r="K962" s="168">
        <v>6.0</v>
      </c>
      <c r="L962" s="168">
        <v>8.0</v>
      </c>
      <c r="M962" s="184">
        <v>-18679.88</v>
      </c>
      <c r="N962" s="184">
        <v>17635.54</v>
      </c>
      <c r="O962" s="184">
        <v>-90532.44</v>
      </c>
      <c r="P962" s="184">
        <v>33747.12</v>
      </c>
    </row>
    <row r="963">
      <c r="A963" s="168">
        <v>18.0</v>
      </c>
      <c r="B963" s="168">
        <v>32.0</v>
      </c>
      <c r="C963" s="168">
        <v>73.0</v>
      </c>
      <c r="D963" s="168">
        <v>43.0</v>
      </c>
      <c r="E963" s="168">
        <v>6.0</v>
      </c>
      <c r="F963" s="168">
        <v>7.0</v>
      </c>
      <c r="G963" s="168">
        <v>8.0</v>
      </c>
      <c r="H963" s="183">
        <v>-77843.21</v>
      </c>
      <c r="I963" s="184">
        <v>-92865.95</v>
      </c>
      <c r="J963" s="168">
        <v>4.0</v>
      </c>
      <c r="K963" s="168">
        <v>9.0</v>
      </c>
      <c r="L963" s="168">
        <v>8.0</v>
      </c>
      <c r="M963" s="184">
        <v>-52506.79</v>
      </c>
      <c r="N963" s="184">
        <v>16467.24</v>
      </c>
      <c r="O963" s="184">
        <v>-33144.41</v>
      </c>
      <c r="P963" s="184">
        <v>1220.35</v>
      </c>
    </row>
    <row r="964">
      <c r="A964" s="168">
        <v>26.0</v>
      </c>
      <c r="B964" s="168">
        <v>44.0</v>
      </c>
      <c r="C964" s="168">
        <v>67.0</v>
      </c>
      <c r="D964" s="168">
        <v>60.0</v>
      </c>
      <c r="E964" s="168">
        <v>1.0</v>
      </c>
      <c r="F964" s="168">
        <v>5.0</v>
      </c>
      <c r="G964" s="168">
        <v>4.0</v>
      </c>
      <c r="H964" s="183">
        <v>21066.68</v>
      </c>
      <c r="I964" s="184">
        <v>40545.03</v>
      </c>
      <c r="J964" s="168">
        <v>8.0</v>
      </c>
      <c r="K964" s="168">
        <v>6.0</v>
      </c>
      <c r="L964" s="168">
        <v>6.0</v>
      </c>
      <c r="M964" s="184">
        <v>15151.52</v>
      </c>
      <c r="N964" s="184">
        <v>67751.6</v>
      </c>
      <c r="O964" s="184">
        <v>-38351.96</v>
      </c>
      <c r="P964" s="184">
        <v>53794.74</v>
      </c>
    </row>
    <row r="965">
      <c r="A965" s="168">
        <v>59.0</v>
      </c>
      <c r="B965" s="168">
        <v>61.0</v>
      </c>
      <c r="C965" s="168">
        <v>28.0</v>
      </c>
      <c r="D965" s="168">
        <v>66.0</v>
      </c>
      <c r="E965" s="168">
        <v>5.0</v>
      </c>
      <c r="F965" s="168">
        <v>8.0</v>
      </c>
      <c r="G965" s="168">
        <v>7.0</v>
      </c>
      <c r="H965" s="183">
        <v>-14616.7</v>
      </c>
      <c r="I965" s="184">
        <v>-64284.83</v>
      </c>
      <c r="J965" s="168">
        <v>8.0</v>
      </c>
      <c r="K965" s="168">
        <v>6.0</v>
      </c>
      <c r="L965" s="168">
        <v>3.0</v>
      </c>
      <c r="M965" s="184">
        <v>51846.17</v>
      </c>
      <c r="N965" s="184">
        <v>-6824.2</v>
      </c>
      <c r="O965" s="184">
        <v>-53055.92</v>
      </c>
      <c r="P965" s="184">
        <v>-61152.56</v>
      </c>
    </row>
    <row r="966">
      <c r="A966" s="168">
        <v>37.0</v>
      </c>
      <c r="B966" s="168">
        <v>80.0</v>
      </c>
      <c r="C966" s="168">
        <v>38.0</v>
      </c>
      <c r="D966" s="168">
        <v>73.0</v>
      </c>
      <c r="E966" s="168">
        <v>9.0</v>
      </c>
      <c r="F966" s="168">
        <v>4.0</v>
      </c>
      <c r="G966" s="168">
        <v>4.0</v>
      </c>
      <c r="H966" s="183">
        <v>26428.49</v>
      </c>
      <c r="I966" s="184">
        <v>89238.04</v>
      </c>
      <c r="J966" s="168">
        <v>6.0</v>
      </c>
      <c r="K966" s="168">
        <v>8.0</v>
      </c>
      <c r="L966" s="168">
        <v>8.0</v>
      </c>
      <c r="M966" s="184">
        <v>95726.51</v>
      </c>
      <c r="N966" s="184">
        <v>80965.65</v>
      </c>
      <c r="O966" s="184">
        <v>34910.72</v>
      </c>
      <c r="P966" s="184">
        <v>-17926.36</v>
      </c>
    </row>
    <row r="967">
      <c r="A967" s="168">
        <v>18.0</v>
      </c>
      <c r="B967" s="168">
        <v>30.0</v>
      </c>
      <c r="C967" s="168">
        <v>52.0</v>
      </c>
      <c r="D967" s="168">
        <v>37.0</v>
      </c>
      <c r="E967" s="168">
        <v>3.0</v>
      </c>
      <c r="F967" s="168">
        <v>7.0</v>
      </c>
      <c r="G967" s="168">
        <v>2.0</v>
      </c>
      <c r="H967" s="183">
        <v>-32791.76</v>
      </c>
      <c r="I967" s="184">
        <v>50615.52</v>
      </c>
      <c r="J967" s="168">
        <v>3.0</v>
      </c>
      <c r="K967" s="168">
        <v>1.0</v>
      </c>
      <c r="L967" s="168">
        <v>7.0</v>
      </c>
      <c r="M967" s="184">
        <v>38726.01</v>
      </c>
      <c r="N967" s="184">
        <v>92107.74</v>
      </c>
      <c r="O967" s="184">
        <v>-99642.86</v>
      </c>
      <c r="P967" s="184">
        <v>11022.01</v>
      </c>
    </row>
    <row r="968">
      <c r="A968" s="168">
        <v>86.0</v>
      </c>
      <c r="B968" s="168">
        <v>31.0</v>
      </c>
      <c r="C968" s="168">
        <v>16.0</v>
      </c>
      <c r="D968" s="168">
        <v>36.0</v>
      </c>
      <c r="E968" s="168">
        <v>4.0</v>
      </c>
      <c r="F968" s="168">
        <v>4.0</v>
      </c>
      <c r="G968" s="168">
        <v>4.0</v>
      </c>
      <c r="H968" s="183">
        <v>-95024.05</v>
      </c>
      <c r="I968" s="184">
        <v>-9869.77</v>
      </c>
      <c r="J968" s="168">
        <v>8.0</v>
      </c>
      <c r="K968" s="168">
        <v>6.0</v>
      </c>
      <c r="L968" s="168">
        <v>9.0</v>
      </c>
      <c r="M968" s="184">
        <v>-70321.9</v>
      </c>
      <c r="N968" s="184">
        <v>61754.03</v>
      </c>
      <c r="O968" s="184">
        <v>-12399.87</v>
      </c>
      <c r="P968" s="184">
        <v>-63541.0</v>
      </c>
    </row>
    <row r="969">
      <c r="A969" s="168">
        <v>98.0</v>
      </c>
      <c r="B969" s="168">
        <v>45.0</v>
      </c>
      <c r="C969" s="168">
        <v>34.0</v>
      </c>
      <c r="D969" s="168">
        <v>99.0</v>
      </c>
      <c r="E969" s="168">
        <v>9.0</v>
      </c>
      <c r="F969" s="168">
        <v>2.0</v>
      </c>
      <c r="G969" s="168">
        <v>1.0</v>
      </c>
      <c r="H969" s="183">
        <v>-93606.31</v>
      </c>
      <c r="I969" s="184">
        <v>27615.81</v>
      </c>
      <c r="J969" s="168">
        <v>7.0</v>
      </c>
      <c r="K969" s="168">
        <v>5.0</v>
      </c>
      <c r="L969" s="168">
        <v>8.0</v>
      </c>
      <c r="M969" s="184">
        <v>10764.65</v>
      </c>
      <c r="N969" s="184">
        <v>-56818.46</v>
      </c>
      <c r="O969" s="184">
        <v>-46188.47</v>
      </c>
      <c r="P969" s="184">
        <v>-96143.34</v>
      </c>
    </row>
    <row r="970">
      <c r="A970" s="168">
        <v>80.0</v>
      </c>
      <c r="B970" s="168">
        <v>45.0</v>
      </c>
      <c r="C970" s="168">
        <v>16.0</v>
      </c>
      <c r="D970" s="168">
        <v>64.0</v>
      </c>
      <c r="E970" s="168">
        <v>9.0</v>
      </c>
      <c r="F970" s="168">
        <v>4.0</v>
      </c>
      <c r="G970" s="168">
        <v>1.0</v>
      </c>
      <c r="H970" s="183">
        <v>-69109.12</v>
      </c>
      <c r="I970" s="184">
        <v>14454.7</v>
      </c>
      <c r="J970" s="168">
        <v>9.0</v>
      </c>
      <c r="K970" s="168">
        <v>9.0</v>
      </c>
      <c r="L970" s="168">
        <v>6.0</v>
      </c>
      <c r="M970" s="184">
        <v>-85049.54</v>
      </c>
      <c r="N970" s="184">
        <v>94830.7</v>
      </c>
      <c r="O970" s="184">
        <v>1767.26</v>
      </c>
      <c r="P970" s="184">
        <v>-25136.08</v>
      </c>
    </row>
    <row r="971">
      <c r="A971" s="168">
        <v>88.0</v>
      </c>
      <c r="B971" s="168">
        <v>23.0</v>
      </c>
      <c r="C971" s="168">
        <v>40.0</v>
      </c>
      <c r="D971" s="168">
        <v>64.0</v>
      </c>
      <c r="E971" s="168">
        <v>2.0</v>
      </c>
      <c r="F971" s="168">
        <v>1.0</v>
      </c>
      <c r="G971" s="168">
        <v>2.0</v>
      </c>
      <c r="H971" s="183">
        <v>41961.95</v>
      </c>
      <c r="I971" s="184">
        <v>80551.56</v>
      </c>
      <c r="J971" s="168">
        <v>8.0</v>
      </c>
      <c r="K971" s="168">
        <v>3.0</v>
      </c>
      <c r="L971" s="168">
        <v>2.0</v>
      </c>
      <c r="M971" s="184">
        <v>-24014.75</v>
      </c>
      <c r="N971" s="184">
        <v>71710.81</v>
      </c>
      <c r="O971" s="184">
        <v>-43499.64</v>
      </c>
      <c r="P971" s="184">
        <v>-70938.47</v>
      </c>
    </row>
    <row r="972">
      <c r="A972" s="168">
        <v>44.0</v>
      </c>
      <c r="B972" s="168">
        <v>22.0</v>
      </c>
      <c r="C972" s="168">
        <v>94.0</v>
      </c>
      <c r="D972" s="168">
        <v>39.0</v>
      </c>
      <c r="E972" s="168">
        <v>3.0</v>
      </c>
      <c r="F972" s="168">
        <v>1.0</v>
      </c>
      <c r="G972" s="168">
        <v>7.0</v>
      </c>
      <c r="H972" s="183">
        <v>11499.73</v>
      </c>
      <c r="I972" s="184">
        <v>86271.51</v>
      </c>
      <c r="J972" s="168">
        <v>6.0</v>
      </c>
      <c r="K972" s="168">
        <v>4.0</v>
      </c>
      <c r="L972" s="168">
        <v>2.0</v>
      </c>
      <c r="M972" s="184">
        <v>68701.57</v>
      </c>
      <c r="N972" s="184">
        <v>-28638.29</v>
      </c>
      <c r="O972" s="184">
        <v>2695.15</v>
      </c>
      <c r="P972" s="184">
        <v>-4412.91</v>
      </c>
    </row>
    <row r="973">
      <c r="A973" s="168">
        <v>69.0</v>
      </c>
      <c r="B973" s="168">
        <v>55.0</v>
      </c>
      <c r="C973" s="168">
        <v>54.0</v>
      </c>
      <c r="D973" s="168">
        <v>61.0</v>
      </c>
      <c r="E973" s="168">
        <v>6.0</v>
      </c>
      <c r="F973" s="168">
        <v>2.0</v>
      </c>
      <c r="G973" s="168">
        <v>1.0</v>
      </c>
      <c r="H973" s="183">
        <v>62965.27</v>
      </c>
      <c r="I973" s="184">
        <v>91550.33</v>
      </c>
      <c r="J973" s="168">
        <v>2.0</v>
      </c>
      <c r="K973" s="168">
        <v>3.0</v>
      </c>
      <c r="L973" s="168">
        <v>6.0</v>
      </c>
      <c r="M973" s="184">
        <v>-2472.82</v>
      </c>
      <c r="N973" s="184">
        <v>42769.99</v>
      </c>
      <c r="O973" s="184">
        <v>-23967.29</v>
      </c>
      <c r="P973" s="184">
        <v>75637.87</v>
      </c>
    </row>
    <row r="974">
      <c r="A974" s="168">
        <v>72.0</v>
      </c>
      <c r="B974" s="168">
        <v>48.0</v>
      </c>
      <c r="C974" s="168">
        <v>54.0</v>
      </c>
      <c r="D974" s="168">
        <v>89.0</v>
      </c>
      <c r="E974" s="168">
        <v>4.0</v>
      </c>
      <c r="F974" s="168">
        <v>7.0</v>
      </c>
      <c r="G974" s="168">
        <v>8.0</v>
      </c>
      <c r="H974" s="183">
        <v>-98609.93</v>
      </c>
      <c r="I974" s="184">
        <v>14845.67</v>
      </c>
      <c r="J974" s="168">
        <v>2.0</v>
      </c>
      <c r="K974" s="168">
        <v>8.0</v>
      </c>
      <c r="L974" s="168">
        <v>6.0</v>
      </c>
      <c r="M974" s="184">
        <v>-48752.78</v>
      </c>
      <c r="N974" s="184">
        <v>94569.12</v>
      </c>
      <c r="O974" s="184">
        <v>91156.74</v>
      </c>
      <c r="P974" s="184">
        <v>-32430.8</v>
      </c>
    </row>
    <row r="975">
      <c r="A975" s="168">
        <v>84.0</v>
      </c>
      <c r="B975" s="168">
        <v>42.0</v>
      </c>
      <c r="C975" s="168">
        <v>84.0</v>
      </c>
      <c r="D975" s="168">
        <v>18.0</v>
      </c>
      <c r="E975" s="168">
        <v>3.0</v>
      </c>
      <c r="F975" s="168">
        <v>1.0</v>
      </c>
      <c r="G975" s="168">
        <v>9.0</v>
      </c>
      <c r="H975" s="183">
        <v>32736.03</v>
      </c>
      <c r="I975" s="184">
        <v>-16019.72</v>
      </c>
      <c r="J975" s="168">
        <v>6.0</v>
      </c>
      <c r="K975" s="168">
        <v>4.0</v>
      </c>
      <c r="L975" s="168">
        <v>2.0</v>
      </c>
      <c r="M975" s="184">
        <v>-98590.32</v>
      </c>
      <c r="N975" s="184">
        <v>-94364.23</v>
      </c>
      <c r="O975" s="184">
        <v>-42389.09</v>
      </c>
      <c r="P975" s="184">
        <v>-26619.57</v>
      </c>
    </row>
    <row r="976">
      <c r="A976" s="168">
        <v>73.0</v>
      </c>
      <c r="B976" s="168">
        <v>18.0</v>
      </c>
      <c r="C976" s="168">
        <v>68.0</v>
      </c>
      <c r="D976" s="168">
        <v>49.0</v>
      </c>
      <c r="E976" s="168">
        <v>9.0</v>
      </c>
      <c r="F976" s="168">
        <v>8.0</v>
      </c>
      <c r="G976" s="168">
        <v>3.0</v>
      </c>
      <c r="H976" s="183">
        <v>-67653.7</v>
      </c>
      <c r="I976" s="184">
        <v>18500.94</v>
      </c>
      <c r="J976" s="168">
        <v>6.0</v>
      </c>
      <c r="K976" s="168">
        <v>7.0</v>
      </c>
      <c r="L976" s="168">
        <v>4.0</v>
      </c>
      <c r="M976" s="184">
        <v>-94806.33</v>
      </c>
      <c r="N976" s="184">
        <v>15163.58</v>
      </c>
      <c r="O976" s="184">
        <v>21045.37</v>
      </c>
      <c r="P976" s="184">
        <v>65537.85</v>
      </c>
    </row>
    <row r="977">
      <c r="A977" s="168">
        <v>86.0</v>
      </c>
      <c r="B977" s="168">
        <v>78.0</v>
      </c>
      <c r="C977" s="168">
        <v>24.0</v>
      </c>
      <c r="D977" s="168">
        <v>69.0</v>
      </c>
      <c r="E977" s="168">
        <v>2.0</v>
      </c>
      <c r="F977" s="168">
        <v>9.0</v>
      </c>
      <c r="G977" s="168">
        <v>5.0</v>
      </c>
      <c r="H977" s="183">
        <v>31854.42</v>
      </c>
      <c r="I977" s="184">
        <v>-99357.51</v>
      </c>
      <c r="J977" s="168">
        <v>2.0</v>
      </c>
      <c r="K977" s="168">
        <v>2.0</v>
      </c>
      <c r="L977" s="168">
        <v>9.0</v>
      </c>
      <c r="M977" s="184">
        <v>31876.1</v>
      </c>
      <c r="N977" s="184">
        <v>76653.06</v>
      </c>
      <c r="O977" s="184">
        <v>-62238.73</v>
      </c>
      <c r="P977" s="184">
        <v>-86523.53</v>
      </c>
    </row>
    <row r="978">
      <c r="A978" s="168">
        <v>33.0</v>
      </c>
      <c r="B978" s="168">
        <v>65.0</v>
      </c>
      <c r="C978" s="168">
        <v>34.0</v>
      </c>
      <c r="D978" s="168">
        <v>81.0</v>
      </c>
      <c r="E978" s="168">
        <v>3.0</v>
      </c>
      <c r="F978" s="168">
        <v>3.0</v>
      </c>
      <c r="G978" s="168">
        <v>1.0</v>
      </c>
      <c r="H978" s="183">
        <v>-3212.17</v>
      </c>
      <c r="I978" s="184">
        <v>-94172.85</v>
      </c>
      <c r="J978" s="168">
        <v>4.0</v>
      </c>
      <c r="K978" s="168">
        <v>4.0</v>
      </c>
      <c r="L978" s="168">
        <v>1.0</v>
      </c>
      <c r="M978" s="184">
        <v>39230.47</v>
      </c>
      <c r="N978" s="184">
        <v>-52703.99</v>
      </c>
      <c r="O978" s="184">
        <v>71351.72</v>
      </c>
      <c r="P978" s="184">
        <v>-75157.83</v>
      </c>
    </row>
    <row r="979">
      <c r="A979" s="168">
        <v>15.0</v>
      </c>
      <c r="B979" s="168">
        <v>41.0</v>
      </c>
      <c r="C979" s="168">
        <v>65.0</v>
      </c>
      <c r="D979" s="168">
        <v>46.0</v>
      </c>
      <c r="E979" s="168">
        <v>7.0</v>
      </c>
      <c r="F979" s="168">
        <v>5.0</v>
      </c>
      <c r="G979" s="168">
        <v>3.0</v>
      </c>
      <c r="H979" s="183">
        <v>48876.08</v>
      </c>
      <c r="I979" s="184">
        <v>6212.71</v>
      </c>
      <c r="J979" s="168">
        <v>9.0</v>
      </c>
      <c r="K979" s="168">
        <v>4.0</v>
      </c>
      <c r="L979" s="168">
        <v>5.0</v>
      </c>
      <c r="M979" s="184">
        <v>-88692.68</v>
      </c>
      <c r="N979" s="184">
        <v>62349.2</v>
      </c>
      <c r="O979" s="184">
        <v>-34643.51</v>
      </c>
      <c r="P979" s="184">
        <v>91532.87</v>
      </c>
    </row>
    <row r="980">
      <c r="A980" s="168">
        <v>87.0</v>
      </c>
      <c r="B980" s="168">
        <v>94.0</v>
      </c>
      <c r="C980" s="168">
        <v>64.0</v>
      </c>
      <c r="D980" s="168">
        <v>42.0</v>
      </c>
      <c r="E980" s="168">
        <v>9.0</v>
      </c>
      <c r="F980" s="168">
        <v>1.0</v>
      </c>
      <c r="G980" s="168">
        <v>7.0</v>
      </c>
      <c r="H980" s="183">
        <v>87196.41</v>
      </c>
      <c r="I980" s="184">
        <v>2034.23</v>
      </c>
      <c r="J980" s="168">
        <v>1.0</v>
      </c>
      <c r="K980" s="168">
        <v>8.0</v>
      </c>
      <c r="L980" s="168">
        <v>8.0</v>
      </c>
      <c r="M980" s="184">
        <v>73908.02</v>
      </c>
      <c r="N980" s="184">
        <v>-37760.73</v>
      </c>
      <c r="O980" s="184">
        <v>2218.17</v>
      </c>
      <c r="P980" s="184">
        <v>-77767.14</v>
      </c>
    </row>
    <row r="981">
      <c r="A981" s="168">
        <v>65.0</v>
      </c>
      <c r="B981" s="168">
        <v>54.0</v>
      </c>
      <c r="C981" s="168">
        <v>26.0</v>
      </c>
      <c r="D981" s="168">
        <v>67.0</v>
      </c>
      <c r="E981" s="168">
        <v>4.0</v>
      </c>
      <c r="F981" s="168">
        <v>3.0</v>
      </c>
      <c r="G981" s="168">
        <v>9.0</v>
      </c>
      <c r="H981" s="183">
        <v>17850.19</v>
      </c>
      <c r="I981" s="184">
        <v>-97421.77</v>
      </c>
      <c r="J981" s="168">
        <v>5.0</v>
      </c>
      <c r="K981" s="168">
        <v>9.0</v>
      </c>
      <c r="L981" s="168">
        <v>3.0</v>
      </c>
      <c r="M981" s="184">
        <v>65358.07</v>
      </c>
      <c r="N981" s="184">
        <v>24799.95</v>
      </c>
      <c r="O981" s="184">
        <v>-72008.33</v>
      </c>
      <c r="P981" s="184">
        <v>96032.3</v>
      </c>
    </row>
    <row r="982">
      <c r="A982" s="168">
        <v>37.0</v>
      </c>
      <c r="B982" s="168">
        <v>29.0</v>
      </c>
      <c r="C982" s="168">
        <v>59.0</v>
      </c>
      <c r="D982" s="168">
        <v>48.0</v>
      </c>
      <c r="E982" s="168">
        <v>5.0</v>
      </c>
      <c r="F982" s="168">
        <v>7.0</v>
      </c>
      <c r="G982" s="168">
        <v>7.0</v>
      </c>
      <c r="H982" s="183">
        <v>-60460.17</v>
      </c>
      <c r="I982" s="184">
        <v>58267.27</v>
      </c>
      <c r="J982" s="168">
        <v>8.0</v>
      </c>
      <c r="K982" s="168">
        <v>4.0</v>
      </c>
      <c r="L982" s="168">
        <v>2.0</v>
      </c>
      <c r="M982" s="184">
        <v>-22315.01</v>
      </c>
      <c r="N982" s="184">
        <v>12018.48</v>
      </c>
      <c r="O982" s="184">
        <v>-56697.3</v>
      </c>
      <c r="P982" s="184">
        <v>-31099.82</v>
      </c>
    </row>
    <row r="983">
      <c r="A983" s="168">
        <v>53.0</v>
      </c>
      <c r="B983" s="168">
        <v>62.0</v>
      </c>
      <c r="C983" s="168">
        <v>41.0</v>
      </c>
      <c r="D983" s="168">
        <v>85.0</v>
      </c>
      <c r="E983" s="168">
        <v>9.0</v>
      </c>
      <c r="F983" s="168">
        <v>9.0</v>
      </c>
      <c r="G983" s="168">
        <v>1.0</v>
      </c>
      <c r="H983" s="183">
        <v>758.86</v>
      </c>
      <c r="I983" s="184">
        <v>72633.12</v>
      </c>
      <c r="J983" s="168">
        <v>3.0</v>
      </c>
      <c r="K983" s="168">
        <v>3.0</v>
      </c>
      <c r="L983" s="168">
        <v>1.0</v>
      </c>
      <c r="M983" s="184">
        <v>-53799.85</v>
      </c>
      <c r="N983" s="184">
        <v>90279.26</v>
      </c>
      <c r="O983" s="184">
        <v>85719.01</v>
      </c>
      <c r="P983" s="184">
        <v>18468.01</v>
      </c>
    </row>
    <row r="984">
      <c r="A984" s="168">
        <v>17.0</v>
      </c>
      <c r="B984" s="168">
        <v>89.0</v>
      </c>
      <c r="C984" s="168">
        <v>17.0</v>
      </c>
      <c r="D984" s="168">
        <v>84.0</v>
      </c>
      <c r="E984" s="168">
        <v>7.0</v>
      </c>
      <c r="F984" s="168">
        <v>7.0</v>
      </c>
      <c r="G984" s="168">
        <v>2.0</v>
      </c>
      <c r="H984" s="183">
        <v>91663.61</v>
      </c>
      <c r="I984" s="184">
        <v>79339.13</v>
      </c>
      <c r="J984" s="168">
        <v>2.0</v>
      </c>
      <c r="K984" s="168">
        <v>6.0</v>
      </c>
      <c r="L984" s="168">
        <v>7.0</v>
      </c>
      <c r="M984" s="184">
        <v>-27191.67</v>
      </c>
      <c r="N984" s="184">
        <v>-66756.92</v>
      </c>
      <c r="O984" s="184">
        <v>48997.39</v>
      </c>
      <c r="P984" s="184">
        <v>-94244.91</v>
      </c>
    </row>
    <row r="985">
      <c r="A985" s="168">
        <v>94.0</v>
      </c>
      <c r="B985" s="168">
        <v>13.0</v>
      </c>
      <c r="C985" s="168">
        <v>72.0</v>
      </c>
      <c r="D985" s="168">
        <v>29.0</v>
      </c>
      <c r="E985" s="168">
        <v>8.0</v>
      </c>
      <c r="F985" s="168">
        <v>1.0</v>
      </c>
      <c r="G985" s="168">
        <v>7.0</v>
      </c>
      <c r="H985" s="183">
        <v>61463.2</v>
      </c>
      <c r="I985" s="184">
        <v>43332.43</v>
      </c>
      <c r="J985" s="168">
        <v>1.0</v>
      </c>
      <c r="K985" s="168">
        <v>8.0</v>
      </c>
      <c r="L985" s="168">
        <v>3.0</v>
      </c>
      <c r="M985" s="184">
        <v>17424.56</v>
      </c>
      <c r="N985" s="184">
        <v>13862.91</v>
      </c>
      <c r="O985" s="184">
        <v>-19051.85</v>
      </c>
      <c r="P985" s="184">
        <v>-67846.05</v>
      </c>
    </row>
    <row r="986">
      <c r="A986" s="168">
        <v>91.0</v>
      </c>
      <c r="B986" s="168">
        <v>11.0</v>
      </c>
      <c r="C986" s="168">
        <v>12.0</v>
      </c>
      <c r="D986" s="168">
        <v>46.0</v>
      </c>
      <c r="E986" s="168">
        <v>1.0</v>
      </c>
      <c r="F986" s="168">
        <v>2.0</v>
      </c>
      <c r="G986" s="168">
        <v>4.0</v>
      </c>
      <c r="H986" s="183">
        <v>-67425.4</v>
      </c>
      <c r="I986" s="184">
        <v>-762.5</v>
      </c>
      <c r="J986" s="168">
        <v>7.0</v>
      </c>
      <c r="K986" s="168">
        <v>7.0</v>
      </c>
      <c r="L986" s="168">
        <v>7.0</v>
      </c>
      <c r="M986" s="184">
        <v>-46333.38</v>
      </c>
      <c r="N986" s="184">
        <v>48506.31</v>
      </c>
      <c r="O986" s="184">
        <v>-27022.34</v>
      </c>
      <c r="P986" s="184">
        <v>-20015.44</v>
      </c>
    </row>
    <row r="987">
      <c r="A987" s="168">
        <v>22.0</v>
      </c>
      <c r="B987" s="168">
        <v>84.0</v>
      </c>
      <c r="C987" s="168">
        <v>20.0</v>
      </c>
      <c r="D987" s="168">
        <v>48.0</v>
      </c>
      <c r="E987" s="168">
        <v>5.0</v>
      </c>
      <c r="F987" s="168">
        <v>7.0</v>
      </c>
      <c r="G987" s="168">
        <v>7.0</v>
      </c>
      <c r="H987" s="183">
        <v>-9219.48</v>
      </c>
      <c r="I987" s="184">
        <v>77199.02</v>
      </c>
      <c r="J987" s="168">
        <v>3.0</v>
      </c>
      <c r="K987" s="168">
        <v>4.0</v>
      </c>
      <c r="L987" s="168">
        <v>2.0</v>
      </c>
      <c r="M987" s="184">
        <v>19825.36</v>
      </c>
      <c r="N987" s="184">
        <v>61734.13</v>
      </c>
      <c r="O987" s="184">
        <v>-69975.35</v>
      </c>
      <c r="P987" s="184">
        <v>51653.8</v>
      </c>
    </row>
    <row r="988">
      <c r="A988" s="168">
        <v>33.0</v>
      </c>
      <c r="B988" s="168">
        <v>92.0</v>
      </c>
      <c r="C988" s="168">
        <v>29.0</v>
      </c>
      <c r="D988" s="168">
        <v>59.0</v>
      </c>
      <c r="E988" s="168">
        <v>4.0</v>
      </c>
      <c r="F988" s="168">
        <v>4.0</v>
      </c>
      <c r="G988" s="168">
        <v>6.0</v>
      </c>
      <c r="H988" s="183">
        <v>-17723.09</v>
      </c>
      <c r="I988" s="184">
        <v>95468.71</v>
      </c>
      <c r="J988" s="168">
        <v>7.0</v>
      </c>
      <c r="K988" s="168">
        <v>7.0</v>
      </c>
      <c r="L988" s="168">
        <v>8.0</v>
      </c>
      <c r="M988" s="184">
        <v>46219.89</v>
      </c>
      <c r="N988" s="184">
        <v>-59261.83</v>
      </c>
      <c r="O988" s="184">
        <v>48335.74</v>
      </c>
      <c r="P988" s="184">
        <v>-84342.45</v>
      </c>
    </row>
    <row r="989">
      <c r="A989" s="168">
        <v>11.0</v>
      </c>
      <c r="B989" s="168">
        <v>41.0</v>
      </c>
      <c r="C989" s="168">
        <v>52.0</v>
      </c>
      <c r="D989" s="168">
        <v>94.0</v>
      </c>
      <c r="E989" s="168">
        <v>6.0</v>
      </c>
      <c r="F989" s="168">
        <v>7.0</v>
      </c>
      <c r="G989" s="168">
        <v>4.0</v>
      </c>
      <c r="H989" s="183">
        <v>-23853.94</v>
      </c>
      <c r="I989" s="184">
        <v>1644.02</v>
      </c>
      <c r="J989" s="168">
        <v>2.0</v>
      </c>
      <c r="K989" s="168">
        <v>5.0</v>
      </c>
      <c r="L989" s="168">
        <v>6.0</v>
      </c>
      <c r="M989" s="184">
        <v>-42611.69</v>
      </c>
      <c r="N989" s="184">
        <v>99176.41</v>
      </c>
      <c r="O989" s="184">
        <v>37649.13</v>
      </c>
      <c r="P989" s="184">
        <v>-91425.51</v>
      </c>
    </row>
    <row r="990">
      <c r="A990" s="168">
        <v>78.0</v>
      </c>
      <c r="B990" s="168">
        <v>56.0</v>
      </c>
      <c r="C990" s="168">
        <v>21.0</v>
      </c>
      <c r="D990" s="168">
        <v>86.0</v>
      </c>
      <c r="E990" s="168">
        <v>1.0</v>
      </c>
      <c r="F990" s="168">
        <v>6.0</v>
      </c>
      <c r="G990" s="168">
        <v>6.0</v>
      </c>
      <c r="H990" s="183">
        <v>84322.77</v>
      </c>
      <c r="I990" s="184">
        <v>60130.25</v>
      </c>
      <c r="J990" s="168">
        <v>8.0</v>
      </c>
      <c r="K990" s="168">
        <v>8.0</v>
      </c>
      <c r="L990" s="168">
        <v>3.0</v>
      </c>
      <c r="M990" s="184">
        <v>51881.24</v>
      </c>
      <c r="N990" s="184">
        <v>-59881.96</v>
      </c>
      <c r="O990" s="184">
        <v>32248.41</v>
      </c>
      <c r="P990" s="184">
        <v>-77665.58</v>
      </c>
    </row>
    <row r="991">
      <c r="A991" s="168">
        <v>36.0</v>
      </c>
      <c r="B991" s="168">
        <v>20.0</v>
      </c>
      <c r="C991" s="168">
        <v>39.0</v>
      </c>
      <c r="D991" s="168">
        <v>57.0</v>
      </c>
      <c r="E991" s="168">
        <v>6.0</v>
      </c>
      <c r="F991" s="168">
        <v>4.0</v>
      </c>
      <c r="G991" s="168">
        <v>3.0</v>
      </c>
      <c r="H991" s="183">
        <v>27776.37</v>
      </c>
      <c r="I991" s="184">
        <v>-21087.18</v>
      </c>
      <c r="J991" s="168">
        <v>6.0</v>
      </c>
      <c r="K991" s="168">
        <v>6.0</v>
      </c>
      <c r="L991" s="168">
        <v>6.0</v>
      </c>
      <c r="M991" s="184">
        <v>-13120.78</v>
      </c>
      <c r="N991" s="184">
        <v>-98639.68</v>
      </c>
      <c r="O991" s="184">
        <v>85448.83</v>
      </c>
      <c r="P991" s="184">
        <v>-52938.91</v>
      </c>
    </row>
    <row r="992">
      <c r="A992" s="168">
        <v>60.0</v>
      </c>
      <c r="B992" s="168">
        <v>45.0</v>
      </c>
      <c r="C992" s="168">
        <v>78.0</v>
      </c>
      <c r="D992" s="168">
        <v>66.0</v>
      </c>
      <c r="E992" s="168">
        <v>2.0</v>
      </c>
      <c r="F992" s="168">
        <v>6.0</v>
      </c>
      <c r="G992" s="168">
        <v>5.0</v>
      </c>
      <c r="H992" s="183">
        <v>-90594.36</v>
      </c>
      <c r="I992" s="184">
        <v>-45852.21</v>
      </c>
      <c r="J992" s="168">
        <v>3.0</v>
      </c>
      <c r="K992" s="168">
        <v>6.0</v>
      </c>
      <c r="L992" s="168">
        <v>4.0</v>
      </c>
      <c r="M992" s="184">
        <v>-50522.71</v>
      </c>
      <c r="N992" s="184">
        <v>-54711.04</v>
      </c>
      <c r="O992" s="184">
        <v>90970.64</v>
      </c>
      <c r="P992" s="184">
        <v>37603.96</v>
      </c>
    </row>
    <row r="993">
      <c r="A993" s="168">
        <v>71.0</v>
      </c>
      <c r="B993" s="168">
        <v>38.0</v>
      </c>
      <c r="C993" s="168">
        <v>43.0</v>
      </c>
      <c r="D993" s="168">
        <v>60.0</v>
      </c>
      <c r="E993" s="168">
        <v>3.0</v>
      </c>
      <c r="F993" s="168">
        <v>3.0</v>
      </c>
      <c r="G993" s="168">
        <v>3.0</v>
      </c>
      <c r="H993" s="183">
        <v>-35293.08</v>
      </c>
      <c r="I993" s="184">
        <v>37209.95</v>
      </c>
      <c r="J993" s="168">
        <v>6.0</v>
      </c>
      <c r="K993" s="168">
        <v>3.0</v>
      </c>
      <c r="L993" s="168">
        <v>8.0</v>
      </c>
      <c r="M993" s="184">
        <v>-18192.03</v>
      </c>
      <c r="N993" s="184">
        <v>16088.04</v>
      </c>
      <c r="O993" s="184">
        <v>9008.49</v>
      </c>
      <c r="P993" s="184">
        <v>90426.75</v>
      </c>
    </row>
    <row r="994">
      <c r="A994" s="168">
        <v>52.0</v>
      </c>
      <c r="B994" s="168">
        <v>68.0</v>
      </c>
      <c r="C994" s="168">
        <v>76.0</v>
      </c>
      <c r="D994" s="168">
        <v>89.0</v>
      </c>
      <c r="E994" s="168">
        <v>6.0</v>
      </c>
      <c r="F994" s="168">
        <v>5.0</v>
      </c>
      <c r="G994" s="168">
        <v>7.0</v>
      </c>
      <c r="H994" s="183">
        <v>-3198.95</v>
      </c>
      <c r="I994" s="184">
        <v>-10278.94</v>
      </c>
      <c r="J994" s="168">
        <v>4.0</v>
      </c>
      <c r="K994" s="168">
        <v>2.0</v>
      </c>
      <c r="L994" s="168">
        <v>6.0</v>
      </c>
      <c r="M994" s="184">
        <v>-37454.32</v>
      </c>
      <c r="N994" s="184">
        <v>-40615.37</v>
      </c>
      <c r="O994" s="184">
        <v>-73381.51</v>
      </c>
      <c r="P994" s="184">
        <v>-10366.93</v>
      </c>
    </row>
    <row r="995">
      <c r="A995" s="168">
        <v>57.0</v>
      </c>
      <c r="B995" s="168">
        <v>88.0</v>
      </c>
      <c r="C995" s="168">
        <v>41.0</v>
      </c>
      <c r="D995" s="168">
        <v>69.0</v>
      </c>
      <c r="E995" s="168">
        <v>3.0</v>
      </c>
      <c r="F995" s="168">
        <v>3.0</v>
      </c>
      <c r="G995" s="168">
        <v>9.0</v>
      </c>
      <c r="H995" s="183">
        <v>-61670.86</v>
      </c>
      <c r="I995" s="184">
        <v>-59042.6</v>
      </c>
      <c r="J995" s="168">
        <v>8.0</v>
      </c>
      <c r="K995" s="168">
        <v>4.0</v>
      </c>
      <c r="L995" s="168">
        <v>1.0</v>
      </c>
      <c r="M995" s="184">
        <v>97683.77</v>
      </c>
      <c r="N995" s="184">
        <v>28122.84</v>
      </c>
      <c r="O995" s="184">
        <v>90303.96</v>
      </c>
      <c r="P995" s="184">
        <v>-76965.81</v>
      </c>
    </row>
    <row r="996">
      <c r="A996" s="168">
        <v>68.0</v>
      </c>
      <c r="B996" s="168">
        <v>80.0</v>
      </c>
      <c r="C996" s="168">
        <v>66.0</v>
      </c>
      <c r="D996" s="168">
        <v>20.0</v>
      </c>
      <c r="E996" s="168">
        <v>2.0</v>
      </c>
      <c r="F996" s="168">
        <v>7.0</v>
      </c>
      <c r="G996" s="168">
        <v>7.0</v>
      </c>
      <c r="H996" s="183">
        <v>-21686.53</v>
      </c>
      <c r="I996" s="184">
        <v>90172.91</v>
      </c>
      <c r="J996" s="168">
        <v>6.0</v>
      </c>
      <c r="K996" s="168">
        <v>1.0</v>
      </c>
      <c r="L996" s="168">
        <v>5.0</v>
      </c>
      <c r="M996" s="184">
        <v>56304.71</v>
      </c>
      <c r="N996" s="184">
        <v>17629.1</v>
      </c>
      <c r="O996" s="184">
        <v>41094.65</v>
      </c>
      <c r="P996" s="184">
        <v>46640.98</v>
      </c>
    </row>
    <row r="997">
      <c r="A997" s="168">
        <v>30.0</v>
      </c>
      <c r="B997" s="168">
        <v>73.0</v>
      </c>
      <c r="C997" s="168">
        <v>46.0</v>
      </c>
      <c r="D997" s="168">
        <v>93.0</v>
      </c>
      <c r="E997" s="168">
        <v>6.0</v>
      </c>
      <c r="F997" s="168">
        <v>9.0</v>
      </c>
      <c r="G997" s="168">
        <v>7.0</v>
      </c>
      <c r="H997" s="183">
        <v>93431.51</v>
      </c>
      <c r="I997" s="184">
        <v>26776.02</v>
      </c>
      <c r="J997" s="168">
        <v>1.0</v>
      </c>
      <c r="K997" s="168">
        <v>4.0</v>
      </c>
      <c r="L997" s="168">
        <v>1.0</v>
      </c>
      <c r="M997" s="184">
        <v>65084.67</v>
      </c>
      <c r="N997" s="184">
        <v>-50283.06</v>
      </c>
      <c r="O997" s="184">
        <v>-20249.73</v>
      </c>
      <c r="P997" s="184">
        <v>3936.11</v>
      </c>
    </row>
    <row r="998">
      <c r="A998" s="168">
        <v>20.0</v>
      </c>
      <c r="B998" s="168">
        <v>49.0</v>
      </c>
      <c r="C998" s="168">
        <v>29.0</v>
      </c>
      <c r="D998" s="168">
        <v>57.0</v>
      </c>
      <c r="E998" s="168">
        <v>9.0</v>
      </c>
      <c r="F998" s="168">
        <v>7.0</v>
      </c>
      <c r="G998" s="168">
        <v>3.0</v>
      </c>
      <c r="H998" s="183">
        <v>24242.25</v>
      </c>
      <c r="I998" s="184">
        <v>93701.03</v>
      </c>
      <c r="J998" s="168">
        <v>5.0</v>
      </c>
      <c r="K998" s="168">
        <v>3.0</v>
      </c>
      <c r="L998" s="168">
        <v>9.0</v>
      </c>
      <c r="M998" s="184">
        <v>-88759.27</v>
      </c>
      <c r="N998" s="184">
        <v>-53717.07</v>
      </c>
      <c r="O998" s="184">
        <v>-19506.4</v>
      </c>
      <c r="P998" s="184">
        <v>26472.36</v>
      </c>
    </row>
    <row r="999">
      <c r="A999" s="168">
        <v>43.0</v>
      </c>
      <c r="B999" s="168">
        <v>63.0</v>
      </c>
      <c r="C999" s="168">
        <v>17.0</v>
      </c>
      <c r="D999" s="168">
        <v>67.0</v>
      </c>
      <c r="E999" s="168">
        <v>8.0</v>
      </c>
      <c r="F999" s="168">
        <v>7.0</v>
      </c>
      <c r="G999" s="168">
        <v>4.0</v>
      </c>
      <c r="H999" s="183">
        <v>-44478.27</v>
      </c>
      <c r="I999" s="184">
        <v>43108.12</v>
      </c>
      <c r="J999" s="168">
        <v>1.0</v>
      </c>
      <c r="K999" s="168">
        <v>8.0</v>
      </c>
      <c r="L999" s="168">
        <v>8.0</v>
      </c>
      <c r="M999" s="184">
        <v>21752.1</v>
      </c>
      <c r="N999" s="184">
        <v>17590.94</v>
      </c>
      <c r="O999" s="184">
        <v>-59830.93</v>
      </c>
      <c r="P999" s="184">
        <v>-28752.29</v>
      </c>
    </row>
    <row r="1000">
      <c r="A1000" s="168">
        <v>30.0</v>
      </c>
      <c r="B1000" s="168">
        <v>65.0</v>
      </c>
      <c r="C1000" s="168">
        <v>71.0</v>
      </c>
      <c r="D1000" s="168">
        <v>21.0</v>
      </c>
      <c r="E1000" s="168">
        <v>9.0</v>
      </c>
      <c r="F1000" s="168">
        <v>3.0</v>
      </c>
      <c r="G1000" s="168">
        <v>2.0</v>
      </c>
      <c r="H1000" s="183">
        <v>83214.12</v>
      </c>
      <c r="I1000" s="184">
        <v>16820.62</v>
      </c>
      <c r="J1000" s="168">
        <v>9.0</v>
      </c>
      <c r="K1000" s="168">
        <v>3.0</v>
      </c>
      <c r="L1000" s="168">
        <v>1.0</v>
      </c>
      <c r="M1000" s="184">
        <v>-20436.88</v>
      </c>
      <c r="N1000" s="184">
        <v>-39143.72</v>
      </c>
      <c r="O1000" s="184">
        <v>-65231.88</v>
      </c>
      <c r="P1000" s="184">
        <v>69625.33</v>
      </c>
    </row>
    <row r="1001">
      <c r="A1001" s="168">
        <v>62.0</v>
      </c>
      <c r="B1001" s="168">
        <v>19.0</v>
      </c>
      <c r="C1001" s="168">
        <v>82.0</v>
      </c>
      <c r="D1001" s="168">
        <v>58.0</v>
      </c>
      <c r="E1001" s="168">
        <v>3.0</v>
      </c>
      <c r="F1001" s="168">
        <v>4.0</v>
      </c>
      <c r="G1001" s="168">
        <v>5.0</v>
      </c>
      <c r="H1001" s="183">
        <v>-45691.81</v>
      </c>
      <c r="I1001" s="184">
        <v>88385.86</v>
      </c>
      <c r="J1001" s="168">
        <v>8.0</v>
      </c>
      <c r="K1001" s="168">
        <v>7.0</v>
      </c>
      <c r="L1001" s="168">
        <v>4.0</v>
      </c>
      <c r="M1001" s="184">
        <v>-66148.89</v>
      </c>
      <c r="N1001" s="184">
        <v>-42274.99</v>
      </c>
      <c r="O1001" s="184">
        <v>20511.22</v>
      </c>
      <c r="P1001" s="184">
        <v>71030.51</v>
      </c>
    </row>
    <row r="1002">
      <c r="A1002" s="168">
        <v>22.0</v>
      </c>
      <c r="B1002" s="168">
        <v>85.0</v>
      </c>
      <c r="C1002" s="168">
        <v>85.0</v>
      </c>
      <c r="D1002" s="168">
        <v>78.0</v>
      </c>
      <c r="E1002" s="168">
        <v>5.0</v>
      </c>
      <c r="F1002" s="168">
        <v>2.0</v>
      </c>
      <c r="G1002" s="168">
        <v>3.0</v>
      </c>
      <c r="H1002" s="183">
        <v>-76785.71</v>
      </c>
      <c r="I1002" s="184">
        <v>-68265.14</v>
      </c>
      <c r="J1002" s="168">
        <v>7.0</v>
      </c>
      <c r="K1002" s="168">
        <v>9.0</v>
      </c>
      <c r="L1002" s="168">
        <v>3.0</v>
      </c>
      <c r="M1002" s="184">
        <v>-61004.07</v>
      </c>
      <c r="N1002" s="184">
        <v>-33630.22</v>
      </c>
      <c r="O1002" s="184">
        <v>78699.39</v>
      </c>
      <c r="P1002" s="184">
        <v>19805.11</v>
      </c>
    </row>
    <row r="1003">
      <c r="A1003" s="168">
        <v>75.0</v>
      </c>
      <c r="B1003" s="168">
        <v>11.0</v>
      </c>
      <c r="C1003" s="168">
        <v>65.0</v>
      </c>
      <c r="D1003" s="168">
        <v>17.0</v>
      </c>
      <c r="E1003" s="168">
        <v>1.0</v>
      </c>
      <c r="F1003" s="168">
        <v>5.0</v>
      </c>
      <c r="G1003" s="168">
        <v>4.0</v>
      </c>
      <c r="H1003" s="183">
        <v>-22888.97</v>
      </c>
      <c r="I1003" s="184">
        <v>90395.98</v>
      </c>
      <c r="J1003" s="168">
        <v>1.0</v>
      </c>
      <c r="K1003" s="168">
        <v>7.0</v>
      </c>
      <c r="L1003" s="168">
        <v>7.0</v>
      </c>
      <c r="M1003" s="184">
        <v>-76622.98</v>
      </c>
      <c r="N1003" s="184">
        <v>75599.49</v>
      </c>
      <c r="O1003" s="184">
        <v>20400.04</v>
      </c>
      <c r="P1003" s="184">
        <v>-8745.88</v>
      </c>
    </row>
    <row r="1004">
      <c r="A1004" s="24"/>
      <c r="B1004" s="24"/>
      <c r="C1004" s="24"/>
      <c r="D1004" s="24"/>
      <c r="E1004" s="24"/>
      <c r="F1004" s="24"/>
      <c r="G1004" s="185"/>
      <c r="H1004" s="186"/>
      <c r="I1004" s="187"/>
      <c r="J1004" s="24"/>
      <c r="K1004" s="24"/>
      <c r="L1004" s="24"/>
      <c r="M1004" s="187"/>
      <c r="N1004" s="187"/>
    </row>
    <row r="1005">
      <c r="A1005" s="24"/>
      <c r="B1005" s="24"/>
      <c r="C1005" s="24"/>
      <c r="D1005" s="24"/>
      <c r="E1005" s="24"/>
      <c r="F1005" s="24"/>
      <c r="G1005" s="185"/>
      <c r="H1005" s="186"/>
      <c r="I1005" s="187"/>
      <c r="J1005" s="24"/>
      <c r="K1005" s="24"/>
      <c r="L1005" s="24"/>
      <c r="M1005" s="187"/>
      <c r="N1005" s="187"/>
    </row>
    <row r="1006">
      <c r="A1006" s="24"/>
      <c r="B1006" s="24"/>
      <c r="C1006" s="24"/>
      <c r="D1006" s="24"/>
      <c r="E1006" s="24"/>
      <c r="F1006" s="24"/>
      <c r="G1006" s="185"/>
      <c r="H1006" s="186"/>
      <c r="I1006" s="187"/>
      <c r="J1006" s="24"/>
      <c r="K1006" s="24"/>
      <c r="L1006" s="24"/>
      <c r="M1006" s="187"/>
      <c r="N1006" s="187"/>
    </row>
    <row r="1007">
      <c r="A1007" s="24"/>
      <c r="B1007" s="24"/>
      <c r="C1007" s="24"/>
      <c r="D1007" s="24"/>
      <c r="E1007" s="24"/>
      <c r="F1007" s="24"/>
      <c r="G1007" s="185"/>
      <c r="H1007" s="186"/>
      <c r="I1007" s="187"/>
      <c r="J1007" s="24"/>
      <c r="K1007" s="24"/>
      <c r="L1007" s="24"/>
      <c r="M1007" s="187"/>
      <c r="N1007" s="187"/>
    </row>
    <row r="1008">
      <c r="A1008" s="24"/>
      <c r="B1008" s="24"/>
      <c r="C1008" s="24"/>
      <c r="D1008" s="24"/>
      <c r="E1008" s="24"/>
      <c r="F1008" s="24"/>
      <c r="G1008" s="185"/>
      <c r="H1008" s="186"/>
      <c r="I1008" s="187"/>
      <c r="J1008" s="24"/>
      <c r="K1008" s="24"/>
      <c r="L1008" s="24"/>
      <c r="M1008" s="187"/>
      <c r="N1008" s="187"/>
    </row>
    <row r="1009">
      <c r="A1009" s="24"/>
      <c r="B1009" s="24"/>
      <c r="C1009" s="24"/>
      <c r="D1009" s="24"/>
      <c r="E1009" s="24"/>
      <c r="F1009" s="24"/>
      <c r="G1009" s="185"/>
      <c r="H1009" s="186"/>
      <c r="I1009" s="187"/>
      <c r="J1009" s="24"/>
      <c r="K1009" s="24"/>
      <c r="L1009" s="24"/>
      <c r="M1009" s="187"/>
      <c r="N1009" s="187"/>
    </row>
    <row r="1010">
      <c r="A1010" s="24"/>
      <c r="B1010" s="24"/>
      <c r="C1010" s="24"/>
      <c r="D1010" s="24"/>
      <c r="E1010" s="24"/>
      <c r="F1010" s="24"/>
      <c r="G1010" s="185"/>
      <c r="H1010" s="186"/>
      <c r="I1010" s="187"/>
      <c r="J1010" s="24"/>
      <c r="K1010" s="24"/>
      <c r="L1010" s="24"/>
      <c r="M1010" s="187"/>
      <c r="N1010" s="187"/>
    </row>
    <row r="1011">
      <c r="A1011" s="24"/>
      <c r="B1011" s="24"/>
      <c r="C1011" s="24"/>
      <c r="D1011" s="24"/>
      <c r="E1011" s="24"/>
      <c r="F1011" s="24"/>
      <c r="G1011" s="185"/>
      <c r="H1011" s="186"/>
      <c r="I1011" s="187"/>
      <c r="J1011" s="24"/>
      <c r="K1011" s="24"/>
      <c r="L1011" s="24"/>
      <c r="M1011" s="187"/>
      <c r="N1011" s="187"/>
    </row>
    <row r="1012">
      <c r="A1012" s="24"/>
      <c r="B1012" s="24"/>
      <c r="C1012" s="24"/>
      <c r="D1012" s="24"/>
      <c r="E1012" s="24"/>
      <c r="F1012" s="24"/>
      <c r="G1012" s="185"/>
      <c r="H1012" s="186"/>
      <c r="I1012" s="187"/>
      <c r="J1012" s="24"/>
      <c r="K1012" s="24"/>
      <c r="L1012" s="24"/>
      <c r="M1012" s="187"/>
      <c r="N1012" s="187"/>
    </row>
    <row r="1013">
      <c r="A1013" s="24"/>
      <c r="B1013" s="24"/>
      <c r="C1013" s="24"/>
      <c r="D1013" s="24"/>
      <c r="E1013" s="24"/>
      <c r="F1013" s="24"/>
      <c r="G1013" s="185"/>
      <c r="H1013" s="186"/>
      <c r="I1013" s="187"/>
      <c r="J1013" s="24"/>
      <c r="K1013" s="24"/>
      <c r="L1013" s="24"/>
      <c r="M1013" s="187"/>
      <c r="N1013" s="187"/>
    </row>
    <row r="1014">
      <c r="A1014" s="24"/>
      <c r="B1014" s="24"/>
      <c r="C1014" s="24"/>
      <c r="D1014" s="24"/>
      <c r="E1014" s="24"/>
      <c r="F1014" s="24"/>
      <c r="G1014" s="185"/>
      <c r="H1014" s="186"/>
      <c r="I1014" s="187"/>
      <c r="J1014" s="24"/>
      <c r="K1014" s="24"/>
      <c r="L1014" s="24"/>
      <c r="M1014" s="187"/>
      <c r="N1014" s="187"/>
    </row>
    <row r="1015">
      <c r="A1015" s="24"/>
      <c r="B1015" s="24"/>
      <c r="C1015" s="24"/>
      <c r="D1015" s="24"/>
      <c r="E1015" s="24"/>
      <c r="F1015" s="24"/>
      <c r="G1015" s="185"/>
      <c r="H1015" s="186"/>
      <c r="I1015" s="187"/>
      <c r="J1015" s="24"/>
      <c r="K1015" s="24"/>
      <c r="L1015" s="24"/>
      <c r="M1015" s="187"/>
      <c r="N1015" s="187"/>
    </row>
    <row r="1016">
      <c r="A1016" s="24"/>
      <c r="B1016" s="24"/>
      <c r="C1016" s="24"/>
      <c r="D1016" s="24"/>
      <c r="E1016" s="24"/>
      <c r="F1016" s="24"/>
      <c r="G1016" s="185"/>
      <c r="H1016" s="186"/>
      <c r="I1016" s="187"/>
      <c r="J1016" s="24"/>
      <c r="K1016" s="24"/>
      <c r="L1016" s="24"/>
      <c r="M1016" s="187"/>
      <c r="N1016" s="187"/>
    </row>
    <row r="1017">
      <c r="A1017" s="24"/>
      <c r="B1017" s="24"/>
      <c r="C1017" s="24"/>
      <c r="D1017" s="24"/>
      <c r="E1017" s="24"/>
      <c r="F1017" s="24"/>
      <c r="G1017" s="185"/>
      <c r="H1017" s="186"/>
      <c r="I1017" s="187"/>
      <c r="J1017" s="24"/>
      <c r="K1017" s="24"/>
      <c r="L1017" s="24"/>
      <c r="M1017" s="187"/>
      <c r="N1017" s="187"/>
    </row>
    <row r="1018">
      <c r="A1018" s="24"/>
      <c r="B1018" s="24"/>
      <c r="C1018" s="24"/>
      <c r="D1018" s="24"/>
      <c r="E1018" s="24"/>
      <c r="F1018" s="24"/>
      <c r="G1018" s="185"/>
      <c r="H1018" s="186"/>
      <c r="I1018" s="187"/>
      <c r="J1018" s="24"/>
      <c r="K1018" s="24"/>
      <c r="L1018" s="24"/>
      <c r="M1018" s="187"/>
      <c r="N1018" s="187"/>
    </row>
    <row r="1019">
      <c r="A1019" s="24"/>
      <c r="B1019" s="24"/>
      <c r="C1019" s="24"/>
      <c r="D1019" s="24"/>
      <c r="E1019" s="24"/>
      <c r="F1019" s="24"/>
      <c r="G1019" s="185"/>
      <c r="H1019" s="186"/>
      <c r="I1019" s="187"/>
      <c r="J1019" s="24"/>
      <c r="K1019" s="24"/>
      <c r="L1019" s="24"/>
      <c r="M1019" s="187"/>
      <c r="N1019" s="187"/>
    </row>
    <row r="1020">
      <c r="A1020" s="24"/>
      <c r="B1020" s="24"/>
      <c r="C1020" s="24"/>
      <c r="D1020" s="24"/>
      <c r="E1020" s="24"/>
      <c r="F1020" s="24"/>
      <c r="G1020" s="185"/>
      <c r="H1020" s="186"/>
      <c r="I1020" s="187"/>
      <c r="J1020" s="24"/>
      <c r="K1020" s="24"/>
      <c r="L1020" s="24"/>
      <c r="M1020" s="187"/>
      <c r="N1020" s="187"/>
    </row>
    <row r="1021">
      <c r="A1021" s="24"/>
      <c r="B1021" s="24"/>
      <c r="C1021" s="24"/>
      <c r="D1021" s="24"/>
      <c r="E1021" s="24"/>
      <c r="F1021" s="24"/>
      <c r="G1021" s="185"/>
      <c r="H1021" s="186"/>
      <c r="I1021" s="187"/>
      <c r="J1021" s="24"/>
      <c r="K1021" s="24"/>
      <c r="L1021" s="24"/>
      <c r="M1021" s="187"/>
      <c r="N1021" s="187"/>
    </row>
    <row r="1022">
      <c r="A1022" s="24"/>
      <c r="B1022" s="24"/>
      <c r="C1022" s="24"/>
      <c r="D1022" s="24"/>
      <c r="E1022" s="24"/>
      <c r="F1022" s="24"/>
      <c r="G1022" s="185"/>
      <c r="H1022" s="186"/>
      <c r="I1022" s="187"/>
      <c r="J1022" s="24"/>
      <c r="K1022" s="24"/>
      <c r="L1022" s="24"/>
      <c r="M1022" s="187"/>
      <c r="N1022" s="187"/>
    </row>
    <row r="1023">
      <c r="A1023" s="24"/>
      <c r="B1023" s="24"/>
      <c r="C1023" s="24"/>
      <c r="D1023" s="24"/>
      <c r="E1023" s="24"/>
      <c r="F1023" s="24"/>
      <c r="G1023" s="185"/>
      <c r="H1023" s="186"/>
      <c r="I1023" s="187"/>
      <c r="J1023" s="24"/>
      <c r="K1023" s="24"/>
      <c r="L1023" s="24"/>
      <c r="M1023" s="187"/>
      <c r="N1023" s="187"/>
    </row>
    <row r="1024">
      <c r="A1024" s="24"/>
      <c r="B1024" s="24"/>
      <c r="C1024" s="24"/>
      <c r="D1024" s="24"/>
      <c r="E1024" s="24"/>
      <c r="F1024" s="24"/>
      <c r="G1024" s="185"/>
      <c r="H1024" s="186"/>
      <c r="I1024" s="187"/>
      <c r="J1024" s="24"/>
      <c r="K1024" s="24"/>
      <c r="L1024" s="24"/>
      <c r="M1024" s="187"/>
      <c r="N1024" s="187"/>
    </row>
    <row r="1025">
      <c r="A1025" s="24"/>
      <c r="B1025" s="24"/>
      <c r="C1025" s="24"/>
      <c r="D1025" s="24"/>
      <c r="E1025" s="24"/>
      <c r="F1025" s="24"/>
      <c r="G1025" s="185"/>
      <c r="H1025" s="186"/>
      <c r="I1025" s="187"/>
      <c r="J1025" s="24"/>
      <c r="K1025" s="24"/>
      <c r="L1025" s="24"/>
      <c r="M1025" s="187"/>
      <c r="N1025" s="187"/>
    </row>
    <row r="1026">
      <c r="A1026" s="24"/>
      <c r="B1026" s="24"/>
      <c r="C1026" s="24"/>
      <c r="D1026" s="24"/>
      <c r="E1026" s="24"/>
      <c r="F1026" s="24"/>
      <c r="G1026" s="185"/>
      <c r="H1026" s="186"/>
      <c r="I1026" s="187"/>
      <c r="J1026" s="24"/>
      <c r="K1026" s="24"/>
      <c r="L1026" s="24"/>
      <c r="M1026" s="187"/>
      <c r="N1026" s="187"/>
    </row>
    <row r="1027">
      <c r="A1027" s="24"/>
      <c r="B1027" s="24"/>
      <c r="C1027" s="24"/>
      <c r="D1027" s="24"/>
      <c r="E1027" s="24"/>
      <c r="F1027" s="24"/>
      <c r="G1027" s="185"/>
      <c r="H1027" s="186"/>
      <c r="I1027" s="187"/>
      <c r="J1027" s="24"/>
      <c r="K1027" s="24"/>
      <c r="L1027" s="24"/>
      <c r="M1027" s="187"/>
      <c r="N1027" s="187"/>
    </row>
    <row r="1028">
      <c r="A1028" s="24"/>
      <c r="B1028" s="24"/>
      <c r="C1028" s="24"/>
      <c r="D1028" s="24"/>
      <c r="E1028" s="24"/>
      <c r="F1028" s="24"/>
      <c r="G1028" s="185"/>
      <c r="H1028" s="186"/>
      <c r="I1028" s="187"/>
      <c r="J1028" s="24"/>
      <c r="K1028" s="24"/>
      <c r="L1028" s="24"/>
      <c r="M1028" s="187"/>
      <c r="N1028" s="187"/>
    </row>
    <row r="1029">
      <c r="A1029" s="24"/>
      <c r="B1029" s="24"/>
      <c r="C1029" s="24"/>
      <c r="D1029" s="24"/>
      <c r="E1029" s="24"/>
      <c r="F1029" s="24"/>
      <c r="G1029" s="185"/>
      <c r="H1029" s="186"/>
      <c r="I1029" s="187"/>
      <c r="J1029" s="24"/>
      <c r="K1029" s="24"/>
      <c r="L1029" s="24"/>
      <c r="M1029" s="187"/>
      <c r="N1029" s="187"/>
    </row>
    <row r="1030">
      <c r="A1030" s="24"/>
      <c r="B1030" s="24"/>
      <c r="C1030" s="24"/>
      <c r="D1030" s="24"/>
      <c r="E1030" s="24"/>
      <c r="F1030" s="24"/>
      <c r="G1030" s="185"/>
      <c r="H1030" s="186"/>
      <c r="I1030" s="187"/>
      <c r="J1030" s="24"/>
      <c r="K1030" s="24"/>
      <c r="L1030" s="24"/>
      <c r="M1030" s="187"/>
      <c r="N1030" s="187"/>
    </row>
    <row r="1031">
      <c r="A1031" s="24"/>
      <c r="B1031" s="24"/>
      <c r="C1031" s="24"/>
      <c r="D1031" s="24"/>
      <c r="E1031" s="24"/>
      <c r="F1031" s="24"/>
      <c r="G1031" s="185"/>
      <c r="H1031" s="186"/>
      <c r="I1031" s="187"/>
      <c r="J1031" s="24"/>
      <c r="K1031" s="24"/>
      <c r="L1031" s="24"/>
      <c r="M1031" s="187"/>
      <c r="N1031" s="187"/>
    </row>
    <row r="1032">
      <c r="A1032" s="24"/>
      <c r="B1032" s="24"/>
      <c r="C1032" s="24"/>
      <c r="D1032" s="24"/>
      <c r="E1032" s="24"/>
      <c r="F1032" s="24"/>
      <c r="G1032" s="185"/>
      <c r="H1032" s="186"/>
      <c r="I1032" s="187"/>
      <c r="J1032" s="24"/>
      <c r="K1032" s="24"/>
      <c r="L1032" s="24"/>
      <c r="M1032" s="187"/>
      <c r="N1032" s="187"/>
    </row>
    <row r="1033">
      <c r="A1033" s="24"/>
      <c r="B1033" s="24"/>
      <c r="C1033" s="24"/>
      <c r="D1033" s="24"/>
      <c r="E1033" s="24"/>
      <c r="F1033" s="24"/>
      <c r="G1033" s="185"/>
      <c r="H1033" s="186"/>
      <c r="I1033" s="187"/>
      <c r="J1033" s="24"/>
      <c r="K1033" s="24"/>
      <c r="L1033" s="24"/>
      <c r="M1033" s="187"/>
      <c r="N1033" s="187"/>
    </row>
    <row r="1034">
      <c r="A1034" s="24"/>
      <c r="B1034" s="24"/>
      <c r="C1034" s="24"/>
      <c r="D1034" s="24"/>
      <c r="E1034" s="24"/>
      <c r="F1034" s="24"/>
      <c r="G1034" s="185"/>
      <c r="H1034" s="186"/>
      <c r="I1034" s="187"/>
      <c r="J1034" s="24"/>
      <c r="K1034" s="24"/>
      <c r="L1034" s="24"/>
      <c r="M1034" s="187"/>
      <c r="N1034" s="187"/>
    </row>
    <row r="1035">
      <c r="A1035" s="24"/>
      <c r="B1035" s="24"/>
      <c r="C1035" s="24"/>
      <c r="D1035" s="24"/>
      <c r="E1035" s="24"/>
      <c r="F1035" s="24"/>
      <c r="G1035" s="185"/>
      <c r="H1035" s="186"/>
      <c r="I1035" s="187"/>
      <c r="J1035" s="24"/>
      <c r="K1035" s="24"/>
      <c r="L1035" s="24"/>
      <c r="M1035" s="187"/>
      <c r="N1035" s="187"/>
    </row>
    <row r="1036">
      <c r="A1036" s="24"/>
      <c r="B1036" s="24"/>
      <c r="C1036" s="24"/>
      <c r="D1036" s="24"/>
      <c r="E1036" s="24"/>
      <c r="F1036" s="24"/>
      <c r="G1036" s="185"/>
      <c r="H1036" s="186"/>
      <c r="I1036" s="187"/>
      <c r="J1036" s="24"/>
      <c r="K1036" s="24"/>
      <c r="L1036" s="24"/>
      <c r="M1036" s="187"/>
      <c r="N1036" s="187"/>
    </row>
    <row r="1037">
      <c r="A1037" s="24"/>
      <c r="B1037" s="24"/>
      <c r="C1037" s="24"/>
      <c r="D1037" s="24"/>
      <c r="E1037" s="24"/>
      <c r="F1037" s="24"/>
      <c r="G1037" s="185"/>
      <c r="H1037" s="186"/>
      <c r="I1037" s="187"/>
      <c r="J1037" s="24"/>
      <c r="K1037" s="24"/>
      <c r="L1037" s="24"/>
      <c r="M1037" s="187"/>
      <c r="N1037" s="187"/>
    </row>
    <row r="1038">
      <c r="A1038" s="24"/>
      <c r="B1038" s="24"/>
      <c r="C1038" s="24"/>
      <c r="D1038" s="24"/>
      <c r="E1038" s="24"/>
      <c r="F1038" s="24"/>
      <c r="G1038" s="185"/>
      <c r="H1038" s="186"/>
      <c r="I1038" s="187"/>
      <c r="J1038" s="24"/>
      <c r="K1038" s="24"/>
      <c r="L1038" s="24"/>
      <c r="M1038" s="187"/>
      <c r="N1038" s="187"/>
    </row>
    <row r="1039">
      <c r="A1039" s="24"/>
      <c r="B1039" s="24"/>
      <c r="C1039" s="24"/>
      <c r="D1039" s="24"/>
      <c r="E1039" s="24"/>
      <c r="F1039" s="24"/>
      <c r="G1039" s="185"/>
      <c r="H1039" s="186"/>
      <c r="I1039" s="187"/>
      <c r="J1039" s="24"/>
      <c r="K1039" s="24"/>
      <c r="L1039" s="24"/>
      <c r="M1039" s="187"/>
      <c r="N1039" s="187"/>
    </row>
    <row r="1040">
      <c r="A1040" s="24"/>
      <c r="B1040" s="24"/>
      <c r="C1040" s="24"/>
      <c r="D1040" s="24"/>
      <c r="E1040" s="24"/>
      <c r="F1040" s="24"/>
      <c r="G1040" s="185"/>
      <c r="H1040" s="186"/>
      <c r="I1040" s="187"/>
      <c r="J1040" s="24"/>
      <c r="K1040" s="24"/>
      <c r="L1040" s="24"/>
      <c r="M1040" s="187"/>
      <c r="N1040" s="187"/>
    </row>
    <row r="1041">
      <c r="A1041" s="24"/>
      <c r="B1041" s="24"/>
      <c r="C1041" s="24"/>
      <c r="D1041" s="24"/>
      <c r="E1041" s="24"/>
      <c r="F1041" s="24"/>
      <c r="G1041" s="185"/>
      <c r="H1041" s="186"/>
      <c r="I1041" s="187"/>
      <c r="J1041" s="24"/>
      <c r="K1041" s="24"/>
      <c r="L1041" s="24"/>
      <c r="M1041" s="187"/>
      <c r="N1041" s="187"/>
    </row>
    <row r="1042">
      <c r="A1042" s="24"/>
      <c r="B1042" s="24"/>
      <c r="C1042" s="24"/>
      <c r="D1042" s="24"/>
      <c r="E1042" s="24"/>
      <c r="F1042" s="24"/>
      <c r="G1042" s="185"/>
      <c r="H1042" s="186"/>
      <c r="I1042" s="187"/>
      <c r="J1042" s="24"/>
      <c r="K1042" s="24"/>
      <c r="L1042" s="24"/>
      <c r="M1042" s="187"/>
      <c r="N1042" s="187"/>
    </row>
    <row r="1043">
      <c r="A1043" s="24"/>
      <c r="B1043" s="24"/>
      <c r="C1043" s="24"/>
      <c r="D1043" s="24"/>
      <c r="E1043" s="24"/>
      <c r="F1043" s="24"/>
      <c r="G1043" s="185"/>
      <c r="H1043" s="186"/>
      <c r="I1043" s="187"/>
      <c r="J1043" s="24"/>
      <c r="K1043" s="24"/>
      <c r="L1043" s="24"/>
      <c r="M1043" s="187"/>
      <c r="N1043" s="187"/>
    </row>
    <row r="1044">
      <c r="A1044" s="24"/>
      <c r="B1044" s="24"/>
      <c r="C1044" s="24"/>
      <c r="D1044" s="24"/>
      <c r="E1044" s="24"/>
      <c r="F1044" s="24"/>
      <c r="G1044" s="185"/>
      <c r="H1044" s="186"/>
      <c r="I1044" s="187"/>
      <c r="J1044" s="24"/>
      <c r="K1044" s="24"/>
      <c r="L1044" s="24"/>
      <c r="M1044" s="187"/>
      <c r="N1044" s="187"/>
    </row>
    <row r="1045">
      <c r="A1045" s="24"/>
      <c r="B1045" s="24"/>
      <c r="C1045" s="24"/>
      <c r="D1045" s="24"/>
      <c r="E1045" s="24"/>
      <c r="F1045" s="24"/>
      <c r="G1045" s="185"/>
      <c r="H1045" s="186"/>
      <c r="I1045" s="187"/>
      <c r="J1045" s="24"/>
      <c r="K1045" s="24"/>
      <c r="L1045" s="24"/>
      <c r="M1045" s="187"/>
      <c r="N1045" s="187"/>
    </row>
    <row r="1046">
      <c r="A1046" s="24"/>
      <c r="B1046" s="24"/>
      <c r="C1046" s="24"/>
      <c r="D1046" s="24"/>
      <c r="E1046" s="24"/>
      <c r="F1046" s="24"/>
      <c r="G1046" s="185"/>
      <c r="H1046" s="186"/>
      <c r="I1046" s="187"/>
      <c r="J1046" s="24"/>
      <c r="K1046" s="24"/>
      <c r="L1046" s="24"/>
      <c r="M1046" s="187"/>
      <c r="N1046" s="187"/>
    </row>
    <row r="1047">
      <c r="A1047" s="24"/>
      <c r="B1047" s="24"/>
      <c r="C1047" s="24"/>
      <c r="D1047" s="24"/>
      <c r="E1047" s="24"/>
      <c r="F1047" s="24"/>
      <c r="G1047" s="185"/>
      <c r="H1047" s="186"/>
      <c r="I1047" s="187"/>
      <c r="J1047" s="24"/>
      <c r="K1047" s="24"/>
      <c r="L1047" s="24"/>
      <c r="M1047" s="187"/>
      <c r="N1047" s="187"/>
    </row>
    <row r="1048">
      <c r="A1048" s="24"/>
      <c r="B1048" s="24"/>
      <c r="C1048" s="24"/>
      <c r="D1048" s="24"/>
      <c r="E1048" s="24"/>
      <c r="F1048" s="24"/>
      <c r="G1048" s="185"/>
      <c r="H1048" s="186"/>
      <c r="I1048" s="187"/>
      <c r="J1048" s="24"/>
      <c r="K1048" s="24"/>
      <c r="L1048" s="24"/>
      <c r="M1048" s="187"/>
      <c r="N1048" s="187"/>
    </row>
    <row r="1049">
      <c r="A1049" s="24"/>
      <c r="B1049" s="24"/>
      <c r="C1049" s="24"/>
      <c r="D1049" s="24"/>
      <c r="E1049" s="24"/>
      <c r="F1049" s="24"/>
      <c r="G1049" s="185"/>
      <c r="H1049" s="186"/>
      <c r="I1049" s="187"/>
      <c r="J1049" s="24"/>
      <c r="K1049" s="24"/>
      <c r="L1049" s="24"/>
      <c r="M1049" s="187"/>
      <c r="N1049" s="187"/>
    </row>
    <row r="1050">
      <c r="A1050" s="24"/>
      <c r="B1050" s="24"/>
      <c r="C1050" s="24"/>
      <c r="D1050" s="24"/>
      <c r="E1050" s="24"/>
      <c r="F1050" s="24"/>
      <c r="G1050" s="185"/>
      <c r="H1050" s="186"/>
      <c r="I1050" s="187"/>
      <c r="J1050" s="24"/>
      <c r="K1050" s="24"/>
      <c r="L1050" s="24"/>
      <c r="M1050" s="187"/>
      <c r="N1050" s="187"/>
    </row>
    <row r="1051">
      <c r="A1051" s="24"/>
      <c r="B1051" s="24"/>
      <c r="C1051" s="24"/>
      <c r="D1051" s="24"/>
      <c r="E1051" s="24"/>
      <c r="F1051" s="24"/>
      <c r="G1051" s="185"/>
      <c r="H1051" s="186"/>
      <c r="I1051" s="187"/>
      <c r="J1051" s="24"/>
      <c r="K1051" s="24"/>
      <c r="L1051" s="24"/>
      <c r="M1051" s="187"/>
      <c r="N1051" s="187"/>
    </row>
    <row r="1052">
      <c r="A1052" s="24"/>
      <c r="B1052" s="24"/>
      <c r="C1052" s="24"/>
      <c r="D1052" s="24"/>
      <c r="E1052" s="24"/>
      <c r="F1052" s="24"/>
      <c r="G1052" s="185"/>
      <c r="H1052" s="186"/>
      <c r="I1052" s="187"/>
      <c r="J1052" s="24"/>
      <c r="K1052" s="24"/>
      <c r="L1052" s="24"/>
      <c r="M1052" s="187"/>
      <c r="N1052" s="187"/>
    </row>
    <row r="1053">
      <c r="A1053" s="24"/>
      <c r="B1053" s="24"/>
      <c r="C1053" s="24"/>
      <c r="D1053" s="24"/>
      <c r="E1053" s="24"/>
      <c r="F1053" s="24"/>
      <c r="G1053" s="185"/>
      <c r="H1053" s="186"/>
      <c r="I1053" s="187"/>
      <c r="J1053" s="24"/>
      <c r="K1053" s="24"/>
      <c r="L1053" s="24"/>
      <c r="M1053" s="187"/>
      <c r="N1053" s="187"/>
    </row>
    <row r="1054">
      <c r="A1054" s="24"/>
      <c r="B1054" s="24"/>
      <c r="C1054" s="24"/>
      <c r="D1054" s="24"/>
      <c r="E1054" s="24"/>
      <c r="F1054" s="24"/>
      <c r="G1054" s="185"/>
      <c r="H1054" s="186"/>
      <c r="I1054" s="187"/>
      <c r="J1054" s="24"/>
      <c r="K1054" s="24"/>
      <c r="L1054" s="24"/>
      <c r="M1054" s="187"/>
      <c r="N1054" s="187"/>
    </row>
    <row r="1055">
      <c r="A1055" s="24"/>
      <c r="B1055" s="24"/>
      <c r="C1055" s="24"/>
      <c r="D1055" s="24"/>
      <c r="E1055" s="24"/>
      <c r="F1055" s="24"/>
      <c r="G1055" s="185"/>
      <c r="H1055" s="186"/>
      <c r="I1055" s="187"/>
      <c r="J1055" s="24"/>
      <c r="K1055" s="24"/>
      <c r="L1055" s="24"/>
      <c r="M1055" s="187"/>
      <c r="N1055" s="187"/>
    </row>
    <row r="1056">
      <c r="A1056" s="24"/>
      <c r="B1056" s="24"/>
      <c r="C1056" s="24"/>
      <c r="D1056" s="24"/>
      <c r="E1056" s="24"/>
      <c r="F1056" s="24"/>
      <c r="G1056" s="185"/>
      <c r="H1056" s="186"/>
      <c r="I1056" s="187"/>
      <c r="J1056" s="24"/>
      <c r="K1056" s="24"/>
      <c r="L1056" s="24"/>
      <c r="M1056" s="187"/>
      <c r="N1056" s="187"/>
    </row>
    <row r="1057">
      <c r="A1057" s="24"/>
      <c r="B1057" s="24"/>
      <c r="C1057" s="24"/>
      <c r="D1057" s="24"/>
      <c r="E1057" s="24"/>
      <c r="F1057" s="24"/>
      <c r="G1057" s="185"/>
      <c r="H1057" s="186"/>
      <c r="I1057" s="187"/>
      <c r="J1057" s="24"/>
      <c r="K1057" s="24"/>
      <c r="L1057" s="24"/>
      <c r="M1057" s="187"/>
      <c r="N1057" s="187"/>
    </row>
    <row r="1058">
      <c r="A1058" s="24"/>
      <c r="B1058" s="24"/>
      <c r="C1058" s="24"/>
      <c r="D1058" s="24"/>
      <c r="E1058" s="24"/>
      <c r="F1058" s="24"/>
      <c r="G1058" s="185"/>
      <c r="H1058" s="186"/>
      <c r="I1058" s="187"/>
      <c r="J1058" s="24"/>
      <c r="K1058" s="24"/>
      <c r="L1058" s="24"/>
      <c r="M1058" s="187"/>
      <c r="N1058" s="187"/>
    </row>
    <row r="1059">
      <c r="A1059" s="24"/>
      <c r="B1059" s="24"/>
      <c r="C1059" s="24"/>
      <c r="D1059" s="24"/>
      <c r="E1059" s="24"/>
      <c r="F1059" s="24"/>
      <c r="G1059" s="185"/>
      <c r="H1059" s="186"/>
      <c r="I1059" s="187"/>
      <c r="J1059" s="24"/>
      <c r="K1059" s="24"/>
      <c r="L1059" s="24"/>
      <c r="M1059" s="187"/>
      <c r="N1059" s="187"/>
    </row>
    <row r="1060">
      <c r="A1060" s="24"/>
      <c r="B1060" s="24"/>
      <c r="C1060" s="24"/>
      <c r="D1060" s="24"/>
      <c r="E1060" s="24"/>
      <c r="F1060" s="24"/>
      <c r="G1060" s="185"/>
      <c r="H1060" s="186"/>
      <c r="I1060" s="187"/>
      <c r="J1060" s="24"/>
      <c r="K1060" s="24"/>
      <c r="L1060" s="24"/>
      <c r="M1060" s="187"/>
      <c r="N1060" s="187"/>
    </row>
    <row r="1061">
      <c r="A1061" s="24"/>
      <c r="B1061" s="24"/>
      <c r="C1061" s="24"/>
      <c r="D1061" s="24"/>
      <c r="E1061" s="24"/>
      <c r="F1061" s="24"/>
      <c r="G1061" s="185"/>
      <c r="H1061" s="186"/>
      <c r="I1061" s="187"/>
      <c r="J1061" s="24"/>
      <c r="K1061" s="24"/>
      <c r="L1061" s="24"/>
      <c r="M1061" s="187"/>
      <c r="N1061" s="187"/>
    </row>
    <row r="1062">
      <c r="A1062" s="24"/>
      <c r="B1062" s="24"/>
      <c r="C1062" s="24"/>
      <c r="D1062" s="24"/>
      <c r="E1062" s="24"/>
      <c r="F1062" s="24"/>
      <c r="G1062" s="185"/>
      <c r="H1062" s="186"/>
      <c r="I1062" s="187"/>
      <c r="J1062" s="24"/>
      <c r="K1062" s="24"/>
      <c r="L1062" s="24"/>
      <c r="M1062" s="187"/>
      <c r="N1062" s="187"/>
    </row>
    <row r="1063">
      <c r="A1063" s="24"/>
      <c r="B1063" s="24"/>
      <c r="C1063" s="24"/>
      <c r="D1063" s="24"/>
      <c r="E1063" s="24"/>
      <c r="F1063" s="24"/>
      <c r="G1063" s="185"/>
      <c r="H1063" s="186"/>
      <c r="I1063" s="187"/>
      <c r="J1063" s="24"/>
      <c r="K1063" s="24"/>
      <c r="L1063" s="24"/>
      <c r="M1063" s="187"/>
      <c r="N1063" s="187"/>
    </row>
    <row r="1064">
      <c r="A1064" s="24"/>
      <c r="B1064" s="24"/>
      <c r="C1064" s="24"/>
      <c r="D1064" s="24"/>
      <c r="E1064" s="24"/>
      <c r="F1064" s="24"/>
      <c r="G1064" s="185"/>
      <c r="H1064" s="186"/>
      <c r="I1064" s="187"/>
      <c r="J1064" s="24"/>
      <c r="K1064" s="24"/>
      <c r="L1064" s="24"/>
      <c r="M1064" s="187"/>
      <c r="N1064" s="187"/>
    </row>
    <row r="1065">
      <c r="A1065" s="24"/>
      <c r="B1065" s="24"/>
      <c r="C1065" s="24"/>
      <c r="D1065" s="24"/>
      <c r="E1065" s="24"/>
      <c r="F1065" s="24"/>
      <c r="G1065" s="185"/>
      <c r="H1065" s="186"/>
      <c r="I1065" s="187"/>
      <c r="J1065" s="24"/>
      <c r="K1065" s="24"/>
      <c r="L1065" s="24"/>
      <c r="M1065" s="187"/>
      <c r="N1065" s="187"/>
    </row>
    <row r="1066">
      <c r="A1066" s="24"/>
      <c r="B1066" s="24"/>
      <c r="C1066" s="24"/>
      <c r="D1066" s="24"/>
      <c r="E1066" s="24"/>
      <c r="F1066" s="24"/>
      <c r="G1066" s="185"/>
      <c r="H1066" s="186"/>
      <c r="I1066" s="187"/>
      <c r="J1066" s="24"/>
      <c r="K1066" s="24"/>
      <c r="L1066" s="24"/>
      <c r="M1066" s="187"/>
      <c r="N1066" s="187"/>
    </row>
    <row r="1067">
      <c r="A1067" s="24"/>
      <c r="B1067" s="24"/>
      <c r="C1067" s="24"/>
      <c r="D1067" s="24"/>
      <c r="E1067" s="24"/>
      <c r="F1067" s="24"/>
      <c r="G1067" s="185"/>
      <c r="H1067" s="186"/>
      <c r="I1067" s="187"/>
      <c r="J1067" s="24"/>
      <c r="K1067" s="24"/>
      <c r="L1067" s="24"/>
      <c r="M1067" s="187"/>
      <c r="N1067" s="187"/>
    </row>
    <row r="1068">
      <c r="A1068" s="24"/>
      <c r="B1068" s="24"/>
      <c r="C1068" s="24"/>
      <c r="D1068" s="24"/>
      <c r="E1068" s="24"/>
      <c r="F1068" s="24"/>
      <c r="G1068" s="185"/>
      <c r="H1068" s="186"/>
      <c r="I1068" s="187"/>
      <c r="J1068" s="24"/>
      <c r="K1068" s="24"/>
      <c r="L1068" s="24"/>
      <c r="M1068" s="187"/>
      <c r="N1068" s="187"/>
    </row>
    <row r="1069">
      <c r="A1069" s="24"/>
      <c r="B1069" s="24"/>
      <c r="C1069" s="24"/>
      <c r="D1069" s="24"/>
      <c r="E1069" s="24"/>
      <c r="F1069" s="24"/>
      <c r="G1069" s="185"/>
      <c r="H1069" s="186"/>
      <c r="I1069" s="187"/>
      <c r="J1069" s="24"/>
      <c r="K1069" s="24"/>
      <c r="L1069" s="24"/>
      <c r="M1069" s="187"/>
      <c r="N1069" s="187"/>
    </row>
    <row r="1070">
      <c r="A1070" s="24"/>
      <c r="B1070" s="24"/>
      <c r="C1070" s="24"/>
      <c r="D1070" s="24"/>
      <c r="E1070" s="24"/>
      <c r="F1070" s="24"/>
      <c r="G1070" s="185"/>
      <c r="H1070" s="186"/>
      <c r="I1070" s="187"/>
      <c r="J1070" s="24"/>
      <c r="K1070" s="24"/>
      <c r="L1070" s="24"/>
      <c r="M1070" s="187"/>
      <c r="N1070" s="187"/>
    </row>
    <row r="1071">
      <c r="A1071" s="24"/>
      <c r="B1071" s="24"/>
      <c r="C1071" s="24"/>
      <c r="D1071" s="24"/>
      <c r="E1071" s="24"/>
      <c r="F1071" s="24"/>
      <c r="G1071" s="185"/>
      <c r="H1071" s="186"/>
      <c r="I1071" s="187"/>
      <c r="J1071" s="24"/>
      <c r="K1071" s="24"/>
      <c r="L1071" s="24"/>
      <c r="M1071" s="187"/>
      <c r="N1071" s="187"/>
    </row>
    <row r="1072">
      <c r="A1072" s="24"/>
      <c r="B1072" s="24"/>
      <c r="C1072" s="24"/>
      <c r="D1072" s="24"/>
      <c r="E1072" s="24"/>
      <c r="F1072" s="24"/>
      <c r="G1072" s="185"/>
      <c r="H1072" s="186"/>
      <c r="I1072" s="187"/>
      <c r="J1072" s="24"/>
      <c r="K1072" s="24"/>
      <c r="L1072" s="24"/>
      <c r="M1072" s="187"/>
      <c r="N1072" s="187"/>
    </row>
    <row r="1073">
      <c r="A1073" s="24"/>
      <c r="B1073" s="24"/>
      <c r="C1073" s="24"/>
      <c r="D1073" s="24"/>
      <c r="E1073" s="24"/>
      <c r="F1073" s="24"/>
      <c r="G1073" s="185"/>
      <c r="H1073" s="186"/>
      <c r="I1073" s="187"/>
      <c r="J1073" s="24"/>
      <c r="K1073" s="24"/>
      <c r="L1073" s="24"/>
      <c r="M1073" s="187"/>
      <c r="N1073" s="187"/>
    </row>
    <row r="1074">
      <c r="A1074" s="24"/>
      <c r="B1074" s="24"/>
      <c r="C1074" s="24"/>
      <c r="D1074" s="24"/>
      <c r="E1074" s="24"/>
      <c r="F1074" s="24"/>
      <c r="G1074" s="185"/>
      <c r="H1074" s="186"/>
      <c r="I1074" s="187"/>
      <c r="J1074" s="24"/>
      <c r="K1074" s="24"/>
      <c r="L1074" s="24"/>
      <c r="M1074" s="187"/>
      <c r="N1074" s="187"/>
    </row>
    <row r="1075">
      <c r="A1075" s="24"/>
      <c r="B1075" s="24"/>
      <c r="C1075" s="24"/>
      <c r="D1075" s="24"/>
      <c r="E1075" s="24"/>
      <c r="F1075" s="24"/>
      <c r="G1075" s="185"/>
      <c r="H1075" s="186"/>
      <c r="I1075" s="187"/>
      <c r="J1075" s="24"/>
      <c r="K1075" s="24"/>
      <c r="L1075" s="24"/>
      <c r="M1075" s="187"/>
      <c r="N1075" s="187"/>
    </row>
    <row r="1076">
      <c r="A1076" s="24"/>
      <c r="B1076" s="24"/>
      <c r="C1076" s="24"/>
      <c r="D1076" s="24"/>
      <c r="E1076" s="24"/>
      <c r="F1076" s="24"/>
      <c r="G1076" s="185"/>
      <c r="H1076" s="186"/>
      <c r="I1076" s="187"/>
      <c r="J1076" s="24"/>
      <c r="K1076" s="24"/>
      <c r="L1076" s="24"/>
      <c r="M1076" s="187"/>
      <c r="N1076" s="187"/>
    </row>
    <row r="1077">
      <c r="A1077" s="24"/>
      <c r="B1077" s="24"/>
      <c r="C1077" s="24"/>
      <c r="D1077" s="24"/>
      <c r="E1077" s="24"/>
      <c r="F1077" s="24"/>
      <c r="G1077" s="185"/>
      <c r="H1077" s="186"/>
      <c r="I1077" s="187"/>
      <c r="J1077" s="24"/>
      <c r="K1077" s="24"/>
      <c r="L1077" s="24"/>
      <c r="M1077" s="187"/>
      <c r="N1077" s="187"/>
    </row>
    <row r="1078">
      <c r="A1078" s="24"/>
      <c r="B1078" s="24"/>
      <c r="C1078" s="24"/>
      <c r="D1078" s="24"/>
      <c r="E1078" s="24"/>
      <c r="F1078" s="24"/>
      <c r="G1078" s="185"/>
      <c r="H1078" s="186"/>
      <c r="I1078" s="187"/>
      <c r="J1078" s="24"/>
      <c r="K1078" s="24"/>
      <c r="L1078" s="24"/>
      <c r="M1078" s="187"/>
      <c r="N1078" s="187"/>
    </row>
    <row r="1079">
      <c r="A1079" s="24"/>
      <c r="B1079" s="24"/>
      <c r="C1079" s="24"/>
      <c r="D1079" s="24"/>
      <c r="E1079" s="24"/>
      <c r="F1079" s="24"/>
      <c r="G1079" s="185"/>
      <c r="H1079" s="186"/>
      <c r="I1079" s="187"/>
      <c r="J1079" s="24"/>
      <c r="K1079" s="24"/>
      <c r="L1079" s="24"/>
      <c r="M1079" s="187"/>
      <c r="N1079" s="187"/>
    </row>
    <row r="1080">
      <c r="A1080" s="24"/>
      <c r="B1080" s="24"/>
      <c r="C1080" s="24"/>
      <c r="D1080" s="24"/>
      <c r="E1080" s="24"/>
      <c r="F1080" s="24"/>
      <c r="G1080" s="185"/>
      <c r="H1080" s="186"/>
      <c r="I1080" s="187"/>
      <c r="J1080" s="24"/>
      <c r="K1080" s="24"/>
      <c r="L1080" s="24"/>
      <c r="M1080" s="187"/>
      <c r="N1080" s="187"/>
    </row>
    <row r="1081">
      <c r="A1081" s="24"/>
      <c r="B1081" s="24"/>
      <c r="C1081" s="24"/>
      <c r="D1081" s="24"/>
      <c r="E1081" s="24"/>
      <c r="F1081" s="24"/>
      <c r="G1081" s="185"/>
      <c r="H1081" s="186"/>
      <c r="I1081" s="187"/>
      <c r="J1081" s="24"/>
      <c r="K1081" s="24"/>
      <c r="L1081" s="24"/>
      <c r="M1081" s="187"/>
      <c r="N1081" s="187"/>
    </row>
    <row r="1082">
      <c r="A1082" s="24"/>
      <c r="B1082" s="24"/>
      <c r="C1082" s="24"/>
      <c r="D1082" s="24"/>
      <c r="E1082" s="24"/>
      <c r="F1082" s="24"/>
      <c r="G1082" s="185"/>
      <c r="H1082" s="186"/>
      <c r="I1082" s="187"/>
      <c r="J1082" s="24"/>
      <c r="K1082" s="24"/>
      <c r="L1082" s="24"/>
      <c r="M1082" s="187"/>
      <c r="N1082" s="187"/>
    </row>
    <row r="1083">
      <c r="A1083" s="24"/>
      <c r="B1083" s="24"/>
      <c r="C1083" s="24"/>
      <c r="D1083" s="24"/>
      <c r="E1083" s="24"/>
      <c r="F1083" s="24"/>
      <c r="G1083" s="185"/>
      <c r="H1083" s="186"/>
      <c r="I1083" s="187"/>
      <c r="J1083" s="24"/>
      <c r="K1083" s="24"/>
      <c r="L1083" s="24"/>
      <c r="M1083" s="187"/>
      <c r="N1083" s="187"/>
    </row>
    <row r="1084">
      <c r="A1084" s="24"/>
      <c r="B1084" s="24"/>
      <c r="C1084" s="24"/>
      <c r="D1084" s="24"/>
      <c r="E1084" s="24"/>
      <c r="F1084" s="24"/>
      <c r="G1084" s="185"/>
      <c r="H1084" s="186"/>
      <c r="I1084" s="187"/>
      <c r="J1084" s="24"/>
      <c r="K1084" s="24"/>
      <c r="L1084" s="24"/>
      <c r="M1084" s="187"/>
      <c r="N1084" s="187"/>
    </row>
    <row r="1085">
      <c r="A1085" s="24"/>
      <c r="B1085" s="24"/>
      <c r="C1085" s="24"/>
      <c r="D1085" s="24"/>
      <c r="E1085" s="24"/>
      <c r="F1085" s="24"/>
      <c r="G1085" s="185"/>
      <c r="H1085" s="186"/>
      <c r="I1085" s="187"/>
      <c r="J1085" s="24"/>
      <c r="K1085" s="24"/>
      <c r="L1085" s="24"/>
      <c r="M1085" s="187"/>
      <c r="N1085" s="187"/>
    </row>
    <row r="1086">
      <c r="A1086" s="24"/>
      <c r="B1086" s="24"/>
      <c r="C1086" s="24"/>
      <c r="D1086" s="24"/>
      <c r="E1086" s="24"/>
      <c r="F1086" s="24"/>
      <c r="G1086" s="185"/>
      <c r="H1086" s="186"/>
      <c r="I1086" s="187"/>
      <c r="J1086" s="24"/>
      <c r="K1086" s="24"/>
      <c r="L1086" s="24"/>
      <c r="M1086" s="187"/>
      <c r="N1086" s="187"/>
    </row>
    <row r="1087">
      <c r="A1087" s="24"/>
      <c r="B1087" s="24"/>
      <c r="C1087" s="24"/>
      <c r="D1087" s="24"/>
      <c r="E1087" s="24"/>
      <c r="F1087" s="24"/>
      <c r="G1087" s="185"/>
      <c r="H1087" s="186"/>
      <c r="I1087" s="187"/>
      <c r="J1087" s="24"/>
      <c r="K1087" s="24"/>
      <c r="L1087" s="24"/>
      <c r="M1087" s="187"/>
      <c r="N1087" s="187"/>
    </row>
    <row r="1088">
      <c r="A1088" s="24"/>
      <c r="B1088" s="24"/>
      <c r="C1088" s="24"/>
      <c r="D1088" s="24"/>
      <c r="E1088" s="24"/>
      <c r="F1088" s="24"/>
      <c r="G1088" s="185"/>
      <c r="H1088" s="186"/>
      <c r="I1088" s="187"/>
      <c r="J1088" s="24"/>
      <c r="K1088" s="24"/>
      <c r="L1088" s="24"/>
      <c r="M1088" s="187"/>
      <c r="N1088" s="187"/>
    </row>
    <row r="1089">
      <c r="A1089" s="24"/>
      <c r="B1089" s="24"/>
      <c r="C1089" s="24"/>
      <c r="D1089" s="24"/>
      <c r="E1089" s="24"/>
      <c r="F1089" s="24"/>
      <c r="G1089" s="185"/>
      <c r="H1089" s="186"/>
      <c r="I1089" s="187"/>
      <c r="J1089" s="24"/>
      <c r="K1089" s="24"/>
      <c r="L1089" s="24"/>
      <c r="M1089" s="187"/>
      <c r="N1089" s="187"/>
    </row>
    <row r="1090">
      <c r="A1090" s="24"/>
      <c r="B1090" s="24"/>
      <c r="C1090" s="24"/>
      <c r="D1090" s="24"/>
      <c r="E1090" s="24"/>
      <c r="F1090" s="24"/>
      <c r="G1090" s="185"/>
      <c r="H1090" s="186"/>
      <c r="I1090" s="187"/>
      <c r="J1090" s="24"/>
      <c r="K1090" s="24"/>
      <c r="L1090" s="24"/>
      <c r="M1090" s="187"/>
      <c r="N1090" s="187"/>
    </row>
    <row r="1091">
      <c r="A1091" s="24"/>
      <c r="B1091" s="24"/>
      <c r="C1091" s="24"/>
      <c r="D1091" s="24"/>
      <c r="E1091" s="24"/>
      <c r="F1091" s="24"/>
      <c r="G1091" s="185"/>
      <c r="H1091" s="186"/>
      <c r="I1091" s="187"/>
      <c r="J1091" s="24"/>
      <c r="K1091" s="24"/>
      <c r="L1091" s="24"/>
      <c r="M1091" s="187"/>
      <c r="N1091" s="187"/>
    </row>
    <row r="1092">
      <c r="A1092" s="24"/>
      <c r="B1092" s="24"/>
      <c r="C1092" s="24"/>
      <c r="D1092" s="24"/>
      <c r="E1092" s="24"/>
      <c r="F1092" s="24"/>
      <c r="G1092" s="185"/>
      <c r="H1092" s="186"/>
      <c r="I1092" s="187"/>
      <c r="J1092" s="24"/>
      <c r="K1092" s="24"/>
      <c r="L1092" s="24"/>
      <c r="M1092" s="187"/>
      <c r="N1092" s="187"/>
    </row>
    <row r="1093">
      <c r="A1093" s="24"/>
      <c r="B1093" s="24"/>
      <c r="C1093" s="24"/>
      <c r="D1093" s="24"/>
      <c r="E1093" s="24"/>
      <c r="F1093" s="24"/>
      <c r="G1093" s="185"/>
      <c r="H1093" s="186"/>
      <c r="I1093" s="187"/>
      <c r="J1093" s="24"/>
      <c r="K1093" s="24"/>
      <c r="L1093" s="24"/>
      <c r="M1093" s="187"/>
      <c r="N1093" s="187"/>
    </row>
    <row r="1094">
      <c r="A1094" s="24"/>
      <c r="B1094" s="24"/>
      <c r="C1094" s="24"/>
      <c r="D1094" s="24"/>
      <c r="E1094" s="24"/>
      <c r="F1094" s="24"/>
      <c r="G1094" s="185"/>
      <c r="H1094" s="186"/>
      <c r="I1094" s="187"/>
      <c r="J1094" s="24"/>
      <c r="K1094" s="24"/>
      <c r="L1094" s="24"/>
      <c r="M1094" s="187"/>
      <c r="N1094" s="187"/>
    </row>
    <row r="1095">
      <c r="A1095" s="24"/>
      <c r="B1095" s="24"/>
      <c r="C1095" s="24"/>
      <c r="D1095" s="24"/>
      <c r="E1095" s="24"/>
      <c r="F1095" s="24"/>
      <c r="G1095" s="185"/>
      <c r="H1095" s="186"/>
      <c r="I1095" s="187"/>
      <c r="J1095" s="24"/>
      <c r="K1095" s="24"/>
      <c r="L1095" s="24"/>
      <c r="M1095" s="187"/>
      <c r="N1095" s="187"/>
    </row>
    <row r="1096">
      <c r="A1096" s="24"/>
      <c r="B1096" s="24"/>
      <c r="C1096" s="24"/>
      <c r="D1096" s="24"/>
      <c r="E1096" s="24"/>
      <c r="F1096" s="24"/>
      <c r="G1096" s="185"/>
      <c r="H1096" s="186"/>
      <c r="I1096" s="187"/>
      <c r="J1096" s="24"/>
      <c r="K1096" s="24"/>
      <c r="L1096" s="24"/>
      <c r="M1096" s="187"/>
      <c r="N1096" s="187"/>
    </row>
    <row r="1097">
      <c r="A1097" s="24"/>
      <c r="B1097" s="24"/>
      <c r="C1097" s="24"/>
      <c r="D1097" s="24"/>
      <c r="E1097" s="24"/>
      <c r="F1097" s="24"/>
      <c r="G1097" s="185"/>
      <c r="H1097" s="186"/>
      <c r="I1097" s="187"/>
      <c r="J1097" s="24"/>
      <c r="K1097" s="24"/>
      <c r="L1097" s="24"/>
      <c r="M1097" s="187"/>
      <c r="N1097" s="187"/>
    </row>
    <row r="1098">
      <c r="A1098" s="24"/>
      <c r="B1098" s="24"/>
      <c r="C1098" s="24"/>
      <c r="D1098" s="24"/>
      <c r="E1098" s="24"/>
      <c r="F1098" s="24"/>
      <c r="G1098" s="185"/>
      <c r="H1098" s="186"/>
      <c r="I1098" s="187"/>
      <c r="J1098" s="24"/>
      <c r="K1098" s="24"/>
      <c r="L1098" s="24"/>
      <c r="M1098" s="187"/>
      <c r="N1098" s="187"/>
    </row>
    <row r="1099">
      <c r="A1099" s="24"/>
      <c r="B1099" s="24"/>
      <c r="C1099" s="24"/>
      <c r="D1099" s="24"/>
      <c r="E1099" s="24"/>
      <c r="F1099" s="24"/>
      <c r="G1099" s="185"/>
      <c r="H1099" s="186"/>
      <c r="I1099" s="187"/>
      <c r="J1099" s="24"/>
      <c r="K1099" s="24"/>
      <c r="L1099" s="24"/>
      <c r="M1099" s="187"/>
      <c r="N1099" s="187"/>
    </row>
    <row r="1100">
      <c r="A1100" s="24"/>
      <c r="B1100" s="24"/>
      <c r="C1100" s="24"/>
      <c r="D1100" s="24"/>
      <c r="E1100" s="24"/>
      <c r="F1100" s="24"/>
      <c r="G1100" s="185"/>
      <c r="H1100" s="186"/>
      <c r="I1100" s="187"/>
      <c r="J1100" s="24"/>
      <c r="K1100" s="24"/>
      <c r="L1100" s="24"/>
      <c r="M1100" s="187"/>
      <c r="N1100" s="187"/>
    </row>
    <row r="1101">
      <c r="A1101" s="24"/>
      <c r="B1101" s="24"/>
      <c r="C1101" s="24"/>
      <c r="D1101" s="24"/>
      <c r="E1101" s="24"/>
      <c r="F1101" s="24"/>
      <c r="G1101" s="185"/>
      <c r="H1101" s="186"/>
      <c r="I1101" s="187"/>
      <c r="J1101" s="24"/>
      <c r="K1101" s="24"/>
      <c r="L1101" s="24"/>
      <c r="M1101" s="187"/>
      <c r="N1101" s="187"/>
    </row>
    <row r="1102">
      <c r="A1102" s="24"/>
      <c r="B1102" s="24"/>
      <c r="C1102" s="24"/>
      <c r="D1102" s="24"/>
      <c r="E1102" s="24"/>
      <c r="F1102" s="24"/>
      <c r="G1102" s="185"/>
      <c r="H1102" s="186"/>
      <c r="I1102" s="187"/>
      <c r="J1102" s="24"/>
      <c r="K1102" s="24"/>
      <c r="L1102" s="24"/>
      <c r="M1102" s="187"/>
      <c r="N1102" s="187"/>
    </row>
    <row r="1103">
      <c r="A1103" s="24"/>
      <c r="B1103" s="24"/>
      <c r="C1103" s="24"/>
      <c r="D1103" s="24"/>
      <c r="E1103" s="24"/>
      <c r="F1103" s="24"/>
      <c r="G1103" s="185"/>
      <c r="H1103" s="186"/>
      <c r="I1103" s="187"/>
      <c r="J1103" s="24"/>
      <c r="K1103" s="24"/>
      <c r="L1103" s="24"/>
      <c r="M1103" s="187"/>
      <c r="N1103" s="187"/>
    </row>
    <row r="1104">
      <c r="A1104" s="24"/>
      <c r="B1104" s="24"/>
      <c r="C1104" s="24"/>
      <c r="D1104" s="24"/>
      <c r="E1104" s="24"/>
      <c r="F1104" s="24"/>
      <c r="G1104" s="185"/>
      <c r="H1104" s="186"/>
      <c r="I1104" s="187"/>
      <c r="J1104" s="24"/>
      <c r="K1104" s="24"/>
      <c r="L1104" s="24"/>
      <c r="M1104" s="187"/>
      <c r="N1104" s="187"/>
    </row>
    <row r="1105">
      <c r="A1105" s="24"/>
      <c r="B1105" s="24"/>
      <c r="C1105" s="24"/>
      <c r="D1105" s="24"/>
      <c r="E1105" s="24"/>
      <c r="F1105" s="24"/>
      <c r="G1105" s="185"/>
      <c r="H1105" s="186"/>
      <c r="I1105" s="187"/>
      <c r="J1105" s="24"/>
      <c r="K1105" s="24"/>
      <c r="L1105" s="24"/>
      <c r="M1105" s="187"/>
      <c r="N1105" s="187"/>
    </row>
    <row r="1106">
      <c r="A1106" s="24"/>
      <c r="B1106" s="24"/>
      <c r="C1106" s="24"/>
      <c r="D1106" s="24"/>
      <c r="E1106" s="24"/>
      <c r="F1106" s="24"/>
      <c r="G1106" s="185"/>
      <c r="H1106" s="186"/>
      <c r="I1106" s="187"/>
      <c r="J1106" s="24"/>
      <c r="K1106" s="24"/>
      <c r="L1106" s="24"/>
      <c r="M1106" s="187"/>
      <c r="N1106" s="187"/>
    </row>
    <row r="1107">
      <c r="A1107" s="24"/>
      <c r="B1107" s="24"/>
      <c r="C1107" s="24"/>
      <c r="D1107" s="24"/>
      <c r="E1107" s="24"/>
      <c r="F1107" s="24"/>
      <c r="G1107" s="185"/>
      <c r="H1107" s="186"/>
      <c r="I1107" s="187"/>
      <c r="J1107" s="24"/>
      <c r="K1107" s="24"/>
      <c r="L1107" s="24"/>
      <c r="M1107" s="187"/>
      <c r="N1107" s="187"/>
    </row>
    <row r="1108">
      <c r="A1108" s="24"/>
      <c r="B1108" s="24"/>
      <c r="C1108" s="24"/>
      <c r="D1108" s="24"/>
      <c r="E1108" s="24"/>
      <c r="F1108" s="24"/>
      <c r="G1108" s="185"/>
      <c r="H1108" s="186"/>
      <c r="I1108" s="187"/>
      <c r="J1108" s="24"/>
      <c r="K1108" s="24"/>
      <c r="L1108" s="24"/>
      <c r="M1108" s="187"/>
      <c r="N1108" s="187"/>
    </row>
    <row r="1109">
      <c r="A1109" s="24"/>
      <c r="B1109" s="24"/>
      <c r="C1109" s="24"/>
      <c r="D1109" s="24"/>
      <c r="E1109" s="24"/>
      <c r="F1109" s="24"/>
      <c r="G1109" s="185"/>
      <c r="H1109" s="186"/>
      <c r="I1109" s="187"/>
      <c r="J1109" s="24"/>
      <c r="K1109" s="24"/>
      <c r="L1109" s="24"/>
      <c r="M1109" s="187"/>
      <c r="N1109" s="187"/>
    </row>
    <row r="1110">
      <c r="A1110" s="24"/>
      <c r="B1110" s="24"/>
      <c r="C1110" s="24"/>
      <c r="D1110" s="24"/>
      <c r="E1110" s="24"/>
      <c r="F1110" s="24"/>
      <c r="G1110" s="185"/>
      <c r="H1110" s="186"/>
      <c r="I1110" s="187"/>
      <c r="J1110" s="24"/>
      <c r="K1110" s="24"/>
      <c r="L1110" s="24"/>
      <c r="M1110" s="187"/>
      <c r="N1110" s="187"/>
    </row>
    <row r="1111">
      <c r="A1111" s="24"/>
      <c r="B1111" s="24"/>
      <c r="C1111" s="24"/>
      <c r="D1111" s="24"/>
      <c r="E1111" s="24"/>
      <c r="F1111" s="24"/>
      <c r="G1111" s="185"/>
      <c r="H1111" s="186"/>
      <c r="I1111" s="187"/>
      <c r="J1111" s="24"/>
      <c r="K1111" s="24"/>
      <c r="L1111" s="24"/>
      <c r="M1111" s="187"/>
      <c r="N1111" s="187"/>
    </row>
    <row r="1112">
      <c r="A1112" s="24"/>
      <c r="B1112" s="24"/>
      <c r="C1112" s="24"/>
      <c r="D1112" s="24"/>
      <c r="E1112" s="24"/>
      <c r="F1112" s="24"/>
      <c r="G1112" s="185"/>
      <c r="H1112" s="186"/>
      <c r="I1112" s="187"/>
      <c r="J1112" s="24"/>
      <c r="K1112" s="24"/>
      <c r="L1112" s="24"/>
      <c r="M1112" s="187"/>
      <c r="N1112" s="187"/>
    </row>
    <row r="1113">
      <c r="A1113" s="24"/>
      <c r="B1113" s="24"/>
      <c r="C1113" s="24"/>
      <c r="D1113" s="24"/>
      <c r="E1113" s="24"/>
      <c r="F1113" s="24"/>
      <c r="G1113" s="185"/>
      <c r="H1113" s="186"/>
      <c r="I1113" s="187"/>
      <c r="J1113" s="24"/>
      <c r="K1113" s="24"/>
      <c r="L1113" s="24"/>
      <c r="M1113" s="187"/>
      <c r="N1113" s="187"/>
    </row>
    <row r="1114">
      <c r="A1114" s="24"/>
      <c r="B1114" s="24"/>
      <c r="C1114" s="24"/>
      <c r="D1114" s="24"/>
      <c r="E1114" s="24"/>
      <c r="F1114" s="24"/>
      <c r="G1114" s="185"/>
      <c r="H1114" s="186"/>
      <c r="I1114" s="187"/>
      <c r="J1114" s="24"/>
      <c r="K1114" s="24"/>
      <c r="L1114" s="24"/>
      <c r="M1114" s="187"/>
      <c r="N1114" s="187"/>
    </row>
    <row r="1115">
      <c r="A1115" s="24"/>
      <c r="B1115" s="24"/>
      <c r="C1115" s="24"/>
      <c r="D1115" s="24"/>
      <c r="E1115" s="24"/>
      <c r="F1115" s="24"/>
      <c r="G1115" s="185"/>
      <c r="H1115" s="186"/>
      <c r="I1115" s="187"/>
      <c r="J1115" s="24"/>
      <c r="K1115" s="24"/>
      <c r="L1115" s="24"/>
      <c r="M1115" s="187"/>
      <c r="N1115" s="187"/>
    </row>
    <row r="1116">
      <c r="A1116" s="24"/>
      <c r="B1116" s="24"/>
      <c r="C1116" s="24"/>
      <c r="D1116" s="24"/>
      <c r="E1116" s="24"/>
      <c r="F1116" s="24"/>
      <c r="G1116" s="185"/>
      <c r="H1116" s="186"/>
      <c r="I1116" s="187"/>
      <c r="J1116" s="24"/>
      <c r="K1116" s="24"/>
      <c r="L1116" s="24"/>
      <c r="M1116" s="187"/>
      <c r="N1116" s="187"/>
    </row>
    <row r="1117">
      <c r="A1117" s="24"/>
      <c r="B1117" s="24"/>
      <c r="C1117" s="24"/>
      <c r="D1117" s="24"/>
      <c r="E1117" s="24"/>
      <c r="F1117" s="24"/>
      <c r="G1117" s="185"/>
      <c r="H1117" s="186"/>
      <c r="I1117" s="187"/>
      <c r="J1117" s="24"/>
      <c r="K1117" s="24"/>
      <c r="L1117" s="24"/>
      <c r="M1117" s="187"/>
      <c r="N1117" s="187"/>
    </row>
    <row r="1118">
      <c r="A1118" s="24"/>
      <c r="B1118" s="24"/>
      <c r="C1118" s="24"/>
      <c r="D1118" s="24"/>
      <c r="E1118" s="24"/>
      <c r="F1118" s="24"/>
      <c r="G1118" s="185"/>
      <c r="H1118" s="186"/>
      <c r="I1118" s="187"/>
      <c r="J1118" s="24"/>
      <c r="K1118" s="24"/>
      <c r="L1118" s="24"/>
      <c r="M1118" s="187"/>
      <c r="N1118" s="187"/>
    </row>
    <row r="1119">
      <c r="A1119" s="24"/>
      <c r="B1119" s="24"/>
      <c r="C1119" s="24"/>
      <c r="D1119" s="24"/>
      <c r="E1119" s="24"/>
      <c r="F1119" s="24"/>
      <c r="G1119" s="185"/>
      <c r="H1119" s="186"/>
      <c r="I1119" s="187"/>
      <c r="J1119" s="24"/>
      <c r="K1119" s="24"/>
      <c r="L1119" s="24"/>
      <c r="M1119" s="187"/>
      <c r="N1119" s="187"/>
    </row>
    <row r="1120">
      <c r="A1120" s="24"/>
      <c r="B1120" s="24"/>
      <c r="C1120" s="24"/>
      <c r="D1120" s="24"/>
      <c r="E1120" s="24"/>
      <c r="F1120" s="24"/>
      <c r="G1120" s="185"/>
      <c r="H1120" s="186"/>
      <c r="I1120" s="187"/>
      <c r="J1120" s="24"/>
      <c r="K1120" s="24"/>
      <c r="L1120" s="24"/>
      <c r="M1120" s="187"/>
      <c r="N1120" s="187"/>
    </row>
    <row r="1121">
      <c r="A1121" s="24"/>
      <c r="B1121" s="24"/>
      <c r="C1121" s="24"/>
      <c r="D1121" s="24"/>
      <c r="E1121" s="24"/>
      <c r="F1121" s="24"/>
      <c r="G1121" s="185"/>
      <c r="H1121" s="186"/>
      <c r="I1121" s="187"/>
      <c r="J1121" s="24"/>
      <c r="K1121" s="24"/>
      <c r="L1121" s="24"/>
      <c r="M1121" s="187"/>
      <c r="N1121" s="187"/>
    </row>
    <row r="1122">
      <c r="A1122" s="24"/>
      <c r="B1122" s="24"/>
      <c r="C1122" s="24"/>
      <c r="D1122" s="24"/>
      <c r="E1122" s="24"/>
      <c r="F1122" s="24"/>
      <c r="G1122" s="185"/>
      <c r="H1122" s="186"/>
      <c r="I1122" s="187"/>
      <c r="J1122" s="24"/>
      <c r="K1122" s="24"/>
      <c r="L1122" s="24"/>
      <c r="M1122" s="187"/>
      <c r="N1122" s="187"/>
    </row>
    <row r="1123">
      <c r="A1123" s="24"/>
      <c r="B1123" s="24"/>
      <c r="C1123" s="24"/>
      <c r="D1123" s="24"/>
      <c r="E1123" s="24"/>
      <c r="F1123" s="24"/>
      <c r="G1123" s="185"/>
      <c r="H1123" s="186"/>
      <c r="I1123" s="187"/>
      <c r="J1123" s="24"/>
      <c r="K1123" s="24"/>
      <c r="L1123" s="24"/>
      <c r="M1123" s="187"/>
      <c r="N1123" s="187"/>
    </row>
    <row r="1124">
      <c r="A1124" s="24"/>
      <c r="B1124" s="24"/>
      <c r="C1124" s="24"/>
      <c r="D1124" s="24"/>
      <c r="E1124" s="24"/>
      <c r="F1124" s="24"/>
      <c r="G1124" s="185"/>
      <c r="H1124" s="186"/>
      <c r="I1124" s="187"/>
      <c r="J1124" s="24"/>
      <c r="K1124" s="24"/>
      <c r="L1124" s="24"/>
      <c r="M1124" s="187"/>
      <c r="N1124" s="187"/>
    </row>
    <row r="1125">
      <c r="A1125" s="24"/>
      <c r="B1125" s="24"/>
      <c r="C1125" s="24"/>
      <c r="D1125" s="24"/>
      <c r="E1125" s="24"/>
      <c r="F1125" s="24"/>
      <c r="G1125" s="185"/>
      <c r="H1125" s="186"/>
      <c r="I1125" s="187"/>
      <c r="J1125" s="24"/>
      <c r="K1125" s="24"/>
      <c r="L1125" s="24"/>
      <c r="M1125" s="187"/>
      <c r="N1125" s="187"/>
    </row>
    <row r="1126">
      <c r="A1126" s="24"/>
      <c r="B1126" s="24"/>
      <c r="C1126" s="24"/>
      <c r="D1126" s="24"/>
      <c r="E1126" s="24"/>
      <c r="F1126" s="24"/>
      <c r="G1126" s="185"/>
      <c r="H1126" s="186"/>
      <c r="I1126" s="187"/>
      <c r="J1126" s="24"/>
      <c r="K1126" s="24"/>
      <c r="L1126" s="24"/>
      <c r="M1126" s="187"/>
      <c r="N1126" s="187"/>
    </row>
    <row r="1127">
      <c r="A1127" s="24"/>
      <c r="B1127" s="24"/>
      <c r="C1127" s="24"/>
      <c r="D1127" s="24"/>
      <c r="E1127" s="24"/>
      <c r="F1127" s="24"/>
      <c r="G1127" s="185"/>
      <c r="H1127" s="186"/>
      <c r="I1127" s="187"/>
      <c r="J1127" s="24"/>
      <c r="K1127" s="24"/>
      <c r="L1127" s="24"/>
      <c r="M1127" s="187"/>
      <c r="N1127" s="187"/>
    </row>
    <row r="1128">
      <c r="A1128" s="24"/>
      <c r="B1128" s="24"/>
      <c r="C1128" s="24"/>
      <c r="D1128" s="24"/>
      <c r="E1128" s="24"/>
      <c r="F1128" s="24"/>
      <c r="G1128" s="185"/>
      <c r="H1128" s="186"/>
      <c r="I1128" s="187"/>
      <c r="J1128" s="24"/>
      <c r="K1128" s="24"/>
      <c r="L1128" s="24"/>
      <c r="M1128" s="187"/>
      <c r="N1128" s="187"/>
    </row>
    <row r="1129">
      <c r="A1129" s="24"/>
      <c r="B1129" s="24"/>
      <c r="C1129" s="24"/>
      <c r="D1129" s="24"/>
      <c r="E1129" s="24"/>
      <c r="F1129" s="24"/>
      <c r="G1129" s="185"/>
      <c r="H1129" s="186"/>
      <c r="I1129" s="187"/>
      <c r="J1129" s="24"/>
      <c r="K1129" s="24"/>
      <c r="L1129" s="24"/>
      <c r="M1129" s="187"/>
      <c r="N1129" s="187"/>
    </row>
    <row r="1130">
      <c r="A1130" s="24"/>
      <c r="B1130" s="24"/>
      <c r="C1130" s="24"/>
      <c r="D1130" s="24"/>
      <c r="E1130" s="24"/>
      <c r="F1130" s="24"/>
      <c r="G1130" s="185"/>
      <c r="H1130" s="186"/>
      <c r="I1130" s="187"/>
      <c r="J1130" s="24"/>
      <c r="K1130" s="24"/>
      <c r="L1130" s="24"/>
      <c r="M1130" s="187"/>
      <c r="N1130" s="187"/>
    </row>
    <row r="1131">
      <c r="A1131" s="24"/>
      <c r="B1131" s="24"/>
      <c r="C1131" s="24"/>
      <c r="D1131" s="24"/>
      <c r="E1131" s="24"/>
      <c r="F1131" s="24"/>
      <c r="G1131" s="185"/>
      <c r="H1131" s="186"/>
      <c r="I1131" s="187"/>
      <c r="J1131" s="24"/>
      <c r="K1131" s="24"/>
      <c r="L1131" s="24"/>
      <c r="M1131" s="187"/>
      <c r="N1131" s="187"/>
    </row>
    <row r="1132">
      <c r="A1132" s="24"/>
      <c r="B1132" s="24"/>
      <c r="C1132" s="24"/>
      <c r="D1132" s="24"/>
      <c r="E1132" s="24"/>
      <c r="F1132" s="24"/>
      <c r="G1132" s="185"/>
      <c r="H1132" s="186"/>
      <c r="I1132" s="187"/>
      <c r="J1132" s="24"/>
      <c r="K1132" s="24"/>
      <c r="L1132" s="24"/>
      <c r="M1132" s="187"/>
      <c r="N1132" s="187"/>
    </row>
    <row r="1133">
      <c r="A1133" s="24"/>
      <c r="B1133" s="24"/>
      <c r="C1133" s="24"/>
      <c r="D1133" s="24"/>
      <c r="E1133" s="24"/>
      <c r="F1133" s="24"/>
      <c r="G1133" s="185"/>
      <c r="H1133" s="186"/>
      <c r="I1133" s="187"/>
      <c r="J1133" s="24"/>
      <c r="K1133" s="24"/>
      <c r="L1133" s="24"/>
      <c r="M1133" s="187"/>
      <c r="N1133" s="187"/>
    </row>
    <row r="1134">
      <c r="A1134" s="24"/>
      <c r="B1134" s="24"/>
      <c r="C1134" s="24"/>
      <c r="D1134" s="24"/>
      <c r="E1134" s="24"/>
      <c r="F1134" s="24"/>
      <c r="G1134" s="185"/>
      <c r="H1134" s="186"/>
      <c r="I1134" s="187"/>
      <c r="J1134" s="24"/>
      <c r="K1134" s="24"/>
      <c r="L1134" s="24"/>
      <c r="M1134" s="187"/>
      <c r="N1134" s="187"/>
    </row>
    <row r="1135">
      <c r="A1135" s="24"/>
      <c r="B1135" s="24"/>
      <c r="C1135" s="24"/>
      <c r="D1135" s="24"/>
      <c r="E1135" s="24"/>
      <c r="F1135" s="24"/>
      <c r="G1135" s="185"/>
      <c r="H1135" s="186"/>
      <c r="I1135" s="187"/>
      <c r="J1135" s="24"/>
      <c r="K1135" s="24"/>
      <c r="L1135" s="24"/>
      <c r="M1135" s="187"/>
      <c r="N1135" s="187"/>
    </row>
    <row r="1136">
      <c r="A1136" s="24"/>
      <c r="B1136" s="24"/>
      <c r="C1136" s="24"/>
      <c r="D1136" s="24"/>
      <c r="E1136" s="24"/>
      <c r="F1136" s="24"/>
      <c r="G1136" s="185"/>
      <c r="H1136" s="186"/>
      <c r="I1136" s="187"/>
      <c r="J1136" s="24"/>
      <c r="K1136" s="24"/>
      <c r="L1136" s="24"/>
      <c r="M1136" s="187"/>
      <c r="N1136" s="187"/>
    </row>
    <row r="1137">
      <c r="A1137" s="24"/>
      <c r="B1137" s="24"/>
      <c r="C1137" s="24"/>
      <c r="D1137" s="24"/>
      <c r="E1137" s="24"/>
      <c r="F1137" s="24"/>
      <c r="G1137" s="185"/>
      <c r="H1137" s="186"/>
      <c r="I1137" s="187"/>
      <c r="J1137" s="24"/>
      <c r="K1137" s="24"/>
      <c r="L1137" s="24"/>
      <c r="M1137" s="187"/>
      <c r="N1137" s="187"/>
    </row>
    <row r="1138">
      <c r="A1138" s="24"/>
      <c r="B1138" s="24"/>
      <c r="C1138" s="24"/>
      <c r="D1138" s="24"/>
      <c r="E1138" s="24"/>
      <c r="F1138" s="24"/>
      <c r="G1138" s="185"/>
      <c r="H1138" s="186"/>
      <c r="I1138" s="187"/>
      <c r="J1138" s="24"/>
      <c r="K1138" s="24"/>
      <c r="L1138" s="24"/>
      <c r="M1138" s="187"/>
      <c r="N1138" s="187"/>
    </row>
    <row r="1139">
      <c r="A1139" s="24"/>
      <c r="B1139" s="24"/>
      <c r="C1139" s="24"/>
      <c r="D1139" s="24"/>
      <c r="E1139" s="24"/>
      <c r="F1139" s="24"/>
      <c r="G1139" s="185"/>
      <c r="H1139" s="186"/>
      <c r="I1139" s="187"/>
      <c r="J1139" s="24"/>
      <c r="K1139" s="24"/>
      <c r="L1139" s="24"/>
      <c r="M1139" s="187"/>
      <c r="N1139" s="187"/>
    </row>
    <row r="1140">
      <c r="A1140" s="24"/>
      <c r="B1140" s="24"/>
      <c r="C1140" s="24"/>
      <c r="D1140" s="24"/>
      <c r="E1140" s="24"/>
      <c r="F1140" s="24"/>
      <c r="G1140" s="185"/>
      <c r="H1140" s="186"/>
      <c r="I1140" s="187"/>
      <c r="J1140" s="24"/>
      <c r="K1140" s="24"/>
      <c r="L1140" s="24"/>
      <c r="M1140" s="187"/>
      <c r="N1140" s="187"/>
    </row>
    <row r="1141">
      <c r="A1141" s="24"/>
      <c r="B1141" s="24"/>
      <c r="C1141" s="24"/>
      <c r="D1141" s="24"/>
      <c r="E1141" s="24"/>
      <c r="F1141" s="24"/>
      <c r="G1141" s="185"/>
      <c r="H1141" s="186"/>
      <c r="I1141" s="187"/>
      <c r="J1141" s="24"/>
      <c r="K1141" s="24"/>
      <c r="L1141" s="24"/>
      <c r="M1141" s="187"/>
      <c r="N1141" s="187"/>
    </row>
    <row r="1142">
      <c r="A1142" s="24"/>
      <c r="B1142" s="24"/>
      <c r="C1142" s="24"/>
      <c r="D1142" s="24"/>
      <c r="E1142" s="24"/>
      <c r="F1142" s="24"/>
      <c r="G1142" s="185"/>
      <c r="H1142" s="186"/>
      <c r="I1142" s="187"/>
      <c r="J1142" s="24"/>
      <c r="K1142" s="24"/>
      <c r="L1142" s="24"/>
      <c r="M1142" s="187"/>
      <c r="N1142" s="187"/>
    </row>
    <row r="1143">
      <c r="A1143" s="24"/>
      <c r="B1143" s="24"/>
      <c r="C1143" s="24"/>
      <c r="D1143" s="24"/>
      <c r="E1143" s="24"/>
      <c r="F1143" s="24"/>
      <c r="G1143" s="185"/>
      <c r="H1143" s="186"/>
      <c r="I1143" s="187"/>
      <c r="J1143" s="24"/>
      <c r="K1143" s="24"/>
      <c r="L1143" s="24"/>
      <c r="M1143" s="187"/>
      <c r="N1143" s="187"/>
    </row>
    <row r="1144">
      <c r="A1144" s="24"/>
      <c r="B1144" s="24"/>
      <c r="C1144" s="24"/>
      <c r="D1144" s="24"/>
      <c r="E1144" s="24"/>
      <c r="F1144" s="24"/>
      <c r="G1144" s="185"/>
      <c r="H1144" s="186"/>
      <c r="I1144" s="187"/>
      <c r="J1144" s="24"/>
      <c r="K1144" s="24"/>
      <c r="L1144" s="24"/>
      <c r="M1144" s="187"/>
      <c r="N1144" s="187"/>
    </row>
    <row r="1145">
      <c r="A1145" s="24"/>
      <c r="B1145" s="24"/>
      <c r="C1145" s="24"/>
      <c r="D1145" s="24"/>
      <c r="E1145" s="24"/>
      <c r="F1145" s="24"/>
      <c r="G1145" s="185"/>
      <c r="H1145" s="186"/>
      <c r="I1145" s="187"/>
      <c r="J1145" s="24"/>
      <c r="K1145" s="24"/>
      <c r="L1145" s="24"/>
      <c r="M1145" s="187"/>
      <c r="N1145" s="187"/>
    </row>
    <row r="1146">
      <c r="A1146" s="24"/>
      <c r="B1146" s="24"/>
      <c r="C1146" s="24"/>
      <c r="D1146" s="24"/>
      <c r="E1146" s="24"/>
      <c r="F1146" s="24"/>
      <c r="G1146" s="185"/>
      <c r="H1146" s="186"/>
      <c r="I1146" s="187"/>
      <c r="J1146" s="24"/>
      <c r="K1146" s="24"/>
      <c r="L1146" s="24"/>
      <c r="M1146" s="187"/>
      <c r="N1146" s="187"/>
    </row>
    <row r="1147">
      <c r="A1147" s="24"/>
      <c r="B1147" s="24"/>
      <c r="C1147" s="24"/>
      <c r="D1147" s="24"/>
      <c r="E1147" s="24"/>
      <c r="F1147" s="24"/>
      <c r="G1147" s="185"/>
      <c r="H1147" s="186"/>
      <c r="I1147" s="187"/>
      <c r="J1147" s="24"/>
      <c r="K1147" s="24"/>
      <c r="L1147" s="24"/>
      <c r="M1147" s="187"/>
      <c r="N1147" s="187"/>
    </row>
    <row r="1148">
      <c r="A1148" s="24"/>
      <c r="B1148" s="24"/>
      <c r="C1148" s="24"/>
      <c r="D1148" s="24"/>
      <c r="E1148" s="24"/>
      <c r="F1148" s="24"/>
      <c r="G1148" s="185"/>
      <c r="H1148" s="186"/>
      <c r="I1148" s="187"/>
      <c r="J1148" s="24"/>
      <c r="K1148" s="24"/>
      <c r="L1148" s="24"/>
      <c r="M1148" s="187"/>
      <c r="N1148" s="187"/>
    </row>
    <row r="1149">
      <c r="A1149" s="24"/>
      <c r="B1149" s="24"/>
      <c r="C1149" s="24"/>
      <c r="D1149" s="24"/>
      <c r="E1149" s="24"/>
      <c r="F1149" s="24"/>
      <c r="G1149" s="185"/>
      <c r="H1149" s="186"/>
      <c r="I1149" s="187"/>
      <c r="J1149" s="24"/>
      <c r="K1149" s="24"/>
      <c r="L1149" s="24"/>
      <c r="M1149" s="187"/>
      <c r="N1149" s="187"/>
    </row>
    <row r="1150">
      <c r="A1150" s="24"/>
      <c r="B1150" s="24"/>
      <c r="C1150" s="24"/>
      <c r="D1150" s="24"/>
      <c r="E1150" s="24"/>
      <c r="F1150" s="24"/>
      <c r="G1150" s="185"/>
      <c r="H1150" s="186"/>
      <c r="I1150" s="187"/>
      <c r="J1150" s="24"/>
      <c r="K1150" s="24"/>
      <c r="L1150" s="24"/>
      <c r="M1150" s="187"/>
      <c r="N1150" s="187"/>
    </row>
    <row r="1151">
      <c r="A1151" s="24"/>
      <c r="B1151" s="24"/>
      <c r="C1151" s="24"/>
      <c r="D1151" s="24"/>
      <c r="E1151" s="24"/>
      <c r="F1151" s="24"/>
      <c r="G1151" s="185"/>
      <c r="H1151" s="186"/>
      <c r="I1151" s="187"/>
      <c r="J1151" s="24"/>
      <c r="K1151" s="24"/>
      <c r="L1151" s="24"/>
      <c r="M1151" s="187"/>
      <c r="N1151" s="187"/>
    </row>
    <row r="1152">
      <c r="A1152" s="24"/>
      <c r="B1152" s="24"/>
      <c r="C1152" s="24"/>
      <c r="D1152" s="24"/>
      <c r="E1152" s="24"/>
      <c r="F1152" s="24"/>
      <c r="G1152" s="185"/>
      <c r="H1152" s="186"/>
      <c r="I1152" s="187"/>
      <c r="J1152" s="24"/>
      <c r="K1152" s="24"/>
      <c r="L1152" s="24"/>
      <c r="M1152" s="187"/>
      <c r="N1152" s="187"/>
    </row>
    <row r="1153">
      <c r="A1153" s="24"/>
      <c r="B1153" s="24"/>
      <c r="C1153" s="24"/>
      <c r="D1153" s="24"/>
      <c r="E1153" s="24"/>
      <c r="F1153" s="24"/>
      <c r="G1153" s="185"/>
      <c r="H1153" s="186"/>
      <c r="I1153" s="187"/>
      <c r="J1153" s="24"/>
      <c r="K1153" s="24"/>
      <c r="L1153" s="24"/>
      <c r="M1153" s="187"/>
      <c r="N1153" s="187"/>
    </row>
    <row r="1154">
      <c r="A1154" s="24"/>
      <c r="B1154" s="24"/>
      <c r="C1154" s="24"/>
      <c r="D1154" s="24"/>
      <c r="E1154" s="24"/>
      <c r="F1154" s="24"/>
      <c r="G1154" s="185"/>
      <c r="H1154" s="186"/>
      <c r="I1154" s="187"/>
      <c r="J1154" s="24"/>
      <c r="K1154" s="24"/>
      <c r="L1154" s="24"/>
      <c r="M1154" s="187"/>
      <c r="N1154" s="187"/>
    </row>
    <row r="1155">
      <c r="A1155" s="24"/>
      <c r="B1155" s="24"/>
      <c r="C1155" s="24"/>
      <c r="D1155" s="24"/>
      <c r="E1155" s="24"/>
      <c r="F1155" s="24"/>
      <c r="G1155" s="185"/>
      <c r="H1155" s="186"/>
      <c r="I1155" s="187"/>
      <c r="J1155" s="24"/>
      <c r="K1155" s="24"/>
      <c r="L1155" s="24"/>
      <c r="M1155" s="187"/>
      <c r="N1155" s="187"/>
    </row>
    <row r="1156">
      <c r="A1156" s="24"/>
      <c r="B1156" s="24"/>
      <c r="C1156" s="24"/>
      <c r="D1156" s="24"/>
      <c r="E1156" s="24"/>
      <c r="F1156" s="24"/>
      <c r="G1156" s="185"/>
      <c r="H1156" s="186"/>
      <c r="I1156" s="187"/>
      <c r="J1156" s="24"/>
      <c r="K1156" s="24"/>
      <c r="L1156" s="24"/>
      <c r="M1156" s="187"/>
      <c r="N1156" s="187"/>
    </row>
    <row r="1157">
      <c r="A1157" s="24"/>
      <c r="B1157" s="24"/>
      <c r="C1157" s="24"/>
      <c r="D1157" s="24"/>
      <c r="E1157" s="24"/>
      <c r="F1157" s="24"/>
      <c r="G1157" s="185"/>
      <c r="H1157" s="186"/>
      <c r="I1157" s="187"/>
      <c r="J1157" s="24"/>
      <c r="K1157" s="24"/>
      <c r="L1157" s="24"/>
      <c r="M1157" s="187"/>
      <c r="N1157" s="187"/>
    </row>
    <row r="1158">
      <c r="A1158" s="24"/>
      <c r="B1158" s="24"/>
      <c r="C1158" s="24"/>
      <c r="D1158" s="24"/>
      <c r="E1158" s="24"/>
      <c r="F1158" s="24"/>
      <c r="G1158" s="185"/>
      <c r="H1158" s="186"/>
      <c r="I1158" s="187"/>
      <c r="J1158" s="24"/>
      <c r="K1158" s="24"/>
      <c r="L1158" s="24"/>
      <c r="M1158" s="187"/>
      <c r="N1158" s="187"/>
    </row>
    <row r="1159">
      <c r="A1159" s="24"/>
      <c r="B1159" s="24"/>
      <c r="C1159" s="24"/>
      <c r="D1159" s="24"/>
      <c r="E1159" s="24"/>
      <c r="F1159" s="24"/>
      <c r="G1159" s="185"/>
      <c r="H1159" s="186"/>
      <c r="I1159" s="187"/>
      <c r="J1159" s="24"/>
      <c r="K1159" s="24"/>
      <c r="L1159" s="24"/>
      <c r="M1159" s="187"/>
      <c r="N1159" s="187"/>
    </row>
    <row r="1160">
      <c r="A1160" s="24"/>
      <c r="B1160" s="24"/>
      <c r="C1160" s="24"/>
      <c r="D1160" s="24"/>
      <c r="E1160" s="24"/>
      <c r="F1160" s="24"/>
      <c r="G1160" s="185"/>
      <c r="H1160" s="186"/>
      <c r="I1160" s="187"/>
      <c r="J1160" s="24"/>
      <c r="K1160" s="24"/>
      <c r="L1160" s="24"/>
      <c r="M1160" s="187"/>
      <c r="N1160" s="187"/>
    </row>
    <row r="1161">
      <c r="A1161" s="24"/>
      <c r="B1161" s="24"/>
      <c r="C1161" s="24"/>
      <c r="D1161" s="24"/>
      <c r="E1161" s="24"/>
      <c r="F1161" s="24"/>
      <c r="G1161" s="185"/>
      <c r="H1161" s="186"/>
      <c r="I1161" s="187"/>
      <c r="J1161" s="24"/>
      <c r="K1161" s="24"/>
      <c r="L1161" s="24"/>
      <c r="M1161" s="187"/>
      <c r="N1161" s="187"/>
    </row>
    <row r="1162">
      <c r="A1162" s="24"/>
      <c r="B1162" s="24"/>
      <c r="C1162" s="24"/>
      <c r="D1162" s="24"/>
      <c r="E1162" s="24"/>
      <c r="F1162" s="24"/>
      <c r="G1162" s="185"/>
      <c r="H1162" s="186"/>
      <c r="I1162" s="187"/>
      <c r="J1162" s="24"/>
      <c r="K1162" s="24"/>
      <c r="L1162" s="24"/>
      <c r="M1162" s="187"/>
      <c r="N1162" s="187"/>
    </row>
    <row r="1163">
      <c r="A1163" s="24"/>
      <c r="B1163" s="24"/>
      <c r="C1163" s="24"/>
      <c r="D1163" s="24"/>
      <c r="E1163" s="24"/>
      <c r="F1163" s="24"/>
      <c r="G1163" s="185"/>
      <c r="H1163" s="186"/>
      <c r="I1163" s="187"/>
      <c r="J1163" s="24"/>
      <c r="K1163" s="24"/>
      <c r="L1163" s="24"/>
      <c r="M1163" s="187"/>
      <c r="N1163" s="187"/>
    </row>
    <row r="1164">
      <c r="A1164" s="24"/>
      <c r="B1164" s="24"/>
      <c r="C1164" s="24"/>
      <c r="D1164" s="24"/>
      <c r="E1164" s="24"/>
      <c r="F1164" s="24"/>
      <c r="G1164" s="185"/>
      <c r="H1164" s="186"/>
      <c r="I1164" s="187"/>
      <c r="J1164" s="24"/>
      <c r="K1164" s="24"/>
      <c r="L1164" s="24"/>
      <c r="M1164" s="187"/>
      <c r="N1164" s="187"/>
    </row>
    <row r="1165">
      <c r="A1165" s="24"/>
      <c r="B1165" s="24"/>
      <c r="C1165" s="24"/>
      <c r="D1165" s="24"/>
      <c r="E1165" s="24"/>
      <c r="F1165" s="24"/>
      <c r="G1165" s="185"/>
      <c r="H1165" s="186"/>
      <c r="I1165" s="187"/>
      <c r="J1165" s="24"/>
      <c r="K1165" s="24"/>
      <c r="L1165" s="24"/>
      <c r="M1165" s="187"/>
      <c r="N1165" s="187"/>
    </row>
    <row r="1166">
      <c r="A1166" s="24"/>
      <c r="B1166" s="24"/>
      <c r="C1166" s="24"/>
      <c r="D1166" s="24"/>
      <c r="E1166" s="24"/>
      <c r="F1166" s="24"/>
      <c r="G1166" s="185"/>
      <c r="H1166" s="186"/>
      <c r="I1166" s="187"/>
      <c r="J1166" s="24"/>
      <c r="K1166" s="24"/>
      <c r="L1166" s="24"/>
      <c r="M1166" s="187"/>
      <c r="N1166" s="187"/>
    </row>
    <row r="1167">
      <c r="A1167" s="24"/>
      <c r="B1167" s="24"/>
      <c r="C1167" s="24"/>
      <c r="D1167" s="24"/>
      <c r="E1167" s="24"/>
      <c r="F1167" s="24"/>
      <c r="G1167" s="185"/>
      <c r="H1167" s="186"/>
      <c r="I1167" s="187"/>
      <c r="J1167" s="24"/>
      <c r="K1167" s="24"/>
      <c r="L1167" s="24"/>
      <c r="M1167" s="187"/>
      <c r="N1167" s="187"/>
    </row>
    <row r="1168">
      <c r="A1168" s="24"/>
      <c r="B1168" s="24"/>
      <c r="C1168" s="24"/>
      <c r="D1168" s="24"/>
      <c r="E1168" s="24"/>
      <c r="F1168" s="24"/>
      <c r="G1168" s="185"/>
      <c r="H1168" s="186"/>
      <c r="I1168" s="187"/>
      <c r="J1168" s="24"/>
      <c r="K1168" s="24"/>
      <c r="L1168" s="24"/>
      <c r="M1168" s="187"/>
      <c r="N1168" s="187"/>
    </row>
    <row r="1169">
      <c r="A1169" s="24"/>
      <c r="B1169" s="24"/>
      <c r="C1169" s="24"/>
      <c r="D1169" s="24"/>
      <c r="E1169" s="24"/>
      <c r="F1169" s="24"/>
      <c r="G1169" s="185"/>
      <c r="H1169" s="186"/>
      <c r="I1169" s="187"/>
      <c r="J1169" s="24"/>
      <c r="K1169" s="24"/>
      <c r="L1169" s="24"/>
      <c r="M1169" s="187"/>
      <c r="N1169" s="187"/>
    </row>
    <row r="1170">
      <c r="A1170" s="24"/>
      <c r="B1170" s="24"/>
      <c r="C1170" s="24"/>
      <c r="D1170" s="24"/>
      <c r="E1170" s="24"/>
      <c r="F1170" s="24"/>
      <c r="G1170" s="185"/>
      <c r="H1170" s="186"/>
      <c r="I1170" s="187"/>
      <c r="J1170" s="24"/>
      <c r="K1170" s="24"/>
      <c r="L1170" s="24"/>
      <c r="M1170" s="187"/>
      <c r="N1170" s="187"/>
    </row>
    <row r="1171">
      <c r="A1171" s="24"/>
      <c r="B1171" s="24"/>
      <c r="C1171" s="24"/>
      <c r="D1171" s="24"/>
      <c r="E1171" s="24"/>
      <c r="F1171" s="24"/>
      <c r="G1171" s="185"/>
      <c r="H1171" s="186"/>
      <c r="I1171" s="187"/>
      <c r="J1171" s="24"/>
      <c r="K1171" s="24"/>
      <c r="L1171" s="24"/>
      <c r="M1171" s="187"/>
      <c r="N1171" s="187"/>
    </row>
    <row r="1172">
      <c r="A1172" s="24"/>
      <c r="B1172" s="24"/>
      <c r="C1172" s="24"/>
      <c r="D1172" s="24"/>
      <c r="E1172" s="24"/>
      <c r="F1172" s="24"/>
      <c r="G1172" s="185"/>
      <c r="H1172" s="186"/>
      <c r="I1172" s="187"/>
      <c r="J1172" s="24"/>
      <c r="K1172" s="24"/>
      <c r="L1172" s="24"/>
      <c r="M1172" s="187"/>
      <c r="N1172" s="187"/>
    </row>
    <row r="1173">
      <c r="A1173" s="24"/>
      <c r="B1173" s="24"/>
      <c r="C1173" s="24"/>
      <c r="D1173" s="24"/>
      <c r="E1173" s="24"/>
      <c r="F1173" s="24"/>
      <c r="G1173" s="185"/>
      <c r="H1173" s="186"/>
      <c r="I1173" s="187"/>
      <c r="J1173" s="24"/>
      <c r="K1173" s="24"/>
      <c r="L1173" s="24"/>
      <c r="M1173" s="187"/>
      <c r="N1173" s="187"/>
    </row>
    <row r="1174">
      <c r="A1174" s="24"/>
      <c r="B1174" s="24"/>
      <c r="C1174" s="24"/>
      <c r="D1174" s="24"/>
      <c r="E1174" s="24"/>
      <c r="F1174" s="24"/>
      <c r="G1174" s="185"/>
      <c r="H1174" s="186"/>
      <c r="I1174" s="187"/>
      <c r="J1174" s="24"/>
      <c r="K1174" s="24"/>
      <c r="L1174" s="24"/>
      <c r="M1174" s="187"/>
      <c r="N1174" s="187"/>
    </row>
    <row r="1175">
      <c r="A1175" s="24"/>
      <c r="B1175" s="24"/>
      <c r="C1175" s="24"/>
      <c r="D1175" s="24"/>
      <c r="E1175" s="24"/>
      <c r="F1175" s="24"/>
      <c r="G1175" s="185"/>
      <c r="H1175" s="186"/>
      <c r="I1175" s="187"/>
      <c r="J1175" s="24"/>
      <c r="K1175" s="24"/>
      <c r="L1175" s="24"/>
      <c r="M1175" s="187"/>
      <c r="N1175" s="187"/>
    </row>
    <row r="1176">
      <c r="A1176" s="24"/>
      <c r="B1176" s="24"/>
      <c r="C1176" s="24"/>
      <c r="D1176" s="24"/>
      <c r="E1176" s="24"/>
      <c r="F1176" s="24"/>
      <c r="G1176" s="185"/>
      <c r="H1176" s="186"/>
      <c r="I1176" s="187"/>
      <c r="J1176" s="24"/>
      <c r="K1176" s="24"/>
      <c r="L1176" s="24"/>
      <c r="M1176" s="187"/>
      <c r="N1176" s="187"/>
    </row>
    <row r="1177">
      <c r="A1177" s="24"/>
      <c r="B1177" s="24"/>
      <c r="C1177" s="24"/>
      <c r="D1177" s="24"/>
      <c r="E1177" s="24"/>
      <c r="F1177" s="24"/>
      <c r="G1177" s="185"/>
      <c r="H1177" s="186"/>
      <c r="I1177" s="187"/>
      <c r="J1177" s="24"/>
      <c r="K1177" s="24"/>
      <c r="L1177" s="24"/>
      <c r="M1177" s="187"/>
      <c r="N1177" s="187"/>
    </row>
    <row r="1178">
      <c r="A1178" s="24"/>
      <c r="B1178" s="24"/>
      <c r="C1178" s="24"/>
      <c r="D1178" s="24"/>
      <c r="E1178" s="24"/>
      <c r="F1178" s="24"/>
      <c r="G1178" s="185"/>
      <c r="H1178" s="186"/>
      <c r="I1178" s="187"/>
      <c r="J1178" s="24"/>
      <c r="K1178" s="24"/>
      <c r="L1178" s="24"/>
      <c r="M1178" s="187"/>
      <c r="N1178" s="187"/>
    </row>
    <row r="1179">
      <c r="A1179" s="24"/>
      <c r="B1179" s="24"/>
      <c r="C1179" s="24"/>
      <c r="D1179" s="24"/>
      <c r="E1179" s="24"/>
      <c r="F1179" s="24"/>
      <c r="G1179" s="185"/>
      <c r="H1179" s="186"/>
      <c r="I1179" s="187"/>
      <c r="J1179" s="24"/>
      <c r="K1179" s="24"/>
      <c r="L1179" s="24"/>
      <c r="M1179" s="187"/>
      <c r="N1179" s="187"/>
    </row>
    <row r="1180">
      <c r="A1180" s="24"/>
      <c r="B1180" s="24"/>
      <c r="C1180" s="24"/>
      <c r="D1180" s="24"/>
      <c r="E1180" s="24"/>
      <c r="F1180" s="24"/>
      <c r="G1180" s="185"/>
      <c r="H1180" s="186"/>
      <c r="I1180" s="187"/>
      <c r="J1180" s="24"/>
      <c r="K1180" s="24"/>
      <c r="L1180" s="24"/>
      <c r="M1180" s="187"/>
      <c r="N1180" s="187"/>
    </row>
    <row r="1181">
      <c r="A1181" s="24"/>
      <c r="B1181" s="24"/>
      <c r="C1181" s="24"/>
      <c r="D1181" s="24"/>
      <c r="E1181" s="24"/>
      <c r="F1181" s="24"/>
      <c r="G1181" s="185"/>
      <c r="H1181" s="186"/>
      <c r="I1181" s="187"/>
      <c r="J1181" s="24"/>
      <c r="K1181" s="24"/>
      <c r="L1181" s="24"/>
      <c r="M1181" s="187"/>
      <c r="N1181" s="187"/>
    </row>
    <row r="1182">
      <c r="A1182" s="24"/>
      <c r="B1182" s="24"/>
      <c r="C1182" s="24"/>
      <c r="D1182" s="24"/>
      <c r="E1182" s="24"/>
      <c r="F1182" s="24"/>
      <c r="G1182" s="185"/>
      <c r="H1182" s="186"/>
      <c r="I1182" s="187"/>
      <c r="J1182" s="24"/>
      <c r="K1182" s="24"/>
      <c r="L1182" s="24"/>
      <c r="M1182" s="187"/>
      <c r="N1182" s="187"/>
    </row>
    <row r="1183">
      <c r="A1183" s="24"/>
      <c r="B1183" s="24"/>
      <c r="C1183" s="24"/>
      <c r="D1183" s="24"/>
      <c r="E1183" s="24"/>
      <c r="F1183" s="24"/>
      <c r="G1183" s="185"/>
      <c r="H1183" s="186"/>
      <c r="I1183" s="187"/>
      <c r="J1183" s="24"/>
      <c r="K1183" s="24"/>
      <c r="L1183" s="24"/>
      <c r="M1183" s="187"/>
      <c r="N1183" s="187"/>
    </row>
    <row r="1184">
      <c r="A1184" s="24"/>
      <c r="B1184" s="24"/>
      <c r="C1184" s="24"/>
      <c r="D1184" s="24"/>
      <c r="E1184" s="24"/>
      <c r="F1184" s="24"/>
      <c r="G1184" s="185"/>
      <c r="H1184" s="186"/>
      <c r="I1184" s="187"/>
      <c r="J1184" s="24"/>
      <c r="K1184" s="24"/>
      <c r="L1184" s="24"/>
      <c r="M1184" s="187"/>
      <c r="N1184" s="187"/>
    </row>
    <row r="1185">
      <c r="A1185" s="24"/>
      <c r="B1185" s="24"/>
      <c r="C1185" s="24"/>
      <c r="D1185" s="24"/>
      <c r="E1185" s="24"/>
      <c r="F1185" s="24"/>
      <c r="G1185" s="185"/>
      <c r="H1185" s="186"/>
      <c r="I1185" s="187"/>
      <c r="J1185" s="24"/>
      <c r="K1185" s="24"/>
      <c r="L1185" s="24"/>
      <c r="M1185" s="187"/>
      <c r="N1185" s="187"/>
    </row>
    <row r="1186">
      <c r="A1186" s="24"/>
      <c r="B1186" s="24"/>
      <c r="C1186" s="24"/>
      <c r="D1186" s="24"/>
      <c r="E1186" s="24"/>
      <c r="F1186" s="24"/>
      <c r="G1186" s="185"/>
      <c r="H1186" s="186"/>
      <c r="I1186" s="187"/>
      <c r="J1186" s="24"/>
      <c r="K1186" s="24"/>
      <c r="L1186" s="24"/>
      <c r="M1186" s="187"/>
      <c r="N1186" s="187"/>
    </row>
    <row r="1187">
      <c r="A1187" s="24"/>
      <c r="B1187" s="24"/>
      <c r="C1187" s="24"/>
      <c r="D1187" s="24"/>
      <c r="E1187" s="24"/>
      <c r="F1187" s="24"/>
      <c r="G1187" s="185"/>
      <c r="H1187" s="186"/>
      <c r="I1187" s="187"/>
      <c r="J1187" s="24"/>
      <c r="K1187" s="24"/>
      <c r="L1187" s="24"/>
      <c r="M1187" s="187"/>
      <c r="N1187" s="187"/>
    </row>
    <row r="1188">
      <c r="A1188" s="24"/>
      <c r="B1188" s="24"/>
      <c r="C1188" s="24"/>
      <c r="D1188" s="24"/>
      <c r="E1188" s="24"/>
      <c r="F1188" s="24"/>
      <c r="G1188" s="185"/>
      <c r="H1188" s="186"/>
      <c r="I1188" s="187"/>
      <c r="J1188" s="24"/>
      <c r="K1188" s="24"/>
      <c r="L1188" s="24"/>
      <c r="M1188" s="187"/>
      <c r="N1188" s="187"/>
    </row>
    <row r="1189">
      <c r="A1189" s="24"/>
      <c r="B1189" s="24"/>
      <c r="C1189" s="24"/>
      <c r="D1189" s="24"/>
      <c r="E1189" s="24"/>
      <c r="F1189" s="24"/>
      <c r="G1189" s="185"/>
      <c r="H1189" s="186"/>
      <c r="I1189" s="187"/>
      <c r="J1189" s="24"/>
      <c r="K1189" s="24"/>
      <c r="L1189" s="24"/>
      <c r="M1189" s="187"/>
      <c r="N1189" s="187"/>
    </row>
    <row r="1190">
      <c r="A1190" s="24"/>
      <c r="B1190" s="24"/>
      <c r="C1190" s="24"/>
      <c r="D1190" s="24"/>
      <c r="E1190" s="24"/>
      <c r="F1190" s="24"/>
      <c r="G1190" s="185"/>
      <c r="H1190" s="186"/>
      <c r="I1190" s="187"/>
      <c r="J1190" s="24"/>
      <c r="K1190" s="24"/>
      <c r="L1190" s="24"/>
      <c r="M1190" s="187"/>
      <c r="N1190" s="187"/>
    </row>
    <row r="1191">
      <c r="A1191" s="24"/>
      <c r="B1191" s="24"/>
      <c r="C1191" s="24"/>
      <c r="D1191" s="24"/>
      <c r="E1191" s="24"/>
      <c r="F1191" s="24"/>
      <c r="G1191" s="185"/>
      <c r="H1191" s="186"/>
      <c r="I1191" s="187"/>
      <c r="J1191" s="24"/>
      <c r="K1191" s="24"/>
      <c r="L1191" s="24"/>
      <c r="M1191" s="187"/>
      <c r="N1191" s="187"/>
    </row>
    <row r="1192">
      <c r="A1192" s="24"/>
      <c r="B1192" s="24"/>
      <c r="C1192" s="24"/>
      <c r="D1192" s="24"/>
      <c r="E1192" s="24"/>
      <c r="F1192" s="24"/>
      <c r="G1192" s="185"/>
      <c r="H1192" s="186"/>
      <c r="I1192" s="187"/>
      <c r="J1192" s="24"/>
      <c r="K1192" s="24"/>
      <c r="L1192" s="24"/>
      <c r="M1192" s="187"/>
      <c r="N1192" s="187"/>
    </row>
    <row r="1193">
      <c r="A1193" s="24"/>
      <c r="B1193" s="24"/>
      <c r="C1193" s="24"/>
      <c r="D1193" s="24"/>
      <c r="E1193" s="24"/>
      <c r="F1193" s="24"/>
      <c r="G1193" s="185"/>
      <c r="H1193" s="186"/>
      <c r="I1193" s="187"/>
      <c r="J1193" s="24"/>
      <c r="K1193" s="24"/>
      <c r="L1193" s="24"/>
      <c r="M1193" s="187"/>
      <c r="N1193" s="187"/>
    </row>
    <row r="1194">
      <c r="A1194" s="24"/>
      <c r="B1194" s="24"/>
      <c r="C1194" s="24"/>
      <c r="D1194" s="24"/>
      <c r="E1194" s="24"/>
      <c r="F1194" s="24"/>
      <c r="G1194" s="185"/>
      <c r="H1194" s="186"/>
      <c r="I1194" s="187"/>
      <c r="J1194" s="24"/>
      <c r="K1194" s="24"/>
      <c r="L1194" s="24"/>
      <c r="M1194" s="187"/>
      <c r="N1194" s="187"/>
    </row>
    <row r="1195">
      <c r="A1195" s="24"/>
      <c r="B1195" s="24"/>
      <c r="C1195" s="24"/>
      <c r="D1195" s="24"/>
      <c r="E1195" s="24"/>
      <c r="F1195" s="24"/>
      <c r="G1195" s="185"/>
      <c r="H1195" s="186"/>
      <c r="I1195" s="187"/>
      <c r="J1195" s="24"/>
      <c r="K1195" s="24"/>
      <c r="L1195" s="24"/>
      <c r="M1195" s="187"/>
      <c r="N1195" s="187"/>
    </row>
    <row r="1196">
      <c r="A1196" s="24"/>
      <c r="B1196" s="24"/>
      <c r="C1196" s="24"/>
      <c r="D1196" s="24"/>
      <c r="E1196" s="24"/>
      <c r="F1196" s="24"/>
      <c r="G1196" s="185"/>
      <c r="H1196" s="186"/>
      <c r="I1196" s="187"/>
      <c r="J1196" s="24"/>
      <c r="K1196" s="24"/>
      <c r="L1196" s="24"/>
      <c r="M1196" s="187"/>
      <c r="N1196" s="187"/>
    </row>
    <row r="1197">
      <c r="A1197" s="24"/>
      <c r="B1197" s="24"/>
      <c r="C1197" s="24"/>
      <c r="D1197" s="24"/>
      <c r="E1197" s="24"/>
      <c r="F1197" s="24"/>
      <c r="G1197" s="185"/>
      <c r="H1197" s="186"/>
      <c r="I1197" s="187"/>
      <c r="J1197" s="24"/>
      <c r="K1197" s="24"/>
      <c r="L1197" s="24"/>
      <c r="M1197" s="187"/>
      <c r="N1197" s="187"/>
    </row>
    <row r="1198">
      <c r="A1198" s="24"/>
      <c r="B1198" s="24"/>
      <c r="C1198" s="24"/>
      <c r="D1198" s="24"/>
      <c r="E1198" s="24"/>
      <c r="F1198" s="24"/>
      <c r="G1198" s="185"/>
      <c r="H1198" s="186"/>
      <c r="I1198" s="187"/>
      <c r="J1198" s="24"/>
      <c r="K1198" s="24"/>
      <c r="L1198" s="24"/>
      <c r="M1198" s="187"/>
      <c r="N1198" s="187"/>
    </row>
    <row r="1199">
      <c r="A1199" s="24"/>
      <c r="B1199" s="24"/>
      <c r="C1199" s="24"/>
      <c r="D1199" s="24"/>
      <c r="E1199" s="24"/>
      <c r="F1199" s="24"/>
      <c r="G1199" s="185"/>
      <c r="H1199" s="186"/>
      <c r="I1199" s="187"/>
      <c r="J1199" s="24"/>
      <c r="K1199" s="24"/>
      <c r="L1199" s="24"/>
      <c r="M1199" s="187"/>
      <c r="N1199" s="187"/>
    </row>
    <row r="1200">
      <c r="A1200" s="24"/>
      <c r="B1200" s="24"/>
      <c r="C1200" s="24"/>
      <c r="D1200" s="24"/>
      <c r="E1200" s="24"/>
      <c r="F1200" s="24"/>
      <c r="G1200" s="185"/>
      <c r="H1200" s="186"/>
      <c r="I1200" s="187"/>
      <c r="J1200" s="24"/>
      <c r="K1200" s="24"/>
      <c r="L1200" s="24"/>
      <c r="M1200" s="187"/>
      <c r="N1200" s="187"/>
    </row>
    <row r="1201">
      <c r="A1201" s="24"/>
      <c r="B1201" s="24"/>
      <c r="C1201" s="24"/>
      <c r="D1201" s="24"/>
      <c r="E1201" s="24"/>
      <c r="F1201" s="24"/>
      <c r="G1201" s="185"/>
      <c r="H1201" s="186"/>
      <c r="I1201" s="187"/>
      <c r="J1201" s="24"/>
      <c r="K1201" s="24"/>
      <c r="L1201" s="24"/>
      <c r="M1201" s="187"/>
      <c r="N1201" s="187"/>
    </row>
    <row r="1202">
      <c r="A1202" s="24"/>
      <c r="B1202" s="24"/>
      <c r="C1202" s="24"/>
      <c r="D1202" s="24"/>
      <c r="E1202" s="24"/>
      <c r="F1202" s="24"/>
      <c r="G1202" s="185"/>
      <c r="H1202" s="186"/>
      <c r="I1202" s="187"/>
      <c r="J1202" s="24"/>
      <c r="K1202" s="24"/>
      <c r="L1202" s="24"/>
      <c r="M1202" s="187"/>
      <c r="N1202" s="187"/>
    </row>
    <row r="1203">
      <c r="A1203" s="24"/>
      <c r="B1203" s="24"/>
      <c r="C1203" s="24"/>
      <c r="D1203" s="24"/>
      <c r="E1203" s="24"/>
      <c r="F1203" s="24"/>
      <c r="G1203" s="185"/>
      <c r="H1203" s="186"/>
      <c r="I1203" s="187"/>
      <c r="J1203" s="24"/>
      <c r="K1203" s="24"/>
      <c r="L1203" s="24"/>
      <c r="M1203" s="187"/>
      <c r="N1203" s="187"/>
    </row>
    <row r="1204">
      <c r="A1204" s="24"/>
      <c r="B1204" s="24"/>
      <c r="C1204" s="24"/>
      <c r="D1204" s="24"/>
      <c r="E1204" s="24"/>
      <c r="F1204" s="24"/>
      <c r="G1204" s="185"/>
      <c r="H1204" s="186"/>
      <c r="I1204" s="187"/>
      <c r="J1204" s="24"/>
      <c r="K1204" s="24"/>
      <c r="L1204" s="24"/>
      <c r="M1204" s="187"/>
      <c r="N1204" s="187"/>
    </row>
    <row r="1205">
      <c r="A1205" s="24"/>
      <c r="B1205" s="24"/>
      <c r="C1205" s="24"/>
      <c r="D1205" s="24"/>
      <c r="E1205" s="24"/>
      <c r="F1205" s="24"/>
      <c r="G1205" s="185"/>
      <c r="H1205" s="186"/>
      <c r="I1205" s="187"/>
      <c r="J1205" s="24"/>
      <c r="K1205" s="24"/>
      <c r="L1205" s="24"/>
      <c r="M1205" s="187"/>
      <c r="N1205" s="187"/>
    </row>
    <row r="1206">
      <c r="A1206" s="24"/>
      <c r="B1206" s="24"/>
      <c r="C1206" s="24"/>
      <c r="D1206" s="24"/>
      <c r="E1206" s="24"/>
      <c r="F1206" s="24"/>
      <c r="G1206" s="185"/>
      <c r="H1206" s="186"/>
      <c r="I1206" s="187"/>
      <c r="J1206" s="24"/>
      <c r="K1206" s="24"/>
      <c r="L1206" s="24"/>
      <c r="M1206" s="187"/>
      <c r="N1206" s="187"/>
    </row>
    <row r="1207">
      <c r="A1207" s="24"/>
      <c r="B1207" s="24"/>
      <c r="C1207" s="24"/>
      <c r="D1207" s="24"/>
      <c r="E1207" s="24"/>
      <c r="F1207" s="24"/>
      <c r="G1207" s="185"/>
      <c r="H1207" s="186"/>
      <c r="I1207" s="187"/>
      <c r="J1207" s="24"/>
      <c r="K1207" s="24"/>
      <c r="L1207" s="24"/>
      <c r="M1207" s="187"/>
      <c r="N1207" s="187"/>
    </row>
    <row r="1208">
      <c r="A1208" s="24"/>
      <c r="B1208" s="24"/>
      <c r="C1208" s="24"/>
      <c r="D1208" s="24"/>
      <c r="E1208" s="24"/>
      <c r="F1208" s="24"/>
      <c r="G1208" s="185"/>
      <c r="H1208" s="186"/>
      <c r="I1208" s="187"/>
      <c r="J1208" s="24"/>
      <c r="K1208" s="24"/>
      <c r="L1208" s="24"/>
      <c r="M1208" s="187"/>
      <c r="N1208" s="187"/>
    </row>
    <row r="1209">
      <c r="A1209" s="24"/>
      <c r="B1209" s="24"/>
      <c r="C1209" s="24"/>
      <c r="D1209" s="24"/>
      <c r="E1209" s="24"/>
      <c r="F1209" s="24"/>
      <c r="G1209" s="185"/>
      <c r="H1209" s="186"/>
      <c r="I1209" s="187"/>
      <c r="J1209" s="24"/>
      <c r="K1209" s="24"/>
      <c r="L1209" s="24"/>
      <c r="M1209" s="187"/>
      <c r="N1209" s="187"/>
    </row>
    <row r="1210">
      <c r="A1210" s="24"/>
      <c r="B1210" s="24"/>
      <c r="C1210" s="24"/>
      <c r="D1210" s="24"/>
      <c r="E1210" s="24"/>
      <c r="F1210" s="24"/>
      <c r="G1210" s="185"/>
      <c r="H1210" s="186"/>
      <c r="I1210" s="187"/>
      <c r="J1210" s="24"/>
      <c r="K1210" s="24"/>
      <c r="L1210" s="24"/>
      <c r="M1210" s="187"/>
      <c r="N1210" s="187"/>
    </row>
    <row r="1211">
      <c r="A1211" s="24"/>
      <c r="B1211" s="24"/>
      <c r="C1211" s="24"/>
      <c r="D1211" s="24"/>
      <c r="E1211" s="24"/>
      <c r="F1211" s="24"/>
      <c r="G1211" s="185"/>
      <c r="H1211" s="186"/>
      <c r="I1211" s="187"/>
      <c r="J1211" s="24"/>
      <c r="K1211" s="24"/>
      <c r="L1211" s="24"/>
      <c r="M1211" s="187"/>
      <c r="N1211" s="187"/>
    </row>
    <row r="1212">
      <c r="A1212" s="24"/>
      <c r="B1212" s="24"/>
      <c r="C1212" s="24"/>
      <c r="D1212" s="24"/>
      <c r="E1212" s="24"/>
      <c r="F1212" s="24"/>
      <c r="G1212" s="185"/>
      <c r="H1212" s="186"/>
      <c r="I1212" s="187"/>
      <c r="J1212" s="24"/>
      <c r="K1212" s="24"/>
      <c r="L1212" s="24"/>
      <c r="M1212" s="187"/>
      <c r="N1212" s="187"/>
    </row>
    <row r="1213">
      <c r="A1213" s="24"/>
      <c r="B1213" s="24"/>
      <c r="C1213" s="24"/>
      <c r="D1213" s="24"/>
      <c r="E1213" s="24"/>
      <c r="F1213" s="24"/>
      <c r="G1213" s="185"/>
      <c r="H1213" s="186"/>
      <c r="I1213" s="187"/>
      <c r="J1213" s="24"/>
      <c r="K1213" s="24"/>
      <c r="L1213" s="24"/>
      <c r="M1213" s="187"/>
      <c r="N1213" s="187"/>
    </row>
    <row r="1214">
      <c r="A1214" s="24"/>
      <c r="B1214" s="24"/>
      <c r="C1214" s="24"/>
      <c r="D1214" s="24"/>
      <c r="E1214" s="24"/>
      <c r="F1214" s="24"/>
      <c r="G1214" s="185"/>
      <c r="H1214" s="186"/>
      <c r="I1214" s="187"/>
      <c r="J1214" s="24"/>
      <c r="K1214" s="24"/>
      <c r="L1214" s="24"/>
      <c r="M1214" s="187"/>
      <c r="N1214" s="187"/>
    </row>
    <row r="1215">
      <c r="A1215" s="24"/>
      <c r="B1215" s="24"/>
      <c r="C1215" s="24"/>
      <c r="D1215" s="24"/>
      <c r="E1215" s="24"/>
      <c r="F1215" s="24"/>
      <c r="G1215" s="185"/>
      <c r="H1215" s="186"/>
      <c r="I1215" s="187"/>
      <c r="J1215" s="24"/>
      <c r="K1215" s="24"/>
      <c r="L1215" s="24"/>
      <c r="M1215" s="187"/>
      <c r="N1215" s="187"/>
    </row>
    <row r="1216">
      <c r="A1216" s="24"/>
      <c r="B1216" s="24"/>
      <c r="C1216" s="24"/>
      <c r="D1216" s="24"/>
      <c r="E1216" s="24"/>
      <c r="F1216" s="24"/>
      <c r="G1216" s="185"/>
      <c r="H1216" s="186"/>
      <c r="I1216" s="187"/>
      <c r="J1216" s="24"/>
      <c r="K1216" s="24"/>
      <c r="L1216" s="24"/>
      <c r="M1216" s="187"/>
      <c r="N1216" s="187"/>
    </row>
    <row r="1217">
      <c r="A1217" s="24"/>
      <c r="B1217" s="24"/>
      <c r="C1217" s="24"/>
      <c r="D1217" s="24"/>
      <c r="E1217" s="24"/>
      <c r="F1217" s="24"/>
      <c r="G1217" s="185"/>
      <c r="H1217" s="186"/>
      <c r="I1217" s="187"/>
      <c r="J1217" s="24"/>
      <c r="K1217" s="24"/>
      <c r="L1217" s="24"/>
      <c r="M1217" s="187"/>
      <c r="N1217" s="187"/>
    </row>
    <row r="1218">
      <c r="A1218" s="24"/>
      <c r="B1218" s="24"/>
      <c r="C1218" s="24"/>
      <c r="D1218" s="24"/>
      <c r="E1218" s="24"/>
      <c r="F1218" s="24"/>
      <c r="G1218" s="185"/>
      <c r="H1218" s="186"/>
      <c r="I1218" s="187"/>
      <c r="J1218" s="24"/>
      <c r="K1218" s="24"/>
      <c r="L1218" s="24"/>
      <c r="M1218" s="187"/>
      <c r="N1218" s="187"/>
    </row>
    <row r="1219">
      <c r="A1219" s="24"/>
      <c r="B1219" s="24"/>
      <c r="C1219" s="24"/>
      <c r="D1219" s="24"/>
      <c r="E1219" s="24"/>
      <c r="F1219" s="24"/>
      <c r="G1219" s="185"/>
      <c r="H1219" s="186"/>
      <c r="I1219" s="187"/>
      <c r="J1219" s="24"/>
      <c r="K1219" s="24"/>
      <c r="L1219" s="24"/>
      <c r="M1219" s="187"/>
      <c r="N1219" s="187"/>
    </row>
    <row r="1220">
      <c r="A1220" s="24"/>
      <c r="B1220" s="24"/>
      <c r="C1220" s="24"/>
      <c r="D1220" s="24"/>
      <c r="E1220" s="24"/>
      <c r="F1220" s="24"/>
      <c r="G1220" s="185"/>
      <c r="H1220" s="186"/>
      <c r="I1220" s="187"/>
      <c r="J1220" s="24"/>
      <c r="K1220" s="24"/>
      <c r="L1220" s="24"/>
      <c r="M1220" s="187"/>
      <c r="N1220" s="187"/>
    </row>
    <row r="1221">
      <c r="A1221" s="24"/>
      <c r="B1221" s="24"/>
      <c r="C1221" s="24"/>
      <c r="D1221" s="24"/>
      <c r="E1221" s="24"/>
      <c r="F1221" s="24"/>
      <c r="G1221" s="185"/>
      <c r="H1221" s="186"/>
      <c r="I1221" s="187"/>
      <c r="J1221" s="24"/>
      <c r="K1221" s="24"/>
      <c r="L1221" s="24"/>
      <c r="M1221" s="187"/>
      <c r="N1221" s="187"/>
    </row>
    <row r="1222">
      <c r="A1222" s="24"/>
      <c r="B1222" s="24"/>
      <c r="C1222" s="24"/>
      <c r="D1222" s="24"/>
      <c r="E1222" s="24"/>
      <c r="F1222" s="24"/>
      <c r="G1222" s="185"/>
      <c r="H1222" s="186"/>
      <c r="I1222" s="187"/>
      <c r="J1222" s="24"/>
      <c r="K1222" s="24"/>
      <c r="L1222" s="24"/>
      <c r="M1222" s="187"/>
      <c r="N1222" s="187"/>
    </row>
    <row r="1223">
      <c r="A1223" s="24"/>
      <c r="B1223" s="24"/>
      <c r="C1223" s="24"/>
      <c r="D1223" s="24"/>
      <c r="E1223" s="24"/>
      <c r="F1223" s="24"/>
      <c r="G1223" s="185"/>
      <c r="H1223" s="186"/>
      <c r="I1223" s="187"/>
      <c r="J1223" s="24"/>
      <c r="K1223" s="24"/>
      <c r="L1223" s="24"/>
      <c r="M1223" s="187"/>
      <c r="N1223" s="187"/>
    </row>
    <row r="1224">
      <c r="A1224" s="24"/>
      <c r="B1224" s="24"/>
      <c r="C1224" s="24"/>
      <c r="D1224" s="24"/>
      <c r="E1224" s="24"/>
      <c r="F1224" s="24"/>
      <c r="G1224" s="185"/>
      <c r="H1224" s="186"/>
      <c r="I1224" s="187"/>
      <c r="J1224" s="24"/>
      <c r="K1224" s="24"/>
      <c r="L1224" s="24"/>
      <c r="M1224" s="187"/>
      <c r="N1224" s="187"/>
    </row>
    <row r="1225">
      <c r="A1225" s="24"/>
      <c r="B1225" s="24"/>
      <c r="C1225" s="24"/>
      <c r="D1225" s="24"/>
      <c r="E1225" s="24"/>
      <c r="F1225" s="24"/>
      <c r="G1225" s="185"/>
      <c r="H1225" s="186"/>
      <c r="I1225" s="187"/>
      <c r="J1225" s="24"/>
      <c r="K1225" s="24"/>
      <c r="L1225" s="24"/>
      <c r="M1225" s="187"/>
      <c r="N1225" s="187"/>
    </row>
    <row r="1226">
      <c r="A1226" s="24"/>
      <c r="B1226" s="24"/>
      <c r="C1226" s="24"/>
      <c r="D1226" s="24"/>
      <c r="E1226" s="24"/>
      <c r="F1226" s="24"/>
      <c r="G1226" s="185"/>
      <c r="H1226" s="186"/>
      <c r="I1226" s="187"/>
      <c r="J1226" s="24"/>
      <c r="K1226" s="24"/>
      <c r="L1226" s="24"/>
      <c r="M1226" s="187"/>
      <c r="N1226" s="187"/>
    </row>
    <row r="1227">
      <c r="A1227" s="24"/>
      <c r="B1227" s="24"/>
      <c r="C1227" s="24"/>
      <c r="D1227" s="24"/>
      <c r="E1227" s="24"/>
      <c r="F1227" s="24"/>
      <c r="G1227" s="185"/>
      <c r="H1227" s="186"/>
      <c r="I1227" s="187"/>
      <c r="J1227" s="24"/>
      <c r="K1227" s="24"/>
      <c r="L1227" s="24"/>
      <c r="M1227" s="187"/>
      <c r="N1227" s="187"/>
    </row>
    <row r="1228">
      <c r="A1228" s="24"/>
      <c r="B1228" s="24"/>
      <c r="C1228" s="24"/>
      <c r="D1228" s="24"/>
      <c r="E1228" s="24"/>
      <c r="F1228" s="24"/>
      <c r="G1228" s="185"/>
      <c r="H1228" s="186"/>
      <c r="I1228" s="187"/>
      <c r="J1228" s="24"/>
      <c r="K1228" s="24"/>
      <c r="L1228" s="24"/>
      <c r="M1228" s="187"/>
      <c r="N1228" s="187"/>
    </row>
    <row r="1229">
      <c r="A1229" s="24"/>
      <c r="B1229" s="24"/>
      <c r="C1229" s="24"/>
      <c r="D1229" s="24"/>
      <c r="E1229" s="24"/>
      <c r="F1229" s="24"/>
      <c r="G1229" s="185"/>
      <c r="H1229" s="186"/>
      <c r="I1229" s="187"/>
      <c r="J1229" s="24"/>
      <c r="K1229" s="24"/>
      <c r="L1229" s="24"/>
      <c r="M1229" s="187"/>
      <c r="N1229" s="187"/>
    </row>
    <row r="1230">
      <c r="A1230" s="24"/>
      <c r="B1230" s="24"/>
      <c r="C1230" s="24"/>
      <c r="D1230" s="24"/>
      <c r="E1230" s="24"/>
      <c r="F1230" s="24"/>
      <c r="G1230" s="185"/>
      <c r="H1230" s="186"/>
      <c r="I1230" s="187"/>
      <c r="J1230" s="24"/>
      <c r="K1230" s="24"/>
      <c r="L1230" s="24"/>
      <c r="M1230" s="187"/>
      <c r="N1230" s="187"/>
    </row>
    <row r="1231">
      <c r="A1231" s="24"/>
      <c r="B1231" s="24"/>
      <c r="C1231" s="24"/>
      <c r="D1231" s="24"/>
      <c r="E1231" s="24"/>
      <c r="F1231" s="24"/>
      <c r="G1231" s="185"/>
      <c r="H1231" s="186"/>
      <c r="I1231" s="187"/>
      <c r="J1231" s="24"/>
      <c r="K1231" s="24"/>
      <c r="L1231" s="24"/>
      <c r="M1231" s="187"/>
      <c r="N1231" s="187"/>
    </row>
    <row r="1232">
      <c r="A1232" s="24"/>
      <c r="B1232" s="24"/>
      <c r="C1232" s="24"/>
      <c r="D1232" s="24"/>
      <c r="E1232" s="24"/>
      <c r="F1232" s="24"/>
      <c r="G1232" s="185"/>
      <c r="H1232" s="186"/>
      <c r="I1232" s="187"/>
      <c r="J1232" s="24"/>
      <c r="K1232" s="24"/>
      <c r="L1232" s="24"/>
      <c r="M1232" s="187"/>
      <c r="N1232" s="187"/>
    </row>
    <row r="1233">
      <c r="A1233" s="24"/>
      <c r="B1233" s="24"/>
      <c r="C1233" s="24"/>
      <c r="D1233" s="24"/>
      <c r="E1233" s="24"/>
      <c r="F1233" s="24"/>
      <c r="G1233" s="185"/>
      <c r="H1233" s="186"/>
      <c r="I1233" s="187"/>
      <c r="J1233" s="24"/>
      <c r="K1233" s="24"/>
      <c r="L1233" s="24"/>
      <c r="M1233" s="187"/>
      <c r="N1233" s="187"/>
    </row>
    <row r="1234">
      <c r="A1234" s="24"/>
      <c r="B1234" s="24"/>
      <c r="C1234" s="24"/>
      <c r="D1234" s="24"/>
      <c r="E1234" s="24"/>
      <c r="F1234" s="24"/>
      <c r="G1234" s="185"/>
      <c r="H1234" s="186"/>
      <c r="I1234" s="187"/>
      <c r="J1234" s="24"/>
      <c r="K1234" s="24"/>
      <c r="L1234" s="24"/>
      <c r="M1234" s="187"/>
      <c r="N1234" s="187"/>
    </row>
    <row r="1235">
      <c r="A1235" s="24"/>
      <c r="B1235" s="24"/>
      <c r="C1235" s="24"/>
      <c r="D1235" s="24"/>
      <c r="E1235" s="24"/>
      <c r="F1235" s="24"/>
      <c r="G1235" s="185"/>
      <c r="H1235" s="186"/>
      <c r="I1235" s="187"/>
      <c r="J1235" s="24"/>
      <c r="K1235" s="24"/>
      <c r="L1235" s="24"/>
      <c r="M1235" s="187"/>
      <c r="N1235" s="187"/>
    </row>
    <row r="1236">
      <c r="A1236" s="24"/>
      <c r="B1236" s="24"/>
      <c r="C1236" s="24"/>
      <c r="D1236" s="24"/>
      <c r="E1236" s="24"/>
      <c r="F1236" s="24"/>
      <c r="G1236" s="185"/>
      <c r="H1236" s="186"/>
      <c r="I1236" s="187"/>
      <c r="J1236" s="24"/>
      <c r="K1236" s="24"/>
      <c r="L1236" s="24"/>
      <c r="M1236" s="187"/>
      <c r="N1236" s="187"/>
    </row>
    <row r="1237">
      <c r="A1237" s="24"/>
      <c r="B1237" s="24"/>
      <c r="C1237" s="24"/>
      <c r="D1237" s="24"/>
      <c r="E1237" s="24"/>
      <c r="F1237" s="24"/>
      <c r="G1237" s="185"/>
      <c r="H1237" s="186"/>
      <c r="I1237" s="187"/>
      <c r="J1237" s="24"/>
      <c r="K1237" s="24"/>
      <c r="L1237" s="24"/>
      <c r="M1237" s="187"/>
      <c r="N1237" s="187"/>
    </row>
    <row r="1238">
      <c r="A1238" s="24"/>
      <c r="B1238" s="24"/>
      <c r="C1238" s="24"/>
      <c r="D1238" s="24"/>
      <c r="E1238" s="24"/>
      <c r="F1238" s="24"/>
      <c r="G1238" s="185"/>
      <c r="H1238" s="186"/>
      <c r="I1238" s="187"/>
      <c r="J1238" s="24"/>
      <c r="K1238" s="24"/>
      <c r="L1238" s="24"/>
      <c r="M1238" s="187"/>
      <c r="N1238" s="187"/>
    </row>
    <row r="1239">
      <c r="A1239" s="24"/>
      <c r="B1239" s="24"/>
      <c r="C1239" s="24"/>
      <c r="D1239" s="24"/>
      <c r="E1239" s="24"/>
      <c r="F1239" s="24"/>
      <c r="G1239" s="185"/>
      <c r="H1239" s="186"/>
      <c r="I1239" s="187"/>
      <c r="J1239" s="24"/>
      <c r="K1239" s="24"/>
      <c r="L1239" s="24"/>
      <c r="M1239" s="187"/>
      <c r="N1239" s="187"/>
    </row>
    <row r="1240">
      <c r="A1240" s="24"/>
      <c r="B1240" s="24"/>
      <c r="C1240" s="24"/>
      <c r="D1240" s="24"/>
      <c r="E1240" s="24"/>
      <c r="F1240" s="24"/>
      <c r="G1240" s="185"/>
      <c r="H1240" s="186"/>
      <c r="I1240" s="187"/>
      <c r="J1240" s="24"/>
      <c r="K1240" s="24"/>
      <c r="L1240" s="24"/>
      <c r="M1240" s="187"/>
      <c r="N1240" s="187"/>
    </row>
    <row r="1241">
      <c r="A1241" s="24"/>
      <c r="B1241" s="24"/>
      <c r="C1241" s="24"/>
      <c r="D1241" s="24"/>
      <c r="E1241" s="24"/>
      <c r="F1241" s="24"/>
      <c r="G1241" s="185"/>
      <c r="H1241" s="186"/>
      <c r="I1241" s="187"/>
      <c r="J1241" s="24"/>
      <c r="K1241" s="24"/>
      <c r="L1241" s="24"/>
      <c r="M1241" s="187"/>
      <c r="N1241" s="187"/>
    </row>
    <row r="1242">
      <c r="A1242" s="24"/>
      <c r="B1242" s="24"/>
      <c r="C1242" s="24"/>
      <c r="D1242" s="24"/>
      <c r="E1242" s="24"/>
      <c r="F1242" s="24"/>
      <c r="G1242" s="185"/>
      <c r="H1242" s="186"/>
      <c r="I1242" s="187"/>
      <c r="J1242" s="24"/>
      <c r="K1242" s="24"/>
      <c r="L1242" s="24"/>
      <c r="M1242" s="187"/>
      <c r="N1242" s="187"/>
    </row>
    <row r="1243">
      <c r="A1243" s="24"/>
      <c r="B1243" s="24"/>
      <c r="C1243" s="24"/>
      <c r="D1243" s="24"/>
      <c r="E1243" s="24"/>
      <c r="F1243" s="24"/>
      <c r="G1243" s="185"/>
      <c r="H1243" s="186"/>
      <c r="I1243" s="187"/>
      <c r="J1243" s="24"/>
      <c r="K1243" s="24"/>
      <c r="L1243" s="24"/>
      <c r="M1243" s="187"/>
      <c r="N1243" s="187"/>
    </row>
    <row r="1244">
      <c r="A1244" s="24"/>
      <c r="B1244" s="24"/>
      <c r="C1244" s="24"/>
      <c r="D1244" s="24"/>
      <c r="E1244" s="24"/>
      <c r="F1244" s="24"/>
      <c r="G1244" s="185"/>
      <c r="H1244" s="186"/>
      <c r="I1244" s="187"/>
      <c r="J1244" s="24"/>
      <c r="K1244" s="24"/>
      <c r="L1244" s="24"/>
      <c r="M1244" s="187"/>
      <c r="N1244" s="187"/>
    </row>
    <row r="1245">
      <c r="A1245" s="24"/>
      <c r="B1245" s="24"/>
      <c r="C1245" s="24"/>
      <c r="D1245" s="24"/>
      <c r="E1245" s="24"/>
      <c r="F1245" s="24"/>
      <c r="G1245" s="185"/>
      <c r="H1245" s="186"/>
      <c r="I1245" s="187"/>
      <c r="J1245" s="24"/>
      <c r="K1245" s="24"/>
      <c r="L1245" s="24"/>
      <c r="M1245" s="187"/>
      <c r="N1245" s="187"/>
    </row>
    <row r="1246">
      <c r="A1246" s="24"/>
      <c r="B1246" s="24"/>
      <c r="C1246" s="24"/>
      <c r="D1246" s="24"/>
      <c r="E1246" s="24"/>
      <c r="F1246" s="24"/>
      <c r="G1246" s="185"/>
      <c r="H1246" s="186"/>
      <c r="I1246" s="187"/>
      <c r="J1246" s="24"/>
      <c r="K1246" s="24"/>
      <c r="L1246" s="24"/>
      <c r="M1246" s="187"/>
      <c r="N1246" s="187"/>
    </row>
    <row r="1247">
      <c r="A1247" s="24"/>
      <c r="B1247" s="24"/>
      <c r="C1247" s="24"/>
      <c r="D1247" s="24"/>
      <c r="E1247" s="24"/>
      <c r="F1247" s="24"/>
      <c r="G1247" s="185"/>
      <c r="H1247" s="186"/>
      <c r="I1247" s="187"/>
      <c r="J1247" s="24"/>
      <c r="K1247" s="24"/>
      <c r="L1247" s="24"/>
      <c r="M1247" s="187"/>
      <c r="N1247" s="187"/>
    </row>
    <row r="1248">
      <c r="A1248" s="24"/>
      <c r="B1248" s="24"/>
      <c r="C1248" s="24"/>
      <c r="D1248" s="24"/>
      <c r="E1248" s="24"/>
      <c r="F1248" s="24"/>
      <c r="G1248" s="185"/>
      <c r="H1248" s="186"/>
      <c r="I1248" s="187"/>
      <c r="J1248" s="24"/>
      <c r="K1248" s="24"/>
      <c r="L1248" s="24"/>
      <c r="M1248" s="187"/>
      <c r="N1248" s="187"/>
    </row>
    <row r="1249">
      <c r="A1249" s="24"/>
      <c r="B1249" s="24"/>
      <c r="C1249" s="24"/>
      <c r="D1249" s="24"/>
      <c r="E1249" s="24"/>
      <c r="F1249" s="24"/>
      <c r="G1249" s="185"/>
      <c r="H1249" s="186"/>
      <c r="I1249" s="187"/>
      <c r="J1249" s="24"/>
      <c r="K1249" s="24"/>
      <c r="L1249" s="24"/>
      <c r="M1249" s="187"/>
      <c r="N1249" s="187"/>
    </row>
    <row r="1250">
      <c r="A1250" s="24"/>
      <c r="B1250" s="24"/>
      <c r="C1250" s="24"/>
      <c r="D1250" s="24"/>
      <c r="E1250" s="24"/>
      <c r="F1250" s="24"/>
      <c r="G1250" s="185"/>
      <c r="H1250" s="186"/>
      <c r="I1250" s="187"/>
      <c r="J1250" s="24"/>
      <c r="K1250" s="24"/>
      <c r="L1250" s="24"/>
      <c r="M1250" s="187"/>
      <c r="N1250" s="187"/>
    </row>
    <row r="1251">
      <c r="A1251" s="24"/>
      <c r="B1251" s="24"/>
      <c r="C1251" s="24"/>
      <c r="D1251" s="24"/>
      <c r="E1251" s="24"/>
      <c r="F1251" s="24"/>
      <c r="G1251" s="185"/>
      <c r="H1251" s="186"/>
      <c r="I1251" s="187"/>
      <c r="J1251" s="24"/>
      <c r="K1251" s="24"/>
      <c r="L1251" s="24"/>
      <c r="M1251" s="187"/>
      <c r="N1251" s="187"/>
    </row>
    <row r="1252">
      <c r="A1252" s="24"/>
      <c r="B1252" s="24"/>
      <c r="C1252" s="24"/>
      <c r="D1252" s="24"/>
      <c r="E1252" s="24"/>
      <c r="F1252" s="24"/>
      <c r="G1252" s="185"/>
      <c r="H1252" s="186"/>
      <c r="I1252" s="187"/>
      <c r="J1252" s="24"/>
      <c r="K1252" s="24"/>
      <c r="L1252" s="24"/>
      <c r="M1252" s="187"/>
      <c r="N1252" s="187"/>
    </row>
    <row r="1253">
      <c r="A1253" s="24"/>
      <c r="B1253" s="24"/>
      <c r="C1253" s="24"/>
      <c r="D1253" s="24"/>
      <c r="E1253" s="24"/>
      <c r="F1253" s="24"/>
      <c r="G1253" s="185"/>
      <c r="H1253" s="186"/>
      <c r="I1253" s="187"/>
      <c r="J1253" s="24"/>
      <c r="K1253" s="24"/>
      <c r="L1253" s="24"/>
      <c r="M1253" s="187"/>
      <c r="N1253" s="187"/>
    </row>
    <row r="1254">
      <c r="A1254" s="24"/>
      <c r="B1254" s="24"/>
      <c r="C1254" s="24"/>
      <c r="D1254" s="24"/>
      <c r="E1254" s="24"/>
      <c r="F1254" s="24"/>
      <c r="G1254" s="185"/>
      <c r="H1254" s="186"/>
      <c r="I1254" s="187"/>
      <c r="J1254" s="24"/>
      <c r="K1254" s="24"/>
      <c r="L1254" s="24"/>
      <c r="M1254" s="187"/>
      <c r="N1254" s="187"/>
    </row>
    <row r="1255">
      <c r="A1255" s="24"/>
      <c r="B1255" s="24"/>
      <c r="C1255" s="24"/>
      <c r="D1255" s="24"/>
      <c r="E1255" s="24"/>
      <c r="F1255" s="24"/>
      <c r="G1255" s="185"/>
      <c r="H1255" s="186"/>
      <c r="I1255" s="187"/>
      <c r="J1255" s="24"/>
      <c r="K1255" s="24"/>
      <c r="L1255" s="24"/>
      <c r="M1255" s="187"/>
      <c r="N1255" s="187"/>
    </row>
    <row r="1256">
      <c r="A1256" s="24"/>
      <c r="B1256" s="24"/>
      <c r="C1256" s="24"/>
      <c r="D1256" s="24"/>
      <c r="E1256" s="24"/>
      <c r="F1256" s="24"/>
      <c r="G1256" s="185"/>
      <c r="H1256" s="186"/>
      <c r="I1256" s="187"/>
      <c r="J1256" s="24"/>
      <c r="K1256" s="24"/>
      <c r="L1256" s="24"/>
      <c r="M1256" s="187"/>
      <c r="N1256" s="187"/>
    </row>
    <row r="1257">
      <c r="A1257" s="24"/>
      <c r="B1257" s="24"/>
      <c r="C1257" s="24"/>
      <c r="D1257" s="24"/>
      <c r="E1257" s="24"/>
      <c r="F1257" s="24"/>
      <c r="G1257" s="185"/>
      <c r="H1257" s="186"/>
      <c r="I1257" s="187"/>
      <c r="J1257" s="24"/>
      <c r="K1257" s="24"/>
      <c r="L1257" s="24"/>
      <c r="M1257" s="187"/>
      <c r="N1257" s="187"/>
    </row>
    <row r="1258">
      <c r="A1258" s="24"/>
      <c r="B1258" s="24"/>
      <c r="C1258" s="24"/>
      <c r="D1258" s="24"/>
      <c r="E1258" s="24"/>
      <c r="F1258" s="24"/>
      <c r="G1258" s="185"/>
      <c r="H1258" s="186"/>
      <c r="I1258" s="187"/>
      <c r="J1258" s="24"/>
      <c r="K1258" s="24"/>
      <c r="L1258" s="24"/>
      <c r="M1258" s="187"/>
      <c r="N1258" s="187"/>
    </row>
    <row r="1259">
      <c r="A1259" s="24"/>
      <c r="B1259" s="24"/>
      <c r="C1259" s="24"/>
      <c r="D1259" s="24"/>
      <c r="E1259" s="24"/>
      <c r="F1259" s="24"/>
      <c r="G1259" s="185"/>
      <c r="H1259" s="186"/>
      <c r="I1259" s="187"/>
      <c r="J1259" s="24"/>
      <c r="K1259" s="24"/>
      <c r="L1259" s="24"/>
      <c r="M1259" s="187"/>
      <c r="N1259" s="187"/>
    </row>
    <row r="1260">
      <c r="A1260" s="24"/>
      <c r="B1260" s="24"/>
      <c r="C1260" s="24"/>
      <c r="D1260" s="24"/>
      <c r="E1260" s="24"/>
      <c r="F1260" s="24"/>
      <c r="G1260" s="185"/>
      <c r="H1260" s="186"/>
      <c r="I1260" s="187"/>
      <c r="J1260" s="24"/>
      <c r="K1260" s="24"/>
      <c r="L1260" s="24"/>
      <c r="M1260" s="187"/>
      <c r="N1260" s="187"/>
    </row>
    <row r="1261">
      <c r="A1261" s="24"/>
      <c r="B1261" s="24"/>
      <c r="C1261" s="24"/>
      <c r="D1261" s="24"/>
      <c r="E1261" s="24"/>
      <c r="F1261" s="24"/>
      <c r="G1261" s="185"/>
      <c r="H1261" s="186"/>
      <c r="I1261" s="187"/>
      <c r="J1261" s="24"/>
      <c r="K1261" s="24"/>
      <c r="L1261" s="24"/>
      <c r="M1261" s="187"/>
      <c r="N1261" s="187"/>
    </row>
    <row r="1262">
      <c r="A1262" s="24"/>
      <c r="B1262" s="24"/>
      <c r="C1262" s="24"/>
      <c r="D1262" s="24"/>
      <c r="E1262" s="24"/>
      <c r="F1262" s="24"/>
      <c r="G1262" s="185"/>
      <c r="H1262" s="186"/>
      <c r="I1262" s="187"/>
      <c r="J1262" s="24"/>
      <c r="K1262" s="24"/>
      <c r="L1262" s="24"/>
      <c r="M1262" s="187"/>
      <c r="N1262" s="187"/>
    </row>
    <row r="1263">
      <c r="A1263" s="24"/>
      <c r="B1263" s="24"/>
      <c r="C1263" s="24"/>
      <c r="D1263" s="24"/>
      <c r="E1263" s="24"/>
      <c r="F1263" s="24"/>
      <c r="G1263" s="185"/>
      <c r="H1263" s="186"/>
      <c r="I1263" s="187"/>
      <c r="J1263" s="24"/>
      <c r="K1263" s="24"/>
      <c r="L1263" s="24"/>
      <c r="M1263" s="187"/>
      <c r="N1263" s="187"/>
    </row>
    <row r="1264">
      <c r="A1264" s="24"/>
      <c r="B1264" s="24"/>
      <c r="C1264" s="24"/>
      <c r="D1264" s="24"/>
      <c r="E1264" s="24"/>
      <c r="F1264" s="24"/>
      <c r="G1264" s="185"/>
      <c r="H1264" s="186"/>
      <c r="I1264" s="187"/>
      <c r="J1264" s="24"/>
      <c r="K1264" s="24"/>
      <c r="L1264" s="24"/>
      <c r="M1264" s="187"/>
      <c r="N1264" s="187"/>
    </row>
    <row r="1265">
      <c r="A1265" s="24"/>
      <c r="B1265" s="24"/>
      <c r="C1265" s="24"/>
      <c r="D1265" s="24"/>
      <c r="E1265" s="24"/>
      <c r="F1265" s="24"/>
      <c r="G1265" s="185"/>
      <c r="H1265" s="186"/>
      <c r="I1265" s="187"/>
      <c r="J1265" s="24"/>
      <c r="K1265" s="24"/>
      <c r="L1265" s="24"/>
      <c r="M1265" s="187"/>
      <c r="N1265" s="187"/>
    </row>
    <row r="1266">
      <c r="A1266" s="24"/>
      <c r="B1266" s="24"/>
      <c r="C1266" s="24"/>
      <c r="D1266" s="24"/>
      <c r="E1266" s="24"/>
      <c r="F1266" s="24"/>
      <c r="G1266" s="185"/>
      <c r="H1266" s="186"/>
      <c r="I1266" s="187"/>
      <c r="J1266" s="24"/>
      <c r="K1266" s="24"/>
      <c r="L1266" s="24"/>
      <c r="M1266" s="187"/>
      <c r="N1266" s="187"/>
    </row>
    <row r="1267">
      <c r="A1267" s="24"/>
      <c r="B1267" s="24"/>
      <c r="C1267" s="24"/>
      <c r="D1267" s="24"/>
      <c r="E1267" s="24"/>
      <c r="F1267" s="24"/>
      <c r="G1267" s="185"/>
      <c r="H1267" s="186"/>
      <c r="I1267" s="187"/>
      <c r="J1267" s="24"/>
      <c r="K1267" s="24"/>
      <c r="L1267" s="24"/>
      <c r="M1267" s="187"/>
      <c r="N1267" s="187"/>
    </row>
    <row r="1268">
      <c r="A1268" s="24"/>
      <c r="B1268" s="24"/>
      <c r="C1268" s="24"/>
      <c r="D1268" s="24"/>
      <c r="E1268" s="24"/>
      <c r="F1268" s="24"/>
      <c r="G1268" s="185"/>
      <c r="H1268" s="186"/>
      <c r="I1268" s="187"/>
      <c r="J1268" s="24"/>
      <c r="K1268" s="24"/>
      <c r="L1268" s="24"/>
      <c r="M1268" s="187"/>
      <c r="N1268" s="187"/>
    </row>
    <row r="1269">
      <c r="A1269" s="24"/>
      <c r="B1269" s="24"/>
      <c r="C1269" s="24"/>
      <c r="D1269" s="24"/>
      <c r="E1269" s="24"/>
      <c r="F1269" s="24"/>
      <c r="G1269" s="185"/>
      <c r="H1269" s="186"/>
      <c r="I1269" s="187"/>
      <c r="J1269" s="24"/>
      <c r="K1269" s="24"/>
      <c r="L1269" s="24"/>
      <c r="M1269" s="187"/>
      <c r="N1269" s="187"/>
    </row>
    <row r="1270">
      <c r="A1270" s="24"/>
      <c r="B1270" s="24"/>
      <c r="C1270" s="24"/>
      <c r="D1270" s="24"/>
      <c r="E1270" s="24"/>
      <c r="F1270" s="24"/>
      <c r="G1270" s="185"/>
      <c r="H1270" s="186"/>
      <c r="I1270" s="187"/>
      <c r="J1270" s="24"/>
      <c r="K1270" s="24"/>
      <c r="L1270" s="24"/>
      <c r="M1270" s="187"/>
      <c r="N1270" s="187"/>
    </row>
    <row r="1271">
      <c r="A1271" s="24"/>
      <c r="B1271" s="24"/>
      <c r="C1271" s="24"/>
      <c r="D1271" s="24"/>
      <c r="E1271" s="24"/>
      <c r="F1271" s="24"/>
      <c r="G1271" s="185"/>
      <c r="H1271" s="186"/>
      <c r="I1271" s="187"/>
      <c r="J1271" s="24"/>
      <c r="K1271" s="24"/>
      <c r="L1271" s="24"/>
      <c r="M1271" s="187"/>
      <c r="N1271" s="187"/>
    </row>
    <row r="1272">
      <c r="A1272" s="24"/>
      <c r="B1272" s="24"/>
      <c r="C1272" s="24"/>
      <c r="D1272" s="24"/>
      <c r="E1272" s="24"/>
      <c r="F1272" s="24"/>
      <c r="G1272" s="185"/>
      <c r="H1272" s="186"/>
      <c r="I1272" s="187"/>
      <c r="J1272" s="24"/>
      <c r="K1272" s="24"/>
      <c r="L1272" s="24"/>
      <c r="M1272" s="187"/>
      <c r="N1272" s="187"/>
    </row>
    <row r="1273">
      <c r="A1273" s="24"/>
      <c r="B1273" s="24"/>
      <c r="C1273" s="24"/>
      <c r="D1273" s="24"/>
      <c r="E1273" s="24"/>
      <c r="F1273" s="24"/>
      <c r="G1273" s="185"/>
      <c r="H1273" s="186"/>
      <c r="I1273" s="187"/>
      <c r="J1273" s="24"/>
      <c r="K1273" s="24"/>
      <c r="L1273" s="24"/>
      <c r="M1273" s="187"/>
      <c r="N1273" s="187"/>
    </row>
    <row r="1274">
      <c r="A1274" s="24"/>
      <c r="B1274" s="24"/>
      <c r="C1274" s="24"/>
      <c r="D1274" s="24"/>
      <c r="E1274" s="24"/>
      <c r="F1274" s="24"/>
      <c r="G1274" s="185"/>
      <c r="H1274" s="186"/>
      <c r="I1274" s="187"/>
      <c r="J1274" s="24"/>
      <c r="K1274" s="24"/>
      <c r="L1274" s="24"/>
      <c r="M1274" s="187"/>
      <c r="N1274" s="187"/>
    </row>
    <row r="1275">
      <c r="A1275" s="24"/>
      <c r="B1275" s="24"/>
      <c r="C1275" s="24"/>
      <c r="D1275" s="24"/>
      <c r="E1275" s="24"/>
      <c r="F1275" s="24"/>
      <c r="G1275" s="185"/>
      <c r="H1275" s="186"/>
      <c r="I1275" s="187"/>
      <c r="J1275" s="24"/>
      <c r="K1275" s="24"/>
      <c r="L1275" s="24"/>
      <c r="M1275" s="187"/>
      <c r="N1275" s="187"/>
    </row>
    <row r="1276">
      <c r="A1276" s="24"/>
      <c r="B1276" s="24"/>
      <c r="C1276" s="24"/>
      <c r="D1276" s="24"/>
      <c r="E1276" s="24"/>
      <c r="F1276" s="24"/>
      <c r="G1276" s="185"/>
      <c r="H1276" s="186"/>
      <c r="I1276" s="187"/>
      <c r="J1276" s="24"/>
      <c r="K1276" s="24"/>
      <c r="L1276" s="24"/>
      <c r="M1276" s="187"/>
      <c r="N1276" s="187"/>
    </row>
    <row r="1277">
      <c r="A1277" s="24"/>
      <c r="B1277" s="24"/>
      <c r="C1277" s="24"/>
      <c r="D1277" s="24"/>
      <c r="E1277" s="24"/>
      <c r="F1277" s="24"/>
      <c r="G1277" s="185"/>
      <c r="H1277" s="186"/>
      <c r="I1277" s="187"/>
      <c r="J1277" s="24"/>
      <c r="K1277" s="24"/>
      <c r="L1277" s="24"/>
      <c r="M1277" s="187"/>
      <c r="N1277" s="187"/>
    </row>
    <row r="1278">
      <c r="A1278" s="24"/>
      <c r="B1278" s="24"/>
      <c r="C1278" s="24"/>
      <c r="D1278" s="24"/>
      <c r="E1278" s="24"/>
      <c r="F1278" s="24"/>
      <c r="G1278" s="185"/>
      <c r="H1278" s="186"/>
      <c r="I1278" s="187"/>
      <c r="J1278" s="24"/>
      <c r="K1278" s="24"/>
      <c r="L1278" s="24"/>
      <c r="M1278" s="187"/>
      <c r="N1278" s="187"/>
    </row>
    <row r="1279">
      <c r="A1279" s="24"/>
      <c r="B1279" s="24"/>
      <c r="C1279" s="24"/>
      <c r="D1279" s="24"/>
      <c r="E1279" s="24"/>
      <c r="F1279" s="24"/>
      <c r="G1279" s="185"/>
      <c r="H1279" s="186"/>
      <c r="I1279" s="187"/>
      <c r="J1279" s="24"/>
      <c r="K1279" s="24"/>
      <c r="L1279" s="24"/>
      <c r="M1279" s="187"/>
      <c r="N1279" s="187"/>
    </row>
    <row r="1280">
      <c r="A1280" s="24"/>
      <c r="B1280" s="24"/>
      <c r="C1280" s="24"/>
      <c r="D1280" s="24"/>
      <c r="E1280" s="24"/>
      <c r="F1280" s="24"/>
      <c r="G1280" s="185"/>
      <c r="H1280" s="186"/>
      <c r="I1280" s="187"/>
      <c r="J1280" s="24"/>
      <c r="K1280" s="24"/>
      <c r="L1280" s="24"/>
      <c r="M1280" s="187"/>
      <c r="N1280" s="187"/>
    </row>
    <row r="1281">
      <c r="A1281" s="24"/>
      <c r="B1281" s="24"/>
      <c r="C1281" s="24"/>
      <c r="D1281" s="24"/>
      <c r="E1281" s="24"/>
      <c r="F1281" s="24"/>
      <c r="G1281" s="185"/>
      <c r="H1281" s="186"/>
      <c r="I1281" s="187"/>
      <c r="J1281" s="24"/>
      <c r="K1281" s="24"/>
      <c r="L1281" s="24"/>
      <c r="M1281" s="187"/>
      <c r="N1281" s="187"/>
    </row>
    <row r="1282">
      <c r="A1282" s="24"/>
      <c r="B1282" s="24"/>
      <c r="C1282" s="24"/>
      <c r="D1282" s="24"/>
      <c r="E1282" s="24"/>
      <c r="F1282" s="24"/>
      <c r="G1282" s="185"/>
      <c r="H1282" s="186"/>
      <c r="I1282" s="187"/>
      <c r="J1282" s="24"/>
      <c r="K1282" s="24"/>
      <c r="L1282" s="24"/>
      <c r="M1282" s="187"/>
      <c r="N1282" s="187"/>
    </row>
    <row r="1283">
      <c r="A1283" s="24"/>
      <c r="B1283" s="24"/>
      <c r="C1283" s="24"/>
      <c r="D1283" s="24"/>
      <c r="E1283" s="24"/>
      <c r="F1283" s="24"/>
      <c r="G1283" s="185"/>
      <c r="H1283" s="186"/>
      <c r="I1283" s="187"/>
      <c r="J1283" s="24"/>
      <c r="K1283" s="24"/>
      <c r="L1283" s="24"/>
      <c r="M1283" s="187"/>
      <c r="N1283" s="187"/>
    </row>
    <row r="1284">
      <c r="A1284" s="24"/>
      <c r="B1284" s="24"/>
      <c r="C1284" s="24"/>
      <c r="D1284" s="24"/>
      <c r="E1284" s="24"/>
      <c r="F1284" s="24"/>
      <c r="G1284" s="185"/>
      <c r="H1284" s="186"/>
      <c r="I1284" s="187"/>
      <c r="J1284" s="24"/>
      <c r="K1284" s="24"/>
      <c r="L1284" s="24"/>
      <c r="M1284" s="187"/>
      <c r="N1284" s="187"/>
    </row>
    <row r="1285">
      <c r="A1285" s="24"/>
      <c r="B1285" s="24"/>
      <c r="C1285" s="24"/>
      <c r="D1285" s="24"/>
      <c r="E1285" s="24"/>
      <c r="F1285" s="24"/>
      <c r="G1285" s="185"/>
      <c r="H1285" s="186"/>
      <c r="I1285" s="187"/>
      <c r="J1285" s="24"/>
      <c r="K1285" s="24"/>
      <c r="L1285" s="24"/>
      <c r="M1285" s="187"/>
      <c r="N1285" s="187"/>
    </row>
    <row r="1286">
      <c r="A1286" s="24"/>
      <c r="B1286" s="24"/>
      <c r="C1286" s="24"/>
      <c r="D1286" s="24"/>
      <c r="E1286" s="24"/>
      <c r="F1286" s="24"/>
      <c r="G1286" s="185"/>
      <c r="H1286" s="186"/>
      <c r="I1286" s="187"/>
      <c r="J1286" s="24"/>
      <c r="K1286" s="24"/>
      <c r="L1286" s="24"/>
      <c r="M1286" s="187"/>
      <c r="N1286" s="187"/>
    </row>
    <row r="1287">
      <c r="A1287" s="24"/>
      <c r="B1287" s="24"/>
      <c r="C1287" s="24"/>
      <c r="D1287" s="24"/>
      <c r="E1287" s="24"/>
      <c r="F1287" s="24"/>
      <c r="G1287" s="185"/>
      <c r="H1287" s="186"/>
      <c r="I1287" s="187"/>
      <c r="J1287" s="24"/>
      <c r="K1287" s="24"/>
      <c r="L1287" s="24"/>
      <c r="M1287" s="187"/>
      <c r="N1287" s="187"/>
    </row>
    <row r="1288">
      <c r="A1288" s="24"/>
      <c r="B1288" s="24"/>
      <c r="C1288" s="24"/>
      <c r="D1288" s="24"/>
      <c r="E1288" s="24"/>
      <c r="F1288" s="24"/>
      <c r="G1288" s="185"/>
      <c r="H1288" s="186"/>
      <c r="I1288" s="187"/>
      <c r="J1288" s="24"/>
      <c r="K1288" s="24"/>
      <c r="L1288" s="24"/>
      <c r="M1288" s="187"/>
      <c r="N1288" s="187"/>
    </row>
    <row r="1289">
      <c r="A1289" s="24"/>
      <c r="B1289" s="24"/>
      <c r="C1289" s="24"/>
      <c r="D1289" s="24"/>
      <c r="E1289" s="24"/>
      <c r="F1289" s="24"/>
      <c r="G1289" s="185"/>
      <c r="H1289" s="186"/>
      <c r="I1289" s="187"/>
      <c r="J1289" s="24"/>
      <c r="K1289" s="24"/>
      <c r="L1289" s="24"/>
      <c r="M1289" s="187"/>
      <c r="N1289" s="187"/>
    </row>
    <row r="1290">
      <c r="A1290" s="24"/>
      <c r="B1290" s="24"/>
      <c r="C1290" s="24"/>
      <c r="D1290" s="24"/>
      <c r="E1290" s="24"/>
      <c r="F1290" s="24"/>
      <c r="G1290" s="185"/>
      <c r="H1290" s="186"/>
      <c r="I1290" s="187"/>
      <c r="J1290" s="24"/>
      <c r="K1290" s="24"/>
      <c r="L1290" s="24"/>
      <c r="M1290" s="187"/>
      <c r="N1290" s="187"/>
    </row>
    <row r="1291">
      <c r="A1291" s="24"/>
      <c r="B1291" s="24"/>
      <c r="C1291" s="24"/>
      <c r="D1291" s="24"/>
      <c r="E1291" s="24"/>
      <c r="F1291" s="24"/>
      <c r="G1291" s="185"/>
      <c r="H1291" s="186"/>
      <c r="I1291" s="187"/>
      <c r="J1291" s="24"/>
      <c r="K1291" s="24"/>
      <c r="L1291" s="24"/>
      <c r="M1291" s="187"/>
      <c r="N1291" s="187"/>
    </row>
    <row r="1292">
      <c r="A1292" s="24"/>
      <c r="B1292" s="24"/>
      <c r="C1292" s="24"/>
      <c r="D1292" s="24"/>
      <c r="E1292" s="24"/>
      <c r="F1292" s="24"/>
      <c r="G1292" s="185"/>
      <c r="H1292" s="186"/>
      <c r="I1292" s="187"/>
      <c r="J1292" s="24"/>
      <c r="K1292" s="24"/>
      <c r="L1292" s="24"/>
      <c r="M1292" s="187"/>
      <c r="N1292" s="187"/>
    </row>
    <row r="1293">
      <c r="A1293" s="24"/>
      <c r="B1293" s="24"/>
      <c r="C1293" s="24"/>
      <c r="D1293" s="24"/>
      <c r="E1293" s="24"/>
      <c r="F1293" s="24"/>
      <c r="G1293" s="185"/>
      <c r="H1293" s="186"/>
      <c r="I1293" s="187"/>
      <c r="J1293" s="24"/>
      <c r="K1293" s="24"/>
      <c r="L1293" s="24"/>
      <c r="M1293" s="187"/>
      <c r="N1293" s="187"/>
    </row>
    <row r="1294">
      <c r="A1294" s="24"/>
      <c r="B1294" s="24"/>
      <c r="C1294" s="24"/>
      <c r="D1294" s="24"/>
      <c r="E1294" s="24"/>
      <c r="F1294" s="24"/>
      <c r="G1294" s="185"/>
      <c r="H1294" s="186"/>
      <c r="I1294" s="187"/>
      <c r="J1294" s="24"/>
      <c r="K1294" s="24"/>
      <c r="L1294" s="24"/>
      <c r="M1294" s="187"/>
      <c r="N1294" s="187"/>
    </row>
    <row r="1295">
      <c r="A1295" s="24"/>
      <c r="B1295" s="24"/>
      <c r="C1295" s="24"/>
      <c r="D1295" s="24"/>
      <c r="E1295" s="24"/>
      <c r="F1295" s="24"/>
      <c r="G1295" s="185"/>
      <c r="H1295" s="186"/>
      <c r="I1295" s="187"/>
      <c r="J1295" s="24"/>
      <c r="K1295" s="24"/>
      <c r="L1295" s="24"/>
      <c r="M1295" s="187"/>
      <c r="N1295" s="187"/>
    </row>
    <row r="1296">
      <c r="A1296" s="24"/>
      <c r="B1296" s="24"/>
      <c r="C1296" s="24"/>
      <c r="D1296" s="24"/>
      <c r="E1296" s="24"/>
      <c r="F1296" s="24"/>
      <c r="G1296" s="185"/>
      <c r="H1296" s="186"/>
      <c r="I1296" s="187"/>
      <c r="J1296" s="24"/>
      <c r="K1296" s="24"/>
      <c r="L1296" s="24"/>
      <c r="M1296" s="187"/>
      <c r="N1296" s="187"/>
    </row>
    <row r="1297">
      <c r="A1297" s="24"/>
      <c r="B1297" s="24"/>
      <c r="C1297" s="24"/>
      <c r="D1297" s="24"/>
      <c r="E1297" s="24"/>
      <c r="F1297" s="24"/>
      <c r="G1297" s="185"/>
      <c r="H1297" s="186"/>
      <c r="I1297" s="187"/>
      <c r="J1297" s="24"/>
      <c r="K1297" s="24"/>
      <c r="L1297" s="24"/>
      <c r="M1297" s="187"/>
      <c r="N1297" s="187"/>
    </row>
    <row r="1298">
      <c r="A1298" s="24"/>
      <c r="B1298" s="24"/>
      <c r="C1298" s="24"/>
      <c r="D1298" s="24"/>
      <c r="E1298" s="24"/>
      <c r="F1298" s="24"/>
      <c r="G1298" s="185"/>
      <c r="H1298" s="186"/>
      <c r="I1298" s="187"/>
      <c r="J1298" s="24"/>
      <c r="K1298" s="24"/>
      <c r="L1298" s="24"/>
      <c r="M1298" s="187"/>
      <c r="N1298" s="187"/>
    </row>
    <row r="1299">
      <c r="A1299" s="24"/>
      <c r="B1299" s="24"/>
      <c r="C1299" s="24"/>
      <c r="D1299" s="24"/>
      <c r="E1299" s="24"/>
      <c r="F1299" s="24"/>
      <c r="G1299" s="185"/>
      <c r="H1299" s="186"/>
      <c r="I1299" s="187"/>
      <c r="J1299" s="24"/>
      <c r="K1299" s="24"/>
      <c r="L1299" s="24"/>
      <c r="M1299" s="187"/>
      <c r="N1299" s="187"/>
    </row>
    <row r="1300">
      <c r="A1300" s="24"/>
      <c r="B1300" s="24"/>
      <c r="C1300" s="24"/>
      <c r="D1300" s="24"/>
      <c r="E1300" s="24"/>
      <c r="F1300" s="24"/>
      <c r="G1300" s="185"/>
      <c r="H1300" s="186"/>
      <c r="I1300" s="187"/>
      <c r="J1300" s="24"/>
      <c r="K1300" s="24"/>
      <c r="L1300" s="24"/>
      <c r="M1300" s="187"/>
      <c r="N1300" s="187"/>
    </row>
    <row r="1301">
      <c r="A1301" s="24"/>
      <c r="B1301" s="24"/>
      <c r="C1301" s="24"/>
      <c r="D1301" s="24"/>
      <c r="E1301" s="24"/>
      <c r="F1301" s="24"/>
      <c r="G1301" s="185"/>
      <c r="H1301" s="186"/>
      <c r="I1301" s="187"/>
      <c r="J1301" s="24"/>
      <c r="K1301" s="24"/>
      <c r="L1301" s="24"/>
      <c r="M1301" s="187"/>
      <c r="N1301" s="187"/>
    </row>
    <row r="1302">
      <c r="A1302" s="24"/>
      <c r="B1302" s="24"/>
      <c r="C1302" s="24"/>
      <c r="D1302" s="24"/>
      <c r="E1302" s="24"/>
      <c r="F1302" s="24"/>
      <c r="G1302" s="185"/>
      <c r="H1302" s="186"/>
      <c r="I1302" s="187"/>
      <c r="J1302" s="24"/>
      <c r="K1302" s="24"/>
      <c r="L1302" s="24"/>
      <c r="M1302" s="187"/>
      <c r="N1302" s="187"/>
    </row>
    <row r="1303">
      <c r="A1303" s="24"/>
      <c r="B1303" s="24"/>
      <c r="C1303" s="24"/>
      <c r="D1303" s="24"/>
      <c r="E1303" s="24"/>
      <c r="F1303" s="24"/>
      <c r="G1303" s="185"/>
      <c r="H1303" s="186"/>
      <c r="I1303" s="187"/>
      <c r="J1303" s="24"/>
      <c r="K1303" s="24"/>
      <c r="L1303" s="24"/>
      <c r="M1303" s="187"/>
      <c r="N1303" s="187"/>
    </row>
    <row r="1304">
      <c r="A1304" s="24"/>
      <c r="B1304" s="24"/>
      <c r="C1304" s="24"/>
      <c r="D1304" s="24"/>
      <c r="E1304" s="24"/>
      <c r="F1304" s="24"/>
      <c r="G1304" s="185"/>
      <c r="H1304" s="186"/>
      <c r="I1304" s="187"/>
      <c r="J1304" s="24"/>
      <c r="K1304" s="24"/>
      <c r="L1304" s="24"/>
      <c r="M1304" s="187"/>
      <c r="N1304" s="187"/>
    </row>
    <row r="1305">
      <c r="A1305" s="24"/>
      <c r="B1305" s="24"/>
      <c r="C1305" s="24"/>
      <c r="D1305" s="24"/>
      <c r="E1305" s="24"/>
      <c r="F1305" s="24"/>
      <c r="G1305" s="185"/>
      <c r="H1305" s="186"/>
      <c r="I1305" s="187"/>
      <c r="J1305" s="24"/>
      <c r="K1305" s="24"/>
      <c r="L1305" s="24"/>
      <c r="M1305" s="187"/>
      <c r="N1305" s="187"/>
    </row>
    <row r="1306">
      <c r="A1306" s="24"/>
      <c r="B1306" s="24"/>
      <c r="C1306" s="24"/>
      <c r="D1306" s="24"/>
      <c r="E1306" s="24"/>
      <c r="F1306" s="24"/>
      <c r="G1306" s="185"/>
      <c r="H1306" s="186"/>
      <c r="I1306" s="187"/>
      <c r="J1306" s="24"/>
      <c r="K1306" s="24"/>
      <c r="L1306" s="24"/>
      <c r="M1306" s="187"/>
      <c r="N1306" s="187"/>
    </row>
    <row r="1307">
      <c r="A1307" s="24"/>
      <c r="B1307" s="24"/>
      <c r="C1307" s="24"/>
      <c r="D1307" s="24"/>
      <c r="E1307" s="24"/>
      <c r="F1307" s="24"/>
      <c r="G1307" s="185"/>
      <c r="H1307" s="186"/>
      <c r="I1307" s="187"/>
      <c r="J1307" s="24"/>
      <c r="K1307" s="24"/>
      <c r="L1307" s="24"/>
      <c r="M1307" s="187"/>
      <c r="N1307" s="187"/>
    </row>
    <row r="1308">
      <c r="A1308" s="24"/>
      <c r="B1308" s="24"/>
      <c r="C1308" s="24"/>
      <c r="D1308" s="24"/>
      <c r="E1308" s="24"/>
      <c r="F1308" s="24"/>
      <c r="G1308" s="185"/>
      <c r="H1308" s="186"/>
      <c r="I1308" s="187"/>
      <c r="J1308" s="24"/>
      <c r="K1308" s="24"/>
      <c r="L1308" s="24"/>
      <c r="M1308" s="187"/>
      <c r="N1308" s="187"/>
    </row>
    <row r="1309">
      <c r="A1309" s="24"/>
      <c r="B1309" s="24"/>
      <c r="C1309" s="24"/>
      <c r="D1309" s="24"/>
      <c r="E1309" s="24"/>
      <c r="F1309" s="24"/>
      <c r="G1309" s="185"/>
      <c r="H1309" s="186"/>
      <c r="I1309" s="187"/>
      <c r="J1309" s="24"/>
      <c r="K1309" s="24"/>
      <c r="L1309" s="24"/>
      <c r="M1309" s="187"/>
      <c r="N1309" s="187"/>
    </row>
    <row r="1310">
      <c r="A1310" s="24"/>
      <c r="B1310" s="24"/>
      <c r="C1310" s="24"/>
      <c r="D1310" s="24"/>
      <c r="E1310" s="24"/>
      <c r="F1310" s="24"/>
      <c r="G1310" s="185"/>
      <c r="H1310" s="186"/>
      <c r="I1310" s="187"/>
      <c r="J1310" s="24"/>
      <c r="K1310" s="24"/>
      <c r="L1310" s="24"/>
      <c r="M1310" s="187"/>
      <c r="N1310" s="187"/>
    </row>
    <row r="1311">
      <c r="A1311" s="24"/>
      <c r="B1311" s="24"/>
      <c r="C1311" s="24"/>
      <c r="D1311" s="24"/>
      <c r="E1311" s="24"/>
      <c r="F1311" s="24"/>
      <c r="G1311" s="185"/>
      <c r="H1311" s="186"/>
      <c r="I1311" s="187"/>
      <c r="J1311" s="24"/>
      <c r="K1311" s="24"/>
      <c r="L1311" s="24"/>
      <c r="M1311" s="187"/>
      <c r="N1311" s="187"/>
    </row>
    <row r="1312">
      <c r="A1312" s="24"/>
      <c r="B1312" s="24"/>
      <c r="C1312" s="24"/>
      <c r="D1312" s="24"/>
      <c r="E1312" s="24"/>
      <c r="F1312" s="24"/>
      <c r="G1312" s="185"/>
      <c r="H1312" s="186"/>
      <c r="I1312" s="187"/>
      <c r="J1312" s="24"/>
      <c r="K1312" s="24"/>
      <c r="L1312" s="24"/>
      <c r="M1312" s="187"/>
      <c r="N1312" s="187"/>
    </row>
    <row r="1313">
      <c r="A1313" s="24"/>
      <c r="B1313" s="24"/>
      <c r="C1313" s="24"/>
      <c r="D1313" s="24"/>
      <c r="E1313" s="24"/>
      <c r="F1313" s="24"/>
      <c r="G1313" s="185"/>
      <c r="H1313" s="186"/>
      <c r="I1313" s="187"/>
      <c r="J1313" s="24"/>
      <c r="K1313" s="24"/>
      <c r="L1313" s="24"/>
      <c r="M1313" s="187"/>
      <c r="N1313" s="187"/>
    </row>
    <row r="1314">
      <c r="A1314" s="24"/>
      <c r="B1314" s="24"/>
      <c r="C1314" s="24"/>
      <c r="D1314" s="24"/>
      <c r="E1314" s="24"/>
      <c r="F1314" s="24"/>
      <c r="G1314" s="185"/>
      <c r="H1314" s="186"/>
      <c r="I1314" s="187"/>
      <c r="J1314" s="24"/>
      <c r="K1314" s="24"/>
      <c r="L1314" s="24"/>
      <c r="M1314" s="187"/>
      <c r="N1314" s="187"/>
    </row>
    <row r="1315">
      <c r="A1315" s="24"/>
      <c r="B1315" s="24"/>
      <c r="C1315" s="24"/>
      <c r="D1315" s="24"/>
      <c r="E1315" s="24"/>
      <c r="F1315" s="24"/>
      <c r="G1315" s="185"/>
      <c r="H1315" s="186"/>
      <c r="I1315" s="187"/>
      <c r="J1315" s="24"/>
      <c r="K1315" s="24"/>
      <c r="L1315" s="24"/>
      <c r="M1315" s="187"/>
      <c r="N1315" s="187"/>
    </row>
    <row r="1316">
      <c r="A1316" s="24"/>
      <c r="B1316" s="24"/>
      <c r="C1316" s="24"/>
      <c r="D1316" s="24"/>
      <c r="E1316" s="24"/>
      <c r="F1316" s="24"/>
      <c r="G1316" s="185"/>
      <c r="H1316" s="186"/>
      <c r="I1316" s="187"/>
      <c r="J1316" s="24"/>
      <c r="K1316" s="24"/>
      <c r="L1316" s="24"/>
      <c r="M1316" s="187"/>
      <c r="N1316" s="187"/>
    </row>
    <row r="1317">
      <c r="A1317" s="24"/>
      <c r="B1317" s="24"/>
      <c r="C1317" s="24"/>
      <c r="D1317" s="24"/>
      <c r="E1317" s="24"/>
      <c r="F1317" s="24"/>
      <c r="G1317" s="185"/>
      <c r="H1317" s="186"/>
      <c r="I1317" s="187"/>
      <c r="J1317" s="24"/>
      <c r="K1317" s="24"/>
      <c r="L1317" s="24"/>
      <c r="M1317" s="187"/>
      <c r="N1317" s="187"/>
    </row>
    <row r="1318">
      <c r="A1318" s="24"/>
      <c r="B1318" s="24"/>
      <c r="C1318" s="24"/>
      <c r="D1318" s="24"/>
      <c r="E1318" s="24"/>
      <c r="F1318" s="24"/>
      <c r="G1318" s="185"/>
      <c r="H1318" s="186"/>
      <c r="I1318" s="187"/>
      <c r="J1318" s="24"/>
      <c r="K1318" s="24"/>
      <c r="L1318" s="24"/>
      <c r="M1318" s="187"/>
      <c r="N1318" s="187"/>
    </row>
    <row r="1319">
      <c r="A1319" s="24"/>
      <c r="B1319" s="24"/>
      <c r="C1319" s="24"/>
      <c r="D1319" s="24"/>
      <c r="E1319" s="24"/>
      <c r="F1319" s="24"/>
      <c r="G1319" s="185"/>
      <c r="H1319" s="186"/>
      <c r="I1319" s="187"/>
      <c r="J1319" s="24"/>
      <c r="K1319" s="24"/>
      <c r="L1319" s="24"/>
      <c r="M1319" s="187"/>
      <c r="N1319" s="187"/>
    </row>
    <row r="1320">
      <c r="A1320" s="24"/>
      <c r="B1320" s="24"/>
      <c r="C1320" s="24"/>
      <c r="D1320" s="24"/>
      <c r="E1320" s="24"/>
      <c r="F1320" s="24"/>
      <c r="G1320" s="185"/>
      <c r="H1320" s="186"/>
      <c r="I1320" s="187"/>
      <c r="J1320" s="24"/>
      <c r="K1320" s="24"/>
      <c r="L1320" s="24"/>
      <c r="M1320" s="187"/>
      <c r="N1320" s="187"/>
    </row>
    <row r="1321">
      <c r="A1321" s="24"/>
      <c r="B1321" s="24"/>
      <c r="C1321" s="24"/>
      <c r="D1321" s="24"/>
      <c r="E1321" s="24"/>
      <c r="F1321" s="24"/>
      <c r="G1321" s="185"/>
      <c r="H1321" s="186"/>
      <c r="I1321" s="187"/>
      <c r="J1321" s="24"/>
      <c r="K1321" s="24"/>
      <c r="L1321" s="24"/>
      <c r="M1321" s="187"/>
      <c r="N1321" s="187"/>
    </row>
    <row r="1322">
      <c r="A1322" s="24"/>
      <c r="B1322" s="24"/>
      <c r="C1322" s="24"/>
      <c r="D1322" s="24"/>
      <c r="E1322" s="24"/>
      <c r="F1322" s="24"/>
      <c r="G1322" s="185"/>
      <c r="H1322" s="186"/>
      <c r="I1322" s="187"/>
      <c r="J1322" s="24"/>
      <c r="K1322" s="24"/>
      <c r="L1322" s="24"/>
      <c r="M1322" s="187"/>
      <c r="N1322" s="187"/>
    </row>
    <row r="1323">
      <c r="A1323" s="24"/>
      <c r="B1323" s="24"/>
      <c r="C1323" s="24"/>
      <c r="D1323" s="24"/>
      <c r="E1323" s="24"/>
      <c r="F1323" s="24"/>
      <c r="G1323" s="185"/>
      <c r="H1323" s="186"/>
      <c r="I1323" s="187"/>
      <c r="J1323" s="24"/>
      <c r="K1323" s="24"/>
      <c r="L1323" s="24"/>
      <c r="M1323" s="187"/>
      <c r="N1323" s="187"/>
    </row>
    <row r="1324">
      <c r="A1324" s="24"/>
      <c r="B1324" s="24"/>
      <c r="C1324" s="24"/>
      <c r="D1324" s="24"/>
      <c r="E1324" s="24"/>
      <c r="F1324" s="24"/>
      <c r="G1324" s="185"/>
      <c r="H1324" s="186"/>
      <c r="I1324" s="187"/>
      <c r="J1324" s="24"/>
      <c r="K1324" s="24"/>
      <c r="L1324" s="24"/>
      <c r="M1324" s="187"/>
      <c r="N1324" s="187"/>
    </row>
    <row r="1325">
      <c r="A1325" s="24"/>
      <c r="B1325" s="24"/>
      <c r="C1325" s="24"/>
      <c r="D1325" s="24"/>
      <c r="E1325" s="24"/>
      <c r="F1325" s="24"/>
      <c r="G1325" s="185"/>
      <c r="H1325" s="186"/>
      <c r="I1325" s="187"/>
      <c r="J1325" s="24"/>
      <c r="K1325" s="24"/>
      <c r="L1325" s="24"/>
      <c r="M1325" s="187"/>
      <c r="N1325" s="187"/>
    </row>
    <row r="1326">
      <c r="A1326" s="24"/>
      <c r="B1326" s="24"/>
      <c r="C1326" s="24"/>
      <c r="D1326" s="24"/>
      <c r="E1326" s="24"/>
      <c r="F1326" s="24"/>
      <c r="G1326" s="185"/>
      <c r="H1326" s="186"/>
      <c r="I1326" s="187"/>
      <c r="J1326" s="24"/>
      <c r="K1326" s="24"/>
      <c r="L1326" s="24"/>
      <c r="M1326" s="187"/>
      <c r="N1326" s="187"/>
    </row>
    <row r="1327">
      <c r="A1327" s="24"/>
      <c r="B1327" s="24"/>
      <c r="C1327" s="24"/>
      <c r="D1327" s="24"/>
      <c r="E1327" s="24"/>
      <c r="F1327" s="24"/>
      <c r="G1327" s="185"/>
      <c r="H1327" s="186"/>
      <c r="I1327" s="187"/>
      <c r="J1327" s="24"/>
      <c r="K1327" s="24"/>
      <c r="L1327" s="24"/>
      <c r="M1327" s="187"/>
      <c r="N1327" s="187"/>
    </row>
    <row r="1328">
      <c r="A1328" s="24"/>
      <c r="B1328" s="24"/>
      <c r="C1328" s="24"/>
      <c r="D1328" s="24"/>
      <c r="E1328" s="24"/>
      <c r="F1328" s="24"/>
      <c r="G1328" s="185"/>
      <c r="H1328" s="186"/>
      <c r="I1328" s="187"/>
      <c r="J1328" s="24"/>
      <c r="K1328" s="24"/>
      <c r="L1328" s="24"/>
      <c r="M1328" s="187"/>
      <c r="N1328" s="187"/>
    </row>
    <row r="1329">
      <c r="A1329" s="24"/>
      <c r="B1329" s="24"/>
      <c r="C1329" s="24"/>
      <c r="D1329" s="24"/>
      <c r="E1329" s="24"/>
      <c r="F1329" s="24"/>
      <c r="G1329" s="185"/>
      <c r="H1329" s="186"/>
      <c r="I1329" s="187"/>
      <c r="J1329" s="24"/>
      <c r="K1329" s="24"/>
      <c r="L1329" s="24"/>
      <c r="M1329" s="187"/>
      <c r="N1329" s="187"/>
    </row>
    <row r="1330">
      <c r="A1330" s="24"/>
      <c r="B1330" s="24"/>
      <c r="C1330" s="24"/>
      <c r="D1330" s="24"/>
      <c r="E1330" s="24"/>
      <c r="F1330" s="24"/>
      <c r="G1330" s="185"/>
      <c r="H1330" s="186"/>
      <c r="I1330" s="187"/>
      <c r="J1330" s="24"/>
      <c r="K1330" s="24"/>
      <c r="L1330" s="24"/>
      <c r="M1330" s="187"/>
      <c r="N1330" s="187"/>
    </row>
    <row r="1331">
      <c r="A1331" s="24"/>
      <c r="B1331" s="24"/>
      <c r="C1331" s="24"/>
      <c r="D1331" s="24"/>
      <c r="E1331" s="24"/>
      <c r="F1331" s="24"/>
      <c r="G1331" s="185"/>
      <c r="H1331" s="186"/>
      <c r="I1331" s="187"/>
      <c r="J1331" s="24"/>
      <c r="K1331" s="24"/>
      <c r="L1331" s="24"/>
      <c r="M1331" s="187"/>
      <c r="N1331" s="187"/>
    </row>
    <row r="1332">
      <c r="A1332" s="24"/>
      <c r="B1332" s="24"/>
      <c r="C1332" s="24"/>
      <c r="D1332" s="24"/>
      <c r="E1332" s="24"/>
      <c r="F1332" s="24"/>
      <c r="G1332" s="185"/>
      <c r="H1332" s="186"/>
      <c r="I1332" s="187"/>
      <c r="J1332" s="24"/>
      <c r="K1332" s="24"/>
      <c r="L1332" s="24"/>
      <c r="M1332" s="187"/>
      <c r="N1332" s="187"/>
    </row>
    <row r="1333">
      <c r="A1333" s="24"/>
      <c r="B1333" s="24"/>
      <c r="C1333" s="24"/>
      <c r="D1333" s="24"/>
      <c r="E1333" s="24"/>
      <c r="F1333" s="24"/>
      <c r="G1333" s="185"/>
      <c r="H1333" s="186"/>
      <c r="I1333" s="187"/>
      <c r="J1333" s="24"/>
      <c r="K1333" s="24"/>
      <c r="L1333" s="24"/>
      <c r="M1333" s="187"/>
      <c r="N1333" s="187"/>
    </row>
    <row r="1334">
      <c r="A1334" s="24"/>
      <c r="B1334" s="24"/>
      <c r="C1334" s="24"/>
      <c r="D1334" s="24"/>
      <c r="E1334" s="24"/>
      <c r="F1334" s="24"/>
      <c r="G1334" s="185"/>
      <c r="H1334" s="186"/>
      <c r="I1334" s="187"/>
      <c r="J1334" s="24"/>
      <c r="K1334" s="24"/>
      <c r="L1334" s="24"/>
      <c r="M1334" s="187"/>
      <c r="N1334" s="187"/>
    </row>
    <row r="1335">
      <c r="A1335" s="24"/>
      <c r="B1335" s="24"/>
      <c r="C1335" s="24"/>
      <c r="D1335" s="24"/>
      <c r="E1335" s="24"/>
      <c r="F1335" s="24"/>
      <c r="G1335" s="185"/>
      <c r="H1335" s="186"/>
      <c r="I1335" s="187"/>
      <c r="J1335" s="24"/>
      <c r="K1335" s="24"/>
      <c r="L1335" s="24"/>
      <c r="M1335" s="187"/>
      <c r="N1335" s="187"/>
    </row>
    <row r="1336">
      <c r="A1336" s="24"/>
      <c r="B1336" s="24"/>
      <c r="C1336" s="24"/>
      <c r="D1336" s="24"/>
      <c r="E1336" s="24"/>
      <c r="F1336" s="24"/>
      <c r="G1336" s="185"/>
      <c r="H1336" s="186"/>
      <c r="I1336" s="187"/>
      <c r="J1336" s="24"/>
      <c r="K1336" s="24"/>
      <c r="L1336" s="24"/>
      <c r="M1336" s="187"/>
      <c r="N1336" s="187"/>
    </row>
    <row r="1337">
      <c r="A1337" s="24"/>
      <c r="B1337" s="24"/>
      <c r="C1337" s="24"/>
      <c r="D1337" s="24"/>
      <c r="E1337" s="24"/>
      <c r="F1337" s="24"/>
      <c r="G1337" s="185"/>
      <c r="H1337" s="186"/>
      <c r="I1337" s="187"/>
      <c r="J1337" s="24"/>
      <c r="K1337" s="24"/>
      <c r="L1337" s="24"/>
      <c r="M1337" s="187"/>
      <c r="N1337" s="187"/>
    </row>
    <row r="1338">
      <c r="A1338" s="24"/>
      <c r="B1338" s="24"/>
      <c r="C1338" s="24"/>
      <c r="D1338" s="24"/>
      <c r="E1338" s="24"/>
      <c r="F1338" s="24"/>
      <c r="G1338" s="185"/>
      <c r="H1338" s="186"/>
      <c r="I1338" s="187"/>
      <c r="J1338" s="24"/>
      <c r="K1338" s="24"/>
      <c r="L1338" s="24"/>
      <c r="M1338" s="187"/>
      <c r="N1338" s="187"/>
    </row>
    <row r="1339">
      <c r="A1339" s="24"/>
      <c r="B1339" s="24"/>
      <c r="C1339" s="24"/>
      <c r="D1339" s="24"/>
      <c r="E1339" s="24"/>
      <c r="F1339" s="24"/>
      <c r="G1339" s="185"/>
      <c r="H1339" s="186"/>
      <c r="I1339" s="187"/>
      <c r="J1339" s="24"/>
      <c r="K1339" s="24"/>
      <c r="L1339" s="24"/>
      <c r="M1339" s="187"/>
      <c r="N1339" s="187"/>
    </row>
    <row r="1340">
      <c r="A1340" s="24"/>
      <c r="B1340" s="24"/>
      <c r="C1340" s="24"/>
      <c r="D1340" s="24"/>
      <c r="E1340" s="24"/>
      <c r="F1340" s="24"/>
      <c r="G1340" s="185"/>
      <c r="H1340" s="186"/>
      <c r="I1340" s="187"/>
      <c r="J1340" s="24"/>
      <c r="K1340" s="24"/>
      <c r="L1340" s="24"/>
      <c r="M1340" s="187"/>
      <c r="N1340" s="187"/>
    </row>
    <row r="1341">
      <c r="A1341" s="24"/>
      <c r="B1341" s="24"/>
      <c r="C1341" s="24"/>
      <c r="D1341" s="24"/>
      <c r="E1341" s="24"/>
      <c r="F1341" s="24"/>
      <c r="G1341" s="185"/>
      <c r="H1341" s="186"/>
      <c r="I1341" s="187"/>
      <c r="J1341" s="24"/>
      <c r="K1341" s="24"/>
      <c r="L1341" s="24"/>
      <c r="M1341" s="187"/>
      <c r="N1341" s="187"/>
    </row>
    <row r="1342">
      <c r="A1342" s="24"/>
      <c r="B1342" s="24"/>
      <c r="C1342" s="24"/>
      <c r="D1342" s="24"/>
      <c r="E1342" s="24"/>
      <c r="F1342" s="24"/>
      <c r="G1342" s="185"/>
      <c r="H1342" s="186"/>
      <c r="I1342" s="187"/>
      <c r="J1342" s="24"/>
      <c r="K1342" s="24"/>
      <c r="L1342" s="24"/>
      <c r="M1342" s="187"/>
      <c r="N1342" s="187"/>
    </row>
    <row r="1343">
      <c r="A1343" s="24"/>
      <c r="B1343" s="24"/>
      <c r="C1343" s="24"/>
      <c r="D1343" s="24"/>
      <c r="E1343" s="24"/>
      <c r="F1343" s="24"/>
      <c r="G1343" s="185"/>
      <c r="H1343" s="186"/>
      <c r="I1343" s="187"/>
      <c r="J1343" s="24"/>
      <c r="K1343" s="24"/>
      <c r="L1343" s="24"/>
      <c r="M1343" s="187"/>
      <c r="N1343" s="187"/>
    </row>
    <row r="1344">
      <c r="A1344" s="24"/>
      <c r="B1344" s="24"/>
      <c r="C1344" s="24"/>
      <c r="D1344" s="24"/>
      <c r="E1344" s="24"/>
      <c r="F1344" s="24"/>
      <c r="G1344" s="185"/>
      <c r="H1344" s="186"/>
      <c r="I1344" s="187"/>
      <c r="J1344" s="24"/>
      <c r="K1344" s="24"/>
      <c r="L1344" s="24"/>
      <c r="M1344" s="187"/>
      <c r="N1344" s="187"/>
    </row>
    <row r="1345">
      <c r="A1345" s="24"/>
      <c r="B1345" s="24"/>
      <c r="C1345" s="24"/>
      <c r="D1345" s="24"/>
      <c r="E1345" s="24"/>
      <c r="F1345" s="24"/>
      <c r="G1345" s="185"/>
      <c r="H1345" s="186"/>
      <c r="I1345" s="187"/>
      <c r="J1345" s="24"/>
      <c r="K1345" s="24"/>
      <c r="L1345" s="24"/>
      <c r="M1345" s="187"/>
      <c r="N1345" s="187"/>
    </row>
    <row r="1346">
      <c r="A1346" s="24"/>
      <c r="B1346" s="24"/>
      <c r="C1346" s="24"/>
      <c r="D1346" s="24"/>
      <c r="E1346" s="24"/>
      <c r="F1346" s="24"/>
      <c r="G1346" s="185"/>
      <c r="H1346" s="186"/>
      <c r="I1346" s="187"/>
      <c r="J1346" s="24"/>
      <c r="K1346" s="24"/>
      <c r="L1346" s="24"/>
      <c r="M1346" s="187"/>
      <c r="N1346" s="187"/>
    </row>
    <row r="1347">
      <c r="A1347" s="24"/>
      <c r="B1347" s="24"/>
      <c r="C1347" s="24"/>
      <c r="D1347" s="24"/>
      <c r="E1347" s="24"/>
      <c r="F1347" s="24"/>
      <c r="G1347" s="185"/>
      <c r="H1347" s="186"/>
      <c r="I1347" s="187"/>
      <c r="J1347" s="24"/>
      <c r="K1347" s="24"/>
      <c r="L1347" s="24"/>
      <c r="M1347" s="187"/>
      <c r="N1347" s="187"/>
    </row>
    <row r="1348">
      <c r="A1348" s="24"/>
      <c r="B1348" s="24"/>
      <c r="C1348" s="24"/>
      <c r="D1348" s="24"/>
      <c r="E1348" s="24"/>
      <c r="F1348" s="24"/>
      <c r="G1348" s="185"/>
      <c r="H1348" s="186"/>
      <c r="I1348" s="187"/>
      <c r="J1348" s="24"/>
      <c r="K1348" s="24"/>
      <c r="L1348" s="24"/>
      <c r="M1348" s="187"/>
      <c r="N1348" s="187"/>
    </row>
    <row r="1349">
      <c r="A1349" s="24"/>
      <c r="B1349" s="24"/>
      <c r="C1349" s="24"/>
      <c r="D1349" s="24"/>
      <c r="E1349" s="24"/>
      <c r="F1349" s="24"/>
      <c r="G1349" s="185"/>
      <c r="H1349" s="186"/>
      <c r="I1349" s="187"/>
      <c r="J1349" s="24"/>
      <c r="K1349" s="24"/>
      <c r="L1349" s="24"/>
      <c r="M1349" s="187"/>
      <c r="N1349" s="187"/>
    </row>
    <row r="1350">
      <c r="A1350" s="24"/>
      <c r="B1350" s="24"/>
      <c r="C1350" s="24"/>
      <c r="D1350" s="24"/>
      <c r="E1350" s="24"/>
      <c r="F1350" s="24"/>
      <c r="G1350" s="185"/>
      <c r="H1350" s="186"/>
      <c r="I1350" s="187"/>
      <c r="J1350" s="24"/>
      <c r="K1350" s="24"/>
      <c r="L1350" s="24"/>
      <c r="M1350" s="187"/>
      <c r="N1350" s="187"/>
    </row>
    <row r="1351">
      <c r="A1351" s="24"/>
      <c r="B1351" s="24"/>
      <c r="C1351" s="24"/>
      <c r="D1351" s="24"/>
      <c r="E1351" s="24"/>
      <c r="F1351" s="24"/>
      <c r="G1351" s="185"/>
      <c r="H1351" s="186"/>
      <c r="I1351" s="187"/>
      <c r="J1351" s="24"/>
      <c r="K1351" s="24"/>
      <c r="L1351" s="24"/>
      <c r="M1351" s="187"/>
      <c r="N1351" s="187"/>
    </row>
    <row r="1352">
      <c r="A1352" s="24"/>
      <c r="B1352" s="24"/>
      <c r="C1352" s="24"/>
      <c r="D1352" s="24"/>
      <c r="E1352" s="24"/>
      <c r="F1352" s="24"/>
      <c r="G1352" s="185"/>
      <c r="H1352" s="186"/>
      <c r="I1352" s="187"/>
      <c r="J1352" s="24"/>
      <c r="K1352" s="24"/>
      <c r="L1352" s="24"/>
      <c r="M1352" s="187"/>
      <c r="N1352" s="187"/>
    </row>
    <row r="1353">
      <c r="A1353" s="24"/>
      <c r="B1353" s="24"/>
      <c r="C1353" s="24"/>
      <c r="D1353" s="24"/>
      <c r="E1353" s="24"/>
      <c r="F1353" s="24"/>
      <c r="G1353" s="185"/>
      <c r="H1353" s="186"/>
      <c r="I1353" s="187"/>
      <c r="J1353" s="24"/>
      <c r="K1353" s="24"/>
      <c r="L1353" s="24"/>
      <c r="M1353" s="187"/>
      <c r="N1353" s="187"/>
    </row>
    <row r="1354">
      <c r="A1354" s="24"/>
      <c r="B1354" s="24"/>
      <c r="C1354" s="24"/>
      <c r="D1354" s="24"/>
      <c r="E1354" s="24"/>
      <c r="F1354" s="24"/>
      <c r="G1354" s="185"/>
      <c r="H1354" s="186"/>
      <c r="I1354" s="187"/>
      <c r="J1354" s="24"/>
      <c r="K1354" s="24"/>
      <c r="L1354" s="24"/>
      <c r="M1354" s="187"/>
      <c r="N1354" s="187"/>
    </row>
    <row r="1355">
      <c r="A1355" s="24"/>
      <c r="B1355" s="24"/>
      <c r="C1355" s="24"/>
      <c r="D1355" s="24"/>
      <c r="E1355" s="24"/>
      <c r="F1355" s="24"/>
      <c r="G1355" s="185"/>
      <c r="H1355" s="186"/>
      <c r="I1355" s="187"/>
      <c r="J1355" s="24"/>
      <c r="K1355" s="24"/>
      <c r="L1355" s="24"/>
      <c r="M1355" s="187"/>
      <c r="N1355" s="187"/>
    </row>
    <row r="1356">
      <c r="A1356" s="24"/>
      <c r="B1356" s="24"/>
      <c r="C1356" s="24"/>
      <c r="D1356" s="24"/>
      <c r="E1356" s="24"/>
      <c r="F1356" s="24"/>
      <c r="G1356" s="185"/>
      <c r="H1356" s="186"/>
      <c r="I1356" s="187"/>
      <c r="J1356" s="24"/>
      <c r="K1356" s="24"/>
      <c r="L1356" s="24"/>
      <c r="M1356" s="187"/>
      <c r="N1356" s="187"/>
    </row>
    <row r="1357">
      <c r="A1357" s="24"/>
      <c r="B1357" s="24"/>
      <c r="C1357" s="24"/>
      <c r="D1357" s="24"/>
      <c r="E1357" s="24"/>
      <c r="F1357" s="24"/>
      <c r="G1357" s="185"/>
      <c r="H1357" s="186"/>
      <c r="I1357" s="187"/>
      <c r="J1357" s="24"/>
      <c r="K1357" s="24"/>
      <c r="L1357" s="24"/>
      <c r="M1357" s="187"/>
      <c r="N1357" s="187"/>
    </row>
    <row r="1358">
      <c r="A1358" s="24"/>
      <c r="B1358" s="24"/>
      <c r="C1358" s="24"/>
      <c r="D1358" s="24"/>
      <c r="E1358" s="24"/>
      <c r="F1358" s="24"/>
      <c r="G1358" s="185"/>
      <c r="H1358" s="186"/>
      <c r="I1358" s="187"/>
      <c r="J1358" s="24"/>
      <c r="K1358" s="24"/>
      <c r="L1358" s="24"/>
      <c r="M1358" s="187"/>
      <c r="N1358" s="187"/>
    </row>
    <row r="1359">
      <c r="A1359" s="24"/>
      <c r="B1359" s="24"/>
      <c r="C1359" s="24"/>
      <c r="D1359" s="24"/>
      <c r="E1359" s="24"/>
      <c r="F1359" s="24"/>
      <c r="G1359" s="185"/>
      <c r="H1359" s="186"/>
      <c r="I1359" s="187"/>
      <c r="J1359" s="24"/>
      <c r="K1359" s="24"/>
      <c r="L1359" s="24"/>
      <c r="M1359" s="187"/>
      <c r="N1359" s="187"/>
    </row>
    <row r="1360">
      <c r="A1360" s="24"/>
      <c r="B1360" s="24"/>
      <c r="C1360" s="24"/>
      <c r="D1360" s="24"/>
      <c r="E1360" s="24"/>
      <c r="F1360" s="24"/>
      <c r="G1360" s="185"/>
      <c r="H1360" s="186"/>
      <c r="I1360" s="187"/>
      <c r="J1360" s="24"/>
      <c r="K1360" s="24"/>
      <c r="L1360" s="24"/>
      <c r="M1360" s="187"/>
      <c r="N1360" s="187"/>
    </row>
    <row r="1361">
      <c r="A1361" s="24"/>
      <c r="B1361" s="24"/>
      <c r="C1361" s="24"/>
      <c r="D1361" s="24"/>
      <c r="E1361" s="24"/>
      <c r="F1361" s="24"/>
      <c r="G1361" s="185"/>
      <c r="H1361" s="186"/>
      <c r="I1361" s="187"/>
      <c r="J1361" s="24"/>
      <c r="K1361" s="24"/>
      <c r="L1361" s="24"/>
      <c r="M1361" s="187"/>
      <c r="N1361" s="187"/>
    </row>
    <row r="1362">
      <c r="A1362" s="24"/>
      <c r="B1362" s="24"/>
      <c r="C1362" s="24"/>
      <c r="D1362" s="24"/>
      <c r="E1362" s="24"/>
      <c r="F1362" s="24"/>
      <c r="G1362" s="185"/>
      <c r="H1362" s="186"/>
      <c r="I1362" s="187"/>
      <c r="J1362" s="24"/>
      <c r="K1362" s="24"/>
      <c r="L1362" s="24"/>
      <c r="M1362" s="187"/>
      <c r="N1362" s="187"/>
    </row>
    <row r="1363">
      <c r="A1363" s="24"/>
      <c r="B1363" s="24"/>
      <c r="C1363" s="24"/>
      <c r="D1363" s="24"/>
      <c r="E1363" s="24"/>
      <c r="F1363" s="24"/>
      <c r="G1363" s="185"/>
      <c r="H1363" s="186"/>
      <c r="I1363" s="187"/>
      <c r="J1363" s="24"/>
      <c r="K1363" s="24"/>
      <c r="L1363" s="24"/>
      <c r="M1363" s="187"/>
      <c r="N1363" s="187"/>
    </row>
    <row r="1364">
      <c r="A1364" s="24"/>
      <c r="B1364" s="24"/>
      <c r="C1364" s="24"/>
      <c r="D1364" s="24"/>
      <c r="E1364" s="24"/>
      <c r="F1364" s="24"/>
      <c r="G1364" s="185"/>
      <c r="H1364" s="186"/>
      <c r="I1364" s="187"/>
      <c r="J1364" s="24"/>
      <c r="K1364" s="24"/>
      <c r="L1364" s="24"/>
      <c r="M1364" s="187"/>
      <c r="N1364" s="187"/>
    </row>
    <row r="1365">
      <c r="A1365" s="24"/>
      <c r="B1365" s="24"/>
      <c r="C1365" s="24"/>
      <c r="D1365" s="24"/>
      <c r="E1365" s="24"/>
      <c r="F1365" s="24"/>
      <c r="G1365" s="185"/>
      <c r="H1365" s="186"/>
      <c r="I1365" s="187"/>
      <c r="J1365" s="24"/>
      <c r="K1365" s="24"/>
      <c r="L1365" s="24"/>
      <c r="M1365" s="187"/>
      <c r="N1365" s="187"/>
    </row>
    <row r="1366">
      <c r="A1366" s="24"/>
      <c r="B1366" s="24"/>
      <c r="C1366" s="24"/>
      <c r="D1366" s="24"/>
      <c r="E1366" s="24"/>
      <c r="F1366" s="24"/>
      <c r="G1366" s="185"/>
      <c r="H1366" s="186"/>
      <c r="I1366" s="187"/>
      <c r="J1366" s="24"/>
      <c r="K1366" s="24"/>
      <c r="L1366" s="24"/>
      <c r="M1366" s="187"/>
      <c r="N1366" s="187"/>
    </row>
    <row r="1367">
      <c r="A1367" s="24"/>
      <c r="B1367" s="24"/>
      <c r="C1367" s="24"/>
      <c r="D1367" s="24"/>
      <c r="E1367" s="24"/>
      <c r="F1367" s="24"/>
      <c r="G1367" s="185"/>
      <c r="H1367" s="186"/>
      <c r="I1367" s="187"/>
      <c r="J1367" s="24"/>
      <c r="K1367" s="24"/>
      <c r="L1367" s="24"/>
      <c r="M1367" s="187"/>
      <c r="N1367" s="187"/>
    </row>
    <row r="1368">
      <c r="A1368" s="24"/>
      <c r="B1368" s="24"/>
      <c r="C1368" s="24"/>
      <c r="D1368" s="24"/>
      <c r="E1368" s="24"/>
      <c r="F1368" s="24"/>
      <c r="G1368" s="185"/>
      <c r="H1368" s="186"/>
      <c r="I1368" s="187"/>
      <c r="J1368" s="24"/>
      <c r="K1368" s="24"/>
      <c r="L1368" s="24"/>
      <c r="M1368" s="187"/>
      <c r="N1368" s="187"/>
    </row>
    <row r="1369">
      <c r="A1369" s="24"/>
      <c r="B1369" s="24"/>
      <c r="C1369" s="24"/>
      <c r="D1369" s="24"/>
      <c r="E1369" s="24"/>
      <c r="F1369" s="24"/>
      <c r="G1369" s="185"/>
      <c r="H1369" s="186"/>
      <c r="I1369" s="187"/>
      <c r="J1369" s="24"/>
      <c r="K1369" s="24"/>
      <c r="L1369" s="24"/>
      <c r="M1369" s="187"/>
      <c r="N1369" s="187"/>
    </row>
    <row r="1370">
      <c r="A1370" s="24"/>
      <c r="B1370" s="24"/>
      <c r="C1370" s="24"/>
      <c r="D1370" s="24"/>
      <c r="E1370" s="24"/>
      <c r="F1370" s="24"/>
      <c r="G1370" s="185"/>
      <c r="H1370" s="186"/>
      <c r="I1370" s="187"/>
      <c r="J1370" s="24"/>
      <c r="K1370" s="24"/>
      <c r="L1370" s="24"/>
      <c r="M1370" s="187"/>
      <c r="N1370" s="187"/>
    </row>
    <row r="1371">
      <c r="A1371" s="24"/>
      <c r="B1371" s="24"/>
      <c r="C1371" s="24"/>
      <c r="D1371" s="24"/>
      <c r="E1371" s="24"/>
      <c r="F1371" s="24"/>
      <c r="G1371" s="185"/>
      <c r="H1371" s="186"/>
      <c r="I1371" s="187"/>
      <c r="J1371" s="24"/>
      <c r="K1371" s="24"/>
      <c r="L1371" s="24"/>
      <c r="M1371" s="187"/>
      <c r="N1371" s="187"/>
    </row>
    <row r="1372">
      <c r="A1372" s="24"/>
      <c r="B1372" s="24"/>
      <c r="C1372" s="24"/>
      <c r="D1372" s="24"/>
      <c r="E1372" s="24"/>
      <c r="F1372" s="24"/>
      <c r="G1372" s="185"/>
      <c r="H1372" s="186"/>
      <c r="I1372" s="187"/>
      <c r="J1372" s="24"/>
      <c r="K1372" s="24"/>
      <c r="L1372" s="24"/>
      <c r="M1372" s="187"/>
      <c r="N1372" s="187"/>
    </row>
    <row r="1373">
      <c r="A1373" s="24"/>
      <c r="B1373" s="24"/>
      <c r="C1373" s="24"/>
      <c r="D1373" s="24"/>
      <c r="E1373" s="24"/>
      <c r="F1373" s="24"/>
      <c r="G1373" s="185"/>
      <c r="H1373" s="186"/>
      <c r="I1373" s="187"/>
      <c r="J1373" s="24"/>
      <c r="K1373" s="24"/>
      <c r="L1373" s="24"/>
      <c r="M1373" s="187"/>
      <c r="N1373" s="187"/>
    </row>
    <row r="1374">
      <c r="A1374" s="24"/>
      <c r="B1374" s="24"/>
      <c r="C1374" s="24"/>
      <c r="D1374" s="24"/>
      <c r="E1374" s="24"/>
      <c r="F1374" s="24"/>
      <c r="G1374" s="185"/>
      <c r="H1374" s="186"/>
      <c r="I1374" s="187"/>
      <c r="J1374" s="24"/>
      <c r="K1374" s="24"/>
      <c r="L1374" s="24"/>
      <c r="M1374" s="187"/>
      <c r="N1374" s="187"/>
    </row>
    <row r="1375">
      <c r="A1375" s="24"/>
      <c r="B1375" s="24"/>
      <c r="C1375" s="24"/>
      <c r="D1375" s="24"/>
      <c r="E1375" s="24"/>
      <c r="F1375" s="24"/>
      <c r="G1375" s="185"/>
      <c r="H1375" s="186"/>
      <c r="I1375" s="187"/>
      <c r="J1375" s="24"/>
      <c r="K1375" s="24"/>
      <c r="L1375" s="24"/>
      <c r="M1375" s="187"/>
      <c r="N1375" s="187"/>
    </row>
    <row r="1376">
      <c r="A1376" s="24"/>
      <c r="B1376" s="24"/>
      <c r="C1376" s="24"/>
      <c r="D1376" s="24"/>
      <c r="E1376" s="24"/>
      <c r="F1376" s="24"/>
      <c r="G1376" s="185"/>
      <c r="H1376" s="186"/>
      <c r="I1376" s="187"/>
      <c r="J1376" s="24"/>
      <c r="K1376" s="24"/>
      <c r="L1376" s="24"/>
      <c r="M1376" s="187"/>
      <c r="N1376" s="187"/>
    </row>
    <row r="1377">
      <c r="A1377" s="24"/>
      <c r="B1377" s="24"/>
      <c r="C1377" s="24"/>
      <c r="D1377" s="24"/>
      <c r="E1377" s="24"/>
      <c r="F1377" s="24"/>
      <c r="G1377" s="185"/>
      <c r="H1377" s="186"/>
      <c r="I1377" s="187"/>
      <c r="J1377" s="24"/>
      <c r="K1377" s="24"/>
      <c r="L1377" s="24"/>
      <c r="M1377" s="187"/>
      <c r="N1377" s="187"/>
    </row>
    <row r="1378">
      <c r="A1378" s="24"/>
      <c r="B1378" s="24"/>
      <c r="C1378" s="24"/>
      <c r="D1378" s="24"/>
      <c r="E1378" s="24"/>
      <c r="F1378" s="24"/>
      <c r="G1378" s="185"/>
      <c r="H1378" s="186"/>
      <c r="I1378" s="187"/>
      <c r="J1378" s="24"/>
      <c r="K1378" s="24"/>
      <c r="L1378" s="24"/>
      <c r="M1378" s="187"/>
      <c r="N1378" s="187"/>
    </row>
    <row r="1379">
      <c r="A1379" s="24"/>
      <c r="B1379" s="24"/>
      <c r="C1379" s="24"/>
      <c r="D1379" s="24"/>
      <c r="E1379" s="24"/>
      <c r="F1379" s="24"/>
      <c r="G1379" s="185"/>
      <c r="H1379" s="186"/>
      <c r="I1379" s="187"/>
      <c r="J1379" s="24"/>
      <c r="K1379" s="24"/>
      <c r="L1379" s="24"/>
      <c r="M1379" s="187"/>
      <c r="N1379" s="187"/>
    </row>
    <row r="1380">
      <c r="A1380" s="24"/>
      <c r="B1380" s="24"/>
      <c r="C1380" s="24"/>
      <c r="D1380" s="24"/>
      <c r="E1380" s="24"/>
      <c r="F1380" s="24"/>
      <c r="G1380" s="185"/>
      <c r="H1380" s="186"/>
      <c r="I1380" s="187"/>
      <c r="J1380" s="24"/>
      <c r="K1380" s="24"/>
      <c r="L1380" s="24"/>
      <c r="M1380" s="187"/>
      <c r="N1380" s="187"/>
    </row>
    <row r="1381">
      <c r="A1381" s="24"/>
      <c r="B1381" s="24"/>
      <c r="C1381" s="24"/>
      <c r="D1381" s="24"/>
      <c r="E1381" s="24"/>
      <c r="F1381" s="24"/>
      <c r="G1381" s="185"/>
      <c r="H1381" s="186"/>
      <c r="I1381" s="187"/>
      <c r="J1381" s="24"/>
      <c r="K1381" s="24"/>
      <c r="L1381" s="24"/>
      <c r="M1381" s="187"/>
      <c r="N1381" s="187"/>
    </row>
    <row r="1382">
      <c r="A1382" s="24"/>
      <c r="B1382" s="24"/>
      <c r="C1382" s="24"/>
      <c r="D1382" s="24"/>
      <c r="E1382" s="24"/>
      <c r="F1382" s="24"/>
      <c r="G1382" s="185"/>
      <c r="H1382" s="186"/>
      <c r="I1382" s="187"/>
      <c r="J1382" s="24"/>
      <c r="K1382" s="24"/>
      <c r="L1382" s="24"/>
      <c r="M1382" s="187"/>
      <c r="N1382" s="187"/>
    </row>
    <row r="1383">
      <c r="A1383" s="24"/>
      <c r="B1383" s="24"/>
      <c r="C1383" s="24"/>
      <c r="D1383" s="24"/>
      <c r="E1383" s="24"/>
      <c r="F1383" s="24"/>
      <c r="G1383" s="185"/>
      <c r="H1383" s="186"/>
      <c r="I1383" s="187"/>
      <c r="J1383" s="24"/>
      <c r="K1383" s="24"/>
      <c r="L1383" s="24"/>
      <c r="M1383" s="187"/>
      <c r="N1383" s="187"/>
    </row>
    <row r="1384">
      <c r="A1384" s="24"/>
      <c r="B1384" s="24"/>
      <c r="C1384" s="24"/>
      <c r="D1384" s="24"/>
      <c r="E1384" s="24"/>
      <c r="F1384" s="24"/>
      <c r="G1384" s="185"/>
      <c r="H1384" s="186"/>
      <c r="I1384" s="187"/>
      <c r="J1384" s="24"/>
      <c r="K1384" s="24"/>
      <c r="L1384" s="24"/>
      <c r="M1384" s="187"/>
      <c r="N1384" s="187"/>
    </row>
    <row r="1385">
      <c r="A1385" s="24"/>
      <c r="B1385" s="24"/>
      <c r="C1385" s="24"/>
      <c r="D1385" s="24"/>
      <c r="E1385" s="24"/>
      <c r="F1385" s="24"/>
      <c r="G1385" s="185"/>
      <c r="H1385" s="186"/>
      <c r="I1385" s="187"/>
      <c r="J1385" s="24"/>
      <c r="K1385" s="24"/>
      <c r="L1385" s="24"/>
      <c r="M1385" s="187"/>
      <c r="N1385" s="187"/>
    </row>
    <row r="1386">
      <c r="A1386" s="24"/>
      <c r="B1386" s="24"/>
      <c r="C1386" s="24"/>
      <c r="D1386" s="24"/>
      <c r="E1386" s="24"/>
      <c r="F1386" s="24"/>
      <c r="G1386" s="185"/>
      <c r="H1386" s="186"/>
      <c r="I1386" s="187"/>
      <c r="J1386" s="24"/>
      <c r="K1386" s="24"/>
      <c r="L1386" s="24"/>
      <c r="M1386" s="187"/>
      <c r="N1386" s="187"/>
    </row>
    <row r="1387">
      <c r="A1387" s="24"/>
      <c r="B1387" s="24"/>
      <c r="C1387" s="24"/>
      <c r="D1387" s="24"/>
      <c r="E1387" s="24"/>
      <c r="F1387" s="24"/>
      <c r="G1387" s="185"/>
      <c r="H1387" s="186"/>
      <c r="I1387" s="187"/>
      <c r="J1387" s="24"/>
      <c r="K1387" s="24"/>
      <c r="L1387" s="24"/>
      <c r="M1387" s="187"/>
      <c r="N1387" s="187"/>
    </row>
    <row r="1388">
      <c r="A1388" s="24"/>
      <c r="B1388" s="24"/>
      <c r="C1388" s="24"/>
      <c r="D1388" s="24"/>
      <c r="E1388" s="24"/>
      <c r="F1388" s="24"/>
      <c r="G1388" s="185"/>
      <c r="H1388" s="186"/>
      <c r="I1388" s="187"/>
      <c r="J1388" s="24"/>
      <c r="K1388" s="24"/>
      <c r="L1388" s="24"/>
      <c r="M1388" s="187"/>
      <c r="N1388" s="187"/>
    </row>
    <row r="1389">
      <c r="A1389" s="24"/>
      <c r="B1389" s="24"/>
      <c r="C1389" s="24"/>
      <c r="D1389" s="24"/>
      <c r="E1389" s="24"/>
      <c r="F1389" s="24"/>
      <c r="G1389" s="185"/>
      <c r="H1389" s="186"/>
      <c r="I1389" s="187"/>
      <c r="J1389" s="24"/>
      <c r="K1389" s="24"/>
      <c r="L1389" s="24"/>
      <c r="M1389" s="187"/>
      <c r="N1389" s="187"/>
    </row>
    <row r="1390">
      <c r="A1390" s="24"/>
      <c r="B1390" s="24"/>
      <c r="C1390" s="24"/>
      <c r="D1390" s="24"/>
      <c r="E1390" s="24"/>
      <c r="F1390" s="24"/>
      <c r="G1390" s="185"/>
      <c r="H1390" s="186"/>
      <c r="I1390" s="187"/>
      <c r="J1390" s="24"/>
      <c r="K1390" s="24"/>
      <c r="L1390" s="24"/>
      <c r="M1390" s="187"/>
      <c r="N1390" s="187"/>
    </row>
    <row r="1391">
      <c r="A1391" s="24"/>
      <c r="B1391" s="24"/>
      <c r="C1391" s="24"/>
      <c r="D1391" s="24"/>
      <c r="E1391" s="24"/>
      <c r="F1391" s="24"/>
      <c r="G1391" s="185"/>
      <c r="H1391" s="186"/>
      <c r="I1391" s="187"/>
      <c r="J1391" s="24"/>
      <c r="K1391" s="24"/>
      <c r="L1391" s="24"/>
      <c r="M1391" s="187"/>
      <c r="N1391" s="187"/>
    </row>
    <row r="1392">
      <c r="A1392" s="24"/>
      <c r="B1392" s="24"/>
      <c r="C1392" s="24"/>
      <c r="D1392" s="24"/>
      <c r="E1392" s="24"/>
      <c r="F1392" s="24"/>
      <c r="G1392" s="185"/>
      <c r="H1392" s="186"/>
      <c r="I1392" s="187"/>
      <c r="J1392" s="24"/>
      <c r="K1392" s="24"/>
      <c r="L1392" s="24"/>
      <c r="M1392" s="187"/>
      <c r="N1392" s="187"/>
    </row>
    <row r="1393">
      <c r="A1393" s="24"/>
      <c r="B1393" s="24"/>
      <c r="C1393" s="24"/>
      <c r="D1393" s="24"/>
      <c r="E1393" s="24"/>
      <c r="F1393" s="24"/>
      <c r="G1393" s="185"/>
      <c r="H1393" s="186"/>
      <c r="I1393" s="187"/>
      <c r="J1393" s="24"/>
      <c r="K1393" s="24"/>
      <c r="L1393" s="24"/>
      <c r="M1393" s="187"/>
      <c r="N1393" s="187"/>
    </row>
    <row r="1394">
      <c r="A1394" s="24"/>
      <c r="B1394" s="24"/>
      <c r="C1394" s="24"/>
      <c r="D1394" s="24"/>
      <c r="E1394" s="24"/>
      <c r="F1394" s="24"/>
      <c r="G1394" s="185"/>
      <c r="H1394" s="186"/>
      <c r="I1394" s="187"/>
      <c r="J1394" s="24"/>
      <c r="K1394" s="24"/>
      <c r="L1394" s="24"/>
      <c r="M1394" s="187"/>
      <c r="N1394" s="187"/>
    </row>
    <row r="1395">
      <c r="A1395" s="24"/>
      <c r="B1395" s="24"/>
      <c r="C1395" s="24"/>
      <c r="D1395" s="24"/>
      <c r="E1395" s="24"/>
      <c r="F1395" s="24"/>
      <c r="G1395" s="185"/>
      <c r="H1395" s="186"/>
      <c r="I1395" s="187"/>
      <c r="J1395" s="24"/>
      <c r="K1395" s="24"/>
      <c r="L1395" s="24"/>
      <c r="M1395" s="187"/>
      <c r="N1395" s="187"/>
    </row>
    <row r="1396">
      <c r="A1396" s="24"/>
      <c r="B1396" s="24"/>
      <c r="C1396" s="24"/>
      <c r="D1396" s="24"/>
      <c r="E1396" s="24"/>
      <c r="F1396" s="24"/>
      <c r="G1396" s="185"/>
      <c r="H1396" s="186"/>
      <c r="I1396" s="187"/>
      <c r="J1396" s="24"/>
      <c r="K1396" s="24"/>
      <c r="L1396" s="24"/>
      <c r="M1396" s="187"/>
      <c r="N1396" s="187"/>
    </row>
    <row r="1397">
      <c r="A1397" s="24"/>
      <c r="B1397" s="24"/>
      <c r="C1397" s="24"/>
      <c r="D1397" s="24"/>
      <c r="E1397" s="24"/>
      <c r="F1397" s="24"/>
      <c r="G1397" s="185"/>
      <c r="H1397" s="186"/>
      <c r="I1397" s="187"/>
      <c r="J1397" s="24"/>
      <c r="K1397" s="24"/>
      <c r="L1397" s="24"/>
      <c r="M1397" s="187"/>
      <c r="N1397" s="187"/>
    </row>
    <row r="1398">
      <c r="A1398" s="24"/>
      <c r="B1398" s="24"/>
      <c r="C1398" s="24"/>
      <c r="D1398" s="24"/>
      <c r="E1398" s="24"/>
      <c r="F1398" s="24"/>
      <c r="G1398" s="185"/>
      <c r="H1398" s="186"/>
      <c r="I1398" s="187"/>
      <c r="J1398" s="24"/>
      <c r="K1398" s="24"/>
      <c r="L1398" s="24"/>
      <c r="M1398" s="187"/>
      <c r="N1398" s="187"/>
    </row>
    <row r="1399">
      <c r="A1399" s="24"/>
      <c r="B1399" s="24"/>
      <c r="C1399" s="24"/>
      <c r="D1399" s="24"/>
      <c r="E1399" s="24"/>
      <c r="F1399" s="24"/>
      <c r="G1399" s="185"/>
      <c r="H1399" s="186"/>
      <c r="I1399" s="187"/>
      <c r="J1399" s="24"/>
      <c r="K1399" s="24"/>
      <c r="L1399" s="24"/>
      <c r="M1399" s="187"/>
      <c r="N1399" s="187"/>
    </row>
    <row r="1400">
      <c r="A1400" s="24"/>
      <c r="B1400" s="24"/>
      <c r="C1400" s="24"/>
      <c r="D1400" s="24"/>
      <c r="E1400" s="24"/>
      <c r="F1400" s="24"/>
      <c r="G1400" s="185"/>
      <c r="H1400" s="186"/>
      <c r="I1400" s="187"/>
      <c r="J1400" s="24"/>
      <c r="K1400" s="24"/>
      <c r="L1400" s="24"/>
      <c r="M1400" s="187"/>
      <c r="N1400" s="187"/>
    </row>
    <row r="1401">
      <c r="A1401" s="24"/>
      <c r="B1401" s="24"/>
      <c r="C1401" s="24"/>
      <c r="D1401" s="24"/>
      <c r="E1401" s="24"/>
      <c r="F1401" s="24"/>
      <c r="G1401" s="185"/>
      <c r="H1401" s="186"/>
      <c r="I1401" s="187"/>
      <c r="J1401" s="24"/>
      <c r="K1401" s="24"/>
      <c r="L1401" s="24"/>
      <c r="M1401" s="187"/>
      <c r="N1401" s="187"/>
    </row>
    <row r="1402">
      <c r="A1402" s="24"/>
      <c r="B1402" s="24"/>
      <c r="C1402" s="24"/>
      <c r="D1402" s="24"/>
      <c r="E1402" s="24"/>
      <c r="F1402" s="24"/>
      <c r="G1402" s="185"/>
      <c r="H1402" s="186"/>
      <c r="I1402" s="187"/>
      <c r="J1402" s="24"/>
      <c r="K1402" s="24"/>
      <c r="L1402" s="24"/>
      <c r="M1402" s="187"/>
      <c r="N1402" s="187"/>
    </row>
    <row r="1403">
      <c r="A1403" s="24"/>
      <c r="B1403" s="24"/>
      <c r="C1403" s="24"/>
      <c r="D1403" s="24"/>
      <c r="E1403" s="24"/>
      <c r="F1403" s="24"/>
      <c r="G1403" s="185"/>
      <c r="H1403" s="186"/>
      <c r="I1403" s="187"/>
      <c r="J1403" s="24"/>
      <c r="K1403" s="24"/>
      <c r="L1403" s="24"/>
      <c r="M1403" s="187"/>
      <c r="N1403" s="187"/>
    </row>
    <row r="1404">
      <c r="A1404" s="24"/>
      <c r="B1404" s="24"/>
      <c r="C1404" s="24"/>
      <c r="D1404" s="24"/>
      <c r="E1404" s="24"/>
      <c r="F1404" s="24"/>
      <c r="G1404" s="185"/>
      <c r="H1404" s="186"/>
      <c r="I1404" s="187"/>
      <c r="J1404" s="24"/>
      <c r="K1404" s="24"/>
      <c r="L1404" s="24"/>
      <c r="M1404" s="187"/>
      <c r="N1404" s="187"/>
    </row>
    <row r="1405">
      <c r="A1405" s="24"/>
      <c r="B1405" s="24"/>
      <c r="C1405" s="24"/>
      <c r="D1405" s="24"/>
      <c r="E1405" s="24"/>
      <c r="F1405" s="24"/>
      <c r="G1405" s="185"/>
      <c r="H1405" s="186"/>
      <c r="I1405" s="187"/>
      <c r="J1405" s="24"/>
      <c r="K1405" s="24"/>
      <c r="L1405" s="24"/>
      <c r="M1405" s="187"/>
      <c r="N1405" s="187"/>
    </row>
    <row r="1406">
      <c r="A1406" s="24"/>
      <c r="B1406" s="24"/>
      <c r="C1406" s="24"/>
      <c r="D1406" s="24"/>
      <c r="E1406" s="24"/>
      <c r="F1406" s="24"/>
      <c r="G1406" s="185"/>
      <c r="H1406" s="186"/>
      <c r="I1406" s="187"/>
      <c r="J1406" s="24"/>
      <c r="K1406" s="24"/>
      <c r="L1406" s="24"/>
      <c r="M1406" s="187"/>
      <c r="N1406" s="187"/>
    </row>
    <row r="1407">
      <c r="A1407" s="24"/>
      <c r="B1407" s="24"/>
      <c r="C1407" s="24"/>
      <c r="D1407" s="24"/>
      <c r="E1407" s="24"/>
      <c r="F1407" s="24"/>
      <c r="G1407" s="185"/>
      <c r="H1407" s="186"/>
      <c r="I1407" s="187"/>
      <c r="J1407" s="24"/>
      <c r="K1407" s="24"/>
      <c r="L1407" s="24"/>
      <c r="M1407" s="187"/>
      <c r="N1407" s="187"/>
    </row>
    <row r="1408">
      <c r="A1408" s="24"/>
      <c r="B1408" s="24"/>
      <c r="C1408" s="24"/>
      <c r="D1408" s="24"/>
      <c r="E1408" s="24"/>
      <c r="F1408" s="24"/>
      <c r="G1408" s="185"/>
      <c r="H1408" s="186"/>
      <c r="I1408" s="187"/>
      <c r="J1408" s="24"/>
      <c r="K1408" s="24"/>
      <c r="L1408" s="24"/>
      <c r="M1408" s="187"/>
      <c r="N1408" s="187"/>
    </row>
    <row r="1409">
      <c r="A1409" s="24"/>
      <c r="B1409" s="24"/>
      <c r="C1409" s="24"/>
      <c r="D1409" s="24"/>
      <c r="E1409" s="24"/>
      <c r="F1409" s="24"/>
      <c r="G1409" s="185"/>
      <c r="H1409" s="186"/>
      <c r="I1409" s="187"/>
      <c r="J1409" s="24"/>
      <c r="K1409" s="24"/>
      <c r="L1409" s="24"/>
      <c r="M1409" s="187"/>
      <c r="N1409" s="187"/>
    </row>
    <row r="1410">
      <c r="A1410" s="24"/>
      <c r="B1410" s="24"/>
      <c r="C1410" s="24"/>
      <c r="D1410" s="24"/>
      <c r="E1410" s="24"/>
      <c r="F1410" s="24"/>
      <c r="G1410" s="185"/>
      <c r="H1410" s="186"/>
      <c r="I1410" s="187"/>
      <c r="J1410" s="24"/>
      <c r="K1410" s="24"/>
      <c r="L1410" s="24"/>
      <c r="M1410" s="187"/>
      <c r="N1410" s="187"/>
    </row>
    <row r="1411">
      <c r="A1411" s="24"/>
      <c r="B1411" s="24"/>
      <c r="C1411" s="24"/>
      <c r="D1411" s="24"/>
      <c r="E1411" s="24"/>
      <c r="F1411" s="24"/>
      <c r="G1411" s="185"/>
      <c r="H1411" s="186"/>
      <c r="I1411" s="187"/>
      <c r="J1411" s="24"/>
      <c r="K1411" s="24"/>
      <c r="L1411" s="24"/>
      <c r="M1411" s="187"/>
      <c r="N1411" s="187"/>
    </row>
    <row r="1412">
      <c r="A1412" s="24"/>
      <c r="B1412" s="24"/>
      <c r="C1412" s="24"/>
      <c r="D1412" s="24"/>
      <c r="E1412" s="24"/>
      <c r="F1412" s="24"/>
      <c r="G1412" s="185"/>
      <c r="H1412" s="186"/>
      <c r="I1412" s="187"/>
      <c r="J1412" s="24"/>
      <c r="K1412" s="24"/>
      <c r="L1412" s="24"/>
      <c r="M1412" s="187"/>
      <c r="N1412" s="187"/>
    </row>
    <row r="1413">
      <c r="A1413" s="24"/>
      <c r="B1413" s="24"/>
      <c r="C1413" s="24"/>
      <c r="D1413" s="24"/>
      <c r="E1413" s="24"/>
      <c r="F1413" s="24"/>
      <c r="G1413" s="185"/>
      <c r="H1413" s="186"/>
      <c r="I1413" s="187"/>
      <c r="J1413" s="24"/>
      <c r="K1413" s="24"/>
      <c r="L1413" s="24"/>
      <c r="M1413" s="187"/>
      <c r="N1413" s="187"/>
    </row>
    <row r="1414">
      <c r="A1414" s="24"/>
      <c r="B1414" s="24"/>
      <c r="C1414" s="24"/>
      <c r="D1414" s="24"/>
      <c r="E1414" s="24"/>
      <c r="F1414" s="24"/>
      <c r="G1414" s="185"/>
      <c r="H1414" s="186"/>
      <c r="I1414" s="187"/>
      <c r="J1414" s="24"/>
      <c r="K1414" s="24"/>
      <c r="L1414" s="24"/>
      <c r="M1414" s="187"/>
      <c r="N1414" s="187"/>
    </row>
    <row r="1415">
      <c r="A1415" s="24"/>
      <c r="B1415" s="24"/>
      <c r="C1415" s="24"/>
      <c r="D1415" s="24"/>
      <c r="E1415" s="24"/>
      <c r="F1415" s="24"/>
      <c r="G1415" s="185"/>
      <c r="H1415" s="186"/>
      <c r="I1415" s="187"/>
      <c r="J1415" s="24"/>
      <c r="K1415" s="24"/>
      <c r="L1415" s="24"/>
      <c r="M1415" s="187"/>
      <c r="N1415" s="187"/>
    </row>
    <row r="1416">
      <c r="A1416" s="24"/>
      <c r="B1416" s="24"/>
      <c r="C1416" s="24"/>
      <c r="D1416" s="24"/>
      <c r="E1416" s="24"/>
      <c r="F1416" s="24"/>
      <c r="G1416" s="185"/>
      <c r="H1416" s="186"/>
      <c r="I1416" s="187"/>
      <c r="J1416" s="24"/>
      <c r="K1416" s="24"/>
      <c r="L1416" s="24"/>
      <c r="M1416" s="187"/>
      <c r="N1416" s="187"/>
    </row>
    <row r="1417">
      <c r="A1417" s="24"/>
      <c r="B1417" s="24"/>
      <c r="C1417" s="24"/>
      <c r="D1417" s="24"/>
      <c r="E1417" s="24"/>
      <c r="F1417" s="24"/>
      <c r="G1417" s="185"/>
      <c r="H1417" s="186"/>
      <c r="I1417" s="187"/>
      <c r="J1417" s="24"/>
      <c r="K1417" s="24"/>
      <c r="L1417" s="24"/>
      <c r="M1417" s="187"/>
      <c r="N1417" s="187"/>
    </row>
    <row r="1418">
      <c r="A1418" s="24"/>
      <c r="B1418" s="24"/>
      <c r="C1418" s="24"/>
      <c r="D1418" s="24"/>
      <c r="E1418" s="24"/>
      <c r="F1418" s="24"/>
      <c r="G1418" s="185"/>
      <c r="H1418" s="186"/>
      <c r="I1418" s="187"/>
      <c r="J1418" s="24"/>
      <c r="K1418" s="24"/>
      <c r="L1418" s="24"/>
      <c r="M1418" s="187"/>
      <c r="N1418" s="187"/>
    </row>
    <row r="1419">
      <c r="A1419" s="24"/>
      <c r="B1419" s="24"/>
      <c r="C1419" s="24"/>
      <c r="D1419" s="24"/>
      <c r="E1419" s="24"/>
      <c r="F1419" s="24"/>
      <c r="G1419" s="185"/>
      <c r="H1419" s="186"/>
      <c r="I1419" s="187"/>
      <c r="J1419" s="24"/>
      <c r="K1419" s="24"/>
      <c r="L1419" s="24"/>
      <c r="M1419" s="187"/>
      <c r="N1419" s="187"/>
    </row>
    <row r="1420">
      <c r="A1420" s="24"/>
      <c r="B1420" s="24"/>
      <c r="C1420" s="24"/>
      <c r="D1420" s="24"/>
      <c r="E1420" s="24"/>
      <c r="F1420" s="24"/>
      <c r="G1420" s="185"/>
      <c r="H1420" s="186"/>
      <c r="I1420" s="187"/>
      <c r="J1420" s="24"/>
      <c r="K1420" s="24"/>
      <c r="L1420" s="24"/>
      <c r="M1420" s="187"/>
      <c r="N1420" s="187"/>
    </row>
    <row r="1421">
      <c r="A1421" s="24"/>
      <c r="B1421" s="24"/>
      <c r="C1421" s="24"/>
      <c r="D1421" s="24"/>
      <c r="E1421" s="24"/>
      <c r="F1421" s="24"/>
      <c r="G1421" s="185"/>
      <c r="H1421" s="186"/>
      <c r="I1421" s="187"/>
      <c r="J1421" s="24"/>
      <c r="K1421" s="24"/>
      <c r="L1421" s="24"/>
      <c r="M1421" s="187"/>
      <c r="N1421" s="187"/>
    </row>
    <row r="1422">
      <c r="A1422" s="24"/>
      <c r="B1422" s="24"/>
      <c r="C1422" s="24"/>
      <c r="D1422" s="24"/>
      <c r="E1422" s="24"/>
      <c r="F1422" s="24"/>
      <c r="G1422" s="185"/>
      <c r="H1422" s="186"/>
      <c r="I1422" s="187"/>
      <c r="J1422" s="24"/>
      <c r="K1422" s="24"/>
      <c r="L1422" s="24"/>
      <c r="M1422" s="187"/>
      <c r="N1422" s="187"/>
    </row>
    <row r="1423">
      <c r="A1423" s="24"/>
      <c r="B1423" s="24"/>
      <c r="C1423" s="24"/>
      <c r="D1423" s="24"/>
      <c r="E1423" s="24"/>
      <c r="F1423" s="24"/>
      <c r="G1423" s="185"/>
      <c r="H1423" s="186"/>
      <c r="I1423" s="187"/>
      <c r="J1423" s="24"/>
      <c r="K1423" s="24"/>
      <c r="L1423" s="24"/>
      <c r="M1423" s="187"/>
      <c r="N1423" s="187"/>
    </row>
    <row r="1424">
      <c r="A1424" s="24"/>
      <c r="B1424" s="24"/>
      <c r="C1424" s="24"/>
      <c r="D1424" s="24"/>
      <c r="E1424" s="24"/>
      <c r="F1424" s="24"/>
      <c r="G1424" s="185"/>
      <c r="H1424" s="186"/>
      <c r="I1424" s="187"/>
      <c r="J1424" s="24"/>
      <c r="K1424" s="24"/>
      <c r="L1424" s="24"/>
      <c r="M1424" s="187"/>
      <c r="N1424" s="187"/>
    </row>
    <row r="1425">
      <c r="A1425" s="24"/>
      <c r="B1425" s="24"/>
      <c r="C1425" s="24"/>
      <c r="D1425" s="24"/>
      <c r="E1425" s="24"/>
      <c r="F1425" s="24"/>
      <c r="G1425" s="185"/>
      <c r="H1425" s="186"/>
      <c r="I1425" s="187"/>
      <c r="J1425" s="24"/>
      <c r="K1425" s="24"/>
      <c r="L1425" s="24"/>
      <c r="M1425" s="187"/>
      <c r="N1425" s="187"/>
    </row>
    <row r="1426">
      <c r="A1426" s="24"/>
      <c r="B1426" s="24"/>
      <c r="C1426" s="24"/>
      <c r="D1426" s="24"/>
      <c r="E1426" s="24"/>
      <c r="F1426" s="24"/>
      <c r="G1426" s="185"/>
      <c r="H1426" s="186"/>
      <c r="I1426" s="187"/>
      <c r="J1426" s="24"/>
      <c r="K1426" s="24"/>
      <c r="L1426" s="24"/>
      <c r="M1426" s="187"/>
      <c r="N1426" s="187"/>
    </row>
    <row r="1427">
      <c r="A1427" s="24"/>
      <c r="B1427" s="24"/>
      <c r="C1427" s="24"/>
      <c r="D1427" s="24"/>
      <c r="E1427" s="24"/>
      <c r="F1427" s="24"/>
      <c r="G1427" s="185"/>
      <c r="H1427" s="186"/>
      <c r="I1427" s="187"/>
      <c r="J1427" s="24"/>
      <c r="K1427" s="24"/>
      <c r="L1427" s="24"/>
      <c r="M1427" s="187"/>
      <c r="N1427" s="187"/>
    </row>
    <row r="1428">
      <c r="A1428" s="24"/>
      <c r="B1428" s="24"/>
      <c r="C1428" s="24"/>
      <c r="D1428" s="24"/>
      <c r="E1428" s="24"/>
      <c r="F1428" s="24"/>
      <c r="G1428" s="185"/>
      <c r="H1428" s="186"/>
      <c r="I1428" s="187"/>
      <c r="J1428" s="24"/>
      <c r="K1428" s="24"/>
      <c r="L1428" s="24"/>
      <c r="M1428" s="187"/>
      <c r="N1428" s="187"/>
    </row>
    <row r="1429">
      <c r="A1429" s="24"/>
      <c r="B1429" s="24"/>
      <c r="C1429" s="24"/>
      <c r="D1429" s="24"/>
      <c r="E1429" s="24"/>
      <c r="F1429" s="24"/>
      <c r="G1429" s="185"/>
      <c r="H1429" s="186"/>
      <c r="I1429" s="187"/>
      <c r="J1429" s="24"/>
      <c r="K1429" s="24"/>
      <c r="L1429" s="24"/>
      <c r="M1429" s="187"/>
      <c r="N1429" s="187"/>
    </row>
    <row r="1430">
      <c r="A1430" s="24"/>
      <c r="B1430" s="24"/>
      <c r="C1430" s="24"/>
      <c r="D1430" s="24"/>
      <c r="E1430" s="24"/>
      <c r="F1430" s="24"/>
      <c r="G1430" s="185"/>
      <c r="H1430" s="186"/>
      <c r="I1430" s="187"/>
      <c r="J1430" s="24"/>
      <c r="K1430" s="24"/>
      <c r="L1430" s="24"/>
      <c r="M1430" s="187"/>
      <c r="N1430" s="187"/>
    </row>
    <row r="1431">
      <c r="A1431" s="24"/>
      <c r="B1431" s="24"/>
      <c r="C1431" s="24"/>
      <c r="D1431" s="24"/>
      <c r="E1431" s="24"/>
      <c r="F1431" s="24"/>
      <c r="G1431" s="185"/>
      <c r="H1431" s="186"/>
      <c r="I1431" s="187"/>
      <c r="J1431" s="24"/>
      <c r="K1431" s="24"/>
      <c r="L1431" s="24"/>
      <c r="M1431" s="187"/>
      <c r="N1431" s="187"/>
    </row>
    <row r="1432">
      <c r="A1432" s="24"/>
      <c r="B1432" s="24"/>
      <c r="C1432" s="24"/>
      <c r="D1432" s="24"/>
      <c r="E1432" s="24"/>
      <c r="F1432" s="24"/>
      <c r="G1432" s="185"/>
      <c r="H1432" s="186"/>
      <c r="I1432" s="187"/>
      <c r="J1432" s="24"/>
      <c r="K1432" s="24"/>
      <c r="L1432" s="24"/>
      <c r="M1432" s="187"/>
      <c r="N1432" s="187"/>
    </row>
    <row r="1433">
      <c r="A1433" s="24"/>
      <c r="B1433" s="24"/>
      <c r="C1433" s="24"/>
      <c r="D1433" s="24"/>
      <c r="E1433" s="24"/>
      <c r="F1433" s="24"/>
      <c r="G1433" s="185"/>
      <c r="H1433" s="186"/>
      <c r="I1433" s="187"/>
      <c r="J1433" s="24"/>
      <c r="K1433" s="24"/>
      <c r="L1433" s="24"/>
      <c r="M1433" s="187"/>
      <c r="N1433" s="187"/>
    </row>
    <row r="1434">
      <c r="A1434" s="24"/>
      <c r="B1434" s="24"/>
      <c r="C1434" s="24"/>
      <c r="D1434" s="24"/>
      <c r="E1434" s="24"/>
      <c r="F1434" s="24"/>
      <c r="G1434" s="185"/>
      <c r="H1434" s="186"/>
      <c r="I1434" s="187"/>
      <c r="J1434" s="24"/>
      <c r="K1434" s="24"/>
      <c r="L1434" s="24"/>
      <c r="M1434" s="187"/>
      <c r="N1434" s="187"/>
    </row>
    <row r="1435">
      <c r="A1435" s="24"/>
      <c r="B1435" s="24"/>
      <c r="C1435" s="24"/>
      <c r="D1435" s="24"/>
      <c r="E1435" s="24"/>
      <c r="F1435" s="24"/>
      <c r="G1435" s="185"/>
      <c r="H1435" s="186"/>
      <c r="I1435" s="187"/>
      <c r="J1435" s="24"/>
      <c r="K1435" s="24"/>
      <c r="L1435" s="24"/>
      <c r="M1435" s="187"/>
      <c r="N1435" s="187"/>
    </row>
    <row r="1436">
      <c r="A1436" s="24"/>
      <c r="B1436" s="24"/>
      <c r="C1436" s="24"/>
      <c r="D1436" s="24"/>
      <c r="E1436" s="24"/>
      <c r="F1436" s="24"/>
      <c r="G1436" s="185"/>
      <c r="H1436" s="186"/>
      <c r="I1436" s="187"/>
      <c r="J1436" s="24"/>
      <c r="K1436" s="24"/>
      <c r="L1436" s="24"/>
      <c r="M1436" s="187"/>
      <c r="N1436" s="187"/>
    </row>
    <row r="1437">
      <c r="A1437" s="24"/>
      <c r="B1437" s="24"/>
      <c r="C1437" s="24"/>
      <c r="D1437" s="24"/>
      <c r="E1437" s="24"/>
      <c r="F1437" s="24"/>
      <c r="G1437" s="185"/>
      <c r="H1437" s="186"/>
      <c r="I1437" s="187"/>
      <c r="J1437" s="24"/>
      <c r="K1437" s="24"/>
      <c r="L1437" s="24"/>
      <c r="M1437" s="187"/>
      <c r="N1437" s="187"/>
    </row>
    <row r="1438">
      <c r="A1438" s="24"/>
      <c r="B1438" s="24"/>
      <c r="C1438" s="24"/>
      <c r="D1438" s="24"/>
      <c r="E1438" s="24"/>
      <c r="F1438" s="24"/>
      <c r="G1438" s="185"/>
      <c r="H1438" s="186"/>
      <c r="I1438" s="187"/>
      <c r="J1438" s="24"/>
      <c r="K1438" s="24"/>
      <c r="L1438" s="24"/>
      <c r="M1438" s="187"/>
      <c r="N1438" s="187"/>
    </row>
    <row r="1439">
      <c r="A1439" s="24"/>
      <c r="B1439" s="24"/>
      <c r="C1439" s="24"/>
      <c r="D1439" s="24"/>
      <c r="E1439" s="24"/>
      <c r="F1439" s="24"/>
      <c r="G1439" s="185"/>
      <c r="H1439" s="186"/>
      <c r="I1439" s="187"/>
      <c r="J1439" s="24"/>
      <c r="K1439" s="24"/>
      <c r="L1439" s="24"/>
      <c r="M1439" s="187"/>
      <c r="N1439" s="187"/>
    </row>
    <row r="1440">
      <c r="A1440" s="24"/>
      <c r="B1440" s="24"/>
      <c r="C1440" s="24"/>
      <c r="D1440" s="24"/>
      <c r="E1440" s="24"/>
      <c r="F1440" s="24"/>
      <c r="G1440" s="185"/>
      <c r="H1440" s="186"/>
      <c r="I1440" s="187"/>
      <c r="J1440" s="24"/>
      <c r="K1440" s="24"/>
      <c r="L1440" s="24"/>
      <c r="M1440" s="187"/>
      <c r="N1440" s="187"/>
    </row>
    <row r="1441">
      <c r="A1441" s="24"/>
      <c r="B1441" s="24"/>
      <c r="C1441" s="24"/>
      <c r="D1441" s="24"/>
      <c r="E1441" s="24"/>
      <c r="F1441" s="24"/>
      <c r="G1441" s="185"/>
      <c r="H1441" s="186"/>
      <c r="I1441" s="187"/>
      <c r="J1441" s="24"/>
      <c r="K1441" s="24"/>
      <c r="L1441" s="24"/>
      <c r="M1441" s="187"/>
      <c r="N1441" s="187"/>
    </row>
    <row r="1442">
      <c r="A1442" s="24"/>
      <c r="B1442" s="24"/>
      <c r="C1442" s="24"/>
      <c r="D1442" s="24"/>
      <c r="E1442" s="24"/>
      <c r="F1442" s="24"/>
      <c r="G1442" s="185"/>
      <c r="H1442" s="186"/>
      <c r="I1442" s="187"/>
      <c r="J1442" s="24"/>
      <c r="K1442" s="24"/>
      <c r="L1442" s="24"/>
      <c r="M1442" s="187"/>
      <c r="N1442" s="187"/>
    </row>
    <row r="1443">
      <c r="A1443" s="24"/>
      <c r="B1443" s="24"/>
      <c r="C1443" s="24"/>
      <c r="D1443" s="24"/>
      <c r="E1443" s="24"/>
      <c r="F1443" s="24"/>
      <c r="G1443" s="185"/>
      <c r="H1443" s="186"/>
      <c r="I1443" s="187"/>
      <c r="J1443" s="24"/>
      <c r="K1443" s="24"/>
      <c r="L1443" s="24"/>
      <c r="M1443" s="187"/>
      <c r="N1443" s="187"/>
    </row>
    <row r="1444">
      <c r="A1444" s="24"/>
      <c r="B1444" s="24"/>
      <c r="C1444" s="24"/>
      <c r="D1444" s="24"/>
      <c r="E1444" s="24"/>
      <c r="F1444" s="24"/>
      <c r="G1444" s="185"/>
      <c r="H1444" s="186"/>
      <c r="I1444" s="187"/>
      <c r="J1444" s="24"/>
      <c r="K1444" s="24"/>
      <c r="L1444" s="24"/>
      <c r="M1444" s="187"/>
      <c r="N1444" s="187"/>
    </row>
    <row r="1445">
      <c r="A1445" s="24"/>
      <c r="B1445" s="24"/>
      <c r="C1445" s="24"/>
      <c r="D1445" s="24"/>
      <c r="E1445" s="24"/>
      <c r="F1445" s="24"/>
      <c r="G1445" s="185"/>
      <c r="H1445" s="186"/>
      <c r="I1445" s="187"/>
      <c r="J1445" s="24"/>
      <c r="K1445" s="24"/>
      <c r="L1445" s="24"/>
      <c r="M1445" s="187"/>
      <c r="N1445" s="187"/>
    </row>
    <row r="1446">
      <c r="A1446" s="24"/>
      <c r="B1446" s="24"/>
      <c r="C1446" s="24"/>
      <c r="D1446" s="24"/>
      <c r="E1446" s="24"/>
      <c r="F1446" s="24"/>
      <c r="G1446" s="185"/>
      <c r="H1446" s="186"/>
      <c r="I1446" s="187"/>
      <c r="J1446" s="24"/>
      <c r="K1446" s="24"/>
      <c r="L1446" s="24"/>
      <c r="M1446" s="187"/>
      <c r="N1446" s="187"/>
    </row>
    <row r="1447">
      <c r="A1447" s="24"/>
      <c r="B1447" s="24"/>
      <c r="C1447" s="24"/>
      <c r="D1447" s="24"/>
      <c r="E1447" s="24"/>
      <c r="F1447" s="24"/>
      <c r="G1447" s="185"/>
      <c r="H1447" s="186"/>
      <c r="I1447" s="187"/>
      <c r="J1447" s="24"/>
      <c r="K1447" s="24"/>
      <c r="L1447" s="24"/>
      <c r="M1447" s="187"/>
      <c r="N1447" s="187"/>
    </row>
    <row r="1448">
      <c r="A1448" s="24"/>
      <c r="B1448" s="24"/>
      <c r="C1448" s="24"/>
      <c r="D1448" s="24"/>
      <c r="E1448" s="24"/>
      <c r="F1448" s="24"/>
      <c r="G1448" s="185"/>
      <c r="H1448" s="186"/>
      <c r="I1448" s="187"/>
      <c r="J1448" s="24"/>
      <c r="K1448" s="24"/>
      <c r="L1448" s="24"/>
      <c r="M1448" s="187"/>
      <c r="N1448" s="187"/>
    </row>
    <row r="1449">
      <c r="A1449" s="24"/>
      <c r="B1449" s="24"/>
      <c r="C1449" s="24"/>
      <c r="D1449" s="24"/>
      <c r="E1449" s="24"/>
      <c r="F1449" s="24"/>
      <c r="G1449" s="185"/>
      <c r="H1449" s="186"/>
      <c r="I1449" s="187"/>
      <c r="J1449" s="24"/>
      <c r="K1449" s="24"/>
      <c r="L1449" s="24"/>
      <c r="M1449" s="187"/>
      <c r="N1449" s="187"/>
    </row>
    <row r="1450">
      <c r="A1450" s="24"/>
      <c r="B1450" s="24"/>
      <c r="C1450" s="24"/>
      <c r="D1450" s="24"/>
      <c r="E1450" s="24"/>
      <c r="F1450" s="24"/>
      <c r="G1450" s="185"/>
      <c r="H1450" s="186"/>
      <c r="I1450" s="187"/>
      <c r="J1450" s="24"/>
      <c r="K1450" s="24"/>
      <c r="L1450" s="24"/>
      <c r="M1450" s="187"/>
      <c r="N1450" s="187"/>
    </row>
    <row r="1451">
      <c r="A1451" s="24"/>
      <c r="B1451" s="24"/>
      <c r="C1451" s="24"/>
      <c r="D1451" s="24"/>
      <c r="E1451" s="24"/>
      <c r="F1451" s="24"/>
      <c r="G1451" s="185"/>
      <c r="H1451" s="186"/>
      <c r="I1451" s="187"/>
      <c r="J1451" s="24"/>
      <c r="K1451" s="24"/>
      <c r="L1451" s="24"/>
      <c r="M1451" s="187"/>
      <c r="N1451" s="187"/>
    </row>
    <row r="1452">
      <c r="A1452" s="24"/>
      <c r="B1452" s="24"/>
      <c r="C1452" s="24"/>
      <c r="D1452" s="24"/>
      <c r="E1452" s="24"/>
      <c r="F1452" s="24"/>
      <c r="G1452" s="185"/>
      <c r="H1452" s="186"/>
      <c r="I1452" s="187"/>
      <c r="J1452" s="24"/>
      <c r="K1452" s="24"/>
      <c r="L1452" s="24"/>
      <c r="M1452" s="187"/>
      <c r="N1452" s="187"/>
    </row>
    <row r="1453">
      <c r="A1453" s="24"/>
      <c r="B1453" s="24"/>
      <c r="C1453" s="24"/>
      <c r="D1453" s="24"/>
      <c r="E1453" s="24"/>
      <c r="F1453" s="24"/>
      <c r="G1453" s="185"/>
      <c r="H1453" s="186"/>
      <c r="I1453" s="187"/>
      <c r="J1453" s="24"/>
      <c r="K1453" s="24"/>
      <c r="L1453" s="24"/>
      <c r="M1453" s="187"/>
      <c r="N1453" s="187"/>
    </row>
    <row r="1454">
      <c r="A1454" s="24"/>
      <c r="B1454" s="24"/>
      <c r="C1454" s="24"/>
      <c r="D1454" s="24"/>
      <c r="E1454" s="24"/>
      <c r="F1454" s="24"/>
      <c r="G1454" s="185"/>
      <c r="H1454" s="186"/>
      <c r="I1454" s="187"/>
      <c r="J1454" s="24"/>
      <c r="K1454" s="24"/>
      <c r="L1454" s="24"/>
      <c r="M1454" s="187"/>
      <c r="N1454" s="187"/>
    </row>
    <row r="1455">
      <c r="A1455" s="24"/>
      <c r="B1455" s="24"/>
      <c r="C1455" s="24"/>
      <c r="D1455" s="24"/>
      <c r="E1455" s="24"/>
      <c r="F1455" s="24"/>
      <c r="G1455" s="185"/>
      <c r="H1455" s="186"/>
      <c r="I1455" s="187"/>
      <c r="J1455" s="24"/>
      <c r="K1455" s="24"/>
      <c r="L1455" s="24"/>
      <c r="M1455" s="187"/>
      <c r="N1455" s="187"/>
    </row>
    <row r="1456">
      <c r="A1456" s="24"/>
      <c r="B1456" s="24"/>
      <c r="C1456" s="24"/>
      <c r="D1456" s="24"/>
      <c r="E1456" s="24"/>
      <c r="F1456" s="24"/>
      <c r="G1456" s="185"/>
      <c r="H1456" s="186"/>
      <c r="I1456" s="187"/>
      <c r="J1456" s="24"/>
      <c r="K1456" s="24"/>
      <c r="L1456" s="24"/>
      <c r="M1456" s="187"/>
      <c r="N1456" s="187"/>
    </row>
    <row r="1457">
      <c r="A1457" s="24"/>
      <c r="B1457" s="24"/>
      <c r="C1457" s="24"/>
      <c r="D1457" s="24"/>
      <c r="E1457" s="24"/>
      <c r="F1457" s="24"/>
      <c r="G1457" s="185"/>
      <c r="H1457" s="186"/>
      <c r="I1457" s="187"/>
      <c r="J1457" s="24"/>
      <c r="K1457" s="24"/>
      <c r="L1457" s="24"/>
      <c r="M1457" s="187"/>
      <c r="N1457" s="187"/>
    </row>
    <row r="1458">
      <c r="A1458" s="24"/>
      <c r="B1458" s="24"/>
      <c r="C1458" s="24"/>
      <c r="D1458" s="24"/>
      <c r="E1458" s="24"/>
      <c r="F1458" s="24"/>
      <c r="G1458" s="185"/>
      <c r="H1458" s="186"/>
      <c r="I1458" s="187"/>
      <c r="J1458" s="24"/>
      <c r="K1458" s="24"/>
      <c r="L1458" s="24"/>
      <c r="M1458" s="187"/>
      <c r="N1458" s="187"/>
    </row>
    <row r="1459">
      <c r="A1459" s="24"/>
      <c r="B1459" s="24"/>
      <c r="C1459" s="24"/>
      <c r="D1459" s="24"/>
      <c r="E1459" s="24"/>
      <c r="F1459" s="24"/>
      <c r="G1459" s="185"/>
      <c r="H1459" s="186"/>
      <c r="I1459" s="187"/>
      <c r="J1459" s="24"/>
      <c r="K1459" s="24"/>
      <c r="L1459" s="24"/>
      <c r="M1459" s="187"/>
      <c r="N1459" s="187"/>
    </row>
    <row r="1460">
      <c r="A1460" s="24"/>
      <c r="B1460" s="24"/>
      <c r="C1460" s="24"/>
      <c r="D1460" s="24"/>
      <c r="E1460" s="24"/>
      <c r="F1460" s="24"/>
      <c r="G1460" s="185"/>
      <c r="H1460" s="186"/>
      <c r="I1460" s="187"/>
      <c r="J1460" s="24"/>
      <c r="K1460" s="24"/>
      <c r="L1460" s="24"/>
      <c r="M1460" s="187"/>
      <c r="N1460" s="187"/>
    </row>
    <row r="1461">
      <c r="A1461" s="24"/>
      <c r="B1461" s="24"/>
      <c r="C1461" s="24"/>
      <c r="D1461" s="24"/>
      <c r="E1461" s="24"/>
      <c r="F1461" s="24"/>
      <c r="G1461" s="185"/>
      <c r="H1461" s="186"/>
      <c r="I1461" s="187"/>
      <c r="J1461" s="24"/>
      <c r="K1461" s="24"/>
      <c r="L1461" s="24"/>
      <c r="M1461" s="187"/>
      <c r="N1461" s="187"/>
    </row>
    <row r="1462">
      <c r="A1462" s="24"/>
      <c r="B1462" s="24"/>
      <c r="C1462" s="24"/>
      <c r="D1462" s="24"/>
      <c r="E1462" s="24"/>
      <c r="F1462" s="24"/>
      <c r="G1462" s="185"/>
      <c r="H1462" s="186"/>
      <c r="I1462" s="187"/>
      <c r="J1462" s="24"/>
      <c r="K1462" s="24"/>
      <c r="L1462" s="24"/>
      <c r="M1462" s="187"/>
      <c r="N1462" s="187"/>
    </row>
    <row r="1463">
      <c r="A1463" s="24"/>
      <c r="B1463" s="24"/>
      <c r="C1463" s="24"/>
      <c r="D1463" s="24"/>
      <c r="E1463" s="24"/>
      <c r="F1463" s="24"/>
      <c r="G1463" s="185"/>
      <c r="H1463" s="186"/>
      <c r="I1463" s="187"/>
      <c r="J1463" s="24"/>
      <c r="K1463" s="24"/>
      <c r="L1463" s="24"/>
      <c r="M1463" s="187"/>
      <c r="N1463" s="187"/>
    </row>
    <row r="1464">
      <c r="A1464" s="24"/>
      <c r="B1464" s="24"/>
      <c r="C1464" s="24"/>
      <c r="D1464" s="24"/>
      <c r="E1464" s="24"/>
      <c r="F1464" s="24"/>
      <c r="G1464" s="185"/>
      <c r="H1464" s="186"/>
      <c r="I1464" s="187"/>
      <c r="J1464" s="24"/>
      <c r="K1464" s="24"/>
      <c r="L1464" s="24"/>
      <c r="M1464" s="187"/>
      <c r="N1464" s="187"/>
    </row>
    <row r="1465">
      <c r="A1465" s="24"/>
      <c r="B1465" s="24"/>
      <c r="C1465" s="24"/>
      <c r="D1465" s="24"/>
      <c r="E1465" s="24"/>
      <c r="F1465" s="24"/>
      <c r="G1465" s="185"/>
      <c r="H1465" s="186"/>
      <c r="I1465" s="187"/>
      <c r="J1465" s="24"/>
      <c r="K1465" s="24"/>
      <c r="L1465" s="24"/>
      <c r="M1465" s="187"/>
      <c r="N1465" s="187"/>
    </row>
    <row r="1466">
      <c r="A1466" s="24"/>
      <c r="B1466" s="24"/>
      <c r="C1466" s="24"/>
      <c r="D1466" s="24"/>
      <c r="E1466" s="24"/>
      <c r="F1466" s="24"/>
      <c r="G1466" s="185"/>
      <c r="H1466" s="186"/>
      <c r="I1466" s="187"/>
      <c r="J1466" s="24"/>
      <c r="K1466" s="24"/>
      <c r="L1466" s="24"/>
      <c r="M1466" s="187"/>
      <c r="N1466" s="187"/>
    </row>
    <row r="1467">
      <c r="A1467" s="24"/>
      <c r="B1467" s="24"/>
      <c r="C1467" s="24"/>
      <c r="D1467" s="24"/>
      <c r="E1467" s="24"/>
      <c r="F1467" s="24"/>
      <c r="G1467" s="185"/>
      <c r="H1467" s="186"/>
      <c r="I1467" s="187"/>
      <c r="J1467" s="24"/>
      <c r="K1467" s="24"/>
      <c r="L1467" s="24"/>
      <c r="M1467" s="187"/>
      <c r="N1467" s="187"/>
    </row>
    <row r="1468">
      <c r="A1468" s="24"/>
      <c r="B1468" s="24"/>
      <c r="C1468" s="24"/>
      <c r="D1468" s="24"/>
      <c r="E1468" s="24"/>
      <c r="F1468" s="24"/>
      <c r="G1468" s="185"/>
      <c r="H1468" s="186"/>
      <c r="I1468" s="187"/>
      <c r="J1468" s="24"/>
      <c r="K1468" s="24"/>
      <c r="L1468" s="24"/>
      <c r="M1468" s="187"/>
      <c r="N1468" s="187"/>
    </row>
    <row r="1469">
      <c r="A1469" s="24"/>
      <c r="B1469" s="24"/>
      <c r="C1469" s="24"/>
      <c r="D1469" s="24"/>
      <c r="E1469" s="24"/>
      <c r="F1469" s="24"/>
      <c r="G1469" s="185"/>
      <c r="H1469" s="186"/>
      <c r="I1469" s="187"/>
      <c r="J1469" s="24"/>
      <c r="K1469" s="24"/>
      <c r="L1469" s="24"/>
      <c r="M1469" s="187"/>
      <c r="N1469" s="187"/>
    </row>
    <row r="1470">
      <c r="A1470" s="24"/>
      <c r="B1470" s="24"/>
      <c r="C1470" s="24"/>
      <c r="D1470" s="24"/>
      <c r="E1470" s="24"/>
      <c r="F1470" s="24"/>
      <c r="G1470" s="185"/>
      <c r="H1470" s="186"/>
      <c r="I1470" s="187"/>
      <c r="J1470" s="24"/>
      <c r="K1470" s="24"/>
      <c r="L1470" s="24"/>
      <c r="M1470" s="187"/>
      <c r="N1470" s="187"/>
    </row>
    <row r="1471">
      <c r="A1471" s="24"/>
      <c r="B1471" s="24"/>
      <c r="C1471" s="24"/>
      <c r="D1471" s="24"/>
      <c r="E1471" s="24"/>
      <c r="F1471" s="24"/>
      <c r="G1471" s="185"/>
      <c r="H1471" s="186"/>
      <c r="I1471" s="187"/>
      <c r="J1471" s="24"/>
      <c r="K1471" s="24"/>
      <c r="L1471" s="24"/>
      <c r="M1471" s="187"/>
      <c r="N1471" s="187"/>
    </row>
    <row r="1472">
      <c r="A1472" s="24"/>
      <c r="B1472" s="24"/>
      <c r="C1472" s="24"/>
      <c r="D1472" s="24"/>
      <c r="E1472" s="24"/>
      <c r="F1472" s="24"/>
      <c r="G1472" s="185"/>
      <c r="H1472" s="186"/>
      <c r="I1472" s="187"/>
      <c r="J1472" s="24"/>
      <c r="K1472" s="24"/>
      <c r="L1472" s="24"/>
      <c r="M1472" s="187"/>
      <c r="N1472" s="187"/>
    </row>
    <row r="1473">
      <c r="A1473" s="24"/>
      <c r="B1473" s="24"/>
      <c r="C1473" s="24"/>
      <c r="D1473" s="24"/>
      <c r="E1473" s="24"/>
      <c r="F1473" s="24"/>
      <c r="G1473" s="185"/>
      <c r="H1473" s="186"/>
      <c r="I1473" s="187"/>
      <c r="J1473" s="24"/>
      <c r="K1473" s="24"/>
      <c r="L1473" s="24"/>
      <c r="M1473" s="187"/>
      <c r="N1473" s="187"/>
    </row>
    <row r="1474">
      <c r="A1474" s="24"/>
      <c r="B1474" s="24"/>
      <c r="C1474" s="24"/>
      <c r="D1474" s="24"/>
      <c r="E1474" s="24"/>
      <c r="F1474" s="24"/>
      <c r="G1474" s="185"/>
      <c r="H1474" s="186"/>
      <c r="I1474" s="187"/>
      <c r="J1474" s="24"/>
      <c r="K1474" s="24"/>
      <c r="L1474" s="24"/>
      <c r="M1474" s="187"/>
      <c r="N1474" s="187"/>
    </row>
    <row r="1475">
      <c r="A1475" s="24"/>
      <c r="B1475" s="24"/>
      <c r="C1475" s="24"/>
      <c r="D1475" s="24"/>
      <c r="E1475" s="24"/>
      <c r="F1475" s="24"/>
      <c r="G1475" s="185"/>
      <c r="H1475" s="186"/>
      <c r="I1475" s="187"/>
      <c r="J1475" s="24"/>
      <c r="K1475" s="24"/>
      <c r="L1475" s="24"/>
      <c r="M1475" s="187"/>
      <c r="N1475" s="187"/>
    </row>
    <row r="1476">
      <c r="A1476" s="24"/>
      <c r="B1476" s="24"/>
      <c r="C1476" s="24"/>
      <c r="D1476" s="24"/>
      <c r="E1476" s="24"/>
      <c r="F1476" s="24"/>
      <c r="G1476" s="185"/>
      <c r="H1476" s="186"/>
      <c r="I1476" s="187"/>
      <c r="J1476" s="24"/>
      <c r="K1476" s="24"/>
      <c r="L1476" s="24"/>
      <c r="M1476" s="187"/>
      <c r="N1476" s="187"/>
    </row>
    <row r="1477">
      <c r="A1477" s="24"/>
      <c r="B1477" s="24"/>
      <c r="C1477" s="24"/>
      <c r="D1477" s="24"/>
      <c r="E1477" s="24"/>
      <c r="F1477" s="24"/>
      <c r="G1477" s="185"/>
      <c r="H1477" s="186"/>
      <c r="I1477" s="187"/>
      <c r="J1477" s="24"/>
      <c r="K1477" s="24"/>
      <c r="L1477" s="24"/>
      <c r="M1477" s="187"/>
      <c r="N1477" s="187"/>
    </row>
    <row r="1478">
      <c r="A1478" s="24"/>
      <c r="B1478" s="24"/>
      <c r="C1478" s="24"/>
      <c r="D1478" s="24"/>
      <c r="E1478" s="24"/>
      <c r="F1478" s="24"/>
      <c r="G1478" s="185"/>
      <c r="H1478" s="186"/>
      <c r="I1478" s="187"/>
      <c r="J1478" s="24"/>
      <c r="K1478" s="24"/>
      <c r="L1478" s="24"/>
      <c r="M1478" s="187"/>
      <c r="N1478" s="187"/>
    </row>
    <row r="1479">
      <c r="A1479" s="24"/>
      <c r="B1479" s="24"/>
      <c r="C1479" s="24"/>
      <c r="D1479" s="24"/>
      <c r="E1479" s="24"/>
      <c r="F1479" s="24"/>
      <c r="G1479" s="185"/>
      <c r="H1479" s="186"/>
      <c r="I1479" s="187"/>
      <c r="J1479" s="24"/>
      <c r="K1479" s="24"/>
      <c r="L1479" s="24"/>
      <c r="M1479" s="187"/>
      <c r="N1479" s="187"/>
    </row>
    <row r="1480">
      <c r="A1480" s="24"/>
      <c r="B1480" s="24"/>
      <c r="C1480" s="24"/>
      <c r="D1480" s="24"/>
      <c r="E1480" s="24"/>
      <c r="F1480" s="24"/>
      <c r="G1480" s="185"/>
      <c r="H1480" s="186"/>
      <c r="I1480" s="187"/>
      <c r="J1480" s="24"/>
      <c r="K1480" s="24"/>
      <c r="L1480" s="24"/>
      <c r="M1480" s="187"/>
      <c r="N1480" s="187"/>
    </row>
    <row r="1481">
      <c r="A1481" s="24"/>
      <c r="B1481" s="24"/>
      <c r="C1481" s="24"/>
      <c r="D1481" s="24"/>
      <c r="E1481" s="24"/>
      <c r="F1481" s="24"/>
      <c r="G1481" s="185"/>
      <c r="H1481" s="186"/>
      <c r="I1481" s="187"/>
      <c r="J1481" s="24"/>
      <c r="K1481" s="24"/>
      <c r="L1481" s="24"/>
      <c r="M1481" s="187"/>
      <c r="N1481" s="187"/>
    </row>
    <row r="1482">
      <c r="A1482" s="24"/>
      <c r="B1482" s="24"/>
      <c r="C1482" s="24"/>
      <c r="D1482" s="24"/>
      <c r="E1482" s="24"/>
      <c r="F1482" s="24"/>
      <c r="G1482" s="185"/>
      <c r="H1482" s="186"/>
      <c r="I1482" s="187"/>
      <c r="J1482" s="24"/>
      <c r="K1482" s="24"/>
      <c r="L1482" s="24"/>
      <c r="M1482" s="187"/>
      <c r="N1482" s="187"/>
    </row>
    <row r="1483">
      <c r="A1483" s="24"/>
      <c r="B1483" s="24"/>
      <c r="C1483" s="24"/>
      <c r="D1483" s="24"/>
      <c r="E1483" s="24"/>
      <c r="F1483" s="24"/>
      <c r="G1483" s="185"/>
      <c r="H1483" s="186"/>
      <c r="I1483" s="187"/>
      <c r="J1483" s="24"/>
      <c r="K1483" s="24"/>
      <c r="L1483" s="24"/>
      <c r="M1483" s="187"/>
      <c r="N1483" s="187"/>
    </row>
    <row r="1484">
      <c r="A1484" s="24"/>
      <c r="B1484" s="24"/>
      <c r="C1484" s="24"/>
      <c r="D1484" s="24"/>
      <c r="E1484" s="24"/>
      <c r="F1484" s="24"/>
      <c r="G1484" s="185"/>
      <c r="H1484" s="186"/>
      <c r="I1484" s="187"/>
      <c r="J1484" s="24"/>
      <c r="K1484" s="24"/>
      <c r="L1484" s="24"/>
      <c r="M1484" s="187"/>
      <c r="N1484" s="187"/>
    </row>
    <row r="1485">
      <c r="A1485" s="24"/>
      <c r="B1485" s="24"/>
      <c r="C1485" s="24"/>
      <c r="D1485" s="24"/>
      <c r="E1485" s="24"/>
      <c r="F1485" s="24"/>
      <c r="G1485" s="185"/>
      <c r="H1485" s="186"/>
      <c r="I1485" s="187"/>
      <c r="J1485" s="24"/>
      <c r="K1485" s="24"/>
      <c r="L1485" s="24"/>
      <c r="M1485" s="187"/>
      <c r="N1485" s="187"/>
    </row>
    <row r="1486">
      <c r="A1486" s="24"/>
      <c r="B1486" s="24"/>
      <c r="C1486" s="24"/>
      <c r="D1486" s="24"/>
      <c r="E1486" s="24"/>
      <c r="F1486" s="24"/>
      <c r="G1486" s="185"/>
      <c r="H1486" s="186"/>
      <c r="I1486" s="187"/>
      <c r="J1486" s="24"/>
      <c r="K1486" s="24"/>
      <c r="L1486" s="24"/>
      <c r="M1486" s="187"/>
      <c r="N1486" s="187"/>
    </row>
    <row r="1487">
      <c r="A1487" s="24"/>
      <c r="B1487" s="24"/>
      <c r="C1487" s="24"/>
      <c r="D1487" s="24"/>
      <c r="E1487" s="24"/>
      <c r="F1487" s="24"/>
      <c r="G1487" s="185"/>
      <c r="H1487" s="186"/>
      <c r="I1487" s="187"/>
      <c r="J1487" s="24"/>
      <c r="K1487" s="24"/>
      <c r="L1487" s="24"/>
      <c r="M1487" s="187"/>
      <c r="N1487" s="187"/>
    </row>
    <row r="1488">
      <c r="A1488" s="24"/>
      <c r="B1488" s="24"/>
      <c r="C1488" s="24"/>
      <c r="D1488" s="24"/>
      <c r="E1488" s="24"/>
      <c r="F1488" s="24"/>
      <c r="G1488" s="185"/>
      <c r="H1488" s="186"/>
      <c r="I1488" s="187"/>
      <c r="J1488" s="24"/>
      <c r="K1488" s="24"/>
      <c r="L1488" s="24"/>
      <c r="M1488" s="187"/>
      <c r="N1488" s="187"/>
    </row>
    <row r="1489">
      <c r="A1489" s="24"/>
      <c r="B1489" s="24"/>
      <c r="C1489" s="24"/>
      <c r="D1489" s="24"/>
      <c r="E1489" s="24"/>
      <c r="F1489" s="24"/>
      <c r="G1489" s="185"/>
      <c r="H1489" s="186"/>
      <c r="I1489" s="187"/>
      <c r="J1489" s="24"/>
      <c r="K1489" s="24"/>
      <c r="L1489" s="24"/>
      <c r="M1489" s="187"/>
      <c r="N1489" s="187"/>
    </row>
    <row r="1490">
      <c r="A1490" s="24"/>
      <c r="B1490" s="24"/>
      <c r="C1490" s="24"/>
      <c r="D1490" s="24"/>
      <c r="E1490" s="24"/>
      <c r="F1490" s="24"/>
      <c r="G1490" s="185"/>
      <c r="H1490" s="186"/>
      <c r="I1490" s="187"/>
      <c r="J1490" s="24"/>
      <c r="K1490" s="24"/>
      <c r="L1490" s="24"/>
      <c r="M1490" s="187"/>
      <c r="N1490" s="187"/>
    </row>
    <row r="1491">
      <c r="A1491" s="24"/>
      <c r="B1491" s="24"/>
      <c r="C1491" s="24"/>
      <c r="D1491" s="24"/>
      <c r="E1491" s="24"/>
      <c r="F1491" s="24"/>
      <c r="G1491" s="185"/>
      <c r="H1491" s="186"/>
      <c r="I1491" s="187"/>
      <c r="J1491" s="24"/>
      <c r="K1491" s="24"/>
      <c r="L1491" s="24"/>
      <c r="M1491" s="187"/>
      <c r="N1491" s="187"/>
    </row>
    <row r="1492">
      <c r="A1492" s="24"/>
      <c r="B1492" s="24"/>
      <c r="C1492" s="24"/>
      <c r="D1492" s="24"/>
      <c r="E1492" s="24"/>
      <c r="F1492" s="24"/>
      <c r="G1492" s="185"/>
      <c r="H1492" s="186"/>
      <c r="I1492" s="187"/>
      <c r="J1492" s="24"/>
      <c r="K1492" s="24"/>
      <c r="L1492" s="24"/>
      <c r="M1492" s="187"/>
      <c r="N1492" s="187"/>
    </row>
    <row r="1493">
      <c r="A1493" s="24"/>
      <c r="B1493" s="24"/>
      <c r="C1493" s="24"/>
      <c r="D1493" s="24"/>
      <c r="E1493" s="24"/>
      <c r="F1493" s="24"/>
      <c r="G1493" s="185"/>
      <c r="H1493" s="186"/>
      <c r="I1493" s="187"/>
      <c r="J1493" s="24"/>
      <c r="K1493" s="24"/>
      <c r="L1493" s="24"/>
      <c r="M1493" s="187"/>
      <c r="N1493" s="187"/>
    </row>
    <row r="1494">
      <c r="A1494" s="24"/>
      <c r="B1494" s="24"/>
      <c r="C1494" s="24"/>
      <c r="D1494" s="24"/>
      <c r="E1494" s="24"/>
      <c r="F1494" s="24"/>
      <c r="G1494" s="185"/>
      <c r="H1494" s="186"/>
      <c r="I1494" s="187"/>
      <c r="J1494" s="24"/>
      <c r="K1494" s="24"/>
      <c r="L1494" s="24"/>
      <c r="M1494" s="187"/>
      <c r="N1494" s="187"/>
    </row>
    <row r="1495">
      <c r="A1495" s="24"/>
      <c r="B1495" s="24"/>
      <c r="C1495" s="24"/>
      <c r="D1495" s="24"/>
      <c r="E1495" s="24"/>
      <c r="F1495" s="24"/>
      <c r="G1495" s="185"/>
      <c r="H1495" s="186"/>
      <c r="I1495" s="187"/>
      <c r="J1495" s="24"/>
      <c r="K1495" s="24"/>
      <c r="L1495" s="24"/>
      <c r="M1495" s="187"/>
      <c r="N1495" s="187"/>
    </row>
    <row r="1496">
      <c r="A1496" s="24"/>
      <c r="B1496" s="24"/>
      <c r="C1496" s="24"/>
      <c r="D1496" s="24"/>
      <c r="E1496" s="24"/>
      <c r="F1496" s="24"/>
      <c r="G1496" s="185"/>
      <c r="H1496" s="186"/>
      <c r="I1496" s="187"/>
      <c r="J1496" s="24"/>
      <c r="K1496" s="24"/>
      <c r="L1496" s="24"/>
      <c r="M1496" s="187"/>
      <c r="N1496" s="187"/>
    </row>
    <row r="1497">
      <c r="A1497" s="24"/>
      <c r="B1497" s="24"/>
      <c r="C1497" s="24"/>
      <c r="D1497" s="24"/>
      <c r="E1497" s="24"/>
      <c r="F1497" s="24"/>
      <c r="G1497" s="185"/>
      <c r="H1497" s="186"/>
      <c r="I1497" s="187"/>
      <c r="J1497" s="24"/>
      <c r="K1497" s="24"/>
      <c r="L1497" s="24"/>
      <c r="M1497" s="187"/>
      <c r="N1497" s="187"/>
    </row>
    <row r="1498">
      <c r="A1498" s="24"/>
      <c r="B1498" s="24"/>
      <c r="C1498" s="24"/>
      <c r="D1498" s="24"/>
      <c r="E1498" s="24"/>
      <c r="F1498" s="24"/>
      <c r="G1498" s="185"/>
      <c r="H1498" s="186"/>
      <c r="I1498" s="187"/>
      <c r="J1498" s="24"/>
      <c r="K1498" s="24"/>
      <c r="L1498" s="24"/>
      <c r="M1498" s="187"/>
      <c r="N1498" s="187"/>
    </row>
    <row r="1499">
      <c r="A1499" s="24"/>
      <c r="B1499" s="24"/>
      <c r="C1499" s="24"/>
      <c r="D1499" s="24"/>
      <c r="E1499" s="24"/>
      <c r="F1499" s="24"/>
      <c r="G1499" s="185"/>
      <c r="H1499" s="186"/>
      <c r="I1499" s="187"/>
      <c r="J1499" s="24"/>
      <c r="K1499" s="24"/>
      <c r="L1499" s="24"/>
      <c r="M1499" s="187"/>
      <c r="N1499" s="187"/>
    </row>
    <row r="1500">
      <c r="A1500" s="24"/>
      <c r="B1500" s="24"/>
      <c r="C1500" s="24"/>
      <c r="D1500" s="24"/>
      <c r="E1500" s="24"/>
      <c r="F1500" s="24"/>
      <c r="G1500" s="185"/>
      <c r="H1500" s="186"/>
      <c r="I1500" s="187"/>
      <c r="J1500" s="24"/>
      <c r="K1500" s="24"/>
      <c r="L1500" s="24"/>
      <c r="M1500" s="187"/>
      <c r="N1500" s="187"/>
    </row>
    <row r="1501">
      <c r="A1501" s="24"/>
      <c r="B1501" s="24"/>
      <c r="C1501" s="24"/>
      <c r="D1501" s="24"/>
      <c r="E1501" s="24"/>
      <c r="F1501" s="24"/>
      <c r="G1501" s="185"/>
      <c r="H1501" s="186"/>
      <c r="I1501" s="187"/>
      <c r="J1501" s="24"/>
      <c r="K1501" s="24"/>
      <c r="L1501" s="24"/>
      <c r="M1501" s="187"/>
      <c r="N1501" s="187"/>
    </row>
    <row r="1502">
      <c r="A1502" s="24"/>
      <c r="B1502" s="24"/>
      <c r="C1502" s="24"/>
      <c r="D1502" s="24"/>
      <c r="E1502" s="24"/>
      <c r="F1502" s="24"/>
      <c r="G1502" s="185"/>
      <c r="H1502" s="186"/>
      <c r="I1502" s="187"/>
      <c r="J1502" s="24"/>
      <c r="K1502" s="24"/>
      <c r="L1502" s="24"/>
      <c r="M1502" s="187"/>
      <c r="N1502" s="187"/>
    </row>
    <row r="1503">
      <c r="A1503" s="24"/>
      <c r="B1503" s="24"/>
      <c r="C1503" s="24"/>
      <c r="D1503" s="24"/>
      <c r="E1503" s="24"/>
      <c r="F1503" s="24"/>
      <c r="G1503" s="185"/>
      <c r="H1503" s="186"/>
      <c r="I1503" s="187"/>
      <c r="J1503" s="24"/>
      <c r="K1503" s="24"/>
      <c r="L1503" s="24"/>
      <c r="M1503" s="187"/>
      <c r="N1503" s="187"/>
    </row>
    <row r="1504">
      <c r="A1504" s="24"/>
      <c r="B1504" s="24"/>
      <c r="C1504" s="24"/>
      <c r="D1504" s="24"/>
      <c r="E1504" s="24"/>
      <c r="F1504" s="24"/>
      <c r="G1504" s="185"/>
      <c r="H1504" s="186"/>
      <c r="I1504" s="187"/>
      <c r="J1504" s="24"/>
      <c r="K1504" s="24"/>
      <c r="L1504" s="24"/>
      <c r="M1504" s="187"/>
      <c r="N1504" s="187"/>
    </row>
    <row r="1505">
      <c r="A1505" s="24"/>
      <c r="B1505" s="24"/>
      <c r="C1505" s="24"/>
      <c r="D1505" s="24"/>
      <c r="E1505" s="24"/>
      <c r="F1505" s="24"/>
      <c r="G1505" s="185"/>
      <c r="H1505" s="186"/>
      <c r="I1505" s="187"/>
      <c r="J1505" s="24"/>
      <c r="K1505" s="24"/>
      <c r="L1505" s="24"/>
      <c r="M1505" s="187"/>
      <c r="N1505" s="187"/>
    </row>
    <row r="1506">
      <c r="A1506" s="24"/>
      <c r="B1506" s="24"/>
      <c r="C1506" s="24"/>
      <c r="D1506" s="24"/>
      <c r="E1506" s="24"/>
      <c r="F1506" s="24"/>
      <c r="G1506" s="185"/>
      <c r="H1506" s="186"/>
      <c r="I1506" s="187"/>
      <c r="J1506" s="24"/>
      <c r="K1506" s="24"/>
      <c r="L1506" s="24"/>
      <c r="M1506" s="187"/>
      <c r="N1506" s="187"/>
    </row>
    <row r="1507">
      <c r="A1507" s="24"/>
      <c r="B1507" s="24"/>
      <c r="C1507" s="24"/>
      <c r="D1507" s="24"/>
      <c r="E1507" s="24"/>
      <c r="F1507" s="24"/>
      <c r="G1507" s="185"/>
      <c r="H1507" s="186"/>
      <c r="I1507" s="187"/>
      <c r="J1507" s="24"/>
      <c r="K1507" s="24"/>
      <c r="L1507" s="24"/>
      <c r="M1507" s="187"/>
      <c r="N1507" s="187"/>
    </row>
    <row r="1508">
      <c r="A1508" s="24"/>
      <c r="B1508" s="24"/>
      <c r="C1508" s="24"/>
      <c r="D1508" s="24"/>
      <c r="E1508" s="24"/>
      <c r="F1508" s="24"/>
      <c r="G1508" s="185"/>
      <c r="H1508" s="186"/>
      <c r="I1508" s="187"/>
      <c r="J1508" s="24"/>
      <c r="K1508" s="24"/>
      <c r="L1508" s="24"/>
      <c r="M1508" s="187"/>
      <c r="N1508" s="187"/>
    </row>
    <row r="1509">
      <c r="A1509" s="24"/>
      <c r="B1509" s="24"/>
      <c r="C1509" s="24"/>
      <c r="D1509" s="24"/>
      <c r="E1509" s="24"/>
      <c r="F1509" s="24"/>
      <c r="G1509" s="185"/>
      <c r="H1509" s="186"/>
      <c r="I1509" s="187"/>
      <c r="J1509" s="24"/>
      <c r="K1509" s="24"/>
      <c r="L1509" s="24"/>
      <c r="M1509" s="187"/>
      <c r="N1509" s="187"/>
    </row>
    <row r="1510">
      <c r="A1510" s="24"/>
      <c r="B1510" s="24"/>
      <c r="C1510" s="24"/>
      <c r="D1510" s="24"/>
      <c r="E1510" s="24"/>
      <c r="F1510" s="24"/>
      <c r="G1510" s="185"/>
      <c r="H1510" s="186"/>
      <c r="I1510" s="187"/>
      <c r="J1510" s="24"/>
      <c r="K1510" s="24"/>
      <c r="L1510" s="24"/>
      <c r="M1510" s="187"/>
      <c r="N1510" s="187"/>
    </row>
    <row r="1511">
      <c r="A1511" s="24"/>
      <c r="B1511" s="24"/>
      <c r="C1511" s="24"/>
      <c r="D1511" s="24"/>
      <c r="E1511" s="24"/>
      <c r="F1511" s="24"/>
      <c r="G1511" s="185"/>
      <c r="H1511" s="186"/>
      <c r="I1511" s="187"/>
      <c r="J1511" s="24"/>
      <c r="K1511" s="24"/>
      <c r="L1511" s="24"/>
      <c r="M1511" s="187"/>
      <c r="N1511" s="187"/>
    </row>
    <row r="1512">
      <c r="A1512" s="24"/>
      <c r="B1512" s="24"/>
      <c r="C1512" s="24"/>
      <c r="D1512" s="24"/>
      <c r="E1512" s="24"/>
      <c r="F1512" s="24"/>
      <c r="G1512" s="185"/>
      <c r="H1512" s="186"/>
      <c r="I1512" s="187"/>
      <c r="J1512" s="24"/>
      <c r="K1512" s="24"/>
      <c r="L1512" s="24"/>
      <c r="M1512" s="187"/>
      <c r="N1512" s="187"/>
    </row>
    <row r="1513">
      <c r="A1513" s="24"/>
      <c r="B1513" s="24"/>
      <c r="C1513" s="24"/>
      <c r="D1513" s="24"/>
      <c r="E1513" s="24"/>
      <c r="F1513" s="24"/>
      <c r="G1513" s="185"/>
      <c r="H1513" s="186"/>
      <c r="I1513" s="187"/>
      <c r="J1513" s="24"/>
      <c r="K1513" s="24"/>
      <c r="L1513" s="24"/>
      <c r="M1513" s="187"/>
      <c r="N1513" s="187"/>
    </row>
    <row r="1514">
      <c r="A1514" s="24"/>
      <c r="B1514" s="24"/>
      <c r="C1514" s="24"/>
      <c r="D1514" s="24"/>
      <c r="E1514" s="24"/>
      <c r="F1514" s="24"/>
      <c r="G1514" s="185"/>
      <c r="H1514" s="186"/>
      <c r="I1514" s="187"/>
      <c r="J1514" s="24"/>
      <c r="K1514" s="24"/>
      <c r="L1514" s="24"/>
      <c r="M1514" s="187"/>
      <c r="N1514" s="187"/>
    </row>
    <row r="1515">
      <c r="A1515" s="24"/>
      <c r="B1515" s="24"/>
      <c r="C1515" s="24"/>
      <c r="D1515" s="24"/>
      <c r="E1515" s="24"/>
      <c r="F1515" s="24"/>
      <c r="G1515" s="185"/>
      <c r="H1515" s="186"/>
      <c r="I1515" s="187"/>
      <c r="J1515" s="24"/>
      <c r="K1515" s="24"/>
      <c r="L1515" s="24"/>
      <c r="M1515" s="187"/>
      <c r="N1515" s="187"/>
    </row>
    <row r="1516">
      <c r="A1516" s="24"/>
      <c r="B1516" s="24"/>
      <c r="C1516" s="24"/>
      <c r="D1516" s="24"/>
      <c r="E1516" s="24"/>
      <c r="F1516" s="24"/>
      <c r="G1516" s="185"/>
      <c r="H1516" s="186"/>
      <c r="I1516" s="187"/>
      <c r="J1516" s="24"/>
      <c r="K1516" s="24"/>
      <c r="L1516" s="24"/>
      <c r="M1516" s="187"/>
      <c r="N1516" s="187"/>
    </row>
    <row r="1517">
      <c r="A1517" s="24"/>
      <c r="B1517" s="24"/>
      <c r="C1517" s="24"/>
      <c r="D1517" s="24"/>
      <c r="E1517" s="24"/>
      <c r="F1517" s="24"/>
      <c r="G1517" s="185"/>
      <c r="H1517" s="186"/>
      <c r="I1517" s="187"/>
      <c r="J1517" s="24"/>
      <c r="K1517" s="24"/>
      <c r="L1517" s="24"/>
      <c r="M1517" s="187"/>
      <c r="N1517" s="187"/>
    </row>
    <row r="1518">
      <c r="A1518" s="24"/>
      <c r="B1518" s="24"/>
      <c r="C1518" s="24"/>
      <c r="D1518" s="24"/>
      <c r="E1518" s="24"/>
      <c r="F1518" s="24"/>
      <c r="G1518" s="185"/>
      <c r="H1518" s="186"/>
      <c r="I1518" s="187"/>
      <c r="J1518" s="24"/>
      <c r="K1518" s="24"/>
      <c r="L1518" s="24"/>
      <c r="M1518" s="187"/>
      <c r="N1518" s="187"/>
    </row>
    <row r="1519">
      <c r="A1519" s="24"/>
      <c r="B1519" s="24"/>
      <c r="C1519" s="24"/>
      <c r="D1519" s="24"/>
      <c r="E1519" s="24"/>
      <c r="F1519" s="24"/>
      <c r="G1519" s="185"/>
      <c r="H1519" s="186"/>
      <c r="I1519" s="187"/>
      <c r="J1519" s="24"/>
      <c r="K1519" s="24"/>
      <c r="L1519" s="24"/>
      <c r="M1519" s="187"/>
      <c r="N1519" s="187"/>
    </row>
    <row r="1520">
      <c r="A1520" s="24"/>
      <c r="B1520" s="24"/>
      <c r="C1520" s="24"/>
      <c r="D1520" s="24"/>
      <c r="E1520" s="24"/>
      <c r="F1520" s="24"/>
      <c r="G1520" s="185"/>
      <c r="H1520" s="186"/>
      <c r="I1520" s="187"/>
      <c r="J1520" s="24"/>
      <c r="K1520" s="24"/>
      <c r="L1520" s="24"/>
      <c r="M1520" s="187"/>
      <c r="N1520" s="187"/>
    </row>
    <row r="1521">
      <c r="A1521" s="24"/>
      <c r="B1521" s="24"/>
      <c r="C1521" s="24"/>
      <c r="D1521" s="24"/>
      <c r="E1521" s="24"/>
      <c r="F1521" s="24"/>
      <c r="G1521" s="185"/>
      <c r="H1521" s="186"/>
      <c r="I1521" s="187"/>
      <c r="J1521" s="24"/>
      <c r="K1521" s="24"/>
      <c r="L1521" s="24"/>
      <c r="M1521" s="187"/>
      <c r="N1521" s="187"/>
    </row>
    <row r="1522">
      <c r="A1522" s="24"/>
      <c r="B1522" s="24"/>
      <c r="C1522" s="24"/>
      <c r="D1522" s="24"/>
      <c r="E1522" s="24"/>
      <c r="F1522" s="24"/>
      <c r="G1522" s="185"/>
      <c r="H1522" s="186"/>
      <c r="I1522" s="187"/>
      <c r="J1522" s="24"/>
      <c r="K1522" s="24"/>
      <c r="L1522" s="24"/>
      <c r="M1522" s="187"/>
      <c r="N1522" s="187"/>
    </row>
    <row r="1523">
      <c r="A1523" s="24"/>
      <c r="B1523" s="24"/>
      <c r="C1523" s="24"/>
      <c r="D1523" s="24"/>
      <c r="E1523" s="24"/>
      <c r="F1523" s="24"/>
      <c r="G1523" s="185"/>
      <c r="H1523" s="186"/>
      <c r="I1523" s="187"/>
      <c r="J1523" s="24"/>
      <c r="K1523" s="24"/>
      <c r="L1523" s="24"/>
      <c r="M1523" s="187"/>
      <c r="N1523" s="187"/>
    </row>
    <row r="1524">
      <c r="A1524" s="24"/>
      <c r="B1524" s="24"/>
      <c r="C1524" s="24"/>
      <c r="D1524" s="24"/>
      <c r="E1524" s="24"/>
      <c r="F1524" s="24"/>
      <c r="G1524" s="185"/>
      <c r="H1524" s="186"/>
      <c r="I1524" s="187"/>
      <c r="J1524" s="24"/>
      <c r="K1524" s="24"/>
      <c r="L1524" s="24"/>
      <c r="M1524" s="187"/>
      <c r="N1524" s="187"/>
    </row>
    <row r="1525">
      <c r="A1525" s="24"/>
      <c r="B1525" s="24"/>
      <c r="C1525" s="24"/>
      <c r="D1525" s="24"/>
      <c r="E1525" s="24"/>
      <c r="F1525" s="24"/>
      <c r="G1525" s="185"/>
      <c r="H1525" s="186"/>
      <c r="I1525" s="187"/>
      <c r="J1525" s="24"/>
      <c r="K1525" s="24"/>
      <c r="L1525" s="24"/>
      <c r="M1525" s="187"/>
      <c r="N1525" s="187"/>
    </row>
    <row r="1526">
      <c r="A1526" s="24"/>
      <c r="B1526" s="24"/>
      <c r="C1526" s="24"/>
      <c r="D1526" s="24"/>
      <c r="E1526" s="24"/>
      <c r="F1526" s="24"/>
      <c r="G1526" s="185"/>
      <c r="H1526" s="186"/>
      <c r="I1526" s="187"/>
      <c r="J1526" s="24"/>
      <c r="K1526" s="24"/>
      <c r="L1526" s="24"/>
      <c r="M1526" s="187"/>
      <c r="N1526" s="187"/>
    </row>
    <row r="1527">
      <c r="A1527" s="24"/>
      <c r="B1527" s="24"/>
      <c r="C1527" s="24"/>
      <c r="D1527" s="24"/>
      <c r="E1527" s="24"/>
      <c r="F1527" s="24"/>
      <c r="G1527" s="185"/>
      <c r="H1527" s="186"/>
      <c r="I1527" s="187"/>
      <c r="J1527" s="24"/>
      <c r="K1527" s="24"/>
      <c r="L1527" s="24"/>
      <c r="M1527" s="187"/>
      <c r="N1527" s="187"/>
    </row>
    <row r="1528">
      <c r="A1528" s="24"/>
      <c r="B1528" s="24"/>
      <c r="C1528" s="24"/>
      <c r="D1528" s="24"/>
      <c r="E1528" s="24"/>
      <c r="F1528" s="24"/>
      <c r="G1528" s="185"/>
      <c r="H1528" s="186"/>
      <c r="I1528" s="187"/>
      <c r="J1528" s="24"/>
      <c r="K1528" s="24"/>
      <c r="L1528" s="24"/>
      <c r="M1528" s="187"/>
      <c r="N1528" s="187"/>
    </row>
    <row r="1529">
      <c r="A1529" s="24"/>
      <c r="B1529" s="24"/>
      <c r="C1529" s="24"/>
      <c r="D1529" s="24"/>
      <c r="E1529" s="24"/>
      <c r="F1529" s="24"/>
      <c r="G1529" s="185"/>
      <c r="H1529" s="186"/>
      <c r="I1529" s="187"/>
      <c r="J1529" s="24"/>
      <c r="K1529" s="24"/>
      <c r="L1529" s="24"/>
      <c r="M1529" s="187"/>
      <c r="N1529" s="187"/>
    </row>
    <row r="1530">
      <c r="A1530" s="24"/>
      <c r="B1530" s="24"/>
      <c r="C1530" s="24"/>
      <c r="D1530" s="24"/>
      <c r="E1530" s="24"/>
      <c r="F1530" s="24"/>
      <c r="G1530" s="185"/>
      <c r="H1530" s="186"/>
      <c r="I1530" s="187"/>
      <c r="J1530" s="24"/>
      <c r="K1530" s="24"/>
      <c r="L1530" s="24"/>
      <c r="M1530" s="187"/>
      <c r="N1530" s="187"/>
    </row>
    <row r="1531">
      <c r="A1531" s="24"/>
      <c r="B1531" s="24"/>
      <c r="C1531" s="24"/>
      <c r="D1531" s="24"/>
      <c r="E1531" s="24"/>
      <c r="F1531" s="24"/>
      <c r="G1531" s="185"/>
      <c r="H1531" s="186"/>
      <c r="I1531" s="187"/>
      <c r="J1531" s="24"/>
      <c r="K1531" s="24"/>
      <c r="L1531" s="24"/>
      <c r="M1531" s="187"/>
      <c r="N1531" s="187"/>
    </row>
    <row r="1532">
      <c r="A1532" s="24"/>
      <c r="B1532" s="24"/>
      <c r="C1532" s="24"/>
      <c r="D1532" s="24"/>
      <c r="E1532" s="24"/>
      <c r="F1532" s="24"/>
      <c r="G1532" s="185"/>
      <c r="H1532" s="186"/>
      <c r="I1532" s="187"/>
      <c r="J1532" s="24"/>
      <c r="K1532" s="24"/>
      <c r="L1532" s="24"/>
      <c r="M1532" s="187"/>
      <c r="N1532" s="187"/>
    </row>
    <row r="1533">
      <c r="A1533" s="24"/>
      <c r="B1533" s="24"/>
      <c r="C1533" s="24"/>
      <c r="D1533" s="24"/>
      <c r="E1533" s="24"/>
      <c r="F1533" s="24"/>
      <c r="G1533" s="185"/>
      <c r="H1533" s="186"/>
      <c r="I1533" s="187"/>
      <c r="J1533" s="24"/>
      <c r="K1533" s="24"/>
      <c r="L1533" s="24"/>
      <c r="M1533" s="187"/>
      <c r="N1533" s="187"/>
    </row>
    <row r="1534">
      <c r="A1534" s="24"/>
      <c r="B1534" s="24"/>
      <c r="C1534" s="24"/>
      <c r="D1534" s="24"/>
      <c r="E1534" s="24"/>
      <c r="F1534" s="24"/>
      <c r="G1534" s="185"/>
      <c r="H1534" s="186"/>
      <c r="I1534" s="187"/>
      <c r="J1534" s="24"/>
      <c r="K1534" s="24"/>
      <c r="L1534" s="24"/>
      <c r="M1534" s="187"/>
      <c r="N1534" s="187"/>
    </row>
    <row r="1535">
      <c r="A1535" s="24"/>
      <c r="B1535" s="24"/>
      <c r="C1535" s="24"/>
      <c r="D1535" s="24"/>
      <c r="E1535" s="24"/>
      <c r="F1535" s="24"/>
      <c r="G1535" s="185"/>
      <c r="H1535" s="186"/>
      <c r="I1535" s="187"/>
      <c r="J1535" s="24"/>
      <c r="K1535" s="24"/>
      <c r="L1535" s="24"/>
      <c r="M1535" s="187"/>
      <c r="N1535" s="187"/>
    </row>
    <row r="1536">
      <c r="A1536" s="24"/>
      <c r="B1536" s="24"/>
      <c r="C1536" s="24"/>
      <c r="D1536" s="24"/>
      <c r="E1536" s="24"/>
      <c r="F1536" s="24"/>
      <c r="G1536" s="185"/>
      <c r="H1536" s="186"/>
      <c r="I1536" s="187"/>
      <c r="J1536" s="24"/>
      <c r="K1536" s="24"/>
      <c r="L1536" s="24"/>
      <c r="M1536" s="187"/>
      <c r="N1536" s="187"/>
    </row>
    <row r="1537">
      <c r="A1537" s="24"/>
      <c r="B1537" s="24"/>
      <c r="C1537" s="24"/>
      <c r="D1537" s="24"/>
      <c r="E1537" s="24"/>
      <c r="F1537" s="24"/>
      <c r="G1537" s="185"/>
      <c r="H1537" s="186"/>
      <c r="I1537" s="187"/>
      <c r="J1537" s="24"/>
      <c r="K1537" s="24"/>
      <c r="L1537" s="24"/>
      <c r="M1537" s="187"/>
      <c r="N1537" s="187"/>
    </row>
    <row r="1538">
      <c r="A1538" s="24"/>
      <c r="B1538" s="24"/>
      <c r="C1538" s="24"/>
      <c r="D1538" s="24"/>
      <c r="E1538" s="24"/>
      <c r="F1538" s="24"/>
      <c r="G1538" s="185"/>
      <c r="H1538" s="186"/>
      <c r="I1538" s="187"/>
      <c r="J1538" s="24"/>
      <c r="K1538" s="24"/>
      <c r="L1538" s="24"/>
      <c r="M1538" s="187"/>
      <c r="N1538" s="187"/>
    </row>
    <row r="1539">
      <c r="A1539" s="24"/>
      <c r="B1539" s="24"/>
      <c r="C1539" s="24"/>
      <c r="D1539" s="24"/>
      <c r="E1539" s="24"/>
      <c r="F1539" s="24"/>
      <c r="G1539" s="185"/>
      <c r="H1539" s="186"/>
      <c r="I1539" s="187"/>
      <c r="J1539" s="24"/>
      <c r="K1539" s="24"/>
      <c r="L1539" s="24"/>
      <c r="M1539" s="187"/>
      <c r="N1539" s="187"/>
    </row>
    <row r="1540">
      <c r="A1540" s="24"/>
      <c r="B1540" s="24"/>
      <c r="C1540" s="24"/>
      <c r="D1540" s="24"/>
      <c r="E1540" s="24"/>
      <c r="F1540" s="24"/>
      <c r="G1540" s="185"/>
      <c r="H1540" s="186"/>
      <c r="I1540" s="187"/>
      <c r="J1540" s="24"/>
      <c r="K1540" s="24"/>
      <c r="L1540" s="24"/>
      <c r="M1540" s="187"/>
      <c r="N1540" s="187"/>
    </row>
    <row r="1541">
      <c r="A1541" s="24"/>
      <c r="B1541" s="24"/>
      <c r="C1541" s="24"/>
      <c r="D1541" s="24"/>
      <c r="E1541" s="24"/>
      <c r="F1541" s="24"/>
      <c r="G1541" s="185"/>
      <c r="H1541" s="186"/>
      <c r="I1541" s="187"/>
      <c r="J1541" s="24"/>
      <c r="K1541" s="24"/>
      <c r="L1541" s="24"/>
      <c r="M1541" s="187"/>
      <c r="N1541" s="187"/>
    </row>
    <row r="1542">
      <c r="A1542" s="24"/>
      <c r="B1542" s="24"/>
      <c r="C1542" s="24"/>
      <c r="D1542" s="24"/>
      <c r="E1542" s="24"/>
      <c r="F1542" s="24"/>
      <c r="G1542" s="185"/>
      <c r="H1542" s="186"/>
      <c r="I1542" s="187"/>
      <c r="J1542" s="24"/>
      <c r="K1542" s="24"/>
      <c r="L1542" s="24"/>
      <c r="M1542" s="187"/>
      <c r="N1542" s="187"/>
    </row>
    <row r="1543">
      <c r="A1543" s="24"/>
      <c r="B1543" s="24"/>
      <c r="C1543" s="24"/>
      <c r="D1543" s="24"/>
      <c r="E1543" s="24"/>
      <c r="F1543" s="24"/>
      <c r="G1543" s="185"/>
      <c r="H1543" s="186"/>
      <c r="I1543" s="187"/>
      <c r="J1543" s="24"/>
      <c r="K1543" s="24"/>
      <c r="L1543" s="24"/>
      <c r="M1543" s="187"/>
      <c r="N1543" s="187"/>
    </row>
    <row r="1544">
      <c r="A1544" s="24"/>
      <c r="B1544" s="24"/>
      <c r="C1544" s="24"/>
      <c r="D1544" s="24"/>
      <c r="E1544" s="24"/>
      <c r="F1544" s="24"/>
      <c r="G1544" s="185"/>
      <c r="H1544" s="186"/>
      <c r="I1544" s="187"/>
      <c r="J1544" s="24"/>
      <c r="K1544" s="24"/>
      <c r="L1544" s="24"/>
      <c r="M1544" s="187"/>
      <c r="N1544" s="187"/>
    </row>
    <row r="1545">
      <c r="A1545" s="24"/>
      <c r="B1545" s="24"/>
      <c r="C1545" s="24"/>
      <c r="D1545" s="24"/>
      <c r="E1545" s="24"/>
      <c r="F1545" s="24"/>
      <c r="G1545" s="185"/>
      <c r="H1545" s="186"/>
      <c r="I1545" s="187"/>
      <c r="J1545" s="24"/>
      <c r="K1545" s="24"/>
      <c r="L1545" s="24"/>
      <c r="M1545" s="187"/>
      <c r="N1545" s="187"/>
    </row>
    <row r="1546">
      <c r="A1546" s="24"/>
      <c r="B1546" s="24"/>
      <c r="C1546" s="24"/>
      <c r="D1546" s="24"/>
      <c r="E1546" s="24"/>
      <c r="F1546" s="24"/>
      <c r="G1546" s="185"/>
      <c r="H1546" s="186"/>
      <c r="I1546" s="187"/>
      <c r="J1546" s="24"/>
      <c r="K1546" s="24"/>
      <c r="L1546" s="24"/>
      <c r="M1546" s="187"/>
      <c r="N1546" s="187"/>
    </row>
    <row r="1547">
      <c r="A1547" s="24"/>
      <c r="B1547" s="24"/>
      <c r="C1547" s="24"/>
      <c r="D1547" s="24"/>
      <c r="E1547" s="24"/>
      <c r="F1547" s="24"/>
      <c r="G1547" s="185"/>
      <c r="H1547" s="186"/>
      <c r="I1547" s="187"/>
      <c r="J1547" s="24"/>
      <c r="K1547" s="24"/>
      <c r="L1547" s="24"/>
      <c r="M1547" s="187"/>
      <c r="N1547" s="187"/>
    </row>
    <row r="1548">
      <c r="A1548" s="24"/>
      <c r="B1548" s="24"/>
      <c r="C1548" s="24"/>
      <c r="D1548" s="24"/>
      <c r="E1548" s="24"/>
      <c r="F1548" s="24"/>
      <c r="G1548" s="185"/>
      <c r="H1548" s="186"/>
      <c r="I1548" s="187"/>
      <c r="J1548" s="24"/>
      <c r="K1548" s="24"/>
      <c r="L1548" s="24"/>
      <c r="M1548" s="187"/>
      <c r="N1548" s="187"/>
    </row>
    <row r="1549">
      <c r="A1549" s="24"/>
      <c r="B1549" s="24"/>
      <c r="C1549" s="24"/>
      <c r="D1549" s="24"/>
      <c r="E1549" s="24"/>
      <c r="F1549" s="24"/>
      <c r="G1549" s="185"/>
      <c r="H1549" s="186"/>
      <c r="I1549" s="187"/>
      <c r="J1549" s="24"/>
      <c r="K1549" s="24"/>
      <c r="L1549" s="24"/>
      <c r="M1549" s="187"/>
      <c r="N1549" s="187"/>
    </row>
    <row r="1550">
      <c r="A1550" s="24"/>
      <c r="B1550" s="24"/>
      <c r="C1550" s="24"/>
      <c r="D1550" s="24"/>
      <c r="E1550" s="24"/>
      <c r="F1550" s="24"/>
      <c r="G1550" s="185"/>
      <c r="H1550" s="186"/>
      <c r="I1550" s="187"/>
      <c r="J1550" s="24"/>
      <c r="K1550" s="24"/>
      <c r="L1550" s="24"/>
      <c r="M1550" s="187"/>
      <c r="N1550" s="187"/>
    </row>
    <row r="1551">
      <c r="A1551" s="24"/>
      <c r="B1551" s="24"/>
      <c r="C1551" s="24"/>
      <c r="D1551" s="24"/>
      <c r="E1551" s="24"/>
      <c r="F1551" s="24"/>
      <c r="G1551" s="185"/>
      <c r="H1551" s="186"/>
      <c r="I1551" s="187"/>
      <c r="J1551" s="24"/>
      <c r="K1551" s="24"/>
      <c r="L1551" s="24"/>
      <c r="M1551" s="187"/>
      <c r="N1551" s="187"/>
    </row>
    <row r="1552">
      <c r="A1552" s="24"/>
      <c r="B1552" s="24"/>
      <c r="C1552" s="24"/>
      <c r="D1552" s="24"/>
      <c r="E1552" s="24"/>
      <c r="F1552" s="24"/>
      <c r="G1552" s="185"/>
      <c r="H1552" s="186"/>
      <c r="I1552" s="187"/>
      <c r="J1552" s="24"/>
      <c r="K1552" s="24"/>
      <c r="L1552" s="24"/>
      <c r="M1552" s="187"/>
      <c r="N1552" s="187"/>
    </row>
    <row r="1553">
      <c r="A1553" s="24"/>
      <c r="B1553" s="24"/>
      <c r="C1553" s="24"/>
      <c r="D1553" s="24"/>
      <c r="E1553" s="24"/>
      <c r="F1553" s="24"/>
      <c r="G1553" s="185"/>
      <c r="H1553" s="186"/>
      <c r="I1553" s="187"/>
      <c r="J1553" s="24"/>
      <c r="K1553" s="24"/>
      <c r="L1553" s="24"/>
      <c r="M1553" s="187"/>
      <c r="N1553" s="187"/>
    </row>
    <row r="1554">
      <c r="A1554" s="24"/>
      <c r="B1554" s="24"/>
      <c r="C1554" s="24"/>
      <c r="D1554" s="24"/>
      <c r="E1554" s="24"/>
      <c r="F1554" s="24"/>
      <c r="G1554" s="185"/>
      <c r="H1554" s="186"/>
      <c r="I1554" s="187"/>
      <c r="J1554" s="24"/>
      <c r="K1554" s="24"/>
      <c r="L1554" s="24"/>
      <c r="M1554" s="187"/>
      <c r="N1554" s="187"/>
    </row>
    <row r="1555">
      <c r="A1555" s="24"/>
      <c r="B1555" s="24"/>
      <c r="C1555" s="24"/>
      <c r="D1555" s="24"/>
      <c r="E1555" s="24"/>
      <c r="F1555" s="24"/>
      <c r="G1555" s="185"/>
      <c r="H1555" s="186"/>
      <c r="I1555" s="187"/>
      <c r="J1555" s="24"/>
      <c r="K1555" s="24"/>
      <c r="L1555" s="24"/>
      <c r="M1555" s="187"/>
      <c r="N1555" s="187"/>
    </row>
    <row r="1556">
      <c r="A1556" s="24"/>
      <c r="B1556" s="24"/>
      <c r="C1556" s="24"/>
      <c r="D1556" s="24"/>
      <c r="E1556" s="24"/>
      <c r="F1556" s="24"/>
      <c r="G1556" s="185"/>
      <c r="H1556" s="186"/>
      <c r="I1556" s="187"/>
      <c r="J1556" s="24"/>
      <c r="K1556" s="24"/>
      <c r="L1556" s="24"/>
      <c r="M1556" s="187"/>
      <c r="N1556" s="187"/>
    </row>
    <row r="1557">
      <c r="A1557" s="24"/>
      <c r="B1557" s="24"/>
      <c r="C1557" s="24"/>
      <c r="D1557" s="24"/>
      <c r="E1557" s="24"/>
      <c r="F1557" s="24"/>
      <c r="G1557" s="185"/>
      <c r="H1557" s="186"/>
      <c r="I1557" s="187"/>
      <c r="J1557" s="24"/>
      <c r="K1557" s="24"/>
      <c r="L1557" s="24"/>
      <c r="M1557" s="187"/>
      <c r="N1557" s="187"/>
    </row>
    <row r="1558">
      <c r="A1558" s="24"/>
      <c r="B1558" s="24"/>
      <c r="C1558" s="24"/>
      <c r="D1558" s="24"/>
      <c r="E1558" s="24"/>
      <c r="F1558" s="24"/>
      <c r="G1558" s="185"/>
      <c r="H1558" s="186"/>
      <c r="I1558" s="187"/>
      <c r="J1558" s="24"/>
      <c r="K1558" s="24"/>
      <c r="L1558" s="24"/>
      <c r="M1558" s="187"/>
      <c r="N1558" s="187"/>
    </row>
    <row r="1559">
      <c r="A1559" s="24"/>
      <c r="B1559" s="24"/>
      <c r="C1559" s="24"/>
      <c r="D1559" s="24"/>
      <c r="E1559" s="24"/>
      <c r="F1559" s="24"/>
      <c r="G1559" s="185"/>
      <c r="H1559" s="186"/>
      <c r="I1559" s="187"/>
      <c r="J1559" s="24"/>
      <c r="K1559" s="24"/>
      <c r="L1559" s="24"/>
      <c r="M1559" s="187"/>
      <c r="N1559" s="187"/>
    </row>
    <row r="1560">
      <c r="A1560" s="24"/>
      <c r="B1560" s="24"/>
      <c r="C1560" s="24"/>
      <c r="D1560" s="24"/>
      <c r="E1560" s="24"/>
      <c r="F1560" s="24"/>
      <c r="G1560" s="185"/>
      <c r="H1560" s="186"/>
      <c r="I1560" s="187"/>
      <c r="J1560" s="24"/>
      <c r="K1560" s="24"/>
      <c r="L1560" s="24"/>
      <c r="M1560" s="187"/>
      <c r="N1560" s="187"/>
    </row>
    <row r="1561">
      <c r="A1561" s="24"/>
      <c r="B1561" s="24"/>
      <c r="C1561" s="24"/>
      <c r="D1561" s="24"/>
      <c r="E1561" s="24"/>
      <c r="F1561" s="24"/>
      <c r="G1561" s="185"/>
      <c r="H1561" s="186"/>
      <c r="I1561" s="187"/>
      <c r="J1561" s="24"/>
      <c r="K1561" s="24"/>
      <c r="L1561" s="24"/>
      <c r="M1561" s="187"/>
      <c r="N1561" s="187"/>
    </row>
    <row r="1562">
      <c r="A1562" s="24"/>
      <c r="B1562" s="24"/>
      <c r="C1562" s="24"/>
      <c r="D1562" s="24"/>
      <c r="E1562" s="24"/>
      <c r="F1562" s="24"/>
      <c r="G1562" s="185"/>
      <c r="H1562" s="186"/>
      <c r="I1562" s="187"/>
      <c r="J1562" s="24"/>
      <c r="K1562" s="24"/>
      <c r="L1562" s="24"/>
      <c r="M1562" s="187"/>
      <c r="N1562" s="187"/>
    </row>
    <row r="1563">
      <c r="A1563" s="24"/>
      <c r="B1563" s="24"/>
      <c r="C1563" s="24"/>
      <c r="D1563" s="24"/>
      <c r="E1563" s="24"/>
      <c r="F1563" s="24"/>
      <c r="G1563" s="185"/>
      <c r="H1563" s="186"/>
      <c r="I1563" s="187"/>
      <c r="J1563" s="24"/>
      <c r="K1563" s="24"/>
      <c r="L1563" s="24"/>
      <c r="M1563" s="187"/>
      <c r="N1563" s="187"/>
    </row>
    <row r="1564">
      <c r="A1564" s="24"/>
      <c r="B1564" s="24"/>
      <c r="C1564" s="24"/>
      <c r="D1564" s="24"/>
      <c r="E1564" s="24"/>
      <c r="F1564" s="24"/>
      <c r="G1564" s="185"/>
      <c r="H1564" s="186"/>
      <c r="I1564" s="187"/>
      <c r="J1564" s="24"/>
      <c r="K1564" s="24"/>
      <c r="L1564" s="24"/>
      <c r="M1564" s="187"/>
      <c r="N1564" s="187"/>
    </row>
    <row r="1565">
      <c r="A1565" s="24"/>
      <c r="B1565" s="24"/>
      <c r="C1565" s="24"/>
      <c r="D1565" s="24"/>
      <c r="E1565" s="24"/>
      <c r="F1565" s="24"/>
      <c r="G1565" s="185"/>
      <c r="H1565" s="186"/>
      <c r="I1565" s="187"/>
      <c r="J1565" s="24"/>
      <c r="K1565" s="24"/>
      <c r="L1565" s="24"/>
      <c r="M1565" s="187"/>
      <c r="N1565" s="187"/>
    </row>
    <row r="1566">
      <c r="A1566" s="24"/>
      <c r="B1566" s="24"/>
      <c r="C1566" s="24"/>
      <c r="D1566" s="24"/>
      <c r="E1566" s="24"/>
      <c r="F1566" s="24"/>
      <c r="G1566" s="185"/>
      <c r="H1566" s="186"/>
      <c r="I1566" s="187"/>
      <c r="J1566" s="24"/>
      <c r="K1566" s="24"/>
      <c r="L1566" s="24"/>
      <c r="M1566" s="187"/>
      <c r="N1566" s="187"/>
    </row>
    <row r="1567">
      <c r="A1567" s="24"/>
      <c r="B1567" s="24"/>
      <c r="C1567" s="24"/>
      <c r="D1567" s="24"/>
      <c r="E1567" s="24"/>
      <c r="F1567" s="24"/>
      <c r="G1567" s="185"/>
      <c r="H1567" s="186"/>
      <c r="I1567" s="187"/>
      <c r="J1567" s="24"/>
      <c r="K1567" s="24"/>
      <c r="L1567" s="24"/>
      <c r="M1567" s="187"/>
      <c r="N1567" s="187"/>
    </row>
    <row r="1568">
      <c r="A1568" s="24"/>
      <c r="B1568" s="24"/>
      <c r="C1568" s="24"/>
      <c r="D1568" s="24"/>
      <c r="E1568" s="24"/>
      <c r="F1568" s="24"/>
      <c r="G1568" s="185"/>
      <c r="H1568" s="186"/>
      <c r="I1568" s="187"/>
      <c r="J1568" s="24"/>
      <c r="K1568" s="24"/>
      <c r="L1568" s="24"/>
      <c r="M1568" s="187"/>
      <c r="N1568" s="187"/>
    </row>
    <row r="1569">
      <c r="A1569" s="24"/>
      <c r="B1569" s="24"/>
      <c r="C1569" s="24"/>
      <c r="D1569" s="24"/>
      <c r="E1569" s="24"/>
      <c r="F1569" s="24"/>
      <c r="G1569" s="185"/>
      <c r="H1569" s="186"/>
      <c r="I1569" s="187"/>
      <c r="J1569" s="24"/>
      <c r="K1569" s="24"/>
      <c r="L1569" s="24"/>
      <c r="M1569" s="187"/>
      <c r="N1569" s="187"/>
    </row>
    <row r="1570">
      <c r="A1570" s="24"/>
      <c r="B1570" s="24"/>
      <c r="C1570" s="24"/>
      <c r="D1570" s="24"/>
      <c r="E1570" s="24"/>
      <c r="F1570" s="24"/>
      <c r="G1570" s="185"/>
      <c r="H1570" s="186"/>
      <c r="I1570" s="187"/>
      <c r="J1570" s="24"/>
      <c r="K1570" s="24"/>
      <c r="L1570" s="24"/>
      <c r="M1570" s="187"/>
      <c r="N1570" s="187"/>
    </row>
    <row r="1571">
      <c r="A1571" s="24"/>
      <c r="B1571" s="24"/>
      <c r="C1571" s="24"/>
      <c r="D1571" s="24"/>
      <c r="E1571" s="24"/>
      <c r="F1571" s="24"/>
      <c r="G1571" s="185"/>
      <c r="H1571" s="186"/>
      <c r="I1571" s="187"/>
      <c r="J1571" s="24"/>
      <c r="K1571" s="24"/>
      <c r="L1571" s="24"/>
      <c r="M1571" s="187"/>
      <c r="N1571" s="187"/>
    </row>
    <row r="1572">
      <c r="A1572" s="24"/>
      <c r="B1572" s="24"/>
      <c r="C1572" s="24"/>
      <c r="D1572" s="24"/>
      <c r="E1572" s="24"/>
      <c r="F1572" s="24"/>
      <c r="G1572" s="185"/>
      <c r="H1572" s="186"/>
      <c r="I1572" s="187"/>
      <c r="J1572" s="24"/>
      <c r="K1572" s="24"/>
      <c r="L1572" s="24"/>
      <c r="M1572" s="187"/>
      <c r="N1572" s="187"/>
    </row>
    <row r="1573">
      <c r="A1573" s="24"/>
      <c r="B1573" s="24"/>
      <c r="C1573" s="24"/>
      <c r="D1573" s="24"/>
      <c r="E1573" s="24"/>
      <c r="F1573" s="24"/>
      <c r="G1573" s="185"/>
      <c r="H1573" s="186"/>
      <c r="I1573" s="187"/>
      <c r="J1573" s="24"/>
      <c r="K1573" s="24"/>
      <c r="L1573" s="24"/>
      <c r="M1573" s="187"/>
      <c r="N1573" s="187"/>
    </row>
    <row r="1574">
      <c r="A1574" s="24"/>
      <c r="B1574" s="24"/>
      <c r="C1574" s="24"/>
      <c r="D1574" s="24"/>
      <c r="E1574" s="24"/>
      <c r="F1574" s="24"/>
      <c r="G1574" s="185"/>
      <c r="H1574" s="186"/>
      <c r="I1574" s="187"/>
      <c r="J1574" s="24"/>
      <c r="K1574" s="24"/>
      <c r="L1574" s="24"/>
      <c r="M1574" s="187"/>
      <c r="N1574" s="187"/>
    </row>
    <row r="1575">
      <c r="A1575" s="24"/>
      <c r="B1575" s="24"/>
      <c r="C1575" s="24"/>
      <c r="D1575" s="24"/>
      <c r="E1575" s="24"/>
      <c r="F1575" s="24"/>
      <c r="G1575" s="185"/>
      <c r="H1575" s="186"/>
      <c r="I1575" s="187"/>
      <c r="J1575" s="24"/>
      <c r="K1575" s="24"/>
      <c r="L1575" s="24"/>
      <c r="M1575" s="187"/>
      <c r="N1575" s="187"/>
    </row>
    <row r="1576">
      <c r="A1576" s="24"/>
      <c r="B1576" s="24"/>
      <c r="C1576" s="24"/>
      <c r="D1576" s="24"/>
      <c r="E1576" s="24"/>
      <c r="F1576" s="24"/>
      <c r="G1576" s="185"/>
      <c r="H1576" s="186"/>
      <c r="I1576" s="187"/>
      <c r="J1576" s="24"/>
      <c r="K1576" s="24"/>
      <c r="L1576" s="24"/>
      <c r="M1576" s="187"/>
      <c r="N1576" s="187"/>
    </row>
    <row r="1577">
      <c r="A1577" s="24"/>
      <c r="B1577" s="24"/>
      <c r="C1577" s="24"/>
      <c r="D1577" s="24"/>
      <c r="E1577" s="24"/>
      <c r="F1577" s="24"/>
      <c r="G1577" s="185"/>
      <c r="H1577" s="186"/>
      <c r="I1577" s="187"/>
      <c r="J1577" s="24"/>
      <c r="K1577" s="24"/>
      <c r="L1577" s="24"/>
      <c r="M1577" s="187"/>
      <c r="N1577" s="187"/>
    </row>
    <row r="1578">
      <c r="A1578" s="24"/>
      <c r="B1578" s="24"/>
      <c r="C1578" s="24"/>
      <c r="D1578" s="24"/>
      <c r="E1578" s="24"/>
      <c r="F1578" s="24"/>
      <c r="G1578" s="185"/>
      <c r="H1578" s="186"/>
      <c r="I1578" s="187"/>
      <c r="J1578" s="24"/>
      <c r="K1578" s="24"/>
      <c r="L1578" s="24"/>
      <c r="M1578" s="187"/>
      <c r="N1578" s="187"/>
    </row>
    <row r="1579">
      <c r="A1579" s="24"/>
      <c r="B1579" s="24"/>
      <c r="C1579" s="24"/>
      <c r="D1579" s="24"/>
      <c r="E1579" s="24"/>
      <c r="F1579" s="24"/>
      <c r="G1579" s="185"/>
      <c r="H1579" s="186"/>
      <c r="I1579" s="187"/>
      <c r="J1579" s="24"/>
      <c r="K1579" s="24"/>
      <c r="L1579" s="24"/>
      <c r="M1579" s="187"/>
      <c r="N1579" s="187"/>
    </row>
    <row r="1580">
      <c r="A1580" s="24"/>
      <c r="B1580" s="24"/>
      <c r="C1580" s="24"/>
      <c r="D1580" s="24"/>
      <c r="E1580" s="24"/>
      <c r="F1580" s="24"/>
      <c r="G1580" s="185"/>
      <c r="H1580" s="186"/>
      <c r="I1580" s="187"/>
      <c r="J1580" s="24"/>
      <c r="K1580" s="24"/>
      <c r="L1580" s="24"/>
      <c r="M1580" s="187"/>
      <c r="N1580" s="187"/>
    </row>
    <row r="1581">
      <c r="A1581" s="24"/>
      <c r="B1581" s="24"/>
      <c r="C1581" s="24"/>
      <c r="D1581" s="24"/>
      <c r="E1581" s="24"/>
      <c r="F1581" s="24"/>
      <c r="G1581" s="185"/>
      <c r="H1581" s="186"/>
      <c r="I1581" s="187"/>
      <c r="J1581" s="24"/>
      <c r="K1581" s="24"/>
      <c r="L1581" s="24"/>
      <c r="M1581" s="187"/>
      <c r="N1581" s="187"/>
    </row>
    <row r="1582">
      <c r="A1582" s="24"/>
      <c r="B1582" s="24"/>
      <c r="C1582" s="24"/>
      <c r="D1582" s="24"/>
      <c r="E1582" s="24"/>
      <c r="F1582" s="24"/>
      <c r="G1582" s="185"/>
      <c r="H1582" s="186"/>
      <c r="I1582" s="187"/>
      <c r="J1582" s="24"/>
      <c r="K1582" s="24"/>
      <c r="L1582" s="24"/>
      <c r="M1582" s="187"/>
      <c r="N1582" s="187"/>
    </row>
    <row r="1583">
      <c r="A1583" s="24"/>
      <c r="B1583" s="24"/>
      <c r="C1583" s="24"/>
      <c r="D1583" s="24"/>
      <c r="E1583" s="24"/>
      <c r="F1583" s="24"/>
      <c r="G1583" s="185"/>
      <c r="H1583" s="186"/>
      <c r="I1583" s="187"/>
      <c r="J1583" s="24"/>
      <c r="K1583" s="24"/>
      <c r="L1583" s="24"/>
      <c r="M1583" s="187"/>
      <c r="N1583" s="187"/>
    </row>
    <row r="1584">
      <c r="A1584" s="24"/>
      <c r="B1584" s="24"/>
      <c r="C1584" s="24"/>
      <c r="D1584" s="24"/>
      <c r="E1584" s="24"/>
      <c r="F1584" s="24"/>
      <c r="G1584" s="185"/>
      <c r="H1584" s="186"/>
      <c r="I1584" s="187"/>
      <c r="J1584" s="24"/>
      <c r="K1584" s="24"/>
      <c r="L1584" s="24"/>
      <c r="M1584" s="187"/>
      <c r="N1584" s="187"/>
    </row>
    <row r="1585">
      <c r="A1585" s="24"/>
      <c r="B1585" s="24"/>
      <c r="C1585" s="24"/>
      <c r="D1585" s="24"/>
      <c r="E1585" s="24"/>
      <c r="F1585" s="24"/>
      <c r="G1585" s="185"/>
      <c r="H1585" s="186"/>
      <c r="I1585" s="187"/>
      <c r="J1585" s="24"/>
      <c r="K1585" s="24"/>
      <c r="L1585" s="24"/>
      <c r="M1585" s="187"/>
      <c r="N1585" s="187"/>
    </row>
    <row r="1586">
      <c r="A1586" s="24"/>
      <c r="B1586" s="24"/>
      <c r="C1586" s="24"/>
      <c r="D1586" s="24"/>
      <c r="E1586" s="24"/>
      <c r="F1586" s="24"/>
      <c r="G1586" s="185"/>
      <c r="H1586" s="186"/>
      <c r="I1586" s="187"/>
      <c r="J1586" s="24"/>
      <c r="K1586" s="24"/>
      <c r="L1586" s="24"/>
      <c r="M1586" s="187"/>
      <c r="N1586" s="187"/>
    </row>
    <row r="1587">
      <c r="A1587" s="24"/>
      <c r="B1587" s="24"/>
      <c r="C1587" s="24"/>
      <c r="D1587" s="24"/>
      <c r="E1587" s="24"/>
      <c r="F1587" s="24"/>
      <c r="G1587" s="185"/>
      <c r="H1587" s="186"/>
      <c r="I1587" s="187"/>
      <c r="J1587" s="24"/>
      <c r="K1587" s="24"/>
      <c r="L1587" s="24"/>
      <c r="M1587" s="187"/>
      <c r="N1587" s="187"/>
    </row>
    <row r="1588">
      <c r="A1588" s="24"/>
      <c r="B1588" s="24"/>
      <c r="C1588" s="24"/>
      <c r="D1588" s="24"/>
      <c r="E1588" s="24"/>
      <c r="F1588" s="24"/>
      <c r="G1588" s="185"/>
      <c r="H1588" s="186"/>
      <c r="I1588" s="187"/>
      <c r="J1588" s="24"/>
      <c r="K1588" s="24"/>
      <c r="L1588" s="24"/>
      <c r="M1588" s="187"/>
      <c r="N1588" s="187"/>
    </row>
    <row r="1589">
      <c r="A1589" s="24"/>
      <c r="B1589" s="24"/>
      <c r="C1589" s="24"/>
      <c r="D1589" s="24"/>
      <c r="E1589" s="24"/>
      <c r="F1589" s="24"/>
      <c r="G1589" s="185"/>
      <c r="H1589" s="186"/>
      <c r="I1589" s="187"/>
      <c r="J1589" s="24"/>
      <c r="K1589" s="24"/>
      <c r="L1589" s="24"/>
      <c r="M1589" s="187"/>
      <c r="N1589" s="187"/>
    </row>
    <row r="1590">
      <c r="A1590" s="24"/>
      <c r="B1590" s="24"/>
      <c r="C1590" s="24"/>
      <c r="D1590" s="24"/>
      <c r="E1590" s="24"/>
      <c r="F1590" s="24"/>
      <c r="G1590" s="185"/>
      <c r="H1590" s="186"/>
      <c r="I1590" s="187"/>
      <c r="J1590" s="24"/>
      <c r="K1590" s="24"/>
      <c r="L1590" s="24"/>
      <c r="M1590" s="187"/>
      <c r="N1590" s="187"/>
    </row>
    <row r="1591">
      <c r="A1591" s="24"/>
      <c r="B1591" s="24"/>
      <c r="C1591" s="24"/>
      <c r="D1591" s="24"/>
      <c r="E1591" s="24"/>
      <c r="F1591" s="24"/>
      <c r="G1591" s="185"/>
      <c r="H1591" s="186"/>
      <c r="I1591" s="187"/>
      <c r="J1591" s="24"/>
      <c r="K1591" s="24"/>
      <c r="L1591" s="24"/>
      <c r="M1591" s="187"/>
      <c r="N1591" s="187"/>
    </row>
    <row r="1592">
      <c r="A1592" s="24"/>
      <c r="B1592" s="24"/>
      <c r="C1592" s="24"/>
      <c r="D1592" s="24"/>
      <c r="E1592" s="24"/>
      <c r="F1592" s="24"/>
      <c r="G1592" s="185"/>
      <c r="H1592" s="186"/>
      <c r="I1592" s="187"/>
      <c r="J1592" s="24"/>
      <c r="K1592" s="24"/>
      <c r="L1592" s="24"/>
      <c r="M1592" s="187"/>
      <c r="N1592" s="187"/>
    </row>
    <row r="1593">
      <c r="A1593" s="24"/>
      <c r="B1593" s="24"/>
      <c r="C1593" s="24"/>
      <c r="D1593" s="24"/>
      <c r="E1593" s="24"/>
      <c r="F1593" s="24"/>
      <c r="G1593" s="185"/>
      <c r="H1593" s="186"/>
      <c r="I1593" s="187"/>
      <c r="J1593" s="24"/>
      <c r="K1593" s="24"/>
      <c r="L1593" s="24"/>
      <c r="M1593" s="187"/>
      <c r="N1593" s="187"/>
    </row>
    <row r="1594">
      <c r="A1594" s="24"/>
      <c r="B1594" s="24"/>
      <c r="C1594" s="24"/>
      <c r="D1594" s="24"/>
      <c r="E1594" s="24"/>
      <c r="F1594" s="24"/>
      <c r="G1594" s="185"/>
      <c r="H1594" s="186"/>
      <c r="I1594" s="187"/>
      <c r="J1594" s="24"/>
      <c r="K1594" s="24"/>
      <c r="L1594" s="24"/>
      <c r="M1594" s="187"/>
      <c r="N1594" s="187"/>
    </row>
    <row r="1595">
      <c r="A1595" s="24"/>
      <c r="B1595" s="24"/>
      <c r="C1595" s="24"/>
      <c r="D1595" s="24"/>
      <c r="E1595" s="24"/>
      <c r="F1595" s="24"/>
      <c r="G1595" s="185"/>
      <c r="H1595" s="186"/>
      <c r="I1595" s="187"/>
      <c r="J1595" s="24"/>
      <c r="K1595" s="24"/>
      <c r="L1595" s="24"/>
      <c r="M1595" s="187"/>
      <c r="N1595" s="187"/>
    </row>
    <row r="1596">
      <c r="A1596" s="24"/>
      <c r="B1596" s="24"/>
      <c r="C1596" s="24"/>
      <c r="D1596" s="24"/>
      <c r="E1596" s="24"/>
      <c r="F1596" s="24"/>
      <c r="G1596" s="185"/>
      <c r="H1596" s="186"/>
      <c r="I1596" s="187"/>
      <c r="J1596" s="24"/>
      <c r="K1596" s="24"/>
      <c r="L1596" s="24"/>
      <c r="M1596" s="187"/>
      <c r="N1596" s="187"/>
    </row>
    <row r="1597">
      <c r="A1597" s="24"/>
      <c r="B1597" s="24"/>
      <c r="C1597" s="24"/>
      <c r="D1597" s="24"/>
      <c r="E1597" s="24"/>
      <c r="F1597" s="24"/>
      <c r="G1597" s="185"/>
      <c r="H1597" s="186"/>
      <c r="I1597" s="187"/>
      <c r="J1597" s="24"/>
      <c r="K1597" s="24"/>
      <c r="L1597" s="24"/>
      <c r="M1597" s="187"/>
      <c r="N1597" s="187"/>
    </row>
    <row r="1598">
      <c r="A1598" s="24"/>
      <c r="B1598" s="24"/>
      <c r="C1598" s="24"/>
      <c r="D1598" s="24"/>
      <c r="E1598" s="24"/>
      <c r="F1598" s="24"/>
      <c r="G1598" s="185"/>
      <c r="H1598" s="186"/>
      <c r="I1598" s="187"/>
      <c r="J1598" s="24"/>
      <c r="K1598" s="24"/>
      <c r="L1598" s="24"/>
      <c r="M1598" s="187"/>
      <c r="N1598" s="187"/>
    </row>
    <row r="1599">
      <c r="A1599" s="24"/>
      <c r="B1599" s="24"/>
      <c r="C1599" s="24"/>
      <c r="D1599" s="24"/>
      <c r="E1599" s="24"/>
      <c r="F1599" s="24"/>
      <c r="G1599" s="185"/>
      <c r="H1599" s="186"/>
      <c r="I1599" s="187"/>
      <c r="J1599" s="24"/>
      <c r="K1599" s="24"/>
      <c r="L1599" s="24"/>
      <c r="M1599" s="187"/>
      <c r="N1599" s="187"/>
    </row>
    <row r="1600">
      <c r="A1600" s="24"/>
      <c r="B1600" s="24"/>
      <c r="C1600" s="24"/>
      <c r="D1600" s="24"/>
      <c r="E1600" s="24"/>
      <c r="F1600" s="24"/>
      <c r="G1600" s="185"/>
      <c r="H1600" s="186"/>
      <c r="I1600" s="187"/>
      <c r="J1600" s="24"/>
      <c r="K1600" s="24"/>
      <c r="L1600" s="24"/>
      <c r="M1600" s="187"/>
      <c r="N1600" s="187"/>
    </row>
    <row r="1601">
      <c r="A1601" s="24"/>
      <c r="B1601" s="24"/>
      <c r="C1601" s="24"/>
      <c r="D1601" s="24"/>
      <c r="E1601" s="24"/>
      <c r="F1601" s="24"/>
      <c r="G1601" s="185"/>
      <c r="H1601" s="186"/>
      <c r="I1601" s="187"/>
      <c r="J1601" s="24"/>
      <c r="K1601" s="24"/>
      <c r="L1601" s="24"/>
      <c r="M1601" s="187"/>
      <c r="N1601" s="187"/>
    </row>
    <row r="1602">
      <c r="A1602" s="24"/>
      <c r="B1602" s="24"/>
      <c r="C1602" s="24"/>
      <c r="D1602" s="24"/>
      <c r="E1602" s="24"/>
      <c r="F1602" s="24"/>
      <c r="G1602" s="185"/>
      <c r="H1602" s="186"/>
      <c r="I1602" s="187"/>
      <c r="J1602" s="24"/>
      <c r="K1602" s="24"/>
      <c r="L1602" s="24"/>
      <c r="M1602" s="187"/>
      <c r="N1602" s="187"/>
    </row>
    <row r="1603">
      <c r="A1603" s="24"/>
      <c r="B1603" s="24"/>
      <c r="C1603" s="24"/>
      <c r="D1603" s="24"/>
      <c r="E1603" s="24"/>
      <c r="F1603" s="24"/>
      <c r="G1603" s="185"/>
      <c r="H1603" s="186"/>
      <c r="I1603" s="187"/>
      <c r="J1603" s="24"/>
      <c r="K1603" s="24"/>
      <c r="L1603" s="24"/>
      <c r="M1603" s="187"/>
      <c r="N1603" s="187"/>
    </row>
    <row r="1604">
      <c r="A1604" s="24"/>
      <c r="B1604" s="24"/>
      <c r="C1604" s="24"/>
      <c r="D1604" s="24"/>
      <c r="E1604" s="24"/>
      <c r="F1604" s="24"/>
      <c r="G1604" s="185"/>
      <c r="H1604" s="186"/>
      <c r="I1604" s="187"/>
      <c r="J1604" s="24"/>
      <c r="K1604" s="24"/>
      <c r="L1604" s="24"/>
      <c r="M1604" s="187"/>
      <c r="N1604" s="187"/>
    </row>
    <row r="1605">
      <c r="A1605" s="24"/>
      <c r="B1605" s="24"/>
      <c r="C1605" s="24"/>
      <c r="D1605" s="24"/>
      <c r="E1605" s="24"/>
      <c r="F1605" s="24"/>
      <c r="G1605" s="185"/>
      <c r="H1605" s="186"/>
      <c r="I1605" s="187"/>
      <c r="J1605" s="24"/>
      <c r="K1605" s="24"/>
      <c r="L1605" s="24"/>
      <c r="M1605" s="187"/>
      <c r="N1605" s="187"/>
    </row>
    <row r="1606">
      <c r="A1606" s="24"/>
      <c r="B1606" s="24"/>
      <c r="C1606" s="24"/>
      <c r="D1606" s="24"/>
      <c r="E1606" s="24"/>
      <c r="F1606" s="24"/>
      <c r="G1606" s="185"/>
      <c r="H1606" s="186"/>
      <c r="I1606" s="187"/>
      <c r="J1606" s="24"/>
      <c r="K1606" s="24"/>
      <c r="L1606" s="24"/>
      <c r="M1606" s="187"/>
      <c r="N1606" s="187"/>
    </row>
    <row r="1607">
      <c r="A1607" s="24"/>
      <c r="B1607" s="24"/>
      <c r="C1607" s="24"/>
      <c r="D1607" s="24"/>
      <c r="E1607" s="24"/>
      <c r="F1607" s="24"/>
      <c r="G1607" s="185"/>
      <c r="H1607" s="186"/>
      <c r="I1607" s="187"/>
      <c r="J1607" s="24"/>
      <c r="K1607" s="24"/>
      <c r="L1607" s="24"/>
      <c r="M1607" s="187"/>
      <c r="N1607" s="187"/>
    </row>
    <row r="1608">
      <c r="A1608" s="24"/>
      <c r="B1608" s="24"/>
      <c r="C1608" s="24"/>
      <c r="D1608" s="24"/>
      <c r="E1608" s="24"/>
      <c r="F1608" s="24"/>
      <c r="G1608" s="185"/>
      <c r="H1608" s="186"/>
      <c r="I1608" s="187"/>
      <c r="J1608" s="24"/>
      <c r="K1608" s="24"/>
      <c r="L1608" s="24"/>
      <c r="M1608" s="187"/>
      <c r="N1608" s="187"/>
    </row>
    <row r="1609">
      <c r="A1609" s="24"/>
      <c r="B1609" s="24"/>
      <c r="C1609" s="24"/>
      <c r="D1609" s="24"/>
      <c r="E1609" s="24"/>
      <c r="F1609" s="24"/>
      <c r="G1609" s="185"/>
      <c r="H1609" s="186"/>
      <c r="I1609" s="187"/>
      <c r="J1609" s="24"/>
      <c r="K1609" s="24"/>
      <c r="L1609" s="24"/>
      <c r="M1609" s="187"/>
      <c r="N1609" s="187"/>
    </row>
    <row r="1610">
      <c r="A1610" s="24"/>
      <c r="B1610" s="24"/>
      <c r="C1610" s="24"/>
      <c r="D1610" s="24"/>
      <c r="E1610" s="24"/>
      <c r="F1610" s="24"/>
      <c r="G1610" s="185"/>
      <c r="H1610" s="186"/>
      <c r="I1610" s="187"/>
      <c r="J1610" s="24"/>
      <c r="K1610" s="24"/>
      <c r="L1610" s="24"/>
      <c r="M1610" s="187"/>
      <c r="N1610" s="187"/>
    </row>
    <row r="1611">
      <c r="A1611" s="24"/>
      <c r="B1611" s="24"/>
      <c r="C1611" s="24"/>
      <c r="D1611" s="24"/>
      <c r="E1611" s="24"/>
      <c r="F1611" s="24"/>
      <c r="G1611" s="185"/>
      <c r="H1611" s="186"/>
      <c r="I1611" s="187"/>
      <c r="J1611" s="24"/>
      <c r="K1611" s="24"/>
      <c r="L1611" s="24"/>
      <c r="M1611" s="187"/>
      <c r="N1611" s="187"/>
    </row>
    <row r="1612">
      <c r="A1612" s="24"/>
      <c r="B1612" s="24"/>
      <c r="C1612" s="24"/>
      <c r="D1612" s="24"/>
      <c r="E1612" s="24"/>
      <c r="F1612" s="24"/>
      <c r="G1612" s="185"/>
      <c r="H1612" s="186"/>
      <c r="I1612" s="187"/>
      <c r="J1612" s="24"/>
      <c r="K1612" s="24"/>
      <c r="L1612" s="24"/>
      <c r="M1612" s="187"/>
      <c r="N1612" s="187"/>
    </row>
    <row r="1613">
      <c r="A1613" s="24"/>
      <c r="B1613" s="24"/>
      <c r="C1613" s="24"/>
      <c r="D1613" s="24"/>
      <c r="E1613" s="24"/>
      <c r="F1613" s="24"/>
      <c r="G1613" s="185"/>
      <c r="H1613" s="186"/>
      <c r="I1613" s="187"/>
      <c r="J1613" s="24"/>
      <c r="K1613" s="24"/>
      <c r="L1613" s="24"/>
      <c r="M1613" s="187"/>
      <c r="N1613" s="187"/>
    </row>
    <row r="1614">
      <c r="A1614" s="24"/>
      <c r="B1614" s="24"/>
      <c r="C1614" s="24"/>
      <c r="D1614" s="24"/>
      <c r="E1614" s="24"/>
      <c r="F1614" s="24"/>
      <c r="G1614" s="185"/>
      <c r="H1614" s="186"/>
      <c r="I1614" s="187"/>
      <c r="J1614" s="24"/>
      <c r="K1614" s="24"/>
      <c r="L1614" s="24"/>
      <c r="M1614" s="187"/>
      <c r="N1614" s="187"/>
    </row>
    <row r="1615">
      <c r="A1615" s="24"/>
      <c r="B1615" s="24"/>
      <c r="C1615" s="24"/>
      <c r="D1615" s="24"/>
      <c r="E1615" s="24"/>
      <c r="F1615" s="24"/>
      <c r="G1615" s="185"/>
      <c r="H1615" s="186"/>
      <c r="I1615" s="187"/>
      <c r="J1615" s="24"/>
      <c r="K1615" s="24"/>
      <c r="L1615" s="24"/>
      <c r="M1615" s="187"/>
      <c r="N1615" s="187"/>
    </row>
    <row r="1616">
      <c r="A1616" s="24"/>
      <c r="B1616" s="24"/>
      <c r="C1616" s="24"/>
      <c r="D1616" s="24"/>
      <c r="E1616" s="24"/>
      <c r="F1616" s="24"/>
      <c r="G1616" s="185"/>
      <c r="H1616" s="186"/>
      <c r="I1616" s="187"/>
      <c r="J1616" s="24"/>
      <c r="K1616" s="24"/>
      <c r="L1616" s="24"/>
      <c r="M1616" s="187"/>
      <c r="N1616" s="187"/>
    </row>
    <row r="1617">
      <c r="A1617" s="24"/>
      <c r="B1617" s="24"/>
      <c r="C1617" s="24"/>
      <c r="D1617" s="24"/>
      <c r="E1617" s="24"/>
      <c r="F1617" s="24"/>
      <c r="G1617" s="185"/>
      <c r="H1617" s="186"/>
      <c r="I1617" s="187"/>
      <c r="J1617" s="24"/>
      <c r="K1617" s="24"/>
      <c r="L1617" s="24"/>
      <c r="M1617" s="187"/>
      <c r="N1617" s="187"/>
    </row>
    <row r="1618">
      <c r="A1618" s="24"/>
      <c r="B1618" s="24"/>
      <c r="C1618" s="24"/>
      <c r="D1618" s="24"/>
      <c r="E1618" s="24"/>
      <c r="F1618" s="24"/>
      <c r="G1618" s="185"/>
      <c r="H1618" s="186"/>
      <c r="I1618" s="187"/>
      <c r="J1618" s="24"/>
      <c r="K1618" s="24"/>
      <c r="L1618" s="24"/>
      <c r="M1618" s="187"/>
      <c r="N1618" s="187"/>
    </row>
    <row r="1619">
      <c r="A1619" s="24"/>
      <c r="B1619" s="24"/>
      <c r="C1619" s="24"/>
      <c r="D1619" s="24"/>
      <c r="E1619" s="24"/>
      <c r="F1619" s="24"/>
      <c r="G1619" s="185"/>
      <c r="H1619" s="186"/>
      <c r="I1619" s="187"/>
      <c r="J1619" s="24"/>
      <c r="K1619" s="24"/>
      <c r="L1619" s="24"/>
      <c r="M1619" s="187"/>
      <c r="N1619" s="187"/>
    </row>
    <row r="1620">
      <c r="A1620" s="24"/>
      <c r="B1620" s="24"/>
      <c r="C1620" s="24"/>
      <c r="D1620" s="24"/>
      <c r="E1620" s="24"/>
      <c r="F1620" s="24"/>
      <c r="G1620" s="185"/>
      <c r="H1620" s="186"/>
      <c r="I1620" s="187"/>
      <c r="J1620" s="24"/>
      <c r="K1620" s="24"/>
      <c r="L1620" s="24"/>
      <c r="M1620" s="187"/>
      <c r="N1620" s="187"/>
    </row>
    <row r="1621">
      <c r="A1621" s="24"/>
      <c r="B1621" s="24"/>
      <c r="C1621" s="24"/>
      <c r="D1621" s="24"/>
      <c r="E1621" s="24"/>
      <c r="F1621" s="24"/>
      <c r="G1621" s="185"/>
      <c r="H1621" s="186"/>
      <c r="I1621" s="187"/>
      <c r="J1621" s="24"/>
      <c r="K1621" s="24"/>
      <c r="L1621" s="24"/>
      <c r="M1621" s="187"/>
      <c r="N1621" s="187"/>
    </row>
    <row r="1622">
      <c r="A1622" s="24"/>
      <c r="B1622" s="24"/>
      <c r="C1622" s="24"/>
      <c r="D1622" s="24"/>
      <c r="E1622" s="24"/>
      <c r="F1622" s="24"/>
      <c r="G1622" s="185"/>
      <c r="H1622" s="186"/>
      <c r="I1622" s="187"/>
      <c r="J1622" s="24"/>
      <c r="K1622" s="24"/>
      <c r="L1622" s="24"/>
      <c r="M1622" s="187"/>
      <c r="N1622" s="187"/>
    </row>
    <row r="1623">
      <c r="A1623" s="24"/>
      <c r="B1623" s="24"/>
      <c r="C1623" s="24"/>
      <c r="D1623" s="24"/>
      <c r="E1623" s="24"/>
      <c r="F1623" s="24"/>
      <c r="G1623" s="185"/>
      <c r="H1623" s="186"/>
      <c r="I1623" s="187"/>
      <c r="J1623" s="24"/>
      <c r="K1623" s="24"/>
      <c r="L1623" s="24"/>
      <c r="M1623" s="187"/>
      <c r="N1623" s="187"/>
    </row>
    <row r="1624">
      <c r="A1624" s="24"/>
      <c r="B1624" s="24"/>
      <c r="C1624" s="24"/>
      <c r="D1624" s="24"/>
      <c r="E1624" s="24"/>
      <c r="F1624" s="24"/>
      <c r="G1624" s="185"/>
      <c r="H1624" s="186"/>
      <c r="I1624" s="187"/>
      <c r="J1624" s="24"/>
      <c r="K1624" s="24"/>
      <c r="L1624" s="24"/>
      <c r="M1624" s="187"/>
      <c r="N1624" s="187"/>
    </row>
    <row r="1625">
      <c r="A1625" s="24"/>
      <c r="B1625" s="24"/>
      <c r="C1625" s="24"/>
      <c r="D1625" s="24"/>
      <c r="E1625" s="24"/>
      <c r="F1625" s="24"/>
      <c r="G1625" s="185"/>
      <c r="H1625" s="186"/>
      <c r="I1625" s="187"/>
      <c r="J1625" s="24"/>
      <c r="K1625" s="24"/>
      <c r="L1625" s="24"/>
      <c r="M1625" s="187"/>
      <c r="N1625" s="187"/>
    </row>
    <row r="1626">
      <c r="A1626" s="24"/>
      <c r="B1626" s="24"/>
      <c r="C1626" s="24"/>
      <c r="D1626" s="24"/>
      <c r="E1626" s="24"/>
      <c r="F1626" s="24"/>
      <c r="G1626" s="185"/>
      <c r="H1626" s="186"/>
      <c r="I1626" s="187"/>
      <c r="J1626" s="24"/>
      <c r="K1626" s="24"/>
      <c r="L1626" s="24"/>
      <c r="M1626" s="187"/>
      <c r="N1626" s="187"/>
    </row>
    <row r="1627">
      <c r="A1627" s="24"/>
      <c r="B1627" s="24"/>
      <c r="C1627" s="24"/>
      <c r="D1627" s="24"/>
      <c r="E1627" s="24"/>
      <c r="F1627" s="24"/>
      <c r="G1627" s="185"/>
      <c r="H1627" s="186"/>
      <c r="I1627" s="187"/>
      <c r="J1627" s="24"/>
      <c r="K1627" s="24"/>
      <c r="L1627" s="24"/>
      <c r="M1627" s="187"/>
      <c r="N1627" s="187"/>
    </row>
    <row r="1628">
      <c r="A1628" s="24"/>
      <c r="B1628" s="24"/>
      <c r="C1628" s="24"/>
      <c r="D1628" s="24"/>
      <c r="E1628" s="24"/>
      <c r="F1628" s="24"/>
      <c r="G1628" s="185"/>
      <c r="H1628" s="186"/>
      <c r="I1628" s="187"/>
      <c r="J1628" s="24"/>
      <c r="K1628" s="24"/>
      <c r="L1628" s="24"/>
      <c r="M1628" s="187"/>
      <c r="N1628" s="187"/>
    </row>
    <row r="1629">
      <c r="A1629" s="24"/>
      <c r="B1629" s="24"/>
      <c r="C1629" s="24"/>
      <c r="D1629" s="24"/>
      <c r="E1629" s="24"/>
      <c r="F1629" s="24"/>
      <c r="G1629" s="185"/>
      <c r="H1629" s="186"/>
      <c r="I1629" s="187"/>
      <c r="J1629" s="24"/>
      <c r="K1629" s="24"/>
      <c r="L1629" s="24"/>
      <c r="M1629" s="187"/>
      <c r="N1629" s="187"/>
    </row>
    <row r="1630">
      <c r="A1630" s="24"/>
      <c r="B1630" s="24"/>
      <c r="C1630" s="24"/>
      <c r="D1630" s="24"/>
      <c r="E1630" s="24"/>
      <c r="F1630" s="24"/>
      <c r="G1630" s="185"/>
      <c r="H1630" s="186"/>
      <c r="I1630" s="187"/>
      <c r="J1630" s="24"/>
      <c r="K1630" s="24"/>
      <c r="L1630" s="24"/>
      <c r="M1630" s="187"/>
      <c r="N1630" s="187"/>
    </row>
    <row r="1631">
      <c r="A1631" s="24"/>
      <c r="B1631" s="24"/>
      <c r="C1631" s="24"/>
      <c r="D1631" s="24"/>
      <c r="E1631" s="24"/>
      <c r="F1631" s="24"/>
      <c r="G1631" s="185"/>
      <c r="H1631" s="186"/>
      <c r="I1631" s="187"/>
      <c r="J1631" s="24"/>
      <c r="K1631" s="24"/>
      <c r="L1631" s="24"/>
      <c r="M1631" s="187"/>
      <c r="N1631" s="187"/>
    </row>
    <row r="1632">
      <c r="A1632" s="24"/>
      <c r="B1632" s="24"/>
      <c r="C1632" s="24"/>
      <c r="D1632" s="24"/>
      <c r="E1632" s="24"/>
      <c r="F1632" s="24"/>
      <c r="G1632" s="185"/>
      <c r="H1632" s="186"/>
      <c r="I1632" s="187"/>
      <c r="J1632" s="24"/>
      <c r="K1632" s="24"/>
      <c r="L1632" s="24"/>
      <c r="M1632" s="187"/>
      <c r="N1632" s="187"/>
    </row>
    <row r="1633">
      <c r="A1633" s="24"/>
      <c r="B1633" s="24"/>
      <c r="C1633" s="24"/>
      <c r="D1633" s="24"/>
      <c r="E1633" s="24"/>
      <c r="F1633" s="24"/>
      <c r="G1633" s="185"/>
      <c r="H1633" s="186"/>
      <c r="I1633" s="187"/>
      <c r="J1633" s="24"/>
      <c r="K1633" s="24"/>
      <c r="L1633" s="24"/>
      <c r="M1633" s="187"/>
      <c r="N1633" s="187"/>
    </row>
    <row r="1634">
      <c r="A1634" s="24"/>
      <c r="B1634" s="24"/>
      <c r="C1634" s="24"/>
      <c r="D1634" s="24"/>
      <c r="E1634" s="24"/>
      <c r="F1634" s="24"/>
      <c r="G1634" s="185"/>
      <c r="H1634" s="186"/>
      <c r="I1634" s="187"/>
      <c r="J1634" s="24"/>
      <c r="K1634" s="24"/>
      <c r="L1634" s="24"/>
      <c r="M1634" s="187"/>
      <c r="N1634" s="187"/>
    </row>
    <row r="1635">
      <c r="A1635" s="24"/>
      <c r="B1635" s="24"/>
      <c r="C1635" s="24"/>
      <c r="D1635" s="24"/>
      <c r="E1635" s="24"/>
      <c r="F1635" s="24"/>
      <c r="G1635" s="185"/>
      <c r="H1635" s="186"/>
      <c r="I1635" s="187"/>
      <c r="J1635" s="24"/>
      <c r="K1635" s="24"/>
      <c r="L1635" s="24"/>
      <c r="M1635" s="187"/>
      <c r="N1635" s="187"/>
    </row>
    <row r="1636">
      <c r="A1636" s="24"/>
      <c r="B1636" s="24"/>
      <c r="C1636" s="24"/>
      <c r="D1636" s="24"/>
      <c r="E1636" s="24"/>
      <c r="F1636" s="24"/>
      <c r="G1636" s="185"/>
      <c r="H1636" s="186"/>
      <c r="I1636" s="187"/>
      <c r="J1636" s="24"/>
      <c r="K1636" s="24"/>
      <c r="L1636" s="24"/>
      <c r="M1636" s="187"/>
      <c r="N1636" s="187"/>
    </row>
    <row r="1637">
      <c r="A1637" s="24"/>
      <c r="B1637" s="24"/>
      <c r="C1637" s="24"/>
      <c r="D1637" s="24"/>
      <c r="E1637" s="24"/>
      <c r="F1637" s="24"/>
      <c r="G1637" s="185"/>
      <c r="H1637" s="186"/>
      <c r="I1637" s="187"/>
      <c r="J1637" s="24"/>
      <c r="K1637" s="24"/>
      <c r="L1637" s="24"/>
      <c r="M1637" s="187"/>
      <c r="N1637" s="187"/>
    </row>
    <row r="1638">
      <c r="A1638" s="24"/>
      <c r="B1638" s="24"/>
      <c r="C1638" s="24"/>
      <c r="D1638" s="24"/>
      <c r="E1638" s="24"/>
      <c r="F1638" s="24"/>
      <c r="G1638" s="185"/>
      <c r="H1638" s="186"/>
      <c r="I1638" s="187"/>
      <c r="J1638" s="24"/>
      <c r="K1638" s="24"/>
      <c r="L1638" s="24"/>
      <c r="M1638" s="187"/>
      <c r="N1638" s="187"/>
    </row>
    <row r="1639">
      <c r="A1639" s="24"/>
      <c r="B1639" s="24"/>
      <c r="C1639" s="24"/>
      <c r="D1639" s="24"/>
      <c r="E1639" s="24"/>
      <c r="F1639" s="24"/>
      <c r="G1639" s="185"/>
      <c r="H1639" s="186"/>
      <c r="I1639" s="187"/>
      <c r="J1639" s="24"/>
      <c r="K1639" s="24"/>
      <c r="L1639" s="24"/>
      <c r="M1639" s="187"/>
      <c r="N1639" s="187"/>
    </row>
    <row r="1640">
      <c r="A1640" s="24"/>
      <c r="B1640" s="24"/>
      <c r="C1640" s="24"/>
      <c r="D1640" s="24"/>
      <c r="E1640" s="24"/>
      <c r="F1640" s="24"/>
      <c r="G1640" s="185"/>
      <c r="H1640" s="186"/>
      <c r="I1640" s="187"/>
      <c r="J1640" s="24"/>
      <c r="K1640" s="24"/>
      <c r="L1640" s="24"/>
      <c r="M1640" s="187"/>
      <c r="N1640" s="187"/>
    </row>
    <row r="1641">
      <c r="A1641" s="24"/>
      <c r="B1641" s="24"/>
      <c r="C1641" s="24"/>
      <c r="D1641" s="24"/>
      <c r="E1641" s="24"/>
      <c r="F1641" s="24"/>
      <c r="G1641" s="185"/>
      <c r="H1641" s="186"/>
      <c r="I1641" s="187"/>
      <c r="J1641" s="24"/>
      <c r="K1641" s="24"/>
      <c r="L1641" s="24"/>
      <c r="M1641" s="187"/>
      <c r="N1641" s="187"/>
    </row>
    <row r="1642">
      <c r="A1642" s="24"/>
      <c r="B1642" s="24"/>
      <c r="C1642" s="24"/>
      <c r="D1642" s="24"/>
      <c r="E1642" s="24"/>
      <c r="F1642" s="24"/>
      <c r="G1642" s="185"/>
      <c r="H1642" s="186"/>
      <c r="I1642" s="187"/>
      <c r="J1642" s="24"/>
      <c r="K1642" s="24"/>
      <c r="L1642" s="24"/>
      <c r="M1642" s="187"/>
      <c r="N1642" s="187"/>
    </row>
    <row r="1643">
      <c r="A1643" s="24"/>
      <c r="B1643" s="24"/>
      <c r="C1643" s="24"/>
      <c r="D1643" s="24"/>
      <c r="E1643" s="24"/>
      <c r="F1643" s="24"/>
      <c r="G1643" s="185"/>
      <c r="H1643" s="186"/>
      <c r="I1643" s="187"/>
      <c r="J1643" s="24"/>
      <c r="K1643" s="24"/>
      <c r="L1643" s="24"/>
      <c r="M1643" s="187"/>
      <c r="N1643" s="187"/>
    </row>
    <row r="1644">
      <c r="A1644" s="24"/>
      <c r="B1644" s="24"/>
      <c r="C1644" s="24"/>
      <c r="D1644" s="24"/>
      <c r="E1644" s="24"/>
      <c r="F1644" s="24"/>
      <c r="G1644" s="185"/>
      <c r="H1644" s="186"/>
      <c r="I1644" s="187"/>
      <c r="J1644" s="24"/>
      <c r="K1644" s="24"/>
      <c r="L1644" s="24"/>
      <c r="M1644" s="187"/>
      <c r="N1644" s="187"/>
    </row>
    <row r="1645">
      <c r="A1645" s="24"/>
      <c r="B1645" s="24"/>
      <c r="C1645" s="24"/>
      <c r="D1645" s="24"/>
      <c r="E1645" s="24"/>
      <c r="F1645" s="24"/>
      <c r="G1645" s="185"/>
      <c r="H1645" s="186"/>
      <c r="I1645" s="187"/>
      <c r="J1645" s="24"/>
      <c r="K1645" s="24"/>
      <c r="L1645" s="24"/>
      <c r="M1645" s="187"/>
      <c r="N1645" s="187"/>
    </row>
    <row r="1646">
      <c r="A1646" s="24"/>
      <c r="B1646" s="24"/>
      <c r="C1646" s="24"/>
      <c r="D1646" s="24"/>
      <c r="E1646" s="24"/>
      <c r="F1646" s="24"/>
      <c r="G1646" s="185"/>
      <c r="H1646" s="186"/>
      <c r="I1646" s="187"/>
      <c r="J1646" s="24"/>
      <c r="K1646" s="24"/>
      <c r="L1646" s="24"/>
      <c r="M1646" s="187"/>
      <c r="N1646" s="187"/>
    </row>
    <row r="1647">
      <c r="A1647" s="24"/>
      <c r="B1647" s="24"/>
      <c r="C1647" s="24"/>
      <c r="D1647" s="24"/>
      <c r="E1647" s="24"/>
      <c r="F1647" s="24"/>
      <c r="G1647" s="185"/>
      <c r="H1647" s="186"/>
      <c r="I1647" s="187"/>
      <c r="J1647" s="24"/>
      <c r="K1647" s="24"/>
      <c r="L1647" s="24"/>
      <c r="M1647" s="187"/>
      <c r="N1647" s="187"/>
    </row>
    <row r="1648">
      <c r="A1648" s="24"/>
      <c r="B1648" s="24"/>
      <c r="C1648" s="24"/>
      <c r="D1648" s="24"/>
      <c r="E1648" s="24"/>
      <c r="F1648" s="24"/>
      <c r="G1648" s="185"/>
      <c r="H1648" s="186"/>
      <c r="I1648" s="187"/>
      <c r="J1648" s="24"/>
      <c r="K1648" s="24"/>
      <c r="L1648" s="24"/>
      <c r="M1648" s="187"/>
      <c r="N1648" s="187"/>
    </row>
    <row r="1649">
      <c r="A1649" s="24"/>
      <c r="B1649" s="24"/>
      <c r="C1649" s="24"/>
      <c r="D1649" s="24"/>
      <c r="E1649" s="24"/>
      <c r="F1649" s="24"/>
      <c r="G1649" s="185"/>
      <c r="H1649" s="186"/>
      <c r="I1649" s="187"/>
      <c r="J1649" s="24"/>
      <c r="K1649" s="24"/>
      <c r="L1649" s="24"/>
      <c r="M1649" s="187"/>
      <c r="N1649" s="187"/>
    </row>
    <row r="1650">
      <c r="A1650" s="24"/>
      <c r="B1650" s="24"/>
      <c r="C1650" s="24"/>
      <c r="D1650" s="24"/>
      <c r="E1650" s="24"/>
      <c r="F1650" s="24"/>
      <c r="G1650" s="185"/>
      <c r="H1650" s="186"/>
      <c r="I1650" s="187"/>
      <c r="J1650" s="24"/>
      <c r="K1650" s="24"/>
      <c r="L1650" s="24"/>
      <c r="M1650" s="187"/>
      <c r="N1650" s="187"/>
    </row>
    <row r="1651">
      <c r="A1651" s="24"/>
      <c r="B1651" s="24"/>
      <c r="C1651" s="24"/>
      <c r="D1651" s="24"/>
      <c r="E1651" s="24"/>
      <c r="F1651" s="24"/>
      <c r="G1651" s="185"/>
      <c r="H1651" s="186"/>
      <c r="I1651" s="187"/>
      <c r="J1651" s="24"/>
      <c r="K1651" s="24"/>
      <c r="L1651" s="24"/>
      <c r="M1651" s="187"/>
      <c r="N1651" s="187"/>
    </row>
    <row r="1652">
      <c r="A1652" s="24"/>
      <c r="B1652" s="24"/>
      <c r="C1652" s="24"/>
      <c r="D1652" s="24"/>
      <c r="E1652" s="24"/>
      <c r="F1652" s="24"/>
      <c r="G1652" s="185"/>
      <c r="H1652" s="186"/>
      <c r="I1652" s="187"/>
      <c r="J1652" s="24"/>
      <c r="K1652" s="24"/>
      <c r="L1652" s="24"/>
      <c r="M1652" s="187"/>
      <c r="N1652" s="187"/>
    </row>
    <row r="1653">
      <c r="A1653" s="24"/>
      <c r="B1653" s="24"/>
      <c r="C1653" s="24"/>
      <c r="D1653" s="24"/>
      <c r="E1653" s="24"/>
      <c r="F1653" s="24"/>
      <c r="G1653" s="185"/>
      <c r="H1653" s="186"/>
      <c r="I1653" s="187"/>
      <c r="J1653" s="24"/>
      <c r="K1653" s="24"/>
      <c r="L1653" s="24"/>
      <c r="M1653" s="187"/>
      <c r="N1653" s="187"/>
    </row>
    <row r="1654">
      <c r="A1654" s="24"/>
      <c r="B1654" s="24"/>
      <c r="C1654" s="24"/>
      <c r="D1654" s="24"/>
      <c r="E1654" s="24"/>
      <c r="F1654" s="24"/>
      <c r="G1654" s="185"/>
      <c r="H1654" s="186"/>
      <c r="I1654" s="187"/>
      <c r="J1654" s="24"/>
      <c r="K1654" s="24"/>
      <c r="L1654" s="24"/>
      <c r="M1654" s="187"/>
      <c r="N1654" s="187"/>
    </row>
    <row r="1655">
      <c r="A1655" s="24"/>
      <c r="B1655" s="24"/>
      <c r="C1655" s="24"/>
      <c r="D1655" s="24"/>
      <c r="E1655" s="24"/>
      <c r="F1655" s="24"/>
      <c r="G1655" s="185"/>
      <c r="H1655" s="186"/>
      <c r="I1655" s="187"/>
      <c r="J1655" s="24"/>
      <c r="K1655" s="24"/>
      <c r="L1655" s="24"/>
      <c r="M1655" s="187"/>
      <c r="N1655" s="187"/>
    </row>
    <row r="1656">
      <c r="A1656" s="24"/>
      <c r="B1656" s="24"/>
      <c r="C1656" s="24"/>
      <c r="D1656" s="24"/>
      <c r="E1656" s="24"/>
      <c r="F1656" s="24"/>
      <c r="G1656" s="185"/>
      <c r="H1656" s="186"/>
      <c r="I1656" s="187"/>
      <c r="J1656" s="24"/>
      <c r="K1656" s="24"/>
      <c r="L1656" s="24"/>
      <c r="M1656" s="187"/>
      <c r="N1656" s="187"/>
    </row>
    <row r="1657">
      <c r="A1657" s="24"/>
      <c r="B1657" s="24"/>
      <c r="C1657" s="24"/>
      <c r="D1657" s="24"/>
      <c r="E1657" s="24"/>
      <c r="F1657" s="24"/>
      <c r="G1657" s="185"/>
      <c r="H1657" s="186"/>
      <c r="I1657" s="187"/>
      <c r="J1657" s="24"/>
      <c r="K1657" s="24"/>
      <c r="L1657" s="24"/>
      <c r="M1657" s="187"/>
      <c r="N1657" s="187"/>
    </row>
    <row r="1658">
      <c r="A1658" s="24"/>
      <c r="B1658" s="24"/>
      <c r="C1658" s="24"/>
      <c r="D1658" s="24"/>
      <c r="E1658" s="24"/>
      <c r="F1658" s="24"/>
      <c r="G1658" s="185"/>
      <c r="H1658" s="186"/>
      <c r="I1658" s="187"/>
      <c r="J1658" s="24"/>
      <c r="K1658" s="24"/>
      <c r="L1658" s="24"/>
      <c r="M1658" s="187"/>
      <c r="N1658" s="187"/>
    </row>
    <row r="1659">
      <c r="A1659" s="24"/>
      <c r="B1659" s="24"/>
      <c r="C1659" s="24"/>
      <c r="D1659" s="24"/>
      <c r="E1659" s="24"/>
      <c r="F1659" s="24"/>
      <c r="G1659" s="185"/>
      <c r="H1659" s="186"/>
      <c r="I1659" s="187"/>
      <c r="J1659" s="24"/>
      <c r="K1659" s="24"/>
      <c r="L1659" s="24"/>
      <c r="M1659" s="187"/>
      <c r="N1659" s="187"/>
    </row>
    <row r="1660">
      <c r="A1660" s="24"/>
      <c r="B1660" s="24"/>
      <c r="C1660" s="24"/>
      <c r="D1660" s="24"/>
      <c r="E1660" s="24"/>
      <c r="F1660" s="24"/>
      <c r="G1660" s="185"/>
      <c r="H1660" s="186"/>
      <c r="I1660" s="187"/>
      <c r="J1660" s="24"/>
      <c r="K1660" s="24"/>
      <c r="L1660" s="24"/>
      <c r="M1660" s="187"/>
      <c r="N1660" s="187"/>
    </row>
    <row r="1661">
      <c r="A1661" s="24"/>
      <c r="B1661" s="24"/>
      <c r="C1661" s="24"/>
      <c r="D1661" s="24"/>
      <c r="E1661" s="24"/>
      <c r="F1661" s="24"/>
      <c r="G1661" s="185"/>
      <c r="H1661" s="186"/>
      <c r="I1661" s="187"/>
      <c r="J1661" s="24"/>
      <c r="K1661" s="24"/>
      <c r="L1661" s="24"/>
      <c r="M1661" s="187"/>
      <c r="N1661" s="187"/>
    </row>
    <row r="1662">
      <c r="A1662" s="24"/>
      <c r="B1662" s="24"/>
      <c r="C1662" s="24"/>
      <c r="D1662" s="24"/>
      <c r="E1662" s="24"/>
      <c r="F1662" s="24"/>
      <c r="G1662" s="185"/>
      <c r="H1662" s="186"/>
      <c r="I1662" s="187"/>
      <c r="J1662" s="24"/>
      <c r="K1662" s="24"/>
      <c r="L1662" s="24"/>
      <c r="M1662" s="187"/>
      <c r="N1662" s="187"/>
    </row>
    <row r="1663">
      <c r="A1663" s="24"/>
      <c r="B1663" s="24"/>
      <c r="C1663" s="24"/>
      <c r="D1663" s="24"/>
      <c r="E1663" s="24"/>
      <c r="F1663" s="24"/>
      <c r="G1663" s="185"/>
      <c r="H1663" s="186"/>
      <c r="I1663" s="187"/>
      <c r="J1663" s="24"/>
      <c r="K1663" s="24"/>
      <c r="L1663" s="24"/>
      <c r="M1663" s="187"/>
      <c r="N1663" s="187"/>
    </row>
    <row r="1664">
      <c r="A1664" s="24"/>
      <c r="B1664" s="24"/>
      <c r="C1664" s="24"/>
      <c r="D1664" s="24"/>
      <c r="E1664" s="24"/>
      <c r="F1664" s="24"/>
      <c r="G1664" s="185"/>
      <c r="H1664" s="186"/>
      <c r="I1664" s="187"/>
      <c r="J1664" s="24"/>
      <c r="K1664" s="24"/>
      <c r="L1664" s="24"/>
      <c r="M1664" s="187"/>
      <c r="N1664" s="187"/>
    </row>
    <row r="1665">
      <c r="A1665" s="24"/>
      <c r="B1665" s="24"/>
      <c r="C1665" s="24"/>
      <c r="D1665" s="24"/>
      <c r="E1665" s="24"/>
      <c r="F1665" s="24"/>
      <c r="G1665" s="185"/>
      <c r="H1665" s="186"/>
      <c r="I1665" s="187"/>
      <c r="J1665" s="24"/>
      <c r="K1665" s="24"/>
      <c r="L1665" s="24"/>
      <c r="M1665" s="187"/>
      <c r="N1665" s="187"/>
    </row>
    <row r="1666">
      <c r="A1666" s="24"/>
      <c r="B1666" s="24"/>
      <c r="C1666" s="24"/>
      <c r="D1666" s="24"/>
      <c r="E1666" s="24"/>
      <c r="F1666" s="24"/>
      <c r="G1666" s="185"/>
      <c r="H1666" s="186"/>
      <c r="I1666" s="187"/>
      <c r="J1666" s="24"/>
      <c r="K1666" s="24"/>
      <c r="L1666" s="24"/>
      <c r="M1666" s="187"/>
      <c r="N1666" s="187"/>
    </row>
    <row r="1667">
      <c r="A1667" s="24"/>
      <c r="B1667" s="24"/>
      <c r="C1667" s="24"/>
      <c r="D1667" s="24"/>
      <c r="E1667" s="24"/>
      <c r="F1667" s="24"/>
      <c r="G1667" s="185"/>
      <c r="H1667" s="186"/>
      <c r="I1667" s="187"/>
      <c r="J1667" s="24"/>
      <c r="K1667" s="24"/>
      <c r="L1667" s="24"/>
      <c r="M1667" s="187"/>
      <c r="N1667" s="187"/>
    </row>
    <row r="1668">
      <c r="A1668" s="24"/>
      <c r="B1668" s="24"/>
      <c r="C1668" s="24"/>
      <c r="D1668" s="24"/>
      <c r="E1668" s="24"/>
      <c r="F1668" s="24"/>
      <c r="G1668" s="185"/>
      <c r="H1668" s="186"/>
      <c r="I1668" s="187"/>
      <c r="J1668" s="24"/>
      <c r="K1668" s="24"/>
      <c r="L1668" s="24"/>
      <c r="M1668" s="187"/>
      <c r="N1668" s="187"/>
    </row>
    <row r="1669">
      <c r="A1669" s="24"/>
      <c r="B1669" s="24"/>
      <c r="C1669" s="24"/>
      <c r="D1669" s="24"/>
      <c r="E1669" s="24"/>
      <c r="F1669" s="24"/>
      <c r="G1669" s="185"/>
      <c r="H1669" s="186"/>
      <c r="I1669" s="187"/>
      <c r="J1669" s="24"/>
      <c r="K1669" s="24"/>
      <c r="L1669" s="24"/>
      <c r="M1669" s="187"/>
      <c r="N1669" s="187"/>
    </row>
    <row r="1670">
      <c r="A1670" s="24"/>
      <c r="B1670" s="24"/>
      <c r="C1670" s="24"/>
      <c r="D1670" s="24"/>
      <c r="E1670" s="24"/>
      <c r="F1670" s="24"/>
      <c r="G1670" s="185"/>
      <c r="H1670" s="186"/>
      <c r="I1670" s="187"/>
      <c r="J1670" s="24"/>
      <c r="K1670" s="24"/>
      <c r="L1670" s="24"/>
      <c r="M1670" s="187"/>
      <c r="N1670" s="187"/>
    </row>
    <row r="1671">
      <c r="A1671" s="24"/>
      <c r="B1671" s="24"/>
      <c r="C1671" s="24"/>
      <c r="D1671" s="24"/>
      <c r="E1671" s="24"/>
      <c r="F1671" s="24"/>
      <c r="G1671" s="185"/>
      <c r="H1671" s="186"/>
      <c r="I1671" s="187"/>
      <c r="J1671" s="24"/>
      <c r="K1671" s="24"/>
      <c r="L1671" s="24"/>
      <c r="M1671" s="187"/>
      <c r="N1671" s="187"/>
    </row>
    <row r="1672">
      <c r="A1672" s="24"/>
      <c r="B1672" s="24"/>
      <c r="C1672" s="24"/>
      <c r="D1672" s="24"/>
      <c r="E1672" s="24"/>
      <c r="F1672" s="24"/>
      <c r="G1672" s="185"/>
      <c r="H1672" s="186"/>
      <c r="I1672" s="187"/>
      <c r="J1672" s="24"/>
      <c r="K1672" s="24"/>
      <c r="L1672" s="24"/>
      <c r="M1672" s="187"/>
      <c r="N1672" s="187"/>
    </row>
    <row r="1673">
      <c r="A1673" s="24"/>
      <c r="B1673" s="24"/>
      <c r="C1673" s="24"/>
      <c r="D1673" s="24"/>
      <c r="E1673" s="24"/>
      <c r="F1673" s="24"/>
      <c r="G1673" s="185"/>
      <c r="H1673" s="186"/>
      <c r="I1673" s="187"/>
      <c r="J1673" s="24"/>
      <c r="K1673" s="24"/>
      <c r="L1673" s="24"/>
      <c r="M1673" s="187"/>
      <c r="N1673" s="187"/>
    </row>
    <row r="1674">
      <c r="A1674" s="24"/>
      <c r="B1674" s="24"/>
      <c r="C1674" s="24"/>
      <c r="D1674" s="24"/>
      <c r="E1674" s="24"/>
      <c r="F1674" s="24"/>
      <c r="G1674" s="185"/>
      <c r="H1674" s="186"/>
      <c r="I1674" s="187"/>
      <c r="J1674" s="24"/>
      <c r="K1674" s="24"/>
      <c r="L1674" s="24"/>
      <c r="M1674" s="187"/>
      <c r="N1674" s="187"/>
    </row>
    <row r="1675">
      <c r="A1675" s="24"/>
      <c r="B1675" s="24"/>
      <c r="C1675" s="24"/>
      <c r="D1675" s="24"/>
      <c r="E1675" s="24"/>
      <c r="F1675" s="24"/>
      <c r="G1675" s="185"/>
      <c r="H1675" s="186"/>
      <c r="I1675" s="187"/>
      <c r="J1675" s="24"/>
      <c r="K1675" s="24"/>
      <c r="L1675" s="24"/>
      <c r="M1675" s="187"/>
      <c r="N1675" s="187"/>
    </row>
    <row r="1676">
      <c r="A1676" s="24"/>
      <c r="B1676" s="24"/>
      <c r="C1676" s="24"/>
      <c r="D1676" s="24"/>
      <c r="E1676" s="24"/>
      <c r="F1676" s="24"/>
      <c r="G1676" s="185"/>
      <c r="H1676" s="186"/>
      <c r="I1676" s="187"/>
      <c r="J1676" s="24"/>
      <c r="K1676" s="24"/>
      <c r="L1676" s="24"/>
      <c r="M1676" s="187"/>
      <c r="N1676" s="187"/>
    </row>
    <row r="1677">
      <c r="A1677" s="24"/>
      <c r="B1677" s="24"/>
      <c r="C1677" s="24"/>
      <c r="D1677" s="24"/>
      <c r="E1677" s="24"/>
      <c r="F1677" s="24"/>
      <c r="G1677" s="185"/>
      <c r="H1677" s="186"/>
      <c r="I1677" s="187"/>
      <c r="J1677" s="24"/>
      <c r="K1677" s="24"/>
      <c r="L1677" s="24"/>
      <c r="M1677" s="187"/>
      <c r="N1677" s="187"/>
    </row>
    <row r="1678">
      <c r="A1678" s="24"/>
      <c r="B1678" s="24"/>
      <c r="C1678" s="24"/>
      <c r="D1678" s="24"/>
      <c r="E1678" s="24"/>
      <c r="F1678" s="24"/>
      <c r="G1678" s="185"/>
      <c r="H1678" s="186"/>
      <c r="I1678" s="187"/>
      <c r="J1678" s="24"/>
      <c r="K1678" s="24"/>
      <c r="L1678" s="24"/>
      <c r="M1678" s="187"/>
      <c r="N1678" s="187"/>
    </row>
    <row r="1679">
      <c r="A1679" s="24"/>
      <c r="B1679" s="24"/>
      <c r="C1679" s="24"/>
      <c r="D1679" s="24"/>
      <c r="E1679" s="24"/>
      <c r="F1679" s="24"/>
      <c r="G1679" s="185"/>
      <c r="H1679" s="186"/>
      <c r="I1679" s="187"/>
      <c r="J1679" s="24"/>
      <c r="K1679" s="24"/>
      <c r="L1679" s="24"/>
      <c r="M1679" s="187"/>
      <c r="N1679" s="187"/>
    </row>
    <row r="1680">
      <c r="A1680" s="24"/>
      <c r="B1680" s="24"/>
      <c r="C1680" s="24"/>
      <c r="D1680" s="24"/>
      <c r="E1680" s="24"/>
      <c r="F1680" s="24"/>
      <c r="G1680" s="185"/>
      <c r="H1680" s="186"/>
      <c r="I1680" s="187"/>
      <c r="J1680" s="24"/>
      <c r="K1680" s="24"/>
      <c r="L1680" s="24"/>
      <c r="M1680" s="187"/>
      <c r="N1680" s="187"/>
    </row>
    <row r="1681">
      <c r="A1681" s="24"/>
      <c r="B1681" s="24"/>
      <c r="C1681" s="24"/>
      <c r="D1681" s="24"/>
      <c r="E1681" s="24"/>
      <c r="F1681" s="24"/>
      <c r="G1681" s="185"/>
      <c r="H1681" s="186"/>
      <c r="I1681" s="187"/>
      <c r="J1681" s="24"/>
      <c r="K1681" s="24"/>
      <c r="L1681" s="24"/>
      <c r="M1681" s="187"/>
      <c r="N1681" s="187"/>
    </row>
    <row r="1682">
      <c r="A1682" s="24"/>
      <c r="B1682" s="24"/>
      <c r="C1682" s="24"/>
      <c r="D1682" s="24"/>
      <c r="E1682" s="24"/>
      <c r="F1682" s="24"/>
      <c r="G1682" s="185"/>
      <c r="H1682" s="186"/>
      <c r="I1682" s="187"/>
      <c r="J1682" s="24"/>
      <c r="K1682" s="24"/>
      <c r="L1682" s="24"/>
      <c r="M1682" s="187"/>
      <c r="N1682" s="187"/>
    </row>
    <row r="1683">
      <c r="A1683" s="24"/>
      <c r="B1683" s="24"/>
      <c r="C1683" s="24"/>
      <c r="D1683" s="24"/>
      <c r="E1683" s="24"/>
      <c r="F1683" s="24"/>
      <c r="G1683" s="185"/>
      <c r="H1683" s="186"/>
      <c r="I1683" s="187"/>
      <c r="J1683" s="24"/>
      <c r="K1683" s="24"/>
      <c r="L1683" s="24"/>
      <c r="M1683" s="187"/>
      <c r="N1683" s="187"/>
    </row>
    <row r="1684">
      <c r="A1684" s="24"/>
      <c r="B1684" s="24"/>
      <c r="C1684" s="24"/>
      <c r="D1684" s="24"/>
      <c r="E1684" s="24"/>
      <c r="F1684" s="24"/>
      <c r="G1684" s="185"/>
      <c r="H1684" s="186"/>
      <c r="I1684" s="187"/>
      <c r="J1684" s="24"/>
      <c r="K1684" s="24"/>
      <c r="L1684" s="24"/>
      <c r="M1684" s="187"/>
      <c r="N1684" s="187"/>
    </row>
    <row r="1685">
      <c r="A1685" s="24"/>
      <c r="B1685" s="24"/>
      <c r="C1685" s="24"/>
      <c r="D1685" s="24"/>
      <c r="E1685" s="24"/>
      <c r="F1685" s="24"/>
      <c r="G1685" s="185"/>
      <c r="H1685" s="186"/>
      <c r="I1685" s="187"/>
      <c r="J1685" s="24"/>
      <c r="K1685" s="24"/>
      <c r="L1685" s="24"/>
      <c r="M1685" s="187"/>
      <c r="N1685" s="187"/>
    </row>
    <row r="1686">
      <c r="A1686" s="24"/>
      <c r="B1686" s="24"/>
      <c r="C1686" s="24"/>
      <c r="D1686" s="24"/>
      <c r="E1686" s="24"/>
      <c r="F1686" s="24"/>
      <c r="G1686" s="185"/>
      <c r="H1686" s="186"/>
      <c r="I1686" s="187"/>
      <c r="J1686" s="24"/>
      <c r="K1686" s="24"/>
      <c r="L1686" s="24"/>
      <c r="M1686" s="187"/>
      <c r="N1686" s="187"/>
    </row>
    <row r="1687">
      <c r="A1687" s="24"/>
      <c r="B1687" s="24"/>
      <c r="C1687" s="24"/>
      <c r="D1687" s="24"/>
      <c r="E1687" s="24"/>
      <c r="F1687" s="24"/>
      <c r="G1687" s="185"/>
      <c r="H1687" s="186"/>
      <c r="I1687" s="187"/>
      <c r="J1687" s="24"/>
      <c r="K1687" s="24"/>
      <c r="L1687" s="24"/>
      <c r="M1687" s="187"/>
      <c r="N1687" s="187"/>
    </row>
    <row r="1688">
      <c r="A1688" s="24"/>
      <c r="B1688" s="24"/>
      <c r="C1688" s="24"/>
      <c r="D1688" s="24"/>
      <c r="E1688" s="24"/>
      <c r="F1688" s="24"/>
      <c r="G1688" s="185"/>
      <c r="H1688" s="186"/>
      <c r="I1688" s="187"/>
      <c r="J1688" s="24"/>
      <c r="K1688" s="24"/>
      <c r="L1688" s="24"/>
      <c r="M1688" s="187"/>
      <c r="N1688" s="187"/>
    </row>
    <row r="1689">
      <c r="A1689" s="24"/>
      <c r="B1689" s="24"/>
      <c r="C1689" s="24"/>
      <c r="D1689" s="24"/>
      <c r="E1689" s="24"/>
      <c r="F1689" s="24"/>
      <c r="G1689" s="185"/>
      <c r="H1689" s="186"/>
      <c r="I1689" s="187"/>
      <c r="J1689" s="24"/>
      <c r="K1689" s="24"/>
      <c r="L1689" s="24"/>
      <c r="M1689" s="187"/>
      <c r="N1689" s="187"/>
    </row>
    <row r="1690">
      <c r="A1690" s="24"/>
      <c r="B1690" s="24"/>
      <c r="C1690" s="24"/>
      <c r="D1690" s="24"/>
      <c r="E1690" s="24"/>
      <c r="F1690" s="24"/>
      <c r="G1690" s="185"/>
      <c r="H1690" s="186"/>
      <c r="I1690" s="187"/>
      <c r="J1690" s="24"/>
      <c r="K1690" s="24"/>
      <c r="L1690" s="24"/>
      <c r="M1690" s="187"/>
      <c r="N1690" s="187"/>
    </row>
    <row r="1691">
      <c r="A1691" s="24"/>
      <c r="B1691" s="24"/>
      <c r="C1691" s="24"/>
      <c r="D1691" s="24"/>
      <c r="E1691" s="24"/>
      <c r="F1691" s="24"/>
      <c r="G1691" s="185"/>
      <c r="H1691" s="186"/>
      <c r="I1691" s="187"/>
      <c r="J1691" s="24"/>
      <c r="K1691" s="24"/>
      <c r="L1691" s="24"/>
      <c r="M1691" s="187"/>
      <c r="N1691" s="187"/>
    </row>
    <row r="1692">
      <c r="A1692" s="24"/>
      <c r="B1692" s="24"/>
      <c r="C1692" s="24"/>
      <c r="D1692" s="24"/>
      <c r="E1692" s="24"/>
      <c r="F1692" s="24"/>
      <c r="G1692" s="185"/>
      <c r="H1692" s="186"/>
      <c r="I1692" s="187"/>
      <c r="J1692" s="24"/>
      <c r="K1692" s="24"/>
      <c r="L1692" s="24"/>
      <c r="M1692" s="187"/>
      <c r="N1692" s="187"/>
    </row>
    <row r="1693">
      <c r="A1693" s="24"/>
      <c r="B1693" s="24"/>
      <c r="C1693" s="24"/>
      <c r="D1693" s="24"/>
      <c r="E1693" s="24"/>
      <c r="F1693" s="24"/>
      <c r="G1693" s="185"/>
      <c r="H1693" s="186"/>
      <c r="I1693" s="187"/>
      <c r="J1693" s="24"/>
      <c r="K1693" s="24"/>
      <c r="L1693" s="24"/>
      <c r="M1693" s="187"/>
      <c r="N1693" s="187"/>
    </row>
    <row r="1694">
      <c r="A1694" s="24"/>
      <c r="B1694" s="24"/>
      <c r="C1694" s="24"/>
      <c r="D1694" s="24"/>
      <c r="E1694" s="24"/>
      <c r="F1694" s="24"/>
      <c r="G1694" s="185"/>
      <c r="H1694" s="186"/>
      <c r="I1694" s="187"/>
      <c r="J1694" s="24"/>
      <c r="K1694" s="24"/>
      <c r="L1694" s="24"/>
      <c r="M1694" s="187"/>
      <c r="N1694" s="187"/>
    </row>
    <row r="1695">
      <c r="A1695" s="24"/>
      <c r="B1695" s="24"/>
      <c r="C1695" s="24"/>
      <c r="D1695" s="24"/>
      <c r="E1695" s="24"/>
      <c r="F1695" s="24"/>
      <c r="G1695" s="185"/>
      <c r="H1695" s="186"/>
      <c r="I1695" s="187"/>
      <c r="J1695" s="24"/>
      <c r="K1695" s="24"/>
      <c r="L1695" s="24"/>
      <c r="M1695" s="187"/>
      <c r="N1695" s="187"/>
    </row>
    <row r="1696">
      <c r="A1696" s="24"/>
      <c r="B1696" s="24"/>
      <c r="C1696" s="24"/>
      <c r="D1696" s="24"/>
      <c r="E1696" s="24"/>
      <c r="F1696" s="24"/>
      <c r="G1696" s="185"/>
      <c r="H1696" s="186"/>
      <c r="I1696" s="187"/>
      <c r="J1696" s="24"/>
      <c r="K1696" s="24"/>
      <c r="L1696" s="24"/>
      <c r="M1696" s="187"/>
      <c r="N1696" s="187"/>
    </row>
    <row r="1697">
      <c r="A1697" s="24"/>
      <c r="B1697" s="24"/>
      <c r="C1697" s="24"/>
      <c r="D1697" s="24"/>
      <c r="E1697" s="24"/>
      <c r="F1697" s="24"/>
      <c r="G1697" s="185"/>
      <c r="H1697" s="186"/>
      <c r="I1697" s="187"/>
      <c r="J1697" s="24"/>
      <c r="K1697" s="24"/>
      <c r="L1697" s="24"/>
      <c r="M1697" s="187"/>
      <c r="N1697" s="187"/>
    </row>
    <row r="1698">
      <c r="A1698" s="24"/>
      <c r="B1698" s="24"/>
      <c r="C1698" s="24"/>
      <c r="D1698" s="24"/>
      <c r="E1698" s="24"/>
      <c r="F1698" s="24"/>
      <c r="G1698" s="185"/>
      <c r="H1698" s="186"/>
      <c r="I1698" s="187"/>
      <c r="J1698" s="24"/>
      <c r="K1698" s="24"/>
      <c r="L1698" s="24"/>
      <c r="M1698" s="187"/>
      <c r="N1698" s="187"/>
    </row>
    <row r="1699">
      <c r="A1699" s="24"/>
      <c r="B1699" s="24"/>
      <c r="C1699" s="24"/>
      <c r="D1699" s="24"/>
      <c r="E1699" s="24"/>
      <c r="F1699" s="24"/>
      <c r="G1699" s="185"/>
      <c r="H1699" s="186"/>
      <c r="I1699" s="187"/>
      <c r="J1699" s="24"/>
      <c r="K1699" s="24"/>
      <c r="L1699" s="24"/>
      <c r="M1699" s="187"/>
      <c r="N1699" s="187"/>
    </row>
    <row r="1700">
      <c r="A1700" s="24"/>
      <c r="B1700" s="24"/>
      <c r="C1700" s="24"/>
      <c r="D1700" s="24"/>
      <c r="E1700" s="24"/>
      <c r="F1700" s="24"/>
      <c r="G1700" s="185"/>
      <c r="H1700" s="186"/>
      <c r="I1700" s="187"/>
      <c r="J1700" s="24"/>
      <c r="K1700" s="24"/>
      <c r="L1700" s="24"/>
      <c r="M1700" s="187"/>
      <c r="N1700" s="187"/>
    </row>
    <row r="1701">
      <c r="A1701" s="24"/>
      <c r="B1701" s="24"/>
      <c r="C1701" s="24"/>
      <c r="D1701" s="24"/>
      <c r="E1701" s="24"/>
      <c r="F1701" s="24"/>
      <c r="G1701" s="185"/>
      <c r="H1701" s="186"/>
      <c r="I1701" s="187"/>
      <c r="J1701" s="24"/>
      <c r="K1701" s="24"/>
      <c r="L1701" s="24"/>
      <c r="M1701" s="187"/>
      <c r="N1701" s="187"/>
    </row>
    <row r="1702">
      <c r="A1702" s="24"/>
      <c r="B1702" s="24"/>
      <c r="C1702" s="24"/>
      <c r="D1702" s="24"/>
      <c r="E1702" s="24"/>
      <c r="F1702" s="24"/>
      <c r="G1702" s="185"/>
      <c r="H1702" s="186"/>
      <c r="I1702" s="187"/>
      <c r="J1702" s="24"/>
      <c r="K1702" s="24"/>
      <c r="L1702" s="24"/>
      <c r="M1702" s="187"/>
      <c r="N1702" s="187"/>
    </row>
    <row r="1703">
      <c r="A1703" s="24"/>
      <c r="B1703" s="24"/>
      <c r="C1703" s="24"/>
      <c r="D1703" s="24"/>
      <c r="E1703" s="24"/>
      <c r="F1703" s="24"/>
      <c r="G1703" s="185"/>
      <c r="H1703" s="186"/>
      <c r="I1703" s="187"/>
      <c r="J1703" s="24"/>
      <c r="K1703" s="24"/>
      <c r="L1703" s="24"/>
      <c r="M1703" s="187"/>
      <c r="N1703" s="187"/>
    </row>
    <row r="1704">
      <c r="A1704" s="24"/>
      <c r="B1704" s="24"/>
      <c r="C1704" s="24"/>
      <c r="D1704" s="24"/>
      <c r="E1704" s="24"/>
      <c r="F1704" s="24"/>
      <c r="G1704" s="185"/>
      <c r="H1704" s="186"/>
      <c r="I1704" s="187"/>
      <c r="J1704" s="24"/>
      <c r="K1704" s="24"/>
      <c r="L1704" s="24"/>
      <c r="M1704" s="187"/>
      <c r="N1704" s="187"/>
    </row>
    <row r="1705">
      <c r="A1705" s="24"/>
      <c r="B1705" s="24"/>
      <c r="C1705" s="24"/>
      <c r="D1705" s="24"/>
      <c r="E1705" s="24"/>
      <c r="F1705" s="24"/>
      <c r="G1705" s="185"/>
      <c r="H1705" s="186"/>
      <c r="I1705" s="187"/>
      <c r="J1705" s="24"/>
      <c r="K1705" s="24"/>
      <c r="L1705" s="24"/>
      <c r="M1705" s="187"/>
      <c r="N1705" s="187"/>
    </row>
    <row r="1706">
      <c r="A1706" s="24"/>
      <c r="B1706" s="24"/>
      <c r="C1706" s="24"/>
      <c r="D1706" s="24"/>
      <c r="E1706" s="24"/>
      <c r="F1706" s="24"/>
      <c r="G1706" s="185"/>
      <c r="H1706" s="186"/>
      <c r="I1706" s="187"/>
      <c r="J1706" s="24"/>
      <c r="K1706" s="24"/>
      <c r="L1706" s="24"/>
      <c r="M1706" s="187"/>
      <c r="N1706" s="187"/>
    </row>
    <row r="1707">
      <c r="A1707" s="24"/>
      <c r="B1707" s="24"/>
      <c r="C1707" s="24"/>
      <c r="D1707" s="24"/>
      <c r="E1707" s="24"/>
      <c r="F1707" s="24"/>
      <c r="G1707" s="185"/>
      <c r="H1707" s="186"/>
      <c r="I1707" s="187"/>
      <c r="J1707" s="24"/>
      <c r="K1707" s="24"/>
      <c r="L1707" s="24"/>
      <c r="M1707" s="187"/>
      <c r="N1707" s="187"/>
    </row>
    <row r="1708">
      <c r="A1708" s="24"/>
      <c r="B1708" s="24"/>
      <c r="C1708" s="24"/>
      <c r="D1708" s="24"/>
      <c r="E1708" s="24"/>
      <c r="F1708" s="24"/>
      <c r="G1708" s="185"/>
      <c r="H1708" s="186"/>
      <c r="I1708" s="187"/>
      <c r="J1708" s="24"/>
      <c r="K1708" s="24"/>
      <c r="L1708" s="24"/>
      <c r="M1708" s="187"/>
      <c r="N1708" s="187"/>
    </row>
    <row r="1709">
      <c r="A1709" s="24"/>
      <c r="B1709" s="24"/>
      <c r="C1709" s="24"/>
      <c r="D1709" s="24"/>
      <c r="E1709" s="24"/>
      <c r="F1709" s="24"/>
      <c r="G1709" s="185"/>
      <c r="H1709" s="186"/>
      <c r="I1709" s="187"/>
      <c r="J1709" s="24"/>
      <c r="K1709" s="24"/>
      <c r="L1709" s="24"/>
      <c r="M1709" s="187"/>
      <c r="N1709" s="187"/>
    </row>
    <row r="1710">
      <c r="A1710" s="24"/>
      <c r="B1710" s="24"/>
      <c r="C1710" s="24"/>
      <c r="D1710" s="24"/>
      <c r="E1710" s="24"/>
      <c r="F1710" s="24"/>
      <c r="G1710" s="185"/>
      <c r="H1710" s="186"/>
      <c r="I1710" s="187"/>
      <c r="J1710" s="24"/>
      <c r="K1710" s="24"/>
      <c r="L1710" s="24"/>
      <c r="M1710" s="187"/>
      <c r="N1710" s="187"/>
    </row>
    <row r="1711">
      <c r="A1711" s="24"/>
      <c r="B1711" s="24"/>
      <c r="C1711" s="24"/>
      <c r="D1711" s="24"/>
      <c r="E1711" s="24"/>
      <c r="F1711" s="24"/>
      <c r="G1711" s="185"/>
      <c r="H1711" s="186"/>
      <c r="I1711" s="187"/>
      <c r="J1711" s="24"/>
      <c r="K1711" s="24"/>
      <c r="L1711" s="24"/>
      <c r="M1711" s="187"/>
      <c r="N1711" s="187"/>
    </row>
    <row r="1712">
      <c r="A1712" s="24"/>
      <c r="B1712" s="24"/>
      <c r="C1712" s="24"/>
      <c r="D1712" s="24"/>
      <c r="E1712" s="24"/>
      <c r="F1712" s="24"/>
      <c r="G1712" s="185"/>
      <c r="H1712" s="186"/>
      <c r="I1712" s="187"/>
      <c r="J1712" s="24"/>
      <c r="K1712" s="24"/>
      <c r="L1712" s="24"/>
      <c r="M1712" s="187"/>
      <c r="N1712" s="187"/>
    </row>
    <row r="1713">
      <c r="A1713" s="24"/>
      <c r="B1713" s="24"/>
      <c r="C1713" s="24"/>
      <c r="D1713" s="24"/>
      <c r="E1713" s="24"/>
      <c r="F1713" s="24"/>
      <c r="G1713" s="185"/>
      <c r="H1713" s="186"/>
      <c r="I1713" s="187"/>
      <c r="J1713" s="24"/>
      <c r="K1713" s="24"/>
      <c r="L1713" s="24"/>
      <c r="M1713" s="187"/>
      <c r="N1713" s="187"/>
    </row>
    <row r="1714">
      <c r="A1714" s="24"/>
      <c r="B1714" s="24"/>
      <c r="C1714" s="24"/>
      <c r="D1714" s="24"/>
      <c r="E1714" s="24"/>
      <c r="F1714" s="24"/>
      <c r="G1714" s="185"/>
      <c r="H1714" s="186"/>
      <c r="I1714" s="187"/>
      <c r="J1714" s="24"/>
      <c r="K1714" s="24"/>
      <c r="L1714" s="24"/>
      <c r="M1714" s="187"/>
      <c r="N1714" s="187"/>
    </row>
    <row r="1715">
      <c r="A1715" s="24"/>
      <c r="B1715" s="24"/>
      <c r="C1715" s="24"/>
      <c r="D1715" s="24"/>
      <c r="E1715" s="24"/>
      <c r="F1715" s="24"/>
      <c r="G1715" s="185"/>
      <c r="H1715" s="186"/>
      <c r="I1715" s="187"/>
      <c r="J1715" s="24"/>
      <c r="K1715" s="24"/>
      <c r="L1715" s="24"/>
      <c r="M1715" s="187"/>
      <c r="N1715" s="187"/>
    </row>
    <row r="1716">
      <c r="A1716" s="24"/>
      <c r="B1716" s="24"/>
      <c r="C1716" s="24"/>
      <c r="D1716" s="24"/>
      <c r="E1716" s="24"/>
      <c r="F1716" s="24"/>
      <c r="G1716" s="185"/>
      <c r="H1716" s="186"/>
      <c r="I1716" s="187"/>
      <c r="J1716" s="24"/>
      <c r="K1716" s="24"/>
      <c r="L1716" s="24"/>
      <c r="M1716" s="187"/>
      <c r="N1716" s="187"/>
    </row>
    <row r="1717">
      <c r="A1717" s="24"/>
      <c r="B1717" s="24"/>
      <c r="C1717" s="24"/>
      <c r="D1717" s="24"/>
      <c r="E1717" s="24"/>
      <c r="F1717" s="24"/>
      <c r="G1717" s="185"/>
      <c r="H1717" s="186"/>
      <c r="I1717" s="187"/>
      <c r="J1717" s="24"/>
      <c r="K1717" s="24"/>
      <c r="L1717" s="24"/>
      <c r="M1717" s="187"/>
      <c r="N1717" s="187"/>
    </row>
    <row r="1718">
      <c r="A1718" s="24"/>
      <c r="B1718" s="24"/>
      <c r="C1718" s="24"/>
      <c r="D1718" s="24"/>
      <c r="E1718" s="24"/>
      <c r="F1718" s="24"/>
      <c r="G1718" s="185"/>
      <c r="H1718" s="186"/>
      <c r="I1718" s="187"/>
      <c r="J1718" s="24"/>
      <c r="K1718" s="24"/>
      <c r="L1718" s="24"/>
      <c r="M1718" s="187"/>
      <c r="N1718" s="187"/>
    </row>
    <row r="1719">
      <c r="A1719" s="24"/>
      <c r="B1719" s="24"/>
      <c r="C1719" s="24"/>
      <c r="D1719" s="24"/>
      <c r="E1719" s="24"/>
      <c r="F1719" s="24"/>
      <c r="G1719" s="185"/>
      <c r="H1719" s="186"/>
      <c r="I1719" s="187"/>
      <c r="J1719" s="24"/>
      <c r="K1719" s="24"/>
      <c r="L1719" s="24"/>
      <c r="M1719" s="187"/>
      <c r="N1719" s="187"/>
    </row>
    <row r="1720">
      <c r="A1720" s="24"/>
      <c r="B1720" s="24"/>
      <c r="C1720" s="24"/>
      <c r="D1720" s="24"/>
      <c r="E1720" s="24"/>
      <c r="F1720" s="24"/>
      <c r="G1720" s="185"/>
      <c r="H1720" s="186"/>
      <c r="I1720" s="187"/>
      <c r="J1720" s="24"/>
      <c r="K1720" s="24"/>
      <c r="L1720" s="24"/>
      <c r="M1720" s="187"/>
      <c r="N1720" s="187"/>
    </row>
    <row r="1721">
      <c r="A1721" s="24"/>
      <c r="B1721" s="24"/>
      <c r="C1721" s="24"/>
      <c r="D1721" s="24"/>
      <c r="E1721" s="24"/>
      <c r="F1721" s="24"/>
      <c r="G1721" s="185"/>
      <c r="H1721" s="186"/>
      <c r="I1721" s="187"/>
      <c r="J1721" s="24"/>
      <c r="K1721" s="24"/>
      <c r="L1721" s="24"/>
      <c r="M1721" s="187"/>
      <c r="N1721" s="187"/>
    </row>
    <row r="1722">
      <c r="A1722" s="24"/>
      <c r="B1722" s="24"/>
      <c r="C1722" s="24"/>
      <c r="D1722" s="24"/>
      <c r="E1722" s="24"/>
      <c r="F1722" s="24"/>
      <c r="G1722" s="185"/>
      <c r="H1722" s="186"/>
      <c r="I1722" s="187"/>
      <c r="J1722" s="24"/>
      <c r="K1722" s="24"/>
      <c r="L1722" s="24"/>
      <c r="M1722" s="187"/>
      <c r="N1722" s="187"/>
    </row>
    <row r="1723">
      <c r="A1723" s="24"/>
      <c r="B1723" s="24"/>
      <c r="C1723" s="24"/>
      <c r="D1723" s="24"/>
      <c r="E1723" s="24"/>
      <c r="F1723" s="24"/>
      <c r="G1723" s="185"/>
      <c r="H1723" s="186"/>
      <c r="I1723" s="187"/>
      <c r="J1723" s="24"/>
      <c r="K1723" s="24"/>
      <c r="L1723" s="24"/>
      <c r="M1723" s="187"/>
      <c r="N1723" s="187"/>
    </row>
    <row r="1724">
      <c r="A1724" s="24"/>
      <c r="B1724" s="24"/>
      <c r="C1724" s="24"/>
      <c r="D1724" s="24"/>
      <c r="E1724" s="24"/>
      <c r="F1724" s="24"/>
      <c r="G1724" s="185"/>
      <c r="H1724" s="186"/>
      <c r="I1724" s="187"/>
      <c r="J1724" s="24"/>
      <c r="K1724" s="24"/>
      <c r="L1724" s="24"/>
      <c r="M1724" s="187"/>
      <c r="N1724" s="187"/>
    </row>
    <row r="1725">
      <c r="A1725" s="24"/>
      <c r="B1725" s="24"/>
      <c r="C1725" s="24"/>
      <c r="D1725" s="24"/>
      <c r="E1725" s="24"/>
      <c r="F1725" s="24"/>
      <c r="G1725" s="185"/>
      <c r="H1725" s="186"/>
      <c r="I1725" s="187"/>
      <c r="J1725" s="24"/>
      <c r="K1725" s="24"/>
      <c r="L1725" s="24"/>
      <c r="M1725" s="187"/>
      <c r="N1725" s="187"/>
    </row>
    <row r="1726">
      <c r="A1726" s="24"/>
      <c r="B1726" s="24"/>
      <c r="C1726" s="24"/>
      <c r="D1726" s="24"/>
      <c r="E1726" s="24"/>
      <c r="F1726" s="24"/>
      <c r="G1726" s="185"/>
      <c r="H1726" s="186"/>
      <c r="I1726" s="187"/>
      <c r="J1726" s="24"/>
      <c r="K1726" s="24"/>
      <c r="L1726" s="24"/>
      <c r="M1726" s="187"/>
      <c r="N1726" s="187"/>
    </row>
    <row r="1727">
      <c r="A1727" s="24"/>
      <c r="B1727" s="24"/>
      <c r="C1727" s="24"/>
      <c r="D1727" s="24"/>
      <c r="E1727" s="24"/>
      <c r="F1727" s="24"/>
      <c r="G1727" s="185"/>
      <c r="H1727" s="186"/>
      <c r="I1727" s="187"/>
      <c r="J1727" s="24"/>
      <c r="K1727" s="24"/>
      <c r="L1727" s="24"/>
      <c r="M1727" s="187"/>
      <c r="N1727" s="187"/>
    </row>
    <row r="1728">
      <c r="A1728" s="24"/>
      <c r="B1728" s="24"/>
      <c r="C1728" s="24"/>
      <c r="D1728" s="24"/>
      <c r="E1728" s="24"/>
      <c r="F1728" s="24"/>
      <c r="G1728" s="185"/>
      <c r="H1728" s="186"/>
      <c r="I1728" s="187"/>
      <c r="J1728" s="24"/>
      <c r="K1728" s="24"/>
      <c r="L1728" s="24"/>
      <c r="M1728" s="187"/>
      <c r="N1728" s="187"/>
    </row>
    <row r="1729">
      <c r="A1729" s="24"/>
      <c r="B1729" s="24"/>
      <c r="C1729" s="24"/>
      <c r="D1729" s="24"/>
      <c r="E1729" s="24"/>
      <c r="F1729" s="24"/>
      <c r="G1729" s="185"/>
      <c r="H1729" s="186"/>
      <c r="I1729" s="187"/>
      <c r="J1729" s="24"/>
      <c r="K1729" s="24"/>
      <c r="L1729" s="24"/>
      <c r="M1729" s="187"/>
      <c r="N1729" s="187"/>
    </row>
    <row r="1730">
      <c r="A1730" s="24"/>
      <c r="B1730" s="24"/>
      <c r="C1730" s="24"/>
      <c r="D1730" s="24"/>
      <c r="E1730" s="24"/>
      <c r="F1730" s="24"/>
      <c r="G1730" s="185"/>
      <c r="H1730" s="186"/>
      <c r="I1730" s="187"/>
      <c r="J1730" s="24"/>
      <c r="K1730" s="24"/>
      <c r="L1730" s="24"/>
      <c r="M1730" s="187"/>
      <c r="N1730" s="187"/>
    </row>
    <row r="1731">
      <c r="A1731" s="24"/>
      <c r="B1731" s="24"/>
      <c r="C1731" s="24"/>
      <c r="D1731" s="24"/>
      <c r="E1731" s="24"/>
      <c r="F1731" s="24"/>
      <c r="G1731" s="185"/>
      <c r="H1731" s="186"/>
      <c r="I1731" s="187"/>
      <c r="J1731" s="24"/>
      <c r="K1731" s="24"/>
      <c r="L1731" s="24"/>
      <c r="M1731" s="187"/>
      <c r="N1731" s="187"/>
    </row>
    <row r="1732">
      <c r="A1732" s="24"/>
      <c r="B1732" s="24"/>
      <c r="C1732" s="24"/>
      <c r="D1732" s="24"/>
      <c r="E1732" s="24"/>
      <c r="F1732" s="24"/>
      <c r="G1732" s="185"/>
      <c r="H1732" s="186"/>
      <c r="I1732" s="187"/>
      <c r="J1732" s="24"/>
      <c r="K1732" s="24"/>
      <c r="L1732" s="24"/>
      <c r="M1732" s="187"/>
      <c r="N1732" s="187"/>
    </row>
    <row r="1733">
      <c r="A1733" s="24"/>
      <c r="B1733" s="24"/>
      <c r="C1733" s="24"/>
      <c r="D1733" s="24"/>
      <c r="E1733" s="24"/>
      <c r="F1733" s="24"/>
      <c r="G1733" s="185"/>
      <c r="H1733" s="186"/>
      <c r="I1733" s="187"/>
      <c r="J1733" s="24"/>
      <c r="K1733" s="24"/>
      <c r="L1733" s="24"/>
      <c r="M1733" s="187"/>
      <c r="N1733" s="187"/>
    </row>
    <row r="1734">
      <c r="A1734" s="24"/>
      <c r="B1734" s="24"/>
      <c r="C1734" s="24"/>
      <c r="D1734" s="24"/>
      <c r="E1734" s="24"/>
      <c r="F1734" s="24"/>
      <c r="G1734" s="185"/>
      <c r="H1734" s="186"/>
      <c r="I1734" s="187"/>
      <c r="J1734" s="24"/>
      <c r="K1734" s="24"/>
      <c r="L1734" s="24"/>
      <c r="M1734" s="187"/>
      <c r="N1734" s="187"/>
    </row>
    <row r="1735">
      <c r="A1735" s="24"/>
      <c r="B1735" s="24"/>
      <c r="C1735" s="24"/>
      <c r="D1735" s="24"/>
      <c r="E1735" s="24"/>
      <c r="F1735" s="24"/>
      <c r="G1735" s="185"/>
      <c r="H1735" s="186"/>
      <c r="I1735" s="187"/>
      <c r="J1735" s="24"/>
      <c r="K1735" s="24"/>
      <c r="L1735" s="24"/>
      <c r="M1735" s="187"/>
      <c r="N1735" s="187"/>
    </row>
    <row r="1736">
      <c r="A1736" s="24"/>
      <c r="B1736" s="24"/>
      <c r="C1736" s="24"/>
      <c r="D1736" s="24"/>
      <c r="E1736" s="24"/>
      <c r="F1736" s="24"/>
      <c r="G1736" s="185"/>
      <c r="H1736" s="186"/>
      <c r="I1736" s="187"/>
      <c r="J1736" s="24"/>
      <c r="K1736" s="24"/>
      <c r="L1736" s="24"/>
      <c r="M1736" s="187"/>
      <c r="N1736" s="187"/>
    </row>
    <row r="1737">
      <c r="A1737" s="24"/>
      <c r="B1737" s="24"/>
      <c r="C1737" s="24"/>
      <c r="D1737" s="24"/>
      <c r="E1737" s="24"/>
      <c r="F1737" s="24"/>
      <c r="G1737" s="185"/>
      <c r="H1737" s="186"/>
      <c r="I1737" s="187"/>
      <c r="J1737" s="24"/>
      <c r="K1737" s="24"/>
      <c r="L1737" s="24"/>
      <c r="M1737" s="187"/>
      <c r="N1737" s="187"/>
    </row>
    <row r="1738">
      <c r="A1738" s="24"/>
      <c r="B1738" s="24"/>
      <c r="C1738" s="24"/>
      <c r="D1738" s="24"/>
      <c r="E1738" s="24"/>
      <c r="F1738" s="24"/>
      <c r="G1738" s="185"/>
      <c r="H1738" s="186"/>
      <c r="I1738" s="187"/>
      <c r="J1738" s="24"/>
      <c r="K1738" s="24"/>
      <c r="L1738" s="24"/>
      <c r="M1738" s="187"/>
      <c r="N1738" s="187"/>
    </row>
    <row r="1739">
      <c r="A1739" s="24"/>
      <c r="B1739" s="24"/>
      <c r="C1739" s="24"/>
      <c r="D1739" s="24"/>
      <c r="E1739" s="24"/>
      <c r="F1739" s="24"/>
      <c r="G1739" s="185"/>
      <c r="H1739" s="186"/>
      <c r="I1739" s="187"/>
      <c r="J1739" s="24"/>
      <c r="K1739" s="24"/>
      <c r="L1739" s="24"/>
      <c r="M1739" s="187"/>
      <c r="N1739" s="187"/>
    </row>
    <row r="1740">
      <c r="A1740" s="24"/>
      <c r="B1740" s="24"/>
      <c r="C1740" s="24"/>
      <c r="D1740" s="24"/>
      <c r="E1740" s="24"/>
      <c r="F1740" s="24"/>
      <c r="G1740" s="185"/>
      <c r="H1740" s="186"/>
      <c r="I1740" s="187"/>
      <c r="J1740" s="24"/>
      <c r="K1740" s="24"/>
      <c r="L1740" s="24"/>
      <c r="M1740" s="187"/>
      <c r="N1740" s="187"/>
    </row>
    <row r="1741">
      <c r="A1741" s="24"/>
      <c r="B1741" s="24"/>
      <c r="C1741" s="24"/>
      <c r="D1741" s="24"/>
      <c r="E1741" s="24"/>
      <c r="F1741" s="24"/>
      <c r="G1741" s="185"/>
      <c r="H1741" s="186"/>
      <c r="I1741" s="187"/>
      <c r="J1741" s="24"/>
      <c r="K1741" s="24"/>
      <c r="L1741" s="24"/>
      <c r="M1741" s="187"/>
      <c r="N1741" s="187"/>
    </row>
    <row r="1742">
      <c r="A1742" s="24"/>
      <c r="B1742" s="24"/>
      <c r="C1742" s="24"/>
      <c r="D1742" s="24"/>
      <c r="E1742" s="24"/>
      <c r="F1742" s="24"/>
      <c r="G1742" s="185"/>
      <c r="H1742" s="186"/>
      <c r="I1742" s="187"/>
      <c r="J1742" s="24"/>
      <c r="K1742" s="24"/>
      <c r="L1742" s="24"/>
      <c r="M1742" s="187"/>
      <c r="N1742" s="187"/>
    </row>
    <row r="1743">
      <c r="A1743" s="24"/>
      <c r="B1743" s="24"/>
      <c r="C1743" s="24"/>
      <c r="D1743" s="24"/>
      <c r="E1743" s="24"/>
      <c r="F1743" s="24"/>
      <c r="G1743" s="185"/>
      <c r="H1743" s="186"/>
      <c r="I1743" s="187"/>
      <c r="J1743" s="24"/>
      <c r="K1743" s="24"/>
      <c r="L1743" s="24"/>
      <c r="M1743" s="187"/>
      <c r="N1743" s="187"/>
    </row>
    <row r="1744">
      <c r="A1744" s="24"/>
      <c r="B1744" s="24"/>
      <c r="C1744" s="24"/>
      <c r="D1744" s="24"/>
      <c r="E1744" s="24"/>
      <c r="F1744" s="24"/>
      <c r="G1744" s="185"/>
      <c r="H1744" s="186"/>
      <c r="I1744" s="187"/>
      <c r="J1744" s="24"/>
      <c r="K1744" s="24"/>
      <c r="L1744" s="24"/>
      <c r="M1744" s="187"/>
      <c r="N1744" s="187"/>
    </row>
    <row r="1745">
      <c r="A1745" s="24"/>
      <c r="B1745" s="24"/>
      <c r="C1745" s="24"/>
      <c r="D1745" s="24"/>
      <c r="E1745" s="24"/>
      <c r="F1745" s="24"/>
      <c r="G1745" s="185"/>
      <c r="H1745" s="186"/>
      <c r="I1745" s="187"/>
      <c r="J1745" s="24"/>
      <c r="K1745" s="24"/>
      <c r="L1745" s="24"/>
      <c r="M1745" s="187"/>
      <c r="N1745" s="187"/>
    </row>
    <row r="1746">
      <c r="A1746" s="24"/>
      <c r="B1746" s="24"/>
      <c r="C1746" s="24"/>
      <c r="D1746" s="24"/>
      <c r="E1746" s="24"/>
      <c r="F1746" s="24"/>
      <c r="G1746" s="185"/>
      <c r="H1746" s="186"/>
      <c r="I1746" s="187"/>
      <c r="J1746" s="24"/>
      <c r="K1746" s="24"/>
      <c r="L1746" s="24"/>
      <c r="M1746" s="187"/>
      <c r="N1746" s="187"/>
    </row>
    <row r="1747">
      <c r="A1747" s="24"/>
      <c r="B1747" s="24"/>
      <c r="C1747" s="24"/>
      <c r="D1747" s="24"/>
      <c r="E1747" s="24"/>
      <c r="F1747" s="24"/>
      <c r="G1747" s="185"/>
      <c r="H1747" s="186"/>
      <c r="I1747" s="187"/>
      <c r="J1747" s="24"/>
      <c r="K1747" s="24"/>
      <c r="L1747" s="24"/>
      <c r="M1747" s="187"/>
      <c r="N1747" s="187"/>
    </row>
    <row r="1748">
      <c r="A1748" s="24"/>
      <c r="B1748" s="24"/>
      <c r="C1748" s="24"/>
      <c r="D1748" s="24"/>
      <c r="E1748" s="24"/>
      <c r="F1748" s="24"/>
      <c r="G1748" s="185"/>
      <c r="H1748" s="186"/>
      <c r="I1748" s="187"/>
      <c r="J1748" s="24"/>
      <c r="K1748" s="24"/>
      <c r="L1748" s="24"/>
      <c r="M1748" s="187"/>
      <c r="N1748" s="187"/>
    </row>
    <row r="1749">
      <c r="A1749" s="24"/>
      <c r="B1749" s="24"/>
      <c r="C1749" s="24"/>
      <c r="D1749" s="24"/>
      <c r="E1749" s="24"/>
      <c r="F1749" s="24"/>
      <c r="G1749" s="185"/>
      <c r="H1749" s="186"/>
      <c r="I1749" s="187"/>
      <c r="J1749" s="24"/>
      <c r="K1749" s="24"/>
      <c r="L1749" s="24"/>
      <c r="M1749" s="187"/>
      <c r="N1749" s="187"/>
    </row>
    <row r="1750">
      <c r="A1750" s="24"/>
      <c r="B1750" s="24"/>
      <c r="C1750" s="24"/>
      <c r="D1750" s="24"/>
      <c r="E1750" s="24"/>
      <c r="F1750" s="24"/>
      <c r="G1750" s="185"/>
      <c r="H1750" s="186"/>
      <c r="I1750" s="187"/>
      <c r="J1750" s="24"/>
      <c r="K1750" s="24"/>
      <c r="L1750" s="24"/>
      <c r="M1750" s="187"/>
      <c r="N1750" s="187"/>
    </row>
    <row r="1751">
      <c r="A1751" s="24"/>
      <c r="B1751" s="24"/>
      <c r="C1751" s="24"/>
      <c r="D1751" s="24"/>
      <c r="E1751" s="24"/>
      <c r="F1751" s="24"/>
      <c r="G1751" s="185"/>
      <c r="H1751" s="186"/>
      <c r="I1751" s="187"/>
      <c r="J1751" s="24"/>
      <c r="K1751" s="24"/>
      <c r="L1751" s="24"/>
      <c r="M1751" s="187"/>
      <c r="N1751" s="187"/>
    </row>
    <row r="1752">
      <c r="A1752" s="24"/>
      <c r="B1752" s="24"/>
      <c r="C1752" s="24"/>
      <c r="D1752" s="24"/>
      <c r="E1752" s="24"/>
      <c r="F1752" s="24"/>
      <c r="G1752" s="185"/>
      <c r="H1752" s="186"/>
      <c r="I1752" s="187"/>
      <c r="J1752" s="24"/>
      <c r="K1752" s="24"/>
      <c r="L1752" s="24"/>
      <c r="M1752" s="187"/>
      <c r="N1752" s="187"/>
    </row>
    <row r="1753">
      <c r="A1753" s="24"/>
      <c r="B1753" s="24"/>
      <c r="C1753" s="24"/>
      <c r="D1753" s="24"/>
      <c r="E1753" s="24"/>
      <c r="F1753" s="24"/>
      <c r="G1753" s="185"/>
      <c r="H1753" s="186"/>
      <c r="I1753" s="187"/>
      <c r="J1753" s="24"/>
      <c r="K1753" s="24"/>
      <c r="L1753" s="24"/>
      <c r="M1753" s="187"/>
      <c r="N1753" s="187"/>
    </row>
    <row r="1754">
      <c r="A1754" s="24"/>
      <c r="B1754" s="24"/>
      <c r="C1754" s="24"/>
      <c r="D1754" s="24"/>
      <c r="E1754" s="24"/>
      <c r="F1754" s="24"/>
      <c r="G1754" s="185"/>
      <c r="H1754" s="186"/>
      <c r="I1754" s="187"/>
      <c r="J1754" s="24"/>
      <c r="K1754" s="24"/>
      <c r="L1754" s="24"/>
      <c r="M1754" s="187"/>
      <c r="N1754" s="187"/>
    </row>
    <row r="1755">
      <c r="A1755" s="24"/>
      <c r="B1755" s="24"/>
      <c r="C1755" s="24"/>
      <c r="D1755" s="24"/>
      <c r="E1755" s="24"/>
      <c r="F1755" s="24"/>
      <c r="G1755" s="185"/>
      <c r="H1755" s="186"/>
      <c r="I1755" s="187"/>
      <c r="J1755" s="24"/>
      <c r="K1755" s="24"/>
      <c r="L1755" s="24"/>
      <c r="M1755" s="187"/>
      <c r="N1755" s="187"/>
    </row>
    <row r="1756">
      <c r="A1756" s="24"/>
      <c r="B1756" s="24"/>
      <c r="C1756" s="24"/>
      <c r="D1756" s="24"/>
      <c r="E1756" s="24"/>
      <c r="F1756" s="24"/>
      <c r="G1756" s="185"/>
      <c r="H1756" s="186"/>
      <c r="I1756" s="187"/>
      <c r="J1756" s="24"/>
      <c r="K1756" s="24"/>
      <c r="L1756" s="24"/>
      <c r="M1756" s="187"/>
      <c r="N1756" s="187"/>
    </row>
    <row r="1757">
      <c r="A1757" s="24"/>
      <c r="B1757" s="24"/>
      <c r="C1757" s="24"/>
      <c r="D1757" s="24"/>
      <c r="E1757" s="24"/>
      <c r="F1757" s="24"/>
      <c r="G1757" s="185"/>
      <c r="H1757" s="186"/>
      <c r="I1757" s="187"/>
      <c r="J1757" s="24"/>
      <c r="K1757" s="24"/>
      <c r="L1757" s="24"/>
      <c r="M1757" s="187"/>
      <c r="N1757" s="187"/>
    </row>
    <row r="1758">
      <c r="A1758" s="24"/>
      <c r="B1758" s="24"/>
      <c r="C1758" s="24"/>
      <c r="D1758" s="24"/>
      <c r="E1758" s="24"/>
      <c r="F1758" s="24"/>
      <c r="G1758" s="185"/>
      <c r="H1758" s="186"/>
      <c r="I1758" s="187"/>
      <c r="J1758" s="24"/>
      <c r="K1758" s="24"/>
      <c r="L1758" s="24"/>
      <c r="M1758" s="187"/>
      <c r="N1758" s="187"/>
    </row>
    <row r="1759">
      <c r="A1759" s="24"/>
      <c r="B1759" s="24"/>
      <c r="C1759" s="24"/>
      <c r="D1759" s="24"/>
      <c r="E1759" s="24"/>
      <c r="F1759" s="24"/>
      <c r="G1759" s="185"/>
      <c r="H1759" s="186"/>
      <c r="I1759" s="187"/>
      <c r="J1759" s="24"/>
      <c r="K1759" s="24"/>
      <c r="L1759" s="24"/>
      <c r="M1759" s="187"/>
      <c r="N1759" s="187"/>
    </row>
    <row r="1760">
      <c r="A1760" s="24"/>
      <c r="B1760" s="24"/>
      <c r="C1760" s="24"/>
      <c r="D1760" s="24"/>
      <c r="E1760" s="24"/>
      <c r="F1760" s="24"/>
      <c r="G1760" s="185"/>
      <c r="H1760" s="186"/>
      <c r="I1760" s="187"/>
      <c r="J1760" s="24"/>
      <c r="K1760" s="24"/>
      <c r="L1760" s="24"/>
      <c r="M1760" s="187"/>
      <c r="N1760" s="187"/>
    </row>
    <row r="1761">
      <c r="A1761" s="24"/>
      <c r="B1761" s="24"/>
      <c r="C1761" s="24"/>
      <c r="D1761" s="24"/>
      <c r="E1761" s="24"/>
      <c r="F1761" s="24"/>
      <c r="G1761" s="185"/>
      <c r="H1761" s="186"/>
      <c r="I1761" s="187"/>
      <c r="J1761" s="24"/>
      <c r="K1761" s="24"/>
      <c r="L1761" s="24"/>
      <c r="M1761" s="187"/>
      <c r="N1761" s="187"/>
    </row>
    <row r="1762">
      <c r="A1762" s="24"/>
      <c r="B1762" s="24"/>
      <c r="C1762" s="24"/>
      <c r="D1762" s="24"/>
      <c r="E1762" s="24"/>
      <c r="F1762" s="24"/>
      <c r="G1762" s="185"/>
      <c r="H1762" s="186"/>
      <c r="I1762" s="187"/>
      <c r="J1762" s="24"/>
      <c r="K1762" s="24"/>
      <c r="L1762" s="24"/>
      <c r="M1762" s="187"/>
      <c r="N1762" s="187"/>
    </row>
    <row r="1763">
      <c r="A1763" s="24"/>
      <c r="B1763" s="24"/>
      <c r="C1763" s="24"/>
      <c r="D1763" s="24"/>
      <c r="E1763" s="24"/>
      <c r="F1763" s="24"/>
      <c r="G1763" s="185"/>
      <c r="H1763" s="186"/>
      <c r="I1763" s="187"/>
      <c r="J1763" s="24"/>
      <c r="K1763" s="24"/>
      <c r="L1763" s="24"/>
      <c r="M1763" s="187"/>
      <c r="N1763" s="187"/>
    </row>
    <row r="1764">
      <c r="A1764" s="24"/>
      <c r="B1764" s="24"/>
      <c r="C1764" s="24"/>
      <c r="D1764" s="24"/>
      <c r="E1764" s="24"/>
      <c r="F1764" s="24"/>
      <c r="G1764" s="185"/>
      <c r="H1764" s="186"/>
      <c r="I1764" s="187"/>
      <c r="J1764" s="24"/>
      <c r="K1764" s="24"/>
      <c r="L1764" s="24"/>
      <c r="M1764" s="187"/>
      <c r="N1764" s="187"/>
    </row>
    <row r="1765">
      <c r="A1765" s="24"/>
      <c r="B1765" s="24"/>
      <c r="C1765" s="24"/>
      <c r="D1765" s="24"/>
      <c r="E1765" s="24"/>
      <c r="F1765" s="24"/>
      <c r="G1765" s="185"/>
      <c r="H1765" s="186"/>
      <c r="I1765" s="187"/>
      <c r="J1765" s="24"/>
      <c r="K1765" s="24"/>
      <c r="L1765" s="24"/>
      <c r="M1765" s="187"/>
      <c r="N1765" s="187"/>
    </row>
    <row r="1766">
      <c r="A1766" s="24"/>
      <c r="B1766" s="24"/>
      <c r="C1766" s="24"/>
      <c r="D1766" s="24"/>
      <c r="E1766" s="24"/>
      <c r="F1766" s="24"/>
      <c r="G1766" s="185"/>
      <c r="H1766" s="186"/>
      <c r="I1766" s="187"/>
      <c r="J1766" s="24"/>
      <c r="K1766" s="24"/>
      <c r="L1766" s="24"/>
      <c r="M1766" s="187"/>
      <c r="N1766" s="187"/>
    </row>
    <row r="1767">
      <c r="A1767" s="24"/>
      <c r="B1767" s="24"/>
      <c r="C1767" s="24"/>
      <c r="D1767" s="24"/>
      <c r="E1767" s="24"/>
      <c r="F1767" s="24"/>
      <c r="G1767" s="185"/>
      <c r="H1767" s="186"/>
      <c r="I1767" s="187"/>
      <c r="J1767" s="24"/>
      <c r="K1767" s="24"/>
      <c r="L1767" s="24"/>
      <c r="M1767" s="187"/>
      <c r="N1767" s="187"/>
    </row>
    <row r="1768">
      <c r="A1768" s="24"/>
      <c r="B1768" s="24"/>
      <c r="C1768" s="24"/>
      <c r="D1768" s="24"/>
      <c r="E1768" s="24"/>
      <c r="F1768" s="24"/>
      <c r="G1768" s="185"/>
      <c r="H1768" s="186"/>
      <c r="I1768" s="187"/>
      <c r="J1768" s="24"/>
      <c r="K1768" s="24"/>
      <c r="L1768" s="24"/>
      <c r="M1768" s="187"/>
      <c r="N1768" s="187"/>
    </row>
    <row r="1769">
      <c r="A1769" s="24"/>
      <c r="B1769" s="24"/>
      <c r="C1769" s="24"/>
      <c r="D1769" s="24"/>
      <c r="E1769" s="24"/>
      <c r="F1769" s="24"/>
      <c r="G1769" s="185"/>
      <c r="H1769" s="186"/>
      <c r="I1769" s="187"/>
      <c r="J1769" s="24"/>
      <c r="K1769" s="24"/>
      <c r="L1769" s="24"/>
      <c r="M1769" s="187"/>
      <c r="N1769" s="187"/>
    </row>
    <row r="1770">
      <c r="A1770" s="24"/>
      <c r="B1770" s="24"/>
      <c r="C1770" s="24"/>
      <c r="D1770" s="24"/>
      <c r="E1770" s="24"/>
      <c r="F1770" s="24"/>
      <c r="G1770" s="185"/>
      <c r="H1770" s="186"/>
      <c r="I1770" s="187"/>
      <c r="J1770" s="24"/>
      <c r="K1770" s="24"/>
      <c r="L1770" s="24"/>
      <c r="M1770" s="187"/>
      <c r="N1770" s="187"/>
    </row>
    <row r="1771">
      <c r="A1771" s="24"/>
      <c r="B1771" s="24"/>
      <c r="C1771" s="24"/>
      <c r="D1771" s="24"/>
      <c r="E1771" s="24"/>
      <c r="F1771" s="24"/>
      <c r="G1771" s="185"/>
      <c r="H1771" s="186"/>
      <c r="I1771" s="187"/>
      <c r="J1771" s="24"/>
      <c r="K1771" s="24"/>
      <c r="L1771" s="24"/>
      <c r="M1771" s="187"/>
      <c r="N1771" s="187"/>
    </row>
    <row r="1772">
      <c r="A1772" s="24"/>
      <c r="B1772" s="24"/>
      <c r="C1772" s="24"/>
      <c r="D1772" s="24"/>
      <c r="E1772" s="24"/>
      <c r="F1772" s="24"/>
      <c r="G1772" s="185"/>
      <c r="H1772" s="186"/>
      <c r="I1772" s="187"/>
      <c r="J1772" s="24"/>
      <c r="K1772" s="24"/>
      <c r="L1772" s="24"/>
      <c r="M1772" s="187"/>
      <c r="N1772" s="187"/>
    </row>
    <row r="1773">
      <c r="A1773" s="24"/>
      <c r="B1773" s="24"/>
      <c r="C1773" s="24"/>
      <c r="D1773" s="24"/>
      <c r="E1773" s="24"/>
      <c r="F1773" s="24"/>
      <c r="G1773" s="185"/>
      <c r="H1773" s="186"/>
      <c r="I1773" s="187"/>
      <c r="J1773" s="24"/>
      <c r="K1773" s="24"/>
      <c r="L1773" s="24"/>
      <c r="M1773" s="187"/>
      <c r="N1773" s="187"/>
    </row>
    <row r="1774">
      <c r="A1774" s="24"/>
      <c r="B1774" s="24"/>
      <c r="C1774" s="24"/>
      <c r="D1774" s="24"/>
      <c r="E1774" s="24"/>
      <c r="F1774" s="24"/>
      <c r="G1774" s="185"/>
      <c r="H1774" s="186"/>
      <c r="I1774" s="187"/>
      <c r="J1774" s="24"/>
      <c r="K1774" s="24"/>
      <c r="L1774" s="24"/>
      <c r="M1774" s="187"/>
      <c r="N1774" s="187"/>
    </row>
    <row r="1775">
      <c r="A1775" s="24"/>
      <c r="B1775" s="24"/>
      <c r="C1775" s="24"/>
      <c r="D1775" s="24"/>
      <c r="E1775" s="24"/>
      <c r="F1775" s="24"/>
      <c r="G1775" s="185"/>
      <c r="H1775" s="186"/>
      <c r="I1775" s="187"/>
      <c r="J1775" s="24"/>
      <c r="K1775" s="24"/>
      <c r="L1775" s="24"/>
      <c r="M1775" s="187"/>
      <c r="N1775" s="187"/>
    </row>
    <row r="1776">
      <c r="A1776" s="24"/>
      <c r="B1776" s="24"/>
      <c r="C1776" s="24"/>
      <c r="D1776" s="24"/>
      <c r="E1776" s="24"/>
      <c r="F1776" s="24"/>
      <c r="G1776" s="185"/>
      <c r="H1776" s="186"/>
      <c r="I1776" s="187"/>
      <c r="J1776" s="24"/>
      <c r="K1776" s="24"/>
      <c r="L1776" s="24"/>
      <c r="M1776" s="187"/>
      <c r="N1776" s="187"/>
    </row>
    <row r="1777">
      <c r="A1777" s="24"/>
      <c r="B1777" s="24"/>
      <c r="C1777" s="24"/>
      <c r="D1777" s="24"/>
      <c r="E1777" s="24"/>
      <c r="F1777" s="24"/>
      <c r="G1777" s="185"/>
      <c r="H1777" s="186"/>
      <c r="I1777" s="187"/>
      <c r="J1777" s="24"/>
      <c r="K1777" s="24"/>
      <c r="L1777" s="24"/>
      <c r="M1777" s="187"/>
      <c r="N1777" s="187"/>
    </row>
    <row r="1778">
      <c r="A1778" s="24"/>
      <c r="B1778" s="24"/>
      <c r="C1778" s="24"/>
      <c r="D1778" s="24"/>
      <c r="E1778" s="24"/>
      <c r="F1778" s="24"/>
      <c r="G1778" s="185"/>
      <c r="H1778" s="186"/>
      <c r="I1778" s="187"/>
      <c r="J1778" s="24"/>
      <c r="K1778" s="24"/>
      <c r="L1778" s="24"/>
      <c r="M1778" s="187"/>
      <c r="N1778" s="187"/>
    </row>
    <row r="1779">
      <c r="A1779" s="24"/>
      <c r="B1779" s="24"/>
      <c r="C1779" s="24"/>
      <c r="D1779" s="24"/>
      <c r="E1779" s="24"/>
      <c r="F1779" s="24"/>
      <c r="G1779" s="185"/>
      <c r="H1779" s="186"/>
      <c r="I1779" s="187"/>
      <c r="J1779" s="24"/>
      <c r="K1779" s="24"/>
      <c r="L1779" s="24"/>
      <c r="M1779" s="187"/>
      <c r="N1779" s="187"/>
    </row>
    <row r="1780">
      <c r="A1780" s="24"/>
      <c r="B1780" s="24"/>
      <c r="C1780" s="24"/>
      <c r="D1780" s="24"/>
      <c r="E1780" s="24"/>
      <c r="F1780" s="24"/>
      <c r="G1780" s="185"/>
      <c r="H1780" s="186"/>
      <c r="I1780" s="187"/>
      <c r="J1780" s="24"/>
      <c r="K1780" s="24"/>
      <c r="L1780" s="24"/>
      <c r="M1780" s="187"/>
      <c r="N1780" s="187"/>
    </row>
    <row r="1781">
      <c r="A1781" s="24"/>
      <c r="B1781" s="24"/>
      <c r="C1781" s="24"/>
      <c r="D1781" s="24"/>
      <c r="E1781" s="24"/>
      <c r="F1781" s="24"/>
      <c r="G1781" s="185"/>
      <c r="H1781" s="186"/>
      <c r="I1781" s="187"/>
      <c r="J1781" s="24"/>
      <c r="K1781" s="24"/>
      <c r="L1781" s="24"/>
      <c r="M1781" s="187"/>
      <c r="N1781" s="187"/>
    </row>
    <row r="1782">
      <c r="A1782" s="24"/>
      <c r="B1782" s="24"/>
      <c r="C1782" s="24"/>
      <c r="D1782" s="24"/>
      <c r="E1782" s="24"/>
      <c r="F1782" s="24"/>
      <c r="G1782" s="185"/>
      <c r="H1782" s="186"/>
      <c r="I1782" s="187"/>
      <c r="J1782" s="24"/>
      <c r="K1782" s="24"/>
      <c r="L1782" s="24"/>
      <c r="M1782" s="187"/>
      <c r="N1782" s="187"/>
    </row>
    <row r="1783">
      <c r="A1783" s="24"/>
      <c r="B1783" s="24"/>
      <c r="C1783" s="24"/>
      <c r="D1783" s="24"/>
      <c r="E1783" s="24"/>
      <c r="F1783" s="24"/>
      <c r="G1783" s="185"/>
      <c r="H1783" s="186"/>
      <c r="I1783" s="187"/>
      <c r="J1783" s="24"/>
      <c r="K1783" s="24"/>
      <c r="L1783" s="24"/>
      <c r="M1783" s="187"/>
      <c r="N1783" s="187"/>
    </row>
    <row r="1784">
      <c r="A1784" s="24"/>
      <c r="B1784" s="24"/>
      <c r="C1784" s="24"/>
      <c r="D1784" s="24"/>
      <c r="E1784" s="24"/>
      <c r="F1784" s="24"/>
      <c r="G1784" s="185"/>
      <c r="H1784" s="186"/>
      <c r="I1784" s="187"/>
      <c r="J1784" s="24"/>
      <c r="K1784" s="24"/>
      <c r="L1784" s="24"/>
      <c r="M1784" s="187"/>
      <c r="N1784" s="187"/>
    </row>
    <row r="1785">
      <c r="A1785" s="24"/>
      <c r="B1785" s="24"/>
      <c r="C1785" s="24"/>
      <c r="D1785" s="24"/>
      <c r="E1785" s="24"/>
      <c r="F1785" s="24"/>
      <c r="G1785" s="185"/>
      <c r="H1785" s="186"/>
      <c r="I1785" s="187"/>
      <c r="J1785" s="24"/>
      <c r="K1785" s="24"/>
      <c r="L1785" s="24"/>
      <c r="M1785" s="187"/>
      <c r="N1785" s="187"/>
    </row>
    <row r="1786">
      <c r="A1786" s="24"/>
      <c r="B1786" s="24"/>
      <c r="C1786" s="24"/>
      <c r="D1786" s="24"/>
      <c r="E1786" s="24"/>
      <c r="F1786" s="24"/>
      <c r="G1786" s="185"/>
      <c r="H1786" s="186"/>
      <c r="I1786" s="187"/>
      <c r="J1786" s="24"/>
      <c r="K1786" s="24"/>
      <c r="L1786" s="24"/>
      <c r="M1786" s="187"/>
      <c r="N1786" s="187"/>
    </row>
    <row r="1787">
      <c r="A1787" s="24"/>
      <c r="B1787" s="24"/>
      <c r="C1787" s="24"/>
      <c r="D1787" s="24"/>
      <c r="E1787" s="24"/>
      <c r="F1787" s="24"/>
      <c r="G1787" s="185"/>
      <c r="H1787" s="186"/>
      <c r="I1787" s="187"/>
      <c r="J1787" s="24"/>
      <c r="K1787" s="24"/>
      <c r="L1787" s="24"/>
      <c r="M1787" s="187"/>
      <c r="N1787" s="187"/>
    </row>
    <row r="1788">
      <c r="A1788" s="24"/>
      <c r="B1788" s="24"/>
      <c r="C1788" s="24"/>
      <c r="D1788" s="24"/>
      <c r="E1788" s="24"/>
      <c r="F1788" s="24"/>
      <c r="G1788" s="185"/>
      <c r="H1788" s="186"/>
      <c r="I1788" s="187"/>
      <c r="J1788" s="24"/>
      <c r="K1788" s="24"/>
      <c r="L1788" s="24"/>
      <c r="M1788" s="187"/>
      <c r="N1788" s="187"/>
    </row>
    <row r="1789">
      <c r="A1789" s="24"/>
      <c r="B1789" s="24"/>
      <c r="C1789" s="24"/>
      <c r="D1789" s="24"/>
      <c r="E1789" s="24"/>
      <c r="F1789" s="24"/>
      <c r="G1789" s="185"/>
      <c r="H1789" s="186"/>
      <c r="I1789" s="187"/>
      <c r="J1789" s="24"/>
      <c r="K1789" s="24"/>
      <c r="L1789" s="24"/>
      <c r="M1789" s="187"/>
      <c r="N1789" s="187"/>
    </row>
    <row r="1790">
      <c r="A1790" s="24"/>
      <c r="B1790" s="24"/>
      <c r="C1790" s="24"/>
      <c r="D1790" s="24"/>
      <c r="E1790" s="24"/>
      <c r="F1790" s="24"/>
      <c r="G1790" s="185"/>
      <c r="H1790" s="186"/>
      <c r="I1790" s="187"/>
      <c r="J1790" s="24"/>
      <c r="K1790" s="24"/>
      <c r="L1790" s="24"/>
      <c r="M1790" s="187"/>
      <c r="N1790" s="187"/>
    </row>
    <row r="1791">
      <c r="A1791" s="24"/>
      <c r="B1791" s="24"/>
      <c r="C1791" s="24"/>
      <c r="D1791" s="24"/>
      <c r="E1791" s="24"/>
      <c r="F1791" s="24"/>
      <c r="G1791" s="185"/>
      <c r="H1791" s="186"/>
      <c r="I1791" s="187"/>
      <c r="J1791" s="24"/>
      <c r="K1791" s="24"/>
      <c r="L1791" s="24"/>
      <c r="M1791" s="187"/>
      <c r="N1791" s="187"/>
    </row>
    <row r="1792">
      <c r="A1792" s="24"/>
      <c r="B1792" s="24"/>
      <c r="C1792" s="24"/>
      <c r="D1792" s="24"/>
      <c r="E1792" s="24"/>
      <c r="F1792" s="24"/>
      <c r="G1792" s="185"/>
      <c r="H1792" s="186"/>
      <c r="I1792" s="187"/>
      <c r="J1792" s="24"/>
      <c r="K1792" s="24"/>
      <c r="L1792" s="24"/>
      <c r="M1792" s="187"/>
      <c r="N1792" s="187"/>
    </row>
    <row r="1793">
      <c r="A1793" s="24"/>
      <c r="B1793" s="24"/>
      <c r="C1793" s="24"/>
      <c r="D1793" s="24"/>
      <c r="E1793" s="24"/>
      <c r="F1793" s="24"/>
      <c r="G1793" s="185"/>
      <c r="H1793" s="186"/>
      <c r="I1793" s="187"/>
      <c r="J1793" s="24"/>
      <c r="K1793" s="24"/>
      <c r="L1793" s="24"/>
      <c r="M1793" s="187"/>
      <c r="N1793" s="187"/>
    </row>
    <row r="1794">
      <c r="A1794" s="24"/>
      <c r="B1794" s="24"/>
      <c r="C1794" s="24"/>
      <c r="D1794" s="24"/>
      <c r="E1794" s="24"/>
      <c r="F1794" s="24"/>
      <c r="G1794" s="185"/>
      <c r="H1794" s="186"/>
      <c r="I1794" s="187"/>
      <c r="J1794" s="24"/>
      <c r="K1794" s="24"/>
      <c r="L1794" s="24"/>
      <c r="M1794" s="187"/>
      <c r="N1794" s="187"/>
    </row>
    <row r="1795">
      <c r="A1795" s="24"/>
      <c r="B1795" s="24"/>
      <c r="C1795" s="24"/>
      <c r="D1795" s="24"/>
      <c r="E1795" s="24"/>
      <c r="F1795" s="24"/>
      <c r="G1795" s="185"/>
      <c r="H1795" s="186"/>
      <c r="I1795" s="187"/>
      <c r="J1795" s="24"/>
      <c r="K1795" s="24"/>
      <c r="L1795" s="24"/>
      <c r="M1795" s="187"/>
      <c r="N1795" s="187"/>
    </row>
    <row r="1796">
      <c r="A1796" s="24"/>
      <c r="B1796" s="24"/>
      <c r="C1796" s="24"/>
      <c r="D1796" s="24"/>
      <c r="E1796" s="24"/>
      <c r="F1796" s="24"/>
      <c r="G1796" s="185"/>
      <c r="H1796" s="186"/>
      <c r="I1796" s="187"/>
      <c r="J1796" s="24"/>
      <c r="K1796" s="24"/>
      <c r="L1796" s="24"/>
      <c r="M1796" s="187"/>
      <c r="N1796" s="187"/>
    </row>
    <row r="1797">
      <c r="A1797" s="24"/>
      <c r="B1797" s="24"/>
      <c r="C1797" s="24"/>
      <c r="D1797" s="24"/>
      <c r="E1797" s="24"/>
      <c r="F1797" s="24"/>
      <c r="G1797" s="185"/>
      <c r="H1797" s="186"/>
      <c r="I1797" s="187"/>
      <c r="J1797" s="24"/>
      <c r="K1797" s="24"/>
      <c r="L1797" s="24"/>
      <c r="M1797" s="187"/>
      <c r="N1797" s="187"/>
    </row>
    <row r="1798">
      <c r="A1798" s="24"/>
      <c r="B1798" s="24"/>
      <c r="C1798" s="24"/>
      <c r="D1798" s="24"/>
      <c r="E1798" s="24"/>
      <c r="F1798" s="24"/>
      <c r="G1798" s="185"/>
      <c r="H1798" s="186"/>
      <c r="I1798" s="187"/>
      <c r="J1798" s="24"/>
      <c r="K1798" s="24"/>
      <c r="L1798" s="24"/>
      <c r="M1798" s="187"/>
      <c r="N1798" s="187"/>
    </row>
    <row r="1799">
      <c r="A1799" s="24"/>
      <c r="B1799" s="24"/>
      <c r="C1799" s="24"/>
      <c r="D1799" s="24"/>
      <c r="E1799" s="24"/>
      <c r="F1799" s="24"/>
      <c r="G1799" s="185"/>
      <c r="H1799" s="186"/>
      <c r="I1799" s="187"/>
      <c r="J1799" s="24"/>
      <c r="K1799" s="24"/>
      <c r="L1799" s="24"/>
      <c r="M1799" s="187"/>
      <c r="N1799" s="187"/>
    </row>
    <row r="1800">
      <c r="A1800" s="24"/>
      <c r="B1800" s="24"/>
      <c r="C1800" s="24"/>
      <c r="D1800" s="24"/>
      <c r="E1800" s="24"/>
      <c r="F1800" s="24"/>
      <c r="G1800" s="185"/>
      <c r="H1800" s="186"/>
      <c r="I1800" s="187"/>
      <c r="J1800" s="24"/>
      <c r="K1800" s="24"/>
      <c r="L1800" s="24"/>
      <c r="M1800" s="187"/>
      <c r="N1800" s="187"/>
    </row>
    <row r="1801">
      <c r="A1801" s="24"/>
      <c r="B1801" s="24"/>
      <c r="C1801" s="24"/>
      <c r="D1801" s="24"/>
      <c r="E1801" s="24"/>
      <c r="F1801" s="24"/>
      <c r="G1801" s="185"/>
      <c r="H1801" s="186"/>
      <c r="I1801" s="187"/>
      <c r="J1801" s="24"/>
      <c r="K1801" s="24"/>
      <c r="L1801" s="24"/>
      <c r="M1801" s="187"/>
      <c r="N1801" s="187"/>
    </row>
    <row r="1802">
      <c r="A1802" s="24"/>
      <c r="B1802" s="24"/>
      <c r="C1802" s="24"/>
      <c r="D1802" s="24"/>
      <c r="E1802" s="24"/>
      <c r="F1802" s="24"/>
      <c r="G1802" s="185"/>
      <c r="H1802" s="186"/>
      <c r="I1802" s="187"/>
      <c r="J1802" s="24"/>
      <c r="K1802" s="24"/>
      <c r="L1802" s="24"/>
      <c r="M1802" s="187"/>
      <c r="N1802" s="187"/>
    </row>
    <row r="1803">
      <c r="A1803" s="24"/>
      <c r="B1803" s="24"/>
      <c r="C1803" s="24"/>
      <c r="D1803" s="24"/>
      <c r="E1803" s="24"/>
      <c r="F1803" s="24"/>
      <c r="G1803" s="185"/>
      <c r="H1803" s="186"/>
      <c r="I1803" s="187"/>
      <c r="J1803" s="24"/>
      <c r="K1803" s="24"/>
      <c r="L1803" s="24"/>
      <c r="M1803" s="187"/>
      <c r="N1803" s="187"/>
    </row>
    <row r="1804">
      <c r="A1804" s="24"/>
      <c r="B1804" s="24"/>
      <c r="C1804" s="24"/>
      <c r="D1804" s="24"/>
      <c r="E1804" s="24"/>
      <c r="F1804" s="24"/>
      <c r="G1804" s="185"/>
      <c r="H1804" s="186"/>
      <c r="I1804" s="187"/>
      <c r="J1804" s="24"/>
      <c r="K1804" s="24"/>
      <c r="L1804" s="24"/>
      <c r="M1804" s="187"/>
      <c r="N1804" s="187"/>
    </row>
    <row r="1805">
      <c r="A1805" s="24"/>
      <c r="B1805" s="24"/>
      <c r="C1805" s="24"/>
      <c r="D1805" s="24"/>
      <c r="E1805" s="24"/>
      <c r="F1805" s="24"/>
      <c r="G1805" s="185"/>
      <c r="H1805" s="186"/>
      <c r="I1805" s="187"/>
      <c r="J1805" s="24"/>
      <c r="K1805" s="24"/>
      <c r="L1805" s="24"/>
      <c r="M1805" s="187"/>
      <c r="N1805" s="187"/>
    </row>
    <row r="1806">
      <c r="A1806" s="24"/>
      <c r="B1806" s="24"/>
      <c r="C1806" s="24"/>
      <c r="D1806" s="24"/>
      <c r="E1806" s="24"/>
      <c r="F1806" s="24"/>
      <c r="G1806" s="185"/>
      <c r="H1806" s="186"/>
      <c r="I1806" s="187"/>
      <c r="J1806" s="24"/>
      <c r="K1806" s="24"/>
      <c r="L1806" s="24"/>
      <c r="M1806" s="187"/>
      <c r="N1806" s="187"/>
    </row>
    <row r="1807">
      <c r="A1807" s="24"/>
      <c r="B1807" s="24"/>
      <c r="C1807" s="24"/>
      <c r="D1807" s="24"/>
      <c r="E1807" s="24"/>
      <c r="F1807" s="24"/>
      <c r="G1807" s="185"/>
      <c r="H1807" s="186"/>
      <c r="I1807" s="187"/>
      <c r="J1807" s="24"/>
      <c r="K1807" s="24"/>
      <c r="L1807" s="24"/>
      <c r="M1807" s="187"/>
      <c r="N1807" s="187"/>
    </row>
    <row r="1808">
      <c r="A1808" s="24"/>
      <c r="B1808" s="24"/>
      <c r="C1808" s="24"/>
      <c r="D1808" s="24"/>
      <c r="E1808" s="24"/>
      <c r="F1808" s="24"/>
      <c r="G1808" s="185"/>
      <c r="H1808" s="186"/>
      <c r="I1808" s="187"/>
      <c r="J1808" s="24"/>
      <c r="K1808" s="24"/>
      <c r="L1808" s="24"/>
      <c r="M1808" s="187"/>
      <c r="N1808" s="187"/>
    </row>
    <row r="1809">
      <c r="A1809" s="24"/>
      <c r="B1809" s="24"/>
      <c r="C1809" s="24"/>
      <c r="D1809" s="24"/>
      <c r="E1809" s="24"/>
      <c r="F1809" s="24"/>
      <c r="G1809" s="185"/>
      <c r="H1809" s="186"/>
      <c r="I1809" s="187"/>
      <c r="J1809" s="24"/>
      <c r="K1809" s="24"/>
      <c r="L1809" s="24"/>
      <c r="M1809" s="187"/>
      <c r="N1809" s="187"/>
    </row>
    <row r="1810">
      <c r="A1810" s="24"/>
      <c r="B1810" s="24"/>
      <c r="C1810" s="24"/>
      <c r="D1810" s="24"/>
      <c r="E1810" s="24"/>
      <c r="F1810" s="24"/>
      <c r="G1810" s="185"/>
      <c r="H1810" s="186"/>
      <c r="I1810" s="187"/>
      <c r="J1810" s="24"/>
      <c r="K1810" s="24"/>
      <c r="L1810" s="24"/>
      <c r="M1810" s="187"/>
      <c r="N1810" s="187"/>
    </row>
    <row r="1811">
      <c r="A1811" s="24"/>
      <c r="B1811" s="24"/>
      <c r="C1811" s="24"/>
      <c r="D1811" s="24"/>
      <c r="E1811" s="24"/>
      <c r="F1811" s="24"/>
      <c r="G1811" s="185"/>
      <c r="H1811" s="186"/>
      <c r="I1811" s="187"/>
      <c r="J1811" s="24"/>
      <c r="K1811" s="24"/>
      <c r="L1811" s="24"/>
      <c r="M1811" s="187"/>
      <c r="N1811" s="187"/>
    </row>
    <row r="1812">
      <c r="A1812" s="24"/>
      <c r="B1812" s="24"/>
      <c r="C1812" s="24"/>
      <c r="D1812" s="24"/>
      <c r="E1812" s="24"/>
      <c r="F1812" s="24"/>
      <c r="G1812" s="185"/>
      <c r="H1812" s="186"/>
      <c r="I1812" s="187"/>
      <c r="J1812" s="24"/>
      <c r="K1812" s="24"/>
      <c r="L1812" s="24"/>
      <c r="M1812" s="187"/>
      <c r="N1812" s="187"/>
    </row>
    <row r="1813">
      <c r="A1813" s="24"/>
      <c r="B1813" s="24"/>
      <c r="C1813" s="24"/>
      <c r="D1813" s="24"/>
      <c r="E1813" s="24"/>
      <c r="F1813" s="24"/>
      <c r="G1813" s="185"/>
      <c r="H1813" s="186"/>
      <c r="I1813" s="187"/>
      <c r="J1813" s="24"/>
      <c r="K1813" s="24"/>
      <c r="L1813" s="24"/>
      <c r="M1813" s="187"/>
      <c r="N1813" s="187"/>
    </row>
    <row r="1814">
      <c r="A1814" s="24"/>
      <c r="B1814" s="24"/>
      <c r="C1814" s="24"/>
      <c r="D1814" s="24"/>
      <c r="E1814" s="24"/>
      <c r="F1814" s="24"/>
      <c r="G1814" s="185"/>
      <c r="H1814" s="186"/>
      <c r="I1814" s="187"/>
      <c r="J1814" s="24"/>
      <c r="K1814" s="24"/>
      <c r="L1814" s="24"/>
      <c r="M1814" s="187"/>
      <c r="N1814" s="187"/>
    </row>
    <row r="1815">
      <c r="A1815" s="24"/>
      <c r="B1815" s="24"/>
      <c r="C1815" s="24"/>
      <c r="D1815" s="24"/>
      <c r="E1815" s="24"/>
      <c r="F1815" s="24"/>
      <c r="G1815" s="185"/>
      <c r="H1815" s="186"/>
      <c r="I1815" s="187"/>
      <c r="J1815" s="24"/>
      <c r="K1815" s="24"/>
      <c r="L1815" s="24"/>
      <c r="M1815" s="187"/>
      <c r="N1815" s="187"/>
    </row>
    <row r="1816">
      <c r="A1816" s="24"/>
      <c r="B1816" s="24"/>
      <c r="C1816" s="24"/>
      <c r="D1816" s="24"/>
      <c r="E1816" s="24"/>
      <c r="F1816" s="24"/>
      <c r="G1816" s="185"/>
      <c r="H1816" s="186"/>
      <c r="I1816" s="187"/>
      <c r="J1816" s="24"/>
      <c r="K1816" s="24"/>
      <c r="L1816" s="24"/>
      <c r="M1816" s="187"/>
      <c r="N1816" s="187"/>
    </row>
    <row r="1817">
      <c r="A1817" s="24"/>
      <c r="B1817" s="24"/>
      <c r="C1817" s="24"/>
      <c r="D1817" s="24"/>
      <c r="E1817" s="24"/>
      <c r="F1817" s="24"/>
      <c r="G1817" s="185"/>
      <c r="H1817" s="186"/>
      <c r="I1817" s="187"/>
      <c r="J1817" s="24"/>
      <c r="K1817" s="24"/>
      <c r="L1817" s="24"/>
      <c r="M1817" s="187"/>
      <c r="N1817" s="187"/>
    </row>
    <row r="1818">
      <c r="A1818" s="24"/>
      <c r="B1818" s="24"/>
      <c r="C1818" s="24"/>
      <c r="D1818" s="24"/>
      <c r="E1818" s="24"/>
      <c r="F1818" s="24"/>
      <c r="G1818" s="185"/>
      <c r="H1818" s="186"/>
      <c r="I1818" s="187"/>
      <c r="J1818" s="24"/>
      <c r="K1818" s="24"/>
      <c r="L1818" s="24"/>
      <c r="M1818" s="187"/>
      <c r="N1818" s="187"/>
    </row>
    <row r="1819">
      <c r="A1819" s="24"/>
      <c r="B1819" s="24"/>
      <c r="C1819" s="24"/>
      <c r="D1819" s="24"/>
      <c r="E1819" s="24"/>
      <c r="F1819" s="24"/>
      <c r="G1819" s="185"/>
      <c r="H1819" s="186"/>
      <c r="I1819" s="187"/>
      <c r="J1819" s="24"/>
      <c r="K1819" s="24"/>
      <c r="L1819" s="24"/>
      <c r="M1819" s="187"/>
      <c r="N1819" s="187"/>
    </row>
    <row r="1820">
      <c r="A1820" s="24"/>
      <c r="B1820" s="24"/>
      <c r="C1820" s="24"/>
      <c r="D1820" s="24"/>
      <c r="E1820" s="24"/>
      <c r="F1820" s="24"/>
      <c r="G1820" s="185"/>
      <c r="H1820" s="186"/>
      <c r="I1820" s="187"/>
      <c r="J1820" s="24"/>
      <c r="K1820" s="24"/>
      <c r="L1820" s="24"/>
      <c r="M1820" s="187"/>
      <c r="N1820" s="187"/>
    </row>
    <row r="1821">
      <c r="A1821" s="24"/>
      <c r="B1821" s="24"/>
      <c r="C1821" s="24"/>
      <c r="D1821" s="24"/>
      <c r="E1821" s="24"/>
      <c r="F1821" s="24"/>
      <c r="G1821" s="185"/>
      <c r="H1821" s="186"/>
      <c r="I1821" s="187"/>
      <c r="J1821" s="24"/>
      <c r="K1821" s="24"/>
      <c r="L1821" s="24"/>
      <c r="M1821" s="187"/>
      <c r="N1821" s="187"/>
    </row>
    <row r="1822">
      <c r="A1822" s="24"/>
      <c r="B1822" s="24"/>
      <c r="C1822" s="24"/>
      <c r="D1822" s="24"/>
      <c r="E1822" s="24"/>
      <c r="F1822" s="24"/>
      <c r="G1822" s="185"/>
      <c r="H1822" s="186"/>
      <c r="I1822" s="187"/>
      <c r="J1822" s="24"/>
      <c r="K1822" s="24"/>
      <c r="L1822" s="24"/>
      <c r="M1822" s="187"/>
      <c r="N1822" s="187"/>
    </row>
    <row r="1823">
      <c r="A1823" s="24"/>
      <c r="B1823" s="24"/>
      <c r="C1823" s="24"/>
      <c r="D1823" s="24"/>
      <c r="E1823" s="24"/>
      <c r="F1823" s="24"/>
      <c r="G1823" s="185"/>
      <c r="H1823" s="186"/>
      <c r="I1823" s="187"/>
      <c r="J1823" s="24"/>
      <c r="K1823" s="24"/>
      <c r="L1823" s="24"/>
      <c r="M1823" s="187"/>
      <c r="N1823" s="187"/>
    </row>
    <row r="1824">
      <c r="A1824" s="24"/>
      <c r="B1824" s="24"/>
      <c r="C1824" s="24"/>
      <c r="D1824" s="24"/>
      <c r="E1824" s="24"/>
      <c r="F1824" s="24"/>
      <c r="G1824" s="185"/>
      <c r="H1824" s="186"/>
      <c r="I1824" s="187"/>
      <c r="J1824" s="24"/>
      <c r="K1824" s="24"/>
      <c r="L1824" s="24"/>
      <c r="M1824" s="187"/>
      <c r="N1824" s="187"/>
    </row>
    <row r="1825">
      <c r="A1825" s="24"/>
      <c r="B1825" s="24"/>
      <c r="C1825" s="24"/>
      <c r="D1825" s="24"/>
      <c r="E1825" s="24"/>
      <c r="F1825" s="24"/>
      <c r="G1825" s="185"/>
      <c r="H1825" s="186"/>
      <c r="I1825" s="187"/>
      <c r="J1825" s="24"/>
      <c r="K1825" s="24"/>
      <c r="L1825" s="24"/>
      <c r="M1825" s="187"/>
      <c r="N1825" s="187"/>
    </row>
    <row r="1826">
      <c r="A1826" s="24"/>
      <c r="B1826" s="24"/>
      <c r="C1826" s="24"/>
      <c r="D1826" s="24"/>
      <c r="E1826" s="24"/>
      <c r="F1826" s="24"/>
      <c r="G1826" s="185"/>
      <c r="H1826" s="186"/>
      <c r="I1826" s="187"/>
      <c r="J1826" s="24"/>
      <c r="K1826" s="24"/>
      <c r="L1826" s="24"/>
      <c r="M1826" s="187"/>
      <c r="N1826" s="187"/>
    </row>
    <row r="1827">
      <c r="A1827" s="24"/>
      <c r="B1827" s="24"/>
      <c r="C1827" s="24"/>
      <c r="D1827" s="24"/>
      <c r="E1827" s="24"/>
      <c r="F1827" s="24"/>
      <c r="G1827" s="185"/>
      <c r="H1827" s="186"/>
      <c r="I1827" s="187"/>
      <c r="J1827" s="24"/>
      <c r="K1827" s="24"/>
      <c r="L1827" s="24"/>
      <c r="M1827" s="187"/>
      <c r="N1827" s="187"/>
    </row>
    <row r="1828">
      <c r="A1828" s="24"/>
      <c r="B1828" s="24"/>
      <c r="C1828" s="24"/>
      <c r="D1828" s="24"/>
      <c r="E1828" s="24"/>
      <c r="F1828" s="24"/>
      <c r="G1828" s="185"/>
      <c r="H1828" s="186"/>
      <c r="I1828" s="187"/>
      <c r="J1828" s="24"/>
      <c r="K1828" s="24"/>
      <c r="L1828" s="24"/>
      <c r="M1828" s="187"/>
      <c r="N1828" s="187"/>
    </row>
    <row r="1829">
      <c r="A1829" s="24"/>
      <c r="B1829" s="24"/>
      <c r="C1829" s="24"/>
      <c r="D1829" s="24"/>
      <c r="E1829" s="24"/>
      <c r="F1829" s="24"/>
      <c r="G1829" s="185"/>
      <c r="H1829" s="186"/>
      <c r="I1829" s="187"/>
      <c r="J1829" s="24"/>
      <c r="K1829" s="24"/>
      <c r="L1829" s="24"/>
      <c r="M1829" s="187"/>
      <c r="N1829" s="187"/>
    </row>
    <row r="1830">
      <c r="A1830" s="24"/>
      <c r="B1830" s="24"/>
      <c r="C1830" s="24"/>
      <c r="D1830" s="24"/>
      <c r="E1830" s="24"/>
      <c r="F1830" s="24"/>
      <c r="G1830" s="185"/>
      <c r="H1830" s="186"/>
      <c r="I1830" s="187"/>
      <c r="J1830" s="24"/>
      <c r="K1830" s="24"/>
      <c r="L1830" s="24"/>
      <c r="M1830" s="187"/>
      <c r="N1830" s="187"/>
    </row>
    <row r="1831">
      <c r="A1831" s="24"/>
      <c r="B1831" s="24"/>
      <c r="C1831" s="24"/>
      <c r="D1831" s="24"/>
      <c r="E1831" s="24"/>
      <c r="F1831" s="24"/>
      <c r="G1831" s="185"/>
      <c r="H1831" s="186"/>
      <c r="I1831" s="187"/>
      <c r="J1831" s="24"/>
      <c r="K1831" s="24"/>
      <c r="L1831" s="24"/>
      <c r="M1831" s="187"/>
      <c r="N1831" s="187"/>
    </row>
    <row r="1832">
      <c r="A1832" s="24"/>
      <c r="B1832" s="24"/>
      <c r="C1832" s="24"/>
      <c r="D1832" s="24"/>
      <c r="E1832" s="24"/>
      <c r="F1832" s="24"/>
      <c r="G1832" s="185"/>
      <c r="H1832" s="186"/>
      <c r="I1832" s="187"/>
      <c r="J1832" s="24"/>
      <c r="K1832" s="24"/>
      <c r="L1832" s="24"/>
      <c r="M1832" s="187"/>
      <c r="N1832" s="187"/>
    </row>
    <row r="1833">
      <c r="A1833" s="24"/>
      <c r="B1833" s="24"/>
      <c r="C1833" s="24"/>
      <c r="D1833" s="24"/>
      <c r="E1833" s="24"/>
      <c r="F1833" s="24"/>
      <c r="G1833" s="185"/>
      <c r="H1833" s="186"/>
      <c r="I1833" s="187"/>
      <c r="J1833" s="24"/>
      <c r="K1833" s="24"/>
      <c r="L1833" s="24"/>
      <c r="M1833" s="187"/>
      <c r="N1833" s="187"/>
    </row>
    <row r="1834">
      <c r="A1834" s="24"/>
      <c r="B1834" s="24"/>
      <c r="C1834" s="24"/>
      <c r="D1834" s="24"/>
      <c r="E1834" s="24"/>
      <c r="F1834" s="24"/>
      <c r="G1834" s="185"/>
      <c r="H1834" s="186"/>
      <c r="I1834" s="187"/>
      <c r="J1834" s="24"/>
      <c r="K1834" s="24"/>
      <c r="L1834" s="24"/>
      <c r="M1834" s="187"/>
      <c r="N1834" s="187"/>
    </row>
    <row r="1835">
      <c r="A1835" s="24"/>
      <c r="B1835" s="24"/>
      <c r="C1835" s="24"/>
      <c r="D1835" s="24"/>
      <c r="E1835" s="24"/>
      <c r="F1835" s="24"/>
      <c r="G1835" s="185"/>
      <c r="H1835" s="186"/>
      <c r="I1835" s="187"/>
      <c r="J1835" s="24"/>
      <c r="K1835" s="24"/>
      <c r="L1835" s="24"/>
      <c r="M1835" s="187"/>
      <c r="N1835" s="187"/>
    </row>
    <row r="1836">
      <c r="A1836" s="24"/>
      <c r="B1836" s="24"/>
      <c r="C1836" s="24"/>
      <c r="D1836" s="24"/>
      <c r="E1836" s="24"/>
      <c r="F1836" s="24"/>
      <c r="G1836" s="185"/>
      <c r="H1836" s="186"/>
      <c r="I1836" s="187"/>
      <c r="J1836" s="24"/>
      <c r="K1836" s="24"/>
      <c r="L1836" s="24"/>
      <c r="M1836" s="187"/>
      <c r="N1836" s="187"/>
    </row>
    <row r="1837">
      <c r="A1837" s="24"/>
      <c r="B1837" s="24"/>
      <c r="C1837" s="24"/>
      <c r="D1837" s="24"/>
      <c r="E1837" s="24"/>
      <c r="F1837" s="24"/>
      <c r="G1837" s="185"/>
      <c r="H1837" s="186"/>
      <c r="I1837" s="187"/>
      <c r="J1837" s="24"/>
      <c r="K1837" s="24"/>
      <c r="L1837" s="24"/>
      <c r="M1837" s="187"/>
      <c r="N1837" s="187"/>
    </row>
    <row r="1838">
      <c r="A1838" s="24"/>
      <c r="B1838" s="24"/>
      <c r="C1838" s="24"/>
      <c r="D1838" s="24"/>
      <c r="E1838" s="24"/>
      <c r="F1838" s="24"/>
      <c r="G1838" s="185"/>
      <c r="H1838" s="186"/>
      <c r="I1838" s="187"/>
      <c r="J1838" s="24"/>
      <c r="K1838" s="24"/>
      <c r="L1838" s="24"/>
      <c r="M1838" s="187"/>
      <c r="N1838" s="187"/>
    </row>
    <row r="1839">
      <c r="A1839" s="24"/>
      <c r="B1839" s="24"/>
      <c r="C1839" s="24"/>
      <c r="D1839" s="24"/>
      <c r="E1839" s="24"/>
      <c r="F1839" s="24"/>
      <c r="G1839" s="185"/>
      <c r="H1839" s="186"/>
      <c r="I1839" s="187"/>
      <c r="J1839" s="24"/>
      <c r="K1839" s="24"/>
      <c r="L1839" s="24"/>
      <c r="M1839" s="187"/>
      <c r="N1839" s="187"/>
    </row>
    <row r="1840">
      <c r="A1840" s="24"/>
      <c r="B1840" s="24"/>
      <c r="C1840" s="24"/>
      <c r="D1840" s="24"/>
      <c r="E1840" s="24"/>
      <c r="F1840" s="24"/>
      <c r="G1840" s="185"/>
      <c r="H1840" s="186"/>
      <c r="I1840" s="187"/>
      <c r="J1840" s="24"/>
      <c r="K1840" s="24"/>
      <c r="L1840" s="24"/>
      <c r="M1840" s="187"/>
      <c r="N1840" s="187"/>
    </row>
    <row r="1841">
      <c r="A1841" s="24"/>
      <c r="B1841" s="24"/>
      <c r="C1841" s="24"/>
      <c r="D1841" s="24"/>
      <c r="E1841" s="24"/>
      <c r="F1841" s="24"/>
      <c r="G1841" s="185"/>
      <c r="H1841" s="186"/>
      <c r="I1841" s="187"/>
      <c r="J1841" s="24"/>
      <c r="K1841" s="24"/>
      <c r="L1841" s="24"/>
      <c r="M1841" s="187"/>
      <c r="N1841" s="187"/>
    </row>
    <row r="1842">
      <c r="A1842" s="24"/>
      <c r="B1842" s="24"/>
      <c r="C1842" s="24"/>
      <c r="D1842" s="24"/>
      <c r="E1842" s="24"/>
      <c r="F1842" s="24"/>
      <c r="G1842" s="185"/>
      <c r="H1842" s="186"/>
      <c r="I1842" s="187"/>
      <c r="J1842" s="24"/>
      <c r="K1842" s="24"/>
      <c r="L1842" s="24"/>
      <c r="M1842" s="187"/>
      <c r="N1842" s="187"/>
    </row>
    <row r="1843">
      <c r="A1843" s="24"/>
      <c r="B1843" s="24"/>
      <c r="C1843" s="24"/>
      <c r="D1843" s="24"/>
      <c r="E1843" s="24"/>
      <c r="F1843" s="24"/>
      <c r="G1843" s="185"/>
      <c r="H1843" s="186"/>
      <c r="I1843" s="187"/>
      <c r="J1843" s="24"/>
      <c r="K1843" s="24"/>
      <c r="L1843" s="24"/>
      <c r="M1843" s="187"/>
      <c r="N1843" s="187"/>
    </row>
    <row r="1844">
      <c r="A1844" s="24"/>
      <c r="B1844" s="24"/>
      <c r="C1844" s="24"/>
      <c r="D1844" s="24"/>
      <c r="E1844" s="24"/>
      <c r="F1844" s="24"/>
      <c r="G1844" s="185"/>
      <c r="H1844" s="186"/>
      <c r="I1844" s="187"/>
      <c r="J1844" s="24"/>
      <c r="K1844" s="24"/>
      <c r="L1844" s="24"/>
      <c r="M1844" s="187"/>
      <c r="N1844" s="187"/>
    </row>
    <row r="1845">
      <c r="A1845" s="24"/>
      <c r="B1845" s="24"/>
      <c r="C1845" s="24"/>
      <c r="D1845" s="24"/>
      <c r="E1845" s="24"/>
      <c r="F1845" s="24"/>
      <c r="G1845" s="185"/>
      <c r="H1845" s="186"/>
      <c r="I1845" s="187"/>
      <c r="J1845" s="24"/>
      <c r="K1845" s="24"/>
      <c r="L1845" s="24"/>
      <c r="M1845" s="187"/>
      <c r="N1845" s="187"/>
    </row>
    <row r="1846">
      <c r="A1846" s="24"/>
      <c r="B1846" s="24"/>
      <c r="C1846" s="24"/>
      <c r="D1846" s="24"/>
      <c r="E1846" s="24"/>
      <c r="F1846" s="24"/>
      <c r="G1846" s="185"/>
      <c r="H1846" s="186"/>
      <c r="I1846" s="187"/>
      <c r="J1846" s="24"/>
      <c r="K1846" s="24"/>
      <c r="L1846" s="24"/>
      <c r="M1846" s="187"/>
      <c r="N1846" s="187"/>
    </row>
    <row r="1847">
      <c r="A1847" s="24"/>
      <c r="B1847" s="24"/>
      <c r="C1847" s="24"/>
      <c r="D1847" s="24"/>
      <c r="E1847" s="24"/>
      <c r="F1847" s="24"/>
      <c r="G1847" s="185"/>
      <c r="H1847" s="186"/>
      <c r="I1847" s="187"/>
      <c r="J1847" s="24"/>
      <c r="K1847" s="24"/>
      <c r="L1847" s="24"/>
      <c r="M1847" s="187"/>
      <c r="N1847" s="187"/>
    </row>
    <row r="1848">
      <c r="A1848" s="24"/>
      <c r="B1848" s="24"/>
      <c r="C1848" s="24"/>
      <c r="D1848" s="24"/>
      <c r="E1848" s="24"/>
      <c r="F1848" s="24"/>
      <c r="G1848" s="185"/>
      <c r="H1848" s="186"/>
      <c r="I1848" s="187"/>
      <c r="J1848" s="24"/>
      <c r="K1848" s="24"/>
      <c r="L1848" s="24"/>
      <c r="M1848" s="187"/>
      <c r="N1848" s="187"/>
    </row>
    <row r="1849">
      <c r="A1849" s="24"/>
      <c r="B1849" s="24"/>
      <c r="C1849" s="24"/>
      <c r="D1849" s="24"/>
      <c r="E1849" s="24"/>
      <c r="F1849" s="24"/>
      <c r="G1849" s="185"/>
      <c r="H1849" s="186"/>
      <c r="I1849" s="187"/>
      <c r="J1849" s="24"/>
      <c r="K1849" s="24"/>
      <c r="L1849" s="24"/>
      <c r="M1849" s="187"/>
      <c r="N1849" s="187"/>
    </row>
    <row r="1850">
      <c r="A1850" s="24"/>
      <c r="B1850" s="24"/>
      <c r="C1850" s="24"/>
      <c r="D1850" s="24"/>
      <c r="E1850" s="24"/>
      <c r="F1850" s="24"/>
      <c r="G1850" s="185"/>
      <c r="H1850" s="186"/>
      <c r="I1850" s="187"/>
      <c r="J1850" s="24"/>
      <c r="K1850" s="24"/>
      <c r="L1850" s="24"/>
      <c r="M1850" s="187"/>
      <c r="N1850" s="187"/>
    </row>
    <row r="1851">
      <c r="A1851" s="24"/>
      <c r="B1851" s="24"/>
      <c r="C1851" s="24"/>
      <c r="D1851" s="24"/>
      <c r="E1851" s="24"/>
      <c r="F1851" s="24"/>
      <c r="G1851" s="185"/>
      <c r="H1851" s="186"/>
      <c r="I1851" s="187"/>
      <c r="J1851" s="24"/>
      <c r="K1851" s="24"/>
      <c r="L1851" s="24"/>
      <c r="M1851" s="187"/>
      <c r="N1851" s="187"/>
    </row>
    <row r="1852">
      <c r="A1852" s="24"/>
      <c r="B1852" s="24"/>
      <c r="C1852" s="24"/>
      <c r="D1852" s="24"/>
      <c r="E1852" s="24"/>
      <c r="F1852" s="24"/>
      <c r="G1852" s="185"/>
      <c r="H1852" s="186"/>
      <c r="I1852" s="187"/>
      <c r="J1852" s="24"/>
      <c r="K1852" s="24"/>
      <c r="L1852" s="24"/>
      <c r="M1852" s="187"/>
      <c r="N1852" s="187"/>
    </row>
    <row r="1853">
      <c r="A1853" s="24"/>
      <c r="B1853" s="24"/>
      <c r="C1853" s="24"/>
      <c r="D1853" s="24"/>
      <c r="E1853" s="24"/>
      <c r="F1853" s="24"/>
      <c r="G1853" s="185"/>
      <c r="H1853" s="186"/>
      <c r="I1853" s="187"/>
      <c r="J1853" s="24"/>
      <c r="K1853" s="24"/>
      <c r="L1853" s="24"/>
      <c r="M1853" s="187"/>
      <c r="N1853" s="187"/>
    </row>
    <row r="1854">
      <c r="A1854" s="24"/>
      <c r="B1854" s="24"/>
      <c r="C1854" s="24"/>
      <c r="D1854" s="24"/>
      <c r="E1854" s="24"/>
      <c r="F1854" s="24"/>
      <c r="G1854" s="185"/>
      <c r="H1854" s="186"/>
      <c r="I1854" s="187"/>
      <c r="J1854" s="24"/>
      <c r="K1854" s="24"/>
      <c r="L1854" s="24"/>
      <c r="M1854" s="187"/>
      <c r="N1854" s="187"/>
    </row>
    <row r="1855">
      <c r="A1855" s="24"/>
      <c r="B1855" s="24"/>
      <c r="C1855" s="24"/>
      <c r="D1855" s="24"/>
      <c r="E1855" s="24"/>
      <c r="F1855" s="24"/>
      <c r="G1855" s="185"/>
      <c r="H1855" s="186"/>
      <c r="I1855" s="187"/>
      <c r="J1855" s="24"/>
      <c r="K1855" s="24"/>
      <c r="L1855" s="24"/>
      <c r="M1855" s="187"/>
      <c r="N1855" s="187"/>
    </row>
    <row r="1856">
      <c r="A1856" s="24"/>
      <c r="B1856" s="24"/>
      <c r="C1856" s="24"/>
      <c r="D1856" s="24"/>
      <c r="E1856" s="24"/>
      <c r="F1856" s="24"/>
      <c r="G1856" s="185"/>
      <c r="H1856" s="186"/>
      <c r="I1856" s="187"/>
      <c r="J1856" s="24"/>
      <c r="K1856" s="24"/>
      <c r="L1856" s="24"/>
      <c r="M1856" s="187"/>
      <c r="N1856" s="187"/>
    </row>
    <row r="1857">
      <c r="A1857" s="24"/>
      <c r="B1857" s="24"/>
      <c r="C1857" s="24"/>
      <c r="D1857" s="24"/>
      <c r="E1857" s="24"/>
      <c r="F1857" s="24"/>
      <c r="G1857" s="185"/>
      <c r="H1857" s="186"/>
      <c r="I1857" s="187"/>
      <c r="J1857" s="24"/>
      <c r="K1857" s="24"/>
      <c r="L1857" s="24"/>
      <c r="M1857" s="187"/>
      <c r="N1857" s="187"/>
    </row>
    <row r="1858">
      <c r="A1858" s="24"/>
      <c r="B1858" s="24"/>
      <c r="C1858" s="24"/>
      <c r="D1858" s="24"/>
      <c r="E1858" s="24"/>
      <c r="F1858" s="24"/>
      <c r="G1858" s="185"/>
      <c r="H1858" s="186"/>
      <c r="I1858" s="187"/>
      <c r="J1858" s="24"/>
      <c r="K1858" s="24"/>
      <c r="L1858" s="24"/>
      <c r="M1858" s="187"/>
      <c r="N1858" s="187"/>
    </row>
    <row r="1859">
      <c r="A1859" s="24"/>
      <c r="B1859" s="24"/>
      <c r="C1859" s="24"/>
      <c r="D1859" s="24"/>
      <c r="E1859" s="24"/>
      <c r="F1859" s="24"/>
      <c r="G1859" s="185"/>
      <c r="H1859" s="186"/>
      <c r="I1859" s="187"/>
      <c r="J1859" s="24"/>
      <c r="K1859" s="24"/>
      <c r="L1859" s="24"/>
      <c r="M1859" s="187"/>
      <c r="N1859" s="187"/>
    </row>
    <row r="1860">
      <c r="A1860" s="24"/>
      <c r="B1860" s="24"/>
      <c r="C1860" s="24"/>
      <c r="D1860" s="24"/>
      <c r="E1860" s="24"/>
      <c r="F1860" s="24"/>
      <c r="G1860" s="185"/>
      <c r="H1860" s="186"/>
      <c r="I1860" s="187"/>
      <c r="J1860" s="24"/>
      <c r="K1860" s="24"/>
      <c r="L1860" s="24"/>
      <c r="M1860" s="187"/>
      <c r="N1860" s="187"/>
    </row>
    <row r="1861">
      <c r="A1861" s="24"/>
      <c r="B1861" s="24"/>
      <c r="C1861" s="24"/>
      <c r="D1861" s="24"/>
      <c r="E1861" s="24"/>
      <c r="F1861" s="24"/>
      <c r="G1861" s="185"/>
      <c r="H1861" s="186"/>
      <c r="I1861" s="187"/>
      <c r="J1861" s="24"/>
      <c r="K1861" s="24"/>
      <c r="L1861" s="24"/>
      <c r="M1861" s="187"/>
      <c r="N1861" s="187"/>
    </row>
    <row r="1862">
      <c r="A1862" s="24"/>
      <c r="B1862" s="24"/>
      <c r="C1862" s="24"/>
      <c r="D1862" s="24"/>
      <c r="E1862" s="24"/>
      <c r="F1862" s="24"/>
      <c r="G1862" s="185"/>
      <c r="H1862" s="186"/>
      <c r="I1862" s="187"/>
      <c r="J1862" s="24"/>
      <c r="K1862" s="24"/>
      <c r="L1862" s="24"/>
      <c r="M1862" s="187"/>
      <c r="N1862" s="187"/>
    </row>
    <row r="1863">
      <c r="A1863" s="24"/>
      <c r="B1863" s="24"/>
      <c r="C1863" s="24"/>
      <c r="D1863" s="24"/>
      <c r="E1863" s="24"/>
      <c r="F1863" s="24"/>
      <c r="G1863" s="185"/>
      <c r="H1863" s="186"/>
      <c r="I1863" s="187"/>
      <c r="J1863" s="24"/>
      <c r="K1863" s="24"/>
      <c r="L1863" s="24"/>
      <c r="M1863" s="187"/>
      <c r="N1863" s="187"/>
    </row>
    <row r="1864">
      <c r="A1864" s="24"/>
      <c r="B1864" s="24"/>
      <c r="C1864" s="24"/>
      <c r="D1864" s="24"/>
      <c r="E1864" s="24"/>
      <c r="F1864" s="24"/>
      <c r="G1864" s="185"/>
      <c r="H1864" s="186"/>
      <c r="I1864" s="187"/>
      <c r="J1864" s="24"/>
      <c r="K1864" s="24"/>
      <c r="L1864" s="24"/>
      <c r="M1864" s="187"/>
      <c r="N1864" s="187"/>
    </row>
    <row r="1865">
      <c r="A1865" s="24"/>
      <c r="B1865" s="24"/>
      <c r="C1865" s="24"/>
      <c r="D1865" s="24"/>
      <c r="E1865" s="24"/>
      <c r="F1865" s="24"/>
      <c r="G1865" s="185"/>
      <c r="H1865" s="186"/>
      <c r="I1865" s="187"/>
      <c r="J1865" s="24"/>
      <c r="K1865" s="24"/>
      <c r="L1865" s="24"/>
      <c r="M1865" s="187"/>
      <c r="N1865" s="187"/>
    </row>
    <row r="1866">
      <c r="A1866" s="24"/>
      <c r="B1866" s="24"/>
      <c r="C1866" s="24"/>
      <c r="D1866" s="24"/>
      <c r="E1866" s="24"/>
      <c r="F1866" s="24"/>
      <c r="G1866" s="185"/>
      <c r="H1866" s="186"/>
      <c r="I1866" s="187"/>
      <c r="J1866" s="24"/>
      <c r="K1866" s="24"/>
      <c r="L1866" s="24"/>
      <c r="M1866" s="187"/>
      <c r="N1866" s="187"/>
    </row>
    <row r="1867">
      <c r="A1867" s="24"/>
      <c r="B1867" s="24"/>
      <c r="C1867" s="24"/>
      <c r="D1867" s="24"/>
      <c r="E1867" s="24"/>
      <c r="F1867" s="24"/>
      <c r="G1867" s="185"/>
      <c r="H1867" s="186"/>
      <c r="I1867" s="187"/>
      <c r="J1867" s="24"/>
      <c r="K1867" s="24"/>
      <c r="L1867" s="24"/>
      <c r="M1867" s="187"/>
      <c r="N1867" s="187"/>
    </row>
    <row r="1868">
      <c r="A1868" s="24"/>
      <c r="B1868" s="24"/>
      <c r="C1868" s="24"/>
      <c r="D1868" s="24"/>
      <c r="E1868" s="24"/>
      <c r="F1868" s="24"/>
      <c r="G1868" s="185"/>
      <c r="H1868" s="186"/>
      <c r="I1868" s="187"/>
      <c r="J1868" s="24"/>
      <c r="K1868" s="24"/>
      <c r="L1868" s="24"/>
      <c r="M1868" s="187"/>
      <c r="N1868" s="187"/>
    </row>
    <row r="1869">
      <c r="A1869" s="24"/>
      <c r="B1869" s="24"/>
      <c r="C1869" s="24"/>
      <c r="D1869" s="24"/>
      <c r="E1869" s="24"/>
      <c r="F1869" s="24"/>
      <c r="G1869" s="185"/>
      <c r="H1869" s="186"/>
      <c r="I1869" s="187"/>
      <c r="J1869" s="24"/>
      <c r="K1869" s="24"/>
      <c r="L1869" s="24"/>
      <c r="M1869" s="187"/>
      <c r="N1869" s="187"/>
    </row>
    <row r="1870">
      <c r="A1870" s="24"/>
      <c r="B1870" s="24"/>
      <c r="C1870" s="24"/>
      <c r="D1870" s="24"/>
      <c r="E1870" s="24"/>
      <c r="F1870" s="24"/>
      <c r="G1870" s="185"/>
      <c r="H1870" s="186"/>
      <c r="I1870" s="187"/>
      <c r="J1870" s="24"/>
      <c r="K1870" s="24"/>
      <c r="L1870" s="24"/>
      <c r="M1870" s="187"/>
      <c r="N1870" s="187"/>
    </row>
    <row r="1871">
      <c r="A1871" s="24"/>
      <c r="B1871" s="24"/>
      <c r="C1871" s="24"/>
      <c r="D1871" s="24"/>
      <c r="E1871" s="24"/>
      <c r="F1871" s="24"/>
      <c r="G1871" s="185"/>
      <c r="H1871" s="186"/>
      <c r="I1871" s="187"/>
      <c r="J1871" s="24"/>
      <c r="K1871" s="24"/>
      <c r="L1871" s="24"/>
      <c r="M1871" s="187"/>
      <c r="N1871" s="187"/>
    </row>
    <row r="1872">
      <c r="A1872" s="24"/>
      <c r="B1872" s="24"/>
      <c r="C1872" s="24"/>
      <c r="D1872" s="24"/>
      <c r="E1872" s="24"/>
      <c r="F1872" s="24"/>
      <c r="G1872" s="185"/>
      <c r="H1872" s="186"/>
      <c r="I1872" s="187"/>
      <c r="J1872" s="24"/>
      <c r="K1872" s="24"/>
      <c r="L1872" s="24"/>
      <c r="M1872" s="187"/>
      <c r="N1872" s="187"/>
    </row>
    <row r="1873">
      <c r="A1873" s="24"/>
      <c r="B1873" s="24"/>
      <c r="C1873" s="24"/>
      <c r="D1873" s="24"/>
      <c r="E1873" s="24"/>
      <c r="F1873" s="24"/>
      <c r="G1873" s="185"/>
      <c r="H1873" s="186"/>
      <c r="I1873" s="187"/>
      <c r="J1873" s="24"/>
      <c r="K1873" s="24"/>
      <c r="L1873" s="24"/>
      <c r="M1873" s="187"/>
      <c r="N1873" s="187"/>
    </row>
    <row r="1874">
      <c r="A1874" s="24"/>
      <c r="B1874" s="24"/>
      <c r="C1874" s="24"/>
      <c r="D1874" s="24"/>
      <c r="E1874" s="24"/>
      <c r="F1874" s="24"/>
      <c r="G1874" s="185"/>
      <c r="H1874" s="186"/>
      <c r="I1874" s="187"/>
      <c r="J1874" s="24"/>
      <c r="K1874" s="24"/>
      <c r="L1874" s="24"/>
      <c r="M1874" s="187"/>
      <c r="N1874" s="187"/>
    </row>
    <row r="1875">
      <c r="A1875" s="24"/>
      <c r="B1875" s="24"/>
      <c r="C1875" s="24"/>
      <c r="D1875" s="24"/>
      <c r="E1875" s="24"/>
      <c r="F1875" s="24"/>
      <c r="G1875" s="185"/>
      <c r="H1875" s="186"/>
      <c r="I1875" s="187"/>
      <c r="J1875" s="24"/>
      <c r="K1875" s="24"/>
      <c r="L1875" s="24"/>
      <c r="M1875" s="187"/>
      <c r="N1875" s="187"/>
    </row>
    <row r="1876">
      <c r="A1876" s="24"/>
      <c r="B1876" s="24"/>
      <c r="C1876" s="24"/>
      <c r="D1876" s="24"/>
      <c r="E1876" s="24"/>
      <c r="F1876" s="24"/>
      <c r="G1876" s="185"/>
      <c r="H1876" s="186"/>
      <c r="I1876" s="187"/>
      <c r="J1876" s="24"/>
      <c r="K1876" s="24"/>
      <c r="L1876" s="24"/>
      <c r="M1876" s="187"/>
      <c r="N1876" s="187"/>
    </row>
    <row r="1877">
      <c r="A1877" s="24"/>
      <c r="B1877" s="24"/>
      <c r="C1877" s="24"/>
      <c r="D1877" s="24"/>
      <c r="E1877" s="24"/>
      <c r="F1877" s="24"/>
      <c r="G1877" s="185"/>
      <c r="H1877" s="186"/>
      <c r="I1877" s="187"/>
      <c r="J1877" s="24"/>
      <c r="K1877" s="24"/>
      <c r="L1877" s="24"/>
      <c r="M1877" s="187"/>
      <c r="N1877" s="187"/>
    </row>
    <row r="1878">
      <c r="A1878" s="24"/>
      <c r="B1878" s="24"/>
      <c r="C1878" s="24"/>
      <c r="D1878" s="24"/>
      <c r="E1878" s="24"/>
      <c r="F1878" s="24"/>
      <c r="G1878" s="185"/>
      <c r="H1878" s="186"/>
      <c r="I1878" s="187"/>
      <c r="J1878" s="24"/>
      <c r="K1878" s="24"/>
      <c r="L1878" s="24"/>
      <c r="M1878" s="187"/>
      <c r="N1878" s="187"/>
    </row>
    <row r="1879">
      <c r="A1879" s="24"/>
      <c r="B1879" s="24"/>
      <c r="C1879" s="24"/>
      <c r="D1879" s="24"/>
      <c r="E1879" s="24"/>
      <c r="F1879" s="24"/>
      <c r="G1879" s="185"/>
      <c r="H1879" s="186"/>
      <c r="I1879" s="187"/>
      <c r="J1879" s="24"/>
      <c r="K1879" s="24"/>
      <c r="L1879" s="24"/>
      <c r="M1879" s="187"/>
      <c r="N1879" s="187"/>
    </row>
    <row r="1880">
      <c r="A1880" s="24"/>
      <c r="B1880" s="24"/>
      <c r="C1880" s="24"/>
      <c r="D1880" s="24"/>
      <c r="E1880" s="24"/>
      <c r="F1880" s="24"/>
      <c r="G1880" s="185"/>
      <c r="H1880" s="186"/>
      <c r="I1880" s="187"/>
      <c r="J1880" s="24"/>
      <c r="K1880" s="24"/>
      <c r="L1880" s="24"/>
      <c r="M1880" s="187"/>
      <c r="N1880" s="187"/>
    </row>
    <row r="1881">
      <c r="A1881" s="24"/>
      <c r="B1881" s="24"/>
      <c r="C1881" s="24"/>
      <c r="D1881" s="24"/>
      <c r="E1881" s="24"/>
      <c r="F1881" s="24"/>
      <c r="G1881" s="185"/>
      <c r="H1881" s="186"/>
      <c r="I1881" s="187"/>
      <c r="J1881" s="24"/>
      <c r="K1881" s="24"/>
      <c r="L1881" s="24"/>
      <c r="M1881" s="187"/>
      <c r="N1881" s="187"/>
    </row>
    <row r="1882">
      <c r="A1882" s="24"/>
      <c r="B1882" s="24"/>
      <c r="C1882" s="24"/>
      <c r="D1882" s="24"/>
      <c r="E1882" s="24"/>
      <c r="F1882" s="24"/>
      <c r="G1882" s="185"/>
      <c r="H1882" s="186"/>
      <c r="I1882" s="187"/>
      <c r="J1882" s="24"/>
      <c r="K1882" s="24"/>
      <c r="L1882" s="24"/>
      <c r="M1882" s="187"/>
      <c r="N1882" s="187"/>
    </row>
    <row r="1883">
      <c r="A1883" s="24"/>
      <c r="B1883" s="24"/>
      <c r="C1883" s="24"/>
      <c r="D1883" s="24"/>
      <c r="E1883" s="24"/>
      <c r="F1883" s="24"/>
      <c r="G1883" s="185"/>
      <c r="H1883" s="186"/>
      <c r="I1883" s="187"/>
      <c r="J1883" s="24"/>
      <c r="K1883" s="24"/>
      <c r="L1883" s="24"/>
      <c r="M1883" s="187"/>
      <c r="N1883" s="187"/>
    </row>
    <row r="1884">
      <c r="A1884" s="24"/>
      <c r="B1884" s="24"/>
      <c r="C1884" s="24"/>
      <c r="D1884" s="24"/>
      <c r="E1884" s="24"/>
      <c r="F1884" s="24"/>
      <c r="G1884" s="185"/>
      <c r="H1884" s="186"/>
      <c r="I1884" s="187"/>
      <c r="J1884" s="24"/>
      <c r="K1884" s="24"/>
      <c r="L1884" s="24"/>
      <c r="M1884" s="187"/>
      <c r="N1884" s="187"/>
    </row>
    <row r="1885">
      <c r="A1885" s="24"/>
      <c r="B1885" s="24"/>
      <c r="C1885" s="24"/>
      <c r="D1885" s="24"/>
      <c r="E1885" s="24"/>
      <c r="F1885" s="24"/>
      <c r="G1885" s="185"/>
      <c r="H1885" s="186"/>
      <c r="I1885" s="187"/>
      <c r="J1885" s="24"/>
      <c r="K1885" s="24"/>
      <c r="L1885" s="24"/>
      <c r="M1885" s="187"/>
      <c r="N1885" s="187"/>
    </row>
    <row r="1886">
      <c r="A1886" s="24"/>
      <c r="B1886" s="24"/>
      <c r="C1886" s="24"/>
      <c r="D1886" s="24"/>
      <c r="E1886" s="24"/>
      <c r="F1886" s="24"/>
      <c r="G1886" s="185"/>
      <c r="H1886" s="186"/>
      <c r="I1886" s="187"/>
      <c r="J1886" s="24"/>
      <c r="K1886" s="24"/>
      <c r="L1886" s="24"/>
      <c r="M1886" s="187"/>
      <c r="N1886" s="187"/>
    </row>
    <row r="1887">
      <c r="A1887" s="24"/>
      <c r="B1887" s="24"/>
      <c r="C1887" s="24"/>
      <c r="D1887" s="24"/>
      <c r="E1887" s="24"/>
      <c r="F1887" s="24"/>
      <c r="G1887" s="185"/>
      <c r="H1887" s="186"/>
      <c r="I1887" s="187"/>
      <c r="J1887" s="24"/>
      <c r="K1887" s="24"/>
      <c r="L1887" s="24"/>
      <c r="M1887" s="187"/>
      <c r="N1887" s="187"/>
    </row>
    <row r="1888">
      <c r="A1888" s="24"/>
      <c r="B1888" s="24"/>
      <c r="C1888" s="24"/>
      <c r="D1888" s="24"/>
      <c r="E1888" s="24"/>
      <c r="F1888" s="24"/>
      <c r="G1888" s="185"/>
      <c r="H1888" s="186"/>
      <c r="I1888" s="187"/>
      <c r="J1888" s="24"/>
      <c r="K1888" s="24"/>
      <c r="L1888" s="24"/>
      <c r="M1888" s="187"/>
      <c r="N1888" s="187"/>
    </row>
    <row r="1889">
      <c r="A1889" s="24"/>
      <c r="B1889" s="24"/>
      <c r="C1889" s="24"/>
      <c r="D1889" s="24"/>
      <c r="E1889" s="24"/>
      <c r="F1889" s="24"/>
      <c r="G1889" s="185"/>
      <c r="H1889" s="186"/>
      <c r="I1889" s="187"/>
      <c r="J1889" s="24"/>
      <c r="K1889" s="24"/>
      <c r="L1889" s="24"/>
      <c r="M1889" s="187"/>
      <c r="N1889" s="187"/>
    </row>
    <row r="1890">
      <c r="A1890" s="24"/>
      <c r="B1890" s="24"/>
      <c r="C1890" s="24"/>
      <c r="D1890" s="24"/>
      <c r="E1890" s="24"/>
      <c r="F1890" s="24"/>
      <c r="G1890" s="185"/>
      <c r="H1890" s="186"/>
      <c r="I1890" s="187"/>
      <c r="J1890" s="24"/>
      <c r="K1890" s="24"/>
      <c r="L1890" s="24"/>
      <c r="M1890" s="187"/>
      <c r="N1890" s="187"/>
    </row>
    <row r="1891">
      <c r="A1891" s="24"/>
      <c r="B1891" s="24"/>
      <c r="C1891" s="24"/>
      <c r="D1891" s="24"/>
      <c r="E1891" s="24"/>
      <c r="F1891" s="24"/>
      <c r="G1891" s="185"/>
      <c r="H1891" s="186"/>
      <c r="I1891" s="187"/>
      <c r="J1891" s="24"/>
      <c r="K1891" s="24"/>
      <c r="L1891" s="24"/>
      <c r="M1891" s="187"/>
      <c r="N1891" s="187"/>
    </row>
    <row r="1892">
      <c r="A1892" s="24"/>
      <c r="B1892" s="24"/>
      <c r="C1892" s="24"/>
      <c r="D1892" s="24"/>
      <c r="E1892" s="24"/>
      <c r="F1892" s="24"/>
      <c r="G1892" s="185"/>
      <c r="H1892" s="186"/>
      <c r="I1892" s="187"/>
      <c r="J1892" s="24"/>
      <c r="K1892" s="24"/>
      <c r="L1892" s="24"/>
      <c r="M1892" s="187"/>
      <c r="N1892" s="187"/>
    </row>
    <row r="1893">
      <c r="A1893" s="24"/>
      <c r="B1893" s="24"/>
      <c r="C1893" s="24"/>
      <c r="D1893" s="24"/>
      <c r="E1893" s="24"/>
      <c r="F1893" s="24"/>
      <c r="G1893" s="185"/>
      <c r="H1893" s="186"/>
      <c r="I1893" s="187"/>
      <c r="J1893" s="24"/>
      <c r="K1893" s="24"/>
      <c r="L1893" s="24"/>
      <c r="M1893" s="187"/>
      <c r="N1893" s="187"/>
    </row>
    <row r="1894">
      <c r="A1894" s="24"/>
      <c r="B1894" s="24"/>
      <c r="C1894" s="24"/>
      <c r="D1894" s="24"/>
      <c r="E1894" s="24"/>
      <c r="F1894" s="24"/>
      <c r="G1894" s="185"/>
      <c r="H1894" s="186"/>
      <c r="I1894" s="187"/>
      <c r="J1894" s="24"/>
      <c r="K1894" s="24"/>
      <c r="L1894" s="24"/>
      <c r="M1894" s="187"/>
      <c r="N1894" s="187"/>
    </row>
    <row r="1895">
      <c r="A1895" s="24"/>
      <c r="B1895" s="24"/>
      <c r="C1895" s="24"/>
      <c r="D1895" s="24"/>
      <c r="E1895" s="24"/>
      <c r="F1895" s="24"/>
      <c r="G1895" s="185"/>
      <c r="H1895" s="186"/>
      <c r="I1895" s="187"/>
      <c r="J1895" s="24"/>
      <c r="K1895" s="24"/>
      <c r="L1895" s="24"/>
      <c r="M1895" s="187"/>
      <c r="N1895" s="187"/>
    </row>
    <row r="1896">
      <c r="A1896" s="24"/>
      <c r="B1896" s="24"/>
      <c r="C1896" s="24"/>
      <c r="D1896" s="24"/>
      <c r="E1896" s="24"/>
      <c r="F1896" s="24"/>
      <c r="G1896" s="185"/>
      <c r="H1896" s="186"/>
      <c r="I1896" s="187"/>
      <c r="J1896" s="24"/>
      <c r="K1896" s="24"/>
      <c r="L1896" s="24"/>
      <c r="M1896" s="187"/>
      <c r="N1896" s="187"/>
    </row>
    <row r="1897">
      <c r="A1897" s="24"/>
      <c r="B1897" s="24"/>
      <c r="C1897" s="24"/>
      <c r="D1897" s="24"/>
      <c r="E1897" s="24"/>
      <c r="F1897" s="24"/>
      <c r="G1897" s="185"/>
      <c r="H1897" s="186"/>
      <c r="I1897" s="187"/>
      <c r="J1897" s="24"/>
      <c r="K1897" s="24"/>
      <c r="L1897" s="24"/>
      <c r="M1897" s="187"/>
      <c r="N1897" s="187"/>
    </row>
    <row r="1898">
      <c r="A1898" s="24"/>
      <c r="B1898" s="24"/>
      <c r="C1898" s="24"/>
      <c r="D1898" s="24"/>
      <c r="E1898" s="24"/>
      <c r="F1898" s="24"/>
      <c r="G1898" s="185"/>
      <c r="H1898" s="186"/>
      <c r="I1898" s="187"/>
      <c r="J1898" s="24"/>
      <c r="K1898" s="24"/>
      <c r="L1898" s="24"/>
      <c r="M1898" s="187"/>
      <c r="N1898" s="187"/>
    </row>
    <row r="1899">
      <c r="A1899" s="24"/>
      <c r="B1899" s="24"/>
      <c r="C1899" s="24"/>
      <c r="D1899" s="24"/>
      <c r="E1899" s="24"/>
      <c r="F1899" s="24"/>
      <c r="G1899" s="185"/>
      <c r="H1899" s="186"/>
      <c r="I1899" s="187"/>
      <c r="J1899" s="24"/>
      <c r="K1899" s="24"/>
      <c r="L1899" s="24"/>
      <c r="M1899" s="187"/>
      <c r="N1899" s="187"/>
    </row>
    <row r="1900">
      <c r="A1900" s="24"/>
      <c r="B1900" s="24"/>
      <c r="C1900" s="24"/>
      <c r="D1900" s="24"/>
      <c r="E1900" s="24"/>
      <c r="F1900" s="24"/>
      <c r="G1900" s="185"/>
      <c r="H1900" s="186"/>
      <c r="I1900" s="187"/>
      <c r="J1900" s="24"/>
      <c r="K1900" s="24"/>
      <c r="L1900" s="24"/>
      <c r="M1900" s="187"/>
      <c r="N1900" s="187"/>
    </row>
    <row r="1901">
      <c r="A1901" s="24"/>
      <c r="B1901" s="24"/>
      <c r="C1901" s="24"/>
      <c r="D1901" s="24"/>
      <c r="E1901" s="24"/>
      <c r="F1901" s="24"/>
      <c r="G1901" s="185"/>
      <c r="H1901" s="186"/>
      <c r="I1901" s="187"/>
      <c r="J1901" s="24"/>
      <c r="K1901" s="24"/>
      <c r="L1901" s="24"/>
      <c r="M1901" s="187"/>
      <c r="N1901" s="187"/>
    </row>
    <row r="1902">
      <c r="A1902" s="24"/>
      <c r="B1902" s="24"/>
      <c r="C1902" s="24"/>
      <c r="D1902" s="24"/>
      <c r="E1902" s="24"/>
      <c r="F1902" s="24"/>
      <c r="G1902" s="185"/>
      <c r="H1902" s="186"/>
      <c r="I1902" s="187"/>
      <c r="J1902" s="24"/>
      <c r="K1902" s="24"/>
      <c r="L1902" s="24"/>
      <c r="M1902" s="187"/>
      <c r="N1902" s="187"/>
    </row>
    <row r="1903">
      <c r="A1903" s="24"/>
      <c r="B1903" s="24"/>
      <c r="C1903" s="24"/>
      <c r="D1903" s="24"/>
      <c r="E1903" s="24"/>
      <c r="F1903" s="24"/>
      <c r="G1903" s="185"/>
      <c r="H1903" s="186"/>
      <c r="I1903" s="187"/>
      <c r="J1903" s="24"/>
      <c r="K1903" s="24"/>
      <c r="L1903" s="24"/>
      <c r="M1903" s="187"/>
      <c r="N1903" s="187"/>
    </row>
    <row r="1904">
      <c r="A1904" s="24"/>
      <c r="B1904" s="24"/>
      <c r="C1904" s="24"/>
      <c r="D1904" s="24"/>
      <c r="E1904" s="24"/>
      <c r="F1904" s="24"/>
      <c r="G1904" s="185"/>
      <c r="H1904" s="186"/>
      <c r="I1904" s="187"/>
      <c r="J1904" s="24"/>
      <c r="K1904" s="24"/>
      <c r="L1904" s="24"/>
      <c r="M1904" s="187"/>
      <c r="N1904" s="187"/>
    </row>
    <row r="1905">
      <c r="A1905" s="24"/>
      <c r="B1905" s="24"/>
      <c r="C1905" s="24"/>
      <c r="D1905" s="24"/>
      <c r="E1905" s="24"/>
      <c r="F1905" s="24"/>
      <c r="G1905" s="185"/>
      <c r="H1905" s="186"/>
      <c r="I1905" s="187"/>
      <c r="J1905" s="24"/>
      <c r="K1905" s="24"/>
      <c r="L1905" s="24"/>
      <c r="M1905" s="187"/>
      <c r="N1905" s="187"/>
    </row>
    <row r="1906">
      <c r="A1906" s="24"/>
      <c r="B1906" s="24"/>
      <c r="C1906" s="24"/>
      <c r="D1906" s="24"/>
      <c r="E1906" s="24"/>
      <c r="F1906" s="24"/>
      <c r="G1906" s="185"/>
      <c r="H1906" s="186"/>
      <c r="I1906" s="187"/>
      <c r="J1906" s="24"/>
      <c r="K1906" s="24"/>
      <c r="L1906" s="24"/>
      <c r="M1906" s="187"/>
      <c r="N1906" s="187"/>
    </row>
    <row r="1907">
      <c r="A1907" s="24"/>
      <c r="B1907" s="24"/>
      <c r="C1907" s="24"/>
      <c r="D1907" s="24"/>
      <c r="E1907" s="24"/>
      <c r="F1907" s="24"/>
      <c r="G1907" s="185"/>
      <c r="H1907" s="186"/>
      <c r="I1907" s="187"/>
      <c r="J1907" s="24"/>
      <c r="K1907" s="24"/>
      <c r="L1907" s="24"/>
      <c r="M1907" s="187"/>
      <c r="N1907" s="187"/>
    </row>
    <row r="1908">
      <c r="A1908" s="24"/>
      <c r="B1908" s="24"/>
      <c r="C1908" s="24"/>
      <c r="D1908" s="24"/>
      <c r="E1908" s="24"/>
      <c r="F1908" s="24"/>
      <c r="G1908" s="185"/>
      <c r="H1908" s="186"/>
      <c r="I1908" s="187"/>
      <c r="J1908" s="24"/>
      <c r="K1908" s="24"/>
      <c r="L1908" s="24"/>
      <c r="M1908" s="187"/>
      <c r="N1908" s="187"/>
    </row>
    <row r="1909">
      <c r="A1909" s="24"/>
      <c r="B1909" s="24"/>
      <c r="C1909" s="24"/>
      <c r="D1909" s="24"/>
      <c r="E1909" s="24"/>
      <c r="F1909" s="24"/>
      <c r="G1909" s="185"/>
      <c r="H1909" s="186"/>
      <c r="I1909" s="187"/>
      <c r="J1909" s="24"/>
      <c r="K1909" s="24"/>
      <c r="L1909" s="24"/>
      <c r="M1909" s="187"/>
      <c r="N1909" s="187"/>
    </row>
    <row r="1910">
      <c r="A1910" s="24"/>
      <c r="B1910" s="24"/>
      <c r="C1910" s="24"/>
      <c r="D1910" s="24"/>
      <c r="E1910" s="24"/>
      <c r="F1910" s="24"/>
      <c r="G1910" s="185"/>
      <c r="H1910" s="186"/>
      <c r="I1910" s="187"/>
      <c r="J1910" s="24"/>
      <c r="K1910" s="24"/>
      <c r="L1910" s="24"/>
      <c r="M1910" s="187"/>
      <c r="N1910" s="187"/>
    </row>
    <row r="1911">
      <c r="A1911" s="24"/>
      <c r="B1911" s="24"/>
      <c r="C1911" s="24"/>
      <c r="D1911" s="24"/>
      <c r="E1911" s="24"/>
      <c r="F1911" s="24"/>
      <c r="G1911" s="185"/>
      <c r="H1911" s="186"/>
      <c r="I1911" s="187"/>
      <c r="J1911" s="24"/>
      <c r="K1911" s="24"/>
      <c r="L1911" s="24"/>
      <c r="M1911" s="187"/>
      <c r="N1911" s="187"/>
    </row>
    <row r="1912">
      <c r="A1912" s="24"/>
      <c r="B1912" s="24"/>
      <c r="C1912" s="24"/>
      <c r="D1912" s="24"/>
      <c r="E1912" s="24"/>
      <c r="F1912" s="24"/>
      <c r="G1912" s="185"/>
      <c r="H1912" s="186"/>
      <c r="I1912" s="187"/>
      <c r="J1912" s="24"/>
      <c r="K1912" s="24"/>
      <c r="L1912" s="24"/>
      <c r="M1912" s="187"/>
      <c r="N1912" s="187"/>
    </row>
    <row r="1913">
      <c r="A1913" s="24"/>
      <c r="B1913" s="24"/>
      <c r="C1913" s="24"/>
      <c r="D1913" s="24"/>
      <c r="E1913" s="24"/>
      <c r="F1913" s="24"/>
      <c r="G1913" s="185"/>
      <c r="H1913" s="186"/>
      <c r="I1913" s="187"/>
      <c r="J1913" s="24"/>
      <c r="K1913" s="24"/>
      <c r="L1913" s="24"/>
      <c r="M1913" s="187"/>
      <c r="N1913" s="187"/>
    </row>
    <row r="1914">
      <c r="A1914" s="24"/>
      <c r="B1914" s="24"/>
      <c r="C1914" s="24"/>
      <c r="D1914" s="24"/>
      <c r="E1914" s="24"/>
      <c r="F1914" s="24"/>
      <c r="G1914" s="185"/>
      <c r="H1914" s="186"/>
      <c r="I1914" s="187"/>
      <c r="J1914" s="24"/>
      <c r="K1914" s="24"/>
      <c r="L1914" s="24"/>
      <c r="M1914" s="187"/>
      <c r="N1914" s="187"/>
    </row>
    <row r="1915">
      <c r="A1915" s="24"/>
      <c r="B1915" s="24"/>
      <c r="C1915" s="24"/>
      <c r="D1915" s="24"/>
      <c r="E1915" s="24"/>
      <c r="F1915" s="24"/>
      <c r="G1915" s="185"/>
      <c r="H1915" s="186"/>
      <c r="I1915" s="187"/>
      <c r="J1915" s="24"/>
      <c r="K1915" s="24"/>
      <c r="L1915" s="24"/>
      <c r="M1915" s="187"/>
      <c r="N1915" s="187"/>
    </row>
    <row r="1916">
      <c r="A1916" s="24"/>
      <c r="B1916" s="24"/>
      <c r="C1916" s="24"/>
      <c r="D1916" s="24"/>
      <c r="E1916" s="24"/>
      <c r="F1916" s="24"/>
      <c r="G1916" s="185"/>
      <c r="H1916" s="186"/>
      <c r="I1916" s="187"/>
      <c r="J1916" s="24"/>
      <c r="K1916" s="24"/>
      <c r="L1916" s="24"/>
      <c r="M1916" s="187"/>
      <c r="N1916" s="187"/>
    </row>
    <row r="1917">
      <c r="A1917" s="24"/>
      <c r="B1917" s="24"/>
      <c r="C1917" s="24"/>
      <c r="D1917" s="24"/>
      <c r="E1917" s="24"/>
      <c r="F1917" s="24"/>
      <c r="G1917" s="185"/>
      <c r="H1917" s="186"/>
      <c r="I1917" s="187"/>
      <c r="J1917" s="24"/>
      <c r="K1917" s="24"/>
      <c r="L1917" s="24"/>
      <c r="M1917" s="187"/>
      <c r="N1917" s="187"/>
    </row>
    <row r="1918">
      <c r="A1918" s="24"/>
      <c r="B1918" s="24"/>
      <c r="C1918" s="24"/>
      <c r="D1918" s="24"/>
      <c r="E1918" s="24"/>
      <c r="F1918" s="24"/>
      <c r="G1918" s="185"/>
      <c r="H1918" s="186"/>
      <c r="I1918" s="187"/>
      <c r="J1918" s="24"/>
      <c r="K1918" s="24"/>
      <c r="L1918" s="24"/>
      <c r="M1918" s="187"/>
      <c r="N1918" s="187"/>
    </row>
    <row r="1919">
      <c r="A1919" s="24"/>
      <c r="B1919" s="24"/>
      <c r="C1919" s="24"/>
      <c r="D1919" s="24"/>
      <c r="E1919" s="24"/>
      <c r="F1919" s="24"/>
      <c r="G1919" s="185"/>
      <c r="H1919" s="186"/>
      <c r="I1919" s="187"/>
      <c r="J1919" s="24"/>
      <c r="K1919" s="24"/>
      <c r="L1919" s="24"/>
      <c r="M1919" s="187"/>
      <c r="N1919" s="187"/>
    </row>
    <row r="1920">
      <c r="A1920" s="24"/>
      <c r="B1920" s="24"/>
      <c r="C1920" s="24"/>
      <c r="D1920" s="24"/>
      <c r="E1920" s="24"/>
      <c r="F1920" s="24"/>
      <c r="G1920" s="185"/>
      <c r="H1920" s="186"/>
      <c r="I1920" s="187"/>
      <c r="J1920" s="24"/>
      <c r="K1920" s="24"/>
      <c r="L1920" s="24"/>
      <c r="M1920" s="187"/>
      <c r="N1920" s="187"/>
    </row>
    <row r="1921">
      <c r="A1921" s="24"/>
      <c r="B1921" s="24"/>
      <c r="C1921" s="24"/>
      <c r="D1921" s="24"/>
      <c r="E1921" s="24"/>
      <c r="F1921" s="24"/>
      <c r="G1921" s="185"/>
      <c r="H1921" s="186"/>
      <c r="I1921" s="187"/>
      <c r="J1921" s="24"/>
      <c r="K1921" s="24"/>
      <c r="L1921" s="24"/>
      <c r="M1921" s="187"/>
      <c r="N1921" s="187"/>
    </row>
    <row r="1922">
      <c r="A1922" s="24"/>
      <c r="B1922" s="24"/>
      <c r="C1922" s="24"/>
      <c r="D1922" s="24"/>
      <c r="E1922" s="24"/>
      <c r="F1922" s="24"/>
      <c r="G1922" s="185"/>
      <c r="H1922" s="186"/>
      <c r="I1922" s="187"/>
      <c r="J1922" s="24"/>
      <c r="K1922" s="24"/>
      <c r="L1922" s="24"/>
      <c r="M1922" s="187"/>
      <c r="N1922" s="187"/>
    </row>
    <row r="1923">
      <c r="A1923" s="24"/>
      <c r="B1923" s="24"/>
      <c r="C1923" s="24"/>
      <c r="D1923" s="24"/>
      <c r="E1923" s="24"/>
      <c r="F1923" s="24"/>
      <c r="G1923" s="185"/>
      <c r="H1923" s="186"/>
      <c r="I1923" s="187"/>
      <c r="J1923" s="24"/>
      <c r="K1923" s="24"/>
      <c r="L1923" s="24"/>
      <c r="M1923" s="187"/>
      <c r="N1923" s="187"/>
    </row>
    <row r="1924">
      <c r="A1924" s="24"/>
      <c r="B1924" s="24"/>
      <c r="C1924" s="24"/>
      <c r="D1924" s="24"/>
      <c r="E1924" s="24"/>
      <c r="F1924" s="24"/>
      <c r="G1924" s="185"/>
      <c r="H1924" s="186"/>
      <c r="I1924" s="187"/>
      <c r="J1924" s="24"/>
      <c r="K1924" s="24"/>
      <c r="L1924" s="24"/>
      <c r="M1924" s="187"/>
      <c r="N1924" s="187"/>
    </row>
    <row r="1925">
      <c r="A1925" s="24"/>
      <c r="B1925" s="24"/>
      <c r="C1925" s="24"/>
      <c r="D1925" s="24"/>
      <c r="E1925" s="24"/>
      <c r="F1925" s="24"/>
      <c r="G1925" s="185"/>
      <c r="H1925" s="186"/>
      <c r="I1925" s="187"/>
      <c r="J1925" s="24"/>
      <c r="K1925" s="24"/>
      <c r="L1925" s="24"/>
      <c r="M1925" s="187"/>
      <c r="N1925" s="187"/>
    </row>
    <row r="1926">
      <c r="A1926" s="24"/>
      <c r="B1926" s="24"/>
      <c r="C1926" s="24"/>
      <c r="D1926" s="24"/>
      <c r="E1926" s="24"/>
      <c r="F1926" s="24"/>
      <c r="G1926" s="185"/>
      <c r="H1926" s="186"/>
      <c r="I1926" s="187"/>
      <c r="J1926" s="24"/>
      <c r="K1926" s="24"/>
      <c r="L1926" s="24"/>
      <c r="M1926" s="187"/>
      <c r="N1926" s="187"/>
    </row>
    <row r="1927">
      <c r="A1927" s="24"/>
      <c r="B1927" s="24"/>
      <c r="C1927" s="24"/>
      <c r="D1927" s="24"/>
      <c r="E1927" s="24"/>
      <c r="F1927" s="24"/>
      <c r="G1927" s="185"/>
      <c r="H1927" s="186"/>
      <c r="I1927" s="187"/>
      <c r="J1927" s="24"/>
      <c r="K1927" s="24"/>
      <c r="L1927" s="24"/>
      <c r="M1927" s="187"/>
      <c r="N1927" s="187"/>
    </row>
    <row r="1928">
      <c r="A1928" s="24"/>
      <c r="B1928" s="24"/>
      <c r="C1928" s="24"/>
      <c r="D1928" s="24"/>
      <c r="E1928" s="24"/>
      <c r="F1928" s="24"/>
      <c r="G1928" s="185"/>
      <c r="H1928" s="186"/>
      <c r="I1928" s="187"/>
      <c r="J1928" s="24"/>
      <c r="K1928" s="24"/>
      <c r="L1928" s="24"/>
      <c r="M1928" s="187"/>
      <c r="N1928" s="187"/>
    </row>
    <row r="1929">
      <c r="A1929" s="24"/>
      <c r="B1929" s="24"/>
      <c r="C1929" s="24"/>
      <c r="D1929" s="24"/>
      <c r="E1929" s="24"/>
      <c r="F1929" s="24"/>
      <c r="G1929" s="185"/>
      <c r="H1929" s="186"/>
      <c r="I1929" s="187"/>
      <c r="J1929" s="24"/>
      <c r="K1929" s="24"/>
      <c r="L1929" s="24"/>
      <c r="M1929" s="187"/>
      <c r="N1929" s="187"/>
    </row>
    <row r="1930">
      <c r="A1930" s="24"/>
      <c r="B1930" s="24"/>
      <c r="C1930" s="24"/>
      <c r="D1930" s="24"/>
      <c r="E1930" s="24"/>
      <c r="F1930" s="24"/>
      <c r="G1930" s="185"/>
      <c r="H1930" s="186"/>
      <c r="I1930" s="187"/>
      <c r="J1930" s="24"/>
      <c r="K1930" s="24"/>
      <c r="L1930" s="24"/>
      <c r="M1930" s="187"/>
      <c r="N1930" s="187"/>
    </row>
    <row r="1931">
      <c r="A1931" s="24"/>
      <c r="B1931" s="24"/>
      <c r="C1931" s="24"/>
      <c r="D1931" s="24"/>
      <c r="E1931" s="24"/>
      <c r="F1931" s="24"/>
      <c r="G1931" s="185"/>
      <c r="H1931" s="186"/>
      <c r="I1931" s="187"/>
      <c r="J1931" s="24"/>
      <c r="K1931" s="24"/>
      <c r="L1931" s="24"/>
      <c r="M1931" s="187"/>
      <c r="N1931" s="187"/>
    </row>
    <row r="1932">
      <c r="A1932" s="24"/>
      <c r="B1932" s="24"/>
      <c r="C1932" s="24"/>
      <c r="D1932" s="24"/>
      <c r="E1932" s="24"/>
      <c r="F1932" s="24"/>
      <c r="G1932" s="185"/>
      <c r="H1932" s="186"/>
      <c r="I1932" s="187"/>
      <c r="J1932" s="24"/>
      <c r="K1932" s="24"/>
      <c r="L1932" s="24"/>
      <c r="M1932" s="187"/>
      <c r="N1932" s="187"/>
    </row>
    <row r="1933">
      <c r="A1933" s="24"/>
      <c r="B1933" s="24"/>
      <c r="C1933" s="24"/>
      <c r="D1933" s="24"/>
      <c r="E1933" s="24"/>
      <c r="F1933" s="24"/>
      <c r="G1933" s="185"/>
      <c r="H1933" s="186"/>
      <c r="I1933" s="187"/>
      <c r="J1933" s="24"/>
      <c r="K1933" s="24"/>
      <c r="L1933" s="24"/>
      <c r="M1933" s="187"/>
      <c r="N1933" s="187"/>
    </row>
    <row r="1934">
      <c r="A1934" s="24"/>
      <c r="B1934" s="24"/>
      <c r="C1934" s="24"/>
      <c r="D1934" s="24"/>
      <c r="E1934" s="24"/>
      <c r="F1934" s="24"/>
      <c r="G1934" s="185"/>
      <c r="H1934" s="186"/>
      <c r="I1934" s="187"/>
      <c r="J1934" s="24"/>
      <c r="K1934" s="24"/>
      <c r="L1934" s="24"/>
      <c r="M1934" s="187"/>
      <c r="N1934" s="187"/>
    </row>
    <row r="1935">
      <c r="A1935" s="24"/>
      <c r="B1935" s="24"/>
      <c r="C1935" s="24"/>
      <c r="D1935" s="24"/>
      <c r="E1935" s="24"/>
      <c r="F1935" s="24"/>
      <c r="G1935" s="185"/>
      <c r="H1935" s="186"/>
      <c r="I1935" s="187"/>
      <c r="J1935" s="24"/>
      <c r="K1935" s="24"/>
      <c r="L1935" s="24"/>
      <c r="M1935" s="187"/>
      <c r="N1935" s="187"/>
    </row>
    <row r="1936">
      <c r="A1936" s="24"/>
      <c r="B1936" s="24"/>
      <c r="C1936" s="24"/>
      <c r="D1936" s="24"/>
      <c r="E1936" s="24"/>
      <c r="F1936" s="24"/>
      <c r="G1936" s="185"/>
      <c r="H1936" s="186"/>
      <c r="I1936" s="187"/>
      <c r="J1936" s="24"/>
      <c r="K1936" s="24"/>
      <c r="L1936" s="24"/>
      <c r="M1936" s="187"/>
      <c r="N1936" s="187"/>
    </row>
    <row r="1937">
      <c r="A1937" s="24"/>
      <c r="B1937" s="24"/>
      <c r="C1937" s="24"/>
      <c r="D1937" s="24"/>
      <c r="E1937" s="24"/>
      <c r="F1937" s="24"/>
      <c r="G1937" s="185"/>
      <c r="H1937" s="186"/>
      <c r="I1937" s="187"/>
      <c r="J1937" s="24"/>
      <c r="K1937" s="24"/>
      <c r="L1937" s="24"/>
      <c r="M1937" s="187"/>
      <c r="N1937" s="187"/>
    </row>
    <row r="1938">
      <c r="A1938" s="24"/>
      <c r="B1938" s="24"/>
      <c r="C1938" s="24"/>
      <c r="D1938" s="24"/>
      <c r="E1938" s="24"/>
      <c r="F1938" s="24"/>
      <c r="G1938" s="185"/>
      <c r="H1938" s="186"/>
      <c r="I1938" s="187"/>
      <c r="J1938" s="24"/>
      <c r="K1938" s="24"/>
      <c r="L1938" s="24"/>
      <c r="M1938" s="187"/>
      <c r="N1938" s="187"/>
    </row>
    <row r="1939">
      <c r="A1939" s="24"/>
      <c r="B1939" s="24"/>
      <c r="C1939" s="24"/>
      <c r="D1939" s="24"/>
      <c r="E1939" s="24"/>
      <c r="F1939" s="24"/>
      <c r="G1939" s="185"/>
      <c r="H1939" s="186"/>
      <c r="I1939" s="187"/>
      <c r="J1939" s="24"/>
      <c r="K1939" s="24"/>
      <c r="L1939" s="24"/>
      <c r="M1939" s="187"/>
      <c r="N1939" s="187"/>
    </row>
    <row r="1940">
      <c r="A1940" s="24"/>
      <c r="B1940" s="24"/>
      <c r="C1940" s="24"/>
      <c r="D1940" s="24"/>
      <c r="E1940" s="24"/>
      <c r="F1940" s="24"/>
      <c r="G1940" s="185"/>
      <c r="H1940" s="186"/>
      <c r="I1940" s="187"/>
      <c r="J1940" s="24"/>
      <c r="K1940" s="24"/>
      <c r="L1940" s="24"/>
      <c r="M1940" s="187"/>
      <c r="N1940" s="187"/>
    </row>
    <row r="1941">
      <c r="A1941" s="24"/>
      <c r="B1941" s="24"/>
      <c r="C1941" s="24"/>
      <c r="D1941" s="24"/>
      <c r="E1941" s="24"/>
      <c r="F1941" s="24"/>
      <c r="G1941" s="185"/>
      <c r="H1941" s="186"/>
      <c r="I1941" s="187"/>
      <c r="J1941" s="24"/>
      <c r="K1941" s="24"/>
      <c r="L1941" s="24"/>
      <c r="M1941" s="187"/>
      <c r="N1941" s="187"/>
    </row>
    <row r="1942">
      <c r="A1942" s="24"/>
      <c r="B1942" s="24"/>
      <c r="C1942" s="24"/>
      <c r="D1942" s="24"/>
      <c r="E1942" s="24"/>
      <c r="F1942" s="24"/>
      <c r="G1942" s="185"/>
      <c r="H1942" s="186"/>
      <c r="I1942" s="187"/>
      <c r="J1942" s="24"/>
      <c r="K1942" s="24"/>
      <c r="L1942" s="24"/>
      <c r="M1942" s="187"/>
      <c r="N1942" s="187"/>
    </row>
    <row r="1943">
      <c r="A1943" s="24"/>
      <c r="B1943" s="24"/>
      <c r="C1943" s="24"/>
      <c r="D1943" s="24"/>
      <c r="E1943" s="24"/>
      <c r="F1943" s="24"/>
      <c r="G1943" s="185"/>
      <c r="H1943" s="186"/>
      <c r="I1943" s="187"/>
      <c r="J1943" s="24"/>
      <c r="K1943" s="24"/>
      <c r="L1943" s="24"/>
      <c r="M1943" s="187"/>
      <c r="N1943" s="187"/>
    </row>
    <row r="1944">
      <c r="A1944" s="24"/>
      <c r="B1944" s="24"/>
      <c r="C1944" s="24"/>
      <c r="D1944" s="24"/>
      <c r="E1944" s="24"/>
      <c r="F1944" s="24"/>
      <c r="G1944" s="185"/>
      <c r="H1944" s="186"/>
      <c r="I1944" s="187"/>
      <c r="J1944" s="24"/>
      <c r="K1944" s="24"/>
      <c r="L1944" s="24"/>
      <c r="M1944" s="187"/>
      <c r="N1944" s="187"/>
    </row>
    <row r="1945">
      <c r="A1945" s="24"/>
      <c r="B1945" s="24"/>
      <c r="C1945" s="24"/>
      <c r="D1945" s="24"/>
      <c r="E1945" s="24"/>
      <c r="F1945" s="24"/>
      <c r="G1945" s="185"/>
      <c r="H1945" s="186"/>
      <c r="I1945" s="187"/>
      <c r="J1945" s="24"/>
      <c r="K1945" s="24"/>
      <c r="L1945" s="24"/>
      <c r="M1945" s="187"/>
      <c r="N1945" s="187"/>
    </row>
    <row r="1946">
      <c r="A1946" s="24"/>
      <c r="B1946" s="24"/>
      <c r="C1946" s="24"/>
      <c r="D1946" s="24"/>
      <c r="E1946" s="24"/>
      <c r="F1946" s="24"/>
      <c r="G1946" s="185"/>
      <c r="H1946" s="186"/>
      <c r="I1946" s="187"/>
      <c r="J1946" s="24"/>
      <c r="K1946" s="24"/>
      <c r="L1946" s="24"/>
      <c r="M1946" s="187"/>
      <c r="N1946" s="187"/>
    </row>
    <row r="1947">
      <c r="A1947" s="24"/>
      <c r="B1947" s="24"/>
      <c r="C1947" s="24"/>
      <c r="D1947" s="24"/>
      <c r="E1947" s="24"/>
      <c r="F1947" s="24"/>
      <c r="G1947" s="185"/>
      <c r="H1947" s="186"/>
      <c r="I1947" s="187"/>
      <c r="J1947" s="24"/>
      <c r="K1947" s="24"/>
      <c r="L1947" s="24"/>
      <c r="M1947" s="187"/>
      <c r="N1947" s="187"/>
    </row>
    <row r="1948">
      <c r="A1948" s="24"/>
      <c r="B1948" s="24"/>
      <c r="C1948" s="24"/>
      <c r="D1948" s="24"/>
      <c r="E1948" s="24"/>
      <c r="F1948" s="24"/>
      <c r="G1948" s="185"/>
      <c r="H1948" s="186"/>
      <c r="I1948" s="187"/>
      <c r="J1948" s="24"/>
      <c r="K1948" s="24"/>
      <c r="L1948" s="24"/>
      <c r="M1948" s="187"/>
      <c r="N1948" s="187"/>
    </row>
    <row r="1949">
      <c r="A1949" s="24"/>
      <c r="B1949" s="24"/>
      <c r="C1949" s="24"/>
      <c r="D1949" s="24"/>
      <c r="E1949" s="24"/>
      <c r="F1949" s="24"/>
      <c r="G1949" s="185"/>
      <c r="H1949" s="186"/>
      <c r="I1949" s="187"/>
      <c r="J1949" s="24"/>
      <c r="K1949" s="24"/>
      <c r="L1949" s="24"/>
      <c r="M1949" s="187"/>
      <c r="N1949" s="187"/>
    </row>
    <row r="1950">
      <c r="A1950" s="24"/>
      <c r="B1950" s="24"/>
      <c r="C1950" s="24"/>
      <c r="D1950" s="24"/>
      <c r="E1950" s="24"/>
      <c r="F1950" s="24"/>
      <c r="G1950" s="185"/>
      <c r="H1950" s="186"/>
      <c r="I1950" s="187"/>
      <c r="J1950" s="24"/>
      <c r="K1950" s="24"/>
      <c r="L1950" s="24"/>
      <c r="M1950" s="187"/>
      <c r="N1950" s="187"/>
    </row>
    <row r="1951">
      <c r="A1951" s="24"/>
      <c r="B1951" s="24"/>
      <c r="C1951" s="24"/>
      <c r="D1951" s="24"/>
      <c r="E1951" s="24"/>
      <c r="F1951" s="24"/>
      <c r="G1951" s="185"/>
      <c r="H1951" s="186"/>
      <c r="I1951" s="187"/>
      <c r="J1951" s="24"/>
      <c r="K1951" s="24"/>
      <c r="L1951" s="24"/>
      <c r="M1951" s="187"/>
      <c r="N1951" s="187"/>
    </row>
    <row r="1952">
      <c r="A1952" s="24"/>
      <c r="B1952" s="24"/>
      <c r="C1952" s="24"/>
      <c r="D1952" s="24"/>
      <c r="E1952" s="24"/>
      <c r="F1952" s="24"/>
      <c r="G1952" s="185"/>
      <c r="H1952" s="186"/>
      <c r="I1952" s="187"/>
      <c r="J1952" s="24"/>
      <c r="K1952" s="24"/>
      <c r="L1952" s="24"/>
      <c r="M1952" s="187"/>
      <c r="N1952" s="187"/>
    </row>
    <row r="1953">
      <c r="A1953" s="24"/>
      <c r="B1953" s="24"/>
      <c r="C1953" s="24"/>
      <c r="D1953" s="24"/>
      <c r="E1953" s="24"/>
      <c r="F1953" s="24"/>
      <c r="G1953" s="185"/>
      <c r="H1953" s="186"/>
      <c r="I1953" s="187"/>
      <c r="J1953" s="24"/>
      <c r="K1953" s="24"/>
      <c r="L1953" s="24"/>
      <c r="M1953" s="187"/>
      <c r="N1953" s="187"/>
    </row>
    <row r="1954">
      <c r="A1954" s="24"/>
      <c r="B1954" s="24"/>
      <c r="C1954" s="24"/>
      <c r="D1954" s="24"/>
      <c r="E1954" s="24"/>
      <c r="F1954" s="24"/>
      <c r="G1954" s="185"/>
      <c r="H1954" s="186"/>
      <c r="I1954" s="187"/>
      <c r="J1954" s="24"/>
      <c r="K1954" s="24"/>
      <c r="L1954" s="24"/>
      <c r="M1954" s="187"/>
      <c r="N1954" s="187"/>
    </row>
    <row r="1955">
      <c r="A1955" s="24"/>
      <c r="B1955" s="24"/>
      <c r="C1955" s="24"/>
      <c r="D1955" s="24"/>
      <c r="E1955" s="24"/>
      <c r="F1955" s="24"/>
      <c r="G1955" s="185"/>
      <c r="H1955" s="186"/>
      <c r="I1955" s="187"/>
      <c r="J1955" s="24"/>
      <c r="K1955" s="24"/>
      <c r="L1955" s="24"/>
      <c r="M1955" s="187"/>
      <c r="N1955" s="187"/>
    </row>
    <row r="1956">
      <c r="A1956" s="24"/>
      <c r="B1956" s="24"/>
      <c r="C1956" s="24"/>
      <c r="D1956" s="24"/>
      <c r="E1956" s="24"/>
      <c r="F1956" s="24"/>
      <c r="G1956" s="185"/>
      <c r="H1956" s="186"/>
      <c r="I1956" s="187"/>
      <c r="J1956" s="24"/>
      <c r="K1956" s="24"/>
      <c r="L1956" s="24"/>
      <c r="M1956" s="187"/>
      <c r="N1956" s="187"/>
    </row>
    <row r="1957">
      <c r="A1957" s="24"/>
      <c r="B1957" s="24"/>
      <c r="C1957" s="24"/>
      <c r="D1957" s="24"/>
      <c r="E1957" s="24"/>
      <c r="F1957" s="24"/>
      <c r="G1957" s="185"/>
      <c r="H1957" s="186"/>
      <c r="I1957" s="187"/>
      <c r="J1957" s="24"/>
      <c r="K1957" s="24"/>
      <c r="L1957" s="24"/>
      <c r="M1957" s="187"/>
      <c r="N1957" s="187"/>
    </row>
    <row r="1958">
      <c r="A1958" s="24"/>
      <c r="B1958" s="24"/>
      <c r="C1958" s="24"/>
      <c r="D1958" s="24"/>
      <c r="E1958" s="24"/>
      <c r="F1958" s="24"/>
      <c r="G1958" s="185"/>
      <c r="H1958" s="186"/>
      <c r="I1958" s="187"/>
      <c r="J1958" s="24"/>
      <c r="K1958" s="24"/>
      <c r="L1958" s="24"/>
      <c r="M1958" s="187"/>
      <c r="N1958" s="187"/>
    </row>
    <row r="1959">
      <c r="A1959" s="24"/>
      <c r="B1959" s="24"/>
      <c r="C1959" s="24"/>
      <c r="D1959" s="24"/>
      <c r="E1959" s="24"/>
      <c r="F1959" s="24"/>
      <c r="G1959" s="185"/>
      <c r="H1959" s="186"/>
      <c r="I1959" s="187"/>
      <c r="J1959" s="24"/>
      <c r="K1959" s="24"/>
      <c r="L1959" s="24"/>
      <c r="M1959" s="187"/>
      <c r="N1959" s="187"/>
    </row>
    <row r="1960">
      <c r="A1960" s="24"/>
      <c r="B1960" s="24"/>
      <c r="C1960" s="24"/>
      <c r="D1960" s="24"/>
      <c r="E1960" s="24"/>
      <c r="F1960" s="24"/>
      <c r="G1960" s="185"/>
      <c r="H1960" s="186"/>
      <c r="I1960" s="187"/>
      <c r="J1960" s="24"/>
      <c r="K1960" s="24"/>
      <c r="L1960" s="24"/>
      <c r="M1960" s="187"/>
      <c r="N1960" s="187"/>
    </row>
    <row r="1961">
      <c r="A1961" s="24"/>
      <c r="B1961" s="24"/>
      <c r="C1961" s="24"/>
      <c r="D1961" s="24"/>
      <c r="E1961" s="24"/>
      <c r="F1961" s="24"/>
      <c r="G1961" s="185"/>
      <c r="H1961" s="186"/>
      <c r="I1961" s="187"/>
      <c r="J1961" s="24"/>
      <c r="K1961" s="24"/>
      <c r="L1961" s="24"/>
      <c r="M1961" s="187"/>
      <c r="N1961" s="187"/>
    </row>
    <row r="1962">
      <c r="A1962" s="24"/>
      <c r="B1962" s="24"/>
      <c r="C1962" s="24"/>
      <c r="D1962" s="24"/>
      <c r="E1962" s="24"/>
      <c r="F1962" s="24"/>
      <c r="G1962" s="185"/>
      <c r="H1962" s="186"/>
      <c r="I1962" s="187"/>
      <c r="J1962" s="24"/>
      <c r="K1962" s="24"/>
      <c r="L1962" s="24"/>
      <c r="M1962" s="187"/>
      <c r="N1962" s="187"/>
    </row>
    <row r="1963">
      <c r="A1963" s="24"/>
      <c r="B1963" s="24"/>
      <c r="C1963" s="24"/>
      <c r="D1963" s="24"/>
      <c r="E1963" s="24"/>
      <c r="F1963" s="24"/>
      <c r="G1963" s="185"/>
      <c r="H1963" s="186"/>
      <c r="I1963" s="187"/>
      <c r="J1963" s="24"/>
      <c r="K1963" s="24"/>
      <c r="L1963" s="24"/>
      <c r="M1963" s="187"/>
      <c r="N1963" s="187"/>
    </row>
    <row r="1964">
      <c r="A1964" s="24"/>
      <c r="B1964" s="24"/>
      <c r="C1964" s="24"/>
      <c r="D1964" s="24"/>
      <c r="E1964" s="24"/>
      <c r="F1964" s="24"/>
      <c r="G1964" s="185"/>
      <c r="H1964" s="186"/>
      <c r="I1964" s="187"/>
      <c r="J1964" s="24"/>
      <c r="K1964" s="24"/>
      <c r="L1964" s="24"/>
      <c r="M1964" s="187"/>
      <c r="N1964" s="187"/>
    </row>
    <row r="1965">
      <c r="A1965" s="24"/>
      <c r="B1965" s="24"/>
      <c r="C1965" s="24"/>
      <c r="D1965" s="24"/>
      <c r="E1965" s="24"/>
      <c r="F1965" s="24"/>
      <c r="G1965" s="185"/>
      <c r="H1965" s="186"/>
      <c r="I1965" s="187"/>
      <c r="J1965" s="24"/>
      <c r="K1965" s="24"/>
      <c r="L1965" s="24"/>
      <c r="M1965" s="187"/>
      <c r="N1965" s="187"/>
    </row>
    <row r="1966">
      <c r="A1966" s="24"/>
      <c r="B1966" s="24"/>
      <c r="C1966" s="24"/>
      <c r="D1966" s="24"/>
      <c r="E1966" s="24"/>
      <c r="F1966" s="24"/>
      <c r="G1966" s="185"/>
      <c r="H1966" s="186"/>
      <c r="I1966" s="187"/>
      <c r="J1966" s="24"/>
      <c r="K1966" s="24"/>
      <c r="L1966" s="24"/>
      <c r="M1966" s="187"/>
      <c r="N1966" s="187"/>
    </row>
    <row r="1967">
      <c r="A1967" s="24"/>
      <c r="B1967" s="24"/>
      <c r="C1967" s="24"/>
      <c r="D1967" s="24"/>
      <c r="E1967" s="24"/>
      <c r="F1967" s="24"/>
      <c r="G1967" s="185"/>
      <c r="H1967" s="186"/>
      <c r="I1967" s="187"/>
      <c r="J1967" s="24"/>
      <c r="K1967" s="24"/>
      <c r="L1967" s="24"/>
      <c r="M1967" s="187"/>
      <c r="N1967" s="187"/>
    </row>
    <row r="1968">
      <c r="A1968" s="24"/>
      <c r="B1968" s="24"/>
      <c r="C1968" s="24"/>
      <c r="D1968" s="24"/>
      <c r="E1968" s="24"/>
      <c r="F1968" s="24"/>
      <c r="G1968" s="185"/>
      <c r="H1968" s="186"/>
      <c r="I1968" s="187"/>
      <c r="J1968" s="24"/>
      <c r="K1968" s="24"/>
      <c r="L1968" s="24"/>
      <c r="M1968" s="187"/>
      <c r="N1968" s="187"/>
    </row>
    <row r="1969">
      <c r="A1969" s="24"/>
      <c r="B1969" s="24"/>
      <c r="C1969" s="24"/>
      <c r="D1969" s="24"/>
      <c r="E1969" s="24"/>
      <c r="F1969" s="24"/>
      <c r="G1969" s="185"/>
      <c r="H1969" s="186"/>
      <c r="I1969" s="187"/>
      <c r="J1969" s="24"/>
      <c r="K1969" s="24"/>
      <c r="L1969" s="24"/>
      <c r="M1969" s="187"/>
      <c r="N1969" s="187"/>
    </row>
    <row r="1970">
      <c r="A1970" s="24"/>
      <c r="B1970" s="24"/>
      <c r="C1970" s="24"/>
      <c r="D1970" s="24"/>
      <c r="E1970" s="24"/>
      <c r="F1970" s="24"/>
      <c r="G1970" s="185"/>
      <c r="H1970" s="186"/>
      <c r="I1970" s="187"/>
      <c r="J1970" s="24"/>
      <c r="K1970" s="24"/>
      <c r="L1970" s="24"/>
      <c r="M1970" s="187"/>
      <c r="N1970" s="187"/>
    </row>
    <row r="1971">
      <c r="A1971" s="24"/>
      <c r="B1971" s="24"/>
      <c r="C1971" s="24"/>
      <c r="D1971" s="24"/>
      <c r="E1971" s="24"/>
      <c r="F1971" s="24"/>
      <c r="G1971" s="185"/>
      <c r="H1971" s="186"/>
      <c r="I1971" s="187"/>
      <c r="J1971" s="24"/>
      <c r="K1971" s="24"/>
      <c r="L1971" s="24"/>
      <c r="M1971" s="187"/>
      <c r="N1971" s="187"/>
    </row>
    <row r="1972">
      <c r="A1972" s="24"/>
      <c r="B1972" s="24"/>
      <c r="C1972" s="24"/>
      <c r="D1972" s="24"/>
      <c r="E1972" s="24"/>
      <c r="F1972" s="24"/>
      <c r="G1972" s="185"/>
      <c r="H1972" s="186"/>
      <c r="I1972" s="187"/>
      <c r="J1972" s="24"/>
      <c r="K1972" s="24"/>
      <c r="L1972" s="24"/>
      <c r="M1972" s="187"/>
      <c r="N1972" s="187"/>
    </row>
    <row r="1973">
      <c r="A1973" s="24"/>
      <c r="B1973" s="24"/>
      <c r="C1973" s="24"/>
      <c r="D1973" s="24"/>
      <c r="E1973" s="24"/>
      <c r="F1973" s="24"/>
      <c r="G1973" s="185"/>
      <c r="H1973" s="186"/>
      <c r="I1973" s="187"/>
      <c r="J1973" s="24"/>
      <c r="K1973" s="24"/>
      <c r="L1973" s="24"/>
      <c r="M1973" s="187"/>
      <c r="N1973" s="187"/>
    </row>
    <row r="1974">
      <c r="A1974" s="24"/>
      <c r="B1974" s="24"/>
      <c r="C1974" s="24"/>
      <c r="D1974" s="24"/>
      <c r="E1974" s="24"/>
      <c r="F1974" s="24"/>
      <c r="G1974" s="185"/>
      <c r="H1974" s="186"/>
      <c r="I1974" s="187"/>
      <c r="J1974" s="24"/>
      <c r="K1974" s="24"/>
      <c r="L1974" s="24"/>
      <c r="M1974" s="187"/>
      <c r="N1974" s="187"/>
    </row>
    <row r="1975">
      <c r="A1975" s="24"/>
      <c r="B1975" s="24"/>
      <c r="C1975" s="24"/>
      <c r="D1975" s="24"/>
      <c r="E1975" s="24"/>
      <c r="F1975" s="24"/>
      <c r="G1975" s="185"/>
      <c r="H1975" s="186"/>
      <c r="I1975" s="187"/>
      <c r="J1975" s="24"/>
      <c r="K1975" s="24"/>
      <c r="L1975" s="24"/>
      <c r="M1975" s="187"/>
      <c r="N1975" s="187"/>
    </row>
    <row r="1976">
      <c r="A1976" s="24"/>
      <c r="B1976" s="24"/>
      <c r="C1976" s="24"/>
      <c r="D1976" s="24"/>
      <c r="E1976" s="24"/>
      <c r="F1976" s="24"/>
      <c r="G1976" s="185"/>
      <c r="H1976" s="186"/>
      <c r="I1976" s="187"/>
      <c r="J1976" s="24"/>
      <c r="K1976" s="24"/>
      <c r="L1976" s="24"/>
      <c r="M1976" s="187"/>
      <c r="N1976" s="187"/>
    </row>
    <row r="1977">
      <c r="A1977" s="24"/>
      <c r="B1977" s="24"/>
      <c r="C1977" s="24"/>
      <c r="D1977" s="24"/>
      <c r="E1977" s="24"/>
      <c r="F1977" s="24"/>
      <c r="G1977" s="185"/>
      <c r="H1977" s="186"/>
      <c r="I1977" s="187"/>
      <c r="J1977" s="24"/>
      <c r="K1977" s="24"/>
      <c r="L1977" s="24"/>
      <c r="M1977" s="187"/>
      <c r="N1977" s="187"/>
    </row>
    <row r="1978">
      <c r="A1978" s="24"/>
      <c r="B1978" s="24"/>
      <c r="C1978" s="24"/>
      <c r="D1978" s="24"/>
      <c r="E1978" s="24"/>
      <c r="F1978" s="24"/>
      <c r="G1978" s="185"/>
      <c r="H1978" s="186"/>
      <c r="I1978" s="187"/>
      <c r="J1978" s="24"/>
      <c r="K1978" s="24"/>
      <c r="L1978" s="24"/>
      <c r="M1978" s="187"/>
      <c r="N1978" s="187"/>
    </row>
    <row r="1979">
      <c r="A1979" s="24"/>
      <c r="B1979" s="24"/>
      <c r="C1979" s="24"/>
      <c r="D1979" s="24"/>
      <c r="E1979" s="24"/>
      <c r="F1979" s="24"/>
      <c r="G1979" s="185"/>
      <c r="H1979" s="186"/>
      <c r="I1979" s="187"/>
      <c r="J1979" s="24"/>
      <c r="K1979" s="24"/>
      <c r="L1979" s="24"/>
      <c r="M1979" s="187"/>
      <c r="N1979" s="187"/>
    </row>
    <row r="1980">
      <c r="A1980" s="24"/>
      <c r="B1980" s="24"/>
      <c r="C1980" s="24"/>
      <c r="D1980" s="24"/>
      <c r="E1980" s="24"/>
      <c r="F1980" s="24"/>
      <c r="G1980" s="185"/>
      <c r="H1980" s="186"/>
      <c r="I1980" s="187"/>
      <c r="J1980" s="24"/>
      <c r="K1980" s="24"/>
      <c r="L1980" s="24"/>
      <c r="M1980" s="187"/>
      <c r="N1980" s="187"/>
    </row>
    <row r="1981">
      <c r="A1981" s="24"/>
      <c r="B1981" s="24"/>
      <c r="C1981" s="24"/>
      <c r="D1981" s="24"/>
      <c r="E1981" s="24"/>
      <c r="F1981" s="24"/>
      <c r="G1981" s="185"/>
      <c r="H1981" s="186"/>
      <c r="I1981" s="187"/>
      <c r="J1981" s="24"/>
      <c r="K1981" s="24"/>
      <c r="L1981" s="24"/>
      <c r="M1981" s="187"/>
      <c r="N1981" s="187"/>
    </row>
    <row r="1982">
      <c r="A1982" s="24"/>
      <c r="B1982" s="24"/>
      <c r="C1982" s="24"/>
      <c r="D1982" s="24"/>
      <c r="E1982" s="24"/>
      <c r="F1982" s="24"/>
      <c r="G1982" s="185"/>
      <c r="H1982" s="186"/>
      <c r="I1982" s="187"/>
      <c r="J1982" s="24"/>
      <c r="K1982" s="24"/>
      <c r="L1982" s="24"/>
      <c r="M1982" s="187"/>
      <c r="N1982" s="187"/>
    </row>
    <row r="1983">
      <c r="A1983" s="24"/>
      <c r="B1983" s="24"/>
      <c r="C1983" s="24"/>
      <c r="D1983" s="24"/>
      <c r="E1983" s="24"/>
      <c r="F1983" s="24"/>
      <c r="G1983" s="185"/>
      <c r="H1983" s="186"/>
      <c r="I1983" s="187"/>
      <c r="J1983" s="24"/>
      <c r="K1983" s="24"/>
      <c r="L1983" s="24"/>
      <c r="M1983" s="187"/>
      <c r="N1983" s="187"/>
    </row>
    <row r="1984">
      <c r="A1984" s="24"/>
      <c r="B1984" s="24"/>
      <c r="C1984" s="24"/>
      <c r="D1984" s="24"/>
      <c r="E1984" s="24"/>
      <c r="F1984" s="24"/>
      <c r="G1984" s="185"/>
      <c r="H1984" s="186"/>
      <c r="I1984" s="187"/>
      <c r="J1984" s="24"/>
      <c r="K1984" s="24"/>
      <c r="L1984" s="24"/>
      <c r="M1984" s="187"/>
      <c r="N1984" s="187"/>
    </row>
    <row r="1985">
      <c r="A1985" s="24"/>
      <c r="B1985" s="24"/>
      <c r="C1985" s="24"/>
      <c r="D1985" s="24"/>
      <c r="E1985" s="24"/>
      <c r="F1985" s="24"/>
      <c r="G1985" s="185"/>
      <c r="H1985" s="186"/>
      <c r="I1985" s="187"/>
      <c r="J1985" s="24"/>
      <c r="K1985" s="24"/>
      <c r="L1985" s="24"/>
      <c r="M1985" s="187"/>
      <c r="N1985" s="187"/>
    </row>
    <row r="1986">
      <c r="A1986" s="24"/>
      <c r="B1986" s="24"/>
      <c r="C1986" s="24"/>
      <c r="D1986" s="24"/>
      <c r="E1986" s="24"/>
      <c r="F1986" s="24"/>
      <c r="G1986" s="185"/>
      <c r="H1986" s="186"/>
      <c r="I1986" s="187"/>
      <c r="J1986" s="24"/>
      <c r="K1986" s="24"/>
      <c r="L1986" s="24"/>
      <c r="M1986" s="187"/>
      <c r="N1986" s="187"/>
    </row>
    <row r="1987">
      <c r="A1987" s="24"/>
      <c r="B1987" s="24"/>
      <c r="C1987" s="24"/>
      <c r="D1987" s="24"/>
      <c r="E1987" s="24"/>
      <c r="F1987" s="24"/>
      <c r="G1987" s="185"/>
      <c r="H1987" s="186"/>
      <c r="I1987" s="187"/>
      <c r="J1987" s="24"/>
      <c r="K1987" s="24"/>
      <c r="L1987" s="24"/>
      <c r="M1987" s="187"/>
      <c r="N1987" s="187"/>
    </row>
    <row r="1988">
      <c r="A1988" s="24"/>
      <c r="B1988" s="24"/>
      <c r="C1988" s="24"/>
      <c r="D1988" s="24"/>
      <c r="E1988" s="24"/>
      <c r="F1988" s="24"/>
      <c r="G1988" s="185"/>
      <c r="H1988" s="186"/>
      <c r="I1988" s="187"/>
      <c r="J1988" s="24"/>
      <c r="K1988" s="24"/>
      <c r="L1988" s="24"/>
      <c r="M1988" s="187"/>
      <c r="N1988" s="187"/>
    </row>
    <row r="1989">
      <c r="A1989" s="24"/>
      <c r="B1989" s="24"/>
      <c r="C1989" s="24"/>
      <c r="D1989" s="24"/>
      <c r="E1989" s="24"/>
      <c r="F1989" s="24"/>
      <c r="G1989" s="185"/>
      <c r="H1989" s="186"/>
      <c r="I1989" s="187"/>
      <c r="J1989" s="24"/>
      <c r="K1989" s="24"/>
      <c r="L1989" s="24"/>
      <c r="M1989" s="187"/>
      <c r="N1989" s="187"/>
    </row>
    <row r="1990">
      <c r="A1990" s="24"/>
      <c r="B1990" s="24"/>
      <c r="C1990" s="24"/>
      <c r="D1990" s="24"/>
      <c r="E1990" s="24"/>
      <c r="F1990" s="24"/>
      <c r="G1990" s="185"/>
      <c r="H1990" s="186"/>
      <c r="I1990" s="187"/>
      <c r="J1990" s="24"/>
      <c r="K1990" s="24"/>
      <c r="L1990" s="24"/>
      <c r="M1990" s="187"/>
      <c r="N1990" s="187"/>
    </row>
    <row r="1991">
      <c r="A1991" s="24"/>
      <c r="B1991" s="24"/>
      <c r="C1991" s="24"/>
      <c r="D1991" s="24"/>
      <c r="E1991" s="24"/>
      <c r="F1991" s="24"/>
      <c r="G1991" s="185"/>
      <c r="H1991" s="186"/>
      <c r="I1991" s="187"/>
      <c r="J1991" s="24"/>
      <c r="K1991" s="24"/>
      <c r="L1991" s="24"/>
      <c r="M1991" s="187"/>
      <c r="N1991" s="187"/>
    </row>
    <row r="1992">
      <c r="A1992" s="24"/>
      <c r="B1992" s="24"/>
      <c r="C1992" s="24"/>
      <c r="D1992" s="24"/>
      <c r="E1992" s="24"/>
      <c r="F1992" s="24"/>
      <c r="G1992" s="185"/>
      <c r="H1992" s="186"/>
      <c r="I1992" s="187"/>
      <c r="J1992" s="24"/>
      <c r="K1992" s="24"/>
      <c r="L1992" s="24"/>
      <c r="M1992" s="187"/>
      <c r="N1992" s="187"/>
    </row>
    <row r="1993">
      <c r="A1993" s="24"/>
      <c r="B1993" s="24"/>
      <c r="C1993" s="24"/>
      <c r="D1993" s="24"/>
      <c r="E1993" s="24"/>
      <c r="F1993" s="24"/>
      <c r="G1993" s="185"/>
      <c r="H1993" s="186"/>
      <c r="I1993" s="187"/>
      <c r="J1993" s="24"/>
      <c r="K1993" s="24"/>
      <c r="L1993" s="24"/>
      <c r="M1993" s="187"/>
      <c r="N1993" s="187"/>
    </row>
    <row r="1994">
      <c r="A1994" s="24"/>
      <c r="B1994" s="24"/>
      <c r="C1994" s="24"/>
      <c r="D1994" s="24"/>
      <c r="E1994" s="24"/>
      <c r="F1994" s="24"/>
      <c r="G1994" s="185"/>
      <c r="H1994" s="186"/>
      <c r="I1994" s="187"/>
      <c r="J1994" s="24"/>
      <c r="K1994" s="24"/>
      <c r="L1994" s="24"/>
      <c r="M1994" s="187"/>
      <c r="N1994" s="187"/>
    </row>
    <row r="1995">
      <c r="A1995" s="24"/>
      <c r="B1995" s="24"/>
      <c r="C1995" s="24"/>
      <c r="D1995" s="24"/>
      <c r="E1995" s="24"/>
      <c r="F1995" s="24"/>
      <c r="G1995" s="185"/>
      <c r="H1995" s="186"/>
      <c r="I1995" s="187"/>
      <c r="J1995" s="24"/>
      <c r="K1995" s="24"/>
      <c r="L1995" s="24"/>
      <c r="M1995" s="187"/>
      <c r="N1995" s="187"/>
    </row>
    <row r="1996">
      <c r="A1996" s="24"/>
      <c r="B1996" s="24"/>
      <c r="C1996" s="24"/>
      <c r="D1996" s="24"/>
      <c r="E1996" s="24"/>
      <c r="F1996" s="24"/>
      <c r="G1996" s="185"/>
      <c r="H1996" s="186"/>
      <c r="I1996" s="187"/>
      <c r="J1996" s="24"/>
      <c r="K1996" s="24"/>
      <c r="L1996" s="24"/>
      <c r="M1996" s="187"/>
      <c r="N1996" s="187"/>
    </row>
    <row r="1997">
      <c r="A1997" s="24"/>
      <c r="B1997" s="24"/>
      <c r="C1997" s="24"/>
      <c r="D1997" s="24"/>
      <c r="E1997" s="24"/>
      <c r="F1997" s="24"/>
      <c r="G1997" s="185"/>
      <c r="H1997" s="186"/>
      <c r="I1997" s="187"/>
      <c r="J1997" s="24"/>
      <c r="K1997" s="24"/>
      <c r="L1997" s="24"/>
      <c r="M1997" s="187"/>
      <c r="N1997" s="187"/>
    </row>
    <row r="1998">
      <c r="A1998" s="24"/>
      <c r="B1998" s="24"/>
      <c r="C1998" s="24"/>
      <c r="D1998" s="24"/>
      <c r="E1998" s="24"/>
      <c r="F1998" s="24"/>
      <c r="G1998" s="185"/>
      <c r="H1998" s="186"/>
      <c r="I1998" s="187"/>
      <c r="J1998" s="24"/>
      <c r="K1998" s="24"/>
      <c r="L1998" s="24"/>
      <c r="M1998" s="187"/>
      <c r="N1998" s="187"/>
    </row>
    <row r="1999">
      <c r="A1999" s="24"/>
      <c r="B1999" s="24"/>
      <c r="C1999" s="24"/>
      <c r="D1999" s="24"/>
      <c r="E1999" s="24"/>
      <c r="F1999" s="24"/>
      <c r="G1999" s="185"/>
      <c r="H1999" s="186"/>
      <c r="I1999" s="187"/>
      <c r="J1999" s="24"/>
      <c r="K1999" s="24"/>
      <c r="L1999" s="24"/>
      <c r="M1999" s="187"/>
      <c r="N1999" s="187"/>
    </row>
    <row r="2000">
      <c r="A2000" s="24"/>
      <c r="B2000" s="24"/>
      <c r="C2000" s="24"/>
      <c r="D2000" s="24"/>
      <c r="E2000" s="24"/>
      <c r="F2000" s="24"/>
      <c r="G2000" s="185"/>
      <c r="H2000" s="186"/>
      <c r="I2000" s="187"/>
      <c r="J2000" s="24"/>
      <c r="K2000" s="24"/>
      <c r="L2000" s="24"/>
      <c r="M2000" s="187"/>
      <c r="N2000" s="187"/>
    </row>
    <row r="2001">
      <c r="A2001" s="24"/>
      <c r="B2001" s="24"/>
      <c r="C2001" s="24"/>
      <c r="D2001" s="24"/>
      <c r="E2001" s="24"/>
      <c r="F2001" s="24"/>
      <c r="G2001" s="185"/>
      <c r="H2001" s="186"/>
      <c r="I2001" s="187"/>
      <c r="J2001" s="24"/>
      <c r="K2001" s="24"/>
      <c r="L2001" s="24"/>
      <c r="M2001" s="187"/>
      <c r="N2001" s="187"/>
    </row>
    <row r="2002">
      <c r="A2002" s="24"/>
      <c r="B2002" s="24"/>
      <c r="C2002" s="24"/>
      <c r="D2002" s="24"/>
      <c r="E2002" s="24"/>
      <c r="F2002" s="24"/>
      <c r="G2002" s="185"/>
      <c r="H2002" s="186"/>
      <c r="I2002" s="187"/>
      <c r="J2002" s="24"/>
      <c r="K2002" s="24"/>
      <c r="L2002" s="24"/>
      <c r="M2002" s="187"/>
      <c r="N2002" s="187"/>
    </row>
    <row r="2003">
      <c r="A2003" s="24"/>
      <c r="B2003" s="24"/>
      <c r="C2003" s="24"/>
      <c r="D2003" s="24"/>
      <c r="E2003" s="24"/>
      <c r="F2003" s="24"/>
      <c r="G2003" s="185"/>
      <c r="H2003" s="186"/>
      <c r="I2003" s="187"/>
      <c r="J2003" s="24"/>
      <c r="K2003" s="24"/>
      <c r="L2003" s="24"/>
      <c r="M2003" s="187"/>
      <c r="N2003" s="18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38"/>
    <col customWidth="1" min="4" max="4" width="22.25"/>
    <col customWidth="1" min="5" max="5" width="22.13"/>
    <col customWidth="1" min="6" max="6" width="19.75"/>
    <col customWidth="1" min="7" max="7" width="16.13"/>
  </cols>
  <sheetData>
    <row r="1">
      <c r="A1" s="3" t="s">
        <v>552</v>
      </c>
      <c r="B1" s="14" t="s">
        <v>551</v>
      </c>
      <c r="C1" s="188" t="s">
        <v>544</v>
      </c>
      <c r="D1" s="3" t="s">
        <v>5155</v>
      </c>
      <c r="E1" s="189" t="s">
        <v>544</v>
      </c>
      <c r="F1" s="3">
        <v>9.0</v>
      </c>
      <c r="G1" s="3" t="s">
        <v>551</v>
      </c>
    </row>
    <row r="2">
      <c r="A2" s="42" t="s">
        <v>5156</v>
      </c>
      <c r="B2" s="190" t="s">
        <v>5157</v>
      </c>
      <c r="C2" s="191" t="s">
        <v>5124</v>
      </c>
      <c r="D2" s="42" t="s">
        <v>5158</v>
      </c>
      <c r="E2" s="192" t="s">
        <v>5124</v>
      </c>
      <c r="F2" s="42" t="s">
        <v>5156</v>
      </c>
      <c r="G2" s="42" t="s">
        <v>5159</v>
      </c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</row>
    <row r="3">
      <c r="A3" s="8" t="s">
        <v>5160</v>
      </c>
      <c r="B3" s="20" t="s">
        <v>5161</v>
      </c>
      <c r="C3" s="193" t="s">
        <v>5162</v>
      </c>
      <c r="D3" s="8" t="s">
        <v>5163</v>
      </c>
      <c r="E3" s="194" t="s">
        <v>5164</v>
      </c>
      <c r="F3" s="8" t="s">
        <v>5165</v>
      </c>
      <c r="G3" s="8" t="s">
        <v>5166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>
      <c r="A4" s="11">
        <v>6.0</v>
      </c>
      <c r="B4" s="16">
        <v>8.0</v>
      </c>
      <c r="C4" s="195">
        <v>-36461.1</v>
      </c>
      <c r="D4" s="11">
        <v>872105.0</v>
      </c>
      <c r="E4" s="196">
        <v>4573.92</v>
      </c>
      <c r="F4" s="11">
        <v>2.0</v>
      </c>
      <c r="G4" s="11">
        <v>97.0</v>
      </c>
    </row>
    <row r="5">
      <c r="A5" s="11">
        <v>5.0</v>
      </c>
      <c r="B5" s="16">
        <v>3.0</v>
      </c>
      <c r="C5" s="195">
        <v>34989.26</v>
      </c>
      <c r="D5" s="11">
        <v>148816.0</v>
      </c>
      <c r="E5" s="196">
        <v>39576.82</v>
      </c>
      <c r="F5" s="11">
        <v>8.0</v>
      </c>
      <c r="G5" s="11">
        <v>56.0</v>
      </c>
    </row>
    <row r="6">
      <c r="A6" s="11">
        <v>7.0</v>
      </c>
      <c r="B6" s="16">
        <v>8.0</v>
      </c>
      <c r="C6" s="195">
        <v>-41603.87</v>
      </c>
      <c r="D6" s="11">
        <v>194592.0</v>
      </c>
      <c r="E6" s="196">
        <v>39343.92</v>
      </c>
      <c r="F6" s="11">
        <v>1.0</v>
      </c>
      <c r="G6" s="11">
        <v>40.0</v>
      </c>
    </row>
    <row r="7">
      <c r="A7" s="11">
        <v>5.0</v>
      </c>
      <c r="B7" s="16">
        <v>3.0</v>
      </c>
      <c r="C7" s="195">
        <v>-38317.44</v>
      </c>
      <c r="D7" s="11">
        <v>279382.0</v>
      </c>
      <c r="E7" s="196">
        <v>90401.38</v>
      </c>
      <c r="F7" s="11">
        <v>4.0</v>
      </c>
      <c r="G7" s="11">
        <v>37.0</v>
      </c>
    </row>
    <row r="8">
      <c r="A8" s="11">
        <v>3.0</v>
      </c>
      <c r="B8" s="16">
        <v>6.0</v>
      </c>
      <c r="C8" s="195">
        <v>72840.05</v>
      </c>
      <c r="D8" s="11">
        <v>422226.0</v>
      </c>
      <c r="E8" s="196">
        <v>21742.21</v>
      </c>
      <c r="F8" s="11">
        <v>9.0</v>
      </c>
      <c r="G8" s="11">
        <v>46.0</v>
      </c>
    </row>
    <row r="9">
      <c r="A9" s="11">
        <v>3.0</v>
      </c>
      <c r="B9" s="16">
        <v>6.0</v>
      </c>
      <c r="C9" s="195">
        <v>-29085.83</v>
      </c>
      <c r="D9" s="11">
        <v>996004.0</v>
      </c>
      <c r="E9" s="196">
        <v>-90141.41</v>
      </c>
      <c r="F9" s="11">
        <v>2.0</v>
      </c>
      <c r="G9" s="11">
        <v>14.0</v>
      </c>
    </row>
    <row r="10">
      <c r="A10" s="11">
        <v>1.0</v>
      </c>
      <c r="B10" s="16">
        <v>5.0</v>
      </c>
      <c r="C10" s="195">
        <v>51924.13</v>
      </c>
      <c r="D10" s="11">
        <v>332411.0</v>
      </c>
      <c r="E10" s="196">
        <v>41661.06</v>
      </c>
      <c r="F10" s="11">
        <v>5.0</v>
      </c>
      <c r="G10" s="11">
        <v>21.0</v>
      </c>
    </row>
    <row r="11">
      <c r="A11" s="11">
        <v>8.0</v>
      </c>
      <c r="B11" s="16">
        <v>3.0</v>
      </c>
      <c r="C11" s="195">
        <v>68623.4</v>
      </c>
      <c r="D11" s="11">
        <v>421220.0</v>
      </c>
      <c r="E11" s="196">
        <v>-93061.61</v>
      </c>
      <c r="F11" s="11">
        <v>6.0</v>
      </c>
      <c r="G11" s="11">
        <v>98.0</v>
      </c>
    </row>
    <row r="12">
      <c r="A12" s="11">
        <v>4.0</v>
      </c>
      <c r="B12" s="16">
        <v>4.0</v>
      </c>
      <c r="C12" s="195">
        <v>-70449.71</v>
      </c>
      <c r="D12" s="11">
        <v>791084.0</v>
      </c>
      <c r="E12" s="196">
        <v>-75679.13</v>
      </c>
      <c r="F12" s="11">
        <v>6.0</v>
      </c>
      <c r="G12" s="11">
        <v>35.0</v>
      </c>
    </row>
    <row r="13">
      <c r="A13" s="11">
        <v>8.0</v>
      </c>
      <c r="B13" s="16">
        <v>5.0</v>
      </c>
      <c r="C13" s="195">
        <v>41415.78</v>
      </c>
      <c r="D13" s="11">
        <v>632388.0</v>
      </c>
      <c r="E13" s="196">
        <v>39465.19</v>
      </c>
      <c r="F13" s="11">
        <v>6.0</v>
      </c>
      <c r="G13" s="11">
        <v>30.0</v>
      </c>
    </row>
    <row r="14">
      <c r="A14" s="11">
        <v>4.0</v>
      </c>
      <c r="B14" s="16">
        <v>2.0</v>
      </c>
      <c r="C14" s="195">
        <v>52411.21</v>
      </c>
      <c r="D14" s="11">
        <v>284511.0</v>
      </c>
      <c r="E14" s="196">
        <v>56496.87</v>
      </c>
      <c r="F14" s="11">
        <v>5.0</v>
      </c>
      <c r="G14" s="11">
        <v>74.0</v>
      </c>
    </row>
    <row r="15">
      <c r="A15" s="11">
        <v>4.0</v>
      </c>
      <c r="B15" s="16">
        <v>1.0</v>
      </c>
      <c r="C15" s="195">
        <v>91815.37</v>
      </c>
      <c r="D15" s="11">
        <v>611177.0</v>
      </c>
      <c r="E15" s="196">
        <v>1009.27</v>
      </c>
      <c r="F15" s="11">
        <v>3.0</v>
      </c>
      <c r="G15" s="11">
        <v>38.0</v>
      </c>
    </row>
    <row r="16">
      <c r="A16" s="11">
        <v>9.0</v>
      </c>
      <c r="B16" s="16">
        <v>1.0</v>
      </c>
      <c r="C16" s="195">
        <v>35708.65</v>
      </c>
      <c r="D16" s="11">
        <v>937139.0</v>
      </c>
      <c r="E16" s="196">
        <v>-7902.03</v>
      </c>
      <c r="F16" s="11">
        <v>5.0</v>
      </c>
      <c r="G16" s="11">
        <v>94.0</v>
      </c>
    </row>
    <row r="17">
      <c r="A17" s="11">
        <v>9.0</v>
      </c>
      <c r="B17" s="16">
        <v>1.0</v>
      </c>
      <c r="C17" s="195">
        <v>-51411.25</v>
      </c>
      <c r="D17" s="11">
        <v>150864.0</v>
      </c>
      <c r="E17" s="196">
        <v>-70878.13</v>
      </c>
      <c r="F17" s="11">
        <v>3.0</v>
      </c>
      <c r="G17" s="11">
        <v>72.0</v>
      </c>
    </row>
    <row r="18">
      <c r="A18" s="11">
        <v>3.0</v>
      </c>
      <c r="B18" s="16">
        <v>5.0</v>
      </c>
      <c r="C18" s="195">
        <v>14265.39</v>
      </c>
      <c r="D18" s="11">
        <v>488993.0</v>
      </c>
      <c r="E18" s="196">
        <v>11676.12</v>
      </c>
      <c r="F18" s="11">
        <v>6.0</v>
      </c>
      <c r="G18" s="11">
        <v>94.0</v>
      </c>
    </row>
    <row r="19">
      <c r="A19" s="11">
        <v>5.0</v>
      </c>
      <c r="B19" s="16">
        <v>3.0</v>
      </c>
      <c r="C19" s="195">
        <v>57038.95</v>
      </c>
      <c r="D19" s="11">
        <v>880031.0</v>
      </c>
      <c r="E19" s="196">
        <v>16184.88</v>
      </c>
      <c r="F19" s="11">
        <v>7.0</v>
      </c>
      <c r="G19" s="11">
        <v>71.0</v>
      </c>
    </row>
    <row r="20">
      <c r="A20" s="11">
        <v>7.0</v>
      </c>
      <c r="B20" s="16">
        <v>5.0</v>
      </c>
      <c r="C20" s="195">
        <v>69468.21</v>
      </c>
      <c r="D20" s="11">
        <v>112287.0</v>
      </c>
      <c r="E20" s="196">
        <v>28992.4</v>
      </c>
      <c r="F20" s="11">
        <v>2.0</v>
      </c>
      <c r="G20" s="11">
        <v>39.0</v>
      </c>
    </row>
    <row r="21">
      <c r="A21" s="11">
        <v>2.0</v>
      </c>
      <c r="B21" s="16">
        <v>7.0</v>
      </c>
      <c r="C21" s="195">
        <v>-78538.28</v>
      </c>
      <c r="D21" s="11">
        <v>266153.0</v>
      </c>
      <c r="E21" s="196">
        <v>78919.99</v>
      </c>
      <c r="F21" s="11">
        <v>5.0</v>
      </c>
      <c r="G21" s="11">
        <v>30.0</v>
      </c>
    </row>
    <row r="22">
      <c r="A22" s="11">
        <v>2.0</v>
      </c>
      <c r="B22" s="16">
        <v>5.0</v>
      </c>
      <c r="C22" s="195">
        <v>40132.93</v>
      </c>
      <c r="D22" s="11">
        <v>129951.0</v>
      </c>
      <c r="E22" s="196">
        <v>57657.3</v>
      </c>
      <c r="F22" s="11">
        <v>8.0</v>
      </c>
      <c r="G22" s="11">
        <v>66.0</v>
      </c>
    </row>
    <row r="23">
      <c r="A23" s="11">
        <v>4.0</v>
      </c>
      <c r="B23" s="16">
        <v>6.0</v>
      </c>
      <c r="C23" s="195">
        <v>7779.57</v>
      </c>
      <c r="D23" s="11">
        <v>729262.0</v>
      </c>
      <c r="E23" s="196">
        <v>-80001.59</v>
      </c>
      <c r="F23" s="11">
        <v>5.0</v>
      </c>
      <c r="G23" s="11">
        <v>81.0</v>
      </c>
    </row>
    <row r="24">
      <c r="A24" s="11">
        <v>6.0</v>
      </c>
      <c r="B24" s="16">
        <v>6.0</v>
      </c>
      <c r="C24" s="195">
        <v>-92238.83</v>
      </c>
      <c r="D24" s="11">
        <v>751222.0</v>
      </c>
      <c r="E24" s="196">
        <v>-15808.21</v>
      </c>
      <c r="F24" s="11">
        <v>3.0</v>
      </c>
      <c r="G24" s="11">
        <v>40.0</v>
      </c>
    </row>
    <row r="25">
      <c r="A25" s="11">
        <v>3.0</v>
      </c>
      <c r="B25" s="16">
        <v>1.0</v>
      </c>
      <c r="C25" s="195">
        <v>38422.95</v>
      </c>
      <c r="D25" s="11">
        <v>936244.0</v>
      </c>
      <c r="E25" s="196">
        <v>46588.11</v>
      </c>
      <c r="F25" s="11">
        <v>7.0</v>
      </c>
      <c r="G25" s="11">
        <v>19.0</v>
      </c>
    </row>
    <row r="26">
      <c r="A26" s="11">
        <v>6.0</v>
      </c>
      <c r="B26" s="16">
        <v>6.0</v>
      </c>
      <c r="C26" s="195">
        <v>-76141.49</v>
      </c>
      <c r="D26" s="11">
        <v>883344.0</v>
      </c>
      <c r="E26" s="196">
        <v>-87162.09</v>
      </c>
      <c r="F26" s="11">
        <v>9.0</v>
      </c>
      <c r="G26" s="11">
        <v>96.0</v>
      </c>
    </row>
    <row r="27">
      <c r="A27" s="11">
        <v>7.0</v>
      </c>
      <c r="B27" s="16">
        <v>6.0</v>
      </c>
      <c r="C27" s="195">
        <v>54083.39</v>
      </c>
      <c r="D27" s="11">
        <v>661659.0</v>
      </c>
      <c r="E27" s="196">
        <v>23085.5</v>
      </c>
      <c r="F27" s="11">
        <v>6.0</v>
      </c>
      <c r="G27" s="11">
        <v>81.0</v>
      </c>
    </row>
    <row r="28">
      <c r="A28" s="11">
        <v>4.0</v>
      </c>
      <c r="B28" s="16">
        <v>8.0</v>
      </c>
      <c r="C28" s="195">
        <v>16438.9</v>
      </c>
      <c r="D28" s="11">
        <v>645083.0</v>
      </c>
      <c r="E28" s="196">
        <v>4333.27</v>
      </c>
      <c r="F28" s="11">
        <v>1.0</v>
      </c>
      <c r="G28" s="11">
        <v>71.0</v>
      </c>
    </row>
    <row r="29">
      <c r="A29" s="11">
        <v>1.0</v>
      </c>
      <c r="B29" s="16">
        <v>8.0</v>
      </c>
      <c r="C29" s="195">
        <v>-60574.59</v>
      </c>
      <c r="D29" s="11">
        <v>303070.0</v>
      </c>
      <c r="E29" s="196">
        <v>76507.28</v>
      </c>
      <c r="F29" s="11">
        <v>1.0</v>
      </c>
      <c r="G29" s="11">
        <v>18.0</v>
      </c>
    </row>
    <row r="30">
      <c r="A30" s="11">
        <v>7.0</v>
      </c>
      <c r="B30" s="16">
        <v>7.0</v>
      </c>
      <c r="C30" s="195">
        <v>46224.09</v>
      </c>
      <c r="D30" s="11">
        <v>912221.0</v>
      </c>
      <c r="E30" s="196">
        <v>71955.73</v>
      </c>
      <c r="F30" s="11">
        <v>2.0</v>
      </c>
      <c r="G30" s="11">
        <v>99.0</v>
      </c>
    </row>
    <row r="31">
      <c r="A31" s="11">
        <v>1.0</v>
      </c>
      <c r="B31" s="16">
        <v>6.0</v>
      </c>
      <c r="C31" s="195">
        <v>80967.62</v>
      </c>
      <c r="D31" s="11">
        <v>783812.0</v>
      </c>
      <c r="E31" s="196">
        <v>98063.06</v>
      </c>
      <c r="F31" s="11">
        <v>8.0</v>
      </c>
      <c r="G31" s="11">
        <v>61.0</v>
      </c>
    </row>
    <row r="32">
      <c r="A32" s="11">
        <v>5.0</v>
      </c>
      <c r="B32" s="16">
        <v>5.0</v>
      </c>
      <c r="C32" s="195">
        <v>-33371.41</v>
      </c>
      <c r="D32" s="11">
        <v>705388.0</v>
      </c>
      <c r="E32" s="196">
        <v>33721.77</v>
      </c>
      <c r="F32" s="11">
        <v>7.0</v>
      </c>
      <c r="G32" s="11">
        <v>17.0</v>
      </c>
    </row>
    <row r="33">
      <c r="A33" s="11">
        <v>6.0</v>
      </c>
      <c r="B33" s="16">
        <v>7.0</v>
      </c>
      <c r="C33" s="195">
        <v>80009.85</v>
      </c>
      <c r="D33" s="11">
        <v>549878.0</v>
      </c>
      <c r="E33" s="196">
        <v>-17592.63</v>
      </c>
      <c r="F33" s="11">
        <v>6.0</v>
      </c>
      <c r="G33" s="11">
        <v>25.0</v>
      </c>
    </row>
    <row r="34">
      <c r="A34" s="11">
        <v>2.0</v>
      </c>
      <c r="B34" s="16">
        <v>7.0</v>
      </c>
      <c r="C34" s="195">
        <v>37539.63</v>
      </c>
      <c r="D34" s="11">
        <v>321991.0</v>
      </c>
      <c r="E34" s="196">
        <v>81329.52</v>
      </c>
      <c r="F34" s="11">
        <v>2.0</v>
      </c>
      <c r="G34" s="11">
        <v>34.0</v>
      </c>
    </row>
    <row r="35">
      <c r="A35" s="11">
        <v>7.0</v>
      </c>
      <c r="B35" s="16">
        <v>3.0</v>
      </c>
      <c r="C35" s="195">
        <v>-16275.13</v>
      </c>
      <c r="D35" s="11">
        <v>319822.0</v>
      </c>
      <c r="E35" s="196">
        <v>-40623.21</v>
      </c>
      <c r="F35" s="11">
        <v>2.0</v>
      </c>
      <c r="G35" s="11">
        <v>77.0</v>
      </c>
    </row>
    <row r="36">
      <c r="A36" s="11">
        <v>1.0</v>
      </c>
      <c r="B36" s="16">
        <v>7.0</v>
      </c>
      <c r="C36" s="195">
        <v>-74018.88</v>
      </c>
      <c r="D36" s="11">
        <v>595164.0</v>
      </c>
      <c r="E36" s="196">
        <v>-91954.95</v>
      </c>
      <c r="F36" s="11">
        <v>9.0</v>
      </c>
      <c r="G36" s="11">
        <v>98.0</v>
      </c>
    </row>
    <row r="37">
      <c r="A37" s="11">
        <v>3.0</v>
      </c>
      <c r="B37" s="16">
        <v>6.0</v>
      </c>
      <c r="C37" s="195">
        <v>-54284.83</v>
      </c>
      <c r="D37" s="11">
        <v>611059.0</v>
      </c>
      <c r="E37" s="196">
        <v>42517.7</v>
      </c>
      <c r="F37" s="11">
        <v>7.0</v>
      </c>
      <c r="G37" s="11">
        <v>62.0</v>
      </c>
    </row>
    <row r="38">
      <c r="A38" s="11">
        <v>5.0</v>
      </c>
      <c r="B38" s="16">
        <v>9.0</v>
      </c>
      <c r="C38" s="195">
        <v>73994.76</v>
      </c>
      <c r="D38" s="11">
        <v>726693.0</v>
      </c>
      <c r="E38" s="196">
        <v>15220.27</v>
      </c>
      <c r="F38" s="11">
        <v>2.0</v>
      </c>
      <c r="G38" s="11">
        <v>73.0</v>
      </c>
    </row>
    <row r="39">
      <c r="A39" s="11">
        <v>5.0</v>
      </c>
      <c r="B39" s="16">
        <v>6.0</v>
      </c>
      <c r="C39" s="195">
        <v>7571.85</v>
      </c>
      <c r="D39" s="11">
        <v>742467.0</v>
      </c>
      <c r="E39" s="196">
        <v>76875.09</v>
      </c>
      <c r="F39" s="11">
        <v>1.0</v>
      </c>
      <c r="G39" s="11">
        <v>74.0</v>
      </c>
    </row>
    <row r="40">
      <c r="A40" s="11">
        <v>6.0</v>
      </c>
      <c r="B40" s="16">
        <v>8.0</v>
      </c>
      <c r="C40" s="195">
        <v>-3984.44</v>
      </c>
      <c r="D40" s="11">
        <v>685739.0</v>
      </c>
      <c r="E40" s="196">
        <v>-82582.49</v>
      </c>
      <c r="F40" s="11">
        <v>8.0</v>
      </c>
      <c r="G40" s="11">
        <v>29.0</v>
      </c>
    </row>
    <row r="41">
      <c r="A41" s="11">
        <v>1.0</v>
      </c>
      <c r="B41" s="16">
        <v>6.0</v>
      </c>
      <c r="C41" s="195">
        <v>59157.49</v>
      </c>
      <c r="D41" s="11">
        <v>637395.0</v>
      </c>
      <c r="E41" s="196">
        <v>9820.98</v>
      </c>
      <c r="F41" s="11">
        <v>6.0</v>
      </c>
      <c r="G41" s="11">
        <v>68.0</v>
      </c>
    </row>
    <row r="42">
      <c r="A42" s="11">
        <v>9.0</v>
      </c>
      <c r="B42" s="16">
        <v>7.0</v>
      </c>
      <c r="C42" s="195">
        <v>-67450.9</v>
      </c>
      <c r="D42" s="11">
        <v>964185.0</v>
      </c>
      <c r="E42" s="196">
        <v>95890.41</v>
      </c>
      <c r="F42" s="11">
        <v>8.0</v>
      </c>
      <c r="G42" s="11">
        <v>41.0</v>
      </c>
    </row>
    <row r="43">
      <c r="A43" s="11">
        <v>1.0</v>
      </c>
      <c r="B43" s="16">
        <v>9.0</v>
      </c>
      <c r="C43" s="195">
        <v>765.57</v>
      </c>
      <c r="D43" s="11">
        <v>655738.0</v>
      </c>
      <c r="E43" s="196">
        <v>-53857.11</v>
      </c>
      <c r="F43" s="11">
        <v>1.0</v>
      </c>
      <c r="G43" s="11">
        <v>95.0</v>
      </c>
    </row>
    <row r="44">
      <c r="A44" s="11">
        <v>5.0</v>
      </c>
      <c r="B44" s="16">
        <v>6.0</v>
      </c>
      <c r="C44" s="195">
        <v>3110.34</v>
      </c>
      <c r="D44" s="11">
        <v>518597.0</v>
      </c>
      <c r="E44" s="196">
        <v>40626.86</v>
      </c>
      <c r="F44" s="11">
        <v>2.0</v>
      </c>
      <c r="G44" s="11">
        <v>45.0</v>
      </c>
    </row>
    <row r="45">
      <c r="A45" s="11">
        <v>4.0</v>
      </c>
      <c r="B45" s="16">
        <v>8.0</v>
      </c>
      <c r="C45" s="195">
        <v>53100.13</v>
      </c>
      <c r="D45" s="11">
        <v>544215.0</v>
      </c>
      <c r="E45" s="196">
        <v>80692.87</v>
      </c>
      <c r="F45" s="11">
        <v>4.0</v>
      </c>
      <c r="G45" s="11">
        <v>20.0</v>
      </c>
    </row>
    <row r="46">
      <c r="A46" s="11">
        <v>6.0</v>
      </c>
      <c r="B46" s="16">
        <v>5.0</v>
      </c>
      <c r="C46" s="195">
        <v>-47966.54</v>
      </c>
      <c r="D46" s="11">
        <v>748346.0</v>
      </c>
      <c r="E46" s="196">
        <v>27664.87</v>
      </c>
      <c r="F46" s="11">
        <v>2.0</v>
      </c>
      <c r="G46" s="11">
        <v>85.0</v>
      </c>
    </row>
    <row r="47">
      <c r="A47" s="11">
        <v>5.0</v>
      </c>
      <c r="B47" s="16">
        <v>8.0</v>
      </c>
      <c r="C47" s="195">
        <v>21804.98</v>
      </c>
      <c r="D47" s="11">
        <v>860823.0</v>
      </c>
      <c r="E47" s="196">
        <v>94781.69</v>
      </c>
      <c r="F47" s="11">
        <v>5.0</v>
      </c>
      <c r="G47" s="11">
        <v>29.0</v>
      </c>
    </row>
    <row r="48">
      <c r="A48" s="11">
        <v>3.0</v>
      </c>
      <c r="B48" s="16">
        <v>9.0</v>
      </c>
      <c r="C48" s="195">
        <v>-86976.46</v>
      </c>
      <c r="D48" s="11">
        <v>538601.0</v>
      </c>
      <c r="E48" s="196">
        <v>-48899.89</v>
      </c>
      <c r="F48" s="11">
        <v>9.0</v>
      </c>
      <c r="G48" s="11">
        <v>49.0</v>
      </c>
    </row>
    <row r="49">
      <c r="A49" s="11">
        <v>7.0</v>
      </c>
      <c r="B49" s="16">
        <v>2.0</v>
      </c>
      <c r="C49" s="195">
        <v>-43191.49</v>
      </c>
      <c r="D49" s="11">
        <v>513242.0</v>
      </c>
      <c r="E49" s="196">
        <v>-62463.47</v>
      </c>
      <c r="F49" s="11">
        <v>1.0</v>
      </c>
      <c r="G49" s="11">
        <v>63.0</v>
      </c>
    </row>
    <row r="50">
      <c r="A50" s="11">
        <v>1.0</v>
      </c>
      <c r="B50" s="16">
        <v>8.0</v>
      </c>
      <c r="C50" s="195">
        <v>-47514.68</v>
      </c>
      <c r="D50" s="11">
        <v>171871.0</v>
      </c>
      <c r="E50" s="196">
        <v>-75149.49</v>
      </c>
      <c r="F50" s="11">
        <v>5.0</v>
      </c>
      <c r="G50" s="11">
        <v>74.0</v>
      </c>
    </row>
    <row r="51">
      <c r="A51" s="11">
        <v>5.0</v>
      </c>
      <c r="B51" s="16">
        <v>2.0</v>
      </c>
      <c r="C51" s="195">
        <v>16816.85</v>
      </c>
      <c r="D51" s="11">
        <v>375331.0</v>
      </c>
      <c r="E51" s="196">
        <v>-37125.52</v>
      </c>
      <c r="F51" s="11">
        <v>9.0</v>
      </c>
      <c r="G51" s="11">
        <v>20.0</v>
      </c>
    </row>
    <row r="52">
      <c r="A52" s="11">
        <v>6.0</v>
      </c>
      <c r="B52" s="16">
        <v>4.0</v>
      </c>
      <c r="C52" s="195">
        <v>-36299.48</v>
      </c>
      <c r="D52" s="11">
        <v>863307.0</v>
      </c>
      <c r="E52" s="196">
        <v>-11.22</v>
      </c>
      <c r="F52" s="11">
        <v>7.0</v>
      </c>
      <c r="G52" s="11">
        <v>43.0</v>
      </c>
    </row>
    <row r="53">
      <c r="A53" s="11">
        <v>7.0</v>
      </c>
      <c r="B53" s="16">
        <v>2.0</v>
      </c>
      <c r="C53" s="195">
        <v>4197.49</v>
      </c>
      <c r="D53" s="11">
        <v>136324.0</v>
      </c>
      <c r="E53" s="196">
        <v>-1293.37</v>
      </c>
      <c r="F53" s="11">
        <v>7.0</v>
      </c>
      <c r="G53" s="11">
        <v>33.0</v>
      </c>
    </row>
    <row r="54">
      <c r="A54" s="11">
        <v>4.0</v>
      </c>
      <c r="B54" s="16">
        <v>7.0</v>
      </c>
      <c r="C54" s="195">
        <v>-19588.08</v>
      </c>
      <c r="D54" s="11">
        <v>713174.0</v>
      </c>
      <c r="E54" s="196">
        <v>38852.2</v>
      </c>
      <c r="F54" s="11">
        <v>4.0</v>
      </c>
      <c r="G54" s="11">
        <v>21.0</v>
      </c>
    </row>
    <row r="55">
      <c r="A55" s="11">
        <v>3.0</v>
      </c>
      <c r="B55" s="16">
        <v>8.0</v>
      </c>
      <c r="C55" s="195">
        <v>-37827.82</v>
      </c>
      <c r="D55" s="11">
        <v>559625.0</v>
      </c>
      <c r="E55" s="196">
        <v>29608.86</v>
      </c>
      <c r="F55" s="11">
        <v>9.0</v>
      </c>
      <c r="G55" s="11">
        <v>14.0</v>
      </c>
    </row>
    <row r="56">
      <c r="A56" s="11">
        <v>9.0</v>
      </c>
      <c r="B56" s="16">
        <v>6.0</v>
      </c>
      <c r="C56" s="195">
        <v>61103.11</v>
      </c>
      <c r="D56" s="11">
        <v>474908.0</v>
      </c>
      <c r="E56" s="196">
        <v>-68429.88</v>
      </c>
      <c r="F56" s="11">
        <v>3.0</v>
      </c>
      <c r="G56" s="11">
        <v>75.0</v>
      </c>
    </row>
    <row r="57">
      <c r="A57" s="11">
        <v>1.0</v>
      </c>
      <c r="B57" s="16">
        <v>8.0</v>
      </c>
      <c r="C57" s="195">
        <v>-90738.45</v>
      </c>
      <c r="D57" s="11">
        <v>398999.0</v>
      </c>
      <c r="E57" s="196">
        <v>-48005.5</v>
      </c>
      <c r="F57" s="11">
        <v>9.0</v>
      </c>
      <c r="G57" s="11">
        <v>15.0</v>
      </c>
    </row>
    <row r="58">
      <c r="A58" s="11">
        <v>1.0</v>
      </c>
      <c r="B58" s="16">
        <v>2.0</v>
      </c>
      <c r="C58" s="195">
        <v>59420.88</v>
      </c>
      <c r="D58" s="11">
        <v>796610.0</v>
      </c>
      <c r="E58" s="196">
        <v>-97842.07</v>
      </c>
      <c r="F58" s="11">
        <v>3.0</v>
      </c>
      <c r="G58" s="11">
        <v>87.0</v>
      </c>
    </row>
    <row r="59">
      <c r="A59" s="11">
        <v>8.0</v>
      </c>
      <c r="B59" s="16">
        <v>6.0</v>
      </c>
      <c r="C59" s="195">
        <v>87750.79</v>
      </c>
      <c r="D59" s="11">
        <v>935168.0</v>
      </c>
      <c r="E59" s="196">
        <v>74933.3</v>
      </c>
      <c r="F59" s="11">
        <v>5.0</v>
      </c>
      <c r="G59" s="11">
        <v>72.0</v>
      </c>
    </row>
    <row r="60">
      <c r="A60" s="11">
        <v>1.0</v>
      </c>
      <c r="B60" s="16">
        <v>7.0</v>
      </c>
      <c r="C60" s="195">
        <v>3888.26</v>
      </c>
      <c r="D60" s="11">
        <v>295037.0</v>
      </c>
      <c r="E60" s="196">
        <v>43785.83</v>
      </c>
      <c r="F60" s="11">
        <v>8.0</v>
      </c>
      <c r="G60" s="11">
        <v>26.0</v>
      </c>
    </row>
    <row r="61">
      <c r="A61" s="11">
        <v>2.0</v>
      </c>
      <c r="B61" s="16">
        <v>6.0</v>
      </c>
      <c r="C61" s="195">
        <v>40898.66</v>
      </c>
      <c r="D61" s="11">
        <v>802953.0</v>
      </c>
      <c r="E61" s="196">
        <v>-7214.41</v>
      </c>
      <c r="F61" s="11">
        <v>1.0</v>
      </c>
      <c r="G61" s="11">
        <v>32.0</v>
      </c>
    </row>
    <row r="62">
      <c r="A62" s="11">
        <v>7.0</v>
      </c>
      <c r="B62" s="16">
        <v>7.0</v>
      </c>
      <c r="C62" s="195">
        <v>-15726.02</v>
      </c>
      <c r="D62" s="11">
        <v>132155.0</v>
      </c>
      <c r="E62" s="196">
        <v>82860.25</v>
      </c>
      <c r="F62" s="11">
        <v>9.0</v>
      </c>
      <c r="G62" s="11">
        <v>31.0</v>
      </c>
    </row>
    <row r="63">
      <c r="A63" s="11">
        <v>2.0</v>
      </c>
      <c r="B63" s="16">
        <v>9.0</v>
      </c>
      <c r="C63" s="195">
        <v>-6567.7</v>
      </c>
      <c r="D63" s="11">
        <v>430024.0</v>
      </c>
      <c r="E63" s="196">
        <v>74498.0</v>
      </c>
      <c r="F63" s="11">
        <v>4.0</v>
      </c>
      <c r="G63" s="11">
        <v>96.0</v>
      </c>
    </row>
    <row r="64">
      <c r="A64" s="11">
        <v>3.0</v>
      </c>
      <c r="B64" s="16">
        <v>5.0</v>
      </c>
      <c r="C64" s="195">
        <v>39833.91</v>
      </c>
      <c r="D64" s="11">
        <v>216736.0</v>
      </c>
      <c r="E64" s="196">
        <v>55971.83</v>
      </c>
      <c r="F64" s="11">
        <v>8.0</v>
      </c>
      <c r="G64" s="11">
        <v>27.0</v>
      </c>
    </row>
    <row r="65">
      <c r="A65" s="11">
        <v>1.0</v>
      </c>
      <c r="B65" s="16">
        <v>9.0</v>
      </c>
      <c r="C65" s="195">
        <v>-13147.99</v>
      </c>
      <c r="D65" s="11">
        <v>722523.0</v>
      </c>
      <c r="E65" s="196">
        <v>60320.7</v>
      </c>
      <c r="F65" s="11">
        <v>8.0</v>
      </c>
      <c r="G65" s="11">
        <v>87.0</v>
      </c>
    </row>
    <row r="66">
      <c r="A66" s="11">
        <v>3.0</v>
      </c>
      <c r="B66" s="16">
        <v>1.0</v>
      </c>
      <c r="C66" s="195">
        <v>82520.98</v>
      </c>
      <c r="D66" s="11">
        <v>173022.0</v>
      </c>
      <c r="E66" s="196">
        <v>-52337.28</v>
      </c>
      <c r="F66" s="11">
        <v>7.0</v>
      </c>
      <c r="G66" s="11">
        <v>99.0</v>
      </c>
    </row>
    <row r="67">
      <c r="A67" s="11">
        <v>5.0</v>
      </c>
      <c r="B67" s="16">
        <v>8.0</v>
      </c>
      <c r="C67" s="195">
        <v>18986.01</v>
      </c>
      <c r="D67" s="11">
        <v>490490.0</v>
      </c>
      <c r="E67" s="196">
        <v>-1547.39</v>
      </c>
      <c r="F67" s="11">
        <v>9.0</v>
      </c>
      <c r="G67" s="11">
        <v>43.0</v>
      </c>
    </row>
    <row r="68">
      <c r="A68" s="11">
        <v>8.0</v>
      </c>
      <c r="B68" s="16">
        <v>1.0</v>
      </c>
      <c r="C68" s="195">
        <v>60319.63</v>
      </c>
      <c r="D68" s="11">
        <v>508038.0</v>
      </c>
      <c r="E68" s="196">
        <v>-97055.71</v>
      </c>
      <c r="F68" s="11">
        <v>4.0</v>
      </c>
      <c r="G68" s="11">
        <v>66.0</v>
      </c>
    </row>
    <row r="69">
      <c r="A69" s="11">
        <v>2.0</v>
      </c>
      <c r="B69" s="16">
        <v>6.0</v>
      </c>
      <c r="C69" s="195">
        <v>-70845.14</v>
      </c>
      <c r="D69" s="11">
        <v>693791.0</v>
      </c>
      <c r="E69" s="196">
        <v>93513.71</v>
      </c>
      <c r="F69" s="11">
        <v>5.0</v>
      </c>
      <c r="G69" s="11">
        <v>22.0</v>
      </c>
    </row>
    <row r="70">
      <c r="A70" s="11">
        <v>6.0</v>
      </c>
      <c r="B70" s="16">
        <v>9.0</v>
      </c>
      <c r="C70" s="195">
        <v>39342.7</v>
      </c>
      <c r="D70" s="11">
        <v>936754.0</v>
      </c>
      <c r="E70" s="196">
        <v>38664.0</v>
      </c>
      <c r="F70" s="11">
        <v>3.0</v>
      </c>
      <c r="G70" s="11">
        <v>31.0</v>
      </c>
    </row>
    <row r="71">
      <c r="A71" s="11">
        <v>7.0</v>
      </c>
      <c r="B71" s="16">
        <v>3.0</v>
      </c>
      <c r="C71" s="195">
        <v>58222.54</v>
      </c>
      <c r="D71" s="11">
        <v>295542.0</v>
      </c>
      <c r="E71" s="196">
        <v>32672.47</v>
      </c>
      <c r="F71" s="11">
        <v>2.0</v>
      </c>
      <c r="G71" s="11">
        <v>12.0</v>
      </c>
    </row>
    <row r="72">
      <c r="A72" s="11">
        <v>7.0</v>
      </c>
      <c r="B72" s="16">
        <v>1.0</v>
      </c>
      <c r="C72" s="195">
        <v>78873.4</v>
      </c>
      <c r="D72" s="11">
        <v>446169.0</v>
      </c>
      <c r="E72" s="196">
        <v>-72346.36</v>
      </c>
      <c r="F72" s="11">
        <v>7.0</v>
      </c>
      <c r="G72" s="11">
        <v>78.0</v>
      </c>
    </row>
    <row r="73">
      <c r="A73" s="11">
        <v>6.0</v>
      </c>
      <c r="B73" s="16">
        <v>9.0</v>
      </c>
      <c r="C73" s="195">
        <v>-47187.08</v>
      </c>
      <c r="D73" s="11">
        <v>658688.0</v>
      </c>
      <c r="E73" s="196">
        <v>-90185.27</v>
      </c>
      <c r="F73" s="11">
        <v>3.0</v>
      </c>
      <c r="G73" s="11">
        <v>13.0</v>
      </c>
    </row>
    <row r="74">
      <c r="A74" s="11">
        <v>2.0</v>
      </c>
      <c r="B74" s="16">
        <v>3.0</v>
      </c>
      <c r="C74" s="195">
        <v>67592.22</v>
      </c>
      <c r="D74" s="11">
        <v>327671.0</v>
      </c>
      <c r="E74" s="196">
        <v>68487.1</v>
      </c>
      <c r="F74" s="11">
        <v>6.0</v>
      </c>
      <c r="G74" s="11">
        <v>42.0</v>
      </c>
    </row>
    <row r="75">
      <c r="A75" s="11">
        <v>8.0</v>
      </c>
      <c r="B75" s="16">
        <v>8.0</v>
      </c>
      <c r="C75" s="195">
        <v>-72533.92</v>
      </c>
      <c r="D75" s="11">
        <v>581328.0</v>
      </c>
      <c r="E75" s="196">
        <v>23214.69</v>
      </c>
      <c r="F75" s="11">
        <v>8.0</v>
      </c>
      <c r="G75" s="11">
        <v>27.0</v>
      </c>
    </row>
    <row r="76">
      <c r="A76" s="11">
        <v>6.0</v>
      </c>
      <c r="B76" s="16">
        <v>4.0</v>
      </c>
      <c r="C76" s="195">
        <v>2392.24</v>
      </c>
      <c r="D76" s="11">
        <v>367430.0</v>
      </c>
      <c r="E76" s="196">
        <v>14024.63</v>
      </c>
      <c r="F76" s="11">
        <v>5.0</v>
      </c>
      <c r="G76" s="11">
        <v>95.0</v>
      </c>
    </row>
    <row r="77">
      <c r="A77" s="11">
        <v>9.0</v>
      </c>
      <c r="B77" s="16">
        <v>3.0</v>
      </c>
      <c r="C77" s="195">
        <v>50037.04</v>
      </c>
      <c r="D77" s="11">
        <v>939843.0</v>
      </c>
      <c r="E77" s="196">
        <v>84196.86</v>
      </c>
      <c r="F77" s="11">
        <v>3.0</v>
      </c>
      <c r="G77" s="11">
        <v>72.0</v>
      </c>
    </row>
    <row r="78">
      <c r="A78" s="11">
        <v>6.0</v>
      </c>
      <c r="B78" s="16">
        <v>6.0</v>
      </c>
      <c r="C78" s="195">
        <v>95003.96</v>
      </c>
      <c r="D78" s="11">
        <v>575418.0</v>
      </c>
      <c r="E78" s="196">
        <v>-51658.16</v>
      </c>
      <c r="F78" s="11">
        <v>2.0</v>
      </c>
      <c r="G78" s="11">
        <v>37.0</v>
      </c>
    </row>
    <row r="79">
      <c r="A79" s="11">
        <v>2.0</v>
      </c>
      <c r="B79" s="16">
        <v>5.0</v>
      </c>
      <c r="C79" s="195">
        <v>-99005.04</v>
      </c>
      <c r="D79" s="11">
        <v>402916.0</v>
      </c>
      <c r="E79" s="196">
        <v>-40334.63</v>
      </c>
      <c r="F79" s="11">
        <v>9.0</v>
      </c>
      <c r="G79" s="11">
        <v>54.0</v>
      </c>
    </row>
    <row r="80">
      <c r="A80" s="11">
        <v>6.0</v>
      </c>
      <c r="B80" s="16">
        <v>3.0</v>
      </c>
      <c r="C80" s="195">
        <v>-75235.81</v>
      </c>
      <c r="D80" s="11">
        <v>447451.0</v>
      </c>
      <c r="E80" s="196">
        <v>-69185.15</v>
      </c>
      <c r="F80" s="11">
        <v>9.0</v>
      </c>
      <c r="G80" s="11">
        <v>37.0</v>
      </c>
    </row>
    <row r="81">
      <c r="A81" s="11">
        <v>3.0</v>
      </c>
      <c r="B81" s="16">
        <v>7.0</v>
      </c>
      <c r="C81" s="195">
        <v>-9484.0</v>
      </c>
      <c r="D81" s="11">
        <v>330136.0</v>
      </c>
      <c r="E81" s="196">
        <v>26297.89</v>
      </c>
      <c r="F81" s="11">
        <v>2.0</v>
      </c>
      <c r="G81" s="11">
        <v>95.0</v>
      </c>
    </row>
    <row r="82">
      <c r="A82" s="11">
        <v>3.0</v>
      </c>
      <c r="B82" s="16">
        <v>4.0</v>
      </c>
      <c r="C82" s="195">
        <v>-24715.74</v>
      </c>
      <c r="D82" s="11">
        <v>412014.0</v>
      </c>
      <c r="E82" s="196">
        <v>-39579.48</v>
      </c>
      <c r="F82" s="11">
        <v>6.0</v>
      </c>
      <c r="G82" s="11">
        <v>41.0</v>
      </c>
    </row>
    <row r="83">
      <c r="A83" s="11">
        <v>4.0</v>
      </c>
      <c r="B83" s="16">
        <v>4.0</v>
      </c>
      <c r="C83" s="195">
        <v>54940.25</v>
      </c>
      <c r="D83" s="11">
        <v>964656.0</v>
      </c>
      <c r="E83" s="196">
        <v>-99815.84</v>
      </c>
      <c r="F83" s="11">
        <v>5.0</v>
      </c>
      <c r="G83" s="11">
        <v>75.0</v>
      </c>
    </row>
    <row r="84">
      <c r="A84" s="11">
        <v>7.0</v>
      </c>
      <c r="B84" s="16">
        <v>6.0</v>
      </c>
      <c r="C84" s="195">
        <v>-69440.14</v>
      </c>
      <c r="D84" s="11">
        <v>259346.0</v>
      </c>
      <c r="E84" s="196">
        <v>53824.21</v>
      </c>
      <c r="F84" s="11">
        <v>4.0</v>
      </c>
      <c r="G84" s="11">
        <v>87.0</v>
      </c>
    </row>
    <row r="85">
      <c r="A85" s="11">
        <v>5.0</v>
      </c>
      <c r="B85" s="16">
        <v>9.0</v>
      </c>
      <c r="C85" s="195">
        <v>-1022.12</v>
      </c>
      <c r="D85" s="11">
        <v>343078.0</v>
      </c>
      <c r="E85" s="196">
        <v>70932.46</v>
      </c>
      <c r="F85" s="11">
        <v>1.0</v>
      </c>
      <c r="G85" s="11">
        <v>26.0</v>
      </c>
    </row>
    <row r="86">
      <c r="A86" s="11">
        <v>8.0</v>
      </c>
      <c r="B86" s="16">
        <v>5.0</v>
      </c>
      <c r="C86" s="195">
        <v>-67889.81</v>
      </c>
      <c r="D86" s="11">
        <v>422830.0</v>
      </c>
      <c r="E86" s="196">
        <v>69619.76</v>
      </c>
      <c r="F86" s="11">
        <v>3.0</v>
      </c>
      <c r="G86" s="11">
        <v>74.0</v>
      </c>
    </row>
    <row r="87">
      <c r="A87" s="11">
        <v>8.0</v>
      </c>
      <c r="B87" s="16">
        <v>5.0</v>
      </c>
      <c r="C87" s="195">
        <v>45230.21</v>
      </c>
      <c r="D87" s="11">
        <v>253492.0</v>
      </c>
      <c r="E87" s="196">
        <v>-45794.0</v>
      </c>
      <c r="F87" s="11">
        <v>6.0</v>
      </c>
      <c r="G87" s="11">
        <v>61.0</v>
      </c>
    </row>
    <row r="88">
      <c r="A88" s="11">
        <v>4.0</v>
      </c>
      <c r="B88" s="16">
        <v>1.0</v>
      </c>
      <c r="C88" s="195">
        <v>58875.85</v>
      </c>
      <c r="D88" s="11">
        <v>554643.0</v>
      </c>
      <c r="E88" s="196">
        <v>-2048.71</v>
      </c>
      <c r="F88" s="11">
        <v>6.0</v>
      </c>
      <c r="G88" s="11">
        <v>36.0</v>
      </c>
    </row>
    <row r="89">
      <c r="A89" s="11">
        <v>8.0</v>
      </c>
      <c r="B89" s="16">
        <v>5.0</v>
      </c>
      <c r="C89" s="195">
        <v>77919.93</v>
      </c>
      <c r="D89" s="11">
        <v>637253.0</v>
      </c>
      <c r="E89" s="196">
        <v>13936.01</v>
      </c>
      <c r="F89" s="11">
        <v>3.0</v>
      </c>
      <c r="G89" s="11">
        <v>34.0</v>
      </c>
    </row>
    <row r="90">
      <c r="A90" s="11">
        <v>7.0</v>
      </c>
      <c r="B90" s="16">
        <v>7.0</v>
      </c>
      <c r="C90" s="195">
        <v>-72420.79</v>
      </c>
      <c r="D90" s="11">
        <v>443956.0</v>
      </c>
      <c r="E90" s="196">
        <v>57553.59</v>
      </c>
      <c r="F90" s="11">
        <v>9.0</v>
      </c>
      <c r="G90" s="11">
        <v>30.0</v>
      </c>
    </row>
    <row r="91">
      <c r="A91" s="11">
        <v>2.0</v>
      </c>
      <c r="B91" s="16">
        <v>8.0</v>
      </c>
      <c r="C91" s="195">
        <v>-86451.85</v>
      </c>
      <c r="D91" s="11">
        <v>593043.0</v>
      </c>
      <c r="E91" s="196">
        <v>33288.34</v>
      </c>
      <c r="F91" s="11">
        <v>6.0</v>
      </c>
      <c r="G91" s="11">
        <v>76.0</v>
      </c>
    </row>
    <row r="92">
      <c r="A92" s="11">
        <v>1.0</v>
      </c>
      <c r="B92" s="16">
        <v>7.0</v>
      </c>
      <c r="C92" s="195">
        <v>-96597.8</v>
      </c>
      <c r="D92" s="11">
        <v>537244.0</v>
      </c>
      <c r="E92" s="196">
        <v>65836.26</v>
      </c>
      <c r="F92" s="11">
        <v>6.0</v>
      </c>
      <c r="G92" s="11">
        <v>67.0</v>
      </c>
    </row>
    <row r="93">
      <c r="A93" s="11">
        <v>8.0</v>
      </c>
      <c r="B93" s="16">
        <v>8.0</v>
      </c>
      <c r="C93" s="195">
        <v>-1381.67</v>
      </c>
      <c r="D93" s="11">
        <v>176606.0</v>
      </c>
      <c r="E93" s="196">
        <v>81255.34</v>
      </c>
      <c r="F93" s="11">
        <v>3.0</v>
      </c>
      <c r="G93" s="11">
        <v>60.0</v>
      </c>
    </row>
    <row r="94">
      <c r="A94" s="11">
        <v>3.0</v>
      </c>
      <c r="B94" s="16">
        <v>3.0</v>
      </c>
      <c r="C94" s="195">
        <v>14320.51</v>
      </c>
      <c r="D94" s="11">
        <v>917339.0</v>
      </c>
      <c r="E94" s="196">
        <v>81308.39</v>
      </c>
      <c r="F94" s="11">
        <v>4.0</v>
      </c>
      <c r="G94" s="11">
        <v>19.0</v>
      </c>
    </row>
    <row r="95">
      <c r="A95" s="11">
        <v>8.0</v>
      </c>
      <c r="B95" s="16">
        <v>3.0</v>
      </c>
      <c r="C95" s="195">
        <v>-48772.77</v>
      </c>
      <c r="D95" s="11">
        <v>899452.0</v>
      </c>
      <c r="E95" s="196">
        <v>65864.34</v>
      </c>
      <c r="F95" s="11">
        <v>2.0</v>
      </c>
      <c r="G95" s="11">
        <v>40.0</v>
      </c>
    </row>
    <row r="96">
      <c r="A96" s="11">
        <v>2.0</v>
      </c>
      <c r="B96" s="16">
        <v>6.0</v>
      </c>
      <c r="C96" s="195">
        <v>58148.9</v>
      </c>
      <c r="D96" s="11">
        <v>781917.0</v>
      </c>
      <c r="E96" s="196">
        <v>-8100.1</v>
      </c>
      <c r="F96" s="11">
        <v>2.0</v>
      </c>
      <c r="G96" s="11">
        <v>33.0</v>
      </c>
    </row>
    <row r="97">
      <c r="A97" s="11">
        <v>9.0</v>
      </c>
      <c r="B97" s="16">
        <v>2.0</v>
      </c>
      <c r="C97" s="195">
        <v>73799.25</v>
      </c>
      <c r="D97" s="11">
        <v>996492.0</v>
      </c>
      <c r="E97" s="196">
        <v>40531.53</v>
      </c>
      <c r="F97" s="11">
        <v>3.0</v>
      </c>
      <c r="G97" s="11">
        <v>25.0</v>
      </c>
    </row>
    <row r="98">
      <c r="A98" s="11">
        <v>2.0</v>
      </c>
      <c r="B98" s="16">
        <v>5.0</v>
      </c>
      <c r="C98" s="195">
        <v>66385.37</v>
      </c>
      <c r="D98" s="11">
        <v>160543.0</v>
      </c>
      <c r="E98" s="196">
        <v>10447.1</v>
      </c>
      <c r="F98" s="11">
        <v>2.0</v>
      </c>
      <c r="G98" s="11">
        <v>36.0</v>
      </c>
    </row>
    <row r="99">
      <c r="A99" s="11">
        <v>2.0</v>
      </c>
      <c r="B99" s="16">
        <v>5.0</v>
      </c>
      <c r="C99" s="195">
        <v>32862.38</v>
      </c>
      <c r="D99" s="11">
        <v>426864.0</v>
      </c>
      <c r="E99" s="196">
        <v>63887.49</v>
      </c>
      <c r="F99" s="11">
        <v>3.0</v>
      </c>
      <c r="G99" s="11">
        <v>13.0</v>
      </c>
    </row>
    <row r="100">
      <c r="A100" s="11">
        <v>4.0</v>
      </c>
      <c r="B100" s="16">
        <v>5.0</v>
      </c>
      <c r="C100" s="195">
        <v>-16500.16</v>
      </c>
      <c r="D100" s="11">
        <v>288806.0</v>
      </c>
      <c r="E100" s="196">
        <v>62327.47</v>
      </c>
      <c r="F100" s="11">
        <v>4.0</v>
      </c>
      <c r="G100" s="11">
        <v>87.0</v>
      </c>
    </row>
    <row r="101">
      <c r="A101" s="11">
        <v>5.0</v>
      </c>
      <c r="B101" s="16">
        <v>6.0</v>
      </c>
      <c r="C101" s="195">
        <v>-30558.7</v>
      </c>
      <c r="D101" s="11">
        <v>724293.0</v>
      </c>
      <c r="E101" s="196">
        <v>64882.19</v>
      </c>
      <c r="F101" s="11">
        <v>6.0</v>
      </c>
      <c r="G101" s="11">
        <v>75.0</v>
      </c>
    </row>
    <row r="102">
      <c r="A102" s="11">
        <v>1.0</v>
      </c>
      <c r="B102" s="16">
        <v>2.0</v>
      </c>
      <c r="C102" s="195">
        <v>69914.1</v>
      </c>
      <c r="D102" s="11">
        <v>521903.0</v>
      </c>
      <c r="E102" s="196">
        <v>74128.34</v>
      </c>
      <c r="F102" s="11">
        <v>1.0</v>
      </c>
      <c r="G102" s="11">
        <v>57.0</v>
      </c>
    </row>
    <row r="103">
      <c r="A103" s="11">
        <v>6.0</v>
      </c>
      <c r="B103" s="16">
        <v>8.0</v>
      </c>
      <c r="C103" s="195">
        <v>-55516.42</v>
      </c>
      <c r="D103" s="11">
        <v>728681.0</v>
      </c>
      <c r="E103" s="196">
        <v>-26991.43</v>
      </c>
      <c r="F103" s="11">
        <v>2.0</v>
      </c>
      <c r="G103" s="11">
        <v>39.0</v>
      </c>
    </row>
    <row r="104">
      <c r="A104" s="11">
        <v>7.0</v>
      </c>
      <c r="B104" s="16">
        <v>5.0</v>
      </c>
      <c r="C104" s="195">
        <v>18292.75</v>
      </c>
      <c r="D104" s="11">
        <v>711546.0</v>
      </c>
      <c r="E104" s="196">
        <v>-19039.04</v>
      </c>
      <c r="F104" s="11">
        <v>7.0</v>
      </c>
      <c r="G104" s="11">
        <v>57.0</v>
      </c>
    </row>
    <row r="105">
      <c r="A105" s="11">
        <v>9.0</v>
      </c>
      <c r="B105" s="16">
        <v>5.0</v>
      </c>
      <c r="C105" s="195">
        <v>-64600.93</v>
      </c>
      <c r="D105" s="11">
        <v>120161.0</v>
      </c>
      <c r="E105" s="196">
        <v>14070.36</v>
      </c>
      <c r="F105" s="11">
        <v>1.0</v>
      </c>
      <c r="G105" s="11">
        <v>34.0</v>
      </c>
    </row>
    <row r="106">
      <c r="A106" s="11">
        <v>5.0</v>
      </c>
      <c r="B106" s="16">
        <v>9.0</v>
      </c>
      <c r="C106" s="195">
        <v>-90268.75</v>
      </c>
      <c r="D106" s="11">
        <v>468554.0</v>
      </c>
      <c r="E106" s="196">
        <v>41796.99</v>
      </c>
      <c r="F106" s="11">
        <v>8.0</v>
      </c>
      <c r="G106" s="11">
        <v>83.0</v>
      </c>
    </row>
    <row r="107">
      <c r="A107" s="11">
        <v>2.0</v>
      </c>
      <c r="B107" s="16">
        <v>8.0</v>
      </c>
      <c r="C107" s="195">
        <v>-13854.74</v>
      </c>
      <c r="D107" s="11">
        <v>864269.0</v>
      </c>
      <c r="E107" s="196">
        <v>79215.09</v>
      </c>
      <c r="F107" s="11">
        <v>6.0</v>
      </c>
      <c r="G107" s="11">
        <v>10.0</v>
      </c>
    </row>
    <row r="108">
      <c r="A108" s="11">
        <v>4.0</v>
      </c>
      <c r="B108" s="16">
        <v>2.0</v>
      </c>
      <c r="C108" s="195">
        <v>62706.56</v>
      </c>
      <c r="D108" s="11">
        <v>689153.0</v>
      </c>
      <c r="E108" s="196">
        <v>-89724.38</v>
      </c>
      <c r="F108" s="11">
        <v>7.0</v>
      </c>
      <c r="G108" s="11">
        <v>18.0</v>
      </c>
    </row>
    <row r="109">
      <c r="A109" s="11">
        <v>8.0</v>
      </c>
      <c r="B109" s="16">
        <v>5.0</v>
      </c>
      <c r="C109" s="195">
        <v>-42742.85</v>
      </c>
      <c r="D109" s="11">
        <v>812555.0</v>
      </c>
      <c r="E109" s="196">
        <v>-4074.1</v>
      </c>
      <c r="F109" s="11">
        <v>1.0</v>
      </c>
      <c r="G109" s="11">
        <v>66.0</v>
      </c>
    </row>
    <row r="110">
      <c r="A110" s="11">
        <v>9.0</v>
      </c>
      <c r="B110" s="16">
        <v>4.0</v>
      </c>
      <c r="C110" s="195">
        <v>-48339.09</v>
      </c>
      <c r="D110" s="11">
        <v>783007.0</v>
      </c>
      <c r="E110" s="196">
        <v>47605.9</v>
      </c>
      <c r="F110" s="11">
        <v>8.0</v>
      </c>
      <c r="G110" s="11">
        <v>42.0</v>
      </c>
    </row>
    <row r="111">
      <c r="A111" s="11">
        <v>4.0</v>
      </c>
      <c r="B111" s="16">
        <v>2.0</v>
      </c>
      <c r="C111" s="195">
        <v>54685.11</v>
      </c>
      <c r="D111" s="11">
        <v>858473.0</v>
      </c>
      <c r="E111" s="196">
        <v>-22764.17</v>
      </c>
      <c r="F111" s="11">
        <v>5.0</v>
      </c>
      <c r="G111" s="11">
        <v>35.0</v>
      </c>
    </row>
    <row r="112">
      <c r="A112" s="11">
        <v>5.0</v>
      </c>
      <c r="B112" s="16">
        <v>7.0</v>
      </c>
      <c r="C112" s="195">
        <v>-20831.08</v>
      </c>
      <c r="D112" s="11">
        <v>710296.0</v>
      </c>
      <c r="E112" s="196">
        <v>-37301.59</v>
      </c>
      <c r="F112" s="11">
        <v>4.0</v>
      </c>
      <c r="G112" s="11">
        <v>34.0</v>
      </c>
    </row>
    <row r="113">
      <c r="A113" s="11">
        <v>5.0</v>
      </c>
      <c r="B113" s="16">
        <v>1.0</v>
      </c>
      <c r="C113" s="195">
        <v>4431.6</v>
      </c>
      <c r="D113" s="11">
        <v>378207.0</v>
      </c>
      <c r="E113" s="196">
        <v>21467.94</v>
      </c>
      <c r="F113" s="11">
        <v>4.0</v>
      </c>
      <c r="G113" s="11">
        <v>31.0</v>
      </c>
    </row>
    <row r="114">
      <c r="A114" s="11">
        <v>1.0</v>
      </c>
      <c r="B114" s="16">
        <v>6.0</v>
      </c>
      <c r="C114" s="195">
        <v>41622.7</v>
      </c>
      <c r="D114" s="11">
        <v>711776.0</v>
      </c>
      <c r="E114" s="196">
        <v>-38444.9</v>
      </c>
      <c r="F114" s="11">
        <v>2.0</v>
      </c>
      <c r="G114" s="11">
        <v>22.0</v>
      </c>
    </row>
    <row r="115">
      <c r="A115" s="11">
        <v>4.0</v>
      </c>
      <c r="B115" s="16">
        <v>5.0</v>
      </c>
      <c r="C115" s="195">
        <v>14228.74</v>
      </c>
      <c r="D115" s="11">
        <v>779897.0</v>
      </c>
      <c r="E115" s="196">
        <v>-137.93</v>
      </c>
      <c r="F115" s="11">
        <v>1.0</v>
      </c>
      <c r="G115" s="11">
        <v>56.0</v>
      </c>
    </row>
    <row r="116">
      <c r="A116" s="11">
        <v>8.0</v>
      </c>
      <c r="B116" s="16">
        <v>2.0</v>
      </c>
      <c r="C116" s="195">
        <v>46834.63</v>
      </c>
      <c r="D116" s="11">
        <v>994278.0</v>
      </c>
      <c r="E116" s="196">
        <v>74539.27</v>
      </c>
      <c r="F116" s="11">
        <v>4.0</v>
      </c>
      <c r="G116" s="11">
        <v>45.0</v>
      </c>
    </row>
    <row r="117">
      <c r="A117" s="11">
        <v>3.0</v>
      </c>
      <c r="B117" s="16">
        <v>6.0</v>
      </c>
      <c r="C117" s="195">
        <v>-5252.15</v>
      </c>
      <c r="D117" s="11">
        <v>446271.0</v>
      </c>
      <c r="E117" s="196">
        <v>25717.93</v>
      </c>
      <c r="F117" s="11">
        <v>2.0</v>
      </c>
      <c r="G117" s="11">
        <v>72.0</v>
      </c>
    </row>
    <row r="118">
      <c r="A118" s="11">
        <v>4.0</v>
      </c>
      <c r="B118" s="16">
        <v>9.0</v>
      </c>
      <c r="C118" s="195">
        <v>-84297.66</v>
      </c>
      <c r="D118" s="11">
        <v>302267.0</v>
      </c>
      <c r="E118" s="196">
        <v>-49487.72</v>
      </c>
      <c r="F118" s="11">
        <v>5.0</v>
      </c>
      <c r="G118" s="11">
        <v>87.0</v>
      </c>
    </row>
    <row r="119">
      <c r="A119" s="11">
        <v>7.0</v>
      </c>
      <c r="B119" s="16">
        <v>9.0</v>
      </c>
      <c r="C119" s="195">
        <v>-15170.85</v>
      </c>
      <c r="D119" s="11">
        <v>843139.0</v>
      </c>
      <c r="E119" s="196">
        <v>46913.57</v>
      </c>
      <c r="F119" s="11">
        <v>1.0</v>
      </c>
      <c r="G119" s="11">
        <v>84.0</v>
      </c>
    </row>
    <row r="120">
      <c r="A120" s="11">
        <v>5.0</v>
      </c>
      <c r="B120" s="16">
        <v>7.0</v>
      </c>
      <c r="C120" s="195">
        <v>-70387.66</v>
      </c>
      <c r="D120" s="11">
        <v>282190.0</v>
      </c>
      <c r="E120" s="196">
        <v>-8688.47</v>
      </c>
      <c r="F120" s="11">
        <v>3.0</v>
      </c>
      <c r="G120" s="11">
        <v>48.0</v>
      </c>
    </row>
    <row r="121">
      <c r="A121" s="11">
        <v>2.0</v>
      </c>
      <c r="B121" s="16">
        <v>5.0</v>
      </c>
      <c r="C121" s="195">
        <v>-44337.74</v>
      </c>
      <c r="D121" s="11">
        <v>479364.0</v>
      </c>
      <c r="E121" s="196">
        <v>86726.25</v>
      </c>
      <c r="F121" s="11">
        <v>5.0</v>
      </c>
      <c r="G121" s="11">
        <v>42.0</v>
      </c>
    </row>
    <row r="122">
      <c r="A122" s="11">
        <v>4.0</v>
      </c>
      <c r="B122" s="16">
        <v>6.0</v>
      </c>
      <c r="C122" s="195">
        <v>65423.32</v>
      </c>
      <c r="D122" s="11">
        <v>164350.0</v>
      </c>
      <c r="E122" s="196">
        <v>42704.19</v>
      </c>
      <c r="F122" s="11">
        <v>8.0</v>
      </c>
      <c r="G122" s="11">
        <v>10.0</v>
      </c>
    </row>
    <row r="123">
      <c r="A123" s="11">
        <v>3.0</v>
      </c>
      <c r="B123" s="16">
        <v>2.0</v>
      </c>
      <c r="C123" s="195">
        <v>92095.17</v>
      </c>
      <c r="D123" s="11">
        <v>247175.0</v>
      </c>
      <c r="E123" s="196">
        <v>58775.08</v>
      </c>
      <c r="F123" s="11">
        <v>4.0</v>
      </c>
      <c r="G123" s="11">
        <v>84.0</v>
      </c>
    </row>
    <row r="124">
      <c r="A124" s="11">
        <v>5.0</v>
      </c>
      <c r="B124" s="16">
        <v>9.0</v>
      </c>
      <c r="C124" s="195">
        <v>-13821.68</v>
      </c>
      <c r="D124" s="11">
        <v>221199.0</v>
      </c>
      <c r="E124" s="196">
        <v>-69571.72</v>
      </c>
      <c r="F124" s="11">
        <v>6.0</v>
      </c>
      <c r="G124" s="11">
        <v>61.0</v>
      </c>
    </row>
    <row r="125">
      <c r="A125" s="11">
        <v>2.0</v>
      </c>
      <c r="B125" s="16">
        <v>7.0</v>
      </c>
      <c r="C125" s="195">
        <v>13908.86</v>
      </c>
      <c r="D125" s="11">
        <v>423982.0</v>
      </c>
      <c r="E125" s="196">
        <v>-14124.81</v>
      </c>
      <c r="F125" s="11">
        <v>3.0</v>
      </c>
      <c r="G125" s="11">
        <v>67.0</v>
      </c>
    </row>
    <row r="126">
      <c r="A126" s="11">
        <v>8.0</v>
      </c>
      <c r="B126" s="16">
        <v>4.0</v>
      </c>
      <c r="C126" s="195">
        <v>-71954.65</v>
      </c>
      <c r="D126" s="11">
        <v>590916.0</v>
      </c>
      <c r="E126" s="196">
        <v>77702.88</v>
      </c>
      <c r="F126" s="11">
        <v>8.0</v>
      </c>
      <c r="G126" s="11">
        <v>69.0</v>
      </c>
    </row>
    <row r="127">
      <c r="A127" s="11">
        <v>1.0</v>
      </c>
      <c r="B127" s="16">
        <v>8.0</v>
      </c>
      <c r="C127" s="195">
        <v>65875.0</v>
      </c>
      <c r="D127" s="11">
        <v>903838.0</v>
      </c>
      <c r="E127" s="196">
        <v>24285.01</v>
      </c>
      <c r="F127" s="11">
        <v>8.0</v>
      </c>
      <c r="G127" s="11">
        <v>29.0</v>
      </c>
    </row>
    <row r="128">
      <c r="A128" s="11">
        <v>7.0</v>
      </c>
      <c r="B128" s="16">
        <v>7.0</v>
      </c>
      <c r="C128" s="195">
        <v>56283.25</v>
      </c>
      <c r="D128" s="11">
        <v>366704.0</v>
      </c>
      <c r="E128" s="196">
        <v>-97037.59</v>
      </c>
      <c r="F128" s="11">
        <v>3.0</v>
      </c>
      <c r="G128" s="11">
        <v>59.0</v>
      </c>
    </row>
    <row r="129">
      <c r="A129" s="11">
        <v>4.0</v>
      </c>
      <c r="B129" s="16">
        <v>5.0</v>
      </c>
      <c r="C129" s="195">
        <v>-95218.73</v>
      </c>
      <c r="D129" s="11">
        <v>277504.0</v>
      </c>
      <c r="E129" s="196">
        <v>-4840.25</v>
      </c>
      <c r="F129" s="11">
        <v>6.0</v>
      </c>
      <c r="G129" s="11">
        <v>77.0</v>
      </c>
    </row>
    <row r="130">
      <c r="A130" s="11">
        <v>9.0</v>
      </c>
      <c r="B130" s="16">
        <v>5.0</v>
      </c>
      <c r="C130" s="195">
        <v>90176.14</v>
      </c>
      <c r="D130" s="11">
        <v>879303.0</v>
      </c>
      <c r="E130" s="196">
        <v>79663.45</v>
      </c>
      <c r="F130" s="11">
        <v>2.0</v>
      </c>
      <c r="G130" s="11">
        <v>61.0</v>
      </c>
    </row>
    <row r="131">
      <c r="A131" s="11">
        <v>1.0</v>
      </c>
      <c r="B131" s="16">
        <v>9.0</v>
      </c>
      <c r="C131" s="195">
        <v>-34419.42</v>
      </c>
      <c r="D131" s="11">
        <v>252599.0</v>
      </c>
      <c r="E131" s="196">
        <v>-7630.85</v>
      </c>
      <c r="F131" s="11">
        <v>5.0</v>
      </c>
      <c r="G131" s="11">
        <v>43.0</v>
      </c>
    </row>
    <row r="132">
      <c r="A132" s="11">
        <v>4.0</v>
      </c>
      <c r="B132" s="16">
        <v>6.0</v>
      </c>
      <c r="C132" s="195">
        <v>-57797.74</v>
      </c>
      <c r="D132" s="11">
        <v>843297.0</v>
      </c>
      <c r="E132" s="196">
        <v>-71142.18</v>
      </c>
      <c r="F132" s="11">
        <v>1.0</v>
      </c>
      <c r="G132" s="11">
        <v>38.0</v>
      </c>
    </row>
    <row r="133">
      <c r="A133" s="11">
        <v>1.0</v>
      </c>
      <c r="B133" s="16">
        <v>3.0</v>
      </c>
      <c r="C133" s="195">
        <v>67910.81</v>
      </c>
      <c r="D133" s="11">
        <v>487130.0</v>
      </c>
      <c r="E133" s="196">
        <v>-96057.04</v>
      </c>
      <c r="F133" s="11">
        <v>7.0</v>
      </c>
      <c r="G133" s="11">
        <v>32.0</v>
      </c>
    </row>
    <row r="134">
      <c r="A134" s="11">
        <v>8.0</v>
      </c>
      <c r="B134" s="16">
        <v>5.0</v>
      </c>
      <c r="C134" s="195">
        <v>-96012.03</v>
      </c>
      <c r="D134" s="11">
        <v>484004.0</v>
      </c>
      <c r="E134" s="196">
        <v>-87952.27</v>
      </c>
      <c r="F134" s="11">
        <v>9.0</v>
      </c>
      <c r="G134" s="11">
        <v>59.0</v>
      </c>
    </row>
    <row r="135">
      <c r="A135" s="11">
        <v>9.0</v>
      </c>
      <c r="B135" s="16">
        <v>6.0</v>
      </c>
      <c r="C135" s="195">
        <v>37930.78</v>
      </c>
      <c r="D135" s="11">
        <v>289546.0</v>
      </c>
      <c r="E135" s="196">
        <v>-36310.01</v>
      </c>
      <c r="F135" s="11">
        <v>2.0</v>
      </c>
      <c r="G135" s="11">
        <v>63.0</v>
      </c>
    </row>
    <row r="136">
      <c r="A136" s="11">
        <v>9.0</v>
      </c>
      <c r="B136" s="16">
        <v>9.0</v>
      </c>
      <c r="C136" s="195">
        <v>-94955.62</v>
      </c>
      <c r="D136" s="11">
        <v>948493.0</v>
      </c>
      <c r="E136" s="196">
        <v>-25901.68</v>
      </c>
      <c r="F136" s="11">
        <v>8.0</v>
      </c>
      <c r="G136" s="11">
        <v>73.0</v>
      </c>
    </row>
    <row r="137">
      <c r="A137" s="11">
        <v>5.0</v>
      </c>
      <c r="B137" s="16">
        <v>4.0</v>
      </c>
      <c r="C137" s="195">
        <v>48441.2</v>
      </c>
      <c r="D137" s="11">
        <v>785231.0</v>
      </c>
      <c r="E137" s="196">
        <v>95999.94</v>
      </c>
      <c r="F137" s="11">
        <v>3.0</v>
      </c>
      <c r="G137" s="11">
        <v>41.0</v>
      </c>
    </row>
    <row r="138">
      <c r="A138" s="11">
        <v>9.0</v>
      </c>
      <c r="B138" s="16">
        <v>3.0</v>
      </c>
      <c r="C138" s="195">
        <v>-75330.55</v>
      </c>
      <c r="D138" s="11">
        <v>415870.0</v>
      </c>
      <c r="E138" s="196">
        <v>1395.26</v>
      </c>
      <c r="F138" s="11">
        <v>6.0</v>
      </c>
      <c r="G138" s="11">
        <v>31.0</v>
      </c>
    </row>
    <row r="139">
      <c r="A139" s="11">
        <v>2.0</v>
      </c>
      <c r="B139" s="16">
        <v>7.0</v>
      </c>
      <c r="C139" s="195">
        <v>88295.2</v>
      </c>
      <c r="D139" s="11">
        <v>664746.0</v>
      </c>
      <c r="E139" s="196">
        <v>19786.8</v>
      </c>
      <c r="F139" s="11">
        <v>6.0</v>
      </c>
      <c r="G139" s="11">
        <v>13.0</v>
      </c>
    </row>
    <row r="140">
      <c r="A140" s="11">
        <v>7.0</v>
      </c>
      <c r="B140" s="16">
        <v>3.0</v>
      </c>
      <c r="C140" s="195">
        <v>-69315.75</v>
      </c>
      <c r="D140" s="11">
        <v>762974.0</v>
      </c>
      <c r="E140" s="196">
        <v>-60365.18</v>
      </c>
      <c r="F140" s="11">
        <v>1.0</v>
      </c>
      <c r="G140" s="11">
        <v>94.0</v>
      </c>
    </row>
    <row r="141">
      <c r="A141" s="11">
        <v>5.0</v>
      </c>
      <c r="B141" s="16">
        <v>9.0</v>
      </c>
      <c r="C141" s="195">
        <v>-28600.27</v>
      </c>
      <c r="D141" s="11">
        <v>739472.0</v>
      </c>
      <c r="E141" s="196">
        <v>47663.35</v>
      </c>
      <c r="F141" s="11">
        <v>2.0</v>
      </c>
      <c r="G141" s="11">
        <v>86.0</v>
      </c>
    </row>
    <row r="142">
      <c r="A142" s="11">
        <v>9.0</v>
      </c>
      <c r="B142" s="16">
        <v>3.0</v>
      </c>
      <c r="C142" s="195">
        <v>1339.25</v>
      </c>
      <c r="D142" s="11">
        <v>421475.0</v>
      </c>
      <c r="E142" s="196">
        <v>28939.47</v>
      </c>
      <c r="F142" s="11">
        <v>7.0</v>
      </c>
      <c r="G142" s="11">
        <v>78.0</v>
      </c>
    </row>
    <row r="143">
      <c r="A143" s="11">
        <v>1.0</v>
      </c>
      <c r="B143" s="16">
        <v>4.0</v>
      </c>
      <c r="C143" s="195">
        <v>4483.77</v>
      </c>
      <c r="D143" s="11">
        <v>122098.0</v>
      </c>
      <c r="E143" s="196">
        <v>-86797.68</v>
      </c>
      <c r="F143" s="11">
        <v>5.0</v>
      </c>
      <c r="G143" s="11">
        <v>66.0</v>
      </c>
    </row>
    <row r="144">
      <c r="A144" s="11">
        <v>3.0</v>
      </c>
      <c r="B144" s="16">
        <v>5.0</v>
      </c>
      <c r="C144" s="195">
        <v>-29232.74</v>
      </c>
      <c r="D144" s="11">
        <v>193854.0</v>
      </c>
      <c r="E144" s="196">
        <v>-49953.55</v>
      </c>
      <c r="F144" s="11">
        <v>8.0</v>
      </c>
      <c r="G144" s="11">
        <v>62.0</v>
      </c>
    </row>
    <row r="145">
      <c r="A145" s="11">
        <v>6.0</v>
      </c>
      <c r="B145" s="16">
        <v>3.0</v>
      </c>
      <c r="C145" s="195">
        <v>47826.4</v>
      </c>
      <c r="D145" s="11">
        <v>886785.0</v>
      </c>
      <c r="E145" s="196">
        <v>-66774.1</v>
      </c>
      <c r="F145" s="11">
        <v>7.0</v>
      </c>
      <c r="G145" s="11">
        <v>89.0</v>
      </c>
    </row>
    <row r="146">
      <c r="A146" s="11">
        <v>9.0</v>
      </c>
      <c r="B146" s="16">
        <v>4.0</v>
      </c>
      <c r="C146" s="195">
        <v>96980.8</v>
      </c>
      <c r="D146" s="11">
        <v>965748.0</v>
      </c>
      <c r="E146" s="196">
        <v>-88816.53</v>
      </c>
      <c r="F146" s="11">
        <v>9.0</v>
      </c>
      <c r="G146" s="11">
        <v>64.0</v>
      </c>
    </row>
    <row r="147">
      <c r="A147" s="11">
        <v>2.0</v>
      </c>
      <c r="B147" s="16">
        <v>4.0</v>
      </c>
      <c r="C147" s="195">
        <v>50409.77</v>
      </c>
      <c r="D147" s="11">
        <v>157357.0</v>
      </c>
      <c r="E147" s="196">
        <v>-78083.07</v>
      </c>
      <c r="F147" s="11">
        <v>5.0</v>
      </c>
      <c r="G147" s="11">
        <v>19.0</v>
      </c>
    </row>
    <row r="148">
      <c r="A148" s="11">
        <v>2.0</v>
      </c>
      <c r="B148" s="16">
        <v>8.0</v>
      </c>
      <c r="C148" s="195">
        <v>-59915.62</v>
      </c>
      <c r="D148" s="11">
        <v>779349.0</v>
      </c>
      <c r="E148" s="196">
        <v>-6046.37</v>
      </c>
      <c r="F148" s="11">
        <v>1.0</v>
      </c>
      <c r="G148" s="11">
        <v>26.0</v>
      </c>
    </row>
    <row r="149">
      <c r="A149" s="11">
        <v>8.0</v>
      </c>
      <c r="B149" s="16">
        <v>3.0</v>
      </c>
      <c r="C149" s="195">
        <v>95152.19</v>
      </c>
      <c r="D149" s="11">
        <v>921707.0</v>
      </c>
      <c r="E149" s="196">
        <v>-19925.37</v>
      </c>
      <c r="F149" s="11">
        <v>7.0</v>
      </c>
      <c r="G149" s="11">
        <v>61.0</v>
      </c>
    </row>
    <row r="150">
      <c r="A150" s="11">
        <v>5.0</v>
      </c>
      <c r="B150" s="16">
        <v>6.0</v>
      </c>
      <c r="C150" s="195">
        <v>-98296.25</v>
      </c>
      <c r="D150" s="11">
        <v>937192.0</v>
      </c>
      <c r="E150" s="196">
        <v>-2653.59</v>
      </c>
      <c r="F150" s="11">
        <v>8.0</v>
      </c>
      <c r="G150" s="11">
        <v>49.0</v>
      </c>
    </row>
    <row r="151">
      <c r="A151" s="11">
        <v>6.0</v>
      </c>
      <c r="B151" s="16">
        <v>9.0</v>
      </c>
      <c r="C151" s="195">
        <v>4340.37</v>
      </c>
      <c r="D151" s="11">
        <v>759950.0</v>
      </c>
      <c r="E151" s="196">
        <v>46903.03</v>
      </c>
      <c r="F151" s="11">
        <v>2.0</v>
      </c>
      <c r="G151" s="11">
        <v>52.0</v>
      </c>
    </row>
    <row r="152">
      <c r="A152" s="11">
        <v>8.0</v>
      </c>
      <c r="B152" s="16">
        <v>5.0</v>
      </c>
      <c r="C152" s="195">
        <v>74346.22</v>
      </c>
      <c r="D152" s="11">
        <v>844059.0</v>
      </c>
      <c r="E152" s="196">
        <v>-68916.04</v>
      </c>
      <c r="F152" s="11">
        <v>7.0</v>
      </c>
      <c r="G152" s="11">
        <v>93.0</v>
      </c>
    </row>
    <row r="153">
      <c r="A153" s="11">
        <v>5.0</v>
      </c>
      <c r="B153" s="16">
        <v>5.0</v>
      </c>
      <c r="C153" s="195">
        <v>-48411.63</v>
      </c>
      <c r="D153" s="11">
        <v>336056.0</v>
      </c>
      <c r="E153" s="196">
        <v>63405.7</v>
      </c>
      <c r="F153" s="11">
        <v>1.0</v>
      </c>
      <c r="G153" s="11">
        <v>96.0</v>
      </c>
    </row>
    <row r="154">
      <c r="A154" s="11">
        <v>1.0</v>
      </c>
      <c r="B154" s="16">
        <v>1.0</v>
      </c>
      <c r="C154" s="195">
        <v>91469.08</v>
      </c>
      <c r="D154" s="11">
        <v>770581.0</v>
      </c>
      <c r="E154" s="196">
        <v>65220.19</v>
      </c>
      <c r="F154" s="11">
        <v>8.0</v>
      </c>
      <c r="G154" s="11">
        <v>16.0</v>
      </c>
    </row>
    <row r="155">
      <c r="A155" s="11">
        <v>4.0</v>
      </c>
      <c r="B155" s="16">
        <v>7.0</v>
      </c>
      <c r="C155" s="195">
        <v>-54479.58</v>
      </c>
      <c r="D155" s="11">
        <v>229582.0</v>
      </c>
      <c r="E155" s="196">
        <v>-70871.85</v>
      </c>
      <c r="F155" s="11">
        <v>9.0</v>
      </c>
      <c r="G155" s="11">
        <v>15.0</v>
      </c>
    </row>
    <row r="156">
      <c r="A156" s="11">
        <v>4.0</v>
      </c>
      <c r="B156" s="16">
        <v>3.0</v>
      </c>
      <c r="C156" s="195">
        <v>-87634.53</v>
      </c>
      <c r="D156" s="11">
        <v>636610.0</v>
      </c>
      <c r="E156" s="196">
        <v>-7580.66</v>
      </c>
      <c r="F156" s="11">
        <v>4.0</v>
      </c>
      <c r="G156" s="11">
        <v>65.0</v>
      </c>
    </row>
    <row r="157">
      <c r="A157" s="11">
        <v>7.0</v>
      </c>
      <c r="B157" s="16">
        <v>6.0</v>
      </c>
      <c r="C157" s="195">
        <v>-33119.36</v>
      </c>
      <c r="D157" s="11">
        <v>746827.0</v>
      </c>
      <c r="E157" s="196">
        <v>-30331.89</v>
      </c>
      <c r="F157" s="11">
        <v>1.0</v>
      </c>
      <c r="G157" s="11">
        <v>45.0</v>
      </c>
    </row>
    <row r="158">
      <c r="A158" s="11">
        <v>4.0</v>
      </c>
      <c r="B158" s="16">
        <v>9.0</v>
      </c>
      <c r="C158" s="195">
        <v>36116.19</v>
      </c>
      <c r="D158" s="11">
        <v>500843.0</v>
      </c>
      <c r="E158" s="196">
        <v>-66571.32</v>
      </c>
      <c r="F158" s="11">
        <v>8.0</v>
      </c>
      <c r="G158" s="11">
        <v>53.0</v>
      </c>
    </row>
    <row r="159">
      <c r="A159" s="11">
        <v>2.0</v>
      </c>
      <c r="B159" s="16">
        <v>7.0</v>
      </c>
      <c r="C159" s="195">
        <v>42252.01</v>
      </c>
      <c r="D159" s="11">
        <v>355127.0</v>
      </c>
      <c r="E159" s="196">
        <v>54777.07</v>
      </c>
      <c r="F159" s="11">
        <v>4.0</v>
      </c>
      <c r="G159" s="11">
        <v>16.0</v>
      </c>
    </row>
    <row r="160">
      <c r="A160" s="11">
        <v>1.0</v>
      </c>
      <c r="B160" s="16">
        <v>4.0</v>
      </c>
      <c r="C160" s="195">
        <v>-91800.7</v>
      </c>
      <c r="D160" s="11">
        <v>742031.0</v>
      </c>
      <c r="E160" s="196">
        <v>-41132.75</v>
      </c>
      <c r="F160" s="11">
        <v>6.0</v>
      </c>
      <c r="G160" s="11">
        <v>26.0</v>
      </c>
    </row>
    <row r="161">
      <c r="A161" s="11">
        <v>1.0</v>
      </c>
      <c r="B161" s="16">
        <v>3.0</v>
      </c>
      <c r="C161" s="195">
        <v>-49116.49</v>
      </c>
      <c r="D161" s="11">
        <v>687017.0</v>
      </c>
      <c r="E161" s="196">
        <v>-78024.97</v>
      </c>
      <c r="F161" s="11">
        <v>3.0</v>
      </c>
      <c r="G161" s="11">
        <v>85.0</v>
      </c>
    </row>
    <row r="162">
      <c r="A162" s="11">
        <v>1.0</v>
      </c>
      <c r="B162" s="16">
        <v>1.0</v>
      </c>
      <c r="C162" s="195">
        <v>44843.71</v>
      </c>
      <c r="D162" s="11">
        <v>234610.0</v>
      </c>
      <c r="E162" s="196">
        <v>73559.22</v>
      </c>
      <c r="F162" s="11">
        <v>3.0</v>
      </c>
      <c r="G162" s="11">
        <v>83.0</v>
      </c>
    </row>
    <row r="163">
      <c r="A163" s="11">
        <v>7.0</v>
      </c>
      <c r="B163" s="16">
        <v>5.0</v>
      </c>
      <c r="C163" s="195">
        <v>80911.35</v>
      </c>
      <c r="D163" s="11">
        <v>356558.0</v>
      </c>
      <c r="E163" s="196">
        <v>41884.68</v>
      </c>
      <c r="F163" s="11">
        <v>8.0</v>
      </c>
      <c r="G163" s="11">
        <v>38.0</v>
      </c>
    </row>
    <row r="164">
      <c r="A164" s="11">
        <v>3.0</v>
      </c>
      <c r="B164" s="16">
        <v>3.0</v>
      </c>
      <c r="C164" s="195">
        <v>-20399.16</v>
      </c>
      <c r="D164" s="11">
        <v>312291.0</v>
      </c>
      <c r="E164" s="196">
        <v>-93612.75</v>
      </c>
      <c r="F164" s="11">
        <v>8.0</v>
      </c>
      <c r="G164" s="11">
        <v>53.0</v>
      </c>
    </row>
    <row r="165">
      <c r="A165" s="11">
        <v>3.0</v>
      </c>
      <c r="B165" s="16">
        <v>7.0</v>
      </c>
      <c r="C165" s="195">
        <v>-55828.62</v>
      </c>
      <c r="D165" s="11">
        <v>833526.0</v>
      </c>
      <c r="E165" s="196">
        <v>-54356.89</v>
      </c>
      <c r="F165" s="11">
        <v>4.0</v>
      </c>
      <c r="G165" s="11">
        <v>20.0</v>
      </c>
    </row>
    <row r="166">
      <c r="A166" s="11">
        <v>7.0</v>
      </c>
      <c r="B166" s="16">
        <v>2.0</v>
      </c>
      <c r="C166" s="195">
        <v>46606.11</v>
      </c>
      <c r="D166" s="11">
        <v>957700.0</v>
      </c>
      <c r="E166" s="196">
        <v>-40459.66</v>
      </c>
      <c r="F166" s="11">
        <v>4.0</v>
      </c>
      <c r="G166" s="11">
        <v>97.0</v>
      </c>
    </row>
    <row r="167">
      <c r="A167" s="11">
        <v>2.0</v>
      </c>
      <c r="B167" s="16">
        <v>3.0</v>
      </c>
      <c r="C167" s="195">
        <v>-7737.02</v>
      </c>
      <c r="D167" s="11">
        <v>833457.0</v>
      </c>
      <c r="E167" s="196">
        <v>-34126.96</v>
      </c>
      <c r="F167" s="11">
        <v>5.0</v>
      </c>
      <c r="G167" s="11">
        <v>90.0</v>
      </c>
    </row>
    <row r="168">
      <c r="A168" s="11">
        <v>4.0</v>
      </c>
      <c r="B168" s="16">
        <v>6.0</v>
      </c>
      <c r="C168" s="195">
        <v>79705.74</v>
      </c>
      <c r="D168" s="11">
        <v>323812.0</v>
      </c>
      <c r="E168" s="196">
        <v>-65986.42</v>
      </c>
      <c r="F168" s="11">
        <v>2.0</v>
      </c>
      <c r="G168" s="11">
        <v>89.0</v>
      </c>
    </row>
    <row r="169">
      <c r="A169" s="11">
        <v>8.0</v>
      </c>
      <c r="B169" s="16">
        <v>2.0</v>
      </c>
      <c r="C169" s="195">
        <v>60553.97</v>
      </c>
      <c r="D169" s="11">
        <v>349294.0</v>
      </c>
      <c r="E169" s="196">
        <v>-54879.86</v>
      </c>
      <c r="F169" s="11">
        <v>5.0</v>
      </c>
      <c r="G169" s="11">
        <v>20.0</v>
      </c>
    </row>
    <row r="170">
      <c r="A170" s="11">
        <v>3.0</v>
      </c>
      <c r="B170" s="16">
        <v>6.0</v>
      </c>
      <c r="C170" s="195">
        <v>-49780.66</v>
      </c>
      <c r="D170" s="11">
        <v>220873.0</v>
      </c>
      <c r="E170" s="196">
        <v>67689.26</v>
      </c>
      <c r="F170" s="11">
        <v>5.0</v>
      </c>
      <c r="G170" s="11">
        <v>50.0</v>
      </c>
    </row>
    <row r="171">
      <c r="A171" s="11">
        <v>3.0</v>
      </c>
      <c r="B171" s="16">
        <v>8.0</v>
      </c>
      <c r="C171" s="195">
        <v>39601.21</v>
      </c>
      <c r="D171" s="11">
        <v>344450.0</v>
      </c>
      <c r="E171" s="196">
        <v>-53869.39</v>
      </c>
      <c r="F171" s="11">
        <v>2.0</v>
      </c>
      <c r="G171" s="11">
        <v>58.0</v>
      </c>
    </row>
    <row r="172">
      <c r="A172" s="11">
        <v>1.0</v>
      </c>
      <c r="B172" s="16">
        <v>6.0</v>
      </c>
      <c r="C172" s="195">
        <v>5049.15</v>
      </c>
      <c r="D172" s="11">
        <v>574949.0</v>
      </c>
      <c r="E172" s="196">
        <v>13613.79</v>
      </c>
      <c r="F172" s="11">
        <v>7.0</v>
      </c>
      <c r="G172" s="11">
        <v>57.0</v>
      </c>
    </row>
    <row r="173">
      <c r="A173" s="11">
        <v>5.0</v>
      </c>
      <c r="B173" s="16">
        <v>4.0</v>
      </c>
      <c r="C173" s="195">
        <v>-18925.34</v>
      </c>
      <c r="D173" s="11">
        <v>832210.0</v>
      </c>
      <c r="E173" s="196">
        <v>-27802.71</v>
      </c>
      <c r="F173" s="11">
        <v>6.0</v>
      </c>
      <c r="G173" s="11">
        <v>57.0</v>
      </c>
    </row>
    <row r="174">
      <c r="A174" s="11">
        <v>6.0</v>
      </c>
      <c r="B174" s="16">
        <v>6.0</v>
      </c>
      <c r="C174" s="195">
        <v>-30311.42</v>
      </c>
      <c r="D174" s="11">
        <v>731291.0</v>
      </c>
      <c r="E174" s="196">
        <v>-60673.71</v>
      </c>
      <c r="F174" s="11">
        <v>6.0</v>
      </c>
      <c r="G174" s="11">
        <v>51.0</v>
      </c>
    </row>
    <row r="175">
      <c r="A175" s="11">
        <v>5.0</v>
      </c>
      <c r="B175" s="16">
        <v>8.0</v>
      </c>
      <c r="C175" s="195">
        <v>15217.06</v>
      </c>
      <c r="D175" s="11">
        <v>852170.0</v>
      </c>
      <c r="E175" s="196">
        <v>-96195.31</v>
      </c>
      <c r="F175" s="11">
        <v>8.0</v>
      </c>
      <c r="G175" s="11">
        <v>79.0</v>
      </c>
    </row>
    <row r="176">
      <c r="A176" s="11">
        <v>7.0</v>
      </c>
      <c r="B176" s="16">
        <v>5.0</v>
      </c>
      <c r="C176" s="195">
        <v>60242.48</v>
      </c>
      <c r="D176" s="11">
        <v>900456.0</v>
      </c>
      <c r="E176" s="196">
        <v>55774.04</v>
      </c>
      <c r="F176" s="11">
        <v>7.0</v>
      </c>
      <c r="G176" s="11">
        <v>46.0</v>
      </c>
    </row>
    <row r="177">
      <c r="A177" s="11">
        <v>6.0</v>
      </c>
      <c r="B177" s="16">
        <v>6.0</v>
      </c>
      <c r="C177" s="195">
        <v>87624.28</v>
      </c>
      <c r="D177" s="11">
        <v>595795.0</v>
      </c>
      <c r="E177" s="196">
        <v>-83296.66</v>
      </c>
      <c r="F177" s="11">
        <v>3.0</v>
      </c>
      <c r="G177" s="11">
        <v>87.0</v>
      </c>
    </row>
    <row r="178">
      <c r="A178" s="11">
        <v>2.0</v>
      </c>
      <c r="B178" s="16">
        <v>8.0</v>
      </c>
      <c r="C178" s="195">
        <v>61503.98</v>
      </c>
      <c r="D178" s="11">
        <v>546425.0</v>
      </c>
      <c r="E178" s="196">
        <v>-99526.87</v>
      </c>
      <c r="F178" s="11">
        <v>9.0</v>
      </c>
      <c r="G178" s="11">
        <v>44.0</v>
      </c>
    </row>
    <row r="179">
      <c r="A179" s="11">
        <v>4.0</v>
      </c>
      <c r="B179" s="16">
        <v>7.0</v>
      </c>
      <c r="C179" s="195">
        <v>-58008.32</v>
      </c>
      <c r="D179" s="11">
        <v>125599.0</v>
      </c>
      <c r="E179" s="196">
        <v>-85760.05</v>
      </c>
      <c r="F179" s="11">
        <v>6.0</v>
      </c>
      <c r="G179" s="11">
        <v>92.0</v>
      </c>
    </row>
    <row r="180">
      <c r="A180" s="11">
        <v>3.0</v>
      </c>
      <c r="B180" s="16">
        <v>9.0</v>
      </c>
      <c r="C180" s="195">
        <v>-97863.63</v>
      </c>
      <c r="D180" s="11">
        <v>809451.0</v>
      </c>
      <c r="E180" s="196">
        <v>-32394.96</v>
      </c>
      <c r="F180" s="11">
        <v>1.0</v>
      </c>
      <c r="G180" s="11">
        <v>23.0</v>
      </c>
    </row>
    <row r="181">
      <c r="A181" s="11">
        <v>5.0</v>
      </c>
      <c r="B181" s="16">
        <v>3.0</v>
      </c>
      <c r="C181" s="195">
        <v>-84333.93</v>
      </c>
      <c r="D181" s="11">
        <v>824052.0</v>
      </c>
      <c r="E181" s="196">
        <v>-22610.1</v>
      </c>
      <c r="F181" s="11">
        <v>7.0</v>
      </c>
      <c r="G181" s="11">
        <v>18.0</v>
      </c>
    </row>
    <row r="182">
      <c r="A182" s="11">
        <v>4.0</v>
      </c>
      <c r="B182" s="16">
        <v>9.0</v>
      </c>
      <c r="C182" s="195">
        <v>-10534.78</v>
      </c>
      <c r="D182" s="11">
        <v>668948.0</v>
      </c>
      <c r="E182" s="196">
        <v>64862.27</v>
      </c>
      <c r="F182" s="11">
        <v>1.0</v>
      </c>
      <c r="G182" s="11">
        <v>44.0</v>
      </c>
    </row>
    <row r="183">
      <c r="A183" s="11">
        <v>5.0</v>
      </c>
      <c r="B183" s="16">
        <v>8.0</v>
      </c>
      <c r="C183" s="195">
        <v>-32211.94</v>
      </c>
      <c r="D183" s="11">
        <v>672865.0</v>
      </c>
      <c r="E183" s="196">
        <v>-57886.05</v>
      </c>
      <c r="F183" s="11">
        <v>3.0</v>
      </c>
      <c r="G183" s="11">
        <v>64.0</v>
      </c>
    </row>
    <row r="184">
      <c r="A184" s="11">
        <v>5.0</v>
      </c>
      <c r="B184" s="16">
        <v>1.0</v>
      </c>
      <c r="C184" s="195">
        <v>-76465.83</v>
      </c>
      <c r="D184" s="11">
        <v>285779.0</v>
      </c>
      <c r="E184" s="196">
        <v>20157.4</v>
      </c>
      <c r="F184" s="11">
        <v>7.0</v>
      </c>
      <c r="G184" s="11">
        <v>48.0</v>
      </c>
    </row>
    <row r="185">
      <c r="A185" s="11">
        <v>4.0</v>
      </c>
      <c r="B185" s="16">
        <v>9.0</v>
      </c>
      <c r="C185" s="195">
        <v>43283.71</v>
      </c>
      <c r="D185" s="11">
        <v>425462.0</v>
      </c>
      <c r="E185" s="196">
        <v>-86365.05</v>
      </c>
      <c r="F185" s="11">
        <v>1.0</v>
      </c>
      <c r="G185" s="11">
        <v>58.0</v>
      </c>
    </row>
    <row r="186">
      <c r="A186" s="11">
        <v>5.0</v>
      </c>
      <c r="B186" s="16">
        <v>5.0</v>
      </c>
      <c r="C186" s="195">
        <v>45047.54</v>
      </c>
      <c r="D186" s="11">
        <v>107035.0</v>
      </c>
      <c r="E186" s="196">
        <v>-1269.37</v>
      </c>
      <c r="F186" s="11">
        <v>2.0</v>
      </c>
      <c r="G186" s="11">
        <v>73.0</v>
      </c>
    </row>
    <row r="187">
      <c r="A187" s="11">
        <v>1.0</v>
      </c>
      <c r="B187" s="16">
        <v>7.0</v>
      </c>
      <c r="C187" s="195">
        <v>-54510.12</v>
      </c>
      <c r="D187" s="11">
        <v>768867.0</v>
      </c>
      <c r="E187" s="196">
        <v>-66149.73</v>
      </c>
      <c r="F187" s="11">
        <v>7.0</v>
      </c>
      <c r="G187" s="11">
        <v>10.0</v>
      </c>
    </row>
    <row r="188">
      <c r="A188" s="11">
        <v>9.0</v>
      </c>
      <c r="B188" s="16">
        <v>3.0</v>
      </c>
      <c r="C188" s="195">
        <v>-76900.54</v>
      </c>
      <c r="D188" s="11">
        <v>837968.0</v>
      </c>
      <c r="E188" s="196">
        <v>50855.83</v>
      </c>
      <c r="F188" s="11">
        <v>5.0</v>
      </c>
      <c r="G188" s="11">
        <v>16.0</v>
      </c>
    </row>
    <row r="189">
      <c r="A189" s="11">
        <v>5.0</v>
      </c>
      <c r="B189" s="16">
        <v>8.0</v>
      </c>
      <c r="C189" s="195">
        <v>82185.33</v>
      </c>
      <c r="D189" s="11">
        <v>186448.0</v>
      </c>
      <c r="E189" s="196">
        <v>-16093.24</v>
      </c>
      <c r="F189" s="11">
        <v>4.0</v>
      </c>
      <c r="G189" s="11">
        <v>27.0</v>
      </c>
    </row>
    <row r="190">
      <c r="A190" s="11">
        <v>6.0</v>
      </c>
      <c r="B190" s="16">
        <v>1.0</v>
      </c>
      <c r="C190" s="195">
        <v>-87917.47</v>
      </c>
      <c r="D190" s="11">
        <v>185130.0</v>
      </c>
      <c r="E190" s="196">
        <v>-24781.18</v>
      </c>
      <c r="F190" s="11">
        <v>6.0</v>
      </c>
      <c r="G190" s="11">
        <v>41.0</v>
      </c>
    </row>
    <row r="191">
      <c r="A191" s="11">
        <v>3.0</v>
      </c>
      <c r="B191" s="16">
        <v>9.0</v>
      </c>
      <c r="C191" s="195">
        <v>-44994.1</v>
      </c>
      <c r="D191" s="11">
        <v>839577.0</v>
      </c>
      <c r="E191" s="196">
        <v>9568.03</v>
      </c>
      <c r="F191" s="11">
        <v>7.0</v>
      </c>
      <c r="G191" s="11">
        <v>49.0</v>
      </c>
    </row>
    <row r="192">
      <c r="A192" s="11">
        <v>3.0</v>
      </c>
      <c r="B192" s="16">
        <v>9.0</v>
      </c>
      <c r="C192" s="195">
        <v>84843.19</v>
      </c>
      <c r="D192" s="11">
        <v>770071.0</v>
      </c>
      <c r="E192" s="196">
        <v>-30844.83</v>
      </c>
      <c r="F192" s="11">
        <v>6.0</v>
      </c>
      <c r="G192" s="11">
        <v>38.0</v>
      </c>
    </row>
    <row r="193">
      <c r="A193" s="11">
        <v>4.0</v>
      </c>
      <c r="B193" s="16">
        <v>6.0</v>
      </c>
      <c r="C193" s="195">
        <v>-69771.21</v>
      </c>
      <c r="D193" s="11">
        <v>459141.0</v>
      </c>
      <c r="E193" s="196">
        <v>72807.23</v>
      </c>
      <c r="F193" s="11">
        <v>3.0</v>
      </c>
      <c r="G193" s="11">
        <v>96.0</v>
      </c>
    </row>
    <row r="194">
      <c r="A194" s="11">
        <v>3.0</v>
      </c>
      <c r="B194" s="16">
        <v>3.0</v>
      </c>
      <c r="C194" s="195">
        <v>-86347.24</v>
      </c>
      <c r="D194" s="11">
        <v>313132.0</v>
      </c>
      <c r="E194" s="196">
        <v>76579.78</v>
      </c>
      <c r="F194" s="11">
        <v>6.0</v>
      </c>
      <c r="G194" s="11">
        <v>59.0</v>
      </c>
    </row>
    <row r="195">
      <c r="A195" s="11">
        <v>1.0</v>
      </c>
      <c r="B195" s="16">
        <v>8.0</v>
      </c>
      <c r="C195" s="195">
        <v>61794.0</v>
      </c>
      <c r="D195" s="11">
        <v>119133.0</v>
      </c>
      <c r="E195" s="196">
        <v>74529.29</v>
      </c>
      <c r="F195" s="11">
        <v>4.0</v>
      </c>
      <c r="G195" s="11">
        <v>54.0</v>
      </c>
    </row>
    <row r="196">
      <c r="A196" s="11">
        <v>4.0</v>
      </c>
      <c r="B196" s="16">
        <v>8.0</v>
      </c>
      <c r="C196" s="195">
        <v>-1396.69</v>
      </c>
      <c r="D196" s="11">
        <v>856972.0</v>
      </c>
      <c r="E196" s="196">
        <v>54808.31</v>
      </c>
      <c r="F196" s="11">
        <v>2.0</v>
      </c>
      <c r="G196" s="11">
        <v>50.0</v>
      </c>
    </row>
    <row r="197">
      <c r="A197" s="11">
        <v>2.0</v>
      </c>
      <c r="B197" s="16">
        <v>2.0</v>
      </c>
      <c r="C197" s="195">
        <v>-78190.35</v>
      </c>
      <c r="D197" s="11">
        <v>579783.0</v>
      </c>
      <c r="E197" s="196">
        <v>-27387.98</v>
      </c>
      <c r="F197" s="11">
        <v>9.0</v>
      </c>
      <c r="G197" s="11">
        <v>37.0</v>
      </c>
    </row>
    <row r="198">
      <c r="A198" s="11">
        <v>4.0</v>
      </c>
      <c r="B198" s="16">
        <v>8.0</v>
      </c>
      <c r="C198" s="195">
        <v>92885.17</v>
      </c>
      <c r="D198" s="11">
        <v>990279.0</v>
      </c>
      <c r="E198" s="196">
        <v>49805.81</v>
      </c>
      <c r="F198" s="11">
        <v>7.0</v>
      </c>
      <c r="G198" s="11">
        <v>29.0</v>
      </c>
    </row>
    <row r="199">
      <c r="A199" s="11">
        <v>4.0</v>
      </c>
      <c r="B199" s="16">
        <v>4.0</v>
      </c>
      <c r="C199" s="195">
        <v>-78382.7</v>
      </c>
      <c r="D199" s="11">
        <v>644750.0</v>
      </c>
      <c r="E199" s="196">
        <v>-64178.79</v>
      </c>
      <c r="F199" s="11">
        <v>9.0</v>
      </c>
      <c r="G199" s="11">
        <v>10.0</v>
      </c>
    </row>
    <row r="200">
      <c r="A200" s="11">
        <v>8.0</v>
      </c>
      <c r="B200" s="16">
        <v>2.0</v>
      </c>
      <c r="C200" s="195">
        <v>-39231.46</v>
      </c>
      <c r="D200" s="11">
        <v>604729.0</v>
      </c>
      <c r="E200" s="196">
        <v>43526.74</v>
      </c>
      <c r="F200" s="11">
        <v>9.0</v>
      </c>
      <c r="G200" s="11">
        <v>28.0</v>
      </c>
    </row>
    <row r="201">
      <c r="A201" s="11">
        <v>6.0</v>
      </c>
      <c r="B201" s="16">
        <v>8.0</v>
      </c>
      <c r="C201" s="195">
        <v>73836.61</v>
      </c>
      <c r="D201" s="11">
        <v>940609.0</v>
      </c>
      <c r="E201" s="196">
        <v>27426.27</v>
      </c>
      <c r="F201" s="11">
        <v>9.0</v>
      </c>
      <c r="G201" s="11">
        <v>26.0</v>
      </c>
    </row>
    <row r="202">
      <c r="A202" s="11">
        <v>3.0</v>
      </c>
      <c r="B202" s="16">
        <v>2.0</v>
      </c>
      <c r="C202" s="195">
        <v>10070.09</v>
      </c>
      <c r="D202" s="11">
        <v>267838.0</v>
      </c>
      <c r="E202" s="196">
        <v>87711.19</v>
      </c>
      <c r="F202" s="11">
        <v>8.0</v>
      </c>
      <c r="G202" s="11">
        <v>70.0</v>
      </c>
    </row>
    <row r="203">
      <c r="A203" s="11">
        <v>7.0</v>
      </c>
      <c r="B203" s="16">
        <v>9.0</v>
      </c>
      <c r="C203" s="195">
        <v>46249.27</v>
      </c>
      <c r="D203" s="11">
        <v>470009.0</v>
      </c>
      <c r="E203" s="196">
        <v>-70348.62</v>
      </c>
      <c r="F203" s="11">
        <v>3.0</v>
      </c>
      <c r="G203" s="11">
        <v>51.0</v>
      </c>
    </row>
    <row r="204">
      <c r="A204" s="11">
        <v>1.0</v>
      </c>
      <c r="B204" s="16">
        <v>8.0</v>
      </c>
      <c r="C204" s="195">
        <v>-98783.3</v>
      </c>
      <c r="D204" s="11">
        <v>527266.0</v>
      </c>
      <c r="E204" s="196">
        <v>-57466.69</v>
      </c>
      <c r="F204" s="11">
        <v>7.0</v>
      </c>
      <c r="G204" s="11">
        <v>44.0</v>
      </c>
    </row>
    <row r="205">
      <c r="A205" s="11">
        <v>1.0</v>
      </c>
      <c r="B205" s="16">
        <v>7.0</v>
      </c>
      <c r="C205" s="195">
        <v>-26706.76</v>
      </c>
      <c r="D205" s="11">
        <v>447426.0</v>
      </c>
      <c r="E205" s="196">
        <v>41075.12</v>
      </c>
      <c r="F205" s="11">
        <v>8.0</v>
      </c>
      <c r="G205" s="11">
        <v>73.0</v>
      </c>
    </row>
    <row r="206">
      <c r="A206" s="11">
        <v>6.0</v>
      </c>
      <c r="B206" s="16">
        <v>9.0</v>
      </c>
      <c r="C206" s="195">
        <v>1909.21</v>
      </c>
      <c r="D206" s="11">
        <v>735878.0</v>
      </c>
      <c r="E206" s="196">
        <v>-34373.86</v>
      </c>
      <c r="F206" s="11">
        <v>6.0</v>
      </c>
      <c r="G206" s="11">
        <v>69.0</v>
      </c>
    </row>
    <row r="207">
      <c r="A207" s="11">
        <v>8.0</v>
      </c>
      <c r="B207" s="16">
        <v>8.0</v>
      </c>
      <c r="C207" s="195">
        <v>-12587.07</v>
      </c>
      <c r="D207" s="11">
        <v>192816.0</v>
      </c>
      <c r="E207" s="196">
        <v>-77338.53</v>
      </c>
      <c r="F207" s="11">
        <v>4.0</v>
      </c>
      <c r="G207" s="11">
        <v>25.0</v>
      </c>
    </row>
    <row r="208">
      <c r="A208" s="11">
        <v>5.0</v>
      </c>
      <c r="B208" s="16">
        <v>7.0</v>
      </c>
      <c r="C208" s="195">
        <v>90948.5</v>
      </c>
      <c r="D208" s="11">
        <v>573742.0</v>
      </c>
      <c r="E208" s="196">
        <v>50738.85</v>
      </c>
      <c r="F208" s="11">
        <v>1.0</v>
      </c>
      <c r="G208" s="11">
        <v>76.0</v>
      </c>
    </row>
    <row r="209">
      <c r="A209" s="11">
        <v>1.0</v>
      </c>
      <c r="B209" s="16">
        <v>6.0</v>
      </c>
      <c r="C209" s="195">
        <v>32016.97</v>
      </c>
      <c r="D209" s="11">
        <v>125428.0</v>
      </c>
      <c r="E209" s="196">
        <v>-90282.86</v>
      </c>
      <c r="F209" s="11">
        <v>1.0</v>
      </c>
      <c r="G209" s="11">
        <v>38.0</v>
      </c>
    </row>
    <row r="210">
      <c r="A210" s="11">
        <v>7.0</v>
      </c>
      <c r="B210" s="16">
        <v>8.0</v>
      </c>
      <c r="C210" s="195">
        <v>-32584.56</v>
      </c>
      <c r="D210" s="11">
        <v>119211.0</v>
      </c>
      <c r="E210" s="196">
        <v>85452.97</v>
      </c>
      <c r="F210" s="11">
        <v>8.0</v>
      </c>
      <c r="G210" s="11">
        <v>56.0</v>
      </c>
    </row>
    <row r="211">
      <c r="A211" s="11">
        <v>2.0</v>
      </c>
      <c r="B211" s="16">
        <v>1.0</v>
      </c>
      <c r="C211" s="195">
        <v>30297.48</v>
      </c>
      <c r="D211" s="11">
        <v>962973.0</v>
      </c>
      <c r="E211" s="196">
        <v>-40702.79</v>
      </c>
      <c r="F211" s="11">
        <v>6.0</v>
      </c>
      <c r="G211" s="11">
        <v>69.0</v>
      </c>
    </row>
    <row r="212">
      <c r="A212" s="11">
        <v>4.0</v>
      </c>
      <c r="B212" s="16">
        <v>2.0</v>
      </c>
      <c r="C212" s="195">
        <v>39708.61</v>
      </c>
      <c r="D212" s="11">
        <v>228879.0</v>
      </c>
      <c r="E212" s="196">
        <v>-53724.21</v>
      </c>
      <c r="F212" s="11">
        <v>4.0</v>
      </c>
      <c r="G212" s="11">
        <v>39.0</v>
      </c>
    </row>
    <row r="213">
      <c r="A213" s="11">
        <v>5.0</v>
      </c>
      <c r="B213" s="16">
        <v>1.0</v>
      </c>
      <c r="C213" s="195">
        <v>28564.55</v>
      </c>
      <c r="D213" s="11">
        <v>704804.0</v>
      </c>
      <c r="E213" s="196">
        <v>-673.07</v>
      </c>
      <c r="F213" s="11">
        <v>8.0</v>
      </c>
      <c r="G213" s="11">
        <v>27.0</v>
      </c>
    </row>
    <row r="214">
      <c r="A214" s="11">
        <v>5.0</v>
      </c>
      <c r="B214" s="16">
        <v>7.0</v>
      </c>
      <c r="C214" s="195">
        <v>23438.88</v>
      </c>
      <c r="D214" s="11">
        <v>983634.0</v>
      </c>
      <c r="E214" s="196">
        <v>-9392.19</v>
      </c>
      <c r="F214" s="11">
        <v>2.0</v>
      </c>
      <c r="G214" s="11">
        <v>96.0</v>
      </c>
    </row>
    <row r="215">
      <c r="A215" s="11">
        <v>2.0</v>
      </c>
      <c r="B215" s="16">
        <v>7.0</v>
      </c>
      <c r="C215" s="195">
        <v>82189.66</v>
      </c>
      <c r="D215" s="11">
        <v>226205.0</v>
      </c>
      <c r="E215" s="196">
        <v>45521.37</v>
      </c>
      <c r="F215" s="11">
        <v>4.0</v>
      </c>
      <c r="G215" s="11">
        <v>35.0</v>
      </c>
    </row>
    <row r="216">
      <c r="A216" s="11">
        <v>6.0</v>
      </c>
      <c r="B216" s="16">
        <v>2.0</v>
      </c>
      <c r="C216" s="195">
        <v>30650.16</v>
      </c>
      <c r="D216" s="11">
        <v>218582.0</v>
      </c>
      <c r="E216" s="196">
        <v>-96466.89</v>
      </c>
      <c r="F216" s="11">
        <v>7.0</v>
      </c>
      <c r="G216" s="11">
        <v>68.0</v>
      </c>
    </row>
    <row r="217">
      <c r="A217" s="11">
        <v>2.0</v>
      </c>
      <c r="B217" s="16">
        <v>8.0</v>
      </c>
      <c r="C217" s="195">
        <v>39918.05</v>
      </c>
      <c r="D217" s="11">
        <v>101547.0</v>
      </c>
      <c r="E217" s="196">
        <v>82758.86</v>
      </c>
      <c r="F217" s="11">
        <v>2.0</v>
      </c>
      <c r="G217" s="11">
        <v>74.0</v>
      </c>
    </row>
    <row r="218">
      <c r="A218" s="11">
        <v>4.0</v>
      </c>
      <c r="B218" s="16">
        <v>4.0</v>
      </c>
      <c r="C218" s="195">
        <v>-22702.43</v>
      </c>
      <c r="D218" s="11">
        <v>193314.0</v>
      </c>
      <c r="E218" s="196">
        <v>32844.61</v>
      </c>
      <c r="F218" s="11">
        <v>7.0</v>
      </c>
      <c r="G218" s="11">
        <v>14.0</v>
      </c>
    </row>
    <row r="219">
      <c r="A219" s="11">
        <v>1.0</v>
      </c>
      <c r="B219" s="16">
        <v>9.0</v>
      </c>
      <c r="C219" s="195">
        <v>-24231.0</v>
      </c>
      <c r="D219" s="11">
        <v>429405.0</v>
      </c>
      <c r="E219" s="196">
        <v>37987.02</v>
      </c>
      <c r="F219" s="11">
        <v>4.0</v>
      </c>
      <c r="G219" s="11">
        <v>12.0</v>
      </c>
    </row>
    <row r="220">
      <c r="A220" s="11">
        <v>7.0</v>
      </c>
      <c r="B220" s="16">
        <v>7.0</v>
      </c>
      <c r="C220" s="195">
        <v>81900.35</v>
      </c>
      <c r="D220" s="11">
        <v>191164.0</v>
      </c>
      <c r="E220" s="196">
        <v>33788.83</v>
      </c>
      <c r="F220" s="11">
        <v>9.0</v>
      </c>
      <c r="G220" s="11">
        <v>82.0</v>
      </c>
    </row>
    <row r="221">
      <c r="A221" s="11">
        <v>9.0</v>
      </c>
      <c r="B221" s="16">
        <v>4.0</v>
      </c>
      <c r="C221" s="195">
        <v>-93210.31</v>
      </c>
      <c r="D221" s="11">
        <v>309404.0</v>
      </c>
      <c r="E221" s="196">
        <v>-35336.06</v>
      </c>
      <c r="F221" s="11">
        <v>7.0</v>
      </c>
      <c r="G221" s="11">
        <v>30.0</v>
      </c>
    </row>
    <row r="222">
      <c r="A222" s="11">
        <v>1.0</v>
      </c>
      <c r="B222" s="16">
        <v>8.0</v>
      </c>
      <c r="C222" s="195">
        <v>53869.99</v>
      </c>
      <c r="D222" s="11">
        <v>810294.0</v>
      </c>
      <c r="E222" s="196">
        <v>77252.37</v>
      </c>
      <c r="F222" s="11">
        <v>2.0</v>
      </c>
      <c r="G222" s="11">
        <v>40.0</v>
      </c>
    </row>
    <row r="223">
      <c r="A223" s="11">
        <v>3.0</v>
      </c>
      <c r="B223" s="16">
        <v>7.0</v>
      </c>
      <c r="C223" s="195">
        <v>57943.66</v>
      </c>
      <c r="D223" s="11">
        <v>156238.0</v>
      </c>
      <c r="E223" s="196">
        <v>-55358.6</v>
      </c>
      <c r="F223" s="11">
        <v>6.0</v>
      </c>
      <c r="G223" s="11">
        <v>29.0</v>
      </c>
    </row>
    <row r="224">
      <c r="A224" s="11">
        <v>8.0</v>
      </c>
      <c r="B224" s="16">
        <v>3.0</v>
      </c>
      <c r="C224" s="195">
        <v>75979.18</v>
      </c>
      <c r="D224" s="11">
        <v>154421.0</v>
      </c>
      <c r="E224" s="196">
        <v>81498.85</v>
      </c>
      <c r="F224" s="11">
        <v>8.0</v>
      </c>
      <c r="G224" s="11">
        <v>18.0</v>
      </c>
    </row>
    <row r="225">
      <c r="A225" s="11">
        <v>1.0</v>
      </c>
      <c r="B225" s="16">
        <v>2.0</v>
      </c>
      <c r="C225" s="195">
        <v>-46189.36</v>
      </c>
      <c r="D225" s="11">
        <v>814262.0</v>
      </c>
      <c r="E225" s="196">
        <v>62301.34</v>
      </c>
      <c r="F225" s="11">
        <v>8.0</v>
      </c>
      <c r="G225" s="11">
        <v>76.0</v>
      </c>
    </row>
    <row r="226">
      <c r="A226" s="11">
        <v>9.0</v>
      </c>
      <c r="B226" s="16">
        <v>4.0</v>
      </c>
      <c r="C226" s="195">
        <v>-34986.81</v>
      </c>
      <c r="D226" s="11">
        <v>885027.0</v>
      </c>
      <c r="E226" s="196">
        <v>-57393.39</v>
      </c>
      <c r="F226" s="11">
        <v>3.0</v>
      </c>
      <c r="G226" s="11">
        <v>33.0</v>
      </c>
    </row>
    <row r="227">
      <c r="A227" s="11">
        <v>1.0</v>
      </c>
      <c r="B227" s="16">
        <v>5.0</v>
      </c>
      <c r="C227" s="195">
        <v>85558.27</v>
      </c>
      <c r="D227" s="11">
        <v>684471.0</v>
      </c>
      <c r="E227" s="196">
        <v>-29349.74</v>
      </c>
      <c r="F227" s="11">
        <v>2.0</v>
      </c>
      <c r="G227" s="11">
        <v>76.0</v>
      </c>
    </row>
    <row r="228">
      <c r="A228" s="11">
        <v>7.0</v>
      </c>
      <c r="B228" s="16">
        <v>5.0</v>
      </c>
      <c r="C228" s="195">
        <v>13500.82</v>
      </c>
      <c r="D228" s="11">
        <v>780989.0</v>
      </c>
      <c r="E228" s="196">
        <v>-81745.33</v>
      </c>
      <c r="F228" s="11">
        <v>3.0</v>
      </c>
      <c r="G228" s="11">
        <v>62.0</v>
      </c>
    </row>
    <row r="229">
      <c r="A229" s="11">
        <v>5.0</v>
      </c>
      <c r="B229" s="16">
        <v>6.0</v>
      </c>
      <c r="C229" s="195">
        <v>-52187.84</v>
      </c>
      <c r="D229" s="11">
        <v>667923.0</v>
      </c>
      <c r="E229" s="196">
        <v>-38356.91</v>
      </c>
      <c r="F229" s="11">
        <v>8.0</v>
      </c>
      <c r="G229" s="11">
        <v>72.0</v>
      </c>
    </row>
    <row r="230">
      <c r="A230" s="11">
        <v>7.0</v>
      </c>
      <c r="B230" s="16">
        <v>5.0</v>
      </c>
      <c r="C230" s="195">
        <v>36646.55</v>
      </c>
      <c r="D230" s="11">
        <v>601663.0</v>
      </c>
      <c r="E230" s="196">
        <v>-91827.54</v>
      </c>
      <c r="F230" s="11">
        <v>1.0</v>
      </c>
      <c r="G230" s="11">
        <v>84.0</v>
      </c>
    </row>
    <row r="231">
      <c r="A231" s="11">
        <v>7.0</v>
      </c>
      <c r="B231" s="16">
        <v>1.0</v>
      </c>
      <c r="C231" s="195">
        <v>-99188.37</v>
      </c>
      <c r="D231" s="11">
        <v>967053.0</v>
      </c>
      <c r="E231" s="196">
        <v>83550.11</v>
      </c>
      <c r="F231" s="11">
        <v>1.0</v>
      </c>
      <c r="G231" s="11">
        <v>95.0</v>
      </c>
    </row>
    <row r="232">
      <c r="A232" s="11">
        <v>1.0</v>
      </c>
      <c r="B232" s="16">
        <v>8.0</v>
      </c>
      <c r="C232" s="195">
        <v>15969.5</v>
      </c>
      <c r="D232" s="11">
        <v>284639.0</v>
      </c>
      <c r="E232" s="196">
        <v>-11473.88</v>
      </c>
      <c r="F232" s="11">
        <v>2.0</v>
      </c>
      <c r="G232" s="11">
        <v>75.0</v>
      </c>
    </row>
    <row r="233">
      <c r="A233" s="11">
        <v>9.0</v>
      </c>
      <c r="B233" s="16">
        <v>5.0</v>
      </c>
      <c r="C233" s="195">
        <v>-31665.5</v>
      </c>
      <c r="D233" s="11">
        <v>750259.0</v>
      </c>
      <c r="E233" s="196">
        <v>-66013.42</v>
      </c>
      <c r="F233" s="11">
        <v>8.0</v>
      </c>
      <c r="G233" s="11">
        <v>16.0</v>
      </c>
    </row>
    <row r="234">
      <c r="A234" s="11">
        <v>4.0</v>
      </c>
      <c r="B234" s="16">
        <v>5.0</v>
      </c>
      <c r="C234" s="195">
        <v>-57707.54</v>
      </c>
      <c r="D234" s="11">
        <v>489043.0</v>
      </c>
      <c r="E234" s="196">
        <v>24437.92</v>
      </c>
      <c r="F234" s="11">
        <v>2.0</v>
      </c>
      <c r="G234" s="11">
        <v>58.0</v>
      </c>
    </row>
    <row r="235">
      <c r="A235" s="11">
        <v>8.0</v>
      </c>
      <c r="B235" s="16">
        <v>9.0</v>
      </c>
      <c r="C235" s="195">
        <v>-78935.14</v>
      </c>
      <c r="D235" s="11">
        <v>520604.0</v>
      </c>
      <c r="E235" s="196">
        <v>-40657.5</v>
      </c>
      <c r="F235" s="11">
        <v>7.0</v>
      </c>
      <c r="G235" s="11">
        <v>48.0</v>
      </c>
    </row>
    <row r="236">
      <c r="A236" s="11">
        <v>6.0</v>
      </c>
      <c r="B236" s="16">
        <v>9.0</v>
      </c>
      <c r="C236" s="195">
        <v>-85211.27</v>
      </c>
      <c r="D236" s="11">
        <v>995963.0</v>
      </c>
      <c r="E236" s="196">
        <v>-61595.54</v>
      </c>
      <c r="F236" s="11">
        <v>8.0</v>
      </c>
      <c r="G236" s="11">
        <v>90.0</v>
      </c>
    </row>
    <row r="237">
      <c r="A237" s="11">
        <v>8.0</v>
      </c>
      <c r="B237" s="16">
        <v>2.0</v>
      </c>
      <c r="C237" s="195">
        <v>-50681.9</v>
      </c>
      <c r="D237" s="11">
        <v>866963.0</v>
      </c>
      <c r="E237" s="196">
        <v>41705.6</v>
      </c>
      <c r="F237" s="11">
        <v>5.0</v>
      </c>
      <c r="G237" s="11">
        <v>54.0</v>
      </c>
    </row>
    <row r="238">
      <c r="A238" s="11">
        <v>6.0</v>
      </c>
      <c r="B238" s="16">
        <v>6.0</v>
      </c>
      <c r="C238" s="195">
        <v>86544.69</v>
      </c>
      <c r="D238" s="11">
        <v>499608.0</v>
      </c>
      <c r="E238" s="196">
        <v>16667.93</v>
      </c>
      <c r="F238" s="11">
        <v>2.0</v>
      </c>
      <c r="G238" s="11">
        <v>91.0</v>
      </c>
    </row>
    <row r="239">
      <c r="A239" s="11">
        <v>3.0</v>
      </c>
      <c r="B239" s="16">
        <v>7.0</v>
      </c>
      <c r="C239" s="195">
        <v>6231.93</v>
      </c>
      <c r="D239" s="11">
        <v>968263.0</v>
      </c>
      <c r="E239" s="196">
        <v>-91171.8</v>
      </c>
      <c r="F239" s="11">
        <v>6.0</v>
      </c>
      <c r="G239" s="11">
        <v>23.0</v>
      </c>
    </row>
    <row r="240">
      <c r="A240" s="11">
        <v>9.0</v>
      </c>
      <c r="B240" s="16">
        <v>9.0</v>
      </c>
      <c r="C240" s="195">
        <v>63546.7</v>
      </c>
      <c r="D240" s="11">
        <v>916787.0</v>
      </c>
      <c r="E240" s="196">
        <v>-35252.05</v>
      </c>
      <c r="F240" s="11">
        <v>7.0</v>
      </c>
      <c r="G240" s="11">
        <v>44.0</v>
      </c>
    </row>
    <row r="241">
      <c r="A241" s="11">
        <v>1.0</v>
      </c>
      <c r="B241" s="16">
        <v>5.0</v>
      </c>
      <c r="C241" s="195">
        <v>-19306.49</v>
      </c>
      <c r="D241" s="11">
        <v>407919.0</v>
      </c>
      <c r="E241" s="196">
        <v>47731.62</v>
      </c>
      <c r="F241" s="11">
        <v>9.0</v>
      </c>
      <c r="G241" s="11">
        <v>29.0</v>
      </c>
    </row>
    <row r="242">
      <c r="A242" s="11">
        <v>2.0</v>
      </c>
      <c r="B242" s="16">
        <v>7.0</v>
      </c>
      <c r="C242" s="195">
        <v>-63122.23</v>
      </c>
      <c r="D242" s="11">
        <v>557705.0</v>
      </c>
      <c r="E242" s="196">
        <v>-32227.17</v>
      </c>
      <c r="F242" s="11">
        <v>3.0</v>
      </c>
      <c r="G242" s="11">
        <v>43.0</v>
      </c>
    </row>
    <row r="243">
      <c r="A243" s="11">
        <v>8.0</v>
      </c>
      <c r="B243" s="16">
        <v>6.0</v>
      </c>
      <c r="C243" s="195">
        <v>20501.91</v>
      </c>
      <c r="D243" s="11">
        <v>697119.0</v>
      </c>
      <c r="E243" s="196">
        <v>12377.78</v>
      </c>
      <c r="F243" s="11">
        <v>3.0</v>
      </c>
      <c r="G243" s="11">
        <v>67.0</v>
      </c>
    </row>
    <row r="244">
      <c r="A244" s="11">
        <v>6.0</v>
      </c>
      <c r="B244" s="16">
        <v>3.0</v>
      </c>
      <c r="C244" s="195">
        <v>5957.88</v>
      </c>
      <c r="D244" s="11">
        <v>369572.0</v>
      </c>
      <c r="E244" s="196">
        <v>56634.32</v>
      </c>
      <c r="F244" s="11">
        <v>1.0</v>
      </c>
      <c r="G244" s="11">
        <v>55.0</v>
      </c>
    </row>
    <row r="245">
      <c r="A245" s="11">
        <v>9.0</v>
      </c>
      <c r="B245" s="16">
        <v>7.0</v>
      </c>
      <c r="C245" s="195">
        <v>-93916.84</v>
      </c>
      <c r="D245" s="11">
        <v>547532.0</v>
      </c>
      <c r="E245" s="196">
        <v>79893.5</v>
      </c>
      <c r="F245" s="11">
        <v>8.0</v>
      </c>
      <c r="G245" s="11">
        <v>94.0</v>
      </c>
    </row>
    <row r="246">
      <c r="A246" s="11">
        <v>8.0</v>
      </c>
      <c r="B246" s="16">
        <v>4.0</v>
      </c>
      <c r="C246" s="195">
        <v>79036.34</v>
      </c>
      <c r="D246" s="11">
        <v>880804.0</v>
      </c>
      <c r="E246" s="196">
        <v>22319.16</v>
      </c>
      <c r="F246" s="11">
        <v>5.0</v>
      </c>
      <c r="G246" s="11">
        <v>96.0</v>
      </c>
    </row>
    <row r="247">
      <c r="A247" s="11">
        <v>2.0</v>
      </c>
      <c r="B247" s="16">
        <v>8.0</v>
      </c>
      <c r="C247" s="195">
        <v>31770.44</v>
      </c>
      <c r="D247" s="11">
        <v>543193.0</v>
      </c>
      <c r="E247" s="196">
        <v>34270.57</v>
      </c>
      <c r="F247" s="11">
        <v>6.0</v>
      </c>
      <c r="G247" s="11">
        <v>66.0</v>
      </c>
    </row>
    <row r="248">
      <c r="A248" s="11">
        <v>4.0</v>
      </c>
      <c r="B248" s="16">
        <v>6.0</v>
      </c>
      <c r="C248" s="195">
        <v>-20127.33</v>
      </c>
      <c r="D248" s="11">
        <v>728109.0</v>
      </c>
      <c r="E248" s="196">
        <v>-29289.67</v>
      </c>
      <c r="F248" s="11">
        <v>4.0</v>
      </c>
      <c r="G248" s="11">
        <v>49.0</v>
      </c>
    </row>
    <row r="249">
      <c r="A249" s="11">
        <v>5.0</v>
      </c>
      <c r="B249" s="16">
        <v>3.0</v>
      </c>
      <c r="C249" s="195">
        <v>-31043.47</v>
      </c>
      <c r="D249" s="11">
        <v>474833.0</v>
      </c>
      <c r="E249" s="196">
        <v>-19980.84</v>
      </c>
      <c r="F249" s="11">
        <v>3.0</v>
      </c>
      <c r="G249" s="11">
        <v>59.0</v>
      </c>
    </row>
    <row r="250">
      <c r="A250" s="11">
        <v>5.0</v>
      </c>
      <c r="B250" s="16">
        <v>2.0</v>
      </c>
      <c r="C250" s="195">
        <v>30655.5</v>
      </c>
      <c r="D250" s="11">
        <v>707616.0</v>
      </c>
      <c r="E250" s="196">
        <v>21310.84</v>
      </c>
      <c r="F250" s="11">
        <v>4.0</v>
      </c>
      <c r="G250" s="11">
        <v>59.0</v>
      </c>
    </row>
    <row r="251">
      <c r="A251" s="11">
        <v>7.0</v>
      </c>
      <c r="B251" s="16">
        <v>5.0</v>
      </c>
      <c r="C251" s="195">
        <v>-80116.7</v>
      </c>
      <c r="D251" s="11">
        <v>201035.0</v>
      </c>
      <c r="E251" s="196">
        <v>38797.06</v>
      </c>
      <c r="F251" s="11">
        <v>7.0</v>
      </c>
      <c r="G251" s="11">
        <v>39.0</v>
      </c>
    </row>
    <row r="252">
      <c r="A252" s="11">
        <v>8.0</v>
      </c>
      <c r="B252" s="16">
        <v>4.0</v>
      </c>
      <c r="C252" s="195">
        <v>-3247.37</v>
      </c>
      <c r="D252" s="11">
        <v>997875.0</v>
      </c>
      <c r="E252" s="196">
        <v>67596.52</v>
      </c>
      <c r="F252" s="11">
        <v>8.0</v>
      </c>
      <c r="G252" s="11">
        <v>99.0</v>
      </c>
    </row>
    <row r="253">
      <c r="A253" s="11">
        <v>3.0</v>
      </c>
      <c r="B253" s="16">
        <v>2.0</v>
      </c>
      <c r="C253" s="195">
        <v>-83284.26</v>
      </c>
      <c r="D253" s="11">
        <v>958541.0</v>
      </c>
      <c r="E253" s="196">
        <v>95517.38</v>
      </c>
      <c r="F253" s="11">
        <v>3.0</v>
      </c>
      <c r="G253" s="11">
        <v>10.0</v>
      </c>
    </row>
    <row r="254">
      <c r="A254" s="11">
        <v>2.0</v>
      </c>
      <c r="B254" s="16">
        <v>2.0</v>
      </c>
      <c r="C254" s="195">
        <v>-96333.56</v>
      </c>
      <c r="D254" s="11">
        <v>658749.0</v>
      </c>
      <c r="E254" s="196">
        <v>-40395.3</v>
      </c>
      <c r="F254" s="11">
        <v>9.0</v>
      </c>
      <c r="G254" s="11">
        <v>48.0</v>
      </c>
    </row>
    <row r="255">
      <c r="A255" s="11">
        <v>7.0</v>
      </c>
      <c r="B255" s="16">
        <v>3.0</v>
      </c>
      <c r="C255" s="195">
        <v>36503.33</v>
      </c>
      <c r="D255" s="11">
        <v>373770.0</v>
      </c>
      <c r="E255" s="196">
        <v>-6884.98</v>
      </c>
      <c r="F255" s="11">
        <v>8.0</v>
      </c>
      <c r="G255" s="11">
        <v>90.0</v>
      </c>
    </row>
    <row r="256">
      <c r="A256" s="11">
        <v>8.0</v>
      </c>
      <c r="B256" s="16">
        <v>5.0</v>
      </c>
      <c r="C256" s="195">
        <v>96764.25</v>
      </c>
      <c r="D256" s="11">
        <v>297580.0</v>
      </c>
      <c r="E256" s="196">
        <v>76592.86</v>
      </c>
      <c r="F256" s="11">
        <v>1.0</v>
      </c>
      <c r="G256" s="11">
        <v>41.0</v>
      </c>
    </row>
    <row r="257">
      <c r="A257" s="11">
        <v>1.0</v>
      </c>
      <c r="B257" s="16">
        <v>8.0</v>
      </c>
      <c r="C257" s="195">
        <v>-67195.46</v>
      </c>
      <c r="D257" s="11">
        <v>748315.0</v>
      </c>
      <c r="E257" s="196">
        <v>-76085.21</v>
      </c>
      <c r="F257" s="11">
        <v>5.0</v>
      </c>
      <c r="G257" s="11">
        <v>11.0</v>
      </c>
    </row>
    <row r="258">
      <c r="A258" s="11">
        <v>7.0</v>
      </c>
      <c r="B258" s="16">
        <v>3.0</v>
      </c>
      <c r="C258" s="195">
        <v>55494.85</v>
      </c>
      <c r="D258" s="11">
        <v>381032.0</v>
      </c>
      <c r="E258" s="196">
        <v>32042.02</v>
      </c>
      <c r="F258" s="11">
        <v>2.0</v>
      </c>
      <c r="G258" s="11">
        <v>59.0</v>
      </c>
    </row>
    <row r="259">
      <c r="A259" s="11">
        <v>9.0</v>
      </c>
      <c r="B259" s="16">
        <v>6.0</v>
      </c>
      <c r="C259" s="195">
        <v>87315.17</v>
      </c>
      <c r="D259" s="11">
        <v>758021.0</v>
      </c>
      <c r="E259" s="196">
        <v>-81102.92</v>
      </c>
      <c r="F259" s="11">
        <v>5.0</v>
      </c>
      <c r="G259" s="11">
        <v>72.0</v>
      </c>
    </row>
    <row r="260">
      <c r="A260" s="11">
        <v>4.0</v>
      </c>
      <c r="B260" s="16">
        <v>8.0</v>
      </c>
      <c r="C260" s="195">
        <v>-13044.35</v>
      </c>
      <c r="D260" s="11">
        <v>230018.0</v>
      </c>
      <c r="E260" s="196">
        <v>-15970.6</v>
      </c>
      <c r="F260" s="11">
        <v>5.0</v>
      </c>
      <c r="G260" s="11">
        <v>47.0</v>
      </c>
    </row>
    <row r="261">
      <c r="A261" s="11">
        <v>7.0</v>
      </c>
      <c r="B261" s="16">
        <v>2.0</v>
      </c>
      <c r="C261" s="195">
        <v>5398.85</v>
      </c>
      <c r="D261" s="11">
        <v>751917.0</v>
      </c>
      <c r="E261" s="196">
        <v>37643.09</v>
      </c>
      <c r="F261" s="11">
        <v>7.0</v>
      </c>
      <c r="G261" s="11">
        <v>71.0</v>
      </c>
    </row>
    <row r="262">
      <c r="A262" s="11">
        <v>3.0</v>
      </c>
      <c r="B262" s="16">
        <v>6.0</v>
      </c>
      <c r="C262" s="195">
        <v>46069.57</v>
      </c>
      <c r="D262" s="11">
        <v>275945.0</v>
      </c>
      <c r="E262" s="196">
        <v>-9967.53</v>
      </c>
      <c r="F262" s="11">
        <v>6.0</v>
      </c>
      <c r="G262" s="11">
        <v>94.0</v>
      </c>
    </row>
    <row r="263">
      <c r="A263" s="11">
        <v>3.0</v>
      </c>
      <c r="B263" s="16">
        <v>1.0</v>
      </c>
      <c r="C263" s="195">
        <v>-88237.89</v>
      </c>
      <c r="D263" s="11">
        <v>649055.0</v>
      </c>
      <c r="E263" s="196">
        <v>85320.67</v>
      </c>
      <c r="F263" s="11">
        <v>9.0</v>
      </c>
      <c r="G263" s="11">
        <v>73.0</v>
      </c>
    </row>
    <row r="264">
      <c r="A264" s="11">
        <v>5.0</v>
      </c>
      <c r="B264" s="16">
        <v>1.0</v>
      </c>
      <c r="C264" s="195">
        <v>-82064.97</v>
      </c>
      <c r="D264" s="11">
        <v>251826.0</v>
      </c>
      <c r="E264" s="196">
        <v>95543.65</v>
      </c>
      <c r="F264" s="11">
        <v>7.0</v>
      </c>
      <c r="G264" s="11">
        <v>58.0</v>
      </c>
    </row>
    <row r="265">
      <c r="A265" s="11">
        <v>8.0</v>
      </c>
      <c r="B265" s="16">
        <v>7.0</v>
      </c>
      <c r="C265" s="195">
        <v>-96315.48</v>
      </c>
      <c r="D265" s="11">
        <v>203128.0</v>
      </c>
      <c r="E265" s="196">
        <v>73704.34</v>
      </c>
      <c r="F265" s="11">
        <v>3.0</v>
      </c>
      <c r="G265" s="11">
        <v>67.0</v>
      </c>
    </row>
    <row r="266">
      <c r="A266" s="11">
        <v>6.0</v>
      </c>
      <c r="B266" s="16">
        <v>2.0</v>
      </c>
      <c r="C266" s="195">
        <v>-30948.17</v>
      </c>
      <c r="D266" s="11">
        <v>866485.0</v>
      </c>
      <c r="E266" s="196">
        <v>93445.74</v>
      </c>
      <c r="F266" s="11">
        <v>1.0</v>
      </c>
      <c r="G266" s="11">
        <v>28.0</v>
      </c>
    </row>
    <row r="267">
      <c r="A267" s="11">
        <v>1.0</v>
      </c>
      <c r="B267" s="16">
        <v>7.0</v>
      </c>
      <c r="C267" s="195">
        <v>60675.71</v>
      </c>
      <c r="D267" s="11">
        <v>678279.0</v>
      </c>
      <c r="E267" s="196">
        <v>30346.54</v>
      </c>
      <c r="F267" s="11">
        <v>3.0</v>
      </c>
      <c r="G267" s="11">
        <v>33.0</v>
      </c>
    </row>
    <row r="268">
      <c r="A268" s="11">
        <v>3.0</v>
      </c>
      <c r="B268" s="16">
        <v>2.0</v>
      </c>
      <c r="C268" s="195">
        <v>-69242.01</v>
      </c>
      <c r="D268" s="11">
        <v>628901.0</v>
      </c>
      <c r="E268" s="196">
        <v>-98509.91</v>
      </c>
      <c r="F268" s="11">
        <v>4.0</v>
      </c>
      <c r="G268" s="11">
        <v>47.0</v>
      </c>
    </row>
    <row r="269">
      <c r="A269" s="11">
        <v>5.0</v>
      </c>
      <c r="B269" s="16">
        <v>7.0</v>
      </c>
      <c r="C269" s="195">
        <v>-16421.19</v>
      </c>
      <c r="D269" s="11">
        <v>145954.0</v>
      </c>
      <c r="E269" s="196">
        <v>79176.58</v>
      </c>
      <c r="F269" s="11">
        <v>5.0</v>
      </c>
      <c r="G269" s="11">
        <v>96.0</v>
      </c>
    </row>
    <row r="270">
      <c r="A270" s="11">
        <v>4.0</v>
      </c>
      <c r="B270" s="16">
        <v>2.0</v>
      </c>
      <c r="C270" s="195">
        <v>-76766.5</v>
      </c>
      <c r="D270" s="11">
        <v>726259.0</v>
      </c>
      <c r="E270" s="196">
        <v>-83096.88</v>
      </c>
      <c r="F270" s="11">
        <v>3.0</v>
      </c>
      <c r="G270" s="11">
        <v>49.0</v>
      </c>
    </row>
    <row r="271">
      <c r="A271" s="11">
        <v>1.0</v>
      </c>
      <c r="B271" s="16">
        <v>4.0</v>
      </c>
      <c r="C271" s="195">
        <v>16348.68</v>
      </c>
      <c r="D271" s="11">
        <v>676420.0</v>
      </c>
      <c r="E271" s="196">
        <v>90510.7</v>
      </c>
      <c r="F271" s="11">
        <v>6.0</v>
      </c>
      <c r="G271" s="11">
        <v>70.0</v>
      </c>
    </row>
    <row r="272">
      <c r="A272" s="11">
        <v>2.0</v>
      </c>
      <c r="B272" s="16">
        <v>9.0</v>
      </c>
      <c r="C272" s="195">
        <v>22864.65</v>
      </c>
      <c r="D272" s="11">
        <v>399272.0</v>
      </c>
      <c r="E272" s="196">
        <v>27114.08</v>
      </c>
      <c r="F272" s="11">
        <v>4.0</v>
      </c>
      <c r="G272" s="11">
        <v>38.0</v>
      </c>
    </row>
    <row r="273">
      <c r="A273" s="11">
        <v>7.0</v>
      </c>
      <c r="B273" s="16">
        <v>1.0</v>
      </c>
      <c r="C273" s="195">
        <v>-62669.78</v>
      </c>
      <c r="D273" s="11">
        <v>449666.0</v>
      </c>
      <c r="E273" s="196">
        <v>4775.23</v>
      </c>
      <c r="F273" s="11">
        <v>2.0</v>
      </c>
      <c r="G273" s="11">
        <v>25.0</v>
      </c>
    </row>
    <row r="274">
      <c r="A274" s="11">
        <v>2.0</v>
      </c>
      <c r="B274" s="16">
        <v>4.0</v>
      </c>
      <c r="C274" s="195">
        <v>18157.7</v>
      </c>
      <c r="D274" s="11">
        <v>210149.0</v>
      </c>
      <c r="E274" s="196">
        <v>-67300.54</v>
      </c>
      <c r="F274" s="11">
        <v>1.0</v>
      </c>
      <c r="G274" s="11">
        <v>60.0</v>
      </c>
    </row>
    <row r="275">
      <c r="A275" s="11">
        <v>2.0</v>
      </c>
      <c r="B275" s="16">
        <v>8.0</v>
      </c>
      <c r="C275" s="195">
        <v>22077.36</v>
      </c>
      <c r="D275" s="11">
        <v>659170.0</v>
      </c>
      <c r="E275" s="196">
        <v>-98983.8</v>
      </c>
      <c r="F275" s="11">
        <v>2.0</v>
      </c>
      <c r="G275" s="11">
        <v>17.0</v>
      </c>
    </row>
    <row r="276">
      <c r="A276" s="11">
        <v>4.0</v>
      </c>
      <c r="B276" s="16">
        <v>1.0</v>
      </c>
      <c r="C276" s="195">
        <v>-66418.28</v>
      </c>
      <c r="D276" s="11">
        <v>689091.0</v>
      </c>
      <c r="E276" s="196">
        <v>46983.09</v>
      </c>
      <c r="F276" s="11">
        <v>9.0</v>
      </c>
      <c r="G276" s="11">
        <v>64.0</v>
      </c>
    </row>
    <row r="277">
      <c r="A277" s="11">
        <v>3.0</v>
      </c>
      <c r="B277" s="16">
        <v>7.0</v>
      </c>
      <c r="C277" s="195">
        <v>45796.89</v>
      </c>
      <c r="D277" s="11">
        <v>951823.0</v>
      </c>
      <c r="E277" s="196">
        <v>14229.66</v>
      </c>
      <c r="F277" s="11">
        <v>3.0</v>
      </c>
      <c r="G277" s="11">
        <v>49.0</v>
      </c>
    </row>
    <row r="278">
      <c r="A278" s="11">
        <v>6.0</v>
      </c>
      <c r="B278" s="16">
        <v>4.0</v>
      </c>
      <c r="C278" s="195">
        <v>12973.49</v>
      </c>
      <c r="D278" s="11">
        <v>380520.0</v>
      </c>
      <c r="E278" s="196">
        <v>18903.99</v>
      </c>
      <c r="F278" s="11">
        <v>1.0</v>
      </c>
      <c r="G278" s="11">
        <v>27.0</v>
      </c>
    </row>
    <row r="279">
      <c r="A279" s="11">
        <v>8.0</v>
      </c>
      <c r="B279" s="16">
        <v>1.0</v>
      </c>
      <c r="C279" s="195">
        <v>32102.44</v>
      </c>
      <c r="D279" s="11">
        <v>948262.0</v>
      </c>
      <c r="E279" s="196">
        <v>-3910.49</v>
      </c>
      <c r="F279" s="11">
        <v>8.0</v>
      </c>
      <c r="G279" s="11">
        <v>37.0</v>
      </c>
    </row>
    <row r="280">
      <c r="A280" s="11">
        <v>1.0</v>
      </c>
      <c r="B280" s="16">
        <v>9.0</v>
      </c>
      <c r="C280" s="195">
        <v>89807.9</v>
      </c>
      <c r="D280" s="11">
        <v>904474.0</v>
      </c>
      <c r="E280" s="196">
        <v>-60041.18</v>
      </c>
      <c r="F280" s="11">
        <v>8.0</v>
      </c>
      <c r="G280" s="11">
        <v>66.0</v>
      </c>
    </row>
    <row r="281">
      <c r="A281" s="11">
        <v>6.0</v>
      </c>
      <c r="B281" s="16">
        <v>3.0</v>
      </c>
      <c r="C281" s="195">
        <v>28125.97</v>
      </c>
      <c r="D281" s="11">
        <v>182213.0</v>
      </c>
      <c r="E281" s="196">
        <v>35295.2</v>
      </c>
      <c r="F281" s="11">
        <v>7.0</v>
      </c>
      <c r="G281" s="11">
        <v>96.0</v>
      </c>
    </row>
    <row r="282">
      <c r="A282" s="11">
        <v>8.0</v>
      </c>
      <c r="B282" s="16">
        <v>7.0</v>
      </c>
      <c r="C282" s="195">
        <v>24605.94</v>
      </c>
      <c r="D282" s="11">
        <v>569166.0</v>
      </c>
      <c r="E282" s="196">
        <v>63563.54</v>
      </c>
      <c r="F282" s="11">
        <v>2.0</v>
      </c>
      <c r="G282" s="11">
        <v>44.0</v>
      </c>
    </row>
    <row r="283">
      <c r="A283" s="11">
        <v>1.0</v>
      </c>
      <c r="B283" s="16">
        <v>7.0</v>
      </c>
      <c r="C283" s="195">
        <v>-12386.49</v>
      </c>
      <c r="D283" s="11">
        <v>830753.0</v>
      </c>
      <c r="E283" s="196">
        <v>25456.15</v>
      </c>
      <c r="F283" s="11">
        <v>4.0</v>
      </c>
      <c r="G283" s="11">
        <v>40.0</v>
      </c>
    </row>
    <row r="284">
      <c r="A284" s="11">
        <v>6.0</v>
      </c>
      <c r="B284" s="16">
        <v>9.0</v>
      </c>
      <c r="C284" s="195">
        <v>23001.79</v>
      </c>
      <c r="D284" s="11">
        <v>910202.0</v>
      </c>
      <c r="E284" s="196">
        <v>-12742.35</v>
      </c>
      <c r="F284" s="11">
        <v>8.0</v>
      </c>
      <c r="G284" s="11">
        <v>11.0</v>
      </c>
    </row>
    <row r="285">
      <c r="A285" s="11">
        <v>8.0</v>
      </c>
      <c r="B285" s="16">
        <v>4.0</v>
      </c>
      <c r="C285" s="195">
        <v>-33958.17</v>
      </c>
      <c r="D285" s="11">
        <v>930906.0</v>
      </c>
      <c r="E285" s="196">
        <v>-28288.66</v>
      </c>
      <c r="F285" s="11">
        <v>3.0</v>
      </c>
      <c r="G285" s="11">
        <v>14.0</v>
      </c>
    </row>
    <row r="286">
      <c r="A286" s="11">
        <v>6.0</v>
      </c>
      <c r="B286" s="16">
        <v>7.0</v>
      </c>
      <c r="C286" s="195">
        <v>-13962.83</v>
      </c>
      <c r="D286" s="11">
        <v>126498.0</v>
      </c>
      <c r="E286" s="196">
        <v>-41645.55</v>
      </c>
      <c r="F286" s="11">
        <v>5.0</v>
      </c>
      <c r="G286" s="11">
        <v>29.0</v>
      </c>
    </row>
    <row r="287">
      <c r="A287" s="11">
        <v>9.0</v>
      </c>
      <c r="B287" s="16">
        <v>7.0</v>
      </c>
      <c r="C287" s="195">
        <v>51854.55</v>
      </c>
      <c r="D287" s="11">
        <v>596456.0</v>
      </c>
      <c r="E287" s="196">
        <v>-9995.15</v>
      </c>
      <c r="F287" s="11">
        <v>9.0</v>
      </c>
      <c r="G287" s="11">
        <v>10.0</v>
      </c>
    </row>
    <row r="288">
      <c r="A288" s="11">
        <v>8.0</v>
      </c>
      <c r="B288" s="16">
        <v>5.0</v>
      </c>
      <c r="C288" s="195">
        <v>80963.3</v>
      </c>
      <c r="D288" s="11">
        <v>395220.0</v>
      </c>
      <c r="E288" s="196">
        <v>-28652.46</v>
      </c>
      <c r="F288" s="11">
        <v>8.0</v>
      </c>
      <c r="G288" s="11">
        <v>24.0</v>
      </c>
    </row>
    <row r="289">
      <c r="A289" s="11">
        <v>7.0</v>
      </c>
      <c r="B289" s="16">
        <v>3.0</v>
      </c>
      <c r="C289" s="195">
        <v>-90676.56</v>
      </c>
      <c r="D289" s="11">
        <v>459092.0</v>
      </c>
      <c r="E289" s="196">
        <v>42317.45</v>
      </c>
      <c r="F289" s="11">
        <v>5.0</v>
      </c>
      <c r="G289" s="11">
        <v>73.0</v>
      </c>
    </row>
    <row r="290">
      <c r="A290" s="11">
        <v>2.0</v>
      </c>
      <c r="B290" s="16">
        <v>8.0</v>
      </c>
      <c r="C290" s="195">
        <v>16995.42</v>
      </c>
      <c r="D290" s="11">
        <v>510150.0</v>
      </c>
      <c r="E290" s="196">
        <v>76420.23</v>
      </c>
      <c r="F290" s="11">
        <v>2.0</v>
      </c>
      <c r="G290" s="11">
        <v>95.0</v>
      </c>
    </row>
    <row r="291">
      <c r="A291" s="11">
        <v>5.0</v>
      </c>
      <c r="B291" s="16">
        <v>4.0</v>
      </c>
      <c r="C291" s="195">
        <v>-56229.46</v>
      </c>
      <c r="D291" s="11">
        <v>422053.0</v>
      </c>
      <c r="E291" s="196">
        <v>80507.56</v>
      </c>
      <c r="F291" s="11">
        <v>7.0</v>
      </c>
      <c r="G291" s="11">
        <v>79.0</v>
      </c>
    </row>
    <row r="292">
      <c r="A292" s="11">
        <v>3.0</v>
      </c>
      <c r="B292" s="16">
        <v>6.0</v>
      </c>
      <c r="C292" s="195">
        <v>-12310.03</v>
      </c>
      <c r="D292" s="11">
        <v>399715.0</v>
      </c>
      <c r="E292" s="196">
        <v>-41309.69</v>
      </c>
      <c r="F292" s="11">
        <v>7.0</v>
      </c>
      <c r="G292" s="11">
        <v>92.0</v>
      </c>
    </row>
    <row r="293">
      <c r="A293" s="11">
        <v>2.0</v>
      </c>
      <c r="B293" s="16">
        <v>5.0</v>
      </c>
      <c r="C293" s="195">
        <v>-6623.35</v>
      </c>
      <c r="D293" s="11">
        <v>815375.0</v>
      </c>
      <c r="E293" s="196">
        <v>-79394.4</v>
      </c>
      <c r="F293" s="11">
        <v>2.0</v>
      </c>
      <c r="G293" s="11">
        <v>50.0</v>
      </c>
    </row>
    <row r="294">
      <c r="A294" s="11">
        <v>8.0</v>
      </c>
      <c r="B294" s="16">
        <v>2.0</v>
      </c>
      <c r="C294" s="195">
        <v>7775.11</v>
      </c>
      <c r="D294" s="11">
        <v>780071.0</v>
      </c>
      <c r="E294" s="196">
        <v>68862.33</v>
      </c>
      <c r="F294" s="11">
        <v>6.0</v>
      </c>
      <c r="G294" s="11">
        <v>64.0</v>
      </c>
    </row>
    <row r="295">
      <c r="A295" s="11">
        <v>8.0</v>
      </c>
      <c r="B295" s="16">
        <v>8.0</v>
      </c>
      <c r="C295" s="195">
        <v>53720.73</v>
      </c>
      <c r="D295" s="11">
        <v>181182.0</v>
      </c>
      <c r="E295" s="196">
        <v>-17360.46</v>
      </c>
      <c r="F295" s="11">
        <v>1.0</v>
      </c>
      <c r="G295" s="11">
        <v>83.0</v>
      </c>
    </row>
    <row r="296">
      <c r="A296" s="11">
        <v>5.0</v>
      </c>
      <c r="B296" s="16">
        <v>1.0</v>
      </c>
      <c r="C296" s="195">
        <v>-63640.51</v>
      </c>
      <c r="D296" s="11">
        <v>576432.0</v>
      </c>
      <c r="E296" s="196">
        <v>33469.69</v>
      </c>
      <c r="F296" s="11">
        <v>9.0</v>
      </c>
      <c r="G296" s="11">
        <v>28.0</v>
      </c>
    </row>
    <row r="297">
      <c r="A297" s="11">
        <v>6.0</v>
      </c>
      <c r="B297" s="16">
        <v>9.0</v>
      </c>
      <c r="C297" s="195">
        <v>12746.26</v>
      </c>
      <c r="D297" s="11">
        <v>792943.0</v>
      </c>
      <c r="E297" s="196">
        <v>-89108.95</v>
      </c>
      <c r="F297" s="11">
        <v>7.0</v>
      </c>
      <c r="G297" s="11">
        <v>22.0</v>
      </c>
    </row>
    <row r="298">
      <c r="A298" s="11">
        <v>8.0</v>
      </c>
      <c r="B298" s="16">
        <v>7.0</v>
      </c>
      <c r="C298" s="195">
        <v>45494.62</v>
      </c>
      <c r="D298" s="11">
        <v>396780.0</v>
      </c>
      <c r="E298" s="196">
        <v>46204.63</v>
      </c>
      <c r="F298" s="11">
        <v>7.0</v>
      </c>
      <c r="G298" s="11">
        <v>10.0</v>
      </c>
    </row>
    <row r="299">
      <c r="A299" s="11">
        <v>9.0</v>
      </c>
      <c r="B299" s="16">
        <v>5.0</v>
      </c>
      <c r="C299" s="195">
        <v>8732.73</v>
      </c>
      <c r="D299" s="11">
        <v>194642.0</v>
      </c>
      <c r="E299" s="196">
        <v>-35360.4</v>
      </c>
      <c r="F299" s="11">
        <v>2.0</v>
      </c>
      <c r="G299" s="11">
        <v>70.0</v>
      </c>
    </row>
    <row r="300">
      <c r="A300" s="11">
        <v>8.0</v>
      </c>
      <c r="B300" s="16">
        <v>2.0</v>
      </c>
      <c r="C300" s="195">
        <v>31269.32</v>
      </c>
      <c r="D300" s="11">
        <v>945939.0</v>
      </c>
      <c r="E300" s="196">
        <v>-81391.64</v>
      </c>
      <c r="F300" s="11">
        <v>9.0</v>
      </c>
      <c r="G300" s="11">
        <v>27.0</v>
      </c>
    </row>
    <row r="301">
      <c r="A301" s="11">
        <v>1.0</v>
      </c>
      <c r="B301" s="16">
        <v>9.0</v>
      </c>
      <c r="C301" s="195">
        <v>-77416.57</v>
      </c>
      <c r="D301" s="11">
        <v>571023.0</v>
      </c>
      <c r="E301" s="196">
        <v>62031.84</v>
      </c>
      <c r="F301" s="11">
        <v>7.0</v>
      </c>
      <c r="G301" s="11">
        <v>83.0</v>
      </c>
    </row>
    <row r="302">
      <c r="A302" s="11">
        <v>3.0</v>
      </c>
      <c r="B302" s="16">
        <v>3.0</v>
      </c>
      <c r="C302" s="195">
        <v>25627.07</v>
      </c>
      <c r="D302" s="11">
        <v>860583.0</v>
      </c>
      <c r="E302" s="196">
        <v>9846.89</v>
      </c>
      <c r="F302" s="11">
        <v>1.0</v>
      </c>
      <c r="G302" s="11">
        <v>67.0</v>
      </c>
    </row>
    <row r="303">
      <c r="A303" s="11">
        <v>4.0</v>
      </c>
      <c r="B303" s="16">
        <v>2.0</v>
      </c>
      <c r="C303" s="195">
        <v>-20297.11</v>
      </c>
      <c r="D303" s="11">
        <v>215046.0</v>
      </c>
      <c r="E303" s="196">
        <v>22827.01</v>
      </c>
      <c r="F303" s="11">
        <v>1.0</v>
      </c>
      <c r="G303" s="11">
        <v>25.0</v>
      </c>
    </row>
    <row r="304">
      <c r="A304" s="11">
        <v>9.0</v>
      </c>
      <c r="B304" s="16">
        <v>3.0</v>
      </c>
      <c r="C304" s="195">
        <v>84826.87</v>
      </c>
      <c r="D304" s="11">
        <v>615729.0</v>
      </c>
      <c r="E304" s="196">
        <v>99581.79</v>
      </c>
      <c r="F304" s="11">
        <v>9.0</v>
      </c>
      <c r="G304" s="11">
        <v>51.0</v>
      </c>
    </row>
    <row r="305">
      <c r="A305" s="11">
        <v>9.0</v>
      </c>
      <c r="B305" s="16">
        <v>5.0</v>
      </c>
      <c r="C305" s="195">
        <v>-64852.21</v>
      </c>
      <c r="D305" s="11">
        <v>919531.0</v>
      </c>
      <c r="E305" s="196">
        <v>-68723.4</v>
      </c>
      <c r="F305" s="11">
        <v>7.0</v>
      </c>
      <c r="G305" s="11">
        <v>97.0</v>
      </c>
    </row>
    <row r="306">
      <c r="A306" s="11">
        <v>9.0</v>
      </c>
      <c r="B306" s="16">
        <v>7.0</v>
      </c>
      <c r="C306" s="195">
        <v>75715.17</v>
      </c>
      <c r="D306" s="11">
        <v>882741.0</v>
      </c>
      <c r="E306" s="196">
        <v>-13239.9</v>
      </c>
      <c r="F306" s="11">
        <v>6.0</v>
      </c>
      <c r="G306" s="11">
        <v>96.0</v>
      </c>
    </row>
    <row r="307">
      <c r="A307" s="11">
        <v>5.0</v>
      </c>
      <c r="B307" s="16">
        <v>6.0</v>
      </c>
      <c r="C307" s="195">
        <v>-16589.89</v>
      </c>
      <c r="D307" s="11">
        <v>585104.0</v>
      </c>
      <c r="E307" s="196">
        <v>-6407.28</v>
      </c>
      <c r="F307" s="11">
        <v>7.0</v>
      </c>
      <c r="G307" s="11">
        <v>80.0</v>
      </c>
    </row>
    <row r="308">
      <c r="A308" s="11">
        <v>8.0</v>
      </c>
      <c r="B308" s="16">
        <v>2.0</v>
      </c>
      <c r="C308" s="195">
        <v>455.03</v>
      </c>
      <c r="D308" s="11">
        <v>413694.0</v>
      </c>
      <c r="E308" s="196">
        <v>-43520.98</v>
      </c>
      <c r="F308" s="11">
        <v>6.0</v>
      </c>
      <c r="G308" s="11">
        <v>81.0</v>
      </c>
    </row>
    <row r="309">
      <c r="A309" s="11">
        <v>9.0</v>
      </c>
      <c r="B309" s="16">
        <v>5.0</v>
      </c>
      <c r="C309" s="195">
        <v>89833.58</v>
      </c>
      <c r="D309" s="11">
        <v>209391.0</v>
      </c>
      <c r="E309" s="196">
        <v>-27084.03</v>
      </c>
      <c r="F309" s="11">
        <v>8.0</v>
      </c>
      <c r="G309" s="11">
        <v>35.0</v>
      </c>
    </row>
    <row r="310">
      <c r="A310" s="11">
        <v>7.0</v>
      </c>
      <c r="B310" s="16">
        <v>7.0</v>
      </c>
      <c r="C310" s="195">
        <v>72780.58</v>
      </c>
      <c r="D310" s="11">
        <v>697387.0</v>
      </c>
      <c r="E310" s="196">
        <v>-82924.96</v>
      </c>
      <c r="F310" s="11">
        <v>6.0</v>
      </c>
      <c r="G310" s="11">
        <v>78.0</v>
      </c>
    </row>
    <row r="311">
      <c r="A311" s="11">
        <v>9.0</v>
      </c>
      <c r="B311" s="16">
        <v>3.0</v>
      </c>
      <c r="C311" s="195">
        <v>60631.02</v>
      </c>
      <c r="D311" s="11">
        <v>624061.0</v>
      </c>
      <c r="E311" s="196">
        <v>16161.09</v>
      </c>
      <c r="F311" s="11">
        <v>8.0</v>
      </c>
      <c r="G311" s="11">
        <v>22.0</v>
      </c>
    </row>
    <row r="312">
      <c r="A312" s="11">
        <v>8.0</v>
      </c>
      <c r="B312" s="16">
        <v>2.0</v>
      </c>
      <c r="C312" s="195">
        <v>-38570.31</v>
      </c>
      <c r="D312" s="11">
        <v>395617.0</v>
      </c>
      <c r="E312" s="196">
        <v>-85084.85</v>
      </c>
      <c r="F312" s="11">
        <v>2.0</v>
      </c>
      <c r="G312" s="11">
        <v>34.0</v>
      </c>
    </row>
    <row r="313">
      <c r="A313" s="11">
        <v>8.0</v>
      </c>
      <c r="B313" s="16">
        <v>6.0</v>
      </c>
      <c r="C313" s="195">
        <v>-95382.57</v>
      </c>
      <c r="D313" s="11">
        <v>486390.0</v>
      </c>
      <c r="E313" s="196">
        <v>-24258.85</v>
      </c>
      <c r="F313" s="11">
        <v>5.0</v>
      </c>
      <c r="G313" s="11">
        <v>70.0</v>
      </c>
    </row>
    <row r="314">
      <c r="A314" s="11">
        <v>9.0</v>
      </c>
      <c r="B314" s="16">
        <v>1.0</v>
      </c>
      <c r="C314" s="195">
        <v>54604.89</v>
      </c>
      <c r="D314" s="11">
        <v>837789.0</v>
      </c>
      <c r="E314" s="196">
        <v>-19027.84</v>
      </c>
      <c r="F314" s="11">
        <v>9.0</v>
      </c>
      <c r="G314" s="11">
        <v>40.0</v>
      </c>
    </row>
    <row r="315">
      <c r="A315" s="11">
        <v>6.0</v>
      </c>
      <c r="B315" s="16">
        <v>4.0</v>
      </c>
      <c r="C315" s="195">
        <v>-68937.1</v>
      </c>
      <c r="D315" s="11">
        <v>171347.0</v>
      </c>
      <c r="E315" s="196">
        <v>68705.24</v>
      </c>
      <c r="F315" s="11">
        <v>2.0</v>
      </c>
      <c r="G315" s="11">
        <v>11.0</v>
      </c>
    </row>
    <row r="316">
      <c r="A316" s="11">
        <v>2.0</v>
      </c>
      <c r="B316" s="16">
        <v>8.0</v>
      </c>
      <c r="C316" s="195">
        <v>30404.57</v>
      </c>
      <c r="D316" s="11">
        <v>652634.0</v>
      </c>
      <c r="E316" s="196">
        <v>19892.32</v>
      </c>
      <c r="F316" s="11">
        <v>8.0</v>
      </c>
      <c r="G316" s="11">
        <v>94.0</v>
      </c>
    </row>
    <row r="317">
      <c r="A317" s="11">
        <v>1.0</v>
      </c>
      <c r="B317" s="16">
        <v>9.0</v>
      </c>
      <c r="C317" s="195">
        <v>1390.65</v>
      </c>
      <c r="D317" s="11">
        <v>199156.0</v>
      </c>
      <c r="E317" s="196">
        <v>-81143.56</v>
      </c>
      <c r="F317" s="11">
        <v>9.0</v>
      </c>
      <c r="G317" s="11">
        <v>63.0</v>
      </c>
    </row>
    <row r="318">
      <c r="A318" s="11">
        <v>7.0</v>
      </c>
      <c r="B318" s="16">
        <v>9.0</v>
      </c>
      <c r="C318" s="195">
        <v>52745.48</v>
      </c>
      <c r="D318" s="11">
        <v>380866.0</v>
      </c>
      <c r="E318" s="196">
        <v>84776.64</v>
      </c>
      <c r="F318" s="11">
        <v>3.0</v>
      </c>
      <c r="G318" s="11">
        <v>26.0</v>
      </c>
    </row>
    <row r="319">
      <c r="A319" s="11">
        <v>9.0</v>
      </c>
      <c r="B319" s="16">
        <v>2.0</v>
      </c>
      <c r="C319" s="195">
        <v>-31540.87</v>
      </c>
      <c r="D319" s="11">
        <v>451039.0</v>
      </c>
      <c r="E319" s="196">
        <v>-85543.06</v>
      </c>
      <c r="F319" s="11">
        <v>8.0</v>
      </c>
      <c r="G319" s="11">
        <v>73.0</v>
      </c>
    </row>
    <row r="320">
      <c r="A320" s="11">
        <v>2.0</v>
      </c>
      <c r="B320" s="16">
        <v>7.0</v>
      </c>
      <c r="C320" s="195">
        <v>28905.1</v>
      </c>
      <c r="D320" s="11">
        <v>672833.0</v>
      </c>
      <c r="E320" s="196">
        <v>74378.31</v>
      </c>
      <c r="F320" s="11">
        <v>8.0</v>
      </c>
      <c r="G320" s="11">
        <v>62.0</v>
      </c>
    </row>
    <row r="321">
      <c r="A321" s="11">
        <v>8.0</v>
      </c>
      <c r="B321" s="16">
        <v>1.0</v>
      </c>
      <c r="C321" s="195">
        <v>-95671.02</v>
      </c>
      <c r="D321" s="11">
        <v>843827.0</v>
      </c>
      <c r="E321" s="196">
        <v>-83997.21</v>
      </c>
      <c r="F321" s="11">
        <v>5.0</v>
      </c>
      <c r="G321" s="11">
        <v>50.0</v>
      </c>
    </row>
    <row r="322">
      <c r="A322" s="11">
        <v>3.0</v>
      </c>
      <c r="B322" s="16">
        <v>8.0</v>
      </c>
      <c r="C322" s="195">
        <v>85766.04</v>
      </c>
      <c r="D322" s="11">
        <v>962922.0</v>
      </c>
      <c r="E322" s="196">
        <v>-72818.13</v>
      </c>
      <c r="F322" s="11">
        <v>9.0</v>
      </c>
      <c r="G322" s="11">
        <v>66.0</v>
      </c>
    </row>
    <row r="323">
      <c r="A323" s="11">
        <v>5.0</v>
      </c>
      <c r="B323" s="16">
        <v>4.0</v>
      </c>
      <c r="C323" s="195">
        <v>67056.47</v>
      </c>
      <c r="D323" s="11">
        <v>589297.0</v>
      </c>
      <c r="E323" s="196">
        <v>92658.53</v>
      </c>
      <c r="F323" s="11">
        <v>4.0</v>
      </c>
      <c r="G323" s="11">
        <v>58.0</v>
      </c>
    </row>
    <row r="324">
      <c r="A324" s="11">
        <v>1.0</v>
      </c>
      <c r="B324" s="16">
        <v>4.0</v>
      </c>
      <c r="C324" s="195">
        <v>-72096.12</v>
      </c>
      <c r="D324" s="11">
        <v>607750.0</v>
      </c>
      <c r="E324" s="196">
        <v>53029.88</v>
      </c>
      <c r="F324" s="11">
        <v>5.0</v>
      </c>
      <c r="G324" s="11">
        <v>74.0</v>
      </c>
    </row>
    <row r="325">
      <c r="A325" s="11">
        <v>6.0</v>
      </c>
      <c r="B325" s="16">
        <v>2.0</v>
      </c>
      <c r="C325" s="195">
        <v>-33356.15</v>
      </c>
      <c r="D325" s="11">
        <v>214992.0</v>
      </c>
      <c r="E325" s="196">
        <v>-23938.95</v>
      </c>
      <c r="F325" s="11">
        <v>8.0</v>
      </c>
      <c r="G325" s="11">
        <v>66.0</v>
      </c>
    </row>
    <row r="326">
      <c r="A326" s="11">
        <v>2.0</v>
      </c>
      <c r="B326" s="16">
        <v>5.0</v>
      </c>
      <c r="C326" s="195">
        <v>-51411.9</v>
      </c>
      <c r="D326" s="11">
        <v>643024.0</v>
      </c>
      <c r="E326" s="196">
        <v>94337.38</v>
      </c>
      <c r="F326" s="11">
        <v>4.0</v>
      </c>
      <c r="G326" s="11">
        <v>15.0</v>
      </c>
    </row>
    <row r="327">
      <c r="A327" s="11">
        <v>9.0</v>
      </c>
      <c r="B327" s="16">
        <v>5.0</v>
      </c>
      <c r="C327" s="195">
        <v>33263.93</v>
      </c>
      <c r="D327" s="11">
        <v>119936.0</v>
      </c>
      <c r="E327" s="196">
        <v>43184.98</v>
      </c>
      <c r="F327" s="11">
        <v>5.0</v>
      </c>
      <c r="G327" s="11">
        <v>30.0</v>
      </c>
    </row>
    <row r="328">
      <c r="A328" s="11">
        <v>5.0</v>
      </c>
      <c r="B328" s="16">
        <v>4.0</v>
      </c>
      <c r="C328" s="195">
        <v>-15163.6</v>
      </c>
      <c r="D328" s="11">
        <v>783221.0</v>
      </c>
      <c r="E328" s="196">
        <v>29570.41</v>
      </c>
      <c r="F328" s="11">
        <v>3.0</v>
      </c>
      <c r="G328" s="11">
        <v>45.0</v>
      </c>
    </row>
    <row r="329">
      <c r="A329" s="11">
        <v>7.0</v>
      </c>
      <c r="B329" s="16">
        <v>2.0</v>
      </c>
      <c r="C329" s="195">
        <v>96420.0</v>
      </c>
      <c r="D329" s="11">
        <v>941186.0</v>
      </c>
      <c r="E329" s="196">
        <v>26073.7</v>
      </c>
      <c r="F329" s="11">
        <v>1.0</v>
      </c>
      <c r="G329" s="11">
        <v>92.0</v>
      </c>
    </row>
    <row r="330">
      <c r="A330" s="11">
        <v>2.0</v>
      </c>
      <c r="B330" s="16">
        <v>1.0</v>
      </c>
      <c r="C330" s="195">
        <v>87164.16</v>
      </c>
      <c r="D330" s="11">
        <v>384004.0</v>
      </c>
      <c r="E330" s="196">
        <v>83865.03</v>
      </c>
      <c r="F330" s="11">
        <v>5.0</v>
      </c>
      <c r="G330" s="11">
        <v>96.0</v>
      </c>
    </row>
    <row r="331">
      <c r="A331" s="11">
        <v>5.0</v>
      </c>
      <c r="B331" s="16">
        <v>2.0</v>
      </c>
      <c r="C331" s="195">
        <v>38255.92</v>
      </c>
      <c r="D331" s="11">
        <v>907768.0</v>
      </c>
      <c r="E331" s="196">
        <v>-13691.66</v>
      </c>
      <c r="F331" s="11">
        <v>8.0</v>
      </c>
      <c r="G331" s="11">
        <v>35.0</v>
      </c>
    </row>
    <row r="332">
      <c r="A332" s="11">
        <v>4.0</v>
      </c>
      <c r="B332" s="16">
        <v>5.0</v>
      </c>
      <c r="C332" s="195">
        <v>81953.61</v>
      </c>
      <c r="D332" s="11">
        <v>712521.0</v>
      </c>
      <c r="E332" s="196">
        <v>75078.87</v>
      </c>
      <c r="F332" s="11">
        <v>7.0</v>
      </c>
      <c r="G332" s="11">
        <v>17.0</v>
      </c>
    </row>
    <row r="333">
      <c r="A333" s="11">
        <v>3.0</v>
      </c>
      <c r="B333" s="16">
        <v>3.0</v>
      </c>
      <c r="C333" s="195">
        <v>35042.07</v>
      </c>
      <c r="D333" s="11">
        <v>534452.0</v>
      </c>
      <c r="E333" s="196">
        <v>20427.87</v>
      </c>
      <c r="F333" s="11">
        <v>5.0</v>
      </c>
      <c r="G333" s="11">
        <v>11.0</v>
      </c>
    </row>
    <row r="334">
      <c r="A334" s="11">
        <v>3.0</v>
      </c>
      <c r="B334" s="16">
        <v>3.0</v>
      </c>
      <c r="C334" s="195">
        <v>11672.42</v>
      </c>
      <c r="D334" s="11">
        <v>275346.0</v>
      </c>
      <c r="E334" s="196">
        <v>95733.07</v>
      </c>
      <c r="F334" s="11">
        <v>8.0</v>
      </c>
      <c r="G334" s="11">
        <v>66.0</v>
      </c>
    </row>
    <row r="335">
      <c r="A335" s="11">
        <v>1.0</v>
      </c>
      <c r="B335" s="16">
        <v>5.0</v>
      </c>
      <c r="C335" s="195">
        <v>-565.12</v>
      </c>
      <c r="D335" s="11">
        <v>758708.0</v>
      </c>
      <c r="E335" s="196">
        <v>-44277.98</v>
      </c>
      <c r="F335" s="11">
        <v>1.0</v>
      </c>
      <c r="G335" s="11">
        <v>38.0</v>
      </c>
    </row>
    <row r="336">
      <c r="A336" s="11">
        <v>1.0</v>
      </c>
      <c r="B336" s="16">
        <v>3.0</v>
      </c>
      <c r="C336" s="195">
        <v>-92419.37</v>
      </c>
      <c r="D336" s="11">
        <v>980268.0</v>
      </c>
      <c r="E336" s="196">
        <v>45560.76</v>
      </c>
      <c r="F336" s="11">
        <v>2.0</v>
      </c>
      <c r="G336" s="11">
        <v>21.0</v>
      </c>
    </row>
    <row r="337">
      <c r="A337" s="11">
        <v>2.0</v>
      </c>
      <c r="B337" s="16">
        <v>6.0</v>
      </c>
      <c r="C337" s="195">
        <v>-44911.08</v>
      </c>
      <c r="D337" s="11">
        <v>409138.0</v>
      </c>
      <c r="E337" s="196">
        <v>-74660.77</v>
      </c>
      <c r="F337" s="11">
        <v>4.0</v>
      </c>
      <c r="G337" s="11">
        <v>25.0</v>
      </c>
    </row>
    <row r="338">
      <c r="A338" s="11">
        <v>6.0</v>
      </c>
      <c r="B338" s="16">
        <v>3.0</v>
      </c>
      <c r="C338" s="195">
        <v>76006.81</v>
      </c>
      <c r="D338" s="11">
        <v>201628.0</v>
      </c>
      <c r="E338" s="196">
        <v>63067.2</v>
      </c>
      <c r="F338" s="11">
        <v>8.0</v>
      </c>
      <c r="G338" s="11">
        <v>75.0</v>
      </c>
    </row>
    <row r="339">
      <c r="A339" s="11">
        <v>5.0</v>
      </c>
      <c r="B339" s="16">
        <v>2.0</v>
      </c>
      <c r="C339" s="195">
        <v>90306.81</v>
      </c>
      <c r="D339" s="11">
        <v>255501.0</v>
      </c>
      <c r="E339" s="196">
        <v>-11113.71</v>
      </c>
      <c r="F339" s="11">
        <v>6.0</v>
      </c>
      <c r="G339" s="11">
        <v>91.0</v>
      </c>
    </row>
    <row r="340">
      <c r="A340" s="11">
        <v>1.0</v>
      </c>
      <c r="B340" s="16">
        <v>7.0</v>
      </c>
      <c r="C340" s="195">
        <v>5420.14</v>
      </c>
      <c r="D340" s="11">
        <v>345665.0</v>
      </c>
      <c r="E340" s="196">
        <v>-10234.2</v>
      </c>
      <c r="F340" s="11">
        <v>6.0</v>
      </c>
      <c r="G340" s="11">
        <v>34.0</v>
      </c>
    </row>
    <row r="341">
      <c r="A341" s="11">
        <v>7.0</v>
      </c>
      <c r="B341" s="16">
        <v>5.0</v>
      </c>
      <c r="C341" s="195">
        <v>-12494.33</v>
      </c>
      <c r="D341" s="11">
        <v>324380.0</v>
      </c>
      <c r="E341" s="196">
        <v>-65760.2</v>
      </c>
      <c r="F341" s="11">
        <v>4.0</v>
      </c>
      <c r="G341" s="11">
        <v>35.0</v>
      </c>
    </row>
    <row r="342">
      <c r="A342" s="11">
        <v>2.0</v>
      </c>
      <c r="B342" s="16">
        <v>4.0</v>
      </c>
      <c r="C342" s="195">
        <v>-87550.45</v>
      </c>
      <c r="D342" s="11">
        <v>882820.0</v>
      </c>
      <c r="E342" s="196">
        <v>45935.33</v>
      </c>
      <c r="F342" s="11">
        <v>3.0</v>
      </c>
      <c r="G342" s="11">
        <v>47.0</v>
      </c>
    </row>
    <row r="343">
      <c r="A343" s="11">
        <v>4.0</v>
      </c>
      <c r="B343" s="16">
        <v>4.0</v>
      </c>
      <c r="C343" s="195">
        <v>-2780.03</v>
      </c>
      <c r="D343" s="11">
        <v>405708.0</v>
      </c>
      <c r="E343" s="196">
        <v>81233.63</v>
      </c>
      <c r="F343" s="11">
        <v>9.0</v>
      </c>
      <c r="G343" s="11">
        <v>77.0</v>
      </c>
    </row>
    <row r="344">
      <c r="A344" s="11">
        <v>2.0</v>
      </c>
      <c r="B344" s="16">
        <v>2.0</v>
      </c>
      <c r="C344" s="195">
        <v>94388.96</v>
      </c>
      <c r="D344" s="11">
        <v>992477.0</v>
      </c>
      <c r="E344" s="196">
        <v>83965.58</v>
      </c>
      <c r="F344" s="11">
        <v>5.0</v>
      </c>
      <c r="G344" s="11">
        <v>54.0</v>
      </c>
    </row>
    <row r="345">
      <c r="A345" s="11">
        <v>3.0</v>
      </c>
      <c r="B345" s="16">
        <v>1.0</v>
      </c>
      <c r="C345" s="195">
        <v>57626.62</v>
      </c>
      <c r="D345" s="11">
        <v>483808.0</v>
      </c>
      <c r="E345" s="196">
        <v>42378.22</v>
      </c>
      <c r="F345" s="11">
        <v>4.0</v>
      </c>
      <c r="G345" s="11">
        <v>47.0</v>
      </c>
    </row>
    <row r="346">
      <c r="A346" s="11">
        <v>2.0</v>
      </c>
      <c r="B346" s="16">
        <v>5.0</v>
      </c>
      <c r="C346" s="195">
        <v>-71147.78</v>
      </c>
      <c r="D346" s="11">
        <v>496989.0</v>
      </c>
      <c r="E346" s="196">
        <v>-79001.78</v>
      </c>
      <c r="F346" s="11">
        <v>3.0</v>
      </c>
      <c r="G346" s="11">
        <v>85.0</v>
      </c>
    </row>
    <row r="347">
      <c r="A347" s="11">
        <v>5.0</v>
      </c>
      <c r="B347" s="16">
        <v>8.0</v>
      </c>
      <c r="C347" s="195">
        <v>-50585.41</v>
      </c>
      <c r="D347" s="11">
        <v>202579.0</v>
      </c>
      <c r="E347" s="196">
        <v>27365.43</v>
      </c>
      <c r="F347" s="11">
        <v>8.0</v>
      </c>
      <c r="G347" s="11">
        <v>96.0</v>
      </c>
    </row>
    <row r="348">
      <c r="A348" s="11">
        <v>1.0</v>
      </c>
      <c r="B348" s="16">
        <v>3.0</v>
      </c>
      <c r="C348" s="195">
        <v>97572.09</v>
      </c>
      <c r="D348" s="11">
        <v>432745.0</v>
      </c>
      <c r="E348" s="196">
        <v>18141.1</v>
      </c>
      <c r="F348" s="11">
        <v>9.0</v>
      </c>
      <c r="G348" s="11">
        <v>56.0</v>
      </c>
    </row>
    <row r="349">
      <c r="A349" s="11">
        <v>9.0</v>
      </c>
      <c r="B349" s="16">
        <v>2.0</v>
      </c>
      <c r="C349" s="195">
        <v>90095.9</v>
      </c>
      <c r="D349" s="11">
        <v>175681.0</v>
      </c>
      <c r="E349" s="196">
        <v>-25756.74</v>
      </c>
      <c r="F349" s="11">
        <v>8.0</v>
      </c>
      <c r="G349" s="11">
        <v>25.0</v>
      </c>
    </row>
    <row r="350">
      <c r="A350" s="11">
        <v>4.0</v>
      </c>
      <c r="B350" s="16">
        <v>1.0</v>
      </c>
      <c r="C350" s="195">
        <v>-80716.98</v>
      </c>
      <c r="D350" s="11">
        <v>770358.0</v>
      </c>
      <c r="E350" s="196">
        <v>-72315.94</v>
      </c>
      <c r="F350" s="11">
        <v>9.0</v>
      </c>
      <c r="G350" s="11">
        <v>13.0</v>
      </c>
    </row>
    <row r="351">
      <c r="A351" s="11">
        <v>4.0</v>
      </c>
      <c r="B351" s="16">
        <v>8.0</v>
      </c>
      <c r="C351" s="195">
        <v>35686.81</v>
      </c>
      <c r="D351" s="11">
        <v>995909.0</v>
      </c>
      <c r="E351" s="196">
        <v>-24675.15</v>
      </c>
      <c r="F351" s="11">
        <v>1.0</v>
      </c>
      <c r="G351" s="11">
        <v>67.0</v>
      </c>
    </row>
    <row r="352">
      <c r="A352" s="11">
        <v>7.0</v>
      </c>
      <c r="B352" s="16">
        <v>9.0</v>
      </c>
      <c r="C352" s="195">
        <v>25854.11</v>
      </c>
      <c r="D352" s="11">
        <v>493339.0</v>
      </c>
      <c r="E352" s="196">
        <v>-80402.14</v>
      </c>
      <c r="F352" s="11">
        <v>2.0</v>
      </c>
      <c r="G352" s="11">
        <v>23.0</v>
      </c>
    </row>
    <row r="353">
      <c r="A353" s="11">
        <v>8.0</v>
      </c>
      <c r="B353" s="16">
        <v>9.0</v>
      </c>
      <c r="C353" s="195">
        <v>-32206.21</v>
      </c>
      <c r="D353" s="11">
        <v>939637.0</v>
      </c>
      <c r="E353" s="196">
        <v>21570.88</v>
      </c>
      <c r="F353" s="11">
        <v>8.0</v>
      </c>
      <c r="G353" s="11">
        <v>14.0</v>
      </c>
    </row>
    <row r="354">
      <c r="A354" s="11">
        <v>5.0</v>
      </c>
      <c r="B354" s="16">
        <v>3.0</v>
      </c>
      <c r="C354" s="195">
        <v>106.29</v>
      </c>
      <c r="D354" s="11">
        <v>798243.0</v>
      </c>
      <c r="E354" s="196">
        <v>93031.92</v>
      </c>
      <c r="F354" s="11">
        <v>9.0</v>
      </c>
      <c r="G354" s="11">
        <v>42.0</v>
      </c>
    </row>
    <row r="355">
      <c r="A355" s="11">
        <v>1.0</v>
      </c>
      <c r="B355" s="16">
        <v>8.0</v>
      </c>
      <c r="C355" s="195">
        <v>70371.42</v>
      </c>
      <c r="D355" s="11">
        <v>259584.0</v>
      </c>
      <c r="E355" s="196">
        <v>83012.84</v>
      </c>
      <c r="F355" s="11">
        <v>4.0</v>
      </c>
      <c r="G355" s="11">
        <v>24.0</v>
      </c>
    </row>
    <row r="356">
      <c r="A356" s="11">
        <v>8.0</v>
      </c>
      <c r="B356" s="16">
        <v>8.0</v>
      </c>
      <c r="C356" s="195">
        <v>-24808.21</v>
      </c>
      <c r="D356" s="11">
        <v>234232.0</v>
      </c>
      <c r="E356" s="196">
        <v>91975.35</v>
      </c>
      <c r="F356" s="11">
        <v>6.0</v>
      </c>
      <c r="G356" s="11">
        <v>18.0</v>
      </c>
    </row>
    <row r="357">
      <c r="A357" s="11">
        <v>8.0</v>
      </c>
      <c r="B357" s="16">
        <v>7.0</v>
      </c>
      <c r="C357" s="195">
        <v>2271.51</v>
      </c>
      <c r="D357" s="11">
        <v>721178.0</v>
      </c>
      <c r="E357" s="196">
        <v>69645.82</v>
      </c>
      <c r="F357" s="11">
        <v>4.0</v>
      </c>
      <c r="G357" s="11">
        <v>22.0</v>
      </c>
    </row>
    <row r="358">
      <c r="A358" s="11">
        <v>5.0</v>
      </c>
      <c r="B358" s="16">
        <v>6.0</v>
      </c>
      <c r="C358" s="195">
        <v>-62876.82</v>
      </c>
      <c r="D358" s="11">
        <v>634424.0</v>
      </c>
      <c r="E358" s="196">
        <v>42306.26</v>
      </c>
      <c r="F358" s="11">
        <v>7.0</v>
      </c>
      <c r="G358" s="11">
        <v>30.0</v>
      </c>
    </row>
    <row r="359">
      <c r="A359" s="11">
        <v>6.0</v>
      </c>
      <c r="B359" s="16">
        <v>4.0</v>
      </c>
      <c r="C359" s="195">
        <v>-22626.67</v>
      </c>
      <c r="D359" s="11">
        <v>608129.0</v>
      </c>
      <c r="E359" s="196">
        <v>33245.24</v>
      </c>
      <c r="F359" s="11">
        <v>1.0</v>
      </c>
      <c r="G359" s="11">
        <v>78.0</v>
      </c>
    </row>
    <row r="360">
      <c r="A360" s="11">
        <v>1.0</v>
      </c>
      <c r="B360" s="16">
        <v>5.0</v>
      </c>
      <c r="C360" s="195">
        <v>62088.57</v>
      </c>
      <c r="D360" s="11">
        <v>892199.0</v>
      </c>
      <c r="E360" s="196">
        <v>-28555.88</v>
      </c>
      <c r="F360" s="11">
        <v>7.0</v>
      </c>
      <c r="G360" s="11">
        <v>80.0</v>
      </c>
    </row>
    <row r="361">
      <c r="A361" s="11">
        <v>1.0</v>
      </c>
      <c r="B361" s="16">
        <v>2.0</v>
      </c>
      <c r="C361" s="195">
        <v>95290.76</v>
      </c>
      <c r="D361" s="11">
        <v>447886.0</v>
      </c>
      <c r="E361" s="196">
        <v>54302.36</v>
      </c>
      <c r="F361" s="11">
        <v>5.0</v>
      </c>
      <c r="G361" s="11">
        <v>81.0</v>
      </c>
    </row>
    <row r="362">
      <c r="A362" s="11">
        <v>5.0</v>
      </c>
      <c r="B362" s="16">
        <v>9.0</v>
      </c>
      <c r="C362" s="195">
        <v>-24222.0</v>
      </c>
      <c r="D362" s="11">
        <v>537824.0</v>
      </c>
      <c r="E362" s="196">
        <v>65767.51</v>
      </c>
      <c r="F362" s="11">
        <v>2.0</v>
      </c>
      <c r="G362" s="11">
        <v>52.0</v>
      </c>
    </row>
    <row r="363">
      <c r="A363" s="11">
        <v>2.0</v>
      </c>
      <c r="B363" s="16">
        <v>9.0</v>
      </c>
      <c r="C363" s="195">
        <v>4437.62</v>
      </c>
      <c r="D363" s="11">
        <v>627835.0</v>
      </c>
      <c r="E363" s="196">
        <v>10674.2</v>
      </c>
      <c r="F363" s="11">
        <v>6.0</v>
      </c>
      <c r="G363" s="11">
        <v>17.0</v>
      </c>
    </row>
    <row r="364">
      <c r="A364" s="11">
        <v>1.0</v>
      </c>
      <c r="B364" s="16">
        <v>5.0</v>
      </c>
      <c r="C364" s="195">
        <v>9951.43</v>
      </c>
      <c r="D364" s="11">
        <v>636380.0</v>
      </c>
      <c r="E364" s="196">
        <v>52311.36</v>
      </c>
      <c r="F364" s="11">
        <v>3.0</v>
      </c>
      <c r="G364" s="11">
        <v>45.0</v>
      </c>
    </row>
    <row r="365">
      <c r="A365" s="11">
        <v>1.0</v>
      </c>
      <c r="B365" s="16">
        <v>6.0</v>
      </c>
      <c r="C365" s="195">
        <v>25698.24</v>
      </c>
      <c r="D365" s="11">
        <v>488519.0</v>
      </c>
      <c r="E365" s="196">
        <v>76954.84</v>
      </c>
      <c r="F365" s="11">
        <v>8.0</v>
      </c>
      <c r="G365" s="11">
        <v>23.0</v>
      </c>
    </row>
    <row r="366">
      <c r="A366" s="11">
        <v>7.0</v>
      </c>
      <c r="B366" s="16">
        <v>1.0</v>
      </c>
      <c r="C366" s="195">
        <v>53538.83</v>
      </c>
      <c r="D366" s="11">
        <v>869487.0</v>
      </c>
      <c r="E366" s="196">
        <v>-4511.72</v>
      </c>
      <c r="F366" s="11">
        <v>2.0</v>
      </c>
      <c r="G366" s="11">
        <v>11.0</v>
      </c>
    </row>
    <row r="367">
      <c r="A367" s="11">
        <v>3.0</v>
      </c>
      <c r="B367" s="16">
        <v>3.0</v>
      </c>
      <c r="C367" s="195">
        <v>-39230.52</v>
      </c>
      <c r="D367" s="11">
        <v>489625.0</v>
      </c>
      <c r="E367" s="196">
        <v>-54928.03</v>
      </c>
      <c r="F367" s="11">
        <v>7.0</v>
      </c>
      <c r="G367" s="11">
        <v>51.0</v>
      </c>
    </row>
    <row r="368">
      <c r="A368" s="11">
        <v>6.0</v>
      </c>
      <c r="B368" s="16">
        <v>6.0</v>
      </c>
      <c r="C368" s="195">
        <v>-94313.96</v>
      </c>
      <c r="D368" s="11">
        <v>913220.0</v>
      </c>
      <c r="E368" s="196">
        <v>44744.45</v>
      </c>
      <c r="F368" s="11">
        <v>1.0</v>
      </c>
      <c r="G368" s="11">
        <v>28.0</v>
      </c>
    </row>
    <row r="369">
      <c r="A369" s="11">
        <v>1.0</v>
      </c>
      <c r="B369" s="16">
        <v>2.0</v>
      </c>
      <c r="C369" s="195">
        <v>-53710.25</v>
      </c>
      <c r="D369" s="11">
        <v>649954.0</v>
      </c>
      <c r="E369" s="196">
        <v>41620.84</v>
      </c>
      <c r="F369" s="11">
        <v>1.0</v>
      </c>
      <c r="G369" s="11">
        <v>92.0</v>
      </c>
    </row>
    <row r="370">
      <c r="A370" s="11">
        <v>9.0</v>
      </c>
      <c r="B370" s="16">
        <v>2.0</v>
      </c>
      <c r="C370" s="195">
        <v>-27648.34</v>
      </c>
      <c r="D370" s="11">
        <v>284212.0</v>
      </c>
      <c r="E370" s="196">
        <v>-15956.25</v>
      </c>
      <c r="F370" s="11">
        <v>9.0</v>
      </c>
      <c r="G370" s="11">
        <v>43.0</v>
      </c>
    </row>
    <row r="371">
      <c r="A371" s="11">
        <v>9.0</v>
      </c>
      <c r="B371" s="16">
        <v>1.0</v>
      </c>
      <c r="C371" s="195">
        <v>61440.45</v>
      </c>
      <c r="D371" s="11">
        <v>210400.0</v>
      </c>
      <c r="E371" s="196">
        <v>81180.69</v>
      </c>
      <c r="F371" s="11">
        <v>1.0</v>
      </c>
      <c r="G371" s="11">
        <v>12.0</v>
      </c>
    </row>
    <row r="372">
      <c r="A372" s="11">
        <v>7.0</v>
      </c>
      <c r="B372" s="16">
        <v>3.0</v>
      </c>
      <c r="C372" s="195">
        <v>-67623.62</v>
      </c>
      <c r="D372" s="11">
        <v>717277.0</v>
      </c>
      <c r="E372" s="196">
        <v>50688.23</v>
      </c>
      <c r="F372" s="11">
        <v>2.0</v>
      </c>
      <c r="G372" s="11">
        <v>22.0</v>
      </c>
    </row>
    <row r="373">
      <c r="A373" s="11">
        <v>7.0</v>
      </c>
      <c r="B373" s="16">
        <v>5.0</v>
      </c>
      <c r="C373" s="195">
        <v>-3920.68</v>
      </c>
      <c r="D373" s="11">
        <v>395749.0</v>
      </c>
      <c r="E373" s="196">
        <v>66404.65</v>
      </c>
      <c r="F373" s="11">
        <v>8.0</v>
      </c>
      <c r="G373" s="11">
        <v>35.0</v>
      </c>
    </row>
    <row r="374">
      <c r="A374" s="11">
        <v>1.0</v>
      </c>
      <c r="B374" s="16">
        <v>3.0</v>
      </c>
      <c r="C374" s="195">
        <v>87836.93</v>
      </c>
      <c r="D374" s="11">
        <v>520687.0</v>
      </c>
      <c r="E374" s="196">
        <v>5713.84</v>
      </c>
      <c r="F374" s="11">
        <v>6.0</v>
      </c>
      <c r="G374" s="11">
        <v>76.0</v>
      </c>
    </row>
    <row r="375">
      <c r="A375" s="11">
        <v>7.0</v>
      </c>
      <c r="B375" s="16">
        <v>5.0</v>
      </c>
      <c r="C375" s="195">
        <v>71656.79</v>
      </c>
      <c r="D375" s="11">
        <v>534524.0</v>
      </c>
      <c r="E375" s="196">
        <v>-52122.67</v>
      </c>
      <c r="F375" s="11">
        <v>7.0</v>
      </c>
      <c r="G375" s="11">
        <v>15.0</v>
      </c>
    </row>
    <row r="376">
      <c r="A376" s="11">
        <v>7.0</v>
      </c>
      <c r="B376" s="16">
        <v>4.0</v>
      </c>
      <c r="C376" s="195">
        <v>69174.6</v>
      </c>
      <c r="D376" s="11">
        <v>643066.0</v>
      </c>
      <c r="E376" s="196">
        <v>11316.6</v>
      </c>
      <c r="F376" s="11">
        <v>6.0</v>
      </c>
      <c r="G376" s="11">
        <v>95.0</v>
      </c>
    </row>
    <row r="377">
      <c r="A377" s="11">
        <v>4.0</v>
      </c>
      <c r="B377" s="16">
        <v>5.0</v>
      </c>
      <c r="C377" s="195">
        <v>99674.0</v>
      </c>
      <c r="D377" s="11">
        <v>451208.0</v>
      </c>
      <c r="E377" s="196">
        <v>41624.61</v>
      </c>
      <c r="F377" s="11">
        <v>1.0</v>
      </c>
      <c r="G377" s="11">
        <v>19.0</v>
      </c>
    </row>
    <row r="378">
      <c r="A378" s="11">
        <v>9.0</v>
      </c>
      <c r="B378" s="16">
        <v>6.0</v>
      </c>
      <c r="C378" s="195">
        <v>-74951.59</v>
      </c>
      <c r="D378" s="11">
        <v>290038.0</v>
      </c>
      <c r="E378" s="196">
        <v>14599.28</v>
      </c>
      <c r="F378" s="11">
        <v>8.0</v>
      </c>
      <c r="G378" s="11">
        <v>10.0</v>
      </c>
    </row>
    <row r="379">
      <c r="A379" s="11">
        <v>2.0</v>
      </c>
      <c r="B379" s="16">
        <v>5.0</v>
      </c>
      <c r="C379" s="195">
        <v>-97091.62</v>
      </c>
      <c r="D379" s="11">
        <v>873548.0</v>
      </c>
      <c r="E379" s="196">
        <v>30968.79</v>
      </c>
      <c r="F379" s="11">
        <v>6.0</v>
      </c>
      <c r="G379" s="11">
        <v>47.0</v>
      </c>
    </row>
    <row r="380">
      <c r="A380" s="11">
        <v>8.0</v>
      </c>
      <c r="B380" s="16">
        <v>4.0</v>
      </c>
      <c r="C380" s="195">
        <v>-59837.52</v>
      </c>
      <c r="D380" s="11">
        <v>818769.0</v>
      </c>
      <c r="E380" s="196">
        <v>-98253.44</v>
      </c>
      <c r="F380" s="11">
        <v>8.0</v>
      </c>
      <c r="G380" s="11">
        <v>88.0</v>
      </c>
    </row>
    <row r="381">
      <c r="A381" s="11">
        <v>5.0</v>
      </c>
      <c r="B381" s="16">
        <v>8.0</v>
      </c>
      <c r="C381" s="195">
        <v>-86317.92</v>
      </c>
      <c r="D381" s="11">
        <v>702770.0</v>
      </c>
      <c r="E381" s="196">
        <v>-14805.94</v>
      </c>
      <c r="F381" s="11">
        <v>3.0</v>
      </c>
      <c r="G381" s="11">
        <v>82.0</v>
      </c>
    </row>
    <row r="382">
      <c r="A382" s="11">
        <v>4.0</v>
      </c>
      <c r="B382" s="16">
        <v>8.0</v>
      </c>
      <c r="C382" s="195">
        <v>15922.22</v>
      </c>
      <c r="D382" s="11">
        <v>753652.0</v>
      </c>
      <c r="E382" s="196">
        <v>14418.56</v>
      </c>
      <c r="F382" s="11">
        <v>8.0</v>
      </c>
      <c r="G382" s="11">
        <v>18.0</v>
      </c>
    </row>
    <row r="383">
      <c r="A383" s="11">
        <v>9.0</v>
      </c>
      <c r="B383" s="16">
        <v>6.0</v>
      </c>
      <c r="C383" s="195">
        <v>-84637.42</v>
      </c>
      <c r="D383" s="11">
        <v>341268.0</v>
      </c>
      <c r="E383" s="196">
        <v>-92065.72</v>
      </c>
      <c r="F383" s="11">
        <v>5.0</v>
      </c>
      <c r="G383" s="11">
        <v>62.0</v>
      </c>
    </row>
    <row r="384">
      <c r="A384" s="11">
        <v>4.0</v>
      </c>
      <c r="B384" s="16">
        <v>7.0</v>
      </c>
      <c r="C384" s="195">
        <v>3923.75</v>
      </c>
      <c r="D384" s="11">
        <v>550621.0</v>
      </c>
      <c r="E384" s="196">
        <v>-2027.19</v>
      </c>
      <c r="F384" s="11">
        <v>2.0</v>
      </c>
      <c r="G384" s="11">
        <v>52.0</v>
      </c>
    </row>
    <row r="385">
      <c r="A385" s="11">
        <v>1.0</v>
      </c>
      <c r="B385" s="16">
        <v>3.0</v>
      </c>
      <c r="C385" s="195">
        <v>-74067.76</v>
      </c>
      <c r="D385" s="11">
        <v>498347.0</v>
      </c>
      <c r="E385" s="196">
        <v>-57350.99</v>
      </c>
      <c r="F385" s="11">
        <v>5.0</v>
      </c>
      <c r="G385" s="11">
        <v>23.0</v>
      </c>
    </row>
    <row r="386">
      <c r="A386" s="11">
        <v>6.0</v>
      </c>
      <c r="B386" s="16">
        <v>8.0</v>
      </c>
      <c r="C386" s="195">
        <v>-72048.78</v>
      </c>
      <c r="D386" s="11">
        <v>393609.0</v>
      </c>
      <c r="E386" s="196">
        <v>55614.1</v>
      </c>
      <c r="F386" s="11">
        <v>1.0</v>
      </c>
      <c r="G386" s="11">
        <v>60.0</v>
      </c>
    </row>
    <row r="387">
      <c r="A387" s="11">
        <v>8.0</v>
      </c>
      <c r="B387" s="16">
        <v>1.0</v>
      </c>
      <c r="C387" s="195">
        <v>-43933.44</v>
      </c>
      <c r="D387" s="11">
        <v>731281.0</v>
      </c>
      <c r="E387" s="196">
        <v>76172.66</v>
      </c>
      <c r="F387" s="11">
        <v>7.0</v>
      </c>
      <c r="G387" s="11">
        <v>85.0</v>
      </c>
    </row>
    <row r="388">
      <c r="A388" s="11">
        <v>6.0</v>
      </c>
      <c r="B388" s="16">
        <v>1.0</v>
      </c>
      <c r="C388" s="195">
        <v>-39272.85</v>
      </c>
      <c r="D388" s="11">
        <v>663355.0</v>
      </c>
      <c r="E388" s="196">
        <v>84211.46</v>
      </c>
      <c r="F388" s="11">
        <v>9.0</v>
      </c>
      <c r="G388" s="11">
        <v>21.0</v>
      </c>
    </row>
    <row r="389">
      <c r="A389" s="11">
        <v>4.0</v>
      </c>
      <c r="B389" s="16">
        <v>3.0</v>
      </c>
      <c r="C389" s="195">
        <v>19084.91</v>
      </c>
      <c r="D389" s="11">
        <v>278116.0</v>
      </c>
      <c r="E389" s="196">
        <v>-73627.58</v>
      </c>
      <c r="F389" s="11">
        <v>9.0</v>
      </c>
      <c r="G389" s="11">
        <v>17.0</v>
      </c>
    </row>
    <row r="390">
      <c r="A390" s="11">
        <v>1.0</v>
      </c>
      <c r="B390" s="16">
        <v>5.0</v>
      </c>
      <c r="C390" s="195">
        <v>-69711.84</v>
      </c>
      <c r="D390" s="11">
        <v>749344.0</v>
      </c>
      <c r="E390" s="196">
        <v>-54233.42</v>
      </c>
      <c r="F390" s="11">
        <v>8.0</v>
      </c>
      <c r="G390" s="11">
        <v>87.0</v>
      </c>
    </row>
    <row r="391">
      <c r="A391" s="11">
        <v>7.0</v>
      </c>
      <c r="B391" s="16">
        <v>1.0</v>
      </c>
      <c r="C391" s="195">
        <v>74963.26</v>
      </c>
      <c r="D391" s="11">
        <v>191003.0</v>
      </c>
      <c r="E391" s="196">
        <v>44995.92</v>
      </c>
      <c r="F391" s="11">
        <v>2.0</v>
      </c>
      <c r="G391" s="11">
        <v>53.0</v>
      </c>
    </row>
    <row r="392">
      <c r="A392" s="11">
        <v>3.0</v>
      </c>
      <c r="B392" s="16">
        <v>6.0</v>
      </c>
      <c r="C392" s="195">
        <v>-22856.03</v>
      </c>
      <c r="D392" s="11">
        <v>452740.0</v>
      </c>
      <c r="E392" s="196">
        <v>95613.37</v>
      </c>
      <c r="F392" s="11">
        <v>8.0</v>
      </c>
      <c r="G392" s="11">
        <v>20.0</v>
      </c>
    </row>
    <row r="393">
      <c r="A393" s="11">
        <v>8.0</v>
      </c>
      <c r="B393" s="16">
        <v>9.0</v>
      </c>
      <c r="C393" s="195">
        <v>-27641.33</v>
      </c>
      <c r="D393" s="11">
        <v>371323.0</v>
      </c>
      <c r="E393" s="196">
        <v>-78809.51</v>
      </c>
      <c r="F393" s="11">
        <v>9.0</v>
      </c>
      <c r="G393" s="11">
        <v>65.0</v>
      </c>
    </row>
    <row r="394">
      <c r="A394" s="11">
        <v>6.0</v>
      </c>
      <c r="B394" s="16">
        <v>9.0</v>
      </c>
      <c r="C394" s="195">
        <v>-71090.32</v>
      </c>
      <c r="D394" s="11">
        <v>616890.0</v>
      </c>
      <c r="E394" s="196">
        <v>9176.04</v>
      </c>
      <c r="F394" s="11">
        <v>4.0</v>
      </c>
      <c r="G394" s="11">
        <v>78.0</v>
      </c>
    </row>
    <row r="395">
      <c r="A395" s="11">
        <v>8.0</v>
      </c>
      <c r="B395" s="16">
        <v>1.0</v>
      </c>
      <c r="C395" s="195">
        <v>-57601.27</v>
      </c>
      <c r="D395" s="11">
        <v>982520.0</v>
      </c>
      <c r="E395" s="196">
        <v>-718.43</v>
      </c>
      <c r="F395" s="11">
        <v>5.0</v>
      </c>
      <c r="G395" s="11">
        <v>37.0</v>
      </c>
    </row>
    <row r="396">
      <c r="A396" s="11">
        <v>4.0</v>
      </c>
      <c r="B396" s="16">
        <v>2.0</v>
      </c>
      <c r="C396" s="195">
        <v>-59441.11</v>
      </c>
      <c r="D396" s="11">
        <v>144646.0</v>
      </c>
      <c r="E396" s="196">
        <v>59336.97</v>
      </c>
      <c r="F396" s="11">
        <v>9.0</v>
      </c>
      <c r="G396" s="11">
        <v>29.0</v>
      </c>
    </row>
    <row r="397">
      <c r="A397" s="11">
        <v>2.0</v>
      </c>
      <c r="B397" s="16">
        <v>7.0</v>
      </c>
      <c r="C397" s="195">
        <v>-64102.82</v>
      </c>
      <c r="D397" s="11">
        <v>136737.0</v>
      </c>
      <c r="E397" s="196">
        <v>-16598.16</v>
      </c>
      <c r="F397" s="11">
        <v>4.0</v>
      </c>
      <c r="G397" s="11">
        <v>96.0</v>
      </c>
    </row>
    <row r="398">
      <c r="A398" s="11">
        <v>1.0</v>
      </c>
      <c r="B398" s="16">
        <v>2.0</v>
      </c>
      <c r="C398" s="195">
        <v>-12617.42</v>
      </c>
      <c r="D398" s="11">
        <v>937347.0</v>
      </c>
      <c r="E398" s="196">
        <v>-22768.32</v>
      </c>
      <c r="F398" s="11">
        <v>7.0</v>
      </c>
      <c r="G398" s="11">
        <v>16.0</v>
      </c>
    </row>
    <row r="399">
      <c r="A399" s="11">
        <v>9.0</v>
      </c>
      <c r="B399" s="16">
        <v>3.0</v>
      </c>
      <c r="C399" s="195">
        <v>49141.01</v>
      </c>
      <c r="D399" s="11">
        <v>887455.0</v>
      </c>
      <c r="E399" s="196">
        <v>70993.74</v>
      </c>
      <c r="F399" s="11">
        <v>1.0</v>
      </c>
      <c r="G399" s="11">
        <v>34.0</v>
      </c>
    </row>
    <row r="400">
      <c r="A400" s="11">
        <v>3.0</v>
      </c>
      <c r="B400" s="16">
        <v>8.0</v>
      </c>
      <c r="C400" s="195">
        <v>-50847.71</v>
      </c>
      <c r="D400" s="11">
        <v>409204.0</v>
      </c>
      <c r="E400" s="196">
        <v>-90031.63</v>
      </c>
      <c r="F400" s="11">
        <v>7.0</v>
      </c>
      <c r="G400" s="11">
        <v>49.0</v>
      </c>
    </row>
    <row r="401">
      <c r="A401" s="11">
        <v>8.0</v>
      </c>
      <c r="B401" s="16">
        <v>6.0</v>
      </c>
      <c r="C401" s="195">
        <v>12909.88</v>
      </c>
      <c r="D401" s="11">
        <v>710277.0</v>
      </c>
      <c r="E401" s="196">
        <v>57368.55</v>
      </c>
      <c r="F401" s="11">
        <v>7.0</v>
      </c>
      <c r="G401" s="11">
        <v>81.0</v>
      </c>
    </row>
    <row r="402">
      <c r="A402" s="11">
        <v>2.0</v>
      </c>
      <c r="B402" s="16">
        <v>8.0</v>
      </c>
      <c r="C402" s="195">
        <v>66760.28</v>
      </c>
      <c r="D402" s="11">
        <v>921235.0</v>
      </c>
      <c r="E402" s="196">
        <v>-6370.77</v>
      </c>
      <c r="F402" s="11">
        <v>8.0</v>
      </c>
      <c r="G402" s="11">
        <v>66.0</v>
      </c>
    </row>
    <row r="403">
      <c r="A403" s="11">
        <v>6.0</v>
      </c>
      <c r="B403" s="16">
        <v>1.0</v>
      </c>
      <c r="C403" s="195">
        <v>-20151.47</v>
      </c>
      <c r="D403" s="11">
        <v>811782.0</v>
      </c>
      <c r="E403" s="196">
        <v>-87444.07</v>
      </c>
      <c r="F403" s="11">
        <v>3.0</v>
      </c>
      <c r="G403" s="11">
        <v>47.0</v>
      </c>
    </row>
    <row r="404">
      <c r="A404" s="11">
        <v>9.0</v>
      </c>
      <c r="B404" s="16">
        <v>8.0</v>
      </c>
      <c r="C404" s="195">
        <v>-17304.37</v>
      </c>
      <c r="D404" s="11">
        <v>742522.0</v>
      </c>
      <c r="E404" s="196">
        <v>-28524.79</v>
      </c>
      <c r="F404" s="11">
        <v>9.0</v>
      </c>
      <c r="G404" s="11">
        <v>84.0</v>
      </c>
    </row>
    <row r="405">
      <c r="A405" s="11">
        <v>2.0</v>
      </c>
      <c r="B405" s="16">
        <v>7.0</v>
      </c>
      <c r="C405" s="195">
        <v>-17627.15</v>
      </c>
      <c r="D405" s="11">
        <v>127234.0</v>
      </c>
      <c r="E405" s="196">
        <v>-65309.63</v>
      </c>
      <c r="F405" s="11">
        <v>8.0</v>
      </c>
      <c r="G405" s="11">
        <v>19.0</v>
      </c>
    </row>
    <row r="406">
      <c r="A406" s="11">
        <v>9.0</v>
      </c>
      <c r="B406" s="16">
        <v>3.0</v>
      </c>
      <c r="C406" s="195">
        <v>-88372.35</v>
      </c>
      <c r="D406" s="11">
        <v>651118.0</v>
      </c>
      <c r="E406" s="196">
        <v>34547.66</v>
      </c>
      <c r="F406" s="11">
        <v>3.0</v>
      </c>
      <c r="G406" s="11">
        <v>86.0</v>
      </c>
    </row>
    <row r="407">
      <c r="A407" s="11">
        <v>7.0</v>
      </c>
      <c r="B407" s="16">
        <v>1.0</v>
      </c>
      <c r="C407" s="195">
        <v>-68369.21</v>
      </c>
      <c r="D407" s="11">
        <v>709640.0</v>
      </c>
      <c r="E407" s="196">
        <v>-92383.94</v>
      </c>
      <c r="F407" s="11">
        <v>4.0</v>
      </c>
      <c r="G407" s="11">
        <v>38.0</v>
      </c>
    </row>
    <row r="408">
      <c r="A408" s="11">
        <v>9.0</v>
      </c>
      <c r="B408" s="16">
        <v>7.0</v>
      </c>
      <c r="C408" s="195">
        <v>12605.27</v>
      </c>
      <c r="D408" s="11">
        <v>608559.0</v>
      </c>
      <c r="E408" s="196">
        <v>-43132.49</v>
      </c>
      <c r="F408" s="11">
        <v>7.0</v>
      </c>
      <c r="G408" s="11">
        <v>89.0</v>
      </c>
    </row>
    <row r="409">
      <c r="A409" s="11">
        <v>5.0</v>
      </c>
      <c r="B409" s="16">
        <v>3.0</v>
      </c>
      <c r="C409" s="195">
        <v>-66792.98</v>
      </c>
      <c r="D409" s="11">
        <v>381777.0</v>
      </c>
      <c r="E409" s="196">
        <v>-68352.75</v>
      </c>
      <c r="F409" s="11">
        <v>6.0</v>
      </c>
      <c r="G409" s="11">
        <v>34.0</v>
      </c>
    </row>
    <row r="410">
      <c r="A410" s="11">
        <v>4.0</v>
      </c>
      <c r="B410" s="16">
        <v>8.0</v>
      </c>
      <c r="C410" s="195">
        <v>35054.44</v>
      </c>
      <c r="D410" s="11">
        <v>272546.0</v>
      </c>
      <c r="E410" s="196">
        <v>-72122.94</v>
      </c>
      <c r="F410" s="11">
        <v>1.0</v>
      </c>
      <c r="G410" s="11">
        <v>59.0</v>
      </c>
    </row>
    <row r="411">
      <c r="A411" s="11">
        <v>7.0</v>
      </c>
      <c r="B411" s="16">
        <v>6.0</v>
      </c>
      <c r="C411" s="195">
        <v>-75698.88</v>
      </c>
      <c r="D411" s="11">
        <v>278793.0</v>
      </c>
      <c r="E411" s="196">
        <v>71043.77</v>
      </c>
      <c r="F411" s="11">
        <v>5.0</v>
      </c>
      <c r="G411" s="11">
        <v>22.0</v>
      </c>
    </row>
    <row r="412">
      <c r="A412" s="11">
        <v>9.0</v>
      </c>
      <c r="B412" s="16">
        <v>9.0</v>
      </c>
      <c r="C412" s="195">
        <v>81129.87</v>
      </c>
      <c r="D412" s="11">
        <v>847936.0</v>
      </c>
      <c r="E412" s="196">
        <v>-64089.25</v>
      </c>
      <c r="F412" s="11">
        <v>3.0</v>
      </c>
      <c r="G412" s="11">
        <v>28.0</v>
      </c>
    </row>
    <row r="413">
      <c r="A413" s="11">
        <v>8.0</v>
      </c>
      <c r="B413" s="16">
        <v>9.0</v>
      </c>
      <c r="C413" s="195">
        <v>56820.19</v>
      </c>
      <c r="D413" s="11">
        <v>799797.0</v>
      </c>
      <c r="E413" s="196">
        <v>-52344.85</v>
      </c>
      <c r="F413" s="11">
        <v>8.0</v>
      </c>
      <c r="G413" s="11">
        <v>56.0</v>
      </c>
    </row>
    <row r="414">
      <c r="A414" s="11">
        <v>8.0</v>
      </c>
      <c r="B414" s="16">
        <v>7.0</v>
      </c>
      <c r="C414" s="195">
        <v>4750.4</v>
      </c>
      <c r="D414" s="11">
        <v>358433.0</v>
      </c>
      <c r="E414" s="196">
        <v>-32483.28</v>
      </c>
      <c r="F414" s="11">
        <v>2.0</v>
      </c>
      <c r="G414" s="11">
        <v>70.0</v>
      </c>
    </row>
    <row r="415">
      <c r="A415" s="11">
        <v>9.0</v>
      </c>
      <c r="B415" s="16">
        <v>4.0</v>
      </c>
      <c r="C415" s="195">
        <v>-65371.65</v>
      </c>
      <c r="D415" s="11">
        <v>798219.0</v>
      </c>
      <c r="E415" s="196">
        <v>29252.31</v>
      </c>
      <c r="F415" s="11">
        <v>7.0</v>
      </c>
      <c r="G415" s="11">
        <v>31.0</v>
      </c>
    </row>
    <row r="416">
      <c r="A416" s="11">
        <v>4.0</v>
      </c>
      <c r="B416" s="16">
        <v>6.0</v>
      </c>
      <c r="C416" s="195">
        <v>86654.1</v>
      </c>
      <c r="D416" s="11">
        <v>694499.0</v>
      </c>
      <c r="E416" s="196">
        <v>9346.76</v>
      </c>
      <c r="F416" s="11">
        <v>9.0</v>
      </c>
      <c r="G416" s="11">
        <v>81.0</v>
      </c>
    </row>
    <row r="417">
      <c r="A417" s="11">
        <v>9.0</v>
      </c>
      <c r="B417" s="16">
        <v>2.0</v>
      </c>
      <c r="C417" s="195">
        <v>20588.63</v>
      </c>
      <c r="D417" s="11">
        <v>949048.0</v>
      </c>
      <c r="E417" s="196">
        <v>-51206.85</v>
      </c>
      <c r="F417" s="11">
        <v>6.0</v>
      </c>
      <c r="G417" s="11">
        <v>32.0</v>
      </c>
    </row>
    <row r="418">
      <c r="A418" s="11">
        <v>3.0</v>
      </c>
      <c r="B418" s="16">
        <v>3.0</v>
      </c>
      <c r="C418" s="195">
        <v>-49289.62</v>
      </c>
      <c r="D418" s="11">
        <v>771415.0</v>
      </c>
      <c r="E418" s="196">
        <v>-76028.07</v>
      </c>
      <c r="F418" s="11">
        <v>5.0</v>
      </c>
      <c r="G418" s="11">
        <v>86.0</v>
      </c>
    </row>
    <row r="419">
      <c r="A419" s="11">
        <v>2.0</v>
      </c>
      <c r="B419" s="16">
        <v>5.0</v>
      </c>
      <c r="C419" s="195">
        <v>-55885.08</v>
      </c>
      <c r="D419" s="11">
        <v>186318.0</v>
      </c>
      <c r="E419" s="196">
        <v>14230.21</v>
      </c>
      <c r="F419" s="11">
        <v>7.0</v>
      </c>
      <c r="G419" s="11">
        <v>42.0</v>
      </c>
    </row>
    <row r="420">
      <c r="A420" s="11">
        <v>3.0</v>
      </c>
      <c r="B420" s="16">
        <v>2.0</v>
      </c>
      <c r="C420" s="195">
        <v>51699.38</v>
      </c>
      <c r="D420" s="11">
        <v>608328.0</v>
      </c>
      <c r="E420" s="196">
        <v>82487.81</v>
      </c>
      <c r="F420" s="11">
        <v>9.0</v>
      </c>
      <c r="G420" s="11">
        <v>67.0</v>
      </c>
    </row>
    <row r="421">
      <c r="A421" s="11">
        <v>1.0</v>
      </c>
      <c r="B421" s="16">
        <v>2.0</v>
      </c>
      <c r="C421" s="195">
        <v>11079.58</v>
      </c>
      <c r="D421" s="11">
        <v>211969.0</v>
      </c>
      <c r="E421" s="196">
        <v>50230.38</v>
      </c>
      <c r="F421" s="11">
        <v>3.0</v>
      </c>
      <c r="G421" s="11">
        <v>13.0</v>
      </c>
    </row>
    <row r="422">
      <c r="A422" s="11">
        <v>4.0</v>
      </c>
      <c r="B422" s="16">
        <v>9.0</v>
      </c>
      <c r="C422" s="195">
        <v>-84498.64</v>
      </c>
      <c r="D422" s="11">
        <v>252570.0</v>
      </c>
      <c r="E422" s="196">
        <v>-60597.73</v>
      </c>
      <c r="F422" s="11">
        <v>3.0</v>
      </c>
      <c r="G422" s="11">
        <v>35.0</v>
      </c>
    </row>
    <row r="423">
      <c r="A423" s="11">
        <v>4.0</v>
      </c>
      <c r="B423" s="16">
        <v>9.0</v>
      </c>
      <c r="C423" s="195">
        <v>-36170.78</v>
      </c>
      <c r="D423" s="11">
        <v>656822.0</v>
      </c>
      <c r="E423" s="196">
        <v>-44543.53</v>
      </c>
      <c r="F423" s="11">
        <v>1.0</v>
      </c>
      <c r="G423" s="11">
        <v>32.0</v>
      </c>
    </row>
    <row r="424">
      <c r="A424" s="11">
        <v>9.0</v>
      </c>
      <c r="B424" s="16">
        <v>9.0</v>
      </c>
      <c r="C424" s="195">
        <v>-43420.58</v>
      </c>
      <c r="D424" s="11">
        <v>611779.0</v>
      </c>
      <c r="E424" s="196">
        <v>-21985.39</v>
      </c>
      <c r="F424" s="11">
        <v>2.0</v>
      </c>
      <c r="G424" s="11">
        <v>64.0</v>
      </c>
    </row>
    <row r="425">
      <c r="A425" s="11">
        <v>4.0</v>
      </c>
      <c r="B425" s="16">
        <v>6.0</v>
      </c>
      <c r="C425" s="195">
        <v>59171.35</v>
      </c>
      <c r="D425" s="11">
        <v>624653.0</v>
      </c>
      <c r="E425" s="196">
        <v>-6174.06</v>
      </c>
      <c r="F425" s="11">
        <v>9.0</v>
      </c>
      <c r="G425" s="11">
        <v>71.0</v>
      </c>
    </row>
    <row r="426">
      <c r="A426" s="11">
        <v>2.0</v>
      </c>
      <c r="B426" s="16">
        <v>4.0</v>
      </c>
      <c r="C426" s="195">
        <v>-22984.51</v>
      </c>
      <c r="D426" s="11">
        <v>626725.0</v>
      </c>
      <c r="E426" s="196">
        <v>-6636.67</v>
      </c>
      <c r="F426" s="11">
        <v>8.0</v>
      </c>
      <c r="G426" s="11">
        <v>41.0</v>
      </c>
    </row>
    <row r="427">
      <c r="A427" s="11">
        <v>3.0</v>
      </c>
      <c r="B427" s="16">
        <v>3.0</v>
      </c>
      <c r="C427" s="195">
        <v>22302.45</v>
      </c>
      <c r="D427" s="11">
        <v>293797.0</v>
      </c>
      <c r="E427" s="196">
        <v>98126.07</v>
      </c>
      <c r="F427" s="11">
        <v>3.0</v>
      </c>
      <c r="G427" s="11">
        <v>84.0</v>
      </c>
    </row>
    <row r="428">
      <c r="A428" s="11">
        <v>8.0</v>
      </c>
      <c r="B428" s="16">
        <v>9.0</v>
      </c>
      <c r="C428" s="195">
        <v>24257.28</v>
      </c>
      <c r="D428" s="11">
        <v>164384.0</v>
      </c>
      <c r="E428" s="196">
        <v>-53865.9</v>
      </c>
      <c r="F428" s="11">
        <v>9.0</v>
      </c>
      <c r="G428" s="11">
        <v>48.0</v>
      </c>
    </row>
    <row r="429">
      <c r="A429" s="11">
        <v>8.0</v>
      </c>
      <c r="B429" s="16">
        <v>7.0</v>
      </c>
      <c r="C429" s="195">
        <v>-7597.22</v>
      </c>
      <c r="D429" s="11">
        <v>638304.0</v>
      </c>
      <c r="E429" s="196">
        <v>54938.81</v>
      </c>
      <c r="F429" s="11">
        <v>1.0</v>
      </c>
      <c r="G429" s="11">
        <v>92.0</v>
      </c>
    </row>
    <row r="430">
      <c r="A430" s="11">
        <v>9.0</v>
      </c>
      <c r="B430" s="16">
        <v>2.0</v>
      </c>
      <c r="C430" s="195">
        <v>-77624.33</v>
      </c>
      <c r="D430" s="11">
        <v>101282.0</v>
      </c>
      <c r="E430" s="196">
        <v>84745.76</v>
      </c>
      <c r="F430" s="11">
        <v>2.0</v>
      </c>
      <c r="G430" s="11">
        <v>58.0</v>
      </c>
    </row>
    <row r="431">
      <c r="A431" s="11">
        <v>8.0</v>
      </c>
      <c r="B431" s="16">
        <v>6.0</v>
      </c>
      <c r="C431" s="195">
        <v>-10922.27</v>
      </c>
      <c r="D431" s="11">
        <v>467880.0</v>
      </c>
      <c r="E431" s="196">
        <v>82154.15</v>
      </c>
      <c r="F431" s="11">
        <v>6.0</v>
      </c>
      <c r="G431" s="11">
        <v>78.0</v>
      </c>
    </row>
    <row r="432">
      <c r="A432" s="11">
        <v>3.0</v>
      </c>
      <c r="B432" s="16">
        <v>8.0</v>
      </c>
      <c r="C432" s="195">
        <v>-1465.57</v>
      </c>
      <c r="D432" s="11">
        <v>279879.0</v>
      </c>
      <c r="E432" s="196">
        <v>39240.8</v>
      </c>
      <c r="F432" s="11">
        <v>5.0</v>
      </c>
      <c r="G432" s="11">
        <v>46.0</v>
      </c>
    </row>
    <row r="433">
      <c r="A433" s="11">
        <v>7.0</v>
      </c>
      <c r="B433" s="16">
        <v>6.0</v>
      </c>
      <c r="C433" s="195">
        <v>-16975.92</v>
      </c>
      <c r="D433" s="11">
        <v>305711.0</v>
      </c>
      <c r="E433" s="196">
        <v>-87652.11</v>
      </c>
      <c r="F433" s="11">
        <v>3.0</v>
      </c>
      <c r="G433" s="11">
        <v>91.0</v>
      </c>
    </row>
    <row r="434">
      <c r="A434" s="11">
        <v>3.0</v>
      </c>
      <c r="B434" s="16">
        <v>5.0</v>
      </c>
      <c r="C434" s="195">
        <v>-32269.1</v>
      </c>
      <c r="D434" s="11">
        <v>503250.0</v>
      </c>
      <c r="E434" s="196">
        <v>49909.87</v>
      </c>
      <c r="F434" s="11">
        <v>9.0</v>
      </c>
      <c r="G434" s="11">
        <v>18.0</v>
      </c>
    </row>
    <row r="435">
      <c r="A435" s="11">
        <v>5.0</v>
      </c>
      <c r="B435" s="16">
        <v>5.0</v>
      </c>
      <c r="C435" s="195">
        <v>-44982.43</v>
      </c>
      <c r="D435" s="11">
        <v>244772.0</v>
      </c>
      <c r="E435" s="196">
        <v>58969.35</v>
      </c>
      <c r="F435" s="11">
        <v>2.0</v>
      </c>
      <c r="G435" s="11">
        <v>59.0</v>
      </c>
    </row>
    <row r="436">
      <c r="A436" s="11">
        <v>9.0</v>
      </c>
      <c r="B436" s="16">
        <v>2.0</v>
      </c>
      <c r="C436" s="195">
        <v>28245.52</v>
      </c>
      <c r="D436" s="11">
        <v>537190.0</v>
      </c>
      <c r="E436" s="196">
        <v>-11063.3</v>
      </c>
      <c r="F436" s="11">
        <v>6.0</v>
      </c>
      <c r="G436" s="11">
        <v>85.0</v>
      </c>
    </row>
    <row r="437">
      <c r="A437" s="11">
        <v>6.0</v>
      </c>
      <c r="B437" s="16">
        <v>1.0</v>
      </c>
      <c r="C437" s="195">
        <v>-53660.51</v>
      </c>
      <c r="D437" s="11">
        <v>775244.0</v>
      </c>
      <c r="E437" s="196">
        <v>-98544.19</v>
      </c>
      <c r="F437" s="11">
        <v>3.0</v>
      </c>
      <c r="G437" s="11">
        <v>66.0</v>
      </c>
    </row>
    <row r="438">
      <c r="A438" s="11">
        <v>7.0</v>
      </c>
      <c r="B438" s="16">
        <v>4.0</v>
      </c>
      <c r="C438" s="195">
        <v>-35511.26</v>
      </c>
      <c r="D438" s="11">
        <v>557692.0</v>
      </c>
      <c r="E438" s="196">
        <v>86092.97</v>
      </c>
      <c r="F438" s="11">
        <v>4.0</v>
      </c>
      <c r="G438" s="11">
        <v>67.0</v>
      </c>
    </row>
    <row r="439">
      <c r="A439" s="11">
        <v>9.0</v>
      </c>
      <c r="B439" s="16">
        <v>5.0</v>
      </c>
      <c r="C439" s="195">
        <v>-54960.45</v>
      </c>
      <c r="D439" s="11">
        <v>418502.0</v>
      </c>
      <c r="E439" s="196">
        <v>55283.67</v>
      </c>
      <c r="F439" s="11">
        <v>2.0</v>
      </c>
      <c r="G439" s="11">
        <v>34.0</v>
      </c>
    </row>
    <row r="440">
      <c r="A440" s="11">
        <v>7.0</v>
      </c>
      <c r="B440" s="16">
        <v>9.0</v>
      </c>
      <c r="C440" s="195">
        <v>59908.68</v>
      </c>
      <c r="D440" s="11">
        <v>295762.0</v>
      </c>
      <c r="E440" s="196">
        <v>-69739.69</v>
      </c>
      <c r="F440" s="11">
        <v>7.0</v>
      </c>
      <c r="G440" s="11">
        <v>88.0</v>
      </c>
    </row>
    <row r="441">
      <c r="A441" s="11">
        <v>4.0</v>
      </c>
      <c r="B441" s="16">
        <v>5.0</v>
      </c>
      <c r="C441" s="195">
        <v>9540.34</v>
      </c>
      <c r="D441" s="11">
        <v>171265.0</v>
      </c>
      <c r="E441" s="196">
        <v>46832.83</v>
      </c>
      <c r="F441" s="11">
        <v>3.0</v>
      </c>
      <c r="G441" s="11">
        <v>39.0</v>
      </c>
    </row>
    <row r="442">
      <c r="A442" s="11">
        <v>6.0</v>
      </c>
      <c r="B442" s="16">
        <v>4.0</v>
      </c>
      <c r="C442" s="195">
        <v>57059.25</v>
      </c>
      <c r="D442" s="11">
        <v>862635.0</v>
      </c>
      <c r="E442" s="196">
        <v>-3046.06</v>
      </c>
      <c r="F442" s="11">
        <v>9.0</v>
      </c>
      <c r="G442" s="11">
        <v>42.0</v>
      </c>
    </row>
    <row r="443">
      <c r="A443" s="11">
        <v>2.0</v>
      </c>
      <c r="B443" s="16">
        <v>6.0</v>
      </c>
      <c r="C443" s="195">
        <v>-84725.12</v>
      </c>
      <c r="D443" s="11">
        <v>198656.0</v>
      </c>
      <c r="E443" s="196">
        <v>81732.36</v>
      </c>
      <c r="F443" s="11">
        <v>5.0</v>
      </c>
      <c r="G443" s="11">
        <v>49.0</v>
      </c>
    </row>
    <row r="444">
      <c r="A444" s="11">
        <v>3.0</v>
      </c>
      <c r="B444" s="16">
        <v>7.0</v>
      </c>
      <c r="C444" s="195">
        <v>-56998.53</v>
      </c>
      <c r="D444" s="11">
        <v>440095.0</v>
      </c>
      <c r="E444" s="196">
        <v>-80866.88</v>
      </c>
      <c r="F444" s="11">
        <v>8.0</v>
      </c>
      <c r="G444" s="11">
        <v>48.0</v>
      </c>
    </row>
    <row r="445">
      <c r="A445" s="11">
        <v>2.0</v>
      </c>
      <c r="B445" s="16">
        <v>4.0</v>
      </c>
      <c r="C445" s="195">
        <v>72445.18</v>
      </c>
      <c r="D445" s="11">
        <v>372211.0</v>
      </c>
      <c r="E445" s="196">
        <v>-79552.58</v>
      </c>
      <c r="F445" s="11">
        <v>6.0</v>
      </c>
      <c r="G445" s="11">
        <v>71.0</v>
      </c>
    </row>
    <row r="446">
      <c r="A446" s="11">
        <v>1.0</v>
      </c>
      <c r="B446" s="16">
        <v>5.0</v>
      </c>
      <c r="C446" s="195">
        <v>-89385.44</v>
      </c>
      <c r="D446" s="11">
        <v>218429.0</v>
      </c>
      <c r="E446" s="196">
        <v>92379.87</v>
      </c>
      <c r="F446" s="11">
        <v>8.0</v>
      </c>
      <c r="G446" s="11">
        <v>15.0</v>
      </c>
    </row>
    <row r="447">
      <c r="A447" s="11">
        <v>3.0</v>
      </c>
      <c r="B447" s="16">
        <v>1.0</v>
      </c>
      <c r="C447" s="195">
        <v>-42749.58</v>
      </c>
      <c r="D447" s="11">
        <v>828618.0</v>
      </c>
      <c r="E447" s="196">
        <v>-37857.67</v>
      </c>
      <c r="F447" s="11">
        <v>1.0</v>
      </c>
      <c r="G447" s="11">
        <v>60.0</v>
      </c>
    </row>
    <row r="448">
      <c r="A448" s="11">
        <v>9.0</v>
      </c>
      <c r="B448" s="16">
        <v>6.0</v>
      </c>
      <c r="C448" s="195">
        <v>44421.43</v>
      </c>
      <c r="D448" s="11">
        <v>167664.0</v>
      </c>
      <c r="E448" s="196">
        <v>55423.13</v>
      </c>
      <c r="F448" s="11">
        <v>4.0</v>
      </c>
      <c r="G448" s="11">
        <v>22.0</v>
      </c>
    </row>
    <row r="449">
      <c r="A449" s="11">
        <v>7.0</v>
      </c>
      <c r="B449" s="16">
        <v>7.0</v>
      </c>
      <c r="C449" s="195">
        <v>-49940.73</v>
      </c>
      <c r="D449" s="11">
        <v>387686.0</v>
      </c>
      <c r="E449" s="196">
        <v>79623.87</v>
      </c>
      <c r="F449" s="11">
        <v>6.0</v>
      </c>
      <c r="G449" s="11">
        <v>62.0</v>
      </c>
    </row>
    <row r="450">
      <c r="A450" s="11">
        <v>2.0</v>
      </c>
      <c r="B450" s="16">
        <v>2.0</v>
      </c>
      <c r="C450" s="195">
        <v>-17707.83</v>
      </c>
      <c r="D450" s="11">
        <v>193099.0</v>
      </c>
      <c r="E450" s="196">
        <v>17776.27</v>
      </c>
      <c r="F450" s="11">
        <v>5.0</v>
      </c>
      <c r="G450" s="11">
        <v>61.0</v>
      </c>
    </row>
    <row r="451">
      <c r="A451" s="11">
        <v>7.0</v>
      </c>
      <c r="B451" s="16">
        <v>2.0</v>
      </c>
      <c r="C451" s="195">
        <v>-8740.09</v>
      </c>
      <c r="D451" s="11">
        <v>148743.0</v>
      </c>
      <c r="E451" s="196">
        <v>71979.16</v>
      </c>
      <c r="F451" s="11">
        <v>3.0</v>
      </c>
      <c r="G451" s="11">
        <v>96.0</v>
      </c>
    </row>
    <row r="452">
      <c r="A452" s="11">
        <v>3.0</v>
      </c>
      <c r="B452" s="16">
        <v>4.0</v>
      </c>
      <c r="C452" s="195">
        <v>-35422.24</v>
      </c>
      <c r="D452" s="11">
        <v>616049.0</v>
      </c>
      <c r="E452" s="196">
        <v>19176.73</v>
      </c>
      <c r="F452" s="11">
        <v>5.0</v>
      </c>
      <c r="G452" s="11">
        <v>71.0</v>
      </c>
    </row>
    <row r="453">
      <c r="A453" s="11">
        <v>1.0</v>
      </c>
      <c r="B453" s="16">
        <v>3.0</v>
      </c>
      <c r="C453" s="195">
        <v>43746.48</v>
      </c>
      <c r="D453" s="11">
        <v>502024.0</v>
      </c>
      <c r="E453" s="196">
        <v>-32035.69</v>
      </c>
      <c r="F453" s="11">
        <v>6.0</v>
      </c>
      <c r="G453" s="11">
        <v>57.0</v>
      </c>
    </row>
    <row r="454">
      <c r="A454" s="11">
        <v>1.0</v>
      </c>
      <c r="B454" s="16">
        <v>2.0</v>
      </c>
      <c r="C454" s="195">
        <v>-30259.53</v>
      </c>
      <c r="D454" s="11">
        <v>111151.0</v>
      </c>
      <c r="E454" s="196">
        <v>-98425.29</v>
      </c>
      <c r="F454" s="11">
        <v>1.0</v>
      </c>
      <c r="G454" s="11">
        <v>96.0</v>
      </c>
    </row>
    <row r="455">
      <c r="A455" s="11">
        <v>3.0</v>
      </c>
      <c r="B455" s="16">
        <v>8.0</v>
      </c>
      <c r="C455" s="195">
        <v>18633.31</v>
      </c>
      <c r="D455" s="11">
        <v>143863.0</v>
      </c>
      <c r="E455" s="196">
        <v>-14318.83</v>
      </c>
      <c r="F455" s="11">
        <v>6.0</v>
      </c>
      <c r="G455" s="11">
        <v>66.0</v>
      </c>
    </row>
    <row r="456">
      <c r="A456" s="11">
        <v>1.0</v>
      </c>
      <c r="B456" s="16">
        <v>3.0</v>
      </c>
      <c r="C456" s="195">
        <v>59592.89</v>
      </c>
      <c r="D456" s="11">
        <v>893782.0</v>
      </c>
      <c r="E456" s="196">
        <v>68274.76</v>
      </c>
      <c r="F456" s="11">
        <v>4.0</v>
      </c>
      <c r="G456" s="11">
        <v>48.0</v>
      </c>
    </row>
    <row r="457">
      <c r="A457" s="11">
        <v>3.0</v>
      </c>
      <c r="B457" s="16">
        <v>5.0</v>
      </c>
      <c r="C457" s="195">
        <v>5129.75</v>
      </c>
      <c r="D457" s="11">
        <v>857428.0</v>
      </c>
      <c r="E457" s="196">
        <v>-47580.76</v>
      </c>
      <c r="F457" s="11">
        <v>1.0</v>
      </c>
      <c r="G457" s="11">
        <v>90.0</v>
      </c>
    </row>
    <row r="458">
      <c r="A458" s="11">
        <v>2.0</v>
      </c>
      <c r="B458" s="16">
        <v>9.0</v>
      </c>
      <c r="C458" s="195">
        <v>-8215.1</v>
      </c>
      <c r="D458" s="11">
        <v>503869.0</v>
      </c>
      <c r="E458" s="196">
        <v>71778.09</v>
      </c>
      <c r="F458" s="11">
        <v>4.0</v>
      </c>
      <c r="G458" s="11">
        <v>67.0</v>
      </c>
    </row>
    <row r="459">
      <c r="A459" s="11">
        <v>1.0</v>
      </c>
      <c r="B459" s="16">
        <v>1.0</v>
      </c>
      <c r="C459" s="195">
        <v>966.34</v>
      </c>
      <c r="D459" s="11">
        <v>506074.0</v>
      </c>
      <c r="E459" s="196">
        <v>33400.36</v>
      </c>
      <c r="F459" s="11">
        <v>6.0</v>
      </c>
      <c r="G459" s="11">
        <v>63.0</v>
      </c>
    </row>
    <row r="460">
      <c r="A460" s="11">
        <v>4.0</v>
      </c>
      <c r="B460" s="16">
        <v>8.0</v>
      </c>
      <c r="C460" s="195">
        <v>2098.95</v>
      </c>
      <c r="D460" s="11">
        <v>707807.0</v>
      </c>
      <c r="E460" s="196">
        <v>-19422.72</v>
      </c>
      <c r="F460" s="11">
        <v>9.0</v>
      </c>
      <c r="G460" s="11">
        <v>80.0</v>
      </c>
    </row>
    <row r="461">
      <c r="A461" s="11">
        <v>9.0</v>
      </c>
      <c r="B461" s="16">
        <v>1.0</v>
      </c>
      <c r="C461" s="195">
        <v>-10946.58</v>
      </c>
      <c r="D461" s="11">
        <v>899143.0</v>
      </c>
      <c r="E461" s="196">
        <v>-93861.33</v>
      </c>
      <c r="F461" s="11">
        <v>8.0</v>
      </c>
      <c r="G461" s="11">
        <v>60.0</v>
      </c>
    </row>
    <row r="462">
      <c r="A462" s="11">
        <v>6.0</v>
      </c>
      <c r="B462" s="16">
        <v>8.0</v>
      </c>
      <c r="C462" s="195">
        <v>-37940.21</v>
      </c>
      <c r="D462" s="11">
        <v>125983.0</v>
      </c>
      <c r="E462" s="196">
        <v>-90288.58</v>
      </c>
      <c r="F462" s="11">
        <v>4.0</v>
      </c>
      <c r="G462" s="11">
        <v>30.0</v>
      </c>
    </row>
    <row r="463">
      <c r="A463" s="11">
        <v>6.0</v>
      </c>
      <c r="B463" s="16">
        <v>5.0</v>
      </c>
      <c r="C463" s="195">
        <v>-48286.62</v>
      </c>
      <c r="D463" s="11">
        <v>331786.0</v>
      </c>
      <c r="E463" s="196">
        <v>5398.1</v>
      </c>
      <c r="F463" s="11">
        <v>4.0</v>
      </c>
      <c r="G463" s="11">
        <v>92.0</v>
      </c>
    </row>
    <row r="464">
      <c r="A464" s="11">
        <v>6.0</v>
      </c>
      <c r="B464" s="16">
        <v>4.0</v>
      </c>
      <c r="C464" s="195">
        <v>91662.86</v>
      </c>
      <c r="D464" s="11">
        <v>921814.0</v>
      </c>
      <c r="E464" s="196">
        <v>-72496.51</v>
      </c>
      <c r="F464" s="11">
        <v>7.0</v>
      </c>
      <c r="G464" s="11">
        <v>81.0</v>
      </c>
    </row>
    <row r="465">
      <c r="A465" s="11">
        <v>4.0</v>
      </c>
      <c r="B465" s="16">
        <v>3.0</v>
      </c>
      <c r="C465" s="195">
        <v>17571.21</v>
      </c>
      <c r="D465" s="11">
        <v>705852.0</v>
      </c>
      <c r="E465" s="196">
        <v>87554.06</v>
      </c>
      <c r="F465" s="11">
        <v>2.0</v>
      </c>
      <c r="G465" s="11">
        <v>94.0</v>
      </c>
    </row>
    <row r="466">
      <c r="A466" s="11">
        <v>4.0</v>
      </c>
      <c r="B466" s="16">
        <v>9.0</v>
      </c>
      <c r="C466" s="195">
        <v>83365.89</v>
      </c>
      <c r="D466" s="11">
        <v>934392.0</v>
      </c>
      <c r="E466" s="196">
        <v>-45143.85</v>
      </c>
      <c r="F466" s="11">
        <v>8.0</v>
      </c>
      <c r="G466" s="11">
        <v>49.0</v>
      </c>
    </row>
    <row r="467">
      <c r="A467" s="11">
        <v>1.0</v>
      </c>
      <c r="B467" s="16">
        <v>5.0</v>
      </c>
      <c r="C467" s="195">
        <v>79763.59</v>
      </c>
      <c r="D467" s="11">
        <v>663332.0</v>
      </c>
      <c r="E467" s="196">
        <v>-74810.63</v>
      </c>
      <c r="F467" s="11">
        <v>8.0</v>
      </c>
      <c r="G467" s="11">
        <v>37.0</v>
      </c>
    </row>
    <row r="468">
      <c r="A468" s="11">
        <v>7.0</v>
      </c>
      <c r="B468" s="16">
        <v>1.0</v>
      </c>
      <c r="C468" s="195">
        <v>87046.98</v>
      </c>
      <c r="D468" s="11">
        <v>472669.0</v>
      </c>
      <c r="E468" s="196">
        <v>-83587.54</v>
      </c>
      <c r="F468" s="11">
        <v>1.0</v>
      </c>
      <c r="G468" s="11">
        <v>95.0</v>
      </c>
    </row>
    <row r="469">
      <c r="A469" s="11">
        <v>7.0</v>
      </c>
      <c r="B469" s="16">
        <v>9.0</v>
      </c>
      <c r="C469" s="195">
        <v>15921.33</v>
      </c>
      <c r="D469" s="11">
        <v>944131.0</v>
      </c>
      <c r="E469" s="196">
        <v>65572.56</v>
      </c>
      <c r="F469" s="11">
        <v>9.0</v>
      </c>
      <c r="G469" s="11">
        <v>28.0</v>
      </c>
    </row>
    <row r="470">
      <c r="A470" s="11">
        <v>5.0</v>
      </c>
      <c r="B470" s="16">
        <v>4.0</v>
      </c>
      <c r="C470" s="195">
        <v>-66864.19</v>
      </c>
      <c r="D470" s="11">
        <v>362943.0</v>
      </c>
      <c r="E470" s="196">
        <v>19623.64</v>
      </c>
      <c r="F470" s="11">
        <v>1.0</v>
      </c>
      <c r="G470" s="11">
        <v>18.0</v>
      </c>
    </row>
    <row r="471">
      <c r="A471" s="11">
        <v>4.0</v>
      </c>
      <c r="B471" s="16">
        <v>5.0</v>
      </c>
      <c r="C471" s="195">
        <v>53636.55</v>
      </c>
      <c r="D471" s="11">
        <v>341553.0</v>
      </c>
      <c r="E471" s="196">
        <v>55471.03</v>
      </c>
      <c r="F471" s="11">
        <v>7.0</v>
      </c>
      <c r="G471" s="11">
        <v>47.0</v>
      </c>
    </row>
    <row r="472">
      <c r="A472" s="11">
        <v>9.0</v>
      </c>
      <c r="B472" s="16">
        <v>1.0</v>
      </c>
      <c r="C472" s="195">
        <v>-19836.94</v>
      </c>
      <c r="D472" s="11">
        <v>494392.0</v>
      </c>
      <c r="E472" s="196">
        <v>40744.35</v>
      </c>
      <c r="F472" s="11">
        <v>4.0</v>
      </c>
      <c r="G472" s="11">
        <v>97.0</v>
      </c>
    </row>
    <row r="473">
      <c r="A473" s="11">
        <v>6.0</v>
      </c>
      <c r="B473" s="16">
        <v>1.0</v>
      </c>
      <c r="C473" s="195">
        <v>-83723.63</v>
      </c>
      <c r="D473" s="11">
        <v>266834.0</v>
      </c>
      <c r="E473" s="196">
        <v>-13539.89</v>
      </c>
      <c r="F473" s="11">
        <v>5.0</v>
      </c>
      <c r="G473" s="11">
        <v>34.0</v>
      </c>
    </row>
    <row r="474">
      <c r="A474" s="11">
        <v>4.0</v>
      </c>
      <c r="B474" s="16">
        <v>8.0</v>
      </c>
      <c r="C474" s="195">
        <v>90890.14</v>
      </c>
      <c r="D474" s="11">
        <v>206729.0</v>
      </c>
      <c r="E474" s="196">
        <v>40156.28</v>
      </c>
      <c r="F474" s="11">
        <v>7.0</v>
      </c>
      <c r="G474" s="11">
        <v>37.0</v>
      </c>
    </row>
    <row r="475">
      <c r="A475" s="11">
        <v>1.0</v>
      </c>
      <c r="B475" s="16">
        <v>2.0</v>
      </c>
      <c r="C475" s="195">
        <v>10670.6</v>
      </c>
      <c r="D475" s="11">
        <v>512713.0</v>
      </c>
      <c r="E475" s="196">
        <v>20799.13</v>
      </c>
      <c r="F475" s="11">
        <v>7.0</v>
      </c>
      <c r="G475" s="11">
        <v>41.0</v>
      </c>
    </row>
    <row r="476">
      <c r="A476" s="11">
        <v>1.0</v>
      </c>
      <c r="B476" s="16">
        <v>9.0</v>
      </c>
      <c r="C476" s="195">
        <v>92449.65</v>
      </c>
      <c r="D476" s="11">
        <v>944454.0</v>
      </c>
      <c r="E476" s="196">
        <v>-28756.25</v>
      </c>
      <c r="F476" s="11">
        <v>1.0</v>
      </c>
      <c r="G476" s="11">
        <v>96.0</v>
      </c>
    </row>
    <row r="477">
      <c r="A477" s="11">
        <v>8.0</v>
      </c>
      <c r="B477" s="16">
        <v>3.0</v>
      </c>
      <c r="C477" s="195">
        <v>-66369.94</v>
      </c>
      <c r="D477" s="11">
        <v>303140.0</v>
      </c>
      <c r="E477" s="196">
        <v>1711.81</v>
      </c>
      <c r="F477" s="11">
        <v>8.0</v>
      </c>
      <c r="G477" s="11">
        <v>28.0</v>
      </c>
    </row>
    <row r="478">
      <c r="A478" s="11">
        <v>7.0</v>
      </c>
      <c r="B478" s="16">
        <v>9.0</v>
      </c>
      <c r="C478" s="195">
        <v>-1297.73</v>
      </c>
      <c r="D478" s="11">
        <v>874608.0</v>
      </c>
      <c r="E478" s="196">
        <v>24950.04</v>
      </c>
      <c r="F478" s="11">
        <v>5.0</v>
      </c>
      <c r="G478" s="11">
        <v>54.0</v>
      </c>
    </row>
    <row r="479">
      <c r="A479" s="11">
        <v>6.0</v>
      </c>
      <c r="B479" s="16">
        <v>6.0</v>
      </c>
      <c r="C479" s="195">
        <v>6077.56</v>
      </c>
      <c r="D479" s="11">
        <v>643436.0</v>
      </c>
      <c r="E479" s="196">
        <v>-21979.3</v>
      </c>
      <c r="F479" s="11">
        <v>3.0</v>
      </c>
      <c r="G479" s="11">
        <v>77.0</v>
      </c>
    </row>
    <row r="480">
      <c r="A480" s="11">
        <v>9.0</v>
      </c>
      <c r="B480" s="16">
        <v>9.0</v>
      </c>
      <c r="C480" s="195">
        <v>-90770.88</v>
      </c>
      <c r="D480" s="11">
        <v>334685.0</v>
      </c>
      <c r="E480" s="196">
        <v>-48200.57</v>
      </c>
      <c r="F480" s="11">
        <v>6.0</v>
      </c>
      <c r="G480" s="11">
        <v>79.0</v>
      </c>
    </row>
    <row r="481">
      <c r="A481" s="11">
        <v>8.0</v>
      </c>
      <c r="B481" s="16">
        <v>8.0</v>
      </c>
      <c r="C481" s="195">
        <v>-21620.85</v>
      </c>
      <c r="D481" s="11">
        <v>935705.0</v>
      </c>
      <c r="E481" s="196">
        <v>28795.12</v>
      </c>
      <c r="F481" s="11">
        <v>2.0</v>
      </c>
      <c r="G481" s="11">
        <v>88.0</v>
      </c>
    </row>
    <row r="482">
      <c r="A482" s="11">
        <v>6.0</v>
      </c>
      <c r="B482" s="16">
        <v>9.0</v>
      </c>
      <c r="C482" s="195">
        <v>56931.78</v>
      </c>
      <c r="D482" s="11">
        <v>259407.0</v>
      </c>
      <c r="E482" s="196">
        <v>96203.95</v>
      </c>
      <c r="F482" s="11">
        <v>8.0</v>
      </c>
      <c r="G482" s="11">
        <v>17.0</v>
      </c>
    </row>
    <row r="483">
      <c r="A483" s="11">
        <v>5.0</v>
      </c>
      <c r="B483" s="16">
        <v>7.0</v>
      </c>
      <c r="C483" s="195">
        <v>88117.29</v>
      </c>
      <c r="D483" s="11">
        <v>628294.0</v>
      </c>
      <c r="E483" s="196">
        <v>34165.47</v>
      </c>
      <c r="F483" s="11">
        <v>7.0</v>
      </c>
      <c r="G483" s="11">
        <v>93.0</v>
      </c>
    </row>
    <row r="484">
      <c r="A484" s="11">
        <v>1.0</v>
      </c>
      <c r="B484" s="16">
        <v>5.0</v>
      </c>
      <c r="C484" s="195">
        <v>78180.05</v>
      </c>
      <c r="D484" s="11">
        <v>433509.0</v>
      </c>
      <c r="E484" s="196">
        <v>36936.27</v>
      </c>
      <c r="F484" s="11">
        <v>3.0</v>
      </c>
      <c r="G484" s="11">
        <v>27.0</v>
      </c>
    </row>
    <row r="485">
      <c r="A485" s="11">
        <v>8.0</v>
      </c>
      <c r="B485" s="16">
        <v>2.0</v>
      </c>
      <c r="C485" s="195">
        <v>-39013.47</v>
      </c>
      <c r="D485" s="11">
        <v>343091.0</v>
      </c>
      <c r="E485" s="196">
        <v>-62657.79</v>
      </c>
      <c r="F485" s="11">
        <v>6.0</v>
      </c>
      <c r="G485" s="11">
        <v>40.0</v>
      </c>
    </row>
    <row r="486">
      <c r="A486" s="11">
        <v>8.0</v>
      </c>
      <c r="B486" s="16">
        <v>2.0</v>
      </c>
      <c r="C486" s="195">
        <v>-79625.27</v>
      </c>
      <c r="D486" s="11">
        <v>852805.0</v>
      </c>
      <c r="E486" s="196">
        <v>35394.53</v>
      </c>
      <c r="F486" s="11">
        <v>9.0</v>
      </c>
      <c r="G486" s="11">
        <v>82.0</v>
      </c>
    </row>
    <row r="487">
      <c r="A487" s="11">
        <v>2.0</v>
      </c>
      <c r="B487" s="16">
        <v>6.0</v>
      </c>
      <c r="C487" s="195">
        <v>-11535.91</v>
      </c>
      <c r="D487" s="11">
        <v>293644.0</v>
      </c>
      <c r="E487" s="196">
        <v>72043.89</v>
      </c>
      <c r="F487" s="11">
        <v>3.0</v>
      </c>
      <c r="G487" s="11">
        <v>65.0</v>
      </c>
    </row>
    <row r="488">
      <c r="A488" s="11">
        <v>2.0</v>
      </c>
      <c r="B488" s="16">
        <v>2.0</v>
      </c>
      <c r="C488" s="195">
        <v>2996.39</v>
      </c>
      <c r="D488" s="11">
        <v>587732.0</v>
      </c>
      <c r="E488" s="196">
        <v>-87360.12</v>
      </c>
      <c r="F488" s="11">
        <v>7.0</v>
      </c>
      <c r="G488" s="11">
        <v>19.0</v>
      </c>
    </row>
    <row r="489">
      <c r="A489" s="11">
        <v>1.0</v>
      </c>
      <c r="B489" s="16">
        <v>2.0</v>
      </c>
      <c r="C489" s="195">
        <v>-35218.86</v>
      </c>
      <c r="D489" s="11">
        <v>153985.0</v>
      </c>
      <c r="E489" s="196">
        <v>-64608.3</v>
      </c>
      <c r="F489" s="11">
        <v>5.0</v>
      </c>
      <c r="G489" s="11">
        <v>38.0</v>
      </c>
    </row>
    <row r="490">
      <c r="A490" s="11">
        <v>8.0</v>
      </c>
      <c r="B490" s="16">
        <v>6.0</v>
      </c>
      <c r="C490" s="195">
        <v>-36435.95</v>
      </c>
      <c r="D490" s="11">
        <v>724125.0</v>
      </c>
      <c r="E490" s="196">
        <v>21972.42</v>
      </c>
      <c r="F490" s="11">
        <v>5.0</v>
      </c>
      <c r="G490" s="11">
        <v>84.0</v>
      </c>
    </row>
    <row r="491">
      <c r="A491" s="11">
        <v>8.0</v>
      </c>
      <c r="B491" s="16">
        <v>2.0</v>
      </c>
      <c r="C491" s="195">
        <v>86284.11</v>
      </c>
      <c r="D491" s="11">
        <v>304751.0</v>
      </c>
      <c r="E491" s="196">
        <v>-97443.39</v>
      </c>
      <c r="F491" s="11">
        <v>9.0</v>
      </c>
      <c r="G491" s="11">
        <v>61.0</v>
      </c>
    </row>
    <row r="492">
      <c r="A492" s="11">
        <v>3.0</v>
      </c>
      <c r="B492" s="16">
        <v>1.0</v>
      </c>
      <c r="C492" s="195">
        <v>-86143.73</v>
      </c>
      <c r="D492" s="11">
        <v>191149.0</v>
      </c>
      <c r="E492" s="196">
        <v>-58552.2</v>
      </c>
      <c r="F492" s="11">
        <v>3.0</v>
      </c>
      <c r="G492" s="11">
        <v>55.0</v>
      </c>
    </row>
    <row r="493">
      <c r="A493" s="11">
        <v>5.0</v>
      </c>
      <c r="B493" s="16">
        <v>8.0</v>
      </c>
      <c r="C493" s="195">
        <v>47130.03</v>
      </c>
      <c r="D493" s="11">
        <v>855759.0</v>
      </c>
      <c r="E493" s="196">
        <v>51862.07</v>
      </c>
      <c r="F493" s="11">
        <v>6.0</v>
      </c>
      <c r="G493" s="11">
        <v>75.0</v>
      </c>
    </row>
    <row r="494">
      <c r="A494" s="11">
        <v>2.0</v>
      </c>
      <c r="B494" s="16">
        <v>8.0</v>
      </c>
      <c r="C494" s="195">
        <v>-69495.94</v>
      </c>
      <c r="D494" s="11">
        <v>880573.0</v>
      </c>
      <c r="E494" s="196">
        <v>-98353.64</v>
      </c>
      <c r="F494" s="11">
        <v>1.0</v>
      </c>
      <c r="G494" s="11">
        <v>73.0</v>
      </c>
    </row>
    <row r="495">
      <c r="A495" s="11">
        <v>8.0</v>
      </c>
      <c r="B495" s="16">
        <v>3.0</v>
      </c>
      <c r="C495" s="195">
        <v>17000.86</v>
      </c>
      <c r="D495" s="11">
        <v>813307.0</v>
      </c>
      <c r="E495" s="196">
        <v>50223.83</v>
      </c>
      <c r="F495" s="11">
        <v>2.0</v>
      </c>
      <c r="G495" s="11">
        <v>89.0</v>
      </c>
    </row>
    <row r="496">
      <c r="A496" s="11">
        <v>6.0</v>
      </c>
      <c r="B496" s="16">
        <v>4.0</v>
      </c>
      <c r="C496" s="195">
        <v>-22934.03</v>
      </c>
      <c r="D496" s="11">
        <v>290045.0</v>
      </c>
      <c r="E496" s="196">
        <v>-3513.25</v>
      </c>
      <c r="F496" s="11">
        <v>6.0</v>
      </c>
      <c r="G496" s="11">
        <v>98.0</v>
      </c>
    </row>
    <row r="497">
      <c r="A497" s="11">
        <v>7.0</v>
      </c>
      <c r="B497" s="16">
        <v>6.0</v>
      </c>
      <c r="C497" s="195">
        <v>-6226.73</v>
      </c>
      <c r="D497" s="11">
        <v>200230.0</v>
      </c>
      <c r="E497" s="196">
        <v>64926.17</v>
      </c>
      <c r="F497" s="11">
        <v>1.0</v>
      </c>
      <c r="G497" s="11">
        <v>25.0</v>
      </c>
    </row>
    <row r="498">
      <c r="A498" s="11">
        <v>5.0</v>
      </c>
      <c r="B498" s="16">
        <v>8.0</v>
      </c>
      <c r="C498" s="195">
        <v>50717.9</v>
      </c>
      <c r="D498" s="11">
        <v>849154.0</v>
      </c>
      <c r="E498" s="196">
        <v>-64387.12</v>
      </c>
      <c r="F498" s="11">
        <v>6.0</v>
      </c>
      <c r="G498" s="11">
        <v>33.0</v>
      </c>
    </row>
    <row r="499">
      <c r="A499" s="11">
        <v>2.0</v>
      </c>
      <c r="B499" s="16">
        <v>3.0</v>
      </c>
      <c r="C499" s="195">
        <v>84391.61</v>
      </c>
      <c r="D499" s="11">
        <v>832039.0</v>
      </c>
      <c r="E499" s="196">
        <v>25741.36</v>
      </c>
      <c r="F499" s="11">
        <v>7.0</v>
      </c>
      <c r="G499" s="11">
        <v>33.0</v>
      </c>
    </row>
    <row r="500">
      <c r="A500" s="11">
        <v>3.0</v>
      </c>
      <c r="B500" s="16">
        <v>1.0</v>
      </c>
      <c r="C500" s="195">
        <v>35102.16</v>
      </c>
      <c r="D500" s="11">
        <v>697560.0</v>
      </c>
      <c r="E500" s="196">
        <v>-10901.54</v>
      </c>
      <c r="F500" s="11">
        <v>2.0</v>
      </c>
      <c r="G500" s="11">
        <v>19.0</v>
      </c>
    </row>
    <row r="501">
      <c r="A501" s="11">
        <v>8.0</v>
      </c>
      <c r="B501" s="16">
        <v>7.0</v>
      </c>
      <c r="C501" s="195">
        <v>-29959.3</v>
      </c>
      <c r="D501" s="11">
        <v>526284.0</v>
      </c>
      <c r="E501" s="196">
        <v>-73220.04</v>
      </c>
      <c r="F501" s="11">
        <v>2.0</v>
      </c>
      <c r="G501" s="11">
        <v>69.0</v>
      </c>
    </row>
    <row r="502">
      <c r="A502" s="11">
        <v>7.0</v>
      </c>
      <c r="B502" s="16">
        <v>4.0</v>
      </c>
      <c r="C502" s="195">
        <v>-33326.11</v>
      </c>
      <c r="D502" s="11">
        <v>685143.0</v>
      </c>
      <c r="E502" s="196">
        <v>-42598.07</v>
      </c>
      <c r="F502" s="11">
        <v>2.0</v>
      </c>
      <c r="G502" s="11">
        <v>44.0</v>
      </c>
    </row>
    <row r="503">
      <c r="A503" s="11">
        <v>8.0</v>
      </c>
      <c r="B503" s="16">
        <v>2.0</v>
      </c>
      <c r="C503" s="195">
        <v>91229.34</v>
      </c>
      <c r="D503" s="11">
        <v>209208.0</v>
      </c>
      <c r="E503" s="196">
        <v>-56959.95</v>
      </c>
      <c r="F503" s="11">
        <v>4.0</v>
      </c>
      <c r="G503" s="11">
        <v>84.0</v>
      </c>
    </row>
    <row r="504">
      <c r="A504" s="11">
        <v>5.0</v>
      </c>
      <c r="B504" s="16">
        <v>3.0</v>
      </c>
      <c r="C504" s="195">
        <v>-24076.49</v>
      </c>
      <c r="D504" s="11">
        <v>472708.0</v>
      </c>
      <c r="E504" s="196">
        <v>-26695.62</v>
      </c>
      <c r="F504" s="11">
        <v>7.0</v>
      </c>
      <c r="G504" s="11">
        <v>44.0</v>
      </c>
    </row>
    <row r="505">
      <c r="A505" s="11">
        <v>7.0</v>
      </c>
      <c r="B505" s="16">
        <v>5.0</v>
      </c>
      <c r="C505" s="195">
        <v>81105.59</v>
      </c>
      <c r="D505" s="11">
        <v>591074.0</v>
      </c>
      <c r="E505" s="196">
        <v>34478.09</v>
      </c>
      <c r="F505" s="11">
        <v>8.0</v>
      </c>
      <c r="G505" s="11">
        <v>67.0</v>
      </c>
    </row>
    <row r="506">
      <c r="A506" s="11">
        <v>1.0</v>
      </c>
      <c r="B506" s="16">
        <v>3.0</v>
      </c>
      <c r="C506" s="195">
        <v>-13122.93</v>
      </c>
      <c r="D506" s="11">
        <v>460014.0</v>
      </c>
      <c r="E506" s="196">
        <v>72516.47</v>
      </c>
      <c r="F506" s="11">
        <v>2.0</v>
      </c>
      <c r="G506" s="11">
        <v>20.0</v>
      </c>
    </row>
    <row r="507">
      <c r="A507" s="11">
        <v>1.0</v>
      </c>
      <c r="B507" s="16">
        <v>9.0</v>
      </c>
      <c r="C507" s="195">
        <v>-62744.22</v>
      </c>
      <c r="D507" s="11">
        <v>481697.0</v>
      </c>
      <c r="E507" s="196">
        <v>-51601.8</v>
      </c>
      <c r="F507" s="11">
        <v>6.0</v>
      </c>
      <c r="G507" s="11">
        <v>63.0</v>
      </c>
    </row>
    <row r="508">
      <c r="A508" s="11">
        <v>9.0</v>
      </c>
      <c r="B508" s="16">
        <v>1.0</v>
      </c>
      <c r="C508" s="195">
        <v>16917.31</v>
      </c>
      <c r="D508" s="11">
        <v>365988.0</v>
      </c>
      <c r="E508" s="196">
        <v>58580.92</v>
      </c>
      <c r="F508" s="11">
        <v>4.0</v>
      </c>
      <c r="G508" s="11">
        <v>68.0</v>
      </c>
    </row>
    <row r="509">
      <c r="A509" s="11">
        <v>3.0</v>
      </c>
      <c r="B509" s="16">
        <v>6.0</v>
      </c>
      <c r="C509" s="195">
        <v>19006.7</v>
      </c>
      <c r="D509" s="11">
        <v>567003.0</v>
      </c>
      <c r="E509" s="196">
        <v>-38075.12</v>
      </c>
      <c r="F509" s="11">
        <v>9.0</v>
      </c>
      <c r="G509" s="11">
        <v>86.0</v>
      </c>
    </row>
    <row r="510">
      <c r="A510" s="11">
        <v>1.0</v>
      </c>
      <c r="B510" s="16">
        <v>1.0</v>
      </c>
      <c r="C510" s="195">
        <v>-15290.02</v>
      </c>
      <c r="D510" s="11">
        <v>313044.0</v>
      </c>
      <c r="E510" s="196">
        <v>9222.62</v>
      </c>
      <c r="F510" s="11">
        <v>7.0</v>
      </c>
      <c r="G510" s="11">
        <v>33.0</v>
      </c>
    </row>
    <row r="511">
      <c r="A511" s="11">
        <v>8.0</v>
      </c>
      <c r="B511" s="16">
        <v>8.0</v>
      </c>
      <c r="C511" s="195">
        <v>32982.75</v>
      </c>
      <c r="D511" s="11">
        <v>783211.0</v>
      </c>
      <c r="E511" s="196">
        <v>-57992.85</v>
      </c>
      <c r="F511" s="11">
        <v>9.0</v>
      </c>
      <c r="G511" s="11">
        <v>17.0</v>
      </c>
    </row>
    <row r="512">
      <c r="A512" s="11">
        <v>6.0</v>
      </c>
      <c r="B512" s="16">
        <v>6.0</v>
      </c>
      <c r="C512" s="195">
        <v>99562.1</v>
      </c>
      <c r="D512" s="11">
        <v>955052.0</v>
      </c>
      <c r="E512" s="196">
        <v>97952.65</v>
      </c>
      <c r="F512" s="11">
        <v>4.0</v>
      </c>
      <c r="G512" s="11">
        <v>21.0</v>
      </c>
    </row>
    <row r="513">
      <c r="A513" s="11">
        <v>2.0</v>
      </c>
      <c r="B513" s="16">
        <v>7.0</v>
      </c>
      <c r="C513" s="195">
        <v>4802.31</v>
      </c>
      <c r="D513" s="11">
        <v>417069.0</v>
      </c>
      <c r="E513" s="196">
        <v>5659.63</v>
      </c>
      <c r="F513" s="11">
        <v>1.0</v>
      </c>
      <c r="G513" s="11">
        <v>53.0</v>
      </c>
    </row>
    <row r="514">
      <c r="A514" s="11">
        <v>6.0</v>
      </c>
      <c r="B514" s="16">
        <v>7.0</v>
      </c>
      <c r="C514" s="195">
        <v>4603.41</v>
      </c>
      <c r="D514" s="11">
        <v>838191.0</v>
      </c>
      <c r="E514" s="196">
        <v>-18726.69</v>
      </c>
      <c r="F514" s="11">
        <v>5.0</v>
      </c>
      <c r="G514" s="11">
        <v>55.0</v>
      </c>
    </row>
    <row r="515">
      <c r="A515" s="11">
        <v>4.0</v>
      </c>
      <c r="B515" s="16">
        <v>2.0</v>
      </c>
      <c r="C515" s="195">
        <v>-72876.07</v>
      </c>
      <c r="D515" s="11">
        <v>404345.0</v>
      </c>
      <c r="E515" s="196">
        <v>13763.43</v>
      </c>
      <c r="F515" s="11">
        <v>3.0</v>
      </c>
      <c r="G515" s="11">
        <v>29.0</v>
      </c>
    </row>
    <row r="516">
      <c r="A516" s="11">
        <v>2.0</v>
      </c>
      <c r="B516" s="16">
        <v>2.0</v>
      </c>
      <c r="C516" s="195">
        <v>-51900.14</v>
      </c>
      <c r="D516" s="11">
        <v>664134.0</v>
      </c>
      <c r="E516" s="196">
        <v>-29446.06</v>
      </c>
      <c r="F516" s="11">
        <v>6.0</v>
      </c>
      <c r="G516" s="11">
        <v>64.0</v>
      </c>
    </row>
    <row r="517">
      <c r="A517" s="11">
        <v>5.0</v>
      </c>
      <c r="B517" s="16">
        <v>8.0</v>
      </c>
      <c r="C517" s="195">
        <v>-16105.64</v>
      </c>
      <c r="D517" s="11">
        <v>676237.0</v>
      </c>
      <c r="E517" s="196">
        <v>24876.3</v>
      </c>
      <c r="F517" s="11">
        <v>7.0</v>
      </c>
      <c r="G517" s="11">
        <v>52.0</v>
      </c>
    </row>
    <row r="518">
      <c r="A518" s="11">
        <v>1.0</v>
      </c>
      <c r="B518" s="16">
        <v>2.0</v>
      </c>
      <c r="C518" s="195">
        <v>-30108.84</v>
      </c>
      <c r="D518" s="11">
        <v>886447.0</v>
      </c>
      <c r="E518" s="196">
        <v>-14591.34</v>
      </c>
      <c r="F518" s="11">
        <v>1.0</v>
      </c>
      <c r="G518" s="11">
        <v>57.0</v>
      </c>
    </row>
    <row r="519">
      <c r="A519" s="11">
        <v>7.0</v>
      </c>
      <c r="B519" s="16">
        <v>6.0</v>
      </c>
      <c r="C519" s="195">
        <v>49814.24</v>
      </c>
      <c r="D519" s="11">
        <v>762834.0</v>
      </c>
      <c r="E519" s="196">
        <v>-84641.88</v>
      </c>
      <c r="F519" s="11">
        <v>3.0</v>
      </c>
      <c r="G519" s="11">
        <v>59.0</v>
      </c>
    </row>
    <row r="520">
      <c r="A520" s="11">
        <v>4.0</v>
      </c>
      <c r="B520" s="16">
        <v>3.0</v>
      </c>
      <c r="C520" s="195">
        <v>9636.93</v>
      </c>
      <c r="D520" s="11">
        <v>374352.0</v>
      </c>
      <c r="E520" s="196">
        <v>68083.92</v>
      </c>
      <c r="F520" s="11">
        <v>8.0</v>
      </c>
      <c r="G520" s="11">
        <v>32.0</v>
      </c>
    </row>
    <row r="521">
      <c r="A521" s="11">
        <v>5.0</v>
      </c>
      <c r="B521" s="16">
        <v>7.0</v>
      </c>
      <c r="C521" s="195">
        <v>39184.07</v>
      </c>
      <c r="D521" s="11">
        <v>815171.0</v>
      </c>
      <c r="E521" s="196">
        <v>-98095.93</v>
      </c>
      <c r="F521" s="11">
        <v>2.0</v>
      </c>
      <c r="G521" s="11">
        <v>40.0</v>
      </c>
    </row>
    <row r="522">
      <c r="A522" s="11">
        <v>3.0</v>
      </c>
      <c r="B522" s="16">
        <v>4.0</v>
      </c>
      <c r="C522" s="195">
        <v>-93778.28</v>
      </c>
      <c r="D522" s="11">
        <v>252989.0</v>
      </c>
      <c r="E522" s="196">
        <v>31778.01</v>
      </c>
      <c r="F522" s="11">
        <v>7.0</v>
      </c>
      <c r="G522" s="11">
        <v>26.0</v>
      </c>
    </row>
    <row r="523">
      <c r="A523" s="11">
        <v>9.0</v>
      </c>
      <c r="B523" s="16">
        <v>9.0</v>
      </c>
      <c r="C523" s="195">
        <v>-19383.65</v>
      </c>
      <c r="D523" s="11">
        <v>677308.0</v>
      </c>
      <c r="E523" s="196">
        <v>-40665.44</v>
      </c>
      <c r="F523" s="11">
        <v>5.0</v>
      </c>
      <c r="G523" s="11">
        <v>22.0</v>
      </c>
    </row>
    <row r="524">
      <c r="A524" s="11">
        <v>6.0</v>
      </c>
      <c r="B524" s="16">
        <v>3.0</v>
      </c>
      <c r="C524" s="195">
        <v>62598.44</v>
      </c>
      <c r="D524" s="11">
        <v>307655.0</v>
      </c>
      <c r="E524" s="196">
        <v>11289.43</v>
      </c>
      <c r="F524" s="11">
        <v>1.0</v>
      </c>
      <c r="G524" s="11">
        <v>35.0</v>
      </c>
    </row>
    <row r="525">
      <c r="A525" s="11">
        <v>6.0</v>
      </c>
      <c r="B525" s="16">
        <v>1.0</v>
      </c>
      <c r="C525" s="195">
        <v>-94756.63</v>
      </c>
      <c r="D525" s="11">
        <v>900940.0</v>
      </c>
      <c r="E525" s="196">
        <v>-29299.88</v>
      </c>
      <c r="F525" s="11">
        <v>4.0</v>
      </c>
      <c r="G525" s="11">
        <v>12.0</v>
      </c>
    </row>
    <row r="526">
      <c r="A526" s="11">
        <v>9.0</v>
      </c>
      <c r="B526" s="16">
        <v>4.0</v>
      </c>
      <c r="C526" s="195">
        <v>-44782.04</v>
      </c>
      <c r="D526" s="11">
        <v>853230.0</v>
      </c>
      <c r="E526" s="196">
        <v>82881.38</v>
      </c>
      <c r="F526" s="11">
        <v>7.0</v>
      </c>
      <c r="G526" s="11">
        <v>23.0</v>
      </c>
    </row>
    <row r="527">
      <c r="A527" s="11">
        <v>6.0</v>
      </c>
      <c r="B527" s="16">
        <v>6.0</v>
      </c>
      <c r="C527" s="195">
        <v>3693.54</v>
      </c>
      <c r="D527" s="11">
        <v>262768.0</v>
      </c>
      <c r="E527" s="196">
        <v>-4911.4</v>
      </c>
      <c r="F527" s="11">
        <v>1.0</v>
      </c>
      <c r="G527" s="11">
        <v>91.0</v>
      </c>
    </row>
    <row r="528">
      <c r="A528" s="11">
        <v>6.0</v>
      </c>
      <c r="B528" s="16">
        <v>5.0</v>
      </c>
      <c r="C528" s="195">
        <v>91171.32</v>
      </c>
      <c r="D528" s="11">
        <v>321709.0</v>
      </c>
      <c r="E528" s="196">
        <v>2099.89</v>
      </c>
      <c r="F528" s="11">
        <v>6.0</v>
      </c>
      <c r="G528" s="11">
        <v>93.0</v>
      </c>
    </row>
    <row r="529">
      <c r="A529" s="11">
        <v>8.0</v>
      </c>
      <c r="B529" s="16">
        <v>4.0</v>
      </c>
      <c r="C529" s="195">
        <v>-7398.53</v>
      </c>
      <c r="D529" s="11">
        <v>947413.0</v>
      </c>
      <c r="E529" s="196">
        <v>-19291.13</v>
      </c>
      <c r="F529" s="11">
        <v>1.0</v>
      </c>
      <c r="G529" s="11">
        <v>92.0</v>
      </c>
    </row>
    <row r="530">
      <c r="A530" s="11">
        <v>8.0</v>
      </c>
      <c r="B530" s="16">
        <v>9.0</v>
      </c>
      <c r="C530" s="195">
        <v>-20078.06</v>
      </c>
      <c r="D530" s="11">
        <v>964635.0</v>
      </c>
      <c r="E530" s="196">
        <v>-22532.57</v>
      </c>
      <c r="F530" s="11">
        <v>7.0</v>
      </c>
      <c r="G530" s="11">
        <v>75.0</v>
      </c>
    </row>
    <row r="531">
      <c r="A531" s="11">
        <v>2.0</v>
      </c>
      <c r="B531" s="16">
        <v>6.0</v>
      </c>
      <c r="C531" s="195">
        <v>65617.57</v>
      </c>
      <c r="D531" s="11">
        <v>903383.0</v>
      </c>
      <c r="E531" s="196">
        <v>44758.75</v>
      </c>
      <c r="F531" s="11">
        <v>3.0</v>
      </c>
      <c r="G531" s="11">
        <v>69.0</v>
      </c>
    </row>
    <row r="532">
      <c r="A532" s="11">
        <v>8.0</v>
      </c>
      <c r="B532" s="16">
        <v>5.0</v>
      </c>
      <c r="C532" s="195">
        <v>-5160.41</v>
      </c>
      <c r="D532" s="11">
        <v>470282.0</v>
      </c>
      <c r="E532" s="196">
        <v>69383.1</v>
      </c>
      <c r="F532" s="11">
        <v>8.0</v>
      </c>
      <c r="G532" s="11">
        <v>73.0</v>
      </c>
    </row>
    <row r="533">
      <c r="A533" s="11">
        <v>6.0</v>
      </c>
      <c r="B533" s="16">
        <v>9.0</v>
      </c>
      <c r="C533" s="195">
        <v>59980.24</v>
      </c>
      <c r="D533" s="11">
        <v>919741.0</v>
      </c>
      <c r="E533" s="196">
        <v>-27871.94</v>
      </c>
      <c r="F533" s="11">
        <v>7.0</v>
      </c>
      <c r="G533" s="11">
        <v>89.0</v>
      </c>
    </row>
    <row r="534">
      <c r="A534" s="11">
        <v>3.0</v>
      </c>
      <c r="B534" s="16">
        <v>8.0</v>
      </c>
      <c r="C534" s="195">
        <v>-33951.79</v>
      </c>
      <c r="D534" s="11">
        <v>312085.0</v>
      </c>
      <c r="E534" s="196">
        <v>17416.65</v>
      </c>
      <c r="F534" s="11">
        <v>2.0</v>
      </c>
      <c r="G534" s="11">
        <v>37.0</v>
      </c>
    </row>
    <row r="535">
      <c r="A535" s="11">
        <v>9.0</v>
      </c>
      <c r="B535" s="16">
        <v>3.0</v>
      </c>
      <c r="C535" s="195">
        <v>42718.73</v>
      </c>
      <c r="D535" s="11">
        <v>717835.0</v>
      </c>
      <c r="E535" s="196">
        <v>-9988.06</v>
      </c>
      <c r="F535" s="11">
        <v>2.0</v>
      </c>
      <c r="G535" s="11">
        <v>28.0</v>
      </c>
    </row>
    <row r="536">
      <c r="A536" s="11">
        <v>3.0</v>
      </c>
      <c r="B536" s="16">
        <v>1.0</v>
      </c>
      <c r="C536" s="195">
        <v>49938.82</v>
      </c>
      <c r="D536" s="11">
        <v>598694.0</v>
      </c>
      <c r="E536" s="196">
        <v>98100.19</v>
      </c>
      <c r="F536" s="11">
        <v>6.0</v>
      </c>
      <c r="G536" s="11">
        <v>33.0</v>
      </c>
    </row>
    <row r="537">
      <c r="A537" s="11">
        <v>2.0</v>
      </c>
      <c r="B537" s="16">
        <v>1.0</v>
      </c>
      <c r="C537" s="195">
        <v>53939.13</v>
      </c>
      <c r="D537" s="11">
        <v>927047.0</v>
      </c>
      <c r="E537" s="196">
        <v>-9426.4</v>
      </c>
      <c r="F537" s="11">
        <v>8.0</v>
      </c>
      <c r="G537" s="11">
        <v>13.0</v>
      </c>
    </row>
    <row r="538">
      <c r="A538" s="11">
        <v>3.0</v>
      </c>
      <c r="B538" s="16">
        <v>5.0</v>
      </c>
      <c r="C538" s="195">
        <v>-85955.77</v>
      </c>
      <c r="D538" s="11">
        <v>646137.0</v>
      </c>
      <c r="E538" s="196">
        <v>77355.92</v>
      </c>
      <c r="F538" s="11">
        <v>9.0</v>
      </c>
      <c r="G538" s="11">
        <v>19.0</v>
      </c>
    </row>
    <row r="539">
      <c r="A539" s="11">
        <v>2.0</v>
      </c>
      <c r="B539" s="16">
        <v>2.0</v>
      </c>
      <c r="C539" s="195">
        <v>-79135.26</v>
      </c>
      <c r="D539" s="11">
        <v>741680.0</v>
      </c>
      <c r="E539" s="196">
        <v>10586.37</v>
      </c>
      <c r="F539" s="11">
        <v>2.0</v>
      </c>
      <c r="G539" s="11">
        <v>83.0</v>
      </c>
    </row>
    <row r="540">
      <c r="A540" s="11">
        <v>3.0</v>
      </c>
      <c r="B540" s="16">
        <v>7.0</v>
      </c>
      <c r="C540" s="195">
        <v>92801.81</v>
      </c>
      <c r="D540" s="11">
        <v>814614.0</v>
      </c>
      <c r="E540" s="196">
        <v>10696.65</v>
      </c>
      <c r="F540" s="11">
        <v>2.0</v>
      </c>
      <c r="G540" s="11">
        <v>26.0</v>
      </c>
    </row>
    <row r="541">
      <c r="A541" s="11">
        <v>8.0</v>
      </c>
      <c r="B541" s="16">
        <v>2.0</v>
      </c>
      <c r="C541" s="195">
        <v>15897.21</v>
      </c>
      <c r="D541" s="11">
        <v>327523.0</v>
      </c>
      <c r="E541" s="196">
        <v>31049.3</v>
      </c>
      <c r="F541" s="11">
        <v>5.0</v>
      </c>
      <c r="G541" s="11">
        <v>42.0</v>
      </c>
    </row>
    <row r="542">
      <c r="A542" s="11">
        <v>9.0</v>
      </c>
      <c r="B542" s="16">
        <v>9.0</v>
      </c>
      <c r="C542" s="195">
        <v>91472.41</v>
      </c>
      <c r="D542" s="11">
        <v>803685.0</v>
      </c>
      <c r="E542" s="196">
        <v>-2918.07</v>
      </c>
      <c r="F542" s="11">
        <v>1.0</v>
      </c>
      <c r="G542" s="11">
        <v>55.0</v>
      </c>
    </row>
    <row r="543">
      <c r="A543" s="11">
        <v>9.0</v>
      </c>
      <c r="B543" s="16">
        <v>9.0</v>
      </c>
      <c r="C543" s="195">
        <v>91971.06</v>
      </c>
      <c r="D543" s="11">
        <v>780825.0</v>
      </c>
      <c r="E543" s="196">
        <v>78422.92</v>
      </c>
      <c r="F543" s="11">
        <v>4.0</v>
      </c>
      <c r="G543" s="11">
        <v>32.0</v>
      </c>
    </row>
    <row r="544">
      <c r="A544" s="11">
        <v>6.0</v>
      </c>
      <c r="B544" s="16">
        <v>5.0</v>
      </c>
      <c r="C544" s="195">
        <v>48875.07</v>
      </c>
      <c r="D544" s="11">
        <v>932036.0</v>
      </c>
      <c r="E544" s="196">
        <v>-10580.35</v>
      </c>
      <c r="F544" s="11">
        <v>7.0</v>
      </c>
      <c r="G544" s="11">
        <v>63.0</v>
      </c>
    </row>
    <row r="545">
      <c r="A545" s="11">
        <v>9.0</v>
      </c>
      <c r="B545" s="16">
        <v>8.0</v>
      </c>
      <c r="C545" s="195">
        <v>-1424.68</v>
      </c>
      <c r="D545" s="11">
        <v>354714.0</v>
      </c>
      <c r="E545" s="196">
        <v>55664.16</v>
      </c>
      <c r="F545" s="11">
        <v>2.0</v>
      </c>
      <c r="G545" s="11">
        <v>86.0</v>
      </c>
    </row>
    <row r="546">
      <c r="A546" s="11">
        <v>3.0</v>
      </c>
      <c r="B546" s="16">
        <v>1.0</v>
      </c>
      <c r="C546" s="195">
        <v>-64689.37</v>
      </c>
      <c r="D546" s="11">
        <v>428051.0</v>
      </c>
      <c r="E546" s="196">
        <v>-22653.35</v>
      </c>
      <c r="F546" s="11">
        <v>2.0</v>
      </c>
      <c r="G546" s="11">
        <v>38.0</v>
      </c>
    </row>
    <row r="547">
      <c r="A547" s="11">
        <v>4.0</v>
      </c>
      <c r="B547" s="16">
        <v>2.0</v>
      </c>
      <c r="C547" s="195">
        <v>60411.68</v>
      </c>
      <c r="D547" s="11">
        <v>523774.0</v>
      </c>
      <c r="E547" s="196">
        <v>-85976.54</v>
      </c>
      <c r="F547" s="11">
        <v>5.0</v>
      </c>
      <c r="G547" s="11">
        <v>69.0</v>
      </c>
    </row>
    <row r="548">
      <c r="A548" s="11">
        <v>3.0</v>
      </c>
      <c r="B548" s="16">
        <v>9.0</v>
      </c>
      <c r="C548" s="195">
        <v>28117.82</v>
      </c>
      <c r="D548" s="11">
        <v>114754.0</v>
      </c>
      <c r="E548" s="196">
        <v>67156.8</v>
      </c>
      <c r="F548" s="11">
        <v>6.0</v>
      </c>
      <c r="G548" s="11">
        <v>57.0</v>
      </c>
    </row>
    <row r="549">
      <c r="A549" s="11">
        <v>1.0</v>
      </c>
      <c r="B549" s="16">
        <v>2.0</v>
      </c>
      <c r="C549" s="195">
        <v>-60252.07</v>
      </c>
      <c r="D549" s="11">
        <v>519822.0</v>
      </c>
      <c r="E549" s="196">
        <v>-38033.57</v>
      </c>
      <c r="F549" s="11">
        <v>4.0</v>
      </c>
      <c r="G549" s="11">
        <v>82.0</v>
      </c>
    </row>
    <row r="550">
      <c r="A550" s="11">
        <v>1.0</v>
      </c>
      <c r="B550" s="16">
        <v>9.0</v>
      </c>
      <c r="C550" s="195">
        <v>5568.67</v>
      </c>
      <c r="D550" s="11">
        <v>822040.0</v>
      </c>
      <c r="E550" s="196">
        <v>-69419.62</v>
      </c>
      <c r="F550" s="11">
        <v>5.0</v>
      </c>
      <c r="G550" s="11">
        <v>29.0</v>
      </c>
    </row>
    <row r="551">
      <c r="A551" s="11">
        <v>3.0</v>
      </c>
      <c r="B551" s="16">
        <v>8.0</v>
      </c>
      <c r="C551" s="195">
        <v>-85255.92</v>
      </c>
      <c r="D551" s="11">
        <v>747053.0</v>
      </c>
      <c r="E551" s="196">
        <v>-73805.35</v>
      </c>
      <c r="F551" s="11">
        <v>7.0</v>
      </c>
      <c r="G551" s="11">
        <v>40.0</v>
      </c>
    </row>
    <row r="552">
      <c r="A552" s="11">
        <v>3.0</v>
      </c>
      <c r="B552" s="16">
        <v>5.0</v>
      </c>
      <c r="C552" s="195">
        <v>20978.82</v>
      </c>
      <c r="D552" s="11">
        <v>162580.0</v>
      </c>
      <c r="E552" s="196">
        <v>18938.51</v>
      </c>
      <c r="F552" s="11">
        <v>2.0</v>
      </c>
      <c r="G552" s="11">
        <v>25.0</v>
      </c>
    </row>
    <row r="553">
      <c r="A553" s="11">
        <v>6.0</v>
      </c>
      <c r="B553" s="16">
        <v>3.0</v>
      </c>
      <c r="C553" s="195">
        <v>-46063.19</v>
      </c>
      <c r="D553" s="11">
        <v>411272.0</v>
      </c>
      <c r="E553" s="196">
        <v>92992.55</v>
      </c>
      <c r="F553" s="11">
        <v>4.0</v>
      </c>
      <c r="G553" s="11">
        <v>75.0</v>
      </c>
    </row>
    <row r="554">
      <c r="A554" s="11">
        <v>5.0</v>
      </c>
      <c r="B554" s="16">
        <v>9.0</v>
      </c>
      <c r="C554" s="195">
        <v>24783.11</v>
      </c>
      <c r="D554" s="11">
        <v>970913.0</v>
      </c>
      <c r="E554" s="196">
        <v>-33582.61</v>
      </c>
      <c r="F554" s="11">
        <v>9.0</v>
      </c>
      <c r="G554" s="11">
        <v>99.0</v>
      </c>
    </row>
    <row r="555">
      <c r="A555" s="11">
        <v>8.0</v>
      </c>
      <c r="B555" s="16">
        <v>7.0</v>
      </c>
      <c r="C555" s="195">
        <v>47424.87</v>
      </c>
      <c r="D555" s="11">
        <v>715472.0</v>
      </c>
      <c r="E555" s="196">
        <v>55698.98</v>
      </c>
      <c r="F555" s="11">
        <v>3.0</v>
      </c>
      <c r="G555" s="11">
        <v>28.0</v>
      </c>
    </row>
    <row r="556">
      <c r="A556" s="11">
        <v>9.0</v>
      </c>
      <c r="B556" s="16">
        <v>3.0</v>
      </c>
      <c r="C556" s="195">
        <v>-39716.19</v>
      </c>
      <c r="D556" s="11">
        <v>414111.0</v>
      </c>
      <c r="E556" s="196">
        <v>-94899.57</v>
      </c>
      <c r="F556" s="11">
        <v>1.0</v>
      </c>
      <c r="G556" s="11">
        <v>68.0</v>
      </c>
    </row>
    <row r="557">
      <c r="A557" s="11">
        <v>1.0</v>
      </c>
      <c r="B557" s="16">
        <v>9.0</v>
      </c>
      <c r="C557" s="195">
        <v>43158.27</v>
      </c>
      <c r="D557" s="11">
        <v>254376.0</v>
      </c>
      <c r="E557" s="196">
        <v>-74760.03</v>
      </c>
      <c r="F557" s="11">
        <v>7.0</v>
      </c>
      <c r="G557" s="11">
        <v>20.0</v>
      </c>
    </row>
    <row r="558">
      <c r="A558" s="11">
        <v>9.0</v>
      </c>
      <c r="B558" s="16">
        <v>8.0</v>
      </c>
      <c r="C558" s="195">
        <v>-96577.78</v>
      </c>
      <c r="D558" s="11">
        <v>710434.0</v>
      </c>
      <c r="E558" s="196">
        <v>-46037.08</v>
      </c>
      <c r="F558" s="11">
        <v>8.0</v>
      </c>
      <c r="G558" s="11">
        <v>45.0</v>
      </c>
    </row>
    <row r="559">
      <c r="A559" s="11">
        <v>4.0</v>
      </c>
      <c r="B559" s="16">
        <v>7.0</v>
      </c>
      <c r="C559" s="195">
        <v>-75645.85</v>
      </c>
      <c r="D559" s="11">
        <v>778091.0</v>
      </c>
      <c r="E559" s="196">
        <v>-82943.05</v>
      </c>
      <c r="F559" s="11">
        <v>4.0</v>
      </c>
      <c r="G559" s="11">
        <v>56.0</v>
      </c>
    </row>
    <row r="560">
      <c r="A560" s="11">
        <v>2.0</v>
      </c>
      <c r="B560" s="16">
        <v>7.0</v>
      </c>
      <c r="C560" s="195">
        <v>52357.04</v>
      </c>
      <c r="D560" s="11">
        <v>989340.0</v>
      </c>
      <c r="E560" s="196">
        <v>-69522.33</v>
      </c>
      <c r="F560" s="11">
        <v>7.0</v>
      </c>
      <c r="G560" s="11">
        <v>12.0</v>
      </c>
    </row>
    <row r="561">
      <c r="A561" s="11">
        <v>4.0</v>
      </c>
      <c r="B561" s="16">
        <v>2.0</v>
      </c>
      <c r="C561" s="195">
        <v>76719.18</v>
      </c>
      <c r="D561" s="11">
        <v>995690.0</v>
      </c>
      <c r="E561" s="196">
        <v>-73108.77</v>
      </c>
      <c r="F561" s="11">
        <v>3.0</v>
      </c>
      <c r="G561" s="11">
        <v>79.0</v>
      </c>
    </row>
    <row r="562">
      <c r="A562" s="11">
        <v>9.0</v>
      </c>
      <c r="B562" s="16">
        <v>8.0</v>
      </c>
      <c r="C562" s="195">
        <v>-9836.66</v>
      </c>
      <c r="D562" s="11">
        <v>941443.0</v>
      </c>
      <c r="E562" s="196">
        <v>-14196.36</v>
      </c>
      <c r="F562" s="11">
        <v>8.0</v>
      </c>
      <c r="G562" s="11">
        <v>44.0</v>
      </c>
    </row>
    <row r="563">
      <c r="A563" s="11">
        <v>5.0</v>
      </c>
      <c r="B563" s="16">
        <v>4.0</v>
      </c>
      <c r="C563" s="195">
        <v>36677.76</v>
      </c>
      <c r="D563" s="11">
        <v>560894.0</v>
      </c>
      <c r="E563" s="196">
        <v>72305.24</v>
      </c>
      <c r="F563" s="11">
        <v>7.0</v>
      </c>
      <c r="G563" s="11">
        <v>25.0</v>
      </c>
    </row>
    <row r="564">
      <c r="A564" s="11">
        <v>7.0</v>
      </c>
      <c r="B564" s="16">
        <v>8.0</v>
      </c>
      <c r="C564" s="195">
        <v>-35040.09</v>
      </c>
      <c r="D564" s="11">
        <v>534508.0</v>
      </c>
      <c r="E564" s="196">
        <v>14888.65</v>
      </c>
      <c r="F564" s="11">
        <v>3.0</v>
      </c>
      <c r="G564" s="11">
        <v>60.0</v>
      </c>
    </row>
    <row r="565">
      <c r="A565" s="11">
        <v>3.0</v>
      </c>
      <c r="B565" s="16">
        <v>2.0</v>
      </c>
      <c r="C565" s="195">
        <v>554.07</v>
      </c>
      <c r="D565" s="11">
        <v>561458.0</v>
      </c>
      <c r="E565" s="196">
        <v>30500.71</v>
      </c>
      <c r="F565" s="11">
        <v>3.0</v>
      </c>
      <c r="G565" s="11">
        <v>72.0</v>
      </c>
    </row>
    <row r="566">
      <c r="A566" s="11">
        <v>7.0</v>
      </c>
      <c r="B566" s="16">
        <v>7.0</v>
      </c>
      <c r="C566" s="195">
        <v>-18278.17</v>
      </c>
      <c r="D566" s="11">
        <v>122769.0</v>
      </c>
      <c r="E566" s="196">
        <v>-67721.45</v>
      </c>
      <c r="F566" s="11">
        <v>3.0</v>
      </c>
      <c r="G566" s="11">
        <v>99.0</v>
      </c>
    </row>
    <row r="567">
      <c r="A567" s="11">
        <v>9.0</v>
      </c>
      <c r="B567" s="16">
        <v>3.0</v>
      </c>
      <c r="C567" s="195">
        <v>-23359.29</v>
      </c>
      <c r="D567" s="11">
        <v>556288.0</v>
      </c>
      <c r="E567" s="196">
        <v>-57070.1</v>
      </c>
      <c r="F567" s="11">
        <v>8.0</v>
      </c>
      <c r="G567" s="11">
        <v>10.0</v>
      </c>
    </row>
    <row r="568">
      <c r="A568" s="11">
        <v>9.0</v>
      </c>
      <c r="B568" s="16">
        <v>7.0</v>
      </c>
      <c r="C568" s="195">
        <v>-6148.7</v>
      </c>
      <c r="D568" s="11">
        <v>170124.0</v>
      </c>
      <c r="E568" s="196">
        <v>-47232.47</v>
      </c>
      <c r="F568" s="11">
        <v>5.0</v>
      </c>
      <c r="G568" s="11">
        <v>17.0</v>
      </c>
    </row>
    <row r="569">
      <c r="A569" s="11">
        <v>2.0</v>
      </c>
      <c r="B569" s="16">
        <v>6.0</v>
      </c>
      <c r="C569" s="195">
        <v>-10508.13</v>
      </c>
      <c r="D569" s="11">
        <v>832204.0</v>
      </c>
      <c r="E569" s="196">
        <v>68262.61</v>
      </c>
      <c r="F569" s="11">
        <v>4.0</v>
      </c>
      <c r="G569" s="11">
        <v>13.0</v>
      </c>
    </row>
    <row r="570">
      <c r="A570" s="11">
        <v>5.0</v>
      </c>
      <c r="B570" s="16">
        <v>6.0</v>
      </c>
      <c r="C570" s="195">
        <v>-65940.91</v>
      </c>
      <c r="D570" s="11">
        <v>419601.0</v>
      </c>
      <c r="E570" s="196">
        <v>29381.43</v>
      </c>
      <c r="F570" s="11">
        <v>6.0</v>
      </c>
      <c r="G570" s="11">
        <v>46.0</v>
      </c>
    </row>
    <row r="571">
      <c r="A571" s="11">
        <v>5.0</v>
      </c>
      <c r="B571" s="16">
        <v>6.0</v>
      </c>
      <c r="C571" s="195">
        <v>63065.37</v>
      </c>
      <c r="D571" s="11">
        <v>631572.0</v>
      </c>
      <c r="E571" s="196">
        <v>81223.09</v>
      </c>
      <c r="F571" s="11">
        <v>9.0</v>
      </c>
      <c r="G571" s="11">
        <v>20.0</v>
      </c>
    </row>
    <row r="572">
      <c r="A572" s="11">
        <v>5.0</v>
      </c>
      <c r="B572" s="16">
        <v>3.0</v>
      </c>
      <c r="C572" s="195">
        <v>62661.0</v>
      </c>
      <c r="D572" s="11">
        <v>274171.0</v>
      </c>
      <c r="E572" s="196">
        <v>20879.11</v>
      </c>
      <c r="F572" s="11">
        <v>5.0</v>
      </c>
      <c r="G572" s="11">
        <v>16.0</v>
      </c>
    </row>
    <row r="573">
      <c r="A573" s="11">
        <v>2.0</v>
      </c>
      <c r="B573" s="16">
        <v>3.0</v>
      </c>
      <c r="C573" s="195">
        <v>28918.54</v>
      </c>
      <c r="D573" s="11">
        <v>640371.0</v>
      </c>
      <c r="E573" s="196">
        <v>53196.68</v>
      </c>
      <c r="F573" s="11">
        <v>8.0</v>
      </c>
      <c r="G573" s="11">
        <v>99.0</v>
      </c>
    </row>
    <row r="574">
      <c r="A574" s="11">
        <v>7.0</v>
      </c>
      <c r="B574" s="16">
        <v>3.0</v>
      </c>
      <c r="C574" s="195">
        <v>-86763.29</v>
      </c>
      <c r="D574" s="11">
        <v>126273.0</v>
      </c>
      <c r="E574" s="196">
        <v>88759.04</v>
      </c>
      <c r="F574" s="11">
        <v>7.0</v>
      </c>
      <c r="G574" s="11">
        <v>55.0</v>
      </c>
    </row>
    <row r="575">
      <c r="A575" s="11">
        <v>6.0</v>
      </c>
      <c r="B575" s="16">
        <v>6.0</v>
      </c>
      <c r="C575" s="195">
        <v>-9165.97</v>
      </c>
      <c r="D575" s="11">
        <v>414224.0</v>
      </c>
      <c r="E575" s="196">
        <v>92983.36</v>
      </c>
      <c r="F575" s="11">
        <v>3.0</v>
      </c>
      <c r="G575" s="11">
        <v>53.0</v>
      </c>
    </row>
    <row r="576">
      <c r="A576" s="11">
        <v>7.0</v>
      </c>
      <c r="B576" s="16">
        <v>8.0</v>
      </c>
      <c r="C576" s="195">
        <v>78488.79</v>
      </c>
      <c r="D576" s="11">
        <v>181470.0</v>
      </c>
      <c r="E576" s="196">
        <v>-12509.1</v>
      </c>
      <c r="F576" s="11">
        <v>7.0</v>
      </c>
      <c r="G576" s="11">
        <v>71.0</v>
      </c>
    </row>
    <row r="577">
      <c r="A577" s="11">
        <v>4.0</v>
      </c>
      <c r="B577" s="16">
        <v>3.0</v>
      </c>
      <c r="C577" s="195">
        <v>64538.0</v>
      </c>
      <c r="D577" s="11">
        <v>341550.0</v>
      </c>
      <c r="E577" s="196">
        <v>-61702.0</v>
      </c>
      <c r="F577" s="11">
        <v>3.0</v>
      </c>
      <c r="G577" s="11">
        <v>84.0</v>
      </c>
    </row>
    <row r="578">
      <c r="A578" s="11">
        <v>8.0</v>
      </c>
      <c r="B578" s="16">
        <v>1.0</v>
      </c>
      <c r="C578" s="195">
        <v>1482.01</v>
      </c>
      <c r="D578" s="11">
        <v>721272.0</v>
      </c>
      <c r="E578" s="196">
        <v>-50642.21</v>
      </c>
      <c r="F578" s="11">
        <v>5.0</v>
      </c>
      <c r="G578" s="11">
        <v>58.0</v>
      </c>
    </row>
    <row r="579">
      <c r="A579" s="11">
        <v>9.0</v>
      </c>
      <c r="B579" s="16">
        <v>4.0</v>
      </c>
      <c r="C579" s="195">
        <v>-69422.69</v>
      </c>
      <c r="D579" s="11">
        <v>762653.0</v>
      </c>
      <c r="E579" s="196">
        <v>-58711.97</v>
      </c>
      <c r="F579" s="11">
        <v>6.0</v>
      </c>
      <c r="G579" s="11">
        <v>40.0</v>
      </c>
    </row>
    <row r="580">
      <c r="A580" s="11">
        <v>7.0</v>
      </c>
      <c r="B580" s="16">
        <v>2.0</v>
      </c>
      <c r="C580" s="195">
        <v>26700.63</v>
      </c>
      <c r="D580" s="11">
        <v>481529.0</v>
      </c>
      <c r="E580" s="196">
        <v>-74313.12</v>
      </c>
      <c r="F580" s="11">
        <v>2.0</v>
      </c>
      <c r="G580" s="11">
        <v>52.0</v>
      </c>
    </row>
    <row r="581">
      <c r="A581" s="11">
        <v>9.0</v>
      </c>
      <c r="B581" s="16">
        <v>8.0</v>
      </c>
      <c r="C581" s="195">
        <v>97018.76</v>
      </c>
      <c r="D581" s="11">
        <v>336283.0</v>
      </c>
      <c r="E581" s="196">
        <v>33470.24</v>
      </c>
      <c r="F581" s="11">
        <v>7.0</v>
      </c>
      <c r="G581" s="11">
        <v>11.0</v>
      </c>
    </row>
    <row r="582">
      <c r="A582" s="11">
        <v>1.0</v>
      </c>
      <c r="B582" s="16">
        <v>7.0</v>
      </c>
      <c r="C582" s="195">
        <v>-49305.8</v>
      </c>
      <c r="D582" s="11">
        <v>514806.0</v>
      </c>
      <c r="E582" s="196">
        <v>-64905.62</v>
      </c>
      <c r="F582" s="11">
        <v>8.0</v>
      </c>
      <c r="G582" s="11">
        <v>55.0</v>
      </c>
    </row>
    <row r="583">
      <c r="A583" s="11">
        <v>4.0</v>
      </c>
      <c r="B583" s="16">
        <v>7.0</v>
      </c>
      <c r="C583" s="195">
        <v>1210.01</v>
      </c>
      <c r="D583" s="11">
        <v>715028.0</v>
      </c>
      <c r="E583" s="196">
        <v>-68390.48</v>
      </c>
      <c r="F583" s="11">
        <v>8.0</v>
      </c>
      <c r="G583" s="11">
        <v>73.0</v>
      </c>
    </row>
    <row r="584">
      <c r="A584" s="11">
        <v>1.0</v>
      </c>
      <c r="B584" s="16">
        <v>2.0</v>
      </c>
      <c r="C584" s="195">
        <v>13137.99</v>
      </c>
      <c r="D584" s="11">
        <v>213336.0</v>
      </c>
      <c r="E584" s="196">
        <v>-23282.19</v>
      </c>
      <c r="F584" s="11">
        <v>2.0</v>
      </c>
      <c r="G584" s="11">
        <v>47.0</v>
      </c>
    </row>
    <row r="585">
      <c r="A585" s="11">
        <v>3.0</v>
      </c>
      <c r="B585" s="16">
        <v>3.0</v>
      </c>
      <c r="C585" s="195">
        <v>-39446.47</v>
      </c>
      <c r="D585" s="11">
        <v>420846.0</v>
      </c>
      <c r="E585" s="196">
        <v>-79714.89</v>
      </c>
      <c r="F585" s="11">
        <v>6.0</v>
      </c>
      <c r="G585" s="11">
        <v>81.0</v>
      </c>
    </row>
    <row r="586">
      <c r="A586" s="11">
        <v>7.0</v>
      </c>
      <c r="B586" s="16">
        <v>8.0</v>
      </c>
      <c r="C586" s="195">
        <v>71399.74</v>
      </c>
      <c r="D586" s="11">
        <v>301408.0</v>
      </c>
      <c r="E586" s="196">
        <v>2454.76</v>
      </c>
      <c r="F586" s="11">
        <v>4.0</v>
      </c>
      <c r="G586" s="11">
        <v>24.0</v>
      </c>
    </row>
    <row r="587">
      <c r="A587" s="11">
        <v>3.0</v>
      </c>
      <c r="B587" s="16">
        <v>6.0</v>
      </c>
      <c r="C587" s="195">
        <v>58597.72</v>
      </c>
      <c r="D587" s="11">
        <v>987125.0</v>
      </c>
      <c r="E587" s="196">
        <v>-70593.44</v>
      </c>
      <c r="F587" s="11">
        <v>4.0</v>
      </c>
      <c r="G587" s="11">
        <v>66.0</v>
      </c>
    </row>
    <row r="588">
      <c r="A588" s="11">
        <v>9.0</v>
      </c>
      <c r="B588" s="16">
        <v>1.0</v>
      </c>
      <c r="C588" s="195">
        <v>-95859.3</v>
      </c>
      <c r="D588" s="11">
        <v>637313.0</v>
      </c>
      <c r="E588" s="196">
        <v>5125.49</v>
      </c>
      <c r="F588" s="11">
        <v>7.0</v>
      </c>
      <c r="G588" s="11">
        <v>28.0</v>
      </c>
    </row>
    <row r="589">
      <c r="A589" s="11">
        <v>3.0</v>
      </c>
      <c r="B589" s="16">
        <v>7.0</v>
      </c>
      <c r="C589" s="195">
        <v>30311.47</v>
      </c>
      <c r="D589" s="11">
        <v>923979.0</v>
      </c>
      <c r="E589" s="196">
        <v>66372.07</v>
      </c>
      <c r="F589" s="11">
        <v>1.0</v>
      </c>
      <c r="G589" s="11">
        <v>75.0</v>
      </c>
    </row>
    <row r="590">
      <c r="A590" s="11">
        <v>8.0</v>
      </c>
      <c r="B590" s="16">
        <v>1.0</v>
      </c>
      <c r="C590" s="195">
        <v>60478.69</v>
      </c>
      <c r="D590" s="11">
        <v>668614.0</v>
      </c>
      <c r="E590" s="196">
        <v>-59131.4</v>
      </c>
      <c r="F590" s="11">
        <v>9.0</v>
      </c>
      <c r="G590" s="11">
        <v>63.0</v>
      </c>
    </row>
    <row r="591">
      <c r="A591" s="11">
        <v>1.0</v>
      </c>
      <c r="B591" s="16">
        <v>9.0</v>
      </c>
      <c r="C591" s="195">
        <v>71734.05</v>
      </c>
      <c r="D591" s="11">
        <v>194379.0</v>
      </c>
      <c r="E591" s="196">
        <v>-1483.3</v>
      </c>
      <c r="F591" s="11">
        <v>5.0</v>
      </c>
      <c r="G591" s="11">
        <v>71.0</v>
      </c>
    </row>
    <row r="592">
      <c r="A592" s="11">
        <v>9.0</v>
      </c>
      <c r="B592" s="16">
        <v>7.0</v>
      </c>
      <c r="C592" s="195">
        <v>-31928.76</v>
      </c>
      <c r="D592" s="11">
        <v>497814.0</v>
      </c>
      <c r="E592" s="196">
        <v>-89476.09</v>
      </c>
      <c r="F592" s="11">
        <v>5.0</v>
      </c>
      <c r="G592" s="11">
        <v>31.0</v>
      </c>
    </row>
    <row r="593">
      <c r="A593" s="11">
        <v>7.0</v>
      </c>
      <c r="B593" s="16">
        <v>2.0</v>
      </c>
      <c r="C593" s="195">
        <v>13471.39</v>
      </c>
      <c r="D593" s="11">
        <v>807898.0</v>
      </c>
      <c r="E593" s="196">
        <v>-68457.42</v>
      </c>
      <c r="F593" s="11">
        <v>4.0</v>
      </c>
      <c r="G593" s="11">
        <v>46.0</v>
      </c>
    </row>
    <row r="594">
      <c r="A594" s="11">
        <v>5.0</v>
      </c>
      <c r="B594" s="16">
        <v>8.0</v>
      </c>
      <c r="C594" s="195">
        <v>-56789.55</v>
      </c>
      <c r="D594" s="11">
        <v>477011.0</v>
      </c>
      <c r="E594" s="196">
        <v>-17051.86</v>
      </c>
      <c r="F594" s="11">
        <v>4.0</v>
      </c>
      <c r="G594" s="11">
        <v>90.0</v>
      </c>
    </row>
    <row r="595">
      <c r="A595" s="11">
        <v>2.0</v>
      </c>
      <c r="B595" s="16">
        <v>1.0</v>
      </c>
      <c r="C595" s="195">
        <v>84955.05</v>
      </c>
      <c r="D595" s="11">
        <v>579194.0</v>
      </c>
      <c r="E595" s="196">
        <v>99430.15</v>
      </c>
      <c r="F595" s="11">
        <v>3.0</v>
      </c>
      <c r="G595" s="11">
        <v>55.0</v>
      </c>
    </row>
    <row r="596">
      <c r="A596" s="11">
        <v>2.0</v>
      </c>
      <c r="B596" s="16">
        <v>1.0</v>
      </c>
      <c r="C596" s="195">
        <v>68554.82</v>
      </c>
      <c r="D596" s="11">
        <v>185987.0</v>
      </c>
      <c r="E596" s="196">
        <v>-63328.23</v>
      </c>
      <c r="F596" s="11">
        <v>9.0</v>
      </c>
      <c r="G596" s="11">
        <v>73.0</v>
      </c>
    </row>
    <row r="597">
      <c r="A597" s="11">
        <v>9.0</v>
      </c>
      <c r="B597" s="16">
        <v>7.0</v>
      </c>
      <c r="C597" s="195">
        <v>-99328.49</v>
      </c>
      <c r="D597" s="11">
        <v>309093.0</v>
      </c>
      <c r="E597" s="196">
        <v>52232.74</v>
      </c>
      <c r="F597" s="11">
        <v>4.0</v>
      </c>
      <c r="G597" s="11">
        <v>92.0</v>
      </c>
    </row>
    <row r="598">
      <c r="A598" s="11">
        <v>8.0</v>
      </c>
      <c r="B598" s="16">
        <v>7.0</v>
      </c>
      <c r="C598" s="195">
        <v>15754.65</v>
      </c>
      <c r="D598" s="11">
        <v>133900.0</v>
      </c>
      <c r="E598" s="196">
        <v>15051.9</v>
      </c>
      <c r="F598" s="11">
        <v>9.0</v>
      </c>
      <c r="G598" s="11">
        <v>76.0</v>
      </c>
    </row>
    <row r="599">
      <c r="A599" s="11">
        <v>9.0</v>
      </c>
      <c r="B599" s="16">
        <v>6.0</v>
      </c>
      <c r="C599" s="195">
        <v>-57288.14</v>
      </c>
      <c r="D599" s="11">
        <v>123174.0</v>
      </c>
      <c r="E599" s="196">
        <v>11262.38</v>
      </c>
      <c r="F599" s="11">
        <v>4.0</v>
      </c>
      <c r="G599" s="11">
        <v>29.0</v>
      </c>
    </row>
    <row r="600">
      <c r="A600" s="11">
        <v>3.0</v>
      </c>
      <c r="B600" s="16">
        <v>1.0</v>
      </c>
      <c r="C600" s="195">
        <v>50523.44</v>
      </c>
      <c r="D600" s="11">
        <v>917795.0</v>
      </c>
      <c r="E600" s="196">
        <v>-41703.71</v>
      </c>
      <c r="F600" s="11">
        <v>1.0</v>
      </c>
      <c r="G600" s="11">
        <v>48.0</v>
      </c>
    </row>
    <row r="601">
      <c r="A601" s="11">
        <v>8.0</v>
      </c>
      <c r="B601" s="16">
        <v>8.0</v>
      </c>
      <c r="C601" s="195">
        <v>-89777.28</v>
      </c>
      <c r="D601" s="11">
        <v>806873.0</v>
      </c>
      <c r="E601" s="196">
        <v>-43298.68</v>
      </c>
      <c r="F601" s="11">
        <v>5.0</v>
      </c>
      <c r="G601" s="11">
        <v>21.0</v>
      </c>
    </row>
    <row r="602">
      <c r="A602" s="11">
        <v>6.0</v>
      </c>
      <c r="B602" s="16">
        <v>5.0</v>
      </c>
      <c r="C602" s="195">
        <v>16662.37</v>
      </c>
      <c r="D602" s="11">
        <v>904872.0</v>
      </c>
      <c r="E602" s="196">
        <v>-32085.59</v>
      </c>
      <c r="F602" s="11">
        <v>9.0</v>
      </c>
      <c r="G602" s="11">
        <v>15.0</v>
      </c>
    </row>
    <row r="603">
      <c r="A603" s="11">
        <v>6.0</v>
      </c>
      <c r="B603" s="16">
        <v>6.0</v>
      </c>
      <c r="C603" s="195">
        <v>-67048.03</v>
      </c>
      <c r="D603" s="11">
        <v>520842.0</v>
      </c>
      <c r="E603" s="196">
        <v>-61477.71</v>
      </c>
      <c r="F603" s="11">
        <v>6.0</v>
      </c>
      <c r="G603" s="11">
        <v>83.0</v>
      </c>
    </row>
    <row r="604">
      <c r="A604" s="11">
        <v>7.0</v>
      </c>
      <c r="B604" s="16">
        <v>9.0</v>
      </c>
      <c r="C604" s="195">
        <v>-81359.08</v>
      </c>
      <c r="D604" s="11">
        <v>815569.0</v>
      </c>
      <c r="E604" s="196">
        <v>-30788.28</v>
      </c>
      <c r="F604" s="11">
        <v>6.0</v>
      </c>
      <c r="G604" s="11">
        <v>57.0</v>
      </c>
    </row>
    <row r="605">
      <c r="A605" s="11">
        <v>6.0</v>
      </c>
      <c r="B605" s="16">
        <v>1.0</v>
      </c>
      <c r="C605" s="195">
        <v>-18777.3</v>
      </c>
      <c r="D605" s="11">
        <v>281221.0</v>
      </c>
      <c r="E605" s="196">
        <v>-41255.42</v>
      </c>
      <c r="F605" s="11">
        <v>9.0</v>
      </c>
      <c r="G605" s="11">
        <v>61.0</v>
      </c>
    </row>
    <row r="606">
      <c r="A606" s="11">
        <v>6.0</v>
      </c>
      <c r="B606" s="16">
        <v>3.0</v>
      </c>
      <c r="C606" s="195">
        <v>28125.11</v>
      </c>
      <c r="D606" s="11">
        <v>927020.0</v>
      </c>
      <c r="E606" s="196">
        <v>14845.11</v>
      </c>
      <c r="F606" s="11">
        <v>5.0</v>
      </c>
      <c r="G606" s="11">
        <v>55.0</v>
      </c>
    </row>
    <row r="607">
      <c r="A607" s="11">
        <v>1.0</v>
      </c>
      <c r="B607" s="16">
        <v>6.0</v>
      </c>
      <c r="C607" s="195">
        <v>63896.18</v>
      </c>
      <c r="D607" s="11">
        <v>758578.0</v>
      </c>
      <c r="E607" s="196">
        <v>-32790.37</v>
      </c>
      <c r="F607" s="11">
        <v>5.0</v>
      </c>
      <c r="G607" s="11">
        <v>76.0</v>
      </c>
    </row>
    <row r="608">
      <c r="A608" s="11">
        <v>4.0</v>
      </c>
      <c r="B608" s="16">
        <v>8.0</v>
      </c>
      <c r="C608" s="195">
        <v>-97402.24</v>
      </c>
      <c r="D608" s="11">
        <v>785238.0</v>
      </c>
      <c r="E608" s="196">
        <v>76507.93</v>
      </c>
      <c r="F608" s="11">
        <v>1.0</v>
      </c>
      <c r="G608" s="11">
        <v>47.0</v>
      </c>
    </row>
    <row r="609">
      <c r="A609" s="11">
        <v>1.0</v>
      </c>
      <c r="B609" s="16">
        <v>1.0</v>
      </c>
      <c r="C609" s="195">
        <v>66102.06</v>
      </c>
      <c r="D609" s="11">
        <v>377394.0</v>
      </c>
      <c r="E609" s="196">
        <v>24289.32</v>
      </c>
      <c r="F609" s="11">
        <v>9.0</v>
      </c>
      <c r="G609" s="11">
        <v>33.0</v>
      </c>
    </row>
    <row r="610">
      <c r="A610" s="11">
        <v>1.0</v>
      </c>
      <c r="B610" s="16">
        <v>2.0</v>
      </c>
      <c r="C610" s="195">
        <v>7958.11</v>
      </c>
      <c r="D610" s="11">
        <v>851115.0</v>
      </c>
      <c r="E610" s="196">
        <v>97381.98</v>
      </c>
      <c r="F610" s="11">
        <v>1.0</v>
      </c>
      <c r="G610" s="11">
        <v>86.0</v>
      </c>
    </row>
    <row r="611">
      <c r="A611" s="11">
        <v>2.0</v>
      </c>
      <c r="B611" s="16">
        <v>3.0</v>
      </c>
      <c r="C611" s="195">
        <v>69386.0</v>
      </c>
      <c r="D611" s="11">
        <v>587272.0</v>
      </c>
      <c r="E611" s="196">
        <v>-64757.24</v>
      </c>
      <c r="F611" s="11">
        <v>3.0</v>
      </c>
      <c r="G611" s="11">
        <v>17.0</v>
      </c>
    </row>
    <row r="612">
      <c r="A612" s="11">
        <v>3.0</v>
      </c>
      <c r="B612" s="16">
        <v>8.0</v>
      </c>
      <c r="C612" s="195">
        <v>94073.82</v>
      </c>
      <c r="D612" s="11">
        <v>272376.0</v>
      </c>
      <c r="E612" s="196">
        <v>-40504.55</v>
      </c>
      <c r="F612" s="11">
        <v>8.0</v>
      </c>
      <c r="G612" s="11">
        <v>30.0</v>
      </c>
    </row>
    <row r="613">
      <c r="A613" s="11">
        <v>3.0</v>
      </c>
      <c r="B613" s="16">
        <v>3.0</v>
      </c>
      <c r="C613" s="195">
        <v>3012.11</v>
      </c>
      <c r="D613" s="11">
        <v>459251.0</v>
      </c>
      <c r="E613" s="196">
        <v>-12880.93</v>
      </c>
      <c r="F613" s="11">
        <v>7.0</v>
      </c>
      <c r="G613" s="11">
        <v>56.0</v>
      </c>
    </row>
    <row r="614">
      <c r="A614" s="11">
        <v>2.0</v>
      </c>
      <c r="B614" s="16">
        <v>3.0</v>
      </c>
      <c r="C614" s="195">
        <v>13978.87</v>
      </c>
      <c r="D614" s="11">
        <v>212159.0</v>
      </c>
      <c r="E614" s="196">
        <v>-81973.46</v>
      </c>
      <c r="F614" s="11">
        <v>3.0</v>
      </c>
      <c r="G614" s="11">
        <v>45.0</v>
      </c>
    </row>
    <row r="615">
      <c r="A615" s="11">
        <v>8.0</v>
      </c>
      <c r="B615" s="16">
        <v>4.0</v>
      </c>
      <c r="C615" s="195">
        <v>96750.75</v>
      </c>
      <c r="D615" s="11">
        <v>838726.0</v>
      </c>
      <c r="E615" s="196">
        <v>23778.13</v>
      </c>
      <c r="F615" s="11">
        <v>8.0</v>
      </c>
      <c r="G615" s="11">
        <v>69.0</v>
      </c>
    </row>
    <row r="616">
      <c r="A616" s="11">
        <v>4.0</v>
      </c>
      <c r="B616" s="16">
        <v>4.0</v>
      </c>
      <c r="C616" s="195">
        <v>-29974.16</v>
      </c>
      <c r="D616" s="11">
        <v>194682.0</v>
      </c>
      <c r="E616" s="196">
        <v>70766.12</v>
      </c>
      <c r="F616" s="11">
        <v>5.0</v>
      </c>
      <c r="G616" s="11">
        <v>84.0</v>
      </c>
    </row>
    <row r="617">
      <c r="A617" s="11">
        <v>2.0</v>
      </c>
      <c r="B617" s="16">
        <v>6.0</v>
      </c>
      <c r="C617" s="195">
        <v>78800.8</v>
      </c>
      <c r="D617" s="11">
        <v>906251.0</v>
      </c>
      <c r="E617" s="196">
        <v>16244.07</v>
      </c>
      <c r="F617" s="11">
        <v>7.0</v>
      </c>
      <c r="G617" s="11">
        <v>18.0</v>
      </c>
    </row>
    <row r="618">
      <c r="A618" s="11">
        <v>2.0</v>
      </c>
      <c r="B618" s="16">
        <v>3.0</v>
      </c>
      <c r="C618" s="195">
        <v>-93808.67</v>
      </c>
      <c r="D618" s="11">
        <v>428281.0</v>
      </c>
      <c r="E618" s="196">
        <v>-68071.79</v>
      </c>
      <c r="F618" s="11">
        <v>8.0</v>
      </c>
      <c r="G618" s="11">
        <v>35.0</v>
      </c>
    </row>
    <row r="619">
      <c r="A619" s="11">
        <v>7.0</v>
      </c>
      <c r="B619" s="16">
        <v>3.0</v>
      </c>
      <c r="C619" s="195">
        <v>-41400.01</v>
      </c>
      <c r="D619" s="11">
        <v>990170.0</v>
      </c>
      <c r="E619" s="196">
        <v>70742.86</v>
      </c>
      <c r="F619" s="11">
        <v>3.0</v>
      </c>
      <c r="G619" s="11">
        <v>99.0</v>
      </c>
    </row>
    <row r="620">
      <c r="A620" s="11">
        <v>9.0</v>
      </c>
      <c r="B620" s="16">
        <v>4.0</v>
      </c>
      <c r="C620" s="195">
        <v>-82875.24</v>
      </c>
      <c r="D620" s="11">
        <v>718811.0</v>
      </c>
      <c r="E620" s="196">
        <v>7372.55</v>
      </c>
      <c r="F620" s="11">
        <v>9.0</v>
      </c>
      <c r="G620" s="11">
        <v>63.0</v>
      </c>
    </row>
    <row r="621">
      <c r="A621" s="11">
        <v>4.0</v>
      </c>
      <c r="B621" s="16">
        <v>4.0</v>
      </c>
      <c r="C621" s="195">
        <v>72813.92</v>
      </c>
      <c r="D621" s="11">
        <v>272899.0</v>
      </c>
      <c r="E621" s="196">
        <v>61413.91</v>
      </c>
      <c r="F621" s="11">
        <v>1.0</v>
      </c>
      <c r="G621" s="11">
        <v>40.0</v>
      </c>
    </row>
    <row r="622">
      <c r="A622" s="11">
        <v>7.0</v>
      </c>
      <c r="B622" s="16">
        <v>5.0</v>
      </c>
      <c r="C622" s="195">
        <v>-91721.73</v>
      </c>
      <c r="D622" s="11">
        <v>446553.0</v>
      </c>
      <c r="E622" s="196">
        <v>98959.06</v>
      </c>
      <c r="F622" s="11">
        <v>4.0</v>
      </c>
      <c r="G622" s="11">
        <v>15.0</v>
      </c>
    </row>
    <row r="623">
      <c r="A623" s="11">
        <v>6.0</v>
      </c>
      <c r="B623" s="16">
        <v>4.0</v>
      </c>
      <c r="C623" s="195">
        <v>-16263.0</v>
      </c>
      <c r="D623" s="11">
        <v>928842.0</v>
      </c>
      <c r="E623" s="196">
        <v>74006.34</v>
      </c>
      <c r="F623" s="11">
        <v>7.0</v>
      </c>
      <c r="G623" s="11">
        <v>30.0</v>
      </c>
    </row>
    <row r="624">
      <c r="A624" s="11">
        <v>5.0</v>
      </c>
      <c r="B624" s="16">
        <v>4.0</v>
      </c>
      <c r="C624" s="195">
        <v>14101.03</v>
      </c>
      <c r="D624" s="11">
        <v>986928.0</v>
      </c>
      <c r="E624" s="196">
        <v>-34682.71</v>
      </c>
      <c r="F624" s="11">
        <v>3.0</v>
      </c>
      <c r="G624" s="11">
        <v>45.0</v>
      </c>
    </row>
    <row r="625">
      <c r="A625" s="11">
        <v>2.0</v>
      </c>
      <c r="B625" s="16">
        <v>1.0</v>
      </c>
      <c r="C625" s="195">
        <v>89712.51</v>
      </c>
      <c r="D625" s="11">
        <v>724859.0</v>
      </c>
      <c r="E625" s="196">
        <v>-28224.38</v>
      </c>
      <c r="F625" s="11">
        <v>9.0</v>
      </c>
      <c r="G625" s="11">
        <v>35.0</v>
      </c>
    </row>
    <row r="626">
      <c r="A626" s="11">
        <v>1.0</v>
      </c>
      <c r="B626" s="16">
        <v>3.0</v>
      </c>
      <c r="C626" s="195">
        <v>-94550.62</v>
      </c>
      <c r="D626" s="11">
        <v>437233.0</v>
      </c>
      <c r="E626" s="196">
        <v>97160.64</v>
      </c>
      <c r="F626" s="11">
        <v>6.0</v>
      </c>
      <c r="G626" s="11">
        <v>40.0</v>
      </c>
    </row>
    <row r="627">
      <c r="A627" s="11">
        <v>4.0</v>
      </c>
      <c r="B627" s="16">
        <v>6.0</v>
      </c>
      <c r="C627" s="195">
        <v>-94007.73</v>
      </c>
      <c r="D627" s="11">
        <v>650935.0</v>
      </c>
      <c r="E627" s="196">
        <v>-8737.9</v>
      </c>
      <c r="F627" s="11">
        <v>1.0</v>
      </c>
      <c r="G627" s="11">
        <v>49.0</v>
      </c>
    </row>
    <row r="628">
      <c r="A628" s="11">
        <v>4.0</v>
      </c>
      <c r="B628" s="16">
        <v>3.0</v>
      </c>
      <c r="C628" s="195">
        <v>61792.98</v>
      </c>
      <c r="D628" s="11">
        <v>102385.0</v>
      </c>
      <c r="E628" s="196">
        <v>85209.85</v>
      </c>
      <c r="F628" s="11">
        <v>8.0</v>
      </c>
      <c r="G628" s="11">
        <v>32.0</v>
      </c>
    </row>
    <row r="629">
      <c r="A629" s="11">
        <v>5.0</v>
      </c>
      <c r="B629" s="16">
        <v>1.0</v>
      </c>
      <c r="C629" s="195">
        <v>49475.63</v>
      </c>
      <c r="D629" s="11">
        <v>406942.0</v>
      </c>
      <c r="E629" s="196">
        <v>36511.99</v>
      </c>
      <c r="F629" s="11">
        <v>7.0</v>
      </c>
      <c r="G629" s="11">
        <v>33.0</v>
      </c>
    </row>
    <row r="630">
      <c r="A630" s="11">
        <v>2.0</v>
      </c>
      <c r="B630" s="16">
        <v>6.0</v>
      </c>
      <c r="C630" s="195">
        <v>40418.36</v>
      </c>
      <c r="D630" s="11">
        <v>781564.0</v>
      </c>
      <c r="E630" s="196">
        <v>-67525.08</v>
      </c>
      <c r="F630" s="11">
        <v>2.0</v>
      </c>
      <c r="G630" s="11">
        <v>59.0</v>
      </c>
    </row>
    <row r="631">
      <c r="A631" s="11">
        <v>9.0</v>
      </c>
      <c r="B631" s="16">
        <v>2.0</v>
      </c>
      <c r="C631" s="195">
        <v>59527.04</v>
      </c>
      <c r="D631" s="11">
        <v>644148.0</v>
      </c>
      <c r="E631" s="196">
        <v>69922.8</v>
      </c>
      <c r="F631" s="11">
        <v>5.0</v>
      </c>
      <c r="G631" s="11">
        <v>22.0</v>
      </c>
    </row>
    <row r="632">
      <c r="A632" s="11">
        <v>7.0</v>
      </c>
      <c r="B632" s="16">
        <v>5.0</v>
      </c>
      <c r="C632" s="195">
        <v>-88114.51</v>
      </c>
      <c r="D632" s="11">
        <v>192557.0</v>
      </c>
      <c r="E632" s="196">
        <v>19864.43</v>
      </c>
      <c r="F632" s="11">
        <v>5.0</v>
      </c>
      <c r="G632" s="11">
        <v>76.0</v>
      </c>
    </row>
    <row r="633">
      <c r="A633" s="11">
        <v>8.0</v>
      </c>
      <c r="B633" s="16">
        <v>6.0</v>
      </c>
      <c r="C633" s="195">
        <v>-12422.57</v>
      </c>
      <c r="D633" s="11">
        <v>293200.0</v>
      </c>
      <c r="E633" s="196">
        <v>60603.02</v>
      </c>
      <c r="F633" s="11">
        <v>9.0</v>
      </c>
      <c r="G633" s="11">
        <v>78.0</v>
      </c>
    </row>
    <row r="634">
      <c r="A634" s="11">
        <v>4.0</v>
      </c>
      <c r="B634" s="16">
        <v>4.0</v>
      </c>
      <c r="C634" s="195">
        <v>-22450.38</v>
      </c>
      <c r="D634" s="11">
        <v>383601.0</v>
      </c>
      <c r="E634" s="196">
        <v>-99371.03</v>
      </c>
      <c r="F634" s="11">
        <v>1.0</v>
      </c>
      <c r="G634" s="11">
        <v>86.0</v>
      </c>
    </row>
    <row r="635">
      <c r="A635" s="11">
        <v>5.0</v>
      </c>
      <c r="B635" s="16">
        <v>7.0</v>
      </c>
      <c r="C635" s="195">
        <v>58742.77</v>
      </c>
      <c r="D635" s="11">
        <v>363716.0</v>
      </c>
      <c r="E635" s="196">
        <v>46039.45</v>
      </c>
      <c r="F635" s="11">
        <v>9.0</v>
      </c>
      <c r="G635" s="11">
        <v>93.0</v>
      </c>
    </row>
    <row r="636">
      <c r="A636" s="11">
        <v>8.0</v>
      </c>
      <c r="B636" s="16">
        <v>9.0</v>
      </c>
      <c r="C636" s="195">
        <v>39071.12</v>
      </c>
      <c r="D636" s="11">
        <v>986415.0</v>
      </c>
      <c r="E636" s="196">
        <v>24314.01</v>
      </c>
      <c r="F636" s="11">
        <v>1.0</v>
      </c>
      <c r="G636" s="11">
        <v>87.0</v>
      </c>
    </row>
    <row r="637">
      <c r="A637" s="11">
        <v>5.0</v>
      </c>
      <c r="B637" s="16">
        <v>9.0</v>
      </c>
      <c r="C637" s="195">
        <v>55074.82</v>
      </c>
      <c r="D637" s="11">
        <v>343733.0</v>
      </c>
      <c r="E637" s="196">
        <v>95586.04</v>
      </c>
      <c r="F637" s="11">
        <v>7.0</v>
      </c>
      <c r="G637" s="11">
        <v>40.0</v>
      </c>
    </row>
    <row r="638">
      <c r="A638" s="11">
        <v>2.0</v>
      </c>
      <c r="B638" s="16">
        <v>9.0</v>
      </c>
      <c r="C638" s="195">
        <v>57746.86</v>
      </c>
      <c r="D638" s="11">
        <v>565221.0</v>
      </c>
      <c r="E638" s="196">
        <v>-75075.75</v>
      </c>
      <c r="F638" s="11">
        <v>2.0</v>
      </c>
      <c r="G638" s="11">
        <v>36.0</v>
      </c>
    </row>
    <row r="639">
      <c r="A639" s="11">
        <v>4.0</v>
      </c>
      <c r="B639" s="16">
        <v>4.0</v>
      </c>
      <c r="C639" s="195">
        <v>81535.61</v>
      </c>
      <c r="D639" s="11">
        <v>179922.0</v>
      </c>
      <c r="E639" s="196">
        <v>57480.21</v>
      </c>
      <c r="F639" s="11">
        <v>9.0</v>
      </c>
      <c r="G639" s="11">
        <v>40.0</v>
      </c>
    </row>
    <row r="640">
      <c r="A640" s="11">
        <v>9.0</v>
      </c>
      <c r="B640" s="16">
        <v>4.0</v>
      </c>
      <c r="C640" s="195">
        <v>44496.42</v>
      </c>
      <c r="D640" s="11">
        <v>445459.0</v>
      </c>
      <c r="E640" s="196">
        <v>14374.98</v>
      </c>
      <c r="F640" s="11">
        <v>1.0</v>
      </c>
      <c r="G640" s="11">
        <v>96.0</v>
      </c>
    </row>
    <row r="641">
      <c r="A641" s="11">
        <v>9.0</v>
      </c>
      <c r="B641" s="16">
        <v>2.0</v>
      </c>
      <c r="C641" s="195">
        <v>-43862.11</v>
      </c>
      <c r="D641" s="11">
        <v>821291.0</v>
      </c>
      <c r="E641" s="196">
        <v>-98202.67</v>
      </c>
      <c r="F641" s="11">
        <v>8.0</v>
      </c>
      <c r="G641" s="11">
        <v>93.0</v>
      </c>
    </row>
    <row r="642">
      <c r="A642" s="11">
        <v>1.0</v>
      </c>
      <c r="B642" s="16">
        <v>5.0</v>
      </c>
      <c r="C642" s="195">
        <v>88205.47</v>
      </c>
      <c r="D642" s="11">
        <v>476206.0</v>
      </c>
      <c r="E642" s="196">
        <v>26667.83</v>
      </c>
      <c r="F642" s="11">
        <v>7.0</v>
      </c>
      <c r="G642" s="11">
        <v>68.0</v>
      </c>
    </row>
    <row r="643">
      <c r="A643" s="11">
        <v>3.0</v>
      </c>
      <c r="B643" s="16">
        <v>8.0</v>
      </c>
      <c r="C643" s="195">
        <v>-16176.46</v>
      </c>
      <c r="D643" s="11">
        <v>440058.0</v>
      </c>
      <c r="E643" s="196">
        <v>8701.13</v>
      </c>
      <c r="F643" s="11">
        <v>1.0</v>
      </c>
      <c r="G643" s="11">
        <v>41.0</v>
      </c>
    </row>
    <row r="644">
      <c r="A644" s="11">
        <v>6.0</v>
      </c>
      <c r="B644" s="16">
        <v>3.0</v>
      </c>
      <c r="C644" s="195">
        <v>90222.65</v>
      </c>
      <c r="D644" s="11">
        <v>281320.0</v>
      </c>
      <c r="E644" s="196">
        <v>78958.71</v>
      </c>
      <c r="F644" s="11">
        <v>5.0</v>
      </c>
      <c r="G644" s="11">
        <v>57.0</v>
      </c>
    </row>
    <row r="645">
      <c r="A645" s="11">
        <v>2.0</v>
      </c>
      <c r="B645" s="16">
        <v>3.0</v>
      </c>
      <c r="C645" s="195">
        <v>50021.19</v>
      </c>
      <c r="D645" s="11">
        <v>246399.0</v>
      </c>
      <c r="E645" s="196">
        <v>2422.25</v>
      </c>
      <c r="F645" s="11">
        <v>9.0</v>
      </c>
      <c r="G645" s="11">
        <v>35.0</v>
      </c>
    </row>
    <row r="646">
      <c r="A646" s="11">
        <v>7.0</v>
      </c>
      <c r="B646" s="16">
        <v>1.0</v>
      </c>
      <c r="C646" s="195">
        <v>33185.61</v>
      </c>
      <c r="D646" s="11">
        <v>331361.0</v>
      </c>
      <c r="E646" s="196">
        <v>6514.28</v>
      </c>
      <c r="F646" s="11">
        <v>8.0</v>
      </c>
      <c r="G646" s="11">
        <v>76.0</v>
      </c>
    </row>
    <row r="647">
      <c r="A647" s="11">
        <v>5.0</v>
      </c>
      <c r="B647" s="16">
        <v>9.0</v>
      </c>
      <c r="C647" s="195">
        <v>-96889.3</v>
      </c>
      <c r="D647" s="11">
        <v>345411.0</v>
      </c>
      <c r="E647" s="196">
        <v>58650.46</v>
      </c>
      <c r="F647" s="11">
        <v>1.0</v>
      </c>
      <c r="G647" s="11">
        <v>25.0</v>
      </c>
    </row>
    <row r="648">
      <c r="A648" s="11">
        <v>1.0</v>
      </c>
      <c r="B648" s="16">
        <v>9.0</v>
      </c>
      <c r="C648" s="195">
        <v>-21943.26</v>
      </c>
      <c r="D648" s="11">
        <v>500273.0</v>
      </c>
      <c r="E648" s="196">
        <v>-54186.19</v>
      </c>
      <c r="F648" s="11">
        <v>6.0</v>
      </c>
      <c r="G648" s="11">
        <v>31.0</v>
      </c>
    </row>
    <row r="649">
      <c r="A649" s="11">
        <v>9.0</v>
      </c>
      <c r="B649" s="16">
        <v>7.0</v>
      </c>
      <c r="C649" s="195">
        <v>-34747.16</v>
      </c>
      <c r="D649" s="11">
        <v>172328.0</v>
      </c>
      <c r="E649" s="196">
        <v>-14004.55</v>
      </c>
      <c r="F649" s="11">
        <v>6.0</v>
      </c>
      <c r="G649" s="11">
        <v>97.0</v>
      </c>
    </row>
    <row r="650">
      <c r="A650" s="11">
        <v>1.0</v>
      </c>
      <c r="B650" s="16">
        <v>4.0</v>
      </c>
      <c r="C650" s="195">
        <v>-68619.36</v>
      </c>
      <c r="D650" s="11">
        <v>691065.0</v>
      </c>
      <c r="E650" s="196">
        <v>-38927.71</v>
      </c>
      <c r="F650" s="11">
        <v>6.0</v>
      </c>
      <c r="G650" s="11">
        <v>99.0</v>
      </c>
    </row>
    <row r="651">
      <c r="A651" s="11">
        <v>9.0</v>
      </c>
      <c r="B651" s="16">
        <v>6.0</v>
      </c>
      <c r="C651" s="195">
        <v>24776.99</v>
      </c>
      <c r="D651" s="11">
        <v>658679.0</v>
      </c>
      <c r="E651" s="196">
        <v>-7433.37</v>
      </c>
      <c r="F651" s="11">
        <v>9.0</v>
      </c>
      <c r="G651" s="11">
        <v>87.0</v>
      </c>
    </row>
    <row r="652">
      <c r="A652" s="11">
        <v>4.0</v>
      </c>
      <c r="B652" s="16">
        <v>3.0</v>
      </c>
      <c r="C652" s="195">
        <v>-92602.78</v>
      </c>
      <c r="D652" s="11">
        <v>627657.0</v>
      </c>
      <c r="E652" s="196">
        <v>71091.08</v>
      </c>
      <c r="F652" s="11">
        <v>7.0</v>
      </c>
      <c r="G652" s="11">
        <v>30.0</v>
      </c>
    </row>
    <row r="653">
      <c r="A653" s="11">
        <v>3.0</v>
      </c>
      <c r="B653" s="16">
        <v>6.0</v>
      </c>
      <c r="C653" s="195">
        <v>-13758.5</v>
      </c>
      <c r="D653" s="11">
        <v>182360.0</v>
      </c>
      <c r="E653" s="196">
        <v>1387.59</v>
      </c>
      <c r="F653" s="11">
        <v>5.0</v>
      </c>
      <c r="G653" s="11">
        <v>15.0</v>
      </c>
    </row>
    <row r="654">
      <c r="A654" s="11">
        <v>7.0</v>
      </c>
      <c r="B654" s="16">
        <v>4.0</v>
      </c>
      <c r="C654" s="195">
        <v>64766.37</v>
      </c>
      <c r="D654" s="11">
        <v>892888.0</v>
      </c>
      <c r="E654" s="196">
        <v>18665.61</v>
      </c>
      <c r="F654" s="11">
        <v>7.0</v>
      </c>
      <c r="G654" s="11">
        <v>66.0</v>
      </c>
    </row>
    <row r="655">
      <c r="A655" s="11">
        <v>5.0</v>
      </c>
      <c r="B655" s="16">
        <v>7.0</v>
      </c>
      <c r="C655" s="195">
        <v>-78758.79</v>
      </c>
      <c r="D655" s="11">
        <v>940761.0</v>
      </c>
      <c r="E655" s="196">
        <v>-18254.0</v>
      </c>
      <c r="F655" s="11">
        <v>8.0</v>
      </c>
      <c r="G655" s="11">
        <v>47.0</v>
      </c>
    </row>
    <row r="656">
      <c r="A656" s="11">
        <v>6.0</v>
      </c>
      <c r="B656" s="16">
        <v>4.0</v>
      </c>
      <c r="C656" s="195">
        <v>-83065.09</v>
      </c>
      <c r="D656" s="11">
        <v>619607.0</v>
      </c>
      <c r="E656" s="196">
        <v>-35353.01</v>
      </c>
      <c r="F656" s="11">
        <v>3.0</v>
      </c>
      <c r="G656" s="11">
        <v>20.0</v>
      </c>
    </row>
    <row r="657">
      <c r="A657" s="11">
        <v>6.0</v>
      </c>
      <c r="B657" s="16">
        <v>9.0</v>
      </c>
      <c r="C657" s="195">
        <v>-13515.08</v>
      </c>
      <c r="D657" s="11">
        <v>253454.0</v>
      </c>
      <c r="E657" s="196">
        <v>74458.89</v>
      </c>
      <c r="F657" s="11">
        <v>6.0</v>
      </c>
      <c r="G657" s="11">
        <v>86.0</v>
      </c>
    </row>
    <row r="658">
      <c r="A658" s="11">
        <v>5.0</v>
      </c>
      <c r="B658" s="16">
        <v>9.0</v>
      </c>
      <c r="C658" s="195">
        <v>-48497.55</v>
      </c>
      <c r="D658" s="11">
        <v>655957.0</v>
      </c>
      <c r="E658" s="196">
        <v>36440.82</v>
      </c>
      <c r="F658" s="11">
        <v>7.0</v>
      </c>
      <c r="G658" s="11">
        <v>75.0</v>
      </c>
    </row>
    <row r="659">
      <c r="A659" s="11">
        <v>9.0</v>
      </c>
      <c r="B659" s="16">
        <v>3.0</v>
      </c>
      <c r="C659" s="195">
        <v>-79950.83</v>
      </c>
      <c r="D659" s="11">
        <v>963203.0</v>
      </c>
      <c r="E659" s="196">
        <v>-58060.79</v>
      </c>
      <c r="F659" s="11">
        <v>1.0</v>
      </c>
      <c r="G659" s="11">
        <v>83.0</v>
      </c>
    </row>
    <row r="660">
      <c r="A660" s="11">
        <v>5.0</v>
      </c>
      <c r="B660" s="16">
        <v>1.0</v>
      </c>
      <c r="C660" s="195">
        <v>-89213.36</v>
      </c>
      <c r="D660" s="11">
        <v>323486.0</v>
      </c>
      <c r="E660" s="196">
        <v>21858.47</v>
      </c>
      <c r="F660" s="11">
        <v>9.0</v>
      </c>
      <c r="G660" s="11">
        <v>62.0</v>
      </c>
    </row>
    <row r="661">
      <c r="A661" s="11">
        <v>2.0</v>
      </c>
      <c r="B661" s="16">
        <v>6.0</v>
      </c>
      <c r="C661" s="195">
        <v>43645.94</v>
      </c>
      <c r="D661" s="11">
        <v>484220.0</v>
      </c>
      <c r="E661" s="196">
        <v>46320.41</v>
      </c>
      <c r="F661" s="11">
        <v>7.0</v>
      </c>
      <c r="G661" s="11">
        <v>98.0</v>
      </c>
    </row>
    <row r="662">
      <c r="A662" s="11">
        <v>8.0</v>
      </c>
      <c r="B662" s="16">
        <v>8.0</v>
      </c>
      <c r="C662" s="195">
        <v>-1446.87</v>
      </c>
      <c r="D662" s="11">
        <v>188862.0</v>
      </c>
      <c r="E662" s="196">
        <v>-48862.26</v>
      </c>
      <c r="F662" s="11">
        <v>9.0</v>
      </c>
      <c r="G662" s="11">
        <v>84.0</v>
      </c>
    </row>
    <row r="663">
      <c r="A663" s="11">
        <v>5.0</v>
      </c>
      <c r="B663" s="16">
        <v>3.0</v>
      </c>
      <c r="C663" s="195">
        <v>-51199.04</v>
      </c>
      <c r="D663" s="11">
        <v>484725.0</v>
      </c>
      <c r="E663" s="196">
        <v>-13429.95</v>
      </c>
      <c r="F663" s="11">
        <v>6.0</v>
      </c>
      <c r="G663" s="11">
        <v>37.0</v>
      </c>
    </row>
    <row r="664">
      <c r="A664" s="11">
        <v>4.0</v>
      </c>
      <c r="B664" s="16">
        <v>8.0</v>
      </c>
      <c r="C664" s="195">
        <v>-2713.35</v>
      </c>
      <c r="D664" s="11">
        <v>968347.0</v>
      </c>
      <c r="E664" s="196">
        <v>99901.48</v>
      </c>
      <c r="F664" s="11">
        <v>8.0</v>
      </c>
      <c r="G664" s="11">
        <v>33.0</v>
      </c>
    </row>
    <row r="665">
      <c r="A665" s="11">
        <v>6.0</v>
      </c>
      <c r="B665" s="16">
        <v>8.0</v>
      </c>
      <c r="C665" s="195">
        <v>-10168.27</v>
      </c>
      <c r="D665" s="11">
        <v>853742.0</v>
      </c>
      <c r="E665" s="196">
        <v>6043.5</v>
      </c>
      <c r="F665" s="11">
        <v>7.0</v>
      </c>
      <c r="G665" s="11">
        <v>47.0</v>
      </c>
    </row>
    <row r="666">
      <c r="A666" s="11">
        <v>8.0</v>
      </c>
      <c r="B666" s="16">
        <v>4.0</v>
      </c>
      <c r="C666" s="195">
        <v>49442.04</v>
      </c>
      <c r="D666" s="11">
        <v>283652.0</v>
      </c>
      <c r="E666" s="196">
        <v>13769.59</v>
      </c>
      <c r="F666" s="11">
        <v>4.0</v>
      </c>
      <c r="G666" s="11">
        <v>95.0</v>
      </c>
    </row>
    <row r="667">
      <c r="A667" s="11">
        <v>3.0</v>
      </c>
      <c r="B667" s="16">
        <v>4.0</v>
      </c>
      <c r="C667" s="195">
        <v>-59197.07</v>
      </c>
      <c r="D667" s="11">
        <v>252734.0</v>
      </c>
      <c r="E667" s="196">
        <v>-69717.3</v>
      </c>
      <c r="F667" s="11">
        <v>6.0</v>
      </c>
      <c r="G667" s="11">
        <v>21.0</v>
      </c>
    </row>
    <row r="668">
      <c r="A668" s="11">
        <v>2.0</v>
      </c>
      <c r="B668" s="16">
        <v>4.0</v>
      </c>
      <c r="C668" s="195">
        <v>-79137.9</v>
      </c>
      <c r="D668" s="11">
        <v>609435.0</v>
      </c>
      <c r="E668" s="196">
        <v>-64279.28</v>
      </c>
      <c r="F668" s="11">
        <v>8.0</v>
      </c>
      <c r="G668" s="11">
        <v>41.0</v>
      </c>
    </row>
    <row r="669">
      <c r="A669" s="11">
        <v>8.0</v>
      </c>
      <c r="B669" s="16">
        <v>6.0</v>
      </c>
      <c r="C669" s="195">
        <v>37982.8</v>
      </c>
      <c r="D669" s="11">
        <v>817842.0</v>
      </c>
      <c r="E669" s="196">
        <v>9533.14</v>
      </c>
      <c r="F669" s="11">
        <v>6.0</v>
      </c>
      <c r="G669" s="11">
        <v>27.0</v>
      </c>
    </row>
    <row r="670">
      <c r="A670" s="11">
        <v>1.0</v>
      </c>
      <c r="B670" s="16">
        <v>5.0</v>
      </c>
      <c r="C670" s="195">
        <v>-39953.29</v>
      </c>
      <c r="D670" s="11">
        <v>733153.0</v>
      </c>
      <c r="E670" s="196">
        <v>-505.84</v>
      </c>
      <c r="F670" s="11">
        <v>6.0</v>
      </c>
      <c r="G670" s="11">
        <v>97.0</v>
      </c>
    </row>
    <row r="671">
      <c r="A671" s="11">
        <v>9.0</v>
      </c>
      <c r="B671" s="16">
        <v>1.0</v>
      </c>
      <c r="C671" s="195">
        <v>-83058.17</v>
      </c>
      <c r="D671" s="11">
        <v>117373.0</v>
      </c>
      <c r="E671" s="196">
        <v>13333.91</v>
      </c>
      <c r="F671" s="11">
        <v>9.0</v>
      </c>
      <c r="G671" s="11">
        <v>75.0</v>
      </c>
    </row>
    <row r="672">
      <c r="A672" s="11">
        <v>5.0</v>
      </c>
      <c r="B672" s="16">
        <v>6.0</v>
      </c>
      <c r="C672" s="195">
        <v>-28198.54</v>
      </c>
      <c r="D672" s="11">
        <v>110517.0</v>
      </c>
      <c r="E672" s="196">
        <v>16565.41</v>
      </c>
      <c r="F672" s="11">
        <v>5.0</v>
      </c>
      <c r="G672" s="11">
        <v>86.0</v>
      </c>
    </row>
    <row r="673">
      <c r="A673" s="11">
        <v>3.0</v>
      </c>
      <c r="B673" s="16">
        <v>5.0</v>
      </c>
      <c r="C673" s="195">
        <v>-6569.06</v>
      </c>
      <c r="D673" s="11">
        <v>722529.0</v>
      </c>
      <c r="E673" s="196">
        <v>-88651.45</v>
      </c>
      <c r="F673" s="11">
        <v>4.0</v>
      </c>
      <c r="G673" s="11">
        <v>87.0</v>
      </c>
    </row>
    <row r="674">
      <c r="A674" s="11">
        <v>4.0</v>
      </c>
      <c r="B674" s="16">
        <v>2.0</v>
      </c>
      <c r="C674" s="195">
        <v>38956.51</v>
      </c>
      <c r="D674" s="11">
        <v>860745.0</v>
      </c>
      <c r="E674" s="196">
        <v>61541.44</v>
      </c>
      <c r="F674" s="11">
        <v>9.0</v>
      </c>
      <c r="G674" s="11">
        <v>48.0</v>
      </c>
    </row>
    <row r="675">
      <c r="A675" s="11">
        <v>9.0</v>
      </c>
      <c r="B675" s="16">
        <v>5.0</v>
      </c>
      <c r="C675" s="195">
        <v>-43793.9</v>
      </c>
      <c r="D675" s="11">
        <v>350467.0</v>
      </c>
      <c r="E675" s="196">
        <v>46263.65</v>
      </c>
      <c r="F675" s="11">
        <v>4.0</v>
      </c>
      <c r="G675" s="11">
        <v>84.0</v>
      </c>
    </row>
    <row r="676">
      <c r="A676" s="11">
        <v>4.0</v>
      </c>
      <c r="B676" s="16">
        <v>2.0</v>
      </c>
      <c r="C676" s="195">
        <v>-51472.34</v>
      </c>
      <c r="D676" s="11">
        <v>862126.0</v>
      </c>
      <c r="E676" s="196">
        <v>-69426.8</v>
      </c>
      <c r="F676" s="11">
        <v>4.0</v>
      </c>
      <c r="G676" s="11">
        <v>75.0</v>
      </c>
    </row>
    <row r="677">
      <c r="A677" s="11">
        <v>5.0</v>
      </c>
      <c r="B677" s="16">
        <v>3.0</v>
      </c>
      <c r="C677" s="195">
        <v>22641.1</v>
      </c>
      <c r="D677" s="11">
        <v>793039.0</v>
      </c>
      <c r="E677" s="196">
        <v>-953.83</v>
      </c>
      <c r="F677" s="11">
        <v>6.0</v>
      </c>
      <c r="G677" s="11">
        <v>58.0</v>
      </c>
    </row>
    <row r="678">
      <c r="A678" s="11">
        <v>5.0</v>
      </c>
      <c r="B678" s="16">
        <v>9.0</v>
      </c>
      <c r="C678" s="195">
        <v>-8968.25</v>
      </c>
      <c r="D678" s="11">
        <v>648325.0</v>
      </c>
      <c r="E678" s="196">
        <v>16917.54</v>
      </c>
      <c r="F678" s="11">
        <v>7.0</v>
      </c>
      <c r="G678" s="11">
        <v>27.0</v>
      </c>
    </row>
    <row r="679">
      <c r="A679" s="11">
        <v>7.0</v>
      </c>
      <c r="B679" s="16">
        <v>4.0</v>
      </c>
      <c r="C679" s="195">
        <v>90705.0</v>
      </c>
      <c r="D679" s="11">
        <v>744192.0</v>
      </c>
      <c r="E679" s="196">
        <v>-87551.71</v>
      </c>
      <c r="F679" s="11">
        <v>2.0</v>
      </c>
      <c r="G679" s="11">
        <v>70.0</v>
      </c>
    </row>
    <row r="680">
      <c r="A680" s="11">
        <v>2.0</v>
      </c>
      <c r="B680" s="16">
        <v>5.0</v>
      </c>
      <c r="C680" s="195">
        <v>-21251.69</v>
      </c>
      <c r="D680" s="11">
        <v>100290.0</v>
      </c>
      <c r="E680" s="196">
        <v>-96370.04</v>
      </c>
      <c r="F680" s="11">
        <v>2.0</v>
      </c>
      <c r="G680" s="11">
        <v>56.0</v>
      </c>
    </row>
    <row r="681">
      <c r="A681" s="11">
        <v>8.0</v>
      </c>
      <c r="B681" s="16">
        <v>9.0</v>
      </c>
      <c r="C681" s="195">
        <v>-65527.62</v>
      </c>
      <c r="D681" s="11">
        <v>721522.0</v>
      </c>
      <c r="E681" s="196">
        <v>-8781.74</v>
      </c>
      <c r="F681" s="11">
        <v>5.0</v>
      </c>
      <c r="G681" s="11">
        <v>47.0</v>
      </c>
    </row>
    <row r="682">
      <c r="A682" s="11">
        <v>6.0</v>
      </c>
      <c r="B682" s="16">
        <v>7.0</v>
      </c>
      <c r="C682" s="195">
        <v>-89098.21</v>
      </c>
      <c r="D682" s="11">
        <v>120757.0</v>
      </c>
      <c r="E682" s="196">
        <v>13183.98</v>
      </c>
      <c r="F682" s="11">
        <v>6.0</v>
      </c>
      <c r="G682" s="11">
        <v>70.0</v>
      </c>
    </row>
    <row r="683">
      <c r="A683" s="11">
        <v>5.0</v>
      </c>
      <c r="B683" s="16">
        <v>3.0</v>
      </c>
      <c r="C683" s="195">
        <v>67161.75</v>
      </c>
      <c r="D683" s="11">
        <v>464917.0</v>
      </c>
      <c r="E683" s="196">
        <v>-80757.58</v>
      </c>
      <c r="F683" s="11">
        <v>4.0</v>
      </c>
      <c r="G683" s="11">
        <v>47.0</v>
      </c>
    </row>
    <row r="684">
      <c r="A684" s="11">
        <v>1.0</v>
      </c>
      <c r="B684" s="16">
        <v>2.0</v>
      </c>
      <c r="C684" s="195">
        <v>-67674.96</v>
      </c>
      <c r="D684" s="11">
        <v>631505.0</v>
      </c>
      <c r="E684" s="196">
        <v>84468.75</v>
      </c>
      <c r="F684" s="11">
        <v>3.0</v>
      </c>
      <c r="G684" s="11">
        <v>45.0</v>
      </c>
    </row>
    <row r="685">
      <c r="A685" s="11">
        <v>6.0</v>
      </c>
      <c r="B685" s="16">
        <v>1.0</v>
      </c>
      <c r="C685" s="195">
        <v>-73341.75</v>
      </c>
      <c r="D685" s="11">
        <v>275003.0</v>
      </c>
      <c r="E685" s="196">
        <v>36537.23</v>
      </c>
      <c r="F685" s="11">
        <v>2.0</v>
      </c>
      <c r="G685" s="11">
        <v>72.0</v>
      </c>
    </row>
    <row r="686">
      <c r="A686" s="11">
        <v>6.0</v>
      </c>
      <c r="B686" s="16">
        <v>4.0</v>
      </c>
      <c r="C686" s="195">
        <v>-57044.69</v>
      </c>
      <c r="D686" s="11">
        <v>308503.0</v>
      </c>
      <c r="E686" s="196">
        <v>-60671.95</v>
      </c>
      <c r="F686" s="11">
        <v>5.0</v>
      </c>
      <c r="G686" s="11">
        <v>17.0</v>
      </c>
    </row>
    <row r="687">
      <c r="A687" s="11">
        <v>9.0</v>
      </c>
      <c r="B687" s="16">
        <v>7.0</v>
      </c>
      <c r="C687" s="195">
        <v>80296.27</v>
      </c>
      <c r="D687" s="11">
        <v>782167.0</v>
      </c>
      <c r="E687" s="196">
        <v>25357.5</v>
      </c>
      <c r="F687" s="11">
        <v>8.0</v>
      </c>
      <c r="G687" s="11">
        <v>40.0</v>
      </c>
    </row>
    <row r="688">
      <c r="A688" s="11">
        <v>8.0</v>
      </c>
      <c r="B688" s="16">
        <v>1.0</v>
      </c>
      <c r="C688" s="195">
        <v>90847.96</v>
      </c>
      <c r="D688" s="11">
        <v>472527.0</v>
      </c>
      <c r="E688" s="196">
        <v>66035.69</v>
      </c>
      <c r="F688" s="11">
        <v>9.0</v>
      </c>
      <c r="G688" s="11">
        <v>79.0</v>
      </c>
    </row>
    <row r="689">
      <c r="A689" s="11">
        <v>6.0</v>
      </c>
      <c r="B689" s="16">
        <v>8.0</v>
      </c>
      <c r="C689" s="195">
        <v>-15362.65</v>
      </c>
      <c r="D689" s="11">
        <v>193437.0</v>
      </c>
      <c r="E689" s="196">
        <v>80830.11</v>
      </c>
      <c r="F689" s="11">
        <v>4.0</v>
      </c>
      <c r="G689" s="11">
        <v>35.0</v>
      </c>
    </row>
    <row r="690">
      <c r="A690" s="11">
        <v>6.0</v>
      </c>
      <c r="B690" s="16">
        <v>1.0</v>
      </c>
      <c r="C690" s="195">
        <v>-25851.75</v>
      </c>
      <c r="D690" s="11">
        <v>471173.0</v>
      </c>
      <c r="E690" s="196">
        <v>1489.91</v>
      </c>
      <c r="F690" s="11">
        <v>2.0</v>
      </c>
      <c r="G690" s="11">
        <v>43.0</v>
      </c>
    </row>
    <row r="691">
      <c r="A691" s="11">
        <v>6.0</v>
      </c>
      <c r="B691" s="16">
        <v>4.0</v>
      </c>
      <c r="C691" s="195">
        <v>5073.22</v>
      </c>
      <c r="D691" s="11">
        <v>750969.0</v>
      </c>
      <c r="E691" s="196">
        <v>67940.44</v>
      </c>
      <c r="F691" s="11">
        <v>8.0</v>
      </c>
      <c r="G691" s="11">
        <v>93.0</v>
      </c>
    </row>
    <row r="692">
      <c r="A692" s="11">
        <v>8.0</v>
      </c>
      <c r="B692" s="16">
        <v>2.0</v>
      </c>
      <c r="C692" s="195">
        <v>98264.52</v>
      </c>
      <c r="D692" s="11">
        <v>977781.0</v>
      </c>
      <c r="E692" s="196">
        <v>-62795.91</v>
      </c>
      <c r="F692" s="11">
        <v>3.0</v>
      </c>
      <c r="G692" s="11">
        <v>61.0</v>
      </c>
    </row>
    <row r="693">
      <c r="A693" s="11">
        <v>1.0</v>
      </c>
      <c r="B693" s="16">
        <v>3.0</v>
      </c>
      <c r="C693" s="195">
        <v>-67987.46</v>
      </c>
      <c r="D693" s="11">
        <v>780577.0</v>
      </c>
      <c r="E693" s="196">
        <v>35557.63</v>
      </c>
      <c r="F693" s="11">
        <v>5.0</v>
      </c>
      <c r="G693" s="11">
        <v>43.0</v>
      </c>
    </row>
    <row r="694">
      <c r="A694" s="11">
        <v>8.0</v>
      </c>
      <c r="B694" s="16">
        <v>7.0</v>
      </c>
      <c r="C694" s="195">
        <v>91713.56</v>
      </c>
      <c r="D694" s="11">
        <v>373563.0</v>
      </c>
      <c r="E694" s="196">
        <v>33493.65</v>
      </c>
      <c r="F694" s="11">
        <v>8.0</v>
      </c>
      <c r="G694" s="11">
        <v>57.0</v>
      </c>
    </row>
    <row r="695">
      <c r="A695" s="11">
        <v>6.0</v>
      </c>
      <c r="B695" s="16">
        <v>5.0</v>
      </c>
      <c r="C695" s="195">
        <v>-47801.3</v>
      </c>
      <c r="D695" s="11">
        <v>710580.0</v>
      </c>
      <c r="E695" s="196">
        <v>-66410.64</v>
      </c>
      <c r="F695" s="11">
        <v>5.0</v>
      </c>
      <c r="G695" s="11">
        <v>56.0</v>
      </c>
    </row>
    <row r="696">
      <c r="A696" s="11">
        <v>4.0</v>
      </c>
      <c r="B696" s="16">
        <v>4.0</v>
      </c>
      <c r="C696" s="195">
        <v>-49547.23</v>
      </c>
      <c r="D696" s="11">
        <v>788997.0</v>
      </c>
      <c r="E696" s="196">
        <v>44403.96</v>
      </c>
      <c r="F696" s="11">
        <v>9.0</v>
      </c>
      <c r="G696" s="11">
        <v>38.0</v>
      </c>
    </row>
    <row r="697">
      <c r="A697" s="11">
        <v>1.0</v>
      </c>
      <c r="B697" s="16">
        <v>9.0</v>
      </c>
      <c r="C697" s="195">
        <v>76824.82</v>
      </c>
      <c r="D697" s="11">
        <v>280111.0</v>
      </c>
      <c r="E697" s="196">
        <v>-25898.46</v>
      </c>
      <c r="F697" s="11">
        <v>7.0</v>
      </c>
      <c r="G697" s="11">
        <v>72.0</v>
      </c>
    </row>
    <row r="698">
      <c r="A698" s="11">
        <v>7.0</v>
      </c>
      <c r="B698" s="16">
        <v>6.0</v>
      </c>
      <c r="C698" s="195">
        <v>33405.03</v>
      </c>
      <c r="D698" s="11">
        <v>461549.0</v>
      </c>
      <c r="E698" s="196">
        <v>9971.29</v>
      </c>
      <c r="F698" s="11">
        <v>2.0</v>
      </c>
      <c r="G698" s="11">
        <v>10.0</v>
      </c>
    </row>
    <row r="699">
      <c r="A699" s="11">
        <v>2.0</v>
      </c>
      <c r="B699" s="16">
        <v>7.0</v>
      </c>
      <c r="C699" s="195">
        <v>78650.75</v>
      </c>
      <c r="D699" s="11">
        <v>215685.0</v>
      </c>
      <c r="E699" s="196">
        <v>-98312.53</v>
      </c>
      <c r="F699" s="11">
        <v>9.0</v>
      </c>
      <c r="G699" s="11">
        <v>21.0</v>
      </c>
    </row>
    <row r="700">
      <c r="A700" s="11">
        <v>2.0</v>
      </c>
      <c r="B700" s="16">
        <v>6.0</v>
      </c>
      <c r="C700" s="195">
        <v>39319.56</v>
      </c>
      <c r="D700" s="11">
        <v>249276.0</v>
      </c>
      <c r="E700" s="196">
        <v>98464.96</v>
      </c>
      <c r="F700" s="11">
        <v>9.0</v>
      </c>
      <c r="G700" s="11">
        <v>75.0</v>
      </c>
    </row>
    <row r="701">
      <c r="A701" s="11">
        <v>4.0</v>
      </c>
      <c r="B701" s="16">
        <v>1.0</v>
      </c>
      <c r="C701" s="195">
        <v>-9017.18</v>
      </c>
      <c r="D701" s="11">
        <v>308015.0</v>
      </c>
      <c r="E701" s="196">
        <v>44166.86</v>
      </c>
      <c r="F701" s="11">
        <v>2.0</v>
      </c>
      <c r="G701" s="11">
        <v>29.0</v>
      </c>
    </row>
    <row r="702">
      <c r="A702" s="11">
        <v>7.0</v>
      </c>
      <c r="B702" s="16">
        <v>1.0</v>
      </c>
      <c r="C702" s="195">
        <v>28917.25</v>
      </c>
      <c r="D702" s="11">
        <v>280314.0</v>
      </c>
      <c r="E702" s="196">
        <v>-4401.32</v>
      </c>
      <c r="F702" s="11">
        <v>6.0</v>
      </c>
      <c r="G702" s="11">
        <v>28.0</v>
      </c>
    </row>
    <row r="703">
      <c r="A703" s="11">
        <v>4.0</v>
      </c>
      <c r="B703" s="16">
        <v>3.0</v>
      </c>
      <c r="C703" s="195">
        <v>-26609.92</v>
      </c>
      <c r="D703" s="11">
        <v>527107.0</v>
      </c>
      <c r="E703" s="196">
        <v>79065.69</v>
      </c>
      <c r="F703" s="11">
        <v>9.0</v>
      </c>
      <c r="G703" s="11">
        <v>89.0</v>
      </c>
    </row>
    <row r="704">
      <c r="A704" s="11">
        <v>2.0</v>
      </c>
      <c r="B704" s="16">
        <v>9.0</v>
      </c>
      <c r="C704" s="195">
        <v>-28180.23</v>
      </c>
      <c r="D704" s="11">
        <v>712044.0</v>
      </c>
      <c r="E704" s="196">
        <v>88208.49</v>
      </c>
      <c r="F704" s="11">
        <v>4.0</v>
      </c>
      <c r="G704" s="11">
        <v>23.0</v>
      </c>
    </row>
    <row r="705">
      <c r="A705" s="11">
        <v>3.0</v>
      </c>
      <c r="B705" s="16">
        <v>5.0</v>
      </c>
      <c r="C705" s="195">
        <v>73741.86</v>
      </c>
      <c r="D705" s="11">
        <v>713804.0</v>
      </c>
      <c r="E705" s="196">
        <v>-55313.0</v>
      </c>
      <c r="F705" s="11">
        <v>7.0</v>
      </c>
      <c r="G705" s="11">
        <v>59.0</v>
      </c>
    </row>
    <row r="706">
      <c r="A706" s="11">
        <v>1.0</v>
      </c>
      <c r="B706" s="16">
        <v>7.0</v>
      </c>
      <c r="C706" s="195">
        <v>-92267.28</v>
      </c>
      <c r="D706" s="11">
        <v>622291.0</v>
      </c>
      <c r="E706" s="196">
        <v>37235.14</v>
      </c>
      <c r="F706" s="11">
        <v>8.0</v>
      </c>
      <c r="G706" s="11">
        <v>49.0</v>
      </c>
    </row>
    <row r="707">
      <c r="A707" s="11">
        <v>1.0</v>
      </c>
      <c r="B707" s="16">
        <v>9.0</v>
      </c>
      <c r="C707" s="195">
        <v>87257.33</v>
      </c>
      <c r="D707" s="11">
        <v>452389.0</v>
      </c>
      <c r="E707" s="196">
        <v>-12949.38</v>
      </c>
      <c r="F707" s="11">
        <v>3.0</v>
      </c>
      <c r="G707" s="11">
        <v>14.0</v>
      </c>
    </row>
    <row r="708">
      <c r="A708" s="11">
        <v>8.0</v>
      </c>
      <c r="B708" s="16">
        <v>3.0</v>
      </c>
      <c r="C708" s="195">
        <v>-90290.52</v>
      </c>
      <c r="D708" s="11">
        <v>228535.0</v>
      </c>
      <c r="E708" s="196">
        <v>-99411.19</v>
      </c>
      <c r="F708" s="11">
        <v>7.0</v>
      </c>
      <c r="G708" s="11">
        <v>21.0</v>
      </c>
    </row>
    <row r="709">
      <c r="A709" s="11">
        <v>3.0</v>
      </c>
      <c r="B709" s="16">
        <v>9.0</v>
      </c>
      <c r="C709" s="195">
        <v>-25918.25</v>
      </c>
      <c r="D709" s="11">
        <v>387645.0</v>
      </c>
      <c r="E709" s="196">
        <v>-57784.25</v>
      </c>
      <c r="F709" s="11">
        <v>6.0</v>
      </c>
      <c r="G709" s="11">
        <v>20.0</v>
      </c>
    </row>
    <row r="710">
      <c r="A710" s="11">
        <v>2.0</v>
      </c>
      <c r="B710" s="16">
        <v>6.0</v>
      </c>
      <c r="C710" s="195">
        <v>66011.18</v>
      </c>
      <c r="D710" s="11">
        <v>719592.0</v>
      </c>
      <c r="E710" s="196">
        <v>97232.84</v>
      </c>
      <c r="F710" s="11">
        <v>1.0</v>
      </c>
      <c r="G710" s="11">
        <v>71.0</v>
      </c>
    </row>
    <row r="711">
      <c r="A711" s="11">
        <v>3.0</v>
      </c>
      <c r="B711" s="16">
        <v>2.0</v>
      </c>
      <c r="C711" s="195">
        <v>46681.39</v>
      </c>
      <c r="D711" s="11">
        <v>737481.0</v>
      </c>
      <c r="E711" s="196">
        <v>-80712.36</v>
      </c>
      <c r="F711" s="11">
        <v>8.0</v>
      </c>
      <c r="G711" s="11">
        <v>88.0</v>
      </c>
    </row>
    <row r="712">
      <c r="A712" s="11">
        <v>9.0</v>
      </c>
      <c r="B712" s="16">
        <v>4.0</v>
      </c>
      <c r="C712" s="195">
        <v>85320.62</v>
      </c>
      <c r="D712" s="11">
        <v>521599.0</v>
      </c>
      <c r="E712" s="196">
        <v>38750.43</v>
      </c>
      <c r="F712" s="11">
        <v>7.0</v>
      </c>
      <c r="G712" s="11">
        <v>16.0</v>
      </c>
    </row>
    <row r="713">
      <c r="A713" s="11">
        <v>2.0</v>
      </c>
      <c r="B713" s="16">
        <v>3.0</v>
      </c>
      <c r="C713" s="195">
        <v>-34414.56</v>
      </c>
      <c r="D713" s="11">
        <v>492913.0</v>
      </c>
      <c r="E713" s="196">
        <v>-88977.97</v>
      </c>
      <c r="F713" s="11">
        <v>5.0</v>
      </c>
      <c r="G713" s="11">
        <v>40.0</v>
      </c>
    </row>
    <row r="714">
      <c r="A714" s="11">
        <v>9.0</v>
      </c>
      <c r="B714" s="16">
        <v>1.0</v>
      </c>
      <c r="C714" s="195">
        <v>69734.41</v>
      </c>
      <c r="D714" s="11">
        <v>387759.0</v>
      </c>
      <c r="E714" s="196">
        <v>-50327.62</v>
      </c>
      <c r="F714" s="11">
        <v>2.0</v>
      </c>
      <c r="G714" s="11">
        <v>55.0</v>
      </c>
    </row>
    <row r="715">
      <c r="A715" s="11">
        <v>6.0</v>
      </c>
      <c r="B715" s="16">
        <v>8.0</v>
      </c>
      <c r="C715" s="195">
        <v>-85718.35</v>
      </c>
      <c r="D715" s="11">
        <v>373487.0</v>
      </c>
      <c r="E715" s="196">
        <v>47483.08</v>
      </c>
      <c r="F715" s="11">
        <v>8.0</v>
      </c>
      <c r="G715" s="11">
        <v>24.0</v>
      </c>
    </row>
    <row r="716">
      <c r="A716" s="11">
        <v>5.0</v>
      </c>
      <c r="B716" s="16">
        <v>1.0</v>
      </c>
      <c r="C716" s="195">
        <v>-49042.45</v>
      </c>
      <c r="D716" s="11">
        <v>252557.0</v>
      </c>
      <c r="E716" s="196">
        <v>79393.34</v>
      </c>
      <c r="F716" s="11">
        <v>9.0</v>
      </c>
      <c r="G716" s="11">
        <v>89.0</v>
      </c>
    </row>
    <row r="717">
      <c r="A717" s="11">
        <v>3.0</v>
      </c>
      <c r="B717" s="16">
        <v>6.0</v>
      </c>
      <c r="C717" s="195">
        <v>2068.89</v>
      </c>
      <c r="D717" s="11">
        <v>328166.0</v>
      </c>
      <c r="E717" s="196">
        <v>31022.23</v>
      </c>
      <c r="F717" s="11">
        <v>1.0</v>
      </c>
      <c r="G717" s="11">
        <v>76.0</v>
      </c>
    </row>
    <row r="718">
      <c r="A718" s="11">
        <v>6.0</v>
      </c>
      <c r="B718" s="16">
        <v>7.0</v>
      </c>
      <c r="C718" s="195">
        <v>-50885.32</v>
      </c>
      <c r="D718" s="11">
        <v>992073.0</v>
      </c>
      <c r="E718" s="196">
        <v>55433.15</v>
      </c>
      <c r="F718" s="11">
        <v>2.0</v>
      </c>
      <c r="G718" s="11">
        <v>32.0</v>
      </c>
    </row>
    <row r="719">
      <c r="A719" s="11">
        <v>7.0</v>
      </c>
      <c r="B719" s="16">
        <v>5.0</v>
      </c>
      <c r="C719" s="195">
        <v>92808.21</v>
      </c>
      <c r="D719" s="11">
        <v>292873.0</v>
      </c>
      <c r="E719" s="196">
        <v>72211.36</v>
      </c>
      <c r="F719" s="11">
        <v>3.0</v>
      </c>
      <c r="G719" s="11">
        <v>76.0</v>
      </c>
    </row>
    <row r="720">
      <c r="A720" s="11">
        <v>9.0</v>
      </c>
      <c r="B720" s="16">
        <v>7.0</v>
      </c>
      <c r="C720" s="195">
        <v>43020.28</v>
      </c>
      <c r="D720" s="11">
        <v>713695.0</v>
      </c>
      <c r="E720" s="196">
        <v>91215.88</v>
      </c>
      <c r="F720" s="11">
        <v>1.0</v>
      </c>
      <c r="G720" s="11">
        <v>77.0</v>
      </c>
    </row>
    <row r="721">
      <c r="A721" s="11">
        <v>2.0</v>
      </c>
      <c r="B721" s="16">
        <v>5.0</v>
      </c>
      <c r="C721" s="195">
        <v>-67054.33</v>
      </c>
      <c r="D721" s="11">
        <v>181329.0</v>
      </c>
      <c r="E721" s="196">
        <v>-56324.98</v>
      </c>
      <c r="F721" s="11">
        <v>4.0</v>
      </c>
      <c r="G721" s="11">
        <v>46.0</v>
      </c>
    </row>
    <row r="722">
      <c r="A722" s="11">
        <v>7.0</v>
      </c>
      <c r="B722" s="16">
        <v>3.0</v>
      </c>
      <c r="C722" s="195">
        <v>-68267.67</v>
      </c>
      <c r="D722" s="11">
        <v>731126.0</v>
      </c>
      <c r="E722" s="196">
        <v>54441.99</v>
      </c>
      <c r="F722" s="11">
        <v>6.0</v>
      </c>
      <c r="G722" s="11">
        <v>30.0</v>
      </c>
    </row>
    <row r="723">
      <c r="A723" s="11">
        <v>2.0</v>
      </c>
      <c r="B723" s="16">
        <v>7.0</v>
      </c>
      <c r="C723" s="195">
        <v>60102.8</v>
      </c>
      <c r="D723" s="11">
        <v>887553.0</v>
      </c>
      <c r="E723" s="196">
        <v>19932.89</v>
      </c>
      <c r="F723" s="11">
        <v>3.0</v>
      </c>
      <c r="G723" s="11">
        <v>54.0</v>
      </c>
    </row>
    <row r="724">
      <c r="A724" s="11">
        <v>7.0</v>
      </c>
      <c r="B724" s="16">
        <v>2.0</v>
      </c>
      <c r="C724" s="195">
        <v>56671.99</v>
      </c>
      <c r="D724" s="11">
        <v>858935.0</v>
      </c>
      <c r="E724" s="196">
        <v>-55337.42</v>
      </c>
      <c r="F724" s="11">
        <v>1.0</v>
      </c>
      <c r="G724" s="11">
        <v>82.0</v>
      </c>
    </row>
    <row r="725">
      <c r="A725" s="11">
        <v>9.0</v>
      </c>
      <c r="B725" s="16">
        <v>2.0</v>
      </c>
      <c r="C725" s="195">
        <v>-66570.76</v>
      </c>
      <c r="D725" s="11">
        <v>341889.0</v>
      </c>
      <c r="E725" s="196">
        <v>-78947.17</v>
      </c>
      <c r="F725" s="11">
        <v>7.0</v>
      </c>
      <c r="G725" s="11">
        <v>82.0</v>
      </c>
    </row>
    <row r="726">
      <c r="A726" s="11">
        <v>3.0</v>
      </c>
      <c r="B726" s="16">
        <v>5.0</v>
      </c>
      <c r="C726" s="195">
        <v>91730.09</v>
      </c>
      <c r="D726" s="11">
        <v>229900.0</v>
      </c>
      <c r="E726" s="196">
        <v>10465.85</v>
      </c>
      <c r="F726" s="11">
        <v>9.0</v>
      </c>
      <c r="G726" s="11">
        <v>83.0</v>
      </c>
    </row>
    <row r="727">
      <c r="A727" s="11">
        <v>4.0</v>
      </c>
      <c r="B727" s="16">
        <v>3.0</v>
      </c>
      <c r="C727" s="195">
        <v>-46417.67</v>
      </c>
      <c r="D727" s="11">
        <v>721263.0</v>
      </c>
      <c r="E727" s="196">
        <v>-81189.17</v>
      </c>
      <c r="F727" s="11">
        <v>6.0</v>
      </c>
      <c r="G727" s="11">
        <v>78.0</v>
      </c>
    </row>
    <row r="728">
      <c r="A728" s="11">
        <v>1.0</v>
      </c>
      <c r="B728" s="16">
        <v>2.0</v>
      </c>
      <c r="C728" s="195">
        <v>39058.69</v>
      </c>
      <c r="D728" s="11">
        <v>403152.0</v>
      </c>
      <c r="E728" s="196">
        <v>64921.07</v>
      </c>
      <c r="F728" s="11">
        <v>5.0</v>
      </c>
      <c r="G728" s="11">
        <v>18.0</v>
      </c>
    </row>
    <row r="729">
      <c r="A729" s="11">
        <v>2.0</v>
      </c>
      <c r="B729" s="16">
        <v>3.0</v>
      </c>
      <c r="C729" s="195">
        <v>49691.51</v>
      </c>
      <c r="D729" s="11">
        <v>476169.0</v>
      </c>
      <c r="E729" s="196">
        <v>-48181.87</v>
      </c>
      <c r="F729" s="11">
        <v>4.0</v>
      </c>
      <c r="G729" s="11">
        <v>61.0</v>
      </c>
    </row>
    <row r="730">
      <c r="A730" s="11">
        <v>4.0</v>
      </c>
      <c r="B730" s="16">
        <v>5.0</v>
      </c>
      <c r="C730" s="195">
        <v>11907.58</v>
      </c>
      <c r="D730" s="11">
        <v>834622.0</v>
      </c>
      <c r="E730" s="196">
        <v>-74448.38</v>
      </c>
      <c r="F730" s="11">
        <v>1.0</v>
      </c>
      <c r="G730" s="11">
        <v>56.0</v>
      </c>
    </row>
    <row r="731">
      <c r="A731" s="11">
        <v>3.0</v>
      </c>
      <c r="B731" s="16">
        <v>5.0</v>
      </c>
      <c r="C731" s="195">
        <v>-60253.0</v>
      </c>
      <c r="D731" s="11">
        <v>350532.0</v>
      </c>
      <c r="E731" s="196">
        <v>29543.48</v>
      </c>
      <c r="F731" s="11">
        <v>3.0</v>
      </c>
      <c r="G731" s="11">
        <v>73.0</v>
      </c>
    </row>
    <row r="732">
      <c r="A732" s="11">
        <v>3.0</v>
      </c>
      <c r="B732" s="16">
        <v>1.0</v>
      </c>
      <c r="C732" s="195">
        <v>-33932.61</v>
      </c>
      <c r="D732" s="11">
        <v>364821.0</v>
      </c>
      <c r="E732" s="196">
        <v>-80069.2</v>
      </c>
      <c r="F732" s="11">
        <v>2.0</v>
      </c>
      <c r="G732" s="11">
        <v>90.0</v>
      </c>
    </row>
    <row r="733">
      <c r="A733" s="11">
        <v>9.0</v>
      </c>
      <c r="B733" s="16">
        <v>7.0</v>
      </c>
      <c r="C733" s="195">
        <v>-40241.07</v>
      </c>
      <c r="D733" s="11">
        <v>674645.0</v>
      </c>
      <c r="E733" s="196">
        <v>-74012.91</v>
      </c>
      <c r="F733" s="11">
        <v>3.0</v>
      </c>
      <c r="G733" s="11">
        <v>20.0</v>
      </c>
    </row>
    <row r="734">
      <c r="A734" s="11">
        <v>3.0</v>
      </c>
      <c r="B734" s="16">
        <v>1.0</v>
      </c>
      <c r="C734" s="195">
        <v>40289.34</v>
      </c>
      <c r="D734" s="11">
        <v>464369.0</v>
      </c>
      <c r="E734" s="196">
        <v>-95095.6</v>
      </c>
      <c r="F734" s="11">
        <v>4.0</v>
      </c>
      <c r="G734" s="11">
        <v>51.0</v>
      </c>
    </row>
    <row r="735">
      <c r="A735" s="11">
        <v>5.0</v>
      </c>
      <c r="B735" s="16">
        <v>9.0</v>
      </c>
      <c r="C735" s="195">
        <v>94483.78</v>
      </c>
      <c r="D735" s="11">
        <v>152273.0</v>
      </c>
      <c r="E735" s="196">
        <v>83612.55</v>
      </c>
      <c r="F735" s="11">
        <v>6.0</v>
      </c>
      <c r="G735" s="11">
        <v>14.0</v>
      </c>
    </row>
    <row r="736">
      <c r="A736" s="11">
        <v>6.0</v>
      </c>
      <c r="B736" s="16">
        <v>7.0</v>
      </c>
      <c r="C736" s="195">
        <v>-14487.82</v>
      </c>
      <c r="D736" s="11">
        <v>581853.0</v>
      </c>
      <c r="E736" s="196">
        <v>-35221.81</v>
      </c>
      <c r="F736" s="11">
        <v>4.0</v>
      </c>
      <c r="G736" s="11">
        <v>54.0</v>
      </c>
    </row>
    <row r="737">
      <c r="A737" s="11">
        <v>5.0</v>
      </c>
      <c r="B737" s="16">
        <v>9.0</v>
      </c>
      <c r="C737" s="195">
        <v>31523.43</v>
      </c>
      <c r="D737" s="11">
        <v>869982.0</v>
      </c>
      <c r="E737" s="196">
        <v>-20120.55</v>
      </c>
      <c r="F737" s="11">
        <v>3.0</v>
      </c>
      <c r="G737" s="11">
        <v>67.0</v>
      </c>
    </row>
    <row r="738">
      <c r="A738" s="11">
        <v>4.0</v>
      </c>
      <c r="B738" s="16">
        <v>9.0</v>
      </c>
      <c r="C738" s="195">
        <v>84015.8</v>
      </c>
      <c r="D738" s="11">
        <v>820940.0</v>
      </c>
      <c r="E738" s="196">
        <v>-32451.08</v>
      </c>
      <c r="F738" s="11">
        <v>1.0</v>
      </c>
      <c r="G738" s="11">
        <v>77.0</v>
      </c>
    </row>
    <row r="739">
      <c r="A739" s="11">
        <v>1.0</v>
      </c>
      <c r="B739" s="16">
        <v>2.0</v>
      </c>
      <c r="C739" s="195">
        <v>-13603.76</v>
      </c>
      <c r="D739" s="11">
        <v>877722.0</v>
      </c>
      <c r="E739" s="196">
        <v>-40471.68</v>
      </c>
      <c r="F739" s="11">
        <v>7.0</v>
      </c>
      <c r="G739" s="11">
        <v>47.0</v>
      </c>
    </row>
    <row r="740">
      <c r="A740" s="11">
        <v>2.0</v>
      </c>
      <c r="B740" s="16">
        <v>7.0</v>
      </c>
      <c r="C740" s="195">
        <v>83772.69</v>
      </c>
      <c r="D740" s="11">
        <v>374671.0</v>
      </c>
      <c r="E740" s="196">
        <v>-89032.31</v>
      </c>
      <c r="F740" s="11">
        <v>2.0</v>
      </c>
      <c r="G740" s="11">
        <v>77.0</v>
      </c>
    </row>
    <row r="741">
      <c r="A741" s="11">
        <v>5.0</v>
      </c>
      <c r="B741" s="16">
        <v>8.0</v>
      </c>
      <c r="C741" s="195">
        <v>-57064.62</v>
      </c>
      <c r="D741" s="11">
        <v>727451.0</v>
      </c>
      <c r="E741" s="196">
        <v>-46085.91</v>
      </c>
      <c r="F741" s="11">
        <v>1.0</v>
      </c>
      <c r="G741" s="11">
        <v>98.0</v>
      </c>
    </row>
    <row r="742">
      <c r="A742" s="11">
        <v>6.0</v>
      </c>
      <c r="B742" s="16">
        <v>2.0</v>
      </c>
      <c r="C742" s="195">
        <v>-65986.02</v>
      </c>
      <c r="D742" s="11">
        <v>130348.0</v>
      </c>
      <c r="E742" s="196">
        <v>19232.66</v>
      </c>
      <c r="F742" s="11">
        <v>2.0</v>
      </c>
      <c r="G742" s="11">
        <v>82.0</v>
      </c>
    </row>
    <row r="743">
      <c r="A743" s="11">
        <v>5.0</v>
      </c>
      <c r="B743" s="16">
        <v>6.0</v>
      </c>
      <c r="C743" s="195">
        <v>-65646.41</v>
      </c>
      <c r="D743" s="11">
        <v>688604.0</v>
      </c>
      <c r="E743" s="196">
        <v>35900.84</v>
      </c>
      <c r="F743" s="11">
        <v>8.0</v>
      </c>
      <c r="G743" s="11">
        <v>31.0</v>
      </c>
    </row>
    <row r="744">
      <c r="A744" s="11">
        <v>3.0</v>
      </c>
      <c r="B744" s="16">
        <v>2.0</v>
      </c>
      <c r="C744" s="195">
        <v>-79874.61</v>
      </c>
      <c r="D744" s="11">
        <v>291482.0</v>
      </c>
      <c r="E744" s="196">
        <v>70898.65</v>
      </c>
      <c r="F744" s="11">
        <v>8.0</v>
      </c>
      <c r="G744" s="11">
        <v>74.0</v>
      </c>
    </row>
    <row r="745">
      <c r="A745" s="11">
        <v>1.0</v>
      </c>
      <c r="B745" s="16">
        <v>2.0</v>
      </c>
      <c r="C745" s="195">
        <v>-75993.22</v>
      </c>
      <c r="D745" s="11">
        <v>912371.0</v>
      </c>
      <c r="E745" s="196">
        <v>-38301.22</v>
      </c>
      <c r="F745" s="11">
        <v>7.0</v>
      </c>
      <c r="G745" s="11">
        <v>51.0</v>
      </c>
    </row>
    <row r="746">
      <c r="A746" s="11">
        <v>7.0</v>
      </c>
      <c r="B746" s="16">
        <v>8.0</v>
      </c>
      <c r="C746" s="195">
        <v>46255.51</v>
      </c>
      <c r="D746" s="11">
        <v>236942.0</v>
      </c>
      <c r="E746" s="196">
        <v>-71285.2</v>
      </c>
      <c r="F746" s="11">
        <v>7.0</v>
      </c>
      <c r="G746" s="11">
        <v>24.0</v>
      </c>
    </row>
    <row r="747">
      <c r="A747" s="11">
        <v>9.0</v>
      </c>
      <c r="B747" s="16">
        <v>2.0</v>
      </c>
      <c r="C747" s="195">
        <v>1771.83</v>
      </c>
      <c r="D747" s="11">
        <v>756359.0</v>
      </c>
      <c r="E747" s="196">
        <v>-87506.93</v>
      </c>
      <c r="F747" s="11">
        <v>1.0</v>
      </c>
      <c r="G747" s="11">
        <v>62.0</v>
      </c>
    </row>
    <row r="748">
      <c r="A748" s="11">
        <v>7.0</v>
      </c>
      <c r="B748" s="16">
        <v>4.0</v>
      </c>
      <c r="C748" s="195">
        <v>78416.38</v>
      </c>
      <c r="D748" s="11">
        <v>207522.0</v>
      </c>
      <c r="E748" s="196">
        <v>38290.48</v>
      </c>
      <c r="F748" s="11">
        <v>6.0</v>
      </c>
      <c r="G748" s="11">
        <v>48.0</v>
      </c>
    </row>
    <row r="749">
      <c r="A749" s="11">
        <v>4.0</v>
      </c>
      <c r="B749" s="16">
        <v>8.0</v>
      </c>
      <c r="C749" s="195">
        <v>-81244.53</v>
      </c>
      <c r="D749" s="11">
        <v>176485.0</v>
      </c>
      <c r="E749" s="196">
        <v>-50520.58</v>
      </c>
      <c r="F749" s="11">
        <v>6.0</v>
      </c>
      <c r="G749" s="11">
        <v>94.0</v>
      </c>
    </row>
    <row r="750">
      <c r="A750" s="11">
        <v>5.0</v>
      </c>
      <c r="B750" s="16">
        <v>8.0</v>
      </c>
      <c r="C750" s="195">
        <v>-73206.85</v>
      </c>
      <c r="D750" s="11">
        <v>710464.0</v>
      </c>
      <c r="E750" s="196">
        <v>15217.83</v>
      </c>
      <c r="F750" s="11">
        <v>7.0</v>
      </c>
      <c r="G750" s="11">
        <v>92.0</v>
      </c>
    </row>
    <row r="751">
      <c r="A751" s="11">
        <v>5.0</v>
      </c>
      <c r="B751" s="16">
        <v>1.0</v>
      </c>
      <c r="C751" s="195">
        <v>-48842.45</v>
      </c>
      <c r="D751" s="11">
        <v>129155.0</v>
      </c>
      <c r="E751" s="196">
        <v>-51302.73</v>
      </c>
      <c r="F751" s="11">
        <v>6.0</v>
      </c>
      <c r="G751" s="11">
        <v>48.0</v>
      </c>
    </row>
    <row r="752">
      <c r="A752" s="11">
        <v>7.0</v>
      </c>
      <c r="B752" s="16">
        <v>4.0</v>
      </c>
      <c r="C752" s="195">
        <v>79597.39</v>
      </c>
      <c r="D752" s="11">
        <v>298022.0</v>
      </c>
      <c r="E752" s="196">
        <v>57725.32</v>
      </c>
      <c r="F752" s="11">
        <v>4.0</v>
      </c>
      <c r="G752" s="11">
        <v>57.0</v>
      </c>
    </row>
    <row r="753">
      <c r="A753" s="11">
        <v>3.0</v>
      </c>
      <c r="B753" s="16">
        <v>7.0</v>
      </c>
      <c r="C753" s="195">
        <v>10201.84</v>
      </c>
      <c r="D753" s="11">
        <v>125761.0</v>
      </c>
      <c r="E753" s="196">
        <v>-98453.89</v>
      </c>
      <c r="F753" s="11">
        <v>2.0</v>
      </c>
      <c r="G753" s="11">
        <v>47.0</v>
      </c>
    </row>
    <row r="754">
      <c r="A754" s="11">
        <v>5.0</v>
      </c>
      <c r="B754" s="16">
        <v>7.0</v>
      </c>
      <c r="C754" s="195">
        <v>30585.65</v>
      </c>
      <c r="D754" s="11">
        <v>630063.0</v>
      </c>
      <c r="E754" s="196">
        <v>89142.31</v>
      </c>
      <c r="F754" s="11">
        <v>3.0</v>
      </c>
      <c r="G754" s="11">
        <v>50.0</v>
      </c>
    </row>
    <row r="755">
      <c r="A755" s="11">
        <v>7.0</v>
      </c>
      <c r="B755" s="16">
        <v>3.0</v>
      </c>
      <c r="C755" s="195">
        <v>-27389.91</v>
      </c>
      <c r="D755" s="11">
        <v>267915.0</v>
      </c>
      <c r="E755" s="196">
        <v>-95210.33</v>
      </c>
      <c r="F755" s="11">
        <v>7.0</v>
      </c>
      <c r="G755" s="11">
        <v>79.0</v>
      </c>
    </row>
    <row r="756">
      <c r="A756" s="11">
        <v>4.0</v>
      </c>
      <c r="B756" s="16">
        <v>8.0</v>
      </c>
      <c r="C756" s="195">
        <v>-71914.4</v>
      </c>
      <c r="D756" s="11">
        <v>397498.0</v>
      </c>
      <c r="E756" s="196">
        <v>-3166.16</v>
      </c>
      <c r="F756" s="11">
        <v>4.0</v>
      </c>
      <c r="G756" s="11">
        <v>32.0</v>
      </c>
    </row>
    <row r="757">
      <c r="A757" s="11">
        <v>6.0</v>
      </c>
      <c r="B757" s="16">
        <v>8.0</v>
      </c>
      <c r="C757" s="195">
        <v>52189.96</v>
      </c>
      <c r="D757" s="11">
        <v>245219.0</v>
      </c>
      <c r="E757" s="196">
        <v>75548.5</v>
      </c>
      <c r="F757" s="11">
        <v>1.0</v>
      </c>
      <c r="G757" s="11">
        <v>73.0</v>
      </c>
    </row>
    <row r="758">
      <c r="A758" s="11">
        <v>5.0</v>
      </c>
      <c r="B758" s="16">
        <v>5.0</v>
      </c>
      <c r="C758" s="195">
        <v>-79527.22</v>
      </c>
      <c r="D758" s="11">
        <v>380089.0</v>
      </c>
      <c r="E758" s="196">
        <v>8612.2</v>
      </c>
      <c r="F758" s="11">
        <v>3.0</v>
      </c>
      <c r="G758" s="11">
        <v>56.0</v>
      </c>
    </row>
    <row r="759">
      <c r="A759" s="11">
        <v>6.0</v>
      </c>
      <c r="B759" s="16">
        <v>5.0</v>
      </c>
      <c r="C759" s="195">
        <v>1919.88</v>
      </c>
      <c r="D759" s="11">
        <v>116767.0</v>
      </c>
      <c r="E759" s="196">
        <v>5277.43</v>
      </c>
      <c r="F759" s="11">
        <v>3.0</v>
      </c>
      <c r="G759" s="11">
        <v>28.0</v>
      </c>
    </row>
    <row r="760">
      <c r="A760" s="11">
        <v>3.0</v>
      </c>
      <c r="B760" s="16">
        <v>5.0</v>
      </c>
      <c r="C760" s="195">
        <v>78301.22</v>
      </c>
      <c r="D760" s="11">
        <v>267456.0</v>
      </c>
      <c r="E760" s="196">
        <v>-4663.59</v>
      </c>
      <c r="F760" s="11">
        <v>7.0</v>
      </c>
      <c r="G760" s="11">
        <v>29.0</v>
      </c>
    </row>
    <row r="761">
      <c r="A761" s="11">
        <v>6.0</v>
      </c>
      <c r="B761" s="16">
        <v>1.0</v>
      </c>
      <c r="C761" s="195">
        <v>146.38</v>
      </c>
      <c r="D761" s="11">
        <v>939333.0</v>
      </c>
      <c r="E761" s="196">
        <v>3115.48</v>
      </c>
      <c r="F761" s="11">
        <v>5.0</v>
      </c>
      <c r="G761" s="11">
        <v>13.0</v>
      </c>
    </row>
    <row r="762">
      <c r="A762" s="11">
        <v>7.0</v>
      </c>
      <c r="B762" s="16">
        <v>8.0</v>
      </c>
      <c r="C762" s="195">
        <v>-68276.97</v>
      </c>
      <c r="D762" s="11">
        <v>913005.0</v>
      </c>
      <c r="E762" s="196">
        <v>63797.38</v>
      </c>
      <c r="F762" s="11">
        <v>9.0</v>
      </c>
      <c r="G762" s="11">
        <v>78.0</v>
      </c>
    </row>
    <row r="763">
      <c r="A763" s="11">
        <v>3.0</v>
      </c>
      <c r="B763" s="16">
        <v>6.0</v>
      </c>
      <c r="C763" s="195">
        <v>-7578.4</v>
      </c>
      <c r="D763" s="11">
        <v>913491.0</v>
      </c>
      <c r="E763" s="196">
        <v>-71896.22</v>
      </c>
      <c r="F763" s="11">
        <v>9.0</v>
      </c>
      <c r="G763" s="11">
        <v>84.0</v>
      </c>
    </row>
    <row r="764">
      <c r="A764" s="11">
        <v>1.0</v>
      </c>
      <c r="B764" s="16">
        <v>1.0</v>
      </c>
      <c r="C764" s="195">
        <v>54904.46</v>
      </c>
      <c r="D764" s="11">
        <v>724708.0</v>
      </c>
      <c r="E764" s="196">
        <v>-35602.7</v>
      </c>
      <c r="F764" s="11">
        <v>1.0</v>
      </c>
      <c r="G764" s="11">
        <v>35.0</v>
      </c>
    </row>
    <row r="765">
      <c r="A765" s="11">
        <v>2.0</v>
      </c>
      <c r="B765" s="16">
        <v>9.0</v>
      </c>
      <c r="C765" s="195">
        <v>-94414.38</v>
      </c>
      <c r="D765" s="11">
        <v>367134.0</v>
      </c>
      <c r="E765" s="196">
        <v>-14108.37</v>
      </c>
      <c r="F765" s="11">
        <v>7.0</v>
      </c>
      <c r="G765" s="11">
        <v>49.0</v>
      </c>
    </row>
    <row r="766">
      <c r="A766" s="11">
        <v>4.0</v>
      </c>
      <c r="B766" s="16">
        <v>2.0</v>
      </c>
      <c r="C766" s="195">
        <v>-61155.91</v>
      </c>
      <c r="D766" s="11">
        <v>546431.0</v>
      </c>
      <c r="E766" s="196">
        <v>3048.78</v>
      </c>
      <c r="F766" s="11">
        <v>1.0</v>
      </c>
      <c r="G766" s="11">
        <v>25.0</v>
      </c>
    </row>
    <row r="767">
      <c r="A767" s="11">
        <v>4.0</v>
      </c>
      <c r="B767" s="16">
        <v>1.0</v>
      </c>
      <c r="C767" s="195">
        <v>40149.43</v>
      </c>
      <c r="D767" s="11">
        <v>737684.0</v>
      </c>
      <c r="E767" s="196">
        <v>-40815.79</v>
      </c>
      <c r="F767" s="11">
        <v>6.0</v>
      </c>
      <c r="G767" s="11">
        <v>56.0</v>
      </c>
    </row>
    <row r="768">
      <c r="A768" s="11">
        <v>3.0</v>
      </c>
      <c r="B768" s="16">
        <v>3.0</v>
      </c>
      <c r="C768" s="195">
        <v>-81093.09</v>
      </c>
      <c r="D768" s="11">
        <v>422275.0</v>
      </c>
      <c r="E768" s="196">
        <v>8444.92</v>
      </c>
      <c r="F768" s="11">
        <v>6.0</v>
      </c>
      <c r="G768" s="11">
        <v>83.0</v>
      </c>
    </row>
    <row r="769">
      <c r="A769" s="11">
        <v>4.0</v>
      </c>
      <c r="B769" s="16">
        <v>7.0</v>
      </c>
      <c r="C769" s="195">
        <v>5493.72</v>
      </c>
      <c r="D769" s="11">
        <v>663520.0</v>
      </c>
      <c r="E769" s="196">
        <v>-24378.84</v>
      </c>
      <c r="F769" s="11">
        <v>1.0</v>
      </c>
      <c r="G769" s="11">
        <v>40.0</v>
      </c>
    </row>
    <row r="770">
      <c r="A770" s="11">
        <v>1.0</v>
      </c>
      <c r="B770" s="16">
        <v>9.0</v>
      </c>
      <c r="C770" s="195">
        <v>62366.5</v>
      </c>
      <c r="D770" s="11">
        <v>309257.0</v>
      </c>
      <c r="E770" s="196">
        <v>-79276.1</v>
      </c>
      <c r="F770" s="11">
        <v>9.0</v>
      </c>
      <c r="G770" s="11">
        <v>27.0</v>
      </c>
    </row>
    <row r="771">
      <c r="A771" s="11">
        <v>1.0</v>
      </c>
      <c r="B771" s="16">
        <v>1.0</v>
      </c>
      <c r="C771" s="195">
        <v>-35500.69</v>
      </c>
      <c r="D771" s="11">
        <v>678610.0</v>
      </c>
      <c r="E771" s="196">
        <v>73151.78</v>
      </c>
      <c r="F771" s="11">
        <v>6.0</v>
      </c>
      <c r="G771" s="11">
        <v>46.0</v>
      </c>
    </row>
    <row r="772">
      <c r="A772" s="11">
        <v>1.0</v>
      </c>
      <c r="B772" s="16">
        <v>6.0</v>
      </c>
      <c r="C772" s="195">
        <v>-25889.18</v>
      </c>
      <c r="D772" s="11">
        <v>505142.0</v>
      </c>
      <c r="E772" s="196">
        <v>-51863.43</v>
      </c>
      <c r="F772" s="11">
        <v>2.0</v>
      </c>
      <c r="G772" s="11">
        <v>80.0</v>
      </c>
    </row>
    <row r="773">
      <c r="A773" s="11">
        <v>9.0</v>
      </c>
      <c r="B773" s="16">
        <v>8.0</v>
      </c>
      <c r="C773" s="195">
        <v>-66426.04</v>
      </c>
      <c r="D773" s="11">
        <v>961737.0</v>
      </c>
      <c r="E773" s="196">
        <v>-55678.91</v>
      </c>
      <c r="F773" s="11">
        <v>1.0</v>
      </c>
      <c r="G773" s="11">
        <v>22.0</v>
      </c>
    </row>
    <row r="774">
      <c r="A774" s="11">
        <v>4.0</v>
      </c>
      <c r="B774" s="16">
        <v>7.0</v>
      </c>
      <c r="C774" s="195">
        <v>30784.29</v>
      </c>
      <c r="D774" s="11">
        <v>286520.0</v>
      </c>
      <c r="E774" s="196">
        <v>-31863.87</v>
      </c>
      <c r="F774" s="11">
        <v>7.0</v>
      </c>
      <c r="G774" s="11">
        <v>14.0</v>
      </c>
    </row>
    <row r="775">
      <c r="A775" s="11">
        <v>9.0</v>
      </c>
      <c r="B775" s="16">
        <v>4.0</v>
      </c>
      <c r="C775" s="195">
        <v>5483.18</v>
      </c>
      <c r="D775" s="11">
        <v>361024.0</v>
      </c>
      <c r="E775" s="196">
        <v>30344.93</v>
      </c>
      <c r="F775" s="11">
        <v>9.0</v>
      </c>
      <c r="G775" s="11">
        <v>96.0</v>
      </c>
    </row>
    <row r="776">
      <c r="A776" s="11">
        <v>6.0</v>
      </c>
      <c r="B776" s="16">
        <v>5.0</v>
      </c>
      <c r="C776" s="195">
        <v>-39192.11</v>
      </c>
      <c r="D776" s="11">
        <v>958507.0</v>
      </c>
      <c r="E776" s="196">
        <v>91457.78</v>
      </c>
      <c r="F776" s="11">
        <v>5.0</v>
      </c>
      <c r="G776" s="11">
        <v>56.0</v>
      </c>
    </row>
    <row r="777">
      <c r="A777" s="11">
        <v>3.0</v>
      </c>
      <c r="B777" s="16">
        <v>2.0</v>
      </c>
      <c r="C777" s="195">
        <v>-99917.52</v>
      </c>
      <c r="D777" s="11">
        <v>276881.0</v>
      </c>
      <c r="E777" s="196">
        <v>-9948.87</v>
      </c>
      <c r="F777" s="11">
        <v>5.0</v>
      </c>
      <c r="G777" s="11">
        <v>22.0</v>
      </c>
    </row>
    <row r="778">
      <c r="A778" s="11">
        <v>4.0</v>
      </c>
      <c r="B778" s="16">
        <v>2.0</v>
      </c>
      <c r="C778" s="195">
        <v>-24418.73</v>
      </c>
      <c r="D778" s="11">
        <v>238593.0</v>
      </c>
      <c r="E778" s="196">
        <v>26027.4</v>
      </c>
      <c r="F778" s="11">
        <v>3.0</v>
      </c>
      <c r="G778" s="11">
        <v>80.0</v>
      </c>
    </row>
    <row r="779">
      <c r="A779" s="11">
        <v>6.0</v>
      </c>
      <c r="B779" s="16">
        <v>9.0</v>
      </c>
      <c r="C779" s="195">
        <v>81907.5</v>
      </c>
      <c r="D779" s="11">
        <v>257829.0</v>
      </c>
      <c r="E779" s="196">
        <v>-26847.9</v>
      </c>
      <c r="F779" s="11">
        <v>7.0</v>
      </c>
      <c r="G779" s="11">
        <v>94.0</v>
      </c>
    </row>
    <row r="780">
      <c r="A780" s="11">
        <v>3.0</v>
      </c>
      <c r="B780" s="16">
        <v>5.0</v>
      </c>
      <c r="C780" s="195">
        <v>-96999.0</v>
      </c>
      <c r="D780" s="11">
        <v>702201.0</v>
      </c>
      <c r="E780" s="196">
        <v>53532.65</v>
      </c>
      <c r="F780" s="11">
        <v>7.0</v>
      </c>
      <c r="G780" s="11">
        <v>92.0</v>
      </c>
    </row>
    <row r="781">
      <c r="A781" s="11">
        <v>1.0</v>
      </c>
      <c r="B781" s="16">
        <v>6.0</v>
      </c>
      <c r="C781" s="195">
        <v>-12959.73</v>
      </c>
      <c r="D781" s="11">
        <v>338999.0</v>
      </c>
      <c r="E781" s="196">
        <v>-73833.23</v>
      </c>
      <c r="F781" s="11">
        <v>6.0</v>
      </c>
      <c r="G781" s="11">
        <v>48.0</v>
      </c>
    </row>
    <row r="782">
      <c r="A782" s="11">
        <v>4.0</v>
      </c>
      <c r="B782" s="16">
        <v>7.0</v>
      </c>
      <c r="C782" s="195">
        <v>69067.19</v>
      </c>
      <c r="D782" s="11">
        <v>688862.0</v>
      </c>
      <c r="E782" s="196">
        <v>13980.16</v>
      </c>
      <c r="F782" s="11">
        <v>2.0</v>
      </c>
      <c r="G782" s="11">
        <v>99.0</v>
      </c>
    </row>
    <row r="783">
      <c r="A783" s="11">
        <v>8.0</v>
      </c>
      <c r="B783" s="16">
        <v>8.0</v>
      </c>
      <c r="C783" s="195">
        <v>-8502.29</v>
      </c>
      <c r="D783" s="11">
        <v>731167.0</v>
      </c>
      <c r="E783" s="196">
        <v>1713.13</v>
      </c>
      <c r="F783" s="11">
        <v>4.0</v>
      </c>
      <c r="G783" s="11">
        <v>42.0</v>
      </c>
    </row>
    <row r="784">
      <c r="A784" s="11">
        <v>9.0</v>
      </c>
      <c r="B784" s="16">
        <v>9.0</v>
      </c>
      <c r="C784" s="195">
        <v>78872.92</v>
      </c>
      <c r="D784" s="11">
        <v>918572.0</v>
      </c>
      <c r="E784" s="196">
        <v>44756.84</v>
      </c>
      <c r="F784" s="11">
        <v>4.0</v>
      </c>
      <c r="G784" s="11">
        <v>56.0</v>
      </c>
    </row>
    <row r="785">
      <c r="A785" s="11">
        <v>9.0</v>
      </c>
      <c r="B785" s="16">
        <v>3.0</v>
      </c>
      <c r="C785" s="195">
        <v>57339.0</v>
      </c>
      <c r="D785" s="11">
        <v>739534.0</v>
      </c>
      <c r="E785" s="196">
        <v>-87251.42</v>
      </c>
      <c r="F785" s="11">
        <v>4.0</v>
      </c>
      <c r="G785" s="11">
        <v>24.0</v>
      </c>
    </row>
    <row r="786">
      <c r="A786" s="11">
        <v>9.0</v>
      </c>
      <c r="B786" s="16">
        <v>5.0</v>
      </c>
      <c r="C786" s="195">
        <v>-62623.28</v>
      </c>
      <c r="D786" s="11">
        <v>832692.0</v>
      </c>
      <c r="E786" s="196">
        <v>-4030.57</v>
      </c>
      <c r="F786" s="11">
        <v>1.0</v>
      </c>
      <c r="G786" s="11">
        <v>34.0</v>
      </c>
    </row>
    <row r="787">
      <c r="A787" s="11">
        <v>9.0</v>
      </c>
      <c r="B787" s="16">
        <v>7.0</v>
      </c>
      <c r="C787" s="195">
        <v>14273.12</v>
      </c>
      <c r="D787" s="11">
        <v>306263.0</v>
      </c>
      <c r="E787" s="196">
        <v>82310.79</v>
      </c>
      <c r="F787" s="11">
        <v>2.0</v>
      </c>
      <c r="G787" s="11">
        <v>28.0</v>
      </c>
    </row>
    <row r="788">
      <c r="A788" s="11">
        <v>9.0</v>
      </c>
      <c r="B788" s="16">
        <v>9.0</v>
      </c>
      <c r="C788" s="195">
        <v>-43168.13</v>
      </c>
      <c r="D788" s="11">
        <v>605972.0</v>
      </c>
      <c r="E788" s="196">
        <v>-36322.76</v>
      </c>
      <c r="F788" s="11">
        <v>7.0</v>
      </c>
      <c r="G788" s="11">
        <v>22.0</v>
      </c>
    </row>
    <row r="789">
      <c r="A789" s="11">
        <v>2.0</v>
      </c>
      <c r="B789" s="16">
        <v>9.0</v>
      </c>
      <c r="C789" s="195">
        <v>58069.71</v>
      </c>
      <c r="D789" s="11">
        <v>653580.0</v>
      </c>
      <c r="E789" s="196">
        <v>14460.26</v>
      </c>
      <c r="F789" s="11">
        <v>5.0</v>
      </c>
      <c r="G789" s="11">
        <v>20.0</v>
      </c>
    </row>
    <row r="790">
      <c r="A790" s="11">
        <v>9.0</v>
      </c>
      <c r="B790" s="16">
        <v>8.0</v>
      </c>
      <c r="C790" s="195">
        <v>-22944.3</v>
      </c>
      <c r="D790" s="11">
        <v>270475.0</v>
      </c>
      <c r="E790" s="196">
        <v>-8705.45</v>
      </c>
      <c r="F790" s="11">
        <v>7.0</v>
      </c>
      <c r="G790" s="11">
        <v>20.0</v>
      </c>
    </row>
    <row r="791">
      <c r="A791" s="11">
        <v>3.0</v>
      </c>
      <c r="B791" s="16">
        <v>1.0</v>
      </c>
      <c r="C791" s="195">
        <v>88616.67</v>
      </c>
      <c r="D791" s="11">
        <v>667613.0</v>
      </c>
      <c r="E791" s="196">
        <v>-16581.73</v>
      </c>
      <c r="F791" s="11">
        <v>9.0</v>
      </c>
      <c r="G791" s="11">
        <v>25.0</v>
      </c>
    </row>
    <row r="792">
      <c r="A792" s="11">
        <v>7.0</v>
      </c>
      <c r="B792" s="16">
        <v>8.0</v>
      </c>
      <c r="C792" s="195">
        <v>-87813.13</v>
      </c>
      <c r="D792" s="11">
        <v>852776.0</v>
      </c>
      <c r="E792" s="196">
        <v>94494.59</v>
      </c>
      <c r="F792" s="11">
        <v>8.0</v>
      </c>
      <c r="G792" s="11">
        <v>79.0</v>
      </c>
    </row>
    <row r="793">
      <c r="A793" s="11">
        <v>1.0</v>
      </c>
      <c r="B793" s="16">
        <v>6.0</v>
      </c>
      <c r="C793" s="195">
        <v>57685.42</v>
      </c>
      <c r="D793" s="11">
        <v>186846.0</v>
      </c>
      <c r="E793" s="196">
        <v>-94899.55</v>
      </c>
      <c r="F793" s="11">
        <v>8.0</v>
      </c>
      <c r="G793" s="11">
        <v>65.0</v>
      </c>
    </row>
    <row r="794">
      <c r="A794" s="11">
        <v>2.0</v>
      </c>
      <c r="B794" s="16">
        <v>3.0</v>
      </c>
      <c r="C794" s="195">
        <v>-69710.77</v>
      </c>
      <c r="D794" s="11">
        <v>113744.0</v>
      </c>
      <c r="E794" s="196">
        <v>41937.41</v>
      </c>
      <c r="F794" s="11">
        <v>9.0</v>
      </c>
      <c r="G794" s="11">
        <v>55.0</v>
      </c>
    </row>
    <row r="795">
      <c r="A795" s="11">
        <v>1.0</v>
      </c>
      <c r="B795" s="16">
        <v>4.0</v>
      </c>
      <c r="C795" s="195">
        <v>64358.03</v>
      </c>
      <c r="D795" s="11">
        <v>117552.0</v>
      </c>
      <c r="E795" s="196">
        <v>486.82</v>
      </c>
      <c r="F795" s="11">
        <v>2.0</v>
      </c>
      <c r="G795" s="11">
        <v>26.0</v>
      </c>
    </row>
    <row r="796">
      <c r="A796" s="11">
        <v>4.0</v>
      </c>
      <c r="B796" s="16">
        <v>3.0</v>
      </c>
      <c r="C796" s="195">
        <v>-43365.01</v>
      </c>
      <c r="D796" s="11">
        <v>954523.0</v>
      </c>
      <c r="E796" s="196">
        <v>-32585.63</v>
      </c>
      <c r="F796" s="11">
        <v>7.0</v>
      </c>
      <c r="G796" s="11">
        <v>90.0</v>
      </c>
    </row>
    <row r="797">
      <c r="A797" s="11">
        <v>6.0</v>
      </c>
      <c r="B797" s="16">
        <v>1.0</v>
      </c>
      <c r="C797" s="195">
        <v>-61134.72</v>
      </c>
      <c r="D797" s="11">
        <v>253063.0</v>
      </c>
      <c r="E797" s="196">
        <v>-21996.32</v>
      </c>
      <c r="F797" s="11">
        <v>6.0</v>
      </c>
      <c r="G797" s="11">
        <v>61.0</v>
      </c>
    </row>
    <row r="798">
      <c r="A798" s="11">
        <v>9.0</v>
      </c>
      <c r="B798" s="16">
        <v>2.0</v>
      </c>
      <c r="C798" s="195">
        <v>-2578.38</v>
      </c>
      <c r="D798" s="11">
        <v>416237.0</v>
      </c>
      <c r="E798" s="196">
        <v>47252.92</v>
      </c>
      <c r="F798" s="11">
        <v>9.0</v>
      </c>
      <c r="G798" s="11">
        <v>47.0</v>
      </c>
    </row>
    <row r="799">
      <c r="A799" s="11">
        <v>3.0</v>
      </c>
      <c r="B799" s="16">
        <v>1.0</v>
      </c>
      <c r="C799" s="195">
        <v>-84689.59</v>
      </c>
      <c r="D799" s="11">
        <v>222212.0</v>
      </c>
      <c r="E799" s="196">
        <v>-56357.44</v>
      </c>
      <c r="F799" s="11">
        <v>6.0</v>
      </c>
      <c r="G799" s="11">
        <v>26.0</v>
      </c>
    </row>
    <row r="800">
      <c r="A800" s="11">
        <v>9.0</v>
      </c>
      <c r="B800" s="16">
        <v>5.0</v>
      </c>
      <c r="C800" s="195">
        <v>13663.78</v>
      </c>
      <c r="D800" s="11">
        <v>737428.0</v>
      </c>
      <c r="E800" s="196">
        <v>92787.74</v>
      </c>
      <c r="F800" s="11">
        <v>1.0</v>
      </c>
      <c r="G800" s="11">
        <v>41.0</v>
      </c>
    </row>
    <row r="801">
      <c r="A801" s="11">
        <v>2.0</v>
      </c>
      <c r="B801" s="16">
        <v>1.0</v>
      </c>
      <c r="C801" s="195">
        <v>63110.28</v>
      </c>
      <c r="D801" s="11">
        <v>753919.0</v>
      </c>
      <c r="E801" s="196">
        <v>-8362.63</v>
      </c>
      <c r="F801" s="11">
        <v>1.0</v>
      </c>
      <c r="G801" s="11">
        <v>30.0</v>
      </c>
    </row>
    <row r="802">
      <c r="A802" s="11">
        <v>4.0</v>
      </c>
      <c r="B802" s="16">
        <v>9.0</v>
      </c>
      <c r="C802" s="195">
        <v>35197.72</v>
      </c>
      <c r="D802" s="11">
        <v>807668.0</v>
      </c>
      <c r="E802" s="196">
        <v>33141.27</v>
      </c>
      <c r="F802" s="11">
        <v>5.0</v>
      </c>
      <c r="G802" s="11">
        <v>70.0</v>
      </c>
    </row>
    <row r="803">
      <c r="A803" s="11">
        <v>6.0</v>
      </c>
      <c r="B803" s="16">
        <v>5.0</v>
      </c>
      <c r="C803" s="195">
        <v>94544.79</v>
      </c>
      <c r="D803" s="11">
        <v>166571.0</v>
      </c>
      <c r="E803" s="196">
        <v>74194.15</v>
      </c>
      <c r="F803" s="11">
        <v>5.0</v>
      </c>
      <c r="G803" s="11">
        <v>37.0</v>
      </c>
    </row>
    <row r="804">
      <c r="A804" s="11">
        <v>8.0</v>
      </c>
      <c r="B804" s="16">
        <v>2.0</v>
      </c>
      <c r="C804" s="195">
        <v>-4900.03</v>
      </c>
      <c r="D804" s="11">
        <v>983466.0</v>
      </c>
      <c r="E804" s="196">
        <v>2865.7</v>
      </c>
      <c r="F804" s="11">
        <v>9.0</v>
      </c>
      <c r="G804" s="11">
        <v>44.0</v>
      </c>
    </row>
    <row r="805">
      <c r="A805" s="11">
        <v>5.0</v>
      </c>
      <c r="B805" s="16">
        <v>9.0</v>
      </c>
      <c r="C805" s="195">
        <v>29611.86</v>
      </c>
      <c r="D805" s="11">
        <v>984288.0</v>
      </c>
      <c r="E805" s="196">
        <v>39514.9</v>
      </c>
      <c r="F805" s="11">
        <v>6.0</v>
      </c>
      <c r="G805" s="11">
        <v>13.0</v>
      </c>
    </row>
    <row r="806">
      <c r="A806" s="11">
        <v>4.0</v>
      </c>
      <c r="B806" s="16">
        <v>4.0</v>
      </c>
      <c r="C806" s="195">
        <v>36861.37</v>
      </c>
      <c r="D806" s="11">
        <v>876515.0</v>
      </c>
      <c r="E806" s="196">
        <v>-98452.78</v>
      </c>
      <c r="F806" s="11">
        <v>4.0</v>
      </c>
      <c r="G806" s="11">
        <v>93.0</v>
      </c>
    </row>
    <row r="807">
      <c r="A807" s="11">
        <v>2.0</v>
      </c>
      <c r="B807" s="16">
        <v>8.0</v>
      </c>
      <c r="C807" s="195">
        <v>94367.73</v>
      </c>
      <c r="D807" s="11">
        <v>682508.0</v>
      </c>
      <c r="E807" s="196">
        <v>6921.86</v>
      </c>
      <c r="F807" s="11">
        <v>3.0</v>
      </c>
      <c r="G807" s="11">
        <v>96.0</v>
      </c>
    </row>
    <row r="808">
      <c r="A808" s="11">
        <v>7.0</v>
      </c>
      <c r="B808" s="16">
        <v>8.0</v>
      </c>
      <c r="C808" s="195">
        <v>36169.76</v>
      </c>
      <c r="D808" s="11">
        <v>160572.0</v>
      </c>
      <c r="E808" s="196">
        <v>48037.56</v>
      </c>
      <c r="F808" s="11">
        <v>1.0</v>
      </c>
      <c r="G808" s="11">
        <v>40.0</v>
      </c>
    </row>
    <row r="809">
      <c r="A809" s="11">
        <v>4.0</v>
      </c>
      <c r="B809" s="16">
        <v>8.0</v>
      </c>
      <c r="C809" s="195">
        <v>33319.92</v>
      </c>
      <c r="D809" s="11">
        <v>104833.0</v>
      </c>
      <c r="E809" s="196">
        <v>66126.09</v>
      </c>
      <c r="F809" s="11">
        <v>6.0</v>
      </c>
      <c r="G809" s="11">
        <v>78.0</v>
      </c>
    </row>
    <row r="810">
      <c r="A810" s="11">
        <v>7.0</v>
      </c>
      <c r="B810" s="16">
        <v>2.0</v>
      </c>
      <c r="C810" s="195">
        <v>-4345.12</v>
      </c>
      <c r="D810" s="11">
        <v>835544.0</v>
      </c>
      <c r="E810" s="196">
        <v>90165.96</v>
      </c>
      <c r="F810" s="11">
        <v>1.0</v>
      </c>
      <c r="G810" s="11">
        <v>48.0</v>
      </c>
    </row>
    <row r="811">
      <c r="A811" s="11">
        <v>8.0</v>
      </c>
      <c r="B811" s="16">
        <v>6.0</v>
      </c>
      <c r="C811" s="195">
        <v>64957.39</v>
      </c>
      <c r="D811" s="11">
        <v>356039.0</v>
      </c>
      <c r="E811" s="196">
        <v>4005.2</v>
      </c>
      <c r="F811" s="11">
        <v>6.0</v>
      </c>
      <c r="G811" s="11">
        <v>17.0</v>
      </c>
    </row>
    <row r="812">
      <c r="A812" s="11">
        <v>2.0</v>
      </c>
      <c r="B812" s="16">
        <v>7.0</v>
      </c>
      <c r="C812" s="195">
        <v>92709.8</v>
      </c>
      <c r="D812" s="11">
        <v>789161.0</v>
      </c>
      <c r="E812" s="196">
        <v>73871.41</v>
      </c>
      <c r="F812" s="11">
        <v>9.0</v>
      </c>
      <c r="G812" s="11">
        <v>59.0</v>
      </c>
    </row>
    <row r="813">
      <c r="A813" s="11">
        <v>2.0</v>
      </c>
      <c r="B813" s="16">
        <v>1.0</v>
      </c>
      <c r="C813" s="195">
        <v>48269.32</v>
      </c>
      <c r="D813" s="11">
        <v>527435.0</v>
      </c>
      <c r="E813" s="196">
        <v>-72064.77</v>
      </c>
      <c r="F813" s="11">
        <v>1.0</v>
      </c>
      <c r="G813" s="11">
        <v>25.0</v>
      </c>
    </row>
    <row r="814">
      <c r="A814" s="11">
        <v>5.0</v>
      </c>
      <c r="B814" s="16">
        <v>9.0</v>
      </c>
      <c r="C814" s="195">
        <v>99244.89</v>
      </c>
      <c r="D814" s="11">
        <v>664292.0</v>
      </c>
      <c r="E814" s="196">
        <v>20454.95</v>
      </c>
      <c r="F814" s="11">
        <v>2.0</v>
      </c>
      <c r="G814" s="11">
        <v>31.0</v>
      </c>
    </row>
    <row r="815">
      <c r="A815" s="11">
        <v>7.0</v>
      </c>
      <c r="B815" s="16">
        <v>9.0</v>
      </c>
      <c r="C815" s="195">
        <v>-33637.36</v>
      </c>
      <c r="D815" s="11">
        <v>361346.0</v>
      </c>
      <c r="E815" s="196">
        <v>40888.49</v>
      </c>
      <c r="F815" s="11">
        <v>1.0</v>
      </c>
      <c r="G815" s="11">
        <v>51.0</v>
      </c>
    </row>
    <row r="816">
      <c r="A816" s="11">
        <v>4.0</v>
      </c>
      <c r="B816" s="16">
        <v>2.0</v>
      </c>
      <c r="C816" s="195">
        <v>47673.13</v>
      </c>
      <c r="D816" s="11">
        <v>846493.0</v>
      </c>
      <c r="E816" s="196">
        <v>40076.42</v>
      </c>
      <c r="F816" s="11">
        <v>2.0</v>
      </c>
      <c r="G816" s="11">
        <v>69.0</v>
      </c>
    </row>
    <row r="817">
      <c r="A817" s="11">
        <v>4.0</v>
      </c>
      <c r="B817" s="16">
        <v>6.0</v>
      </c>
      <c r="C817" s="195">
        <v>-38965.99</v>
      </c>
      <c r="D817" s="11">
        <v>781887.0</v>
      </c>
      <c r="E817" s="196">
        <v>-71476.73</v>
      </c>
      <c r="F817" s="11">
        <v>4.0</v>
      </c>
      <c r="G817" s="11">
        <v>81.0</v>
      </c>
    </row>
    <row r="818">
      <c r="A818" s="11">
        <v>1.0</v>
      </c>
      <c r="B818" s="16">
        <v>9.0</v>
      </c>
      <c r="C818" s="195">
        <v>83784.53</v>
      </c>
      <c r="D818" s="11">
        <v>506193.0</v>
      </c>
      <c r="E818" s="196">
        <v>92248.06</v>
      </c>
      <c r="F818" s="11">
        <v>6.0</v>
      </c>
      <c r="G818" s="11">
        <v>96.0</v>
      </c>
    </row>
    <row r="819">
      <c r="A819" s="11">
        <v>2.0</v>
      </c>
      <c r="B819" s="16">
        <v>4.0</v>
      </c>
      <c r="C819" s="195">
        <v>-92789.89</v>
      </c>
      <c r="D819" s="11">
        <v>653546.0</v>
      </c>
      <c r="E819" s="196">
        <v>76304.72</v>
      </c>
      <c r="F819" s="11">
        <v>5.0</v>
      </c>
      <c r="G819" s="11">
        <v>74.0</v>
      </c>
    </row>
    <row r="820">
      <c r="A820" s="11">
        <v>5.0</v>
      </c>
      <c r="B820" s="16">
        <v>5.0</v>
      </c>
      <c r="C820" s="195">
        <v>-45688.7</v>
      </c>
      <c r="D820" s="11">
        <v>572292.0</v>
      </c>
      <c r="E820" s="196">
        <v>26054.97</v>
      </c>
      <c r="F820" s="11">
        <v>5.0</v>
      </c>
      <c r="G820" s="11">
        <v>87.0</v>
      </c>
    </row>
    <row r="821">
      <c r="A821" s="11">
        <v>5.0</v>
      </c>
      <c r="B821" s="16">
        <v>2.0</v>
      </c>
      <c r="C821" s="195">
        <v>70524.94</v>
      </c>
      <c r="D821" s="11">
        <v>357388.0</v>
      </c>
      <c r="E821" s="196">
        <v>-5719.65</v>
      </c>
      <c r="F821" s="11">
        <v>4.0</v>
      </c>
      <c r="G821" s="11">
        <v>45.0</v>
      </c>
    </row>
    <row r="822">
      <c r="A822" s="11">
        <v>5.0</v>
      </c>
      <c r="B822" s="16">
        <v>5.0</v>
      </c>
      <c r="C822" s="195">
        <v>49328.96</v>
      </c>
      <c r="D822" s="11">
        <v>330302.0</v>
      </c>
      <c r="E822" s="196">
        <v>-58374.92</v>
      </c>
      <c r="F822" s="11">
        <v>6.0</v>
      </c>
      <c r="G822" s="11">
        <v>61.0</v>
      </c>
    </row>
    <row r="823">
      <c r="A823" s="11">
        <v>3.0</v>
      </c>
      <c r="B823" s="16">
        <v>6.0</v>
      </c>
      <c r="C823" s="195">
        <v>-42853.56</v>
      </c>
      <c r="D823" s="11">
        <v>915960.0</v>
      </c>
      <c r="E823" s="196">
        <v>-63415.61</v>
      </c>
      <c r="F823" s="11">
        <v>6.0</v>
      </c>
      <c r="G823" s="11">
        <v>33.0</v>
      </c>
    </row>
    <row r="824">
      <c r="A824" s="11">
        <v>8.0</v>
      </c>
      <c r="B824" s="16">
        <v>7.0</v>
      </c>
      <c r="C824" s="195">
        <v>-13980.88</v>
      </c>
      <c r="D824" s="11">
        <v>986604.0</v>
      </c>
      <c r="E824" s="196">
        <v>66607.86</v>
      </c>
      <c r="F824" s="11">
        <v>7.0</v>
      </c>
      <c r="G824" s="11">
        <v>48.0</v>
      </c>
    </row>
    <row r="825">
      <c r="A825" s="11">
        <v>6.0</v>
      </c>
      <c r="B825" s="16">
        <v>4.0</v>
      </c>
      <c r="C825" s="195">
        <v>31896.77</v>
      </c>
      <c r="D825" s="11">
        <v>665475.0</v>
      </c>
      <c r="E825" s="196">
        <v>-65602.11</v>
      </c>
      <c r="F825" s="11">
        <v>9.0</v>
      </c>
      <c r="G825" s="11">
        <v>39.0</v>
      </c>
    </row>
    <row r="826">
      <c r="A826" s="11">
        <v>8.0</v>
      </c>
      <c r="B826" s="16">
        <v>2.0</v>
      </c>
      <c r="C826" s="195">
        <v>-59601.23</v>
      </c>
      <c r="D826" s="11">
        <v>648394.0</v>
      </c>
      <c r="E826" s="196">
        <v>29680.17</v>
      </c>
      <c r="F826" s="11">
        <v>9.0</v>
      </c>
      <c r="G826" s="11">
        <v>85.0</v>
      </c>
    </row>
    <row r="827">
      <c r="A827" s="11">
        <v>1.0</v>
      </c>
      <c r="B827" s="16">
        <v>1.0</v>
      </c>
      <c r="C827" s="195">
        <v>-56572.47</v>
      </c>
      <c r="D827" s="11">
        <v>558570.0</v>
      </c>
      <c r="E827" s="196">
        <v>-35352.51</v>
      </c>
      <c r="F827" s="11">
        <v>6.0</v>
      </c>
      <c r="G827" s="11">
        <v>28.0</v>
      </c>
    </row>
    <row r="828">
      <c r="A828" s="11">
        <v>4.0</v>
      </c>
      <c r="B828" s="16">
        <v>5.0</v>
      </c>
      <c r="C828" s="195">
        <v>-72970.13</v>
      </c>
      <c r="D828" s="11">
        <v>133579.0</v>
      </c>
      <c r="E828" s="196">
        <v>-95548.07</v>
      </c>
      <c r="F828" s="11">
        <v>7.0</v>
      </c>
      <c r="G828" s="11">
        <v>12.0</v>
      </c>
    </row>
    <row r="829">
      <c r="A829" s="11">
        <v>2.0</v>
      </c>
      <c r="B829" s="16">
        <v>2.0</v>
      </c>
      <c r="C829" s="195">
        <v>-29895.88</v>
      </c>
      <c r="D829" s="11">
        <v>805986.0</v>
      </c>
      <c r="E829" s="196">
        <v>-5425.6</v>
      </c>
      <c r="F829" s="11">
        <v>4.0</v>
      </c>
      <c r="G829" s="11">
        <v>96.0</v>
      </c>
    </row>
    <row r="830">
      <c r="A830" s="11">
        <v>7.0</v>
      </c>
      <c r="B830" s="16">
        <v>1.0</v>
      </c>
      <c r="C830" s="195">
        <v>-87712.2</v>
      </c>
      <c r="D830" s="11">
        <v>223043.0</v>
      </c>
      <c r="E830" s="196">
        <v>21431.89</v>
      </c>
      <c r="F830" s="11">
        <v>4.0</v>
      </c>
      <c r="G830" s="11">
        <v>90.0</v>
      </c>
    </row>
    <row r="831">
      <c r="A831" s="11">
        <v>4.0</v>
      </c>
      <c r="B831" s="16">
        <v>5.0</v>
      </c>
      <c r="C831" s="195">
        <v>94159.33</v>
      </c>
      <c r="D831" s="11">
        <v>282869.0</v>
      </c>
      <c r="E831" s="196">
        <v>82233.8</v>
      </c>
      <c r="F831" s="11">
        <v>7.0</v>
      </c>
      <c r="G831" s="11">
        <v>14.0</v>
      </c>
    </row>
    <row r="832">
      <c r="A832" s="11">
        <v>7.0</v>
      </c>
      <c r="B832" s="16">
        <v>1.0</v>
      </c>
      <c r="C832" s="195">
        <v>-45066.21</v>
      </c>
      <c r="D832" s="11">
        <v>912189.0</v>
      </c>
      <c r="E832" s="196">
        <v>18326.81</v>
      </c>
      <c r="F832" s="11">
        <v>6.0</v>
      </c>
      <c r="G832" s="11">
        <v>49.0</v>
      </c>
    </row>
    <row r="833">
      <c r="A833" s="11">
        <v>7.0</v>
      </c>
      <c r="B833" s="16">
        <v>8.0</v>
      </c>
      <c r="C833" s="195">
        <v>-12459.65</v>
      </c>
      <c r="D833" s="11">
        <v>399043.0</v>
      </c>
      <c r="E833" s="196">
        <v>21355.19</v>
      </c>
      <c r="F833" s="11">
        <v>7.0</v>
      </c>
      <c r="G833" s="11">
        <v>61.0</v>
      </c>
    </row>
    <row r="834">
      <c r="A834" s="11">
        <v>5.0</v>
      </c>
      <c r="B834" s="16">
        <v>9.0</v>
      </c>
      <c r="C834" s="195">
        <v>-45475.21</v>
      </c>
      <c r="D834" s="11">
        <v>455169.0</v>
      </c>
      <c r="E834" s="196">
        <v>61633.95</v>
      </c>
      <c r="F834" s="11">
        <v>6.0</v>
      </c>
      <c r="G834" s="11">
        <v>28.0</v>
      </c>
    </row>
    <row r="835">
      <c r="A835" s="11">
        <v>9.0</v>
      </c>
      <c r="B835" s="16">
        <v>5.0</v>
      </c>
      <c r="C835" s="195">
        <v>19895.11</v>
      </c>
      <c r="D835" s="11">
        <v>452896.0</v>
      </c>
      <c r="E835" s="196">
        <v>99244.89</v>
      </c>
      <c r="F835" s="11">
        <v>9.0</v>
      </c>
      <c r="G835" s="11">
        <v>24.0</v>
      </c>
    </row>
    <row r="836">
      <c r="A836" s="11">
        <v>6.0</v>
      </c>
      <c r="B836" s="16">
        <v>2.0</v>
      </c>
      <c r="C836" s="195">
        <v>-41784.92</v>
      </c>
      <c r="D836" s="11">
        <v>965612.0</v>
      </c>
      <c r="E836" s="196">
        <v>74376.21</v>
      </c>
      <c r="F836" s="11">
        <v>9.0</v>
      </c>
      <c r="G836" s="11">
        <v>83.0</v>
      </c>
    </row>
    <row r="837">
      <c r="A837" s="11">
        <v>5.0</v>
      </c>
      <c r="B837" s="16">
        <v>6.0</v>
      </c>
      <c r="C837" s="195">
        <v>-68819.14</v>
      </c>
      <c r="D837" s="11">
        <v>885362.0</v>
      </c>
      <c r="E837" s="196">
        <v>-38673.84</v>
      </c>
      <c r="F837" s="11">
        <v>9.0</v>
      </c>
      <c r="G837" s="11">
        <v>89.0</v>
      </c>
    </row>
    <row r="838">
      <c r="A838" s="11">
        <v>6.0</v>
      </c>
      <c r="B838" s="16">
        <v>8.0</v>
      </c>
      <c r="C838" s="195">
        <v>19915.15</v>
      </c>
      <c r="D838" s="11">
        <v>163156.0</v>
      </c>
      <c r="E838" s="196">
        <v>-51393.68</v>
      </c>
      <c r="F838" s="11">
        <v>6.0</v>
      </c>
      <c r="G838" s="11">
        <v>23.0</v>
      </c>
    </row>
    <row r="839">
      <c r="A839" s="11">
        <v>3.0</v>
      </c>
      <c r="B839" s="16">
        <v>2.0</v>
      </c>
      <c r="C839" s="195">
        <v>33144.17</v>
      </c>
      <c r="D839" s="11">
        <v>770951.0</v>
      </c>
      <c r="E839" s="196">
        <v>-64623.94</v>
      </c>
      <c r="F839" s="11">
        <v>5.0</v>
      </c>
      <c r="G839" s="11">
        <v>81.0</v>
      </c>
    </row>
    <row r="840">
      <c r="A840" s="11">
        <v>2.0</v>
      </c>
      <c r="B840" s="16">
        <v>4.0</v>
      </c>
      <c r="C840" s="195">
        <v>-11395.91</v>
      </c>
      <c r="D840" s="11">
        <v>368147.0</v>
      </c>
      <c r="E840" s="196">
        <v>-46790.4</v>
      </c>
      <c r="F840" s="11">
        <v>1.0</v>
      </c>
      <c r="G840" s="11">
        <v>81.0</v>
      </c>
    </row>
    <row r="841">
      <c r="A841" s="11">
        <v>9.0</v>
      </c>
      <c r="B841" s="16">
        <v>2.0</v>
      </c>
      <c r="C841" s="195">
        <v>56621.54</v>
      </c>
      <c r="D841" s="11">
        <v>499421.0</v>
      </c>
      <c r="E841" s="196">
        <v>-73715.61</v>
      </c>
      <c r="F841" s="11">
        <v>2.0</v>
      </c>
      <c r="G841" s="11">
        <v>94.0</v>
      </c>
    </row>
    <row r="842">
      <c r="A842" s="11">
        <v>6.0</v>
      </c>
      <c r="B842" s="16">
        <v>9.0</v>
      </c>
      <c r="C842" s="195">
        <v>-34367.89</v>
      </c>
      <c r="D842" s="11">
        <v>164895.0</v>
      </c>
      <c r="E842" s="196">
        <v>-64146.91</v>
      </c>
      <c r="F842" s="11">
        <v>4.0</v>
      </c>
      <c r="G842" s="11">
        <v>57.0</v>
      </c>
    </row>
    <row r="843">
      <c r="A843" s="11">
        <v>3.0</v>
      </c>
      <c r="B843" s="16">
        <v>2.0</v>
      </c>
      <c r="C843" s="195">
        <v>65296.21</v>
      </c>
      <c r="D843" s="11">
        <v>485216.0</v>
      </c>
      <c r="E843" s="196">
        <v>74475.75</v>
      </c>
      <c r="F843" s="11">
        <v>3.0</v>
      </c>
      <c r="G843" s="11">
        <v>30.0</v>
      </c>
    </row>
    <row r="844">
      <c r="A844" s="11">
        <v>6.0</v>
      </c>
      <c r="B844" s="16">
        <v>5.0</v>
      </c>
      <c r="C844" s="195">
        <v>78322.56</v>
      </c>
      <c r="D844" s="11">
        <v>241138.0</v>
      </c>
      <c r="E844" s="196">
        <v>-85874.2</v>
      </c>
      <c r="F844" s="11">
        <v>6.0</v>
      </c>
      <c r="G844" s="11">
        <v>27.0</v>
      </c>
    </row>
    <row r="845">
      <c r="A845" s="11">
        <v>5.0</v>
      </c>
      <c r="B845" s="16">
        <v>8.0</v>
      </c>
      <c r="C845" s="195">
        <v>69563.44</v>
      </c>
      <c r="D845" s="11">
        <v>264574.0</v>
      </c>
      <c r="E845" s="196">
        <v>18710.67</v>
      </c>
      <c r="F845" s="11">
        <v>2.0</v>
      </c>
      <c r="G845" s="11">
        <v>46.0</v>
      </c>
    </row>
    <row r="846">
      <c r="A846" s="11">
        <v>9.0</v>
      </c>
      <c r="B846" s="16">
        <v>9.0</v>
      </c>
      <c r="C846" s="195">
        <v>-57005.94</v>
      </c>
      <c r="D846" s="11">
        <v>419919.0</v>
      </c>
      <c r="E846" s="196">
        <v>73185.3</v>
      </c>
      <c r="F846" s="11">
        <v>1.0</v>
      </c>
      <c r="G846" s="11">
        <v>44.0</v>
      </c>
    </row>
    <row r="847">
      <c r="A847" s="11">
        <v>5.0</v>
      </c>
      <c r="B847" s="16">
        <v>9.0</v>
      </c>
      <c r="C847" s="195">
        <v>-8540.66</v>
      </c>
      <c r="D847" s="11">
        <v>522444.0</v>
      </c>
      <c r="E847" s="196">
        <v>41300.56</v>
      </c>
      <c r="F847" s="11">
        <v>7.0</v>
      </c>
      <c r="G847" s="11">
        <v>85.0</v>
      </c>
    </row>
    <row r="848">
      <c r="A848" s="11">
        <v>8.0</v>
      </c>
      <c r="B848" s="16">
        <v>1.0</v>
      </c>
      <c r="C848" s="195">
        <v>-44246.2</v>
      </c>
      <c r="D848" s="11">
        <v>181892.0</v>
      </c>
      <c r="E848" s="196">
        <v>-18789.97</v>
      </c>
      <c r="F848" s="11">
        <v>8.0</v>
      </c>
      <c r="G848" s="11">
        <v>38.0</v>
      </c>
    </row>
    <row r="849">
      <c r="A849" s="11">
        <v>5.0</v>
      </c>
      <c r="B849" s="16">
        <v>2.0</v>
      </c>
      <c r="C849" s="195">
        <v>93827.04</v>
      </c>
      <c r="D849" s="11">
        <v>800206.0</v>
      </c>
      <c r="E849" s="196">
        <v>84975.59</v>
      </c>
      <c r="F849" s="11">
        <v>8.0</v>
      </c>
      <c r="G849" s="11">
        <v>52.0</v>
      </c>
    </row>
    <row r="850">
      <c r="A850" s="11">
        <v>7.0</v>
      </c>
      <c r="B850" s="16">
        <v>6.0</v>
      </c>
      <c r="C850" s="195">
        <v>-43135.5</v>
      </c>
      <c r="D850" s="11">
        <v>209447.0</v>
      </c>
      <c r="E850" s="196">
        <v>-18110.5</v>
      </c>
      <c r="F850" s="11">
        <v>3.0</v>
      </c>
      <c r="G850" s="11">
        <v>71.0</v>
      </c>
    </row>
    <row r="851">
      <c r="A851" s="11">
        <v>5.0</v>
      </c>
      <c r="B851" s="16">
        <v>7.0</v>
      </c>
      <c r="C851" s="195">
        <v>29187.45</v>
      </c>
      <c r="D851" s="11">
        <v>678514.0</v>
      </c>
      <c r="E851" s="196">
        <v>20469.43</v>
      </c>
      <c r="F851" s="11">
        <v>5.0</v>
      </c>
      <c r="G851" s="11">
        <v>35.0</v>
      </c>
    </row>
    <row r="852">
      <c r="A852" s="11">
        <v>5.0</v>
      </c>
      <c r="B852" s="16">
        <v>8.0</v>
      </c>
      <c r="C852" s="195">
        <v>9431.98</v>
      </c>
      <c r="D852" s="11">
        <v>395435.0</v>
      </c>
      <c r="E852" s="196">
        <v>-25228.92</v>
      </c>
      <c r="F852" s="11">
        <v>4.0</v>
      </c>
      <c r="G852" s="11">
        <v>17.0</v>
      </c>
    </row>
    <row r="853">
      <c r="A853" s="11">
        <v>4.0</v>
      </c>
      <c r="B853" s="16">
        <v>2.0</v>
      </c>
      <c r="C853" s="195">
        <v>-19097.91</v>
      </c>
      <c r="D853" s="11">
        <v>383236.0</v>
      </c>
      <c r="E853" s="196">
        <v>74607.55</v>
      </c>
      <c r="F853" s="11">
        <v>3.0</v>
      </c>
      <c r="G853" s="11">
        <v>76.0</v>
      </c>
    </row>
    <row r="854">
      <c r="A854" s="11">
        <v>4.0</v>
      </c>
      <c r="B854" s="16">
        <v>1.0</v>
      </c>
      <c r="C854" s="195">
        <v>51000.79</v>
      </c>
      <c r="D854" s="11">
        <v>486548.0</v>
      </c>
      <c r="E854" s="196">
        <v>-57354.38</v>
      </c>
      <c r="F854" s="11">
        <v>2.0</v>
      </c>
      <c r="G854" s="11">
        <v>91.0</v>
      </c>
    </row>
    <row r="855">
      <c r="A855" s="11">
        <v>6.0</v>
      </c>
      <c r="B855" s="16">
        <v>4.0</v>
      </c>
      <c r="C855" s="195">
        <v>85353.45</v>
      </c>
      <c r="D855" s="11">
        <v>359999.0</v>
      </c>
      <c r="E855" s="196">
        <v>-46447.52</v>
      </c>
      <c r="F855" s="11">
        <v>7.0</v>
      </c>
      <c r="G855" s="11">
        <v>23.0</v>
      </c>
    </row>
    <row r="856">
      <c r="A856" s="11">
        <v>2.0</v>
      </c>
      <c r="B856" s="16">
        <v>1.0</v>
      </c>
      <c r="C856" s="195">
        <v>90126.02</v>
      </c>
      <c r="D856" s="11">
        <v>568026.0</v>
      </c>
      <c r="E856" s="196">
        <v>-48302.88</v>
      </c>
      <c r="F856" s="11">
        <v>3.0</v>
      </c>
      <c r="G856" s="11">
        <v>15.0</v>
      </c>
    </row>
    <row r="857">
      <c r="A857" s="11">
        <v>1.0</v>
      </c>
      <c r="B857" s="16">
        <v>2.0</v>
      </c>
      <c r="C857" s="195">
        <v>30973.62</v>
      </c>
      <c r="D857" s="11">
        <v>818825.0</v>
      </c>
      <c r="E857" s="196">
        <v>-52214.7</v>
      </c>
      <c r="F857" s="11">
        <v>6.0</v>
      </c>
      <c r="G857" s="11">
        <v>91.0</v>
      </c>
    </row>
    <row r="858">
      <c r="A858" s="11">
        <v>9.0</v>
      </c>
      <c r="B858" s="16">
        <v>4.0</v>
      </c>
      <c r="C858" s="195">
        <v>83430.95</v>
      </c>
      <c r="D858" s="11">
        <v>379752.0</v>
      </c>
      <c r="E858" s="196">
        <v>-89308.23</v>
      </c>
      <c r="F858" s="11">
        <v>8.0</v>
      </c>
      <c r="G858" s="11">
        <v>45.0</v>
      </c>
    </row>
    <row r="859">
      <c r="A859" s="11">
        <v>1.0</v>
      </c>
      <c r="B859" s="16">
        <v>1.0</v>
      </c>
      <c r="C859" s="195">
        <v>94919.76</v>
      </c>
      <c r="D859" s="11">
        <v>277996.0</v>
      </c>
      <c r="E859" s="196">
        <v>-13073.92</v>
      </c>
      <c r="F859" s="11">
        <v>5.0</v>
      </c>
      <c r="G859" s="11">
        <v>30.0</v>
      </c>
    </row>
    <row r="860">
      <c r="A860" s="11">
        <v>8.0</v>
      </c>
      <c r="B860" s="16">
        <v>4.0</v>
      </c>
      <c r="C860" s="195">
        <v>79439.7</v>
      </c>
      <c r="D860" s="11">
        <v>240099.0</v>
      </c>
      <c r="E860" s="196">
        <v>-55754.58</v>
      </c>
      <c r="F860" s="11">
        <v>3.0</v>
      </c>
      <c r="G860" s="11">
        <v>62.0</v>
      </c>
    </row>
    <row r="861">
      <c r="A861" s="11">
        <v>3.0</v>
      </c>
      <c r="B861" s="16">
        <v>6.0</v>
      </c>
      <c r="C861" s="195">
        <v>-90937.12</v>
      </c>
      <c r="D861" s="11">
        <v>204664.0</v>
      </c>
      <c r="E861" s="196">
        <v>-90659.62</v>
      </c>
      <c r="F861" s="11">
        <v>2.0</v>
      </c>
      <c r="G861" s="11">
        <v>15.0</v>
      </c>
    </row>
    <row r="862">
      <c r="A862" s="11">
        <v>6.0</v>
      </c>
      <c r="B862" s="16">
        <v>5.0</v>
      </c>
      <c r="C862" s="195">
        <v>13378.03</v>
      </c>
      <c r="D862" s="11">
        <v>103412.0</v>
      </c>
      <c r="E862" s="196">
        <v>11148.54</v>
      </c>
      <c r="F862" s="11">
        <v>6.0</v>
      </c>
      <c r="G862" s="11">
        <v>49.0</v>
      </c>
    </row>
    <row r="863">
      <c r="A863" s="11">
        <v>5.0</v>
      </c>
      <c r="B863" s="16">
        <v>2.0</v>
      </c>
      <c r="C863" s="195">
        <v>-4101.77</v>
      </c>
      <c r="D863" s="11">
        <v>312898.0</v>
      </c>
      <c r="E863" s="196">
        <v>85849.29</v>
      </c>
      <c r="F863" s="11">
        <v>9.0</v>
      </c>
      <c r="G863" s="11">
        <v>40.0</v>
      </c>
    </row>
    <row r="864">
      <c r="A864" s="11">
        <v>4.0</v>
      </c>
      <c r="B864" s="16">
        <v>6.0</v>
      </c>
      <c r="C864" s="195">
        <v>86253.73</v>
      </c>
      <c r="D864" s="11">
        <v>648824.0</v>
      </c>
      <c r="E864" s="196">
        <v>-69318.4</v>
      </c>
      <c r="F864" s="11">
        <v>3.0</v>
      </c>
      <c r="G864" s="11">
        <v>24.0</v>
      </c>
    </row>
    <row r="865">
      <c r="A865" s="11">
        <v>4.0</v>
      </c>
      <c r="B865" s="16">
        <v>3.0</v>
      </c>
      <c r="C865" s="195">
        <v>-35401.38</v>
      </c>
      <c r="D865" s="11">
        <v>285846.0</v>
      </c>
      <c r="E865" s="196">
        <v>-89955.72</v>
      </c>
      <c r="F865" s="11">
        <v>5.0</v>
      </c>
      <c r="G865" s="11">
        <v>15.0</v>
      </c>
    </row>
    <row r="866">
      <c r="A866" s="11">
        <v>9.0</v>
      </c>
      <c r="B866" s="16">
        <v>8.0</v>
      </c>
      <c r="C866" s="195">
        <v>16150.63</v>
      </c>
      <c r="D866" s="11">
        <v>188196.0</v>
      </c>
      <c r="E866" s="196">
        <v>78028.45</v>
      </c>
      <c r="F866" s="11">
        <v>9.0</v>
      </c>
      <c r="G866" s="11">
        <v>66.0</v>
      </c>
    </row>
    <row r="867">
      <c r="A867" s="11">
        <v>8.0</v>
      </c>
      <c r="B867" s="16">
        <v>7.0</v>
      </c>
      <c r="C867" s="195">
        <v>-36363.66</v>
      </c>
      <c r="D867" s="11">
        <v>338650.0</v>
      </c>
      <c r="E867" s="196">
        <v>30484.35</v>
      </c>
      <c r="F867" s="11">
        <v>6.0</v>
      </c>
      <c r="G867" s="11">
        <v>33.0</v>
      </c>
    </row>
    <row r="868">
      <c r="A868" s="11">
        <v>6.0</v>
      </c>
      <c r="B868" s="16">
        <v>1.0</v>
      </c>
      <c r="C868" s="195">
        <v>-59718.76</v>
      </c>
      <c r="D868" s="11">
        <v>988248.0</v>
      </c>
      <c r="E868" s="196">
        <v>-87164.26</v>
      </c>
      <c r="F868" s="11">
        <v>4.0</v>
      </c>
      <c r="G868" s="11">
        <v>83.0</v>
      </c>
    </row>
    <row r="869">
      <c r="A869" s="11">
        <v>1.0</v>
      </c>
      <c r="B869" s="16">
        <v>1.0</v>
      </c>
      <c r="C869" s="195">
        <v>-50342.79</v>
      </c>
      <c r="D869" s="11">
        <v>102645.0</v>
      </c>
      <c r="E869" s="196">
        <v>27493.68</v>
      </c>
      <c r="F869" s="11">
        <v>5.0</v>
      </c>
      <c r="G869" s="11">
        <v>39.0</v>
      </c>
    </row>
    <row r="870">
      <c r="A870" s="11">
        <v>2.0</v>
      </c>
      <c r="B870" s="16">
        <v>4.0</v>
      </c>
      <c r="C870" s="195">
        <v>26726.78</v>
      </c>
      <c r="D870" s="11">
        <v>101071.0</v>
      </c>
      <c r="E870" s="196">
        <v>43191.64</v>
      </c>
      <c r="F870" s="11">
        <v>6.0</v>
      </c>
      <c r="G870" s="11">
        <v>21.0</v>
      </c>
    </row>
    <row r="871">
      <c r="A871" s="11">
        <v>1.0</v>
      </c>
      <c r="B871" s="16">
        <v>6.0</v>
      </c>
      <c r="C871" s="195">
        <v>13636.13</v>
      </c>
      <c r="D871" s="11">
        <v>648836.0</v>
      </c>
      <c r="E871" s="196">
        <v>1945.81</v>
      </c>
      <c r="F871" s="11">
        <v>9.0</v>
      </c>
      <c r="G871" s="11">
        <v>72.0</v>
      </c>
    </row>
    <row r="872">
      <c r="A872" s="11">
        <v>2.0</v>
      </c>
      <c r="B872" s="16">
        <v>1.0</v>
      </c>
      <c r="C872" s="195">
        <v>-95036.38</v>
      </c>
      <c r="D872" s="11">
        <v>973788.0</v>
      </c>
      <c r="E872" s="196">
        <v>-31190.03</v>
      </c>
      <c r="F872" s="11">
        <v>6.0</v>
      </c>
      <c r="G872" s="11">
        <v>37.0</v>
      </c>
    </row>
    <row r="873">
      <c r="A873" s="11">
        <v>4.0</v>
      </c>
      <c r="B873" s="16">
        <v>8.0</v>
      </c>
      <c r="C873" s="195">
        <v>45106.82</v>
      </c>
      <c r="D873" s="11">
        <v>596077.0</v>
      </c>
      <c r="E873" s="196">
        <v>-65460.84</v>
      </c>
      <c r="F873" s="11">
        <v>8.0</v>
      </c>
      <c r="G873" s="11">
        <v>61.0</v>
      </c>
    </row>
    <row r="874">
      <c r="A874" s="11">
        <v>5.0</v>
      </c>
      <c r="B874" s="16">
        <v>4.0</v>
      </c>
      <c r="C874" s="195">
        <v>42317.47</v>
      </c>
      <c r="D874" s="11">
        <v>328863.0</v>
      </c>
      <c r="E874" s="196">
        <v>85998.66</v>
      </c>
      <c r="F874" s="11">
        <v>6.0</v>
      </c>
      <c r="G874" s="11">
        <v>62.0</v>
      </c>
    </row>
    <row r="875">
      <c r="A875" s="11">
        <v>6.0</v>
      </c>
      <c r="B875" s="16">
        <v>4.0</v>
      </c>
      <c r="C875" s="195">
        <v>62474.71</v>
      </c>
      <c r="D875" s="11">
        <v>519026.0</v>
      </c>
      <c r="E875" s="196">
        <v>94500.33</v>
      </c>
      <c r="F875" s="11">
        <v>7.0</v>
      </c>
      <c r="G875" s="11">
        <v>38.0</v>
      </c>
    </row>
    <row r="876">
      <c r="A876" s="11">
        <v>2.0</v>
      </c>
      <c r="B876" s="16">
        <v>3.0</v>
      </c>
      <c r="C876" s="195">
        <v>62429.67</v>
      </c>
      <c r="D876" s="11">
        <v>167216.0</v>
      </c>
      <c r="E876" s="196">
        <v>50097.43</v>
      </c>
      <c r="F876" s="11">
        <v>9.0</v>
      </c>
      <c r="G876" s="11">
        <v>53.0</v>
      </c>
    </row>
    <row r="877">
      <c r="A877" s="11">
        <v>7.0</v>
      </c>
      <c r="B877" s="16">
        <v>4.0</v>
      </c>
      <c r="C877" s="195">
        <v>78574.87</v>
      </c>
      <c r="D877" s="11">
        <v>324595.0</v>
      </c>
      <c r="E877" s="196">
        <v>96970.39</v>
      </c>
      <c r="F877" s="11">
        <v>9.0</v>
      </c>
      <c r="G877" s="11">
        <v>16.0</v>
      </c>
    </row>
    <row r="878">
      <c r="A878" s="11">
        <v>1.0</v>
      </c>
      <c r="B878" s="16">
        <v>8.0</v>
      </c>
      <c r="C878" s="195">
        <v>39975.91</v>
      </c>
      <c r="D878" s="11">
        <v>842833.0</v>
      </c>
      <c r="E878" s="196">
        <v>33881.17</v>
      </c>
      <c r="F878" s="11">
        <v>2.0</v>
      </c>
      <c r="G878" s="11">
        <v>66.0</v>
      </c>
    </row>
    <row r="879">
      <c r="A879" s="11">
        <v>4.0</v>
      </c>
      <c r="B879" s="16">
        <v>5.0</v>
      </c>
      <c r="C879" s="195">
        <v>36683.09</v>
      </c>
      <c r="D879" s="11">
        <v>975857.0</v>
      </c>
      <c r="E879" s="196">
        <v>56470.45</v>
      </c>
      <c r="F879" s="11">
        <v>4.0</v>
      </c>
      <c r="G879" s="11">
        <v>37.0</v>
      </c>
    </row>
    <row r="880">
      <c r="A880" s="11">
        <v>1.0</v>
      </c>
      <c r="B880" s="16">
        <v>2.0</v>
      </c>
      <c r="C880" s="195">
        <v>-21294.77</v>
      </c>
      <c r="D880" s="11">
        <v>206433.0</v>
      </c>
      <c r="E880" s="196">
        <v>76936.95</v>
      </c>
      <c r="F880" s="11">
        <v>5.0</v>
      </c>
      <c r="G880" s="11">
        <v>39.0</v>
      </c>
    </row>
    <row r="881">
      <c r="A881" s="11">
        <v>4.0</v>
      </c>
      <c r="B881" s="16">
        <v>4.0</v>
      </c>
      <c r="C881" s="195">
        <v>3819.19</v>
      </c>
      <c r="D881" s="11">
        <v>564486.0</v>
      </c>
      <c r="E881" s="196">
        <v>-36553.53</v>
      </c>
      <c r="F881" s="11">
        <v>6.0</v>
      </c>
      <c r="G881" s="11">
        <v>87.0</v>
      </c>
    </row>
    <row r="882">
      <c r="A882" s="11">
        <v>5.0</v>
      </c>
      <c r="B882" s="16">
        <v>1.0</v>
      </c>
      <c r="C882" s="195">
        <v>-88135.91</v>
      </c>
      <c r="D882" s="11">
        <v>945310.0</v>
      </c>
      <c r="E882" s="196">
        <v>96466.05</v>
      </c>
      <c r="F882" s="11">
        <v>9.0</v>
      </c>
      <c r="G882" s="11">
        <v>37.0</v>
      </c>
    </row>
    <row r="883">
      <c r="A883" s="11">
        <v>7.0</v>
      </c>
      <c r="B883" s="16">
        <v>1.0</v>
      </c>
      <c r="C883" s="195">
        <v>61172.33</v>
      </c>
      <c r="D883" s="11">
        <v>252842.0</v>
      </c>
      <c r="E883" s="196">
        <v>80712.55</v>
      </c>
      <c r="F883" s="11">
        <v>4.0</v>
      </c>
      <c r="G883" s="11">
        <v>64.0</v>
      </c>
    </row>
    <row r="884">
      <c r="A884" s="11">
        <v>7.0</v>
      </c>
      <c r="B884" s="16">
        <v>3.0</v>
      </c>
      <c r="C884" s="195">
        <v>-52351.39</v>
      </c>
      <c r="D884" s="11">
        <v>372065.0</v>
      </c>
      <c r="E884" s="196">
        <v>-27817.16</v>
      </c>
      <c r="F884" s="11">
        <v>6.0</v>
      </c>
      <c r="G884" s="11">
        <v>83.0</v>
      </c>
    </row>
    <row r="885">
      <c r="A885" s="11">
        <v>1.0</v>
      </c>
      <c r="B885" s="16">
        <v>1.0</v>
      </c>
      <c r="C885" s="195">
        <v>-45312.85</v>
      </c>
      <c r="D885" s="11">
        <v>118080.0</v>
      </c>
      <c r="E885" s="196">
        <v>-48436.79</v>
      </c>
      <c r="F885" s="11">
        <v>1.0</v>
      </c>
      <c r="G885" s="11">
        <v>64.0</v>
      </c>
    </row>
    <row r="886">
      <c r="A886" s="11">
        <v>5.0</v>
      </c>
      <c r="B886" s="16">
        <v>8.0</v>
      </c>
      <c r="C886" s="195">
        <v>-95843.52</v>
      </c>
      <c r="D886" s="11">
        <v>114663.0</v>
      </c>
      <c r="E886" s="196">
        <v>30998.54</v>
      </c>
      <c r="F886" s="11">
        <v>5.0</v>
      </c>
      <c r="G886" s="11">
        <v>41.0</v>
      </c>
    </row>
    <row r="887">
      <c r="A887" s="11">
        <v>8.0</v>
      </c>
      <c r="B887" s="16">
        <v>3.0</v>
      </c>
      <c r="C887" s="195">
        <v>75793.61</v>
      </c>
      <c r="D887" s="11">
        <v>324129.0</v>
      </c>
      <c r="E887" s="196">
        <v>-74440.32</v>
      </c>
      <c r="F887" s="11">
        <v>8.0</v>
      </c>
      <c r="G887" s="11">
        <v>82.0</v>
      </c>
    </row>
    <row r="888">
      <c r="A888" s="11">
        <v>1.0</v>
      </c>
      <c r="B888" s="16">
        <v>7.0</v>
      </c>
      <c r="C888" s="195">
        <v>-80756.71</v>
      </c>
      <c r="D888" s="11">
        <v>511593.0</v>
      </c>
      <c r="E888" s="196">
        <v>-79152.98</v>
      </c>
      <c r="F888" s="11">
        <v>9.0</v>
      </c>
      <c r="G888" s="11">
        <v>96.0</v>
      </c>
    </row>
    <row r="889">
      <c r="A889" s="11">
        <v>2.0</v>
      </c>
      <c r="B889" s="16">
        <v>3.0</v>
      </c>
      <c r="C889" s="195">
        <v>-74583.2</v>
      </c>
      <c r="D889" s="11">
        <v>487409.0</v>
      </c>
      <c r="E889" s="196">
        <v>-65181.07</v>
      </c>
      <c r="F889" s="11">
        <v>4.0</v>
      </c>
      <c r="G889" s="11">
        <v>28.0</v>
      </c>
    </row>
    <row r="890">
      <c r="A890" s="11">
        <v>9.0</v>
      </c>
      <c r="B890" s="16">
        <v>7.0</v>
      </c>
      <c r="C890" s="195">
        <v>15896.31</v>
      </c>
      <c r="D890" s="11">
        <v>911015.0</v>
      </c>
      <c r="E890" s="196">
        <v>78894.26</v>
      </c>
      <c r="F890" s="11">
        <v>7.0</v>
      </c>
      <c r="G890" s="11">
        <v>94.0</v>
      </c>
    </row>
    <row r="891">
      <c r="A891" s="11">
        <v>6.0</v>
      </c>
      <c r="B891" s="16">
        <v>8.0</v>
      </c>
      <c r="C891" s="195">
        <v>-28145.43</v>
      </c>
      <c r="D891" s="11">
        <v>349548.0</v>
      </c>
      <c r="E891" s="196">
        <v>-96625.23</v>
      </c>
      <c r="F891" s="11">
        <v>5.0</v>
      </c>
      <c r="G891" s="11">
        <v>69.0</v>
      </c>
    </row>
    <row r="892">
      <c r="A892" s="11">
        <v>9.0</v>
      </c>
      <c r="B892" s="16">
        <v>6.0</v>
      </c>
      <c r="C892" s="195">
        <v>87944.1</v>
      </c>
      <c r="D892" s="11">
        <v>201609.0</v>
      </c>
      <c r="E892" s="196">
        <v>-86132.31</v>
      </c>
      <c r="F892" s="11">
        <v>2.0</v>
      </c>
      <c r="G892" s="11">
        <v>10.0</v>
      </c>
    </row>
    <row r="893">
      <c r="A893" s="11">
        <v>6.0</v>
      </c>
      <c r="B893" s="16">
        <v>5.0</v>
      </c>
      <c r="C893" s="195">
        <v>-48076.98</v>
      </c>
      <c r="D893" s="11">
        <v>820147.0</v>
      </c>
      <c r="E893" s="196">
        <v>61224.54</v>
      </c>
      <c r="F893" s="11">
        <v>6.0</v>
      </c>
      <c r="G893" s="11">
        <v>64.0</v>
      </c>
    </row>
    <row r="894">
      <c r="A894" s="11">
        <v>6.0</v>
      </c>
      <c r="B894" s="16">
        <v>7.0</v>
      </c>
      <c r="C894" s="195">
        <v>64993.92</v>
      </c>
      <c r="D894" s="11">
        <v>481099.0</v>
      </c>
      <c r="E894" s="196">
        <v>63905.95</v>
      </c>
      <c r="F894" s="11">
        <v>3.0</v>
      </c>
      <c r="G894" s="11">
        <v>42.0</v>
      </c>
    </row>
    <row r="895">
      <c r="A895" s="11">
        <v>4.0</v>
      </c>
      <c r="B895" s="16">
        <v>6.0</v>
      </c>
      <c r="C895" s="195">
        <v>95241.95</v>
      </c>
      <c r="D895" s="11">
        <v>666871.0</v>
      </c>
      <c r="E895" s="196">
        <v>-21474.35</v>
      </c>
      <c r="F895" s="11">
        <v>3.0</v>
      </c>
      <c r="G895" s="11">
        <v>28.0</v>
      </c>
    </row>
    <row r="896">
      <c r="A896" s="11">
        <v>4.0</v>
      </c>
      <c r="B896" s="16">
        <v>5.0</v>
      </c>
      <c r="C896" s="195">
        <v>42774.65</v>
      </c>
      <c r="D896" s="11">
        <v>225529.0</v>
      </c>
      <c r="E896" s="196">
        <v>-71642.46</v>
      </c>
      <c r="F896" s="11">
        <v>3.0</v>
      </c>
      <c r="G896" s="11">
        <v>31.0</v>
      </c>
    </row>
    <row r="897">
      <c r="A897" s="11">
        <v>5.0</v>
      </c>
      <c r="B897" s="16">
        <v>3.0</v>
      </c>
      <c r="C897" s="195">
        <v>66817.79</v>
      </c>
      <c r="D897" s="11">
        <v>819858.0</v>
      </c>
      <c r="E897" s="196">
        <v>-87772.16</v>
      </c>
      <c r="F897" s="11">
        <v>7.0</v>
      </c>
      <c r="G897" s="11">
        <v>27.0</v>
      </c>
    </row>
    <row r="898">
      <c r="A898" s="11">
        <v>3.0</v>
      </c>
      <c r="B898" s="16">
        <v>8.0</v>
      </c>
      <c r="C898" s="195">
        <v>58970.68</v>
      </c>
      <c r="D898" s="11">
        <v>146051.0</v>
      </c>
      <c r="E898" s="196">
        <v>-83382.66</v>
      </c>
      <c r="F898" s="11">
        <v>2.0</v>
      </c>
      <c r="G898" s="11">
        <v>49.0</v>
      </c>
    </row>
    <row r="899">
      <c r="A899" s="11">
        <v>2.0</v>
      </c>
      <c r="B899" s="16">
        <v>6.0</v>
      </c>
      <c r="C899" s="195">
        <v>-74722.39</v>
      </c>
      <c r="D899" s="11">
        <v>954451.0</v>
      </c>
      <c r="E899" s="196">
        <v>-65839.57</v>
      </c>
      <c r="F899" s="11">
        <v>9.0</v>
      </c>
      <c r="G899" s="11">
        <v>93.0</v>
      </c>
    </row>
    <row r="900">
      <c r="A900" s="11">
        <v>6.0</v>
      </c>
      <c r="B900" s="16">
        <v>4.0</v>
      </c>
      <c r="C900" s="195">
        <v>49770.51</v>
      </c>
      <c r="D900" s="11">
        <v>495949.0</v>
      </c>
      <c r="E900" s="196">
        <v>63813.61</v>
      </c>
      <c r="F900" s="11">
        <v>7.0</v>
      </c>
      <c r="G900" s="11">
        <v>51.0</v>
      </c>
    </row>
    <row r="901">
      <c r="A901" s="11">
        <v>5.0</v>
      </c>
      <c r="B901" s="16">
        <v>6.0</v>
      </c>
      <c r="C901" s="195">
        <v>-65075.99</v>
      </c>
      <c r="D901" s="11">
        <v>651159.0</v>
      </c>
      <c r="E901" s="196">
        <v>33771.2</v>
      </c>
      <c r="F901" s="11">
        <v>8.0</v>
      </c>
      <c r="G901" s="11">
        <v>88.0</v>
      </c>
    </row>
    <row r="902">
      <c r="A902" s="11">
        <v>4.0</v>
      </c>
      <c r="B902" s="16">
        <v>1.0</v>
      </c>
      <c r="C902" s="195">
        <v>-33309.03</v>
      </c>
      <c r="D902" s="11">
        <v>380704.0</v>
      </c>
      <c r="E902" s="196">
        <v>4899.46</v>
      </c>
      <c r="F902" s="11">
        <v>4.0</v>
      </c>
      <c r="G902" s="11">
        <v>47.0</v>
      </c>
    </row>
    <row r="903">
      <c r="A903" s="11">
        <v>3.0</v>
      </c>
      <c r="B903" s="16">
        <v>8.0</v>
      </c>
      <c r="C903" s="195">
        <v>-36564.93</v>
      </c>
      <c r="D903" s="11">
        <v>468611.0</v>
      </c>
      <c r="E903" s="196">
        <v>70478.12</v>
      </c>
      <c r="F903" s="11">
        <v>4.0</v>
      </c>
      <c r="G903" s="11">
        <v>82.0</v>
      </c>
    </row>
    <row r="904">
      <c r="A904" s="11">
        <v>4.0</v>
      </c>
      <c r="B904" s="16">
        <v>9.0</v>
      </c>
      <c r="C904" s="195">
        <v>-80658.26</v>
      </c>
      <c r="D904" s="11">
        <v>323564.0</v>
      </c>
      <c r="E904" s="196">
        <v>16796.3</v>
      </c>
      <c r="F904" s="11">
        <v>3.0</v>
      </c>
      <c r="G904" s="11">
        <v>53.0</v>
      </c>
    </row>
    <row r="905">
      <c r="A905" s="11">
        <v>9.0</v>
      </c>
      <c r="B905" s="16">
        <v>2.0</v>
      </c>
      <c r="C905" s="195">
        <v>-91728.75</v>
      </c>
      <c r="D905" s="11">
        <v>780047.0</v>
      </c>
      <c r="E905" s="196">
        <v>32992.95</v>
      </c>
      <c r="F905" s="11">
        <v>2.0</v>
      </c>
      <c r="G905" s="11">
        <v>43.0</v>
      </c>
    </row>
    <row r="906">
      <c r="A906" s="11">
        <v>9.0</v>
      </c>
      <c r="B906" s="16">
        <v>9.0</v>
      </c>
      <c r="C906" s="195">
        <v>-26857.17</v>
      </c>
      <c r="D906" s="11">
        <v>415797.0</v>
      </c>
      <c r="E906" s="196">
        <v>60547.65</v>
      </c>
      <c r="F906" s="11">
        <v>1.0</v>
      </c>
      <c r="G906" s="11">
        <v>81.0</v>
      </c>
    </row>
    <row r="907">
      <c r="A907" s="11">
        <v>4.0</v>
      </c>
      <c r="B907" s="16">
        <v>2.0</v>
      </c>
      <c r="C907" s="195">
        <v>-6617.5</v>
      </c>
      <c r="D907" s="11">
        <v>112013.0</v>
      </c>
      <c r="E907" s="196">
        <v>16288.04</v>
      </c>
      <c r="F907" s="11">
        <v>8.0</v>
      </c>
      <c r="G907" s="11">
        <v>30.0</v>
      </c>
    </row>
    <row r="908">
      <c r="A908" s="11">
        <v>3.0</v>
      </c>
      <c r="B908" s="16">
        <v>2.0</v>
      </c>
      <c r="C908" s="195">
        <v>46730.81</v>
      </c>
      <c r="D908" s="11">
        <v>307482.0</v>
      </c>
      <c r="E908" s="196">
        <v>-27859.44</v>
      </c>
      <c r="F908" s="11">
        <v>3.0</v>
      </c>
      <c r="G908" s="11">
        <v>36.0</v>
      </c>
    </row>
    <row r="909">
      <c r="A909" s="11">
        <v>9.0</v>
      </c>
      <c r="B909" s="16">
        <v>3.0</v>
      </c>
      <c r="C909" s="195">
        <v>-96993.69</v>
      </c>
      <c r="D909" s="11">
        <v>405322.0</v>
      </c>
      <c r="E909" s="196">
        <v>-52142.2</v>
      </c>
      <c r="F909" s="11">
        <v>2.0</v>
      </c>
      <c r="G909" s="11">
        <v>20.0</v>
      </c>
    </row>
    <row r="910">
      <c r="A910" s="11">
        <v>9.0</v>
      </c>
      <c r="B910" s="16">
        <v>3.0</v>
      </c>
      <c r="C910" s="195">
        <v>59745.84</v>
      </c>
      <c r="D910" s="11">
        <v>944945.0</v>
      </c>
      <c r="E910" s="196">
        <v>-64278.84</v>
      </c>
      <c r="F910" s="11">
        <v>8.0</v>
      </c>
      <c r="G910" s="11">
        <v>90.0</v>
      </c>
    </row>
    <row r="911">
      <c r="A911" s="11">
        <v>3.0</v>
      </c>
      <c r="B911" s="16">
        <v>1.0</v>
      </c>
      <c r="C911" s="195">
        <v>-41003.51</v>
      </c>
      <c r="D911" s="11">
        <v>145151.0</v>
      </c>
      <c r="E911" s="196">
        <v>-34904.86</v>
      </c>
      <c r="F911" s="11">
        <v>3.0</v>
      </c>
      <c r="G911" s="11">
        <v>61.0</v>
      </c>
    </row>
    <row r="912">
      <c r="A912" s="11">
        <v>8.0</v>
      </c>
      <c r="B912" s="16">
        <v>8.0</v>
      </c>
      <c r="C912" s="195">
        <v>-38302.88</v>
      </c>
      <c r="D912" s="11">
        <v>468215.0</v>
      </c>
      <c r="E912" s="196">
        <v>-18420.59</v>
      </c>
      <c r="F912" s="11">
        <v>7.0</v>
      </c>
      <c r="G912" s="11">
        <v>54.0</v>
      </c>
    </row>
    <row r="913">
      <c r="A913" s="11">
        <v>5.0</v>
      </c>
      <c r="B913" s="16">
        <v>8.0</v>
      </c>
      <c r="C913" s="195">
        <v>-53797.14</v>
      </c>
      <c r="D913" s="11">
        <v>151833.0</v>
      </c>
      <c r="E913" s="196">
        <v>48449.09</v>
      </c>
      <c r="F913" s="11">
        <v>1.0</v>
      </c>
      <c r="G913" s="11">
        <v>96.0</v>
      </c>
    </row>
    <row r="914">
      <c r="A914" s="11">
        <v>6.0</v>
      </c>
      <c r="B914" s="16">
        <v>8.0</v>
      </c>
      <c r="C914" s="195">
        <v>-78637.11</v>
      </c>
      <c r="D914" s="11">
        <v>836385.0</v>
      </c>
      <c r="E914" s="196">
        <v>82249.89</v>
      </c>
      <c r="F914" s="11">
        <v>9.0</v>
      </c>
      <c r="G914" s="11">
        <v>89.0</v>
      </c>
    </row>
    <row r="915">
      <c r="A915" s="11">
        <v>6.0</v>
      </c>
      <c r="B915" s="16">
        <v>7.0</v>
      </c>
      <c r="C915" s="195">
        <v>-74743.08</v>
      </c>
      <c r="D915" s="11">
        <v>836942.0</v>
      </c>
      <c r="E915" s="196">
        <v>-12629.02</v>
      </c>
      <c r="F915" s="11">
        <v>9.0</v>
      </c>
      <c r="G915" s="11">
        <v>70.0</v>
      </c>
    </row>
    <row r="916">
      <c r="A916" s="11">
        <v>3.0</v>
      </c>
      <c r="B916" s="16">
        <v>9.0</v>
      </c>
      <c r="C916" s="195">
        <v>83577.57</v>
      </c>
      <c r="D916" s="11">
        <v>753501.0</v>
      </c>
      <c r="E916" s="196">
        <v>-33068.88</v>
      </c>
      <c r="F916" s="11">
        <v>9.0</v>
      </c>
      <c r="G916" s="11">
        <v>32.0</v>
      </c>
    </row>
    <row r="917">
      <c r="A917" s="11">
        <v>1.0</v>
      </c>
      <c r="B917" s="16">
        <v>4.0</v>
      </c>
      <c r="C917" s="195">
        <v>-48897.59</v>
      </c>
      <c r="D917" s="11">
        <v>903714.0</v>
      </c>
      <c r="E917" s="196">
        <v>-50840.04</v>
      </c>
      <c r="F917" s="11">
        <v>7.0</v>
      </c>
      <c r="G917" s="11">
        <v>98.0</v>
      </c>
    </row>
    <row r="918">
      <c r="A918" s="11">
        <v>5.0</v>
      </c>
      <c r="B918" s="16">
        <v>5.0</v>
      </c>
      <c r="C918" s="195">
        <v>-25527.99</v>
      </c>
      <c r="D918" s="11">
        <v>120398.0</v>
      </c>
      <c r="E918" s="196">
        <v>99186.21</v>
      </c>
      <c r="F918" s="11">
        <v>5.0</v>
      </c>
      <c r="G918" s="11">
        <v>99.0</v>
      </c>
    </row>
    <row r="919">
      <c r="A919" s="11">
        <v>4.0</v>
      </c>
      <c r="B919" s="16">
        <v>1.0</v>
      </c>
      <c r="C919" s="195">
        <v>-26321.04</v>
      </c>
      <c r="D919" s="11">
        <v>840831.0</v>
      </c>
      <c r="E919" s="196">
        <v>90962.73</v>
      </c>
      <c r="F919" s="11">
        <v>3.0</v>
      </c>
      <c r="G919" s="11">
        <v>92.0</v>
      </c>
    </row>
    <row r="920">
      <c r="A920" s="11">
        <v>2.0</v>
      </c>
      <c r="B920" s="16">
        <v>4.0</v>
      </c>
      <c r="C920" s="195">
        <v>-469.86</v>
      </c>
      <c r="D920" s="11">
        <v>556023.0</v>
      </c>
      <c r="E920" s="196">
        <v>-50427.63</v>
      </c>
      <c r="F920" s="11">
        <v>4.0</v>
      </c>
      <c r="G920" s="11">
        <v>55.0</v>
      </c>
    </row>
    <row r="921">
      <c r="A921" s="11">
        <v>1.0</v>
      </c>
      <c r="B921" s="16">
        <v>6.0</v>
      </c>
      <c r="C921" s="195">
        <v>-3905.9</v>
      </c>
      <c r="D921" s="11">
        <v>499723.0</v>
      </c>
      <c r="E921" s="196">
        <v>67312.76</v>
      </c>
      <c r="F921" s="11">
        <v>4.0</v>
      </c>
      <c r="G921" s="11">
        <v>56.0</v>
      </c>
    </row>
    <row r="922">
      <c r="A922" s="11">
        <v>1.0</v>
      </c>
      <c r="B922" s="16">
        <v>7.0</v>
      </c>
      <c r="C922" s="195">
        <v>52572.75</v>
      </c>
      <c r="D922" s="11">
        <v>865424.0</v>
      </c>
      <c r="E922" s="196">
        <v>-98139.84</v>
      </c>
      <c r="F922" s="11">
        <v>6.0</v>
      </c>
      <c r="G922" s="11">
        <v>72.0</v>
      </c>
    </row>
    <row r="923">
      <c r="A923" s="11">
        <v>6.0</v>
      </c>
      <c r="B923" s="16">
        <v>2.0</v>
      </c>
      <c r="C923" s="195">
        <v>85569.07</v>
      </c>
      <c r="D923" s="11">
        <v>434268.0</v>
      </c>
      <c r="E923" s="196">
        <v>77331.58</v>
      </c>
      <c r="F923" s="11">
        <v>1.0</v>
      </c>
      <c r="G923" s="11">
        <v>94.0</v>
      </c>
    </row>
    <row r="924">
      <c r="A924" s="11">
        <v>6.0</v>
      </c>
      <c r="B924" s="16">
        <v>4.0</v>
      </c>
      <c r="C924" s="195">
        <v>-25865.59</v>
      </c>
      <c r="D924" s="11">
        <v>220481.0</v>
      </c>
      <c r="E924" s="196">
        <v>-86996.11</v>
      </c>
      <c r="F924" s="11">
        <v>3.0</v>
      </c>
      <c r="G924" s="11">
        <v>70.0</v>
      </c>
    </row>
    <row r="925">
      <c r="A925" s="11">
        <v>6.0</v>
      </c>
      <c r="B925" s="16">
        <v>2.0</v>
      </c>
      <c r="C925" s="195">
        <v>-78345.86</v>
      </c>
      <c r="D925" s="11">
        <v>445256.0</v>
      </c>
      <c r="E925" s="196">
        <v>10607.56</v>
      </c>
      <c r="F925" s="11">
        <v>9.0</v>
      </c>
      <c r="G925" s="11">
        <v>20.0</v>
      </c>
    </row>
    <row r="926">
      <c r="A926" s="11">
        <v>5.0</v>
      </c>
      <c r="B926" s="16">
        <v>9.0</v>
      </c>
      <c r="C926" s="195">
        <v>-54807.34</v>
      </c>
      <c r="D926" s="11">
        <v>464001.0</v>
      </c>
      <c r="E926" s="196">
        <v>61077.44</v>
      </c>
      <c r="F926" s="11">
        <v>2.0</v>
      </c>
      <c r="G926" s="11">
        <v>29.0</v>
      </c>
    </row>
    <row r="927">
      <c r="A927" s="11">
        <v>5.0</v>
      </c>
      <c r="B927" s="16">
        <v>1.0</v>
      </c>
      <c r="C927" s="195">
        <v>-61598.05</v>
      </c>
      <c r="D927" s="11">
        <v>637598.0</v>
      </c>
      <c r="E927" s="196">
        <v>89541.0</v>
      </c>
      <c r="F927" s="11">
        <v>9.0</v>
      </c>
      <c r="G927" s="11">
        <v>65.0</v>
      </c>
    </row>
    <row r="928">
      <c r="A928" s="11">
        <v>5.0</v>
      </c>
      <c r="B928" s="16">
        <v>5.0</v>
      </c>
      <c r="C928" s="195">
        <v>-15977.54</v>
      </c>
      <c r="D928" s="11">
        <v>619125.0</v>
      </c>
      <c r="E928" s="196">
        <v>-15135.05</v>
      </c>
      <c r="F928" s="11">
        <v>8.0</v>
      </c>
      <c r="G928" s="11">
        <v>14.0</v>
      </c>
    </row>
    <row r="929">
      <c r="A929" s="11">
        <v>1.0</v>
      </c>
      <c r="B929" s="16">
        <v>7.0</v>
      </c>
      <c r="C929" s="195">
        <v>-22304.28</v>
      </c>
      <c r="D929" s="11">
        <v>749134.0</v>
      </c>
      <c r="E929" s="196">
        <v>79896.62</v>
      </c>
      <c r="F929" s="11">
        <v>9.0</v>
      </c>
      <c r="G929" s="11">
        <v>94.0</v>
      </c>
    </row>
    <row r="930">
      <c r="A930" s="11">
        <v>1.0</v>
      </c>
      <c r="B930" s="16">
        <v>5.0</v>
      </c>
      <c r="C930" s="195">
        <v>92052.47</v>
      </c>
      <c r="D930" s="11">
        <v>321178.0</v>
      </c>
      <c r="E930" s="196">
        <v>-34525.53</v>
      </c>
      <c r="F930" s="11">
        <v>5.0</v>
      </c>
      <c r="G930" s="11">
        <v>59.0</v>
      </c>
    </row>
    <row r="931">
      <c r="A931" s="11">
        <v>4.0</v>
      </c>
      <c r="B931" s="16">
        <v>5.0</v>
      </c>
      <c r="C931" s="195">
        <v>25912.17</v>
      </c>
      <c r="D931" s="11">
        <v>235172.0</v>
      </c>
      <c r="E931" s="196">
        <v>65700.64</v>
      </c>
      <c r="F931" s="11">
        <v>9.0</v>
      </c>
      <c r="G931" s="11">
        <v>39.0</v>
      </c>
    </row>
    <row r="932">
      <c r="A932" s="11">
        <v>4.0</v>
      </c>
      <c r="B932" s="16">
        <v>2.0</v>
      </c>
      <c r="C932" s="195">
        <v>30073.73</v>
      </c>
      <c r="D932" s="11">
        <v>672850.0</v>
      </c>
      <c r="E932" s="196">
        <v>-20772.53</v>
      </c>
      <c r="F932" s="11">
        <v>7.0</v>
      </c>
      <c r="G932" s="11">
        <v>34.0</v>
      </c>
    </row>
    <row r="933">
      <c r="A933" s="11">
        <v>1.0</v>
      </c>
      <c r="B933" s="16">
        <v>4.0</v>
      </c>
      <c r="C933" s="195">
        <v>19617.08</v>
      </c>
      <c r="D933" s="11">
        <v>657619.0</v>
      </c>
      <c r="E933" s="196">
        <v>28719.33</v>
      </c>
      <c r="F933" s="11">
        <v>4.0</v>
      </c>
      <c r="G933" s="11">
        <v>15.0</v>
      </c>
    </row>
    <row r="934">
      <c r="A934" s="11">
        <v>5.0</v>
      </c>
      <c r="B934" s="16">
        <v>1.0</v>
      </c>
      <c r="C934" s="195">
        <v>74556.79</v>
      </c>
      <c r="D934" s="11">
        <v>907633.0</v>
      </c>
      <c r="E934" s="196">
        <v>59583.12</v>
      </c>
      <c r="F934" s="11">
        <v>6.0</v>
      </c>
      <c r="G934" s="11">
        <v>96.0</v>
      </c>
    </row>
    <row r="935">
      <c r="A935" s="11">
        <v>1.0</v>
      </c>
      <c r="B935" s="16">
        <v>9.0</v>
      </c>
      <c r="C935" s="195">
        <v>22160.26</v>
      </c>
      <c r="D935" s="11">
        <v>378980.0</v>
      </c>
      <c r="E935" s="196">
        <v>-54680.07</v>
      </c>
      <c r="F935" s="11">
        <v>9.0</v>
      </c>
      <c r="G935" s="11">
        <v>43.0</v>
      </c>
    </row>
    <row r="936">
      <c r="A936" s="11">
        <v>6.0</v>
      </c>
      <c r="B936" s="16">
        <v>9.0</v>
      </c>
      <c r="C936" s="195">
        <v>-54811.68</v>
      </c>
      <c r="D936" s="11">
        <v>795661.0</v>
      </c>
      <c r="E936" s="196">
        <v>-10119.02</v>
      </c>
      <c r="F936" s="11">
        <v>1.0</v>
      </c>
      <c r="G936" s="11">
        <v>31.0</v>
      </c>
    </row>
    <row r="937">
      <c r="A937" s="11">
        <v>7.0</v>
      </c>
      <c r="B937" s="16">
        <v>9.0</v>
      </c>
      <c r="C937" s="195">
        <v>13959.6</v>
      </c>
      <c r="D937" s="11">
        <v>785806.0</v>
      </c>
      <c r="E937" s="196">
        <v>54525.91</v>
      </c>
      <c r="F937" s="11">
        <v>5.0</v>
      </c>
      <c r="G937" s="11">
        <v>81.0</v>
      </c>
    </row>
    <row r="938">
      <c r="A938" s="11">
        <v>1.0</v>
      </c>
      <c r="B938" s="16">
        <v>6.0</v>
      </c>
      <c r="C938" s="195">
        <v>29732.57</v>
      </c>
      <c r="D938" s="11">
        <v>555340.0</v>
      </c>
      <c r="E938" s="196">
        <v>-27923.53</v>
      </c>
      <c r="F938" s="11">
        <v>4.0</v>
      </c>
      <c r="G938" s="11">
        <v>21.0</v>
      </c>
    </row>
    <row r="939">
      <c r="A939" s="11">
        <v>3.0</v>
      </c>
      <c r="B939" s="16">
        <v>5.0</v>
      </c>
      <c r="C939" s="195">
        <v>26345.66</v>
      </c>
      <c r="D939" s="11">
        <v>220765.0</v>
      </c>
      <c r="E939" s="196">
        <v>15490.27</v>
      </c>
      <c r="F939" s="11">
        <v>3.0</v>
      </c>
      <c r="G939" s="11">
        <v>26.0</v>
      </c>
    </row>
    <row r="940">
      <c r="A940" s="11">
        <v>3.0</v>
      </c>
      <c r="B940" s="16">
        <v>6.0</v>
      </c>
      <c r="C940" s="195">
        <v>19391.58</v>
      </c>
      <c r="D940" s="11">
        <v>806148.0</v>
      </c>
      <c r="E940" s="196">
        <v>-64256.98</v>
      </c>
      <c r="F940" s="11">
        <v>4.0</v>
      </c>
      <c r="G940" s="11">
        <v>52.0</v>
      </c>
    </row>
    <row r="941">
      <c r="A941" s="11">
        <v>2.0</v>
      </c>
      <c r="B941" s="16">
        <v>5.0</v>
      </c>
      <c r="C941" s="195">
        <v>-88579.35</v>
      </c>
      <c r="D941" s="11">
        <v>827477.0</v>
      </c>
      <c r="E941" s="196">
        <v>-80595.33</v>
      </c>
      <c r="F941" s="11">
        <v>2.0</v>
      </c>
      <c r="G941" s="11">
        <v>16.0</v>
      </c>
    </row>
    <row r="942">
      <c r="A942" s="11">
        <v>1.0</v>
      </c>
      <c r="B942" s="16">
        <v>7.0</v>
      </c>
      <c r="C942" s="195">
        <v>-45586.55</v>
      </c>
      <c r="D942" s="11">
        <v>481353.0</v>
      </c>
      <c r="E942" s="196">
        <v>-11084.01</v>
      </c>
      <c r="F942" s="11">
        <v>6.0</v>
      </c>
      <c r="G942" s="11">
        <v>64.0</v>
      </c>
    </row>
    <row r="943">
      <c r="A943" s="11">
        <v>6.0</v>
      </c>
      <c r="B943" s="16">
        <v>9.0</v>
      </c>
      <c r="C943" s="195">
        <v>-54090.67</v>
      </c>
      <c r="D943" s="11">
        <v>361724.0</v>
      </c>
      <c r="E943" s="196">
        <v>2015.73</v>
      </c>
      <c r="F943" s="11">
        <v>6.0</v>
      </c>
      <c r="G943" s="11">
        <v>23.0</v>
      </c>
    </row>
    <row r="944">
      <c r="A944" s="11">
        <v>9.0</v>
      </c>
      <c r="B944" s="16">
        <v>2.0</v>
      </c>
      <c r="C944" s="195">
        <v>59420.64</v>
      </c>
      <c r="D944" s="11">
        <v>669320.0</v>
      </c>
      <c r="E944" s="196">
        <v>-47302.56</v>
      </c>
      <c r="F944" s="11">
        <v>2.0</v>
      </c>
      <c r="G944" s="11">
        <v>28.0</v>
      </c>
    </row>
    <row r="945">
      <c r="A945" s="11">
        <v>8.0</v>
      </c>
      <c r="B945" s="16">
        <v>6.0</v>
      </c>
      <c r="C945" s="195">
        <v>26786.88</v>
      </c>
      <c r="D945" s="11">
        <v>778023.0</v>
      </c>
      <c r="E945" s="196">
        <v>-46828.59</v>
      </c>
      <c r="F945" s="11">
        <v>2.0</v>
      </c>
      <c r="G945" s="11">
        <v>60.0</v>
      </c>
    </row>
    <row r="946">
      <c r="A946" s="11">
        <v>6.0</v>
      </c>
      <c r="B946" s="16">
        <v>6.0</v>
      </c>
      <c r="C946" s="195">
        <v>87480.27</v>
      </c>
      <c r="D946" s="11">
        <v>312120.0</v>
      </c>
      <c r="E946" s="196">
        <v>-77821.55</v>
      </c>
      <c r="F946" s="11">
        <v>1.0</v>
      </c>
      <c r="G946" s="11">
        <v>90.0</v>
      </c>
    </row>
    <row r="947">
      <c r="A947" s="11">
        <v>9.0</v>
      </c>
      <c r="B947" s="16">
        <v>8.0</v>
      </c>
      <c r="C947" s="195">
        <v>20683.58</v>
      </c>
      <c r="D947" s="11">
        <v>484110.0</v>
      </c>
      <c r="E947" s="196">
        <v>-25863.57</v>
      </c>
      <c r="F947" s="11">
        <v>2.0</v>
      </c>
      <c r="G947" s="11">
        <v>53.0</v>
      </c>
    </row>
    <row r="948">
      <c r="A948" s="11">
        <v>3.0</v>
      </c>
      <c r="B948" s="16">
        <v>8.0</v>
      </c>
      <c r="C948" s="195">
        <v>-59751.53</v>
      </c>
      <c r="D948" s="11">
        <v>535911.0</v>
      </c>
      <c r="E948" s="196">
        <v>-15581.28</v>
      </c>
      <c r="F948" s="11">
        <v>6.0</v>
      </c>
      <c r="G948" s="11">
        <v>79.0</v>
      </c>
    </row>
    <row r="949">
      <c r="A949" s="11">
        <v>6.0</v>
      </c>
      <c r="B949" s="16">
        <v>8.0</v>
      </c>
      <c r="C949" s="195">
        <v>-58098.01</v>
      </c>
      <c r="D949" s="11">
        <v>610855.0</v>
      </c>
      <c r="E949" s="196">
        <v>89143.53</v>
      </c>
      <c r="F949" s="11">
        <v>5.0</v>
      </c>
      <c r="G949" s="11">
        <v>52.0</v>
      </c>
    </row>
    <row r="950">
      <c r="A950" s="11">
        <v>5.0</v>
      </c>
      <c r="B950" s="16">
        <v>8.0</v>
      </c>
      <c r="C950" s="195">
        <v>-31524.64</v>
      </c>
      <c r="D950" s="11">
        <v>646301.0</v>
      </c>
      <c r="E950" s="196">
        <v>-76150.18</v>
      </c>
      <c r="F950" s="11">
        <v>8.0</v>
      </c>
      <c r="G950" s="11">
        <v>10.0</v>
      </c>
    </row>
    <row r="951">
      <c r="A951" s="11">
        <v>3.0</v>
      </c>
      <c r="B951" s="16">
        <v>6.0</v>
      </c>
      <c r="C951" s="195">
        <v>87076.8</v>
      </c>
      <c r="D951" s="11">
        <v>721633.0</v>
      </c>
      <c r="E951" s="196">
        <v>41662.38</v>
      </c>
      <c r="F951" s="11">
        <v>6.0</v>
      </c>
      <c r="G951" s="11">
        <v>29.0</v>
      </c>
    </row>
    <row r="952">
      <c r="A952" s="11">
        <v>6.0</v>
      </c>
      <c r="B952" s="16">
        <v>9.0</v>
      </c>
      <c r="C952" s="195">
        <v>-75879.31</v>
      </c>
      <c r="D952" s="11">
        <v>727758.0</v>
      </c>
      <c r="E952" s="196">
        <v>-79162.64</v>
      </c>
      <c r="F952" s="11">
        <v>4.0</v>
      </c>
      <c r="G952" s="11">
        <v>69.0</v>
      </c>
    </row>
    <row r="953">
      <c r="A953" s="11">
        <v>6.0</v>
      </c>
      <c r="B953" s="16">
        <v>7.0</v>
      </c>
      <c r="C953" s="195">
        <v>86027.79</v>
      </c>
      <c r="D953" s="11">
        <v>278380.0</v>
      </c>
      <c r="E953" s="196">
        <v>-18492.24</v>
      </c>
      <c r="F953" s="11">
        <v>8.0</v>
      </c>
      <c r="G953" s="11">
        <v>38.0</v>
      </c>
    </row>
    <row r="954">
      <c r="A954" s="11">
        <v>9.0</v>
      </c>
      <c r="B954" s="16">
        <v>2.0</v>
      </c>
      <c r="C954" s="195">
        <v>7027.66</v>
      </c>
      <c r="D954" s="11">
        <v>496636.0</v>
      </c>
      <c r="E954" s="196">
        <v>-36876.34</v>
      </c>
      <c r="F954" s="11">
        <v>4.0</v>
      </c>
      <c r="G954" s="11">
        <v>26.0</v>
      </c>
    </row>
    <row r="955">
      <c r="A955" s="11">
        <v>6.0</v>
      </c>
      <c r="B955" s="16">
        <v>4.0</v>
      </c>
      <c r="C955" s="195">
        <v>33077.31</v>
      </c>
      <c r="D955" s="11">
        <v>801594.0</v>
      </c>
      <c r="E955" s="196">
        <v>7771.36</v>
      </c>
      <c r="F955" s="11">
        <v>9.0</v>
      </c>
      <c r="G955" s="11">
        <v>54.0</v>
      </c>
    </row>
    <row r="956">
      <c r="A956" s="11">
        <v>5.0</v>
      </c>
      <c r="B956" s="16">
        <v>5.0</v>
      </c>
      <c r="C956" s="195">
        <v>-83352.08</v>
      </c>
      <c r="D956" s="11">
        <v>735572.0</v>
      </c>
      <c r="E956" s="196">
        <v>-6979.81</v>
      </c>
      <c r="F956" s="11">
        <v>4.0</v>
      </c>
      <c r="G956" s="11">
        <v>73.0</v>
      </c>
    </row>
    <row r="957">
      <c r="A957" s="11">
        <v>7.0</v>
      </c>
      <c r="B957" s="16">
        <v>1.0</v>
      </c>
      <c r="C957" s="195">
        <v>-61996.64</v>
      </c>
      <c r="D957" s="11">
        <v>474466.0</v>
      </c>
      <c r="E957" s="196">
        <v>-82894.38</v>
      </c>
      <c r="F957" s="11">
        <v>8.0</v>
      </c>
      <c r="G957" s="11">
        <v>19.0</v>
      </c>
    </row>
    <row r="958">
      <c r="A958" s="11">
        <v>3.0</v>
      </c>
      <c r="B958" s="16">
        <v>9.0</v>
      </c>
      <c r="C958" s="195">
        <v>-83403.2</v>
      </c>
      <c r="D958" s="11">
        <v>281646.0</v>
      </c>
      <c r="E958" s="196">
        <v>75021.29</v>
      </c>
      <c r="F958" s="11">
        <v>7.0</v>
      </c>
      <c r="G958" s="11">
        <v>86.0</v>
      </c>
    </row>
    <row r="959">
      <c r="A959" s="11">
        <v>9.0</v>
      </c>
      <c r="B959" s="16">
        <v>8.0</v>
      </c>
      <c r="C959" s="195">
        <v>8172.3</v>
      </c>
      <c r="D959" s="11">
        <v>116041.0</v>
      </c>
      <c r="E959" s="196">
        <v>76477.63</v>
      </c>
      <c r="F959" s="11">
        <v>3.0</v>
      </c>
      <c r="G959" s="11">
        <v>59.0</v>
      </c>
    </row>
    <row r="960">
      <c r="A960" s="11">
        <v>2.0</v>
      </c>
      <c r="B960" s="16">
        <v>5.0</v>
      </c>
      <c r="C960" s="195">
        <v>86449.86</v>
      </c>
      <c r="D960" s="11">
        <v>284680.0</v>
      </c>
      <c r="E960" s="196">
        <v>8093.96</v>
      </c>
      <c r="F960" s="11">
        <v>4.0</v>
      </c>
      <c r="G960" s="11">
        <v>76.0</v>
      </c>
    </row>
    <row r="961">
      <c r="A961" s="11">
        <v>4.0</v>
      </c>
      <c r="B961" s="16">
        <v>8.0</v>
      </c>
      <c r="C961" s="195">
        <v>46871.54</v>
      </c>
      <c r="D961" s="11">
        <v>530708.0</v>
      </c>
      <c r="E961" s="196">
        <v>-7165.53</v>
      </c>
      <c r="F961" s="11">
        <v>7.0</v>
      </c>
      <c r="G961" s="11">
        <v>61.0</v>
      </c>
    </row>
    <row r="962">
      <c r="A962" s="11">
        <v>4.0</v>
      </c>
      <c r="B962" s="16">
        <v>7.0</v>
      </c>
      <c r="C962" s="195">
        <v>25762.36</v>
      </c>
      <c r="D962" s="11">
        <v>279642.0</v>
      </c>
      <c r="E962" s="196">
        <v>-67539.66</v>
      </c>
      <c r="F962" s="11">
        <v>9.0</v>
      </c>
      <c r="G962" s="11">
        <v>43.0</v>
      </c>
    </row>
    <row r="963">
      <c r="A963" s="11">
        <v>5.0</v>
      </c>
      <c r="B963" s="16">
        <v>1.0</v>
      </c>
      <c r="C963" s="195">
        <v>47971.06</v>
      </c>
      <c r="D963" s="11">
        <v>124209.0</v>
      </c>
      <c r="E963" s="196">
        <v>37189.8</v>
      </c>
      <c r="F963" s="11">
        <v>8.0</v>
      </c>
      <c r="G963" s="11">
        <v>72.0</v>
      </c>
    </row>
    <row r="964">
      <c r="A964" s="11">
        <v>6.0</v>
      </c>
      <c r="B964" s="16">
        <v>8.0</v>
      </c>
      <c r="C964" s="195">
        <v>-43833.1</v>
      </c>
      <c r="D964" s="11">
        <v>293712.0</v>
      </c>
      <c r="E964" s="196">
        <v>-4328.75</v>
      </c>
      <c r="F964" s="11">
        <v>6.0</v>
      </c>
      <c r="G964" s="11">
        <v>65.0</v>
      </c>
    </row>
    <row r="965">
      <c r="A965" s="11">
        <v>9.0</v>
      </c>
      <c r="B965" s="16">
        <v>5.0</v>
      </c>
      <c r="C965" s="195">
        <v>71606.17</v>
      </c>
      <c r="D965" s="11">
        <v>615655.0</v>
      </c>
      <c r="E965" s="196">
        <v>6664.83</v>
      </c>
      <c r="F965" s="11">
        <v>5.0</v>
      </c>
      <c r="G965" s="11">
        <v>18.0</v>
      </c>
    </row>
    <row r="966">
      <c r="A966" s="11">
        <v>5.0</v>
      </c>
      <c r="B966" s="16">
        <v>7.0</v>
      </c>
      <c r="C966" s="195">
        <v>63606.92</v>
      </c>
      <c r="D966" s="11">
        <v>995617.0</v>
      </c>
      <c r="E966" s="196">
        <v>-74553.24</v>
      </c>
      <c r="F966" s="11">
        <v>6.0</v>
      </c>
      <c r="G966" s="11">
        <v>57.0</v>
      </c>
    </row>
    <row r="967">
      <c r="A967" s="11">
        <v>4.0</v>
      </c>
      <c r="B967" s="16">
        <v>6.0</v>
      </c>
      <c r="C967" s="195">
        <v>-98149.13</v>
      </c>
      <c r="D967" s="11">
        <v>472575.0</v>
      </c>
      <c r="E967" s="196">
        <v>-63594.96</v>
      </c>
      <c r="F967" s="11">
        <v>8.0</v>
      </c>
      <c r="G967" s="11">
        <v>58.0</v>
      </c>
    </row>
    <row r="968">
      <c r="A968" s="11">
        <v>5.0</v>
      </c>
      <c r="B968" s="16">
        <v>5.0</v>
      </c>
      <c r="C968" s="195">
        <v>43137.78</v>
      </c>
      <c r="D968" s="11">
        <v>946926.0</v>
      </c>
      <c r="E968" s="196">
        <v>49981.11</v>
      </c>
      <c r="F968" s="11">
        <v>8.0</v>
      </c>
      <c r="G968" s="11">
        <v>80.0</v>
      </c>
    </row>
    <row r="969">
      <c r="A969" s="11">
        <v>2.0</v>
      </c>
      <c r="B969" s="16">
        <v>1.0</v>
      </c>
      <c r="C969" s="195">
        <v>98962.15</v>
      </c>
      <c r="D969" s="11">
        <v>146545.0</v>
      </c>
      <c r="E969" s="196">
        <v>-62211.97</v>
      </c>
      <c r="F969" s="11">
        <v>5.0</v>
      </c>
      <c r="G969" s="11">
        <v>46.0</v>
      </c>
    </row>
    <row r="970">
      <c r="A970" s="11">
        <v>9.0</v>
      </c>
      <c r="B970" s="16">
        <v>2.0</v>
      </c>
      <c r="C970" s="195">
        <v>25518.69</v>
      </c>
      <c r="D970" s="11">
        <v>748407.0</v>
      </c>
      <c r="E970" s="196">
        <v>-53954.93</v>
      </c>
      <c r="F970" s="11">
        <v>7.0</v>
      </c>
      <c r="G970" s="11">
        <v>47.0</v>
      </c>
    </row>
    <row r="971">
      <c r="A971" s="11">
        <v>4.0</v>
      </c>
      <c r="B971" s="16">
        <v>5.0</v>
      </c>
      <c r="C971" s="195">
        <v>9883.66</v>
      </c>
      <c r="D971" s="11">
        <v>878661.0</v>
      </c>
      <c r="E971" s="196">
        <v>61394.98</v>
      </c>
      <c r="F971" s="11">
        <v>3.0</v>
      </c>
      <c r="G971" s="11">
        <v>78.0</v>
      </c>
    </row>
    <row r="972">
      <c r="A972" s="11">
        <v>5.0</v>
      </c>
      <c r="B972" s="16">
        <v>2.0</v>
      </c>
      <c r="C972" s="195">
        <v>25798.56</v>
      </c>
      <c r="D972" s="11">
        <v>938399.0</v>
      </c>
      <c r="E972" s="196">
        <v>-45605.09</v>
      </c>
      <c r="F972" s="11">
        <v>6.0</v>
      </c>
      <c r="G972" s="11">
        <v>65.0</v>
      </c>
    </row>
    <row r="973">
      <c r="A973" s="11">
        <v>4.0</v>
      </c>
      <c r="B973" s="16">
        <v>2.0</v>
      </c>
      <c r="C973" s="195">
        <v>-35004.01</v>
      </c>
      <c r="D973" s="11">
        <v>249777.0</v>
      </c>
      <c r="E973" s="196">
        <v>18684.79</v>
      </c>
      <c r="F973" s="11">
        <v>9.0</v>
      </c>
      <c r="G973" s="11">
        <v>84.0</v>
      </c>
    </row>
    <row r="974">
      <c r="A974" s="11">
        <v>6.0</v>
      </c>
      <c r="B974" s="16">
        <v>2.0</v>
      </c>
      <c r="C974" s="195">
        <v>-54586.4</v>
      </c>
      <c r="D974" s="11">
        <v>876861.0</v>
      </c>
      <c r="E974" s="196">
        <v>62778.36</v>
      </c>
      <c r="F974" s="11">
        <v>3.0</v>
      </c>
      <c r="G974" s="11">
        <v>10.0</v>
      </c>
    </row>
    <row r="975">
      <c r="A975" s="11">
        <v>7.0</v>
      </c>
      <c r="B975" s="16">
        <v>2.0</v>
      </c>
      <c r="C975" s="195">
        <v>57240.46</v>
      </c>
      <c r="D975" s="11">
        <v>664778.0</v>
      </c>
      <c r="E975" s="196">
        <v>-96554.51</v>
      </c>
      <c r="F975" s="11">
        <v>2.0</v>
      </c>
      <c r="G975" s="11">
        <v>82.0</v>
      </c>
    </row>
    <row r="976">
      <c r="A976" s="11">
        <v>7.0</v>
      </c>
      <c r="B976" s="16">
        <v>8.0</v>
      </c>
      <c r="C976" s="195">
        <v>-54996.11</v>
      </c>
      <c r="D976" s="11">
        <v>766412.0</v>
      </c>
      <c r="E976" s="196">
        <v>63860.76</v>
      </c>
      <c r="F976" s="11">
        <v>1.0</v>
      </c>
      <c r="G976" s="11">
        <v>85.0</v>
      </c>
    </row>
    <row r="977">
      <c r="A977" s="11">
        <v>9.0</v>
      </c>
      <c r="B977" s="16">
        <v>3.0</v>
      </c>
      <c r="C977" s="195">
        <v>-56583.32</v>
      </c>
      <c r="D977" s="11">
        <v>268842.0</v>
      </c>
      <c r="E977" s="196">
        <v>-44542.49</v>
      </c>
      <c r="F977" s="11">
        <v>5.0</v>
      </c>
      <c r="G977" s="11">
        <v>20.0</v>
      </c>
    </row>
    <row r="978">
      <c r="A978" s="11">
        <v>5.0</v>
      </c>
      <c r="B978" s="16">
        <v>4.0</v>
      </c>
      <c r="C978" s="195">
        <v>56081.18</v>
      </c>
      <c r="D978" s="11">
        <v>976945.0</v>
      </c>
      <c r="E978" s="196">
        <v>23308.83</v>
      </c>
      <c r="F978" s="11">
        <v>6.0</v>
      </c>
      <c r="G978" s="11">
        <v>79.0</v>
      </c>
    </row>
    <row r="979">
      <c r="A979" s="11">
        <v>5.0</v>
      </c>
      <c r="B979" s="16">
        <v>8.0</v>
      </c>
      <c r="C979" s="195">
        <v>-48962.35</v>
      </c>
      <c r="D979" s="11">
        <v>841066.0</v>
      </c>
      <c r="E979" s="196">
        <v>613.25</v>
      </c>
      <c r="F979" s="11">
        <v>7.0</v>
      </c>
      <c r="G979" s="11">
        <v>18.0</v>
      </c>
    </row>
    <row r="980">
      <c r="A980" s="11">
        <v>1.0</v>
      </c>
      <c r="B980" s="16">
        <v>4.0</v>
      </c>
      <c r="C980" s="195">
        <v>-90208.64</v>
      </c>
      <c r="D980" s="11">
        <v>528444.0</v>
      </c>
      <c r="E980" s="196">
        <v>-48644.2</v>
      </c>
      <c r="F980" s="11">
        <v>6.0</v>
      </c>
      <c r="G980" s="11">
        <v>84.0</v>
      </c>
    </row>
    <row r="981">
      <c r="A981" s="11">
        <v>5.0</v>
      </c>
      <c r="B981" s="16">
        <v>4.0</v>
      </c>
      <c r="C981" s="195">
        <v>-4143.2</v>
      </c>
      <c r="D981" s="11">
        <v>774666.0</v>
      </c>
      <c r="E981" s="196">
        <v>76826.21</v>
      </c>
      <c r="F981" s="11">
        <v>1.0</v>
      </c>
      <c r="G981" s="11">
        <v>40.0</v>
      </c>
    </row>
    <row r="982">
      <c r="A982" s="11">
        <v>1.0</v>
      </c>
      <c r="B982" s="16">
        <v>9.0</v>
      </c>
      <c r="C982" s="195">
        <v>-97189.83</v>
      </c>
      <c r="D982" s="11">
        <v>737722.0</v>
      </c>
      <c r="E982" s="196">
        <v>59919.11</v>
      </c>
      <c r="F982" s="11">
        <v>1.0</v>
      </c>
      <c r="G982" s="11">
        <v>97.0</v>
      </c>
    </row>
    <row r="983">
      <c r="A983" s="11">
        <v>7.0</v>
      </c>
      <c r="B983" s="16">
        <v>8.0</v>
      </c>
      <c r="C983" s="195">
        <v>-91135.07</v>
      </c>
      <c r="D983" s="11">
        <v>892241.0</v>
      </c>
      <c r="E983" s="196">
        <v>6829.02</v>
      </c>
      <c r="F983" s="11">
        <v>5.0</v>
      </c>
      <c r="G983" s="11">
        <v>60.0</v>
      </c>
    </row>
    <row r="984">
      <c r="A984" s="11">
        <v>6.0</v>
      </c>
      <c r="B984" s="16">
        <v>9.0</v>
      </c>
      <c r="C984" s="195">
        <v>3392.66</v>
      </c>
      <c r="D984" s="11">
        <v>838487.0</v>
      </c>
      <c r="E984" s="196">
        <v>-87280.11</v>
      </c>
      <c r="F984" s="11">
        <v>1.0</v>
      </c>
      <c r="G984" s="11">
        <v>48.0</v>
      </c>
    </row>
    <row r="985">
      <c r="A985" s="11">
        <v>5.0</v>
      </c>
      <c r="B985" s="16">
        <v>8.0</v>
      </c>
      <c r="C985" s="195">
        <v>-25542.01</v>
      </c>
      <c r="D985" s="11">
        <v>838217.0</v>
      </c>
      <c r="E985" s="196">
        <v>-95542.37</v>
      </c>
      <c r="F985" s="11">
        <v>2.0</v>
      </c>
      <c r="G985" s="11">
        <v>15.0</v>
      </c>
    </row>
    <row r="986">
      <c r="A986" s="11">
        <v>6.0</v>
      </c>
      <c r="B986" s="16">
        <v>1.0</v>
      </c>
      <c r="C986" s="195">
        <v>59669.39</v>
      </c>
      <c r="D986" s="11">
        <v>746700.0</v>
      </c>
      <c r="E986" s="196">
        <v>18089.06</v>
      </c>
      <c r="F986" s="11">
        <v>9.0</v>
      </c>
      <c r="G986" s="11">
        <v>39.0</v>
      </c>
    </row>
    <row r="987">
      <c r="A987" s="11">
        <v>4.0</v>
      </c>
      <c r="B987" s="16">
        <v>4.0</v>
      </c>
      <c r="C987" s="195">
        <v>80353.7</v>
      </c>
      <c r="D987" s="11">
        <v>300266.0</v>
      </c>
      <c r="E987" s="196">
        <v>87075.85</v>
      </c>
      <c r="F987" s="11">
        <v>6.0</v>
      </c>
      <c r="G987" s="11">
        <v>50.0</v>
      </c>
    </row>
    <row r="988">
      <c r="A988" s="11">
        <v>1.0</v>
      </c>
      <c r="B988" s="16">
        <v>5.0</v>
      </c>
      <c r="C988" s="195">
        <v>-28208.39</v>
      </c>
      <c r="D988" s="11">
        <v>465487.0</v>
      </c>
      <c r="E988" s="196">
        <v>19109.97</v>
      </c>
      <c r="F988" s="11">
        <v>2.0</v>
      </c>
      <c r="G988" s="11">
        <v>88.0</v>
      </c>
    </row>
    <row r="989">
      <c r="A989" s="11">
        <v>5.0</v>
      </c>
      <c r="B989" s="16">
        <v>5.0</v>
      </c>
      <c r="C989" s="195">
        <v>-83074.2</v>
      </c>
      <c r="D989" s="11">
        <v>930682.0</v>
      </c>
      <c r="E989" s="196">
        <v>-68049.82</v>
      </c>
      <c r="F989" s="11">
        <v>4.0</v>
      </c>
      <c r="G989" s="11">
        <v>11.0</v>
      </c>
    </row>
    <row r="990">
      <c r="A990" s="11">
        <v>9.0</v>
      </c>
      <c r="B990" s="16">
        <v>3.0</v>
      </c>
      <c r="C990" s="195">
        <v>42664.4</v>
      </c>
      <c r="D990" s="11">
        <v>980301.0</v>
      </c>
      <c r="E990" s="196">
        <v>-70736.77</v>
      </c>
      <c r="F990" s="11">
        <v>8.0</v>
      </c>
      <c r="G990" s="11">
        <v>80.0</v>
      </c>
    </row>
    <row r="991">
      <c r="A991" s="11">
        <v>6.0</v>
      </c>
      <c r="B991" s="16">
        <v>1.0</v>
      </c>
      <c r="C991" s="195">
        <v>66298.02</v>
      </c>
      <c r="D991" s="11">
        <v>893600.0</v>
      </c>
      <c r="E991" s="196">
        <v>-17238.4</v>
      </c>
      <c r="F991" s="11">
        <v>1.0</v>
      </c>
      <c r="G991" s="11">
        <v>27.0</v>
      </c>
    </row>
    <row r="992">
      <c r="A992" s="11">
        <v>9.0</v>
      </c>
      <c r="B992" s="16">
        <v>7.0</v>
      </c>
      <c r="C992" s="195">
        <v>44111.26</v>
      </c>
      <c r="D992" s="11">
        <v>225920.0</v>
      </c>
      <c r="E992" s="196">
        <v>-83258.34</v>
      </c>
      <c r="F992" s="11">
        <v>7.0</v>
      </c>
      <c r="G992" s="11">
        <v>73.0</v>
      </c>
    </row>
    <row r="993">
      <c r="A993" s="11">
        <v>4.0</v>
      </c>
      <c r="B993" s="16">
        <v>9.0</v>
      </c>
      <c r="C993" s="195">
        <v>-42169.87</v>
      </c>
      <c r="D993" s="11">
        <v>938717.0</v>
      </c>
      <c r="E993" s="196">
        <v>-45690.86</v>
      </c>
      <c r="F993" s="11">
        <v>5.0</v>
      </c>
      <c r="G993" s="11">
        <v>59.0</v>
      </c>
    </row>
    <row r="994">
      <c r="A994" s="11">
        <v>4.0</v>
      </c>
      <c r="B994" s="16">
        <v>3.0</v>
      </c>
      <c r="C994" s="195">
        <v>-64694.45</v>
      </c>
      <c r="D994" s="11">
        <v>998140.0</v>
      </c>
      <c r="E994" s="196">
        <v>80110.39</v>
      </c>
      <c r="F994" s="11">
        <v>6.0</v>
      </c>
      <c r="G994" s="11">
        <v>63.0</v>
      </c>
    </row>
    <row r="995">
      <c r="A995" s="11">
        <v>1.0</v>
      </c>
      <c r="B995" s="16">
        <v>3.0</v>
      </c>
      <c r="C995" s="195">
        <v>61674.27</v>
      </c>
      <c r="D995" s="11">
        <v>875904.0</v>
      </c>
      <c r="E995" s="196">
        <v>44259.38</v>
      </c>
      <c r="F995" s="11">
        <v>5.0</v>
      </c>
      <c r="G995" s="11">
        <v>71.0</v>
      </c>
    </row>
    <row r="996">
      <c r="A996" s="11">
        <v>5.0</v>
      </c>
      <c r="B996" s="16">
        <v>6.0</v>
      </c>
      <c r="C996" s="195">
        <v>-84831.08</v>
      </c>
      <c r="D996" s="11">
        <v>171851.0</v>
      </c>
      <c r="E996" s="196">
        <v>86484.74</v>
      </c>
      <c r="F996" s="11">
        <v>6.0</v>
      </c>
      <c r="G996" s="11">
        <v>12.0</v>
      </c>
    </row>
    <row r="997">
      <c r="A997" s="11">
        <v>5.0</v>
      </c>
      <c r="B997" s="16">
        <v>6.0</v>
      </c>
      <c r="C997" s="195">
        <v>-51916.2</v>
      </c>
      <c r="D997" s="11">
        <v>106083.0</v>
      </c>
      <c r="E997" s="196">
        <v>94081.61</v>
      </c>
      <c r="F997" s="11">
        <v>6.0</v>
      </c>
      <c r="G997" s="11">
        <v>72.0</v>
      </c>
    </row>
    <row r="998">
      <c r="A998" s="11">
        <v>9.0</v>
      </c>
      <c r="B998" s="16">
        <v>3.0</v>
      </c>
      <c r="C998" s="195">
        <v>17684.25</v>
      </c>
      <c r="D998" s="11">
        <v>444661.0</v>
      </c>
      <c r="E998" s="196">
        <v>-46155.88</v>
      </c>
      <c r="F998" s="11">
        <v>5.0</v>
      </c>
      <c r="G998" s="11">
        <v>40.0</v>
      </c>
    </row>
    <row r="999">
      <c r="A999" s="11">
        <v>6.0</v>
      </c>
      <c r="B999" s="16">
        <v>5.0</v>
      </c>
      <c r="C999" s="195">
        <v>15139.2</v>
      </c>
      <c r="D999" s="11">
        <v>349010.0</v>
      </c>
      <c r="E999" s="196">
        <v>79587.73</v>
      </c>
      <c r="F999" s="11">
        <v>3.0</v>
      </c>
      <c r="G999" s="11">
        <v>74.0</v>
      </c>
    </row>
    <row r="1000">
      <c r="A1000" s="11">
        <v>6.0</v>
      </c>
      <c r="B1000" s="16">
        <v>8.0</v>
      </c>
      <c r="C1000" s="195">
        <v>-29041.33</v>
      </c>
      <c r="D1000" s="11">
        <v>728011.0</v>
      </c>
      <c r="E1000" s="196">
        <v>68754.32</v>
      </c>
      <c r="F1000" s="11">
        <v>5.0</v>
      </c>
      <c r="G1000" s="11">
        <v>59.0</v>
      </c>
    </row>
    <row r="1001">
      <c r="A1001" s="11">
        <v>2.0</v>
      </c>
      <c r="B1001" s="16">
        <v>5.0</v>
      </c>
      <c r="C1001" s="195">
        <v>-28478.71</v>
      </c>
      <c r="D1001" s="11">
        <v>249366.0</v>
      </c>
      <c r="E1001" s="196">
        <v>63818.44</v>
      </c>
      <c r="F1001" s="11">
        <v>4.0</v>
      </c>
      <c r="G1001" s="11">
        <v>81.0</v>
      </c>
    </row>
    <row r="1002">
      <c r="A1002" s="11">
        <v>3.0</v>
      </c>
      <c r="B1002" s="16">
        <v>1.0</v>
      </c>
      <c r="C1002" s="195">
        <v>-38790.77</v>
      </c>
      <c r="D1002" s="11">
        <v>806906.0</v>
      </c>
      <c r="E1002" s="196">
        <v>-61591.36</v>
      </c>
      <c r="F1002" s="11">
        <v>8.0</v>
      </c>
      <c r="G1002" s="11">
        <v>46.0</v>
      </c>
    </row>
    <row r="1003">
      <c r="A1003" s="11">
        <v>9.0</v>
      </c>
      <c r="B1003" s="16">
        <v>7.0</v>
      </c>
      <c r="C1003" s="195">
        <v>-54187.53</v>
      </c>
      <c r="D1003" s="11">
        <v>495911.0</v>
      </c>
      <c r="E1003" s="196">
        <v>-26191.83</v>
      </c>
      <c r="F1003" s="11">
        <v>1.0</v>
      </c>
      <c r="G1003" s="11">
        <v>83.0</v>
      </c>
    </row>
    <row r="1004">
      <c r="A1004" s="197">
        <v>4.0</v>
      </c>
      <c r="B1004" s="198">
        <v>1.0</v>
      </c>
      <c r="C1004" s="199">
        <v>91815.37</v>
      </c>
      <c r="D1004" s="197">
        <v>611177.0</v>
      </c>
      <c r="E1004" s="200">
        <v>1009.27</v>
      </c>
      <c r="F1004" s="197">
        <v>3.0</v>
      </c>
      <c r="G1004" s="197">
        <v>38.0</v>
      </c>
    </row>
    <row r="1005">
      <c r="B1005" s="142"/>
      <c r="C1005" s="186"/>
      <c r="E1005" s="187"/>
    </row>
    <row r="1006">
      <c r="B1006" s="142"/>
      <c r="C1006" s="186"/>
      <c r="E1006" s="187"/>
    </row>
    <row r="1007">
      <c r="B1007" s="142"/>
      <c r="C1007" s="186"/>
      <c r="E1007" s="187"/>
    </row>
    <row r="1008">
      <c r="B1008" s="142"/>
      <c r="C1008" s="186"/>
      <c r="E1008" s="187"/>
    </row>
    <row r="1009">
      <c r="B1009" s="142"/>
      <c r="C1009" s="186"/>
      <c r="E1009" s="187"/>
    </row>
    <row r="1010">
      <c r="B1010" s="142"/>
      <c r="C1010" s="186"/>
      <c r="E1010" s="187"/>
    </row>
    <row r="1011">
      <c r="B1011" s="142"/>
      <c r="C1011" s="186"/>
      <c r="E1011" s="187"/>
    </row>
    <row r="1012">
      <c r="B1012" s="142"/>
      <c r="C1012" s="186"/>
      <c r="E1012" s="187"/>
    </row>
    <row r="1013">
      <c r="B1013" s="142"/>
      <c r="C1013" s="186"/>
      <c r="E1013" s="187"/>
    </row>
    <row r="1014">
      <c r="B1014" s="142"/>
      <c r="C1014" s="186"/>
      <c r="E1014" s="187"/>
    </row>
    <row r="1015">
      <c r="B1015" s="142"/>
      <c r="C1015" s="186"/>
      <c r="E1015" s="187"/>
    </row>
    <row r="1016">
      <c r="B1016" s="142"/>
      <c r="C1016" s="186"/>
      <c r="E1016" s="187"/>
    </row>
    <row r="1017">
      <c r="B1017" s="142"/>
      <c r="C1017" s="186"/>
      <c r="E1017" s="187"/>
    </row>
    <row r="1018">
      <c r="B1018" s="142"/>
      <c r="C1018" s="186"/>
      <c r="E1018" s="187"/>
    </row>
    <row r="1019">
      <c r="B1019" s="142"/>
      <c r="C1019" s="186"/>
      <c r="E1019" s="187"/>
    </row>
    <row r="1020">
      <c r="B1020" s="142"/>
      <c r="C1020" s="186"/>
      <c r="E1020" s="187"/>
    </row>
    <row r="1021">
      <c r="B1021" s="142"/>
      <c r="C1021" s="186"/>
      <c r="E1021" s="187"/>
    </row>
    <row r="1022">
      <c r="B1022" s="142"/>
      <c r="C1022" s="186"/>
      <c r="E1022" s="187"/>
    </row>
    <row r="1023">
      <c r="B1023" s="142"/>
      <c r="C1023" s="186"/>
      <c r="E1023" s="187"/>
    </row>
    <row r="1024">
      <c r="B1024" s="142"/>
      <c r="C1024" s="186"/>
      <c r="E1024" s="187"/>
    </row>
    <row r="1025">
      <c r="B1025" s="142"/>
      <c r="C1025" s="186"/>
      <c r="E1025" s="187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38"/>
    <col customWidth="1" min="3" max="3" width="40.88"/>
    <col customWidth="1" min="5" max="5" width="17.63"/>
    <col customWidth="1" min="7" max="7" width="17.0"/>
    <col customWidth="1" min="9" max="9" width="13.5"/>
  </cols>
  <sheetData>
    <row r="1">
      <c r="A1" s="147" t="s">
        <v>3807</v>
      </c>
      <c r="B1" s="147" t="s">
        <v>5167</v>
      </c>
      <c r="C1" s="147" t="s">
        <v>5168</v>
      </c>
      <c r="D1" s="147" t="s">
        <v>5169</v>
      </c>
      <c r="E1" s="201" t="s">
        <v>5170</v>
      </c>
      <c r="F1" s="147" t="s">
        <v>555</v>
      </c>
      <c r="G1" s="202" t="s">
        <v>5170</v>
      </c>
      <c r="H1" s="147" t="s">
        <v>555</v>
      </c>
      <c r="I1" s="201" t="s">
        <v>5170</v>
      </c>
    </row>
    <row r="2">
      <c r="A2" s="161" t="s">
        <v>5171</v>
      </c>
      <c r="B2" s="161" t="s">
        <v>5172</v>
      </c>
      <c r="C2" s="162" t="s">
        <v>5173</v>
      </c>
      <c r="D2" s="161" t="s">
        <v>5174</v>
      </c>
      <c r="E2" s="203" t="s">
        <v>5175</v>
      </c>
      <c r="F2" s="161" t="s">
        <v>5158</v>
      </c>
      <c r="G2" s="204" t="s">
        <v>5175</v>
      </c>
      <c r="H2" s="161" t="s">
        <v>5158</v>
      </c>
      <c r="I2" s="203" t="s">
        <v>5175</v>
      </c>
      <c r="J2" s="72"/>
      <c r="K2" s="72"/>
      <c r="L2" s="72"/>
      <c r="M2" s="72"/>
      <c r="N2" s="72"/>
      <c r="O2" s="72"/>
      <c r="P2" s="72"/>
      <c r="Q2" s="72"/>
      <c r="R2" s="72"/>
    </row>
    <row r="3">
      <c r="A3" s="205" t="s">
        <v>5176</v>
      </c>
      <c r="B3" s="153" t="s">
        <v>5177</v>
      </c>
      <c r="C3" s="153" t="s">
        <v>5178</v>
      </c>
      <c r="D3" s="153" t="s">
        <v>5179</v>
      </c>
      <c r="E3" s="206" t="s">
        <v>5180</v>
      </c>
      <c r="F3" s="153" t="s">
        <v>5181</v>
      </c>
      <c r="G3" s="207" t="s">
        <v>5182</v>
      </c>
      <c r="H3" s="153" t="s">
        <v>5183</v>
      </c>
      <c r="I3" s="206" t="s">
        <v>5184</v>
      </c>
      <c r="J3" s="10"/>
      <c r="K3" s="10"/>
      <c r="L3" s="10"/>
      <c r="M3" s="10"/>
      <c r="N3" s="10"/>
      <c r="O3" s="10"/>
      <c r="P3" s="10"/>
      <c r="Q3" s="10"/>
      <c r="R3" s="10"/>
    </row>
    <row r="4">
      <c r="A4" s="24">
        <v>145.0</v>
      </c>
      <c r="B4" s="168">
        <v>-86597.01</v>
      </c>
      <c r="C4" s="24" t="s">
        <v>5185</v>
      </c>
      <c r="D4" s="76">
        <v>7000.0</v>
      </c>
      <c r="E4" s="208">
        <v>-48888.0</v>
      </c>
      <c r="F4" s="168">
        <v>108638.0</v>
      </c>
      <c r="G4" s="209">
        <v>19969.0</v>
      </c>
      <c r="H4" s="168">
        <v>742851.0</v>
      </c>
      <c r="I4" s="208">
        <v>87500.0</v>
      </c>
    </row>
    <row r="5">
      <c r="A5" s="24">
        <v>148.0</v>
      </c>
      <c r="B5" s="168">
        <v>-24525.91</v>
      </c>
      <c r="C5" s="24" t="s">
        <v>5186</v>
      </c>
      <c r="D5" s="76">
        <v>7001.0</v>
      </c>
      <c r="E5" s="208">
        <v>98054.0</v>
      </c>
      <c r="F5" s="168">
        <v>378297.0</v>
      </c>
      <c r="G5" s="209">
        <v>-34206.0</v>
      </c>
      <c r="H5" s="168">
        <v>336947.0</v>
      </c>
      <c r="I5" s="208">
        <v>-54993.0</v>
      </c>
    </row>
    <row r="6">
      <c r="A6" s="24">
        <v>136.0</v>
      </c>
      <c r="B6" s="168">
        <v>13918.34</v>
      </c>
      <c r="C6" s="24" t="s">
        <v>5187</v>
      </c>
      <c r="D6" s="76">
        <v>7002.0</v>
      </c>
      <c r="E6" s="208">
        <v>37586.0</v>
      </c>
      <c r="F6" s="168">
        <v>698446.0</v>
      </c>
      <c r="G6" s="209">
        <v>-34211.0</v>
      </c>
      <c r="H6" s="168">
        <v>844203.0</v>
      </c>
      <c r="I6" s="208">
        <v>-56366.0</v>
      </c>
    </row>
    <row r="7">
      <c r="A7" s="24">
        <v>104.0</v>
      </c>
      <c r="B7" s="168">
        <v>-90009.61</v>
      </c>
      <c r="C7" s="24" t="s">
        <v>5188</v>
      </c>
      <c r="D7" s="76">
        <v>7003.0</v>
      </c>
      <c r="E7" s="208">
        <v>619.0</v>
      </c>
      <c r="F7" s="168">
        <v>519515.0</v>
      </c>
      <c r="G7" s="209">
        <v>-48125.0</v>
      </c>
      <c r="H7" s="168">
        <v>612982.0</v>
      </c>
      <c r="I7" s="208">
        <v>-31398.0</v>
      </c>
    </row>
    <row r="8">
      <c r="A8" s="24">
        <v>129.0</v>
      </c>
      <c r="B8" s="168">
        <v>-68557.69</v>
      </c>
      <c r="C8" s="24" t="s">
        <v>5189</v>
      </c>
      <c r="D8" s="76">
        <v>7004.0</v>
      </c>
      <c r="E8" s="208">
        <v>-78652.0</v>
      </c>
      <c r="F8" s="168">
        <v>594027.0</v>
      </c>
      <c r="G8" s="209">
        <v>-39036.0</v>
      </c>
      <c r="H8" s="168">
        <v>640838.0</v>
      </c>
      <c r="I8" s="208">
        <v>48852.0</v>
      </c>
    </row>
    <row r="9">
      <c r="A9" s="24">
        <v>118.0</v>
      </c>
      <c r="B9" s="168">
        <v>77153.89</v>
      </c>
      <c r="C9" s="24" t="s">
        <v>5190</v>
      </c>
      <c r="D9" s="76">
        <v>7005.0</v>
      </c>
      <c r="E9" s="208">
        <v>50216.0</v>
      </c>
      <c r="F9" s="168">
        <v>580697.0</v>
      </c>
      <c r="G9" s="209">
        <v>-15058.0</v>
      </c>
      <c r="H9" s="168">
        <v>508646.0</v>
      </c>
      <c r="I9" s="208">
        <v>78154.0</v>
      </c>
    </row>
    <row r="10">
      <c r="A10" s="24">
        <v>127.0</v>
      </c>
      <c r="B10" s="168">
        <v>-24856.24</v>
      </c>
      <c r="C10" s="24" t="s">
        <v>5191</v>
      </c>
      <c r="D10" s="76">
        <v>7006.0</v>
      </c>
      <c r="E10" s="208">
        <v>-72132.0</v>
      </c>
      <c r="F10" s="168">
        <v>822806.0</v>
      </c>
      <c r="G10" s="209">
        <v>-2187.0</v>
      </c>
      <c r="H10" s="168">
        <v>822600.0</v>
      </c>
      <c r="I10" s="208">
        <v>-50991.0</v>
      </c>
    </row>
    <row r="11">
      <c r="A11" s="24">
        <v>125.0</v>
      </c>
      <c r="B11" s="168">
        <v>-96299.69</v>
      </c>
      <c r="C11" s="24" t="s">
        <v>5192</v>
      </c>
      <c r="D11" s="76">
        <v>7007.0</v>
      </c>
      <c r="E11" s="208">
        <v>7973.0</v>
      </c>
      <c r="F11" s="168">
        <v>329314.0</v>
      </c>
      <c r="G11" s="209">
        <v>-26758.0</v>
      </c>
      <c r="H11" s="168">
        <v>639993.0</v>
      </c>
      <c r="I11" s="208">
        <v>2628.0</v>
      </c>
    </row>
    <row r="12">
      <c r="A12" s="24">
        <v>146.0</v>
      </c>
      <c r="B12" s="168">
        <v>-91325.87</v>
      </c>
      <c r="C12" s="24" t="s">
        <v>5193</v>
      </c>
      <c r="D12" s="76">
        <v>7008.0</v>
      </c>
      <c r="E12" s="208">
        <v>63003.0</v>
      </c>
      <c r="F12" s="168">
        <v>492466.0</v>
      </c>
      <c r="G12" s="209">
        <v>84968.0</v>
      </c>
      <c r="H12" s="168">
        <v>231548.0</v>
      </c>
      <c r="I12" s="208">
        <v>-13862.0</v>
      </c>
    </row>
    <row r="13">
      <c r="A13" s="24">
        <v>111.0</v>
      </c>
      <c r="B13" s="168">
        <v>4578.19</v>
      </c>
      <c r="C13" s="24" t="s">
        <v>5194</v>
      </c>
      <c r="D13" s="76">
        <v>7009.0</v>
      </c>
      <c r="E13" s="208">
        <v>-89930.0</v>
      </c>
      <c r="F13" s="168">
        <v>385598.0</v>
      </c>
      <c r="G13" s="209">
        <v>5981.0</v>
      </c>
      <c r="H13" s="168">
        <v>364100.0</v>
      </c>
      <c r="I13" s="208">
        <v>-78271.0</v>
      </c>
    </row>
    <row r="14">
      <c r="A14" s="24">
        <v>103.0</v>
      </c>
      <c r="B14" s="168">
        <v>22604.84</v>
      </c>
      <c r="C14" s="24" t="s">
        <v>5195</v>
      </c>
      <c r="D14" s="76">
        <v>7010.0</v>
      </c>
      <c r="E14" s="208">
        <v>31010.0</v>
      </c>
      <c r="F14" s="168">
        <v>852813.0</v>
      </c>
      <c r="G14" s="209">
        <v>-75273.0</v>
      </c>
      <c r="H14" s="168">
        <v>204876.0</v>
      </c>
      <c r="I14" s="208">
        <v>-3652.0</v>
      </c>
    </row>
    <row r="15">
      <c r="A15" s="24">
        <v>142.0</v>
      </c>
      <c r="B15" s="168">
        <v>85370.08</v>
      </c>
      <c r="C15" s="24" t="s">
        <v>5196</v>
      </c>
      <c r="D15" s="76">
        <v>7011.0</v>
      </c>
      <c r="E15" s="208">
        <v>83134.0</v>
      </c>
      <c r="F15" s="168">
        <v>875924.0</v>
      </c>
      <c r="G15" s="209">
        <v>-20781.0</v>
      </c>
      <c r="H15" s="168">
        <v>420435.0</v>
      </c>
      <c r="I15" s="208">
        <v>54723.0</v>
      </c>
    </row>
    <row r="16">
      <c r="A16" s="24">
        <v>100.0</v>
      </c>
      <c r="B16" s="168">
        <v>-51670.87</v>
      </c>
      <c r="C16" s="24" t="s">
        <v>5197</v>
      </c>
      <c r="D16" s="76">
        <v>7012.0</v>
      </c>
      <c r="E16" s="208">
        <v>59072.0</v>
      </c>
      <c r="F16" s="168">
        <v>194925.0</v>
      </c>
      <c r="G16" s="209">
        <v>24735.0</v>
      </c>
      <c r="H16" s="168">
        <v>333342.0</v>
      </c>
      <c r="I16" s="208">
        <v>6834.0</v>
      </c>
    </row>
    <row r="17">
      <c r="A17" s="24">
        <v>109.0</v>
      </c>
      <c r="B17" s="168">
        <v>-76404.19</v>
      </c>
      <c r="C17" s="24" t="s">
        <v>5198</v>
      </c>
      <c r="D17" s="76">
        <v>7013.0</v>
      </c>
      <c r="E17" s="208">
        <v>43153.0</v>
      </c>
      <c r="F17" s="168">
        <v>892452.0</v>
      </c>
      <c r="G17" s="209">
        <v>-2733.0</v>
      </c>
      <c r="H17" s="168">
        <v>813306.0</v>
      </c>
      <c r="I17" s="208">
        <v>-12259.0</v>
      </c>
    </row>
    <row r="18">
      <c r="A18" s="24">
        <v>144.0</v>
      </c>
      <c r="B18" s="168">
        <v>-57423.95</v>
      </c>
      <c r="C18" s="24" t="s">
        <v>5199</v>
      </c>
      <c r="D18" s="76">
        <v>7014.0</v>
      </c>
      <c r="E18" s="208">
        <v>-34337.0</v>
      </c>
      <c r="F18" s="168">
        <v>548460.0</v>
      </c>
      <c r="G18" s="209">
        <v>10019.0</v>
      </c>
      <c r="H18" s="168">
        <v>582526.0</v>
      </c>
      <c r="I18" s="208">
        <v>-66920.0</v>
      </c>
    </row>
    <row r="19">
      <c r="A19" s="24">
        <v>133.0</v>
      </c>
      <c r="B19" s="168">
        <v>67206.03</v>
      </c>
      <c r="C19" s="24" t="s">
        <v>5200</v>
      </c>
      <c r="D19" s="76">
        <v>7015.0</v>
      </c>
      <c r="E19" s="208">
        <v>-66901.0</v>
      </c>
      <c r="F19" s="168">
        <v>432612.0</v>
      </c>
      <c r="G19" s="209">
        <v>-36280.0</v>
      </c>
      <c r="H19" s="168">
        <v>150422.0</v>
      </c>
      <c r="I19" s="208">
        <v>10955.0</v>
      </c>
    </row>
    <row r="20">
      <c r="A20" s="24">
        <v>134.0</v>
      </c>
      <c r="B20" s="168">
        <v>72307.42</v>
      </c>
      <c r="C20" s="24" t="s">
        <v>5201</v>
      </c>
      <c r="D20" s="76">
        <v>7016.0</v>
      </c>
      <c r="E20" s="208">
        <v>-61996.0</v>
      </c>
      <c r="F20" s="168">
        <v>934250.0</v>
      </c>
      <c r="G20" s="209">
        <v>58723.0</v>
      </c>
      <c r="H20" s="168">
        <v>790443.0</v>
      </c>
      <c r="I20" s="208">
        <v>97581.0</v>
      </c>
    </row>
    <row r="21">
      <c r="A21" s="24">
        <v>123.0</v>
      </c>
      <c r="B21" s="168">
        <v>-6113.54</v>
      </c>
      <c r="C21" s="24" t="s">
        <v>5202</v>
      </c>
      <c r="D21" s="76">
        <v>7017.0</v>
      </c>
      <c r="E21" s="208">
        <v>-87141.0</v>
      </c>
      <c r="F21" s="168">
        <v>771408.0</v>
      </c>
      <c r="G21" s="209">
        <v>-16568.0</v>
      </c>
      <c r="H21" s="168">
        <v>791502.0</v>
      </c>
      <c r="I21" s="208">
        <v>-65074.0</v>
      </c>
    </row>
    <row r="22">
      <c r="A22" s="24">
        <v>106.0</v>
      </c>
      <c r="B22" s="168">
        <v>-37397.62</v>
      </c>
      <c r="C22" s="24" t="s">
        <v>5203</v>
      </c>
      <c r="D22" s="76">
        <v>7018.0</v>
      </c>
      <c r="E22" s="208">
        <v>48867.0</v>
      </c>
      <c r="F22" s="168">
        <v>831561.0</v>
      </c>
      <c r="G22" s="209">
        <v>30833.0</v>
      </c>
      <c r="H22" s="168">
        <v>883071.0</v>
      </c>
      <c r="I22" s="208">
        <v>-58877.0</v>
      </c>
    </row>
    <row r="23">
      <c r="A23" s="24">
        <v>122.0</v>
      </c>
      <c r="B23" s="168">
        <v>-11257.57</v>
      </c>
      <c r="C23" s="24" t="s">
        <v>5204</v>
      </c>
      <c r="D23" s="76">
        <v>7019.0</v>
      </c>
      <c r="E23" s="208">
        <v>79978.0</v>
      </c>
      <c r="F23" s="168">
        <v>893243.0</v>
      </c>
      <c r="G23" s="209">
        <v>22763.0</v>
      </c>
      <c r="H23" s="168">
        <v>642060.0</v>
      </c>
      <c r="I23" s="208">
        <v>23419.0</v>
      </c>
    </row>
    <row r="24">
      <c r="A24" s="24">
        <v>143.0</v>
      </c>
      <c r="B24" s="168">
        <v>-14172.89</v>
      </c>
      <c r="C24" s="24" t="s">
        <v>5205</v>
      </c>
      <c r="D24" s="76">
        <v>7020.0</v>
      </c>
      <c r="E24" s="208">
        <v>38191.0</v>
      </c>
      <c r="F24" s="168">
        <v>447128.0</v>
      </c>
      <c r="G24" s="209">
        <v>-82016.0</v>
      </c>
      <c r="H24" s="168">
        <v>160586.0</v>
      </c>
      <c r="I24" s="208">
        <v>45370.0</v>
      </c>
    </row>
    <row r="25">
      <c r="A25" s="24">
        <v>131.0</v>
      </c>
      <c r="B25" s="168">
        <v>83478.0</v>
      </c>
      <c r="C25" s="24" t="s">
        <v>5206</v>
      </c>
      <c r="D25" s="76">
        <v>7021.0</v>
      </c>
      <c r="E25" s="208">
        <v>-40882.0</v>
      </c>
      <c r="F25" s="168">
        <v>696941.0</v>
      </c>
      <c r="G25" s="209">
        <v>-95977.0</v>
      </c>
      <c r="H25" s="168">
        <v>938870.0</v>
      </c>
      <c r="I25" s="208">
        <v>79655.0</v>
      </c>
    </row>
    <row r="26">
      <c r="A26" s="24">
        <v>147.0</v>
      </c>
      <c r="B26" s="168">
        <v>23902.58</v>
      </c>
      <c r="C26" s="24" t="s">
        <v>5207</v>
      </c>
      <c r="D26" s="76">
        <v>7022.0</v>
      </c>
      <c r="E26" s="208">
        <v>75943.0</v>
      </c>
      <c r="F26" s="168">
        <v>898895.0</v>
      </c>
      <c r="G26" s="209">
        <v>-52632.0</v>
      </c>
      <c r="H26" s="168">
        <v>224036.0</v>
      </c>
      <c r="I26" s="208">
        <v>83664.0</v>
      </c>
    </row>
    <row r="27">
      <c r="A27" s="24">
        <v>121.0</v>
      </c>
      <c r="B27" s="168">
        <v>74179.62</v>
      </c>
      <c r="C27" s="24" t="s">
        <v>5208</v>
      </c>
      <c r="D27" s="76">
        <v>7023.0</v>
      </c>
      <c r="E27" s="208">
        <v>-19949.0</v>
      </c>
      <c r="F27" s="168">
        <v>295276.0</v>
      </c>
      <c r="G27" s="209">
        <v>-64143.0</v>
      </c>
      <c r="H27" s="168">
        <v>106582.0</v>
      </c>
      <c r="I27" s="208">
        <v>-8308.0</v>
      </c>
    </row>
    <row r="28">
      <c r="A28" s="24">
        <v>113.0</v>
      </c>
      <c r="B28" s="168">
        <v>-6902.75</v>
      </c>
      <c r="C28" s="24" t="s">
        <v>5209</v>
      </c>
      <c r="D28" s="76">
        <v>7024.0</v>
      </c>
      <c r="E28" s="208">
        <v>67442.0</v>
      </c>
      <c r="F28" s="168">
        <v>671642.0</v>
      </c>
      <c r="G28" s="209">
        <v>-1667.0</v>
      </c>
      <c r="H28" s="168">
        <v>595057.0</v>
      </c>
      <c r="I28" s="208">
        <v>-53857.0</v>
      </c>
    </row>
    <row r="29">
      <c r="A29" s="24">
        <v>130.0</v>
      </c>
      <c r="B29" s="168">
        <v>69512.91</v>
      </c>
      <c r="C29" s="24" t="s">
        <v>5210</v>
      </c>
      <c r="D29" s="76">
        <v>7025.0</v>
      </c>
      <c r="E29" s="208">
        <v>35168.0</v>
      </c>
      <c r="F29" s="168">
        <v>241485.0</v>
      </c>
      <c r="G29" s="209">
        <v>28859.0</v>
      </c>
      <c r="H29" s="168">
        <v>398113.0</v>
      </c>
      <c r="I29" s="208">
        <v>-29495.0</v>
      </c>
    </row>
    <row r="30">
      <c r="A30" s="24">
        <v>112.0</v>
      </c>
      <c r="B30" s="168">
        <v>-19380.22</v>
      </c>
      <c r="C30" s="24" t="s">
        <v>5211</v>
      </c>
      <c r="D30" s="76">
        <v>7026.0</v>
      </c>
      <c r="E30" s="208">
        <v>-97827.0</v>
      </c>
      <c r="F30" s="168">
        <v>837466.0</v>
      </c>
      <c r="G30" s="209">
        <v>-81506.0</v>
      </c>
      <c r="H30" s="168">
        <v>928713.0</v>
      </c>
      <c r="I30" s="208">
        <v>54458.0</v>
      </c>
    </row>
    <row r="31">
      <c r="A31" s="24">
        <v>110.0</v>
      </c>
      <c r="B31" s="168">
        <v>-84819.35</v>
      </c>
      <c r="C31" s="24" t="s">
        <v>5212</v>
      </c>
      <c r="D31" s="76">
        <v>7027.0</v>
      </c>
      <c r="E31" s="208">
        <v>59141.0</v>
      </c>
      <c r="F31" s="168">
        <v>221934.0</v>
      </c>
      <c r="G31" s="209">
        <v>58403.0</v>
      </c>
      <c r="H31" s="168">
        <v>308703.0</v>
      </c>
      <c r="I31" s="208">
        <v>61479.0</v>
      </c>
    </row>
    <row r="32">
      <c r="A32" s="24">
        <v>138.0</v>
      </c>
      <c r="B32" s="168">
        <v>78682.72</v>
      </c>
      <c r="C32" s="24" t="s">
        <v>5213</v>
      </c>
      <c r="D32" s="76">
        <v>7028.0</v>
      </c>
      <c r="E32" s="208">
        <v>-28610.0</v>
      </c>
      <c r="F32" s="168">
        <v>932372.0</v>
      </c>
      <c r="G32" s="209">
        <v>-45890.0</v>
      </c>
      <c r="H32" s="168">
        <v>520285.0</v>
      </c>
      <c r="I32" s="208">
        <v>-13649.0</v>
      </c>
    </row>
    <row r="33">
      <c r="A33" s="24">
        <v>120.0</v>
      </c>
      <c r="B33" s="168">
        <v>-5154.66</v>
      </c>
      <c r="C33" s="24" t="s">
        <v>5214</v>
      </c>
      <c r="D33" s="76">
        <v>7029.0</v>
      </c>
      <c r="E33" s="208">
        <v>22956.0</v>
      </c>
      <c r="F33" s="168">
        <v>583443.0</v>
      </c>
      <c r="G33" s="209">
        <v>-11540.0</v>
      </c>
      <c r="H33" s="168">
        <v>490007.0</v>
      </c>
      <c r="I33" s="208">
        <v>-3970.0</v>
      </c>
    </row>
    <row r="34">
      <c r="A34" s="24">
        <v>115.0</v>
      </c>
      <c r="B34" s="168">
        <v>-52120.77</v>
      </c>
      <c r="C34" s="24" t="s">
        <v>5215</v>
      </c>
      <c r="D34" s="76">
        <v>7030.0</v>
      </c>
      <c r="E34" s="208">
        <v>-88260.0</v>
      </c>
      <c r="F34" s="168">
        <v>863171.0</v>
      </c>
      <c r="G34" s="209">
        <v>51681.0</v>
      </c>
      <c r="H34" s="168">
        <v>980374.0</v>
      </c>
      <c r="I34" s="208">
        <v>63219.0</v>
      </c>
    </row>
    <row r="35">
      <c r="A35" s="24">
        <v>141.0</v>
      </c>
      <c r="B35" s="168">
        <v>50629.07</v>
      </c>
      <c r="C35" s="24" t="s">
        <v>5216</v>
      </c>
      <c r="D35" s="76">
        <v>7031.0</v>
      </c>
      <c r="E35" s="208">
        <v>-57021.0</v>
      </c>
      <c r="F35" s="168">
        <v>674707.0</v>
      </c>
      <c r="G35" s="209">
        <v>34783.0</v>
      </c>
      <c r="H35" s="168">
        <v>117199.0</v>
      </c>
      <c r="I35" s="208">
        <v>-34172.0</v>
      </c>
    </row>
    <row r="36">
      <c r="A36" s="24">
        <v>137.0</v>
      </c>
      <c r="B36" s="168">
        <v>66846.62</v>
      </c>
      <c r="C36" s="24" t="s">
        <v>5214</v>
      </c>
      <c r="D36" s="76">
        <v>7032.0</v>
      </c>
      <c r="E36" s="208">
        <v>-81631.0</v>
      </c>
      <c r="F36" s="168">
        <v>693454.0</v>
      </c>
      <c r="G36" s="209">
        <v>-77129.0</v>
      </c>
      <c r="H36" s="168">
        <v>390002.0</v>
      </c>
      <c r="I36" s="208">
        <v>37094.0</v>
      </c>
    </row>
    <row r="37">
      <c r="A37" s="24">
        <v>108.0</v>
      </c>
      <c r="B37" s="168">
        <v>-21424.55</v>
      </c>
      <c r="C37" s="24" t="s">
        <v>5217</v>
      </c>
      <c r="D37" s="76">
        <v>7033.0</v>
      </c>
      <c r="E37" s="208">
        <v>83372.0</v>
      </c>
      <c r="F37" s="168">
        <v>659148.0</v>
      </c>
      <c r="G37" s="209">
        <v>-75695.0</v>
      </c>
      <c r="H37" s="168">
        <v>779786.0</v>
      </c>
      <c r="I37" s="208">
        <v>-48810.0</v>
      </c>
    </row>
    <row r="38">
      <c r="A38" s="24">
        <v>116.0</v>
      </c>
      <c r="B38" s="168">
        <v>62409.7</v>
      </c>
      <c r="C38" s="24" t="s">
        <v>5218</v>
      </c>
      <c r="D38" s="76">
        <v>7034.0</v>
      </c>
      <c r="E38" s="208">
        <v>-43203.0</v>
      </c>
      <c r="F38" s="168">
        <v>283454.0</v>
      </c>
      <c r="G38" s="209">
        <v>74255.0</v>
      </c>
      <c r="H38" s="168">
        <v>455292.0</v>
      </c>
      <c r="I38" s="208">
        <v>44830.0</v>
      </c>
    </row>
    <row r="39">
      <c r="A39" s="24">
        <v>126.0</v>
      </c>
      <c r="B39" s="168">
        <v>78338.83</v>
      </c>
      <c r="C39" s="24" t="s">
        <v>5219</v>
      </c>
      <c r="D39" s="76">
        <v>7035.0</v>
      </c>
      <c r="E39" s="208">
        <v>19648.0</v>
      </c>
      <c r="F39" s="168">
        <v>267305.0</v>
      </c>
      <c r="G39" s="209">
        <v>4083.0</v>
      </c>
      <c r="H39" s="168">
        <v>358324.0</v>
      </c>
      <c r="I39" s="208">
        <v>-35360.0</v>
      </c>
    </row>
    <row r="40">
      <c r="A40" s="24">
        <v>139.0</v>
      </c>
      <c r="B40" s="168">
        <v>94862.07</v>
      </c>
      <c r="C40" s="24" t="s">
        <v>5220</v>
      </c>
      <c r="D40" s="76">
        <v>7036.0</v>
      </c>
      <c r="E40" s="208">
        <v>93610.0</v>
      </c>
      <c r="F40" s="168">
        <v>958246.0</v>
      </c>
      <c r="G40" s="209">
        <v>-57639.0</v>
      </c>
      <c r="H40" s="168">
        <v>385468.0</v>
      </c>
      <c r="I40" s="208">
        <v>75136.0</v>
      </c>
    </row>
    <row r="41">
      <c r="A41" s="24">
        <v>128.0</v>
      </c>
      <c r="B41" s="168">
        <v>-1524.9</v>
      </c>
      <c r="C41" s="24" t="s">
        <v>5221</v>
      </c>
      <c r="D41" s="76">
        <v>7037.0</v>
      </c>
      <c r="E41" s="208">
        <v>-77284.0</v>
      </c>
      <c r="F41" s="168">
        <v>921121.0</v>
      </c>
      <c r="G41" s="209">
        <v>-44652.0</v>
      </c>
      <c r="H41" s="168">
        <v>769109.0</v>
      </c>
      <c r="I41" s="208">
        <v>26628.0</v>
      </c>
    </row>
    <row r="42">
      <c r="A42" s="24">
        <v>140.0</v>
      </c>
      <c r="B42" s="168">
        <v>35658.52</v>
      </c>
      <c r="C42" s="24" t="s">
        <v>5222</v>
      </c>
      <c r="D42" s="76">
        <v>7038.0</v>
      </c>
      <c r="E42" s="208">
        <v>60646.0</v>
      </c>
      <c r="F42" s="168">
        <v>989620.0</v>
      </c>
      <c r="G42" s="209">
        <v>-79129.0</v>
      </c>
      <c r="H42" s="168">
        <v>918470.0</v>
      </c>
      <c r="I42" s="208">
        <v>29929.0</v>
      </c>
    </row>
    <row r="43">
      <c r="A43" s="24">
        <v>119.0</v>
      </c>
      <c r="B43" s="168">
        <v>-12100.09</v>
      </c>
      <c r="C43" s="24" t="s">
        <v>5223</v>
      </c>
      <c r="D43" s="76">
        <v>7039.0</v>
      </c>
      <c r="E43" s="208">
        <v>-86056.0</v>
      </c>
      <c r="F43" s="168">
        <v>989988.0</v>
      </c>
      <c r="G43" s="209">
        <v>-8944.0</v>
      </c>
      <c r="H43" s="168">
        <v>190955.0</v>
      </c>
      <c r="I43" s="208">
        <v>61931.0</v>
      </c>
    </row>
    <row r="44">
      <c r="A44" s="24">
        <v>135.0</v>
      </c>
      <c r="B44" s="168">
        <v>61057.46</v>
      </c>
      <c r="C44" s="24" t="s">
        <v>5224</v>
      </c>
      <c r="D44" s="76">
        <v>7040.0</v>
      </c>
      <c r="E44" s="208">
        <v>-35221.0</v>
      </c>
      <c r="F44" s="168">
        <v>676481.0</v>
      </c>
      <c r="G44" s="209">
        <v>-18922.0</v>
      </c>
      <c r="H44" s="168">
        <v>328547.0</v>
      </c>
      <c r="I44" s="208">
        <v>-93814.0</v>
      </c>
    </row>
    <row r="45">
      <c r="A45" s="24">
        <v>124.0</v>
      </c>
      <c r="B45" s="168">
        <v>30021.94</v>
      </c>
      <c r="C45" s="24" t="s">
        <v>5225</v>
      </c>
      <c r="D45" s="76">
        <v>7041.0</v>
      </c>
      <c r="E45" s="208">
        <v>92674.0</v>
      </c>
      <c r="F45" s="168">
        <v>925477.0</v>
      </c>
      <c r="G45" s="209">
        <v>-94733.0</v>
      </c>
      <c r="H45" s="168">
        <v>464101.0</v>
      </c>
      <c r="I45" s="208">
        <v>-85325.0</v>
      </c>
    </row>
    <row r="46">
      <c r="A46" s="24">
        <v>149.0</v>
      </c>
      <c r="B46" s="168">
        <v>-25389.43</v>
      </c>
      <c r="C46" s="24" t="s">
        <v>5226</v>
      </c>
      <c r="D46" s="76">
        <v>7042.0</v>
      </c>
      <c r="E46" s="208">
        <v>78829.0</v>
      </c>
      <c r="F46" s="168">
        <v>676714.0</v>
      </c>
      <c r="G46" s="209">
        <v>13406.0</v>
      </c>
      <c r="H46" s="168">
        <v>481948.0</v>
      </c>
      <c r="I46" s="208">
        <v>61850.0</v>
      </c>
    </row>
    <row r="47">
      <c r="A47" s="24">
        <v>114.0</v>
      </c>
      <c r="B47" s="168">
        <v>73835.51</v>
      </c>
      <c r="C47" s="24" t="s">
        <v>5227</v>
      </c>
      <c r="D47" s="76">
        <v>7043.0</v>
      </c>
      <c r="E47" s="208">
        <v>-93710.0</v>
      </c>
      <c r="F47" s="168">
        <v>197306.0</v>
      </c>
      <c r="G47" s="209">
        <v>-10725.0</v>
      </c>
      <c r="H47" s="168">
        <v>835660.0</v>
      </c>
      <c r="I47" s="208">
        <v>9611.0</v>
      </c>
    </row>
    <row r="48">
      <c r="A48" s="24">
        <v>101.0</v>
      </c>
      <c r="B48" s="168">
        <v>-22980.33</v>
      </c>
      <c r="C48" s="24" t="s">
        <v>5228</v>
      </c>
      <c r="D48" s="76">
        <v>7044.0</v>
      </c>
      <c r="E48" s="208">
        <v>-33472.0</v>
      </c>
      <c r="F48" s="168">
        <v>342197.0</v>
      </c>
      <c r="G48" s="209">
        <v>-41681.0</v>
      </c>
      <c r="H48" s="168">
        <v>532454.0</v>
      </c>
      <c r="I48" s="208">
        <v>34639.0</v>
      </c>
    </row>
    <row r="49">
      <c r="A49" s="24">
        <v>105.0</v>
      </c>
      <c r="B49" s="168">
        <v>14725.63</v>
      </c>
      <c r="C49" s="24" t="s">
        <v>5229</v>
      </c>
      <c r="D49" s="76">
        <v>7045.0</v>
      </c>
      <c r="E49" s="208">
        <v>-38632.0</v>
      </c>
      <c r="F49" s="168">
        <v>429951.0</v>
      </c>
      <c r="G49" s="209">
        <v>8776.0</v>
      </c>
      <c r="H49" s="168">
        <v>938832.0</v>
      </c>
      <c r="I49" s="208">
        <v>72766.0</v>
      </c>
    </row>
    <row r="50">
      <c r="A50" s="24">
        <v>117.0</v>
      </c>
      <c r="B50" s="168">
        <v>7340.19</v>
      </c>
      <c r="C50" s="24" t="s">
        <v>5230</v>
      </c>
      <c r="D50" s="76">
        <v>7046.0</v>
      </c>
      <c r="E50" s="208">
        <v>56748.0</v>
      </c>
      <c r="F50" s="168">
        <v>849259.0</v>
      </c>
      <c r="G50" s="209">
        <v>48068.0</v>
      </c>
      <c r="H50" s="168">
        <v>662833.0</v>
      </c>
      <c r="I50" s="208">
        <v>48283.0</v>
      </c>
    </row>
    <row r="51">
      <c r="A51" s="24">
        <v>107.0</v>
      </c>
      <c r="B51" s="168">
        <v>73865.79</v>
      </c>
      <c r="C51" s="24" t="s">
        <v>5231</v>
      </c>
      <c r="D51" s="76">
        <v>7047.0</v>
      </c>
      <c r="E51" s="208">
        <v>-96259.0</v>
      </c>
      <c r="F51" s="168">
        <v>119743.0</v>
      </c>
      <c r="G51" s="209">
        <v>-75028.0</v>
      </c>
      <c r="H51" s="168">
        <v>684149.0</v>
      </c>
      <c r="I51" s="208">
        <v>32233.0</v>
      </c>
    </row>
    <row r="52">
      <c r="A52" s="24">
        <v>102.0</v>
      </c>
      <c r="B52" s="168">
        <v>65741.64</v>
      </c>
      <c r="C52" s="24" t="s">
        <v>5232</v>
      </c>
      <c r="D52" s="76">
        <v>7048.0</v>
      </c>
      <c r="E52" s="208">
        <v>-59829.0</v>
      </c>
      <c r="F52" s="168">
        <v>969059.0</v>
      </c>
      <c r="G52" s="209">
        <v>-52931.0</v>
      </c>
      <c r="H52" s="168">
        <v>909711.0</v>
      </c>
      <c r="I52" s="208">
        <v>25740.0</v>
      </c>
    </row>
    <row r="53">
      <c r="A53" s="24">
        <v>132.0</v>
      </c>
      <c r="B53" s="168">
        <v>43031.03</v>
      </c>
      <c r="C53" s="24" t="s">
        <v>5233</v>
      </c>
      <c r="D53" s="76">
        <v>7049.0</v>
      </c>
      <c r="E53" s="208">
        <v>-95848.0</v>
      </c>
      <c r="F53" s="168">
        <v>557826.0</v>
      </c>
      <c r="G53" s="209">
        <v>-90633.0</v>
      </c>
      <c r="H53" s="168">
        <v>126283.0</v>
      </c>
      <c r="I53" s="208">
        <v>68138.0</v>
      </c>
    </row>
    <row r="54">
      <c r="A54" s="24">
        <v>145.0</v>
      </c>
      <c r="B54" s="168">
        <v>-28496.14</v>
      </c>
      <c r="C54" s="24" t="s">
        <v>5185</v>
      </c>
      <c r="D54" s="76">
        <v>7050.0</v>
      </c>
      <c r="E54" s="208">
        <v>22432.0</v>
      </c>
      <c r="F54" s="168">
        <v>449171.0</v>
      </c>
      <c r="G54" s="209">
        <v>-58395.0</v>
      </c>
      <c r="H54" s="168">
        <v>672087.0</v>
      </c>
      <c r="I54" s="208">
        <v>27217.0</v>
      </c>
    </row>
    <row r="55">
      <c r="A55" s="24">
        <v>148.0</v>
      </c>
      <c r="B55" s="168">
        <v>4241.48</v>
      </c>
      <c r="C55" s="24" t="s">
        <v>5186</v>
      </c>
      <c r="D55" s="76">
        <v>7051.0</v>
      </c>
      <c r="E55" s="208">
        <v>-99935.0</v>
      </c>
      <c r="F55" s="168">
        <v>715011.0</v>
      </c>
      <c r="G55" s="209">
        <v>-44199.0</v>
      </c>
      <c r="H55" s="168">
        <v>561624.0</v>
      </c>
      <c r="I55" s="208">
        <v>39822.0</v>
      </c>
    </row>
    <row r="56">
      <c r="A56" s="24">
        <v>136.0</v>
      </c>
      <c r="B56" s="168">
        <v>85063.21</v>
      </c>
      <c r="C56" s="24" t="s">
        <v>5187</v>
      </c>
      <c r="D56" s="76">
        <v>7052.0</v>
      </c>
      <c r="E56" s="208">
        <v>-90001.0</v>
      </c>
      <c r="F56" s="168">
        <v>952498.0</v>
      </c>
      <c r="G56" s="209">
        <v>70917.0</v>
      </c>
      <c r="H56" s="168">
        <v>691289.0</v>
      </c>
      <c r="I56" s="208">
        <v>-38241.0</v>
      </c>
    </row>
    <row r="57">
      <c r="A57" s="24">
        <v>104.0</v>
      </c>
      <c r="B57" s="168">
        <v>82297.64</v>
      </c>
      <c r="C57" s="24" t="s">
        <v>5188</v>
      </c>
      <c r="D57" s="76">
        <v>7053.0</v>
      </c>
      <c r="E57" s="208">
        <v>-651.0</v>
      </c>
      <c r="F57" s="168">
        <v>718675.0</v>
      </c>
      <c r="G57" s="209">
        <v>39783.0</v>
      </c>
      <c r="H57" s="168">
        <v>187116.0</v>
      </c>
      <c r="I57" s="208">
        <v>52862.0</v>
      </c>
    </row>
    <row r="58">
      <c r="A58" s="24">
        <v>129.0</v>
      </c>
      <c r="B58" s="168">
        <v>48063.09</v>
      </c>
      <c r="C58" s="24" t="s">
        <v>5189</v>
      </c>
      <c r="D58" s="76">
        <v>7054.0</v>
      </c>
      <c r="E58" s="208">
        <v>-20127.0</v>
      </c>
      <c r="F58" s="168">
        <v>644410.0</v>
      </c>
      <c r="G58" s="209">
        <v>-54753.0</v>
      </c>
      <c r="H58" s="168">
        <v>356396.0</v>
      </c>
      <c r="I58" s="208">
        <v>-78650.0</v>
      </c>
    </row>
    <row r="59">
      <c r="A59" s="24">
        <v>118.0</v>
      </c>
      <c r="B59" s="168">
        <v>-87886.9</v>
      </c>
      <c r="C59" s="24" t="s">
        <v>5190</v>
      </c>
      <c r="D59" s="76">
        <v>7055.0</v>
      </c>
      <c r="E59" s="208">
        <v>74352.0</v>
      </c>
      <c r="F59" s="168">
        <v>717433.0</v>
      </c>
      <c r="G59" s="209">
        <v>-65117.0</v>
      </c>
      <c r="H59" s="168">
        <v>403088.0</v>
      </c>
      <c r="I59" s="208">
        <v>-27727.0</v>
      </c>
    </row>
    <row r="60">
      <c r="A60" s="24">
        <v>127.0</v>
      </c>
      <c r="B60" s="168">
        <v>-29598.65</v>
      </c>
      <c r="C60" s="24" t="s">
        <v>5191</v>
      </c>
      <c r="D60" s="76">
        <v>7056.0</v>
      </c>
      <c r="E60" s="208">
        <v>-75080.0</v>
      </c>
      <c r="F60" s="168">
        <v>145609.0</v>
      </c>
      <c r="G60" s="209">
        <v>1740.0</v>
      </c>
      <c r="H60" s="168">
        <v>362272.0</v>
      </c>
      <c r="I60" s="208">
        <v>14766.0</v>
      </c>
    </row>
    <row r="61">
      <c r="A61" s="24">
        <v>125.0</v>
      </c>
      <c r="B61" s="168">
        <v>-42516.84</v>
      </c>
      <c r="C61" s="24" t="s">
        <v>5192</v>
      </c>
      <c r="D61" s="76">
        <v>7057.0</v>
      </c>
      <c r="E61" s="208">
        <v>86452.0</v>
      </c>
      <c r="F61" s="168">
        <v>651193.0</v>
      </c>
      <c r="G61" s="209">
        <v>78137.0</v>
      </c>
      <c r="H61" s="168">
        <v>556089.0</v>
      </c>
      <c r="I61" s="208">
        <v>-33259.0</v>
      </c>
    </row>
    <row r="62">
      <c r="A62" s="24">
        <v>146.0</v>
      </c>
      <c r="B62" s="168">
        <v>54996.36</v>
      </c>
      <c r="C62" s="24" t="s">
        <v>5193</v>
      </c>
      <c r="D62" s="76">
        <v>7058.0</v>
      </c>
      <c r="E62" s="208">
        <v>3888.0</v>
      </c>
      <c r="F62" s="168">
        <v>584434.0</v>
      </c>
      <c r="G62" s="209">
        <v>-27595.0</v>
      </c>
      <c r="H62" s="168">
        <v>189282.0</v>
      </c>
      <c r="I62" s="208">
        <v>-32469.0</v>
      </c>
    </row>
    <row r="63">
      <c r="A63" s="24">
        <v>111.0</v>
      </c>
      <c r="B63" s="168">
        <v>-37132.12</v>
      </c>
      <c r="C63" s="24" t="s">
        <v>5194</v>
      </c>
      <c r="D63" s="76">
        <v>7059.0</v>
      </c>
      <c r="E63" s="208">
        <v>-4179.0</v>
      </c>
      <c r="F63" s="168">
        <v>483042.0</v>
      </c>
      <c r="G63" s="209">
        <v>87478.0</v>
      </c>
      <c r="H63" s="168">
        <v>528252.0</v>
      </c>
      <c r="I63" s="208">
        <v>633.0</v>
      </c>
    </row>
    <row r="64">
      <c r="A64" s="24">
        <v>103.0</v>
      </c>
      <c r="B64" s="168">
        <v>12772.13</v>
      </c>
      <c r="C64" s="24" t="s">
        <v>5195</v>
      </c>
      <c r="D64" s="76">
        <v>7060.0</v>
      </c>
      <c r="E64" s="208">
        <v>-23680.0</v>
      </c>
      <c r="F64" s="168">
        <v>389906.0</v>
      </c>
      <c r="G64" s="209">
        <v>56738.0</v>
      </c>
      <c r="H64" s="168">
        <v>970973.0</v>
      </c>
      <c r="I64" s="208">
        <v>-78853.0</v>
      </c>
    </row>
    <row r="65">
      <c r="A65" s="24">
        <v>142.0</v>
      </c>
      <c r="B65" s="168">
        <v>75559.25</v>
      </c>
      <c r="C65" s="24" t="s">
        <v>5196</v>
      </c>
      <c r="D65" s="76">
        <v>7061.0</v>
      </c>
      <c r="E65" s="208">
        <v>86414.0</v>
      </c>
      <c r="F65" s="168">
        <v>488844.0</v>
      </c>
      <c r="G65" s="209">
        <v>81742.0</v>
      </c>
      <c r="H65" s="168">
        <v>697205.0</v>
      </c>
      <c r="I65" s="208">
        <v>72992.0</v>
      </c>
    </row>
    <row r="66">
      <c r="A66" s="24">
        <v>100.0</v>
      </c>
      <c r="B66" s="168">
        <v>778.95</v>
      </c>
      <c r="C66" s="24" t="s">
        <v>5197</v>
      </c>
      <c r="D66" s="76">
        <v>7062.0</v>
      </c>
      <c r="E66" s="208">
        <v>-98612.0</v>
      </c>
      <c r="F66" s="168">
        <v>283924.0</v>
      </c>
      <c r="G66" s="209">
        <v>11971.0</v>
      </c>
      <c r="H66" s="168">
        <v>565921.0</v>
      </c>
      <c r="I66" s="208">
        <v>-35811.0</v>
      </c>
    </row>
    <row r="67">
      <c r="A67" s="24">
        <v>109.0</v>
      </c>
      <c r="B67" s="168">
        <v>-4920.57</v>
      </c>
      <c r="C67" s="24" t="s">
        <v>5198</v>
      </c>
      <c r="D67" s="76">
        <v>7063.0</v>
      </c>
      <c r="E67" s="208">
        <v>-1439.0</v>
      </c>
      <c r="F67" s="168">
        <v>188545.0</v>
      </c>
      <c r="G67" s="209">
        <v>65254.0</v>
      </c>
      <c r="H67" s="168">
        <v>749926.0</v>
      </c>
      <c r="I67" s="208">
        <v>67485.0</v>
      </c>
    </row>
    <row r="68">
      <c r="A68" s="24">
        <v>144.0</v>
      </c>
      <c r="B68" s="168">
        <v>35024.45</v>
      </c>
      <c r="C68" s="24" t="s">
        <v>5199</v>
      </c>
      <c r="D68" s="76">
        <v>7064.0</v>
      </c>
      <c r="E68" s="208">
        <v>59058.0</v>
      </c>
      <c r="F68" s="168">
        <v>377710.0</v>
      </c>
      <c r="G68" s="209">
        <v>-16144.0</v>
      </c>
      <c r="H68" s="168">
        <v>856995.0</v>
      </c>
      <c r="I68" s="208">
        <v>82752.0</v>
      </c>
    </row>
    <row r="69">
      <c r="A69" s="24">
        <v>133.0</v>
      </c>
      <c r="B69" s="168">
        <v>-49461.08</v>
      </c>
      <c r="C69" s="24" t="s">
        <v>5200</v>
      </c>
      <c r="D69" s="76">
        <v>7065.0</v>
      </c>
      <c r="E69" s="208">
        <v>-3318.0</v>
      </c>
      <c r="F69" s="168">
        <v>255836.0</v>
      </c>
      <c r="G69" s="209">
        <v>-39378.0</v>
      </c>
      <c r="H69" s="168">
        <v>626078.0</v>
      </c>
      <c r="I69" s="208">
        <v>-29869.0</v>
      </c>
    </row>
    <row r="70">
      <c r="A70" s="24">
        <v>134.0</v>
      </c>
      <c r="B70" s="168">
        <v>-80525.38</v>
      </c>
      <c r="C70" s="24" t="s">
        <v>5201</v>
      </c>
      <c r="D70" s="76">
        <v>7066.0</v>
      </c>
      <c r="E70" s="208">
        <v>88537.0</v>
      </c>
      <c r="F70" s="168">
        <v>513620.0</v>
      </c>
      <c r="G70" s="209">
        <v>95870.0</v>
      </c>
      <c r="H70" s="168">
        <v>235029.0</v>
      </c>
      <c r="I70" s="208">
        <v>37100.0</v>
      </c>
    </row>
    <row r="71">
      <c r="A71" s="24">
        <v>123.0</v>
      </c>
      <c r="B71" s="168">
        <v>-51663.5</v>
      </c>
      <c r="C71" s="24" t="s">
        <v>5202</v>
      </c>
      <c r="D71" s="76">
        <v>7067.0</v>
      </c>
      <c r="E71" s="208">
        <v>81775.0</v>
      </c>
      <c r="F71" s="168">
        <v>123712.0</v>
      </c>
      <c r="G71" s="209">
        <v>-12504.0</v>
      </c>
      <c r="H71" s="168">
        <v>111324.0</v>
      </c>
      <c r="I71" s="208">
        <v>-21657.0</v>
      </c>
    </row>
    <row r="72">
      <c r="A72" s="24">
        <v>106.0</v>
      </c>
      <c r="B72" s="168">
        <v>11894.13</v>
      </c>
      <c r="C72" s="24" t="s">
        <v>5203</v>
      </c>
      <c r="D72" s="76">
        <v>7068.0</v>
      </c>
      <c r="E72" s="208">
        <v>7277.0</v>
      </c>
      <c r="F72" s="168">
        <v>977227.0</v>
      </c>
      <c r="G72" s="209">
        <v>-53373.0</v>
      </c>
      <c r="H72" s="168">
        <v>961043.0</v>
      </c>
      <c r="I72" s="208">
        <v>-84734.0</v>
      </c>
    </row>
    <row r="73">
      <c r="A73" s="24">
        <v>122.0</v>
      </c>
      <c r="B73" s="168">
        <v>42097.6</v>
      </c>
      <c r="C73" s="24" t="s">
        <v>5204</v>
      </c>
      <c r="D73" s="76">
        <v>7069.0</v>
      </c>
      <c r="E73" s="208">
        <v>-14449.0</v>
      </c>
      <c r="F73" s="168">
        <v>739652.0</v>
      </c>
      <c r="G73" s="209">
        <v>-63544.0</v>
      </c>
      <c r="H73" s="168">
        <v>780379.0</v>
      </c>
      <c r="I73" s="208">
        <v>23770.0</v>
      </c>
    </row>
    <row r="74">
      <c r="A74" s="24">
        <v>143.0</v>
      </c>
      <c r="B74" s="168">
        <v>-95324.43</v>
      </c>
      <c r="C74" s="24" t="s">
        <v>5205</v>
      </c>
      <c r="D74" s="76">
        <v>7070.0</v>
      </c>
      <c r="E74" s="208">
        <v>37006.0</v>
      </c>
      <c r="F74" s="168">
        <v>113015.0</v>
      </c>
      <c r="G74" s="209">
        <v>27712.0</v>
      </c>
      <c r="H74" s="168">
        <v>134625.0</v>
      </c>
      <c r="I74" s="208">
        <v>-74614.0</v>
      </c>
    </row>
    <row r="75">
      <c r="A75" s="24">
        <v>131.0</v>
      </c>
      <c r="B75" s="168">
        <v>-14532.94</v>
      </c>
      <c r="C75" s="24" t="s">
        <v>5206</v>
      </c>
      <c r="D75" s="76">
        <v>7071.0</v>
      </c>
      <c r="E75" s="208">
        <v>-87329.0</v>
      </c>
      <c r="F75" s="168">
        <v>214691.0</v>
      </c>
      <c r="G75" s="209">
        <v>-72027.0</v>
      </c>
      <c r="H75" s="168">
        <v>665911.0</v>
      </c>
      <c r="I75" s="208">
        <v>-86898.0</v>
      </c>
    </row>
    <row r="76">
      <c r="A76" s="24">
        <v>147.0</v>
      </c>
      <c r="B76" s="168">
        <v>-83114.67</v>
      </c>
      <c r="C76" s="24" t="s">
        <v>5207</v>
      </c>
      <c r="D76" s="76">
        <v>7072.0</v>
      </c>
      <c r="E76" s="208">
        <v>-85872.0</v>
      </c>
      <c r="F76" s="168">
        <v>906365.0</v>
      </c>
      <c r="G76" s="209">
        <v>50905.0</v>
      </c>
      <c r="H76" s="168">
        <v>148260.0</v>
      </c>
      <c r="I76" s="208">
        <v>25713.0</v>
      </c>
    </row>
    <row r="77">
      <c r="A77" s="24">
        <v>121.0</v>
      </c>
      <c r="B77" s="168">
        <v>-2799.67</v>
      </c>
      <c r="C77" s="24" t="s">
        <v>5208</v>
      </c>
      <c r="D77" s="76">
        <v>7073.0</v>
      </c>
      <c r="E77" s="208">
        <v>49992.0</v>
      </c>
      <c r="F77" s="168">
        <v>201181.0</v>
      </c>
      <c r="G77" s="209">
        <v>73890.0</v>
      </c>
      <c r="H77" s="168">
        <v>324343.0</v>
      </c>
      <c r="I77" s="208">
        <v>65954.0</v>
      </c>
    </row>
    <row r="78">
      <c r="A78" s="24">
        <v>113.0</v>
      </c>
      <c r="B78" s="168">
        <v>45432.25</v>
      </c>
      <c r="C78" s="24" t="s">
        <v>5209</v>
      </c>
      <c r="D78" s="76">
        <v>7074.0</v>
      </c>
      <c r="E78" s="208">
        <v>-4911.0</v>
      </c>
      <c r="F78" s="168">
        <v>797421.0</v>
      </c>
      <c r="G78" s="209">
        <v>-91133.0</v>
      </c>
      <c r="H78" s="168">
        <v>731507.0</v>
      </c>
      <c r="I78" s="208">
        <v>-42157.0</v>
      </c>
    </row>
    <row r="79">
      <c r="A79" s="24">
        <v>130.0</v>
      </c>
      <c r="B79" s="168">
        <v>-58603.35</v>
      </c>
      <c r="C79" s="24" t="s">
        <v>5210</v>
      </c>
      <c r="D79" s="76">
        <v>7075.0</v>
      </c>
      <c r="E79" s="208">
        <v>6810.0</v>
      </c>
      <c r="F79" s="168">
        <v>300287.0</v>
      </c>
      <c r="G79" s="209">
        <v>-3739.0</v>
      </c>
      <c r="H79" s="168">
        <v>794334.0</v>
      </c>
      <c r="I79" s="208">
        <v>-15734.0</v>
      </c>
    </row>
    <row r="80">
      <c r="A80" s="24">
        <v>112.0</v>
      </c>
      <c r="B80" s="168">
        <v>11347.92</v>
      </c>
      <c r="C80" s="24" t="s">
        <v>5211</v>
      </c>
      <c r="D80" s="76">
        <v>7076.0</v>
      </c>
      <c r="E80" s="208">
        <v>-69560.0</v>
      </c>
      <c r="F80" s="168">
        <v>866003.0</v>
      </c>
      <c r="G80" s="209">
        <v>38980.0</v>
      </c>
      <c r="H80" s="168">
        <v>427992.0</v>
      </c>
      <c r="I80" s="208">
        <v>35712.0</v>
      </c>
    </row>
    <row r="81">
      <c r="A81" s="24">
        <v>110.0</v>
      </c>
      <c r="B81" s="168">
        <v>-68191.09</v>
      </c>
      <c r="C81" s="24" t="s">
        <v>5212</v>
      </c>
      <c r="D81" s="76">
        <v>7077.0</v>
      </c>
      <c r="E81" s="208">
        <v>4507.0</v>
      </c>
      <c r="F81" s="168">
        <v>440777.0</v>
      </c>
      <c r="G81" s="209">
        <v>-35468.0</v>
      </c>
      <c r="H81" s="168">
        <v>917679.0</v>
      </c>
      <c r="I81" s="208">
        <v>82655.0</v>
      </c>
    </row>
    <row r="82">
      <c r="A82" s="24">
        <v>138.0</v>
      </c>
      <c r="B82" s="168">
        <v>42147.75</v>
      </c>
      <c r="C82" s="24" t="s">
        <v>5213</v>
      </c>
      <c r="D82" s="76">
        <v>7078.0</v>
      </c>
      <c r="E82" s="208">
        <v>-86455.0</v>
      </c>
      <c r="F82" s="168">
        <v>139457.0</v>
      </c>
      <c r="G82" s="209">
        <v>-23979.0</v>
      </c>
      <c r="H82" s="168">
        <v>211841.0</v>
      </c>
      <c r="I82" s="208">
        <v>61186.0</v>
      </c>
    </row>
    <row r="83">
      <c r="A83" s="24">
        <v>120.0</v>
      </c>
      <c r="B83" s="168">
        <v>73024.4</v>
      </c>
      <c r="C83" s="24" t="s">
        <v>5214</v>
      </c>
      <c r="D83" s="76">
        <v>7079.0</v>
      </c>
      <c r="E83" s="208">
        <v>-12908.0</v>
      </c>
      <c r="F83" s="168">
        <v>660869.0</v>
      </c>
      <c r="G83" s="209">
        <v>52178.0</v>
      </c>
      <c r="H83" s="168">
        <v>494255.0</v>
      </c>
      <c r="I83" s="208">
        <v>94924.0</v>
      </c>
    </row>
    <row r="84">
      <c r="A84" s="24">
        <v>115.0</v>
      </c>
      <c r="B84" s="168">
        <v>11436.84</v>
      </c>
      <c r="C84" s="24" t="s">
        <v>5215</v>
      </c>
      <c r="D84" s="76">
        <v>7080.0</v>
      </c>
      <c r="E84" s="208">
        <v>90915.0</v>
      </c>
      <c r="F84" s="168">
        <v>407161.0</v>
      </c>
      <c r="G84" s="209">
        <v>-39875.0</v>
      </c>
      <c r="H84" s="168">
        <v>816046.0</v>
      </c>
      <c r="I84" s="208">
        <v>36406.0</v>
      </c>
    </row>
    <row r="85">
      <c r="A85" s="24">
        <v>141.0</v>
      </c>
      <c r="B85" s="168">
        <v>61119.44</v>
      </c>
      <c r="C85" s="24" t="s">
        <v>5216</v>
      </c>
      <c r="D85" s="76">
        <v>7081.0</v>
      </c>
      <c r="E85" s="208">
        <v>-39412.0</v>
      </c>
      <c r="F85" s="168">
        <v>596856.0</v>
      </c>
      <c r="G85" s="209">
        <v>37103.0</v>
      </c>
      <c r="H85" s="168">
        <v>281547.0</v>
      </c>
      <c r="I85" s="208">
        <v>15791.0</v>
      </c>
    </row>
    <row r="86">
      <c r="A86" s="24">
        <v>137.0</v>
      </c>
      <c r="B86" s="168">
        <v>35341.87</v>
      </c>
      <c r="C86" s="24" t="s">
        <v>5214</v>
      </c>
      <c r="D86" s="76">
        <v>7082.0</v>
      </c>
      <c r="E86" s="208">
        <v>-27277.0</v>
      </c>
      <c r="F86" s="168">
        <v>199390.0</v>
      </c>
      <c r="G86" s="209">
        <v>10931.0</v>
      </c>
      <c r="H86" s="168">
        <v>534857.0</v>
      </c>
      <c r="I86" s="208">
        <v>2464.0</v>
      </c>
    </row>
    <row r="87">
      <c r="A87" s="24">
        <v>108.0</v>
      </c>
      <c r="B87" s="168">
        <v>9281.72</v>
      </c>
      <c r="C87" s="24" t="s">
        <v>5217</v>
      </c>
      <c r="D87" s="76">
        <v>7083.0</v>
      </c>
      <c r="E87" s="208">
        <v>-45361.0</v>
      </c>
      <c r="F87" s="168">
        <v>517392.0</v>
      </c>
      <c r="G87" s="209">
        <v>-34212.0</v>
      </c>
      <c r="H87" s="168">
        <v>934937.0</v>
      </c>
      <c r="I87" s="208">
        <v>-54858.0</v>
      </c>
    </row>
    <row r="88">
      <c r="A88" s="24">
        <v>116.0</v>
      </c>
      <c r="B88" s="168">
        <v>-99021.28</v>
      </c>
      <c r="C88" s="24" t="s">
        <v>5218</v>
      </c>
      <c r="D88" s="76">
        <v>7084.0</v>
      </c>
      <c r="E88" s="208">
        <v>-51525.0</v>
      </c>
      <c r="F88" s="168">
        <v>287137.0</v>
      </c>
      <c r="G88" s="209">
        <v>-44628.0</v>
      </c>
      <c r="H88" s="168">
        <v>346955.0</v>
      </c>
      <c r="I88" s="208">
        <v>-49860.0</v>
      </c>
    </row>
    <row r="89">
      <c r="A89" s="24">
        <v>126.0</v>
      </c>
      <c r="B89" s="168">
        <v>-60446.06</v>
      </c>
      <c r="C89" s="24" t="s">
        <v>5219</v>
      </c>
      <c r="D89" s="76">
        <v>7085.0</v>
      </c>
      <c r="E89" s="208">
        <v>59979.0</v>
      </c>
      <c r="F89" s="168">
        <v>286801.0</v>
      </c>
      <c r="G89" s="209">
        <v>54271.0</v>
      </c>
      <c r="H89" s="168">
        <v>559239.0</v>
      </c>
      <c r="I89" s="208">
        <v>-68353.0</v>
      </c>
    </row>
    <row r="90">
      <c r="A90" s="24">
        <v>139.0</v>
      </c>
      <c r="B90" s="168">
        <v>-36116.3</v>
      </c>
      <c r="C90" s="24" t="s">
        <v>5220</v>
      </c>
      <c r="D90" s="76">
        <v>7086.0</v>
      </c>
      <c r="E90" s="208">
        <v>83637.0</v>
      </c>
      <c r="F90" s="168">
        <v>801059.0</v>
      </c>
      <c r="G90" s="209">
        <v>-6968.0</v>
      </c>
      <c r="H90" s="168">
        <v>780302.0</v>
      </c>
      <c r="I90" s="208">
        <v>59885.0</v>
      </c>
    </row>
    <row r="91">
      <c r="A91" s="24">
        <v>128.0</v>
      </c>
      <c r="B91" s="168">
        <v>-64102.26</v>
      </c>
      <c r="C91" s="24" t="s">
        <v>5221</v>
      </c>
      <c r="D91" s="76">
        <v>7087.0</v>
      </c>
      <c r="E91" s="208">
        <v>37543.0</v>
      </c>
      <c r="F91" s="168">
        <v>437426.0</v>
      </c>
      <c r="G91" s="209">
        <v>63207.0</v>
      </c>
      <c r="H91" s="168">
        <v>671270.0</v>
      </c>
      <c r="I91" s="208">
        <v>5674.0</v>
      </c>
    </row>
    <row r="92">
      <c r="A92" s="24">
        <v>140.0</v>
      </c>
      <c r="B92" s="168">
        <v>-57884.25</v>
      </c>
      <c r="C92" s="24" t="s">
        <v>5222</v>
      </c>
      <c r="D92" s="76">
        <v>7088.0</v>
      </c>
      <c r="E92" s="208">
        <v>17124.0</v>
      </c>
      <c r="F92" s="168">
        <v>677775.0</v>
      </c>
      <c r="G92" s="209">
        <v>64454.0</v>
      </c>
      <c r="H92" s="168">
        <v>401022.0</v>
      </c>
      <c r="I92" s="208">
        <v>41480.0</v>
      </c>
    </row>
    <row r="93">
      <c r="A93" s="24">
        <v>119.0</v>
      </c>
      <c r="B93" s="168">
        <v>65443.25</v>
      </c>
      <c r="C93" s="24" t="s">
        <v>5223</v>
      </c>
      <c r="D93" s="76">
        <v>7089.0</v>
      </c>
      <c r="E93" s="208">
        <v>-97328.0</v>
      </c>
      <c r="F93" s="168">
        <v>988809.0</v>
      </c>
      <c r="G93" s="209">
        <v>-55267.0</v>
      </c>
      <c r="H93" s="168">
        <v>775006.0</v>
      </c>
      <c r="I93" s="208">
        <v>64561.0</v>
      </c>
    </row>
    <row r="94">
      <c r="A94" s="24">
        <v>135.0</v>
      </c>
      <c r="B94" s="168">
        <v>29782.86</v>
      </c>
      <c r="C94" s="24" t="s">
        <v>5224</v>
      </c>
      <c r="D94" s="76">
        <v>7090.0</v>
      </c>
      <c r="E94" s="208">
        <v>71852.0</v>
      </c>
      <c r="F94" s="168">
        <v>982840.0</v>
      </c>
      <c r="G94" s="209">
        <v>-83608.0</v>
      </c>
      <c r="H94" s="168">
        <v>777401.0</v>
      </c>
      <c r="I94" s="208">
        <v>20445.0</v>
      </c>
    </row>
    <row r="95">
      <c r="A95" s="24">
        <v>124.0</v>
      </c>
      <c r="B95" s="168">
        <v>-99625.68</v>
      </c>
      <c r="C95" s="24" t="s">
        <v>5225</v>
      </c>
      <c r="D95" s="76">
        <v>7091.0</v>
      </c>
      <c r="E95" s="208">
        <v>-89815.0</v>
      </c>
      <c r="F95" s="168">
        <v>249193.0</v>
      </c>
      <c r="G95" s="209">
        <v>-1933.0</v>
      </c>
      <c r="H95" s="168">
        <v>685953.0</v>
      </c>
      <c r="I95" s="208">
        <v>12847.0</v>
      </c>
    </row>
    <row r="96">
      <c r="A96" s="24">
        <v>149.0</v>
      </c>
      <c r="B96" s="168">
        <v>-40099.95</v>
      </c>
      <c r="C96" s="24" t="s">
        <v>5226</v>
      </c>
      <c r="D96" s="76">
        <v>7092.0</v>
      </c>
      <c r="E96" s="208">
        <v>95858.0</v>
      </c>
      <c r="F96" s="168">
        <v>249864.0</v>
      </c>
      <c r="G96" s="209">
        <v>46974.0</v>
      </c>
      <c r="H96" s="168">
        <v>673375.0</v>
      </c>
      <c r="I96" s="208">
        <v>-43337.0</v>
      </c>
    </row>
    <row r="97">
      <c r="A97" s="24">
        <v>114.0</v>
      </c>
      <c r="B97" s="168">
        <v>-66276.83</v>
      </c>
      <c r="C97" s="24" t="s">
        <v>5227</v>
      </c>
      <c r="D97" s="76">
        <v>7093.0</v>
      </c>
      <c r="E97" s="208">
        <v>26570.0</v>
      </c>
      <c r="F97" s="168">
        <v>937188.0</v>
      </c>
      <c r="G97" s="209">
        <v>97066.0</v>
      </c>
      <c r="H97" s="168">
        <v>945614.0</v>
      </c>
      <c r="I97" s="208">
        <v>74952.0</v>
      </c>
    </row>
    <row r="98">
      <c r="A98" s="24">
        <v>101.0</v>
      </c>
      <c r="B98" s="168">
        <v>-91348.62</v>
      </c>
      <c r="C98" s="24" t="s">
        <v>5228</v>
      </c>
      <c r="D98" s="76">
        <v>7094.0</v>
      </c>
      <c r="E98" s="208">
        <v>-52810.0</v>
      </c>
      <c r="F98" s="168">
        <v>694838.0</v>
      </c>
      <c r="G98" s="209">
        <v>-25896.0</v>
      </c>
      <c r="H98" s="168">
        <v>853647.0</v>
      </c>
      <c r="I98" s="208">
        <v>97561.0</v>
      </c>
    </row>
    <row r="99">
      <c r="A99" s="24">
        <v>105.0</v>
      </c>
      <c r="B99" s="168">
        <v>-6742.06</v>
      </c>
      <c r="C99" s="24" t="s">
        <v>5229</v>
      </c>
      <c r="D99" s="76">
        <v>7095.0</v>
      </c>
      <c r="E99" s="208">
        <v>72858.0</v>
      </c>
      <c r="F99" s="168">
        <v>585520.0</v>
      </c>
      <c r="G99" s="209">
        <v>-66888.0</v>
      </c>
      <c r="H99" s="168">
        <v>381090.0</v>
      </c>
      <c r="I99" s="208">
        <v>-61075.0</v>
      </c>
    </row>
    <row r="100">
      <c r="A100" s="24">
        <v>117.0</v>
      </c>
      <c r="B100" s="168">
        <v>-45293.33</v>
      </c>
      <c r="C100" s="24" t="s">
        <v>5230</v>
      </c>
      <c r="D100" s="76">
        <v>7096.0</v>
      </c>
      <c r="E100" s="208">
        <v>6747.0</v>
      </c>
      <c r="F100" s="168">
        <v>930881.0</v>
      </c>
      <c r="G100" s="209">
        <v>-81720.0</v>
      </c>
      <c r="H100" s="168">
        <v>595459.0</v>
      </c>
      <c r="I100" s="208">
        <v>-40635.0</v>
      </c>
    </row>
    <row r="101">
      <c r="A101" s="24">
        <v>107.0</v>
      </c>
      <c r="B101" s="168">
        <v>35499.01</v>
      </c>
      <c r="C101" s="24" t="s">
        <v>5231</v>
      </c>
      <c r="D101" s="76">
        <v>7097.0</v>
      </c>
      <c r="E101" s="208">
        <v>69146.0</v>
      </c>
      <c r="F101" s="168">
        <v>925077.0</v>
      </c>
      <c r="G101" s="209">
        <v>73500.0</v>
      </c>
      <c r="H101" s="168">
        <v>377916.0</v>
      </c>
      <c r="I101" s="208">
        <v>-8653.0</v>
      </c>
    </row>
    <row r="102">
      <c r="A102" s="24">
        <v>102.0</v>
      </c>
      <c r="B102" s="168">
        <v>60357.03</v>
      </c>
      <c r="C102" s="24" t="s">
        <v>5232</v>
      </c>
      <c r="D102" s="76">
        <v>7098.0</v>
      </c>
      <c r="E102" s="208">
        <v>57662.0</v>
      </c>
      <c r="F102" s="168">
        <v>658269.0</v>
      </c>
      <c r="G102" s="209">
        <v>74966.0</v>
      </c>
      <c r="H102" s="168">
        <v>582999.0</v>
      </c>
      <c r="I102" s="208">
        <v>86462.0</v>
      </c>
    </row>
    <row r="103">
      <c r="A103" s="24">
        <v>132.0</v>
      </c>
      <c r="B103" s="168">
        <v>87842.22</v>
      </c>
      <c r="C103" s="24" t="s">
        <v>5233</v>
      </c>
      <c r="D103" s="76">
        <v>7099.0</v>
      </c>
      <c r="E103" s="208">
        <v>-84532.0</v>
      </c>
      <c r="F103" s="168">
        <v>689308.0</v>
      </c>
      <c r="G103" s="209">
        <v>1434.0</v>
      </c>
      <c r="H103" s="168">
        <v>216706.0</v>
      </c>
      <c r="I103" s="208">
        <v>48653.0</v>
      </c>
    </row>
    <row r="104">
      <c r="A104" s="24">
        <v>145.0</v>
      </c>
      <c r="B104" s="168">
        <v>36694.51</v>
      </c>
      <c r="C104" s="24" t="s">
        <v>5185</v>
      </c>
      <c r="D104" s="76">
        <v>7100.0</v>
      </c>
      <c r="E104" s="208">
        <v>73160.0</v>
      </c>
      <c r="F104" s="168">
        <v>734274.0</v>
      </c>
      <c r="G104" s="209">
        <v>29784.0</v>
      </c>
      <c r="H104" s="168">
        <v>279246.0</v>
      </c>
      <c r="I104" s="208">
        <v>-53758.0</v>
      </c>
    </row>
    <row r="105">
      <c r="A105" s="24">
        <v>148.0</v>
      </c>
      <c r="B105" s="168">
        <v>59048.09</v>
      </c>
      <c r="C105" s="24" t="s">
        <v>5186</v>
      </c>
      <c r="D105" s="76">
        <v>7101.0</v>
      </c>
      <c r="E105" s="208">
        <v>43115.0</v>
      </c>
      <c r="F105" s="168">
        <v>886361.0</v>
      </c>
      <c r="G105" s="209">
        <v>-95664.0</v>
      </c>
      <c r="H105" s="168">
        <v>761054.0</v>
      </c>
      <c r="I105" s="208">
        <v>12156.0</v>
      </c>
    </row>
    <row r="106">
      <c r="A106" s="24">
        <v>136.0</v>
      </c>
      <c r="B106" s="168">
        <v>56382.83</v>
      </c>
      <c r="C106" s="24" t="s">
        <v>5187</v>
      </c>
      <c r="D106" s="76">
        <v>7102.0</v>
      </c>
      <c r="E106" s="208">
        <v>79530.0</v>
      </c>
      <c r="F106" s="168">
        <v>121788.0</v>
      </c>
      <c r="G106" s="209">
        <v>-64020.0</v>
      </c>
      <c r="H106" s="168">
        <v>523936.0</v>
      </c>
      <c r="I106" s="208">
        <v>-37728.0</v>
      </c>
    </row>
    <row r="107">
      <c r="A107" s="24">
        <v>104.0</v>
      </c>
      <c r="B107" s="168">
        <v>-9688.49</v>
      </c>
      <c r="C107" s="24" t="s">
        <v>5188</v>
      </c>
      <c r="D107" s="76">
        <v>7103.0</v>
      </c>
      <c r="E107" s="208">
        <v>-20201.0</v>
      </c>
      <c r="F107" s="168">
        <v>456653.0</v>
      </c>
      <c r="G107" s="209">
        <v>99704.0</v>
      </c>
      <c r="H107" s="168">
        <v>891884.0</v>
      </c>
      <c r="I107" s="208">
        <v>-51931.0</v>
      </c>
    </row>
    <row r="108">
      <c r="A108" s="24">
        <v>129.0</v>
      </c>
      <c r="B108" s="168">
        <v>90021.48</v>
      </c>
      <c r="C108" s="24" t="s">
        <v>5189</v>
      </c>
      <c r="D108" s="76">
        <v>7104.0</v>
      </c>
      <c r="E108" s="208">
        <v>-99666.0</v>
      </c>
      <c r="F108" s="168">
        <v>786201.0</v>
      </c>
      <c r="G108" s="209">
        <v>-15651.0</v>
      </c>
      <c r="H108" s="168">
        <v>800776.0</v>
      </c>
      <c r="I108" s="208">
        <v>-54105.0</v>
      </c>
    </row>
    <row r="109">
      <c r="A109" s="24">
        <v>118.0</v>
      </c>
      <c r="B109" s="168">
        <v>-39339.43</v>
      </c>
      <c r="C109" s="24" t="s">
        <v>5190</v>
      </c>
      <c r="D109" s="76">
        <v>7105.0</v>
      </c>
      <c r="E109" s="208">
        <v>-30674.0</v>
      </c>
      <c r="F109" s="168">
        <v>708773.0</v>
      </c>
      <c r="G109" s="209">
        <v>35099.0</v>
      </c>
      <c r="H109" s="168">
        <v>776643.0</v>
      </c>
      <c r="I109" s="208">
        <v>81467.0</v>
      </c>
    </row>
    <row r="110">
      <c r="A110" s="24">
        <v>127.0</v>
      </c>
      <c r="B110" s="168">
        <v>-48264.49</v>
      </c>
      <c r="C110" s="24" t="s">
        <v>5191</v>
      </c>
      <c r="D110" s="76">
        <v>7106.0</v>
      </c>
      <c r="E110" s="208">
        <v>-52492.0</v>
      </c>
      <c r="F110" s="168">
        <v>199453.0</v>
      </c>
      <c r="G110" s="209">
        <v>-26576.0</v>
      </c>
      <c r="H110" s="168">
        <v>702567.0</v>
      </c>
      <c r="I110" s="208">
        <v>-35844.0</v>
      </c>
    </row>
    <row r="111">
      <c r="A111" s="24">
        <v>125.0</v>
      </c>
      <c r="B111" s="168">
        <v>-69118.77</v>
      </c>
      <c r="C111" s="24" t="s">
        <v>5192</v>
      </c>
      <c r="D111" s="76">
        <v>7107.0</v>
      </c>
      <c r="E111" s="208">
        <v>4984.0</v>
      </c>
      <c r="F111" s="168">
        <v>210769.0</v>
      </c>
      <c r="G111" s="209">
        <v>27740.0</v>
      </c>
      <c r="H111" s="168">
        <v>773573.0</v>
      </c>
      <c r="I111" s="208">
        <v>17205.0</v>
      </c>
    </row>
    <row r="112">
      <c r="A112" s="24">
        <v>146.0</v>
      </c>
      <c r="B112" s="168">
        <v>-24444.01</v>
      </c>
      <c r="C112" s="24" t="s">
        <v>5193</v>
      </c>
      <c r="D112" s="76">
        <v>7108.0</v>
      </c>
      <c r="E112" s="208">
        <v>11907.0</v>
      </c>
      <c r="F112" s="168">
        <v>236685.0</v>
      </c>
      <c r="G112" s="209">
        <v>7838.0</v>
      </c>
      <c r="H112" s="168">
        <v>677898.0</v>
      </c>
      <c r="I112" s="208">
        <v>19967.0</v>
      </c>
    </row>
    <row r="113">
      <c r="A113" s="24">
        <v>111.0</v>
      </c>
      <c r="B113" s="168">
        <v>-98839.08</v>
      </c>
      <c r="C113" s="24" t="s">
        <v>5194</v>
      </c>
      <c r="D113" s="76">
        <v>7109.0</v>
      </c>
      <c r="E113" s="208">
        <v>-65410.0</v>
      </c>
      <c r="F113" s="168">
        <v>336306.0</v>
      </c>
      <c r="G113" s="209">
        <v>-5358.0</v>
      </c>
      <c r="H113" s="168">
        <v>327120.0</v>
      </c>
      <c r="I113" s="208">
        <v>3417.0</v>
      </c>
    </row>
    <row r="114">
      <c r="A114" s="24">
        <v>103.0</v>
      </c>
      <c r="B114" s="168">
        <v>-83445.33</v>
      </c>
      <c r="C114" s="24" t="s">
        <v>5195</v>
      </c>
      <c r="D114" s="76">
        <v>7110.0</v>
      </c>
      <c r="E114" s="208">
        <v>7885.0</v>
      </c>
      <c r="F114" s="168">
        <v>733147.0</v>
      </c>
      <c r="G114" s="209">
        <v>-91342.0</v>
      </c>
      <c r="H114" s="168">
        <v>651690.0</v>
      </c>
      <c r="I114" s="208">
        <v>-37814.0</v>
      </c>
    </row>
    <row r="115">
      <c r="A115" s="24">
        <v>142.0</v>
      </c>
      <c r="B115" s="168">
        <v>-83671.11</v>
      </c>
      <c r="C115" s="24" t="s">
        <v>5196</v>
      </c>
      <c r="D115" s="76">
        <v>7111.0</v>
      </c>
      <c r="E115" s="208">
        <v>-21026.0</v>
      </c>
      <c r="F115" s="168">
        <v>367923.0</v>
      </c>
      <c r="G115" s="209">
        <v>-23572.0</v>
      </c>
      <c r="H115" s="168">
        <v>287431.0</v>
      </c>
      <c r="I115" s="208">
        <v>38874.0</v>
      </c>
    </row>
    <row r="116">
      <c r="A116" s="24">
        <v>100.0</v>
      </c>
      <c r="B116" s="168">
        <v>-76223.86</v>
      </c>
      <c r="C116" s="24" t="s">
        <v>5197</v>
      </c>
      <c r="D116" s="76">
        <v>7112.0</v>
      </c>
      <c r="E116" s="208">
        <v>-64232.0</v>
      </c>
      <c r="F116" s="168">
        <v>830082.0</v>
      </c>
      <c r="G116" s="209">
        <v>-43521.0</v>
      </c>
      <c r="H116" s="168">
        <v>580165.0</v>
      </c>
      <c r="I116" s="208">
        <v>52092.0</v>
      </c>
    </row>
    <row r="117">
      <c r="A117" s="24">
        <v>109.0</v>
      </c>
      <c r="B117" s="168">
        <v>-96445.1</v>
      </c>
      <c r="C117" s="24" t="s">
        <v>5198</v>
      </c>
      <c r="D117" s="76">
        <v>7113.0</v>
      </c>
      <c r="E117" s="208">
        <v>75265.0</v>
      </c>
      <c r="F117" s="168">
        <v>886390.0</v>
      </c>
      <c r="G117" s="209">
        <v>60240.0</v>
      </c>
      <c r="H117" s="168">
        <v>602196.0</v>
      </c>
      <c r="I117" s="208">
        <v>55535.0</v>
      </c>
    </row>
    <row r="118">
      <c r="A118" s="24">
        <v>144.0</v>
      </c>
      <c r="B118" s="168">
        <v>-27989.74</v>
      </c>
      <c r="C118" s="24" t="s">
        <v>5199</v>
      </c>
      <c r="D118" s="76">
        <v>7114.0</v>
      </c>
      <c r="E118" s="208">
        <v>50797.0</v>
      </c>
      <c r="F118" s="168">
        <v>692657.0</v>
      </c>
      <c r="G118" s="209">
        <v>99126.0</v>
      </c>
      <c r="H118" s="168">
        <v>707424.0</v>
      </c>
      <c r="I118" s="208">
        <v>65513.0</v>
      </c>
    </row>
    <row r="119">
      <c r="A119" s="24">
        <v>133.0</v>
      </c>
      <c r="B119" s="168">
        <v>-74240.52</v>
      </c>
      <c r="C119" s="24" t="s">
        <v>5200</v>
      </c>
      <c r="D119" s="76">
        <v>7115.0</v>
      </c>
      <c r="E119" s="208">
        <v>82482.0</v>
      </c>
      <c r="F119" s="168">
        <v>276065.0</v>
      </c>
      <c r="G119" s="209">
        <v>-93680.0</v>
      </c>
      <c r="H119" s="168">
        <v>518621.0</v>
      </c>
      <c r="I119" s="208">
        <v>-26247.0</v>
      </c>
    </row>
    <row r="120">
      <c r="A120" s="24">
        <v>134.0</v>
      </c>
      <c r="B120" s="168">
        <v>9927.32</v>
      </c>
      <c r="C120" s="24" t="s">
        <v>5201</v>
      </c>
      <c r="D120" s="76">
        <v>7116.0</v>
      </c>
      <c r="E120" s="208">
        <v>-51602.0</v>
      </c>
      <c r="F120" s="168">
        <v>257287.0</v>
      </c>
      <c r="G120" s="209">
        <v>-61570.0</v>
      </c>
      <c r="H120" s="168">
        <v>576834.0</v>
      </c>
      <c r="I120" s="208">
        <v>45158.0</v>
      </c>
    </row>
    <row r="121">
      <c r="A121" s="24">
        <v>123.0</v>
      </c>
      <c r="B121" s="168">
        <v>80024.29</v>
      </c>
      <c r="C121" s="24" t="s">
        <v>5202</v>
      </c>
      <c r="D121" s="76">
        <v>7117.0</v>
      </c>
      <c r="E121" s="208">
        <v>-85265.0</v>
      </c>
      <c r="F121" s="168">
        <v>713125.0</v>
      </c>
      <c r="G121" s="209">
        <v>95094.0</v>
      </c>
      <c r="H121" s="168">
        <v>211029.0</v>
      </c>
      <c r="I121" s="208">
        <v>-85830.0</v>
      </c>
    </row>
    <row r="122">
      <c r="A122" s="24">
        <v>106.0</v>
      </c>
      <c r="B122" s="168">
        <v>63637.07</v>
      </c>
      <c r="C122" s="24" t="s">
        <v>5203</v>
      </c>
      <c r="D122" s="76">
        <v>7118.0</v>
      </c>
      <c r="E122" s="208">
        <v>99185.0</v>
      </c>
      <c r="F122" s="168">
        <v>592961.0</v>
      </c>
      <c r="G122" s="209">
        <v>80087.0</v>
      </c>
      <c r="H122" s="168">
        <v>665531.0</v>
      </c>
      <c r="I122" s="208">
        <v>-10582.0</v>
      </c>
    </row>
    <row r="123">
      <c r="A123" s="24">
        <v>122.0</v>
      </c>
      <c r="B123" s="168">
        <v>-77165.19</v>
      </c>
      <c r="C123" s="24" t="s">
        <v>5204</v>
      </c>
      <c r="D123" s="76">
        <v>7119.0</v>
      </c>
      <c r="E123" s="208">
        <v>-54432.0</v>
      </c>
      <c r="F123" s="168">
        <v>601147.0</v>
      </c>
      <c r="G123" s="209">
        <v>11092.0</v>
      </c>
      <c r="H123" s="168">
        <v>771348.0</v>
      </c>
      <c r="I123" s="208">
        <v>-99635.0</v>
      </c>
    </row>
    <row r="124">
      <c r="A124" s="24">
        <v>143.0</v>
      </c>
      <c r="B124" s="168">
        <v>40988.78</v>
      </c>
      <c r="C124" s="24" t="s">
        <v>5205</v>
      </c>
      <c r="D124" s="76">
        <v>7120.0</v>
      </c>
      <c r="E124" s="208">
        <v>-4548.0</v>
      </c>
      <c r="F124" s="168">
        <v>524133.0</v>
      </c>
      <c r="G124" s="209">
        <v>10321.0</v>
      </c>
      <c r="H124" s="168">
        <v>888616.0</v>
      </c>
      <c r="I124" s="208">
        <v>10312.0</v>
      </c>
    </row>
    <row r="125">
      <c r="A125" s="24">
        <v>131.0</v>
      </c>
      <c r="B125" s="168">
        <v>33559.39</v>
      </c>
      <c r="C125" s="24" t="s">
        <v>5206</v>
      </c>
      <c r="D125" s="76">
        <v>7121.0</v>
      </c>
      <c r="E125" s="208">
        <v>16148.0</v>
      </c>
      <c r="F125" s="168">
        <v>764464.0</v>
      </c>
      <c r="G125" s="209">
        <v>-82366.0</v>
      </c>
      <c r="H125" s="168">
        <v>106868.0</v>
      </c>
      <c r="I125" s="208">
        <v>-71782.0</v>
      </c>
    </row>
    <row r="126">
      <c r="A126" s="24">
        <v>147.0</v>
      </c>
      <c r="B126" s="168">
        <v>-37338.7</v>
      </c>
      <c r="C126" s="24" t="s">
        <v>5207</v>
      </c>
      <c r="D126" s="76">
        <v>7122.0</v>
      </c>
      <c r="E126" s="208">
        <v>75137.0</v>
      </c>
      <c r="F126" s="168">
        <v>304809.0</v>
      </c>
      <c r="G126" s="209">
        <v>-19437.0</v>
      </c>
      <c r="H126" s="168">
        <v>429380.0</v>
      </c>
      <c r="I126" s="208">
        <v>25374.0</v>
      </c>
    </row>
    <row r="127">
      <c r="A127" s="24">
        <v>121.0</v>
      </c>
      <c r="B127" s="168">
        <v>-2778.92</v>
      </c>
      <c r="C127" s="24" t="s">
        <v>5208</v>
      </c>
      <c r="D127" s="76">
        <v>7123.0</v>
      </c>
      <c r="E127" s="208">
        <v>67279.0</v>
      </c>
      <c r="F127" s="168">
        <v>940590.0</v>
      </c>
      <c r="G127" s="209">
        <v>-98826.0</v>
      </c>
      <c r="H127" s="168">
        <v>747073.0</v>
      </c>
      <c r="I127" s="208">
        <v>58494.0</v>
      </c>
    </row>
    <row r="128">
      <c r="A128" s="24">
        <v>113.0</v>
      </c>
      <c r="B128" s="168">
        <v>-30340.26</v>
      </c>
      <c r="C128" s="24" t="s">
        <v>5209</v>
      </c>
      <c r="D128" s="76">
        <v>7124.0</v>
      </c>
      <c r="E128" s="208">
        <v>27691.0</v>
      </c>
      <c r="F128" s="168">
        <v>812038.0</v>
      </c>
      <c r="G128" s="209">
        <v>47214.0</v>
      </c>
      <c r="H128" s="168">
        <v>153351.0</v>
      </c>
      <c r="I128" s="208">
        <v>-76429.0</v>
      </c>
    </row>
    <row r="129">
      <c r="A129" s="24">
        <v>130.0</v>
      </c>
      <c r="B129" s="168">
        <v>-1951.51</v>
      </c>
      <c r="C129" s="24" t="s">
        <v>5210</v>
      </c>
      <c r="D129" s="76">
        <v>7125.0</v>
      </c>
      <c r="E129" s="208">
        <v>23559.0</v>
      </c>
      <c r="F129" s="168">
        <v>414406.0</v>
      </c>
      <c r="G129" s="209">
        <v>96603.0</v>
      </c>
      <c r="H129" s="168">
        <v>122438.0</v>
      </c>
      <c r="I129" s="208">
        <v>-79883.0</v>
      </c>
    </row>
    <row r="130">
      <c r="A130" s="24">
        <v>112.0</v>
      </c>
      <c r="B130" s="168">
        <v>-86784.58</v>
      </c>
      <c r="C130" s="24" t="s">
        <v>5211</v>
      </c>
      <c r="D130" s="76">
        <v>7126.0</v>
      </c>
      <c r="E130" s="208">
        <v>16263.0</v>
      </c>
      <c r="F130" s="168">
        <v>447883.0</v>
      </c>
      <c r="G130" s="209">
        <v>95521.0</v>
      </c>
      <c r="H130" s="168">
        <v>416516.0</v>
      </c>
      <c r="I130" s="208">
        <v>2165.0</v>
      </c>
    </row>
    <row r="131">
      <c r="A131" s="24">
        <v>110.0</v>
      </c>
      <c r="B131" s="168">
        <v>-99133.56</v>
      </c>
      <c r="C131" s="24" t="s">
        <v>5212</v>
      </c>
      <c r="D131" s="76">
        <v>7127.0</v>
      </c>
      <c r="E131" s="208">
        <v>45883.0</v>
      </c>
      <c r="F131" s="168">
        <v>628390.0</v>
      </c>
      <c r="G131" s="209">
        <v>-61577.0</v>
      </c>
      <c r="H131" s="168">
        <v>219728.0</v>
      </c>
      <c r="I131" s="208">
        <v>-93252.0</v>
      </c>
    </row>
    <row r="132">
      <c r="A132" s="24">
        <v>138.0</v>
      </c>
      <c r="B132" s="168">
        <v>56254.57</v>
      </c>
      <c r="C132" s="24" t="s">
        <v>5213</v>
      </c>
      <c r="D132" s="76">
        <v>7128.0</v>
      </c>
      <c r="E132" s="208">
        <v>94108.0</v>
      </c>
      <c r="F132" s="168">
        <v>699242.0</v>
      </c>
      <c r="G132" s="209">
        <v>51973.0</v>
      </c>
      <c r="H132" s="168">
        <v>925304.0</v>
      </c>
      <c r="I132" s="208">
        <v>-12120.0</v>
      </c>
    </row>
    <row r="133">
      <c r="A133" s="24">
        <v>120.0</v>
      </c>
      <c r="B133" s="168">
        <v>-43947.49</v>
      </c>
      <c r="C133" s="24" t="s">
        <v>5214</v>
      </c>
      <c r="D133" s="76">
        <v>7129.0</v>
      </c>
      <c r="E133" s="208">
        <v>92074.0</v>
      </c>
      <c r="F133" s="168">
        <v>650887.0</v>
      </c>
      <c r="G133" s="209">
        <v>-60742.0</v>
      </c>
      <c r="H133" s="168">
        <v>465364.0</v>
      </c>
      <c r="I133" s="208">
        <v>-13.0</v>
      </c>
    </row>
    <row r="134">
      <c r="A134" s="24">
        <v>115.0</v>
      </c>
      <c r="B134" s="168">
        <v>42075.61</v>
      </c>
      <c r="C134" s="24" t="s">
        <v>5215</v>
      </c>
      <c r="D134" s="76">
        <v>7130.0</v>
      </c>
      <c r="E134" s="208">
        <v>-64180.0</v>
      </c>
      <c r="F134" s="168">
        <v>978481.0</v>
      </c>
      <c r="G134" s="209">
        <v>-4236.0</v>
      </c>
      <c r="H134" s="168">
        <v>456619.0</v>
      </c>
      <c r="I134" s="208">
        <v>29637.0</v>
      </c>
    </row>
    <row r="135">
      <c r="A135" s="24">
        <v>141.0</v>
      </c>
      <c r="B135" s="168">
        <v>8991.05</v>
      </c>
      <c r="C135" s="24" t="s">
        <v>5216</v>
      </c>
      <c r="D135" s="76">
        <v>7131.0</v>
      </c>
      <c r="E135" s="208">
        <v>27077.0</v>
      </c>
      <c r="F135" s="168">
        <v>850307.0</v>
      </c>
      <c r="G135" s="209">
        <v>52825.0</v>
      </c>
      <c r="H135" s="168">
        <v>834040.0</v>
      </c>
      <c r="I135" s="208">
        <v>-88667.0</v>
      </c>
    </row>
    <row r="136">
      <c r="A136" s="24">
        <v>137.0</v>
      </c>
      <c r="B136" s="168">
        <v>48126.6</v>
      </c>
      <c r="C136" s="24" t="s">
        <v>5214</v>
      </c>
      <c r="D136" s="76">
        <v>7132.0</v>
      </c>
      <c r="E136" s="208">
        <v>-54090.0</v>
      </c>
      <c r="F136" s="168">
        <v>660155.0</v>
      </c>
      <c r="G136" s="209">
        <v>20356.0</v>
      </c>
      <c r="H136" s="168">
        <v>116411.0</v>
      </c>
      <c r="I136" s="208">
        <v>-20404.0</v>
      </c>
    </row>
    <row r="137">
      <c r="A137" s="24">
        <v>108.0</v>
      </c>
      <c r="B137" s="168">
        <v>46859.24</v>
      </c>
      <c r="C137" s="24" t="s">
        <v>5217</v>
      </c>
      <c r="D137" s="76">
        <v>7133.0</v>
      </c>
      <c r="E137" s="208">
        <v>78836.0</v>
      </c>
      <c r="F137" s="168">
        <v>793150.0</v>
      </c>
      <c r="G137" s="209">
        <v>37539.0</v>
      </c>
      <c r="H137" s="168">
        <v>905715.0</v>
      </c>
      <c r="I137" s="208">
        <v>97512.0</v>
      </c>
    </row>
    <row r="138">
      <c r="A138" s="24">
        <v>116.0</v>
      </c>
      <c r="B138" s="168">
        <v>-15838.88</v>
      </c>
      <c r="C138" s="24" t="s">
        <v>5218</v>
      </c>
      <c r="D138" s="76">
        <v>7134.0</v>
      </c>
      <c r="E138" s="208">
        <v>-99430.0</v>
      </c>
      <c r="F138" s="168">
        <v>240491.0</v>
      </c>
      <c r="G138" s="209">
        <v>-99836.0</v>
      </c>
      <c r="H138" s="168">
        <v>834261.0</v>
      </c>
      <c r="I138" s="208">
        <v>47605.0</v>
      </c>
    </row>
    <row r="139">
      <c r="A139" s="24">
        <v>126.0</v>
      </c>
      <c r="B139" s="168">
        <v>-42591.87</v>
      </c>
      <c r="C139" s="24" t="s">
        <v>5219</v>
      </c>
      <c r="D139" s="76">
        <v>7135.0</v>
      </c>
      <c r="E139" s="208">
        <v>46864.0</v>
      </c>
      <c r="F139" s="168">
        <v>398364.0</v>
      </c>
      <c r="G139" s="209">
        <v>3877.0</v>
      </c>
      <c r="H139" s="168">
        <v>200255.0</v>
      </c>
      <c r="I139" s="208">
        <v>62437.0</v>
      </c>
    </row>
    <row r="140">
      <c r="A140" s="24">
        <v>139.0</v>
      </c>
      <c r="B140" s="168">
        <v>62027.39</v>
      </c>
      <c r="C140" s="24" t="s">
        <v>5220</v>
      </c>
      <c r="D140" s="76">
        <v>7136.0</v>
      </c>
      <c r="E140" s="208">
        <v>34154.0</v>
      </c>
      <c r="F140" s="168">
        <v>700299.0</v>
      </c>
      <c r="G140" s="209">
        <v>76072.0</v>
      </c>
      <c r="H140" s="168">
        <v>341333.0</v>
      </c>
      <c r="I140" s="208">
        <v>96731.0</v>
      </c>
    </row>
    <row r="141">
      <c r="A141" s="24">
        <v>128.0</v>
      </c>
      <c r="B141" s="168">
        <v>57579.7</v>
      </c>
      <c r="C141" s="24" t="s">
        <v>5221</v>
      </c>
      <c r="D141" s="76">
        <v>7137.0</v>
      </c>
      <c r="E141" s="208">
        <v>-882.0</v>
      </c>
      <c r="F141" s="168">
        <v>742571.0</v>
      </c>
      <c r="G141" s="209">
        <v>98948.0</v>
      </c>
      <c r="H141" s="168">
        <v>256464.0</v>
      </c>
      <c r="I141" s="208">
        <v>25122.0</v>
      </c>
    </row>
    <row r="142">
      <c r="A142" s="24">
        <v>140.0</v>
      </c>
      <c r="B142" s="168">
        <v>-29886.25</v>
      </c>
      <c r="C142" s="24" t="s">
        <v>5222</v>
      </c>
      <c r="D142" s="76">
        <v>7138.0</v>
      </c>
      <c r="E142" s="208">
        <v>38750.0</v>
      </c>
      <c r="F142" s="168">
        <v>552300.0</v>
      </c>
      <c r="G142" s="209">
        <v>-87611.0</v>
      </c>
      <c r="H142" s="168">
        <v>286206.0</v>
      </c>
      <c r="I142" s="208">
        <v>-33899.0</v>
      </c>
    </row>
    <row r="143">
      <c r="A143" s="24">
        <v>119.0</v>
      </c>
      <c r="B143" s="168">
        <v>-46152.68</v>
      </c>
      <c r="C143" s="24" t="s">
        <v>5223</v>
      </c>
      <c r="D143" s="76">
        <v>7139.0</v>
      </c>
      <c r="E143" s="208">
        <v>55501.0</v>
      </c>
      <c r="F143" s="168">
        <v>288906.0</v>
      </c>
      <c r="G143" s="209">
        <v>55780.0</v>
      </c>
      <c r="H143" s="168">
        <v>382723.0</v>
      </c>
      <c r="I143" s="208">
        <v>83889.0</v>
      </c>
    </row>
    <row r="144">
      <c r="A144" s="24">
        <v>135.0</v>
      </c>
      <c r="B144" s="168">
        <v>10310.26</v>
      </c>
      <c r="C144" s="24" t="s">
        <v>5224</v>
      </c>
      <c r="D144" s="76">
        <v>7140.0</v>
      </c>
      <c r="E144" s="208">
        <v>-73025.0</v>
      </c>
      <c r="F144" s="168">
        <v>813670.0</v>
      </c>
      <c r="G144" s="209">
        <v>16139.0</v>
      </c>
      <c r="H144" s="168">
        <v>984780.0</v>
      </c>
      <c r="I144" s="208">
        <v>-51588.0</v>
      </c>
    </row>
    <row r="145">
      <c r="A145" s="24">
        <v>124.0</v>
      </c>
      <c r="B145" s="168">
        <v>-34917.4</v>
      </c>
      <c r="C145" s="24" t="s">
        <v>5225</v>
      </c>
      <c r="D145" s="76">
        <v>7141.0</v>
      </c>
      <c r="E145" s="208">
        <v>49034.0</v>
      </c>
      <c r="F145" s="168">
        <v>857726.0</v>
      </c>
      <c r="G145" s="209">
        <v>-50661.0</v>
      </c>
      <c r="H145" s="168">
        <v>687445.0</v>
      </c>
      <c r="I145" s="208">
        <v>-20191.0</v>
      </c>
    </row>
    <row r="146">
      <c r="A146" s="24">
        <v>149.0</v>
      </c>
      <c r="B146" s="168">
        <v>-28595.86</v>
      </c>
      <c r="C146" s="24" t="s">
        <v>5226</v>
      </c>
      <c r="D146" s="76">
        <v>7142.0</v>
      </c>
      <c r="E146" s="208">
        <v>-11709.0</v>
      </c>
      <c r="F146" s="168">
        <v>501089.0</v>
      </c>
      <c r="G146" s="209">
        <v>-62464.0</v>
      </c>
      <c r="H146" s="168">
        <v>434153.0</v>
      </c>
      <c r="I146" s="208">
        <v>-70929.0</v>
      </c>
    </row>
    <row r="147">
      <c r="A147" s="24">
        <v>114.0</v>
      </c>
      <c r="B147" s="168">
        <v>-1130.54</v>
      </c>
      <c r="C147" s="24" t="s">
        <v>5227</v>
      </c>
      <c r="D147" s="76">
        <v>7143.0</v>
      </c>
      <c r="E147" s="208">
        <v>-65573.0</v>
      </c>
      <c r="F147" s="168">
        <v>863435.0</v>
      </c>
      <c r="G147" s="209">
        <v>-13571.0</v>
      </c>
      <c r="H147" s="168">
        <v>110336.0</v>
      </c>
      <c r="I147" s="208">
        <v>74209.0</v>
      </c>
    </row>
    <row r="148">
      <c r="A148" s="24">
        <v>101.0</v>
      </c>
      <c r="B148" s="168">
        <v>-83456.79</v>
      </c>
      <c r="C148" s="24" t="s">
        <v>5228</v>
      </c>
      <c r="D148" s="76">
        <v>7144.0</v>
      </c>
      <c r="E148" s="208">
        <v>2401.0</v>
      </c>
      <c r="F148" s="168">
        <v>302433.0</v>
      </c>
      <c r="G148" s="209">
        <v>-68460.0</v>
      </c>
      <c r="H148" s="168">
        <v>938354.0</v>
      </c>
      <c r="I148" s="208">
        <v>49166.0</v>
      </c>
    </row>
    <row r="149">
      <c r="A149" s="24">
        <v>105.0</v>
      </c>
      <c r="B149" s="168">
        <v>-56198.02</v>
      </c>
      <c r="C149" s="24" t="s">
        <v>5229</v>
      </c>
      <c r="D149" s="76">
        <v>7145.0</v>
      </c>
      <c r="E149" s="208">
        <v>-53997.0</v>
      </c>
      <c r="F149" s="168">
        <v>386512.0</v>
      </c>
      <c r="G149" s="209">
        <v>-76522.0</v>
      </c>
      <c r="H149" s="168">
        <v>235256.0</v>
      </c>
      <c r="I149" s="208">
        <v>39988.0</v>
      </c>
    </row>
    <row r="150">
      <c r="A150" s="24">
        <v>117.0</v>
      </c>
      <c r="B150" s="168">
        <v>-81299.29</v>
      </c>
      <c r="C150" s="24" t="s">
        <v>5230</v>
      </c>
      <c r="D150" s="76">
        <v>7146.0</v>
      </c>
      <c r="E150" s="208">
        <v>-14115.0</v>
      </c>
      <c r="F150" s="168">
        <v>931719.0</v>
      </c>
      <c r="G150" s="209">
        <v>23430.0</v>
      </c>
      <c r="H150" s="168">
        <v>560651.0</v>
      </c>
      <c r="I150" s="208">
        <v>76879.0</v>
      </c>
    </row>
    <row r="151">
      <c r="A151" s="24">
        <v>107.0</v>
      </c>
      <c r="B151" s="168">
        <v>7532.6</v>
      </c>
      <c r="C151" s="24" t="s">
        <v>5231</v>
      </c>
      <c r="D151" s="76">
        <v>7147.0</v>
      </c>
      <c r="E151" s="208">
        <v>24819.0</v>
      </c>
      <c r="F151" s="168">
        <v>822440.0</v>
      </c>
      <c r="G151" s="209">
        <v>49764.0</v>
      </c>
      <c r="H151" s="168">
        <v>641323.0</v>
      </c>
      <c r="I151" s="208">
        <v>-29565.0</v>
      </c>
    </row>
    <row r="152">
      <c r="A152" s="24">
        <v>102.0</v>
      </c>
      <c r="B152" s="168">
        <v>63110.53</v>
      </c>
      <c r="C152" s="24" t="s">
        <v>5232</v>
      </c>
      <c r="D152" s="76">
        <v>7148.0</v>
      </c>
      <c r="E152" s="208">
        <v>87979.0</v>
      </c>
      <c r="F152" s="168">
        <v>153747.0</v>
      </c>
      <c r="G152" s="209">
        <v>-57962.0</v>
      </c>
      <c r="H152" s="168">
        <v>251000.0</v>
      </c>
      <c r="I152" s="208">
        <v>58697.0</v>
      </c>
    </row>
    <row r="153">
      <c r="A153" s="24">
        <v>132.0</v>
      </c>
      <c r="B153" s="168">
        <v>83371.75</v>
      </c>
      <c r="C153" s="24" t="s">
        <v>5233</v>
      </c>
      <c r="D153" s="76">
        <v>7149.0</v>
      </c>
      <c r="E153" s="208">
        <v>81598.0</v>
      </c>
      <c r="F153" s="168">
        <v>270999.0</v>
      </c>
      <c r="G153" s="209">
        <v>4977.0</v>
      </c>
      <c r="H153" s="168">
        <v>413877.0</v>
      </c>
      <c r="I153" s="208">
        <v>14964.0</v>
      </c>
    </row>
    <row r="154">
      <c r="A154" s="24">
        <v>145.0</v>
      </c>
      <c r="B154" s="168">
        <v>-796.49</v>
      </c>
      <c r="C154" s="24" t="s">
        <v>5185</v>
      </c>
      <c r="D154" s="76">
        <v>7150.0</v>
      </c>
      <c r="E154" s="208">
        <v>-86541.0</v>
      </c>
      <c r="F154" s="168">
        <v>309498.0</v>
      </c>
      <c r="G154" s="209">
        <v>44049.0</v>
      </c>
      <c r="H154" s="168">
        <v>414473.0</v>
      </c>
      <c r="I154" s="208">
        <v>11279.0</v>
      </c>
    </row>
    <row r="155">
      <c r="A155" s="24">
        <v>148.0</v>
      </c>
      <c r="B155" s="168">
        <v>72967.58</v>
      </c>
      <c r="C155" s="24" t="s">
        <v>5186</v>
      </c>
      <c r="D155" s="76">
        <v>7151.0</v>
      </c>
      <c r="E155" s="208">
        <v>-77768.0</v>
      </c>
      <c r="F155" s="168">
        <v>456878.0</v>
      </c>
      <c r="G155" s="209">
        <v>-52796.0</v>
      </c>
      <c r="H155" s="168">
        <v>518626.0</v>
      </c>
      <c r="I155" s="208">
        <v>-49340.0</v>
      </c>
    </row>
    <row r="156">
      <c r="A156" s="24">
        <v>136.0</v>
      </c>
      <c r="B156" s="168">
        <v>-16532.88</v>
      </c>
      <c r="C156" s="24" t="s">
        <v>5187</v>
      </c>
      <c r="D156" s="76">
        <v>7152.0</v>
      </c>
      <c r="E156" s="208">
        <v>-2016.0</v>
      </c>
      <c r="F156" s="168">
        <v>761755.0</v>
      </c>
      <c r="G156" s="209">
        <v>85361.0</v>
      </c>
      <c r="H156" s="168">
        <v>796121.0</v>
      </c>
      <c r="I156" s="208">
        <v>99812.0</v>
      </c>
    </row>
    <row r="157">
      <c r="A157" s="24">
        <v>104.0</v>
      </c>
      <c r="B157" s="168">
        <v>-53035.2</v>
      </c>
      <c r="C157" s="24" t="s">
        <v>5188</v>
      </c>
      <c r="D157" s="76">
        <v>7153.0</v>
      </c>
      <c r="E157" s="208">
        <v>44060.0</v>
      </c>
      <c r="F157" s="168">
        <v>290864.0</v>
      </c>
      <c r="G157" s="209">
        <v>-82146.0</v>
      </c>
      <c r="H157" s="168">
        <v>938983.0</v>
      </c>
      <c r="I157" s="208">
        <v>-77393.0</v>
      </c>
    </row>
    <row r="158">
      <c r="A158" s="24">
        <v>129.0</v>
      </c>
      <c r="B158" s="168">
        <v>-78692.63</v>
      </c>
      <c r="C158" s="24" t="s">
        <v>5189</v>
      </c>
      <c r="D158" s="76">
        <v>7154.0</v>
      </c>
      <c r="E158" s="208">
        <v>43292.0</v>
      </c>
      <c r="F158" s="168">
        <v>238182.0</v>
      </c>
      <c r="G158" s="209">
        <v>50451.0</v>
      </c>
      <c r="H158" s="168">
        <v>760250.0</v>
      </c>
      <c r="I158" s="208">
        <v>-20354.0</v>
      </c>
    </row>
    <row r="159">
      <c r="A159" s="24">
        <v>118.0</v>
      </c>
      <c r="B159" s="168">
        <v>-1577.0</v>
      </c>
      <c r="C159" s="24" t="s">
        <v>5190</v>
      </c>
      <c r="D159" s="76">
        <v>7155.0</v>
      </c>
      <c r="E159" s="208">
        <v>52410.0</v>
      </c>
      <c r="F159" s="168">
        <v>277941.0</v>
      </c>
      <c r="G159" s="209">
        <v>-50577.0</v>
      </c>
      <c r="H159" s="168">
        <v>122249.0</v>
      </c>
      <c r="I159" s="208">
        <v>50098.0</v>
      </c>
    </row>
    <row r="160">
      <c r="A160" s="24">
        <v>127.0</v>
      </c>
      <c r="B160" s="168">
        <v>-57428.45</v>
      </c>
      <c r="C160" s="24" t="s">
        <v>5191</v>
      </c>
      <c r="D160" s="76">
        <v>7156.0</v>
      </c>
      <c r="E160" s="208">
        <v>-67266.0</v>
      </c>
      <c r="F160" s="168">
        <v>982239.0</v>
      </c>
      <c r="G160" s="209">
        <v>-32642.0</v>
      </c>
      <c r="H160" s="168">
        <v>947309.0</v>
      </c>
      <c r="I160" s="208">
        <v>27109.0</v>
      </c>
    </row>
    <row r="161">
      <c r="A161" s="24">
        <v>125.0</v>
      </c>
      <c r="B161" s="168">
        <v>30183.84</v>
      </c>
      <c r="C161" s="24" t="s">
        <v>5192</v>
      </c>
      <c r="D161" s="76">
        <v>7157.0</v>
      </c>
      <c r="E161" s="208">
        <v>43669.0</v>
      </c>
      <c r="F161" s="168">
        <v>638709.0</v>
      </c>
      <c r="G161" s="209">
        <v>4622.0</v>
      </c>
      <c r="H161" s="168">
        <v>658800.0</v>
      </c>
      <c r="I161" s="208">
        <v>27660.0</v>
      </c>
    </row>
    <row r="162">
      <c r="A162" s="24">
        <v>146.0</v>
      </c>
      <c r="B162" s="168">
        <v>51741.04</v>
      </c>
      <c r="C162" s="24" t="s">
        <v>5193</v>
      </c>
      <c r="D162" s="76">
        <v>7158.0</v>
      </c>
      <c r="E162" s="208">
        <v>7207.0</v>
      </c>
      <c r="F162" s="168">
        <v>360397.0</v>
      </c>
      <c r="G162" s="209">
        <v>-82988.0</v>
      </c>
      <c r="H162" s="168">
        <v>798003.0</v>
      </c>
      <c r="I162" s="208">
        <v>10480.0</v>
      </c>
    </row>
    <row r="163">
      <c r="A163" s="24">
        <v>111.0</v>
      </c>
      <c r="B163" s="168">
        <v>19250.66</v>
      </c>
      <c r="C163" s="24" t="s">
        <v>5194</v>
      </c>
      <c r="D163" s="76">
        <v>7159.0</v>
      </c>
      <c r="E163" s="208">
        <v>94371.0</v>
      </c>
      <c r="F163" s="168">
        <v>634206.0</v>
      </c>
      <c r="G163" s="209">
        <v>-23462.0</v>
      </c>
      <c r="H163" s="168">
        <v>383124.0</v>
      </c>
      <c r="I163" s="208">
        <v>-46092.0</v>
      </c>
    </row>
    <row r="164">
      <c r="A164" s="24">
        <v>103.0</v>
      </c>
      <c r="B164" s="168">
        <v>77852.63</v>
      </c>
      <c r="C164" s="24" t="s">
        <v>5195</v>
      </c>
      <c r="D164" s="76">
        <v>7160.0</v>
      </c>
      <c r="E164" s="208">
        <v>-59992.0</v>
      </c>
      <c r="F164" s="168">
        <v>535413.0</v>
      </c>
      <c r="G164" s="209">
        <v>-97582.0</v>
      </c>
      <c r="H164" s="168">
        <v>346407.0</v>
      </c>
      <c r="I164" s="208">
        <v>38770.0</v>
      </c>
    </row>
    <row r="165">
      <c r="A165" s="24">
        <v>142.0</v>
      </c>
      <c r="B165" s="168">
        <v>13169.1</v>
      </c>
      <c r="C165" s="24" t="s">
        <v>5196</v>
      </c>
      <c r="D165" s="76">
        <v>7161.0</v>
      </c>
      <c r="E165" s="208">
        <v>-27973.0</v>
      </c>
      <c r="F165" s="168">
        <v>272225.0</v>
      </c>
      <c r="G165" s="209">
        <v>23779.0</v>
      </c>
      <c r="H165" s="168">
        <v>906799.0</v>
      </c>
      <c r="I165" s="208">
        <v>80793.0</v>
      </c>
    </row>
    <row r="166">
      <c r="A166" s="24">
        <v>100.0</v>
      </c>
      <c r="B166" s="168">
        <v>45153.26</v>
      </c>
      <c r="C166" s="24" t="s">
        <v>5197</v>
      </c>
      <c r="D166" s="76">
        <v>7162.0</v>
      </c>
      <c r="E166" s="208">
        <v>82021.0</v>
      </c>
      <c r="F166" s="168">
        <v>584425.0</v>
      </c>
      <c r="G166" s="209">
        <v>40637.0</v>
      </c>
      <c r="H166" s="168">
        <v>249382.0</v>
      </c>
      <c r="I166" s="208">
        <v>-31255.0</v>
      </c>
    </row>
    <row r="167">
      <c r="A167" s="24">
        <v>109.0</v>
      </c>
      <c r="B167" s="168">
        <v>-7117.22</v>
      </c>
      <c r="C167" s="24" t="s">
        <v>5198</v>
      </c>
      <c r="D167" s="76">
        <v>7163.0</v>
      </c>
      <c r="E167" s="208">
        <v>-72973.0</v>
      </c>
      <c r="F167" s="168">
        <v>229313.0</v>
      </c>
      <c r="G167" s="209">
        <v>34360.0</v>
      </c>
      <c r="H167" s="168">
        <v>294037.0</v>
      </c>
      <c r="I167" s="208">
        <v>-83881.0</v>
      </c>
    </row>
    <row r="168">
      <c r="A168" s="24">
        <v>144.0</v>
      </c>
      <c r="B168" s="168">
        <v>93660.75</v>
      </c>
      <c r="C168" s="24" t="s">
        <v>5199</v>
      </c>
      <c r="D168" s="76">
        <v>7164.0</v>
      </c>
      <c r="E168" s="208">
        <v>-66174.0</v>
      </c>
      <c r="F168" s="168">
        <v>176758.0</v>
      </c>
      <c r="G168" s="209">
        <v>63160.0</v>
      </c>
      <c r="H168" s="168">
        <v>549636.0</v>
      </c>
      <c r="I168" s="208">
        <v>41992.0</v>
      </c>
    </row>
    <row r="169">
      <c r="A169" s="24">
        <v>133.0</v>
      </c>
      <c r="B169" s="168">
        <v>99275.7</v>
      </c>
      <c r="C169" s="24" t="s">
        <v>5200</v>
      </c>
      <c r="D169" s="76">
        <v>7165.0</v>
      </c>
      <c r="E169" s="208">
        <v>14722.0</v>
      </c>
      <c r="F169" s="168">
        <v>568043.0</v>
      </c>
      <c r="G169" s="209">
        <v>-31465.0</v>
      </c>
      <c r="H169" s="168">
        <v>446253.0</v>
      </c>
      <c r="I169" s="208">
        <v>6269.0</v>
      </c>
    </row>
    <row r="170">
      <c r="A170" s="24">
        <v>134.0</v>
      </c>
      <c r="B170" s="168">
        <v>-94081.93</v>
      </c>
      <c r="C170" s="24" t="s">
        <v>5201</v>
      </c>
      <c r="D170" s="76">
        <v>7166.0</v>
      </c>
      <c r="E170" s="208">
        <v>67321.0</v>
      </c>
      <c r="F170" s="168">
        <v>431546.0</v>
      </c>
      <c r="G170" s="209">
        <v>56236.0</v>
      </c>
      <c r="H170" s="168">
        <v>592372.0</v>
      </c>
      <c r="I170" s="208">
        <v>24230.0</v>
      </c>
    </row>
    <row r="171">
      <c r="A171" s="24">
        <v>123.0</v>
      </c>
      <c r="B171" s="168">
        <v>69776.91</v>
      </c>
      <c r="C171" s="24" t="s">
        <v>5202</v>
      </c>
      <c r="D171" s="76">
        <v>7167.0</v>
      </c>
      <c r="E171" s="208">
        <v>82291.0</v>
      </c>
      <c r="F171" s="168">
        <v>956131.0</v>
      </c>
      <c r="G171" s="209">
        <v>94757.0</v>
      </c>
      <c r="H171" s="168">
        <v>414621.0</v>
      </c>
      <c r="I171" s="208">
        <v>-92772.0</v>
      </c>
    </row>
    <row r="172">
      <c r="A172" s="24">
        <v>106.0</v>
      </c>
      <c r="B172" s="168">
        <v>-67120.12</v>
      </c>
      <c r="C172" s="24" t="s">
        <v>5203</v>
      </c>
      <c r="D172" s="76">
        <v>7168.0</v>
      </c>
      <c r="E172" s="208">
        <v>-15144.0</v>
      </c>
      <c r="F172" s="168">
        <v>807655.0</v>
      </c>
      <c r="G172" s="209">
        <v>-68717.0</v>
      </c>
      <c r="H172" s="168">
        <v>724541.0</v>
      </c>
      <c r="I172" s="208">
        <v>-98744.0</v>
      </c>
    </row>
    <row r="173">
      <c r="A173" s="24">
        <v>122.0</v>
      </c>
      <c r="B173" s="168">
        <v>-40991.27</v>
      </c>
      <c r="C173" s="24" t="s">
        <v>5204</v>
      </c>
      <c r="D173" s="76">
        <v>7169.0</v>
      </c>
      <c r="E173" s="208">
        <v>-86673.0</v>
      </c>
      <c r="F173" s="168">
        <v>756141.0</v>
      </c>
      <c r="G173" s="209">
        <v>-98357.0</v>
      </c>
      <c r="H173" s="168">
        <v>775376.0</v>
      </c>
      <c r="I173" s="208">
        <v>97278.0</v>
      </c>
    </row>
    <row r="174">
      <c r="A174" s="24">
        <v>143.0</v>
      </c>
      <c r="B174" s="168">
        <v>-23002.08</v>
      </c>
      <c r="C174" s="24" t="s">
        <v>5205</v>
      </c>
      <c r="D174" s="76">
        <v>7170.0</v>
      </c>
      <c r="E174" s="208">
        <v>56904.0</v>
      </c>
      <c r="F174" s="168">
        <v>212062.0</v>
      </c>
      <c r="G174" s="209">
        <v>-40453.0</v>
      </c>
      <c r="H174" s="168">
        <v>886836.0</v>
      </c>
      <c r="I174" s="208">
        <v>-39863.0</v>
      </c>
    </row>
    <row r="175">
      <c r="A175" s="24">
        <v>131.0</v>
      </c>
      <c r="B175" s="168">
        <v>29390.43</v>
      </c>
      <c r="C175" s="24" t="s">
        <v>5206</v>
      </c>
      <c r="D175" s="76">
        <v>7171.0</v>
      </c>
      <c r="E175" s="208">
        <v>50275.0</v>
      </c>
      <c r="F175" s="168">
        <v>505058.0</v>
      </c>
      <c r="G175" s="209">
        <v>71094.0</v>
      </c>
      <c r="H175" s="168">
        <v>253580.0</v>
      </c>
      <c r="I175" s="208">
        <v>31129.0</v>
      </c>
    </row>
    <row r="176">
      <c r="A176" s="24">
        <v>147.0</v>
      </c>
      <c r="B176" s="168">
        <v>80687.07</v>
      </c>
      <c r="C176" s="24" t="s">
        <v>5207</v>
      </c>
      <c r="D176" s="76">
        <v>7172.0</v>
      </c>
      <c r="E176" s="208">
        <v>48868.0</v>
      </c>
      <c r="F176" s="168">
        <v>220316.0</v>
      </c>
      <c r="G176" s="209">
        <v>-49639.0</v>
      </c>
      <c r="H176" s="168">
        <v>856848.0</v>
      </c>
      <c r="I176" s="208">
        <v>84194.0</v>
      </c>
    </row>
    <row r="177">
      <c r="A177" s="24">
        <v>121.0</v>
      </c>
      <c r="B177" s="168">
        <v>-78926.62</v>
      </c>
      <c r="C177" s="24" t="s">
        <v>5208</v>
      </c>
      <c r="D177" s="76">
        <v>7173.0</v>
      </c>
      <c r="E177" s="208">
        <v>99976.0</v>
      </c>
      <c r="F177" s="168">
        <v>879186.0</v>
      </c>
      <c r="G177" s="209">
        <v>78280.0</v>
      </c>
      <c r="H177" s="168">
        <v>976178.0</v>
      </c>
      <c r="I177" s="208">
        <v>-78661.0</v>
      </c>
    </row>
    <row r="178">
      <c r="A178" s="24">
        <v>113.0</v>
      </c>
      <c r="B178" s="168">
        <v>62969.14</v>
      </c>
      <c r="C178" s="24" t="s">
        <v>5209</v>
      </c>
      <c r="D178" s="76">
        <v>7174.0</v>
      </c>
      <c r="E178" s="208">
        <v>-17765.0</v>
      </c>
      <c r="F178" s="168">
        <v>532886.0</v>
      </c>
      <c r="G178" s="209">
        <v>-57780.0</v>
      </c>
      <c r="H178" s="168">
        <v>590876.0</v>
      </c>
      <c r="I178" s="208">
        <v>-34210.0</v>
      </c>
    </row>
    <row r="179">
      <c r="A179" s="24">
        <v>130.0</v>
      </c>
      <c r="B179" s="168">
        <v>-9396.69</v>
      </c>
      <c r="C179" s="24" t="s">
        <v>5210</v>
      </c>
      <c r="D179" s="76">
        <v>7175.0</v>
      </c>
      <c r="E179" s="208">
        <v>-87723.0</v>
      </c>
      <c r="F179" s="168">
        <v>291296.0</v>
      </c>
      <c r="G179" s="209">
        <v>3200.0</v>
      </c>
      <c r="H179" s="168">
        <v>316886.0</v>
      </c>
      <c r="I179" s="208">
        <v>-41744.0</v>
      </c>
    </row>
    <row r="180">
      <c r="A180" s="24">
        <v>112.0</v>
      </c>
      <c r="B180" s="168">
        <v>82884.72</v>
      </c>
      <c r="C180" s="24" t="s">
        <v>5211</v>
      </c>
      <c r="D180" s="76">
        <v>7176.0</v>
      </c>
      <c r="E180" s="208">
        <v>-47178.0</v>
      </c>
      <c r="F180" s="168">
        <v>817398.0</v>
      </c>
      <c r="G180" s="209">
        <v>-3071.0</v>
      </c>
      <c r="H180" s="168">
        <v>613046.0</v>
      </c>
      <c r="I180" s="208">
        <v>26077.0</v>
      </c>
    </row>
    <row r="181">
      <c r="A181" s="24">
        <v>110.0</v>
      </c>
      <c r="B181" s="168">
        <v>-63058.65</v>
      </c>
      <c r="C181" s="24" t="s">
        <v>5212</v>
      </c>
      <c r="D181" s="76">
        <v>7177.0</v>
      </c>
      <c r="E181" s="208">
        <v>64671.0</v>
      </c>
      <c r="F181" s="168">
        <v>280264.0</v>
      </c>
      <c r="G181" s="209">
        <v>98607.0</v>
      </c>
      <c r="H181" s="168">
        <v>729790.0</v>
      </c>
      <c r="I181" s="208">
        <v>84850.0</v>
      </c>
    </row>
    <row r="182">
      <c r="A182" s="24">
        <v>138.0</v>
      </c>
      <c r="B182" s="168">
        <v>-94990.1</v>
      </c>
      <c r="C182" s="24" t="s">
        <v>5213</v>
      </c>
      <c r="D182" s="76">
        <v>7178.0</v>
      </c>
      <c r="E182" s="208">
        <v>13759.0</v>
      </c>
      <c r="F182" s="168">
        <v>795747.0</v>
      </c>
      <c r="G182" s="209">
        <v>-1705.0</v>
      </c>
      <c r="H182" s="168">
        <v>392495.0</v>
      </c>
      <c r="I182" s="208">
        <v>-2312.0</v>
      </c>
    </row>
    <row r="183">
      <c r="A183" s="24">
        <v>120.0</v>
      </c>
      <c r="B183" s="168">
        <v>87407.49</v>
      </c>
      <c r="C183" s="24" t="s">
        <v>5214</v>
      </c>
      <c r="D183" s="76">
        <v>7179.0</v>
      </c>
      <c r="E183" s="208">
        <v>-53620.0</v>
      </c>
      <c r="F183" s="168">
        <v>257779.0</v>
      </c>
      <c r="G183" s="209">
        <v>13790.0</v>
      </c>
      <c r="H183" s="168">
        <v>650617.0</v>
      </c>
      <c r="I183" s="208">
        <v>-31478.0</v>
      </c>
    </row>
    <row r="184">
      <c r="A184" s="24">
        <v>115.0</v>
      </c>
      <c r="B184" s="168">
        <v>-88040.26</v>
      </c>
      <c r="C184" s="24" t="s">
        <v>5215</v>
      </c>
      <c r="D184" s="76">
        <v>7180.0</v>
      </c>
      <c r="E184" s="208">
        <v>-49127.0</v>
      </c>
      <c r="F184" s="168">
        <v>762682.0</v>
      </c>
      <c r="G184" s="209">
        <v>-58980.0</v>
      </c>
      <c r="H184" s="168">
        <v>917459.0</v>
      </c>
      <c r="I184" s="208">
        <v>-53390.0</v>
      </c>
    </row>
    <row r="185">
      <c r="A185" s="24">
        <v>141.0</v>
      </c>
      <c r="B185" s="168">
        <v>-46535.04</v>
      </c>
      <c r="C185" s="24" t="s">
        <v>5216</v>
      </c>
      <c r="D185" s="76">
        <v>7181.0</v>
      </c>
      <c r="E185" s="208">
        <v>41922.0</v>
      </c>
      <c r="F185" s="168">
        <v>297695.0</v>
      </c>
      <c r="G185" s="209">
        <v>-15378.0</v>
      </c>
      <c r="H185" s="168">
        <v>967660.0</v>
      </c>
      <c r="I185" s="208">
        <v>-29920.0</v>
      </c>
    </row>
    <row r="186">
      <c r="A186" s="24">
        <v>137.0</v>
      </c>
      <c r="B186" s="168">
        <v>51429.35</v>
      </c>
      <c r="C186" s="24" t="s">
        <v>5214</v>
      </c>
      <c r="D186" s="76">
        <v>7182.0</v>
      </c>
      <c r="E186" s="208">
        <v>81257.0</v>
      </c>
      <c r="F186" s="168">
        <v>769931.0</v>
      </c>
      <c r="G186" s="209">
        <v>-22106.0</v>
      </c>
      <c r="H186" s="168">
        <v>866387.0</v>
      </c>
      <c r="I186" s="208">
        <v>78332.0</v>
      </c>
    </row>
    <row r="187">
      <c r="A187" s="24">
        <v>108.0</v>
      </c>
      <c r="B187" s="168">
        <v>11447.0</v>
      </c>
      <c r="C187" s="24" t="s">
        <v>5217</v>
      </c>
      <c r="D187" s="76">
        <v>7183.0</v>
      </c>
      <c r="E187" s="208">
        <v>-15648.0</v>
      </c>
      <c r="F187" s="168">
        <v>763742.0</v>
      </c>
      <c r="G187" s="209">
        <v>-9015.0</v>
      </c>
      <c r="H187" s="168">
        <v>155861.0</v>
      </c>
      <c r="I187" s="208">
        <v>-36919.0</v>
      </c>
    </row>
    <row r="188">
      <c r="A188" s="24">
        <v>116.0</v>
      </c>
      <c r="B188" s="168">
        <v>-95554.85</v>
      </c>
      <c r="C188" s="24" t="s">
        <v>5218</v>
      </c>
      <c r="D188" s="76">
        <v>7184.0</v>
      </c>
      <c r="E188" s="208">
        <v>-25427.0</v>
      </c>
      <c r="F188" s="168">
        <v>253014.0</v>
      </c>
      <c r="G188" s="209">
        <v>32188.0</v>
      </c>
      <c r="H188" s="168">
        <v>424290.0</v>
      </c>
      <c r="I188" s="208">
        <v>-54694.0</v>
      </c>
    </row>
    <row r="189">
      <c r="A189" s="24">
        <v>126.0</v>
      </c>
      <c r="B189" s="168">
        <v>58390.89</v>
      </c>
      <c r="C189" s="24" t="s">
        <v>5219</v>
      </c>
      <c r="D189" s="76">
        <v>7185.0</v>
      </c>
      <c r="E189" s="208">
        <v>-48362.0</v>
      </c>
      <c r="F189" s="168">
        <v>819553.0</v>
      </c>
      <c r="G189" s="209">
        <v>-55411.0</v>
      </c>
      <c r="H189" s="168">
        <v>598752.0</v>
      </c>
      <c r="I189" s="208">
        <v>-77158.0</v>
      </c>
    </row>
    <row r="190">
      <c r="A190" s="24">
        <v>139.0</v>
      </c>
      <c r="B190" s="168">
        <v>-87470.63</v>
      </c>
      <c r="C190" s="24" t="s">
        <v>5220</v>
      </c>
      <c r="D190" s="76">
        <v>7186.0</v>
      </c>
      <c r="E190" s="208">
        <v>81722.0</v>
      </c>
      <c r="F190" s="168">
        <v>260742.0</v>
      </c>
      <c r="G190" s="209">
        <v>-48076.0</v>
      </c>
      <c r="H190" s="168">
        <v>744561.0</v>
      </c>
      <c r="I190" s="208">
        <v>-90561.0</v>
      </c>
    </row>
    <row r="191">
      <c r="A191" s="24">
        <v>128.0</v>
      </c>
      <c r="B191" s="168">
        <v>70972.41</v>
      </c>
      <c r="C191" s="24" t="s">
        <v>5221</v>
      </c>
      <c r="D191" s="76">
        <v>7187.0</v>
      </c>
      <c r="E191" s="208">
        <v>-72325.0</v>
      </c>
      <c r="F191" s="168">
        <v>593495.0</v>
      </c>
      <c r="G191" s="209">
        <v>-66953.0</v>
      </c>
      <c r="H191" s="168">
        <v>316777.0</v>
      </c>
      <c r="I191" s="208">
        <v>-59802.0</v>
      </c>
    </row>
    <row r="192">
      <c r="A192" s="24">
        <v>140.0</v>
      </c>
      <c r="B192" s="168">
        <v>32647.9</v>
      </c>
      <c r="C192" s="24" t="s">
        <v>5222</v>
      </c>
      <c r="D192" s="76">
        <v>7188.0</v>
      </c>
      <c r="E192" s="208">
        <v>34385.0</v>
      </c>
      <c r="F192" s="168">
        <v>395184.0</v>
      </c>
      <c r="G192" s="209">
        <v>56219.0</v>
      </c>
      <c r="H192" s="168">
        <v>161089.0</v>
      </c>
      <c r="I192" s="208">
        <v>-62830.0</v>
      </c>
    </row>
    <row r="193">
      <c r="A193" s="24">
        <v>119.0</v>
      </c>
      <c r="B193" s="168">
        <v>-92278.8</v>
      </c>
      <c r="C193" s="24" t="s">
        <v>5223</v>
      </c>
      <c r="D193" s="76">
        <v>7189.0</v>
      </c>
      <c r="E193" s="208">
        <v>28617.0</v>
      </c>
      <c r="F193" s="168">
        <v>247129.0</v>
      </c>
      <c r="G193" s="209">
        <v>-82662.0</v>
      </c>
      <c r="H193" s="168">
        <v>987179.0</v>
      </c>
      <c r="I193" s="208">
        <v>-47410.0</v>
      </c>
    </row>
    <row r="194">
      <c r="A194" s="24">
        <v>135.0</v>
      </c>
      <c r="B194" s="168">
        <v>77561.43</v>
      </c>
      <c r="C194" s="24" t="s">
        <v>5224</v>
      </c>
      <c r="D194" s="76">
        <v>7190.0</v>
      </c>
      <c r="E194" s="208">
        <v>-75462.0</v>
      </c>
      <c r="F194" s="168">
        <v>193224.0</v>
      </c>
      <c r="G194" s="209">
        <v>77614.0</v>
      </c>
      <c r="H194" s="168">
        <v>924376.0</v>
      </c>
      <c r="I194" s="208">
        <v>-48303.0</v>
      </c>
    </row>
    <row r="195">
      <c r="A195" s="24">
        <v>124.0</v>
      </c>
      <c r="B195" s="168">
        <v>-87311.95</v>
      </c>
      <c r="C195" s="24" t="s">
        <v>5225</v>
      </c>
      <c r="D195" s="76">
        <v>7191.0</v>
      </c>
      <c r="E195" s="208">
        <v>-57142.0</v>
      </c>
      <c r="F195" s="168">
        <v>854192.0</v>
      </c>
      <c r="G195" s="209">
        <v>5642.0</v>
      </c>
      <c r="H195" s="168">
        <v>960668.0</v>
      </c>
      <c r="I195" s="208">
        <v>68482.0</v>
      </c>
    </row>
    <row r="196">
      <c r="A196" s="24">
        <v>149.0</v>
      </c>
      <c r="B196" s="168">
        <v>3048.67</v>
      </c>
      <c r="C196" s="24" t="s">
        <v>5226</v>
      </c>
      <c r="D196" s="76">
        <v>7192.0</v>
      </c>
      <c r="E196" s="208">
        <v>-20066.0</v>
      </c>
      <c r="F196" s="168">
        <v>384466.0</v>
      </c>
      <c r="G196" s="209">
        <v>63517.0</v>
      </c>
      <c r="H196" s="168">
        <v>943029.0</v>
      </c>
      <c r="I196" s="208">
        <v>89950.0</v>
      </c>
    </row>
    <row r="197">
      <c r="A197" s="24">
        <v>114.0</v>
      </c>
      <c r="B197" s="168">
        <v>-94838.36</v>
      </c>
      <c r="C197" s="24" t="s">
        <v>5227</v>
      </c>
      <c r="D197" s="76">
        <v>7193.0</v>
      </c>
      <c r="E197" s="208">
        <v>-77666.0</v>
      </c>
      <c r="F197" s="168">
        <v>529603.0</v>
      </c>
      <c r="G197" s="209">
        <v>-24278.0</v>
      </c>
      <c r="H197" s="168">
        <v>826045.0</v>
      </c>
      <c r="I197" s="208">
        <v>-20662.0</v>
      </c>
    </row>
    <row r="198">
      <c r="A198" s="24">
        <v>101.0</v>
      </c>
      <c r="B198" s="168">
        <v>-67725.94</v>
      </c>
      <c r="C198" s="24" t="s">
        <v>5228</v>
      </c>
      <c r="D198" s="76">
        <v>7194.0</v>
      </c>
      <c r="E198" s="208">
        <v>51850.0</v>
      </c>
      <c r="F198" s="168">
        <v>842416.0</v>
      </c>
      <c r="G198" s="209">
        <v>-56213.0</v>
      </c>
      <c r="H198" s="168">
        <v>807988.0</v>
      </c>
      <c r="I198" s="208">
        <v>63306.0</v>
      </c>
    </row>
    <row r="199">
      <c r="A199" s="24">
        <v>105.0</v>
      </c>
      <c r="B199" s="168">
        <v>-706.28</v>
      </c>
      <c r="C199" s="24" t="s">
        <v>5229</v>
      </c>
      <c r="D199" s="76">
        <v>7195.0</v>
      </c>
      <c r="E199" s="208">
        <v>-5683.0</v>
      </c>
      <c r="F199" s="168">
        <v>228227.0</v>
      </c>
      <c r="G199" s="209">
        <v>-63557.0</v>
      </c>
      <c r="H199" s="168">
        <v>382830.0</v>
      </c>
      <c r="I199" s="208">
        <v>25949.0</v>
      </c>
    </row>
    <row r="200">
      <c r="A200" s="24">
        <v>117.0</v>
      </c>
      <c r="B200" s="168">
        <v>-93169.66</v>
      </c>
      <c r="C200" s="24" t="s">
        <v>5230</v>
      </c>
      <c r="D200" s="76">
        <v>7196.0</v>
      </c>
      <c r="E200" s="208">
        <v>28725.0</v>
      </c>
      <c r="F200" s="168">
        <v>994625.0</v>
      </c>
      <c r="G200" s="209">
        <v>97357.0</v>
      </c>
      <c r="H200" s="168">
        <v>116218.0</v>
      </c>
      <c r="I200" s="208">
        <v>-49190.0</v>
      </c>
    </row>
    <row r="201">
      <c r="A201" s="24">
        <v>107.0</v>
      </c>
      <c r="B201" s="168">
        <v>-72382.92</v>
      </c>
      <c r="C201" s="24" t="s">
        <v>5231</v>
      </c>
      <c r="D201" s="76">
        <v>7197.0</v>
      </c>
      <c r="E201" s="208">
        <v>-1289.0</v>
      </c>
      <c r="F201" s="168">
        <v>479132.0</v>
      </c>
      <c r="G201" s="209">
        <v>-52063.0</v>
      </c>
      <c r="H201" s="168">
        <v>392368.0</v>
      </c>
      <c r="I201" s="208">
        <v>-52833.0</v>
      </c>
    </row>
    <row r="202">
      <c r="A202" s="24">
        <v>102.0</v>
      </c>
      <c r="B202" s="168">
        <v>-62440.82</v>
      </c>
      <c r="C202" s="24" t="s">
        <v>5232</v>
      </c>
      <c r="D202" s="76">
        <v>7198.0</v>
      </c>
      <c r="E202" s="208">
        <v>-38801.0</v>
      </c>
      <c r="F202" s="168">
        <v>595612.0</v>
      </c>
      <c r="G202" s="209">
        <v>7254.0</v>
      </c>
      <c r="H202" s="168">
        <v>440769.0</v>
      </c>
      <c r="I202" s="208">
        <v>589.0</v>
      </c>
    </row>
    <row r="203">
      <c r="A203" s="24">
        <v>132.0</v>
      </c>
      <c r="B203" s="168">
        <v>90923.25</v>
      </c>
      <c r="C203" s="24" t="s">
        <v>5233</v>
      </c>
      <c r="D203" s="76">
        <v>7199.0</v>
      </c>
      <c r="E203" s="208">
        <v>85729.0</v>
      </c>
      <c r="F203" s="168">
        <v>495634.0</v>
      </c>
      <c r="G203" s="209">
        <v>47977.0</v>
      </c>
      <c r="H203" s="168">
        <v>648851.0</v>
      </c>
      <c r="I203" s="208">
        <v>-79560.0</v>
      </c>
    </row>
    <row r="204">
      <c r="A204" s="24">
        <v>145.0</v>
      </c>
      <c r="B204" s="168">
        <v>-3794.85</v>
      </c>
      <c r="C204" s="24" t="s">
        <v>5185</v>
      </c>
      <c r="D204" s="76">
        <v>7200.0</v>
      </c>
      <c r="E204" s="208">
        <v>80925.0</v>
      </c>
      <c r="F204" s="168">
        <v>671188.0</v>
      </c>
      <c r="G204" s="209">
        <v>11884.0</v>
      </c>
      <c r="H204" s="168">
        <v>788697.0</v>
      </c>
      <c r="I204" s="208">
        <v>77174.0</v>
      </c>
    </row>
    <row r="205">
      <c r="A205" s="24">
        <v>148.0</v>
      </c>
      <c r="B205" s="168">
        <v>45401.8</v>
      </c>
      <c r="C205" s="24" t="s">
        <v>5186</v>
      </c>
      <c r="D205" s="76">
        <v>7201.0</v>
      </c>
      <c r="E205" s="208">
        <v>9180.0</v>
      </c>
      <c r="F205" s="168">
        <v>282167.0</v>
      </c>
      <c r="G205" s="209">
        <v>51729.0</v>
      </c>
      <c r="H205" s="168">
        <v>164602.0</v>
      </c>
      <c r="I205" s="208">
        <v>-30815.0</v>
      </c>
    </row>
    <row r="206">
      <c r="A206" s="24">
        <v>136.0</v>
      </c>
      <c r="B206" s="168">
        <v>30947.81</v>
      </c>
      <c r="C206" s="24" t="s">
        <v>5187</v>
      </c>
      <c r="D206" s="76">
        <v>7202.0</v>
      </c>
      <c r="E206" s="208">
        <v>-22284.0</v>
      </c>
      <c r="F206" s="168">
        <v>749700.0</v>
      </c>
      <c r="G206" s="209">
        <v>-93088.0</v>
      </c>
      <c r="H206" s="168">
        <v>154718.0</v>
      </c>
      <c r="I206" s="208">
        <v>-97286.0</v>
      </c>
    </row>
    <row r="207">
      <c r="A207" s="24">
        <v>104.0</v>
      </c>
      <c r="B207" s="168">
        <v>-71383.7</v>
      </c>
      <c r="C207" s="24" t="s">
        <v>5188</v>
      </c>
      <c r="D207" s="76">
        <v>7203.0</v>
      </c>
      <c r="E207" s="208">
        <v>-33214.0</v>
      </c>
      <c r="F207" s="168">
        <v>392622.0</v>
      </c>
      <c r="G207" s="209">
        <v>76448.0</v>
      </c>
      <c r="H207" s="168">
        <v>765282.0</v>
      </c>
      <c r="I207" s="208">
        <v>23726.0</v>
      </c>
    </row>
    <row r="208">
      <c r="A208" s="24">
        <v>129.0</v>
      </c>
      <c r="B208" s="168">
        <v>-8016.04</v>
      </c>
      <c r="C208" s="24" t="s">
        <v>5189</v>
      </c>
      <c r="D208" s="76">
        <v>7204.0</v>
      </c>
      <c r="E208" s="208">
        <v>-45344.0</v>
      </c>
      <c r="F208" s="168">
        <v>200982.0</v>
      </c>
      <c r="G208" s="209">
        <v>-801.0</v>
      </c>
      <c r="H208" s="168">
        <v>556547.0</v>
      </c>
      <c r="I208" s="208">
        <v>78587.0</v>
      </c>
    </row>
    <row r="209">
      <c r="A209" s="24">
        <v>118.0</v>
      </c>
      <c r="B209" s="168">
        <v>21644.27</v>
      </c>
      <c r="C209" s="24" t="s">
        <v>5190</v>
      </c>
      <c r="D209" s="76">
        <v>7205.0</v>
      </c>
      <c r="E209" s="208">
        <v>-74333.0</v>
      </c>
      <c r="F209" s="168">
        <v>482769.0</v>
      </c>
      <c r="G209" s="209">
        <v>-32286.0</v>
      </c>
      <c r="H209" s="168">
        <v>420856.0</v>
      </c>
      <c r="I209" s="208">
        <v>69897.0</v>
      </c>
    </row>
    <row r="210">
      <c r="A210" s="24">
        <v>127.0</v>
      </c>
      <c r="B210" s="168">
        <v>-99008.14</v>
      </c>
      <c r="C210" s="24" t="s">
        <v>5191</v>
      </c>
      <c r="D210" s="76">
        <v>7206.0</v>
      </c>
      <c r="E210" s="208">
        <v>-70064.0</v>
      </c>
      <c r="F210" s="168">
        <v>342235.0</v>
      </c>
      <c r="G210" s="209">
        <v>7565.0</v>
      </c>
      <c r="H210" s="168">
        <v>209158.0</v>
      </c>
      <c r="I210" s="208">
        <v>-83007.0</v>
      </c>
    </row>
    <row r="211">
      <c r="A211" s="24">
        <v>125.0</v>
      </c>
      <c r="B211" s="168">
        <v>73633.4</v>
      </c>
      <c r="C211" s="24" t="s">
        <v>5192</v>
      </c>
      <c r="D211" s="76">
        <v>7207.0</v>
      </c>
      <c r="E211" s="208">
        <v>1455.0</v>
      </c>
      <c r="F211" s="168">
        <v>716441.0</v>
      </c>
      <c r="G211" s="209">
        <v>93832.0</v>
      </c>
      <c r="H211" s="168">
        <v>572810.0</v>
      </c>
      <c r="I211" s="208">
        <v>-41598.0</v>
      </c>
    </row>
    <row r="212">
      <c r="A212" s="24">
        <v>146.0</v>
      </c>
      <c r="B212" s="168">
        <v>65093.08</v>
      </c>
      <c r="C212" s="24" t="s">
        <v>5193</v>
      </c>
      <c r="D212" s="76">
        <v>7208.0</v>
      </c>
      <c r="E212" s="208">
        <v>47881.0</v>
      </c>
      <c r="F212" s="168">
        <v>460352.0</v>
      </c>
      <c r="G212" s="209">
        <v>-68091.0</v>
      </c>
      <c r="H212" s="168">
        <v>683183.0</v>
      </c>
      <c r="I212" s="208">
        <v>90177.0</v>
      </c>
    </row>
    <row r="213">
      <c r="A213" s="24">
        <v>111.0</v>
      </c>
      <c r="B213" s="168">
        <v>80798.94</v>
      </c>
      <c r="C213" s="24" t="s">
        <v>5194</v>
      </c>
      <c r="D213" s="76">
        <v>7209.0</v>
      </c>
      <c r="E213" s="208">
        <v>48638.0</v>
      </c>
      <c r="F213" s="168">
        <v>820454.0</v>
      </c>
      <c r="G213" s="209">
        <v>91142.0</v>
      </c>
      <c r="H213" s="168">
        <v>393319.0</v>
      </c>
      <c r="I213" s="208">
        <v>-90375.0</v>
      </c>
    </row>
    <row r="214">
      <c r="A214" s="24">
        <v>103.0</v>
      </c>
      <c r="B214" s="168">
        <v>-40915.6</v>
      </c>
      <c r="C214" s="24" t="s">
        <v>5195</v>
      </c>
      <c r="D214" s="76">
        <v>7210.0</v>
      </c>
      <c r="E214" s="208">
        <v>-96179.0</v>
      </c>
      <c r="F214" s="168">
        <v>735643.0</v>
      </c>
      <c r="G214" s="209">
        <v>24537.0</v>
      </c>
      <c r="H214" s="168">
        <v>333980.0</v>
      </c>
      <c r="I214" s="208">
        <v>-64243.0</v>
      </c>
    </row>
    <row r="215">
      <c r="A215" s="24">
        <v>142.0</v>
      </c>
      <c r="B215" s="168">
        <v>-48471.01</v>
      </c>
      <c r="C215" s="24" t="s">
        <v>5196</v>
      </c>
      <c r="D215" s="76">
        <v>7211.0</v>
      </c>
      <c r="E215" s="208">
        <v>-27480.0</v>
      </c>
      <c r="F215" s="168">
        <v>741079.0</v>
      </c>
      <c r="G215" s="209">
        <v>54841.0</v>
      </c>
      <c r="H215" s="168">
        <v>951825.0</v>
      </c>
      <c r="I215" s="208">
        <v>18924.0</v>
      </c>
    </row>
    <row r="216">
      <c r="A216" s="24">
        <v>100.0</v>
      </c>
      <c r="B216" s="168">
        <v>87430.18</v>
      </c>
      <c r="C216" s="24" t="s">
        <v>5197</v>
      </c>
      <c r="D216" s="76">
        <v>7212.0</v>
      </c>
      <c r="E216" s="208">
        <v>25216.0</v>
      </c>
      <c r="F216" s="168">
        <v>177191.0</v>
      </c>
      <c r="G216" s="209">
        <v>-27864.0</v>
      </c>
      <c r="H216" s="168">
        <v>255458.0</v>
      </c>
      <c r="I216" s="208">
        <v>-70442.0</v>
      </c>
    </row>
    <row r="217">
      <c r="A217" s="24">
        <v>109.0</v>
      </c>
      <c r="B217" s="168">
        <v>23316.93</v>
      </c>
      <c r="C217" s="24" t="s">
        <v>5198</v>
      </c>
      <c r="D217" s="76">
        <v>7213.0</v>
      </c>
      <c r="E217" s="208">
        <v>-9930.0</v>
      </c>
      <c r="F217" s="168">
        <v>990414.0</v>
      </c>
      <c r="G217" s="209">
        <v>32437.0</v>
      </c>
      <c r="H217" s="168">
        <v>669852.0</v>
      </c>
      <c r="I217" s="208">
        <v>22917.0</v>
      </c>
    </row>
    <row r="218">
      <c r="A218" s="24">
        <v>144.0</v>
      </c>
      <c r="B218" s="168">
        <v>-58082.04</v>
      </c>
      <c r="C218" s="24" t="s">
        <v>5199</v>
      </c>
      <c r="D218" s="76">
        <v>7214.0</v>
      </c>
      <c r="E218" s="208">
        <v>52957.0</v>
      </c>
      <c r="F218" s="168">
        <v>204716.0</v>
      </c>
      <c r="G218" s="209">
        <v>-1004.0</v>
      </c>
      <c r="H218" s="168">
        <v>656185.0</v>
      </c>
      <c r="I218" s="208">
        <v>-24399.0</v>
      </c>
    </row>
    <row r="219">
      <c r="A219" s="24">
        <v>133.0</v>
      </c>
      <c r="B219" s="168">
        <v>-19685.51</v>
      </c>
      <c r="C219" s="24" t="s">
        <v>5200</v>
      </c>
      <c r="D219" s="76">
        <v>7215.0</v>
      </c>
      <c r="E219" s="208">
        <v>46480.0</v>
      </c>
      <c r="F219" s="168">
        <v>900598.0</v>
      </c>
      <c r="G219" s="209">
        <v>-18583.0</v>
      </c>
      <c r="H219" s="168">
        <v>548758.0</v>
      </c>
      <c r="I219" s="208">
        <v>-4482.0</v>
      </c>
    </row>
    <row r="220">
      <c r="A220" s="24">
        <v>134.0</v>
      </c>
      <c r="B220" s="168">
        <v>69119.62</v>
      </c>
      <c r="C220" s="24" t="s">
        <v>5201</v>
      </c>
      <c r="D220" s="76">
        <v>7216.0</v>
      </c>
      <c r="E220" s="208">
        <v>19616.0</v>
      </c>
      <c r="F220" s="168">
        <v>450286.0</v>
      </c>
      <c r="G220" s="209">
        <v>-46516.0</v>
      </c>
      <c r="H220" s="168">
        <v>391860.0</v>
      </c>
      <c r="I220" s="208">
        <v>6925.0</v>
      </c>
    </row>
    <row r="221">
      <c r="A221" s="24">
        <v>123.0</v>
      </c>
      <c r="B221" s="168">
        <v>-88285.13</v>
      </c>
      <c r="C221" s="24" t="s">
        <v>5202</v>
      </c>
      <c r="D221" s="76">
        <v>7217.0</v>
      </c>
      <c r="E221" s="208">
        <v>-38140.0</v>
      </c>
      <c r="F221" s="168">
        <v>584413.0</v>
      </c>
      <c r="G221" s="209">
        <v>62768.0</v>
      </c>
      <c r="H221" s="168">
        <v>815287.0</v>
      </c>
      <c r="I221" s="208">
        <v>33591.0</v>
      </c>
    </row>
    <row r="222">
      <c r="A222" s="24">
        <v>106.0</v>
      </c>
      <c r="B222" s="168">
        <v>21390.6</v>
      </c>
      <c r="C222" s="24" t="s">
        <v>5203</v>
      </c>
      <c r="D222" s="76">
        <v>7218.0</v>
      </c>
      <c r="E222" s="208">
        <v>-24818.0</v>
      </c>
      <c r="F222" s="168">
        <v>928449.0</v>
      </c>
      <c r="G222" s="209">
        <v>-73924.0</v>
      </c>
      <c r="H222" s="168">
        <v>872996.0</v>
      </c>
      <c r="I222" s="208">
        <v>11429.0</v>
      </c>
    </row>
    <row r="223">
      <c r="A223" s="24">
        <v>122.0</v>
      </c>
      <c r="B223" s="168">
        <v>-43137.12</v>
      </c>
      <c r="C223" s="24" t="s">
        <v>5204</v>
      </c>
      <c r="D223" s="76">
        <v>7219.0</v>
      </c>
      <c r="E223" s="208">
        <v>-84513.0</v>
      </c>
      <c r="F223" s="168">
        <v>235569.0</v>
      </c>
      <c r="G223" s="209">
        <v>-29952.0</v>
      </c>
      <c r="H223" s="168">
        <v>961240.0</v>
      </c>
      <c r="I223" s="208">
        <v>50526.0</v>
      </c>
    </row>
    <row r="224">
      <c r="A224" s="24">
        <v>143.0</v>
      </c>
      <c r="B224" s="168">
        <v>-55483.87</v>
      </c>
      <c r="C224" s="24" t="s">
        <v>5205</v>
      </c>
      <c r="D224" s="76">
        <v>7220.0</v>
      </c>
      <c r="E224" s="208">
        <v>82732.0</v>
      </c>
      <c r="F224" s="168">
        <v>273254.0</v>
      </c>
      <c r="G224" s="209">
        <v>-78188.0</v>
      </c>
      <c r="H224" s="168">
        <v>545947.0</v>
      </c>
      <c r="I224" s="208">
        <v>37045.0</v>
      </c>
    </row>
    <row r="225">
      <c r="A225" s="24">
        <v>131.0</v>
      </c>
      <c r="B225" s="168">
        <v>95636.95</v>
      </c>
      <c r="C225" s="24" t="s">
        <v>5206</v>
      </c>
      <c r="D225" s="76">
        <v>7221.0</v>
      </c>
      <c r="E225" s="208">
        <v>26615.0</v>
      </c>
      <c r="F225" s="168">
        <v>650160.0</v>
      </c>
      <c r="G225" s="209">
        <v>-69938.0</v>
      </c>
      <c r="H225" s="168">
        <v>977738.0</v>
      </c>
      <c r="I225" s="208">
        <v>30973.0</v>
      </c>
    </row>
    <row r="226">
      <c r="A226" s="24">
        <v>147.0</v>
      </c>
      <c r="B226" s="168">
        <v>89665.52</v>
      </c>
      <c r="C226" s="24" t="s">
        <v>5207</v>
      </c>
      <c r="D226" s="76">
        <v>7222.0</v>
      </c>
      <c r="E226" s="208">
        <v>-70566.0</v>
      </c>
      <c r="F226" s="168">
        <v>748326.0</v>
      </c>
      <c r="G226" s="209">
        <v>-37202.0</v>
      </c>
      <c r="H226" s="168">
        <v>571860.0</v>
      </c>
      <c r="I226" s="208">
        <v>-41497.0</v>
      </c>
    </row>
    <row r="227">
      <c r="A227" s="24">
        <v>121.0</v>
      </c>
      <c r="B227" s="168">
        <v>76966.99</v>
      </c>
      <c r="C227" s="24" t="s">
        <v>5208</v>
      </c>
      <c r="D227" s="76">
        <v>7223.0</v>
      </c>
      <c r="E227" s="208">
        <v>76849.0</v>
      </c>
      <c r="F227" s="168">
        <v>898350.0</v>
      </c>
      <c r="G227" s="209">
        <v>53072.0</v>
      </c>
      <c r="H227" s="168">
        <v>973003.0</v>
      </c>
      <c r="I227" s="208">
        <v>-30153.0</v>
      </c>
    </row>
    <row r="228">
      <c r="A228" s="24">
        <v>113.0</v>
      </c>
      <c r="B228" s="168">
        <v>10446.02</v>
      </c>
      <c r="C228" s="24" t="s">
        <v>5209</v>
      </c>
      <c r="D228" s="76">
        <v>7224.0</v>
      </c>
      <c r="E228" s="208">
        <v>55126.0</v>
      </c>
      <c r="F228" s="168">
        <v>363451.0</v>
      </c>
      <c r="G228" s="209">
        <v>46612.0</v>
      </c>
      <c r="H228" s="168">
        <v>843456.0</v>
      </c>
      <c r="I228" s="208">
        <v>25789.0</v>
      </c>
    </row>
    <row r="229">
      <c r="A229" s="24">
        <v>130.0</v>
      </c>
      <c r="B229" s="168">
        <v>-55836.79</v>
      </c>
      <c r="C229" s="24" t="s">
        <v>5210</v>
      </c>
      <c r="D229" s="76">
        <v>7225.0</v>
      </c>
      <c r="E229" s="208">
        <v>98542.0</v>
      </c>
      <c r="F229" s="168">
        <v>556026.0</v>
      </c>
      <c r="G229" s="209">
        <v>58857.0</v>
      </c>
      <c r="H229" s="168">
        <v>202958.0</v>
      </c>
      <c r="I229" s="208">
        <v>-34970.0</v>
      </c>
    </row>
    <row r="230">
      <c r="A230" s="24">
        <v>112.0</v>
      </c>
      <c r="B230" s="168">
        <v>51157.34</v>
      </c>
      <c r="C230" s="24" t="s">
        <v>5211</v>
      </c>
      <c r="D230" s="76">
        <v>7226.0</v>
      </c>
      <c r="E230" s="208">
        <v>-800.0</v>
      </c>
      <c r="F230" s="168">
        <v>726399.0</v>
      </c>
      <c r="G230" s="209">
        <v>40712.0</v>
      </c>
      <c r="H230" s="168">
        <v>103596.0</v>
      </c>
      <c r="I230" s="208">
        <v>99752.0</v>
      </c>
    </row>
    <row r="231">
      <c r="A231" s="24">
        <v>110.0</v>
      </c>
      <c r="B231" s="168">
        <v>41206.51</v>
      </c>
      <c r="C231" s="24" t="s">
        <v>5212</v>
      </c>
      <c r="D231" s="76">
        <v>7227.0</v>
      </c>
      <c r="E231" s="208">
        <v>-94679.0</v>
      </c>
      <c r="F231" s="168">
        <v>538543.0</v>
      </c>
      <c r="G231" s="209">
        <v>-71039.0</v>
      </c>
      <c r="H231" s="168">
        <v>357736.0</v>
      </c>
      <c r="I231" s="208">
        <v>-18652.0</v>
      </c>
    </row>
    <row r="232">
      <c r="A232" s="24">
        <v>138.0</v>
      </c>
      <c r="B232" s="168">
        <v>19644.24</v>
      </c>
      <c r="C232" s="24" t="s">
        <v>5213</v>
      </c>
      <c r="D232" s="76">
        <v>7228.0</v>
      </c>
      <c r="E232" s="208">
        <v>-1114.0</v>
      </c>
      <c r="F232" s="168">
        <v>412305.0</v>
      </c>
      <c r="G232" s="209">
        <v>73870.0</v>
      </c>
      <c r="H232" s="168">
        <v>131478.0</v>
      </c>
      <c r="I232" s="208">
        <v>62093.0</v>
      </c>
    </row>
    <row r="233">
      <c r="A233" s="24">
        <v>120.0</v>
      </c>
      <c r="B233" s="168">
        <v>-30122.48</v>
      </c>
      <c r="C233" s="24" t="s">
        <v>5214</v>
      </c>
      <c r="D233" s="76">
        <v>7229.0</v>
      </c>
      <c r="E233" s="208">
        <v>-90976.0</v>
      </c>
      <c r="F233" s="168">
        <v>588249.0</v>
      </c>
      <c r="G233" s="209">
        <v>22406.0</v>
      </c>
      <c r="H233" s="168">
        <v>193637.0</v>
      </c>
      <c r="I233" s="208">
        <v>-96390.0</v>
      </c>
    </row>
    <row r="234">
      <c r="A234" s="24">
        <v>115.0</v>
      </c>
      <c r="B234" s="168">
        <v>-13278.76</v>
      </c>
      <c r="C234" s="24" t="s">
        <v>5215</v>
      </c>
      <c r="D234" s="76">
        <v>7230.0</v>
      </c>
      <c r="E234" s="208">
        <v>27032.0</v>
      </c>
      <c r="F234" s="168">
        <v>240993.0</v>
      </c>
      <c r="G234" s="209">
        <v>-46199.0</v>
      </c>
      <c r="H234" s="168">
        <v>124931.0</v>
      </c>
      <c r="I234" s="208">
        <v>28528.0</v>
      </c>
    </row>
    <row r="235">
      <c r="A235" s="24">
        <v>141.0</v>
      </c>
      <c r="B235" s="168">
        <v>-48230.0</v>
      </c>
      <c r="C235" s="24" t="s">
        <v>5216</v>
      </c>
      <c r="D235" s="76">
        <v>7231.0</v>
      </c>
      <c r="E235" s="208">
        <v>38190.0</v>
      </c>
      <c r="F235" s="168">
        <v>819906.0</v>
      </c>
      <c r="G235" s="209">
        <v>69564.0</v>
      </c>
      <c r="H235" s="168">
        <v>713765.0</v>
      </c>
      <c r="I235" s="208">
        <v>-87335.0</v>
      </c>
    </row>
    <row r="236">
      <c r="A236" s="24">
        <v>137.0</v>
      </c>
      <c r="B236" s="168">
        <v>283.42</v>
      </c>
      <c r="C236" s="24" t="s">
        <v>5214</v>
      </c>
      <c r="D236" s="76">
        <v>7232.0</v>
      </c>
      <c r="E236" s="208">
        <v>88035.0</v>
      </c>
      <c r="F236" s="168">
        <v>727727.0</v>
      </c>
      <c r="G236" s="209">
        <v>90739.0</v>
      </c>
      <c r="H236" s="168">
        <v>214107.0</v>
      </c>
      <c r="I236" s="208">
        <v>11256.0</v>
      </c>
    </row>
    <row r="237">
      <c r="A237" s="24">
        <v>108.0</v>
      </c>
      <c r="B237" s="168">
        <v>-27052.87</v>
      </c>
      <c r="C237" s="24" t="s">
        <v>5217</v>
      </c>
      <c r="D237" s="76">
        <v>7233.0</v>
      </c>
      <c r="E237" s="208">
        <v>61187.0</v>
      </c>
      <c r="F237" s="168">
        <v>349602.0</v>
      </c>
      <c r="G237" s="209">
        <v>-54489.0</v>
      </c>
      <c r="H237" s="168">
        <v>324332.0</v>
      </c>
      <c r="I237" s="208">
        <v>-51380.0</v>
      </c>
    </row>
    <row r="238">
      <c r="A238" s="24">
        <v>116.0</v>
      </c>
      <c r="B238" s="168">
        <v>37947.47</v>
      </c>
      <c r="C238" s="24" t="s">
        <v>5218</v>
      </c>
      <c r="D238" s="76">
        <v>7234.0</v>
      </c>
      <c r="E238" s="208">
        <v>-44552.0</v>
      </c>
      <c r="F238" s="168">
        <v>426590.0</v>
      </c>
      <c r="G238" s="209">
        <v>-17166.0</v>
      </c>
      <c r="H238" s="168">
        <v>324343.0</v>
      </c>
      <c r="I238" s="208">
        <v>-7297.0</v>
      </c>
    </row>
    <row r="239">
      <c r="A239" s="24">
        <v>126.0</v>
      </c>
      <c r="B239" s="168">
        <v>93231.09</v>
      </c>
      <c r="C239" s="24" t="s">
        <v>5219</v>
      </c>
      <c r="D239" s="76">
        <v>7235.0</v>
      </c>
      <c r="E239" s="208">
        <v>79463.0</v>
      </c>
      <c r="F239" s="168">
        <v>555985.0</v>
      </c>
      <c r="G239" s="209">
        <v>-52845.0</v>
      </c>
      <c r="H239" s="168">
        <v>749997.0</v>
      </c>
      <c r="I239" s="208">
        <v>82574.0</v>
      </c>
    </row>
    <row r="240">
      <c r="A240" s="24">
        <v>139.0</v>
      </c>
      <c r="B240" s="168">
        <v>-45912.01</v>
      </c>
      <c r="C240" s="24" t="s">
        <v>5220</v>
      </c>
      <c r="D240" s="76">
        <v>7236.0</v>
      </c>
      <c r="E240" s="208">
        <v>-58088.0</v>
      </c>
      <c r="F240" s="168">
        <v>395748.0</v>
      </c>
      <c r="G240" s="209">
        <v>-36405.0</v>
      </c>
      <c r="H240" s="168">
        <v>942113.0</v>
      </c>
      <c r="I240" s="208">
        <v>58442.0</v>
      </c>
    </row>
    <row r="241">
      <c r="A241" s="24">
        <v>128.0</v>
      </c>
      <c r="B241" s="168">
        <v>15107.94</v>
      </c>
      <c r="C241" s="24" t="s">
        <v>5221</v>
      </c>
      <c r="D241" s="76">
        <v>7237.0</v>
      </c>
      <c r="E241" s="208">
        <v>-19285.0</v>
      </c>
      <c r="F241" s="168">
        <v>877601.0</v>
      </c>
      <c r="G241" s="209">
        <v>75387.0</v>
      </c>
      <c r="H241" s="168">
        <v>236350.0</v>
      </c>
      <c r="I241" s="208">
        <v>-76962.0</v>
      </c>
    </row>
    <row r="242">
      <c r="A242" s="24">
        <v>140.0</v>
      </c>
      <c r="B242" s="168">
        <v>77686.52</v>
      </c>
      <c r="C242" s="24" t="s">
        <v>5222</v>
      </c>
      <c r="D242" s="76">
        <v>7238.0</v>
      </c>
      <c r="E242" s="208">
        <v>7026.0</v>
      </c>
      <c r="F242" s="168">
        <v>385026.0</v>
      </c>
      <c r="G242" s="209">
        <v>-54736.0</v>
      </c>
      <c r="H242" s="168">
        <v>762696.0</v>
      </c>
      <c r="I242" s="208">
        <v>-13363.0</v>
      </c>
    </row>
    <row r="243">
      <c r="A243" s="24">
        <v>119.0</v>
      </c>
      <c r="B243" s="168">
        <v>-73340.78</v>
      </c>
      <c r="C243" s="24" t="s">
        <v>5223</v>
      </c>
      <c r="D243" s="76">
        <v>7239.0</v>
      </c>
      <c r="E243" s="208">
        <v>55034.0</v>
      </c>
      <c r="F243" s="168">
        <v>142597.0</v>
      </c>
      <c r="G243" s="209">
        <v>-48909.0</v>
      </c>
      <c r="H243" s="168">
        <v>527332.0</v>
      </c>
      <c r="I243" s="208">
        <v>-89720.0</v>
      </c>
    </row>
    <row r="244">
      <c r="A244" s="24">
        <v>135.0</v>
      </c>
      <c r="B244" s="168">
        <v>72426.93</v>
      </c>
      <c r="C244" s="24" t="s">
        <v>5224</v>
      </c>
      <c r="D244" s="76">
        <v>7240.0</v>
      </c>
      <c r="E244" s="208">
        <v>-67379.0</v>
      </c>
      <c r="F244" s="168">
        <v>250827.0</v>
      </c>
      <c r="G244" s="209">
        <v>77209.0</v>
      </c>
      <c r="H244" s="168">
        <v>254450.0</v>
      </c>
      <c r="I244" s="208">
        <v>-9832.0</v>
      </c>
    </row>
    <row r="245">
      <c r="A245" s="24">
        <v>124.0</v>
      </c>
      <c r="B245" s="168">
        <v>-83026.07</v>
      </c>
      <c r="C245" s="24" t="s">
        <v>5225</v>
      </c>
      <c r="D245" s="76">
        <v>7241.0</v>
      </c>
      <c r="E245" s="208">
        <v>6112.0</v>
      </c>
      <c r="F245" s="168">
        <v>360848.0</v>
      </c>
      <c r="G245" s="209">
        <v>46728.0</v>
      </c>
      <c r="H245" s="168">
        <v>626571.0</v>
      </c>
      <c r="I245" s="208">
        <v>-56939.0</v>
      </c>
    </row>
    <row r="246">
      <c r="A246" s="24">
        <v>149.0</v>
      </c>
      <c r="B246" s="168">
        <v>90481.56</v>
      </c>
      <c r="C246" s="24" t="s">
        <v>5226</v>
      </c>
      <c r="D246" s="76">
        <v>7242.0</v>
      </c>
      <c r="E246" s="208">
        <v>32820.0</v>
      </c>
      <c r="F246" s="168">
        <v>409862.0</v>
      </c>
      <c r="G246" s="209">
        <v>24032.0</v>
      </c>
      <c r="H246" s="168">
        <v>509937.0</v>
      </c>
      <c r="I246" s="208">
        <v>-97525.0</v>
      </c>
    </row>
    <row r="247">
      <c r="A247" s="24">
        <v>114.0</v>
      </c>
      <c r="B247" s="168">
        <v>-35729.82</v>
      </c>
      <c r="C247" s="24" t="s">
        <v>5227</v>
      </c>
      <c r="D247" s="76">
        <v>7243.0</v>
      </c>
      <c r="E247" s="208">
        <v>10060.0</v>
      </c>
      <c r="F247" s="168">
        <v>951893.0</v>
      </c>
      <c r="G247" s="209">
        <v>20849.0</v>
      </c>
      <c r="H247" s="168">
        <v>394743.0</v>
      </c>
      <c r="I247" s="208">
        <v>87002.0</v>
      </c>
    </row>
    <row r="248">
      <c r="A248" s="24">
        <v>101.0</v>
      </c>
      <c r="B248" s="168">
        <v>33862.79</v>
      </c>
      <c r="C248" s="24" t="s">
        <v>5228</v>
      </c>
      <c r="D248" s="76">
        <v>7244.0</v>
      </c>
      <c r="E248" s="208">
        <v>77553.0</v>
      </c>
      <c r="F248" s="168">
        <v>629137.0</v>
      </c>
      <c r="G248" s="209">
        <v>-64803.0</v>
      </c>
      <c r="H248" s="168">
        <v>209746.0</v>
      </c>
      <c r="I248" s="208">
        <v>4992.0</v>
      </c>
    </row>
    <row r="249">
      <c r="A249" s="24">
        <v>105.0</v>
      </c>
      <c r="B249" s="168">
        <v>2220.02</v>
      </c>
      <c r="C249" s="24" t="s">
        <v>5229</v>
      </c>
      <c r="D249" s="76">
        <v>7245.0</v>
      </c>
      <c r="E249" s="208">
        <v>85863.0</v>
      </c>
      <c r="F249" s="168">
        <v>106723.0</v>
      </c>
      <c r="G249" s="209">
        <v>-16101.0</v>
      </c>
      <c r="H249" s="168">
        <v>494381.0</v>
      </c>
      <c r="I249" s="208">
        <v>-435.0</v>
      </c>
    </row>
    <row r="250">
      <c r="A250" s="24">
        <v>117.0</v>
      </c>
      <c r="B250" s="168">
        <v>45698.53</v>
      </c>
      <c r="C250" s="24" t="s">
        <v>5230</v>
      </c>
      <c r="D250" s="76">
        <v>7246.0</v>
      </c>
      <c r="E250" s="208">
        <v>68550.0</v>
      </c>
      <c r="F250" s="168">
        <v>118037.0</v>
      </c>
      <c r="G250" s="209">
        <v>-66393.0</v>
      </c>
      <c r="H250" s="168">
        <v>519322.0</v>
      </c>
      <c r="I250" s="208">
        <v>-89885.0</v>
      </c>
    </row>
    <row r="251">
      <c r="A251" s="24">
        <v>107.0</v>
      </c>
      <c r="B251" s="168">
        <v>44000.07</v>
      </c>
      <c r="C251" s="24" t="s">
        <v>5231</v>
      </c>
      <c r="D251" s="76">
        <v>7247.0</v>
      </c>
      <c r="E251" s="208">
        <v>-62426.0</v>
      </c>
      <c r="F251" s="168">
        <v>965252.0</v>
      </c>
      <c r="G251" s="209">
        <v>12914.0</v>
      </c>
      <c r="H251" s="168">
        <v>559165.0</v>
      </c>
      <c r="I251" s="208">
        <v>-60583.0</v>
      </c>
    </row>
    <row r="252">
      <c r="A252" s="24">
        <v>102.0</v>
      </c>
      <c r="B252" s="168">
        <v>-91958.1</v>
      </c>
      <c r="C252" s="24" t="s">
        <v>5232</v>
      </c>
      <c r="D252" s="76">
        <v>7248.0</v>
      </c>
      <c r="E252" s="208">
        <v>70023.0</v>
      </c>
      <c r="F252" s="168">
        <v>167658.0</v>
      </c>
      <c r="G252" s="209">
        <v>-27124.0</v>
      </c>
      <c r="H252" s="168">
        <v>579119.0</v>
      </c>
      <c r="I252" s="208">
        <v>2552.0</v>
      </c>
    </row>
    <row r="253">
      <c r="A253" s="24">
        <v>132.0</v>
      </c>
      <c r="B253" s="168">
        <v>-28428.01</v>
      </c>
      <c r="C253" s="24" t="s">
        <v>5233</v>
      </c>
      <c r="D253" s="76">
        <v>7249.0</v>
      </c>
      <c r="E253" s="208">
        <v>-19247.0</v>
      </c>
      <c r="F253" s="168">
        <v>473679.0</v>
      </c>
      <c r="G253" s="209">
        <v>-81664.0</v>
      </c>
      <c r="H253" s="168">
        <v>778587.0</v>
      </c>
      <c r="I253" s="208">
        <v>41915.0</v>
      </c>
    </row>
    <row r="254">
      <c r="A254" s="24">
        <v>145.0</v>
      </c>
      <c r="B254" s="168">
        <v>55999.8</v>
      </c>
      <c r="C254" s="24" t="s">
        <v>5185</v>
      </c>
      <c r="D254" s="76">
        <v>7250.0</v>
      </c>
      <c r="E254" s="208">
        <v>-76582.0</v>
      </c>
      <c r="F254" s="168">
        <v>567076.0</v>
      </c>
      <c r="G254" s="209">
        <v>-86624.0</v>
      </c>
      <c r="H254" s="168">
        <v>750068.0</v>
      </c>
      <c r="I254" s="208">
        <v>-63878.0</v>
      </c>
    </row>
    <row r="255">
      <c r="A255" s="24">
        <v>148.0</v>
      </c>
      <c r="B255" s="168">
        <v>-54942.45</v>
      </c>
      <c r="C255" s="24" t="s">
        <v>5186</v>
      </c>
      <c r="D255" s="76">
        <v>7251.0</v>
      </c>
      <c r="E255" s="208">
        <v>87820.0</v>
      </c>
      <c r="F255" s="168">
        <v>174242.0</v>
      </c>
      <c r="G255" s="209">
        <v>-55915.0</v>
      </c>
      <c r="H255" s="168">
        <v>745725.0</v>
      </c>
      <c r="I255" s="208">
        <v>-75212.0</v>
      </c>
    </row>
    <row r="256">
      <c r="A256" s="24">
        <v>136.0</v>
      </c>
      <c r="B256" s="168">
        <v>37602.05</v>
      </c>
      <c r="C256" s="24" t="s">
        <v>5187</v>
      </c>
      <c r="D256" s="76">
        <v>7252.0</v>
      </c>
      <c r="E256" s="208">
        <v>-59766.0</v>
      </c>
      <c r="F256" s="168">
        <v>528366.0</v>
      </c>
      <c r="G256" s="209">
        <v>-4340.0</v>
      </c>
      <c r="H256" s="168">
        <v>946171.0</v>
      </c>
      <c r="I256" s="208">
        <v>65728.0</v>
      </c>
    </row>
    <row r="257">
      <c r="A257" s="24">
        <v>104.0</v>
      </c>
      <c r="B257" s="168">
        <v>-41922.35</v>
      </c>
      <c r="C257" s="24" t="s">
        <v>5188</v>
      </c>
      <c r="D257" s="76">
        <v>7253.0</v>
      </c>
      <c r="E257" s="208">
        <v>38256.0</v>
      </c>
      <c r="F257" s="168">
        <v>318556.0</v>
      </c>
      <c r="G257" s="209">
        <v>18997.0</v>
      </c>
      <c r="H257" s="168">
        <v>927377.0</v>
      </c>
      <c r="I257" s="208">
        <v>90579.0</v>
      </c>
    </row>
    <row r="258">
      <c r="A258" s="24">
        <v>129.0</v>
      </c>
      <c r="B258" s="168">
        <v>66235.51</v>
      </c>
      <c r="C258" s="24" t="s">
        <v>5189</v>
      </c>
      <c r="D258" s="76">
        <v>7254.0</v>
      </c>
      <c r="E258" s="208">
        <v>72776.0</v>
      </c>
      <c r="F258" s="168">
        <v>473254.0</v>
      </c>
      <c r="G258" s="209">
        <v>-13572.0</v>
      </c>
      <c r="H258" s="168">
        <v>646676.0</v>
      </c>
      <c r="I258" s="208">
        <v>-94501.0</v>
      </c>
    </row>
    <row r="259">
      <c r="A259" s="24">
        <v>118.0</v>
      </c>
      <c r="B259" s="168">
        <v>-36307.13</v>
      </c>
      <c r="C259" s="24" t="s">
        <v>5190</v>
      </c>
      <c r="D259" s="76">
        <v>7255.0</v>
      </c>
      <c r="E259" s="208">
        <v>-54333.0</v>
      </c>
      <c r="F259" s="168">
        <v>915562.0</v>
      </c>
      <c r="G259" s="209">
        <v>17097.0</v>
      </c>
      <c r="H259" s="168">
        <v>451326.0</v>
      </c>
      <c r="I259" s="208">
        <v>-30716.0</v>
      </c>
    </row>
    <row r="260">
      <c r="A260" s="24">
        <v>127.0</v>
      </c>
      <c r="B260" s="168">
        <v>98786.1</v>
      </c>
      <c r="C260" s="24" t="s">
        <v>5191</v>
      </c>
      <c r="D260" s="76">
        <v>7256.0</v>
      </c>
      <c r="E260" s="208">
        <v>-64472.0</v>
      </c>
      <c r="F260" s="168">
        <v>227907.0</v>
      </c>
      <c r="G260" s="209">
        <v>-5692.0</v>
      </c>
      <c r="H260" s="168">
        <v>868777.0</v>
      </c>
      <c r="I260" s="208">
        <v>48659.0</v>
      </c>
    </row>
    <row r="261">
      <c r="A261" s="24">
        <v>125.0</v>
      </c>
      <c r="B261" s="168">
        <v>70877.1</v>
      </c>
      <c r="C261" s="24" t="s">
        <v>5192</v>
      </c>
      <c r="D261" s="76">
        <v>7257.0</v>
      </c>
      <c r="E261" s="208">
        <v>24974.0</v>
      </c>
      <c r="F261" s="168">
        <v>495743.0</v>
      </c>
      <c r="G261" s="209">
        <v>-32303.0</v>
      </c>
      <c r="H261" s="168">
        <v>583900.0</v>
      </c>
      <c r="I261" s="208">
        <v>54299.0</v>
      </c>
    </row>
    <row r="262">
      <c r="A262" s="24">
        <v>146.0</v>
      </c>
      <c r="B262" s="168">
        <v>-99267.88</v>
      </c>
      <c r="C262" s="24" t="s">
        <v>5193</v>
      </c>
      <c r="D262" s="76">
        <v>7258.0</v>
      </c>
      <c r="E262" s="208">
        <v>78104.0</v>
      </c>
      <c r="F262" s="168">
        <v>541009.0</v>
      </c>
      <c r="G262" s="209">
        <v>-44479.0</v>
      </c>
      <c r="H262" s="168">
        <v>563963.0</v>
      </c>
      <c r="I262" s="208">
        <v>36325.0</v>
      </c>
    </row>
    <row r="263">
      <c r="A263" s="24">
        <v>111.0</v>
      </c>
      <c r="B263" s="168">
        <v>-41861.43</v>
      </c>
      <c r="C263" s="24" t="s">
        <v>5194</v>
      </c>
      <c r="D263" s="76">
        <v>7259.0</v>
      </c>
      <c r="E263" s="208">
        <v>-69680.0</v>
      </c>
      <c r="F263" s="168">
        <v>894171.0</v>
      </c>
      <c r="G263" s="209">
        <v>37020.0</v>
      </c>
      <c r="H263" s="168">
        <v>558091.0</v>
      </c>
      <c r="I263" s="208">
        <v>313.0</v>
      </c>
    </row>
    <row r="264">
      <c r="A264" s="24">
        <v>103.0</v>
      </c>
      <c r="B264" s="168">
        <v>-57002.48</v>
      </c>
      <c r="C264" s="24" t="s">
        <v>5195</v>
      </c>
      <c r="D264" s="76">
        <v>7260.0</v>
      </c>
      <c r="E264" s="208">
        <v>-88311.0</v>
      </c>
      <c r="F264" s="168">
        <v>226750.0</v>
      </c>
      <c r="G264" s="209">
        <v>15394.0</v>
      </c>
      <c r="H264" s="168">
        <v>501174.0</v>
      </c>
      <c r="I264" s="208">
        <v>51829.0</v>
      </c>
    </row>
    <row r="265">
      <c r="A265" s="24">
        <v>142.0</v>
      </c>
      <c r="B265" s="168">
        <v>9384.3</v>
      </c>
      <c r="C265" s="24" t="s">
        <v>5196</v>
      </c>
      <c r="D265" s="76">
        <v>7261.0</v>
      </c>
      <c r="E265" s="208">
        <v>-76544.0</v>
      </c>
      <c r="F265" s="168">
        <v>880765.0</v>
      </c>
      <c r="G265" s="209">
        <v>-38755.0</v>
      </c>
      <c r="H265" s="168">
        <v>712439.0</v>
      </c>
      <c r="I265" s="208">
        <v>-52773.0</v>
      </c>
    </row>
    <row r="266">
      <c r="A266" s="24">
        <v>100.0</v>
      </c>
      <c r="B266" s="168">
        <v>-89652.99</v>
      </c>
      <c r="C266" s="24" t="s">
        <v>5197</v>
      </c>
      <c r="D266" s="76">
        <v>7262.0</v>
      </c>
      <c r="E266" s="208">
        <v>31518.0</v>
      </c>
      <c r="F266" s="168">
        <v>841205.0</v>
      </c>
      <c r="G266" s="209">
        <v>68567.0</v>
      </c>
      <c r="H266" s="168">
        <v>283681.0</v>
      </c>
      <c r="I266" s="208">
        <v>61774.0</v>
      </c>
    </row>
    <row r="267">
      <c r="A267" s="24">
        <v>109.0</v>
      </c>
      <c r="B267" s="168">
        <v>50827.18</v>
      </c>
      <c r="C267" s="24" t="s">
        <v>5198</v>
      </c>
      <c r="D267" s="76">
        <v>7263.0</v>
      </c>
      <c r="E267" s="208">
        <v>72587.0</v>
      </c>
      <c r="F267" s="168">
        <v>719679.0</v>
      </c>
      <c r="G267" s="209">
        <v>-39277.0</v>
      </c>
      <c r="H267" s="168">
        <v>355038.0</v>
      </c>
      <c r="I267" s="208">
        <v>-49196.0</v>
      </c>
    </row>
    <row r="268">
      <c r="A268" s="24">
        <v>144.0</v>
      </c>
      <c r="B268" s="168">
        <v>39478.85</v>
      </c>
      <c r="C268" s="24" t="s">
        <v>5199</v>
      </c>
      <c r="D268" s="76">
        <v>7264.0</v>
      </c>
      <c r="E268" s="208">
        <v>98013.0</v>
      </c>
      <c r="F268" s="168">
        <v>438918.0</v>
      </c>
      <c r="G268" s="209">
        <v>-8666.0</v>
      </c>
      <c r="H268" s="168">
        <v>617941.0</v>
      </c>
      <c r="I268" s="208">
        <v>-30734.0</v>
      </c>
    </row>
    <row r="269">
      <c r="A269" s="24">
        <v>133.0</v>
      </c>
      <c r="B269" s="168">
        <v>14218.06</v>
      </c>
      <c r="C269" s="24" t="s">
        <v>5200</v>
      </c>
      <c r="D269" s="76">
        <v>7265.0</v>
      </c>
      <c r="E269" s="208">
        <v>29724.0</v>
      </c>
      <c r="F269" s="168">
        <v>153058.0</v>
      </c>
      <c r="G269" s="209">
        <v>7983.0</v>
      </c>
      <c r="H269" s="168">
        <v>824079.0</v>
      </c>
      <c r="I269" s="208">
        <v>-21465.0</v>
      </c>
    </row>
    <row r="270">
      <c r="A270" s="24">
        <v>134.0</v>
      </c>
      <c r="B270" s="168">
        <v>54908.13</v>
      </c>
      <c r="C270" s="24" t="s">
        <v>5201</v>
      </c>
      <c r="D270" s="76">
        <v>7266.0</v>
      </c>
      <c r="E270" s="208">
        <v>-76285.0</v>
      </c>
      <c r="F270" s="168">
        <v>459245.0</v>
      </c>
      <c r="G270" s="209">
        <v>88317.0</v>
      </c>
      <c r="H270" s="168">
        <v>169378.0</v>
      </c>
      <c r="I270" s="208">
        <v>-47950.0</v>
      </c>
    </row>
    <row r="271">
      <c r="A271" s="24">
        <v>123.0</v>
      </c>
      <c r="B271" s="168">
        <v>30652.35</v>
      </c>
      <c r="C271" s="24" t="s">
        <v>5202</v>
      </c>
      <c r="D271" s="76">
        <v>7267.0</v>
      </c>
      <c r="E271" s="208">
        <v>95716.0</v>
      </c>
      <c r="F271" s="168">
        <v>737208.0</v>
      </c>
      <c r="G271" s="209">
        <v>-90726.0</v>
      </c>
      <c r="H271" s="168">
        <v>844787.0</v>
      </c>
      <c r="I271" s="208">
        <v>-79061.0</v>
      </c>
    </row>
    <row r="272">
      <c r="A272" s="24">
        <v>106.0</v>
      </c>
      <c r="B272" s="168">
        <v>14317.2</v>
      </c>
      <c r="C272" s="24" t="s">
        <v>5203</v>
      </c>
      <c r="D272" s="76">
        <v>7268.0</v>
      </c>
      <c r="E272" s="208">
        <v>-51578.0</v>
      </c>
      <c r="F272" s="168">
        <v>416142.0</v>
      </c>
      <c r="G272" s="209">
        <v>41993.0</v>
      </c>
      <c r="H272" s="168">
        <v>456052.0</v>
      </c>
      <c r="I272" s="208">
        <v>1016.0</v>
      </c>
    </row>
    <row r="273">
      <c r="A273" s="24">
        <v>122.0</v>
      </c>
      <c r="B273" s="168">
        <v>31947.09</v>
      </c>
      <c r="C273" s="24" t="s">
        <v>5204</v>
      </c>
      <c r="D273" s="76">
        <v>7269.0</v>
      </c>
      <c r="E273" s="208">
        <v>26735.0</v>
      </c>
      <c r="F273" s="168">
        <v>778121.0</v>
      </c>
      <c r="G273" s="209">
        <v>-46779.0</v>
      </c>
      <c r="H273" s="168">
        <v>371510.0</v>
      </c>
      <c r="I273" s="208">
        <v>5554.0</v>
      </c>
    </row>
    <row r="274">
      <c r="A274" s="24">
        <v>143.0</v>
      </c>
      <c r="B274" s="168">
        <v>-71644.42</v>
      </c>
      <c r="C274" s="24" t="s">
        <v>5205</v>
      </c>
      <c r="D274" s="76">
        <v>7270.0</v>
      </c>
      <c r="E274" s="208">
        <v>58685.0</v>
      </c>
      <c r="F274" s="168">
        <v>496026.0</v>
      </c>
      <c r="G274" s="209">
        <v>-90391.0</v>
      </c>
      <c r="H274" s="168">
        <v>780087.0</v>
      </c>
      <c r="I274" s="208">
        <v>94272.0</v>
      </c>
    </row>
    <row r="275">
      <c r="A275" s="24">
        <v>131.0</v>
      </c>
      <c r="B275" s="168">
        <v>-34229.52</v>
      </c>
      <c r="C275" s="24" t="s">
        <v>5206</v>
      </c>
      <c r="D275" s="76">
        <v>7271.0</v>
      </c>
      <c r="E275" s="208">
        <v>-88168.0</v>
      </c>
      <c r="F275" s="168">
        <v>653095.0</v>
      </c>
      <c r="G275" s="209">
        <v>-26449.0</v>
      </c>
      <c r="H275" s="168">
        <v>324154.0</v>
      </c>
      <c r="I275" s="208">
        <v>-99225.0</v>
      </c>
    </row>
    <row r="276">
      <c r="A276" s="24">
        <v>147.0</v>
      </c>
      <c r="B276" s="168">
        <v>-79823.71</v>
      </c>
      <c r="C276" s="24" t="s">
        <v>5207</v>
      </c>
      <c r="D276" s="76">
        <v>7272.0</v>
      </c>
      <c r="E276" s="208">
        <v>31277.0</v>
      </c>
      <c r="F276" s="168">
        <v>380926.0</v>
      </c>
      <c r="G276" s="209">
        <v>80683.0</v>
      </c>
      <c r="H276" s="168">
        <v>218034.0</v>
      </c>
      <c r="I276" s="208">
        <v>-52326.0</v>
      </c>
    </row>
    <row r="277">
      <c r="A277" s="24">
        <v>121.0</v>
      </c>
      <c r="B277" s="168">
        <v>-7518.61</v>
      </c>
      <c r="C277" s="24" t="s">
        <v>5208</v>
      </c>
      <c r="D277" s="76">
        <v>7273.0</v>
      </c>
      <c r="E277" s="208">
        <v>-13005.0</v>
      </c>
      <c r="F277" s="168">
        <v>282664.0</v>
      </c>
      <c r="G277" s="209">
        <v>-88228.0</v>
      </c>
      <c r="H277" s="168">
        <v>611564.0</v>
      </c>
      <c r="I277" s="208">
        <v>57666.0</v>
      </c>
    </row>
    <row r="278">
      <c r="A278" s="24">
        <v>113.0</v>
      </c>
      <c r="B278" s="168">
        <v>38036.46</v>
      </c>
      <c r="C278" s="24" t="s">
        <v>5209</v>
      </c>
      <c r="D278" s="76">
        <v>7274.0</v>
      </c>
      <c r="E278" s="208">
        <v>-28214.0</v>
      </c>
      <c r="F278" s="168">
        <v>488474.0</v>
      </c>
      <c r="G278" s="209">
        <v>88130.0</v>
      </c>
      <c r="H278" s="168">
        <v>125341.0</v>
      </c>
      <c r="I278" s="208">
        <v>-93105.0</v>
      </c>
    </row>
    <row r="279">
      <c r="A279" s="24">
        <v>130.0</v>
      </c>
      <c r="B279" s="168">
        <v>-23214.06</v>
      </c>
      <c r="C279" s="24" t="s">
        <v>5210</v>
      </c>
      <c r="D279" s="76">
        <v>7275.0</v>
      </c>
      <c r="E279" s="208">
        <v>23491.0</v>
      </c>
      <c r="F279" s="168">
        <v>439831.0</v>
      </c>
      <c r="G279" s="209">
        <v>27007.0</v>
      </c>
      <c r="H279" s="168">
        <v>871717.0</v>
      </c>
      <c r="I279" s="208">
        <v>72027.0</v>
      </c>
    </row>
    <row r="280">
      <c r="A280" s="24">
        <v>112.0</v>
      </c>
      <c r="B280" s="168">
        <v>70080.45</v>
      </c>
      <c r="C280" s="24" t="s">
        <v>5211</v>
      </c>
      <c r="D280" s="76">
        <v>7276.0</v>
      </c>
      <c r="E280" s="208">
        <v>85971.0</v>
      </c>
      <c r="F280" s="168">
        <v>853836.0</v>
      </c>
      <c r="G280" s="209">
        <v>-34855.0</v>
      </c>
      <c r="H280" s="168">
        <v>407279.0</v>
      </c>
      <c r="I280" s="208">
        <v>-81310.0</v>
      </c>
    </row>
    <row r="281">
      <c r="A281" s="24">
        <v>110.0</v>
      </c>
      <c r="B281" s="168">
        <v>88993.03</v>
      </c>
      <c r="C281" s="24" t="s">
        <v>5212</v>
      </c>
      <c r="D281" s="76">
        <v>7277.0</v>
      </c>
      <c r="E281" s="208">
        <v>63686.0</v>
      </c>
      <c r="F281" s="168">
        <v>176236.0</v>
      </c>
      <c r="G281" s="209">
        <v>34255.0</v>
      </c>
      <c r="H281" s="168">
        <v>978311.0</v>
      </c>
      <c r="I281" s="208">
        <v>-20070.0</v>
      </c>
    </row>
    <row r="282">
      <c r="A282" s="24">
        <v>138.0</v>
      </c>
      <c r="B282" s="168">
        <v>72730.22</v>
      </c>
      <c r="C282" s="24" t="s">
        <v>5213</v>
      </c>
      <c r="D282" s="76">
        <v>7278.0</v>
      </c>
      <c r="E282" s="208">
        <v>-48522.0</v>
      </c>
      <c r="F282" s="168">
        <v>406959.0</v>
      </c>
      <c r="G282" s="209">
        <v>43555.0</v>
      </c>
      <c r="H282" s="168">
        <v>256718.0</v>
      </c>
      <c r="I282" s="208">
        <v>62224.0</v>
      </c>
    </row>
    <row r="283">
      <c r="A283" s="24">
        <v>120.0</v>
      </c>
      <c r="B283" s="168">
        <v>-53079.06</v>
      </c>
      <c r="C283" s="24" t="s">
        <v>5214</v>
      </c>
      <c r="D283" s="76">
        <v>7279.0</v>
      </c>
      <c r="E283" s="208">
        <v>-9750.0</v>
      </c>
      <c r="F283" s="168">
        <v>287115.0</v>
      </c>
      <c r="G283" s="209">
        <v>-36091.0</v>
      </c>
      <c r="H283" s="168">
        <v>659965.0</v>
      </c>
      <c r="I283" s="208">
        <v>30990.0</v>
      </c>
    </row>
    <row r="284">
      <c r="A284" s="24">
        <v>115.0</v>
      </c>
      <c r="B284" s="168">
        <v>-88819.72</v>
      </c>
      <c r="C284" s="24" t="s">
        <v>5215</v>
      </c>
      <c r="D284" s="76">
        <v>7280.0</v>
      </c>
      <c r="E284" s="208">
        <v>-73223.0</v>
      </c>
      <c r="F284" s="168">
        <v>159334.0</v>
      </c>
      <c r="G284" s="209">
        <v>-98604.0</v>
      </c>
      <c r="H284" s="168">
        <v>721471.0</v>
      </c>
      <c r="I284" s="208">
        <v>71565.0</v>
      </c>
    </row>
    <row r="285">
      <c r="A285" s="24">
        <v>141.0</v>
      </c>
      <c r="B285" s="168">
        <v>-68602.3</v>
      </c>
      <c r="C285" s="24" t="s">
        <v>5216</v>
      </c>
      <c r="D285" s="76">
        <v>7281.0</v>
      </c>
      <c r="E285" s="208">
        <v>69926.0</v>
      </c>
      <c r="F285" s="168">
        <v>416644.0</v>
      </c>
      <c r="G285" s="209">
        <v>-11290.0</v>
      </c>
      <c r="H285" s="168">
        <v>191468.0</v>
      </c>
      <c r="I285" s="208">
        <v>85684.0</v>
      </c>
    </row>
    <row r="286">
      <c r="A286" s="24">
        <v>137.0</v>
      </c>
      <c r="B286" s="168">
        <v>31261.84</v>
      </c>
      <c r="C286" s="24" t="s">
        <v>5214</v>
      </c>
      <c r="D286" s="76">
        <v>7282.0</v>
      </c>
      <c r="E286" s="208">
        <v>-22382.0</v>
      </c>
      <c r="F286" s="168">
        <v>842668.0</v>
      </c>
      <c r="G286" s="209">
        <v>63316.0</v>
      </c>
      <c r="H286" s="168">
        <v>959968.0</v>
      </c>
      <c r="I286" s="208">
        <v>-91313.0</v>
      </c>
    </row>
    <row r="287">
      <c r="A287" s="24">
        <v>108.0</v>
      </c>
      <c r="B287" s="168">
        <v>-32414.98</v>
      </c>
      <c r="C287" s="24" t="s">
        <v>5217</v>
      </c>
      <c r="D287" s="76">
        <v>7283.0</v>
      </c>
      <c r="E287" s="208">
        <v>61957.0</v>
      </c>
      <c r="F287" s="168">
        <v>272804.0</v>
      </c>
      <c r="G287" s="209">
        <v>53734.0</v>
      </c>
      <c r="H287" s="168">
        <v>204696.0</v>
      </c>
      <c r="I287" s="208">
        <v>85560.0</v>
      </c>
    </row>
    <row r="288">
      <c r="A288" s="24">
        <v>116.0</v>
      </c>
      <c r="B288" s="168">
        <v>-69452.82</v>
      </c>
      <c r="C288" s="24" t="s">
        <v>5218</v>
      </c>
      <c r="D288" s="76">
        <v>7284.0</v>
      </c>
      <c r="E288" s="208">
        <v>-61621.0</v>
      </c>
      <c r="F288" s="168">
        <v>291077.0</v>
      </c>
      <c r="G288" s="209">
        <v>-34410.0</v>
      </c>
      <c r="H288" s="168">
        <v>784872.0</v>
      </c>
      <c r="I288" s="208">
        <v>-64738.0</v>
      </c>
    </row>
    <row r="289">
      <c r="A289" s="24">
        <v>126.0</v>
      </c>
      <c r="B289" s="168">
        <v>-17369.96</v>
      </c>
      <c r="C289" s="24" t="s">
        <v>5219</v>
      </c>
      <c r="D289" s="76">
        <v>7285.0</v>
      </c>
      <c r="E289" s="208">
        <v>47818.0</v>
      </c>
      <c r="F289" s="168">
        <v>878364.0</v>
      </c>
      <c r="G289" s="209">
        <v>-13792.0</v>
      </c>
      <c r="H289" s="168">
        <v>862220.0</v>
      </c>
      <c r="I289" s="208">
        <v>-6711.0</v>
      </c>
    </row>
    <row r="290">
      <c r="A290" s="24">
        <v>139.0</v>
      </c>
      <c r="B290" s="168">
        <v>89740.23</v>
      </c>
      <c r="C290" s="24" t="s">
        <v>5220</v>
      </c>
      <c r="D290" s="76">
        <v>7286.0</v>
      </c>
      <c r="E290" s="208">
        <v>35493.0</v>
      </c>
      <c r="F290" s="168">
        <v>656144.0</v>
      </c>
      <c r="G290" s="209">
        <v>11689.0</v>
      </c>
      <c r="H290" s="168">
        <v>872110.0</v>
      </c>
      <c r="I290" s="208">
        <v>-45839.0</v>
      </c>
    </row>
    <row r="291">
      <c r="A291" s="24">
        <v>128.0</v>
      </c>
      <c r="B291" s="168">
        <v>-37337.91</v>
      </c>
      <c r="C291" s="24" t="s">
        <v>5221</v>
      </c>
      <c r="D291" s="76">
        <v>7287.0</v>
      </c>
      <c r="E291" s="208">
        <v>-7730.0</v>
      </c>
      <c r="F291" s="168">
        <v>711064.0</v>
      </c>
      <c r="G291" s="209">
        <v>-2093.0</v>
      </c>
      <c r="H291" s="168">
        <v>302133.0</v>
      </c>
      <c r="I291" s="208">
        <v>75418.0</v>
      </c>
    </row>
    <row r="292">
      <c r="A292" s="24">
        <v>140.0</v>
      </c>
      <c r="B292" s="168">
        <v>43302.38</v>
      </c>
      <c r="C292" s="24" t="s">
        <v>5222</v>
      </c>
      <c r="D292" s="76">
        <v>7288.0</v>
      </c>
      <c r="E292" s="208">
        <v>50861.0</v>
      </c>
      <c r="F292" s="168">
        <v>757385.0</v>
      </c>
      <c r="G292" s="209">
        <v>51255.0</v>
      </c>
      <c r="H292" s="168">
        <v>435176.0</v>
      </c>
      <c r="I292" s="208">
        <v>-72886.0</v>
      </c>
    </row>
    <row r="293">
      <c r="A293" s="24">
        <v>119.0</v>
      </c>
      <c r="B293" s="168">
        <v>49379.01</v>
      </c>
      <c r="C293" s="24" t="s">
        <v>5223</v>
      </c>
      <c r="D293" s="76">
        <v>7289.0</v>
      </c>
      <c r="E293" s="208">
        <v>-36590.0</v>
      </c>
      <c r="F293" s="168">
        <v>906556.0</v>
      </c>
      <c r="G293" s="209">
        <v>-92077.0</v>
      </c>
      <c r="H293" s="168">
        <v>424931.0</v>
      </c>
      <c r="I293" s="208">
        <v>36789.0</v>
      </c>
    </row>
    <row r="294">
      <c r="A294" s="24">
        <v>135.0</v>
      </c>
      <c r="B294" s="168">
        <v>-72396.64</v>
      </c>
      <c r="C294" s="24" t="s">
        <v>5224</v>
      </c>
      <c r="D294" s="76">
        <v>7290.0</v>
      </c>
      <c r="E294" s="208">
        <v>-30979.0</v>
      </c>
      <c r="F294" s="168">
        <v>882478.0</v>
      </c>
      <c r="G294" s="209">
        <v>-36443.0</v>
      </c>
      <c r="H294" s="168">
        <v>671640.0</v>
      </c>
      <c r="I294" s="208">
        <v>-30288.0</v>
      </c>
    </row>
    <row r="295">
      <c r="A295" s="24">
        <v>124.0</v>
      </c>
      <c r="B295" s="168">
        <v>51706.19</v>
      </c>
      <c r="C295" s="24" t="s">
        <v>5225</v>
      </c>
      <c r="D295" s="76">
        <v>7291.0</v>
      </c>
      <c r="E295" s="208">
        <v>-80274.0</v>
      </c>
      <c r="F295" s="168">
        <v>659591.0</v>
      </c>
      <c r="G295" s="209">
        <v>-53342.0</v>
      </c>
      <c r="H295" s="168">
        <v>528019.0</v>
      </c>
      <c r="I295" s="208">
        <v>-81549.0</v>
      </c>
    </row>
    <row r="296">
      <c r="A296" s="24">
        <v>149.0</v>
      </c>
      <c r="B296" s="168">
        <v>-30763.27</v>
      </c>
      <c r="C296" s="24" t="s">
        <v>5226</v>
      </c>
      <c r="D296" s="76">
        <v>7292.0</v>
      </c>
      <c r="E296" s="208">
        <v>90552.0</v>
      </c>
      <c r="F296" s="168">
        <v>423326.0</v>
      </c>
      <c r="G296" s="209">
        <v>-17624.0</v>
      </c>
      <c r="H296" s="168">
        <v>937291.0</v>
      </c>
      <c r="I296" s="208">
        <v>37518.0</v>
      </c>
    </row>
    <row r="297">
      <c r="A297" s="24">
        <v>114.0</v>
      </c>
      <c r="B297" s="168">
        <v>5888.75</v>
      </c>
      <c r="C297" s="24" t="s">
        <v>5227</v>
      </c>
      <c r="D297" s="76">
        <v>7293.0</v>
      </c>
      <c r="E297" s="208">
        <v>-23257.0</v>
      </c>
      <c r="F297" s="168">
        <v>407853.0</v>
      </c>
      <c r="G297" s="209">
        <v>31143.0</v>
      </c>
      <c r="H297" s="168">
        <v>414897.0</v>
      </c>
      <c r="I297" s="208">
        <v>-48955.0</v>
      </c>
    </row>
    <row r="298">
      <c r="A298" s="24">
        <v>101.0</v>
      </c>
      <c r="B298" s="168">
        <v>14906.66</v>
      </c>
      <c r="C298" s="24" t="s">
        <v>5228</v>
      </c>
      <c r="D298" s="76">
        <v>7294.0</v>
      </c>
      <c r="E298" s="208">
        <v>27422.0</v>
      </c>
      <c r="F298" s="168">
        <v>947331.0</v>
      </c>
      <c r="G298" s="209">
        <v>-94507.0</v>
      </c>
      <c r="H298" s="168">
        <v>561376.0</v>
      </c>
      <c r="I298" s="208">
        <v>-6820.0</v>
      </c>
    </row>
    <row r="299">
      <c r="A299" s="24">
        <v>105.0</v>
      </c>
      <c r="B299" s="168">
        <v>39954.06</v>
      </c>
      <c r="C299" s="24" t="s">
        <v>5229</v>
      </c>
      <c r="D299" s="76">
        <v>7295.0</v>
      </c>
      <c r="E299" s="208">
        <v>-68388.0</v>
      </c>
      <c r="F299" s="168">
        <v>413908.0</v>
      </c>
      <c r="G299" s="209">
        <v>-43989.0</v>
      </c>
      <c r="H299" s="168">
        <v>947639.0</v>
      </c>
      <c r="I299" s="208">
        <v>44573.0</v>
      </c>
    </row>
    <row r="300">
      <c r="A300" s="24">
        <v>117.0</v>
      </c>
      <c r="B300" s="168">
        <v>10513.18</v>
      </c>
      <c r="C300" s="24" t="s">
        <v>5230</v>
      </c>
      <c r="D300" s="76">
        <v>7296.0</v>
      </c>
      <c r="E300" s="208">
        <v>-43751.0</v>
      </c>
      <c r="F300" s="168">
        <v>809741.0</v>
      </c>
      <c r="G300" s="209">
        <v>-5664.0</v>
      </c>
      <c r="H300" s="168">
        <v>634592.0</v>
      </c>
      <c r="I300" s="208">
        <v>-23811.0</v>
      </c>
    </row>
    <row r="301">
      <c r="A301" s="24">
        <v>107.0</v>
      </c>
      <c r="B301" s="168">
        <v>-20683.83</v>
      </c>
      <c r="C301" s="24" t="s">
        <v>5231</v>
      </c>
      <c r="D301" s="76">
        <v>7297.0</v>
      </c>
      <c r="E301" s="208">
        <v>8006.0</v>
      </c>
      <c r="F301" s="168">
        <v>305162.0</v>
      </c>
      <c r="G301" s="209">
        <v>15859.0</v>
      </c>
      <c r="H301" s="168">
        <v>184502.0</v>
      </c>
      <c r="I301" s="208">
        <v>87228.0</v>
      </c>
    </row>
    <row r="302">
      <c r="A302" s="24">
        <v>102.0</v>
      </c>
      <c r="B302" s="168">
        <v>46805.98</v>
      </c>
      <c r="C302" s="24" t="s">
        <v>5232</v>
      </c>
      <c r="D302" s="76">
        <v>7298.0</v>
      </c>
      <c r="E302" s="208">
        <v>67098.0</v>
      </c>
      <c r="F302" s="168">
        <v>684603.0</v>
      </c>
      <c r="G302" s="209">
        <v>-12786.0</v>
      </c>
      <c r="H302" s="168">
        <v>622537.0</v>
      </c>
      <c r="I302" s="208">
        <v>-51330.0</v>
      </c>
    </row>
    <row r="303">
      <c r="A303" s="24">
        <v>132.0</v>
      </c>
      <c r="B303" s="168">
        <v>-73670.52</v>
      </c>
      <c r="C303" s="24" t="s">
        <v>5233</v>
      </c>
      <c r="D303" s="76">
        <v>7299.0</v>
      </c>
      <c r="E303" s="208">
        <v>53287.0</v>
      </c>
      <c r="F303" s="168">
        <v>314395.0</v>
      </c>
      <c r="G303" s="209">
        <v>-93903.0</v>
      </c>
      <c r="H303" s="168">
        <v>606558.0</v>
      </c>
      <c r="I303" s="208">
        <v>-10911.0</v>
      </c>
    </row>
    <row r="304">
      <c r="A304" s="24">
        <v>145.0</v>
      </c>
      <c r="B304" s="168">
        <v>-64501.77</v>
      </c>
      <c r="C304" s="24" t="s">
        <v>5185</v>
      </c>
      <c r="D304" s="76">
        <v>7300.0</v>
      </c>
      <c r="E304" s="208">
        <v>-68169.0</v>
      </c>
      <c r="F304" s="168">
        <v>546504.0</v>
      </c>
      <c r="G304" s="209">
        <v>-19166.0</v>
      </c>
      <c r="H304" s="168">
        <v>356291.0</v>
      </c>
      <c r="I304" s="208">
        <v>-63331.0</v>
      </c>
    </row>
    <row r="305">
      <c r="A305" s="24">
        <v>148.0</v>
      </c>
      <c r="B305" s="168">
        <v>28044.7</v>
      </c>
      <c r="C305" s="24" t="s">
        <v>5186</v>
      </c>
      <c r="D305" s="76">
        <v>7301.0</v>
      </c>
      <c r="E305" s="208">
        <v>-41433.0</v>
      </c>
      <c r="F305" s="168">
        <v>186167.0</v>
      </c>
      <c r="G305" s="209">
        <v>-93022.0</v>
      </c>
      <c r="H305" s="168">
        <v>601007.0</v>
      </c>
      <c r="I305" s="208">
        <v>81760.0</v>
      </c>
    </row>
    <row r="306">
      <c r="A306" s="24">
        <v>136.0</v>
      </c>
      <c r="B306" s="168">
        <v>-99358.39</v>
      </c>
      <c r="C306" s="24" t="s">
        <v>5187</v>
      </c>
      <c r="D306" s="76">
        <v>7302.0</v>
      </c>
      <c r="E306" s="208">
        <v>-65387.0</v>
      </c>
      <c r="F306" s="168">
        <v>810713.0</v>
      </c>
      <c r="G306" s="209">
        <v>-24493.0</v>
      </c>
      <c r="H306" s="168">
        <v>768720.0</v>
      </c>
      <c r="I306" s="208">
        <v>-12077.0</v>
      </c>
    </row>
    <row r="307">
      <c r="A307" s="24">
        <v>104.0</v>
      </c>
      <c r="B307" s="168">
        <v>-75436.24</v>
      </c>
      <c r="C307" s="24" t="s">
        <v>5188</v>
      </c>
      <c r="D307" s="76">
        <v>7303.0</v>
      </c>
      <c r="E307" s="208">
        <v>84044.0</v>
      </c>
      <c r="F307" s="168">
        <v>865822.0</v>
      </c>
      <c r="G307" s="209">
        <v>-36930.0</v>
      </c>
      <c r="H307" s="168">
        <v>994427.0</v>
      </c>
      <c r="I307" s="208">
        <v>-89909.0</v>
      </c>
    </row>
    <row r="308">
      <c r="A308" s="24">
        <v>129.0</v>
      </c>
      <c r="B308" s="168">
        <v>-12893.35</v>
      </c>
      <c r="C308" s="24" t="s">
        <v>5189</v>
      </c>
      <c r="D308" s="76">
        <v>7304.0</v>
      </c>
      <c r="E308" s="208">
        <v>-17372.0</v>
      </c>
      <c r="F308" s="168">
        <v>156212.0</v>
      </c>
      <c r="G308" s="209">
        <v>89194.0</v>
      </c>
      <c r="H308" s="168">
        <v>360666.0</v>
      </c>
      <c r="I308" s="208">
        <v>95232.0</v>
      </c>
    </row>
    <row r="309">
      <c r="A309" s="24">
        <v>118.0</v>
      </c>
      <c r="B309" s="168">
        <v>45186.43</v>
      </c>
      <c r="C309" s="24" t="s">
        <v>5190</v>
      </c>
      <c r="D309" s="76">
        <v>7305.0</v>
      </c>
      <c r="E309" s="208">
        <v>-69350.0</v>
      </c>
      <c r="F309" s="168">
        <v>778424.0</v>
      </c>
      <c r="G309" s="209">
        <v>13967.0</v>
      </c>
      <c r="H309" s="168">
        <v>913253.0</v>
      </c>
      <c r="I309" s="208">
        <v>-28950.0</v>
      </c>
    </row>
    <row r="310">
      <c r="A310" s="24">
        <v>127.0</v>
      </c>
      <c r="B310" s="168">
        <v>29530.79</v>
      </c>
      <c r="C310" s="24" t="s">
        <v>5191</v>
      </c>
      <c r="D310" s="76">
        <v>7306.0</v>
      </c>
      <c r="E310" s="208">
        <v>11230.0</v>
      </c>
      <c r="F310" s="168">
        <v>126888.0</v>
      </c>
      <c r="G310" s="209">
        <v>43599.0</v>
      </c>
      <c r="H310" s="168">
        <v>560997.0</v>
      </c>
      <c r="I310" s="208">
        <v>-73210.0</v>
      </c>
    </row>
    <row r="311">
      <c r="A311" s="24">
        <v>125.0</v>
      </c>
      <c r="B311" s="168">
        <v>-8108.02</v>
      </c>
      <c r="C311" s="24" t="s">
        <v>5192</v>
      </c>
      <c r="D311" s="76">
        <v>7307.0</v>
      </c>
      <c r="E311" s="208">
        <v>55627.0</v>
      </c>
      <c r="F311" s="168">
        <v>809783.0</v>
      </c>
      <c r="G311" s="209">
        <v>-23291.0</v>
      </c>
      <c r="H311" s="168">
        <v>904464.0</v>
      </c>
      <c r="I311" s="208">
        <v>-56320.0</v>
      </c>
    </row>
    <row r="312">
      <c r="A312" s="24">
        <v>146.0</v>
      </c>
      <c r="B312" s="168">
        <v>-37949.62</v>
      </c>
      <c r="C312" s="24" t="s">
        <v>5193</v>
      </c>
      <c r="D312" s="76">
        <v>7308.0</v>
      </c>
      <c r="E312" s="208">
        <v>-7491.0</v>
      </c>
      <c r="F312" s="168">
        <v>414132.0</v>
      </c>
      <c r="G312" s="209">
        <v>-84040.0</v>
      </c>
      <c r="H312" s="168">
        <v>599324.0</v>
      </c>
      <c r="I312" s="208">
        <v>33655.0</v>
      </c>
    </row>
    <row r="313">
      <c r="A313" s="24">
        <v>111.0</v>
      </c>
      <c r="B313" s="168">
        <v>-74329.91</v>
      </c>
      <c r="C313" s="24" t="s">
        <v>5194</v>
      </c>
      <c r="D313" s="76">
        <v>7309.0</v>
      </c>
      <c r="E313" s="208">
        <v>35456.0</v>
      </c>
      <c r="F313" s="168">
        <v>984716.0</v>
      </c>
      <c r="G313" s="209">
        <v>-35910.0</v>
      </c>
      <c r="H313" s="168">
        <v>854295.0</v>
      </c>
      <c r="I313" s="208">
        <v>-20769.0</v>
      </c>
    </row>
    <row r="314">
      <c r="A314" s="24">
        <v>103.0</v>
      </c>
      <c r="B314" s="168">
        <v>-28213.81</v>
      </c>
      <c r="C314" s="24" t="s">
        <v>5195</v>
      </c>
      <c r="D314" s="76">
        <v>7310.0</v>
      </c>
      <c r="E314" s="208">
        <v>-13708.0</v>
      </c>
      <c r="F314" s="168">
        <v>694471.0</v>
      </c>
      <c r="G314" s="209">
        <v>93664.0</v>
      </c>
      <c r="H314" s="168">
        <v>633456.0</v>
      </c>
      <c r="I314" s="208">
        <v>17305.0</v>
      </c>
    </row>
    <row r="315">
      <c r="A315" s="24">
        <v>142.0</v>
      </c>
      <c r="B315" s="168">
        <v>12999.51</v>
      </c>
      <c r="C315" s="24" t="s">
        <v>5196</v>
      </c>
      <c r="D315" s="76">
        <v>7311.0</v>
      </c>
      <c r="E315" s="208">
        <v>58905.0</v>
      </c>
      <c r="F315" s="168">
        <v>543225.0</v>
      </c>
      <c r="G315" s="209">
        <v>-92183.0</v>
      </c>
      <c r="H315" s="168">
        <v>154619.0</v>
      </c>
      <c r="I315" s="208">
        <v>77819.0</v>
      </c>
    </row>
    <row r="316">
      <c r="A316" s="24">
        <v>100.0</v>
      </c>
      <c r="B316" s="168">
        <v>564.32</v>
      </c>
      <c r="C316" s="24" t="s">
        <v>5197</v>
      </c>
      <c r="D316" s="76">
        <v>7312.0</v>
      </c>
      <c r="E316" s="208">
        <v>-25330.0</v>
      </c>
      <c r="F316" s="168">
        <v>283085.0</v>
      </c>
      <c r="G316" s="209">
        <v>-21888.0</v>
      </c>
      <c r="H316" s="168">
        <v>265182.0</v>
      </c>
      <c r="I316" s="208">
        <v>32999.0</v>
      </c>
    </row>
    <row r="317">
      <c r="A317" s="24">
        <v>109.0</v>
      </c>
      <c r="B317" s="168">
        <v>-4219.68</v>
      </c>
      <c r="C317" s="24" t="s">
        <v>5198</v>
      </c>
      <c r="D317" s="76">
        <v>7313.0</v>
      </c>
      <c r="E317" s="208">
        <v>-65658.0</v>
      </c>
      <c r="F317" s="168">
        <v>671689.0</v>
      </c>
      <c r="G317" s="209">
        <v>-706.0</v>
      </c>
      <c r="H317" s="168">
        <v>757112.0</v>
      </c>
      <c r="I317" s="208">
        <v>56167.0</v>
      </c>
    </row>
    <row r="318">
      <c r="A318" s="24">
        <v>144.0</v>
      </c>
      <c r="B318" s="168">
        <v>-15732.45</v>
      </c>
      <c r="C318" s="24" t="s">
        <v>5199</v>
      </c>
      <c r="D318" s="76">
        <v>7314.0</v>
      </c>
      <c r="E318" s="208">
        <v>-76704.0</v>
      </c>
      <c r="F318" s="168">
        <v>705294.0</v>
      </c>
      <c r="G318" s="209">
        <v>-55128.0</v>
      </c>
      <c r="H318" s="168">
        <v>244315.0</v>
      </c>
      <c r="I318" s="208">
        <v>-77456.0</v>
      </c>
    </row>
    <row r="319">
      <c r="A319" s="24">
        <v>133.0</v>
      </c>
      <c r="B319" s="168">
        <v>80909.35</v>
      </c>
      <c r="C319" s="24" t="s">
        <v>5200</v>
      </c>
      <c r="D319" s="76">
        <v>7315.0</v>
      </c>
      <c r="E319" s="208">
        <v>69463.0</v>
      </c>
      <c r="F319" s="168">
        <v>455641.0</v>
      </c>
      <c r="G319" s="209">
        <v>57034.0</v>
      </c>
      <c r="H319" s="168">
        <v>397295.0</v>
      </c>
      <c r="I319" s="208">
        <v>38804.0</v>
      </c>
    </row>
    <row r="320">
      <c r="A320" s="24">
        <v>134.0</v>
      </c>
      <c r="B320" s="168">
        <v>70634.03</v>
      </c>
      <c r="C320" s="24" t="s">
        <v>5201</v>
      </c>
      <c r="D320" s="76">
        <v>7316.0</v>
      </c>
      <c r="E320" s="208">
        <v>17295.0</v>
      </c>
      <c r="F320" s="168">
        <v>751605.0</v>
      </c>
      <c r="G320" s="209">
        <v>-47821.0</v>
      </c>
      <c r="H320" s="168">
        <v>945409.0</v>
      </c>
      <c r="I320" s="208">
        <v>73844.0</v>
      </c>
    </row>
    <row r="321">
      <c r="A321" s="24">
        <v>123.0</v>
      </c>
      <c r="B321" s="168">
        <v>-21280.04</v>
      </c>
      <c r="C321" s="24" t="s">
        <v>5202</v>
      </c>
      <c r="D321" s="76">
        <v>7317.0</v>
      </c>
      <c r="E321" s="208">
        <v>-29534.0</v>
      </c>
      <c r="F321" s="168">
        <v>600404.0</v>
      </c>
      <c r="G321" s="209">
        <v>-67259.0</v>
      </c>
      <c r="H321" s="168">
        <v>218334.0</v>
      </c>
      <c r="I321" s="208">
        <v>43385.0</v>
      </c>
    </row>
    <row r="322">
      <c r="A322" s="24">
        <v>106.0</v>
      </c>
      <c r="B322" s="168">
        <v>10340.97</v>
      </c>
      <c r="C322" s="24" t="s">
        <v>5203</v>
      </c>
      <c r="D322" s="76">
        <v>7318.0</v>
      </c>
      <c r="E322" s="208">
        <v>76087.0</v>
      </c>
      <c r="F322" s="168">
        <v>420651.0</v>
      </c>
      <c r="G322" s="209">
        <v>-5409.0</v>
      </c>
      <c r="H322" s="168">
        <v>656890.0</v>
      </c>
      <c r="I322" s="208">
        <v>76611.0</v>
      </c>
    </row>
    <row r="323">
      <c r="A323" s="24">
        <v>122.0</v>
      </c>
      <c r="B323" s="168">
        <v>-10716.82</v>
      </c>
      <c r="C323" s="24" t="s">
        <v>5204</v>
      </c>
      <c r="D323" s="76">
        <v>7319.0</v>
      </c>
      <c r="E323" s="208">
        <v>13794.0</v>
      </c>
      <c r="F323" s="168">
        <v>753240.0</v>
      </c>
      <c r="G323" s="209">
        <v>76254.0</v>
      </c>
      <c r="H323" s="168">
        <v>163882.0</v>
      </c>
      <c r="I323" s="208">
        <v>36876.0</v>
      </c>
    </row>
    <row r="324">
      <c r="A324" s="24">
        <v>143.0</v>
      </c>
      <c r="B324" s="168">
        <v>-75443.71</v>
      </c>
      <c r="C324" s="24" t="s">
        <v>5205</v>
      </c>
      <c r="D324" s="76">
        <v>7320.0</v>
      </c>
      <c r="E324" s="208">
        <v>82974.0</v>
      </c>
      <c r="F324" s="168">
        <v>780141.0</v>
      </c>
      <c r="G324" s="209">
        <v>48724.0</v>
      </c>
      <c r="H324" s="168">
        <v>288067.0</v>
      </c>
      <c r="I324" s="208">
        <v>83361.0</v>
      </c>
    </row>
    <row r="325">
      <c r="A325" s="24">
        <v>131.0</v>
      </c>
      <c r="B325" s="168">
        <v>-49138.95</v>
      </c>
      <c r="C325" s="24" t="s">
        <v>5206</v>
      </c>
      <c r="D325" s="76">
        <v>7321.0</v>
      </c>
      <c r="E325" s="208">
        <v>-38048.0</v>
      </c>
      <c r="F325" s="168">
        <v>484917.0</v>
      </c>
      <c r="G325" s="209">
        <v>-1470.0</v>
      </c>
      <c r="H325" s="168">
        <v>699476.0</v>
      </c>
      <c r="I325" s="208">
        <v>38374.0</v>
      </c>
    </row>
    <row r="326">
      <c r="A326" s="24">
        <v>147.0</v>
      </c>
      <c r="B326" s="168">
        <v>-38584.12</v>
      </c>
      <c r="C326" s="24" t="s">
        <v>5207</v>
      </c>
      <c r="D326" s="76">
        <v>7322.0</v>
      </c>
      <c r="E326" s="208">
        <v>-55725.0</v>
      </c>
      <c r="F326" s="168">
        <v>768449.0</v>
      </c>
      <c r="G326" s="209">
        <v>-68652.0</v>
      </c>
      <c r="H326" s="168">
        <v>748568.0</v>
      </c>
      <c r="I326" s="208">
        <v>50207.0</v>
      </c>
    </row>
    <row r="327">
      <c r="A327" s="24">
        <v>121.0</v>
      </c>
      <c r="B327" s="168">
        <v>94919.29</v>
      </c>
      <c r="C327" s="24" t="s">
        <v>5208</v>
      </c>
      <c r="D327" s="76">
        <v>7323.0</v>
      </c>
      <c r="E327" s="208">
        <v>17255.0</v>
      </c>
      <c r="F327" s="168">
        <v>173058.0</v>
      </c>
      <c r="G327" s="209">
        <v>29786.0</v>
      </c>
      <c r="H327" s="168">
        <v>379590.0</v>
      </c>
      <c r="I327" s="208">
        <v>-74378.0</v>
      </c>
    </row>
    <row r="328">
      <c r="A328" s="24">
        <v>113.0</v>
      </c>
      <c r="B328" s="168">
        <v>-61366.22</v>
      </c>
      <c r="C328" s="24" t="s">
        <v>5209</v>
      </c>
      <c r="D328" s="76">
        <v>7324.0</v>
      </c>
      <c r="E328" s="208">
        <v>-37972.0</v>
      </c>
      <c r="F328" s="168">
        <v>170559.0</v>
      </c>
      <c r="G328" s="209">
        <v>27252.0</v>
      </c>
      <c r="H328" s="168">
        <v>656804.0</v>
      </c>
      <c r="I328" s="208">
        <v>43800.0</v>
      </c>
    </row>
    <row r="329">
      <c r="A329" s="24">
        <v>130.0</v>
      </c>
      <c r="B329" s="168">
        <v>52817.94</v>
      </c>
      <c r="C329" s="24" t="s">
        <v>5210</v>
      </c>
      <c r="D329" s="76">
        <v>7325.0</v>
      </c>
      <c r="E329" s="208">
        <v>65080.0</v>
      </c>
      <c r="F329" s="168">
        <v>153100.0</v>
      </c>
      <c r="G329" s="209">
        <v>68112.0</v>
      </c>
      <c r="H329" s="168">
        <v>654985.0</v>
      </c>
      <c r="I329" s="208">
        <v>45548.0</v>
      </c>
    </row>
    <row r="330">
      <c r="A330" s="24">
        <v>112.0</v>
      </c>
      <c r="B330" s="168">
        <v>-47479.19</v>
      </c>
      <c r="C330" s="24" t="s">
        <v>5211</v>
      </c>
      <c r="D330" s="76">
        <v>7326.0</v>
      </c>
      <c r="E330" s="208">
        <v>64448.0</v>
      </c>
      <c r="F330" s="168">
        <v>630108.0</v>
      </c>
      <c r="G330" s="209">
        <v>57758.0</v>
      </c>
      <c r="H330" s="168">
        <v>964076.0</v>
      </c>
      <c r="I330" s="208">
        <v>-9816.0</v>
      </c>
    </row>
    <row r="331">
      <c r="A331" s="24">
        <v>110.0</v>
      </c>
      <c r="B331" s="168">
        <v>-8217.84</v>
      </c>
      <c r="C331" s="24" t="s">
        <v>5212</v>
      </c>
      <c r="D331" s="76">
        <v>7327.0</v>
      </c>
      <c r="E331" s="208">
        <v>-50260.0</v>
      </c>
      <c r="F331" s="168">
        <v>594876.0</v>
      </c>
      <c r="G331" s="209">
        <v>41391.0</v>
      </c>
      <c r="H331" s="168">
        <v>769820.0</v>
      </c>
      <c r="I331" s="208">
        <v>-41412.0</v>
      </c>
    </row>
    <row r="332">
      <c r="A332" s="24">
        <v>138.0</v>
      </c>
      <c r="B332" s="168">
        <v>-63794.33</v>
      </c>
      <c r="C332" s="24" t="s">
        <v>5213</v>
      </c>
      <c r="D332" s="76">
        <v>7328.0</v>
      </c>
      <c r="E332" s="208">
        <v>-87836.0</v>
      </c>
      <c r="F332" s="168">
        <v>847149.0</v>
      </c>
      <c r="G332" s="209">
        <v>-73670.0</v>
      </c>
      <c r="H332" s="168">
        <v>571038.0</v>
      </c>
      <c r="I332" s="208">
        <v>-21204.0</v>
      </c>
    </row>
    <row r="333">
      <c r="A333" s="24">
        <v>120.0</v>
      </c>
      <c r="B333" s="168">
        <v>76406.18</v>
      </c>
      <c r="C333" s="24" t="s">
        <v>5214</v>
      </c>
      <c r="D333" s="76">
        <v>7329.0</v>
      </c>
      <c r="E333" s="208">
        <v>-25957.0</v>
      </c>
      <c r="F333" s="168">
        <v>510892.0</v>
      </c>
      <c r="G333" s="209">
        <v>53002.0</v>
      </c>
      <c r="H333" s="168">
        <v>202117.0</v>
      </c>
      <c r="I333" s="208">
        <v>-50306.0</v>
      </c>
    </row>
    <row r="334">
      <c r="A334" s="24">
        <v>115.0</v>
      </c>
      <c r="B334" s="168">
        <v>47297.5</v>
      </c>
      <c r="C334" s="24" t="s">
        <v>5215</v>
      </c>
      <c r="D334" s="76">
        <v>7330.0</v>
      </c>
      <c r="E334" s="208">
        <v>84817.0</v>
      </c>
      <c r="F334" s="168">
        <v>695828.0</v>
      </c>
      <c r="G334" s="209">
        <v>43836.0</v>
      </c>
      <c r="H334" s="168">
        <v>744837.0</v>
      </c>
      <c r="I334" s="208">
        <v>36784.0</v>
      </c>
    </row>
    <row r="335">
      <c r="A335" s="24">
        <v>141.0</v>
      </c>
      <c r="B335" s="168">
        <v>18153.0</v>
      </c>
      <c r="C335" s="24" t="s">
        <v>5216</v>
      </c>
      <c r="D335" s="76">
        <v>7331.0</v>
      </c>
      <c r="E335" s="208">
        <v>-83293.0</v>
      </c>
      <c r="F335" s="168">
        <v>697453.0</v>
      </c>
      <c r="G335" s="209">
        <v>5740.0</v>
      </c>
      <c r="H335" s="168">
        <v>560119.0</v>
      </c>
      <c r="I335" s="208">
        <v>-18149.0</v>
      </c>
    </row>
    <row r="336">
      <c r="A336" s="24">
        <v>137.0</v>
      </c>
      <c r="B336" s="168">
        <v>-34224.88</v>
      </c>
      <c r="C336" s="24" t="s">
        <v>5214</v>
      </c>
      <c r="D336" s="76">
        <v>7332.0</v>
      </c>
      <c r="E336" s="208">
        <v>-93613.0</v>
      </c>
      <c r="F336" s="168">
        <v>121650.0</v>
      </c>
      <c r="G336" s="209">
        <v>-12454.0</v>
      </c>
      <c r="H336" s="168">
        <v>785485.0</v>
      </c>
      <c r="I336" s="208">
        <v>76097.0</v>
      </c>
    </row>
    <row r="337">
      <c r="A337" s="24">
        <v>108.0</v>
      </c>
      <c r="B337" s="168">
        <v>90051.85</v>
      </c>
      <c r="C337" s="24" t="s">
        <v>5217</v>
      </c>
      <c r="D337" s="76">
        <v>7333.0</v>
      </c>
      <c r="E337" s="208">
        <v>19671.0</v>
      </c>
      <c r="F337" s="168">
        <v>609657.0</v>
      </c>
      <c r="G337" s="209">
        <v>93334.0</v>
      </c>
      <c r="H337" s="168">
        <v>189602.0</v>
      </c>
      <c r="I337" s="208">
        <v>-25225.0</v>
      </c>
    </row>
    <row r="338">
      <c r="A338" s="24">
        <v>116.0</v>
      </c>
      <c r="B338" s="168">
        <v>-1654.47</v>
      </c>
      <c r="C338" s="24" t="s">
        <v>5218</v>
      </c>
      <c r="D338" s="76">
        <v>7334.0</v>
      </c>
      <c r="E338" s="208">
        <v>7342.0</v>
      </c>
      <c r="F338" s="168">
        <v>159844.0</v>
      </c>
      <c r="G338" s="209">
        <v>-51229.0</v>
      </c>
      <c r="H338" s="168">
        <v>622104.0</v>
      </c>
      <c r="I338" s="208">
        <v>98517.0</v>
      </c>
    </row>
    <row r="339">
      <c r="A339" s="24">
        <v>126.0</v>
      </c>
      <c r="B339" s="168">
        <v>41160.11</v>
      </c>
      <c r="C339" s="24" t="s">
        <v>5219</v>
      </c>
      <c r="D339" s="76">
        <v>7335.0</v>
      </c>
      <c r="E339" s="208">
        <v>316.0</v>
      </c>
      <c r="F339" s="168">
        <v>629229.0</v>
      </c>
      <c r="G339" s="209">
        <v>-92491.0</v>
      </c>
      <c r="H339" s="168">
        <v>448909.0</v>
      </c>
      <c r="I339" s="208">
        <v>60164.0</v>
      </c>
    </row>
    <row r="340">
      <c r="A340" s="24">
        <v>139.0</v>
      </c>
      <c r="B340" s="168">
        <v>-5787.74</v>
      </c>
      <c r="C340" s="24" t="s">
        <v>5220</v>
      </c>
      <c r="D340" s="76">
        <v>7336.0</v>
      </c>
      <c r="E340" s="208">
        <v>90481.0</v>
      </c>
      <c r="F340" s="168">
        <v>844609.0</v>
      </c>
      <c r="G340" s="209">
        <v>66221.0</v>
      </c>
      <c r="H340" s="168">
        <v>735497.0</v>
      </c>
      <c r="I340" s="208">
        <v>-47694.0</v>
      </c>
    </row>
    <row r="341">
      <c r="A341" s="24">
        <v>128.0</v>
      </c>
      <c r="B341" s="168">
        <v>-85125.65</v>
      </c>
      <c r="C341" s="24" t="s">
        <v>5221</v>
      </c>
      <c r="D341" s="76">
        <v>7337.0</v>
      </c>
      <c r="E341" s="208">
        <v>8320.0</v>
      </c>
      <c r="F341" s="168">
        <v>948598.0</v>
      </c>
      <c r="G341" s="209">
        <v>-86045.0</v>
      </c>
      <c r="H341" s="168">
        <v>475626.0</v>
      </c>
      <c r="I341" s="208">
        <v>47049.0</v>
      </c>
    </row>
    <row r="342">
      <c r="A342" s="24">
        <v>140.0</v>
      </c>
      <c r="B342" s="168">
        <v>-46309.51</v>
      </c>
      <c r="C342" s="24" t="s">
        <v>5222</v>
      </c>
      <c r="D342" s="76">
        <v>7338.0</v>
      </c>
      <c r="E342" s="208">
        <v>-91082.0</v>
      </c>
      <c r="F342" s="168">
        <v>414436.0</v>
      </c>
      <c r="G342" s="209">
        <v>19758.0</v>
      </c>
      <c r="H342" s="168">
        <v>713139.0</v>
      </c>
      <c r="I342" s="208">
        <v>-20176.0</v>
      </c>
    </row>
    <row r="343">
      <c r="A343" s="24">
        <v>119.0</v>
      </c>
      <c r="B343" s="168">
        <v>17484.12</v>
      </c>
      <c r="C343" s="24" t="s">
        <v>5223</v>
      </c>
      <c r="D343" s="76">
        <v>7339.0</v>
      </c>
      <c r="E343" s="208">
        <v>56536.0</v>
      </c>
      <c r="F343" s="168">
        <v>499686.0</v>
      </c>
      <c r="G343" s="209">
        <v>-3703.0</v>
      </c>
      <c r="H343" s="168">
        <v>495471.0</v>
      </c>
      <c r="I343" s="208">
        <v>62587.0</v>
      </c>
    </row>
    <row r="344">
      <c r="A344" s="24">
        <v>135.0</v>
      </c>
      <c r="B344" s="168">
        <v>-61829.18</v>
      </c>
      <c r="C344" s="24" t="s">
        <v>5224</v>
      </c>
      <c r="D344" s="76">
        <v>7340.0</v>
      </c>
      <c r="E344" s="208">
        <v>47556.0</v>
      </c>
      <c r="F344" s="168">
        <v>657994.0</v>
      </c>
      <c r="G344" s="209">
        <v>26454.0</v>
      </c>
      <c r="H344" s="168">
        <v>354123.0</v>
      </c>
      <c r="I344" s="208">
        <v>-34719.0</v>
      </c>
    </row>
    <row r="345">
      <c r="A345" s="24">
        <v>124.0</v>
      </c>
      <c r="B345" s="168">
        <v>29611.62</v>
      </c>
      <c r="C345" s="24" t="s">
        <v>5225</v>
      </c>
      <c r="D345" s="76">
        <v>7341.0</v>
      </c>
      <c r="E345" s="208">
        <v>35485.0</v>
      </c>
      <c r="F345" s="168">
        <v>224049.0</v>
      </c>
      <c r="G345" s="209">
        <v>44914.0</v>
      </c>
      <c r="H345" s="168">
        <v>852333.0</v>
      </c>
      <c r="I345" s="208">
        <v>57519.0</v>
      </c>
    </row>
    <row r="346">
      <c r="A346" s="24">
        <v>149.0</v>
      </c>
      <c r="B346" s="168">
        <v>83630.71</v>
      </c>
      <c r="C346" s="24" t="s">
        <v>5226</v>
      </c>
      <c r="D346" s="76">
        <v>7342.0</v>
      </c>
      <c r="E346" s="208">
        <v>-79352.0</v>
      </c>
      <c r="F346" s="168">
        <v>608548.0</v>
      </c>
      <c r="G346" s="209">
        <v>-1263.0</v>
      </c>
      <c r="H346" s="168">
        <v>466417.0</v>
      </c>
      <c r="I346" s="208">
        <v>-78674.0</v>
      </c>
    </row>
    <row r="347">
      <c r="A347" s="24">
        <v>114.0</v>
      </c>
      <c r="B347" s="168">
        <v>38256.84</v>
      </c>
      <c r="C347" s="24" t="s">
        <v>5227</v>
      </c>
      <c r="D347" s="76">
        <v>7343.0</v>
      </c>
      <c r="E347" s="208">
        <v>44071.0</v>
      </c>
      <c r="F347" s="168">
        <v>861629.0</v>
      </c>
      <c r="G347" s="209">
        <v>-53913.0</v>
      </c>
      <c r="H347" s="168">
        <v>199616.0</v>
      </c>
      <c r="I347" s="208">
        <v>-28964.0</v>
      </c>
    </row>
    <row r="348">
      <c r="A348" s="24">
        <v>101.0</v>
      </c>
      <c r="B348" s="168">
        <v>-86613.38</v>
      </c>
      <c r="C348" s="24" t="s">
        <v>5228</v>
      </c>
      <c r="D348" s="76">
        <v>7344.0</v>
      </c>
      <c r="E348" s="208">
        <v>60473.0</v>
      </c>
      <c r="F348" s="168">
        <v>586227.0</v>
      </c>
      <c r="G348" s="209">
        <v>-22103.0</v>
      </c>
      <c r="H348" s="168">
        <v>472210.0</v>
      </c>
      <c r="I348" s="208">
        <v>24112.0</v>
      </c>
    </row>
    <row r="349">
      <c r="A349" s="24">
        <v>105.0</v>
      </c>
      <c r="B349" s="168">
        <v>78085.0</v>
      </c>
      <c r="C349" s="24" t="s">
        <v>5229</v>
      </c>
      <c r="D349" s="76">
        <v>7345.0</v>
      </c>
      <c r="E349" s="208">
        <v>-5202.0</v>
      </c>
      <c r="F349" s="168">
        <v>503475.0</v>
      </c>
      <c r="G349" s="209">
        <v>-36156.0</v>
      </c>
      <c r="H349" s="168">
        <v>245890.0</v>
      </c>
      <c r="I349" s="208">
        <v>46596.0</v>
      </c>
    </row>
    <row r="350">
      <c r="A350" s="24">
        <v>117.0</v>
      </c>
      <c r="B350" s="168">
        <v>-45544.26</v>
      </c>
      <c r="C350" s="24" t="s">
        <v>5230</v>
      </c>
      <c r="D350" s="76">
        <v>7346.0</v>
      </c>
      <c r="E350" s="208">
        <v>-37864.0</v>
      </c>
      <c r="F350" s="168">
        <v>490499.0</v>
      </c>
      <c r="G350" s="209">
        <v>588.0</v>
      </c>
      <c r="H350" s="168">
        <v>759457.0</v>
      </c>
      <c r="I350" s="208">
        <v>99787.0</v>
      </c>
    </row>
    <row r="351">
      <c r="A351" s="24">
        <v>107.0</v>
      </c>
      <c r="B351" s="168">
        <v>-47419.51</v>
      </c>
      <c r="C351" s="24" t="s">
        <v>5231</v>
      </c>
      <c r="D351" s="76">
        <v>7347.0</v>
      </c>
      <c r="E351" s="208">
        <v>-28451.0</v>
      </c>
      <c r="F351" s="168">
        <v>442898.0</v>
      </c>
      <c r="G351" s="209">
        <v>-25029.0</v>
      </c>
      <c r="H351" s="168">
        <v>629186.0</v>
      </c>
      <c r="I351" s="208">
        <v>52167.0</v>
      </c>
    </row>
    <row r="352">
      <c r="A352" s="24">
        <v>102.0</v>
      </c>
      <c r="B352" s="168">
        <v>-5966.21</v>
      </c>
      <c r="C352" s="24" t="s">
        <v>5232</v>
      </c>
      <c r="D352" s="76">
        <v>7348.0</v>
      </c>
      <c r="E352" s="208">
        <v>-41776.0</v>
      </c>
      <c r="F352" s="168">
        <v>190220.0</v>
      </c>
      <c r="G352" s="209">
        <v>-37732.0</v>
      </c>
      <c r="H352" s="168">
        <v>581536.0</v>
      </c>
      <c r="I352" s="208">
        <v>46633.0</v>
      </c>
    </row>
    <row r="353">
      <c r="A353" s="24">
        <v>132.0</v>
      </c>
      <c r="B353" s="168">
        <v>20411.12</v>
      </c>
      <c r="C353" s="24" t="s">
        <v>5233</v>
      </c>
      <c r="D353" s="76">
        <v>7349.0</v>
      </c>
      <c r="E353" s="208">
        <v>-47430.0</v>
      </c>
      <c r="F353" s="168">
        <v>418172.0</v>
      </c>
      <c r="G353" s="209">
        <v>94601.0</v>
      </c>
      <c r="H353" s="168">
        <v>113621.0</v>
      </c>
      <c r="I353" s="208">
        <v>-29927.0</v>
      </c>
    </row>
    <row r="354">
      <c r="A354" s="24">
        <v>145.0</v>
      </c>
      <c r="B354" s="168">
        <v>66808.03</v>
      </c>
      <c r="C354" s="24" t="s">
        <v>5185</v>
      </c>
      <c r="D354" s="76">
        <v>7350.0</v>
      </c>
      <c r="E354" s="208">
        <v>89373.0</v>
      </c>
      <c r="F354" s="168">
        <v>371161.0</v>
      </c>
      <c r="G354" s="209">
        <v>6064.0</v>
      </c>
      <c r="H354" s="168">
        <v>276026.0</v>
      </c>
      <c r="I354" s="208">
        <v>-58371.0</v>
      </c>
    </row>
    <row r="355">
      <c r="A355" s="24">
        <v>148.0</v>
      </c>
      <c r="B355" s="168">
        <v>-17337.38</v>
      </c>
      <c r="C355" s="24" t="s">
        <v>5186</v>
      </c>
      <c r="D355" s="76">
        <v>7351.0</v>
      </c>
      <c r="E355" s="208">
        <v>8437.0</v>
      </c>
      <c r="F355" s="168">
        <v>649589.0</v>
      </c>
      <c r="G355" s="209">
        <v>-94837.0</v>
      </c>
      <c r="H355" s="168">
        <v>442528.0</v>
      </c>
      <c r="I355" s="208">
        <v>81962.0</v>
      </c>
    </row>
    <row r="356">
      <c r="A356" s="24">
        <v>136.0</v>
      </c>
      <c r="B356" s="168">
        <v>95456.44</v>
      </c>
      <c r="C356" s="24" t="s">
        <v>5187</v>
      </c>
      <c r="D356" s="76">
        <v>7352.0</v>
      </c>
      <c r="E356" s="208">
        <v>-96746.0</v>
      </c>
      <c r="F356" s="168">
        <v>224254.0</v>
      </c>
      <c r="G356" s="209">
        <v>68721.0</v>
      </c>
      <c r="H356" s="168">
        <v>469453.0</v>
      </c>
      <c r="I356" s="208">
        <v>-52300.0</v>
      </c>
    </row>
    <row r="357">
      <c r="A357" s="24">
        <v>104.0</v>
      </c>
      <c r="B357" s="168">
        <v>22770.09</v>
      </c>
      <c r="C357" s="24" t="s">
        <v>5188</v>
      </c>
      <c r="D357" s="76">
        <v>7353.0</v>
      </c>
      <c r="E357" s="208">
        <v>-9269.0</v>
      </c>
      <c r="F357" s="168">
        <v>680646.0</v>
      </c>
      <c r="G357" s="209">
        <v>16954.0</v>
      </c>
      <c r="H357" s="168">
        <v>174101.0</v>
      </c>
      <c r="I357" s="208">
        <v>24010.0</v>
      </c>
    </row>
    <row r="358">
      <c r="A358" s="24">
        <v>129.0</v>
      </c>
      <c r="B358" s="168">
        <v>14159.42</v>
      </c>
      <c r="C358" s="24" t="s">
        <v>5189</v>
      </c>
      <c r="D358" s="76">
        <v>7354.0</v>
      </c>
      <c r="E358" s="208">
        <v>-61687.0</v>
      </c>
      <c r="F358" s="168">
        <v>134472.0</v>
      </c>
      <c r="G358" s="209">
        <v>-37445.0</v>
      </c>
      <c r="H358" s="168">
        <v>126313.0</v>
      </c>
      <c r="I358" s="208">
        <v>31357.0</v>
      </c>
    </row>
    <row r="359">
      <c r="A359" s="24">
        <v>118.0</v>
      </c>
      <c r="B359" s="168">
        <v>-10689.06</v>
      </c>
      <c r="C359" s="24" t="s">
        <v>5190</v>
      </c>
      <c r="D359" s="76">
        <v>7355.0</v>
      </c>
      <c r="E359" s="208">
        <v>-86068.0</v>
      </c>
      <c r="F359" s="168">
        <v>235840.0</v>
      </c>
      <c r="G359" s="209">
        <v>3871.0</v>
      </c>
      <c r="H359" s="168">
        <v>987548.0</v>
      </c>
      <c r="I359" s="208">
        <v>63469.0</v>
      </c>
    </row>
    <row r="360">
      <c r="A360" s="24">
        <v>127.0</v>
      </c>
      <c r="B360" s="168">
        <v>-55317.49</v>
      </c>
      <c r="C360" s="24" t="s">
        <v>5191</v>
      </c>
      <c r="D360" s="76">
        <v>7356.0</v>
      </c>
      <c r="E360" s="208">
        <v>-77233.0</v>
      </c>
      <c r="F360" s="168">
        <v>602369.0</v>
      </c>
      <c r="G360" s="209">
        <v>-77301.0</v>
      </c>
      <c r="H360" s="168">
        <v>379423.0</v>
      </c>
      <c r="I360" s="208">
        <v>-82994.0</v>
      </c>
    </row>
    <row r="361">
      <c r="A361" s="24">
        <v>125.0</v>
      </c>
      <c r="B361" s="168">
        <v>72424.51</v>
      </c>
      <c r="C361" s="24" t="s">
        <v>5192</v>
      </c>
      <c r="D361" s="76">
        <v>7357.0</v>
      </c>
      <c r="E361" s="208">
        <v>-17342.0</v>
      </c>
      <c r="F361" s="168">
        <v>580735.0</v>
      </c>
      <c r="G361" s="209">
        <v>64052.0</v>
      </c>
      <c r="H361" s="168">
        <v>865999.0</v>
      </c>
      <c r="I361" s="208">
        <v>-80312.0</v>
      </c>
    </row>
    <row r="362">
      <c r="A362" s="24">
        <v>146.0</v>
      </c>
      <c r="B362" s="168">
        <v>81176.1</v>
      </c>
      <c r="C362" s="24" t="s">
        <v>5193</v>
      </c>
      <c r="D362" s="76">
        <v>7358.0</v>
      </c>
      <c r="E362" s="208">
        <v>-80823.0</v>
      </c>
      <c r="F362" s="168">
        <v>563315.0</v>
      </c>
      <c r="G362" s="209">
        <v>90023.0</v>
      </c>
      <c r="H362" s="168">
        <v>935643.0</v>
      </c>
      <c r="I362" s="208">
        <v>-15560.0</v>
      </c>
    </row>
    <row r="363">
      <c r="A363" s="24">
        <v>111.0</v>
      </c>
      <c r="B363" s="168">
        <v>-82706.81</v>
      </c>
      <c r="C363" s="24" t="s">
        <v>5194</v>
      </c>
      <c r="D363" s="76">
        <v>7359.0</v>
      </c>
      <c r="E363" s="208">
        <v>-32257.0</v>
      </c>
      <c r="F363" s="168">
        <v>126137.0</v>
      </c>
      <c r="G363" s="209">
        <v>-62526.0</v>
      </c>
      <c r="H363" s="168">
        <v>662278.0</v>
      </c>
      <c r="I363" s="208">
        <v>62899.0</v>
      </c>
    </row>
    <row r="364">
      <c r="A364" s="24">
        <v>103.0</v>
      </c>
      <c r="B364" s="168">
        <v>-42347.86</v>
      </c>
      <c r="C364" s="24" t="s">
        <v>5195</v>
      </c>
      <c r="D364" s="76">
        <v>7360.0</v>
      </c>
      <c r="E364" s="208">
        <v>53943.0</v>
      </c>
      <c r="F364" s="168">
        <v>728487.0</v>
      </c>
      <c r="G364" s="209">
        <v>85457.0</v>
      </c>
      <c r="H364" s="168">
        <v>688543.0</v>
      </c>
      <c r="I364" s="208">
        <v>-60735.0</v>
      </c>
    </row>
    <row r="365">
      <c r="A365" s="24">
        <v>142.0</v>
      </c>
      <c r="B365" s="168">
        <v>52084.9</v>
      </c>
      <c r="C365" s="24" t="s">
        <v>5196</v>
      </c>
      <c r="D365" s="76">
        <v>7361.0</v>
      </c>
      <c r="E365" s="208">
        <v>77528.0</v>
      </c>
      <c r="F365" s="168">
        <v>505011.0</v>
      </c>
      <c r="G365" s="209">
        <v>85342.0</v>
      </c>
      <c r="H365" s="168">
        <v>604856.0</v>
      </c>
      <c r="I365" s="208">
        <v>77146.0</v>
      </c>
    </row>
    <row r="366">
      <c r="A366" s="24">
        <v>100.0</v>
      </c>
      <c r="B366" s="168">
        <v>11926.75</v>
      </c>
      <c r="C366" s="24" t="s">
        <v>5197</v>
      </c>
      <c r="D366" s="76">
        <v>7362.0</v>
      </c>
      <c r="E366" s="208">
        <v>92757.0</v>
      </c>
      <c r="F366" s="168">
        <v>801922.0</v>
      </c>
      <c r="G366" s="209">
        <v>-56195.0</v>
      </c>
      <c r="H366" s="168">
        <v>646273.0</v>
      </c>
      <c r="I366" s="208">
        <v>-94918.0</v>
      </c>
    </row>
    <row r="367">
      <c r="A367" s="24">
        <v>109.0</v>
      </c>
      <c r="B367" s="168">
        <v>-10452.03</v>
      </c>
      <c r="C367" s="24" t="s">
        <v>5198</v>
      </c>
      <c r="D367" s="76">
        <v>7363.0</v>
      </c>
      <c r="E367" s="208">
        <v>-85072.0</v>
      </c>
      <c r="F367" s="168">
        <v>407577.0</v>
      </c>
      <c r="G367" s="209">
        <v>-30569.0</v>
      </c>
      <c r="H367" s="168">
        <v>229952.0</v>
      </c>
      <c r="I367" s="208">
        <v>-94808.0</v>
      </c>
    </row>
    <row r="368">
      <c r="A368" s="24">
        <v>144.0</v>
      </c>
      <c r="B368" s="168">
        <v>94141.52</v>
      </c>
      <c r="C368" s="24" t="s">
        <v>5199</v>
      </c>
      <c r="D368" s="76">
        <v>7364.0</v>
      </c>
      <c r="E368" s="208">
        <v>-98164.0</v>
      </c>
      <c r="F368" s="168">
        <v>426979.0</v>
      </c>
      <c r="G368" s="209">
        <v>-21643.0</v>
      </c>
      <c r="H368" s="168">
        <v>596353.0</v>
      </c>
      <c r="I368" s="208">
        <v>-31033.0</v>
      </c>
    </row>
    <row r="369">
      <c r="A369" s="24">
        <v>133.0</v>
      </c>
      <c r="B369" s="168">
        <v>50958.22</v>
      </c>
      <c r="C369" s="24" t="s">
        <v>5200</v>
      </c>
      <c r="D369" s="76">
        <v>7365.0</v>
      </c>
      <c r="E369" s="208">
        <v>74955.0</v>
      </c>
      <c r="F369" s="168">
        <v>444163.0</v>
      </c>
      <c r="G369" s="209">
        <v>41964.0</v>
      </c>
      <c r="H369" s="168">
        <v>976433.0</v>
      </c>
      <c r="I369" s="208">
        <v>-7001.0</v>
      </c>
    </row>
    <row r="370">
      <c r="A370" s="24">
        <v>134.0</v>
      </c>
      <c r="B370" s="168">
        <v>37786.87</v>
      </c>
      <c r="C370" s="24" t="s">
        <v>5201</v>
      </c>
      <c r="D370" s="76">
        <v>7366.0</v>
      </c>
      <c r="E370" s="208">
        <v>-2924.0</v>
      </c>
      <c r="F370" s="168">
        <v>105242.0</v>
      </c>
      <c r="G370" s="209">
        <v>99683.0</v>
      </c>
      <c r="H370" s="168">
        <v>678658.0</v>
      </c>
      <c r="I370" s="208">
        <v>-16205.0</v>
      </c>
    </row>
    <row r="371">
      <c r="A371" s="24">
        <v>123.0</v>
      </c>
      <c r="B371" s="168">
        <v>892.43</v>
      </c>
      <c r="C371" s="24" t="s">
        <v>5202</v>
      </c>
      <c r="D371" s="76">
        <v>7367.0</v>
      </c>
      <c r="E371" s="208">
        <v>-86875.0</v>
      </c>
      <c r="F371" s="168">
        <v>379440.0</v>
      </c>
      <c r="G371" s="209">
        <v>-81757.0</v>
      </c>
      <c r="H371" s="168">
        <v>828795.0</v>
      </c>
      <c r="I371" s="208">
        <v>-84571.0</v>
      </c>
    </row>
    <row r="372">
      <c r="A372" s="24">
        <v>106.0</v>
      </c>
      <c r="B372" s="168">
        <v>55153.08</v>
      </c>
      <c r="C372" s="24" t="s">
        <v>5203</v>
      </c>
      <c r="D372" s="76">
        <v>7368.0</v>
      </c>
      <c r="E372" s="208">
        <v>-39967.0</v>
      </c>
      <c r="F372" s="168">
        <v>221329.0</v>
      </c>
      <c r="G372" s="209">
        <v>39133.0</v>
      </c>
      <c r="H372" s="168">
        <v>946987.0</v>
      </c>
      <c r="I372" s="208">
        <v>-80798.0</v>
      </c>
    </row>
    <row r="373">
      <c r="A373" s="24">
        <v>122.0</v>
      </c>
      <c r="B373" s="168">
        <v>58575.98</v>
      </c>
      <c r="C373" s="24" t="s">
        <v>5204</v>
      </c>
      <c r="D373" s="76">
        <v>7369.0</v>
      </c>
      <c r="E373" s="208">
        <v>87029.0</v>
      </c>
      <c r="F373" s="168">
        <v>570905.0</v>
      </c>
      <c r="G373" s="209">
        <v>-84982.0</v>
      </c>
      <c r="H373" s="168">
        <v>122016.0</v>
      </c>
      <c r="I373" s="208">
        <v>93295.0</v>
      </c>
    </row>
    <row r="374">
      <c r="A374" s="24">
        <v>143.0</v>
      </c>
      <c r="B374" s="168">
        <v>-71517.51</v>
      </c>
      <c r="C374" s="24" t="s">
        <v>5205</v>
      </c>
      <c r="D374" s="76">
        <v>7370.0</v>
      </c>
      <c r="E374" s="208">
        <v>-44139.0</v>
      </c>
      <c r="F374" s="168">
        <v>608143.0</v>
      </c>
      <c r="G374" s="209">
        <v>74602.0</v>
      </c>
      <c r="H374" s="168">
        <v>698612.0</v>
      </c>
      <c r="I374" s="208">
        <v>-67241.0</v>
      </c>
    </row>
    <row r="375">
      <c r="A375" s="24">
        <v>131.0</v>
      </c>
      <c r="B375" s="168">
        <v>90943.59</v>
      </c>
      <c r="C375" s="24" t="s">
        <v>5206</v>
      </c>
      <c r="D375" s="76">
        <v>7371.0</v>
      </c>
      <c r="E375" s="208">
        <v>76798.0</v>
      </c>
      <c r="F375" s="168">
        <v>649398.0</v>
      </c>
      <c r="G375" s="209">
        <v>3920.0</v>
      </c>
      <c r="H375" s="168">
        <v>530316.0</v>
      </c>
      <c r="I375" s="208">
        <v>85120.0</v>
      </c>
    </row>
    <row r="376">
      <c r="A376" s="24">
        <v>147.0</v>
      </c>
      <c r="B376" s="168">
        <v>-82275.07</v>
      </c>
      <c r="C376" s="24" t="s">
        <v>5207</v>
      </c>
      <c r="D376" s="76">
        <v>7372.0</v>
      </c>
      <c r="E376" s="208">
        <v>36743.0</v>
      </c>
      <c r="F376" s="168">
        <v>288253.0</v>
      </c>
      <c r="G376" s="209">
        <v>-32854.0</v>
      </c>
      <c r="H376" s="168">
        <v>842111.0</v>
      </c>
      <c r="I376" s="208">
        <v>46802.0</v>
      </c>
    </row>
    <row r="377">
      <c r="A377" s="24">
        <v>121.0</v>
      </c>
      <c r="B377" s="168">
        <v>-54872.78</v>
      </c>
      <c r="C377" s="24" t="s">
        <v>5208</v>
      </c>
      <c r="D377" s="76">
        <v>7373.0</v>
      </c>
      <c r="E377" s="208">
        <v>23571.0</v>
      </c>
      <c r="F377" s="168">
        <v>358946.0</v>
      </c>
      <c r="G377" s="209">
        <v>75796.0</v>
      </c>
      <c r="H377" s="168">
        <v>883154.0</v>
      </c>
      <c r="I377" s="208">
        <v>-68240.0</v>
      </c>
    </row>
    <row r="378">
      <c r="A378" s="24">
        <v>113.0</v>
      </c>
      <c r="B378" s="168">
        <v>-1016.95</v>
      </c>
      <c r="C378" s="24" t="s">
        <v>5209</v>
      </c>
      <c r="D378" s="76">
        <v>7374.0</v>
      </c>
      <c r="E378" s="208">
        <v>34782.0</v>
      </c>
      <c r="F378" s="168">
        <v>294225.0</v>
      </c>
      <c r="G378" s="209">
        <v>89187.0</v>
      </c>
      <c r="H378" s="168">
        <v>834872.0</v>
      </c>
      <c r="I378" s="208">
        <v>-98425.0</v>
      </c>
    </row>
    <row r="379">
      <c r="A379" s="24">
        <v>130.0</v>
      </c>
      <c r="B379" s="168">
        <v>-25567.51</v>
      </c>
      <c r="C379" s="24" t="s">
        <v>5210</v>
      </c>
      <c r="D379" s="76">
        <v>7375.0</v>
      </c>
      <c r="E379" s="208">
        <v>-50941.0</v>
      </c>
      <c r="F379" s="168">
        <v>348080.0</v>
      </c>
      <c r="G379" s="209">
        <v>-824.0</v>
      </c>
      <c r="H379" s="168">
        <v>657556.0</v>
      </c>
      <c r="I379" s="208">
        <v>-94562.0</v>
      </c>
    </row>
    <row r="380">
      <c r="A380" s="24">
        <v>112.0</v>
      </c>
      <c r="B380" s="168">
        <v>-13950.44</v>
      </c>
      <c r="C380" s="24" t="s">
        <v>5211</v>
      </c>
      <c r="D380" s="76">
        <v>7376.0</v>
      </c>
      <c r="E380" s="208">
        <v>-32528.0</v>
      </c>
      <c r="F380" s="168">
        <v>707591.0</v>
      </c>
      <c r="G380" s="209">
        <v>69665.0</v>
      </c>
      <c r="H380" s="168">
        <v>532394.0</v>
      </c>
      <c r="I380" s="208">
        <v>-49921.0</v>
      </c>
    </row>
    <row r="381">
      <c r="A381" s="24">
        <v>110.0</v>
      </c>
      <c r="B381" s="168">
        <v>13703.77</v>
      </c>
      <c r="C381" s="24" t="s">
        <v>5212</v>
      </c>
      <c r="D381" s="76">
        <v>7377.0</v>
      </c>
      <c r="E381" s="208">
        <v>-61709.0</v>
      </c>
      <c r="F381" s="168">
        <v>386225.0</v>
      </c>
      <c r="G381" s="209">
        <v>-92118.0</v>
      </c>
      <c r="H381" s="168">
        <v>204351.0</v>
      </c>
      <c r="I381" s="208">
        <v>-6443.0</v>
      </c>
    </row>
    <row r="382">
      <c r="A382" s="24">
        <v>138.0</v>
      </c>
      <c r="B382" s="168">
        <v>-35444.58</v>
      </c>
      <c r="C382" s="24" t="s">
        <v>5213</v>
      </c>
      <c r="D382" s="76">
        <v>7378.0</v>
      </c>
      <c r="E382" s="208">
        <v>-60167.0</v>
      </c>
      <c r="F382" s="168">
        <v>832923.0</v>
      </c>
      <c r="G382" s="209">
        <v>61127.0</v>
      </c>
      <c r="H382" s="168">
        <v>801323.0</v>
      </c>
      <c r="I382" s="208">
        <v>3235.0</v>
      </c>
    </row>
    <row r="383">
      <c r="A383" s="24">
        <v>120.0</v>
      </c>
      <c r="B383" s="168">
        <v>50016.74</v>
      </c>
      <c r="C383" s="24" t="s">
        <v>5214</v>
      </c>
      <c r="D383" s="76">
        <v>7379.0</v>
      </c>
      <c r="E383" s="208">
        <v>-49872.0</v>
      </c>
      <c r="F383" s="168">
        <v>547185.0</v>
      </c>
      <c r="G383" s="209">
        <v>-37290.0</v>
      </c>
      <c r="H383" s="168">
        <v>243587.0</v>
      </c>
      <c r="I383" s="208">
        <v>-65051.0</v>
      </c>
    </row>
    <row r="384">
      <c r="A384" s="24">
        <v>115.0</v>
      </c>
      <c r="B384" s="168">
        <v>83109.08</v>
      </c>
      <c r="C384" s="24" t="s">
        <v>5215</v>
      </c>
      <c r="D384" s="76">
        <v>7380.0</v>
      </c>
      <c r="E384" s="208">
        <v>-25762.0</v>
      </c>
      <c r="F384" s="168">
        <v>753004.0</v>
      </c>
      <c r="G384" s="209">
        <v>4191.0</v>
      </c>
      <c r="H384" s="168">
        <v>581541.0</v>
      </c>
      <c r="I384" s="208">
        <v>-6894.0</v>
      </c>
    </row>
    <row r="385">
      <c r="A385" s="24">
        <v>141.0</v>
      </c>
      <c r="B385" s="168">
        <v>-39025.73</v>
      </c>
      <c r="C385" s="24" t="s">
        <v>5216</v>
      </c>
      <c r="D385" s="76">
        <v>7381.0</v>
      </c>
      <c r="E385" s="208">
        <v>34387.0</v>
      </c>
      <c r="F385" s="168">
        <v>411302.0</v>
      </c>
      <c r="G385" s="209">
        <v>-34446.0</v>
      </c>
      <c r="H385" s="168">
        <v>385975.0</v>
      </c>
      <c r="I385" s="208">
        <v>95760.0</v>
      </c>
    </row>
    <row r="386">
      <c r="A386" s="24">
        <v>137.0</v>
      </c>
      <c r="B386" s="168">
        <v>75066.85</v>
      </c>
      <c r="C386" s="24" t="s">
        <v>5214</v>
      </c>
      <c r="D386" s="76">
        <v>7382.0</v>
      </c>
      <c r="E386" s="208">
        <v>-22247.0</v>
      </c>
      <c r="F386" s="168">
        <v>278050.0</v>
      </c>
      <c r="G386" s="209">
        <v>-63882.0</v>
      </c>
      <c r="H386" s="168">
        <v>942964.0</v>
      </c>
      <c r="I386" s="208">
        <v>-78004.0</v>
      </c>
    </row>
    <row r="387">
      <c r="A387" s="24">
        <v>108.0</v>
      </c>
      <c r="B387" s="168">
        <v>-62237.51</v>
      </c>
      <c r="C387" s="24" t="s">
        <v>5217</v>
      </c>
      <c r="D387" s="76">
        <v>7383.0</v>
      </c>
      <c r="E387" s="208">
        <v>78196.0</v>
      </c>
      <c r="F387" s="168">
        <v>484730.0</v>
      </c>
      <c r="G387" s="209">
        <v>-7470.0</v>
      </c>
      <c r="H387" s="168">
        <v>664398.0</v>
      </c>
      <c r="I387" s="208">
        <v>-88993.0</v>
      </c>
    </row>
    <row r="388">
      <c r="A388" s="24">
        <v>116.0</v>
      </c>
      <c r="B388" s="168">
        <v>936.62</v>
      </c>
      <c r="C388" s="24" t="s">
        <v>5218</v>
      </c>
      <c r="D388" s="76">
        <v>7384.0</v>
      </c>
      <c r="E388" s="208">
        <v>-56046.0</v>
      </c>
      <c r="F388" s="168">
        <v>754764.0</v>
      </c>
      <c r="G388" s="209">
        <v>91787.0</v>
      </c>
      <c r="H388" s="168">
        <v>312102.0</v>
      </c>
      <c r="I388" s="208">
        <v>84775.0</v>
      </c>
    </row>
    <row r="389">
      <c r="A389" s="24">
        <v>126.0</v>
      </c>
      <c r="B389" s="168">
        <v>50329.23</v>
      </c>
      <c r="C389" s="24" t="s">
        <v>5219</v>
      </c>
      <c r="D389" s="76">
        <v>7385.0</v>
      </c>
      <c r="E389" s="208">
        <v>-73771.0</v>
      </c>
      <c r="F389" s="168">
        <v>711830.0</v>
      </c>
      <c r="G389" s="209">
        <v>62371.0</v>
      </c>
      <c r="H389" s="168">
        <v>567989.0</v>
      </c>
      <c r="I389" s="208">
        <v>-61711.0</v>
      </c>
    </row>
    <row r="390">
      <c r="A390" s="24">
        <v>139.0</v>
      </c>
      <c r="B390" s="168">
        <v>34183.64</v>
      </c>
      <c r="C390" s="24" t="s">
        <v>5220</v>
      </c>
      <c r="D390" s="76">
        <v>7386.0</v>
      </c>
      <c r="E390" s="208">
        <v>56293.0</v>
      </c>
      <c r="F390" s="168">
        <v>786802.0</v>
      </c>
      <c r="G390" s="209">
        <v>57070.0</v>
      </c>
      <c r="H390" s="168">
        <v>561133.0</v>
      </c>
      <c r="I390" s="208">
        <v>-70330.0</v>
      </c>
    </row>
    <row r="391">
      <c r="A391" s="24">
        <v>128.0</v>
      </c>
      <c r="B391" s="168">
        <v>7118.08</v>
      </c>
      <c r="C391" s="24" t="s">
        <v>5221</v>
      </c>
      <c r="D391" s="76">
        <v>7387.0</v>
      </c>
      <c r="E391" s="208">
        <v>-19159.0</v>
      </c>
      <c r="F391" s="168">
        <v>576791.0</v>
      </c>
      <c r="G391" s="209">
        <v>-74514.0</v>
      </c>
      <c r="H391" s="168">
        <v>770664.0</v>
      </c>
      <c r="I391" s="208">
        <v>-6949.0</v>
      </c>
    </row>
    <row r="392">
      <c r="A392" s="24">
        <v>140.0</v>
      </c>
      <c r="B392" s="168">
        <v>-43859.49</v>
      </c>
      <c r="C392" s="24" t="s">
        <v>5222</v>
      </c>
      <c r="D392" s="76">
        <v>7388.0</v>
      </c>
      <c r="E392" s="208">
        <v>-44427.0</v>
      </c>
      <c r="F392" s="168">
        <v>289606.0</v>
      </c>
      <c r="G392" s="209">
        <v>22715.0</v>
      </c>
      <c r="H392" s="168">
        <v>495822.0</v>
      </c>
      <c r="I392" s="208">
        <v>29732.0</v>
      </c>
    </row>
    <row r="393">
      <c r="A393" s="24">
        <v>119.0</v>
      </c>
      <c r="B393" s="168">
        <v>69569.78</v>
      </c>
      <c r="C393" s="24" t="s">
        <v>5223</v>
      </c>
      <c r="D393" s="76">
        <v>7389.0</v>
      </c>
      <c r="E393" s="208">
        <v>88601.0</v>
      </c>
      <c r="F393" s="168">
        <v>143846.0</v>
      </c>
      <c r="G393" s="209">
        <v>-8380.0</v>
      </c>
      <c r="H393" s="168">
        <v>849160.0</v>
      </c>
      <c r="I393" s="208">
        <v>81560.0</v>
      </c>
    </row>
    <row r="394">
      <c r="A394" s="24">
        <v>135.0</v>
      </c>
      <c r="B394" s="168">
        <v>-80294.89</v>
      </c>
      <c r="C394" s="24" t="s">
        <v>5224</v>
      </c>
      <c r="D394" s="76">
        <v>7390.0</v>
      </c>
      <c r="E394" s="208">
        <v>-76487.0</v>
      </c>
      <c r="F394" s="168">
        <v>648418.0</v>
      </c>
      <c r="G394" s="209">
        <v>99517.0</v>
      </c>
      <c r="H394" s="168">
        <v>335620.0</v>
      </c>
      <c r="I394" s="208">
        <v>12027.0</v>
      </c>
    </row>
    <row r="395">
      <c r="A395" s="24">
        <v>124.0</v>
      </c>
      <c r="B395" s="168">
        <v>23042.55</v>
      </c>
      <c r="C395" s="24" t="s">
        <v>5225</v>
      </c>
      <c r="D395" s="76">
        <v>7391.0</v>
      </c>
      <c r="E395" s="208">
        <v>66354.0</v>
      </c>
      <c r="F395" s="168">
        <v>330471.0</v>
      </c>
      <c r="G395" s="209">
        <v>33695.0</v>
      </c>
      <c r="H395" s="168">
        <v>387136.0</v>
      </c>
      <c r="I395" s="208">
        <v>-11961.0</v>
      </c>
    </row>
    <row r="396">
      <c r="A396" s="24">
        <v>149.0</v>
      </c>
      <c r="B396" s="168">
        <v>68567.45</v>
      </c>
      <c r="C396" s="24" t="s">
        <v>5226</v>
      </c>
      <c r="D396" s="76">
        <v>7392.0</v>
      </c>
      <c r="E396" s="208">
        <v>47455.0</v>
      </c>
      <c r="F396" s="168">
        <v>811678.0</v>
      </c>
      <c r="G396" s="209">
        <v>-16104.0</v>
      </c>
      <c r="H396" s="168">
        <v>109996.0</v>
      </c>
      <c r="I396" s="208">
        <v>-70544.0</v>
      </c>
    </row>
    <row r="397">
      <c r="A397" s="24">
        <v>114.0</v>
      </c>
      <c r="B397" s="168">
        <v>11170.29</v>
      </c>
      <c r="C397" s="24" t="s">
        <v>5227</v>
      </c>
      <c r="D397" s="76">
        <v>7393.0</v>
      </c>
      <c r="E397" s="208">
        <v>-73581.0</v>
      </c>
      <c r="F397" s="168">
        <v>114277.0</v>
      </c>
      <c r="G397" s="209">
        <v>-14505.0</v>
      </c>
      <c r="H397" s="168">
        <v>817923.0</v>
      </c>
      <c r="I397" s="208">
        <v>28962.0</v>
      </c>
    </row>
    <row r="398">
      <c r="A398" s="24">
        <v>101.0</v>
      </c>
      <c r="B398" s="168">
        <v>26540.72</v>
      </c>
      <c r="C398" s="24" t="s">
        <v>5228</v>
      </c>
      <c r="D398" s="76">
        <v>7394.0</v>
      </c>
      <c r="E398" s="208">
        <v>45441.0</v>
      </c>
      <c r="F398" s="168">
        <v>554485.0</v>
      </c>
      <c r="G398" s="209">
        <v>30306.0</v>
      </c>
      <c r="H398" s="168">
        <v>913520.0</v>
      </c>
      <c r="I398" s="208">
        <v>66302.0</v>
      </c>
    </row>
    <row r="399">
      <c r="A399" s="24">
        <v>105.0</v>
      </c>
      <c r="B399" s="168">
        <v>9238.72</v>
      </c>
      <c r="C399" s="24" t="s">
        <v>5229</v>
      </c>
      <c r="D399" s="76">
        <v>7395.0</v>
      </c>
      <c r="E399" s="208">
        <v>-69303.0</v>
      </c>
      <c r="F399" s="168">
        <v>920821.0</v>
      </c>
      <c r="G399" s="209">
        <v>28094.0</v>
      </c>
      <c r="H399" s="168">
        <v>847991.0</v>
      </c>
      <c r="I399" s="208">
        <v>-45430.0</v>
      </c>
    </row>
    <row r="400">
      <c r="A400" s="24">
        <v>117.0</v>
      </c>
      <c r="B400" s="168">
        <v>-4520.12</v>
      </c>
      <c r="C400" s="24" t="s">
        <v>5230</v>
      </c>
      <c r="D400" s="76">
        <v>7396.0</v>
      </c>
      <c r="E400" s="208">
        <v>-77846.0</v>
      </c>
      <c r="F400" s="168">
        <v>989452.0</v>
      </c>
      <c r="G400" s="209">
        <v>-45492.0</v>
      </c>
      <c r="H400" s="168">
        <v>312299.0</v>
      </c>
      <c r="I400" s="208">
        <v>66354.0</v>
      </c>
    </row>
    <row r="401">
      <c r="A401" s="24">
        <v>107.0</v>
      </c>
      <c r="B401" s="168">
        <v>-38374.61</v>
      </c>
      <c r="C401" s="24" t="s">
        <v>5231</v>
      </c>
      <c r="D401" s="76">
        <v>7397.0</v>
      </c>
      <c r="E401" s="208">
        <v>-4587.0</v>
      </c>
      <c r="F401" s="168">
        <v>564327.0</v>
      </c>
      <c r="G401" s="209">
        <v>43153.0</v>
      </c>
      <c r="H401" s="168">
        <v>236702.0</v>
      </c>
      <c r="I401" s="208">
        <v>-99707.0</v>
      </c>
    </row>
    <row r="402">
      <c r="A402" s="24">
        <v>102.0</v>
      </c>
      <c r="B402" s="168">
        <v>-7488.71</v>
      </c>
      <c r="C402" s="24" t="s">
        <v>5232</v>
      </c>
      <c r="D402" s="76">
        <v>7398.0</v>
      </c>
      <c r="E402" s="208">
        <v>-22188.0</v>
      </c>
      <c r="F402" s="168">
        <v>468656.0</v>
      </c>
      <c r="G402" s="209">
        <v>-3675.0</v>
      </c>
      <c r="H402" s="168">
        <v>325917.0</v>
      </c>
      <c r="I402" s="208">
        <v>17809.0</v>
      </c>
    </row>
    <row r="403">
      <c r="A403" s="24">
        <v>132.0</v>
      </c>
      <c r="B403" s="168">
        <v>-16352.55</v>
      </c>
      <c r="C403" s="24" t="s">
        <v>5233</v>
      </c>
      <c r="D403" s="76">
        <v>7399.0</v>
      </c>
      <c r="E403" s="208">
        <v>14082.0</v>
      </c>
      <c r="F403" s="168">
        <v>381578.0</v>
      </c>
      <c r="G403" s="209">
        <v>-5902.0</v>
      </c>
      <c r="H403" s="168">
        <v>513385.0</v>
      </c>
      <c r="I403" s="208">
        <v>-68217.0</v>
      </c>
    </row>
    <row r="404">
      <c r="A404" s="24">
        <v>145.0</v>
      </c>
      <c r="B404" s="168">
        <v>-97381.89</v>
      </c>
      <c r="C404" s="24" t="s">
        <v>5185</v>
      </c>
      <c r="D404" s="76">
        <v>7400.0</v>
      </c>
      <c r="E404" s="208">
        <v>70942.0</v>
      </c>
      <c r="F404" s="168">
        <v>998437.0</v>
      </c>
      <c r="G404" s="209">
        <v>-48162.0</v>
      </c>
      <c r="H404" s="168">
        <v>748790.0</v>
      </c>
      <c r="I404" s="208">
        <v>-12934.0</v>
      </c>
    </row>
    <row r="405">
      <c r="A405" s="24">
        <v>148.0</v>
      </c>
      <c r="B405" s="168">
        <v>-49428.86</v>
      </c>
      <c r="C405" s="24" t="s">
        <v>5186</v>
      </c>
      <c r="D405" s="76">
        <v>7401.0</v>
      </c>
      <c r="E405" s="208">
        <v>82684.0</v>
      </c>
      <c r="F405" s="168">
        <v>900408.0</v>
      </c>
      <c r="G405" s="209">
        <v>31443.0</v>
      </c>
      <c r="H405" s="168">
        <v>478683.0</v>
      </c>
      <c r="I405" s="208">
        <v>90390.0</v>
      </c>
    </row>
    <row r="406">
      <c r="A406" s="24">
        <v>136.0</v>
      </c>
      <c r="B406" s="168">
        <v>-57606.54</v>
      </c>
      <c r="C406" s="24" t="s">
        <v>5187</v>
      </c>
      <c r="D406" s="76">
        <v>7402.0</v>
      </c>
      <c r="E406" s="208">
        <v>30067.0</v>
      </c>
      <c r="F406" s="168">
        <v>675541.0</v>
      </c>
      <c r="G406" s="209">
        <v>-91455.0</v>
      </c>
      <c r="H406" s="168">
        <v>309377.0</v>
      </c>
      <c r="I406" s="208">
        <v>78510.0</v>
      </c>
    </row>
    <row r="407">
      <c r="A407" s="24">
        <v>104.0</v>
      </c>
      <c r="B407" s="168">
        <v>-76098.36</v>
      </c>
      <c r="C407" s="24" t="s">
        <v>5188</v>
      </c>
      <c r="D407" s="76">
        <v>7403.0</v>
      </c>
      <c r="E407" s="208">
        <v>-33089.0</v>
      </c>
      <c r="F407" s="168">
        <v>369435.0</v>
      </c>
      <c r="G407" s="209">
        <v>-84144.0</v>
      </c>
      <c r="H407" s="168">
        <v>983059.0</v>
      </c>
      <c r="I407" s="208">
        <v>-54350.0</v>
      </c>
    </row>
    <row r="408">
      <c r="A408" s="24">
        <v>129.0</v>
      </c>
      <c r="B408" s="168">
        <v>18990.96</v>
      </c>
      <c r="C408" s="24" t="s">
        <v>5189</v>
      </c>
      <c r="D408" s="76">
        <v>7404.0</v>
      </c>
      <c r="E408" s="208">
        <v>-82591.0</v>
      </c>
      <c r="F408" s="168">
        <v>424133.0</v>
      </c>
      <c r="G408" s="209">
        <v>-20212.0</v>
      </c>
      <c r="H408" s="168">
        <v>597114.0</v>
      </c>
      <c r="I408" s="208">
        <v>45858.0</v>
      </c>
    </row>
    <row r="409">
      <c r="A409" s="24">
        <v>118.0</v>
      </c>
      <c r="B409" s="168">
        <v>56611.05</v>
      </c>
      <c r="C409" s="24" t="s">
        <v>5190</v>
      </c>
      <c r="D409" s="76">
        <v>7405.0</v>
      </c>
      <c r="E409" s="208">
        <v>89899.0</v>
      </c>
      <c r="F409" s="168">
        <v>563250.0</v>
      </c>
      <c r="G409" s="209">
        <v>96942.0</v>
      </c>
      <c r="H409" s="168">
        <v>208675.0</v>
      </c>
      <c r="I409" s="208">
        <v>-12340.0</v>
      </c>
    </row>
    <row r="410">
      <c r="A410" s="24">
        <v>127.0</v>
      </c>
      <c r="B410" s="168">
        <v>-89126.98</v>
      </c>
      <c r="C410" s="24" t="s">
        <v>5191</v>
      </c>
      <c r="D410" s="76">
        <v>7406.0</v>
      </c>
      <c r="E410" s="208">
        <v>32697.0</v>
      </c>
      <c r="F410" s="168">
        <v>331188.0</v>
      </c>
      <c r="G410" s="209">
        <v>47910.0</v>
      </c>
      <c r="H410" s="168">
        <v>820145.0</v>
      </c>
      <c r="I410" s="208">
        <v>-17995.0</v>
      </c>
    </row>
    <row r="411">
      <c r="A411" s="24">
        <v>125.0</v>
      </c>
      <c r="B411" s="168">
        <v>18046.29</v>
      </c>
      <c r="C411" s="24" t="s">
        <v>5192</v>
      </c>
      <c r="D411" s="76">
        <v>7407.0</v>
      </c>
      <c r="E411" s="208">
        <v>-33624.0</v>
      </c>
      <c r="F411" s="168">
        <v>827893.0</v>
      </c>
      <c r="G411" s="209">
        <v>-63371.0</v>
      </c>
      <c r="H411" s="168">
        <v>533007.0</v>
      </c>
      <c r="I411" s="208">
        <v>64854.0</v>
      </c>
    </row>
    <row r="412">
      <c r="A412" s="24">
        <v>146.0</v>
      </c>
      <c r="B412" s="168">
        <v>14765.59</v>
      </c>
      <c r="C412" s="24" t="s">
        <v>5193</v>
      </c>
      <c r="D412" s="76">
        <v>7408.0</v>
      </c>
      <c r="E412" s="208">
        <v>-73368.0</v>
      </c>
      <c r="F412" s="168">
        <v>101746.0</v>
      </c>
      <c r="G412" s="209">
        <v>-58543.0</v>
      </c>
      <c r="H412" s="168">
        <v>379682.0</v>
      </c>
      <c r="I412" s="208">
        <v>-56711.0</v>
      </c>
    </row>
    <row r="413">
      <c r="A413" s="24">
        <v>111.0</v>
      </c>
      <c r="B413" s="168">
        <v>54541.56</v>
      </c>
      <c r="C413" s="24" t="s">
        <v>5194</v>
      </c>
      <c r="D413" s="76">
        <v>7409.0</v>
      </c>
      <c r="E413" s="208">
        <v>2528.0</v>
      </c>
      <c r="F413" s="168">
        <v>403115.0</v>
      </c>
      <c r="G413" s="209">
        <v>14310.0</v>
      </c>
      <c r="H413" s="168">
        <v>765331.0</v>
      </c>
      <c r="I413" s="208">
        <v>97193.0</v>
      </c>
    </row>
    <row r="414">
      <c r="A414" s="24">
        <v>103.0</v>
      </c>
      <c r="B414" s="168">
        <v>-90833.79</v>
      </c>
      <c r="C414" s="24" t="s">
        <v>5195</v>
      </c>
      <c r="D414" s="76">
        <v>7410.0</v>
      </c>
      <c r="E414" s="208">
        <v>29673.0</v>
      </c>
      <c r="F414" s="168">
        <v>613024.0</v>
      </c>
      <c r="G414" s="209">
        <v>-63205.0</v>
      </c>
      <c r="H414" s="168">
        <v>214118.0</v>
      </c>
      <c r="I414" s="208">
        <v>-78164.0</v>
      </c>
    </row>
    <row r="415">
      <c r="A415" s="24">
        <v>142.0</v>
      </c>
      <c r="B415" s="168">
        <v>-36589.77</v>
      </c>
      <c r="C415" s="24" t="s">
        <v>5196</v>
      </c>
      <c r="D415" s="76">
        <v>7411.0</v>
      </c>
      <c r="E415" s="208">
        <v>58462.0</v>
      </c>
      <c r="F415" s="168">
        <v>956542.0</v>
      </c>
      <c r="G415" s="209">
        <v>-83555.0</v>
      </c>
      <c r="H415" s="168">
        <v>335899.0</v>
      </c>
      <c r="I415" s="208">
        <v>71417.0</v>
      </c>
    </row>
    <row r="416">
      <c r="A416" s="24">
        <v>100.0</v>
      </c>
      <c r="B416" s="168">
        <v>-64953.95</v>
      </c>
      <c r="C416" s="24" t="s">
        <v>5197</v>
      </c>
      <c r="D416" s="76">
        <v>7412.0</v>
      </c>
      <c r="E416" s="208">
        <v>-87245.0</v>
      </c>
      <c r="F416" s="168">
        <v>534846.0</v>
      </c>
      <c r="G416" s="209">
        <v>-63980.0</v>
      </c>
      <c r="H416" s="168">
        <v>458822.0</v>
      </c>
      <c r="I416" s="208">
        <v>-14768.0</v>
      </c>
    </row>
    <row r="417">
      <c r="A417" s="24">
        <v>109.0</v>
      </c>
      <c r="B417" s="168">
        <v>16329.42</v>
      </c>
      <c r="C417" s="24" t="s">
        <v>5198</v>
      </c>
      <c r="D417" s="76">
        <v>7413.0</v>
      </c>
      <c r="E417" s="208">
        <v>-19699.0</v>
      </c>
      <c r="F417" s="168">
        <v>925880.0</v>
      </c>
      <c r="G417" s="209">
        <v>95675.0</v>
      </c>
      <c r="H417" s="168">
        <v>900499.0</v>
      </c>
      <c r="I417" s="208">
        <v>10350.0</v>
      </c>
    </row>
    <row r="418">
      <c r="A418" s="24">
        <v>144.0</v>
      </c>
      <c r="B418" s="168">
        <v>26142.96</v>
      </c>
      <c r="C418" s="24" t="s">
        <v>5199</v>
      </c>
      <c r="D418" s="76">
        <v>7414.0</v>
      </c>
      <c r="E418" s="208">
        <v>96728.0</v>
      </c>
      <c r="F418" s="168">
        <v>606213.0</v>
      </c>
      <c r="G418" s="209">
        <v>-82482.0</v>
      </c>
      <c r="H418" s="168">
        <v>566390.0</v>
      </c>
      <c r="I418" s="208">
        <v>77537.0</v>
      </c>
    </row>
    <row r="419">
      <c r="A419" s="24">
        <v>133.0</v>
      </c>
      <c r="B419" s="168">
        <v>97895.01</v>
      </c>
      <c r="C419" s="24" t="s">
        <v>5200</v>
      </c>
      <c r="D419" s="76">
        <v>7415.0</v>
      </c>
      <c r="E419" s="208">
        <v>-86006.0</v>
      </c>
      <c r="F419" s="168">
        <v>325226.0</v>
      </c>
      <c r="G419" s="209">
        <v>16539.0</v>
      </c>
      <c r="H419" s="168">
        <v>772947.0</v>
      </c>
      <c r="I419" s="208">
        <v>-19656.0</v>
      </c>
    </row>
    <row r="420">
      <c r="A420" s="24">
        <v>134.0</v>
      </c>
      <c r="B420" s="168">
        <v>-69199.9</v>
      </c>
      <c r="C420" s="24" t="s">
        <v>5201</v>
      </c>
      <c r="D420" s="76">
        <v>7416.0</v>
      </c>
      <c r="E420" s="208">
        <v>64471.0</v>
      </c>
      <c r="F420" s="168">
        <v>384915.0</v>
      </c>
      <c r="G420" s="209">
        <v>-39430.0</v>
      </c>
      <c r="H420" s="168">
        <v>892016.0</v>
      </c>
      <c r="I420" s="208">
        <v>-31643.0</v>
      </c>
    </row>
    <row r="421">
      <c r="A421" s="24">
        <v>123.0</v>
      </c>
      <c r="B421" s="168">
        <v>17853.79</v>
      </c>
      <c r="C421" s="24" t="s">
        <v>5202</v>
      </c>
      <c r="D421" s="76">
        <v>7417.0</v>
      </c>
      <c r="E421" s="208">
        <v>23414.0</v>
      </c>
      <c r="F421" s="168">
        <v>295614.0</v>
      </c>
      <c r="G421" s="209">
        <v>91570.0</v>
      </c>
      <c r="H421" s="168">
        <v>191340.0</v>
      </c>
      <c r="I421" s="208">
        <v>67356.0</v>
      </c>
    </row>
    <row r="422">
      <c r="A422" s="24">
        <v>106.0</v>
      </c>
      <c r="B422" s="168">
        <v>-13522.57</v>
      </c>
      <c r="C422" s="24" t="s">
        <v>5203</v>
      </c>
      <c r="D422" s="76">
        <v>7418.0</v>
      </c>
      <c r="E422" s="208">
        <v>79925.0</v>
      </c>
      <c r="F422" s="168">
        <v>169958.0</v>
      </c>
      <c r="G422" s="209">
        <v>72183.0</v>
      </c>
      <c r="H422" s="168">
        <v>974806.0</v>
      </c>
      <c r="I422" s="208">
        <v>-72684.0</v>
      </c>
    </row>
    <row r="423">
      <c r="A423" s="24">
        <v>122.0</v>
      </c>
      <c r="B423" s="168">
        <v>-95984.11</v>
      </c>
      <c r="C423" s="24" t="s">
        <v>5204</v>
      </c>
      <c r="D423" s="76">
        <v>7419.0</v>
      </c>
      <c r="E423" s="208">
        <v>-31320.0</v>
      </c>
      <c r="F423" s="168">
        <v>864613.0</v>
      </c>
      <c r="G423" s="209">
        <v>6202.0</v>
      </c>
      <c r="H423" s="168">
        <v>369068.0</v>
      </c>
      <c r="I423" s="208">
        <v>23155.0</v>
      </c>
    </row>
    <row r="424">
      <c r="A424" s="24">
        <v>143.0</v>
      </c>
      <c r="B424" s="168">
        <v>-73476.58</v>
      </c>
      <c r="C424" s="24" t="s">
        <v>5205</v>
      </c>
      <c r="D424" s="76">
        <v>7420.0</v>
      </c>
      <c r="E424" s="208">
        <v>98089.0</v>
      </c>
      <c r="F424" s="168">
        <v>953220.0</v>
      </c>
      <c r="G424" s="209">
        <v>76467.0</v>
      </c>
      <c r="H424" s="168">
        <v>430078.0</v>
      </c>
      <c r="I424" s="208">
        <v>33147.0</v>
      </c>
    </row>
    <row r="425">
      <c r="A425" s="24">
        <v>131.0</v>
      </c>
      <c r="B425" s="168">
        <v>-79383.54</v>
      </c>
      <c r="C425" s="24" t="s">
        <v>5206</v>
      </c>
      <c r="D425" s="76">
        <v>7421.0</v>
      </c>
      <c r="E425" s="208">
        <v>23319.0</v>
      </c>
      <c r="F425" s="168">
        <v>715494.0</v>
      </c>
      <c r="G425" s="209">
        <v>-19483.0</v>
      </c>
      <c r="H425" s="168">
        <v>507672.0</v>
      </c>
      <c r="I425" s="208">
        <v>35105.0</v>
      </c>
    </row>
    <row r="426">
      <c r="A426" s="24">
        <v>147.0</v>
      </c>
      <c r="B426" s="168">
        <v>10482.8</v>
      </c>
      <c r="C426" s="24" t="s">
        <v>5207</v>
      </c>
      <c r="D426" s="76">
        <v>7422.0</v>
      </c>
      <c r="E426" s="208">
        <v>-73698.0</v>
      </c>
      <c r="F426" s="168">
        <v>927146.0</v>
      </c>
      <c r="G426" s="209">
        <v>-97454.0</v>
      </c>
      <c r="H426" s="168">
        <v>638062.0</v>
      </c>
      <c r="I426" s="208">
        <v>-74351.0</v>
      </c>
    </row>
    <row r="427">
      <c r="A427" s="24">
        <v>121.0</v>
      </c>
      <c r="B427" s="168">
        <v>45673.05</v>
      </c>
      <c r="C427" s="24" t="s">
        <v>5208</v>
      </c>
      <c r="D427" s="76">
        <v>7423.0</v>
      </c>
      <c r="E427" s="208">
        <v>88519.0</v>
      </c>
      <c r="F427" s="168">
        <v>540538.0</v>
      </c>
      <c r="G427" s="209">
        <v>-14332.0</v>
      </c>
      <c r="H427" s="168">
        <v>737467.0</v>
      </c>
      <c r="I427" s="208">
        <v>-16591.0</v>
      </c>
    </row>
    <row r="428">
      <c r="A428" s="24">
        <v>113.0</v>
      </c>
      <c r="B428" s="168">
        <v>41166.11</v>
      </c>
      <c r="C428" s="24" t="s">
        <v>5209</v>
      </c>
      <c r="D428" s="76">
        <v>7424.0</v>
      </c>
      <c r="E428" s="208">
        <v>1781.0</v>
      </c>
      <c r="F428" s="168">
        <v>713073.0</v>
      </c>
      <c r="G428" s="209">
        <v>-43404.0</v>
      </c>
      <c r="H428" s="168">
        <v>826097.0</v>
      </c>
      <c r="I428" s="208">
        <v>61825.0</v>
      </c>
    </row>
    <row r="429">
      <c r="A429" s="24">
        <v>130.0</v>
      </c>
      <c r="B429" s="168">
        <v>-52286.38</v>
      </c>
      <c r="C429" s="24" t="s">
        <v>5210</v>
      </c>
      <c r="D429" s="76">
        <v>7425.0</v>
      </c>
      <c r="E429" s="208">
        <v>5900.0</v>
      </c>
      <c r="F429" s="168">
        <v>327395.0</v>
      </c>
      <c r="G429" s="209">
        <v>-49057.0</v>
      </c>
      <c r="H429" s="168">
        <v>570171.0</v>
      </c>
      <c r="I429" s="208">
        <v>-84278.0</v>
      </c>
    </row>
    <row r="430">
      <c r="A430" s="24">
        <v>112.0</v>
      </c>
      <c r="B430" s="168">
        <v>39531.1</v>
      </c>
      <c r="C430" s="24" t="s">
        <v>5211</v>
      </c>
      <c r="D430" s="76">
        <v>7426.0</v>
      </c>
      <c r="E430" s="208">
        <v>-67725.0</v>
      </c>
      <c r="F430" s="168">
        <v>186578.0</v>
      </c>
      <c r="G430" s="209">
        <v>-44948.0</v>
      </c>
      <c r="H430" s="168">
        <v>533322.0</v>
      </c>
      <c r="I430" s="208">
        <v>-20623.0</v>
      </c>
    </row>
    <row r="431">
      <c r="A431" s="24">
        <v>110.0</v>
      </c>
      <c r="B431" s="168">
        <v>1082.6</v>
      </c>
      <c r="C431" s="24" t="s">
        <v>5212</v>
      </c>
      <c r="D431" s="76">
        <v>7427.0</v>
      </c>
      <c r="E431" s="208">
        <v>-46205.0</v>
      </c>
      <c r="F431" s="168">
        <v>524194.0</v>
      </c>
      <c r="G431" s="209">
        <v>36126.0</v>
      </c>
      <c r="H431" s="168">
        <v>544378.0</v>
      </c>
      <c r="I431" s="208">
        <v>-24209.0</v>
      </c>
    </row>
    <row r="432">
      <c r="A432" s="24">
        <v>138.0</v>
      </c>
      <c r="B432" s="168">
        <v>90334.7</v>
      </c>
      <c r="C432" s="24" t="s">
        <v>5213</v>
      </c>
      <c r="D432" s="76">
        <v>7428.0</v>
      </c>
      <c r="E432" s="208">
        <v>-49112.0</v>
      </c>
      <c r="F432" s="168">
        <v>704382.0</v>
      </c>
      <c r="G432" s="209">
        <v>35920.0</v>
      </c>
      <c r="H432" s="168">
        <v>165382.0</v>
      </c>
      <c r="I432" s="208">
        <v>-3682.0</v>
      </c>
    </row>
    <row r="433">
      <c r="A433" s="24">
        <v>120.0</v>
      </c>
      <c r="B433" s="168">
        <v>-52917.45</v>
      </c>
      <c r="C433" s="24" t="s">
        <v>5214</v>
      </c>
      <c r="D433" s="76">
        <v>7429.0</v>
      </c>
      <c r="E433" s="208">
        <v>10950.0</v>
      </c>
      <c r="F433" s="168">
        <v>269966.0</v>
      </c>
      <c r="G433" s="209">
        <v>-86150.0</v>
      </c>
      <c r="H433" s="168">
        <v>656319.0</v>
      </c>
      <c r="I433" s="208">
        <v>-31425.0</v>
      </c>
    </row>
    <row r="434">
      <c r="A434" s="24">
        <v>115.0</v>
      </c>
      <c r="B434" s="168">
        <v>-59400.78</v>
      </c>
      <c r="C434" s="24" t="s">
        <v>5215</v>
      </c>
      <c r="D434" s="76">
        <v>7430.0</v>
      </c>
      <c r="E434" s="208">
        <v>87219.0</v>
      </c>
      <c r="F434" s="168">
        <v>486161.0</v>
      </c>
      <c r="G434" s="209">
        <v>-2184.0</v>
      </c>
      <c r="H434" s="168">
        <v>319959.0</v>
      </c>
      <c r="I434" s="208">
        <v>80450.0</v>
      </c>
    </row>
    <row r="435">
      <c r="A435" s="24">
        <v>141.0</v>
      </c>
      <c r="B435" s="168">
        <v>35015.17</v>
      </c>
      <c r="C435" s="24" t="s">
        <v>5216</v>
      </c>
      <c r="D435" s="76">
        <v>7431.0</v>
      </c>
      <c r="E435" s="208">
        <v>47204.0</v>
      </c>
      <c r="F435" s="168">
        <v>189479.0</v>
      </c>
      <c r="G435" s="209">
        <v>-3468.0</v>
      </c>
      <c r="H435" s="168">
        <v>415702.0</v>
      </c>
      <c r="I435" s="208">
        <v>-62092.0</v>
      </c>
    </row>
    <row r="436">
      <c r="A436" s="24">
        <v>137.0</v>
      </c>
      <c r="B436" s="168">
        <v>-20406.97</v>
      </c>
      <c r="C436" s="24" t="s">
        <v>5214</v>
      </c>
      <c r="D436" s="76">
        <v>7432.0</v>
      </c>
      <c r="E436" s="208">
        <v>47573.0</v>
      </c>
      <c r="F436" s="168">
        <v>424414.0</v>
      </c>
      <c r="G436" s="209">
        <v>92957.0</v>
      </c>
      <c r="H436" s="168">
        <v>336509.0</v>
      </c>
      <c r="I436" s="208">
        <v>70727.0</v>
      </c>
    </row>
    <row r="437">
      <c r="A437" s="24">
        <v>108.0</v>
      </c>
      <c r="B437" s="168">
        <v>-28391.4</v>
      </c>
      <c r="C437" s="24" t="s">
        <v>5217</v>
      </c>
      <c r="D437" s="76">
        <v>7433.0</v>
      </c>
      <c r="E437" s="208">
        <v>7352.0</v>
      </c>
      <c r="F437" s="168">
        <v>779409.0</v>
      </c>
      <c r="G437" s="209">
        <v>96420.0</v>
      </c>
      <c r="H437" s="168">
        <v>608577.0</v>
      </c>
      <c r="I437" s="208">
        <v>-67386.0</v>
      </c>
    </row>
    <row r="438">
      <c r="A438" s="24">
        <v>116.0</v>
      </c>
      <c r="B438" s="168">
        <v>-33851.5</v>
      </c>
      <c r="C438" s="24" t="s">
        <v>5218</v>
      </c>
      <c r="D438" s="76">
        <v>7434.0</v>
      </c>
      <c r="E438" s="208">
        <v>-62717.0</v>
      </c>
      <c r="F438" s="168">
        <v>179012.0</v>
      </c>
      <c r="G438" s="209">
        <v>67561.0</v>
      </c>
      <c r="H438" s="168">
        <v>527801.0</v>
      </c>
      <c r="I438" s="208">
        <v>32861.0</v>
      </c>
    </row>
    <row r="439">
      <c r="A439" s="24">
        <v>126.0</v>
      </c>
      <c r="B439" s="168">
        <v>70913.29</v>
      </c>
      <c r="C439" s="24" t="s">
        <v>5219</v>
      </c>
      <c r="D439" s="76">
        <v>7435.0</v>
      </c>
      <c r="E439" s="208">
        <v>79304.0</v>
      </c>
      <c r="F439" s="168">
        <v>371332.0</v>
      </c>
      <c r="G439" s="209">
        <v>-88420.0</v>
      </c>
      <c r="H439" s="168">
        <v>305271.0</v>
      </c>
      <c r="I439" s="208">
        <v>69008.0</v>
      </c>
    </row>
    <row r="440">
      <c r="A440" s="24">
        <v>139.0</v>
      </c>
      <c r="B440" s="168">
        <v>-71315.06</v>
      </c>
      <c r="C440" s="24" t="s">
        <v>5220</v>
      </c>
      <c r="D440" s="76">
        <v>7436.0</v>
      </c>
      <c r="E440" s="208">
        <v>-61639.0</v>
      </c>
      <c r="F440" s="168">
        <v>412378.0</v>
      </c>
      <c r="G440" s="209">
        <v>-1633.0</v>
      </c>
      <c r="H440" s="168">
        <v>764961.0</v>
      </c>
      <c r="I440" s="208">
        <v>-10576.0</v>
      </c>
    </row>
    <row r="441">
      <c r="A441" s="24">
        <v>128.0</v>
      </c>
      <c r="B441" s="168">
        <v>85480.01</v>
      </c>
      <c r="C441" s="24" t="s">
        <v>5221</v>
      </c>
      <c r="D441" s="76">
        <v>7437.0</v>
      </c>
      <c r="E441" s="208">
        <v>-14782.0</v>
      </c>
      <c r="F441" s="168">
        <v>863393.0</v>
      </c>
      <c r="G441" s="209">
        <v>-4777.0</v>
      </c>
      <c r="H441" s="168">
        <v>491555.0</v>
      </c>
      <c r="I441" s="208">
        <v>-1800.0</v>
      </c>
    </row>
    <row r="442">
      <c r="A442" s="24">
        <v>140.0</v>
      </c>
      <c r="B442" s="168">
        <v>-957.53</v>
      </c>
      <c r="C442" s="24" t="s">
        <v>5222</v>
      </c>
      <c r="D442" s="76">
        <v>7438.0</v>
      </c>
      <c r="E442" s="208">
        <v>38467.0</v>
      </c>
      <c r="F442" s="168">
        <v>331063.0</v>
      </c>
      <c r="G442" s="209">
        <v>17232.0</v>
      </c>
      <c r="H442" s="168">
        <v>217643.0</v>
      </c>
      <c r="I442" s="208">
        <v>-89651.0</v>
      </c>
    </row>
    <row r="443">
      <c r="A443" s="24">
        <v>119.0</v>
      </c>
      <c r="B443" s="168">
        <v>261.67</v>
      </c>
      <c r="C443" s="24" t="s">
        <v>5223</v>
      </c>
      <c r="D443" s="76">
        <v>7439.0</v>
      </c>
      <c r="E443" s="208">
        <v>-46795.0</v>
      </c>
      <c r="F443" s="168">
        <v>229769.0</v>
      </c>
      <c r="G443" s="209">
        <v>-52785.0</v>
      </c>
      <c r="H443" s="168">
        <v>100006.0</v>
      </c>
      <c r="I443" s="208">
        <v>-15735.0</v>
      </c>
    </row>
    <row r="444">
      <c r="A444" s="24">
        <v>135.0</v>
      </c>
      <c r="B444" s="168">
        <v>-47941.42</v>
      </c>
      <c r="C444" s="24" t="s">
        <v>5224</v>
      </c>
      <c r="D444" s="76">
        <v>7440.0</v>
      </c>
      <c r="E444" s="208">
        <v>-9028.0</v>
      </c>
      <c r="F444" s="168">
        <v>780714.0</v>
      </c>
      <c r="G444" s="209">
        <v>90974.0</v>
      </c>
      <c r="H444" s="168">
        <v>928120.0</v>
      </c>
      <c r="I444" s="208">
        <v>-78947.0</v>
      </c>
    </row>
    <row r="445">
      <c r="A445" s="24">
        <v>124.0</v>
      </c>
      <c r="B445" s="168">
        <v>-41175.35</v>
      </c>
      <c r="C445" s="24" t="s">
        <v>5225</v>
      </c>
      <c r="D445" s="76">
        <v>7441.0</v>
      </c>
      <c r="E445" s="208">
        <v>-26090.0</v>
      </c>
      <c r="F445" s="168">
        <v>754453.0</v>
      </c>
      <c r="G445" s="209">
        <v>-45703.0</v>
      </c>
      <c r="H445" s="168">
        <v>961497.0</v>
      </c>
      <c r="I445" s="208">
        <v>-26888.0</v>
      </c>
    </row>
    <row r="446">
      <c r="A446" s="24">
        <v>149.0</v>
      </c>
      <c r="B446" s="168">
        <v>39816.07</v>
      </c>
      <c r="C446" s="24" t="s">
        <v>5226</v>
      </c>
      <c r="D446" s="76">
        <v>7442.0</v>
      </c>
      <c r="E446" s="208">
        <v>75142.0</v>
      </c>
      <c r="F446" s="168">
        <v>883056.0</v>
      </c>
      <c r="G446" s="209">
        <v>64703.0</v>
      </c>
      <c r="H446" s="168">
        <v>419688.0</v>
      </c>
      <c r="I446" s="208">
        <v>-31334.0</v>
      </c>
    </row>
    <row r="447">
      <c r="A447" s="24">
        <v>114.0</v>
      </c>
      <c r="B447" s="168">
        <v>57074.11</v>
      </c>
      <c r="C447" s="24" t="s">
        <v>5227</v>
      </c>
      <c r="D447" s="76">
        <v>7443.0</v>
      </c>
      <c r="E447" s="208">
        <v>-23685.0</v>
      </c>
      <c r="F447" s="168">
        <v>663467.0</v>
      </c>
      <c r="G447" s="209">
        <v>-11375.0</v>
      </c>
      <c r="H447" s="168">
        <v>250632.0</v>
      </c>
      <c r="I447" s="208">
        <v>14441.0</v>
      </c>
    </row>
    <row r="448">
      <c r="A448" s="24">
        <v>101.0</v>
      </c>
      <c r="B448" s="168">
        <v>-73115.97</v>
      </c>
      <c r="C448" s="24" t="s">
        <v>5228</v>
      </c>
      <c r="D448" s="76">
        <v>7444.0</v>
      </c>
      <c r="E448" s="208">
        <v>-84212.0</v>
      </c>
      <c r="F448" s="168">
        <v>790723.0</v>
      </c>
      <c r="G448" s="209">
        <v>-94774.0</v>
      </c>
      <c r="H448" s="168">
        <v>541470.0</v>
      </c>
      <c r="I448" s="208">
        <v>55348.0</v>
      </c>
    </row>
    <row r="449">
      <c r="A449" s="24">
        <v>105.0</v>
      </c>
      <c r="B449" s="168">
        <v>-27143.05</v>
      </c>
      <c r="C449" s="24" t="s">
        <v>5229</v>
      </c>
      <c r="D449" s="76">
        <v>7445.0</v>
      </c>
      <c r="E449" s="208">
        <v>23419.0</v>
      </c>
      <c r="F449" s="168">
        <v>714182.0</v>
      </c>
      <c r="G449" s="209">
        <v>-9202.0</v>
      </c>
      <c r="H449" s="168">
        <v>488393.0</v>
      </c>
      <c r="I449" s="208">
        <v>36932.0</v>
      </c>
    </row>
    <row r="450">
      <c r="A450" s="24">
        <v>117.0</v>
      </c>
      <c r="B450" s="168">
        <v>-72393.6</v>
      </c>
      <c r="C450" s="24" t="s">
        <v>5230</v>
      </c>
      <c r="D450" s="76">
        <v>7446.0</v>
      </c>
      <c r="E450" s="208">
        <v>-61453.0</v>
      </c>
      <c r="F450" s="168">
        <v>876010.0</v>
      </c>
      <c r="G450" s="209">
        <v>667.0</v>
      </c>
      <c r="H450" s="168">
        <v>268749.0</v>
      </c>
      <c r="I450" s="208">
        <v>10578.0</v>
      </c>
    </row>
    <row r="451">
      <c r="A451" s="24">
        <v>107.0</v>
      </c>
      <c r="B451" s="168">
        <v>-42762.3</v>
      </c>
      <c r="C451" s="24" t="s">
        <v>5231</v>
      </c>
      <c r="D451" s="76">
        <v>7447.0</v>
      </c>
      <c r="E451" s="208">
        <v>-4531.0</v>
      </c>
      <c r="F451" s="168">
        <v>356026.0</v>
      </c>
      <c r="G451" s="209">
        <v>96142.0</v>
      </c>
      <c r="H451" s="168">
        <v>530791.0</v>
      </c>
      <c r="I451" s="208">
        <v>-59589.0</v>
      </c>
    </row>
    <row r="452">
      <c r="A452" s="24">
        <v>102.0</v>
      </c>
      <c r="B452" s="168">
        <v>-7977.96</v>
      </c>
      <c r="C452" s="24" t="s">
        <v>5232</v>
      </c>
      <c r="D452" s="76">
        <v>7448.0</v>
      </c>
      <c r="E452" s="208">
        <v>34095.0</v>
      </c>
      <c r="F452" s="168">
        <v>892265.0</v>
      </c>
      <c r="G452" s="209">
        <v>-63131.0</v>
      </c>
      <c r="H452" s="168">
        <v>143356.0</v>
      </c>
      <c r="I452" s="208">
        <v>-19434.0</v>
      </c>
    </row>
    <row r="453">
      <c r="A453" s="24">
        <v>132.0</v>
      </c>
      <c r="B453" s="168">
        <v>15103.43</v>
      </c>
      <c r="C453" s="24" t="s">
        <v>5233</v>
      </c>
      <c r="D453" s="76">
        <v>7449.0</v>
      </c>
      <c r="E453" s="208">
        <v>60623.0</v>
      </c>
      <c r="F453" s="168">
        <v>454121.0</v>
      </c>
      <c r="G453" s="209">
        <v>86450.0</v>
      </c>
      <c r="H453" s="168">
        <v>947335.0</v>
      </c>
      <c r="I453" s="208">
        <v>-73226.0</v>
      </c>
    </row>
    <row r="454">
      <c r="A454" s="24">
        <v>145.0</v>
      </c>
      <c r="B454" s="168">
        <v>-56210.01</v>
      </c>
      <c r="C454" s="24" t="s">
        <v>5185</v>
      </c>
      <c r="D454" s="76">
        <v>7450.0</v>
      </c>
      <c r="E454" s="208">
        <v>-73629.0</v>
      </c>
      <c r="F454" s="168">
        <v>257064.0</v>
      </c>
      <c r="G454" s="209">
        <v>-83893.0</v>
      </c>
      <c r="H454" s="168">
        <v>700349.0</v>
      </c>
      <c r="I454" s="208">
        <v>-2826.0</v>
      </c>
    </row>
    <row r="455">
      <c r="A455" s="24">
        <v>148.0</v>
      </c>
      <c r="B455" s="168">
        <v>50413.57</v>
      </c>
      <c r="C455" s="24" t="s">
        <v>5186</v>
      </c>
      <c r="D455" s="76">
        <v>7451.0</v>
      </c>
      <c r="E455" s="208">
        <v>44385.0</v>
      </c>
      <c r="F455" s="168">
        <v>414999.0</v>
      </c>
      <c r="G455" s="209">
        <v>-4672.0</v>
      </c>
      <c r="H455" s="168">
        <v>740277.0</v>
      </c>
      <c r="I455" s="208">
        <v>80428.0</v>
      </c>
    </row>
    <row r="456">
      <c r="A456" s="24">
        <v>136.0</v>
      </c>
      <c r="B456" s="168">
        <v>-78061.96</v>
      </c>
      <c r="C456" s="24" t="s">
        <v>5187</v>
      </c>
      <c r="D456" s="76">
        <v>7452.0</v>
      </c>
      <c r="E456" s="208">
        <v>-36466.0</v>
      </c>
      <c r="F456" s="168">
        <v>694900.0</v>
      </c>
      <c r="G456" s="209">
        <v>-71113.0</v>
      </c>
      <c r="H456" s="168">
        <v>600208.0</v>
      </c>
      <c r="I456" s="208">
        <v>-49813.0</v>
      </c>
    </row>
    <row r="457">
      <c r="A457" s="24">
        <v>104.0</v>
      </c>
      <c r="B457" s="168">
        <v>53793.77</v>
      </c>
      <c r="C457" s="24" t="s">
        <v>5188</v>
      </c>
      <c r="D457" s="76">
        <v>7453.0</v>
      </c>
      <c r="E457" s="208">
        <v>65896.0</v>
      </c>
      <c r="F457" s="168">
        <v>354954.0</v>
      </c>
      <c r="G457" s="209">
        <v>76583.0</v>
      </c>
      <c r="H457" s="168">
        <v>466977.0</v>
      </c>
      <c r="I457" s="208">
        <v>-70934.0</v>
      </c>
    </row>
    <row r="458">
      <c r="A458" s="24">
        <v>129.0</v>
      </c>
      <c r="B458" s="168">
        <v>91030.51</v>
      </c>
      <c r="C458" s="24" t="s">
        <v>5189</v>
      </c>
      <c r="D458" s="76">
        <v>7454.0</v>
      </c>
      <c r="E458" s="208">
        <v>-57542.0</v>
      </c>
      <c r="F458" s="168">
        <v>391635.0</v>
      </c>
      <c r="G458" s="209">
        <v>-65202.0</v>
      </c>
      <c r="H458" s="168">
        <v>377053.0</v>
      </c>
      <c r="I458" s="208">
        <v>4493.0</v>
      </c>
    </row>
    <row r="459">
      <c r="A459" s="24">
        <v>118.0</v>
      </c>
      <c r="B459" s="168">
        <v>73376.54</v>
      </c>
      <c r="C459" s="24" t="s">
        <v>5190</v>
      </c>
      <c r="D459" s="76">
        <v>7455.0</v>
      </c>
      <c r="E459" s="208">
        <v>-38741.0</v>
      </c>
      <c r="F459" s="168">
        <v>609542.0</v>
      </c>
      <c r="G459" s="209">
        <v>79829.0</v>
      </c>
      <c r="H459" s="168">
        <v>455812.0</v>
      </c>
      <c r="I459" s="208">
        <v>-96895.0</v>
      </c>
    </row>
    <row r="460">
      <c r="A460" s="24">
        <v>127.0</v>
      </c>
      <c r="B460" s="168">
        <v>-13608.17</v>
      </c>
      <c r="C460" s="24" t="s">
        <v>5191</v>
      </c>
      <c r="D460" s="76">
        <v>7456.0</v>
      </c>
      <c r="E460" s="208">
        <v>26019.0</v>
      </c>
      <c r="F460" s="168">
        <v>912597.0</v>
      </c>
      <c r="G460" s="209">
        <v>63061.0</v>
      </c>
      <c r="H460" s="168">
        <v>790043.0</v>
      </c>
      <c r="I460" s="208">
        <v>44898.0</v>
      </c>
    </row>
    <row r="461">
      <c r="A461" s="24">
        <v>125.0</v>
      </c>
      <c r="B461" s="168">
        <v>-70301.02</v>
      </c>
      <c r="C461" s="24" t="s">
        <v>5192</v>
      </c>
      <c r="D461" s="76">
        <v>7457.0</v>
      </c>
      <c r="E461" s="208">
        <v>-51520.0</v>
      </c>
      <c r="F461" s="168">
        <v>359961.0</v>
      </c>
      <c r="G461" s="209">
        <v>51431.0</v>
      </c>
      <c r="H461" s="168">
        <v>837619.0</v>
      </c>
      <c r="I461" s="208">
        <v>-16993.0</v>
      </c>
    </row>
    <row r="462">
      <c r="A462" s="24">
        <v>146.0</v>
      </c>
      <c r="B462" s="168">
        <v>11590.83</v>
      </c>
      <c r="C462" s="24" t="s">
        <v>5193</v>
      </c>
      <c r="D462" s="76">
        <v>7458.0</v>
      </c>
      <c r="E462" s="208">
        <v>-77010.0</v>
      </c>
      <c r="F462" s="168">
        <v>726134.0</v>
      </c>
      <c r="G462" s="209">
        <v>77726.0</v>
      </c>
      <c r="H462" s="168">
        <v>229436.0</v>
      </c>
      <c r="I462" s="208">
        <v>57974.0</v>
      </c>
    </row>
    <row r="463">
      <c r="A463" s="24">
        <v>111.0</v>
      </c>
      <c r="B463" s="168">
        <v>-61380.84</v>
      </c>
      <c r="C463" s="24" t="s">
        <v>5194</v>
      </c>
      <c r="D463" s="76">
        <v>7459.0</v>
      </c>
      <c r="E463" s="208">
        <v>-2722.0</v>
      </c>
      <c r="F463" s="168">
        <v>161433.0</v>
      </c>
      <c r="G463" s="209">
        <v>-14458.0</v>
      </c>
      <c r="H463" s="168">
        <v>421242.0</v>
      </c>
      <c r="I463" s="208">
        <v>91318.0</v>
      </c>
    </row>
    <row r="464">
      <c r="A464" s="24">
        <v>103.0</v>
      </c>
      <c r="B464" s="168">
        <v>92811.25</v>
      </c>
      <c r="C464" s="24" t="s">
        <v>5195</v>
      </c>
      <c r="D464" s="76">
        <v>7460.0</v>
      </c>
      <c r="E464" s="208">
        <v>92485.0</v>
      </c>
      <c r="F464" s="168">
        <v>546306.0</v>
      </c>
      <c r="G464" s="209">
        <v>-98197.0</v>
      </c>
      <c r="H464" s="168">
        <v>752338.0</v>
      </c>
      <c r="I464" s="208">
        <v>72894.0</v>
      </c>
    </row>
    <row r="465">
      <c r="A465" s="24">
        <v>142.0</v>
      </c>
      <c r="B465" s="168">
        <v>-46377.28</v>
      </c>
      <c r="C465" s="24" t="s">
        <v>5196</v>
      </c>
      <c r="D465" s="76">
        <v>7461.0</v>
      </c>
      <c r="E465" s="208">
        <v>26599.0</v>
      </c>
      <c r="F465" s="168">
        <v>691398.0</v>
      </c>
      <c r="G465" s="209">
        <v>11992.0</v>
      </c>
      <c r="H465" s="168">
        <v>868407.0</v>
      </c>
      <c r="I465" s="208">
        <v>-99858.0</v>
      </c>
    </row>
    <row r="466">
      <c r="A466" s="24">
        <v>100.0</v>
      </c>
      <c r="B466" s="168">
        <v>-89030.96</v>
      </c>
      <c r="C466" s="24" t="s">
        <v>5197</v>
      </c>
      <c r="D466" s="76">
        <v>7462.0</v>
      </c>
      <c r="E466" s="208">
        <v>-61407.0</v>
      </c>
      <c r="F466" s="168">
        <v>566283.0</v>
      </c>
      <c r="G466" s="209">
        <v>-91802.0</v>
      </c>
      <c r="H466" s="168">
        <v>362302.0</v>
      </c>
      <c r="I466" s="208">
        <v>53122.0</v>
      </c>
    </row>
    <row r="467">
      <c r="A467" s="24">
        <v>109.0</v>
      </c>
      <c r="B467" s="168">
        <v>48972.6</v>
      </c>
      <c r="C467" s="24" t="s">
        <v>5198</v>
      </c>
      <c r="D467" s="76">
        <v>7463.0</v>
      </c>
      <c r="E467" s="208">
        <v>67792.0</v>
      </c>
      <c r="F467" s="168">
        <v>380235.0</v>
      </c>
      <c r="G467" s="209">
        <v>-44438.0</v>
      </c>
      <c r="H467" s="168">
        <v>269223.0</v>
      </c>
      <c r="I467" s="208">
        <v>-70681.0</v>
      </c>
    </row>
    <row r="468">
      <c r="A468" s="24">
        <v>144.0</v>
      </c>
      <c r="B468" s="168">
        <v>-91416.41</v>
      </c>
      <c r="C468" s="24" t="s">
        <v>5199</v>
      </c>
      <c r="D468" s="76">
        <v>7464.0</v>
      </c>
      <c r="E468" s="208">
        <v>-76832.0</v>
      </c>
      <c r="F468" s="168">
        <v>554928.0</v>
      </c>
      <c r="G468" s="209">
        <v>22204.0</v>
      </c>
      <c r="H468" s="168">
        <v>225043.0</v>
      </c>
      <c r="I468" s="208">
        <v>-79669.0</v>
      </c>
    </row>
    <row r="469">
      <c r="A469" s="24">
        <v>133.0</v>
      </c>
      <c r="B469" s="168">
        <v>37218.52</v>
      </c>
      <c r="C469" s="24" t="s">
        <v>5200</v>
      </c>
      <c r="D469" s="76">
        <v>7465.0</v>
      </c>
      <c r="E469" s="208">
        <v>-17818.0</v>
      </c>
      <c r="F469" s="168">
        <v>382017.0</v>
      </c>
      <c r="G469" s="209">
        <v>-26697.0</v>
      </c>
      <c r="H469" s="168">
        <v>236527.0</v>
      </c>
      <c r="I469" s="208">
        <v>52967.0</v>
      </c>
    </row>
    <row r="470">
      <c r="A470" s="24">
        <v>134.0</v>
      </c>
      <c r="B470" s="168">
        <v>-65867.53</v>
      </c>
      <c r="C470" s="24" t="s">
        <v>5201</v>
      </c>
      <c r="D470" s="76">
        <v>7466.0</v>
      </c>
      <c r="E470" s="208">
        <v>22294.0</v>
      </c>
      <c r="F470" s="168">
        <v>536422.0</v>
      </c>
      <c r="G470" s="209">
        <v>-11917.0</v>
      </c>
      <c r="H470" s="168">
        <v>862054.0</v>
      </c>
      <c r="I470" s="208">
        <v>-26758.0</v>
      </c>
    </row>
    <row r="471">
      <c r="A471" s="24">
        <v>123.0</v>
      </c>
      <c r="B471" s="168">
        <v>10228.9</v>
      </c>
      <c r="C471" s="24" t="s">
        <v>5202</v>
      </c>
      <c r="D471" s="76">
        <v>7467.0</v>
      </c>
      <c r="E471" s="208">
        <v>-87611.0</v>
      </c>
      <c r="F471" s="168">
        <v>409247.0</v>
      </c>
      <c r="G471" s="209">
        <v>77093.0</v>
      </c>
      <c r="H471" s="168">
        <v>238300.0</v>
      </c>
      <c r="I471" s="208">
        <v>-84921.0</v>
      </c>
    </row>
    <row r="472">
      <c r="A472" s="24">
        <v>106.0</v>
      </c>
      <c r="B472" s="168">
        <v>-76721.77</v>
      </c>
      <c r="C472" s="24" t="s">
        <v>5203</v>
      </c>
      <c r="D472" s="76">
        <v>7468.0</v>
      </c>
      <c r="E472" s="208">
        <v>-13447.0</v>
      </c>
      <c r="F472" s="168">
        <v>305962.0</v>
      </c>
      <c r="G472" s="209">
        <v>23271.0</v>
      </c>
      <c r="H472" s="168">
        <v>247850.0</v>
      </c>
      <c r="I472" s="208">
        <v>-87564.0</v>
      </c>
    </row>
    <row r="473">
      <c r="A473" s="24">
        <v>122.0</v>
      </c>
      <c r="B473" s="168">
        <v>-9491.45</v>
      </c>
      <c r="C473" s="24" t="s">
        <v>5204</v>
      </c>
      <c r="D473" s="76">
        <v>7469.0</v>
      </c>
      <c r="E473" s="208">
        <v>3845.0</v>
      </c>
      <c r="F473" s="168">
        <v>586855.0</v>
      </c>
      <c r="G473" s="209">
        <v>47942.0</v>
      </c>
      <c r="H473" s="168">
        <v>275645.0</v>
      </c>
      <c r="I473" s="208">
        <v>-49340.0</v>
      </c>
    </row>
    <row r="474">
      <c r="A474" s="24">
        <v>143.0</v>
      </c>
      <c r="B474" s="168">
        <v>31230.27</v>
      </c>
      <c r="C474" s="24" t="s">
        <v>5205</v>
      </c>
      <c r="D474" s="76">
        <v>7470.0</v>
      </c>
      <c r="E474" s="208">
        <v>-64487.0</v>
      </c>
      <c r="F474" s="168">
        <v>419078.0</v>
      </c>
      <c r="G474" s="209">
        <v>49765.0</v>
      </c>
      <c r="H474" s="168">
        <v>331481.0</v>
      </c>
      <c r="I474" s="208">
        <v>5596.0</v>
      </c>
    </row>
    <row r="475">
      <c r="A475" s="24">
        <v>131.0</v>
      </c>
      <c r="B475" s="168">
        <v>-40629.61</v>
      </c>
      <c r="C475" s="24" t="s">
        <v>5206</v>
      </c>
      <c r="D475" s="76">
        <v>7471.0</v>
      </c>
      <c r="E475" s="208">
        <v>65314.0</v>
      </c>
      <c r="F475" s="168">
        <v>801465.0</v>
      </c>
      <c r="G475" s="209">
        <v>91208.0</v>
      </c>
      <c r="H475" s="168">
        <v>298294.0</v>
      </c>
      <c r="I475" s="208">
        <v>-10751.0</v>
      </c>
    </row>
    <row r="476">
      <c r="A476" s="24">
        <v>147.0</v>
      </c>
      <c r="B476" s="168">
        <v>-64706.8</v>
      </c>
      <c r="C476" s="24" t="s">
        <v>5207</v>
      </c>
      <c r="D476" s="76">
        <v>7472.0</v>
      </c>
      <c r="E476" s="208">
        <v>-80960.0</v>
      </c>
      <c r="F476" s="168">
        <v>517247.0</v>
      </c>
      <c r="G476" s="209">
        <v>-42352.0</v>
      </c>
      <c r="H476" s="168">
        <v>278861.0</v>
      </c>
      <c r="I476" s="208">
        <v>-3413.0</v>
      </c>
    </row>
    <row r="477">
      <c r="A477" s="24">
        <v>121.0</v>
      </c>
      <c r="B477" s="168">
        <v>-46275.92</v>
      </c>
      <c r="C477" s="24" t="s">
        <v>5208</v>
      </c>
      <c r="D477" s="76">
        <v>7473.0</v>
      </c>
      <c r="E477" s="208">
        <v>55081.0</v>
      </c>
      <c r="F477" s="168">
        <v>118549.0</v>
      </c>
      <c r="G477" s="209">
        <v>-87058.0</v>
      </c>
      <c r="H477" s="168">
        <v>517021.0</v>
      </c>
      <c r="I477" s="208">
        <v>21312.0</v>
      </c>
    </row>
    <row r="478">
      <c r="A478" s="24">
        <v>113.0</v>
      </c>
      <c r="B478" s="168">
        <v>-74027.05</v>
      </c>
      <c r="C478" s="24" t="s">
        <v>5209</v>
      </c>
      <c r="D478" s="76">
        <v>7474.0</v>
      </c>
      <c r="E478" s="208">
        <v>21718.0</v>
      </c>
      <c r="F478" s="168">
        <v>220018.0</v>
      </c>
      <c r="G478" s="209">
        <v>64656.0</v>
      </c>
      <c r="H478" s="168">
        <v>128471.0</v>
      </c>
      <c r="I478" s="208">
        <v>88315.0</v>
      </c>
    </row>
    <row r="479">
      <c r="A479" s="24">
        <v>130.0</v>
      </c>
      <c r="B479" s="168">
        <v>69564.59</v>
      </c>
      <c r="C479" s="24" t="s">
        <v>5210</v>
      </c>
      <c r="D479" s="76">
        <v>7475.0</v>
      </c>
      <c r="E479" s="208">
        <v>45914.0</v>
      </c>
      <c r="F479" s="168">
        <v>526493.0</v>
      </c>
      <c r="G479" s="209">
        <v>97792.0</v>
      </c>
      <c r="H479" s="168">
        <v>901273.0</v>
      </c>
      <c r="I479" s="208">
        <v>-14627.0</v>
      </c>
    </row>
    <row r="480">
      <c r="A480" s="24">
        <v>112.0</v>
      </c>
      <c r="B480" s="168">
        <v>93820.4</v>
      </c>
      <c r="C480" s="24" t="s">
        <v>5211</v>
      </c>
      <c r="D480" s="76">
        <v>7476.0</v>
      </c>
      <c r="E480" s="208">
        <v>58258.0</v>
      </c>
      <c r="F480" s="168">
        <v>921769.0</v>
      </c>
      <c r="G480" s="209">
        <v>94867.0</v>
      </c>
      <c r="H480" s="168">
        <v>820792.0</v>
      </c>
      <c r="I480" s="208">
        <v>-81352.0</v>
      </c>
    </row>
    <row r="481">
      <c r="A481" s="24">
        <v>110.0</v>
      </c>
      <c r="B481" s="168">
        <v>37554.16</v>
      </c>
      <c r="C481" s="24" t="s">
        <v>5212</v>
      </c>
      <c r="D481" s="76">
        <v>7477.0</v>
      </c>
      <c r="E481" s="208">
        <v>55649.0</v>
      </c>
      <c r="F481" s="168">
        <v>495821.0</v>
      </c>
      <c r="G481" s="209">
        <v>28769.0</v>
      </c>
      <c r="H481" s="168">
        <v>529568.0</v>
      </c>
      <c r="I481" s="208">
        <v>15073.0</v>
      </c>
    </row>
    <row r="482">
      <c r="A482" s="24">
        <v>138.0</v>
      </c>
      <c r="B482" s="168">
        <v>-59055.77</v>
      </c>
      <c r="C482" s="24" t="s">
        <v>5213</v>
      </c>
      <c r="D482" s="76">
        <v>7478.0</v>
      </c>
      <c r="E482" s="208">
        <v>99962.0</v>
      </c>
      <c r="F482" s="168">
        <v>391889.0</v>
      </c>
      <c r="G482" s="209">
        <v>-48694.0</v>
      </c>
      <c r="H482" s="168">
        <v>691882.0</v>
      </c>
      <c r="I482" s="208">
        <v>9392.0</v>
      </c>
    </row>
    <row r="483">
      <c r="A483" s="24">
        <v>120.0</v>
      </c>
      <c r="B483" s="168">
        <v>-74936.33</v>
      </c>
      <c r="C483" s="24" t="s">
        <v>5214</v>
      </c>
      <c r="D483" s="76">
        <v>7479.0</v>
      </c>
      <c r="E483" s="208">
        <v>-32386.0</v>
      </c>
      <c r="F483" s="168">
        <v>291013.0</v>
      </c>
      <c r="G483" s="209">
        <v>29886.0</v>
      </c>
      <c r="H483" s="168">
        <v>717369.0</v>
      </c>
      <c r="I483" s="208">
        <v>40723.0</v>
      </c>
    </row>
    <row r="484">
      <c r="A484" s="24">
        <v>115.0</v>
      </c>
      <c r="B484" s="168">
        <v>-81041.43</v>
      </c>
      <c r="C484" s="24" t="s">
        <v>5215</v>
      </c>
      <c r="D484" s="76">
        <v>7480.0</v>
      </c>
      <c r="E484" s="208">
        <v>-24814.0</v>
      </c>
      <c r="F484" s="168">
        <v>354772.0</v>
      </c>
      <c r="G484" s="209">
        <v>-8910.0</v>
      </c>
      <c r="H484" s="168">
        <v>117120.0</v>
      </c>
      <c r="I484" s="208">
        <v>33798.0</v>
      </c>
    </row>
    <row r="485">
      <c r="A485" s="24">
        <v>141.0</v>
      </c>
      <c r="B485" s="168">
        <v>-93433.05</v>
      </c>
      <c r="C485" s="24" t="s">
        <v>5216</v>
      </c>
      <c r="D485" s="76">
        <v>7481.0</v>
      </c>
      <c r="E485" s="208">
        <v>4035.0</v>
      </c>
      <c r="F485" s="168">
        <v>550881.0</v>
      </c>
      <c r="G485" s="209">
        <v>47454.0</v>
      </c>
      <c r="H485" s="168">
        <v>775744.0</v>
      </c>
      <c r="I485" s="208">
        <v>60736.0</v>
      </c>
    </row>
    <row r="486">
      <c r="A486" s="24">
        <v>137.0</v>
      </c>
      <c r="B486" s="168">
        <v>-27709.86</v>
      </c>
      <c r="C486" s="24" t="s">
        <v>5214</v>
      </c>
      <c r="D486" s="76">
        <v>7482.0</v>
      </c>
      <c r="E486" s="208">
        <v>68429.0</v>
      </c>
      <c r="F486" s="168">
        <v>126526.0</v>
      </c>
      <c r="G486" s="209">
        <v>-10069.0</v>
      </c>
      <c r="H486" s="168">
        <v>185852.0</v>
      </c>
      <c r="I486" s="208">
        <v>-29271.0</v>
      </c>
    </row>
    <row r="487">
      <c r="A487" s="24">
        <v>108.0</v>
      </c>
      <c r="B487" s="168">
        <v>-46865.96</v>
      </c>
      <c r="C487" s="24" t="s">
        <v>5217</v>
      </c>
      <c r="D487" s="76">
        <v>7483.0</v>
      </c>
      <c r="E487" s="208">
        <v>44322.0</v>
      </c>
      <c r="F487" s="168">
        <v>914846.0</v>
      </c>
      <c r="G487" s="209">
        <v>-14012.0</v>
      </c>
      <c r="H487" s="168">
        <v>943274.0</v>
      </c>
      <c r="I487" s="208">
        <v>-24720.0</v>
      </c>
    </row>
    <row r="488">
      <c r="A488" s="24">
        <v>116.0</v>
      </c>
      <c r="B488" s="168">
        <v>67318.2</v>
      </c>
      <c r="C488" s="24" t="s">
        <v>5218</v>
      </c>
      <c r="D488" s="76">
        <v>7484.0</v>
      </c>
      <c r="E488" s="208">
        <v>79234.0</v>
      </c>
      <c r="F488" s="168">
        <v>398121.0</v>
      </c>
      <c r="G488" s="209">
        <v>-8933.0</v>
      </c>
      <c r="H488" s="168">
        <v>694405.0</v>
      </c>
      <c r="I488" s="208">
        <v>-14856.0</v>
      </c>
    </row>
    <row r="489">
      <c r="A489" s="24">
        <v>126.0</v>
      </c>
      <c r="B489" s="168">
        <v>67035.49</v>
      </c>
      <c r="C489" s="24" t="s">
        <v>5219</v>
      </c>
      <c r="D489" s="76">
        <v>7485.0</v>
      </c>
      <c r="E489" s="208">
        <v>61093.0</v>
      </c>
      <c r="F489" s="168">
        <v>308008.0</v>
      </c>
      <c r="G489" s="209">
        <v>-87472.0</v>
      </c>
      <c r="H489" s="168">
        <v>945815.0</v>
      </c>
      <c r="I489" s="208">
        <v>33983.0</v>
      </c>
    </row>
    <row r="490">
      <c r="A490" s="24">
        <v>139.0</v>
      </c>
      <c r="B490" s="168">
        <v>-29419.9</v>
      </c>
      <c r="C490" s="24" t="s">
        <v>5220</v>
      </c>
      <c r="D490" s="76">
        <v>7486.0</v>
      </c>
      <c r="E490" s="208">
        <v>60931.0</v>
      </c>
      <c r="F490" s="168">
        <v>486982.0</v>
      </c>
      <c r="G490" s="209">
        <v>67881.0</v>
      </c>
      <c r="H490" s="168">
        <v>110844.0</v>
      </c>
      <c r="I490" s="208">
        <v>-12875.0</v>
      </c>
    </row>
    <row r="491">
      <c r="A491" s="24">
        <v>128.0</v>
      </c>
      <c r="B491" s="168">
        <v>-64833.28</v>
      </c>
      <c r="C491" s="24" t="s">
        <v>5221</v>
      </c>
      <c r="D491" s="76">
        <v>7487.0</v>
      </c>
      <c r="E491" s="208">
        <v>-42061.0</v>
      </c>
      <c r="F491" s="168">
        <v>313496.0</v>
      </c>
      <c r="G491" s="209">
        <v>-97670.0</v>
      </c>
      <c r="H491" s="168">
        <v>211512.0</v>
      </c>
      <c r="I491" s="208">
        <v>73850.0</v>
      </c>
    </row>
    <row r="492">
      <c r="A492" s="24">
        <v>140.0</v>
      </c>
      <c r="B492" s="168">
        <v>-39015.59</v>
      </c>
      <c r="C492" s="24" t="s">
        <v>5222</v>
      </c>
      <c r="D492" s="76">
        <v>7488.0</v>
      </c>
      <c r="E492" s="208">
        <v>33150.0</v>
      </c>
      <c r="F492" s="168">
        <v>413720.0</v>
      </c>
      <c r="G492" s="209">
        <v>-69020.0</v>
      </c>
      <c r="H492" s="168">
        <v>422132.0</v>
      </c>
      <c r="I492" s="208">
        <v>92336.0</v>
      </c>
    </row>
    <row r="493">
      <c r="A493" s="24">
        <v>119.0</v>
      </c>
      <c r="B493" s="168">
        <v>-85042.98</v>
      </c>
      <c r="C493" s="24" t="s">
        <v>5223</v>
      </c>
      <c r="D493" s="76">
        <v>7489.0</v>
      </c>
      <c r="E493" s="208">
        <v>46766.0</v>
      </c>
      <c r="F493" s="168">
        <v>268780.0</v>
      </c>
      <c r="G493" s="209">
        <v>82781.0</v>
      </c>
      <c r="H493" s="168">
        <v>197862.0</v>
      </c>
      <c r="I493" s="208">
        <v>-88506.0</v>
      </c>
    </row>
    <row r="494">
      <c r="A494" s="24">
        <v>135.0</v>
      </c>
      <c r="B494" s="168">
        <v>-11843.66</v>
      </c>
      <c r="C494" s="24" t="s">
        <v>5224</v>
      </c>
      <c r="D494" s="76">
        <v>7490.0</v>
      </c>
      <c r="E494" s="208">
        <v>-9572.0</v>
      </c>
      <c r="F494" s="168">
        <v>191743.0</v>
      </c>
      <c r="G494" s="209">
        <v>-37282.0</v>
      </c>
      <c r="H494" s="168">
        <v>504674.0</v>
      </c>
      <c r="I494" s="208">
        <v>82766.0</v>
      </c>
    </row>
    <row r="495">
      <c r="A495" s="24">
        <v>124.0</v>
      </c>
      <c r="B495" s="168">
        <v>-34275.02</v>
      </c>
      <c r="C495" s="24" t="s">
        <v>5225</v>
      </c>
      <c r="D495" s="76">
        <v>7491.0</v>
      </c>
      <c r="E495" s="208">
        <v>-3963.0</v>
      </c>
      <c r="F495" s="168">
        <v>701213.0</v>
      </c>
      <c r="G495" s="209">
        <v>2399.0</v>
      </c>
      <c r="H495" s="168">
        <v>391792.0</v>
      </c>
      <c r="I495" s="208">
        <v>-71398.0</v>
      </c>
    </row>
    <row r="496">
      <c r="A496" s="24">
        <v>149.0</v>
      </c>
      <c r="B496" s="168">
        <v>44320.82</v>
      </c>
      <c r="C496" s="24" t="s">
        <v>5226</v>
      </c>
      <c r="D496" s="76">
        <v>7492.0</v>
      </c>
      <c r="E496" s="208">
        <v>-9590.0</v>
      </c>
      <c r="F496" s="168">
        <v>303651.0</v>
      </c>
      <c r="G496" s="209">
        <v>51661.0</v>
      </c>
      <c r="H496" s="168">
        <v>730681.0</v>
      </c>
      <c r="I496" s="208">
        <v>-17020.0</v>
      </c>
    </row>
    <row r="497">
      <c r="A497" s="24">
        <v>114.0</v>
      </c>
      <c r="B497" s="168">
        <v>15319.95</v>
      </c>
      <c r="C497" s="24" t="s">
        <v>5227</v>
      </c>
      <c r="D497" s="76">
        <v>7493.0</v>
      </c>
      <c r="E497" s="208">
        <v>36465.0</v>
      </c>
      <c r="F497" s="168">
        <v>900842.0</v>
      </c>
      <c r="G497" s="209">
        <v>92333.0</v>
      </c>
      <c r="H497" s="168">
        <v>282908.0</v>
      </c>
      <c r="I497" s="208">
        <v>-42746.0</v>
      </c>
    </row>
    <row r="498">
      <c r="A498" s="24">
        <v>101.0</v>
      </c>
      <c r="B498" s="168">
        <v>-90566.75</v>
      </c>
      <c r="C498" s="24" t="s">
        <v>5228</v>
      </c>
      <c r="D498" s="76">
        <v>7494.0</v>
      </c>
      <c r="E498" s="208">
        <v>46724.0</v>
      </c>
      <c r="F498" s="168">
        <v>878983.0</v>
      </c>
      <c r="G498" s="209">
        <v>86507.0</v>
      </c>
      <c r="H498" s="168">
        <v>247356.0</v>
      </c>
      <c r="I498" s="208">
        <v>-97428.0</v>
      </c>
    </row>
    <row r="499">
      <c r="A499" s="24">
        <v>105.0</v>
      </c>
      <c r="B499" s="168">
        <v>-86800.38</v>
      </c>
      <c r="C499" s="24" t="s">
        <v>5229</v>
      </c>
      <c r="D499" s="76">
        <v>7495.0</v>
      </c>
      <c r="E499" s="208">
        <v>76365.0</v>
      </c>
      <c r="F499" s="168">
        <v>434183.0</v>
      </c>
      <c r="G499" s="209">
        <v>4779.0</v>
      </c>
      <c r="H499" s="168">
        <v>881703.0</v>
      </c>
      <c r="I499" s="208">
        <v>24316.0</v>
      </c>
    </row>
    <row r="500">
      <c r="A500" s="24">
        <v>117.0</v>
      </c>
      <c r="B500" s="168">
        <v>88473.22</v>
      </c>
      <c r="C500" s="24" t="s">
        <v>5230</v>
      </c>
      <c r="D500" s="76">
        <v>7496.0</v>
      </c>
      <c r="E500" s="208">
        <v>-14910.0</v>
      </c>
      <c r="F500" s="168">
        <v>296227.0</v>
      </c>
      <c r="G500" s="209">
        <v>75406.0</v>
      </c>
      <c r="H500" s="168">
        <v>442798.0</v>
      </c>
      <c r="I500" s="208">
        <v>71940.0</v>
      </c>
    </row>
    <row r="501">
      <c r="A501" s="24">
        <v>107.0</v>
      </c>
      <c r="B501" s="168">
        <v>-344.29</v>
      </c>
      <c r="C501" s="24" t="s">
        <v>5231</v>
      </c>
      <c r="D501" s="76">
        <v>7497.0</v>
      </c>
      <c r="E501" s="208">
        <v>93015.0</v>
      </c>
      <c r="F501" s="168">
        <v>440217.0</v>
      </c>
      <c r="G501" s="209">
        <v>-54963.0</v>
      </c>
      <c r="H501" s="168">
        <v>731235.0</v>
      </c>
      <c r="I501" s="208">
        <v>-12667.0</v>
      </c>
    </row>
    <row r="502">
      <c r="A502" s="24">
        <v>102.0</v>
      </c>
      <c r="B502" s="168">
        <v>-19046.49</v>
      </c>
      <c r="C502" s="24" t="s">
        <v>5232</v>
      </c>
      <c r="D502" s="76">
        <v>7498.0</v>
      </c>
      <c r="E502" s="208">
        <v>-54642.0</v>
      </c>
      <c r="F502" s="168">
        <v>491604.0</v>
      </c>
      <c r="G502" s="209">
        <v>60008.0</v>
      </c>
      <c r="H502" s="168">
        <v>600772.0</v>
      </c>
      <c r="I502" s="208">
        <v>-44871.0</v>
      </c>
    </row>
    <row r="503">
      <c r="A503" s="24">
        <v>132.0</v>
      </c>
      <c r="B503" s="168">
        <v>39483.57</v>
      </c>
      <c r="C503" s="24" t="s">
        <v>5233</v>
      </c>
      <c r="D503" s="76">
        <v>7499.0</v>
      </c>
      <c r="E503" s="208">
        <v>96235.0</v>
      </c>
      <c r="F503" s="168">
        <v>910371.0</v>
      </c>
      <c r="G503" s="209">
        <v>-55360.0</v>
      </c>
      <c r="H503" s="168">
        <v>997518.0</v>
      </c>
      <c r="I503" s="208">
        <v>23791.0</v>
      </c>
    </row>
    <row r="504">
      <c r="A504" s="24">
        <v>145.0</v>
      </c>
      <c r="B504" s="168">
        <v>-87053.84</v>
      </c>
      <c r="C504" s="24" t="s">
        <v>5185</v>
      </c>
      <c r="D504" s="76">
        <v>7500.0</v>
      </c>
      <c r="E504" s="208">
        <v>-41557.0</v>
      </c>
      <c r="F504" s="168">
        <v>711644.0</v>
      </c>
      <c r="G504" s="209">
        <v>23210.0</v>
      </c>
      <c r="H504" s="168">
        <v>778022.0</v>
      </c>
      <c r="I504" s="208">
        <v>58922.0</v>
      </c>
    </row>
    <row r="505">
      <c r="A505" s="24">
        <v>148.0</v>
      </c>
      <c r="B505" s="168">
        <v>5047.17</v>
      </c>
      <c r="C505" s="24" t="s">
        <v>5186</v>
      </c>
      <c r="D505" s="76">
        <v>7501.0</v>
      </c>
      <c r="E505" s="208">
        <v>98405.0</v>
      </c>
      <c r="F505" s="168">
        <v>978045.0</v>
      </c>
      <c r="G505" s="209">
        <v>-68425.0</v>
      </c>
      <c r="H505" s="168">
        <v>255510.0</v>
      </c>
      <c r="I505" s="208">
        <v>-39348.0</v>
      </c>
    </row>
    <row r="506">
      <c r="A506" s="24">
        <v>136.0</v>
      </c>
      <c r="B506" s="168">
        <v>-54775.49</v>
      </c>
      <c r="C506" s="24" t="s">
        <v>5187</v>
      </c>
      <c r="D506" s="76">
        <v>7502.0</v>
      </c>
      <c r="E506" s="208">
        <v>47829.0</v>
      </c>
      <c r="F506" s="168">
        <v>133317.0</v>
      </c>
      <c r="G506" s="209">
        <v>-81923.0</v>
      </c>
      <c r="H506" s="168">
        <v>705795.0</v>
      </c>
      <c r="I506" s="208">
        <v>-66516.0</v>
      </c>
    </row>
    <row r="507">
      <c r="A507" s="24">
        <v>104.0</v>
      </c>
      <c r="B507" s="168">
        <v>3236.11</v>
      </c>
      <c r="C507" s="24" t="s">
        <v>5188</v>
      </c>
      <c r="D507" s="76">
        <v>7503.0</v>
      </c>
      <c r="E507" s="208">
        <v>16199.0</v>
      </c>
      <c r="F507" s="168">
        <v>167980.0</v>
      </c>
      <c r="G507" s="209">
        <v>-75914.0</v>
      </c>
      <c r="H507" s="168">
        <v>583756.0</v>
      </c>
      <c r="I507" s="208">
        <v>25281.0</v>
      </c>
    </row>
    <row r="508">
      <c r="A508" s="24">
        <v>129.0</v>
      </c>
      <c r="B508" s="168">
        <v>-4756.16</v>
      </c>
      <c r="C508" s="24" t="s">
        <v>5189</v>
      </c>
      <c r="D508" s="76">
        <v>7504.0</v>
      </c>
      <c r="E508" s="208">
        <v>-66017.0</v>
      </c>
      <c r="F508" s="168">
        <v>139461.0</v>
      </c>
      <c r="G508" s="209">
        <v>18277.0</v>
      </c>
      <c r="H508" s="168">
        <v>974675.0</v>
      </c>
      <c r="I508" s="208">
        <v>-68486.0</v>
      </c>
    </row>
    <row r="509">
      <c r="A509" s="24">
        <v>118.0</v>
      </c>
      <c r="B509" s="168">
        <v>17629.2</v>
      </c>
      <c r="C509" s="24" t="s">
        <v>5190</v>
      </c>
      <c r="D509" s="76">
        <v>7505.0</v>
      </c>
      <c r="E509" s="208">
        <v>17823.0</v>
      </c>
      <c r="F509" s="168">
        <v>305913.0</v>
      </c>
      <c r="G509" s="209">
        <v>98208.0</v>
      </c>
      <c r="H509" s="168">
        <v>222200.0</v>
      </c>
      <c r="I509" s="208">
        <v>-51120.0</v>
      </c>
    </row>
    <row r="510">
      <c r="A510" s="24">
        <v>127.0</v>
      </c>
      <c r="B510" s="168">
        <v>56695.21</v>
      </c>
      <c r="C510" s="24" t="s">
        <v>5191</v>
      </c>
      <c r="D510" s="76">
        <v>7506.0</v>
      </c>
      <c r="E510" s="208">
        <v>57989.0</v>
      </c>
      <c r="F510" s="168">
        <v>370640.0</v>
      </c>
      <c r="G510" s="209">
        <v>94546.0</v>
      </c>
      <c r="H510" s="168">
        <v>236793.0</v>
      </c>
      <c r="I510" s="208">
        <v>-89753.0</v>
      </c>
    </row>
    <row r="511">
      <c r="A511" s="24">
        <v>125.0</v>
      </c>
      <c r="B511" s="168">
        <v>90937.61</v>
      </c>
      <c r="C511" s="24" t="s">
        <v>5192</v>
      </c>
      <c r="D511" s="76">
        <v>7507.0</v>
      </c>
      <c r="E511" s="208">
        <v>-88811.0</v>
      </c>
      <c r="F511" s="168">
        <v>125734.0</v>
      </c>
      <c r="G511" s="209">
        <v>14617.0</v>
      </c>
      <c r="H511" s="168">
        <v>503538.0</v>
      </c>
      <c r="I511" s="208">
        <v>15848.0</v>
      </c>
    </row>
    <row r="512">
      <c r="A512" s="24">
        <v>146.0</v>
      </c>
      <c r="B512" s="168">
        <v>36891.77</v>
      </c>
      <c r="C512" s="24" t="s">
        <v>5193</v>
      </c>
      <c r="D512" s="76">
        <v>7508.0</v>
      </c>
      <c r="E512" s="208">
        <v>-82681.0</v>
      </c>
      <c r="F512" s="168">
        <v>820998.0</v>
      </c>
      <c r="G512" s="209">
        <v>98177.0</v>
      </c>
      <c r="H512" s="168">
        <v>689684.0</v>
      </c>
      <c r="I512" s="208">
        <v>74770.0</v>
      </c>
    </row>
    <row r="513">
      <c r="A513" s="24">
        <v>111.0</v>
      </c>
      <c r="B513" s="168">
        <v>-52920.06</v>
      </c>
      <c r="C513" s="24" t="s">
        <v>5194</v>
      </c>
      <c r="D513" s="76">
        <v>7509.0</v>
      </c>
      <c r="E513" s="208">
        <v>-7303.0</v>
      </c>
      <c r="F513" s="168">
        <v>163725.0</v>
      </c>
      <c r="G513" s="209">
        <v>90151.0</v>
      </c>
      <c r="H513" s="168">
        <v>157350.0</v>
      </c>
      <c r="I513" s="208">
        <v>36369.0</v>
      </c>
    </row>
    <row r="514">
      <c r="A514" s="24">
        <v>103.0</v>
      </c>
      <c r="B514" s="168">
        <v>-13951.47</v>
      </c>
      <c r="C514" s="24" t="s">
        <v>5195</v>
      </c>
      <c r="D514" s="76">
        <v>7510.0</v>
      </c>
      <c r="E514" s="208">
        <v>4571.0</v>
      </c>
      <c r="F514" s="168">
        <v>312125.0</v>
      </c>
      <c r="G514" s="209">
        <v>-38098.0</v>
      </c>
      <c r="H514" s="168">
        <v>906288.0</v>
      </c>
      <c r="I514" s="208">
        <v>68572.0</v>
      </c>
    </row>
    <row r="515">
      <c r="A515" s="24">
        <v>142.0</v>
      </c>
      <c r="B515" s="168">
        <v>-98851.38</v>
      </c>
      <c r="C515" s="24" t="s">
        <v>5196</v>
      </c>
      <c r="D515" s="76">
        <v>7511.0</v>
      </c>
      <c r="E515" s="208">
        <v>96329.0</v>
      </c>
      <c r="F515" s="168">
        <v>408159.0</v>
      </c>
      <c r="G515" s="209">
        <v>-52466.0</v>
      </c>
      <c r="H515" s="168">
        <v>671345.0</v>
      </c>
      <c r="I515" s="208">
        <v>21176.0</v>
      </c>
    </row>
    <row r="516">
      <c r="A516" s="24">
        <v>100.0</v>
      </c>
      <c r="B516" s="168">
        <v>-16891.98</v>
      </c>
      <c r="C516" s="24" t="s">
        <v>5197</v>
      </c>
      <c r="D516" s="76">
        <v>7512.0</v>
      </c>
      <c r="E516" s="208">
        <v>39971.0</v>
      </c>
      <c r="F516" s="168">
        <v>187847.0</v>
      </c>
      <c r="G516" s="209">
        <v>66592.0</v>
      </c>
      <c r="H516" s="168">
        <v>891851.0</v>
      </c>
      <c r="I516" s="208">
        <v>-66933.0</v>
      </c>
    </row>
    <row r="517">
      <c r="A517" s="24">
        <v>109.0</v>
      </c>
      <c r="B517" s="168">
        <v>12267.59</v>
      </c>
      <c r="C517" s="24" t="s">
        <v>5198</v>
      </c>
      <c r="D517" s="76">
        <v>7513.0</v>
      </c>
      <c r="E517" s="208">
        <v>99938.0</v>
      </c>
      <c r="F517" s="168">
        <v>484277.0</v>
      </c>
      <c r="G517" s="209">
        <v>24282.0</v>
      </c>
      <c r="H517" s="168">
        <v>357953.0</v>
      </c>
      <c r="I517" s="208">
        <v>11765.0</v>
      </c>
    </row>
    <row r="518">
      <c r="A518" s="24">
        <v>144.0</v>
      </c>
      <c r="B518" s="168">
        <v>-61435.21</v>
      </c>
      <c r="C518" s="24" t="s">
        <v>5199</v>
      </c>
      <c r="D518" s="76">
        <v>7514.0</v>
      </c>
      <c r="E518" s="208">
        <v>-12812.0</v>
      </c>
      <c r="F518" s="168">
        <v>458634.0</v>
      </c>
      <c r="G518" s="209">
        <v>70158.0</v>
      </c>
      <c r="H518" s="168">
        <v>418395.0</v>
      </c>
      <c r="I518" s="208">
        <v>-65269.0</v>
      </c>
    </row>
    <row r="519">
      <c r="A519" s="24">
        <v>133.0</v>
      </c>
      <c r="B519" s="168">
        <v>-72725.05</v>
      </c>
      <c r="C519" s="24" t="s">
        <v>5200</v>
      </c>
      <c r="D519" s="76">
        <v>7515.0</v>
      </c>
      <c r="E519" s="208">
        <v>4446.0</v>
      </c>
      <c r="F519" s="168">
        <v>774461.0</v>
      </c>
      <c r="G519" s="209">
        <v>-25508.0</v>
      </c>
      <c r="H519" s="168">
        <v>610115.0</v>
      </c>
      <c r="I519" s="208">
        <v>24565.0</v>
      </c>
    </row>
    <row r="520">
      <c r="A520" s="24">
        <v>134.0</v>
      </c>
      <c r="B520" s="168">
        <v>-20436.54</v>
      </c>
      <c r="C520" s="24" t="s">
        <v>5201</v>
      </c>
      <c r="D520" s="76">
        <v>7516.0</v>
      </c>
      <c r="E520" s="208">
        <v>16565.0</v>
      </c>
      <c r="F520" s="168">
        <v>754639.0</v>
      </c>
      <c r="G520" s="209">
        <v>11978.0</v>
      </c>
      <c r="H520" s="168">
        <v>122836.0</v>
      </c>
      <c r="I520" s="208">
        <v>-33373.0</v>
      </c>
    </row>
    <row r="521">
      <c r="A521" s="24">
        <v>123.0</v>
      </c>
      <c r="B521" s="168">
        <v>34800.42</v>
      </c>
      <c r="C521" s="24" t="s">
        <v>5202</v>
      </c>
      <c r="D521" s="76">
        <v>7517.0</v>
      </c>
      <c r="E521" s="208">
        <v>12749.0</v>
      </c>
      <c r="F521" s="168">
        <v>313165.0</v>
      </c>
      <c r="G521" s="209">
        <v>-3604.0</v>
      </c>
      <c r="H521" s="168">
        <v>676901.0</v>
      </c>
      <c r="I521" s="208">
        <v>-54260.0</v>
      </c>
    </row>
    <row r="522">
      <c r="A522" s="24">
        <v>106.0</v>
      </c>
      <c r="B522" s="168">
        <v>75182.02</v>
      </c>
      <c r="C522" s="24" t="s">
        <v>5203</v>
      </c>
      <c r="D522" s="76">
        <v>7518.0</v>
      </c>
      <c r="E522" s="208">
        <v>82707.0</v>
      </c>
      <c r="F522" s="168">
        <v>741868.0</v>
      </c>
      <c r="G522" s="209">
        <v>17693.0</v>
      </c>
      <c r="H522" s="168">
        <v>493389.0</v>
      </c>
      <c r="I522" s="208">
        <v>143.0</v>
      </c>
    </row>
    <row r="523">
      <c r="A523" s="24">
        <v>122.0</v>
      </c>
      <c r="B523" s="168">
        <v>82588.13</v>
      </c>
      <c r="C523" s="24" t="s">
        <v>5204</v>
      </c>
      <c r="D523" s="76">
        <v>7519.0</v>
      </c>
      <c r="E523" s="208">
        <v>-49161.0</v>
      </c>
      <c r="F523" s="168">
        <v>764600.0</v>
      </c>
      <c r="G523" s="209">
        <v>51412.0</v>
      </c>
      <c r="H523" s="168">
        <v>825551.0</v>
      </c>
      <c r="I523" s="208">
        <v>-80000.0</v>
      </c>
    </row>
    <row r="524">
      <c r="A524" s="24">
        <v>143.0</v>
      </c>
      <c r="B524" s="168">
        <v>21184.02</v>
      </c>
      <c r="C524" s="24" t="s">
        <v>5205</v>
      </c>
      <c r="D524" s="76">
        <v>7520.0</v>
      </c>
      <c r="E524" s="208">
        <v>-35431.0</v>
      </c>
      <c r="F524" s="168">
        <v>355785.0</v>
      </c>
      <c r="G524" s="209">
        <v>19239.0</v>
      </c>
      <c r="H524" s="168">
        <v>310043.0</v>
      </c>
      <c r="I524" s="208">
        <v>-55513.0</v>
      </c>
    </row>
    <row r="525">
      <c r="A525" s="24">
        <v>131.0</v>
      </c>
      <c r="B525" s="168">
        <v>-72196.13</v>
      </c>
      <c r="C525" s="24" t="s">
        <v>5206</v>
      </c>
      <c r="D525" s="76">
        <v>7521.0</v>
      </c>
      <c r="E525" s="208">
        <v>-20616.0</v>
      </c>
      <c r="F525" s="168">
        <v>407046.0</v>
      </c>
      <c r="G525" s="209">
        <v>3900.0</v>
      </c>
      <c r="H525" s="168">
        <v>769978.0</v>
      </c>
      <c r="I525" s="208">
        <v>-85023.0</v>
      </c>
    </row>
    <row r="526">
      <c r="A526" s="24">
        <v>147.0</v>
      </c>
      <c r="B526" s="168">
        <v>39686.61</v>
      </c>
      <c r="C526" s="24" t="s">
        <v>5207</v>
      </c>
      <c r="D526" s="76">
        <v>7522.0</v>
      </c>
      <c r="E526" s="208">
        <v>37607.0</v>
      </c>
      <c r="F526" s="168">
        <v>729201.0</v>
      </c>
      <c r="G526" s="209">
        <v>63490.0</v>
      </c>
      <c r="H526" s="168">
        <v>751720.0</v>
      </c>
      <c r="I526" s="208">
        <v>-91618.0</v>
      </c>
    </row>
    <row r="527">
      <c r="A527" s="24">
        <v>121.0</v>
      </c>
      <c r="B527" s="168">
        <v>-9028.44</v>
      </c>
      <c r="C527" s="24" t="s">
        <v>5208</v>
      </c>
      <c r="D527" s="76">
        <v>7523.0</v>
      </c>
      <c r="E527" s="208">
        <v>47457.0</v>
      </c>
      <c r="F527" s="168">
        <v>648305.0</v>
      </c>
      <c r="G527" s="209">
        <v>63412.0</v>
      </c>
      <c r="H527" s="168">
        <v>913374.0</v>
      </c>
      <c r="I527" s="208">
        <v>96131.0</v>
      </c>
    </row>
    <row r="528">
      <c r="A528" s="24">
        <v>113.0</v>
      </c>
      <c r="B528" s="168">
        <v>81889.97</v>
      </c>
      <c r="C528" s="24" t="s">
        <v>5209</v>
      </c>
      <c r="D528" s="76">
        <v>7524.0</v>
      </c>
      <c r="E528" s="208">
        <v>-26438.0</v>
      </c>
      <c r="F528" s="168">
        <v>949814.0</v>
      </c>
      <c r="G528" s="209">
        <v>50260.0</v>
      </c>
      <c r="H528" s="168">
        <v>680916.0</v>
      </c>
      <c r="I528" s="208">
        <v>-395.0</v>
      </c>
    </row>
    <row r="529">
      <c r="A529" s="24">
        <v>130.0</v>
      </c>
      <c r="B529" s="168">
        <v>28880.68</v>
      </c>
      <c r="C529" s="24" t="s">
        <v>5210</v>
      </c>
      <c r="D529" s="76">
        <v>7525.0</v>
      </c>
      <c r="E529" s="208">
        <v>-70397.0</v>
      </c>
      <c r="F529" s="168">
        <v>125610.0</v>
      </c>
      <c r="G529" s="209">
        <v>-32571.0</v>
      </c>
      <c r="H529" s="168">
        <v>954719.0</v>
      </c>
      <c r="I529" s="208">
        <v>-48617.0</v>
      </c>
    </row>
    <row r="530">
      <c r="A530" s="24">
        <v>112.0</v>
      </c>
      <c r="B530" s="168">
        <v>-79806.4</v>
      </c>
      <c r="C530" s="24" t="s">
        <v>5211</v>
      </c>
      <c r="D530" s="76">
        <v>7526.0</v>
      </c>
      <c r="E530" s="208">
        <v>10009.0</v>
      </c>
      <c r="F530" s="168">
        <v>120497.0</v>
      </c>
      <c r="G530" s="209">
        <v>-45449.0</v>
      </c>
      <c r="H530" s="168">
        <v>582369.0</v>
      </c>
      <c r="I530" s="208">
        <v>54156.0</v>
      </c>
    </row>
    <row r="531">
      <c r="A531" s="24">
        <v>110.0</v>
      </c>
      <c r="B531" s="168">
        <v>-64776.87</v>
      </c>
      <c r="C531" s="24" t="s">
        <v>5212</v>
      </c>
      <c r="D531" s="76">
        <v>7527.0</v>
      </c>
      <c r="E531" s="208">
        <v>39047.0</v>
      </c>
      <c r="F531" s="168">
        <v>110184.0</v>
      </c>
      <c r="G531" s="209">
        <v>61998.0</v>
      </c>
      <c r="H531" s="168">
        <v>806637.0</v>
      </c>
      <c r="I531" s="208">
        <v>-44560.0</v>
      </c>
    </row>
    <row r="532">
      <c r="A532" s="24">
        <v>138.0</v>
      </c>
      <c r="B532" s="168">
        <v>-78976.21</v>
      </c>
      <c r="C532" s="24" t="s">
        <v>5213</v>
      </c>
      <c r="D532" s="76">
        <v>7528.0</v>
      </c>
      <c r="E532" s="208">
        <v>-95526.0</v>
      </c>
      <c r="F532" s="168">
        <v>635274.0</v>
      </c>
      <c r="G532" s="209">
        <v>-14334.0</v>
      </c>
      <c r="H532" s="168">
        <v>694009.0</v>
      </c>
      <c r="I532" s="208">
        <v>59774.0</v>
      </c>
    </row>
    <row r="533">
      <c r="A533" s="24">
        <v>120.0</v>
      </c>
      <c r="B533" s="168">
        <v>54799.7</v>
      </c>
      <c r="C533" s="24" t="s">
        <v>5214</v>
      </c>
      <c r="D533" s="76">
        <v>7529.0</v>
      </c>
      <c r="E533" s="208">
        <v>63690.0</v>
      </c>
      <c r="F533" s="168">
        <v>991913.0</v>
      </c>
      <c r="G533" s="209">
        <v>-19244.0</v>
      </c>
      <c r="H533" s="168">
        <v>217895.0</v>
      </c>
      <c r="I533" s="208">
        <v>90287.0</v>
      </c>
    </row>
    <row r="534">
      <c r="A534" s="24">
        <v>115.0</v>
      </c>
      <c r="B534" s="168">
        <v>-72937.4</v>
      </c>
      <c r="C534" s="24" t="s">
        <v>5215</v>
      </c>
      <c r="D534" s="76">
        <v>7530.0</v>
      </c>
      <c r="E534" s="208">
        <v>10642.0</v>
      </c>
      <c r="F534" s="168">
        <v>738995.0</v>
      </c>
      <c r="G534" s="209">
        <v>58714.0</v>
      </c>
      <c r="H534" s="168">
        <v>761032.0</v>
      </c>
      <c r="I534" s="208">
        <v>-8675.0</v>
      </c>
    </row>
    <row r="535">
      <c r="A535" s="24">
        <v>141.0</v>
      </c>
      <c r="B535" s="168">
        <v>14083.17</v>
      </c>
      <c r="C535" s="24" t="s">
        <v>5216</v>
      </c>
      <c r="D535" s="76">
        <v>7531.0</v>
      </c>
      <c r="E535" s="208">
        <v>-21243.0</v>
      </c>
      <c r="F535" s="168">
        <v>674452.0</v>
      </c>
      <c r="G535" s="209">
        <v>-90015.0</v>
      </c>
      <c r="H535" s="168">
        <v>144786.0</v>
      </c>
      <c r="I535" s="208">
        <v>1910.0</v>
      </c>
    </row>
    <row r="536">
      <c r="A536" s="24">
        <v>137.0</v>
      </c>
      <c r="B536" s="168">
        <v>-51134.79</v>
      </c>
      <c r="C536" s="24" t="s">
        <v>5214</v>
      </c>
      <c r="D536" s="76">
        <v>7532.0</v>
      </c>
      <c r="E536" s="208">
        <v>-72637.0</v>
      </c>
      <c r="F536" s="168">
        <v>394953.0</v>
      </c>
      <c r="G536" s="209">
        <v>84315.0</v>
      </c>
      <c r="H536" s="168">
        <v>996036.0</v>
      </c>
      <c r="I536" s="208">
        <v>65262.0</v>
      </c>
    </row>
    <row r="537">
      <c r="A537" s="24">
        <v>108.0</v>
      </c>
      <c r="B537" s="168">
        <v>37820.75</v>
      </c>
      <c r="C537" s="24" t="s">
        <v>5217</v>
      </c>
      <c r="D537" s="76">
        <v>7533.0</v>
      </c>
      <c r="E537" s="208">
        <v>58096.0</v>
      </c>
      <c r="F537" s="168">
        <v>147962.0</v>
      </c>
      <c r="G537" s="209">
        <v>62822.0</v>
      </c>
      <c r="H537" s="168">
        <v>440368.0</v>
      </c>
      <c r="I537" s="208">
        <v>91218.0</v>
      </c>
    </row>
    <row r="538">
      <c r="A538" s="24">
        <v>116.0</v>
      </c>
      <c r="B538" s="168">
        <v>-83871.03</v>
      </c>
      <c r="C538" s="24" t="s">
        <v>5218</v>
      </c>
      <c r="D538" s="76">
        <v>7534.0</v>
      </c>
      <c r="E538" s="208">
        <v>30586.0</v>
      </c>
      <c r="F538" s="168">
        <v>662335.0</v>
      </c>
      <c r="G538" s="209">
        <v>63037.0</v>
      </c>
      <c r="H538" s="168">
        <v>683239.0</v>
      </c>
      <c r="I538" s="208">
        <v>33677.0</v>
      </c>
    </row>
    <row r="539">
      <c r="A539" s="24">
        <v>126.0</v>
      </c>
      <c r="B539" s="168">
        <v>91093.6</v>
      </c>
      <c r="C539" s="24" t="s">
        <v>5219</v>
      </c>
      <c r="D539" s="76">
        <v>7535.0</v>
      </c>
      <c r="E539" s="208">
        <v>-58730.0</v>
      </c>
      <c r="F539" s="168">
        <v>715053.0</v>
      </c>
      <c r="G539" s="209">
        <v>56835.0</v>
      </c>
      <c r="H539" s="168">
        <v>445216.0</v>
      </c>
      <c r="I539" s="208">
        <v>-38048.0</v>
      </c>
    </row>
    <row r="540">
      <c r="A540" s="24">
        <v>139.0</v>
      </c>
      <c r="B540" s="168">
        <v>56811.37</v>
      </c>
      <c r="C540" s="24" t="s">
        <v>5220</v>
      </c>
      <c r="D540" s="76">
        <v>7536.0</v>
      </c>
      <c r="E540" s="208">
        <v>-27044.0</v>
      </c>
      <c r="F540" s="168">
        <v>735843.0</v>
      </c>
      <c r="G540" s="209">
        <v>-98885.0</v>
      </c>
      <c r="H540" s="168">
        <v>888680.0</v>
      </c>
      <c r="I540" s="208">
        <v>-58176.0</v>
      </c>
    </row>
    <row r="541">
      <c r="A541" s="24">
        <v>128.0</v>
      </c>
      <c r="B541" s="168">
        <v>15433.34</v>
      </c>
      <c r="C541" s="24" t="s">
        <v>5221</v>
      </c>
      <c r="D541" s="76">
        <v>7537.0</v>
      </c>
      <c r="E541" s="208">
        <v>-70954.0</v>
      </c>
      <c r="F541" s="168">
        <v>535345.0</v>
      </c>
      <c r="G541" s="209">
        <v>72486.0</v>
      </c>
      <c r="H541" s="168">
        <v>426845.0</v>
      </c>
      <c r="I541" s="208">
        <v>-91904.0</v>
      </c>
    </row>
    <row r="542">
      <c r="A542" s="24">
        <v>140.0</v>
      </c>
      <c r="B542" s="168">
        <v>-12788.95</v>
      </c>
      <c r="C542" s="24" t="s">
        <v>5222</v>
      </c>
      <c r="D542" s="76">
        <v>7538.0</v>
      </c>
      <c r="E542" s="208">
        <v>-63096.0</v>
      </c>
      <c r="F542" s="168">
        <v>395826.0</v>
      </c>
      <c r="G542" s="209">
        <v>-84046.0</v>
      </c>
      <c r="H542" s="168">
        <v>885325.0</v>
      </c>
      <c r="I542" s="208">
        <v>40226.0</v>
      </c>
    </row>
    <row r="543">
      <c r="A543" s="24">
        <v>119.0</v>
      </c>
      <c r="B543" s="168">
        <v>-30255.7</v>
      </c>
      <c r="C543" s="24" t="s">
        <v>5223</v>
      </c>
      <c r="D543" s="76">
        <v>7539.0</v>
      </c>
      <c r="E543" s="208">
        <v>18139.0</v>
      </c>
      <c r="F543" s="168">
        <v>865404.0</v>
      </c>
      <c r="G543" s="209">
        <v>-98983.0</v>
      </c>
      <c r="H543" s="168">
        <v>961252.0</v>
      </c>
      <c r="I543" s="208">
        <v>-88281.0</v>
      </c>
    </row>
    <row r="544">
      <c r="A544" s="24">
        <v>135.0</v>
      </c>
      <c r="B544" s="168">
        <v>80617.29</v>
      </c>
      <c r="C544" s="24" t="s">
        <v>5224</v>
      </c>
      <c r="D544" s="76">
        <v>7540.0</v>
      </c>
      <c r="E544" s="208">
        <v>92315.0</v>
      </c>
      <c r="F544" s="168">
        <v>469402.0</v>
      </c>
      <c r="G544" s="209">
        <v>-45947.0</v>
      </c>
      <c r="H544" s="168">
        <v>940422.0</v>
      </c>
      <c r="I544" s="208">
        <v>-25150.0</v>
      </c>
    </row>
    <row r="545">
      <c r="A545" s="24">
        <v>124.0</v>
      </c>
      <c r="B545" s="168">
        <v>44451.62</v>
      </c>
      <c r="C545" s="24" t="s">
        <v>5225</v>
      </c>
      <c r="D545" s="76">
        <v>7541.0</v>
      </c>
      <c r="E545" s="208">
        <v>94803.0</v>
      </c>
      <c r="F545" s="168">
        <v>197995.0</v>
      </c>
      <c r="G545" s="209">
        <v>-97989.0</v>
      </c>
      <c r="H545" s="168">
        <v>114209.0</v>
      </c>
      <c r="I545" s="208">
        <v>-61437.0</v>
      </c>
    </row>
    <row r="546">
      <c r="A546" s="24">
        <v>149.0</v>
      </c>
      <c r="B546" s="168">
        <v>50517.12</v>
      </c>
      <c r="C546" s="24" t="s">
        <v>5226</v>
      </c>
      <c r="D546" s="76">
        <v>7542.0</v>
      </c>
      <c r="E546" s="208">
        <v>-47906.0</v>
      </c>
      <c r="F546" s="168">
        <v>264348.0</v>
      </c>
      <c r="G546" s="209">
        <v>80577.0</v>
      </c>
      <c r="H546" s="168">
        <v>479592.0</v>
      </c>
      <c r="I546" s="208">
        <v>67586.0</v>
      </c>
    </row>
    <row r="547">
      <c r="A547" s="24">
        <v>114.0</v>
      </c>
      <c r="B547" s="168">
        <v>80114.13</v>
      </c>
      <c r="C547" s="24" t="s">
        <v>5227</v>
      </c>
      <c r="D547" s="76">
        <v>7543.0</v>
      </c>
      <c r="E547" s="208">
        <v>47163.0</v>
      </c>
      <c r="F547" s="168">
        <v>483149.0</v>
      </c>
      <c r="G547" s="209">
        <v>-98325.0</v>
      </c>
      <c r="H547" s="168">
        <v>825250.0</v>
      </c>
      <c r="I547" s="208">
        <v>-2002.0</v>
      </c>
    </row>
    <row r="548">
      <c r="A548" s="24">
        <v>101.0</v>
      </c>
      <c r="B548" s="168">
        <v>2492.45</v>
      </c>
      <c r="C548" s="24" t="s">
        <v>5228</v>
      </c>
      <c r="D548" s="76">
        <v>7544.0</v>
      </c>
      <c r="E548" s="208">
        <v>14455.0</v>
      </c>
      <c r="F548" s="168">
        <v>516844.0</v>
      </c>
      <c r="G548" s="209">
        <v>-18208.0</v>
      </c>
      <c r="H548" s="168">
        <v>828216.0</v>
      </c>
      <c r="I548" s="208">
        <v>78134.0</v>
      </c>
    </row>
    <row r="549">
      <c r="A549" s="24">
        <v>105.0</v>
      </c>
      <c r="B549" s="168">
        <v>-72838.41</v>
      </c>
      <c r="C549" s="24" t="s">
        <v>5229</v>
      </c>
      <c r="D549" s="76">
        <v>7545.0</v>
      </c>
      <c r="E549" s="208">
        <v>33330.0</v>
      </c>
      <c r="F549" s="168">
        <v>795899.0</v>
      </c>
      <c r="G549" s="209">
        <v>61213.0</v>
      </c>
      <c r="H549" s="168">
        <v>254835.0</v>
      </c>
      <c r="I549" s="208">
        <v>-86202.0</v>
      </c>
    </row>
    <row r="550">
      <c r="A550" s="24">
        <v>117.0</v>
      </c>
      <c r="B550" s="168">
        <v>-82937.83</v>
      </c>
      <c r="C550" s="24" t="s">
        <v>5230</v>
      </c>
      <c r="D550" s="76">
        <v>7546.0</v>
      </c>
      <c r="E550" s="208">
        <v>87136.0</v>
      </c>
      <c r="F550" s="168">
        <v>964540.0</v>
      </c>
      <c r="G550" s="209">
        <v>-61015.0</v>
      </c>
      <c r="H550" s="168">
        <v>310987.0</v>
      </c>
      <c r="I550" s="208">
        <v>66724.0</v>
      </c>
    </row>
    <row r="551">
      <c r="A551" s="24">
        <v>107.0</v>
      </c>
      <c r="B551" s="168">
        <v>-60062.7</v>
      </c>
      <c r="C551" s="24" t="s">
        <v>5231</v>
      </c>
      <c r="D551" s="76">
        <v>7547.0</v>
      </c>
      <c r="E551" s="208">
        <v>-28568.0</v>
      </c>
      <c r="F551" s="168">
        <v>758088.0</v>
      </c>
      <c r="G551" s="209">
        <v>27097.0</v>
      </c>
      <c r="H551" s="168">
        <v>570507.0</v>
      </c>
      <c r="I551" s="208">
        <v>-73334.0</v>
      </c>
    </row>
    <row r="552">
      <c r="A552" s="24">
        <v>102.0</v>
      </c>
      <c r="B552" s="168">
        <v>1053.31</v>
      </c>
      <c r="C552" s="24" t="s">
        <v>5232</v>
      </c>
      <c r="D552" s="76">
        <v>7548.0</v>
      </c>
      <c r="E552" s="208">
        <v>17071.0</v>
      </c>
      <c r="F552" s="168">
        <v>312420.0</v>
      </c>
      <c r="G552" s="209">
        <v>35932.0</v>
      </c>
      <c r="H552" s="168">
        <v>565974.0</v>
      </c>
      <c r="I552" s="208">
        <v>22621.0</v>
      </c>
    </row>
    <row r="553">
      <c r="A553" s="24">
        <v>132.0</v>
      </c>
      <c r="B553" s="168">
        <v>51904.05</v>
      </c>
      <c r="C553" s="24" t="s">
        <v>5233</v>
      </c>
      <c r="D553" s="76">
        <v>7549.0</v>
      </c>
      <c r="E553" s="208">
        <v>58727.0</v>
      </c>
      <c r="F553" s="168">
        <v>547784.0</v>
      </c>
      <c r="G553" s="209">
        <v>23846.0</v>
      </c>
      <c r="H553" s="168">
        <v>724388.0</v>
      </c>
      <c r="I553" s="208">
        <v>84787.0</v>
      </c>
    </row>
    <row r="554">
      <c r="A554" s="24">
        <v>145.0</v>
      </c>
      <c r="B554" s="168">
        <v>-45567.58</v>
      </c>
      <c r="C554" s="24" t="s">
        <v>5185</v>
      </c>
      <c r="D554" s="76">
        <v>7550.0</v>
      </c>
      <c r="E554" s="208">
        <v>15121.0</v>
      </c>
      <c r="F554" s="168">
        <v>248560.0</v>
      </c>
      <c r="G554" s="209">
        <v>-18007.0</v>
      </c>
      <c r="H554" s="168">
        <v>738120.0</v>
      </c>
      <c r="I554" s="208">
        <v>-22334.0</v>
      </c>
    </row>
    <row r="555">
      <c r="A555" s="24">
        <v>148.0</v>
      </c>
      <c r="B555" s="168">
        <v>-60605.74</v>
      </c>
      <c r="C555" s="24" t="s">
        <v>5186</v>
      </c>
      <c r="D555" s="76">
        <v>7551.0</v>
      </c>
      <c r="E555" s="208">
        <v>-67164.0</v>
      </c>
      <c r="F555" s="168">
        <v>280535.0</v>
      </c>
      <c r="G555" s="209">
        <v>98313.0</v>
      </c>
      <c r="H555" s="168">
        <v>706987.0</v>
      </c>
      <c r="I555" s="208">
        <v>65824.0</v>
      </c>
    </row>
    <row r="556">
      <c r="A556" s="24">
        <v>136.0</v>
      </c>
      <c r="B556" s="168">
        <v>-34480.25</v>
      </c>
      <c r="C556" s="24" t="s">
        <v>5187</v>
      </c>
      <c r="D556" s="76">
        <v>7552.0</v>
      </c>
      <c r="E556" s="208">
        <v>-6888.0</v>
      </c>
      <c r="F556" s="168">
        <v>341120.0</v>
      </c>
      <c r="G556" s="209">
        <v>36691.0</v>
      </c>
      <c r="H556" s="168">
        <v>182516.0</v>
      </c>
      <c r="I556" s="208">
        <v>32379.0</v>
      </c>
    </row>
    <row r="557">
      <c r="A557" s="24">
        <v>104.0</v>
      </c>
      <c r="B557" s="168">
        <v>78577.6</v>
      </c>
      <c r="C557" s="24" t="s">
        <v>5188</v>
      </c>
      <c r="D557" s="76">
        <v>7553.0</v>
      </c>
      <c r="E557" s="208">
        <v>45375.0</v>
      </c>
      <c r="F557" s="168">
        <v>986159.0</v>
      </c>
      <c r="G557" s="209">
        <v>97817.0</v>
      </c>
      <c r="H557" s="168">
        <v>125963.0</v>
      </c>
      <c r="I557" s="208">
        <v>-18088.0</v>
      </c>
    </row>
    <row r="558">
      <c r="A558" s="24">
        <v>129.0</v>
      </c>
      <c r="B558" s="168">
        <v>44879.23</v>
      </c>
      <c r="C558" s="24" t="s">
        <v>5189</v>
      </c>
      <c r="D558" s="76">
        <v>7554.0</v>
      </c>
      <c r="E558" s="208">
        <v>-62051.0</v>
      </c>
      <c r="F558" s="168">
        <v>843544.0</v>
      </c>
      <c r="G558" s="209">
        <v>-13420.0</v>
      </c>
      <c r="H558" s="168">
        <v>596964.0</v>
      </c>
      <c r="I558" s="208">
        <v>7017.0</v>
      </c>
    </row>
    <row r="559">
      <c r="A559" s="24">
        <v>118.0</v>
      </c>
      <c r="B559" s="168">
        <v>58872.83</v>
      </c>
      <c r="C559" s="24" t="s">
        <v>5190</v>
      </c>
      <c r="D559" s="76">
        <v>7555.0</v>
      </c>
      <c r="E559" s="208">
        <v>26167.0</v>
      </c>
      <c r="F559" s="168">
        <v>839340.0</v>
      </c>
      <c r="G559" s="209">
        <v>64028.0</v>
      </c>
      <c r="H559" s="168">
        <v>827248.0</v>
      </c>
      <c r="I559" s="208">
        <v>-54852.0</v>
      </c>
    </row>
    <row r="560">
      <c r="A560" s="24">
        <v>127.0</v>
      </c>
      <c r="B560" s="168">
        <v>-20203.41</v>
      </c>
      <c r="C560" s="24" t="s">
        <v>5191</v>
      </c>
      <c r="D560" s="76">
        <v>7556.0</v>
      </c>
      <c r="E560" s="208">
        <v>24078.0</v>
      </c>
      <c r="F560" s="168">
        <v>874408.0</v>
      </c>
      <c r="G560" s="209">
        <v>48352.0</v>
      </c>
      <c r="H560" s="168">
        <v>782571.0</v>
      </c>
      <c r="I560" s="208">
        <v>58716.0</v>
      </c>
    </row>
    <row r="561">
      <c r="A561" s="24">
        <v>125.0</v>
      </c>
      <c r="B561" s="168">
        <v>-1347.21</v>
      </c>
      <c r="C561" s="24" t="s">
        <v>5192</v>
      </c>
      <c r="D561" s="76">
        <v>7557.0</v>
      </c>
      <c r="E561" s="208">
        <v>-89404.0</v>
      </c>
      <c r="F561" s="168">
        <v>146505.0</v>
      </c>
      <c r="G561" s="209">
        <v>-34810.0</v>
      </c>
      <c r="H561" s="168">
        <v>241900.0</v>
      </c>
      <c r="I561" s="208">
        <v>42139.0</v>
      </c>
    </row>
    <row r="562">
      <c r="A562" s="24">
        <v>146.0</v>
      </c>
      <c r="B562" s="168">
        <v>23939.91</v>
      </c>
      <c r="C562" s="24" t="s">
        <v>5193</v>
      </c>
      <c r="D562" s="76">
        <v>7558.0</v>
      </c>
      <c r="E562" s="208">
        <v>-85783.0</v>
      </c>
      <c r="F562" s="168">
        <v>967466.0</v>
      </c>
      <c r="G562" s="209">
        <v>10526.0</v>
      </c>
      <c r="H562" s="168">
        <v>603891.0</v>
      </c>
      <c r="I562" s="208">
        <v>57369.0</v>
      </c>
    </row>
    <row r="563">
      <c r="A563" s="24">
        <v>111.0</v>
      </c>
      <c r="B563" s="168">
        <v>-59355.52</v>
      </c>
      <c r="C563" s="24" t="s">
        <v>5194</v>
      </c>
      <c r="D563" s="76">
        <v>7559.0</v>
      </c>
      <c r="E563" s="208">
        <v>52232.0</v>
      </c>
      <c r="F563" s="168">
        <v>318837.0</v>
      </c>
      <c r="G563" s="209">
        <v>-89827.0</v>
      </c>
      <c r="H563" s="168">
        <v>488524.0</v>
      </c>
      <c r="I563" s="208">
        <v>-84556.0</v>
      </c>
    </row>
    <row r="564">
      <c r="A564" s="24">
        <v>103.0</v>
      </c>
      <c r="B564" s="168">
        <v>77203.11</v>
      </c>
      <c r="C564" s="24" t="s">
        <v>5195</v>
      </c>
      <c r="D564" s="76">
        <v>7560.0</v>
      </c>
      <c r="E564" s="208">
        <v>93601.0</v>
      </c>
      <c r="F564" s="168">
        <v>803234.0</v>
      </c>
      <c r="G564" s="209">
        <v>10108.0</v>
      </c>
      <c r="H564" s="168">
        <v>691447.0</v>
      </c>
      <c r="I564" s="208">
        <v>43005.0</v>
      </c>
    </row>
    <row r="565">
      <c r="A565" s="24">
        <v>142.0</v>
      </c>
      <c r="B565" s="168">
        <v>23961.32</v>
      </c>
      <c r="C565" s="24" t="s">
        <v>5196</v>
      </c>
      <c r="D565" s="76">
        <v>7561.0</v>
      </c>
      <c r="E565" s="208">
        <v>1968.0</v>
      </c>
      <c r="F565" s="168">
        <v>288117.0</v>
      </c>
      <c r="G565" s="209">
        <v>60253.0</v>
      </c>
      <c r="H565" s="168">
        <v>997595.0</v>
      </c>
      <c r="I565" s="208">
        <v>67610.0</v>
      </c>
    </row>
    <row r="566">
      <c r="A566" s="24">
        <v>100.0</v>
      </c>
      <c r="B566" s="168">
        <v>85985.08</v>
      </c>
      <c r="C566" s="24" t="s">
        <v>5197</v>
      </c>
      <c r="D566" s="76">
        <v>7562.0</v>
      </c>
      <c r="E566" s="208">
        <v>3741.0</v>
      </c>
      <c r="F566" s="168">
        <v>172492.0</v>
      </c>
      <c r="G566" s="209">
        <v>3475.0</v>
      </c>
      <c r="H566" s="168">
        <v>832002.0</v>
      </c>
      <c r="I566" s="208">
        <v>-69374.0</v>
      </c>
    </row>
    <row r="567">
      <c r="A567" s="24">
        <v>109.0</v>
      </c>
      <c r="B567" s="168">
        <v>36610.57</v>
      </c>
      <c r="C567" s="24" t="s">
        <v>5198</v>
      </c>
      <c r="D567" s="76">
        <v>7563.0</v>
      </c>
      <c r="E567" s="208">
        <v>-24188.0</v>
      </c>
      <c r="F567" s="168">
        <v>449021.0</v>
      </c>
      <c r="G567" s="209">
        <v>-71856.0</v>
      </c>
      <c r="H567" s="168">
        <v>923056.0</v>
      </c>
      <c r="I567" s="208">
        <v>-49906.0</v>
      </c>
    </row>
    <row r="568">
      <c r="A568" s="24">
        <v>144.0</v>
      </c>
      <c r="B568" s="168">
        <v>64012.06</v>
      </c>
      <c r="C568" s="24" t="s">
        <v>5199</v>
      </c>
      <c r="D568" s="76">
        <v>7564.0</v>
      </c>
      <c r="E568" s="208">
        <v>-31597.0</v>
      </c>
      <c r="F568" s="168">
        <v>884014.0</v>
      </c>
      <c r="G568" s="209">
        <v>-73326.0</v>
      </c>
      <c r="H568" s="168">
        <v>655822.0</v>
      </c>
      <c r="I568" s="208">
        <v>26391.0</v>
      </c>
    </row>
    <row r="569">
      <c r="A569" s="24">
        <v>133.0</v>
      </c>
      <c r="B569" s="168">
        <v>84441.04</v>
      </c>
      <c r="C569" s="24" t="s">
        <v>5200</v>
      </c>
      <c r="D569" s="76">
        <v>7565.0</v>
      </c>
      <c r="E569" s="208">
        <v>-94364.0</v>
      </c>
      <c r="F569" s="168">
        <v>225151.0</v>
      </c>
      <c r="G569" s="209">
        <v>-59570.0</v>
      </c>
      <c r="H569" s="168">
        <v>310700.0</v>
      </c>
      <c r="I569" s="208">
        <v>-15505.0</v>
      </c>
    </row>
    <row r="570">
      <c r="A570" s="24">
        <v>134.0</v>
      </c>
      <c r="B570" s="168">
        <v>41376.43</v>
      </c>
      <c r="C570" s="24" t="s">
        <v>5201</v>
      </c>
      <c r="D570" s="76">
        <v>7566.0</v>
      </c>
      <c r="E570" s="208">
        <v>-95293.0</v>
      </c>
      <c r="F570" s="168">
        <v>111645.0</v>
      </c>
      <c r="G570" s="209">
        <v>-66578.0</v>
      </c>
      <c r="H570" s="168">
        <v>156738.0</v>
      </c>
      <c r="I570" s="208">
        <v>49565.0</v>
      </c>
    </row>
    <row r="571">
      <c r="A571" s="24">
        <v>123.0</v>
      </c>
      <c r="B571" s="168">
        <v>50625.3</v>
      </c>
      <c r="C571" s="24" t="s">
        <v>5202</v>
      </c>
      <c r="D571" s="76">
        <v>7567.0</v>
      </c>
      <c r="E571" s="208">
        <v>-82195.0</v>
      </c>
      <c r="F571" s="168">
        <v>289892.0</v>
      </c>
      <c r="G571" s="209">
        <v>14072.0</v>
      </c>
      <c r="H571" s="168">
        <v>705374.0</v>
      </c>
      <c r="I571" s="208">
        <v>-56249.0</v>
      </c>
    </row>
    <row r="572">
      <c r="A572" s="24">
        <v>106.0</v>
      </c>
      <c r="B572" s="168">
        <v>-50596.47</v>
      </c>
      <c r="C572" s="24" t="s">
        <v>5203</v>
      </c>
      <c r="D572" s="76">
        <v>7568.0</v>
      </c>
      <c r="E572" s="208">
        <v>58668.0</v>
      </c>
      <c r="F572" s="168">
        <v>892008.0</v>
      </c>
      <c r="G572" s="209">
        <v>1656.0</v>
      </c>
      <c r="H572" s="168">
        <v>585850.0</v>
      </c>
      <c r="I572" s="208">
        <v>63721.0</v>
      </c>
    </row>
    <row r="573">
      <c r="A573" s="24">
        <v>122.0</v>
      </c>
      <c r="B573" s="168">
        <v>-85728.9</v>
      </c>
      <c r="C573" s="24" t="s">
        <v>5204</v>
      </c>
      <c r="D573" s="76">
        <v>7569.0</v>
      </c>
      <c r="E573" s="208">
        <v>-7516.0</v>
      </c>
      <c r="F573" s="168">
        <v>544496.0</v>
      </c>
      <c r="G573" s="209">
        <v>-51833.0</v>
      </c>
      <c r="H573" s="168">
        <v>796728.0</v>
      </c>
      <c r="I573" s="208">
        <v>68026.0</v>
      </c>
    </row>
    <row r="574">
      <c r="A574" s="24">
        <v>143.0</v>
      </c>
      <c r="B574" s="168">
        <v>-80410.0</v>
      </c>
      <c r="C574" s="24" t="s">
        <v>5205</v>
      </c>
      <c r="D574" s="76">
        <v>7570.0</v>
      </c>
      <c r="E574" s="208">
        <v>-60211.0</v>
      </c>
      <c r="F574" s="168">
        <v>195168.0</v>
      </c>
      <c r="G574" s="209">
        <v>98957.0</v>
      </c>
      <c r="H574" s="168">
        <v>574752.0</v>
      </c>
      <c r="I574" s="208">
        <v>90984.0</v>
      </c>
    </row>
    <row r="575">
      <c r="A575" s="24">
        <v>131.0</v>
      </c>
      <c r="B575" s="168">
        <v>-3964.86</v>
      </c>
      <c r="C575" s="24" t="s">
        <v>5206</v>
      </c>
      <c r="D575" s="76">
        <v>7571.0</v>
      </c>
      <c r="E575" s="208">
        <v>-85456.0</v>
      </c>
      <c r="F575" s="168">
        <v>423202.0</v>
      </c>
      <c r="G575" s="209">
        <v>-47154.0</v>
      </c>
      <c r="H575" s="168">
        <v>311315.0</v>
      </c>
      <c r="I575" s="208">
        <v>55461.0</v>
      </c>
    </row>
    <row r="576">
      <c r="A576" s="24">
        <v>147.0</v>
      </c>
      <c r="B576" s="168">
        <v>22293.65</v>
      </c>
      <c r="C576" s="24" t="s">
        <v>5207</v>
      </c>
      <c r="D576" s="76">
        <v>7572.0</v>
      </c>
      <c r="E576" s="208">
        <v>-27083.0</v>
      </c>
      <c r="F576" s="168">
        <v>205852.0</v>
      </c>
      <c r="G576" s="209">
        <v>-79518.0</v>
      </c>
      <c r="H576" s="168">
        <v>945549.0</v>
      </c>
      <c r="I576" s="208">
        <v>67287.0</v>
      </c>
    </row>
    <row r="577">
      <c r="A577" s="24">
        <v>121.0</v>
      </c>
      <c r="B577" s="168">
        <v>-70170.95</v>
      </c>
      <c r="C577" s="24" t="s">
        <v>5208</v>
      </c>
      <c r="D577" s="76">
        <v>7573.0</v>
      </c>
      <c r="E577" s="208">
        <v>39509.0</v>
      </c>
      <c r="F577" s="168">
        <v>100917.0</v>
      </c>
      <c r="G577" s="209">
        <v>78116.0</v>
      </c>
      <c r="H577" s="168">
        <v>758624.0</v>
      </c>
      <c r="I577" s="208">
        <v>-23192.0</v>
      </c>
    </row>
    <row r="578">
      <c r="A578" s="24">
        <v>113.0</v>
      </c>
      <c r="B578" s="168">
        <v>78193.37</v>
      </c>
      <c r="C578" s="24" t="s">
        <v>5209</v>
      </c>
      <c r="D578" s="76">
        <v>7574.0</v>
      </c>
      <c r="E578" s="208">
        <v>19032.0</v>
      </c>
      <c r="F578" s="168">
        <v>512604.0</v>
      </c>
      <c r="G578" s="209">
        <v>89691.0</v>
      </c>
      <c r="H578" s="168">
        <v>837757.0</v>
      </c>
      <c r="I578" s="208">
        <v>-90335.0</v>
      </c>
    </row>
    <row r="579">
      <c r="A579" s="24">
        <v>130.0</v>
      </c>
      <c r="B579" s="168">
        <v>60530.56</v>
      </c>
      <c r="C579" s="24" t="s">
        <v>5210</v>
      </c>
      <c r="D579" s="76">
        <v>7575.0</v>
      </c>
      <c r="E579" s="208">
        <v>-36031.0</v>
      </c>
      <c r="F579" s="168">
        <v>593797.0</v>
      </c>
      <c r="G579" s="209">
        <v>-59628.0</v>
      </c>
      <c r="H579" s="168">
        <v>529508.0</v>
      </c>
      <c r="I579" s="208">
        <v>-23624.0</v>
      </c>
    </row>
    <row r="580">
      <c r="A580" s="24">
        <v>112.0</v>
      </c>
      <c r="B580" s="168">
        <v>50198.6</v>
      </c>
      <c r="C580" s="24" t="s">
        <v>5211</v>
      </c>
      <c r="D580" s="76">
        <v>7576.0</v>
      </c>
      <c r="E580" s="208">
        <v>16390.0</v>
      </c>
      <c r="F580" s="168">
        <v>662519.0</v>
      </c>
      <c r="G580" s="209">
        <v>-1465.0</v>
      </c>
      <c r="H580" s="168">
        <v>697871.0</v>
      </c>
      <c r="I580" s="208">
        <v>81709.0</v>
      </c>
    </row>
    <row r="581">
      <c r="A581" s="24">
        <v>110.0</v>
      </c>
      <c r="B581" s="168">
        <v>4539.8</v>
      </c>
      <c r="C581" s="24" t="s">
        <v>5212</v>
      </c>
      <c r="D581" s="76">
        <v>7577.0</v>
      </c>
      <c r="E581" s="208">
        <v>305.0</v>
      </c>
      <c r="F581" s="168">
        <v>389728.0</v>
      </c>
      <c r="G581" s="209">
        <v>42098.0</v>
      </c>
      <c r="H581" s="168">
        <v>374344.0</v>
      </c>
      <c r="I581" s="208">
        <v>-24953.0</v>
      </c>
    </row>
    <row r="582">
      <c r="A582" s="24">
        <v>138.0</v>
      </c>
      <c r="B582" s="168">
        <v>80603.84</v>
      </c>
      <c r="C582" s="24" t="s">
        <v>5213</v>
      </c>
      <c r="D582" s="76">
        <v>7578.0</v>
      </c>
      <c r="E582" s="208">
        <v>-7659.0</v>
      </c>
      <c r="F582" s="168">
        <v>348525.0</v>
      </c>
      <c r="G582" s="209">
        <v>-18338.0</v>
      </c>
      <c r="H582" s="168">
        <v>343035.0</v>
      </c>
      <c r="I582" s="208">
        <v>-44304.0</v>
      </c>
    </row>
    <row r="583">
      <c r="A583" s="24">
        <v>120.0</v>
      </c>
      <c r="B583" s="168">
        <v>37505.42</v>
      </c>
      <c r="C583" s="24" t="s">
        <v>5214</v>
      </c>
      <c r="D583" s="76">
        <v>7579.0</v>
      </c>
      <c r="E583" s="208">
        <v>31575.0</v>
      </c>
      <c r="F583" s="168">
        <v>603858.0</v>
      </c>
      <c r="G583" s="209">
        <v>-17906.0</v>
      </c>
      <c r="H583" s="168">
        <v>963586.0</v>
      </c>
      <c r="I583" s="208">
        <v>-36371.0</v>
      </c>
    </row>
    <row r="584">
      <c r="A584" s="24">
        <v>115.0</v>
      </c>
      <c r="B584" s="168">
        <v>-51633.09</v>
      </c>
      <c r="C584" s="24" t="s">
        <v>5215</v>
      </c>
      <c r="D584" s="76">
        <v>7580.0</v>
      </c>
      <c r="E584" s="208">
        <v>-83289.0</v>
      </c>
      <c r="F584" s="168">
        <v>970195.0</v>
      </c>
      <c r="G584" s="209">
        <v>-22508.0</v>
      </c>
      <c r="H584" s="168">
        <v>954279.0</v>
      </c>
      <c r="I584" s="208">
        <v>93041.0</v>
      </c>
    </row>
    <row r="585">
      <c r="A585" s="24">
        <v>141.0</v>
      </c>
      <c r="B585" s="168">
        <v>-69824.2</v>
      </c>
      <c r="C585" s="24" t="s">
        <v>5216</v>
      </c>
      <c r="D585" s="76">
        <v>7581.0</v>
      </c>
      <c r="E585" s="208">
        <v>89003.0</v>
      </c>
      <c r="F585" s="168">
        <v>195401.0</v>
      </c>
      <c r="G585" s="209">
        <v>61492.0</v>
      </c>
      <c r="H585" s="168">
        <v>206356.0</v>
      </c>
      <c r="I585" s="208">
        <v>24922.0</v>
      </c>
    </row>
    <row r="586">
      <c r="A586" s="24">
        <v>137.0</v>
      </c>
      <c r="B586" s="168">
        <v>-97191.42</v>
      </c>
      <c r="C586" s="24" t="s">
        <v>5214</v>
      </c>
      <c r="D586" s="76">
        <v>7582.0</v>
      </c>
      <c r="E586" s="208">
        <v>23156.0</v>
      </c>
      <c r="F586" s="168">
        <v>722741.0</v>
      </c>
      <c r="G586" s="209">
        <v>57255.0</v>
      </c>
      <c r="H586" s="168">
        <v>717025.0</v>
      </c>
      <c r="I586" s="208">
        <v>79771.0</v>
      </c>
    </row>
    <row r="587">
      <c r="A587" s="24">
        <v>108.0</v>
      </c>
      <c r="B587" s="168">
        <v>4001.82</v>
      </c>
      <c r="C587" s="24" t="s">
        <v>5217</v>
      </c>
      <c r="D587" s="76">
        <v>7583.0</v>
      </c>
      <c r="E587" s="208">
        <v>37658.0</v>
      </c>
      <c r="F587" s="168">
        <v>475942.0</v>
      </c>
      <c r="G587" s="209">
        <v>86976.0</v>
      </c>
      <c r="H587" s="168">
        <v>420410.0</v>
      </c>
      <c r="I587" s="208">
        <v>37707.0</v>
      </c>
    </row>
    <row r="588">
      <c r="A588" s="24">
        <v>116.0</v>
      </c>
      <c r="B588" s="168">
        <v>-45772.77</v>
      </c>
      <c r="C588" s="24" t="s">
        <v>5218</v>
      </c>
      <c r="D588" s="76">
        <v>7584.0</v>
      </c>
      <c r="E588" s="208">
        <v>-39895.0</v>
      </c>
      <c r="F588" s="168">
        <v>643260.0</v>
      </c>
      <c r="G588" s="209">
        <v>-20499.0</v>
      </c>
      <c r="H588" s="168">
        <v>248201.0</v>
      </c>
      <c r="I588" s="208">
        <v>-71525.0</v>
      </c>
    </row>
    <row r="589">
      <c r="A589" s="24">
        <v>126.0</v>
      </c>
      <c r="B589" s="168">
        <v>-26831.71</v>
      </c>
      <c r="C589" s="24" t="s">
        <v>5219</v>
      </c>
      <c r="D589" s="76">
        <v>7585.0</v>
      </c>
      <c r="E589" s="208">
        <v>-4132.0</v>
      </c>
      <c r="F589" s="168">
        <v>423161.0</v>
      </c>
      <c r="G589" s="209">
        <v>90135.0</v>
      </c>
      <c r="H589" s="168">
        <v>965523.0</v>
      </c>
      <c r="I589" s="208">
        <v>-40436.0</v>
      </c>
    </row>
    <row r="590">
      <c r="A590" s="24">
        <v>139.0</v>
      </c>
      <c r="B590" s="168">
        <v>20752.15</v>
      </c>
      <c r="C590" s="24" t="s">
        <v>5220</v>
      </c>
      <c r="D590" s="76">
        <v>7586.0</v>
      </c>
      <c r="E590" s="208">
        <v>99860.0</v>
      </c>
      <c r="F590" s="168">
        <v>696685.0</v>
      </c>
      <c r="G590" s="209">
        <v>5983.0</v>
      </c>
      <c r="H590" s="168">
        <v>566933.0</v>
      </c>
      <c r="I590" s="208">
        <v>55933.0</v>
      </c>
    </row>
    <row r="591">
      <c r="A591" s="24">
        <v>128.0</v>
      </c>
      <c r="B591" s="168">
        <v>84843.77</v>
      </c>
      <c r="C591" s="24" t="s">
        <v>5221</v>
      </c>
      <c r="D591" s="76">
        <v>7587.0</v>
      </c>
      <c r="E591" s="208">
        <v>35230.0</v>
      </c>
      <c r="F591" s="168">
        <v>269016.0</v>
      </c>
      <c r="G591" s="209">
        <v>-12236.0</v>
      </c>
      <c r="H591" s="168">
        <v>173875.0</v>
      </c>
      <c r="I591" s="208">
        <v>-44536.0</v>
      </c>
    </row>
    <row r="592">
      <c r="A592" s="24">
        <v>140.0</v>
      </c>
      <c r="B592" s="168">
        <v>40601.15</v>
      </c>
      <c r="C592" s="24" t="s">
        <v>5222</v>
      </c>
      <c r="D592" s="76">
        <v>7588.0</v>
      </c>
      <c r="E592" s="208">
        <v>-99315.0</v>
      </c>
      <c r="F592" s="168">
        <v>757484.0</v>
      </c>
      <c r="G592" s="209">
        <v>60726.0</v>
      </c>
      <c r="H592" s="168">
        <v>619881.0</v>
      </c>
      <c r="I592" s="208">
        <v>55059.0</v>
      </c>
    </row>
    <row r="593">
      <c r="A593" s="24">
        <v>119.0</v>
      </c>
      <c r="B593" s="168">
        <v>-78374.71</v>
      </c>
      <c r="C593" s="24" t="s">
        <v>5223</v>
      </c>
      <c r="D593" s="76">
        <v>7589.0</v>
      </c>
      <c r="E593" s="208">
        <v>1193.0</v>
      </c>
      <c r="F593" s="168">
        <v>951109.0</v>
      </c>
      <c r="G593" s="209">
        <v>-45077.0</v>
      </c>
      <c r="H593" s="168">
        <v>516823.0</v>
      </c>
      <c r="I593" s="208">
        <v>-54037.0</v>
      </c>
    </row>
    <row r="594">
      <c r="A594" s="24">
        <v>135.0</v>
      </c>
      <c r="B594" s="168">
        <v>-48145.75</v>
      </c>
      <c r="C594" s="24" t="s">
        <v>5224</v>
      </c>
      <c r="D594" s="76">
        <v>7590.0</v>
      </c>
      <c r="E594" s="208">
        <v>-6466.0</v>
      </c>
      <c r="F594" s="168">
        <v>711477.0</v>
      </c>
      <c r="G594" s="209">
        <v>-18087.0</v>
      </c>
      <c r="H594" s="168">
        <v>203748.0</v>
      </c>
      <c r="I594" s="208">
        <v>54608.0</v>
      </c>
    </row>
    <row r="595">
      <c r="A595" s="24">
        <v>124.0</v>
      </c>
      <c r="B595" s="168">
        <v>16356.23</v>
      </c>
      <c r="C595" s="24" t="s">
        <v>5225</v>
      </c>
      <c r="D595" s="76">
        <v>7591.0</v>
      </c>
      <c r="E595" s="208">
        <v>-23514.0</v>
      </c>
      <c r="F595" s="168">
        <v>216239.0</v>
      </c>
      <c r="G595" s="209">
        <v>-67839.0</v>
      </c>
      <c r="H595" s="168">
        <v>915313.0</v>
      </c>
      <c r="I595" s="208">
        <v>74520.0</v>
      </c>
    </row>
    <row r="596">
      <c r="A596" s="24">
        <v>149.0</v>
      </c>
      <c r="B596" s="168">
        <v>55956.59</v>
      </c>
      <c r="C596" s="24" t="s">
        <v>5226</v>
      </c>
      <c r="D596" s="76">
        <v>7592.0</v>
      </c>
      <c r="E596" s="208">
        <v>-34712.0</v>
      </c>
      <c r="F596" s="168">
        <v>687720.0</v>
      </c>
      <c r="G596" s="209">
        <v>27127.0</v>
      </c>
      <c r="H596" s="168">
        <v>413035.0</v>
      </c>
      <c r="I596" s="208">
        <v>14952.0</v>
      </c>
    </row>
    <row r="597">
      <c r="A597" s="24">
        <v>114.0</v>
      </c>
      <c r="B597" s="168">
        <v>74379.35</v>
      </c>
      <c r="C597" s="24" t="s">
        <v>5227</v>
      </c>
      <c r="D597" s="76">
        <v>7593.0</v>
      </c>
      <c r="E597" s="208">
        <v>79162.0</v>
      </c>
      <c r="F597" s="168">
        <v>199807.0</v>
      </c>
      <c r="G597" s="209">
        <v>-2570.0</v>
      </c>
      <c r="H597" s="168">
        <v>638914.0</v>
      </c>
      <c r="I597" s="208">
        <v>73270.0</v>
      </c>
    </row>
    <row r="598">
      <c r="A598" s="24">
        <v>101.0</v>
      </c>
      <c r="B598" s="168">
        <v>-36410.58</v>
      </c>
      <c r="C598" s="24" t="s">
        <v>5228</v>
      </c>
      <c r="D598" s="76">
        <v>7594.0</v>
      </c>
      <c r="E598" s="208">
        <v>64618.0</v>
      </c>
      <c r="F598" s="168">
        <v>339190.0</v>
      </c>
      <c r="G598" s="209">
        <v>-19065.0</v>
      </c>
      <c r="H598" s="168">
        <v>238332.0</v>
      </c>
      <c r="I598" s="208">
        <v>-50656.0</v>
      </c>
    </row>
    <row r="599">
      <c r="A599" s="24">
        <v>105.0</v>
      </c>
      <c r="B599" s="168">
        <v>-69662.83</v>
      </c>
      <c r="C599" s="24" t="s">
        <v>5229</v>
      </c>
      <c r="D599" s="76">
        <v>7595.0</v>
      </c>
      <c r="E599" s="208">
        <v>53110.0</v>
      </c>
      <c r="F599" s="168">
        <v>629895.0</v>
      </c>
      <c r="G599" s="209">
        <v>79996.0</v>
      </c>
      <c r="H599" s="168">
        <v>901537.0</v>
      </c>
      <c r="I599" s="208">
        <v>-62473.0</v>
      </c>
    </row>
    <row r="600">
      <c r="A600" s="24">
        <v>117.0</v>
      </c>
      <c r="B600" s="168">
        <v>-55272.76</v>
      </c>
      <c r="C600" s="24" t="s">
        <v>5230</v>
      </c>
      <c r="D600" s="76">
        <v>7596.0</v>
      </c>
      <c r="E600" s="208">
        <v>-3224.0</v>
      </c>
      <c r="F600" s="168">
        <v>162544.0</v>
      </c>
      <c r="G600" s="209">
        <v>95954.0</v>
      </c>
      <c r="H600" s="168">
        <v>322433.0</v>
      </c>
      <c r="I600" s="208">
        <v>38471.0</v>
      </c>
    </row>
    <row r="601">
      <c r="A601" s="24">
        <v>107.0</v>
      </c>
      <c r="B601" s="168">
        <v>12514.66</v>
      </c>
      <c r="C601" s="24" t="s">
        <v>5231</v>
      </c>
      <c r="D601" s="76">
        <v>7597.0</v>
      </c>
      <c r="E601" s="208">
        <v>93365.0</v>
      </c>
      <c r="F601" s="168">
        <v>203276.0</v>
      </c>
      <c r="G601" s="209">
        <v>-69072.0</v>
      </c>
      <c r="H601" s="168">
        <v>861188.0</v>
      </c>
      <c r="I601" s="208">
        <v>-12608.0</v>
      </c>
    </row>
    <row r="602">
      <c r="A602" s="24">
        <v>102.0</v>
      </c>
      <c r="B602" s="168">
        <v>3738.55</v>
      </c>
      <c r="C602" s="24" t="s">
        <v>5232</v>
      </c>
      <c r="D602" s="76">
        <v>7598.0</v>
      </c>
      <c r="E602" s="208">
        <v>76457.0</v>
      </c>
      <c r="F602" s="168">
        <v>426649.0</v>
      </c>
      <c r="G602" s="209">
        <v>-28827.0</v>
      </c>
      <c r="H602" s="168">
        <v>265615.0</v>
      </c>
      <c r="I602" s="208">
        <v>-36298.0</v>
      </c>
    </row>
    <row r="603">
      <c r="A603" s="24">
        <v>132.0</v>
      </c>
      <c r="B603" s="168">
        <v>11854.34</v>
      </c>
      <c r="C603" s="24" t="s">
        <v>5233</v>
      </c>
      <c r="D603" s="76">
        <v>7599.0</v>
      </c>
      <c r="E603" s="208">
        <v>-7210.0</v>
      </c>
      <c r="F603" s="168">
        <v>892045.0</v>
      </c>
      <c r="G603" s="209">
        <v>-39908.0</v>
      </c>
      <c r="H603" s="168">
        <v>608073.0</v>
      </c>
      <c r="I603" s="208">
        <v>-54372.0</v>
      </c>
    </row>
    <row r="604">
      <c r="A604" s="24">
        <v>145.0</v>
      </c>
      <c r="B604" s="168">
        <v>37811.61</v>
      </c>
      <c r="C604" s="24" t="s">
        <v>5185</v>
      </c>
      <c r="D604" s="76">
        <v>7600.0</v>
      </c>
      <c r="E604" s="208">
        <v>10270.0</v>
      </c>
      <c r="F604" s="168">
        <v>713474.0</v>
      </c>
      <c r="G604" s="209">
        <v>-6256.0</v>
      </c>
      <c r="H604" s="168">
        <v>338888.0</v>
      </c>
      <c r="I604" s="208">
        <v>-85920.0</v>
      </c>
    </row>
    <row r="605">
      <c r="A605" s="24">
        <v>148.0</v>
      </c>
      <c r="B605" s="168">
        <v>58262.73</v>
      </c>
      <c r="C605" s="24" t="s">
        <v>5186</v>
      </c>
      <c r="D605" s="76">
        <v>7601.0</v>
      </c>
      <c r="E605" s="208">
        <v>29842.0</v>
      </c>
      <c r="F605" s="168">
        <v>608041.0</v>
      </c>
      <c r="G605" s="209">
        <v>55984.0</v>
      </c>
      <c r="H605" s="168">
        <v>453537.0</v>
      </c>
      <c r="I605" s="208">
        <v>14520.0</v>
      </c>
    </row>
    <row r="606">
      <c r="A606" s="24">
        <v>136.0</v>
      </c>
      <c r="B606" s="168">
        <v>51119.84</v>
      </c>
      <c r="C606" s="24" t="s">
        <v>5187</v>
      </c>
      <c r="D606" s="76">
        <v>7602.0</v>
      </c>
      <c r="E606" s="208">
        <v>-63853.0</v>
      </c>
      <c r="F606" s="168">
        <v>789732.0</v>
      </c>
      <c r="G606" s="209">
        <v>-62427.0</v>
      </c>
      <c r="H606" s="168">
        <v>992063.0</v>
      </c>
      <c r="I606" s="208">
        <v>37110.0</v>
      </c>
    </row>
    <row r="607">
      <c r="A607" s="24">
        <v>104.0</v>
      </c>
      <c r="B607" s="168">
        <v>53653.21</v>
      </c>
      <c r="C607" s="24" t="s">
        <v>5188</v>
      </c>
      <c r="D607" s="76">
        <v>7603.0</v>
      </c>
      <c r="E607" s="208">
        <v>-69393.0</v>
      </c>
      <c r="F607" s="168">
        <v>991230.0</v>
      </c>
      <c r="G607" s="209">
        <v>81034.0</v>
      </c>
      <c r="H607" s="168">
        <v>397243.0</v>
      </c>
      <c r="I607" s="208">
        <v>-2592.0</v>
      </c>
    </row>
    <row r="608">
      <c r="A608" s="24">
        <v>129.0</v>
      </c>
      <c r="B608" s="168">
        <v>-8801.03</v>
      </c>
      <c r="C608" s="24" t="s">
        <v>5189</v>
      </c>
      <c r="D608" s="76">
        <v>7604.0</v>
      </c>
      <c r="E608" s="208">
        <v>-48827.0</v>
      </c>
      <c r="F608" s="168">
        <v>221748.0</v>
      </c>
      <c r="G608" s="209">
        <v>-60884.0</v>
      </c>
      <c r="H608" s="168">
        <v>465919.0</v>
      </c>
      <c r="I608" s="208">
        <v>-5388.0</v>
      </c>
    </row>
    <row r="609">
      <c r="A609" s="24">
        <v>118.0</v>
      </c>
      <c r="B609" s="168">
        <v>-67006.97</v>
      </c>
      <c r="C609" s="24" t="s">
        <v>5190</v>
      </c>
      <c r="D609" s="76">
        <v>7605.0</v>
      </c>
      <c r="E609" s="208">
        <v>-68194.0</v>
      </c>
      <c r="F609" s="168">
        <v>736327.0</v>
      </c>
      <c r="G609" s="209">
        <v>17808.0</v>
      </c>
      <c r="H609" s="168">
        <v>558525.0</v>
      </c>
      <c r="I609" s="208">
        <v>25986.0</v>
      </c>
    </row>
    <row r="610">
      <c r="A610" s="24">
        <v>127.0</v>
      </c>
      <c r="B610" s="168">
        <v>63930.52</v>
      </c>
      <c r="C610" s="24" t="s">
        <v>5191</v>
      </c>
      <c r="D610" s="76">
        <v>7606.0</v>
      </c>
      <c r="E610" s="208">
        <v>-69140.0</v>
      </c>
      <c r="F610" s="168">
        <v>272767.0</v>
      </c>
      <c r="G610" s="209">
        <v>-78853.0</v>
      </c>
      <c r="H610" s="168">
        <v>718775.0</v>
      </c>
      <c r="I610" s="208">
        <v>87070.0</v>
      </c>
    </row>
    <row r="611">
      <c r="A611" s="24">
        <v>125.0</v>
      </c>
      <c r="B611" s="168">
        <v>-28863.24</v>
      </c>
      <c r="C611" s="24" t="s">
        <v>5192</v>
      </c>
      <c r="D611" s="76">
        <v>7607.0</v>
      </c>
      <c r="E611" s="208">
        <v>-10710.0</v>
      </c>
      <c r="F611" s="168">
        <v>467596.0</v>
      </c>
      <c r="G611" s="209">
        <v>64781.0</v>
      </c>
      <c r="H611" s="168">
        <v>821637.0</v>
      </c>
      <c r="I611" s="208">
        <v>-4524.0</v>
      </c>
    </row>
    <row r="612">
      <c r="A612" s="24">
        <v>146.0</v>
      </c>
      <c r="B612" s="168">
        <v>50205.09</v>
      </c>
      <c r="C612" s="24" t="s">
        <v>5193</v>
      </c>
      <c r="D612" s="76">
        <v>7608.0</v>
      </c>
      <c r="E612" s="208">
        <v>-9686.0</v>
      </c>
      <c r="F612" s="168">
        <v>398784.0</v>
      </c>
      <c r="G612" s="209">
        <v>-77755.0</v>
      </c>
      <c r="H612" s="168">
        <v>535486.0</v>
      </c>
      <c r="I612" s="208">
        <v>38748.0</v>
      </c>
    </row>
    <row r="613">
      <c r="A613" s="24">
        <v>111.0</v>
      </c>
      <c r="B613" s="168">
        <v>15266.16</v>
      </c>
      <c r="C613" s="24" t="s">
        <v>5194</v>
      </c>
      <c r="D613" s="76">
        <v>7609.0</v>
      </c>
      <c r="E613" s="208">
        <v>-78034.0</v>
      </c>
      <c r="F613" s="168">
        <v>549403.0</v>
      </c>
      <c r="G613" s="209">
        <v>67213.0</v>
      </c>
      <c r="H613" s="168">
        <v>279849.0</v>
      </c>
      <c r="I613" s="208">
        <v>70009.0</v>
      </c>
    </row>
    <row r="614">
      <c r="A614" s="24">
        <v>103.0</v>
      </c>
      <c r="B614" s="168">
        <v>10900.85</v>
      </c>
      <c r="C614" s="24" t="s">
        <v>5195</v>
      </c>
      <c r="D614" s="76">
        <v>7610.0</v>
      </c>
      <c r="E614" s="208">
        <v>-48539.0</v>
      </c>
      <c r="F614" s="168">
        <v>666478.0</v>
      </c>
      <c r="G614" s="209">
        <v>-15171.0</v>
      </c>
      <c r="H614" s="168">
        <v>931178.0</v>
      </c>
      <c r="I614" s="208">
        <v>91261.0</v>
      </c>
    </row>
    <row r="615">
      <c r="A615" s="24">
        <v>142.0</v>
      </c>
      <c r="B615" s="168">
        <v>95853.8</v>
      </c>
      <c r="C615" s="24" t="s">
        <v>5196</v>
      </c>
      <c r="D615" s="76">
        <v>7611.0</v>
      </c>
      <c r="E615" s="208">
        <v>-91208.0</v>
      </c>
      <c r="F615" s="168">
        <v>814948.0</v>
      </c>
      <c r="G615" s="209">
        <v>-46339.0</v>
      </c>
      <c r="H615" s="168">
        <v>149860.0</v>
      </c>
      <c r="I615" s="208">
        <v>37428.0</v>
      </c>
    </row>
    <row r="616">
      <c r="A616" s="24">
        <v>100.0</v>
      </c>
      <c r="B616" s="168">
        <v>-28510.24</v>
      </c>
      <c r="C616" s="24" t="s">
        <v>5197</v>
      </c>
      <c r="D616" s="76">
        <v>7612.0</v>
      </c>
      <c r="E616" s="208">
        <v>19458.0</v>
      </c>
      <c r="F616" s="168">
        <v>116404.0</v>
      </c>
      <c r="G616" s="209">
        <v>64481.0</v>
      </c>
      <c r="H616" s="168">
        <v>678264.0</v>
      </c>
      <c r="I616" s="208">
        <v>98360.0</v>
      </c>
    </row>
    <row r="617">
      <c r="A617" s="24">
        <v>109.0</v>
      </c>
      <c r="B617" s="168">
        <v>-97537.2</v>
      </c>
      <c r="C617" s="24" t="s">
        <v>5198</v>
      </c>
      <c r="D617" s="76">
        <v>7613.0</v>
      </c>
      <c r="E617" s="208">
        <v>-81680.0</v>
      </c>
      <c r="F617" s="168">
        <v>990421.0</v>
      </c>
      <c r="G617" s="209">
        <v>49202.0</v>
      </c>
      <c r="H617" s="168">
        <v>459861.0</v>
      </c>
      <c r="I617" s="208">
        <v>39216.0</v>
      </c>
    </row>
    <row r="618">
      <c r="A618" s="24">
        <v>144.0</v>
      </c>
      <c r="B618" s="168">
        <v>29675.79</v>
      </c>
      <c r="C618" s="24" t="s">
        <v>5199</v>
      </c>
      <c r="D618" s="76">
        <v>7614.0</v>
      </c>
      <c r="E618" s="208">
        <v>56850.0</v>
      </c>
      <c r="F618" s="168">
        <v>759360.0</v>
      </c>
      <c r="G618" s="209">
        <v>86687.0</v>
      </c>
      <c r="H618" s="168">
        <v>919306.0</v>
      </c>
      <c r="I618" s="208">
        <v>-94578.0</v>
      </c>
    </row>
    <row r="619">
      <c r="A619" s="24">
        <v>133.0</v>
      </c>
      <c r="B619" s="168">
        <v>70045.47</v>
      </c>
      <c r="C619" s="24" t="s">
        <v>5200</v>
      </c>
      <c r="D619" s="76">
        <v>7615.0</v>
      </c>
      <c r="E619" s="208">
        <v>-94063.0</v>
      </c>
      <c r="F619" s="168">
        <v>408629.0</v>
      </c>
      <c r="G619" s="209">
        <v>57972.0</v>
      </c>
      <c r="H619" s="168">
        <v>962002.0</v>
      </c>
      <c r="I619" s="208">
        <v>76405.0</v>
      </c>
    </row>
    <row r="620">
      <c r="A620" s="24">
        <v>134.0</v>
      </c>
      <c r="B620" s="168">
        <v>-94013.2</v>
      </c>
      <c r="C620" s="24" t="s">
        <v>5201</v>
      </c>
      <c r="D620" s="76">
        <v>7616.0</v>
      </c>
      <c r="E620" s="208">
        <v>26196.0</v>
      </c>
      <c r="F620" s="168">
        <v>758412.0</v>
      </c>
      <c r="G620" s="209">
        <v>-539.0</v>
      </c>
      <c r="H620" s="168">
        <v>328310.0</v>
      </c>
      <c r="I620" s="208">
        <v>-84291.0</v>
      </c>
    </row>
    <row r="621">
      <c r="A621" s="24">
        <v>123.0</v>
      </c>
      <c r="B621" s="168">
        <v>72207.95</v>
      </c>
      <c r="C621" s="24" t="s">
        <v>5202</v>
      </c>
      <c r="D621" s="76">
        <v>7617.0</v>
      </c>
      <c r="E621" s="208">
        <v>93212.0</v>
      </c>
      <c r="F621" s="168">
        <v>392381.0</v>
      </c>
      <c r="G621" s="209">
        <v>-40001.0</v>
      </c>
      <c r="H621" s="168">
        <v>419303.0</v>
      </c>
      <c r="I621" s="208">
        <v>-84762.0</v>
      </c>
    </row>
    <row r="622">
      <c r="A622" s="24">
        <v>106.0</v>
      </c>
      <c r="B622" s="168">
        <v>46209.24</v>
      </c>
      <c r="C622" s="24" t="s">
        <v>5203</v>
      </c>
      <c r="D622" s="76">
        <v>7618.0</v>
      </c>
      <c r="E622" s="208">
        <v>-11590.0</v>
      </c>
      <c r="F622" s="168">
        <v>378248.0</v>
      </c>
      <c r="G622" s="209">
        <v>-93509.0</v>
      </c>
      <c r="H622" s="168">
        <v>254952.0</v>
      </c>
      <c r="I622" s="208">
        <v>-78522.0</v>
      </c>
    </row>
    <row r="623">
      <c r="A623" s="24">
        <v>122.0</v>
      </c>
      <c r="B623" s="168">
        <v>40413.65</v>
      </c>
      <c r="C623" s="24" t="s">
        <v>5204</v>
      </c>
      <c r="D623" s="76">
        <v>7619.0</v>
      </c>
      <c r="E623" s="208">
        <v>-34795.0</v>
      </c>
      <c r="F623" s="168">
        <v>468693.0</v>
      </c>
      <c r="G623" s="209">
        <v>-37329.0</v>
      </c>
      <c r="H623" s="168">
        <v>212370.0</v>
      </c>
      <c r="I623" s="208">
        <v>7770.0</v>
      </c>
    </row>
    <row r="624">
      <c r="A624" s="24">
        <v>143.0</v>
      </c>
      <c r="B624" s="168">
        <v>77404.04</v>
      </c>
      <c r="C624" s="24" t="s">
        <v>5205</v>
      </c>
      <c r="D624" s="76">
        <v>7620.0</v>
      </c>
      <c r="E624" s="208">
        <v>28067.0</v>
      </c>
      <c r="F624" s="168">
        <v>416049.0</v>
      </c>
      <c r="G624" s="209">
        <v>-6743.0</v>
      </c>
      <c r="H624" s="168">
        <v>951015.0</v>
      </c>
      <c r="I624" s="208">
        <v>-43797.0</v>
      </c>
    </row>
    <row r="625">
      <c r="A625" s="24">
        <v>131.0</v>
      </c>
      <c r="B625" s="168">
        <v>-99519.69</v>
      </c>
      <c r="C625" s="24" t="s">
        <v>5206</v>
      </c>
      <c r="D625" s="76">
        <v>7621.0</v>
      </c>
      <c r="E625" s="208">
        <v>57631.0</v>
      </c>
      <c r="F625" s="168">
        <v>598758.0</v>
      </c>
      <c r="G625" s="209">
        <v>-20131.0</v>
      </c>
      <c r="H625" s="168">
        <v>728546.0</v>
      </c>
      <c r="I625" s="208">
        <v>-63289.0</v>
      </c>
    </row>
    <row r="626">
      <c r="A626" s="24">
        <v>147.0</v>
      </c>
      <c r="B626" s="168">
        <v>-887.01</v>
      </c>
      <c r="C626" s="24" t="s">
        <v>5207</v>
      </c>
      <c r="D626" s="76">
        <v>7622.0</v>
      </c>
      <c r="E626" s="208">
        <v>78702.0</v>
      </c>
      <c r="F626" s="168">
        <v>630608.0</v>
      </c>
      <c r="G626" s="209">
        <v>60752.0</v>
      </c>
      <c r="H626" s="168">
        <v>840736.0</v>
      </c>
      <c r="I626" s="208">
        <v>11136.0</v>
      </c>
    </row>
    <row r="627">
      <c r="A627" s="24">
        <v>121.0</v>
      </c>
      <c r="B627" s="168">
        <v>34412.89</v>
      </c>
      <c r="C627" s="24" t="s">
        <v>5208</v>
      </c>
      <c r="D627" s="76">
        <v>7623.0</v>
      </c>
      <c r="E627" s="208">
        <v>-77332.0</v>
      </c>
      <c r="F627" s="168">
        <v>930633.0</v>
      </c>
      <c r="G627" s="209">
        <v>35060.0</v>
      </c>
      <c r="H627" s="168">
        <v>227066.0</v>
      </c>
      <c r="I627" s="208">
        <v>58881.0</v>
      </c>
    </row>
    <row r="628">
      <c r="A628" s="24">
        <v>113.0</v>
      </c>
      <c r="B628" s="168">
        <v>-20330.65</v>
      </c>
      <c r="C628" s="24" t="s">
        <v>5209</v>
      </c>
      <c r="D628" s="76">
        <v>7624.0</v>
      </c>
      <c r="E628" s="208">
        <v>3481.0</v>
      </c>
      <c r="F628" s="168">
        <v>162396.0</v>
      </c>
      <c r="G628" s="209">
        <v>26368.0</v>
      </c>
      <c r="H628" s="168">
        <v>827062.0</v>
      </c>
      <c r="I628" s="208">
        <v>-20553.0</v>
      </c>
    </row>
    <row r="629">
      <c r="A629" s="24">
        <v>130.0</v>
      </c>
      <c r="B629" s="168">
        <v>-85313.77</v>
      </c>
      <c r="C629" s="24" t="s">
        <v>5210</v>
      </c>
      <c r="D629" s="76">
        <v>7625.0</v>
      </c>
      <c r="E629" s="208">
        <v>-31761.0</v>
      </c>
      <c r="F629" s="168">
        <v>691036.0</v>
      </c>
      <c r="G629" s="209">
        <v>-81481.0</v>
      </c>
      <c r="H629" s="168">
        <v>171456.0</v>
      </c>
      <c r="I629" s="208">
        <v>-97646.0</v>
      </c>
    </row>
    <row r="630">
      <c r="A630" s="24">
        <v>112.0</v>
      </c>
      <c r="B630" s="168">
        <v>-15089.65</v>
      </c>
      <c r="C630" s="24" t="s">
        <v>5211</v>
      </c>
      <c r="D630" s="76">
        <v>7626.0</v>
      </c>
      <c r="E630" s="208">
        <v>57119.0</v>
      </c>
      <c r="F630" s="168">
        <v>147890.0</v>
      </c>
      <c r="G630" s="209">
        <v>35251.0</v>
      </c>
      <c r="H630" s="168">
        <v>671274.0</v>
      </c>
      <c r="I630" s="208">
        <v>21733.0</v>
      </c>
    </row>
    <row r="631">
      <c r="A631" s="24">
        <v>110.0</v>
      </c>
      <c r="B631" s="168">
        <v>56490.22</v>
      </c>
      <c r="C631" s="24" t="s">
        <v>5212</v>
      </c>
      <c r="D631" s="76">
        <v>7627.0</v>
      </c>
      <c r="E631" s="208">
        <v>-495.0</v>
      </c>
      <c r="F631" s="168">
        <v>584155.0</v>
      </c>
      <c r="G631" s="209">
        <v>-71202.0</v>
      </c>
      <c r="H631" s="168">
        <v>980362.0</v>
      </c>
      <c r="I631" s="208">
        <v>-28710.0</v>
      </c>
    </row>
    <row r="632">
      <c r="A632" s="24">
        <v>138.0</v>
      </c>
      <c r="B632" s="168">
        <v>-16569.63</v>
      </c>
      <c r="C632" s="24" t="s">
        <v>5213</v>
      </c>
      <c r="D632" s="76">
        <v>7628.0</v>
      </c>
      <c r="E632" s="208">
        <v>-68292.0</v>
      </c>
      <c r="F632" s="168">
        <v>229620.0</v>
      </c>
      <c r="G632" s="209">
        <v>68438.0</v>
      </c>
      <c r="H632" s="168">
        <v>646062.0</v>
      </c>
      <c r="I632" s="208">
        <v>78614.0</v>
      </c>
    </row>
    <row r="633">
      <c r="A633" s="24">
        <v>120.0</v>
      </c>
      <c r="B633" s="168">
        <v>-8950.06</v>
      </c>
      <c r="C633" s="24" t="s">
        <v>5214</v>
      </c>
      <c r="D633" s="76">
        <v>7629.0</v>
      </c>
      <c r="E633" s="208">
        <v>20505.0</v>
      </c>
      <c r="F633" s="168">
        <v>381459.0</v>
      </c>
      <c r="G633" s="209">
        <v>84580.0</v>
      </c>
      <c r="H633" s="168">
        <v>519323.0</v>
      </c>
      <c r="I633" s="208">
        <v>42309.0</v>
      </c>
    </row>
    <row r="634">
      <c r="A634" s="24">
        <v>115.0</v>
      </c>
      <c r="B634" s="168">
        <v>-84738.64</v>
      </c>
      <c r="C634" s="24" t="s">
        <v>5215</v>
      </c>
      <c r="D634" s="76">
        <v>7630.0</v>
      </c>
      <c r="E634" s="208">
        <v>-62930.0</v>
      </c>
      <c r="F634" s="168">
        <v>740722.0</v>
      </c>
      <c r="G634" s="209">
        <v>94158.0</v>
      </c>
      <c r="H634" s="168">
        <v>721989.0</v>
      </c>
      <c r="I634" s="208">
        <v>39155.0</v>
      </c>
    </row>
    <row r="635">
      <c r="A635" s="24">
        <v>141.0</v>
      </c>
      <c r="B635" s="168">
        <v>-58891.5</v>
      </c>
      <c r="C635" s="24" t="s">
        <v>5216</v>
      </c>
      <c r="D635" s="76">
        <v>7631.0</v>
      </c>
      <c r="E635" s="208">
        <v>-3621.0</v>
      </c>
      <c r="F635" s="168">
        <v>571774.0</v>
      </c>
      <c r="G635" s="209">
        <v>70458.0</v>
      </c>
      <c r="H635" s="168">
        <v>892595.0</v>
      </c>
      <c r="I635" s="208">
        <v>34974.0</v>
      </c>
    </row>
    <row r="636">
      <c r="A636" s="24">
        <v>137.0</v>
      </c>
      <c r="B636" s="168">
        <v>39221.8</v>
      </c>
      <c r="C636" s="24" t="s">
        <v>5214</v>
      </c>
      <c r="D636" s="76">
        <v>7632.0</v>
      </c>
      <c r="E636" s="208">
        <v>-5082.0</v>
      </c>
      <c r="F636" s="168">
        <v>976970.0</v>
      </c>
      <c r="G636" s="209">
        <v>49996.0</v>
      </c>
      <c r="H636" s="168">
        <v>623186.0</v>
      </c>
      <c r="I636" s="208">
        <v>41485.0</v>
      </c>
    </row>
    <row r="637">
      <c r="A637" s="24">
        <v>108.0</v>
      </c>
      <c r="B637" s="168">
        <v>-42011.53</v>
      </c>
      <c r="C637" s="24" t="s">
        <v>5217</v>
      </c>
      <c r="D637" s="76">
        <v>7633.0</v>
      </c>
      <c r="E637" s="208">
        <v>-59727.0</v>
      </c>
      <c r="F637" s="168">
        <v>426419.0</v>
      </c>
      <c r="G637" s="209">
        <v>-51255.0</v>
      </c>
      <c r="H637" s="168">
        <v>199612.0</v>
      </c>
      <c r="I637" s="208">
        <v>-40018.0</v>
      </c>
    </row>
    <row r="638">
      <c r="A638" s="24">
        <v>116.0</v>
      </c>
      <c r="B638" s="168">
        <v>8421.77</v>
      </c>
      <c r="C638" s="24" t="s">
        <v>5218</v>
      </c>
      <c r="D638" s="76">
        <v>7634.0</v>
      </c>
      <c r="E638" s="208">
        <v>31772.0</v>
      </c>
      <c r="F638" s="168">
        <v>260873.0</v>
      </c>
      <c r="G638" s="209">
        <v>92619.0</v>
      </c>
      <c r="H638" s="168">
        <v>483875.0</v>
      </c>
      <c r="I638" s="208">
        <v>90879.0</v>
      </c>
    </row>
    <row r="639">
      <c r="A639" s="24">
        <v>126.0</v>
      </c>
      <c r="B639" s="168">
        <v>64116.3</v>
      </c>
      <c r="C639" s="24" t="s">
        <v>5219</v>
      </c>
      <c r="D639" s="76">
        <v>7635.0</v>
      </c>
      <c r="E639" s="208">
        <v>-86248.0</v>
      </c>
      <c r="F639" s="168">
        <v>539396.0</v>
      </c>
      <c r="G639" s="209">
        <v>99681.0</v>
      </c>
      <c r="H639" s="168">
        <v>862726.0</v>
      </c>
      <c r="I639" s="208">
        <v>69562.0</v>
      </c>
    </row>
    <row r="640">
      <c r="A640" s="24">
        <v>139.0</v>
      </c>
      <c r="B640" s="168">
        <v>-78278.21</v>
      </c>
      <c r="C640" s="24" t="s">
        <v>5220</v>
      </c>
      <c r="D640" s="76">
        <v>7636.0</v>
      </c>
      <c r="E640" s="208">
        <v>38430.0</v>
      </c>
      <c r="F640" s="168">
        <v>245332.0</v>
      </c>
      <c r="G640" s="209">
        <v>88177.0</v>
      </c>
      <c r="H640" s="168">
        <v>267649.0</v>
      </c>
      <c r="I640" s="208">
        <v>-27280.0</v>
      </c>
    </row>
    <row r="641">
      <c r="A641" s="24">
        <v>128.0</v>
      </c>
      <c r="B641" s="168">
        <v>51507.83</v>
      </c>
      <c r="C641" s="24" t="s">
        <v>5221</v>
      </c>
      <c r="D641" s="76">
        <v>7637.0</v>
      </c>
      <c r="E641" s="208">
        <v>-52167.0</v>
      </c>
      <c r="F641" s="168">
        <v>566860.0</v>
      </c>
      <c r="G641" s="209">
        <v>-91826.0</v>
      </c>
      <c r="H641" s="168">
        <v>306039.0</v>
      </c>
      <c r="I641" s="208">
        <v>1530.0</v>
      </c>
    </row>
    <row r="642">
      <c r="A642" s="24">
        <v>140.0</v>
      </c>
      <c r="B642" s="168">
        <v>99476.34</v>
      </c>
      <c r="C642" s="24" t="s">
        <v>5222</v>
      </c>
      <c r="D642" s="76">
        <v>7638.0</v>
      </c>
      <c r="E642" s="208">
        <v>76374.0</v>
      </c>
      <c r="F642" s="168">
        <v>770050.0</v>
      </c>
      <c r="G642" s="209">
        <v>76396.0</v>
      </c>
      <c r="H642" s="168">
        <v>720276.0</v>
      </c>
      <c r="I642" s="208">
        <v>-28310.0</v>
      </c>
    </row>
    <row r="643">
      <c r="A643" s="24">
        <v>119.0</v>
      </c>
      <c r="B643" s="168">
        <v>40214.14</v>
      </c>
      <c r="C643" s="24" t="s">
        <v>5223</v>
      </c>
      <c r="D643" s="76">
        <v>7639.0</v>
      </c>
      <c r="E643" s="208">
        <v>-44402.0</v>
      </c>
      <c r="F643" s="168">
        <v>132141.0</v>
      </c>
      <c r="G643" s="209">
        <v>-37032.0</v>
      </c>
      <c r="H643" s="168">
        <v>647045.0</v>
      </c>
      <c r="I643" s="208">
        <v>69407.0</v>
      </c>
    </row>
    <row r="644">
      <c r="A644" s="24">
        <v>135.0</v>
      </c>
      <c r="B644" s="168">
        <v>52857.6</v>
      </c>
      <c r="C644" s="24" t="s">
        <v>5224</v>
      </c>
      <c r="D644" s="76">
        <v>7640.0</v>
      </c>
      <c r="E644" s="208">
        <v>-25406.0</v>
      </c>
      <c r="F644" s="168">
        <v>573952.0</v>
      </c>
      <c r="G644" s="209">
        <v>63572.0</v>
      </c>
      <c r="H644" s="168">
        <v>395036.0</v>
      </c>
      <c r="I644" s="208">
        <v>48662.0</v>
      </c>
    </row>
    <row r="645">
      <c r="A645" s="24">
        <v>124.0</v>
      </c>
      <c r="B645" s="168">
        <v>-94368.97</v>
      </c>
      <c r="C645" s="24" t="s">
        <v>5225</v>
      </c>
      <c r="D645" s="76">
        <v>7641.0</v>
      </c>
      <c r="E645" s="208">
        <v>95518.0</v>
      </c>
      <c r="F645" s="168">
        <v>573925.0</v>
      </c>
      <c r="G645" s="209">
        <v>-66349.0</v>
      </c>
      <c r="H645" s="168">
        <v>742657.0</v>
      </c>
      <c r="I645" s="208">
        <v>-34962.0</v>
      </c>
    </row>
    <row r="646">
      <c r="A646" s="24">
        <v>149.0</v>
      </c>
      <c r="B646" s="168">
        <v>-98112.1</v>
      </c>
      <c r="C646" s="24" t="s">
        <v>5226</v>
      </c>
      <c r="D646" s="76">
        <v>7642.0</v>
      </c>
      <c r="E646" s="208">
        <v>66750.0</v>
      </c>
      <c r="F646" s="168">
        <v>303844.0</v>
      </c>
      <c r="G646" s="209">
        <v>-19630.0</v>
      </c>
      <c r="H646" s="168">
        <v>473671.0</v>
      </c>
      <c r="I646" s="208">
        <v>53784.0</v>
      </c>
    </row>
    <row r="647">
      <c r="A647" s="24">
        <v>114.0</v>
      </c>
      <c r="B647" s="168">
        <v>74135.07</v>
      </c>
      <c r="C647" s="24" t="s">
        <v>5227</v>
      </c>
      <c r="D647" s="76">
        <v>7643.0</v>
      </c>
      <c r="E647" s="208">
        <v>-60.0</v>
      </c>
      <c r="F647" s="168">
        <v>483396.0</v>
      </c>
      <c r="G647" s="209">
        <v>-67563.0</v>
      </c>
      <c r="H647" s="168">
        <v>173695.0</v>
      </c>
      <c r="I647" s="208">
        <v>53929.0</v>
      </c>
    </row>
    <row r="648">
      <c r="A648" s="24">
        <v>101.0</v>
      </c>
      <c r="B648" s="168">
        <v>-43480.88</v>
      </c>
      <c r="C648" s="24" t="s">
        <v>5228</v>
      </c>
      <c r="D648" s="76">
        <v>7644.0</v>
      </c>
      <c r="E648" s="208">
        <v>69924.0</v>
      </c>
      <c r="F648" s="168">
        <v>847751.0</v>
      </c>
      <c r="G648" s="209">
        <v>20206.0</v>
      </c>
      <c r="H648" s="168">
        <v>646260.0</v>
      </c>
      <c r="I648" s="208">
        <v>42877.0</v>
      </c>
    </row>
    <row r="649">
      <c r="A649" s="24">
        <v>105.0</v>
      </c>
      <c r="B649" s="168">
        <v>-79526.79</v>
      </c>
      <c r="C649" s="24" t="s">
        <v>5229</v>
      </c>
      <c r="D649" s="76">
        <v>7645.0</v>
      </c>
      <c r="E649" s="208">
        <v>-76600.0</v>
      </c>
      <c r="F649" s="168">
        <v>196376.0</v>
      </c>
      <c r="G649" s="209">
        <v>37305.0</v>
      </c>
      <c r="H649" s="168">
        <v>306695.0</v>
      </c>
      <c r="I649" s="208">
        <v>90622.0</v>
      </c>
    </row>
    <row r="650">
      <c r="A650" s="24">
        <v>117.0</v>
      </c>
      <c r="B650" s="168">
        <v>99698.3</v>
      </c>
      <c r="C650" s="24" t="s">
        <v>5230</v>
      </c>
      <c r="D650" s="76">
        <v>7646.0</v>
      </c>
      <c r="E650" s="208">
        <v>34721.0</v>
      </c>
      <c r="F650" s="168">
        <v>617824.0</v>
      </c>
      <c r="G650" s="209">
        <v>-4403.0</v>
      </c>
      <c r="H650" s="168">
        <v>686710.0</v>
      </c>
      <c r="I650" s="208">
        <v>78403.0</v>
      </c>
    </row>
    <row r="651">
      <c r="A651" s="24">
        <v>107.0</v>
      </c>
      <c r="B651" s="168">
        <v>33310.29</v>
      </c>
      <c r="C651" s="24" t="s">
        <v>5231</v>
      </c>
      <c r="D651" s="76">
        <v>7647.0</v>
      </c>
      <c r="E651" s="208">
        <v>31755.0</v>
      </c>
      <c r="F651" s="168">
        <v>393525.0</v>
      </c>
      <c r="G651" s="209">
        <v>-79881.0</v>
      </c>
      <c r="H651" s="168">
        <v>572639.0</v>
      </c>
      <c r="I651" s="208">
        <v>-64212.0</v>
      </c>
    </row>
    <row r="652">
      <c r="A652" s="24">
        <v>102.0</v>
      </c>
      <c r="B652" s="168">
        <v>-23184.59</v>
      </c>
      <c r="C652" s="24" t="s">
        <v>5232</v>
      </c>
      <c r="D652" s="76">
        <v>7648.0</v>
      </c>
      <c r="E652" s="208">
        <v>-36281.0</v>
      </c>
      <c r="F652" s="168">
        <v>695446.0</v>
      </c>
      <c r="G652" s="209">
        <v>-63660.0</v>
      </c>
      <c r="H652" s="168">
        <v>172677.0</v>
      </c>
      <c r="I652" s="208">
        <v>1729.0</v>
      </c>
    </row>
    <row r="653">
      <c r="A653" s="24">
        <v>132.0</v>
      </c>
      <c r="B653" s="168">
        <v>-13942.95</v>
      </c>
      <c r="C653" s="24" t="s">
        <v>5233</v>
      </c>
      <c r="D653" s="76">
        <v>7649.0</v>
      </c>
      <c r="E653" s="208">
        <v>-35244.0</v>
      </c>
      <c r="F653" s="168">
        <v>801810.0</v>
      </c>
      <c r="G653" s="209">
        <v>-33350.0</v>
      </c>
      <c r="H653" s="168">
        <v>259760.0</v>
      </c>
      <c r="I653" s="208">
        <v>29430.0</v>
      </c>
    </row>
    <row r="654">
      <c r="A654" s="24">
        <v>145.0</v>
      </c>
      <c r="B654" s="168">
        <v>-19202.85</v>
      </c>
      <c r="C654" s="24" t="s">
        <v>5185</v>
      </c>
      <c r="D654" s="76">
        <v>7650.0</v>
      </c>
      <c r="E654" s="208">
        <v>62956.0</v>
      </c>
      <c r="F654" s="168">
        <v>655193.0</v>
      </c>
      <c r="G654" s="209">
        <v>-36150.0</v>
      </c>
      <c r="H654" s="168">
        <v>926335.0</v>
      </c>
      <c r="I654" s="208">
        <v>8307.0</v>
      </c>
    </row>
    <row r="655">
      <c r="A655" s="24">
        <v>148.0</v>
      </c>
      <c r="B655" s="168">
        <v>-84608.72</v>
      </c>
      <c r="C655" s="24" t="s">
        <v>5186</v>
      </c>
      <c r="D655" s="76">
        <v>7651.0</v>
      </c>
      <c r="E655" s="208">
        <v>56565.0</v>
      </c>
      <c r="F655" s="168">
        <v>567341.0</v>
      </c>
      <c r="G655" s="209">
        <v>45735.0</v>
      </c>
      <c r="H655" s="168">
        <v>407965.0</v>
      </c>
      <c r="I655" s="208">
        <v>-52080.0</v>
      </c>
    </row>
    <row r="656">
      <c r="A656" s="24">
        <v>136.0</v>
      </c>
      <c r="B656" s="168">
        <v>-39943.26</v>
      </c>
      <c r="C656" s="24" t="s">
        <v>5187</v>
      </c>
      <c r="D656" s="76">
        <v>7652.0</v>
      </c>
      <c r="E656" s="208">
        <v>72212.0</v>
      </c>
      <c r="F656" s="168">
        <v>112549.0</v>
      </c>
      <c r="G656" s="209">
        <v>75905.0</v>
      </c>
      <c r="H656" s="168">
        <v>439159.0</v>
      </c>
      <c r="I656" s="208">
        <v>-61917.0</v>
      </c>
    </row>
    <row r="657">
      <c r="A657" s="24">
        <v>104.0</v>
      </c>
      <c r="B657" s="168">
        <v>-2025.09</v>
      </c>
      <c r="C657" s="24" t="s">
        <v>5188</v>
      </c>
      <c r="D657" s="76">
        <v>7653.0</v>
      </c>
      <c r="E657" s="208">
        <v>-98902.0</v>
      </c>
      <c r="F657" s="168">
        <v>291491.0</v>
      </c>
      <c r="G657" s="209">
        <v>-2062.0</v>
      </c>
      <c r="H657" s="168">
        <v>237472.0</v>
      </c>
      <c r="I657" s="208">
        <v>-46908.0</v>
      </c>
    </row>
    <row r="658">
      <c r="A658" s="24">
        <v>129.0</v>
      </c>
      <c r="B658" s="168">
        <v>-83129.69</v>
      </c>
      <c r="C658" s="24" t="s">
        <v>5189</v>
      </c>
      <c r="D658" s="76">
        <v>7654.0</v>
      </c>
      <c r="E658" s="208">
        <v>-99939.0</v>
      </c>
      <c r="F658" s="168">
        <v>566100.0</v>
      </c>
      <c r="G658" s="209">
        <v>-26268.0</v>
      </c>
      <c r="H658" s="168">
        <v>767010.0</v>
      </c>
      <c r="I658" s="208">
        <v>10685.0</v>
      </c>
    </row>
    <row r="659">
      <c r="A659" s="24">
        <v>118.0</v>
      </c>
      <c r="B659" s="168">
        <v>-82853.0</v>
      </c>
      <c r="C659" s="24" t="s">
        <v>5190</v>
      </c>
      <c r="D659" s="76">
        <v>7655.0</v>
      </c>
      <c r="E659" s="208">
        <v>-33924.0</v>
      </c>
      <c r="F659" s="168">
        <v>173868.0</v>
      </c>
      <c r="G659" s="209">
        <v>-499.0</v>
      </c>
      <c r="H659" s="168">
        <v>608433.0</v>
      </c>
      <c r="I659" s="208">
        <v>34560.0</v>
      </c>
    </row>
    <row r="660">
      <c r="A660" s="24">
        <v>127.0</v>
      </c>
      <c r="B660" s="168">
        <v>-30992.79</v>
      </c>
      <c r="C660" s="24" t="s">
        <v>5191</v>
      </c>
      <c r="D660" s="76">
        <v>7656.0</v>
      </c>
      <c r="E660" s="208">
        <v>-46558.0</v>
      </c>
      <c r="F660" s="168">
        <v>274529.0</v>
      </c>
      <c r="G660" s="209">
        <v>-89628.0</v>
      </c>
      <c r="H660" s="168">
        <v>998037.0</v>
      </c>
      <c r="I660" s="208">
        <v>-37580.0</v>
      </c>
    </row>
    <row r="661">
      <c r="A661" s="24">
        <v>125.0</v>
      </c>
      <c r="B661" s="168">
        <v>92183.74</v>
      </c>
      <c r="C661" s="24" t="s">
        <v>5192</v>
      </c>
      <c r="D661" s="76">
        <v>7657.0</v>
      </c>
      <c r="E661" s="208">
        <v>-77393.0</v>
      </c>
      <c r="F661" s="168">
        <v>563784.0</v>
      </c>
      <c r="G661" s="209">
        <v>40499.0</v>
      </c>
      <c r="H661" s="168">
        <v>957896.0</v>
      </c>
      <c r="I661" s="208">
        <v>91902.0</v>
      </c>
    </row>
    <row r="662">
      <c r="A662" s="24">
        <v>146.0</v>
      </c>
      <c r="B662" s="168">
        <v>-42307.17</v>
      </c>
      <c r="C662" s="24" t="s">
        <v>5193</v>
      </c>
      <c r="D662" s="76">
        <v>7658.0</v>
      </c>
      <c r="E662" s="208">
        <v>-67823.0</v>
      </c>
      <c r="F662" s="168">
        <v>869624.0</v>
      </c>
      <c r="G662" s="209">
        <v>-50388.0</v>
      </c>
      <c r="H662" s="168">
        <v>808524.0</v>
      </c>
      <c r="I662" s="208">
        <v>-78496.0</v>
      </c>
    </row>
    <row r="663">
      <c r="A663" s="24">
        <v>111.0</v>
      </c>
      <c r="B663" s="168">
        <v>47874.81</v>
      </c>
      <c r="C663" s="24" t="s">
        <v>5194</v>
      </c>
      <c r="D663" s="76">
        <v>7659.0</v>
      </c>
      <c r="E663" s="208">
        <v>-36068.0</v>
      </c>
      <c r="F663" s="168">
        <v>770577.0</v>
      </c>
      <c r="G663" s="209">
        <v>67085.0</v>
      </c>
      <c r="H663" s="168">
        <v>423260.0</v>
      </c>
      <c r="I663" s="208">
        <v>-89570.0</v>
      </c>
    </row>
    <row r="664">
      <c r="A664" s="24">
        <v>103.0</v>
      </c>
      <c r="B664" s="168">
        <v>-35641.05</v>
      </c>
      <c r="C664" s="24" t="s">
        <v>5195</v>
      </c>
      <c r="D664" s="76">
        <v>7660.0</v>
      </c>
      <c r="E664" s="208">
        <v>-19897.0</v>
      </c>
      <c r="F664" s="168">
        <v>105649.0</v>
      </c>
      <c r="G664" s="209">
        <v>32623.0</v>
      </c>
      <c r="H664" s="168">
        <v>961747.0</v>
      </c>
      <c r="I664" s="208">
        <v>-18604.0</v>
      </c>
    </row>
    <row r="665">
      <c r="A665" s="24">
        <v>142.0</v>
      </c>
      <c r="B665" s="168">
        <v>-84827.36</v>
      </c>
      <c r="C665" s="24" t="s">
        <v>5196</v>
      </c>
      <c r="D665" s="76">
        <v>7661.0</v>
      </c>
      <c r="E665" s="208">
        <v>21222.0</v>
      </c>
      <c r="F665" s="168">
        <v>550864.0</v>
      </c>
      <c r="G665" s="209">
        <v>-23798.0</v>
      </c>
      <c r="H665" s="168">
        <v>878635.0</v>
      </c>
      <c r="I665" s="208">
        <v>86940.0</v>
      </c>
    </row>
    <row r="666">
      <c r="A666" s="24">
        <v>100.0</v>
      </c>
      <c r="B666" s="168">
        <v>-85324.48</v>
      </c>
      <c r="C666" s="24" t="s">
        <v>5197</v>
      </c>
      <c r="D666" s="76">
        <v>7662.0</v>
      </c>
      <c r="E666" s="208">
        <v>-77091.0</v>
      </c>
      <c r="F666" s="168">
        <v>678427.0</v>
      </c>
      <c r="G666" s="209">
        <v>32425.0</v>
      </c>
      <c r="H666" s="168">
        <v>317671.0</v>
      </c>
      <c r="I666" s="208">
        <v>-9270.0</v>
      </c>
    </row>
    <row r="667">
      <c r="A667" s="24">
        <v>109.0</v>
      </c>
      <c r="B667" s="168">
        <v>-85454.34</v>
      </c>
      <c r="C667" s="24" t="s">
        <v>5198</v>
      </c>
      <c r="D667" s="76">
        <v>7663.0</v>
      </c>
      <c r="E667" s="208">
        <v>53375.0</v>
      </c>
      <c r="F667" s="168">
        <v>731947.0</v>
      </c>
      <c r="G667" s="209">
        <v>82525.0</v>
      </c>
      <c r="H667" s="168">
        <v>193206.0</v>
      </c>
      <c r="I667" s="208">
        <v>88619.0</v>
      </c>
    </row>
    <row r="668">
      <c r="A668" s="24">
        <v>144.0</v>
      </c>
      <c r="B668" s="168">
        <v>73303.23</v>
      </c>
      <c r="C668" s="24" t="s">
        <v>5199</v>
      </c>
      <c r="D668" s="76">
        <v>7664.0</v>
      </c>
      <c r="E668" s="208">
        <v>28860.0</v>
      </c>
      <c r="F668" s="168">
        <v>720212.0</v>
      </c>
      <c r="G668" s="209">
        <v>7252.0</v>
      </c>
      <c r="H668" s="168">
        <v>890285.0</v>
      </c>
      <c r="I668" s="208">
        <v>-42310.0</v>
      </c>
    </row>
    <row r="669">
      <c r="A669" s="24">
        <v>133.0</v>
      </c>
      <c r="B669" s="168">
        <v>48890.37</v>
      </c>
      <c r="C669" s="24" t="s">
        <v>5200</v>
      </c>
      <c r="D669" s="76">
        <v>7665.0</v>
      </c>
      <c r="E669" s="208">
        <v>27498.0</v>
      </c>
      <c r="F669" s="168">
        <v>134265.0</v>
      </c>
      <c r="G669" s="209">
        <v>92888.0</v>
      </c>
      <c r="H669" s="168">
        <v>661491.0</v>
      </c>
      <c r="I669" s="208">
        <v>-91885.0</v>
      </c>
    </row>
    <row r="670">
      <c r="A670" s="24">
        <v>134.0</v>
      </c>
      <c r="B670" s="168">
        <v>24260.86</v>
      </c>
      <c r="C670" s="24" t="s">
        <v>5201</v>
      </c>
      <c r="D670" s="76">
        <v>7666.0</v>
      </c>
      <c r="E670" s="208">
        <v>-89574.0</v>
      </c>
      <c r="F670" s="168">
        <v>154593.0</v>
      </c>
      <c r="G670" s="209">
        <v>-80625.0</v>
      </c>
      <c r="H670" s="168">
        <v>452328.0</v>
      </c>
      <c r="I670" s="208">
        <v>64425.0</v>
      </c>
    </row>
    <row r="671">
      <c r="A671" s="24">
        <v>123.0</v>
      </c>
      <c r="B671" s="168">
        <v>21995.02</v>
      </c>
      <c r="C671" s="24" t="s">
        <v>5202</v>
      </c>
      <c r="D671" s="76">
        <v>7667.0</v>
      </c>
      <c r="E671" s="208">
        <v>17405.0</v>
      </c>
      <c r="F671" s="168">
        <v>643840.0</v>
      </c>
      <c r="G671" s="209">
        <v>-13775.0</v>
      </c>
      <c r="H671" s="168">
        <v>784734.0</v>
      </c>
      <c r="I671" s="208">
        <v>-65958.0</v>
      </c>
    </row>
    <row r="672">
      <c r="A672" s="24">
        <v>106.0</v>
      </c>
      <c r="B672" s="168">
        <v>-60340.02</v>
      </c>
      <c r="C672" s="24" t="s">
        <v>5203</v>
      </c>
      <c r="D672" s="76">
        <v>7668.0</v>
      </c>
      <c r="E672" s="208">
        <v>63744.0</v>
      </c>
      <c r="F672" s="168">
        <v>685881.0</v>
      </c>
      <c r="G672" s="209">
        <v>48000.0</v>
      </c>
      <c r="H672" s="168">
        <v>687510.0</v>
      </c>
      <c r="I672" s="208">
        <v>-20990.0</v>
      </c>
    </row>
    <row r="673">
      <c r="A673" s="24">
        <v>122.0</v>
      </c>
      <c r="B673" s="168">
        <v>58473.02</v>
      </c>
      <c r="C673" s="24" t="s">
        <v>5204</v>
      </c>
      <c r="D673" s="76">
        <v>7669.0</v>
      </c>
      <c r="E673" s="208">
        <v>70875.0</v>
      </c>
      <c r="F673" s="168">
        <v>749679.0</v>
      </c>
      <c r="G673" s="209">
        <v>73627.0</v>
      </c>
      <c r="H673" s="168">
        <v>429301.0</v>
      </c>
      <c r="I673" s="208">
        <v>-18490.0</v>
      </c>
    </row>
    <row r="674">
      <c r="A674" s="24">
        <v>143.0</v>
      </c>
      <c r="B674" s="168">
        <v>18325.09</v>
      </c>
      <c r="C674" s="24" t="s">
        <v>5205</v>
      </c>
      <c r="D674" s="76">
        <v>7670.0</v>
      </c>
      <c r="E674" s="208">
        <v>98220.0</v>
      </c>
      <c r="F674" s="168">
        <v>331866.0</v>
      </c>
      <c r="G674" s="209">
        <v>39577.0</v>
      </c>
      <c r="H674" s="168">
        <v>747419.0</v>
      </c>
      <c r="I674" s="208">
        <v>48873.0</v>
      </c>
    </row>
    <row r="675">
      <c r="A675" s="24">
        <v>131.0</v>
      </c>
      <c r="B675" s="168">
        <v>50543.99</v>
      </c>
      <c r="C675" s="24" t="s">
        <v>5206</v>
      </c>
      <c r="D675" s="76">
        <v>7671.0</v>
      </c>
      <c r="E675" s="208">
        <v>25427.0</v>
      </c>
      <c r="F675" s="168">
        <v>889610.0</v>
      </c>
      <c r="G675" s="209">
        <v>50690.0</v>
      </c>
      <c r="H675" s="168">
        <v>398429.0</v>
      </c>
      <c r="I675" s="208">
        <v>-37283.0</v>
      </c>
    </row>
    <row r="676">
      <c r="A676" s="24">
        <v>147.0</v>
      </c>
      <c r="B676" s="168">
        <v>38612.97</v>
      </c>
      <c r="C676" s="24" t="s">
        <v>5207</v>
      </c>
      <c r="D676" s="76">
        <v>7672.0</v>
      </c>
      <c r="E676" s="208">
        <v>-19397.0</v>
      </c>
      <c r="F676" s="168">
        <v>546362.0</v>
      </c>
      <c r="G676" s="209">
        <v>30464.0</v>
      </c>
      <c r="H676" s="168">
        <v>670177.0</v>
      </c>
      <c r="I676" s="208">
        <v>-45142.0</v>
      </c>
    </row>
    <row r="677">
      <c r="A677" s="24">
        <v>121.0</v>
      </c>
      <c r="B677" s="168">
        <v>-17347.19</v>
      </c>
      <c r="C677" s="24" t="s">
        <v>5208</v>
      </c>
      <c r="D677" s="76">
        <v>7673.0</v>
      </c>
      <c r="E677" s="208">
        <v>45160.0</v>
      </c>
      <c r="F677" s="168">
        <v>982131.0</v>
      </c>
      <c r="G677" s="209">
        <v>38514.0</v>
      </c>
      <c r="H677" s="168">
        <v>213136.0</v>
      </c>
      <c r="I677" s="208">
        <v>-88983.0</v>
      </c>
    </row>
    <row r="678">
      <c r="A678" s="24">
        <v>113.0</v>
      </c>
      <c r="B678" s="168">
        <v>11983.16</v>
      </c>
      <c r="C678" s="24" t="s">
        <v>5209</v>
      </c>
      <c r="D678" s="76">
        <v>7674.0</v>
      </c>
      <c r="E678" s="208">
        <v>-94154.0</v>
      </c>
      <c r="F678" s="168">
        <v>702823.0</v>
      </c>
      <c r="G678" s="209">
        <v>-42859.0</v>
      </c>
      <c r="H678" s="168">
        <v>705510.0</v>
      </c>
      <c r="I678" s="208">
        <v>59058.0</v>
      </c>
    </row>
    <row r="679">
      <c r="A679" s="24">
        <v>130.0</v>
      </c>
      <c r="B679" s="168">
        <v>26107.23</v>
      </c>
      <c r="C679" s="24" t="s">
        <v>5210</v>
      </c>
      <c r="D679" s="76">
        <v>7675.0</v>
      </c>
      <c r="E679" s="208">
        <v>73413.0</v>
      </c>
      <c r="F679" s="168">
        <v>367191.0</v>
      </c>
      <c r="G679" s="209">
        <v>77750.0</v>
      </c>
      <c r="H679" s="168">
        <v>237948.0</v>
      </c>
      <c r="I679" s="208">
        <v>-73108.0</v>
      </c>
    </row>
    <row r="680">
      <c r="A680" s="24">
        <v>112.0</v>
      </c>
      <c r="B680" s="168">
        <v>-96034.78</v>
      </c>
      <c r="C680" s="24" t="s">
        <v>5211</v>
      </c>
      <c r="D680" s="76">
        <v>7676.0</v>
      </c>
      <c r="E680" s="208">
        <v>98841.0</v>
      </c>
      <c r="F680" s="168">
        <v>123390.0</v>
      </c>
      <c r="G680" s="209">
        <v>30549.0</v>
      </c>
      <c r="H680" s="168">
        <v>548383.0</v>
      </c>
      <c r="I680" s="208">
        <v>47733.0</v>
      </c>
    </row>
    <row r="681">
      <c r="A681" s="24">
        <v>110.0</v>
      </c>
      <c r="B681" s="168">
        <v>-67594.84</v>
      </c>
      <c r="C681" s="24" t="s">
        <v>5212</v>
      </c>
      <c r="D681" s="76">
        <v>7677.0</v>
      </c>
      <c r="E681" s="208">
        <v>15331.0</v>
      </c>
      <c r="F681" s="168">
        <v>732671.0</v>
      </c>
      <c r="G681" s="209">
        <v>57740.0</v>
      </c>
      <c r="H681" s="168">
        <v>788879.0</v>
      </c>
      <c r="I681" s="208">
        <v>-80330.0</v>
      </c>
    </row>
    <row r="682">
      <c r="A682" s="24">
        <v>138.0</v>
      </c>
      <c r="B682" s="168">
        <v>70360.88</v>
      </c>
      <c r="C682" s="24" t="s">
        <v>5213</v>
      </c>
      <c r="D682" s="76">
        <v>7678.0</v>
      </c>
      <c r="E682" s="208">
        <v>-20761.0</v>
      </c>
      <c r="F682" s="168">
        <v>718699.0</v>
      </c>
      <c r="G682" s="209">
        <v>53883.0</v>
      </c>
      <c r="H682" s="168">
        <v>625804.0</v>
      </c>
      <c r="I682" s="208">
        <v>29538.0</v>
      </c>
    </row>
    <row r="683">
      <c r="A683" s="24">
        <v>120.0</v>
      </c>
      <c r="B683" s="168">
        <v>2294.0</v>
      </c>
      <c r="C683" s="24" t="s">
        <v>5214</v>
      </c>
      <c r="D683" s="76">
        <v>7679.0</v>
      </c>
      <c r="E683" s="208">
        <v>31158.0</v>
      </c>
      <c r="F683" s="168">
        <v>357790.0</v>
      </c>
      <c r="G683" s="209">
        <v>-59533.0</v>
      </c>
      <c r="H683" s="168">
        <v>115845.0</v>
      </c>
      <c r="I683" s="208">
        <v>-69873.0</v>
      </c>
    </row>
    <row r="684">
      <c r="A684" s="24">
        <v>115.0</v>
      </c>
      <c r="B684" s="168">
        <v>-23078.37</v>
      </c>
      <c r="C684" s="24" t="s">
        <v>5215</v>
      </c>
      <c r="D684" s="76">
        <v>7680.0</v>
      </c>
      <c r="E684" s="208">
        <v>5211.0</v>
      </c>
      <c r="F684" s="168">
        <v>276892.0</v>
      </c>
      <c r="G684" s="209">
        <v>-15387.0</v>
      </c>
      <c r="H684" s="168">
        <v>428314.0</v>
      </c>
      <c r="I684" s="208">
        <v>-15952.0</v>
      </c>
    </row>
    <row r="685">
      <c r="A685" s="24">
        <v>141.0</v>
      </c>
      <c r="B685" s="168">
        <v>19829.54</v>
      </c>
      <c r="C685" s="24" t="s">
        <v>5216</v>
      </c>
      <c r="D685" s="76">
        <v>7681.0</v>
      </c>
      <c r="E685" s="208">
        <v>-30307.0</v>
      </c>
      <c r="F685" s="168">
        <v>656946.0</v>
      </c>
      <c r="G685" s="209">
        <v>7621.0</v>
      </c>
      <c r="H685" s="168">
        <v>746771.0</v>
      </c>
      <c r="I685" s="208">
        <v>-4888.0</v>
      </c>
    </row>
    <row r="686">
      <c r="A686" s="24">
        <v>137.0</v>
      </c>
      <c r="B686" s="168">
        <v>-4424.89</v>
      </c>
      <c r="C686" s="24" t="s">
        <v>5214</v>
      </c>
      <c r="D686" s="76">
        <v>7682.0</v>
      </c>
      <c r="E686" s="208">
        <v>-81582.0</v>
      </c>
      <c r="F686" s="168">
        <v>890392.0</v>
      </c>
      <c r="G686" s="209">
        <v>-7308.0</v>
      </c>
      <c r="H686" s="168">
        <v>171407.0</v>
      </c>
      <c r="I686" s="208">
        <v>-58747.0</v>
      </c>
    </row>
    <row r="687">
      <c r="A687" s="24">
        <v>108.0</v>
      </c>
      <c r="B687" s="168">
        <v>96769.19</v>
      </c>
      <c r="C687" s="24" t="s">
        <v>5217</v>
      </c>
      <c r="D687" s="76">
        <v>7683.0</v>
      </c>
      <c r="E687" s="208">
        <v>-44102.0</v>
      </c>
      <c r="F687" s="168">
        <v>792675.0</v>
      </c>
      <c r="G687" s="209">
        <v>-93640.0</v>
      </c>
      <c r="H687" s="168">
        <v>694746.0</v>
      </c>
      <c r="I687" s="208">
        <v>24552.0</v>
      </c>
    </row>
    <row r="688">
      <c r="A688" s="24">
        <v>116.0</v>
      </c>
      <c r="B688" s="168">
        <v>14873.82</v>
      </c>
      <c r="C688" s="24" t="s">
        <v>5218</v>
      </c>
      <c r="D688" s="76">
        <v>7684.0</v>
      </c>
      <c r="E688" s="208">
        <v>-97743.0</v>
      </c>
      <c r="F688" s="168">
        <v>880673.0</v>
      </c>
      <c r="G688" s="209">
        <v>-56885.0</v>
      </c>
      <c r="H688" s="168">
        <v>824641.0</v>
      </c>
      <c r="I688" s="208">
        <v>-80924.0</v>
      </c>
    </row>
    <row r="689">
      <c r="A689" s="24">
        <v>126.0</v>
      </c>
      <c r="B689" s="168">
        <v>-7466.32</v>
      </c>
      <c r="C689" s="24" t="s">
        <v>5219</v>
      </c>
      <c r="D689" s="76">
        <v>7685.0</v>
      </c>
      <c r="E689" s="208">
        <v>58162.0</v>
      </c>
      <c r="F689" s="168">
        <v>936421.0</v>
      </c>
      <c r="G689" s="209">
        <v>41982.0</v>
      </c>
      <c r="H689" s="168">
        <v>212883.0</v>
      </c>
      <c r="I689" s="208">
        <v>42791.0</v>
      </c>
    </row>
    <row r="690">
      <c r="A690" s="24">
        <v>139.0</v>
      </c>
      <c r="B690" s="168">
        <v>-21368.81</v>
      </c>
      <c r="C690" s="24" t="s">
        <v>5220</v>
      </c>
      <c r="D690" s="76">
        <v>7686.0</v>
      </c>
      <c r="E690" s="208">
        <v>-74738.0</v>
      </c>
      <c r="F690" s="168">
        <v>250757.0</v>
      </c>
      <c r="G690" s="209">
        <v>-1154.0</v>
      </c>
      <c r="H690" s="168">
        <v>382875.0</v>
      </c>
      <c r="I690" s="208">
        <v>46382.0</v>
      </c>
    </row>
    <row r="691">
      <c r="A691" s="24">
        <v>128.0</v>
      </c>
      <c r="B691" s="168">
        <v>-63981.0</v>
      </c>
      <c r="C691" s="24" t="s">
        <v>5221</v>
      </c>
      <c r="D691" s="76">
        <v>7687.0</v>
      </c>
      <c r="E691" s="208">
        <v>51282.0</v>
      </c>
      <c r="F691" s="168">
        <v>635320.0</v>
      </c>
      <c r="G691" s="209">
        <v>15375.0</v>
      </c>
      <c r="H691" s="168">
        <v>710732.0</v>
      </c>
      <c r="I691" s="208">
        <v>37090.0</v>
      </c>
    </row>
    <row r="692">
      <c r="A692" s="24">
        <v>140.0</v>
      </c>
      <c r="B692" s="168">
        <v>21189.17</v>
      </c>
      <c r="C692" s="24" t="s">
        <v>5222</v>
      </c>
      <c r="D692" s="76">
        <v>7688.0</v>
      </c>
      <c r="E692" s="208">
        <v>73958.0</v>
      </c>
      <c r="F692" s="168">
        <v>242489.0</v>
      </c>
      <c r="G692" s="209">
        <v>-85414.0</v>
      </c>
      <c r="H692" s="168">
        <v>244543.0</v>
      </c>
      <c r="I692" s="208">
        <v>-13741.0</v>
      </c>
    </row>
    <row r="693">
      <c r="A693" s="24">
        <v>119.0</v>
      </c>
      <c r="B693" s="168">
        <v>-15779.06</v>
      </c>
      <c r="C693" s="24" t="s">
        <v>5223</v>
      </c>
      <c r="D693" s="76">
        <v>7689.0</v>
      </c>
      <c r="E693" s="208">
        <v>-65724.0</v>
      </c>
      <c r="F693" s="168">
        <v>569670.0</v>
      </c>
      <c r="G693" s="209">
        <v>24149.0</v>
      </c>
      <c r="H693" s="168">
        <v>138177.0</v>
      </c>
      <c r="I693" s="208">
        <v>-16852.0</v>
      </c>
    </row>
    <row r="694">
      <c r="A694" s="24">
        <v>135.0</v>
      </c>
      <c r="B694" s="168">
        <v>-13780.49</v>
      </c>
      <c r="C694" s="24" t="s">
        <v>5224</v>
      </c>
      <c r="D694" s="76">
        <v>7690.0</v>
      </c>
      <c r="E694" s="208">
        <v>58447.0</v>
      </c>
      <c r="F694" s="168">
        <v>525146.0</v>
      </c>
      <c r="G694" s="209">
        <v>-78645.0</v>
      </c>
      <c r="H694" s="168">
        <v>214995.0</v>
      </c>
      <c r="I694" s="208">
        <v>30092.0</v>
      </c>
    </row>
    <row r="695">
      <c r="A695" s="24">
        <v>124.0</v>
      </c>
      <c r="B695" s="168">
        <v>50978.3</v>
      </c>
      <c r="C695" s="24" t="s">
        <v>5225</v>
      </c>
      <c r="D695" s="76">
        <v>7691.0</v>
      </c>
      <c r="E695" s="208">
        <v>71739.0</v>
      </c>
      <c r="F695" s="168">
        <v>104077.0</v>
      </c>
      <c r="G695" s="209">
        <v>-24404.0</v>
      </c>
      <c r="H695" s="168">
        <v>848444.0</v>
      </c>
      <c r="I695" s="208">
        <v>-49845.0</v>
      </c>
    </row>
    <row r="696">
      <c r="A696" s="24">
        <v>149.0</v>
      </c>
      <c r="B696" s="168">
        <v>-970.45</v>
      </c>
      <c r="C696" s="24" t="s">
        <v>5226</v>
      </c>
      <c r="D696" s="76">
        <v>7692.0</v>
      </c>
      <c r="E696" s="208">
        <v>-65927.0</v>
      </c>
      <c r="F696" s="168">
        <v>296435.0</v>
      </c>
      <c r="G696" s="209">
        <v>29987.0</v>
      </c>
      <c r="H696" s="168">
        <v>356521.0</v>
      </c>
      <c r="I696" s="208">
        <v>-41778.0</v>
      </c>
    </row>
    <row r="697">
      <c r="A697" s="24">
        <v>114.0</v>
      </c>
      <c r="B697" s="168">
        <v>91117.74</v>
      </c>
      <c r="C697" s="24" t="s">
        <v>5227</v>
      </c>
      <c r="D697" s="76">
        <v>7693.0</v>
      </c>
      <c r="E697" s="208">
        <v>-95968.0</v>
      </c>
      <c r="F697" s="168">
        <v>636882.0</v>
      </c>
      <c r="G697" s="209">
        <v>6944.0</v>
      </c>
      <c r="H697" s="168">
        <v>183022.0</v>
      </c>
      <c r="I697" s="208">
        <v>-43834.0</v>
      </c>
    </row>
    <row r="698">
      <c r="A698" s="24">
        <v>101.0</v>
      </c>
      <c r="B698" s="168">
        <v>5681.21</v>
      </c>
      <c r="C698" s="24" t="s">
        <v>5228</v>
      </c>
      <c r="D698" s="76">
        <v>7694.0</v>
      </c>
      <c r="E698" s="208">
        <v>-1140.0</v>
      </c>
      <c r="F698" s="168">
        <v>900487.0</v>
      </c>
      <c r="G698" s="209">
        <v>-70883.0</v>
      </c>
      <c r="H698" s="168">
        <v>247111.0</v>
      </c>
      <c r="I698" s="208">
        <v>73741.0</v>
      </c>
    </row>
    <row r="699">
      <c r="A699" s="24">
        <v>105.0</v>
      </c>
      <c r="B699" s="168">
        <v>-54637.26</v>
      </c>
      <c r="C699" s="24" t="s">
        <v>5229</v>
      </c>
      <c r="D699" s="76">
        <v>7695.0</v>
      </c>
      <c r="E699" s="208">
        <v>55098.0</v>
      </c>
      <c r="F699" s="168">
        <v>444239.0</v>
      </c>
      <c r="G699" s="209">
        <v>-64968.0</v>
      </c>
      <c r="H699" s="168">
        <v>655376.0</v>
      </c>
      <c r="I699" s="208">
        <v>91068.0</v>
      </c>
    </row>
    <row r="700">
      <c r="A700" s="24">
        <v>117.0</v>
      </c>
      <c r="B700" s="168">
        <v>39017.47</v>
      </c>
      <c r="C700" s="24" t="s">
        <v>5230</v>
      </c>
      <c r="D700" s="76">
        <v>7696.0</v>
      </c>
      <c r="E700" s="208">
        <v>31872.0</v>
      </c>
      <c r="F700" s="168">
        <v>848248.0</v>
      </c>
      <c r="G700" s="209">
        <v>-20429.0</v>
      </c>
      <c r="H700" s="168">
        <v>585466.0</v>
      </c>
      <c r="I700" s="208">
        <v>58076.0</v>
      </c>
    </row>
    <row r="701">
      <c r="A701" s="24">
        <v>107.0</v>
      </c>
      <c r="B701" s="168">
        <v>18546.2</v>
      </c>
      <c r="C701" s="24" t="s">
        <v>5231</v>
      </c>
      <c r="D701" s="76">
        <v>7697.0</v>
      </c>
      <c r="E701" s="208">
        <v>47795.0</v>
      </c>
      <c r="F701" s="168">
        <v>970803.0</v>
      </c>
      <c r="G701" s="209">
        <v>64738.0</v>
      </c>
      <c r="H701" s="168">
        <v>449660.0</v>
      </c>
      <c r="I701" s="208">
        <v>-64151.0</v>
      </c>
    </row>
    <row r="702">
      <c r="A702" s="24">
        <v>102.0</v>
      </c>
      <c r="B702" s="168">
        <v>52109.67</v>
      </c>
      <c r="C702" s="24" t="s">
        <v>5232</v>
      </c>
      <c r="D702" s="76">
        <v>7698.0</v>
      </c>
      <c r="E702" s="208">
        <v>37153.0</v>
      </c>
      <c r="F702" s="168">
        <v>784769.0</v>
      </c>
      <c r="G702" s="209">
        <v>56686.0</v>
      </c>
      <c r="H702" s="168">
        <v>454294.0</v>
      </c>
      <c r="I702" s="208">
        <v>33045.0</v>
      </c>
    </row>
    <row r="703">
      <c r="A703" s="24">
        <v>132.0</v>
      </c>
      <c r="B703" s="168">
        <v>18305.19</v>
      </c>
      <c r="C703" s="24" t="s">
        <v>5233</v>
      </c>
      <c r="D703" s="76">
        <v>7699.0</v>
      </c>
      <c r="E703" s="208">
        <v>75319.0</v>
      </c>
      <c r="F703" s="168">
        <v>506521.0</v>
      </c>
      <c r="G703" s="209">
        <v>65306.0</v>
      </c>
      <c r="H703" s="168">
        <v>800567.0</v>
      </c>
      <c r="I703" s="208">
        <v>8661.0</v>
      </c>
    </row>
    <row r="704">
      <c r="A704" s="24">
        <v>145.0</v>
      </c>
      <c r="B704" s="168">
        <v>-7154.81</v>
      </c>
      <c r="C704" s="24" t="s">
        <v>5185</v>
      </c>
      <c r="D704" s="76">
        <v>7700.0</v>
      </c>
      <c r="E704" s="208">
        <v>29450.0</v>
      </c>
      <c r="F704" s="168">
        <v>885204.0</v>
      </c>
      <c r="G704" s="209">
        <v>56849.0</v>
      </c>
      <c r="H704" s="168">
        <v>460033.0</v>
      </c>
      <c r="I704" s="208">
        <v>-9724.0</v>
      </c>
    </row>
    <row r="705">
      <c r="A705" s="24">
        <v>148.0</v>
      </c>
      <c r="B705" s="168">
        <v>-89709.38</v>
      </c>
      <c r="C705" s="24" t="s">
        <v>5186</v>
      </c>
      <c r="D705" s="76">
        <v>7701.0</v>
      </c>
      <c r="E705" s="208">
        <v>-91665.0</v>
      </c>
      <c r="F705" s="168">
        <v>490072.0</v>
      </c>
      <c r="G705" s="209">
        <v>86944.0</v>
      </c>
      <c r="H705" s="168">
        <v>138442.0</v>
      </c>
      <c r="I705" s="208">
        <v>-65879.0</v>
      </c>
    </row>
    <row r="706">
      <c r="A706" s="24">
        <v>136.0</v>
      </c>
      <c r="B706" s="168">
        <v>6179.86</v>
      </c>
      <c r="C706" s="24" t="s">
        <v>5187</v>
      </c>
      <c r="D706" s="76">
        <v>7702.0</v>
      </c>
      <c r="E706" s="208">
        <v>11203.0</v>
      </c>
      <c r="F706" s="168">
        <v>708130.0</v>
      </c>
      <c r="G706" s="209">
        <v>-38246.0</v>
      </c>
      <c r="H706" s="168">
        <v>275426.0</v>
      </c>
      <c r="I706" s="208">
        <v>-13595.0</v>
      </c>
    </row>
    <row r="707">
      <c r="A707" s="24">
        <v>104.0</v>
      </c>
      <c r="B707" s="168">
        <v>-96308.26</v>
      </c>
      <c r="C707" s="24" t="s">
        <v>5188</v>
      </c>
      <c r="D707" s="76">
        <v>7703.0</v>
      </c>
      <c r="E707" s="208">
        <v>6203.0</v>
      </c>
      <c r="F707" s="168">
        <v>712565.0</v>
      </c>
      <c r="G707" s="209">
        <v>-28717.0</v>
      </c>
      <c r="H707" s="168">
        <v>901839.0</v>
      </c>
      <c r="I707" s="208">
        <v>-32964.0</v>
      </c>
    </row>
    <row r="708">
      <c r="A708" s="24">
        <v>129.0</v>
      </c>
      <c r="B708" s="168">
        <v>-47016.83</v>
      </c>
      <c r="C708" s="24" t="s">
        <v>5189</v>
      </c>
      <c r="D708" s="76">
        <v>7704.0</v>
      </c>
      <c r="E708" s="208">
        <v>-27763.0</v>
      </c>
      <c r="F708" s="168">
        <v>883789.0</v>
      </c>
      <c r="G708" s="209">
        <v>-35196.0</v>
      </c>
      <c r="H708" s="168">
        <v>905917.0</v>
      </c>
      <c r="I708" s="208">
        <v>-66961.0</v>
      </c>
    </row>
    <row r="709">
      <c r="A709" s="24">
        <v>118.0</v>
      </c>
      <c r="B709" s="168">
        <v>-84991.75</v>
      </c>
      <c r="C709" s="24" t="s">
        <v>5190</v>
      </c>
      <c r="D709" s="76">
        <v>7705.0</v>
      </c>
      <c r="E709" s="208">
        <v>-84771.0</v>
      </c>
      <c r="F709" s="168">
        <v>759524.0</v>
      </c>
      <c r="G709" s="209">
        <v>-71043.0</v>
      </c>
      <c r="H709" s="168">
        <v>344004.0</v>
      </c>
      <c r="I709" s="208">
        <v>76162.0</v>
      </c>
    </row>
    <row r="710">
      <c r="A710" s="24">
        <v>127.0</v>
      </c>
      <c r="B710" s="168">
        <v>-55121.92</v>
      </c>
      <c r="C710" s="24" t="s">
        <v>5191</v>
      </c>
      <c r="D710" s="76">
        <v>7706.0</v>
      </c>
      <c r="E710" s="208">
        <v>-14653.0</v>
      </c>
      <c r="F710" s="168">
        <v>543961.0</v>
      </c>
      <c r="G710" s="209">
        <v>75086.0</v>
      </c>
      <c r="H710" s="168">
        <v>620553.0</v>
      </c>
      <c r="I710" s="208">
        <v>72880.0</v>
      </c>
    </row>
    <row r="711">
      <c r="A711" s="24">
        <v>125.0</v>
      </c>
      <c r="B711" s="168">
        <v>-45192.86</v>
      </c>
      <c r="C711" s="24" t="s">
        <v>5192</v>
      </c>
      <c r="D711" s="76">
        <v>7707.0</v>
      </c>
      <c r="E711" s="208">
        <v>14731.0</v>
      </c>
      <c r="F711" s="168">
        <v>255285.0</v>
      </c>
      <c r="G711" s="209">
        <v>-26536.0</v>
      </c>
      <c r="H711" s="168">
        <v>281190.0</v>
      </c>
      <c r="I711" s="208">
        <v>-53293.0</v>
      </c>
    </row>
    <row r="712">
      <c r="A712" s="24">
        <v>146.0</v>
      </c>
      <c r="B712" s="168">
        <v>79490.5</v>
      </c>
      <c r="C712" s="24" t="s">
        <v>5193</v>
      </c>
      <c r="D712" s="76">
        <v>7708.0</v>
      </c>
      <c r="E712" s="208">
        <v>67000.0</v>
      </c>
      <c r="F712" s="168">
        <v>107779.0</v>
      </c>
      <c r="G712" s="209">
        <v>74772.0</v>
      </c>
      <c r="H712" s="168">
        <v>851525.0</v>
      </c>
      <c r="I712" s="208">
        <v>-89044.0</v>
      </c>
    </row>
    <row r="713">
      <c r="A713" s="24">
        <v>111.0</v>
      </c>
      <c r="B713" s="168">
        <v>-18585.45</v>
      </c>
      <c r="C713" s="24" t="s">
        <v>5194</v>
      </c>
      <c r="D713" s="76">
        <v>7709.0</v>
      </c>
      <c r="E713" s="208">
        <v>91402.0</v>
      </c>
      <c r="F713" s="168">
        <v>873755.0</v>
      </c>
      <c r="G713" s="209">
        <v>24423.0</v>
      </c>
      <c r="H713" s="168">
        <v>390439.0</v>
      </c>
      <c r="I713" s="208">
        <v>-86880.0</v>
      </c>
    </row>
    <row r="714">
      <c r="A714" s="24">
        <v>103.0</v>
      </c>
      <c r="B714" s="168">
        <v>13263.3</v>
      </c>
      <c r="C714" s="24" t="s">
        <v>5195</v>
      </c>
      <c r="D714" s="76">
        <v>7710.0</v>
      </c>
      <c r="E714" s="208">
        <v>8320.0</v>
      </c>
      <c r="F714" s="168">
        <v>206732.0</v>
      </c>
      <c r="G714" s="209">
        <v>49588.0</v>
      </c>
      <c r="H714" s="168">
        <v>560679.0</v>
      </c>
      <c r="I714" s="208">
        <v>875.0</v>
      </c>
    </row>
    <row r="715">
      <c r="A715" s="24">
        <v>142.0</v>
      </c>
      <c r="B715" s="168">
        <v>-4540.61</v>
      </c>
      <c r="C715" s="24" t="s">
        <v>5196</v>
      </c>
      <c r="D715" s="76">
        <v>7711.0</v>
      </c>
      <c r="E715" s="208">
        <v>1537.0</v>
      </c>
      <c r="F715" s="168">
        <v>362030.0</v>
      </c>
      <c r="G715" s="209">
        <v>16233.0</v>
      </c>
      <c r="H715" s="168">
        <v>729016.0</v>
      </c>
      <c r="I715" s="208">
        <v>66333.0</v>
      </c>
    </row>
    <row r="716">
      <c r="A716" s="24">
        <v>100.0</v>
      </c>
      <c r="B716" s="168">
        <v>37614.27</v>
      </c>
      <c r="C716" s="24" t="s">
        <v>5197</v>
      </c>
      <c r="D716" s="76">
        <v>7712.0</v>
      </c>
      <c r="E716" s="208">
        <v>65167.0</v>
      </c>
      <c r="F716" s="168">
        <v>771420.0</v>
      </c>
      <c r="G716" s="209">
        <v>21117.0</v>
      </c>
      <c r="H716" s="168">
        <v>201058.0</v>
      </c>
      <c r="I716" s="208">
        <v>-38827.0</v>
      </c>
    </row>
    <row r="717">
      <c r="A717" s="24">
        <v>109.0</v>
      </c>
      <c r="B717" s="168">
        <v>36960.68</v>
      </c>
      <c r="C717" s="24" t="s">
        <v>5198</v>
      </c>
      <c r="D717" s="76">
        <v>7713.0</v>
      </c>
      <c r="E717" s="208">
        <v>45938.0</v>
      </c>
      <c r="F717" s="168">
        <v>865594.0</v>
      </c>
      <c r="G717" s="209">
        <v>11171.0</v>
      </c>
      <c r="H717" s="168">
        <v>853818.0</v>
      </c>
      <c r="I717" s="208">
        <v>-7020.0</v>
      </c>
    </row>
    <row r="718">
      <c r="A718" s="24">
        <v>144.0</v>
      </c>
      <c r="B718" s="168">
        <v>89630.17</v>
      </c>
      <c r="C718" s="24" t="s">
        <v>5199</v>
      </c>
      <c r="D718" s="76">
        <v>7714.0</v>
      </c>
      <c r="E718" s="208">
        <v>-73810.0</v>
      </c>
      <c r="F718" s="168">
        <v>576103.0</v>
      </c>
      <c r="G718" s="209">
        <v>-31734.0</v>
      </c>
      <c r="H718" s="168">
        <v>674246.0</v>
      </c>
      <c r="I718" s="208">
        <v>8534.0</v>
      </c>
    </row>
    <row r="719">
      <c r="A719" s="24">
        <v>133.0</v>
      </c>
      <c r="B719" s="168">
        <v>-17917.5</v>
      </c>
      <c r="C719" s="24" t="s">
        <v>5200</v>
      </c>
      <c r="D719" s="76">
        <v>7715.0</v>
      </c>
      <c r="E719" s="208">
        <v>-18704.0</v>
      </c>
      <c r="F719" s="168">
        <v>873573.0</v>
      </c>
      <c r="G719" s="209">
        <v>51259.0</v>
      </c>
      <c r="H719" s="168">
        <v>176334.0</v>
      </c>
      <c r="I719" s="208">
        <v>33656.0</v>
      </c>
    </row>
    <row r="720">
      <c r="A720" s="24">
        <v>134.0</v>
      </c>
      <c r="B720" s="168">
        <v>45357.3</v>
      </c>
      <c r="C720" s="24" t="s">
        <v>5201</v>
      </c>
      <c r="D720" s="76">
        <v>7716.0</v>
      </c>
      <c r="E720" s="208">
        <v>-66425.0</v>
      </c>
      <c r="F720" s="168">
        <v>989691.0</v>
      </c>
      <c r="G720" s="209">
        <v>-57177.0</v>
      </c>
      <c r="H720" s="168">
        <v>157078.0</v>
      </c>
      <c r="I720" s="208">
        <v>-7614.0</v>
      </c>
    </row>
    <row r="721">
      <c r="A721" s="24">
        <v>123.0</v>
      </c>
      <c r="B721" s="168">
        <v>70001.15</v>
      </c>
      <c r="C721" s="24" t="s">
        <v>5202</v>
      </c>
      <c r="D721" s="76">
        <v>7717.0</v>
      </c>
      <c r="E721" s="208">
        <v>12544.0</v>
      </c>
      <c r="F721" s="168">
        <v>112454.0</v>
      </c>
      <c r="G721" s="209">
        <v>71856.0</v>
      </c>
      <c r="H721" s="168">
        <v>873536.0</v>
      </c>
      <c r="I721" s="208">
        <v>-85947.0</v>
      </c>
    </row>
    <row r="722">
      <c r="A722" s="24">
        <v>106.0</v>
      </c>
      <c r="B722" s="168">
        <v>35695.6</v>
      </c>
      <c r="C722" s="24" t="s">
        <v>5203</v>
      </c>
      <c r="D722" s="76">
        <v>7718.0</v>
      </c>
      <c r="E722" s="208">
        <v>-80763.0</v>
      </c>
      <c r="F722" s="168">
        <v>159689.0</v>
      </c>
      <c r="G722" s="209">
        <v>-51701.0</v>
      </c>
      <c r="H722" s="168">
        <v>497094.0</v>
      </c>
      <c r="I722" s="208">
        <v>-55918.0</v>
      </c>
    </row>
    <row r="723">
      <c r="A723" s="24">
        <v>122.0</v>
      </c>
      <c r="B723" s="168">
        <v>42131.46</v>
      </c>
      <c r="C723" s="24" t="s">
        <v>5204</v>
      </c>
      <c r="D723" s="76">
        <v>7719.0</v>
      </c>
      <c r="E723" s="208">
        <v>50266.0</v>
      </c>
      <c r="F723" s="168">
        <v>998036.0</v>
      </c>
      <c r="G723" s="209">
        <v>-96923.0</v>
      </c>
      <c r="H723" s="168">
        <v>650979.0</v>
      </c>
      <c r="I723" s="208">
        <v>-33279.0</v>
      </c>
    </row>
    <row r="724">
      <c r="A724" s="24">
        <v>143.0</v>
      </c>
      <c r="B724" s="168">
        <v>-85131.76</v>
      </c>
      <c r="C724" s="24" t="s">
        <v>5205</v>
      </c>
      <c r="D724" s="76">
        <v>7720.0</v>
      </c>
      <c r="E724" s="208">
        <v>7521.0</v>
      </c>
      <c r="F724" s="168">
        <v>739315.0</v>
      </c>
      <c r="G724" s="209">
        <v>70204.0</v>
      </c>
      <c r="H724" s="168">
        <v>575883.0</v>
      </c>
      <c r="I724" s="208">
        <v>32532.0</v>
      </c>
    </row>
    <row r="725">
      <c r="A725" s="24">
        <v>131.0</v>
      </c>
      <c r="B725" s="168">
        <v>79305.53</v>
      </c>
      <c r="C725" s="24" t="s">
        <v>5206</v>
      </c>
      <c r="D725" s="76">
        <v>7721.0</v>
      </c>
      <c r="E725" s="208">
        <v>-40617.0</v>
      </c>
      <c r="F725" s="168">
        <v>111892.0</v>
      </c>
      <c r="G725" s="209">
        <v>16752.0</v>
      </c>
      <c r="H725" s="168">
        <v>131274.0</v>
      </c>
      <c r="I725" s="208">
        <v>36022.0</v>
      </c>
    </row>
    <row r="726">
      <c r="A726" s="24">
        <v>147.0</v>
      </c>
      <c r="B726" s="168">
        <v>-37587.8</v>
      </c>
      <c r="C726" s="24" t="s">
        <v>5207</v>
      </c>
      <c r="D726" s="76">
        <v>7722.0</v>
      </c>
      <c r="E726" s="208">
        <v>91826.0</v>
      </c>
      <c r="F726" s="168">
        <v>912655.0</v>
      </c>
      <c r="G726" s="209">
        <v>-54642.0</v>
      </c>
      <c r="H726" s="168">
        <v>771131.0</v>
      </c>
      <c r="I726" s="208">
        <v>-70947.0</v>
      </c>
    </row>
    <row r="727">
      <c r="A727" s="24">
        <v>121.0</v>
      </c>
      <c r="B727" s="168">
        <v>-82067.66</v>
      </c>
      <c r="C727" s="24" t="s">
        <v>5208</v>
      </c>
      <c r="D727" s="76">
        <v>7723.0</v>
      </c>
      <c r="E727" s="208">
        <v>4947.0</v>
      </c>
      <c r="F727" s="168">
        <v>970948.0</v>
      </c>
      <c r="G727" s="209">
        <v>57960.0</v>
      </c>
      <c r="H727" s="168">
        <v>939225.0</v>
      </c>
      <c r="I727" s="208">
        <v>-12871.0</v>
      </c>
    </row>
    <row r="728">
      <c r="A728" s="24">
        <v>113.0</v>
      </c>
      <c r="B728" s="168">
        <v>7619.23</v>
      </c>
      <c r="C728" s="24" t="s">
        <v>5209</v>
      </c>
      <c r="D728" s="76">
        <v>7724.0</v>
      </c>
      <c r="E728" s="208">
        <v>56445.0</v>
      </c>
      <c r="F728" s="168">
        <v>738139.0</v>
      </c>
      <c r="G728" s="209">
        <v>51083.0</v>
      </c>
      <c r="H728" s="168">
        <v>136962.0</v>
      </c>
      <c r="I728" s="208">
        <v>35669.0</v>
      </c>
    </row>
    <row r="729">
      <c r="A729" s="24">
        <v>130.0</v>
      </c>
      <c r="B729" s="168">
        <v>80819.4</v>
      </c>
      <c r="C729" s="24" t="s">
        <v>5210</v>
      </c>
      <c r="D729" s="76">
        <v>7725.0</v>
      </c>
      <c r="E729" s="208">
        <v>-88849.0</v>
      </c>
      <c r="F729" s="168">
        <v>414067.0</v>
      </c>
      <c r="G729" s="209">
        <v>-59412.0</v>
      </c>
      <c r="H729" s="168">
        <v>480749.0</v>
      </c>
      <c r="I729" s="208">
        <v>31017.0</v>
      </c>
    </row>
    <row r="730">
      <c r="A730" s="24">
        <v>112.0</v>
      </c>
      <c r="B730" s="168">
        <v>-98387.43</v>
      </c>
      <c r="C730" s="24" t="s">
        <v>5211</v>
      </c>
      <c r="D730" s="76">
        <v>7726.0</v>
      </c>
      <c r="E730" s="208">
        <v>-36784.0</v>
      </c>
      <c r="F730" s="168">
        <v>676963.0</v>
      </c>
      <c r="G730" s="209">
        <v>75887.0</v>
      </c>
      <c r="H730" s="168">
        <v>197732.0</v>
      </c>
      <c r="I730" s="208">
        <v>29237.0</v>
      </c>
    </row>
    <row r="731">
      <c r="A731" s="24">
        <v>110.0</v>
      </c>
      <c r="B731" s="168">
        <v>33826.25</v>
      </c>
      <c r="C731" s="24" t="s">
        <v>5212</v>
      </c>
      <c r="D731" s="76">
        <v>7727.0</v>
      </c>
      <c r="E731" s="208">
        <v>24826.0</v>
      </c>
      <c r="F731" s="168">
        <v>455166.0</v>
      </c>
      <c r="G731" s="209">
        <v>-26579.0</v>
      </c>
      <c r="H731" s="168">
        <v>781688.0</v>
      </c>
      <c r="I731" s="208">
        <v>-503.0</v>
      </c>
    </row>
    <row r="732">
      <c r="A732" s="24">
        <v>138.0</v>
      </c>
      <c r="B732" s="168">
        <v>-86456.6</v>
      </c>
      <c r="C732" s="24" t="s">
        <v>5213</v>
      </c>
      <c r="D732" s="76">
        <v>7728.0</v>
      </c>
      <c r="E732" s="208">
        <v>77322.0</v>
      </c>
      <c r="F732" s="168">
        <v>306851.0</v>
      </c>
      <c r="G732" s="209">
        <v>8932.0</v>
      </c>
      <c r="H732" s="168">
        <v>801345.0</v>
      </c>
      <c r="I732" s="208">
        <v>-14387.0</v>
      </c>
    </row>
    <row r="733">
      <c r="A733" s="24">
        <v>120.0</v>
      </c>
      <c r="B733" s="168">
        <v>-20956.21</v>
      </c>
      <c r="C733" s="24" t="s">
        <v>5214</v>
      </c>
      <c r="D733" s="76">
        <v>7729.0</v>
      </c>
      <c r="E733" s="208">
        <v>-70690.0</v>
      </c>
      <c r="F733" s="168">
        <v>285257.0</v>
      </c>
      <c r="G733" s="209">
        <v>-54823.0</v>
      </c>
      <c r="H733" s="168">
        <v>721470.0</v>
      </c>
      <c r="I733" s="208">
        <v>87557.0</v>
      </c>
    </row>
    <row r="734">
      <c r="A734" s="24">
        <v>115.0</v>
      </c>
      <c r="B734" s="168">
        <v>34406.22</v>
      </c>
      <c r="C734" s="24" t="s">
        <v>5215</v>
      </c>
      <c r="D734" s="76">
        <v>7730.0</v>
      </c>
      <c r="E734" s="208">
        <v>-1955.0</v>
      </c>
      <c r="F734" s="168">
        <v>730711.0</v>
      </c>
      <c r="G734" s="209">
        <v>50997.0</v>
      </c>
      <c r="H734" s="168">
        <v>350909.0</v>
      </c>
      <c r="I734" s="208">
        <v>-56126.0</v>
      </c>
    </row>
    <row r="735">
      <c r="A735" s="24">
        <v>141.0</v>
      </c>
      <c r="B735" s="168">
        <v>35766.16</v>
      </c>
      <c r="C735" s="24" t="s">
        <v>5216</v>
      </c>
      <c r="D735" s="76">
        <v>7731.0</v>
      </c>
      <c r="E735" s="208">
        <v>-26001.0</v>
      </c>
      <c r="F735" s="168">
        <v>443259.0</v>
      </c>
      <c r="G735" s="209">
        <v>55795.0</v>
      </c>
      <c r="H735" s="168">
        <v>643277.0</v>
      </c>
      <c r="I735" s="208">
        <v>51411.0</v>
      </c>
    </row>
    <row r="736">
      <c r="A736" s="24">
        <v>137.0</v>
      </c>
      <c r="B736" s="168">
        <v>24683.7</v>
      </c>
      <c r="C736" s="24" t="s">
        <v>5214</v>
      </c>
      <c r="D736" s="76">
        <v>7732.0</v>
      </c>
      <c r="E736" s="208">
        <v>-60517.0</v>
      </c>
      <c r="F736" s="168">
        <v>113449.0</v>
      </c>
      <c r="G736" s="209">
        <v>48387.0</v>
      </c>
      <c r="H736" s="168">
        <v>897659.0</v>
      </c>
      <c r="I736" s="208">
        <v>-11695.0</v>
      </c>
    </row>
    <row r="737">
      <c r="A737" s="24">
        <v>108.0</v>
      </c>
      <c r="B737" s="168">
        <v>-69187.9</v>
      </c>
      <c r="C737" s="24" t="s">
        <v>5217</v>
      </c>
      <c r="D737" s="76">
        <v>7733.0</v>
      </c>
      <c r="E737" s="208">
        <v>395.0</v>
      </c>
      <c r="F737" s="168">
        <v>299759.0</v>
      </c>
      <c r="G737" s="209">
        <v>52760.0</v>
      </c>
      <c r="H737" s="168">
        <v>853506.0</v>
      </c>
      <c r="I737" s="208">
        <v>79373.0</v>
      </c>
    </row>
    <row r="738">
      <c r="A738" s="24">
        <v>116.0</v>
      </c>
      <c r="B738" s="168">
        <v>86497.64</v>
      </c>
      <c r="C738" s="24" t="s">
        <v>5218</v>
      </c>
      <c r="D738" s="76">
        <v>7734.0</v>
      </c>
      <c r="E738" s="208">
        <v>-82784.0</v>
      </c>
      <c r="F738" s="168">
        <v>343281.0</v>
      </c>
      <c r="G738" s="209">
        <v>-16115.0</v>
      </c>
      <c r="H738" s="168">
        <v>583604.0</v>
      </c>
      <c r="I738" s="208">
        <v>-14520.0</v>
      </c>
    </row>
    <row r="739">
      <c r="A739" s="24">
        <v>126.0</v>
      </c>
      <c r="B739" s="168">
        <v>49683.23</v>
      </c>
      <c r="C739" s="24" t="s">
        <v>5219</v>
      </c>
      <c r="D739" s="76">
        <v>7735.0</v>
      </c>
      <c r="E739" s="208">
        <v>14815.0</v>
      </c>
      <c r="F739" s="168">
        <v>450975.0</v>
      </c>
      <c r="G739" s="209">
        <v>43323.0</v>
      </c>
      <c r="H739" s="168">
        <v>656954.0</v>
      </c>
      <c r="I739" s="208">
        <v>-52411.0</v>
      </c>
    </row>
    <row r="740">
      <c r="A740" s="24">
        <v>139.0</v>
      </c>
      <c r="B740" s="168">
        <v>16636.4</v>
      </c>
      <c r="C740" s="24" t="s">
        <v>5220</v>
      </c>
      <c r="D740" s="76">
        <v>7736.0</v>
      </c>
      <c r="E740" s="208">
        <v>40148.0</v>
      </c>
      <c r="F740" s="168">
        <v>429362.0</v>
      </c>
      <c r="G740" s="209">
        <v>-83111.0</v>
      </c>
      <c r="H740" s="168">
        <v>653258.0</v>
      </c>
      <c r="I740" s="208">
        <v>-97530.0</v>
      </c>
    </row>
    <row r="741">
      <c r="A741" s="24">
        <v>128.0</v>
      </c>
      <c r="B741" s="168">
        <v>78178.79</v>
      </c>
      <c r="C741" s="24" t="s">
        <v>5221</v>
      </c>
      <c r="D741" s="76">
        <v>7737.0</v>
      </c>
      <c r="E741" s="208">
        <v>68763.0</v>
      </c>
      <c r="F741" s="168">
        <v>973121.0</v>
      </c>
      <c r="G741" s="209">
        <v>-7176.0</v>
      </c>
      <c r="H741" s="168">
        <v>756626.0</v>
      </c>
      <c r="I741" s="208">
        <v>-40284.0</v>
      </c>
    </row>
    <row r="742">
      <c r="A742" s="24">
        <v>140.0</v>
      </c>
      <c r="B742" s="168">
        <v>-76313.63</v>
      </c>
      <c r="C742" s="24" t="s">
        <v>5222</v>
      </c>
      <c r="D742" s="76">
        <v>7738.0</v>
      </c>
      <c r="E742" s="208">
        <v>35924.0</v>
      </c>
      <c r="F742" s="168">
        <v>124974.0</v>
      </c>
      <c r="G742" s="209">
        <v>3967.0</v>
      </c>
      <c r="H742" s="168">
        <v>735221.0</v>
      </c>
      <c r="I742" s="208">
        <v>59920.0</v>
      </c>
    </row>
    <row r="743">
      <c r="A743" s="24">
        <v>119.0</v>
      </c>
      <c r="B743" s="168">
        <v>-65801.14</v>
      </c>
      <c r="C743" s="24" t="s">
        <v>5223</v>
      </c>
      <c r="D743" s="76">
        <v>7739.0</v>
      </c>
      <c r="E743" s="208">
        <v>-36358.0</v>
      </c>
      <c r="F743" s="168">
        <v>895720.0</v>
      </c>
      <c r="G743" s="209">
        <v>-66307.0</v>
      </c>
      <c r="H743" s="168">
        <v>340491.0</v>
      </c>
      <c r="I743" s="208">
        <v>-56670.0</v>
      </c>
    </row>
    <row r="744">
      <c r="A744" s="24">
        <v>135.0</v>
      </c>
      <c r="B744" s="168">
        <v>66225.89</v>
      </c>
      <c r="C744" s="24" t="s">
        <v>5224</v>
      </c>
      <c r="D744" s="76">
        <v>7740.0</v>
      </c>
      <c r="E744" s="208">
        <v>-66808.0</v>
      </c>
      <c r="F744" s="168">
        <v>599769.0</v>
      </c>
      <c r="G744" s="209">
        <v>-10337.0</v>
      </c>
      <c r="H744" s="168">
        <v>701388.0</v>
      </c>
      <c r="I744" s="208">
        <v>-38338.0</v>
      </c>
    </row>
    <row r="745">
      <c r="A745" s="24">
        <v>124.0</v>
      </c>
      <c r="B745" s="168">
        <v>-83261.2</v>
      </c>
      <c r="C745" s="24" t="s">
        <v>5225</v>
      </c>
      <c r="D745" s="76">
        <v>7741.0</v>
      </c>
      <c r="E745" s="208">
        <v>-83802.0</v>
      </c>
      <c r="F745" s="168">
        <v>843580.0</v>
      </c>
      <c r="G745" s="209">
        <v>-75396.0</v>
      </c>
      <c r="H745" s="168">
        <v>635503.0</v>
      </c>
      <c r="I745" s="208">
        <v>-41565.0</v>
      </c>
    </row>
    <row r="746">
      <c r="A746" s="24">
        <v>149.0</v>
      </c>
      <c r="B746" s="168">
        <v>79256.69</v>
      </c>
      <c r="C746" s="24" t="s">
        <v>5226</v>
      </c>
      <c r="D746" s="76">
        <v>7742.0</v>
      </c>
      <c r="E746" s="208">
        <v>41333.0</v>
      </c>
      <c r="F746" s="168">
        <v>952007.0</v>
      </c>
      <c r="G746" s="209">
        <v>16706.0</v>
      </c>
      <c r="H746" s="168">
        <v>899277.0</v>
      </c>
      <c r="I746" s="208">
        <v>65588.0</v>
      </c>
    </row>
    <row r="747">
      <c r="A747" s="24">
        <v>114.0</v>
      </c>
      <c r="B747" s="168">
        <v>-14426.7</v>
      </c>
      <c r="C747" s="24" t="s">
        <v>5227</v>
      </c>
      <c r="D747" s="76">
        <v>7743.0</v>
      </c>
      <c r="E747" s="208">
        <v>97045.0</v>
      </c>
      <c r="F747" s="168">
        <v>149822.0</v>
      </c>
      <c r="G747" s="209">
        <v>-1008.0</v>
      </c>
      <c r="H747" s="168">
        <v>986158.0</v>
      </c>
      <c r="I747" s="208">
        <v>61201.0</v>
      </c>
    </row>
    <row r="748">
      <c r="A748" s="24">
        <v>101.0</v>
      </c>
      <c r="B748" s="168">
        <v>59393.04</v>
      </c>
      <c r="C748" s="24" t="s">
        <v>5228</v>
      </c>
      <c r="D748" s="76">
        <v>7744.0</v>
      </c>
      <c r="E748" s="208">
        <v>-33816.0</v>
      </c>
      <c r="F748" s="168">
        <v>630808.0</v>
      </c>
      <c r="G748" s="209">
        <v>42855.0</v>
      </c>
      <c r="H748" s="168">
        <v>999106.0</v>
      </c>
      <c r="I748" s="208">
        <v>-91683.0</v>
      </c>
    </row>
    <row r="749">
      <c r="A749" s="24">
        <v>105.0</v>
      </c>
      <c r="B749" s="168">
        <v>-10593.79</v>
      </c>
      <c r="C749" s="24" t="s">
        <v>5229</v>
      </c>
      <c r="D749" s="76">
        <v>7745.0</v>
      </c>
      <c r="E749" s="208">
        <v>55876.0</v>
      </c>
      <c r="F749" s="168">
        <v>841951.0</v>
      </c>
      <c r="G749" s="209">
        <v>-4240.0</v>
      </c>
      <c r="H749" s="168">
        <v>834955.0</v>
      </c>
      <c r="I749" s="208">
        <v>98862.0</v>
      </c>
    </row>
    <row r="750">
      <c r="A750" s="24">
        <v>117.0</v>
      </c>
      <c r="B750" s="168">
        <v>-5983.15</v>
      </c>
      <c r="C750" s="24" t="s">
        <v>5230</v>
      </c>
      <c r="D750" s="76">
        <v>7746.0</v>
      </c>
      <c r="E750" s="208">
        <v>62115.0</v>
      </c>
      <c r="F750" s="168">
        <v>638888.0</v>
      </c>
      <c r="G750" s="209">
        <v>63663.0</v>
      </c>
      <c r="H750" s="168">
        <v>187585.0</v>
      </c>
      <c r="I750" s="208">
        <v>27680.0</v>
      </c>
    </row>
    <row r="751">
      <c r="A751" s="24">
        <v>107.0</v>
      </c>
      <c r="B751" s="168">
        <v>-81188.97</v>
      </c>
      <c r="C751" s="24" t="s">
        <v>5231</v>
      </c>
      <c r="D751" s="76">
        <v>7747.0</v>
      </c>
      <c r="E751" s="208">
        <v>40298.0</v>
      </c>
      <c r="F751" s="168">
        <v>860060.0</v>
      </c>
      <c r="G751" s="209">
        <v>73227.0</v>
      </c>
      <c r="H751" s="168">
        <v>161289.0</v>
      </c>
      <c r="I751" s="208">
        <v>-52372.0</v>
      </c>
    </row>
    <row r="752">
      <c r="A752" s="24">
        <v>102.0</v>
      </c>
      <c r="B752" s="168">
        <v>29962.2</v>
      </c>
      <c r="C752" s="24" t="s">
        <v>5232</v>
      </c>
      <c r="D752" s="76">
        <v>7748.0</v>
      </c>
      <c r="E752" s="208">
        <v>-85953.0</v>
      </c>
      <c r="F752" s="168">
        <v>774705.0</v>
      </c>
      <c r="G752" s="209">
        <v>41987.0</v>
      </c>
      <c r="H752" s="168">
        <v>612304.0</v>
      </c>
      <c r="I752" s="208">
        <v>-35738.0</v>
      </c>
    </row>
    <row r="753">
      <c r="A753" s="24">
        <v>132.0</v>
      </c>
      <c r="B753" s="168">
        <v>931.77</v>
      </c>
      <c r="C753" s="24" t="s">
        <v>5233</v>
      </c>
      <c r="D753" s="76">
        <v>7749.0</v>
      </c>
      <c r="E753" s="208">
        <v>-41494.0</v>
      </c>
      <c r="F753" s="168">
        <v>608018.0</v>
      </c>
      <c r="G753" s="209">
        <v>58251.0</v>
      </c>
      <c r="H753" s="168">
        <v>368953.0</v>
      </c>
      <c r="I753" s="208">
        <v>-79101.0</v>
      </c>
    </row>
    <row r="754">
      <c r="A754" s="24">
        <v>145.0</v>
      </c>
      <c r="B754" s="168">
        <v>8860.7</v>
      </c>
      <c r="C754" s="24" t="s">
        <v>5185</v>
      </c>
      <c r="D754" s="76">
        <v>7750.0</v>
      </c>
      <c r="E754" s="208">
        <v>66812.0</v>
      </c>
      <c r="F754" s="168">
        <v>907709.0</v>
      </c>
      <c r="G754" s="209">
        <v>57767.0</v>
      </c>
      <c r="H754" s="168">
        <v>820041.0</v>
      </c>
      <c r="I754" s="208">
        <v>-39244.0</v>
      </c>
    </row>
    <row r="755">
      <c r="A755" s="24">
        <v>148.0</v>
      </c>
      <c r="B755" s="168">
        <v>-2009.0</v>
      </c>
      <c r="C755" s="24" t="s">
        <v>5186</v>
      </c>
      <c r="D755" s="76">
        <v>7751.0</v>
      </c>
      <c r="E755" s="208">
        <v>79746.0</v>
      </c>
      <c r="F755" s="168">
        <v>595154.0</v>
      </c>
      <c r="G755" s="209">
        <v>29844.0</v>
      </c>
      <c r="H755" s="168">
        <v>327593.0</v>
      </c>
      <c r="I755" s="208">
        <v>14446.0</v>
      </c>
    </row>
    <row r="756">
      <c r="A756" s="24">
        <v>136.0</v>
      </c>
      <c r="B756" s="168">
        <v>85024.21</v>
      </c>
      <c r="C756" s="24" t="s">
        <v>5187</v>
      </c>
      <c r="D756" s="76">
        <v>7752.0</v>
      </c>
      <c r="E756" s="208">
        <v>8525.0</v>
      </c>
      <c r="F756" s="168">
        <v>446656.0</v>
      </c>
      <c r="G756" s="209">
        <v>-70755.0</v>
      </c>
      <c r="H756" s="168">
        <v>252131.0</v>
      </c>
      <c r="I756" s="208">
        <v>-68011.0</v>
      </c>
    </row>
    <row r="757">
      <c r="A757" s="24">
        <v>104.0</v>
      </c>
      <c r="B757" s="168">
        <v>-69895.48</v>
      </c>
      <c r="C757" s="24" t="s">
        <v>5188</v>
      </c>
      <c r="D757" s="76">
        <v>7753.0</v>
      </c>
      <c r="E757" s="208">
        <v>44434.0</v>
      </c>
      <c r="F757" s="168">
        <v>226365.0</v>
      </c>
      <c r="G757" s="209">
        <v>-1839.0</v>
      </c>
      <c r="H757" s="168">
        <v>556904.0</v>
      </c>
      <c r="I757" s="208">
        <v>-13866.0</v>
      </c>
    </row>
    <row r="758">
      <c r="A758" s="24">
        <v>129.0</v>
      </c>
      <c r="B758" s="168">
        <v>55418.67</v>
      </c>
      <c r="C758" s="24" t="s">
        <v>5189</v>
      </c>
      <c r="D758" s="76">
        <v>7754.0</v>
      </c>
      <c r="E758" s="208">
        <v>-28228.0</v>
      </c>
      <c r="F758" s="168">
        <v>629764.0</v>
      </c>
      <c r="G758" s="209">
        <v>-41789.0</v>
      </c>
      <c r="H758" s="168">
        <v>790903.0</v>
      </c>
      <c r="I758" s="208">
        <v>-40846.0</v>
      </c>
    </row>
    <row r="759">
      <c r="A759" s="24">
        <v>118.0</v>
      </c>
      <c r="B759" s="168">
        <v>-98098.75</v>
      </c>
      <c r="C759" s="24" t="s">
        <v>5190</v>
      </c>
      <c r="D759" s="76">
        <v>7755.0</v>
      </c>
      <c r="E759" s="208">
        <v>6240.0</v>
      </c>
      <c r="F759" s="168">
        <v>681517.0</v>
      </c>
      <c r="G759" s="209">
        <v>58891.0</v>
      </c>
      <c r="H759" s="168">
        <v>415209.0</v>
      </c>
      <c r="I759" s="208">
        <v>-17800.0</v>
      </c>
    </row>
    <row r="760">
      <c r="A760" s="24">
        <v>127.0</v>
      </c>
      <c r="B760" s="168">
        <v>-8035.12</v>
      </c>
      <c r="C760" s="24" t="s">
        <v>5191</v>
      </c>
      <c r="D760" s="76">
        <v>7756.0</v>
      </c>
      <c r="E760" s="208">
        <v>-31566.0</v>
      </c>
      <c r="F760" s="168">
        <v>636985.0</v>
      </c>
      <c r="G760" s="209">
        <v>82213.0</v>
      </c>
      <c r="H760" s="168">
        <v>510947.0</v>
      </c>
      <c r="I760" s="208">
        <v>-59117.0</v>
      </c>
    </row>
    <row r="761">
      <c r="A761" s="24">
        <v>125.0</v>
      </c>
      <c r="B761" s="168">
        <v>85855.79</v>
      </c>
      <c r="C761" s="24" t="s">
        <v>5192</v>
      </c>
      <c r="D761" s="76">
        <v>7757.0</v>
      </c>
      <c r="E761" s="208">
        <v>-22837.0</v>
      </c>
      <c r="F761" s="168">
        <v>275600.0</v>
      </c>
      <c r="G761" s="209">
        <v>-25524.0</v>
      </c>
      <c r="H761" s="168">
        <v>979952.0</v>
      </c>
      <c r="I761" s="208">
        <v>94985.0</v>
      </c>
    </row>
    <row r="762">
      <c r="A762" s="24">
        <v>146.0</v>
      </c>
      <c r="B762" s="168">
        <v>-34333.06</v>
      </c>
      <c r="C762" s="24" t="s">
        <v>5193</v>
      </c>
      <c r="D762" s="76">
        <v>7758.0</v>
      </c>
      <c r="E762" s="208">
        <v>48532.0</v>
      </c>
      <c r="F762" s="168">
        <v>201818.0</v>
      </c>
      <c r="G762" s="209">
        <v>-49780.0</v>
      </c>
      <c r="H762" s="168">
        <v>556558.0</v>
      </c>
      <c r="I762" s="208">
        <v>-12007.0</v>
      </c>
    </row>
    <row r="763">
      <c r="A763" s="24">
        <v>111.0</v>
      </c>
      <c r="B763" s="168">
        <v>56351.98</v>
      </c>
      <c r="C763" s="24" t="s">
        <v>5194</v>
      </c>
      <c r="D763" s="76">
        <v>7759.0</v>
      </c>
      <c r="E763" s="208">
        <v>-58711.0</v>
      </c>
      <c r="F763" s="168">
        <v>251345.0</v>
      </c>
      <c r="G763" s="209">
        <v>-4314.0</v>
      </c>
      <c r="H763" s="168">
        <v>830115.0</v>
      </c>
      <c r="I763" s="208">
        <v>7741.0</v>
      </c>
    </row>
    <row r="764">
      <c r="A764" s="24">
        <v>103.0</v>
      </c>
      <c r="B764" s="168">
        <v>-50049.65</v>
      </c>
      <c r="C764" s="24" t="s">
        <v>5195</v>
      </c>
      <c r="D764" s="76">
        <v>7760.0</v>
      </c>
      <c r="E764" s="208">
        <v>60073.0</v>
      </c>
      <c r="F764" s="168">
        <v>891697.0</v>
      </c>
      <c r="G764" s="209">
        <v>-44727.0</v>
      </c>
      <c r="H764" s="168">
        <v>431207.0</v>
      </c>
      <c r="I764" s="208">
        <v>-65063.0</v>
      </c>
    </row>
    <row r="765">
      <c r="A765" s="24">
        <v>142.0</v>
      </c>
      <c r="B765" s="168">
        <v>-30523.09</v>
      </c>
      <c r="C765" s="24" t="s">
        <v>5196</v>
      </c>
      <c r="D765" s="76">
        <v>7761.0</v>
      </c>
      <c r="E765" s="208">
        <v>-5863.0</v>
      </c>
      <c r="F765" s="168">
        <v>305664.0</v>
      </c>
      <c r="G765" s="209">
        <v>-22314.0</v>
      </c>
      <c r="H765" s="168">
        <v>158645.0</v>
      </c>
      <c r="I765" s="208">
        <v>-66263.0</v>
      </c>
    </row>
    <row r="766">
      <c r="A766" s="24">
        <v>100.0</v>
      </c>
      <c r="B766" s="168">
        <v>-65872.3</v>
      </c>
      <c r="C766" s="24" t="s">
        <v>5197</v>
      </c>
      <c r="D766" s="76">
        <v>7762.0</v>
      </c>
      <c r="E766" s="208">
        <v>20128.0</v>
      </c>
      <c r="F766" s="168">
        <v>916700.0</v>
      </c>
      <c r="G766" s="209">
        <v>495.0</v>
      </c>
      <c r="H766" s="168">
        <v>354983.0</v>
      </c>
      <c r="I766" s="208">
        <v>84526.0</v>
      </c>
    </row>
    <row r="767">
      <c r="A767" s="24">
        <v>109.0</v>
      </c>
      <c r="B767" s="168">
        <v>91064.32</v>
      </c>
      <c r="C767" s="24" t="s">
        <v>5198</v>
      </c>
      <c r="D767" s="76">
        <v>7763.0</v>
      </c>
      <c r="E767" s="208">
        <v>32679.0</v>
      </c>
      <c r="F767" s="168">
        <v>641067.0</v>
      </c>
      <c r="G767" s="209">
        <v>-16202.0</v>
      </c>
      <c r="H767" s="168">
        <v>369137.0</v>
      </c>
      <c r="I767" s="208">
        <v>20070.0</v>
      </c>
    </row>
    <row r="768">
      <c r="A768" s="24">
        <v>144.0</v>
      </c>
      <c r="B768" s="168">
        <v>62175.92</v>
      </c>
      <c r="C768" s="24" t="s">
        <v>5199</v>
      </c>
      <c r="D768" s="76">
        <v>7764.0</v>
      </c>
      <c r="E768" s="208">
        <v>38751.0</v>
      </c>
      <c r="F768" s="168">
        <v>896789.0</v>
      </c>
      <c r="G768" s="209">
        <v>71255.0</v>
      </c>
      <c r="H768" s="168">
        <v>316613.0</v>
      </c>
      <c r="I768" s="208">
        <v>36187.0</v>
      </c>
    </row>
    <row r="769">
      <c r="A769" s="24">
        <v>133.0</v>
      </c>
      <c r="B769" s="168">
        <v>-10669.5</v>
      </c>
      <c r="C769" s="24" t="s">
        <v>5200</v>
      </c>
      <c r="D769" s="76">
        <v>7765.0</v>
      </c>
      <c r="E769" s="208">
        <v>-18069.0</v>
      </c>
      <c r="F769" s="168">
        <v>282293.0</v>
      </c>
      <c r="G769" s="209">
        <v>-15123.0</v>
      </c>
      <c r="H769" s="168">
        <v>475399.0</v>
      </c>
      <c r="I769" s="208">
        <v>94969.0</v>
      </c>
    </row>
    <row r="770">
      <c r="A770" s="24">
        <v>134.0</v>
      </c>
      <c r="B770" s="168">
        <v>-9328.2</v>
      </c>
      <c r="C770" s="24" t="s">
        <v>5201</v>
      </c>
      <c r="D770" s="76">
        <v>7766.0</v>
      </c>
      <c r="E770" s="208">
        <v>-26418.0</v>
      </c>
      <c r="F770" s="168">
        <v>819047.0</v>
      </c>
      <c r="G770" s="209">
        <v>48052.0</v>
      </c>
      <c r="H770" s="168">
        <v>396476.0</v>
      </c>
      <c r="I770" s="208">
        <v>-88715.0</v>
      </c>
    </row>
    <row r="771">
      <c r="A771" s="24">
        <v>123.0</v>
      </c>
      <c r="B771" s="168">
        <v>-59022.15</v>
      </c>
      <c r="C771" s="24" t="s">
        <v>5202</v>
      </c>
      <c r="D771" s="76">
        <v>7767.0</v>
      </c>
      <c r="E771" s="208">
        <v>-43632.0</v>
      </c>
      <c r="F771" s="168">
        <v>339638.0</v>
      </c>
      <c r="G771" s="209">
        <v>92502.0</v>
      </c>
      <c r="H771" s="168">
        <v>867464.0</v>
      </c>
      <c r="I771" s="208">
        <v>-16452.0</v>
      </c>
    </row>
    <row r="772">
      <c r="A772" s="24">
        <v>106.0</v>
      </c>
      <c r="B772" s="168">
        <v>46225.5</v>
      </c>
      <c r="C772" s="24" t="s">
        <v>5203</v>
      </c>
      <c r="D772" s="76">
        <v>7768.0</v>
      </c>
      <c r="E772" s="208">
        <v>65901.0</v>
      </c>
      <c r="F772" s="168">
        <v>463333.0</v>
      </c>
      <c r="G772" s="209">
        <v>36312.0</v>
      </c>
      <c r="H772" s="168">
        <v>938806.0</v>
      </c>
      <c r="I772" s="208">
        <v>-413.0</v>
      </c>
    </row>
    <row r="773">
      <c r="A773" s="24">
        <v>122.0</v>
      </c>
      <c r="B773" s="168">
        <v>-98383.09</v>
      </c>
      <c r="C773" s="24" t="s">
        <v>5204</v>
      </c>
      <c r="D773" s="76">
        <v>7769.0</v>
      </c>
      <c r="E773" s="208">
        <v>80883.0</v>
      </c>
      <c r="F773" s="168">
        <v>879632.0</v>
      </c>
      <c r="G773" s="209">
        <v>-90716.0</v>
      </c>
      <c r="H773" s="168">
        <v>323290.0</v>
      </c>
      <c r="I773" s="208">
        <v>-29155.0</v>
      </c>
    </row>
    <row r="774">
      <c r="A774" s="24">
        <v>143.0</v>
      </c>
      <c r="B774" s="168">
        <v>-71598.35</v>
      </c>
      <c r="C774" s="24" t="s">
        <v>5205</v>
      </c>
      <c r="D774" s="76">
        <v>7770.0</v>
      </c>
      <c r="E774" s="208">
        <v>2440.0</v>
      </c>
      <c r="F774" s="168">
        <v>751347.0</v>
      </c>
      <c r="G774" s="209">
        <v>-32878.0</v>
      </c>
      <c r="H774" s="168">
        <v>510837.0</v>
      </c>
      <c r="I774" s="208">
        <v>-72095.0</v>
      </c>
    </row>
    <row r="775">
      <c r="A775" s="24">
        <v>131.0</v>
      </c>
      <c r="B775" s="168">
        <v>-27490.35</v>
      </c>
      <c r="C775" s="24" t="s">
        <v>5206</v>
      </c>
      <c r="D775" s="76">
        <v>7771.0</v>
      </c>
      <c r="E775" s="208">
        <v>-98118.0</v>
      </c>
      <c r="F775" s="168">
        <v>396938.0</v>
      </c>
      <c r="G775" s="209">
        <v>19087.0</v>
      </c>
      <c r="H775" s="168">
        <v>581416.0</v>
      </c>
      <c r="I775" s="208">
        <v>55532.0</v>
      </c>
    </row>
    <row r="776">
      <c r="A776" s="24">
        <v>147.0</v>
      </c>
      <c r="B776" s="168">
        <v>74369.28</v>
      </c>
      <c r="C776" s="24" t="s">
        <v>5207</v>
      </c>
      <c r="D776" s="76">
        <v>7772.0</v>
      </c>
      <c r="E776" s="208">
        <v>74895.0</v>
      </c>
      <c r="F776" s="168">
        <v>496418.0</v>
      </c>
      <c r="G776" s="209">
        <v>-22396.0</v>
      </c>
      <c r="H776" s="168">
        <v>179624.0</v>
      </c>
      <c r="I776" s="208">
        <v>-52020.0</v>
      </c>
    </row>
    <row r="777">
      <c r="A777" s="24">
        <v>121.0</v>
      </c>
      <c r="B777" s="168">
        <v>-85009.51</v>
      </c>
      <c r="C777" s="24" t="s">
        <v>5208</v>
      </c>
      <c r="D777" s="76">
        <v>7773.0</v>
      </c>
      <c r="E777" s="208">
        <v>-39447.0</v>
      </c>
      <c r="F777" s="168">
        <v>569538.0</v>
      </c>
      <c r="G777" s="209">
        <v>26985.0</v>
      </c>
      <c r="H777" s="168">
        <v>977375.0</v>
      </c>
      <c r="I777" s="208">
        <v>-80060.0</v>
      </c>
    </row>
    <row r="778">
      <c r="A778" s="24">
        <v>113.0</v>
      </c>
      <c r="B778" s="168">
        <v>39606.02</v>
      </c>
      <c r="C778" s="24" t="s">
        <v>5209</v>
      </c>
      <c r="D778" s="76">
        <v>7774.0</v>
      </c>
      <c r="E778" s="208">
        <v>90040.0</v>
      </c>
      <c r="F778" s="168">
        <v>430809.0</v>
      </c>
      <c r="G778" s="209">
        <v>58220.0</v>
      </c>
      <c r="H778" s="168">
        <v>520062.0</v>
      </c>
      <c r="I778" s="208">
        <v>5334.0</v>
      </c>
    </row>
    <row r="779">
      <c r="A779" s="24">
        <v>130.0</v>
      </c>
      <c r="B779" s="168">
        <v>23080.75</v>
      </c>
      <c r="C779" s="24" t="s">
        <v>5210</v>
      </c>
      <c r="D779" s="76">
        <v>7775.0</v>
      </c>
      <c r="E779" s="208">
        <v>-2764.0</v>
      </c>
      <c r="F779" s="168">
        <v>367538.0</v>
      </c>
      <c r="G779" s="209">
        <v>-41876.0</v>
      </c>
      <c r="H779" s="168">
        <v>997285.0</v>
      </c>
      <c r="I779" s="208">
        <v>65989.0</v>
      </c>
    </row>
    <row r="780">
      <c r="A780" s="24">
        <v>112.0</v>
      </c>
      <c r="B780" s="168">
        <v>86414.44</v>
      </c>
      <c r="C780" s="24" t="s">
        <v>5211</v>
      </c>
      <c r="D780" s="76">
        <v>7776.0</v>
      </c>
      <c r="E780" s="208">
        <v>-87536.0</v>
      </c>
      <c r="F780" s="168">
        <v>177172.0</v>
      </c>
      <c r="G780" s="209">
        <v>-66858.0</v>
      </c>
      <c r="H780" s="168">
        <v>598861.0</v>
      </c>
      <c r="I780" s="208">
        <v>98467.0</v>
      </c>
    </row>
    <row r="781">
      <c r="A781" s="24">
        <v>110.0</v>
      </c>
      <c r="B781" s="168">
        <v>92933.31</v>
      </c>
      <c r="C781" s="24" t="s">
        <v>5212</v>
      </c>
      <c r="D781" s="76">
        <v>7777.0</v>
      </c>
      <c r="E781" s="208">
        <v>-3176.0</v>
      </c>
      <c r="F781" s="168">
        <v>918692.0</v>
      </c>
      <c r="G781" s="209">
        <v>10071.0</v>
      </c>
      <c r="H781" s="168">
        <v>805760.0</v>
      </c>
      <c r="I781" s="208">
        <v>-56168.0</v>
      </c>
    </row>
    <row r="782">
      <c r="A782" s="24">
        <v>138.0</v>
      </c>
      <c r="B782" s="168">
        <v>-39131.83</v>
      </c>
      <c r="C782" s="24" t="s">
        <v>5213</v>
      </c>
      <c r="D782" s="76">
        <v>7778.0</v>
      </c>
      <c r="E782" s="208">
        <v>21699.0</v>
      </c>
      <c r="F782" s="168">
        <v>523891.0</v>
      </c>
      <c r="G782" s="209">
        <v>69859.0</v>
      </c>
      <c r="H782" s="168">
        <v>492712.0</v>
      </c>
      <c r="I782" s="208">
        <v>47440.0</v>
      </c>
    </row>
    <row r="783">
      <c r="A783" s="24">
        <v>120.0</v>
      </c>
      <c r="B783" s="168">
        <v>-96105.6</v>
      </c>
      <c r="C783" s="24" t="s">
        <v>5214</v>
      </c>
      <c r="D783" s="76">
        <v>7779.0</v>
      </c>
      <c r="E783" s="208">
        <v>-58981.0</v>
      </c>
      <c r="F783" s="168">
        <v>177135.0</v>
      </c>
      <c r="G783" s="209">
        <v>-43141.0</v>
      </c>
      <c r="H783" s="168">
        <v>968218.0</v>
      </c>
      <c r="I783" s="208">
        <v>1331.0</v>
      </c>
    </row>
    <row r="784">
      <c r="A784" s="24">
        <v>115.0</v>
      </c>
      <c r="B784" s="168">
        <v>62992.76</v>
      </c>
      <c r="C784" s="24" t="s">
        <v>5215</v>
      </c>
      <c r="D784" s="76">
        <v>7780.0</v>
      </c>
      <c r="E784" s="208">
        <v>27022.0</v>
      </c>
      <c r="F784" s="168">
        <v>256232.0</v>
      </c>
      <c r="G784" s="209">
        <v>-16499.0</v>
      </c>
      <c r="H784" s="168">
        <v>439424.0</v>
      </c>
      <c r="I784" s="208">
        <v>41529.0</v>
      </c>
    </row>
    <row r="785">
      <c r="A785" s="24">
        <v>141.0</v>
      </c>
      <c r="B785" s="168">
        <v>65578.21</v>
      </c>
      <c r="C785" s="24" t="s">
        <v>5216</v>
      </c>
      <c r="D785" s="76">
        <v>7781.0</v>
      </c>
      <c r="E785" s="208">
        <v>-54316.0</v>
      </c>
      <c r="F785" s="168">
        <v>896959.0</v>
      </c>
      <c r="G785" s="209">
        <v>-96478.0</v>
      </c>
      <c r="H785" s="168">
        <v>890925.0</v>
      </c>
      <c r="I785" s="208">
        <v>78535.0</v>
      </c>
    </row>
    <row r="786">
      <c r="A786" s="24">
        <v>137.0</v>
      </c>
      <c r="B786" s="168">
        <v>98583.24</v>
      </c>
      <c r="C786" s="24" t="s">
        <v>5214</v>
      </c>
      <c r="D786" s="76">
        <v>7782.0</v>
      </c>
      <c r="E786" s="208">
        <v>-51129.0</v>
      </c>
      <c r="F786" s="168">
        <v>126332.0</v>
      </c>
      <c r="G786" s="209">
        <v>-91745.0</v>
      </c>
      <c r="H786" s="168">
        <v>866987.0</v>
      </c>
      <c r="I786" s="208">
        <v>89862.0</v>
      </c>
    </row>
    <row r="787">
      <c r="A787" s="24">
        <v>108.0</v>
      </c>
      <c r="B787" s="168">
        <v>9213.98</v>
      </c>
      <c r="C787" s="24" t="s">
        <v>5217</v>
      </c>
      <c r="D787" s="76">
        <v>7783.0</v>
      </c>
      <c r="E787" s="208">
        <v>-78658.0</v>
      </c>
      <c r="F787" s="168">
        <v>803598.0</v>
      </c>
      <c r="G787" s="209">
        <v>-25335.0</v>
      </c>
      <c r="H787" s="168">
        <v>430021.0</v>
      </c>
      <c r="I787" s="208">
        <v>66871.0</v>
      </c>
    </row>
    <row r="788">
      <c r="A788" s="24">
        <v>116.0</v>
      </c>
      <c r="B788" s="168">
        <v>-46953.45</v>
      </c>
      <c r="C788" s="24" t="s">
        <v>5218</v>
      </c>
      <c r="D788" s="76">
        <v>7784.0</v>
      </c>
      <c r="E788" s="208">
        <v>-45329.0</v>
      </c>
      <c r="F788" s="168">
        <v>158442.0</v>
      </c>
      <c r="G788" s="209">
        <v>-71870.0</v>
      </c>
      <c r="H788" s="168">
        <v>439755.0</v>
      </c>
      <c r="I788" s="208">
        <v>64490.0</v>
      </c>
    </row>
    <row r="789">
      <c r="A789" s="24">
        <v>126.0</v>
      </c>
      <c r="B789" s="168">
        <v>-24424.46</v>
      </c>
      <c r="C789" s="24" t="s">
        <v>5219</v>
      </c>
      <c r="D789" s="76">
        <v>7785.0</v>
      </c>
      <c r="E789" s="208">
        <v>-42154.0</v>
      </c>
      <c r="F789" s="168">
        <v>978109.0</v>
      </c>
      <c r="G789" s="209">
        <v>-97507.0</v>
      </c>
      <c r="H789" s="168">
        <v>685128.0</v>
      </c>
      <c r="I789" s="208">
        <v>-70567.0</v>
      </c>
    </row>
    <row r="790">
      <c r="A790" s="24">
        <v>139.0</v>
      </c>
      <c r="B790" s="168">
        <v>96649.41</v>
      </c>
      <c r="C790" s="24" t="s">
        <v>5220</v>
      </c>
      <c r="D790" s="76">
        <v>7786.0</v>
      </c>
      <c r="E790" s="208">
        <v>67129.0</v>
      </c>
      <c r="F790" s="168">
        <v>972445.0</v>
      </c>
      <c r="G790" s="209">
        <v>31498.0</v>
      </c>
      <c r="H790" s="168">
        <v>315582.0</v>
      </c>
      <c r="I790" s="208">
        <v>663.0</v>
      </c>
    </row>
    <row r="791">
      <c r="A791" s="24">
        <v>128.0</v>
      </c>
      <c r="B791" s="168">
        <v>-11385.82</v>
      </c>
      <c r="C791" s="24" t="s">
        <v>5221</v>
      </c>
      <c r="D791" s="76">
        <v>7787.0</v>
      </c>
      <c r="E791" s="208">
        <v>-31538.0</v>
      </c>
      <c r="F791" s="168">
        <v>645571.0</v>
      </c>
      <c r="G791" s="209">
        <v>98739.0</v>
      </c>
      <c r="H791" s="168">
        <v>101391.0</v>
      </c>
      <c r="I791" s="208">
        <v>12560.0</v>
      </c>
    </row>
    <row r="792">
      <c r="A792" s="24">
        <v>140.0</v>
      </c>
      <c r="B792" s="168">
        <v>-24472.83</v>
      </c>
      <c r="C792" s="24" t="s">
        <v>5222</v>
      </c>
      <c r="D792" s="76">
        <v>7788.0</v>
      </c>
      <c r="E792" s="208">
        <v>32276.0</v>
      </c>
      <c r="F792" s="168">
        <v>847227.0</v>
      </c>
      <c r="G792" s="209">
        <v>-64596.0</v>
      </c>
      <c r="H792" s="168">
        <v>101206.0</v>
      </c>
      <c r="I792" s="208">
        <v>-62861.0</v>
      </c>
    </row>
    <row r="793">
      <c r="A793" s="24">
        <v>119.0</v>
      </c>
      <c r="B793" s="168">
        <v>86731.81</v>
      </c>
      <c r="C793" s="24" t="s">
        <v>5223</v>
      </c>
      <c r="D793" s="76">
        <v>7789.0</v>
      </c>
      <c r="E793" s="208">
        <v>-92661.0</v>
      </c>
      <c r="F793" s="168">
        <v>990869.0</v>
      </c>
      <c r="G793" s="209">
        <v>-70649.0</v>
      </c>
      <c r="H793" s="168">
        <v>625778.0</v>
      </c>
      <c r="I793" s="208">
        <v>67743.0</v>
      </c>
    </row>
    <row r="794">
      <c r="A794" s="24">
        <v>135.0</v>
      </c>
      <c r="B794" s="168">
        <v>99157.14</v>
      </c>
      <c r="C794" s="24" t="s">
        <v>5224</v>
      </c>
      <c r="D794" s="76">
        <v>7790.0</v>
      </c>
      <c r="E794" s="208">
        <v>-91314.0</v>
      </c>
      <c r="F794" s="168">
        <v>290887.0</v>
      </c>
      <c r="G794" s="209">
        <v>-5102.0</v>
      </c>
      <c r="H794" s="168">
        <v>422596.0</v>
      </c>
      <c r="I794" s="208">
        <v>-17520.0</v>
      </c>
    </row>
    <row r="795">
      <c r="A795" s="24">
        <v>124.0</v>
      </c>
      <c r="B795" s="168">
        <v>-8818.48</v>
      </c>
      <c r="C795" s="24" t="s">
        <v>5225</v>
      </c>
      <c r="D795" s="76">
        <v>7791.0</v>
      </c>
      <c r="E795" s="208">
        <v>43915.0</v>
      </c>
      <c r="F795" s="168">
        <v>988094.0</v>
      </c>
      <c r="G795" s="209">
        <v>72385.0</v>
      </c>
      <c r="H795" s="168">
        <v>999070.0</v>
      </c>
      <c r="I795" s="208">
        <v>80869.0</v>
      </c>
    </row>
    <row r="796">
      <c r="A796" s="24">
        <v>149.0</v>
      </c>
      <c r="B796" s="168">
        <v>5559.21</v>
      </c>
      <c r="C796" s="24" t="s">
        <v>5226</v>
      </c>
      <c r="D796" s="76">
        <v>7792.0</v>
      </c>
      <c r="E796" s="208">
        <v>54734.0</v>
      </c>
      <c r="F796" s="168">
        <v>582119.0</v>
      </c>
      <c r="G796" s="209">
        <v>54464.0</v>
      </c>
      <c r="H796" s="168">
        <v>855324.0</v>
      </c>
      <c r="I796" s="208">
        <v>88292.0</v>
      </c>
    </row>
    <row r="797">
      <c r="A797" s="24">
        <v>114.0</v>
      </c>
      <c r="B797" s="168">
        <v>19106.33</v>
      </c>
      <c r="C797" s="24" t="s">
        <v>5227</v>
      </c>
      <c r="D797" s="76">
        <v>7793.0</v>
      </c>
      <c r="E797" s="208">
        <v>3366.0</v>
      </c>
      <c r="F797" s="168">
        <v>430413.0</v>
      </c>
      <c r="G797" s="209">
        <v>49341.0</v>
      </c>
      <c r="H797" s="168">
        <v>552571.0</v>
      </c>
      <c r="I797" s="208">
        <v>-62519.0</v>
      </c>
    </row>
    <row r="798">
      <c r="A798" s="24">
        <v>101.0</v>
      </c>
      <c r="B798" s="168">
        <v>2392.65</v>
      </c>
      <c r="C798" s="24" t="s">
        <v>5228</v>
      </c>
      <c r="D798" s="76">
        <v>7794.0</v>
      </c>
      <c r="E798" s="208">
        <v>-33747.0</v>
      </c>
      <c r="F798" s="168">
        <v>257028.0</v>
      </c>
      <c r="G798" s="209">
        <v>46876.0</v>
      </c>
      <c r="H798" s="168">
        <v>311533.0</v>
      </c>
      <c r="I798" s="208">
        <v>-36257.0</v>
      </c>
    </row>
    <row r="799">
      <c r="A799" s="24">
        <v>105.0</v>
      </c>
      <c r="B799" s="168">
        <v>5817.11</v>
      </c>
      <c r="C799" s="24" t="s">
        <v>5229</v>
      </c>
      <c r="D799" s="76">
        <v>7795.0</v>
      </c>
      <c r="E799" s="208">
        <v>-18258.0</v>
      </c>
      <c r="F799" s="168">
        <v>547069.0</v>
      </c>
      <c r="G799" s="209">
        <v>-89009.0</v>
      </c>
      <c r="H799" s="168">
        <v>776343.0</v>
      </c>
      <c r="I799" s="208">
        <v>-84895.0</v>
      </c>
    </row>
    <row r="800">
      <c r="A800" s="24">
        <v>117.0</v>
      </c>
      <c r="B800" s="168">
        <v>-51213.94</v>
      </c>
      <c r="C800" s="24" t="s">
        <v>5230</v>
      </c>
      <c r="D800" s="76">
        <v>7796.0</v>
      </c>
      <c r="E800" s="208">
        <v>36463.0</v>
      </c>
      <c r="F800" s="168">
        <v>936714.0</v>
      </c>
      <c r="G800" s="209">
        <v>-15637.0</v>
      </c>
      <c r="H800" s="168">
        <v>506093.0</v>
      </c>
      <c r="I800" s="208">
        <v>72199.0</v>
      </c>
    </row>
    <row r="801">
      <c r="A801" s="24">
        <v>107.0</v>
      </c>
      <c r="B801" s="168">
        <v>84352.49</v>
      </c>
      <c r="C801" s="24" t="s">
        <v>5231</v>
      </c>
      <c r="D801" s="76">
        <v>7797.0</v>
      </c>
      <c r="E801" s="208">
        <v>-59616.0</v>
      </c>
      <c r="F801" s="168">
        <v>650430.0</v>
      </c>
      <c r="G801" s="209">
        <v>40902.0</v>
      </c>
      <c r="H801" s="168">
        <v>521012.0</v>
      </c>
      <c r="I801" s="208">
        <v>21249.0</v>
      </c>
    </row>
    <row r="802">
      <c r="A802" s="24">
        <v>102.0</v>
      </c>
      <c r="B802" s="168">
        <v>-5584.53</v>
      </c>
      <c r="C802" s="24" t="s">
        <v>5232</v>
      </c>
      <c r="D802" s="76">
        <v>7798.0</v>
      </c>
      <c r="E802" s="208">
        <v>-6837.0</v>
      </c>
      <c r="F802" s="168">
        <v>251552.0</v>
      </c>
      <c r="G802" s="209">
        <v>72029.0</v>
      </c>
      <c r="H802" s="168">
        <v>178165.0</v>
      </c>
      <c r="I802" s="208">
        <v>52560.0</v>
      </c>
    </row>
    <row r="803">
      <c r="A803" s="24">
        <v>132.0</v>
      </c>
      <c r="B803" s="168">
        <v>-33910.77</v>
      </c>
      <c r="C803" s="24" t="s">
        <v>5233</v>
      </c>
      <c r="D803" s="76">
        <v>7799.0</v>
      </c>
      <c r="E803" s="208">
        <v>-48214.0</v>
      </c>
      <c r="F803" s="168">
        <v>600128.0</v>
      </c>
      <c r="G803" s="209">
        <v>-93903.0</v>
      </c>
      <c r="H803" s="168">
        <v>522293.0</v>
      </c>
      <c r="I803" s="208">
        <v>-84816.0</v>
      </c>
    </row>
    <row r="804">
      <c r="A804" s="24">
        <v>145.0</v>
      </c>
      <c r="B804" s="168">
        <v>-26896.95</v>
      </c>
      <c r="C804" s="24" t="s">
        <v>5185</v>
      </c>
      <c r="D804" s="76">
        <v>7800.0</v>
      </c>
      <c r="E804" s="208">
        <v>53924.0</v>
      </c>
      <c r="F804" s="168">
        <v>336956.0</v>
      </c>
      <c r="G804" s="209">
        <v>8944.0</v>
      </c>
      <c r="H804" s="168">
        <v>721408.0</v>
      </c>
      <c r="I804" s="208">
        <v>-59743.0</v>
      </c>
    </row>
    <row r="805">
      <c r="A805" s="24">
        <v>148.0</v>
      </c>
      <c r="B805" s="168">
        <v>65217.83</v>
      </c>
      <c r="C805" s="24" t="s">
        <v>5186</v>
      </c>
      <c r="D805" s="76">
        <v>7801.0</v>
      </c>
      <c r="E805" s="208">
        <v>-93277.0</v>
      </c>
      <c r="F805" s="168">
        <v>244428.0</v>
      </c>
      <c r="G805" s="209">
        <v>-67657.0</v>
      </c>
      <c r="H805" s="168">
        <v>997491.0</v>
      </c>
      <c r="I805" s="208">
        <v>-11872.0</v>
      </c>
    </row>
    <row r="806">
      <c r="A806" s="24">
        <v>136.0</v>
      </c>
      <c r="B806" s="168">
        <v>-79845.31</v>
      </c>
      <c r="C806" s="24" t="s">
        <v>5187</v>
      </c>
      <c r="D806" s="76">
        <v>7802.0</v>
      </c>
      <c r="E806" s="208">
        <v>84255.0</v>
      </c>
      <c r="F806" s="168">
        <v>594849.0</v>
      </c>
      <c r="G806" s="209">
        <v>51642.0</v>
      </c>
      <c r="H806" s="168">
        <v>317166.0</v>
      </c>
      <c r="I806" s="208">
        <v>-45338.0</v>
      </c>
    </row>
    <row r="807">
      <c r="A807" s="24">
        <v>104.0</v>
      </c>
      <c r="B807" s="168">
        <v>49982.47</v>
      </c>
      <c r="C807" s="24" t="s">
        <v>5188</v>
      </c>
      <c r="D807" s="76">
        <v>7803.0</v>
      </c>
      <c r="E807" s="208">
        <v>-36770.0</v>
      </c>
      <c r="F807" s="168">
        <v>438068.0</v>
      </c>
      <c r="G807" s="209">
        <v>3421.0</v>
      </c>
      <c r="H807" s="168">
        <v>592191.0</v>
      </c>
      <c r="I807" s="208">
        <v>-54317.0</v>
      </c>
    </row>
    <row r="808">
      <c r="A808" s="24">
        <v>129.0</v>
      </c>
      <c r="B808" s="168">
        <v>27071.17</v>
      </c>
      <c r="C808" s="24" t="s">
        <v>5189</v>
      </c>
      <c r="D808" s="76">
        <v>7804.0</v>
      </c>
      <c r="E808" s="208">
        <v>-65369.0</v>
      </c>
      <c r="F808" s="168">
        <v>369185.0</v>
      </c>
      <c r="G808" s="209">
        <v>-21454.0</v>
      </c>
      <c r="H808" s="168">
        <v>543688.0</v>
      </c>
      <c r="I808" s="208">
        <v>62396.0</v>
      </c>
    </row>
    <row r="809">
      <c r="A809" s="24">
        <v>118.0</v>
      </c>
      <c r="B809" s="168">
        <v>53203.9</v>
      </c>
      <c r="C809" s="24" t="s">
        <v>5190</v>
      </c>
      <c r="D809" s="76">
        <v>7805.0</v>
      </c>
      <c r="E809" s="208">
        <v>-63840.0</v>
      </c>
      <c r="F809" s="168">
        <v>986321.0</v>
      </c>
      <c r="G809" s="209">
        <v>-37916.0</v>
      </c>
      <c r="H809" s="168">
        <v>861530.0</v>
      </c>
      <c r="I809" s="208">
        <v>-77721.0</v>
      </c>
    </row>
    <row r="810">
      <c r="A810" s="24">
        <v>127.0</v>
      </c>
      <c r="B810" s="168">
        <v>-71540.73</v>
      </c>
      <c r="C810" s="24" t="s">
        <v>5191</v>
      </c>
      <c r="D810" s="76">
        <v>7806.0</v>
      </c>
      <c r="E810" s="208">
        <v>-58680.0</v>
      </c>
      <c r="F810" s="168">
        <v>896765.0</v>
      </c>
      <c r="G810" s="209">
        <v>-91720.0</v>
      </c>
      <c r="H810" s="168">
        <v>287697.0</v>
      </c>
      <c r="I810" s="208">
        <v>-56291.0</v>
      </c>
    </row>
    <row r="811">
      <c r="A811" s="24">
        <v>125.0</v>
      </c>
      <c r="B811" s="168">
        <v>-45943.63</v>
      </c>
      <c r="C811" s="24" t="s">
        <v>5192</v>
      </c>
      <c r="D811" s="76">
        <v>7807.0</v>
      </c>
      <c r="E811" s="208">
        <v>-12003.0</v>
      </c>
      <c r="F811" s="168">
        <v>902621.0</v>
      </c>
      <c r="G811" s="209">
        <v>-63643.0</v>
      </c>
      <c r="H811" s="168">
        <v>389701.0</v>
      </c>
      <c r="I811" s="208">
        <v>-99901.0</v>
      </c>
    </row>
    <row r="812">
      <c r="A812" s="24">
        <v>146.0</v>
      </c>
      <c r="B812" s="168">
        <v>-51865.93</v>
      </c>
      <c r="C812" s="24" t="s">
        <v>5193</v>
      </c>
      <c r="D812" s="76">
        <v>7808.0</v>
      </c>
      <c r="E812" s="208">
        <v>10802.0</v>
      </c>
      <c r="F812" s="168">
        <v>430223.0</v>
      </c>
      <c r="G812" s="209">
        <v>11556.0</v>
      </c>
      <c r="H812" s="168">
        <v>328804.0</v>
      </c>
      <c r="I812" s="208">
        <v>-94186.0</v>
      </c>
    </row>
    <row r="813">
      <c r="A813" s="24">
        <v>111.0</v>
      </c>
      <c r="B813" s="168">
        <v>-98572.31</v>
      </c>
      <c r="C813" s="24" t="s">
        <v>5194</v>
      </c>
      <c r="D813" s="76">
        <v>7809.0</v>
      </c>
      <c r="E813" s="208">
        <v>46125.0</v>
      </c>
      <c r="F813" s="168">
        <v>528237.0</v>
      </c>
      <c r="G813" s="209">
        <v>46060.0</v>
      </c>
      <c r="H813" s="168">
        <v>904797.0</v>
      </c>
      <c r="I813" s="208">
        <v>215.0</v>
      </c>
    </row>
    <row r="814">
      <c r="A814" s="24">
        <v>103.0</v>
      </c>
      <c r="B814" s="168">
        <v>32074.28</v>
      </c>
      <c r="C814" s="24" t="s">
        <v>5195</v>
      </c>
      <c r="D814" s="76">
        <v>7810.0</v>
      </c>
      <c r="E814" s="208">
        <v>71247.0</v>
      </c>
      <c r="F814" s="168">
        <v>160501.0</v>
      </c>
      <c r="G814" s="209">
        <v>-18824.0</v>
      </c>
      <c r="H814" s="168">
        <v>873594.0</v>
      </c>
      <c r="I814" s="208">
        <v>95739.0</v>
      </c>
    </row>
    <row r="815">
      <c r="A815" s="24">
        <v>142.0</v>
      </c>
      <c r="B815" s="168">
        <v>50566.48</v>
      </c>
      <c r="C815" s="24" t="s">
        <v>5196</v>
      </c>
      <c r="D815" s="76">
        <v>7811.0</v>
      </c>
      <c r="E815" s="208">
        <v>28017.0</v>
      </c>
      <c r="F815" s="168">
        <v>497023.0</v>
      </c>
      <c r="G815" s="209">
        <v>-72020.0</v>
      </c>
      <c r="H815" s="168">
        <v>496317.0</v>
      </c>
      <c r="I815" s="208">
        <v>24924.0</v>
      </c>
    </row>
    <row r="816">
      <c r="A816" s="24">
        <v>100.0</v>
      </c>
      <c r="B816" s="168">
        <v>46776.6</v>
      </c>
      <c r="C816" s="24" t="s">
        <v>5197</v>
      </c>
      <c r="D816" s="76">
        <v>7812.0</v>
      </c>
      <c r="E816" s="208">
        <v>31043.0</v>
      </c>
      <c r="F816" s="168">
        <v>359638.0</v>
      </c>
      <c r="G816" s="209">
        <v>49816.0</v>
      </c>
      <c r="H816" s="168">
        <v>312875.0</v>
      </c>
      <c r="I816" s="208">
        <v>-36708.0</v>
      </c>
    </row>
    <row r="817">
      <c r="A817" s="24">
        <v>109.0</v>
      </c>
      <c r="B817" s="168">
        <v>-79851.45</v>
      </c>
      <c r="C817" s="24" t="s">
        <v>5198</v>
      </c>
      <c r="D817" s="76">
        <v>7813.0</v>
      </c>
      <c r="E817" s="208">
        <v>-39859.0</v>
      </c>
      <c r="F817" s="168">
        <v>758400.0</v>
      </c>
      <c r="G817" s="209">
        <v>59778.0</v>
      </c>
      <c r="H817" s="168">
        <v>354531.0</v>
      </c>
      <c r="I817" s="208">
        <v>75174.0</v>
      </c>
    </row>
    <row r="818">
      <c r="A818" s="24">
        <v>144.0</v>
      </c>
      <c r="B818" s="168">
        <v>34574.0</v>
      </c>
      <c r="C818" s="24" t="s">
        <v>5199</v>
      </c>
      <c r="D818" s="76">
        <v>7814.0</v>
      </c>
      <c r="E818" s="208">
        <v>-60044.0</v>
      </c>
      <c r="F818" s="168">
        <v>483734.0</v>
      </c>
      <c r="G818" s="209">
        <v>84010.0</v>
      </c>
      <c r="H818" s="168">
        <v>243998.0</v>
      </c>
      <c r="I818" s="208">
        <v>-45268.0</v>
      </c>
    </row>
    <row r="819">
      <c r="A819" s="24">
        <v>133.0</v>
      </c>
      <c r="B819" s="168">
        <v>-47742.95</v>
      </c>
      <c r="C819" s="24" t="s">
        <v>5200</v>
      </c>
      <c r="D819" s="76">
        <v>7815.0</v>
      </c>
      <c r="E819" s="208">
        <v>90494.0</v>
      </c>
      <c r="F819" s="168">
        <v>183611.0</v>
      </c>
      <c r="G819" s="209">
        <v>18655.0</v>
      </c>
      <c r="H819" s="168">
        <v>145590.0</v>
      </c>
      <c r="I819" s="208">
        <v>-20189.0</v>
      </c>
    </row>
    <row r="820">
      <c r="A820" s="24">
        <v>134.0</v>
      </c>
      <c r="B820" s="168">
        <v>17200.32</v>
      </c>
      <c r="C820" s="24" t="s">
        <v>5201</v>
      </c>
      <c r="D820" s="76">
        <v>7816.0</v>
      </c>
      <c r="E820" s="208">
        <v>50311.0</v>
      </c>
      <c r="F820" s="168">
        <v>486645.0</v>
      </c>
      <c r="G820" s="209">
        <v>64422.0</v>
      </c>
      <c r="H820" s="168">
        <v>854097.0</v>
      </c>
      <c r="I820" s="208">
        <v>-18615.0</v>
      </c>
    </row>
    <row r="821">
      <c r="A821" s="24">
        <v>123.0</v>
      </c>
      <c r="B821" s="168">
        <v>-50893.87</v>
      </c>
      <c r="C821" s="24" t="s">
        <v>5202</v>
      </c>
      <c r="D821" s="76">
        <v>7817.0</v>
      </c>
      <c r="E821" s="208">
        <v>30390.0</v>
      </c>
      <c r="F821" s="168">
        <v>986423.0</v>
      </c>
      <c r="G821" s="209">
        <v>-89912.0</v>
      </c>
      <c r="H821" s="168">
        <v>543047.0</v>
      </c>
      <c r="I821" s="208">
        <v>29060.0</v>
      </c>
    </row>
    <row r="822">
      <c r="A822" s="24">
        <v>106.0</v>
      </c>
      <c r="B822" s="168">
        <v>-9476.47</v>
      </c>
      <c r="C822" s="24" t="s">
        <v>5203</v>
      </c>
      <c r="D822" s="76">
        <v>7818.0</v>
      </c>
      <c r="E822" s="208">
        <v>2947.0</v>
      </c>
      <c r="F822" s="168">
        <v>351727.0</v>
      </c>
      <c r="G822" s="209">
        <v>-93095.0</v>
      </c>
      <c r="H822" s="168">
        <v>320867.0</v>
      </c>
      <c r="I822" s="208">
        <v>-38370.0</v>
      </c>
    </row>
    <row r="823">
      <c r="A823" s="24">
        <v>122.0</v>
      </c>
      <c r="B823" s="168">
        <v>61552.7</v>
      </c>
      <c r="C823" s="24" t="s">
        <v>5204</v>
      </c>
      <c r="D823" s="76">
        <v>7819.0</v>
      </c>
      <c r="E823" s="208">
        <v>98121.0</v>
      </c>
      <c r="F823" s="168">
        <v>918606.0</v>
      </c>
      <c r="G823" s="209">
        <v>67754.0</v>
      </c>
      <c r="H823" s="168">
        <v>122526.0</v>
      </c>
      <c r="I823" s="208">
        <v>55499.0</v>
      </c>
    </row>
    <row r="824">
      <c r="A824" s="24">
        <v>143.0</v>
      </c>
      <c r="B824" s="168">
        <v>57799.02</v>
      </c>
      <c r="C824" s="24" t="s">
        <v>5205</v>
      </c>
      <c r="D824" s="76">
        <v>7820.0</v>
      </c>
      <c r="E824" s="208">
        <v>-11146.0</v>
      </c>
      <c r="F824" s="168">
        <v>768288.0</v>
      </c>
      <c r="G824" s="209">
        <v>28288.0</v>
      </c>
      <c r="H824" s="168">
        <v>771716.0</v>
      </c>
      <c r="I824" s="208">
        <v>32189.0</v>
      </c>
    </row>
    <row r="825">
      <c r="A825" s="24">
        <v>131.0</v>
      </c>
      <c r="B825" s="168">
        <v>-63438.88</v>
      </c>
      <c r="C825" s="24" t="s">
        <v>5206</v>
      </c>
      <c r="D825" s="76">
        <v>7821.0</v>
      </c>
      <c r="E825" s="208">
        <v>-92508.0</v>
      </c>
      <c r="F825" s="168">
        <v>642923.0</v>
      </c>
      <c r="G825" s="209">
        <v>-77127.0</v>
      </c>
      <c r="H825" s="168">
        <v>894183.0</v>
      </c>
      <c r="I825" s="208">
        <v>-15704.0</v>
      </c>
    </row>
    <row r="826">
      <c r="A826" s="24">
        <v>147.0</v>
      </c>
      <c r="B826" s="168">
        <v>-49554.29</v>
      </c>
      <c r="C826" s="24" t="s">
        <v>5207</v>
      </c>
      <c r="D826" s="76">
        <v>7822.0</v>
      </c>
      <c r="E826" s="208">
        <v>82742.0</v>
      </c>
      <c r="F826" s="168">
        <v>128963.0</v>
      </c>
      <c r="G826" s="209">
        <v>-24745.0</v>
      </c>
      <c r="H826" s="168">
        <v>195902.0</v>
      </c>
      <c r="I826" s="208">
        <v>-8803.0</v>
      </c>
    </row>
    <row r="827">
      <c r="A827" s="24">
        <v>121.0</v>
      </c>
      <c r="B827" s="168">
        <v>-937.83</v>
      </c>
      <c r="C827" s="24" t="s">
        <v>5208</v>
      </c>
      <c r="D827" s="76">
        <v>7823.0</v>
      </c>
      <c r="E827" s="208">
        <v>75469.0</v>
      </c>
      <c r="F827" s="168">
        <v>786217.0</v>
      </c>
      <c r="G827" s="209">
        <v>-39590.0</v>
      </c>
      <c r="H827" s="168">
        <v>511871.0</v>
      </c>
      <c r="I827" s="208">
        <v>-64493.0</v>
      </c>
    </row>
    <row r="828">
      <c r="A828" s="24">
        <v>113.0</v>
      </c>
      <c r="B828" s="168">
        <v>-5433.48</v>
      </c>
      <c r="C828" s="24" t="s">
        <v>5209</v>
      </c>
      <c r="D828" s="76">
        <v>7824.0</v>
      </c>
      <c r="E828" s="208">
        <v>-46928.0</v>
      </c>
      <c r="F828" s="168">
        <v>676224.0</v>
      </c>
      <c r="G828" s="209">
        <v>-92503.0</v>
      </c>
      <c r="H828" s="168">
        <v>436251.0</v>
      </c>
      <c r="I828" s="208">
        <v>-7745.0</v>
      </c>
    </row>
    <row r="829">
      <c r="A829" s="24">
        <v>130.0</v>
      </c>
      <c r="B829" s="168">
        <v>62228.62</v>
      </c>
      <c r="C829" s="24" t="s">
        <v>5210</v>
      </c>
      <c r="D829" s="76">
        <v>7825.0</v>
      </c>
      <c r="E829" s="208">
        <v>-5700.0</v>
      </c>
      <c r="F829" s="168">
        <v>127253.0</v>
      </c>
      <c r="G829" s="209">
        <v>1340.0</v>
      </c>
      <c r="H829" s="168">
        <v>868168.0</v>
      </c>
      <c r="I829" s="208">
        <v>50310.0</v>
      </c>
    </row>
    <row r="830">
      <c r="A830" s="24">
        <v>112.0</v>
      </c>
      <c r="B830" s="168">
        <v>-63865.41</v>
      </c>
      <c r="C830" s="24" t="s">
        <v>5211</v>
      </c>
      <c r="D830" s="76">
        <v>7826.0</v>
      </c>
      <c r="E830" s="208">
        <v>-10862.0</v>
      </c>
      <c r="F830" s="168">
        <v>414824.0</v>
      </c>
      <c r="G830" s="209">
        <v>-83976.0</v>
      </c>
      <c r="H830" s="168">
        <v>333984.0</v>
      </c>
      <c r="I830" s="208">
        <v>78814.0</v>
      </c>
    </row>
    <row r="831">
      <c r="A831" s="24">
        <v>110.0</v>
      </c>
      <c r="B831" s="168">
        <v>-27649.59</v>
      </c>
      <c r="C831" s="24" t="s">
        <v>5212</v>
      </c>
      <c r="D831" s="76">
        <v>7827.0</v>
      </c>
      <c r="E831" s="208">
        <v>-55974.0</v>
      </c>
      <c r="F831" s="168">
        <v>504385.0</v>
      </c>
      <c r="G831" s="209">
        <v>-44272.0</v>
      </c>
      <c r="H831" s="168">
        <v>942007.0</v>
      </c>
      <c r="I831" s="208">
        <v>-6291.0</v>
      </c>
    </row>
    <row r="832">
      <c r="A832" s="24">
        <v>138.0</v>
      </c>
      <c r="B832" s="168">
        <v>93936.13</v>
      </c>
      <c r="C832" s="24" t="s">
        <v>5213</v>
      </c>
      <c r="D832" s="76">
        <v>7828.0</v>
      </c>
      <c r="E832" s="208">
        <v>75878.0</v>
      </c>
      <c r="F832" s="168">
        <v>699554.0</v>
      </c>
      <c r="G832" s="209">
        <v>75363.0</v>
      </c>
      <c r="H832" s="168">
        <v>794670.0</v>
      </c>
      <c r="I832" s="208">
        <v>56490.0</v>
      </c>
    </row>
    <row r="833">
      <c r="A833" s="24">
        <v>120.0</v>
      </c>
      <c r="B833" s="168">
        <v>-34692.03</v>
      </c>
      <c r="C833" s="24" t="s">
        <v>5214</v>
      </c>
      <c r="D833" s="76">
        <v>7829.0</v>
      </c>
      <c r="E833" s="208">
        <v>171.0</v>
      </c>
      <c r="F833" s="168">
        <v>343163.0</v>
      </c>
      <c r="G833" s="209">
        <v>35354.0</v>
      </c>
      <c r="H833" s="168">
        <v>410906.0</v>
      </c>
      <c r="I833" s="208">
        <v>-36702.0</v>
      </c>
    </row>
    <row r="834">
      <c r="A834" s="24">
        <v>115.0</v>
      </c>
      <c r="B834" s="168">
        <v>-98050.84</v>
      </c>
      <c r="C834" s="24" t="s">
        <v>5215</v>
      </c>
      <c r="D834" s="76">
        <v>7830.0</v>
      </c>
      <c r="E834" s="208">
        <v>76217.0</v>
      </c>
      <c r="F834" s="168">
        <v>167234.0</v>
      </c>
      <c r="G834" s="209">
        <v>96874.0</v>
      </c>
      <c r="H834" s="168">
        <v>363954.0</v>
      </c>
      <c r="I834" s="208">
        <v>-7819.0</v>
      </c>
    </row>
    <row r="835">
      <c r="A835" s="24">
        <v>141.0</v>
      </c>
      <c r="B835" s="168">
        <v>-60686.22</v>
      </c>
      <c r="C835" s="24" t="s">
        <v>5216</v>
      </c>
      <c r="D835" s="76">
        <v>7831.0</v>
      </c>
      <c r="E835" s="208">
        <v>57501.0</v>
      </c>
      <c r="F835" s="168">
        <v>869454.0</v>
      </c>
      <c r="G835" s="209">
        <v>60919.0</v>
      </c>
      <c r="H835" s="168">
        <v>315111.0</v>
      </c>
      <c r="I835" s="208">
        <v>-54696.0</v>
      </c>
    </row>
    <row r="836">
      <c r="A836" s="24">
        <v>137.0</v>
      </c>
      <c r="B836" s="168">
        <v>51433.55</v>
      </c>
      <c r="C836" s="24" t="s">
        <v>5214</v>
      </c>
      <c r="D836" s="76">
        <v>7832.0</v>
      </c>
      <c r="E836" s="208">
        <v>27875.0</v>
      </c>
      <c r="F836" s="168">
        <v>529600.0</v>
      </c>
      <c r="G836" s="209">
        <v>-14267.0</v>
      </c>
      <c r="H836" s="168">
        <v>702036.0</v>
      </c>
      <c r="I836" s="208">
        <v>-32757.0</v>
      </c>
    </row>
    <row r="837">
      <c r="A837" s="24">
        <v>108.0</v>
      </c>
      <c r="B837" s="168">
        <v>-64510.05</v>
      </c>
      <c r="C837" s="24" t="s">
        <v>5217</v>
      </c>
      <c r="D837" s="76">
        <v>7833.0</v>
      </c>
      <c r="E837" s="208">
        <v>51323.0</v>
      </c>
      <c r="F837" s="168">
        <v>180824.0</v>
      </c>
      <c r="G837" s="209">
        <v>66540.0</v>
      </c>
      <c r="H837" s="168">
        <v>634236.0</v>
      </c>
      <c r="I837" s="208">
        <v>-90864.0</v>
      </c>
    </row>
    <row r="838">
      <c r="A838" s="24">
        <v>116.0</v>
      </c>
      <c r="B838" s="168">
        <v>-64142.23</v>
      </c>
      <c r="C838" s="24" t="s">
        <v>5218</v>
      </c>
      <c r="D838" s="76">
        <v>7834.0</v>
      </c>
      <c r="E838" s="208">
        <v>-435.0</v>
      </c>
      <c r="F838" s="168">
        <v>252428.0</v>
      </c>
      <c r="G838" s="209">
        <v>59598.0</v>
      </c>
      <c r="H838" s="168">
        <v>271067.0</v>
      </c>
      <c r="I838" s="208">
        <v>-91292.0</v>
      </c>
    </row>
    <row r="839">
      <c r="A839" s="24">
        <v>126.0</v>
      </c>
      <c r="B839" s="168">
        <v>-37437.56</v>
      </c>
      <c r="C839" s="24" t="s">
        <v>5219</v>
      </c>
      <c r="D839" s="76">
        <v>7835.0</v>
      </c>
      <c r="E839" s="208">
        <v>-36672.0</v>
      </c>
      <c r="F839" s="168">
        <v>603431.0</v>
      </c>
      <c r="G839" s="209">
        <v>-39032.0</v>
      </c>
      <c r="H839" s="168">
        <v>122287.0</v>
      </c>
      <c r="I839" s="208">
        <v>34657.0</v>
      </c>
    </row>
    <row r="840">
      <c r="A840" s="24">
        <v>139.0</v>
      </c>
      <c r="B840" s="168">
        <v>996.29</v>
      </c>
      <c r="C840" s="24" t="s">
        <v>5220</v>
      </c>
      <c r="D840" s="76">
        <v>7836.0</v>
      </c>
      <c r="E840" s="208">
        <v>-66842.0</v>
      </c>
      <c r="F840" s="168">
        <v>489447.0</v>
      </c>
      <c r="G840" s="209">
        <v>-73882.0</v>
      </c>
      <c r="H840" s="168">
        <v>896357.0</v>
      </c>
      <c r="I840" s="208">
        <v>-39382.0</v>
      </c>
    </row>
    <row r="841">
      <c r="A841" s="24">
        <v>128.0</v>
      </c>
      <c r="B841" s="168">
        <v>9925.82</v>
      </c>
      <c r="C841" s="24" t="s">
        <v>5221</v>
      </c>
      <c r="D841" s="76">
        <v>7837.0</v>
      </c>
      <c r="E841" s="208">
        <v>40732.0</v>
      </c>
      <c r="F841" s="168">
        <v>206972.0</v>
      </c>
      <c r="G841" s="209">
        <v>-15105.0</v>
      </c>
      <c r="H841" s="168">
        <v>118850.0</v>
      </c>
      <c r="I841" s="208">
        <v>50740.0</v>
      </c>
    </row>
    <row r="842">
      <c r="A842" s="24">
        <v>140.0</v>
      </c>
      <c r="B842" s="168">
        <v>-64337.09</v>
      </c>
      <c r="C842" s="24" t="s">
        <v>5222</v>
      </c>
      <c r="D842" s="76">
        <v>7838.0</v>
      </c>
      <c r="E842" s="208">
        <v>-37570.0</v>
      </c>
      <c r="F842" s="168">
        <v>737510.0</v>
      </c>
      <c r="G842" s="209">
        <v>9578.0</v>
      </c>
      <c r="H842" s="168">
        <v>872476.0</v>
      </c>
      <c r="I842" s="208">
        <v>-2140.0</v>
      </c>
    </row>
    <row r="843">
      <c r="A843" s="24">
        <v>119.0</v>
      </c>
      <c r="B843" s="168">
        <v>69978.12</v>
      </c>
      <c r="C843" s="24" t="s">
        <v>5223</v>
      </c>
      <c r="D843" s="76">
        <v>7839.0</v>
      </c>
      <c r="E843" s="208">
        <v>94285.0</v>
      </c>
      <c r="F843" s="168">
        <v>494779.0</v>
      </c>
      <c r="G843" s="209">
        <v>-62589.0</v>
      </c>
      <c r="H843" s="168">
        <v>153576.0</v>
      </c>
      <c r="I843" s="208">
        <v>28297.0</v>
      </c>
    </row>
    <row r="844">
      <c r="A844" s="24">
        <v>135.0</v>
      </c>
      <c r="B844" s="168">
        <v>-91778.52</v>
      </c>
      <c r="C844" s="24" t="s">
        <v>5224</v>
      </c>
      <c r="D844" s="76">
        <v>7840.0</v>
      </c>
      <c r="E844" s="208">
        <v>-1512.0</v>
      </c>
      <c r="F844" s="168">
        <v>477645.0</v>
      </c>
      <c r="G844" s="209">
        <v>67556.0</v>
      </c>
      <c r="H844" s="168">
        <v>480045.0</v>
      </c>
      <c r="I844" s="208">
        <v>-58769.0</v>
      </c>
    </row>
    <row r="845">
      <c r="A845" s="24">
        <v>124.0</v>
      </c>
      <c r="B845" s="168">
        <v>54958.76</v>
      </c>
      <c r="C845" s="24" t="s">
        <v>5225</v>
      </c>
      <c r="D845" s="76">
        <v>7841.0</v>
      </c>
      <c r="E845" s="208">
        <v>-51268.0</v>
      </c>
      <c r="F845" s="168">
        <v>318928.0</v>
      </c>
      <c r="G845" s="209">
        <v>-79256.0</v>
      </c>
      <c r="H845" s="168">
        <v>496158.0</v>
      </c>
      <c r="I845" s="208">
        <v>85320.0</v>
      </c>
    </row>
    <row r="846">
      <c r="A846" s="24">
        <v>149.0</v>
      </c>
      <c r="B846" s="168">
        <v>-78922.45</v>
      </c>
      <c r="C846" s="24" t="s">
        <v>5226</v>
      </c>
      <c r="D846" s="76">
        <v>7842.0</v>
      </c>
      <c r="E846" s="208">
        <v>-37294.0</v>
      </c>
      <c r="F846" s="168">
        <v>388903.0</v>
      </c>
      <c r="G846" s="209">
        <v>4021.0</v>
      </c>
      <c r="H846" s="168">
        <v>672413.0</v>
      </c>
      <c r="I846" s="208">
        <v>-25779.0</v>
      </c>
    </row>
    <row r="847">
      <c r="A847" s="24">
        <v>114.0</v>
      </c>
      <c r="B847" s="168">
        <v>-16838.75</v>
      </c>
      <c r="C847" s="24" t="s">
        <v>5227</v>
      </c>
      <c r="D847" s="76">
        <v>7843.0</v>
      </c>
      <c r="E847" s="208">
        <v>26473.0</v>
      </c>
      <c r="F847" s="168">
        <v>714563.0</v>
      </c>
      <c r="G847" s="209">
        <v>13749.0</v>
      </c>
      <c r="H847" s="168">
        <v>219843.0</v>
      </c>
      <c r="I847" s="208">
        <v>-5429.0</v>
      </c>
    </row>
    <row r="848">
      <c r="A848" s="24">
        <v>101.0</v>
      </c>
      <c r="B848" s="168">
        <v>23385.61</v>
      </c>
      <c r="C848" s="24" t="s">
        <v>5228</v>
      </c>
      <c r="D848" s="76">
        <v>7844.0</v>
      </c>
      <c r="E848" s="208">
        <v>-67604.0</v>
      </c>
      <c r="F848" s="168">
        <v>174616.0</v>
      </c>
      <c r="G848" s="209">
        <v>78468.0</v>
      </c>
      <c r="H848" s="168">
        <v>137080.0</v>
      </c>
      <c r="I848" s="208">
        <v>65401.0</v>
      </c>
    </row>
    <row r="849">
      <c r="A849" s="24">
        <v>105.0</v>
      </c>
      <c r="B849" s="168">
        <v>86187.46</v>
      </c>
      <c r="C849" s="24" t="s">
        <v>5229</v>
      </c>
      <c r="D849" s="76">
        <v>7845.0</v>
      </c>
      <c r="E849" s="208">
        <v>89590.0</v>
      </c>
      <c r="F849" s="168">
        <v>431681.0</v>
      </c>
      <c r="G849" s="209">
        <v>59346.0</v>
      </c>
      <c r="H849" s="168">
        <v>158691.0</v>
      </c>
      <c r="I849" s="208">
        <v>-7805.0</v>
      </c>
    </row>
    <row r="850">
      <c r="A850" s="24">
        <v>117.0</v>
      </c>
      <c r="B850" s="168">
        <v>14311.64</v>
      </c>
      <c r="C850" s="24" t="s">
        <v>5230</v>
      </c>
      <c r="D850" s="76">
        <v>7846.0</v>
      </c>
      <c r="E850" s="208">
        <v>-77298.0</v>
      </c>
      <c r="F850" s="168">
        <v>459174.0</v>
      </c>
      <c r="G850" s="209">
        <v>74625.0</v>
      </c>
      <c r="H850" s="168">
        <v>153498.0</v>
      </c>
      <c r="I850" s="208">
        <v>-16338.0</v>
      </c>
    </row>
    <row r="851">
      <c r="A851" s="24">
        <v>107.0</v>
      </c>
      <c r="B851" s="168">
        <v>-44201.32</v>
      </c>
      <c r="C851" s="24" t="s">
        <v>5231</v>
      </c>
      <c r="D851" s="76">
        <v>7847.0</v>
      </c>
      <c r="E851" s="208">
        <v>24878.0</v>
      </c>
      <c r="F851" s="168">
        <v>726739.0</v>
      </c>
      <c r="G851" s="209">
        <v>73015.0</v>
      </c>
      <c r="H851" s="168">
        <v>581072.0</v>
      </c>
      <c r="I851" s="208">
        <v>73167.0</v>
      </c>
    </row>
    <row r="852">
      <c r="A852" s="24">
        <v>102.0</v>
      </c>
      <c r="B852" s="168">
        <v>20804.07</v>
      </c>
      <c r="C852" s="24" t="s">
        <v>5232</v>
      </c>
      <c r="D852" s="76">
        <v>7848.0</v>
      </c>
      <c r="E852" s="208">
        <v>-14483.0</v>
      </c>
      <c r="F852" s="168">
        <v>927274.0</v>
      </c>
      <c r="G852" s="209">
        <v>-35872.0</v>
      </c>
      <c r="H852" s="168">
        <v>676209.0</v>
      </c>
      <c r="I852" s="208">
        <v>40962.0</v>
      </c>
    </row>
    <row r="853">
      <c r="A853" s="24">
        <v>132.0</v>
      </c>
      <c r="B853" s="168">
        <v>-56697.57</v>
      </c>
      <c r="C853" s="24" t="s">
        <v>5233</v>
      </c>
      <c r="D853" s="76">
        <v>7849.0</v>
      </c>
      <c r="E853" s="208">
        <v>-21166.0</v>
      </c>
      <c r="F853" s="168">
        <v>714784.0</v>
      </c>
      <c r="G853" s="209">
        <v>32466.0</v>
      </c>
      <c r="H853" s="168">
        <v>266111.0</v>
      </c>
      <c r="I853" s="208">
        <v>-2267.0</v>
      </c>
    </row>
    <row r="854">
      <c r="A854" s="24">
        <v>145.0</v>
      </c>
      <c r="B854" s="168">
        <v>3197.55</v>
      </c>
      <c r="C854" s="24" t="s">
        <v>5185</v>
      </c>
      <c r="D854" s="76">
        <v>7850.0</v>
      </c>
      <c r="E854" s="208">
        <v>21481.0</v>
      </c>
      <c r="F854" s="168">
        <v>858805.0</v>
      </c>
      <c r="G854" s="209">
        <v>-4132.0</v>
      </c>
      <c r="H854" s="168">
        <v>443859.0</v>
      </c>
      <c r="I854" s="208">
        <v>-97418.0</v>
      </c>
    </row>
    <row r="855">
      <c r="A855" s="24">
        <v>148.0</v>
      </c>
      <c r="B855" s="168">
        <v>9202.09</v>
      </c>
      <c r="C855" s="24" t="s">
        <v>5186</v>
      </c>
      <c r="D855" s="76">
        <v>7851.0</v>
      </c>
      <c r="E855" s="208">
        <v>1629.0</v>
      </c>
      <c r="F855" s="168">
        <v>194959.0</v>
      </c>
      <c r="G855" s="209">
        <v>-20608.0</v>
      </c>
      <c r="H855" s="168">
        <v>473117.0</v>
      </c>
      <c r="I855" s="208">
        <v>-86218.0</v>
      </c>
    </row>
    <row r="856">
      <c r="A856" s="24">
        <v>136.0</v>
      </c>
      <c r="B856" s="168">
        <v>47585.98</v>
      </c>
      <c r="C856" s="24" t="s">
        <v>5187</v>
      </c>
      <c r="D856" s="76">
        <v>7852.0</v>
      </c>
      <c r="E856" s="208">
        <v>22860.0</v>
      </c>
      <c r="F856" s="168">
        <v>615937.0</v>
      </c>
      <c r="G856" s="209">
        <v>-74285.0</v>
      </c>
      <c r="H856" s="168">
        <v>253899.0</v>
      </c>
      <c r="I856" s="208">
        <v>95248.0</v>
      </c>
    </row>
    <row r="857">
      <c r="A857" s="24">
        <v>104.0</v>
      </c>
      <c r="B857" s="168">
        <v>4122.76</v>
      </c>
      <c r="C857" s="24" t="s">
        <v>5188</v>
      </c>
      <c r="D857" s="76">
        <v>7853.0</v>
      </c>
      <c r="E857" s="208">
        <v>29236.0</v>
      </c>
      <c r="F857" s="168">
        <v>869329.0</v>
      </c>
      <c r="G857" s="209">
        <v>-94770.0</v>
      </c>
      <c r="H857" s="168">
        <v>229908.0</v>
      </c>
      <c r="I857" s="208">
        <v>-13139.0</v>
      </c>
    </row>
    <row r="858">
      <c r="A858" s="24">
        <v>129.0</v>
      </c>
      <c r="B858" s="168">
        <v>-63411.45</v>
      </c>
      <c r="C858" s="24" t="s">
        <v>5189</v>
      </c>
      <c r="D858" s="76">
        <v>7854.0</v>
      </c>
      <c r="E858" s="208">
        <v>-48304.0</v>
      </c>
      <c r="F858" s="168">
        <v>116584.0</v>
      </c>
      <c r="G858" s="209">
        <v>-22388.0</v>
      </c>
      <c r="H858" s="168">
        <v>100690.0</v>
      </c>
      <c r="I858" s="208">
        <v>-91381.0</v>
      </c>
    </row>
    <row r="859">
      <c r="A859" s="24">
        <v>118.0</v>
      </c>
      <c r="B859" s="168">
        <v>-50547.64</v>
      </c>
      <c r="C859" s="24" t="s">
        <v>5190</v>
      </c>
      <c r="D859" s="76">
        <v>7855.0</v>
      </c>
      <c r="E859" s="208">
        <v>-66679.0</v>
      </c>
      <c r="F859" s="168">
        <v>555433.0</v>
      </c>
      <c r="G859" s="209">
        <v>-77067.0</v>
      </c>
      <c r="H859" s="168">
        <v>681071.0</v>
      </c>
      <c r="I859" s="208">
        <v>8874.0</v>
      </c>
    </row>
    <row r="860">
      <c r="A860" s="24">
        <v>127.0</v>
      </c>
      <c r="B860" s="168">
        <v>-6010.33</v>
      </c>
      <c r="C860" s="24" t="s">
        <v>5191</v>
      </c>
      <c r="D860" s="76">
        <v>7856.0</v>
      </c>
      <c r="E860" s="208">
        <v>66740.0</v>
      </c>
      <c r="F860" s="168">
        <v>749232.0</v>
      </c>
      <c r="G860" s="209">
        <v>-57987.0</v>
      </c>
      <c r="H860" s="168">
        <v>272748.0</v>
      </c>
      <c r="I860" s="208">
        <v>18082.0</v>
      </c>
    </row>
    <row r="861">
      <c r="A861" s="24">
        <v>125.0</v>
      </c>
      <c r="B861" s="168">
        <v>13906.68</v>
      </c>
      <c r="C861" s="24" t="s">
        <v>5192</v>
      </c>
      <c r="D861" s="76">
        <v>7857.0</v>
      </c>
      <c r="E861" s="208">
        <v>39435.0</v>
      </c>
      <c r="F861" s="168">
        <v>967300.0</v>
      </c>
      <c r="G861" s="209">
        <v>-79255.0</v>
      </c>
      <c r="H861" s="168">
        <v>210371.0</v>
      </c>
      <c r="I861" s="208">
        <v>66342.0</v>
      </c>
    </row>
    <row r="862">
      <c r="A862" s="24">
        <v>146.0</v>
      </c>
      <c r="B862" s="168">
        <v>-76591.88</v>
      </c>
      <c r="C862" s="24" t="s">
        <v>5193</v>
      </c>
      <c r="D862" s="76">
        <v>7858.0</v>
      </c>
      <c r="E862" s="208">
        <v>40444.0</v>
      </c>
      <c r="F862" s="168">
        <v>851454.0</v>
      </c>
      <c r="G862" s="209">
        <v>-91225.0</v>
      </c>
      <c r="H862" s="168">
        <v>738276.0</v>
      </c>
      <c r="I862" s="208">
        <v>71898.0</v>
      </c>
    </row>
    <row r="863">
      <c r="A863" s="24">
        <v>111.0</v>
      </c>
      <c r="B863" s="168">
        <v>27998.58</v>
      </c>
      <c r="C863" s="24" t="s">
        <v>5194</v>
      </c>
      <c r="D863" s="76">
        <v>7859.0</v>
      </c>
      <c r="E863" s="208">
        <v>-5611.0</v>
      </c>
      <c r="F863" s="168">
        <v>155794.0</v>
      </c>
      <c r="G863" s="209">
        <v>-13631.0</v>
      </c>
      <c r="H863" s="168">
        <v>580081.0</v>
      </c>
      <c r="I863" s="208">
        <v>-88096.0</v>
      </c>
    </row>
    <row r="864">
      <c r="A864" s="24">
        <v>103.0</v>
      </c>
      <c r="B864" s="168">
        <v>-12579.3</v>
      </c>
      <c r="C864" s="24" t="s">
        <v>5195</v>
      </c>
      <c r="D864" s="76">
        <v>7860.0</v>
      </c>
      <c r="E864" s="208">
        <v>94608.0</v>
      </c>
      <c r="F864" s="168">
        <v>889721.0</v>
      </c>
      <c r="G864" s="209">
        <v>33002.0</v>
      </c>
      <c r="H864" s="168">
        <v>689101.0</v>
      </c>
      <c r="I864" s="208">
        <v>24606.0</v>
      </c>
    </row>
    <row r="865">
      <c r="A865" s="24">
        <v>142.0</v>
      </c>
      <c r="B865" s="168">
        <v>-76123.07</v>
      </c>
      <c r="C865" s="24" t="s">
        <v>5196</v>
      </c>
      <c r="D865" s="76">
        <v>7861.0</v>
      </c>
      <c r="E865" s="208">
        <v>-27541.0</v>
      </c>
      <c r="F865" s="168">
        <v>241534.0</v>
      </c>
      <c r="G865" s="209">
        <v>-97240.0</v>
      </c>
      <c r="H865" s="168">
        <v>723731.0</v>
      </c>
      <c r="I865" s="208">
        <v>-85440.0</v>
      </c>
    </row>
    <row r="866">
      <c r="A866" s="24">
        <v>100.0</v>
      </c>
      <c r="B866" s="168">
        <v>-83899.32</v>
      </c>
      <c r="C866" s="24" t="s">
        <v>5197</v>
      </c>
      <c r="D866" s="76">
        <v>7862.0</v>
      </c>
      <c r="E866" s="208">
        <v>2111.0</v>
      </c>
      <c r="F866" s="168">
        <v>941583.0</v>
      </c>
      <c r="G866" s="209">
        <v>-79480.0</v>
      </c>
      <c r="H866" s="168">
        <v>149985.0</v>
      </c>
      <c r="I866" s="208">
        <v>51210.0</v>
      </c>
    </row>
    <row r="867">
      <c r="A867" s="24">
        <v>109.0</v>
      </c>
      <c r="B867" s="168">
        <v>57671.22</v>
      </c>
      <c r="C867" s="24" t="s">
        <v>5198</v>
      </c>
      <c r="D867" s="76">
        <v>7863.0</v>
      </c>
      <c r="E867" s="208">
        <v>56160.0</v>
      </c>
      <c r="F867" s="168">
        <v>402050.0</v>
      </c>
      <c r="G867" s="209">
        <v>54060.0</v>
      </c>
      <c r="H867" s="168">
        <v>466280.0</v>
      </c>
      <c r="I867" s="208">
        <v>24067.0</v>
      </c>
    </row>
    <row r="868">
      <c r="A868" s="24">
        <v>144.0</v>
      </c>
      <c r="B868" s="168">
        <v>14973.28</v>
      </c>
      <c r="C868" s="24" t="s">
        <v>5199</v>
      </c>
      <c r="D868" s="76">
        <v>7864.0</v>
      </c>
      <c r="E868" s="208">
        <v>72933.0</v>
      </c>
      <c r="F868" s="168">
        <v>247491.0</v>
      </c>
      <c r="G868" s="209">
        <v>-80000.0</v>
      </c>
      <c r="H868" s="168">
        <v>357956.0</v>
      </c>
      <c r="I868" s="208">
        <v>77279.0</v>
      </c>
    </row>
    <row r="869">
      <c r="A869" s="24">
        <v>133.0</v>
      </c>
      <c r="B869" s="168">
        <v>59803.22</v>
      </c>
      <c r="C869" s="24" t="s">
        <v>5200</v>
      </c>
      <c r="D869" s="76">
        <v>7865.0</v>
      </c>
      <c r="E869" s="208">
        <v>40941.0</v>
      </c>
      <c r="F869" s="168">
        <v>388270.0</v>
      </c>
      <c r="G869" s="209">
        <v>-36519.0</v>
      </c>
      <c r="H869" s="168">
        <v>307937.0</v>
      </c>
      <c r="I869" s="208">
        <v>-53814.0</v>
      </c>
    </row>
    <row r="870">
      <c r="A870" s="24">
        <v>134.0</v>
      </c>
      <c r="B870" s="168">
        <v>5389.81</v>
      </c>
      <c r="C870" s="24" t="s">
        <v>5201</v>
      </c>
      <c r="D870" s="76">
        <v>7866.0</v>
      </c>
      <c r="E870" s="208">
        <v>-14309.0</v>
      </c>
      <c r="F870" s="168">
        <v>778533.0</v>
      </c>
      <c r="G870" s="209">
        <v>-39093.0</v>
      </c>
      <c r="H870" s="168">
        <v>584039.0</v>
      </c>
      <c r="I870" s="208">
        <v>50741.0</v>
      </c>
    </row>
    <row r="871">
      <c r="A871" s="24">
        <v>123.0</v>
      </c>
      <c r="B871" s="168">
        <v>54494.16</v>
      </c>
      <c r="C871" s="24" t="s">
        <v>5202</v>
      </c>
      <c r="D871" s="76">
        <v>7867.0</v>
      </c>
      <c r="E871" s="208">
        <v>-12302.0</v>
      </c>
      <c r="F871" s="168">
        <v>443274.0</v>
      </c>
      <c r="G871" s="209">
        <v>45949.0</v>
      </c>
      <c r="H871" s="168">
        <v>359425.0</v>
      </c>
      <c r="I871" s="208">
        <v>-61851.0</v>
      </c>
    </row>
    <row r="872">
      <c r="A872" s="24">
        <v>106.0</v>
      </c>
      <c r="B872" s="168">
        <v>-85298.69</v>
      </c>
      <c r="C872" s="24" t="s">
        <v>5203</v>
      </c>
      <c r="D872" s="76">
        <v>7868.0</v>
      </c>
      <c r="E872" s="208">
        <v>-47611.0</v>
      </c>
      <c r="F872" s="168">
        <v>979542.0</v>
      </c>
      <c r="G872" s="209">
        <v>54670.0</v>
      </c>
      <c r="H872" s="168">
        <v>236414.0</v>
      </c>
      <c r="I872" s="208">
        <v>-54665.0</v>
      </c>
    </row>
    <row r="873">
      <c r="A873" s="24">
        <v>122.0</v>
      </c>
      <c r="B873" s="168">
        <v>-64727.22</v>
      </c>
      <c r="C873" s="24" t="s">
        <v>5204</v>
      </c>
      <c r="D873" s="76">
        <v>7869.0</v>
      </c>
      <c r="E873" s="208">
        <v>-1117.0</v>
      </c>
      <c r="F873" s="168">
        <v>373909.0</v>
      </c>
      <c r="G873" s="209">
        <v>83141.0</v>
      </c>
      <c r="H873" s="168">
        <v>875191.0</v>
      </c>
      <c r="I873" s="208">
        <v>-88544.0</v>
      </c>
    </row>
    <row r="874">
      <c r="A874" s="24">
        <v>143.0</v>
      </c>
      <c r="B874" s="168">
        <v>14762.5</v>
      </c>
      <c r="C874" s="24" t="s">
        <v>5205</v>
      </c>
      <c r="D874" s="76">
        <v>7870.0</v>
      </c>
      <c r="E874" s="208">
        <v>177.0</v>
      </c>
      <c r="F874" s="168">
        <v>736255.0</v>
      </c>
      <c r="G874" s="209">
        <v>-34563.0</v>
      </c>
      <c r="H874" s="168">
        <v>970860.0</v>
      </c>
      <c r="I874" s="208">
        <v>43861.0</v>
      </c>
    </row>
    <row r="875">
      <c r="A875" s="24">
        <v>131.0</v>
      </c>
      <c r="B875" s="168">
        <v>73202.75</v>
      </c>
      <c r="C875" s="24" t="s">
        <v>5206</v>
      </c>
      <c r="D875" s="76">
        <v>7871.0</v>
      </c>
      <c r="E875" s="208">
        <v>76680.0</v>
      </c>
      <c r="F875" s="168">
        <v>455691.0</v>
      </c>
      <c r="G875" s="209">
        <v>13059.0</v>
      </c>
      <c r="H875" s="168">
        <v>305516.0</v>
      </c>
      <c r="I875" s="208">
        <v>-4501.0</v>
      </c>
    </row>
    <row r="876">
      <c r="A876" s="24">
        <v>147.0</v>
      </c>
      <c r="B876" s="168">
        <v>96240.67</v>
      </c>
      <c r="C876" s="24" t="s">
        <v>5207</v>
      </c>
      <c r="D876" s="76">
        <v>7872.0</v>
      </c>
      <c r="E876" s="208">
        <v>-53822.0</v>
      </c>
      <c r="F876" s="168">
        <v>792987.0</v>
      </c>
      <c r="G876" s="209">
        <v>37814.0</v>
      </c>
      <c r="H876" s="168">
        <v>471349.0</v>
      </c>
      <c r="I876" s="208">
        <v>-79811.0</v>
      </c>
    </row>
    <row r="877">
      <c r="A877" s="24">
        <v>121.0</v>
      </c>
      <c r="B877" s="168">
        <v>-49777.76</v>
      </c>
      <c r="C877" s="24" t="s">
        <v>5208</v>
      </c>
      <c r="D877" s="76">
        <v>7873.0</v>
      </c>
      <c r="E877" s="208">
        <v>5749.0</v>
      </c>
      <c r="F877" s="168">
        <v>647877.0</v>
      </c>
      <c r="G877" s="209">
        <v>-55644.0</v>
      </c>
      <c r="H877" s="168">
        <v>773790.0</v>
      </c>
      <c r="I877" s="208">
        <v>67634.0</v>
      </c>
    </row>
    <row r="878">
      <c r="A878" s="24">
        <v>113.0</v>
      </c>
      <c r="B878" s="168">
        <v>98761.02</v>
      </c>
      <c r="C878" s="24" t="s">
        <v>5209</v>
      </c>
      <c r="D878" s="76">
        <v>7874.0</v>
      </c>
      <c r="E878" s="208">
        <v>63026.0</v>
      </c>
      <c r="F878" s="168">
        <v>649753.0</v>
      </c>
      <c r="G878" s="209">
        <v>-69473.0</v>
      </c>
      <c r="H878" s="168">
        <v>925550.0</v>
      </c>
      <c r="I878" s="208">
        <v>-84777.0</v>
      </c>
    </row>
    <row r="879">
      <c r="A879" s="24">
        <v>130.0</v>
      </c>
      <c r="B879" s="168">
        <v>94075.36</v>
      </c>
      <c r="C879" s="24" t="s">
        <v>5210</v>
      </c>
      <c r="D879" s="76">
        <v>7875.0</v>
      </c>
      <c r="E879" s="208">
        <v>74959.0</v>
      </c>
      <c r="F879" s="168">
        <v>812333.0</v>
      </c>
      <c r="G879" s="209">
        <v>74791.0</v>
      </c>
      <c r="H879" s="168">
        <v>216490.0</v>
      </c>
      <c r="I879" s="208">
        <v>96490.0</v>
      </c>
    </row>
    <row r="880">
      <c r="A880" s="24">
        <v>112.0</v>
      </c>
      <c r="B880" s="168">
        <v>-20920.89</v>
      </c>
      <c r="C880" s="24" t="s">
        <v>5211</v>
      </c>
      <c r="D880" s="76">
        <v>7876.0</v>
      </c>
      <c r="E880" s="208">
        <v>-95757.0</v>
      </c>
      <c r="F880" s="168">
        <v>712126.0</v>
      </c>
      <c r="G880" s="209">
        <v>7907.0</v>
      </c>
      <c r="H880" s="168">
        <v>487039.0</v>
      </c>
      <c r="I880" s="208">
        <v>82700.0</v>
      </c>
    </row>
    <row r="881">
      <c r="A881" s="24">
        <v>110.0</v>
      </c>
      <c r="B881" s="168">
        <v>66856.31</v>
      </c>
      <c r="C881" s="24" t="s">
        <v>5212</v>
      </c>
      <c r="D881" s="76">
        <v>7877.0</v>
      </c>
      <c r="E881" s="208">
        <v>76732.0</v>
      </c>
      <c r="F881" s="168">
        <v>124302.0</v>
      </c>
      <c r="G881" s="209">
        <v>-19734.0</v>
      </c>
      <c r="H881" s="168">
        <v>332709.0</v>
      </c>
      <c r="I881" s="208">
        <v>-71435.0</v>
      </c>
    </row>
    <row r="882">
      <c r="A882" s="24">
        <v>138.0</v>
      </c>
      <c r="B882" s="168">
        <v>36896.12</v>
      </c>
      <c r="C882" s="24" t="s">
        <v>5213</v>
      </c>
      <c r="D882" s="76">
        <v>7878.0</v>
      </c>
      <c r="E882" s="208">
        <v>-24055.0</v>
      </c>
      <c r="F882" s="168">
        <v>962579.0</v>
      </c>
      <c r="G882" s="209">
        <v>58776.0</v>
      </c>
      <c r="H882" s="168">
        <v>828800.0</v>
      </c>
      <c r="I882" s="208">
        <v>-5451.0</v>
      </c>
    </row>
    <row r="883">
      <c r="A883" s="24">
        <v>120.0</v>
      </c>
      <c r="B883" s="168">
        <v>57869.09</v>
      </c>
      <c r="C883" s="24" t="s">
        <v>5214</v>
      </c>
      <c r="D883" s="76">
        <v>7879.0</v>
      </c>
      <c r="E883" s="208">
        <v>74441.0</v>
      </c>
      <c r="F883" s="168">
        <v>818904.0</v>
      </c>
      <c r="G883" s="209">
        <v>-25291.0</v>
      </c>
      <c r="H883" s="168">
        <v>269138.0</v>
      </c>
      <c r="I883" s="208">
        <v>-94494.0</v>
      </c>
    </row>
    <row r="884">
      <c r="A884" s="24">
        <v>115.0</v>
      </c>
      <c r="B884" s="168">
        <v>-25587.88</v>
      </c>
      <c r="C884" s="24" t="s">
        <v>5215</v>
      </c>
      <c r="D884" s="76">
        <v>7880.0</v>
      </c>
      <c r="E884" s="208">
        <v>-89630.0</v>
      </c>
      <c r="F884" s="168">
        <v>410300.0</v>
      </c>
      <c r="G884" s="209">
        <v>18331.0</v>
      </c>
      <c r="H884" s="168">
        <v>187674.0</v>
      </c>
      <c r="I884" s="208">
        <v>-94512.0</v>
      </c>
    </row>
    <row r="885">
      <c r="A885" s="24">
        <v>141.0</v>
      </c>
      <c r="B885" s="168">
        <v>-67850.72</v>
      </c>
      <c r="C885" s="24" t="s">
        <v>5216</v>
      </c>
      <c r="D885" s="76">
        <v>7881.0</v>
      </c>
      <c r="E885" s="208">
        <v>-27409.0</v>
      </c>
      <c r="F885" s="168">
        <v>466816.0</v>
      </c>
      <c r="G885" s="209">
        <v>-97727.0</v>
      </c>
      <c r="H885" s="168">
        <v>227807.0</v>
      </c>
      <c r="I885" s="208">
        <v>74604.0</v>
      </c>
    </row>
    <row r="886">
      <c r="A886" s="24">
        <v>137.0</v>
      </c>
      <c r="B886" s="168">
        <v>40110.13</v>
      </c>
      <c r="C886" s="24" t="s">
        <v>5214</v>
      </c>
      <c r="D886" s="76">
        <v>7882.0</v>
      </c>
      <c r="E886" s="208">
        <v>86354.0</v>
      </c>
      <c r="F886" s="168">
        <v>942672.0</v>
      </c>
      <c r="G886" s="209">
        <v>-17783.0</v>
      </c>
      <c r="H886" s="168">
        <v>763183.0</v>
      </c>
      <c r="I886" s="208">
        <v>56967.0</v>
      </c>
    </row>
    <row r="887">
      <c r="A887" s="24">
        <v>108.0</v>
      </c>
      <c r="B887" s="168">
        <v>4247.95</v>
      </c>
      <c r="C887" s="24" t="s">
        <v>5217</v>
      </c>
      <c r="D887" s="76">
        <v>7883.0</v>
      </c>
      <c r="E887" s="208">
        <v>-4645.0</v>
      </c>
      <c r="F887" s="168">
        <v>735428.0</v>
      </c>
      <c r="G887" s="209">
        <v>-73813.0</v>
      </c>
      <c r="H887" s="168">
        <v>912805.0</v>
      </c>
      <c r="I887" s="208">
        <v>-40242.0</v>
      </c>
    </row>
    <row r="888">
      <c r="A888" s="24">
        <v>116.0</v>
      </c>
      <c r="B888" s="168">
        <v>-63201.48</v>
      </c>
      <c r="C888" s="24" t="s">
        <v>5218</v>
      </c>
      <c r="D888" s="76">
        <v>7884.0</v>
      </c>
      <c r="E888" s="208">
        <v>56681.0</v>
      </c>
      <c r="F888" s="168">
        <v>719906.0</v>
      </c>
      <c r="G888" s="209">
        <v>75683.0</v>
      </c>
      <c r="H888" s="168">
        <v>671974.0</v>
      </c>
      <c r="I888" s="208">
        <v>19424.0</v>
      </c>
    </row>
    <row r="889">
      <c r="A889" s="24">
        <v>126.0</v>
      </c>
      <c r="B889" s="168">
        <v>64080.74</v>
      </c>
      <c r="C889" s="24" t="s">
        <v>5219</v>
      </c>
      <c r="D889" s="76">
        <v>7885.0</v>
      </c>
      <c r="E889" s="208">
        <v>-60866.0</v>
      </c>
      <c r="F889" s="168">
        <v>961213.0</v>
      </c>
      <c r="G889" s="209">
        <v>40234.0</v>
      </c>
      <c r="H889" s="168">
        <v>845174.0</v>
      </c>
      <c r="I889" s="208">
        <v>-5343.0</v>
      </c>
    </row>
    <row r="890">
      <c r="A890" s="24">
        <v>139.0</v>
      </c>
      <c r="B890" s="168">
        <v>-54438.65</v>
      </c>
      <c r="C890" s="24" t="s">
        <v>5220</v>
      </c>
      <c r="D890" s="76">
        <v>7886.0</v>
      </c>
      <c r="E890" s="208">
        <v>50110.0</v>
      </c>
      <c r="F890" s="168">
        <v>774195.0</v>
      </c>
      <c r="G890" s="209">
        <v>-11589.0</v>
      </c>
      <c r="H890" s="168">
        <v>994224.0</v>
      </c>
      <c r="I890" s="208">
        <v>31683.0</v>
      </c>
    </row>
    <row r="891">
      <c r="A891" s="24">
        <v>128.0</v>
      </c>
      <c r="B891" s="168">
        <v>19584.15</v>
      </c>
      <c r="C891" s="24" t="s">
        <v>5221</v>
      </c>
      <c r="D891" s="76">
        <v>7887.0</v>
      </c>
      <c r="E891" s="208">
        <v>32165.0</v>
      </c>
      <c r="F891" s="168">
        <v>158410.0</v>
      </c>
      <c r="G891" s="209">
        <v>70820.0</v>
      </c>
      <c r="H891" s="168">
        <v>230846.0</v>
      </c>
      <c r="I891" s="208">
        <v>45098.0</v>
      </c>
    </row>
    <row r="892">
      <c r="A892" s="24">
        <v>140.0</v>
      </c>
      <c r="B892" s="168">
        <v>-35911.56</v>
      </c>
      <c r="C892" s="24" t="s">
        <v>5222</v>
      </c>
      <c r="D892" s="76">
        <v>7888.0</v>
      </c>
      <c r="E892" s="208">
        <v>66885.0</v>
      </c>
      <c r="F892" s="168">
        <v>729221.0</v>
      </c>
      <c r="G892" s="209">
        <v>-75105.0</v>
      </c>
      <c r="H892" s="168">
        <v>886202.0</v>
      </c>
      <c r="I892" s="208">
        <v>75168.0</v>
      </c>
    </row>
    <row r="893">
      <c r="A893" s="24">
        <v>119.0</v>
      </c>
      <c r="B893" s="168">
        <v>-71368.12</v>
      </c>
      <c r="C893" s="24" t="s">
        <v>5223</v>
      </c>
      <c r="D893" s="76">
        <v>7889.0</v>
      </c>
      <c r="E893" s="208">
        <v>-57230.0</v>
      </c>
      <c r="F893" s="168">
        <v>403026.0</v>
      </c>
      <c r="G893" s="209">
        <v>-16311.0</v>
      </c>
      <c r="H893" s="168">
        <v>396813.0</v>
      </c>
      <c r="I893" s="208">
        <v>-69383.0</v>
      </c>
    </row>
    <row r="894">
      <c r="A894" s="24">
        <v>135.0</v>
      </c>
      <c r="B894" s="168">
        <v>72084.92</v>
      </c>
      <c r="C894" s="24" t="s">
        <v>5224</v>
      </c>
      <c r="D894" s="76">
        <v>7890.0</v>
      </c>
      <c r="E894" s="208">
        <v>-16061.0</v>
      </c>
      <c r="F894" s="168">
        <v>715889.0</v>
      </c>
      <c r="G894" s="209">
        <v>-53327.0</v>
      </c>
      <c r="H894" s="168">
        <v>829162.0</v>
      </c>
      <c r="I894" s="208">
        <v>-42567.0</v>
      </c>
    </row>
    <row r="895">
      <c r="A895" s="24">
        <v>124.0</v>
      </c>
      <c r="B895" s="168">
        <v>-26127.38</v>
      </c>
      <c r="C895" s="24" t="s">
        <v>5225</v>
      </c>
      <c r="D895" s="76">
        <v>7891.0</v>
      </c>
      <c r="E895" s="208">
        <v>-61269.0</v>
      </c>
      <c r="F895" s="168">
        <v>344859.0</v>
      </c>
      <c r="G895" s="209">
        <v>32960.0</v>
      </c>
      <c r="H895" s="168">
        <v>105491.0</v>
      </c>
      <c r="I895" s="208">
        <v>11587.0</v>
      </c>
    </row>
    <row r="896">
      <c r="A896" s="24">
        <v>149.0</v>
      </c>
      <c r="B896" s="168">
        <v>57644.03</v>
      </c>
      <c r="C896" s="24" t="s">
        <v>5226</v>
      </c>
      <c r="D896" s="76">
        <v>7892.0</v>
      </c>
      <c r="E896" s="208">
        <v>29025.0</v>
      </c>
      <c r="F896" s="168">
        <v>560206.0</v>
      </c>
      <c r="G896" s="209">
        <v>-72168.0</v>
      </c>
      <c r="H896" s="168">
        <v>711169.0</v>
      </c>
      <c r="I896" s="208">
        <v>78598.0</v>
      </c>
    </row>
    <row r="897">
      <c r="A897" s="24">
        <v>114.0</v>
      </c>
      <c r="B897" s="168">
        <v>62824.12</v>
      </c>
      <c r="C897" s="24" t="s">
        <v>5227</v>
      </c>
      <c r="D897" s="76">
        <v>7893.0</v>
      </c>
      <c r="E897" s="208">
        <v>24626.0</v>
      </c>
      <c r="F897" s="168">
        <v>762103.0</v>
      </c>
      <c r="G897" s="209">
        <v>-83906.0</v>
      </c>
      <c r="H897" s="168">
        <v>908559.0</v>
      </c>
      <c r="I897" s="208">
        <v>79030.0</v>
      </c>
    </row>
    <row r="898">
      <c r="A898" s="24">
        <v>101.0</v>
      </c>
      <c r="B898" s="168">
        <v>62758.14</v>
      </c>
      <c r="C898" s="24" t="s">
        <v>5228</v>
      </c>
      <c r="D898" s="76">
        <v>7894.0</v>
      </c>
      <c r="E898" s="208">
        <v>65264.0</v>
      </c>
      <c r="F898" s="168">
        <v>942541.0</v>
      </c>
      <c r="G898" s="209">
        <v>-96841.0</v>
      </c>
      <c r="H898" s="168">
        <v>498973.0</v>
      </c>
      <c r="I898" s="208">
        <v>2281.0</v>
      </c>
    </row>
    <row r="899">
      <c r="A899" s="24">
        <v>105.0</v>
      </c>
      <c r="B899" s="168">
        <v>33839.97</v>
      </c>
      <c r="C899" s="24" t="s">
        <v>5229</v>
      </c>
      <c r="D899" s="76">
        <v>7895.0</v>
      </c>
      <c r="E899" s="208">
        <v>-17360.0</v>
      </c>
      <c r="F899" s="168">
        <v>245500.0</v>
      </c>
      <c r="G899" s="209">
        <v>-1193.0</v>
      </c>
      <c r="H899" s="168">
        <v>947627.0</v>
      </c>
      <c r="I899" s="208">
        <v>-49930.0</v>
      </c>
    </row>
    <row r="900">
      <c r="A900" s="24">
        <v>117.0</v>
      </c>
      <c r="B900" s="168">
        <v>81854.12</v>
      </c>
      <c r="C900" s="24" t="s">
        <v>5230</v>
      </c>
      <c r="D900" s="76">
        <v>7896.0</v>
      </c>
      <c r="E900" s="208">
        <v>592.0</v>
      </c>
      <c r="F900" s="168">
        <v>151894.0</v>
      </c>
      <c r="G900" s="209">
        <v>73549.0</v>
      </c>
      <c r="H900" s="168">
        <v>778009.0</v>
      </c>
      <c r="I900" s="208">
        <v>55945.0</v>
      </c>
    </row>
    <row r="901">
      <c r="A901" s="24">
        <v>107.0</v>
      </c>
      <c r="B901" s="168">
        <v>446.38</v>
      </c>
      <c r="C901" s="24" t="s">
        <v>5231</v>
      </c>
      <c r="D901" s="76">
        <v>7897.0</v>
      </c>
      <c r="E901" s="208">
        <v>-83855.0</v>
      </c>
      <c r="F901" s="168">
        <v>932731.0</v>
      </c>
      <c r="G901" s="209">
        <v>-75700.0</v>
      </c>
      <c r="H901" s="168">
        <v>872301.0</v>
      </c>
      <c r="I901" s="208">
        <v>-79799.0</v>
      </c>
    </row>
    <row r="902">
      <c r="A902" s="24">
        <v>102.0</v>
      </c>
      <c r="B902" s="168">
        <v>22111.16</v>
      </c>
      <c r="C902" s="24" t="s">
        <v>5232</v>
      </c>
      <c r="D902" s="76">
        <v>7898.0</v>
      </c>
      <c r="E902" s="208">
        <v>-74538.0</v>
      </c>
      <c r="F902" s="168">
        <v>538185.0</v>
      </c>
      <c r="G902" s="209">
        <v>-99125.0</v>
      </c>
      <c r="H902" s="168">
        <v>516950.0</v>
      </c>
      <c r="I902" s="208">
        <v>36939.0</v>
      </c>
    </row>
    <row r="903">
      <c r="A903" s="24">
        <v>132.0</v>
      </c>
      <c r="B903" s="168">
        <v>20397.69</v>
      </c>
      <c r="C903" s="24" t="s">
        <v>5233</v>
      </c>
      <c r="D903" s="76">
        <v>7899.0</v>
      </c>
      <c r="E903" s="208">
        <v>83104.0</v>
      </c>
      <c r="F903" s="168">
        <v>198354.0</v>
      </c>
      <c r="G903" s="209">
        <v>8979.0</v>
      </c>
      <c r="H903" s="168">
        <v>834314.0</v>
      </c>
      <c r="I903" s="208">
        <v>-80087.0</v>
      </c>
    </row>
    <row r="904">
      <c r="A904" s="24">
        <v>145.0</v>
      </c>
      <c r="B904" s="168">
        <v>11495.79</v>
      </c>
      <c r="C904" s="24" t="s">
        <v>5185</v>
      </c>
      <c r="D904" s="76">
        <v>7900.0</v>
      </c>
      <c r="E904" s="208">
        <v>-12655.0</v>
      </c>
      <c r="F904" s="168">
        <v>769191.0</v>
      </c>
      <c r="G904" s="209">
        <v>74356.0</v>
      </c>
      <c r="H904" s="168">
        <v>122215.0</v>
      </c>
      <c r="I904" s="208">
        <v>-3658.0</v>
      </c>
    </row>
    <row r="905">
      <c r="A905" s="24">
        <v>148.0</v>
      </c>
      <c r="B905" s="168">
        <v>-60797.69</v>
      </c>
      <c r="C905" s="24" t="s">
        <v>5186</v>
      </c>
      <c r="D905" s="76">
        <v>7901.0</v>
      </c>
      <c r="E905" s="208">
        <v>-60977.0</v>
      </c>
      <c r="F905" s="168">
        <v>138895.0</v>
      </c>
      <c r="G905" s="209">
        <v>17488.0</v>
      </c>
      <c r="H905" s="168">
        <v>725821.0</v>
      </c>
      <c r="I905" s="208">
        <v>-65673.0</v>
      </c>
    </row>
    <row r="906">
      <c r="A906" s="24">
        <v>136.0</v>
      </c>
      <c r="B906" s="168">
        <v>-45577.67</v>
      </c>
      <c r="C906" s="24" t="s">
        <v>5187</v>
      </c>
      <c r="D906" s="76">
        <v>7902.0</v>
      </c>
      <c r="E906" s="208">
        <v>55373.0</v>
      </c>
      <c r="F906" s="168">
        <v>156939.0</v>
      </c>
      <c r="G906" s="209">
        <v>-77126.0</v>
      </c>
      <c r="H906" s="168">
        <v>446839.0</v>
      </c>
      <c r="I906" s="208">
        <v>-71297.0</v>
      </c>
    </row>
    <row r="907">
      <c r="A907" s="24">
        <v>104.0</v>
      </c>
      <c r="B907" s="168">
        <v>-45418.12</v>
      </c>
      <c r="C907" s="24" t="s">
        <v>5188</v>
      </c>
      <c r="D907" s="76">
        <v>7903.0</v>
      </c>
      <c r="E907" s="208">
        <v>-87687.0</v>
      </c>
      <c r="F907" s="168">
        <v>796708.0</v>
      </c>
      <c r="G907" s="209">
        <v>72767.0</v>
      </c>
      <c r="H907" s="168">
        <v>317920.0</v>
      </c>
      <c r="I907" s="208">
        <v>-40295.0</v>
      </c>
    </row>
    <row r="908">
      <c r="A908" s="24">
        <v>129.0</v>
      </c>
      <c r="B908" s="168">
        <v>-97481.17</v>
      </c>
      <c r="C908" s="24" t="s">
        <v>5189</v>
      </c>
      <c r="D908" s="76">
        <v>7904.0</v>
      </c>
      <c r="E908" s="208">
        <v>-21247.0</v>
      </c>
      <c r="F908" s="168">
        <v>272758.0</v>
      </c>
      <c r="G908" s="209">
        <v>58238.0</v>
      </c>
      <c r="H908" s="168">
        <v>906961.0</v>
      </c>
      <c r="I908" s="208">
        <v>-33708.0</v>
      </c>
    </row>
    <row r="909">
      <c r="A909" s="24">
        <v>118.0</v>
      </c>
      <c r="B909" s="168">
        <v>-878.0</v>
      </c>
      <c r="C909" s="24" t="s">
        <v>5190</v>
      </c>
      <c r="D909" s="76">
        <v>7905.0</v>
      </c>
      <c r="E909" s="208">
        <v>87294.0</v>
      </c>
      <c r="F909" s="168">
        <v>130941.0</v>
      </c>
      <c r="G909" s="209">
        <v>64276.0</v>
      </c>
      <c r="H909" s="168">
        <v>585438.0</v>
      </c>
      <c r="I909" s="208">
        <v>-1328.0</v>
      </c>
    </row>
    <row r="910">
      <c r="A910" s="24">
        <v>127.0</v>
      </c>
      <c r="B910" s="168">
        <v>-11158.48</v>
      </c>
      <c r="C910" s="24" t="s">
        <v>5191</v>
      </c>
      <c r="D910" s="76">
        <v>7906.0</v>
      </c>
      <c r="E910" s="208">
        <v>-90973.0</v>
      </c>
      <c r="F910" s="168">
        <v>231375.0</v>
      </c>
      <c r="G910" s="209">
        <v>87031.0</v>
      </c>
      <c r="H910" s="168">
        <v>142579.0</v>
      </c>
      <c r="I910" s="208">
        <v>31519.0</v>
      </c>
    </row>
    <row r="911">
      <c r="A911" s="24">
        <v>125.0</v>
      </c>
      <c r="B911" s="168">
        <v>-82946.42</v>
      </c>
      <c r="C911" s="24" t="s">
        <v>5192</v>
      </c>
      <c r="D911" s="76">
        <v>7907.0</v>
      </c>
      <c r="E911" s="208">
        <v>68326.0</v>
      </c>
      <c r="F911" s="168">
        <v>321749.0</v>
      </c>
      <c r="G911" s="209">
        <v>-7973.0</v>
      </c>
      <c r="H911" s="168">
        <v>911346.0</v>
      </c>
      <c r="I911" s="208">
        <v>-70624.0</v>
      </c>
    </row>
    <row r="912">
      <c r="A912" s="24">
        <v>146.0</v>
      </c>
      <c r="B912" s="168">
        <v>-38904.46</v>
      </c>
      <c r="C912" s="24" t="s">
        <v>5193</v>
      </c>
      <c r="D912" s="76">
        <v>7908.0</v>
      </c>
      <c r="E912" s="208">
        <v>10644.0</v>
      </c>
      <c r="F912" s="168">
        <v>400957.0</v>
      </c>
      <c r="G912" s="209">
        <v>-90643.0</v>
      </c>
      <c r="H912" s="168">
        <v>443932.0</v>
      </c>
      <c r="I912" s="208">
        <v>70251.0</v>
      </c>
    </row>
    <row r="913">
      <c r="A913" s="24">
        <v>111.0</v>
      </c>
      <c r="B913" s="168">
        <v>44019.27</v>
      </c>
      <c r="C913" s="24" t="s">
        <v>5194</v>
      </c>
      <c r="D913" s="76">
        <v>7909.0</v>
      </c>
      <c r="E913" s="208">
        <v>38647.0</v>
      </c>
      <c r="F913" s="168">
        <v>673221.0</v>
      </c>
      <c r="G913" s="209">
        <v>75204.0</v>
      </c>
      <c r="H913" s="168">
        <v>325779.0</v>
      </c>
      <c r="I913" s="208">
        <v>3016.0</v>
      </c>
    </row>
    <row r="914">
      <c r="A914" s="24">
        <v>103.0</v>
      </c>
      <c r="B914" s="168">
        <v>99564.68</v>
      </c>
      <c r="C914" s="24" t="s">
        <v>5195</v>
      </c>
      <c r="D914" s="76">
        <v>7910.0</v>
      </c>
      <c r="E914" s="208">
        <v>86734.0</v>
      </c>
      <c r="F914" s="168">
        <v>152779.0</v>
      </c>
      <c r="G914" s="209">
        <v>29472.0</v>
      </c>
      <c r="H914" s="168">
        <v>434775.0</v>
      </c>
      <c r="I914" s="208">
        <v>-62620.0</v>
      </c>
    </row>
    <row r="915">
      <c r="A915" s="24">
        <v>142.0</v>
      </c>
      <c r="B915" s="168">
        <v>-68841.94</v>
      </c>
      <c r="C915" s="24" t="s">
        <v>5196</v>
      </c>
      <c r="D915" s="76">
        <v>7911.0</v>
      </c>
      <c r="E915" s="208">
        <v>-57985.0</v>
      </c>
      <c r="F915" s="168">
        <v>217322.0</v>
      </c>
      <c r="G915" s="209">
        <v>60796.0</v>
      </c>
      <c r="H915" s="168">
        <v>960772.0</v>
      </c>
      <c r="I915" s="208">
        <v>-91925.0</v>
      </c>
    </row>
    <row r="916">
      <c r="A916" s="24">
        <v>100.0</v>
      </c>
      <c r="B916" s="168">
        <v>-857.88</v>
      </c>
      <c r="C916" s="24" t="s">
        <v>5197</v>
      </c>
      <c r="D916" s="76">
        <v>7912.0</v>
      </c>
      <c r="E916" s="208">
        <v>-38741.0</v>
      </c>
      <c r="F916" s="168">
        <v>974504.0</v>
      </c>
      <c r="G916" s="209">
        <v>-54212.0</v>
      </c>
      <c r="H916" s="168">
        <v>575449.0</v>
      </c>
      <c r="I916" s="208">
        <v>84145.0</v>
      </c>
    </row>
    <row r="917">
      <c r="A917" s="24">
        <v>109.0</v>
      </c>
      <c r="B917" s="168">
        <v>-88079.47</v>
      </c>
      <c r="C917" s="24" t="s">
        <v>5198</v>
      </c>
      <c r="D917" s="76">
        <v>7913.0</v>
      </c>
      <c r="E917" s="208">
        <v>64821.0</v>
      </c>
      <c r="F917" s="168">
        <v>268484.0</v>
      </c>
      <c r="G917" s="209">
        <v>54889.0</v>
      </c>
      <c r="H917" s="168">
        <v>594177.0</v>
      </c>
      <c r="I917" s="208">
        <v>33153.0</v>
      </c>
    </row>
    <row r="918">
      <c r="A918" s="24">
        <v>144.0</v>
      </c>
      <c r="B918" s="168">
        <v>-62028.79</v>
      </c>
      <c r="C918" s="24" t="s">
        <v>5199</v>
      </c>
      <c r="D918" s="76">
        <v>7914.0</v>
      </c>
      <c r="E918" s="208">
        <v>66975.0</v>
      </c>
      <c r="F918" s="168">
        <v>373114.0</v>
      </c>
      <c r="G918" s="209">
        <v>-65792.0</v>
      </c>
      <c r="H918" s="168">
        <v>871124.0</v>
      </c>
      <c r="I918" s="208">
        <v>73544.0</v>
      </c>
    </row>
    <row r="919">
      <c r="A919" s="24">
        <v>133.0</v>
      </c>
      <c r="B919" s="168">
        <v>8921.18</v>
      </c>
      <c r="C919" s="24" t="s">
        <v>5200</v>
      </c>
      <c r="D919" s="76">
        <v>7915.0</v>
      </c>
      <c r="E919" s="208">
        <v>-43018.0</v>
      </c>
      <c r="F919" s="168">
        <v>985928.0</v>
      </c>
      <c r="G919" s="209">
        <v>31556.0</v>
      </c>
      <c r="H919" s="168">
        <v>814098.0</v>
      </c>
      <c r="I919" s="208">
        <v>-65318.0</v>
      </c>
    </row>
    <row r="920">
      <c r="A920" s="24">
        <v>134.0</v>
      </c>
      <c r="B920" s="168">
        <v>-92604.74</v>
      </c>
      <c r="C920" s="24" t="s">
        <v>5201</v>
      </c>
      <c r="D920" s="76">
        <v>7916.0</v>
      </c>
      <c r="E920" s="208">
        <v>9834.0</v>
      </c>
      <c r="F920" s="168">
        <v>396505.0</v>
      </c>
      <c r="G920" s="209">
        <v>85273.0</v>
      </c>
      <c r="H920" s="168">
        <v>519264.0</v>
      </c>
      <c r="I920" s="208">
        <v>-37558.0</v>
      </c>
    </row>
    <row r="921">
      <c r="A921" s="24">
        <v>123.0</v>
      </c>
      <c r="B921" s="168">
        <v>-20128.98</v>
      </c>
      <c r="C921" s="24" t="s">
        <v>5202</v>
      </c>
      <c r="D921" s="76">
        <v>7917.0</v>
      </c>
      <c r="E921" s="208">
        <v>-32464.0</v>
      </c>
      <c r="F921" s="168">
        <v>820257.0</v>
      </c>
      <c r="G921" s="209">
        <v>699.0</v>
      </c>
      <c r="H921" s="168">
        <v>823248.0</v>
      </c>
      <c r="I921" s="208">
        <v>91075.0</v>
      </c>
    </row>
    <row r="922">
      <c r="A922" s="24">
        <v>106.0</v>
      </c>
      <c r="B922" s="168">
        <v>72580.4</v>
      </c>
      <c r="C922" s="24" t="s">
        <v>5203</v>
      </c>
      <c r="D922" s="76">
        <v>7918.0</v>
      </c>
      <c r="E922" s="208">
        <v>73970.0</v>
      </c>
      <c r="F922" s="168">
        <v>212600.0</v>
      </c>
      <c r="G922" s="209">
        <v>-66181.0</v>
      </c>
      <c r="H922" s="168">
        <v>136808.0</v>
      </c>
      <c r="I922" s="208">
        <v>-38445.0</v>
      </c>
    </row>
    <row r="923">
      <c r="A923" s="24">
        <v>122.0</v>
      </c>
      <c r="B923" s="168">
        <v>-44379.32</v>
      </c>
      <c r="C923" s="24" t="s">
        <v>5204</v>
      </c>
      <c r="D923" s="76">
        <v>7919.0</v>
      </c>
      <c r="E923" s="208">
        <v>38832.0</v>
      </c>
      <c r="F923" s="168">
        <v>357082.0</v>
      </c>
      <c r="G923" s="209">
        <v>37121.0</v>
      </c>
      <c r="H923" s="168">
        <v>494330.0</v>
      </c>
      <c r="I923" s="208">
        <v>-908.0</v>
      </c>
    </row>
    <row r="924">
      <c r="A924" s="24">
        <v>143.0</v>
      </c>
      <c r="B924" s="168">
        <v>-62541.05</v>
      </c>
      <c r="C924" s="24" t="s">
        <v>5205</v>
      </c>
      <c r="D924" s="76">
        <v>7920.0</v>
      </c>
      <c r="E924" s="208">
        <v>49283.0</v>
      </c>
      <c r="F924" s="168">
        <v>229623.0</v>
      </c>
      <c r="G924" s="209">
        <v>-92313.0</v>
      </c>
      <c r="H924" s="168">
        <v>234181.0</v>
      </c>
      <c r="I924" s="208">
        <v>96821.0</v>
      </c>
    </row>
    <row r="925">
      <c r="A925" s="24">
        <v>131.0</v>
      </c>
      <c r="B925" s="168">
        <v>79284.59</v>
      </c>
      <c r="C925" s="24" t="s">
        <v>5206</v>
      </c>
      <c r="D925" s="76">
        <v>7921.0</v>
      </c>
      <c r="E925" s="208">
        <v>2507.0</v>
      </c>
      <c r="F925" s="168">
        <v>669055.0</v>
      </c>
      <c r="G925" s="209">
        <v>-72741.0</v>
      </c>
      <c r="H925" s="168">
        <v>806107.0</v>
      </c>
      <c r="I925" s="208">
        <v>-55093.0</v>
      </c>
    </row>
    <row r="926">
      <c r="A926" s="24">
        <v>147.0</v>
      </c>
      <c r="B926" s="168">
        <v>42331.5</v>
      </c>
      <c r="C926" s="24" t="s">
        <v>5207</v>
      </c>
      <c r="D926" s="76">
        <v>7922.0</v>
      </c>
      <c r="E926" s="208">
        <v>31608.0</v>
      </c>
      <c r="F926" s="168">
        <v>916933.0</v>
      </c>
      <c r="G926" s="209">
        <v>15329.0</v>
      </c>
      <c r="H926" s="168">
        <v>916650.0</v>
      </c>
      <c r="I926" s="208">
        <v>49341.0</v>
      </c>
    </row>
    <row r="927">
      <c r="A927" s="24">
        <v>121.0</v>
      </c>
      <c r="B927" s="168">
        <v>21657.99</v>
      </c>
      <c r="C927" s="24" t="s">
        <v>5208</v>
      </c>
      <c r="D927" s="76">
        <v>7923.0</v>
      </c>
      <c r="E927" s="208">
        <v>39922.0</v>
      </c>
      <c r="F927" s="168">
        <v>852784.0</v>
      </c>
      <c r="G927" s="209">
        <v>84089.0</v>
      </c>
      <c r="H927" s="168">
        <v>246919.0</v>
      </c>
      <c r="I927" s="208">
        <v>25911.0</v>
      </c>
    </row>
    <row r="928">
      <c r="A928" s="24">
        <v>113.0</v>
      </c>
      <c r="B928" s="168">
        <v>-85713.5</v>
      </c>
      <c r="C928" s="24" t="s">
        <v>5209</v>
      </c>
      <c r="D928" s="76">
        <v>7924.0</v>
      </c>
      <c r="E928" s="208">
        <v>46939.0</v>
      </c>
      <c r="F928" s="168">
        <v>764249.0</v>
      </c>
      <c r="G928" s="209">
        <v>39141.0</v>
      </c>
      <c r="H928" s="168">
        <v>489814.0</v>
      </c>
      <c r="I928" s="208">
        <v>6924.0</v>
      </c>
    </row>
    <row r="929">
      <c r="A929" s="24">
        <v>130.0</v>
      </c>
      <c r="B929" s="168">
        <v>-36500.22</v>
      </c>
      <c r="C929" s="24" t="s">
        <v>5210</v>
      </c>
      <c r="D929" s="76">
        <v>7925.0</v>
      </c>
      <c r="E929" s="208">
        <v>94902.0</v>
      </c>
      <c r="F929" s="168">
        <v>168630.0</v>
      </c>
      <c r="G929" s="209">
        <v>-76651.0</v>
      </c>
      <c r="H929" s="168">
        <v>527192.0</v>
      </c>
      <c r="I929" s="208">
        <v>86514.0</v>
      </c>
    </row>
    <row r="930">
      <c r="A930" s="24">
        <v>112.0</v>
      </c>
      <c r="B930" s="168">
        <v>92594.99</v>
      </c>
      <c r="C930" s="24" t="s">
        <v>5211</v>
      </c>
      <c r="D930" s="76">
        <v>7926.0</v>
      </c>
      <c r="E930" s="208">
        <v>61938.0</v>
      </c>
      <c r="F930" s="168">
        <v>312709.0</v>
      </c>
      <c r="G930" s="209">
        <v>-28279.0</v>
      </c>
      <c r="H930" s="168">
        <v>456574.0</v>
      </c>
      <c r="I930" s="208">
        <v>-78056.0</v>
      </c>
    </row>
    <row r="931">
      <c r="A931" s="24">
        <v>110.0</v>
      </c>
      <c r="B931" s="168">
        <v>-67199.05</v>
      </c>
      <c r="C931" s="24" t="s">
        <v>5212</v>
      </c>
      <c r="D931" s="76">
        <v>7927.0</v>
      </c>
      <c r="E931" s="208">
        <v>74558.0</v>
      </c>
      <c r="F931" s="168">
        <v>884892.0</v>
      </c>
      <c r="G931" s="209">
        <v>93715.0</v>
      </c>
      <c r="H931" s="168">
        <v>842078.0</v>
      </c>
      <c r="I931" s="208">
        <v>-28734.0</v>
      </c>
    </row>
    <row r="932">
      <c r="A932" s="24">
        <v>138.0</v>
      </c>
      <c r="B932" s="168">
        <v>-5554.15</v>
      </c>
      <c r="C932" s="24" t="s">
        <v>5213</v>
      </c>
      <c r="D932" s="76">
        <v>7928.0</v>
      </c>
      <c r="E932" s="208">
        <v>94929.0</v>
      </c>
      <c r="F932" s="168">
        <v>281833.0</v>
      </c>
      <c r="G932" s="209">
        <v>-91254.0</v>
      </c>
      <c r="H932" s="168">
        <v>130424.0</v>
      </c>
      <c r="I932" s="208">
        <v>94603.0</v>
      </c>
    </row>
    <row r="933">
      <c r="A933" s="24">
        <v>120.0</v>
      </c>
      <c r="B933" s="168">
        <v>-3083.21</v>
      </c>
      <c r="C933" s="24" t="s">
        <v>5214</v>
      </c>
      <c r="D933" s="76">
        <v>7929.0</v>
      </c>
      <c r="E933" s="208">
        <v>73110.0</v>
      </c>
      <c r="F933" s="168">
        <v>761851.0</v>
      </c>
      <c r="G933" s="209">
        <v>-74217.0</v>
      </c>
      <c r="H933" s="168">
        <v>322440.0</v>
      </c>
      <c r="I933" s="208">
        <v>-36511.0</v>
      </c>
    </row>
    <row r="934">
      <c r="A934" s="24">
        <v>115.0</v>
      </c>
      <c r="B934" s="168">
        <v>-41456.29</v>
      </c>
      <c r="C934" s="24" t="s">
        <v>5215</v>
      </c>
      <c r="D934" s="76">
        <v>7930.0</v>
      </c>
      <c r="E934" s="208">
        <v>-73455.0</v>
      </c>
      <c r="F934" s="168">
        <v>349492.0</v>
      </c>
      <c r="G934" s="209">
        <v>43434.0</v>
      </c>
      <c r="H934" s="168">
        <v>787177.0</v>
      </c>
      <c r="I934" s="208">
        <v>-22808.0</v>
      </c>
    </row>
    <row r="935">
      <c r="A935" s="24">
        <v>141.0</v>
      </c>
      <c r="B935" s="168">
        <v>-19648.11</v>
      </c>
      <c r="C935" s="24" t="s">
        <v>5216</v>
      </c>
      <c r="D935" s="76">
        <v>7931.0</v>
      </c>
      <c r="E935" s="208">
        <v>-64083.0</v>
      </c>
      <c r="F935" s="168">
        <v>206066.0</v>
      </c>
      <c r="G935" s="209">
        <v>-56715.0</v>
      </c>
      <c r="H935" s="168">
        <v>533720.0</v>
      </c>
      <c r="I935" s="208">
        <v>28049.0</v>
      </c>
    </row>
    <row r="936">
      <c r="A936" s="24">
        <v>137.0</v>
      </c>
      <c r="B936" s="168">
        <v>-90342.22</v>
      </c>
      <c r="C936" s="24" t="s">
        <v>5214</v>
      </c>
      <c r="D936" s="76">
        <v>7932.0</v>
      </c>
      <c r="E936" s="208">
        <v>-12581.0</v>
      </c>
      <c r="F936" s="168">
        <v>564560.0</v>
      </c>
      <c r="G936" s="209">
        <v>-65527.0</v>
      </c>
      <c r="H936" s="168">
        <v>565266.0</v>
      </c>
      <c r="I936" s="208">
        <v>-19628.0</v>
      </c>
    </row>
    <row r="937">
      <c r="A937" s="24">
        <v>108.0</v>
      </c>
      <c r="B937" s="168">
        <v>-20450.8</v>
      </c>
      <c r="C937" s="24" t="s">
        <v>5217</v>
      </c>
      <c r="D937" s="76">
        <v>7933.0</v>
      </c>
      <c r="E937" s="208">
        <v>-87689.0</v>
      </c>
      <c r="F937" s="168">
        <v>963665.0</v>
      </c>
      <c r="G937" s="209">
        <v>-15165.0</v>
      </c>
      <c r="H937" s="168">
        <v>627172.0</v>
      </c>
      <c r="I937" s="208">
        <v>-30153.0</v>
      </c>
    </row>
    <row r="938">
      <c r="A938" s="24">
        <v>116.0</v>
      </c>
      <c r="B938" s="168">
        <v>-59333.68</v>
      </c>
      <c r="C938" s="24" t="s">
        <v>5218</v>
      </c>
      <c r="D938" s="76">
        <v>7934.0</v>
      </c>
      <c r="E938" s="208">
        <v>-15159.0</v>
      </c>
      <c r="F938" s="168">
        <v>141066.0</v>
      </c>
      <c r="G938" s="209">
        <v>16163.0</v>
      </c>
      <c r="H938" s="168">
        <v>964788.0</v>
      </c>
      <c r="I938" s="208">
        <v>87668.0</v>
      </c>
    </row>
    <row r="939">
      <c r="A939" s="24">
        <v>126.0</v>
      </c>
      <c r="B939" s="168">
        <v>-50397.1</v>
      </c>
      <c r="C939" s="24" t="s">
        <v>5219</v>
      </c>
      <c r="D939" s="76">
        <v>7935.0</v>
      </c>
      <c r="E939" s="208">
        <v>-13523.0</v>
      </c>
      <c r="F939" s="168">
        <v>884059.0</v>
      </c>
      <c r="G939" s="209">
        <v>-60667.0</v>
      </c>
      <c r="H939" s="168">
        <v>831191.0</v>
      </c>
      <c r="I939" s="208">
        <v>11115.0</v>
      </c>
    </row>
    <row r="940">
      <c r="A940" s="24">
        <v>139.0</v>
      </c>
      <c r="B940" s="168">
        <v>24989.42</v>
      </c>
      <c r="C940" s="24" t="s">
        <v>5220</v>
      </c>
      <c r="D940" s="76">
        <v>7936.0</v>
      </c>
      <c r="E940" s="208">
        <v>-96001.0</v>
      </c>
      <c r="F940" s="168">
        <v>451897.0</v>
      </c>
      <c r="G940" s="209">
        <v>-35306.0</v>
      </c>
      <c r="H940" s="168">
        <v>266194.0</v>
      </c>
      <c r="I940" s="208">
        <v>-97606.0</v>
      </c>
    </row>
    <row r="941">
      <c r="A941" s="24">
        <v>128.0</v>
      </c>
      <c r="B941" s="168">
        <v>5156.91</v>
      </c>
      <c r="C941" s="24" t="s">
        <v>5221</v>
      </c>
      <c r="D941" s="76">
        <v>7937.0</v>
      </c>
      <c r="E941" s="208">
        <v>16396.0</v>
      </c>
      <c r="F941" s="168">
        <v>157518.0</v>
      </c>
      <c r="G941" s="209">
        <v>98788.0</v>
      </c>
      <c r="H941" s="168">
        <v>887813.0</v>
      </c>
      <c r="I941" s="208">
        <v>-21710.0</v>
      </c>
    </row>
    <row r="942">
      <c r="A942" s="24">
        <v>140.0</v>
      </c>
      <c r="B942" s="168">
        <v>75542.43</v>
      </c>
      <c r="C942" s="24" t="s">
        <v>5222</v>
      </c>
      <c r="D942" s="76">
        <v>7938.0</v>
      </c>
      <c r="E942" s="208">
        <v>61589.0</v>
      </c>
      <c r="F942" s="168">
        <v>413229.0</v>
      </c>
      <c r="G942" s="209">
        <v>-78931.0</v>
      </c>
      <c r="H942" s="168">
        <v>990332.0</v>
      </c>
      <c r="I942" s="208">
        <v>-52295.0</v>
      </c>
    </row>
    <row r="943">
      <c r="A943" s="24">
        <v>119.0</v>
      </c>
      <c r="B943" s="168">
        <v>91904.08</v>
      </c>
      <c r="C943" s="24" t="s">
        <v>5223</v>
      </c>
      <c r="D943" s="76">
        <v>7939.0</v>
      </c>
      <c r="E943" s="208">
        <v>-18117.0</v>
      </c>
      <c r="F943" s="168">
        <v>861766.0</v>
      </c>
      <c r="G943" s="209">
        <v>22215.0</v>
      </c>
      <c r="H943" s="168">
        <v>565001.0</v>
      </c>
      <c r="I943" s="208">
        <v>-42442.0</v>
      </c>
    </row>
    <row r="944">
      <c r="A944" s="24">
        <v>135.0</v>
      </c>
      <c r="B944" s="168">
        <v>-95454.05</v>
      </c>
      <c r="C944" s="24" t="s">
        <v>5224</v>
      </c>
      <c r="D944" s="76">
        <v>7940.0</v>
      </c>
      <c r="E944" s="208">
        <v>31441.0</v>
      </c>
      <c r="F944" s="168">
        <v>177469.0</v>
      </c>
      <c r="G944" s="209">
        <v>-67105.0</v>
      </c>
      <c r="H944" s="168">
        <v>902337.0</v>
      </c>
      <c r="I944" s="208">
        <v>-94345.0</v>
      </c>
    </row>
    <row r="945">
      <c r="A945" s="24">
        <v>124.0</v>
      </c>
      <c r="B945" s="168">
        <v>-86043.51</v>
      </c>
      <c r="C945" s="24" t="s">
        <v>5225</v>
      </c>
      <c r="D945" s="76">
        <v>7941.0</v>
      </c>
      <c r="E945" s="208">
        <v>-81794.0</v>
      </c>
      <c r="F945" s="168">
        <v>256185.0</v>
      </c>
      <c r="G945" s="209">
        <v>81009.0</v>
      </c>
      <c r="H945" s="168">
        <v>629949.0</v>
      </c>
      <c r="I945" s="208">
        <v>75983.0</v>
      </c>
    </row>
    <row r="946">
      <c r="A946" s="24">
        <v>149.0</v>
      </c>
      <c r="B946" s="168">
        <v>-90631.38</v>
      </c>
      <c r="C946" s="24" t="s">
        <v>5226</v>
      </c>
      <c r="D946" s="76">
        <v>7942.0</v>
      </c>
      <c r="E946" s="208">
        <v>85241.0</v>
      </c>
      <c r="F946" s="168">
        <v>987123.0</v>
      </c>
      <c r="G946" s="209">
        <v>1907.0</v>
      </c>
      <c r="H946" s="168">
        <v>419493.0</v>
      </c>
      <c r="I946" s="208">
        <v>42293.0</v>
      </c>
    </row>
    <row r="947">
      <c r="A947" s="24">
        <v>114.0</v>
      </c>
      <c r="B947" s="168">
        <v>-82290.69</v>
      </c>
      <c r="C947" s="24" t="s">
        <v>5227</v>
      </c>
      <c r="D947" s="76">
        <v>7943.0</v>
      </c>
      <c r="E947" s="208">
        <v>71411.0</v>
      </c>
      <c r="F947" s="168">
        <v>642402.0</v>
      </c>
      <c r="G947" s="209">
        <v>-9909.0</v>
      </c>
      <c r="H947" s="168">
        <v>581860.0</v>
      </c>
      <c r="I947" s="208">
        <v>-21706.0</v>
      </c>
    </row>
    <row r="948">
      <c r="A948" s="24">
        <v>101.0</v>
      </c>
      <c r="B948" s="168">
        <v>35904.42</v>
      </c>
      <c r="C948" s="24" t="s">
        <v>5228</v>
      </c>
      <c r="D948" s="76">
        <v>7944.0</v>
      </c>
      <c r="E948" s="208">
        <v>59707.0</v>
      </c>
      <c r="F948" s="168">
        <v>945609.0</v>
      </c>
      <c r="G948" s="209">
        <v>75803.0</v>
      </c>
      <c r="H948" s="168">
        <v>962878.0</v>
      </c>
      <c r="I948" s="208">
        <v>-85303.0</v>
      </c>
    </row>
    <row r="949">
      <c r="A949" s="24">
        <v>105.0</v>
      </c>
      <c r="B949" s="168">
        <v>173.0</v>
      </c>
      <c r="C949" s="24" t="s">
        <v>5229</v>
      </c>
      <c r="D949" s="76">
        <v>7945.0</v>
      </c>
      <c r="E949" s="208">
        <v>1545.0</v>
      </c>
      <c r="F949" s="168">
        <v>252680.0</v>
      </c>
      <c r="G949" s="209">
        <v>-29217.0</v>
      </c>
      <c r="H949" s="168">
        <v>578673.0</v>
      </c>
      <c r="I949" s="208">
        <v>-40911.0</v>
      </c>
    </row>
    <row r="950">
      <c r="A950" s="24">
        <v>117.0</v>
      </c>
      <c r="B950" s="168">
        <v>-28684.5</v>
      </c>
      <c r="C950" s="24" t="s">
        <v>5230</v>
      </c>
      <c r="D950" s="76">
        <v>7946.0</v>
      </c>
      <c r="E950" s="208">
        <v>23132.0</v>
      </c>
      <c r="F950" s="168">
        <v>461410.0</v>
      </c>
      <c r="G950" s="209">
        <v>-42677.0</v>
      </c>
      <c r="H950" s="168">
        <v>809430.0</v>
      </c>
      <c r="I950" s="208">
        <v>-17593.0</v>
      </c>
    </row>
    <row r="951">
      <c r="A951" s="24">
        <v>107.0</v>
      </c>
      <c r="B951" s="168">
        <v>-41728.81</v>
      </c>
      <c r="C951" s="24" t="s">
        <v>5231</v>
      </c>
      <c r="D951" s="76">
        <v>7947.0</v>
      </c>
      <c r="E951" s="208">
        <v>19947.0</v>
      </c>
      <c r="F951" s="168">
        <v>181875.0</v>
      </c>
      <c r="G951" s="209">
        <v>-83875.0</v>
      </c>
      <c r="H951" s="168">
        <v>135881.0</v>
      </c>
      <c r="I951" s="208">
        <v>53160.0</v>
      </c>
    </row>
    <row r="952">
      <c r="A952" s="24">
        <v>102.0</v>
      </c>
      <c r="B952" s="168">
        <v>81357.97</v>
      </c>
      <c r="C952" s="24" t="s">
        <v>5232</v>
      </c>
      <c r="D952" s="76">
        <v>7948.0</v>
      </c>
      <c r="E952" s="208">
        <v>43734.0</v>
      </c>
      <c r="F952" s="168">
        <v>216453.0</v>
      </c>
      <c r="G952" s="209">
        <v>-90946.0</v>
      </c>
      <c r="H952" s="168">
        <v>202822.0</v>
      </c>
      <c r="I952" s="208">
        <v>-5477.0</v>
      </c>
    </row>
    <row r="953">
      <c r="A953" s="24">
        <v>132.0</v>
      </c>
      <c r="B953" s="168">
        <v>-41150.8</v>
      </c>
      <c r="C953" s="24" t="s">
        <v>5233</v>
      </c>
      <c r="D953" s="76">
        <v>7949.0</v>
      </c>
      <c r="E953" s="208">
        <v>35363.0</v>
      </c>
      <c r="F953" s="168">
        <v>436902.0</v>
      </c>
      <c r="G953" s="209">
        <v>41534.0</v>
      </c>
      <c r="H953" s="168">
        <v>592406.0</v>
      </c>
      <c r="I953" s="208">
        <v>80671.0</v>
      </c>
    </row>
    <row r="954">
      <c r="A954" s="24">
        <v>145.0</v>
      </c>
      <c r="B954" s="168">
        <v>73490.98</v>
      </c>
      <c r="C954" s="24" t="s">
        <v>5185</v>
      </c>
      <c r="D954" s="76">
        <v>7950.0</v>
      </c>
      <c r="E954" s="208">
        <v>-28372.0</v>
      </c>
      <c r="F954" s="168">
        <v>450810.0</v>
      </c>
      <c r="G954" s="209">
        <v>-10217.0</v>
      </c>
      <c r="H954" s="168">
        <v>774577.0</v>
      </c>
      <c r="I954" s="208">
        <v>67106.0</v>
      </c>
    </row>
    <row r="955">
      <c r="A955" s="24">
        <v>148.0</v>
      </c>
      <c r="B955" s="168">
        <v>52668.67</v>
      </c>
      <c r="C955" s="24" t="s">
        <v>5186</v>
      </c>
      <c r="D955" s="76">
        <v>7951.0</v>
      </c>
      <c r="E955" s="208">
        <v>-56886.0</v>
      </c>
      <c r="F955" s="168">
        <v>968638.0</v>
      </c>
      <c r="G955" s="209">
        <v>12112.0</v>
      </c>
      <c r="H955" s="168">
        <v>248964.0</v>
      </c>
      <c r="I955" s="208">
        <v>-2752.0</v>
      </c>
    </row>
    <row r="956">
      <c r="A956" s="24">
        <v>136.0</v>
      </c>
      <c r="B956" s="168">
        <v>-91141.16</v>
      </c>
      <c r="C956" s="24" t="s">
        <v>5187</v>
      </c>
      <c r="D956" s="76">
        <v>7952.0</v>
      </c>
      <c r="E956" s="208">
        <v>-76619.0</v>
      </c>
      <c r="F956" s="168">
        <v>275704.0</v>
      </c>
      <c r="G956" s="209">
        <v>31500.0</v>
      </c>
      <c r="H956" s="168">
        <v>991818.0</v>
      </c>
      <c r="I956" s="208">
        <v>84659.0</v>
      </c>
    </row>
    <row r="957">
      <c r="A957" s="24">
        <v>104.0</v>
      </c>
      <c r="B957" s="168">
        <v>-97377.02</v>
      </c>
      <c r="C957" s="24" t="s">
        <v>5188</v>
      </c>
      <c r="D957" s="76">
        <v>7953.0</v>
      </c>
      <c r="E957" s="208">
        <v>70605.0</v>
      </c>
      <c r="F957" s="168">
        <v>179459.0</v>
      </c>
      <c r="G957" s="209">
        <v>-17837.0</v>
      </c>
      <c r="H957" s="168">
        <v>247949.0</v>
      </c>
      <c r="I957" s="208">
        <v>28635.0</v>
      </c>
    </row>
    <row r="958">
      <c r="A958" s="24">
        <v>129.0</v>
      </c>
      <c r="B958" s="168">
        <v>37097.81</v>
      </c>
      <c r="C958" s="24" t="s">
        <v>5189</v>
      </c>
      <c r="D958" s="76">
        <v>7954.0</v>
      </c>
      <c r="E958" s="208">
        <v>38334.0</v>
      </c>
      <c r="F958" s="168">
        <v>909681.0</v>
      </c>
      <c r="G958" s="209">
        <v>-45453.0</v>
      </c>
      <c r="H958" s="168">
        <v>711041.0</v>
      </c>
      <c r="I958" s="208">
        <v>-92975.0</v>
      </c>
    </row>
    <row r="959">
      <c r="A959" s="24">
        <v>118.0</v>
      </c>
      <c r="B959" s="168">
        <v>-62980.06</v>
      </c>
      <c r="C959" s="24" t="s">
        <v>5190</v>
      </c>
      <c r="D959" s="76">
        <v>7955.0</v>
      </c>
      <c r="E959" s="208">
        <v>-68739.0</v>
      </c>
      <c r="F959" s="168">
        <v>385406.0</v>
      </c>
      <c r="G959" s="209">
        <v>-97050.0</v>
      </c>
      <c r="H959" s="168">
        <v>940449.0</v>
      </c>
      <c r="I959" s="208">
        <v>-33062.0</v>
      </c>
    </row>
    <row r="960">
      <c r="A960" s="24">
        <v>127.0</v>
      </c>
      <c r="B960" s="168">
        <v>-79037.26</v>
      </c>
      <c r="C960" s="24" t="s">
        <v>5191</v>
      </c>
      <c r="D960" s="76">
        <v>7956.0</v>
      </c>
      <c r="E960" s="208">
        <v>-79875.0</v>
      </c>
      <c r="F960" s="168">
        <v>449602.0</v>
      </c>
      <c r="G960" s="209">
        <v>-58699.0</v>
      </c>
      <c r="H960" s="168">
        <v>735757.0</v>
      </c>
      <c r="I960" s="208">
        <v>-13012.0</v>
      </c>
    </row>
    <row r="961">
      <c r="A961" s="24">
        <v>125.0</v>
      </c>
      <c r="B961" s="168">
        <v>-93171.77</v>
      </c>
      <c r="C961" s="24" t="s">
        <v>5192</v>
      </c>
      <c r="D961" s="76">
        <v>7957.0</v>
      </c>
      <c r="E961" s="208">
        <v>8581.0</v>
      </c>
      <c r="F961" s="168">
        <v>435464.0</v>
      </c>
      <c r="G961" s="209">
        <v>-91652.0</v>
      </c>
      <c r="H961" s="168">
        <v>556665.0</v>
      </c>
      <c r="I961" s="208">
        <v>68238.0</v>
      </c>
    </row>
    <row r="962">
      <c r="A962" s="24">
        <v>146.0</v>
      </c>
      <c r="B962" s="168">
        <v>-76416.61</v>
      </c>
      <c r="C962" s="24" t="s">
        <v>5193</v>
      </c>
      <c r="D962" s="76">
        <v>7958.0</v>
      </c>
      <c r="E962" s="208">
        <v>-71882.0</v>
      </c>
      <c r="F962" s="168">
        <v>799330.0</v>
      </c>
      <c r="G962" s="209">
        <v>48010.0</v>
      </c>
      <c r="H962" s="168">
        <v>439199.0</v>
      </c>
      <c r="I962" s="208">
        <v>18314.0</v>
      </c>
    </row>
    <row r="963">
      <c r="A963" s="24">
        <v>111.0</v>
      </c>
      <c r="B963" s="168">
        <v>-4022.95</v>
      </c>
      <c r="C963" s="24" t="s">
        <v>5194</v>
      </c>
      <c r="D963" s="76">
        <v>7959.0</v>
      </c>
      <c r="E963" s="208">
        <v>83257.0</v>
      </c>
      <c r="F963" s="168">
        <v>944743.0</v>
      </c>
      <c r="G963" s="209">
        <v>18876.0</v>
      </c>
      <c r="H963" s="168">
        <v>461472.0</v>
      </c>
      <c r="I963" s="208">
        <v>-45684.0</v>
      </c>
    </row>
    <row r="964">
      <c r="A964" s="24">
        <v>103.0</v>
      </c>
      <c r="B964" s="168">
        <v>-19214.95</v>
      </c>
      <c r="C964" s="24" t="s">
        <v>5195</v>
      </c>
      <c r="D964" s="76">
        <v>7960.0</v>
      </c>
      <c r="E964" s="208">
        <v>96330.0</v>
      </c>
      <c r="F964" s="168">
        <v>637385.0</v>
      </c>
      <c r="G964" s="209">
        <v>-2293.0</v>
      </c>
      <c r="H964" s="168">
        <v>628627.0</v>
      </c>
      <c r="I964" s="208">
        <v>-11337.0</v>
      </c>
    </row>
    <row r="965">
      <c r="A965" s="24">
        <v>142.0</v>
      </c>
      <c r="B965" s="168">
        <v>26372.26</v>
      </c>
      <c r="C965" s="24" t="s">
        <v>5196</v>
      </c>
      <c r="D965" s="76">
        <v>7961.0</v>
      </c>
      <c r="E965" s="208">
        <v>25106.0</v>
      </c>
      <c r="F965" s="168">
        <v>953433.0</v>
      </c>
      <c r="G965" s="209">
        <v>35461.0</v>
      </c>
      <c r="H965" s="168">
        <v>479434.0</v>
      </c>
      <c r="I965" s="208">
        <v>93953.0</v>
      </c>
    </row>
    <row r="966">
      <c r="A966" s="24">
        <v>100.0</v>
      </c>
      <c r="B966" s="168">
        <v>54003.65</v>
      </c>
      <c r="C966" s="24" t="s">
        <v>5197</v>
      </c>
      <c r="D966" s="76">
        <v>7962.0</v>
      </c>
      <c r="E966" s="208">
        <v>18241.0</v>
      </c>
      <c r="F966" s="168">
        <v>138048.0</v>
      </c>
      <c r="G966" s="209">
        <v>66845.0</v>
      </c>
      <c r="H966" s="168">
        <v>777976.0</v>
      </c>
      <c r="I966" s="208">
        <v>9305.0</v>
      </c>
    </row>
    <row r="967">
      <c r="A967" s="24">
        <v>109.0</v>
      </c>
      <c r="B967" s="168">
        <v>-31396.73</v>
      </c>
      <c r="C967" s="24" t="s">
        <v>5198</v>
      </c>
      <c r="D967" s="76">
        <v>7963.0</v>
      </c>
      <c r="E967" s="208">
        <v>66446.0</v>
      </c>
      <c r="F967" s="168">
        <v>938715.0</v>
      </c>
      <c r="G967" s="209">
        <v>-7968.0</v>
      </c>
      <c r="H967" s="168">
        <v>602835.0</v>
      </c>
      <c r="I967" s="208">
        <v>22609.0</v>
      </c>
    </row>
    <row r="968">
      <c r="A968" s="24">
        <v>144.0</v>
      </c>
      <c r="B968" s="168">
        <v>91199.11</v>
      </c>
      <c r="C968" s="24" t="s">
        <v>5199</v>
      </c>
      <c r="D968" s="76">
        <v>7964.0</v>
      </c>
      <c r="E968" s="208">
        <v>17286.0</v>
      </c>
      <c r="F968" s="168">
        <v>747049.0</v>
      </c>
      <c r="G968" s="209">
        <v>80716.0</v>
      </c>
      <c r="H968" s="168">
        <v>812030.0</v>
      </c>
      <c r="I968" s="208">
        <v>87707.0</v>
      </c>
    </row>
    <row r="969">
      <c r="A969" s="24">
        <v>133.0</v>
      </c>
      <c r="B969" s="168">
        <v>9676.43</v>
      </c>
      <c r="C969" s="24" t="s">
        <v>5200</v>
      </c>
      <c r="D969" s="76">
        <v>7965.0</v>
      </c>
      <c r="E969" s="208">
        <v>39192.0</v>
      </c>
      <c r="F969" s="168">
        <v>469688.0</v>
      </c>
      <c r="G969" s="209">
        <v>50409.0</v>
      </c>
      <c r="H969" s="168">
        <v>782353.0</v>
      </c>
      <c r="I969" s="208">
        <v>-81059.0</v>
      </c>
    </row>
    <row r="970">
      <c r="A970" s="24">
        <v>134.0</v>
      </c>
      <c r="B970" s="168">
        <v>3747.69</v>
      </c>
      <c r="C970" s="24" t="s">
        <v>5201</v>
      </c>
      <c r="D970" s="76">
        <v>7966.0</v>
      </c>
      <c r="E970" s="208">
        <v>-94571.0</v>
      </c>
      <c r="F970" s="168">
        <v>894146.0</v>
      </c>
      <c r="G970" s="209">
        <v>-60279.0</v>
      </c>
      <c r="H970" s="168">
        <v>253462.0</v>
      </c>
      <c r="I970" s="208">
        <v>32368.0</v>
      </c>
    </row>
    <row r="971">
      <c r="A971" s="24">
        <v>123.0</v>
      </c>
      <c r="B971" s="168">
        <v>44251.95</v>
      </c>
      <c r="C971" s="24" t="s">
        <v>5202</v>
      </c>
      <c r="D971" s="76">
        <v>7967.0</v>
      </c>
      <c r="E971" s="208">
        <v>-99242.0</v>
      </c>
      <c r="F971" s="168">
        <v>605486.0</v>
      </c>
      <c r="G971" s="209">
        <v>63961.0</v>
      </c>
      <c r="H971" s="168">
        <v>647058.0</v>
      </c>
      <c r="I971" s="208">
        <v>-15225.0</v>
      </c>
    </row>
    <row r="972">
      <c r="A972" s="24">
        <v>106.0</v>
      </c>
      <c r="B972" s="168">
        <v>-61714.83</v>
      </c>
      <c r="C972" s="24" t="s">
        <v>5203</v>
      </c>
      <c r="D972" s="76">
        <v>7968.0</v>
      </c>
      <c r="E972" s="208">
        <v>-91347.0</v>
      </c>
      <c r="F972" s="168">
        <v>464127.0</v>
      </c>
      <c r="G972" s="209">
        <v>-71621.0</v>
      </c>
      <c r="H972" s="168">
        <v>552466.0</v>
      </c>
      <c r="I972" s="208">
        <v>70837.0</v>
      </c>
    </row>
    <row r="973">
      <c r="A973" s="24">
        <v>122.0</v>
      </c>
      <c r="B973" s="168">
        <v>63388.88</v>
      </c>
      <c r="C973" s="24" t="s">
        <v>5204</v>
      </c>
      <c r="D973" s="76">
        <v>7969.0</v>
      </c>
      <c r="E973" s="208">
        <v>-7066.0</v>
      </c>
      <c r="F973" s="168">
        <v>538086.0</v>
      </c>
      <c r="G973" s="209">
        <v>44643.0</v>
      </c>
      <c r="H973" s="168">
        <v>202451.0</v>
      </c>
      <c r="I973" s="208">
        <v>-82622.0</v>
      </c>
    </row>
    <row r="974">
      <c r="A974" s="24">
        <v>143.0</v>
      </c>
      <c r="B974" s="168">
        <v>-38174.8</v>
      </c>
      <c r="C974" s="24" t="s">
        <v>5205</v>
      </c>
      <c r="D974" s="76">
        <v>7970.0</v>
      </c>
      <c r="E974" s="208">
        <v>-11594.0</v>
      </c>
      <c r="F974" s="168">
        <v>961753.0</v>
      </c>
      <c r="G974" s="209">
        <v>22768.0</v>
      </c>
      <c r="H974" s="168">
        <v>523753.0</v>
      </c>
      <c r="I974" s="208">
        <v>-26110.0</v>
      </c>
    </row>
    <row r="975">
      <c r="A975" s="24">
        <v>131.0</v>
      </c>
      <c r="B975" s="168">
        <v>-46440.88</v>
      </c>
      <c r="C975" s="24" t="s">
        <v>5206</v>
      </c>
      <c r="D975" s="76">
        <v>7971.0</v>
      </c>
      <c r="E975" s="208">
        <v>89729.0</v>
      </c>
      <c r="F975" s="168">
        <v>238155.0</v>
      </c>
      <c r="G975" s="209">
        <v>-59420.0</v>
      </c>
      <c r="H975" s="168">
        <v>961408.0</v>
      </c>
      <c r="I975" s="208">
        <v>14186.0</v>
      </c>
    </row>
    <row r="976">
      <c r="A976" s="24">
        <v>147.0</v>
      </c>
      <c r="B976" s="168">
        <v>47428.92</v>
      </c>
      <c r="C976" s="24" t="s">
        <v>5207</v>
      </c>
      <c r="D976" s="76">
        <v>7972.0</v>
      </c>
      <c r="E976" s="208">
        <v>-68859.0</v>
      </c>
      <c r="F976" s="168">
        <v>196676.0</v>
      </c>
      <c r="G976" s="209">
        <v>31603.0</v>
      </c>
      <c r="H976" s="168">
        <v>599239.0</v>
      </c>
      <c r="I976" s="208">
        <v>88473.0</v>
      </c>
    </row>
    <row r="977">
      <c r="A977" s="24">
        <v>121.0</v>
      </c>
      <c r="B977" s="168">
        <v>-93278.07</v>
      </c>
      <c r="C977" s="24" t="s">
        <v>5208</v>
      </c>
      <c r="D977" s="76">
        <v>7973.0</v>
      </c>
      <c r="E977" s="208">
        <v>40149.0</v>
      </c>
      <c r="F977" s="168">
        <v>595144.0</v>
      </c>
      <c r="G977" s="209">
        <v>-13309.0</v>
      </c>
      <c r="H977" s="168">
        <v>535278.0</v>
      </c>
      <c r="I977" s="208">
        <v>66409.0</v>
      </c>
    </row>
    <row r="978">
      <c r="A978" s="24">
        <v>113.0</v>
      </c>
      <c r="B978" s="168">
        <v>98475.73</v>
      </c>
      <c r="C978" s="24" t="s">
        <v>5209</v>
      </c>
      <c r="D978" s="76">
        <v>7974.0</v>
      </c>
      <c r="E978" s="208">
        <v>11444.0</v>
      </c>
      <c r="F978" s="168">
        <v>289125.0</v>
      </c>
      <c r="G978" s="209">
        <v>-70160.0</v>
      </c>
      <c r="H978" s="168">
        <v>350752.0</v>
      </c>
      <c r="I978" s="208">
        <v>-36136.0</v>
      </c>
    </row>
    <row r="979">
      <c r="A979" s="24">
        <v>130.0</v>
      </c>
      <c r="B979" s="168">
        <v>-62456.35</v>
      </c>
      <c r="C979" s="24" t="s">
        <v>5210</v>
      </c>
      <c r="D979" s="76">
        <v>7975.0</v>
      </c>
      <c r="E979" s="208">
        <v>-44706.0</v>
      </c>
      <c r="F979" s="168">
        <v>746783.0</v>
      </c>
      <c r="G979" s="209">
        <v>-87707.0</v>
      </c>
      <c r="H979" s="168">
        <v>334101.0</v>
      </c>
      <c r="I979" s="208">
        <v>-88983.0</v>
      </c>
    </row>
    <row r="980">
      <c r="A980" s="24">
        <v>112.0</v>
      </c>
      <c r="B980" s="168">
        <v>29251.96</v>
      </c>
      <c r="C980" s="24" t="s">
        <v>5211</v>
      </c>
      <c r="D980" s="76">
        <v>7976.0</v>
      </c>
      <c r="E980" s="208">
        <v>7671.0</v>
      </c>
      <c r="F980" s="168">
        <v>183773.0</v>
      </c>
      <c r="G980" s="209">
        <v>8413.0</v>
      </c>
      <c r="H980" s="168">
        <v>144427.0</v>
      </c>
      <c r="I980" s="208">
        <v>-68139.0</v>
      </c>
    </row>
    <row r="981">
      <c r="A981" s="24">
        <v>110.0</v>
      </c>
      <c r="B981" s="168">
        <v>-69707.08</v>
      </c>
      <c r="C981" s="24" t="s">
        <v>5212</v>
      </c>
      <c r="D981" s="76">
        <v>7977.0</v>
      </c>
      <c r="E981" s="208">
        <v>9496.0</v>
      </c>
      <c r="F981" s="168">
        <v>736297.0</v>
      </c>
      <c r="G981" s="209">
        <v>-83104.0</v>
      </c>
      <c r="H981" s="168">
        <v>673194.0</v>
      </c>
      <c r="I981" s="208">
        <v>20019.0</v>
      </c>
    </row>
    <row r="982">
      <c r="A982" s="24">
        <v>138.0</v>
      </c>
      <c r="B982" s="168">
        <v>-95691.64</v>
      </c>
      <c r="C982" s="24" t="s">
        <v>5213</v>
      </c>
      <c r="D982" s="76">
        <v>7978.0</v>
      </c>
      <c r="E982" s="208">
        <v>59349.0</v>
      </c>
      <c r="F982" s="168">
        <v>577071.0</v>
      </c>
      <c r="G982" s="209">
        <v>11462.0</v>
      </c>
      <c r="H982" s="168">
        <v>299685.0</v>
      </c>
      <c r="I982" s="208">
        <v>50760.0</v>
      </c>
    </row>
    <row r="983">
      <c r="A983" s="24">
        <v>120.0</v>
      </c>
      <c r="B983" s="168">
        <v>-29713.63</v>
      </c>
      <c r="C983" s="24" t="s">
        <v>5214</v>
      </c>
      <c r="D983" s="76">
        <v>7979.0</v>
      </c>
      <c r="E983" s="208">
        <v>51975.0</v>
      </c>
      <c r="F983" s="168">
        <v>993871.0</v>
      </c>
      <c r="G983" s="209">
        <v>-23683.0</v>
      </c>
      <c r="H983" s="168">
        <v>118446.0</v>
      </c>
      <c r="I983" s="208">
        <v>-37979.0</v>
      </c>
    </row>
    <row r="984">
      <c r="A984" s="24">
        <v>115.0</v>
      </c>
      <c r="B984" s="168">
        <v>88739.12</v>
      </c>
      <c r="C984" s="24" t="s">
        <v>5215</v>
      </c>
      <c r="D984" s="76">
        <v>7980.0</v>
      </c>
      <c r="E984" s="208">
        <v>-96019.0</v>
      </c>
      <c r="F984" s="168">
        <v>877872.0</v>
      </c>
      <c r="G984" s="209">
        <v>54824.0</v>
      </c>
      <c r="H984" s="168">
        <v>619217.0</v>
      </c>
      <c r="I984" s="208">
        <v>91678.0</v>
      </c>
    </row>
    <row r="985">
      <c r="A985" s="24">
        <v>141.0</v>
      </c>
      <c r="B985" s="168">
        <v>-22172.17</v>
      </c>
      <c r="C985" s="24" t="s">
        <v>5216</v>
      </c>
      <c r="D985" s="76">
        <v>7981.0</v>
      </c>
      <c r="E985" s="208">
        <v>33844.0</v>
      </c>
      <c r="F985" s="168">
        <v>238201.0</v>
      </c>
      <c r="G985" s="209">
        <v>76178.0</v>
      </c>
      <c r="H985" s="168">
        <v>699847.0</v>
      </c>
      <c r="I985" s="208">
        <v>-98370.0</v>
      </c>
    </row>
    <row r="986">
      <c r="A986" s="24">
        <v>137.0</v>
      </c>
      <c r="B986" s="168">
        <v>-16800.03</v>
      </c>
      <c r="C986" s="24" t="s">
        <v>5214</v>
      </c>
      <c r="D986" s="76">
        <v>7982.0</v>
      </c>
      <c r="E986" s="208">
        <v>-20538.0</v>
      </c>
      <c r="F986" s="168">
        <v>122732.0</v>
      </c>
      <c r="G986" s="209">
        <v>-49979.0</v>
      </c>
      <c r="H986" s="168">
        <v>594807.0</v>
      </c>
      <c r="I986" s="208">
        <v>45615.0</v>
      </c>
    </row>
    <row r="987">
      <c r="A987" s="24">
        <v>108.0</v>
      </c>
      <c r="B987" s="168">
        <v>-41893.44</v>
      </c>
      <c r="C987" s="24" t="s">
        <v>5217</v>
      </c>
      <c r="D987" s="76">
        <v>7983.0</v>
      </c>
      <c r="E987" s="208">
        <v>79191.0</v>
      </c>
      <c r="F987" s="168">
        <v>869336.0</v>
      </c>
      <c r="G987" s="209">
        <v>-13068.0</v>
      </c>
      <c r="H987" s="168">
        <v>789703.0</v>
      </c>
      <c r="I987" s="208">
        <v>84403.0</v>
      </c>
    </row>
    <row r="988">
      <c r="A988" s="24">
        <v>116.0</v>
      </c>
      <c r="B988" s="168">
        <v>-49718.9</v>
      </c>
      <c r="C988" s="24" t="s">
        <v>5218</v>
      </c>
      <c r="D988" s="76">
        <v>7984.0</v>
      </c>
      <c r="E988" s="208">
        <v>23738.0</v>
      </c>
      <c r="F988" s="168">
        <v>391681.0</v>
      </c>
      <c r="G988" s="209">
        <v>-91821.0</v>
      </c>
      <c r="H988" s="168">
        <v>929757.0</v>
      </c>
      <c r="I988" s="208">
        <v>-12751.0</v>
      </c>
    </row>
    <row r="989">
      <c r="A989" s="24">
        <v>126.0</v>
      </c>
      <c r="B989" s="168">
        <v>-56811.18</v>
      </c>
      <c r="C989" s="24" t="s">
        <v>5219</v>
      </c>
      <c r="D989" s="76">
        <v>7985.0</v>
      </c>
      <c r="E989" s="208">
        <v>48146.0</v>
      </c>
      <c r="F989" s="168">
        <v>519090.0</v>
      </c>
      <c r="G989" s="209">
        <v>-1173.0</v>
      </c>
      <c r="H989" s="168">
        <v>318394.0</v>
      </c>
      <c r="I989" s="208">
        <v>94265.0</v>
      </c>
    </row>
    <row r="990">
      <c r="A990" s="24">
        <v>139.0</v>
      </c>
      <c r="B990" s="168">
        <v>-82274.35</v>
      </c>
      <c r="C990" s="24" t="s">
        <v>5220</v>
      </c>
      <c r="D990" s="76">
        <v>7986.0</v>
      </c>
      <c r="E990" s="208">
        <v>56325.0</v>
      </c>
      <c r="F990" s="168">
        <v>721582.0</v>
      </c>
      <c r="G990" s="209">
        <v>-91837.0</v>
      </c>
      <c r="H990" s="168">
        <v>638548.0</v>
      </c>
      <c r="I990" s="208">
        <v>79981.0</v>
      </c>
    </row>
    <row r="991">
      <c r="A991" s="24">
        <v>128.0</v>
      </c>
      <c r="B991" s="168">
        <v>53794.34</v>
      </c>
      <c r="C991" s="24" t="s">
        <v>5221</v>
      </c>
      <c r="D991" s="76">
        <v>7987.0</v>
      </c>
      <c r="E991" s="208">
        <v>-10230.0</v>
      </c>
      <c r="F991" s="168">
        <v>274576.0</v>
      </c>
      <c r="G991" s="209">
        <v>26585.0</v>
      </c>
      <c r="H991" s="168">
        <v>380075.0</v>
      </c>
      <c r="I991" s="208">
        <v>-20805.0</v>
      </c>
    </row>
    <row r="992">
      <c r="A992" s="24">
        <v>140.0</v>
      </c>
      <c r="B992" s="168">
        <v>52643.9</v>
      </c>
      <c r="C992" s="24" t="s">
        <v>5222</v>
      </c>
      <c r="D992" s="76">
        <v>7988.0</v>
      </c>
      <c r="E992" s="208">
        <v>-55103.0</v>
      </c>
      <c r="F992" s="168">
        <v>362312.0</v>
      </c>
      <c r="G992" s="209">
        <v>-7816.0</v>
      </c>
      <c r="H992" s="168">
        <v>711931.0</v>
      </c>
      <c r="I992" s="208">
        <v>40773.0</v>
      </c>
    </row>
    <row r="993">
      <c r="A993" s="24">
        <v>119.0</v>
      </c>
      <c r="B993" s="168">
        <v>-62186.4</v>
      </c>
      <c r="C993" s="24" t="s">
        <v>5223</v>
      </c>
      <c r="D993" s="76">
        <v>7989.0</v>
      </c>
      <c r="E993" s="208">
        <v>49076.0</v>
      </c>
      <c r="F993" s="168">
        <v>442392.0</v>
      </c>
      <c r="G993" s="209">
        <v>-37426.0</v>
      </c>
      <c r="H993" s="168">
        <v>996552.0</v>
      </c>
      <c r="I993" s="208">
        <v>-83186.0</v>
      </c>
    </row>
    <row r="994">
      <c r="A994" s="24">
        <v>135.0</v>
      </c>
      <c r="B994" s="168">
        <v>-90187.47</v>
      </c>
      <c r="C994" s="24" t="s">
        <v>5224</v>
      </c>
      <c r="D994" s="76">
        <v>7990.0</v>
      </c>
      <c r="E994" s="208">
        <v>19113.0</v>
      </c>
      <c r="F994" s="168">
        <v>141131.0</v>
      </c>
      <c r="G994" s="209">
        <v>62703.0</v>
      </c>
      <c r="H994" s="168">
        <v>460045.0</v>
      </c>
      <c r="I994" s="208">
        <v>-98805.0</v>
      </c>
    </row>
    <row r="995">
      <c r="A995" s="24">
        <v>124.0</v>
      </c>
      <c r="B995" s="168">
        <v>25623.39</v>
      </c>
      <c r="C995" s="24" t="s">
        <v>5225</v>
      </c>
      <c r="D995" s="76">
        <v>7991.0</v>
      </c>
      <c r="E995" s="208">
        <v>29513.0</v>
      </c>
      <c r="F995" s="168">
        <v>495972.0</v>
      </c>
      <c r="G995" s="209">
        <v>-33582.0</v>
      </c>
      <c r="H995" s="168">
        <v>794111.0</v>
      </c>
      <c r="I995" s="208">
        <v>10543.0</v>
      </c>
    </row>
    <row r="996">
      <c r="A996" s="24">
        <v>149.0</v>
      </c>
      <c r="B996" s="168">
        <v>43246.8</v>
      </c>
      <c r="C996" s="24" t="s">
        <v>5226</v>
      </c>
      <c r="D996" s="76">
        <v>7992.0</v>
      </c>
      <c r="E996" s="208">
        <v>-76784.0</v>
      </c>
      <c r="F996" s="168">
        <v>866049.0</v>
      </c>
      <c r="G996" s="209">
        <v>-1444.0</v>
      </c>
      <c r="H996" s="168">
        <v>308135.0</v>
      </c>
      <c r="I996" s="208">
        <v>92371.0</v>
      </c>
    </row>
    <row r="997">
      <c r="A997" s="24">
        <v>114.0</v>
      </c>
      <c r="B997" s="168">
        <v>87110.86</v>
      </c>
      <c r="C997" s="24" t="s">
        <v>5227</v>
      </c>
      <c r="D997" s="76">
        <v>7993.0</v>
      </c>
      <c r="E997" s="208">
        <v>-17083.0</v>
      </c>
      <c r="F997" s="168">
        <v>271667.0</v>
      </c>
      <c r="G997" s="209">
        <v>38625.0</v>
      </c>
      <c r="H997" s="168">
        <v>278316.0</v>
      </c>
      <c r="I997" s="208">
        <v>-63944.0</v>
      </c>
    </row>
    <row r="998">
      <c r="A998" s="24">
        <v>101.0</v>
      </c>
      <c r="B998" s="168">
        <v>-61466.81</v>
      </c>
      <c r="C998" s="24" t="s">
        <v>5228</v>
      </c>
      <c r="D998" s="76">
        <v>7994.0</v>
      </c>
      <c r="E998" s="208">
        <v>-45341.0</v>
      </c>
      <c r="F998" s="168">
        <v>975647.0</v>
      </c>
      <c r="G998" s="209">
        <v>-64077.0</v>
      </c>
      <c r="H998" s="168">
        <v>878528.0</v>
      </c>
      <c r="I998" s="208">
        <v>-83025.0</v>
      </c>
    </row>
    <row r="999">
      <c r="A999" s="24">
        <v>105.0</v>
      </c>
      <c r="B999" s="168">
        <v>34378.43</v>
      </c>
      <c r="C999" s="24" t="s">
        <v>5229</v>
      </c>
      <c r="D999" s="76">
        <v>7995.0</v>
      </c>
      <c r="E999" s="208">
        <v>-83352.0</v>
      </c>
      <c r="F999" s="168">
        <v>139689.0</v>
      </c>
      <c r="G999" s="209">
        <v>-62729.0</v>
      </c>
      <c r="H999" s="168">
        <v>602399.0</v>
      </c>
      <c r="I999" s="208">
        <v>-18832.0</v>
      </c>
    </row>
    <row r="1000">
      <c r="A1000" s="24">
        <v>117.0</v>
      </c>
      <c r="B1000" s="168">
        <v>-68615.04</v>
      </c>
      <c r="C1000" s="24" t="s">
        <v>5230</v>
      </c>
      <c r="D1000" s="76">
        <v>7996.0</v>
      </c>
      <c r="E1000" s="208">
        <v>-64788.0</v>
      </c>
      <c r="F1000" s="168">
        <v>990113.0</v>
      </c>
      <c r="G1000" s="209">
        <v>71562.0</v>
      </c>
      <c r="H1000" s="168">
        <v>377420.0</v>
      </c>
      <c r="I1000" s="208">
        <v>-71233.0</v>
      </c>
    </row>
    <row r="1001">
      <c r="A1001" s="24">
        <v>107.0</v>
      </c>
      <c r="B1001" s="168">
        <v>75071.47</v>
      </c>
      <c r="C1001" s="24" t="s">
        <v>5231</v>
      </c>
      <c r="D1001" s="76">
        <v>7997.0</v>
      </c>
      <c r="E1001" s="208">
        <v>-71419.0</v>
      </c>
      <c r="F1001" s="168">
        <v>608881.0</v>
      </c>
      <c r="G1001" s="209">
        <v>92896.0</v>
      </c>
      <c r="H1001" s="168">
        <v>613642.0</v>
      </c>
      <c r="I1001" s="208">
        <v>-79850.0</v>
      </c>
    </row>
    <row r="1002">
      <c r="A1002" s="24">
        <v>102.0</v>
      </c>
      <c r="B1002" s="168">
        <v>-33633.46</v>
      </c>
      <c r="C1002" s="24" t="s">
        <v>5232</v>
      </c>
      <c r="D1002" s="76">
        <v>7998.0</v>
      </c>
      <c r="E1002" s="208">
        <v>72013.0</v>
      </c>
      <c r="F1002" s="168">
        <v>371097.0</v>
      </c>
      <c r="G1002" s="209">
        <v>-97769.0</v>
      </c>
      <c r="H1002" s="168">
        <v>934722.0</v>
      </c>
      <c r="I1002" s="208">
        <v>-90348.0</v>
      </c>
    </row>
    <row r="1003">
      <c r="A1003" s="24">
        <v>132.0</v>
      </c>
      <c r="B1003" s="168">
        <v>56475.43</v>
      </c>
      <c r="C1003" s="24" t="s">
        <v>5233</v>
      </c>
      <c r="D1003" s="76">
        <v>7999.0</v>
      </c>
      <c r="E1003" s="208">
        <v>54326.0</v>
      </c>
      <c r="F1003" s="168">
        <v>220382.0</v>
      </c>
      <c r="G1003" s="209">
        <v>53512.0</v>
      </c>
      <c r="H1003" s="168">
        <v>334401.0</v>
      </c>
      <c r="I1003" s="208">
        <v>-21663.0</v>
      </c>
    </row>
    <row r="1004">
      <c r="B1004" s="168"/>
      <c r="D1004" s="76"/>
      <c r="E1004" s="208"/>
      <c r="F1004" s="168"/>
      <c r="G1004" s="209"/>
      <c r="H1004" s="168"/>
      <c r="I1004" s="208"/>
    </row>
    <row r="1005">
      <c r="B1005" s="168"/>
      <c r="D1005" s="76"/>
      <c r="E1005" s="208"/>
      <c r="F1005" s="168"/>
      <c r="G1005" s="209"/>
      <c r="H1005" s="168"/>
      <c r="I1005" s="208"/>
    </row>
    <row r="1006">
      <c r="B1006" s="168"/>
      <c r="D1006" s="76"/>
      <c r="E1006" s="208"/>
      <c r="F1006" s="168"/>
      <c r="G1006" s="209"/>
      <c r="H1006" s="168"/>
      <c r="I1006" s="208"/>
    </row>
    <row r="1007">
      <c r="B1007" s="168"/>
      <c r="D1007" s="76"/>
      <c r="E1007" s="208"/>
      <c r="F1007" s="168"/>
      <c r="G1007" s="209"/>
      <c r="H1007" s="168"/>
      <c r="I1007" s="208"/>
    </row>
    <row r="1008">
      <c r="B1008" s="168"/>
      <c r="D1008" s="76"/>
      <c r="E1008" s="208"/>
      <c r="F1008" s="168"/>
      <c r="G1008" s="209"/>
      <c r="H1008" s="168"/>
      <c r="I1008" s="208"/>
    </row>
    <row r="1009">
      <c r="B1009" s="168"/>
      <c r="D1009" s="76"/>
      <c r="E1009" s="208"/>
      <c r="F1009" s="168"/>
      <c r="G1009" s="209"/>
      <c r="H1009" s="168"/>
      <c r="I1009" s="208"/>
    </row>
    <row r="1010">
      <c r="B1010" s="168"/>
      <c r="D1010" s="76"/>
      <c r="E1010" s="208"/>
      <c r="F1010" s="168"/>
      <c r="G1010" s="209"/>
      <c r="H1010" s="168"/>
      <c r="I1010" s="208"/>
    </row>
    <row r="1011">
      <c r="B1011" s="168"/>
      <c r="D1011" s="76"/>
      <c r="E1011" s="208"/>
      <c r="F1011" s="168"/>
      <c r="G1011" s="209"/>
      <c r="H1011" s="168"/>
      <c r="I1011" s="208"/>
    </row>
    <row r="1012">
      <c r="B1012" s="168"/>
      <c r="D1012" s="76"/>
      <c r="E1012" s="208"/>
      <c r="F1012" s="168"/>
      <c r="G1012" s="209"/>
      <c r="H1012" s="168"/>
      <c r="I1012" s="208"/>
    </row>
    <row r="1013">
      <c r="B1013" s="168"/>
      <c r="D1013" s="76"/>
      <c r="E1013" s="208"/>
      <c r="F1013" s="168"/>
      <c r="G1013" s="209"/>
      <c r="H1013" s="168"/>
      <c r="I1013" s="208"/>
    </row>
    <row r="1014">
      <c r="B1014" s="168"/>
      <c r="D1014" s="76"/>
      <c r="E1014" s="208"/>
      <c r="F1014" s="168"/>
      <c r="G1014" s="209"/>
      <c r="H1014" s="168"/>
      <c r="I1014" s="208"/>
    </row>
    <row r="1015">
      <c r="B1015" s="168"/>
      <c r="D1015" s="76"/>
      <c r="E1015" s="208"/>
      <c r="F1015" s="168"/>
      <c r="G1015" s="209"/>
      <c r="H1015" s="168"/>
      <c r="I1015" s="208"/>
    </row>
    <row r="1016">
      <c r="B1016" s="168"/>
      <c r="D1016" s="76"/>
      <c r="E1016" s="208"/>
      <c r="F1016" s="168"/>
      <c r="G1016" s="209"/>
      <c r="H1016" s="168"/>
      <c r="I1016" s="208"/>
    </row>
    <row r="1017">
      <c r="B1017" s="168"/>
      <c r="D1017" s="76"/>
      <c r="E1017" s="208"/>
      <c r="F1017" s="168"/>
      <c r="G1017" s="209"/>
      <c r="H1017" s="168"/>
      <c r="I1017" s="208"/>
    </row>
    <row r="1018">
      <c r="B1018" s="168"/>
      <c r="D1018" s="76"/>
      <c r="E1018" s="208"/>
      <c r="F1018" s="168"/>
      <c r="G1018" s="209"/>
      <c r="H1018" s="168"/>
      <c r="I1018" s="208"/>
    </row>
    <row r="1019">
      <c r="B1019" s="168"/>
      <c r="D1019" s="76"/>
      <c r="E1019" s="208"/>
      <c r="F1019" s="168"/>
      <c r="G1019" s="209"/>
      <c r="H1019" s="168"/>
      <c r="I1019" s="208"/>
    </row>
    <row r="1020">
      <c r="B1020" s="168"/>
      <c r="D1020" s="76"/>
      <c r="E1020" s="208"/>
      <c r="F1020" s="168"/>
      <c r="G1020" s="209"/>
      <c r="H1020" s="168"/>
      <c r="I1020" s="208"/>
    </row>
    <row r="1021">
      <c r="B1021" s="168"/>
      <c r="D1021" s="76"/>
      <c r="E1021" s="208"/>
      <c r="F1021" s="168"/>
      <c r="G1021" s="209"/>
      <c r="H1021" s="168"/>
      <c r="I1021" s="208"/>
    </row>
    <row r="1022">
      <c r="B1022" s="168"/>
      <c r="D1022" s="76"/>
      <c r="E1022" s="208"/>
      <c r="F1022" s="168"/>
      <c r="G1022" s="209"/>
      <c r="H1022" s="168"/>
      <c r="I1022" s="208"/>
    </row>
    <row r="1023">
      <c r="B1023" s="168"/>
      <c r="D1023" s="76"/>
      <c r="E1023" s="208"/>
      <c r="F1023" s="168"/>
      <c r="G1023" s="209"/>
      <c r="H1023" s="168"/>
      <c r="I1023" s="208"/>
    </row>
    <row r="1024">
      <c r="B1024" s="168"/>
      <c r="D1024" s="76"/>
      <c r="E1024" s="208"/>
      <c r="F1024" s="168"/>
      <c r="G1024" s="209"/>
      <c r="H1024" s="168"/>
      <c r="I1024" s="208"/>
    </row>
    <row r="1025">
      <c r="B1025" s="168"/>
      <c r="D1025" s="76"/>
      <c r="E1025" s="208"/>
      <c r="F1025" s="168"/>
      <c r="G1025" s="209"/>
      <c r="H1025" s="168"/>
      <c r="I1025" s="208"/>
    </row>
    <row r="1026">
      <c r="B1026" s="168"/>
      <c r="D1026" s="76"/>
      <c r="E1026" s="208"/>
      <c r="F1026" s="168"/>
      <c r="G1026" s="209"/>
      <c r="H1026" s="168"/>
      <c r="I1026" s="208"/>
    </row>
    <row r="1027">
      <c r="B1027" s="168"/>
      <c r="D1027" s="76"/>
      <c r="E1027" s="208"/>
      <c r="F1027" s="168"/>
      <c r="G1027" s="209"/>
      <c r="H1027" s="168"/>
      <c r="I1027" s="208"/>
    </row>
    <row r="1028">
      <c r="B1028" s="168"/>
      <c r="D1028" s="76"/>
      <c r="E1028" s="208"/>
      <c r="F1028" s="168"/>
      <c r="G1028" s="209"/>
      <c r="H1028" s="168"/>
      <c r="I1028" s="208"/>
    </row>
    <row r="1029">
      <c r="B1029" s="168"/>
      <c r="D1029" s="76"/>
      <c r="E1029" s="208"/>
      <c r="F1029" s="168"/>
      <c r="G1029" s="209"/>
      <c r="H1029" s="168"/>
      <c r="I1029" s="208"/>
    </row>
    <row r="1030">
      <c r="B1030" s="168"/>
      <c r="D1030" s="76"/>
      <c r="E1030" s="208"/>
      <c r="F1030" s="168"/>
      <c r="G1030" s="209"/>
      <c r="H1030" s="168"/>
      <c r="I1030" s="208"/>
    </row>
    <row r="1031">
      <c r="B1031" s="168"/>
      <c r="D1031" s="76"/>
      <c r="E1031" s="208"/>
      <c r="F1031" s="168"/>
      <c r="G1031" s="209"/>
      <c r="H1031" s="168"/>
      <c r="I1031" s="208"/>
    </row>
    <row r="1032">
      <c r="B1032" s="168"/>
      <c r="D1032" s="76"/>
      <c r="E1032" s="208"/>
      <c r="F1032" s="168"/>
      <c r="G1032" s="209"/>
      <c r="H1032" s="168"/>
      <c r="I1032" s="208"/>
    </row>
    <row r="1033">
      <c r="B1033" s="168"/>
      <c r="D1033" s="76"/>
      <c r="E1033" s="208"/>
      <c r="F1033" s="168"/>
      <c r="G1033" s="209"/>
      <c r="H1033" s="168"/>
      <c r="I1033" s="208"/>
    </row>
    <row r="1034">
      <c r="B1034" s="168"/>
      <c r="D1034" s="76"/>
      <c r="E1034" s="208"/>
      <c r="F1034" s="168"/>
      <c r="G1034" s="209"/>
      <c r="H1034" s="168"/>
      <c r="I1034" s="208"/>
    </row>
    <row r="1035">
      <c r="B1035" s="168"/>
      <c r="D1035" s="76"/>
      <c r="E1035" s="208"/>
      <c r="F1035" s="168"/>
      <c r="G1035" s="209"/>
      <c r="H1035" s="168"/>
      <c r="I1035" s="208"/>
    </row>
    <row r="1036">
      <c r="B1036" s="168"/>
      <c r="D1036" s="76"/>
      <c r="E1036" s="208"/>
      <c r="F1036" s="168"/>
      <c r="G1036" s="209"/>
      <c r="H1036" s="168"/>
      <c r="I1036" s="208"/>
    </row>
    <row r="1037">
      <c r="B1037" s="168"/>
      <c r="D1037" s="76"/>
      <c r="E1037" s="208"/>
      <c r="F1037" s="168"/>
      <c r="G1037" s="209"/>
      <c r="H1037" s="168"/>
      <c r="I1037" s="208"/>
    </row>
    <row r="1038">
      <c r="B1038" s="168"/>
      <c r="D1038" s="76"/>
      <c r="E1038" s="208"/>
      <c r="F1038" s="168"/>
      <c r="G1038" s="209"/>
      <c r="H1038" s="168"/>
      <c r="I1038" s="208"/>
    </row>
    <row r="1039">
      <c r="B1039" s="168"/>
      <c r="D1039" s="76"/>
      <c r="E1039" s="208"/>
      <c r="F1039" s="168"/>
      <c r="G1039" s="209"/>
      <c r="H1039" s="168"/>
      <c r="I1039" s="208"/>
    </row>
    <row r="1040">
      <c r="B1040" s="168"/>
      <c r="D1040" s="76"/>
      <c r="E1040" s="208"/>
      <c r="F1040" s="168"/>
      <c r="G1040" s="209"/>
      <c r="H1040" s="168"/>
      <c r="I1040" s="208"/>
    </row>
    <row r="1041">
      <c r="B1041" s="168"/>
      <c r="D1041" s="76"/>
      <c r="E1041" s="208"/>
      <c r="F1041" s="168"/>
      <c r="G1041" s="209"/>
      <c r="H1041" s="168"/>
      <c r="I1041" s="208"/>
    </row>
    <row r="1042">
      <c r="B1042" s="168"/>
      <c r="D1042" s="76"/>
      <c r="E1042" s="208"/>
      <c r="F1042" s="168"/>
      <c r="G1042" s="209"/>
      <c r="H1042" s="168"/>
      <c r="I1042" s="208"/>
    </row>
    <row r="1043">
      <c r="B1043" s="168"/>
      <c r="D1043" s="76"/>
      <c r="E1043" s="208"/>
      <c r="F1043" s="168"/>
      <c r="G1043" s="209"/>
      <c r="H1043" s="168"/>
      <c r="I1043" s="208"/>
    </row>
    <row r="1044">
      <c r="B1044" s="168"/>
      <c r="D1044" s="76"/>
      <c r="E1044" s="208"/>
      <c r="F1044" s="168"/>
      <c r="G1044" s="209"/>
      <c r="H1044" s="168"/>
      <c r="I1044" s="208"/>
    </row>
    <row r="1045">
      <c r="B1045" s="168"/>
      <c r="D1045" s="76"/>
      <c r="E1045" s="208"/>
      <c r="F1045" s="168"/>
      <c r="G1045" s="209"/>
      <c r="H1045" s="168"/>
      <c r="I1045" s="208"/>
    </row>
    <row r="1046">
      <c r="B1046" s="168"/>
      <c r="D1046" s="76"/>
      <c r="E1046" s="208"/>
      <c r="F1046" s="168"/>
      <c r="G1046" s="209"/>
      <c r="H1046" s="168"/>
      <c r="I1046" s="208"/>
    </row>
    <row r="1047">
      <c r="B1047" s="168"/>
      <c r="D1047" s="76"/>
      <c r="E1047" s="208"/>
      <c r="F1047" s="168"/>
      <c r="G1047" s="209"/>
      <c r="H1047" s="168"/>
      <c r="I1047" s="208"/>
    </row>
    <row r="1048">
      <c r="B1048" s="168"/>
      <c r="D1048" s="76"/>
      <c r="E1048" s="208"/>
      <c r="F1048" s="168"/>
      <c r="G1048" s="209"/>
      <c r="H1048" s="168"/>
      <c r="I1048" s="208"/>
    </row>
    <row r="1049">
      <c r="B1049" s="168"/>
      <c r="D1049" s="76"/>
      <c r="E1049" s="208"/>
      <c r="F1049" s="168"/>
      <c r="G1049" s="209"/>
      <c r="H1049" s="168"/>
      <c r="I1049" s="208"/>
    </row>
    <row r="1050">
      <c r="B1050" s="168"/>
      <c r="D1050" s="76"/>
      <c r="E1050" s="208"/>
      <c r="F1050" s="168"/>
      <c r="G1050" s="209"/>
      <c r="H1050" s="168"/>
      <c r="I1050" s="208"/>
    </row>
    <row r="1051">
      <c r="B1051" s="168"/>
      <c r="D1051" s="76"/>
      <c r="E1051" s="208"/>
      <c r="F1051" s="168"/>
      <c r="G1051" s="209"/>
      <c r="H1051" s="168"/>
      <c r="I1051" s="208"/>
    </row>
    <row r="1052">
      <c r="B1052" s="168"/>
      <c r="D1052" s="76"/>
      <c r="E1052" s="208"/>
      <c r="F1052" s="168"/>
      <c r="G1052" s="209"/>
      <c r="H1052" s="168"/>
      <c r="I1052" s="208"/>
    </row>
    <row r="1053">
      <c r="B1053" s="168"/>
      <c r="D1053" s="76"/>
      <c r="E1053" s="208"/>
      <c r="F1053" s="168"/>
      <c r="G1053" s="209"/>
      <c r="H1053" s="168"/>
      <c r="I1053" s="208"/>
    </row>
    <row r="1054">
      <c r="B1054" s="168"/>
      <c r="D1054" s="76"/>
      <c r="E1054" s="208"/>
      <c r="F1054" s="168"/>
      <c r="G1054" s="209"/>
      <c r="H1054" s="168"/>
      <c r="I1054" s="208"/>
    </row>
    <row r="1055">
      <c r="B1055" s="168"/>
      <c r="D1055" s="76"/>
      <c r="E1055" s="208"/>
      <c r="F1055" s="168"/>
      <c r="G1055" s="209"/>
      <c r="H1055" s="168"/>
      <c r="I1055" s="208"/>
    </row>
    <row r="1056">
      <c r="B1056" s="168"/>
      <c r="D1056" s="76"/>
      <c r="E1056" s="208"/>
      <c r="F1056" s="168"/>
      <c r="G1056" s="209"/>
      <c r="H1056" s="168"/>
      <c r="I1056" s="208"/>
    </row>
    <row r="1057">
      <c r="B1057" s="168"/>
      <c r="D1057" s="76"/>
      <c r="E1057" s="208"/>
      <c r="F1057" s="168"/>
      <c r="G1057" s="209"/>
      <c r="H1057" s="168"/>
      <c r="I1057" s="208"/>
    </row>
    <row r="1058">
      <c r="B1058" s="168"/>
      <c r="D1058" s="76"/>
      <c r="E1058" s="208"/>
      <c r="F1058" s="168"/>
      <c r="G1058" s="209"/>
      <c r="H1058" s="168"/>
      <c r="I1058" s="208"/>
    </row>
    <row r="1059">
      <c r="B1059" s="168"/>
      <c r="D1059" s="76"/>
      <c r="E1059" s="208"/>
      <c r="F1059" s="168"/>
      <c r="G1059" s="209"/>
      <c r="H1059" s="168"/>
      <c r="I1059" s="208"/>
    </row>
    <row r="1060">
      <c r="B1060" s="168"/>
      <c r="D1060" s="76"/>
      <c r="E1060" s="208"/>
      <c r="F1060" s="168"/>
      <c r="G1060" s="209"/>
      <c r="H1060" s="168"/>
      <c r="I1060" s="208"/>
    </row>
    <row r="1061">
      <c r="B1061" s="168"/>
      <c r="D1061" s="76"/>
      <c r="E1061" s="208"/>
      <c r="F1061" s="168"/>
      <c r="G1061" s="209"/>
      <c r="H1061" s="168"/>
      <c r="I1061" s="208"/>
    </row>
    <row r="1062">
      <c r="B1062" s="168"/>
      <c r="D1062" s="76"/>
      <c r="E1062" s="208"/>
      <c r="F1062" s="168"/>
      <c r="G1062" s="209"/>
      <c r="H1062" s="168"/>
      <c r="I1062" s="208"/>
    </row>
    <row r="1063">
      <c r="B1063" s="168"/>
      <c r="D1063" s="76"/>
      <c r="E1063" s="208"/>
      <c r="F1063" s="168"/>
      <c r="G1063" s="209"/>
      <c r="H1063" s="168"/>
      <c r="I1063" s="208"/>
    </row>
    <row r="1064">
      <c r="B1064" s="168"/>
      <c r="D1064" s="76"/>
      <c r="E1064" s="208"/>
      <c r="F1064" s="168"/>
      <c r="G1064" s="209"/>
      <c r="H1064" s="168"/>
      <c r="I1064" s="208"/>
    </row>
    <row r="1065">
      <c r="B1065" s="168"/>
      <c r="D1065" s="76"/>
      <c r="E1065" s="208"/>
      <c r="F1065" s="168"/>
      <c r="G1065" s="209"/>
      <c r="H1065" s="168"/>
      <c r="I1065" s="208"/>
    </row>
    <row r="1066">
      <c r="B1066" s="168"/>
      <c r="D1066" s="76"/>
      <c r="E1066" s="208"/>
      <c r="F1066" s="168"/>
      <c r="G1066" s="209"/>
      <c r="H1066" s="168"/>
      <c r="I1066" s="208"/>
    </row>
    <row r="1067">
      <c r="B1067" s="168"/>
      <c r="D1067" s="76"/>
      <c r="E1067" s="208"/>
      <c r="F1067" s="168"/>
      <c r="G1067" s="209"/>
      <c r="H1067" s="168"/>
      <c r="I1067" s="208"/>
    </row>
    <row r="1068">
      <c r="B1068" s="168"/>
      <c r="D1068" s="76"/>
      <c r="E1068" s="208"/>
      <c r="F1068" s="168"/>
      <c r="G1068" s="209"/>
      <c r="H1068" s="168"/>
      <c r="I1068" s="208"/>
    </row>
    <row r="1069">
      <c r="B1069" s="168"/>
      <c r="D1069" s="76"/>
      <c r="E1069" s="208"/>
      <c r="F1069" s="168"/>
      <c r="G1069" s="209"/>
      <c r="H1069" s="168"/>
      <c r="I1069" s="208"/>
    </row>
    <row r="1070">
      <c r="B1070" s="168"/>
      <c r="D1070" s="76"/>
      <c r="E1070" s="208"/>
      <c r="F1070" s="168"/>
      <c r="G1070" s="209"/>
      <c r="H1070" s="168"/>
      <c r="I1070" s="208"/>
    </row>
    <row r="1071">
      <c r="B1071" s="168"/>
      <c r="D1071" s="76"/>
      <c r="E1071" s="208"/>
      <c r="F1071" s="168"/>
      <c r="G1071" s="209"/>
      <c r="H1071" s="168"/>
      <c r="I1071" s="208"/>
    </row>
    <row r="1072">
      <c r="B1072" s="168"/>
      <c r="D1072" s="76"/>
      <c r="E1072" s="208"/>
      <c r="F1072" s="168"/>
      <c r="G1072" s="209"/>
      <c r="H1072" s="168"/>
      <c r="I1072" s="208"/>
    </row>
    <row r="1073">
      <c r="B1073" s="168"/>
      <c r="D1073" s="76"/>
      <c r="E1073" s="208"/>
      <c r="F1073" s="168"/>
      <c r="G1073" s="209"/>
      <c r="H1073" s="168"/>
      <c r="I1073" s="208"/>
    </row>
    <row r="1074">
      <c r="B1074" s="168"/>
      <c r="D1074" s="76"/>
      <c r="E1074" s="208"/>
      <c r="F1074" s="168"/>
      <c r="G1074" s="209"/>
      <c r="H1074" s="168"/>
      <c r="I1074" s="208"/>
    </row>
    <row r="1075">
      <c r="B1075" s="168"/>
      <c r="D1075" s="76"/>
      <c r="E1075" s="208"/>
      <c r="F1075" s="168"/>
      <c r="G1075" s="209"/>
      <c r="H1075" s="168"/>
      <c r="I1075" s="208"/>
    </row>
    <row r="1076">
      <c r="B1076" s="168"/>
      <c r="D1076" s="76"/>
      <c r="E1076" s="208"/>
      <c r="F1076" s="168"/>
      <c r="G1076" s="209"/>
      <c r="H1076" s="168"/>
      <c r="I1076" s="208"/>
    </row>
    <row r="1077">
      <c r="B1077" s="168"/>
      <c r="D1077" s="76"/>
      <c r="E1077" s="208"/>
      <c r="F1077" s="168"/>
      <c r="G1077" s="209"/>
      <c r="H1077" s="168"/>
      <c r="I1077" s="208"/>
    </row>
    <row r="1078">
      <c r="B1078" s="168"/>
      <c r="D1078" s="76"/>
      <c r="E1078" s="208"/>
      <c r="F1078" s="168"/>
      <c r="G1078" s="209"/>
      <c r="H1078" s="168"/>
      <c r="I1078" s="208"/>
    </row>
    <row r="1079">
      <c r="B1079" s="168"/>
      <c r="D1079" s="76"/>
      <c r="E1079" s="208"/>
      <c r="F1079" s="168"/>
      <c r="G1079" s="209"/>
      <c r="H1079" s="168"/>
      <c r="I1079" s="208"/>
    </row>
    <row r="1080">
      <c r="B1080" s="168"/>
      <c r="D1080" s="76"/>
      <c r="E1080" s="208"/>
      <c r="F1080" s="168"/>
      <c r="G1080" s="209"/>
      <c r="H1080" s="168"/>
      <c r="I1080" s="208"/>
    </row>
    <row r="1081">
      <c r="B1081" s="168"/>
      <c r="D1081" s="76"/>
      <c r="E1081" s="208"/>
      <c r="F1081" s="168"/>
      <c r="G1081" s="209"/>
      <c r="H1081" s="168"/>
      <c r="I1081" s="208"/>
    </row>
    <row r="1082">
      <c r="B1082" s="168"/>
      <c r="D1082" s="76"/>
      <c r="E1082" s="208"/>
      <c r="F1082" s="168"/>
      <c r="G1082" s="209"/>
      <c r="H1082" s="168"/>
      <c r="I1082" s="208"/>
    </row>
    <row r="1083">
      <c r="B1083" s="168"/>
      <c r="D1083" s="76"/>
      <c r="E1083" s="208"/>
      <c r="F1083" s="168"/>
      <c r="G1083" s="209"/>
      <c r="H1083" s="168"/>
      <c r="I1083" s="208"/>
    </row>
    <row r="1084">
      <c r="B1084" s="168"/>
      <c r="D1084" s="76"/>
      <c r="E1084" s="208"/>
      <c r="F1084" s="168"/>
      <c r="G1084" s="209"/>
      <c r="H1084" s="168"/>
      <c r="I1084" s="208"/>
    </row>
    <row r="1085">
      <c r="B1085" s="168"/>
      <c r="D1085" s="76"/>
      <c r="E1085" s="208"/>
      <c r="F1085" s="168"/>
      <c r="G1085" s="209"/>
      <c r="H1085" s="168"/>
      <c r="I1085" s="208"/>
    </row>
    <row r="1086">
      <c r="B1086" s="168"/>
      <c r="D1086" s="76"/>
      <c r="E1086" s="208"/>
      <c r="F1086" s="168"/>
      <c r="G1086" s="209"/>
      <c r="H1086" s="168"/>
      <c r="I1086" s="208"/>
    </row>
    <row r="1087">
      <c r="B1087" s="168"/>
      <c r="D1087" s="76"/>
      <c r="E1087" s="208"/>
      <c r="F1087" s="168"/>
      <c r="G1087" s="209"/>
      <c r="H1087" s="168"/>
      <c r="I1087" s="208"/>
    </row>
    <row r="1088">
      <c r="B1088" s="168"/>
      <c r="D1088" s="76"/>
      <c r="E1088" s="208"/>
      <c r="F1088" s="168"/>
      <c r="G1088" s="209"/>
      <c r="H1088" s="168"/>
      <c r="I1088" s="208"/>
    </row>
    <row r="1089">
      <c r="B1089" s="168"/>
      <c r="D1089" s="76"/>
      <c r="E1089" s="208"/>
      <c r="F1089" s="168"/>
      <c r="G1089" s="209"/>
      <c r="H1089" s="168"/>
      <c r="I1089" s="208"/>
    </row>
    <row r="1090">
      <c r="B1090" s="168"/>
      <c r="D1090" s="76"/>
      <c r="E1090" s="208"/>
      <c r="F1090" s="168"/>
      <c r="G1090" s="209"/>
      <c r="H1090" s="168"/>
      <c r="I1090" s="208"/>
    </row>
    <row r="1091">
      <c r="B1091" s="168"/>
      <c r="D1091" s="76"/>
      <c r="E1091" s="208"/>
      <c r="F1091" s="168"/>
      <c r="G1091" s="209"/>
      <c r="H1091" s="168"/>
      <c r="I1091" s="208"/>
    </row>
    <row r="1092">
      <c r="B1092" s="168"/>
      <c r="D1092" s="76"/>
      <c r="E1092" s="208"/>
      <c r="F1092" s="168"/>
      <c r="G1092" s="209"/>
      <c r="H1092" s="168"/>
      <c r="I1092" s="208"/>
    </row>
    <row r="1093">
      <c r="B1093" s="168"/>
      <c r="D1093" s="76"/>
      <c r="E1093" s="208"/>
      <c r="F1093" s="168"/>
      <c r="G1093" s="209"/>
      <c r="H1093" s="168"/>
      <c r="I1093" s="208"/>
    </row>
    <row r="1094">
      <c r="B1094" s="168"/>
      <c r="D1094" s="76"/>
      <c r="E1094" s="208"/>
      <c r="F1094" s="168"/>
      <c r="G1094" s="209"/>
      <c r="H1094" s="168"/>
      <c r="I1094" s="208"/>
    </row>
    <row r="1095">
      <c r="B1095" s="168"/>
      <c r="D1095" s="76"/>
      <c r="E1095" s="208"/>
      <c r="F1095" s="168"/>
      <c r="G1095" s="209"/>
      <c r="H1095" s="168"/>
      <c r="I1095" s="208"/>
    </row>
    <row r="1096">
      <c r="B1096" s="168"/>
      <c r="D1096" s="76"/>
      <c r="E1096" s="208"/>
      <c r="F1096" s="168"/>
      <c r="G1096" s="209"/>
      <c r="H1096" s="168"/>
      <c r="I1096" s="208"/>
    </row>
    <row r="1097">
      <c r="B1097" s="168"/>
      <c r="D1097" s="76"/>
      <c r="E1097" s="208"/>
      <c r="F1097" s="168"/>
      <c r="G1097" s="209"/>
      <c r="H1097" s="168"/>
      <c r="I1097" s="208"/>
    </row>
    <row r="1098">
      <c r="B1098" s="168"/>
      <c r="D1098" s="76"/>
      <c r="E1098" s="208"/>
      <c r="F1098" s="168"/>
      <c r="G1098" s="209"/>
      <c r="H1098" s="168"/>
      <c r="I1098" s="208"/>
    </row>
    <row r="1099">
      <c r="B1099" s="168"/>
      <c r="D1099" s="76"/>
      <c r="E1099" s="208"/>
      <c r="F1099" s="168"/>
      <c r="G1099" s="209"/>
      <c r="H1099" s="168"/>
      <c r="I1099" s="208"/>
    </row>
    <row r="1100">
      <c r="B1100" s="168"/>
      <c r="D1100" s="76"/>
      <c r="E1100" s="208"/>
      <c r="F1100" s="168"/>
      <c r="G1100" s="209"/>
      <c r="H1100" s="168"/>
      <c r="I1100" s="208"/>
    </row>
    <row r="1101">
      <c r="B1101" s="168"/>
      <c r="D1101" s="76"/>
      <c r="E1101" s="208"/>
      <c r="F1101" s="168"/>
      <c r="G1101" s="209"/>
      <c r="H1101" s="168"/>
      <c r="I1101" s="208"/>
    </row>
    <row r="1102">
      <c r="B1102" s="168"/>
      <c r="D1102" s="76"/>
      <c r="E1102" s="208"/>
      <c r="F1102" s="168"/>
      <c r="G1102" s="209"/>
      <c r="H1102" s="168"/>
      <c r="I1102" s="208"/>
    </row>
    <row r="1103">
      <c r="B1103" s="168"/>
      <c r="D1103" s="76"/>
      <c r="E1103" s="208"/>
      <c r="F1103" s="168"/>
      <c r="G1103" s="209"/>
      <c r="H1103" s="168"/>
      <c r="I1103" s="208"/>
    </row>
    <row r="1104">
      <c r="B1104" s="168"/>
      <c r="D1104" s="76"/>
      <c r="E1104" s="208"/>
      <c r="F1104" s="168"/>
      <c r="G1104" s="209"/>
      <c r="H1104" s="168"/>
      <c r="I1104" s="208"/>
    </row>
    <row r="1105">
      <c r="B1105" s="168"/>
      <c r="D1105" s="76"/>
      <c r="E1105" s="208"/>
      <c r="F1105" s="168"/>
      <c r="G1105" s="209"/>
      <c r="H1105" s="168"/>
      <c r="I1105" s="208"/>
    </row>
    <row r="1106">
      <c r="B1106" s="168"/>
      <c r="D1106" s="76"/>
      <c r="E1106" s="208"/>
      <c r="F1106" s="168"/>
      <c r="G1106" s="209"/>
      <c r="H1106" s="168"/>
      <c r="I1106" s="208"/>
    </row>
    <row r="1107">
      <c r="B1107" s="168"/>
      <c r="D1107" s="76"/>
      <c r="E1107" s="208"/>
      <c r="F1107" s="168"/>
      <c r="G1107" s="209"/>
      <c r="H1107" s="168"/>
      <c r="I1107" s="208"/>
    </row>
    <row r="1108">
      <c r="B1108" s="168"/>
      <c r="D1108" s="76"/>
      <c r="E1108" s="208"/>
      <c r="F1108" s="168"/>
      <c r="G1108" s="209"/>
      <c r="H1108" s="168"/>
      <c r="I1108" s="208"/>
    </row>
    <row r="1109">
      <c r="B1109" s="168"/>
      <c r="D1109" s="76"/>
      <c r="E1109" s="208"/>
      <c r="F1109" s="168"/>
      <c r="G1109" s="209"/>
      <c r="H1109" s="168"/>
      <c r="I1109" s="208"/>
    </row>
    <row r="1110">
      <c r="B1110" s="168"/>
      <c r="D1110" s="76"/>
      <c r="E1110" s="208"/>
      <c r="F1110" s="168"/>
      <c r="G1110" s="209"/>
      <c r="H1110" s="168"/>
      <c r="I1110" s="208"/>
    </row>
    <row r="1111">
      <c r="B1111" s="168"/>
      <c r="D1111" s="76"/>
      <c r="E1111" s="208"/>
      <c r="F1111" s="168"/>
      <c r="G1111" s="209"/>
      <c r="H1111" s="168"/>
      <c r="I1111" s="208"/>
    </row>
    <row r="1112">
      <c r="B1112" s="168"/>
      <c r="D1112" s="76"/>
      <c r="E1112" s="208"/>
      <c r="F1112" s="168"/>
      <c r="G1112" s="209"/>
      <c r="H1112" s="168"/>
      <c r="I1112" s="208"/>
    </row>
    <row r="1113">
      <c r="B1113" s="168"/>
      <c r="D1113" s="76"/>
      <c r="E1113" s="208"/>
      <c r="F1113" s="168"/>
      <c r="G1113" s="209"/>
      <c r="H1113" s="168"/>
      <c r="I1113" s="208"/>
    </row>
    <row r="1114">
      <c r="B1114" s="168"/>
      <c r="D1114" s="76"/>
      <c r="E1114" s="208"/>
      <c r="F1114" s="168"/>
      <c r="G1114" s="209"/>
      <c r="H1114" s="168"/>
      <c r="I1114" s="208"/>
    </row>
    <row r="1115">
      <c r="B1115" s="168"/>
      <c r="D1115" s="76"/>
      <c r="E1115" s="208"/>
      <c r="F1115" s="168"/>
      <c r="G1115" s="209"/>
      <c r="H1115" s="168"/>
      <c r="I1115" s="208"/>
    </row>
    <row r="1116">
      <c r="B1116" s="168"/>
      <c r="D1116" s="76"/>
      <c r="E1116" s="208"/>
      <c r="F1116" s="168"/>
      <c r="G1116" s="209"/>
      <c r="H1116" s="168"/>
      <c r="I1116" s="208"/>
    </row>
    <row r="1117">
      <c r="B1117" s="168"/>
      <c r="D1117" s="76"/>
      <c r="E1117" s="208"/>
      <c r="F1117" s="168"/>
      <c r="G1117" s="209"/>
      <c r="H1117" s="168"/>
      <c r="I1117" s="208"/>
    </row>
    <row r="1118">
      <c r="B1118" s="168"/>
      <c r="D1118" s="76"/>
      <c r="E1118" s="208"/>
      <c r="F1118" s="168"/>
      <c r="G1118" s="209"/>
      <c r="H1118" s="168"/>
      <c r="I1118" s="208"/>
    </row>
    <row r="1119">
      <c r="B1119" s="168"/>
      <c r="D1119" s="76"/>
      <c r="E1119" s="208"/>
      <c r="F1119" s="168"/>
      <c r="G1119" s="209"/>
      <c r="H1119" s="168"/>
      <c r="I1119" s="208"/>
    </row>
    <row r="1120">
      <c r="B1120" s="168"/>
      <c r="D1120" s="76"/>
      <c r="E1120" s="208"/>
      <c r="F1120" s="168"/>
      <c r="G1120" s="209"/>
      <c r="H1120" s="168"/>
      <c r="I1120" s="208"/>
    </row>
    <row r="1121">
      <c r="B1121" s="168"/>
      <c r="D1121" s="76"/>
      <c r="E1121" s="208"/>
      <c r="F1121" s="168"/>
      <c r="G1121" s="209"/>
      <c r="H1121" s="168"/>
      <c r="I1121" s="208"/>
    </row>
    <row r="1122">
      <c r="B1122" s="168"/>
      <c r="D1122" s="76"/>
      <c r="E1122" s="208"/>
      <c r="F1122" s="168"/>
      <c r="G1122" s="209"/>
      <c r="H1122" s="168"/>
      <c r="I1122" s="208"/>
    </row>
    <row r="1123">
      <c r="B1123" s="168"/>
      <c r="D1123" s="76"/>
      <c r="E1123" s="208"/>
      <c r="F1123" s="168"/>
      <c r="G1123" s="209"/>
      <c r="H1123" s="168"/>
      <c r="I1123" s="208"/>
    </row>
    <row r="1124">
      <c r="B1124" s="168"/>
      <c r="D1124" s="76"/>
      <c r="E1124" s="208"/>
      <c r="F1124" s="168"/>
      <c r="G1124" s="209"/>
      <c r="H1124" s="168"/>
      <c r="I1124" s="208"/>
    </row>
    <row r="1125">
      <c r="B1125" s="168"/>
      <c r="D1125" s="76"/>
      <c r="E1125" s="208"/>
      <c r="F1125" s="168"/>
      <c r="G1125" s="209"/>
      <c r="H1125" s="168"/>
      <c r="I1125" s="208"/>
    </row>
    <row r="1126">
      <c r="B1126" s="168"/>
      <c r="D1126" s="76"/>
      <c r="E1126" s="208"/>
      <c r="F1126" s="168"/>
      <c r="G1126" s="209"/>
      <c r="H1126" s="168"/>
      <c r="I1126" s="208"/>
    </row>
    <row r="1127">
      <c r="B1127" s="168"/>
      <c r="D1127" s="76"/>
      <c r="E1127" s="208"/>
      <c r="F1127" s="168"/>
      <c r="G1127" s="209"/>
      <c r="H1127" s="168"/>
      <c r="I1127" s="208"/>
    </row>
    <row r="1128">
      <c r="B1128" s="168"/>
      <c r="D1128" s="76"/>
      <c r="E1128" s="208"/>
      <c r="F1128" s="168"/>
      <c r="G1128" s="209"/>
      <c r="H1128" s="168"/>
      <c r="I1128" s="208"/>
    </row>
    <row r="1129">
      <c r="B1129" s="168"/>
      <c r="D1129" s="76"/>
      <c r="E1129" s="208"/>
      <c r="F1129" s="168"/>
      <c r="G1129" s="209"/>
      <c r="H1129" s="168"/>
      <c r="I1129" s="208"/>
    </row>
    <row r="1130">
      <c r="B1130" s="168"/>
      <c r="D1130" s="76"/>
      <c r="E1130" s="208"/>
      <c r="F1130" s="168"/>
      <c r="G1130" s="209"/>
      <c r="H1130" s="168"/>
      <c r="I1130" s="208"/>
    </row>
    <row r="1131">
      <c r="B1131" s="168"/>
      <c r="D1131" s="76"/>
      <c r="E1131" s="208"/>
      <c r="F1131" s="168"/>
      <c r="G1131" s="209"/>
      <c r="H1131" s="168"/>
      <c r="I1131" s="208"/>
    </row>
    <row r="1132">
      <c r="B1132" s="168"/>
      <c r="D1132" s="76"/>
      <c r="E1132" s="208"/>
      <c r="F1132" s="168"/>
      <c r="G1132" s="209"/>
      <c r="H1132" s="168"/>
      <c r="I1132" s="208"/>
    </row>
    <row r="1133">
      <c r="B1133" s="168"/>
      <c r="D1133" s="76"/>
      <c r="E1133" s="208"/>
      <c r="F1133" s="168"/>
      <c r="G1133" s="209"/>
      <c r="H1133" s="168"/>
      <c r="I1133" s="208"/>
    </row>
    <row r="1134">
      <c r="B1134" s="168"/>
      <c r="D1134" s="76"/>
      <c r="E1134" s="208"/>
      <c r="F1134" s="168"/>
      <c r="G1134" s="209"/>
      <c r="H1134" s="168"/>
      <c r="I1134" s="208"/>
    </row>
    <row r="1135">
      <c r="B1135" s="168"/>
      <c r="D1135" s="76"/>
      <c r="E1135" s="208"/>
      <c r="F1135" s="168"/>
      <c r="G1135" s="209"/>
      <c r="H1135" s="168"/>
      <c r="I1135" s="208"/>
    </row>
    <row r="1136">
      <c r="B1136" s="168"/>
      <c r="D1136" s="76"/>
      <c r="E1136" s="208"/>
      <c r="F1136" s="168"/>
      <c r="G1136" s="209"/>
      <c r="H1136" s="168"/>
      <c r="I1136" s="208"/>
    </row>
    <row r="1137">
      <c r="B1137" s="168"/>
      <c r="D1137" s="76"/>
      <c r="E1137" s="208"/>
      <c r="F1137" s="168"/>
      <c r="G1137" s="209"/>
      <c r="H1137" s="168"/>
      <c r="I1137" s="208"/>
    </row>
    <row r="1138">
      <c r="B1138" s="168"/>
      <c r="D1138" s="76"/>
      <c r="E1138" s="208"/>
      <c r="F1138" s="168"/>
      <c r="G1138" s="209"/>
      <c r="H1138" s="168"/>
      <c r="I1138" s="208"/>
    </row>
    <row r="1139">
      <c r="B1139" s="168"/>
      <c r="D1139" s="76"/>
      <c r="E1139" s="208"/>
      <c r="F1139" s="168"/>
      <c r="G1139" s="209"/>
      <c r="H1139" s="168"/>
      <c r="I1139" s="208"/>
    </row>
    <row r="1140">
      <c r="B1140" s="168"/>
      <c r="D1140" s="76"/>
      <c r="E1140" s="208"/>
      <c r="F1140" s="168"/>
      <c r="G1140" s="209"/>
      <c r="H1140" s="168"/>
      <c r="I1140" s="208"/>
    </row>
    <row r="1141">
      <c r="B1141" s="168"/>
      <c r="D1141" s="76"/>
      <c r="E1141" s="208"/>
      <c r="F1141" s="168"/>
      <c r="G1141" s="209"/>
      <c r="H1141" s="168"/>
      <c r="I1141" s="208"/>
    </row>
    <row r="1142">
      <c r="B1142" s="168"/>
      <c r="D1142" s="76"/>
      <c r="E1142" s="208"/>
      <c r="F1142" s="168"/>
      <c r="G1142" s="209"/>
      <c r="H1142" s="168"/>
      <c r="I1142" s="208"/>
    </row>
    <row r="1143">
      <c r="B1143" s="168"/>
      <c r="D1143" s="76"/>
      <c r="E1143" s="208"/>
      <c r="F1143" s="168"/>
      <c r="G1143" s="209"/>
      <c r="H1143" s="168"/>
      <c r="I1143" s="208"/>
    </row>
    <row r="1144">
      <c r="B1144" s="168"/>
      <c r="D1144" s="76"/>
      <c r="E1144" s="208"/>
      <c r="F1144" s="168"/>
      <c r="G1144" s="209"/>
      <c r="H1144" s="168"/>
      <c r="I1144" s="208"/>
    </row>
    <row r="1145">
      <c r="B1145" s="168"/>
      <c r="D1145" s="76"/>
      <c r="E1145" s="208"/>
      <c r="F1145" s="168"/>
      <c r="G1145" s="209"/>
      <c r="H1145" s="168"/>
      <c r="I1145" s="208"/>
    </row>
    <row r="1146">
      <c r="B1146" s="168"/>
      <c r="D1146" s="76"/>
      <c r="E1146" s="208"/>
      <c r="F1146" s="168"/>
      <c r="G1146" s="209"/>
      <c r="H1146" s="168"/>
      <c r="I1146" s="208"/>
    </row>
    <row r="1147">
      <c r="B1147" s="168"/>
      <c r="D1147" s="76"/>
      <c r="E1147" s="208"/>
      <c r="F1147" s="168"/>
      <c r="G1147" s="209"/>
      <c r="H1147" s="168"/>
      <c r="I1147" s="208"/>
    </row>
    <row r="1148">
      <c r="B1148" s="168"/>
      <c r="D1148" s="76"/>
      <c r="E1148" s="208"/>
      <c r="F1148" s="168"/>
      <c r="G1148" s="209"/>
      <c r="H1148" s="168"/>
      <c r="I1148" s="208"/>
    </row>
    <row r="1149">
      <c r="B1149" s="168"/>
      <c r="D1149" s="76"/>
      <c r="E1149" s="208"/>
      <c r="F1149" s="168"/>
      <c r="G1149" s="209"/>
      <c r="H1149" s="168"/>
      <c r="I1149" s="208"/>
    </row>
    <row r="1150">
      <c r="B1150" s="168"/>
      <c r="D1150" s="76"/>
      <c r="E1150" s="208"/>
      <c r="F1150" s="168"/>
      <c r="G1150" s="209"/>
      <c r="H1150" s="168"/>
      <c r="I1150" s="208"/>
    </row>
    <row r="1151">
      <c r="B1151" s="168"/>
      <c r="D1151" s="76"/>
      <c r="E1151" s="208"/>
      <c r="F1151" s="168"/>
      <c r="G1151" s="209"/>
      <c r="H1151" s="168"/>
      <c r="I1151" s="208"/>
    </row>
    <row r="1152">
      <c r="B1152" s="168"/>
      <c r="D1152" s="76"/>
      <c r="E1152" s="208"/>
      <c r="F1152" s="168"/>
      <c r="G1152" s="209"/>
      <c r="H1152" s="168"/>
      <c r="I1152" s="208"/>
    </row>
    <row r="1153">
      <c r="B1153" s="168"/>
      <c r="D1153" s="76"/>
      <c r="E1153" s="208"/>
      <c r="F1153" s="168"/>
      <c r="G1153" s="209"/>
      <c r="H1153" s="168"/>
      <c r="I1153" s="208"/>
    </row>
    <row r="1154">
      <c r="B1154" s="168"/>
      <c r="D1154" s="76"/>
      <c r="E1154" s="208"/>
      <c r="F1154" s="168"/>
      <c r="G1154" s="209"/>
      <c r="H1154" s="168"/>
      <c r="I1154" s="208"/>
    </row>
    <row r="1155">
      <c r="B1155" s="168"/>
      <c r="D1155" s="76"/>
      <c r="E1155" s="208"/>
      <c r="F1155" s="168"/>
      <c r="G1155" s="209"/>
      <c r="H1155" s="168"/>
      <c r="I1155" s="208"/>
    </row>
    <row r="1156">
      <c r="B1156" s="168"/>
      <c r="D1156" s="76"/>
      <c r="E1156" s="208"/>
      <c r="F1156" s="168"/>
      <c r="G1156" s="209"/>
      <c r="H1156" s="168"/>
      <c r="I1156" s="208"/>
    </row>
    <row r="1157">
      <c r="B1157" s="168"/>
      <c r="D1157" s="76"/>
      <c r="E1157" s="208"/>
      <c r="F1157" s="168"/>
      <c r="G1157" s="209"/>
      <c r="H1157" s="168"/>
      <c r="I1157" s="208"/>
    </row>
    <row r="1158">
      <c r="B1158" s="168"/>
      <c r="D1158" s="76"/>
      <c r="E1158" s="208"/>
      <c r="F1158" s="168"/>
      <c r="G1158" s="209"/>
      <c r="H1158" s="168"/>
      <c r="I1158" s="208"/>
    </row>
    <row r="1159">
      <c r="B1159" s="168"/>
      <c r="D1159" s="76"/>
      <c r="E1159" s="208"/>
      <c r="F1159" s="168"/>
      <c r="G1159" s="209"/>
      <c r="H1159" s="168"/>
      <c r="I1159" s="208"/>
    </row>
    <row r="1160">
      <c r="B1160" s="168"/>
      <c r="D1160" s="76"/>
      <c r="E1160" s="208"/>
      <c r="F1160" s="168"/>
      <c r="G1160" s="209"/>
      <c r="H1160" s="168"/>
      <c r="I1160" s="208"/>
    </row>
    <row r="1161">
      <c r="B1161" s="168"/>
      <c r="D1161" s="76"/>
      <c r="E1161" s="208"/>
      <c r="F1161" s="168"/>
      <c r="G1161" s="209"/>
      <c r="H1161" s="168"/>
      <c r="I1161" s="208"/>
    </row>
    <row r="1162">
      <c r="B1162" s="168"/>
      <c r="D1162" s="76"/>
      <c r="E1162" s="208"/>
      <c r="F1162" s="168"/>
      <c r="G1162" s="209"/>
      <c r="H1162" s="168"/>
      <c r="I1162" s="208"/>
    </row>
    <row r="1163">
      <c r="B1163" s="168"/>
      <c r="D1163" s="76"/>
      <c r="E1163" s="208"/>
      <c r="F1163" s="168"/>
      <c r="G1163" s="209"/>
      <c r="H1163" s="168"/>
      <c r="I1163" s="208"/>
    </row>
    <row r="1164">
      <c r="B1164" s="168"/>
      <c r="D1164" s="76"/>
      <c r="E1164" s="208"/>
      <c r="F1164" s="168"/>
      <c r="G1164" s="209"/>
      <c r="H1164" s="168"/>
      <c r="I1164" s="208"/>
    </row>
    <row r="1165">
      <c r="B1165" s="168"/>
      <c r="D1165" s="76"/>
      <c r="E1165" s="208"/>
      <c r="F1165" s="168"/>
      <c r="G1165" s="209"/>
      <c r="H1165" s="168"/>
      <c r="I1165" s="208"/>
    </row>
    <row r="1166">
      <c r="B1166" s="168"/>
      <c r="D1166" s="76"/>
      <c r="E1166" s="208"/>
      <c r="F1166" s="168"/>
      <c r="G1166" s="209"/>
      <c r="H1166" s="168"/>
      <c r="I1166" s="208"/>
    </row>
    <row r="1167">
      <c r="B1167" s="168"/>
      <c r="D1167" s="76"/>
      <c r="E1167" s="208"/>
      <c r="F1167" s="168"/>
      <c r="G1167" s="209"/>
      <c r="H1167" s="168"/>
      <c r="I1167" s="208"/>
    </row>
    <row r="1168">
      <c r="B1168" s="168"/>
      <c r="D1168" s="76"/>
      <c r="E1168" s="208"/>
      <c r="F1168" s="168"/>
      <c r="G1168" s="209"/>
      <c r="H1168" s="168"/>
      <c r="I1168" s="208"/>
    </row>
    <row r="1169">
      <c r="B1169" s="168"/>
      <c r="D1169" s="76"/>
      <c r="E1169" s="208"/>
      <c r="F1169" s="168"/>
      <c r="G1169" s="209"/>
      <c r="H1169" s="168"/>
      <c r="I1169" s="208"/>
    </row>
    <row r="1170">
      <c r="B1170" s="168"/>
      <c r="D1170" s="76"/>
      <c r="E1170" s="208"/>
      <c r="F1170" s="168"/>
      <c r="G1170" s="209"/>
      <c r="H1170" s="168"/>
      <c r="I1170" s="208"/>
    </row>
    <row r="1171">
      <c r="B1171" s="168"/>
      <c r="D1171" s="76"/>
      <c r="E1171" s="208"/>
      <c r="F1171" s="168"/>
      <c r="G1171" s="209"/>
      <c r="H1171" s="168"/>
      <c r="I1171" s="208"/>
    </row>
    <row r="1172">
      <c r="B1172" s="168"/>
      <c r="D1172" s="76"/>
      <c r="E1172" s="208"/>
      <c r="F1172" s="168"/>
      <c r="G1172" s="209"/>
      <c r="H1172" s="168"/>
      <c r="I1172" s="208"/>
    </row>
    <row r="1173">
      <c r="B1173" s="168"/>
      <c r="D1173" s="76"/>
      <c r="E1173" s="208"/>
      <c r="F1173" s="168"/>
      <c r="G1173" s="209"/>
      <c r="H1173" s="168"/>
      <c r="I1173" s="208"/>
    </row>
    <row r="1174">
      <c r="B1174" s="168"/>
      <c r="D1174" s="76"/>
      <c r="E1174" s="208"/>
      <c r="F1174" s="168"/>
      <c r="G1174" s="209"/>
      <c r="H1174" s="168"/>
      <c r="I1174" s="208"/>
    </row>
    <row r="1175">
      <c r="B1175" s="168"/>
      <c r="D1175" s="76"/>
      <c r="E1175" s="208"/>
      <c r="F1175" s="168"/>
      <c r="G1175" s="209"/>
      <c r="H1175" s="168"/>
      <c r="I1175" s="208"/>
    </row>
    <row r="1176">
      <c r="B1176" s="168"/>
      <c r="D1176" s="76"/>
      <c r="E1176" s="208"/>
      <c r="F1176" s="168"/>
      <c r="G1176" s="209"/>
      <c r="H1176" s="168"/>
      <c r="I1176" s="208"/>
    </row>
    <row r="1177">
      <c r="B1177" s="168"/>
      <c r="D1177" s="76"/>
      <c r="E1177" s="208"/>
      <c r="F1177" s="168"/>
      <c r="G1177" s="209"/>
      <c r="H1177" s="168"/>
      <c r="I1177" s="208"/>
    </row>
    <row r="1178">
      <c r="B1178" s="168"/>
      <c r="D1178" s="76"/>
      <c r="E1178" s="208"/>
      <c r="F1178" s="168"/>
      <c r="G1178" s="209"/>
      <c r="H1178" s="168"/>
      <c r="I1178" s="208"/>
    </row>
    <row r="1179">
      <c r="B1179" s="168"/>
      <c r="D1179" s="76"/>
      <c r="E1179" s="208"/>
      <c r="F1179" s="168"/>
      <c r="G1179" s="209"/>
      <c r="H1179" s="168"/>
      <c r="I1179" s="208"/>
    </row>
    <row r="1180">
      <c r="B1180" s="168"/>
      <c r="D1180" s="76"/>
      <c r="E1180" s="208"/>
      <c r="F1180" s="168"/>
      <c r="G1180" s="209"/>
      <c r="H1180" s="168"/>
      <c r="I1180" s="208"/>
    </row>
    <row r="1181">
      <c r="B1181" s="168"/>
      <c r="D1181" s="76"/>
      <c r="E1181" s="208"/>
      <c r="F1181" s="168"/>
      <c r="G1181" s="209"/>
      <c r="H1181" s="168"/>
      <c r="I1181" s="208"/>
    </row>
    <row r="1182">
      <c r="B1182" s="168"/>
      <c r="D1182" s="76"/>
      <c r="E1182" s="208"/>
      <c r="F1182" s="168"/>
      <c r="G1182" s="209"/>
      <c r="H1182" s="168"/>
      <c r="I1182" s="208"/>
    </row>
    <row r="1183">
      <c r="B1183" s="168"/>
      <c r="D1183" s="76"/>
      <c r="E1183" s="208"/>
      <c r="F1183" s="168"/>
      <c r="G1183" s="209"/>
      <c r="H1183" s="168"/>
      <c r="I1183" s="208"/>
    </row>
    <row r="1184">
      <c r="B1184" s="168"/>
      <c r="D1184" s="76"/>
      <c r="E1184" s="208"/>
      <c r="F1184" s="168"/>
      <c r="G1184" s="209"/>
      <c r="H1184" s="168"/>
      <c r="I1184" s="208"/>
    </row>
    <row r="1185">
      <c r="B1185" s="168"/>
      <c r="D1185" s="76"/>
      <c r="E1185" s="208"/>
      <c r="F1185" s="168"/>
      <c r="G1185" s="209"/>
      <c r="H1185" s="168"/>
      <c r="I1185" s="208"/>
    </row>
    <row r="1186">
      <c r="B1186" s="168"/>
      <c r="D1186" s="76"/>
      <c r="E1186" s="208"/>
      <c r="F1186" s="168"/>
      <c r="G1186" s="209"/>
      <c r="H1186" s="168"/>
      <c r="I1186" s="208"/>
    </row>
    <row r="1187">
      <c r="B1187" s="168"/>
      <c r="D1187" s="76"/>
      <c r="E1187" s="208"/>
      <c r="F1187" s="168"/>
      <c r="G1187" s="209"/>
      <c r="H1187" s="168"/>
      <c r="I1187" s="208"/>
    </row>
    <row r="1188">
      <c r="B1188" s="168"/>
      <c r="D1188" s="76"/>
      <c r="E1188" s="208"/>
      <c r="F1188" s="168"/>
      <c r="G1188" s="209"/>
      <c r="H1188" s="168"/>
      <c r="I1188" s="208"/>
    </row>
    <row r="1189">
      <c r="B1189" s="168"/>
      <c r="D1189" s="76"/>
      <c r="E1189" s="208"/>
      <c r="F1189" s="168"/>
      <c r="G1189" s="209"/>
      <c r="H1189" s="168"/>
      <c r="I1189" s="208"/>
    </row>
    <row r="1190">
      <c r="B1190" s="168"/>
      <c r="D1190" s="76"/>
      <c r="E1190" s="208"/>
      <c r="F1190" s="168"/>
      <c r="G1190" s="209"/>
      <c r="H1190" s="168"/>
      <c r="I1190" s="208"/>
    </row>
    <row r="1191">
      <c r="B1191" s="168"/>
      <c r="D1191" s="76"/>
      <c r="E1191" s="208"/>
      <c r="F1191" s="168"/>
      <c r="G1191" s="209"/>
      <c r="H1191" s="168"/>
      <c r="I1191" s="208"/>
    </row>
    <row r="1192">
      <c r="B1192" s="168"/>
      <c r="D1192" s="76"/>
      <c r="E1192" s="208"/>
      <c r="F1192" s="168"/>
      <c r="G1192" s="209"/>
      <c r="H1192" s="168"/>
      <c r="I1192" s="208"/>
    </row>
    <row r="1193">
      <c r="B1193" s="168"/>
      <c r="D1193" s="76"/>
      <c r="E1193" s="208"/>
      <c r="F1193" s="168"/>
      <c r="G1193" s="209"/>
      <c r="H1193" s="168"/>
      <c r="I1193" s="208"/>
    </row>
    <row r="1194">
      <c r="B1194" s="168"/>
      <c r="D1194" s="76"/>
      <c r="E1194" s="208"/>
      <c r="F1194" s="168"/>
      <c r="G1194" s="209"/>
      <c r="H1194" s="168"/>
      <c r="I1194" s="208"/>
    </row>
    <row r="1195">
      <c r="B1195" s="168"/>
      <c r="D1195" s="76"/>
      <c r="E1195" s="208"/>
      <c r="F1195" s="168"/>
      <c r="G1195" s="209"/>
      <c r="H1195" s="168"/>
      <c r="I1195" s="208"/>
    </row>
    <row r="1196">
      <c r="B1196" s="168"/>
      <c r="D1196" s="76"/>
      <c r="E1196" s="208"/>
      <c r="F1196" s="168"/>
      <c r="G1196" s="209"/>
      <c r="H1196" s="168"/>
      <c r="I1196" s="208"/>
    </row>
    <row r="1197">
      <c r="B1197" s="168"/>
      <c r="D1197" s="76"/>
      <c r="E1197" s="208"/>
      <c r="F1197" s="168"/>
      <c r="G1197" s="209"/>
      <c r="H1197" s="168"/>
      <c r="I1197" s="208"/>
    </row>
    <row r="1198">
      <c r="B1198" s="168"/>
      <c r="D1198" s="76"/>
      <c r="E1198" s="208"/>
      <c r="F1198" s="168"/>
      <c r="G1198" s="209"/>
      <c r="H1198" s="168"/>
      <c r="I1198" s="208"/>
    </row>
    <row r="1199">
      <c r="B1199" s="168"/>
      <c r="D1199" s="76"/>
      <c r="E1199" s="208"/>
      <c r="F1199" s="168"/>
      <c r="G1199" s="209"/>
      <c r="H1199" s="168"/>
      <c r="I1199" s="208"/>
    </row>
    <row r="1200">
      <c r="B1200" s="168"/>
      <c r="D1200" s="76"/>
      <c r="E1200" s="208"/>
      <c r="F1200" s="168"/>
      <c r="G1200" s="209"/>
      <c r="H1200" s="168"/>
      <c r="I1200" s="208"/>
    </row>
    <row r="1201">
      <c r="B1201" s="168"/>
      <c r="D1201" s="76"/>
      <c r="E1201" s="208"/>
      <c r="F1201" s="168"/>
      <c r="G1201" s="209"/>
      <c r="H1201" s="168"/>
      <c r="I1201" s="208"/>
    </row>
    <row r="1202">
      <c r="B1202" s="168"/>
      <c r="D1202" s="76"/>
      <c r="E1202" s="208"/>
      <c r="F1202" s="168"/>
      <c r="G1202" s="209"/>
      <c r="H1202" s="168"/>
      <c r="I1202" s="208"/>
    </row>
    <row r="1203">
      <c r="B1203" s="168"/>
      <c r="D1203" s="76"/>
      <c r="E1203" s="208"/>
      <c r="F1203" s="168"/>
      <c r="G1203" s="209"/>
      <c r="H1203" s="168"/>
      <c r="I1203" s="208"/>
    </row>
    <row r="1204">
      <c r="B1204" s="168"/>
      <c r="D1204" s="76"/>
      <c r="E1204" s="208"/>
      <c r="F1204" s="168"/>
      <c r="G1204" s="209"/>
      <c r="H1204" s="168"/>
      <c r="I1204" s="208"/>
    </row>
    <row r="1205">
      <c r="B1205" s="168"/>
      <c r="D1205" s="76"/>
      <c r="E1205" s="208"/>
      <c r="F1205" s="168"/>
      <c r="G1205" s="209"/>
      <c r="H1205" s="168"/>
      <c r="I1205" s="208"/>
    </row>
    <row r="1206">
      <c r="B1206" s="168"/>
      <c r="D1206" s="76"/>
      <c r="E1206" s="208"/>
      <c r="F1206" s="168"/>
      <c r="G1206" s="209"/>
      <c r="H1206" s="168"/>
      <c r="I1206" s="208"/>
    </row>
    <row r="1207">
      <c r="B1207" s="168"/>
      <c r="D1207" s="76"/>
      <c r="E1207" s="208"/>
      <c r="F1207" s="168"/>
      <c r="G1207" s="209"/>
      <c r="H1207" s="168"/>
      <c r="I1207" s="208"/>
    </row>
    <row r="1208">
      <c r="B1208" s="168"/>
      <c r="D1208" s="76"/>
      <c r="E1208" s="208"/>
      <c r="F1208" s="168"/>
      <c r="G1208" s="209"/>
      <c r="H1208" s="168"/>
      <c r="I1208" s="208"/>
    </row>
    <row r="1209">
      <c r="B1209" s="168"/>
      <c r="D1209" s="76"/>
      <c r="E1209" s="208"/>
      <c r="F1209" s="168"/>
      <c r="G1209" s="209"/>
      <c r="H1209" s="168"/>
      <c r="I1209" s="208"/>
    </row>
    <row r="1210">
      <c r="B1210" s="168"/>
      <c r="D1210" s="76"/>
      <c r="E1210" s="208"/>
      <c r="F1210" s="168"/>
      <c r="G1210" s="209"/>
      <c r="H1210" s="168"/>
      <c r="I1210" s="208"/>
    </row>
    <row r="1211">
      <c r="B1211" s="168"/>
      <c r="D1211" s="76"/>
      <c r="E1211" s="208"/>
      <c r="F1211" s="168"/>
      <c r="G1211" s="209"/>
      <c r="H1211" s="168"/>
      <c r="I1211" s="208"/>
    </row>
    <row r="1212">
      <c r="B1212" s="168"/>
      <c r="D1212" s="76"/>
      <c r="E1212" s="208"/>
      <c r="F1212" s="168"/>
      <c r="G1212" s="209"/>
      <c r="H1212" s="168"/>
      <c r="I1212" s="208"/>
    </row>
    <row r="1213">
      <c r="B1213" s="168"/>
      <c r="D1213" s="76"/>
      <c r="E1213" s="208"/>
      <c r="F1213" s="168"/>
      <c r="G1213" s="209"/>
      <c r="H1213" s="168"/>
      <c r="I1213" s="208"/>
    </row>
    <row r="1214">
      <c r="B1214" s="168"/>
      <c r="D1214" s="76"/>
      <c r="E1214" s="208"/>
      <c r="F1214" s="168"/>
      <c r="G1214" s="209"/>
      <c r="H1214" s="168"/>
      <c r="I1214" s="208"/>
    </row>
    <row r="1215">
      <c r="B1215" s="168"/>
      <c r="D1215" s="76"/>
      <c r="E1215" s="208"/>
      <c r="F1215" s="168"/>
      <c r="G1215" s="209"/>
      <c r="H1215" s="168"/>
      <c r="I1215" s="208"/>
    </row>
    <row r="1216">
      <c r="B1216" s="168"/>
      <c r="D1216" s="76"/>
      <c r="E1216" s="208"/>
      <c r="F1216" s="168"/>
      <c r="G1216" s="209"/>
      <c r="H1216" s="168"/>
      <c r="I1216" s="208"/>
    </row>
    <row r="1217">
      <c r="B1217" s="168"/>
      <c r="D1217" s="76"/>
      <c r="E1217" s="208"/>
      <c r="F1217" s="168"/>
      <c r="G1217" s="209"/>
      <c r="H1217" s="168"/>
      <c r="I1217" s="208"/>
    </row>
    <row r="1218">
      <c r="B1218" s="168"/>
      <c r="D1218" s="76"/>
      <c r="E1218" s="208"/>
      <c r="F1218" s="168"/>
      <c r="G1218" s="209"/>
      <c r="H1218" s="168"/>
      <c r="I1218" s="208"/>
    </row>
    <row r="1219">
      <c r="B1219" s="168"/>
      <c r="D1219" s="76"/>
      <c r="E1219" s="208"/>
      <c r="F1219" s="168"/>
      <c r="G1219" s="209"/>
      <c r="H1219" s="168"/>
      <c r="I1219" s="208"/>
    </row>
    <row r="1220">
      <c r="B1220" s="168"/>
      <c r="D1220" s="76"/>
      <c r="E1220" s="208"/>
      <c r="F1220" s="168"/>
      <c r="G1220" s="209"/>
      <c r="H1220" s="168"/>
      <c r="I1220" s="208"/>
    </row>
    <row r="1221">
      <c r="B1221" s="168"/>
      <c r="D1221" s="76"/>
      <c r="E1221" s="208"/>
      <c r="F1221" s="168"/>
      <c r="G1221" s="209"/>
      <c r="H1221" s="168"/>
      <c r="I1221" s="208"/>
    </row>
    <row r="1222">
      <c r="B1222" s="168"/>
      <c r="D1222" s="76"/>
      <c r="E1222" s="208"/>
      <c r="F1222" s="168"/>
      <c r="G1222" s="209"/>
      <c r="H1222" s="168"/>
      <c r="I1222" s="208"/>
    </row>
    <row r="1223">
      <c r="B1223" s="168"/>
      <c r="D1223" s="76"/>
      <c r="E1223" s="208"/>
      <c r="F1223" s="168"/>
      <c r="G1223" s="209"/>
      <c r="H1223" s="168"/>
      <c r="I1223" s="208"/>
    </row>
    <row r="1224">
      <c r="B1224" s="168"/>
      <c r="D1224" s="76"/>
      <c r="E1224" s="208"/>
      <c r="F1224" s="168"/>
      <c r="G1224" s="209"/>
      <c r="H1224" s="168"/>
      <c r="I1224" s="208"/>
    </row>
    <row r="1225">
      <c r="B1225" s="168"/>
      <c r="D1225" s="76"/>
      <c r="E1225" s="208"/>
      <c r="F1225" s="168"/>
      <c r="G1225" s="209"/>
      <c r="H1225" s="168"/>
      <c r="I1225" s="208"/>
    </row>
    <row r="1226">
      <c r="B1226" s="168"/>
      <c r="D1226" s="76"/>
      <c r="E1226" s="208"/>
      <c r="F1226" s="168"/>
      <c r="G1226" s="209"/>
      <c r="H1226" s="168"/>
      <c r="I1226" s="208"/>
    </row>
    <row r="1227">
      <c r="B1227" s="168"/>
      <c r="D1227" s="76"/>
      <c r="E1227" s="208"/>
      <c r="F1227" s="168"/>
      <c r="G1227" s="209"/>
      <c r="H1227" s="168"/>
      <c r="I1227" s="208"/>
    </row>
    <row r="1228">
      <c r="B1228" s="168"/>
      <c r="D1228" s="76"/>
      <c r="E1228" s="208"/>
      <c r="F1228" s="168"/>
      <c r="G1228" s="209"/>
      <c r="H1228" s="168"/>
      <c r="I1228" s="208"/>
    </row>
    <row r="1229">
      <c r="B1229" s="168"/>
      <c r="D1229" s="76"/>
      <c r="E1229" s="208"/>
      <c r="F1229" s="168"/>
      <c r="G1229" s="209"/>
      <c r="H1229" s="168"/>
      <c r="I1229" s="208"/>
    </row>
    <row r="1230">
      <c r="B1230" s="168"/>
      <c r="D1230" s="76"/>
      <c r="E1230" s="208"/>
      <c r="F1230" s="168"/>
      <c r="G1230" s="209"/>
      <c r="H1230" s="168"/>
      <c r="I1230" s="208"/>
    </row>
    <row r="1231">
      <c r="B1231" s="168"/>
      <c r="D1231" s="76"/>
      <c r="E1231" s="208"/>
      <c r="F1231" s="168"/>
      <c r="G1231" s="209"/>
      <c r="H1231" s="168"/>
      <c r="I1231" s="208"/>
    </row>
    <row r="1232">
      <c r="B1232" s="168"/>
      <c r="D1232" s="76"/>
      <c r="E1232" s="208"/>
      <c r="F1232" s="168"/>
      <c r="G1232" s="209"/>
      <c r="H1232" s="168"/>
      <c r="I1232" s="208"/>
    </row>
    <row r="1233">
      <c r="B1233" s="168"/>
      <c r="D1233" s="76"/>
      <c r="E1233" s="208"/>
      <c r="F1233" s="168"/>
      <c r="G1233" s="209"/>
      <c r="H1233" s="168"/>
      <c r="I1233" s="208"/>
    </row>
    <row r="1234">
      <c r="B1234" s="168"/>
      <c r="D1234" s="76"/>
      <c r="E1234" s="208"/>
      <c r="F1234" s="168"/>
      <c r="G1234" s="209"/>
      <c r="H1234" s="168"/>
      <c r="I1234" s="208"/>
    </row>
    <row r="1235">
      <c r="B1235" s="168"/>
      <c r="D1235" s="76"/>
      <c r="E1235" s="208"/>
      <c r="F1235" s="168"/>
      <c r="G1235" s="209"/>
      <c r="H1235" s="168"/>
      <c r="I1235" s="208"/>
    </row>
    <row r="1236">
      <c r="B1236" s="168"/>
      <c r="D1236" s="76"/>
      <c r="E1236" s="208"/>
      <c r="F1236" s="168"/>
      <c r="G1236" s="209"/>
      <c r="H1236" s="168"/>
      <c r="I1236" s="208"/>
    </row>
    <row r="1237">
      <c r="B1237" s="168"/>
      <c r="D1237" s="76"/>
      <c r="E1237" s="208"/>
      <c r="F1237" s="168"/>
      <c r="G1237" s="209"/>
      <c r="H1237" s="168"/>
      <c r="I1237" s="208"/>
    </row>
    <row r="1238">
      <c r="B1238" s="168"/>
      <c r="D1238" s="76"/>
      <c r="E1238" s="208"/>
      <c r="F1238" s="168"/>
      <c r="G1238" s="209"/>
      <c r="H1238" s="168"/>
      <c r="I1238" s="208"/>
    </row>
    <row r="1239">
      <c r="B1239" s="168"/>
      <c r="D1239" s="76"/>
      <c r="E1239" s="208"/>
      <c r="F1239" s="168"/>
      <c r="G1239" s="209"/>
      <c r="H1239" s="168"/>
      <c r="I1239" s="208"/>
    </row>
    <row r="1240">
      <c r="B1240" s="168"/>
      <c r="D1240" s="76"/>
      <c r="E1240" s="208"/>
      <c r="F1240" s="168"/>
      <c r="G1240" s="209"/>
      <c r="H1240" s="168"/>
      <c r="I1240" s="208"/>
    </row>
    <row r="1241">
      <c r="B1241" s="168"/>
      <c r="D1241" s="76"/>
      <c r="E1241" s="208"/>
      <c r="F1241" s="168"/>
      <c r="G1241" s="209"/>
      <c r="H1241" s="168"/>
      <c r="I1241" s="208"/>
    </row>
    <row r="1242">
      <c r="B1242" s="168"/>
      <c r="D1242" s="76"/>
      <c r="E1242" s="208"/>
      <c r="F1242" s="168"/>
      <c r="G1242" s="209"/>
      <c r="H1242" s="168"/>
      <c r="I1242" s="208"/>
    </row>
    <row r="1243">
      <c r="B1243" s="168"/>
      <c r="D1243" s="76"/>
      <c r="E1243" s="208"/>
      <c r="F1243" s="168"/>
      <c r="G1243" s="209"/>
      <c r="H1243" s="168"/>
      <c r="I1243" s="208"/>
    </row>
    <row r="1244">
      <c r="B1244" s="168"/>
      <c r="D1244" s="76"/>
      <c r="E1244" s="208"/>
      <c r="F1244" s="168"/>
      <c r="G1244" s="209"/>
      <c r="H1244" s="168"/>
      <c r="I1244" s="208"/>
    </row>
    <row r="1245">
      <c r="B1245" s="168"/>
      <c r="D1245" s="76"/>
      <c r="E1245" s="208"/>
      <c r="F1245" s="168"/>
      <c r="G1245" s="209"/>
      <c r="H1245" s="168"/>
      <c r="I1245" s="208"/>
    </row>
    <row r="1246">
      <c r="B1246" s="168"/>
      <c r="D1246" s="76"/>
      <c r="E1246" s="208"/>
      <c r="F1246" s="168"/>
      <c r="G1246" s="209"/>
      <c r="H1246" s="168"/>
      <c r="I1246" s="208"/>
    </row>
    <row r="1247">
      <c r="B1247" s="168"/>
      <c r="D1247" s="76"/>
      <c r="E1247" s="208"/>
      <c r="F1247" s="168"/>
      <c r="G1247" s="209"/>
      <c r="H1247" s="168"/>
      <c r="I1247" s="208"/>
    </row>
    <row r="1248">
      <c r="B1248" s="168"/>
      <c r="D1248" s="76"/>
      <c r="E1248" s="208"/>
      <c r="F1248" s="168"/>
      <c r="G1248" s="209"/>
      <c r="H1248" s="168"/>
      <c r="I1248" s="208"/>
    </row>
    <row r="1249">
      <c r="B1249" s="168"/>
      <c r="D1249" s="76"/>
      <c r="E1249" s="208"/>
      <c r="F1249" s="168"/>
      <c r="G1249" s="209"/>
      <c r="H1249" s="168"/>
      <c r="I1249" s="208"/>
    </row>
    <row r="1250">
      <c r="B1250" s="168"/>
      <c r="D1250" s="76"/>
      <c r="E1250" s="208"/>
      <c r="F1250" s="168"/>
      <c r="G1250" s="209"/>
      <c r="H1250" s="168"/>
      <c r="I1250" s="208"/>
    </row>
    <row r="1251">
      <c r="B1251" s="168"/>
      <c r="D1251" s="76"/>
      <c r="E1251" s="208"/>
      <c r="F1251" s="168"/>
      <c r="G1251" s="209"/>
      <c r="H1251" s="168"/>
      <c r="I1251" s="208"/>
    </row>
    <row r="1252">
      <c r="B1252" s="168"/>
      <c r="D1252" s="76"/>
      <c r="E1252" s="208"/>
      <c r="F1252" s="168"/>
      <c r="G1252" s="209"/>
      <c r="H1252" s="168"/>
      <c r="I1252" s="208"/>
    </row>
    <row r="1253">
      <c r="B1253" s="168"/>
      <c r="D1253" s="76"/>
      <c r="E1253" s="208"/>
      <c r="F1253" s="168"/>
      <c r="G1253" s="209"/>
      <c r="H1253" s="168"/>
      <c r="I1253" s="208"/>
    </row>
    <row r="1254">
      <c r="B1254" s="168"/>
      <c r="D1254" s="76"/>
      <c r="E1254" s="208"/>
      <c r="F1254" s="168"/>
      <c r="G1254" s="209"/>
      <c r="H1254" s="168"/>
      <c r="I1254" s="208"/>
    </row>
    <row r="1255">
      <c r="B1255" s="168"/>
      <c r="D1255" s="76"/>
      <c r="E1255" s="208"/>
      <c r="F1255" s="168"/>
      <c r="G1255" s="209"/>
      <c r="H1255" s="168"/>
      <c r="I1255" s="208"/>
    </row>
    <row r="1256">
      <c r="B1256" s="168"/>
      <c r="D1256" s="76"/>
      <c r="E1256" s="208"/>
      <c r="F1256" s="168"/>
      <c r="G1256" s="209"/>
      <c r="H1256" s="168"/>
      <c r="I1256" s="208"/>
    </row>
    <row r="1257">
      <c r="B1257" s="168"/>
      <c r="D1257" s="76"/>
      <c r="E1257" s="208"/>
      <c r="F1257" s="168"/>
      <c r="G1257" s="209"/>
      <c r="H1257" s="168"/>
      <c r="I1257" s="208"/>
    </row>
    <row r="1258">
      <c r="B1258" s="168"/>
      <c r="D1258" s="76"/>
      <c r="E1258" s="208"/>
      <c r="F1258" s="168"/>
      <c r="G1258" s="209"/>
      <c r="H1258" s="168"/>
      <c r="I1258" s="208"/>
    </row>
    <row r="1259">
      <c r="B1259" s="168"/>
      <c r="D1259" s="76"/>
      <c r="E1259" s="208"/>
      <c r="F1259" s="168"/>
      <c r="G1259" s="209"/>
      <c r="H1259" s="168"/>
      <c r="I1259" s="208"/>
    </row>
    <row r="1260">
      <c r="B1260" s="168"/>
      <c r="D1260" s="76"/>
      <c r="E1260" s="208"/>
      <c r="F1260" s="168"/>
      <c r="G1260" s="209"/>
      <c r="H1260" s="168"/>
      <c r="I1260" s="208"/>
    </row>
    <row r="1261">
      <c r="B1261" s="168"/>
      <c r="D1261" s="76"/>
      <c r="E1261" s="208"/>
      <c r="F1261" s="168"/>
      <c r="G1261" s="209"/>
      <c r="H1261" s="168"/>
      <c r="I1261" s="208"/>
    </row>
    <row r="1262">
      <c r="B1262" s="168"/>
      <c r="D1262" s="76"/>
      <c r="E1262" s="208"/>
      <c r="F1262" s="168"/>
      <c r="G1262" s="209"/>
      <c r="H1262" s="168"/>
      <c r="I1262" s="208"/>
    </row>
    <row r="1263">
      <c r="B1263" s="168"/>
      <c r="D1263" s="76"/>
      <c r="E1263" s="208"/>
      <c r="F1263" s="168"/>
      <c r="G1263" s="209"/>
      <c r="H1263" s="168"/>
      <c r="I1263" s="208"/>
    </row>
    <row r="1264">
      <c r="B1264" s="168"/>
      <c r="D1264" s="76"/>
      <c r="E1264" s="208"/>
      <c r="F1264" s="168"/>
      <c r="G1264" s="209"/>
      <c r="H1264" s="168"/>
      <c r="I1264" s="208"/>
    </row>
    <row r="1265">
      <c r="B1265" s="168"/>
      <c r="D1265" s="76"/>
      <c r="E1265" s="208"/>
      <c r="F1265" s="168"/>
      <c r="G1265" s="209"/>
      <c r="H1265" s="168"/>
      <c r="I1265" s="208"/>
    </row>
    <row r="1266">
      <c r="B1266" s="168"/>
      <c r="D1266" s="76"/>
      <c r="E1266" s="208"/>
      <c r="F1266" s="168"/>
      <c r="G1266" s="209"/>
      <c r="H1266" s="168"/>
      <c r="I1266" s="208"/>
    </row>
    <row r="1267">
      <c r="B1267" s="168"/>
      <c r="D1267" s="76"/>
      <c r="E1267" s="208"/>
      <c r="F1267" s="168"/>
      <c r="G1267" s="209"/>
      <c r="H1267" s="168"/>
      <c r="I1267" s="208"/>
    </row>
    <row r="1268">
      <c r="B1268" s="168"/>
      <c r="D1268" s="76"/>
      <c r="E1268" s="208"/>
      <c r="F1268" s="168"/>
      <c r="G1268" s="209"/>
      <c r="H1268" s="168"/>
      <c r="I1268" s="208"/>
    </row>
    <row r="1269">
      <c r="B1269" s="168"/>
      <c r="D1269" s="76"/>
      <c r="E1269" s="208"/>
      <c r="F1269" s="168"/>
      <c r="G1269" s="209"/>
      <c r="H1269" s="168"/>
      <c r="I1269" s="208"/>
    </row>
    <row r="1270">
      <c r="B1270" s="168"/>
      <c r="D1270" s="76"/>
      <c r="E1270" s="208"/>
      <c r="F1270" s="168"/>
      <c r="G1270" s="209"/>
      <c r="H1270" s="168"/>
      <c r="I1270" s="208"/>
    </row>
    <row r="1271">
      <c r="B1271" s="168"/>
      <c r="D1271" s="76"/>
      <c r="E1271" s="208"/>
      <c r="F1271" s="168"/>
      <c r="G1271" s="209"/>
      <c r="H1271" s="168"/>
      <c r="I1271" s="208"/>
    </row>
    <row r="1272">
      <c r="B1272" s="168"/>
      <c r="D1272" s="76"/>
      <c r="E1272" s="208"/>
      <c r="F1272" s="168"/>
      <c r="G1272" s="209"/>
      <c r="H1272" s="168"/>
      <c r="I1272" s="208"/>
    </row>
    <row r="1273">
      <c r="B1273" s="168"/>
      <c r="D1273" s="76"/>
      <c r="E1273" s="208"/>
      <c r="F1273" s="168"/>
      <c r="G1273" s="209"/>
      <c r="H1273" s="168"/>
      <c r="I1273" s="208"/>
    </row>
    <row r="1274">
      <c r="B1274" s="168"/>
      <c r="D1274" s="76"/>
      <c r="E1274" s="208"/>
      <c r="F1274" s="168"/>
      <c r="G1274" s="209"/>
      <c r="H1274" s="168"/>
      <c r="I1274" s="208"/>
    </row>
    <row r="1275">
      <c r="B1275" s="168"/>
      <c r="D1275" s="76"/>
      <c r="E1275" s="208"/>
      <c r="F1275" s="168"/>
      <c r="G1275" s="209"/>
      <c r="H1275" s="168"/>
      <c r="I1275" s="208"/>
    </row>
    <row r="1276">
      <c r="B1276" s="168"/>
      <c r="D1276" s="76"/>
      <c r="E1276" s="208"/>
      <c r="F1276" s="168"/>
      <c r="G1276" s="209"/>
      <c r="H1276" s="168"/>
      <c r="I1276" s="208"/>
    </row>
    <row r="1277">
      <c r="B1277" s="168"/>
      <c r="D1277" s="76"/>
      <c r="E1277" s="208"/>
      <c r="F1277" s="168"/>
      <c r="G1277" s="209"/>
      <c r="H1277" s="168"/>
      <c r="I1277" s="208"/>
    </row>
    <row r="1278">
      <c r="B1278" s="168"/>
      <c r="D1278" s="76"/>
      <c r="E1278" s="208"/>
      <c r="F1278" s="168"/>
      <c r="G1278" s="209"/>
      <c r="H1278" s="168"/>
      <c r="I1278" s="208"/>
    </row>
    <row r="1279">
      <c r="B1279" s="168"/>
      <c r="D1279" s="76"/>
      <c r="E1279" s="208"/>
      <c r="F1279" s="168"/>
      <c r="G1279" s="209"/>
      <c r="H1279" s="168"/>
      <c r="I1279" s="208"/>
    </row>
    <row r="1280">
      <c r="B1280" s="168"/>
      <c r="D1280" s="76"/>
      <c r="E1280" s="208"/>
      <c r="F1280" s="168"/>
      <c r="G1280" s="209"/>
      <c r="H1280" s="168"/>
      <c r="I1280" s="208"/>
    </row>
    <row r="1281">
      <c r="B1281" s="168"/>
      <c r="D1281" s="76"/>
      <c r="E1281" s="208"/>
      <c r="F1281" s="168"/>
      <c r="G1281" s="209"/>
      <c r="H1281" s="168"/>
      <c r="I1281" s="208"/>
    </row>
    <row r="1282">
      <c r="B1282" s="168"/>
      <c r="D1282" s="76"/>
      <c r="E1282" s="208"/>
      <c r="F1282" s="168"/>
      <c r="G1282" s="209"/>
      <c r="H1282" s="168"/>
      <c r="I1282" s="208"/>
    </row>
    <row r="1283">
      <c r="B1283" s="168"/>
      <c r="D1283" s="76"/>
      <c r="E1283" s="208"/>
      <c r="F1283" s="168"/>
      <c r="G1283" s="209"/>
      <c r="H1283" s="168"/>
      <c r="I1283" s="208"/>
    </row>
    <row r="1284">
      <c r="B1284" s="168"/>
      <c r="D1284" s="76"/>
      <c r="E1284" s="208"/>
      <c r="F1284" s="168"/>
      <c r="G1284" s="209"/>
      <c r="H1284" s="168"/>
      <c r="I1284" s="208"/>
    </row>
    <row r="1285">
      <c r="B1285" s="168"/>
      <c r="D1285" s="76"/>
      <c r="E1285" s="208"/>
      <c r="F1285" s="168"/>
      <c r="G1285" s="209"/>
      <c r="H1285" s="168"/>
      <c r="I1285" s="208"/>
    </row>
    <row r="1286">
      <c r="B1286" s="168"/>
      <c r="D1286" s="76"/>
      <c r="E1286" s="208"/>
      <c r="F1286" s="168"/>
      <c r="G1286" s="209"/>
      <c r="H1286" s="168"/>
      <c r="I1286" s="208"/>
    </row>
    <row r="1287">
      <c r="B1287" s="168"/>
      <c r="D1287" s="76"/>
      <c r="E1287" s="208"/>
      <c r="F1287" s="168"/>
      <c r="G1287" s="209"/>
      <c r="H1287" s="168"/>
      <c r="I1287" s="208"/>
    </row>
    <row r="1288">
      <c r="B1288" s="168"/>
      <c r="D1288" s="76"/>
      <c r="E1288" s="208"/>
      <c r="F1288" s="168"/>
      <c r="G1288" s="209"/>
      <c r="H1288" s="168"/>
      <c r="I1288" s="208"/>
    </row>
    <row r="1289">
      <c r="B1289" s="168"/>
      <c r="D1289" s="76"/>
      <c r="E1289" s="208"/>
      <c r="F1289" s="168"/>
      <c r="G1289" s="209"/>
      <c r="H1289" s="168"/>
      <c r="I1289" s="208"/>
    </row>
    <row r="1290">
      <c r="B1290" s="168"/>
      <c r="D1290" s="76"/>
      <c r="E1290" s="208"/>
      <c r="F1290" s="168"/>
      <c r="G1290" s="209"/>
      <c r="H1290" s="168"/>
      <c r="I1290" s="208"/>
    </row>
    <row r="1291">
      <c r="B1291" s="168"/>
      <c r="D1291" s="76"/>
      <c r="E1291" s="208"/>
      <c r="F1291" s="168"/>
      <c r="G1291" s="209"/>
      <c r="H1291" s="168"/>
      <c r="I1291" s="208"/>
    </row>
    <row r="1292">
      <c r="B1292" s="168"/>
      <c r="D1292" s="76"/>
      <c r="E1292" s="208"/>
      <c r="F1292" s="168"/>
      <c r="G1292" s="209"/>
      <c r="H1292" s="168"/>
      <c r="I1292" s="208"/>
    </row>
    <row r="1293">
      <c r="B1293" s="168"/>
      <c r="D1293" s="76"/>
      <c r="E1293" s="208"/>
      <c r="F1293" s="168"/>
      <c r="G1293" s="209"/>
      <c r="H1293" s="168"/>
      <c r="I1293" s="208"/>
    </row>
    <row r="1294">
      <c r="B1294" s="168"/>
      <c r="D1294" s="76"/>
      <c r="E1294" s="208"/>
      <c r="F1294" s="168"/>
      <c r="G1294" s="209"/>
      <c r="H1294" s="168"/>
      <c r="I1294" s="208"/>
    </row>
    <row r="1295">
      <c r="B1295" s="168"/>
      <c r="D1295" s="76"/>
      <c r="E1295" s="208"/>
      <c r="F1295" s="168"/>
      <c r="G1295" s="209"/>
      <c r="H1295" s="168"/>
      <c r="I1295" s="208"/>
    </row>
    <row r="1296">
      <c r="B1296" s="168"/>
      <c r="D1296" s="76"/>
      <c r="E1296" s="208"/>
      <c r="F1296" s="168"/>
      <c r="G1296" s="209"/>
      <c r="H1296" s="168"/>
      <c r="I1296" s="208"/>
    </row>
    <row r="1297">
      <c r="B1297" s="168"/>
      <c r="D1297" s="76"/>
      <c r="E1297" s="208"/>
      <c r="F1297" s="168"/>
      <c r="G1297" s="209"/>
      <c r="H1297" s="168"/>
      <c r="I1297" s="208"/>
    </row>
    <row r="1298">
      <c r="B1298" s="168"/>
      <c r="D1298" s="76"/>
      <c r="E1298" s="208"/>
      <c r="F1298" s="168"/>
      <c r="G1298" s="209"/>
      <c r="H1298" s="168"/>
      <c r="I1298" s="208"/>
    </row>
    <row r="1299">
      <c r="B1299" s="168"/>
      <c r="D1299" s="76"/>
      <c r="E1299" s="208"/>
      <c r="F1299" s="168"/>
      <c r="G1299" s="209"/>
      <c r="H1299" s="168"/>
      <c r="I1299" s="208"/>
    </row>
    <row r="1300">
      <c r="B1300" s="168"/>
      <c r="D1300" s="76"/>
      <c r="E1300" s="208"/>
      <c r="F1300" s="168"/>
      <c r="G1300" s="209"/>
      <c r="H1300" s="168"/>
      <c r="I1300" s="208"/>
    </row>
    <row r="1301">
      <c r="B1301" s="168"/>
      <c r="D1301" s="76"/>
      <c r="E1301" s="208"/>
      <c r="F1301" s="168"/>
      <c r="G1301" s="209"/>
      <c r="H1301" s="168"/>
      <c r="I1301" s="208"/>
    </row>
    <row r="1302">
      <c r="B1302" s="168"/>
      <c r="D1302" s="76"/>
      <c r="E1302" s="208"/>
      <c r="F1302" s="168"/>
      <c r="G1302" s="209"/>
      <c r="H1302" s="168"/>
      <c r="I1302" s="208"/>
    </row>
    <row r="1303">
      <c r="B1303" s="168"/>
      <c r="D1303" s="76"/>
      <c r="E1303" s="208"/>
      <c r="F1303" s="168"/>
      <c r="G1303" s="209"/>
      <c r="H1303" s="168"/>
      <c r="I1303" s="208"/>
    </row>
    <row r="1304">
      <c r="B1304" s="168"/>
      <c r="D1304" s="76"/>
      <c r="E1304" s="208"/>
      <c r="F1304" s="168"/>
      <c r="G1304" s="209"/>
      <c r="H1304" s="168"/>
      <c r="I1304" s="208"/>
    </row>
    <row r="1305">
      <c r="B1305" s="168"/>
      <c r="D1305" s="76"/>
      <c r="E1305" s="208"/>
      <c r="F1305" s="168"/>
      <c r="G1305" s="209"/>
      <c r="H1305" s="168"/>
      <c r="I1305" s="208"/>
    </row>
    <row r="1306">
      <c r="B1306" s="168"/>
      <c r="D1306" s="76"/>
      <c r="E1306" s="208"/>
      <c r="F1306" s="168"/>
      <c r="G1306" s="209"/>
      <c r="H1306" s="168"/>
      <c r="I1306" s="208"/>
    </row>
    <row r="1307">
      <c r="B1307" s="168"/>
      <c r="D1307" s="76"/>
      <c r="E1307" s="208"/>
      <c r="F1307" s="168"/>
      <c r="G1307" s="209"/>
      <c r="H1307" s="168"/>
      <c r="I1307" s="208"/>
    </row>
    <row r="1308">
      <c r="B1308" s="168"/>
      <c r="D1308" s="76"/>
      <c r="E1308" s="208"/>
      <c r="F1308" s="168"/>
      <c r="G1308" s="209"/>
      <c r="H1308" s="168"/>
      <c r="I1308" s="208"/>
    </row>
    <row r="1309">
      <c r="B1309" s="168"/>
      <c r="D1309" s="76"/>
      <c r="E1309" s="208"/>
      <c r="F1309" s="168"/>
      <c r="G1309" s="209"/>
      <c r="H1309" s="168"/>
      <c r="I1309" s="208"/>
    </row>
    <row r="1310">
      <c r="B1310" s="168"/>
      <c r="D1310" s="76"/>
      <c r="E1310" s="208"/>
      <c r="F1310" s="168"/>
      <c r="G1310" s="209"/>
      <c r="H1310" s="168"/>
      <c r="I1310" s="208"/>
    </row>
    <row r="1311">
      <c r="B1311" s="168"/>
      <c r="D1311" s="76"/>
      <c r="E1311" s="208"/>
      <c r="F1311" s="168"/>
      <c r="G1311" s="209"/>
      <c r="H1311" s="168"/>
      <c r="I1311" s="208"/>
    </row>
    <row r="1312">
      <c r="B1312" s="168"/>
      <c r="D1312" s="76"/>
      <c r="E1312" s="208"/>
      <c r="F1312" s="168"/>
      <c r="G1312" s="209"/>
      <c r="H1312" s="168"/>
      <c r="I1312" s="208"/>
    </row>
    <row r="1313">
      <c r="B1313" s="168"/>
      <c r="D1313" s="76"/>
      <c r="E1313" s="208"/>
      <c r="F1313" s="168"/>
      <c r="G1313" s="209"/>
      <c r="H1313" s="168"/>
      <c r="I1313" s="208"/>
    </row>
    <row r="1314">
      <c r="B1314" s="168"/>
      <c r="D1314" s="76"/>
      <c r="E1314" s="208"/>
      <c r="F1314" s="168"/>
      <c r="G1314" s="209"/>
      <c r="H1314" s="168"/>
      <c r="I1314" s="208"/>
    </row>
    <row r="1315">
      <c r="B1315" s="168"/>
      <c r="D1315" s="76"/>
      <c r="E1315" s="208"/>
      <c r="F1315" s="168"/>
      <c r="G1315" s="209"/>
      <c r="H1315" s="168"/>
      <c r="I1315" s="208"/>
    </row>
    <row r="1316">
      <c r="B1316" s="168"/>
      <c r="D1316" s="76"/>
      <c r="E1316" s="208"/>
      <c r="F1316" s="168"/>
      <c r="G1316" s="209"/>
      <c r="H1316" s="168"/>
      <c r="I1316" s="208"/>
    </row>
    <row r="1317">
      <c r="B1317" s="168"/>
      <c r="D1317" s="76"/>
      <c r="E1317" s="208"/>
      <c r="F1317" s="168"/>
      <c r="G1317" s="209"/>
      <c r="H1317" s="168"/>
      <c r="I1317" s="208"/>
    </row>
    <row r="1318">
      <c r="B1318" s="168"/>
      <c r="D1318" s="76"/>
      <c r="E1318" s="208"/>
      <c r="F1318" s="168"/>
      <c r="G1318" s="209"/>
      <c r="H1318" s="168"/>
      <c r="I1318" s="208"/>
    </row>
    <row r="1319">
      <c r="B1319" s="168"/>
      <c r="D1319" s="76"/>
      <c r="E1319" s="208"/>
      <c r="F1319" s="168"/>
      <c r="G1319" s="209"/>
      <c r="H1319" s="168"/>
      <c r="I1319" s="208"/>
    </row>
    <row r="1320">
      <c r="B1320" s="168"/>
      <c r="D1320" s="76"/>
      <c r="E1320" s="208"/>
      <c r="F1320" s="168"/>
      <c r="G1320" s="209"/>
      <c r="H1320" s="168"/>
      <c r="I1320" s="208"/>
    </row>
    <row r="1321">
      <c r="B1321" s="168"/>
      <c r="D1321" s="76"/>
      <c r="E1321" s="208"/>
      <c r="F1321" s="168"/>
      <c r="G1321" s="209"/>
      <c r="H1321" s="168"/>
      <c r="I1321" s="208"/>
    </row>
    <row r="1322">
      <c r="B1322" s="168"/>
      <c r="D1322" s="76"/>
      <c r="E1322" s="208"/>
      <c r="F1322" s="168"/>
      <c r="G1322" s="209"/>
      <c r="H1322" s="168"/>
      <c r="I1322" s="208"/>
    </row>
    <row r="1323">
      <c r="B1323" s="168"/>
      <c r="D1323" s="76"/>
      <c r="E1323" s="208"/>
      <c r="F1323" s="168"/>
      <c r="G1323" s="209"/>
      <c r="H1323" s="168"/>
      <c r="I1323" s="208"/>
    </row>
    <row r="1324">
      <c r="B1324" s="168"/>
      <c r="D1324" s="76"/>
      <c r="E1324" s="208"/>
      <c r="F1324" s="168"/>
      <c r="G1324" s="209"/>
      <c r="H1324" s="168"/>
      <c r="I1324" s="208"/>
    </row>
    <row r="1325">
      <c r="B1325" s="168"/>
      <c r="D1325" s="76"/>
      <c r="E1325" s="208"/>
      <c r="F1325" s="168"/>
      <c r="G1325" s="209"/>
      <c r="H1325" s="168"/>
      <c r="I1325" s="208"/>
    </row>
    <row r="1326">
      <c r="B1326" s="168"/>
      <c r="D1326" s="76"/>
      <c r="E1326" s="208"/>
      <c r="F1326" s="168"/>
      <c r="G1326" s="209"/>
      <c r="H1326" s="168"/>
      <c r="I1326" s="208"/>
    </row>
    <row r="1327">
      <c r="B1327" s="168"/>
      <c r="D1327" s="76"/>
      <c r="E1327" s="208"/>
      <c r="F1327" s="168"/>
      <c r="G1327" s="209"/>
      <c r="H1327" s="168"/>
      <c r="I1327" s="208"/>
    </row>
    <row r="1328">
      <c r="B1328" s="168"/>
      <c r="D1328" s="76"/>
      <c r="E1328" s="208"/>
      <c r="F1328" s="168"/>
      <c r="G1328" s="209"/>
      <c r="H1328" s="168"/>
      <c r="I1328" s="208"/>
    </row>
    <row r="1329">
      <c r="B1329" s="168"/>
      <c r="D1329" s="76"/>
      <c r="E1329" s="208"/>
      <c r="F1329" s="168"/>
      <c r="G1329" s="209"/>
      <c r="H1329" s="168"/>
      <c r="I1329" s="208"/>
    </row>
    <row r="1330">
      <c r="B1330" s="168"/>
      <c r="D1330" s="76"/>
      <c r="E1330" s="208"/>
      <c r="F1330" s="168"/>
      <c r="G1330" s="209"/>
      <c r="H1330" s="168"/>
      <c r="I1330" s="208"/>
    </row>
    <row r="1331">
      <c r="B1331" s="168"/>
      <c r="D1331" s="76"/>
      <c r="E1331" s="208"/>
      <c r="F1331" s="168"/>
      <c r="G1331" s="209"/>
      <c r="H1331" s="168"/>
      <c r="I1331" s="208"/>
    </row>
    <row r="1332">
      <c r="B1332" s="168"/>
      <c r="D1332" s="76"/>
      <c r="E1332" s="208"/>
      <c r="F1332" s="168"/>
      <c r="G1332" s="209"/>
      <c r="H1332" s="168"/>
      <c r="I1332" s="208"/>
    </row>
    <row r="1333">
      <c r="B1333" s="168"/>
      <c r="D1333" s="76"/>
      <c r="E1333" s="208"/>
      <c r="F1333" s="168"/>
      <c r="G1333" s="209"/>
      <c r="H1333" s="168"/>
      <c r="I1333" s="208"/>
    </row>
    <row r="1334">
      <c r="B1334" s="168"/>
      <c r="D1334" s="76"/>
      <c r="E1334" s="208"/>
      <c r="F1334" s="168"/>
      <c r="G1334" s="209"/>
      <c r="H1334" s="168"/>
      <c r="I1334" s="208"/>
    </row>
    <row r="1335">
      <c r="B1335" s="168"/>
      <c r="D1335" s="76"/>
      <c r="E1335" s="208"/>
      <c r="F1335" s="168"/>
      <c r="G1335" s="209"/>
      <c r="H1335" s="168"/>
      <c r="I1335" s="208"/>
    </row>
    <row r="1336">
      <c r="B1336" s="168"/>
      <c r="D1336" s="76"/>
      <c r="E1336" s="208"/>
      <c r="F1336" s="168"/>
      <c r="G1336" s="209"/>
      <c r="H1336" s="168"/>
      <c r="I1336" s="208"/>
    </row>
    <row r="1337">
      <c r="B1337" s="168"/>
      <c r="D1337" s="76"/>
      <c r="E1337" s="208"/>
      <c r="F1337" s="168"/>
      <c r="G1337" s="209"/>
      <c r="H1337" s="168"/>
      <c r="I1337" s="208"/>
    </row>
    <row r="1338">
      <c r="B1338" s="168"/>
      <c r="D1338" s="76"/>
      <c r="E1338" s="208"/>
      <c r="F1338" s="168"/>
      <c r="G1338" s="209"/>
      <c r="H1338" s="168"/>
      <c r="I1338" s="208"/>
    </row>
    <row r="1339">
      <c r="B1339" s="168"/>
      <c r="D1339" s="76"/>
      <c r="E1339" s="208"/>
      <c r="F1339" s="168"/>
      <c r="G1339" s="209"/>
      <c r="H1339" s="168"/>
      <c r="I1339" s="208"/>
    </row>
    <row r="1340">
      <c r="B1340" s="168"/>
      <c r="D1340" s="76"/>
      <c r="E1340" s="208"/>
      <c r="F1340" s="168"/>
      <c r="G1340" s="209"/>
      <c r="H1340" s="168"/>
      <c r="I1340" s="208"/>
    </row>
    <row r="1341">
      <c r="B1341" s="168"/>
      <c r="D1341" s="76"/>
      <c r="E1341" s="208"/>
      <c r="F1341" s="168"/>
      <c r="G1341" s="209"/>
      <c r="H1341" s="168"/>
      <c r="I1341" s="208"/>
    </row>
    <row r="1342">
      <c r="B1342" s="168"/>
      <c r="D1342" s="76"/>
      <c r="E1342" s="208"/>
      <c r="F1342" s="168"/>
      <c r="G1342" s="209"/>
      <c r="H1342" s="168"/>
      <c r="I1342" s="208"/>
    </row>
    <row r="1343">
      <c r="B1343" s="168"/>
      <c r="D1343" s="76"/>
      <c r="E1343" s="208"/>
      <c r="F1343" s="168"/>
      <c r="G1343" s="209"/>
      <c r="H1343" s="168"/>
      <c r="I1343" s="208"/>
    </row>
    <row r="1344">
      <c r="B1344" s="168"/>
      <c r="D1344" s="76"/>
      <c r="E1344" s="208"/>
      <c r="F1344" s="168"/>
      <c r="G1344" s="209"/>
      <c r="H1344" s="168"/>
      <c r="I1344" s="208"/>
    </row>
    <row r="1345">
      <c r="B1345" s="168"/>
      <c r="D1345" s="76"/>
      <c r="E1345" s="208"/>
      <c r="F1345" s="168"/>
      <c r="G1345" s="209"/>
      <c r="H1345" s="168"/>
      <c r="I1345" s="208"/>
    </row>
    <row r="1346">
      <c r="B1346" s="168"/>
      <c r="D1346" s="76"/>
      <c r="E1346" s="208"/>
      <c r="F1346" s="168"/>
      <c r="G1346" s="209"/>
      <c r="H1346" s="168"/>
      <c r="I1346" s="208"/>
    </row>
    <row r="1347">
      <c r="B1347" s="168"/>
      <c r="D1347" s="76"/>
      <c r="E1347" s="208"/>
      <c r="F1347" s="168"/>
      <c r="G1347" s="209"/>
      <c r="H1347" s="168"/>
      <c r="I1347" s="208"/>
    </row>
    <row r="1348">
      <c r="B1348" s="168"/>
      <c r="D1348" s="76"/>
      <c r="E1348" s="208"/>
      <c r="F1348" s="168"/>
      <c r="G1348" s="209"/>
      <c r="H1348" s="168"/>
      <c r="I1348" s="208"/>
    </row>
    <row r="1349">
      <c r="B1349" s="168"/>
      <c r="D1349" s="76"/>
      <c r="E1349" s="208"/>
      <c r="F1349" s="168"/>
      <c r="G1349" s="209"/>
      <c r="H1349" s="168"/>
      <c r="I1349" s="208"/>
    </row>
    <row r="1350">
      <c r="B1350" s="168"/>
      <c r="D1350" s="76"/>
      <c r="E1350" s="208"/>
      <c r="F1350" s="168"/>
      <c r="G1350" s="209"/>
      <c r="H1350" s="168"/>
      <c r="I1350" s="208"/>
    </row>
    <row r="1351">
      <c r="B1351" s="168"/>
      <c r="D1351" s="76"/>
      <c r="E1351" s="208"/>
      <c r="F1351" s="168"/>
      <c r="G1351" s="209"/>
      <c r="H1351" s="168"/>
      <c r="I1351" s="208"/>
    </row>
    <row r="1352">
      <c r="B1352" s="168"/>
      <c r="D1352" s="76"/>
      <c r="E1352" s="208"/>
      <c r="F1352" s="168"/>
      <c r="G1352" s="209"/>
      <c r="H1352" s="168"/>
      <c r="I1352" s="208"/>
    </row>
    <row r="1353">
      <c r="B1353" s="168"/>
      <c r="D1353" s="76"/>
      <c r="E1353" s="208"/>
      <c r="F1353" s="168"/>
      <c r="G1353" s="209"/>
      <c r="H1353" s="168"/>
      <c r="I1353" s="208"/>
    </row>
    <row r="1354">
      <c r="B1354" s="168"/>
      <c r="D1354" s="76"/>
      <c r="E1354" s="208"/>
      <c r="F1354" s="168"/>
      <c r="G1354" s="209"/>
      <c r="H1354" s="168"/>
      <c r="I1354" s="208"/>
    </row>
    <row r="1355">
      <c r="B1355" s="168"/>
      <c r="D1355" s="76"/>
      <c r="E1355" s="208"/>
      <c r="F1355" s="168"/>
      <c r="G1355" s="209"/>
      <c r="H1355" s="168"/>
      <c r="I1355" s="208"/>
    </row>
    <row r="1356">
      <c r="B1356" s="168"/>
      <c r="D1356" s="76"/>
      <c r="E1356" s="208"/>
      <c r="F1356" s="168"/>
      <c r="G1356" s="209"/>
      <c r="H1356" s="168"/>
      <c r="I1356" s="208"/>
    </row>
    <row r="1357">
      <c r="B1357" s="168"/>
      <c r="D1357" s="76"/>
      <c r="E1357" s="208"/>
      <c r="F1357" s="168"/>
      <c r="G1357" s="209"/>
      <c r="H1357" s="168"/>
      <c r="I1357" s="208"/>
    </row>
    <row r="1358">
      <c r="B1358" s="168"/>
      <c r="D1358" s="76"/>
      <c r="E1358" s="208"/>
      <c r="F1358" s="168"/>
      <c r="G1358" s="209"/>
      <c r="H1358" s="168"/>
      <c r="I1358" s="208"/>
    </row>
    <row r="1359">
      <c r="B1359" s="168"/>
      <c r="D1359" s="76"/>
      <c r="E1359" s="208"/>
      <c r="F1359" s="168"/>
      <c r="G1359" s="209"/>
      <c r="H1359" s="168"/>
      <c r="I1359" s="208"/>
    </row>
    <row r="1360">
      <c r="B1360" s="168"/>
      <c r="D1360" s="76"/>
      <c r="E1360" s="208"/>
      <c r="F1360" s="168"/>
      <c r="G1360" s="209"/>
      <c r="H1360" s="168"/>
      <c r="I1360" s="208"/>
    </row>
    <row r="1361">
      <c r="B1361" s="168"/>
      <c r="D1361" s="76"/>
      <c r="E1361" s="208"/>
      <c r="F1361" s="168"/>
      <c r="G1361" s="209"/>
      <c r="H1361" s="168"/>
      <c r="I1361" s="208"/>
    </row>
    <row r="1362">
      <c r="B1362" s="168"/>
      <c r="D1362" s="76"/>
      <c r="E1362" s="208"/>
      <c r="F1362" s="168"/>
      <c r="G1362" s="209"/>
      <c r="H1362" s="168"/>
      <c r="I1362" s="208"/>
    </row>
    <row r="1363">
      <c r="B1363" s="168"/>
      <c r="D1363" s="76"/>
      <c r="E1363" s="208"/>
      <c r="F1363" s="168"/>
      <c r="G1363" s="209"/>
      <c r="H1363" s="168"/>
      <c r="I1363" s="208"/>
    </row>
    <row r="1364">
      <c r="B1364" s="168"/>
      <c r="D1364" s="76"/>
      <c r="E1364" s="208"/>
      <c r="F1364" s="168"/>
      <c r="G1364" s="209"/>
      <c r="H1364" s="168"/>
      <c r="I1364" s="208"/>
    </row>
    <row r="1365">
      <c r="B1365" s="168"/>
      <c r="D1365" s="76"/>
      <c r="E1365" s="208"/>
      <c r="F1365" s="168"/>
      <c r="G1365" s="209"/>
      <c r="H1365" s="168"/>
      <c r="I1365" s="208"/>
    </row>
    <row r="1366">
      <c r="B1366" s="168"/>
      <c r="D1366" s="76"/>
      <c r="E1366" s="208"/>
      <c r="F1366" s="168"/>
      <c r="G1366" s="209"/>
      <c r="H1366" s="168"/>
      <c r="I1366" s="208"/>
    </row>
    <row r="1367">
      <c r="B1367" s="168"/>
      <c r="D1367" s="76"/>
      <c r="E1367" s="208"/>
      <c r="F1367" s="168"/>
      <c r="G1367" s="209"/>
      <c r="H1367" s="168"/>
      <c r="I1367" s="208"/>
    </row>
    <row r="1368">
      <c r="B1368" s="168"/>
      <c r="D1368" s="76"/>
      <c r="E1368" s="208"/>
      <c r="F1368" s="168"/>
      <c r="G1368" s="209"/>
      <c r="H1368" s="168"/>
      <c r="I1368" s="208"/>
    </row>
    <row r="1369">
      <c r="B1369" s="168"/>
      <c r="D1369" s="76"/>
      <c r="E1369" s="208"/>
      <c r="F1369" s="168"/>
      <c r="G1369" s="209"/>
      <c r="H1369" s="168"/>
      <c r="I1369" s="208"/>
    </row>
    <row r="1370">
      <c r="B1370" s="168"/>
      <c r="D1370" s="76"/>
      <c r="E1370" s="208"/>
      <c r="F1370" s="168"/>
      <c r="G1370" s="209"/>
      <c r="H1370" s="168"/>
      <c r="I1370" s="208"/>
    </row>
    <row r="1371">
      <c r="B1371" s="168"/>
      <c r="D1371" s="76"/>
      <c r="E1371" s="208"/>
      <c r="F1371" s="168"/>
      <c r="G1371" s="209"/>
      <c r="H1371" s="168"/>
      <c r="I1371" s="208"/>
    </row>
    <row r="1372">
      <c r="B1372" s="168"/>
      <c r="D1372" s="76"/>
      <c r="E1372" s="208"/>
      <c r="F1372" s="168"/>
      <c r="G1372" s="209"/>
      <c r="H1372" s="168"/>
      <c r="I1372" s="208"/>
    </row>
    <row r="1373">
      <c r="B1373" s="168"/>
      <c r="D1373" s="76"/>
      <c r="E1373" s="208"/>
      <c r="F1373" s="168"/>
      <c r="G1373" s="209"/>
      <c r="H1373" s="168"/>
      <c r="I1373" s="208"/>
    </row>
    <row r="1374">
      <c r="B1374" s="168"/>
      <c r="D1374" s="76"/>
      <c r="E1374" s="208"/>
      <c r="F1374" s="168"/>
      <c r="G1374" s="209"/>
      <c r="H1374" s="168"/>
      <c r="I1374" s="208"/>
    </row>
    <row r="1375">
      <c r="B1375" s="168"/>
      <c r="D1375" s="76"/>
      <c r="E1375" s="208"/>
      <c r="F1375" s="168"/>
      <c r="G1375" s="209"/>
      <c r="H1375" s="168"/>
      <c r="I1375" s="208"/>
    </row>
    <row r="1376">
      <c r="B1376" s="168"/>
      <c r="D1376" s="76"/>
      <c r="E1376" s="208"/>
      <c r="F1376" s="168"/>
      <c r="G1376" s="209"/>
      <c r="H1376" s="168"/>
      <c r="I1376" s="208"/>
    </row>
    <row r="1377">
      <c r="B1377" s="168"/>
      <c r="D1377" s="76"/>
      <c r="E1377" s="208"/>
      <c r="F1377" s="168"/>
      <c r="G1377" s="209"/>
      <c r="H1377" s="168"/>
      <c r="I1377" s="208"/>
    </row>
    <row r="1378">
      <c r="B1378" s="168"/>
      <c r="D1378" s="76"/>
      <c r="E1378" s="208"/>
      <c r="F1378" s="168"/>
      <c r="G1378" s="209"/>
      <c r="H1378" s="168"/>
      <c r="I1378" s="208"/>
    </row>
    <row r="1379">
      <c r="B1379" s="168"/>
      <c r="D1379" s="76"/>
      <c r="E1379" s="208"/>
      <c r="F1379" s="168"/>
      <c r="G1379" s="209"/>
      <c r="H1379" s="168"/>
      <c r="I1379" s="208"/>
    </row>
    <row r="1380">
      <c r="B1380" s="168"/>
      <c r="D1380" s="76"/>
      <c r="E1380" s="208"/>
      <c r="F1380" s="168"/>
      <c r="G1380" s="209"/>
      <c r="H1380" s="168"/>
      <c r="I1380" s="208"/>
    </row>
    <row r="1381">
      <c r="B1381" s="168"/>
      <c r="D1381" s="76"/>
      <c r="E1381" s="208"/>
      <c r="F1381" s="168"/>
      <c r="G1381" s="209"/>
      <c r="H1381" s="168"/>
      <c r="I1381" s="208"/>
    </row>
    <row r="1382">
      <c r="B1382" s="168"/>
      <c r="D1382" s="76"/>
      <c r="E1382" s="208"/>
      <c r="F1382" s="168"/>
      <c r="G1382" s="209"/>
      <c r="H1382" s="168"/>
      <c r="I1382" s="208"/>
    </row>
    <row r="1383">
      <c r="B1383" s="168"/>
      <c r="D1383" s="76"/>
      <c r="E1383" s="208"/>
      <c r="F1383" s="168"/>
      <c r="G1383" s="209"/>
      <c r="H1383" s="168"/>
      <c r="I1383" s="208"/>
    </row>
    <row r="1384">
      <c r="B1384" s="168"/>
      <c r="D1384" s="76"/>
      <c r="E1384" s="208"/>
      <c r="F1384" s="168"/>
      <c r="G1384" s="209"/>
      <c r="H1384" s="168"/>
      <c r="I1384" s="208"/>
    </row>
    <row r="1385">
      <c r="B1385" s="168"/>
      <c r="D1385" s="76"/>
      <c r="E1385" s="208"/>
      <c r="F1385" s="168"/>
      <c r="G1385" s="209"/>
      <c r="H1385" s="168"/>
      <c r="I1385" s="208"/>
    </row>
    <row r="1386">
      <c r="B1386" s="168"/>
      <c r="D1386" s="76"/>
      <c r="E1386" s="208"/>
      <c r="F1386" s="168"/>
      <c r="G1386" s="209"/>
      <c r="H1386" s="168"/>
      <c r="I1386" s="208"/>
    </row>
    <row r="1387">
      <c r="B1387" s="168"/>
      <c r="D1387" s="76"/>
      <c r="E1387" s="208"/>
      <c r="F1387" s="168"/>
      <c r="G1387" s="209"/>
      <c r="H1387" s="168"/>
      <c r="I1387" s="208"/>
    </row>
    <row r="1388">
      <c r="B1388" s="168"/>
      <c r="D1388" s="76"/>
      <c r="E1388" s="208"/>
      <c r="F1388" s="168"/>
      <c r="G1388" s="209"/>
      <c r="H1388" s="168"/>
      <c r="I1388" s="208"/>
    </row>
    <row r="1389">
      <c r="B1389" s="168"/>
      <c r="D1389" s="76"/>
      <c r="E1389" s="208"/>
      <c r="F1389" s="168"/>
      <c r="G1389" s="209"/>
      <c r="H1389" s="168"/>
      <c r="I1389" s="208"/>
    </row>
    <row r="1390">
      <c r="B1390" s="168"/>
      <c r="D1390" s="76"/>
      <c r="E1390" s="208"/>
      <c r="F1390" s="168"/>
      <c r="G1390" s="209"/>
      <c r="H1390" s="168"/>
      <c r="I1390" s="208"/>
    </row>
    <row r="1391">
      <c r="B1391" s="168"/>
      <c r="D1391" s="76"/>
      <c r="E1391" s="208"/>
      <c r="F1391" s="168"/>
      <c r="G1391" s="209"/>
      <c r="H1391" s="168"/>
      <c r="I1391" s="208"/>
    </row>
    <row r="1392">
      <c r="B1392" s="168"/>
      <c r="D1392" s="76"/>
      <c r="E1392" s="208"/>
      <c r="F1392" s="168"/>
      <c r="G1392" s="209"/>
      <c r="H1392" s="168"/>
      <c r="I1392" s="208"/>
    </row>
    <row r="1393">
      <c r="B1393" s="168"/>
      <c r="D1393" s="76"/>
      <c r="E1393" s="208"/>
      <c r="F1393" s="168"/>
      <c r="G1393" s="209"/>
      <c r="H1393" s="168"/>
      <c r="I1393" s="208"/>
    </row>
    <row r="1394">
      <c r="B1394" s="168"/>
      <c r="D1394" s="76"/>
      <c r="E1394" s="208"/>
      <c r="F1394" s="168"/>
      <c r="G1394" s="209"/>
      <c r="H1394" s="168"/>
      <c r="I1394" s="208"/>
    </row>
    <row r="1395">
      <c r="B1395" s="168"/>
      <c r="D1395" s="76"/>
      <c r="E1395" s="208"/>
      <c r="F1395" s="168"/>
      <c r="G1395" s="209"/>
      <c r="H1395" s="168"/>
      <c r="I1395" s="208"/>
    </row>
    <row r="1396">
      <c r="B1396" s="168"/>
      <c r="D1396" s="76"/>
      <c r="E1396" s="208"/>
      <c r="F1396" s="168"/>
      <c r="G1396" s="209"/>
      <c r="H1396" s="168"/>
      <c r="I1396" s="208"/>
    </row>
    <row r="1397">
      <c r="B1397" s="168"/>
      <c r="D1397" s="76"/>
      <c r="E1397" s="208"/>
      <c r="F1397" s="168"/>
      <c r="G1397" s="209"/>
      <c r="H1397" s="168"/>
      <c r="I1397" s="208"/>
    </row>
    <row r="1398">
      <c r="B1398" s="168"/>
      <c r="D1398" s="76"/>
      <c r="E1398" s="208"/>
      <c r="F1398" s="168"/>
      <c r="G1398" s="209"/>
      <c r="H1398" s="168"/>
      <c r="I1398" s="208"/>
    </row>
    <row r="1399">
      <c r="B1399" s="168"/>
      <c r="D1399" s="76"/>
      <c r="E1399" s="208"/>
      <c r="F1399" s="168"/>
      <c r="G1399" s="209"/>
      <c r="H1399" s="168"/>
      <c r="I1399" s="208"/>
    </row>
    <row r="1400">
      <c r="B1400" s="168"/>
      <c r="D1400" s="76"/>
      <c r="E1400" s="208"/>
      <c r="F1400" s="168"/>
      <c r="G1400" s="209"/>
      <c r="H1400" s="168"/>
      <c r="I1400" s="208"/>
    </row>
    <row r="1401">
      <c r="B1401" s="168"/>
      <c r="D1401" s="76"/>
      <c r="E1401" s="208"/>
      <c r="F1401" s="168"/>
      <c r="G1401" s="209"/>
      <c r="H1401" s="168"/>
      <c r="I1401" s="208"/>
    </row>
    <row r="1402">
      <c r="B1402" s="168"/>
      <c r="D1402" s="76"/>
      <c r="E1402" s="208"/>
      <c r="F1402" s="168"/>
      <c r="G1402" s="209"/>
      <c r="H1402" s="168"/>
      <c r="I1402" s="208"/>
    </row>
    <row r="1403">
      <c r="B1403" s="168"/>
      <c r="D1403" s="76"/>
      <c r="E1403" s="208"/>
      <c r="F1403" s="168"/>
      <c r="G1403" s="209"/>
      <c r="H1403" s="168"/>
      <c r="I1403" s="208"/>
    </row>
    <row r="1404">
      <c r="B1404" s="168"/>
      <c r="D1404" s="76"/>
      <c r="E1404" s="208"/>
      <c r="F1404" s="168"/>
      <c r="G1404" s="209"/>
      <c r="H1404" s="168"/>
      <c r="I1404" s="208"/>
    </row>
    <row r="1405">
      <c r="B1405" s="168"/>
      <c r="D1405" s="76"/>
      <c r="E1405" s="208"/>
      <c r="F1405" s="168"/>
      <c r="G1405" s="209"/>
      <c r="H1405" s="168"/>
      <c r="I1405" s="208"/>
    </row>
    <row r="1406">
      <c r="B1406" s="168"/>
      <c r="D1406" s="76"/>
      <c r="E1406" s="208"/>
      <c r="F1406" s="168"/>
      <c r="G1406" s="209"/>
      <c r="H1406" s="168"/>
      <c r="I1406" s="208"/>
    </row>
    <row r="1407">
      <c r="B1407" s="168"/>
      <c r="D1407" s="76"/>
      <c r="E1407" s="208"/>
      <c r="F1407" s="168"/>
      <c r="G1407" s="209"/>
      <c r="H1407" s="168"/>
      <c r="I1407" s="208"/>
    </row>
    <row r="1408">
      <c r="B1408" s="168"/>
      <c r="D1408" s="76"/>
      <c r="E1408" s="208"/>
      <c r="F1408" s="168"/>
      <c r="G1408" s="209"/>
      <c r="H1408" s="168"/>
      <c r="I1408" s="208"/>
    </row>
    <row r="1409">
      <c r="B1409" s="168"/>
      <c r="D1409" s="76"/>
      <c r="E1409" s="208"/>
      <c r="F1409" s="168"/>
      <c r="G1409" s="209"/>
      <c r="H1409" s="168"/>
      <c r="I1409" s="208"/>
    </row>
    <row r="1410">
      <c r="B1410" s="168"/>
      <c r="D1410" s="76"/>
      <c r="E1410" s="208"/>
      <c r="F1410" s="168"/>
      <c r="G1410" s="209"/>
      <c r="H1410" s="168"/>
      <c r="I1410" s="208"/>
    </row>
    <row r="1411">
      <c r="B1411" s="168"/>
      <c r="D1411" s="76"/>
      <c r="E1411" s="208"/>
      <c r="F1411" s="168"/>
      <c r="G1411" s="209"/>
      <c r="H1411" s="168"/>
      <c r="I1411" s="208"/>
    </row>
    <row r="1412">
      <c r="B1412" s="168"/>
      <c r="D1412" s="76"/>
      <c r="E1412" s="208"/>
      <c r="F1412" s="168"/>
      <c r="G1412" s="209"/>
      <c r="H1412" s="168"/>
      <c r="I1412" s="208"/>
    </row>
    <row r="1413">
      <c r="B1413" s="168"/>
      <c r="D1413" s="76"/>
      <c r="E1413" s="208"/>
      <c r="F1413" s="168"/>
      <c r="G1413" s="209"/>
      <c r="H1413" s="168"/>
      <c r="I1413" s="208"/>
    </row>
    <row r="1414">
      <c r="B1414" s="168"/>
      <c r="D1414" s="76"/>
      <c r="E1414" s="208"/>
      <c r="F1414" s="168"/>
      <c r="G1414" s="209"/>
      <c r="H1414" s="168"/>
      <c r="I1414" s="208"/>
    </row>
    <row r="1415">
      <c r="B1415" s="168"/>
      <c r="D1415" s="76"/>
      <c r="E1415" s="208"/>
      <c r="F1415" s="168"/>
      <c r="G1415" s="209"/>
      <c r="H1415" s="168"/>
      <c r="I1415" s="208"/>
    </row>
    <row r="1416">
      <c r="B1416" s="168"/>
      <c r="D1416" s="76"/>
      <c r="E1416" s="208"/>
      <c r="F1416" s="168"/>
      <c r="G1416" s="209"/>
      <c r="H1416" s="168"/>
      <c r="I1416" s="208"/>
    </row>
    <row r="1417">
      <c r="B1417" s="168"/>
      <c r="D1417" s="76"/>
      <c r="E1417" s="208"/>
      <c r="F1417" s="168"/>
      <c r="G1417" s="209"/>
      <c r="H1417" s="168"/>
      <c r="I1417" s="208"/>
    </row>
    <row r="1418">
      <c r="B1418" s="168"/>
      <c r="D1418" s="76"/>
      <c r="E1418" s="208"/>
      <c r="F1418" s="168"/>
      <c r="G1418" s="209"/>
      <c r="H1418" s="168"/>
      <c r="I1418" s="208"/>
    </row>
    <row r="1419">
      <c r="B1419" s="168"/>
      <c r="D1419" s="76"/>
      <c r="E1419" s="208"/>
      <c r="F1419" s="168"/>
      <c r="G1419" s="209"/>
      <c r="H1419" s="168"/>
      <c r="I1419" s="208"/>
    </row>
    <row r="1420">
      <c r="B1420" s="168"/>
      <c r="D1420" s="76"/>
      <c r="E1420" s="208"/>
      <c r="F1420" s="168"/>
      <c r="G1420" s="209"/>
      <c r="H1420" s="168"/>
      <c r="I1420" s="208"/>
    </row>
    <row r="1421">
      <c r="B1421" s="168"/>
      <c r="D1421" s="76"/>
      <c r="E1421" s="208"/>
      <c r="F1421" s="168"/>
      <c r="G1421" s="209"/>
      <c r="H1421" s="168"/>
      <c r="I1421" s="208"/>
    </row>
    <row r="1422">
      <c r="B1422" s="168"/>
      <c r="D1422" s="76"/>
      <c r="E1422" s="208"/>
      <c r="F1422" s="168"/>
      <c r="G1422" s="209"/>
      <c r="H1422" s="168"/>
      <c r="I1422" s="208"/>
    </row>
    <row r="1423">
      <c r="B1423" s="168"/>
      <c r="D1423" s="76"/>
      <c r="E1423" s="208"/>
      <c r="F1423" s="168"/>
      <c r="G1423" s="209"/>
      <c r="H1423" s="168"/>
      <c r="I1423" s="208"/>
    </row>
    <row r="1424">
      <c r="B1424" s="168"/>
      <c r="D1424" s="76"/>
      <c r="E1424" s="208"/>
      <c r="F1424" s="168"/>
      <c r="G1424" s="209"/>
      <c r="H1424" s="168"/>
      <c r="I1424" s="208"/>
    </row>
    <row r="1425">
      <c r="B1425" s="168"/>
      <c r="D1425" s="76"/>
      <c r="E1425" s="208"/>
      <c r="F1425" s="168"/>
      <c r="G1425" s="209"/>
      <c r="H1425" s="168"/>
      <c r="I1425" s="208"/>
    </row>
    <row r="1426">
      <c r="B1426" s="168"/>
      <c r="D1426" s="76"/>
      <c r="E1426" s="208"/>
      <c r="F1426" s="168"/>
      <c r="G1426" s="209"/>
      <c r="H1426" s="168"/>
      <c r="I1426" s="208"/>
    </row>
    <row r="1427">
      <c r="B1427" s="168"/>
      <c r="D1427" s="76"/>
      <c r="E1427" s="208"/>
      <c r="F1427" s="168"/>
      <c r="G1427" s="209"/>
      <c r="H1427" s="168"/>
      <c r="I1427" s="208"/>
    </row>
    <row r="1428">
      <c r="B1428" s="168"/>
      <c r="D1428" s="76"/>
      <c r="E1428" s="208"/>
      <c r="F1428" s="168"/>
      <c r="G1428" s="209"/>
      <c r="H1428" s="168"/>
      <c r="I1428" s="208"/>
    </row>
    <row r="1429">
      <c r="B1429" s="168"/>
      <c r="D1429" s="76"/>
      <c r="E1429" s="208"/>
      <c r="F1429" s="168"/>
      <c r="G1429" s="209"/>
      <c r="H1429" s="168"/>
      <c r="I1429" s="208"/>
    </row>
    <row r="1430">
      <c r="B1430" s="168"/>
      <c r="D1430" s="76"/>
      <c r="E1430" s="208"/>
      <c r="F1430" s="168"/>
      <c r="G1430" s="209"/>
      <c r="H1430" s="168"/>
      <c r="I1430" s="208"/>
    </row>
    <row r="1431">
      <c r="B1431" s="168"/>
      <c r="D1431" s="76"/>
      <c r="E1431" s="208"/>
      <c r="F1431" s="168"/>
      <c r="G1431" s="209"/>
      <c r="H1431" s="168"/>
      <c r="I1431" s="208"/>
    </row>
    <row r="1432">
      <c r="B1432" s="168"/>
      <c r="D1432" s="76"/>
      <c r="E1432" s="208"/>
      <c r="F1432" s="168"/>
      <c r="G1432" s="209"/>
      <c r="H1432" s="168"/>
      <c r="I1432" s="208"/>
    </row>
    <row r="1433">
      <c r="B1433" s="168"/>
      <c r="D1433" s="76"/>
      <c r="E1433" s="208"/>
      <c r="F1433" s="168"/>
      <c r="G1433" s="209"/>
      <c r="H1433" s="168"/>
      <c r="I1433" s="208"/>
    </row>
    <row r="1434">
      <c r="B1434" s="168"/>
      <c r="D1434" s="76"/>
      <c r="E1434" s="208"/>
      <c r="F1434" s="168"/>
      <c r="G1434" s="209"/>
      <c r="H1434" s="168"/>
      <c r="I1434" s="208"/>
    </row>
    <row r="1435">
      <c r="B1435" s="168"/>
      <c r="D1435" s="76"/>
      <c r="E1435" s="208"/>
      <c r="F1435" s="168"/>
      <c r="G1435" s="209"/>
      <c r="H1435" s="168"/>
      <c r="I1435" s="208"/>
    </row>
    <row r="1436">
      <c r="B1436" s="168"/>
      <c r="D1436" s="76"/>
      <c r="E1436" s="208"/>
      <c r="F1436" s="168"/>
      <c r="G1436" s="209"/>
      <c r="H1436" s="168"/>
      <c r="I1436" s="208"/>
    </row>
    <row r="1437">
      <c r="B1437" s="168"/>
      <c r="D1437" s="76"/>
      <c r="E1437" s="208"/>
      <c r="F1437" s="168"/>
      <c r="G1437" s="209"/>
      <c r="H1437" s="168"/>
      <c r="I1437" s="208"/>
    </row>
    <row r="1438">
      <c r="B1438" s="168"/>
      <c r="D1438" s="76"/>
      <c r="E1438" s="208"/>
      <c r="F1438" s="168"/>
      <c r="G1438" s="209"/>
      <c r="H1438" s="168"/>
      <c r="I1438" s="208"/>
    </row>
    <row r="1439">
      <c r="B1439" s="168"/>
      <c r="D1439" s="76"/>
      <c r="E1439" s="208"/>
      <c r="F1439" s="168"/>
      <c r="G1439" s="209"/>
      <c r="H1439" s="168"/>
      <c r="I1439" s="208"/>
    </row>
    <row r="1440">
      <c r="B1440" s="168"/>
      <c r="D1440" s="76"/>
      <c r="E1440" s="208"/>
      <c r="F1440" s="168"/>
      <c r="G1440" s="209"/>
      <c r="H1440" s="168"/>
      <c r="I1440" s="208"/>
    </row>
    <row r="1441">
      <c r="B1441" s="168"/>
      <c r="D1441" s="76"/>
      <c r="E1441" s="208"/>
      <c r="F1441" s="168"/>
      <c r="G1441" s="209"/>
      <c r="H1441" s="168"/>
      <c r="I1441" s="208"/>
    </row>
    <row r="1442">
      <c r="B1442" s="168"/>
      <c r="D1442" s="76"/>
      <c r="E1442" s="208"/>
      <c r="F1442" s="168"/>
      <c r="G1442" s="209"/>
      <c r="H1442" s="168"/>
      <c r="I1442" s="208"/>
    </row>
    <row r="1443">
      <c r="B1443" s="168"/>
      <c r="D1443" s="76"/>
      <c r="E1443" s="208"/>
      <c r="F1443" s="168"/>
      <c r="G1443" s="209"/>
      <c r="H1443" s="168"/>
      <c r="I1443" s="208"/>
    </row>
    <row r="1444">
      <c r="B1444" s="168"/>
      <c r="D1444" s="76"/>
      <c r="E1444" s="208"/>
      <c r="F1444" s="168"/>
      <c r="G1444" s="209"/>
      <c r="H1444" s="168"/>
      <c r="I1444" s="208"/>
    </row>
    <row r="1445">
      <c r="B1445" s="168"/>
      <c r="D1445" s="76"/>
      <c r="E1445" s="208"/>
      <c r="F1445" s="168"/>
      <c r="G1445" s="209"/>
      <c r="H1445" s="168"/>
      <c r="I1445" s="208"/>
    </row>
    <row r="1446">
      <c r="B1446" s="168"/>
      <c r="D1446" s="76"/>
      <c r="E1446" s="208"/>
      <c r="F1446" s="168"/>
      <c r="G1446" s="209"/>
      <c r="H1446" s="168"/>
      <c r="I1446" s="208"/>
    </row>
    <row r="1447">
      <c r="B1447" s="168"/>
      <c r="D1447" s="76"/>
      <c r="E1447" s="208"/>
      <c r="F1447" s="168"/>
      <c r="G1447" s="209"/>
      <c r="H1447" s="168"/>
      <c r="I1447" s="208"/>
    </row>
    <row r="1448">
      <c r="B1448" s="168"/>
      <c r="D1448" s="76"/>
      <c r="E1448" s="208"/>
      <c r="F1448" s="168"/>
      <c r="G1448" s="209"/>
      <c r="H1448" s="168"/>
      <c r="I1448" s="208"/>
    </row>
    <row r="1449">
      <c r="B1449" s="168"/>
      <c r="D1449" s="76"/>
      <c r="E1449" s="208"/>
      <c r="F1449" s="168"/>
      <c r="G1449" s="209"/>
      <c r="H1449" s="168"/>
      <c r="I1449" s="208"/>
    </row>
    <row r="1450">
      <c r="B1450" s="168"/>
      <c r="D1450" s="76"/>
      <c r="E1450" s="208"/>
      <c r="F1450" s="168"/>
      <c r="G1450" s="209"/>
      <c r="H1450" s="168"/>
      <c r="I1450" s="208"/>
    </row>
    <row r="1451">
      <c r="B1451" s="168"/>
      <c r="D1451" s="76"/>
      <c r="E1451" s="208"/>
      <c r="F1451" s="168"/>
      <c r="G1451" s="209"/>
      <c r="H1451" s="168"/>
      <c r="I1451" s="208"/>
    </row>
    <row r="1452">
      <c r="B1452" s="168"/>
      <c r="D1452" s="76"/>
      <c r="E1452" s="208"/>
      <c r="F1452" s="168"/>
      <c r="G1452" s="209"/>
      <c r="H1452" s="168"/>
      <c r="I1452" s="208"/>
    </row>
    <row r="1453">
      <c r="B1453" s="168"/>
      <c r="D1453" s="76"/>
      <c r="E1453" s="208"/>
      <c r="F1453" s="168"/>
      <c r="G1453" s="209"/>
      <c r="H1453" s="168"/>
      <c r="I1453" s="208"/>
    </row>
    <row r="1454">
      <c r="B1454" s="168"/>
      <c r="D1454" s="76"/>
      <c r="E1454" s="208"/>
      <c r="F1454" s="168"/>
      <c r="G1454" s="209"/>
      <c r="H1454" s="168"/>
      <c r="I1454" s="208"/>
    </row>
    <row r="1455">
      <c r="B1455" s="168"/>
      <c r="D1455" s="76"/>
      <c r="E1455" s="208"/>
      <c r="F1455" s="168"/>
      <c r="G1455" s="209"/>
      <c r="H1455" s="168"/>
      <c r="I1455" s="208"/>
    </row>
    <row r="1456">
      <c r="B1456" s="168"/>
      <c r="D1456" s="76"/>
      <c r="E1456" s="208"/>
      <c r="F1456" s="168"/>
      <c r="G1456" s="209"/>
      <c r="H1456" s="168"/>
      <c r="I1456" s="208"/>
    </row>
    <row r="1457">
      <c r="B1457" s="168"/>
      <c r="D1457" s="76"/>
      <c r="E1457" s="208"/>
      <c r="F1457" s="168"/>
      <c r="G1457" s="209"/>
      <c r="H1457" s="168"/>
      <c r="I1457" s="208"/>
    </row>
    <row r="1458">
      <c r="B1458" s="168"/>
      <c r="D1458" s="76"/>
      <c r="E1458" s="208"/>
      <c r="F1458" s="168"/>
      <c r="G1458" s="209"/>
      <c r="H1458" s="168"/>
      <c r="I1458" s="208"/>
    </row>
    <row r="1459">
      <c r="B1459" s="168"/>
      <c r="D1459" s="76"/>
      <c r="E1459" s="208"/>
      <c r="F1459" s="168"/>
      <c r="G1459" s="209"/>
      <c r="H1459" s="168"/>
      <c r="I1459" s="208"/>
    </row>
    <row r="1460">
      <c r="B1460" s="168"/>
      <c r="D1460" s="76"/>
      <c r="E1460" s="208"/>
      <c r="F1460" s="168"/>
      <c r="G1460" s="209"/>
      <c r="H1460" s="168"/>
      <c r="I1460" s="208"/>
    </row>
    <row r="1461">
      <c r="B1461" s="168"/>
      <c r="D1461" s="76"/>
      <c r="E1461" s="208"/>
      <c r="F1461" s="168"/>
      <c r="G1461" s="209"/>
      <c r="H1461" s="168"/>
      <c r="I1461" s="208"/>
    </row>
    <row r="1462">
      <c r="B1462" s="168"/>
      <c r="D1462" s="76"/>
      <c r="E1462" s="208"/>
      <c r="F1462" s="168"/>
      <c r="G1462" s="209"/>
      <c r="H1462" s="168"/>
      <c r="I1462" s="208"/>
    </row>
    <row r="1463">
      <c r="B1463" s="168"/>
      <c r="D1463" s="76"/>
      <c r="E1463" s="208"/>
      <c r="F1463" s="168"/>
      <c r="G1463" s="209"/>
      <c r="H1463" s="168"/>
      <c r="I1463" s="208"/>
    </row>
    <row r="1464">
      <c r="B1464" s="168"/>
      <c r="D1464" s="76"/>
      <c r="E1464" s="208"/>
      <c r="F1464" s="168"/>
      <c r="G1464" s="209"/>
      <c r="H1464" s="168"/>
      <c r="I1464" s="208"/>
    </row>
    <row r="1465">
      <c r="B1465" s="168"/>
      <c r="D1465" s="76"/>
      <c r="E1465" s="208"/>
      <c r="F1465" s="168"/>
      <c r="G1465" s="209"/>
      <c r="H1465" s="168"/>
      <c r="I1465" s="208"/>
    </row>
    <row r="1466">
      <c r="B1466" s="168"/>
      <c r="D1466" s="76"/>
      <c r="E1466" s="208"/>
      <c r="F1466" s="168"/>
      <c r="G1466" s="209"/>
      <c r="H1466" s="168"/>
      <c r="I1466" s="208"/>
    </row>
    <row r="1467">
      <c r="B1467" s="168"/>
      <c r="D1467" s="76"/>
      <c r="E1467" s="208"/>
      <c r="F1467" s="168"/>
      <c r="G1467" s="209"/>
      <c r="H1467" s="168"/>
      <c r="I1467" s="208"/>
    </row>
    <row r="1468">
      <c r="B1468" s="168"/>
      <c r="D1468" s="76"/>
      <c r="E1468" s="208"/>
      <c r="F1468" s="168"/>
      <c r="G1468" s="209"/>
      <c r="H1468" s="168"/>
      <c r="I1468" s="208"/>
    </row>
    <row r="1469">
      <c r="B1469" s="168"/>
      <c r="D1469" s="76"/>
      <c r="E1469" s="208"/>
      <c r="F1469" s="168"/>
      <c r="G1469" s="209"/>
      <c r="H1469" s="168"/>
      <c r="I1469" s="208"/>
    </row>
    <row r="1470">
      <c r="B1470" s="168"/>
      <c r="D1470" s="76"/>
      <c r="E1470" s="208"/>
      <c r="F1470" s="168"/>
      <c r="G1470" s="209"/>
      <c r="H1470" s="168"/>
      <c r="I1470" s="208"/>
    </row>
    <row r="1471">
      <c r="B1471" s="168"/>
      <c r="D1471" s="76"/>
      <c r="E1471" s="208"/>
      <c r="F1471" s="168"/>
      <c r="G1471" s="209"/>
      <c r="H1471" s="168"/>
      <c r="I1471" s="208"/>
    </row>
    <row r="1472">
      <c r="B1472" s="168"/>
      <c r="D1472" s="76"/>
      <c r="E1472" s="208"/>
      <c r="F1472" s="168"/>
      <c r="G1472" s="209"/>
      <c r="H1472" s="168"/>
      <c r="I1472" s="208"/>
    </row>
    <row r="1473">
      <c r="B1473" s="168"/>
      <c r="D1473" s="76"/>
      <c r="E1473" s="208"/>
      <c r="F1473" s="168"/>
      <c r="G1473" s="209"/>
      <c r="H1473" s="168"/>
      <c r="I1473" s="208"/>
    </row>
    <row r="1474">
      <c r="B1474" s="168"/>
      <c r="D1474" s="76"/>
      <c r="E1474" s="208"/>
      <c r="F1474" s="168"/>
      <c r="G1474" s="209"/>
      <c r="H1474" s="168"/>
      <c r="I1474" s="208"/>
    </row>
    <row r="1475">
      <c r="B1475" s="168"/>
      <c r="D1475" s="76"/>
      <c r="E1475" s="208"/>
      <c r="F1475" s="168"/>
      <c r="G1475" s="209"/>
      <c r="H1475" s="168"/>
      <c r="I1475" s="208"/>
    </row>
    <row r="1476">
      <c r="B1476" s="168"/>
      <c r="D1476" s="76"/>
      <c r="E1476" s="208"/>
      <c r="F1476" s="168"/>
      <c r="G1476" s="209"/>
      <c r="H1476" s="168"/>
      <c r="I1476" s="208"/>
    </row>
    <row r="1477">
      <c r="B1477" s="168"/>
      <c r="D1477" s="76"/>
      <c r="E1477" s="208"/>
      <c r="F1477" s="168"/>
      <c r="G1477" s="209"/>
      <c r="H1477" s="168"/>
      <c r="I1477" s="208"/>
    </row>
    <row r="1478">
      <c r="B1478" s="168"/>
      <c r="D1478" s="76"/>
      <c r="E1478" s="208"/>
      <c r="F1478" s="168"/>
      <c r="G1478" s="209"/>
      <c r="H1478" s="168"/>
      <c r="I1478" s="208"/>
    </row>
    <row r="1479">
      <c r="B1479" s="168"/>
      <c r="D1479" s="76"/>
      <c r="E1479" s="208"/>
      <c r="F1479" s="168"/>
      <c r="G1479" s="209"/>
      <c r="H1479" s="168"/>
      <c r="I1479" s="208"/>
    </row>
    <row r="1480">
      <c r="B1480" s="168"/>
      <c r="D1480" s="76"/>
      <c r="E1480" s="208"/>
      <c r="F1480" s="168"/>
      <c r="G1480" s="209"/>
      <c r="H1480" s="168"/>
      <c r="I1480" s="208"/>
    </row>
    <row r="1481">
      <c r="B1481" s="168"/>
      <c r="D1481" s="76"/>
      <c r="E1481" s="208"/>
      <c r="F1481" s="168"/>
      <c r="G1481" s="209"/>
      <c r="H1481" s="168"/>
      <c r="I1481" s="208"/>
    </row>
    <row r="1482">
      <c r="B1482" s="168"/>
      <c r="D1482" s="76"/>
      <c r="E1482" s="208"/>
      <c r="F1482" s="168"/>
      <c r="G1482" s="209"/>
      <c r="H1482" s="168"/>
      <c r="I1482" s="208"/>
    </row>
    <row r="1483">
      <c r="B1483" s="168"/>
      <c r="D1483" s="76"/>
      <c r="E1483" s="208"/>
      <c r="F1483" s="168"/>
      <c r="G1483" s="209"/>
      <c r="H1483" s="168"/>
      <c r="I1483" s="208"/>
    </row>
    <row r="1484">
      <c r="B1484" s="168"/>
      <c r="D1484" s="76"/>
      <c r="E1484" s="208"/>
      <c r="F1484" s="168"/>
      <c r="G1484" s="209"/>
      <c r="H1484" s="168"/>
      <c r="I1484" s="208"/>
    </row>
    <row r="1485">
      <c r="B1485" s="168"/>
      <c r="D1485" s="76"/>
      <c r="E1485" s="208"/>
      <c r="F1485" s="168"/>
      <c r="G1485" s="209"/>
      <c r="H1485" s="168"/>
      <c r="I1485" s="208"/>
    </row>
    <row r="1486">
      <c r="B1486" s="168"/>
      <c r="D1486" s="76"/>
      <c r="E1486" s="208"/>
      <c r="F1486" s="168"/>
      <c r="G1486" s="209"/>
      <c r="H1486" s="168"/>
      <c r="I1486" s="208"/>
    </row>
    <row r="1487">
      <c r="B1487" s="168"/>
      <c r="D1487" s="76"/>
      <c r="E1487" s="208"/>
      <c r="F1487" s="168"/>
      <c r="G1487" s="209"/>
      <c r="H1487" s="168"/>
      <c r="I1487" s="208"/>
    </row>
    <row r="1488">
      <c r="B1488" s="168"/>
      <c r="D1488" s="76"/>
      <c r="E1488" s="208"/>
      <c r="F1488" s="168"/>
      <c r="G1488" s="209"/>
      <c r="H1488" s="168"/>
      <c r="I1488" s="208"/>
    </row>
    <row r="1489">
      <c r="B1489" s="168"/>
      <c r="D1489" s="76"/>
      <c r="E1489" s="208"/>
      <c r="F1489" s="168"/>
      <c r="G1489" s="209"/>
      <c r="H1489" s="168"/>
      <c r="I1489" s="208"/>
    </row>
    <row r="1490">
      <c r="B1490" s="168"/>
      <c r="D1490" s="76"/>
      <c r="E1490" s="208"/>
      <c r="F1490" s="168"/>
      <c r="G1490" s="209"/>
      <c r="H1490" s="168"/>
      <c r="I1490" s="208"/>
    </row>
    <row r="1491">
      <c r="B1491" s="168"/>
      <c r="D1491" s="76"/>
      <c r="E1491" s="208"/>
      <c r="F1491" s="168"/>
      <c r="G1491" s="209"/>
      <c r="H1491" s="168"/>
      <c r="I1491" s="208"/>
    </row>
    <row r="1492">
      <c r="B1492" s="168"/>
      <c r="D1492" s="76"/>
      <c r="E1492" s="208"/>
      <c r="F1492" s="168"/>
      <c r="G1492" s="209"/>
      <c r="H1492" s="168"/>
      <c r="I1492" s="208"/>
    </row>
    <row r="1493">
      <c r="B1493" s="168"/>
      <c r="D1493" s="76"/>
      <c r="E1493" s="208"/>
      <c r="F1493" s="168"/>
      <c r="G1493" s="209"/>
      <c r="H1493" s="168"/>
      <c r="I1493" s="208"/>
    </row>
    <row r="1494">
      <c r="B1494" s="168"/>
      <c r="D1494" s="76"/>
      <c r="E1494" s="208"/>
      <c r="F1494" s="168"/>
      <c r="G1494" s="209"/>
      <c r="H1494" s="168"/>
      <c r="I1494" s="208"/>
    </row>
    <row r="1495">
      <c r="B1495" s="168"/>
      <c r="D1495" s="76"/>
      <c r="E1495" s="208"/>
      <c r="F1495" s="168"/>
      <c r="G1495" s="209"/>
      <c r="H1495" s="168"/>
      <c r="I1495" s="208"/>
    </row>
    <row r="1496">
      <c r="B1496" s="168"/>
      <c r="D1496" s="76"/>
      <c r="E1496" s="208"/>
      <c r="F1496" s="168"/>
      <c r="G1496" s="209"/>
      <c r="H1496" s="168"/>
      <c r="I1496" s="208"/>
    </row>
    <row r="1497">
      <c r="B1497" s="168"/>
      <c r="D1497" s="76"/>
      <c r="E1497" s="208"/>
      <c r="F1497" s="168"/>
      <c r="G1497" s="209"/>
      <c r="H1497" s="168"/>
      <c r="I1497" s="208"/>
    </row>
    <row r="1498">
      <c r="B1498" s="168"/>
      <c r="D1498" s="76"/>
      <c r="E1498" s="208"/>
      <c r="F1498" s="168"/>
      <c r="G1498" s="209"/>
      <c r="H1498" s="168"/>
      <c r="I1498" s="208"/>
    </row>
    <row r="1499">
      <c r="B1499" s="168"/>
      <c r="D1499" s="76"/>
      <c r="E1499" s="208"/>
      <c r="F1499" s="168"/>
      <c r="G1499" s="209"/>
      <c r="H1499" s="168"/>
      <c r="I1499" s="208"/>
    </row>
    <row r="1500">
      <c r="B1500" s="168"/>
      <c r="D1500" s="76"/>
      <c r="E1500" s="208"/>
      <c r="F1500" s="168"/>
      <c r="G1500" s="209"/>
      <c r="H1500" s="168"/>
      <c r="I1500" s="208"/>
    </row>
    <row r="1501">
      <c r="B1501" s="168"/>
      <c r="D1501" s="76"/>
      <c r="E1501" s="208"/>
      <c r="F1501" s="168"/>
      <c r="G1501" s="209"/>
      <c r="H1501" s="168"/>
      <c r="I1501" s="208"/>
    </row>
    <row r="1502">
      <c r="B1502" s="168"/>
      <c r="D1502" s="76"/>
      <c r="E1502" s="208"/>
      <c r="F1502" s="168"/>
      <c r="G1502" s="209"/>
      <c r="H1502" s="168"/>
      <c r="I1502" s="208"/>
    </row>
    <row r="1503">
      <c r="B1503" s="168"/>
      <c r="D1503" s="76"/>
      <c r="E1503" s="208"/>
      <c r="F1503" s="168"/>
      <c r="G1503" s="209"/>
      <c r="H1503" s="168"/>
      <c r="I1503" s="208"/>
    </row>
    <row r="1504">
      <c r="B1504" s="168"/>
      <c r="D1504" s="76"/>
      <c r="E1504" s="208"/>
      <c r="F1504" s="168"/>
      <c r="G1504" s="209"/>
      <c r="H1504" s="168"/>
      <c r="I1504" s="208"/>
    </row>
    <row r="1505">
      <c r="B1505" s="168"/>
      <c r="D1505" s="76"/>
      <c r="E1505" s="208"/>
      <c r="F1505" s="168"/>
      <c r="G1505" s="209"/>
      <c r="H1505" s="168"/>
      <c r="I1505" s="208"/>
    </row>
    <row r="1506">
      <c r="B1506" s="168"/>
      <c r="D1506" s="76"/>
      <c r="E1506" s="208"/>
      <c r="F1506" s="168"/>
      <c r="G1506" s="209"/>
      <c r="H1506" s="168"/>
      <c r="I1506" s="208"/>
    </row>
    <row r="1507">
      <c r="B1507" s="168"/>
      <c r="D1507" s="76"/>
      <c r="E1507" s="208"/>
      <c r="F1507" s="168"/>
      <c r="G1507" s="209"/>
      <c r="H1507" s="168"/>
      <c r="I1507" s="208"/>
    </row>
    <row r="1508">
      <c r="B1508" s="168"/>
      <c r="D1508" s="76"/>
      <c r="E1508" s="208"/>
      <c r="F1508" s="168"/>
      <c r="G1508" s="209"/>
      <c r="H1508" s="168"/>
      <c r="I1508" s="208"/>
    </row>
    <row r="1509">
      <c r="B1509" s="168"/>
      <c r="D1509" s="76"/>
      <c r="E1509" s="208"/>
      <c r="F1509" s="168"/>
      <c r="G1509" s="209"/>
      <c r="H1509" s="168"/>
      <c r="I1509" s="208"/>
    </row>
    <row r="1510">
      <c r="B1510" s="168"/>
      <c r="D1510" s="76"/>
      <c r="E1510" s="208"/>
      <c r="F1510" s="168"/>
      <c r="G1510" s="209"/>
      <c r="H1510" s="168"/>
      <c r="I1510" s="208"/>
    </row>
    <row r="1511">
      <c r="B1511" s="168"/>
      <c r="D1511" s="76"/>
      <c r="E1511" s="208"/>
      <c r="F1511" s="168"/>
      <c r="G1511" s="209"/>
      <c r="H1511" s="168"/>
      <c r="I1511" s="208"/>
    </row>
    <row r="1512">
      <c r="B1512" s="168"/>
      <c r="D1512" s="76"/>
      <c r="E1512" s="208"/>
      <c r="F1512" s="168"/>
      <c r="G1512" s="209"/>
      <c r="H1512" s="168"/>
      <c r="I1512" s="208"/>
    </row>
    <row r="1513">
      <c r="B1513" s="168"/>
      <c r="D1513" s="76"/>
      <c r="E1513" s="208"/>
      <c r="F1513" s="168"/>
      <c r="G1513" s="209"/>
      <c r="H1513" s="168"/>
      <c r="I1513" s="208"/>
    </row>
    <row r="1514">
      <c r="B1514" s="168"/>
      <c r="D1514" s="76"/>
      <c r="E1514" s="208"/>
      <c r="F1514" s="168"/>
      <c r="G1514" s="209"/>
      <c r="H1514" s="168"/>
      <c r="I1514" s="208"/>
    </row>
    <row r="1515">
      <c r="B1515" s="168"/>
      <c r="D1515" s="76"/>
      <c r="E1515" s="208"/>
      <c r="F1515" s="168"/>
      <c r="G1515" s="209"/>
      <c r="H1515" s="168"/>
      <c r="I1515" s="208"/>
    </row>
    <row r="1516">
      <c r="B1516" s="168"/>
      <c r="D1516" s="76"/>
      <c r="E1516" s="208"/>
      <c r="F1516" s="168"/>
      <c r="G1516" s="209"/>
      <c r="H1516" s="168"/>
      <c r="I1516" s="208"/>
    </row>
    <row r="1517">
      <c r="B1517" s="168"/>
      <c r="D1517" s="76"/>
      <c r="E1517" s="208"/>
      <c r="F1517" s="168"/>
      <c r="G1517" s="209"/>
      <c r="H1517" s="168"/>
      <c r="I1517" s="208"/>
    </row>
    <row r="1518">
      <c r="B1518" s="168"/>
      <c r="D1518" s="76"/>
      <c r="E1518" s="208"/>
      <c r="F1518" s="168"/>
      <c r="G1518" s="209"/>
      <c r="H1518" s="168"/>
      <c r="I1518" s="208"/>
    </row>
    <row r="1519">
      <c r="B1519" s="168"/>
      <c r="D1519" s="76"/>
      <c r="E1519" s="208"/>
      <c r="F1519" s="168"/>
      <c r="G1519" s="209"/>
      <c r="H1519" s="168"/>
      <c r="I1519" s="208"/>
    </row>
    <row r="1520">
      <c r="B1520" s="168"/>
      <c r="D1520" s="76"/>
      <c r="E1520" s="208"/>
      <c r="F1520" s="168"/>
      <c r="G1520" s="209"/>
      <c r="H1520" s="168"/>
      <c r="I1520" s="208"/>
    </row>
    <row r="1521">
      <c r="B1521" s="168"/>
      <c r="D1521" s="76"/>
      <c r="E1521" s="208"/>
      <c r="F1521" s="168"/>
      <c r="G1521" s="209"/>
      <c r="H1521" s="168"/>
      <c r="I1521" s="208"/>
    </row>
    <row r="1522">
      <c r="B1522" s="168"/>
      <c r="D1522" s="76"/>
      <c r="E1522" s="208"/>
      <c r="F1522" s="168"/>
      <c r="G1522" s="209"/>
      <c r="H1522" s="168"/>
      <c r="I1522" s="208"/>
    </row>
    <row r="1523">
      <c r="B1523" s="168"/>
      <c r="D1523" s="76"/>
      <c r="E1523" s="208"/>
      <c r="F1523" s="168"/>
      <c r="G1523" s="209"/>
      <c r="H1523" s="168"/>
      <c r="I1523" s="208"/>
    </row>
    <row r="1524">
      <c r="B1524" s="168"/>
      <c r="D1524" s="76"/>
      <c r="E1524" s="208"/>
      <c r="F1524" s="168"/>
      <c r="G1524" s="209"/>
      <c r="H1524" s="168"/>
      <c r="I1524" s="208"/>
    </row>
    <row r="1525">
      <c r="B1525" s="168"/>
      <c r="D1525" s="76"/>
      <c r="E1525" s="208"/>
      <c r="F1525" s="168"/>
      <c r="G1525" s="209"/>
      <c r="H1525" s="168"/>
      <c r="I1525" s="208"/>
    </row>
    <row r="1526">
      <c r="B1526" s="168"/>
      <c r="D1526" s="76"/>
      <c r="E1526" s="208"/>
      <c r="F1526" s="168"/>
      <c r="G1526" s="209"/>
      <c r="H1526" s="168"/>
      <c r="I1526" s="208"/>
    </row>
    <row r="1527">
      <c r="B1527" s="168"/>
      <c r="D1527" s="76"/>
      <c r="E1527" s="208"/>
      <c r="F1527" s="168"/>
      <c r="G1527" s="209"/>
      <c r="H1527" s="168"/>
      <c r="I1527" s="208"/>
    </row>
    <row r="1528">
      <c r="B1528" s="168"/>
      <c r="D1528" s="76"/>
      <c r="E1528" s="208"/>
      <c r="F1528" s="168"/>
      <c r="G1528" s="209"/>
      <c r="H1528" s="168"/>
      <c r="I1528" s="208"/>
    </row>
    <row r="1529">
      <c r="B1529" s="168"/>
      <c r="D1529" s="76"/>
      <c r="E1529" s="208"/>
      <c r="F1529" s="168"/>
      <c r="G1529" s="209"/>
      <c r="H1529" s="168"/>
      <c r="I1529" s="208"/>
    </row>
    <row r="1530">
      <c r="B1530" s="168"/>
      <c r="D1530" s="76"/>
      <c r="E1530" s="208"/>
      <c r="F1530" s="168"/>
      <c r="G1530" s="209"/>
      <c r="H1530" s="168"/>
      <c r="I1530" s="208"/>
    </row>
    <row r="1531">
      <c r="B1531" s="168"/>
      <c r="D1531" s="76"/>
      <c r="E1531" s="208"/>
      <c r="F1531" s="168"/>
      <c r="G1531" s="209"/>
      <c r="H1531" s="168"/>
      <c r="I1531" s="208"/>
    </row>
    <row r="1532">
      <c r="B1532" s="168"/>
      <c r="D1532" s="76"/>
      <c r="E1532" s="208"/>
      <c r="F1532" s="168"/>
      <c r="G1532" s="209"/>
      <c r="H1532" s="168"/>
      <c r="I1532" s="208"/>
    </row>
    <row r="1533">
      <c r="B1533" s="168"/>
      <c r="D1533" s="76"/>
      <c r="E1533" s="208"/>
      <c r="F1533" s="168"/>
      <c r="G1533" s="209"/>
      <c r="H1533" s="168"/>
      <c r="I1533" s="208"/>
    </row>
    <row r="1534">
      <c r="B1534" s="168"/>
      <c r="D1534" s="76"/>
      <c r="E1534" s="208"/>
      <c r="F1534" s="168"/>
      <c r="G1534" s="209"/>
      <c r="H1534" s="168"/>
      <c r="I1534" s="208"/>
    </row>
    <row r="1535">
      <c r="B1535" s="168"/>
      <c r="D1535" s="76"/>
      <c r="E1535" s="208"/>
      <c r="F1535" s="168"/>
      <c r="G1535" s="209"/>
      <c r="H1535" s="168"/>
      <c r="I1535" s="208"/>
    </row>
    <row r="1536">
      <c r="B1536" s="168"/>
      <c r="D1536" s="76"/>
      <c r="E1536" s="208"/>
      <c r="F1536" s="168"/>
      <c r="G1536" s="209"/>
      <c r="H1536" s="168"/>
      <c r="I1536" s="208"/>
    </row>
    <row r="1537">
      <c r="B1537" s="168"/>
      <c r="D1537" s="76"/>
      <c r="E1537" s="208"/>
      <c r="F1537" s="168"/>
      <c r="G1537" s="209"/>
      <c r="H1537" s="168"/>
      <c r="I1537" s="208"/>
    </row>
    <row r="1538">
      <c r="B1538" s="168"/>
      <c r="D1538" s="76"/>
      <c r="E1538" s="208"/>
      <c r="F1538" s="168"/>
      <c r="G1538" s="209"/>
      <c r="H1538" s="168"/>
      <c r="I1538" s="208"/>
    </row>
    <row r="1539">
      <c r="B1539" s="168"/>
      <c r="D1539" s="76"/>
      <c r="E1539" s="208"/>
      <c r="F1539" s="168"/>
      <c r="G1539" s="209"/>
      <c r="H1539" s="168"/>
      <c r="I1539" s="208"/>
    </row>
    <row r="1540">
      <c r="B1540" s="168"/>
      <c r="D1540" s="76"/>
      <c r="E1540" s="208"/>
      <c r="F1540" s="168"/>
      <c r="G1540" s="209"/>
      <c r="H1540" s="168"/>
      <c r="I1540" s="208"/>
    </row>
    <row r="1541">
      <c r="B1541" s="168"/>
      <c r="D1541" s="76"/>
      <c r="E1541" s="208"/>
      <c r="F1541" s="168"/>
      <c r="G1541" s="209"/>
      <c r="H1541" s="168"/>
      <c r="I1541" s="208"/>
    </row>
    <row r="1542">
      <c r="B1542" s="168"/>
      <c r="D1542" s="76"/>
      <c r="E1542" s="208"/>
      <c r="F1542" s="168"/>
      <c r="G1542" s="209"/>
      <c r="H1542" s="168"/>
      <c r="I1542" s="208"/>
    </row>
    <row r="1543">
      <c r="B1543" s="168"/>
      <c r="D1543" s="76"/>
      <c r="E1543" s="208"/>
      <c r="F1543" s="168"/>
      <c r="G1543" s="209"/>
      <c r="H1543" s="168"/>
      <c r="I1543" s="208"/>
    </row>
    <row r="1544">
      <c r="B1544" s="168"/>
      <c r="D1544" s="76"/>
      <c r="E1544" s="208"/>
      <c r="F1544" s="168"/>
      <c r="G1544" s="209"/>
      <c r="H1544" s="168"/>
      <c r="I1544" s="208"/>
    </row>
    <row r="1545">
      <c r="B1545" s="168"/>
      <c r="D1545" s="76"/>
      <c r="E1545" s="208"/>
      <c r="F1545" s="168"/>
      <c r="G1545" s="209"/>
      <c r="H1545" s="168"/>
      <c r="I1545" s="208"/>
    </row>
    <row r="1546">
      <c r="B1546" s="168"/>
      <c r="D1546" s="76"/>
      <c r="E1546" s="208"/>
      <c r="F1546" s="168"/>
      <c r="G1546" s="209"/>
      <c r="H1546" s="168"/>
      <c r="I1546" s="208"/>
    </row>
    <row r="1547">
      <c r="B1547" s="168"/>
      <c r="D1547" s="76"/>
      <c r="E1547" s="208"/>
      <c r="F1547" s="168"/>
      <c r="G1547" s="209"/>
      <c r="H1547" s="168"/>
      <c r="I1547" s="208"/>
    </row>
    <row r="1548">
      <c r="B1548" s="168"/>
      <c r="D1548" s="76"/>
      <c r="E1548" s="208"/>
      <c r="F1548" s="168"/>
      <c r="G1548" s="209"/>
      <c r="H1548" s="168"/>
      <c r="I1548" s="208"/>
    </row>
    <row r="1549">
      <c r="B1549" s="168"/>
      <c r="D1549" s="76"/>
      <c r="E1549" s="208"/>
      <c r="F1549" s="168"/>
      <c r="G1549" s="209"/>
      <c r="H1549" s="168"/>
      <c r="I1549" s="208"/>
    </row>
    <row r="1550">
      <c r="B1550" s="168"/>
      <c r="D1550" s="76"/>
      <c r="E1550" s="208"/>
      <c r="F1550" s="168"/>
      <c r="G1550" s="209"/>
      <c r="H1550" s="168"/>
      <c r="I1550" s="208"/>
    </row>
    <row r="1551">
      <c r="B1551" s="168"/>
      <c r="D1551" s="76"/>
      <c r="E1551" s="208"/>
      <c r="F1551" s="168"/>
      <c r="G1551" s="209"/>
      <c r="H1551" s="168"/>
      <c r="I1551" s="208"/>
    </row>
    <row r="1552">
      <c r="B1552" s="168"/>
      <c r="D1552" s="76"/>
      <c r="E1552" s="208"/>
      <c r="F1552" s="168"/>
      <c r="G1552" s="209"/>
      <c r="H1552" s="168"/>
      <c r="I1552" s="208"/>
    </row>
    <row r="1553">
      <c r="B1553" s="168"/>
      <c r="D1553" s="76"/>
      <c r="E1553" s="208"/>
      <c r="F1553" s="168"/>
      <c r="G1553" s="209"/>
      <c r="H1553" s="168"/>
      <c r="I1553" s="208"/>
    </row>
    <row r="1554">
      <c r="B1554" s="168"/>
      <c r="D1554" s="76"/>
      <c r="E1554" s="208"/>
      <c r="F1554" s="168"/>
      <c r="G1554" s="209"/>
      <c r="H1554" s="168"/>
      <c r="I1554" s="208"/>
    </row>
    <row r="1555">
      <c r="B1555" s="168"/>
      <c r="D1555" s="76"/>
      <c r="E1555" s="208"/>
      <c r="F1555" s="168"/>
      <c r="G1555" s="209"/>
      <c r="H1555" s="168"/>
      <c r="I1555" s="208"/>
    </row>
    <row r="1556">
      <c r="B1556" s="168"/>
      <c r="D1556" s="76"/>
      <c r="E1556" s="208"/>
      <c r="F1556" s="168"/>
      <c r="G1556" s="209"/>
      <c r="H1556" s="168"/>
      <c r="I1556" s="208"/>
    </row>
    <row r="1557">
      <c r="B1557" s="168"/>
      <c r="D1557" s="76"/>
      <c r="E1557" s="208"/>
      <c r="F1557" s="168"/>
      <c r="G1557" s="209"/>
      <c r="H1557" s="168"/>
      <c r="I1557" s="208"/>
    </row>
    <row r="1558">
      <c r="B1558" s="168"/>
      <c r="D1558" s="76"/>
      <c r="E1558" s="208"/>
      <c r="F1558" s="168"/>
      <c r="G1558" s="209"/>
      <c r="H1558" s="168"/>
      <c r="I1558" s="208"/>
    </row>
    <row r="1559">
      <c r="B1559" s="168"/>
      <c r="D1559" s="76"/>
      <c r="E1559" s="208"/>
      <c r="F1559" s="168"/>
      <c r="G1559" s="209"/>
      <c r="H1559" s="168"/>
      <c r="I1559" s="208"/>
    </row>
    <row r="1560">
      <c r="B1560" s="168"/>
      <c r="D1560" s="76"/>
      <c r="E1560" s="208"/>
      <c r="F1560" s="168"/>
      <c r="G1560" s="209"/>
      <c r="H1560" s="168"/>
      <c r="I1560" s="208"/>
    </row>
    <row r="1561">
      <c r="B1561" s="168"/>
      <c r="D1561" s="76"/>
      <c r="E1561" s="208"/>
      <c r="F1561" s="168"/>
      <c r="G1561" s="209"/>
      <c r="H1561" s="168"/>
      <c r="I1561" s="208"/>
    </row>
    <row r="1562">
      <c r="B1562" s="168"/>
      <c r="D1562" s="76"/>
      <c r="E1562" s="208"/>
      <c r="F1562" s="168"/>
      <c r="G1562" s="209"/>
      <c r="H1562" s="168"/>
      <c r="I1562" s="208"/>
    </row>
    <row r="1563">
      <c r="B1563" s="168"/>
      <c r="D1563" s="76"/>
      <c r="E1563" s="208"/>
      <c r="F1563" s="168"/>
      <c r="G1563" s="209"/>
      <c r="H1563" s="168"/>
      <c r="I1563" s="208"/>
    </row>
    <row r="1564">
      <c r="B1564" s="168"/>
      <c r="D1564" s="76"/>
      <c r="E1564" s="208"/>
      <c r="F1564" s="168"/>
      <c r="G1564" s="209"/>
      <c r="H1564" s="168"/>
      <c r="I1564" s="208"/>
    </row>
    <row r="1565">
      <c r="B1565" s="168"/>
      <c r="D1565" s="76"/>
      <c r="E1565" s="208"/>
      <c r="F1565" s="168"/>
      <c r="G1565" s="209"/>
      <c r="H1565" s="168"/>
      <c r="I1565" s="208"/>
    </row>
    <row r="1566">
      <c r="B1566" s="168"/>
      <c r="D1566" s="76"/>
      <c r="E1566" s="208"/>
      <c r="F1566" s="168"/>
      <c r="G1566" s="209"/>
      <c r="H1566" s="168"/>
      <c r="I1566" s="208"/>
    </row>
    <row r="1567">
      <c r="B1567" s="168"/>
      <c r="D1567" s="76"/>
      <c r="E1567" s="208"/>
      <c r="F1567" s="168"/>
      <c r="G1567" s="209"/>
      <c r="H1567" s="168"/>
      <c r="I1567" s="208"/>
    </row>
    <row r="1568">
      <c r="B1568" s="168"/>
      <c r="D1568" s="76"/>
      <c r="E1568" s="208"/>
      <c r="F1568" s="168"/>
      <c r="G1568" s="209"/>
      <c r="H1568" s="168"/>
      <c r="I1568" s="208"/>
    </row>
    <row r="1569">
      <c r="B1569" s="168"/>
      <c r="D1569" s="76"/>
      <c r="E1569" s="208"/>
      <c r="F1569" s="168"/>
      <c r="G1569" s="209"/>
      <c r="H1569" s="168"/>
      <c r="I1569" s="208"/>
    </row>
    <row r="1570">
      <c r="B1570" s="168"/>
      <c r="D1570" s="76"/>
      <c r="E1570" s="208"/>
      <c r="F1570" s="168"/>
      <c r="G1570" s="209"/>
      <c r="H1570" s="168"/>
      <c r="I1570" s="208"/>
    </row>
    <row r="1571">
      <c r="B1571" s="168"/>
      <c r="D1571" s="76"/>
      <c r="E1571" s="208"/>
      <c r="F1571" s="168"/>
      <c r="G1571" s="209"/>
      <c r="H1571" s="168"/>
      <c r="I1571" s="208"/>
    </row>
    <row r="1572">
      <c r="B1572" s="168"/>
      <c r="D1572" s="76"/>
      <c r="E1572" s="208"/>
      <c r="F1572" s="168"/>
      <c r="G1572" s="209"/>
      <c r="H1572" s="168"/>
      <c r="I1572" s="208"/>
    </row>
    <row r="1573">
      <c r="B1573" s="168"/>
      <c r="D1573" s="76"/>
      <c r="E1573" s="208"/>
      <c r="F1573" s="168"/>
      <c r="G1573" s="209"/>
      <c r="H1573" s="168"/>
      <c r="I1573" s="208"/>
    </row>
    <row r="1574">
      <c r="B1574" s="168"/>
      <c r="D1574" s="76"/>
      <c r="E1574" s="208"/>
      <c r="F1574" s="168"/>
      <c r="G1574" s="209"/>
      <c r="H1574" s="168"/>
      <c r="I1574" s="208"/>
    </row>
    <row r="1575">
      <c r="B1575" s="168"/>
      <c r="D1575" s="76"/>
      <c r="E1575" s="208"/>
      <c r="F1575" s="168"/>
      <c r="G1575" s="209"/>
      <c r="H1575" s="168"/>
      <c r="I1575" s="208"/>
    </row>
    <row r="1576">
      <c r="B1576" s="168"/>
      <c r="D1576" s="76"/>
      <c r="E1576" s="208"/>
      <c r="F1576" s="168"/>
      <c r="G1576" s="209"/>
      <c r="H1576" s="168"/>
      <c r="I1576" s="208"/>
    </row>
    <row r="1577">
      <c r="B1577" s="168"/>
      <c r="D1577" s="76"/>
      <c r="E1577" s="208"/>
      <c r="F1577" s="168"/>
      <c r="G1577" s="209"/>
      <c r="H1577" s="168"/>
      <c r="I1577" s="208"/>
    </row>
    <row r="1578">
      <c r="B1578" s="168"/>
      <c r="D1578" s="76"/>
      <c r="E1578" s="208"/>
      <c r="F1578" s="168"/>
      <c r="G1578" s="209"/>
      <c r="H1578" s="168"/>
      <c r="I1578" s="208"/>
    </row>
    <row r="1579">
      <c r="B1579" s="168"/>
      <c r="D1579" s="76"/>
      <c r="E1579" s="208"/>
      <c r="F1579" s="168"/>
      <c r="G1579" s="209"/>
      <c r="H1579" s="168"/>
      <c r="I1579" s="208"/>
    </row>
    <row r="1580">
      <c r="B1580" s="168"/>
      <c r="D1580" s="76"/>
      <c r="E1580" s="208"/>
      <c r="F1580" s="168"/>
      <c r="G1580" s="209"/>
      <c r="H1580" s="168"/>
      <c r="I1580" s="208"/>
    </row>
    <row r="1581">
      <c r="B1581" s="168"/>
      <c r="D1581" s="76"/>
      <c r="E1581" s="208"/>
      <c r="F1581" s="168"/>
      <c r="G1581" s="209"/>
      <c r="H1581" s="168"/>
      <c r="I1581" s="208"/>
    </row>
    <row r="1582">
      <c r="B1582" s="168"/>
      <c r="D1582" s="76"/>
      <c r="E1582" s="208"/>
      <c r="F1582" s="168"/>
      <c r="G1582" s="209"/>
      <c r="H1582" s="168"/>
      <c r="I1582" s="208"/>
    </row>
    <row r="1583">
      <c r="B1583" s="168"/>
      <c r="D1583" s="76"/>
      <c r="E1583" s="208"/>
      <c r="F1583" s="168"/>
      <c r="G1583" s="209"/>
      <c r="H1583" s="168"/>
      <c r="I1583" s="208"/>
    </row>
    <row r="1584">
      <c r="B1584" s="168"/>
      <c r="D1584" s="76"/>
      <c r="E1584" s="208"/>
      <c r="F1584" s="168"/>
      <c r="G1584" s="209"/>
      <c r="H1584" s="168"/>
      <c r="I1584" s="208"/>
    </row>
    <row r="1585">
      <c r="B1585" s="168"/>
      <c r="D1585" s="76"/>
      <c r="E1585" s="208"/>
      <c r="F1585" s="168"/>
      <c r="G1585" s="209"/>
      <c r="H1585" s="168"/>
      <c r="I1585" s="208"/>
    </row>
    <row r="1586">
      <c r="B1586" s="168"/>
      <c r="D1586" s="76"/>
      <c r="E1586" s="208"/>
      <c r="F1586" s="168"/>
      <c r="G1586" s="209"/>
      <c r="H1586" s="168"/>
      <c r="I1586" s="208"/>
    </row>
    <row r="1587">
      <c r="B1587" s="168"/>
      <c r="D1587" s="76"/>
      <c r="E1587" s="208"/>
      <c r="F1587" s="168"/>
      <c r="G1587" s="209"/>
      <c r="H1587" s="168"/>
      <c r="I1587" s="208"/>
    </row>
    <row r="1588">
      <c r="B1588" s="168"/>
      <c r="D1588" s="76"/>
      <c r="E1588" s="208"/>
      <c r="F1588" s="168"/>
      <c r="G1588" s="209"/>
      <c r="H1588" s="168"/>
      <c r="I1588" s="208"/>
    </row>
    <row r="1589">
      <c r="B1589" s="168"/>
      <c r="D1589" s="76"/>
      <c r="E1589" s="208"/>
      <c r="F1589" s="168"/>
      <c r="G1589" s="209"/>
      <c r="H1589" s="168"/>
      <c r="I1589" s="208"/>
    </row>
    <row r="1590">
      <c r="B1590" s="168"/>
      <c r="D1590" s="76"/>
      <c r="E1590" s="208"/>
      <c r="F1590" s="168"/>
      <c r="G1590" s="209"/>
      <c r="H1590" s="168"/>
      <c r="I1590" s="208"/>
    </row>
    <row r="1591">
      <c r="B1591" s="168"/>
      <c r="D1591" s="76"/>
      <c r="E1591" s="208"/>
      <c r="F1591" s="168"/>
      <c r="G1591" s="209"/>
      <c r="H1591" s="168"/>
      <c r="I1591" s="208"/>
    </row>
    <row r="1592">
      <c r="B1592" s="168"/>
      <c r="D1592" s="76"/>
      <c r="E1592" s="208"/>
      <c r="F1592" s="168"/>
      <c r="G1592" s="209"/>
      <c r="H1592" s="168"/>
      <c r="I1592" s="208"/>
    </row>
    <row r="1593">
      <c r="B1593" s="168"/>
      <c r="D1593" s="76"/>
      <c r="E1593" s="208"/>
      <c r="F1593" s="168"/>
      <c r="G1593" s="209"/>
      <c r="H1593" s="168"/>
      <c r="I1593" s="208"/>
    </row>
    <row r="1594">
      <c r="B1594" s="168"/>
      <c r="D1594" s="76"/>
      <c r="E1594" s="208"/>
      <c r="F1594" s="168"/>
      <c r="G1594" s="209"/>
      <c r="H1594" s="168"/>
      <c r="I1594" s="208"/>
    </row>
    <row r="1595">
      <c r="B1595" s="168"/>
      <c r="D1595" s="76"/>
      <c r="E1595" s="208"/>
      <c r="F1595" s="168"/>
      <c r="G1595" s="209"/>
      <c r="H1595" s="168"/>
      <c r="I1595" s="208"/>
    </row>
    <row r="1596">
      <c r="B1596" s="168"/>
      <c r="D1596" s="76"/>
      <c r="E1596" s="208"/>
      <c r="F1596" s="168"/>
      <c r="G1596" s="209"/>
      <c r="H1596" s="168"/>
      <c r="I1596" s="208"/>
    </row>
    <row r="1597">
      <c r="B1597" s="168"/>
      <c r="D1597" s="76"/>
      <c r="E1597" s="208"/>
      <c r="F1597" s="168"/>
      <c r="G1597" s="209"/>
      <c r="H1597" s="168"/>
      <c r="I1597" s="208"/>
    </row>
    <row r="1598">
      <c r="B1598" s="168"/>
      <c r="D1598" s="76"/>
      <c r="E1598" s="208"/>
      <c r="F1598" s="168"/>
      <c r="G1598" s="209"/>
      <c r="H1598" s="168"/>
      <c r="I1598" s="208"/>
    </row>
    <row r="1599">
      <c r="B1599" s="168"/>
      <c r="D1599" s="76"/>
      <c r="E1599" s="208"/>
      <c r="F1599" s="168"/>
      <c r="G1599" s="209"/>
      <c r="H1599" s="168"/>
      <c r="I1599" s="208"/>
    </row>
    <row r="1600">
      <c r="B1600" s="168"/>
      <c r="D1600" s="76"/>
      <c r="E1600" s="208"/>
      <c r="F1600" s="168"/>
      <c r="G1600" s="209"/>
      <c r="H1600" s="168"/>
      <c r="I1600" s="208"/>
    </row>
    <row r="1601">
      <c r="B1601" s="168"/>
      <c r="D1601" s="76"/>
      <c r="E1601" s="208"/>
      <c r="F1601" s="168"/>
      <c r="G1601" s="209"/>
      <c r="H1601" s="168"/>
      <c r="I1601" s="208"/>
    </row>
    <row r="1602">
      <c r="B1602" s="168"/>
      <c r="D1602" s="76"/>
      <c r="E1602" s="208"/>
      <c r="F1602" s="168"/>
      <c r="G1602" s="209"/>
      <c r="H1602" s="168"/>
      <c r="I1602" s="208"/>
    </row>
    <row r="1603">
      <c r="B1603" s="168"/>
      <c r="D1603" s="76"/>
      <c r="E1603" s="208"/>
      <c r="F1603" s="168"/>
      <c r="G1603" s="209"/>
      <c r="H1603" s="168"/>
      <c r="I1603" s="208"/>
    </row>
    <row r="1604">
      <c r="B1604" s="168"/>
      <c r="D1604" s="76"/>
      <c r="E1604" s="208"/>
      <c r="F1604" s="168"/>
      <c r="G1604" s="209"/>
      <c r="H1604" s="168"/>
      <c r="I1604" s="208"/>
    </row>
    <row r="1605">
      <c r="B1605" s="168"/>
      <c r="D1605" s="76"/>
      <c r="E1605" s="208"/>
      <c r="F1605" s="168"/>
      <c r="G1605" s="209"/>
      <c r="H1605" s="168"/>
      <c r="I1605" s="208"/>
    </row>
    <row r="1606">
      <c r="B1606" s="168"/>
      <c r="D1606" s="76"/>
      <c r="E1606" s="208"/>
      <c r="F1606" s="168"/>
      <c r="G1606" s="209"/>
      <c r="H1606" s="168"/>
      <c r="I1606" s="208"/>
    </row>
    <row r="1607">
      <c r="B1607" s="168"/>
      <c r="D1607" s="76"/>
      <c r="E1607" s="208"/>
      <c r="F1607" s="168"/>
      <c r="G1607" s="209"/>
      <c r="H1607" s="168"/>
      <c r="I1607" s="208"/>
    </row>
    <row r="1608">
      <c r="B1608" s="168"/>
      <c r="D1608" s="76"/>
      <c r="E1608" s="208"/>
      <c r="F1608" s="168"/>
      <c r="G1608" s="209"/>
      <c r="H1608" s="168"/>
      <c r="I1608" s="208"/>
    </row>
    <row r="1609">
      <c r="B1609" s="168"/>
      <c r="D1609" s="76"/>
      <c r="E1609" s="208"/>
      <c r="F1609" s="168"/>
      <c r="G1609" s="209"/>
      <c r="H1609" s="168"/>
      <c r="I1609" s="208"/>
    </row>
    <row r="1610">
      <c r="B1610" s="168"/>
      <c r="D1610" s="76"/>
      <c r="E1610" s="208"/>
      <c r="F1610" s="168"/>
      <c r="G1610" s="209"/>
      <c r="H1610" s="168"/>
      <c r="I1610" s="208"/>
    </row>
    <row r="1611">
      <c r="B1611" s="168"/>
      <c r="D1611" s="76"/>
      <c r="E1611" s="208"/>
      <c r="F1611" s="168"/>
      <c r="G1611" s="209"/>
      <c r="H1611" s="168"/>
      <c r="I1611" s="208"/>
    </row>
    <row r="1612">
      <c r="B1612" s="168"/>
      <c r="D1612" s="76"/>
      <c r="E1612" s="208"/>
      <c r="F1612" s="168"/>
      <c r="G1612" s="209"/>
      <c r="H1612" s="168"/>
      <c r="I1612" s="208"/>
    </row>
    <row r="1613">
      <c r="B1613" s="168"/>
      <c r="D1613" s="76"/>
      <c r="E1613" s="208"/>
      <c r="F1613" s="168"/>
      <c r="G1613" s="209"/>
      <c r="H1613" s="168"/>
      <c r="I1613" s="208"/>
    </row>
    <row r="1614">
      <c r="B1614" s="168"/>
      <c r="D1614" s="76"/>
      <c r="E1614" s="208"/>
      <c r="F1614" s="168"/>
      <c r="G1614" s="209"/>
      <c r="H1614" s="168"/>
      <c r="I1614" s="208"/>
    </row>
    <row r="1615">
      <c r="B1615" s="168"/>
      <c r="D1615" s="76"/>
      <c r="E1615" s="208"/>
      <c r="F1615" s="168"/>
      <c r="G1615" s="209"/>
      <c r="H1615" s="168"/>
      <c r="I1615" s="208"/>
    </row>
    <row r="1616">
      <c r="B1616" s="168"/>
      <c r="D1616" s="76"/>
      <c r="E1616" s="208"/>
      <c r="F1616" s="168"/>
      <c r="G1616" s="209"/>
      <c r="H1616" s="168"/>
      <c r="I1616" s="208"/>
    </row>
    <row r="1617">
      <c r="B1617" s="168"/>
      <c r="D1617" s="76"/>
      <c r="E1617" s="208"/>
      <c r="F1617" s="168"/>
      <c r="G1617" s="209"/>
      <c r="H1617" s="168"/>
      <c r="I1617" s="208"/>
    </row>
    <row r="1618">
      <c r="B1618" s="168"/>
      <c r="D1618" s="76"/>
      <c r="E1618" s="208"/>
      <c r="F1618" s="168"/>
      <c r="G1618" s="209"/>
      <c r="H1618" s="168"/>
      <c r="I1618" s="208"/>
    </row>
    <row r="1619">
      <c r="B1619" s="168"/>
      <c r="D1619" s="76"/>
      <c r="E1619" s="208"/>
      <c r="F1619" s="168"/>
      <c r="G1619" s="209"/>
      <c r="H1619" s="168"/>
      <c r="I1619" s="208"/>
    </row>
    <row r="1620">
      <c r="B1620" s="168"/>
      <c r="D1620" s="76"/>
      <c r="E1620" s="208"/>
      <c r="F1620" s="168"/>
      <c r="G1620" s="209"/>
      <c r="H1620" s="168"/>
      <c r="I1620" s="208"/>
    </row>
    <row r="1621">
      <c r="B1621" s="168"/>
      <c r="D1621" s="76"/>
      <c r="E1621" s="208"/>
      <c r="F1621" s="168"/>
      <c r="G1621" s="209"/>
      <c r="H1621" s="168"/>
      <c r="I1621" s="208"/>
    </row>
    <row r="1622">
      <c r="B1622" s="168"/>
      <c r="D1622" s="76"/>
      <c r="E1622" s="208"/>
      <c r="F1622" s="168"/>
      <c r="G1622" s="209"/>
      <c r="H1622" s="168"/>
      <c r="I1622" s="208"/>
    </row>
    <row r="1623">
      <c r="B1623" s="168"/>
      <c r="D1623" s="76"/>
      <c r="E1623" s="208"/>
      <c r="F1623" s="168"/>
      <c r="G1623" s="209"/>
      <c r="H1623" s="168"/>
      <c r="I1623" s="208"/>
    </row>
    <row r="1624">
      <c r="B1624" s="168"/>
      <c r="D1624" s="76"/>
      <c r="E1624" s="208"/>
      <c r="F1624" s="168"/>
      <c r="G1624" s="209"/>
      <c r="H1624" s="168"/>
      <c r="I1624" s="208"/>
    </row>
    <row r="1625">
      <c r="B1625" s="168"/>
      <c r="D1625" s="76"/>
      <c r="E1625" s="208"/>
      <c r="F1625" s="168"/>
      <c r="G1625" s="209"/>
      <c r="H1625" s="168"/>
      <c r="I1625" s="208"/>
    </row>
    <row r="1626">
      <c r="B1626" s="168"/>
      <c r="D1626" s="76"/>
      <c r="E1626" s="208"/>
      <c r="F1626" s="168"/>
      <c r="G1626" s="209"/>
      <c r="H1626" s="168"/>
      <c r="I1626" s="208"/>
    </row>
    <row r="1627">
      <c r="B1627" s="168"/>
      <c r="D1627" s="76"/>
      <c r="E1627" s="208"/>
      <c r="F1627" s="168"/>
      <c r="G1627" s="209"/>
      <c r="H1627" s="168"/>
      <c r="I1627" s="208"/>
    </row>
    <row r="1628">
      <c r="B1628" s="168"/>
      <c r="D1628" s="76"/>
      <c r="E1628" s="208"/>
      <c r="F1628" s="168"/>
      <c r="G1628" s="209"/>
      <c r="H1628" s="168"/>
      <c r="I1628" s="208"/>
    </row>
    <row r="1629">
      <c r="B1629" s="168"/>
      <c r="D1629" s="76"/>
      <c r="E1629" s="208"/>
      <c r="F1629" s="168"/>
      <c r="G1629" s="209"/>
      <c r="H1629" s="168"/>
      <c r="I1629" s="208"/>
    </row>
    <row r="1630">
      <c r="B1630" s="168"/>
      <c r="D1630" s="76"/>
      <c r="E1630" s="208"/>
      <c r="F1630" s="168"/>
      <c r="G1630" s="209"/>
      <c r="H1630" s="168"/>
      <c r="I1630" s="208"/>
    </row>
    <row r="1631">
      <c r="B1631" s="168"/>
      <c r="D1631" s="76"/>
      <c r="E1631" s="208"/>
      <c r="F1631" s="168"/>
      <c r="G1631" s="209"/>
      <c r="H1631" s="168"/>
      <c r="I1631" s="208"/>
    </row>
    <row r="1632">
      <c r="B1632" s="168"/>
      <c r="D1632" s="76"/>
      <c r="E1632" s="208"/>
      <c r="F1632" s="168"/>
      <c r="G1632" s="209"/>
      <c r="H1632" s="168"/>
      <c r="I1632" s="208"/>
    </row>
    <row r="1633">
      <c r="B1633" s="168"/>
      <c r="D1633" s="76"/>
      <c r="E1633" s="208"/>
      <c r="F1633" s="168"/>
      <c r="G1633" s="209"/>
      <c r="H1633" s="168"/>
      <c r="I1633" s="208"/>
    </row>
    <row r="1634">
      <c r="B1634" s="168"/>
      <c r="D1634" s="76"/>
      <c r="E1634" s="208"/>
      <c r="F1634" s="168"/>
      <c r="G1634" s="209"/>
      <c r="H1634" s="168"/>
      <c r="I1634" s="208"/>
    </row>
    <row r="1635">
      <c r="B1635" s="168"/>
      <c r="D1635" s="76"/>
      <c r="E1635" s="208"/>
      <c r="F1635" s="168"/>
      <c r="G1635" s="209"/>
      <c r="H1635" s="168"/>
      <c r="I1635" s="208"/>
    </row>
    <row r="1636">
      <c r="B1636" s="168"/>
      <c r="D1636" s="76"/>
      <c r="E1636" s="208"/>
      <c r="F1636" s="168"/>
      <c r="G1636" s="209"/>
      <c r="H1636" s="168"/>
      <c r="I1636" s="208"/>
    </row>
    <row r="1637">
      <c r="B1637" s="168"/>
      <c r="D1637" s="76"/>
      <c r="E1637" s="208"/>
      <c r="F1637" s="168"/>
      <c r="G1637" s="209"/>
      <c r="H1637" s="168"/>
      <c r="I1637" s="208"/>
    </row>
    <row r="1638">
      <c r="B1638" s="168"/>
      <c r="D1638" s="76"/>
      <c r="E1638" s="208"/>
      <c r="F1638" s="168"/>
      <c r="G1638" s="209"/>
      <c r="H1638" s="168"/>
      <c r="I1638" s="208"/>
    </row>
    <row r="1639">
      <c r="B1639" s="168"/>
      <c r="D1639" s="76"/>
      <c r="E1639" s="208"/>
      <c r="F1639" s="168"/>
      <c r="G1639" s="209"/>
      <c r="H1639" s="168"/>
      <c r="I1639" s="208"/>
    </row>
    <row r="1640">
      <c r="B1640" s="168"/>
      <c r="D1640" s="76"/>
      <c r="E1640" s="208"/>
      <c r="F1640" s="168"/>
      <c r="G1640" s="209"/>
      <c r="H1640" s="168"/>
      <c r="I1640" s="208"/>
    </row>
    <row r="1641">
      <c r="B1641" s="168"/>
      <c r="D1641" s="76"/>
      <c r="E1641" s="208"/>
      <c r="F1641" s="168"/>
      <c r="G1641" s="209"/>
      <c r="H1641" s="168"/>
      <c r="I1641" s="208"/>
    </row>
    <row r="1642">
      <c r="B1642" s="168"/>
      <c r="D1642" s="76"/>
      <c r="E1642" s="208"/>
      <c r="F1642" s="168"/>
      <c r="G1642" s="209"/>
      <c r="H1642" s="168"/>
      <c r="I1642" s="208"/>
    </row>
    <row r="1643">
      <c r="B1643" s="168"/>
      <c r="D1643" s="76"/>
      <c r="E1643" s="208"/>
      <c r="F1643" s="168"/>
      <c r="G1643" s="209"/>
      <c r="H1643" s="168"/>
      <c r="I1643" s="208"/>
    </row>
    <row r="1644">
      <c r="B1644" s="168"/>
      <c r="D1644" s="76"/>
      <c r="E1644" s="208"/>
      <c r="F1644" s="168"/>
      <c r="G1644" s="209"/>
      <c r="H1644" s="168"/>
      <c r="I1644" s="208"/>
    </row>
    <row r="1645">
      <c r="B1645" s="168"/>
      <c r="D1645" s="76"/>
      <c r="E1645" s="208"/>
      <c r="F1645" s="168"/>
      <c r="G1645" s="209"/>
      <c r="H1645" s="168"/>
      <c r="I1645" s="208"/>
    </row>
    <row r="1646">
      <c r="B1646" s="168"/>
      <c r="D1646" s="76"/>
      <c r="E1646" s="208"/>
      <c r="F1646" s="168"/>
      <c r="G1646" s="209"/>
      <c r="H1646" s="168"/>
      <c r="I1646" s="208"/>
    </row>
    <row r="1647">
      <c r="B1647" s="168"/>
      <c r="D1647" s="76"/>
      <c r="E1647" s="208"/>
      <c r="F1647" s="168"/>
      <c r="G1647" s="209"/>
      <c r="H1647" s="168"/>
      <c r="I1647" s="208"/>
    </row>
    <row r="1648">
      <c r="B1648" s="168"/>
      <c r="D1648" s="76"/>
      <c r="E1648" s="208"/>
      <c r="F1648" s="168"/>
      <c r="G1648" s="209"/>
      <c r="H1648" s="168"/>
      <c r="I1648" s="208"/>
    </row>
    <row r="1649">
      <c r="B1649" s="168"/>
      <c r="D1649" s="76"/>
      <c r="E1649" s="208"/>
      <c r="F1649" s="168"/>
      <c r="G1649" s="209"/>
      <c r="H1649" s="168"/>
      <c r="I1649" s="208"/>
    </row>
    <row r="1650">
      <c r="B1650" s="168"/>
      <c r="D1650" s="76"/>
      <c r="E1650" s="208"/>
      <c r="F1650" s="168"/>
      <c r="G1650" s="209"/>
      <c r="H1650" s="168"/>
      <c r="I1650" s="208"/>
    </row>
    <row r="1651">
      <c r="B1651" s="168"/>
      <c r="D1651" s="76"/>
      <c r="E1651" s="208"/>
      <c r="F1651" s="168"/>
      <c r="G1651" s="209"/>
      <c r="H1651" s="168"/>
      <c r="I1651" s="208"/>
    </row>
    <row r="1652">
      <c r="B1652" s="168"/>
      <c r="D1652" s="76"/>
      <c r="E1652" s="208"/>
      <c r="F1652" s="168"/>
      <c r="G1652" s="209"/>
      <c r="H1652" s="168"/>
      <c r="I1652" s="208"/>
    </row>
    <row r="1653">
      <c r="B1653" s="168"/>
      <c r="D1653" s="76"/>
      <c r="E1653" s="208"/>
      <c r="F1653" s="168"/>
      <c r="G1653" s="209"/>
      <c r="H1653" s="168"/>
      <c r="I1653" s="208"/>
    </row>
    <row r="1654">
      <c r="B1654" s="168"/>
      <c r="D1654" s="76"/>
      <c r="E1654" s="208"/>
      <c r="F1654" s="168"/>
      <c r="G1654" s="209"/>
      <c r="H1654" s="168"/>
      <c r="I1654" s="208"/>
    </row>
    <row r="1655">
      <c r="B1655" s="168"/>
      <c r="D1655" s="76"/>
      <c r="E1655" s="208"/>
      <c r="F1655" s="168"/>
      <c r="G1655" s="209"/>
      <c r="H1655" s="168"/>
      <c r="I1655" s="208"/>
    </row>
    <row r="1656">
      <c r="B1656" s="168"/>
      <c r="D1656" s="76"/>
      <c r="E1656" s="208"/>
      <c r="F1656" s="168"/>
      <c r="G1656" s="209"/>
      <c r="H1656" s="168"/>
      <c r="I1656" s="208"/>
    </row>
    <row r="1657">
      <c r="B1657" s="168"/>
      <c r="D1657" s="76"/>
      <c r="E1657" s="208"/>
      <c r="F1657" s="168"/>
      <c r="G1657" s="209"/>
      <c r="H1657" s="168"/>
      <c r="I1657" s="208"/>
    </row>
    <row r="1658">
      <c r="B1658" s="168"/>
      <c r="D1658" s="76"/>
      <c r="E1658" s="208"/>
      <c r="F1658" s="168"/>
      <c r="G1658" s="209"/>
      <c r="H1658" s="168"/>
      <c r="I1658" s="208"/>
    </row>
    <row r="1659">
      <c r="B1659" s="168"/>
      <c r="D1659" s="76"/>
      <c r="E1659" s="208"/>
      <c r="F1659" s="168"/>
      <c r="G1659" s="209"/>
      <c r="H1659" s="168"/>
      <c r="I1659" s="208"/>
    </row>
    <row r="1660">
      <c r="B1660" s="168"/>
      <c r="D1660" s="76"/>
      <c r="E1660" s="208"/>
      <c r="F1660" s="168"/>
      <c r="G1660" s="209"/>
      <c r="H1660" s="168"/>
      <c r="I1660" s="208"/>
    </row>
    <row r="1661">
      <c r="B1661" s="168"/>
      <c r="D1661" s="76"/>
      <c r="E1661" s="208"/>
      <c r="F1661" s="168"/>
      <c r="G1661" s="209"/>
      <c r="H1661" s="168"/>
      <c r="I1661" s="208"/>
    </row>
    <row r="1662">
      <c r="B1662" s="168"/>
      <c r="D1662" s="76"/>
      <c r="E1662" s="208"/>
      <c r="F1662" s="168"/>
      <c r="G1662" s="209"/>
      <c r="H1662" s="168"/>
      <c r="I1662" s="208"/>
    </row>
    <row r="1663">
      <c r="B1663" s="168"/>
      <c r="D1663" s="76"/>
      <c r="E1663" s="208"/>
      <c r="F1663" s="168"/>
      <c r="G1663" s="209"/>
      <c r="H1663" s="168"/>
      <c r="I1663" s="208"/>
    </row>
    <row r="1664">
      <c r="B1664" s="168"/>
      <c r="D1664" s="76"/>
      <c r="E1664" s="208"/>
      <c r="F1664" s="168"/>
      <c r="G1664" s="209"/>
      <c r="H1664" s="168"/>
      <c r="I1664" s="208"/>
    </row>
    <row r="1665">
      <c r="B1665" s="168"/>
      <c r="D1665" s="76"/>
      <c r="E1665" s="208"/>
      <c r="F1665" s="168"/>
      <c r="G1665" s="209"/>
      <c r="H1665" s="168"/>
      <c r="I1665" s="208"/>
    </row>
    <row r="1666">
      <c r="B1666" s="168"/>
      <c r="D1666" s="76"/>
      <c r="E1666" s="208"/>
      <c r="F1666" s="168"/>
      <c r="G1666" s="209"/>
      <c r="H1666" s="168"/>
      <c r="I1666" s="208"/>
    </row>
    <row r="1667">
      <c r="B1667" s="168"/>
      <c r="D1667" s="76"/>
      <c r="E1667" s="208"/>
      <c r="F1667" s="168"/>
      <c r="G1667" s="209"/>
      <c r="H1667" s="168"/>
      <c r="I1667" s="208"/>
    </row>
    <row r="1668">
      <c r="B1668" s="168"/>
      <c r="D1668" s="76"/>
      <c r="E1668" s="208"/>
      <c r="F1668" s="168"/>
      <c r="G1668" s="209"/>
      <c r="H1668" s="168"/>
      <c r="I1668" s="208"/>
    </row>
    <row r="1669">
      <c r="B1669" s="168"/>
      <c r="D1669" s="76"/>
      <c r="E1669" s="208"/>
      <c r="F1669" s="168"/>
      <c r="G1669" s="209"/>
      <c r="H1669" s="168"/>
      <c r="I1669" s="208"/>
    </row>
    <row r="1670">
      <c r="B1670" s="168"/>
      <c r="D1670" s="76"/>
      <c r="E1670" s="208"/>
      <c r="F1670" s="168"/>
      <c r="G1670" s="209"/>
      <c r="H1670" s="168"/>
      <c r="I1670" s="208"/>
    </row>
    <row r="1671">
      <c r="B1671" s="168"/>
      <c r="D1671" s="76"/>
      <c r="E1671" s="208"/>
      <c r="F1671" s="168"/>
      <c r="G1671" s="209"/>
      <c r="H1671" s="168"/>
      <c r="I1671" s="208"/>
    </row>
    <row r="1672">
      <c r="B1672" s="168"/>
      <c r="D1672" s="76"/>
      <c r="E1672" s="208"/>
      <c r="F1672" s="168"/>
      <c r="G1672" s="209"/>
      <c r="H1672" s="168"/>
      <c r="I1672" s="208"/>
    </row>
    <row r="1673">
      <c r="B1673" s="168"/>
      <c r="D1673" s="76"/>
      <c r="E1673" s="208"/>
      <c r="F1673" s="168"/>
      <c r="G1673" s="209"/>
      <c r="H1673" s="168"/>
      <c r="I1673" s="208"/>
    </row>
    <row r="1674">
      <c r="B1674" s="168"/>
      <c r="D1674" s="76"/>
      <c r="E1674" s="208"/>
      <c r="F1674" s="168"/>
      <c r="G1674" s="209"/>
      <c r="H1674" s="168"/>
      <c r="I1674" s="208"/>
    </row>
    <row r="1675">
      <c r="B1675" s="168"/>
      <c r="D1675" s="76"/>
      <c r="E1675" s="208"/>
      <c r="F1675" s="168"/>
      <c r="G1675" s="209"/>
      <c r="H1675" s="168"/>
      <c r="I1675" s="208"/>
    </row>
    <row r="1676">
      <c r="B1676" s="168"/>
      <c r="D1676" s="76"/>
      <c r="E1676" s="208"/>
      <c r="F1676" s="168"/>
      <c r="G1676" s="209"/>
      <c r="H1676" s="168"/>
      <c r="I1676" s="208"/>
    </row>
    <row r="1677">
      <c r="B1677" s="168"/>
      <c r="D1677" s="76"/>
      <c r="E1677" s="208"/>
      <c r="F1677" s="168"/>
      <c r="G1677" s="209"/>
      <c r="H1677" s="168"/>
      <c r="I1677" s="208"/>
    </row>
    <row r="1678">
      <c r="B1678" s="168"/>
      <c r="D1678" s="76"/>
      <c r="E1678" s="208"/>
      <c r="F1678" s="168"/>
      <c r="G1678" s="209"/>
      <c r="H1678" s="168"/>
      <c r="I1678" s="208"/>
    </row>
    <row r="1679">
      <c r="B1679" s="168"/>
      <c r="D1679" s="76"/>
      <c r="E1679" s="208"/>
      <c r="F1679" s="168"/>
      <c r="G1679" s="209"/>
      <c r="H1679" s="168"/>
      <c r="I1679" s="208"/>
    </row>
    <row r="1680">
      <c r="B1680" s="168"/>
      <c r="D1680" s="76"/>
      <c r="E1680" s="208"/>
      <c r="F1680" s="168"/>
      <c r="G1680" s="209"/>
      <c r="H1680" s="168"/>
      <c r="I1680" s="208"/>
    </row>
    <row r="1681">
      <c r="B1681" s="168"/>
      <c r="D1681" s="76"/>
      <c r="E1681" s="208"/>
      <c r="F1681" s="168"/>
      <c r="G1681" s="209"/>
      <c r="H1681" s="168"/>
      <c r="I1681" s="208"/>
    </row>
    <row r="1682">
      <c r="B1682" s="168"/>
      <c r="D1682" s="76"/>
      <c r="E1682" s="208"/>
      <c r="F1682" s="168"/>
      <c r="G1682" s="209"/>
      <c r="H1682" s="168"/>
      <c r="I1682" s="208"/>
    </row>
    <row r="1683">
      <c r="B1683" s="168"/>
      <c r="D1683" s="76"/>
      <c r="E1683" s="208"/>
      <c r="F1683" s="168"/>
      <c r="G1683" s="209"/>
      <c r="H1683" s="168"/>
      <c r="I1683" s="208"/>
    </row>
    <row r="1684">
      <c r="B1684" s="168"/>
      <c r="D1684" s="76"/>
      <c r="E1684" s="208"/>
      <c r="F1684" s="168"/>
      <c r="G1684" s="209"/>
      <c r="H1684" s="168"/>
      <c r="I1684" s="208"/>
    </row>
    <row r="1685">
      <c r="B1685" s="168"/>
      <c r="D1685" s="76"/>
      <c r="E1685" s="208"/>
      <c r="F1685" s="168"/>
      <c r="G1685" s="209"/>
      <c r="H1685" s="168"/>
      <c r="I1685" s="208"/>
    </row>
    <row r="1686">
      <c r="B1686" s="168"/>
      <c r="D1686" s="76"/>
      <c r="E1686" s="208"/>
      <c r="F1686" s="168"/>
      <c r="G1686" s="209"/>
      <c r="H1686" s="168"/>
      <c r="I1686" s="208"/>
    </row>
    <row r="1687">
      <c r="B1687" s="168"/>
      <c r="D1687" s="76"/>
      <c r="E1687" s="208"/>
      <c r="F1687" s="168"/>
      <c r="G1687" s="209"/>
      <c r="H1687" s="168"/>
      <c r="I1687" s="208"/>
    </row>
    <row r="1688">
      <c r="B1688" s="168"/>
      <c r="D1688" s="76"/>
      <c r="E1688" s="208"/>
      <c r="F1688" s="168"/>
      <c r="G1688" s="209"/>
      <c r="H1688" s="168"/>
      <c r="I1688" s="208"/>
    </row>
    <row r="1689">
      <c r="B1689" s="168"/>
      <c r="D1689" s="76"/>
      <c r="E1689" s="208"/>
      <c r="F1689" s="168"/>
      <c r="G1689" s="209"/>
      <c r="H1689" s="168"/>
      <c r="I1689" s="208"/>
    </row>
    <row r="1690">
      <c r="B1690" s="168"/>
      <c r="D1690" s="76"/>
      <c r="E1690" s="208"/>
      <c r="F1690" s="168"/>
      <c r="G1690" s="209"/>
      <c r="H1690" s="168"/>
      <c r="I1690" s="208"/>
    </row>
    <row r="1691">
      <c r="B1691" s="168"/>
      <c r="D1691" s="76"/>
      <c r="E1691" s="208"/>
      <c r="F1691" s="168"/>
      <c r="G1691" s="209"/>
      <c r="H1691" s="168"/>
      <c r="I1691" s="208"/>
    </row>
    <row r="1692">
      <c r="B1692" s="168"/>
      <c r="D1692" s="76"/>
      <c r="E1692" s="208"/>
      <c r="F1692" s="168"/>
      <c r="G1692" s="209"/>
      <c r="H1692" s="168"/>
      <c r="I1692" s="208"/>
    </row>
    <row r="1693">
      <c r="B1693" s="168"/>
      <c r="D1693" s="76"/>
      <c r="E1693" s="208"/>
      <c r="F1693" s="168"/>
      <c r="G1693" s="209"/>
      <c r="H1693" s="168"/>
      <c r="I1693" s="208"/>
    </row>
    <row r="1694">
      <c r="B1694" s="168"/>
      <c r="D1694" s="76"/>
      <c r="E1694" s="208"/>
      <c r="F1694" s="168"/>
      <c r="G1694" s="209"/>
      <c r="H1694" s="168"/>
      <c r="I1694" s="208"/>
    </row>
    <row r="1695">
      <c r="B1695" s="168"/>
      <c r="D1695" s="76"/>
      <c r="E1695" s="208"/>
      <c r="F1695" s="168"/>
      <c r="G1695" s="209"/>
      <c r="H1695" s="168"/>
      <c r="I1695" s="208"/>
    </row>
    <row r="1696">
      <c r="B1696" s="168"/>
      <c r="D1696" s="76"/>
      <c r="E1696" s="208"/>
      <c r="F1696" s="168"/>
      <c r="G1696" s="209"/>
      <c r="H1696" s="168"/>
      <c r="I1696" s="208"/>
    </row>
    <row r="1697">
      <c r="B1697" s="168"/>
      <c r="D1697" s="76"/>
      <c r="E1697" s="208"/>
      <c r="F1697" s="168"/>
      <c r="G1697" s="209"/>
      <c r="H1697" s="168"/>
      <c r="I1697" s="208"/>
    </row>
    <row r="1698">
      <c r="B1698" s="168"/>
      <c r="D1698" s="76"/>
      <c r="E1698" s="208"/>
      <c r="F1698" s="168"/>
      <c r="G1698" s="209"/>
      <c r="H1698" s="168"/>
      <c r="I1698" s="208"/>
    </row>
    <row r="1699">
      <c r="B1699" s="168"/>
      <c r="D1699" s="76"/>
      <c r="E1699" s="208"/>
      <c r="F1699" s="168"/>
      <c r="G1699" s="209"/>
      <c r="H1699" s="168"/>
      <c r="I1699" s="208"/>
    </row>
    <row r="1700">
      <c r="B1700" s="168"/>
      <c r="D1700" s="76"/>
      <c r="E1700" s="208"/>
      <c r="F1700" s="168"/>
      <c r="G1700" s="209"/>
      <c r="H1700" s="168"/>
      <c r="I1700" s="208"/>
    </row>
    <row r="1701">
      <c r="B1701" s="168"/>
      <c r="D1701" s="76"/>
      <c r="E1701" s="208"/>
      <c r="F1701" s="168"/>
      <c r="G1701" s="209"/>
      <c r="H1701" s="168"/>
      <c r="I1701" s="208"/>
    </row>
    <row r="1702">
      <c r="B1702" s="168"/>
      <c r="D1702" s="76"/>
      <c r="E1702" s="208"/>
      <c r="F1702" s="168"/>
      <c r="G1702" s="209"/>
      <c r="H1702" s="168"/>
      <c r="I1702" s="208"/>
    </row>
    <row r="1703">
      <c r="B1703" s="168"/>
      <c r="D1703" s="76"/>
      <c r="E1703" s="208"/>
      <c r="F1703" s="168"/>
      <c r="G1703" s="209"/>
      <c r="H1703" s="168"/>
      <c r="I1703" s="208"/>
    </row>
    <row r="1704">
      <c r="B1704" s="168"/>
      <c r="D1704" s="76"/>
      <c r="E1704" s="208"/>
      <c r="F1704" s="168"/>
      <c r="G1704" s="209"/>
      <c r="H1704" s="168"/>
      <c r="I1704" s="208"/>
    </row>
    <row r="1705">
      <c r="B1705" s="168"/>
      <c r="D1705" s="76"/>
      <c r="E1705" s="208"/>
      <c r="F1705" s="168"/>
      <c r="G1705" s="209"/>
      <c r="H1705" s="168"/>
      <c r="I1705" s="208"/>
    </row>
    <row r="1706">
      <c r="B1706" s="168"/>
      <c r="D1706" s="76"/>
      <c r="E1706" s="208"/>
      <c r="F1706" s="168"/>
      <c r="G1706" s="209"/>
      <c r="H1706" s="168"/>
      <c r="I1706" s="208"/>
    </row>
    <row r="1707">
      <c r="B1707" s="168"/>
      <c r="D1707" s="76"/>
      <c r="E1707" s="208"/>
      <c r="F1707" s="168"/>
      <c r="G1707" s="209"/>
      <c r="H1707" s="168"/>
      <c r="I1707" s="208"/>
    </row>
    <row r="1708">
      <c r="B1708" s="168"/>
      <c r="D1708" s="76"/>
      <c r="E1708" s="208"/>
      <c r="F1708" s="168"/>
      <c r="G1708" s="209"/>
      <c r="H1708" s="168"/>
      <c r="I1708" s="208"/>
    </row>
    <row r="1709">
      <c r="B1709" s="168"/>
      <c r="D1709" s="76"/>
      <c r="E1709" s="208"/>
      <c r="F1709" s="168"/>
      <c r="G1709" s="209"/>
      <c r="H1709" s="168"/>
      <c r="I1709" s="208"/>
    </row>
    <row r="1710">
      <c r="B1710" s="168"/>
      <c r="D1710" s="76"/>
      <c r="E1710" s="208"/>
      <c r="F1710" s="168"/>
      <c r="G1710" s="209"/>
      <c r="H1710" s="168"/>
      <c r="I1710" s="208"/>
    </row>
    <row r="1711">
      <c r="B1711" s="168"/>
      <c r="D1711" s="76"/>
      <c r="E1711" s="208"/>
      <c r="F1711" s="168"/>
      <c r="G1711" s="209"/>
      <c r="H1711" s="168"/>
      <c r="I1711" s="208"/>
    </row>
    <row r="1712">
      <c r="B1712" s="168"/>
      <c r="D1712" s="76"/>
      <c r="E1712" s="208"/>
      <c r="F1712" s="168"/>
      <c r="G1712" s="209"/>
      <c r="H1712" s="168"/>
      <c r="I1712" s="208"/>
    </row>
    <row r="1713">
      <c r="B1713" s="168"/>
      <c r="D1713" s="76"/>
      <c r="E1713" s="208"/>
      <c r="F1713" s="168"/>
      <c r="G1713" s="209"/>
      <c r="H1713" s="168"/>
      <c r="I1713" s="208"/>
    </row>
    <row r="1714">
      <c r="B1714" s="168"/>
      <c r="D1714" s="76"/>
      <c r="E1714" s="208"/>
      <c r="F1714" s="168"/>
      <c r="G1714" s="209"/>
      <c r="H1714" s="168"/>
      <c r="I1714" s="208"/>
    </row>
    <row r="1715">
      <c r="B1715" s="168"/>
      <c r="D1715" s="76"/>
      <c r="E1715" s="208"/>
      <c r="F1715" s="168"/>
      <c r="G1715" s="209"/>
      <c r="H1715" s="168"/>
      <c r="I1715" s="208"/>
    </row>
    <row r="1716">
      <c r="B1716" s="168"/>
      <c r="D1716" s="76"/>
      <c r="E1716" s="208"/>
      <c r="F1716" s="168"/>
      <c r="G1716" s="209"/>
      <c r="H1716" s="168"/>
      <c r="I1716" s="208"/>
    </row>
    <row r="1717">
      <c r="B1717" s="168"/>
      <c r="D1717" s="76"/>
      <c r="E1717" s="208"/>
      <c r="F1717" s="168"/>
      <c r="G1717" s="209"/>
      <c r="H1717" s="168"/>
      <c r="I1717" s="208"/>
    </row>
    <row r="1718">
      <c r="B1718" s="168"/>
      <c r="D1718" s="76"/>
      <c r="E1718" s="208"/>
      <c r="F1718" s="168"/>
      <c r="G1718" s="209"/>
      <c r="H1718" s="168"/>
      <c r="I1718" s="208"/>
    </row>
    <row r="1719">
      <c r="B1719" s="168"/>
      <c r="D1719" s="76"/>
      <c r="E1719" s="208"/>
      <c r="F1719" s="168"/>
      <c r="G1719" s="209"/>
      <c r="H1719" s="168"/>
      <c r="I1719" s="208"/>
    </row>
    <row r="1720">
      <c r="B1720" s="168"/>
      <c r="D1720" s="76"/>
      <c r="E1720" s="208"/>
      <c r="F1720" s="168"/>
      <c r="G1720" s="209"/>
      <c r="H1720" s="168"/>
      <c r="I1720" s="208"/>
    </row>
    <row r="1721">
      <c r="B1721" s="168"/>
      <c r="D1721" s="76"/>
      <c r="E1721" s="208"/>
      <c r="F1721" s="168"/>
      <c r="G1721" s="209"/>
      <c r="H1721" s="168"/>
      <c r="I1721" s="208"/>
    </row>
    <row r="1722">
      <c r="B1722" s="168"/>
      <c r="D1722" s="76"/>
      <c r="E1722" s="208"/>
      <c r="F1722" s="168"/>
      <c r="G1722" s="209"/>
      <c r="H1722" s="168"/>
      <c r="I1722" s="208"/>
    </row>
    <row r="1723">
      <c r="B1723" s="168"/>
      <c r="D1723" s="76"/>
      <c r="E1723" s="208"/>
      <c r="F1723" s="168"/>
      <c r="G1723" s="209"/>
      <c r="H1723" s="168"/>
      <c r="I1723" s="208"/>
    </row>
    <row r="1724">
      <c r="B1724" s="168"/>
      <c r="D1724" s="76"/>
      <c r="E1724" s="208"/>
      <c r="F1724" s="168"/>
      <c r="G1724" s="209"/>
      <c r="H1724" s="168"/>
      <c r="I1724" s="208"/>
    </row>
    <row r="1725">
      <c r="B1725" s="168"/>
      <c r="D1725" s="76"/>
      <c r="E1725" s="208"/>
      <c r="F1725" s="168"/>
      <c r="G1725" s="209"/>
      <c r="H1725" s="168"/>
      <c r="I1725" s="208"/>
    </row>
    <row r="1726">
      <c r="B1726" s="168"/>
      <c r="D1726" s="76"/>
      <c r="E1726" s="208"/>
      <c r="F1726" s="168"/>
      <c r="G1726" s="209"/>
      <c r="H1726" s="168"/>
      <c r="I1726" s="208"/>
    </row>
    <row r="1727">
      <c r="B1727" s="168"/>
      <c r="D1727" s="76"/>
      <c r="E1727" s="208"/>
      <c r="F1727" s="168"/>
      <c r="G1727" s="209"/>
      <c r="H1727" s="168"/>
      <c r="I1727" s="208"/>
    </row>
    <row r="1728">
      <c r="B1728" s="168"/>
      <c r="D1728" s="76"/>
      <c r="E1728" s="208"/>
      <c r="F1728" s="168"/>
      <c r="G1728" s="209"/>
      <c r="H1728" s="168"/>
      <c r="I1728" s="208"/>
    </row>
    <row r="1729">
      <c r="B1729" s="168"/>
      <c r="D1729" s="76"/>
      <c r="E1729" s="208"/>
      <c r="F1729" s="168"/>
      <c r="G1729" s="209"/>
      <c r="H1729" s="168"/>
      <c r="I1729" s="208"/>
    </row>
    <row r="1730">
      <c r="B1730" s="168"/>
      <c r="D1730" s="76"/>
      <c r="E1730" s="208"/>
      <c r="F1730" s="168"/>
      <c r="G1730" s="209"/>
      <c r="H1730" s="168"/>
      <c r="I1730" s="208"/>
    </row>
    <row r="1731">
      <c r="B1731" s="168"/>
      <c r="D1731" s="76"/>
      <c r="E1731" s="208"/>
      <c r="F1731" s="168"/>
      <c r="G1731" s="209"/>
      <c r="H1731" s="168"/>
      <c r="I1731" s="208"/>
    </row>
    <row r="1732">
      <c r="B1732" s="168"/>
      <c r="D1732" s="76"/>
      <c r="E1732" s="208"/>
      <c r="F1732" s="168"/>
      <c r="G1732" s="209"/>
      <c r="H1732" s="168"/>
      <c r="I1732" s="208"/>
    </row>
    <row r="1733">
      <c r="B1733" s="168"/>
      <c r="D1733" s="76"/>
      <c r="E1733" s="208"/>
      <c r="F1733" s="168"/>
      <c r="G1733" s="209"/>
      <c r="H1733" s="168"/>
      <c r="I1733" s="208"/>
    </row>
    <row r="1734">
      <c r="B1734" s="168"/>
      <c r="D1734" s="76"/>
      <c r="E1734" s="208"/>
      <c r="F1734" s="168"/>
      <c r="G1734" s="209"/>
      <c r="H1734" s="168"/>
      <c r="I1734" s="208"/>
    </row>
    <row r="1735">
      <c r="B1735" s="168"/>
      <c r="D1735" s="76"/>
      <c r="E1735" s="208"/>
      <c r="F1735" s="168"/>
      <c r="G1735" s="209"/>
      <c r="H1735" s="168"/>
      <c r="I1735" s="208"/>
    </row>
    <row r="1736">
      <c r="B1736" s="168"/>
      <c r="D1736" s="76"/>
      <c r="E1736" s="208"/>
      <c r="F1736" s="168"/>
      <c r="G1736" s="209"/>
      <c r="H1736" s="168"/>
      <c r="I1736" s="208"/>
    </row>
    <row r="1737">
      <c r="B1737" s="168"/>
      <c r="D1737" s="76"/>
      <c r="E1737" s="208"/>
      <c r="F1737" s="168"/>
      <c r="G1737" s="209"/>
      <c r="H1737" s="168"/>
      <c r="I1737" s="208"/>
    </row>
    <row r="1738">
      <c r="B1738" s="168"/>
      <c r="D1738" s="76"/>
      <c r="E1738" s="208"/>
      <c r="F1738" s="168"/>
      <c r="G1738" s="209"/>
      <c r="H1738" s="168"/>
      <c r="I1738" s="208"/>
    </row>
    <row r="1739">
      <c r="B1739" s="168"/>
      <c r="D1739" s="76"/>
      <c r="E1739" s="208"/>
      <c r="F1739" s="168"/>
      <c r="G1739" s="209"/>
      <c r="H1739" s="168"/>
      <c r="I1739" s="208"/>
    </row>
    <row r="1740">
      <c r="B1740" s="168"/>
      <c r="D1740" s="76"/>
      <c r="E1740" s="208"/>
      <c r="F1740" s="168"/>
      <c r="G1740" s="209"/>
      <c r="H1740" s="168"/>
      <c r="I1740" s="208"/>
    </row>
    <row r="1741">
      <c r="B1741" s="168"/>
      <c r="D1741" s="76"/>
      <c r="E1741" s="208"/>
      <c r="F1741" s="168"/>
      <c r="G1741" s="209"/>
      <c r="H1741" s="168"/>
      <c r="I1741" s="208"/>
    </row>
    <row r="1742">
      <c r="B1742" s="168"/>
      <c r="D1742" s="76"/>
      <c r="E1742" s="208"/>
      <c r="F1742" s="168"/>
      <c r="G1742" s="209"/>
      <c r="H1742" s="168"/>
      <c r="I1742" s="208"/>
    </row>
    <row r="1743">
      <c r="B1743" s="168"/>
      <c r="D1743" s="76"/>
      <c r="E1743" s="208"/>
      <c r="F1743" s="168"/>
      <c r="G1743" s="209"/>
      <c r="H1743" s="168"/>
      <c r="I1743" s="208"/>
    </row>
    <row r="1744">
      <c r="B1744" s="168"/>
      <c r="D1744" s="76"/>
      <c r="E1744" s="208"/>
      <c r="F1744" s="168"/>
      <c r="G1744" s="209"/>
      <c r="H1744" s="168"/>
      <c r="I1744" s="208"/>
    </row>
    <row r="1745">
      <c r="B1745" s="168"/>
      <c r="D1745" s="76"/>
      <c r="E1745" s="208"/>
      <c r="F1745" s="168"/>
      <c r="G1745" s="209"/>
      <c r="H1745" s="168"/>
      <c r="I1745" s="208"/>
    </row>
    <row r="1746">
      <c r="B1746" s="168"/>
      <c r="D1746" s="76"/>
      <c r="E1746" s="208"/>
      <c r="F1746" s="168"/>
      <c r="G1746" s="209"/>
      <c r="H1746" s="168"/>
      <c r="I1746" s="208"/>
    </row>
    <row r="1747">
      <c r="B1747" s="168"/>
      <c r="D1747" s="76"/>
      <c r="E1747" s="208"/>
      <c r="F1747" s="168"/>
      <c r="G1747" s="209"/>
      <c r="H1747" s="168"/>
      <c r="I1747" s="208"/>
    </row>
    <row r="1748">
      <c r="B1748" s="168"/>
      <c r="D1748" s="76"/>
      <c r="E1748" s="208"/>
      <c r="F1748" s="168"/>
      <c r="G1748" s="209"/>
      <c r="H1748" s="168"/>
      <c r="I1748" s="208"/>
    </row>
    <row r="1749">
      <c r="B1749" s="168"/>
      <c r="D1749" s="76"/>
      <c r="E1749" s="208"/>
      <c r="F1749" s="168"/>
      <c r="G1749" s="209"/>
      <c r="H1749" s="168"/>
      <c r="I1749" s="208"/>
    </row>
    <row r="1750">
      <c r="B1750" s="168"/>
      <c r="D1750" s="76"/>
      <c r="E1750" s="208"/>
      <c r="F1750" s="168"/>
      <c r="G1750" s="209"/>
      <c r="H1750" s="168"/>
      <c r="I1750" s="208"/>
    </row>
    <row r="1751">
      <c r="B1751" s="168"/>
      <c r="D1751" s="76"/>
      <c r="E1751" s="208"/>
      <c r="F1751" s="168"/>
      <c r="G1751" s="209"/>
      <c r="H1751" s="168"/>
      <c r="I1751" s="208"/>
    </row>
    <row r="1752">
      <c r="B1752" s="168"/>
      <c r="D1752" s="76"/>
      <c r="E1752" s="208"/>
      <c r="F1752" s="168"/>
      <c r="G1752" s="209"/>
      <c r="H1752" s="168"/>
      <c r="I1752" s="208"/>
    </row>
    <row r="1753">
      <c r="B1753" s="168"/>
      <c r="D1753" s="76"/>
      <c r="E1753" s="208"/>
      <c r="F1753" s="168"/>
      <c r="G1753" s="209"/>
      <c r="H1753" s="168"/>
      <c r="I1753" s="208"/>
    </row>
    <row r="1754">
      <c r="B1754" s="168"/>
      <c r="D1754" s="76"/>
      <c r="E1754" s="208"/>
      <c r="F1754" s="168"/>
      <c r="G1754" s="209"/>
      <c r="H1754" s="168"/>
      <c r="I1754" s="208"/>
    </row>
    <row r="1755">
      <c r="B1755" s="168"/>
      <c r="D1755" s="76"/>
      <c r="E1755" s="208"/>
      <c r="F1755" s="168"/>
      <c r="G1755" s="209"/>
      <c r="H1755" s="168"/>
      <c r="I1755" s="208"/>
    </row>
    <row r="1756">
      <c r="B1756" s="168"/>
      <c r="D1756" s="76"/>
      <c r="E1756" s="208"/>
      <c r="F1756" s="168"/>
      <c r="G1756" s="209"/>
      <c r="H1756" s="168"/>
      <c r="I1756" s="208"/>
    </row>
    <row r="1757">
      <c r="B1757" s="168"/>
      <c r="D1757" s="76"/>
      <c r="E1757" s="208"/>
      <c r="F1757" s="168"/>
      <c r="G1757" s="209"/>
      <c r="H1757" s="168"/>
      <c r="I1757" s="208"/>
    </row>
    <row r="1758">
      <c r="B1758" s="168"/>
      <c r="D1758" s="76"/>
      <c r="E1758" s="208"/>
      <c r="F1758" s="168"/>
      <c r="G1758" s="209"/>
      <c r="H1758" s="168"/>
      <c r="I1758" s="208"/>
    </row>
    <row r="1759">
      <c r="B1759" s="168"/>
      <c r="D1759" s="76"/>
      <c r="E1759" s="208"/>
      <c r="F1759" s="168"/>
      <c r="G1759" s="209"/>
      <c r="H1759" s="168"/>
      <c r="I1759" s="208"/>
    </row>
    <row r="1760">
      <c r="B1760" s="168"/>
      <c r="D1760" s="76"/>
      <c r="E1760" s="208"/>
      <c r="F1760" s="168"/>
      <c r="G1760" s="209"/>
      <c r="H1760" s="168"/>
      <c r="I1760" s="208"/>
    </row>
    <row r="1761">
      <c r="B1761" s="168"/>
      <c r="D1761" s="76"/>
      <c r="E1761" s="208"/>
      <c r="F1761" s="168"/>
      <c r="G1761" s="209"/>
      <c r="H1761" s="168"/>
      <c r="I1761" s="208"/>
    </row>
    <row r="1762">
      <c r="B1762" s="168"/>
      <c r="D1762" s="76"/>
      <c r="E1762" s="208"/>
      <c r="F1762" s="168"/>
      <c r="G1762" s="209"/>
      <c r="H1762" s="168"/>
      <c r="I1762" s="208"/>
    </row>
    <row r="1763">
      <c r="B1763" s="168"/>
      <c r="D1763" s="76"/>
      <c r="E1763" s="208"/>
      <c r="F1763" s="168"/>
      <c r="G1763" s="209"/>
      <c r="H1763" s="168"/>
      <c r="I1763" s="208"/>
    </row>
    <row r="1764">
      <c r="B1764" s="168"/>
      <c r="D1764" s="76"/>
      <c r="E1764" s="208"/>
      <c r="F1764" s="168"/>
      <c r="G1764" s="209"/>
      <c r="H1764" s="168"/>
      <c r="I1764" s="208"/>
    </row>
    <row r="1765">
      <c r="B1765" s="168"/>
      <c r="D1765" s="76"/>
      <c r="E1765" s="208"/>
      <c r="F1765" s="168"/>
      <c r="G1765" s="209"/>
      <c r="H1765" s="168"/>
      <c r="I1765" s="208"/>
    </row>
    <row r="1766">
      <c r="B1766" s="168"/>
      <c r="D1766" s="76"/>
      <c r="E1766" s="208"/>
      <c r="F1766" s="168"/>
      <c r="G1766" s="209"/>
      <c r="H1766" s="168"/>
      <c r="I1766" s="208"/>
    </row>
    <row r="1767">
      <c r="B1767" s="168"/>
      <c r="D1767" s="76"/>
      <c r="E1767" s="208"/>
      <c r="F1767" s="168"/>
      <c r="G1767" s="209"/>
      <c r="H1767" s="168"/>
      <c r="I1767" s="208"/>
    </row>
    <row r="1768">
      <c r="B1768" s="168"/>
      <c r="D1768" s="76"/>
      <c r="E1768" s="208"/>
      <c r="F1768" s="168"/>
      <c r="G1768" s="209"/>
      <c r="H1768" s="168"/>
      <c r="I1768" s="208"/>
    </row>
    <row r="1769">
      <c r="B1769" s="168"/>
      <c r="D1769" s="76"/>
      <c r="E1769" s="208"/>
      <c r="F1769" s="168"/>
      <c r="G1769" s="209"/>
      <c r="H1769" s="168"/>
      <c r="I1769" s="208"/>
    </row>
    <row r="1770">
      <c r="B1770" s="168"/>
      <c r="D1770" s="76"/>
      <c r="E1770" s="208"/>
      <c r="F1770" s="168"/>
      <c r="G1770" s="209"/>
      <c r="H1770" s="168"/>
      <c r="I1770" s="208"/>
    </row>
    <row r="1771">
      <c r="B1771" s="168"/>
      <c r="D1771" s="76"/>
      <c r="E1771" s="208"/>
      <c r="F1771" s="168"/>
      <c r="G1771" s="209"/>
      <c r="H1771" s="168"/>
      <c r="I1771" s="208"/>
    </row>
    <row r="1772">
      <c r="B1772" s="168"/>
      <c r="D1772" s="76"/>
      <c r="E1772" s="208"/>
      <c r="F1772" s="168"/>
      <c r="G1772" s="209"/>
      <c r="H1772" s="168"/>
      <c r="I1772" s="208"/>
    </row>
    <row r="1773">
      <c r="B1773" s="168"/>
      <c r="D1773" s="76"/>
      <c r="E1773" s="208"/>
      <c r="F1773" s="168"/>
      <c r="G1773" s="209"/>
      <c r="H1773" s="168"/>
      <c r="I1773" s="208"/>
    </row>
    <row r="1774">
      <c r="B1774" s="168"/>
      <c r="D1774" s="76"/>
      <c r="E1774" s="208"/>
      <c r="F1774" s="168"/>
      <c r="G1774" s="209"/>
      <c r="H1774" s="168"/>
      <c r="I1774" s="208"/>
    </row>
    <row r="1775">
      <c r="B1775" s="168"/>
      <c r="D1775" s="76"/>
      <c r="E1775" s="208"/>
      <c r="F1775" s="168"/>
      <c r="G1775" s="209"/>
      <c r="H1775" s="168"/>
      <c r="I1775" s="208"/>
    </row>
    <row r="1776">
      <c r="B1776" s="168"/>
      <c r="D1776" s="76"/>
      <c r="E1776" s="208"/>
      <c r="F1776" s="168"/>
      <c r="G1776" s="209"/>
      <c r="H1776" s="168"/>
      <c r="I1776" s="208"/>
    </row>
    <row r="1777">
      <c r="B1777" s="168"/>
      <c r="D1777" s="76"/>
      <c r="E1777" s="208"/>
      <c r="F1777" s="168"/>
      <c r="G1777" s="209"/>
      <c r="H1777" s="168"/>
      <c r="I1777" s="208"/>
    </row>
    <row r="1778">
      <c r="B1778" s="168"/>
      <c r="D1778" s="76"/>
      <c r="E1778" s="208"/>
      <c r="F1778" s="168"/>
      <c r="G1778" s="209"/>
      <c r="H1778" s="168"/>
      <c r="I1778" s="208"/>
    </row>
    <row r="1779">
      <c r="B1779" s="168"/>
      <c r="D1779" s="76"/>
      <c r="E1779" s="208"/>
      <c r="F1779" s="168"/>
      <c r="G1779" s="209"/>
      <c r="H1779" s="168"/>
      <c r="I1779" s="208"/>
    </row>
    <row r="1780">
      <c r="B1780" s="168"/>
      <c r="D1780" s="76"/>
      <c r="E1780" s="208"/>
      <c r="F1780" s="168"/>
      <c r="G1780" s="209"/>
      <c r="H1780" s="168"/>
      <c r="I1780" s="208"/>
    </row>
    <row r="1781">
      <c r="B1781" s="168"/>
      <c r="D1781" s="76"/>
      <c r="E1781" s="208"/>
      <c r="F1781" s="168"/>
      <c r="G1781" s="209"/>
      <c r="H1781" s="168"/>
      <c r="I1781" s="208"/>
    </row>
    <row r="1782">
      <c r="B1782" s="168"/>
      <c r="D1782" s="76"/>
      <c r="E1782" s="208"/>
      <c r="F1782" s="168"/>
      <c r="G1782" s="209"/>
      <c r="H1782" s="168"/>
      <c r="I1782" s="208"/>
    </row>
    <row r="1783">
      <c r="B1783" s="168"/>
      <c r="D1783" s="76"/>
      <c r="E1783" s="208"/>
      <c r="F1783" s="168"/>
      <c r="G1783" s="209"/>
      <c r="H1783" s="168"/>
      <c r="I1783" s="208"/>
    </row>
    <row r="1784">
      <c r="B1784" s="168"/>
      <c r="D1784" s="76"/>
      <c r="E1784" s="208"/>
      <c r="F1784" s="168"/>
      <c r="G1784" s="209"/>
      <c r="H1784" s="168"/>
      <c r="I1784" s="208"/>
    </row>
    <row r="1785">
      <c r="B1785" s="168"/>
      <c r="D1785" s="76"/>
      <c r="E1785" s="208"/>
      <c r="F1785" s="168"/>
      <c r="G1785" s="209"/>
      <c r="H1785" s="168"/>
      <c r="I1785" s="208"/>
    </row>
    <row r="1786">
      <c r="B1786" s="168"/>
      <c r="D1786" s="76"/>
      <c r="E1786" s="208"/>
      <c r="F1786" s="168"/>
      <c r="G1786" s="209"/>
      <c r="H1786" s="168"/>
      <c r="I1786" s="208"/>
    </row>
    <row r="1787">
      <c r="B1787" s="168"/>
      <c r="D1787" s="76"/>
      <c r="E1787" s="208"/>
      <c r="F1787" s="168"/>
      <c r="G1787" s="209"/>
      <c r="H1787" s="168"/>
      <c r="I1787" s="208"/>
    </row>
    <row r="1788">
      <c r="B1788" s="168"/>
      <c r="D1788" s="76"/>
      <c r="E1788" s="208"/>
      <c r="F1788" s="168"/>
      <c r="G1788" s="209"/>
      <c r="H1788" s="168"/>
      <c r="I1788" s="208"/>
    </row>
    <row r="1789">
      <c r="B1789" s="168"/>
      <c r="D1789" s="76"/>
      <c r="E1789" s="208"/>
      <c r="F1789" s="168"/>
      <c r="G1789" s="209"/>
      <c r="H1789" s="168"/>
      <c r="I1789" s="208"/>
    </row>
    <row r="1790">
      <c r="B1790" s="168"/>
      <c r="D1790" s="76"/>
      <c r="E1790" s="208"/>
      <c r="F1790" s="168"/>
      <c r="G1790" s="209"/>
      <c r="H1790" s="168"/>
      <c r="I1790" s="208"/>
    </row>
    <row r="1791">
      <c r="B1791" s="168"/>
      <c r="D1791" s="76"/>
      <c r="E1791" s="208"/>
      <c r="F1791" s="168"/>
      <c r="G1791" s="209"/>
      <c r="H1791" s="168"/>
      <c r="I1791" s="208"/>
    </row>
    <row r="1792">
      <c r="B1792" s="168"/>
      <c r="D1792" s="76"/>
      <c r="E1792" s="208"/>
      <c r="F1792" s="168"/>
      <c r="G1792" s="209"/>
      <c r="H1792" s="168"/>
      <c r="I1792" s="208"/>
    </row>
    <row r="1793">
      <c r="B1793" s="168"/>
      <c r="D1793" s="76"/>
      <c r="E1793" s="208"/>
      <c r="F1793" s="168"/>
      <c r="G1793" s="209"/>
      <c r="H1793" s="168"/>
      <c r="I1793" s="208"/>
    </row>
    <row r="1794">
      <c r="B1794" s="168"/>
      <c r="D1794" s="76"/>
      <c r="E1794" s="208"/>
      <c r="F1794" s="168"/>
      <c r="G1794" s="209"/>
      <c r="H1794" s="168"/>
      <c r="I1794" s="208"/>
    </row>
    <row r="1795">
      <c r="B1795" s="168"/>
      <c r="D1795" s="76"/>
      <c r="E1795" s="208"/>
      <c r="F1795" s="168"/>
      <c r="G1795" s="209"/>
      <c r="H1795" s="168"/>
      <c r="I1795" s="208"/>
    </row>
    <row r="1796">
      <c r="B1796" s="168"/>
      <c r="D1796" s="76"/>
      <c r="E1796" s="208"/>
      <c r="F1796" s="168"/>
      <c r="G1796" s="209"/>
      <c r="H1796" s="168"/>
      <c r="I1796" s="208"/>
    </row>
    <row r="1797">
      <c r="B1797" s="168"/>
      <c r="D1797" s="76"/>
      <c r="E1797" s="208"/>
      <c r="F1797" s="168"/>
      <c r="G1797" s="209"/>
      <c r="H1797" s="168"/>
      <c r="I1797" s="208"/>
    </row>
    <row r="1798">
      <c r="B1798" s="168"/>
      <c r="D1798" s="76"/>
      <c r="E1798" s="208"/>
      <c r="F1798" s="168"/>
      <c r="G1798" s="209"/>
      <c r="H1798" s="168"/>
      <c r="I1798" s="208"/>
    </row>
    <row r="1799">
      <c r="B1799" s="168"/>
      <c r="D1799" s="76"/>
      <c r="E1799" s="208"/>
      <c r="F1799" s="168"/>
      <c r="G1799" s="209"/>
      <c r="H1799" s="168"/>
      <c r="I1799" s="208"/>
    </row>
    <row r="1800">
      <c r="B1800" s="168"/>
      <c r="D1800" s="76"/>
      <c r="E1800" s="208"/>
      <c r="F1800" s="168"/>
      <c r="G1800" s="209"/>
      <c r="H1800" s="168"/>
      <c r="I1800" s="208"/>
    </row>
    <row r="1801">
      <c r="B1801" s="168"/>
      <c r="D1801" s="76"/>
      <c r="E1801" s="208"/>
      <c r="F1801" s="168"/>
      <c r="G1801" s="209"/>
      <c r="H1801" s="168"/>
      <c r="I1801" s="208"/>
    </row>
    <row r="1802">
      <c r="B1802" s="168"/>
      <c r="D1802" s="76"/>
      <c r="E1802" s="208"/>
      <c r="F1802" s="168"/>
      <c r="G1802" s="209"/>
      <c r="H1802" s="168"/>
      <c r="I1802" s="208"/>
    </row>
    <row r="1803">
      <c r="B1803" s="168"/>
      <c r="D1803" s="76"/>
      <c r="E1803" s="208"/>
      <c r="F1803" s="168"/>
      <c r="G1803" s="209"/>
      <c r="H1803" s="168"/>
      <c r="I1803" s="208"/>
    </row>
    <row r="1804">
      <c r="B1804" s="168"/>
      <c r="D1804" s="76"/>
      <c r="E1804" s="208"/>
      <c r="F1804" s="168"/>
      <c r="G1804" s="209"/>
      <c r="H1804" s="168"/>
      <c r="I1804" s="208"/>
    </row>
    <row r="1805">
      <c r="B1805" s="168"/>
      <c r="D1805" s="76"/>
      <c r="E1805" s="208"/>
      <c r="F1805" s="168"/>
      <c r="G1805" s="209"/>
      <c r="H1805" s="168"/>
      <c r="I1805" s="208"/>
    </row>
    <row r="1806">
      <c r="B1806" s="168"/>
      <c r="D1806" s="76"/>
      <c r="E1806" s="208"/>
      <c r="F1806" s="168"/>
      <c r="G1806" s="209"/>
      <c r="H1806" s="168"/>
      <c r="I1806" s="208"/>
    </row>
    <row r="1807">
      <c r="B1807" s="168"/>
      <c r="D1807" s="76"/>
      <c r="E1807" s="208"/>
      <c r="F1807" s="168"/>
      <c r="G1807" s="209"/>
      <c r="H1807" s="168"/>
      <c r="I1807" s="208"/>
    </row>
    <row r="1808">
      <c r="B1808" s="168"/>
      <c r="D1808" s="76"/>
      <c r="E1808" s="208"/>
      <c r="F1808" s="168"/>
      <c r="G1808" s="209"/>
      <c r="H1808" s="168"/>
      <c r="I1808" s="208"/>
    </row>
    <row r="1809">
      <c r="B1809" s="168"/>
      <c r="D1809" s="76"/>
      <c r="E1809" s="208"/>
      <c r="F1809" s="168"/>
      <c r="G1809" s="209"/>
      <c r="H1809" s="168"/>
      <c r="I1809" s="208"/>
    </row>
    <row r="1810">
      <c r="B1810" s="168"/>
      <c r="D1810" s="76"/>
      <c r="E1810" s="208"/>
      <c r="F1810" s="168"/>
      <c r="G1810" s="209"/>
      <c r="H1810" s="168"/>
      <c r="I1810" s="208"/>
    </row>
    <row r="1811">
      <c r="B1811" s="168"/>
      <c r="D1811" s="76"/>
      <c r="E1811" s="208"/>
      <c r="F1811" s="168"/>
      <c r="G1811" s="209"/>
      <c r="H1811" s="168"/>
      <c r="I1811" s="208"/>
    </row>
    <row r="1812">
      <c r="B1812" s="168"/>
      <c r="D1812" s="76"/>
      <c r="E1812" s="208"/>
      <c r="F1812" s="168"/>
      <c r="G1812" s="209"/>
      <c r="H1812" s="168"/>
      <c r="I1812" s="208"/>
    </row>
    <row r="1813">
      <c r="B1813" s="168"/>
      <c r="D1813" s="76"/>
      <c r="E1813" s="208"/>
      <c r="F1813" s="168"/>
      <c r="G1813" s="209"/>
      <c r="H1813" s="168"/>
      <c r="I1813" s="208"/>
    </row>
    <row r="1814">
      <c r="B1814" s="168"/>
      <c r="D1814" s="76"/>
      <c r="E1814" s="208"/>
      <c r="F1814" s="168"/>
      <c r="G1814" s="209"/>
      <c r="H1814" s="168"/>
      <c r="I1814" s="208"/>
    </row>
    <row r="1815">
      <c r="B1815" s="168"/>
      <c r="D1815" s="76"/>
      <c r="E1815" s="208"/>
      <c r="F1815" s="168"/>
      <c r="G1815" s="209"/>
      <c r="H1815" s="168"/>
      <c r="I1815" s="208"/>
    </row>
    <row r="1816">
      <c r="B1816" s="168"/>
      <c r="D1816" s="76"/>
      <c r="E1816" s="208"/>
      <c r="F1816" s="168"/>
      <c r="G1816" s="209"/>
      <c r="H1816" s="168"/>
      <c r="I1816" s="208"/>
    </row>
    <row r="1817">
      <c r="B1817" s="168"/>
      <c r="D1817" s="76"/>
      <c r="E1817" s="208"/>
      <c r="F1817" s="168"/>
      <c r="G1817" s="209"/>
      <c r="H1817" s="168"/>
      <c r="I1817" s="208"/>
    </row>
    <row r="1818">
      <c r="B1818" s="168"/>
      <c r="D1818" s="76"/>
      <c r="E1818" s="208"/>
      <c r="F1818" s="168"/>
      <c r="G1818" s="209"/>
      <c r="H1818" s="168"/>
      <c r="I1818" s="208"/>
    </row>
    <row r="1819">
      <c r="B1819" s="168"/>
      <c r="D1819" s="76"/>
      <c r="E1819" s="208"/>
      <c r="F1819" s="168"/>
      <c r="G1819" s="209"/>
      <c r="H1819" s="168"/>
      <c r="I1819" s="208"/>
    </row>
    <row r="1820">
      <c r="B1820" s="168"/>
      <c r="D1820" s="76"/>
      <c r="E1820" s="208"/>
      <c r="F1820" s="168"/>
      <c r="G1820" s="209"/>
      <c r="H1820" s="168"/>
      <c r="I1820" s="208"/>
    </row>
    <row r="1821">
      <c r="B1821" s="168"/>
      <c r="D1821" s="76"/>
      <c r="E1821" s="208"/>
      <c r="F1821" s="168"/>
      <c r="G1821" s="209"/>
      <c r="H1821" s="168"/>
      <c r="I1821" s="208"/>
    </row>
    <row r="1822">
      <c r="B1822" s="168"/>
      <c r="D1822" s="76"/>
      <c r="E1822" s="208"/>
      <c r="F1822" s="168"/>
      <c r="G1822" s="209"/>
      <c r="H1822" s="168"/>
      <c r="I1822" s="208"/>
    </row>
    <row r="1823">
      <c r="B1823" s="168"/>
      <c r="D1823" s="76"/>
      <c r="E1823" s="208"/>
      <c r="F1823" s="168"/>
      <c r="G1823" s="209"/>
      <c r="H1823" s="168"/>
      <c r="I1823" s="208"/>
    </row>
    <row r="1824">
      <c r="B1824" s="168"/>
      <c r="D1824" s="76"/>
      <c r="E1824" s="208"/>
      <c r="F1824" s="168"/>
      <c r="G1824" s="209"/>
      <c r="H1824" s="168"/>
      <c r="I1824" s="208"/>
    </row>
    <row r="1825">
      <c r="B1825" s="168"/>
      <c r="D1825" s="76"/>
      <c r="E1825" s="208"/>
      <c r="F1825" s="168"/>
      <c r="G1825" s="209"/>
      <c r="H1825" s="168"/>
      <c r="I1825" s="208"/>
    </row>
    <row r="1826">
      <c r="B1826" s="168"/>
      <c r="D1826" s="76"/>
      <c r="E1826" s="208"/>
      <c r="F1826" s="168"/>
      <c r="G1826" s="209"/>
      <c r="H1826" s="168"/>
      <c r="I1826" s="208"/>
    </row>
    <row r="1827">
      <c r="B1827" s="168"/>
      <c r="D1827" s="76"/>
      <c r="E1827" s="208"/>
      <c r="F1827" s="168"/>
      <c r="G1827" s="209"/>
      <c r="H1827" s="168"/>
      <c r="I1827" s="208"/>
    </row>
    <row r="1828">
      <c r="B1828" s="168"/>
      <c r="D1828" s="76"/>
      <c r="E1828" s="208"/>
      <c r="F1828" s="168"/>
      <c r="G1828" s="209"/>
      <c r="H1828" s="168"/>
      <c r="I1828" s="208"/>
    </row>
    <row r="1829">
      <c r="B1829" s="168"/>
      <c r="D1829" s="76"/>
      <c r="E1829" s="208"/>
      <c r="F1829" s="168"/>
      <c r="G1829" s="209"/>
      <c r="H1829" s="168"/>
      <c r="I1829" s="208"/>
    </row>
    <row r="1830">
      <c r="B1830" s="168"/>
      <c r="D1830" s="76"/>
      <c r="E1830" s="208"/>
      <c r="F1830" s="168"/>
      <c r="G1830" s="209"/>
      <c r="H1830" s="168"/>
      <c r="I1830" s="208"/>
    </row>
    <row r="1831">
      <c r="B1831" s="168"/>
      <c r="D1831" s="76"/>
      <c r="E1831" s="208"/>
      <c r="F1831" s="168"/>
      <c r="G1831" s="209"/>
      <c r="H1831" s="168"/>
      <c r="I1831" s="208"/>
    </row>
    <row r="1832">
      <c r="B1832" s="168"/>
      <c r="D1832" s="76"/>
      <c r="E1832" s="208"/>
      <c r="F1832" s="168"/>
      <c r="G1832" s="209"/>
      <c r="H1832" s="168"/>
      <c r="I1832" s="208"/>
    </row>
    <row r="1833">
      <c r="B1833" s="168"/>
      <c r="D1833" s="76"/>
      <c r="E1833" s="208"/>
      <c r="F1833" s="168"/>
      <c r="G1833" s="209"/>
      <c r="H1833" s="168"/>
      <c r="I1833" s="208"/>
    </row>
    <row r="1834">
      <c r="B1834" s="168"/>
      <c r="D1834" s="76"/>
      <c r="E1834" s="208"/>
      <c r="F1834" s="168"/>
      <c r="G1834" s="209"/>
      <c r="H1834" s="168"/>
      <c r="I1834" s="208"/>
    </row>
    <row r="1835">
      <c r="B1835" s="168"/>
      <c r="D1835" s="76"/>
      <c r="E1835" s="208"/>
      <c r="F1835" s="168"/>
      <c r="G1835" s="209"/>
      <c r="H1835" s="168"/>
      <c r="I1835" s="208"/>
    </row>
    <row r="1836">
      <c r="B1836" s="168"/>
      <c r="D1836" s="76"/>
      <c r="E1836" s="208"/>
      <c r="F1836" s="168"/>
      <c r="G1836" s="209"/>
      <c r="H1836" s="168"/>
      <c r="I1836" s="208"/>
    </row>
    <row r="1837">
      <c r="B1837" s="168"/>
      <c r="D1837" s="76"/>
      <c r="E1837" s="208"/>
      <c r="F1837" s="168"/>
      <c r="G1837" s="209"/>
      <c r="H1837" s="168"/>
      <c r="I1837" s="208"/>
    </row>
    <row r="1838">
      <c r="B1838" s="168"/>
      <c r="D1838" s="76"/>
      <c r="E1838" s="208"/>
      <c r="F1838" s="168"/>
      <c r="G1838" s="209"/>
      <c r="H1838" s="168"/>
      <c r="I1838" s="208"/>
    </row>
    <row r="1839">
      <c r="B1839" s="168"/>
      <c r="D1839" s="76"/>
      <c r="E1839" s="208"/>
      <c r="F1839" s="168"/>
      <c r="G1839" s="209"/>
      <c r="H1839" s="168"/>
      <c r="I1839" s="208"/>
    </row>
    <row r="1840">
      <c r="B1840" s="168"/>
      <c r="D1840" s="76"/>
      <c r="E1840" s="208"/>
      <c r="F1840" s="168"/>
      <c r="G1840" s="209"/>
      <c r="H1840" s="168"/>
      <c r="I1840" s="208"/>
    </row>
    <row r="1841">
      <c r="B1841" s="168"/>
      <c r="D1841" s="76"/>
      <c r="E1841" s="208"/>
      <c r="F1841" s="168"/>
      <c r="G1841" s="209"/>
      <c r="H1841" s="168"/>
      <c r="I1841" s="208"/>
    </row>
    <row r="1842">
      <c r="B1842" s="168"/>
      <c r="D1842" s="76"/>
      <c r="E1842" s="208"/>
      <c r="F1842" s="168"/>
      <c r="G1842" s="209"/>
      <c r="H1842" s="168"/>
      <c r="I1842" s="208"/>
    </row>
    <row r="1843">
      <c r="B1843" s="168"/>
      <c r="D1843" s="76"/>
      <c r="E1843" s="208"/>
      <c r="F1843" s="168"/>
      <c r="G1843" s="209"/>
      <c r="H1843" s="168"/>
      <c r="I1843" s="208"/>
    </row>
    <row r="1844">
      <c r="B1844" s="168"/>
      <c r="D1844" s="76"/>
      <c r="E1844" s="208"/>
      <c r="F1844" s="168"/>
      <c r="G1844" s="209"/>
      <c r="H1844" s="168"/>
      <c r="I1844" s="208"/>
    </row>
    <row r="1845">
      <c r="B1845" s="168"/>
      <c r="D1845" s="76"/>
      <c r="E1845" s="208"/>
      <c r="F1845" s="168"/>
      <c r="G1845" s="209"/>
      <c r="H1845" s="168"/>
      <c r="I1845" s="208"/>
    </row>
    <row r="1846">
      <c r="B1846" s="168"/>
      <c r="D1846" s="76"/>
      <c r="E1846" s="208"/>
      <c r="F1846" s="168"/>
      <c r="G1846" s="209"/>
      <c r="H1846" s="168"/>
      <c r="I1846" s="208"/>
    </row>
    <row r="1847">
      <c r="B1847" s="168"/>
      <c r="D1847" s="76"/>
      <c r="E1847" s="208"/>
      <c r="F1847" s="168"/>
      <c r="G1847" s="209"/>
      <c r="H1847" s="168"/>
      <c r="I1847" s="208"/>
    </row>
    <row r="1848">
      <c r="B1848" s="168"/>
      <c r="D1848" s="76"/>
      <c r="E1848" s="208"/>
      <c r="F1848" s="168"/>
      <c r="G1848" s="209"/>
      <c r="H1848" s="168"/>
      <c r="I1848" s="208"/>
    </row>
    <row r="1849">
      <c r="B1849" s="168"/>
      <c r="D1849" s="76"/>
      <c r="E1849" s="208"/>
      <c r="F1849" s="168"/>
      <c r="G1849" s="209"/>
      <c r="H1849" s="168"/>
      <c r="I1849" s="208"/>
    </row>
    <row r="1850">
      <c r="B1850" s="168"/>
      <c r="D1850" s="76"/>
      <c r="E1850" s="208"/>
      <c r="F1850" s="168"/>
      <c r="G1850" s="209"/>
      <c r="H1850" s="168"/>
      <c r="I1850" s="208"/>
    </row>
    <row r="1851">
      <c r="B1851" s="168"/>
      <c r="D1851" s="76"/>
      <c r="E1851" s="208"/>
      <c r="F1851" s="168"/>
      <c r="G1851" s="209"/>
      <c r="H1851" s="168"/>
      <c r="I1851" s="208"/>
    </row>
    <row r="1852">
      <c r="B1852" s="168"/>
      <c r="D1852" s="76"/>
      <c r="E1852" s="208"/>
      <c r="F1852" s="168"/>
      <c r="G1852" s="209"/>
      <c r="H1852" s="168"/>
      <c r="I1852" s="208"/>
    </row>
    <row r="1853">
      <c r="B1853" s="168"/>
      <c r="D1853" s="76"/>
      <c r="E1853" s="208"/>
      <c r="F1853" s="168"/>
      <c r="G1853" s="209"/>
      <c r="H1853" s="168"/>
      <c r="I1853" s="208"/>
    </row>
    <row r="1854">
      <c r="B1854" s="168"/>
      <c r="D1854" s="76"/>
      <c r="E1854" s="208"/>
      <c r="F1854" s="168"/>
      <c r="G1854" s="209"/>
      <c r="H1854" s="168"/>
      <c r="I1854" s="208"/>
    </row>
    <row r="1855">
      <c r="B1855" s="168"/>
      <c r="D1855" s="76"/>
      <c r="E1855" s="208"/>
      <c r="F1855" s="168"/>
      <c r="G1855" s="209"/>
      <c r="H1855" s="168"/>
      <c r="I1855" s="208"/>
    </row>
    <row r="1856">
      <c r="B1856" s="168"/>
      <c r="D1856" s="76"/>
      <c r="E1856" s="208"/>
      <c r="F1856" s="168"/>
      <c r="G1856" s="209"/>
      <c r="H1856" s="168"/>
      <c r="I1856" s="208"/>
    </row>
    <row r="1857">
      <c r="B1857" s="168"/>
      <c r="D1857" s="76"/>
      <c r="E1857" s="208"/>
      <c r="F1857" s="168"/>
      <c r="G1857" s="209"/>
      <c r="H1857" s="168"/>
      <c r="I1857" s="208"/>
    </row>
    <row r="1858">
      <c r="B1858" s="168"/>
      <c r="D1858" s="76"/>
      <c r="E1858" s="208"/>
      <c r="F1858" s="168"/>
      <c r="G1858" s="209"/>
      <c r="H1858" s="168"/>
      <c r="I1858" s="208"/>
    </row>
    <row r="1859">
      <c r="B1859" s="168"/>
      <c r="D1859" s="76"/>
      <c r="E1859" s="208"/>
      <c r="F1859" s="168"/>
      <c r="G1859" s="209"/>
      <c r="H1859" s="168"/>
      <c r="I1859" s="208"/>
    </row>
    <row r="1860">
      <c r="B1860" s="168"/>
      <c r="D1860" s="76"/>
      <c r="E1860" s="208"/>
      <c r="F1860" s="168"/>
      <c r="G1860" s="209"/>
      <c r="H1860" s="168"/>
      <c r="I1860" s="208"/>
    </row>
    <row r="1861">
      <c r="B1861" s="168"/>
      <c r="D1861" s="76"/>
      <c r="E1861" s="208"/>
      <c r="F1861" s="168"/>
      <c r="G1861" s="209"/>
      <c r="H1861" s="168"/>
      <c r="I1861" s="208"/>
    </row>
    <row r="1862">
      <c r="B1862" s="168"/>
      <c r="D1862" s="76"/>
      <c r="E1862" s="208"/>
      <c r="F1862" s="168"/>
      <c r="G1862" s="209"/>
      <c r="H1862" s="168"/>
      <c r="I1862" s="208"/>
    </row>
    <row r="1863">
      <c r="B1863" s="168"/>
      <c r="D1863" s="76"/>
      <c r="E1863" s="208"/>
      <c r="F1863" s="168"/>
      <c r="G1863" s="209"/>
      <c r="H1863" s="168"/>
      <c r="I1863" s="208"/>
    </row>
    <row r="1864">
      <c r="B1864" s="168"/>
      <c r="D1864" s="76"/>
      <c r="E1864" s="208"/>
      <c r="F1864" s="168"/>
      <c r="G1864" s="209"/>
      <c r="H1864" s="168"/>
      <c r="I1864" s="208"/>
    </row>
    <row r="1865">
      <c r="B1865" s="168"/>
      <c r="D1865" s="76"/>
      <c r="E1865" s="208"/>
      <c r="F1865" s="168"/>
      <c r="G1865" s="209"/>
      <c r="H1865" s="168"/>
      <c r="I1865" s="208"/>
    </row>
    <row r="1866">
      <c r="B1866" s="168"/>
      <c r="D1866" s="76"/>
      <c r="E1866" s="208"/>
      <c r="F1866" s="168"/>
      <c r="G1866" s="209"/>
      <c r="H1866" s="168"/>
      <c r="I1866" s="208"/>
    </row>
    <row r="1867">
      <c r="B1867" s="168"/>
      <c r="D1867" s="76"/>
      <c r="E1867" s="208"/>
      <c r="F1867" s="168"/>
      <c r="G1867" s="209"/>
      <c r="H1867" s="168"/>
      <c r="I1867" s="208"/>
    </row>
    <row r="1868">
      <c r="B1868" s="168"/>
      <c r="D1868" s="76"/>
      <c r="E1868" s="208"/>
      <c r="F1868" s="168"/>
      <c r="G1868" s="209"/>
      <c r="H1868" s="168"/>
      <c r="I1868" s="208"/>
    </row>
    <row r="1869">
      <c r="B1869" s="168"/>
      <c r="D1869" s="76"/>
      <c r="E1869" s="208"/>
      <c r="F1869" s="168"/>
      <c r="G1869" s="209"/>
      <c r="H1869" s="168"/>
      <c r="I1869" s="208"/>
    </row>
    <row r="1870">
      <c r="B1870" s="168"/>
      <c r="D1870" s="76"/>
      <c r="E1870" s="208"/>
      <c r="F1870" s="168"/>
      <c r="G1870" s="209"/>
      <c r="H1870" s="168"/>
      <c r="I1870" s="208"/>
    </row>
    <row r="1871">
      <c r="B1871" s="168"/>
      <c r="D1871" s="76"/>
      <c r="E1871" s="208"/>
      <c r="F1871" s="168"/>
      <c r="G1871" s="209"/>
      <c r="H1871" s="168"/>
      <c r="I1871" s="208"/>
    </row>
    <row r="1872">
      <c r="B1872" s="168"/>
      <c r="D1872" s="76"/>
      <c r="E1872" s="208"/>
      <c r="F1872" s="168"/>
      <c r="G1872" s="209"/>
      <c r="H1872" s="168"/>
      <c r="I1872" s="208"/>
    </row>
    <row r="1873">
      <c r="B1873" s="168"/>
      <c r="D1873" s="76"/>
      <c r="E1873" s="208"/>
      <c r="F1873" s="168"/>
      <c r="G1873" s="209"/>
      <c r="H1873" s="168"/>
      <c r="I1873" s="208"/>
    </row>
    <row r="1874">
      <c r="B1874" s="168"/>
      <c r="D1874" s="76"/>
      <c r="E1874" s="208"/>
      <c r="F1874" s="168"/>
      <c r="G1874" s="209"/>
      <c r="H1874" s="168"/>
      <c r="I1874" s="208"/>
    </row>
    <row r="1875">
      <c r="B1875" s="168"/>
      <c r="D1875" s="76"/>
      <c r="E1875" s="208"/>
      <c r="F1875" s="168"/>
      <c r="G1875" s="209"/>
      <c r="H1875" s="168"/>
      <c r="I1875" s="208"/>
    </row>
    <row r="1876">
      <c r="B1876" s="168"/>
      <c r="D1876" s="76"/>
      <c r="E1876" s="208"/>
      <c r="F1876" s="168"/>
      <c r="G1876" s="209"/>
      <c r="H1876" s="168"/>
      <c r="I1876" s="208"/>
    </row>
    <row r="1877">
      <c r="B1877" s="168"/>
      <c r="D1877" s="76"/>
      <c r="E1877" s="208"/>
      <c r="F1877" s="168"/>
      <c r="G1877" s="209"/>
      <c r="H1877" s="168"/>
      <c r="I1877" s="208"/>
    </row>
    <row r="1878">
      <c r="B1878" s="168"/>
      <c r="D1878" s="76"/>
      <c r="E1878" s="208"/>
      <c r="F1878" s="168"/>
      <c r="G1878" s="209"/>
      <c r="H1878" s="168"/>
      <c r="I1878" s="208"/>
    </row>
    <row r="1879">
      <c r="B1879" s="168"/>
      <c r="D1879" s="76"/>
      <c r="E1879" s="208"/>
      <c r="F1879" s="168"/>
      <c r="G1879" s="209"/>
      <c r="H1879" s="168"/>
      <c r="I1879" s="208"/>
    </row>
    <row r="1880">
      <c r="B1880" s="168"/>
      <c r="D1880" s="76"/>
      <c r="E1880" s="208"/>
      <c r="F1880" s="168"/>
      <c r="G1880" s="209"/>
      <c r="H1880" s="168"/>
      <c r="I1880" s="208"/>
    </row>
    <row r="1881">
      <c r="B1881" s="168"/>
      <c r="D1881" s="76"/>
      <c r="E1881" s="208"/>
      <c r="F1881" s="168"/>
      <c r="G1881" s="209"/>
      <c r="H1881" s="168"/>
      <c r="I1881" s="208"/>
    </row>
    <row r="1882">
      <c r="B1882" s="168"/>
      <c r="D1882" s="76"/>
      <c r="E1882" s="208"/>
      <c r="F1882" s="168"/>
      <c r="G1882" s="209"/>
      <c r="H1882" s="168"/>
      <c r="I1882" s="208"/>
    </row>
    <row r="1883">
      <c r="B1883" s="168"/>
      <c r="D1883" s="76"/>
      <c r="E1883" s="208"/>
      <c r="F1883" s="168"/>
      <c r="G1883" s="209"/>
      <c r="H1883" s="168"/>
      <c r="I1883" s="208"/>
    </row>
    <row r="1884">
      <c r="B1884" s="168"/>
      <c r="D1884" s="76"/>
      <c r="E1884" s="208"/>
      <c r="F1884" s="168"/>
      <c r="G1884" s="209"/>
      <c r="H1884" s="168"/>
      <c r="I1884" s="208"/>
    </row>
    <row r="1885">
      <c r="B1885" s="168"/>
      <c r="D1885" s="76"/>
      <c r="E1885" s="208"/>
      <c r="F1885" s="168"/>
      <c r="G1885" s="209"/>
      <c r="H1885" s="168"/>
      <c r="I1885" s="208"/>
    </row>
    <row r="1886">
      <c r="B1886" s="168"/>
      <c r="D1886" s="76"/>
      <c r="E1886" s="208"/>
      <c r="F1886" s="168"/>
      <c r="G1886" s="209"/>
      <c r="H1886" s="168"/>
      <c r="I1886" s="208"/>
    </row>
    <row r="1887">
      <c r="B1887" s="168"/>
      <c r="D1887" s="76"/>
      <c r="E1887" s="208"/>
      <c r="F1887" s="168"/>
      <c r="G1887" s="209"/>
      <c r="H1887" s="168"/>
      <c r="I1887" s="208"/>
    </row>
    <row r="1888">
      <c r="B1888" s="168"/>
      <c r="D1888" s="76"/>
      <c r="E1888" s="208"/>
      <c r="F1888" s="168"/>
      <c r="G1888" s="209"/>
      <c r="H1888" s="168"/>
      <c r="I1888" s="208"/>
    </row>
    <row r="1889">
      <c r="B1889" s="168"/>
      <c r="D1889" s="76"/>
      <c r="E1889" s="208"/>
      <c r="F1889" s="168"/>
      <c r="G1889" s="209"/>
      <c r="H1889" s="168"/>
      <c r="I1889" s="208"/>
    </row>
    <row r="1890">
      <c r="B1890" s="168"/>
      <c r="D1890" s="76"/>
      <c r="E1890" s="208"/>
      <c r="F1890" s="168"/>
      <c r="G1890" s="209"/>
      <c r="H1890" s="168"/>
      <c r="I1890" s="208"/>
    </row>
    <row r="1891">
      <c r="B1891" s="168"/>
      <c r="D1891" s="76"/>
      <c r="E1891" s="208"/>
      <c r="F1891" s="168"/>
      <c r="G1891" s="209"/>
      <c r="H1891" s="168"/>
      <c r="I1891" s="208"/>
    </row>
    <row r="1892">
      <c r="B1892" s="168"/>
      <c r="D1892" s="76"/>
      <c r="E1892" s="208"/>
      <c r="F1892" s="168"/>
      <c r="G1892" s="209"/>
      <c r="H1892" s="168"/>
      <c r="I1892" s="208"/>
    </row>
    <row r="1893">
      <c r="B1893" s="168"/>
      <c r="D1893" s="76"/>
      <c r="E1893" s="208"/>
      <c r="F1893" s="168"/>
      <c r="G1893" s="209"/>
      <c r="H1893" s="168"/>
      <c r="I1893" s="208"/>
    </row>
    <row r="1894">
      <c r="B1894" s="168"/>
      <c r="D1894" s="76"/>
      <c r="E1894" s="208"/>
      <c r="F1894" s="168"/>
      <c r="G1894" s="209"/>
      <c r="H1894" s="168"/>
      <c r="I1894" s="208"/>
    </row>
    <row r="1895">
      <c r="B1895" s="168"/>
      <c r="D1895" s="76"/>
      <c r="E1895" s="208"/>
      <c r="F1895" s="168"/>
      <c r="G1895" s="209"/>
      <c r="H1895" s="168"/>
      <c r="I1895" s="208"/>
    </row>
    <row r="1896">
      <c r="B1896" s="168"/>
      <c r="D1896" s="76"/>
      <c r="E1896" s="208"/>
      <c r="F1896" s="168"/>
      <c r="G1896" s="209"/>
      <c r="H1896" s="168"/>
      <c r="I1896" s="208"/>
    </row>
    <row r="1897">
      <c r="B1897" s="168"/>
      <c r="D1897" s="76"/>
      <c r="E1897" s="208"/>
      <c r="F1897" s="168"/>
      <c r="G1897" s="209"/>
      <c r="H1897" s="168"/>
      <c r="I1897" s="208"/>
    </row>
    <row r="1898">
      <c r="B1898" s="168"/>
      <c r="D1898" s="76"/>
      <c r="E1898" s="208"/>
      <c r="F1898" s="168"/>
      <c r="G1898" s="209"/>
      <c r="H1898" s="168"/>
      <c r="I1898" s="208"/>
    </row>
    <row r="1899">
      <c r="B1899" s="168"/>
      <c r="D1899" s="76"/>
      <c r="E1899" s="208"/>
      <c r="F1899" s="168"/>
      <c r="G1899" s="209"/>
      <c r="H1899" s="168"/>
      <c r="I1899" s="208"/>
    </row>
    <row r="1900">
      <c r="B1900" s="168"/>
      <c r="D1900" s="76"/>
      <c r="E1900" s="208"/>
      <c r="F1900" s="168"/>
      <c r="G1900" s="209"/>
      <c r="H1900" s="168"/>
      <c r="I1900" s="208"/>
    </row>
    <row r="1901">
      <c r="B1901" s="168"/>
      <c r="D1901" s="76"/>
      <c r="E1901" s="208"/>
      <c r="F1901" s="168"/>
      <c r="G1901" s="209"/>
      <c r="H1901" s="168"/>
      <c r="I1901" s="208"/>
    </row>
    <row r="1902">
      <c r="B1902" s="168"/>
      <c r="D1902" s="76"/>
      <c r="E1902" s="208"/>
      <c r="F1902" s="168"/>
      <c r="G1902" s="209"/>
      <c r="H1902" s="168"/>
      <c r="I1902" s="208"/>
    </row>
    <row r="1903">
      <c r="B1903" s="168"/>
      <c r="D1903" s="76"/>
      <c r="E1903" s="208"/>
      <c r="F1903" s="168"/>
      <c r="G1903" s="209"/>
      <c r="H1903" s="168"/>
      <c r="I1903" s="208"/>
    </row>
    <row r="1904">
      <c r="B1904" s="168"/>
      <c r="D1904" s="76"/>
      <c r="E1904" s="208"/>
      <c r="F1904" s="168"/>
      <c r="G1904" s="209"/>
      <c r="H1904" s="168"/>
      <c r="I1904" s="208"/>
    </row>
    <row r="1905">
      <c r="B1905" s="168"/>
      <c r="D1905" s="76"/>
      <c r="E1905" s="208"/>
      <c r="F1905" s="168"/>
      <c r="G1905" s="209"/>
      <c r="H1905" s="168"/>
      <c r="I1905" s="208"/>
    </row>
    <row r="1906">
      <c r="B1906" s="168"/>
      <c r="D1906" s="76"/>
      <c r="E1906" s="208"/>
      <c r="F1906" s="168"/>
      <c r="G1906" s="209"/>
      <c r="H1906" s="168"/>
      <c r="I1906" s="208"/>
    </row>
    <row r="1907">
      <c r="B1907" s="168"/>
      <c r="D1907" s="76"/>
      <c r="E1907" s="208"/>
      <c r="F1907" s="168"/>
      <c r="G1907" s="209"/>
      <c r="H1907" s="168"/>
      <c r="I1907" s="208"/>
    </row>
    <row r="1908">
      <c r="B1908" s="168"/>
      <c r="D1908" s="76"/>
      <c r="E1908" s="208"/>
      <c r="F1908" s="168"/>
      <c r="G1908" s="209"/>
      <c r="H1908" s="168"/>
      <c r="I1908" s="208"/>
    </row>
    <row r="1909">
      <c r="B1909" s="168"/>
      <c r="D1909" s="76"/>
      <c r="E1909" s="208"/>
      <c r="F1909" s="168"/>
      <c r="G1909" s="209"/>
      <c r="H1909" s="168"/>
      <c r="I1909" s="208"/>
    </row>
    <row r="1910">
      <c r="B1910" s="168"/>
      <c r="D1910" s="76"/>
      <c r="E1910" s="208"/>
      <c r="F1910" s="168"/>
      <c r="G1910" s="209"/>
      <c r="H1910" s="168"/>
      <c r="I1910" s="208"/>
    </row>
    <row r="1911">
      <c r="B1911" s="168"/>
      <c r="D1911" s="76"/>
      <c r="E1911" s="208"/>
      <c r="F1911" s="168"/>
      <c r="G1911" s="209"/>
      <c r="H1911" s="168"/>
      <c r="I1911" s="208"/>
    </row>
    <row r="1912">
      <c r="B1912" s="168"/>
      <c r="D1912" s="76"/>
      <c r="E1912" s="208"/>
      <c r="F1912" s="168"/>
      <c r="G1912" s="209"/>
      <c r="H1912" s="168"/>
      <c r="I1912" s="208"/>
    </row>
    <row r="1913">
      <c r="B1913" s="168"/>
      <c r="D1913" s="76"/>
      <c r="E1913" s="208"/>
      <c r="F1913" s="168"/>
      <c r="G1913" s="209"/>
      <c r="H1913" s="168"/>
      <c r="I1913" s="208"/>
    </row>
    <row r="1914">
      <c r="B1914" s="168"/>
      <c r="D1914" s="76"/>
      <c r="E1914" s="208"/>
      <c r="F1914" s="168"/>
      <c r="G1914" s="209"/>
      <c r="H1914" s="168"/>
      <c r="I1914" s="208"/>
    </row>
    <row r="1915">
      <c r="B1915" s="168"/>
      <c r="D1915" s="76"/>
      <c r="E1915" s="208"/>
      <c r="F1915" s="168"/>
      <c r="G1915" s="209"/>
      <c r="H1915" s="168"/>
      <c r="I1915" s="208"/>
    </row>
    <row r="1916">
      <c r="B1916" s="168"/>
      <c r="D1916" s="76"/>
      <c r="E1916" s="208"/>
      <c r="F1916" s="168"/>
      <c r="G1916" s="209"/>
      <c r="H1916" s="168"/>
      <c r="I1916" s="208"/>
    </row>
    <row r="1917">
      <c r="B1917" s="168"/>
      <c r="D1917" s="76"/>
      <c r="E1917" s="208"/>
      <c r="F1917" s="168"/>
      <c r="G1917" s="209"/>
      <c r="H1917" s="168"/>
      <c r="I1917" s="208"/>
    </row>
    <row r="1918">
      <c r="B1918" s="168"/>
      <c r="D1918" s="76"/>
      <c r="E1918" s="208"/>
      <c r="F1918" s="168"/>
      <c r="G1918" s="209"/>
      <c r="H1918" s="168"/>
      <c r="I1918" s="208"/>
    </row>
    <row r="1919">
      <c r="B1919" s="168"/>
      <c r="D1919" s="76"/>
      <c r="E1919" s="208"/>
      <c r="F1919" s="168"/>
      <c r="G1919" s="209"/>
      <c r="H1919" s="168"/>
      <c r="I1919" s="208"/>
    </row>
    <row r="1920">
      <c r="B1920" s="168"/>
      <c r="D1920" s="76"/>
      <c r="E1920" s="208"/>
      <c r="F1920" s="168"/>
      <c r="G1920" s="209"/>
      <c r="H1920" s="168"/>
      <c r="I1920" s="208"/>
    </row>
    <row r="1921">
      <c r="B1921" s="168"/>
      <c r="D1921" s="76"/>
      <c r="E1921" s="208"/>
      <c r="F1921" s="168"/>
      <c r="G1921" s="209"/>
      <c r="H1921" s="168"/>
      <c r="I1921" s="208"/>
    </row>
    <row r="1922">
      <c r="B1922" s="168"/>
      <c r="D1922" s="76"/>
      <c r="E1922" s="208"/>
      <c r="F1922" s="168"/>
      <c r="G1922" s="209"/>
      <c r="H1922" s="168"/>
      <c r="I1922" s="208"/>
    </row>
    <row r="1923">
      <c r="B1923" s="168"/>
      <c r="D1923" s="76"/>
      <c r="E1923" s="208"/>
      <c r="F1923" s="168"/>
      <c r="G1923" s="209"/>
      <c r="H1923" s="168"/>
      <c r="I1923" s="208"/>
    </row>
    <row r="1924">
      <c r="B1924" s="168"/>
      <c r="D1924" s="76"/>
      <c r="E1924" s="208"/>
      <c r="F1924" s="168"/>
      <c r="G1924" s="209"/>
      <c r="H1924" s="168"/>
      <c r="I1924" s="208"/>
    </row>
    <row r="1925">
      <c r="B1925" s="168"/>
      <c r="D1925" s="76"/>
      <c r="E1925" s="208"/>
      <c r="F1925" s="168"/>
      <c r="G1925" s="209"/>
      <c r="H1925" s="168"/>
      <c r="I1925" s="208"/>
    </row>
    <row r="1926">
      <c r="B1926" s="168"/>
      <c r="D1926" s="76"/>
      <c r="E1926" s="208"/>
      <c r="F1926" s="168"/>
      <c r="G1926" s="209"/>
      <c r="H1926" s="168"/>
      <c r="I1926" s="208"/>
    </row>
    <row r="1927">
      <c r="B1927" s="168"/>
      <c r="D1927" s="76"/>
      <c r="E1927" s="208"/>
      <c r="F1927" s="168"/>
      <c r="G1927" s="209"/>
      <c r="H1927" s="168"/>
      <c r="I1927" s="208"/>
    </row>
    <row r="1928">
      <c r="B1928" s="168"/>
      <c r="D1928" s="76"/>
      <c r="E1928" s="208"/>
      <c r="F1928" s="168"/>
      <c r="G1928" s="209"/>
      <c r="H1928" s="168"/>
      <c r="I1928" s="208"/>
    </row>
    <row r="1929">
      <c r="B1929" s="168"/>
      <c r="D1929" s="76"/>
      <c r="E1929" s="208"/>
      <c r="F1929" s="168"/>
      <c r="G1929" s="209"/>
      <c r="H1929" s="168"/>
      <c r="I1929" s="208"/>
    </row>
    <row r="1930">
      <c r="B1930" s="168"/>
      <c r="D1930" s="76"/>
      <c r="E1930" s="208"/>
      <c r="F1930" s="168"/>
      <c r="G1930" s="209"/>
      <c r="H1930" s="168"/>
      <c r="I1930" s="208"/>
    </row>
    <row r="1931">
      <c r="B1931" s="168"/>
      <c r="D1931" s="76"/>
      <c r="E1931" s="208"/>
      <c r="F1931" s="168"/>
      <c r="G1931" s="209"/>
      <c r="H1931" s="168"/>
      <c r="I1931" s="208"/>
    </row>
    <row r="1932">
      <c r="B1932" s="168"/>
      <c r="D1932" s="76"/>
      <c r="E1932" s="208"/>
      <c r="F1932" s="168"/>
      <c r="G1932" s="209"/>
      <c r="H1932" s="168"/>
      <c r="I1932" s="208"/>
    </row>
    <row r="1933">
      <c r="B1933" s="168"/>
      <c r="D1933" s="76"/>
      <c r="E1933" s="208"/>
      <c r="F1933" s="168"/>
      <c r="G1933" s="209"/>
      <c r="H1933" s="168"/>
      <c r="I1933" s="208"/>
    </row>
    <row r="1934">
      <c r="B1934" s="168"/>
      <c r="D1934" s="76"/>
      <c r="E1934" s="208"/>
      <c r="F1934" s="168"/>
      <c r="G1934" s="209"/>
      <c r="H1934" s="168"/>
      <c r="I1934" s="208"/>
    </row>
    <row r="1935">
      <c r="B1935" s="168"/>
      <c r="D1935" s="76"/>
      <c r="E1935" s="208"/>
      <c r="F1935" s="168"/>
      <c r="G1935" s="209"/>
      <c r="H1935" s="168"/>
      <c r="I1935" s="208"/>
    </row>
    <row r="1936">
      <c r="B1936" s="168"/>
      <c r="D1936" s="76"/>
      <c r="E1936" s="208"/>
      <c r="F1936" s="168"/>
      <c r="G1936" s="209"/>
      <c r="H1936" s="168"/>
      <c r="I1936" s="208"/>
    </row>
    <row r="1937">
      <c r="B1937" s="168"/>
      <c r="D1937" s="76"/>
      <c r="E1937" s="208"/>
      <c r="F1937" s="168"/>
      <c r="G1937" s="209"/>
      <c r="H1937" s="168"/>
      <c r="I1937" s="208"/>
    </row>
    <row r="1938">
      <c r="B1938" s="168"/>
      <c r="D1938" s="76"/>
      <c r="E1938" s="208"/>
      <c r="F1938" s="168"/>
      <c r="G1938" s="209"/>
      <c r="H1938" s="168"/>
      <c r="I1938" s="208"/>
    </row>
    <row r="1939">
      <c r="B1939" s="168"/>
      <c r="D1939" s="76"/>
      <c r="E1939" s="208"/>
      <c r="F1939" s="168"/>
      <c r="G1939" s="209"/>
      <c r="H1939" s="168"/>
      <c r="I1939" s="208"/>
    </row>
    <row r="1940">
      <c r="B1940" s="168"/>
      <c r="D1940" s="76"/>
      <c r="E1940" s="208"/>
      <c r="F1940" s="168"/>
      <c r="G1940" s="209"/>
      <c r="H1940" s="168"/>
      <c r="I1940" s="208"/>
    </row>
    <row r="1941">
      <c r="B1941" s="168"/>
      <c r="D1941" s="76"/>
      <c r="E1941" s="208"/>
      <c r="F1941" s="168"/>
      <c r="G1941" s="209"/>
      <c r="H1941" s="168"/>
      <c r="I1941" s="208"/>
    </row>
    <row r="1942">
      <c r="B1942" s="168"/>
      <c r="D1942" s="76"/>
      <c r="E1942" s="208"/>
      <c r="F1942" s="168"/>
      <c r="G1942" s="209"/>
      <c r="H1942" s="168"/>
      <c r="I1942" s="208"/>
    </row>
    <row r="1943">
      <c r="B1943" s="168"/>
      <c r="D1943" s="76"/>
      <c r="E1943" s="208"/>
      <c r="F1943" s="168"/>
      <c r="G1943" s="209"/>
      <c r="H1943" s="168"/>
      <c r="I1943" s="208"/>
    </row>
    <row r="1944">
      <c r="B1944" s="168"/>
      <c r="D1944" s="76"/>
      <c r="E1944" s="208"/>
      <c r="F1944" s="168"/>
      <c r="G1944" s="209"/>
      <c r="H1944" s="168"/>
      <c r="I1944" s="208"/>
    </row>
    <row r="1945">
      <c r="B1945" s="168"/>
      <c r="D1945" s="76"/>
      <c r="E1945" s="208"/>
      <c r="F1945" s="168"/>
      <c r="G1945" s="209"/>
      <c r="H1945" s="168"/>
      <c r="I1945" s="208"/>
    </row>
    <row r="1946">
      <c r="B1946" s="168"/>
      <c r="D1946" s="76"/>
      <c r="E1946" s="208"/>
      <c r="F1946" s="168"/>
      <c r="G1946" s="209"/>
      <c r="H1946" s="168"/>
      <c r="I1946" s="208"/>
    </row>
    <row r="1947">
      <c r="B1947" s="168"/>
      <c r="D1947" s="76"/>
      <c r="E1947" s="208"/>
      <c r="F1947" s="168"/>
      <c r="G1947" s="209"/>
      <c r="H1947" s="168"/>
      <c r="I1947" s="208"/>
    </row>
    <row r="1948">
      <c r="B1948" s="168"/>
      <c r="D1948" s="76"/>
      <c r="E1948" s="208"/>
      <c r="F1948" s="168"/>
      <c r="G1948" s="209"/>
      <c r="H1948" s="168"/>
      <c r="I1948" s="208"/>
    </row>
    <row r="1949">
      <c r="B1949" s="168"/>
      <c r="D1949" s="76"/>
      <c r="E1949" s="208"/>
      <c r="F1949" s="168"/>
      <c r="G1949" s="209"/>
      <c r="H1949" s="168"/>
      <c r="I1949" s="208"/>
    </row>
    <row r="1950">
      <c r="B1950" s="168"/>
      <c r="D1950" s="76"/>
      <c r="E1950" s="208"/>
      <c r="F1950" s="168"/>
      <c r="G1950" s="209"/>
      <c r="H1950" s="168"/>
      <c r="I1950" s="208"/>
    </row>
    <row r="1951">
      <c r="B1951" s="168"/>
      <c r="D1951" s="76"/>
      <c r="E1951" s="208"/>
      <c r="F1951" s="168"/>
      <c r="G1951" s="209"/>
      <c r="H1951" s="168"/>
      <c r="I1951" s="208"/>
    </row>
    <row r="1952">
      <c r="B1952" s="168"/>
      <c r="D1952" s="76"/>
      <c r="E1952" s="208"/>
      <c r="F1952" s="168"/>
      <c r="G1952" s="209"/>
      <c r="H1952" s="168"/>
      <c r="I1952" s="208"/>
    </row>
    <row r="1953">
      <c r="B1953" s="168"/>
      <c r="D1953" s="76"/>
      <c r="E1953" s="208"/>
      <c r="F1953" s="168"/>
      <c r="G1953" s="209"/>
      <c r="H1953" s="168"/>
      <c r="I1953" s="208"/>
    </row>
    <row r="1954">
      <c r="B1954" s="168"/>
      <c r="D1954" s="76"/>
      <c r="E1954" s="208"/>
      <c r="F1954" s="168"/>
      <c r="G1954" s="209"/>
      <c r="H1954" s="168"/>
      <c r="I1954" s="208"/>
    </row>
    <row r="1955">
      <c r="B1955" s="168"/>
      <c r="D1955" s="76"/>
      <c r="E1955" s="208"/>
      <c r="F1955" s="168"/>
      <c r="G1955" s="209"/>
      <c r="H1955" s="168"/>
      <c r="I1955" s="208"/>
    </row>
    <row r="1956">
      <c r="B1956" s="168"/>
      <c r="D1956" s="76"/>
      <c r="E1956" s="208"/>
      <c r="F1956" s="168"/>
      <c r="G1956" s="209"/>
      <c r="H1956" s="168"/>
      <c r="I1956" s="208"/>
    </row>
    <row r="1957">
      <c r="B1957" s="168"/>
      <c r="D1957" s="76"/>
      <c r="E1957" s="208"/>
      <c r="F1957" s="168"/>
      <c r="G1957" s="209"/>
      <c r="H1957" s="168"/>
      <c r="I1957" s="208"/>
    </row>
    <row r="1958">
      <c r="B1958" s="168"/>
      <c r="D1958" s="76"/>
      <c r="E1958" s="208"/>
      <c r="F1958" s="168"/>
      <c r="G1958" s="209"/>
      <c r="H1958" s="168"/>
      <c r="I1958" s="208"/>
    </row>
    <row r="1959">
      <c r="B1959" s="168"/>
      <c r="D1959" s="76"/>
      <c r="E1959" s="208"/>
      <c r="F1959" s="168"/>
      <c r="G1959" s="209"/>
      <c r="H1959" s="168"/>
      <c r="I1959" s="208"/>
    </row>
    <row r="1960">
      <c r="B1960" s="168"/>
      <c r="D1960" s="76"/>
      <c r="E1960" s="208"/>
      <c r="F1960" s="168"/>
      <c r="G1960" s="209"/>
      <c r="H1960" s="168"/>
      <c r="I1960" s="208"/>
    </row>
    <row r="1961">
      <c r="B1961" s="168"/>
      <c r="D1961" s="76"/>
      <c r="E1961" s="208"/>
      <c r="F1961" s="168"/>
      <c r="G1961" s="209"/>
      <c r="H1961" s="168"/>
      <c r="I1961" s="208"/>
    </row>
    <row r="1962">
      <c r="B1962" s="168"/>
      <c r="D1962" s="76"/>
      <c r="E1962" s="208"/>
      <c r="F1962" s="168"/>
      <c r="G1962" s="209"/>
      <c r="H1962" s="168"/>
      <c r="I1962" s="208"/>
    </row>
    <row r="1963">
      <c r="B1963" s="168"/>
      <c r="D1963" s="76"/>
      <c r="E1963" s="208"/>
      <c r="F1963" s="168"/>
      <c r="G1963" s="209"/>
      <c r="H1963" s="168"/>
      <c r="I1963" s="208"/>
    </row>
    <row r="1964">
      <c r="B1964" s="168"/>
      <c r="D1964" s="76"/>
      <c r="E1964" s="208"/>
      <c r="F1964" s="168"/>
      <c r="G1964" s="209"/>
      <c r="H1964" s="168"/>
      <c r="I1964" s="208"/>
    </row>
    <row r="1965">
      <c r="B1965" s="168"/>
      <c r="D1965" s="76"/>
      <c r="E1965" s="208"/>
      <c r="F1965" s="168"/>
      <c r="G1965" s="209"/>
      <c r="H1965" s="168"/>
      <c r="I1965" s="208"/>
    </row>
    <row r="1966">
      <c r="B1966" s="168"/>
      <c r="D1966" s="76"/>
      <c r="E1966" s="208"/>
      <c r="F1966" s="168"/>
      <c r="G1966" s="209"/>
      <c r="H1966" s="168"/>
      <c r="I1966" s="208"/>
    </row>
    <row r="1967">
      <c r="B1967" s="168"/>
      <c r="D1967" s="76"/>
      <c r="E1967" s="208"/>
      <c r="F1967" s="168"/>
      <c r="G1967" s="209"/>
      <c r="H1967" s="168"/>
      <c r="I1967" s="208"/>
    </row>
    <row r="1968">
      <c r="B1968" s="168"/>
      <c r="D1968" s="76"/>
      <c r="E1968" s="208"/>
      <c r="F1968" s="168"/>
      <c r="G1968" s="209"/>
      <c r="H1968" s="168"/>
      <c r="I1968" s="208"/>
    </row>
    <row r="1969">
      <c r="B1969" s="168"/>
      <c r="D1969" s="76"/>
      <c r="E1969" s="208"/>
      <c r="F1969" s="168"/>
      <c r="G1969" s="209"/>
      <c r="H1969" s="168"/>
      <c r="I1969" s="208"/>
    </row>
    <row r="1970">
      <c r="B1970" s="168"/>
      <c r="D1970" s="76"/>
      <c r="E1970" s="208"/>
      <c r="F1970" s="168"/>
      <c r="G1970" s="209"/>
      <c r="H1970" s="168"/>
      <c r="I1970" s="208"/>
    </row>
    <row r="1971">
      <c r="B1971" s="168"/>
      <c r="D1971" s="76"/>
      <c r="E1971" s="208"/>
      <c r="F1971" s="168"/>
      <c r="G1971" s="209"/>
      <c r="H1971" s="168"/>
      <c r="I1971" s="208"/>
    </row>
    <row r="1972">
      <c r="B1972" s="168"/>
      <c r="D1972" s="76"/>
      <c r="E1972" s="208"/>
      <c r="F1972" s="168"/>
      <c r="G1972" s="209"/>
      <c r="H1972" s="168"/>
      <c r="I1972" s="208"/>
    </row>
    <row r="1973">
      <c r="B1973" s="168"/>
      <c r="D1973" s="76"/>
      <c r="E1973" s="208"/>
      <c r="F1973" s="168"/>
      <c r="G1973" s="209"/>
      <c r="H1973" s="168"/>
      <c r="I1973" s="208"/>
    </row>
    <row r="1974">
      <c r="B1974" s="168"/>
      <c r="D1974" s="76"/>
      <c r="E1974" s="208"/>
      <c r="F1974" s="168"/>
      <c r="G1974" s="209"/>
      <c r="H1974" s="168"/>
      <c r="I1974" s="208"/>
    </row>
    <row r="1975">
      <c r="B1975" s="168"/>
      <c r="D1975" s="76"/>
      <c r="E1975" s="208"/>
      <c r="F1975" s="168"/>
      <c r="G1975" s="209"/>
      <c r="H1975" s="168"/>
      <c r="I1975" s="208"/>
    </row>
    <row r="1976">
      <c r="B1976" s="168"/>
      <c r="D1976" s="76"/>
      <c r="E1976" s="208"/>
      <c r="F1976" s="168"/>
      <c r="G1976" s="209"/>
      <c r="H1976" s="168"/>
      <c r="I1976" s="208"/>
    </row>
    <row r="1977">
      <c r="B1977" s="168"/>
      <c r="D1977" s="76"/>
      <c r="E1977" s="208"/>
      <c r="F1977" s="168"/>
      <c r="G1977" s="209"/>
      <c r="H1977" s="168"/>
      <c r="I1977" s="208"/>
    </row>
    <row r="1978">
      <c r="B1978" s="168"/>
      <c r="D1978" s="76"/>
      <c r="E1978" s="208"/>
      <c r="F1978" s="168"/>
      <c r="G1978" s="209"/>
      <c r="H1978" s="168"/>
      <c r="I1978" s="208"/>
    </row>
    <row r="1979">
      <c r="B1979" s="168"/>
      <c r="D1979" s="76"/>
      <c r="E1979" s="208"/>
      <c r="F1979" s="168"/>
      <c r="G1979" s="209"/>
      <c r="H1979" s="168"/>
      <c r="I1979" s="208"/>
    </row>
    <row r="1980">
      <c r="B1980" s="168"/>
      <c r="D1980" s="76"/>
      <c r="E1980" s="208"/>
      <c r="F1980" s="168"/>
      <c r="G1980" s="209"/>
      <c r="H1980" s="168"/>
      <c r="I1980" s="208"/>
    </row>
    <row r="1981">
      <c r="B1981" s="168"/>
      <c r="D1981" s="76"/>
      <c r="E1981" s="208"/>
      <c r="F1981" s="168"/>
      <c r="G1981" s="209"/>
      <c r="H1981" s="168"/>
      <c r="I1981" s="208"/>
    </row>
    <row r="1982">
      <c r="B1982" s="168"/>
      <c r="D1982" s="76"/>
      <c r="E1982" s="208"/>
      <c r="F1982" s="168"/>
      <c r="G1982" s="209"/>
      <c r="H1982" s="168"/>
      <c r="I1982" s="208"/>
    </row>
    <row r="1983">
      <c r="B1983" s="168"/>
      <c r="D1983" s="76"/>
      <c r="E1983" s="208"/>
      <c r="F1983" s="168"/>
      <c r="G1983" s="209"/>
      <c r="H1983" s="168"/>
      <c r="I1983" s="208"/>
    </row>
    <row r="1984">
      <c r="B1984" s="168"/>
      <c r="D1984" s="76"/>
      <c r="E1984" s="208"/>
      <c r="F1984" s="168"/>
      <c r="G1984" s="209"/>
      <c r="H1984" s="168"/>
      <c r="I1984" s="208"/>
    </row>
    <row r="1985">
      <c r="B1985" s="168"/>
      <c r="D1985" s="76"/>
      <c r="E1985" s="208"/>
      <c r="F1985" s="168"/>
      <c r="G1985" s="209"/>
      <c r="H1985" s="168"/>
      <c r="I1985" s="208"/>
    </row>
    <row r="1986">
      <c r="B1986" s="168"/>
      <c r="D1986" s="76"/>
      <c r="E1986" s="208"/>
      <c r="F1986" s="168"/>
      <c r="G1986" s="209"/>
      <c r="H1986" s="168"/>
      <c r="I1986" s="208"/>
    </row>
    <row r="1987">
      <c r="B1987" s="168"/>
      <c r="D1987" s="76"/>
      <c r="E1987" s="208"/>
      <c r="F1987" s="168"/>
      <c r="G1987" s="209"/>
      <c r="H1987" s="168"/>
      <c r="I1987" s="208"/>
    </row>
    <row r="1988">
      <c r="B1988" s="168"/>
      <c r="D1988" s="76"/>
      <c r="E1988" s="208"/>
      <c r="F1988" s="168"/>
      <c r="G1988" s="209"/>
      <c r="H1988" s="168"/>
      <c r="I1988" s="208"/>
    </row>
    <row r="1989">
      <c r="B1989" s="168"/>
      <c r="D1989" s="76"/>
      <c r="E1989" s="208"/>
      <c r="F1989" s="168"/>
      <c r="G1989" s="209"/>
      <c r="H1989" s="168"/>
      <c r="I1989" s="208"/>
    </row>
    <row r="1990">
      <c r="B1990" s="168"/>
      <c r="D1990" s="76"/>
      <c r="E1990" s="208"/>
      <c r="F1990" s="168"/>
      <c r="G1990" s="209"/>
      <c r="H1990" s="168"/>
      <c r="I1990" s="208"/>
    </row>
    <row r="1991">
      <c r="B1991" s="168"/>
      <c r="D1991" s="76"/>
      <c r="E1991" s="208"/>
      <c r="F1991" s="168"/>
      <c r="G1991" s="209"/>
      <c r="H1991" s="168"/>
      <c r="I1991" s="208"/>
    </row>
    <row r="1992">
      <c r="B1992" s="168"/>
      <c r="D1992" s="76"/>
      <c r="E1992" s="208"/>
      <c r="F1992" s="168"/>
      <c r="G1992" s="209"/>
      <c r="H1992" s="168"/>
      <c r="I1992" s="208"/>
    </row>
    <row r="1993">
      <c r="B1993" s="168"/>
      <c r="D1993" s="76"/>
      <c r="E1993" s="208"/>
      <c r="F1993" s="168"/>
      <c r="G1993" s="209"/>
      <c r="H1993" s="168"/>
      <c r="I1993" s="208"/>
    </row>
    <row r="1994">
      <c r="B1994" s="168"/>
      <c r="D1994" s="76"/>
      <c r="E1994" s="208"/>
      <c r="F1994" s="168"/>
      <c r="G1994" s="209"/>
      <c r="H1994" s="168"/>
      <c r="I1994" s="208"/>
    </row>
    <row r="1995">
      <c r="B1995" s="168"/>
      <c r="D1995" s="76"/>
      <c r="E1995" s="208"/>
      <c r="F1995" s="168"/>
      <c r="G1995" s="209"/>
      <c r="H1995" s="168"/>
      <c r="I1995" s="208"/>
    </row>
    <row r="1996">
      <c r="B1996" s="168"/>
      <c r="D1996" s="76"/>
      <c r="E1996" s="208"/>
      <c r="F1996" s="168"/>
      <c r="G1996" s="209"/>
      <c r="H1996" s="168"/>
      <c r="I1996" s="208"/>
    </row>
    <row r="1997">
      <c r="B1997" s="168"/>
      <c r="D1997" s="76"/>
      <c r="E1997" s="208"/>
      <c r="F1997" s="168"/>
      <c r="G1997" s="209"/>
      <c r="H1997" s="168"/>
      <c r="I1997" s="208"/>
    </row>
    <row r="1998">
      <c r="B1998" s="168"/>
      <c r="D1998" s="76"/>
      <c r="E1998" s="208"/>
      <c r="F1998" s="168"/>
      <c r="G1998" s="209"/>
      <c r="H1998" s="168"/>
      <c r="I1998" s="208"/>
    </row>
    <row r="1999">
      <c r="B1999" s="168"/>
      <c r="D1999" s="76"/>
      <c r="E1999" s="208"/>
      <c r="F1999" s="168"/>
      <c r="G1999" s="209"/>
      <c r="H1999" s="168"/>
      <c r="I1999" s="208"/>
    </row>
    <row r="2000">
      <c r="B2000" s="168"/>
      <c r="D2000" s="76"/>
      <c r="E2000" s="208"/>
      <c r="F2000" s="168"/>
      <c r="G2000" s="209"/>
      <c r="H2000" s="168"/>
      <c r="I2000" s="208"/>
    </row>
    <row r="2001">
      <c r="B2001" s="168"/>
      <c r="D2001" s="76"/>
      <c r="E2001" s="208"/>
      <c r="F2001" s="168"/>
      <c r="G2001" s="209"/>
      <c r="H2001" s="168"/>
      <c r="I2001" s="208"/>
    </row>
    <row r="2002">
      <c r="B2002" s="168"/>
      <c r="D2002" s="76"/>
      <c r="E2002" s="208"/>
      <c r="F2002" s="168"/>
      <c r="G2002" s="209"/>
      <c r="H2002" s="168"/>
      <c r="I2002" s="208"/>
    </row>
    <row r="2003">
      <c r="B2003" s="168"/>
      <c r="D2003" s="76"/>
      <c r="E2003" s="208"/>
      <c r="F2003" s="168"/>
      <c r="G2003" s="209"/>
      <c r="H2003" s="168"/>
      <c r="I2003" s="208"/>
    </row>
    <row r="2004">
      <c r="B2004" s="168"/>
      <c r="D2004" s="76"/>
      <c r="E2004" s="208"/>
      <c r="F2004" s="168"/>
      <c r="G2004" s="209"/>
      <c r="H2004" s="168"/>
      <c r="I2004" s="208"/>
    </row>
    <row r="2005">
      <c r="B2005" s="168"/>
      <c r="D2005" s="76"/>
      <c r="E2005" s="208"/>
      <c r="F2005" s="168"/>
      <c r="G2005" s="209"/>
      <c r="H2005" s="168"/>
      <c r="I2005" s="208"/>
    </row>
    <row r="2006">
      <c r="B2006" s="168"/>
      <c r="D2006" s="76"/>
      <c r="E2006" s="208"/>
      <c r="F2006" s="168"/>
      <c r="G2006" s="209"/>
      <c r="H2006" s="168"/>
      <c r="I2006" s="208"/>
    </row>
    <row r="2007">
      <c r="B2007" s="168"/>
      <c r="D2007" s="76"/>
      <c r="E2007" s="208"/>
      <c r="F2007" s="168"/>
      <c r="G2007" s="209"/>
      <c r="H2007" s="168"/>
      <c r="I2007" s="208"/>
    </row>
    <row r="2008">
      <c r="B2008" s="168"/>
      <c r="D2008" s="76"/>
      <c r="E2008" s="208"/>
      <c r="F2008" s="168"/>
      <c r="G2008" s="209"/>
      <c r="H2008" s="168"/>
      <c r="I2008" s="208"/>
    </row>
    <row r="2009">
      <c r="B2009" s="168"/>
      <c r="D2009" s="76"/>
      <c r="E2009" s="208"/>
      <c r="F2009" s="168"/>
      <c r="G2009" s="209"/>
      <c r="H2009" s="168"/>
      <c r="I2009" s="208"/>
    </row>
    <row r="2010">
      <c r="B2010" s="168"/>
      <c r="D2010" s="76"/>
      <c r="E2010" s="208"/>
      <c r="F2010" s="168"/>
      <c r="G2010" s="209"/>
      <c r="H2010" s="168"/>
      <c r="I2010" s="208"/>
    </row>
    <row r="2011">
      <c r="B2011" s="168"/>
      <c r="D2011" s="76"/>
      <c r="E2011" s="208"/>
      <c r="F2011" s="168"/>
      <c r="G2011" s="209"/>
      <c r="H2011" s="168"/>
      <c r="I2011" s="208"/>
    </row>
    <row r="2012">
      <c r="B2012" s="168"/>
      <c r="D2012" s="76"/>
      <c r="E2012" s="208"/>
      <c r="F2012" s="168"/>
      <c r="G2012" s="209"/>
      <c r="H2012" s="168"/>
      <c r="I2012" s="208"/>
    </row>
    <row r="2013">
      <c r="B2013" s="168"/>
      <c r="D2013" s="76"/>
      <c r="E2013" s="208"/>
      <c r="F2013" s="168"/>
      <c r="G2013" s="209"/>
      <c r="H2013" s="168"/>
      <c r="I2013" s="208"/>
    </row>
    <row r="2014">
      <c r="B2014" s="168"/>
      <c r="D2014" s="76"/>
      <c r="E2014" s="208"/>
      <c r="F2014" s="168"/>
      <c r="G2014" s="209"/>
      <c r="H2014" s="168"/>
      <c r="I2014" s="208"/>
    </row>
    <row r="2015">
      <c r="B2015" s="168"/>
      <c r="D2015" s="76"/>
      <c r="E2015" s="208"/>
      <c r="F2015" s="168"/>
      <c r="G2015" s="209"/>
      <c r="H2015" s="168"/>
      <c r="I2015" s="208"/>
    </row>
    <row r="2016">
      <c r="B2016" s="168"/>
      <c r="D2016" s="76"/>
      <c r="E2016" s="208"/>
      <c r="F2016" s="168"/>
      <c r="G2016" s="209"/>
      <c r="H2016" s="168"/>
      <c r="I2016" s="208"/>
    </row>
    <row r="2017">
      <c r="B2017" s="168"/>
      <c r="D2017" s="76"/>
      <c r="E2017" s="208"/>
      <c r="F2017" s="168"/>
      <c r="G2017" s="209"/>
      <c r="H2017" s="168"/>
      <c r="I2017" s="208"/>
    </row>
    <row r="2018">
      <c r="B2018" s="168"/>
      <c r="D2018" s="76"/>
      <c r="E2018" s="208"/>
      <c r="F2018" s="168"/>
      <c r="G2018" s="209"/>
      <c r="H2018" s="168"/>
      <c r="I2018" s="208"/>
    </row>
    <row r="2019">
      <c r="B2019" s="168"/>
      <c r="D2019" s="76"/>
      <c r="E2019" s="208"/>
      <c r="F2019" s="168"/>
      <c r="G2019" s="209"/>
      <c r="H2019" s="168"/>
      <c r="I2019" s="208"/>
    </row>
    <row r="2020">
      <c r="B2020" s="168"/>
      <c r="D2020" s="76"/>
      <c r="E2020" s="208"/>
      <c r="F2020" s="168"/>
      <c r="G2020" s="209"/>
      <c r="H2020" s="168"/>
      <c r="I2020" s="208"/>
    </row>
    <row r="2021">
      <c r="B2021" s="168"/>
      <c r="D2021" s="76"/>
      <c r="E2021" s="208"/>
      <c r="F2021" s="168"/>
      <c r="G2021" s="209"/>
      <c r="H2021" s="168"/>
      <c r="I2021" s="208"/>
    </row>
    <row r="2022">
      <c r="B2022" s="168"/>
      <c r="D2022" s="76"/>
      <c r="E2022" s="208"/>
      <c r="F2022" s="168"/>
      <c r="G2022" s="209"/>
      <c r="H2022" s="168"/>
      <c r="I2022" s="208"/>
    </row>
    <row r="2023">
      <c r="B2023" s="168"/>
      <c r="D2023" s="76"/>
      <c r="E2023" s="208"/>
      <c r="F2023" s="168"/>
      <c r="G2023" s="209"/>
      <c r="H2023" s="168"/>
      <c r="I2023" s="208"/>
    </row>
    <row r="2024">
      <c r="B2024" s="168"/>
      <c r="D2024" s="76"/>
      <c r="E2024" s="208"/>
      <c r="F2024" s="168"/>
      <c r="G2024" s="209"/>
      <c r="H2024" s="168"/>
      <c r="I2024" s="208"/>
    </row>
    <row r="2025">
      <c r="B2025" s="168"/>
      <c r="D2025" s="76"/>
      <c r="E2025" s="208"/>
      <c r="F2025" s="168"/>
      <c r="G2025" s="209"/>
      <c r="H2025" s="168"/>
      <c r="I2025" s="208"/>
    </row>
    <row r="2026">
      <c r="B2026" s="168"/>
      <c r="D2026" s="76"/>
      <c r="E2026" s="208"/>
      <c r="F2026" s="168"/>
      <c r="G2026" s="209"/>
      <c r="H2026" s="168"/>
      <c r="I2026" s="208"/>
    </row>
    <row r="2027">
      <c r="B2027" s="168"/>
      <c r="D2027" s="76"/>
      <c r="E2027" s="208"/>
      <c r="F2027" s="168"/>
      <c r="G2027" s="209"/>
      <c r="H2027" s="168"/>
      <c r="I2027" s="208"/>
    </row>
    <row r="2028">
      <c r="B2028" s="168"/>
      <c r="D2028" s="76"/>
      <c r="E2028" s="208"/>
      <c r="F2028" s="168"/>
      <c r="G2028" s="209"/>
      <c r="H2028" s="168"/>
      <c r="I2028" s="208"/>
    </row>
    <row r="2029">
      <c r="B2029" s="168"/>
      <c r="D2029" s="76"/>
      <c r="E2029" s="208"/>
      <c r="F2029" s="168"/>
      <c r="G2029" s="209"/>
      <c r="H2029" s="168"/>
      <c r="I2029" s="208"/>
    </row>
    <row r="2030">
      <c r="B2030" s="168"/>
      <c r="D2030" s="76"/>
      <c r="E2030" s="208"/>
      <c r="F2030" s="168"/>
      <c r="G2030" s="209"/>
      <c r="H2030" s="168"/>
      <c r="I2030" s="208"/>
    </row>
    <row r="2031">
      <c r="B2031" s="168"/>
      <c r="D2031" s="76"/>
      <c r="E2031" s="208"/>
      <c r="F2031" s="168"/>
      <c r="G2031" s="209"/>
      <c r="H2031" s="168"/>
      <c r="I2031" s="208"/>
    </row>
    <row r="2032">
      <c r="B2032" s="168"/>
      <c r="D2032" s="76"/>
      <c r="E2032" s="208"/>
      <c r="F2032" s="168"/>
      <c r="G2032" s="209"/>
      <c r="H2032" s="168"/>
      <c r="I2032" s="208"/>
    </row>
    <row r="2033">
      <c r="B2033" s="168"/>
      <c r="D2033" s="76"/>
      <c r="E2033" s="208"/>
      <c r="F2033" s="168"/>
      <c r="G2033" s="209"/>
      <c r="H2033" s="168"/>
      <c r="I2033" s="208"/>
    </row>
    <row r="2034">
      <c r="B2034" s="168"/>
      <c r="D2034" s="76"/>
      <c r="E2034" s="208"/>
      <c r="F2034" s="168"/>
      <c r="G2034" s="209"/>
      <c r="H2034" s="168"/>
      <c r="I2034" s="208"/>
    </row>
    <row r="2035">
      <c r="B2035" s="168"/>
      <c r="D2035" s="76"/>
      <c r="E2035" s="208"/>
      <c r="F2035" s="168"/>
      <c r="G2035" s="209"/>
      <c r="H2035" s="168"/>
      <c r="I2035" s="208"/>
    </row>
    <row r="2036">
      <c r="B2036" s="168"/>
      <c r="D2036" s="76"/>
      <c r="E2036" s="208"/>
      <c r="F2036" s="168"/>
      <c r="G2036" s="209"/>
      <c r="H2036" s="168"/>
      <c r="I2036" s="208"/>
    </row>
    <row r="2037">
      <c r="B2037" s="168"/>
      <c r="D2037" s="76"/>
      <c r="E2037" s="208"/>
      <c r="F2037" s="168"/>
      <c r="G2037" s="209"/>
      <c r="H2037" s="168"/>
      <c r="I2037" s="208"/>
    </row>
    <row r="2038">
      <c r="B2038" s="168"/>
      <c r="D2038" s="76"/>
      <c r="E2038" s="208"/>
      <c r="F2038" s="168"/>
      <c r="G2038" s="209"/>
      <c r="H2038" s="168"/>
      <c r="I2038" s="208"/>
    </row>
    <row r="2039">
      <c r="B2039" s="168"/>
      <c r="D2039" s="76"/>
      <c r="E2039" s="208"/>
      <c r="F2039" s="168"/>
      <c r="G2039" s="209"/>
      <c r="H2039" s="168"/>
      <c r="I2039" s="208"/>
    </row>
    <row r="2040">
      <c r="B2040" s="168"/>
      <c r="D2040" s="76"/>
      <c r="E2040" s="208"/>
      <c r="F2040" s="168"/>
      <c r="G2040" s="209"/>
      <c r="H2040" s="168"/>
      <c r="I2040" s="208"/>
    </row>
    <row r="2041">
      <c r="B2041" s="168"/>
      <c r="D2041" s="76"/>
      <c r="E2041" s="208"/>
      <c r="F2041" s="168"/>
      <c r="G2041" s="209"/>
      <c r="H2041" s="168"/>
      <c r="I2041" s="208"/>
    </row>
    <row r="2042">
      <c r="B2042" s="168"/>
      <c r="D2042" s="76"/>
      <c r="E2042" s="208"/>
      <c r="F2042" s="168"/>
      <c r="G2042" s="209"/>
      <c r="H2042" s="168"/>
      <c r="I2042" s="208"/>
    </row>
    <row r="2043">
      <c r="B2043" s="168"/>
      <c r="D2043" s="76"/>
      <c r="E2043" s="208"/>
      <c r="F2043" s="168"/>
      <c r="G2043" s="209"/>
      <c r="H2043" s="168"/>
      <c r="I2043" s="208"/>
    </row>
    <row r="2044">
      <c r="B2044" s="168"/>
      <c r="D2044" s="76"/>
      <c r="E2044" s="208"/>
      <c r="F2044" s="168"/>
      <c r="G2044" s="209"/>
      <c r="H2044" s="168"/>
      <c r="I2044" s="208"/>
    </row>
    <row r="2045">
      <c r="B2045" s="168"/>
      <c r="D2045" s="76"/>
      <c r="E2045" s="208"/>
      <c r="F2045" s="168"/>
      <c r="G2045" s="209"/>
      <c r="H2045" s="168"/>
      <c r="I2045" s="208"/>
    </row>
    <row r="2046">
      <c r="B2046" s="168"/>
      <c r="D2046" s="76"/>
      <c r="E2046" s="208"/>
      <c r="F2046" s="168"/>
      <c r="G2046" s="209"/>
      <c r="H2046" s="168"/>
      <c r="I2046" s="208"/>
    </row>
    <row r="2047">
      <c r="B2047" s="168"/>
      <c r="D2047" s="76"/>
      <c r="E2047" s="208"/>
      <c r="F2047" s="168"/>
      <c r="G2047" s="209"/>
      <c r="H2047" s="168"/>
      <c r="I2047" s="208"/>
    </row>
    <row r="2048">
      <c r="B2048" s="168"/>
      <c r="D2048" s="76"/>
      <c r="E2048" s="208"/>
      <c r="F2048" s="168"/>
      <c r="G2048" s="209"/>
      <c r="H2048" s="168"/>
      <c r="I2048" s="208"/>
    </row>
    <row r="2049">
      <c r="B2049" s="168"/>
      <c r="D2049" s="76"/>
      <c r="E2049" s="208"/>
      <c r="F2049" s="168"/>
      <c r="G2049" s="209"/>
      <c r="H2049" s="168"/>
      <c r="I2049" s="208"/>
    </row>
    <row r="2050">
      <c r="B2050" s="168"/>
      <c r="D2050" s="76"/>
      <c r="E2050" s="208"/>
      <c r="F2050" s="168"/>
      <c r="G2050" s="209"/>
      <c r="H2050" s="168"/>
      <c r="I2050" s="208"/>
    </row>
    <row r="2051">
      <c r="B2051" s="168"/>
      <c r="D2051" s="76"/>
      <c r="E2051" s="208"/>
      <c r="F2051" s="168"/>
      <c r="G2051" s="209"/>
      <c r="H2051" s="168"/>
      <c r="I2051" s="208"/>
    </row>
    <row r="2052">
      <c r="B2052" s="168"/>
      <c r="D2052" s="76"/>
      <c r="E2052" s="208"/>
      <c r="F2052" s="168"/>
      <c r="G2052" s="209"/>
      <c r="H2052" s="168"/>
      <c r="I2052" s="208"/>
    </row>
    <row r="2053">
      <c r="B2053" s="168"/>
      <c r="D2053" s="76"/>
      <c r="E2053" s="208"/>
      <c r="F2053" s="168"/>
      <c r="G2053" s="209"/>
      <c r="H2053" s="168"/>
      <c r="I2053" s="208"/>
    </row>
    <row r="2054">
      <c r="B2054" s="168"/>
      <c r="D2054" s="76"/>
      <c r="E2054" s="208"/>
      <c r="F2054" s="168"/>
      <c r="G2054" s="209"/>
      <c r="H2054" s="168"/>
      <c r="I2054" s="208"/>
    </row>
    <row r="2055">
      <c r="B2055" s="168"/>
      <c r="D2055" s="76"/>
      <c r="E2055" s="208"/>
      <c r="F2055" s="168"/>
      <c r="G2055" s="209"/>
      <c r="H2055" s="168"/>
      <c r="I2055" s="208"/>
    </row>
    <row r="2056">
      <c r="B2056" s="168"/>
      <c r="D2056" s="76"/>
      <c r="E2056" s="208"/>
      <c r="F2056" s="168"/>
      <c r="G2056" s="209"/>
      <c r="H2056" s="168"/>
      <c r="I2056" s="208"/>
    </row>
    <row r="2057">
      <c r="B2057" s="168"/>
      <c r="D2057" s="76"/>
      <c r="E2057" s="208"/>
      <c r="F2057" s="168"/>
      <c r="G2057" s="209"/>
      <c r="H2057" s="168"/>
      <c r="I2057" s="208"/>
    </row>
    <row r="2058">
      <c r="B2058" s="168"/>
      <c r="D2058" s="76"/>
      <c r="E2058" s="208"/>
      <c r="F2058" s="168"/>
      <c r="G2058" s="209"/>
      <c r="H2058" s="168"/>
      <c r="I2058" s="208"/>
    </row>
    <row r="2059">
      <c r="B2059" s="168"/>
      <c r="D2059" s="76"/>
      <c r="E2059" s="208"/>
      <c r="F2059" s="168"/>
      <c r="G2059" s="209"/>
      <c r="H2059" s="168"/>
      <c r="I2059" s="208"/>
    </row>
    <row r="2060">
      <c r="B2060" s="168"/>
      <c r="D2060" s="76"/>
      <c r="E2060" s="208"/>
      <c r="F2060" s="168"/>
      <c r="G2060" s="209"/>
      <c r="H2060" s="168"/>
      <c r="I2060" s="208"/>
    </row>
    <row r="2061">
      <c r="B2061" s="168"/>
      <c r="D2061" s="76"/>
      <c r="E2061" s="208"/>
      <c r="F2061" s="168"/>
      <c r="G2061" s="209"/>
      <c r="H2061" s="168"/>
      <c r="I2061" s="208"/>
    </row>
    <row r="2062">
      <c r="B2062" s="168"/>
      <c r="D2062" s="76"/>
      <c r="E2062" s="208"/>
      <c r="F2062" s="168"/>
      <c r="G2062" s="209"/>
      <c r="H2062" s="168"/>
      <c r="I2062" s="208"/>
    </row>
    <row r="2063">
      <c r="B2063" s="168"/>
      <c r="D2063" s="76"/>
      <c r="E2063" s="208"/>
      <c r="F2063" s="168"/>
      <c r="G2063" s="209"/>
      <c r="H2063" s="168"/>
      <c r="I2063" s="208"/>
    </row>
    <row r="2064">
      <c r="B2064" s="168"/>
      <c r="D2064" s="76"/>
      <c r="E2064" s="208"/>
      <c r="F2064" s="168"/>
      <c r="G2064" s="209"/>
      <c r="H2064" s="168"/>
      <c r="I2064" s="208"/>
    </row>
    <row r="2065">
      <c r="B2065" s="168"/>
      <c r="D2065" s="76"/>
      <c r="E2065" s="208"/>
      <c r="F2065" s="168"/>
      <c r="G2065" s="209"/>
      <c r="H2065" s="168"/>
      <c r="I2065" s="208"/>
    </row>
    <row r="2066">
      <c r="B2066" s="168"/>
      <c r="D2066" s="76"/>
      <c r="E2066" s="208"/>
      <c r="F2066" s="168"/>
      <c r="G2066" s="209"/>
      <c r="H2066" s="168"/>
      <c r="I2066" s="208"/>
    </row>
    <row r="2067">
      <c r="B2067" s="168"/>
      <c r="D2067" s="76"/>
      <c r="E2067" s="208"/>
      <c r="F2067" s="168"/>
      <c r="G2067" s="209"/>
      <c r="H2067" s="168"/>
      <c r="I2067" s="208"/>
    </row>
    <row r="2068">
      <c r="B2068" s="168"/>
      <c r="D2068" s="76"/>
      <c r="E2068" s="208"/>
      <c r="F2068" s="168"/>
      <c r="G2068" s="209"/>
      <c r="H2068" s="168"/>
      <c r="I2068" s="208"/>
    </row>
    <row r="2069">
      <c r="B2069" s="168"/>
      <c r="D2069" s="76"/>
      <c r="E2069" s="208"/>
      <c r="F2069" s="168"/>
      <c r="G2069" s="209"/>
      <c r="H2069" s="168"/>
      <c r="I2069" s="208"/>
    </row>
    <row r="2070">
      <c r="B2070" s="168"/>
      <c r="D2070" s="76"/>
      <c r="E2070" s="208"/>
      <c r="F2070" s="168"/>
      <c r="G2070" s="209"/>
      <c r="H2070" s="168"/>
      <c r="I2070" s="208"/>
    </row>
    <row r="2071">
      <c r="B2071" s="168"/>
      <c r="D2071" s="76"/>
      <c r="E2071" s="208"/>
      <c r="F2071" s="168"/>
      <c r="G2071" s="209"/>
      <c r="H2071" s="168"/>
      <c r="I2071" s="208"/>
    </row>
    <row r="2072">
      <c r="B2072" s="168"/>
      <c r="D2072" s="76"/>
      <c r="E2072" s="208"/>
      <c r="F2072" s="168"/>
      <c r="G2072" s="209"/>
      <c r="H2072" s="168"/>
      <c r="I2072" s="208"/>
    </row>
    <row r="2073">
      <c r="B2073" s="168"/>
      <c r="D2073" s="76"/>
      <c r="E2073" s="208"/>
      <c r="F2073" s="168"/>
      <c r="G2073" s="209"/>
      <c r="H2073" s="168"/>
      <c r="I2073" s="208"/>
    </row>
    <row r="2074">
      <c r="B2074" s="168"/>
      <c r="D2074" s="76"/>
      <c r="E2074" s="208"/>
      <c r="F2074" s="168"/>
      <c r="G2074" s="209"/>
      <c r="H2074" s="168"/>
      <c r="I2074" s="208"/>
    </row>
    <row r="2075">
      <c r="B2075" s="168"/>
      <c r="D2075" s="76"/>
      <c r="E2075" s="208"/>
      <c r="F2075" s="168"/>
      <c r="G2075" s="209"/>
      <c r="H2075" s="168"/>
      <c r="I2075" s="208"/>
    </row>
    <row r="2076">
      <c r="B2076" s="168"/>
      <c r="D2076" s="76"/>
      <c r="E2076" s="208"/>
      <c r="F2076" s="168"/>
      <c r="G2076" s="209"/>
      <c r="H2076" s="168"/>
      <c r="I2076" s="208"/>
    </row>
    <row r="2077">
      <c r="B2077" s="168"/>
      <c r="D2077" s="76"/>
      <c r="E2077" s="208"/>
      <c r="F2077" s="168"/>
      <c r="G2077" s="209"/>
      <c r="H2077" s="168"/>
      <c r="I2077" s="208"/>
    </row>
    <row r="2078">
      <c r="B2078" s="168"/>
      <c r="D2078" s="76"/>
      <c r="E2078" s="208"/>
      <c r="F2078" s="168"/>
      <c r="G2078" s="209"/>
      <c r="H2078" s="168"/>
      <c r="I2078" s="208"/>
    </row>
    <row r="2079">
      <c r="B2079" s="168"/>
      <c r="D2079" s="76"/>
      <c r="E2079" s="208"/>
      <c r="F2079" s="168"/>
      <c r="G2079" s="209"/>
      <c r="H2079" s="168"/>
      <c r="I2079" s="208"/>
    </row>
    <row r="2080">
      <c r="B2080" s="168"/>
      <c r="D2080" s="76"/>
      <c r="E2080" s="208"/>
      <c r="F2080" s="168"/>
      <c r="G2080" s="209"/>
      <c r="H2080" s="168"/>
      <c r="I2080" s="208"/>
    </row>
    <row r="2081">
      <c r="B2081" s="168"/>
      <c r="D2081" s="76"/>
      <c r="E2081" s="208"/>
      <c r="F2081" s="168"/>
      <c r="G2081" s="209"/>
      <c r="H2081" s="168"/>
      <c r="I2081" s="208"/>
    </row>
    <row r="2082">
      <c r="B2082" s="168"/>
      <c r="D2082" s="76"/>
      <c r="E2082" s="208"/>
      <c r="F2082" s="168"/>
      <c r="G2082" s="209"/>
      <c r="H2082" s="168"/>
      <c r="I2082" s="208"/>
    </row>
    <row r="2083">
      <c r="B2083" s="168"/>
      <c r="D2083" s="76"/>
      <c r="E2083" s="208"/>
      <c r="F2083" s="168"/>
      <c r="G2083" s="209"/>
      <c r="H2083" s="168"/>
      <c r="I2083" s="208"/>
    </row>
    <row r="2084">
      <c r="B2084" s="168"/>
      <c r="D2084" s="76"/>
      <c r="E2084" s="208"/>
      <c r="F2084" s="168"/>
      <c r="G2084" s="209"/>
      <c r="H2084" s="168"/>
      <c r="I2084" s="208"/>
    </row>
    <row r="2085">
      <c r="B2085" s="168"/>
      <c r="D2085" s="76"/>
      <c r="E2085" s="208"/>
      <c r="F2085" s="168"/>
      <c r="G2085" s="209"/>
      <c r="H2085" s="168"/>
      <c r="I2085" s="208"/>
    </row>
    <row r="2086">
      <c r="B2086" s="168"/>
      <c r="D2086" s="76"/>
      <c r="E2086" s="208"/>
      <c r="F2086" s="168"/>
      <c r="G2086" s="209"/>
      <c r="H2086" s="168"/>
      <c r="I2086" s="208"/>
    </row>
    <row r="2087">
      <c r="B2087" s="168"/>
      <c r="D2087" s="76"/>
      <c r="E2087" s="208"/>
      <c r="F2087" s="168"/>
      <c r="G2087" s="209"/>
      <c r="H2087" s="168"/>
      <c r="I2087" s="208"/>
    </row>
    <row r="2088">
      <c r="B2088" s="168"/>
      <c r="D2088" s="76"/>
      <c r="E2088" s="208"/>
      <c r="F2088" s="168"/>
      <c r="G2088" s="209"/>
      <c r="H2088" s="168"/>
      <c r="I2088" s="208"/>
    </row>
    <row r="2089">
      <c r="B2089" s="168"/>
      <c r="D2089" s="76"/>
      <c r="E2089" s="208"/>
      <c r="F2089" s="168"/>
      <c r="G2089" s="209"/>
      <c r="H2089" s="168"/>
      <c r="I2089" s="208"/>
    </row>
    <row r="2090">
      <c r="B2090" s="168"/>
      <c r="D2090" s="76"/>
      <c r="E2090" s="208"/>
      <c r="F2090" s="168"/>
      <c r="G2090" s="209"/>
      <c r="H2090" s="168"/>
      <c r="I2090" s="208"/>
    </row>
    <row r="2091">
      <c r="B2091" s="168"/>
      <c r="D2091" s="76"/>
      <c r="E2091" s="208"/>
      <c r="F2091" s="168"/>
      <c r="G2091" s="209"/>
      <c r="H2091" s="168"/>
      <c r="I2091" s="208"/>
    </row>
    <row r="2092">
      <c r="B2092" s="168"/>
      <c r="D2092" s="76"/>
      <c r="E2092" s="208"/>
      <c r="F2092" s="168"/>
      <c r="G2092" s="209"/>
      <c r="H2092" s="168"/>
      <c r="I2092" s="208"/>
    </row>
    <row r="2093">
      <c r="B2093" s="168"/>
      <c r="D2093" s="76"/>
      <c r="E2093" s="208"/>
      <c r="F2093" s="168"/>
      <c r="G2093" s="209"/>
      <c r="H2093" s="168"/>
      <c r="I2093" s="208"/>
    </row>
    <row r="2094">
      <c r="B2094" s="168"/>
      <c r="D2094" s="76"/>
      <c r="E2094" s="208"/>
      <c r="F2094" s="168"/>
      <c r="G2094" s="209"/>
      <c r="H2094" s="168"/>
      <c r="I2094" s="208"/>
    </row>
    <row r="2095">
      <c r="B2095" s="168"/>
      <c r="D2095" s="76"/>
      <c r="E2095" s="208"/>
      <c r="F2095" s="168"/>
      <c r="G2095" s="209"/>
      <c r="H2095" s="168"/>
      <c r="I2095" s="208"/>
    </row>
    <row r="2096">
      <c r="B2096" s="168"/>
      <c r="D2096" s="76"/>
      <c r="E2096" s="208"/>
      <c r="F2096" s="168"/>
      <c r="G2096" s="209"/>
      <c r="H2096" s="168"/>
      <c r="I2096" s="208"/>
    </row>
    <row r="2097">
      <c r="B2097" s="168"/>
      <c r="D2097" s="76"/>
      <c r="E2097" s="208"/>
      <c r="F2097" s="168"/>
      <c r="G2097" s="209"/>
      <c r="H2097" s="168"/>
      <c r="I2097" s="208"/>
    </row>
    <row r="2098">
      <c r="B2098" s="168"/>
      <c r="D2098" s="76"/>
      <c r="E2098" s="208"/>
      <c r="F2098" s="168"/>
      <c r="G2098" s="209"/>
      <c r="H2098" s="168"/>
      <c r="I2098" s="208"/>
    </row>
    <row r="2099">
      <c r="B2099" s="168"/>
      <c r="D2099" s="76"/>
      <c r="E2099" s="208"/>
      <c r="F2099" s="168"/>
      <c r="G2099" s="209"/>
      <c r="H2099" s="168"/>
      <c r="I2099" s="208"/>
    </row>
    <row r="2100">
      <c r="B2100" s="168"/>
      <c r="D2100" s="76"/>
      <c r="E2100" s="208"/>
      <c r="F2100" s="168"/>
      <c r="G2100" s="209"/>
      <c r="H2100" s="168"/>
      <c r="I2100" s="208"/>
    </row>
    <row r="2101">
      <c r="B2101" s="168"/>
      <c r="D2101" s="76"/>
      <c r="E2101" s="208"/>
      <c r="F2101" s="168"/>
      <c r="G2101" s="209"/>
      <c r="H2101" s="168"/>
      <c r="I2101" s="208"/>
    </row>
    <row r="2102">
      <c r="B2102" s="168"/>
      <c r="D2102" s="76"/>
      <c r="E2102" s="208"/>
      <c r="F2102" s="168"/>
      <c r="G2102" s="209"/>
      <c r="H2102" s="168"/>
      <c r="I2102" s="208"/>
    </row>
    <row r="2103">
      <c r="B2103" s="168"/>
      <c r="D2103" s="76"/>
      <c r="E2103" s="208"/>
      <c r="F2103" s="168"/>
      <c r="G2103" s="209"/>
      <c r="H2103" s="168"/>
      <c r="I2103" s="208"/>
    </row>
    <row r="2104">
      <c r="B2104" s="168"/>
      <c r="D2104" s="76"/>
      <c r="E2104" s="208"/>
      <c r="F2104" s="168"/>
      <c r="G2104" s="209"/>
      <c r="H2104" s="168"/>
      <c r="I2104" s="208"/>
    </row>
    <row r="2105">
      <c r="B2105" s="168"/>
      <c r="D2105" s="76"/>
      <c r="E2105" s="208"/>
      <c r="F2105" s="168"/>
      <c r="G2105" s="209"/>
      <c r="H2105" s="168"/>
      <c r="I2105" s="208"/>
    </row>
    <row r="2106">
      <c r="B2106" s="168"/>
      <c r="D2106" s="76"/>
      <c r="E2106" s="208"/>
      <c r="F2106" s="168"/>
      <c r="G2106" s="209"/>
      <c r="H2106" s="168"/>
      <c r="I2106" s="208"/>
    </row>
    <row r="2107">
      <c r="B2107" s="168"/>
      <c r="D2107" s="76"/>
      <c r="E2107" s="208"/>
      <c r="F2107" s="168"/>
      <c r="G2107" s="209"/>
      <c r="H2107" s="168"/>
      <c r="I2107" s="208"/>
    </row>
    <row r="2108">
      <c r="B2108" s="168"/>
      <c r="D2108" s="76"/>
      <c r="E2108" s="208"/>
      <c r="F2108" s="168"/>
      <c r="G2108" s="209"/>
      <c r="H2108" s="168"/>
      <c r="I2108" s="208"/>
    </row>
    <row r="2109">
      <c r="B2109" s="168"/>
      <c r="D2109" s="76"/>
      <c r="E2109" s="208"/>
      <c r="F2109" s="168"/>
      <c r="G2109" s="209"/>
      <c r="H2109" s="168"/>
      <c r="I2109" s="208"/>
    </row>
    <row r="2110">
      <c r="B2110" s="168"/>
      <c r="D2110" s="76"/>
      <c r="E2110" s="208"/>
      <c r="F2110" s="168"/>
      <c r="G2110" s="209"/>
      <c r="H2110" s="168"/>
      <c r="I2110" s="208"/>
    </row>
    <row r="2111">
      <c r="B2111" s="168"/>
      <c r="D2111" s="76"/>
      <c r="E2111" s="208"/>
      <c r="F2111" s="168"/>
      <c r="G2111" s="209"/>
      <c r="H2111" s="168"/>
      <c r="I2111" s="208"/>
    </row>
    <row r="2112">
      <c r="B2112" s="168"/>
      <c r="D2112" s="76"/>
      <c r="E2112" s="208"/>
      <c r="F2112" s="168"/>
      <c r="G2112" s="209"/>
      <c r="H2112" s="168"/>
      <c r="I2112" s="208"/>
    </row>
    <row r="2113">
      <c r="B2113" s="168"/>
      <c r="D2113" s="76"/>
      <c r="E2113" s="208"/>
      <c r="F2113" s="168"/>
      <c r="G2113" s="209"/>
      <c r="H2113" s="168"/>
      <c r="I2113" s="208"/>
    </row>
    <row r="2114">
      <c r="B2114" s="168"/>
      <c r="D2114" s="76"/>
      <c r="E2114" s="208"/>
      <c r="F2114" s="168"/>
      <c r="G2114" s="209"/>
      <c r="H2114" s="168"/>
      <c r="I2114" s="208"/>
    </row>
    <row r="2115">
      <c r="B2115" s="168"/>
      <c r="D2115" s="76"/>
      <c r="E2115" s="208"/>
      <c r="F2115" s="168"/>
      <c r="G2115" s="209"/>
      <c r="H2115" s="168"/>
      <c r="I2115" s="208"/>
    </row>
    <row r="2116">
      <c r="B2116" s="168"/>
      <c r="D2116" s="76"/>
      <c r="E2116" s="208"/>
      <c r="F2116" s="168"/>
      <c r="G2116" s="209"/>
      <c r="H2116" s="168"/>
      <c r="I2116" s="208"/>
    </row>
    <row r="2117">
      <c r="B2117" s="168"/>
      <c r="D2117" s="76"/>
      <c r="E2117" s="208"/>
      <c r="F2117" s="168"/>
      <c r="G2117" s="209"/>
      <c r="H2117" s="168"/>
      <c r="I2117" s="208"/>
    </row>
    <row r="2118">
      <c r="B2118" s="168"/>
      <c r="D2118" s="76"/>
      <c r="E2118" s="208"/>
      <c r="F2118" s="168"/>
      <c r="G2118" s="209"/>
      <c r="H2118" s="168"/>
      <c r="I2118" s="208"/>
    </row>
    <row r="2119">
      <c r="B2119" s="168"/>
      <c r="D2119" s="76"/>
      <c r="E2119" s="208"/>
      <c r="F2119" s="168"/>
      <c r="G2119" s="209"/>
      <c r="H2119" s="168"/>
      <c r="I2119" s="208"/>
    </row>
    <row r="2120">
      <c r="B2120" s="168"/>
      <c r="D2120" s="76"/>
      <c r="E2120" s="208"/>
      <c r="F2120" s="168"/>
      <c r="G2120" s="209"/>
      <c r="H2120" s="168"/>
      <c r="I2120" s="208"/>
    </row>
    <row r="2121">
      <c r="B2121" s="168"/>
      <c r="D2121" s="76"/>
      <c r="E2121" s="208"/>
      <c r="F2121" s="168"/>
      <c r="G2121" s="209"/>
      <c r="H2121" s="168"/>
      <c r="I2121" s="208"/>
    </row>
    <row r="2122">
      <c r="B2122" s="168"/>
      <c r="D2122" s="76"/>
      <c r="E2122" s="208"/>
      <c r="F2122" s="168"/>
      <c r="G2122" s="209"/>
      <c r="H2122" s="168"/>
      <c r="I2122" s="208"/>
    </row>
    <row r="2123">
      <c r="B2123" s="168"/>
      <c r="D2123" s="76"/>
      <c r="E2123" s="208"/>
      <c r="F2123" s="168"/>
      <c r="G2123" s="209"/>
      <c r="H2123" s="168"/>
      <c r="I2123" s="208"/>
    </row>
    <row r="2124">
      <c r="B2124" s="168"/>
      <c r="D2124" s="76"/>
      <c r="E2124" s="208"/>
      <c r="F2124" s="168"/>
      <c r="G2124" s="209"/>
      <c r="H2124" s="168"/>
      <c r="I2124" s="208"/>
    </row>
    <row r="2125">
      <c r="B2125" s="168"/>
      <c r="D2125" s="76"/>
      <c r="E2125" s="208"/>
      <c r="F2125" s="168"/>
      <c r="G2125" s="209"/>
      <c r="H2125" s="168"/>
      <c r="I2125" s="208"/>
    </row>
    <row r="2126">
      <c r="B2126" s="168"/>
      <c r="D2126" s="76"/>
      <c r="E2126" s="208"/>
      <c r="F2126" s="168"/>
      <c r="G2126" s="209"/>
      <c r="H2126" s="168"/>
      <c r="I2126" s="208"/>
    </row>
    <row r="2127">
      <c r="B2127" s="168"/>
      <c r="D2127" s="76"/>
      <c r="E2127" s="208"/>
      <c r="F2127" s="168"/>
      <c r="G2127" s="209"/>
      <c r="H2127" s="168"/>
      <c r="I2127" s="208"/>
    </row>
    <row r="2128">
      <c r="B2128" s="168"/>
      <c r="D2128" s="76"/>
      <c r="E2128" s="208"/>
      <c r="F2128" s="168"/>
      <c r="G2128" s="209"/>
      <c r="H2128" s="168"/>
      <c r="I2128" s="208"/>
    </row>
    <row r="2129">
      <c r="B2129" s="168"/>
      <c r="D2129" s="76"/>
      <c r="E2129" s="208"/>
      <c r="F2129" s="168"/>
      <c r="G2129" s="209"/>
      <c r="H2129" s="168"/>
      <c r="I2129" s="208"/>
    </row>
    <row r="2130">
      <c r="B2130" s="168"/>
      <c r="D2130" s="76"/>
      <c r="E2130" s="208"/>
      <c r="F2130" s="168"/>
      <c r="G2130" s="209"/>
      <c r="H2130" s="168"/>
      <c r="I2130" s="208"/>
    </row>
    <row r="2131">
      <c r="B2131" s="168"/>
      <c r="D2131" s="76"/>
      <c r="E2131" s="208"/>
      <c r="F2131" s="168"/>
      <c r="G2131" s="209"/>
      <c r="H2131" s="168"/>
      <c r="I2131" s="208"/>
    </row>
    <row r="2132">
      <c r="B2132" s="168"/>
      <c r="D2132" s="76"/>
      <c r="E2132" s="208"/>
      <c r="F2132" s="168"/>
      <c r="G2132" s="209"/>
      <c r="H2132" s="168"/>
      <c r="I2132" s="208"/>
    </row>
    <row r="2133">
      <c r="B2133" s="168"/>
      <c r="D2133" s="76"/>
      <c r="E2133" s="208"/>
      <c r="F2133" s="168"/>
      <c r="G2133" s="209"/>
      <c r="H2133" s="168"/>
      <c r="I2133" s="208"/>
    </row>
    <row r="2134">
      <c r="B2134" s="168"/>
      <c r="D2134" s="76"/>
      <c r="E2134" s="208"/>
      <c r="F2134" s="168"/>
      <c r="G2134" s="209"/>
      <c r="H2134" s="168"/>
      <c r="I2134" s="208"/>
    </row>
    <row r="2135">
      <c r="B2135" s="168"/>
      <c r="D2135" s="76"/>
      <c r="E2135" s="208"/>
      <c r="F2135" s="168"/>
      <c r="G2135" s="209"/>
      <c r="H2135" s="168"/>
      <c r="I2135" s="208"/>
    </row>
    <row r="2136">
      <c r="B2136" s="168"/>
      <c r="D2136" s="76"/>
      <c r="E2136" s="208"/>
      <c r="F2136" s="168"/>
      <c r="G2136" s="209"/>
      <c r="H2136" s="168"/>
      <c r="I2136" s="208"/>
    </row>
    <row r="2137">
      <c r="B2137" s="168"/>
      <c r="D2137" s="76"/>
      <c r="E2137" s="208"/>
      <c r="F2137" s="168"/>
      <c r="G2137" s="209"/>
      <c r="H2137" s="168"/>
      <c r="I2137" s="208"/>
    </row>
    <row r="2138">
      <c r="B2138" s="168"/>
      <c r="D2138" s="76"/>
      <c r="E2138" s="208"/>
      <c r="F2138" s="168"/>
      <c r="G2138" s="209"/>
      <c r="H2138" s="168"/>
      <c r="I2138" s="208"/>
    </row>
    <row r="2139">
      <c r="B2139" s="168"/>
      <c r="D2139" s="76"/>
      <c r="E2139" s="208"/>
      <c r="F2139" s="168"/>
      <c r="G2139" s="209"/>
      <c r="H2139" s="168"/>
      <c r="I2139" s="208"/>
    </row>
    <row r="2140">
      <c r="B2140" s="168"/>
      <c r="D2140" s="76"/>
      <c r="E2140" s="208"/>
      <c r="F2140" s="168"/>
      <c r="G2140" s="209"/>
      <c r="H2140" s="168"/>
      <c r="I2140" s="208"/>
    </row>
    <row r="2141">
      <c r="B2141" s="168"/>
      <c r="D2141" s="76"/>
      <c r="E2141" s="208"/>
      <c r="F2141" s="168"/>
      <c r="G2141" s="209"/>
      <c r="H2141" s="168"/>
      <c r="I2141" s="208"/>
    </row>
    <row r="2142">
      <c r="B2142" s="168"/>
      <c r="D2142" s="76"/>
      <c r="E2142" s="208"/>
      <c r="F2142" s="168"/>
      <c r="G2142" s="209"/>
      <c r="H2142" s="168"/>
      <c r="I2142" s="208"/>
    </row>
    <row r="2143">
      <c r="B2143" s="168"/>
      <c r="D2143" s="76"/>
      <c r="E2143" s="208"/>
      <c r="F2143" s="168"/>
      <c r="G2143" s="209"/>
      <c r="H2143" s="168"/>
      <c r="I2143" s="208"/>
    </row>
    <row r="2144">
      <c r="B2144" s="168"/>
      <c r="D2144" s="76"/>
      <c r="E2144" s="208"/>
      <c r="F2144" s="168"/>
      <c r="G2144" s="209"/>
      <c r="H2144" s="168"/>
      <c r="I2144" s="208"/>
    </row>
    <row r="2145">
      <c r="B2145" s="168"/>
      <c r="D2145" s="76"/>
      <c r="E2145" s="208"/>
      <c r="F2145" s="168"/>
      <c r="G2145" s="209"/>
      <c r="H2145" s="168"/>
      <c r="I2145" s="208"/>
    </row>
    <row r="2146">
      <c r="B2146" s="168"/>
      <c r="D2146" s="76"/>
      <c r="E2146" s="208"/>
      <c r="F2146" s="168"/>
      <c r="G2146" s="209"/>
      <c r="H2146" s="168"/>
      <c r="I2146" s="208"/>
    </row>
    <row r="2147">
      <c r="B2147" s="168"/>
      <c r="D2147" s="76"/>
      <c r="E2147" s="208"/>
      <c r="F2147" s="168"/>
      <c r="G2147" s="209"/>
      <c r="H2147" s="168"/>
      <c r="I2147" s="208"/>
    </row>
    <row r="2148">
      <c r="B2148" s="168"/>
      <c r="D2148" s="76"/>
      <c r="E2148" s="208"/>
      <c r="F2148" s="168"/>
      <c r="G2148" s="209"/>
      <c r="H2148" s="168"/>
      <c r="I2148" s="208"/>
    </row>
    <row r="2149">
      <c r="B2149" s="168"/>
      <c r="D2149" s="76"/>
      <c r="E2149" s="208"/>
      <c r="F2149" s="168"/>
      <c r="G2149" s="209"/>
      <c r="H2149" s="168"/>
      <c r="I2149" s="208"/>
    </row>
    <row r="2150">
      <c r="B2150" s="168"/>
      <c r="D2150" s="76"/>
      <c r="E2150" s="208"/>
      <c r="F2150" s="168"/>
      <c r="G2150" s="209"/>
      <c r="H2150" s="168"/>
      <c r="I2150" s="208"/>
    </row>
    <row r="2151">
      <c r="B2151" s="168"/>
      <c r="D2151" s="76"/>
      <c r="E2151" s="208"/>
      <c r="F2151" s="168"/>
      <c r="G2151" s="209"/>
      <c r="H2151" s="168"/>
      <c r="I2151" s="208"/>
    </row>
    <row r="2152">
      <c r="B2152" s="168"/>
      <c r="D2152" s="76"/>
      <c r="E2152" s="208"/>
      <c r="F2152" s="168"/>
      <c r="G2152" s="209"/>
      <c r="H2152" s="168"/>
      <c r="I2152" s="208"/>
    </row>
    <row r="2153">
      <c r="B2153" s="168"/>
      <c r="D2153" s="76"/>
      <c r="E2153" s="208"/>
      <c r="F2153" s="168"/>
      <c r="G2153" s="209"/>
      <c r="H2153" s="168"/>
      <c r="I2153" s="208"/>
    </row>
    <row r="2154">
      <c r="B2154" s="168"/>
      <c r="D2154" s="76"/>
      <c r="E2154" s="208"/>
      <c r="F2154" s="168"/>
      <c r="G2154" s="209"/>
      <c r="H2154" s="168"/>
      <c r="I2154" s="208"/>
    </row>
    <row r="2155">
      <c r="B2155" s="168"/>
      <c r="D2155" s="76"/>
      <c r="E2155" s="208"/>
      <c r="F2155" s="168"/>
      <c r="G2155" s="209"/>
      <c r="H2155" s="168"/>
      <c r="I2155" s="208"/>
    </row>
    <row r="2156">
      <c r="B2156" s="168"/>
      <c r="D2156" s="76"/>
      <c r="E2156" s="208"/>
      <c r="F2156" s="168"/>
      <c r="G2156" s="209"/>
      <c r="H2156" s="168"/>
      <c r="I2156" s="208"/>
    </row>
    <row r="2157">
      <c r="B2157" s="168"/>
      <c r="D2157" s="76"/>
      <c r="E2157" s="208"/>
      <c r="F2157" s="168"/>
      <c r="G2157" s="209"/>
      <c r="H2157" s="168"/>
      <c r="I2157" s="208"/>
    </row>
    <row r="2158">
      <c r="B2158" s="168"/>
      <c r="D2158" s="76"/>
      <c r="E2158" s="208"/>
      <c r="F2158" s="168"/>
      <c r="G2158" s="209"/>
      <c r="H2158" s="168"/>
      <c r="I2158" s="208"/>
    </row>
    <row r="2159">
      <c r="B2159" s="168"/>
      <c r="D2159" s="76"/>
      <c r="E2159" s="208"/>
      <c r="F2159" s="168"/>
      <c r="G2159" s="209"/>
      <c r="H2159" s="168"/>
      <c r="I2159" s="208"/>
    </row>
    <row r="2160">
      <c r="B2160" s="168"/>
      <c r="D2160" s="76"/>
      <c r="E2160" s="208"/>
      <c r="F2160" s="168"/>
      <c r="G2160" s="209"/>
      <c r="H2160" s="168"/>
      <c r="I2160" s="208"/>
    </row>
    <row r="2161">
      <c r="B2161" s="168"/>
      <c r="D2161" s="76"/>
      <c r="E2161" s="208"/>
      <c r="F2161" s="168"/>
      <c r="G2161" s="209"/>
      <c r="H2161" s="168"/>
      <c r="I2161" s="208"/>
    </row>
    <row r="2162">
      <c r="B2162" s="168"/>
      <c r="D2162" s="76"/>
      <c r="E2162" s="208"/>
      <c r="F2162" s="168"/>
      <c r="G2162" s="209"/>
      <c r="H2162" s="168"/>
      <c r="I2162" s="208"/>
    </row>
    <row r="2163">
      <c r="B2163" s="168"/>
      <c r="D2163" s="76"/>
      <c r="E2163" s="208"/>
      <c r="F2163" s="168"/>
      <c r="G2163" s="209"/>
      <c r="H2163" s="168"/>
      <c r="I2163" s="208"/>
    </row>
    <row r="2164">
      <c r="B2164" s="168"/>
      <c r="D2164" s="76"/>
      <c r="E2164" s="208"/>
      <c r="F2164" s="168"/>
      <c r="G2164" s="209"/>
      <c r="H2164" s="168"/>
      <c r="I2164" s="208"/>
    </row>
    <row r="2165">
      <c r="B2165" s="168"/>
      <c r="D2165" s="76"/>
      <c r="E2165" s="208"/>
      <c r="F2165" s="168"/>
      <c r="G2165" s="209"/>
      <c r="H2165" s="168"/>
      <c r="I2165" s="208"/>
    </row>
    <row r="2166">
      <c r="B2166" s="168"/>
      <c r="D2166" s="76"/>
      <c r="E2166" s="208"/>
      <c r="F2166" s="168"/>
      <c r="G2166" s="209"/>
      <c r="H2166" s="168"/>
      <c r="I2166" s="208"/>
    </row>
    <row r="2167">
      <c r="B2167" s="168"/>
      <c r="D2167" s="76"/>
      <c r="E2167" s="208"/>
      <c r="F2167" s="168"/>
      <c r="G2167" s="209"/>
      <c r="H2167" s="168"/>
      <c r="I2167" s="208"/>
    </row>
    <row r="2168">
      <c r="B2168" s="168"/>
      <c r="D2168" s="76"/>
      <c r="E2168" s="208"/>
      <c r="F2168" s="168"/>
      <c r="G2168" s="209"/>
      <c r="H2168" s="168"/>
      <c r="I2168" s="208"/>
    </row>
    <row r="2169">
      <c r="B2169" s="168"/>
      <c r="D2169" s="76"/>
      <c r="E2169" s="208"/>
      <c r="F2169" s="168"/>
      <c r="G2169" s="209"/>
      <c r="H2169" s="168"/>
      <c r="I2169" s="208"/>
    </row>
    <row r="2170">
      <c r="B2170" s="168"/>
      <c r="D2170" s="76"/>
      <c r="E2170" s="208"/>
      <c r="F2170" s="168"/>
      <c r="G2170" s="209"/>
      <c r="H2170" s="168"/>
      <c r="I2170" s="208"/>
    </row>
    <row r="2171">
      <c r="B2171" s="168"/>
      <c r="D2171" s="76"/>
      <c r="E2171" s="208"/>
      <c r="F2171" s="168"/>
      <c r="G2171" s="209"/>
      <c r="H2171" s="168"/>
      <c r="I2171" s="208"/>
    </row>
    <row r="2172">
      <c r="B2172" s="168"/>
      <c r="D2172" s="76"/>
      <c r="E2172" s="208"/>
      <c r="F2172" s="168"/>
      <c r="G2172" s="209"/>
      <c r="H2172" s="168"/>
      <c r="I2172" s="208"/>
    </row>
    <row r="2173">
      <c r="B2173" s="168"/>
      <c r="D2173" s="76"/>
      <c r="E2173" s="208"/>
      <c r="F2173" s="168"/>
      <c r="G2173" s="209"/>
      <c r="H2173" s="168"/>
      <c r="I2173" s="208"/>
    </row>
    <row r="2174">
      <c r="B2174" s="168"/>
      <c r="D2174" s="76"/>
      <c r="E2174" s="208"/>
      <c r="F2174" s="168"/>
      <c r="G2174" s="209"/>
      <c r="H2174" s="168"/>
      <c r="I2174" s="208"/>
    </row>
    <row r="2175">
      <c r="B2175" s="168"/>
      <c r="D2175" s="76"/>
      <c r="E2175" s="208"/>
      <c r="F2175" s="168"/>
      <c r="G2175" s="209"/>
      <c r="H2175" s="168"/>
      <c r="I2175" s="208"/>
    </row>
    <row r="2176">
      <c r="B2176" s="168"/>
      <c r="D2176" s="76"/>
      <c r="E2176" s="208"/>
      <c r="F2176" s="168"/>
      <c r="G2176" s="209"/>
      <c r="H2176" s="168"/>
      <c r="I2176" s="208"/>
    </row>
    <row r="2177">
      <c r="B2177" s="168"/>
      <c r="D2177" s="76"/>
      <c r="E2177" s="208"/>
      <c r="F2177" s="168"/>
      <c r="G2177" s="209"/>
      <c r="H2177" s="168"/>
      <c r="I2177" s="208"/>
    </row>
    <row r="2178">
      <c r="B2178" s="168"/>
      <c r="D2178" s="76"/>
      <c r="E2178" s="208"/>
      <c r="F2178" s="168"/>
      <c r="G2178" s="209"/>
      <c r="H2178" s="168"/>
      <c r="I2178" s="208"/>
    </row>
    <row r="2179">
      <c r="B2179" s="168"/>
      <c r="D2179" s="76"/>
      <c r="E2179" s="208"/>
      <c r="F2179" s="168"/>
      <c r="G2179" s="209"/>
      <c r="H2179" s="168"/>
      <c r="I2179" s="208"/>
    </row>
    <row r="2180">
      <c r="B2180" s="168"/>
      <c r="D2180" s="76"/>
      <c r="E2180" s="208"/>
      <c r="F2180" s="168"/>
      <c r="G2180" s="209"/>
      <c r="H2180" s="168"/>
      <c r="I2180" s="208"/>
    </row>
    <row r="2181">
      <c r="B2181" s="168"/>
      <c r="D2181" s="76"/>
      <c r="E2181" s="208"/>
      <c r="F2181" s="168"/>
      <c r="G2181" s="209"/>
      <c r="H2181" s="168"/>
      <c r="I2181" s="208"/>
    </row>
    <row r="2182">
      <c r="B2182" s="168"/>
      <c r="D2182" s="76"/>
      <c r="E2182" s="208"/>
      <c r="F2182" s="168"/>
      <c r="G2182" s="209"/>
      <c r="H2182" s="168"/>
      <c r="I2182" s="208"/>
    </row>
    <row r="2183">
      <c r="B2183" s="168"/>
      <c r="D2183" s="76"/>
      <c r="E2183" s="208"/>
      <c r="F2183" s="168"/>
      <c r="G2183" s="209"/>
      <c r="H2183" s="168"/>
      <c r="I2183" s="208"/>
    </row>
    <row r="2184">
      <c r="B2184" s="168"/>
      <c r="D2184" s="76"/>
      <c r="E2184" s="208"/>
      <c r="F2184" s="168"/>
      <c r="G2184" s="209"/>
      <c r="H2184" s="168"/>
      <c r="I2184" s="208"/>
    </row>
    <row r="2185">
      <c r="B2185" s="168"/>
      <c r="D2185" s="76"/>
      <c r="E2185" s="208"/>
      <c r="F2185" s="168"/>
      <c r="G2185" s="209"/>
      <c r="H2185" s="168"/>
      <c r="I2185" s="208"/>
    </row>
    <row r="2186">
      <c r="B2186" s="168"/>
      <c r="D2186" s="76"/>
      <c r="E2186" s="208"/>
      <c r="F2186" s="168"/>
      <c r="G2186" s="209"/>
      <c r="H2186" s="168"/>
      <c r="I2186" s="208"/>
    </row>
    <row r="2187">
      <c r="B2187" s="168"/>
      <c r="D2187" s="76"/>
      <c r="E2187" s="208"/>
      <c r="F2187" s="168"/>
      <c r="G2187" s="209"/>
      <c r="H2187" s="168"/>
      <c r="I2187" s="208"/>
    </row>
    <row r="2188">
      <c r="B2188" s="168"/>
      <c r="D2188" s="76"/>
      <c r="E2188" s="208"/>
      <c r="F2188" s="168"/>
      <c r="G2188" s="209"/>
      <c r="H2188" s="168"/>
      <c r="I2188" s="208"/>
    </row>
    <row r="2189">
      <c r="B2189" s="168"/>
      <c r="D2189" s="76"/>
      <c r="E2189" s="208"/>
      <c r="F2189" s="168"/>
      <c r="G2189" s="209"/>
      <c r="H2189" s="168"/>
      <c r="I2189" s="208"/>
    </row>
    <row r="2190">
      <c r="B2190" s="168"/>
      <c r="D2190" s="76"/>
      <c r="E2190" s="208"/>
      <c r="F2190" s="168"/>
      <c r="G2190" s="209"/>
      <c r="H2190" s="168"/>
      <c r="I2190" s="208"/>
    </row>
    <row r="2191">
      <c r="B2191" s="168"/>
      <c r="D2191" s="76"/>
      <c r="E2191" s="208"/>
      <c r="F2191" s="168"/>
      <c r="G2191" s="209"/>
      <c r="H2191" s="168"/>
      <c r="I2191" s="208"/>
    </row>
    <row r="2192">
      <c r="B2192" s="168"/>
      <c r="D2192" s="76"/>
      <c r="E2192" s="208"/>
      <c r="F2192" s="168"/>
      <c r="G2192" s="209"/>
      <c r="H2192" s="168"/>
      <c r="I2192" s="208"/>
    </row>
    <row r="2193">
      <c r="B2193" s="168"/>
      <c r="D2193" s="76"/>
      <c r="E2193" s="208"/>
      <c r="F2193" s="168"/>
      <c r="G2193" s="209"/>
      <c r="H2193" s="168"/>
      <c r="I2193" s="208"/>
    </row>
    <row r="2194">
      <c r="B2194" s="168"/>
      <c r="D2194" s="76"/>
      <c r="E2194" s="208"/>
      <c r="F2194" s="168"/>
      <c r="G2194" s="209"/>
      <c r="H2194" s="168"/>
      <c r="I2194" s="208"/>
    </row>
    <row r="2195">
      <c r="B2195" s="168"/>
      <c r="D2195" s="76"/>
      <c r="E2195" s="208"/>
      <c r="F2195" s="168"/>
      <c r="G2195" s="209"/>
      <c r="H2195" s="168"/>
      <c r="I2195" s="208"/>
    </row>
    <row r="2196">
      <c r="B2196" s="168"/>
      <c r="D2196" s="76"/>
      <c r="E2196" s="208"/>
      <c r="F2196" s="168"/>
      <c r="G2196" s="209"/>
      <c r="H2196" s="168"/>
      <c r="I2196" s="208"/>
    </row>
    <row r="2197">
      <c r="B2197" s="168"/>
      <c r="D2197" s="76"/>
      <c r="E2197" s="208"/>
      <c r="F2197" s="168"/>
      <c r="G2197" s="209"/>
      <c r="H2197" s="168"/>
      <c r="I2197" s="208"/>
    </row>
    <row r="2198">
      <c r="B2198" s="168"/>
      <c r="D2198" s="76"/>
      <c r="E2198" s="208"/>
      <c r="F2198" s="168"/>
      <c r="G2198" s="209"/>
      <c r="H2198" s="168"/>
      <c r="I2198" s="208"/>
    </row>
    <row r="2199">
      <c r="B2199" s="168"/>
      <c r="D2199" s="76"/>
      <c r="E2199" s="208"/>
      <c r="F2199" s="168"/>
      <c r="G2199" s="209"/>
      <c r="H2199" s="168"/>
      <c r="I2199" s="208"/>
    </row>
    <row r="2200">
      <c r="B2200" s="168"/>
      <c r="D2200" s="76"/>
      <c r="E2200" s="208"/>
      <c r="F2200" s="168"/>
      <c r="G2200" s="209"/>
      <c r="H2200" s="168"/>
      <c r="I2200" s="208"/>
    </row>
    <row r="2201">
      <c r="B2201" s="168"/>
      <c r="D2201" s="76"/>
      <c r="E2201" s="208"/>
      <c r="F2201" s="168"/>
      <c r="G2201" s="209"/>
      <c r="H2201" s="168"/>
      <c r="I2201" s="208"/>
    </row>
    <row r="2202">
      <c r="B2202" s="168"/>
      <c r="D2202" s="76"/>
      <c r="E2202" s="208"/>
      <c r="F2202" s="168"/>
      <c r="G2202" s="209"/>
      <c r="H2202" s="168"/>
      <c r="I2202" s="208"/>
    </row>
    <row r="2203">
      <c r="B2203" s="168"/>
      <c r="D2203" s="76"/>
      <c r="E2203" s="208"/>
      <c r="F2203" s="168"/>
      <c r="G2203" s="209"/>
      <c r="H2203" s="168"/>
      <c r="I2203" s="208"/>
    </row>
    <row r="2204">
      <c r="B2204" s="168"/>
      <c r="D2204" s="76"/>
      <c r="E2204" s="208"/>
      <c r="F2204" s="168"/>
      <c r="G2204" s="209"/>
      <c r="H2204" s="168"/>
      <c r="I2204" s="208"/>
    </row>
    <row r="2205">
      <c r="B2205" s="168"/>
      <c r="D2205" s="76"/>
      <c r="E2205" s="208"/>
      <c r="F2205" s="168"/>
      <c r="G2205" s="209"/>
      <c r="H2205" s="168"/>
      <c r="I2205" s="208"/>
    </row>
    <row r="2206">
      <c r="B2206" s="168"/>
      <c r="D2206" s="76"/>
      <c r="E2206" s="208"/>
      <c r="F2206" s="168"/>
      <c r="G2206" s="209"/>
      <c r="H2206" s="168"/>
      <c r="I2206" s="208"/>
    </row>
    <row r="2207">
      <c r="B2207" s="168"/>
      <c r="D2207" s="76"/>
      <c r="E2207" s="208"/>
      <c r="F2207" s="168"/>
      <c r="G2207" s="209"/>
      <c r="H2207" s="168"/>
      <c r="I2207" s="208"/>
    </row>
    <row r="2208">
      <c r="B2208" s="168"/>
      <c r="D2208" s="76"/>
      <c r="E2208" s="208"/>
      <c r="F2208" s="168"/>
      <c r="G2208" s="209"/>
      <c r="H2208" s="168"/>
      <c r="I2208" s="208"/>
    </row>
    <row r="2209">
      <c r="B2209" s="168"/>
      <c r="D2209" s="76"/>
      <c r="E2209" s="208"/>
      <c r="F2209" s="168"/>
      <c r="G2209" s="209"/>
      <c r="H2209" s="168"/>
      <c r="I2209" s="208"/>
    </row>
    <row r="2210">
      <c r="B2210" s="168"/>
      <c r="D2210" s="76"/>
      <c r="E2210" s="208"/>
      <c r="F2210" s="168"/>
      <c r="G2210" s="209"/>
      <c r="H2210" s="168"/>
      <c r="I2210" s="208"/>
    </row>
    <row r="2211">
      <c r="B2211" s="168"/>
      <c r="D2211" s="76"/>
      <c r="E2211" s="208"/>
      <c r="F2211" s="168"/>
      <c r="G2211" s="209"/>
      <c r="H2211" s="168"/>
      <c r="I2211" s="208"/>
    </row>
    <row r="2212">
      <c r="B2212" s="168"/>
      <c r="D2212" s="76"/>
      <c r="E2212" s="208"/>
      <c r="F2212" s="168"/>
      <c r="G2212" s="209"/>
      <c r="H2212" s="168"/>
      <c r="I2212" s="208"/>
    </row>
    <row r="2213">
      <c r="B2213" s="168"/>
      <c r="D2213" s="76"/>
      <c r="E2213" s="208"/>
      <c r="F2213" s="168"/>
      <c r="G2213" s="209"/>
      <c r="H2213" s="168"/>
      <c r="I2213" s="208"/>
    </row>
    <row r="2214">
      <c r="B2214" s="168"/>
      <c r="D2214" s="76"/>
      <c r="E2214" s="208"/>
      <c r="F2214" s="168"/>
      <c r="G2214" s="209"/>
      <c r="H2214" s="168"/>
      <c r="I2214" s="208"/>
    </row>
    <row r="2215">
      <c r="B2215" s="168"/>
      <c r="D2215" s="76"/>
      <c r="E2215" s="208"/>
      <c r="F2215" s="168"/>
      <c r="G2215" s="209"/>
      <c r="H2215" s="168"/>
      <c r="I2215" s="208"/>
    </row>
    <row r="2216">
      <c r="B2216" s="168"/>
      <c r="D2216" s="76"/>
      <c r="E2216" s="208"/>
      <c r="F2216" s="168"/>
      <c r="G2216" s="209"/>
      <c r="H2216" s="168"/>
      <c r="I2216" s="208"/>
    </row>
    <row r="2217">
      <c r="B2217" s="168"/>
      <c r="D2217" s="76"/>
      <c r="E2217" s="208"/>
      <c r="F2217" s="168"/>
      <c r="G2217" s="209"/>
      <c r="H2217" s="168"/>
      <c r="I2217" s="208"/>
    </row>
    <row r="2218">
      <c r="B2218" s="168"/>
      <c r="D2218" s="76"/>
      <c r="E2218" s="208"/>
      <c r="F2218" s="168"/>
      <c r="G2218" s="209"/>
      <c r="H2218" s="168"/>
      <c r="I2218" s="208"/>
    </row>
    <row r="2219">
      <c r="B2219" s="168"/>
      <c r="D2219" s="76"/>
      <c r="E2219" s="208"/>
      <c r="F2219" s="168"/>
      <c r="G2219" s="209"/>
      <c r="H2219" s="168"/>
      <c r="I2219" s="208"/>
    </row>
    <row r="2220">
      <c r="B2220" s="168"/>
      <c r="D2220" s="76"/>
      <c r="E2220" s="208"/>
      <c r="F2220" s="168"/>
      <c r="G2220" s="209"/>
      <c r="H2220" s="168"/>
      <c r="I2220" s="208"/>
    </row>
    <row r="2221">
      <c r="B2221" s="168"/>
      <c r="D2221" s="76"/>
      <c r="E2221" s="208"/>
      <c r="F2221" s="168"/>
      <c r="G2221" s="209"/>
      <c r="H2221" s="168"/>
      <c r="I2221" s="208"/>
    </row>
    <row r="2222">
      <c r="B2222" s="168"/>
      <c r="D2222" s="76"/>
      <c r="E2222" s="208"/>
      <c r="F2222" s="168"/>
      <c r="G2222" s="209"/>
      <c r="H2222" s="168"/>
      <c r="I2222" s="208"/>
    </row>
    <row r="2223">
      <c r="B2223" s="168"/>
      <c r="D2223" s="76"/>
      <c r="E2223" s="208"/>
      <c r="F2223" s="168"/>
      <c r="G2223" s="209"/>
      <c r="H2223" s="168"/>
      <c r="I2223" s="208"/>
    </row>
    <row r="2224">
      <c r="B2224" s="168"/>
      <c r="D2224" s="76"/>
      <c r="E2224" s="208"/>
      <c r="F2224" s="168"/>
      <c r="G2224" s="209"/>
      <c r="H2224" s="168"/>
      <c r="I2224" s="208"/>
    </row>
    <row r="2225">
      <c r="B2225" s="168"/>
      <c r="D2225" s="76"/>
      <c r="E2225" s="208"/>
      <c r="F2225" s="168"/>
      <c r="G2225" s="209"/>
      <c r="H2225" s="168"/>
      <c r="I2225" s="208"/>
    </row>
    <row r="2226">
      <c r="B2226" s="168"/>
      <c r="D2226" s="76"/>
      <c r="E2226" s="208"/>
      <c r="F2226" s="168"/>
      <c r="G2226" s="209"/>
      <c r="H2226" s="168"/>
      <c r="I2226" s="208"/>
    </row>
    <row r="2227">
      <c r="B2227" s="168"/>
      <c r="D2227" s="76"/>
      <c r="E2227" s="208"/>
      <c r="F2227" s="168"/>
      <c r="G2227" s="209"/>
      <c r="H2227" s="168"/>
      <c r="I2227" s="208"/>
    </row>
    <row r="2228">
      <c r="B2228" s="168"/>
      <c r="D2228" s="76"/>
      <c r="E2228" s="208"/>
      <c r="F2228" s="168"/>
      <c r="G2228" s="209"/>
      <c r="H2228" s="168"/>
      <c r="I2228" s="208"/>
    </row>
    <row r="2229">
      <c r="B2229" s="168"/>
      <c r="D2229" s="76"/>
      <c r="E2229" s="208"/>
      <c r="F2229" s="168"/>
      <c r="G2229" s="209"/>
      <c r="H2229" s="168"/>
      <c r="I2229" s="208"/>
    </row>
    <row r="2230">
      <c r="B2230" s="168"/>
      <c r="D2230" s="76"/>
      <c r="E2230" s="208"/>
      <c r="F2230" s="168"/>
      <c r="G2230" s="209"/>
      <c r="H2230" s="168"/>
      <c r="I2230" s="208"/>
    </row>
    <row r="2231">
      <c r="B2231" s="168"/>
      <c r="D2231" s="76"/>
      <c r="E2231" s="208"/>
      <c r="F2231" s="168"/>
      <c r="G2231" s="209"/>
      <c r="H2231" s="168"/>
      <c r="I2231" s="208"/>
    </row>
    <row r="2232">
      <c r="B2232" s="168"/>
      <c r="D2232" s="76"/>
      <c r="E2232" s="208"/>
      <c r="F2232" s="168"/>
      <c r="G2232" s="209"/>
      <c r="H2232" s="168"/>
      <c r="I2232" s="208"/>
    </row>
    <row r="2233">
      <c r="B2233" s="168"/>
      <c r="D2233" s="76"/>
      <c r="E2233" s="208"/>
      <c r="F2233" s="168"/>
      <c r="G2233" s="209"/>
      <c r="H2233" s="168"/>
      <c r="I2233" s="208"/>
    </row>
    <row r="2234">
      <c r="B2234" s="168"/>
      <c r="D2234" s="76"/>
      <c r="E2234" s="208"/>
      <c r="F2234" s="168"/>
      <c r="G2234" s="209"/>
      <c r="H2234" s="168"/>
      <c r="I2234" s="208"/>
    </row>
    <row r="2235">
      <c r="B2235" s="168"/>
      <c r="D2235" s="76"/>
      <c r="E2235" s="208"/>
      <c r="F2235" s="168"/>
      <c r="G2235" s="209"/>
      <c r="H2235" s="168"/>
      <c r="I2235" s="208"/>
    </row>
    <row r="2236">
      <c r="B2236" s="168"/>
      <c r="D2236" s="76"/>
      <c r="E2236" s="208"/>
      <c r="F2236" s="168"/>
      <c r="G2236" s="209"/>
      <c r="H2236" s="168"/>
      <c r="I2236" s="208"/>
    </row>
    <row r="2237">
      <c r="B2237" s="168"/>
      <c r="D2237" s="76"/>
      <c r="E2237" s="208"/>
      <c r="F2237" s="168"/>
      <c r="G2237" s="209"/>
      <c r="H2237" s="168"/>
      <c r="I2237" s="208"/>
    </row>
    <row r="2238">
      <c r="B2238" s="168"/>
      <c r="D2238" s="76"/>
      <c r="E2238" s="208"/>
      <c r="F2238" s="168"/>
      <c r="G2238" s="209"/>
      <c r="H2238" s="168"/>
      <c r="I2238" s="208"/>
    </row>
    <row r="2239">
      <c r="B2239" s="168"/>
      <c r="D2239" s="76"/>
      <c r="E2239" s="208"/>
      <c r="F2239" s="168"/>
      <c r="G2239" s="209"/>
      <c r="H2239" s="168"/>
      <c r="I2239" s="208"/>
    </row>
    <row r="2240">
      <c r="B2240" s="168"/>
      <c r="D2240" s="76"/>
      <c r="E2240" s="208"/>
      <c r="F2240" s="168"/>
      <c r="G2240" s="209"/>
      <c r="H2240" s="168"/>
      <c r="I2240" s="208"/>
    </row>
    <row r="2241">
      <c r="B2241" s="168"/>
      <c r="D2241" s="76"/>
      <c r="E2241" s="208"/>
      <c r="F2241" s="168"/>
      <c r="G2241" s="209"/>
      <c r="H2241" s="168"/>
      <c r="I2241" s="208"/>
    </row>
    <row r="2242">
      <c r="B2242" s="168"/>
      <c r="D2242" s="76"/>
      <c r="E2242" s="208"/>
      <c r="F2242" s="168"/>
      <c r="G2242" s="209"/>
      <c r="H2242" s="168"/>
      <c r="I2242" s="208"/>
    </row>
    <row r="2243">
      <c r="B2243" s="168"/>
      <c r="D2243" s="76"/>
      <c r="E2243" s="208"/>
      <c r="F2243" s="168"/>
      <c r="G2243" s="209"/>
      <c r="H2243" s="168"/>
      <c r="I2243" s="208"/>
    </row>
    <row r="2244">
      <c r="B2244" s="168"/>
      <c r="D2244" s="76"/>
      <c r="E2244" s="208"/>
      <c r="F2244" s="168"/>
      <c r="G2244" s="209"/>
      <c r="H2244" s="168"/>
      <c r="I2244" s="208"/>
    </row>
    <row r="2245">
      <c r="B2245" s="168"/>
      <c r="D2245" s="76"/>
      <c r="E2245" s="208"/>
      <c r="F2245" s="168"/>
      <c r="G2245" s="209"/>
      <c r="H2245" s="168"/>
      <c r="I2245" s="208"/>
    </row>
    <row r="2246">
      <c r="B2246" s="168"/>
      <c r="D2246" s="76"/>
      <c r="E2246" s="208"/>
      <c r="F2246" s="168"/>
      <c r="G2246" s="209"/>
      <c r="H2246" s="168"/>
      <c r="I2246" s="208"/>
    </row>
    <row r="2247">
      <c r="B2247" s="168"/>
      <c r="D2247" s="76"/>
      <c r="E2247" s="208"/>
      <c r="F2247" s="168"/>
      <c r="G2247" s="209"/>
      <c r="H2247" s="168"/>
      <c r="I2247" s="208"/>
    </row>
    <row r="2248">
      <c r="B2248" s="168"/>
      <c r="D2248" s="76"/>
      <c r="E2248" s="208"/>
      <c r="F2248" s="168"/>
      <c r="G2248" s="209"/>
      <c r="H2248" s="168"/>
      <c r="I2248" s="208"/>
    </row>
    <row r="2249">
      <c r="B2249" s="168"/>
      <c r="D2249" s="76"/>
      <c r="E2249" s="208"/>
      <c r="F2249" s="168"/>
      <c r="G2249" s="209"/>
      <c r="H2249" s="168"/>
      <c r="I2249" s="208"/>
    </row>
    <row r="2250">
      <c r="B2250" s="168"/>
      <c r="D2250" s="76"/>
      <c r="E2250" s="208"/>
      <c r="F2250" s="168"/>
      <c r="G2250" s="209"/>
      <c r="H2250" s="168"/>
      <c r="I2250" s="208"/>
    </row>
    <row r="2251">
      <c r="B2251" s="168"/>
      <c r="D2251" s="76"/>
      <c r="E2251" s="208"/>
      <c r="F2251" s="168"/>
      <c r="G2251" s="209"/>
      <c r="H2251" s="168"/>
      <c r="I2251" s="208"/>
    </row>
    <row r="2252">
      <c r="B2252" s="168"/>
      <c r="D2252" s="76"/>
      <c r="E2252" s="208"/>
      <c r="F2252" s="168"/>
      <c r="G2252" s="209"/>
      <c r="H2252" s="168"/>
      <c r="I2252" s="208"/>
    </row>
    <row r="2253">
      <c r="B2253" s="168"/>
      <c r="D2253" s="76"/>
      <c r="E2253" s="208"/>
      <c r="F2253" s="168"/>
      <c r="G2253" s="209"/>
      <c r="H2253" s="168"/>
      <c r="I2253" s="208"/>
    </row>
    <row r="2254">
      <c r="B2254" s="168"/>
      <c r="D2254" s="76"/>
      <c r="E2254" s="208"/>
      <c r="F2254" s="168"/>
      <c r="G2254" s="209"/>
      <c r="H2254" s="168"/>
      <c r="I2254" s="208"/>
    </row>
    <row r="2255">
      <c r="B2255" s="168"/>
      <c r="D2255" s="76"/>
      <c r="E2255" s="208"/>
      <c r="F2255" s="168"/>
      <c r="G2255" s="209"/>
      <c r="H2255" s="168"/>
      <c r="I2255" s="208"/>
    </row>
    <row r="2256">
      <c r="B2256" s="168"/>
      <c r="D2256" s="76"/>
      <c r="E2256" s="208"/>
      <c r="F2256" s="168"/>
      <c r="G2256" s="209"/>
      <c r="H2256" s="168"/>
      <c r="I2256" s="208"/>
    </row>
    <row r="2257">
      <c r="B2257" s="168"/>
      <c r="D2257" s="76"/>
      <c r="E2257" s="208"/>
      <c r="F2257" s="168"/>
      <c r="G2257" s="209"/>
      <c r="H2257" s="168"/>
      <c r="I2257" s="208"/>
    </row>
    <row r="2258">
      <c r="B2258" s="168"/>
      <c r="D2258" s="76"/>
      <c r="E2258" s="208"/>
      <c r="F2258" s="168"/>
      <c r="G2258" s="209"/>
      <c r="H2258" s="168"/>
      <c r="I2258" s="208"/>
    </row>
    <row r="2259">
      <c r="B2259" s="168"/>
      <c r="D2259" s="76"/>
      <c r="E2259" s="208"/>
      <c r="F2259" s="168"/>
      <c r="G2259" s="209"/>
      <c r="H2259" s="168"/>
      <c r="I2259" s="208"/>
    </row>
    <row r="2260">
      <c r="B2260" s="168"/>
      <c r="D2260" s="76"/>
      <c r="E2260" s="208"/>
      <c r="F2260" s="168"/>
      <c r="G2260" s="209"/>
      <c r="H2260" s="168"/>
      <c r="I2260" s="208"/>
    </row>
    <row r="2261">
      <c r="B2261" s="168"/>
      <c r="D2261" s="76"/>
      <c r="E2261" s="208"/>
      <c r="F2261" s="168"/>
      <c r="G2261" s="209"/>
      <c r="H2261" s="168"/>
      <c r="I2261" s="208"/>
    </row>
    <row r="2262">
      <c r="B2262" s="168"/>
      <c r="D2262" s="76"/>
      <c r="E2262" s="208"/>
      <c r="F2262" s="168"/>
      <c r="G2262" s="209"/>
      <c r="H2262" s="168"/>
      <c r="I2262" s="208"/>
    </row>
    <row r="2263">
      <c r="B2263" s="168"/>
      <c r="D2263" s="76"/>
      <c r="E2263" s="208"/>
      <c r="F2263" s="168"/>
      <c r="G2263" s="209"/>
      <c r="H2263" s="168"/>
      <c r="I2263" s="208"/>
    </row>
    <row r="2264">
      <c r="B2264" s="168"/>
      <c r="D2264" s="76"/>
      <c r="E2264" s="208"/>
      <c r="F2264" s="168"/>
      <c r="G2264" s="209"/>
      <c r="H2264" s="168"/>
      <c r="I2264" s="208"/>
    </row>
    <row r="2265">
      <c r="B2265" s="168"/>
      <c r="D2265" s="76"/>
      <c r="E2265" s="208"/>
      <c r="F2265" s="168"/>
      <c r="G2265" s="209"/>
      <c r="H2265" s="168"/>
      <c r="I2265" s="208"/>
    </row>
    <row r="2266">
      <c r="B2266" s="168"/>
      <c r="D2266" s="76"/>
      <c r="E2266" s="208"/>
      <c r="F2266" s="168"/>
      <c r="G2266" s="209"/>
      <c r="H2266" s="168"/>
      <c r="I2266" s="208"/>
    </row>
    <row r="2267">
      <c r="B2267" s="168"/>
      <c r="D2267" s="76"/>
      <c r="E2267" s="208"/>
      <c r="F2267" s="168"/>
      <c r="G2267" s="209"/>
      <c r="H2267" s="168"/>
      <c r="I2267" s="208"/>
    </row>
    <row r="2268">
      <c r="B2268" s="168"/>
      <c r="D2268" s="76"/>
      <c r="E2268" s="208"/>
      <c r="F2268" s="168"/>
      <c r="G2268" s="209"/>
      <c r="H2268" s="168"/>
      <c r="I2268" s="208"/>
    </row>
    <row r="2269">
      <c r="B2269" s="168"/>
      <c r="D2269" s="76"/>
      <c r="E2269" s="208"/>
      <c r="F2269" s="168"/>
      <c r="G2269" s="209"/>
      <c r="H2269" s="168"/>
      <c r="I2269" s="208"/>
    </row>
    <row r="2270">
      <c r="B2270" s="168"/>
      <c r="D2270" s="76"/>
      <c r="E2270" s="208"/>
      <c r="F2270" s="168"/>
      <c r="G2270" s="209"/>
      <c r="H2270" s="168"/>
      <c r="I2270" s="208"/>
    </row>
    <row r="2271">
      <c r="B2271" s="168"/>
      <c r="D2271" s="76"/>
      <c r="E2271" s="208"/>
      <c r="F2271" s="168"/>
      <c r="G2271" s="209"/>
      <c r="H2271" s="168"/>
      <c r="I2271" s="208"/>
    </row>
    <row r="2272">
      <c r="B2272" s="168"/>
      <c r="D2272" s="76"/>
      <c r="E2272" s="208"/>
      <c r="F2272" s="168"/>
      <c r="G2272" s="209"/>
      <c r="H2272" s="168"/>
      <c r="I2272" s="208"/>
    </row>
    <row r="2273">
      <c r="B2273" s="168"/>
      <c r="D2273" s="76"/>
      <c r="E2273" s="208"/>
      <c r="F2273" s="168"/>
      <c r="G2273" s="209"/>
      <c r="H2273" s="168"/>
      <c r="I2273" s="208"/>
    </row>
    <row r="2274">
      <c r="B2274" s="168"/>
      <c r="D2274" s="76"/>
      <c r="E2274" s="208"/>
      <c r="F2274" s="168"/>
      <c r="G2274" s="209"/>
      <c r="H2274" s="168"/>
      <c r="I2274" s="208"/>
    </row>
    <row r="2275">
      <c r="B2275" s="168"/>
      <c r="D2275" s="76"/>
      <c r="E2275" s="208"/>
      <c r="F2275" s="168"/>
      <c r="G2275" s="209"/>
      <c r="H2275" s="168"/>
      <c r="I2275" s="208"/>
    </row>
    <row r="2276">
      <c r="B2276" s="168"/>
      <c r="D2276" s="76"/>
      <c r="E2276" s="208"/>
      <c r="F2276" s="168"/>
      <c r="G2276" s="209"/>
      <c r="H2276" s="168"/>
      <c r="I2276" s="208"/>
    </row>
    <row r="2277">
      <c r="B2277" s="168"/>
      <c r="D2277" s="76"/>
      <c r="E2277" s="208"/>
      <c r="F2277" s="168"/>
      <c r="G2277" s="209"/>
      <c r="H2277" s="168"/>
      <c r="I2277" s="208"/>
    </row>
    <row r="2278">
      <c r="B2278" s="168"/>
      <c r="D2278" s="76"/>
      <c r="E2278" s="208"/>
      <c r="F2278" s="168"/>
      <c r="G2278" s="209"/>
      <c r="H2278" s="168"/>
      <c r="I2278" s="208"/>
    </row>
    <row r="2279">
      <c r="B2279" s="168"/>
      <c r="D2279" s="76"/>
      <c r="E2279" s="208"/>
      <c r="F2279" s="168"/>
      <c r="G2279" s="209"/>
      <c r="H2279" s="168"/>
      <c r="I2279" s="208"/>
    </row>
    <row r="2280">
      <c r="B2280" s="168"/>
      <c r="D2280" s="76"/>
      <c r="E2280" s="208"/>
      <c r="F2280" s="168"/>
      <c r="G2280" s="209"/>
      <c r="H2280" s="168"/>
      <c r="I2280" s="208"/>
    </row>
    <row r="2281">
      <c r="B2281" s="168"/>
      <c r="D2281" s="76"/>
      <c r="E2281" s="208"/>
      <c r="F2281" s="168"/>
      <c r="G2281" s="209"/>
      <c r="H2281" s="168"/>
      <c r="I2281" s="208"/>
    </row>
    <row r="2282">
      <c r="B2282" s="168"/>
      <c r="D2282" s="76"/>
      <c r="E2282" s="208"/>
      <c r="F2282" s="168"/>
      <c r="G2282" s="209"/>
      <c r="H2282" s="168"/>
      <c r="I2282" s="208"/>
    </row>
    <row r="2283">
      <c r="B2283" s="168"/>
      <c r="D2283" s="76"/>
      <c r="E2283" s="208"/>
      <c r="F2283" s="168"/>
      <c r="G2283" s="209"/>
      <c r="H2283" s="168"/>
      <c r="I2283" s="208"/>
    </row>
    <row r="2284">
      <c r="B2284" s="168"/>
      <c r="D2284" s="76"/>
      <c r="E2284" s="208"/>
      <c r="F2284" s="168"/>
      <c r="G2284" s="209"/>
      <c r="H2284" s="168"/>
      <c r="I2284" s="208"/>
    </row>
    <row r="2285">
      <c r="B2285" s="168"/>
      <c r="D2285" s="76"/>
      <c r="E2285" s="208"/>
      <c r="F2285" s="168"/>
      <c r="G2285" s="209"/>
      <c r="H2285" s="168"/>
      <c r="I2285" s="208"/>
    </row>
    <row r="2286">
      <c r="B2286" s="168"/>
      <c r="D2286" s="76"/>
      <c r="E2286" s="208"/>
      <c r="F2286" s="168"/>
      <c r="G2286" s="209"/>
      <c r="H2286" s="168"/>
      <c r="I2286" s="208"/>
    </row>
    <row r="2287">
      <c r="B2287" s="168"/>
      <c r="D2287" s="76"/>
      <c r="E2287" s="208"/>
      <c r="F2287" s="168"/>
      <c r="G2287" s="209"/>
      <c r="H2287" s="168"/>
      <c r="I2287" s="208"/>
    </row>
    <row r="2288">
      <c r="B2288" s="168"/>
      <c r="D2288" s="76"/>
      <c r="E2288" s="208"/>
      <c r="F2288" s="168"/>
      <c r="G2288" s="209"/>
      <c r="H2288" s="168"/>
      <c r="I2288" s="208"/>
    </row>
    <row r="2289">
      <c r="B2289" s="168"/>
      <c r="D2289" s="76"/>
      <c r="E2289" s="208"/>
      <c r="F2289" s="168"/>
      <c r="G2289" s="209"/>
      <c r="H2289" s="168"/>
      <c r="I2289" s="208"/>
    </row>
    <row r="2290">
      <c r="B2290" s="168"/>
      <c r="D2290" s="76"/>
      <c r="E2290" s="208"/>
      <c r="F2290" s="168"/>
      <c r="G2290" s="209"/>
      <c r="H2290" s="168"/>
      <c r="I2290" s="208"/>
    </row>
    <row r="2291">
      <c r="B2291" s="168"/>
      <c r="D2291" s="76"/>
      <c r="E2291" s="208"/>
      <c r="F2291" s="168"/>
      <c r="G2291" s="209"/>
      <c r="H2291" s="168"/>
      <c r="I2291" s="208"/>
    </row>
    <row r="2292">
      <c r="B2292" s="168"/>
      <c r="D2292" s="76"/>
      <c r="E2292" s="208"/>
      <c r="F2292" s="168"/>
      <c r="G2292" s="209"/>
      <c r="H2292" s="168"/>
      <c r="I2292" s="208"/>
    </row>
    <row r="2293">
      <c r="B2293" s="168"/>
      <c r="D2293" s="76"/>
      <c r="E2293" s="208"/>
      <c r="F2293" s="168"/>
      <c r="G2293" s="209"/>
      <c r="H2293" s="168"/>
      <c r="I2293" s="208"/>
    </row>
    <row r="2294">
      <c r="B2294" s="168"/>
      <c r="D2294" s="76"/>
      <c r="E2294" s="208"/>
      <c r="F2294" s="168"/>
      <c r="G2294" s="209"/>
      <c r="H2294" s="168"/>
      <c r="I2294" s="208"/>
    </row>
    <row r="2295">
      <c r="B2295" s="168"/>
      <c r="D2295" s="76"/>
      <c r="E2295" s="208"/>
      <c r="F2295" s="168"/>
      <c r="G2295" s="209"/>
      <c r="H2295" s="168"/>
      <c r="I2295" s="208"/>
    </row>
    <row r="2296">
      <c r="B2296" s="168"/>
      <c r="D2296" s="76"/>
      <c r="E2296" s="208"/>
      <c r="F2296" s="168"/>
      <c r="G2296" s="209"/>
      <c r="H2296" s="168"/>
      <c r="I2296" s="208"/>
    </row>
    <row r="2297">
      <c r="B2297" s="168"/>
      <c r="D2297" s="76"/>
      <c r="E2297" s="208"/>
      <c r="F2297" s="168"/>
      <c r="G2297" s="209"/>
      <c r="H2297" s="168"/>
      <c r="I2297" s="208"/>
    </row>
    <row r="2298">
      <c r="B2298" s="168"/>
      <c r="D2298" s="76"/>
      <c r="E2298" s="208"/>
      <c r="F2298" s="168"/>
      <c r="G2298" s="209"/>
      <c r="H2298" s="168"/>
      <c r="I2298" s="208"/>
    </row>
    <row r="2299">
      <c r="B2299" s="168"/>
      <c r="D2299" s="76"/>
      <c r="E2299" s="208"/>
      <c r="F2299" s="168"/>
      <c r="G2299" s="209"/>
      <c r="H2299" s="168"/>
      <c r="I2299" s="208"/>
    </row>
    <row r="2300">
      <c r="B2300" s="168"/>
      <c r="D2300" s="76"/>
      <c r="E2300" s="208"/>
      <c r="F2300" s="168"/>
      <c r="G2300" s="209"/>
      <c r="H2300" s="168"/>
      <c r="I2300" s="208"/>
    </row>
    <row r="2301">
      <c r="B2301" s="168"/>
      <c r="D2301" s="76"/>
      <c r="E2301" s="208"/>
      <c r="F2301" s="168"/>
      <c r="G2301" s="209"/>
      <c r="H2301" s="168"/>
      <c r="I2301" s="208"/>
    </row>
    <row r="2302">
      <c r="B2302" s="168"/>
      <c r="D2302" s="76"/>
      <c r="E2302" s="208"/>
      <c r="F2302" s="168"/>
      <c r="G2302" s="209"/>
      <c r="H2302" s="168"/>
      <c r="I2302" s="208"/>
    </row>
    <row r="2303">
      <c r="B2303" s="168"/>
      <c r="D2303" s="76"/>
      <c r="E2303" s="208"/>
      <c r="F2303" s="168"/>
      <c r="G2303" s="209"/>
      <c r="H2303" s="168"/>
      <c r="I2303" s="208"/>
    </row>
    <row r="2304">
      <c r="B2304" s="168"/>
      <c r="D2304" s="76"/>
      <c r="E2304" s="208"/>
      <c r="F2304" s="168"/>
      <c r="G2304" s="209"/>
      <c r="H2304" s="168"/>
      <c r="I2304" s="208"/>
    </row>
    <row r="2305">
      <c r="B2305" s="168"/>
      <c r="D2305" s="76"/>
      <c r="E2305" s="208"/>
      <c r="F2305" s="168"/>
      <c r="G2305" s="209"/>
      <c r="H2305" s="168"/>
      <c r="I2305" s="208"/>
    </row>
    <row r="2306">
      <c r="B2306" s="168"/>
      <c r="D2306" s="76"/>
      <c r="E2306" s="208"/>
      <c r="F2306" s="168"/>
      <c r="G2306" s="209"/>
      <c r="H2306" s="168"/>
      <c r="I2306" s="208"/>
    </row>
    <row r="2307">
      <c r="B2307" s="168"/>
      <c r="D2307" s="76"/>
      <c r="E2307" s="208"/>
      <c r="F2307" s="168"/>
      <c r="G2307" s="209"/>
      <c r="H2307" s="168"/>
      <c r="I2307" s="208"/>
    </row>
    <row r="2308">
      <c r="B2308" s="168"/>
      <c r="D2308" s="76"/>
      <c r="E2308" s="208"/>
      <c r="F2308" s="168"/>
      <c r="G2308" s="209"/>
      <c r="H2308" s="168"/>
      <c r="I2308" s="208"/>
    </row>
    <row r="2309">
      <c r="B2309" s="168"/>
      <c r="D2309" s="76"/>
      <c r="E2309" s="208"/>
      <c r="F2309" s="168"/>
      <c r="G2309" s="209"/>
      <c r="H2309" s="168"/>
      <c r="I2309" s="208"/>
    </row>
    <row r="2310">
      <c r="B2310" s="168"/>
      <c r="D2310" s="76"/>
      <c r="E2310" s="208"/>
      <c r="F2310" s="168"/>
      <c r="G2310" s="209"/>
      <c r="H2310" s="168"/>
      <c r="I2310" s="208"/>
    </row>
    <row r="2311">
      <c r="B2311" s="168"/>
      <c r="D2311" s="76"/>
      <c r="E2311" s="208"/>
      <c r="F2311" s="168"/>
      <c r="G2311" s="209"/>
      <c r="H2311" s="168"/>
      <c r="I2311" s="208"/>
    </row>
    <row r="2312">
      <c r="B2312" s="168"/>
      <c r="D2312" s="76"/>
      <c r="E2312" s="208"/>
      <c r="F2312" s="168"/>
      <c r="G2312" s="209"/>
      <c r="H2312" s="168"/>
      <c r="I2312" s="208"/>
    </row>
    <row r="2313">
      <c r="B2313" s="168"/>
      <c r="D2313" s="76"/>
      <c r="E2313" s="208"/>
      <c r="F2313" s="168"/>
      <c r="G2313" s="209"/>
      <c r="H2313" s="168"/>
      <c r="I2313" s="208"/>
    </row>
    <row r="2314">
      <c r="B2314" s="168"/>
      <c r="D2314" s="76"/>
      <c r="E2314" s="208"/>
      <c r="F2314" s="168"/>
      <c r="G2314" s="209"/>
      <c r="H2314" s="168"/>
      <c r="I2314" s="208"/>
    </row>
    <row r="2315">
      <c r="B2315" s="168"/>
      <c r="D2315" s="76"/>
      <c r="E2315" s="208"/>
      <c r="F2315" s="168"/>
      <c r="G2315" s="209"/>
      <c r="H2315" s="168"/>
      <c r="I2315" s="208"/>
    </row>
    <row r="2316">
      <c r="B2316" s="168"/>
      <c r="D2316" s="76"/>
      <c r="E2316" s="208"/>
      <c r="F2316" s="168"/>
      <c r="G2316" s="209"/>
      <c r="H2316" s="168"/>
      <c r="I2316" s="208"/>
    </row>
    <row r="2317">
      <c r="B2317" s="168"/>
      <c r="D2317" s="76"/>
      <c r="E2317" s="208"/>
      <c r="F2317" s="168"/>
      <c r="G2317" s="209"/>
      <c r="H2317" s="168"/>
      <c r="I2317" s="208"/>
    </row>
    <row r="2318">
      <c r="B2318" s="168"/>
      <c r="D2318" s="76"/>
      <c r="E2318" s="208"/>
      <c r="F2318" s="168"/>
      <c r="G2318" s="209"/>
      <c r="H2318" s="168"/>
      <c r="I2318" s="208"/>
    </row>
    <row r="2319">
      <c r="B2319" s="168"/>
      <c r="D2319" s="76"/>
      <c r="E2319" s="208"/>
      <c r="F2319" s="168"/>
      <c r="G2319" s="209"/>
      <c r="H2319" s="168"/>
      <c r="I2319" s="208"/>
    </row>
    <row r="2320">
      <c r="B2320" s="168"/>
      <c r="D2320" s="76"/>
      <c r="E2320" s="208"/>
      <c r="F2320" s="168"/>
      <c r="G2320" s="209"/>
      <c r="H2320" s="168"/>
      <c r="I2320" s="208"/>
    </row>
    <row r="2321">
      <c r="B2321" s="168"/>
      <c r="D2321" s="76"/>
      <c r="E2321" s="208"/>
      <c r="F2321" s="168"/>
      <c r="G2321" s="209"/>
      <c r="H2321" s="168"/>
      <c r="I2321" s="208"/>
    </row>
    <row r="2322">
      <c r="B2322" s="168"/>
      <c r="D2322" s="76"/>
      <c r="E2322" s="208"/>
      <c r="F2322" s="168"/>
      <c r="G2322" s="209"/>
      <c r="H2322" s="168"/>
      <c r="I2322" s="208"/>
    </row>
    <row r="2323">
      <c r="B2323" s="168"/>
      <c r="D2323" s="76"/>
      <c r="E2323" s="208"/>
      <c r="F2323" s="168"/>
      <c r="G2323" s="209"/>
      <c r="H2323" s="168"/>
      <c r="I2323" s="208"/>
    </row>
    <row r="2324">
      <c r="B2324" s="168"/>
      <c r="D2324" s="76"/>
      <c r="E2324" s="208"/>
      <c r="F2324" s="168"/>
      <c r="G2324" s="209"/>
      <c r="H2324" s="168"/>
      <c r="I2324" s="208"/>
    </row>
    <row r="2325">
      <c r="B2325" s="168"/>
      <c r="D2325" s="76"/>
      <c r="E2325" s="208"/>
      <c r="F2325" s="168"/>
      <c r="G2325" s="209"/>
      <c r="H2325" s="168"/>
      <c r="I2325" s="208"/>
    </row>
    <row r="2326">
      <c r="B2326" s="168"/>
      <c r="D2326" s="76"/>
      <c r="E2326" s="208"/>
      <c r="F2326" s="168"/>
      <c r="G2326" s="209"/>
      <c r="H2326" s="168"/>
      <c r="I2326" s="208"/>
    </row>
    <row r="2327">
      <c r="B2327" s="168"/>
      <c r="D2327" s="76"/>
      <c r="E2327" s="208"/>
      <c r="F2327" s="168"/>
      <c r="G2327" s="209"/>
      <c r="H2327" s="168"/>
      <c r="I2327" s="208"/>
    </row>
    <row r="2328">
      <c r="B2328" s="168"/>
      <c r="D2328" s="76"/>
      <c r="E2328" s="208"/>
      <c r="F2328" s="168"/>
      <c r="G2328" s="209"/>
      <c r="H2328" s="168"/>
      <c r="I2328" s="208"/>
    </row>
    <row r="2329">
      <c r="B2329" s="168"/>
      <c r="D2329" s="76"/>
      <c r="E2329" s="208"/>
      <c r="F2329" s="168"/>
      <c r="G2329" s="209"/>
      <c r="H2329" s="168"/>
      <c r="I2329" s="208"/>
    </row>
    <row r="2330">
      <c r="B2330" s="168"/>
      <c r="D2330" s="76"/>
      <c r="E2330" s="208"/>
      <c r="F2330" s="168"/>
      <c r="G2330" s="209"/>
      <c r="H2330" s="168"/>
      <c r="I2330" s="208"/>
    </row>
    <row r="2331">
      <c r="B2331" s="168"/>
      <c r="D2331" s="76"/>
      <c r="E2331" s="208"/>
      <c r="F2331" s="168"/>
      <c r="G2331" s="209"/>
      <c r="H2331" s="168"/>
      <c r="I2331" s="208"/>
    </row>
    <row r="2332">
      <c r="B2332" s="168"/>
      <c r="D2332" s="76"/>
      <c r="E2332" s="208"/>
      <c r="F2332" s="168"/>
      <c r="G2332" s="209"/>
      <c r="H2332" s="168"/>
      <c r="I2332" s="208"/>
    </row>
    <row r="2333">
      <c r="B2333" s="168"/>
      <c r="D2333" s="76"/>
      <c r="E2333" s="208"/>
      <c r="F2333" s="168"/>
      <c r="G2333" s="209"/>
      <c r="H2333" s="168"/>
      <c r="I2333" s="208"/>
    </row>
    <row r="2334">
      <c r="B2334" s="168"/>
      <c r="D2334" s="76"/>
      <c r="E2334" s="208"/>
      <c r="F2334" s="168"/>
      <c r="G2334" s="209"/>
      <c r="H2334" s="168"/>
      <c r="I2334" s="208"/>
    </row>
    <row r="2335">
      <c r="B2335" s="168"/>
      <c r="D2335" s="76"/>
      <c r="E2335" s="208"/>
      <c r="F2335" s="168"/>
      <c r="G2335" s="209"/>
      <c r="H2335" s="168"/>
      <c r="I2335" s="208"/>
    </row>
    <row r="2336">
      <c r="B2336" s="168"/>
      <c r="D2336" s="76"/>
      <c r="E2336" s="208"/>
      <c r="F2336" s="168"/>
      <c r="G2336" s="209"/>
      <c r="H2336" s="168"/>
      <c r="I2336" s="208"/>
    </row>
    <row r="2337">
      <c r="B2337" s="168"/>
      <c r="D2337" s="76"/>
      <c r="E2337" s="208"/>
      <c r="F2337" s="168"/>
      <c r="G2337" s="209"/>
      <c r="H2337" s="168"/>
      <c r="I2337" s="208"/>
    </row>
    <row r="2338">
      <c r="B2338" s="168"/>
      <c r="D2338" s="76"/>
      <c r="E2338" s="208"/>
      <c r="F2338" s="168"/>
      <c r="G2338" s="209"/>
      <c r="H2338" s="168"/>
      <c r="I2338" s="208"/>
    </row>
    <row r="2339">
      <c r="B2339" s="168"/>
      <c r="D2339" s="76"/>
      <c r="E2339" s="208"/>
      <c r="F2339" s="168"/>
      <c r="G2339" s="209"/>
      <c r="H2339" s="168"/>
      <c r="I2339" s="208"/>
    </row>
    <row r="2340">
      <c r="B2340" s="168"/>
      <c r="D2340" s="76"/>
      <c r="E2340" s="208"/>
      <c r="F2340" s="168"/>
      <c r="G2340" s="209"/>
      <c r="H2340" s="168"/>
      <c r="I2340" s="208"/>
    </row>
    <row r="2341">
      <c r="B2341" s="168"/>
      <c r="D2341" s="76"/>
      <c r="E2341" s="208"/>
      <c r="F2341" s="168"/>
      <c r="G2341" s="209"/>
      <c r="H2341" s="168"/>
      <c r="I2341" s="208"/>
    </row>
    <row r="2342">
      <c r="B2342" s="168"/>
      <c r="D2342" s="76"/>
      <c r="E2342" s="208"/>
      <c r="F2342" s="168"/>
      <c r="G2342" s="209"/>
      <c r="H2342" s="168"/>
      <c r="I2342" s="208"/>
    </row>
    <row r="2343">
      <c r="B2343" s="168"/>
      <c r="D2343" s="76"/>
      <c r="E2343" s="208"/>
      <c r="F2343" s="168"/>
      <c r="G2343" s="209"/>
      <c r="H2343" s="168"/>
      <c r="I2343" s="208"/>
    </row>
    <row r="2344">
      <c r="B2344" s="168"/>
      <c r="D2344" s="76"/>
      <c r="E2344" s="208"/>
      <c r="F2344" s="168"/>
      <c r="G2344" s="209"/>
      <c r="H2344" s="168"/>
      <c r="I2344" s="208"/>
    </row>
    <row r="2345">
      <c r="B2345" s="168"/>
      <c r="D2345" s="76"/>
      <c r="E2345" s="208"/>
      <c r="F2345" s="168"/>
      <c r="G2345" s="209"/>
      <c r="H2345" s="168"/>
      <c r="I2345" s="208"/>
    </row>
    <row r="2346">
      <c r="B2346" s="168"/>
      <c r="D2346" s="76"/>
      <c r="E2346" s="208"/>
      <c r="F2346" s="168"/>
      <c r="G2346" s="209"/>
      <c r="H2346" s="168"/>
      <c r="I2346" s="208"/>
    </row>
    <row r="2347">
      <c r="B2347" s="168"/>
      <c r="D2347" s="76"/>
      <c r="E2347" s="208"/>
      <c r="F2347" s="168"/>
      <c r="G2347" s="209"/>
      <c r="H2347" s="168"/>
      <c r="I2347" s="208"/>
    </row>
    <row r="2348">
      <c r="B2348" s="168"/>
      <c r="D2348" s="76"/>
      <c r="E2348" s="208"/>
      <c r="F2348" s="168"/>
      <c r="G2348" s="209"/>
      <c r="H2348" s="168"/>
      <c r="I2348" s="208"/>
    </row>
    <row r="2349">
      <c r="B2349" s="168"/>
      <c r="D2349" s="76"/>
      <c r="E2349" s="208"/>
      <c r="F2349" s="168"/>
      <c r="G2349" s="209"/>
      <c r="H2349" s="168"/>
      <c r="I2349" s="208"/>
    </row>
    <row r="2350">
      <c r="B2350" s="168"/>
      <c r="D2350" s="76"/>
      <c r="E2350" s="208"/>
      <c r="F2350" s="168"/>
      <c r="G2350" s="209"/>
      <c r="H2350" s="168"/>
      <c r="I2350" s="208"/>
    </row>
    <row r="2351">
      <c r="B2351" s="168"/>
      <c r="D2351" s="76"/>
      <c r="E2351" s="208"/>
      <c r="F2351" s="168"/>
      <c r="G2351" s="209"/>
      <c r="H2351" s="168"/>
      <c r="I2351" s="208"/>
    </row>
    <row r="2352">
      <c r="B2352" s="168"/>
      <c r="D2352" s="76"/>
      <c r="E2352" s="208"/>
      <c r="F2352" s="168"/>
      <c r="G2352" s="209"/>
      <c r="H2352" s="168"/>
      <c r="I2352" s="208"/>
    </row>
    <row r="2353">
      <c r="B2353" s="168"/>
      <c r="D2353" s="76"/>
      <c r="E2353" s="208"/>
      <c r="F2353" s="168"/>
      <c r="G2353" s="209"/>
      <c r="H2353" s="168"/>
      <c r="I2353" s="208"/>
    </row>
    <row r="2354">
      <c r="B2354" s="168"/>
      <c r="D2354" s="76"/>
      <c r="E2354" s="208"/>
      <c r="F2354" s="168"/>
      <c r="G2354" s="209"/>
      <c r="H2354" s="168"/>
      <c r="I2354" s="208"/>
    </row>
    <row r="2355">
      <c r="B2355" s="168"/>
      <c r="D2355" s="76"/>
      <c r="E2355" s="208"/>
      <c r="F2355" s="168"/>
      <c r="G2355" s="209"/>
      <c r="H2355" s="168"/>
      <c r="I2355" s="208"/>
    </row>
    <row r="2356">
      <c r="B2356" s="168"/>
      <c r="D2356" s="76"/>
      <c r="E2356" s="208"/>
      <c r="F2356" s="168"/>
      <c r="G2356" s="209"/>
      <c r="H2356" s="168"/>
      <c r="I2356" s="208"/>
    </row>
    <row r="2357">
      <c r="B2357" s="168"/>
      <c r="D2357" s="76"/>
      <c r="E2357" s="208"/>
      <c r="F2357" s="168"/>
      <c r="G2357" s="209"/>
      <c r="H2357" s="168"/>
      <c r="I2357" s="208"/>
    </row>
    <row r="2358">
      <c r="B2358" s="168"/>
      <c r="D2358" s="76"/>
      <c r="E2358" s="208"/>
      <c r="F2358" s="168"/>
      <c r="G2358" s="209"/>
      <c r="H2358" s="168"/>
      <c r="I2358" s="208"/>
    </row>
    <row r="2359">
      <c r="B2359" s="168"/>
      <c r="D2359" s="76"/>
      <c r="E2359" s="208"/>
      <c r="F2359" s="168"/>
      <c r="G2359" s="209"/>
      <c r="H2359" s="168"/>
      <c r="I2359" s="208"/>
    </row>
    <row r="2360">
      <c r="B2360" s="168"/>
      <c r="D2360" s="76"/>
      <c r="E2360" s="208"/>
      <c r="F2360" s="168"/>
      <c r="G2360" s="209"/>
      <c r="H2360" s="168"/>
      <c r="I2360" s="208"/>
    </row>
    <row r="2361">
      <c r="B2361" s="168"/>
      <c r="D2361" s="76"/>
      <c r="E2361" s="208"/>
      <c r="F2361" s="168"/>
      <c r="G2361" s="209"/>
      <c r="H2361" s="168"/>
      <c r="I2361" s="208"/>
    </row>
    <row r="2362">
      <c r="B2362" s="168"/>
      <c r="D2362" s="76"/>
      <c r="E2362" s="208"/>
      <c r="F2362" s="168"/>
      <c r="G2362" s="209"/>
      <c r="H2362" s="168"/>
      <c r="I2362" s="208"/>
    </row>
    <row r="2363">
      <c r="B2363" s="168"/>
      <c r="D2363" s="76"/>
      <c r="E2363" s="208"/>
      <c r="F2363" s="168"/>
      <c r="G2363" s="209"/>
      <c r="H2363" s="168"/>
      <c r="I2363" s="208"/>
    </row>
    <row r="2364">
      <c r="B2364" s="168"/>
      <c r="D2364" s="76"/>
      <c r="E2364" s="208"/>
      <c r="F2364" s="168"/>
      <c r="G2364" s="209"/>
      <c r="H2364" s="168"/>
      <c r="I2364" s="208"/>
    </row>
    <row r="2365">
      <c r="B2365" s="168"/>
      <c r="D2365" s="76"/>
      <c r="E2365" s="208"/>
      <c r="F2365" s="168"/>
      <c r="G2365" s="209"/>
      <c r="H2365" s="168"/>
      <c r="I2365" s="208"/>
    </row>
    <row r="2366">
      <c r="B2366" s="168"/>
      <c r="D2366" s="76"/>
      <c r="E2366" s="208"/>
      <c r="F2366" s="168"/>
      <c r="G2366" s="209"/>
      <c r="H2366" s="168"/>
      <c r="I2366" s="208"/>
    </row>
    <row r="2367">
      <c r="B2367" s="168"/>
      <c r="D2367" s="76"/>
      <c r="E2367" s="208"/>
      <c r="F2367" s="168"/>
      <c r="G2367" s="209"/>
      <c r="H2367" s="168"/>
      <c r="I2367" s="208"/>
    </row>
    <row r="2368">
      <c r="B2368" s="168"/>
      <c r="D2368" s="76"/>
      <c r="E2368" s="208"/>
      <c r="F2368" s="168"/>
      <c r="G2368" s="209"/>
      <c r="H2368" s="168"/>
      <c r="I2368" s="208"/>
    </row>
    <row r="2369">
      <c r="B2369" s="168"/>
      <c r="D2369" s="76"/>
      <c r="E2369" s="208"/>
      <c r="F2369" s="168"/>
      <c r="G2369" s="209"/>
      <c r="H2369" s="168"/>
      <c r="I2369" s="208"/>
    </row>
    <row r="2370">
      <c r="B2370" s="168"/>
      <c r="D2370" s="76"/>
      <c r="E2370" s="208"/>
      <c r="F2370" s="168"/>
      <c r="G2370" s="209"/>
      <c r="H2370" s="168"/>
      <c r="I2370" s="208"/>
    </row>
    <row r="2371">
      <c r="B2371" s="168"/>
      <c r="D2371" s="76"/>
      <c r="E2371" s="208"/>
      <c r="F2371" s="168"/>
      <c r="G2371" s="209"/>
      <c r="H2371" s="168"/>
      <c r="I2371" s="208"/>
    </row>
    <row r="2372">
      <c r="B2372" s="168"/>
      <c r="D2372" s="76"/>
      <c r="E2372" s="208"/>
      <c r="F2372" s="168"/>
      <c r="G2372" s="209"/>
      <c r="H2372" s="168"/>
      <c r="I2372" s="208"/>
    </row>
    <row r="2373">
      <c r="B2373" s="168"/>
      <c r="D2373" s="76"/>
      <c r="E2373" s="208"/>
      <c r="F2373" s="168"/>
      <c r="G2373" s="209"/>
      <c r="H2373" s="168"/>
      <c r="I2373" s="208"/>
    </row>
    <row r="2374">
      <c r="B2374" s="168"/>
      <c r="D2374" s="76"/>
      <c r="E2374" s="208"/>
      <c r="F2374" s="168"/>
      <c r="G2374" s="209"/>
      <c r="H2374" s="168"/>
      <c r="I2374" s="208"/>
    </row>
    <row r="2375">
      <c r="B2375" s="168"/>
      <c r="D2375" s="76"/>
      <c r="E2375" s="208"/>
      <c r="F2375" s="168"/>
      <c r="G2375" s="209"/>
      <c r="H2375" s="168"/>
      <c r="I2375" s="208"/>
    </row>
    <row r="2376">
      <c r="B2376" s="168"/>
      <c r="D2376" s="76"/>
      <c r="E2376" s="208"/>
      <c r="F2376" s="168"/>
      <c r="G2376" s="209"/>
      <c r="H2376" s="168"/>
      <c r="I2376" s="208"/>
    </row>
    <row r="2377">
      <c r="B2377" s="168"/>
      <c r="D2377" s="76"/>
      <c r="E2377" s="208"/>
      <c r="F2377" s="168"/>
      <c r="G2377" s="209"/>
      <c r="H2377" s="168"/>
      <c r="I2377" s="208"/>
    </row>
    <row r="2378">
      <c r="B2378" s="168"/>
      <c r="D2378" s="76"/>
      <c r="E2378" s="208"/>
      <c r="F2378" s="168"/>
      <c r="G2378" s="209"/>
      <c r="H2378" s="168"/>
      <c r="I2378" s="208"/>
    </row>
    <row r="2379">
      <c r="B2379" s="168"/>
      <c r="D2379" s="76"/>
      <c r="E2379" s="208"/>
      <c r="F2379" s="168"/>
      <c r="G2379" s="209"/>
      <c r="H2379" s="168"/>
      <c r="I2379" s="208"/>
    </row>
    <row r="2380">
      <c r="B2380" s="168"/>
      <c r="D2380" s="76"/>
      <c r="E2380" s="208"/>
      <c r="F2380" s="168"/>
      <c r="G2380" s="209"/>
      <c r="H2380" s="168"/>
      <c r="I2380" s="208"/>
    </row>
    <row r="2381">
      <c r="B2381" s="168"/>
      <c r="D2381" s="76"/>
      <c r="E2381" s="208"/>
      <c r="F2381" s="168"/>
      <c r="G2381" s="209"/>
      <c r="H2381" s="168"/>
      <c r="I2381" s="208"/>
    </row>
    <row r="2382">
      <c r="B2382" s="168"/>
      <c r="D2382" s="76"/>
      <c r="E2382" s="208"/>
      <c r="F2382" s="168"/>
      <c r="G2382" s="209"/>
      <c r="H2382" s="168"/>
      <c r="I2382" s="208"/>
    </row>
    <row r="2383">
      <c r="B2383" s="168"/>
      <c r="D2383" s="76"/>
      <c r="E2383" s="208"/>
      <c r="F2383" s="168"/>
      <c r="G2383" s="209"/>
      <c r="H2383" s="168"/>
      <c r="I2383" s="208"/>
    </row>
    <row r="2384">
      <c r="B2384" s="168"/>
      <c r="D2384" s="76"/>
      <c r="E2384" s="208"/>
      <c r="F2384" s="168"/>
      <c r="G2384" s="209"/>
      <c r="H2384" s="168"/>
      <c r="I2384" s="208"/>
    </row>
    <row r="2385">
      <c r="B2385" s="168"/>
      <c r="D2385" s="76"/>
      <c r="E2385" s="208"/>
      <c r="F2385" s="168"/>
      <c r="G2385" s="209"/>
      <c r="H2385" s="168"/>
      <c r="I2385" s="208"/>
    </row>
    <row r="2386">
      <c r="B2386" s="168"/>
      <c r="D2386" s="76"/>
      <c r="E2386" s="208"/>
      <c r="F2386" s="168"/>
      <c r="G2386" s="209"/>
      <c r="H2386" s="168"/>
      <c r="I2386" s="208"/>
    </row>
    <row r="2387">
      <c r="B2387" s="168"/>
      <c r="D2387" s="76"/>
      <c r="E2387" s="208"/>
      <c r="F2387" s="168"/>
      <c r="G2387" s="209"/>
      <c r="H2387" s="168"/>
      <c r="I2387" s="208"/>
    </row>
    <row r="2388">
      <c r="B2388" s="168"/>
      <c r="D2388" s="76"/>
      <c r="E2388" s="208"/>
      <c r="F2388" s="168"/>
      <c r="G2388" s="209"/>
      <c r="H2388" s="168"/>
      <c r="I2388" s="208"/>
    </row>
    <row r="2389">
      <c r="B2389" s="168"/>
      <c r="D2389" s="76"/>
      <c r="E2389" s="208"/>
      <c r="F2389" s="168"/>
      <c r="G2389" s="209"/>
      <c r="H2389" s="168"/>
      <c r="I2389" s="208"/>
    </row>
    <row r="2390">
      <c r="B2390" s="168"/>
      <c r="D2390" s="76"/>
      <c r="E2390" s="208"/>
      <c r="F2390" s="168"/>
      <c r="G2390" s="209"/>
      <c r="H2390" s="168"/>
      <c r="I2390" s="208"/>
    </row>
    <row r="2391">
      <c r="B2391" s="168"/>
      <c r="D2391" s="76"/>
      <c r="E2391" s="208"/>
      <c r="F2391" s="168"/>
      <c r="G2391" s="209"/>
      <c r="H2391" s="168"/>
      <c r="I2391" s="208"/>
    </row>
    <row r="2392">
      <c r="B2392" s="168"/>
      <c r="D2392" s="76"/>
      <c r="E2392" s="208"/>
      <c r="F2392" s="168"/>
      <c r="G2392" s="209"/>
      <c r="H2392" s="168"/>
      <c r="I2392" s="208"/>
    </row>
    <row r="2393">
      <c r="B2393" s="168"/>
      <c r="D2393" s="76"/>
      <c r="E2393" s="208"/>
      <c r="F2393" s="168"/>
      <c r="G2393" s="209"/>
      <c r="H2393" s="168"/>
      <c r="I2393" s="208"/>
    </row>
    <row r="2394">
      <c r="B2394" s="168"/>
      <c r="D2394" s="76"/>
      <c r="E2394" s="208"/>
      <c r="F2394" s="168"/>
      <c r="G2394" s="209"/>
      <c r="H2394" s="168"/>
      <c r="I2394" s="208"/>
    </row>
    <row r="2395">
      <c r="B2395" s="168"/>
      <c r="D2395" s="76"/>
      <c r="E2395" s="208"/>
      <c r="F2395" s="168"/>
      <c r="G2395" s="209"/>
      <c r="H2395" s="168"/>
      <c r="I2395" s="208"/>
    </row>
    <row r="2396">
      <c r="B2396" s="168"/>
      <c r="D2396" s="76"/>
      <c r="E2396" s="208"/>
      <c r="F2396" s="168"/>
      <c r="G2396" s="209"/>
      <c r="H2396" s="168"/>
      <c r="I2396" s="208"/>
    </row>
    <row r="2397">
      <c r="B2397" s="168"/>
      <c r="D2397" s="76"/>
      <c r="E2397" s="208"/>
      <c r="F2397" s="168"/>
      <c r="G2397" s="209"/>
      <c r="H2397" s="168"/>
      <c r="I2397" s="208"/>
    </row>
    <row r="2398">
      <c r="B2398" s="168"/>
      <c r="D2398" s="76"/>
      <c r="E2398" s="208"/>
      <c r="F2398" s="168"/>
      <c r="G2398" s="209"/>
      <c r="H2398" s="168"/>
      <c r="I2398" s="208"/>
    </row>
    <row r="2399">
      <c r="B2399" s="168"/>
      <c r="D2399" s="76"/>
      <c r="E2399" s="208"/>
      <c r="F2399" s="168"/>
      <c r="G2399" s="209"/>
      <c r="H2399" s="168"/>
      <c r="I2399" s="208"/>
    </row>
    <row r="2400">
      <c r="B2400" s="168"/>
      <c r="D2400" s="76"/>
      <c r="E2400" s="208"/>
      <c r="F2400" s="168"/>
      <c r="G2400" s="209"/>
      <c r="H2400" s="168"/>
      <c r="I2400" s="208"/>
    </row>
    <row r="2401">
      <c r="B2401" s="168"/>
      <c r="D2401" s="76"/>
      <c r="E2401" s="208"/>
      <c r="F2401" s="168"/>
      <c r="G2401" s="209"/>
      <c r="H2401" s="168"/>
      <c r="I2401" s="208"/>
    </row>
    <row r="2402">
      <c r="B2402" s="168"/>
      <c r="D2402" s="76"/>
      <c r="E2402" s="208"/>
      <c r="F2402" s="168"/>
      <c r="G2402" s="209"/>
      <c r="H2402" s="168"/>
      <c r="I2402" s="208"/>
    </row>
    <row r="2403">
      <c r="B2403" s="168"/>
      <c r="D2403" s="76"/>
      <c r="E2403" s="208"/>
      <c r="F2403" s="168"/>
      <c r="G2403" s="209"/>
      <c r="H2403" s="168"/>
      <c r="I2403" s="208"/>
    </row>
    <row r="2404">
      <c r="B2404" s="168"/>
      <c r="D2404" s="76"/>
      <c r="E2404" s="208"/>
      <c r="F2404" s="168"/>
      <c r="G2404" s="209"/>
      <c r="H2404" s="168"/>
      <c r="I2404" s="208"/>
    </row>
    <row r="2405">
      <c r="B2405" s="168"/>
      <c r="D2405" s="76"/>
      <c r="E2405" s="208"/>
      <c r="F2405" s="168"/>
      <c r="G2405" s="209"/>
      <c r="H2405" s="168"/>
      <c r="I2405" s="208"/>
    </row>
    <row r="2406">
      <c r="B2406" s="168"/>
      <c r="D2406" s="76"/>
      <c r="E2406" s="208"/>
      <c r="F2406" s="168"/>
      <c r="G2406" s="209"/>
      <c r="H2406" s="168"/>
      <c r="I2406" s="208"/>
    </row>
    <row r="2407">
      <c r="B2407" s="168"/>
      <c r="D2407" s="76"/>
      <c r="E2407" s="208"/>
      <c r="F2407" s="168"/>
      <c r="G2407" s="209"/>
      <c r="H2407" s="168"/>
      <c r="I2407" s="208"/>
    </row>
    <row r="2408">
      <c r="B2408" s="168"/>
      <c r="D2408" s="76"/>
      <c r="E2408" s="208"/>
      <c r="F2408" s="168"/>
      <c r="G2408" s="209"/>
      <c r="H2408" s="168"/>
      <c r="I2408" s="208"/>
    </row>
    <row r="2409">
      <c r="B2409" s="168"/>
      <c r="D2409" s="76"/>
      <c r="E2409" s="208"/>
      <c r="F2409" s="168"/>
      <c r="G2409" s="209"/>
      <c r="H2409" s="168"/>
      <c r="I2409" s="208"/>
    </row>
    <row r="2410">
      <c r="B2410" s="168"/>
      <c r="D2410" s="76"/>
      <c r="E2410" s="208"/>
      <c r="F2410" s="168"/>
      <c r="G2410" s="209"/>
      <c r="H2410" s="168"/>
      <c r="I2410" s="208"/>
    </row>
    <row r="2411">
      <c r="B2411" s="168"/>
      <c r="D2411" s="76"/>
      <c r="E2411" s="208"/>
      <c r="F2411" s="168"/>
      <c r="G2411" s="209"/>
      <c r="H2411" s="168"/>
      <c r="I2411" s="208"/>
    </row>
    <row r="2412">
      <c r="B2412" s="168"/>
      <c r="D2412" s="76"/>
      <c r="E2412" s="208"/>
      <c r="F2412" s="168"/>
      <c r="G2412" s="209"/>
      <c r="H2412" s="168"/>
      <c r="I2412" s="208"/>
    </row>
    <row r="2413">
      <c r="B2413" s="168"/>
      <c r="D2413" s="76"/>
      <c r="E2413" s="208"/>
      <c r="F2413" s="168"/>
      <c r="G2413" s="209"/>
      <c r="H2413" s="168"/>
      <c r="I2413" s="208"/>
    </row>
    <row r="2414">
      <c r="B2414" s="168"/>
      <c r="D2414" s="76"/>
      <c r="E2414" s="208"/>
      <c r="F2414" s="168"/>
      <c r="G2414" s="209"/>
      <c r="H2414" s="168"/>
      <c r="I2414" s="208"/>
    </row>
    <row r="2415">
      <c r="B2415" s="168"/>
      <c r="D2415" s="76"/>
      <c r="E2415" s="208"/>
      <c r="F2415" s="168"/>
      <c r="G2415" s="209"/>
      <c r="H2415" s="168"/>
      <c r="I2415" s="208"/>
    </row>
    <row r="2416">
      <c r="B2416" s="168"/>
      <c r="D2416" s="76"/>
      <c r="E2416" s="208"/>
      <c r="F2416" s="168"/>
      <c r="G2416" s="209"/>
      <c r="H2416" s="168"/>
      <c r="I2416" s="208"/>
    </row>
    <row r="2417">
      <c r="B2417" s="168"/>
      <c r="D2417" s="76"/>
      <c r="E2417" s="208"/>
      <c r="F2417" s="168"/>
      <c r="G2417" s="209"/>
      <c r="H2417" s="168"/>
      <c r="I2417" s="208"/>
    </row>
    <row r="2418">
      <c r="B2418" s="168"/>
      <c r="D2418" s="76"/>
      <c r="E2418" s="208"/>
      <c r="F2418" s="168"/>
      <c r="G2418" s="209"/>
      <c r="H2418" s="168"/>
      <c r="I2418" s="208"/>
    </row>
    <row r="2419">
      <c r="B2419" s="168"/>
      <c r="D2419" s="76"/>
      <c r="E2419" s="208"/>
      <c r="F2419" s="168"/>
      <c r="G2419" s="209"/>
      <c r="H2419" s="168"/>
      <c r="I2419" s="208"/>
    </row>
    <row r="2420">
      <c r="B2420" s="168"/>
      <c r="D2420" s="76"/>
      <c r="E2420" s="208"/>
      <c r="F2420" s="168"/>
      <c r="G2420" s="209"/>
      <c r="H2420" s="168"/>
      <c r="I2420" s="208"/>
    </row>
    <row r="2421">
      <c r="B2421" s="168"/>
      <c r="D2421" s="76"/>
      <c r="E2421" s="208"/>
      <c r="F2421" s="168"/>
      <c r="G2421" s="209"/>
      <c r="H2421" s="168"/>
      <c r="I2421" s="208"/>
    </row>
    <row r="2422">
      <c r="B2422" s="168"/>
      <c r="D2422" s="76"/>
      <c r="E2422" s="208"/>
      <c r="F2422" s="168"/>
      <c r="G2422" s="209"/>
      <c r="H2422" s="168"/>
      <c r="I2422" s="208"/>
    </row>
    <row r="2423">
      <c r="B2423" s="168"/>
      <c r="D2423" s="76"/>
      <c r="E2423" s="208"/>
      <c r="F2423" s="168"/>
      <c r="G2423" s="209"/>
      <c r="H2423" s="168"/>
      <c r="I2423" s="208"/>
    </row>
    <row r="2424">
      <c r="B2424" s="168"/>
      <c r="D2424" s="76"/>
      <c r="E2424" s="208"/>
      <c r="F2424" s="168"/>
      <c r="G2424" s="209"/>
      <c r="H2424" s="168"/>
      <c r="I2424" s="208"/>
    </row>
    <row r="2425">
      <c r="B2425" s="168"/>
      <c r="D2425" s="76"/>
      <c r="E2425" s="208"/>
      <c r="F2425" s="168"/>
      <c r="G2425" s="209"/>
      <c r="H2425" s="168"/>
      <c r="I2425" s="208"/>
    </row>
    <row r="2426">
      <c r="B2426" s="168"/>
      <c r="D2426" s="76"/>
      <c r="E2426" s="208"/>
      <c r="F2426" s="168"/>
      <c r="G2426" s="209"/>
      <c r="H2426" s="168"/>
      <c r="I2426" s="208"/>
    </row>
    <row r="2427">
      <c r="B2427" s="168"/>
      <c r="D2427" s="76"/>
      <c r="E2427" s="208"/>
      <c r="F2427" s="168"/>
      <c r="G2427" s="209"/>
      <c r="H2427" s="168"/>
      <c r="I2427" s="208"/>
    </row>
    <row r="2428">
      <c r="B2428" s="168"/>
      <c r="D2428" s="76"/>
      <c r="E2428" s="208"/>
      <c r="F2428" s="168"/>
      <c r="G2428" s="209"/>
      <c r="H2428" s="168"/>
      <c r="I2428" s="208"/>
    </row>
    <row r="2429">
      <c r="B2429" s="168"/>
      <c r="D2429" s="76"/>
      <c r="E2429" s="208"/>
      <c r="F2429" s="168"/>
      <c r="G2429" s="209"/>
      <c r="H2429" s="168"/>
      <c r="I2429" s="208"/>
    </row>
    <row r="2430">
      <c r="B2430" s="168"/>
      <c r="D2430" s="76"/>
      <c r="E2430" s="208"/>
      <c r="F2430" s="168"/>
      <c r="G2430" s="209"/>
      <c r="H2430" s="168"/>
      <c r="I2430" s="208"/>
    </row>
    <row r="2431">
      <c r="B2431" s="168"/>
      <c r="D2431" s="76"/>
      <c r="E2431" s="208"/>
      <c r="F2431" s="168"/>
      <c r="G2431" s="209"/>
      <c r="H2431" s="168"/>
      <c r="I2431" s="208"/>
    </row>
    <row r="2432">
      <c r="B2432" s="168"/>
      <c r="D2432" s="76"/>
      <c r="E2432" s="208"/>
      <c r="F2432" s="168"/>
      <c r="G2432" s="209"/>
      <c r="H2432" s="168"/>
      <c r="I2432" s="208"/>
    </row>
    <row r="2433">
      <c r="B2433" s="168"/>
      <c r="D2433" s="76"/>
      <c r="E2433" s="208"/>
      <c r="F2433" s="168"/>
      <c r="G2433" s="209"/>
      <c r="H2433" s="168"/>
      <c r="I2433" s="208"/>
    </row>
    <row r="2434">
      <c r="B2434" s="168"/>
      <c r="D2434" s="76"/>
      <c r="E2434" s="208"/>
      <c r="F2434" s="168"/>
      <c r="G2434" s="209"/>
      <c r="H2434" s="168"/>
      <c r="I2434" s="208"/>
    </row>
    <row r="2435">
      <c r="B2435" s="168"/>
      <c r="D2435" s="76"/>
      <c r="E2435" s="208"/>
      <c r="F2435" s="168"/>
      <c r="G2435" s="209"/>
      <c r="H2435" s="168"/>
      <c r="I2435" s="208"/>
    </row>
    <row r="2436">
      <c r="B2436" s="168"/>
      <c r="D2436" s="76"/>
      <c r="E2436" s="208"/>
      <c r="F2436" s="168"/>
      <c r="G2436" s="209"/>
      <c r="H2436" s="168"/>
      <c r="I2436" s="208"/>
    </row>
    <row r="2437">
      <c r="B2437" s="168"/>
      <c r="D2437" s="76"/>
      <c r="E2437" s="208"/>
      <c r="F2437" s="168"/>
      <c r="G2437" s="209"/>
      <c r="H2437" s="168"/>
      <c r="I2437" s="208"/>
    </row>
    <row r="2438">
      <c r="B2438" s="168"/>
      <c r="D2438" s="76"/>
      <c r="E2438" s="208"/>
      <c r="F2438" s="168"/>
      <c r="G2438" s="209"/>
      <c r="H2438" s="168"/>
      <c r="I2438" s="208"/>
    </row>
    <row r="2439">
      <c r="B2439" s="168"/>
      <c r="D2439" s="76"/>
      <c r="E2439" s="208"/>
      <c r="F2439" s="168"/>
      <c r="G2439" s="209"/>
      <c r="H2439" s="168"/>
      <c r="I2439" s="208"/>
    </row>
    <row r="2440">
      <c r="B2440" s="168"/>
      <c r="D2440" s="76"/>
      <c r="E2440" s="208"/>
      <c r="F2440" s="168"/>
      <c r="G2440" s="209"/>
      <c r="H2440" s="168"/>
      <c r="I2440" s="208"/>
    </row>
    <row r="2441">
      <c r="B2441" s="168"/>
      <c r="D2441" s="76"/>
      <c r="E2441" s="208"/>
      <c r="F2441" s="168"/>
      <c r="G2441" s="209"/>
      <c r="H2441" s="168"/>
      <c r="I2441" s="208"/>
    </row>
    <row r="2442">
      <c r="B2442" s="168"/>
      <c r="D2442" s="76"/>
      <c r="E2442" s="208"/>
      <c r="F2442" s="168"/>
      <c r="G2442" s="209"/>
      <c r="H2442" s="168"/>
      <c r="I2442" s="208"/>
    </row>
    <row r="2443">
      <c r="B2443" s="168"/>
      <c r="D2443" s="76"/>
      <c r="E2443" s="208"/>
      <c r="F2443" s="168"/>
      <c r="G2443" s="209"/>
      <c r="H2443" s="168"/>
      <c r="I2443" s="208"/>
    </row>
    <row r="2444">
      <c r="B2444" s="168"/>
      <c r="D2444" s="76"/>
      <c r="E2444" s="208"/>
      <c r="F2444" s="168"/>
      <c r="G2444" s="209"/>
      <c r="H2444" s="168"/>
      <c r="I2444" s="208"/>
    </row>
    <row r="2445">
      <c r="B2445" s="168"/>
      <c r="D2445" s="76"/>
      <c r="E2445" s="208"/>
      <c r="F2445" s="168"/>
      <c r="G2445" s="209"/>
      <c r="H2445" s="168"/>
      <c r="I2445" s="208"/>
    </row>
    <row r="2446">
      <c r="B2446" s="168"/>
      <c r="D2446" s="76"/>
      <c r="E2446" s="208"/>
      <c r="F2446" s="168"/>
      <c r="G2446" s="209"/>
      <c r="H2446" s="168"/>
      <c r="I2446" s="208"/>
    </row>
    <row r="2447">
      <c r="B2447" s="168"/>
      <c r="D2447" s="76"/>
      <c r="E2447" s="208"/>
      <c r="F2447" s="168"/>
      <c r="G2447" s="209"/>
      <c r="H2447" s="168"/>
      <c r="I2447" s="208"/>
    </row>
    <row r="2448">
      <c r="B2448" s="168"/>
      <c r="D2448" s="76"/>
      <c r="E2448" s="208"/>
      <c r="F2448" s="168"/>
      <c r="G2448" s="209"/>
      <c r="H2448" s="168"/>
      <c r="I2448" s="208"/>
    </row>
    <row r="2449">
      <c r="B2449" s="168"/>
      <c r="D2449" s="76"/>
      <c r="E2449" s="208"/>
      <c r="F2449" s="168"/>
      <c r="G2449" s="209"/>
      <c r="H2449" s="168"/>
      <c r="I2449" s="208"/>
    </row>
    <row r="2450">
      <c r="B2450" s="168"/>
      <c r="D2450" s="76"/>
      <c r="E2450" s="208"/>
      <c r="F2450" s="168"/>
      <c r="G2450" s="209"/>
      <c r="H2450" s="168"/>
      <c r="I2450" s="208"/>
    </row>
    <row r="2451">
      <c r="B2451" s="168"/>
      <c r="D2451" s="76"/>
      <c r="E2451" s="208"/>
      <c r="F2451" s="168"/>
      <c r="G2451" s="209"/>
      <c r="H2451" s="168"/>
      <c r="I2451" s="208"/>
    </row>
    <row r="2452">
      <c r="B2452" s="168"/>
      <c r="D2452" s="76"/>
      <c r="E2452" s="208"/>
      <c r="F2452" s="168"/>
      <c r="G2452" s="209"/>
      <c r="H2452" s="168"/>
      <c r="I2452" s="208"/>
    </row>
    <row r="2453">
      <c r="B2453" s="168"/>
      <c r="D2453" s="76"/>
      <c r="E2453" s="208"/>
      <c r="F2453" s="168"/>
      <c r="G2453" s="209"/>
      <c r="H2453" s="168"/>
      <c r="I2453" s="208"/>
    </row>
    <row r="2454">
      <c r="B2454" s="168"/>
      <c r="D2454" s="76"/>
      <c r="E2454" s="208"/>
      <c r="F2454" s="168"/>
      <c r="G2454" s="209"/>
      <c r="H2454" s="168"/>
      <c r="I2454" s="208"/>
    </row>
    <row r="2455">
      <c r="B2455" s="168"/>
      <c r="D2455" s="76"/>
      <c r="E2455" s="208"/>
      <c r="F2455" s="168"/>
      <c r="G2455" s="209"/>
      <c r="H2455" s="168"/>
      <c r="I2455" s="208"/>
    </row>
    <row r="2456">
      <c r="B2456" s="168"/>
      <c r="D2456" s="76"/>
      <c r="E2456" s="208"/>
      <c r="F2456" s="168"/>
      <c r="G2456" s="209"/>
      <c r="H2456" s="168"/>
      <c r="I2456" s="208"/>
    </row>
    <row r="2457">
      <c r="B2457" s="168"/>
      <c r="D2457" s="76"/>
      <c r="E2457" s="208"/>
      <c r="F2457" s="168"/>
      <c r="G2457" s="209"/>
      <c r="H2457" s="168"/>
      <c r="I2457" s="208"/>
    </row>
    <row r="2458">
      <c r="B2458" s="168"/>
      <c r="D2458" s="76"/>
      <c r="E2458" s="208"/>
      <c r="F2458" s="168"/>
      <c r="G2458" s="209"/>
      <c r="H2458" s="168"/>
      <c r="I2458" s="208"/>
    </row>
    <row r="2459">
      <c r="B2459" s="168"/>
      <c r="D2459" s="76"/>
      <c r="E2459" s="208"/>
      <c r="F2459" s="168"/>
      <c r="G2459" s="209"/>
      <c r="H2459" s="168"/>
      <c r="I2459" s="208"/>
    </row>
    <row r="2460">
      <c r="B2460" s="168"/>
      <c r="D2460" s="76"/>
      <c r="E2460" s="208"/>
      <c r="F2460" s="168"/>
      <c r="G2460" s="209"/>
      <c r="H2460" s="168"/>
      <c r="I2460" s="208"/>
    </row>
    <row r="2461">
      <c r="B2461" s="168"/>
      <c r="D2461" s="76"/>
      <c r="E2461" s="208"/>
      <c r="F2461" s="168"/>
      <c r="G2461" s="209"/>
      <c r="H2461" s="168"/>
      <c r="I2461" s="208"/>
    </row>
    <row r="2462">
      <c r="B2462" s="168"/>
      <c r="D2462" s="76"/>
      <c r="E2462" s="208"/>
      <c r="F2462" s="168"/>
      <c r="G2462" s="209"/>
      <c r="H2462" s="168"/>
      <c r="I2462" s="208"/>
    </row>
    <row r="2463">
      <c r="B2463" s="168"/>
      <c r="D2463" s="76"/>
      <c r="E2463" s="208"/>
      <c r="F2463" s="168"/>
      <c r="G2463" s="209"/>
      <c r="H2463" s="168"/>
      <c r="I2463" s="208"/>
    </row>
    <row r="2464">
      <c r="B2464" s="168"/>
      <c r="D2464" s="76"/>
      <c r="E2464" s="208"/>
      <c r="F2464" s="168"/>
      <c r="G2464" s="209"/>
      <c r="H2464" s="168"/>
      <c r="I2464" s="208"/>
    </row>
    <row r="2465">
      <c r="B2465" s="168"/>
      <c r="D2465" s="76"/>
      <c r="E2465" s="208"/>
      <c r="F2465" s="168"/>
      <c r="G2465" s="209"/>
      <c r="H2465" s="168"/>
      <c r="I2465" s="208"/>
    </row>
    <row r="2466">
      <c r="B2466" s="168"/>
      <c r="D2466" s="76"/>
      <c r="E2466" s="208"/>
      <c r="F2466" s="168"/>
      <c r="G2466" s="209"/>
      <c r="H2466" s="168"/>
      <c r="I2466" s="208"/>
    </row>
    <row r="2467">
      <c r="B2467" s="168"/>
      <c r="D2467" s="76"/>
      <c r="E2467" s="208"/>
      <c r="F2467" s="168"/>
      <c r="G2467" s="209"/>
      <c r="H2467" s="168"/>
      <c r="I2467" s="208"/>
    </row>
    <row r="2468">
      <c r="B2468" s="168"/>
      <c r="D2468" s="76"/>
      <c r="E2468" s="208"/>
      <c r="F2468" s="168"/>
      <c r="G2468" s="209"/>
      <c r="H2468" s="168"/>
      <c r="I2468" s="208"/>
    </row>
    <row r="2469">
      <c r="B2469" s="168"/>
      <c r="D2469" s="76"/>
      <c r="E2469" s="208"/>
      <c r="F2469" s="168"/>
      <c r="G2469" s="209"/>
      <c r="H2469" s="168"/>
      <c r="I2469" s="208"/>
    </row>
    <row r="2470">
      <c r="B2470" s="168"/>
      <c r="D2470" s="76"/>
      <c r="E2470" s="208"/>
      <c r="F2470" s="168"/>
      <c r="G2470" s="209"/>
      <c r="H2470" s="168"/>
      <c r="I2470" s="208"/>
    </row>
    <row r="2471">
      <c r="B2471" s="168"/>
      <c r="D2471" s="76"/>
      <c r="E2471" s="208"/>
      <c r="F2471" s="168"/>
      <c r="G2471" s="209"/>
      <c r="H2471" s="168"/>
      <c r="I2471" s="208"/>
    </row>
    <row r="2472">
      <c r="B2472" s="168"/>
      <c r="D2472" s="76"/>
      <c r="E2472" s="208"/>
      <c r="F2472" s="168"/>
      <c r="G2472" s="209"/>
      <c r="H2472" s="168"/>
      <c r="I2472" s="208"/>
    </row>
    <row r="2473">
      <c r="B2473" s="168"/>
      <c r="D2473" s="76"/>
      <c r="E2473" s="208"/>
      <c r="F2473" s="168"/>
      <c r="G2473" s="209"/>
      <c r="H2473" s="168"/>
      <c r="I2473" s="208"/>
    </row>
    <row r="2474">
      <c r="B2474" s="168"/>
      <c r="D2474" s="76"/>
      <c r="E2474" s="208"/>
      <c r="F2474" s="168"/>
      <c r="G2474" s="209"/>
      <c r="H2474" s="168"/>
      <c r="I2474" s="208"/>
    </row>
    <row r="2475">
      <c r="B2475" s="168"/>
      <c r="D2475" s="76"/>
      <c r="E2475" s="208"/>
      <c r="F2475" s="168"/>
      <c r="G2475" s="209"/>
      <c r="H2475" s="168"/>
      <c r="I2475" s="208"/>
    </row>
    <row r="2476">
      <c r="B2476" s="168"/>
      <c r="D2476" s="76"/>
      <c r="E2476" s="208"/>
      <c r="F2476" s="168"/>
      <c r="G2476" s="209"/>
      <c r="H2476" s="168"/>
      <c r="I2476" s="208"/>
    </row>
    <row r="2477">
      <c r="B2477" s="168"/>
      <c r="D2477" s="76"/>
      <c r="E2477" s="208"/>
      <c r="F2477" s="168"/>
      <c r="G2477" s="209"/>
      <c r="H2477" s="168"/>
      <c r="I2477" s="208"/>
    </row>
    <row r="2478">
      <c r="B2478" s="168"/>
      <c r="D2478" s="76"/>
      <c r="E2478" s="208"/>
      <c r="F2478" s="168"/>
      <c r="G2478" s="209"/>
      <c r="H2478" s="168"/>
      <c r="I2478" s="208"/>
    </row>
    <row r="2479">
      <c r="B2479" s="168"/>
      <c r="D2479" s="76"/>
      <c r="E2479" s="208"/>
      <c r="F2479" s="168"/>
      <c r="G2479" s="209"/>
      <c r="H2479" s="168"/>
      <c r="I2479" s="208"/>
    </row>
    <row r="2480">
      <c r="B2480" s="168"/>
      <c r="D2480" s="76"/>
      <c r="E2480" s="208"/>
      <c r="F2480" s="168"/>
      <c r="G2480" s="209"/>
      <c r="H2480" s="168"/>
      <c r="I2480" s="208"/>
    </row>
    <row r="2481">
      <c r="B2481" s="168"/>
      <c r="D2481" s="76"/>
      <c r="E2481" s="208"/>
      <c r="F2481" s="168"/>
      <c r="G2481" s="209"/>
      <c r="H2481" s="168"/>
      <c r="I2481" s="208"/>
    </row>
    <row r="2482">
      <c r="B2482" s="168"/>
      <c r="D2482" s="76"/>
      <c r="E2482" s="208"/>
      <c r="F2482" s="168"/>
      <c r="G2482" s="209"/>
      <c r="H2482" s="168"/>
      <c r="I2482" s="208"/>
    </row>
    <row r="2483">
      <c r="B2483" s="168"/>
      <c r="D2483" s="76"/>
      <c r="E2483" s="208"/>
      <c r="F2483" s="168"/>
      <c r="G2483" s="209"/>
      <c r="H2483" s="168"/>
      <c r="I2483" s="208"/>
    </row>
    <row r="2484">
      <c r="B2484" s="168"/>
      <c r="D2484" s="76"/>
      <c r="E2484" s="208"/>
      <c r="F2484" s="168"/>
      <c r="G2484" s="209"/>
      <c r="H2484" s="168"/>
      <c r="I2484" s="208"/>
    </row>
    <row r="2485">
      <c r="B2485" s="168"/>
      <c r="D2485" s="76"/>
      <c r="E2485" s="208"/>
      <c r="F2485" s="168"/>
      <c r="G2485" s="209"/>
      <c r="H2485" s="168"/>
      <c r="I2485" s="208"/>
    </row>
    <row r="2486">
      <c r="B2486" s="168"/>
      <c r="D2486" s="76"/>
      <c r="E2486" s="208"/>
      <c r="F2486" s="168"/>
      <c r="G2486" s="209"/>
      <c r="H2486" s="168"/>
      <c r="I2486" s="208"/>
    </row>
    <row r="2487">
      <c r="B2487" s="168"/>
      <c r="D2487" s="76"/>
      <c r="E2487" s="208"/>
      <c r="F2487" s="168"/>
      <c r="G2487" s="209"/>
      <c r="H2487" s="168"/>
      <c r="I2487" s="208"/>
    </row>
    <row r="2488">
      <c r="B2488" s="168"/>
      <c r="D2488" s="76"/>
      <c r="E2488" s="208"/>
      <c r="F2488" s="168"/>
      <c r="G2488" s="209"/>
      <c r="H2488" s="168"/>
      <c r="I2488" s="208"/>
    </row>
    <row r="2489">
      <c r="B2489" s="168"/>
      <c r="D2489" s="76"/>
      <c r="E2489" s="208"/>
      <c r="F2489" s="168"/>
      <c r="G2489" s="209"/>
      <c r="H2489" s="168"/>
      <c r="I2489" s="208"/>
    </row>
    <row r="2490">
      <c r="B2490" s="168"/>
      <c r="D2490" s="76"/>
      <c r="E2490" s="208"/>
      <c r="F2490" s="168"/>
      <c r="G2490" s="209"/>
      <c r="H2490" s="168"/>
      <c r="I2490" s="208"/>
    </row>
    <row r="2491">
      <c r="B2491" s="168"/>
      <c r="D2491" s="76"/>
      <c r="E2491" s="208"/>
      <c r="F2491" s="168"/>
      <c r="G2491" s="209"/>
      <c r="H2491" s="168"/>
      <c r="I2491" s="208"/>
    </row>
    <row r="2492">
      <c r="B2492" s="168"/>
      <c r="D2492" s="76"/>
      <c r="E2492" s="208"/>
      <c r="F2492" s="168"/>
      <c r="G2492" s="209"/>
      <c r="H2492" s="168"/>
      <c r="I2492" s="208"/>
    </row>
    <row r="2493">
      <c r="B2493" s="168"/>
      <c r="D2493" s="76"/>
      <c r="E2493" s="208"/>
      <c r="F2493" s="168"/>
      <c r="G2493" s="209"/>
      <c r="H2493" s="168"/>
      <c r="I2493" s="208"/>
    </row>
    <row r="2494">
      <c r="B2494" s="168"/>
      <c r="D2494" s="76"/>
      <c r="E2494" s="208"/>
      <c r="F2494" s="168"/>
      <c r="G2494" s="209"/>
      <c r="H2494" s="168"/>
      <c r="I2494" s="208"/>
    </row>
    <row r="2495">
      <c r="B2495" s="168"/>
      <c r="D2495" s="76"/>
      <c r="E2495" s="208"/>
      <c r="F2495" s="168"/>
      <c r="G2495" s="209"/>
      <c r="H2495" s="168"/>
      <c r="I2495" s="208"/>
    </row>
    <row r="2496">
      <c r="B2496" s="168"/>
      <c r="D2496" s="76"/>
      <c r="E2496" s="208"/>
      <c r="F2496" s="168"/>
      <c r="G2496" s="209"/>
      <c r="H2496" s="168"/>
      <c r="I2496" s="208"/>
    </row>
    <row r="2497">
      <c r="B2497" s="168"/>
      <c r="D2497" s="76"/>
      <c r="E2497" s="208"/>
      <c r="F2497" s="168"/>
      <c r="G2497" s="209"/>
      <c r="H2497" s="168"/>
      <c r="I2497" s="208"/>
    </row>
    <row r="2498">
      <c r="B2498" s="168"/>
      <c r="D2498" s="76"/>
      <c r="E2498" s="208"/>
      <c r="F2498" s="168"/>
      <c r="G2498" s="209"/>
      <c r="H2498" s="168"/>
      <c r="I2498" s="208"/>
    </row>
    <row r="2499">
      <c r="B2499" s="168"/>
      <c r="D2499" s="76"/>
      <c r="E2499" s="208"/>
      <c r="F2499" s="168"/>
      <c r="G2499" s="209"/>
      <c r="H2499" s="168"/>
      <c r="I2499" s="208"/>
    </row>
    <row r="2500">
      <c r="B2500" s="168"/>
      <c r="D2500" s="76"/>
      <c r="E2500" s="208"/>
      <c r="F2500" s="168"/>
      <c r="G2500" s="209"/>
      <c r="H2500" s="168"/>
      <c r="I2500" s="208"/>
    </row>
    <row r="2501">
      <c r="B2501" s="168"/>
      <c r="D2501" s="76"/>
      <c r="E2501" s="208"/>
      <c r="F2501" s="168"/>
      <c r="G2501" s="209"/>
      <c r="H2501" s="168"/>
      <c r="I2501" s="208"/>
    </row>
    <row r="2502">
      <c r="B2502" s="168"/>
      <c r="D2502" s="76"/>
      <c r="E2502" s="208"/>
      <c r="F2502" s="168"/>
      <c r="G2502" s="209"/>
      <c r="H2502" s="168"/>
      <c r="I2502" s="208"/>
    </row>
    <row r="2503">
      <c r="B2503" s="168"/>
      <c r="D2503" s="76"/>
      <c r="E2503" s="208"/>
      <c r="F2503" s="168"/>
      <c r="G2503" s="209"/>
      <c r="H2503" s="168"/>
      <c r="I2503" s="208"/>
    </row>
    <row r="2504">
      <c r="B2504" s="168"/>
      <c r="D2504" s="76"/>
      <c r="E2504" s="208"/>
      <c r="F2504" s="168"/>
      <c r="G2504" s="209"/>
      <c r="H2504" s="168"/>
      <c r="I2504" s="208"/>
    </row>
    <row r="2505">
      <c r="B2505" s="168"/>
      <c r="D2505" s="76"/>
      <c r="E2505" s="208"/>
      <c r="F2505" s="168"/>
      <c r="G2505" s="209"/>
      <c r="H2505" s="168"/>
      <c r="I2505" s="208"/>
    </row>
    <row r="2506">
      <c r="B2506" s="168"/>
      <c r="D2506" s="76"/>
      <c r="E2506" s="208"/>
      <c r="F2506" s="168"/>
      <c r="G2506" s="209"/>
      <c r="H2506" s="168"/>
      <c r="I2506" s="208"/>
    </row>
    <row r="2507">
      <c r="B2507" s="168"/>
      <c r="D2507" s="76"/>
      <c r="E2507" s="208"/>
      <c r="F2507" s="168"/>
      <c r="G2507" s="209"/>
      <c r="H2507" s="168"/>
      <c r="I2507" s="208"/>
    </row>
    <row r="2508">
      <c r="B2508" s="168"/>
      <c r="D2508" s="76"/>
      <c r="E2508" s="208"/>
      <c r="F2508" s="168"/>
      <c r="G2508" s="209"/>
      <c r="H2508" s="168"/>
      <c r="I2508" s="208"/>
    </row>
    <row r="2509">
      <c r="B2509" s="168"/>
      <c r="D2509" s="76"/>
      <c r="E2509" s="208"/>
      <c r="F2509" s="168"/>
      <c r="G2509" s="209"/>
      <c r="H2509" s="168"/>
      <c r="I2509" s="208"/>
    </row>
    <row r="2510">
      <c r="B2510" s="168"/>
      <c r="D2510" s="76"/>
      <c r="E2510" s="208"/>
      <c r="F2510" s="168"/>
      <c r="G2510" s="209"/>
      <c r="H2510" s="168"/>
      <c r="I2510" s="208"/>
    </row>
    <row r="2511">
      <c r="B2511" s="168"/>
      <c r="D2511" s="76"/>
      <c r="E2511" s="208"/>
      <c r="F2511" s="168"/>
      <c r="G2511" s="209"/>
      <c r="H2511" s="168"/>
      <c r="I2511" s="208"/>
    </row>
    <row r="2512">
      <c r="B2512" s="168"/>
      <c r="D2512" s="76"/>
      <c r="E2512" s="208"/>
      <c r="F2512" s="168"/>
      <c r="G2512" s="209"/>
      <c r="H2512" s="168"/>
      <c r="I2512" s="208"/>
    </row>
    <row r="2513">
      <c r="B2513" s="168"/>
      <c r="D2513" s="76"/>
      <c r="E2513" s="208"/>
      <c r="F2513" s="168"/>
      <c r="G2513" s="209"/>
      <c r="H2513" s="168"/>
      <c r="I2513" s="208"/>
    </row>
    <row r="2514">
      <c r="B2514" s="168"/>
      <c r="D2514" s="76"/>
      <c r="E2514" s="208"/>
      <c r="F2514" s="168"/>
      <c r="G2514" s="209"/>
      <c r="H2514" s="168"/>
      <c r="I2514" s="208"/>
    </row>
    <row r="2515">
      <c r="B2515" s="168"/>
      <c r="D2515" s="76"/>
      <c r="E2515" s="208"/>
      <c r="F2515" s="168"/>
      <c r="G2515" s="209"/>
      <c r="H2515" s="168"/>
      <c r="I2515" s="208"/>
    </row>
    <row r="2516">
      <c r="B2516" s="168"/>
      <c r="D2516" s="76"/>
      <c r="E2516" s="208"/>
      <c r="F2516" s="168"/>
      <c r="G2516" s="209"/>
      <c r="H2516" s="168"/>
      <c r="I2516" s="208"/>
    </row>
    <row r="2517">
      <c r="B2517" s="168"/>
      <c r="D2517" s="76"/>
      <c r="E2517" s="208"/>
      <c r="F2517" s="168"/>
      <c r="G2517" s="209"/>
      <c r="H2517" s="168"/>
      <c r="I2517" s="208"/>
    </row>
    <row r="2518">
      <c r="B2518" s="168"/>
      <c r="D2518" s="76"/>
      <c r="E2518" s="208"/>
      <c r="F2518" s="168"/>
      <c r="G2518" s="209"/>
      <c r="H2518" s="168"/>
      <c r="I2518" s="208"/>
    </row>
    <row r="2519">
      <c r="B2519" s="168"/>
      <c r="D2519" s="76"/>
      <c r="E2519" s="208"/>
      <c r="F2519" s="168"/>
      <c r="G2519" s="209"/>
      <c r="H2519" s="168"/>
      <c r="I2519" s="208"/>
    </row>
    <row r="2520">
      <c r="B2520" s="168"/>
      <c r="D2520" s="76"/>
      <c r="E2520" s="208"/>
      <c r="F2520" s="168"/>
      <c r="G2520" s="209"/>
      <c r="H2520" s="168"/>
      <c r="I2520" s="208"/>
    </row>
    <row r="2521">
      <c r="B2521" s="168"/>
      <c r="D2521" s="76"/>
      <c r="E2521" s="208"/>
      <c r="F2521" s="168"/>
      <c r="G2521" s="209"/>
      <c r="H2521" s="168"/>
      <c r="I2521" s="208"/>
    </row>
    <row r="2522">
      <c r="B2522" s="168"/>
      <c r="D2522" s="76"/>
      <c r="E2522" s="208"/>
      <c r="F2522" s="168"/>
      <c r="G2522" s="209"/>
      <c r="H2522" s="168"/>
      <c r="I2522" s="208"/>
    </row>
    <row r="2523">
      <c r="B2523" s="168"/>
      <c r="D2523" s="76"/>
      <c r="E2523" s="208"/>
      <c r="F2523" s="168"/>
      <c r="G2523" s="209"/>
      <c r="H2523" s="168"/>
      <c r="I2523" s="208"/>
    </row>
    <row r="2524">
      <c r="B2524" s="168"/>
      <c r="D2524" s="76"/>
      <c r="E2524" s="208"/>
      <c r="F2524" s="168"/>
      <c r="G2524" s="209"/>
      <c r="H2524" s="168"/>
      <c r="I2524" s="208"/>
    </row>
    <row r="2525">
      <c r="B2525" s="168"/>
      <c r="D2525" s="76"/>
      <c r="E2525" s="208"/>
      <c r="F2525" s="168"/>
      <c r="G2525" s="209"/>
      <c r="H2525" s="168"/>
      <c r="I2525" s="208"/>
    </row>
    <row r="2526">
      <c r="B2526" s="168"/>
      <c r="D2526" s="76"/>
      <c r="E2526" s="208"/>
      <c r="F2526" s="168"/>
      <c r="G2526" s="209"/>
      <c r="H2526" s="168"/>
      <c r="I2526" s="208"/>
    </row>
    <row r="2527">
      <c r="B2527" s="168"/>
      <c r="D2527" s="76"/>
      <c r="E2527" s="208"/>
      <c r="F2527" s="168"/>
      <c r="G2527" s="209"/>
      <c r="H2527" s="168"/>
      <c r="I2527" s="208"/>
    </row>
    <row r="2528">
      <c r="B2528" s="168"/>
      <c r="D2528" s="76"/>
      <c r="E2528" s="208"/>
      <c r="F2528" s="168"/>
      <c r="G2528" s="209"/>
      <c r="H2528" s="168"/>
      <c r="I2528" s="208"/>
    </row>
    <row r="2529">
      <c r="B2529" s="168"/>
      <c r="D2529" s="76"/>
      <c r="E2529" s="208"/>
      <c r="F2529" s="168"/>
      <c r="G2529" s="209"/>
      <c r="H2529" s="168"/>
      <c r="I2529" s="208"/>
    </row>
    <row r="2530">
      <c r="B2530" s="168"/>
      <c r="D2530" s="76"/>
      <c r="E2530" s="208"/>
      <c r="F2530" s="168"/>
      <c r="G2530" s="209"/>
      <c r="H2530" s="168"/>
      <c r="I2530" s="208"/>
    </row>
    <row r="2531">
      <c r="B2531" s="168"/>
      <c r="D2531" s="76"/>
      <c r="E2531" s="208"/>
      <c r="F2531" s="168"/>
      <c r="G2531" s="209"/>
      <c r="H2531" s="168"/>
      <c r="I2531" s="208"/>
    </row>
    <row r="2532">
      <c r="B2532" s="168"/>
      <c r="D2532" s="76"/>
      <c r="E2532" s="208"/>
      <c r="F2532" s="168"/>
      <c r="G2532" s="209"/>
      <c r="H2532" s="168"/>
      <c r="I2532" s="208"/>
    </row>
    <row r="2533">
      <c r="B2533" s="168"/>
      <c r="D2533" s="76"/>
      <c r="E2533" s="208"/>
      <c r="F2533" s="168"/>
      <c r="G2533" s="209"/>
      <c r="H2533" s="168"/>
      <c r="I2533" s="208"/>
    </row>
    <row r="2534">
      <c r="B2534" s="168"/>
      <c r="D2534" s="76"/>
      <c r="E2534" s="208"/>
      <c r="F2534" s="168"/>
      <c r="G2534" s="209"/>
      <c r="H2534" s="168"/>
      <c r="I2534" s="208"/>
    </row>
    <row r="2535">
      <c r="B2535" s="168"/>
      <c r="D2535" s="76"/>
      <c r="E2535" s="208"/>
      <c r="F2535" s="168"/>
      <c r="G2535" s="209"/>
      <c r="H2535" s="168"/>
      <c r="I2535" s="208"/>
    </row>
    <row r="2536">
      <c r="B2536" s="168"/>
      <c r="D2536" s="76"/>
      <c r="E2536" s="208"/>
      <c r="F2536" s="168"/>
      <c r="G2536" s="209"/>
      <c r="H2536" s="168"/>
      <c r="I2536" s="208"/>
    </row>
    <row r="2537">
      <c r="B2537" s="168"/>
      <c r="D2537" s="76"/>
      <c r="E2537" s="208"/>
      <c r="F2537" s="168"/>
      <c r="G2537" s="209"/>
      <c r="H2537" s="168"/>
      <c r="I2537" s="208"/>
    </row>
    <row r="2538">
      <c r="B2538" s="168"/>
      <c r="D2538" s="76"/>
      <c r="E2538" s="208"/>
      <c r="F2538" s="168"/>
      <c r="G2538" s="209"/>
      <c r="H2538" s="168"/>
      <c r="I2538" s="208"/>
    </row>
    <row r="2539">
      <c r="B2539" s="168"/>
      <c r="D2539" s="76"/>
      <c r="E2539" s="208"/>
      <c r="F2539" s="168"/>
      <c r="G2539" s="209"/>
      <c r="H2539" s="168"/>
      <c r="I2539" s="208"/>
    </row>
    <row r="2540">
      <c r="B2540" s="168"/>
      <c r="D2540" s="76"/>
      <c r="E2540" s="208"/>
      <c r="F2540" s="168"/>
      <c r="G2540" s="209"/>
      <c r="H2540" s="168"/>
      <c r="I2540" s="208"/>
    </row>
    <row r="2541">
      <c r="B2541" s="168"/>
      <c r="D2541" s="76"/>
      <c r="E2541" s="208"/>
      <c r="F2541" s="168"/>
      <c r="G2541" s="209"/>
      <c r="H2541" s="168"/>
      <c r="I2541" s="208"/>
    </row>
    <row r="2542">
      <c r="B2542" s="168"/>
      <c r="D2542" s="76"/>
      <c r="E2542" s="208"/>
      <c r="F2542" s="168"/>
      <c r="G2542" s="209"/>
      <c r="H2542" s="168"/>
      <c r="I2542" s="208"/>
    </row>
    <row r="2543">
      <c r="B2543" s="168"/>
      <c r="D2543" s="76"/>
      <c r="E2543" s="208"/>
      <c r="F2543" s="168"/>
      <c r="G2543" s="209"/>
      <c r="H2543" s="168"/>
      <c r="I2543" s="208"/>
    </row>
    <row r="2544">
      <c r="B2544" s="168"/>
      <c r="D2544" s="76"/>
      <c r="E2544" s="208"/>
      <c r="F2544" s="168"/>
      <c r="G2544" s="209"/>
      <c r="H2544" s="168"/>
      <c r="I2544" s="208"/>
    </row>
    <row r="2545">
      <c r="B2545" s="168"/>
      <c r="D2545" s="76"/>
      <c r="E2545" s="208"/>
      <c r="F2545" s="168"/>
      <c r="G2545" s="209"/>
      <c r="H2545" s="168"/>
      <c r="I2545" s="208"/>
    </row>
    <row r="2546">
      <c r="B2546" s="168"/>
      <c r="D2546" s="76"/>
      <c r="E2546" s="208"/>
      <c r="F2546" s="168"/>
      <c r="G2546" s="209"/>
      <c r="H2546" s="168"/>
      <c r="I2546" s="208"/>
    </row>
    <row r="2547">
      <c r="B2547" s="168"/>
      <c r="D2547" s="76"/>
      <c r="E2547" s="208"/>
      <c r="F2547" s="168"/>
      <c r="G2547" s="209"/>
      <c r="H2547" s="168"/>
      <c r="I2547" s="208"/>
    </row>
    <row r="2548">
      <c r="B2548" s="168"/>
      <c r="D2548" s="76"/>
      <c r="E2548" s="208"/>
      <c r="F2548" s="168"/>
      <c r="G2548" s="209"/>
      <c r="H2548" s="168"/>
      <c r="I2548" s="208"/>
    </row>
    <row r="2549">
      <c r="B2549" s="168"/>
      <c r="D2549" s="76"/>
      <c r="E2549" s="208"/>
      <c r="F2549" s="168"/>
      <c r="G2549" s="209"/>
      <c r="H2549" s="168"/>
      <c r="I2549" s="208"/>
    </row>
    <row r="2550">
      <c r="B2550" s="168"/>
      <c r="D2550" s="76"/>
      <c r="E2550" s="208"/>
      <c r="F2550" s="168"/>
      <c r="G2550" s="209"/>
      <c r="H2550" s="168"/>
      <c r="I2550" s="208"/>
    </row>
    <row r="2551">
      <c r="B2551" s="168"/>
      <c r="D2551" s="76"/>
      <c r="E2551" s="208"/>
      <c r="F2551" s="168"/>
      <c r="G2551" s="209"/>
      <c r="H2551" s="168"/>
      <c r="I2551" s="208"/>
    </row>
    <row r="2552">
      <c r="B2552" s="168"/>
      <c r="D2552" s="76"/>
      <c r="E2552" s="208"/>
      <c r="F2552" s="168"/>
      <c r="G2552" s="209"/>
      <c r="H2552" s="168"/>
      <c r="I2552" s="208"/>
    </row>
    <row r="2553">
      <c r="B2553" s="168"/>
      <c r="D2553" s="76"/>
      <c r="E2553" s="208"/>
      <c r="F2553" s="168"/>
      <c r="G2553" s="209"/>
      <c r="H2553" s="168"/>
      <c r="I2553" s="208"/>
    </row>
    <row r="2554">
      <c r="B2554" s="168"/>
      <c r="D2554" s="76"/>
      <c r="E2554" s="208"/>
      <c r="F2554" s="168"/>
      <c r="G2554" s="209"/>
      <c r="H2554" s="168"/>
      <c r="I2554" s="208"/>
    </row>
    <row r="2555">
      <c r="B2555" s="168"/>
      <c r="D2555" s="76"/>
      <c r="E2555" s="208"/>
      <c r="F2555" s="168"/>
      <c r="G2555" s="209"/>
      <c r="H2555" s="168"/>
      <c r="I2555" s="208"/>
    </row>
    <row r="2556">
      <c r="B2556" s="168"/>
      <c r="D2556" s="76"/>
      <c r="E2556" s="208"/>
      <c r="F2556" s="168"/>
      <c r="G2556" s="209"/>
      <c r="H2556" s="168"/>
      <c r="I2556" s="208"/>
    </row>
    <row r="2557">
      <c r="B2557" s="168"/>
      <c r="D2557" s="76"/>
      <c r="E2557" s="208"/>
      <c r="F2557" s="168"/>
      <c r="G2557" s="209"/>
      <c r="H2557" s="168"/>
      <c r="I2557" s="208"/>
    </row>
    <row r="2558">
      <c r="B2558" s="168"/>
      <c r="D2558" s="76"/>
      <c r="E2558" s="208"/>
      <c r="F2558" s="168"/>
      <c r="G2558" s="209"/>
      <c r="H2558" s="168"/>
      <c r="I2558" s="208"/>
    </row>
    <row r="2559">
      <c r="B2559" s="168"/>
      <c r="D2559" s="76"/>
      <c r="E2559" s="208"/>
      <c r="F2559" s="168"/>
      <c r="G2559" s="209"/>
      <c r="H2559" s="168"/>
      <c r="I2559" s="208"/>
    </row>
    <row r="2560">
      <c r="B2560" s="168"/>
      <c r="D2560" s="76"/>
      <c r="E2560" s="208"/>
      <c r="F2560" s="168"/>
      <c r="G2560" s="209"/>
      <c r="H2560" s="168"/>
      <c r="I2560" s="208"/>
    </row>
    <row r="2561">
      <c r="B2561" s="168"/>
      <c r="D2561" s="76"/>
      <c r="E2561" s="208"/>
      <c r="F2561" s="168"/>
      <c r="G2561" s="209"/>
      <c r="H2561" s="168"/>
      <c r="I2561" s="208"/>
    </row>
    <row r="2562">
      <c r="B2562" s="168"/>
      <c r="D2562" s="76"/>
      <c r="E2562" s="208"/>
      <c r="F2562" s="168"/>
      <c r="G2562" s="209"/>
      <c r="H2562" s="168"/>
      <c r="I2562" s="208"/>
    </row>
    <row r="2563">
      <c r="B2563" s="168"/>
      <c r="D2563" s="76"/>
      <c r="E2563" s="208"/>
      <c r="F2563" s="168"/>
      <c r="G2563" s="209"/>
      <c r="H2563" s="168"/>
      <c r="I2563" s="208"/>
    </row>
    <row r="2564">
      <c r="B2564" s="168"/>
      <c r="D2564" s="76"/>
      <c r="E2564" s="208"/>
      <c r="F2564" s="168"/>
      <c r="G2564" s="209"/>
      <c r="H2564" s="168"/>
      <c r="I2564" s="208"/>
    </row>
    <row r="2565">
      <c r="B2565" s="168"/>
      <c r="D2565" s="76"/>
      <c r="E2565" s="208"/>
      <c r="F2565" s="168"/>
      <c r="G2565" s="209"/>
      <c r="H2565" s="168"/>
      <c r="I2565" s="208"/>
    </row>
    <row r="2566">
      <c r="B2566" s="168"/>
      <c r="D2566" s="76"/>
      <c r="E2566" s="208"/>
      <c r="F2566" s="168"/>
      <c r="G2566" s="209"/>
      <c r="H2566" s="168"/>
      <c r="I2566" s="208"/>
    </row>
    <row r="2567">
      <c r="B2567" s="168"/>
      <c r="D2567" s="76"/>
      <c r="E2567" s="208"/>
      <c r="F2567" s="168"/>
      <c r="G2567" s="209"/>
      <c r="H2567" s="168"/>
      <c r="I2567" s="208"/>
    </row>
    <row r="2568">
      <c r="B2568" s="168"/>
      <c r="D2568" s="76"/>
      <c r="E2568" s="208"/>
      <c r="F2568" s="168"/>
      <c r="G2568" s="209"/>
      <c r="H2568" s="168"/>
      <c r="I2568" s="208"/>
    </row>
    <row r="2569">
      <c r="B2569" s="168"/>
      <c r="D2569" s="76"/>
      <c r="E2569" s="208"/>
      <c r="F2569" s="168"/>
      <c r="G2569" s="209"/>
      <c r="H2569" s="168"/>
      <c r="I2569" s="208"/>
    </row>
    <row r="2570">
      <c r="B2570" s="168"/>
      <c r="D2570" s="76"/>
      <c r="E2570" s="208"/>
      <c r="F2570" s="168"/>
      <c r="G2570" s="209"/>
      <c r="H2570" s="168"/>
      <c r="I2570" s="208"/>
    </row>
    <row r="2571">
      <c r="B2571" s="168"/>
      <c r="D2571" s="76"/>
      <c r="E2571" s="208"/>
      <c r="F2571" s="168"/>
      <c r="G2571" s="209"/>
      <c r="H2571" s="168"/>
      <c r="I2571" s="208"/>
    </row>
    <row r="2572">
      <c r="B2572" s="168"/>
      <c r="D2572" s="76"/>
      <c r="E2572" s="208"/>
      <c r="F2572" s="168"/>
      <c r="G2572" s="209"/>
      <c r="H2572" s="168"/>
      <c r="I2572" s="208"/>
    </row>
    <row r="2573">
      <c r="B2573" s="168"/>
      <c r="D2573" s="76"/>
      <c r="E2573" s="208"/>
      <c r="F2573" s="168"/>
      <c r="G2573" s="209"/>
      <c r="H2573" s="168"/>
      <c r="I2573" s="208"/>
    </row>
    <row r="2574">
      <c r="B2574" s="168"/>
      <c r="D2574" s="76"/>
      <c r="E2574" s="208"/>
      <c r="F2574" s="168"/>
      <c r="G2574" s="209"/>
      <c r="H2574" s="168"/>
      <c r="I2574" s="208"/>
    </row>
    <row r="2575">
      <c r="B2575" s="168"/>
      <c r="D2575" s="76"/>
      <c r="E2575" s="208"/>
      <c r="F2575" s="168"/>
      <c r="G2575" s="209"/>
      <c r="H2575" s="168"/>
      <c r="I2575" s="208"/>
    </row>
    <row r="2576">
      <c r="B2576" s="168"/>
      <c r="D2576" s="76"/>
      <c r="E2576" s="208"/>
      <c r="F2576" s="168"/>
      <c r="G2576" s="209"/>
      <c r="H2576" s="168"/>
      <c r="I2576" s="208"/>
    </row>
    <row r="2577">
      <c r="B2577" s="168"/>
      <c r="D2577" s="76"/>
      <c r="E2577" s="208"/>
      <c r="F2577" s="168"/>
      <c r="G2577" s="209"/>
      <c r="H2577" s="168"/>
      <c r="I2577" s="208"/>
    </row>
    <row r="2578">
      <c r="B2578" s="168"/>
      <c r="D2578" s="76"/>
      <c r="E2578" s="208"/>
      <c r="F2578" s="168"/>
      <c r="G2578" s="209"/>
      <c r="H2578" s="168"/>
      <c r="I2578" s="208"/>
    </row>
    <row r="2579">
      <c r="B2579" s="168"/>
      <c r="D2579" s="76"/>
      <c r="E2579" s="208"/>
      <c r="F2579" s="168"/>
      <c r="G2579" s="209"/>
      <c r="H2579" s="168"/>
      <c r="I2579" s="208"/>
    </row>
    <row r="2580">
      <c r="B2580" s="168"/>
      <c r="D2580" s="76"/>
      <c r="E2580" s="208"/>
      <c r="F2580" s="168"/>
      <c r="G2580" s="209"/>
      <c r="H2580" s="168"/>
      <c r="I2580" s="208"/>
    </row>
    <row r="2581">
      <c r="B2581" s="168"/>
      <c r="D2581" s="76"/>
      <c r="E2581" s="208"/>
      <c r="F2581" s="168"/>
      <c r="G2581" s="209"/>
      <c r="H2581" s="168"/>
      <c r="I2581" s="208"/>
    </row>
    <row r="2582">
      <c r="B2582" s="168"/>
      <c r="D2582" s="76"/>
      <c r="E2582" s="208"/>
      <c r="F2582" s="168"/>
      <c r="G2582" s="209"/>
      <c r="H2582" s="168"/>
      <c r="I2582" s="208"/>
    </row>
    <row r="2583">
      <c r="B2583" s="168"/>
      <c r="D2583" s="76"/>
      <c r="E2583" s="208"/>
      <c r="F2583" s="168"/>
      <c r="G2583" s="209"/>
      <c r="H2583" s="168"/>
      <c r="I2583" s="208"/>
    </row>
    <row r="2584">
      <c r="B2584" s="168"/>
      <c r="D2584" s="76"/>
      <c r="E2584" s="208"/>
      <c r="F2584" s="168"/>
      <c r="G2584" s="209"/>
      <c r="H2584" s="168"/>
      <c r="I2584" s="208"/>
    </row>
    <row r="2585">
      <c r="B2585" s="168"/>
      <c r="D2585" s="76"/>
      <c r="E2585" s="208"/>
      <c r="F2585" s="168"/>
      <c r="G2585" s="209"/>
      <c r="H2585" s="168"/>
      <c r="I2585" s="208"/>
    </row>
    <row r="2586">
      <c r="B2586" s="168"/>
      <c r="D2586" s="76"/>
      <c r="E2586" s="208"/>
      <c r="F2586" s="168"/>
      <c r="G2586" s="209"/>
      <c r="H2586" s="168"/>
      <c r="I2586" s="208"/>
    </row>
    <row r="2587">
      <c r="B2587" s="168"/>
      <c r="D2587" s="76"/>
      <c r="E2587" s="208"/>
      <c r="F2587" s="168"/>
      <c r="G2587" s="209"/>
      <c r="H2587" s="168"/>
      <c r="I2587" s="208"/>
    </row>
    <row r="2588">
      <c r="B2588" s="168"/>
      <c r="D2588" s="76"/>
      <c r="E2588" s="208"/>
      <c r="F2588" s="168"/>
      <c r="G2588" s="209"/>
      <c r="H2588" s="168"/>
      <c r="I2588" s="208"/>
    </row>
    <row r="2589">
      <c r="B2589" s="168"/>
      <c r="D2589" s="76"/>
      <c r="E2589" s="208"/>
      <c r="F2589" s="168"/>
      <c r="G2589" s="209"/>
      <c r="H2589" s="168"/>
      <c r="I2589" s="208"/>
    </row>
    <row r="2590">
      <c r="B2590" s="168"/>
      <c r="D2590" s="76"/>
      <c r="E2590" s="208"/>
      <c r="F2590" s="168"/>
      <c r="G2590" s="209"/>
      <c r="H2590" s="168"/>
      <c r="I2590" s="208"/>
    </row>
    <row r="2591">
      <c r="B2591" s="168"/>
      <c r="D2591" s="76"/>
      <c r="E2591" s="208"/>
      <c r="F2591" s="168"/>
      <c r="G2591" s="209"/>
      <c r="H2591" s="168"/>
      <c r="I2591" s="208"/>
    </row>
    <row r="2592">
      <c r="B2592" s="168"/>
      <c r="D2592" s="76"/>
      <c r="E2592" s="208"/>
      <c r="F2592" s="168"/>
      <c r="G2592" s="209"/>
      <c r="H2592" s="168"/>
      <c r="I2592" s="208"/>
    </row>
    <row r="2593">
      <c r="B2593" s="168"/>
      <c r="D2593" s="76"/>
      <c r="E2593" s="208"/>
      <c r="F2593" s="168"/>
      <c r="G2593" s="209"/>
      <c r="H2593" s="168"/>
      <c r="I2593" s="208"/>
    </row>
    <row r="2594">
      <c r="B2594" s="168"/>
      <c r="D2594" s="76"/>
      <c r="E2594" s="208"/>
      <c r="F2594" s="168"/>
      <c r="G2594" s="209"/>
      <c r="H2594" s="168"/>
      <c r="I2594" s="208"/>
    </row>
    <row r="2595">
      <c r="B2595" s="168"/>
      <c r="D2595" s="76"/>
      <c r="E2595" s="208"/>
      <c r="F2595" s="168"/>
      <c r="G2595" s="209"/>
      <c r="H2595" s="168"/>
      <c r="I2595" s="208"/>
    </row>
    <row r="2596">
      <c r="B2596" s="168"/>
      <c r="D2596" s="76"/>
      <c r="E2596" s="208"/>
      <c r="F2596" s="168"/>
      <c r="G2596" s="209"/>
      <c r="H2596" s="168"/>
      <c r="I2596" s="208"/>
    </row>
    <row r="2597">
      <c r="B2597" s="168"/>
      <c r="D2597" s="76"/>
      <c r="E2597" s="208"/>
      <c r="F2597" s="168"/>
      <c r="G2597" s="209"/>
      <c r="H2597" s="168"/>
      <c r="I2597" s="208"/>
    </row>
    <row r="2598">
      <c r="B2598" s="168"/>
      <c r="D2598" s="76"/>
      <c r="E2598" s="208"/>
      <c r="F2598" s="168"/>
      <c r="G2598" s="209"/>
      <c r="H2598" s="168"/>
      <c r="I2598" s="208"/>
    </row>
    <row r="2599">
      <c r="B2599" s="168"/>
      <c r="D2599" s="76"/>
      <c r="E2599" s="208"/>
      <c r="F2599" s="168"/>
      <c r="G2599" s="209"/>
      <c r="H2599" s="168"/>
      <c r="I2599" s="208"/>
    </row>
    <row r="2600">
      <c r="B2600" s="168"/>
      <c r="D2600" s="76"/>
      <c r="E2600" s="208"/>
      <c r="F2600" s="168"/>
      <c r="G2600" s="209"/>
      <c r="H2600" s="168"/>
      <c r="I2600" s="208"/>
    </row>
    <row r="2601">
      <c r="B2601" s="168"/>
      <c r="D2601" s="76"/>
      <c r="E2601" s="208"/>
      <c r="F2601" s="168"/>
      <c r="G2601" s="209"/>
      <c r="H2601" s="168"/>
      <c r="I2601" s="208"/>
    </row>
    <row r="2602">
      <c r="B2602" s="168"/>
      <c r="D2602" s="76"/>
      <c r="E2602" s="208"/>
      <c r="F2602" s="168"/>
      <c r="G2602" s="209"/>
      <c r="H2602" s="168"/>
      <c r="I2602" s="208"/>
    </row>
    <row r="2603">
      <c r="B2603" s="168"/>
      <c r="D2603" s="76"/>
      <c r="E2603" s="208"/>
      <c r="F2603" s="168"/>
      <c r="G2603" s="209"/>
      <c r="H2603" s="168"/>
      <c r="I2603" s="208"/>
    </row>
    <row r="2604">
      <c r="B2604" s="168"/>
      <c r="D2604" s="76"/>
      <c r="E2604" s="208"/>
      <c r="F2604" s="168"/>
      <c r="G2604" s="209"/>
      <c r="H2604" s="168"/>
      <c r="I2604" s="208"/>
    </row>
    <row r="2605">
      <c r="B2605" s="168"/>
      <c r="D2605" s="76"/>
      <c r="E2605" s="208"/>
      <c r="F2605" s="168"/>
      <c r="G2605" s="209"/>
      <c r="H2605" s="168"/>
      <c r="I2605" s="208"/>
    </row>
    <row r="2606">
      <c r="B2606" s="168"/>
      <c r="D2606" s="76"/>
      <c r="E2606" s="208"/>
      <c r="F2606" s="168"/>
      <c r="G2606" s="209"/>
      <c r="H2606" s="168"/>
      <c r="I2606" s="208"/>
    </row>
    <row r="2607">
      <c r="B2607" s="168"/>
      <c r="D2607" s="76"/>
      <c r="E2607" s="208"/>
      <c r="F2607" s="168"/>
      <c r="G2607" s="209"/>
      <c r="H2607" s="168"/>
      <c r="I2607" s="208"/>
    </row>
    <row r="2608">
      <c r="B2608" s="168"/>
      <c r="D2608" s="76"/>
      <c r="E2608" s="208"/>
      <c r="F2608" s="168"/>
      <c r="G2608" s="209"/>
      <c r="H2608" s="168"/>
      <c r="I2608" s="208"/>
    </row>
    <row r="2609">
      <c r="B2609" s="168"/>
      <c r="D2609" s="76"/>
      <c r="E2609" s="208"/>
      <c r="F2609" s="168"/>
      <c r="G2609" s="209"/>
      <c r="H2609" s="168"/>
      <c r="I2609" s="208"/>
    </row>
    <row r="2610">
      <c r="B2610" s="168"/>
      <c r="D2610" s="76"/>
      <c r="E2610" s="208"/>
      <c r="F2610" s="168"/>
      <c r="G2610" s="209"/>
      <c r="H2610" s="168"/>
      <c r="I2610" s="208"/>
    </row>
    <row r="2611">
      <c r="B2611" s="168"/>
      <c r="D2611" s="76"/>
      <c r="E2611" s="208"/>
      <c r="F2611" s="168"/>
      <c r="G2611" s="209"/>
      <c r="H2611" s="168"/>
      <c r="I2611" s="208"/>
    </row>
    <row r="2612">
      <c r="B2612" s="168"/>
      <c r="D2612" s="76"/>
      <c r="E2612" s="208"/>
      <c r="F2612" s="168"/>
      <c r="G2612" s="209"/>
      <c r="H2612" s="168"/>
      <c r="I2612" s="208"/>
    </row>
    <row r="2613">
      <c r="B2613" s="168"/>
      <c r="D2613" s="76"/>
      <c r="E2613" s="208"/>
      <c r="F2613" s="168"/>
      <c r="G2613" s="209"/>
      <c r="H2613" s="168"/>
      <c r="I2613" s="208"/>
    </row>
    <row r="2614">
      <c r="B2614" s="168"/>
      <c r="D2614" s="76"/>
      <c r="E2614" s="208"/>
      <c r="F2614" s="168"/>
      <c r="G2614" s="209"/>
      <c r="H2614" s="168"/>
      <c r="I2614" s="208"/>
    </row>
    <row r="2615">
      <c r="B2615" s="168"/>
      <c r="D2615" s="76"/>
      <c r="E2615" s="208"/>
      <c r="F2615" s="168"/>
      <c r="G2615" s="209"/>
      <c r="H2615" s="168"/>
      <c r="I2615" s="208"/>
    </row>
    <row r="2616">
      <c r="B2616" s="168"/>
      <c r="D2616" s="76"/>
      <c r="E2616" s="208"/>
      <c r="F2616" s="168"/>
      <c r="G2616" s="209"/>
      <c r="H2616" s="168"/>
      <c r="I2616" s="208"/>
    </row>
    <row r="2617">
      <c r="B2617" s="168"/>
      <c r="D2617" s="76"/>
      <c r="E2617" s="208"/>
      <c r="F2617" s="168"/>
      <c r="G2617" s="209"/>
      <c r="H2617" s="168"/>
      <c r="I2617" s="208"/>
    </row>
    <row r="2618">
      <c r="B2618" s="168"/>
      <c r="D2618" s="76"/>
      <c r="E2618" s="208"/>
      <c r="F2618" s="168"/>
      <c r="G2618" s="209"/>
      <c r="H2618" s="168"/>
      <c r="I2618" s="208"/>
    </row>
    <row r="2619">
      <c r="B2619" s="168"/>
      <c r="D2619" s="76"/>
      <c r="E2619" s="208"/>
      <c r="F2619" s="168"/>
      <c r="G2619" s="209"/>
      <c r="H2619" s="168"/>
      <c r="I2619" s="208"/>
    </row>
    <row r="2620">
      <c r="B2620" s="168"/>
      <c r="D2620" s="76"/>
      <c r="E2620" s="208"/>
      <c r="F2620" s="168"/>
      <c r="G2620" s="209"/>
      <c r="H2620" s="168"/>
      <c r="I2620" s="208"/>
    </row>
    <row r="2621">
      <c r="B2621" s="168"/>
      <c r="D2621" s="76"/>
      <c r="E2621" s="208"/>
      <c r="F2621" s="168"/>
      <c r="G2621" s="209"/>
      <c r="H2621" s="168"/>
      <c r="I2621" s="208"/>
    </row>
    <row r="2622">
      <c r="B2622" s="168"/>
      <c r="D2622" s="76"/>
      <c r="E2622" s="208"/>
      <c r="F2622" s="168"/>
      <c r="G2622" s="209"/>
      <c r="H2622" s="168"/>
      <c r="I2622" s="208"/>
    </row>
    <row r="2623">
      <c r="B2623" s="168"/>
      <c r="D2623" s="76"/>
      <c r="E2623" s="208"/>
      <c r="F2623" s="168"/>
      <c r="G2623" s="209"/>
      <c r="H2623" s="168"/>
      <c r="I2623" s="208"/>
    </row>
    <row r="2624">
      <c r="B2624" s="168"/>
      <c r="D2624" s="76"/>
      <c r="E2624" s="208"/>
      <c r="F2624" s="168"/>
      <c r="G2624" s="209"/>
      <c r="H2624" s="168"/>
      <c r="I2624" s="208"/>
    </row>
    <row r="2625">
      <c r="B2625" s="168"/>
      <c r="D2625" s="76"/>
      <c r="E2625" s="208"/>
      <c r="F2625" s="168"/>
      <c r="G2625" s="209"/>
      <c r="H2625" s="168"/>
      <c r="I2625" s="208"/>
    </row>
    <row r="2626">
      <c r="B2626" s="168"/>
      <c r="D2626" s="76"/>
      <c r="E2626" s="208"/>
      <c r="F2626" s="168"/>
      <c r="G2626" s="209"/>
      <c r="H2626" s="168"/>
      <c r="I2626" s="208"/>
    </row>
    <row r="2627">
      <c r="B2627" s="168"/>
      <c r="D2627" s="76"/>
      <c r="E2627" s="208"/>
      <c r="F2627" s="168"/>
      <c r="G2627" s="209"/>
      <c r="H2627" s="168"/>
      <c r="I2627" s="208"/>
    </row>
    <row r="2628">
      <c r="B2628" s="168"/>
      <c r="D2628" s="76"/>
      <c r="E2628" s="208"/>
      <c r="F2628" s="168"/>
      <c r="G2628" s="209"/>
      <c r="H2628" s="168"/>
      <c r="I2628" s="208"/>
    </row>
    <row r="2629">
      <c r="B2629" s="168"/>
      <c r="D2629" s="76"/>
      <c r="E2629" s="208"/>
      <c r="F2629" s="168"/>
      <c r="G2629" s="209"/>
      <c r="H2629" s="168"/>
      <c r="I2629" s="208"/>
    </row>
    <row r="2630">
      <c r="B2630" s="168"/>
      <c r="D2630" s="76"/>
      <c r="E2630" s="208"/>
      <c r="F2630" s="168"/>
      <c r="G2630" s="209"/>
      <c r="H2630" s="168"/>
      <c r="I2630" s="208"/>
    </row>
    <row r="2631">
      <c r="B2631" s="168"/>
      <c r="D2631" s="76"/>
      <c r="E2631" s="208"/>
      <c r="F2631" s="168"/>
      <c r="G2631" s="209"/>
      <c r="H2631" s="168"/>
      <c r="I2631" s="208"/>
    </row>
    <row r="2632">
      <c r="B2632" s="168"/>
      <c r="D2632" s="76"/>
      <c r="E2632" s="208"/>
      <c r="F2632" s="168"/>
      <c r="G2632" s="209"/>
      <c r="H2632" s="168"/>
      <c r="I2632" s="208"/>
    </row>
    <row r="2633">
      <c r="B2633" s="168"/>
      <c r="D2633" s="76"/>
      <c r="E2633" s="208"/>
      <c r="F2633" s="168"/>
      <c r="G2633" s="209"/>
      <c r="H2633" s="168"/>
      <c r="I2633" s="208"/>
    </row>
    <row r="2634">
      <c r="B2634" s="168"/>
      <c r="D2634" s="76"/>
      <c r="E2634" s="208"/>
      <c r="F2634" s="168"/>
      <c r="G2634" s="209"/>
      <c r="H2634" s="168"/>
      <c r="I2634" s="208"/>
    </row>
    <row r="2635">
      <c r="B2635" s="168"/>
      <c r="D2635" s="76"/>
      <c r="E2635" s="208"/>
      <c r="F2635" s="168"/>
      <c r="G2635" s="209"/>
      <c r="H2635" s="168"/>
      <c r="I2635" s="208"/>
    </row>
    <row r="2636">
      <c r="B2636" s="168"/>
      <c r="D2636" s="76"/>
      <c r="E2636" s="208"/>
      <c r="F2636" s="168"/>
      <c r="G2636" s="209"/>
      <c r="H2636" s="168"/>
      <c r="I2636" s="208"/>
    </row>
    <row r="2637">
      <c r="B2637" s="168"/>
      <c r="D2637" s="76"/>
      <c r="E2637" s="208"/>
      <c r="F2637" s="168"/>
      <c r="G2637" s="209"/>
      <c r="H2637" s="168"/>
      <c r="I2637" s="208"/>
    </row>
    <row r="2638">
      <c r="B2638" s="168"/>
      <c r="D2638" s="76"/>
      <c r="E2638" s="208"/>
      <c r="F2638" s="168"/>
      <c r="G2638" s="209"/>
      <c r="H2638" s="168"/>
      <c r="I2638" s="208"/>
    </row>
    <row r="2639">
      <c r="B2639" s="168"/>
      <c r="D2639" s="76"/>
      <c r="E2639" s="208"/>
      <c r="F2639" s="168"/>
      <c r="G2639" s="209"/>
      <c r="H2639" s="168"/>
      <c r="I2639" s="208"/>
    </row>
    <row r="2640">
      <c r="B2640" s="168"/>
      <c r="D2640" s="76"/>
      <c r="E2640" s="208"/>
      <c r="F2640" s="168"/>
      <c r="G2640" s="209"/>
      <c r="H2640" s="168"/>
      <c r="I2640" s="208"/>
    </row>
    <row r="2641">
      <c r="B2641" s="168"/>
      <c r="D2641" s="76"/>
      <c r="E2641" s="208"/>
      <c r="F2641" s="168"/>
      <c r="G2641" s="209"/>
      <c r="H2641" s="168"/>
      <c r="I2641" s="208"/>
    </row>
    <row r="2642">
      <c r="B2642" s="168"/>
      <c r="D2642" s="76"/>
      <c r="E2642" s="208"/>
      <c r="F2642" s="168"/>
      <c r="G2642" s="209"/>
      <c r="H2642" s="168"/>
      <c r="I2642" s="208"/>
    </row>
    <row r="2643">
      <c r="B2643" s="168"/>
      <c r="D2643" s="76"/>
      <c r="E2643" s="208"/>
      <c r="F2643" s="168"/>
      <c r="G2643" s="209"/>
      <c r="H2643" s="168"/>
      <c r="I2643" s="208"/>
    </row>
    <row r="2644">
      <c r="B2644" s="168"/>
      <c r="D2644" s="76"/>
      <c r="E2644" s="208"/>
      <c r="F2644" s="168"/>
      <c r="G2644" s="209"/>
      <c r="H2644" s="168"/>
      <c r="I2644" s="208"/>
    </row>
    <row r="2645">
      <c r="B2645" s="168"/>
      <c r="D2645" s="76"/>
      <c r="E2645" s="208"/>
      <c r="F2645" s="168"/>
      <c r="G2645" s="209"/>
      <c r="H2645" s="168"/>
      <c r="I2645" s="208"/>
    </row>
    <row r="2646">
      <c r="B2646" s="168"/>
      <c r="D2646" s="76"/>
      <c r="E2646" s="208"/>
      <c r="F2646" s="168"/>
      <c r="G2646" s="209"/>
      <c r="H2646" s="168"/>
      <c r="I2646" s="208"/>
    </row>
    <row r="2647">
      <c r="B2647" s="168"/>
      <c r="D2647" s="76"/>
      <c r="E2647" s="208"/>
      <c r="F2647" s="168"/>
      <c r="G2647" s="209"/>
      <c r="H2647" s="168"/>
      <c r="I2647" s="208"/>
    </row>
    <row r="2648">
      <c r="B2648" s="168"/>
      <c r="D2648" s="76"/>
      <c r="E2648" s="208"/>
      <c r="F2648" s="168"/>
      <c r="G2648" s="209"/>
      <c r="H2648" s="168"/>
      <c r="I2648" s="208"/>
    </row>
    <row r="2649">
      <c r="B2649" s="168"/>
      <c r="D2649" s="76"/>
      <c r="E2649" s="208"/>
      <c r="F2649" s="168"/>
      <c r="G2649" s="209"/>
      <c r="H2649" s="168"/>
      <c r="I2649" s="208"/>
    </row>
    <row r="2650">
      <c r="B2650" s="168"/>
      <c r="D2650" s="76"/>
      <c r="E2650" s="208"/>
      <c r="F2650" s="168"/>
      <c r="G2650" s="209"/>
      <c r="H2650" s="168"/>
      <c r="I2650" s="208"/>
    </row>
    <row r="2651">
      <c r="B2651" s="168"/>
      <c r="D2651" s="76"/>
      <c r="E2651" s="208"/>
      <c r="F2651" s="168"/>
      <c r="G2651" s="209"/>
      <c r="H2651" s="168"/>
      <c r="I2651" s="208"/>
    </row>
    <row r="2652">
      <c r="B2652" s="168"/>
      <c r="D2652" s="76"/>
      <c r="E2652" s="208"/>
      <c r="F2652" s="168"/>
      <c r="G2652" s="209"/>
      <c r="H2652" s="168"/>
      <c r="I2652" s="208"/>
    </row>
    <row r="2653">
      <c r="B2653" s="168"/>
      <c r="D2653" s="76"/>
      <c r="E2653" s="208"/>
      <c r="F2653" s="168"/>
      <c r="G2653" s="209"/>
      <c r="H2653" s="168"/>
      <c r="I2653" s="208"/>
    </row>
    <row r="2654">
      <c r="B2654" s="168"/>
      <c r="D2654" s="76"/>
      <c r="E2654" s="208"/>
      <c r="F2654" s="168"/>
      <c r="G2654" s="209"/>
      <c r="H2654" s="168"/>
      <c r="I2654" s="208"/>
    </row>
    <row r="2655">
      <c r="B2655" s="168"/>
      <c r="D2655" s="76"/>
      <c r="E2655" s="208"/>
      <c r="F2655" s="168"/>
      <c r="G2655" s="209"/>
      <c r="H2655" s="168"/>
      <c r="I2655" s="208"/>
    </row>
    <row r="2656">
      <c r="B2656" s="168"/>
      <c r="D2656" s="76"/>
      <c r="E2656" s="208"/>
      <c r="F2656" s="168"/>
      <c r="G2656" s="209"/>
      <c r="H2656" s="168"/>
      <c r="I2656" s="208"/>
    </row>
    <row r="2657">
      <c r="B2657" s="168"/>
      <c r="D2657" s="76"/>
      <c r="E2657" s="208"/>
      <c r="F2657" s="168"/>
      <c r="G2657" s="209"/>
      <c r="H2657" s="168"/>
      <c r="I2657" s="208"/>
    </row>
    <row r="2658">
      <c r="B2658" s="168"/>
      <c r="D2658" s="76"/>
      <c r="E2658" s="208"/>
      <c r="F2658" s="168"/>
      <c r="G2658" s="209"/>
      <c r="H2658" s="168"/>
      <c r="I2658" s="208"/>
    </row>
    <row r="2659">
      <c r="B2659" s="168"/>
      <c r="D2659" s="76"/>
      <c r="E2659" s="208"/>
      <c r="F2659" s="168"/>
      <c r="G2659" s="209"/>
      <c r="H2659" s="168"/>
      <c r="I2659" s="208"/>
    </row>
    <row r="2660">
      <c r="B2660" s="168"/>
      <c r="D2660" s="76"/>
      <c r="E2660" s="208"/>
      <c r="F2660" s="168"/>
      <c r="G2660" s="209"/>
      <c r="H2660" s="168"/>
      <c r="I2660" s="208"/>
    </row>
    <row r="2661">
      <c r="B2661" s="168"/>
      <c r="D2661" s="76"/>
      <c r="E2661" s="208"/>
      <c r="F2661" s="168"/>
      <c r="G2661" s="209"/>
      <c r="H2661" s="168"/>
      <c r="I2661" s="208"/>
    </row>
    <row r="2662">
      <c r="B2662" s="168"/>
      <c r="D2662" s="76"/>
      <c r="E2662" s="208"/>
      <c r="F2662" s="168"/>
      <c r="G2662" s="209"/>
      <c r="H2662" s="168"/>
      <c r="I2662" s="208"/>
    </row>
    <row r="2663">
      <c r="B2663" s="168"/>
      <c r="D2663" s="76"/>
      <c r="E2663" s="208"/>
      <c r="F2663" s="168"/>
      <c r="G2663" s="209"/>
      <c r="H2663" s="168"/>
      <c r="I2663" s="208"/>
    </row>
    <row r="2664">
      <c r="B2664" s="168"/>
      <c r="D2664" s="76"/>
      <c r="E2664" s="208"/>
      <c r="F2664" s="168"/>
      <c r="G2664" s="209"/>
      <c r="H2664" s="168"/>
      <c r="I2664" s="208"/>
    </row>
    <row r="2665">
      <c r="B2665" s="168"/>
      <c r="D2665" s="76"/>
      <c r="E2665" s="208"/>
      <c r="F2665" s="168"/>
      <c r="G2665" s="209"/>
      <c r="H2665" s="168"/>
      <c r="I2665" s="208"/>
    </row>
    <row r="2666">
      <c r="B2666" s="168"/>
      <c r="D2666" s="76"/>
      <c r="E2666" s="208"/>
      <c r="F2666" s="168"/>
      <c r="G2666" s="209"/>
      <c r="H2666" s="168"/>
      <c r="I2666" s="208"/>
    </row>
    <row r="2667">
      <c r="B2667" s="168"/>
      <c r="D2667" s="76"/>
      <c r="E2667" s="208"/>
      <c r="F2667" s="168"/>
      <c r="G2667" s="209"/>
      <c r="H2667" s="168"/>
      <c r="I2667" s="208"/>
    </row>
    <row r="2668">
      <c r="B2668" s="168"/>
      <c r="D2668" s="76"/>
      <c r="E2668" s="208"/>
      <c r="F2668" s="168"/>
      <c r="G2668" s="209"/>
      <c r="H2668" s="168"/>
      <c r="I2668" s="208"/>
    </row>
    <row r="2669">
      <c r="B2669" s="168"/>
      <c r="D2669" s="76"/>
      <c r="E2669" s="208"/>
      <c r="F2669" s="168"/>
      <c r="G2669" s="209"/>
      <c r="H2669" s="168"/>
      <c r="I2669" s="208"/>
    </row>
    <row r="2670">
      <c r="B2670" s="168"/>
      <c r="D2670" s="76"/>
      <c r="E2670" s="208"/>
      <c r="F2670" s="168"/>
      <c r="G2670" s="209"/>
      <c r="H2670" s="168"/>
      <c r="I2670" s="208"/>
    </row>
    <row r="2671">
      <c r="B2671" s="168"/>
      <c r="D2671" s="76"/>
      <c r="E2671" s="208"/>
      <c r="F2671" s="168"/>
      <c r="G2671" s="209"/>
      <c r="H2671" s="168"/>
      <c r="I2671" s="208"/>
    </row>
    <row r="2672">
      <c r="B2672" s="168"/>
      <c r="D2672" s="76"/>
      <c r="E2672" s="208"/>
      <c r="F2672" s="168"/>
      <c r="G2672" s="209"/>
      <c r="H2672" s="168"/>
      <c r="I2672" s="208"/>
    </row>
    <row r="2673">
      <c r="B2673" s="168"/>
      <c r="D2673" s="76"/>
      <c r="E2673" s="208"/>
      <c r="F2673" s="168"/>
      <c r="G2673" s="209"/>
      <c r="H2673" s="168"/>
      <c r="I2673" s="208"/>
    </row>
    <row r="2674">
      <c r="B2674" s="168"/>
      <c r="D2674" s="76"/>
      <c r="E2674" s="208"/>
      <c r="F2674" s="168"/>
      <c r="G2674" s="209"/>
      <c r="H2674" s="168"/>
      <c r="I2674" s="208"/>
    </row>
    <row r="2675">
      <c r="B2675" s="168"/>
      <c r="D2675" s="76"/>
      <c r="E2675" s="208"/>
      <c r="F2675" s="168"/>
      <c r="G2675" s="209"/>
      <c r="H2675" s="168"/>
      <c r="I2675" s="208"/>
    </row>
    <row r="2676">
      <c r="B2676" s="168"/>
      <c r="D2676" s="76"/>
      <c r="E2676" s="208"/>
      <c r="F2676" s="168"/>
      <c r="G2676" s="209"/>
      <c r="H2676" s="168"/>
      <c r="I2676" s="208"/>
    </row>
    <row r="2677">
      <c r="B2677" s="168"/>
      <c r="D2677" s="76"/>
      <c r="E2677" s="208"/>
      <c r="F2677" s="168"/>
      <c r="G2677" s="209"/>
      <c r="H2677" s="168"/>
      <c r="I2677" s="208"/>
    </row>
    <row r="2678">
      <c r="B2678" s="168"/>
      <c r="D2678" s="76"/>
      <c r="E2678" s="208"/>
      <c r="F2678" s="168"/>
      <c r="G2678" s="209"/>
      <c r="H2678" s="168"/>
      <c r="I2678" s="208"/>
    </row>
    <row r="2679">
      <c r="B2679" s="168"/>
      <c r="D2679" s="76"/>
      <c r="E2679" s="208"/>
      <c r="F2679" s="168"/>
      <c r="G2679" s="209"/>
      <c r="H2679" s="168"/>
      <c r="I2679" s="208"/>
    </row>
    <row r="2680">
      <c r="B2680" s="168"/>
      <c r="D2680" s="76"/>
      <c r="E2680" s="208"/>
      <c r="F2680" s="168"/>
      <c r="G2680" s="209"/>
      <c r="H2680" s="168"/>
      <c r="I2680" s="208"/>
    </row>
    <row r="2681">
      <c r="B2681" s="168"/>
      <c r="D2681" s="76"/>
      <c r="E2681" s="208"/>
      <c r="F2681" s="168"/>
      <c r="G2681" s="209"/>
      <c r="H2681" s="168"/>
      <c r="I2681" s="208"/>
    </row>
    <row r="2682">
      <c r="B2682" s="168"/>
      <c r="D2682" s="76"/>
      <c r="E2682" s="208"/>
      <c r="F2682" s="168"/>
      <c r="G2682" s="209"/>
      <c r="H2682" s="168"/>
      <c r="I2682" s="208"/>
    </row>
    <row r="2683">
      <c r="B2683" s="168"/>
      <c r="D2683" s="76"/>
      <c r="E2683" s="208"/>
      <c r="F2683" s="168"/>
      <c r="G2683" s="209"/>
      <c r="H2683" s="168"/>
      <c r="I2683" s="208"/>
    </row>
    <row r="2684">
      <c r="B2684" s="168"/>
      <c r="D2684" s="76"/>
      <c r="E2684" s="208"/>
      <c r="F2684" s="168"/>
      <c r="G2684" s="209"/>
      <c r="H2684" s="168"/>
      <c r="I2684" s="208"/>
    </row>
    <row r="2685">
      <c r="B2685" s="168"/>
      <c r="D2685" s="76"/>
      <c r="E2685" s="208"/>
      <c r="F2685" s="168"/>
      <c r="G2685" s="209"/>
      <c r="H2685" s="168"/>
      <c r="I2685" s="208"/>
    </row>
    <row r="2686">
      <c r="B2686" s="168"/>
      <c r="D2686" s="76"/>
      <c r="E2686" s="208"/>
      <c r="F2686" s="168"/>
      <c r="G2686" s="209"/>
      <c r="H2686" s="168"/>
      <c r="I2686" s="208"/>
    </row>
    <row r="2687">
      <c r="B2687" s="168"/>
      <c r="D2687" s="76"/>
      <c r="E2687" s="208"/>
      <c r="F2687" s="168"/>
      <c r="G2687" s="209"/>
      <c r="H2687" s="168"/>
      <c r="I2687" s="208"/>
    </row>
    <row r="2688">
      <c r="B2688" s="168"/>
      <c r="D2688" s="76"/>
      <c r="E2688" s="208"/>
      <c r="F2688" s="168"/>
      <c r="G2688" s="209"/>
      <c r="H2688" s="168"/>
      <c r="I2688" s="208"/>
    </row>
    <row r="2689">
      <c r="B2689" s="168"/>
      <c r="D2689" s="76"/>
      <c r="E2689" s="208"/>
      <c r="F2689" s="168"/>
      <c r="G2689" s="209"/>
      <c r="H2689" s="168"/>
      <c r="I2689" s="208"/>
    </row>
    <row r="2690">
      <c r="B2690" s="168"/>
      <c r="D2690" s="76"/>
      <c r="E2690" s="208"/>
      <c r="F2690" s="168"/>
      <c r="G2690" s="209"/>
      <c r="H2690" s="168"/>
      <c r="I2690" s="208"/>
    </row>
    <row r="2691">
      <c r="B2691" s="168"/>
      <c r="D2691" s="76"/>
      <c r="E2691" s="208"/>
      <c r="F2691" s="168"/>
      <c r="G2691" s="209"/>
      <c r="H2691" s="168"/>
      <c r="I2691" s="208"/>
    </row>
    <row r="2692">
      <c r="B2692" s="168"/>
      <c r="D2692" s="76"/>
      <c r="E2692" s="208"/>
      <c r="F2692" s="168"/>
      <c r="G2692" s="209"/>
      <c r="H2692" s="168"/>
      <c r="I2692" s="208"/>
    </row>
    <row r="2693">
      <c r="B2693" s="168"/>
      <c r="D2693" s="76"/>
      <c r="E2693" s="208"/>
      <c r="F2693" s="168"/>
      <c r="G2693" s="209"/>
      <c r="H2693" s="168"/>
      <c r="I2693" s="208"/>
    </row>
    <row r="2694">
      <c r="B2694" s="168"/>
      <c r="D2694" s="76"/>
      <c r="E2694" s="208"/>
      <c r="F2694" s="168"/>
      <c r="G2694" s="209"/>
      <c r="H2694" s="168"/>
      <c r="I2694" s="208"/>
    </row>
    <row r="2695">
      <c r="B2695" s="168"/>
      <c r="D2695" s="76"/>
      <c r="E2695" s="208"/>
      <c r="F2695" s="168"/>
      <c r="G2695" s="209"/>
      <c r="H2695" s="168"/>
      <c r="I2695" s="208"/>
    </row>
    <row r="2696">
      <c r="B2696" s="168"/>
      <c r="D2696" s="76"/>
      <c r="E2696" s="208"/>
      <c r="F2696" s="168"/>
      <c r="G2696" s="209"/>
      <c r="H2696" s="168"/>
      <c r="I2696" s="208"/>
    </row>
    <row r="2697">
      <c r="B2697" s="168"/>
      <c r="D2697" s="76"/>
      <c r="E2697" s="208"/>
      <c r="F2697" s="168"/>
      <c r="G2697" s="209"/>
      <c r="H2697" s="168"/>
      <c r="I2697" s="208"/>
    </row>
    <row r="2698">
      <c r="B2698" s="168"/>
      <c r="D2698" s="76"/>
      <c r="E2698" s="208"/>
      <c r="F2698" s="168"/>
      <c r="G2698" s="209"/>
      <c r="H2698" s="168"/>
      <c r="I2698" s="208"/>
    </row>
    <row r="2699">
      <c r="B2699" s="168"/>
      <c r="D2699" s="76"/>
      <c r="E2699" s="208"/>
      <c r="F2699" s="168"/>
      <c r="G2699" s="209"/>
      <c r="H2699" s="168"/>
      <c r="I2699" s="208"/>
    </row>
    <row r="2700">
      <c r="B2700" s="168"/>
      <c r="D2700" s="76"/>
      <c r="E2700" s="208"/>
      <c r="F2700" s="168"/>
      <c r="G2700" s="209"/>
      <c r="H2700" s="168"/>
      <c r="I2700" s="208"/>
    </row>
    <row r="2701">
      <c r="B2701" s="168"/>
      <c r="D2701" s="76"/>
      <c r="E2701" s="208"/>
      <c r="F2701" s="168"/>
      <c r="G2701" s="209"/>
      <c r="H2701" s="168"/>
      <c r="I2701" s="208"/>
    </row>
    <row r="2702">
      <c r="B2702" s="168"/>
      <c r="D2702" s="76"/>
      <c r="E2702" s="208"/>
      <c r="F2702" s="168"/>
      <c r="G2702" s="209"/>
      <c r="H2702" s="168"/>
      <c r="I2702" s="208"/>
    </row>
    <row r="2703">
      <c r="B2703" s="168"/>
      <c r="D2703" s="76"/>
      <c r="E2703" s="208"/>
      <c r="F2703" s="168"/>
      <c r="G2703" s="209"/>
      <c r="H2703" s="168"/>
      <c r="I2703" s="208"/>
    </row>
    <row r="2704">
      <c r="B2704" s="168"/>
      <c r="D2704" s="76"/>
      <c r="E2704" s="208"/>
      <c r="F2704" s="168"/>
      <c r="G2704" s="209"/>
      <c r="H2704" s="168"/>
      <c r="I2704" s="208"/>
    </row>
    <row r="2705">
      <c r="B2705" s="168"/>
      <c r="D2705" s="76"/>
      <c r="E2705" s="208"/>
      <c r="F2705" s="168"/>
      <c r="G2705" s="209"/>
      <c r="H2705" s="168"/>
      <c r="I2705" s="208"/>
    </row>
    <row r="2706">
      <c r="B2706" s="168"/>
      <c r="D2706" s="76"/>
      <c r="E2706" s="208"/>
      <c r="F2706" s="168"/>
      <c r="G2706" s="209"/>
      <c r="H2706" s="168"/>
      <c r="I2706" s="208"/>
    </row>
    <row r="2707">
      <c r="B2707" s="168"/>
      <c r="D2707" s="76"/>
      <c r="E2707" s="208"/>
      <c r="F2707" s="168"/>
      <c r="G2707" s="209"/>
      <c r="H2707" s="168"/>
      <c r="I2707" s="208"/>
    </row>
    <row r="2708">
      <c r="B2708" s="168"/>
      <c r="D2708" s="76"/>
      <c r="E2708" s="208"/>
      <c r="F2708" s="168"/>
      <c r="G2708" s="209"/>
      <c r="H2708" s="168"/>
      <c r="I2708" s="208"/>
    </row>
    <row r="2709">
      <c r="B2709" s="168"/>
      <c r="D2709" s="76"/>
      <c r="E2709" s="208"/>
      <c r="F2709" s="168"/>
      <c r="G2709" s="209"/>
      <c r="H2709" s="168"/>
      <c r="I2709" s="208"/>
    </row>
    <row r="2710">
      <c r="B2710" s="168"/>
      <c r="D2710" s="76"/>
      <c r="E2710" s="208"/>
      <c r="F2710" s="168"/>
      <c r="G2710" s="209"/>
      <c r="H2710" s="168"/>
      <c r="I2710" s="208"/>
    </row>
    <row r="2711">
      <c r="B2711" s="168"/>
      <c r="D2711" s="76"/>
      <c r="E2711" s="208"/>
      <c r="F2711" s="168"/>
      <c r="G2711" s="209"/>
      <c r="H2711" s="168"/>
      <c r="I2711" s="208"/>
    </row>
    <row r="2712">
      <c r="B2712" s="168"/>
      <c r="D2712" s="76"/>
      <c r="E2712" s="208"/>
      <c r="F2712" s="168"/>
      <c r="G2712" s="209"/>
      <c r="H2712" s="168"/>
      <c r="I2712" s="208"/>
    </row>
    <row r="2713">
      <c r="B2713" s="168"/>
      <c r="D2713" s="76"/>
      <c r="E2713" s="208"/>
      <c r="F2713" s="168"/>
      <c r="G2713" s="209"/>
      <c r="H2713" s="168"/>
      <c r="I2713" s="208"/>
    </row>
    <row r="2714">
      <c r="B2714" s="168"/>
      <c r="D2714" s="76"/>
      <c r="E2714" s="208"/>
      <c r="F2714" s="168"/>
      <c r="G2714" s="209"/>
      <c r="H2714" s="168"/>
      <c r="I2714" s="208"/>
    </row>
    <row r="2715">
      <c r="B2715" s="168"/>
      <c r="D2715" s="76"/>
      <c r="E2715" s="208"/>
      <c r="F2715" s="168"/>
      <c r="G2715" s="209"/>
      <c r="H2715" s="168"/>
      <c r="I2715" s="208"/>
    </row>
    <row r="2716">
      <c r="B2716" s="168"/>
      <c r="D2716" s="76"/>
      <c r="E2716" s="208"/>
      <c r="F2716" s="168"/>
      <c r="G2716" s="209"/>
      <c r="H2716" s="168"/>
      <c r="I2716" s="208"/>
    </row>
    <row r="2717">
      <c r="B2717" s="168"/>
      <c r="D2717" s="76"/>
      <c r="E2717" s="208"/>
      <c r="F2717" s="168"/>
      <c r="G2717" s="209"/>
      <c r="H2717" s="168"/>
      <c r="I2717" s="208"/>
    </row>
    <row r="2718">
      <c r="B2718" s="168"/>
      <c r="D2718" s="76"/>
      <c r="E2718" s="208"/>
      <c r="F2718" s="168"/>
      <c r="G2718" s="209"/>
      <c r="H2718" s="168"/>
      <c r="I2718" s="208"/>
    </row>
    <row r="2719">
      <c r="B2719" s="168"/>
      <c r="D2719" s="76"/>
      <c r="E2719" s="208"/>
      <c r="F2719" s="168"/>
      <c r="G2719" s="209"/>
      <c r="H2719" s="168"/>
      <c r="I2719" s="208"/>
    </row>
    <row r="2720">
      <c r="B2720" s="168"/>
      <c r="D2720" s="76"/>
      <c r="E2720" s="208"/>
      <c r="F2720" s="168"/>
      <c r="G2720" s="209"/>
      <c r="H2720" s="168"/>
      <c r="I2720" s="208"/>
    </row>
    <row r="2721">
      <c r="B2721" s="168"/>
      <c r="D2721" s="76"/>
      <c r="E2721" s="208"/>
      <c r="F2721" s="168"/>
      <c r="G2721" s="209"/>
      <c r="H2721" s="168"/>
      <c r="I2721" s="208"/>
    </row>
    <row r="2722">
      <c r="B2722" s="168"/>
      <c r="D2722" s="76"/>
      <c r="E2722" s="208"/>
      <c r="F2722" s="168"/>
      <c r="G2722" s="209"/>
      <c r="H2722" s="168"/>
      <c r="I2722" s="208"/>
    </row>
    <row r="2723">
      <c r="B2723" s="168"/>
      <c r="D2723" s="76"/>
      <c r="E2723" s="208"/>
      <c r="F2723" s="168"/>
      <c r="G2723" s="209"/>
      <c r="H2723" s="168"/>
      <c r="I2723" s="208"/>
    </row>
    <row r="2724">
      <c r="B2724" s="168"/>
      <c r="D2724" s="76"/>
      <c r="E2724" s="208"/>
      <c r="F2724" s="168"/>
      <c r="G2724" s="209"/>
      <c r="H2724" s="168"/>
      <c r="I2724" s="208"/>
    </row>
    <row r="2725">
      <c r="B2725" s="168"/>
      <c r="D2725" s="76"/>
      <c r="E2725" s="208"/>
      <c r="F2725" s="168"/>
      <c r="G2725" s="209"/>
      <c r="H2725" s="168"/>
      <c r="I2725" s="208"/>
    </row>
    <row r="2726">
      <c r="B2726" s="168"/>
      <c r="D2726" s="76"/>
      <c r="E2726" s="208"/>
      <c r="F2726" s="168"/>
      <c r="G2726" s="209"/>
      <c r="H2726" s="168"/>
      <c r="I2726" s="208"/>
    </row>
    <row r="2727">
      <c r="B2727" s="168"/>
      <c r="D2727" s="76"/>
      <c r="E2727" s="208"/>
      <c r="F2727" s="168"/>
      <c r="G2727" s="209"/>
      <c r="H2727" s="168"/>
      <c r="I2727" s="208"/>
    </row>
    <row r="2728">
      <c r="B2728" s="168"/>
      <c r="D2728" s="76"/>
      <c r="E2728" s="208"/>
      <c r="F2728" s="168"/>
      <c r="G2728" s="209"/>
      <c r="H2728" s="168"/>
      <c r="I2728" s="208"/>
    </row>
    <row r="2729">
      <c r="B2729" s="168"/>
      <c r="D2729" s="76"/>
      <c r="E2729" s="208"/>
      <c r="F2729" s="168"/>
      <c r="G2729" s="209"/>
      <c r="H2729" s="168"/>
      <c r="I2729" s="208"/>
    </row>
    <row r="2730">
      <c r="B2730" s="168"/>
      <c r="D2730" s="76"/>
      <c r="E2730" s="208"/>
      <c r="F2730" s="168"/>
      <c r="G2730" s="209"/>
      <c r="H2730" s="168"/>
      <c r="I2730" s="208"/>
    </row>
    <row r="2731">
      <c r="B2731" s="168"/>
      <c r="D2731" s="76"/>
      <c r="E2731" s="208"/>
      <c r="F2731" s="168"/>
      <c r="G2731" s="209"/>
      <c r="H2731" s="168"/>
      <c r="I2731" s="208"/>
    </row>
    <row r="2732">
      <c r="B2732" s="168"/>
      <c r="D2732" s="76"/>
      <c r="E2732" s="208"/>
      <c r="F2732" s="168"/>
      <c r="G2732" s="209"/>
      <c r="H2732" s="168"/>
      <c r="I2732" s="208"/>
    </row>
    <row r="2733">
      <c r="B2733" s="168"/>
      <c r="D2733" s="76"/>
      <c r="E2733" s="208"/>
      <c r="F2733" s="168"/>
      <c r="G2733" s="209"/>
      <c r="H2733" s="168"/>
      <c r="I2733" s="208"/>
    </row>
    <row r="2734">
      <c r="B2734" s="168"/>
      <c r="D2734" s="76"/>
      <c r="E2734" s="208"/>
      <c r="F2734" s="168"/>
      <c r="G2734" s="209"/>
      <c r="H2734" s="168"/>
      <c r="I2734" s="208"/>
    </row>
    <row r="2735">
      <c r="B2735" s="168"/>
      <c r="D2735" s="76"/>
      <c r="E2735" s="208"/>
      <c r="F2735" s="168"/>
      <c r="G2735" s="209"/>
      <c r="H2735" s="168"/>
      <c r="I2735" s="208"/>
    </row>
    <row r="2736">
      <c r="B2736" s="168"/>
      <c r="D2736" s="76"/>
      <c r="E2736" s="208"/>
      <c r="F2736" s="168"/>
      <c r="G2736" s="209"/>
      <c r="H2736" s="168"/>
      <c r="I2736" s="208"/>
    </row>
    <row r="2737">
      <c r="B2737" s="168"/>
      <c r="D2737" s="76"/>
      <c r="E2737" s="208"/>
      <c r="F2737" s="168"/>
      <c r="G2737" s="209"/>
      <c r="H2737" s="168"/>
      <c r="I2737" s="208"/>
    </row>
    <row r="2738">
      <c r="B2738" s="168"/>
      <c r="D2738" s="76"/>
      <c r="E2738" s="208"/>
      <c r="F2738" s="168"/>
      <c r="G2738" s="209"/>
      <c r="H2738" s="168"/>
      <c r="I2738" s="208"/>
    </row>
    <row r="2739">
      <c r="B2739" s="168"/>
      <c r="D2739" s="76"/>
      <c r="E2739" s="208"/>
      <c r="F2739" s="168"/>
      <c r="G2739" s="209"/>
      <c r="H2739" s="168"/>
      <c r="I2739" s="208"/>
    </row>
    <row r="2740">
      <c r="B2740" s="168"/>
      <c r="D2740" s="76"/>
      <c r="E2740" s="208"/>
      <c r="F2740" s="168"/>
      <c r="G2740" s="209"/>
      <c r="H2740" s="168"/>
      <c r="I2740" s="208"/>
    </row>
    <row r="2741">
      <c r="B2741" s="168"/>
      <c r="D2741" s="76"/>
      <c r="E2741" s="208"/>
      <c r="F2741" s="168"/>
      <c r="G2741" s="209"/>
      <c r="H2741" s="168"/>
      <c r="I2741" s="208"/>
    </row>
    <row r="2742">
      <c r="B2742" s="168"/>
      <c r="D2742" s="76"/>
      <c r="E2742" s="208"/>
      <c r="F2742" s="168"/>
      <c r="G2742" s="209"/>
      <c r="H2742" s="168"/>
      <c r="I2742" s="208"/>
    </row>
    <row r="2743">
      <c r="B2743" s="168"/>
      <c r="D2743" s="76"/>
      <c r="E2743" s="208"/>
      <c r="F2743" s="168"/>
      <c r="G2743" s="209"/>
      <c r="H2743" s="168"/>
      <c r="I2743" s="208"/>
    </row>
    <row r="2744">
      <c r="B2744" s="168"/>
      <c r="D2744" s="76"/>
      <c r="E2744" s="208"/>
      <c r="F2744" s="168"/>
      <c r="G2744" s="209"/>
      <c r="H2744" s="168"/>
      <c r="I2744" s="208"/>
    </row>
    <row r="2745">
      <c r="B2745" s="168"/>
      <c r="D2745" s="76"/>
      <c r="E2745" s="208"/>
      <c r="F2745" s="168"/>
      <c r="G2745" s="209"/>
      <c r="H2745" s="168"/>
      <c r="I2745" s="208"/>
    </row>
    <row r="2746">
      <c r="B2746" s="168"/>
      <c r="D2746" s="76"/>
      <c r="E2746" s="208"/>
      <c r="F2746" s="168"/>
      <c r="G2746" s="209"/>
      <c r="H2746" s="168"/>
      <c r="I2746" s="208"/>
    </row>
    <row r="2747">
      <c r="B2747" s="168"/>
      <c r="D2747" s="76"/>
      <c r="E2747" s="208"/>
      <c r="F2747" s="168"/>
      <c r="G2747" s="209"/>
      <c r="H2747" s="168"/>
      <c r="I2747" s="208"/>
    </row>
    <row r="2748">
      <c r="B2748" s="168"/>
      <c r="D2748" s="76"/>
      <c r="E2748" s="208"/>
      <c r="F2748" s="168"/>
      <c r="G2748" s="209"/>
      <c r="H2748" s="168"/>
      <c r="I2748" s="208"/>
    </row>
    <row r="2749">
      <c r="B2749" s="168"/>
      <c r="D2749" s="76"/>
      <c r="E2749" s="208"/>
      <c r="F2749" s="168"/>
      <c r="G2749" s="209"/>
      <c r="H2749" s="168"/>
      <c r="I2749" s="208"/>
    </row>
    <row r="2750">
      <c r="B2750" s="168"/>
      <c r="D2750" s="76"/>
      <c r="E2750" s="208"/>
      <c r="F2750" s="168"/>
      <c r="G2750" s="209"/>
      <c r="H2750" s="168"/>
      <c r="I2750" s="208"/>
    </row>
    <row r="2751">
      <c r="B2751" s="168"/>
      <c r="D2751" s="76"/>
      <c r="E2751" s="208"/>
      <c r="F2751" s="168"/>
      <c r="G2751" s="209"/>
      <c r="H2751" s="168"/>
      <c r="I2751" s="208"/>
    </row>
    <row r="2752">
      <c r="B2752" s="168"/>
      <c r="D2752" s="76"/>
      <c r="E2752" s="208"/>
      <c r="F2752" s="168"/>
      <c r="G2752" s="209"/>
      <c r="H2752" s="168"/>
      <c r="I2752" s="208"/>
    </row>
    <row r="2753">
      <c r="B2753" s="168"/>
      <c r="D2753" s="76"/>
      <c r="E2753" s="208"/>
      <c r="F2753" s="168"/>
      <c r="G2753" s="209"/>
      <c r="H2753" s="168"/>
      <c r="I2753" s="208"/>
    </row>
    <row r="2754">
      <c r="B2754" s="168"/>
      <c r="D2754" s="76"/>
      <c r="E2754" s="208"/>
      <c r="F2754" s="168"/>
      <c r="G2754" s="209"/>
      <c r="H2754" s="168"/>
      <c r="I2754" s="208"/>
    </row>
    <row r="2755">
      <c r="B2755" s="168"/>
      <c r="D2755" s="76"/>
      <c r="E2755" s="208"/>
      <c r="F2755" s="168"/>
      <c r="G2755" s="209"/>
      <c r="H2755" s="168"/>
      <c r="I2755" s="208"/>
    </row>
    <row r="2756">
      <c r="B2756" s="168"/>
      <c r="D2756" s="76"/>
      <c r="E2756" s="208"/>
      <c r="F2756" s="168"/>
      <c r="G2756" s="209"/>
      <c r="H2756" s="168"/>
      <c r="I2756" s="208"/>
    </row>
    <row r="2757">
      <c r="B2757" s="168"/>
      <c r="D2757" s="76"/>
      <c r="E2757" s="208"/>
      <c r="F2757" s="168"/>
      <c r="G2757" s="209"/>
      <c r="H2757" s="168"/>
      <c r="I2757" s="208"/>
    </row>
    <row r="2758">
      <c r="B2758" s="168"/>
      <c r="D2758" s="76"/>
      <c r="E2758" s="208"/>
      <c r="F2758" s="168"/>
      <c r="G2758" s="209"/>
      <c r="H2758" s="168"/>
      <c r="I2758" s="208"/>
    </row>
    <row r="2759">
      <c r="B2759" s="168"/>
      <c r="D2759" s="76"/>
      <c r="E2759" s="208"/>
      <c r="F2759" s="168"/>
      <c r="G2759" s="209"/>
      <c r="H2759" s="168"/>
      <c r="I2759" s="208"/>
    </row>
    <row r="2760">
      <c r="B2760" s="168"/>
      <c r="D2760" s="76"/>
      <c r="E2760" s="208"/>
      <c r="F2760" s="168"/>
      <c r="G2760" s="209"/>
      <c r="H2760" s="168"/>
      <c r="I2760" s="208"/>
    </row>
    <row r="2761">
      <c r="B2761" s="168"/>
      <c r="D2761" s="76"/>
      <c r="E2761" s="208"/>
      <c r="F2761" s="168"/>
      <c r="G2761" s="209"/>
      <c r="H2761" s="168"/>
      <c r="I2761" s="208"/>
    </row>
    <row r="2762">
      <c r="B2762" s="168"/>
      <c r="D2762" s="76"/>
      <c r="E2762" s="208"/>
      <c r="F2762" s="168"/>
      <c r="G2762" s="209"/>
      <c r="H2762" s="168"/>
      <c r="I2762" s="208"/>
    </row>
    <row r="2763">
      <c r="B2763" s="168"/>
      <c r="D2763" s="76"/>
      <c r="E2763" s="208"/>
      <c r="F2763" s="168"/>
      <c r="G2763" s="209"/>
      <c r="H2763" s="168"/>
      <c r="I2763" s="208"/>
    </row>
    <row r="2764">
      <c r="B2764" s="168"/>
      <c r="D2764" s="76"/>
      <c r="E2764" s="208"/>
      <c r="F2764" s="168"/>
      <c r="G2764" s="209"/>
      <c r="H2764" s="168"/>
      <c r="I2764" s="208"/>
    </row>
    <row r="2765">
      <c r="B2765" s="168"/>
      <c r="D2765" s="76"/>
      <c r="E2765" s="208"/>
      <c r="F2765" s="168"/>
      <c r="G2765" s="209"/>
      <c r="H2765" s="168"/>
      <c r="I2765" s="208"/>
    </row>
    <row r="2766">
      <c r="B2766" s="168"/>
      <c r="D2766" s="76"/>
      <c r="E2766" s="208"/>
      <c r="F2766" s="168"/>
      <c r="G2766" s="209"/>
      <c r="H2766" s="168"/>
      <c r="I2766" s="208"/>
    </row>
    <row r="2767">
      <c r="B2767" s="168"/>
      <c r="D2767" s="76"/>
      <c r="E2767" s="208"/>
      <c r="F2767" s="168"/>
      <c r="G2767" s="209"/>
      <c r="H2767" s="168"/>
      <c r="I2767" s="208"/>
    </row>
    <row r="2768">
      <c r="B2768" s="168"/>
      <c r="D2768" s="76"/>
      <c r="E2768" s="208"/>
      <c r="F2768" s="168"/>
      <c r="G2768" s="209"/>
      <c r="H2768" s="168"/>
      <c r="I2768" s="208"/>
    </row>
    <row r="2769">
      <c r="B2769" s="168"/>
      <c r="D2769" s="76"/>
      <c r="E2769" s="208"/>
      <c r="F2769" s="168"/>
      <c r="G2769" s="209"/>
      <c r="H2769" s="168"/>
      <c r="I2769" s="208"/>
    </row>
    <row r="2770">
      <c r="B2770" s="168"/>
      <c r="D2770" s="76"/>
      <c r="E2770" s="208"/>
      <c r="F2770" s="168"/>
      <c r="G2770" s="209"/>
      <c r="H2770" s="168"/>
      <c r="I2770" s="208"/>
    </row>
    <row r="2771">
      <c r="B2771" s="168"/>
      <c r="D2771" s="76"/>
      <c r="E2771" s="208"/>
      <c r="F2771" s="168"/>
      <c r="G2771" s="209"/>
      <c r="H2771" s="168"/>
      <c r="I2771" s="208"/>
    </row>
    <row r="2772">
      <c r="B2772" s="168"/>
      <c r="D2772" s="76"/>
      <c r="E2772" s="208"/>
      <c r="F2772" s="168"/>
      <c r="G2772" s="209"/>
      <c r="H2772" s="168"/>
      <c r="I2772" s="208"/>
    </row>
    <row r="2773">
      <c r="B2773" s="168"/>
      <c r="D2773" s="76"/>
      <c r="E2773" s="208"/>
      <c r="F2773" s="168"/>
      <c r="G2773" s="209"/>
      <c r="H2773" s="168"/>
      <c r="I2773" s="208"/>
    </row>
    <row r="2774">
      <c r="B2774" s="168"/>
      <c r="D2774" s="76"/>
      <c r="E2774" s="208"/>
      <c r="F2774" s="168"/>
      <c r="G2774" s="209"/>
      <c r="H2774" s="168"/>
      <c r="I2774" s="208"/>
    </row>
    <row r="2775">
      <c r="B2775" s="168"/>
      <c r="D2775" s="76"/>
      <c r="E2775" s="208"/>
      <c r="F2775" s="168"/>
      <c r="G2775" s="209"/>
      <c r="H2775" s="168"/>
      <c r="I2775" s="208"/>
    </row>
    <row r="2776">
      <c r="B2776" s="168"/>
      <c r="D2776" s="76"/>
      <c r="E2776" s="208"/>
      <c r="F2776" s="168"/>
      <c r="G2776" s="209"/>
      <c r="H2776" s="168"/>
      <c r="I2776" s="208"/>
    </row>
    <row r="2777">
      <c r="B2777" s="168"/>
      <c r="D2777" s="76"/>
      <c r="E2777" s="208"/>
      <c r="F2777" s="168"/>
      <c r="G2777" s="209"/>
      <c r="H2777" s="168"/>
      <c r="I2777" s="208"/>
    </row>
    <row r="2778">
      <c r="B2778" s="168"/>
      <c r="D2778" s="76"/>
      <c r="E2778" s="208"/>
      <c r="F2778" s="168"/>
      <c r="G2778" s="209"/>
      <c r="H2778" s="168"/>
      <c r="I2778" s="208"/>
    </row>
    <row r="2779">
      <c r="B2779" s="168"/>
      <c r="D2779" s="76"/>
      <c r="E2779" s="208"/>
      <c r="F2779" s="168"/>
      <c r="G2779" s="209"/>
      <c r="H2779" s="168"/>
      <c r="I2779" s="208"/>
    </row>
    <row r="2780">
      <c r="B2780" s="168"/>
      <c r="D2780" s="76"/>
      <c r="E2780" s="208"/>
      <c r="F2780" s="168"/>
      <c r="G2780" s="209"/>
      <c r="H2780" s="168"/>
      <c r="I2780" s="208"/>
    </row>
    <row r="2781">
      <c r="B2781" s="168"/>
      <c r="D2781" s="76"/>
      <c r="E2781" s="208"/>
      <c r="F2781" s="168"/>
      <c r="G2781" s="209"/>
      <c r="H2781" s="168"/>
      <c r="I2781" s="208"/>
    </row>
    <row r="2782">
      <c r="B2782" s="168"/>
      <c r="D2782" s="76"/>
      <c r="E2782" s="208"/>
      <c r="F2782" s="168"/>
      <c r="G2782" s="209"/>
      <c r="H2782" s="168"/>
      <c r="I2782" s="208"/>
    </row>
    <row r="2783">
      <c r="B2783" s="168"/>
      <c r="D2783" s="76"/>
      <c r="E2783" s="208"/>
      <c r="F2783" s="168"/>
      <c r="G2783" s="209"/>
      <c r="H2783" s="168"/>
      <c r="I2783" s="208"/>
    </row>
    <row r="2784">
      <c r="B2784" s="168"/>
      <c r="D2784" s="76"/>
      <c r="E2784" s="208"/>
      <c r="F2784" s="168"/>
      <c r="G2784" s="209"/>
      <c r="H2784" s="168"/>
      <c r="I2784" s="208"/>
    </row>
    <row r="2785">
      <c r="B2785" s="168"/>
      <c r="D2785" s="76"/>
      <c r="E2785" s="208"/>
      <c r="F2785" s="168"/>
      <c r="G2785" s="209"/>
      <c r="H2785" s="168"/>
      <c r="I2785" s="208"/>
    </row>
    <row r="2786">
      <c r="B2786" s="168"/>
      <c r="D2786" s="76"/>
      <c r="E2786" s="208"/>
      <c r="F2786" s="168"/>
      <c r="G2786" s="209"/>
      <c r="H2786" s="168"/>
      <c r="I2786" s="208"/>
    </row>
    <row r="2787">
      <c r="B2787" s="168"/>
      <c r="D2787" s="76"/>
      <c r="E2787" s="208"/>
      <c r="F2787" s="168"/>
      <c r="G2787" s="209"/>
      <c r="H2787" s="168"/>
      <c r="I2787" s="208"/>
    </row>
    <row r="2788">
      <c r="B2788" s="168"/>
      <c r="D2788" s="76"/>
      <c r="E2788" s="208"/>
      <c r="F2788" s="168"/>
      <c r="G2788" s="209"/>
      <c r="H2788" s="168"/>
      <c r="I2788" s="208"/>
    </row>
    <row r="2789">
      <c r="B2789" s="168"/>
      <c r="D2789" s="76"/>
      <c r="E2789" s="208"/>
      <c r="F2789" s="168"/>
      <c r="G2789" s="209"/>
      <c r="H2789" s="168"/>
      <c r="I2789" s="208"/>
    </row>
    <row r="2790">
      <c r="B2790" s="168"/>
      <c r="D2790" s="76"/>
      <c r="E2790" s="208"/>
      <c r="F2790" s="168"/>
      <c r="G2790" s="209"/>
      <c r="H2790" s="168"/>
      <c r="I2790" s="208"/>
    </row>
    <row r="2791">
      <c r="B2791" s="168"/>
      <c r="D2791" s="76"/>
      <c r="E2791" s="208"/>
      <c r="F2791" s="168"/>
      <c r="G2791" s="209"/>
      <c r="H2791" s="168"/>
      <c r="I2791" s="208"/>
    </row>
    <row r="2792">
      <c r="B2792" s="168"/>
      <c r="D2792" s="76"/>
      <c r="E2792" s="208"/>
      <c r="F2792" s="168"/>
      <c r="G2792" s="209"/>
      <c r="H2792" s="168"/>
      <c r="I2792" s="208"/>
    </row>
    <row r="2793">
      <c r="B2793" s="168"/>
      <c r="D2793" s="76"/>
      <c r="E2793" s="208"/>
      <c r="F2793" s="168"/>
      <c r="G2793" s="209"/>
      <c r="H2793" s="168"/>
      <c r="I2793" s="208"/>
    </row>
    <row r="2794">
      <c r="B2794" s="168"/>
      <c r="D2794" s="76"/>
      <c r="E2794" s="208"/>
      <c r="F2794" s="168"/>
      <c r="G2794" s="209"/>
      <c r="H2794" s="168"/>
      <c r="I2794" s="208"/>
    </row>
    <row r="2795">
      <c r="B2795" s="168"/>
      <c r="D2795" s="76"/>
      <c r="E2795" s="208"/>
      <c r="F2795" s="168"/>
      <c r="G2795" s="209"/>
      <c r="H2795" s="168"/>
      <c r="I2795" s="208"/>
    </row>
    <row r="2796">
      <c r="B2796" s="168"/>
      <c r="D2796" s="76"/>
      <c r="E2796" s="208"/>
      <c r="F2796" s="168"/>
      <c r="G2796" s="209"/>
      <c r="H2796" s="168"/>
      <c r="I2796" s="208"/>
    </row>
    <row r="2797">
      <c r="B2797" s="168"/>
      <c r="D2797" s="76"/>
      <c r="E2797" s="208"/>
      <c r="F2797" s="168"/>
      <c r="G2797" s="209"/>
      <c r="H2797" s="168"/>
      <c r="I2797" s="208"/>
    </row>
    <row r="2798">
      <c r="B2798" s="168"/>
      <c r="D2798" s="76"/>
      <c r="E2798" s="208"/>
      <c r="F2798" s="168"/>
      <c r="G2798" s="209"/>
      <c r="H2798" s="168"/>
      <c r="I2798" s="208"/>
    </row>
    <row r="2799">
      <c r="B2799" s="168"/>
      <c r="D2799" s="76"/>
      <c r="E2799" s="208"/>
      <c r="F2799" s="168"/>
      <c r="G2799" s="209"/>
      <c r="H2799" s="168"/>
      <c r="I2799" s="208"/>
    </row>
    <row r="2800">
      <c r="B2800" s="168"/>
      <c r="D2800" s="76"/>
      <c r="E2800" s="208"/>
      <c r="F2800" s="168"/>
      <c r="G2800" s="209"/>
      <c r="H2800" s="168"/>
      <c r="I2800" s="208"/>
    </row>
    <row r="2801">
      <c r="B2801" s="168"/>
      <c r="D2801" s="76"/>
      <c r="E2801" s="208"/>
      <c r="F2801" s="168"/>
      <c r="G2801" s="209"/>
      <c r="H2801" s="168"/>
      <c r="I2801" s="208"/>
    </row>
    <row r="2802">
      <c r="B2802" s="168"/>
      <c r="D2802" s="76"/>
      <c r="E2802" s="208"/>
      <c r="F2802" s="168"/>
      <c r="G2802" s="209"/>
      <c r="H2802" s="168"/>
      <c r="I2802" s="208"/>
    </row>
    <row r="2803">
      <c r="B2803" s="168"/>
      <c r="D2803" s="76"/>
      <c r="E2803" s="208"/>
      <c r="F2803" s="168"/>
      <c r="G2803" s="209"/>
      <c r="H2803" s="168"/>
      <c r="I2803" s="208"/>
    </row>
    <row r="2804">
      <c r="B2804" s="168"/>
      <c r="D2804" s="76"/>
      <c r="E2804" s="208"/>
      <c r="F2804" s="168"/>
      <c r="G2804" s="209"/>
      <c r="H2804" s="168"/>
      <c r="I2804" s="208"/>
    </row>
    <row r="2805">
      <c r="B2805" s="168"/>
      <c r="D2805" s="76"/>
      <c r="E2805" s="208"/>
      <c r="F2805" s="168"/>
      <c r="G2805" s="209"/>
      <c r="H2805" s="168"/>
      <c r="I2805" s="208"/>
    </row>
    <row r="2806">
      <c r="B2806" s="168"/>
      <c r="D2806" s="76"/>
      <c r="E2806" s="208"/>
      <c r="F2806" s="168"/>
      <c r="G2806" s="209"/>
      <c r="H2806" s="168"/>
      <c r="I2806" s="208"/>
    </row>
    <row r="2807">
      <c r="B2807" s="168"/>
      <c r="D2807" s="76"/>
      <c r="E2807" s="208"/>
      <c r="F2807" s="168"/>
      <c r="G2807" s="209"/>
      <c r="H2807" s="168"/>
      <c r="I2807" s="208"/>
    </row>
    <row r="2808">
      <c r="B2808" s="168"/>
      <c r="D2808" s="76"/>
      <c r="E2808" s="208"/>
      <c r="F2808" s="168"/>
      <c r="G2808" s="209"/>
      <c r="H2808" s="168"/>
      <c r="I2808" s="208"/>
    </row>
    <row r="2809">
      <c r="B2809" s="168"/>
      <c r="D2809" s="76"/>
      <c r="E2809" s="208"/>
      <c r="F2809" s="168"/>
      <c r="G2809" s="209"/>
      <c r="H2809" s="168"/>
      <c r="I2809" s="208"/>
    </row>
    <row r="2810">
      <c r="B2810" s="168"/>
      <c r="D2810" s="76"/>
      <c r="E2810" s="208"/>
      <c r="F2810" s="168"/>
      <c r="G2810" s="209"/>
      <c r="H2810" s="168"/>
      <c r="I2810" s="208"/>
    </row>
    <row r="2811">
      <c r="B2811" s="168"/>
      <c r="D2811" s="76"/>
      <c r="E2811" s="208"/>
      <c r="F2811" s="168"/>
      <c r="G2811" s="209"/>
      <c r="H2811" s="168"/>
      <c r="I2811" s="208"/>
    </row>
    <row r="2812">
      <c r="B2812" s="168"/>
      <c r="D2812" s="76"/>
      <c r="E2812" s="208"/>
      <c r="F2812" s="168"/>
      <c r="G2812" s="209"/>
      <c r="H2812" s="168"/>
      <c r="I2812" s="208"/>
    </row>
    <row r="2813">
      <c r="B2813" s="168"/>
      <c r="D2813" s="76"/>
      <c r="E2813" s="208"/>
      <c r="F2813" s="168"/>
      <c r="G2813" s="209"/>
      <c r="H2813" s="168"/>
      <c r="I2813" s="208"/>
    </row>
    <row r="2814">
      <c r="B2814" s="168"/>
      <c r="D2814" s="76"/>
      <c r="E2814" s="208"/>
      <c r="F2814" s="168"/>
      <c r="G2814" s="209"/>
      <c r="H2814" s="168"/>
      <c r="I2814" s="208"/>
    </row>
    <row r="2815">
      <c r="B2815" s="168"/>
      <c r="D2815" s="76"/>
      <c r="E2815" s="208"/>
      <c r="F2815" s="168"/>
      <c r="G2815" s="209"/>
      <c r="H2815" s="168"/>
      <c r="I2815" s="208"/>
    </row>
    <row r="2816">
      <c r="B2816" s="168"/>
      <c r="D2816" s="76"/>
      <c r="E2816" s="208"/>
      <c r="F2816" s="168"/>
      <c r="G2816" s="209"/>
      <c r="H2816" s="168"/>
      <c r="I2816" s="208"/>
    </row>
    <row r="2817">
      <c r="B2817" s="168"/>
      <c r="D2817" s="76"/>
      <c r="E2817" s="208"/>
      <c r="F2817" s="168"/>
      <c r="G2817" s="209"/>
      <c r="H2817" s="168"/>
      <c r="I2817" s="208"/>
    </row>
    <row r="2818">
      <c r="B2818" s="168"/>
      <c r="D2818" s="76"/>
      <c r="E2818" s="208"/>
      <c r="F2818" s="168"/>
      <c r="G2818" s="209"/>
      <c r="H2818" s="168"/>
      <c r="I2818" s="208"/>
    </row>
    <row r="2819">
      <c r="B2819" s="168"/>
      <c r="D2819" s="76"/>
      <c r="E2819" s="208"/>
      <c r="F2819" s="168"/>
      <c r="G2819" s="209"/>
      <c r="H2819" s="168"/>
      <c r="I2819" s="208"/>
    </row>
    <row r="2820">
      <c r="B2820" s="168"/>
      <c r="D2820" s="76"/>
      <c r="E2820" s="208"/>
      <c r="F2820" s="168"/>
      <c r="G2820" s="209"/>
      <c r="H2820" s="168"/>
      <c r="I2820" s="208"/>
    </row>
    <row r="2821">
      <c r="B2821" s="168"/>
      <c r="D2821" s="76"/>
      <c r="E2821" s="208"/>
      <c r="F2821" s="168"/>
      <c r="G2821" s="209"/>
      <c r="H2821" s="168"/>
      <c r="I2821" s="208"/>
    </row>
    <row r="2822">
      <c r="B2822" s="168"/>
      <c r="D2822" s="76"/>
      <c r="E2822" s="208"/>
      <c r="F2822" s="168"/>
      <c r="G2822" s="209"/>
      <c r="H2822" s="168"/>
      <c r="I2822" s="208"/>
    </row>
    <row r="2823">
      <c r="B2823" s="168"/>
      <c r="D2823" s="76"/>
      <c r="E2823" s="208"/>
      <c r="F2823" s="168"/>
      <c r="G2823" s="209"/>
      <c r="H2823" s="168"/>
      <c r="I2823" s="208"/>
    </row>
    <row r="2824">
      <c r="B2824" s="168"/>
      <c r="D2824" s="76"/>
      <c r="E2824" s="208"/>
      <c r="F2824" s="168"/>
      <c r="G2824" s="209"/>
      <c r="H2824" s="168"/>
      <c r="I2824" s="208"/>
    </row>
    <row r="2825">
      <c r="B2825" s="168"/>
      <c r="D2825" s="76"/>
      <c r="E2825" s="208"/>
      <c r="F2825" s="168"/>
      <c r="G2825" s="209"/>
      <c r="H2825" s="168"/>
      <c r="I2825" s="208"/>
    </row>
    <row r="2826">
      <c r="B2826" s="168"/>
      <c r="D2826" s="76"/>
      <c r="E2826" s="208"/>
      <c r="F2826" s="168"/>
      <c r="G2826" s="209"/>
      <c r="H2826" s="168"/>
      <c r="I2826" s="208"/>
    </row>
    <row r="2827">
      <c r="B2827" s="168"/>
      <c r="D2827" s="76"/>
      <c r="E2827" s="208"/>
      <c r="F2827" s="168"/>
      <c r="G2827" s="209"/>
      <c r="H2827" s="168"/>
      <c r="I2827" s="208"/>
    </row>
    <row r="2828">
      <c r="B2828" s="168"/>
      <c r="D2828" s="76"/>
      <c r="E2828" s="208"/>
      <c r="F2828" s="168"/>
      <c r="G2828" s="209"/>
      <c r="H2828" s="168"/>
      <c r="I2828" s="208"/>
    </row>
    <row r="2829">
      <c r="B2829" s="168"/>
      <c r="D2829" s="76"/>
      <c r="E2829" s="208"/>
      <c r="F2829" s="168"/>
      <c r="G2829" s="209"/>
      <c r="H2829" s="168"/>
      <c r="I2829" s="208"/>
    </row>
    <row r="2830">
      <c r="B2830" s="168"/>
      <c r="D2830" s="76"/>
      <c r="E2830" s="208"/>
      <c r="F2830" s="168"/>
      <c r="G2830" s="209"/>
      <c r="H2830" s="168"/>
      <c r="I2830" s="208"/>
    </row>
    <row r="2831">
      <c r="B2831" s="168"/>
      <c r="D2831" s="76"/>
      <c r="E2831" s="208"/>
      <c r="F2831" s="168"/>
      <c r="G2831" s="209"/>
      <c r="H2831" s="168"/>
      <c r="I2831" s="208"/>
    </row>
    <row r="2832">
      <c r="B2832" s="168"/>
      <c r="D2832" s="76"/>
      <c r="E2832" s="208"/>
      <c r="F2832" s="168"/>
      <c r="G2832" s="209"/>
      <c r="H2832" s="168"/>
      <c r="I2832" s="208"/>
    </row>
    <row r="2833">
      <c r="B2833" s="168"/>
      <c r="D2833" s="76"/>
      <c r="E2833" s="208"/>
      <c r="F2833" s="168"/>
      <c r="G2833" s="209"/>
      <c r="H2833" s="168"/>
      <c r="I2833" s="208"/>
    </row>
    <row r="2834">
      <c r="B2834" s="168"/>
      <c r="D2834" s="76"/>
      <c r="E2834" s="208"/>
      <c r="F2834" s="168"/>
      <c r="G2834" s="209"/>
      <c r="H2834" s="168"/>
      <c r="I2834" s="208"/>
    </row>
    <row r="2835">
      <c r="B2835" s="168"/>
      <c r="D2835" s="76"/>
      <c r="E2835" s="208"/>
      <c r="F2835" s="168"/>
      <c r="G2835" s="209"/>
      <c r="H2835" s="168"/>
      <c r="I2835" s="208"/>
    </row>
    <row r="2836">
      <c r="B2836" s="168"/>
      <c r="D2836" s="76"/>
      <c r="E2836" s="208"/>
      <c r="F2836" s="168"/>
      <c r="G2836" s="209"/>
      <c r="H2836" s="168"/>
      <c r="I2836" s="208"/>
    </row>
    <row r="2837">
      <c r="B2837" s="168"/>
      <c r="D2837" s="76"/>
      <c r="E2837" s="208"/>
      <c r="F2837" s="168"/>
      <c r="G2837" s="209"/>
      <c r="H2837" s="168"/>
      <c r="I2837" s="208"/>
    </row>
    <row r="2838">
      <c r="B2838" s="168"/>
      <c r="D2838" s="76"/>
      <c r="E2838" s="208"/>
      <c r="F2838" s="168"/>
      <c r="G2838" s="209"/>
      <c r="H2838" s="168"/>
      <c r="I2838" s="208"/>
    </row>
    <row r="2839">
      <c r="B2839" s="168"/>
      <c r="D2839" s="76"/>
      <c r="E2839" s="208"/>
      <c r="F2839" s="168"/>
      <c r="G2839" s="209"/>
      <c r="H2839" s="168"/>
      <c r="I2839" s="208"/>
    </row>
    <row r="2840">
      <c r="B2840" s="168"/>
      <c r="D2840" s="76"/>
      <c r="E2840" s="208"/>
      <c r="F2840" s="168"/>
      <c r="G2840" s="209"/>
      <c r="H2840" s="168"/>
      <c r="I2840" s="208"/>
    </row>
    <row r="2841">
      <c r="B2841" s="168"/>
      <c r="D2841" s="76"/>
      <c r="E2841" s="208"/>
      <c r="F2841" s="168"/>
      <c r="G2841" s="209"/>
      <c r="H2841" s="168"/>
      <c r="I2841" s="208"/>
    </row>
    <row r="2842">
      <c r="B2842" s="168"/>
      <c r="D2842" s="76"/>
      <c r="E2842" s="208"/>
      <c r="F2842" s="168"/>
      <c r="G2842" s="209"/>
      <c r="H2842" s="168"/>
      <c r="I2842" s="208"/>
    </row>
    <row r="2843">
      <c r="B2843" s="168"/>
      <c r="D2843" s="76"/>
      <c r="E2843" s="208"/>
      <c r="F2843" s="168"/>
      <c r="G2843" s="209"/>
      <c r="H2843" s="168"/>
      <c r="I2843" s="208"/>
    </row>
    <row r="2844">
      <c r="B2844" s="168"/>
      <c r="D2844" s="76"/>
      <c r="E2844" s="208"/>
      <c r="F2844" s="168"/>
      <c r="G2844" s="209"/>
      <c r="H2844" s="168"/>
      <c r="I2844" s="208"/>
    </row>
    <row r="2845">
      <c r="B2845" s="168"/>
      <c r="D2845" s="76"/>
      <c r="E2845" s="208"/>
      <c r="F2845" s="168"/>
      <c r="G2845" s="209"/>
      <c r="H2845" s="168"/>
      <c r="I2845" s="208"/>
    </row>
    <row r="2846">
      <c r="B2846" s="168"/>
      <c r="D2846" s="76"/>
      <c r="E2846" s="208"/>
      <c r="F2846" s="168"/>
      <c r="G2846" s="209"/>
      <c r="H2846" s="168"/>
      <c r="I2846" s="208"/>
    </row>
    <row r="2847">
      <c r="B2847" s="168"/>
      <c r="D2847" s="76"/>
      <c r="E2847" s="208"/>
      <c r="F2847" s="168"/>
      <c r="G2847" s="209"/>
      <c r="H2847" s="168"/>
      <c r="I2847" s="208"/>
    </row>
    <row r="2848">
      <c r="B2848" s="168"/>
      <c r="D2848" s="76"/>
      <c r="E2848" s="208"/>
      <c r="F2848" s="168"/>
      <c r="G2848" s="209"/>
      <c r="H2848" s="168"/>
      <c r="I2848" s="208"/>
    </row>
    <row r="2849">
      <c r="B2849" s="168"/>
      <c r="D2849" s="76"/>
      <c r="E2849" s="208"/>
      <c r="F2849" s="168"/>
      <c r="G2849" s="209"/>
      <c r="H2849" s="168"/>
      <c r="I2849" s="208"/>
    </row>
    <row r="2850">
      <c r="B2850" s="168"/>
      <c r="D2850" s="76"/>
      <c r="E2850" s="208"/>
      <c r="F2850" s="168"/>
      <c r="G2850" s="209"/>
      <c r="H2850" s="168"/>
      <c r="I2850" s="208"/>
    </row>
    <row r="2851">
      <c r="B2851" s="168"/>
      <c r="D2851" s="76"/>
      <c r="E2851" s="208"/>
      <c r="F2851" s="168"/>
      <c r="G2851" s="209"/>
      <c r="H2851" s="168"/>
      <c r="I2851" s="208"/>
    </row>
    <row r="2852">
      <c r="B2852" s="168"/>
      <c r="D2852" s="76"/>
      <c r="E2852" s="208"/>
      <c r="F2852" s="168"/>
      <c r="G2852" s="209"/>
      <c r="H2852" s="168"/>
      <c r="I2852" s="208"/>
    </row>
    <row r="2853">
      <c r="B2853" s="168"/>
      <c r="D2853" s="76"/>
      <c r="E2853" s="208"/>
      <c r="F2853" s="168"/>
      <c r="G2853" s="209"/>
      <c r="H2853" s="168"/>
      <c r="I2853" s="208"/>
    </row>
    <row r="2854">
      <c r="B2854" s="168"/>
      <c r="D2854" s="76"/>
      <c r="E2854" s="208"/>
      <c r="F2854" s="168"/>
      <c r="G2854" s="209"/>
      <c r="H2854" s="168"/>
      <c r="I2854" s="208"/>
    </row>
    <row r="2855">
      <c r="B2855" s="168"/>
      <c r="D2855" s="76"/>
      <c r="E2855" s="208"/>
      <c r="F2855" s="168"/>
      <c r="G2855" s="209"/>
      <c r="H2855" s="168"/>
      <c r="I2855" s="208"/>
    </row>
    <row r="2856">
      <c r="B2856" s="168"/>
      <c r="D2856" s="76"/>
      <c r="E2856" s="208"/>
      <c r="F2856" s="168"/>
      <c r="G2856" s="209"/>
      <c r="H2856" s="168"/>
      <c r="I2856" s="208"/>
    </row>
    <row r="2857">
      <c r="B2857" s="168"/>
      <c r="D2857" s="76"/>
      <c r="E2857" s="208"/>
      <c r="F2857" s="168"/>
      <c r="G2857" s="209"/>
      <c r="H2857" s="168"/>
      <c r="I2857" s="208"/>
    </row>
    <row r="2858">
      <c r="B2858" s="168"/>
      <c r="D2858" s="76"/>
      <c r="E2858" s="208"/>
      <c r="F2858" s="168"/>
      <c r="G2858" s="209"/>
      <c r="H2858" s="168"/>
      <c r="I2858" s="208"/>
    </row>
    <row r="2859">
      <c r="B2859" s="168"/>
      <c r="D2859" s="76"/>
      <c r="E2859" s="208"/>
      <c r="F2859" s="168"/>
      <c r="G2859" s="209"/>
      <c r="H2859" s="168"/>
      <c r="I2859" s="208"/>
    </row>
    <row r="2860">
      <c r="B2860" s="168"/>
      <c r="D2860" s="76"/>
      <c r="E2860" s="208"/>
      <c r="F2860" s="168"/>
      <c r="G2860" s="209"/>
      <c r="H2860" s="168"/>
      <c r="I2860" s="208"/>
    </row>
    <row r="2861">
      <c r="B2861" s="168"/>
      <c r="D2861" s="76"/>
      <c r="E2861" s="208"/>
      <c r="F2861" s="168"/>
      <c r="G2861" s="209"/>
      <c r="H2861" s="168"/>
      <c r="I2861" s="208"/>
    </row>
    <row r="2862">
      <c r="B2862" s="168"/>
      <c r="D2862" s="76"/>
      <c r="E2862" s="208"/>
      <c r="F2862" s="168"/>
      <c r="G2862" s="209"/>
      <c r="H2862" s="168"/>
      <c r="I2862" s="208"/>
    </row>
    <row r="2863">
      <c r="B2863" s="168"/>
      <c r="D2863" s="76"/>
      <c r="E2863" s="208"/>
      <c r="F2863" s="168"/>
      <c r="G2863" s="209"/>
      <c r="H2863" s="168"/>
      <c r="I2863" s="208"/>
    </row>
    <row r="2864">
      <c r="B2864" s="168"/>
      <c r="D2864" s="76"/>
      <c r="E2864" s="208"/>
      <c r="F2864" s="168"/>
      <c r="G2864" s="209"/>
      <c r="H2864" s="168"/>
      <c r="I2864" s="208"/>
    </row>
    <row r="2865">
      <c r="B2865" s="168"/>
      <c r="D2865" s="76"/>
      <c r="E2865" s="208"/>
      <c r="F2865" s="168"/>
      <c r="G2865" s="209"/>
      <c r="H2865" s="168"/>
      <c r="I2865" s="208"/>
    </row>
    <row r="2866">
      <c r="B2866" s="168"/>
      <c r="D2866" s="76"/>
      <c r="E2866" s="208"/>
      <c r="F2866" s="168"/>
      <c r="G2866" s="209"/>
      <c r="H2866" s="168"/>
      <c r="I2866" s="208"/>
    </row>
    <row r="2867">
      <c r="B2867" s="168"/>
      <c r="D2867" s="76"/>
      <c r="E2867" s="208"/>
      <c r="F2867" s="168"/>
      <c r="G2867" s="209"/>
      <c r="H2867" s="168"/>
      <c r="I2867" s="208"/>
    </row>
    <row r="2868">
      <c r="B2868" s="168"/>
      <c r="D2868" s="76"/>
      <c r="E2868" s="208"/>
      <c r="F2868" s="168"/>
      <c r="G2868" s="209"/>
      <c r="H2868" s="168"/>
      <c r="I2868" s="208"/>
    </row>
    <row r="2869">
      <c r="B2869" s="168"/>
      <c r="D2869" s="76"/>
      <c r="E2869" s="208"/>
      <c r="F2869" s="168"/>
      <c r="G2869" s="209"/>
      <c r="H2869" s="168"/>
      <c r="I2869" s="208"/>
    </row>
    <row r="2870">
      <c r="B2870" s="168"/>
      <c r="D2870" s="76"/>
      <c r="E2870" s="208"/>
      <c r="F2870" s="168"/>
      <c r="G2870" s="209"/>
      <c r="H2870" s="168"/>
      <c r="I2870" s="208"/>
    </row>
    <row r="2871">
      <c r="B2871" s="168"/>
      <c r="D2871" s="76"/>
      <c r="E2871" s="208"/>
      <c r="F2871" s="168"/>
      <c r="G2871" s="209"/>
      <c r="H2871" s="168"/>
      <c r="I2871" s="208"/>
    </row>
    <row r="2872">
      <c r="B2872" s="168"/>
      <c r="D2872" s="76"/>
      <c r="E2872" s="208"/>
      <c r="F2872" s="168"/>
      <c r="G2872" s="209"/>
      <c r="H2872" s="168"/>
      <c r="I2872" s="208"/>
    </row>
    <row r="2873">
      <c r="B2873" s="168"/>
      <c r="D2873" s="76"/>
      <c r="E2873" s="208"/>
      <c r="F2873" s="168"/>
      <c r="G2873" s="209"/>
      <c r="H2873" s="168"/>
      <c r="I2873" s="208"/>
    </row>
    <row r="2874">
      <c r="B2874" s="168"/>
      <c r="D2874" s="76"/>
      <c r="E2874" s="208"/>
      <c r="F2874" s="168"/>
      <c r="G2874" s="209"/>
      <c r="H2874" s="168"/>
      <c r="I2874" s="208"/>
    </row>
    <row r="2875">
      <c r="B2875" s="168"/>
      <c r="D2875" s="76"/>
      <c r="E2875" s="208"/>
      <c r="F2875" s="168"/>
      <c r="G2875" s="209"/>
      <c r="H2875" s="168"/>
      <c r="I2875" s="208"/>
    </row>
    <row r="2876">
      <c r="B2876" s="168"/>
      <c r="D2876" s="76"/>
      <c r="E2876" s="208"/>
      <c r="F2876" s="168"/>
      <c r="G2876" s="209"/>
      <c r="H2876" s="168"/>
      <c r="I2876" s="208"/>
    </row>
    <row r="2877">
      <c r="B2877" s="168"/>
      <c r="D2877" s="76"/>
      <c r="E2877" s="208"/>
      <c r="F2877" s="168"/>
      <c r="G2877" s="209"/>
      <c r="H2877" s="168"/>
      <c r="I2877" s="208"/>
    </row>
    <row r="2878">
      <c r="B2878" s="168"/>
      <c r="D2878" s="76"/>
      <c r="E2878" s="208"/>
      <c r="F2878" s="168"/>
      <c r="G2878" s="209"/>
      <c r="H2878" s="168"/>
      <c r="I2878" s="208"/>
    </row>
    <row r="2879">
      <c r="B2879" s="168"/>
      <c r="D2879" s="76"/>
      <c r="E2879" s="208"/>
      <c r="F2879" s="168"/>
      <c r="G2879" s="209"/>
      <c r="H2879" s="168"/>
      <c r="I2879" s="208"/>
    </row>
    <row r="2880">
      <c r="B2880" s="168"/>
      <c r="D2880" s="76"/>
      <c r="E2880" s="208"/>
      <c r="F2880" s="168"/>
      <c r="G2880" s="209"/>
      <c r="H2880" s="168"/>
      <c r="I2880" s="208"/>
    </row>
    <row r="2881">
      <c r="B2881" s="168"/>
      <c r="D2881" s="76"/>
      <c r="E2881" s="208"/>
      <c r="F2881" s="168"/>
      <c r="G2881" s="209"/>
      <c r="H2881" s="168"/>
      <c r="I2881" s="208"/>
    </row>
    <row r="2882">
      <c r="B2882" s="168"/>
      <c r="D2882" s="76"/>
      <c r="E2882" s="208"/>
      <c r="F2882" s="168"/>
      <c r="G2882" s="209"/>
      <c r="H2882" s="168"/>
      <c r="I2882" s="208"/>
    </row>
    <row r="2883">
      <c r="B2883" s="168"/>
      <c r="D2883" s="76"/>
      <c r="E2883" s="208"/>
      <c r="F2883" s="168"/>
      <c r="G2883" s="209"/>
      <c r="H2883" s="168"/>
      <c r="I2883" s="208"/>
    </row>
    <row r="2884">
      <c r="B2884" s="168"/>
      <c r="D2884" s="76"/>
      <c r="E2884" s="208"/>
      <c r="F2884" s="168"/>
      <c r="G2884" s="209"/>
      <c r="H2884" s="168"/>
      <c r="I2884" s="208"/>
    </row>
    <row r="2885">
      <c r="B2885" s="168"/>
      <c r="D2885" s="76"/>
      <c r="E2885" s="208"/>
      <c r="F2885" s="168"/>
      <c r="G2885" s="209"/>
      <c r="H2885" s="168"/>
      <c r="I2885" s="208"/>
    </row>
    <row r="2886">
      <c r="B2886" s="168"/>
      <c r="D2886" s="76"/>
      <c r="E2886" s="208"/>
      <c r="F2886" s="168"/>
      <c r="G2886" s="209"/>
      <c r="H2886" s="168"/>
      <c r="I2886" s="208"/>
    </row>
    <row r="2887">
      <c r="B2887" s="168"/>
      <c r="D2887" s="76"/>
      <c r="E2887" s="208"/>
      <c r="F2887" s="168"/>
      <c r="G2887" s="209"/>
      <c r="H2887" s="168"/>
      <c r="I2887" s="208"/>
    </row>
    <row r="2888">
      <c r="B2888" s="168"/>
      <c r="D2888" s="76"/>
      <c r="E2888" s="208"/>
      <c r="F2888" s="168"/>
      <c r="G2888" s="209"/>
      <c r="H2888" s="168"/>
      <c r="I2888" s="208"/>
    </row>
    <row r="2889">
      <c r="B2889" s="168"/>
      <c r="D2889" s="76"/>
      <c r="E2889" s="208"/>
      <c r="F2889" s="168"/>
      <c r="G2889" s="209"/>
      <c r="H2889" s="168"/>
      <c r="I2889" s="208"/>
    </row>
    <row r="2890">
      <c r="B2890" s="168"/>
      <c r="D2890" s="76"/>
      <c r="E2890" s="208"/>
      <c r="F2890" s="168"/>
      <c r="G2890" s="209"/>
      <c r="H2890" s="168"/>
      <c r="I2890" s="208"/>
    </row>
    <row r="2891">
      <c r="B2891" s="168"/>
      <c r="D2891" s="76"/>
      <c r="E2891" s="208"/>
      <c r="F2891" s="168"/>
      <c r="G2891" s="209"/>
      <c r="H2891" s="168"/>
      <c r="I2891" s="208"/>
    </row>
    <row r="2892">
      <c r="B2892" s="168"/>
      <c r="D2892" s="76"/>
      <c r="E2892" s="208"/>
      <c r="F2892" s="168"/>
      <c r="G2892" s="209"/>
      <c r="H2892" s="168"/>
      <c r="I2892" s="208"/>
    </row>
    <row r="2893">
      <c r="B2893" s="168"/>
      <c r="D2893" s="76"/>
      <c r="E2893" s="208"/>
      <c r="F2893" s="168"/>
      <c r="G2893" s="209"/>
      <c r="H2893" s="168"/>
      <c r="I2893" s="208"/>
    </row>
    <row r="2894">
      <c r="B2894" s="168"/>
      <c r="D2894" s="76"/>
      <c r="E2894" s="208"/>
      <c r="F2894" s="168"/>
      <c r="G2894" s="209"/>
      <c r="H2894" s="168"/>
      <c r="I2894" s="208"/>
    </row>
    <row r="2895">
      <c r="B2895" s="168"/>
      <c r="D2895" s="76"/>
      <c r="E2895" s="208"/>
      <c r="F2895" s="168"/>
      <c r="G2895" s="209"/>
      <c r="H2895" s="168"/>
      <c r="I2895" s="208"/>
    </row>
    <row r="2896">
      <c r="B2896" s="168"/>
      <c r="D2896" s="76"/>
      <c r="E2896" s="208"/>
      <c r="F2896" s="168"/>
      <c r="G2896" s="209"/>
      <c r="H2896" s="168"/>
      <c r="I2896" s="208"/>
    </row>
    <row r="2897">
      <c r="B2897" s="168"/>
      <c r="D2897" s="76"/>
      <c r="E2897" s="208"/>
      <c r="F2897" s="168"/>
      <c r="G2897" s="209"/>
      <c r="H2897" s="168"/>
      <c r="I2897" s="208"/>
    </row>
    <row r="2898">
      <c r="B2898" s="168"/>
      <c r="D2898" s="76"/>
      <c r="E2898" s="208"/>
      <c r="F2898" s="168"/>
      <c r="G2898" s="209"/>
      <c r="H2898" s="168"/>
      <c r="I2898" s="208"/>
    </row>
    <row r="2899">
      <c r="B2899" s="168"/>
      <c r="D2899" s="76"/>
      <c r="E2899" s="208"/>
      <c r="F2899" s="168"/>
      <c r="G2899" s="209"/>
      <c r="H2899" s="168"/>
      <c r="I2899" s="208"/>
    </row>
    <row r="2900">
      <c r="B2900" s="168"/>
      <c r="D2900" s="76"/>
      <c r="E2900" s="208"/>
      <c r="F2900" s="168"/>
      <c r="G2900" s="209"/>
      <c r="H2900" s="168"/>
      <c r="I2900" s="208"/>
    </row>
    <row r="2901">
      <c r="B2901" s="168"/>
      <c r="D2901" s="76"/>
      <c r="E2901" s="208"/>
      <c r="F2901" s="168"/>
      <c r="G2901" s="209"/>
      <c r="H2901" s="168"/>
      <c r="I2901" s="208"/>
    </row>
    <row r="2902">
      <c r="B2902" s="168"/>
      <c r="D2902" s="76"/>
      <c r="E2902" s="208"/>
      <c r="F2902" s="168"/>
      <c r="G2902" s="209"/>
      <c r="H2902" s="168"/>
      <c r="I2902" s="208"/>
    </row>
    <row r="2903">
      <c r="B2903" s="168"/>
      <c r="D2903" s="76"/>
      <c r="E2903" s="208"/>
      <c r="F2903" s="168"/>
      <c r="G2903" s="209"/>
      <c r="H2903" s="168"/>
      <c r="I2903" s="208"/>
    </row>
    <row r="2904">
      <c r="B2904" s="168"/>
      <c r="D2904" s="76"/>
      <c r="E2904" s="208"/>
      <c r="F2904" s="168"/>
      <c r="G2904" s="209"/>
      <c r="H2904" s="168"/>
      <c r="I2904" s="208"/>
    </row>
    <row r="2905">
      <c r="B2905" s="168"/>
      <c r="D2905" s="76"/>
      <c r="E2905" s="208"/>
      <c r="F2905" s="168"/>
      <c r="G2905" s="209"/>
      <c r="H2905" s="168"/>
      <c r="I2905" s="208"/>
    </row>
    <row r="2906">
      <c r="B2906" s="168"/>
      <c r="D2906" s="76"/>
      <c r="E2906" s="208"/>
      <c r="F2906" s="168"/>
      <c r="G2906" s="209"/>
      <c r="H2906" s="168"/>
      <c r="I2906" s="208"/>
    </row>
    <row r="2907">
      <c r="B2907" s="168"/>
      <c r="D2907" s="76"/>
      <c r="E2907" s="208"/>
      <c r="F2907" s="168"/>
      <c r="G2907" s="209"/>
      <c r="H2907" s="168"/>
      <c r="I2907" s="208"/>
    </row>
    <row r="2908">
      <c r="B2908" s="168"/>
      <c r="D2908" s="76"/>
      <c r="E2908" s="208"/>
      <c r="F2908" s="168"/>
      <c r="G2908" s="209"/>
      <c r="H2908" s="168"/>
      <c r="I2908" s="208"/>
    </row>
    <row r="2909">
      <c r="B2909" s="168"/>
      <c r="D2909" s="76"/>
      <c r="E2909" s="208"/>
      <c r="F2909" s="168"/>
      <c r="G2909" s="209"/>
      <c r="H2909" s="168"/>
      <c r="I2909" s="208"/>
    </row>
    <row r="2910">
      <c r="B2910" s="168"/>
      <c r="D2910" s="76"/>
      <c r="E2910" s="208"/>
      <c r="F2910" s="168"/>
      <c r="G2910" s="209"/>
      <c r="H2910" s="168"/>
      <c r="I2910" s="208"/>
    </row>
    <row r="2911">
      <c r="B2911" s="168"/>
      <c r="D2911" s="76"/>
      <c r="E2911" s="208"/>
      <c r="F2911" s="168"/>
      <c r="G2911" s="209"/>
      <c r="H2911" s="168"/>
      <c r="I2911" s="208"/>
    </row>
    <row r="2912">
      <c r="B2912" s="168"/>
      <c r="D2912" s="76"/>
      <c r="E2912" s="208"/>
      <c r="F2912" s="168"/>
      <c r="G2912" s="209"/>
      <c r="H2912" s="168"/>
      <c r="I2912" s="208"/>
    </row>
    <row r="2913">
      <c r="B2913" s="168"/>
      <c r="D2913" s="76"/>
      <c r="E2913" s="208"/>
      <c r="F2913" s="168"/>
      <c r="G2913" s="209"/>
      <c r="H2913" s="168"/>
      <c r="I2913" s="208"/>
    </row>
    <row r="2914">
      <c r="B2914" s="168"/>
      <c r="D2914" s="76"/>
      <c r="E2914" s="208"/>
      <c r="F2914" s="168"/>
      <c r="G2914" s="209"/>
      <c r="H2914" s="168"/>
      <c r="I2914" s="208"/>
    </row>
    <row r="2915">
      <c r="B2915" s="168"/>
      <c r="D2915" s="76"/>
      <c r="E2915" s="208"/>
      <c r="F2915" s="168"/>
      <c r="G2915" s="209"/>
      <c r="H2915" s="168"/>
      <c r="I2915" s="208"/>
    </row>
    <row r="2916">
      <c r="B2916" s="168"/>
      <c r="D2916" s="76"/>
      <c r="E2916" s="208"/>
      <c r="F2916" s="168"/>
      <c r="G2916" s="209"/>
      <c r="H2916" s="168"/>
      <c r="I2916" s="208"/>
    </row>
    <row r="2917">
      <c r="B2917" s="168"/>
      <c r="D2917" s="76"/>
      <c r="E2917" s="208"/>
      <c r="F2917" s="168"/>
      <c r="G2917" s="209"/>
      <c r="H2917" s="168"/>
      <c r="I2917" s="208"/>
    </row>
    <row r="2918">
      <c r="B2918" s="168"/>
      <c r="D2918" s="76"/>
      <c r="E2918" s="208"/>
      <c r="F2918" s="168"/>
      <c r="G2918" s="209"/>
      <c r="H2918" s="168"/>
      <c r="I2918" s="208"/>
    </row>
    <row r="2919">
      <c r="B2919" s="168"/>
      <c r="D2919" s="76"/>
      <c r="E2919" s="208"/>
      <c r="F2919" s="168"/>
      <c r="G2919" s="209"/>
      <c r="H2919" s="168"/>
      <c r="I2919" s="208"/>
    </row>
    <row r="2920">
      <c r="B2920" s="168"/>
      <c r="D2920" s="76"/>
      <c r="E2920" s="208"/>
      <c r="F2920" s="168"/>
      <c r="G2920" s="209"/>
      <c r="H2920" s="168"/>
      <c r="I2920" s="208"/>
    </row>
    <row r="2921">
      <c r="B2921" s="168"/>
      <c r="D2921" s="76"/>
      <c r="E2921" s="208"/>
      <c r="F2921" s="168"/>
      <c r="G2921" s="209"/>
      <c r="H2921" s="168"/>
      <c r="I2921" s="208"/>
    </row>
    <row r="2922">
      <c r="B2922" s="168"/>
      <c r="D2922" s="76"/>
      <c r="E2922" s="208"/>
      <c r="F2922" s="168"/>
      <c r="G2922" s="209"/>
      <c r="H2922" s="168"/>
      <c r="I2922" s="208"/>
    </row>
    <row r="2923">
      <c r="B2923" s="168"/>
      <c r="D2923" s="76"/>
      <c r="E2923" s="208"/>
      <c r="F2923" s="168"/>
      <c r="G2923" s="209"/>
      <c r="H2923" s="168"/>
      <c r="I2923" s="208"/>
    </row>
    <row r="2924">
      <c r="B2924" s="168"/>
      <c r="D2924" s="76"/>
      <c r="E2924" s="208"/>
      <c r="F2924" s="168"/>
      <c r="G2924" s="209"/>
      <c r="H2924" s="168"/>
      <c r="I2924" s="208"/>
    </row>
    <row r="2925">
      <c r="B2925" s="168"/>
      <c r="D2925" s="76"/>
      <c r="E2925" s="208"/>
      <c r="F2925" s="168"/>
      <c r="G2925" s="209"/>
      <c r="H2925" s="168"/>
      <c r="I2925" s="208"/>
    </row>
    <row r="2926">
      <c r="B2926" s="168"/>
      <c r="D2926" s="76"/>
      <c r="E2926" s="208"/>
      <c r="F2926" s="168"/>
      <c r="G2926" s="209"/>
      <c r="H2926" s="168"/>
      <c r="I2926" s="208"/>
    </row>
    <row r="2927">
      <c r="B2927" s="168"/>
      <c r="D2927" s="76"/>
      <c r="E2927" s="208"/>
      <c r="F2927" s="168"/>
      <c r="G2927" s="209"/>
      <c r="H2927" s="168"/>
      <c r="I2927" s="208"/>
    </row>
    <row r="2928">
      <c r="B2928" s="168"/>
      <c r="D2928" s="76"/>
      <c r="E2928" s="208"/>
      <c r="F2928" s="168"/>
      <c r="G2928" s="209"/>
      <c r="H2928" s="168"/>
      <c r="I2928" s="208"/>
    </row>
    <row r="2929">
      <c r="B2929" s="168"/>
      <c r="D2929" s="76"/>
      <c r="E2929" s="208"/>
      <c r="F2929" s="168"/>
      <c r="G2929" s="209"/>
      <c r="H2929" s="168"/>
      <c r="I2929" s="208"/>
    </row>
    <row r="2930">
      <c r="B2930" s="168"/>
      <c r="D2930" s="76"/>
      <c r="E2930" s="208"/>
      <c r="F2930" s="168"/>
      <c r="G2930" s="209"/>
      <c r="H2930" s="168"/>
      <c r="I2930" s="208"/>
    </row>
    <row r="2931">
      <c r="B2931" s="168"/>
      <c r="D2931" s="76"/>
      <c r="E2931" s="208"/>
      <c r="F2931" s="168"/>
      <c r="G2931" s="209"/>
      <c r="H2931" s="168"/>
      <c r="I2931" s="208"/>
    </row>
    <row r="2932">
      <c r="B2932" s="168"/>
      <c r="D2932" s="76"/>
      <c r="E2932" s="208"/>
      <c r="F2932" s="168"/>
      <c r="G2932" s="209"/>
      <c r="H2932" s="168"/>
      <c r="I2932" s="208"/>
    </row>
    <row r="2933">
      <c r="B2933" s="168"/>
      <c r="D2933" s="76"/>
      <c r="E2933" s="208"/>
      <c r="F2933" s="168"/>
      <c r="G2933" s="209"/>
      <c r="H2933" s="168"/>
      <c r="I2933" s="208"/>
    </row>
    <row r="2934">
      <c r="B2934" s="168"/>
      <c r="D2934" s="76"/>
      <c r="E2934" s="208"/>
      <c r="F2934" s="168"/>
      <c r="G2934" s="209"/>
      <c r="H2934" s="168"/>
      <c r="I2934" s="208"/>
    </row>
    <row r="2935">
      <c r="B2935" s="168"/>
      <c r="D2935" s="76"/>
      <c r="E2935" s="208"/>
      <c r="F2935" s="168"/>
      <c r="G2935" s="209"/>
      <c r="H2935" s="168"/>
      <c r="I2935" s="208"/>
    </row>
    <row r="2936">
      <c r="B2936" s="168"/>
      <c r="D2936" s="76"/>
      <c r="E2936" s="208"/>
      <c r="F2936" s="168"/>
      <c r="G2936" s="209"/>
      <c r="H2936" s="168"/>
      <c r="I2936" s="208"/>
    </row>
    <row r="2937">
      <c r="B2937" s="168"/>
      <c r="D2937" s="76"/>
      <c r="E2937" s="208"/>
      <c r="F2937" s="168"/>
      <c r="G2937" s="209"/>
      <c r="H2937" s="168"/>
      <c r="I2937" s="208"/>
    </row>
    <row r="2938">
      <c r="B2938" s="168"/>
      <c r="D2938" s="76"/>
      <c r="E2938" s="208"/>
      <c r="F2938" s="168"/>
      <c r="G2938" s="209"/>
      <c r="H2938" s="168"/>
      <c r="I2938" s="208"/>
    </row>
    <row r="2939">
      <c r="B2939" s="168"/>
      <c r="D2939" s="76"/>
      <c r="E2939" s="208"/>
      <c r="F2939" s="168"/>
      <c r="G2939" s="209"/>
      <c r="H2939" s="168"/>
      <c r="I2939" s="208"/>
    </row>
    <row r="2940">
      <c r="B2940" s="168"/>
      <c r="D2940" s="76"/>
      <c r="E2940" s="208"/>
      <c r="F2940" s="168"/>
      <c r="G2940" s="209"/>
      <c r="H2940" s="168"/>
      <c r="I2940" s="208"/>
    </row>
    <row r="2941">
      <c r="B2941" s="168"/>
      <c r="D2941" s="76"/>
      <c r="E2941" s="208"/>
      <c r="F2941" s="168"/>
      <c r="G2941" s="209"/>
      <c r="H2941" s="168"/>
      <c r="I2941" s="208"/>
    </row>
    <row r="2942">
      <c r="B2942" s="168"/>
      <c r="D2942" s="76"/>
      <c r="E2942" s="208"/>
      <c r="F2942" s="168"/>
      <c r="G2942" s="209"/>
      <c r="H2942" s="168"/>
      <c r="I2942" s="208"/>
    </row>
    <row r="2943">
      <c r="B2943" s="168"/>
      <c r="D2943" s="76"/>
      <c r="E2943" s="208"/>
      <c r="F2943" s="168"/>
      <c r="G2943" s="209"/>
      <c r="H2943" s="168"/>
      <c r="I2943" s="208"/>
    </row>
    <row r="2944">
      <c r="B2944" s="168"/>
      <c r="D2944" s="76"/>
      <c r="E2944" s="208"/>
      <c r="F2944" s="168"/>
      <c r="G2944" s="209"/>
      <c r="H2944" s="168"/>
      <c r="I2944" s="208"/>
    </row>
    <row r="2945">
      <c r="B2945" s="168"/>
      <c r="D2945" s="76"/>
      <c r="E2945" s="208"/>
      <c r="F2945" s="168"/>
      <c r="G2945" s="209"/>
      <c r="H2945" s="168"/>
      <c r="I2945" s="208"/>
    </row>
    <row r="2946">
      <c r="B2946" s="168"/>
      <c r="D2946" s="76"/>
      <c r="E2946" s="208"/>
      <c r="F2946" s="168"/>
      <c r="G2946" s="209"/>
      <c r="H2946" s="168"/>
      <c r="I2946" s="208"/>
    </row>
    <row r="2947">
      <c r="B2947" s="168"/>
      <c r="D2947" s="76"/>
      <c r="E2947" s="208"/>
      <c r="F2947" s="168"/>
      <c r="G2947" s="209"/>
      <c r="H2947" s="168"/>
      <c r="I2947" s="208"/>
    </row>
    <row r="2948">
      <c r="B2948" s="168"/>
      <c r="D2948" s="76"/>
      <c r="E2948" s="208"/>
      <c r="F2948" s="168"/>
      <c r="G2948" s="209"/>
      <c r="H2948" s="168"/>
      <c r="I2948" s="208"/>
    </row>
    <row r="2949">
      <c r="B2949" s="168"/>
      <c r="D2949" s="76"/>
      <c r="E2949" s="208"/>
      <c r="F2949" s="168"/>
      <c r="G2949" s="209"/>
      <c r="H2949" s="168"/>
      <c r="I2949" s="208"/>
    </row>
    <row r="2950">
      <c r="B2950" s="168"/>
      <c r="D2950" s="76"/>
      <c r="E2950" s="208"/>
      <c r="F2950" s="168"/>
      <c r="G2950" s="209"/>
      <c r="H2950" s="168"/>
      <c r="I2950" s="208"/>
    </row>
    <row r="2951">
      <c r="B2951" s="168"/>
      <c r="D2951" s="76"/>
      <c r="E2951" s="208"/>
      <c r="F2951" s="168"/>
      <c r="G2951" s="209"/>
      <c r="H2951" s="168"/>
      <c r="I2951" s="208"/>
    </row>
    <row r="2952">
      <c r="B2952" s="168"/>
      <c r="D2952" s="76"/>
      <c r="E2952" s="208"/>
      <c r="F2952" s="168"/>
      <c r="G2952" s="209"/>
      <c r="H2952" s="168"/>
      <c r="I2952" s="208"/>
    </row>
    <row r="2953">
      <c r="B2953" s="168"/>
      <c r="D2953" s="76"/>
      <c r="E2953" s="208"/>
      <c r="F2953" s="168"/>
      <c r="G2953" s="209"/>
      <c r="H2953" s="168"/>
      <c r="I2953" s="208"/>
    </row>
    <row r="2954">
      <c r="B2954" s="168"/>
      <c r="D2954" s="76"/>
      <c r="E2954" s="208"/>
      <c r="F2954" s="168"/>
      <c r="G2954" s="209"/>
      <c r="H2954" s="168"/>
      <c r="I2954" s="208"/>
    </row>
    <row r="2955">
      <c r="B2955" s="168"/>
      <c r="D2955" s="76"/>
      <c r="E2955" s="208"/>
      <c r="F2955" s="168"/>
      <c r="G2955" s="209"/>
      <c r="H2955" s="168"/>
      <c r="I2955" s="208"/>
    </row>
    <row r="2956">
      <c r="B2956" s="168"/>
      <c r="D2956" s="76"/>
      <c r="E2956" s="208"/>
      <c r="F2956" s="168"/>
      <c r="G2956" s="209"/>
      <c r="H2956" s="168"/>
      <c r="I2956" s="208"/>
    </row>
    <row r="2957">
      <c r="B2957" s="168"/>
      <c r="D2957" s="76"/>
      <c r="E2957" s="208"/>
      <c r="F2957" s="168"/>
      <c r="G2957" s="209"/>
      <c r="H2957" s="168"/>
      <c r="I2957" s="208"/>
    </row>
    <row r="2958">
      <c r="B2958" s="168"/>
      <c r="D2958" s="76"/>
      <c r="E2958" s="208"/>
      <c r="F2958" s="168"/>
      <c r="G2958" s="209"/>
      <c r="H2958" s="168"/>
      <c r="I2958" s="208"/>
    </row>
    <row r="2959">
      <c r="B2959" s="168"/>
      <c r="D2959" s="76"/>
      <c r="E2959" s="208"/>
      <c r="F2959" s="168"/>
      <c r="G2959" s="209"/>
      <c r="H2959" s="168"/>
      <c r="I2959" s="208"/>
    </row>
    <row r="2960">
      <c r="B2960" s="168"/>
      <c r="D2960" s="76"/>
      <c r="E2960" s="208"/>
      <c r="F2960" s="168"/>
      <c r="G2960" s="209"/>
      <c r="H2960" s="168"/>
      <c r="I2960" s="208"/>
    </row>
    <row r="2961">
      <c r="B2961" s="168"/>
      <c r="D2961" s="76"/>
      <c r="E2961" s="208"/>
      <c r="F2961" s="168"/>
      <c r="G2961" s="209"/>
      <c r="H2961" s="168"/>
      <c r="I2961" s="208"/>
    </row>
    <row r="2962">
      <c r="B2962" s="168"/>
      <c r="D2962" s="76"/>
      <c r="E2962" s="208"/>
      <c r="F2962" s="168"/>
      <c r="G2962" s="209"/>
      <c r="H2962" s="168"/>
      <c r="I2962" s="208"/>
    </row>
    <row r="2963">
      <c r="B2963" s="168"/>
      <c r="D2963" s="76"/>
      <c r="E2963" s="208"/>
      <c r="F2963" s="168"/>
      <c r="G2963" s="209"/>
      <c r="H2963" s="168"/>
      <c r="I2963" s="208"/>
    </row>
    <row r="2964">
      <c r="B2964" s="168"/>
      <c r="D2964" s="76"/>
      <c r="E2964" s="208"/>
      <c r="F2964" s="168"/>
      <c r="G2964" s="209"/>
      <c r="H2964" s="168"/>
      <c r="I2964" s="208"/>
    </row>
    <row r="2965">
      <c r="B2965" s="168"/>
      <c r="D2965" s="76"/>
      <c r="E2965" s="208"/>
      <c r="F2965" s="168"/>
      <c r="G2965" s="209"/>
      <c r="H2965" s="168"/>
      <c r="I2965" s="208"/>
    </row>
    <row r="2966">
      <c r="B2966" s="168"/>
      <c r="D2966" s="76"/>
      <c r="E2966" s="208"/>
      <c r="F2966" s="168"/>
      <c r="G2966" s="209"/>
      <c r="H2966" s="168"/>
      <c r="I2966" s="208"/>
    </row>
    <row r="2967">
      <c r="B2967" s="168"/>
      <c r="D2967" s="76"/>
      <c r="E2967" s="208"/>
      <c r="F2967" s="168"/>
      <c r="G2967" s="209"/>
      <c r="H2967" s="168"/>
      <c r="I2967" s="208"/>
    </row>
    <row r="2968">
      <c r="B2968" s="168"/>
      <c r="D2968" s="76"/>
      <c r="E2968" s="208"/>
      <c r="F2968" s="168"/>
      <c r="G2968" s="209"/>
      <c r="H2968" s="168"/>
      <c r="I2968" s="208"/>
    </row>
    <row r="2969">
      <c r="B2969" s="168"/>
      <c r="D2969" s="76"/>
      <c r="E2969" s="208"/>
      <c r="F2969" s="168"/>
      <c r="G2969" s="209"/>
      <c r="H2969" s="168"/>
      <c r="I2969" s="208"/>
    </row>
    <row r="2970">
      <c r="B2970" s="168"/>
      <c r="D2970" s="76"/>
      <c r="E2970" s="208"/>
      <c r="F2970" s="168"/>
      <c r="G2970" s="209"/>
      <c r="H2970" s="168"/>
      <c r="I2970" s="208"/>
    </row>
    <row r="2971">
      <c r="B2971" s="168"/>
      <c r="D2971" s="76"/>
      <c r="E2971" s="208"/>
      <c r="F2971" s="168"/>
      <c r="G2971" s="209"/>
      <c r="H2971" s="168"/>
      <c r="I2971" s="208"/>
    </row>
    <row r="2972">
      <c r="B2972" s="168"/>
      <c r="D2972" s="76"/>
      <c r="E2972" s="208"/>
      <c r="F2972" s="168"/>
      <c r="G2972" s="209"/>
      <c r="H2972" s="168"/>
      <c r="I2972" s="208"/>
    </row>
    <row r="2973">
      <c r="B2973" s="168"/>
      <c r="D2973" s="76"/>
      <c r="E2973" s="208"/>
      <c r="F2973" s="168"/>
      <c r="G2973" s="209"/>
      <c r="H2973" s="168"/>
      <c r="I2973" s="208"/>
    </row>
    <row r="2974">
      <c r="B2974" s="168"/>
      <c r="D2974" s="76"/>
      <c r="E2974" s="208"/>
      <c r="F2974" s="168"/>
      <c r="G2974" s="209"/>
      <c r="H2974" s="168"/>
      <c r="I2974" s="208"/>
    </row>
    <row r="2975">
      <c r="B2975" s="168"/>
      <c r="D2975" s="76"/>
      <c r="E2975" s="208"/>
      <c r="F2975" s="168"/>
      <c r="G2975" s="209"/>
      <c r="H2975" s="168"/>
      <c r="I2975" s="208"/>
    </row>
    <row r="2976">
      <c r="B2976" s="168"/>
      <c r="D2976" s="76"/>
      <c r="E2976" s="208"/>
      <c r="F2976" s="168"/>
      <c r="G2976" s="209"/>
      <c r="H2976" s="168"/>
      <c r="I2976" s="208"/>
    </row>
    <row r="2977">
      <c r="B2977" s="168"/>
      <c r="D2977" s="76"/>
      <c r="E2977" s="208"/>
      <c r="F2977" s="168"/>
      <c r="G2977" s="209"/>
      <c r="H2977" s="168"/>
      <c r="I2977" s="208"/>
    </row>
    <row r="2978">
      <c r="B2978" s="168"/>
      <c r="D2978" s="76"/>
      <c r="E2978" s="208"/>
      <c r="F2978" s="168"/>
      <c r="G2978" s="209"/>
      <c r="H2978" s="168"/>
      <c r="I2978" s="208"/>
    </row>
    <row r="2979">
      <c r="B2979" s="168"/>
      <c r="D2979" s="76"/>
      <c r="E2979" s="208"/>
      <c r="F2979" s="168"/>
      <c r="G2979" s="209"/>
      <c r="H2979" s="168"/>
      <c r="I2979" s="208"/>
    </row>
    <row r="2980">
      <c r="B2980" s="168"/>
      <c r="D2980" s="76"/>
      <c r="E2980" s="208"/>
      <c r="F2980" s="168"/>
      <c r="G2980" s="209"/>
      <c r="H2980" s="168"/>
      <c r="I2980" s="208"/>
    </row>
    <row r="2981">
      <c r="B2981" s="168"/>
      <c r="D2981" s="76"/>
      <c r="E2981" s="208"/>
      <c r="F2981" s="168"/>
      <c r="G2981" s="209"/>
      <c r="H2981" s="168"/>
      <c r="I2981" s="208"/>
    </row>
    <row r="2982">
      <c r="B2982" s="168"/>
      <c r="D2982" s="76"/>
      <c r="E2982" s="208"/>
      <c r="F2982" s="168"/>
      <c r="G2982" s="209"/>
      <c r="H2982" s="168"/>
      <c r="I2982" s="208"/>
    </row>
    <row r="2983">
      <c r="B2983" s="168"/>
      <c r="D2983" s="76"/>
      <c r="E2983" s="208"/>
      <c r="F2983" s="168"/>
      <c r="G2983" s="209"/>
      <c r="H2983" s="168"/>
      <c r="I2983" s="208"/>
    </row>
    <row r="2984">
      <c r="B2984" s="168"/>
      <c r="D2984" s="76"/>
      <c r="E2984" s="208"/>
      <c r="F2984" s="168"/>
      <c r="G2984" s="209"/>
      <c r="H2984" s="168"/>
      <c r="I2984" s="208"/>
    </row>
    <row r="2985">
      <c r="B2985" s="168"/>
      <c r="D2985" s="76"/>
      <c r="E2985" s="208"/>
      <c r="F2985" s="168"/>
      <c r="G2985" s="209"/>
      <c r="H2985" s="168"/>
      <c r="I2985" s="208"/>
    </row>
    <row r="2986">
      <c r="B2986" s="168"/>
      <c r="D2986" s="76"/>
      <c r="E2986" s="208"/>
      <c r="F2986" s="168"/>
      <c r="G2986" s="209"/>
      <c r="H2986" s="168"/>
      <c r="I2986" s="208"/>
    </row>
    <row r="2987">
      <c r="B2987" s="168"/>
      <c r="D2987" s="76"/>
      <c r="E2987" s="208"/>
      <c r="F2987" s="168"/>
      <c r="G2987" s="209"/>
      <c r="H2987" s="168"/>
      <c r="I2987" s="208"/>
    </row>
    <row r="2988">
      <c r="B2988" s="168"/>
      <c r="D2988" s="76"/>
      <c r="E2988" s="208"/>
      <c r="F2988" s="168"/>
      <c r="G2988" s="209"/>
      <c r="H2988" s="168"/>
      <c r="I2988" s="208"/>
    </row>
    <row r="2989">
      <c r="B2989" s="168"/>
      <c r="D2989" s="76"/>
      <c r="E2989" s="208"/>
      <c r="F2989" s="168"/>
      <c r="G2989" s="209"/>
      <c r="H2989" s="168"/>
      <c r="I2989" s="208"/>
    </row>
    <row r="2990">
      <c r="B2990" s="168"/>
      <c r="D2990" s="76"/>
      <c r="E2990" s="208"/>
      <c r="F2990" s="168"/>
      <c r="G2990" s="209"/>
      <c r="H2990" s="168"/>
      <c r="I2990" s="208"/>
    </row>
    <row r="2991">
      <c r="B2991" s="168"/>
      <c r="D2991" s="76"/>
      <c r="E2991" s="208"/>
      <c r="F2991" s="168"/>
      <c r="G2991" s="209"/>
      <c r="H2991" s="168"/>
      <c r="I2991" s="208"/>
    </row>
    <row r="2992">
      <c r="B2992" s="168"/>
      <c r="D2992" s="76"/>
      <c r="E2992" s="208"/>
      <c r="F2992" s="168"/>
      <c r="G2992" s="209"/>
      <c r="H2992" s="168"/>
      <c r="I2992" s="208"/>
    </row>
    <row r="2993">
      <c r="B2993" s="168"/>
      <c r="D2993" s="76"/>
      <c r="E2993" s="208"/>
      <c r="F2993" s="168"/>
      <c r="G2993" s="209"/>
      <c r="H2993" s="168"/>
      <c r="I2993" s="208"/>
    </row>
    <row r="2994">
      <c r="B2994" s="168"/>
      <c r="D2994" s="76"/>
      <c r="E2994" s="208"/>
      <c r="F2994" s="168"/>
      <c r="G2994" s="209"/>
      <c r="H2994" s="168"/>
      <c r="I2994" s="208"/>
    </row>
    <row r="2995">
      <c r="B2995" s="168"/>
      <c r="D2995" s="76"/>
      <c r="E2995" s="208"/>
      <c r="F2995" s="168"/>
      <c r="G2995" s="209"/>
      <c r="H2995" s="168"/>
      <c r="I2995" s="208"/>
    </row>
    <row r="2996">
      <c r="B2996" s="168"/>
      <c r="D2996" s="76"/>
      <c r="E2996" s="208"/>
      <c r="F2996" s="168"/>
      <c r="G2996" s="209"/>
      <c r="H2996" s="168"/>
      <c r="I2996" s="208"/>
    </row>
    <row r="2997">
      <c r="B2997" s="168"/>
      <c r="D2997" s="76"/>
      <c r="E2997" s="208"/>
      <c r="F2997" s="168"/>
      <c r="G2997" s="209"/>
      <c r="H2997" s="168"/>
      <c r="I2997" s="208"/>
    </row>
    <row r="2998">
      <c r="B2998" s="168"/>
      <c r="D2998" s="76"/>
      <c r="E2998" s="208"/>
      <c r="F2998" s="168"/>
      <c r="G2998" s="209"/>
      <c r="H2998" s="168"/>
      <c r="I2998" s="208"/>
    </row>
    <row r="2999">
      <c r="B2999" s="168"/>
      <c r="D2999" s="76"/>
      <c r="E2999" s="208"/>
      <c r="F2999" s="168"/>
      <c r="G2999" s="209"/>
      <c r="H2999" s="168"/>
      <c r="I2999" s="208"/>
    </row>
    <row r="3000">
      <c r="B3000" s="168"/>
      <c r="D3000" s="76"/>
      <c r="E3000" s="208"/>
      <c r="F3000" s="168"/>
      <c r="G3000" s="209"/>
      <c r="H3000" s="168"/>
      <c r="I3000" s="208"/>
    </row>
    <row r="3001">
      <c r="B3001" s="168"/>
      <c r="D3001" s="76"/>
      <c r="E3001" s="208"/>
      <c r="F3001" s="168"/>
      <c r="G3001" s="209"/>
      <c r="H3001" s="168"/>
      <c r="I3001" s="208"/>
    </row>
    <row r="3002">
      <c r="B3002" s="168"/>
      <c r="D3002" s="76"/>
      <c r="E3002" s="208"/>
      <c r="F3002" s="168"/>
      <c r="G3002" s="209"/>
      <c r="H3002" s="168"/>
      <c r="I3002" s="208"/>
    </row>
    <row r="3003">
      <c r="B3003" s="168"/>
      <c r="D3003" s="76"/>
      <c r="E3003" s="208"/>
      <c r="F3003" s="168"/>
      <c r="G3003" s="209"/>
      <c r="H3003" s="168"/>
      <c r="I3003" s="208"/>
    </row>
    <row r="3004">
      <c r="B3004" s="168"/>
      <c r="D3004" s="76"/>
      <c r="E3004" s="208"/>
      <c r="F3004" s="168"/>
      <c r="G3004" s="209"/>
      <c r="H3004" s="168"/>
      <c r="I3004" s="208"/>
    </row>
    <row r="3005">
      <c r="B3005" s="168"/>
      <c r="D3005" s="76"/>
      <c r="E3005" s="208"/>
      <c r="F3005" s="168"/>
      <c r="G3005" s="209"/>
      <c r="H3005" s="168"/>
      <c r="I3005" s="208"/>
    </row>
    <row r="3006">
      <c r="B3006" s="168"/>
      <c r="D3006" s="76"/>
      <c r="E3006" s="208"/>
      <c r="F3006" s="168"/>
      <c r="G3006" s="209"/>
      <c r="H3006" s="168"/>
      <c r="I3006" s="208"/>
    </row>
    <row r="3007">
      <c r="B3007" s="168"/>
      <c r="D3007" s="76"/>
      <c r="E3007" s="208"/>
      <c r="F3007" s="168"/>
      <c r="G3007" s="209"/>
      <c r="H3007" s="168"/>
      <c r="I3007" s="208"/>
    </row>
    <row r="3008">
      <c r="B3008" s="168"/>
      <c r="D3008" s="76"/>
      <c r="E3008" s="208"/>
      <c r="F3008" s="168"/>
      <c r="G3008" s="209"/>
      <c r="H3008" s="168"/>
      <c r="I3008" s="208"/>
    </row>
    <row r="3009">
      <c r="B3009" s="168"/>
      <c r="D3009" s="76"/>
      <c r="E3009" s="208"/>
      <c r="F3009" s="168"/>
      <c r="G3009" s="209"/>
      <c r="H3009" s="168"/>
      <c r="I3009" s="208"/>
    </row>
    <row r="3010">
      <c r="B3010" s="168"/>
      <c r="D3010" s="76"/>
      <c r="E3010" s="208"/>
      <c r="F3010" s="168"/>
      <c r="G3010" s="209"/>
      <c r="H3010" s="168"/>
      <c r="I3010" s="208"/>
    </row>
    <row r="3011">
      <c r="B3011" s="168"/>
      <c r="D3011" s="76"/>
      <c r="E3011" s="208"/>
      <c r="F3011" s="168"/>
      <c r="G3011" s="209"/>
      <c r="H3011" s="168"/>
      <c r="I3011" s="208"/>
    </row>
    <row r="3012">
      <c r="B3012" s="168"/>
      <c r="D3012" s="76"/>
      <c r="E3012" s="208"/>
      <c r="F3012" s="168"/>
      <c r="G3012" s="209"/>
      <c r="H3012" s="168"/>
      <c r="I3012" s="208"/>
    </row>
    <row r="3013">
      <c r="B3013" s="168"/>
      <c r="D3013" s="76"/>
      <c r="E3013" s="208"/>
      <c r="F3013" s="168"/>
      <c r="G3013" s="209"/>
      <c r="H3013" s="168"/>
      <c r="I3013" s="208"/>
    </row>
    <row r="3014">
      <c r="B3014" s="168"/>
      <c r="D3014" s="76"/>
      <c r="E3014" s="208"/>
      <c r="F3014" s="168"/>
      <c r="G3014" s="209"/>
      <c r="H3014" s="168"/>
      <c r="I3014" s="208"/>
    </row>
    <row r="3015">
      <c r="B3015" s="168"/>
      <c r="D3015" s="76"/>
      <c r="E3015" s="208"/>
      <c r="F3015" s="168"/>
      <c r="G3015" s="209"/>
      <c r="H3015" s="168"/>
      <c r="I3015" s="208"/>
    </row>
    <row r="3016">
      <c r="B3016" s="168"/>
      <c r="D3016" s="76"/>
      <c r="E3016" s="208"/>
      <c r="F3016" s="168"/>
      <c r="G3016" s="209"/>
      <c r="H3016" s="168"/>
      <c r="I3016" s="208"/>
    </row>
    <row r="3017">
      <c r="B3017" s="168"/>
      <c r="D3017" s="76"/>
      <c r="E3017" s="208"/>
      <c r="F3017" s="168"/>
      <c r="G3017" s="209"/>
      <c r="H3017" s="168"/>
      <c r="I3017" s="208"/>
    </row>
    <row r="3018">
      <c r="B3018" s="168"/>
      <c r="D3018" s="76"/>
      <c r="E3018" s="208"/>
      <c r="F3018" s="168"/>
      <c r="G3018" s="209"/>
      <c r="H3018" s="168"/>
      <c r="I3018" s="208"/>
    </row>
    <row r="3019">
      <c r="B3019" s="168"/>
      <c r="D3019" s="76"/>
      <c r="E3019" s="208"/>
      <c r="F3019" s="168"/>
      <c r="G3019" s="209"/>
      <c r="H3019" s="168"/>
      <c r="I3019" s="208"/>
    </row>
    <row r="3020">
      <c r="B3020" s="168"/>
      <c r="D3020" s="76"/>
      <c r="E3020" s="208"/>
      <c r="F3020" s="168"/>
      <c r="G3020" s="209"/>
      <c r="H3020" s="168"/>
      <c r="I3020" s="208"/>
    </row>
    <row r="3021">
      <c r="B3021" s="168"/>
      <c r="D3021" s="76"/>
      <c r="E3021" s="208"/>
      <c r="F3021" s="168"/>
      <c r="G3021" s="209"/>
      <c r="H3021" s="168"/>
      <c r="I3021" s="208"/>
    </row>
    <row r="3022">
      <c r="B3022" s="168"/>
      <c r="D3022" s="76"/>
      <c r="E3022" s="208"/>
      <c r="F3022" s="168"/>
      <c r="G3022" s="209"/>
      <c r="H3022" s="168"/>
      <c r="I3022" s="208"/>
    </row>
    <row r="3023">
      <c r="B3023" s="168"/>
      <c r="D3023" s="76"/>
      <c r="E3023" s="208"/>
      <c r="F3023" s="168"/>
      <c r="G3023" s="209"/>
      <c r="H3023" s="168"/>
      <c r="I3023" s="208"/>
    </row>
    <row r="3024">
      <c r="B3024" s="168"/>
      <c r="D3024" s="76"/>
      <c r="E3024" s="208"/>
      <c r="F3024" s="168"/>
      <c r="G3024" s="209"/>
      <c r="H3024" s="168"/>
      <c r="I3024" s="208"/>
    </row>
    <row r="3025">
      <c r="B3025" s="168"/>
      <c r="D3025" s="76"/>
      <c r="E3025" s="208"/>
      <c r="F3025" s="168"/>
      <c r="G3025" s="209"/>
      <c r="H3025" s="168"/>
      <c r="I3025" s="208"/>
    </row>
    <row r="3026">
      <c r="B3026" s="168"/>
      <c r="D3026" s="76"/>
      <c r="E3026" s="208"/>
      <c r="F3026" s="168"/>
      <c r="G3026" s="209"/>
      <c r="H3026" s="168"/>
      <c r="I3026" s="208"/>
    </row>
    <row r="3027">
      <c r="B3027" s="168"/>
      <c r="D3027" s="76"/>
      <c r="E3027" s="208"/>
      <c r="F3027" s="168"/>
      <c r="G3027" s="209"/>
      <c r="H3027" s="168"/>
      <c r="I3027" s="208"/>
    </row>
    <row r="3028">
      <c r="B3028" s="168"/>
      <c r="D3028" s="76"/>
      <c r="E3028" s="208"/>
      <c r="F3028" s="168"/>
      <c r="G3028" s="209"/>
      <c r="H3028" s="168"/>
      <c r="I3028" s="208"/>
    </row>
    <row r="3029">
      <c r="B3029" s="168"/>
      <c r="D3029" s="76"/>
      <c r="E3029" s="208"/>
      <c r="F3029" s="168"/>
      <c r="G3029" s="209"/>
      <c r="H3029" s="168"/>
      <c r="I3029" s="208"/>
    </row>
    <row r="3030">
      <c r="B3030" s="168"/>
      <c r="D3030" s="76"/>
      <c r="E3030" s="208"/>
      <c r="F3030" s="168"/>
      <c r="G3030" s="209"/>
      <c r="H3030" s="168"/>
      <c r="I3030" s="208"/>
    </row>
    <row r="3031">
      <c r="B3031" s="168"/>
      <c r="D3031" s="76"/>
      <c r="E3031" s="208"/>
      <c r="F3031" s="168"/>
      <c r="G3031" s="209"/>
      <c r="H3031" s="168"/>
      <c r="I3031" s="208"/>
    </row>
    <row r="3032">
      <c r="B3032" s="168"/>
      <c r="D3032" s="76"/>
      <c r="E3032" s="208"/>
      <c r="F3032" s="168"/>
      <c r="G3032" s="209"/>
      <c r="H3032" s="168"/>
      <c r="I3032" s="208"/>
    </row>
    <row r="3033">
      <c r="B3033" s="168"/>
      <c r="D3033" s="76"/>
      <c r="E3033" s="208"/>
      <c r="F3033" s="168"/>
      <c r="G3033" s="209"/>
      <c r="H3033" s="168"/>
      <c r="I3033" s="208"/>
    </row>
    <row r="3034">
      <c r="B3034" s="168"/>
      <c r="D3034" s="76"/>
      <c r="E3034" s="208"/>
      <c r="F3034" s="168"/>
      <c r="G3034" s="209"/>
      <c r="H3034" s="168"/>
      <c r="I3034" s="208"/>
    </row>
    <row r="3035">
      <c r="B3035" s="168"/>
      <c r="D3035" s="76"/>
      <c r="E3035" s="208"/>
      <c r="F3035" s="168"/>
      <c r="G3035" s="209"/>
      <c r="H3035" s="168"/>
      <c r="I3035" s="208"/>
    </row>
    <row r="3036">
      <c r="B3036" s="168"/>
      <c r="D3036" s="76"/>
      <c r="E3036" s="208"/>
      <c r="F3036" s="168"/>
      <c r="G3036" s="209"/>
      <c r="H3036" s="168"/>
      <c r="I3036" s="208"/>
    </row>
    <row r="3037">
      <c r="B3037" s="168"/>
      <c r="D3037" s="76"/>
      <c r="E3037" s="208"/>
      <c r="F3037" s="168"/>
      <c r="G3037" s="209"/>
      <c r="H3037" s="168"/>
      <c r="I3037" s="208"/>
    </row>
    <row r="3038">
      <c r="B3038" s="168"/>
      <c r="D3038" s="76"/>
      <c r="E3038" s="208"/>
      <c r="F3038" s="168"/>
      <c r="G3038" s="209"/>
      <c r="H3038" s="168"/>
      <c r="I3038" s="208"/>
    </row>
    <row r="3039">
      <c r="B3039" s="168"/>
      <c r="D3039" s="76"/>
      <c r="E3039" s="208"/>
      <c r="F3039" s="168"/>
      <c r="G3039" s="209"/>
      <c r="H3039" s="168"/>
      <c r="I3039" s="208"/>
    </row>
    <row r="3040">
      <c r="B3040" s="168"/>
      <c r="D3040" s="76"/>
      <c r="E3040" s="208"/>
      <c r="F3040" s="168"/>
      <c r="G3040" s="209"/>
      <c r="H3040" s="168"/>
      <c r="I3040" s="208"/>
    </row>
    <row r="3041">
      <c r="B3041" s="168"/>
      <c r="D3041" s="76"/>
      <c r="E3041" s="208"/>
      <c r="F3041" s="168"/>
      <c r="G3041" s="209"/>
      <c r="H3041" s="168"/>
      <c r="I3041" s="208"/>
    </row>
    <row r="3042">
      <c r="B3042" s="168"/>
      <c r="D3042" s="76"/>
      <c r="E3042" s="208"/>
      <c r="F3042" s="168"/>
      <c r="G3042" s="209"/>
      <c r="H3042" s="168"/>
      <c r="I3042" s="208"/>
    </row>
    <row r="3043">
      <c r="B3043" s="168"/>
      <c r="D3043" s="76"/>
      <c r="E3043" s="208"/>
      <c r="F3043" s="168"/>
      <c r="G3043" s="209"/>
      <c r="H3043" s="168"/>
      <c r="I3043" s="208"/>
    </row>
    <row r="3044">
      <c r="B3044" s="168"/>
      <c r="D3044" s="76"/>
      <c r="E3044" s="208"/>
      <c r="F3044" s="168"/>
      <c r="G3044" s="209"/>
      <c r="H3044" s="168"/>
      <c r="I3044" s="208"/>
    </row>
    <row r="3045">
      <c r="B3045" s="168"/>
      <c r="D3045" s="76"/>
      <c r="E3045" s="208"/>
      <c r="F3045" s="168"/>
      <c r="G3045" s="209"/>
      <c r="H3045" s="168"/>
      <c r="I3045" s="208"/>
    </row>
    <row r="3046">
      <c r="B3046" s="168"/>
      <c r="D3046" s="76"/>
      <c r="E3046" s="208"/>
      <c r="F3046" s="168"/>
      <c r="G3046" s="209"/>
      <c r="H3046" s="168"/>
      <c r="I3046" s="208"/>
    </row>
    <row r="3047">
      <c r="B3047" s="168"/>
      <c r="D3047" s="76"/>
      <c r="E3047" s="208"/>
      <c r="F3047" s="168"/>
      <c r="G3047" s="209"/>
      <c r="H3047" s="168"/>
      <c r="I3047" s="208"/>
    </row>
    <row r="3048">
      <c r="B3048" s="168"/>
      <c r="D3048" s="76"/>
      <c r="E3048" s="208"/>
      <c r="F3048" s="168"/>
      <c r="G3048" s="209"/>
      <c r="H3048" s="168"/>
      <c r="I3048" s="208"/>
    </row>
    <row r="3049">
      <c r="B3049" s="168"/>
      <c r="D3049" s="76"/>
      <c r="E3049" s="208"/>
      <c r="F3049" s="168"/>
      <c r="G3049" s="209"/>
      <c r="H3049" s="168"/>
      <c r="I3049" s="208"/>
    </row>
    <row r="3050">
      <c r="B3050" s="168"/>
      <c r="D3050" s="76"/>
      <c r="E3050" s="208"/>
      <c r="F3050" s="168"/>
      <c r="G3050" s="209"/>
      <c r="H3050" s="168"/>
      <c r="I3050" s="208"/>
    </row>
    <row r="3051">
      <c r="B3051" s="168"/>
      <c r="D3051" s="76"/>
      <c r="E3051" s="208"/>
      <c r="F3051" s="168"/>
      <c r="G3051" s="209"/>
      <c r="H3051" s="168"/>
      <c r="I3051" s="208"/>
    </row>
    <row r="3052">
      <c r="B3052" s="168"/>
      <c r="D3052" s="76"/>
      <c r="E3052" s="208"/>
      <c r="F3052" s="168"/>
      <c r="G3052" s="209"/>
      <c r="H3052" s="168"/>
      <c r="I3052" s="208"/>
    </row>
    <row r="3053">
      <c r="B3053" s="168"/>
      <c r="D3053" s="76"/>
      <c r="E3053" s="208"/>
      <c r="F3053" s="168"/>
      <c r="G3053" s="209"/>
      <c r="H3053" s="168"/>
      <c r="I3053" s="208"/>
    </row>
    <row r="3054">
      <c r="B3054" s="168"/>
      <c r="D3054" s="76"/>
      <c r="E3054" s="208"/>
      <c r="F3054" s="168"/>
      <c r="G3054" s="209"/>
      <c r="H3054" s="168"/>
      <c r="I3054" s="208"/>
    </row>
    <row r="3055">
      <c r="B3055" s="168"/>
      <c r="D3055" s="76"/>
      <c r="E3055" s="208"/>
      <c r="F3055" s="168"/>
      <c r="G3055" s="209"/>
      <c r="H3055" s="168"/>
      <c r="I3055" s="208"/>
    </row>
    <row r="3056">
      <c r="B3056" s="168"/>
      <c r="D3056" s="76"/>
      <c r="E3056" s="208"/>
      <c r="F3056" s="168"/>
      <c r="G3056" s="209"/>
      <c r="H3056" s="168"/>
      <c r="I3056" s="208"/>
    </row>
    <row r="3057">
      <c r="B3057" s="168"/>
      <c r="D3057" s="76"/>
      <c r="E3057" s="208"/>
      <c r="F3057" s="168"/>
      <c r="G3057" s="209"/>
      <c r="H3057" s="168"/>
      <c r="I3057" s="208"/>
    </row>
    <row r="3058">
      <c r="B3058" s="168"/>
      <c r="D3058" s="76"/>
      <c r="E3058" s="208"/>
      <c r="F3058" s="168"/>
      <c r="G3058" s="209"/>
      <c r="H3058" s="168"/>
      <c r="I3058" s="208"/>
    </row>
    <row r="3059">
      <c r="B3059" s="168"/>
      <c r="D3059" s="76"/>
      <c r="E3059" s="208"/>
      <c r="F3059" s="168"/>
      <c r="G3059" s="209"/>
      <c r="H3059" s="168"/>
      <c r="I3059" s="208"/>
    </row>
    <row r="3060">
      <c r="B3060" s="168"/>
      <c r="D3060" s="76"/>
      <c r="E3060" s="208"/>
      <c r="F3060" s="168"/>
      <c r="G3060" s="209"/>
      <c r="H3060" s="168"/>
      <c r="I3060" s="208"/>
    </row>
    <row r="3061">
      <c r="B3061" s="168"/>
      <c r="D3061" s="76"/>
      <c r="E3061" s="208"/>
      <c r="F3061" s="168"/>
      <c r="G3061" s="209"/>
      <c r="H3061" s="168"/>
      <c r="I3061" s="208"/>
    </row>
    <row r="3062">
      <c r="B3062" s="168"/>
      <c r="D3062" s="76"/>
      <c r="E3062" s="208"/>
      <c r="F3062" s="168"/>
      <c r="G3062" s="209"/>
      <c r="H3062" s="168"/>
      <c r="I3062" s="208"/>
    </row>
    <row r="3063">
      <c r="B3063" s="168"/>
      <c r="D3063" s="76"/>
      <c r="E3063" s="208"/>
      <c r="F3063" s="168"/>
      <c r="G3063" s="209"/>
      <c r="H3063" s="168"/>
      <c r="I3063" s="208"/>
    </row>
    <row r="3064">
      <c r="B3064" s="168"/>
      <c r="D3064" s="76"/>
      <c r="E3064" s="208"/>
      <c r="F3064" s="168"/>
      <c r="G3064" s="209"/>
      <c r="H3064" s="168"/>
      <c r="I3064" s="208"/>
    </row>
    <row r="3065">
      <c r="B3065" s="168"/>
      <c r="D3065" s="76"/>
      <c r="E3065" s="208"/>
      <c r="F3065" s="168"/>
      <c r="G3065" s="209"/>
      <c r="H3065" s="168"/>
      <c r="I3065" s="208"/>
    </row>
    <row r="3066">
      <c r="B3066" s="168"/>
      <c r="D3066" s="76"/>
      <c r="E3066" s="208"/>
      <c r="F3066" s="168"/>
      <c r="G3066" s="209"/>
      <c r="H3066" s="168"/>
      <c r="I3066" s="208"/>
    </row>
    <row r="3067">
      <c r="B3067" s="168"/>
      <c r="D3067" s="76"/>
      <c r="E3067" s="208"/>
      <c r="F3067" s="168"/>
      <c r="G3067" s="209"/>
      <c r="H3067" s="168"/>
      <c r="I3067" s="208"/>
    </row>
    <row r="3068">
      <c r="B3068" s="168"/>
      <c r="D3068" s="76"/>
      <c r="E3068" s="208"/>
      <c r="F3068" s="168"/>
      <c r="G3068" s="209"/>
      <c r="H3068" s="168"/>
      <c r="I3068" s="208"/>
    </row>
    <row r="3069">
      <c r="B3069" s="168"/>
      <c r="D3069" s="76"/>
      <c r="E3069" s="208"/>
      <c r="F3069" s="168"/>
      <c r="G3069" s="209"/>
      <c r="H3069" s="168"/>
      <c r="I3069" s="208"/>
    </row>
    <row r="3070">
      <c r="B3070" s="168"/>
      <c r="D3070" s="76"/>
      <c r="E3070" s="208"/>
      <c r="F3070" s="168"/>
      <c r="G3070" s="209"/>
      <c r="H3070" s="168"/>
      <c r="I3070" s="208"/>
    </row>
    <row r="3071">
      <c r="B3071" s="168"/>
      <c r="D3071" s="76"/>
      <c r="E3071" s="208"/>
      <c r="F3071" s="168"/>
      <c r="G3071" s="209"/>
      <c r="H3071" s="168"/>
      <c r="I3071" s="208"/>
    </row>
    <row r="3072">
      <c r="B3072" s="168"/>
      <c r="D3072" s="76"/>
      <c r="E3072" s="208"/>
      <c r="F3072" s="168"/>
      <c r="G3072" s="209"/>
      <c r="H3072" s="168"/>
      <c r="I3072" s="208"/>
    </row>
    <row r="3073">
      <c r="B3073" s="168"/>
      <c r="D3073" s="76"/>
      <c r="E3073" s="208"/>
      <c r="F3073" s="168"/>
      <c r="G3073" s="209"/>
      <c r="H3073" s="168"/>
      <c r="I3073" s="208"/>
    </row>
    <row r="3074">
      <c r="B3074" s="168"/>
      <c r="D3074" s="76"/>
      <c r="E3074" s="208"/>
      <c r="F3074" s="168"/>
      <c r="G3074" s="209"/>
      <c r="H3074" s="168"/>
      <c r="I3074" s="208"/>
    </row>
    <row r="3075">
      <c r="B3075" s="168"/>
      <c r="D3075" s="76"/>
      <c r="E3075" s="208"/>
      <c r="F3075" s="168"/>
      <c r="G3075" s="209"/>
      <c r="H3075" s="168"/>
      <c r="I3075" s="208"/>
    </row>
    <row r="3076">
      <c r="B3076" s="168"/>
      <c r="D3076" s="76"/>
      <c r="E3076" s="208"/>
      <c r="F3076" s="168"/>
      <c r="G3076" s="209"/>
      <c r="H3076" s="168"/>
      <c r="I3076" s="208"/>
    </row>
    <row r="3077">
      <c r="B3077" s="168"/>
      <c r="D3077" s="76"/>
      <c r="E3077" s="208"/>
      <c r="F3077" s="168"/>
      <c r="G3077" s="209"/>
      <c r="H3077" s="168"/>
      <c r="I3077" s="208"/>
    </row>
    <row r="3078">
      <c r="B3078" s="168"/>
      <c r="D3078" s="76"/>
      <c r="E3078" s="208"/>
      <c r="F3078" s="168"/>
      <c r="G3078" s="209"/>
      <c r="H3078" s="168"/>
      <c r="I3078" s="208"/>
    </row>
    <row r="3079">
      <c r="B3079" s="168"/>
      <c r="D3079" s="76"/>
      <c r="E3079" s="208"/>
      <c r="F3079" s="168"/>
      <c r="G3079" s="209"/>
      <c r="H3079" s="168"/>
      <c r="I3079" s="208"/>
    </row>
    <row r="3080">
      <c r="B3080" s="168"/>
      <c r="D3080" s="76"/>
      <c r="E3080" s="208"/>
      <c r="F3080" s="168"/>
      <c r="G3080" s="209"/>
      <c r="H3080" s="168"/>
      <c r="I3080" s="208"/>
    </row>
    <row r="3081">
      <c r="B3081" s="168"/>
      <c r="D3081" s="76"/>
      <c r="E3081" s="208"/>
      <c r="F3081" s="168"/>
      <c r="G3081" s="209"/>
      <c r="H3081" s="168"/>
      <c r="I3081" s="208"/>
    </row>
    <row r="3082">
      <c r="B3082" s="168"/>
      <c r="D3082" s="76"/>
      <c r="E3082" s="208"/>
      <c r="F3082" s="168"/>
      <c r="G3082" s="209"/>
      <c r="H3082" s="168"/>
      <c r="I3082" s="208"/>
    </row>
    <row r="3083">
      <c r="B3083" s="168"/>
      <c r="D3083" s="76"/>
      <c r="E3083" s="208"/>
      <c r="F3083" s="168"/>
      <c r="G3083" s="209"/>
      <c r="H3083" s="168"/>
      <c r="I3083" s="208"/>
    </row>
    <row r="3084">
      <c r="B3084" s="168"/>
      <c r="D3084" s="76"/>
      <c r="E3084" s="208"/>
      <c r="F3084" s="168"/>
      <c r="G3084" s="209"/>
      <c r="H3084" s="168"/>
      <c r="I3084" s="208"/>
    </row>
    <row r="3085">
      <c r="B3085" s="168"/>
      <c r="D3085" s="76"/>
      <c r="E3085" s="208"/>
      <c r="F3085" s="168"/>
      <c r="G3085" s="209"/>
      <c r="H3085" s="168"/>
      <c r="I3085" s="208"/>
    </row>
    <row r="3086">
      <c r="B3086" s="168"/>
      <c r="D3086" s="76"/>
      <c r="E3086" s="208"/>
      <c r="F3086" s="168"/>
      <c r="G3086" s="209"/>
      <c r="H3086" s="168"/>
      <c r="I3086" s="208"/>
    </row>
    <row r="3087">
      <c r="B3087" s="168"/>
      <c r="D3087" s="76"/>
      <c r="E3087" s="208"/>
      <c r="F3087" s="168"/>
      <c r="G3087" s="209"/>
      <c r="H3087" s="168"/>
      <c r="I3087" s="208"/>
    </row>
    <row r="3088">
      <c r="B3088" s="168"/>
      <c r="D3088" s="76"/>
      <c r="E3088" s="208"/>
      <c r="F3088" s="168"/>
      <c r="G3088" s="209"/>
      <c r="H3088" s="168"/>
      <c r="I3088" s="208"/>
    </row>
    <row r="3089">
      <c r="B3089" s="168"/>
      <c r="D3089" s="76"/>
      <c r="E3089" s="208"/>
      <c r="F3089" s="168"/>
      <c r="G3089" s="209"/>
      <c r="H3089" s="168"/>
      <c r="I3089" s="208"/>
    </row>
    <row r="3090">
      <c r="B3090" s="168"/>
      <c r="D3090" s="76"/>
      <c r="E3090" s="208"/>
      <c r="F3090" s="168"/>
      <c r="G3090" s="209"/>
      <c r="H3090" s="168"/>
      <c r="I3090" s="208"/>
    </row>
    <row r="3091">
      <c r="B3091" s="168"/>
      <c r="D3091" s="76"/>
      <c r="E3091" s="208"/>
      <c r="F3091" s="168"/>
      <c r="G3091" s="209"/>
      <c r="H3091" s="168"/>
      <c r="I3091" s="208"/>
    </row>
    <row r="3092">
      <c r="B3092" s="168"/>
      <c r="D3092" s="76"/>
      <c r="E3092" s="208"/>
      <c r="F3092" s="168"/>
      <c r="G3092" s="209"/>
      <c r="H3092" s="168"/>
      <c r="I3092" s="208"/>
    </row>
    <row r="3093">
      <c r="B3093" s="168"/>
      <c r="D3093" s="76"/>
      <c r="E3093" s="208"/>
      <c r="F3093" s="168"/>
      <c r="G3093" s="209"/>
      <c r="H3093" s="168"/>
      <c r="I3093" s="208"/>
    </row>
    <row r="3094">
      <c r="B3094" s="168"/>
      <c r="D3094" s="76"/>
      <c r="E3094" s="208"/>
      <c r="F3094" s="168"/>
      <c r="G3094" s="209"/>
      <c r="H3094" s="168"/>
      <c r="I3094" s="208"/>
    </row>
    <row r="3095">
      <c r="B3095" s="168"/>
      <c r="D3095" s="76"/>
      <c r="E3095" s="208"/>
      <c r="F3095" s="168"/>
      <c r="G3095" s="209"/>
      <c r="H3095" s="168"/>
      <c r="I3095" s="208"/>
    </row>
    <row r="3096">
      <c r="B3096" s="168"/>
      <c r="D3096" s="76"/>
      <c r="E3096" s="208"/>
      <c r="F3096" s="168"/>
      <c r="G3096" s="209"/>
      <c r="H3096" s="168"/>
      <c r="I3096" s="208"/>
    </row>
    <row r="3097">
      <c r="B3097" s="168"/>
      <c r="D3097" s="76"/>
      <c r="E3097" s="208"/>
      <c r="F3097" s="168"/>
      <c r="G3097" s="209"/>
      <c r="H3097" s="168"/>
      <c r="I3097" s="208"/>
    </row>
    <row r="3098">
      <c r="B3098" s="168"/>
      <c r="D3098" s="76"/>
      <c r="E3098" s="208"/>
      <c r="F3098" s="168"/>
      <c r="G3098" s="209"/>
      <c r="H3098" s="168"/>
      <c r="I3098" s="208"/>
    </row>
    <row r="3099">
      <c r="B3099" s="168"/>
      <c r="D3099" s="76"/>
      <c r="E3099" s="208"/>
      <c r="F3099" s="168"/>
      <c r="G3099" s="209"/>
      <c r="H3099" s="168"/>
      <c r="I3099" s="208"/>
    </row>
    <row r="3100">
      <c r="B3100" s="168"/>
      <c r="D3100" s="76"/>
      <c r="E3100" s="208"/>
      <c r="F3100" s="168"/>
      <c r="G3100" s="209"/>
      <c r="H3100" s="168"/>
      <c r="I3100" s="208"/>
    </row>
    <row r="3101">
      <c r="B3101" s="168"/>
      <c r="D3101" s="76"/>
      <c r="E3101" s="208"/>
      <c r="F3101" s="168"/>
      <c r="G3101" s="209"/>
      <c r="H3101" s="168"/>
      <c r="I3101" s="208"/>
    </row>
    <row r="3102">
      <c r="B3102" s="168"/>
      <c r="D3102" s="76"/>
      <c r="E3102" s="208"/>
      <c r="F3102" s="168"/>
      <c r="G3102" s="209"/>
      <c r="H3102" s="168"/>
      <c r="I3102" s="208"/>
    </row>
    <row r="3103">
      <c r="B3103" s="168"/>
      <c r="D3103" s="76"/>
      <c r="E3103" s="208"/>
      <c r="F3103" s="168"/>
      <c r="G3103" s="209"/>
      <c r="H3103" s="168"/>
      <c r="I3103" s="208"/>
    </row>
    <row r="3104">
      <c r="B3104" s="168"/>
      <c r="D3104" s="76"/>
      <c r="E3104" s="208"/>
      <c r="F3104" s="168"/>
      <c r="G3104" s="209"/>
      <c r="H3104" s="168"/>
      <c r="I3104" s="208"/>
    </row>
    <row r="3105">
      <c r="B3105" s="168"/>
      <c r="D3105" s="76"/>
      <c r="E3105" s="208"/>
      <c r="F3105" s="168"/>
      <c r="G3105" s="209"/>
      <c r="H3105" s="168"/>
      <c r="I3105" s="208"/>
    </row>
    <row r="3106">
      <c r="B3106" s="168"/>
      <c r="D3106" s="76"/>
      <c r="E3106" s="208"/>
      <c r="F3106" s="168"/>
      <c r="G3106" s="209"/>
      <c r="H3106" s="168"/>
      <c r="I3106" s="208"/>
    </row>
    <row r="3107">
      <c r="B3107" s="168"/>
      <c r="D3107" s="76"/>
      <c r="E3107" s="208"/>
      <c r="F3107" s="168"/>
      <c r="G3107" s="209"/>
      <c r="H3107" s="168"/>
      <c r="I3107" s="208"/>
    </row>
    <row r="3108">
      <c r="B3108" s="168"/>
      <c r="D3108" s="76"/>
      <c r="E3108" s="208"/>
      <c r="F3108" s="168"/>
      <c r="G3108" s="209"/>
      <c r="H3108" s="168"/>
      <c r="I3108" s="208"/>
    </row>
    <row r="3109">
      <c r="B3109" s="168"/>
      <c r="D3109" s="76"/>
      <c r="E3109" s="208"/>
      <c r="F3109" s="168"/>
      <c r="G3109" s="209"/>
      <c r="H3109" s="168"/>
      <c r="I3109" s="208"/>
    </row>
    <row r="3110">
      <c r="B3110" s="168"/>
      <c r="D3110" s="76"/>
      <c r="E3110" s="208"/>
      <c r="F3110" s="168"/>
      <c r="G3110" s="209"/>
      <c r="H3110" s="168"/>
      <c r="I3110" s="208"/>
    </row>
    <row r="3111">
      <c r="B3111" s="168"/>
      <c r="D3111" s="76"/>
      <c r="E3111" s="208"/>
      <c r="F3111" s="168"/>
      <c r="G3111" s="209"/>
      <c r="H3111" s="168"/>
      <c r="I3111" s="208"/>
    </row>
    <row r="3112">
      <c r="B3112" s="168"/>
      <c r="D3112" s="76"/>
      <c r="E3112" s="208"/>
      <c r="F3112" s="168"/>
      <c r="G3112" s="209"/>
      <c r="H3112" s="168"/>
      <c r="I3112" s="208"/>
    </row>
    <row r="3113">
      <c r="B3113" s="168"/>
      <c r="D3113" s="76"/>
      <c r="E3113" s="208"/>
      <c r="F3113" s="168"/>
      <c r="G3113" s="209"/>
      <c r="H3113" s="168"/>
      <c r="I3113" s="208"/>
    </row>
    <row r="3114">
      <c r="B3114" s="168"/>
      <c r="D3114" s="76"/>
      <c r="E3114" s="208"/>
      <c r="F3114" s="168"/>
      <c r="G3114" s="209"/>
      <c r="H3114" s="168"/>
      <c r="I3114" s="208"/>
    </row>
    <row r="3115">
      <c r="B3115" s="168"/>
      <c r="D3115" s="76"/>
      <c r="E3115" s="208"/>
      <c r="F3115" s="168"/>
      <c r="G3115" s="209"/>
      <c r="H3115" s="168"/>
      <c r="I3115" s="208"/>
    </row>
    <row r="3116">
      <c r="B3116" s="168"/>
      <c r="D3116" s="76"/>
      <c r="E3116" s="208"/>
      <c r="F3116" s="168"/>
      <c r="G3116" s="209"/>
      <c r="H3116" s="168"/>
      <c r="I3116" s="208"/>
    </row>
    <row r="3117">
      <c r="B3117" s="168"/>
      <c r="D3117" s="76"/>
      <c r="E3117" s="208"/>
      <c r="F3117" s="168"/>
      <c r="G3117" s="209"/>
      <c r="H3117" s="168"/>
      <c r="I3117" s="208"/>
    </row>
    <row r="3118">
      <c r="B3118" s="168"/>
      <c r="D3118" s="76"/>
      <c r="E3118" s="208"/>
      <c r="F3118" s="168"/>
      <c r="G3118" s="209"/>
      <c r="H3118" s="168"/>
      <c r="I3118" s="208"/>
    </row>
    <row r="3119">
      <c r="B3119" s="168"/>
      <c r="D3119" s="76"/>
      <c r="E3119" s="208"/>
      <c r="F3119" s="168"/>
      <c r="G3119" s="209"/>
      <c r="H3119" s="168"/>
      <c r="I3119" s="208"/>
    </row>
    <row r="3120">
      <c r="B3120" s="168"/>
      <c r="D3120" s="76"/>
      <c r="E3120" s="208"/>
      <c r="F3120" s="168"/>
      <c r="G3120" s="209"/>
      <c r="H3120" s="168"/>
      <c r="I3120" s="208"/>
    </row>
    <row r="3121">
      <c r="B3121" s="168"/>
      <c r="D3121" s="76"/>
      <c r="E3121" s="208"/>
      <c r="F3121" s="168"/>
      <c r="G3121" s="209"/>
      <c r="H3121" s="168"/>
      <c r="I3121" s="208"/>
    </row>
    <row r="3122">
      <c r="B3122" s="168"/>
      <c r="D3122" s="76"/>
      <c r="E3122" s="208"/>
      <c r="F3122" s="168"/>
      <c r="G3122" s="209"/>
      <c r="H3122" s="168"/>
      <c r="I3122" s="208"/>
    </row>
    <row r="3123">
      <c r="B3123" s="168"/>
      <c r="D3123" s="76"/>
      <c r="E3123" s="208"/>
      <c r="F3123" s="168"/>
      <c r="G3123" s="209"/>
      <c r="H3123" s="168"/>
      <c r="I3123" s="208"/>
    </row>
    <row r="3124">
      <c r="B3124" s="168"/>
      <c r="D3124" s="76"/>
      <c r="E3124" s="208"/>
      <c r="F3124" s="168"/>
      <c r="G3124" s="209"/>
      <c r="H3124" s="168"/>
      <c r="I3124" s="208"/>
    </row>
    <row r="3125">
      <c r="B3125" s="168"/>
      <c r="D3125" s="76"/>
      <c r="E3125" s="208"/>
      <c r="F3125" s="168"/>
      <c r="G3125" s="209"/>
      <c r="H3125" s="168"/>
      <c r="I3125" s="208"/>
    </row>
    <row r="3126">
      <c r="B3126" s="168"/>
      <c r="D3126" s="76"/>
      <c r="E3126" s="208"/>
      <c r="F3126" s="168"/>
      <c r="G3126" s="209"/>
      <c r="H3126" s="168"/>
      <c r="I3126" s="208"/>
    </row>
    <row r="3127">
      <c r="B3127" s="168"/>
      <c r="D3127" s="76"/>
      <c r="E3127" s="208"/>
      <c r="F3127" s="168"/>
      <c r="G3127" s="209"/>
      <c r="H3127" s="168"/>
      <c r="I3127" s="208"/>
    </row>
    <row r="3128">
      <c r="B3128" s="168"/>
      <c r="D3128" s="76"/>
      <c r="E3128" s="208"/>
      <c r="F3128" s="168"/>
      <c r="G3128" s="209"/>
      <c r="H3128" s="168"/>
      <c r="I3128" s="208"/>
    </row>
    <row r="3129">
      <c r="B3129" s="168"/>
      <c r="D3129" s="76"/>
      <c r="E3129" s="208"/>
      <c r="F3129" s="168"/>
      <c r="G3129" s="209"/>
      <c r="H3129" s="168"/>
      <c r="I3129" s="208"/>
    </row>
    <row r="3130">
      <c r="B3130" s="168"/>
      <c r="D3130" s="76"/>
      <c r="E3130" s="208"/>
      <c r="F3130" s="168"/>
      <c r="G3130" s="209"/>
      <c r="H3130" s="168"/>
      <c r="I3130" s="208"/>
    </row>
    <row r="3131">
      <c r="B3131" s="168"/>
      <c r="D3131" s="76"/>
      <c r="E3131" s="208"/>
      <c r="F3131" s="168"/>
      <c r="G3131" s="209"/>
      <c r="H3131" s="168"/>
      <c r="I3131" s="208"/>
    </row>
    <row r="3132">
      <c r="B3132" s="168"/>
      <c r="D3132" s="76"/>
      <c r="E3132" s="208"/>
      <c r="F3132" s="168"/>
      <c r="G3132" s="209"/>
      <c r="H3132" s="168"/>
      <c r="I3132" s="208"/>
    </row>
    <row r="3133">
      <c r="B3133" s="168"/>
      <c r="D3133" s="76"/>
      <c r="E3133" s="208"/>
      <c r="F3133" s="168"/>
      <c r="G3133" s="209"/>
      <c r="H3133" s="168"/>
      <c r="I3133" s="208"/>
    </row>
    <row r="3134">
      <c r="B3134" s="168"/>
      <c r="D3134" s="76"/>
      <c r="E3134" s="208"/>
      <c r="F3134" s="168"/>
      <c r="G3134" s="209"/>
      <c r="H3134" s="168"/>
      <c r="I3134" s="208"/>
    </row>
    <row r="3135">
      <c r="B3135" s="168"/>
      <c r="D3135" s="76"/>
      <c r="E3135" s="208"/>
      <c r="F3135" s="168"/>
      <c r="G3135" s="209"/>
      <c r="H3135" s="168"/>
      <c r="I3135" s="208"/>
    </row>
    <row r="3136">
      <c r="B3136" s="168"/>
      <c r="D3136" s="76"/>
      <c r="E3136" s="208"/>
      <c r="F3136" s="168"/>
      <c r="G3136" s="209"/>
      <c r="H3136" s="168"/>
      <c r="I3136" s="208"/>
    </row>
    <row r="3137">
      <c r="B3137" s="168"/>
      <c r="D3137" s="76"/>
      <c r="E3137" s="208"/>
      <c r="F3137" s="168"/>
      <c r="G3137" s="209"/>
      <c r="H3137" s="168"/>
      <c r="I3137" s="208"/>
    </row>
    <row r="3138">
      <c r="B3138" s="168"/>
      <c r="D3138" s="76"/>
      <c r="E3138" s="208"/>
      <c r="F3138" s="168"/>
      <c r="G3138" s="209"/>
      <c r="H3138" s="168"/>
      <c r="I3138" s="208"/>
    </row>
    <row r="3139">
      <c r="B3139" s="168"/>
      <c r="D3139" s="76"/>
      <c r="E3139" s="208"/>
      <c r="F3139" s="168"/>
      <c r="G3139" s="209"/>
      <c r="H3139" s="168"/>
      <c r="I3139" s="208"/>
    </row>
    <row r="3140">
      <c r="B3140" s="168"/>
      <c r="D3140" s="76"/>
      <c r="E3140" s="208"/>
      <c r="F3140" s="168"/>
      <c r="G3140" s="209"/>
      <c r="H3140" s="168"/>
      <c r="I3140" s="208"/>
    </row>
    <row r="3141">
      <c r="B3141" s="168"/>
      <c r="D3141" s="76"/>
      <c r="E3141" s="208"/>
      <c r="F3141" s="168"/>
      <c r="G3141" s="209"/>
      <c r="H3141" s="168"/>
      <c r="I3141" s="208"/>
    </row>
    <row r="3142">
      <c r="B3142" s="168"/>
      <c r="D3142" s="76"/>
      <c r="E3142" s="208"/>
      <c r="F3142" s="168"/>
      <c r="G3142" s="209"/>
      <c r="H3142" s="168"/>
      <c r="I3142" s="208"/>
    </row>
    <row r="3143">
      <c r="B3143" s="168"/>
      <c r="D3143" s="76"/>
      <c r="E3143" s="208"/>
      <c r="F3143" s="168"/>
      <c r="G3143" s="209"/>
      <c r="H3143" s="168"/>
      <c r="I3143" s="208"/>
    </row>
    <row r="3144">
      <c r="B3144" s="168"/>
      <c r="D3144" s="76"/>
      <c r="E3144" s="208"/>
      <c r="F3144" s="168"/>
      <c r="G3144" s="209"/>
      <c r="H3144" s="168"/>
      <c r="I3144" s="208"/>
    </row>
    <row r="3145">
      <c r="B3145" s="168"/>
      <c r="D3145" s="76"/>
      <c r="E3145" s="208"/>
      <c r="F3145" s="168"/>
      <c r="G3145" s="209"/>
      <c r="H3145" s="168"/>
      <c r="I3145" s="208"/>
    </row>
    <row r="3146">
      <c r="B3146" s="168"/>
      <c r="D3146" s="76"/>
      <c r="E3146" s="208"/>
      <c r="F3146" s="168"/>
      <c r="G3146" s="209"/>
      <c r="H3146" s="168"/>
      <c r="I3146" s="208"/>
    </row>
    <row r="3147">
      <c r="B3147" s="168"/>
      <c r="D3147" s="76"/>
      <c r="E3147" s="208"/>
      <c r="F3147" s="168"/>
      <c r="G3147" s="209"/>
      <c r="H3147" s="168"/>
      <c r="I3147" s="208"/>
    </row>
    <row r="3148">
      <c r="B3148" s="168"/>
      <c r="D3148" s="76"/>
      <c r="E3148" s="208"/>
      <c r="F3148" s="168"/>
      <c r="G3148" s="209"/>
      <c r="H3148" s="168"/>
      <c r="I3148" s="208"/>
    </row>
    <row r="3149">
      <c r="B3149" s="168"/>
      <c r="D3149" s="76"/>
      <c r="E3149" s="208"/>
      <c r="F3149" s="168"/>
      <c r="G3149" s="209"/>
      <c r="H3149" s="168"/>
      <c r="I3149" s="208"/>
    </row>
    <row r="3150">
      <c r="B3150" s="168"/>
      <c r="D3150" s="76"/>
      <c r="E3150" s="208"/>
      <c r="F3150" s="168"/>
      <c r="G3150" s="209"/>
      <c r="H3150" s="168"/>
      <c r="I3150" s="208"/>
    </row>
    <row r="3151">
      <c r="B3151" s="168"/>
      <c r="D3151" s="76"/>
      <c r="E3151" s="208"/>
      <c r="F3151" s="168"/>
      <c r="G3151" s="209"/>
      <c r="H3151" s="168"/>
      <c r="I3151" s="208"/>
    </row>
    <row r="3152">
      <c r="B3152" s="168"/>
      <c r="D3152" s="76"/>
      <c r="E3152" s="208"/>
      <c r="F3152" s="168"/>
      <c r="G3152" s="209"/>
      <c r="H3152" s="168"/>
      <c r="I3152" s="208"/>
    </row>
    <row r="3153">
      <c r="B3153" s="168"/>
      <c r="D3153" s="76"/>
      <c r="E3153" s="208"/>
      <c r="F3153" s="168"/>
      <c r="G3153" s="209"/>
      <c r="H3153" s="168"/>
      <c r="I3153" s="208"/>
    </row>
    <row r="3154">
      <c r="B3154" s="168"/>
      <c r="D3154" s="76"/>
      <c r="E3154" s="208"/>
      <c r="F3154" s="168"/>
      <c r="G3154" s="209"/>
      <c r="H3154" s="168"/>
      <c r="I3154" s="208"/>
    </row>
    <row r="3155">
      <c r="B3155" s="168"/>
      <c r="D3155" s="76"/>
      <c r="E3155" s="208"/>
      <c r="F3155" s="168"/>
      <c r="G3155" s="209"/>
      <c r="H3155" s="168"/>
      <c r="I3155" s="208"/>
    </row>
    <row r="3156">
      <c r="B3156" s="168"/>
      <c r="D3156" s="76"/>
      <c r="E3156" s="208"/>
      <c r="F3156" s="168"/>
      <c r="G3156" s="209"/>
      <c r="H3156" s="168"/>
      <c r="I3156" s="208"/>
    </row>
    <row r="3157">
      <c r="B3157" s="168"/>
      <c r="D3157" s="76"/>
      <c r="E3157" s="208"/>
      <c r="F3157" s="168"/>
      <c r="G3157" s="209"/>
      <c r="H3157" s="168"/>
      <c r="I3157" s="208"/>
    </row>
    <row r="3158">
      <c r="B3158" s="168"/>
      <c r="D3158" s="76"/>
      <c r="E3158" s="208"/>
      <c r="F3158" s="168"/>
      <c r="G3158" s="209"/>
      <c r="H3158" s="168"/>
      <c r="I3158" s="208"/>
    </row>
    <row r="3159">
      <c r="B3159" s="168"/>
      <c r="D3159" s="76"/>
      <c r="E3159" s="208"/>
      <c r="F3159" s="168"/>
      <c r="G3159" s="209"/>
      <c r="H3159" s="168"/>
      <c r="I3159" s="208"/>
    </row>
    <row r="3160">
      <c r="B3160" s="168"/>
      <c r="D3160" s="76"/>
      <c r="E3160" s="208"/>
      <c r="F3160" s="168"/>
      <c r="G3160" s="209"/>
      <c r="H3160" s="168"/>
      <c r="I3160" s="208"/>
    </row>
    <row r="3161">
      <c r="B3161" s="168"/>
      <c r="D3161" s="76"/>
      <c r="E3161" s="208"/>
      <c r="F3161" s="168"/>
      <c r="G3161" s="209"/>
      <c r="H3161" s="168"/>
      <c r="I3161" s="208"/>
    </row>
    <row r="3162">
      <c r="B3162" s="168"/>
      <c r="D3162" s="76"/>
      <c r="E3162" s="208"/>
      <c r="F3162" s="168"/>
      <c r="G3162" s="209"/>
      <c r="H3162" s="168"/>
      <c r="I3162" s="208"/>
    </row>
    <row r="3163">
      <c r="B3163" s="168"/>
      <c r="D3163" s="76"/>
      <c r="E3163" s="208"/>
      <c r="F3163" s="168"/>
      <c r="G3163" s="209"/>
      <c r="H3163" s="168"/>
      <c r="I3163" s="208"/>
    </row>
    <row r="3164">
      <c r="B3164" s="168"/>
      <c r="D3164" s="76"/>
      <c r="E3164" s="208"/>
      <c r="F3164" s="168"/>
      <c r="G3164" s="209"/>
      <c r="H3164" s="168"/>
      <c r="I3164" s="208"/>
    </row>
    <row r="3165">
      <c r="B3165" s="168"/>
      <c r="D3165" s="76"/>
      <c r="E3165" s="208"/>
      <c r="F3165" s="168"/>
      <c r="G3165" s="209"/>
      <c r="H3165" s="168"/>
      <c r="I3165" s="208"/>
    </row>
    <row r="3166">
      <c r="B3166" s="168"/>
      <c r="D3166" s="76"/>
      <c r="E3166" s="208"/>
      <c r="F3166" s="168"/>
      <c r="G3166" s="209"/>
      <c r="H3166" s="168"/>
      <c r="I3166" s="208"/>
    </row>
    <row r="3167">
      <c r="B3167" s="168"/>
      <c r="D3167" s="76"/>
      <c r="E3167" s="208"/>
      <c r="F3167" s="168"/>
      <c r="G3167" s="209"/>
      <c r="H3167" s="168"/>
      <c r="I3167" s="208"/>
    </row>
    <row r="3168">
      <c r="B3168" s="168"/>
      <c r="D3168" s="76"/>
      <c r="E3168" s="208"/>
      <c r="F3168" s="168"/>
      <c r="G3168" s="209"/>
      <c r="H3168" s="168"/>
      <c r="I3168" s="208"/>
    </row>
    <row r="3169">
      <c r="B3169" s="168"/>
      <c r="D3169" s="76"/>
      <c r="E3169" s="208"/>
      <c r="F3169" s="168"/>
      <c r="G3169" s="209"/>
      <c r="H3169" s="168"/>
      <c r="I3169" s="208"/>
    </row>
    <row r="3170">
      <c r="B3170" s="168"/>
      <c r="D3170" s="76"/>
      <c r="E3170" s="208"/>
      <c r="F3170" s="168"/>
      <c r="G3170" s="209"/>
      <c r="H3170" s="168"/>
      <c r="I3170" s="208"/>
    </row>
    <row r="3171">
      <c r="B3171" s="168"/>
      <c r="D3171" s="76"/>
      <c r="E3171" s="208"/>
      <c r="F3171" s="168"/>
      <c r="G3171" s="209"/>
      <c r="H3171" s="168"/>
      <c r="I3171" s="208"/>
    </row>
    <row r="3172">
      <c r="B3172" s="168"/>
      <c r="D3172" s="76"/>
      <c r="E3172" s="208"/>
      <c r="F3172" s="168"/>
      <c r="G3172" s="209"/>
      <c r="H3172" s="168"/>
      <c r="I3172" s="208"/>
    </row>
    <row r="3173">
      <c r="B3173" s="168"/>
      <c r="D3173" s="76"/>
      <c r="E3173" s="208"/>
      <c r="F3173" s="168"/>
      <c r="G3173" s="209"/>
      <c r="H3173" s="168"/>
      <c r="I3173" s="208"/>
    </row>
    <row r="3174">
      <c r="B3174" s="168"/>
      <c r="D3174" s="76"/>
      <c r="E3174" s="208"/>
      <c r="F3174" s="168"/>
      <c r="G3174" s="209"/>
      <c r="H3174" s="168"/>
      <c r="I3174" s="208"/>
    </row>
    <row r="3175">
      <c r="B3175" s="168"/>
      <c r="D3175" s="76"/>
      <c r="E3175" s="208"/>
      <c r="F3175" s="168"/>
      <c r="G3175" s="209"/>
      <c r="H3175" s="168"/>
      <c r="I3175" s="208"/>
    </row>
    <row r="3176">
      <c r="B3176" s="168"/>
      <c r="D3176" s="76"/>
      <c r="E3176" s="208"/>
      <c r="F3176" s="168"/>
      <c r="G3176" s="209"/>
      <c r="H3176" s="168"/>
      <c r="I3176" s="208"/>
    </row>
    <row r="3177">
      <c r="B3177" s="168"/>
      <c r="D3177" s="76"/>
      <c r="E3177" s="208"/>
      <c r="F3177" s="168"/>
      <c r="G3177" s="209"/>
      <c r="H3177" s="168"/>
      <c r="I3177" s="208"/>
    </row>
    <row r="3178">
      <c r="B3178" s="168"/>
      <c r="D3178" s="76"/>
      <c r="E3178" s="208"/>
      <c r="F3178" s="168"/>
      <c r="G3178" s="209"/>
      <c r="H3178" s="168"/>
      <c r="I3178" s="208"/>
    </row>
    <row r="3179">
      <c r="B3179" s="168"/>
      <c r="D3179" s="76"/>
      <c r="E3179" s="208"/>
      <c r="F3179" s="168"/>
      <c r="G3179" s="209"/>
      <c r="H3179" s="168"/>
      <c r="I3179" s="208"/>
    </row>
    <row r="3180">
      <c r="B3180" s="168"/>
      <c r="D3180" s="76"/>
      <c r="E3180" s="208"/>
      <c r="F3180" s="168"/>
      <c r="G3180" s="209"/>
      <c r="H3180" s="168"/>
      <c r="I3180" s="208"/>
    </row>
    <row r="3181">
      <c r="B3181" s="168"/>
      <c r="D3181" s="76"/>
      <c r="E3181" s="208"/>
      <c r="F3181" s="168"/>
      <c r="G3181" s="209"/>
      <c r="H3181" s="168"/>
      <c r="I3181" s="208"/>
    </row>
    <row r="3182">
      <c r="B3182" s="168"/>
      <c r="D3182" s="76"/>
      <c r="E3182" s="208"/>
      <c r="F3182" s="168"/>
      <c r="G3182" s="209"/>
      <c r="H3182" s="168"/>
      <c r="I3182" s="208"/>
    </row>
    <row r="3183">
      <c r="B3183" s="168"/>
      <c r="D3183" s="76"/>
      <c r="E3183" s="208"/>
      <c r="F3183" s="168"/>
      <c r="G3183" s="209"/>
      <c r="H3183" s="168"/>
      <c r="I3183" s="208"/>
    </row>
    <row r="3184">
      <c r="B3184" s="168"/>
      <c r="D3184" s="76"/>
      <c r="E3184" s="208"/>
      <c r="F3184" s="168"/>
      <c r="G3184" s="209"/>
      <c r="H3184" s="168"/>
      <c r="I3184" s="208"/>
    </row>
    <row r="3185">
      <c r="B3185" s="168"/>
      <c r="D3185" s="76"/>
      <c r="E3185" s="208"/>
      <c r="F3185" s="168"/>
      <c r="G3185" s="209"/>
      <c r="H3185" s="168"/>
      <c r="I3185" s="208"/>
    </row>
    <row r="3186">
      <c r="B3186" s="168"/>
      <c r="D3186" s="76"/>
      <c r="E3186" s="208"/>
      <c r="F3186" s="168"/>
      <c r="G3186" s="209"/>
      <c r="H3186" s="168"/>
      <c r="I3186" s="208"/>
    </row>
    <row r="3187">
      <c r="B3187" s="168"/>
      <c r="D3187" s="76"/>
      <c r="E3187" s="208"/>
      <c r="F3187" s="168"/>
      <c r="G3187" s="209"/>
      <c r="H3187" s="168"/>
      <c r="I3187" s="208"/>
    </row>
    <row r="3188">
      <c r="B3188" s="168"/>
      <c r="D3188" s="76"/>
      <c r="E3188" s="208"/>
      <c r="F3188" s="168"/>
      <c r="G3188" s="209"/>
      <c r="H3188" s="168"/>
      <c r="I3188" s="208"/>
    </row>
    <row r="3189">
      <c r="B3189" s="168"/>
      <c r="D3189" s="76"/>
      <c r="E3189" s="208"/>
      <c r="F3189" s="168"/>
      <c r="G3189" s="209"/>
      <c r="H3189" s="168"/>
      <c r="I3189" s="208"/>
    </row>
    <row r="3190">
      <c r="B3190" s="168"/>
      <c r="D3190" s="76"/>
      <c r="E3190" s="208"/>
      <c r="F3190" s="168"/>
      <c r="G3190" s="209"/>
      <c r="H3190" s="168"/>
      <c r="I3190" s="208"/>
    </row>
    <row r="3191">
      <c r="B3191" s="168"/>
      <c r="D3191" s="76"/>
      <c r="E3191" s="208"/>
      <c r="F3191" s="168"/>
      <c r="G3191" s="209"/>
      <c r="H3191" s="168"/>
      <c r="I3191" s="208"/>
    </row>
    <row r="3192">
      <c r="B3192" s="168"/>
      <c r="D3192" s="76"/>
      <c r="E3192" s="208"/>
      <c r="F3192" s="168"/>
      <c r="G3192" s="209"/>
      <c r="H3192" s="168"/>
      <c r="I3192" s="208"/>
    </row>
    <row r="3193">
      <c r="B3193" s="168"/>
      <c r="D3193" s="76"/>
      <c r="E3193" s="208"/>
      <c r="F3193" s="168"/>
      <c r="G3193" s="209"/>
      <c r="H3193" s="168"/>
      <c r="I3193" s="208"/>
    </row>
    <row r="3194">
      <c r="B3194" s="168"/>
      <c r="D3194" s="76"/>
      <c r="E3194" s="208"/>
      <c r="F3194" s="168"/>
      <c r="G3194" s="209"/>
      <c r="H3194" s="168"/>
      <c r="I3194" s="208"/>
    </row>
    <row r="3195">
      <c r="B3195" s="168"/>
      <c r="D3195" s="76"/>
      <c r="E3195" s="208"/>
      <c r="F3195" s="168"/>
      <c r="G3195" s="209"/>
      <c r="H3195" s="168"/>
      <c r="I3195" s="208"/>
    </row>
    <row r="3196">
      <c r="B3196" s="168"/>
      <c r="D3196" s="76"/>
      <c r="E3196" s="208"/>
      <c r="F3196" s="168"/>
      <c r="G3196" s="209"/>
      <c r="H3196" s="168"/>
      <c r="I3196" s="208"/>
    </row>
    <row r="3197">
      <c r="B3197" s="168"/>
      <c r="D3197" s="76"/>
      <c r="E3197" s="208"/>
      <c r="F3197" s="168"/>
      <c r="G3197" s="209"/>
      <c r="H3197" s="168"/>
      <c r="I3197" s="208"/>
    </row>
    <row r="3198">
      <c r="B3198" s="168"/>
      <c r="D3198" s="76"/>
      <c r="E3198" s="208"/>
      <c r="F3198" s="168"/>
      <c r="G3198" s="209"/>
      <c r="H3198" s="168"/>
      <c r="I3198" s="208"/>
    </row>
    <row r="3199">
      <c r="B3199" s="168"/>
      <c r="D3199" s="76"/>
      <c r="E3199" s="208"/>
      <c r="F3199" s="168"/>
      <c r="G3199" s="209"/>
      <c r="H3199" s="168"/>
      <c r="I3199" s="208"/>
    </row>
    <row r="3200">
      <c r="B3200" s="168"/>
      <c r="D3200" s="76"/>
      <c r="E3200" s="208"/>
      <c r="F3200" s="168"/>
      <c r="G3200" s="209"/>
      <c r="H3200" s="168"/>
      <c r="I3200" s="208"/>
    </row>
    <row r="3201">
      <c r="B3201" s="168"/>
      <c r="D3201" s="76"/>
      <c r="E3201" s="208"/>
      <c r="F3201" s="168"/>
      <c r="G3201" s="209"/>
      <c r="H3201" s="168"/>
      <c r="I3201" s="208"/>
    </row>
    <row r="3202">
      <c r="B3202" s="168"/>
      <c r="D3202" s="76"/>
      <c r="E3202" s="208"/>
      <c r="F3202" s="168"/>
      <c r="G3202" s="209"/>
      <c r="H3202" s="168"/>
      <c r="I3202" s="208"/>
    </row>
    <row r="3203">
      <c r="B3203" s="168"/>
      <c r="D3203" s="76"/>
      <c r="E3203" s="208"/>
      <c r="F3203" s="168"/>
      <c r="G3203" s="209"/>
      <c r="H3203" s="168"/>
      <c r="I3203" s="208"/>
    </row>
    <row r="3204">
      <c r="B3204" s="168"/>
      <c r="D3204" s="76"/>
      <c r="E3204" s="208"/>
      <c r="F3204" s="168"/>
      <c r="G3204" s="209"/>
      <c r="H3204" s="168"/>
      <c r="I3204" s="208"/>
    </row>
    <row r="3205">
      <c r="B3205" s="168"/>
      <c r="D3205" s="76"/>
      <c r="E3205" s="208"/>
      <c r="F3205" s="168"/>
      <c r="G3205" s="209"/>
      <c r="H3205" s="168"/>
      <c r="I3205" s="208"/>
    </row>
    <row r="3206">
      <c r="B3206" s="168"/>
      <c r="D3206" s="76"/>
      <c r="E3206" s="208"/>
      <c r="F3206" s="168"/>
      <c r="G3206" s="209"/>
      <c r="H3206" s="168"/>
      <c r="I3206" s="208"/>
    </row>
    <row r="3207">
      <c r="B3207" s="168"/>
      <c r="D3207" s="76"/>
      <c r="E3207" s="208"/>
      <c r="F3207" s="168"/>
      <c r="G3207" s="209"/>
      <c r="H3207" s="168"/>
      <c r="I3207" s="208"/>
    </row>
    <row r="3208">
      <c r="B3208" s="168"/>
      <c r="D3208" s="76"/>
      <c r="E3208" s="208"/>
      <c r="F3208" s="168"/>
      <c r="G3208" s="209"/>
      <c r="H3208" s="168"/>
      <c r="I3208" s="208"/>
    </row>
    <row r="3209">
      <c r="B3209" s="168"/>
      <c r="D3209" s="76"/>
      <c r="E3209" s="208"/>
      <c r="F3209" s="168"/>
      <c r="G3209" s="209"/>
      <c r="H3209" s="168"/>
      <c r="I3209" s="208"/>
    </row>
    <row r="3210">
      <c r="B3210" s="168"/>
      <c r="D3210" s="76"/>
      <c r="E3210" s="208"/>
      <c r="F3210" s="168"/>
      <c r="G3210" s="209"/>
      <c r="H3210" s="168"/>
      <c r="I3210" s="208"/>
    </row>
    <row r="3211">
      <c r="B3211" s="168"/>
      <c r="D3211" s="76"/>
      <c r="E3211" s="208"/>
      <c r="F3211" s="168"/>
      <c r="G3211" s="209"/>
      <c r="H3211" s="168"/>
      <c r="I3211" s="208"/>
    </row>
    <row r="3212">
      <c r="B3212" s="168"/>
      <c r="D3212" s="76"/>
      <c r="E3212" s="208"/>
      <c r="F3212" s="168"/>
      <c r="G3212" s="209"/>
      <c r="H3212" s="168"/>
      <c r="I3212" s="208"/>
    </row>
    <row r="3213">
      <c r="B3213" s="168"/>
      <c r="D3213" s="76"/>
      <c r="E3213" s="208"/>
      <c r="F3213" s="168"/>
      <c r="G3213" s="209"/>
      <c r="H3213" s="168"/>
      <c r="I3213" s="208"/>
    </row>
    <row r="3214">
      <c r="B3214" s="168"/>
      <c r="D3214" s="76"/>
      <c r="E3214" s="208"/>
      <c r="F3214" s="168"/>
      <c r="G3214" s="209"/>
      <c r="H3214" s="168"/>
      <c r="I3214" s="208"/>
    </row>
    <row r="3215">
      <c r="B3215" s="168"/>
      <c r="D3215" s="76"/>
      <c r="E3215" s="208"/>
      <c r="F3215" s="168"/>
      <c r="G3215" s="209"/>
      <c r="H3215" s="168"/>
      <c r="I3215" s="208"/>
    </row>
    <row r="3216">
      <c r="B3216" s="168"/>
      <c r="D3216" s="76"/>
      <c r="E3216" s="208"/>
      <c r="F3216" s="168"/>
      <c r="G3216" s="209"/>
      <c r="H3216" s="168"/>
      <c r="I3216" s="208"/>
    </row>
    <row r="3217">
      <c r="B3217" s="168"/>
      <c r="D3217" s="76"/>
      <c r="E3217" s="208"/>
      <c r="F3217" s="168"/>
      <c r="G3217" s="209"/>
      <c r="H3217" s="168"/>
      <c r="I3217" s="208"/>
    </row>
    <row r="3218">
      <c r="B3218" s="168"/>
      <c r="D3218" s="76"/>
      <c r="E3218" s="208"/>
      <c r="F3218" s="168"/>
      <c r="G3218" s="209"/>
      <c r="H3218" s="168"/>
      <c r="I3218" s="208"/>
    </row>
    <row r="3219">
      <c r="B3219" s="168"/>
      <c r="D3219" s="76"/>
      <c r="E3219" s="208"/>
      <c r="F3219" s="168"/>
      <c r="G3219" s="209"/>
      <c r="H3219" s="168"/>
      <c r="I3219" s="208"/>
    </row>
    <row r="3220">
      <c r="B3220" s="168"/>
      <c r="D3220" s="76"/>
      <c r="E3220" s="208"/>
      <c r="F3220" s="168"/>
      <c r="G3220" s="209"/>
      <c r="H3220" s="168"/>
      <c r="I3220" s="208"/>
    </row>
    <row r="3221">
      <c r="B3221" s="168"/>
      <c r="D3221" s="76"/>
      <c r="E3221" s="208"/>
      <c r="F3221" s="168"/>
      <c r="G3221" s="209"/>
      <c r="H3221" s="168"/>
      <c r="I3221" s="208"/>
    </row>
    <row r="3222">
      <c r="B3222" s="168"/>
      <c r="D3222" s="76"/>
      <c r="E3222" s="208"/>
      <c r="F3222" s="168"/>
      <c r="G3222" s="209"/>
      <c r="H3222" s="168"/>
      <c r="I3222" s="208"/>
    </row>
    <row r="3223">
      <c r="B3223" s="168"/>
      <c r="D3223" s="76"/>
      <c r="E3223" s="208"/>
      <c r="F3223" s="168"/>
      <c r="G3223" s="209"/>
      <c r="H3223" s="168"/>
      <c r="I3223" s="208"/>
    </row>
    <row r="3224">
      <c r="B3224" s="168"/>
      <c r="D3224" s="76"/>
      <c r="E3224" s="208"/>
      <c r="F3224" s="168"/>
      <c r="G3224" s="209"/>
      <c r="H3224" s="168"/>
      <c r="I3224" s="208"/>
    </row>
    <row r="3225">
      <c r="B3225" s="168"/>
      <c r="D3225" s="76"/>
      <c r="E3225" s="208"/>
      <c r="F3225" s="168"/>
      <c r="G3225" s="209"/>
      <c r="H3225" s="168"/>
      <c r="I3225" s="208"/>
    </row>
    <row r="3226">
      <c r="B3226" s="168"/>
      <c r="D3226" s="76"/>
      <c r="E3226" s="208"/>
      <c r="F3226" s="168"/>
      <c r="G3226" s="209"/>
      <c r="H3226" s="168"/>
      <c r="I3226" s="208"/>
    </row>
    <row r="3227">
      <c r="B3227" s="168"/>
      <c r="D3227" s="76"/>
      <c r="E3227" s="208"/>
      <c r="F3227" s="168"/>
      <c r="G3227" s="209"/>
      <c r="H3227" s="168"/>
      <c r="I3227" s="208"/>
    </row>
    <row r="3228">
      <c r="B3228" s="168"/>
      <c r="D3228" s="76"/>
      <c r="E3228" s="208"/>
      <c r="F3228" s="168"/>
      <c r="G3228" s="209"/>
      <c r="H3228" s="168"/>
      <c r="I3228" s="208"/>
    </row>
    <row r="3229">
      <c r="B3229" s="168"/>
      <c r="D3229" s="76"/>
      <c r="E3229" s="208"/>
      <c r="F3229" s="168"/>
      <c r="G3229" s="209"/>
      <c r="H3229" s="168"/>
      <c r="I3229" s="208"/>
    </row>
    <row r="3230">
      <c r="B3230" s="168"/>
      <c r="D3230" s="76"/>
      <c r="E3230" s="208"/>
      <c r="F3230" s="168"/>
      <c r="G3230" s="209"/>
      <c r="H3230" s="168"/>
      <c r="I3230" s="208"/>
    </row>
    <row r="3231">
      <c r="B3231" s="168"/>
      <c r="D3231" s="76"/>
      <c r="E3231" s="208"/>
      <c r="F3231" s="168"/>
      <c r="G3231" s="209"/>
      <c r="H3231" s="168"/>
      <c r="I3231" s="208"/>
    </row>
    <row r="3232">
      <c r="B3232" s="168"/>
      <c r="D3232" s="76"/>
      <c r="E3232" s="208"/>
      <c r="F3232" s="168"/>
      <c r="G3232" s="209"/>
      <c r="H3232" s="168"/>
      <c r="I3232" s="208"/>
    </row>
    <row r="3233">
      <c r="B3233" s="168"/>
      <c r="D3233" s="76"/>
      <c r="E3233" s="208"/>
      <c r="F3233" s="168"/>
      <c r="G3233" s="209"/>
      <c r="H3233" s="168"/>
      <c r="I3233" s="208"/>
    </row>
    <row r="3234">
      <c r="B3234" s="168"/>
      <c r="D3234" s="76"/>
      <c r="E3234" s="208"/>
      <c r="F3234" s="168"/>
      <c r="G3234" s="209"/>
      <c r="H3234" s="168"/>
      <c r="I3234" s="208"/>
    </row>
    <row r="3235">
      <c r="B3235" s="168"/>
      <c r="D3235" s="76"/>
      <c r="E3235" s="208"/>
      <c r="F3235" s="168"/>
      <c r="G3235" s="209"/>
      <c r="H3235" s="168"/>
      <c r="I3235" s="208"/>
    </row>
    <row r="3236">
      <c r="B3236" s="168"/>
      <c r="D3236" s="76"/>
      <c r="E3236" s="208"/>
      <c r="F3236" s="168"/>
      <c r="G3236" s="209"/>
      <c r="H3236" s="168"/>
      <c r="I3236" s="208"/>
    </row>
    <row r="3237">
      <c r="B3237" s="168"/>
      <c r="D3237" s="76"/>
      <c r="E3237" s="208"/>
      <c r="F3237" s="168"/>
      <c r="G3237" s="209"/>
      <c r="H3237" s="168"/>
      <c r="I3237" s="208"/>
    </row>
    <row r="3238">
      <c r="B3238" s="168"/>
      <c r="D3238" s="76"/>
      <c r="E3238" s="208"/>
      <c r="F3238" s="168"/>
      <c r="G3238" s="209"/>
      <c r="H3238" s="168"/>
      <c r="I3238" s="208"/>
    </row>
    <row r="3239">
      <c r="B3239" s="168"/>
      <c r="D3239" s="76"/>
      <c r="E3239" s="208"/>
      <c r="F3239" s="168"/>
      <c r="G3239" s="209"/>
      <c r="H3239" s="168"/>
      <c r="I3239" s="208"/>
    </row>
    <row r="3240">
      <c r="B3240" s="168"/>
      <c r="D3240" s="76"/>
      <c r="E3240" s="208"/>
      <c r="F3240" s="168"/>
      <c r="G3240" s="209"/>
      <c r="H3240" s="168"/>
      <c r="I3240" s="208"/>
    </row>
    <row r="3241">
      <c r="B3241" s="168"/>
      <c r="D3241" s="76"/>
      <c r="E3241" s="208"/>
      <c r="F3241" s="168"/>
      <c r="G3241" s="209"/>
      <c r="H3241" s="168"/>
      <c r="I3241" s="208"/>
    </row>
    <row r="3242">
      <c r="B3242" s="168"/>
      <c r="D3242" s="76"/>
      <c r="E3242" s="208"/>
      <c r="F3242" s="168"/>
      <c r="G3242" s="209"/>
      <c r="H3242" s="168"/>
      <c r="I3242" s="208"/>
    </row>
    <row r="3243">
      <c r="B3243" s="168"/>
      <c r="D3243" s="76"/>
      <c r="E3243" s="208"/>
      <c r="F3243" s="168"/>
      <c r="G3243" s="209"/>
      <c r="H3243" s="168"/>
      <c r="I3243" s="208"/>
    </row>
    <row r="3244">
      <c r="B3244" s="168"/>
      <c r="D3244" s="76"/>
      <c r="E3244" s="208"/>
      <c r="F3244" s="168"/>
      <c r="G3244" s="209"/>
      <c r="H3244" s="168"/>
      <c r="I3244" s="208"/>
    </row>
    <row r="3245">
      <c r="B3245" s="168"/>
      <c r="D3245" s="76"/>
      <c r="E3245" s="208"/>
      <c r="F3245" s="168"/>
      <c r="G3245" s="209"/>
      <c r="H3245" s="168"/>
      <c r="I3245" s="208"/>
    </row>
    <row r="3246">
      <c r="B3246" s="168"/>
      <c r="D3246" s="76"/>
      <c r="E3246" s="208"/>
      <c r="F3246" s="168"/>
      <c r="G3246" s="209"/>
      <c r="H3246" s="168"/>
      <c r="I3246" s="208"/>
    </row>
    <row r="3247">
      <c r="B3247" s="168"/>
      <c r="D3247" s="76"/>
      <c r="E3247" s="208"/>
      <c r="F3247" s="168"/>
      <c r="G3247" s="209"/>
      <c r="H3247" s="168"/>
      <c r="I3247" s="208"/>
    </row>
    <row r="3248">
      <c r="B3248" s="168"/>
      <c r="D3248" s="76"/>
      <c r="E3248" s="208"/>
      <c r="F3248" s="168"/>
      <c r="G3248" s="209"/>
      <c r="H3248" s="168"/>
      <c r="I3248" s="208"/>
    </row>
    <row r="3249">
      <c r="B3249" s="168"/>
      <c r="D3249" s="76"/>
      <c r="E3249" s="208"/>
      <c r="F3249" s="168"/>
      <c r="G3249" s="209"/>
      <c r="H3249" s="168"/>
      <c r="I3249" s="208"/>
    </row>
    <row r="3250">
      <c r="B3250" s="168"/>
      <c r="D3250" s="76"/>
      <c r="E3250" s="208"/>
      <c r="F3250" s="168"/>
      <c r="G3250" s="209"/>
      <c r="H3250" s="168"/>
      <c r="I3250" s="208"/>
    </row>
    <row r="3251">
      <c r="B3251" s="168"/>
      <c r="D3251" s="76"/>
      <c r="E3251" s="208"/>
      <c r="F3251" s="168"/>
      <c r="G3251" s="209"/>
      <c r="H3251" s="168"/>
      <c r="I3251" s="208"/>
    </row>
    <row r="3252">
      <c r="B3252" s="168"/>
      <c r="D3252" s="76"/>
      <c r="E3252" s="208"/>
      <c r="F3252" s="168"/>
      <c r="G3252" s="209"/>
      <c r="H3252" s="168"/>
      <c r="I3252" s="208"/>
    </row>
    <row r="3253">
      <c r="B3253" s="168"/>
      <c r="D3253" s="76"/>
      <c r="E3253" s="208"/>
      <c r="F3253" s="168"/>
      <c r="G3253" s="209"/>
      <c r="H3253" s="168"/>
      <c r="I3253" s="208"/>
    </row>
    <row r="3254">
      <c r="B3254" s="168"/>
      <c r="D3254" s="76"/>
      <c r="E3254" s="208"/>
      <c r="F3254" s="168"/>
      <c r="G3254" s="209"/>
      <c r="H3254" s="168"/>
      <c r="I3254" s="208"/>
    </row>
    <row r="3255">
      <c r="B3255" s="168"/>
      <c r="D3255" s="76"/>
      <c r="E3255" s="208"/>
      <c r="F3255" s="168"/>
      <c r="G3255" s="209"/>
      <c r="H3255" s="168"/>
      <c r="I3255" s="208"/>
    </row>
    <row r="3256">
      <c r="B3256" s="168"/>
      <c r="D3256" s="76"/>
      <c r="E3256" s="208"/>
      <c r="F3256" s="168"/>
      <c r="G3256" s="209"/>
      <c r="H3256" s="168"/>
      <c r="I3256" s="208"/>
    </row>
    <row r="3257">
      <c r="B3257" s="168"/>
      <c r="D3257" s="76"/>
      <c r="E3257" s="208"/>
      <c r="F3257" s="168"/>
      <c r="G3257" s="209"/>
      <c r="H3257" s="168"/>
      <c r="I3257" s="208"/>
    </row>
    <row r="3258">
      <c r="B3258" s="168"/>
      <c r="D3258" s="76"/>
      <c r="E3258" s="208"/>
      <c r="F3258" s="168"/>
      <c r="G3258" s="209"/>
      <c r="H3258" s="168"/>
      <c r="I3258" s="208"/>
    </row>
    <row r="3259">
      <c r="B3259" s="168"/>
      <c r="D3259" s="76"/>
      <c r="E3259" s="208"/>
      <c r="F3259" s="168"/>
      <c r="G3259" s="209"/>
      <c r="H3259" s="168"/>
      <c r="I3259" s="208"/>
    </row>
    <row r="3260">
      <c r="B3260" s="168"/>
      <c r="D3260" s="76"/>
      <c r="E3260" s="208"/>
      <c r="F3260" s="168"/>
      <c r="G3260" s="209"/>
      <c r="H3260" s="168"/>
      <c r="I3260" s="208"/>
    </row>
    <row r="3261">
      <c r="B3261" s="168"/>
      <c r="D3261" s="76"/>
      <c r="E3261" s="208"/>
      <c r="F3261" s="168"/>
      <c r="G3261" s="209"/>
      <c r="H3261" s="168"/>
      <c r="I3261" s="208"/>
    </row>
    <row r="3262">
      <c r="B3262" s="168"/>
      <c r="D3262" s="76"/>
      <c r="E3262" s="208"/>
      <c r="F3262" s="168"/>
      <c r="G3262" s="209"/>
      <c r="H3262" s="168"/>
      <c r="I3262" s="208"/>
    </row>
    <row r="3263">
      <c r="B3263" s="168"/>
      <c r="D3263" s="76"/>
      <c r="E3263" s="208"/>
      <c r="F3263" s="168"/>
      <c r="G3263" s="209"/>
      <c r="H3263" s="168"/>
      <c r="I3263" s="208"/>
    </row>
    <row r="3264">
      <c r="B3264" s="168"/>
      <c r="D3264" s="76"/>
      <c r="E3264" s="208"/>
      <c r="F3264" s="168"/>
      <c r="G3264" s="209"/>
      <c r="H3264" s="168"/>
      <c r="I3264" s="208"/>
    </row>
    <row r="3265">
      <c r="B3265" s="168"/>
      <c r="D3265" s="76"/>
      <c r="E3265" s="208"/>
      <c r="F3265" s="168"/>
      <c r="G3265" s="209"/>
      <c r="H3265" s="168"/>
      <c r="I3265" s="208"/>
    </row>
    <row r="3266">
      <c r="B3266" s="168"/>
      <c r="D3266" s="76"/>
      <c r="E3266" s="208"/>
      <c r="F3266" s="168"/>
      <c r="G3266" s="209"/>
      <c r="H3266" s="168"/>
      <c r="I3266" s="208"/>
    </row>
    <row r="3267">
      <c r="B3267" s="168"/>
      <c r="D3267" s="76"/>
      <c r="E3267" s="208"/>
      <c r="F3267" s="168"/>
      <c r="G3267" s="209"/>
      <c r="H3267" s="168"/>
      <c r="I3267" s="208"/>
    </row>
    <row r="3268">
      <c r="B3268" s="168"/>
      <c r="D3268" s="76"/>
      <c r="E3268" s="208"/>
      <c r="F3268" s="168"/>
      <c r="G3268" s="209"/>
      <c r="H3268" s="168"/>
      <c r="I3268" s="208"/>
    </row>
    <row r="3269">
      <c r="B3269" s="168"/>
      <c r="D3269" s="76"/>
      <c r="E3269" s="208"/>
      <c r="F3269" s="168"/>
      <c r="G3269" s="209"/>
      <c r="H3269" s="168"/>
      <c r="I3269" s="208"/>
    </row>
    <row r="3270">
      <c r="B3270" s="168"/>
      <c r="D3270" s="76"/>
      <c r="E3270" s="208"/>
      <c r="F3270" s="168"/>
      <c r="G3270" s="209"/>
      <c r="H3270" s="168"/>
      <c r="I3270" s="208"/>
    </row>
    <row r="3271">
      <c r="B3271" s="168"/>
      <c r="D3271" s="76"/>
      <c r="E3271" s="208"/>
      <c r="F3271" s="168"/>
      <c r="G3271" s="209"/>
      <c r="H3271" s="168"/>
      <c r="I3271" s="208"/>
    </row>
    <row r="3272">
      <c r="B3272" s="168"/>
      <c r="D3272" s="76"/>
      <c r="E3272" s="208"/>
      <c r="F3272" s="168"/>
      <c r="G3272" s="209"/>
      <c r="H3272" s="168"/>
      <c r="I3272" s="208"/>
    </row>
    <row r="3273">
      <c r="B3273" s="168"/>
      <c r="D3273" s="76"/>
      <c r="E3273" s="208"/>
      <c r="F3273" s="168"/>
      <c r="G3273" s="209"/>
      <c r="H3273" s="168"/>
      <c r="I3273" s="208"/>
    </row>
    <row r="3274">
      <c r="B3274" s="168"/>
      <c r="D3274" s="76"/>
      <c r="E3274" s="208"/>
      <c r="F3274" s="168"/>
      <c r="G3274" s="209"/>
      <c r="H3274" s="168"/>
      <c r="I3274" s="208"/>
    </row>
    <row r="3275">
      <c r="B3275" s="168"/>
      <c r="D3275" s="76"/>
      <c r="E3275" s="208"/>
      <c r="F3275" s="168"/>
      <c r="G3275" s="209"/>
      <c r="H3275" s="168"/>
      <c r="I3275" s="208"/>
    </row>
    <row r="3276">
      <c r="B3276" s="168"/>
      <c r="D3276" s="76"/>
      <c r="E3276" s="208"/>
      <c r="F3276" s="168"/>
      <c r="G3276" s="209"/>
      <c r="H3276" s="168"/>
      <c r="I3276" s="208"/>
    </row>
    <row r="3277">
      <c r="B3277" s="168"/>
      <c r="D3277" s="76"/>
      <c r="E3277" s="208"/>
      <c r="F3277" s="168"/>
      <c r="G3277" s="209"/>
      <c r="H3277" s="168"/>
      <c r="I3277" s="208"/>
    </row>
    <row r="3278">
      <c r="B3278" s="168"/>
      <c r="D3278" s="76"/>
      <c r="E3278" s="208"/>
      <c r="F3278" s="168"/>
      <c r="G3278" s="209"/>
      <c r="H3278" s="168"/>
      <c r="I3278" s="208"/>
    </row>
    <row r="3279">
      <c r="B3279" s="168"/>
      <c r="D3279" s="76"/>
      <c r="E3279" s="208"/>
      <c r="F3279" s="168"/>
      <c r="G3279" s="209"/>
      <c r="H3279" s="168"/>
      <c r="I3279" s="208"/>
    </row>
    <row r="3280">
      <c r="B3280" s="168"/>
      <c r="D3280" s="76"/>
      <c r="E3280" s="208"/>
      <c r="F3280" s="168"/>
      <c r="G3280" s="209"/>
      <c r="H3280" s="168"/>
      <c r="I3280" s="208"/>
    </row>
    <row r="3281">
      <c r="B3281" s="168"/>
      <c r="D3281" s="76"/>
      <c r="E3281" s="208"/>
      <c r="F3281" s="168"/>
      <c r="G3281" s="209"/>
      <c r="H3281" s="168"/>
      <c r="I3281" s="208"/>
    </row>
    <row r="3282">
      <c r="B3282" s="168"/>
      <c r="D3282" s="76"/>
      <c r="E3282" s="208"/>
      <c r="F3282" s="168"/>
      <c r="G3282" s="209"/>
      <c r="H3282" s="168"/>
      <c r="I3282" s="208"/>
    </row>
    <row r="3283">
      <c r="B3283" s="168"/>
      <c r="D3283" s="76"/>
      <c r="E3283" s="208"/>
      <c r="F3283" s="168"/>
      <c r="G3283" s="209"/>
      <c r="H3283" s="168"/>
      <c r="I3283" s="208"/>
    </row>
    <row r="3284">
      <c r="B3284" s="168"/>
      <c r="D3284" s="76"/>
      <c r="E3284" s="208"/>
      <c r="F3284" s="168"/>
      <c r="G3284" s="209"/>
      <c r="H3284" s="168"/>
      <c r="I3284" s="208"/>
    </row>
    <row r="3285">
      <c r="B3285" s="168"/>
      <c r="D3285" s="76"/>
      <c r="E3285" s="208"/>
      <c r="F3285" s="168"/>
      <c r="G3285" s="209"/>
      <c r="H3285" s="168"/>
      <c r="I3285" s="208"/>
    </row>
    <row r="3286">
      <c r="B3286" s="168"/>
      <c r="D3286" s="76"/>
      <c r="E3286" s="208"/>
      <c r="F3286" s="168"/>
      <c r="G3286" s="209"/>
      <c r="H3286" s="168"/>
      <c r="I3286" s="208"/>
    </row>
    <row r="3287">
      <c r="B3287" s="168"/>
      <c r="D3287" s="76"/>
      <c r="E3287" s="208"/>
      <c r="F3287" s="168"/>
      <c r="G3287" s="209"/>
      <c r="H3287" s="168"/>
      <c r="I3287" s="208"/>
    </row>
    <row r="3288">
      <c r="B3288" s="168"/>
      <c r="D3288" s="76"/>
      <c r="E3288" s="208"/>
      <c r="F3288" s="168"/>
      <c r="G3288" s="209"/>
      <c r="H3288" s="168"/>
      <c r="I3288" s="208"/>
    </row>
    <row r="3289">
      <c r="B3289" s="168"/>
      <c r="D3289" s="76"/>
      <c r="E3289" s="208"/>
      <c r="F3289" s="168"/>
      <c r="G3289" s="209"/>
      <c r="H3289" s="168"/>
      <c r="I3289" s="208"/>
    </row>
    <row r="3290">
      <c r="B3290" s="168"/>
      <c r="D3290" s="76"/>
      <c r="E3290" s="208"/>
      <c r="F3290" s="168"/>
      <c r="G3290" s="209"/>
      <c r="H3290" s="168"/>
      <c r="I3290" s="208"/>
    </row>
    <row r="3291">
      <c r="B3291" s="168"/>
      <c r="D3291" s="76"/>
      <c r="E3291" s="208"/>
      <c r="F3291" s="168"/>
      <c r="G3291" s="209"/>
      <c r="H3291" s="168"/>
      <c r="I3291" s="208"/>
    </row>
    <row r="3292">
      <c r="B3292" s="168"/>
      <c r="D3292" s="76"/>
      <c r="E3292" s="208"/>
      <c r="F3292" s="168"/>
      <c r="G3292" s="209"/>
      <c r="H3292" s="168"/>
      <c r="I3292" s="208"/>
    </row>
    <row r="3293">
      <c r="B3293" s="168"/>
      <c r="D3293" s="76"/>
      <c r="E3293" s="208"/>
      <c r="F3293" s="168"/>
      <c r="G3293" s="209"/>
      <c r="H3293" s="168"/>
      <c r="I3293" s="208"/>
    </row>
    <row r="3294">
      <c r="B3294" s="168"/>
      <c r="D3294" s="76"/>
      <c r="E3294" s="208"/>
      <c r="F3294" s="168"/>
      <c r="G3294" s="209"/>
      <c r="H3294" s="168"/>
      <c r="I3294" s="208"/>
    </row>
    <row r="3295">
      <c r="B3295" s="168"/>
      <c r="D3295" s="76"/>
      <c r="E3295" s="208"/>
      <c r="F3295" s="168"/>
      <c r="G3295" s="209"/>
      <c r="H3295" s="168"/>
      <c r="I3295" s="208"/>
    </row>
    <row r="3296">
      <c r="B3296" s="168"/>
      <c r="D3296" s="76"/>
      <c r="E3296" s="208"/>
      <c r="F3296" s="168"/>
      <c r="G3296" s="209"/>
      <c r="H3296" s="168"/>
      <c r="I3296" s="208"/>
    </row>
    <row r="3297">
      <c r="B3297" s="168"/>
      <c r="D3297" s="76"/>
      <c r="E3297" s="208"/>
      <c r="F3297" s="168"/>
      <c r="G3297" s="209"/>
      <c r="H3297" s="168"/>
      <c r="I3297" s="208"/>
    </row>
    <row r="3298">
      <c r="B3298" s="168"/>
      <c r="D3298" s="76"/>
      <c r="E3298" s="208"/>
      <c r="F3298" s="168"/>
      <c r="G3298" s="209"/>
      <c r="H3298" s="168"/>
      <c r="I3298" s="208"/>
    </row>
    <row r="3299">
      <c r="B3299" s="168"/>
      <c r="D3299" s="76"/>
      <c r="E3299" s="208"/>
      <c r="F3299" s="168"/>
      <c r="G3299" s="209"/>
      <c r="H3299" s="168"/>
      <c r="I3299" s="208"/>
    </row>
    <row r="3300">
      <c r="B3300" s="168"/>
      <c r="D3300" s="76"/>
      <c r="E3300" s="208"/>
      <c r="F3300" s="168"/>
      <c r="G3300" s="209"/>
      <c r="H3300" s="168"/>
      <c r="I3300" s="208"/>
    </row>
    <row r="3301">
      <c r="B3301" s="168"/>
      <c r="D3301" s="76"/>
      <c r="E3301" s="208"/>
      <c r="F3301" s="168"/>
      <c r="G3301" s="209"/>
      <c r="H3301" s="168"/>
      <c r="I3301" s="208"/>
    </row>
    <row r="3302">
      <c r="B3302" s="168"/>
      <c r="D3302" s="76"/>
      <c r="E3302" s="208"/>
      <c r="F3302" s="168"/>
      <c r="G3302" s="209"/>
      <c r="H3302" s="168"/>
      <c r="I3302" s="208"/>
    </row>
    <row r="3303">
      <c r="B3303" s="168"/>
      <c r="D3303" s="76"/>
      <c r="E3303" s="208"/>
      <c r="F3303" s="168"/>
      <c r="G3303" s="209"/>
      <c r="H3303" s="168"/>
      <c r="I3303" s="208"/>
    </row>
    <row r="3304">
      <c r="B3304" s="168"/>
      <c r="D3304" s="76"/>
      <c r="E3304" s="208"/>
      <c r="F3304" s="168"/>
      <c r="G3304" s="209"/>
      <c r="H3304" s="168"/>
      <c r="I3304" s="208"/>
    </row>
    <row r="3305">
      <c r="B3305" s="168"/>
      <c r="D3305" s="76"/>
      <c r="E3305" s="208"/>
      <c r="F3305" s="168"/>
      <c r="G3305" s="209"/>
      <c r="H3305" s="168"/>
      <c r="I3305" s="208"/>
    </row>
    <row r="3306">
      <c r="B3306" s="168"/>
      <c r="D3306" s="76"/>
      <c r="E3306" s="208"/>
      <c r="F3306" s="168"/>
      <c r="G3306" s="209"/>
      <c r="H3306" s="168"/>
      <c r="I3306" s="208"/>
    </row>
    <row r="3307">
      <c r="B3307" s="168"/>
      <c r="D3307" s="76"/>
      <c r="E3307" s="208"/>
      <c r="F3307" s="168"/>
      <c r="G3307" s="209"/>
      <c r="H3307" s="168"/>
      <c r="I3307" s="208"/>
    </row>
    <row r="3308">
      <c r="B3308" s="168"/>
      <c r="D3308" s="76"/>
      <c r="E3308" s="208"/>
      <c r="F3308" s="168"/>
      <c r="G3308" s="209"/>
      <c r="H3308" s="168"/>
      <c r="I3308" s="208"/>
    </row>
    <row r="3309">
      <c r="B3309" s="168"/>
      <c r="D3309" s="76"/>
      <c r="E3309" s="208"/>
      <c r="F3309" s="168"/>
      <c r="G3309" s="209"/>
      <c r="H3309" s="168"/>
      <c r="I3309" s="208"/>
    </row>
    <row r="3310">
      <c r="B3310" s="168"/>
      <c r="D3310" s="76"/>
      <c r="E3310" s="208"/>
      <c r="F3310" s="168"/>
      <c r="G3310" s="209"/>
      <c r="H3310" s="168"/>
      <c r="I3310" s="208"/>
    </row>
    <row r="3311">
      <c r="B3311" s="168"/>
      <c r="D3311" s="76"/>
      <c r="E3311" s="208"/>
      <c r="F3311" s="168"/>
      <c r="G3311" s="209"/>
      <c r="H3311" s="168"/>
      <c r="I3311" s="208"/>
    </row>
    <row r="3312">
      <c r="B3312" s="168"/>
      <c r="D3312" s="76"/>
      <c r="E3312" s="208"/>
      <c r="F3312" s="168"/>
      <c r="G3312" s="209"/>
      <c r="H3312" s="168"/>
      <c r="I3312" s="208"/>
    </row>
    <row r="3313">
      <c r="B3313" s="168"/>
      <c r="D3313" s="76"/>
      <c r="E3313" s="208"/>
      <c r="F3313" s="168"/>
      <c r="G3313" s="209"/>
      <c r="H3313" s="168"/>
      <c r="I3313" s="208"/>
    </row>
    <row r="3314">
      <c r="B3314" s="168"/>
      <c r="D3314" s="76"/>
      <c r="E3314" s="208"/>
      <c r="F3314" s="168"/>
      <c r="G3314" s="209"/>
      <c r="H3314" s="168"/>
      <c r="I3314" s="208"/>
    </row>
    <row r="3315">
      <c r="B3315" s="168"/>
      <c r="D3315" s="76"/>
      <c r="E3315" s="208"/>
      <c r="F3315" s="168"/>
      <c r="G3315" s="209"/>
      <c r="H3315" s="168"/>
      <c r="I3315" s="208"/>
    </row>
    <row r="3316">
      <c r="B3316" s="168"/>
      <c r="D3316" s="76"/>
      <c r="E3316" s="208"/>
      <c r="F3316" s="168"/>
      <c r="G3316" s="209"/>
      <c r="H3316" s="168"/>
      <c r="I3316" s="208"/>
    </row>
    <row r="3317">
      <c r="B3317" s="168"/>
      <c r="D3317" s="76"/>
      <c r="E3317" s="208"/>
      <c r="F3317" s="168"/>
      <c r="G3317" s="209"/>
      <c r="H3317" s="168"/>
      <c r="I3317" s="208"/>
    </row>
    <row r="3318">
      <c r="B3318" s="168"/>
      <c r="D3318" s="76"/>
      <c r="E3318" s="208"/>
      <c r="F3318" s="168"/>
      <c r="G3318" s="209"/>
      <c r="H3318" s="168"/>
      <c r="I3318" s="208"/>
    </row>
    <row r="3319">
      <c r="B3319" s="168"/>
      <c r="D3319" s="76"/>
      <c r="E3319" s="208"/>
      <c r="F3319" s="168"/>
      <c r="G3319" s="209"/>
      <c r="H3319" s="168"/>
      <c r="I3319" s="208"/>
    </row>
    <row r="3320">
      <c r="B3320" s="168"/>
      <c r="D3320" s="76"/>
      <c r="E3320" s="208"/>
      <c r="F3320" s="168"/>
      <c r="G3320" s="209"/>
      <c r="H3320" s="168"/>
      <c r="I3320" s="208"/>
    </row>
    <row r="3321">
      <c r="B3321" s="168"/>
      <c r="D3321" s="76"/>
      <c r="E3321" s="208"/>
      <c r="F3321" s="168"/>
      <c r="G3321" s="209"/>
      <c r="H3321" s="168"/>
      <c r="I3321" s="208"/>
    </row>
    <row r="3322">
      <c r="B3322" s="168"/>
      <c r="D3322" s="76"/>
      <c r="E3322" s="208"/>
      <c r="F3322" s="168"/>
      <c r="G3322" s="209"/>
      <c r="H3322" s="168"/>
      <c r="I3322" s="208"/>
    </row>
    <row r="3323">
      <c r="B3323" s="168"/>
      <c r="D3323" s="76"/>
      <c r="E3323" s="208"/>
      <c r="F3323" s="168"/>
      <c r="G3323" s="209"/>
      <c r="H3323" s="168"/>
      <c r="I3323" s="208"/>
    </row>
    <row r="3324">
      <c r="B3324" s="168"/>
      <c r="D3324" s="76"/>
      <c r="E3324" s="208"/>
      <c r="F3324" s="168"/>
      <c r="G3324" s="209"/>
      <c r="H3324" s="168"/>
      <c r="I3324" s="208"/>
    </row>
    <row r="3325">
      <c r="B3325" s="168"/>
      <c r="D3325" s="76"/>
      <c r="E3325" s="208"/>
      <c r="F3325" s="168"/>
      <c r="G3325" s="209"/>
      <c r="H3325" s="168"/>
      <c r="I3325" s="208"/>
    </row>
    <row r="3326">
      <c r="B3326" s="168"/>
      <c r="D3326" s="76"/>
      <c r="E3326" s="208"/>
      <c r="F3326" s="168"/>
      <c r="G3326" s="209"/>
      <c r="H3326" s="168"/>
      <c r="I3326" s="208"/>
    </row>
    <row r="3327">
      <c r="B3327" s="168"/>
      <c r="D3327" s="76"/>
      <c r="E3327" s="208"/>
      <c r="F3327" s="168"/>
      <c r="G3327" s="209"/>
      <c r="H3327" s="168"/>
      <c r="I3327" s="208"/>
    </row>
    <row r="3328">
      <c r="B3328" s="168"/>
      <c r="D3328" s="76"/>
      <c r="E3328" s="208"/>
      <c r="F3328" s="168"/>
      <c r="G3328" s="209"/>
      <c r="H3328" s="168"/>
      <c r="I3328" s="208"/>
    </row>
    <row r="3329">
      <c r="B3329" s="168"/>
      <c r="D3329" s="76"/>
      <c r="E3329" s="208"/>
      <c r="F3329" s="168"/>
      <c r="G3329" s="209"/>
      <c r="H3329" s="168"/>
      <c r="I3329" s="208"/>
    </row>
    <row r="3330">
      <c r="B3330" s="168"/>
      <c r="D3330" s="76"/>
      <c r="E3330" s="208"/>
      <c r="F3330" s="168"/>
      <c r="G3330" s="209"/>
      <c r="H3330" s="168"/>
      <c r="I3330" s="208"/>
    </row>
    <row r="3331">
      <c r="B3331" s="168"/>
      <c r="D3331" s="76"/>
      <c r="E3331" s="208"/>
      <c r="F3331" s="168"/>
      <c r="G3331" s="209"/>
      <c r="H3331" s="168"/>
      <c r="I3331" s="208"/>
    </row>
    <row r="3332">
      <c r="B3332" s="168"/>
      <c r="D3332" s="76"/>
      <c r="E3332" s="208"/>
      <c r="F3332" s="168"/>
      <c r="G3332" s="209"/>
      <c r="H3332" s="168"/>
      <c r="I3332" s="208"/>
    </row>
    <row r="3333">
      <c r="B3333" s="168"/>
      <c r="D3333" s="76"/>
      <c r="E3333" s="208"/>
      <c r="F3333" s="168"/>
      <c r="G3333" s="209"/>
      <c r="H3333" s="168"/>
      <c r="I3333" s="208"/>
    </row>
    <row r="3334">
      <c r="B3334" s="168"/>
      <c r="D3334" s="76"/>
      <c r="E3334" s="208"/>
      <c r="F3334" s="168"/>
      <c r="G3334" s="209"/>
      <c r="H3334" s="168"/>
      <c r="I3334" s="208"/>
    </row>
    <row r="3335">
      <c r="B3335" s="168"/>
      <c r="D3335" s="76"/>
      <c r="E3335" s="208"/>
      <c r="F3335" s="168"/>
      <c r="G3335" s="209"/>
      <c r="H3335" s="168"/>
      <c r="I3335" s="208"/>
    </row>
    <row r="3336">
      <c r="B3336" s="168"/>
      <c r="D3336" s="76"/>
      <c r="E3336" s="208"/>
      <c r="F3336" s="168"/>
      <c r="G3336" s="209"/>
      <c r="H3336" s="168"/>
      <c r="I3336" s="208"/>
    </row>
    <row r="3337">
      <c r="B3337" s="168"/>
      <c r="D3337" s="76"/>
      <c r="E3337" s="208"/>
      <c r="F3337" s="168"/>
      <c r="G3337" s="209"/>
      <c r="H3337" s="168"/>
      <c r="I3337" s="208"/>
    </row>
    <row r="3338">
      <c r="B3338" s="168"/>
      <c r="D3338" s="76"/>
      <c r="E3338" s="208"/>
      <c r="F3338" s="168"/>
      <c r="G3338" s="209"/>
      <c r="H3338" s="168"/>
      <c r="I3338" s="208"/>
    </row>
    <row r="3339">
      <c r="B3339" s="168"/>
      <c r="D3339" s="76"/>
      <c r="E3339" s="208"/>
      <c r="F3339" s="168"/>
      <c r="G3339" s="209"/>
      <c r="H3339" s="168"/>
      <c r="I3339" s="208"/>
    </row>
    <row r="3340">
      <c r="B3340" s="168"/>
      <c r="D3340" s="76"/>
      <c r="E3340" s="208"/>
      <c r="F3340" s="168"/>
      <c r="G3340" s="209"/>
      <c r="H3340" s="168"/>
      <c r="I3340" s="208"/>
    </row>
    <row r="3341">
      <c r="B3341" s="168"/>
      <c r="D3341" s="76"/>
      <c r="E3341" s="208"/>
      <c r="F3341" s="168"/>
      <c r="G3341" s="209"/>
      <c r="H3341" s="168"/>
      <c r="I3341" s="208"/>
    </row>
    <row r="3342">
      <c r="B3342" s="168"/>
      <c r="D3342" s="76"/>
      <c r="E3342" s="208"/>
      <c r="F3342" s="168"/>
      <c r="G3342" s="209"/>
      <c r="H3342" s="168"/>
      <c r="I3342" s="208"/>
    </row>
    <row r="3343">
      <c r="B3343" s="168"/>
      <c r="D3343" s="76"/>
      <c r="E3343" s="208"/>
      <c r="F3343" s="168"/>
      <c r="G3343" s="209"/>
      <c r="H3343" s="168"/>
      <c r="I3343" s="208"/>
    </row>
    <row r="3344">
      <c r="B3344" s="168"/>
      <c r="D3344" s="76"/>
      <c r="E3344" s="208"/>
      <c r="F3344" s="168"/>
      <c r="G3344" s="209"/>
      <c r="H3344" s="168"/>
      <c r="I3344" s="208"/>
    </row>
    <row r="3345">
      <c r="B3345" s="168"/>
      <c r="D3345" s="76"/>
      <c r="E3345" s="208"/>
      <c r="F3345" s="168"/>
      <c r="G3345" s="209"/>
      <c r="H3345" s="168"/>
      <c r="I3345" s="208"/>
    </row>
    <row r="3346">
      <c r="B3346" s="168"/>
      <c r="D3346" s="76"/>
      <c r="E3346" s="208"/>
      <c r="F3346" s="168"/>
      <c r="G3346" s="209"/>
      <c r="H3346" s="168"/>
      <c r="I3346" s="208"/>
    </row>
    <row r="3347">
      <c r="B3347" s="168"/>
      <c r="D3347" s="76"/>
      <c r="E3347" s="208"/>
      <c r="F3347" s="168"/>
      <c r="G3347" s="209"/>
      <c r="H3347" s="168"/>
      <c r="I3347" s="208"/>
    </row>
    <row r="3348">
      <c r="B3348" s="168"/>
      <c r="D3348" s="76"/>
      <c r="E3348" s="208"/>
      <c r="F3348" s="168"/>
      <c r="G3348" s="209"/>
      <c r="H3348" s="168"/>
      <c r="I3348" s="208"/>
    </row>
    <row r="3349">
      <c r="B3349" s="168"/>
      <c r="D3349" s="76"/>
      <c r="E3349" s="208"/>
      <c r="F3349" s="168"/>
      <c r="G3349" s="209"/>
      <c r="H3349" s="168"/>
      <c r="I3349" s="208"/>
    </row>
    <row r="3350">
      <c r="B3350" s="168"/>
      <c r="D3350" s="76"/>
      <c r="E3350" s="208"/>
      <c r="F3350" s="168"/>
      <c r="G3350" s="209"/>
      <c r="H3350" s="168"/>
      <c r="I3350" s="208"/>
    </row>
    <row r="3351">
      <c r="B3351" s="168"/>
      <c r="D3351" s="76"/>
      <c r="E3351" s="208"/>
      <c r="F3351" s="168"/>
      <c r="G3351" s="209"/>
      <c r="H3351" s="168"/>
      <c r="I3351" s="208"/>
    </row>
    <row r="3352">
      <c r="B3352" s="168"/>
      <c r="D3352" s="76"/>
      <c r="E3352" s="208"/>
      <c r="F3352" s="168"/>
      <c r="G3352" s="209"/>
      <c r="H3352" s="168"/>
      <c r="I3352" s="208"/>
    </row>
    <row r="3353">
      <c r="B3353" s="168"/>
      <c r="D3353" s="76"/>
      <c r="E3353" s="208"/>
      <c r="F3353" s="168"/>
      <c r="G3353" s="209"/>
      <c r="H3353" s="168"/>
      <c r="I3353" s="208"/>
    </row>
    <row r="3354">
      <c r="B3354" s="168"/>
      <c r="D3354" s="76"/>
      <c r="E3354" s="208"/>
      <c r="F3354" s="168"/>
      <c r="G3354" s="209"/>
      <c r="H3354" s="168"/>
      <c r="I3354" s="208"/>
    </row>
    <row r="3355">
      <c r="B3355" s="168"/>
      <c r="D3355" s="76"/>
      <c r="E3355" s="208"/>
      <c r="F3355" s="168"/>
      <c r="G3355" s="209"/>
      <c r="H3355" s="168"/>
      <c r="I3355" s="208"/>
    </row>
    <row r="3356">
      <c r="B3356" s="168"/>
      <c r="D3356" s="76"/>
      <c r="E3356" s="208"/>
      <c r="F3356" s="168"/>
      <c r="G3356" s="209"/>
      <c r="H3356" s="168"/>
      <c r="I3356" s="208"/>
    </row>
    <row r="3357">
      <c r="B3357" s="168"/>
      <c r="D3357" s="76"/>
      <c r="E3357" s="208"/>
      <c r="F3357" s="168"/>
      <c r="G3357" s="209"/>
      <c r="H3357" s="168"/>
      <c r="I3357" s="208"/>
    </row>
    <row r="3358">
      <c r="B3358" s="168"/>
      <c r="D3358" s="76"/>
      <c r="E3358" s="208"/>
      <c r="F3358" s="168"/>
      <c r="G3358" s="209"/>
      <c r="H3358" s="168"/>
      <c r="I3358" s="208"/>
    </row>
    <row r="3359">
      <c r="B3359" s="168"/>
      <c r="D3359" s="76"/>
      <c r="E3359" s="208"/>
      <c r="F3359" s="168"/>
      <c r="G3359" s="209"/>
      <c r="H3359" s="168"/>
      <c r="I3359" s="208"/>
    </row>
    <row r="3360">
      <c r="B3360" s="168"/>
      <c r="D3360" s="76"/>
      <c r="E3360" s="208"/>
      <c r="F3360" s="168"/>
      <c r="G3360" s="209"/>
      <c r="H3360" s="168"/>
      <c r="I3360" s="208"/>
    </row>
    <row r="3361">
      <c r="B3361" s="168"/>
      <c r="D3361" s="76"/>
      <c r="E3361" s="208"/>
      <c r="F3361" s="168"/>
      <c r="G3361" s="209"/>
      <c r="H3361" s="168"/>
      <c r="I3361" s="208"/>
    </row>
    <row r="3362">
      <c r="B3362" s="168"/>
      <c r="D3362" s="76"/>
      <c r="E3362" s="208"/>
      <c r="F3362" s="168"/>
      <c r="G3362" s="209"/>
      <c r="H3362" s="168"/>
      <c r="I3362" s="208"/>
    </row>
    <row r="3363">
      <c r="B3363" s="168"/>
      <c r="D3363" s="76"/>
      <c r="E3363" s="208"/>
      <c r="F3363" s="168"/>
      <c r="G3363" s="209"/>
      <c r="H3363" s="168"/>
      <c r="I3363" s="208"/>
    </row>
    <row r="3364">
      <c r="B3364" s="168"/>
      <c r="D3364" s="76"/>
      <c r="E3364" s="208"/>
      <c r="F3364" s="168"/>
      <c r="G3364" s="209"/>
      <c r="H3364" s="168"/>
      <c r="I3364" s="208"/>
    </row>
    <row r="3365">
      <c r="B3365" s="168"/>
      <c r="D3365" s="76"/>
      <c r="E3365" s="208"/>
      <c r="F3365" s="168"/>
      <c r="G3365" s="209"/>
      <c r="H3365" s="168"/>
      <c r="I3365" s="208"/>
    </row>
    <row r="3366">
      <c r="B3366" s="168"/>
      <c r="D3366" s="76"/>
      <c r="E3366" s="208"/>
      <c r="F3366" s="168"/>
      <c r="G3366" s="209"/>
      <c r="H3366" s="168"/>
      <c r="I3366" s="208"/>
    </row>
    <row r="3367">
      <c r="B3367" s="168"/>
      <c r="D3367" s="76"/>
      <c r="E3367" s="208"/>
      <c r="F3367" s="168"/>
      <c r="G3367" s="209"/>
      <c r="H3367" s="168"/>
      <c r="I3367" s="208"/>
    </row>
    <row r="3368">
      <c r="B3368" s="168"/>
      <c r="D3368" s="76"/>
      <c r="E3368" s="208"/>
      <c r="F3368" s="168"/>
      <c r="G3368" s="209"/>
      <c r="H3368" s="168"/>
      <c r="I3368" s="208"/>
    </row>
    <row r="3369">
      <c r="B3369" s="168"/>
      <c r="D3369" s="76"/>
      <c r="E3369" s="208"/>
      <c r="F3369" s="168"/>
      <c r="G3369" s="209"/>
      <c r="H3369" s="168"/>
      <c r="I3369" s="208"/>
    </row>
    <row r="3370">
      <c r="B3370" s="168"/>
      <c r="D3370" s="76"/>
      <c r="E3370" s="208"/>
      <c r="F3370" s="168"/>
      <c r="G3370" s="209"/>
      <c r="H3370" s="168"/>
      <c r="I3370" s="208"/>
    </row>
    <row r="3371">
      <c r="B3371" s="168"/>
      <c r="D3371" s="76"/>
      <c r="E3371" s="208"/>
      <c r="F3371" s="168"/>
      <c r="G3371" s="209"/>
      <c r="H3371" s="168"/>
      <c r="I3371" s="208"/>
    </row>
    <row r="3372">
      <c r="B3372" s="168"/>
      <c r="D3372" s="76"/>
      <c r="E3372" s="208"/>
      <c r="F3372" s="168"/>
      <c r="G3372" s="209"/>
      <c r="H3372" s="168"/>
      <c r="I3372" s="208"/>
    </row>
    <row r="3373">
      <c r="B3373" s="168"/>
      <c r="D3373" s="76"/>
      <c r="E3373" s="208"/>
      <c r="F3373" s="168"/>
      <c r="G3373" s="209"/>
      <c r="H3373" s="168"/>
      <c r="I3373" s="208"/>
    </row>
    <row r="3374">
      <c r="B3374" s="168"/>
      <c r="D3374" s="76"/>
      <c r="E3374" s="208"/>
      <c r="F3374" s="168"/>
      <c r="G3374" s="209"/>
      <c r="H3374" s="168"/>
      <c r="I3374" s="208"/>
    </row>
    <row r="3375">
      <c r="B3375" s="168"/>
      <c r="D3375" s="76"/>
      <c r="E3375" s="208"/>
      <c r="F3375" s="168"/>
      <c r="G3375" s="209"/>
      <c r="H3375" s="168"/>
      <c r="I3375" s="208"/>
    </row>
    <row r="3376">
      <c r="B3376" s="168"/>
      <c r="D3376" s="76"/>
      <c r="E3376" s="208"/>
      <c r="F3376" s="168"/>
      <c r="G3376" s="209"/>
      <c r="H3376" s="168"/>
      <c r="I3376" s="208"/>
    </row>
    <row r="3377">
      <c r="B3377" s="168"/>
      <c r="D3377" s="76"/>
      <c r="E3377" s="208"/>
      <c r="F3377" s="168"/>
      <c r="G3377" s="209"/>
      <c r="H3377" s="168"/>
      <c r="I3377" s="208"/>
    </row>
    <row r="3378">
      <c r="B3378" s="168"/>
      <c r="D3378" s="76"/>
      <c r="E3378" s="208"/>
      <c r="F3378" s="168"/>
      <c r="G3378" s="209"/>
      <c r="H3378" s="168"/>
      <c r="I3378" s="208"/>
    </row>
    <row r="3379">
      <c r="B3379" s="168"/>
      <c r="D3379" s="76"/>
      <c r="E3379" s="208"/>
      <c r="F3379" s="168"/>
      <c r="G3379" s="209"/>
      <c r="H3379" s="168"/>
      <c r="I3379" s="208"/>
    </row>
    <row r="3380">
      <c r="B3380" s="168"/>
      <c r="D3380" s="76"/>
      <c r="E3380" s="208"/>
      <c r="F3380" s="168"/>
      <c r="G3380" s="209"/>
      <c r="H3380" s="168"/>
      <c r="I3380" s="208"/>
    </row>
    <row r="3381">
      <c r="B3381" s="168"/>
      <c r="D3381" s="76"/>
      <c r="E3381" s="208"/>
      <c r="F3381" s="168"/>
      <c r="G3381" s="209"/>
      <c r="H3381" s="168"/>
      <c r="I3381" s="208"/>
    </row>
    <row r="3382">
      <c r="B3382" s="168"/>
      <c r="D3382" s="76"/>
      <c r="E3382" s="208"/>
      <c r="F3382" s="168"/>
      <c r="G3382" s="209"/>
      <c r="H3382" s="168"/>
      <c r="I3382" s="208"/>
    </row>
    <row r="3383">
      <c r="B3383" s="168"/>
      <c r="D3383" s="76"/>
      <c r="E3383" s="208"/>
      <c r="F3383" s="168"/>
      <c r="G3383" s="209"/>
      <c r="H3383" s="168"/>
      <c r="I3383" s="208"/>
    </row>
    <row r="3384">
      <c r="B3384" s="168"/>
      <c r="D3384" s="76"/>
      <c r="E3384" s="208"/>
      <c r="F3384" s="168"/>
      <c r="G3384" s="209"/>
      <c r="H3384" s="168"/>
      <c r="I3384" s="208"/>
    </row>
    <row r="3385">
      <c r="B3385" s="168"/>
      <c r="D3385" s="76"/>
      <c r="E3385" s="208"/>
      <c r="F3385" s="168"/>
      <c r="G3385" s="209"/>
      <c r="H3385" s="168"/>
      <c r="I3385" s="208"/>
    </row>
    <row r="3386">
      <c r="B3386" s="168"/>
      <c r="D3386" s="76"/>
      <c r="E3386" s="208"/>
      <c r="F3386" s="168"/>
      <c r="G3386" s="209"/>
      <c r="H3386" s="168"/>
      <c r="I3386" s="208"/>
    </row>
    <row r="3387">
      <c r="B3387" s="168"/>
      <c r="D3387" s="76"/>
      <c r="E3387" s="208"/>
      <c r="F3387" s="168"/>
      <c r="G3387" s="209"/>
      <c r="H3387" s="168"/>
      <c r="I3387" s="208"/>
    </row>
    <row r="3388">
      <c r="B3388" s="168"/>
      <c r="D3388" s="76"/>
      <c r="E3388" s="208"/>
      <c r="F3388" s="168"/>
      <c r="G3388" s="209"/>
      <c r="H3388" s="168"/>
      <c r="I3388" s="208"/>
    </row>
    <row r="3389">
      <c r="B3389" s="168"/>
      <c r="D3389" s="76"/>
      <c r="E3389" s="208"/>
      <c r="F3389" s="168"/>
      <c r="G3389" s="209"/>
      <c r="H3389" s="168"/>
      <c r="I3389" s="208"/>
    </row>
    <row r="3390">
      <c r="B3390" s="168"/>
      <c r="D3390" s="76"/>
      <c r="E3390" s="208"/>
      <c r="F3390" s="168"/>
      <c r="G3390" s="209"/>
      <c r="H3390" s="168"/>
      <c r="I3390" s="208"/>
    </row>
    <row r="3391">
      <c r="B3391" s="168"/>
      <c r="D3391" s="76"/>
      <c r="E3391" s="208"/>
      <c r="F3391" s="168"/>
      <c r="G3391" s="209"/>
      <c r="H3391" s="168"/>
      <c r="I3391" s="208"/>
    </row>
    <row r="3392">
      <c r="B3392" s="168"/>
      <c r="D3392" s="76"/>
      <c r="E3392" s="208"/>
      <c r="F3392" s="168"/>
      <c r="G3392" s="209"/>
      <c r="H3392" s="168"/>
      <c r="I3392" s="208"/>
    </row>
    <row r="3393">
      <c r="B3393" s="168"/>
      <c r="D3393" s="76"/>
      <c r="E3393" s="208"/>
      <c r="F3393" s="168"/>
      <c r="G3393" s="209"/>
      <c r="H3393" s="168"/>
      <c r="I3393" s="208"/>
    </row>
    <row r="3394">
      <c r="B3394" s="168"/>
      <c r="D3394" s="76"/>
      <c r="E3394" s="208"/>
      <c r="F3394" s="168"/>
      <c r="G3394" s="209"/>
      <c r="H3394" s="168"/>
      <c r="I3394" s="208"/>
    </row>
    <row r="3395">
      <c r="B3395" s="168"/>
      <c r="D3395" s="76"/>
      <c r="E3395" s="208"/>
      <c r="F3395" s="168"/>
      <c r="G3395" s="209"/>
      <c r="H3395" s="168"/>
      <c r="I3395" s="208"/>
    </row>
    <row r="3396">
      <c r="B3396" s="168"/>
      <c r="D3396" s="76"/>
      <c r="E3396" s="208"/>
      <c r="F3396" s="168"/>
      <c r="G3396" s="209"/>
      <c r="H3396" s="168"/>
      <c r="I3396" s="208"/>
    </row>
    <row r="3397">
      <c r="B3397" s="168"/>
      <c r="D3397" s="76"/>
      <c r="E3397" s="208"/>
      <c r="F3397" s="168"/>
      <c r="G3397" s="209"/>
      <c r="H3397" s="168"/>
      <c r="I3397" s="208"/>
    </row>
    <row r="3398">
      <c r="B3398" s="168"/>
      <c r="D3398" s="76"/>
      <c r="E3398" s="208"/>
      <c r="F3398" s="168"/>
      <c r="G3398" s="209"/>
      <c r="H3398" s="168"/>
      <c r="I3398" s="208"/>
    </row>
    <row r="3399">
      <c r="B3399" s="168"/>
      <c r="D3399" s="76"/>
      <c r="E3399" s="208"/>
      <c r="F3399" s="168"/>
      <c r="G3399" s="209"/>
      <c r="H3399" s="168"/>
      <c r="I3399" s="208"/>
    </row>
    <row r="3400">
      <c r="B3400" s="168"/>
      <c r="D3400" s="76"/>
      <c r="E3400" s="208"/>
      <c r="F3400" s="168"/>
      <c r="G3400" s="209"/>
      <c r="H3400" s="168"/>
      <c r="I3400" s="208"/>
    </row>
    <row r="3401">
      <c r="B3401" s="168"/>
      <c r="D3401" s="76"/>
      <c r="E3401" s="208"/>
      <c r="F3401" s="168"/>
      <c r="G3401" s="209"/>
      <c r="H3401" s="168"/>
      <c r="I3401" s="208"/>
    </row>
    <row r="3402">
      <c r="B3402" s="168"/>
      <c r="D3402" s="76"/>
      <c r="E3402" s="208"/>
      <c r="F3402" s="168"/>
      <c r="G3402" s="209"/>
      <c r="H3402" s="168"/>
      <c r="I3402" s="208"/>
    </row>
    <row r="3403">
      <c r="B3403" s="168"/>
      <c r="D3403" s="76"/>
      <c r="E3403" s="208"/>
      <c r="F3403" s="168"/>
      <c r="G3403" s="209"/>
      <c r="H3403" s="168"/>
      <c r="I3403" s="208"/>
    </row>
    <row r="3404">
      <c r="B3404" s="168"/>
      <c r="D3404" s="76"/>
      <c r="E3404" s="208"/>
      <c r="F3404" s="168"/>
      <c r="G3404" s="209"/>
      <c r="H3404" s="168"/>
      <c r="I3404" s="208"/>
    </row>
    <row r="3405">
      <c r="B3405" s="168"/>
      <c r="D3405" s="76"/>
      <c r="E3405" s="208"/>
      <c r="F3405" s="168"/>
      <c r="G3405" s="209"/>
      <c r="H3405" s="168"/>
      <c r="I3405" s="208"/>
    </row>
    <row r="3406">
      <c r="B3406" s="168"/>
      <c r="D3406" s="76"/>
      <c r="E3406" s="208"/>
      <c r="F3406" s="168"/>
      <c r="G3406" s="209"/>
      <c r="H3406" s="168"/>
      <c r="I3406" s="208"/>
    </row>
    <row r="3407">
      <c r="B3407" s="168"/>
      <c r="D3407" s="76"/>
      <c r="E3407" s="208"/>
      <c r="F3407" s="168"/>
      <c r="G3407" s="209"/>
      <c r="H3407" s="168"/>
      <c r="I3407" s="208"/>
    </row>
    <row r="3408">
      <c r="B3408" s="168"/>
      <c r="D3408" s="76"/>
      <c r="E3408" s="208"/>
      <c r="F3408" s="168"/>
      <c r="G3408" s="209"/>
      <c r="H3408" s="168"/>
      <c r="I3408" s="208"/>
    </row>
    <row r="3409">
      <c r="B3409" s="168"/>
      <c r="D3409" s="76"/>
      <c r="E3409" s="208"/>
      <c r="F3409" s="168"/>
      <c r="G3409" s="209"/>
      <c r="H3409" s="168"/>
      <c r="I3409" s="208"/>
    </row>
    <row r="3410">
      <c r="B3410" s="168"/>
      <c r="D3410" s="76"/>
      <c r="E3410" s="208"/>
      <c r="F3410" s="168"/>
      <c r="G3410" s="209"/>
      <c r="H3410" s="168"/>
      <c r="I3410" s="208"/>
    </row>
    <row r="3411">
      <c r="B3411" s="168"/>
      <c r="D3411" s="76"/>
      <c r="E3411" s="208"/>
      <c r="F3411" s="168"/>
      <c r="G3411" s="209"/>
      <c r="H3411" s="168"/>
      <c r="I3411" s="208"/>
    </row>
    <row r="3412">
      <c r="B3412" s="168"/>
      <c r="D3412" s="76"/>
      <c r="E3412" s="208"/>
      <c r="F3412" s="168"/>
      <c r="G3412" s="209"/>
      <c r="H3412" s="168"/>
      <c r="I3412" s="208"/>
    </row>
    <row r="3413">
      <c r="B3413" s="168"/>
      <c r="D3413" s="76"/>
      <c r="E3413" s="208"/>
      <c r="F3413" s="168"/>
      <c r="G3413" s="209"/>
      <c r="H3413" s="168"/>
      <c r="I3413" s="208"/>
    </row>
    <row r="3414">
      <c r="B3414" s="168"/>
      <c r="D3414" s="76"/>
      <c r="E3414" s="208"/>
      <c r="F3414" s="168"/>
      <c r="G3414" s="209"/>
      <c r="H3414" s="168"/>
      <c r="I3414" s="208"/>
    </row>
    <row r="3415">
      <c r="B3415" s="168"/>
      <c r="D3415" s="76"/>
      <c r="E3415" s="208"/>
      <c r="F3415" s="168"/>
      <c r="G3415" s="209"/>
      <c r="H3415" s="168"/>
      <c r="I3415" s="208"/>
    </row>
    <row r="3416">
      <c r="B3416" s="168"/>
      <c r="D3416" s="76"/>
      <c r="E3416" s="208"/>
      <c r="F3416" s="168"/>
      <c r="G3416" s="209"/>
      <c r="H3416" s="168"/>
      <c r="I3416" s="208"/>
    </row>
    <row r="3417">
      <c r="B3417" s="168"/>
      <c r="D3417" s="76"/>
      <c r="E3417" s="208"/>
      <c r="F3417" s="168"/>
      <c r="G3417" s="209"/>
      <c r="H3417" s="168"/>
      <c r="I3417" s="208"/>
    </row>
    <row r="3418">
      <c r="B3418" s="168"/>
      <c r="D3418" s="76"/>
      <c r="E3418" s="208"/>
      <c r="F3418" s="168"/>
      <c r="G3418" s="209"/>
      <c r="H3418" s="168"/>
      <c r="I3418" s="208"/>
    </row>
    <row r="3419">
      <c r="B3419" s="168"/>
      <c r="D3419" s="76"/>
      <c r="E3419" s="208"/>
      <c r="F3419" s="168"/>
      <c r="G3419" s="209"/>
      <c r="H3419" s="168"/>
      <c r="I3419" s="208"/>
    </row>
    <row r="3420">
      <c r="B3420" s="168"/>
      <c r="D3420" s="76"/>
      <c r="E3420" s="208"/>
      <c r="F3420" s="168"/>
      <c r="G3420" s="209"/>
      <c r="H3420" s="168"/>
      <c r="I3420" s="208"/>
    </row>
    <row r="3421">
      <c r="B3421" s="168"/>
      <c r="D3421" s="76"/>
      <c r="E3421" s="208"/>
      <c r="F3421" s="168"/>
      <c r="G3421" s="209"/>
      <c r="H3421" s="168"/>
      <c r="I3421" s="208"/>
    </row>
    <row r="3422">
      <c r="B3422" s="168"/>
      <c r="D3422" s="76"/>
      <c r="E3422" s="208"/>
      <c r="F3422" s="168"/>
      <c r="G3422" s="209"/>
      <c r="H3422" s="168"/>
      <c r="I3422" s="208"/>
    </row>
    <row r="3423">
      <c r="B3423" s="168"/>
      <c r="D3423" s="76"/>
      <c r="E3423" s="208"/>
      <c r="F3423" s="168"/>
      <c r="G3423" s="209"/>
      <c r="H3423" s="168"/>
      <c r="I3423" s="208"/>
    </row>
    <row r="3424">
      <c r="B3424" s="168"/>
      <c r="D3424" s="76"/>
      <c r="E3424" s="208"/>
      <c r="F3424" s="168"/>
      <c r="G3424" s="209"/>
      <c r="H3424" s="168"/>
      <c r="I3424" s="208"/>
    </row>
    <row r="3425">
      <c r="B3425" s="168"/>
      <c r="D3425" s="76"/>
      <c r="E3425" s="208"/>
      <c r="F3425" s="168"/>
      <c r="G3425" s="209"/>
      <c r="H3425" s="168"/>
      <c r="I3425" s="208"/>
    </row>
    <row r="3426">
      <c r="B3426" s="168"/>
      <c r="D3426" s="76"/>
      <c r="E3426" s="208"/>
      <c r="F3426" s="168"/>
      <c r="G3426" s="209"/>
      <c r="H3426" s="168"/>
      <c r="I3426" s="208"/>
    </row>
    <row r="3427">
      <c r="B3427" s="168"/>
      <c r="D3427" s="76"/>
      <c r="E3427" s="208"/>
      <c r="F3427" s="168"/>
      <c r="G3427" s="209"/>
      <c r="H3427" s="168"/>
      <c r="I3427" s="208"/>
    </row>
    <row r="3428">
      <c r="B3428" s="168"/>
      <c r="D3428" s="76"/>
      <c r="E3428" s="208"/>
      <c r="F3428" s="168"/>
      <c r="G3428" s="209"/>
      <c r="H3428" s="168"/>
      <c r="I3428" s="208"/>
    </row>
    <row r="3429">
      <c r="B3429" s="168"/>
      <c r="D3429" s="76"/>
      <c r="E3429" s="208"/>
      <c r="F3429" s="168"/>
      <c r="G3429" s="209"/>
      <c r="H3429" s="168"/>
      <c r="I3429" s="208"/>
    </row>
    <row r="3430">
      <c r="B3430" s="168"/>
      <c r="D3430" s="76"/>
      <c r="E3430" s="208"/>
      <c r="F3430" s="168"/>
      <c r="G3430" s="209"/>
      <c r="H3430" s="168"/>
      <c r="I3430" s="208"/>
    </row>
    <row r="3431">
      <c r="B3431" s="168"/>
      <c r="D3431" s="76"/>
      <c r="E3431" s="208"/>
      <c r="F3431" s="168"/>
      <c r="G3431" s="209"/>
      <c r="H3431" s="168"/>
      <c r="I3431" s="208"/>
    </row>
    <row r="3432">
      <c r="B3432" s="168"/>
      <c r="D3432" s="76"/>
      <c r="E3432" s="208"/>
      <c r="F3432" s="168"/>
      <c r="G3432" s="209"/>
      <c r="H3432" s="168"/>
      <c r="I3432" s="208"/>
    </row>
    <row r="3433">
      <c r="B3433" s="168"/>
      <c r="D3433" s="76"/>
      <c r="E3433" s="208"/>
      <c r="F3433" s="168"/>
      <c r="G3433" s="209"/>
      <c r="H3433" s="168"/>
      <c r="I3433" s="208"/>
    </row>
    <row r="3434">
      <c r="B3434" s="168"/>
      <c r="D3434" s="76"/>
      <c r="E3434" s="208"/>
      <c r="F3434" s="168"/>
      <c r="G3434" s="209"/>
      <c r="H3434" s="168"/>
      <c r="I3434" s="208"/>
    </row>
    <row r="3435">
      <c r="B3435" s="168"/>
      <c r="D3435" s="76"/>
      <c r="E3435" s="208"/>
      <c r="F3435" s="168"/>
      <c r="G3435" s="209"/>
      <c r="H3435" s="168"/>
      <c r="I3435" s="208"/>
    </row>
    <row r="3436">
      <c r="B3436" s="168"/>
      <c r="D3436" s="76"/>
      <c r="E3436" s="208"/>
      <c r="F3436" s="168"/>
      <c r="G3436" s="209"/>
      <c r="H3436" s="168"/>
      <c r="I3436" s="208"/>
    </row>
    <row r="3437">
      <c r="B3437" s="168"/>
      <c r="D3437" s="76"/>
      <c r="E3437" s="208"/>
      <c r="F3437" s="168"/>
      <c r="G3437" s="209"/>
      <c r="H3437" s="168"/>
      <c r="I3437" s="208"/>
    </row>
    <row r="3438">
      <c r="B3438" s="168"/>
      <c r="D3438" s="76"/>
      <c r="E3438" s="208"/>
      <c r="F3438" s="168"/>
      <c r="G3438" s="209"/>
      <c r="H3438" s="168"/>
      <c r="I3438" s="208"/>
    </row>
    <row r="3439">
      <c r="B3439" s="168"/>
      <c r="D3439" s="76"/>
      <c r="E3439" s="208"/>
      <c r="F3439" s="168"/>
      <c r="G3439" s="209"/>
      <c r="H3439" s="168"/>
      <c r="I3439" s="208"/>
    </row>
    <row r="3440">
      <c r="B3440" s="168"/>
      <c r="D3440" s="76"/>
      <c r="E3440" s="208"/>
      <c r="F3440" s="168"/>
      <c r="G3440" s="209"/>
      <c r="H3440" s="168"/>
      <c r="I3440" s="208"/>
    </row>
    <row r="3441">
      <c r="B3441" s="168"/>
      <c r="D3441" s="76"/>
      <c r="E3441" s="208"/>
      <c r="F3441" s="168"/>
      <c r="G3441" s="209"/>
      <c r="H3441" s="168"/>
      <c r="I3441" s="208"/>
    </row>
    <row r="3442">
      <c r="B3442" s="168"/>
      <c r="D3442" s="76"/>
      <c r="E3442" s="208"/>
      <c r="F3442" s="168"/>
      <c r="G3442" s="209"/>
      <c r="H3442" s="168"/>
      <c r="I3442" s="208"/>
    </row>
    <row r="3443">
      <c r="B3443" s="168"/>
      <c r="D3443" s="76"/>
      <c r="E3443" s="208"/>
      <c r="F3443" s="168"/>
      <c r="G3443" s="209"/>
      <c r="H3443" s="168"/>
      <c r="I3443" s="208"/>
    </row>
    <row r="3444">
      <c r="B3444" s="168"/>
      <c r="D3444" s="76"/>
      <c r="E3444" s="208"/>
      <c r="F3444" s="168"/>
      <c r="G3444" s="209"/>
      <c r="H3444" s="168"/>
      <c r="I3444" s="208"/>
    </row>
    <row r="3445">
      <c r="B3445" s="168"/>
      <c r="D3445" s="76"/>
      <c r="E3445" s="208"/>
      <c r="F3445" s="168"/>
      <c r="G3445" s="209"/>
      <c r="H3445" s="168"/>
      <c r="I3445" s="208"/>
    </row>
    <row r="3446">
      <c r="B3446" s="168"/>
      <c r="D3446" s="76"/>
      <c r="E3446" s="208"/>
      <c r="F3446" s="168"/>
      <c r="G3446" s="209"/>
      <c r="H3446" s="168"/>
      <c r="I3446" s="208"/>
    </row>
    <row r="3447">
      <c r="B3447" s="168"/>
      <c r="D3447" s="76"/>
      <c r="E3447" s="208"/>
      <c r="F3447" s="168"/>
      <c r="G3447" s="209"/>
      <c r="H3447" s="168"/>
      <c r="I3447" s="208"/>
    </row>
    <row r="3448">
      <c r="B3448" s="168"/>
      <c r="D3448" s="76"/>
      <c r="E3448" s="208"/>
      <c r="F3448" s="168"/>
      <c r="G3448" s="209"/>
      <c r="H3448" s="168"/>
      <c r="I3448" s="208"/>
    </row>
    <row r="3449">
      <c r="B3449" s="168"/>
      <c r="D3449" s="76"/>
      <c r="E3449" s="208"/>
      <c r="F3449" s="168"/>
      <c r="G3449" s="209"/>
      <c r="H3449" s="168"/>
      <c r="I3449" s="208"/>
    </row>
    <row r="3450">
      <c r="B3450" s="168"/>
      <c r="D3450" s="76"/>
      <c r="E3450" s="208"/>
      <c r="F3450" s="168"/>
      <c r="G3450" s="209"/>
      <c r="H3450" s="168"/>
      <c r="I3450" s="208"/>
    </row>
    <row r="3451">
      <c r="B3451" s="168"/>
      <c r="D3451" s="76"/>
      <c r="E3451" s="208"/>
      <c r="F3451" s="168"/>
      <c r="G3451" s="209"/>
      <c r="H3451" s="168"/>
      <c r="I3451" s="208"/>
    </row>
    <row r="3452">
      <c r="B3452" s="168"/>
      <c r="D3452" s="76"/>
      <c r="E3452" s="208"/>
      <c r="F3452" s="168"/>
      <c r="G3452" s="209"/>
      <c r="H3452" s="168"/>
      <c r="I3452" s="208"/>
    </row>
    <row r="3453">
      <c r="B3453" s="168"/>
      <c r="D3453" s="76"/>
      <c r="E3453" s="208"/>
      <c r="F3453" s="168"/>
      <c r="G3453" s="209"/>
      <c r="H3453" s="168"/>
      <c r="I3453" s="208"/>
    </row>
    <row r="3454">
      <c r="B3454" s="168"/>
      <c r="D3454" s="76"/>
      <c r="E3454" s="208"/>
      <c r="F3454" s="168"/>
      <c r="G3454" s="209"/>
      <c r="H3454" s="168"/>
      <c r="I3454" s="208"/>
    </row>
    <row r="3455">
      <c r="B3455" s="168"/>
      <c r="D3455" s="76"/>
      <c r="E3455" s="208"/>
      <c r="F3455" s="168"/>
      <c r="G3455" s="209"/>
      <c r="H3455" s="168"/>
      <c r="I3455" s="208"/>
    </row>
    <row r="3456">
      <c r="B3456" s="168"/>
      <c r="D3456" s="76"/>
      <c r="E3456" s="208"/>
      <c r="F3456" s="168"/>
      <c r="G3456" s="209"/>
      <c r="H3456" s="168"/>
      <c r="I3456" s="208"/>
    </row>
    <row r="3457">
      <c r="B3457" s="168"/>
      <c r="D3457" s="76"/>
      <c r="E3457" s="208"/>
      <c r="F3457" s="168"/>
      <c r="G3457" s="209"/>
      <c r="H3457" s="168"/>
      <c r="I3457" s="208"/>
    </row>
    <row r="3458">
      <c r="B3458" s="168"/>
      <c r="D3458" s="76"/>
      <c r="E3458" s="208"/>
      <c r="F3458" s="168"/>
      <c r="G3458" s="209"/>
      <c r="H3458" s="168"/>
      <c r="I3458" s="208"/>
    </row>
    <row r="3459">
      <c r="B3459" s="168"/>
      <c r="D3459" s="76"/>
      <c r="E3459" s="208"/>
      <c r="F3459" s="168"/>
      <c r="G3459" s="209"/>
      <c r="H3459" s="168"/>
      <c r="I3459" s="208"/>
    </row>
    <row r="3460">
      <c r="B3460" s="168"/>
      <c r="D3460" s="76"/>
      <c r="E3460" s="208"/>
      <c r="F3460" s="168"/>
      <c r="G3460" s="209"/>
      <c r="H3460" s="168"/>
      <c r="I3460" s="208"/>
    </row>
    <row r="3461">
      <c r="B3461" s="168"/>
      <c r="D3461" s="76"/>
      <c r="E3461" s="208"/>
      <c r="F3461" s="168"/>
      <c r="G3461" s="209"/>
      <c r="H3461" s="168"/>
      <c r="I3461" s="208"/>
    </row>
    <row r="3462">
      <c r="B3462" s="168"/>
      <c r="D3462" s="76"/>
      <c r="E3462" s="208"/>
      <c r="F3462" s="168"/>
      <c r="G3462" s="209"/>
      <c r="H3462" s="168"/>
      <c r="I3462" s="208"/>
    </row>
    <row r="3463">
      <c r="B3463" s="168"/>
      <c r="D3463" s="76"/>
      <c r="E3463" s="208"/>
      <c r="F3463" s="168"/>
      <c r="G3463" s="209"/>
      <c r="H3463" s="168"/>
      <c r="I3463" s="208"/>
    </row>
    <row r="3464">
      <c r="B3464" s="168"/>
      <c r="D3464" s="76"/>
      <c r="E3464" s="208"/>
      <c r="F3464" s="168"/>
      <c r="G3464" s="209"/>
      <c r="H3464" s="168"/>
      <c r="I3464" s="208"/>
    </row>
    <row r="3465">
      <c r="B3465" s="168"/>
      <c r="D3465" s="76"/>
      <c r="E3465" s="208"/>
      <c r="F3465" s="168"/>
      <c r="G3465" s="209"/>
      <c r="H3465" s="168"/>
      <c r="I3465" s="208"/>
    </row>
    <row r="3466">
      <c r="B3466" s="168"/>
      <c r="D3466" s="76"/>
      <c r="E3466" s="208"/>
      <c r="F3466" s="168"/>
      <c r="G3466" s="209"/>
      <c r="H3466" s="168"/>
      <c r="I3466" s="208"/>
    </row>
    <row r="3467">
      <c r="B3467" s="168"/>
      <c r="D3467" s="76"/>
      <c r="E3467" s="208"/>
      <c r="F3467" s="168"/>
      <c r="G3467" s="209"/>
      <c r="H3467" s="168"/>
      <c r="I3467" s="208"/>
    </row>
    <row r="3468">
      <c r="B3468" s="168"/>
      <c r="D3468" s="76"/>
      <c r="E3468" s="208"/>
      <c r="F3468" s="168"/>
      <c r="G3468" s="209"/>
      <c r="H3468" s="168"/>
      <c r="I3468" s="208"/>
    </row>
    <row r="3469">
      <c r="B3469" s="168"/>
      <c r="D3469" s="76"/>
      <c r="E3469" s="208"/>
      <c r="F3469" s="168"/>
      <c r="G3469" s="209"/>
      <c r="H3469" s="168"/>
      <c r="I3469" s="208"/>
    </row>
    <row r="3470">
      <c r="B3470" s="168"/>
      <c r="D3470" s="76"/>
      <c r="E3470" s="208"/>
      <c r="F3470" s="168"/>
      <c r="G3470" s="209"/>
      <c r="H3470" s="168"/>
      <c r="I3470" s="208"/>
    </row>
    <row r="3471">
      <c r="B3471" s="168"/>
      <c r="D3471" s="76"/>
      <c r="E3471" s="208"/>
      <c r="F3471" s="168"/>
      <c r="G3471" s="209"/>
      <c r="H3471" s="168"/>
      <c r="I3471" s="208"/>
    </row>
    <row r="3472">
      <c r="B3472" s="168"/>
      <c r="D3472" s="76"/>
      <c r="E3472" s="208"/>
      <c r="F3472" s="168"/>
      <c r="G3472" s="209"/>
      <c r="H3472" s="168"/>
      <c r="I3472" s="208"/>
    </row>
    <row r="3473">
      <c r="B3473" s="168"/>
      <c r="D3473" s="76"/>
      <c r="E3473" s="208"/>
      <c r="F3473" s="168"/>
      <c r="G3473" s="209"/>
      <c r="H3473" s="168"/>
      <c r="I3473" s="208"/>
    </row>
    <row r="3474">
      <c r="B3474" s="168"/>
      <c r="D3474" s="76"/>
      <c r="E3474" s="208"/>
      <c r="F3474" s="168"/>
      <c r="G3474" s="209"/>
      <c r="H3474" s="168"/>
      <c r="I3474" s="208"/>
    </row>
    <row r="3475">
      <c r="B3475" s="168"/>
      <c r="D3475" s="76"/>
      <c r="E3475" s="208"/>
      <c r="F3475" s="168"/>
      <c r="G3475" s="209"/>
      <c r="H3475" s="168"/>
      <c r="I3475" s="208"/>
    </row>
    <row r="3476">
      <c r="B3476" s="168"/>
      <c r="D3476" s="76"/>
      <c r="E3476" s="208"/>
      <c r="F3476" s="168"/>
      <c r="G3476" s="209"/>
      <c r="H3476" s="168"/>
      <c r="I3476" s="208"/>
    </row>
    <row r="3477">
      <c r="B3477" s="168"/>
      <c r="D3477" s="76"/>
      <c r="E3477" s="208"/>
      <c r="F3477" s="168"/>
      <c r="G3477" s="209"/>
      <c r="H3477" s="168"/>
      <c r="I3477" s="208"/>
    </row>
    <row r="3478">
      <c r="B3478" s="168"/>
      <c r="D3478" s="76"/>
      <c r="E3478" s="208"/>
      <c r="F3478" s="168"/>
      <c r="G3478" s="209"/>
      <c r="H3478" s="168"/>
      <c r="I3478" s="208"/>
    </row>
    <row r="3479">
      <c r="B3479" s="168"/>
      <c r="D3479" s="76"/>
      <c r="E3479" s="208"/>
      <c r="F3479" s="168"/>
      <c r="G3479" s="209"/>
      <c r="H3479" s="168"/>
      <c r="I3479" s="208"/>
    </row>
    <row r="3480">
      <c r="B3480" s="168"/>
      <c r="D3480" s="76"/>
      <c r="E3480" s="208"/>
      <c r="F3480" s="168"/>
      <c r="G3480" s="209"/>
      <c r="H3480" s="168"/>
      <c r="I3480" s="208"/>
    </row>
    <row r="3481">
      <c r="B3481" s="168"/>
      <c r="D3481" s="76"/>
      <c r="E3481" s="208"/>
      <c r="F3481" s="168"/>
      <c r="G3481" s="209"/>
      <c r="H3481" s="168"/>
      <c r="I3481" s="208"/>
    </row>
    <row r="3482">
      <c r="B3482" s="168"/>
      <c r="D3482" s="76"/>
      <c r="E3482" s="208"/>
      <c r="F3482" s="168"/>
      <c r="G3482" s="209"/>
      <c r="H3482" s="168"/>
      <c r="I3482" s="208"/>
    </row>
    <row r="3483">
      <c r="B3483" s="168"/>
      <c r="D3483" s="76"/>
      <c r="E3483" s="208"/>
      <c r="F3483" s="168"/>
      <c r="G3483" s="209"/>
      <c r="H3483" s="168"/>
      <c r="I3483" s="208"/>
    </row>
    <row r="3484">
      <c r="B3484" s="168"/>
      <c r="D3484" s="76"/>
      <c r="E3484" s="208"/>
      <c r="F3484" s="168"/>
      <c r="G3484" s="209"/>
      <c r="H3484" s="168"/>
      <c r="I3484" s="208"/>
    </row>
    <row r="3485">
      <c r="B3485" s="168"/>
      <c r="D3485" s="76"/>
      <c r="E3485" s="208"/>
      <c r="F3485" s="168"/>
      <c r="G3485" s="209"/>
      <c r="H3485" s="168"/>
      <c r="I3485" s="208"/>
    </row>
    <row r="3486">
      <c r="B3486" s="168"/>
      <c r="D3486" s="76"/>
      <c r="E3486" s="208"/>
      <c r="F3486" s="168"/>
      <c r="G3486" s="209"/>
      <c r="H3486" s="168"/>
      <c r="I3486" s="208"/>
    </row>
    <row r="3487">
      <c r="B3487" s="168"/>
      <c r="D3487" s="76"/>
      <c r="E3487" s="208"/>
      <c r="F3487" s="168"/>
      <c r="G3487" s="209"/>
      <c r="H3487" s="168"/>
      <c r="I3487" s="208"/>
    </row>
    <row r="3488">
      <c r="B3488" s="168"/>
      <c r="D3488" s="76"/>
      <c r="E3488" s="208"/>
      <c r="F3488" s="168"/>
      <c r="G3488" s="209"/>
      <c r="H3488" s="168"/>
      <c r="I3488" s="208"/>
    </row>
    <row r="3489">
      <c r="B3489" s="168"/>
      <c r="D3489" s="76"/>
      <c r="E3489" s="208"/>
      <c r="F3489" s="168"/>
      <c r="G3489" s="209"/>
      <c r="H3489" s="168"/>
      <c r="I3489" s="208"/>
    </row>
    <row r="3490">
      <c r="B3490" s="168"/>
      <c r="D3490" s="76"/>
      <c r="E3490" s="208"/>
      <c r="F3490" s="168"/>
      <c r="G3490" s="209"/>
      <c r="H3490" s="168"/>
      <c r="I3490" s="208"/>
    </row>
    <row r="3491">
      <c r="B3491" s="168"/>
      <c r="D3491" s="76"/>
      <c r="E3491" s="208"/>
      <c r="F3491" s="168"/>
      <c r="G3491" s="209"/>
      <c r="H3491" s="168"/>
      <c r="I3491" s="208"/>
    </row>
    <row r="3492">
      <c r="B3492" s="168"/>
      <c r="D3492" s="76"/>
      <c r="E3492" s="208"/>
      <c r="F3492" s="168"/>
      <c r="G3492" s="209"/>
      <c r="H3492" s="168"/>
      <c r="I3492" s="208"/>
    </row>
    <row r="3493">
      <c r="B3493" s="168"/>
      <c r="D3493" s="76"/>
      <c r="E3493" s="208"/>
      <c r="F3493" s="168"/>
      <c r="G3493" s="209"/>
      <c r="H3493" s="168"/>
      <c r="I3493" s="208"/>
    </row>
    <row r="3494">
      <c r="B3494" s="168"/>
      <c r="D3494" s="76"/>
      <c r="E3494" s="208"/>
      <c r="F3494" s="168"/>
      <c r="G3494" s="209"/>
      <c r="H3494" s="168"/>
      <c r="I3494" s="208"/>
    </row>
    <row r="3495">
      <c r="B3495" s="168"/>
      <c r="D3495" s="76"/>
      <c r="E3495" s="208"/>
      <c r="F3495" s="168"/>
      <c r="G3495" s="209"/>
      <c r="H3495" s="168"/>
      <c r="I3495" s="208"/>
    </row>
    <row r="3496">
      <c r="B3496" s="168"/>
      <c r="D3496" s="76"/>
      <c r="E3496" s="208"/>
      <c r="F3496" s="168"/>
      <c r="G3496" s="209"/>
      <c r="H3496" s="168"/>
      <c r="I3496" s="208"/>
    </row>
    <row r="3497">
      <c r="B3497" s="168"/>
      <c r="D3497" s="76"/>
      <c r="E3497" s="208"/>
      <c r="F3497" s="168"/>
      <c r="G3497" s="209"/>
      <c r="H3497" s="168"/>
      <c r="I3497" s="208"/>
    </row>
    <row r="3498">
      <c r="B3498" s="168"/>
      <c r="D3498" s="76"/>
      <c r="E3498" s="208"/>
      <c r="F3498" s="168"/>
      <c r="G3498" s="209"/>
      <c r="H3498" s="168"/>
      <c r="I3498" s="208"/>
    </row>
    <row r="3499">
      <c r="B3499" s="168"/>
      <c r="D3499" s="76"/>
      <c r="E3499" s="208"/>
      <c r="F3499" s="168"/>
      <c r="G3499" s="209"/>
      <c r="H3499" s="168"/>
      <c r="I3499" s="208"/>
    </row>
    <row r="3500">
      <c r="B3500" s="168"/>
      <c r="D3500" s="76"/>
      <c r="E3500" s="208"/>
      <c r="F3500" s="168"/>
      <c r="G3500" s="209"/>
      <c r="H3500" s="168"/>
      <c r="I3500" s="208"/>
    </row>
    <row r="3501">
      <c r="B3501" s="168"/>
      <c r="D3501" s="76"/>
      <c r="E3501" s="208"/>
      <c r="F3501" s="168"/>
      <c r="G3501" s="209"/>
      <c r="H3501" s="168"/>
      <c r="I3501" s="208"/>
    </row>
    <row r="3502">
      <c r="B3502" s="168"/>
      <c r="D3502" s="76"/>
      <c r="E3502" s="208"/>
      <c r="F3502" s="168"/>
      <c r="G3502" s="209"/>
      <c r="H3502" s="168"/>
      <c r="I3502" s="208"/>
    </row>
    <row r="3503">
      <c r="B3503" s="168"/>
      <c r="D3503" s="76"/>
      <c r="E3503" s="208"/>
      <c r="F3503" s="168"/>
      <c r="G3503" s="209"/>
      <c r="H3503" s="168"/>
      <c r="I3503" s="208"/>
    </row>
    <row r="3504">
      <c r="B3504" s="168"/>
      <c r="D3504" s="76"/>
      <c r="E3504" s="208"/>
      <c r="F3504" s="168"/>
      <c r="G3504" s="209"/>
      <c r="H3504" s="168"/>
      <c r="I3504" s="208"/>
    </row>
    <row r="3505">
      <c r="B3505" s="168"/>
      <c r="D3505" s="76"/>
      <c r="E3505" s="208"/>
      <c r="F3505" s="168"/>
      <c r="G3505" s="209"/>
      <c r="H3505" s="168"/>
      <c r="I3505" s="208"/>
    </row>
    <row r="3506">
      <c r="B3506" s="168"/>
      <c r="D3506" s="76"/>
      <c r="E3506" s="208"/>
      <c r="F3506" s="168"/>
      <c r="G3506" s="209"/>
      <c r="H3506" s="168"/>
      <c r="I3506" s="208"/>
    </row>
    <row r="3507">
      <c r="B3507" s="168"/>
      <c r="D3507" s="76"/>
      <c r="E3507" s="208"/>
      <c r="F3507" s="168"/>
      <c r="G3507" s="209"/>
      <c r="H3507" s="168"/>
      <c r="I3507" s="208"/>
    </row>
    <row r="3508">
      <c r="B3508" s="168"/>
      <c r="D3508" s="76"/>
      <c r="E3508" s="208"/>
      <c r="F3508" s="168"/>
      <c r="G3508" s="209"/>
      <c r="H3508" s="168"/>
      <c r="I3508" s="208"/>
    </row>
    <row r="3509">
      <c r="B3509" s="168"/>
      <c r="D3509" s="76"/>
      <c r="E3509" s="208"/>
      <c r="F3509" s="168"/>
      <c r="G3509" s="209"/>
      <c r="H3509" s="168"/>
      <c r="I3509" s="208"/>
    </row>
    <row r="3510">
      <c r="B3510" s="168"/>
      <c r="D3510" s="76"/>
      <c r="E3510" s="208"/>
      <c r="F3510" s="168"/>
      <c r="G3510" s="209"/>
      <c r="H3510" s="168"/>
      <c r="I3510" s="208"/>
    </row>
    <row r="3511">
      <c r="B3511" s="168"/>
      <c r="D3511" s="76"/>
      <c r="E3511" s="208"/>
      <c r="F3511" s="168"/>
      <c r="G3511" s="209"/>
      <c r="H3511" s="168"/>
      <c r="I3511" s="208"/>
    </row>
    <row r="3512">
      <c r="B3512" s="168"/>
      <c r="D3512" s="76"/>
      <c r="E3512" s="208"/>
      <c r="F3512" s="168"/>
      <c r="G3512" s="209"/>
      <c r="H3512" s="168"/>
      <c r="I3512" s="208"/>
    </row>
    <row r="3513">
      <c r="B3513" s="168"/>
      <c r="D3513" s="76"/>
      <c r="E3513" s="208"/>
      <c r="F3513" s="168"/>
      <c r="G3513" s="209"/>
      <c r="H3513" s="168"/>
      <c r="I3513" s="208"/>
    </row>
    <row r="3514">
      <c r="B3514" s="168"/>
      <c r="D3514" s="76"/>
      <c r="E3514" s="208"/>
      <c r="F3514" s="168"/>
      <c r="G3514" s="209"/>
      <c r="H3514" s="168"/>
      <c r="I3514" s="208"/>
    </row>
    <row r="3515">
      <c r="B3515" s="168"/>
      <c r="D3515" s="76"/>
      <c r="E3515" s="208"/>
      <c r="F3515" s="168"/>
      <c r="G3515" s="209"/>
      <c r="H3515" s="168"/>
      <c r="I3515" s="208"/>
    </row>
    <row r="3516">
      <c r="B3516" s="168"/>
      <c r="D3516" s="76"/>
      <c r="E3516" s="208"/>
      <c r="F3516" s="168"/>
      <c r="G3516" s="209"/>
      <c r="H3516" s="168"/>
      <c r="I3516" s="208"/>
    </row>
    <row r="3517">
      <c r="B3517" s="168"/>
      <c r="D3517" s="76"/>
      <c r="E3517" s="208"/>
      <c r="F3517" s="168"/>
      <c r="G3517" s="209"/>
      <c r="H3517" s="168"/>
      <c r="I3517" s="208"/>
    </row>
    <row r="3518">
      <c r="B3518" s="168"/>
      <c r="D3518" s="76"/>
      <c r="E3518" s="208"/>
      <c r="F3518" s="168"/>
      <c r="G3518" s="209"/>
      <c r="H3518" s="168"/>
      <c r="I3518" s="208"/>
    </row>
    <row r="3519">
      <c r="B3519" s="168"/>
      <c r="D3519" s="76"/>
      <c r="E3519" s="208"/>
      <c r="F3519" s="168"/>
      <c r="G3519" s="209"/>
      <c r="H3519" s="168"/>
      <c r="I3519" s="208"/>
    </row>
    <row r="3520">
      <c r="B3520" s="168"/>
      <c r="D3520" s="76"/>
      <c r="E3520" s="208"/>
      <c r="F3520" s="168"/>
      <c r="G3520" s="209"/>
      <c r="H3520" s="168"/>
      <c r="I3520" s="208"/>
    </row>
    <row r="3521">
      <c r="B3521" s="168"/>
      <c r="D3521" s="76"/>
      <c r="E3521" s="208"/>
      <c r="F3521" s="168"/>
      <c r="G3521" s="209"/>
      <c r="H3521" s="168"/>
      <c r="I3521" s="208"/>
    </row>
    <row r="3522">
      <c r="B3522" s="168"/>
      <c r="D3522" s="76"/>
      <c r="E3522" s="208"/>
      <c r="F3522" s="168"/>
      <c r="G3522" s="209"/>
      <c r="H3522" s="168"/>
      <c r="I3522" s="208"/>
    </row>
    <row r="3523">
      <c r="B3523" s="168"/>
      <c r="D3523" s="76"/>
      <c r="E3523" s="208"/>
      <c r="F3523" s="168"/>
      <c r="G3523" s="209"/>
      <c r="H3523" s="168"/>
      <c r="I3523" s="208"/>
    </row>
    <row r="3524">
      <c r="B3524" s="168"/>
      <c r="D3524" s="76"/>
      <c r="E3524" s="208"/>
      <c r="F3524" s="168"/>
      <c r="G3524" s="209"/>
      <c r="H3524" s="168"/>
      <c r="I3524" s="208"/>
    </row>
    <row r="3525">
      <c r="B3525" s="168"/>
      <c r="D3525" s="76"/>
      <c r="E3525" s="208"/>
      <c r="F3525" s="168"/>
      <c r="G3525" s="209"/>
      <c r="H3525" s="168"/>
      <c r="I3525" s="208"/>
    </row>
    <row r="3526">
      <c r="B3526" s="168"/>
      <c r="D3526" s="76"/>
      <c r="E3526" s="208"/>
      <c r="F3526" s="168"/>
      <c r="G3526" s="209"/>
      <c r="H3526" s="168"/>
      <c r="I3526" s="208"/>
    </row>
    <row r="3527">
      <c r="B3527" s="168"/>
      <c r="D3527" s="76"/>
      <c r="E3527" s="208"/>
      <c r="F3527" s="168"/>
      <c r="G3527" s="209"/>
      <c r="H3527" s="168"/>
      <c r="I3527" s="208"/>
    </row>
    <row r="3528">
      <c r="B3528" s="168"/>
      <c r="D3528" s="76"/>
      <c r="E3528" s="208"/>
      <c r="F3528" s="168"/>
      <c r="G3528" s="209"/>
      <c r="H3528" s="168"/>
      <c r="I3528" s="208"/>
    </row>
    <row r="3529">
      <c r="B3529" s="168"/>
      <c r="D3529" s="76"/>
      <c r="E3529" s="208"/>
      <c r="F3529" s="168"/>
      <c r="G3529" s="209"/>
      <c r="H3529" s="168"/>
      <c r="I3529" s="208"/>
    </row>
    <row r="3530">
      <c r="B3530" s="168"/>
      <c r="D3530" s="76"/>
      <c r="E3530" s="208"/>
      <c r="F3530" s="168"/>
      <c r="G3530" s="209"/>
      <c r="H3530" s="168"/>
      <c r="I3530" s="208"/>
    </row>
    <row r="3531">
      <c r="B3531" s="168"/>
      <c r="D3531" s="76"/>
      <c r="E3531" s="208"/>
      <c r="F3531" s="168"/>
      <c r="G3531" s="209"/>
      <c r="H3531" s="168"/>
      <c r="I3531" s="208"/>
    </row>
    <row r="3532">
      <c r="B3532" s="168"/>
      <c r="D3532" s="76"/>
      <c r="E3532" s="208"/>
      <c r="F3532" s="168"/>
      <c r="G3532" s="209"/>
      <c r="H3532" s="168"/>
      <c r="I3532" s="208"/>
    </row>
    <row r="3533">
      <c r="B3533" s="168"/>
      <c r="D3533" s="76"/>
      <c r="E3533" s="208"/>
      <c r="F3533" s="168"/>
      <c r="G3533" s="209"/>
      <c r="H3533" s="168"/>
      <c r="I3533" s="208"/>
    </row>
    <row r="3534">
      <c r="B3534" s="168"/>
      <c r="D3534" s="76"/>
      <c r="E3534" s="208"/>
      <c r="F3534" s="168"/>
      <c r="G3534" s="209"/>
      <c r="H3534" s="168"/>
      <c r="I3534" s="208"/>
    </row>
    <row r="3535">
      <c r="B3535" s="168"/>
      <c r="D3535" s="76"/>
      <c r="E3535" s="208"/>
      <c r="F3535" s="168"/>
      <c r="G3535" s="209"/>
      <c r="H3535" s="168"/>
      <c r="I3535" s="208"/>
    </row>
    <row r="3536">
      <c r="B3536" s="168"/>
      <c r="D3536" s="76"/>
      <c r="E3536" s="208"/>
      <c r="F3536" s="168"/>
      <c r="G3536" s="209"/>
      <c r="H3536" s="168"/>
      <c r="I3536" s="208"/>
    </row>
    <row r="3537">
      <c r="B3537" s="168"/>
      <c r="D3537" s="76"/>
      <c r="E3537" s="208"/>
      <c r="F3537" s="168"/>
      <c r="G3537" s="209"/>
      <c r="H3537" s="168"/>
      <c r="I3537" s="208"/>
    </row>
    <row r="3538">
      <c r="B3538" s="168"/>
      <c r="D3538" s="76"/>
      <c r="E3538" s="208"/>
      <c r="F3538" s="168"/>
      <c r="G3538" s="209"/>
      <c r="H3538" s="168"/>
      <c r="I3538" s="208"/>
    </row>
    <row r="3539">
      <c r="B3539" s="168"/>
      <c r="D3539" s="76"/>
      <c r="E3539" s="208"/>
      <c r="F3539" s="168"/>
      <c r="G3539" s="209"/>
      <c r="H3539" s="168"/>
      <c r="I3539" s="208"/>
    </row>
    <row r="3540">
      <c r="B3540" s="168"/>
      <c r="D3540" s="76"/>
      <c r="E3540" s="208"/>
      <c r="F3540" s="168"/>
      <c r="G3540" s="209"/>
      <c r="H3540" s="168"/>
      <c r="I3540" s="208"/>
    </row>
    <row r="3541">
      <c r="B3541" s="168"/>
      <c r="D3541" s="76"/>
      <c r="E3541" s="208"/>
      <c r="F3541" s="168"/>
      <c r="G3541" s="209"/>
      <c r="H3541" s="168"/>
      <c r="I3541" s="208"/>
    </row>
    <row r="3542">
      <c r="B3542" s="168"/>
      <c r="D3542" s="76"/>
      <c r="E3542" s="208"/>
      <c r="F3542" s="168"/>
      <c r="G3542" s="209"/>
      <c r="H3542" s="168"/>
      <c r="I3542" s="208"/>
    </row>
    <row r="3543">
      <c r="B3543" s="168"/>
      <c r="D3543" s="76"/>
      <c r="E3543" s="208"/>
      <c r="F3543" s="168"/>
      <c r="G3543" s="209"/>
      <c r="H3543" s="168"/>
      <c r="I3543" s="208"/>
    </row>
    <row r="3544">
      <c r="B3544" s="168"/>
      <c r="D3544" s="76"/>
      <c r="E3544" s="208"/>
      <c r="F3544" s="168"/>
      <c r="G3544" s="209"/>
      <c r="H3544" s="168"/>
      <c r="I3544" s="208"/>
    </row>
    <row r="3545">
      <c r="B3545" s="168"/>
      <c r="D3545" s="76"/>
      <c r="E3545" s="208"/>
      <c r="F3545" s="168"/>
      <c r="G3545" s="209"/>
      <c r="H3545" s="168"/>
      <c r="I3545" s="208"/>
    </row>
    <row r="3546">
      <c r="B3546" s="168"/>
      <c r="D3546" s="76"/>
      <c r="E3546" s="208"/>
      <c r="F3546" s="168"/>
      <c r="G3546" s="209"/>
      <c r="H3546" s="168"/>
      <c r="I3546" s="208"/>
    </row>
    <row r="3547">
      <c r="B3547" s="168"/>
      <c r="D3547" s="76"/>
      <c r="E3547" s="208"/>
      <c r="F3547" s="168"/>
      <c r="G3547" s="209"/>
      <c r="H3547" s="168"/>
      <c r="I3547" s="208"/>
    </row>
    <row r="3548">
      <c r="B3548" s="168"/>
      <c r="D3548" s="76"/>
      <c r="E3548" s="208"/>
      <c r="F3548" s="168"/>
      <c r="G3548" s="209"/>
      <c r="H3548" s="168"/>
      <c r="I3548" s="208"/>
    </row>
    <row r="3549">
      <c r="B3549" s="168"/>
      <c r="D3549" s="76"/>
      <c r="E3549" s="208"/>
      <c r="F3549" s="168"/>
      <c r="G3549" s="209"/>
      <c r="H3549" s="168"/>
      <c r="I3549" s="208"/>
    </row>
    <row r="3550">
      <c r="B3550" s="168"/>
      <c r="D3550" s="76"/>
      <c r="E3550" s="208"/>
      <c r="F3550" s="168"/>
      <c r="G3550" s="209"/>
      <c r="H3550" s="168"/>
      <c r="I3550" s="208"/>
    </row>
    <row r="3551">
      <c r="B3551" s="168"/>
      <c r="D3551" s="76"/>
      <c r="E3551" s="208"/>
      <c r="F3551" s="168"/>
      <c r="G3551" s="209"/>
      <c r="H3551" s="168"/>
      <c r="I3551" s="208"/>
    </row>
    <row r="3552">
      <c r="B3552" s="168"/>
      <c r="D3552" s="76"/>
      <c r="E3552" s="208"/>
      <c r="F3552" s="168"/>
      <c r="G3552" s="209"/>
      <c r="H3552" s="168"/>
      <c r="I3552" s="208"/>
    </row>
    <row r="3553">
      <c r="B3553" s="168"/>
      <c r="D3553" s="76"/>
      <c r="E3553" s="208"/>
      <c r="F3553" s="168"/>
      <c r="G3553" s="209"/>
      <c r="H3553" s="168"/>
      <c r="I3553" s="208"/>
    </row>
    <row r="3554">
      <c r="B3554" s="168"/>
      <c r="D3554" s="76"/>
      <c r="E3554" s="208"/>
      <c r="F3554" s="168"/>
      <c r="G3554" s="209"/>
      <c r="H3554" s="168"/>
      <c r="I3554" s="208"/>
    </row>
    <row r="3555">
      <c r="B3555" s="168"/>
      <c r="D3555" s="76"/>
      <c r="E3555" s="208"/>
      <c r="F3555" s="168"/>
      <c r="G3555" s="209"/>
      <c r="H3555" s="168"/>
      <c r="I3555" s="208"/>
    </row>
    <row r="3556">
      <c r="B3556" s="168"/>
      <c r="D3556" s="76"/>
      <c r="E3556" s="208"/>
      <c r="F3556" s="168"/>
      <c r="G3556" s="209"/>
      <c r="H3556" s="168"/>
      <c r="I3556" s="208"/>
    </row>
    <row r="3557">
      <c r="B3557" s="168"/>
      <c r="D3557" s="76"/>
      <c r="E3557" s="208"/>
      <c r="F3557" s="168"/>
      <c r="G3557" s="209"/>
      <c r="H3557" s="168"/>
      <c r="I3557" s="208"/>
    </row>
    <row r="3558">
      <c r="B3558" s="168"/>
      <c r="D3558" s="76"/>
      <c r="E3558" s="208"/>
      <c r="F3558" s="168"/>
      <c r="G3558" s="209"/>
      <c r="H3558" s="168"/>
      <c r="I3558" s="208"/>
    </row>
    <row r="3559">
      <c r="B3559" s="168"/>
      <c r="D3559" s="76"/>
      <c r="E3559" s="208"/>
      <c r="F3559" s="168"/>
      <c r="G3559" s="209"/>
      <c r="H3559" s="168"/>
      <c r="I3559" s="208"/>
    </row>
    <row r="3560">
      <c r="B3560" s="168"/>
      <c r="D3560" s="76"/>
      <c r="E3560" s="208"/>
      <c r="F3560" s="168"/>
      <c r="G3560" s="209"/>
      <c r="H3560" s="168"/>
      <c r="I3560" s="208"/>
    </row>
    <row r="3561">
      <c r="B3561" s="168"/>
      <c r="D3561" s="76"/>
      <c r="E3561" s="208"/>
      <c r="F3561" s="168"/>
      <c r="G3561" s="209"/>
      <c r="H3561" s="168"/>
      <c r="I3561" s="208"/>
    </row>
    <row r="3562">
      <c r="B3562" s="168"/>
      <c r="D3562" s="76"/>
      <c r="E3562" s="208"/>
      <c r="F3562" s="168"/>
      <c r="G3562" s="209"/>
      <c r="H3562" s="168"/>
      <c r="I3562" s="208"/>
    </row>
    <row r="3563">
      <c r="B3563" s="168"/>
      <c r="D3563" s="76"/>
      <c r="E3563" s="208"/>
      <c r="F3563" s="168"/>
      <c r="G3563" s="209"/>
      <c r="H3563" s="168"/>
      <c r="I3563" s="208"/>
    </row>
    <row r="3564">
      <c r="B3564" s="168"/>
      <c r="D3564" s="76"/>
      <c r="E3564" s="208"/>
      <c r="F3564" s="168"/>
      <c r="G3564" s="209"/>
      <c r="H3564" s="168"/>
      <c r="I3564" s="208"/>
    </row>
    <row r="3565">
      <c r="B3565" s="168"/>
      <c r="D3565" s="76"/>
      <c r="E3565" s="208"/>
      <c r="F3565" s="168"/>
      <c r="G3565" s="209"/>
      <c r="H3565" s="168"/>
      <c r="I3565" s="208"/>
    </row>
    <row r="3566">
      <c r="B3566" s="168"/>
      <c r="D3566" s="76"/>
      <c r="E3566" s="208"/>
      <c r="F3566" s="168"/>
      <c r="G3566" s="209"/>
      <c r="H3566" s="168"/>
      <c r="I3566" s="208"/>
    </row>
    <row r="3567">
      <c r="B3567" s="168"/>
      <c r="D3567" s="76"/>
      <c r="E3567" s="208"/>
      <c r="F3567" s="168"/>
      <c r="G3567" s="209"/>
      <c r="H3567" s="168"/>
      <c r="I3567" s="208"/>
    </row>
    <row r="3568">
      <c r="B3568" s="168"/>
      <c r="D3568" s="76"/>
      <c r="E3568" s="208"/>
      <c r="F3568" s="168"/>
      <c r="G3568" s="209"/>
      <c r="H3568" s="168"/>
      <c r="I3568" s="208"/>
    </row>
    <row r="3569">
      <c r="B3569" s="168"/>
      <c r="D3569" s="76"/>
      <c r="E3569" s="208"/>
      <c r="F3569" s="168"/>
      <c r="G3569" s="209"/>
      <c r="H3569" s="168"/>
      <c r="I3569" s="208"/>
    </row>
    <row r="3570">
      <c r="B3570" s="168"/>
      <c r="D3570" s="76"/>
      <c r="E3570" s="208"/>
      <c r="F3570" s="168"/>
      <c r="G3570" s="209"/>
      <c r="H3570" s="168"/>
      <c r="I3570" s="208"/>
    </row>
    <row r="3571">
      <c r="B3571" s="168"/>
      <c r="D3571" s="76"/>
      <c r="E3571" s="208"/>
      <c r="F3571" s="168"/>
      <c r="G3571" s="209"/>
      <c r="H3571" s="168"/>
      <c r="I3571" s="208"/>
    </row>
    <row r="3572">
      <c r="B3572" s="168"/>
      <c r="D3572" s="76"/>
      <c r="E3572" s="208"/>
      <c r="F3572" s="168"/>
      <c r="G3572" s="209"/>
      <c r="H3572" s="168"/>
      <c r="I3572" s="208"/>
    </row>
    <row r="3573">
      <c r="B3573" s="168"/>
      <c r="D3573" s="76"/>
      <c r="E3573" s="208"/>
      <c r="F3573" s="168"/>
      <c r="G3573" s="209"/>
      <c r="H3573" s="168"/>
      <c r="I3573" s="208"/>
    </row>
    <row r="3574">
      <c r="B3574" s="168"/>
      <c r="D3574" s="76"/>
      <c r="E3574" s="208"/>
      <c r="F3574" s="168"/>
      <c r="G3574" s="209"/>
      <c r="H3574" s="168"/>
      <c r="I3574" s="208"/>
    </row>
    <row r="3575">
      <c r="B3575" s="168"/>
      <c r="D3575" s="76"/>
      <c r="E3575" s="208"/>
      <c r="F3575" s="168"/>
      <c r="G3575" s="209"/>
      <c r="H3575" s="168"/>
      <c r="I3575" s="208"/>
    </row>
    <row r="3576">
      <c r="B3576" s="168"/>
      <c r="D3576" s="76"/>
      <c r="E3576" s="208"/>
      <c r="F3576" s="168"/>
      <c r="G3576" s="209"/>
      <c r="H3576" s="168"/>
      <c r="I3576" s="208"/>
    </row>
    <row r="3577">
      <c r="B3577" s="168"/>
      <c r="D3577" s="76"/>
      <c r="E3577" s="208"/>
      <c r="F3577" s="168"/>
      <c r="G3577" s="209"/>
      <c r="H3577" s="168"/>
      <c r="I3577" s="208"/>
    </row>
    <row r="3578">
      <c r="B3578" s="168"/>
      <c r="D3578" s="76"/>
      <c r="E3578" s="208"/>
      <c r="F3578" s="168"/>
      <c r="G3578" s="209"/>
      <c r="H3578" s="168"/>
      <c r="I3578" s="208"/>
    </row>
    <row r="3579">
      <c r="B3579" s="168"/>
      <c r="D3579" s="76"/>
      <c r="E3579" s="208"/>
      <c r="F3579" s="168"/>
      <c r="G3579" s="209"/>
      <c r="H3579" s="168"/>
      <c r="I3579" s="208"/>
    </row>
    <row r="3580">
      <c r="B3580" s="168"/>
      <c r="D3580" s="76"/>
      <c r="E3580" s="208"/>
      <c r="F3580" s="168"/>
      <c r="G3580" s="209"/>
      <c r="H3580" s="168"/>
      <c r="I3580" s="208"/>
    </row>
    <row r="3581">
      <c r="B3581" s="168"/>
      <c r="D3581" s="76"/>
      <c r="E3581" s="208"/>
      <c r="F3581" s="168"/>
      <c r="G3581" s="209"/>
      <c r="H3581" s="168"/>
      <c r="I3581" s="208"/>
    </row>
    <row r="3582">
      <c r="B3582" s="168"/>
      <c r="D3582" s="76"/>
      <c r="E3582" s="208"/>
      <c r="F3582" s="168"/>
      <c r="G3582" s="209"/>
      <c r="H3582" s="168"/>
      <c r="I3582" s="208"/>
    </row>
    <row r="3583">
      <c r="B3583" s="168"/>
      <c r="D3583" s="76"/>
      <c r="E3583" s="208"/>
      <c r="F3583" s="168"/>
      <c r="G3583" s="209"/>
      <c r="H3583" s="168"/>
      <c r="I3583" s="208"/>
    </row>
    <row r="3584">
      <c r="B3584" s="168"/>
      <c r="D3584" s="76"/>
      <c r="E3584" s="208"/>
      <c r="F3584" s="168"/>
      <c r="G3584" s="209"/>
      <c r="H3584" s="168"/>
      <c r="I3584" s="208"/>
    </row>
    <row r="3585">
      <c r="B3585" s="168"/>
      <c r="D3585" s="76"/>
      <c r="E3585" s="208"/>
      <c r="F3585" s="168"/>
      <c r="G3585" s="209"/>
      <c r="H3585" s="168"/>
      <c r="I3585" s="208"/>
    </row>
    <row r="3586">
      <c r="B3586" s="168"/>
      <c r="D3586" s="76"/>
      <c r="E3586" s="208"/>
      <c r="F3586" s="168"/>
      <c r="G3586" s="209"/>
      <c r="H3586" s="168"/>
      <c r="I3586" s="208"/>
    </row>
    <row r="3587">
      <c r="B3587" s="168"/>
      <c r="D3587" s="76"/>
      <c r="E3587" s="208"/>
      <c r="F3587" s="168"/>
      <c r="G3587" s="209"/>
      <c r="H3587" s="168"/>
      <c r="I3587" s="208"/>
    </row>
    <row r="3588">
      <c r="B3588" s="168"/>
      <c r="D3588" s="76"/>
      <c r="E3588" s="208"/>
      <c r="F3588" s="168"/>
      <c r="G3588" s="209"/>
      <c r="H3588" s="168"/>
      <c r="I3588" s="208"/>
    </row>
    <row r="3589">
      <c r="B3589" s="168"/>
      <c r="D3589" s="76"/>
      <c r="E3589" s="208"/>
      <c r="F3589" s="168"/>
      <c r="G3589" s="209"/>
      <c r="H3589" s="168"/>
      <c r="I3589" s="208"/>
    </row>
    <row r="3590">
      <c r="B3590" s="168"/>
      <c r="D3590" s="76"/>
      <c r="E3590" s="208"/>
      <c r="F3590" s="168"/>
      <c r="G3590" s="209"/>
      <c r="H3590" s="168"/>
      <c r="I3590" s="208"/>
    </row>
    <row r="3591">
      <c r="B3591" s="168"/>
      <c r="D3591" s="76"/>
      <c r="E3591" s="208"/>
      <c r="F3591" s="168"/>
      <c r="G3591" s="209"/>
      <c r="H3591" s="168"/>
      <c r="I3591" s="208"/>
    </row>
    <row r="3592">
      <c r="B3592" s="168"/>
      <c r="D3592" s="76"/>
      <c r="E3592" s="208"/>
      <c r="F3592" s="168"/>
      <c r="G3592" s="209"/>
      <c r="H3592" s="168"/>
      <c r="I3592" s="208"/>
    </row>
    <row r="3593">
      <c r="B3593" s="168"/>
      <c r="D3593" s="76"/>
      <c r="E3593" s="208"/>
      <c r="F3593" s="168"/>
      <c r="G3593" s="209"/>
      <c r="H3593" s="168"/>
      <c r="I3593" s="208"/>
    </row>
    <row r="3594">
      <c r="B3594" s="168"/>
      <c r="D3594" s="76"/>
      <c r="E3594" s="208"/>
      <c r="F3594" s="168"/>
      <c r="G3594" s="209"/>
      <c r="H3594" s="168"/>
      <c r="I3594" s="208"/>
    </row>
    <row r="3595">
      <c r="B3595" s="168"/>
      <c r="D3595" s="76"/>
      <c r="E3595" s="208"/>
      <c r="F3595" s="168"/>
      <c r="G3595" s="209"/>
      <c r="H3595" s="168"/>
      <c r="I3595" s="208"/>
    </row>
    <row r="3596">
      <c r="B3596" s="168"/>
      <c r="D3596" s="76"/>
      <c r="E3596" s="208"/>
      <c r="F3596" s="168"/>
      <c r="G3596" s="209"/>
      <c r="H3596" s="168"/>
      <c r="I3596" s="208"/>
    </row>
    <row r="3597">
      <c r="B3597" s="168"/>
      <c r="D3597" s="76"/>
      <c r="E3597" s="208"/>
      <c r="F3597" s="168"/>
      <c r="G3597" s="209"/>
      <c r="H3597" s="168"/>
      <c r="I3597" s="208"/>
    </row>
    <row r="3598">
      <c r="B3598" s="168"/>
      <c r="D3598" s="76"/>
      <c r="E3598" s="208"/>
      <c r="F3598" s="168"/>
      <c r="G3598" s="209"/>
      <c r="H3598" s="168"/>
      <c r="I3598" s="208"/>
    </row>
    <row r="3599">
      <c r="B3599" s="168"/>
      <c r="D3599" s="76"/>
      <c r="E3599" s="208"/>
      <c r="F3599" s="168"/>
      <c r="G3599" s="209"/>
      <c r="H3599" s="168"/>
      <c r="I3599" s="208"/>
    </row>
    <row r="3600">
      <c r="B3600" s="168"/>
      <c r="D3600" s="76"/>
      <c r="E3600" s="208"/>
      <c r="F3600" s="168"/>
      <c r="G3600" s="209"/>
      <c r="H3600" s="168"/>
      <c r="I3600" s="208"/>
    </row>
    <row r="3601">
      <c r="B3601" s="168"/>
      <c r="D3601" s="76"/>
      <c r="E3601" s="208"/>
      <c r="F3601" s="168"/>
      <c r="G3601" s="209"/>
      <c r="H3601" s="168"/>
      <c r="I3601" s="208"/>
    </row>
    <row r="3602">
      <c r="B3602" s="168"/>
      <c r="D3602" s="76"/>
      <c r="E3602" s="208"/>
      <c r="F3602" s="168"/>
      <c r="G3602" s="209"/>
      <c r="H3602" s="168"/>
      <c r="I3602" s="208"/>
    </row>
    <row r="3603">
      <c r="B3603" s="168"/>
      <c r="D3603" s="76"/>
      <c r="E3603" s="208"/>
      <c r="F3603" s="168"/>
      <c r="G3603" s="209"/>
      <c r="H3603" s="168"/>
      <c r="I3603" s="208"/>
    </row>
    <row r="3604">
      <c r="B3604" s="168"/>
      <c r="D3604" s="76"/>
      <c r="E3604" s="208"/>
      <c r="F3604" s="168"/>
      <c r="G3604" s="209"/>
      <c r="H3604" s="168"/>
      <c r="I3604" s="208"/>
    </row>
    <row r="3605">
      <c r="B3605" s="168"/>
      <c r="D3605" s="76"/>
      <c r="E3605" s="208"/>
      <c r="F3605" s="168"/>
      <c r="G3605" s="209"/>
      <c r="H3605" s="168"/>
      <c r="I3605" s="208"/>
    </row>
    <row r="3606">
      <c r="B3606" s="168"/>
      <c r="D3606" s="76"/>
      <c r="E3606" s="208"/>
      <c r="F3606" s="168"/>
      <c r="G3606" s="209"/>
      <c r="H3606" s="168"/>
      <c r="I3606" s="208"/>
    </row>
    <row r="3607">
      <c r="B3607" s="168"/>
      <c r="D3607" s="76"/>
      <c r="E3607" s="208"/>
      <c r="F3607" s="168"/>
      <c r="G3607" s="209"/>
      <c r="H3607" s="168"/>
      <c r="I3607" s="208"/>
    </row>
    <row r="3608">
      <c r="B3608" s="168"/>
      <c r="D3608" s="76"/>
      <c r="E3608" s="208"/>
      <c r="F3608" s="168"/>
      <c r="G3608" s="209"/>
      <c r="H3608" s="168"/>
      <c r="I3608" s="208"/>
    </row>
    <row r="3609">
      <c r="B3609" s="168"/>
      <c r="D3609" s="76"/>
      <c r="E3609" s="208"/>
      <c r="F3609" s="168"/>
      <c r="G3609" s="209"/>
      <c r="H3609" s="168"/>
      <c r="I3609" s="208"/>
    </row>
    <row r="3610">
      <c r="B3610" s="168"/>
      <c r="D3610" s="76"/>
      <c r="E3610" s="208"/>
      <c r="F3610" s="168"/>
      <c r="G3610" s="209"/>
      <c r="H3610" s="168"/>
      <c r="I3610" s="208"/>
    </row>
    <row r="3611">
      <c r="B3611" s="168"/>
      <c r="D3611" s="76"/>
      <c r="E3611" s="208"/>
      <c r="F3611" s="168"/>
      <c r="G3611" s="209"/>
      <c r="H3611" s="168"/>
      <c r="I3611" s="208"/>
    </row>
    <row r="3612">
      <c r="B3612" s="168"/>
      <c r="D3612" s="76"/>
      <c r="E3612" s="208"/>
      <c r="F3612" s="168"/>
      <c r="G3612" s="209"/>
      <c r="H3612" s="168"/>
      <c r="I3612" s="208"/>
    </row>
    <row r="3613">
      <c r="B3613" s="168"/>
      <c r="D3613" s="76"/>
      <c r="E3613" s="208"/>
      <c r="F3613" s="168"/>
      <c r="G3613" s="209"/>
      <c r="H3613" s="168"/>
      <c r="I3613" s="208"/>
    </row>
    <row r="3614">
      <c r="B3614" s="168"/>
      <c r="D3614" s="76"/>
      <c r="E3614" s="208"/>
      <c r="F3614" s="168"/>
      <c r="G3614" s="209"/>
      <c r="H3614" s="168"/>
      <c r="I3614" s="208"/>
    </row>
    <row r="3615">
      <c r="B3615" s="168"/>
      <c r="D3615" s="76"/>
      <c r="E3615" s="208"/>
      <c r="F3615" s="168"/>
      <c r="G3615" s="209"/>
      <c r="H3615" s="168"/>
      <c r="I3615" s="208"/>
    </row>
    <row r="3616">
      <c r="B3616" s="168"/>
      <c r="D3616" s="76"/>
      <c r="E3616" s="208"/>
      <c r="F3616" s="168"/>
      <c r="G3616" s="209"/>
      <c r="H3616" s="168"/>
      <c r="I3616" s="208"/>
    </row>
    <row r="3617">
      <c r="B3617" s="168"/>
      <c r="D3617" s="76"/>
      <c r="E3617" s="208"/>
      <c r="F3617" s="168"/>
      <c r="G3617" s="209"/>
      <c r="H3617" s="168"/>
      <c r="I3617" s="208"/>
    </row>
    <row r="3618">
      <c r="B3618" s="168"/>
      <c r="D3618" s="76"/>
      <c r="E3618" s="208"/>
      <c r="F3618" s="168"/>
      <c r="G3618" s="209"/>
      <c r="H3618" s="168"/>
      <c r="I3618" s="208"/>
    </row>
    <row r="3619">
      <c r="B3619" s="168"/>
      <c r="D3619" s="76"/>
      <c r="E3619" s="208"/>
      <c r="F3619" s="168"/>
      <c r="G3619" s="209"/>
      <c r="H3619" s="168"/>
      <c r="I3619" s="208"/>
    </row>
    <row r="3620">
      <c r="B3620" s="168"/>
      <c r="D3620" s="76"/>
      <c r="E3620" s="208"/>
      <c r="F3620" s="168"/>
      <c r="G3620" s="209"/>
      <c r="H3620" s="168"/>
      <c r="I3620" s="208"/>
    </row>
    <row r="3621">
      <c r="B3621" s="168"/>
      <c r="D3621" s="76"/>
      <c r="E3621" s="208"/>
      <c r="F3621" s="168"/>
      <c r="G3621" s="209"/>
      <c r="H3621" s="168"/>
      <c r="I3621" s="208"/>
    </row>
    <row r="3622">
      <c r="B3622" s="168"/>
      <c r="D3622" s="76"/>
      <c r="E3622" s="208"/>
      <c r="F3622" s="168"/>
      <c r="G3622" s="209"/>
      <c r="H3622" s="168"/>
      <c r="I3622" s="208"/>
    </row>
    <row r="3623">
      <c r="B3623" s="168"/>
      <c r="D3623" s="76"/>
      <c r="E3623" s="208"/>
      <c r="F3623" s="168"/>
      <c r="G3623" s="209"/>
      <c r="H3623" s="168"/>
      <c r="I3623" s="208"/>
    </row>
    <row r="3624">
      <c r="B3624" s="168"/>
      <c r="D3624" s="76"/>
      <c r="E3624" s="208"/>
      <c r="F3624" s="168"/>
      <c r="G3624" s="209"/>
      <c r="H3624" s="168"/>
      <c r="I3624" s="208"/>
    </row>
    <row r="3625">
      <c r="B3625" s="168"/>
      <c r="D3625" s="76"/>
      <c r="E3625" s="208"/>
      <c r="F3625" s="168"/>
      <c r="G3625" s="209"/>
      <c r="H3625" s="168"/>
      <c r="I3625" s="208"/>
    </row>
    <row r="3626">
      <c r="B3626" s="168"/>
      <c r="D3626" s="76"/>
      <c r="E3626" s="208"/>
      <c r="F3626" s="168"/>
      <c r="G3626" s="209"/>
      <c r="H3626" s="168"/>
      <c r="I3626" s="208"/>
    </row>
    <row r="3627">
      <c r="B3627" s="168"/>
      <c r="D3627" s="76"/>
      <c r="E3627" s="208"/>
      <c r="F3627" s="168"/>
      <c r="G3627" s="209"/>
      <c r="H3627" s="168"/>
      <c r="I3627" s="208"/>
    </row>
    <row r="3628">
      <c r="B3628" s="168"/>
      <c r="D3628" s="76"/>
      <c r="E3628" s="208"/>
      <c r="F3628" s="168"/>
      <c r="G3628" s="209"/>
      <c r="H3628" s="168"/>
      <c r="I3628" s="208"/>
    </row>
    <row r="3629">
      <c r="B3629" s="168"/>
      <c r="D3629" s="76"/>
      <c r="E3629" s="208"/>
      <c r="F3629" s="168"/>
      <c r="G3629" s="209"/>
      <c r="H3629" s="168"/>
      <c r="I3629" s="208"/>
    </row>
    <row r="3630">
      <c r="B3630" s="168"/>
      <c r="D3630" s="76"/>
      <c r="E3630" s="208"/>
      <c r="F3630" s="168"/>
      <c r="G3630" s="209"/>
      <c r="H3630" s="168"/>
      <c r="I3630" s="208"/>
    </row>
    <row r="3631">
      <c r="B3631" s="168"/>
      <c r="D3631" s="76"/>
      <c r="E3631" s="208"/>
      <c r="F3631" s="168"/>
      <c r="G3631" s="209"/>
      <c r="H3631" s="168"/>
      <c r="I3631" s="208"/>
    </row>
    <row r="3632">
      <c r="B3632" s="168"/>
      <c r="D3632" s="76"/>
      <c r="E3632" s="208"/>
      <c r="F3632" s="168"/>
      <c r="G3632" s="209"/>
      <c r="H3632" s="168"/>
      <c r="I3632" s="208"/>
    </row>
    <row r="3633">
      <c r="B3633" s="168"/>
      <c r="D3633" s="76"/>
      <c r="E3633" s="208"/>
      <c r="F3633" s="168"/>
      <c r="G3633" s="209"/>
      <c r="H3633" s="168"/>
      <c r="I3633" s="208"/>
    </row>
    <row r="3634">
      <c r="B3634" s="168"/>
      <c r="D3634" s="76"/>
      <c r="E3634" s="208"/>
      <c r="F3634" s="168"/>
      <c r="G3634" s="209"/>
      <c r="H3634" s="168"/>
      <c r="I3634" s="208"/>
    </row>
    <row r="3635">
      <c r="B3635" s="168"/>
      <c r="D3635" s="76"/>
      <c r="E3635" s="208"/>
      <c r="F3635" s="168"/>
      <c r="G3635" s="209"/>
      <c r="H3635" s="168"/>
      <c r="I3635" s="208"/>
    </row>
    <row r="3636">
      <c r="B3636" s="168"/>
      <c r="D3636" s="76"/>
      <c r="E3636" s="208"/>
      <c r="F3636" s="168"/>
      <c r="G3636" s="209"/>
      <c r="H3636" s="168"/>
      <c r="I3636" s="208"/>
    </row>
    <row r="3637">
      <c r="B3637" s="168"/>
      <c r="D3637" s="76"/>
      <c r="E3637" s="208"/>
      <c r="F3637" s="168"/>
      <c r="G3637" s="209"/>
      <c r="H3637" s="168"/>
      <c r="I3637" s="208"/>
    </row>
    <row r="3638">
      <c r="B3638" s="168"/>
      <c r="D3638" s="76"/>
      <c r="E3638" s="208"/>
      <c r="F3638" s="168"/>
      <c r="G3638" s="209"/>
      <c r="H3638" s="168"/>
      <c r="I3638" s="208"/>
    </row>
    <row r="3639">
      <c r="B3639" s="168"/>
      <c r="D3639" s="76"/>
      <c r="E3639" s="208"/>
      <c r="F3639" s="168"/>
      <c r="G3639" s="209"/>
      <c r="H3639" s="168"/>
      <c r="I3639" s="208"/>
    </row>
    <row r="3640">
      <c r="B3640" s="168"/>
      <c r="D3640" s="76"/>
      <c r="E3640" s="208"/>
      <c r="F3640" s="168"/>
      <c r="G3640" s="209"/>
      <c r="H3640" s="168"/>
      <c r="I3640" s="208"/>
    </row>
    <row r="3641">
      <c r="B3641" s="168"/>
      <c r="D3641" s="76"/>
      <c r="E3641" s="208"/>
      <c r="F3641" s="168"/>
      <c r="G3641" s="209"/>
      <c r="H3641" s="168"/>
      <c r="I3641" s="208"/>
    </row>
    <row r="3642">
      <c r="B3642" s="168"/>
      <c r="D3642" s="76"/>
      <c r="E3642" s="208"/>
      <c r="F3642" s="168"/>
      <c r="G3642" s="209"/>
      <c r="H3642" s="168"/>
      <c r="I3642" s="208"/>
    </row>
    <row r="3643">
      <c r="B3643" s="168"/>
      <c r="D3643" s="76"/>
      <c r="E3643" s="208"/>
      <c r="F3643" s="168"/>
      <c r="G3643" s="209"/>
      <c r="H3643" s="168"/>
      <c r="I3643" s="208"/>
    </row>
    <row r="3644">
      <c r="B3644" s="168"/>
      <c r="D3644" s="76"/>
      <c r="E3644" s="208"/>
      <c r="F3644" s="168"/>
      <c r="G3644" s="209"/>
      <c r="H3644" s="168"/>
      <c r="I3644" s="208"/>
    </row>
    <row r="3645">
      <c r="B3645" s="168"/>
      <c r="D3645" s="76"/>
      <c r="E3645" s="208"/>
      <c r="F3645" s="168"/>
      <c r="G3645" s="209"/>
      <c r="H3645" s="168"/>
      <c r="I3645" s="208"/>
    </row>
    <row r="3646">
      <c r="B3646" s="168"/>
      <c r="D3646" s="76"/>
      <c r="E3646" s="208"/>
      <c r="F3646" s="168"/>
      <c r="G3646" s="209"/>
      <c r="H3646" s="168"/>
      <c r="I3646" s="208"/>
    </row>
    <row r="3647">
      <c r="B3647" s="168"/>
      <c r="D3647" s="76"/>
      <c r="E3647" s="208"/>
      <c r="F3647" s="168"/>
      <c r="G3647" s="209"/>
      <c r="H3647" s="168"/>
      <c r="I3647" s="208"/>
    </row>
    <row r="3648">
      <c r="B3648" s="168"/>
      <c r="D3648" s="76"/>
      <c r="E3648" s="208"/>
      <c r="F3648" s="168"/>
      <c r="G3648" s="209"/>
      <c r="H3648" s="168"/>
      <c r="I3648" s="208"/>
    </row>
    <row r="3649">
      <c r="B3649" s="168"/>
      <c r="D3649" s="76"/>
      <c r="E3649" s="208"/>
      <c r="F3649" s="168"/>
      <c r="G3649" s="209"/>
      <c r="H3649" s="168"/>
      <c r="I3649" s="208"/>
    </row>
    <row r="3650">
      <c r="B3650" s="168"/>
      <c r="D3650" s="76"/>
      <c r="E3650" s="208"/>
      <c r="F3650" s="168"/>
      <c r="G3650" s="209"/>
      <c r="H3650" s="168"/>
      <c r="I3650" s="208"/>
    </row>
    <row r="3651">
      <c r="B3651" s="168"/>
      <c r="D3651" s="76"/>
      <c r="E3651" s="208"/>
      <c r="F3651" s="168"/>
      <c r="G3651" s="209"/>
      <c r="H3651" s="168"/>
      <c r="I3651" s="208"/>
    </row>
    <row r="3652">
      <c r="B3652" s="168"/>
      <c r="D3652" s="76"/>
      <c r="E3652" s="208"/>
      <c r="F3652" s="168"/>
      <c r="G3652" s="209"/>
      <c r="H3652" s="168"/>
      <c r="I3652" s="208"/>
    </row>
    <row r="3653">
      <c r="B3653" s="168"/>
      <c r="D3653" s="76"/>
      <c r="E3653" s="208"/>
      <c r="F3653" s="168"/>
      <c r="G3653" s="209"/>
      <c r="H3653" s="168"/>
      <c r="I3653" s="208"/>
    </row>
    <row r="3654">
      <c r="B3654" s="168"/>
      <c r="D3654" s="76"/>
      <c r="E3654" s="208"/>
      <c r="F3654" s="168"/>
      <c r="G3654" s="209"/>
      <c r="H3654" s="168"/>
      <c r="I3654" s="208"/>
    </row>
    <row r="3655">
      <c r="B3655" s="168"/>
      <c r="D3655" s="76"/>
      <c r="E3655" s="208"/>
      <c r="F3655" s="168"/>
      <c r="G3655" s="209"/>
      <c r="H3655" s="168"/>
      <c r="I3655" s="208"/>
    </row>
    <row r="3656">
      <c r="B3656" s="168"/>
      <c r="D3656" s="76"/>
      <c r="E3656" s="208"/>
      <c r="F3656" s="168"/>
      <c r="G3656" s="209"/>
      <c r="H3656" s="168"/>
      <c r="I3656" s="208"/>
    </row>
    <row r="3657">
      <c r="B3657" s="168"/>
      <c r="D3657" s="76"/>
      <c r="E3657" s="208"/>
      <c r="F3657" s="168"/>
      <c r="G3657" s="209"/>
      <c r="H3657" s="168"/>
      <c r="I3657" s="208"/>
    </row>
    <row r="3658">
      <c r="B3658" s="168"/>
      <c r="D3658" s="76"/>
      <c r="E3658" s="208"/>
      <c r="F3658" s="168"/>
      <c r="G3658" s="209"/>
      <c r="H3658" s="168"/>
      <c r="I3658" s="208"/>
    </row>
    <row r="3659">
      <c r="B3659" s="168"/>
      <c r="D3659" s="76"/>
      <c r="E3659" s="208"/>
      <c r="F3659" s="168"/>
      <c r="G3659" s="209"/>
      <c r="H3659" s="168"/>
      <c r="I3659" s="208"/>
    </row>
    <row r="3660">
      <c r="B3660" s="168"/>
      <c r="D3660" s="76"/>
      <c r="E3660" s="208"/>
      <c r="F3660" s="168"/>
      <c r="G3660" s="209"/>
      <c r="H3660" s="168"/>
      <c r="I3660" s="208"/>
    </row>
    <row r="3661">
      <c r="B3661" s="168"/>
      <c r="D3661" s="76"/>
      <c r="E3661" s="208"/>
      <c r="F3661" s="168"/>
      <c r="G3661" s="209"/>
      <c r="H3661" s="168"/>
      <c r="I3661" s="208"/>
    </row>
    <row r="3662">
      <c r="B3662" s="168"/>
      <c r="D3662" s="76"/>
      <c r="E3662" s="208"/>
      <c r="F3662" s="168"/>
      <c r="G3662" s="209"/>
      <c r="H3662" s="168"/>
      <c r="I3662" s="208"/>
    </row>
    <row r="3663">
      <c r="B3663" s="168"/>
      <c r="D3663" s="76"/>
      <c r="E3663" s="208"/>
      <c r="F3663" s="168"/>
      <c r="G3663" s="209"/>
      <c r="H3663" s="168"/>
      <c r="I3663" s="208"/>
    </row>
    <row r="3664">
      <c r="B3664" s="168"/>
      <c r="D3664" s="76"/>
      <c r="E3664" s="208"/>
      <c r="F3664" s="168"/>
      <c r="G3664" s="209"/>
      <c r="H3664" s="168"/>
      <c r="I3664" s="208"/>
    </row>
    <row r="3665">
      <c r="B3665" s="168"/>
      <c r="D3665" s="76"/>
      <c r="E3665" s="208"/>
      <c r="F3665" s="168"/>
      <c r="G3665" s="209"/>
      <c r="H3665" s="168"/>
      <c r="I3665" s="208"/>
    </row>
    <row r="3666">
      <c r="B3666" s="168"/>
      <c r="D3666" s="76"/>
      <c r="E3666" s="208"/>
      <c r="F3666" s="168"/>
      <c r="G3666" s="209"/>
      <c r="H3666" s="168"/>
      <c r="I3666" s="208"/>
    </row>
    <row r="3667">
      <c r="B3667" s="168"/>
      <c r="D3667" s="76"/>
      <c r="E3667" s="208"/>
      <c r="F3667" s="168"/>
      <c r="G3667" s="209"/>
      <c r="H3667" s="168"/>
      <c r="I3667" s="208"/>
    </row>
    <row r="3668">
      <c r="B3668" s="168"/>
      <c r="D3668" s="76"/>
      <c r="E3668" s="208"/>
      <c r="F3668" s="168"/>
      <c r="G3668" s="209"/>
      <c r="H3668" s="168"/>
      <c r="I3668" s="208"/>
    </row>
    <row r="3669">
      <c r="B3669" s="168"/>
      <c r="D3669" s="76"/>
      <c r="E3669" s="208"/>
      <c r="F3669" s="168"/>
      <c r="G3669" s="209"/>
      <c r="H3669" s="168"/>
      <c r="I3669" s="208"/>
    </row>
    <row r="3670">
      <c r="B3670" s="168"/>
      <c r="D3670" s="76"/>
      <c r="E3670" s="208"/>
      <c r="F3670" s="168"/>
      <c r="G3670" s="209"/>
      <c r="H3670" s="168"/>
      <c r="I3670" s="208"/>
    </row>
    <row r="3671">
      <c r="B3671" s="168"/>
      <c r="D3671" s="76"/>
      <c r="E3671" s="208"/>
      <c r="F3671" s="168"/>
      <c r="G3671" s="209"/>
      <c r="H3671" s="168"/>
      <c r="I3671" s="208"/>
    </row>
    <row r="3672">
      <c r="B3672" s="168"/>
      <c r="D3672" s="76"/>
      <c r="E3672" s="208"/>
      <c r="F3672" s="168"/>
      <c r="G3672" s="209"/>
      <c r="H3672" s="168"/>
      <c r="I3672" s="208"/>
    </row>
    <row r="3673">
      <c r="B3673" s="168"/>
      <c r="D3673" s="76"/>
      <c r="E3673" s="208"/>
      <c r="F3673" s="168"/>
      <c r="G3673" s="209"/>
      <c r="H3673" s="168"/>
      <c r="I3673" s="208"/>
    </row>
    <row r="3674">
      <c r="B3674" s="168"/>
      <c r="D3674" s="76"/>
      <c r="E3674" s="208"/>
      <c r="F3674" s="168"/>
      <c r="G3674" s="209"/>
      <c r="H3674" s="168"/>
      <c r="I3674" s="208"/>
    </row>
    <row r="3675">
      <c r="B3675" s="168"/>
      <c r="D3675" s="76"/>
      <c r="E3675" s="208"/>
      <c r="F3675" s="168"/>
      <c r="G3675" s="209"/>
      <c r="H3675" s="168"/>
      <c r="I3675" s="208"/>
    </row>
    <row r="3676">
      <c r="B3676" s="168"/>
      <c r="D3676" s="76"/>
      <c r="E3676" s="208"/>
      <c r="F3676" s="168"/>
      <c r="G3676" s="209"/>
      <c r="H3676" s="168"/>
      <c r="I3676" s="208"/>
    </row>
    <row r="3677">
      <c r="B3677" s="168"/>
      <c r="D3677" s="76"/>
      <c r="E3677" s="208"/>
      <c r="F3677" s="168"/>
      <c r="G3677" s="209"/>
      <c r="H3677" s="168"/>
      <c r="I3677" s="208"/>
    </row>
    <row r="3678">
      <c r="B3678" s="168"/>
      <c r="D3678" s="76"/>
      <c r="E3678" s="208"/>
      <c r="F3678" s="168"/>
      <c r="G3678" s="209"/>
      <c r="H3678" s="168"/>
      <c r="I3678" s="208"/>
    </row>
    <row r="3679">
      <c r="B3679" s="168"/>
      <c r="D3679" s="76"/>
      <c r="E3679" s="208"/>
      <c r="F3679" s="168"/>
      <c r="G3679" s="209"/>
      <c r="H3679" s="168"/>
      <c r="I3679" s="208"/>
    </row>
    <row r="3680">
      <c r="B3680" s="168"/>
      <c r="D3680" s="76"/>
      <c r="E3680" s="208"/>
      <c r="F3680" s="168"/>
      <c r="G3680" s="209"/>
      <c r="H3680" s="168"/>
      <c r="I3680" s="208"/>
    </row>
    <row r="3681">
      <c r="B3681" s="168"/>
      <c r="D3681" s="76"/>
      <c r="E3681" s="208"/>
      <c r="F3681" s="168"/>
      <c r="G3681" s="209"/>
      <c r="H3681" s="168"/>
      <c r="I3681" s="208"/>
    </row>
    <row r="3682">
      <c r="B3682" s="168"/>
      <c r="D3682" s="76"/>
      <c r="E3682" s="208"/>
      <c r="F3682" s="168"/>
      <c r="G3682" s="209"/>
      <c r="H3682" s="168"/>
      <c r="I3682" s="208"/>
    </row>
    <row r="3683">
      <c r="B3683" s="168"/>
      <c r="D3683" s="76"/>
      <c r="E3683" s="208"/>
      <c r="F3683" s="168"/>
      <c r="G3683" s="209"/>
      <c r="H3683" s="168"/>
      <c r="I3683" s="208"/>
    </row>
    <row r="3684">
      <c r="B3684" s="168"/>
      <c r="D3684" s="76"/>
      <c r="E3684" s="208"/>
      <c r="F3684" s="168"/>
      <c r="G3684" s="209"/>
      <c r="H3684" s="168"/>
      <c r="I3684" s="208"/>
    </row>
    <row r="3685">
      <c r="B3685" s="168"/>
      <c r="D3685" s="76"/>
      <c r="E3685" s="208"/>
      <c r="F3685" s="168"/>
      <c r="G3685" s="209"/>
      <c r="H3685" s="168"/>
      <c r="I3685" s="208"/>
    </row>
    <row r="3686">
      <c r="B3686" s="168"/>
      <c r="D3686" s="76"/>
      <c r="E3686" s="208"/>
      <c r="F3686" s="168"/>
      <c r="G3686" s="209"/>
      <c r="H3686" s="168"/>
      <c r="I3686" s="208"/>
    </row>
    <row r="3687">
      <c r="B3687" s="168"/>
      <c r="D3687" s="76"/>
      <c r="E3687" s="208"/>
      <c r="F3687" s="168"/>
      <c r="G3687" s="209"/>
      <c r="H3687" s="168"/>
      <c r="I3687" s="208"/>
    </row>
    <row r="3688">
      <c r="B3688" s="168"/>
      <c r="D3688" s="76"/>
      <c r="E3688" s="208"/>
      <c r="F3688" s="168"/>
      <c r="G3688" s="209"/>
      <c r="H3688" s="168"/>
      <c r="I3688" s="208"/>
    </row>
    <row r="3689">
      <c r="B3689" s="168"/>
      <c r="D3689" s="76"/>
      <c r="E3689" s="208"/>
      <c r="F3689" s="168"/>
      <c r="G3689" s="209"/>
      <c r="H3689" s="168"/>
      <c r="I3689" s="208"/>
    </row>
    <row r="3690">
      <c r="B3690" s="168"/>
      <c r="D3690" s="76"/>
      <c r="E3690" s="208"/>
      <c r="F3690" s="168"/>
      <c r="G3690" s="209"/>
      <c r="H3690" s="168"/>
      <c r="I3690" s="208"/>
    </row>
    <row r="3691">
      <c r="B3691" s="168"/>
      <c r="D3691" s="76"/>
      <c r="E3691" s="208"/>
      <c r="F3691" s="168"/>
      <c r="G3691" s="209"/>
      <c r="H3691" s="168"/>
      <c r="I3691" s="208"/>
    </row>
    <row r="3692">
      <c r="B3692" s="168"/>
      <c r="D3692" s="76"/>
      <c r="E3692" s="208"/>
      <c r="F3692" s="168"/>
      <c r="G3692" s="209"/>
      <c r="H3692" s="168"/>
      <c r="I3692" s="208"/>
    </row>
    <row r="3693">
      <c r="B3693" s="168"/>
      <c r="D3693" s="76"/>
      <c r="E3693" s="208"/>
      <c r="F3693" s="168"/>
      <c r="G3693" s="209"/>
      <c r="H3693" s="168"/>
      <c r="I3693" s="208"/>
    </row>
    <row r="3694">
      <c r="B3694" s="168"/>
      <c r="D3694" s="76"/>
      <c r="E3694" s="208"/>
      <c r="F3694" s="168"/>
      <c r="G3694" s="209"/>
      <c r="H3694" s="168"/>
      <c r="I3694" s="208"/>
    </row>
    <row r="3695">
      <c r="B3695" s="168"/>
      <c r="D3695" s="76"/>
      <c r="E3695" s="208"/>
      <c r="F3695" s="168"/>
      <c r="G3695" s="209"/>
      <c r="H3695" s="168"/>
      <c r="I3695" s="208"/>
    </row>
    <row r="3696">
      <c r="B3696" s="168"/>
      <c r="D3696" s="76"/>
      <c r="E3696" s="208"/>
      <c r="F3696" s="168"/>
      <c r="G3696" s="209"/>
      <c r="H3696" s="168"/>
      <c r="I3696" s="208"/>
    </row>
    <row r="3697">
      <c r="B3697" s="168"/>
      <c r="D3697" s="76"/>
      <c r="E3697" s="208"/>
      <c r="F3697" s="168"/>
      <c r="G3697" s="209"/>
      <c r="H3697" s="168"/>
      <c r="I3697" s="208"/>
    </row>
    <row r="3698">
      <c r="B3698" s="168"/>
      <c r="D3698" s="76"/>
      <c r="E3698" s="208"/>
      <c r="F3698" s="168"/>
      <c r="G3698" s="209"/>
      <c r="H3698" s="168"/>
      <c r="I3698" s="208"/>
    </row>
    <row r="3699">
      <c r="B3699" s="168"/>
      <c r="D3699" s="76"/>
      <c r="E3699" s="208"/>
      <c r="F3699" s="168"/>
      <c r="G3699" s="209"/>
      <c r="H3699" s="168"/>
      <c r="I3699" s="208"/>
    </row>
    <row r="3700">
      <c r="B3700" s="168"/>
      <c r="D3700" s="76"/>
      <c r="E3700" s="208"/>
      <c r="F3700" s="168"/>
      <c r="G3700" s="209"/>
      <c r="H3700" s="168"/>
      <c r="I3700" s="208"/>
    </row>
    <row r="3701">
      <c r="B3701" s="168"/>
      <c r="D3701" s="76"/>
      <c r="E3701" s="208"/>
      <c r="F3701" s="168"/>
      <c r="G3701" s="209"/>
      <c r="H3701" s="168"/>
      <c r="I3701" s="208"/>
    </row>
    <row r="3702">
      <c r="B3702" s="168"/>
      <c r="D3702" s="76"/>
      <c r="E3702" s="208"/>
      <c r="F3702" s="168"/>
      <c r="G3702" s="209"/>
      <c r="H3702" s="168"/>
      <c r="I3702" s="208"/>
    </row>
    <row r="3703">
      <c r="B3703" s="168"/>
      <c r="D3703" s="76"/>
      <c r="E3703" s="208"/>
      <c r="F3703" s="168"/>
      <c r="G3703" s="209"/>
      <c r="H3703" s="168"/>
      <c r="I3703" s="208"/>
    </row>
    <row r="3704">
      <c r="B3704" s="168"/>
      <c r="D3704" s="76"/>
      <c r="E3704" s="208"/>
      <c r="F3704" s="168"/>
      <c r="G3704" s="209"/>
      <c r="H3704" s="168"/>
      <c r="I3704" s="208"/>
    </row>
    <row r="3705">
      <c r="B3705" s="168"/>
      <c r="D3705" s="76"/>
      <c r="E3705" s="208"/>
      <c r="F3705" s="168"/>
      <c r="G3705" s="209"/>
      <c r="H3705" s="168"/>
      <c r="I3705" s="208"/>
    </row>
    <row r="3706">
      <c r="B3706" s="168"/>
      <c r="D3706" s="76"/>
      <c r="E3706" s="208"/>
      <c r="F3706" s="168"/>
      <c r="G3706" s="209"/>
      <c r="H3706" s="168"/>
      <c r="I3706" s="208"/>
    </row>
    <row r="3707">
      <c r="B3707" s="168"/>
      <c r="D3707" s="76"/>
      <c r="E3707" s="208"/>
      <c r="F3707" s="168"/>
      <c r="G3707" s="209"/>
      <c r="H3707" s="168"/>
      <c r="I3707" s="208"/>
    </row>
    <row r="3708">
      <c r="B3708" s="168"/>
      <c r="D3708" s="76"/>
      <c r="E3708" s="208"/>
      <c r="F3708" s="168"/>
      <c r="G3708" s="209"/>
      <c r="H3708" s="168"/>
      <c r="I3708" s="208"/>
    </row>
    <row r="3709">
      <c r="B3709" s="168"/>
      <c r="D3709" s="76"/>
      <c r="E3709" s="208"/>
      <c r="F3709" s="168"/>
      <c r="G3709" s="209"/>
      <c r="H3709" s="168"/>
      <c r="I3709" s="208"/>
    </row>
    <row r="3710">
      <c r="B3710" s="168"/>
      <c r="D3710" s="76"/>
      <c r="E3710" s="208"/>
      <c r="F3710" s="168"/>
      <c r="G3710" s="209"/>
      <c r="H3710" s="168"/>
      <c r="I3710" s="208"/>
    </row>
    <row r="3711">
      <c r="B3711" s="168"/>
      <c r="D3711" s="76"/>
      <c r="E3711" s="208"/>
      <c r="F3711" s="168"/>
      <c r="G3711" s="209"/>
      <c r="H3711" s="168"/>
      <c r="I3711" s="208"/>
    </row>
    <row r="3712">
      <c r="B3712" s="168"/>
      <c r="D3712" s="76"/>
      <c r="E3712" s="208"/>
      <c r="F3712" s="168"/>
      <c r="G3712" s="209"/>
      <c r="H3712" s="168"/>
      <c r="I3712" s="208"/>
    </row>
    <row r="3713">
      <c r="B3713" s="168"/>
      <c r="D3713" s="76"/>
      <c r="E3713" s="208"/>
      <c r="F3713" s="168"/>
      <c r="G3713" s="209"/>
      <c r="H3713" s="168"/>
      <c r="I3713" s="208"/>
    </row>
    <row r="3714">
      <c r="B3714" s="168"/>
      <c r="D3714" s="76"/>
      <c r="E3714" s="208"/>
      <c r="F3714" s="168"/>
      <c r="G3714" s="209"/>
      <c r="H3714" s="168"/>
      <c r="I3714" s="208"/>
    </row>
    <row r="3715">
      <c r="B3715" s="168"/>
      <c r="D3715" s="76"/>
      <c r="E3715" s="208"/>
      <c r="F3715" s="168"/>
      <c r="G3715" s="209"/>
      <c r="H3715" s="168"/>
      <c r="I3715" s="208"/>
    </row>
    <row r="3716">
      <c r="B3716" s="168"/>
      <c r="D3716" s="76"/>
      <c r="E3716" s="208"/>
      <c r="F3716" s="168"/>
      <c r="G3716" s="209"/>
      <c r="H3716" s="168"/>
      <c r="I3716" s="208"/>
    </row>
    <row r="3717">
      <c r="B3717" s="168"/>
      <c r="D3717" s="76"/>
      <c r="E3717" s="208"/>
      <c r="F3717" s="168"/>
      <c r="G3717" s="209"/>
      <c r="H3717" s="168"/>
      <c r="I3717" s="208"/>
    </row>
    <row r="3718">
      <c r="B3718" s="168"/>
      <c r="D3718" s="76"/>
      <c r="E3718" s="208"/>
      <c r="F3718" s="168"/>
      <c r="G3718" s="209"/>
      <c r="H3718" s="168"/>
      <c r="I3718" s="208"/>
    </row>
    <row r="3719">
      <c r="B3719" s="168"/>
      <c r="D3719" s="76"/>
      <c r="E3719" s="208"/>
      <c r="F3719" s="168"/>
      <c r="G3719" s="209"/>
      <c r="H3719" s="168"/>
      <c r="I3719" s="208"/>
    </row>
    <row r="3720">
      <c r="B3720" s="168"/>
      <c r="D3720" s="76"/>
      <c r="E3720" s="208"/>
      <c r="F3720" s="168"/>
      <c r="G3720" s="209"/>
      <c r="H3720" s="168"/>
      <c r="I3720" s="208"/>
    </row>
    <row r="3721">
      <c r="B3721" s="168"/>
      <c r="D3721" s="76"/>
      <c r="E3721" s="208"/>
      <c r="F3721" s="168"/>
      <c r="G3721" s="209"/>
      <c r="H3721" s="168"/>
      <c r="I3721" s="208"/>
    </row>
    <row r="3722">
      <c r="B3722" s="168"/>
      <c r="D3722" s="76"/>
      <c r="E3722" s="208"/>
      <c r="F3722" s="168"/>
      <c r="G3722" s="209"/>
      <c r="H3722" s="168"/>
      <c r="I3722" s="208"/>
    </row>
    <row r="3723">
      <c r="B3723" s="168"/>
      <c r="D3723" s="76"/>
      <c r="E3723" s="208"/>
      <c r="F3723" s="168"/>
      <c r="G3723" s="209"/>
      <c r="H3723" s="168"/>
      <c r="I3723" s="208"/>
    </row>
    <row r="3724">
      <c r="B3724" s="168"/>
      <c r="D3724" s="76"/>
      <c r="E3724" s="208"/>
      <c r="F3724" s="168"/>
      <c r="G3724" s="209"/>
      <c r="H3724" s="168"/>
      <c r="I3724" s="208"/>
    </row>
    <row r="3725">
      <c r="B3725" s="168"/>
      <c r="D3725" s="76"/>
      <c r="E3725" s="208"/>
      <c r="F3725" s="168"/>
      <c r="G3725" s="209"/>
      <c r="H3725" s="168"/>
      <c r="I3725" s="208"/>
    </row>
    <row r="3726">
      <c r="B3726" s="168"/>
      <c r="D3726" s="76"/>
      <c r="E3726" s="208"/>
      <c r="F3726" s="168"/>
      <c r="G3726" s="209"/>
      <c r="H3726" s="168"/>
      <c r="I3726" s="208"/>
    </row>
    <row r="3727">
      <c r="B3727" s="168"/>
      <c r="D3727" s="76"/>
      <c r="E3727" s="208"/>
      <c r="F3727" s="168"/>
      <c r="G3727" s="209"/>
      <c r="H3727" s="168"/>
      <c r="I3727" s="208"/>
    </row>
    <row r="3728">
      <c r="B3728" s="168"/>
      <c r="D3728" s="76"/>
      <c r="E3728" s="208"/>
      <c r="F3728" s="168"/>
      <c r="G3728" s="209"/>
      <c r="H3728" s="168"/>
      <c r="I3728" s="208"/>
    </row>
    <row r="3729">
      <c r="B3729" s="168"/>
      <c r="D3729" s="76"/>
      <c r="E3729" s="208"/>
      <c r="F3729" s="168"/>
      <c r="G3729" s="209"/>
      <c r="H3729" s="168"/>
      <c r="I3729" s="208"/>
    </row>
    <row r="3730">
      <c r="B3730" s="168"/>
      <c r="D3730" s="76"/>
      <c r="E3730" s="208"/>
      <c r="F3730" s="168"/>
      <c r="G3730" s="209"/>
      <c r="H3730" s="168"/>
      <c r="I3730" s="208"/>
    </row>
    <row r="3731">
      <c r="B3731" s="168"/>
      <c r="D3731" s="76"/>
      <c r="E3731" s="208"/>
      <c r="F3731" s="168"/>
      <c r="G3731" s="209"/>
      <c r="H3731" s="168"/>
      <c r="I3731" s="208"/>
    </row>
    <row r="3732">
      <c r="B3732" s="168"/>
      <c r="D3732" s="76"/>
      <c r="E3732" s="208"/>
      <c r="F3732" s="168"/>
      <c r="G3732" s="209"/>
      <c r="H3732" s="168"/>
      <c r="I3732" s="208"/>
    </row>
    <row r="3733">
      <c r="B3733" s="168"/>
      <c r="D3733" s="76"/>
      <c r="E3733" s="208"/>
      <c r="F3733" s="168"/>
      <c r="G3733" s="209"/>
      <c r="H3733" s="168"/>
      <c r="I3733" s="208"/>
    </row>
    <row r="3734">
      <c r="B3734" s="168"/>
      <c r="D3734" s="76"/>
      <c r="E3734" s="208"/>
      <c r="F3734" s="168"/>
      <c r="G3734" s="209"/>
      <c r="H3734" s="168"/>
      <c r="I3734" s="208"/>
    </row>
    <row r="3735">
      <c r="B3735" s="168"/>
      <c r="D3735" s="76"/>
      <c r="E3735" s="208"/>
      <c r="F3735" s="168"/>
      <c r="G3735" s="209"/>
      <c r="H3735" s="168"/>
      <c r="I3735" s="208"/>
    </row>
    <row r="3736">
      <c r="B3736" s="168"/>
      <c r="D3736" s="76"/>
      <c r="E3736" s="208"/>
      <c r="F3736" s="168"/>
      <c r="G3736" s="209"/>
      <c r="H3736" s="168"/>
      <c r="I3736" s="208"/>
    </row>
    <row r="3737">
      <c r="B3737" s="168"/>
      <c r="D3737" s="76"/>
      <c r="E3737" s="208"/>
      <c r="F3737" s="168"/>
      <c r="G3737" s="209"/>
      <c r="H3737" s="168"/>
      <c r="I3737" s="208"/>
    </row>
    <row r="3738">
      <c r="B3738" s="168"/>
      <c r="D3738" s="76"/>
      <c r="E3738" s="208"/>
      <c r="F3738" s="168"/>
      <c r="G3738" s="209"/>
      <c r="H3738" s="168"/>
      <c r="I3738" s="208"/>
    </row>
    <row r="3739">
      <c r="B3739" s="168"/>
      <c r="D3739" s="76"/>
      <c r="E3739" s="208"/>
      <c r="F3739" s="168"/>
      <c r="G3739" s="209"/>
      <c r="H3739" s="168"/>
      <c r="I3739" s="208"/>
    </row>
    <row r="3740">
      <c r="B3740" s="168"/>
      <c r="D3740" s="76"/>
      <c r="E3740" s="208"/>
      <c r="F3740" s="168"/>
      <c r="G3740" s="209"/>
      <c r="H3740" s="168"/>
      <c r="I3740" s="208"/>
    </row>
    <row r="3741">
      <c r="B3741" s="168"/>
      <c r="D3741" s="76"/>
      <c r="E3741" s="208"/>
      <c r="F3741" s="168"/>
      <c r="G3741" s="209"/>
      <c r="H3741" s="168"/>
      <c r="I3741" s="208"/>
    </row>
    <row r="3742">
      <c r="B3742" s="168"/>
      <c r="D3742" s="76"/>
      <c r="E3742" s="208"/>
      <c r="F3742" s="168"/>
      <c r="G3742" s="209"/>
      <c r="H3742" s="168"/>
      <c r="I3742" s="208"/>
    </row>
    <row r="3743">
      <c r="B3743" s="168"/>
      <c r="D3743" s="76"/>
      <c r="E3743" s="208"/>
      <c r="F3743" s="168"/>
      <c r="G3743" s="209"/>
      <c r="H3743" s="168"/>
      <c r="I3743" s="208"/>
    </row>
    <row r="3744">
      <c r="B3744" s="168"/>
      <c r="D3744" s="76"/>
      <c r="E3744" s="208"/>
      <c r="F3744" s="168"/>
      <c r="G3744" s="209"/>
      <c r="H3744" s="168"/>
      <c r="I3744" s="208"/>
    </row>
    <row r="3745">
      <c r="B3745" s="168"/>
      <c r="D3745" s="76"/>
      <c r="E3745" s="208"/>
      <c r="F3745" s="168"/>
      <c r="G3745" s="209"/>
      <c r="H3745" s="168"/>
      <c r="I3745" s="208"/>
    </row>
    <row r="3746">
      <c r="B3746" s="168"/>
      <c r="D3746" s="76"/>
      <c r="E3746" s="208"/>
      <c r="F3746" s="168"/>
      <c r="G3746" s="209"/>
      <c r="H3746" s="168"/>
      <c r="I3746" s="208"/>
    </row>
    <row r="3747">
      <c r="B3747" s="168"/>
      <c r="D3747" s="76"/>
      <c r="E3747" s="208"/>
      <c r="F3747" s="168"/>
      <c r="G3747" s="209"/>
      <c r="H3747" s="168"/>
      <c r="I3747" s="208"/>
    </row>
    <row r="3748">
      <c r="B3748" s="168"/>
      <c r="D3748" s="76"/>
      <c r="E3748" s="208"/>
      <c r="F3748" s="168"/>
      <c r="G3748" s="209"/>
      <c r="H3748" s="168"/>
      <c r="I3748" s="208"/>
    </row>
    <row r="3749">
      <c r="B3749" s="168"/>
      <c r="D3749" s="76"/>
      <c r="E3749" s="208"/>
      <c r="F3749" s="168"/>
      <c r="G3749" s="209"/>
      <c r="H3749" s="168"/>
      <c r="I3749" s="208"/>
    </row>
    <row r="3750">
      <c r="B3750" s="168"/>
      <c r="D3750" s="76"/>
      <c r="E3750" s="208"/>
      <c r="F3750" s="168"/>
      <c r="G3750" s="209"/>
      <c r="H3750" s="168"/>
      <c r="I3750" s="208"/>
    </row>
    <row r="3751">
      <c r="B3751" s="168"/>
      <c r="D3751" s="76"/>
      <c r="E3751" s="208"/>
      <c r="F3751" s="168"/>
      <c r="G3751" s="209"/>
      <c r="H3751" s="168"/>
      <c r="I3751" s="208"/>
    </row>
    <row r="3752">
      <c r="B3752" s="168"/>
      <c r="D3752" s="76"/>
      <c r="E3752" s="208"/>
      <c r="F3752" s="168"/>
      <c r="G3752" s="209"/>
      <c r="H3752" s="168"/>
      <c r="I3752" s="208"/>
    </row>
    <row r="3753">
      <c r="B3753" s="168"/>
      <c r="D3753" s="76"/>
      <c r="E3753" s="208"/>
      <c r="F3753" s="168"/>
      <c r="G3753" s="209"/>
      <c r="H3753" s="168"/>
      <c r="I3753" s="208"/>
    </row>
    <row r="3754">
      <c r="B3754" s="168"/>
      <c r="D3754" s="76"/>
      <c r="E3754" s="208"/>
      <c r="F3754" s="168"/>
      <c r="G3754" s="209"/>
      <c r="H3754" s="168"/>
      <c r="I3754" s="208"/>
    </row>
    <row r="3755">
      <c r="B3755" s="168"/>
      <c r="D3755" s="76"/>
      <c r="E3755" s="208"/>
      <c r="F3755" s="168"/>
      <c r="G3755" s="209"/>
      <c r="H3755" s="168"/>
      <c r="I3755" s="208"/>
    </row>
    <row r="3756">
      <c r="B3756" s="168"/>
      <c r="D3756" s="76"/>
      <c r="E3756" s="208"/>
      <c r="F3756" s="168"/>
      <c r="G3756" s="209"/>
      <c r="H3756" s="168"/>
      <c r="I3756" s="208"/>
    </row>
    <row r="3757">
      <c r="B3757" s="168"/>
      <c r="D3757" s="76"/>
      <c r="E3757" s="208"/>
      <c r="F3757" s="168"/>
      <c r="G3757" s="209"/>
      <c r="H3757" s="168"/>
      <c r="I3757" s="208"/>
    </row>
    <row r="3758">
      <c r="B3758" s="168"/>
      <c r="D3758" s="76"/>
      <c r="E3758" s="208"/>
      <c r="F3758" s="168"/>
      <c r="G3758" s="209"/>
      <c r="H3758" s="168"/>
      <c r="I3758" s="208"/>
    </row>
    <row r="3759">
      <c r="B3759" s="168"/>
      <c r="D3759" s="76"/>
      <c r="E3759" s="208"/>
      <c r="F3759" s="168"/>
      <c r="G3759" s="209"/>
      <c r="H3759" s="168"/>
      <c r="I3759" s="208"/>
    </row>
    <row r="3760">
      <c r="B3760" s="168"/>
      <c r="D3760" s="76"/>
      <c r="E3760" s="208"/>
      <c r="F3760" s="168"/>
      <c r="G3760" s="209"/>
      <c r="H3760" s="168"/>
      <c r="I3760" s="208"/>
    </row>
    <row r="3761">
      <c r="B3761" s="168"/>
      <c r="D3761" s="76"/>
      <c r="E3761" s="208"/>
      <c r="F3761" s="168"/>
      <c r="G3761" s="209"/>
      <c r="H3761" s="168"/>
      <c r="I3761" s="208"/>
    </row>
    <row r="3762">
      <c r="B3762" s="168"/>
      <c r="D3762" s="76"/>
      <c r="E3762" s="208"/>
      <c r="F3762" s="168"/>
      <c r="G3762" s="209"/>
      <c r="H3762" s="168"/>
      <c r="I3762" s="208"/>
    </row>
    <row r="3763">
      <c r="B3763" s="168"/>
      <c r="D3763" s="76"/>
      <c r="E3763" s="208"/>
      <c r="F3763" s="168"/>
      <c r="G3763" s="209"/>
      <c r="H3763" s="168"/>
      <c r="I3763" s="208"/>
    </row>
    <row r="3764">
      <c r="B3764" s="168"/>
      <c r="D3764" s="76"/>
      <c r="E3764" s="208"/>
      <c r="F3764" s="168"/>
      <c r="G3764" s="209"/>
      <c r="H3764" s="168"/>
      <c r="I3764" s="208"/>
    </row>
    <row r="3765">
      <c r="B3765" s="168"/>
      <c r="D3765" s="76"/>
      <c r="E3765" s="208"/>
      <c r="F3765" s="168"/>
      <c r="G3765" s="209"/>
      <c r="H3765" s="168"/>
      <c r="I3765" s="208"/>
    </row>
    <row r="3766">
      <c r="B3766" s="168"/>
      <c r="D3766" s="76"/>
      <c r="E3766" s="208"/>
      <c r="F3766" s="168"/>
      <c r="G3766" s="209"/>
      <c r="H3766" s="168"/>
      <c r="I3766" s="208"/>
    </row>
    <row r="3767">
      <c r="B3767" s="168"/>
      <c r="D3767" s="76"/>
      <c r="E3767" s="208"/>
      <c r="F3767" s="168"/>
      <c r="G3767" s="209"/>
      <c r="H3767" s="168"/>
      <c r="I3767" s="208"/>
    </row>
    <row r="3768">
      <c r="B3768" s="168"/>
      <c r="D3768" s="76"/>
      <c r="E3768" s="208"/>
      <c r="F3768" s="168"/>
      <c r="G3768" s="209"/>
      <c r="H3768" s="168"/>
      <c r="I3768" s="208"/>
    </row>
    <row r="3769">
      <c r="B3769" s="168"/>
      <c r="D3769" s="76"/>
      <c r="E3769" s="208"/>
      <c r="F3769" s="168"/>
      <c r="G3769" s="209"/>
      <c r="H3769" s="168"/>
      <c r="I3769" s="208"/>
    </row>
    <row r="3770">
      <c r="B3770" s="168"/>
      <c r="D3770" s="76"/>
      <c r="E3770" s="208"/>
      <c r="F3770" s="168"/>
      <c r="G3770" s="209"/>
      <c r="H3770" s="168"/>
      <c r="I3770" s="208"/>
    </row>
    <row r="3771">
      <c r="B3771" s="168"/>
      <c r="D3771" s="76"/>
      <c r="E3771" s="208"/>
      <c r="F3771" s="168"/>
      <c r="G3771" s="209"/>
      <c r="H3771" s="168"/>
      <c r="I3771" s="208"/>
    </row>
    <row r="3772">
      <c r="B3772" s="168"/>
      <c r="D3772" s="76"/>
      <c r="E3772" s="208"/>
      <c r="F3772" s="168"/>
      <c r="G3772" s="209"/>
      <c r="H3772" s="168"/>
      <c r="I3772" s="208"/>
    </row>
    <row r="3773">
      <c r="B3773" s="168"/>
      <c r="D3773" s="76"/>
      <c r="E3773" s="208"/>
      <c r="F3773" s="168"/>
      <c r="G3773" s="209"/>
      <c r="H3773" s="168"/>
      <c r="I3773" s="208"/>
    </row>
    <row r="3774">
      <c r="B3774" s="168"/>
      <c r="D3774" s="76"/>
      <c r="E3774" s="208"/>
      <c r="F3774" s="168"/>
      <c r="G3774" s="209"/>
      <c r="H3774" s="168"/>
      <c r="I3774" s="208"/>
    </row>
    <row r="3775">
      <c r="B3775" s="168"/>
      <c r="D3775" s="76"/>
      <c r="E3775" s="208"/>
      <c r="F3775" s="168"/>
      <c r="G3775" s="209"/>
      <c r="H3775" s="168"/>
      <c r="I3775" s="208"/>
    </row>
    <row r="3776">
      <c r="B3776" s="168"/>
      <c r="D3776" s="76"/>
      <c r="E3776" s="208"/>
      <c r="F3776" s="168"/>
      <c r="G3776" s="209"/>
      <c r="H3776" s="168"/>
      <c r="I3776" s="208"/>
    </row>
    <row r="3777">
      <c r="B3777" s="168"/>
      <c r="D3777" s="76"/>
      <c r="E3777" s="208"/>
      <c r="F3777" s="168"/>
      <c r="G3777" s="209"/>
      <c r="H3777" s="168"/>
      <c r="I3777" s="208"/>
    </row>
    <row r="3778">
      <c r="B3778" s="168"/>
      <c r="D3778" s="76"/>
      <c r="E3778" s="208"/>
      <c r="F3778" s="168"/>
      <c r="G3778" s="209"/>
      <c r="H3778" s="168"/>
      <c r="I3778" s="208"/>
    </row>
    <row r="3779">
      <c r="B3779" s="168"/>
      <c r="D3779" s="76"/>
      <c r="E3779" s="208"/>
      <c r="F3779" s="168"/>
      <c r="G3779" s="209"/>
      <c r="H3779" s="168"/>
      <c r="I3779" s="208"/>
    </row>
    <row r="3780">
      <c r="B3780" s="168"/>
      <c r="D3780" s="76"/>
      <c r="E3780" s="208"/>
      <c r="F3780" s="168"/>
      <c r="G3780" s="209"/>
      <c r="H3780" s="168"/>
      <c r="I3780" s="208"/>
    </row>
    <row r="3781">
      <c r="B3781" s="168"/>
      <c r="D3781" s="76"/>
      <c r="E3781" s="208"/>
      <c r="F3781" s="168"/>
      <c r="G3781" s="209"/>
      <c r="H3781" s="168"/>
      <c r="I3781" s="208"/>
    </row>
    <row r="3782">
      <c r="B3782" s="168"/>
      <c r="D3782" s="76"/>
      <c r="E3782" s="208"/>
      <c r="F3782" s="168"/>
      <c r="G3782" s="209"/>
      <c r="H3782" s="168"/>
      <c r="I3782" s="208"/>
    </row>
    <row r="3783">
      <c r="B3783" s="168"/>
      <c r="D3783" s="76"/>
      <c r="E3783" s="208"/>
      <c r="F3783" s="168"/>
      <c r="G3783" s="209"/>
      <c r="H3783" s="168"/>
      <c r="I3783" s="208"/>
    </row>
    <row r="3784">
      <c r="B3784" s="168"/>
      <c r="D3784" s="76"/>
      <c r="E3784" s="208"/>
      <c r="F3784" s="168"/>
      <c r="G3784" s="209"/>
      <c r="H3784" s="168"/>
      <c r="I3784" s="208"/>
    </row>
    <row r="3785">
      <c r="B3785" s="168"/>
      <c r="D3785" s="76"/>
      <c r="E3785" s="208"/>
      <c r="F3785" s="168"/>
      <c r="G3785" s="209"/>
      <c r="H3785" s="168"/>
      <c r="I3785" s="208"/>
    </row>
    <row r="3786">
      <c r="B3786" s="168"/>
      <c r="D3786" s="76"/>
      <c r="E3786" s="208"/>
      <c r="F3786" s="168"/>
      <c r="G3786" s="209"/>
      <c r="H3786" s="168"/>
      <c r="I3786" s="208"/>
    </row>
    <row r="3787">
      <c r="B3787" s="168"/>
      <c r="D3787" s="76"/>
      <c r="E3787" s="208"/>
      <c r="F3787" s="168"/>
      <c r="G3787" s="209"/>
      <c r="H3787" s="168"/>
      <c r="I3787" s="208"/>
    </row>
    <row r="3788">
      <c r="B3788" s="168"/>
      <c r="D3788" s="76"/>
      <c r="E3788" s="208"/>
      <c r="F3788" s="168"/>
      <c r="G3788" s="209"/>
      <c r="H3788" s="168"/>
      <c r="I3788" s="208"/>
    </row>
    <row r="3789">
      <c r="B3789" s="168"/>
      <c r="D3789" s="76"/>
      <c r="E3789" s="208"/>
      <c r="F3789" s="168"/>
      <c r="G3789" s="209"/>
      <c r="H3789" s="168"/>
      <c r="I3789" s="208"/>
    </row>
    <row r="3790">
      <c r="B3790" s="168"/>
      <c r="D3790" s="76"/>
      <c r="E3790" s="208"/>
      <c r="F3790" s="168"/>
      <c r="G3790" s="209"/>
      <c r="H3790" s="168"/>
      <c r="I3790" s="208"/>
    </row>
    <row r="3791">
      <c r="B3791" s="168"/>
      <c r="D3791" s="76"/>
      <c r="E3791" s="208"/>
      <c r="F3791" s="168"/>
      <c r="G3791" s="209"/>
      <c r="H3791" s="168"/>
      <c r="I3791" s="208"/>
    </row>
    <row r="3792">
      <c r="B3792" s="168"/>
      <c r="D3792" s="76"/>
      <c r="E3792" s="208"/>
      <c r="F3792" s="168"/>
      <c r="G3792" s="209"/>
      <c r="H3792" s="168"/>
      <c r="I3792" s="208"/>
    </row>
    <row r="3793">
      <c r="B3793" s="168"/>
      <c r="D3793" s="76"/>
      <c r="E3793" s="208"/>
      <c r="F3793" s="168"/>
      <c r="G3793" s="209"/>
      <c r="H3793" s="168"/>
      <c r="I3793" s="208"/>
    </row>
    <row r="3794">
      <c r="B3794" s="168"/>
      <c r="D3794" s="76"/>
      <c r="E3794" s="208"/>
      <c r="F3794" s="168"/>
      <c r="G3794" s="209"/>
      <c r="H3794" s="168"/>
      <c r="I3794" s="208"/>
    </row>
    <row r="3795">
      <c r="B3795" s="168"/>
      <c r="D3795" s="76"/>
      <c r="E3795" s="208"/>
      <c r="F3795" s="168"/>
      <c r="G3795" s="209"/>
      <c r="H3795" s="168"/>
      <c r="I3795" s="208"/>
    </row>
    <row r="3796">
      <c r="B3796" s="168"/>
      <c r="D3796" s="76"/>
      <c r="E3796" s="208"/>
      <c r="F3796" s="168"/>
      <c r="G3796" s="209"/>
      <c r="H3796" s="168"/>
      <c r="I3796" s="208"/>
    </row>
    <row r="3797">
      <c r="B3797" s="168"/>
      <c r="D3797" s="76"/>
      <c r="E3797" s="208"/>
      <c r="F3797" s="168"/>
      <c r="G3797" s="209"/>
      <c r="H3797" s="168"/>
      <c r="I3797" s="208"/>
    </row>
    <row r="3798">
      <c r="B3798" s="168"/>
      <c r="D3798" s="76"/>
      <c r="E3798" s="208"/>
      <c r="F3798" s="168"/>
      <c r="G3798" s="209"/>
      <c r="H3798" s="168"/>
      <c r="I3798" s="208"/>
    </row>
    <row r="3799">
      <c r="B3799" s="168"/>
      <c r="D3799" s="76"/>
      <c r="E3799" s="208"/>
      <c r="F3799" s="168"/>
      <c r="G3799" s="209"/>
      <c r="H3799" s="168"/>
      <c r="I3799" s="208"/>
    </row>
    <row r="3800">
      <c r="B3800" s="168"/>
      <c r="D3800" s="76"/>
      <c r="E3800" s="208"/>
      <c r="F3800" s="168"/>
      <c r="G3800" s="209"/>
      <c r="H3800" s="168"/>
      <c r="I3800" s="208"/>
    </row>
    <row r="3801">
      <c r="B3801" s="168"/>
      <c r="D3801" s="76"/>
      <c r="E3801" s="208"/>
      <c r="F3801" s="168"/>
      <c r="G3801" s="209"/>
      <c r="H3801" s="168"/>
      <c r="I3801" s="208"/>
    </row>
    <row r="3802">
      <c r="B3802" s="168"/>
      <c r="D3802" s="76"/>
      <c r="E3802" s="208"/>
      <c r="F3802" s="168"/>
      <c r="G3802" s="209"/>
      <c r="H3802" s="168"/>
      <c r="I3802" s="208"/>
    </row>
    <row r="3803">
      <c r="B3803" s="168"/>
      <c r="D3803" s="76"/>
      <c r="E3803" s="208"/>
      <c r="F3803" s="168"/>
      <c r="G3803" s="209"/>
      <c r="H3803" s="168"/>
      <c r="I3803" s="208"/>
    </row>
    <row r="3804">
      <c r="B3804" s="168"/>
      <c r="D3804" s="76"/>
      <c r="E3804" s="208"/>
      <c r="F3804" s="168"/>
      <c r="G3804" s="209"/>
      <c r="H3804" s="168"/>
      <c r="I3804" s="208"/>
    </row>
    <row r="3805">
      <c r="B3805" s="168"/>
      <c r="D3805" s="76"/>
      <c r="E3805" s="208"/>
      <c r="F3805" s="168"/>
      <c r="G3805" s="209"/>
      <c r="H3805" s="168"/>
      <c r="I3805" s="208"/>
    </row>
    <row r="3806">
      <c r="B3806" s="168"/>
      <c r="D3806" s="76"/>
      <c r="E3806" s="208"/>
      <c r="F3806" s="168"/>
      <c r="G3806" s="209"/>
      <c r="H3806" s="168"/>
      <c r="I3806" s="208"/>
    </row>
    <row r="3807">
      <c r="B3807" s="168"/>
      <c r="D3807" s="76"/>
      <c r="E3807" s="208"/>
      <c r="F3807" s="168"/>
      <c r="G3807" s="209"/>
      <c r="H3807" s="168"/>
      <c r="I3807" s="208"/>
    </row>
    <row r="3808">
      <c r="B3808" s="168"/>
      <c r="D3808" s="76"/>
      <c r="E3808" s="208"/>
      <c r="F3808" s="168"/>
      <c r="G3808" s="209"/>
      <c r="H3808" s="168"/>
      <c r="I3808" s="208"/>
    </row>
    <row r="3809">
      <c r="B3809" s="168"/>
      <c r="D3809" s="76"/>
      <c r="E3809" s="208"/>
      <c r="F3809" s="168"/>
      <c r="G3809" s="209"/>
      <c r="H3809" s="168"/>
      <c r="I3809" s="208"/>
    </row>
    <row r="3810">
      <c r="B3810" s="168"/>
      <c r="D3810" s="76"/>
      <c r="E3810" s="208"/>
      <c r="F3810" s="168"/>
      <c r="G3810" s="209"/>
      <c r="H3810" s="168"/>
      <c r="I3810" s="208"/>
    </row>
    <row r="3811">
      <c r="B3811" s="168"/>
      <c r="D3811" s="76"/>
      <c r="E3811" s="208"/>
      <c r="F3811" s="168"/>
      <c r="G3811" s="209"/>
      <c r="H3811" s="168"/>
      <c r="I3811" s="208"/>
    </row>
    <row r="3812">
      <c r="B3812" s="168"/>
      <c r="D3812" s="76"/>
      <c r="E3812" s="208"/>
      <c r="F3812" s="168"/>
      <c r="G3812" s="209"/>
      <c r="H3812" s="168"/>
      <c r="I3812" s="208"/>
    </row>
    <row r="3813">
      <c r="B3813" s="168"/>
      <c r="D3813" s="76"/>
      <c r="E3813" s="208"/>
      <c r="F3813" s="168"/>
      <c r="G3813" s="209"/>
      <c r="H3813" s="168"/>
      <c r="I3813" s="208"/>
    </row>
    <row r="3814">
      <c r="B3814" s="168"/>
      <c r="D3814" s="76"/>
      <c r="E3814" s="208"/>
      <c r="F3814" s="168"/>
      <c r="G3814" s="209"/>
      <c r="H3814" s="168"/>
      <c r="I3814" s="208"/>
    </row>
    <row r="3815">
      <c r="B3815" s="168"/>
      <c r="D3815" s="76"/>
      <c r="E3815" s="208"/>
      <c r="F3815" s="168"/>
      <c r="G3815" s="209"/>
      <c r="H3815" s="168"/>
      <c r="I3815" s="208"/>
    </row>
    <row r="3816">
      <c r="B3816" s="168"/>
      <c r="D3816" s="76"/>
      <c r="E3816" s="208"/>
      <c r="F3816" s="168"/>
      <c r="G3816" s="209"/>
      <c r="H3816" s="168"/>
      <c r="I3816" s="208"/>
    </row>
    <row r="3817">
      <c r="B3817" s="168"/>
      <c r="D3817" s="76"/>
      <c r="E3817" s="208"/>
      <c r="F3817" s="168"/>
      <c r="G3817" s="209"/>
      <c r="H3817" s="168"/>
      <c r="I3817" s="208"/>
    </row>
    <row r="3818">
      <c r="B3818" s="168"/>
      <c r="D3818" s="76"/>
      <c r="E3818" s="208"/>
      <c r="F3818" s="168"/>
      <c r="G3818" s="209"/>
      <c r="H3818" s="168"/>
      <c r="I3818" s="208"/>
    </row>
    <row r="3819">
      <c r="B3819" s="168"/>
      <c r="D3819" s="76"/>
      <c r="E3819" s="208"/>
      <c r="F3819" s="168"/>
      <c r="G3819" s="209"/>
      <c r="H3819" s="168"/>
      <c r="I3819" s="208"/>
    </row>
    <row r="3820">
      <c r="B3820" s="168"/>
      <c r="D3820" s="76"/>
      <c r="E3820" s="208"/>
      <c r="F3820" s="168"/>
      <c r="G3820" s="209"/>
      <c r="H3820" s="168"/>
      <c r="I3820" s="208"/>
    </row>
    <row r="3821">
      <c r="B3821" s="168"/>
      <c r="D3821" s="76"/>
      <c r="E3821" s="208"/>
      <c r="F3821" s="168"/>
      <c r="G3821" s="209"/>
      <c r="H3821" s="168"/>
      <c r="I3821" s="208"/>
    </row>
    <row r="3822">
      <c r="B3822" s="168"/>
      <c r="D3822" s="76"/>
      <c r="E3822" s="208"/>
      <c r="F3822" s="168"/>
      <c r="G3822" s="209"/>
      <c r="H3822" s="168"/>
      <c r="I3822" s="208"/>
    </row>
    <row r="3823">
      <c r="B3823" s="168"/>
      <c r="D3823" s="76"/>
      <c r="E3823" s="208"/>
      <c r="F3823" s="168"/>
      <c r="G3823" s="209"/>
      <c r="H3823" s="168"/>
      <c r="I3823" s="208"/>
    </row>
    <row r="3824">
      <c r="B3824" s="168"/>
      <c r="D3824" s="76"/>
      <c r="E3824" s="208"/>
      <c r="F3824" s="168"/>
      <c r="G3824" s="209"/>
      <c r="H3824" s="168"/>
      <c r="I3824" s="208"/>
    </row>
    <row r="3825">
      <c r="B3825" s="168"/>
      <c r="D3825" s="76"/>
      <c r="E3825" s="208"/>
      <c r="F3825" s="168"/>
      <c r="G3825" s="209"/>
      <c r="H3825" s="168"/>
      <c r="I3825" s="208"/>
    </row>
    <row r="3826">
      <c r="B3826" s="168"/>
      <c r="D3826" s="76"/>
      <c r="E3826" s="208"/>
      <c r="F3826" s="168"/>
      <c r="G3826" s="209"/>
      <c r="H3826" s="168"/>
      <c r="I3826" s="208"/>
    </row>
    <row r="3827">
      <c r="B3827" s="168"/>
      <c r="D3827" s="76"/>
      <c r="E3827" s="208"/>
      <c r="F3827" s="168"/>
      <c r="G3827" s="209"/>
      <c r="H3827" s="168"/>
      <c r="I3827" s="208"/>
    </row>
    <row r="3828">
      <c r="B3828" s="168"/>
      <c r="D3828" s="76"/>
      <c r="E3828" s="208"/>
      <c r="F3828" s="168"/>
      <c r="G3828" s="209"/>
      <c r="H3828" s="168"/>
      <c r="I3828" s="208"/>
    </row>
    <row r="3829">
      <c r="B3829" s="168"/>
      <c r="D3829" s="76"/>
      <c r="E3829" s="208"/>
      <c r="F3829" s="168"/>
      <c r="G3829" s="209"/>
      <c r="H3829" s="168"/>
      <c r="I3829" s="208"/>
    </row>
    <row r="3830">
      <c r="B3830" s="168"/>
      <c r="D3830" s="76"/>
      <c r="E3830" s="208"/>
      <c r="F3830" s="168"/>
      <c r="G3830" s="209"/>
      <c r="H3830" s="168"/>
      <c r="I3830" s="208"/>
    </row>
    <row r="3831">
      <c r="B3831" s="168"/>
      <c r="D3831" s="76"/>
      <c r="E3831" s="208"/>
      <c r="F3831" s="168"/>
      <c r="G3831" s="209"/>
      <c r="H3831" s="168"/>
      <c r="I3831" s="208"/>
    </row>
    <row r="3832">
      <c r="B3832" s="168"/>
      <c r="D3832" s="76"/>
      <c r="E3832" s="208"/>
      <c r="F3832" s="168"/>
      <c r="G3832" s="209"/>
      <c r="H3832" s="168"/>
      <c r="I3832" s="208"/>
    </row>
    <row r="3833">
      <c r="B3833" s="168"/>
      <c r="D3833" s="76"/>
      <c r="E3833" s="208"/>
      <c r="F3833" s="168"/>
      <c r="G3833" s="209"/>
      <c r="H3833" s="168"/>
      <c r="I3833" s="208"/>
    </row>
    <row r="3834">
      <c r="B3834" s="168"/>
      <c r="D3834" s="76"/>
      <c r="E3834" s="208"/>
      <c r="F3834" s="168"/>
      <c r="G3834" s="209"/>
      <c r="H3834" s="168"/>
      <c r="I3834" s="208"/>
    </row>
    <row r="3835">
      <c r="B3835" s="168"/>
      <c r="D3835" s="76"/>
      <c r="E3835" s="208"/>
      <c r="F3835" s="168"/>
      <c r="G3835" s="209"/>
      <c r="H3835" s="168"/>
      <c r="I3835" s="208"/>
    </row>
    <row r="3836">
      <c r="B3836" s="168"/>
      <c r="D3836" s="76"/>
      <c r="E3836" s="208"/>
      <c r="F3836" s="168"/>
      <c r="G3836" s="209"/>
      <c r="H3836" s="168"/>
      <c r="I3836" s="208"/>
    </row>
    <row r="3837">
      <c r="B3837" s="168"/>
      <c r="D3837" s="76"/>
      <c r="E3837" s="208"/>
      <c r="F3837" s="168"/>
      <c r="G3837" s="209"/>
      <c r="H3837" s="168"/>
      <c r="I3837" s="208"/>
    </row>
    <row r="3838">
      <c r="B3838" s="168"/>
      <c r="D3838" s="76"/>
      <c r="E3838" s="208"/>
      <c r="F3838" s="168"/>
      <c r="G3838" s="209"/>
      <c r="H3838" s="168"/>
      <c r="I3838" s="208"/>
    </row>
    <row r="3839">
      <c r="B3839" s="168"/>
      <c r="D3839" s="76"/>
      <c r="E3839" s="208"/>
      <c r="F3839" s="168"/>
      <c r="G3839" s="209"/>
      <c r="H3839" s="168"/>
      <c r="I3839" s="208"/>
    </row>
    <row r="3840">
      <c r="B3840" s="168"/>
      <c r="D3840" s="76"/>
      <c r="E3840" s="208"/>
      <c r="F3840" s="168"/>
      <c r="G3840" s="209"/>
      <c r="H3840" s="168"/>
      <c r="I3840" s="208"/>
    </row>
    <row r="3841">
      <c r="B3841" s="168"/>
      <c r="D3841" s="76"/>
      <c r="E3841" s="208"/>
      <c r="F3841" s="168"/>
      <c r="G3841" s="209"/>
      <c r="H3841" s="168"/>
      <c r="I3841" s="208"/>
    </row>
    <row r="3842">
      <c r="B3842" s="168"/>
      <c r="D3842" s="76"/>
      <c r="E3842" s="208"/>
      <c r="F3842" s="168"/>
      <c r="G3842" s="209"/>
      <c r="H3842" s="168"/>
      <c r="I3842" s="208"/>
    </row>
    <row r="3843">
      <c r="B3843" s="168"/>
      <c r="D3843" s="76"/>
      <c r="E3843" s="208"/>
      <c r="F3843" s="168"/>
      <c r="G3843" s="209"/>
      <c r="H3843" s="168"/>
      <c r="I3843" s="208"/>
    </row>
    <row r="3844">
      <c r="B3844" s="168"/>
      <c r="D3844" s="76"/>
      <c r="E3844" s="208"/>
      <c r="F3844" s="168"/>
      <c r="G3844" s="209"/>
      <c r="H3844" s="168"/>
      <c r="I3844" s="208"/>
    </row>
    <row r="3845">
      <c r="B3845" s="168"/>
      <c r="D3845" s="76"/>
      <c r="E3845" s="208"/>
      <c r="F3845" s="168"/>
      <c r="G3845" s="209"/>
      <c r="H3845" s="168"/>
      <c r="I3845" s="208"/>
    </row>
    <row r="3846">
      <c r="B3846" s="168"/>
      <c r="D3846" s="76"/>
      <c r="E3846" s="208"/>
      <c r="F3846" s="168"/>
      <c r="G3846" s="209"/>
      <c r="H3846" s="168"/>
      <c r="I3846" s="208"/>
    </row>
    <row r="3847">
      <c r="B3847" s="168"/>
      <c r="D3847" s="76"/>
      <c r="E3847" s="208"/>
      <c r="F3847" s="168"/>
      <c r="G3847" s="209"/>
      <c r="H3847" s="168"/>
      <c r="I3847" s="208"/>
    </row>
    <row r="3848">
      <c r="B3848" s="168"/>
      <c r="D3848" s="76"/>
      <c r="E3848" s="208"/>
      <c r="F3848" s="168"/>
      <c r="G3848" s="209"/>
      <c r="H3848" s="168"/>
      <c r="I3848" s="208"/>
    </row>
    <row r="3849">
      <c r="B3849" s="168"/>
      <c r="D3849" s="76"/>
      <c r="E3849" s="208"/>
      <c r="F3849" s="168"/>
      <c r="G3849" s="209"/>
      <c r="H3849" s="168"/>
      <c r="I3849" s="208"/>
    </row>
    <row r="3850">
      <c r="B3850" s="168"/>
      <c r="D3850" s="76"/>
      <c r="E3850" s="208"/>
      <c r="F3850" s="168"/>
      <c r="G3850" s="209"/>
      <c r="H3850" s="168"/>
      <c r="I3850" s="208"/>
    </row>
    <row r="3851">
      <c r="B3851" s="168"/>
      <c r="D3851" s="76"/>
      <c r="E3851" s="208"/>
      <c r="F3851" s="168"/>
      <c r="G3851" s="209"/>
      <c r="H3851" s="168"/>
      <c r="I3851" s="208"/>
    </row>
    <row r="3852">
      <c r="B3852" s="168"/>
      <c r="D3852" s="76"/>
      <c r="E3852" s="208"/>
      <c r="F3852" s="168"/>
      <c r="G3852" s="209"/>
      <c r="H3852" s="168"/>
      <c r="I3852" s="208"/>
    </row>
    <row r="3853">
      <c r="B3853" s="168"/>
      <c r="D3853" s="76"/>
      <c r="E3853" s="208"/>
      <c r="F3853" s="168"/>
      <c r="G3853" s="209"/>
      <c r="H3853" s="168"/>
      <c r="I3853" s="208"/>
    </row>
    <row r="3854">
      <c r="B3854" s="168"/>
      <c r="D3854" s="76"/>
      <c r="E3854" s="208"/>
      <c r="F3854" s="168"/>
      <c r="G3854" s="209"/>
      <c r="H3854" s="168"/>
      <c r="I3854" s="208"/>
    </row>
    <row r="3855">
      <c r="B3855" s="168"/>
      <c r="D3855" s="76"/>
      <c r="E3855" s="208"/>
      <c r="F3855" s="168"/>
      <c r="G3855" s="209"/>
      <c r="H3855" s="168"/>
      <c r="I3855" s="208"/>
    </row>
    <row r="3856">
      <c r="B3856" s="168"/>
      <c r="D3856" s="76"/>
      <c r="E3856" s="208"/>
      <c r="F3856" s="168"/>
      <c r="G3856" s="209"/>
      <c r="H3856" s="168"/>
      <c r="I3856" s="208"/>
    </row>
    <row r="3857">
      <c r="B3857" s="168"/>
      <c r="D3857" s="76"/>
      <c r="E3857" s="208"/>
      <c r="F3857" s="168"/>
      <c r="G3857" s="209"/>
      <c r="H3857" s="168"/>
      <c r="I3857" s="208"/>
    </row>
    <row r="3858">
      <c r="B3858" s="168"/>
      <c r="D3858" s="76"/>
      <c r="E3858" s="208"/>
      <c r="F3858" s="168"/>
      <c r="G3858" s="209"/>
      <c r="H3858" s="168"/>
      <c r="I3858" s="208"/>
    </row>
    <row r="3859">
      <c r="B3859" s="168"/>
      <c r="D3859" s="76"/>
      <c r="E3859" s="208"/>
      <c r="F3859" s="168"/>
      <c r="G3859" s="209"/>
      <c r="H3859" s="168"/>
      <c r="I3859" s="208"/>
    </row>
    <row r="3860">
      <c r="B3860" s="168"/>
      <c r="D3860" s="76"/>
      <c r="E3860" s="208"/>
      <c r="F3860" s="168"/>
      <c r="G3860" s="209"/>
      <c r="H3860" s="168"/>
      <c r="I3860" s="208"/>
    </row>
    <row r="3861">
      <c r="B3861" s="168"/>
      <c r="D3861" s="76"/>
      <c r="E3861" s="208"/>
      <c r="F3861" s="168"/>
      <c r="G3861" s="209"/>
      <c r="H3861" s="168"/>
      <c r="I3861" s="208"/>
    </row>
    <row r="3862">
      <c r="B3862" s="168"/>
      <c r="D3862" s="76"/>
      <c r="E3862" s="208"/>
      <c r="F3862" s="168"/>
      <c r="G3862" s="209"/>
      <c r="H3862" s="168"/>
      <c r="I3862" s="208"/>
    </row>
    <row r="3863">
      <c r="B3863" s="168"/>
      <c r="D3863" s="76"/>
      <c r="E3863" s="208"/>
      <c r="F3863" s="168"/>
      <c r="G3863" s="209"/>
      <c r="H3863" s="168"/>
      <c r="I3863" s="208"/>
    </row>
    <row r="3864">
      <c r="B3864" s="168"/>
      <c r="D3864" s="76"/>
      <c r="E3864" s="208"/>
      <c r="F3864" s="168"/>
      <c r="G3864" s="209"/>
      <c r="H3864" s="168"/>
      <c r="I3864" s="208"/>
    </row>
    <row r="3865">
      <c r="B3865" s="168"/>
      <c r="D3865" s="76"/>
      <c r="E3865" s="208"/>
      <c r="F3865" s="168"/>
      <c r="G3865" s="209"/>
      <c r="H3865" s="168"/>
      <c r="I3865" s="208"/>
    </row>
    <row r="3866">
      <c r="B3866" s="168"/>
      <c r="D3866" s="76"/>
      <c r="E3866" s="208"/>
      <c r="F3866" s="168"/>
      <c r="G3866" s="209"/>
      <c r="H3866" s="168"/>
      <c r="I3866" s="208"/>
    </row>
    <row r="3867">
      <c r="B3867" s="168"/>
      <c r="D3867" s="76"/>
      <c r="E3867" s="208"/>
      <c r="F3867" s="168"/>
      <c r="G3867" s="209"/>
      <c r="H3867" s="168"/>
      <c r="I3867" s="208"/>
    </row>
    <row r="3868">
      <c r="B3868" s="168"/>
      <c r="D3868" s="76"/>
      <c r="E3868" s="208"/>
      <c r="F3868" s="168"/>
      <c r="G3868" s="209"/>
      <c r="H3868" s="168"/>
      <c r="I3868" s="208"/>
    </row>
    <row r="3869">
      <c r="B3869" s="168"/>
      <c r="D3869" s="76"/>
      <c r="E3869" s="208"/>
      <c r="F3869" s="168"/>
      <c r="G3869" s="209"/>
      <c r="H3869" s="168"/>
      <c r="I3869" s="208"/>
    </row>
    <row r="3870">
      <c r="B3870" s="168"/>
      <c r="D3870" s="76"/>
      <c r="E3870" s="208"/>
      <c r="F3870" s="168"/>
      <c r="G3870" s="209"/>
      <c r="H3870" s="168"/>
      <c r="I3870" s="208"/>
    </row>
    <row r="3871">
      <c r="B3871" s="168"/>
      <c r="D3871" s="76"/>
      <c r="E3871" s="208"/>
      <c r="F3871" s="168"/>
      <c r="G3871" s="209"/>
      <c r="H3871" s="168"/>
      <c r="I3871" s="208"/>
    </row>
    <row r="3872">
      <c r="B3872" s="168"/>
      <c r="D3872" s="76"/>
      <c r="E3872" s="208"/>
      <c r="F3872" s="168"/>
      <c r="G3872" s="209"/>
      <c r="H3872" s="168"/>
      <c r="I3872" s="208"/>
    </row>
    <row r="3873">
      <c r="B3873" s="168"/>
      <c r="D3873" s="76"/>
      <c r="E3873" s="208"/>
      <c r="F3873" s="168"/>
      <c r="G3873" s="209"/>
      <c r="H3873" s="168"/>
      <c r="I3873" s="208"/>
    </row>
    <row r="3874">
      <c r="B3874" s="168"/>
      <c r="D3874" s="76"/>
      <c r="E3874" s="208"/>
      <c r="F3874" s="168"/>
      <c r="G3874" s="209"/>
      <c r="H3874" s="168"/>
      <c r="I3874" s="208"/>
    </row>
    <row r="3875">
      <c r="B3875" s="168"/>
      <c r="D3875" s="76"/>
      <c r="E3875" s="208"/>
      <c r="F3875" s="168"/>
      <c r="G3875" s="209"/>
      <c r="H3875" s="168"/>
      <c r="I3875" s="208"/>
    </row>
    <row r="3876">
      <c r="B3876" s="168"/>
      <c r="D3876" s="76"/>
      <c r="E3876" s="208"/>
      <c r="F3876" s="168"/>
      <c r="G3876" s="209"/>
      <c r="H3876" s="168"/>
      <c r="I3876" s="208"/>
    </row>
    <row r="3877">
      <c r="B3877" s="168"/>
      <c r="D3877" s="76"/>
      <c r="E3877" s="208"/>
      <c r="F3877" s="168"/>
      <c r="G3877" s="209"/>
      <c r="H3877" s="168"/>
      <c r="I3877" s="208"/>
    </row>
    <row r="3878">
      <c r="B3878" s="168"/>
      <c r="D3878" s="76"/>
      <c r="E3878" s="208"/>
      <c r="F3878" s="168"/>
      <c r="G3878" s="209"/>
      <c r="H3878" s="168"/>
      <c r="I3878" s="208"/>
    </row>
    <row r="3879">
      <c r="B3879" s="168"/>
      <c r="D3879" s="76"/>
      <c r="E3879" s="208"/>
      <c r="F3879" s="168"/>
      <c r="G3879" s="209"/>
      <c r="H3879" s="168"/>
      <c r="I3879" s="208"/>
    </row>
    <row r="3880">
      <c r="B3880" s="168"/>
      <c r="D3880" s="76"/>
      <c r="E3880" s="208"/>
      <c r="F3880" s="168"/>
      <c r="G3880" s="209"/>
      <c r="H3880" s="168"/>
      <c r="I3880" s="208"/>
    </row>
    <row r="3881">
      <c r="B3881" s="168"/>
      <c r="D3881" s="76"/>
      <c r="E3881" s="208"/>
      <c r="F3881" s="168"/>
      <c r="G3881" s="209"/>
      <c r="H3881" s="168"/>
      <c r="I3881" s="208"/>
    </row>
    <row r="3882">
      <c r="B3882" s="168"/>
      <c r="D3882" s="76"/>
      <c r="E3882" s="208"/>
      <c r="F3882" s="168"/>
      <c r="G3882" s="209"/>
      <c r="H3882" s="168"/>
      <c r="I3882" s="208"/>
    </row>
    <row r="3883">
      <c r="B3883" s="168"/>
      <c r="D3883" s="76"/>
      <c r="E3883" s="208"/>
      <c r="F3883" s="168"/>
      <c r="G3883" s="209"/>
      <c r="H3883" s="168"/>
      <c r="I3883" s="208"/>
    </row>
    <row r="3884">
      <c r="B3884" s="168"/>
      <c r="D3884" s="76"/>
      <c r="E3884" s="208"/>
      <c r="F3884" s="168"/>
      <c r="G3884" s="209"/>
      <c r="H3884" s="168"/>
      <c r="I3884" s="208"/>
    </row>
    <row r="3885">
      <c r="B3885" s="168"/>
      <c r="D3885" s="76"/>
      <c r="E3885" s="208"/>
      <c r="F3885" s="168"/>
      <c r="G3885" s="209"/>
      <c r="H3885" s="168"/>
      <c r="I3885" s="208"/>
    </row>
    <row r="3886">
      <c r="B3886" s="168"/>
      <c r="D3886" s="76"/>
      <c r="E3886" s="208"/>
      <c r="F3886" s="168"/>
      <c r="G3886" s="209"/>
      <c r="H3886" s="168"/>
      <c r="I3886" s="208"/>
    </row>
    <row r="3887">
      <c r="B3887" s="168"/>
      <c r="D3887" s="76"/>
      <c r="E3887" s="208"/>
      <c r="F3887" s="168"/>
      <c r="G3887" s="209"/>
      <c r="H3887" s="168"/>
      <c r="I3887" s="208"/>
    </row>
    <row r="3888">
      <c r="B3888" s="168"/>
      <c r="D3888" s="76"/>
      <c r="E3888" s="208"/>
      <c r="F3888" s="168"/>
      <c r="G3888" s="209"/>
      <c r="H3888" s="168"/>
      <c r="I3888" s="208"/>
    </row>
    <row r="3889">
      <c r="B3889" s="168"/>
      <c r="D3889" s="76"/>
      <c r="E3889" s="208"/>
      <c r="F3889" s="168"/>
      <c r="G3889" s="209"/>
      <c r="H3889" s="168"/>
      <c r="I3889" s="208"/>
    </row>
    <row r="3890">
      <c r="B3890" s="168"/>
      <c r="D3890" s="76"/>
      <c r="E3890" s="208"/>
      <c r="F3890" s="168"/>
      <c r="G3890" s="209"/>
      <c r="H3890" s="168"/>
      <c r="I3890" s="208"/>
    </row>
    <row r="3891">
      <c r="B3891" s="168"/>
      <c r="D3891" s="76"/>
      <c r="E3891" s="208"/>
      <c r="F3891" s="168"/>
      <c r="G3891" s="209"/>
      <c r="H3891" s="168"/>
      <c r="I3891" s="208"/>
    </row>
    <row r="3892">
      <c r="B3892" s="168"/>
      <c r="D3892" s="76"/>
      <c r="E3892" s="208"/>
      <c r="F3892" s="168"/>
      <c r="G3892" s="209"/>
      <c r="H3892" s="168"/>
      <c r="I3892" s="208"/>
    </row>
    <row r="3893">
      <c r="B3893" s="168"/>
      <c r="D3893" s="76"/>
      <c r="E3893" s="208"/>
      <c r="F3893" s="168"/>
      <c r="G3893" s="209"/>
      <c r="H3893" s="168"/>
      <c r="I3893" s="208"/>
    </row>
    <row r="3894">
      <c r="B3894" s="168"/>
      <c r="D3894" s="76"/>
      <c r="E3894" s="208"/>
      <c r="F3894" s="168"/>
      <c r="G3894" s="209"/>
      <c r="H3894" s="168"/>
      <c r="I3894" s="208"/>
    </row>
    <row r="3895">
      <c r="B3895" s="168"/>
      <c r="D3895" s="76"/>
      <c r="E3895" s="208"/>
      <c r="F3895" s="168"/>
      <c r="G3895" s="209"/>
      <c r="H3895" s="168"/>
      <c r="I3895" s="208"/>
    </row>
    <row r="3896">
      <c r="B3896" s="168"/>
      <c r="D3896" s="76"/>
      <c r="E3896" s="208"/>
      <c r="F3896" s="168"/>
      <c r="G3896" s="209"/>
      <c r="H3896" s="168"/>
      <c r="I3896" s="208"/>
    </row>
    <row r="3897">
      <c r="B3897" s="168"/>
      <c r="D3897" s="76"/>
      <c r="E3897" s="208"/>
      <c r="F3897" s="168"/>
      <c r="G3897" s="209"/>
      <c r="H3897" s="168"/>
      <c r="I3897" s="208"/>
    </row>
    <row r="3898">
      <c r="B3898" s="168"/>
      <c r="D3898" s="76"/>
      <c r="E3898" s="208"/>
      <c r="F3898" s="168"/>
      <c r="G3898" s="209"/>
      <c r="H3898" s="168"/>
      <c r="I3898" s="208"/>
    </row>
    <row r="3899">
      <c r="B3899" s="168"/>
      <c r="D3899" s="76"/>
      <c r="E3899" s="208"/>
      <c r="F3899" s="168"/>
      <c r="G3899" s="209"/>
      <c r="H3899" s="168"/>
      <c r="I3899" s="208"/>
    </row>
    <row r="3900">
      <c r="B3900" s="168"/>
      <c r="D3900" s="76"/>
      <c r="E3900" s="208"/>
      <c r="F3900" s="168"/>
      <c r="G3900" s="209"/>
      <c r="H3900" s="168"/>
      <c r="I3900" s="208"/>
    </row>
    <row r="3901">
      <c r="B3901" s="168"/>
      <c r="D3901" s="76"/>
      <c r="E3901" s="208"/>
      <c r="F3901" s="168"/>
      <c r="G3901" s="209"/>
      <c r="H3901" s="168"/>
      <c r="I3901" s="208"/>
    </row>
    <row r="3902">
      <c r="B3902" s="168"/>
      <c r="D3902" s="76"/>
      <c r="E3902" s="208"/>
      <c r="F3902" s="168"/>
      <c r="G3902" s="209"/>
      <c r="H3902" s="168"/>
      <c r="I3902" s="208"/>
    </row>
    <row r="3903">
      <c r="B3903" s="168"/>
      <c r="D3903" s="76"/>
      <c r="E3903" s="208"/>
      <c r="F3903" s="168"/>
      <c r="G3903" s="209"/>
      <c r="H3903" s="168"/>
      <c r="I3903" s="208"/>
    </row>
    <row r="3904">
      <c r="B3904" s="168"/>
      <c r="D3904" s="76"/>
      <c r="E3904" s="208"/>
      <c r="F3904" s="168"/>
      <c r="G3904" s="209"/>
      <c r="H3904" s="168"/>
      <c r="I3904" s="208"/>
    </row>
    <row r="3905">
      <c r="B3905" s="168"/>
      <c r="D3905" s="76"/>
      <c r="E3905" s="208"/>
      <c r="F3905" s="168"/>
      <c r="G3905" s="209"/>
      <c r="H3905" s="168"/>
      <c r="I3905" s="208"/>
    </row>
    <row r="3906">
      <c r="B3906" s="168"/>
      <c r="D3906" s="76"/>
      <c r="E3906" s="208"/>
      <c r="F3906" s="168"/>
      <c r="G3906" s="209"/>
      <c r="H3906" s="168"/>
      <c r="I3906" s="208"/>
    </row>
    <row r="3907">
      <c r="B3907" s="168"/>
      <c r="D3907" s="76"/>
      <c r="E3907" s="208"/>
      <c r="F3907" s="168"/>
      <c r="G3907" s="209"/>
      <c r="H3907" s="168"/>
      <c r="I3907" s="208"/>
    </row>
    <row r="3908">
      <c r="B3908" s="168"/>
      <c r="D3908" s="76"/>
      <c r="E3908" s="208"/>
      <c r="F3908" s="168"/>
      <c r="G3908" s="209"/>
      <c r="H3908" s="168"/>
      <c r="I3908" s="208"/>
    </row>
    <row r="3909">
      <c r="B3909" s="168"/>
      <c r="D3909" s="76"/>
      <c r="E3909" s="208"/>
      <c r="F3909" s="168"/>
      <c r="G3909" s="209"/>
      <c r="H3909" s="168"/>
      <c r="I3909" s="208"/>
    </row>
    <row r="3910">
      <c r="B3910" s="168"/>
      <c r="D3910" s="76"/>
      <c r="E3910" s="208"/>
      <c r="F3910" s="168"/>
      <c r="G3910" s="209"/>
      <c r="H3910" s="168"/>
      <c r="I3910" s="208"/>
    </row>
    <row r="3911">
      <c r="B3911" s="168"/>
      <c r="D3911" s="76"/>
      <c r="E3911" s="208"/>
      <c r="F3911" s="168"/>
      <c r="G3911" s="209"/>
      <c r="H3911" s="168"/>
      <c r="I3911" s="208"/>
    </row>
    <row r="3912">
      <c r="B3912" s="168"/>
      <c r="D3912" s="76"/>
      <c r="E3912" s="208"/>
      <c r="F3912" s="168"/>
      <c r="G3912" s="209"/>
      <c r="H3912" s="168"/>
      <c r="I3912" s="208"/>
    </row>
    <row r="3913">
      <c r="B3913" s="168"/>
      <c r="D3913" s="76"/>
      <c r="E3913" s="208"/>
      <c r="F3913" s="168"/>
      <c r="G3913" s="209"/>
      <c r="H3913" s="168"/>
      <c r="I3913" s="208"/>
    </row>
    <row r="3914">
      <c r="B3914" s="168"/>
      <c r="D3914" s="76"/>
      <c r="E3914" s="208"/>
      <c r="F3914" s="168"/>
      <c r="G3914" s="209"/>
      <c r="H3914" s="168"/>
      <c r="I3914" s="208"/>
    </row>
    <row r="3915">
      <c r="B3915" s="168"/>
      <c r="D3915" s="76"/>
      <c r="E3915" s="208"/>
      <c r="F3915" s="168"/>
      <c r="G3915" s="209"/>
      <c r="H3915" s="168"/>
      <c r="I3915" s="208"/>
    </row>
    <row r="3916">
      <c r="B3916" s="168"/>
      <c r="D3916" s="76"/>
      <c r="E3916" s="208"/>
      <c r="F3916" s="168"/>
      <c r="G3916" s="209"/>
      <c r="H3916" s="168"/>
      <c r="I3916" s="208"/>
    </row>
    <row r="3917">
      <c r="B3917" s="168"/>
      <c r="D3917" s="76"/>
      <c r="E3917" s="208"/>
      <c r="F3917" s="168"/>
      <c r="G3917" s="209"/>
      <c r="H3917" s="168"/>
      <c r="I3917" s="208"/>
    </row>
    <row r="3918">
      <c r="B3918" s="168"/>
      <c r="D3918" s="76"/>
      <c r="E3918" s="208"/>
      <c r="F3918" s="168"/>
      <c r="G3918" s="209"/>
      <c r="H3918" s="168"/>
      <c r="I3918" s="208"/>
    </row>
    <row r="3919">
      <c r="B3919" s="168"/>
      <c r="D3919" s="76"/>
      <c r="E3919" s="208"/>
      <c r="F3919" s="168"/>
      <c r="G3919" s="209"/>
      <c r="H3919" s="168"/>
      <c r="I3919" s="208"/>
    </row>
    <row r="3920">
      <c r="B3920" s="168"/>
      <c r="D3920" s="76"/>
      <c r="E3920" s="208"/>
      <c r="F3920" s="168"/>
      <c r="G3920" s="209"/>
      <c r="H3920" s="168"/>
      <c r="I3920" s="208"/>
    </row>
    <row r="3921">
      <c r="B3921" s="168"/>
      <c r="D3921" s="76"/>
      <c r="E3921" s="208"/>
      <c r="F3921" s="168"/>
      <c r="G3921" s="209"/>
      <c r="H3921" s="168"/>
      <c r="I3921" s="208"/>
    </row>
    <row r="3922">
      <c r="B3922" s="168"/>
      <c r="D3922" s="76"/>
      <c r="E3922" s="208"/>
      <c r="F3922" s="168"/>
      <c r="G3922" s="209"/>
      <c r="H3922" s="168"/>
      <c r="I3922" s="208"/>
    </row>
    <row r="3923">
      <c r="B3923" s="168"/>
      <c r="D3923" s="76"/>
      <c r="E3923" s="208"/>
      <c r="F3923" s="168"/>
      <c r="G3923" s="209"/>
      <c r="H3923" s="168"/>
      <c r="I3923" s="208"/>
    </row>
    <row r="3924">
      <c r="B3924" s="168"/>
      <c r="D3924" s="76"/>
      <c r="E3924" s="208"/>
      <c r="F3924" s="168"/>
      <c r="G3924" s="209"/>
      <c r="H3924" s="168"/>
      <c r="I3924" s="208"/>
    </row>
    <row r="3925">
      <c r="B3925" s="168"/>
      <c r="D3925" s="76"/>
      <c r="E3925" s="208"/>
      <c r="F3925" s="168"/>
      <c r="G3925" s="209"/>
      <c r="H3925" s="168"/>
      <c r="I3925" s="208"/>
    </row>
    <row r="3926">
      <c r="B3926" s="168"/>
      <c r="D3926" s="76"/>
      <c r="E3926" s="208"/>
      <c r="F3926" s="168"/>
      <c r="G3926" s="209"/>
      <c r="H3926" s="168"/>
      <c r="I3926" s="208"/>
    </row>
    <row r="3927">
      <c r="B3927" s="168"/>
      <c r="D3927" s="76"/>
      <c r="E3927" s="208"/>
      <c r="F3927" s="168"/>
      <c r="G3927" s="209"/>
      <c r="H3927" s="168"/>
      <c r="I3927" s="208"/>
    </row>
    <row r="3928">
      <c r="B3928" s="168"/>
      <c r="D3928" s="76"/>
      <c r="E3928" s="208"/>
      <c r="F3928" s="168"/>
      <c r="G3928" s="209"/>
      <c r="H3928" s="168"/>
      <c r="I3928" s="208"/>
    </row>
    <row r="3929">
      <c r="B3929" s="168"/>
      <c r="D3929" s="76"/>
      <c r="E3929" s="208"/>
      <c r="F3929" s="168"/>
      <c r="G3929" s="209"/>
      <c r="H3929" s="168"/>
      <c r="I3929" s="208"/>
    </row>
    <row r="3930">
      <c r="B3930" s="168"/>
      <c r="D3930" s="76"/>
      <c r="E3930" s="208"/>
      <c r="F3930" s="168"/>
      <c r="G3930" s="209"/>
      <c r="H3930" s="168"/>
      <c r="I3930" s="208"/>
    </row>
    <row r="3931">
      <c r="B3931" s="168"/>
      <c r="D3931" s="76"/>
      <c r="E3931" s="208"/>
      <c r="F3931" s="168"/>
      <c r="G3931" s="209"/>
      <c r="H3931" s="168"/>
      <c r="I3931" s="208"/>
    </row>
    <row r="3932">
      <c r="B3932" s="168"/>
      <c r="D3932" s="76"/>
      <c r="E3932" s="208"/>
      <c r="F3932" s="168"/>
      <c r="G3932" s="209"/>
      <c r="H3932" s="168"/>
      <c r="I3932" s="208"/>
    </row>
    <row r="3933">
      <c r="B3933" s="168"/>
      <c r="D3933" s="76"/>
      <c r="E3933" s="208"/>
      <c r="F3933" s="168"/>
      <c r="G3933" s="209"/>
      <c r="H3933" s="168"/>
      <c r="I3933" s="208"/>
    </row>
    <row r="3934">
      <c r="B3934" s="168"/>
      <c r="D3934" s="76"/>
      <c r="E3934" s="208"/>
      <c r="F3934" s="168"/>
      <c r="G3934" s="209"/>
      <c r="H3934" s="168"/>
      <c r="I3934" s="208"/>
    </row>
    <row r="3935">
      <c r="B3935" s="168"/>
      <c r="D3935" s="76"/>
      <c r="E3935" s="208"/>
      <c r="F3935" s="168"/>
      <c r="G3935" s="209"/>
      <c r="H3935" s="168"/>
      <c r="I3935" s="208"/>
    </row>
    <row r="3936">
      <c r="B3936" s="168"/>
      <c r="D3936" s="76"/>
      <c r="E3936" s="208"/>
      <c r="F3936" s="168"/>
      <c r="G3936" s="209"/>
      <c r="H3936" s="168"/>
      <c r="I3936" s="208"/>
    </row>
    <row r="3937">
      <c r="B3937" s="168"/>
      <c r="D3937" s="76"/>
      <c r="E3937" s="208"/>
      <c r="F3937" s="168"/>
      <c r="G3937" s="209"/>
      <c r="H3937" s="168"/>
      <c r="I3937" s="208"/>
    </row>
    <row r="3938">
      <c r="B3938" s="168"/>
      <c r="D3938" s="76"/>
      <c r="E3938" s="208"/>
      <c r="F3938" s="168"/>
      <c r="G3938" s="209"/>
      <c r="H3938" s="168"/>
      <c r="I3938" s="208"/>
    </row>
    <row r="3939">
      <c r="B3939" s="168"/>
      <c r="D3939" s="76"/>
      <c r="E3939" s="208"/>
      <c r="F3939" s="168"/>
      <c r="G3939" s="209"/>
      <c r="H3939" s="168"/>
      <c r="I3939" s="208"/>
    </row>
    <row r="3940">
      <c r="B3940" s="168"/>
      <c r="D3940" s="76"/>
      <c r="E3940" s="208"/>
      <c r="F3940" s="168"/>
      <c r="G3940" s="209"/>
      <c r="H3940" s="168"/>
      <c r="I3940" s="208"/>
    </row>
    <row r="3941">
      <c r="B3941" s="168"/>
      <c r="D3941" s="76"/>
      <c r="E3941" s="208"/>
      <c r="F3941" s="168"/>
      <c r="G3941" s="209"/>
      <c r="H3941" s="168"/>
      <c r="I3941" s="208"/>
    </row>
    <row r="3942">
      <c r="B3942" s="168"/>
      <c r="D3942" s="76"/>
      <c r="E3942" s="208"/>
      <c r="F3942" s="168"/>
      <c r="G3942" s="209"/>
      <c r="H3942" s="168"/>
      <c r="I3942" s="208"/>
    </row>
    <row r="3943">
      <c r="B3943" s="168"/>
      <c r="D3943" s="76"/>
      <c r="E3943" s="208"/>
      <c r="F3943" s="168"/>
      <c r="G3943" s="209"/>
      <c r="H3943" s="168"/>
      <c r="I3943" s="208"/>
    </row>
    <row r="3944">
      <c r="B3944" s="168"/>
      <c r="D3944" s="76"/>
      <c r="E3944" s="208"/>
      <c r="F3944" s="168"/>
      <c r="G3944" s="209"/>
      <c r="H3944" s="168"/>
      <c r="I3944" s="208"/>
    </row>
    <row r="3945">
      <c r="B3945" s="168"/>
      <c r="D3945" s="76"/>
      <c r="E3945" s="208"/>
      <c r="F3945" s="168"/>
      <c r="G3945" s="209"/>
      <c r="H3945" s="168"/>
      <c r="I3945" s="208"/>
    </row>
    <row r="3946">
      <c r="B3946" s="168"/>
      <c r="D3946" s="76"/>
      <c r="E3946" s="208"/>
      <c r="F3946" s="168"/>
      <c r="G3946" s="209"/>
      <c r="H3946" s="168"/>
      <c r="I3946" s="208"/>
    </row>
    <row r="3947">
      <c r="B3947" s="168"/>
      <c r="D3947" s="76"/>
      <c r="E3947" s="208"/>
      <c r="F3947" s="168"/>
      <c r="G3947" s="209"/>
      <c r="H3947" s="168"/>
      <c r="I3947" s="208"/>
    </row>
    <row r="3948">
      <c r="B3948" s="168"/>
      <c r="D3948" s="76"/>
      <c r="E3948" s="208"/>
      <c r="F3948" s="168"/>
      <c r="G3948" s="209"/>
      <c r="H3948" s="168"/>
      <c r="I3948" s="208"/>
    </row>
    <row r="3949">
      <c r="B3949" s="168"/>
      <c r="D3949" s="76"/>
      <c r="E3949" s="208"/>
      <c r="F3949" s="168"/>
      <c r="G3949" s="209"/>
      <c r="H3949" s="168"/>
      <c r="I3949" s="208"/>
    </row>
    <row r="3950">
      <c r="B3950" s="168"/>
      <c r="D3950" s="76"/>
      <c r="E3950" s="208"/>
      <c r="F3950" s="168"/>
      <c r="G3950" s="209"/>
      <c r="H3950" s="168"/>
      <c r="I3950" s="208"/>
    </row>
    <row r="3951">
      <c r="B3951" s="168"/>
      <c r="D3951" s="76"/>
      <c r="E3951" s="208"/>
      <c r="F3951" s="168"/>
      <c r="G3951" s="209"/>
      <c r="H3951" s="168"/>
      <c r="I3951" s="208"/>
    </row>
    <row r="3952">
      <c r="B3952" s="168"/>
      <c r="D3952" s="76"/>
      <c r="E3952" s="208"/>
      <c r="F3952" s="168"/>
      <c r="G3952" s="209"/>
      <c r="H3952" s="168"/>
      <c r="I3952" s="208"/>
    </row>
    <row r="3953">
      <c r="B3953" s="168"/>
      <c r="D3953" s="76"/>
      <c r="E3953" s="208"/>
      <c r="F3953" s="168"/>
      <c r="G3953" s="209"/>
      <c r="H3953" s="168"/>
      <c r="I3953" s="208"/>
    </row>
    <row r="3954">
      <c r="B3954" s="168"/>
      <c r="D3954" s="76"/>
      <c r="E3954" s="208"/>
      <c r="F3954" s="168"/>
      <c r="G3954" s="209"/>
      <c r="H3954" s="168"/>
      <c r="I3954" s="208"/>
    </row>
    <row r="3955">
      <c r="B3955" s="168"/>
      <c r="D3955" s="76"/>
      <c r="E3955" s="208"/>
      <c r="F3955" s="168"/>
      <c r="G3955" s="209"/>
      <c r="H3955" s="168"/>
      <c r="I3955" s="208"/>
    </row>
    <row r="3956">
      <c r="B3956" s="168"/>
      <c r="D3956" s="76"/>
      <c r="E3956" s="208"/>
      <c r="F3956" s="168"/>
      <c r="G3956" s="209"/>
      <c r="H3956" s="168"/>
      <c r="I3956" s="208"/>
    </row>
    <row r="3957">
      <c r="B3957" s="168"/>
      <c r="D3957" s="76"/>
      <c r="E3957" s="208"/>
      <c r="F3957" s="168"/>
      <c r="G3957" s="209"/>
      <c r="H3957" s="168"/>
      <c r="I3957" s="208"/>
    </row>
    <row r="3958">
      <c r="B3958" s="168"/>
      <c r="D3958" s="76"/>
      <c r="E3958" s="208"/>
      <c r="F3958" s="168"/>
      <c r="G3958" s="209"/>
      <c r="H3958" s="168"/>
      <c r="I3958" s="208"/>
    </row>
    <row r="3959">
      <c r="B3959" s="168"/>
      <c r="D3959" s="76"/>
      <c r="E3959" s="208"/>
      <c r="F3959" s="168"/>
      <c r="G3959" s="209"/>
      <c r="H3959" s="168"/>
      <c r="I3959" s="208"/>
    </row>
    <row r="3960">
      <c r="B3960" s="168"/>
      <c r="D3960" s="76"/>
      <c r="E3960" s="208"/>
      <c r="F3960" s="168"/>
      <c r="G3960" s="209"/>
      <c r="H3960" s="168"/>
      <c r="I3960" s="208"/>
    </row>
    <row r="3961">
      <c r="B3961" s="168"/>
      <c r="D3961" s="76"/>
      <c r="E3961" s="208"/>
      <c r="F3961" s="168"/>
      <c r="G3961" s="209"/>
      <c r="H3961" s="168"/>
      <c r="I3961" s="208"/>
    </row>
    <row r="3962">
      <c r="B3962" s="168"/>
      <c r="D3962" s="76"/>
      <c r="E3962" s="208"/>
      <c r="F3962" s="168"/>
      <c r="G3962" s="209"/>
      <c r="H3962" s="168"/>
      <c r="I3962" s="208"/>
    </row>
    <row r="3963">
      <c r="B3963" s="168"/>
      <c r="D3963" s="76"/>
      <c r="E3963" s="208"/>
      <c r="F3963" s="168"/>
      <c r="G3963" s="209"/>
      <c r="H3963" s="168"/>
      <c r="I3963" s="208"/>
    </row>
    <row r="3964">
      <c r="B3964" s="168"/>
      <c r="D3964" s="76"/>
      <c r="E3964" s="208"/>
      <c r="F3964" s="168"/>
      <c r="G3964" s="209"/>
      <c r="H3964" s="168"/>
      <c r="I3964" s="208"/>
    </row>
    <row r="3965">
      <c r="B3965" s="168"/>
      <c r="D3965" s="76"/>
      <c r="E3965" s="208"/>
      <c r="F3965" s="168"/>
      <c r="G3965" s="209"/>
      <c r="H3965" s="168"/>
      <c r="I3965" s="208"/>
    </row>
    <row r="3966">
      <c r="B3966" s="168"/>
      <c r="D3966" s="76"/>
      <c r="E3966" s="208"/>
      <c r="F3966" s="168"/>
      <c r="G3966" s="209"/>
      <c r="H3966" s="168"/>
      <c r="I3966" s="208"/>
    </row>
    <row r="3967">
      <c r="B3967" s="168"/>
      <c r="D3967" s="76"/>
      <c r="E3967" s="208"/>
      <c r="F3967" s="168"/>
      <c r="G3967" s="209"/>
      <c r="H3967" s="168"/>
      <c r="I3967" s="208"/>
    </row>
    <row r="3968">
      <c r="B3968" s="168"/>
      <c r="D3968" s="76"/>
      <c r="E3968" s="208"/>
      <c r="F3968" s="168"/>
      <c r="G3968" s="209"/>
      <c r="H3968" s="168"/>
      <c r="I3968" s="208"/>
    </row>
    <row r="3969">
      <c r="B3969" s="168"/>
      <c r="D3969" s="76"/>
      <c r="E3969" s="208"/>
      <c r="F3969" s="168"/>
      <c r="G3969" s="209"/>
      <c r="H3969" s="168"/>
      <c r="I3969" s="208"/>
    </row>
    <row r="3970">
      <c r="B3970" s="168"/>
      <c r="D3970" s="76"/>
      <c r="E3970" s="208"/>
      <c r="F3970" s="168"/>
      <c r="G3970" s="209"/>
      <c r="H3970" s="168"/>
      <c r="I3970" s="208"/>
    </row>
    <row r="3971">
      <c r="B3971" s="168"/>
      <c r="D3971" s="76"/>
      <c r="E3971" s="208"/>
      <c r="F3971" s="168"/>
      <c r="G3971" s="209"/>
      <c r="H3971" s="168"/>
      <c r="I3971" s="208"/>
    </row>
    <row r="3972">
      <c r="B3972" s="168"/>
      <c r="D3972" s="76"/>
      <c r="E3972" s="208"/>
      <c r="F3972" s="168"/>
      <c r="G3972" s="209"/>
      <c r="H3972" s="168"/>
      <c r="I3972" s="208"/>
    </row>
    <row r="3973">
      <c r="B3973" s="168"/>
      <c r="D3973" s="76"/>
      <c r="E3973" s="208"/>
      <c r="F3973" s="168"/>
      <c r="G3973" s="209"/>
      <c r="H3973" s="168"/>
      <c r="I3973" s="208"/>
    </row>
    <row r="3974">
      <c r="B3974" s="168"/>
      <c r="D3974" s="76"/>
      <c r="E3974" s="208"/>
      <c r="F3974" s="168"/>
      <c r="G3974" s="209"/>
      <c r="H3974" s="168"/>
      <c r="I3974" s="208"/>
    </row>
    <row r="3975">
      <c r="B3975" s="168"/>
      <c r="D3975" s="76"/>
      <c r="E3975" s="208"/>
      <c r="F3975" s="168"/>
      <c r="G3975" s="209"/>
      <c r="H3975" s="168"/>
      <c r="I3975" s="208"/>
    </row>
    <row r="3976">
      <c r="B3976" s="168"/>
      <c r="D3976" s="76"/>
      <c r="E3976" s="208"/>
      <c r="F3976" s="168"/>
      <c r="G3976" s="209"/>
      <c r="H3976" s="168"/>
      <c r="I3976" s="208"/>
    </row>
    <row r="3977">
      <c r="B3977" s="168"/>
      <c r="D3977" s="76"/>
      <c r="E3977" s="208"/>
      <c r="F3977" s="168"/>
      <c r="G3977" s="209"/>
      <c r="H3977" s="168"/>
      <c r="I3977" s="208"/>
    </row>
    <row r="3978">
      <c r="B3978" s="168"/>
      <c r="D3978" s="76"/>
      <c r="E3978" s="208"/>
      <c r="F3978" s="168"/>
      <c r="G3978" s="209"/>
      <c r="H3978" s="168"/>
      <c r="I3978" s="208"/>
    </row>
    <row r="3979">
      <c r="B3979" s="168"/>
      <c r="D3979" s="76"/>
      <c r="E3979" s="208"/>
      <c r="F3979" s="168"/>
      <c r="G3979" s="209"/>
      <c r="H3979" s="168"/>
      <c r="I3979" s="208"/>
    </row>
    <row r="3980">
      <c r="B3980" s="168"/>
      <c r="D3980" s="76"/>
      <c r="E3980" s="208"/>
      <c r="F3980" s="168"/>
      <c r="G3980" s="209"/>
      <c r="H3980" s="168"/>
      <c r="I3980" s="208"/>
    </row>
    <row r="3981">
      <c r="B3981" s="168"/>
      <c r="D3981" s="76"/>
      <c r="E3981" s="208"/>
      <c r="F3981" s="168"/>
      <c r="G3981" s="209"/>
      <c r="H3981" s="168"/>
      <c r="I3981" s="208"/>
    </row>
    <row r="3982">
      <c r="B3982" s="168"/>
      <c r="D3982" s="76"/>
      <c r="E3982" s="208"/>
      <c r="F3982" s="168"/>
      <c r="G3982" s="209"/>
      <c r="H3982" s="168"/>
      <c r="I3982" s="208"/>
    </row>
    <row r="3983">
      <c r="B3983" s="168"/>
      <c r="D3983" s="76"/>
      <c r="E3983" s="208"/>
      <c r="F3983" s="168"/>
      <c r="G3983" s="209"/>
      <c r="H3983" s="168"/>
      <c r="I3983" s="208"/>
    </row>
    <row r="3984">
      <c r="B3984" s="168"/>
      <c r="D3984" s="76"/>
      <c r="E3984" s="208"/>
      <c r="F3984" s="168"/>
      <c r="G3984" s="209"/>
      <c r="H3984" s="168"/>
      <c r="I3984" s="208"/>
    </row>
    <row r="3985">
      <c r="B3985" s="168"/>
      <c r="D3985" s="76"/>
      <c r="E3985" s="208"/>
      <c r="F3985" s="168"/>
      <c r="G3985" s="209"/>
      <c r="H3985" s="168"/>
      <c r="I3985" s="208"/>
    </row>
    <row r="3986">
      <c r="B3986" s="168"/>
      <c r="D3986" s="76"/>
      <c r="E3986" s="208"/>
      <c r="F3986" s="168"/>
      <c r="G3986" s="209"/>
      <c r="H3986" s="168"/>
      <c r="I3986" s="208"/>
    </row>
    <row r="3987">
      <c r="B3987" s="168"/>
      <c r="D3987" s="76"/>
      <c r="E3987" s="208"/>
      <c r="F3987" s="168"/>
      <c r="G3987" s="209"/>
      <c r="H3987" s="168"/>
      <c r="I3987" s="208"/>
    </row>
    <row r="3988">
      <c r="B3988" s="168"/>
      <c r="D3988" s="76"/>
      <c r="E3988" s="208"/>
      <c r="F3988" s="168"/>
      <c r="G3988" s="209"/>
      <c r="H3988" s="168"/>
      <c r="I3988" s="208"/>
    </row>
    <row r="3989">
      <c r="B3989" s="168"/>
      <c r="D3989" s="76"/>
      <c r="E3989" s="208"/>
      <c r="F3989" s="168"/>
      <c r="G3989" s="209"/>
      <c r="H3989" s="168"/>
      <c r="I3989" s="208"/>
    </row>
    <row r="3990">
      <c r="B3990" s="168"/>
      <c r="D3990" s="76"/>
      <c r="E3990" s="208"/>
      <c r="F3990" s="168"/>
      <c r="G3990" s="209"/>
      <c r="H3990" s="168"/>
      <c r="I3990" s="208"/>
    </row>
    <row r="3991">
      <c r="B3991" s="168"/>
      <c r="D3991" s="76"/>
      <c r="E3991" s="208"/>
      <c r="F3991" s="168"/>
      <c r="G3991" s="209"/>
      <c r="H3991" s="168"/>
      <c r="I3991" s="208"/>
    </row>
    <row r="3992">
      <c r="B3992" s="168"/>
      <c r="D3992" s="76"/>
      <c r="E3992" s="208"/>
      <c r="F3992" s="168"/>
      <c r="G3992" s="209"/>
      <c r="H3992" s="168"/>
      <c r="I3992" s="208"/>
    </row>
    <row r="3993">
      <c r="B3993" s="168"/>
      <c r="D3993" s="76"/>
      <c r="E3993" s="208"/>
      <c r="F3993" s="168"/>
      <c r="G3993" s="209"/>
      <c r="H3993" s="168"/>
      <c r="I3993" s="208"/>
    </row>
    <row r="3994">
      <c r="B3994" s="168"/>
      <c r="D3994" s="76"/>
      <c r="E3994" s="208"/>
      <c r="F3994" s="168"/>
      <c r="G3994" s="209"/>
      <c r="H3994" s="168"/>
      <c r="I3994" s="208"/>
    </row>
    <row r="3995">
      <c r="B3995" s="168"/>
      <c r="D3995" s="76"/>
      <c r="E3995" s="208"/>
      <c r="F3995" s="168"/>
      <c r="G3995" s="209"/>
      <c r="H3995" s="168"/>
      <c r="I3995" s="208"/>
    </row>
    <row r="3996">
      <c r="B3996" s="168"/>
      <c r="D3996" s="76"/>
      <c r="E3996" s="208"/>
      <c r="F3996" s="168"/>
      <c r="G3996" s="209"/>
      <c r="H3996" s="168"/>
      <c r="I3996" s="208"/>
    </row>
    <row r="3997">
      <c r="B3997" s="168"/>
      <c r="D3997" s="76"/>
      <c r="E3997" s="208"/>
      <c r="F3997" s="168"/>
      <c r="G3997" s="209"/>
      <c r="H3997" s="168"/>
      <c r="I3997" s="208"/>
    </row>
    <row r="3998">
      <c r="B3998" s="168"/>
      <c r="D3998" s="76"/>
      <c r="E3998" s="208"/>
      <c r="F3998" s="168"/>
      <c r="G3998" s="209"/>
      <c r="H3998" s="168"/>
      <c r="I3998" s="208"/>
    </row>
    <row r="3999">
      <c r="B3999" s="168"/>
      <c r="D3999" s="76"/>
      <c r="E3999" s="208"/>
      <c r="F3999" s="168"/>
      <c r="G3999" s="209"/>
      <c r="H3999" s="168"/>
      <c r="I3999" s="208"/>
    </row>
    <row r="4000">
      <c r="B4000" s="168"/>
      <c r="D4000" s="76"/>
      <c r="E4000" s="208"/>
      <c r="F4000" s="168"/>
      <c r="G4000" s="209"/>
      <c r="H4000" s="168"/>
      <c r="I4000" s="208"/>
    </row>
    <row r="4001">
      <c r="B4001" s="168"/>
      <c r="D4001" s="76"/>
      <c r="E4001" s="208"/>
      <c r="F4001" s="168"/>
      <c r="G4001" s="209"/>
      <c r="H4001" s="168"/>
      <c r="I4001" s="208"/>
    </row>
    <row r="4002">
      <c r="B4002" s="168"/>
      <c r="D4002" s="76"/>
      <c r="E4002" s="208"/>
      <c r="F4002" s="168"/>
      <c r="G4002" s="209"/>
      <c r="H4002" s="168"/>
      <c r="I4002" s="208"/>
    </row>
    <row r="4003">
      <c r="B4003" s="168"/>
      <c r="D4003" s="76"/>
      <c r="E4003" s="208"/>
      <c r="F4003" s="168"/>
      <c r="G4003" s="209"/>
      <c r="H4003" s="168"/>
      <c r="I4003" s="208"/>
    </row>
    <row r="4004">
      <c r="B4004" s="168"/>
      <c r="D4004" s="76"/>
      <c r="E4004" s="208"/>
      <c r="F4004" s="168"/>
      <c r="G4004" s="209"/>
      <c r="H4004" s="168"/>
      <c r="I4004" s="208"/>
    </row>
    <row r="4005">
      <c r="B4005" s="168"/>
      <c r="D4005" s="76"/>
      <c r="E4005" s="208"/>
      <c r="F4005" s="168"/>
      <c r="G4005" s="209"/>
      <c r="H4005" s="168"/>
      <c r="I4005" s="208"/>
    </row>
    <row r="4006">
      <c r="B4006" s="168"/>
      <c r="D4006" s="76"/>
      <c r="E4006" s="208"/>
      <c r="F4006" s="168"/>
      <c r="G4006" s="209"/>
      <c r="H4006" s="168"/>
      <c r="I4006" s="208"/>
    </row>
    <row r="4007">
      <c r="B4007" s="168"/>
      <c r="D4007" s="76"/>
      <c r="E4007" s="208"/>
      <c r="F4007" s="168"/>
      <c r="G4007" s="209"/>
      <c r="H4007" s="168"/>
      <c r="I4007" s="208"/>
    </row>
    <row r="4008">
      <c r="B4008" s="168"/>
      <c r="D4008" s="76"/>
      <c r="E4008" s="208"/>
      <c r="F4008" s="168"/>
      <c r="G4008" s="209"/>
      <c r="H4008" s="168"/>
      <c r="I4008" s="208"/>
    </row>
    <row r="4009">
      <c r="B4009" s="168"/>
      <c r="D4009" s="76"/>
      <c r="E4009" s="208"/>
      <c r="F4009" s="168"/>
      <c r="G4009" s="209"/>
      <c r="H4009" s="168"/>
      <c r="I4009" s="208"/>
    </row>
    <row r="4010">
      <c r="B4010" s="168"/>
      <c r="D4010" s="76"/>
      <c r="E4010" s="208"/>
      <c r="F4010" s="168"/>
      <c r="G4010" s="209"/>
      <c r="H4010" s="168"/>
      <c r="I4010" s="208"/>
    </row>
    <row r="4011">
      <c r="B4011" s="168"/>
      <c r="D4011" s="76"/>
      <c r="E4011" s="208"/>
      <c r="F4011" s="168"/>
      <c r="G4011" s="209"/>
      <c r="H4011" s="168"/>
      <c r="I4011" s="20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3" max="3" width="15.88"/>
    <col customWidth="1" min="7" max="8" width="21.13"/>
    <col customWidth="1" min="9" max="9" width="26.5"/>
  </cols>
  <sheetData>
    <row r="1">
      <c r="A1" s="3" t="s">
        <v>555</v>
      </c>
      <c r="B1" s="3" t="s">
        <v>551</v>
      </c>
      <c r="C1" s="3" t="s">
        <v>551</v>
      </c>
      <c r="D1" s="3" t="s">
        <v>551</v>
      </c>
      <c r="E1" s="3" t="s">
        <v>552</v>
      </c>
      <c r="F1" s="3" t="s">
        <v>552</v>
      </c>
      <c r="G1" s="210" t="s">
        <v>3808</v>
      </c>
      <c r="H1" s="3" t="s">
        <v>3806</v>
      </c>
      <c r="I1" s="3" t="s">
        <v>3808</v>
      </c>
    </row>
    <row r="2">
      <c r="A2" s="5" t="s">
        <v>5234</v>
      </c>
      <c r="B2" s="101" t="s">
        <v>3809</v>
      </c>
      <c r="C2" s="211" t="s">
        <v>5235</v>
      </c>
      <c r="D2" s="42" t="s">
        <v>563</v>
      </c>
      <c r="E2" s="42" t="s">
        <v>563</v>
      </c>
      <c r="F2" s="42" t="s">
        <v>563</v>
      </c>
      <c r="G2" s="212" t="s">
        <v>5236</v>
      </c>
      <c r="H2" s="5" t="s">
        <v>5237</v>
      </c>
      <c r="I2" s="213" t="s">
        <v>5236</v>
      </c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</row>
    <row r="3">
      <c r="A3" s="8" t="s">
        <v>5238</v>
      </c>
      <c r="B3" s="8" t="s">
        <v>575</v>
      </c>
      <c r="C3" s="8" t="s">
        <v>5239</v>
      </c>
      <c r="D3" s="8" t="s">
        <v>576</v>
      </c>
      <c r="E3" s="8" t="s">
        <v>577</v>
      </c>
      <c r="F3" s="8" t="s">
        <v>578</v>
      </c>
      <c r="G3" s="214" t="s">
        <v>5240</v>
      </c>
      <c r="H3" s="8" t="s">
        <v>5241</v>
      </c>
      <c r="I3" s="8" t="s">
        <v>5242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>
      <c r="A4" s="110">
        <v>21720.0</v>
      </c>
      <c r="B4" s="17">
        <v>34.0</v>
      </c>
      <c r="C4" s="11">
        <v>81.0</v>
      </c>
      <c r="D4" s="11">
        <v>61.0</v>
      </c>
      <c r="E4" s="11">
        <v>4.0</v>
      </c>
      <c r="F4" s="11">
        <v>8.0</v>
      </c>
      <c r="G4" s="215">
        <v>74019.6</v>
      </c>
      <c r="H4" s="11">
        <v>26.0</v>
      </c>
      <c r="I4" s="109">
        <v>-14697.94</v>
      </c>
    </row>
    <row r="5">
      <c r="A5" s="110">
        <v>112119.0</v>
      </c>
      <c r="B5" s="17">
        <v>35.0</v>
      </c>
      <c r="C5" s="11">
        <v>77.0</v>
      </c>
      <c r="D5" s="11">
        <v>81.0</v>
      </c>
      <c r="E5" s="11">
        <v>9.0</v>
      </c>
      <c r="F5" s="11">
        <v>7.0</v>
      </c>
      <c r="G5" s="215">
        <v>31359.54</v>
      </c>
      <c r="H5" s="11">
        <v>24.0</v>
      </c>
      <c r="I5" s="109">
        <v>-37373.12</v>
      </c>
    </row>
    <row r="6">
      <c r="A6" s="110">
        <v>92122.0</v>
      </c>
      <c r="B6" s="17">
        <v>67.0</v>
      </c>
      <c r="C6" s="11">
        <v>61.0</v>
      </c>
      <c r="D6" s="11">
        <v>81.0</v>
      </c>
      <c r="E6" s="11">
        <v>9.0</v>
      </c>
      <c r="F6" s="11">
        <v>6.0</v>
      </c>
      <c r="G6" s="215">
        <v>-36295.74</v>
      </c>
      <c r="H6" s="11">
        <v>27.0</v>
      </c>
      <c r="I6" s="109">
        <v>30336.37</v>
      </c>
    </row>
    <row r="7">
      <c r="A7" s="110">
        <v>21518.0</v>
      </c>
      <c r="B7" s="17">
        <v>40.0</v>
      </c>
      <c r="C7" s="11">
        <v>41.0</v>
      </c>
      <c r="D7" s="11">
        <v>61.0</v>
      </c>
      <c r="E7" s="11">
        <v>5.0</v>
      </c>
      <c r="F7" s="11">
        <v>3.0</v>
      </c>
      <c r="G7" s="215">
        <v>5267.33</v>
      </c>
      <c r="H7" s="11">
        <v>23.0</v>
      </c>
      <c r="I7" s="109">
        <v>79623.34</v>
      </c>
    </row>
    <row r="8">
      <c r="A8" s="110">
        <v>123017.0</v>
      </c>
      <c r="B8" s="17">
        <v>77.0</v>
      </c>
      <c r="C8" s="11">
        <v>77.0</v>
      </c>
      <c r="D8" s="11">
        <v>61.0</v>
      </c>
      <c r="E8" s="11">
        <v>5.0</v>
      </c>
      <c r="F8" s="11">
        <v>4.0</v>
      </c>
      <c r="G8" s="215">
        <v>-31909.83</v>
      </c>
      <c r="H8" s="11">
        <v>29.0</v>
      </c>
      <c r="I8" s="109">
        <v>-38743.64</v>
      </c>
    </row>
    <row r="9">
      <c r="A9" s="110">
        <v>52317.0</v>
      </c>
      <c r="B9" s="17">
        <v>58.0</v>
      </c>
      <c r="C9" s="11">
        <v>82.0</v>
      </c>
      <c r="D9" s="11">
        <v>61.0</v>
      </c>
      <c r="E9" s="11">
        <v>5.0</v>
      </c>
      <c r="F9" s="11">
        <v>6.0</v>
      </c>
      <c r="G9" s="215">
        <v>92042.75</v>
      </c>
      <c r="H9" s="11">
        <v>21.0</v>
      </c>
      <c r="I9" s="109">
        <v>-45678.9</v>
      </c>
    </row>
    <row r="10">
      <c r="A10" s="110">
        <v>112617.0</v>
      </c>
      <c r="B10" s="17">
        <v>48.0</v>
      </c>
      <c r="C10" s="11">
        <v>61.0</v>
      </c>
      <c r="D10" s="11">
        <v>61.0</v>
      </c>
      <c r="E10" s="11">
        <v>6.0</v>
      </c>
      <c r="F10" s="11">
        <v>3.0</v>
      </c>
      <c r="G10" s="215">
        <v>-45722.17</v>
      </c>
      <c r="H10" s="11">
        <v>25.0</v>
      </c>
      <c r="I10" s="109">
        <v>-312.57</v>
      </c>
    </row>
    <row r="11">
      <c r="A11" s="110">
        <v>102023.0</v>
      </c>
      <c r="B11" s="17">
        <v>42.0</v>
      </c>
      <c r="C11" s="11">
        <v>41.0</v>
      </c>
      <c r="D11" s="11">
        <v>41.0</v>
      </c>
      <c r="E11" s="11">
        <v>1.0</v>
      </c>
      <c r="F11" s="11">
        <v>6.0</v>
      </c>
      <c r="G11" s="215">
        <v>42108.11</v>
      </c>
      <c r="H11" s="11">
        <v>20.0</v>
      </c>
      <c r="I11" s="109">
        <v>20752.58</v>
      </c>
    </row>
    <row r="12">
      <c r="A12" s="110">
        <v>12522.0</v>
      </c>
      <c r="B12" s="17">
        <v>90.0</v>
      </c>
      <c r="C12" s="11">
        <v>82.0</v>
      </c>
      <c r="D12" s="11">
        <v>61.0</v>
      </c>
      <c r="E12" s="11">
        <v>6.0</v>
      </c>
      <c r="F12" s="11">
        <v>4.0</v>
      </c>
      <c r="G12" s="215">
        <v>-22178.4</v>
      </c>
      <c r="H12" s="11">
        <v>25.0</v>
      </c>
      <c r="I12" s="109">
        <v>20959.82</v>
      </c>
    </row>
    <row r="13">
      <c r="A13" s="110">
        <v>60423.0</v>
      </c>
      <c r="B13" s="17">
        <v>80.0</v>
      </c>
      <c r="C13" s="11">
        <v>61.0</v>
      </c>
      <c r="D13" s="11">
        <v>41.0</v>
      </c>
      <c r="E13" s="11">
        <v>2.0</v>
      </c>
      <c r="F13" s="11">
        <v>3.0</v>
      </c>
      <c r="G13" s="215">
        <v>31955.41</v>
      </c>
      <c r="H13" s="11">
        <v>25.0</v>
      </c>
      <c r="I13" s="109">
        <v>80057.11</v>
      </c>
    </row>
    <row r="14">
      <c r="A14" s="110">
        <v>121014.0</v>
      </c>
      <c r="B14" s="17">
        <v>93.0</v>
      </c>
      <c r="C14" s="11">
        <v>41.0</v>
      </c>
      <c r="D14" s="11">
        <v>61.0</v>
      </c>
      <c r="E14" s="11">
        <v>7.0</v>
      </c>
      <c r="F14" s="11">
        <v>2.0</v>
      </c>
      <c r="G14" s="215">
        <v>24978.07</v>
      </c>
      <c r="H14" s="11">
        <v>28.0</v>
      </c>
      <c r="I14" s="109">
        <v>84808.97</v>
      </c>
    </row>
    <row r="15">
      <c r="A15" s="110">
        <v>62621.0</v>
      </c>
      <c r="B15" s="17">
        <v>28.0</v>
      </c>
      <c r="C15" s="11">
        <v>61.0</v>
      </c>
      <c r="D15" s="11">
        <v>82.0</v>
      </c>
      <c r="E15" s="11">
        <v>2.0</v>
      </c>
      <c r="F15" s="11">
        <v>4.0</v>
      </c>
      <c r="G15" s="215">
        <v>-5634.81</v>
      </c>
      <c r="H15" s="11">
        <v>21.0</v>
      </c>
      <c r="I15" s="109">
        <v>-46336.95</v>
      </c>
    </row>
    <row r="16">
      <c r="A16" s="110">
        <v>21919.0</v>
      </c>
      <c r="B16" s="17">
        <v>34.0</v>
      </c>
      <c r="C16" s="11">
        <v>61.0</v>
      </c>
      <c r="D16" s="11">
        <v>61.0</v>
      </c>
      <c r="E16" s="11">
        <v>7.0</v>
      </c>
      <c r="F16" s="11">
        <v>9.0</v>
      </c>
      <c r="G16" s="215">
        <v>16379.23</v>
      </c>
      <c r="H16" s="11">
        <v>30.0</v>
      </c>
      <c r="I16" s="109">
        <v>10344.14</v>
      </c>
    </row>
    <row r="17">
      <c r="A17" s="110">
        <v>51014.0</v>
      </c>
      <c r="B17" s="17">
        <v>65.0</v>
      </c>
      <c r="C17" s="11">
        <v>82.0</v>
      </c>
      <c r="D17" s="11">
        <v>41.0</v>
      </c>
      <c r="E17" s="11">
        <v>3.0</v>
      </c>
      <c r="F17" s="11">
        <v>1.0</v>
      </c>
      <c r="G17" s="215">
        <v>28833.62</v>
      </c>
      <c r="H17" s="11">
        <v>26.0</v>
      </c>
      <c r="I17" s="109">
        <v>24179.79</v>
      </c>
    </row>
    <row r="18">
      <c r="A18" s="110">
        <v>71322.0</v>
      </c>
      <c r="B18" s="17">
        <v>80.0</v>
      </c>
      <c r="C18" s="11">
        <v>82.0</v>
      </c>
      <c r="D18" s="11">
        <v>41.0</v>
      </c>
      <c r="E18" s="11">
        <v>3.0</v>
      </c>
      <c r="F18" s="11">
        <v>5.0</v>
      </c>
      <c r="G18" s="215">
        <v>-12629.95</v>
      </c>
      <c r="H18" s="11">
        <v>24.0</v>
      </c>
      <c r="I18" s="109">
        <v>60732.23</v>
      </c>
    </row>
    <row r="19">
      <c r="A19" s="110">
        <v>102523.0</v>
      </c>
      <c r="B19" s="17">
        <v>22.0</v>
      </c>
      <c r="C19" s="11">
        <v>61.0</v>
      </c>
      <c r="D19" s="11">
        <v>82.0</v>
      </c>
      <c r="E19" s="11">
        <v>3.0</v>
      </c>
      <c r="F19" s="11">
        <v>1.0</v>
      </c>
      <c r="G19" s="215">
        <v>68888.21</v>
      </c>
      <c r="H19" s="11">
        <v>30.0</v>
      </c>
      <c r="I19" s="109">
        <v>54069.97</v>
      </c>
    </row>
    <row r="20">
      <c r="A20" s="110">
        <v>112315.0</v>
      </c>
      <c r="B20" s="17">
        <v>84.0</v>
      </c>
      <c r="C20" s="11">
        <v>41.0</v>
      </c>
      <c r="D20" s="11">
        <v>41.0</v>
      </c>
      <c r="E20" s="11">
        <v>3.0</v>
      </c>
      <c r="F20" s="11">
        <v>8.0</v>
      </c>
      <c r="G20" s="215">
        <v>-81799.96</v>
      </c>
      <c r="H20" s="11">
        <v>22.0</v>
      </c>
      <c r="I20" s="109">
        <v>58140.51</v>
      </c>
    </row>
    <row r="21">
      <c r="A21" s="110">
        <v>110822.0</v>
      </c>
      <c r="B21" s="17">
        <v>59.0</v>
      </c>
      <c r="C21" s="11">
        <v>41.0</v>
      </c>
      <c r="D21" s="11">
        <v>41.0</v>
      </c>
      <c r="E21" s="11">
        <v>3.0</v>
      </c>
      <c r="F21" s="11">
        <v>9.0</v>
      </c>
      <c r="G21" s="215">
        <v>79476.34</v>
      </c>
      <c r="H21" s="11">
        <v>22.0</v>
      </c>
      <c r="I21" s="109">
        <v>11905.05</v>
      </c>
    </row>
    <row r="22">
      <c r="A22" s="110">
        <v>32419.0</v>
      </c>
      <c r="B22" s="17">
        <v>87.0</v>
      </c>
      <c r="C22" s="11">
        <v>41.0</v>
      </c>
      <c r="D22" s="11">
        <v>61.0</v>
      </c>
      <c r="E22" s="11">
        <v>9.0</v>
      </c>
      <c r="F22" s="11">
        <v>3.0</v>
      </c>
      <c r="G22" s="215">
        <v>39511.84</v>
      </c>
      <c r="H22" s="11">
        <v>26.0</v>
      </c>
      <c r="I22" s="109">
        <v>94952.13</v>
      </c>
    </row>
    <row r="23">
      <c r="A23" s="110">
        <v>20617.0</v>
      </c>
      <c r="B23" s="17">
        <v>70.0</v>
      </c>
      <c r="C23" s="11">
        <v>41.0</v>
      </c>
      <c r="D23" s="11">
        <v>41.0</v>
      </c>
      <c r="E23" s="11">
        <v>4.0</v>
      </c>
      <c r="F23" s="11">
        <v>6.0</v>
      </c>
      <c r="G23" s="215">
        <v>29352.05</v>
      </c>
      <c r="H23" s="11">
        <v>20.0</v>
      </c>
      <c r="I23" s="109">
        <v>54602.65</v>
      </c>
    </row>
    <row r="24">
      <c r="A24" s="110">
        <v>12118.0</v>
      </c>
      <c r="B24" s="17">
        <v>12.0</v>
      </c>
      <c r="C24" s="11">
        <v>61.0</v>
      </c>
      <c r="D24" s="11">
        <v>82.0</v>
      </c>
      <c r="E24" s="11">
        <v>4.0</v>
      </c>
      <c r="F24" s="11">
        <v>5.0</v>
      </c>
      <c r="G24" s="215">
        <v>21493.54</v>
      </c>
      <c r="H24" s="11">
        <v>23.0</v>
      </c>
      <c r="I24" s="109">
        <v>86281.01</v>
      </c>
    </row>
    <row r="25">
      <c r="A25" s="110">
        <v>90618.0</v>
      </c>
      <c r="B25" s="17">
        <v>33.0</v>
      </c>
      <c r="C25" s="11">
        <v>41.0</v>
      </c>
      <c r="D25" s="11">
        <v>82.0</v>
      </c>
      <c r="E25" s="11">
        <v>4.0</v>
      </c>
      <c r="F25" s="11">
        <v>7.0</v>
      </c>
      <c r="G25" s="215">
        <v>86194.67</v>
      </c>
      <c r="H25" s="11">
        <v>21.0</v>
      </c>
      <c r="I25" s="109">
        <v>-50885.92</v>
      </c>
    </row>
    <row r="26">
      <c r="A26" s="110">
        <v>31523.0</v>
      </c>
      <c r="B26" s="17">
        <v>91.0</v>
      </c>
      <c r="C26" s="11">
        <v>41.0</v>
      </c>
      <c r="D26" s="11">
        <v>41.0</v>
      </c>
      <c r="E26" s="11">
        <v>5.0</v>
      </c>
      <c r="F26" s="11">
        <v>3.0</v>
      </c>
      <c r="G26" s="215">
        <v>74680.64</v>
      </c>
      <c r="H26" s="11">
        <v>20.0</v>
      </c>
      <c r="I26" s="109">
        <v>75853.55</v>
      </c>
    </row>
    <row r="27">
      <c r="A27" s="110">
        <v>102719.0</v>
      </c>
      <c r="B27" s="17">
        <v>33.0</v>
      </c>
      <c r="C27" s="11">
        <v>62.0</v>
      </c>
      <c r="D27" s="11">
        <v>82.0</v>
      </c>
      <c r="E27" s="11">
        <v>5.0</v>
      </c>
      <c r="F27" s="11">
        <v>7.0</v>
      </c>
      <c r="G27" s="215">
        <v>-42032.29</v>
      </c>
      <c r="H27" s="11">
        <v>23.0</v>
      </c>
      <c r="I27" s="109">
        <v>43491.52</v>
      </c>
    </row>
    <row r="28">
      <c r="A28" s="110">
        <v>72516.0</v>
      </c>
      <c r="B28" s="17">
        <v>82.0</v>
      </c>
      <c r="C28" s="11">
        <v>82.0</v>
      </c>
      <c r="D28" s="11">
        <v>41.0</v>
      </c>
      <c r="E28" s="11">
        <v>6.0</v>
      </c>
      <c r="F28" s="11">
        <v>1.0</v>
      </c>
      <c r="G28" s="215">
        <v>-94672.78</v>
      </c>
      <c r="H28" s="11">
        <v>26.0</v>
      </c>
      <c r="I28" s="109">
        <v>53133.02</v>
      </c>
    </row>
    <row r="29">
      <c r="A29" s="110">
        <v>11122.0</v>
      </c>
      <c r="B29" s="17">
        <v>5.0</v>
      </c>
      <c r="C29" s="11">
        <v>62.0</v>
      </c>
      <c r="D29" s="11">
        <v>82.0</v>
      </c>
      <c r="E29" s="11">
        <v>6.0</v>
      </c>
      <c r="F29" s="11">
        <v>4.0</v>
      </c>
      <c r="G29" s="215">
        <v>-61276.35</v>
      </c>
      <c r="H29" s="11">
        <v>30.0</v>
      </c>
      <c r="I29" s="109">
        <v>-63363.3</v>
      </c>
    </row>
    <row r="30">
      <c r="A30" s="110">
        <v>122014.0</v>
      </c>
      <c r="B30" s="17">
        <v>77.0</v>
      </c>
      <c r="C30" s="11">
        <v>62.0</v>
      </c>
      <c r="D30" s="11">
        <v>21.0</v>
      </c>
      <c r="E30" s="11">
        <v>2.0</v>
      </c>
      <c r="F30" s="11">
        <v>1.0</v>
      </c>
      <c r="G30" s="215">
        <v>76909.46</v>
      </c>
      <c r="H30" s="11">
        <v>29.0</v>
      </c>
      <c r="I30" s="109">
        <v>-55337.76</v>
      </c>
    </row>
    <row r="31">
      <c r="A31" s="110">
        <v>91920.0</v>
      </c>
      <c r="B31" s="17">
        <v>79.0</v>
      </c>
      <c r="C31" s="11">
        <v>41.0</v>
      </c>
      <c r="D31" s="11">
        <v>62.0</v>
      </c>
      <c r="E31" s="11">
        <v>1.0</v>
      </c>
      <c r="F31" s="11">
        <v>9.0</v>
      </c>
      <c r="G31" s="215">
        <v>74731.89</v>
      </c>
      <c r="H31" s="11">
        <v>27.0</v>
      </c>
      <c r="I31" s="109">
        <v>-95516.12</v>
      </c>
    </row>
    <row r="32">
      <c r="A32" s="110">
        <v>51320.0</v>
      </c>
      <c r="B32" s="17">
        <v>75.0</v>
      </c>
      <c r="C32" s="11">
        <v>41.0</v>
      </c>
      <c r="D32" s="11">
        <v>21.0</v>
      </c>
      <c r="E32" s="11">
        <v>2.0</v>
      </c>
      <c r="F32" s="11">
        <v>5.0</v>
      </c>
      <c r="G32" s="215">
        <v>-31817.41</v>
      </c>
      <c r="H32" s="11">
        <v>25.0</v>
      </c>
      <c r="I32" s="109">
        <v>-68764.49</v>
      </c>
    </row>
    <row r="33">
      <c r="A33" s="110">
        <v>10219.0</v>
      </c>
      <c r="B33" s="17">
        <v>47.0</v>
      </c>
      <c r="C33" s="11">
        <v>41.0</v>
      </c>
      <c r="D33" s="11">
        <v>41.0</v>
      </c>
      <c r="E33" s="11">
        <v>7.0</v>
      </c>
      <c r="F33" s="11">
        <v>4.0</v>
      </c>
      <c r="G33" s="215">
        <v>40165.91</v>
      </c>
      <c r="H33" s="11">
        <v>24.0</v>
      </c>
      <c r="I33" s="109">
        <v>87838.97</v>
      </c>
    </row>
    <row r="34">
      <c r="A34" s="110">
        <v>81120.0</v>
      </c>
      <c r="B34" s="17">
        <v>65.0</v>
      </c>
      <c r="C34" s="11">
        <v>62.0</v>
      </c>
      <c r="D34" s="11">
        <v>62.0</v>
      </c>
      <c r="E34" s="11">
        <v>2.0</v>
      </c>
      <c r="F34" s="11">
        <v>1.0</v>
      </c>
      <c r="G34" s="215">
        <v>-84239.45</v>
      </c>
      <c r="H34" s="11">
        <v>26.0</v>
      </c>
      <c r="I34" s="109">
        <v>77901.95</v>
      </c>
    </row>
    <row r="35">
      <c r="A35" s="110">
        <v>102521.0</v>
      </c>
      <c r="B35" s="17">
        <v>89.0</v>
      </c>
      <c r="C35" s="11">
        <v>62.0</v>
      </c>
      <c r="D35" s="11">
        <v>62.0</v>
      </c>
      <c r="E35" s="11">
        <v>2.0</v>
      </c>
      <c r="F35" s="11">
        <v>2.0</v>
      </c>
      <c r="G35" s="215">
        <v>-94880.33</v>
      </c>
      <c r="H35" s="11">
        <v>21.0</v>
      </c>
      <c r="I35" s="109">
        <v>-86568.89</v>
      </c>
    </row>
    <row r="36">
      <c r="A36" s="110">
        <v>81821.0</v>
      </c>
      <c r="B36" s="17">
        <v>14.0</v>
      </c>
      <c r="C36" s="11">
        <v>41.0</v>
      </c>
      <c r="D36" s="11">
        <v>41.0</v>
      </c>
      <c r="E36" s="11">
        <v>7.0</v>
      </c>
      <c r="F36" s="11">
        <v>7.0</v>
      </c>
      <c r="G36" s="215">
        <v>65234.62</v>
      </c>
      <c r="H36" s="11">
        <v>20.0</v>
      </c>
      <c r="I36" s="109">
        <v>-3604.77</v>
      </c>
    </row>
    <row r="37">
      <c r="A37" s="110">
        <v>90415.0</v>
      </c>
      <c r="B37" s="17">
        <v>29.0</v>
      </c>
      <c r="C37" s="11">
        <v>62.0</v>
      </c>
      <c r="D37" s="11">
        <v>62.0</v>
      </c>
      <c r="E37" s="11">
        <v>2.0</v>
      </c>
      <c r="F37" s="11">
        <v>5.0</v>
      </c>
      <c r="G37" s="215">
        <v>-89946.6</v>
      </c>
      <c r="H37" s="11">
        <v>29.0</v>
      </c>
      <c r="I37" s="109">
        <v>-65989.84</v>
      </c>
    </row>
    <row r="38">
      <c r="A38" s="110">
        <v>10115.0</v>
      </c>
      <c r="B38" s="17">
        <v>52.0</v>
      </c>
      <c r="C38" s="11">
        <v>21.0</v>
      </c>
      <c r="D38" s="11">
        <v>21.0</v>
      </c>
      <c r="E38" s="11">
        <v>3.0</v>
      </c>
      <c r="F38" s="11">
        <v>1.0</v>
      </c>
      <c r="G38" s="215">
        <v>73542.91</v>
      </c>
      <c r="H38" s="11">
        <v>20.0</v>
      </c>
      <c r="I38" s="109">
        <v>22741.03</v>
      </c>
    </row>
    <row r="39">
      <c r="A39" s="110">
        <v>70314.0</v>
      </c>
      <c r="B39" s="17">
        <v>52.0</v>
      </c>
      <c r="C39" s="11">
        <v>41.0</v>
      </c>
      <c r="D39" s="11">
        <v>82.0</v>
      </c>
      <c r="E39" s="11">
        <v>7.0</v>
      </c>
      <c r="F39" s="11">
        <v>5.0</v>
      </c>
      <c r="G39" s="215">
        <v>97285.02</v>
      </c>
      <c r="H39" s="11">
        <v>29.0</v>
      </c>
      <c r="I39" s="109">
        <v>-62816.29</v>
      </c>
    </row>
    <row r="40">
      <c r="A40" s="110">
        <v>90116.0</v>
      </c>
      <c r="B40" s="17">
        <v>15.0</v>
      </c>
      <c r="C40" s="11">
        <v>21.0</v>
      </c>
      <c r="D40" s="11">
        <v>21.0</v>
      </c>
      <c r="E40" s="11">
        <v>2.0</v>
      </c>
      <c r="F40" s="11">
        <v>6.0</v>
      </c>
      <c r="G40" s="215">
        <v>-49362.72</v>
      </c>
      <c r="H40" s="11">
        <v>30.0</v>
      </c>
      <c r="I40" s="109">
        <v>-15203.04</v>
      </c>
    </row>
    <row r="41">
      <c r="A41" s="110">
        <v>80518.0</v>
      </c>
      <c r="B41" s="17">
        <v>85.0</v>
      </c>
      <c r="C41" s="11">
        <v>21.0</v>
      </c>
      <c r="D41" s="11">
        <v>82.0</v>
      </c>
      <c r="E41" s="11">
        <v>7.0</v>
      </c>
      <c r="F41" s="11">
        <v>8.0</v>
      </c>
      <c r="G41" s="215">
        <v>-5453.21</v>
      </c>
      <c r="H41" s="11">
        <v>28.0</v>
      </c>
      <c r="I41" s="109">
        <v>-28270.62</v>
      </c>
    </row>
    <row r="42">
      <c r="A42" s="110">
        <v>50116.0</v>
      </c>
      <c r="B42" s="17">
        <v>98.0</v>
      </c>
      <c r="C42" s="11">
        <v>21.0</v>
      </c>
      <c r="D42" s="11">
        <v>41.0</v>
      </c>
      <c r="E42" s="11">
        <v>8.0</v>
      </c>
      <c r="F42" s="11">
        <v>3.0</v>
      </c>
      <c r="G42" s="215">
        <v>-85254.93</v>
      </c>
      <c r="H42" s="11">
        <v>24.0</v>
      </c>
      <c r="I42" s="109">
        <v>-98732.45</v>
      </c>
    </row>
    <row r="43">
      <c r="A43" s="110">
        <v>121713.0</v>
      </c>
      <c r="B43" s="17">
        <v>25.0</v>
      </c>
      <c r="C43" s="11">
        <v>21.0</v>
      </c>
      <c r="D43" s="11">
        <v>21.0</v>
      </c>
      <c r="E43" s="11">
        <v>3.0</v>
      </c>
      <c r="F43" s="11">
        <v>5.0</v>
      </c>
      <c r="G43" s="215">
        <v>-50154.33</v>
      </c>
      <c r="H43" s="11">
        <v>22.0</v>
      </c>
      <c r="I43" s="109">
        <v>-73501.1</v>
      </c>
    </row>
    <row r="44">
      <c r="A44" s="110">
        <v>82314.0</v>
      </c>
      <c r="B44" s="17">
        <v>44.0</v>
      </c>
      <c r="C44" s="11">
        <v>41.0</v>
      </c>
      <c r="D44" s="11">
        <v>41.0</v>
      </c>
      <c r="E44" s="11">
        <v>8.0</v>
      </c>
      <c r="F44" s="11">
        <v>5.0</v>
      </c>
      <c r="G44" s="215">
        <v>24782.24</v>
      </c>
      <c r="H44" s="11">
        <v>27.0</v>
      </c>
      <c r="I44" s="109">
        <v>89224.27</v>
      </c>
    </row>
    <row r="45">
      <c r="A45" s="110">
        <v>50119.0</v>
      </c>
      <c r="B45" s="17">
        <v>99.0</v>
      </c>
      <c r="C45" s="11">
        <v>82.0</v>
      </c>
      <c r="D45" s="11">
        <v>82.0</v>
      </c>
      <c r="E45" s="11">
        <v>7.0</v>
      </c>
      <c r="F45" s="11">
        <v>6.0</v>
      </c>
      <c r="G45" s="215">
        <v>90521.09</v>
      </c>
      <c r="H45" s="11">
        <v>29.0</v>
      </c>
      <c r="I45" s="109">
        <v>13949.56</v>
      </c>
    </row>
    <row r="46">
      <c r="A46" s="110">
        <v>10621.0</v>
      </c>
      <c r="B46" s="17">
        <v>51.0</v>
      </c>
      <c r="C46" s="11">
        <v>41.0</v>
      </c>
      <c r="D46" s="11">
        <v>62.0</v>
      </c>
      <c r="E46" s="11">
        <v>3.0</v>
      </c>
      <c r="F46" s="11">
        <v>5.0</v>
      </c>
      <c r="G46" s="215">
        <v>-13924.63</v>
      </c>
      <c r="H46" s="11">
        <v>22.0</v>
      </c>
      <c r="I46" s="109">
        <v>31766.84</v>
      </c>
    </row>
    <row r="47">
      <c r="A47" s="110">
        <v>122423.0</v>
      </c>
      <c r="B47" s="17">
        <v>6.0</v>
      </c>
      <c r="C47" s="11">
        <v>82.0</v>
      </c>
      <c r="D47" s="11">
        <v>41.0</v>
      </c>
      <c r="E47" s="11">
        <v>8.0</v>
      </c>
      <c r="F47" s="11">
        <v>8.0</v>
      </c>
      <c r="G47" s="215">
        <v>36417.48</v>
      </c>
      <c r="H47" s="11">
        <v>30.0</v>
      </c>
      <c r="I47" s="109">
        <v>-68194.34</v>
      </c>
    </row>
    <row r="48">
      <c r="A48" s="110">
        <v>82916.0</v>
      </c>
      <c r="B48" s="17">
        <v>73.0</v>
      </c>
      <c r="C48" s="11">
        <v>21.0</v>
      </c>
      <c r="D48" s="11">
        <v>21.0</v>
      </c>
      <c r="E48" s="11">
        <v>4.0</v>
      </c>
      <c r="F48" s="11">
        <v>1.0</v>
      </c>
      <c r="G48" s="215">
        <v>-64225.94</v>
      </c>
      <c r="H48" s="11">
        <v>30.0</v>
      </c>
      <c r="I48" s="109">
        <v>41725.33</v>
      </c>
    </row>
    <row r="49">
      <c r="A49" s="110">
        <v>121014.0</v>
      </c>
      <c r="B49" s="17">
        <v>81.0</v>
      </c>
      <c r="C49" s="11">
        <v>62.0</v>
      </c>
      <c r="D49" s="11">
        <v>62.0</v>
      </c>
      <c r="E49" s="11">
        <v>3.0</v>
      </c>
      <c r="F49" s="11">
        <v>6.0</v>
      </c>
      <c r="G49" s="215">
        <v>-70380.85</v>
      </c>
      <c r="H49" s="11">
        <v>25.0</v>
      </c>
      <c r="I49" s="109">
        <v>-83208.84</v>
      </c>
    </row>
    <row r="50">
      <c r="A50" s="110">
        <v>90423.0</v>
      </c>
      <c r="B50" s="17">
        <v>19.0</v>
      </c>
      <c r="C50" s="11">
        <v>21.0</v>
      </c>
      <c r="D50" s="11">
        <v>41.0</v>
      </c>
      <c r="E50" s="11">
        <v>9.0</v>
      </c>
      <c r="F50" s="11">
        <v>1.0</v>
      </c>
      <c r="G50" s="215">
        <v>80184.69</v>
      </c>
      <c r="H50" s="11">
        <v>26.0</v>
      </c>
      <c r="I50" s="109">
        <v>14872.31</v>
      </c>
    </row>
    <row r="51">
      <c r="A51" s="110">
        <v>102316.0</v>
      </c>
      <c r="B51" s="17">
        <v>87.0</v>
      </c>
      <c r="C51" s="11">
        <v>62.0</v>
      </c>
      <c r="D51" s="11">
        <v>41.0</v>
      </c>
      <c r="E51" s="11">
        <v>9.0</v>
      </c>
      <c r="F51" s="11">
        <v>3.0</v>
      </c>
      <c r="G51" s="215">
        <v>12316.98</v>
      </c>
      <c r="H51" s="11">
        <v>29.0</v>
      </c>
      <c r="I51" s="109">
        <v>-18466.41</v>
      </c>
    </row>
    <row r="52">
      <c r="A52" s="110">
        <v>72318.0</v>
      </c>
      <c r="B52" s="17">
        <v>75.0</v>
      </c>
      <c r="C52" s="11">
        <v>21.0</v>
      </c>
      <c r="D52" s="11">
        <v>62.0</v>
      </c>
      <c r="E52" s="11">
        <v>4.0</v>
      </c>
      <c r="F52" s="11">
        <v>1.0</v>
      </c>
      <c r="G52" s="215">
        <v>-49012.8</v>
      </c>
      <c r="H52" s="11">
        <v>30.0</v>
      </c>
      <c r="I52" s="109">
        <v>-83191.84</v>
      </c>
    </row>
    <row r="53">
      <c r="A53" s="110">
        <v>70819.0</v>
      </c>
      <c r="B53" s="17">
        <v>23.0</v>
      </c>
      <c r="C53" s="11">
        <v>21.0</v>
      </c>
      <c r="D53" s="11">
        <v>62.0</v>
      </c>
      <c r="E53" s="11">
        <v>4.0</v>
      </c>
      <c r="F53" s="11">
        <v>3.0</v>
      </c>
      <c r="G53" s="215">
        <v>66056.63</v>
      </c>
      <c r="H53" s="11">
        <v>24.0</v>
      </c>
      <c r="I53" s="109">
        <v>99510.4</v>
      </c>
    </row>
    <row r="54">
      <c r="A54" s="110">
        <v>81219.0</v>
      </c>
      <c r="B54" s="17">
        <v>6.0</v>
      </c>
      <c r="C54" s="11">
        <v>42.0</v>
      </c>
      <c r="D54" s="11">
        <v>82.0</v>
      </c>
      <c r="E54" s="11">
        <v>9.0</v>
      </c>
      <c r="F54" s="11">
        <v>2.0</v>
      </c>
      <c r="G54" s="215">
        <v>-82977.44</v>
      </c>
      <c r="H54" s="11">
        <v>30.0</v>
      </c>
      <c r="I54" s="109">
        <v>4783.52</v>
      </c>
    </row>
    <row r="55">
      <c r="A55" s="110">
        <v>91717.0</v>
      </c>
      <c r="B55" s="17">
        <v>79.0</v>
      </c>
      <c r="C55" s="11">
        <v>83.0</v>
      </c>
      <c r="D55" s="11">
        <v>62.0</v>
      </c>
      <c r="E55" s="11">
        <v>4.0</v>
      </c>
      <c r="F55" s="11">
        <v>7.0</v>
      </c>
      <c r="G55" s="215">
        <v>58711.42</v>
      </c>
      <c r="H55" s="11">
        <v>27.0</v>
      </c>
      <c r="I55" s="109">
        <v>-42646.49</v>
      </c>
    </row>
    <row r="56">
      <c r="A56" s="110">
        <v>72120.0</v>
      </c>
      <c r="B56" s="17">
        <v>84.0</v>
      </c>
      <c r="C56" s="11">
        <v>42.0</v>
      </c>
      <c r="D56" s="11">
        <v>62.0</v>
      </c>
      <c r="E56" s="11">
        <v>5.0</v>
      </c>
      <c r="F56" s="11">
        <v>1.0</v>
      </c>
      <c r="G56" s="215">
        <v>-75986.79</v>
      </c>
      <c r="H56" s="11">
        <v>26.0</v>
      </c>
      <c r="I56" s="109">
        <v>14671.96</v>
      </c>
    </row>
    <row r="57">
      <c r="A57" s="110">
        <v>122614.0</v>
      </c>
      <c r="B57" s="17">
        <v>96.0</v>
      </c>
      <c r="C57" s="11">
        <v>21.0</v>
      </c>
      <c r="D57" s="11">
        <v>21.0</v>
      </c>
      <c r="E57" s="11">
        <v>5.0</v>
      </c>
      <c r="F57" s="11">
        <v>9.0</v>
      </c>
      <c r="G57" s="215">
        <v>81158.88</v>
      </c>
      <c r="H57" s="11">
        <v>21.0</v>
      </c>
      <c r="I57" s="109">
        <v>-25741.66</v>
      </c>
    </row>
    <row r="58">
      <c r="A58" s="110">
        <v>83015.0</v>
      </c>
      <c r="B58" s="17">
        <v>58.0</v>
      </c>
      <c r="C58" s="11">
        <v>62.0</v>
      </c>
      <c r="D58" s="11">
        <v>62.0</v>
      </c>
      <c r="E58" s="11">
        <v>5.0</v>
      </c>
      <c r="F58" s="11">
        <v>6.0</v>
      </c>
      <c r="G58" s="215">
        <v>-26123.26</v>
      </c>
      <c r="H58" s="11">
        <v>30.0</v>
      </c>
      <c r="I58" s="109">
        <v>-17991.25</v>
      </c>
    </row>
    <row r="59">
      <c r="A59" s="110">
        <v>102118.0</v>
      </c>
      <c r="B59" s="17">
        <v>19.0</v>
      </c>
      <c r="C59" s="11">
        <v>42.0</v>
      </c>
      <c r="D59" s="11">
        <v>42.0</v>
      </c>
      <c r="E59" s="11">
        <v>1.0</v>
      </c>
      <c r="F59" s="11">
        <v>3.0</v>
      </c>
      <c r="G59" s="215">
        <v>53748.51</v>
      </c>
      <c r="H59" s="11">
        <v>28.0</v>
      </c>
      <c r="I59" s="109">
        <v>94865.6</v>
      </c>
    </row>
    <row r="60">
      <c r="A60" s="110">
        <v>53017.0</v>
      </c>
      <c r="B60" s="17">
        <v>79.0</v>
      </c>
      <c r="C60" s="11">
        <v>62.0</v>
      </c>
      <c r="D60" s="11">
        <v>62.0</v>
      </c>
      <c r="E60" s="11">
        <v>6.0</v>
      </c>
      <c r="F60" s="11">
        <v>2.0</v>
      </c>
      <c r="G60" s="215">
        <v>-46546.49</v>
      </c>
      <c r="H60" s="11">
        <v>27.0</v>
      </c>
      <c r="I60" s="109">
        <v>-95101.13</v>
      </c>
    </row>
    <row r="61">
      <c r="A61" s="110">
        <v>111514.0</v>
      </c>
      <c r="B61" s="17">
        <v>35.0</v>
      </c>
      <c r="C61" s="11">
        <v>42.0</v>
      </c>
      <c r="D61" s="11">
        <v>62.0</v>
      </c>
      <c r="E61" s="11">
        <v>6.0</v>
      </c>
      <c r="F61" s="11">
        <v>4.0</v>
      </c>
      <c r="G61" s="215">
        <v>-82556.57</v>
      </c>
      <c r="H61" s="11">
        <v>22.0</v>
      </c>
      <c r="I61" s="109">
        <v>2598.37</v>
      </c>
    </row>
    <row r="62">
      <c r="A62" s="110">
        <v>92316.0</v>
      </c>
      <c r="B62" s="17">
        <v>7.0</v>
      </c>
      <c r="C62" s="11">
        <v>42.0</v>
      </c>
      <c r="D62" s="11">
        <v>21.0</v>
      </c>
      <c r="E62" s="11">
        <v>6.0</v>
      </c>
      <c r="F62" s="11">
        <v>8.0</v>
      </c>
      <c r="G62" s="215">
        <v>91466.7</v>
      </c>
      <c r="H62" s="11">
        <v>30.0</v>
      </c>
      <c r="I62" s="109">
        <v>32619.9</v>
      </c>
    </row>
    <row r="63">
      <c r="A63" s="110">
        <v>22213.0</v>
      </c>
      <c r="B63" s="17">
        <v>67.0</v>
      </c>
      <c r="C63" s="11">
        <v>83.0</v>
      </c>
      <c r="D63" s="11">
        <v>42.0</v>
      </c>
      <c r="E63" s="11">
        <v>1.0</v>
      </c>
      <c r="F63" s="11">
        <v>7.0</v>
      </c>
      <c r="G63" s="215">
        <v>-36371.12</v>
      </c>
      <c r="H63" s="11">
        <v>21.0</v>
      </c>
      <c r="I63" s="109">
        <v>-9520.57</v>
      </c>
    </row>
    <row r="64">
      <c r="A64" s="110">
        <v>111814.0</v>
      </c>
      <c r="B64" s="17">
        <v>2.0</v>
      </c>
      <c r="C64" s="11">
        <v>83.0</v>
      </c>
      <c r="D64" s="11">
        <v>83.0</v>
      </c>
      <c r="E64" s="11">
        <v>1.0</v>
      </c>
      <c r="F64" s="11">
        <v>5.0</v>
      </c>
      <c r="G64" s="215">
        <v>18908.21</v>
      </c>
      <c r="H64" s="11">
        <v>27.0</v>
      </c>
      <c r="I64" s="109">
        <v>69571.11</v>
      </c>
    </row>
    <row r="65">
      <c r="A65" s="110">
        <v>31123.0</v>
      </c>
      <c r="B65" s="17">
        <v>37.0</v>
      </c>
      <c r="C65" s="11">
        <v>42.0</v>
      </c>
      <c r="D65" s="11">
        <v>21.0</v>
      </c>
      <c r="E65" s="11">
        <v>7.0</v>
      </c>
      <c r="F65" s="11">
        <v>1.0</v>
      </c>
      <c r="G65" s="215">
        <v>28730.65</v>
      </c>
      <c r="H65" s="11">
        <v>23.0</v>
      </c>
      <c r="I65" s="109">
        <v>73850.92</v>
      </c>
    </row>
    <row r="66">
      <c r="A66" s="110">
        <v>80518.0</v>
      </c>
      <c r="B66" s="17">
        <v>69.0</v>
      </c>
      <c r="C66" s="11">
        <v>83.0</v>
      </c>
      <c r="D66" s="11">
        <v>83.0</v>
      </c>
      <c r="E66" s="11">
        <v>1.0</v>
      </c>
      <c r="F66" s="11">
        <v>7.0</v>
      </c>
      <c r="G66" s="215">
        <v>55651.2</v>
      </c>
      <c r="H66" s="11">
        <v>29.0</v>
      </c>
      <c r="I66" s="109">
        <v>-97288.57</v>
      </c>
    </row>
    <row r="67">
      <c r="A67" s="110">
        <v>91616.0</v>
      </c>
      <c r="B67" s="17">
        <v>30.0</v>
      </c>
      <c r="C67" s="11">
        <v>21.0</v>
      </c>
      <c r="D67" s="11">
        <v>62.0</v>
      </c>
      <c r="E67" s="11">
        <v>7.0</v>
      </c>
      <c r="F67" s="11">
        <v>6.0</v>
      </c>
      <c r="G67" s="215">
        <v>81716.24</v>
      </c>
      <c r="H67" s="11">
        <v>22.0</v>
      </c>
      <c r="I67" s="109">
        <v>22208.17</v>
      </c>
    </row>
    <row r="68">
      <c r="A68" s="110">
        <v>50616.0</v>
      </c>
      <c r="B68" s="17">
        <v>24.0</v>
      </c>
      <c r="C68" s="11">
        <v>61.0</v>
      </c>
      <c r="D68" s="11">
        <v>83.0</v>
      </c>
      <c r="E68" s="11">
        <v>2.0</v>
      </c>
      <c r="F68" s="11">
        <v>4.0</v>
      </c>
      <c r="G68" s="215">
        <v>-96882.29</v>
      </c>
      <c r="H68" s="11">
        <v>26.0</v>
      </c>
      <c r="I68" s="109">
        <v>-90502.38</v>
      </c>
    </row>
    <row r="69">
      <c r="A69" s="110">
        <v>122317.0</v>
      </c>
      <c r="B69" s="17">
        <v>29.0</v>
      </c>
      <c r="C69" s="11">
        <v>83.0</v>
      </c>
      <c r="D69" s="11">
        <v>42.0</v>
      </c>
      <c r="E69" s="11">
        <v>2.0</v>
      </c>
      <c r="F69" s="11">
        <v>8.0</v>
      </c>
      <c r="G69" s="215">
        <v>59828.14</v>
      </c>
      <c r="H69" s="11">
        <v>28.0</v>
      </c>
      <c r="I69" s="109">
        <v>38864.34</v>
      </c>
    </row>
    <row r="70">
      <c r="A70" s="110">
        <v>80714.0</v>
      </c>
      <c r="B70" s="17">
        <v>29.0</v>
      </c>
      <c r="C70" s="11">
        <v>21.0</v>
      </c>
      <c r="D70" s="11">
        <v>21.0</v>
      </c>
      <c r="E70" s="11">
        <v>8.0</v>
      </c>
      <c r="F70" s="11">
        <v>4.0</v>
      </c>
      <c r="G70" s="215">
        <v>-7155.86</v>
      </c>
      <c r="H70" s="11">
        <v>27.0</v>
      </c>
      <c r="I70" s="109">
        <v>22390.32</v>
      </c>
    </row>
    <row r="71">
      <c r="A71" s="110">
        <v>60420.0</v>
      </c>
      <c r="B71" s="17">
        <v>21.0</v>
      </c>
      <c r="C71" s="11">
        <v>62.0</v>
      </c>
      <c r="D71" s="11">
        <v>62.0</v>
      </c>
      <c r="E71" s="11">
        <v>8.0</v>
      </c>
      <c r="F71" s="11">
        <v>1.0</v>
      </c>
      <c r="G71" s="215">
        <v>-92043.96</v>
      </c>
      <c r="H71" s="11">
        <v>27.0</v>
      </c>
      <c r="I71" s="109">
        <v>-16792.05</v>
      </c>
    </row>
    <row r="72">
      <c r="A72" s="110">
        <v>100923.0</v>
      </c>
      <c r="B72" s="17">
        <v>39.0</v>
      </c>
      <c r="C72" s="11">
        <v>83.0</v>
      </c>
      <c r="D72" s="11">
        <v>62.0</v>
      </c>
      <c r="E72" s="11">
        <v>8.0</v>
      </c>
      <c r="F72" s="11">
        <v>2.0</v>
      </c>
      <c r="G72" s="215">
        <v>70946.75</v>
      </c>
      <c r="H72" s="11">
        <v>28.0</v>
      </c>
      <c r="I72" s="109">
        <v>80792.18</v>
      </c>
    </row>
    <row r="73">
      <c r="A73" s="110">
        <v>62517.0</v>
      </c>
      <c r="B73" s="17">
        <v>38.0</v>
      </c>
      <c r="C73" s="11">
        <v>83.0</v>
      </c>
      <c r="D73" s="11">
        <v>42.0</v>
      </c>
      <c r="E73" s="11">
        <v>3.0</v>
      </c>
      <c r="F73" s="11">
        <v>4.0</v>
      </c>
      <c r="G73" s="215">
        <v>-81892.07</v>
      </c>
      <c r="H73" s="11">
        <v>26.0</v>
      </c>
      <c r="I73" s="109">
        <v>-60355.28</v>
      </c>
    </row>
    <row r="74">
      <c r="A74" s="110">
        <v>32517.0</v>
      </c>
      <c r="B74" s="17">
        <v>87.0</v>
      </c>
      <c r="C74" s="11">
        <v>83.0</v>
      </c>
      <c r="D74" s="11">
        <v>42.0</v>
      </c>
      <c r="E74" s="11">
        <v>3.0</v>
      </c>
      <c r="F74" s="11">
        <v>5.0</v>
      </c>
      <c r="G74" s="215">
        <v>-48857.51</v>
      </c>
      <c r="H74" s="11">
        <v>29.0</v>
      </c>
      <c r="I74" s="109">
        <v>-54316.82</v>
      </c>
    </row>
    <row r="75">
      <c r="A75" s="110">
        <v>112820.0</v>
      </c>
      <c r="B75" s="17">
        <v>68.0</v>
      </c>
      <c r="C75" s="11">
        <v>22.0</v>
      </c>
      <c r="D75" s="11">
        <v>42.0</v>
      </c>
      <c r="E75" s="11">
        <v>3.0</v>
      </c>
      <c r="F75" s="11">
        <v>9.0</v>
      </c>
      <c r="G75" s="215">
        <v>-22891.18</v>
      </c>
      <c r="H75" s="11">
        <v>28.0</v>
      </c>
      <c r="I75" s="109">
        <v>35103.4</v>
      </c>
    </row>
    <row r="76">
      <c r="A76" s="110">
        <v>32522.0</v>
      </c>
      <c r="B76" s="17">
        <v>48.0</v>
      </c>
      <c r="C76" s="11">
        <v>42.0</v>
      </c>
      <c r="D76" s="11">
        <v>62.0</v>
      </c>
      <c r="E76" s="11">
        <v>8.0</v>
      </c>
      <c r="F76" s="11">
        <v>9.0</v>
      </c>
      <c r="G76" s="215">
        <v>28967.74</v>
      </c>
      <c r="H76" s="11">
        <v>23.0</v>
      </c>
      <c r="I76" s="109">
        <v>-46658.7</v>
      </c>
    </row>
    <row r="77">
      <c r="A77" s="110">
        <v>62015.0</v>
      </c>
      <c r="B77" s="17">
        <v>85.0</v>
      </c>
      <c r="C77" s="11">
        <v>22.0</v>
      </c>
      <c r="D77" s="11">
        <v>83.0</v>
      </c>
      <c r="E77" s="11">
        <v>3.0</v>
      </c>
      <c r="F77" s="11">
        <v>8.0</v>
      </c>
      <c r="G77" s="215">
        <v>-87678.54</v>
      </c>
      <c r="H77" s="11">
        <v>20.0</v>
      </c>
      <c r="I77" s="109">
        <v>5653.0</v>
      </c>
    </row>
    <row r="78">
      <c r="A78" s="110">
        <v>20718.0</v>
      </c>
      <c r="B78" s="17">
        <v>19.0</v>
      </c>
      <c r="C78" s="11">
        <v>83.0</v>
      </c>
      <c r="D78" s="11">
        <v>42.0</v>
      </c>
      <c r="E78" s="11">
        <v>4.0</v>
      </c>
      <c r="F78" s="11">
        <v>3.0</v>
      </c>
      <c r="G78" s="215">
        <v>-48890.35</v>
      </c>
      <c r="H78" s="11">
        <v>21.0</v>
      </c>
      <c r="I78" s="109">
        <v>25280.32</v>
      </c>
    </row>
    <row r="79">
      <c r="A79" s="110">
        <v>11713.0</v>
      </c>
      <c r="B79" s="17">
        <v>39.0</v>
      </c>
      <c r="C79" s="11">
        <v>83.0</v>
      </c>
      <c r="D79" s="11">
        <v>21.0</v>
      </c>
      <c r="E79" s="11">
        <v>9.0</v>
      </c>
      <c r="F79" s="11">
        <v>6.0</v>
      </c>
      <c r="G79" s="215">
        <v>-61426.53</v>
      </c>
      <c r="H79" s="11">
        <v>29.0</v>
      </c>
      <c r="I79" s="109">
        <v>-18724.22</v>
      </c>
    </row>
    <row r="80">
      <c r="A80" s="110">
        <v>12221.0</v>
      </c>
      <c r="B80" s="17">
        <v>4.0</v>
      </c>
      <c r="C80" s="11">
        <v>22.0</v>
      </c>
      <c r="D80" s="11">
        <v>62.0</v>
      </c>
      <c r="E80" s="11">
        <v>9.0</v>
      </c>
      <c r="F80" s="11">
        <v>3.0</v>
      </c>
      <c r="G80" s="215">
        <v>60933.47</v>
      </c>
      <c r="H80" s="11">
        <v>22.0</v>
      </c>
      <c r="I80" s="109">
        <v>-69994.99</v>
      </c>
    </row>
    <row r="81">
      <c r="A81" s="110">
        <v>80520.0</v>
      </c>
      <c r="B81" s="17">
        <v>16.0</v>
      </c>
      <c r="C81" s="11">
        <v>63.0</v>
      </c>
      <c r="D81" s="11">
        <v>42.0</v>
      </c>
      <c r="E81" s="11">
        <v>4.0</v>
      </c>
      <c r="F81" s="11">
        <v>5.0</v>
      </c>
      <c r="G81" s="215">
        <v>-28786.68</v>
      </c>
      <c r="H81" s="11">
        <v>28.0</v>
      </c>
      <c r="I81" s="109">
        <v>44852.51</v>
      </c>
    </row>
    <row r="82">
      <c r="A82" s="110">
        <v>12321.0</v>
      </c>
      <c r="B82" s="17">
        <v>88.0</v>
      </c>
      <c r="C82" s="11">
        <v>83.0</v>
      </c>
      <c r="D82" s="11">
        <v>21.0</v>
      </c>
      <c r="E82" s="11">
        <v>9.0</v>
      </c>
      <c r="F82" s="11">
        <v>3.0</v>
      </c>
      <c r="G82" s="215">
        <v>42421.64</v>
      </c>
      <c r="H82" s="11">
        <v>26.0</v>
      </c>
      <c r="I82" s="109">
        <v>-90020.08</v>
      </c>
    </row>
    <row r="83">
      <c r="A83" s="110">
        <v>81619.0</v>
      </c>
      <c r="B83" s="17">
        <v>62.0</v>
      </c>
      <c r="C83" s="11">
        <v>42.0</v>
      </c>
      <c r="D83" s="11">
        <v>83.0</v>
      </c>
      <c r="E83" s="11">
        <v>4.0</v>
      </c>
      <c r="F83" s="11">
        <v>4.0</v>
      </c>
      <c r="G83" s="215">
        <v>7650.96</v>
      </c>
      <c r="H83" s="11">
        <v>25.0</v>
      </c>
      <c r="I83" s="109">
        <v>-48475.53</v>
      </c>
    </row>
    <row r="84">
      <c r="A84" s="110">
        <v>102018.0</v>
      </c>
      <c r="B84" s="17">
        <v>1.0</v>
      </c>
      <c r="C84" s="11">
        <v>22.0</v>
      </c>
      <c r="D84" s="11">
        <v>42.0</v>
      </c>
      <c r="E84" s="11">
        <v>4.0</v>
      </c>
      <c r="F84" s="11">
        <v>9.0</v>
      </c>
      <c r="G84" s="215">
        <v>-77259.14</v>
      </c>
      <c r="H84" s="11">
        <v>22.0</v>
      </c>
      <c r="I84" s="109">
        <v>-49097.05</v>
      </c>
    </row>
    <row r="85">
      <c r="A85" s="110">
        <v>70114.0</v>
      </c>
      <c r="B85" s="17">
        <v>46.0</v>
      </c>
      <c r="C85" s="11">
        <v>83.0</v>
      </c>
      <c r="D85" s="11">
        <v>42.0</v>
      </c>
      <c r="E85" s="11">
        <v>5.0</v>
      </c>
      <c r="F85" s="11">
        <v>1.0</v>
      </c>
      <c r="G85" s="215">
        <v>91677.08</v>
      </c>
      <c r="H85" s="11">
        <v>27.0</v>
      </c>
      <c r="I85" s="109">
        <v>95338.37</v>
      </c>
    </row>
    <row r="86">
      <c r="A86" s="110">
        <v>120217.0</v>
      </c>
      <c r="B86" s="17">
        <v>2.0</v>
      </c>
      <c r="C86" s="11">
        <v>22.0</v>
      </c>
      <c r="D86" s="11">
        <v>83.0</v>
      </c>
      <c r="E86" s="11">
        <v>4.0</v>
      </c>
      <c r="F86" s="11">
        <v>9.0</v>
      </c>
      <c r="G86" s="215">
        <v>-34141.72</v>
      </c>
      <c r="H86" s="11">
        <v>24.0</v>
      </c>
      <c r="I86" s="109">
        <v>-78024.21</v>
      </c>
    </row>
    <row r="87">
      <c r="A87" s="110">
        <v>110920.0</v>
      </c>
      <c r="B87" s="17">
        <v>39.0</v>
      </c>
      <c r="C87" s="11">
        <v>83.0</v>
      </c>
      <c r="D87" s="11">
        <v>83.0</v>
      </c>
      <c r="E87" s="11">
        <v>5.0</v>
      </c>
      <c r="F87" s="11">
        <v>3.0</v>
      </c>
      <c r="G87" s="215">
        <v>-20589.97</v>
      </c>
      <c r="H87" s="11">
        <v>23.0</v>
      </c>
      <c r="I87" s="109">
        <v>60590.48</v>
      </c>
    </row>
    <row r="88">
      <c r="A88" s="110">
        <v>31420.0</v>
      </c>
      <c r="B88" s="17">
        <v>19.0</v>
      </c>
      <c r="C88" s="11">
        <v>83.0</v>
      </c>
      <c r="D88" s="11">
        <v>22.0</v>
      </c>
      <c r="E88" s="11">
        <v>1.0</v>
      </c>
      <c r="F88" s="11">
        <v>9.0</v>
      </c>
      <c r="G88" s="215">
        <v>24872.93</v>
      </c>
      <c r="H88" s="11">
        <v>22.0</v>
      </c>
      <c r="I88" s="109">
        <v>-12285.1</v>
      </c>
    </row>
    <row r="89">
      <c r="A89" s="110">
        <v>110914.0</v>
      </c>
      <c r="B89" s="17">
        <v>9.0</v>
      </c>
      <c r="C89" s="11">
        <v>63.0</v>
      </c>
      <c r="D89" s="11">
        <v>42.0</v>
      </c>
      <c r="E89" s="11">
        <v>6.0</v>
      </c>
      <c r="F89" s="11">
        <v>7.0</v>
      </c>
      <c r="G89" s="215">
        <v>-79714.88</v>
      </c>
      <c r="H89" s="11">
        <v>22.0</v>
      </c>
      <c r="I89" s="109">
        <v>65130.4</v>
      </c>
    </row>
    <row r="90">
      <c r="A90" s="110">
        <v>110522.0</v>
      </c>
      <c r="B90" s="17">
        <v>56.0</v>
      </c>
      <c r="C90" s="11">
        <v>42.0</v>
      </c>
      <c r="D90" s="11">
        <v>83.0</v>
      </c>
      <c r="E90" s="11">
        <v>6.0</v>
      </c>
      <c r="F90" s="11">
        <v>5.0</v>
      </c>
      <c r="G90" s="215">
        <v>-28835.5</v>
      </c>
      <c r="H90" s="11">
        <v>22.0</v>
      </c>
      <c r="I90" s="109">
        <v>-92908.82</v>
      </c>
    </row>
    <row r="91">
      <c r="A91" s="110">
        <v>11318.0</v>
      </c>
      <c r="B91" s="17">
        <v>47.0</v>
      </c>
      <c r="C91" s="11">
        <v>22.0</v>
      </c>
      <c r="D91" s="11">
        <v>22.0</v>
      </c>
      <c r="E91" s="11">
        <v>2.0</v>
      </c>
      <c r="F91" s="11">
        <v>2.0</v>
      </c>
      <c r="G91" s="215">
        <v>-92468.54</v>
      </c>
      <c r="H91" s="11">
        <v>30.0</v>
      </c>
      <c r="I91" s="109">
        <v>26409.75</v>
      </c>
    </row>
    <row r="92">
      <c r="A92" s="110">
        <v>80617.0</v>
      </c>
      <c r="B92" s="17">
        <v>99.0</v>
      </c>
      <c r="C92" s="11">
        <v>42.0</v>
      </c>
      <c r="D92" s="11">
        <v>63.0</v>
      </c>
      <c r="E92" s="11">
        <v>2.0</v>
      </c>
      <c r="F92" s="11">
        <v>1.0</v>
      </c>
      <c r="G92" s="215">
        <v>69850.5</v>
      </c>
      <c r="H92" s="11">
        <v>26.0</v>
      </c>
      <c r="I92" s="109">
        <v>29734.06</v>
      </c>
    </row>
    <row r="93">
      <c r="A93" s="110">
        <v>11114.0</v>
      </c>
      <c r="B93" s="17">
        <v>48.0</v>
      </c>
      <c r="C93" s="11">
        <v>83.0</v>
      </c>
      <c r="D93" s="11">
        <v>22.0</v>
      </c>
      <c r="E93" s="11">
        <v>2.0</v>
      </c>
      <c r="F93" s="11">
        <v>6.0</v>
      </c>
      <c r="G93" s="215">
        <v>-48121.44</v>
      </c>
      <c r="H93" s="11">
        <v>26.0</v>
      </c>
      <c r="I93" s="109">
        <v>82904.84</v>
      </c>
    </row>
    <row r="94">
      <c r="A94" s="110">
        <v>90720.0</v>
      </c>
      <c r="B94" s="17">
        <v>25.0</v>
      </c>
      <c r="C94" s="11">
        <v>63.0</v>
      </c>
      <c r="D94" s="11">
        <v>42.0</v>
      </c>
      <c r="E94" s="11">
        <v>7.0</v>
      </c>
      <c r="F94" s="11">
        <v>5.0</v>
      </c>
      <c r="G94" s="215">
        <v>97217.21</v>
      </c>
      <c r="H94" s="11">
        <v>28.0</v>
      </c>
      <c r="I94" s="109">
        <v>98295.75</v>
      </c>
    </row>
    <row r="95">
      <c r="A95" s="110">
        <v>91816.0</v>
      </c>
      <c r="B95" s="17">
        <v>26.0</v>
      </c>
      <c r="C95" s="11">
        <v>22.0</v>
      </c>
      <c r="D95" s="11">
        <v>63.0</v>
      </c>
      <c r="E95" s="11">
        <v>2.0</v>
      </c>
      <c r="F95" s="11">
        <v>2.0</v>
      </c>
      <c r="G95" s="215">
        <v>-75441.23</v>
      </c>
      <c r="H95" s="11">
        <v>21.0</v>
      </c>
      <c r="I95" s="109">
        <v>-34911.42</v>
      </c>
    </row>
    <row r="96">
      <c r="A96" s="110">
        <v>10917.0</v>
      </c>
      <c r="B96" s="17">
        <v>45.0</v>
      </c>
      <c r="C96" s="11">
        <v>22.0</v>
      </c>
      <c r="D96" s="11">
        <v>22.0</v>
      </c>
      <c r="E96" s="11">
        <v>2.0</v>
      </c>
      <c r="F96" s="11">
        <v>9.0</v>
      </c>
      <c r="G96" s="215">
        <v>59287.24</v>
      </c>
      <c r="H96" s="11">
        <v>23.0</v>
      </c>
      <c r="I96" s="109">
        <v>-71089.82</v>
      </c>
    </row>
    <row r="97">
      <c r="A97" s="110">
        <v>102023.0</v>
      </c>
      <c r="B97" s="17">
        <v>70.0</v>
      </c>
      <c r="C97" s="11">
        <v>42.0</v>
      </c>
      <c r="D97" s="11">
        <v>63.0</v>
      </c>
      <c r="E97" s="11">
        <v>2.0</v>
      </c>
      <c r="F97" s="11">
        <v>6.0</v>
      </c>
      <c r="G97" s="215">
        <v>-71283.11</v>
      </c>
      <c r="H97" s="11">
        <v>30.0</v>
      </c>
      <c r="I97" s="109">
        <v>-39407.84</v>
      </c>
    </row>
    <row r="98">
      <c r="A98" s="110">
        <v>10215.0</v>
      </c>
      <c r="B98" s="17">
        <v>93.0</v>
      </c>
      <c r="C98" s="11">
        <v>83.0</v>
      </c>
      <c r="D98" s="11">
        <v>42.0</v>
      </c>
      <c r="E98" s="11">
        <v>7.0</v>
      </c>
      <c r="F98" s="11">
        <v>8.0</v>
      </c>
      <c r="G98" s="215">
        <v>64820.0</v>
      </c>
      <c r="H98" s="11">
        <v>28.0</v>
      </c>
      <c r="I98" s="109">
        <v>21734.95</v>
      </c>
    </row>
    <row r="99">
      <c r="A99" s="110">
        <v>121920.0</v>
      </c>
      <c r="B99" s="17">
        <v>37.0</v>
      </c>
      <c r="C99" s="11">
        <v>22.0</v>
      </c>
      <c r="D99" s="11">
        <v>63.0</v>
      </c>
      <c r="E99" s="11">
        <v>2.0</v>
      </c>
      <c r="F99" s="11">
        <v>9.0</v>
      </c>
      <c r="G99" s="215">
        <v>75987.61</v>
      </c>
      <c r="H99" s="11">
        <v>21.0</v>
      </c>
      <c r="I99" s="109">
        <v>-26706.66</v>
      </c>
    </row>
    <row r="100">
      <c r="A100" s="110">
        <v>122915.0</v>
      </c>
      <c r="B100" s="17">
        <v>92.0</v>
      </c>
      <c r="C100" s="11">
        <v>63.0</v>
      </c>
      <c r="D100" s="11">
        <v>83.0</v>
      </c>
      <c r="E100" s="11">
        <v>7.0</v>
      </c>
      <c r="F100" s="11">
        <v>9.0</v>
      </c>
      <c r="G100" s="215">
        <v>26487.76</v>
      </c>
      <c r="H100" s="11">
        <v>21.0</v>
      </c>
      <c r="I100" s="109">
        <v>62684.63</v>
      </c>
    </row>
    <row r="101">
      <c r="A101" s="110">
        <v>42623.0</v>
      </c>
      <c r="B101" s="17">
        <v>48.0</v>
      </c>
      <c r="C101" s="11">
        <v>43.0</v>
      </c>
      <c r="D101" s="11">
        <v>63.0</v>
      </c>
      <c r="E101" s="11">
        <v>3.0</v>
      </c>
      <c r="F101" s="11">
        <v>5.0</v>
      </c>
      <c r="G101" s="215">
        <v>64811.25</v>
      </c>
      <c r="H101" s="11">
        <v>22.0</v>
      </c>
      <c r="I101" s="109">
        <v>-92362.64</v>
      </c>
    </row>
    <row r="102">
      <c r="A102" s="110">
        <v>111120.0</v>
      </c>
      <c r="B102" s="17">
        <v>2.0</v>
      </c>
      <c r="C102" s="11">
        <v>43.0</v>
      </c>
      <c r="D102" s="11">
        <v>42.0</v>
      </c>
      <c r="E102" s="11">
        <v>8.0</v>
      </c>
      <c r="F102" s="11">
        <v>8.0</v>
      </c>
      <c r="G102" s="215">
        <v>-2524.84</v>
      </c>
      <c r="H102" s="11">
        <v>24.0</v>
      </c>
      <c r="I102" s="109">
        <v>-45803.04</v>
      </c>
    </row>
    <row r="103">
      <c r="A103" s="110">
        <v>110316.0</v>
      </c>
      <c r="B103" s="17">
        <v>55.0</v>
      </c>
      <c r="C103" s="11">
        <v>63.0</v>
      </c>
      <c r="D103" s="11">
        <v>22.0</v>
      </c>
      <c r="E103" s="11">
        <v>4.0</v>
      </c>
      <c r="F103" s="11">
        <v>1.0</v>
      </c>
      <c r="G103" s="215">
        <v>-32794.2</v>
      </c>
      <c r="H103" s="11">
        <v>28.0</v>
      </c>
      <c r="I103" s="109">
        <v>-51521.93</v>
      </c>
    </row>
    <row r="104">
      <c r="A104" s="110">
        <v>20819.0</v>
      </c>
      <c r="B104" s="17">
        <v>49.0</v>
      </c>
      <c r="C104" s="11">
        <v>84.0</v>
      </c>
      <c r="D104" s="11">
        <v>63.0</v>
      </c>
      <c r="E104" s="11">
        <v>3.0</v>
      </c>
      <c r="F104" s="11">
        <v>9.0</v>
      </c>
      <c r="G104" s="215">
        <v>5773.83</v>
      </c>
      <c r="H104" s="11">
        <v>27.0</v>
      </c>
      <c r="I104" s="109">
        <v>-86623.65</v>
      </c>
    </row>
    <row r="105">
      <c r="A105" s="110">
        <v>92922.0</v>
      </c>
      <c r="B105" s="17">
        <v>74.0</v>
      </c>
      <c r="C105" s="11">
        <v>43.0</v>
      </c>
      <c r="D105" s="11">
        <v>42.0</v>
      </c>
      <c r="E105" s="11">
        <v>9.0</v>
      </c>
      <c r="F105" s="11">
        <v>2.0</v>
      </c>
      <c r="G105" s="215">
        <v>-67442.3</v>
      </c>
      <c r="H105" s="11">
        <v>28.0</v>
      </c>
      <c r="I105" s="109">
        <v>-9591.15</v>
      </c>
    </row>
    <row r="106">
      <c r="A106" s="110">
        <v>20119.0</v>
      </c>
      <c r="B106" s="17">
        <v>45.0</v>
      </c>
      <c r="C106" s="11">
        <v>84.0</v>
      </c>
      <c r="D106" s="11">
        <v>63.0</v>
      </c>
      <c r="E106" s="11">
        <v>4.0</v>
      </c>
      <c r="F106" s="11">
        <v>1.0</v>
      </c>
      <c r="G106" s="215">
        <v>30896.92</v>
      </c>
      <c r="H106" s="11">
        <v>21.0</v>
      </c>
      <c r="I106" s="109">
        <v>92136.3</v>
      </c>
    </row>
    <row r="107">
      <c r="A107" s="110">
        <v>50319.0</v>
      </c>
      <c r="B107" s="17">
        <v>45.0</v>
      </c>
      <c r="C107" s="11">
        <v>43.0</v>
      </c>
      <c r="D107" s="11">
        <v>42.0</v>
      </c>
      <c r="E107" s="11">
        <v>9.0</v>
      </c>
      <c r="F107" s="11">
        <v>3.0</v>
      </c>
      <c r="G107" s="215">
        <v>84065.81</v>
      </c>
      <c r="H107" s="11">
        <v>27.0</v>
      </c>
      <c r="I107" s="109">
        <v>72415.54</v>
      </c>
    </row>
    <row r="108">
      <c r="A108" s="110">
        <v>21521.0</v>
      </c>
      <c r="B108" s="17">
        <v>15.0</v>
      </c>
      <c r="C108" s="11">
        <v>84.0</v>
      </c>
      <c r="D108" s="11">
        <v>22.0</v>
      </c>
      <c r="E108" s="11">
        <v>4.0</v>
      </c>
      <c r="F108" s="11">
        <v>6.0</v>
      </c>
      <c r="G108" s="215">
        <v>2018.08</v>
      </c>
      <c r="H108" s="11">
        <v>27.0</v>
      </c>
      <c r="I108" s="109">
        <v>89322.69</v>
      </c>
    </row>
    <row r="109">
      <c r="A109" s="110">
        <v>41818.0</v>
      </c>
      <c r="B109" s="17">
        <v>28.0</v>
      </c>
      <c r="C109" s="11">
        <v>63.0</v>
      </c>
      <c r="D109" s="11">
        <v>22.0</v>
      </c>
      <c r="E109" s="11">
        <v>4.0</v>
      </c>
      <c r="F109" s="11">
        <v>9.0</v>
      </c>
      <c r="G109" s="215">
        <v>-22938.79</v>
      </c>
      <c r="H109" s="11">
        <v>30.0</v>
      </c>
      <c r="I109" s="109">
        <v>-79694.05</v>
      </c>
    </row>
    <row r="110">
      <c r="A110" s="110">
        <v>62815.0</v>
      </c>
      <c r="B110" s="17">
        <v>75.0</v>
      </c>
      <c r="C110" s="11">
        <v>43.0</v>
      </c>
      <c r="D110" s="11">
        <v>22.0</v>
      </c>
      <c r="E110" s="11">
        <v>5.0</v>
      </c>
      <c r="F110" s="11">
        <v>2.0</v>
      </c>
      <c r="G110" s="215">
        <v>44203.79</v>
      </c>
      <c r="H110" s="11">
        <v>24.0</v>
      </c>
      <c r="I110" s="109">
        <v>20894.8</v>
      </c>
    </row>
    <row r="111">
      <c r="A111" s="110">
        <v>22014.0</v>
      </c>
      <c r="B111" s="17">
        <v>91.0</v>
      </c>
      <c r="C111" s="11">
        <v>43.0</v>
      </c>
      <c r="D111" s="11">
        <v>63.0</v>
      </c>
      <c r="E111" s="11">
        <v>5.0</v>
      </c>
      <c r="F111" s="11">
        <v>1.0</v>
      </c>
      <c r="G111" s="215">
        <v>94049.94</v>
      </c>
      <c r="H111" s="11">
        <v>22.0</v>
      </c>
      <c r="I111" s="109">
        <v>18426.46</v>
      </c>
    </row>
    <row r="112">
      <c r="A112" s="110">
        <v>62114.0</v>
      </c>
      <c r="B112" s="17">
        <v>48.0</v>
      </c>
      <c r="C112" s="11">
        <v>22.0</v>
      </c>
      <c r="D112" s="11">
        <v>22.0</v>
      </c>
      <c r="E112" s="11">
        <v>6.0</v>
      </c>
      <c r="F112" s="11">
        <v>4.0</v>
      </c>
      <c r="G112" s="215">
        <v>-77065.39</v>
      </c>
      <c r="H112" s="11">
        <v>23.0</v>
      </c>
      <c r="I112" s="109">
        <v>46192.36</v>
      </c>
    </row>
    <row r="113">
      <c r="A113" s="110">
        <v>30618.0</v>
      </c>
      <c r="B113" s="17">
        <v>78.0</v>
      </c>
      <c r="C113" s="11">
        <v>22.0</v>
      </c>
      <c r="D113" s="11">
        <v>63.0</v>
      </c>
      <c r="E113" s="11">
        <v>6.0</v>
      </c>
      <c r="F113" s="11">
        <v>1.0</v>
      </c>
      <c r="G113" s="215">
        <v>-24302.18</v>
      </c>
      <c r="H113" s="11">
        <v>29.0</v>
      </c>
      <c r="I113" s="109">
        <v>-99622.5</v>
      </c>
    </row>
    <row r="114">
      <c r="A114" s="110">
        <v>111121.0</v>
      </c>
      <c r="B114" s="17">
        <v>67.0</v>
      </c>
      <c r="C114" s="11">
        <v>63.0</v>
      </c>
      <c r="D114" s="11">
        <v>63.0</v>
      </c>
      <c r="E114" s="11">
        <v>6.0</v>
      </c>
      <c r="F114" s="11">
        <v>6.0</v>
      </c>
      <c r="G114" s="215">
        <v>44519.97</v>
      </c>
      <c r="H114" s="11">
        <v>30.0</v>
      </c>
      <c r="I114" s="109">
        <v>-59384.47</v>
      </c>
    </row>
    <row r="115">
      <c r="A115" s="110">
        <v>11417.0</v>
      </c>
      <c r="B115" s="17">
        <v>42.0</v>
      </c>
      <c r="C115" s="11">
        <v>22.0</v>
      </c>
      <c r="D115" s="11">
        <v>43.0</v>
      </c>
      <c r="E115" s="11">
        <v>1.0</v>
      </c>
      <c r="F115" s="11">
        <v>8.0</v>
      </c>
      <c r="G115" s="215">
        <v>-94628.83</v>
      </c>
      <c r="H115" s="11">
        <v>23.0</v>
      </c>
      <c r="I115" s="109">
        <v>22967.48</v>
      </c>
    </row>
    <row r="116">
      <c r="A116" s="110">
        <v>61915.0</v>
      </c>
      <c r="B116" s="17">
        <v>87.0</v>
      </c>
      <c r="C116" s="11">
        <v>43.0</v>
      </c>
      <c r="D116" s="11">
        <v>84.0</v>
      </c>
      <c r="E116" s="11">
        <v>1.0</v>
      </c>
      <c r="F116" s="11">
        <v>7.0</v>
      </c>
      <c r="G116" s="215">
        <v>21503.71</v>
      </c>
      <c r="H116" s="11">
        <v>21.0</v>
      </c>
      <c r="I116" s="109">
        <v>63067.11</v>
      </c>
    </row>
    <row r="117">
      <c r="A117" s="110">
        <v>122120.0</v>
      </c>
      <c r="B117" s="17">
        <v>47.0</v>
      </c>
      <c r="C117" s="11">
        <v>43.0</v>
      </c>
      <c r="D117" s="11">
        <v>84.0</v>
      </c>
      <c r="E117" s="11">
        <v>1.0</v>
      </c>
      <c r="F117" s="11">
        <v>8.0</v>
      </c>
      <c r="G117" s="215">
        <v>-59167.66</v>
      </c>
      <c r="H117" s="11">
        <v>22.0</v>
      </c>
      <c r="I117" s="109">
        <v>71579.71</v>
      </c>
    </row>
    <row r="118">
      <c r="A118" s="110">
        <v>32423.0</v>
      </c>
      <c r="B118" s="17">
        <v>8.0</v>
      </c>
      <c r="C118" s="11">
        <v>63.0</v>
      </c>
      <c r="D118" s="11">
        <v>84.0</v>
      </c>
      <c r="E118" s="11">
        <v>1.0</v>
      </c>
      <c r="F118" s="11">
        <v>9.0</v>
      </c>
      <c r="G118" s="215">
        <v>-55218.39</v>
      </c>
      <c r="H118" s="11">
        <v>26.0</v>
      </c>
      <c r="I118" s="109">
        <v>-94960.37</v>
      </c>
    </row>
    <row r="119">
      <c r="A119" s="110">
        <v>41519.0</v>
      </c>
      <c r="B119" s="17">
        <v>6.0</v>
      </c>
      <c r="C119" s="11">
        <v>43.0</v>
      </c>
      <c r="D119" s="11">
        <v>22.0</v>
      </c>
      <c r="E119" s="11">
        <v>7.0</v>
      </c>
      <c r="F119" s="11">
        <v>6.0</v>
      </c>
      <c r="G119" s="215">
        <v>-79130.01</v>
      </c>
      <c r="H119" s="11">
        <v>30.0</v>
      </c>
      <c r="I119" s="109">
        <v>-44491.43</v>
      </c>
    </row>
    <row r="120">
      <c r="A120" s="110">
        <v>62413.0</v>
      </c>
      <c r="B120" s="17">
        <v>76.0</v>
      </c>
      <c r="C120" s="11">
        <v>43.0</v>
      </c>
      <c r="D120" s="11">
        <v>22.0</v>
      </c>
      <c r="E120" s="11">
        <v>7.0</v>
      </c>
      <c r="F120" s="11">
        <v>7.0</v>
      </c>
      <c r="G120" s="215">
        <v>23707.5</v>
      </c>
      <c r="H120" s="11">
        <v>26.0</v>
      </c>
      <c r="I120" s="109">
        <v>-24163.51</v>
      </c>
    </row>
    <row r="121">
      <c r="A121" s="110">
        <v>90818.0</v>
      </c>
      <c r="B121" s="17">
        <v>55.0</v>
      </c>
      <c r="C121" s="11">
        <v>22.0</v>
      </c>
      <c r="D121" s="11">
        <v>43.0</v>
      </c>
      <c r="E121" s="11">
        <v>2.0</v>
      </c>
      <c r="F121" s="11">
        <v>3.0</v>
      </c>
      <c r="G121" s="215">
        <v>-22563.04</v>
      </c>
      <c r="H121" s="11">
        <v>28.0</v>
      </c>
      <c r="I121" s="109">
        <v>82930.98</v>
      </c>
    </row>
    <row r="122">
      <c r="A122" s="110">
        <v>20213.0</v>
      </c>
      <c r="B122" s="17">
        <v>68.0</v>
      </c>
      <c r="C122" s="11">
        <v>22.0</v>
      </c>
      <c r="D122" s="11">
        <v>81.0</v>
      </c>
      <c r="E122" s="11">
        <v>8.0</v>
      </c>
      <c r="F122" s="11">
        <v>7.0</v>
      </c>
      <c r="G122" s="215">
        <v>21633.67</v>
      </c>
      <c r="H122" s="11">
        <v>26.0</v>
      </c>
      <c r="I122" s="109">
        <v>97724.66</v>
      </c>
    </row>
    <row r="123">
      <c r="A123" s="110">
        <v>11313.0</v>
      </c>
      <c r="B123" s="17">
        <v>28.0</v>
      </c>
      <c r="C123" s="11">
        <v>63.0</v>
      </c>
      <c r="D123" s="11">
        <v>63.0</v>
      </c>
      <c r="E123" s="11">
        <v>8.0</v>
      </c>
      <c r="F123" s="11">
        <v>2.0</v>
      </c>
      <c r="G123" s="215">
        <v>10523.82</v>
      </c>
      <c r="H123" s="11">
        <v>21.0</v>
      </c>
      <c r="I123" s="109">
        <v>-65.32</v>
      </c>
    </row>
    <row r="124">
      <c r="A124" s="110">
        <v>10313.0</v>
      </c>
      <c r="B124" s="17">
        <v>12.0</v>
      </c>
      <c r="C124" s="11">
        <v>43.0</v>
      </c>
      <c r="D124" s="11">
        <v>43.0</v>
      </c>
      <c r="E124" s="11">
        <v>3.0</v>
      </c>
      <c r="F124" s="11">
        <v>6.0</v>
      </c>
      <c r="G124" s="215">
        <v>59902.89</v>
      </c>
      <c r="H124" s="11">
        <v>22.0</v>
      </c>
      <c r="I124" s="109">
        <v>-22564.84</v>
      </c>
    </row>
    <row r="125">
      <c r="A125" s="110">
        <v>31019.0</v>
      </c>
      <c r="B125" s="17">
        <v>63.0</v>
      </c>
      <c r="C125" s="11">
        <v>63.0</v>
      </c>
      <c r="D125" s="11">
        <v>22.0</v>
      </c>
      <c r="E125" s="11">
        <v>9.0</v>
      </c>
      <c r="F125" s="11">
        <v>2.0</v>
      </c>
      <c r="G125" s="215">
        <v>81465.34</v>
      </c>
      <c r="H125" s="11">
        <v>24.0</v>
      </c>
      <c r="I125" s="109">
        <v>27741.21</v>
      </c>
    </row>
    <row r="126">
      <c r="A126" s="110">
        <v>92820.0</v>
      </c>
      <c r="B126" s="17">
        <v>80.0</v>
      </c>
      <c r="C126" s="11">
        <v>43.0</v>
      </c>
      <c r="D126" s="11">
        <v>43.0</v>
      </c>
      <c r="E126" s="11">
        <v>4.0</v>
      </c>
      <c r="F126" s="11">
        <v>2.0</v>
      </c>
      <c r="G126" s="215">
        <v>67788.83</v>
      </c>
      <c r="H126" s="11">
        <v>20.0</v>
      </c>
      <c r="I126" s="109">
        <v>-41350.8</v>
      </c>
    </row>
    <row r="127">
      <c r="A127" s="110">
        <v>81822.0</v>
      </c>
      <c r="B127" s="17">
        <v>84.0</v>
      </c>
      <c r="C127" s="11">
        <v>43.0</v>
      </c>
      <c r="D127" s="11">
        <v>84.0</v>
      </c>
      <c r="E127" s="11">
        <v>4.0</v>
      </c>
      <c r="F127" s="11">
        <v>1.0</v>
      </c>
      <c r="G127" s="215">
        <v>-30487.78</v>
      </c>
      <c r="H127" s="11">
        <v>21.0</v>
      </c>
      <c r="I127" s="109">
        <v>-24385.45</v>
      </c>
    </row>
    <row r="128">
      <c r="A128" s="110">
        <v>62922.0</v>
      </c>
      <c r="B128" s="17">
        <v>27.0</v>
      </c>
      <c r="C128" s="11">
        <v>84.0</v>
      </c>
      <c r="D128" s="11">
        <v>63.0</v>
      </c>
      <c r="E128" s="11">
        <v>9.0</v>
      </c>
      <c r="F128" s="11">
        <v>5.0</v>
      </c>
      <c r="G128" s="215">
        <v>-39409.83</v>
      </c>
      <c r="H128" s="11">
        <v>28.0</v>
      </c>
      <c r="I128" s="109">
        <v>22841.7</v>
      </c>
    </row>
    <row r="129">
      <c r="A129" s="110">
        <v>102915.0</v>
      </c>
      <c r="B129" s="17">
        <v>94.0</v>
      </c>
      <c r="C129" s="11">
        <v>43.0</v>
      </c>
      <c r="D129" s="11">
        <v>43.0</v>
      </c>
      <c r="E129" s="11">
        <v>4.0</v>
      </c>
      <c r="F129" s="11">
        <v>8.0</v>
      </c>
      <c r="G129" s="215">
        <v>82958.45</v>
      </c>
      <c r="H129" s="11">
        <v>22.0</v>
      </c>
      <c r="I129" s="109">
        <v>-85008.25</v>
      </c>
    </row>
    <row r="130">
      <c r="A130" s="110">
        <v>82923.0</v>
      </c>
      <c r="B130" s="17">
        <v>20.0</v>
      </c>
      <c r="C130" s="11">
        <v>43.0</v>
      </c>
      <c r="D130" s="11">
        <v>43.0</v>
      </c>
      <c r="E130" s="11">
        <v>4.0</v>
      </c>
      <c r="F130" s="11">
        <v>9.0</v>
      </c>
      <c r="G130" s="215">
        <v>-13092.4</v>
      </c>
      <c r="H130" s="11">
        <v>21.0</v>
      </c>
      <c r="I130" s="109">
        <v>15774.28</v>
      </c>
    </row>
    <row r="131">
      <c r="A131" s="110">
        <v>112514.0</v>
      </c>
      <c r="B131" s="17">
        <v>50.0</v>
      </c>
      <c r="C131" s="11">
        <v>23.0</v>
      </c>
      <c r="D131" s="11">
        <v>84.0</v>
      </c>
      <c r="E131" s="11">
        <v>4.0</v>
      </c>
      <c r="F131" s="11">
        <v>5.0</v>
      </c>
      <c r="G131" s="215">
        <v>-65777.52</v>
      </c>
      <c r="H131" s="11">
        <v>29.0</v>
      </c>
      <c r="I131" s="109">
        <v>60278.77</v>
      </c>
    </row>
    <row r="132">
      <c r="A132" s="110">
        <v>71617.0</v>
      </c>
      <c r="B132" s="17">
        <v>91.0</v>
      </c>
      <c r="C132" s="11">
        <v>64.0</v>
      </c>
      <c r="D132" s="11">
        <v>63.0</v>
      </c>
      <c r="E132" s="11">
        <v>9.0</v>
      </c>
      <c r="F132" s="11">
        <v>8.0</v>
      </c>
      <c r="G132" s="215">
        <v>70704.68</v>
      </c>
      <c r="H132" s="11">
        <v>27.0</v>
      </c>
      <c r="I132" s="109">
        <v>35822.5</v>
      </c>
    </row>
    <row r="133">
      <c r="A133" s="110">
        <v>63020.0</v>
      </c>
      <c r="B133" s="17">
        <v>26.0</v>
      </c>
      <c r="C133" s="11">
        <v>84.0</v>
      </c>
      <c r="D133" s="11">
        <v>43.0</v>
      </c>
      <c r="E133" s="11">
        <v>5.0</v>
      </c>
      <c r="F133" s="11">
        <v>1.0</v>
      </c>
      <c r="G133" s="215">
        <v>12380.95</v>
      </c>
      <c r="H133" s="11">
        <v>20.0</v>
      </c>
      <c r="I133" s="109">
        <v>37664.83</v>
      </c>
    </row>
    <row r="134">
      <c r="A134" s="110">
        <v>32818.0</v>
      </c>
      <c r="B134" s="17">
        <v>27.0</v>
      </c>
      <c r="C134" s="11">
        <v>64.0</v>
      </c>
      <c r="D134" s="11">
        <v>63.0</v>
      </c>
      <c r="E134" s="11">
        <v>9.0</v>
      </c>
      <c r="F134" s="11">
        <v>6.0</v>
      </c>
      <c r="G134" s="215">
        <v>85073.03</v>
      </c>
      <c r="H134" s="11">
        <v>25.0</v>
      </c>
      <c r="I134" s="109">
        <v>92445.83</v>
      </c>
    </row>
    <row r="135">
      <c r="A135" s="110">
        <v>111522.0</v>
      </c>
      <c r="B135" s="17">
        <v>56.0</v>
      </c>
      <c r="C135" s="11">
        <v>84.0</v>
      </c>
      <c r="D135" s="11">
        <v>84.0</v>
      </c>
      <c r="E135" s="11">
        <v>4.0</v>
      </c>
      <c r="F135" s="11">
        <v>9.0</v>
      </c>
      <c r="G135" s="215">
        <v>-53987.95</v>
      </c>
      <c r="H135" s="11">
        <v>28.0</v>
      </c>
      <c r="I135" s="109">
        <v>-52039.54</v>
      </c>
    </row>
    <row r="136">
      <c r="A136" s="110">
        <v>90119.0</v>
      </c>
      <c r="B136" s="17">
        <v>52.0</v>
      </c>
      <c r="C136" s="11">
        <v>43.0</v>
      </c>
      <c r="D136" s="11">
        <v>84.0</v>
      </c>
      <c r="E136" s="11">
        <v>5.0</v>
      </c>
      <c r="F136" s="11">
        <v>3.0</v>
      </c>
      <c r="G136" s="215">
        <v>-1679.27</v>
      </c>
      <c r="H136" s="11">
        <v>26.0</v>
      </c>
      <c r="I136" s="109">
        <v>-50198.33</v>
      </c>
    </row>
    <row r="137">
      <c r="A137" s="110">
        <v>80623.0</v>
      </c>
      <c r="B137" s="17">
        <v>8.0</v>
      </c>
      <c r="C137" s="11">
        <v>43.0</v>
      </c>
      <c r="D137" s="11">
        <v>23.0</v>
      </c>
      <c r="E137" s="11">
        <v>1.0</v>
      </c>
      <c r="F137" s="11">
        <v>3.0</v>
      </c>
      <c r="G137" s="215">
        <v>32771.06</v>
      </c>
      <c r="H137" s="11">
        <v>20.0</v>
      </c>
      <c r="I137" s="109">
        <v>64751.65</v>
      </c>
    </row>
    <row r="138">
      <c r="A138" s="110">
        <v>81914.0</v>
      </c>
      <c r="B138" s="17">
        <v>16.0</v>
      </c>
      <c r="C138" s="11">
        <v>84.0</v>
      </c>
      <c r="D138" s="11">
        <v>84.0</v>
      </c>
      <c r="E138" s="11">
        <v>5.0</v>
      </c>
      <c r="F138" s="11">
        <v>8.0</v>
      </c>
      <c r="G138" s="215">
        <v>58385.23</v>
      </c>
      <c r="H138" s="11">
        <v>27.0</v>
      </c>
      <c r="I138" s="109">
        <v>-37938.77</v>
      </c>
    </row>
    <row r="139">
      <c r="A139" s="110">
        <v>62416.0</v>
      </c>
      <c r="B139" s="17">
        <v>49.0</v>
      </c>
      <c r="C139" s="11">
        <v>23.0</v>
      </c>
      <c r="D139" s="11">
        <v>23.0</v>
      </c>
      <c r="E139" s="11">
        <v>1.0</v>
      </c>
      <c r="F139" s="11">
        <v>5.0</v>
      </c>
      <c r="G139" s="215">
        <v>-78252.47</v>
      </c>
      <c r="H139" s="11">
        <v>25.0</v>
      </c>
      <c r="I139" s="109">
        <v>82587.12</v>
      </c>
    </row>
    <row r="140">
      <c r="A140" s="110">
        <v>12423.0</v>
      </c>
      <c r="B140" s="17">
        <v>78.0</v>
      </c>
      <c r="C140" s="11">
        <v>23.0</v>
      </c>
      <c r="D140" s="11">
        <v>43.0</v>
      </c>
      <c r="E140" s="11">
        <v>6.0</v>
      </c>
      <c r="F140" s="11">
        <v>4.0</v>
      </c>
      <c r="G140" s="215">
        <v>75249.59</v>
      </c>
      <c r="H140" s="11">
        <v>29.0</v>
      </c>
      <c r="I140" s="109">
        <v>26712.52</v>
      </c>
    </row>
    <row r="141">
      <c r="A141" s="110">
        <v>32719.0</v>
      </c>
      <c r="B141" s="17">
        <v>83.0</v>
      </c>
      <c r="C141" s="11">
        <v>23.0</v>
      </c>
      <c r="D141" s="11">
        <v>64.0</v>
      </c>
      <c r="E141" s="11">
        <v>1.0</v>
      </c>
      <c r="F141" s="11">
        <v>4.0</v>
      </c>
      <c r="G141" s="215">
        <v>-41572.72</v>
      </c>
      <c r="H141" s="11">
        <v>20.0</v>
      </c>
      <c r="I141" s="109">
        <v>39799.37</v>
      </c>
    </row>
    <row r="142">
      <c r="A142" s="110">
        <v>51022.0</v>
      </c>
      <c r="B142" s="17">
        <v>98.0</v>
      </c>
      <c r="C142" s="11">
        <v>84.0</v>
      </c>
      <c r="D142" s="11">
        <v>64.0</v>
      </c>
      <c r="E142" s="11">
        <v>1.0</v>
      </c>
      <c r="F142" s="11">
        <v>5.0</v>
      </c>
      <c r="G142" s="215">
        <v>82228.07</v>
      </c>
      <c r="H142" s="11">
        <v>21.0</v>
      </c>
      <c r="I142" s="109">
        <v>20510.38</v>
      </c>
    </row>
    <row r="143">
      <c r="A143" s="110">
        <v>62616.0</v>
      </c>
      <c r="B143" s="17">
        <v>34.0</v>
      </c>
      <c r="C143" s="11">
        <v>23.0</v>
      </c>
      <c r="D143" s="11">
        <v>64.0</v>
      </c>
      <c r="E143" s="11">
        <v>1.0</v>
      </c>
      <c r="F143" s="11">
        <v>7.0</v>
      </c>
      <c r="G143" s="215">
        <v>3612.16</v>
      </c>
      <c r="H143" s="11">
        <v>24.0</v>
      </c>
      <c r="I143" s="109">
        <v>-92473.82</v>
      </c>
    </row>
    <row r="144">
      <c r="A144" s="110">
        <v>62419.0</v>
      </c>
      <c r="B144" s="17">
        <v>28.0</v>
      </c>
      <c r="C144" s="11">
        <v>84.0</v>
      </c>
      <c r="D144" s="11">
        <v>43.0</v>
      </c>
      <c r="E144" s="11">
        <v>7.0</v>
      </c>
      <c r="F144" s="11">
        <v>1.0</v>
      </c>
      <c r="G144" s="215">
        <v>-77653.18</v>
      </c>
      <c r="H144" s="11">
        <v>24.0</v>
      </c>
      <c r="I144" s="109">
        <v>83741.82</v>
      </c>
    </row>
    <row r="145">
      <c r="A145" s="110">
        <v>70320.0</v>
      </c>
      <c r="B145" s="17">
        <v>36.0</v>
      </c>
      <c r="C145" s="11">
        <v>84.0</v>
      </c>
      <c r="D145" s="11">
        <v>64.0</v>
      </c>
      <c r="E145" s="11">
        <v>2.0</v>
      </c>
      <c r="F145" s="11">
        <v>1.0</v>
      </c>
      <c r="G145" s="215">
        <v>70272.92</v>
      </c>
      <c r="H145" s="11">
        <v>30.0</v>
      </c>
      <c r="I145" s="109">
        <v>-62630.0</v>
      </c>
    </row>
    <row r="146">
      <c r="A146" s="110">
        <v>10115.0</v>
      </c>
      <c r="B146" s="17">
        <v>83.0</v>
      </c>
      <c r="C146" s="11">
        <v>64.0</v>
      </c>
      <c r="D146" s="11">
        <v>64.0</v>
      </c>
      <c r="E146" s="11">
        <v>2.0</v>
      </c>
      <c r="F146" s="11">
        <v>2.0</v>
      </c>
      <c r="G146" s="215">
        <v>-77955.82</v>
      </c>
      <c r="H146" s="11">
        <v>22.0</v>
      </c>
      <c r="I146" s="109">
        <v>-15488.39</v>
      </c>
    </row>
    <row r="147">
      <c r="A147" s="110">
        <v>120716.0</v>
      </c>
      <c r="B147" s="17">
        <v>83.0</v>
      </c>
      <c r="C147" s="11">
        <v>64.0</v>
      </c>
      <c r="D147" s="11">
        <v>43.0</v>
      </c>
      <c r="E147" s="11">
        <v>7.0</v>
      </c>
      <c r="F147" s="11">
        <v>5.0</v>
      </c>
      <c r="G147" s="215">
        <v>24384.87</v>
      </c>
      <c r="H147" s="11">
        <v>30.0</v>
      </c>
      <c r="I147" s="109">
        <v>38405.53</v>
      </c>
    </row>
    <row r="148">
      <c r="A148" s="110">
        <v>50216.0</v>
      </c>
      <c r="B148" s="17">
        <v>57.0</v>
      </c>
      <c r="C148" s="11">
        <v>64.0</v>
      </c>
      <c r="D148" s="11">
        <v>64.0</v>
      </c>
      <c r="E148" s="11">
        <v>2.0</v>
      </c>
      <c r="F148" s="11">
        <v>6.0</v>
      </c>
      <c r="G148" s="215">
        <v>-27118.48</v>
      </c>
      <c r="H148" s="11">
        <v>21.0</v>
      </c>
      <c r="I148" s="109">
        <v>99732.67</v>
      </c>
    </row>
    <row r="149">
      <c r="A149" s="110">
        <v>11917.0</v>
      </c>
      <c r="B149" s="17">
        <v>60.0</v>
      </c>
      <c r="C149" s="11">
        <v>23.0</v>
      </c>
      <c r="D149" s="11">
        <v>23.0</v>
      </c>
      <c r="E149" s="11">
        <v>3.0</v>
      </c>
      <c r="F149" s="11">
        <v>2.0</v>
      </c>
      <c r="G149" s="215">
        <v>-1118.03</v>
      </c>
      <c r="H149" s="11">
        <v>26.0</v>
      </c>
      <c r="I149" s="109">
        <v>97751.14</v>
      </c>
    </row>
    <row r="150">
      <c r="A150" s="110">
        <v>60223.0</v>
      </c>
      <c r="B150" s="17">
        <v>19.0</v>
      </c>
      <c r="C150" s="11">
        <v>64.0</v>
      </c>
      <c r="D150" s="11">
        <v>84.0</v>
      </c>
      <c r="E150" s="11">
        <v>7.0</v>
      </c>
      <c r="F150" s="11">
        <v>7.0</v>
      </c>
      <c r="G150" s="215">
        <v>34287.29</v>
      </c>
      <c r="H150" s="11">
        <v>24.0</v>
      </c>
      <c r="I150" s="109">
        <v>-67414.53</v>
      </c>
    </row>
    <row r="151">
      <c r="A151" s="110">
        <v>120521.0</v>
      </c>
      <c r="B151" s="17">
        <v>33.0</v>
      </c>
      <c r="C151" s="11">
        <v>23.0</v>
      </c>
      <c r="D151" s="11">
        <v>23.0</v>
      </c>
      <c r="E151" s="11">
        <v>3.0</v>
      </c>
      <c r="F151" s="11">
        <v>6.0</v>
      </c>
      <c r="G151" s="215">
        <v>99970.35</v>
      </c>
      <c r="H151" s="11">
        <v>20.0</v>
      </c>
      <c r="I151" s="109">
        <v>80232.06</v>
      </c>
    </row>
    <row r="152">
      <c r="A152" s="110">
        <v>122018.0</v>
      </c>
      <c r="B152" s="17">
        <v>56.0</v>
      </c>
      <c r="C152" s="11">
        <v>64.0</v>
      </c>
      <c r="D152" s="11">
        <v>43.0</v>
      </c>
      <c r="E152" s="11">
        <v>8.0</v>
      </c>
      <c r="F152" s="11">
        <v>6.0</v>
      </c>
      <c r="G152" s="215">
        <v>-72895.7</v>
      </c>
      <c r="H152" s="11">
        <v>27.0</v>
      </c>
      <c r="I152" s="109">
        <v>-78603.69</v>
      </c>
    </row>
    <row r="153">
      <c r="A153" s="110">
        <v>42422.0</v>
      </c>
      <c r="B153" s="17">
        <v>14.0</v>
      </c>
      <c r="C153" s="11">
        <v>64.0</v>
      </c>
      <c r="D153" s="11">
        <v>23.0</v>
      </c>
      <c r="E153" s="11">
        <v>3.0</v>
      </c>
      <c r="F153" s="11">
        <v>9.0</v>
      </c>
      <c r="G153" s="215">
        <v>39239.71</v>
      </c>
      <c r="H153" s="11">
        <v>23.0</v>
      </c>
      <c r="I153" s="109">
        <v>-41356.85</v>
      </c>
    </row>
    <row r="154">
      <c r="A154" s="110">
        <v>102814.0</v>
      </c>
      <c r="B154" s="17">
        <v>4.0</v>
      </c>
      <c r="C154" s="11">
        <v>23.0</v>
      </c>
      <c r="D154" s="11">
        <v>64.0</v>
      </c>
      <c r="E154" s="11">
        <v>3.0</v>
      </c>
      <c r="F154" s="11">
        <v>6.0</v>
      </c>
      <c r="G154" s="215">
        <v>-3623.12</v>
      </c>
      <c r="H154" s="11">
        <v>27.0</v>
      </c>
      <c r="I154" s="109">
        <v>41678.8</v>
      </c>
    </row>
    <row r="155">
      <c r="A155" s="110">
        <v>112917.0</v>
      </c>
      <c r="B155" s="17">
        <v>52.0</v>
      </c>
      <c r="C155" s="11">
        <v>64.0</v>
      </c>
      <c r="D155" s="11">
        <v>84.0</v>
      </c>
      <c r="E155" s="11">
        <v>8.0</v>
      </c>
      <c r="F155" s="11">
        <v>3.0</v>
      </c>
      <c r="G155" s="215">
        <v>70272.39</v>
      </c>
      <c r="H155" s="11">
        <v>21.0</v>
      </c>
      <c r="I155" s="109">
        <v>60778.24</v>
      </c>
    </row>
    <row r="156">
      <c r="A156" s="110">
        <v>92413.0</v>
      </c>
      <c r="B156" s="17">
        <v>97.0</v>
      </c>
      <c r="C156" s="11">
        <v>44.0</v>
      </c>
      <c r="D156" s="11">
        <v>43.0</v>
      </c>
      <c r="E156" s="11">
        <v>8.0</v>
      </c>
      <c r="F156" s="11">
        <v>8.0</v>
      </c>
      <c r="G156" s="215">
        <v>-19669.0</v>
      </c>
      <c r="H156" s="11">
        <v>27.0</v>
      </c>
      <c r="I156" s="109">
        <v>39778.54</v>
      </c>
    </row>
    <row r="157">
      <c r="A157" s="110">
        <v>91121.0</v>
      </c>
      <c r="B157" s="17">
        <v>72.0</v>
      </c>
      <c r="C157" s="11">
        <v>23.0</v>
      </c>
      <c r="D157" s="11">
        <v>43.0</v>
      </c>
      <c r="E157" s="11">
        <v>8.0</v>
      </c>
      <c r="F157" s="11">
        <v>9.0</v>
      </c>
      <c r="G157" s="215">
        <v>-1209.47</v>
      </c>
      <c r="H157" s="11">
        <v>25.0</v>
      </c>
      <c r="I157" s="109">
        <v>56189.94</v>
      </c>
    </row>
    <row r="158">
      <c r="A158" s="110">
        <v>60423.0</v>
      </c>
      <c r="B158" s="17">
        <v>97.0</v>
      </c>
      <c r="C158" s="11">
        <v>64.0</v>
      </c>
      <c r="D158" s="11">
        <v>84.0</v>
      </c>
      <c r="E158" s="11">
        <v>8.0</v>
      </c>
      <c r="F158" s="11">
        <v>2.0</v>
      </c>
      <c r="G158" s="215">
        <v>26722.6</v>
      </c>
      <c r="H158" s="11">
        <v>29.0</v>
      </c>
      <c r="I158" s="109">
        <v>-97303.86</v>
      </c>
    </row>
    <row r="159">
      <c r="A159" s="110">
        <v>40521.0</v>
      </c>
      <c r="B159" s="17">
        <v>36.0</v>
      </c>
      <c r="C159" s="11">
        <v>85.0</v>
      </c>
      <c r="D159" s="11">
        <v>23.0</v>
      </c>
      <c r="E159" s="11">
        <v>4.0</v>
      </c>
      <c r="F159" s="11">
        <v>6.0</v>
      </c>
      <c r="G159" s="215">
        <v>-71030.67</v>
      </c>
      <c r="H159" s="11">
        <v>20.0</v>
      </c>
      <c r="I159" s="109">
        <v>31642.49</v>
      </c>
    </row>
    <row r="160">
      <c r="A160" s="110">
        <v>33116.0</v>
      </c>
      <c r="B160" s="17">
        <v>58.0</v>
      </c>
      <c r="C160" s="11">
        <v>44.0</v>
      </c>
      <c r="D160" s="11">
        <v>23.0</v>
      </c>
      <c r="E160" s="11">
        <v>4.0</v>
      </c>
      <c r="F160" s="11">
        <v>7.0</v>
      </c>
      <c r="G160" s="215">
        <v>95748.23</v>
      </c>
      <c r="H160" s="11">
        <v>24.0</v>
      </c>
      <c r="I160" s="109">
        <v>38239.94</v>
      </c>
    </row>
    <row r="161">
      <c r="A161" s="110">
        <v>122222.0</v>
      </c>
      <c r="B161" s="17">
        <v>3.0</v>
      </c>
      <c r="C161" s="11">
        <v>85.0</v>
      </c>
      <c r="D161" s="11">
        <v>64.0</v>
      </c>
      <c r="E161" s="11">
        <v>4.0</v>
      </c>
      <c r="F161" s="11">
        <v>4.0</v>
      </c>
      <c r="G161" s="215">
        <v>87284.08</v>
      </c>
      <c r="H161" s="11">
        <v>25.0</v>
      </c>
      <c r="I161" s="109">
        <v>17004.5</v>
      </c>
    </row>
    <row r="162">
      <c r="A162" s="110">
        <v>90223.0</v>
      </c>
      <c r="B162" s="17">
        <v>80.0</v>
      </c>
      <c r="C162" s="11">
        <v>85.0</v>
      </c>
      <c r="D162" s="11">
        <v>23.0</v>
      </c>
      <c r="E162" s="11">
        <v>5.0</v>
      </c>
      <c r="F162" s="11">
        <v>3.0</v>
      </c>
      <c r="G162" s="215">
        <v>-69372.48</v>
      </c>
      <c r="H162" s="11">
        <v>23.0</v>
      </c>
      <c r="I162" s="109">
        <v>-45304.69</v>
      </c>
    </row>
    <row r="163">
      <c r="A163" s="110">
        <v>12823.0</v>
      </c>
      <c r="B163" s="17">
        <v>87.0</v>
      </c>
      <c r="C163" s="11">
        <v>64.0</v>
      </c>
      <c r="D163" s="11">
        <v>84.0</v>
      </c>
      <c r="E163" s="11">
        <v>9.0</v>
      </c>
      <c r="F163" s="11">
        <v>9.0</v>
      </c>
      <c r="G163" s="215">
        <v>88459.81</v>
      </c>
      <c r="H163" s="11">
        <v>26.0</v>
      </c>
      <c r="I163" s="109">
        <v>28255.85</v>
      </c>
    </row>
    <row r="164">
      <c r="A164" s="110">
        <v>90917.0</v>
      </c>
      <c r="B164" s="17">
        <v>19.0</v>
      </c>
      <c r="C164" s="11">
        <v>23.0</v>
      </c>
      <c r="D164" s="11">
        <v>64.0</v>
      </c>
      <c r="E164" s="11">
        <v>5.0</v>
      </c>
      <c r="F164" s="11">
        <v>2.0</v>
      </c>
      <c r="G164" s="215">
        <v>34481.06</v>
      </c>
      <c r="H164" s="11">
        <v>29.0</v>
      </c>
      <c r="I164" s="109">
        <v>-2989.11</v>
      </c>
    </row>
    <row r="165">
      <c r="A165" s="110">
        <v>11116.0</v>
      </c>
      <c r="B165" s="17">
        <v>29.0</v>
      </c>
      <c r="C165" s="11">
        <v>23.0</v>
      </c>
      <c r="D165" s="11">
        <v>23.0</v>
      </c>
      <c r="E165" s="11">
        <v>5.0</v>
      </c>
      <c r="F165" s="11">
        <v>9.0</v>
      </c>
      <c r="G165" s="215">
        <v>85935.18</v>
      </c>
      <c r="H165" s="11">
        <v>29.0</v>
      </c>
      <c r="I165" s="109">
        <v>64546.32</v>
      </c>
    </row>
    <row r="166">
      <c r="A166" s="110">
        <v>12819.0</v>
      </c>
      <c r="B166" s="17">
        <v>17.0</v>
      </c>
      <c r="C166" s="11">
        <v>44.0</v>
      </c>
      <c r="D166" s="11">
        <v>64.0</v>
      </c>
      <c r="E166" s="11">
        <v>5.0</v>
      </c>
      <c r="F166" s="11">
        <v>8.0</v>
      </c>
      <c r="G166" s="215">
        <v>-15000.02</v>
      </c>
      <c r="H166" s="11">
        <v>30.0</v>
      </c>
      <c r="I166" s="109">
        <v>54721.94</v>
      </c>
    </row>
    <row r="167">
      <c r="A167" s="110">
        <v>83015.0</v>
      </c>
      <c r="B167" s="17">
        <v>38.0</v>
      </c>
      <c r="C167" s="11">
        <v>85.0</v>
      </c>
      <c r="D167" s="11">
        <v>44.0</v>
      </c>
      <c r="E167" s="11">
        <v>1.0</v>
      </c>
      <c r="F167" s="11">
        <v>2.0</v>
      </c>
      <c r="G167" s="215">
        <v>-11737.27</v>
      </c>
      <c r="H167" s="11">
        <v>27.0</v>
      </c>
      <c r="I167" s="109">
        <v>37589.43</v>
      </c>
    </row>
    <row r="168">
      <c r="A168" s="110">
        <v>11916.0</v>
      </c>
      <c r="B168" s="17">
        <v>25.0</v>
      </c>
      <c r="C168" s="11">
        <v>23.0</v>
      </c>
      <c r="D168" s="11">
        <v>64.0</v>
      </c>
      <c r="E168" s="11">
        <v>6.0</v>
      </c>
      <c r="F168" s="11">
        <v>3.0</v>
      </c>
      <c r="G168" s="215">
        <v>58929.97</v>
      </c>
      <c r="H168" s="11">
        <v>20.0</v>
      </c>
      <c r="I168" s="109">
        <v>-28198.9</v>
      </c>
    </row>
    <row r="169">
      <c r="A169" s="110">
        <v>11718.0</v>
      </c>
      <c r="B169" s="17">
        <v>15.0</v>
      </c>
      <c r="C169" s="11">
        <v>44.0</v>
      </c>
      <c r="D169" s="11">
        <v>23.0</v>
      </c>
      <c r="E169" s="11">
        <v>7.0</v>
      </c>
      <c r="F169" s="11">
        <v>1.0</v>
      </c>
      <c r="G169" s="215">
        <v>6027.97</v>
      </c>
      <c r="H169" s="11">
        <v>28.0</v>
      </c>
      <c r="I169" s="109">
        <v>-58374.91</v>
      </c>
    </row>
    <row r="170">
      <c r="A170" s="110">
        <v>11619.0</v>
      </c>
      <c r="B170" s="17">
        <v>99.0</v>
      </c>
      <c r="C170" s="11">
        <v>64.0</v>
      </c>
      <c r="D170" s="11">
        <v>23.0</v>
      </c>
      <c r="E170" s="11">
        <v>7.0</v>
      </c>
      <c r="F170" s="11">
        <v>3.0</v>
      </c>
      <c r="G170" s="215">
        <v>-42673.56</v>
      </c>
      <c r="H170" s="11">
        <v>21.0</v>
      </c>
      <c r="I170" s="109">
        <v>-53833.69</v>
      </c>
    </row>
    <row r="171">
      <c r="A171" s="110">
        <v>70714.0</v>
      </c>
      <c r="B171" s="17">
        <v>6.0</v>
      </c>
      <c r="C171" s="11">
        <v>85.0</v>
      </c>
      <c r="D171" s="11">
        <v>64.0</v>
      </c>
      <c r="E171" s="11">
        <v>6.0</v>
      </c>
      <c r="F171" s="11">
        <v>9.0</v>
      </c>
      <c r="G171" s="215">
        <v>388.45</v>
      </c>
      <c r="H171" s="11">
        <v>21.0</v>
      </c>
      <c r="I171" s="109">
        <v>50151.33</v>
      </c>
    </row>
    <row r="172">
      <c r="A172" s="110">
        <v>40718.0</v>
      </c>
      <c r="B172" s="17">
        <v>17.0</v>
      </c>
      <c r="C172" s="11">
        <v>85.0</v>
      </c>
      <c r="D172" s="11">
        <v>85.0</v>
      </c>
      <c r="E172" s="11">
        <v>1.0</v>
      </c>
      <c r="F172" s="11">
        <v>9.0</v>
      </c>
      <c r="G172" s="215">
        <v>11716.34</v>
      </c>
      <c r="H172" s="11">
        <v>20.0</v>
      </c>
      <c r="I172" s="109">
        <v>-32973.16</v>
      </c>
    </row>
    <row r="173">
      <c r="A173" s="110">
        <v>73122.0</v>
      </c>
      <c r="B173" s="17">
        <v>32.0</v>
      </c>
      <c r="C173" s="11">
        <v>85.0</v>
      </c>
      <c r="D173" s="11">
        <v>44.0</v>
      </c>
      <c r="E173" s="11">
        <v>2.0</v>
      </c>
      <c r="F173" s="11">
        <v>5.0</v>
      </c>
      <c r="G173" s="215">
        <v>42969.37</v>
      </c>
      <c r="H173" s="11">
        <v>27.0</v>
      </c>
      <c r="I173" s="109">
        <v>-69757.99</v>
      </c>
    </row>
    <row r="174">
      <c r="A174" s="110">
        <v>81814.0</v>
      </c>
      <c r="B174" s="17">
        <v>84.0</v>
      </c>
      <c r="C174" s="11">
        <v>85.0</v>
      </c>
      <c r="D174" s="11">
        <v>85.0</v>
      </c>
      <c r="E174" s="11">
        <v>2.0</v>
      </c>
      <c r="F174" s="11">
        <v>2.0</v>
      </c>
      <c r="G174" s="215">
        <v>-17323.44</v>
      </c>
      <c r="H174" s="11">
        <v>28.0</v>
      </c>
      <c r="I174" s="109">
        <v>-37040.78</v>
      </c>
    </row>
    <row r="175">
      <c r="A175" s="110">
        <v>21016.0</v>
      </c>
      <c r="B175" s="17">
        <v>3.0</v>
      </c>
      <c r="C175" s="11">
        <v>24.0</v>
      </c>
      <c r="D175" s="11">
        <v>23.0</v>
      </c>
      <c r="E175" s="11">
        <v>7.0</v>
      </c>
      <c r="F175" s="11">
        <v>7.0</v>
      </c>
      <c r="G175" s="215">
        <v>31643.15</v>
      </c>
      <c r="H175" s="11">
        <v>23.0</v>
      </c>
      <c r="I175" s="109">
        <v>11165.9</v>
      </c>
    </row>
    <row r="176">
      <c r="A176" s="110">
        <v>41216.0</v>
      </c>
      <c r="B176" s="17">
        <v>25.0</v>
      </c>
      <c r="C176" s="11">
        <v>85.0</v>
      </c>
      <c r="D176" s="11">
        <v>64.0</v>
      </c>
      <c r="E176" s="11">
        <v>7.0</v>
      </c>
      <c r="F176" s="11">
        <v>6.0</v>
      </c>
      <c r="G176" s="215">
        <v>-78748.59</v>
      </c>
      <c r="H176" s="11">
        <v>28.0</v>
      </c>
      <c r="I176" s="109">
        <v>-58785.78</v>
      </c>
    </row>
    <row r="177">
      <c r="A177" s="110">
        <v>31723.0</v>
      </c>
      <c r="B177" s="17">
        <v>3.0</v>
      </c>
      <c r="C177" s="11">
        <v>85.0</v>
      </c>
      <c r="D177" s="11">
        <v>44.0</v>
      </c>
      <c r="E177" s="11">
        <v>2.0</v>
      </c>
      <c r="F177" s="11">
        <v>9.0</v>
      </c>
      <c r="G177" s="215">
        <v>-83430.42</v>
      </c>
      <c r="H177" s="11">
        <v>30.0</v>
      </c>
      <c r="I177" s="109">
        <v>-26405.78</v>
      </c>
    </row>
    <row r="178">
      <c r="A178" s="110">
        <v>42915.0</v>
      </c>
      <c r="B178" s="17">
        <v>39.0</v>
      </c>
      <c r="C178" s="11">
        <v>65.0</v>
      </c>
      <c r="D178" s="11">
        <v>44.0</v>
      </c>
      <c r="E178" s="11">
        <v>3.0</v>
      </c>
      <c r="F178" s="11">
        <v>1.0</v>
      </c>
      <c r="G178" s="215">
        <v>89402.48</v>
      </c>
      <c r="H178" s="11">
        <v>24.0</v>
      </c>
      <c r="I178" s="109">
        <v>-35325.09</v>
      </c>
    </row>
    <row r="179">
      <c r="A179" s="110">
        <v>52418.0</v>
      </c>
      <c r="B179" s="17">
        <v>2.0</v>
      </c>
      <c r="C179" s="11">
        <v>65.0</v>
      </c>
      <c r="D179" s="11">
        <v>64.0</v>
      </c>
      <c r="E179" s="11">
        <v>8.0</v>
      </c>
      <c r="F179" s="11">
        <v>3.0</v>
      </c>
      <c r="G179" s="215">
        <v>-17820.93</v>
      </c>
      <c r="H179" s="11">
        <v>28.0</v>
      </c>
      <c r="I179" s="109">
        <v>-65510.03</v>
      </c>
    </row>
    <row r="180">
      <c r="A180" s="110">
        <v>92815.0</v>
      </c>
      <c r="B180" s="17">
        <v>77.0</v>
      </c>
      <c r="C180" s="11">
        <v>65.0</v>
      </c>
      <c r="D180" s="11">
        <v>44.0</v>
      </c>
      <c r="E180" s="11">
        <v>3.0</v>
      </c>
      <c r="F180" s="11">
        <v>8.0</v>
      </c>
      <c r="G180" s="215">
        <v>66732.71</v>
      </c>
      <c r="H180" s="11">
        <v>22.0</v>
      </c>
      <c r="I180" s="109">
        <v>57939.88</v>
      </c>
    </row>
    <row r="181">
      <c r="A181" s="110">
        <v>72818.0</v>
      </c>
      <c r="B181" s="17">
        <v>13.0</v>
      </c>
      <c r="C181" s="11">
        <v>85.0</v>
      </c>
      <c r="D181" s="11">
        <v>44.0</v>
      </c>
      <c r="E181" s="11">
        <v>3.0</v>
      </c>
      <c r="F181" s="11">
        <v>9.0</v>
      </c>
      <c r="G181" s="215">
        <v>64737.97</v>
      </c>
      <c r="H181" s="11">
        <v>20.0</v>
      </c>
      <c r="I181" s="109">
        <v>-67964.38</v>
      </c>
    </row>
    <row r="182">
      <c r="A182" s="110">
        <v>60922.0</v>
      </c>
      <c r="B182" s="17">
        <v>86.0</v>
      </c>
      <c r="C182" s="11">
        <v>65.0</v>
      </c>
      <c r="D182" s="11">
        <v>85.0</v>
      </c>
      <c r="E182" s="11">
        <v>3.0</v>
      </c>
      <c r="F182" s="11">
        <v>6.0</v>
      </c>
      <c r="G182" s="215">
        <v>-6886.93</v>
      </c>
      <c r="H182" s="11">
        <v>25.0</v>
      </c>
      <c r="I182" s="109">
        <v>-24090.78</v>
      </c>
    </row>
    <row r="183">
      <c r="A183" s="110">
        <v>51118.0</v>
      </c>
      <c r="B183" s="17">
        <v>77.0</v>
      </c>
      <c r="C183" s="11">
        <v>24.0</v>
      </c>
      <c r="D183" s="11">
        <v>23.0</v>
      </c>
      <c r="E183" s="11">
        <v>9.0</v>
      </c>
      <c r="F183" s="11">
        <v>2.0</v>
      </c>
      <c r="G183" s="215">
        <v>95457.35</v>
      </c>
      <c r="H183" s="11">
        <v>20.0</v>
      </c>
      <c r="I183" s="109">
        <v>-94427.45</v>
      </c>
    </row>
    <row r="184">
      <c r="A184" s="110">
        <v>42213.0</v>
      </c>
      <c r="B184" s="17">
        <v>57.0</v>
      </c>
      <c r="C184" s="11">
        <v>85.0</v>
      </c>
      <c r="D184" s="11">
        <v>85.0</v>
      </c>
      <c r="E184" s="11">
        <v>3.0</v>
      </c>
      <c r="F184" s="11">
        <v>8.0</v>
      </c>
      <c r="G184" s="215">
        <v>-26986.15</v>
      </c>
      <c r="H184" s="11">
        <v>21.0</v>
      </c>
      <c r="I184" s="109">
        <v>-80652.25</v>
      </c>
    </row>
    <row r="185">
      <c r="A185" s="110">
        <v>111517.0</v>
      </c>
      <c r="B185" s="17">
        <v>57.0</v>
      </c>
      <c r="C185" s="11">
        <v>44.0</v>
      </c>
      <c r="D185" s="11">
        <v>64.0</v>
      </c>
      <c r="E185" s="11">
        <v>9.0</v>
      </c>
      <c r="F185" s="11">
        <v>3.0</v>
      </c>
      <c r="G185" s="215">
        <v>-95325.83</v>
      </c>
      <c r="H185" s="11">
        <v>23.0</v>
      </c>
      <c r="I185" s="109">
        <v>97679.91</v>
      </c>
    </row>
    <row r="186">
      <c r="A186" s="110">
        <v>71918.0</v>
      </c>
      <c r="B186" s="17">
        <v>28.0</v>
      </c>
      <c r="C186" s="11">
        <v>65.0</v>
      </c>
      <c r="D186" s="11">
        <v>85.0</v>
      </c>
      <c r="E186" s="11">
        <v>4.0</v>
      </c>
      <c r="F186" s="11">
        <v>2.0</v>
      </c>
      <c r="G186" s="215">
        <v>26603.31</v>
      </c>
      <c r="H186" s="11">
        <v>23.0</v>
      </c>
      <c r="I186" s="109">
        <v>-79054.43</v>
      </c>
    </row>
    <row r="187">
      <c r="A187" s="110">
        <v>52115.0</v>
      </c>
      <c r="B187" s="17">
        <v>5.0</v>
      </c>
      <c r="C187" s="11">
        <v>24.0</v>
      </c>
      <c r="D187" s="11">
        <v>85.0</v>
      </c>
      <c r="E187" s="11">
        <v>4.0</v>
      </c>
      <c r="F187" s="11">
        <v>9.0</v>
      </c>
      <c r="G187" s="215">
        <v>-37768.43</v>
      </c>
      <c r="H187" s="11">
        <v>27.0</v>
      </c>
      <c r="I187" s="109">
        <v>19706.99</v>
      </c>
    </row>
    <row r="188">
      <c r="A188" s="110">
        <v>81015.0</v>
      </c>
      <c r="B188" s="17">
        <v>99.0</v>
      </c>
      <c r="C188" s="11">
        <v>65.0</v>
      </c>
      <c r="D188" s="11">
        <v>24.0</v>
      </c>
      <c r="E188" s="11">
        <v>1.0</v>
      </c>
      <c r="F188" s="11">
        <v>2.0</v>
      </c>
      <c r="G188" s="215">
        <v>-79757.39</v>
      </c>
      <c r="H188" s="11">
        <v>21.0</v>
      </c>
      <c r="I188" s="109">
        <v>-60311.07</v>
      </c>
    </row>
    <row r="189">
      <c r="A189" s="110">
        <v>10319.0</v>
      </c>
      <c r="B189" s="17">
        <v>19.0</v>
      </c>
      <c r="C189" s="11">
        <v>85.0</v>
      </c>
      <c r="D189" s="11">
        <v>65.0</v>
      </c>
      <c r="E189" s="11">
        <v>1.0</v>
      </c>
      <c r="F189" s="11">
        <v>1.0</v>
      </c>
      <c r="G189" s="215">
        <v>-59160.0</v>
      </c>
      <c r="H189" s="11">
        <v>26.0</v>
      </c>
      <c r="I189" s="109">
        <v>37808.74</v>
      </c>
    </row>
    <row r="190">
      <c r="A190" s="110">
        <v>80214.0</v>
      </c>
      <c r="B190" s="17">
        <v>16.0</v>
      </c>
      <c r="C190" s="11">
        <v>65.0</v>
      </c>
      <c r="D190" s="11">
        <v>44.0</v>
      </c>
      <c r="E190" s="11">
        <v>6.0</v>
      </c>
      <c r="F190" s="11">
        <v>4.0</v>
      </c>
      <c r="G190" s="215">
        <v>28805.45</v>
      </c>
      <c r="H190" s="11">
        <v>20.0</v>
      </c>
      <c r="I190" s="109">
        <v>-35986.04</v>
      </c>
    </row>
    <row r="191">
      <c r="A191" s="110">
        <v>120315.0</v>
      </c>
      <c r="B191" s="17">
        <v>55.0</v>
      </c>
      <c r="C191" s="11">
        <v>24.0</v>
      </c>
      <c r="D191" s="11">
        <v>85.0</v>
      </c>
      <c r="E191" s="11">
        <v>6.0</v>
      </c>
      <c r="F191" s="11">
        <v>1.0</v>
      </c>
      <c r="G191" s="215">
        <v>-60710.8</v>
      </c>
      <c r="H191" s="11">
        <v>23.0</v>
      </c>
      <c r="I191" s="109">
        <v>98231.11</v>
      </c>
    </row>
    <row r="192">
      <c r="A192" s="110">
        <v>112518.0</v>
      </c>
      <c r="B192" s="17">
        <v>14.0</v>
      </c>
      <c r="C192" s="11">
        <v>44.0</v>
      </c>
      <c r="D192" s="11">
        <v>44.0</v>
      </c>
      <c r="E192" s="11">
        <v>6.0</v>
      </c>
      <c r="F192" s="11">
        <v>6.0</v>
      </c>
      <c r="G192" s="215">
        <v>47064.31</v>
      </c>
      <c r="H192" s="11">
        <v>29.0</v>
      </c>
      <c r="I192" s="109">
        <v>87649.19</v>
      </c>
    </row>
    <row r="193">
      <c r="A193" s="110">
        <v>61922.0</v>
      </c>
      <c r="B193" s="17">
        <v>8.0</v>
      </c>
      <c r="C193" s="11">
        <v>65.0</v>
      </c>
      <c r="D193" s="11">
        <v>85.0</v>
      </c>
      <c r="E193" s="11">
        <v>6.0</v>
      </c>
      <c r="F193" s="11">
        <v>5.0</v>
      </c>
      <c r="G193" s="215">
        <v>-23619.63</v>
      </c>
      <c r="H193" s="11">
        <v>26.0</v>
      </c>
      <c r="I193" s="109">
        <v>31925.47</v>
      </c>
    </row>
    <row r="194">
      <c r="A194" s="110">
        <v>42118.0</v>
      </c>
      <c r="B194" s="17">
        <v>16.0</v>
      </c>
      <c r="C194" s="11">
        <v>24.0</v>
      </c>
      <c r="D194" s="11">
        <v>65.0</v>
      </c>
      <c r="E194" s="11">
        <v>1.0</v>
      </c>
      <c r="F194" s="11">
        <v>7.0</v>
      </c>
      <c r="G194" s="215">
        <v>-98110.07</v>
      </c>
      <c r="H194" s="11">
        <v>29.0</v>
      </c>
      <c r="I194" s="109">
        <v>98427.28</v>
      </c>
    </row>
    <row r="195">
      <c r="A195" s="110">
        <v>112917.0</v>
      </c>
      <c r="B195" s="17">
        <v>88.0</v>
      </c>
      <c r="C195" s="11">
        <v>85.0</v>
      </c>
      <c r="D195" s="11">
        <v>24.0</v>
      </c>
      <c r="E195" s="11">
        <v>2.0</v>
      </c>
      <c r="F195" s="11">
        <v>7.0</v>
      </c>
      <c r="G195" s="215">
        <v>94582.39</v>
      </c>
      <c r="H195" s="11">
        <v>30.0</v>
      </c>
      <c r="I195" s="109">
        <v>77681.74</v>
      </c>
    </row>
    <row r="196">
      <c r="A196" s="110">
        <v>111218.0</v>
      </c>
      <c r="B196" s="17">
        <v>97.0</v>
      </c>
      <c r="C196" s="11">
        <v>85.0</v>
      </c>
      <c r="D196" s="11">
        <v>24.0</v>
      </c>
      <c r="E196" s="11">
        <v>2.0</v>
      </c>
      <c r="F196" s="11">
        <v>9.0</v>
      </c>
      <c r="G196" s="215">
        <v>31994.79</v>
      </c>
      <c r="H196" s="11">
        <v>25.0</v>
      </c>
      <c r="I196" s="109">
        <v>-78402.36</v>
      </c>
    </row>
    <row r="197">
      <c r="A197" s="110">
        <v>111516.0</v>
      </c>
      <c r="B197" s="17">
        <v>46.0</v>
      </c>
      <c r="C197" s="11">
        <v>24.0</v>
      </c>
      <c r="D197" s="11">
        <v>85.0</v>
      </c>
      <c r="E197" s="11">
        <v>7.0</v>
      </c>
      <c r="F197" s="11">
        <v>3.0</v>
      </c>
      <c r="G197" s="215">
        <v>-20271.41</v>
      </c>
      <c r="H197" s="11">
        <v>26.0</v>
      </c>
      <c r="I197" s="109">
        <v>36609.21</v>
      </c>
    </row>
    <row r="198">
      <c r="A198" s="110">
        <v>111121.0</v>
      </c>
      <c r="B198" s="17">
        <v>74.0</v>
      </c>
      <c r="C198" s="11">
        <v>24.0</v>
      </c>
      <c r="D198" s="11">
        <v>44.0</v>
      </c>
      <c r="E198" s="11">
        <v>8.0</v>
      </c>
      <c r="F198" s="11">
        <v>1.0</v>
      </c>
      <c r="G198" s="215">
        <v>77263.97</v>
      </c>
      <c r="H198" s="11">
        <v>25.0</v>
      </c>
      <c r="I198" s="109">
        <v>-97333.22</v>
      </c>
    </row>
    <row r="199">
      <c r="A199" s="110">
        <v>22418.0</v>
      </c>
      <c r="B199" s="17">
        <v>20.0</v>
      </c>
      <c r="C199" s="11">
        <v>24.0</v>
      </c>
      <c r="D199" s="11">
        <v>85.0</v>
      </c>
      <c r="E199" s="11">
        <v>7.0</v>
      </c>
      <c r="F199" s="11">
        <v>9.0</v>
      </c>
      <c r="G199" s="215">
        <v>-43961.61</v>
      </c>
      <c r="H199" s="11">
        <v>28.0</v>
      </c>
      <c r="I199" s="109">
        <v>24065.65</v>
      </c>
    </row>
    <row r="200">
      <c r="A200" s="110">
        <v>60813.0</v>
      </c>
      <c r="B200" s="17">
        <v>11.0</v>
      </c>
      <c r="C200" s="11">
        <v>24.0</v>
      </c>
      <c r="D200" s="11">
        <v>85.0</v>
      </c>
      <c r="E200" s="11">
        <v>8.0</v>
      </c>
      <c r="F200" s="11">
        <v>2.0</v>
      </c>
      <c r="G200" s="215">
        <v>9513.49</v>
      </c>
      <c r="H200" s="11">
        <v>25.0</v>
      </c>
      <c r="I200" s="109">
        <v>-70005.72</v>
      </c>
    </row>
    <row r="201">
      <c r="A201" s="110">
        <v>30118.0</v>
      </c>
      <c r="B201" s="17">
        <v>79.0</v>
      </c>
      <c r="C201" s="11">
        <v>24.0</v>
      </c>
      <c r="D201" s="11">
        <v>85.0</v>
      </c>
      <c r="E201" s="11">
        <v>8.0</v>
      </c>
      <c r="F201" s="11">
        <v>4.0</v>
      </c>
      <c r="G201" s="215">
        <v>19367.79</v>
      </c>
      <c r="H201" s="11">
        <v>20.0</v>
      </c>
      <c r="I201" s="109">
        <v>33302.51</v>
      </c>
    </row>
    <row r="202">
      <c r="A202" s="110">
        <v>30618.0</v>
      </c>
      <c r="B202" s="17">
        <v>58.0</v>
      </c>
      <c r="C202" s="11">
        <v>86.0</v>
      </c>
      <c r="D202" s="11">
        <v>85.0</v>
      </c>
      <c r="E202" s="11">
        <v>8.0</v>
      </c>
      <c r="F202" s="11">
        <v>9.0</v>
      </c>
      <c r="G202" s="215">
        <v>31363.75</v>
      </c>
      <c r="H202" s="11">
        <v>28.0</v>
      </c>
      <c r="I202" s="109">
        <v>2725.02</v>
      </c>
    </row>
    <row r="203">
      <c r="A203" s="110">
        <v>41014.0</v>
      </c>
      <c r="B203" s="17">
        <v>74.0</v>
      </c>
      <c r="C203" s="11">
        <v>45.0</v>
      </c>
      <c r="D203" s="11">
        <v>65.0</v>
      </c>
      <c r="E203" s="11">
        <v>4.0</v>
      </c>
      <c r="F203" s="11">
        <v>2.0</v>
      </c>
      <c r="G203" s="215">
        <v>-86674.32</v>
      </c>
      <c r="H203" s="11">
        <v>23.0</v>
      </c>
      <c r="I203" s="109">
        <v>69619.2</v>
      </c>
    </row>
    <row r="204">
      <c r="A204" s="110">
        <v>22522.0</v>
      </c>
      <c r="B204" s="17">
        <v>91.0</v>
      </c>
      <c r="C204" s="11">
        <v>86.0</v>
      </c>
      <c r="D204" s="11">
        <v>44.0</v>
      </c>
      <c r="E204" s="11">
        <v>9.0</v>
      </c>
      <c r="F204" s="11">
        <v>4.0</v>
      </c>
      <c r="G204" s="215">
        <v>-86231.36</v>
      </c>
      <c r="H204" s="11">
        <v>23.0</v>
      </c>
      <c r="I204" s="109">
        <v>-87701.77</v>
      </c>
    </row>
    <row r="205">
      <c r="A205" s="110">
        <v>50718.0</v>
      </c>
      <c r="B205" s="17">
        <v>95.0</v>
      </c>
      <c r="C205" s="11">
        <v>65.0</v>
      </c>
      <c r="D205" s="11">
        <v>65.0</v>
      </c>
      <c r="E205" s="11">
        <v>4.0</v>
      </c>
      <c r="F205" s="11">
        <v>4.0</v>
      </c>
      <c r="G205" s="215">
        <v>28650.91</v>
      </c>
      <c r="H205" s="11">
        <v>25.0</v>
      </c>
      <c r="I205" s="109">
        <v>76361.31</v>
      </c>
    </row>
    <row r="206">
      <c r="A206" s="110">
        <v>20916.0</v>
      </c>
      <c r="B206" s="17">
        <v>25.0</v>
      </c>
      <c r="C206" s="11">
        <v>65.0</v>
      </c>
      <c r="D206" s="11">
        <v>85.0</v>
      </c>
      <c r="E206" s="11">
        <v>9.0</v>
      </c>
      <c r="F206" s="11">
        <v>3.0</v>
      </c>
      <c r="G206" s="215">
        <v>-2921.14</v>
      </c>
      <c r="H206" s="11">
        <v>22.0</v>
      </c>
      <c r="I206" s="109">
        <v>81585.78</v>
      </c>
    </row>
    <row r="207">
      <c r="A207" s="110">
        <v>92020.0</v>
      </c>
      <c r="B207" s="17">
        <v>13.0</v>
      </c>
      <c r="C207" s="11">
        <v>24.0</v>
      </c>
      <c r="D207" s="11">
        <v>44.0</v>
      </c>
      <c r="E207" s="11">
        <v>9.0</v>
      </c>
      <c r="F207" s="11">
        <v>7.0</v>
      </c>
      <c r="G207" s="215">
        <v>69956.84</v>
      </c>
      <c r="H207" s="11">
        <v>26.0</v>
      </c>
      <c r="I207" s="109">
        <v>-84054.78</v>
      </c>
    </row>
    <row r="208">
      <c r="A208" s="110">
        <v>120414.0</v>
      </c>
      <c r="B208" s="17">
        <v>50.0</v>
      </c>
      <c r="C208" s="11">
        <v>86.0</v>
      </c>
      <c r="D208" s="11">
        <v>85.0</v>
      </c>
      <c r="E208" s="11">
        <v>9.0</v>
      </c>
      <c r="F208" s="11">
        <v>4.0</v>
      </c>
      <c r="G208" s="215">
        <v>-11118.63</v>
      </c>
      <c r="H208" s="11">
        <v>20.0</v>
      </c>
      <c r="I208" s="109">
        <v>41337.95</v>
      </c>
    </row>
    <row r="209">
      <c r="A209" s="110">
        <v>80313.0</v>
      </c>
      <c r="B209" s="17">
        <v>86.0</v>
      </c>
      <c r="C209" s="11">
        <v>45.0</v>
      </c>
      <c r="D209" s="11">
        <v>85.0</v>
      </c>
      <c r="E209" s="11">
        <v>9.0</v>
      </c>
      <c r="F209" s="11">
        <v>7.0</v>
      </c>
      <c r="G209" s="215">
        <v>-94900.82</v>
      </c>
      <c r="H209" s="11">
        <v>21.0</v>
      </c>
      <c r="I209" s="109">
        <v>-15619.34</v>
      </c>
    </row>
    <row r="210">
      <c r="A210" s="110">
        <v>110818.0</v>
      </c>
      <c r="B210" s="17">
        <v>34.0</v>
      </c>
      <c r="C210" s="11">
        <v>24.0</v>
      </c>
      <c r="D210" s="11">
        <v>65.0</v>
      </c>
      <c r="E210" s="11">
        <v>4.0</v>
      </c>
      <c r="F210" s="11">
        <v>9.0</v>
      </c>
      <c r="G210" s="215">
        <v>-92208.35</v>
      </c>
      <c r="H210" s="11">
        <v>29.0</v>
      </c>
      <c r="I210" s="109">
        <v>-74640.94</v>
      </c>
    </row>
    <row r="211">
      <c r="A211" s="110">
        <v>62519.0</v>
      </c>
      <c r="B211" s="17">
        <v>22.0</v>
      </c>
      <c r="C211" s="11">
        <v>86.0</v>
      </c>
      <c r="D211" s="11">
        <v>24.0</v>
      </c>
      <c r="E211" s="11">
        <v>5.0</v>
      </c>
      <c r="F211" s="11">
        <v>6.0</v>
      </c>
      <c r="G211" s="215">
        <v>-62255.18</v>
      </c>
      <c r="H211" s="11">
        <v>22.0</v>
      </c>
      <c r="I211" s="109">
        <v>59637.01</v>
      </c>
    </row>
    <row r="212">
      <c r="A212" s="110">
        <v>110217.0</v>
      </c>
      <c r="B212" s="17">
        <v>97.0</v>
      </c>
      <c r="C212" s="11">
        <v>86.0</v>
      </c>
      <c r="D212" s="11">
        <v>65.0</v>
      </c>
      <c r="E212" s="11">
        <v>5.0</v>
      </c>
      <c r="F212" s="11">
        <v>4.0</v>
      </c>
      <c r="G212" s="215">
        <v>-49435.91</v>
      </c>
      <c r="H212" s="11">
        <v>25.0</v>
      </c>
      <c r="I212" s="109">
        <v>-72438.22</v>
      </c>
    </row>
    <row r="213">
      <c r="A213" s="110">
        <v>51422.0</v>
      </c>
      <c r="B213" s="17">
        <v>46.0</v>
      </c>
      <c r="C213" s="11">
        <v>65.0</v>
      </c>
      <c r="D213" s="11">
        <v>65.0</v>
      </c>
      <c r="E213" s="11">
        <v>5.0</v>
      </c>
      <c r="F213" s="11">
        <v>5.0</v>
      </c>
      <c r="G213" s="215">
        <v>70220.32</v>
      </c>
      <c r="H213" s="11">
        <v>28.0</v>
      </c>
      <c r="I213" s="109">
        <v>17741.89</v>
      </c>
    </row>
    <row r="214">
      <c r="A214" s="110">
        <v>40916.0</v>
      </c>
      <c r="B214" s="17">
        <v>67.0</v>
      </c>
      <c r="C214" s="11">
        <v>24.0</v>
      </c>
      <c r="D214" s="11">
        <v>65.0</v>
      </c>
      <c r="E214" s="11">
        <v>5.0</v>
      </c>
      <c r="F214" s="11">
        <v>7.0</v>
      </c>
      <c r="G214" s="215">
        <v>72548.18</v>
      </c>
      <c r="H214" s="11">
        <v>25.0</v>
      </c>
      <c r="I214" s="109">
        <v>20525.71</v>
      </c>
    </row>
    <row r="215">
      <c r="A215" s="110">
        <v>40919.0</v>
      </c>
      <c r="B215" s="17">
        <v>25.0</v>
      </c>
      <c r="C215" s="11">
        <v>65.0</v>
      </c>
      <c r="D215" s="11">
        <v>24.0</v>
      </c>
      <c r="E215" s="11">
        <v>6.0</v>
      </c>
      <c r="F215" s="11">
        <v>2.0</v>
      </c>
      <c r="G215" s="215">
        <v>-81365.17</v>
      </c>
      <c r="H215" s="11">
        <v>30.0</v>
      </c>
      <c r="I215" s="109">
        <v>-97914.33</v>
      </c>
    </row>
    <row r="216">
      <c r="A216" s="110">
        <v>62617.0</v>
      </c>
      <c r="B216" s="17">
        <v>89.0</v>
      </c>
      <c r="C216" s="11">
        <v>24.0</v>
      </c>
      <c r="D216" s="11">
        <v>24.0</v>
      </c>
      <c r="E216" s="11">
        <v>6.0</v>
      </c>
      <c r="F216" s="11">
        <v>5.0</v>
      </c>
      <c r="G216" s="215">
        <v>-90645.44</v>
      </c>
      <c r="H216" s="11">
        <v>28.0</v>
      </c>
      <c r="I216" s="109">
        <v>41723.61</v>
      </c>
    </row>
    <row r="217">
      <c r="A217" s="110">
        <v>90421.0</v>
      </c>
      <c r="B217" s="17">
        <v>36.0</v>
      </c>
      <c r="C217" s="11">
        <v>45.0</v>
      </c>
      <c r="D217" s="11">
        <v>24.0</v>
      </c>
      <c r="E217" s="11">
        <v>6.0</v>
      </c>
      <c r="F217" s="11">
        <v>8.0</v>
      </c>
      <c r="G217" s="215">
        <v>8067.37</v>
      </c>
      <c r="H217" s="11">
        <v>21.0</v>
      </c>
      <c r="I217" s="109">
        <v>9188.92</v>
      </c>
    </row>
    <row r="218">
      <c r="A218" s="110">
        <v>120215.0</v>
      </c>
      <c r="B218" s="17">
        <v>35.0</v>
      </c>
      <c r="C218" s="11">
        <v>45.0</v>
      </c>
      <c r="D218" s="11">
        <v>86.0</v>
      </c>
      <c r="E218" s="11">
        <v>1.0</v>
      </c>
      <c r="F218" s="11">
        <v>2.0</v>
      </c>
      <c r="G218" s="215">
        <v>52667.83</v>
      </c>
      <c r="H218" s="11">
        <v>21.0</v>
      </c>
      <c r="I218" s="109">
        <v>23506.42</v>
      </c>
    </row>
    <row r="219">
      <c r="A219" s="110">
        <v>30118.0</v>
      </c>
      <c r="B219" s="17">
        <v>87.0</v>
      </c>
      <c r="C219" s="11">
        <v>86.0</v>
      </c>
      <c r="D219" s="11">
        <v>65.0</v>
      </c>
      <c r="E219" s="11">
        <v>6.0</v>
      </c>
      <c r="F219" s="11">
        <v>6.0</v>
      </c>
      <c r="G219" s="215">
        <v>76590.25</v>
      </c>
      <c r="H219" s="11">
        <v>29.0</v>
      </c>
      <c r="I219" s="109">
        <v>19570.69</v>
      </c>
    </row>
    <row r="220">
      <c r="A220" s="110">
        <v>90218.0</v>
      </c>
      <c r="B220" s="17">
        <v>78.0</v>
      </c>
      <c r="C220" s="11">
        <v>45.0</v>
      </c>
      <c r="D220" s="11">
        <v>65.0</v>
      </c>
      <c r="E220" s="11">
        <v>6.0</v>
      </c>
      <c r="F220" s="11">
        <v>7.0</v>
      </c>
      <c r="G220" s="215">
        <v>-41661.13</v>
      </c>
      <c r="H220" s="11">
        <v>23.0</v>
      </c>
      <c r="I220" s="109">
        <v>-45502.53</v>
      </c>
    </row>
    <row r="221">
      <c r="A221" s="110">
        <v>70419.0</v>
      </c>
      <c r="B221" s="17">
        <v>53.0</v>
      </c>
      <c r="C221" s="11">
        <v>65.0</v>
      </c>
      <c r="D221" s="11">
        <v>24.0</v>
      </c>
      <c r="E221" s="11">
        <v>7.0</v>
      </c>
      <c r="F221" s="11">
        <v>3.0</v>
      </c>
      <c r="G221" s="215">
        <v>95933.77</v>
      </c>
      <c r="H221" s="11">
        <v>28.0</v>
      </c>
      <c r="I221" s="109">
        <v>61696.61</v>
      </c>
    </row>
    <row r="222">
      <c r="A222" s="110">
        <v>112217.0</v>
      </c>
      <c r="B222" s="17">
        <v>63.0</v>
      </c>
      <c r="C222" s="11">
        <v>24.0</v>
      </c>
      <c r="D222" s="11">
        <v>24.0</v>
      </c>
      <c r="E222" s="11">
        <v>7.0</v>
      </c>
      <c r="F222" s="11">
        <v>4.0</v>
      </c>
      <c r="G222" s="215">
        <v>-33139.76</v>
      </c>
      <c r="H222" s="11">
        <v>21.0</v>
      </c>
      <c r="I222" s="109">
        <v>40178.08</v>
      </c>
    </row>
    <row r="223">
      <c r="A223" s="110">
        <v>62015.0</v>
      </c>
      <c r="B223" s="17">
        <v>33.0</v>
      </c>
      <c r="C223" s="11">
        <v>86.0</v>
      </c>
      <c r="D223" s="11">
        <v>86.0</v>
      </c>
      <c r="E223" s="11">
        <v>1.0</v>
      </c>
      <c r="F223" s="11">
        <v>7.0</v>
      </c>
      <c r="G223" s="215">
        <v>-22148.74</v>
      </c>
      <c r="H223" s="11">
        <v>22.0</v>
      </c>
      <c r="I223" s="109">
        <v>-38676.21</v>
      </c>
    </row>
    <row r="224">
      <c r="A224" s="110">
        <v>71821.0</v>
      </c>
      <c r="B224" s="17">
        <v>3.0</v>
      </c>
      <c r="C224" s="11">
        <v>65.0</v>
      </c>
      <c r="D224" s="11">
        <v>65.0</v>
      </c>
      <c r="E224" s="11">
        <v>7.0</v>
      </c>
      <c r="F224" s="11">
        <v>2.0</v>
      </c>
      <c r="G224" s="215">
        <v>-70265.34</v>
      </c>
      <c r="H224" s="11">
        <v>27.0</v>
      </c>
      <c r="I224" s="109">
        <v>-41805.82</v>
      </c>
    </row>
    <row r="225">
      <c r="A225" s="110">
        <v>40313.0</v>
      </c>
      <c r="B225" s="17">
        <v>89.0</v>
      </c>
      <c r="C225" s="11">
        <v>65.0</v>
      </c>
      <c r="D225" s="11">
        <v>45.0</v>
      </c>
      <c r="E225" s="11">
        <v>2.0</v>
      </c>
      <c r="F225" s="11">
        <v>6.0</v>
      </c>
      <c r="G225" s="215">
        <v>-79753.03</v>
      </c>
      <c r="H225" s="11">
        <v>20.0</v>
      </c>
      <c r="I225" s="109">
        <v>-61968.41</v>
      </c>
    </row>
    <row r="226">
      <c r="A226" s="110">
        <v>82814.0</v>
      </c>
      <c r="B226" s="17">
        <v>31.0</v>
      </c>
      <c r="C226" s="11">
        <v>45.0</v>
      </c>
      <c r="D226" s="11">
        <v>45.0</v>
      </c>
      <c r="E226" s="11">
        <v>3.0</v>
      </c>
      <c r="F226" s="11">
        <v>3.0</v>
      </c>
      <c r="G226" s="215">
        <v>96860.3</v>
      </c>
      <c r="H226" s="11">
        <v>30.0</v>
      </c>
      <c r="I226" s="109">
        <v>19467.13</v>
      </c>
    </row>
    <row r="227">
      <c r="A227" s="110">
        <v>30214.0</v>
      </c>
      <c r="B227" s="17">
        <v>17.0</v>
      </c>
      <c r="C227" s="11">
        <v>45.0</v>
      </c>
      <c r="D227" s="11">
        <v>65.0</v>
      </c>
      <c r="E227" s="11">
        <v>8.0</v>
      </c>
      <c r="F227" s="11">
        <v>2.0</v>
      </c>
      <c r="G227" s="215">
        <v>31929.25</v>
      </c>
      <c r="H227" s="11">
        <v>25.0</v>
      </c>
      <c r="I227" s="109">
        <v>-69668.78</v>
      </c>
    </row>
    <row r="228">
      <c r="A228" s="110">
        <v>21120.0</v>
      </c>
      <c r="B228" s="17">
        <v>71.0</v>
      </c>
      <c r="C228" s="11">
        <v>25.0</v>
      </c>
      <c r="D228" s="11">
        <v>24.0</v>
      </c>
      <c r="E228" s="11">
        <v>8.0</v>
      </c>
      <c r="F228" s="11">
        <v>5.0</v>
      </c>
      <c r="G228" s="215">
        <v>-64197.09</v>
      </c>
      <c r="H228" s="11">
        <v>23.0</v>
      </c>
      <c r="I228" s="109">
        <v>-28531.17</v>
      </c>
    </row>
    <row r="229">
      <c r="A229" s="110">
        <v>111515.0</v>
      </c>
      <c r="B229" s="17">
        <v>99.0</v>
      </c>
      <c r="C229" s="11">
        <v>25.0</v>
      </c>
      <c r="D229" s="11">
        <v>86.0</v>
      </c>
      <c r="E229" s="11">
        <v>3.0</v>
      </c>
      <c r="F229" s="11">
        <v>2.0</v>
      </c>
      <c r="G229" s="215">
        <v>-7451.86</v>
      </c>
      <c r="H229" s="11">
        <v>21.0</v>
      </c>
      <c r="I229" s="109">
        <v>-5840.56</v>
      </c>
    </row>
    <row r="230">
      <c r="A230" s="110">
        <v>22021.0</v>
      </c>
      <c r="B230" s="17">
        <v>49.0</v>
      </c>
      <c r="C230" s="11">
        <v>25.0</v>
      </c>
      <c r="D230" s="11">
        <v>45.0</v>
      </c>
      <c r="E230" s="11">
        <v>3.0</v>
      </c>
      <c r="F230" s="11">
        <v>7.0</v>
      </c>
      <c r="G230" s="215">
        <v>-10318.6</v>
      </c>
      <c r="H230" s="11">
        <v>24.0</v>
      </c>
      <c r="I230" s="109">
        <v>-91828.64</v>
      </c>
    </row>
    <row r="231">
      <c r="A231" s="110">
        <v>41723.0</v>
      </c>
      <c r="B231" s="17">
        <v>86.0</v>
      </c>
      <c r="C231" s="11">
        <v>45.0</v>
      </c>
      <c r="D231" s="11">
        <v>86.0</v>
      </c>
      <c r="E231" s="11">
        <v>3.0</v>
      </c>
      <c r="F231" s="11">
        <v>4.0</v>
      </c>
      <c r="G231" s="215">
        <v>62216.3</v>
      </c>
      <c r="H231" s="11">
        <v>24.0</v>
      </c>
      <c r="I231" s="109">
        <v>27186.97</v>
      </c>
    </row>
    <row r="232">
      <c r="A232" s="110">
        <v>101319.0</v>
      </c>
      <c r="B232" s="17">
        <v>14.0</v>
      </c>
      <c r="C232" s="11">
        <v>86.0</v>
      </c>
      <c r="D232" s="11">
        <v>65.0</v>
      </c>
      <c r="E232" s="11">
        <v>8.0</v>
      </c>
      <c r="F232" s="11">
        <v>6.0</v>
      </c>
      <c r="G232" s="215">
        <v>-19666.61</v>
      </c>
      <c r="H232" s="11">
        <v>30.0</v>
      </c>
      <c r="I232" s="109">
        <v>33626.47</v>
      </c>
    </row>
    <row r="233">
      <c r="A233" s="110">
        <v>111721.0</v>
      </c>
      <c r="B233" s="17">
        <v>43.0</v>
      </c>
      <c r="C233" s="11">
        <v>86.0</v>
      </c>
      <c r="D233" s="11">
        <v>45.0</v>
      </c>
      <c r="E233" s="11">
        <v>4.0</v>
      </c>
      <c r="F233" s="11">
        <v>1.0</v>
      </c>
      <c r="G233" s="215">
        <v>-94879.24</v>
      </c>
      <c r="H233" s="11">
        <v>26.0</v>
      </c>
      <c r="I233" s="109">
        <v>-65575.37</v>
      </c>
    </row>
    <row r="234">
      <c r="A234" s="110">
        <v>12213.0</v>
      </c>
      <c r="B234" s="17">
        <v>18.0</v>
      </c>
      <c r="C234" s="11">
        <v>66.0</v>
      </c>
      <c r="D234" s="11">
        <v>24.0</v>
      </c>
      <c r="E234" s="11">
        <v>9.0</v>
      </c>
      <c r="F234" s="11">
        <v>5.0</v>
      </c>
      <c r="G234" s="215">
        <v>-90343.61</v>
      </c>
      <c r="H234" s="11">
        <v>22.0</v>
      </c>
      <c r="I234" s="109">
        <v>-14539.96</v>
      </c>
    </row>
    <row r="235">
      <c r="A235" s="110">
        <v>42723.0</v>
      </c>
      <c r="B235" s="17">
        <v>59.0</v>
      </c>
      <c r="C235" s="11">
        <v>86.0</v>
      </c>
      <c r="D235" s="11">
        <v>24.0</v>
      </c>
      <c r="E235" s="11">
        <v>9.0</v>
      </c>
      <c r="F235" s="11">
        <v>6.0</v>
      </c>
      <c r="G235" s="215">
        <v>-22034.62</v>
      </c>
      <c r="H235" s="11">
        <v>30.0</v>
      </c>
      <c r="I235" s="109">
        <v>41547.04</v>
      </c>
    </row>
    <row r="236">
      <c r="A236" s="110">
        <v>100520.0</v>
      </c>
      <c r="B236" s="17">
        <v>55.0</v>
      </c>
      <c r="C236" s="11">
        <v>86.0</v>
      </c>
      <c r="D236" s="11">
        <v>45.0</v>
      </c>
      <c r="E236" s="11">
        <v>4.0</v>
      </c>
      <c r="F236" s="11">
        <v>5.0</v>
      </c>
      <c r="G236" s="215">
        <v>80765.49</v>
      </c>
      <c r="H236" s="11">
        <v>26.0</v>
      </c>
      <c r="I236" s="109">
        <v>19532.9</v>
      </c>
    </row>
    <row r="237">
      <c r="A237" s="110">
        <v>20522.0</v>
      </c>
      <c r="B237" s="17">
        <v>66.0</v>
      </c>
      <c r="C237" s="11">
        <v>86.0</v>
      </c>
      <c r="D237" s="11">
        <v>45.0</v>
      </c>
      <c r="E237" s="11">
        <v>4.0</v>
      </c>
      <c r="F237" s="11">
        <v>4.0</v>
      </c>
      <c r="G237" s="215">
        <v>-81464.74</v>
      </c>
      <c r="H237" s="11">
        <v>28.0</v>
      </c>
      <c r="I237" s="109">
        <v>45564.06</v>
      </c>
    </row>
    <row r="238">
      <c r="A238" s="110">
        <v>10917.0</v>
      </c>
      <c r="B238" s="17">
        <v>28.0</v>
      </c>
      <c r="C238" s="11">
        <v>45.0</v>
      </c>
      <c r="D238" s="11">
        <v>45.0</v>
      </c>
      <c r="E238" s="11">
        <v>4.0</v>
      </c>
      <c r="F238" s="11">
        <v>9.0</v>
      </c>
      <c r="G238" s="215">
        <v>-17018.51</v>
      </c>
      <c r="H238" s="11">
        <v>28.0</v>
      </c>
      <c r="I238" s="109">
        <v>-3980.24</v>
      </c>
    </row>
    <row r="239">
      <c r="A239" s="110">
        <v>61313.0</v>
      </c>
      <c r="B239" s="17">
        <v>11.0</v>
      </c>
      <c r="C239" s="11">
        <v>66.0</v>
      </c>
      <c r="D239" s="11">
        <v>86.0</v>
      </c>
      <c r="E239" s="11">
        <v>4.0</v>
      </c>
      <c r="F239" s="11">
        <v>6.0</v>
      </c>
      <c r="G239" s="215">
        <v>-89418.59</v>
      </c>
      <c r="H239" s="11">
        <v>23.0</v>
      </c>
      <c r="I239" s="109">
        <v>-34980.98</v>
      </c>
    </row>
    <row r="240">
      <c r="A240" s="110">
        <v>71922.0</v>
      </c>
      <c r="B240" s="17">
        <v>77.0</v>
      </c>
      <c r="C240" s="11">
        <v>66.0</v>
      </c>
      <c r="D240" s="11">
        <v>86.0</v>
      </c>
      <c r="E240" s="11">
        <v>4.0</v>
      </c>
      <c r="F240" s="11">
        <v>8.0</v>
      </c>
      <c r="G240" s="215">
        <v>-31006.99</v>
      </c>
      <c r="H240" s="11">
        <v>21.0</v>
      </c>
      <c r="I240" s="109">
        <v>86258.28</v>
      </c>
    </row>
    <row r="241">
      <c r="A241" s="110">
        <v>11216.0</v>
      </c>
      <c r="B241" s="17">
        <v>36.0</v>
      </c>
      <c r="C241" s="11">
        <v>45.0</v>
      </c>
      <c r="D241" s="11">
        <v>45.0</v>
      </c>
      <c r="E241" s="11">
        <v>5.0</v>
      </c>
      <c r="F241" s="11">
        <v>2.0</v>
      </c>
      <c r="G241" s="215">
        <v>-66118.8</v>
      </c>
      <c r="H241" s="11">
        <v>24.0</v>
      </c>
      <c r="I241" s="109">
        <v>59814.06</v>
      </c>
    </row>
    <row r="242">
      <c r="A242" s="110">
        <v>83018.0</v>
      </c>
      <c r="B242" s="17">
        <v>47.0</v>
      </c>
      <c r="C242" s="11">
        <v>86.0</v>
      </c>
      <c r="D242" s="11">
        <v>25.0</v>
      </c>
      <c r="E242" s="11">
        <v>1.0</v>
      </c>
      <c r="F242" s="11">
        <v>1.0</v>
      </c>
      <c r="G242" s="215">
        <v>73583.24</v>
      </c>
      <c r="H242" s="11">
        <v>20.0</v>
      </c>
      <c r="I242" s="109">
        <v>59119.72</v>
      </c>
    </row>
    <row r="243">
      <c r="A243" s="110">
        <v>92914.0</v>
      </c>
      <c r="B243" s="17">
        <v>40.0</v>
      </c>
      <c r="C243" s="11">
        <v>25.0</v>
      </c>
      <c r="D243" s="11">
        <v>86.0</v>
      </c>
      <c r="E243" s="11">
        <v>5.0</v>
      </c>
      <c r="F243" s="11">
        <v>9.0</v>
      </c>
      <c r="G243" s="215">
        <v>-70893.02</v>
      </c>
      <c r="H243" s="11">
        <v>21.0</v>
      </c>
      <c r="I243" s="109">
        <v>68137.43</v>
      </c>
    </row>
    <row r="244">
      <c r="A244" s="110">
        <v>73020.0</v>
      </c>
      <c r="B244" s="17">
        <v>81.0</v>
      </c>
      <c r="C244" s="11">
        <v>25.0</v>
      </c>
      <c r="D244" s="11">
        <v>66.0</v>
      </c>
      <c r="E244" s="11">
        <v>1.0</v>
      </c>
      <c r="F244" s="11">
        <v>2.0</v>
      </c>
      <c r="G244" s="215">
        <v>-32120.37</v>
      </c>
      <c r="H244" s="11">
        <v>29.0</v>
      </c>
      <c r="I244" s="109">
        <v>-17197.42</v>
      </c>
    </row>
    <row r="245">
      <c r="A245" s="110">
        <v>121122.0</v>
      </c>
      <c r="B245" s="17">
        <v>90.0</v>
      </c>
      <c r="C245" s="11">
        <v>66.0</v>
      </c>
      <c r="D245" s="11">
        <v>66.0</v>
      </c>
      <c r="E245" s="11">
        <v>1.0</v>
      </c>
      <c r="F245" s="11">
        <v>1.0</v>
      </c>
      <c r="G245" s="215">
        <v>38346.43</v>
      </c>
      <c r="H245" s="11">
        <v>30.0</v>
      </c>
      <c r="I245" s="109">
        <v>-30325.89</v>
      </c>
    </row>
    <row r="246">
      <c r="A246" s="110">
        <v>62213.0</v>
      </c>
      <c r="B246" s="17">
        <v>73.0</v>
      </c>
      <c r="C246" s="11">
        <v>66.0</v>
      </c>
      <c r="D246" s="11">
        <v>45.0</v>
      </c>
      <c r="E246" s="11">
        <v>6.0</v>
      </c>
      <c r="F246" s="11">
        <v>6.0</v>
      </c>
      <c r="G246" s="215">
        <v>88573.45</v>
      </c>
      <c r="H246" s="11">
        <v>27.0</v>
      </c>
      <c r="I246" s="109">
        <v>-95445.12</v>
      </c>
    </row>
    <row r="247">
      <c r="A247" s="110">
        <v>80513.0</v>
      </c>
      <c r="B247" s="17">
        <v>93.0</v>
      </c>
      <c r="C247" s="11">
        <v>25.0</v>
      </c>
      <c r="D247" s="11">
        <v>25.0</v>
      </c>
      <c r="E247" s="11">
        <v>1.0</v>
      </c>
      <c r="F247" s="11">
        <v>9.0</v>
      </c>
      <c r="G247" s="215">
        <v>-41874.52</v>
      </c>
      <c r="H247" s="11">
        <v>22.0</v>
      </c>
      <c r="I247" s="109">
        <v>-35897.27</v>
      </c>
    </row>
    <row r="248">
      <c r="A248" s="110">
        <v>60716.0</v>
      </c>
      <c r="B248" s="17">
        <v>10.0</v>
      </c>
      <c r="C248" s="11">
        <v>86.0</v>
      </c>
      <c r="D248" s="11">
        <v>66.0</v>
      </c>
      <c r="E248" s="11">
        <v>1.0</v>
      </c>
      <c r="F248" s="11">
        <v>7.0</v>
      </c>
      <c r="G248" s="215">
        <v>60856.99</v>
      </c>
      <c r="H248" s="11">
        <v>22.0</v>
      </c>
      <c r="I248" s="109">
        <v>57080.45</v>
      </c>
    </row>
    <row r="249">
      <c r="A249" s="110">
        <v>50320.0</v>
      </c>
      <c r="B249" s="17">
        <v>86.0</v>
      </c>
      <c r="C249" s="11">
        <v>25.0</v>
      </c>
      <c r="D249" s="11">
        <v>25.0</v>
      </c>
      <c r="E249" s="11">
        <v>2.0</v>
      </c>
      <c r="F249" s="11">
        <v>1.0</v>
      </c>
      <c r="G249" s="215">
        <v>-87782.86</v>
      </c>
      <c r="H249" s="11">
        <v>28.0</v>
      </c>
      <c r="I249" s="109">
        <v>-48756.09</v>
      </c>
    </row>
    <row r="250">
      <c r="A250" s="110">
        <v>70920.0</v>
      </c>
      <c r="B250" s="17">
        <v>83.0</v>
      </c>
      <c r="C250" s="11">
        <v>25.0</v>
      </c>
      <c r="D250" s="11">
        <v>86.0</v>
      </c>
      <c r="E250" s="11">
        <v>6.0</v>
      </c>
      <c r="F250" s="11">
        <v>8.0</v>
      </c>
      <c r="G250" s="215">
        <v>93060.4</v>
      </c>
      <c r="H250" s="11">
        <v>30.0</v>
      </c>
      <c r="I250" s="109">
        <v>23349.76</v>
      </c>
    </row>
    <row r="251">
      <c r="A251" s="110">
        <v>50214.0</v>
      </c>
      <c r="B251" s="17">
        <v>97.0</v>
      </c>
      <c r="C251" s="11">
        <v>45.0</v>
      </c>
      <c r="D251" s="11">
        <v>45.0</v>
      </c>
      <c r="E251" s="11">
        <v>7.0</v>
      </c>
      <c r="F251" s="11">
        <v>6.0</v>
      </c>
      <c r="G251" s="215">
        <v>38777.66</v>
      </c>
      <c r="H251" s="11">
        <v>27.0</v>
      </c>
      <c r="I251" s="109">
        <v>60225.29</v>
      </c>
    </row>
    <row r="252">
      <c r="A252" s="110">
        <v>50314.0</v>
      </c>
      <c r="B252" s="17">
        <v>62.0</v>
      </c>
      <c r="C252" s="11">
        <v>45.0</v>
      </c>
      <c r="D252" s="11">
        <v>66.0</v>
      </c>
      <c r="E252" s="11">
        <v>2.0</v>
      </c>
      <c r="F252" s="11">
        <v>5.0</v>
      </c>
      <c r="G252" s="215">
        <v>16816.22</v>
      </c>
      <c r="H252" s="11">
        <v>27.0</v>
      </c>
      <c r="I252" s="109">
        <v>18637.14</v>
      </c>
    </row>
    <row r="253">
      <c r="A253" s="110">
        <v>62914.0</v>
      </c>
      <c r="B253" s="17">
        <v>96.0</v>
      </c>
      <c r="C253" s="11">
        <v>86.0</v>
      </c>
      <c r="D253" s="11">
        <v>86.0</v>
      </c>
      <c r="E253" s="11">
        <v>7.0</v>
      </c>
      <c r="F253" s="11">
        <v>2.0</v>
      </c>
      <c r="G253" s="215">
        <v>-89567.5</v>
      </c>
      <c r="H253" s="11">
        <v>24.0</v>
      </c>
      <c r="I253" s="109">
        <v>30715.2</v>
      </c>
    </row>
    <row r="254">
      <c r="A254" s="110">
        <v>92013.0</v>
      </c>
      <c r="B254" s="17">
        <v>1.0</v>
      </c>
      <c r="C254" s="11">
        <v>66.0</v>
      </c>
      <c r="D254" s="11">
        <v>45.0</v>
      </c>
      <c r="E254" s="11">
        <v>7.0</v>
      </c>
      <c r="F254" s="11">
        <v>9.0</v>
      </c>
      <c r="G254" s="215">
        <v>81323.43</v>
      </c>
      <c r="H254" s="11">
        <v>20.0</v>
      </c>
      <c r="I254" s="109">
        <v>353.16</v>
      </c>
    </row>
    <row r="255">
      <c r="A255" s="110">
        <v>53123.0</v>
      </c>
      <c r="B255" s="17">
        <v>47.0</v>
      </c>
      <c r="C255" s="11">
        <v>25.0</v>
      </c>
      <c r="D255" s="11">
        <v>25.0</v>
      </c>
      <c r="E255" s="11">
        <v>3.0</v>
      </c>
      <c r="F255" s="11">
        <v>2.0</v>
      </c>
      <c r="G255" s="215">
        <v>-65535.95</v>
      </c>
      <c r="H255" s="11">
        <v>26.0</v>
      </c>
      <c r="I255" s="109">
        <v>11558.69</v>
      </c>
    </row>
    <row r="256">
      <c r="A256" s="110">
        <v>70914.0</v>
      </c>
      <c r="B256" s="17">
        <v>36.0</v>
      </c>
      <c r="C256" s="11">
        <v>46.0</v>
      </c>
      <c r="D256" s="11">
        <v>25.0</v>
      </c>
      <c r="E256" s="11">
        <v>3.0</v>
      </c>
      <c r="F256" s="11">
        <v>3.0</v>
      </c>
      <c r="G256" s="215">
        <v>-49012.54</v>
      </c>
      <c r="H256" s="11">
        <v>20.0</v>
      </c>
      <c r="I256" s="109">
        <v>-97212.41</v>
      </c>
    </row>
    <row r="257">
      <c r="A257" s="110">
        <v>20621.0</v>
      </c>
      <c r="B257" s="17">
        <v>95.0</v>
      </c>
      <c r="C257" s="11">
        <v>66.0</v>
      </c>
      <c r="D257" s="11">
        <v>45.0</v>
      </c>
      <c r="E257" s="11">
        <v>8.0</v>
      </c>
      <c r="F257" s="11">
        <v>2.0</v>
      </c>
      <c r="G257" s="215">
        <v>-30107.76</v>
      </c>
      <c r="H257" s="11">
        <v>30.0</v>
      </c>
      <c r="I257" s="109">
        <v>-3535.19</v>
      </c>
    </row>
    <row r="258">
      <c r="A258" s="110">
        <v>71814.0</v>
      </c>
      <c r="B258" s="17">
        <v>95.0</v>
      </c>
      <c r="C258" s="11">
        <v>25.0</v>
      </c>
      <c r="D258" s="11">
        <v>86.0</v>
      </c>
      <c r="E258" s="11">
        <v>7.0</v>
      </c>
      <c r="F258" s="11">
        <v>9.0</v>
      </c>
      <c r="G258" s="215">
        <v>40089.81</v>
      </c>
      <c r="H258" s="11">
        <v>23.0</v>
      </c>
      <c r="I258" s="109">
        <v>96457.7</v>
      </c>
    </row>
    <row r="259">
      <c r="A259" s="110">
        <v>102719.0</v>
      </c>
      <c r="B259" s="17">
        <v>52.0</v>
      </c>
      <c r="C259" s="11">
        <v>66.0</v>
      </c>
      <c r="D259" s="11">
        <v>45.0</v>
      </c>
      <c r="E259" s="11">
        <v>8.0</v>
      </c>
      <c r="F259" s="11">
        <v>4.0</v>
      </c>
      <c r="G259" s="215">
        <v>-40712.13</v>
      </c>
      <c r="H259" s="11">
        <v>27.0</v>
      </c>
      <c r="I259" s="109">
        <v>12820.49</v>
      </c>
    </row>
    <row r="260">
      <c r="A260" s="110">
        <v>72423.0</v>
      </c>
      <c r="B260" s="17">
        <v>93.0</v>
      </c>
      <c r="C260" s="11">
        <v>46.0</v>
      </c>
      <c r="D260" s="11">
        <v>45.0</v>
      </c>
      <c r="E260" s="11">
        <v>8.0</v>
      </c>
      <c r="F260" s="11">
        <v>5.0</v>
      </c>
      <c r="G260" s="215">
        <v>-9567.03</v>
      </c>
      <c r="H260" s="11">
        <v>20.0</v>
      </c>
      <c r="I260" s="109">
        <v>10433.97</v>
      </c>
    </row>
    <row r="261">
      <c r="A261" s="110">
        <v>13020.0</v>
      </c>
      <c r="B261" s="17">
        <v>60.0</v>
      </c>
      <c r="C261" s="11">
        <v>66.0</v>
      </c>
      <c r="D261" s="11">
        <v>66.0</v>
      </c>
      <c r="E261" s="11">
        <v>3.0</v>
      </c>
      <c r="F261" s="11">
        <v>4.0</v>
      </c>
      <c r="G261" s="215">
        <v>-25444.11</v>
      </c>
      <c r="H261" s="11">
        <v>29.0</v>
      </c>
      <c r="I261" s="109">
        <v>-22091.08</v>
      </c>
    </row>
    <row r="262">
      <c r="A262" s="110">
        <v>100616.0</v>
      </c>
      <c r="B262" s="17">
        <v>39.0</v>
      </c>
      <c r="C262" s="11">
        <v>87.0</v>
      </c>
      <c r="D262" s="11">
        <v>21.0</v>
      </c>
      <c r="E262" s="11">
        <v>3.0</v>
      </c>
      <c r="F262" s="11">
        <v>2.0</v>
      </c>
      <c r="G262" s="215">
        <v>-7305.46</v>
      </c>
      <c r="H262" s="11">
        <v>23.0</v>
      </c>
      <c r="I262" s="109">
        <v>88446.31</v>
      </c>
    </row>
    <row r="263">
      <c r="A263" s="110">
        <v>72517.0</v>
      </c>
      <c r="B263" s="17">
        <v>68.0</v>
      </c>
      <c r="C263" s="11">
        <v>66.0</v>
      </c>
      <c r="D263" s="11">
        <v>45.0</v>
      </c>
      <c r="E263" s="11">
        <v>8.0</v>
      </c>
      <c r="F263" s="11">
        <v>6.0</v>
      </c>
      <c r="G263" s="215">
        <v>-49434.84</v>
      </c>
      <c r="H263" s="11">
        <v>21.0</v>
      </c>
      <c r="I263" s="109">
        <v>55227.32</v>
      </c>
    </row>
    <row r="264">
      <c r="A264" s="110">
        <v>30318.0</v>
      </c>
      <c r="B264" s="17">
        <v>97.0</v>
      </c>
      <c r="C264" s="11">
        <v>87.0</v>
      </c>
      <c r="D264" s="11">
        <v>45.0</v>
      </c>
      <c r="E264" s="11">
        <v>8.0</v>
      </c>
      <c r="F264" s="11">
        <v>9.0</v>
      </c>
      <c r="G264" s="215">
        <v>91608.38</v>
      </c>
      <c r="H264" s="11">
        <v>27.0</v>
      </c>
      <c r="I264" s="109">
        <v>2363.19</v>
      </c>
    </row>
    <row r="265">
      <c r="A265" s="110">
        <v>70915.0</v>
      </c>
      <c r="B265" s="17">
        <v>22.0</v>
      </c>
      <c r="C265" s="11">
        <v>66.0</v>
      </c>
      <c r="D265" s="11">
        <v>86.0</v>
      </c>
      <c r="E265" s="11">
        <v>9.0</v>
      </c>
      <c r="F265" s="11">
        <v>7.0</v>
      </c>
      <c r="G265" s="215">
        <v>-31974.07</v>
      </c>
      <c r="H265" s="11">
        <v>30.0</v>
      </c>
      <c r="I265" s="109">
        <v>99586.68</v>
      </c>
    </row>
    <row r="266">
      <c r="A266" s="110">
        <v>61716.0</v>
      </c>
      <c r="B266" s="17">
        <v>89.0</v>
      </c>
      <c r="C266" s="11">
        <v>25.0</v>
      </c>
      <c r="D266" s="11">
        <v>86.0</v>
      </c>
      <c r="E266" s="11">
        <v>9.0</v>
      </c>
      <c r="F266" s="11">
        <v>8.0</v>
      </c>
      <c r="G266" s="215">
        <v>47272.16</v>
      </c>
      <c r="H266" s="11">
        <v>26.0</v>
      </c>
      <c r="I266" s="109">
        <v>-12785.05</v>
      </c>
    </row>
    <row r="267">
      <c r="A267" s="110">
        <v>110614.0</v>
      </c>
      <c r="B267" s="17">
        <v>65.0</v>
      </c>
      <c r="C267" s="11">
        <v>46.0</v>
      </c>
      <c r="D267" s="11">
        <v>25.0</v>
      </c>
      <c r="E267" s="11">
        <v>5.0</v>
      </c>
      <c r="F267" s="11">
        <v>5.0</v>
      </c>
      <c r="G267" s="215">
        <v>25448.46</v>
      </c>
      <c r="H267" s="11">
        <v>23.0</v>
      </c>
      <c r="I267" s="109">
        <v>53659.78</v>
      </c>
    </row>
    <row r="268">
      <c r="A268" s="110">
        <v>52619.0</v>
      </c>
      <c r="B268" s="17">
        <v>87.0</v>
      </c>
      <c r="C268" s="11">
        <v>46.0</v>
      </c>
      <c r="D268" s="11">
        <v>25.0</v>
      </c>
      <c r="E268" s="11">
        <v>5.0</v>
      </c>
      <c r="F268" s="11">
        <v>8.0</v>
      </c>
      <c r="G268" s="215">
        <v>83347.04</v>
      </c>
      <c r="H268" s="11">
        <v>23.0</v>
      </c>
      <c r="I268" s="109">
        <v>-46888.05</v>
      </c>
    </row>
    <row r="269">
      <c r="A269" s="110">
        <v>20420.0</v>
      </c>
      <c r="B269" s="17">
        <v>6.0</v>
      </c>
      <c r="C269" s="11">
        <v>87.0</v>
      </c>
      <c r="D269" s="11">
        <v>25.0</v>
      </c>
      <c r="E269" s="11">
        <v>6.0</v>
      </c>
      <c r="F269" s="11">
        <v>5.0</v>
      </c>
      <c r="G269" s="215">
        <v>-47472.54</v>
      </c>
      <c r="H269" s="11">
        <v>21.0</v>
      </c>
      <c r="I269" s="109">
        <v>98045.12</v>
      </c>
    </row>
    <row r="270">
      <c r="A270" s="110">
        <v>111013.0</v>
      </c>
      <c r="B270" s="17">
        <v>11.0</v>
      </c>
      <c r="C270" s="11">
        <v>46.0</v>
      </c>
      <c r="D270" s="11">
        <v>87.0</v>
      </c>
      <c r="E270" s="11">
        <v>1.0</v>
      </c>
      <c r="F270" s="11">
        <v>3.0</v>
      </c>
      <c r="G270" s="215">
        <v>81599.1</v>
      </c>
      <c r="H270" s="11">
        <v>30.0</v>
      </c>
      <c r="I270" s="109">
        <v>11120.28</v>
      </c>
    </row>
    <row r="271">
      <c r="A271" s="110">
        <v>71319.0</v>
      </c>
      <c r="B271" s="17">
        <v>40.0</v>
      </c>
      <c r="C271" s="11">
        <v>87.0</v>
      </c>
      <c r="D271" s="11">
        <v>66.0</v>
      </c>
      <c r="E271" s="11">
        <v>6.0</v>
      </c>
      <c r="F271" s="11">
        <v>8.0</v>
      </c>
      <c r="G271" s="215">
        <v>98918.97</v>
      </c>
      <c r="H271" s="11">
        <v>30.0</v>
      </c>
      <c r="I271" s="109">
        <v>-76642.24</v>
      </c>
    </row>
    <row r="272">
      <c r="A272" s="110">
        <v>111814.0</v>
      </c>
      <c r="B272" s="17">
        <v>18.0</v>
      </c>
      <c r="C272" s="11">
        <v>25.0</v>
      </c>
      <c r="D272" s="11">
        <v>66.0</v>
      </c>
      <c r="E272" s="11">
        <v>6.0</v>
      </c>
      <c r="F272" s="11">
        <v>9.0</v>
      </c>
      <c r="G272" s="215">
        <v>70132.11</v>
      </c>
      <c r="H272" s="11">
        <v>29.0</v>
      </c>
      <c r="I272" s="109">
        <v>-31426.75</v>
      </c>
    </row>
    <row r="273">
      <c r="A273" s="110">
        <v>52223.0</v>
      </c>
      <c r="B273" s="17">
        <v>40.0</v>
      </c>
      <c r="C273" s="11">
        <v>25.0</v>
      </c>
      <c r="D273" s="11">
        <v>25.0</v>
      </c>
      <c r="E273" s="11">
        <v>7.0</v>
      </c>
      <c r="F273" s="11">
        <v>3.0</v>
      </c>
      <c r="G273" s="215">
        <v>19813.55</v>
      </c>
      <c r="H273" s="11">
        <v>24.0</v>
      </c>
      <c r="I273" s="109">
        <v>5453.97</v>
      </c>
    </row>
    <row r="274">
      <c r="A274" s="110">
        <v>90515.0</v>
      </c>
      <c r="B274" s="17">
        <v>77.0</v>
      </c>
      <c r="C274" s="11">
        <v>66.0</v>
      </c>
      <c r="D274" s="11">
        <v>87.0</v>
      </c>
      <c r="E274" s="11">
        <v>1.0</v>
      </c>
      <c r="F274" s="11">
        <v>9.0</v>
      </c>
      <c r="G274" s="215">
        <v>90580.23</v>
      </c>
      <c r="H274" s="11">
        <v>29.0</v>
      </c>
      <c r="I274" s="109">
        <v>15100.77</v>
      </c>
    </row>
    <row r="275">
      <c r="A275" s="110">
        <v>11018.0</v>
      </c>
      <c r="B275" s="17">
        <v>58.0</v>
      </c>
      <c r="C275" s="11">
        <v>46.0</v>
      </c>
      <c r="D275" s="11">
        <v>46.0</v>
      </c>
      <c r="E275" s="11">
        <v>2.0</v>
      </c>
      <c r="F275" s="11">
        <v>4.0</v>
      </c>
      <c r="G275" s="215">
        <v>-97456.89</v>
      </c>
      <c r="H275" s="11">
        <v>22.0</v>
      </c>
      <c r="I275" s="109">
        <v>-52860.47</v>
      </c>
    </row>
    <row r="276">
      <c r="A276" s="110">
        <v>101423.0</v>
      </c>
      <c r="B276" s="17">
        <v>93.0</v>
      </c>
      <c r="C276" s="11">
        <v>66.0</v>
      </c>
      <c r="D276" s="11">
        <v>25.0</v>
      </c>
      <c r="E276" s="11">
        <v>8.0</v>
      </c>
      <c r="F276" s="11">
        <v>2.0</v>
      </c>
      <c r="G276" s="215">
        <v>95608.04</v>
      </c>
      <c r="H276" s="11">
        <v>20.0</v>
      </c>
      <c r="I276" s="109">
        <v>-90280.31</v>
      </c>
    </row>
    <row r="277">
      <c r="A277" s="110">
        <v>61916.0</v>
      </c>
      <c r="B277" s="17">
        <v>64.0</v>
      </c>
      <c r="C277" s="11">
        <v>66.0</v>
      </c>
      <c r="D277" s="11">
        <v>25.0</v>
      </c>
      <c r="E277" s="11">
        <v>8.0</v>
      </c>
      <c r="F277" s="11">
        <v>3.0</v>
      </c>
      <c r="G277" s="215">
        <v>-65212.01</v>
      </c>
      <c r="H277" s="11">
        <v>21.0</v>
      </c>
      <c r="I277" s="109">
        <v>-4330.15</v>
      </c>
    </row>
    <row r="278">
      <c r="A278" s="110">
        <v>112416.0</v>
      </c>
      <c r="B278" s="17">
        <v>7.0</v>
      </c>
      <c r="C278" s="11">
        <v>66.0</v>
      </c>
      <c r="D278" s="11">
        <v>46.0</v>
      </c>
      <c r="E278" s="11">
        <v>3.0</v>
      </c>
      <c r="F278" s="11">
        <v>3.0</v>
      </c>
      <c r="G278" s="215">
        <v>-3461.54</v>
      </c>
      <c r="H278" s="11">
        <v>26.0</v>
      </c>
      <c r="I278" s="109">
        <v>21587.24</v>
      </c>
    </row>
    <row r="279">
      <c r="A279" s="110">
        <v>92821.0</v>
      </c>
      <c r="B279" s="17">
        <v>10.0</v>
      </c>
      <c r="C279" s="11">
        <v>46.0</v>
      </c>
      <c r="D279" s="11">
        <v>25.0</v>
      </c>
      <c r="E279" s="11">
        <v>8.0</v>
      </c>
      <c r="F279" s="11">
        <v>6.0</v>
      </c>
      <c r="G279" s="215">
        <v>-66515.72</v>
      </c>
      <c r="H279" s="11">
        <v>27.0</v>
      </c>
      <c r="I279" s="109">
        <v>90955.49</v>
      </c>
    </row>
    <row r="280">
      <c r="A280" s="110">
        <v>30218.0</v>
      </c>
      <c r="B280" s="17">
        <v>50.0</v>
      </c>
      <c r="C280" s="11">
        <v>87.0</v>
      </c>
      <c r="D280" s="11">
        <v>87.0</v>
      </c>
      <c r="E280" s="11">
        <v>3.0</v>
      </c>
      <c r="F280" s="11">
        <v>2.0</v>
      </c>
      <c r="G280" s="215">
        <v>-7038.06</v>
      </c>
      <c r="H280" s="11">
        <v>21.0</v>
      </c>
      <c r="I280" s="109">
        <v>-75825.35</v>
      </c>
    </row>
    <row r="281">
      <c r="A281" s="110">
        <v>101918.0</v>
      </c>
      <c r="B281" s="17">
        <v>74.0</v>
      </c>
      <c r="C281" s="11">
        <v>87.0</v>
      </c>
      <c r="D281" s="11">
        <v>46.0</v>
      </c>
      <c r="E281" s="11">
        <v>3.0</v>
      </c>
      <c r="F281" s="11">
        <v>6.0</v>
      </c>
      <c r="G281" s="215">
        <v>97031.74</v>
      </c>
      <c r="H281" s="11">
        <v>30.0</v>
      </c>
      <c r="I281" s="109">
        <v>97993.55</v>
      </c>
    </row>
    <row r="282">
      <c r="A282" s="110">
        <v>40322.0</v>
      </c>
      <c r="B282" s="17">
        <v>71.0</v>
      </c>
      <c r="C282" s="11">
        <v>26.0</v>
      </c>
      <c r="D282" s="11">
        <v>46.0</v>
      </c>
      <c r="E282" s="11">
        <v>3.0</v>
      </c>
      <c r="F282" s="11">
        <v>8.0</v>
      </c>
      <c r="G282" s="215">
        <v>23787.32</v>
      </c>
      <c r="H282" s="11">
        <v>28.0</v>
      </c>
      <c r="I282" s="109">
        <v>-48208.64</v>
      </c>
    </row>
    <row r="283">
      <c r="A283" s="110">
        <v>110818.0</v>
      </c>
      <c r="B283" s="17">
        <v>69.0</v>
      </c>
      <c r="C283" s="11">
        <v>67.0</v>
      </c>
      <c r="D283" s="11">
        <v>66.0</v>
      </c>
      <c r="E283" s="11">
        <v>8.0</v>
      </c>
      <c r="F283" s="11">
        <v>6.0</v>
      </c>
      <c r="G283" s="215">
        <v>80152.95</v>
      </c>
      <c r="H283" s="11">
        <v>28.0</v>
      </c>
      <c r="I283" s="109">
        <v>-2802.62</v>
      </c>
    </row>
    <row r="284">
      <c r="A284" s="110">
        <v>81120.0</v>
      </c>
      <c r="B284" s="17">
        <v>34.0</v>
      </c>
      <c r="C284" s="11">
        <v>26.0</v>
      </c>
      <c r="D284" s="11">
        <v>87.0</v>
      </c>
      <c r="E284" s="11">
        <v>3.0</v>
      </c>
      <c r="F284" s="11">
        <v>6.0</v>
      </c>
      <c r="G284" s="215">
        <v>41753.19</v>
      </c>
      <c r="H284" s="11">
        <v>29.0</v>
      </c>
      <c r="I284" s="109">
        <v>9057.67</v>
      </c>
    </row>
    <row r="285">
      <c r="A285" s="110">
        <v>10914.0</v>
      </c>
      <c r="B285" s="17">
        <v>49.0</v>
      </c>
      <c r="C285" s="11">
        <v>87.0</v>
      </c>
      <c r="D285" s="11">
        <v>87.0</v>
      </c>
      <c r="E285" s="11">
        <v>3.0</v>
      </c>
      <c r="F285" s="11">
        <v>7.0</v>
      </c>
      <c r="G285" s="215">
        <v>1297.39</v>
      </c>
      <c r="H285" s="11">
        <v>28.0</v>
      </c>
      <c r="I285" s="109">
        <v>-31165.38</v>
      </c>
    </row>
    <row r="286">
      <c r="A286" s="110">
        <v>32314.0</v>
      </c>
      <c r="B286" s="17">
        <v>16.0</v>
      </c>
      <c r="C286" s="11">
        <v>26.0</v>
      </c>
      <c r="D286" s="11">
        <v>66.0</v>
      </c>
      <c r="E286" s="11">
        <v>8.0</v>
      </c>
      <c r="F286" s="11">
        <v>9.0</v>
      </c>
      <c r="G286" s="215">
        <v>-42860.02</v>
      </c>
      <c r="H286" s="11">
        <v>29.0</v>
      </c>
      <c r="I286" s="109">
        <v>54663.16</v>
      </c>
    </row>
    <row r="287">
      <c r="A287" s="110">
        <v>81118.0</v>
      </c>
      <c r="B287" s="17">
        <v>64.0</v>
      </c>
      <c r="C287" s="11">
        <v>87.0</v>
      </c>
      <c r="D287" s="11">
        <v>66.0</v>
      </c>
      <c r="E287" s="11">
        <v>8.0</v>
      </c>
      <c r="F287" s="11">
        <v>5.0</v>
      </c>
      <c r="G287" s="215">
        <v>2128.24</v>
      </c>
      <c r="H287" s="11">
        <v>30.0</v>
      </c>
      <c r="I287" s="109">
        <v>-61985.4</v>
      </c>
    </row>
    <row r="288">
      <c r="A288" s="110">
        <v>70814.0</v>
      </c>
      <c r="B288" s="17">
        <v>41.0</v>
      </c>
      <c r="C288" s="11">
        <v>26.0</v>
      </c>
      <c r="D288" s="11">
        <v>66.0</v>
      </c>
      <c r="E288" s="11">
        <v>9.0</v>
      </c>
      <c r="F288" s="11">
        <v>3.0</v>
      </c>
      <c r="G288" s="215">
        <v>82173.52</v>
      </c>
      <c r="H288" s="11">
        <v>29.0</v>
      </c>
      <c r="I288" s="109">
        <v>56404.98</v>
      </c>
    </row>
    <row r="289">
      <c r="A289" s="110">
        <v>62819.0</v>
      </c>
      <c r="B289" s="17">
        <v>82.0</v>
      </c>
      <c r="C289" s="11">
        <v>46.0</v>
      </c>
      <c r="D289" s="11">
        <v>66.0</v>
      </c>
      <c r="E289" s="11">
        <v>9.0</v>
      </c>
      <c r="F289" s="11">
        <v>4.0</v>
      </c>
      <c r="G289" s="215">
        <v>43722.97</v>
      </c>
      <c r="H289" s="11">
        <v>20.0</v>
      </c>
      <c r="I289" s="109">
        <v>36852.59</v>
      </c>
    </row>
    <row r="290">
      <c r="A290" s="110">
        <v>50616.0</v>
      </c>
      <c r="B290" s="17">
        <v>10.0</v>
      </c>
      <c r="C290" s="11">
        <v>46.0</v>
      </c>
      <c r="D290" s="11">
        <v>87.0</v>
      </c>
      <c r="E290" s="11">
        <v>4.0</v>
      </c>
      <c r="F290" s="11">
        <v>2.0</v>
      </c>
      <c r="G290" s="215">
        <v>64104.84</v>
      </c>
      <c r="H290" s="11">
        <v>23.0</v>
      </c>
      <c r="I290" s="109">
        <v>70648.31</v>
      </c>
    </row>
    <row r="291">
      <c r="A291" s="110">
        <v>122717.0</v>
      </c>
      <c r="B291" s="17">
        <v>43.0</v>
      </c>
      <c r="C291" s="11">
        <v>67.0</v>
      </c>
      <c r="D291" s="11">
        <v>87.0</v>
      </c>
      <c r="E291" s="11">
        <v>4.0</v>
      </c>
      <c r="F291" s="11">
        <v>4.0</v>
      </c>
      <c r="G291" s="215">
        <v>54453.65</v>
      </c>
      <c r="H291" s="11">
        <v>23.0</v>
      </c>
      <c r="I291" s="109">
        <v>82428.24</v>
      </c>
    </row>
    <row r="292">
      <c r="A292" s="110">
        <v>51916.0</v>
      </c>
      <c r="B292" s="17">
        <v>90.0</v>
      </c>
      <c r="C292" s="11">
        <v>46.0</v>
      </c>
      <c r="D292" s="11">
        <v>25.0</v>
      </c>
      <c r="E292" s="11">
        <v>9.0</v>
      </c>
      <c r="F292" s="11">
        <v>9.0</v>
      </c>
      <c r="G292" s="215">
        <v>-77185.84</v>
      </c>
      <c r="H292" s="11">
        <v>20.0</v>
      </c>
      <c r="I292" s="109">
        <v>26305.87</v>
      </c>
    </row>
    <row r="293">
      <c r="A293" s="110">
        <v>13017.0</v>
      </c>
      <c r="B293" s="17">
        <v>12.0</v>
      </c>
      <c r="C293" s="11">
        <v>46.0</v>
      </c>
      <c r="D293" s="11">
        <v>87.0</v>
      </c>
      <c r="E293" s="11">
        <v>4.0</v>
      </c>
      <c r="F293" s="11">
        <v>7.0</v>
      </c>
      <c r="G293" s="215">
        <v>82816.03</v>
      </c>
      <c r="H293" s="11">
        <v>30.0</v>
      </c>
      <c r="I293" s="109">
        <v>-92401.7</v>
      </c>
    </row>
    <row r="294">
      <c r="A294" s="110">
        <v>12223.0</v>
      </c>
      <c r="B294" s="17">
        <v>18.0</v>
      </c>
      <c r="C294" s="11">
        <v>87.0</v>
      </c>
      <c r="D294" s="11">
        <v>46.0</v>
      </c>
      <c r="E294" s="11">
        <v>5.0</v>
      </c>
      <c r="F294" s="11">
        <v>3.0</v>
      </c>
      <c r="G294" s="215">
        <v>-40089.59</v>
      </c>
      <c r="H294" s="11">
        <v>25.0</v>
      </c>
      <c r="I294" s="109">
        <v>-75557.26</v>
      </c>
    </row>
    <row r="295">
      <c r="A295" s="110">
        <v>12418.0</v>
      </c>
      <c r="B295" s="17">
        <v>30.0</v>
      </c>
      <c r="C295" s="11">
        <v>26.0</v>
      </c>
      <c r="D295" s="11">
        <v>26.0</v>
      </c>
      <c r="E295" s="11">
        <v>1.0</v>
      </c>
      <c r="F295" s="11">
        <v>2.0</v>
      </c>
      <c r="G295" s="215">
        <v>-11421.43</v>
      </c>
      <c r="H295" s="11">
        <v>25.0</v>
      </c>
      <c r="I295" s="109">
        <v>79080.76</v>
      </c>
    </row>
    <row r="296">
      <c r="A296" s="110">
        <v>101721.0</v>
      </c>
      <c r="B296" s="17">
        <v>59.0</v>
      </c>
      <c r="C296" s="11">
        <v>26.0</v>
      </c>
      <c r="D296" s="11">
        <v>46.0</v>
      </c>
      <c r="E296" s="11">
        <v>6.0</v>
      </c>
      <c r="F296" s="11">
        <v>1.0</v>
      </c>
      <c r="G296" s="215">
        <v>92164.52</v>
      </c>
      <c r="H296" s="11">
        <v>25.0</v>
      </c>
      <c r="I296" s="109">
        <v>-62539.28</v>
      </c>
    </row>
    <row r="297">
      <c r="A297" s="110">
        <v>122616.0</v>
      </c>
      <c r="B297" s="17">
        <v>91.0</v>
      </c>
      <c r="C297" s="11">
        <v>87.0</v>
      </c>
      <c r="D297" s="11">
        <v>26.0</v>
      </c>
      <c r="E297" s="11">
        <v>1.0</v>
      </c>
      <c r="F297" s="11">
        <v>4.0</v>
      </c>
      <c r="G297" s="215">
        <v>-15663.33</v>
      </c>
      <c r="H297" s="11">
        <v>21.0</v>
      </c>
      <c r="I297" s="109">
        <v>-20943.9</v>
      </c>
    </row>
    <row r="298">
      <c r="A298" s="110">
        <v>40818.0</v>
      </c>
      <c r="B298" s="17">
        <v>63.0</v>
      </c>
      <c r="C298" s="11">
        <v>87.0</v>
      </c>
      <c r="D298" s="11">
        <v>26.0</v>
      </c>
      <c r="E298" s="11">
        <v>1.0</v>
      </c>
      <c r="F298" s="11">
        <v>5.0</v>
      </c>
      <c r="G298" s="215">
        <v>-29345.46</v>
      </c>
      <c r="H298" s="11">
        <v>23.0</v>
      </c>
      <c r="I298" s="109">
        <v>-76358.14</v>
      </c>
    </row>
    <row r="299">
      <c r="A299" s="110">
        <v>31921.0</v>
      </c>
      <c r="B299" s="17">
        <v>98.0</v>
      </c>
      <c r="C299" s="11">
        <v>46.0</v>
      </c>
      <c r="D299" s="11">
        <v>26.0</v>
      </c>
      <c r="E299" s="11">
        <v>1.0</v>
      </c>
      <c r="F299" s="11">
        <v>6.0</v>
      </c>
      <c r="G299" s="215">
        <v>-39586.49</v>
      </c>
      <c r="H299" s="11">
        <v>22.0</v>
      </c>
      <c r="I299" s="109">
        <v>41713.43</v>
      </c>
    </row>
    <row r="300">
      <c r="A300" s="110">
        <v>11214.0</v>
      </c>
      <c r="B300" s="17">
        <v>91.0</v>
      </c>
      <c r="C300" s="11">
        <v>26.0</v>
      </c>
      <c r="D300" s="11">
        <v>87.0</v>
      </c>
      <c r="E300" s="11">
        <v>6.0</v>
      </c>
      <c r="F300" s="11">
        <v>1.0</v>
      </c>
      <c r="G300" s="215">
        <v>-12126.26</v>
      </c>
      <c r="H300" s="11">
        <v>29.0</v>
      </c>
      <c r="I300" s="109">
        <v>13727.12</v>
      </c>
    </row>
    <row r="301">
      <c r="A301" s="110">
        <v>62518.0</v>
      </c>
      <c r="B301" s="17">
        <v>90.0</v>
      </c>
      <c r="C301" s="11">
        <v>67.0</v>
      </c>
      <c r="D301" s="11">
        <v>46.0</v>
      </c>
      <c r="E301" s="11">
        <v>6.0</v>
      </c>
      <c r="F301" s="11">
        <v>5.0</v>
      </c>
      <c r="G301" s="215">
        <v>-80345.01</v>
      </c>
      <c r="H301" s="11">
        <v>24.0</v>
      </c>
      <c r="I301" s="109">
        <v>21451.75</v>
      </c>
    </row>
    <row r="302">
      <c r="A302" s="110">
        <v>21218.0</v>
      </c>
      <c r="B302" s="17">
        <v>98.0</v>
      </c>
      <c r="C302" s="11">
        <v>87.0</v>
      </c>
      <c r="D302" s="11">
        <v>26.0</v>
      </c>
      <c r="E302" s="11">
        <v>1.0</v>
      </c>
      <c r="F302" s="11">
        <v>7.0</v>
      </c>
      <c r="G302" s="215">
        <v>37325.0</v>
      </c>
      <c r="H302" s="11">
        <v>25.0</v>
      </c>
      <c r="I302" s="109">
        <v>19312.2</v>
      </c>
    </row>
    <row r="303">
      <c r="A303" s="110">
        <v>123114.0</v>
      </c>
      <c r="B303" s="17">
        <v>84.0</v>
      </c>
      <c r="C303" s="11">
        <v>26.0</v>
      </c>
      <c r="D303" s="11">
        <v>46.0</v>
      </c>
      <c r="E303" s="11">
        <v>6.0</v>
      </c>
      <c r="F303" s="11">
        <v>8.0</v>
      </c>
      <c r="G303" s="215">
        <v>54833.17</v>
      </c>
      <c r="H303" s="11">
        <v>25.0</v>
      </c>
      <c r="I303" s="109">
        <v>-74273.24</v>
      </c>
    </row>
    <row r="304">
      <c r="A304" s="110">
        <v>40216.0</v>
      </c>
      <c r="B304" s="17">
        <v>73.0</v>
      </c>
      <c r="C304" s="11">
        <v>67.0</v>
      </c>
      <c r="D304" s="11">
        <v>26.0</v>
      </c>
      <c r="E304" s="11">
        <v>2.0</v>
      </c>
      <c r="F304" s="11">
        <v>2.0</v>
      </c>
      <c r="G304" s="215">
        <v>-82082.35</v>
      </c>
      <c r="H304" s="11">
        <v>22.0</v>
      </c>
      <c r="I304" s="109">
        <v>32083.33</v>
      </c>
    </row>
    <row r="305">
      <c r="A305" s="110">
        <v>80713.0</v>
      </c>
      <c r="B305" s="17">
        <v>25.0</v>
      </c>
      <c r="C305" s="11">
        <v>67.0</v>
      </c>
      <c r="D305" s="11">
        <v>46.0</v>
      </c>
      <c r="E305" s="11">
        <v>7.0</v>
      </c>
      <c r="F305" s="11">
        <v>3.0</v>
      </c>
      <c r="G305" s="215">
        <v>-2863.26</v>
      </c>
      <c r="H305" s="11">
        <v>22.0</v>
      </c>
      <c r="I305" s="109">
        <v>70506.02</v>
      </c>
    </row>
    <row r="306">
      <c r="A306" s="110">
        <v>101020.0</v>
      </c>
      <c r="B306" s="17">
        <v>16.0</v>
      </c>
      <c r="C306" s="11">
        <v>67.0</v>
      </c>
      <c r="D306" s="11">
        <v>67.0</v>
      </c>
      <c r="E306" s="11">
        <v>2.0</v>
      </c>
      <c r="F306" s="11">
        <v>2.0</v>
      </c>
      <c r="G306" s="215">
        <v>-10124.75</v>
      </c>
      <c r="H306" s="11">
        <v>21.0</v>
      </c>
      <c r="I306" s="109">
        <v>95649.79</v>
      </c>
    </row>
    <row r="307">
      <c r="A307" s="110">
        <v>111014.0</v>
      </c>
      <c r="B307" s="17">
        <v>44.0</v>
      </c>
      <c r="C307" s="11">
        <v>47.0</v>
      </c>
      <c r="D307" s="11">
        <v>67.0</v>
      </c>
      <c r="E307" s="11">
        <v>2.0</v>
      </c>
      <c r="F307" s="11">
        <v>4.0</v>
      </c>
      <c r="G307" s="215">
        <v>-3605.62</v>
      </c>
      <c r="H307" s="11">
        <v>24.0</v>
      </c>
      <c r="I307" s="109">
        <v>77930.24</v>
      </c>
    </row>
    <row r="308">
      <c r="A308" s="110">
        <v>41913.0</v>
      </c>
      <c r="B308" s="17">
        <v>22.0</v>
      </c>
      <c r="C308" s="11">
        <v>67.0</v>
      </c>
      <c r="D308" s="11">
        <v>87.0</v>
      </c>
      <c r="E308" s="11">
        <v>7.0</v>
      </c>
      <c r="F308" s="11">
        <v>3.0</v>
      </c>
      <c r="G308" s="215">
        <v>-51049.5</v>
      </c>
      <c r="H308" s="11">
        <v>20.0</v>
      </c>
      <c r="I308" s="109">
        <v>68961.05</v>
      </c>
    </row>
    <row r="309">
      <c r="A309" s="110">
        <v>30320.0</v>
      </c>
      <c r="B309" s="17">
        <v>88.0</v>
      </c>
      <c r="C309" s="11">
        <v>26.0</v>
      </c>
      <c r="D309" s="11">
        <v>87.0</v>
      </c>
      <c r="E309" s="11">
        <v>7.0</v>
      </c>
      <c r="F309" s="11">
        <v>4.0</v>
      </c>
      <c r="G309" s="215">
        <v>35853.1</v>
      </c>
      <c r="H309" s="11">
        <v>24.0</v>
      </c>
      <c r="I309" s="109">
        <v>-88768.04</v>
      </c>
    </row>
    <row r="310">
      <c r="A310" s="110">
        <v>102813.0</v>
      </c>
      <c r="B310" s="17">
        <v>90.0</v>
      </c>
      <c r="C310" s="11">
        <v>88.0</v>
      </c>
      <c r="D310" s="11">
        <v>26.0</v>
      </c>
      <c r="E310" s="11">
        <v>3.0</v>
      </c>
      <c r="F310" s="11">
        <v>1.0</v>
      </c>
      <c r="G310" s="215">
        <v>29605.7</v>
      </c>
      <c r="H310" s="11">
        <v>23.0</v>
      </c>
      <c r="I310" s="109">
        <v>82849.91</v>
      </c>
    </row>
    <row r="311">
      <c r="A311" s="110">
        <v>62218.0</v>
      </c>
      <c r="B311" s="17">
        <v>92.0</v>
      </c>
      <c r="C311" s="11">
        <v>26.0</v>
      </c>
      <c r="D311" s="11">
        <v>67.0</v>
      </c>
      <c r="E311" s="11">
        <v>2.0</v>
      </c>
      <c r="F311" s="11">
        <v>6.0</v>
      </c>
      <c r="G311" s="215">
        <v>-93037.05</v>
      </c>
      <c r="H311" s="11">
        <v>20.0</v>
      </c>
      <c r="I311" s="109">
        <v>61823.92</v>
      </c>
    </row>
    <row r="312">
      <c r="A312" s="110">
        <v>60719.0</v>
      </c>
      <c r="B312" s="17">
        <v>28.0</v>
      </c>
      <c r="C312" s="11">
        <v>47.0</v>
      </c>
      <c r="D312" s="11">
        <v>26.0</v>
      </c>
      <c r="E312" s="11">
        <v>3.0</v>
      </c>
      <c r="F312" s="11">
        <v>2.0</v>
      </c>
      <c r="G312" s="215">
        <v>62991.08</v>
      </c>
      <c r="H312" s="11">
        <v>21.0</v>
      </c>
      <c r="I312" s="109">
        <v>-26555.22</v>
      </c>
    </row>
    <row r="313">
      <c r="A313" s="110">
        <v>71220.0</v>
      </c>
      <c r="B313" s="17">
        <v>18.0</v>
      </c>
      <c r="C313" s="11">
        <v>26.0</v>
      </c>
      <c r="D313" s="11">
        <v>46.0</v>
      </c>
      <c r="E313" s="11">
        <v>7.0</v>
      </c>
      <c r="F313" s="11">
        <v>6.0</v>
      </c>
      <c r="G313" s="215">
        <v>19753.13</v>
      </c>
      <c r="H313" s="11">
        <v>27.0</v>
      </c>
      <c r="I313" s="109">
        <v>42577.12</v>
      </c>
    </row>
    <row r="314">
      <c r="A314" s="110">
        <v>102318.0</v>
      </c>
      <c r="B314" s="17">
        <v>9.0</v>
      </c>
      <c r="C314" s="11">
        <v>26.0</v>
      </c>
      <c r="D314" s="11">
        <v>67.0</v>
      </c>
      <c r="E314" s="11">
        <v>3.0</v>
      </c>
      <c r="F314" s="11">
        <v>3.0</v>
      </c>
      <c r="G314" s="215">
        <v>90348.24</v>
      </c>
      <c r="H314" s="11">
        <v>27.0</v>
      </c>
      <c r="I314" s="109">
        <v>3227.11</v>
      </c>
    </row>
    <row r="315">
      <c r="A315" s="110">
        <v>82719.0</v>
      </c>
      <c r="B315" s="17">
        <v>52.0</v>
      </c>
      <c r="C315" s="11">
        <v>88.0</v>
      </c>
      <c r="D315" s="11">
        <v>87.0</v>
      </c>
      <c r="E315" s="11">
        <v>8.0</v>
      </c>
      <c r="F315" s="11">
        <v>2.0</v>
      </c>
      <c r="G315" s="215">
        <v>87974.47</v>
      </c>
      <c r="H315" s="11">
        <v>24.0</v>
      </c>
      <c r="I315" s="109">
        <v>-98882.12</v>
      </c>
    </row>
    <row r="316">
      <c r="A316" s="110">
        <v>20119.0</v>
      </c>
      <c r="B316" s="17">
        <v>23.0</v>
      </c>
      <c r="C316" s="11">
        <v>67.0</v>
      </c>
      <c r="D316" s="11">
        <v>26.0</v>
      </c>
      <c r="E316" s="11">
        <v>3.0</v>
      </c>
      <c r="F316" s="11">
        <v>9.0</v>
      </c>
      <c r="G316" s="215">
        <v>40857.27</v>
      </c>
      <c r="H316" s="11">
        <v>22.0</v>
      </c>
      <c r="I316" s="109">
        <v>27613.76</v>
      </c>
    </row>
    <row r="317">
      <c r="A317" s="110">
        <v>101721.0</v>
      </c>
      <c r="B317" s="17">
        <v>25.0</v>
      </c>
      <c r="C317" s="11">
        <v>26.0</v>
      </c>
      <c r="D317" s="11">
        <v>46.0</v>
      </c>
      <c r="E317" s="11">
        <v>8.0</v>
      </c>
      <c r="F317" s="11">
        <v>6.0</v>
      </c>
      <c r="G317" s="215">
        <v>-7182.67</v>
      </c>
      <c r="H317" s="11">
        <v>21.0</v>
      </c>
      <c r="I317" s="109">
        <v>20147.37</v>
      </c>
    </row>
    <row r="318">
      <c r="A318" s="110">
        <v>40721.0</v>
      </c>
      <c r="B318" s="17">
        <v>68.0</v>
      </c>
      <c r="C318" s="11">
        <v>47.0</v>
      </c>
      <c r="D318" s="11">
        <v>26.0</v>
      </c>
      <c r="E318" s="11">
        <v>4.0</v>
      </c>
      <c r="F318" s="11">
        <v>2.0</v>
      </c>
      <c r="G318" s="215">
        <v>19840.52</v>
      </c>
      <c r="H318" s="11">
        <v>23.0</v>
      </c>
      <c r="I318" s="109">
        <v>-28601.36</v>
      </c>
    </row>
    <row r="319">
      <c r="A319" s="110">
        <v>122219.0</v>
      </c>
      <c r="B319" s="17">
        <v>38.0</v>
      </c>
      <c r="C319" s="11">
        <v>26.0</v>
      </c>
      <c r="D319" s="11">
        <v>67.0</v>
      </c>
      <c r="E319" s="11">
        <v>3.0</v>
      </c>
      <c r="F319" s="11">
        <v>9.0</v>
      </c>
      <c r="G319" s="215">
        <v>-25384.49</v>
      </c>
      <c r="H319" s="11">
        <v>27.0</v>
      </c>
      <c r="I319" s="109">
        <v>-24166.65</v>
      </c>
    </row>
    <row r="320">
      <c r="A320" s="110">
        <v>70117.0</v>
      </c>
      <c r="B320" s="17">
        <v>86.0</v>
      </c>
      <c r="C320" s="11">
        <v>88.0</v>
      </c>
      <c r="D320" s="11">
        <v>26.0</v>
      </c>
      <c r="E320" s="11">
        <v>4.0</v>
      </c>
      <c r="F320" s="11">
        <v>4.0</v>
      </c>
      <c r="G320" s="215">
        <v>-43048.5</v>
      </c>
      <c r="H320" s="11">
        <v>27.0</v>
      </c>
      <c r="I320" s="109">
        <v>69271.66</v>
      </c>
    </row>
    <row r="321">
      <c r="A321" s="110">
        <v>42215.0</v>
      </c>
      <c r="B321" s="17">
        <v>88.0</v>
      </c>
      <c r="C321" s="11">
        <v>88.0</v>
      </c>
      <c r="D321" s="11">
        <v>46.0</v>
      </c>
      <c r="E321" s="11">
        <v>9.0</v>
      </c>
      <c r="F321" s="11">
        <v>7.0</v>
      </c>
      <c r="G321" s="215">
        <v>44693.83</v>
      </c>
      <c r="H321" s="11">
        <v>24.0</v>
      </c>
      <c r="I321" s="109">
        <v>-1981.15</v>
      </c>
    </row>
    <row r="322">
      <c r="A322" s="110">
        <v>102314.0</v>
      </c>
      <c r="B322" s="17">
        <v>28.0</v>
      </c>
      <c r="C322" s="11">
        <v>88.0</v>
      </c>
      <c r="D322" s="11">
        <v>87.0</v>
      </c>
      <c r="E322" s="11">
        <v>9.0</v>
      </c>
      <c r="F322" s="11">
        <v>5.0</v>
      </c>
      <c r="G322" s="215">
        <v>-56852.57</v>
      </c>
      <c r="H322" s="11">
        <v>29.0</v>
      </c>
      <c r="I322" s="109">
        <v>25770.53</v>
      </c>
    </row>
    <row r="323">
      <c r="A323" s="110">
        <v>51013.0</v>
      </c>
      <c r="B323" s="17">
        <v>23.0</v>
      </c>
      <c r="C323" s="11">
        <v>26.0</v>
      </c>
      <c r="D323" s="11">
        <v>26.0</v>
      </c>
      <c r="E323" s="11">
        <v>5.0</v>
      </c>
      <c r="F323" s="11">
        <v>3.0</v>
      </c>
      <c r="G323" s="215">
        <v>-32087.14</v>
      </c>
      <c r="H323" s="11">
        <v>28.0</v>
      </c>
      <c r="I323" s="109">
        <v>48877.24</v>
      </c>
    </row>
    <row r="324">
      <c r="A324" s="110">
        <v>51214.0</v>
      </c>
      <c r="B324" s="17">
        <v>69.0</v>
      </c>
      <c r="C324" s="11">
        <v>67.0</v>
      </c>
      <c r="D324" s="11">
        <v>67.0</v>
      </c>
      <c r="E324" s="11">
        <v>5.0</v>
      </c>
      <c r="F324" s="11">
        <v>6.0</v>
      </c>
      <c r="G324" s="215">
        <v>87812.35</v>
      </c>
      <c r="H324" s="11">
        <v>29.0</v>
      </c>
      <c r="I324" s="109">
        <v>-79131.09</v>
      </c>
    </row>
    <row r="325">
      <c r="A325" s="110">
        <v>51220.0</v>
      </c>
      <c r="B325" s="17">
        <v>1.0</v>
      </c>
      <c r="C325" s="11">
        <v>88.0</v>
      </c>
      <c r="D325" s="11">
        <v>26.0</v>
      </c>
      <c r="E325" s="11">
        <v>6.0</v>
      </c>
      <c r="F325" s="11">
        <v>4.0</v>
      </c>
      <c r="G325" s="215">
        <v>83706.65</v>
      </c>
      <c r="H325" s="11">
        <v>30.0</v>
      </c>
      <c r="I325" s="109">
        <v>-95779.13</v>
      </c>
    </row>
    <row r="326">
      <c r="A326" s="110">
        <v>60119.0</v>
      </c>
      <c r="B326" s="17">
        <v>37.0</v>
      </c>
      <c r="C326" s="11">
        <v>88.0</v>
      </c>
      <c r="D326" s="11">
        <v>47.0</v>
      </c>
      <c r="E326" s="11">
        <v>1.0</v>
      </c>
      <c r="F326" s="11">
        <v>4.0</v>
      </c>
      <c r="G326" s="215">
        <v>58103.54</v>
      </c>
      <c r="H326" s="11">
        <v>21.0</v>
      </c>
      <c r="I326" s="109">
        <v>27275.09</v>
      </c>
    </row>
    <row r="327">
      <c r="A327" s="110">
        <v>21423.0</v>
      </c>
      <c r="B327" s="17">
        <v>94.0</v>
      </c>
      <c r="C327" s="11">
        <v>67.0</v>
      </c>
      <c r="D327" s="11">
        <v>47.0</v>
      </c>
      <c r="E327" s="11">
        <v>1.0</v>
      </c>
      <c r="F327" s="11">
        <v>7.0</v>
      </c>
      <c r="G327" s="215">
        <v>-1299.72</v>
      </c>
      <c r="H327" s="11">
        <v>25.0</v>
      </c>
      <c r="I327" s="109">
        <v>95841.27</v>
      </c>
    </row>
    <row r="328">
      <c r="A328" s="110">
        <v>61421.0</v>
      </c>
      <c r="B328" s="17">
        <v>80.0</v>
      </c>
      <c r="C328" s="11">
        <v>67.0</v>
      </c>
      <c r="D328" s="11">
        <v>67.0</v>
      </c>
      <c r="E328" s="11">
        <v>8.0</v>
      </c>
      <c r="F328" s="11">
        <v>1.0</v>
      </c>
      <c r="G328" s="215">
        <v>-25396.41</v>
      </c>
      <c r="H328" s="11">
        <v>29.0</v>
      </c>
      <c r="I328" s="109">
        <v>35894.61</v>
      </c>
    </row>
    <row r="329">
      <c r="A329" s="110">
        <v>42022.0</v>
      </c>
      <c r="B329" s="17">
        <v>23.0</v>
      </c>
      <c r="C329" s="11">
        <v>88.0</v>
      </c>
      <c r="D329" s="11">
        <v>26.0</v>
      </c>
      <c r="E329" s="11">
        <v>8.0</v>
      </c>
      <c r="F329" s="11">
        <v>9.0</v>
      </c>
      <c r="G329" s="215">
        <v>-85986.91</v>
      </c>
      <c r="H329" s="11">
        <v>30.0</v>
      </c>
      <c r="I329" s="109">
        <v>-50958.71</v>
      </c>
    </row>
    <row r="330">
      <c r="A330" s="110">
        <v>32314.0</v>
      </c>
      <c r="B330" s="17">
        <v>94.0</v>
      </c>
      <c r="C330" s="11">
        <v>68.0</v>
      </c>
      <c r="D330" s="11">
        <v>67.0</v>
      </c>
      <c r="E330" s="11">
        <v>8.0</v>
      </c>
      <c r="F330" s="11">
        <v>7.0</v>
      </c>
      <c r="G330" s="215">
        <v>-11351.81</v>
      </c>
      <c r="H330" s="11">
        <v>27.0</v>
      </c>
      <c r="I330" s="109">
        <v>-71104.46</v>
      </c>
    </row>
    <row r="331">
      <c r="A331" s="110">
        <v>102321.0</v>
      </c>
      <c r="B331" s="17">
        <v>25.0</v>
      </c>
      <c r="C331" s="11">
        <v>27.0</v>
      </c>
      <c r="D331" s="11">
        <v>47.0</v>
      </c>
      <c r="E331" s="11">
        <v>3.0</v>
      </c>
      <c r="F331" s="11">
        <v>9.0</v>
      </c>
      <c r="G331" s="215">
        <v>92262.98</v>
      </c>
      <c r="H331" s="11">
        <v>29.0</v>
      </c>
      <c r="I331" s="109">
        <v>77083.55</v>
      </c>
    </row>
    <row r="332">
      <c r="A332" s="110">
        <v>121619.0</v>
      </c>
      <c r="B332" s="17">
        <v>2.0</v>
      </c>
      <c r="C332" s="11">
        <v>88.0</v>
      </c>
      <c r="D332" s="11">
        <v>47.0</v>
      </c>
      <c r="E332" s="11">
        <v>4.0</v>
      </c>
      <c r="F332" s="11">
        <v>5.0</v>
      </c>
      <c r="G332" s="215">
        <v>-6691.07</v>
      </c>
      <c r="H332" s="11">
        <v>26.0</v>
      </c>
      <c r="I332" s="109">
        <v>-79043.19</v>
      </c>
    </row>
    <row r="333">
      <c r="A333" s="110">
        <v>21216.0</v>
      </c>
      <c r="B333" s="17">
        <v>33.0</v>
      </c>
      <c r="C333" s="11">
        <v>68.0</v>
      </c>
      <c r="D333" s="11">
        <v>67.0</v>
      </c>
      <c r="E333" s="11">
        <v>9.0</v>
      </c>
      <c r="F333" s="11">
        <v>3.0</v>
      </c>
      <c r="G333" s="215">
        <v>81399.17</v>
      </c>
      <c r="H333" s="11">
        <v>30.0</v>
      </c>
      <c r="I333" s="109">
        <v>-18651.82</v>
      </c>
    </row>
    <row r="334">
      <c r="A334" s="110">
        <v>120722.0</v>
      </c>
      <c r="B334" s="17">
        <v>27.0</v>
      </c>
      <c r="C334" s="11">
        <v>68.0</v>
      </c>
      <c r="D334" s="11">
        <v>67.0</v>
      </c>
      <c r="E334" s="11">
        <v>9.0</v>
      </c>
      <c r="F334" s="11">
        <v>6.0</v>
      </c>
      <c r="G334" s="215">
        <v>69794.82</v>
      </c>
      <c r="H334" s="11">
        <v>22.0</v>
      </c>
      <c r="I334" s="109">
        <v>33390.81</v>
      </c>
    </row>
    <row r="335">
      <c r="A335" s="110">
        <v>11023.0</v>
      </c>
      <c r="B335" s="17">
        <v>24.0</v>
      </c>
      <c r="C335" s="11">
        <v>27.0</v>
      </c>
      <c r="D335" s="11">
        <v>88.0</v>
      </c>
      <c r="E335" s="11">
        <v>4.0</v>
      </c>
      <c r="F335" s="11">
        <v>7.0</v>
      </c>
      <c r="G335" s="215">
        <v>78798.02</v>
      </c>
      <c r="H335" s="11">
        <v>23.0</v>
      </c>
      <c r="I335" s="109">
        <v>72251.82</v>
      </c>
    </row>
    <row r="336">
      <c r="A336" s="110">
        <v>122420.0</v>
      </c>
      <c r="B336" s="17">
        <v>93.0</v>
      </c>
      <c r="C336" s="11">
        <v>47.0</v>
      </c>
      <c r="D336" s="11">
        <v>47.0</v>
      </c>
      <c r="E336" s="11">
        <v>5.0</v>
      </c>
      <c r="F336" s="11">
        <v>3.0</v>
      </c>
      <c r="G336" s="215">
        <v>90527.17</v>
      </c>
      <c r="H336" s="11">
        <v>20.0</v>
      </c>
      <c r="I336" s="109">
        <v>-99286.66</v>
      </c>
    </row>
    <row r="337">
      <c r="A337" s="110">
        <v>40515.0</v>
      </c>
      <c r="B337" s="17">
        <v>20.0</v>
      </c>
      <c r="C337" s="11">
        <v>88.0</v>
      </c>
      <c r="D337" s="11">
        <v>47.0</v>
      </c>
      <c r="E337" s="11">
        <v>5.0</v>
      </c>
      <c r="F337" s="11">
        <v>5.0</v>
      </c>
      <c r="G337" s="215">
        <v>-10164.98</v>
      </c>
      <c r="H337" s="11">
        <v>23.0</v>
      </c>
      <c r="I337" s="109">
        <v>90508.14</v>
      </c>
    </row>
    <row r="338">
      <c r="A338" s="110">
        <v>12123.0</v>
      </c>
      <c r="B338" s="17">
        <v>93.0</v>
      </c>
      <c r="C338" s="11">
        <v>68.0</v>
      </c>
      <c r="D338" s="11">
        <v>47.0</v>
      </c>
      <c r="E338" s="11">
        <v>5.0</v>
      </c>
      <c r="F338" s="11">
        <v>7.0</v>
      </c>
      <c r="G338" s="215">
        <v>62327.82</v>
      </c>
      <c r="H338" s="11">
        <v>29.0</v>
      </c>
      <c r="I338" s="109">
        <v>-11686.5</v>
      </c>
    </row>
    <row r="339">
      <c r="A339" s="110">
        <v>51321.0</v>
      </c>
      <c r="B339" s="17">
        <v>69.0</v>
      </c>
      <c r="C339" s="11">
        <v>47.0</v>
      </c>
      <c r="D339" s="11">
        <v>47.0</v>
      </c>
      <c r="E339" s="11">
        <v>5.0</v>
      </c>
      <c r="F339" s="11">
        <v>8.0</v>
      </c>
      <c r="G339" s="215">
        <v>-19691.74</v>
      </c>
      <c r="H339" s="11">
        <v>21.0</v>
      </c>
      <c r="I339" s="109">
        <v>-94863.87</v>
      </c>
    </row>
    <row r="340">
      <c r="A340" s="110">
        <v>11117.0</v>
      </c>
      <c r="B340" s="17">
        <v>58.0</v>
      </c>
      <c r="C340" s="11">
        <v>68.0</v>
      </c>
      <c r="D340" s="11">
        <v>88.0</v>
      </c>
      <c r="E340" s="11">
        <v>5.0</v>
      </c>
      <c r="F340" s="11">
        <v>4.0</v>
      </c>
      <c r="G340" s="215">
        <v>-98586.73</v>
      </c>
      <c r="H340" s="11">
        <v>26.0</v>
      </c>
      <c r="I340" s="109">
        <v>77650.98</v>
      </c>
    </row>
    <row r="341">
      <c r="A341" s="110">
        <v>12020.0</v>
      </c>
      <c r="B341" s="17">
        <v>64.0</v>
      </c>
      <c r="C341" s="11">
        <v>88.0</v>
      </c>
      <c r="D341" s="11">
        <v>27.0</v>
      </c>
      <c r="E341" s="11">
        <v>1.0</v>
      </c>
      <c r="F341" s="11">
        <v>3.0</v>
      </c>
      <c r="G341" s="215">
        <v>-68531.74</v>
      </c>
      <c r="H341" s="11">
        <v>27.0</v>
      </c>
      <c r="I341" s="109">
        <v>62975.04</v>
      </c>
    </row>
    <row r="342">
      <c r="A342" s="110">
        <v>110422.0</v>
      </c>
      <c r="B342" s="17">
        <v>87.0</v>
      </c>
      <c r="C342" s="11">
        <v>47.0</v>
      </c>
      <c r="D342" s="11">
        <v>47.0</v>
      </c>
      <c r="E342" s="11">
        <v>6.0</v>
      </c>
      <c r="F342" s="11">
        <v>3.0</v>
      </c>
      <c r="G342" s="215">
        <v>14310.11</v>
      </c>
      <c r="H342" s="11">
        <v>22.0</v>
      </c>
      <c r="I342" s="109">
        <v>47288.5</v>
      </c>
    </row>
    <row r="343">
      <c r="A343" s="110">
        <v>71515.0</v>
      </c>
      <c r="B343" s="17">
        <v>37.0</v>
      </c>
      <c r="C343" s="11">
        <v>47.0</v>
      </c>
      <c r="D343" s="11">
        <v>88.0</v>
      </c>
      <c r="E343" s="11">
        <v>6.0</v>
      </c>
      <c r="F343" s="11">
        <v>1.0</v>
      </c>
      <c r="G343" s="215">
        <v>22161.73</v>
      </c>
      <c r="H343" s="11">
        <v>26.0</v>
      </c>
      <c r="I343" s="109">
        <v>79706.96</v>
      </c>
    </row>
    <row r="344">
      <c r="A344" s="110">
        <v>32113.0</v>
      </c>
      <c r="B344" s="17">
        <v>98.0</v>
      </c>
      <c r="C344" s="11">
        <v>88.0</v>
      </c>
      <c r="D344" s="11">
        <v>27.0</v>
      </c>
      <c r="E344" s="11">
        <v>1.0</v>
      </c>
      <c r="F344" s="11">
        <v>8.0</v>
      </c>
      <c r="G344" s="215">
        <v>-80025.12</v>
      </c>
      <c r="H344" s="11">
        <v>26.0</v>
      </c>
      <c r="I344" s="109">
        <v>-63840.79</v>
      </c>
    </row>
    <row r="345">
      <c r="A345" s="110">
        <v>42415.0</v>
      </c>
      <c r="B345" s="17">
        <v>33.0</v>
      </c>
      <c r="C345" s="11">
        <v>47.0</v>
      </c>
      <c r="D345" s="11">
        <v>68.0</v>
      </c>
      <c r="E345" s="11">
        <v>1.0</v>
      </c>
      <c r="F345" s="11">
        <v>8.0</v>
      </c>
      <c r="G345" s="215">
        <v>51534.75</v>
      </c>
      <c r="H345" s="11">
        <v>20.0</v>
      </c>
      <c r="I345" s="109">
        <v>44591.07</v>
      </c>
    </row>
    <row r="346">
      <c r="A346" s="110">
        <v>62320.0</v>
      </c>
      <c r="B346" s="17">
        <v>96.0</v>
      </c>
      <c r="C346" s="11">
        <v>88.0</v>
      </c>
      <c r="D346" s="11">
        <v>68.0</v>
      </c>
      <c r="E346" s="11">
        <v>2.0</v>
      </c>
      <c r="F346" s="11">
        <v>2.0</v>
      </c>
      <c r="G346" s="215">
        <v>32999.24</v>
      </c>
      <c r="H346" s="11">
        <v>29.0</v>
      </c>
      <c r="I346" s="109">
        <v>46735.99</v>
      </c>
    </row>
    <row r="347">
      <c r="A347" s="110">
        <v>80213.0</v>
      </c>
      <c r="B347" s="17">
        <v>97.0</v>
      </c>
      <c r="C347" s="11">
        <v>47.0</v>
      </c>
      <c r="D347" s="11">
        <v>27.0</v>
      </c>
      <c r="E347" s="11">
        <v>2.0</v>
      </c>
      <c r="F347" s="11">
        <v>8.0</v>
      </c>
      <c r="G347" s="215">
        <v>-61896.21</v>
      </c>
      <c r="H347" s="11">
        <v>24.0</v>
      </c>
      <c r="I347" s="109">
        <v>-76636.72</v>
      </c>
    </row>
    <row r="348">
      <c r="A348" s="110">
        <v>53118.0</v>
      </c>
      <c r="B348" s="17">
        <v>98.0</v>
      </c>
      <c r="C348" s="11">
        <v>27.0</v>
      </c>
      <c r="D348" s="11">
        <v>68.0</v>
      </c>
      <c r="E348" s="11">
        <v>2.0</v>
      </c>
      <c r="F348" s="11">
        <v>7.0</v>
      </c>
      <c r="G348" s="215">
        <v>-22016.94</v>
      </c>
      <c r="H348" s="11">
        <v>26.0</v>
      </c>
      <c r="I348" s="109">
        <v>-11776.04</v>
      </c>
    </row>
    <row r="349">
      <c r="A349" s="110">
        <v>80115.0</v>
      </c>
      <c r="B349" s="17">
        <v>35.0</v>
      </c>
      <c r="C349" s="11">
        <v>88.0</v>
      </c>
      <c r="D349" s="11">
        <v>27.0</v>
      </c>
      <c r="E349" s="11">
        <v>3.0</v>
      </c>
      <c r="F349" s="11">
        <v>3.0</v>
      </c>
      <c r="G349" s="215">
        <v>90456.6</v>
      </c>
      <c r="H349" s="11">
        <v>28.0</v>
      </c>
      <c r="I349" s="109">
        <v>59771.51</v>
      </c>
    </row>
    <row r="350">
      <c r="A350" s="110">
        <v>32419.0</v>
      </c>
      <c r="B350" s="17">
        <v>52.0</v>
      </c>
      <c r="C350" s="11">
        <v>88.0</v>
      </c>
      <c r="D350" s="11">
        <v>88.0</v>
      </c>
      <c r="E350" s="11">
        <v>8.0</v>
      </c>
      <c r="F350" s="11">
        <v>3.0</v>
      </c>
      <c r="G350" s="215">
        <v>-60755.94</v>
      </c>
      <c r="H350" s="11">
        <v>30.0</v>
      </c>
      <c r="I350" s="109">
        <v>-61885.52</v>
      </c>
    </row>
    <row r="351">
      <c r="A351" s="110">
        <v>20221.0</v>
      </c>
      <c r="B351" s="17">
        <v>79.0</v>
      </c>
      <c r="C351" s="11">
        <v>68.0</v>
      </c>
      <c r="D351" s="11">
        <v>47.0</v>
      </c>
      <c r="E351" s="11">
        <v>8.0</v>
      </c>
      <c r="F351" s="11">
        <v>7.0</v>
      </c>
      <c r="G351" s="215">
        <v>60804.76</v>
      </c>
      <c r="H351" s="11">
        <v>30.0</v>
      </c>
      <c r="I351" s="109">
        <v>-83642.62</v>
      </c>
    </row>
    <row r="352">
      <c r="A352" s="110">
        <v>91423.0</v>
      </c>
      <c r="B352" s="17">
        <v>12.0</v>
      </c>
      <c r="C352" s="11">
        <v>47.0</v>
      </c>
      <c r="D352" s="11">
        <v>68.0</v>
      </c>
      <c r="E352" s="11">
        <v>3.0</v>
      </c>
      <c r="F352" s="11">
        <v>9.0</v>
      </c>
      <c r="G352" s="215">
        <v>81639.88</v>
      </c>
      <c r="H352" s="11">
        <v>20.0</v>
      </c>
      <c r="I352" s="109">
        <v>-66395.35</v>
      </c>
    </row>
    <row r="353">
      <c r="A353" s="110">
        <v>81313.0</v>
      </c>
      <c r="B353" s="17">
        <v>11.0</v>
      </c>
      <c r="C353" s="11">
        <v>27.0</v>
      </c>
      <c r="D353" s="11">
        <v>47.0</v>
      </c>
      <c r="E353" s="11">
        <v>9.0</v>
      </c>
      <c r="F353" s="11">
        <v>2.0</v>
      </c>
      <c r="G353" s="215">
        <v>-23043.73</v>
      </c>
      <c r="H353" s="11">
        <v>24.0</v>
      </c>
      <c r="I353" s="109">
        <v>92583.53</v>
      </c>
    </row>
    <row r="354">
      <c r="A354" s="110">
        <v>60923.0</v>
      </c>
      <c r="B354" s="17">
        <v>60.0</v>
      </c>
      <c r="C354" s="11">
        <v>27.0</v>
      </c>
      <c r="D354" s="11">
        <v>27.0</v>
      </c>
      <c r="E354" s="11">
        <v>4.0</v>
      </c>
      <c r="F354" s="11">
        <v>4.0</v>
      </c>
      <c r="G354" s="215">
        <v>15258.99</v>
      </c>
      <c r="H354" s="11">
        <v>23.0</v>
      </c>
      <c r="I354" s="109">
        <v>-895.84</v>
      </c>
    </row>
    <row r="355">
      <c r="A355" s="110">
        <v>30214.0</v>
      </c>
      <c r="B355" s="17">
        <v>12.0</v>
      </c>
      <c r="C355" s="11">
        <v>88.0</v>
      </c>
      <c r="D355" s="11">
        <v>27.0</v>
      </c>
      <c r="E355" s="11">
        <v>4.0</v>
      </c>
      <c r="F355" s="11">
        <v>7.0</v>
      </c>
      <c r="G355" s="215">
        <v>91447.03</v>
      </c>
      <c r="H355" s="11">
        <v>28.0</v>
      </c>
      <c r="I355" s="109">
        <v>-79613.43</v>
      </c>
    </row>
    <row r="356">
      <c r="A356" s="110">
        <v>71614.0</v>
      </c>
      <c r="B356" s="17">
        <v>34.0</v>
      </c>
      <c r="C356" s="11">
        <v>48.0</v>
      </c>
      <c r="D356" s="11">
        <v>88.0</v>
      </c>
      <c r="E356" s="11">
        <v>9.0</v>
      </c>
      <c r="F356" s="11">
        <v>2.0</v>
      </c>
      <c r="G356" s="215">
        <v>24348.18</v>
      </c>
      <c r="H356" s="11">
        <v>23.0</v>
      </c>
      <c r="I356" s="109">
        <v>81792.47</v>
      </c>
    </row>
    <row r="357">
      <c r="A357" s="110">
        <v>81723.0</v>
      </c>
      <c r="B357" s="17">
        <v>5.0</v>
      </c>
      <c r="C357" s="11">
        <v>68.0</v>
      </c>
      <c r="D357" s="11">
        <v>68.0</v>
      </c>
      <c r="E357" s="11">
        <v>4.0</v>
      </c>
      <c r="F357" s="11">
        <v>6.0</v>
      </c>
      <c r="G357" s="215">
        <v>-66022.55</v>
      </c>
      <c r="H357" s="11">
        <v>25.0</v>
      </c>
      <c r="I357" s="109">
        <v>-50095.29</v>
      </c>
    </row>
    <row r="358">
      <c r="A358" s="110">
        <v>121416.0</v>
      </c>
      <c r="B358" s="17">
        <v>86.0</v>
      </c>
      <c r="C358" s="11">
        <v>48.0</v>
      </c>
      <c r="D358" s="11">
        <v>88.0</v>
      </c>
      <c r="E358" s="11">
        <v>9.0</v>
      </c>
      <c r="F358" s="11">
        <v>6.0</v>
      </c>
      <c r="G358" s="215">
        <v>-38638.27</v>
      </c>
      <c r="H358" s="11">
        <v>26.0</v>
      </c>
      <c r="I358" s="109">
        <v>10646.74</v>
      </c>
    </row>
    <row r="359">
      <c r="A359" s="110">
        <v>122919.0</v>
      </c>
      <c r="B359" s="17">
        <v>42.0</v>
      </c>
      <c r="C359" s="11">
        <v>89.0</v>
      </c>
      <c r="D359" s="11">
        <v>27.0</v>
      </c>
      <c r="E359" s="11">
        <v>5.0</v>
      </c>
      <c r="F359" s="11">
        <v>3.0</v>
      </c>
      <c r="G359" s="215">
        <v>-21251.17</v>
      </c>
      <c r="H359" s="11">
        <v>24.0</v>
      </c>
      <c r="I359" s="109">
        <v>-12940.84</v>
      </c>
    </row>
    <row r="360">
      <c r="A360" s="110">
        <v>10616.0</v>
      </c>
      <c r="B360" s="17">
        <v>61.0</v>
      </c>
      <c r="C360" s="11">
        <v>89.0</v>
      </c>
      <c r="D360" s="11">
        <v>27.0</v>
      </c>
      <c r="E360" s="11">
        <v>5.0</v>
      </c>
      <c r="F360" s="11">
        <v>4.0</v>
      </c>
      <c r="G360" s="215">
        <v>-23881.25</v>
      </c>
      <c r="H360" s="11">
        <v>22.0</v>
      </c>
      <c r="I360" s="109">
        <v>-88719.5</v>
      </c>
    </row>
    <row r="361">
      <c r="A361" s="110">
        <v>62523.0</v>
      </c>
      <c r="B361" s="17">
        <v>50.0</v>
      </c>
      <c r="C361" s="11">
        <v>68.0</v>
      </c>
      <c r="D361" s="11">
        <v>88.0</v>
      </c>
      <c r="E361" s="11">
        <v>9.0</v>
      </c>
      <c r="F361" s="11">
        <v>9.0</v>
      </c>
      <c r="G361" s="215">
        <v>7918.94</v>
      </c>
      <c r="H361" s="11">
        <v>25.0</v>
      </c>
      <c r="I361" s="109">
        <v>-49043.28</v>
      </c>
    </row>
    <row r="362">
      <c r="A362" s="110">
        <v>112521.0</v>
      </c>
      <c r="B362" s="17">
        <v>83.0</v>
      </c>
      <c r="C362" s="11">
        <v>89.0</v>
      </c>
      <c r="D362" s="11">
        <v>27.0</v>
      </c>
      <c r="E362" s="11">
        <v>5.0</v>
      </c>
      <c r="F362" s="11">
        <v>8.0</v>
      </c>
      <c r="G362" s="215">
        <v>72521.49</v>
      </c>
      <c r="H362" s="11">
        <v>26.0</v>
      </c>
      <c r="I362" s="109">
        <v>58159.9</v>
      </c>
    </row>
    <row r="363">
      <c r="A363" s="110">
        <v>91320.0</v>
      </c>
      <c r="B363" s="17">
        <v>98.0</v>
      </c>
      <c r="C363" s="11">
        <v>89.0</v>
      </c>
      <c r="D363" s="11">
        <v>27.0</v>
      </c>
      <c r="E363" s="11">
        <v>6.0</v>
      </c>
      <c r="F363" s="11">
        <v>1.0</v>
      </c>
      <c r="G363" s="215">
        <v>12914.96</v>
      </c>
      <c r="H363" s="11">
        <v>23.0</v>
      </c>
      <c r="I363" s="109">
        <v>64386.17</v>
      </c>
    </row>
    <row r="364">
      <c r="A364" s="110">
        <v>120215.0</v>
      </c>
      <c r="B364" s="17">
        <v>11.0</v>
      </c>
      <c r="C364" s="11">
        <v>48.0</v>
      </c>
      <c r="D364" s="11">
        <v>68.0</v>
      </c>
      <c r="E364" s="11">
        <v>5.0</v>
      </c>
      <c r="F364" s="11">
        <v>9.0</v>
      </c>
      <c r="G364" s="215">
        <v>9973.32</v>
      </c>
      <c r="H364" s="11">
        <v>30.0</v>
      </c>
      <c r="I364" s="109">
        <v>-55730.21</v>
      </c>
    </row>
    <row r="365">
      <c r="A365" s="110">
        <v>81918.0</v>
      </c>
      <c r="B365" s="17">
        <v>86.0</v>
      </c>
      <c r="C365" s="11">
        <v>27.0</v>
      </c>
      <c r="D365" s="11">
        <v>48.0</v>
      </c>
      <c r="E365" s="11">
        <v>1.0</v>
      </c>
      <c r="F365" s="11">
        <v>2.0</v>
      </c>
      <c r="G365" s="215">
        <v>-53162.34</v>
      </c>
      <c r="H365" s="11">
        <v>29.0</v>
      </c>
      <c r="I365" s="109">
        <v>-83281.41</v>
      </c>
    </row>
    <row r="366">
      <c r="A366" s="110">
        <v>52716.0</v>
      </c>
      <c r="B366" s="17">
        <v>16.0</v>
      </c>
      <c r="C366" s="11">
        <v>68.0</v>
      </c>
      <c r="D366" s="11">
        <v>27.0</v>
      </c>
      <c r="E366" s="11">
        <v>6.0</v>
      </c>
      <c r="F366" s="11">
        <v>4.0</v>
      </c>
      <c r="G366" s="215">
        <v>-82083.5</v>
      </c>
      <c r="H366" s="11">
        <v>24.0</v>
      </c>
      <c r="I366" s="109">
        <v>-38426.43</v>
      </c>
    </row>
    <row r="367">
      <c r="A367" s="110">
        <v>81115.0</v>
      </c>
      <c r="B367" s="17">
        <v>28.0</v>
      </c>
      <c r="C367" s="11">
        <v>89.0</v>
      </c>
      <c r="D367" s="11">
        <v>68.0</v>
      </c>
      <c r="E367" s="11">
        <v>6.0</v>
      </c>
      <c r="F367" s="11">
        <v>3.0</v>
      </c>
      <c r="G367" s="215">
        <v>67023.34</v>
      </c>
      <c r="H367" s="11">
        <v>26.0</v>
      </c>
      <c r="I367" s="109">
        <v>87361.63</v>
      </c>
    </row>
    <row r="368">
      <c r="A368" s="110">
        <v>122822.0</v>
      </c>
      <c r="B368" s="17">
        <v>13.0</v>
      </c>
      <c r="C368" s="11">
        <v>48.0</v>
      </c>
      <c r="D368" s="11">
        <v>89.0</v>
      </c>
      <c r="E368" s="11">
        <v>1.0</v>
      </c>
      <c r="F368" s="11">
        <v>3.0</v>
      </c>
      <c r="G368" s="215">
        <v>78436.02</v>
      </c>
      <c r="H368" s="11">
        <v>29.0</v>
      </c>
      <c r="I368" s="109">
        <v>46674.33</v>
      </c>
    </row>
    <row r="369">
      <c r="A369" s="110">
        <v>31117.0</v>
      </c>
      <c r="B369" s="17">
        <v>86.0</v>
      </c>
      <c r="C369" s="11">
        <v>89.0</v>
      </c>
      <c r="D369" s="11">
        <v>27.0</v>
      </c>
      <c r="E369" s="11">
        <v>7.0</v>
      </c>
      <c r="F369" s="11">
        <v>1.0</v>
      </c>
      <c r="G369" s="215">
        <v>-94025.39</v>
      </c>
      <c r="H369" s="11">
        <v>25.0</v>
      </c>
      <c r="I369" s="109">
        <v>27977.11</v>
      </c>
    </row>
    <row r="370">
      <c r="A370" s="110">
        <v>61815.0</v>
      </c>
      <c r="B370" s="17">
        <v>93.0</v>
      </c>
      <c r="C370" s="11">
        <v>68.0</v>
      </c>
      <c r="D370" s="11">
        <v>68.0</v>
      </c>
      <c r="E370" s="11">
        <v>6.0</v>
      </c>
      <c r="F370" s="11">
        <v>7.0</v>
      </c>
      <c r="G370" s="215">
        <v>-19802.9</v>
      </c>
      <c r="H370" s="11">
        <v>20.0</v>
      </c>
      <c r="I370" s="109">
        <v>37719.5</v>
      </c>
    </row>
    <row r="371">
      <c r="A371" s="110">
        <v>20914.0</v>
      </c>
      <c r="B371" s="17">
        <v>57.0</v>
      </c>
      <c r="C371" s="11">
        <v>27.0</v>
      </c>
      <c r="D371" s="11">
        <v>68.0</v>
      </c>
      <c r="E371" s="11">
        <v>6.0</v>
      </c>
      <c r="F371" s="11">
        <v>9.0</v>
      </c>
      <c r="G371" s="215">
        <v>-54406.72</v>
      </c>
      <c r="H371" s="11">
        <v>23.0</v>
      </c>
      <c r="I371" s="109">
        <v>84614.2</v>
      </c>
    </row>
    <row r="372">
      <c r="A372" s="110">
        <v>112223.0</v>
      </c>
      <c r="B372" s="17">
        <v>35.0</v>
      </c>
      <c r="C372" s="11">
        <v>48.0</v>
      </c>
      <c r="D372" s="11">
        <v>68.0</v>
      </c>
      <c r="E372" s="11">
        <v>6.0</v>
      </c>
      <c r="F372" s="11">
        <v>8.0</v>
      </c>
      <c r="G372" s="215">
        <v>1422.52</v>
      </c>
      <c r="H372" s="11">
        <v>25.0</v>
      </c>
      <c r="I372" s="109">
        <v>95023.98</v>
      </c>
    </row>
    <row r="373">
      <c r="A373" s="110">
        <v>30715.0</v>
      </c>
      <c r="B373" s="17">
        <v>94.0</v>
      </c>
      <c r="C373" s="11">
        <v>27.0</v>
      </c>
      <c r="D373" s="11">
        <v>27.0</v>
      </c>
      <c r="E373" s="11">
        <v>7.0</v>
      </c>
      <c r="F373" s="11">
        <v>5.0</v>
      </c>
      <c r="G373" s="215">
        <v>270.35</v>
      </c>
      <c r="H373" s="11">
        <v>21.0</v>
      </c>
      <c r="I373" s="109">
        <v>85115.3</v>
      </c>
    </row>
    <row r="374">
      <c r="A374" s="110">
        <v>13015.0</v>
      </c>
      <c r="B374" s="17">
        <v>81.0</v>
      </c>
      <c r="C374" s="11">
        <v>48.0</v>
      </c>
      <c r="D374" s="11">
        <v>48.0</v>
      </c>
      <c r="E374" s="11">
        <v>2.0</v>
      </c>
      <c r="F374" s="11">
        <v>5.0</v>
      </c>
      <c r="G374" s="215">
        <v>-68969.96</v>
      </c>
      <c r="H374" s="11">
        <v>28.0</v>
      </c>
      <c r="I374" s="109">
        <v>-31878.43</v>
      </c>
    </row>
    <row r="375">
      <c r="A375" s="110">
        <v>101119.0</v>
      </c>
      <c r="B375" s="17">
        <v>67.0</v>
      </c>
      <c r="C375" s="11">
        <v>27.0</v>
      </c>
      <c r="D375" s="11">
        <v>27.0</v>
      </c>
      <c r="E375" s="11">
        <v>7.0</v>
      </c>
      <c r="F375" s="11">
        <v>9.0</v>
      </c>
      <c r="G375" s="215">
        <v>53399.74</v>
      </c>
      <c r="H375" s="11">
        <v>22.0</v>
      </c>
      <c r="I375" s="109">
        <v>-95757.23</v>
      </c>
    </row>
    <row r="376">
      <c r="A376" s="110">
        <v>81914.0</v>
      </c>
      <c r="B376" s="17">
        <v>51.0</v>
      </c>
      <c r="C376" s="11">
        <v>48.0</v>
      </c>
      <c r="D376" s="11">
        <v>48.0</v>
      </c>
      <c r="E376" s="11">
        <v>2.0</v>
      </c>
      <c r="F376" s="11">
        <v>9.0</v>
      </c>
      <c r="G376" s="215">
        <v>42801.59</v>
      </c>
      <c r="H376" s="11">
        <v>24.0</v>
      </c>
      <c r="I376" s="109">
        <v>1628.94</v>
      </c>
    </row>
    <row r="377">
      <c r="A377" s="110">
        <v>112314.0</v>
      </c>
      <c r="B377" s="17">
        <v>3.0</v>
      </c>
      <c r="C377" s="11">
        <v>68.0</v>
      </c>
      <c r="D377" s="11">
        <v>27.0</v>
      </c>
      <c r="E377" s="11">
        <v>8.0</v>
      </c>
      <c r="F377" s="11">
        <v>1.0</v>
      </c>
      <c r="G377" s="215">
        <v>-2827.53</v>
      </c>
      <c r="H377" s="11">
        <v>29.0</v>
      </c>
      <c r="I377" s="109">
        <v>48248.13</v>
      </c>
    </row>
    <row r="378">
      <c r="A378" s="110">
        <v>22315.0</v>
      </c>
      <c r="B378" s="17">
        <v>95.0</v>
      </c>
      <c r="C378" s="11">
        <v>68.0</v>
      </c>
      <c r="D378" s="11">
        <v>89.0</v>
      </c>
      <c r="E378" s="11">
        <v>2.0</v>
      </c>
      <c r="F378" s="11">
        <v>8.0</v>
      </c>
      <c r="G378" s="215">
        <v>57411.87</v>
      </c>
      <c r="H378" s="11">
        <v>30.0</v>
      </c>
      <c r="I378" s="109">
        <v>53004.82</v>
      </c>
    </row>
    <row r="379">
      <c r="A379" s="110">
        <v>32314.0</v>
      </c>
      <c r="B379" s="17">
        <v>97.0</v>
      </c>
      <c r="C379" s="11">
        <v>89.0</v>
      </c>
      <c r="D379" s="11">
        <v>48.0</v>
      </c>
      <c r="E379" s="11">
        <v>3.0</v>
      </c>
      <c r="F379" s="11">
        <v>3.0</v>
      </c>
      <c r="G379" s="215">
        <v>-36727.16</v>
      </c>
      <c r="H379" s="11">
        <v>26.0</v>
      </c>
      <c r="I379" s="109">
        <v>8634.22</v>
      </c>
    </row>
    <row r="380">
      <c r="A380" s="110">
        <v>20322.0</v>
      </c>
      <c r="B380" s="17">
        <v>18.0</v>
      </c>
      <c r="C380" s="11">
        <v>48.0</v>
      </c>
      <c r="D380" s="11">
        <v>27.0</v>
      </c>
      <c r="E380" s="11">
        <v>8.0</v>
      </c>
      <c r="F380" s="11">
        <v>6.0</v>
      </c>
      <c r="G380" s="215">
        <v>24285.36</v>
      </c>
      <c r="H380" s="11">
        <v>26.0</v>
      </c>
      <c r="I380" s="109">
        <v>42091.12</v>
      </c>
    </row>
    <row r="381">
      <c r="A381" s="110">
        <v>80523.0</v>
      </c>
      <c r="B381" s="17">
        <v>35.0</v>
      </c>
      <c r="C381" s="11">
        <v>68.0</v>
      </c>
      <c r="D381" s="11">
        <v>27.0</v>
      </c>
      <c r="E381" s="11">
        <v>8.0</v>
      </c>
      <c r="F381" s="11">
        <v>5.0</v>
      </c>
      <c r="G381" s="215">
        <v>56079.49</v>
      </c>
      <c r="H381" s="11">
        <v>29.0</v>
      </c>
      <c r="I381" s="109">
        <v>-31720.27</v>
      </c>
    </row>
    <row r="382">
      <c r="A382" s="110">
        <v>62216.0</v>
      </c>
      <c r="B382" s="17">
        <v>18.0</v>
      </c>
      <c r="C382" s="11">
        <v>89.0</v>
      </c>
      <c r="D382" s="11">
        <v>27.0</v>
      </c>
      <c r="E382" s="11">
        <v>8.0</v>
      </c>
      <c r="F382" s="11">
        <v>8.0</v>
      </c>
      <c r="G382" s="215">
        <v>-83580.0</v>
      </c>
      <c r="H382" s="11">
        <v>27.0</v>
      </c>
      <c r="I382" s="109">
        <v>38496.88</v>
      </c>
    </row>
    <row r="383">
      <c r="A383" s="110">
        <v>90518.0</v>
      </c>
      <c r="B383" s="17">
        <v>36.0</v>
      </c>
      <c r="C383" s="11">
        <v>89.0</v>
      </c>
      <c r="D383" s="11">
        <v>68.0</v>
      </c>
      <c r="E383" s="11">
        <v>8.0</v>
      </c>
      <c r="F383" s="11">
        <v>6.0</v>
      </c>
      <c r="G383" s="215">
        <v>-51976.62</v>
      </c>
      <c r="H383" s="11">
        <v>23.0</v>
      </c>
      <c r="I383" s="109">
        <v>-61114.6</v>
      </c>
    </row>
    <row r="384">
      <c r="A384" s="110">
        <v>92720.0</v>
      </c>
      <c r="B384" s="17">
        <v>40.0</v>
      </c>
      <c r="C384" s="11">
        <v>28.0</v>
      </c>
      <c r="D384" s="11">
        <v>27.0</v>
      </c>
      <c r="E384" s="11">
        <v>9.0</v>
      </c>
      <c r="F384" s="11">
        <v>2.0</v>
      </c>
      <c r="G384" s="215">
        <v>-54125.99</v>
      </c>
      <c r="H384" s="11">
        <v>26.0</v>
      </c>
      <c r="I384" s="109">
        <v>-96843.02</v>
      </c>
    </row>
    <row r="385">
      <c r="A385" s="110">
        <v>122415.0</v>
      </c>
      <c r="B385" s="17">
        <v>98.0</v>
      </c>
      <c r="C385" s="11">
        <v>69.0</v>
      </c>
      <c r="D385" s="11">
        <v>48.0</v>
      </c>
      <c r="E385" s="11">
        <v>4.0</v>
      </c>
      <c r="F385" s="11">
        <v>1.0</v>
      </c>
      <c r="G385" s="215">
        <v>-48271.49</v>
      </c>
      <c r="H385" s="11">
        <v>30.0</v>
      </c>
      <c r="I385" s="109">
        <v>18344.62</v>
      </c>
    </row>
    <row r="386">
      <c r="A386" s="110">
        <v>31223.0</v>
      </c>
      <c r="B386" s="17">
        <v>31.0</v>
      </c>
      <c r="C386" s="11">
        <v>89.0</v>
      </c>
      <c r="D386" s="11">
        <v>27.0</v>
      </c>
      <c r="E386" s="11">
        <v>9.0</v>
      </c>
      <c r="F386" s="11">
        <v>5.0</v>
      </c>
      <c r="G386" s="215">
        <v>17128.64</v>
      </c>
      <c r="H386" s="11">
        <v>22.0</v>
      </c>
      <c r="I386" s="109">
        <v>4516.04</v>
      </c>
    </row>
    <row r="387">
      <c r="A387" s="110">
        <v>60919.0</v>
      </c>
      <c r="B387" s="17">
        <v>95.0</v>
      </c>
      <c r="C387" s="11">
        <v>48.0</v>
      </c>
      <c r="D387" s="11">
        <v>27.0</v>
      </c>
      <c r="E387" s="11">
        <v>9.0</v>
      </c>
      <c r="F387" s="11">
        <v>6.0</v>
      </c>
      <c r="G387" s="215">
        <v>2216.83</v>
      </c>
      <c r="H387" s="11">
        <v>21.0</v>
      </c>
      <c r="I387" s="109">
        <v>-69952.15</v>
      </c>
    </row>
    <row r="388">
      <c r="A388" s="110">
        <v>50513.0</v>
      </c>
      <c r="B388" s="17">
        <v>15.0</v>
      </c>
      <c r="C388" s="11">
        <v>28.0</v>
      </c>
      <c r="D388" s="11">
        <v>48.0</v>
      </c>
      <c r="E388" s="11">
        <v>4.0</v>
      </c>
      <c r="F388" s="11">
        <v>3.0</v>
      </c>
      <c r="G388" s="215">
        <v>-6666.63</v>
      </c>
      <c r="H388" s="11">
        <v>21.0</v>
      </c>
      <c r="I388" s="109">
        <v>75036.12</v>
      </c>
    </row>
    <row r="389">
      <c r="A389" s="110">
        <v>42813.0</v>
      </c>
      <c r="B389" s="17">
        <v>90.0</v>
      </c>
      <c r="C389" s="11">
        <v>89.0</v>
      </c>
      <c r="D389" s="11">
        <v>68.0</v>
      </c>
      <c r="E389" s="11">
        <v>9.0</v>
      </c>
      <c r="F389" s="11">
        <v>1.0</v>
      </c>
      <c r="G389" s="215">
        <v>-54979.56</v>
      </c>
      <c r="H389" s="11">
        <v>29.0</v>
      </c>
      <c r="I389" s="109">
        <v>47523.98</v>
      </c>
    </row>
    <row r="390">
      <c r="A390" s="110">
        <v>62721.0</v>
      </c>
      <c r="B390" s="17">
        <v>45.0</v>
      </c>
      <c r="C390" s="11">
        <v>89.0</v>
      </c>
      <c r="D390" s="11">
        <v>68.0</v>
      </c>
      <c r="E390" s="11">
        <v>9.0</v>
      </c>
      <c r="F390" s="11">
        <v>2.0</v>
      </c>
      <c r="G390" s="215">
        <v>64497.04</v>
      </c>
      <c r="H390" s="11">
        <v>22.0</v>
      </c>
      <c r="I390" s="109">
        <v>42915.16</v>
      </c>
    </row>
    <row r="391">
      <c r="A391" s="110">
        <v>32219.0</v>
      </c>
      <c r="B391" s="17">
        <v>66.0</v>
      </c>
      <c r="C391" s="11">
        <v>28.0</v>
      </c>
      <c r="D391" s="11">
        <v>48.0</v>
      </c>
      <c r="E391" s="11">
        <v>4.0</v>
      </c>
      <c r="F391" s="11">
        <v>5.0</v>
      </c>
      <c r="G391" s="215">
        <v>94132.03</v>
      </c>
      <c r="H391" s="11">
        <v>24.0</v>
      </c>
      <c r="I391" s="109">
        <v>911.36</v>
      </c>
    </row>
    <row r="392">
      <c r="A392" s="110">
        <v>31719.0</v>
      </c>
      <c r="B392" s="17">
        <v>43.0</v>
      </c>
      <c r="C392" s="11">
        <v>69.0</v>
      </c>
      <c r="D392" s="11">
        <v>48.0</v>
      </c>
      <c r="E392" s="11">
        <v>4.0</v>
      </c>
      <c r="F392" s="11">
        <v>9.0</v>
      </c>
      <c r="G392" s="215">
        <v>22534.86</v>
      </c>
      <c r="H392" s="11">
        <v>30.0</v>
      </c>
      <c r="I392" s="109">
        <v>-56579.49</v>
      </c>
    </row>
    <row r="393">
      <c r="A393" s="110">
        <v>10618.0</v>
      </c>
      <c r="B393" s="17">
        <v>5.0</v>
      </c>
      <c r="C393" s="11">
        <v>48.0</v>
      </c>
      <c r="D393" s="11">
        <v>68.0</v>
      </c>
      <c r="E393" s="11">
        <v>9.0</v>
      </c>
      <c r="F393" s="11">
        <v>6.0</v>
      </c>
      <c r="G393" s="215">
        <v>1872.75</v>
      </c>
      <c r="H393" s="11">
        <v>29.0</v>
      </c>
      <c r="I393" s="109">
        <v>-60307.95</v>
      </c>
    </row>
    <row r="394">
      <c r="A394" s="110">
        <v>22522.0</v>
      </c>
      <c r="B394" s="17">
        <v>59.0</v>
      </c>
      <c r="C394" s="11">
        <v>28.0</v>
      </c>
      <c r="D394" s="11">
        <v>48.0</v>
      </c>
      <c r="E394" s="11">
        <v>5.0</v>
      </c>
      <c r="F394" s="11">
        <v>4.0</v>
      </c>
      <c r="G394" s="215">
        <v>59199.68</v>
      </c>
      <c r="H394" s="11">
        <v>30.0</v>
      </c>
      <c r="I394" s="109">
        <v>-98063.44</v>
      </c>
    </row>
    <row r="395">
      <c r="A395" s="110">
        <v>71820.0</v>
      </c>
      <c r="B395" s="17">
        <v>43.0</v>
      </c>
      <c r="C395" s="11">
        <v>48.0</v>
      </c>
      <c r="D395" s="11">
        <v>89.0</v>
      </c>
      <c r="E395" s="11">
        <v>5.0</v>
      </c>
      <c r="F395" s="11">
        <v>3.0</v>
      </c>
      <c r="G395" s="215">
        <v>-33653.25</v>
      </c>
      <c r="H395" s="11">
        <v>25.0</v>
      </c>
      <c r="I395" s="109">
        <v>-68764.5</v>
      </c>
    </row>
    <row r="396">
      <c r="A396" s="110">
        <v>92922.0</v>
      </c>
      <c r="B396" s="17">
        <v>49.0</v>
      </c>
      <c r="C396" s="11">
        <v>89.0</v>
      </c>
      <c r="D396" s="11">
        <v>48.0</v>
      </c>
      <c r="E396" s="11">
        <v>5.0</v>
      </c>
      <c r="F396" s="11">
        <v>9.0</v>
      </c>
      <c r="G396" s="215">
        <v>68761.7</v>
      </c>
      <c r="H396" s="11">
        <v>25.0</v>
      </c>
      <c r="I396" s="109">
        <v>-71021.52</v>
      </c>
    </row>
    <row r="397">
      <c r="A397" s="110">
        <v>121117.0</v>
      </c>
      <c r="B397" s="17">
        <v>18.0</v>
      </c>
      <c r="C397" s="11">
        <v>69.0</v>
      </c>
      <c r="D397" s="11">
        <v>89.0</v>
      </c>
      <c r="E397" s="11">
        <v>5.0</v>
      </c>
      <c r="F397" s="11">
        <v>5.0</v>
      </c>
      <c r="G397" s="215">
        <v>-21045.55</v>
      </c>
      <c r="H397" s="11">
        <v>28.0</v>
      </c>
      <c r="I397" s="109">
        <v>96736.82</v>
      </c>
    </row>
    <row r="398">
      <c r="A398" s="110">
        <v>100923.0</v>
      </c>
      <c r="B398" s="17">
        <v>57.0</v>
      </c>
      <c r="C398" s="11">
        <v>89.0</v>
      </c>
      <c r="D398" s="11">
        <v>69.0</v>
      </c>
      <c r="E398" s="11">
        <v>1.0</v>
      </c>
      <c r="F398" s="11">
        <v>1.0</v>
      </c>
      <c r="G398" s="215">
        <v>-65299.14</v>
      </c>
      <c r="H398" s="11">
        <v>24.0</v>
      </c>
      <c r="I398" s="109">
        <v>-22148.63</v>
      </c>
    </row>
    <row r="399">
      <c r="A399" s="110">
        <v>111616.0</v>
      </c>
      <c r="B399" s="17">
        <v>71.0</v>
      </c>
      <c r="C399" s="11">
        <v>89.0</v>
      </c>
      <c r="D399" s="11">
        <v>48.0</v>
      </c>
      <c r="E399" s="11">
        <v>6.0</v>
      </c>
      <c r="F399" s="11">
        <v>4.0</v>
      </c>
      <c r="G399" s="215">
        <v>61084.36</v>
      </c>
      <c r="H399" s="11">
        <v>23.0</v>
      </c>
      <c r="I399" s="109">
        <v>56239.19</v>
      </c>
    </row>
    <row r="400">
      <c r="A400" s="110">
        <v>112515.0</v>
      </c>
      <c r="B400" s="17">
        <v>49.0</v>
      </c>
      <c r="C400" s="11">
        <v>48.0</v>
      </c>
      <c r="D400" s="11">
        <v>28.0</v>
      </c>
      <c r="E400" s="11">
        <v>1.0</v>
      </c>
      <c r="F400" s="11">
        <v>5.0</v>
      </c>
      <c r="G400" s="215">
        <v>-52296.76</v>
      </c>
      <c r="H400" s="11">
        <v>22.0</v>
      </c>
      <c r="I400" s="109">
        <v>-7877.02</v>
      </c>
    </row>
    <row r="401">
      <c r="A401" s="110">
        <v>102922.0</v>
      </c>
      <c r="B401" s="17">
        <v>51.0</v>
      </c>
      <c r="C401" s="11">
        <v>89.0</v>
      </c>
      <c r="D401" s="11">
        <v>28.0</v>
      </c>
      <c r="E401" s="11">
        <v>1.0</v>
      </c>
      <c r="F401" s="11">
        <v>9.0</v>
      </c>
      <c r="G401" s="215">
        <v>-95130.46</v>
      </c>
      <c r="H401" s="11">
        <v>21.0</v>
      </c>
      <c r="I401" s="109">
        <v>-93669.35</v>
      </c>
    </row>
    <row r="402">
      <c r="A402" s="110">
        <v>123115.0</v>
      </c>
      <c r="B402" s="17">
        <v>38.0</v>
      </c>
      <c r="C402" s="11">
        <v>28.0</v>
      </c>
      <c r="D402" s="11">
        <v>28.0</v>
      </c>
      <c r="E402" s="11">
        <v>2.0</v>
      </c>
      <c r="F402" s="11">
        <v>2.0</v>
      </c>
      <c r="G402" s="215">
        <v>60913.75</v>
      </c>
      <c r="H402" s="11">
        <v>26.0</v>
      </c>
      <c r="I402" s="109">
        <v>-74240.71</v>
      </c>
    </row>
    <row r="403">
      <c r="A403" s="110">
        <v>60714.0</v>
      </c>
      <c r="B403" s="17">
        <v>47.0</v>
      </c>
      <c r="C403" s="11">
        <v>48.0</v>
      </c>
      <c r="D403" s="11">
        <v>28.0</v>
      </c>
      <c r="E403" s="11">
        <v>2.0</v>
      </c>
      <c r="F403" s="11">
        <v>5.0</v>
      </c>
      <c r="G403" s="215">
        <v>34356.12</v>
      </c>
      <c r="H403" s="11">
        <v>26.0</v>
      </c>
      <c r="I403" s="109">
        <v>-43129.56</v>
      </c>
    </row>
    <row r="404">
      <c r="A404" s="110">
        <v>32221.0</v>
      </c>
      <c r="B404" s="17">
        <v>32.0</v>
      </c>
      <c r="C404" s="11">
        <v>89.0</v>
      </c>
      <c r="D404" s="11">
        <v>28.0</v>
      </c>
      <c r="E404" s="11">
        <v>2.0</v>
      </c>
      <c r="F404" s="11">
        <v>8.0</v>
      </c>
      <c r="G404" s="215">
        <v>-32282.17</v>
      </c>
      <c r="H404" s="11">
        <v>20.0</v>
      </c>
      <c r="I404" s="109">
        <v>-88895.77</v>
      </c>
    </row>
    <row r="405">
      <c r="A405" s="110">
        <v>40415.0</v>
      </c>
      <c r="B405" s="17">
        <v>4.0</v>
      </c>
      <c r="C405" s="11">
        <v>69.0</v>
      </c>
      <c r="D405" s="11">
        <v>89.0</v>
      </c>
      <c r="E405" s="11">
        <v>7.0</v>
      </c>
      <c r="F405" s="11">
        <v>3.0</v>
      </c>
      <c r="G405" s="215">
        <v>-74463.8</v>
      </c>
      <c r="H405" s="11">
        <v>29.0</v>
      </c>
      <c r="I405" s="109">
        <v>-16415.21</v>
      </c>
    </row>
    <row r="406">
      <c r="A406" s="110">
        <v>72315.0</v>
      </c>
      <c r="B406" s="17">
        <v>44.0</v>
      </c>
      <c r="C406" s="11">
        <v>49.0</v>
      </c>
      <c r="D406" s="11">
        <v>48.0</v>
      </c>
      <c r="E406" s="11">
        <v>7.0</v>
      </c>
      <c r="F406" s="11">
        <v>9.0</v>
      </c>
      <c r="G406" s="215">
        <v>-19697.69</v>
      </c>
      <c r="H406" s="11">
        <v>26.0</v>
      </c>
      <c r="I406" s="109">
        <v>-59363.8</v>
      </c>
    </row>
    <row r="407">
      <c r="A407" s="110">
        <v>82813.0</v>
      </c>
      <c r="B407" s="17">
        <v>24.0</v>
      </c>
      <c r="C407" s="11">
        <v>69.0</v>
      </c>
      <c r="D407" s="11">
        <v>89.0</v>
      </c>
      <c r="E407" s="11">
        <v>7.0</v>
      </c>
      <c r="F407" s="11">
        <v>6.0</v>
      </c>
      <c r="G407" s="215">
        <v>72791.32</v>
      </c>
      <c r="H407" s="11">
        <v>21.0</v>
      </c>
      <c r="I407" s="109">
        <v>-49564.16</v>
      </c>
    </row>
    <row r="408">
      <c r="A408" s="110">
        <v>22322.0</v>
      </c>
      <c r="B408" s="17">
        <v>51.0</v>
      </c>
      <c r="C408" s="11">
        <v>49.0</v>
      </c>
      <c r="D408" s="11">
        <v>28.0</v>
      </c>
      <c r="E408" s="11">
        <v>3.0</v>
      </c>
      <c r="F408" s="11">
        <v>5.0</v>
      </c>
      <c r="G408" s="215">
        <v>34088.63</v>
      </c>
      <c r="H408" s="11">
        <v>28.0</v>
      </c>
      <c r="I408" s="109">
        <v>74686.65</v>
      </c>
    </row>
    <row r="409">
      <c r="A409" s="110">
        <v>62921.0</v>
      </c>
      <c r="B409" s="17">
        <v>23.0</v>
      </c>
      <c r="C409" s="11">
        <v>28.0</v>
      </c>
      <c r="D409" s="11">
        <v>69.0</v>
      </c>
      <c r="E409" s="11">
        <v>3.0</v>
      </c>
      <c r="F409" s="11">
        <v>2.0</v>
      </c>
      <c r="G409" s="215">
        <v>97112.03</v>
      </c>
      <c r="H409" s="11">
        <v>23.0</v>
      </c>
      <c r="I409" s="109">
        <v>70801.49</v>
      </c>
    </row>
    <row r="410">
      <c r="A410" s="110">
        <v>20519.0</v>
      </c>
      <c r="B410" s="17">
        <v>69.0</v>
      </c>
      <c r="C410" s="11">
        <v>49.0</v>
      </c>
      <c r="D410" s="11">
        <v>89.0</v>
      </c>
      <c r="E410" s="11">
        <v>8.0</v>
      </c>
      <c r="F410" s="11">
        <v>1.0</v>
      </c>
      <c r="G410" s="215">
        <v>26648.45</v>
      </c>
      <c r="H410" s="11">
        <v>25.0</v>
      </c>
      <c r="I410" s="109">
        <v>-32763.2</v>
      </c>
    </row>
    <row r="411">
      <c r="A411" s="110">
        <v>62619.0</v>
      </c>
      <c r="B411" s="17">
        <v>33.0</v>
      </c>
      <c r="C411" s="11">
        <v>69.0</v>
      </c>
      <c r="D411" s="11">
        <v>48.0</v>
      </c>
      <c r="E411" s="11">
        <v>8.0</v>
      </c>
      <c r="F411" s="11">
        <v>7.0</v>
      </c>
      <c r="G411" s="215">
        <v>-1963.84</v>
      </c>
      <c r="H411" s="11">
        <v>28.0</v>
      </c>
      <c r="I411" s="109">
        <v>55326.93</v>
      </c>
    </row>
    <row r="412">
      <c r="A412" s="110">
        <v>101821.0</v>
      </c>
      <c r="B412" s="17">
        <v>92.0</v>
      </c>
      <c r="C412" s="11">
        <v>69.0</v>
      </c>
      <c r="D412" s="11">
        <v>69.0</v>
      </c>
      <c r="E412" s="11">
        <v>3.0</v>
      </c>
      <c r="F412" s="11">
        <v>6.0</v>
      </c>
      <c r="G412" s="215">
        <v>-9451.91</v>
      </c>
      <c r="H412" s="11">
        <v>30.0</v>
      </c>
      <c r="I412" s="109">
        <v>48567.98</v>
      </c>
    </row>
    <row r="413">
      <c r="A413" s="110">
        <v>72319.0</v>
      </c>
      <c r="B413" s="17">
        <v>25.0</v>
      </c>
      <c r="C413" s="11">
        <v>28.0</v>
      </c>
      <c r="D413" s="11">
        <v>89.0</v>
      </c>
      <c r="E413" s="11">
        <v>8.0</v>
      </c>
      <c r="F413" s="11">
        <v>6.0</v>
      </c>
      <c r="G413" s="215">
        <v>45604.13</v>
      </c>
      <c r="H413" s="11">
        <v>20.0</v>
      </c>
      <c r="I413" s="109">
        <v>49360.91</v>
      </c>
    </row>
    <row r="414">
      <c r="A414" s="110">
        <v>53015.0</v>
      </c>
      <c r="B414" s="17">
        <v>96.0</v>
      </c>
      <c r="C414" s="11">
        <v>49.0</v>
      </c>
      <c r="D414" s="11">
        <v>28.0</v>
      </c>
      <c r="E414" s="11">
        <v>4.0</v>
      </c>
      <c r="F414" s="11">
        <v>3.0</v>
      </c>
      <c r="G414" s="215">
        <v>49907.52</v>
      </c>
      <c r="H414" s="11">
        <v>27.0</v>
      </c>
      <c r="I414" s="109">
        <v>-61749.83</v>
      </c>
    </row>
    <row r="415">
      <c r="A415" s="110">
        <v>12615.0</v>
      </c>
      <c r="B415" s="17">
        <v>20.0</v>
      </c>
      <c r="C415" s="11">
        <v>28.0</v>
      </c>
      <c r="D415" s="11">
        <v>48.0</v>
      </c>
      <c r="E415" s="11">
        <v>9.0</v>
      </c>
      <c r="F415" s="11">
        <v>1.0</v>
      </c>
      <c r="G415" s="215">
        <v>-79398.65</v>
      </c>
      <c r="H415" s="11">
        <v>22.0</v>
      </c>
      <c r="I415" s="109">
        <v>-45207.79</v>
      </c>
    </row>
    <row r="416">
      <c r="A416" s="110">
        <v>92122.0</v>
      </c>
      <c r="B416" s="17">
        <v>75.0</v>
      </c>
      <c r="C416" s="11">
        <v>28.0</v>
      </c>
      <c r="D416" s="11">
        <v>89.0</v>
      </c>
      <c r="E416" s="11">
        <v>8.0</v>
      </c>
      <c r="F416" s="11">
        <v>9.0</v>
      </c>
      <c r="G416" s="215">
        <v>54737.55</v>
      </c>
      <c r="H416" s="11">
        <v>28.0</v>
      </c>
      <c r="I416" s="109">
        <v>-33123.01</v>
      </c>
    </row>
    <row r="417">
      <c r="A417" s="110">
        <v>100214.0</v>
      </c>
      <c r="B417" s="17">
        <v>7.0</v>
      </c>
      <c r="C417" s="11">
        <v>28.0</v>
      </c>
      <c r="D417" s="11">
        <v>69.0</v>
      </c>
      <c r="E417" s="11">
        <v>4.0</v>
      </c>
      <c r="F417" s="11">
        <v>1.0</v>
      </c>
      <c r="G417" s="215">
        <v>88481.64</v>
      </c>
      <c r="H417" s="11">
        <v>22.0</v>
      </c>
      <c r="I417" s="109">
        <v>66670.02</v>
      </c>
    </row>
    <row r="418">
      <c r="A418" s="110">
        <v>81315.0</v>
      </c>
      <c r="B418" s="17">
        <v>77.0</v>
      </c>
      <c r="C418" s="11">
        <v>28.0</v>
      </c>
      <c r="D418" s="11">
        <v>28.0</v>
      </c>
      <c r="E418" s="11">
        <v>5.0</v>
      </c>
      <c r="F418" s="11">
        <v>5.0</v>
      </c>
      <c r="G418" s="215">
        <v>37390.77</v>
      </c>
      <c r="H418" s="11">
        <v>24.0</v>
      </c>
      <c r="I418" s="109">
        <v>24979.1</v>
      </c>
    </row>
    <row r="419">
      <c r="A419" s="110">
        <v>41116.0</v>
      </c>
      <c r="B419" s="17">
        <v>60.0</v>
      </c>
      <c r="C419" s="11">
        <v>28.0</v>
      </c>
      <c r="D419" s="11">
        <v>28.0</v>
      </c>
      <c r="E419" s="11">
        <v>5.0</v>
      </c>
      <c r="F419" s="11">
        <v>6.0</v>
      </c>
      <c r="G419" s="215">
        <v>89054.3</v>
      </c>
      <c r="H419" s="11">
        <v>29.0</v>
      </c>
      <c r="I419" s="109">
        <v>20836.08</v>
      </c>
    </row>
    <row r="420">
      <c r="A420" s="110">
        <v>121020.0</v>
      </c>
      <c r="B420" s="17">
        <v>15.0</v>
      </c>
      <c r="C420" s="11">
        <v>69.0</v>
      </c>
      <c r="D420" s="11">
        <v>69.0</v>
      </c>
      <c r="E420" s="11">
        <v>5.0</v>
      </c>
      <c r="F420" s="11">
        <v>3.0</v>
      </c>
      <c r="G420" s="215">
        <v>84542.05</v>
      </c>
      <c r="H420" s="11">
        <v>20.0</v>
      </c>
      <c r="I420" s="109">
        <v>-13799.1</v>
      </c>
    </row>
    <row r="421">
      <c r="A421" s="110">
        <v>72818.0</v>
      </c>
      <c r="B421" s="17">
        <v>93.0</v>
      </c>
      <c r="C421" s="11">
        <v>28.0</v>
      </c>
      <c r="D421" s="11">
        <v>28.0</v>
      </c>
      <c r="E421" s="11">
        <v>5.0</v>
      </c>
      <c r="F421" s="11">
        <v>9.0</v>
      </c>
      <c r="G421" s="215">
        <v>67389.61</v>
      </c>
      <c r="H421" s="11">
        <v>24.0</v>
      </c>
      <c r="I421" s="109">
        <v>50425.29</v>
      </c>
    </row>
    <row r="422">
      <c r="A422" s="110">
        <v>20421.0</v>
      </c>
      <c r="B422" s="17">
        <v>65.0</v>
      </c>
      <c r="C422" s="11">
        <v>69.0</v>
      </c>
      <c r="D422" s="11">
        <v>28.0</v>
      </c>
      <c r="E422" s="11">
        <v>6.0</v>
      </c>
      <c r="F422" s="11">
        <v>5.0</v>
      </c>
      <c r="G422" s="215">
        <v>-96958.56</v>
      </c>
      <c r="H422" s="11">
        <v>24.0</v>
      </c>
      <c r="I422" s="109">
        <v>-67860.72</v>
      </c>
    </row>
    <row r="423">
      <c r="A423" s="110">
        <v>100922.0</v>
      </c>
      <c r="B423" s="17">
        <v>98.0</v>
      </c>
      <c r="C423" s="11">
        <v>49.0</v>
      </c>
      <c r="D423" s="11">
        <v>28.0</v>
      </c>
      <c r="E423" s="11">
        <v>6.0</v>
      </c>
      <c r="F423" s="11">
        <v>7.0</v>
      </c>
      <c r="G423" s="215">
        <v>10558.29</v>
      </c>
      <c r="H423" s="11">
        <v>20.0</v>
      </c>
      <c r="I423" s="109">
        <v>-60375.45</v>
      </c>
    </row>
    <row r="424">
      <c r="A424" s="110">
        <v>51418.0</v>
      </c>
      <c r="B424" s="17">
        <v>30.0</v>
      </c>
      <c r="C424" s="11">
        <v>29.0</v>
      </c>
      <c r="D424" s="11">
        <v>28.0</v>
      </c>
      <c r="E424" s="11">
        <v>6.0</v>
      </c>
      <c r="F424" s="11">
        <v>8.0</v>
      </c>
      <c r="G424" s="215">
        <v>26849.69</v>
      </c>
      <c r="H424" s="11">
        <v>26.0</v>
      </c>
      <c r="I424" s="109">
        <v>19859.44</v>
      </c>
    </row>
    <row r="425">
      <c r="A425" s="110">
        <v>72518.0</v>
      </c>
      <c r="B425" s="17">
        <v>88.0</v>
      </c>
      <c r="C425" s="11">
        <v>29.0</v>
      </c>
      <c r="D425" s="11">
        <v>28.0</v>
      </c>
      <c r="E425" s="11">
        <v>6.0</v>
      </c>
      <c r="F425" s="11">
        <v>9.0</v>
      </c>
      <c r="G425" s="215">
        <v>-18326.49</v>
      </c>
      <c r="H425" s="11">
        <v>27.0</v>
      </c>
      <c r="I425" s="109">
        <v>-12042.08</v>
      </c>
    </row>
    <row r="426">
      <c r="A426" s="110">
        <v>91423.0</v>
      </c>
      <c r="B426" s="17">
        <v>49.0</v>
      </c>
      <c r="C426" s="11">
        <v>49.0</v>
      </c>
      <c r="D426" s="11">
        <v>69.0</v>
      </c>
      <c r="E426" s="11">
        <v>6.0</v>
      </c>
      <c r="F426" s="11">
        <v>7.0</v>
      </c>
      <c r="G426" s="215">
        <v>41711.47</v>
      </c>
      <c r="H426" s="11">
        <v>29.0</v>
      </c>
      <c r="I426" s="109">
        <v>-83326.36</v>
      </c>
    </row>
    <row r="427">
      <c r="A427" s="110">
        <v>30722.0</v>
      </c>
      <c r="B427" s="17">
        <v>95.0</v>
      </c>
      <c r="C427" s="11">
        <v>29.0</v>
      </c>
      <c r="D427" s="11">
        <v>49.0</v>
      </c>
      <c r="E427" s="11">
        <v>1.0</v>
      </c>
      <c r="F427" s="11">
        <v>9.0</v>
      </c>
      <c r="G427" s="215">
        <v>-51572.34</v>
      </c>
      <c r="H427" s="11">
        <v>23.0</v>
      </c>
      <c r="I427" s="109">
        <v>-52710.8</v>
      </c>
    </row>
    <row r="428">
      <c r="A428" s="110">
        <v>91619.0</v>
      </c>
      <c r="B428" s="17">
        <v>27.0</v>
      </c>
      <c r="C428" s="11">
        <v>29.0</v>
      </c>
      <c r="D428" s="11">
        <v>28.0</v>
      </c>
      <c r="E428" s="11">
        <v>7.0</v>
      </c>
      <c r="F428" s="11">
        <v>4.0</v>
      </c>
      <c r="G428" s="215">
        <v>-85125.58</v>
      </c>
      <c r="H428" s="11">
        <v>27.0</v>
      </c>
      <c r="I428" s="109">
        <v>62785.69</v>
      </c>
    </row>
    <row r="429">
      <c r="A429" s="110">
        <v>90223.0</v>
      </c>
      <c r="B429" s="17">
        <v>63.0</v>
      </c>
      <c r="C429" s="11">
        <v>29.0</v>
      </c>
      <c r="D429" s="11">
        <v>69.0</v>
      </c>
      <c r="E429" s="11">
        <v>7.0</v>
      </c>
      <c r="F429" s="11">
        <v>2.0</v>
      </c>
      <c r="G429" s="215">
        <v>6322.87</v>
      </c>
      <c r="H429" s="11">
        <v>26.0</v>
      </c>
      <c r="I429" s="109">
        <v>-63341.09</v>
      </c>
    </row>
    <row r="430">
      <c r="A430" s="110">
        <v>82418.0</v>
      </c>
      <c r="B430" s="17">
        <v>30.0</v>
      </c>
      <c r="C430" s="11">
        <v>49.0</v>
      </c>
      <c r="D430" s="11">
        <v>49.0</v>
      </c>
      <c r="E430" s="11">
        <v>2.0</v>
      </c>
      <c r="F430" s="11">
        <v>5.0</v>
      </c>
      <c r="G430" s="215">
        <v>34779.68</v>
      </c>
      <c r="H430" s="11">
        <v>26.0</v>
      </c>
      <c r="I430" s="109">
        <v>88423.92</v>
      </c>
    </row>
    <row r="431">
      <c r="A431" s="110">
        <v>110319.0</v>
      </c>
      <c r="B431" s="17">
        <v>25.0</v>
      </c>
      <c r="C431" s="11">
        <v>49.0</v>
      </c>
      <c r="D431" s="11">
        <v>49.0</v>
      </c>
      <c r="E431" s="11">
        <v>2.0</v>
      </c>
      <c r="F431" s="11">
        <v>8.0</v>
      </c>
      <c r="G431" s="215">
        <v>48379.61</v>
      </c>
      <c r="H431" s="11">
        <v>29.0</v>
      </c>
      <c r="I431" s="109">
        <v>-64163.9</v>
      </c>
    </row>
    <row r="432">
      <c r="A432" s="110">
        <v>10919.0</v>
      </c>
      <c r="B432" s="17">
        <v>97.0</v>
      </c>
      <c r="C432" s="11">
        <v>29.0</v>
      </c>
      <c r="D432" s="11">
        <v>69.0</v>
      </c>
      <c r="E432" s="11">
        <v>7.0</v>
      </c>
      <c r="F432" s="11">
        <v>7.0</v>
      </c>
      <c r="G432" s="215">
        <v>77072.82</v>
      </c>
      <c r="H432" s="11">
        <v>24.0</v>
      </c>
      <c r="I432" s="109">
        <v>-80720.24</v>
      </c>
    </row>
    <row r="433">
      <c r="A433" s="110">
        <v>51718.0</v>
      </c>
      <c r="B433" s="17">
        <v>16.0</v>
      </c>
      <c r="C433" s="11">
        <v>49.0</v>
      </c>
      <c r="D433" s="11">
        <v>49.0</v>
      </c>
      <c r="E433" s="11">
        <v>2.0</v>
      </c>
      <c r="F433" s="11">
        <v>9.0</v>
      </c>
      <c r="G433" s="215">
        <v>-89346.65</v>
      </c>
      <c r="H433" s="11">
        <v>23.0</v>
      </c>
      <c r="I433" s="109">
        <v>48874.05</v>
      </c>
    </row>
    <row r="434">
      <c r="A434" s="110">
        <v>52120.0</v>
      </c>
      <c r="B434" s="17">
        <v>18.0</v>
      </c>
      <c r="C434" s="11">
        <v>29.0</v>
      </c>
      <c r="D434" s="11">
        <v>49.0</v>
      </c>
      <c r="E434" s="11">
        <v>3.0</v>
      </c>
      <c r="F434" s="11">
        <v>8.0</v>
      </c>
      <c r="G434" s="215">
        <v>90415.35</v>
      </c>
      <c r="H434" s="11">
        <v>29.0</v>
      </c>
      <c r="I434" s="109">
        <v>-99587.22</v>
      </c>
    </row>
    <row r="435">
      <c r="A435" s="110">
        <v>51620.0</v>
      </c>
      <c r="B435" s="17">
        <v>69.0</v>
      </c>
      <c r="C435" s="11">
        <v>29.0</v>
      </c>
      <c r="D435" s="11">
        <v>49.0</v>
      </c>
      <c r="E435" s="11">
        <v>4.0</v>
      </c>
      <c r="F435" s="11">
        <v>1.0</v>
      </c>
      <c r="G435" s="215">
        <v>-6310.86</v>
      </c>
      <c r="H435" s="11">
        <v>25.0</v>
      </c>
      <c r="I435" s="109">
        <v>-77612.94</v>
      </c>
    </row>
    <row r="436">
      <c r="A436" s="110">
        <v>70217.0</v>
      </c>
      <c r="B436" s="17">
        <v>80.0</v>
      </c>
      <c r="C436" s="11">
        <v>49.0</v>
      </c>
      <c r="D436" s="11">
        <v>28.0</v>
      </c>
      <c r="E436" s="11">
        <v>9.0</v>
      </c>
      <c r="F436" s="11">
        <v>4.0</v>
      </c>
      <c r="G436" s="215">
        <v>-95409.69</v>
      </c>
      <c r="H436" s="11">
        <v>20.0</v>
      </c>
      <c r="I436" s="109">
        <v>51975.51</v>
      </c>
    </row>
    <row r="437">
      <c r="A437" s="110">
        <v>90519.0</v>
      </c>
      <c r="B437" s="17">
        <v>11.0</v>
      </c>
      <c r="C437" s="11">
        <v>49.0</v>
      </c>
      <c r="D437" s="11">
        <v>28.0</v>
      </c>
      <c r="E437" s="11">
        <v>9.0</v>
      </c>
      <c r="F437" s="11">
        <v>7.0</v>
      </c>
      <c r="G437" s="215">
        <v>54533.95</v>
      </c>
      <c r="H437" s="11">
        <v>29.0</v>
      </c>
      <c r="I437" s="109">
        <v>-80209.79</v>
      </c>
    </row>
    <row r="438">
      <c r="A438" s="110">
        <v>51019.0</v>
      </c>
      <c r="B438" s="17">
        <v>25.0</v>
      </c>
      <c r="C438" s="11">
        <v>29.0</v>
      </c>
      <c r="D438" s="11">
        <v>69.0</v>
      </c>
      <c r="E438" s="11">
        <v>9.0</v>
      </c>
      <c r="F438" s="11">
        <v>3.0</v>
      </c>
      <c r="G438" s="215">
        <v>26476.64</v>
      </c>
      <c r="H438" s="11">
        <v>30.0</v>
      </c>
      <c r="I438" s="109">
        <v>-35811.42</v>
      </c>
    </row>
    <row r="439">
      <c r="A439" s="110">
        <v>42816.0</v>
      </c>
      <c r="B439" s="17">
        <v>84.0</v>
      </c>
      <c r="C439" s="11">
        <v>29.0</v>
      </c>
      <c r="D439" s="11">
        <v>69.0</v>
      </c>
      <c r="E439" s="11">
        <v>9.0</v>
      </c>
      <c r="F439" s="11">
        <v>5.0</v>
      </c>
      <c r="G439" s="215">
        <v>-71568.2</v>
      </c>
      <c r="H439" s="11">
        <v>24.0</v>
      </c>
      <c r="I439" s="109">
        <v>60090.12</v>
      </c>
    </row>
    <row r="440">
      <c r="A440" s="110">
        <v>60517.0</v>
      </c>
      <c r="B440" s="17">
        <v>33.0</v>
      </c>
      <c r="C440" s="11">
        <v>29.0</v>
      </c>
      <c r="D440" s="11">
        <v>49.0</v>
      </c>
      <c r="E440" s="11">
        <v>4.0</v>
      </c>
      <c r="F440" s="11">
        <v>9.0</v>
      </c>
      <c r="G440" s="215">
        <v>-33263.54</v>
      </c>
      <c r="H440" s="11">
        <v>30.0</v>
      </c>
      <c r="I440" s="109">
        <v>38887.24</v>
      </c>
    </row>
    <row r="441">
      <c r="A441" s="110">
        <v>112622.0</v>
      </c>
      <c r="B441" s="17">
        <v>59.0</v>
      </c>
      <c r="C441" s="11">
        <v>29.0</v>
      </c>
      <c r="D441" s="11">
        <v>69.0</v>
      </c>
      <c r="E441" s="11">
        <v>9.0</v>
      </c>
      <c r="F441" s="11">
        <v>9.0</v>
      </c>
      <c r="G441" s="215">
        <v>24142.76</v>
      </c>
      <c r="H441" s="11">
        <v>21.0</v>
      </c>
      <c r="I441" s="109">
        <v>-12034.91</v>
      </c>
    </row>
    <row r="442">
      <c r="A442" s="110">
        <v>121923.0</v>
      </c>
      <c r="B442" s="17">
        <v>44.0</v>
      </c>
      <c r="C442" s="11">
        <v>29.0</v>
      </c>
      <c r="D442" s="11">
        <v>49.0</v>
      </c>
      <c r="E442" s="11">
        <v>5.0</v>
      </c>
      <c r="F442" s="11">
        <v>8.0</v>
      </c>
      <c r="G442" s="215">
        <v>-25456.87</v>
      </c>
      <c r="H442" s="11">
        <v>28.0</v>
      </c>
      <c r="I442" s="109">
        <v>-8849.57</v>
      </c>
    </row>
    <row r="443">
      <c r="A443" s="110">
        <v>71723.0</v>
      </c>
      <c r="B443" s="17">
        <v>85.0</v>
      </c>
      <c r="C443" s="11">
        <v>29.0</v>
      </c>
      <c r="D443" s="11">
        <v>49.0</v>
      </c>
      <c r="E443" s="11">
        <v>6.0</v>
      </c>
      <c r="F443" s="11">
        <v>1.0</v>
      </c>
      <c r="G443" s="215">
        <v>-6185.35</v>
      </c>
      <c r="H443" s="11">
        <v>29.0</v>
      </c>
      <c r="I443" s="109">
        <v>-70311.2</v>
      </c>
    </row>
    <row r="444">
      <c r="A444" s="110">
        <v>120417.0</v>
      </c>
      <c r="B444" s="17">
        <v>46.0</v>
      </c>
      <c r="C444" s="11">
        <v>91.0</v>
      </c>
      <c r="D444" s="11">
        <v>49.0</v>
      </c>
      <c r="E444" s="11">
        <v>6.0</v>
      </c>
      <c r="F444" s="11">
        <v>3.0</v>
      </c>
      <c r="G444" s="215">
        <v>-78377.67</v>
      </c>
      <c r="H444" s="11">
        <v>23.0</v>
      </c>
      <c r="I444" s="109">
        <v>-78751.97</v>
      </c>
    </row>
    <row r="445">
      <c r="A445" s="110">
        <v>21915.0</v>
      </c>
      <c r="B445" s="17">
        <v>13.0</v>
      </c>
      <c r="C445" s="11">
        <v>29.0</v>
      </c>
      <c r="D445" s="11">
        <v>29.0</v>
      </c>
      <c r="E445" s="11">
        <v>2.0</v>
      </c>
      <c r="F445" s="11">
        <v>1.0</v>
      </c>
      <c r="G445" s="215">
        <v>15865.48</v>
      </c>
      <c r="H445" s="11">
        <v>28.0</v>
      </c>
      <c r="I445" s="109">
        <v>-7954.3</v>
      </c>
    </row>
    <row r="446">
      <c r="A446" s="110">
        <v>21017.0</v>
      </c>
      <c r="B446" s="17">
        <v>96.0</v>
      </c>
      <c r="C446" s="11">
        <v>91.0</v>
      </c>
      <c r="D446" s="11">
        <v>29.0</v>
      </c>
      <c r="E446" s="11">
        <v>2.0</v>
      </c>
      <c r="F446" s="11">
        <v>2.0</v>
      </c>
      <c r="G446" s="215">
        <v>-89225.51</v>
      </c>
      <c r="H446" s="11">
        <v>23.0</v>
      </c>
      <c r="I446" s="109">
        <v>-99810.14</v>
      </c>
    </row>
    <row r="447">
      <c r="A447" s="110">
        <v>91319.0</v>
      </c>
      <c r="B447" s="17">
        <v>61.0</v>
      </c>
      <c r="C447" s="11">
        <v>91.0</v>
      </c>
      <c r="D447" s="11">
        <v>29.0</v>
      </c>
      <c r="E447" s="11">
        <v>2.0</v>
      </c>
      <c r="F447" s="11">
        <v>6.0</v>
      </c>
      <c r="G447" s="215">
        <v>-14299.11</v>
      </c>
      <c r="H447" s="11">
        <v>24.0</v>
      </c>
      <c r="I447" s="109">
        <v>21918.56</v>
      </c>
    </row>
    <row r="448">
      <c r="A448" s="110">
        <v>91117.0</v>
      </c>
      <c r="B448" s="17">
        <v>44.0</v>
      </c>
      <c r="C448" s="11">
        <v>91.0</v>
      </c>
      <c r="D448" s="11">
        <v>49.0</v>
      </c>
      <c r="E448" s="11">
        <v>7.0</v>
      </c>
      <c r="F448" s="11">
        <v>5.0</v>
      </c>
      <c r="G448" s="215">
        <v>3106.29</v>
      </c>
      <c r="H448" s="11">
        <v>26.0</v>
      </c>
      <c r="I448" s="109">
        <v>-32645.15</v>
      </c>
    </row>
    <row r="449">
      <c r="A449" s="110">
        <v>121917.0</v>
      </c>
      <c r="B449" s="17">
        <v>74.0</v>
      </c>
      <c r="C449" s="11">
        <v>29.0</v>
      </c>
      <c r="D449" s="11">
        <v>49.0</v>
      </c>
      <c r="E449" s="11">
        <v>8.0</v>
      </c>
      <c r="F449" s="11">
        <v>2.0</v>
      </c>
      <c r="G449" s="215">
        <v>75948.46</v>
      </c>
      <c r="H449" s="11">
        <v>29.0</v>
      </c>
      <c r="I449" s="109">
        <v>-77070.87</v>
      </c>
    </row>
    <row r="450">
      <c r="A450" s="110">
        <v>41221.0</v>
      </c>
      <c r="B450" s="17">
        <v>14.0</v>
      </c>
      <c r="C450" s="11">
        <v>91.0</v>
      </c>
      <c r="D450" s="11">
        <v>49.0</v>
      </c>
      <c r="E450" s="11">
        <v>8.0</v>
      </c>
      <c r="F450" s="11">
        <v>5.0</v>
      </c>
      <c r="G450" s="215">
        <v>94167.07</v>
      </c>
      <c r="H450" s="11">
        <v>26.0</v>
      </c>
      <c r="I450" s="109">
        <v>-51896.7</v>
      </c>
    </row>
    <row r="451">
      <c r="A451" s="110">
        <v>62620.0</v>
      </c>
      <c r="B451" s="17">
        <v>80.0</v>
      </c>
      <c r="C451" s="11">
        <v>29.0</v>
      </c>
      <c r="D451" s="11">
        <v>29.0</v>
      </c>
      <c r="E451" s="11">
        <v>3.0</v>
      </c>
      <c r="F451" s="11">
        <v>7.0</v>
      </c>
      <c r="G451" s="215">
        <v>5035.07</v>
      </c>
      <c r="H451" s="11">
        <v>24.0</v>
      </c>
      <c r="I451" s="109">
        <v>-84852.18</v>
      </c>
    </row>
    <row r="452">
      <c r="A452" s="110">
        <v>52915.0</v>
      </c>
      <c r="B452" s="17">
        <v>7.0</v>
      </c>
      <c r="C452" s="11">
        <v>29.0</v>
      </c>
      <c r="D452" s="11">
        <v>49.0</v>
      </c>
      <c r="E452" s="11">
        <v>8.0</v>
      </c>
      <c r="F452" s="11">
        <v>6.0</v>
      </c>
      <c r="G452" s="215">
        <v>-54921.0</v>
      </c>
      <c r="H452" s="11">
        <v>24.0</v>
      </c>
      <c r="I452" s="109">
        <v>43652.69</v>
      </c>
    </row>
    <row r="453">
      <c r="A453" s="110">
        <v>120716.0</v>
      </c>
      <c r="B453" s="17">
        <v>25.0</v>
      </c>
      <c r="C453" s="11">
        <v>91.0</v>
      </c>
      <c r="D453" s="11">
        <v>49.0</v>
      </c>
      <c r="E453" s="11">
        <v>8.0</v>
      </c>
      <c r="F453" s="11">
        <v>8.0</v>
      </c>
      <c r="G453" s="215">
        <v>-31523.79</v>
      </c>
      <c r="H453" s="11">
        <v>24.0</v>
      </c>
      <c r="I453" s="109">
        <v>-67849.73</v>
      </c>
    </row>
    <row r="454">
      <c r="A454" s="110">
        <v>71316.0</v>
      </c>
      <c r="B454" s="17">
        <v>2.0</v>
      </c>
      <c r="C454" s="11">
        <v>91.0</v>
      </c>
      <c r="D454" s="11">
        <v>49.0</v>
      </c>
      <c r="E454" s="11">
        <v>9.0</v>
      </c>
      <c r="F454" s="11">
        <v>1.0</v>
      </c>
      <c r="G454" s="215">
        <v>8586.91</v>
      </c>
      <c r="H454" s="11">
        <v>29.0</v>
      </c>
      <c r="I454" s="109">
        <v>77843.21</v>
      </c>
    </row>
    <row r="455">
      <c r="A455" s="110">
        <v>52513.0</v>
      </c>
      <c r="B455" s="17">
        <v>66.0</v>
      </c>
      <c r="C455" s="11">
        <v>91.0</v>
      </c>
      <c r="D455" s="11">
        <v>49.0</v>
      </c>
      <c r="E455" s="11">
        <v>9.0</v>
      </c>
      <c r="F455" s="11">
        <v>2.0</v>
      </c>
      <c r="G455" s="215">
        <v>24000.44</v>
      </c>
      <c r="H455" s="11">
        <v>24.0</v>
      </c>
      <c r="I455" s="109">
        <v>40441.96</v>
      </c>
    </row>
    <row r="456">
      <c r="A456" s="110">
        <v>51720.0</v>
      </c>
      <c r="B456" s="17">
        <v>28.0</v>
      </c>
      <c r="C456" s="11">
        <v>29.0</v>
      </c>
      <c r="D456" s="11">
        <v>29.0</v>
      </c>
      <c r="E456" s="11">
        <v>6.0</v>
      </c>
      <c r="F456" s="11">
        <v>3.0</v>
      </c>
      <c r="G456" s="215">
        <v>15755.39</v>
      </c>
      <c r="H456" s="11">
        <v>22.0</v>
      </c>
      <c r="I456" s="109">
        <v>-69835.91</v>
      </c>
    </row>
    <row r="457">
      <c r="A457" s="110">
        <v>112615.0</v>
      </c>
      <c r="B457" s="17">
        <v>33.0</v>
      </c>
      <c r="C457" s="11">
        <v>91.0</v>
      </c>
      <c r="D457" s="11">
        <v>29.0</v>
      </c>
      <c r="E457" s="11">
        <v>6.0</v>
      </c>
      <c r="F457" s="11">
        <v>6.0</v>
      </c>
      <c r="G457" s="215">
        <v>87930.01</v>
      </c>
      <c r="H457" s="11">
        <v>23.0</v>
      </c>
      <c r="I457" s="109">
        <v>-25581.69</v>
      </c>
    </row>
    <row r="458">
      <c r="A458" s="110">
        <v>80717.0</v>
      </c>
      <c r="B458" s="17">
        <v>46.0</v>
      </c>
      <c r="C458" s="11">
        <v>91.0</v>
      </c>
      <c r="D458" s="11">
        <v>29.0</v>
      </c>
      <c r="E458" s="11">
        <v>6.0</v>
      </c>
      <c r="F458" s="11">
        <v>7.0</v>
      </c>
      <c r="G458" s="215">
        <v>-49820.5</v>
      </c>
      <c r="H458" s="11">
        <v>22.0</v>
      </c>
      <c r="I458" s="109">
        <v>-75576.87</v>
      </c>
    </row>
    <row r="459">
      <c r="A459" s="110">
        <v>110418.0</v>
      </c>
      <c r="B459" s="17">
        <v>97.0</v>
      </c>
      <c r="C459" s="11">
        <v>91.0</v>
      </c>
      <c r="D459" s="11">
        <v>91.0</v>
      </c>
      <c r="E459" s="11">
        <v>1.0</v>
      </c>
      <c r="F459" s="11">
        <v>2.0</v>
      </c>
      <c r="G459" s="215">
        <v>56478.9</v>
      </c>
      <c r="H459" s="11">
        <v>29.0</v>
      </c>
      <c r="I459" s="109">
        <v>69367.32</v>
      </c>
    </row>
    <row r="460">
      <c r="A460" s="110">
        <v>101122.0</v>
      </c>
      <c r="B460" s="17">
        <v>50.0</v>
      </c>
      <c r="C460" s="11">
        <v>91.0</v>
      </c>
      <c r="D460" s="11">
        <v>29.0</v>
      </c>
      <c r="E460" s="11">
        <v>6.0</v>
      </c>
      <c r="F460" s="11">
        <v>9.0</v>
      </c>
      <c r="G460" s="215">
        <v>-2792.32</v>
      </c>
      <c r="H460" s="11">
        <v>20.0</v>
      </c>
      <c r="I460" s="109">
        <v>-6678.95</v>
      </c>
    </row>
    <row r="461">
      <c r="A461" s="110">
        <v>32522.0</v>
      </c>
      <c r="B461" s="17">
        <v>94.0</v>
      </c>
      <c r="C461" s="11">
        <v>91.0</v>
      </c>
      <c r="D461" s="11">
        <v>91.0</v>
      </c>
      <c r="E461" s="11">
        <v>2.0</v>
      </c>
      <c r="F461" s="11">
        <v>2.0</v>
      </c>
      <c r="G461" s="215">
        <v>6555.05</v>
      </c>
      <c r="H461" s="11">
        <v>23.0</v>
      </c>
      <c r="I461" s="109">
        <v>17607.2</v>
      </c>
    </row>
    <row r="462">
      <c r="A462" s="110">
        <v>40917.0</v>
      </c>
      <c r="B462" s="17">
        <v>51.0</v>
      </c>
      <c r="C462" s="11">
        <v>71.0</v>
      </c>
      <c r="D462" s="11">
        <v>29.0</v>
      </c>
      <c r="E462" s="11">
        <v>7.0</v>
      </c>
      <c r="F462" s="11">
        <v>9.0</v>
      </c>
      <c r="G462" s="215">
        <v>-87000.04</v>
      </c>
      <c r="H462" s="11">
        <v>20.0</v>
      </c>
      <c r="I462" s="109">
        <v>74769.35</v>
      </c>
    </row>
    <row r="463">
      <c r="A463" s="110">
        <v>70114.0</v>
      </c>
      <c r="B463" s="17">
        <v>88.0</v>
      </c>
      <c r="C463" s="11">
        <v>71.0</v>
      </c>
      <c r="D463" s="11">
        <v>29.0</v>
      </c>
      <c r="E463" s="11">
        <v>8.0</v>
      </c>
      <c r="F463" s="11">
        <v>3.0</v>
      </c>
      <c r="G463" s="215">
        <v>4538.97</v>
      </c>
      <c r="H463" s="11">
        <v>30.0</v>
      </c>
      <c r="I463" s="109">
        <v>67893.43</v>
      </c>
    </row>
    <row r="464">
      <c r="A464" s="110">
        <v>20423.0</v>
      </c>
      <c r="B464" s="17">
        <v>73.0</v>
      </c>
      <c r="C464" s="11">
        <v>71.0</v>
      </c>
      <c r="D464" s="11">
        <v>91.0</v>
      </c>
      <c r="E464" s="11">
        <v>3.0</v>
      </c>
      <c r="F464" s="11">
        <v>1.0</v>
      </c>
      <c r="G464" s="215">
        <v>14199.43</v>
      </c>
      <c r="H464" s="11">
        <v>23.0</v>
      </c>
      <c r="I464" s="109">
        <v>-51495.51</v>
      </c>
    </row>
    <row r="465">
      <c r="A465" s="110">
        <v>112716.0</v>
      </c>
      <c r="B465" s="17">
        <v>25.0</v>
      </c>
      <c r="C465" s="11">
        <v>91.0</v>
      </c>
      <c r="D465" s="11">
        <v>91.0</v>
      </c>
      <c r="E465" s="11">
        <v>4.0</v>
      </c>
      <c r="F465" s="11">
        <v>2.0</v>
      </c>
      <c r="G465" s="215">
        <v>26071.54</v>
      </c>
      <c r="H465" s="11">
        <v>29.0</v>
      </c>
      <c r="I465" s="109">
        <v>-79021.19</v>
      </c>
    </row>
    <row r="466">
      <c r="A466" s="110">
        <v>31217.0</v>
      </c>
      <c r="B466" s="17">
        <v>43.0</v>
      </c>
      <c r="C466" s="11">
        <v>71.0</v>
      </c>
      <c r="D466" s="11">
        <v>91.0</v>
      </c>
      <c r="E466" s="11">
        <v>4.0</v>
      </c>
      <c r="F466" s="11">
        <v>6.0</v>
      </c>
      <c r="G466" s="215">
        <v>-40415.59</v>
      </c>
      <c r="H466" s="11">
        <v>30.0</v>
      </c>
      <c r="I466" s="109">
        <v>-50201.11</v>
      </c>
    </row>
    <row r="467">
      <c r="A467" s="110">
        <v>20922.0</v>
      </c>
      <c r="B467" s="17">
        <v>41.0</v>
      </c>
      <c r="C467" s="11">
        <v>91.0</v>
      </c>
      <c r="D467" s="11">
        <v>91.0</v>
      </c>
      <c r="E467" s="11">
        <v>4.0</v>
      </c>
      <c r="F467" s="11">
        <v>9.0</v>
      </c>
      <c r="G467" s="215">
        <v>-79459.24</v>
      </c>
      <c r="H467" s="11">
        <v>27.0</v>
      </c>
      <c r="I467" s="109">
        <v>82659.86</v>
      </c>
    </row>
    <row r="468">
      <c r="A468" s="110">
        <v>22720.0</v>
      </c>
      <c r="B468" s="17">
        <v>36.0</v>
      </c>
      <c r="C468" s="11">
        <v>91.0</v>
      </c>
      <c r="D468" s="11">
        <v>91.0</v>
      </c>
      <c r="E468" s="11">
        <v>5.0</v>
      </c>
      <c r="F468" s="11">
        <v>5.0</v>
      </c>
      <c r="G468" s="215">
        <v>-81913.25</v>
      </c>
      <c r="H468" s="11">
        <v>23.0</v>
      </c>
      <c r="I468" s="109">
        <v>-44242.82</v>
      </c>
    </row>
    <row r="469">
      <c r="A469" s="110">
        <v>21921.0</v>
      </c>
      <c r="B469" s="17">
        <v>35.0</v>
      </c>
      <c r="C469" s="11">
        <v>71.0</v>
      </c>
      <c r="D469" s="11">
        <v>91.0</v>
      </c>
      <c r="E469" s="11">
        <v>5.0</v>
      </c>
      <c r="F469" s="11">
        <v>8.0</v>
      </c>
      <c r="G469" s="215">
        <v>87450.34</v>
      </c>
      <c r="H469" s="11">
        <v>26.0</v>
      </c>
      <c r="I469" s="109">
        <v>99829.75</v>
      </c>
    </row>
    <row r="470">
      <c r="A470" s="110">
        <v>82222.0</v>
      </c>
      <c r="B470" s="17">
        <v>61.0</v>
      </c>
      <c r="C470" s="11">
        <v>71.0</v>
      </c>
      <c r="D470" s="11">
        <v>91.0</v>
      </c>
      <c r="E470" s="11">
        <v>6.0</v>
      </c>
      <c r="F470" s="11">
        <v>3.0</v>
      </c>
      <c r="G470" s="215">
        <v>81009.48</v>
      </c>
      <c r="H470" s="11">
        <v>21.0</v>
      </c>
      <c r="I470" s="109">
        <v>-55221.08</v>
      </c>
    </row>
    <row r="471">
      <c r="A471" s="110">
        <v>101617.0</v>
      </c>
      <c r="B471" s="17">
        <v>68.0</v>
      </c>
      <c r="C471" s="11">
        <v>91.0</v>
      </c>
      <c r="D471" s="11">
        <v>91.0</v>
      </c>
      <c r="E471" s="11">
        <v>7.0</v>
      </c>
      <c r="F471" s="11">
        <v>5.0</v>
      </c>
      <c r="G471" s="215">
        <v>25258.66</v>
      </c>
      <c r="H471" s="11">
        <v>28.0</v>
      </c>
      <c r="I471" s="109">
        <v>83144.53</v>
      </c>
    </row>
    <row r="472">
      <c r="A472" s="110">
        <v>61613.0</v>
      </c>
      <c r="B472" s="17">
        <v>33.0</v>
      </c>
      <c r="C472" s="11">
        <v>91.0</v>
      </c>
      <c r="D472" s="11">
        <v>91.0</v>
      </c>
      <c r="E472" s="11">
        <v>7.0</v>
      </c>
      <c r="F472" s="11">
        <v>9.0</v>
      </c>
      <c r="G472" s="215">
        <v>88378.58</v>
      </c>
      <c r="H472" s="11">
        <v>25.0</v>
      </c>
      <c r="I472" s="109">
        <v>5180.76</v>
      </c>
    </row>
    <row r="473">
      <c r="A473" s="110">
        <v>90922.0</v>
      </c>
      <c r="B473" s="17">
        <v>95.0</v>
      </c>
      <c r="C473" s="11">
        <v>71.0</v>
      </c>
      <c r="D473" s="11">
        <v>71.0</v>
      </c>
      <c r="E473" s="11">
        <v>3.0</v>
      </c>
      <c r="F473" s="11">
        <v>6.0</v>
      </c>
      <c r="G473" s="215">
        <v>-94369.58</v>
      </c>
      <c r="H473" s="11">
        <v>30.0</v>
      </c>
      <c r="I473" s="109">
        <v>94753.65</v>
      </c>
    </row>
    <row r="474">
      <c r="A474" s="110">
        <v>62016.0</v>
      </c>
      <c r="B474" s="17">
        <v>42.0</v>
      </c>
      <c r="C474" s="11">
        <v>71.0</v>
      </c>
      <c r="D474" s="11">
        <v>71.0</v>
      </c>
      <c r="E474" s="11">
        <v>3.0</v>
      </c>
      <c r="F474" s="11">
        <v>7.0</v>
      </c>
      <c r="G474" s="215">
        <v>26331.79</v>
      </c>
      <c r="H474" s="11">
        <v>30.0</v>
      </c>
      <c r="I474" s="109">
        <v>-78062.46</v>
      </c>
    </row>
    <row r="475">
      <c r="A475" s="110">
        <v>42816.0</v>
      </c>
      <c r="B475" s="17">
        <v>11.0</v>
      </c>
      <c r="C475" s="11">
        <v>51.0</v>
      </c>
      <c r="D475" s="11">
        <v>91.0</v>
      </c>
      <c r="E475" s="11">
        <v>9.0</v>
      </c>
      <c r="F475" s="11">
        <v>3.0</v>
      </c>
      <c r="G475" s="215">
        <v>36995.35</v>
      </c>
      <c r="H475" s="11">
        <v>27.0</v>
      </c>
      <c r="I475" s="109">
        <v>-62498.65</v>
      </c>
    </row>
    <row r="476">
      <c r="A476" s="110">
        <v>122122.0</v>
      </c>
      <c r="B476" s="17">
        <v>73.0</v>
      </c>
      <c r="C476" s="11">
        <v>92.0</v>
      </c>
      <c r="D476" s="11">
        <v>71.0</v>
      </c>
      <c r="E476" s="11">
        <v>4.0</v>
      </c>
      <c r="F476" s="11">
        <v>9.0</v>
      </c>
      <c r="G476" s="215">
        <v>23190.03</v>
      </c>
      <c r="H476" s="11">
        <v>22.0</v>
      </c>
      <c r="I476" s="109">
        <v>-41846.98</v>
      </c>
    </row>
    <row r="477">
      <c r="A477" s="110">
        <v>50716.0</v>
      </c>
      <c r="B477" s="17">
        <v>29.0</v>
      </c>
      <c r="C477" s="11">
        <v>92.0</v>
      </c>
      <c r="D477" s="11">
        <v>71.0</v>
      </c>
      <c r="E477" s="11">
        <v>5.0</v>
      </c>
      <c r="F477" s="11">
        <v>5.0</v>
      </c>
      <c r="G477" s="215">
        <v>-13927.49</v>
      </c>
      <c r="H477" s="11">
        <v>26.0</v>
      </c>
      <c r="I477" s="109">
        <v>3780.04</v>
      </c>
    </row>
    <row r="478">
      <c r="A478" s="110">
        <v>121222.0</v>
      </c>
      <c r="B478" s="17">
        <v>39.0</v>
      </c>
      <c r="C478" s="11">
        <v>51.0</v>
      </c>
      <c r="D478" s="11">
        <v>71.0</v>
      </c>
      <c r="E478" s="11">
        <v>5.0</v>
      </c>
      <c r="F478" s="11">
        <v>9.0</v>
      </c>
      <c r="G478" s="215">
        <v>-9259.03</v>
      </c>
      <c r="H478" s="11">
        <v>29.0</v>
      </c>
      <c r="I478" s="109">
        <v>90331.16</v>
      </c>
    </row>
    <row r="479">
      <c r="A479" s="110">
        <v>60120.0</v>
      </c>
      <c r="B479" s="17">
        <v>29.0</v>
      </c>
      <c r="C479" s="11">
        <v>71.0</v>
      </c>
      <c r="D479" s="11">
        <v>51.0</v>
      </c>
      <c r="E479" s="11">
        <v>1.0</v>
      </c>
      <c r="F479" s="11">
        <v>6.0</v>
      </c>
      <c r="G479" s="215">
        <v>48611.06</v>
      </c>
      <c r="H479" s="11">
        <v>20.0</v>
      </c>
      <c r="I479" s="109">
        <v>-48524.05</v>
      </c>
    </row>
    <row r="480">
      <c r="A480" s="110">
        <v>22113.0</v>
      </c>
      <c r="B480" s="17">
        <v>18.0</v>
      </c>
      <c r="C480" s="11">
        <v>92.0</v>
      </c>
      <c r="D480" s="11">
        <v>71.0</v>
      </c>
      <c r="E480" s="11">
        <v>6.0</v>
      </c>
      <c r="F480" s="11">
        <v>4.0</v>
      </c>
      <c r="G480" s="215">
        <v>11874.0</v>
      </c>
      <c r="H480" s="11">
        <v>27.0</v>
      </c>
      <c r="I480" s="109">
        <v>32816.72</v>
      </c>
    </row>
    <row r="481">
      <c r="A481" s="110">
        <v>72718.0</v>
      </c>
      <c r="B481" s="17">
        <v>76.0</v>
      </c>
      <c r="C481" s="11">
        <v>92.0</v>
      </c>
      <c r="D481" s="11">
        <v>71.0</v>
      </c>
      <c r="E481" s="11">
        <v>7.0</v>
      </c>
      <c r="F481" s="11">
        <v>5.0</v>
      </c>
      <c r="G481" s="215">
        <v>-75543.46</v>
      </c>
      <c r="H481" s="11">
        <v>21.0</v>
      </c>
      <c r="I481" s="109">
        <v>-18379.44</v>
      </c>
    </row>
    <row r="482">
      <c r="A482" s="110">
        <v>90114.0</v>
      </c>
      <c r="B482" s="17">
        <v>82.0</v>
      </c>
      <c r="C482" s="11">
        <v>71.0</v>
      </c>
      <c r="D482" s="11">
        <v>92.0</v>
      </c>
      <c r="E482" s="11">
        <v>2.0</v>
      </c>
      <c r="F482" s="11">
        <v>9.0</v>
      </c>
      <c r="G482" s="215">
        <v>-83878.84</v>
      </c>
      <c r="H482" s="11">
        <v>23.0</v>
      </c>
      <c r="I482" s="109">
        <v>-49002.2</v>
      </c>
    </row>
    <row r="483">
      <c r="A483" s="110">
        <v>21017.0</v>
      </c>
      <c r="B483" s="17">
        <v>9.0</v>
      </c>
      <c r="C483" s="11">
        <v>92.0</v>
      </c>
      <c r="D483" s="11">
        <v>71.0</v>
      </c>
      <c r="E483" s="11">
        <v>8.0</v>
      </c>
      <c r="F483" s="11">
        <v>1.0</v>
      </c>
      <c r="G483" s="215">
        <v>-37087.55</v>
      </c>
      <c r="H483" s="11">
        <v>27.0</v>
      </c>
      <c r="I483" s="109">
        <v>8424.3</v>
      </c>
    </row>
    <row r="484">
      <c r="A484" s="110">
        <v>100123.0</v>
      </c>
      <c r="B484" s="17">
        <v>63.0</v>
      </c>
      <c r="C484" s="11">
        <v>71.0</v>
      </c>
      <c r="D484" s="11">
        <v>71.0</v>
      </c>
      <c r="E484" s="11">
        <v>8.0</v>
      </c>
      <c r="F484" s="11">
        <v>5.0</v>
      </c>
      <c r="G484" s="215">
        <v>52711.94</v>
      </c>
      <c r="H484" s="11">
        <v>23.0</v>
      </c>
      <c r="I484" s="109">
        <v>-96994.37</v>
      </c>
    </row>
    <row r="485">
      <c r="A485" s="110">
        <v>30115.0</v>
      </c>
      <c r="B485" s="17">
        <v>75.0</v>
      </c>
      <c r="C485" s="11">
        <v>71.0</v>
      </c>
      <c r="D485" s="11">
        <v>71.0</v>
      </c>
      <c r="E485" s="11">
        <v>8.0</v>
      </c>
      <c r="F485" s="11">
        <v>9.0</v>
      </c>
      <c r="G485" s="215">
        <v>1639.88</v>
      </c>
      <c r="H485" s="11">
        <v>24.0</v>
      </c>
      <c r="I485" s="109">
        <v>12152.75</v>
      </c>
    </row>
    <row r="486">
      <c r="A486" s="110">
        <v>102419.0</v>
      </c>
      <c r="B486" s="17">
        <v>98.0</v>
      </c>
      <c r="C486" s="11">
        <v>71.0</v>
      </c>
      <c r="D486" s="11">
        <v>51.0</v>
      </c>
      <c r="E486" s="11">
        <v>4.0</v>
      </c>
      <c r="F486" s="11">
        <v>3.0</v>
      </c>
      <c r="G486" s="215">
        <v>-80448.05</v>
      </c>
      <c r="H486" s="11">
        <v>28.0</v>
      </c>
      <c r="I486" s="109">
        <v>-3682.25</v>
      </c>
    </row>
    <row r="487">
      <c r="A487" s="110">
        <v>62818.0</v>
      </c>
      <c r="B487" s="17">
        <v>54.0</v>
      </c>
      <c r="C487" s="11">
        <v>71.0</v>
      </c>
      <c r="D487" s="11">
        <v>51.0</v>
      </c>
      <c r="E487" s="11">
        <v>5.0</v>
      </c>
      <c r="F487" s="11">
        <v>4.0</v>
      </c>
      <c r="G487" s="215">
        <v>-37131.98</v>
      </c>
      <c r="H487" s="11">
        <v>26.0</v>
      </c>
      <c r="I487" s="109">
        <v>-12544.89</v>
      </c>
    </row>
    <row r="488">
      <c r="A488" s="110">
        <v>111422.0</v>
      </c>
      <c r="B488" s="17">
        <v>80.0</v>
      </c>
      <c r="C488" s="11">
        <v>92.0</v>
      </c>
      <c r="D488" s="11">
        <v>51.0</v>
      </c>
      <c r="E488" s="11">
        <v>6.0</v>
      </c>
      <c r="F488" s="11">
        <v>4.0</v>
      </c>
      <c r="G488" s="215">
        <v>89161.68</v>
      </c>
      <c r="H488" s="11">
        <v>24.0</v>
      </c>
      <c r="I488" s="109">
        <v>31377.76</v>
      </c>
    </row>
    <row r="489">
      <c r="A489" s="110">
        <v>31317.0</v>
      </c>
      <c r="B489" s="17">
        <v>99.0</v>
      </c>
      <c r="C489" s="11">
        <v>31.0</v>
      </c>
      <c r="D489" s="11">
        <v>51.0</v>
      </c>
      <c r="E489" s="11">
        <v>6.0</v>
      </c>
      <c r="F489" s="11">
        <v>6.0</v>
      </c>
      <c r="G489" s="215">
        <v>-8322.79</v>
      </c>
      <c r="H489" s="11">
        <v>21.0</v>
      </c>
      <c r="I489" s="109">
        <v>-44612.04</v>
      </c>
    </row>
    <row r="490">
      <c r="A490" s="110">
        <v>51216.0</v>
      </c>
      <c r="B490" s="17">
        <v>38.0</v>
      </c>
      <c r="C490" s="11">
        <v>51.0</v>
      </c>
      <c r="D490" s="11">
        <v>92.0</v>
      </c>
      <c r="E490" s="11">
        <v>6.0</v>
      </c>
      <c r="F490" s="11">
        <v>3.0</v>
      </c>
      <c r="G490" s="215">
        <v>-30593.12</v>
      </c>
      <c r="H490" s="11">
        <v>27.0</v>
      </c>
      <c r="I490" s="109">
        <v>-99466.02</v>
      </c>
    </row>
    <row r="491">
      <c r="A491" s="110">
        <v>110813.0</v>
      </c>
      <c r="B491" s="17">
        <v>69.0</v>
      </c>
      <c r="C491" s="11">
        <v>92.0</v>
      </c>
      <c r="D491" s="11">
        <v>72.0</v>
      </c>
      <c r="E491" s="11">
        <v>1.0</v>
      </c>
      <c r="F491" s="11">
        <v>4.0</v>
      </c>
      <c r="G491" s="215">
        <v>10362.3</v>
      </c>
      <c r="H491" s="11">
        <v>25.0</v>
      </c>
      <c r="I491" s="109">
        <v>-3761.61</v>
      </c>
    </row>
    <row r="492">
      <c r="A492" s="110">
        <v>102520.0</v>
      </c>
      <c r="B492" s="17">
        <v>27.0</v>
      </c>
      <c r="C492" s="11">
        <v>31.0</v>
      </c>
      <c r="D492" s="11">
        <v>31.0</v>
      </c>
      <c r="E492" s="11">
        <v>2.0</v>
      </c>
      <c r="F492" s="11">
        <v>1.0</v>
      </c>
      <c r="G492" s="215">
        <v>62729.75</v>
      </c>
      <c r="H492" s="11">
        <v>28.0</v>
      </c>
      <c r="I492" s="109">
        <v>-45554.66</v>
      </c>
    </row>
    <row r="493">
      <c r="A493" s="110">
        <v>101020.0</v>
      </c>
      <c r="B493" s="17">
        <v>34.0</v>
      </c>
      <c r="C493" s="11">
        <v>92.0</v>
      </c>
      <c r="D493" s="11">
        <v>51.0</v>
      </c>
      <c r="E493" s="11">
        <v>7.0</v>
      </c>
      <c r="F493" s="11">
        <v>1.0</v>
      </c>
      <c r="G493" s="215">
        <v>-12480.75</v>
      </c>
      <c r="H493" s="11">
        <v>23.0</v>
      </c>
      <c r="I493" s="109">
        <v>77284.35</v>
      </c>
    </row>
    <row r="494">
      <c r="A494" s="110">
        <v>20816.0</v>
      </c>
      <c r="B494" s="17">
        <v>26.0</v>
      </c>
      <c r="C494" s="11">
        <v>51.0</v>
      </c>
      <c r="D494" s="11">
        <v>72.0</v>
      </c>
      <c r="E494" s="11">
        <v>2.0</v>
      </c>
      <c r="F494" s="11">
        <v>8.0</v>
      </c>
      <c r="G494" s="215">
        <v>-13900.85</v>
      </c>
      <c r="H494" s="11">
        <v>29.0</v>
      </c>
      <c r="I494" s="109">
        <v>69948.49</v>
      </c>
    </row>
    <row r="495">
      <c r="A495" s="110">
        <v>42120.0</v>
      </c>
      <c r="B495" s="17">
        <v>2.0</v>
      </c>
      <c r="C495" s="11">
        <v>72.0</v>
      </c>
      <c r="D495" s="11">
        <v>51.0</v>
      </c>
      <c r="E495" s="11">
        <v>8.0</v>
      </c>
      <c r="F495" s="11">
        <v>2.0</v>
      </c>
      <c r="G495" s="215">
        <v>85039.05</v>
      </c>
      <c r="H495" s="11">
        <v>29.0</v>
      </c>
      <c r="I495" s="109">
        <v>22219.98</v>
      </c>
    </row>
    <row r="496">
      <c r="A496" s="110">
        <v>123121.0</v>
      </c>
      <c r="B496" s="17">
        <v>51.0</v>
      </c>
      <c r="C496" s="11">
        <v>72.0</v>
      </c>
      <c r="D496" s="11">
        <v>92.0</v>
      </c>
      <c r="E496" s="11">
        <v>7.0</v>
      </c>
      <c r="F496" s="11">
        <v>9.0</v>
      </c>
      <c r="G496" s="215">
        <v>-65976.95</v>
      </c>
      <c r="H496" s="11">
        <v>23.0</v>
      </c>
      <c r="I496" s="109">
        <v>47064.49</v>
      </c>
    </row>
    <row r="497">
      <c r="A497" s="110">
        <v>30920.0</v>
      </c>
      <c r="B497" s="17">
        <v>81.0</v>
      </c>
      <c r="C497" s="11">
        <v>31.0</v>
      </c>
      <c r="D497" s="11">
        <v>51.0</v>
      </c>
      <c r="E497" s="11">
        <v>8.0</v>
      </c>
      <c r="F497" s="11">
        <v>4.0</v>
      </c>
      <c r="G497" s="215">
        <v>89403.13</v>
      </c>
      <c r="H497" s="11">
        <v>23.0</v>
      </c>
      <c r="I497" s="109">
        <v>341.6</v>
      </c>
    </row>
    <row r="498">
      <c r="A498" s="110">
        <v>70813.0</v>
      </c>
      <c r="B498" s="17">
        <v>60.0</v>
      </c>
      <c r="C498" s="11">
        <v>92.0</v>
      </c>
      <c r="D498" s="11">
        <v>92.0</v>
      </c>
      <c r="E498" s="11">
        <v>8.0</v>
      </c>
      <c r="F498" s="11">
        <v>1.0</v>
      </c>
      <c r="G498" s="215">
        <v>-87478.47</v>
      </c>
      <c r="H498" s="11">
        <v>23.0</v>
      </c>
      <c r="I498" s="109">
        <v>72049.95</v>
      </c>
    </row>
    <row r="499">
      <c r="A499" s="110">
        <v>40716.0</v>
      </c>
      <c r="B499" s="17">
        <v>42.0</v>
      </c>
      <c r="C499" s="11">
        <v>31.0</v>
      </c>
      <c r="D499" s="11">
        <v>51.0</v>
      </c>
      <c r="E499" s="11">
        <v>8.0</v>
      </c>
      <c r="F499" s="11">
        <v>5.0</v>
      </c>
      <c r="G499" s="215">
        <v>-46199.87</v>
      </c>
      <c r="H499" s="11">
        <v>29.0</v>
      </c>
      <c r="I499" s="109">
        <v>-25292.22</v>
      </c>
    </row>
    <row r="500">
      <c r="A500" s="110">
        <v>22518.0</v>
      </c>
      <c r="B500" s="17">
        <v>8.0</v>
      </c>
      <c r="C500" s="11">
        <v>92.0</v>
      </c>
      <c r="D500" s="11">
        <v>51.0</v>
      </c>
      <c r="E500" s="11">
        <v>8.0</v>
      </c>
      <c r="F500" s="11">
        <v>7.0</v>
      </c>
      <c r="G500" s="215">
        <v>25909.81</v>
      </c>
      <c r="H500" s="11">
        <v>29.0</v>
      </c>
      <c r="I500" s="109">
        <v>-97558.5</v>
      </c>
    </row>
    <row r="501">
      <c r="A501" s="110">
        <v>60821.0</v>
      </c>
      <c r="B501" s="17">
        <v>64.0</v>
      </c>
      <c r="C501" s="11">
        <v>31.0</v>
      </c>
      <c r="D501" s="11">
        <v>92.0</v>
      </c>
      <c r="E501" s="11">
        <v>8.0</v>
      </c>
      <c r="F501" s="11">
        <v>3.0</v>
      </c>
      <c r="G501" s="215">
        <v>40923.81</v>
      </c>
      <c r="H501" s="11">
        <v>20.0</v>
      </c>
      <c r="I501" s="109">
        <v>-53431.07</v>
      </c>
    </row>
    <row r="502">
      <c r="A502" s="110">
        <v>90922.0</v>
      </c>
      <c r="B502" s="17">
        <v>80.0</v>
      </c>
      <c r="C502" s="11">
        <v>51.0</v>
      </c>
      <c r="D502" s="11">
        <v>72.0</v>
      </c>
      <c r="E502" s="11">
        <v>3.0</v>
      </c>
      <c r="F502" s="11">
        <v>6.0</v>
      </c>
      <c r="G502" s="215">
        <v>16239.61</v>
      </c>
      <c r="H502" s="11">
        <v>21.0</v>
      </c>
      <c r="I502" s="109">
        <v>7886.44</v>
      </c>
    </row>
    <row r="503">
      <c r="A503" s="110">
        <v>81317.0</v>
      </c>
      <c r="B503" s="17">
        <v>63.0</v>
      </c>
      <c r="C503" s="11">
        <v>51.0</v>
      </c>
      <c r="D503" s="11">
        <v>92.0</v>
      </c>
      <c r="E503" s="11">
        <v>8.0</v>
      </c>
      <c r="F503" s="11">
        <v>2.0</v>
      </c>
      <c r="G503" s="215">
        <v>1662.82</v>
      </c>
      <c r="H503" s="11">
        <v>23.0</v>
      </c>
      <c r="I503" s="109">
        <v>12142.69</v>
      </c>
    </row>
    <row r="504">
      <c r="A504" s="110">
        <v>60713.0</v>
      </c>
      <c r="B504" s="17">
        <v>97.0</v>
      </c>
      <c r="C504" s="11">
        <v>51.0</v>
      </c>
      <c r="D504" s="11">
        <v>72.0</v>
      </c>
      <c r="E504" s="11">
        <v>4.0</v>
      </c>
      <c r="F504" s="11">
        <v>1.0</v>
      </c>
      <c r="G504" s="215">
        <v>16022.02</v>
      </c>
      <c r="H504" s="11">
        <v>29.0</v>
      </c>
      <c r="I504" s="109">
        <v>-62879.15</v>
      </c>
    </row>
    <row r="505">
      <c r="A505" s="110">
        <v>42613.0</v>
      </c>
      <c r="B505" s="17">
        <v>17.0</v>
      </c>
      <c r="C505" s="11">
        <v>92.0</v>
      </c>
      <c r="D505" s="11">
        <v>51.0</v>
      </c>
      <c r="E505" s="11">
        <v>9.0</v>
      </c>
      <c r="F505" s="11">
        <v>3.0</v>
      </c>
      <c r="G505" s="215">
        <v>80475.44</v>
      </c>
      <c r="H505" s="11">
        <v>27.0</v>
      </c>
      <c r="I505" s="109">
        <v>-4281.51</v>
      </c>
    </row>
    <row r="506">
      <c r="A506" s="110">
        <v>52618.0</v>
      </c>
      <c r="B506" s="17">
        <v>60.0</v>
      </c>
      <c r="C506" s="11">
        <v>72.0</v>
      </c>
      <c r="D506" s="11">
        <v>92.0</v>
      </c>
      <c r="E506" s="11">
        <v>8.0</v>
      </c>
      <c r="F506" s="11">
        <v>9.0</v>
      </c>
      <c r="G506" s="215">
        <v>69062.75</v>
      </c>
      <c r="H506" s="11">
        <v>30.0</v>
      </c>
      <c r="I506" s="109">
        <v>46727.93</v>
      </c>
    </row>
    <row r="507">
      <c r="A507" s="110">
        <v>81115.0</v>
      </c>
      <c r="B507" s="17">
        <v>58.0</v>
      </c>
      <c r="C507" s="11">
        <v>72.0</v>
      </c>
      <c r="D507" s="11">
        <v>92.0</v>
      </c>
      <c r="E507" s="11">
        <v>9.0</v>
      </c>
      <c r="F507" s="11">
        <v>2.0</v>
      </c>
      <c r="G507" s="215">
        <v>-27707.35</v>
      </c>
      <c r="H507" s="11">
        <v>29.0</v>
      </c>
      <c r="I507" s="109">
        <v>-19643.61</v>
      </c>
    </row>
    <row r="508">
      <c r="A508" s="110">
        <v>122519.0</v>
      </c>
      <c r="B508" s="17">
        <v>18.0</v>
      </c>
      <c r="C508" s="11">
        <v>92.0</v>
      </c>
      <c r="D508" s="11">
        <v>92.0</v>
      </c>
      <c r="E508" s="11">
        <v>9.0</v>
      </c>
      <c r="F508" s="11">
        <v>3.0</v>
      </c>
      <c r="G508" s="215">
        <v>55611.25</v>
      </c>
      <c r="H508" s="11">
        <v>22.0</v>
      </c>
      <c r="I508" s="109">
        <v>36290.94</v>
      </c>
    </row>
    <row r="509">
      <c r="A509" s="110">
        <v>121018.0</v>
      </c>
      <c r="B509" s="17">
        <v>10.0</v>
      </c>
      <c r="C509" s="11">
        <v>92.0</v>
      </c>
      <c r="D509" s="11">
        <v>51.0</v>
      </c>
      <c r="E509" s="11">
        <v>9.0</v>
      </c>
      <c r="F509" s="11">
        <v>5.0</v>
      </c>
      <c r="G509" s="215">
        <v>3605.8</v>
      </c>
      <c r="H509" s="11">
        <v>30.0</v>
      </c>
      <c r="I509" s="109">
        <v>-45097.18</v>
      </c>
    </row>
    <row r="510">
      <c r="A510" s="110">
        <v>81915.0</v>
      </c>
      <c r="B510" s="17">
        <v>76.0</v>
      </c>
      <c r="C510" s="11">
        <v>31.0</v>
      </c>
      <c r="D510" s="11">
        <v>72.0</v>
      </c>
      <c r="E510" s="11">
        <v>5.0</v>
      </c>
      <c r="F510" s="11">
        <v>1.0</v>
      </c>
      <c r="G510" s="215">
        <v>-37327.1</v>
      </c>
      <c r="H510" s="11">
        <v>28.0</v>
      </c>
      <c r="I510" s="109">
        <v>29366.71</v>
      </c>
    </row>
    <row r="511">
      <c r="A511" s="110">
        <v>61216.0</v>
      </c>
      <c r="B511" s="17">
        <v>2.0</v>
      </c>
      <c r="C511" s="11">
        <v>11.0</v>
      </c>
      <c r="D511" s="11">
        <v>92.0</v>
      </c>
      <c r="E511" s="11">
        <v>9.0</v>
      </c>
      <c r="F511" s="11">
        <v>9.0</v>
      </c>
      <c r="G511" s="215">
        <v>3125.84</v>
      </c>
      <c r="H511" s="11">
        <v>28.0</v>
      </c>
      <c r="I511" s="109">
        <v>59858.35</v>
      </c>
    </row>
    <row r="512">
      <c r="A512" s="110">
        <v>101423.0</v>
      </c>
      <c r="B512" s="17">
        <v>25.0</v>
      </c>
      <c r="C512" s="11">
        <v>52.0</v>
      </c>
      <c r="D512" s="11">
        <v>31.0</v>
      </c>
      <c r="E512" s="11">
        <v>5.0</v>
      </c>
      <c r="F512" s="11">
        <v>7.0</v>
      </c>
      <c r="G512" s="215">
        <v>16683.71</v>
      </c>
      <c r="H512" s="11">
        <v>25.0</v>
      </c>
      <c r="I512" s="109">
        <v>-69091.64</v>
      </c>
    </row>
    <row r="513">
      <c r="A513" s="110">
        <v>73022.0</v>
      </c>
      <c r="B513" s="17">
        <v>65.0</v>
      </c>
      <c r="C513" s="11">
        <v>52.0</v>
      </c>
      <c r="D513" s="11">
        <v>31.0</v>
      </c>
      <c r="E513" s="11">
        <v>6.0</v>
      </c>
      <c r="F513" s="11">
        <v>2.0</v>
      </c>
      <c r="G513" s="215">
        <v>66689.86</v>
      </c>
      <c r="H513" s="11">
        <v>21.0</v>
      </c>
      <c r="I513" s="109">
        <v>71438.53</v>
      </c>
    </row>
    <row r="514">
      <c r="A514" s="110">
        <v>92217.0</v>
      </c>
      <c r="B514" s="17">
        <v>56.0</v>
      </c>
      <c r="C514" s="11">
        <v>72.0</v>
      </c>
      <c r="D514" s="11">
        <v>31.0</v>
      </c>
      <c r="E514" s="11">
        <v>6.0</v>
      </c>
      <c r="F514" s="11">
        <v>3.0</v>
      </c>
      <c r="G514" s="215">
        <v>865.67</v>
      </c>
      <c r="H514" s="11">
        <v>20.0</v>
      </c>
      <c r="I514" s="109">
        <v>57124.08</v>
      </c>
    </row>
    <row r="515">
      <c r="A515" s="110">
        <v>92217.0</v>
      </c>
      <c r="B515" s="17">
        <v>91.0</v>
      </c>
      <c r="C515" s="11">
        <v>31.0</v>
      </c>
      <c r="D515" s="11">
        <v>52.0</v>
      </c>
      <c r="E515" s="11">
        <v>1.0</v>
      </c>
      <c r="F515" s="11">
        <v>2.0</v>
      </c>
      <c r="G515" s="215">
        <v>-76028.9</v>
      </c>
      <c r="H515" s="11">
        <v>28.0</v>
      </c>
      <c r="I515" s="109">
        <v>-41100.98</v>
      </c>
    </row>
    <row r="516">
      <c r="A516" s="110">
        <v>50916.0</v>
      </c>
      <c r="B516" s="17">
        <v>94.0</v>
      </c>
      <c r="C516" s="11">
        <v>11.0</v>
      </c>
      <c r="D516" s="11">
        <v>52.0</v>
      </c>
      <c r="E516" s="11">
        <v>1.0</v>
      </c>
      <c r="F516" s="11">
        <v>3.0</v>
      </c>
      <c r="G516" s="215">
        <v>34506.27</v>
      </c>
      <c r="H516" s="11">
        <v>26.0</v>
      </c>
      <c r="I516" s="109">
        <v>75246.97</v>
      </c>
    </row>
    <row r="517">
      <c r="A517" s="110">
        <v>62917.0</v>
      </c>
      <c r="B517" s="17">
        <v>75.0</v>
      </c>
      <c r="C517" s="11">
        <v>31.0</v>
      </c>
      <c r="D517" s="11">
        <v>72.0</v>
      </c>
      <c r="E517" s="11">
        <v>6.0</v>
      </c>
      <c r="F517" s="11">
        <v>3.0</v>
      </c>
      <c r="G517" s="215">
        <v>15736.57</v>
      </c>
      <c r="H517" s="11">
        <v>20.0</v>
      </c>
      <c r="I517" s="109">
        <v>72019.42</v>
      </c>
    </row>
    <row r="518">
      <c r="A518" s="110">
        <v>52713.0</v>
      </c>
      <c r="B518" s="17">
        <v>31.0</v>
      </c>
      <c r="C518" s="11">
        <v>72.0</v>
      </c>
      <c r="D518" s="11">
        <v>11.0</v>
      </c>
      <c r="E518" s="11">
        <v>2.0</v>
      </c>
      <c r="F518" s="11">
        <v>1.0</v>
      </c>
      <c r="G518" s="215">
        <v>66603.74</v>
      </c>
      <c r="H518" s="11">
        <v>26.0</v>
      </c>
      <c r="I518" s="109">
        <v>57570.52</v>
      </c>
    </row>
    <row r="519">
      <c r="A519" s="110">
        <v>103019.0</v>
      </c>
      <c r="B519" s="17">
        <v>24.0</v>
      </c>
      <c r="C519" s="11">
        <v>72.0</v>
      </c>
      <c r="D519" s="11">
        <v>52.0</v>
      </c>
      <c r="E519" s="11">
        <v>1.0</v>
      </c>
      <c r="F519" s="11">
        <v>7.0</v>
      </c>
      <c r="G519" s="215">
        <v>-48608.72</v>
      </c>
      <c r="H519" s="11">
        <v>29.0</v>
      </c>
      <c r="I519" s="109">
        <v>-24392.99</v>
      </c>
    </row>
    <row r="520">
      <c r="A520" s="110">
        <v>32420.0</v>
      </c>
      <c r="B520" s="17">
        <v>93.0</v>
      </c>
      <c r="C520" s="11">
        <v>11.0</v>
      </c>
      <c r="D520" s="11">
        <v>93.0</v>
      </c>
      <c r="E520" s="11">
        <v>1.0</v>
      </c>
      <c r="F520" s="11">
        <v>6.0</v>
      </c>
      <c r="G520" s="215">
        <v>34073.36</v>
      </c>
      <c r="H520" s="11">
        <v>25.0</v>
      </c>
      <c r="I520" s="109">
        <v>-88930.54</v>
      </c>
    </row>
    <row r="521">
      <c r="A521" s="110">
        <v>82621.0</v>
      </c>
      <c r="B521" s="17">
        <v>63.0</v>
      </c>
      <c r="C521" s="11">
        <v>11.0</v>
      </c>
      <c r="D521" s="11">
        <v>11.0</v>
      </c>
      <c r="E521" s="11">
        <v>2.0</v>
      </c>
      <c r="F521" s="11">
        <v>4.0</v>
      </c>
      <c r="G521" s="215">
        <v>-1601.27</v>
      </c>
      <c r="H521" s="11">
        <v>24.0</v>
      </c>
      <c r="I521" s="109">
        <v>-93311.89</v>
      </c>
    </row>
    <row r="522">
      <c r="A522" s="110">
        <v>51218.0</v>
      </c>
      <c r="B522" s="17">
        <v>19.0</v>
      </c>
      <c r="C522" s="11">
        <v>93.0</v>
      </c>
      <c r="D522" s="11">
        <v>52.0</v>
      </c>
      <c r="E522" s="11">
        <v>2.0</v>
      </c>
      <c r="F522" s="11">
        <v>1.0</v>
      </c>
      <c r="G522" s="215">
        <v>97798.22</v>
      </c>
      <c r="H522" s="11">
        <v>22.0</v>
      </c>
      <c r="I522" s="109">
        <v>53097.28</v>
      </c>
    </row>
    <row r="523">
      <c r="A523" s="110">
        <v>41619.0</v>
      </c>
      <c r="B523" s="17">
        <v>57.0</v>
      </c>
      <c r="C523" s="11">
        <v>11.0</v>
      </c>
      <c r="D523" s="11">
        <v>93.0</v>
      </c>
      <c r="E523" s="11">
        <v>1.0</v>
      </c>
      <c r="F523" s="11">
        <v>8.0</v>
      </c>
      <c r="G523" s="215">
        <v>-81981.99</v>
      </c>
      <c r="H523" s="11">
        <v>21.0</v>
      </c>
      <c r="I523" s="109">
        <v>28033.33</v>
      </c>
    </row>
    <row r="524">
      <c r="A524" s="110">
        <v>80420.0</v>
      </c>
      <c r="B524" s="17">
        <v>86.0</v>
      </c>
      <c r="C524" s="11">
        <v>72.0</v>
      </c>
      <c r="D524" s="11">
        <v>31.0</v>
      </c>
      <c r="E524" s="11">
        <v>7.0</v>
      </c>
      <c r="F524" s="11">
        <v>6.0</v>
      </c>
      <c r="G524" s="215">
        <v>54432.93</v>
      </c>
      <c r="H524" s="11">
        <v>26.0</v>
      </c>
      <c r="I524" s="109">
        <v>70424.69</v>
      </c>
    </row>
    <row r="525">
      <c r="A525" s="110">
        <v>112621.0</v>
      </c>
      <c r="B525" s="17">
        <v>4.0</v>
      </c>
      <c r="C525" s="11">
        <v>11.0</v>
      </c>
      <c r="D525" s="11">
        <v>93.0</v>
      </c>
      <c r="E525" s="11">
        <v>2.0</v>
      </c>
      <c r="F525" s="11">
        <v>5.0</v>
      </c>
      <c r="G525" s="215">
        <v>-72063.12</v>
      </c>
      <c r="H525" s="11">
        <v>24.0</v>
      </c>
      <c r="I525" s="109">
        <v>-66005.77</v>
      </c>
    </row>
    <row r="526">
      <c r="A526" s="110">
        <v>81122.0</v>
      </c>
      <c r="B526" s="17">
        <v>31.0</v>
      </c>
      <c r="C526" s="11">
        <v>11.0</v>
      </c>
      <c r="D526" s="11">
        <v>72.0</v>
      </c>
      <c r="E526" s="11">
        <v>7.0</v>
      </c>
      <c r="F526" s="11">
        <v>8.0</v>
      </c>
      <c r="G526" s="215">
        <v>-39174.99</v>
      </c>
      <c r="H526" s="11">
        <v>23.0</v>
      </c>
      <c r="I526" s="109">
        <v>-38478.19</v>
      </c>
    </row>
    <row r="527">
      <c r="A527" s="110">
        <v>122520.0</v>
      </c>
      <c r="B527" s="17">
        <v>37.0</v>
      </c>
      <c r="C527" s="11">
        <v>93.0</v>
      </c>
      <c r="D527" s="11">
        <v>52.0</v>
      </c>
      <c r="E527" s="11">
        <v>2.0</v>
      </c>
      <c r="F527" s="11">
        <v>9.0</v>
      </c>
      <c r="G527" s="215">
        <v>76781.19</v>
      </c>
      <c r="H527" s="11">
        <v>20.0</v>
      </c>
      <c r="I527" s="109">
        <v>27027.93</v>
      </c>
    </row>
    <row r="528">
      <c r="A528" s="110">
        <v>80122.0</v>
      </c>
      <c r="B528" s="17">
        <v>13.0</v>
      </c>
      <c r="C528" s="11">
        <v>72.0</v>
      </c>
      <c r="D528" s="11">
        <v>11.0</v>
      </c>
      <c r="E528" s="11">
        <v>3.0</v>
      </c>
      <c r="F528" s="11">
        <v>6.0</v>
      </c>
      <c r="G528" s="215">
        <v>-47249.59</v>
      </c>
      <c r="H528" s="11">
        <v>29.0</v>
      </c>
      <c r="I528" s="109">
        <v>-99438.18</v>
      </c>
    </row>
    <row r="529">
      <c r="A529" s="110">
        <v>11020.0</v>
      </c>
      <c r="B529" s="17">
        <v>85.0</v>
      </c>
      <c r="C529" s="11">
        <v>93.0</v>
      </c>
      <c r="D529" s="11">
        <v>72.0</v>
      </c>
      <c r="E529" s="11">
        <v>8.0</v>
      </c>
      <c r="F529" s="11">
        <v>1.0</v>
      </c>
      <c r="G529" s="215">
        <v>-69448.2</v>
      </c>
      <c r="H529" s="11">
        <v>26.0</v>
      </c>
      <c r="I529" s="109">
        <v>6341.95</v>
      </c>
    </row>
    <row r="530">
      <c r="A530" s="110">
        <v>91416.0</v>
      </c>
      <c r="B530" s="17">
        <v>91.0</v>
      </c>
      <c r="C530" s="11">
        <v>72.0</v>
      </c>
      <c r="D530" s="11">
        <v>11.0</v>
      </c>
      <c r="E530" s="11">
        <v>3.0</v>
      </c>
      <c r="F530" s="11">
        <v>9.0</v>
      </c>
      <c r="G530" s="215">
        <v>20891.11</v>
      </c>
      <c r="H530" s="11">
        <v>29.0</v>
      </c>
      <c r="I530" s="109">
        <v>3737.04</v>
      </c>
    </row>
    <row r="531">
      <c r="A531" s="110">
        <v>110422.0</v>
      </c>
      <c r="B531" s="17">
        <v>16.0</v>
      </c>
      <c r="C531" s="11">
        <v>52.0</v>
      </c>
      <c r="D531" s="11">
        <v>11.0</v>
      </c>
      <c r="E531" s="11">
        <v>4.0</v>
      </c>
      <c r="F531" s="11">
        <v>3.0</v>
      </c>
      <c r="G531" s="215">
        <v>-33277.87</v>
      </c>
      <c r="H531" s="11">
        <v>23.0</v>
      </c>
      <c r="I531" s="109">
        <v>42145.67</v>
      </c>
    </row>
    <row r="532">
      <c r="A532" s="110">
        <v>110216.0</v>
      </c>
      <c r="B532" s="17">
        <v>22.0</v>
      </c>
      <c r="C532" s="11">
        <v>11.0</v>
      </c>
      <c r="D532" s="11">
        <v>31.0</v>
      </c>
      <c r="E532" s="11">
        <v>9.0</v>
      </c>
      <c r="F532" s="11">
        <v>2.0</v>
      </c>
      <c r="G532" s="215">
        <v>-90303.06</v>
      </c>
      <c r="H532" s="11">
        <v>25.0</v>
      </c>
      <c r="I532" s="109">
        <v>24047.05</v>
      </c>
    </row>
    <row r="533">
      <c r="A533" s="110">
        <v>72018.0</v>
      </c>
      <c r="B533" s="17">
        <v>53.0</v>
      </c>
      <c r="C533" s="11">
        <v>93.0</v>
      </c>
      <c r="D533" s="11">
        <v>72.0</v>
      </c>
      <c r="E533" s="11">
        <v>9.0</v>
      </c>
      <c r="F533" s="11">
        <v>2.0</v>
      </c>
      <c r="G533" s="215">
        <v>32238.09</v>
      </c>
      <c r="H533" s="11">
        <v>26.0</v>
      </c>
      <c r="I533" s="109">
        <v>73012.35</v>
      </c>
    </row>
    <row r="534">
      <c r="A534" s="110">
        <v>53119.0</v>
      </c>
      <c r="B534" s="17">
        <v>40.0</v>
      </c>
      <c r="C534" s="11">
        <v>93.0</v>
      </c>
      <c r="D534" s="11">
        <v>31.0</v>
      </c>
      <c r="E534" s="11">
        <v>9.0</v>
      </c>
      <c r="F534" s="11">
        <v>8.0</v>
      </c>
      <c r="G534" s="215">
        <v>-52981.32</v>
      </c>
      <c r="H534" s="11">
        <v>25.0</v>
      </c>
      <c r="I534" s="109">
        <v>54995.92</v>
      </c>
    </row>
    <row r="535">
      <c r="A535" s="110">
        <v>41916.0</v>
      </c>
      <c r="B535" s="17">
        <v>30.0</v>
      </c>
      <c r="C535" s="11">
        <v>11.0</v>
      </c>
      <c r="D535" s="11">
        <v>72.0</v>
      </c>
      <c r="E535" s="11">
        <v>9.0</v>
      </c>
      <c r="F535" s="11">
        <v>5.0</v>
      </c>
      <c r="G535" s="215">
        <v>78020.07</v>
      </c>
      <c r="H535" s="11">
        <v>25.0</v>
      </c>
      <c r="I535" s="109">
        <v>-49785.9</v>
      </c>
    </row>
    <row r="536">
      <c r="A536" s="110">
        <v>41720.0</v>
      </c>
      <c r="B536" s="17">
        <v>89.0</v>
      </c>
      <c r="C536" s="11">
        <v>72.0</v>
      </c>
      <c r="D536" s="11">
        <v>11.0</v>
      </c>
      <c r="E536" s="11">
        <v>5.0</v>
      </c>
      <c r="F536" s="11">
        <v>2.0</v>
      </c>
      <c r="G536" s="215">
        <v>42320.16</v>
      </c>
      <c r="H536" s="11">
        <v>20.0</v>
      </c>
      <c r="I536" s="109">
        <v>61101.43</v>
      </c>
    </row>
    <row r="537">
      <c r="A537" s="110">
        <v>101417.0</v>
      </c>
      <c r="B537" s="17">
        <v>28.0</v>
      </c>
      <c r="C537" s="11">
        <v>11.0</v>
      </c>
      <c r="D537" s="11">
        <v>11.0</v>
      </c>
      <c r="E537" s="11">
        <v>5.0</v>
      </c>
      <c r="F537" s="11">
        <v>7.0</v>
      </c>
      <c r="G537" s="215">
        <v>5501.46</v>
      </c>
      <c r="H537" s="11">
        <v>22.0</v>
      </c>
      <c r="I537" s="109">
        <v>25050.04</v>
      </c>
    </row>
    <row r="538">
      <c r="A538" s="110">
        <v>122922.0</v>
      </c>
      <c r="B538" s="17">
        <v>91.0</v>
      </c>
      <c r="C538" s="11">
        <v>93.0</v>
      </c>
      <c r="D538" s="11">
        <v>93.0</v>
      </c>
      <c r="E538" s="11">
        <v>5.0</v>
      </c>
      <c r="F538" s="11">
        <v>3.0</v>
      </c>
      <c r="G538" s="215">
        <v>54498.71</v>
      </c>
      <c r="H538" s="11">
        <v>24.0</v>
      </c>
      <c r="I538" s="109">
        <v>55557.6</v>
      </c>
    </row>
    <row r="539">
      <c r="A539" s="110">
        <v>42818.0</v>
      </c>
      <c r="B539" s="17">
        <v>54.0</v>
      </c>
      <c r="C539" s="11">
        <v>52.0</v>
      </c>
      <c r="D539" s="11">
        <v>93.0</v>
      </c>
      <c r="E539" s="11">
        <v>5.0</v>
      </c>
      <c r="F539" s="11">
        <v>4.0</v>
      </c>
      <c r="G539" s="215">
        <v>15783.28</v>
      </c>
      <c r="H539" s="11">
        <v>28.0</v>
      </c>
      <c r="I539" s="109">
        <v>-98511.82</v>
      </c>
    </row>
    <row r="540">
      <c r="A540" s="110">
        <v>112814.0</v>
      </c>
      <c r="B540" s="17">
        <v>80.0</v>
      </c>
      <c r="C540" s="11">
        <v>11.0</v>
      </c>
      <c r="D540" s="11">
        <v>32.0</v>
      </c>
      <c r="E540" s="11">
        <v>1.0</v>
      </c>
      <c r="F540" s="11">
        <v>1.0</v>
      </c>
      <c r="G540" s="215">
        <v>68469.78</v>
      </c>
      <c r="H540" s="11">
        <v>25.0</v>
      </c>
      <c r="I540" s="109">
        <v>40199.34</v>
      </c>
    </row>
    <row r="541">
      <c r="A541" s="110">
        <v>110616.0</v>
      </c>
      <c r="B541" s="17">
        <v>56.0</v>
      </c>
      <c r="C541" s="11">
        <v>93.0</v>
      </c>
      <c r="D541" s="11">
        <v>11.0</v>
      </c>
      <c r="E541" s="11">
        <v>6.0</v>
      </c>
      <c r="F541" s="11">
        <v>4.0</v>
      </c>
      <c r="G541" s="215">
        <v>-10121.6</v>
      </c>
      <c r="H541" s="11">
        <v>28.0</v>
      </c>
      <c r="I541" s="109">
        <v>99281.23</v>
      </c>
    </row>
    <row r="542">
      <c r="A542" s="110">
        <v>82515.0</v>
      </c>
      <c r="B542" s="17">
        <v>52.0</v>
      </c>
      <c r="C542" s="11">
        <v>11.0</v>
      </c>
      <c r="D542" s="11">
        <v>93.0</v>
      </c>
      <c r="E542" s="11">
        <v>6.0</v>
      </c>
      <c r="F542" s="11">
        <v>1.0</v>
      </c>
      <c r="G542" s="215">
        <v>-84810.55</v>
      </c>
      <c r="H542" s="11">
        <v>30.0</v>
      </c>
      <c r="I542" s="109">
        <v>-13888.34</v>
      </c>
    </row>
    <row r="543">
      <c r="A543" s="110">
        <v>30813.0</v>
      </c>
      <c r="B543" s="17">
        <v>97.0</v>
      </c>
      <c r="C543" s="11">
        <v>93.0</v>
      </c>
      <c r="D543" s="11">
        <v>73.0</v>
      </c>
      <c r="E543" s="11">
        <v>1.0</v>
      </c>
      <c r="F543" s="11">
        <v>8.0</v>
      </c>
      <c r="G543" s="215">
        <v>31263.39</v>
      </c>
      <c r="H543" s="11">
        <v>29.0</v>
      </c>
      <c r="I543" s="109">
        <v>29679.33</v>
      </c>
    </row>
    <row r="544">
      <c r="A544" s="110">
        <v>62523.0</v>
      </c>
      <c r="B544" s="17">
        <v>56.0</v>
      </c>
      <c r="C544" s="11">
        <v>11.0</v>
      </c>
      <c r="D544" s="11">
        <v>93.0</v>
      </c>
      <c r="E544" s="11">
        <v>6.0</v>
      </c>
      <c r="F544" s="11">
        <v>7.0</v>
      </c>
      <c r="G544" s="215">
        <v>41621.73</v>
      </c>
      <c r="H544" s="11">
        <v>22.0</v>
      </c>
      <c r="I544" s="109">
        <v>68611.05</v>
      </c>
    </row>
    <row r="545">
      <c r="A545" s="110">
        <v>101023.0</v>
      </c>
      <c r="B545" s="17">
        <v>56.0</v>
      </c>
      <c r="C545" s="11">
        <v>52.0</v>
      </c>
      <c r="D545" s="11">
        <v>93.0</v>
      </c>
      <c r="E545" s="11">
        <v>6.0</v>
      </c>
      <c r="F545" s="11">
        <v>8.0</v>
      </c>
      <c r="G545" s="215">
        <v>-24481.48</v>
      </c>
      <c r="H545" s="11">
        <v>27.0</v>
      </c>
      <c r="I545" s="109">
        <v>43890.53</v>
      </c>
    </row>
    <row r="546">
      <c r="A546" s="110">
        <v>72716.0</v>
      </c>
      <c r="B546" s="17">
        <v>18.0</v>
      </c>
      <c r="C546" s="11">
        <v>52.0</v>
      </c>
      <c r="D546" s="11">
        <v>32.0</v>
      </c>
      <c r="E546" s="11">
        <v>2.0</v>
      </c>
      <c r="F546" s="11">
        <v>6.0</v>
      </c>
      <c r="G546" s="215">
        <v>-50981.95</v>
      </c>
      <c r="H546" s="11">
        <v>20.0</v>
      </c>
      <c r="I546" s="109">
        <v>49956.47</v>
      </c>
    </row>
    <row r="547">
      <c r="A547" s="110">
        <v>122418.0</v>
      </c>
      <c r="B547" s="17">
        <v>59.0</v>
      </c>
      <c r="C547" s="11">
        <v>52.0</v>
      </c>
      <c r="D547" s="11">
        <v>32.0</v>
      </c>
      <c r="E547" s="11">
        <v>3.0</v>
      </c>
      <c r="F547" s="11">
        <v>2.0</v>
      </c>
      <c r="G547" s="215">
        <v>41783.45</v>
      </c>
      <c r="H547" s="11">
        <v>30.0</v>
      </c>
      <c r="I547" s="109">
        <v>-11664.28</v>
      </c>
    </row>
    <row r="548">
      <c r="A548" s="110">
        <v>62215.0</v>
      </c>
      <c r="B548" s="17">
        <v>41.0</v>
      </c>
      <c r="C548" s="11">
        <v>32.0</v>
      </c>
      <c r="D548" s="11">
        <v>11.0</v>
      </c>
      <c r="E548" s="11">
        <v>8.0</v>
      </c>
      <c r="F548" s="11">
        <v>5.0</v>
      </c>
      <c r="G548" s="215">
        <v>4889.51</v>
      </c>
      <c r="H548" s="11">
        <v>30.0</v>
      </c>
      <c r="I548" s="109">
        <v>10295.08</v>
      </c>
    </row>
    <row r="549">
      <c r="A549" s="110">
        <v>102519.0</v>
      </c>
      <c r="B549" s="17">
        <v>83.0</v>
      </c>
      <c r="C549" s="11">
        <v>73.0</v>
      </c>
      <c r="D549" s="11">
        <v>32.0</v>
      </c>
      <c r="E549" s="11">
        <v>3.0</v>
      </c>
      <c r="F549" s="11">
        <v>5.0</v>
      </c>
      <c r="G549" s="215">
        <v>-49048.87</v>
      </c>
      <c r="H549" s="11">
        <v>26.0</v>
      </c>
      <c r="I549" s="109">
        <v>-92206.44</v>
      </c>
    </row>
    <row r="550">
      <c r="A550" s="110">
        <v>33120.0</v>
      </c>
      <c r="B550" s="17">
        <v>49.0</v>
      </c>
      <c r="C550" s="11">
        <v>52.0</v>
      </c>
      <c r="D550" s="11">
        <v>73.0</v>
      </c>
      <c r="E550" s="11">
        <v>3.0</v>
      </c>
      <c r="F550" s="11">
        <v>3.0</v>
      </c>
      <c r="G550" s="215">
        <v>-80275.4</v>
      </c>
      <c r="H550" s="11">
        <v>27.0</v>
      </c>
      <c r="I550" s="109">
        <v>-4196.61</v>
      </c>
    </row>
    <row r="551">
      <c r="A551" s="110">
        <v>51522.0</v>
      </c>
      <c r="B551" s="17">
        <v>36.0</v>
      </c>
      <c r="C551" s="11">
        <v>73.0</v>
      </c>
      <c r="D551" s="11">
        <v>11.0</v>
      </c>
      <c r="E551" s="11">
        <v>8.0</v>
      </c>
      <c r="F551" s="11">
        <v>9.0</v>
      </c>
      <c r="G551" s="215">
        <v>95327.27</v>
      </c>
      <c r="H551" s="11">
        <v>30.0</v>
      </c>
      <c r="I551" s="109">
        <v>94223.53</v>
      </c>
    </row>
    <row r="552">
      <c r="A552" s="110">
        <v>50513.0</v>
      </c>
      <c r="B552" s="17">
        <v>18.0</v>
      </c>
      <c r="C552" s="11">
        <v>73.0</v>
      </c>
      <c r="D552" s="11">
        <v>52.0</v>
      </c>
      <c r="E552" s="11">
        <v>8.0</v>
      </c>
      <c r="F552" s="11">
        <v>9.0</v>
      </c>
      <c r="G552" s="215">
        <v>11801.46</v>
      </c>
      <c r="H552" s="11">
        <v>20.0</v>
      </c>
      <c r="I552" s="109">
        <v>-268.94</v>
      </c>
    </row>
    <row r="553">
      <c r="A553" s="110">
        <v>42219.0</v>
      </c>
      <c r="B553" s="17">
        <v>29.0</v>
      </c>
      <c r="C553" s="11">
        <v>11.0</v>
      </c>
      <c r="D553" s="11">
        <v>11.0</v>
      </c>
      <c r="E553" s="11">
        <v>9.0</v>
      </c>
      <c r="F553" s="11">
        <v>4.0</v>
      </c>
      <c r="G553" s="215">
        <v>-91703.99</v>
      </c>
      <c r="H553" s="11">
        <v>21.0</v>
      </c>
      <c r="I553" s="109">
        <v>86195.95</v>
      </c>
    </row>
    <row r="554">
      <c r="A554" s="110">
        <v>22813.0</v>
      </c>
      <c r="B554" s="17">
        <v>55.0</v>
      </c>
      <c r="C554" s="11">
        <v>52.0</v>
      </c>
      <c r="D554" s="11">
        <v>32.0</v>
      </c>
      <c r="E554" s="11">
        <v>4.0</v>
      </c>
      <c r="F554" s="11">
        <v>3.0</v>
      </c>
      <c r="G554" s="215">
        <v>22705.58</v>
      </c>
      <c r="H554" s="11">
        <v>25.0</v>
      </c>
      <c r="I554" s="109">
        <v>-31749.64</v>
      </c>
    </row>
    <row r="555">
      <c r="A555" s="110">
        <v>30813.0</v>
      </c>
      <c r="B555" s="17">
        <v>14.0</v>
      </c>
      <c r="C555" s="11">
        <v>11.0</v>
      </c>
      <c r="D555" s="11">
        <v>93.0</v>
      </c>
      <c r="E555" s="11">
        <v>8.0</v>
      </c>
      <c r="F555" s="11">
        <v>8.0</v>
      </c>
      <c r="G555" s="215">
        <v>-42620.36</v>
      </c>
      <c r="H555" s="11">
        <v>24.0</v>
      </c>
      <c r="I555" s="109">
        <v>-63870.85</v>
      </c>
    </row>
    <row r="556">
      <c r="A556" s="110">
        <v>60617.0</v>
      </c>
      <c r="B556" s="17">
        <v>44.0</v>
      </c>
      <c r="C556" s="11">
        <v>32.0</v>
      </c>
      <c r="D556" s="11">
        <v>32.0</v>
      </c>
      <c r="E556" s="11">
        <v>4.0</v>
      </c>
      <c r="F556" s="11">
        <v>6.0</v>
      </c>
      <c r="G556" s="215">
        <v>-38781.67</v>
      </c>
      <c r="H556" s="11">
        <v>22.0</v>
      </c>
      <c r="I556" s="109">
        <v>41010.8</v>
      </c>
    </row>
    <row r="557">
      <c r="A557" s="110">
        <v>122720.0</v>
      </c>
      <c r="B557" s="17">
        <v>97.0</v>
      </c>
      <c r="C557" s="11">
        <v>93.0</v>
      </c>
      <c r="D557" s="11">
        <v>32.0</v>
      </c>
      <c r="E557" s="11">
        <v>4.0</v>
      </c>
      <c r="F557" s="11">
        <v>7.0</v>
      </c>
      <c r="G557" s="215">
        <v>87383.01</v>
      </c>
      <c r="H557" s="11">
        <v>20.0</v>
      </c>
      <c r="I557" s="109">
        <v>28788.05</v>
      </c>
    </row>
    <row r="558">
      <c r="A558" s="110">
        <v>91318.0</v>
      </c>
      <c r="B558" s="17">
        <v>50.0</v>
      </c>
      <c r="C558" s="11">
        <v>11.0</v>
      </c>
      <c r="D558" s="11">
        <v>73.0</v>
      </c>
      <c r="E558" s="11">
        <v>4.0</v>
      </c>
      <c r="F558" s="11">
        <v>5.0</v>
      </c>
      <c r="G558" s="215">
        <v>5345.81</v>
      </c>
      <c r="H558" s="11">
        <v>24.0</v>
      </c>
      <c r="I558" s="109">
        <v>-97622.2</v>
      </c>
    </row>
    <row r="559">
      <c r="A559" s="110">
        <v>40821.0</v>
      </c>
      <c r="B559" s="17">
        <v>34.0</v>
      </c>
      <c r="C559" s="11">
        <v>73.0</v>
      </c>
      <c r="D559" s="11">
        <v>93.0</v>
      </c>
      <c r="E559" s="11">
        <v>9.0</v>
      </c>
      <c r="F559" s="11">
        <v>4.0</v>
      </c>
      <c r="G559" s="215">
        <v>-59403.76</v>
      </c>
      <c r="H559" s="11">
        <v>28.0</v>
      </c>
      <c r="I559" s="109">
        <v>-68322.51</v>
      </c>
    </row>
    <row r="560">
      <c r="A560" s="110">
        <v>42617.0</v>
      </c>
      <c r="B560" s="17">
        <v>7.0</v>
      </c>
      <c r="C560" s="11">
        <v>32.0</v>
      </c>
      <c r="D560" s="11">
        <v>73.0</v>
      </c>
      <c r="E560" s="11">
        <v>4.0</v>
      </c>
      <c r="F560" s="11">
        <v>6.0</v>
      </c>
      <c r="G560" s="215">
        <v>-3910.72</v>
      </c>
      <c r="H560" s="11">
        <v>20.0</v>
      </c>
      <c r="I560" s="109">
        <v>20440.15</v>
      </c>
    </row>
    <row r="561">
      <c r="A561" s="110">
        <v>70519.0</v>
      </c>
      <c r="B561" s="17">
        <v>74.0</v>
      </c>
      <c r="C561" s="11">
        <v>52.0</v>
      </c>
      <c r="D561" s="11">
        <v>93.0</v>
      </c>
      <c r="E561" s="11">
        <v>9.0</v>
      </c>
      <c r="F561" s="11">
        <v>8.0</v>
      </c>
      <c r="G561" s="215">
        <v>48928.09</v>
      </c>
      <c r="H561" s="11">
        <v>23.0</v>
      </c>
      <c r="I561" s="109">
        <v>-39188.72</v>
      </c>
    </row>
    <row r="562">
      <c r="A562" s="110">
        <v>80819.0</v>
      </c>
      <c r="B562" s="17">
        <v>8.0</v>
      </c>
      <c r="C562" s="11">
        <v>93.0</v>
      </c>
      <c r="D562" s="11">
        <v>32.0</v>
      </c>
      <c r="E562" s="11">
        <v>5.0</v>
      </c>
      <c r="F562" s="11">
        <v>4.0</v>
      </c>
      <c r="G562" s="215">
        <v>70603.51</v>
      </c>
      <c r="H562" s="11">
        <v>28.0</v>
      </c>
      <c r="I562" s="109">
        <v>-65228.09</v>
      </c>
    </row>
    <row r="563">
      <c r="A563" s="110">
        <v>52314.0</v>
      </c>
      <c r="B563" s="17">
        <v>55.0</v>
      </c>
      <c r="C563" s="11">
        <v>73.0</v>
      </c>
      <c r="D563" s="11">
        <v>32.0</v>
      </c>
      <c r="E563" s="11">
        <v>5.0</v>
      </c>
      <c r="F563" s="11">
        <v>5.0</v>
      </c>
      <c r="G563" s="215">
        <v>-6613.4</v>
      </c>
      <c r="H563" s="11">
        <v>28.0</v>
      </c>
      <c r="I563" s="109">
        <v>96546.24</v>
      </c>
    </row>
    <row r="564">
      <c r="A564" s="110">
        <v>10117.0</v>
      </c>
      <c r="B564" s="17">
        <v>23.0</v>
      </c>
      <c r="C564" s="11">
        <v>93.0</v>
      </c>
      <c r="D564" s="11">
        <v>73.0</v>
      </c>
      <c r="E564" s="11">
        <v>5.0</v>
      </c>
      <c r="F564" s="11">
        <v>4.0</v>
      </c>
      <c r="G564" s="215">
        <v>13939.13</v>
      </c>
      <c r="H564" s="11">
        <v>25.0</v>
      </c>
      <c r="I564" s="109">
        <v>-81874.05</v>
      </c>
    </row>
    <row r="565">
      <c r="A565" s="110">
        <v>12519.0</v>
      </c>
      <c r="B565" s="17">
        <v>80.0</v>
      </c>
      <c r="C565" s="11">
        <v>93.0</v>
      </c>
      <c r="D565" s="11">
        <v>73.0</v>
      </c>
      <c r="E565" s="11">
        <v>5.0</v>
      </c>
      <c r="F565" s="11">
        <v>6.0</v>
      </c>
      <c r="G565" s="215">
        <v>90693.64</v>
      </c>
      <c r="H565" s="11">
        <v>22.0</v>
      </c>
      <c r="I565" s="109">
        <v>36647.42</v>
      </c>
    </row>
    <row r="566">
      <c r="A566" s="110">
        <v>92223.0</v>
      </c>
      <c r="B566" s="17">
        <v>95.0</v>
      </c>
      <c r="C566" s="11">
        <v>53.0</v>
      </c>
      <c r="D566" s="11">
        <v>12.0</v>
      </c>
      <c r="E566" s="11">
        <v>1.0</v>
      </c>
      <c r="F566" s="11">
        <v>3.0</v>
      </c>
      <c r="G566" s="215">
        <v>92599.02</v>
      </c>
      <c r="H566" s="11">
        <v>24.0</v>
      </c>
      <c r="I566" s="109">
        <v>-87114.61</v>
      </c>
    </row>
    <row r="567">
      <c r="A567" s="110">
        <v>121418.0</v>
      </c>
      <c r="B567" s="17">
        <v>49.0</v>
      </c>
      <c r="C567" s="11">
        <v>12.0</v>
      </c>
      <c r="D567" s="11">
        <v>73.0</v>
      </c>
      <c r="E567" s="11">
        <v>5.0</v>
      </c>
      <c r="F567" s="11">
        <v>7.0</v>
      </c>
      <c r="G567" s="215">
        <v>38158.95</v>
      </c>
      <c r="H567" s="11">
        <v>28.0</v>
      </c>
      <c r="I567" s="109">
        <v>83463.5</v>
      </c>
    </row>
    <row r="568">
      <c r="A568" s="110">
        <v>32723.0</v>
      </c>
      <c r="B568" s="17">
        <v>12.0</v>
      </c>
      <c r="C568" s="11">
        <v>32.0</v>
      </c>
      <c r="D568" s="11">
        <v>32.0</v>
      </c>
      <c r="E568" s="11">
        <v>6.0</v>
      </c>
      <c r="F568" s="11">
        <v>3.0</v>
      </c>
      <c r="G568" s="215">
        <v>-27565.92</v>
      </c>
      <c r="H568" s="11">
        <v>30.0</v>
      </c>
      <c r="I568" s="109">
        <v>81171.84</v>
      </c>
    </row>
    <row r="569">
      <c r="A569" s="110">
        <v>61417.0</v>
      </c>
      <c r="B569" s="17">
        <v>2.0</v>
      </c>
      <c r="C569" s="11">
        <v>94.0</v>
      </c>
      <c r="D569" s="11">
        <v>12.0</v>
      </c>
      <c r="E569" s="11">
        <v>1.0</v>
      </c>
      <c r="F569" s="11">
        <v>7.0</v>
      </c>
      <c r="G569" s="215">
        <v>-67852.67</v>
      </c>
      <c r="H569" s="11">
        <v>22.0</v>
      </c>
      <c r="I569" s="109">
        <v>86239.1</v>
      </c>
    </row>
    <row r="570">
      <c r="A570" s="110">
        <v>83118.0</v>
      </c>
      <c r="B570" s="17">
        <v>95.0</v>
      </c>
      <c r="C570" s="11">
        <v>73.0</v>
      </c>
      <c r="D570" s="11">
        <v>32.0</v>
      </c>
      <c r="E570" s="11">
        <v>6.0</v>
      </c>
      <c r="F570" s="11">
        <v>6.0</v>
      </c>
      <c r="G570" s="215">
        <v>81684.34</v>
      </c>
      <c r="H570" s="11">
        <v>23.0</v>
      </c>
      <c r="I570" s="109">
        <v>23963.94</v>
      </c>
    </row>
    <row r="571">
      <c r="A571" s="110">
        <v>82321.0</v>
      </c>
      <c r="B571" s="17">
        <v>4.0</v>
      </c>
      <c r="C571" s="11">
        <v>73.0</v>
      </c>
      <c r="D571" s="11">
        <v>12.0</v>
      </c>
      <c r="E571" s="11">
        <v>1.0</v>
      </c>
      <c r="F571" s="11">
        <v>9.0</v>
      </c>
      <c r="G571" s="215">
        <v>-28835.88</v>
      </c>
      <c r="H571" s="11">
        <v>28.0</v>
      </c>
      <c r="I571" s="109">
        <v>20616.03</v>
      </c>
    </row>
    <row r="572">
      <c r="A572" s="110">
        <v>31414.0</v>
      </c>
      <c r="B572" s="17">
        <v>61.0</v>
      </c>
      <c r="C572" s="11">
        <v>73.0</v>
      </c>
      <c r="D572" s="11">
        <v>94.0</v>
      </c>
      <c r="E572" s="11">
        <v>1.0</v>
      </c>
      <c r="F572" s="11">
        <v>2.0</v>
      </c>
      <c r="G572" s="215">
        <v>61140.91</v>
      </c>
      <c r="H572" s="11">
        <v>22.0</v>
      </c>
      <c r="I572" s="109">
        <v>-57783.41</v>
      </c>
    </row>
    <row r="573">
      <c r="A573" s="110">
        <v>100922.0</v>
      </c>
      <c r="B573" s="17">
        <v>49.0</v>
      </c>
      <c r="C573" s="11">
        <v>12.0</v>
      </c>
      <c r="D573" s="11">
        <v>32.0</v>
      </c>
      <c r="E573" s="11">
        <v>6.0</v>
      </c>
      <c r="F573" s="11">
        <v>9.0</v>
      </c>
      <c r="G573" s="215">
        <v>98009.48</v>
      </c>
      <c r="H573" s="11">
        <v>29.0</v>
      </c>
      <c r="I573" s="109">
        <v>85155.99</v>
      </c>
    </row>
    <row r="574">
      <c r="A574" s="110">
        <v>42517.0</v>
      </c>
      <c r="B574" s="17">
        <v>48.0</v>
      </c>
      <c r="C574" s="11">
        <v>32.0</v>
      </c>
      <c r="D574" s="11">
        <v>73.0</v>
      </c>
      <c r="E574" s="11">
        <v>6.0</v>
      </c>
      <c r="F574" s="11">
        <v>6.0</v>
      </c>
      <c r="G574" s="215">
        <v>-34882.38</v>
      </c>
      <c r="H574" s="11">
        <v>23.0</v>
      </c>
      <c r="I574" s="109">
        <v>25433.67</v>
      </c>
    </row>
    <row r="575">
      <c r="A575" s="110">
        <v>50718.0</v>
      </c>
      <c r="B575" s="17">
        <v>35.0</v>
      </c>
      <c r="C575" s="11">
        <v>53.0</v>
      </c>
      <c r="D575" s="11">
        <v>94.0</v>
      </c>
      <c r="E575" s="11">
        <v>1.0</v>
      </c>
      <c r="F575" s="11">
        <v>1.0</v>
      </c>
      <c r="G575" s="215">
        <v>-35547.12</v>
      </c>
      <c r="H575" s="11">
        <v>28.0</v>
      </c>
      <c r="I575" s="109">
        <v>-80886.29</v>
      </c>
    </row>
    <row r="576">
      <c r="A576" s="110">
        <v>12520.0</v>
      </c>
      <c r="B576" s="17">
        <v>76.0</v>
      </c>
      <c r="C576" s="11">
        <v>32.0</v>
      </c>
      <c r="D576" s="11">
        <v>73.0</v>
      </c>
      <c r="E576" s="11">
        <v>6.0</v>
      </c>
      <c r="F576" s="11">
        <v>8.0</v>
      </c>
      <c r="G576" s="215">
        <v>-6281.91</v>
      </c>
      <c r="H576" s="11">
        <v>25.0</v>
      </c>
      <c r="I576" s="109">
        <v>54266.63</v>
      </c>
    </row>
    <row r="577">
      <c r="A577" s="110">
        <v>80721.0</v>
      </c>
      <c r="B577" s="17">
        <v>54.0</v>
      </c>
      <c r="C577" s="11">
        <v>53.0</v>
      </c>
      <c r="D577" s="11">
        <v>32.0</v>
      </c>
      <c r="E577" s="11">
        <v>7.0</v>
      </c>
      <c r="F577" s="11">
        <v>2.0</v>
      </c>
      <c r="G577" s="215">
        <v>59638.56</v>
      </c>
      <c r="H577" s="11">
        <v>30.0</v>
      </c>
      <c r="I577" s="109">
        <v>-96353.76</v>
      </c>
    </row>
    <row r="578">
      <c r="A578" s="110">
        <v>92816.0</v>
      </c>
      <c r="B578" s="17">
        <v>3.0</v>
      </c>
      <c r="C578" s="11">
        <v>12.0</v>
      </c>
      <c r="D578" s="11">
        <v>94.0</v>
      </c>
      <c r="E578" s="11">
        <v>1.0</v>
      </c>
      <c r="F578" s="11">
        <v>4.0</v>
      </c>
      <c r="G578" s="215">
        <v>-1796.55</v>
      </c>
      <c r="H578" s="11">
        <v>26.0</v>
      </c>
      <c r="I578" s="109">
        <v>-63432.26</v>
      </c>
    </row>
    <row r="579">
      <c r="A579" s="110">
        <v>110915.0</v>
      </c>
      <c r="B579" s="17">
        <v>78.0</v>
      </c>
      <c r="C579" s="11">
        <v>12.0</v>
      </c>
      <c r="D579" s="11">
        <v>73.0</v>
      </c>
      <c r="E579" s="11">
        <v>7.0</v>
      </c>
      <c r="F579" s="11">
        <v>1.0</v>
      </c>
      <c r="G579" s="215">
        <v>92809.55</v>
      </c>
      <c r="H579" s="11">
        <v>28.0</v>
      </c>
      <c r="I579" s="109">
        <v>3060.34</v>
      </c>
    </row>
    <row r="580">
      <c r="A580" s="110">
        <v>51420.0</v>
      </c>
      <c r="B580" s="17">
        <v>98.0</v>
      </c>
      <c r="C580" s="11">
        <v>12.0</v>
      </c>
      <c r="D580" s="11">
        <v>94.0</v>
      </c>
      <c r="E580" s="11">
        <v>2.0</v>
      </c>
      <c r="F580" s="11">
        <v>1.0</v>
      </c>
      <c r="G580" s="215">
        <v>44309.16</v>
      </c>
      <c r="H580" s="11">
        <v>26.0</v>
      </c>
      <c r="I580" s="109">
        <v>72106.39</v>
      </c>
    </row>
    <row r="581">
      <c r="A581" s="110">
        <v>50823.0</v>
      </c>
      <c r="B581" s="17">
        <v>78.0</v>
      </c>
      <c r="C581" s="11">
        <v>94.0</v>
      </c>
      <c r="D581" s="11">
        <v>73.0</v>
      </c>
      <c r="E581" s="11">
        <v>7.0</v>
      </c>
      <c r="F581" s="11">
        <v>5.0</v>
      </c>
      <c r="G581" s="215">
        <v>-3876.66</v>
      </c>
      <c r="H581" s="11">
        <v>24.0</v>
      </c>
      <c r="I581" s="109">
        <v>7075.62</v>
      </c>
    </row>
    <row r="582">
      <c r="A582" s="110">
        <v>111223.0</v>
      </c>
      <c r="B582" s="17">
        <v>67.0</v>
      </c>
      <c r="C582" s="11">
        <v>53.0</v>
      </c>
      <c r="D582" s="11">
        <v>12.0</v>
      </c>
      <c r="E582" s="11">
        <v>3.0</v>
      </c>
      <c r="F582" s="11">
        <v>1.0</v>
      </c>
      <c r="G582" s="215">
        <v>-44225.04</v>
      </c>
      <c r="H582" s="11">
        <v>21.0</v>
      </c>
      <c r="I582" s="109">
        <v>29777.17</v>
      </c>
    </row>
    <row r="583">
      <c r="A583" s="110">
        <v>32413.0</v>
      </c>
      <c r="B583" s="17">
        <v>72.0</v>
      </c>
      <c r="C583" s="11">
        <v>32.0</v>
      </c>
      <c r="D583" s="11">
        <v>32.0</v>
      </c>
      <c r="E583" s="11">
        <v>8.0</v>
      </c>
      <c r="F583" s="11">
        <v>1.0</v>
      </c>
      <c r="G583" s="215">
        <v>6896.23</v>
      </c>
      <c r="H583" s="11">
        <v>26.0</v>
      </c>
      <c r="I583" s="109">
        <v>-28826.85</v>
      </c>
    </row>
    <row r="584">
      <c r="A584" s="110">
        <v>102521.0</v>
      </c>
      <c r="B584" s="17">
        <v>57.0</v>
      </c>
      <c r="C584" s="11">
        <v>73.0</v>
      </c>
      <c r="D584" s="11">
        <v>94.0</v>
      </c>
      <c r="E584" s="11">
        <v>2.0</v>
      </c>
      <c r="F584" s="11">
        <v>6.0</v>
      </c>
      <c r="G584" s="215">
        <v>-26342.66</v>
      </c>
      <c r="H584" s="11">
        <v>21.0</v>
      </c>
      <c r="I584" s="109">
        <v>11552.88</v>
      </c>
    </row>
    <row r="585">
      <c r="A585" s="110">
        <v>21021.0</v>
      </c>
      <c r="B585" s="17">
        <v>17.0</v>
      </c>
      <c r="C585" s="11">
        <v>94.0</v>
      </c>
      <c r="D585" s="11">
        <v>12.0</v>
      </c>
      <c r="E585" s="11">
        <v>3.0</v>
      </c>
      <c r="F585" s="11">
        <v>4.0</v>
      </c>
      <c r="G585" s="215">
        <v>-56854.97</v>
      </c>
      <c r="H585" s="11">
        <v>25.0</v>
      </c>
      <c r="I585" s="109">
        <v>-22409.6</v>
      </c>
    </row>
    <row r="586">
      <c r="A586" s="110">
        <v>73017.0</v>
      </c>
      <c r="B586" s="17">
        <v>81.0</v>
      </c>
      <c r="C586" s="11">
        <v>73.0</v>
      </c>
      <c r="D586" s="11">
        <v>32.0</v>
      </c>
      <c r="E586" s="11">
        <v>8.0</v>
      </c>
      <c r="F586" s="11">
        <v>4.0</v>
      </c>
      <c r="G586" s="215">
        <v>-24697.52</v>
      </c>
      <c r="H586" s="11">
        <v>30.0</v>
      </c>
      <c r="I586" s="109">
        <v>54735.12</v>
      </c>
    </row>
    <row r="587">
      <c r="A587" s="110">
        <v>11420.0</v>
      </c>
      <c r="B587" s="17">
        <v>62.0</v>
      </c>
      <c r="C587" s="11">
        <v>73.0</v>
      </c>
      <c r="D587" s="11">
        <v>12.0</v>
      </c>
      <c r="E587" s="11">
        <v>3.0</v>
      </c>
      <c r="F587" s="11">
        <v>6.0</v>
      </c>
      <c r="G587" s="215">
        <v>18906.61</v>
      </c>
      <c r="H587" s="11">
        <v>27.0</v>
      </c>
      <c r="I587" s="109">
        <v>-61502.04</v>
      </c>
    </row>
    <row r="588">
      <c r="A588" s="110">
        <v>82323.0</v>
      </c>
      <c r="B588" s="17">
        <v>1.0</v>
      </c>
      <c r="C588" s="11">
        <v>53.0</v>
      </c>
      <c r="D588" s="11">
        <v>32.0</v>
      </c>
      <c r="E588" s="11">
        <v>8.0</v>
      </c>
      <c r="F588" s="11">
        <v>8.0</v>
      </c>
      <c r="G588" s="215">
        <v>-88547.81</v>
      </c>
      <c r="H588" s="11">
        <v>24.0</v>
      </c>
      <c r="I588" s="109">
        <v>-39260.23</v>
      </c>
    </row>
    <row r="589">
      <c r="A589" s="110">
        <v>70923.0</v>
      </c>
      <c r="B589" s="17">
        <v>36.0</v>
      </c>
      <c r="C589" s="11">
        <v>73.0</v>
      </c>
      <c r="D589" s="11">
        <v>32.0</v>
      </c>
      <c r="E589" s="11">
        <v>8.0</v>
      </c>
      <c r="F589" s="11">
        <v>9.0</v>
      </c>
      <c r="G589" s="215">
        <v>-36679.49</v>
      </c>
      <c r="H589" s="11">
        <v>24.0</v>
      </c>
      <c r="I589" s="109">
        <v>99193.37</v>
      </c>
    </row>
    <row r="590">
      <c r="A590" s="110">
        <v>31620.0</v>
      </c>
      <c r="B590" s="17">
        <v>99.0</v>
      </c>
      <c r="C590" s="11">
        <v>94.0</v>
      </c>
      <c r="D590" s="11">
        <v>12.0</v>
      </c>
      <c r="E590" s="11">
        <v>4.0</v>
      </c>
      <c r="F590" s="11">
        <v>3.0</v>
      </c>
      <c r="G590" s="215">
        <v>-44035.89</v>
      </c>
      <c r="H590" s="11">
        <v>22.0</v>
      </c>
      <c r="I590" s="109">
        <v>7893.61</v>
      </c>
    </row>
    <row r="591">
      <c r="A591" s="110">
        <v>71519.0</v>
      </c>
      <c r="B591" s="17">
        <v>82.0</v>
      </c>
      <c r="C591" s="11">
        <v>12.0</v>
      </c>
      <c r="D591" s="11">
        <v>73.0</v>
      </c>
      <c r="E591" s="11">
        <v>8.0</v>
      </c>
      <c r="F591" s="11">
        <v>9.0</v>
      </c>
      <c r="G591" s="215">
        <v>-30112.15</v>
      </c>
      <c r="H591" s="11">
        <v>30.0</v>
      </c>
      <c r="I591" s="109">
        <v>87010.78</v>
      </c>
    </row>
    <row r="592">
      <c r="A592" s="110">
        <v>50620.0</v>
      </c>
      <c r="B592" s="17">
        <v>4.0</v>
      </c>
      <c r="C592" s="11">
        <v>53.0</v>
      </c>
      <c r="D592" s="11">
        <v>73.0</v>
      </c>
      <c r="E592" s="11">
        <v>9.0</v>
      </c>
      <c r="F592" s="11">
        <v>3.0</v>
      </c>
      <c r="G592" s="215">
        <v>-22267.34</v>
      </c>
      <c r="H592" s="11">
        <v>25.0</v>
      </c>
      <c r="I592" s="109">
        <v>77757.98</v>
      </c>
    </row>
    <row r="593">
      <c r="A593" s="110">
        <v>20519.0</v>
      </c>
      <c r="B593" s="17">
        <v>40.0</v>
      </c>
      <c r="C593" s="11">
        <v>12.0</v>
      </c>
      <c r="D593" s="11">
        <v>94.0</v>
      </c>
      <c r="E593" s="11">
        <v>4.0</v>
      </c>
      <c r="F593" s="11">
        <v>2.0</v>
      </c>
      <c r="G593" s="215">
        <v>-5205.94</v>
      </c>
      <c r="H593" s="11">
        <v>30.0</v>
      </c>
      <c r="I593" s="109">
        <v>-15031.27</v>
      </c>
    </row>
    <row r="594">
      <c r="A594" s="110">
        <v>101218.0</v>
      </c>
      <c r="B594" s="17">
        <v>63.0</v>
      </c>
      <c r="C594" s="11">
        <v>94.0</v>
      </c>
      <c r="D594" s="11">
        <v>53.0</v>
      </c>
      <c r="E594" s="11">
        <v>4.0</v>
      </c>
      <c r="F594" s="11">
        <v>7.0</v>
      </c>
      <c r="G594" s="215">
        <v>-22597.91</v>
      </c>
      <c r="H594" s="11">
        <v>21.0</v>
      </c>
      <c r="I594" s="109">
        <v>22434.0</v>
      </c>
    </row>
    <row r="595">
      <c r="A595" s="110">
        <v>102514.0</v>
      </c>
      <c r="B595" s="17">
        <v>97.0</v>
      </c>
      <c r="C595" s="11">
        <v>94.0</v>
      </c>
      <c r="D595" s="11">
        <v>53.0</v>
      </c>
      <c r="E595" s="11">
        <v>4.0</v>
      </c>
      <c r="F595" s="11">
        <v>5.0</v>
      </c>
      <c r="G595" s="215">
        <v>-96050.78</v>
      </c>
      <c r="H595" s="11">
        <v>23.0</v>
      </c>
      <c r="I595" s="109">
        <v>79181.8</v>
      </c>
    </row>
    <row r="596">
      <c r="A596" s="110">
        <v>50821.0</v>
      </c>
      <c r="B596" s="17">
        <v>77.0</v>
      </c>
      <c r="C596" s="11">
        <v>53.0</v>
      </c>
      <c r="D596" s="11">
        <v>32.0</v>
      </c>
      <c r="E596" s="11">
        <v>9.0</v>
      </c>
      <c r="F596" s="11">
        <v>8.0</v>
      </c>
      <c r="G596" s="215">
        <v>-69599.04</v>
      </c>
      <c r="H596" s="11">
        <v>24.0</v>
      </c>
      <c r="I596" s="109">
        <v>42534.45</v>
      </c>
    </row>
    <row r="597">
      <c r="A597" s="110">
        <v>60513.0</v>
      </c>
      <c r="B597" s="17">
        <v>76.0</v>
      </c>
      <c r="C597" s="11">
        <v>94.0</v>
      </c>
      <c r="D597" s="11">
        <v>53.0</v>
      </c>
      <c r="E597" s="11">
        <v>5.0</v>
      </c>
      <c r="F597" s="11">
        <v>4.0</v>
      </c>
      <c r="G597" s="215">
        <v>-3728.54</v>
      </c>
      <c r="H597" s="11">
        <v>25.0</v>
      </c>
      <c r="I597" s="109">
        <v>-39298.62</v>
      </c>
    </row>
    <row r="598">
      <c r="A598" s="110">
        <v>122215.0</v>
      </c>
      <c r="B598" s="17">
        <v>10.0</v>
      </c>
      <c r="C598" s="11">
        <v>94.0</v>
      </c>
      <c r="D598" s="11">
        <v>12.0</v>
      </c>
      <c r="E598" s="11">
        <v>5.0</v>
      </c>
      <c r="F598" s="11">
        <v>9.0</v>
      </c>
      <c r="G598" s="215">
        <v>-85924.23</v>
      </c>
      <c r="H598" s="11">
        <v>30.0</v>
      </c>
      <c r="I598" s="109">
        <v>-74835.56</v>
      </c>
    </row>
    <row r="599">
      <c r="A599" s="110">
        <v>111121.0</v>
      </c>
      <c r="B599" s="17">
        <v>32.0</v>
      </c>
      <c r="C599" s="11">
        <v>94.0</v>
      </c>
      <c r="D599" s="11">
        <v>12.0</v>
      </c>
      <c r="E599" s="11">
        <v>6.0</v>
      </c>
      <c r="F599" s="11">
        <v>3.0</v>
      </c>
      <c r="G599" s="215">
        <v>-55213.88</v>
      </c>
      <c r="H599" s="11">
        <v>27.0</v>
      </c>
      <c r="I599" s="109">
        <v>34991.85</v>
      </c>
    </row>
    <row r="600">
      <c r="A600" s="110">
        <v>42723.0</v>
      </c>
      <c r="B600" s="17">
        <v>25.0</v>
      </c>
      <c r="C600" s="11">
        <v>33.0</v>
      </c>
      <c r="D600" s="11">
        <v>12.0</v>
      </c>
      <c r="E600" s="11">
        <v>6.0</v>
      </c>
      <c r="F600" s="11">
        <v>7.0</v>
      </c>
      <c r="G600" s="215">
        <v>75691.75</v>
      </c>
      <c r="H600" s="11">
        <v>22.0</v>
      </c>
      <c r="I600" s="109">
        <v>-28078.72</v>
      </c>
    </row>
    <row r="601">
      <c r="A601" s="110">
        <v>50416.0</v>
      </c>
      <c r="B601" s="17">
        <v>61.0</v>
      </c>
      <c r="C601" s="11">
        <v>12.0</v>
      </c>
      <c r="D601" s="11">
        <v>33.0</v>
      </c>
      <c r="E601" s="11">
        <v>1.0</v>
      </c>
      <c r="F601" s="11">
        <v>5.0</v>
      </c>
      <c r="G601" s="215">
        <v>-6219.58</v>
      </c>
      <c r="H601" s="11">
        <v>22.0</v>
      </c>
      <c r="I601" s="109">
        <v>-73046.06</v>
      </c>
    </row>
    <row r="602">
      <c r="A602" s="110">
        <v>102219.0</v>
      </c>
      <c r="B602" s="17">
        <v>81.0</v>
      </c>
      <c r="C602" s="11">
        <v>33.0</v>
      </c>
      <c r="D602" s="11">
        <v>12.0</v>
      </c>
      <c r="E602" s="11">
        <v>6.0</v>
      </c>
      <c r="F602" s="11">
        <v>9.0</v>
      </c>
      <c r="G602" s="215">
        <v>-39879.31</v>
      </c>
      <c r="H602" s="11">
        <v>30.0</v>
      </c>
      <c r="I602" s="109">
        <v>59670.8</v>
      </c>
    </row>
    <row r="603">
      <c r="A603" s="110">
        <v>122713.0</v>
      </c>
      <c r="B603" s="17">
        <v>71.0</v>
      </c>
      <c r="C603" s="11">
        <v>94.0</v>
      </c>
      <c r="D603" s="11">
        <v>74.0</v>
      </c>
      <c r="E603" s="11">
        <v>1.0</v>
      </c>
      <c r="F603" s="11">
        <v>6.0</v>
      </c>
      <c r="G603" s="215">
        <v>-78050.0</v>
      </c>
      <c r="H603" s="11">
        <v>23.0</v>
      </c>
      <c r="I603" s="109">
        <v>15894.65</v>
      </c>
    </row>
    <row r="604">
      <c r="A604" s="110">
        <v>40123.0</v>
      </c>
      <c r="B604" s="17">
        <v>52.0</v>
      </c>
      <c r="C604" s="11">
        <v>33.0</v>
      </c>
      <c r="D604" s="11">
        <v>53.0</v>
      </c>
      <c r="E604" s="11">
        <v>7.0</v>
      </c>
      <c r="F604" s="11">
        <v>2.0</v>
      </c>
      <c r="G604" s="215">
        <v>46749.4</v>
      </c>
      <c r="H604" s="11">
        <v>28.0</v>
      </c>
      <c r="I604" s="109">
        <v>-58522.54</v>
      </c>
    </row>
    <row r="605">
      <c r="A605" s="110">
        <v>81814.0</v>
      </c>
      <c r="B605" s="17">
        <v>97.0</v>
      </c>
      <c r="C605" s="11">
        <v>74.0</v>
      </c>
      <c r="D605" s="11">
        <v>94.0</v>
      </c>
      <c r="E605" s="11">
        <v>6.0</v>
      </c>
      <c r="F605" s="11">
        <v>8.0</v>
      </c>
      <c r="G605" s="215">
        <v>-98940.69</v>
      </c>
      <c r="H605" s="11">
        <v>20.0</v>
      </c>
      <c r="I605" s="109">
        <v>4799.13</v>
      </c>
    </row>
    <row r="606">
      <c r="A606" s="110">
        <v>31822.0</v>
      </c>
      <c r="B606" s="17">
        <v>94.0</v>
      </c>
      <c r="C606" s="11">
        <v>12.0</v>
      </c>
      <c r="D606" s="11">
        <v>12.0</v>
      </c>
      <c r="E606" s="11">
        <v>7.0</v>
      </c>
      <c r="F606" s="11">
        <v>8.0</v>
      </c>
      <c r="G606" s="215">
        <v>67750.89</v>
      </c>
      <c r="H606" s="11">
        <v>25.0</v>
      </c>
      <c r="I606" s="109">
        <v>49518.47</v>
      </c>
    </row>
    <row r="607">
      <c r="A607" s="110">
        <v>112913.0</v>
      </c>
      <c r="B607" s="17">
        <v>5.0</v>
      </c>
      <c r="C607" s="11">
        <v>74.0</v>
      </c>
      <c r="D607" s="11">
        <v>53.0</v>
      </c>
      <c r="E607" s="11">
        <v>7.0</v>
      </c>
      <c r="F607" s="11">
        <v>3.0</v>
      </c>
      <c r="G607" s="215">
        <v>5652.04</v>
      </c>
      <c r="H607" s="11">
        <v>27.0</v>
      </c>
      <c r="I607" s="109">
        <v>25113.9</v>
      </c>
    </row>
    <row r="608">
      <c r="A608" s="110">
        <v>22619.0</v>
      </c>
      <c r="B608" s="17">
        <v>49.0</v>
      </c>
      <c r="C608" s="11">
        <v>94.0</v>
      </c>
      <c r="D608" s="11">
        <v>33.0</v>
      </c>
      <c r="E608" s="11">
        <v>2.0</v>
      </c>
      <c r="F608" s="11">
        <v>9.0</v>
      </c>
      <c r="G608" s="215">
        <v>-94107.48</v>
      </c>
      <c r="H608" s="11">
        <v>24.0</v>
      </c>
      <c r="I608" s="109">
        <v>16927.79</v>
      </c>
    </row>
    <row r="609">
      <c r="A609" s="110">
        <v>60521.0</v>
      </c>
      <c r="B609" s="17">
        <v>94.0</v>
      </c>
      <c r="C609" s="11">
        <v>53.0</v>
      </c>
      <c r="D609" s="11">
        <v>74.0</v>
      </c>
      <c r="E609" s="11">
        <v>2.0</v>
      </c>
      <c r="F609" s="11">
        <v>7.0</v>
      </c>
      <c r="G609" s="215">
        <v>37522.92</v>
      </c>
      <c r="H609" s="11">
        <v>29.0</v>
      </c>
      <c r="I609" s="109">
        <v>44033.74</v>
      </c>
    </row>
    <row r="610">
      <c r="A610" s="110">
        <v>92021.0</v>
      </c>
      <c r="B610" s="17">
        <v>33.0</v>
      </c>
      <c r="C610" s="11">
        <v>94.0</v>
      </c>
      <c r="D610" s="11">
        <v>33.0</v>
      </c>
      <c r="E610" s="11">
        <v>3.0</v>
      </c>
      <c r="F610" s="11">
        <v>3.0</v>
      </c>
      <c r="G610" s="215">
        <v>56839.56</v>
      </c>
      <c r="H610" s="11">
        <v>25.0</v>
      </c>
      <c r="I610" s="109">
        <v>38182.38</v>
      </c>
    </row>
    <row r="611">
      <c r="A611" s="110">
        <v>112517.0</v>
      </c>
      <c r="B611" s="17">
        <v>94.0</v>
      </c>
      <c r="C611" s="11">
        <v>33.0</v>
      </c>
      <c r="D611" s="11">
        <v>94.0</v>
      </c>
      <c r="E611" s="11">
        <v>7.0</v>
      </c>
      <c r="F611" s="11">
        <v>7.0</v>
      </c>
      <c r="G611" s="215">
        <v>-94802.44</v>
      </c>
      <c r="H611" s="11">
        <v>28.0</v>
      </c>
      <c r="I611" s="109">
        <v>-77718.01</v>
      </c>
    </row>
    <row r="612">
      <c r="A612" s="110">
        <v>21920.0</v>
      </c>
      <c r="B612" s="17">
        <v>77.0</v>
      </c>
      <c r="C612" s="11">
        <v>33.0</v>
      </c>
      <c r="D612" s="11">
        <v>53.0</v>
      </c>
      <c r="E612" s="11">
        <v>8.0</v>
      </c>
      <c r="F612" s="11">
        <v>3.0</v>
      </c>
      <c r="G612" s="215">
        <v>-8722.51</v>
      </c>
      <c r="H612" s="11">
        <v>26.0</v>
      </c>
      <c r="I612" s="109">
        <v>67697.27</v>
      </c>
    </row>
    <row r="613">
      <c r="A613" s="110">
        <v>40313.0</v>
      </c>
      <c r="B613" s="17">
        <v>51.0</v>
      </c>
      <c r="C613" s="11">
        <v>33.0</v>
      </c>
      <c r="D613" s="11">
        <v>74.0</v>
      </c>
      <c r="E613" s="11">
        <v>3.0</v>
      </c>
      <c r="F613" s="11">
        <v>2.0</v>
      </c>
      <c r="G613" s="215">
        <v>-16669.68</v>
      </c>
      <c r="H613" s="11">
        <v>23.0</v>
      </c>
      <c r="I613" s="109">
        <v>15166.17</v>
      </c>
    </row>
    <row r="614">
      <c r="A614" s="110">
        <v>102022.0</v>
      </c>
      <c r="B614" s="17">
        <v>63.0</v>
      </c>
      <c r="C614" s="11">
        <v>74.0</v>
      </c>
      <c r="D614" s="11">
        <v>33.0</v>
      </c>
      <c r="E614" s="11">
        <v>3.0</v>
      </c>
      <c r="F614" s="11">
        <v>7.0</v>
      </c>
      <c r="G614" s="215">
        <v>-16917.3</v>
      </c>
      <c r="H614" s="11">
        <v>26.0</v>
      </c>
      <c r="I614" s="109">
        <v>-73663.11</v>
      </c>
    </row>
    <row r="615">
      <c r="A615" s="110">
        <v>112820.0</v>
      </c>
      <c r="B615" s="17">
        <v>77.0</v>
      </c>
      <c r="C615" s="11">
        <v>33.0</v>
      </c>
      <c r="D615" s="11">
        <v>94.0</v>
      </c>
      <c r="E615" s="11">
        <v>8.0</v>
      </c>
      <c r="F615" s="11">
        <v>3.0</v>
      </c>
      <c r="G615" s="215">
        <v>89644.25</v>
      </c>
      <c r="H615" s="11">
        <v>20.0</v>
      </c>
      <c r="I615" s="109">
        <v>23255.08</v>
      </c>
    </row>
    <row r="616">
      <c r="A616" s="110">
        <v>12614.0</v>
      </c>
      <c r="B616" s="17">
        <v>9.0</v>
      </c>
      <c r="C616" s="11">
        <v>12.0</v>
      </c>
      <c r="D616" s="11">
        <v>53.0</v>
      </c>
      <c r="E616" s="11">
        <v>8.0</v>
      </c>
      <c r="F616" s="11">
        <v>8.0</v>
      </c>
      <c r="G616" s="215">
        <v>52623.72</v>
      </c>
      <c r="H616" s="11">
        <v>21.0</v>
      </c>
      <c r="I616" s="109">
        <v>-70136.73</v>
      </c>
    </row>
    <row r="617">
      <c r="A617" s="110">
        <v>42815.0</v>
      </c>
      <c r="B617" s="17">
        <v>51.0</v>
      </c>
      <c r="C617" s="11">
        <v>33.0</v>
      </c>
      <c r="D617" s="11">
        <v>12.0</v>
      </c>
      <c r="E617" s="11">
        <v>9.0</v>
      </c>
      <c r="F617" s="11">
        <v>4.0</v>
      </c>
      <c r="G617" s="215">
        <v>68560.33</v>
      </c>
      <c r="H617" s="11">
        <v>29.0</v>
      </c>
      <c r="I617" s="109">
        <v>71790.81</v>
      </c>
    </row>
    <row r="618">
      <c r="A618" s="110">
        <v>71423.0</v>
      </c>
      <c r="B618" s="17">
        <v>56.0</v>
      </c>
      <c r="C618" s="11">
        <v>12.0</v>
      </c>
      <c r="D618" s="11">
        <v>53.0</v>
      </c>
      <c r="E618" s="11">
        <v>9.0</v>
      </c>
      <c r="F618" s="11">
        <v>3.0</v>
      </c>
      <c r="G618" s="215">
        <v>-61012.21</v>
      </c>
      <c r="H618" s="11">
        <v>27.0</v>
      </c>
      <c r="I618" s="109">
        <v>10542.22</v>
      </c>
    </row>
    <row r="619">
      <c r="A619" s="110">
        <v>32118.0</v>
      </c>
      <c r="B619" s="17">
        <v>41.0</v>
      </c>
      <c r="C619" s="11">
        <v>33.0</v>
      </c>
      <c r="D619" s="11">
        <v>94.0</v>
      </c>
      <c r="E619" s="11">
        <v>8.0</v>
      </c>
      <c r="F619" s="11">
        <v>9.0</v>
      </c>
      <c r="G619" s="215">
        <v>21485.02</v>
      </c>
      <c r="H619" s="11">
        <v>24.0</v>
      </c>
      <c r="I619" s="109">
        <v>-34165.78</v>
      </c>
    </row>
    <row r="620">
      <c r="A620" s="110">
        <v>22413.0</v>
      </c>
      <c r="B620" s="17">
        <v>22.0</v>
      </c>
      <c r="C620" s="11">
        <v>12.0</v>
      </c>
      <c r="D620" s="11">
        <v>33.0</v>
      </c>
      <c r="E620" s="11">
        <v>4.0</v>
      </c>
      <c r="F620" s="11">
        <v>9.0</v>
      </c>
      <c r="G620" s="215">
        <v>78800.54</v>
      </c>
      <c r="H620" s="11">
        <v>22.0</v>
      </c>
      <c r="I620" s="109">
        <v>10444.56</v>
      </c>
    </row>
    <row r="621">
      <c r="A621" s="110">
        <v>103116.0</v>
      </c>
      <c r="B621" s="17">
        <v>41.0</v>
      </c>
      <c r="C621" s="11">
        <v>33.0</v>
      </c>
      <c r="D621" s="11">
        <v>94.0</v>
      </c>
      <c r="E621" s="11">
        <v>9.0</v>
      </c>
      <c r="F621" s="11">
        <v>4.0</v>
      </c>
      <c r="G621" s="215">
        <v>-12077.27</v>
      </c>
      <c r="H621" s="11">
        <v>30.0</v>
      </c>
      <c r="I621" s="109">
        <v>-35075.13</v>
      </c>
    </row>
    <row r="622">
      <c r="A622" s="110">
        <v>51422.0</v>
      </c>
      <c r="B622" s="17">
        <v>27.0</v>
      </c>
      <c r="C622" s="11">
        <v>74.0</v>
      </c>
      <c r="D622" s="11">
        <v>74.0</v>
      </c>
      <c r="E622" s="11">
        <v>4.0</v>
      </c>
      <c r="F622" s="11">
        <v>8.0</v>
      </c>
      <c r="G622" s="215">
        <v>76227.16</v>
      </c>
      <c r="H622" s="11">
        <v>23.0</v>
      </c>
      <c r="I622" s="109">
        <v>-22878.3</v>
      </c>
    </row>
    <row r="623">
      <c r="A623" s="110">
        <v>21320.0</v>
      </c>
      <c r="B623" s="17">
        <v>66.0</v>
      </c>
      <c r="C623" s="11">
        <v>74.0</v>
      </c>
      <c r="D623" s="11">
        <v>74.0</v>
      </c>
      <c r="E623" s="11">
        <v>4.0</v>
      </c>
      <c r="F623" s="11">
        <v>9.0</v>
      </c>
      <c r="G623" s="215">
        <v>-14053.8</v>
      </c>
      <c r="H623" s="11">
        <v>30.0</v>
      </c>
      <c r="I623" s="109">
        <v>5652.13</v>
      </c>
    </row>
    <row r="624">
      <c r="A624" s="110">
        <v>122020.0</v>
      </c>
      <c r="B624" s="17">
        <v>1.0</v>
      </c>
      <c r="C624" s="11">
        <v>53.0</v>
      </c>
      <c r="D624" s="11">
        <v>33.0</v>
      </c>
      <c r="E624" s="11">
        <v>5.0</v>
      </c>
      <c r="F624" s="11">
        <v>3.0</v>
      </c>
      <c r="G624" s="215">
        <v>52996.9</v>
      </c>
      <c r="H624" s="11">
        <v>22.0</v>
      </c>
      <c r="I624" s="109">
        <v>-63235.45</v>
      </c>
    </row>
    <row r="625">
      <c r="A625" s="110">
        <v>121713.0</v>
      </c>
      <c r="B625" s="17">
        <v>13.0</v>
      </c>
      <c r="C625" s="11">
        <v>94.0</v>
      </c>
      <c r="D625" s="11">
        <v>94.0</v>
      </c>
      <c r="E625" s="11">
        <v>9.0</v>
      </c>
      <c r="F625" s="11">
        <v>8.0</v>
      </c>
      <c r="G625" s="215">
        <v>-4259.36</v>
      </c>
      <c r="H625" s="11">
        <v>27.0</v>
      </c>
      <c r="I625" s="109">
        <v>12078.04</v>
      </c>
    </row>
    <row r="626">
      <c r="A626" s="110">
        <v>121121.0</v>
      </c>
      <c r="B626" s="17">
        <v>89.0</v>
      </c>
      <c r="C626" s="11">
        <v>74.0</v>
      </c>
      <c r="D626" s="11">
        <v>74.0</v>
      </c>
      <c r="E626" s="11">
        <v>5.0</v>
      </c>
      <c r="F626" s="11">
        <v>4.0</v>
      </c>
      <c r="G626" s="215">
        <v>-95829.91</v>
      </c>
      <c r="H626" s="11">
        <v>24.0</v>
      </c>
      <c r="I626" s="109">
        <v>-6734.07</v>
      </c>
    </row>
    <row r="627">
      <c r="A627" s="110">
        <v>10218.0</v>
      </c>
      <c r="B627" s="17">
        <v>72.0</v>
      </c>
      <c r="C627" s="11">
        <v>94.0</v>
      </c>
      <c r="D627" s="11">
        <v>13.0</v>
      </c>
      <c r="E627" s="11">
        <v>1.0</v>
      </c>
      <c r="F627" s="11">
        <v>1.0</v>
      </c>
      <c r="G627" s="215">
        <v>61487.23</v>
      </c>
      <c r="H627" s="11">
        <v>29.0</v>
      </c>
      <c r="I627" s="109">
        <v>34730.66</v>
      </c>
    </row>
    <row r="628">
      <c r="A628" s="110">
        <v>100821.0</v>
      </c>
      <c r="B628" s="17">
        <v>81.0</v>
      </c>
      <c r="C628" s="11">
        <v>74.0</v>
      </c>
      <c r="D628" s="11">
        <v>74.0</v>
      </c>
      <c r="E628" s="11">
        <v>5.0</v>
      </c>
      <c r="F628" s="11">
        <v>7.0</v>
      </c>
      <c r="G628" s="215">
        <v>51137.51</v>
      </c>
      <c r="H628" s="11">
        <v>20.0</v>
      </c>
      <c r="I628" s="109">
        <v>-87211.7</v>
      </c>
    </row>
    <row r="629">
      <c r="A629" s="110">
        <v>30520.0</v>
      </c>
      <c r="B629" s="17">
        <v>16.0</v>
      </c>
      <c r="C629" s="11">
        <v>54.0</v>
      </c>
      <c r="D629" s="11">
        <v>13.0</v>
      </c>
      <c r="E629" s="11">
        <v>1.0</v>
      </c>
      <c r="F629" s="11">
        <v>4.0</v>
      </c>
      <c r="G629" s="215">
        <v>-65905.9</v>
      </c>
      <c r="H629" s="11">
        <v>26.0</v>
      </c>
      <c r="I629" s="109">
        <v>-16880.49</v>
      </c>
    </row>
    <row r="630">
      <c r="A630" s="110">
        <v>113020.0</v>
      </c>
      <c r="B630" s="17">
        <v>34.0</v>
      </c>
      <c r="C630" s="11">
        <v>33.0</v>
      </c>
      <c r="D630" s="11">
        <v>33.0</v>
      </c>
      <c r="E630" s="11">
        <v>6.0</v>
      </c>
      <c r="F630" s="11">
        <v>3.0</v>
      </c>
      <c r="G630" s="215">
        <v>54870.35</v>
      </c>
      <c r="H630" s="11">
        <v>27.0</v>
      </c>
      <c r="I630" s="109">
        <v>61318.7</v>
      </c>
    </row>
    <row r="631">
      <c r="A631" s="110">
        <v>61522.0</v>
      </c>
      <c r="B631" s="17">
        <v>28.0</v>
      </c>
      <c r="C631" s="11">
        <v>33.0</v>
      </c>
      <c r="D631" s="11">
        <v>33.0</v>
      </c>
      <c r="E631" s="11">
        <v>6.0</v>
      </c>
      <c r="F631" s="11">
        <v>4.0</v>
      </c>
      <c r="G631" s="215">
        <v>53126.6</v>
      </c>
      <c r="H631" s="11">
        <v>21.0</v>
      </c>
      <c r="I631" s="109">
        <v>-18449.57</v>
      </c>
    </row>
    <row r="632">
      <c r="A632" s="110">
        <v>81420.0</v>
      </c>
      <c r="B632" s="17">
        <v>72.0</v>
      </c>
      <c r="C632" s="11">
        <v>54.0</v>
      </c>
      <c r="D632" s="11">
        <v>54.0</v>
      </c>
      <c r="E632" s="11">
        <v>1.0</v>
      </c>
      <c r="F632" s="11">
        <v>3.0</v>
      </c>
      <c r="G632" s="215">
        <v>68254.67</v>
      </c>
      <c r="H632" s="11">
        <v>30.0</v>
      </c>
      <c r="I632" s="109">
        <v>71573.04</v>
      </c>
    </row>
    <row r="633">
      <c r="A633" s="110">
        <v>121015.0</v>
      </c>
      <c r="B633" s="17">
        <v>47.0</v>
      </c>
      <c r="C633" s="11">
        <v>74.0</v>
      </c>
      <c r="D633" s="11">
        <v>13.0</v>
      </c>
      <c r="E633" s="11">
        <v>1.0</v>
      </c>
      <c r="F633" s="11">
        <v>9.0</v>
      </c>
      <c r="G633" s="215">
        <v>-14713.11</v>
      </c>
      <c r="H633" s="11">
        <v>25.0</v>
      </c>
      <c r="I633" s="109">
        <v>66015.06</v>
      </c>
    </row>
    <row r="634">
      <c r="A634" s="110">
        <v>31118.0</v>
      </c>
      <c r="B634" s="17">
        <v>65.0</v>
      </c>
      <c r="C634" s="11">
        <v>74.0</v>
      </c>
      <c r="D634" s="11">
        <v>54.0</v>
      </c>
      <c r="E634" s="11">
        <v>1.0</v>
      </c>
      <c r="F634" s="11">
        <v>5.0</v>
      </c>
      <c r="G634" s="215">
        <v>-19005.2</v>
      </c>
      <c r="H634" s="11">
        <v>20.0</v>
      </c>
      <c r="I634" s="109">
        <v>97972.0</v>
      </c>
    </row>
    <row r="635">
      <c r="A635" s="110">
        <v>81313.0</v>
      </c>
      <c r="B635" s="17">
        <v>56.0</v>
      </c>
      <c r="C635" s="11">
        <v>74.0</v>
      </c>
      <c r="D635" s="11">
        <v>95.0</v>
      </c>
      <c r="E635" s="11">
        <v>1.0</v>
      </c>
      <c r="F635" s="11">
        <v>3.0</v>
      </c>
      <c r="G635" s="215">
        <v>-95943.81</v>
      </c>
      <c r="H635" s="11">
        <v>30.0</v>
      </c>
      <c r="I635" s="109">
        <v>-63424.49</v>
      </c>
    </row>
    <row r="636">
      <c r="A636" s="110">
        <v>122318.0</v>
      </c>
      <c r="B636" s="17">
        <v>51.0</v>
      </c>
      <c r="C636" s="11">
        <v>74.0</v>
      </c>
      <c r="D636" s="11">
        <v>54.0</v>
      </c>
      <c r="E636" s="11">
        <v>1.0</v>
      </c>
      <c r="F636" s="11">
        <v>8.0</v>
      </c>
      <c r="G636" s="215">
        <v>-34078.19</v>
      </c>
      <c r="H636" s="11">
        <v>29.0</v>
      </c>
      <c r="I636" s="109">
        <v>56626.02</v>
      </c>
    </row>
    <row r="637">
      <c r="A637" s="110">
        <v>80916.0</v>
      </c>
      <c r="B637" s="17">
        <v>51.0</v>
      </c>
      <c r="C637" s="11">
        <v>95.0</v>
      </c>
      <c r="D637" s="11">
        <v>95.0</v>
      </c>
      <c r="E637" s="11">
        <v>1.0</v>
      </c>
      <c r="F637" s="11">
        <v>4.0</v>
      </c>
      <c r="G637" s="215">
        <v>1990.76</v>
      </c>
      <c r="H637" s="11">
        <v>29.0</v>
      </c>
      <c r="I637" s="109">
        <v>62610.74</v>
      </c>
    </row>
    <row r="638">
      <c r="A638" s="110">
        <v>52116.0</v>
      </c>
      <c r="B638" s="17">
        <v>39.0</v>
      </c>
      <c r="C638" s="11">
        <v>74.0</v>
      </c>
      <c r="D638" s="11">
        <v>74.0</v>
      </c>
      <c r="E638" s="11">
        <v>6.0</v>
      </c>
      <c r="F638" s="11">
        <v>8.0</v>
      </c>
      <c r="G638" s="215">
        <v>-27362.98</v>
      </c>
      <c r="H638" s="11">
        <v>21.0</v>
      </c>
      <c r="I638" s="109">
        <v>-66328.41</v>
      </c>
    </row>
    <row r="639">
      <c r="A639" s="110">
        <v>71617.0</v>
      </c>
      <c r="B639" s="17">
        <v>77.0</v>
      </c>
      <c r="C639" s="11">
        <v>95.0</v>
      </c>
      <c r="D639" s="11">
        <v>74.0</v>
      </c>
      <c r="E639" s="11">
        <v>6.0</v>
      </c>
      <c r="F639" s="11">
        <v>9.0</v>
      </c>
      <c r="G639" s="215">
        <v>-28517.52</v>
      </c>
      <c r="H639" s="11">
        <v>24.0</v>
      </c>
      <c r="I639" s="109">
        <v>-18811.03</v>
      </c>
    </row>
    <row r="640">
      <c r="A640" s="110">
        <v>82122.0</v>
      </c>
      <c r="B640" s="17">
        <v>31.0</v>
      </c>
      <c r="C640" s="11">
        <v>13.0</v>
      </c>
      <c r="D640" s="11">
        <v>13.0</v>
      </c>
      <c r="E640" s="11">
        <v>2.0</v>
      </c>
      <c r="F640" s="11">
        <v>6.0</v>
      </c>
      <c r="G640" s="215">
        <v>56903.29</v>
      </c>
      <c r="H640" s="11">
        <v>24.0</v>
      </c>
      <c r="I640" s="109">
        <v>79973.0</v>
      </c>
    </row>
    <row r="641">
      <c r="A641" s="110">
        <v>51218.0</v>
      </c>
      <c r="B641" s="17">
        <v>54.0</v>
      </c>
      <c r="C641" s="11">
        <v>74.0</v>
      </c>
      <c r="D641" s="11">
        <v>54.0</v>
      </c>
      <c r="E641" s="11">
        <v>2.0</v>
      </c>
      <c r="F641" s="11">
        <v>4.0</v>
      </c>
      <c r="G641" s="215">
        <v>-48456.33</v>
      </c>
      <c r="H641" s="11">
        <v>29.0</v>
      </c>
      <c r="I641" s="109">
        <v>-20905.97</v>
      </c>
    </row>
    <row r="642">
      <c r="A642" s="110">
        <v>42015.0</v>
      </c>
      <c r="B642" s="17">
        <v>54.0</v>
      </c>
      <c r="C642" s="11">
        <v>54.0</v>
      </c>
      <c r="D642" s="11">
        <v>74.0</v>
      </c>
      <c r="E642" s="11">
        <v>7.0</v>
      </c>
      <c r="F642" s="11">
        <v>2.0</v>
      </c>
      <c r="G642" s="215">
        <v>-85688.47</v>
      </c>
      <c r="H642" s="11">
        <v>22.0</v>
      </c>
      <c r="I642" s="109">
        <v>-54745.82</v>
      </c>
    </row>
    <row r="643">
      <c r="A643" s="110">
        <v>81717.0</v>
      </c>
      <c r="B643" s="17">
        <v>29.0</v>
      </c>
      <c r="C643" s="11">
        <v>33.0</v>
      </c>
      <c r="D643" s="11">
        <v>95.0</v>
      </c>
      <c r="E643" s="11">
        <v>2.0</v>
      </c>
      <c r="F643" s="11">
        <v>2.0</v>
      </c>
      <c r="G643" s="215">
        <v>-41008.55</v>
      </c>
      <c r="H643" s="11">
        <v>21.0</v>
      </c>
      <c r="I643" s="109">
        <v>-94663.22</v>
      </c>
    </row>
    <row r="644">
      <c r="A644" s="110">
        <v>50920.0</v>
      </c>
      <c r="B644" s="17">
        <v>49.0</v>
      </c>
      <c r="C644" s="11">
        <v>74.0</v>
      </c>
      <c r="D644" s="11">
        <v>95.0</v>
      </c>
      <c r="E644" s="11">
        <v>2.0</v>
      </c>
      <c r="F644" s="11">
        <v>3.0</v>
      </c>
      <c r="G644" s="215">
        <v>-24696.73</v>
      </c>
      <c r="H644" s="11">
        <v>25.0</v>
      </c>
      <c r="I644" s="109">
        <v>47690.24</v>
      </c>
    </row>
    <row r="645">
      <c r="A645" s="110">
        <v>90323.0</v>
      </c>
      <c r="B645" s="17">
        <v>85.0</v>
      </c>
      <c r="C645" s="11">
        <v>13.0</v>
      </c>
      <c r="D645" s="11">
        <v>95.0</v>
      </c>
      <c r="E645" s="11">
        <v>2.0</v>
      </c>
      <c r="F645" s="11">
        <v>5.0</v>
      </c>
      <c r="G645" s="215">
        <v>7430.88</v>
      </c>
      <c r="H645" s="11">
        <v>20.0</v>
      </c>
      <c r="I645" s="109">
        <v>-41689.68</v>
      </c>
    </row>
    <row r="646">
      <c r="A646" s="110">
        <v>70819.0</v>
      </c>
      <c r="B646" s="17">
        <v>81.0</v>
      </c>
      <c r="C646" s="11">
        <v>54.0</v>
      </c>
      <c r="D646" s="11">
        <v>33.0</v>
      </c>
      <c r="E646" s="11">
        <v>8.0</v>
      </c>
      <c r="F646" s="11">
        <v>5.0</v>
      </c>
      <c r="G646" s="215">
        <v>-18179.03</v>
      </c>
      <c r="H646" s="11">
        <v>30.0</v>
      </c>
      <c r="I646" s="109">
        <v>25923.72</v>
      </c>
    </row>
    <row r="647">
      <c r="A647" s="110">
        <v>72013.0</v>
      </c>
      <c r="B647" s="17">
        <v>64.0</v>
      </c>
      <c r="C647" s="11">
        <v>95.0</v>
      </c>
      <c r="D647" s="11">
        <v>13.0</v>
      </c>
      <c r="E647" s="11">
        <v>3.0</v>
      </c>
      <c r="F647" s="11">
        <v>8.0</v>
      </c>
      <c r="G647" s="215">
        <v>-62150.24</v>
      </c>
      <c r="H647" s="11">
        <v>29.0</v>
      </c>
      <c r="I647" s="109">
        <v>-26557.1</v>
      </c>
    </row>
    <row r="648">
      <c r="A648" s="110">
        <v>51514.0</v>
      </c>
      <c r="B648" s="17">
        <v>72.0</v>
      </c>
      <c r="C648" s="11">
        <v>95.0</v>
      </c>
      <c r="D648" s="11">
        <v>74.0</v>
      </c>
      <c r="E648" s="11">
        <v>8.0</v>
      </c>
      <c r="F648" s="11">
        <v>3.0</v>
      </c>
      <c r="G648" s="215">
        <v>-70676.33</v>
      </c>
      <c r="H648" s="11">
        <v>20.0</v>
      </c>
      <c r="I648" s="109">
        <v>-77627.34</v>
      </c>
    </row>
    <row r="649">
      <c r="A649" s="110">
        <v>70614.0</v>
      </c>
      <c r="B649" s="17">
        <v>40.0</v>
      </c>
      <c r="C649" s="11">
        <v>95.0</v>
      </c>
      <c r="D649" s="11">
        <v>33.0</v>
      </c>
      <c r="E649" s="11">
        <v>9.0</v>
      </c>
      <c r="F649" s="11">
        <v>1.0</v>
      </c>
      <c r="G649" s="215">
        <v>-19877.46</v>
      </c>
      <c r="H649" s="11">
        <v>30.0</v>
      </c>
      <c r="I649" s="109">
        <v>-24446.88</v>
      </c>
    </row>
    <row r="650">
      <c r="A650" s="110">
        <v>120722.0</v>
      </c>
      <c r="B650" s="17">
        <v>1.0</v>
      </c>
      <c r="C650" s="11">
        <v>33.0</v>
      </c>
      <c r="D650" s="11">
        <v>33.0</v>
      </c>
      <c r="E650" s="11">
        <v>9.0</v>
      </c>
      <c r="F650" s="11">
        <v>2.0</v>
      </c>
      <c r="G650" s="215">
        <v>-37256.22</v>
      </c>
      <c r="H650" s="11">
        <v>22.0</v>
      </c>
      <c r="I650" s="109">
        <v>-13586.97</v>
      </c>
    </row>
    <row r="651">
      <c r="A651" s="110">
        <v>42822.0</v>
      </c>
      <c r="B651" s="17">
        <v>64.0</v>
      </c>
      <c r="C651" s="11">
        <v>95.0</v>
      </c>
      <c r="D651" s="11">
        <v>54.0</v>
      </c>
      <c r="E651" s="11">
        <v>4.0</v>
      </c>
      <c r="F651" s="11">
        <v>4.0</v>
      </c>
      <c r="G651" s="215">
        <v>5970.55</v>
      </c>
      <c r="H651" s="11">
        <v>24.0</v>
      </c>
      <c r="I651" s="109">
        <v>-34203.19</v>
      </c>
    </row>
    <row r="652">
      <c r="A652" s="110">
        <v>50620.0</v>
      </c>
      <c r="B652" s="17">
        <v>64.0</v>
      </c>
      <c r="C652" s="11">
        <v>95.0</v>
      </c>
      <c r="D652" s="11">
        <v>54.0</v>
      </c>
      <c r="E652" s="11">
        <v>4.0</v>
      </c>
      <c r="F652" s="11">
        <v>6.0</v>
      </c>
      <c r="G652" s="215">
        <v>9905.93</v>
      </c>
      <c r="H652" s="11">
        <v>21.0</v>
      </c>
      <c r="I652" s="109">
        <v>-53009.33</v>
      </c>
    </row>
    <row r="653">
      <c r="A653" s="110">
        <v>80923.0</v>
      </c>
      <c r="B653" s="17">
        <v>13.0</v>
      </c>
      <c r="C653" s="11">
        <v>54.0</v>
      </c>
      <c r="D653" s="11">
        <v>13.0</v>
      </c>
      <c r="E653" s="11">
        <v>5.0</v>
      </c>
      <c r="F653" s="11">
        <v>1.0</v>
      </c>
      <c r="G653" s="215">
        <v>-51393.26</v>
      </c>
      <c r="H653" s="11">
        <v>21.0</v>
      </c>
      <c r="I653" s="109">
        <v>-6412.18</v>
      </c>
    </row>
    <row r="654">
      <c r="A654" s="110">
        <v>101523.0</v>
      </c>
      <c r="B654" s="17">
        <v>90.0</v>
      </c>
      <c r="C654" s="11">
        <v>13.0</v>
      </c>
      <c r="D654" s="11">
        <v>95.0</v>
      </c>
      <c r="E654" s="11">
        <v>4.0</v>
      </c>
      <c r="F654" s="11">
        <v>4.0</v>
      </c>
      <c r="G654" s="215">
        <v>1261.69</v>
      </c>
      <c r="H654" s="11">
        <v>28.0</v>
      </c>
      <c r="I654" s="109">
        <v>-32554.52</v>
      </c>
    </row>
    <row r="655">
      <c r="A655" s="110">
        <v>111314.0</v>
      </c>
      <c r="B655" s="17">
        <v>56.0</v>
      </c>
      <c r="C655" s="11">
        <v>13.0</v>
      </c>
      <c r="D655" s="11">
        <v>13.0</v>
      </c>
      <c r="E655" s="11">
        <v>5.0</v>
      </c>
      <c r="F655" s="11">
        <v>3.0</v>
      </c>
      <c r="G655" s="215">
        <v>-69461.78</v>
      </c>
      <c r="H655" s="11">
        <v>27.0</v>
      </c>
      <c r="I655" s="109">
        <v>-14943.89</v>
      </c>
    </row>
    <row r="656">
      <c r="A656" s="110">
        <v>50713.0</v>
      </c>
      <c r="B656" s="17">
        <v>29.0</v>
      </c>
      <c r="C656" s="11">
        <v>34.0</v>
      </c>
      <c r="D656" s="11">
        <v>74.0</v>
      </c>
      <c r="E656" s="11">
        <v>9.0</v>
      </c>
      <c r="F656" s="11">
        <v>6.0</v>
      </c>
      <c r="G656" s="215">
        <v>-81970.52</v>
      </c>
      <c r="H656" s="11">
        <v>22.0</v>
      </c>
      <c r="I656" s="109">
        <v>-98021.74</v>
      </c>
    </row>
    <row r="657">
      <c r="A657" s="110">
        <v>31217.0</v>
      </c>
      <c r="B657" s="17">
        <v>5.0</v>
      </c>
      <c r="C657" s="11">
        <v>13.0</v>
      </c>
      <c r="D657" s="11">
        <v>74.0</v>
      </c>
      <c r="E657" s="11">
        <v>9.0</v>
      </c>
      <c r="F657" s="11">
        <v>8.0</v>
      </c>
      <c r="G657" s="215">
        <v>71713.63</v>
      </c>
      <c r="H657" s="11">
        <v>21.0</v>
      </c>
      <c r="I657" s="109">
        <v>-66477.13</v>
      </c>
    </row>
    <row r="658">
      <c r="A658" s="110">
        <v>110518.0</v>
      </c>
      <c r="B658" s="17">
        <v>56.0</v>
      </c>
      <c r="C658" s="11">
        <v>34.0</v>
      </c>
      <c r="D658" s="11">
        <v>13.0</v>
      </c>
      <c r="E658" s="11">
        <v>5.0</v>
      </c>
      <c r="F658" s="11">
        <v>6.0</v>
      </c>
      <c r="G658" s="215">
        <v>20348.01</v>
      </c>
      <c r="H658" s="11">
        <v>21.0</v>
      </c>
      <c r="I658" s="109">
        <v>-71875.26</v>
      </c>
    </row>
    <row r="659">
      <c r="A659" s="110">
        <v>31915.0</v>
      </c>
      <c r="B659" s="17">
        <v>96.0</v>
      </c>
      <c r="C659" s="11">
        <v>54.0</v>
      </c>
      <c r="D659" s="11">
        <v>13.0</v>
      </c>
      <c r="E659" s="11">
        <v>5.0</v>
      </c>
      <c r="F659" s="11">
        <v>7.0</v>
      </c>
      <c r="G659" s="215">
        <v>96727.08</v>
      </c>
      <c r="H659" s="11">
        <v>23.0</v>
      </c>
      <c r="I659" s="109">
        <v>-33882.84</v>
      </c>
    </row>
    <row r="660">
      <c r="A660" s="110">
        <v>122421.0</v>
      </c>
      <c r="B660" s="17">
        <v>8.0</v>
      </c>
      <c r="C660" s="11">
        <v>13.0</v>
      </c>
      <c r="D660" s="11">
        <v>54.0</v>
      </c>
      <c r="E660" s="11">
        <v>5.0</v>
      </c>
      <c r="F660" s="11">
        <v>6.0</v>
      </c>
      <c r="G660" s="215">
        <v>-33002.12</v>
      </c>
      <c r="H660" s="11">
        <v>30.0</v>
      </c>
      <c r="I660" s="109">
        <v>-73214.28</v>
      </c>
    </row>
    <row r="661">
      <c r="A661" s="110">
        <v>112121.0</v>
      </c>
      <c r="B661" s="17">
        <v>58.0</v>
      </c>
      <c r="C661" s="11">
        <v>95.0</v>
      </c>
      <c r="D661" s="11">
        <v>13.0</v>
      </c>
      <c r="E661" s="11">
        <v>6.0</v>
      </c>
      <c r="F661" s="11">
        <v>1.0</v>
      </c>
      <c r="G661" s="215">
        <v>71934.02</v>
      </c>
      <c r="H661" s="11">
        <v>20.0</v>
      </c>
      <c r="I661" s="109">
        <v>-26622.56</v>
      </c>
    </row>
    <row r="662">
      <c r="A662" s="110">
        <v>62518.0</v>
      </c>
      <c r="B662" s="17">
        <v>45.0</v>
      </c>
      <c r="C662" s="11">
        <v>95.0</v>
      </c>
      <c r="D662" s="11">
        <v>13.0</v>
      </c>
      <c r="E662" s="11">
        <v>6.0</v>
      </c>
      <c r="F662" s="11">
        <v>3.0</v>
      </c>
      <c r="G662" s="215">
        <v>-49375.81</v>
      </c>
      <c r="H662" s="11">
        <v>28.0</v>
      </c>
      <c r="I662" s="109">
        <v>-99720.81</v>
      </c>
    </row>
    <row r="663">
      <c r="A663" s="110">
        <v>70819.0</v>
      </c>
      <c r="B663" s="17">
        <v>60.0</v>
      </c>
      <c r="C663" s="11">
        <v>34.0</v>
      </c>
      <c r="D663" s="11">
        <v>34.0</v>
      </c>
      <c r="E663" s="11">
        <v>1.0</v>
      </c>
      <c r="F663" s="11">
        <v>2.0</v>
      </c>
      <c r="G663" s="215">
        <v>22084.51</v>
      </c>
      <c r="H663" s="11">
        <v>25.0</v>
      </c>
      <c r="I663" s="109">
        <v>88664.62</v>
      </c>
    </row>
    <row r="664">
      <c r="A664" s="110">
        <v>33113.0</v>
      </c>
      <c r="B664" s="17">
        <v>38.0</v>
      </c>
      <c r="C664" s="11">
        <v>95.0</v>
      </c>
      <c r="D664" s="11">
        <v>34.0</v>
      </c>
      <c r="E664" s="11">
        <v>1.0</v>
      </c>
      <c r="F664" s="11">
        <v>1.0</v>
      </c>
      <c r="G664" s="215">
        <v>-64538.26</v>
      </c>
      <c r="H664" s="11">
        <v>29.0</v>
      </c>
      <c r="I664" s="109">
        <v>-77016.26</v>
      </c>
    </row>
    <row r="665">
      <c r="A665" s="110">
        <v>20117.0</v>
      </c>
      <c r="B665" s="17">
        <v>58.0</v>
      </c>
      <c r="C665" s="11">
        <v>95.0</v>
      </c>
      <c r="D665" s="11">
        <v>95.0</v>
      </c>
      <c r="E665" s="11">
        <v>5.0</v>
      </c>
      <c r="F665" s="11">
        <v>5.0</v>
      </c>
      <c r="G665" s="215">
        <v>51582.94</v>
      </c>
      <c r="H665" s="11">
        <v>27.0</v>
      </c>
      <c r="I665" s="109">
        <v>38521.76</v>
      </c>
    </row>
    <row r="666">
      <c r="A666" s="110">
        <v>30820.0</v>
      </c>
      <c r="B666" s="17">
        <v>98.0</v>
      </c>
      <c r="C666" s="11">
        <v>95.0</v>
      </c>
      <c r="D666" s="11">
        <v>95.0</v>
      </c>
      <c r="E666" s="11">
        <v>5.0</v>
      </c>
      <c r="F666" s="11">
        <v>9.0</v>
      </c>
      <c r="G666" s="215">
        <v>95193.34</v>
      </c>
      <c r="H666" s="11">
        <v>20.0</v>
      </c>
      <c r="I666" s="109">
        <v>3046.31</v>
      </c>
    </row>
    <row r="667">
      <c r="A667" s="110">
        <v>12420.0</v>
      </c>
      <c r="B667" s="17">
        <v>63.0</v>
      </c>
      <c r="C667" s="11">
        <v>95.0</v>
      </c>
      <c r="D667" s="11">
        <v>13.0</v>
      </c>
      <c r="E667" s="11">
        <v>6.0</v>
      </c>
      <c r="F667" s="11">
        <v>4.0</v>
      </c>
      <c r="G667" s="215">
        <v>64173.72</v>
      </c>
      <c r="H667" s="11">
        <v>26.0</v>
      </c>
      <c r="I667" s="109">
        <v>48953.6</v>
      </c>
    </row>
    <row r="668">
      <c r="A668" s="110">
        <v>33022.0</v>
      </c>
      <c r="B668" s="17">
        <v>88.0</v>
      </c>
      <c r="C668" s="11">
        <v>95.0</v>
      </c>
      <c r="D668" s="11">
        <v>95.0</v>
      </c>
      <c r="E668" s="11">
        <v>6.0</v>
      </c>
      <c r="F668" s="11">
        <v>1.0</v>
      </c>
      <c r="G668" s="215">
        <v>37920.48</v>
      </c>
      <c r="H668" s="11">
        <v>26.0</v>
      </c>
      <c r="I668" s="109">
        <v>-50658.26</v>
      </c>
    </row>
    <row r="669">
      <c r="A669" s="110">
        <v>80715.0</v>
      </c>
      <c r="B669" s="17">
        <v>73.0</v>
      </c>
      <c r="C669" s="11">
        <v>54.0</v>
      </c>
      <c r="D669" s="11">
        <v>54.0</v>
      </c>
      <c r="E669" s="11">
        <v>6.0</v>
      </c>
      <c r="F669" s="11">
        <v>8.0</v>
      </c>
      <c r="G669" s="215">
        <v>-76345.35</v>
      </c>
      <c r="H669" s="11">
        <v>28.0</v>
      </c>
      <c r="I669" s="109">
        <v>-92790.07</v>
      </c>
    </row>
    <row r="670">
      <c r="A670" s="110">
        <v>122720.0</v>
      </c>
      <c r="B670" s="17">
        <v>7.0</v>
      </c>
      <c r="C670" s="11">
        <v>54.0</v>
      </c>
      <c r="D670" s="11">
        <v>75.0</v>
      </c>
      <c r="E670" s="11">
        <v>1.0</v>
      </c>
      <c r="F670" s="11">
        <v>7.0</v>
      </c>
      <c r="G670" s="215">
        <v>61040.38</v>
      </c>
      <c r="H670" s="11">
        <v>27.0</v>
      </c>
      <c r="I670" s="109">
        <v>45235.96</v>
      </c>
    </row>
    <row r="671">
      <c r="A671" s="110">
        <v>42116.0</v>
      </c>
      <c r="B671" s="17">
        <v>1.0</v>
      </c>
      <c r="C671" s="11">
        <v>75.0</v>
      </c>
      <c r="D671" s="11">
        <v>13.0</v>
      </c>
      <c r="E671" s="11">
        <v>7.0</v>
      </c>
      <c r="F671" s="11">
        <v>4.0</v>
      </c>
      <c r="G671" s="215">
        <v>93251.13</v>
      </c>
      <c r="H671" s="11">
        <v>27.0</v>
      </c>
      <c r="I671" s="109">
        <v>19086.53</v>
      </c>
    </row>
    <row r="672">
      <c r="A672" s="110">
        <v>112923.0</v>
      </c>
      <c r="B672" s="17">
        <v>25.0</v>
      </c>
      <c r="C672" s="11">
        <v>34.0</v>
      </c>
      <c r="D672" s="11">
        <v>95.0</v>
      </c>
      <c r="E672" s="11">
        <v>6.0</v>
      </c>
      <c r="F672" s="11">
        <v>7.0</v>
      </c>
      <c r="G672" s="215">
        <v>-63146.02</v>
      </c>
      <c r="H672" s="11">
        <v>25.0</v>
      </c>
      <c r="I672" s="109">
        <v>-46144.71</v>
      </c>
    </row>
    <row r="673">
      <c r="A673" s="110">
        <v>33121.0</v>
      </c>
      <c r="B673" s="17">
        <v>3.0</v>
      </c>
      <c r="C673" s="11">
        <v>34.0</v>
      </c>
      <c r="D673" s="11">
        <v>13.0</v>
      </c>
      <c r="E673" s="11">
        <v>7.0</v>
      </c>
      <c r="F673" s="11">
        <v>8.0</v>
      </c>
      <c r="G673" s="215">
        <v>86261.84</v>
      </c>
      <c r="H673" s="11">
        <v>26.0</v>
      </c>
      <c r="I673" s="109">
        <v>81579.3</v>
      </c>
    </row>
    <row r="674">
      <c r="A674" s="110">
        <v>72414.0</v>
      </c>
      <c r="B674" s="17">
        <v>50.0</v>
      </c>
      <c r="C674" s="11">
        <v>34.0</v>
      </c>
      <c r="D674" s="11">
        <v>95.0</v>
      </c>
      <c r="E674" s="11">
        <v>7.0</v>
      </c>
      <c r="F674" s="11">
        <v>1.0</v>
      </c>
      <c r="G674" s="215">
        <v>30318.86</v>
      </c>
      <c r="H674" s="11">
        <v>25.0</v>
      </c>
      <c r="I674" s="109">
        <v>50989.94</v>
      </c>
    </row>
    <row r="675">
      <c r="A675" s="110">
        <v>122713.0</v>
      </c>
      <c r="B675" s="17">
        <v>69.0</v>
      </c>
      <c r="C675" s="11">
        <v>75.0</v>
      </c>
      <c r="D675" s="11">
        <v>54.0</v>
      </c>
      <c r="E675" s="11">
        <v>7.0</v>
      </c>
      <c r="F675" s="11">
        <v>8.0</v>
      </c>
      <c r="G675" s="215">
        <v>-79704.45</v>
      </c>
      <c r="H675" s="11">
        <v>25.0</v>
      </c>
      <c r="I675" s="109">
        <v>75394.7</v>
      </c>
    </row>
    <row r="676">
      <c r="A676" s="110">
        <v>52920.0</v>
      </c>
      <c r="B676" s="17">
        <v>46.0</v>
      </c>
      <c r="C676" s="11">
        <v>75.0</v>
      </c>
      <c r="D676" s="11">
        <v>13.0</v>
      </c>
      <c r="E676" s="11">
        <v>8.0</v>
      </c>
      <c r="F676" s="11">
        <v>2.0</v>
      </c>
      <c r="G676" s="215">
        <v>-71884.45</v>
      </c>
      <c r="H676" s="11">
        <v>24.0</v>
      </c>
      <c r="I676" s="109">
        <v>-1799.23</v>
      </c>
    </row>
    <row r="677">
      <c r="A677" s="110">
        <v>102622.0</v>
      </c>
      <c r="B677" s="17">
        <v>96.0</v>
      </c>
      <c r="C677" s="11">
        <v>34.0</v>
      </c>
      <c r="D677" s="11">
        <v>34.0</v>
      </c>
      <c r="E677" s="11">
        <v>3.0</v>
      </c>
      <c r="F677" s="11">
        <v>1.0</v>
      </c>
      <c r="G677" s="215">
        <v>97470.21</v>
      </c>
      <c r="H677" s="11">
        <v>27.0</v>
      </c>
      <c r="I677" s="109">
        <v>-16425.8</v>
      </c>
    </row>
    <row r="678">
      <c r="A678" s="110">
        <v>40717.0</v>
      </c>
      <c r="B678" s="17">
        <v>52.0</v>
      </c>
      <c r="C678" s="11">
        <v>54.0</v>
      </c>
      <c r="D678" s="11">
        <v>54.0</v>
      </c>
      <c r="E678" s="11">
        <v>8.0</v>
      </c>
      <c r="F678" s="11">
        <v>1.0</v>
      </c>
      <c r="G678" s="215">
        <v>-58819.29</v>
      </c>
      <c r="H678" s="11">
        <v>29.0</v>
      </c>
      <c r="I678" s="109">
        <v>-74950.94</v>
      </c>
    </row>
    <row r="679">
      <c r="A679" s="110">
        <v>40119.0</v>
      </c>
      <c r="B679" s="17">
        <v>80.0</v>
      </c>
      <c r="C679" s="11">
        <v>54.0</v>
      </c>
      <c r="D679" s="11">
        <v>13.0</v>
      </c>
      <c r="E679" s="11">
        <v>8.0</v>
      </c>
      <c r="F679" s="11">
        <v>3.0</v>
      </c>
      <c r="G679" s="215">
        <v>42150.0</v>
      </c>
      <c r="H679" s="11">
        <v>27.0</v>
      </c>
      <c r="I679" s="109">
        <v>-79627.51</v>
      </c>
    </row>
    <row r="680">
      <c r="A680" s="110">
        <v>121813.0</v>
      </c>
      <c r="B680" s="17">
        <v>3.0</v>
      </c>
      <c r="C680" s="11">
        <v>34.0</v>
      </c>
      <c r="D680" s="11">
        <v>95.0</v>
      </c>
      <c r="E680" s="11">
        <v>7.0</v>
      </c>
      <c r="F680" s="11">
        <v>4.0</v>
      </c>
      <c r="G680" s="215">
        <v>-45905.89</v>
      </c>
      <c r="H680" s="11">
        <v>22.0</v>
      </c>
      <c r="I680" s="109">
        <v>-345.86</v>
      </c>
    </row>
    <row r="681">
      <c r="A681" s="110">
        <v>10117.0</v>
      </c>
      <c r="B681" s="17">
        <v>41.0</v>
      </c>
      <c r="C681" s="11">
        <v>95.0</v>
      </c>
      <c r="D681" s="11">
        <v>34.0</v>
      </c>
      <c r="E681" s="11">
        <v>3.0</v>
      </c>
      <c r="F681" s="11">
        <v>6.0</v>
      </c>
      <c r="G681" s="215">
        <v>-10029.69</v>
      </c>
      <c r="H681" s="11">
        <v>26.0</v>
      </c>
      <c r="I681" s="109">
        <v>55909.51</v>
      </c>
    </row>
    <row r="682">
      <c r="A682" s="110">
        <v>110415.0</v>
      </c>
      <c r="B682" s="17">
        <v>86.0</v>
      </c>
      <c r="C682" s="11">
        <v>54.0</v>
      </c>
      <c r="D682" s="11">
        <v>54.0</v>
      </c>
      <c r="E682" s="11">
        <v>8.0</v>
      </c>
      <c r="F682" s="11">
        <v>5.0</v>
      </c>
      <c r="G682" s="215">
        <v>-56915.13</v>
      </c>
      <c r="H682" s="11">
        <v>29.0</v>
      </c>
      <c r="I682" s="109">
        <v>80595.66</v>
      </c>
    </row>
    <row r="683">
      <c r="A683" s="110">
        <v>31815.0</v>
      </c>
      <c r="B683" s="17">
        <v>15.0</v>
      </c>
      <c r="C683" s="11">
        <v>75.0</v>
      </c>
      <c r="D683" s="11">
        <v>75.0</v>
      </c>
      <c r="E683" s="11">
        <v>3.0</v>
      </c>
      <c r="F683" s="11">
        <v>4.0</v>
      </c>
      <c r="G683" s="215">
        <v>29351.32</v>
      </c>
      <c r="H683" s="11">
        <v>30.0</v>
      </c>
      <c r="I683" s="109">
        <v>15033.93</v>
      </c>
    </row>
    <row r="684">
      <c r="A684" s="110">
        <v>50218.0</v>
      </c>
      <c r="B684" s="17">
        <v>82.0</v>
      </c>
      <c r="C684" s="11">
        <v>75.0</v>
      </c>
      <c r="D684" s="11">
        <v>75.0</v>
      </c>
      <c r="E684" s="11">
        <v>2.0</v>
      </c>
      <c r="F684" s="11">
        <v>9.0</v>
      </c>
      <c r="G684" s="215">
        <v>48186.15</v>
      </c>
      <c r="H684" s="11">
        <v>26.0</v>
      </c>
      <c r="I684" s="109">
        <v>-47301.41</v>
      </c>
    </row>
    <row r="685">
      <c r="A685" s="110">
        <v>70718.0</v>
      </c>
      <c r="B685" s="17">
        <v>48.0</v>
      </c>
      <c r="C685" s="11">
        <v>34.0</v>
      </c>
      <c r="D685" s="11">
        <v>34.0</v>
      </c>
      <c r="E685" s="11">
        <v>3.0</v>
      </c>
      <c r="F685" s="11">
        <v>2.0</v>
      </c>
      <c r="G685" s="215">
        <v>8446.25</v>
      </c>
      <c r="H685" s="11">
        <v>24.0</v>
      </c>
      <c r="I685" s="109">
        <v>-45416.79</v>
      </c>
    </row>
    <row r="686">
      <c r="A686" s="110">
        <v>101617.0</v>
      </c>
      <c r="B686" s="17">
        <v>65.0</v>
      </c>
      <c r="C686" s="11">
        <v>34.0</v>
      </c>
      <c r="D686" s="11">
        <v>34.0</v>
      </c>
      <c r="E686" s="11">
        <v>4.0</v>
      </c>
      <c r="F686" s="11">
        <v>1.0</v>
      </c>
      <c r="G686" s="215">
        <v>36888.11</v>
      </c>
      <c r="H686" s="11">
        <v>27.0</v>
      </c>
      <c r="I686" s="109">
        <v>437.3</v>
      </c>
    </row>
    <row r="687">
      <c r="A687" s="110">
        <v>22019.0</v>
      </c>
      <c r="B687" s="17">
        <v>27.0</v>
      </c>
      <c r="C687" s="11">
        <v>34.0</v>
      </c>
      <c r="D687" s="11">
        <v>34.0</v>
      </c>
      <c r="E687" s="11">
        <v>4.0</v>
      </c>
      <c r="F687" s="11">
        <v>3.0</v>
      </c>
      <c r="G687" s="215">
        <v>-61734.84</v>
      </c>
      <c r="H687" s="11">
        <v>25.0</v>
      </c>
      <c r="I687" s="109">
        <v>-49284.96</v>
      </c>
    </row>
    <row r="688">
      <c r="A688" s="110">
        <v>21518.0</v>
      </c>
      <c r="B688" s="17">
        <v>59.0</v>
      </c>
      <c r="C688" s="11">
        <v>55.0</v>
      </c>
      <c r="D688" s="11">
        <v>13.0</v>
      </c>
      <c r="E688" s="11">
        <v>9.0</v>
      </c>
      <c r="F688" s="11">
        <v>7.0</v>
      </c>
      <c r="G688" s="215">
        <v>-94205.73</v>
      </c>
      <c r="H688" s="11">
        <v>28.0</v>
      </c>
      <c r="I688" s="109">
        <v>90606.43</v>
      </c>
    </row>
    <row r="689">
      <c r="A689" s="110">
        <v>30715.0</v>
      </c>
      <c r="B689" s="17">
        <v>61.0</v>
      </c>
      <c r="C689" s="11">
        <v>14.0</v>
      </c>
      <c r="D689" s="11">
        <v>75.0</v>
      </c>
      <c r="E689" s="11">
        <v>4.0</v>
      </c>
      <c r="F689" s="11">
        <v>1.0</v>
      </c>
      <c r="G689" s="215">
        <v>50204.33</v>
      </c>
      <c r="H689" s="11">
        <v>24.0</v>
      </c>
      <c r="I689" s="109">
        <v>-28413.95</v>
      </c>
    </row>
    <row r="690">
      <c r="A690" s="110">
        <v>20814.0</v>
      </c>
      <c r="B690" s="17">
        <v>52.0</v>
      </c>
      <c r="C690" s="11">
        <v>14.0</v>
      </c>
      <c r="D690" s="11">
        <v>75.0</v>
      </c>
      <c r="E690" s="11">
        <v>4.0</v>
      </c>
      <c r="F690" s="11">
        <v>2.0</v>
      </c>
      <c r="G690" s="215">
        <v>42805.03</v>
      </c>
      <c r="H690" s="11">
        <v>20.0</v>
      </c>
      <c r="I690" s="109">
        <v>67040.55</v>
      </c>
    </row>
    <row r="691">
      <c r="A691" s="110">
        <v>82723.0</v>
      </c>
      <c r="B691" s="17">
        <v>80.0</v>
      </c>
      <c r="C691" s="11">
        <v>34.0</v>
      </c>
      <c r="D691" s="11">
        <v>75.0</v>
      </c>
      <c r="E691" s="11">
        <v>4.0</v>
      </c>
      <c r="F691" s="11">
        <v>4.0</v>
      </c>
      <c r="G691" s="215">
        <v>-28788.42</v>
      </c>
      <c r="H691" s="11">
        <v>20.0</v>
      </c>
      <c r="I691" s="109">
        <v>-81137.25</v>
      </c>
    </row>
    <row r="692">
      <c r="A692" s="110">
        <v>12415.0</v>
      </c>
      <c r="B692" s="17">
        <v>51.0</v>
      </c>
      <c r="C692" s="11">
        <v>14.0</v>
      </c>
      <c r="D692" s="11">
        <v>34.0</v>
      </c>
      <c r="E692" s="11">
        <v>5.0</v>
      </c>
      <c r="F692" s="11">
        <v>1.0</v>
      </c>
      <c r="G692" s="215">
        <v>-31822.5</v>
      </c>
      <c r="H692" s="11">
        <v>25.0</v>
      </c>
      <c r="I692" s="109">
        <v>-44251.78</v>
      </c>
    </row>
    <row r="693">
      <c r="A693" s="110">
        <v>70919.0</v>
      </c>
      <c r="B693" s="17">
        <v>91.0</v>
      </c>
      <c r="C693" s="11">
        <v>14.0</v>
      </c>
      <c r="D693" s="11">
        <v>34.0</v>
      </c>
      <c r="E693" s="11">
        <v>5.0</v>
      </c>
      <c r="F693" s="11">
        <v>4.0</v>
      </c>
      <c r="G693" s="215">
        <v>46449.96</v>
      </c>
      <c r="H693" s="11">
        <v>28.0</v>
      </c>
      <c r="I693" s="109">
        <v>-17176.7</v>
      </c>
    </row>
    <row r="694">
      <c r="A694" s="110">
        <v>21921.0</v>
      </c>
      <c r="B694" s="17">
        <v>38.0</v>
      </c>
      <c r="C694" s="11">
        <v>34.0</v>
      </c>
      <c r="D694" s="11">
        <v>75.0</v>
      </c>
      <c r="E694" s="11">
        <v>5.0</v>
      </c>
      <c r="F694" s="11">
        <v>3.0</v>
      </c>
      <c r="G694" s="215">
        <v>43593.66</v>
      </c>
      <c r="H694" s="11">
        <v>26.0</v>
      </c>
      <c r="I694" s="109">
        <v>-26407.94</v>
      </c>
    </row>
    <row r="695">
      <c r="A695" s="110">
        <v>120116.0</v>
      </c>
      <c r="B695" s="17">
        <v>39.0</v>
      </c>
      <c r="C695" s="11">
        <v>75.0</v>
      </c>
      <c r="D695" s="11">
        <v>14.0</v>
      </c>
      <c r="E695" s="11">
        <v>1.0</v>
      </c>
      <c r="F695" s="11">
        <v>2.0</v>
      </c>
      <c r="G695" s="215">
        <v>-32121.7</v>
      </c>
      <c r="H695" s="11">
        <v>24.0</v>
      </c>
      <c r="I695" s="109">
        <v>60706.9</v>
      </c>
    </row>
    <row r="696">
      <c r="A696" s="110">
        <v>31619.0</v>
      </c>
      <c r="B696" s="17">
        <v>5.0</v>
      </c>
      <c r="C696" s="11">
        <v>75.0</v>
      </c>
      <c r="D696" s="11">
        <v>75.0</v>
      </c>
      <c r="E696" s="11">
        <v>5.0</v>
      </c>
      <c r="F696" s="11">
        <v>8.0</v>
      </c>
      <c r="G696" s="215">
        <v>-96636.85</v>
      </c>
      <c r="H696" s="11">
        <v>21.0</v>
      </c>
      <c r="I696" s="109">
        <v>-46786.8</v>
      </c>
    </row>
    <row r="697">
      <c r="A697" s="110">
        <v>70318.0</v>
      </c>
      <c r="B697" s="17">
        <v>80.0</v>
      </c>
      <c r="C697" s="11">
        <v>55.0</v>
      </c>
      <c r="D697" s="11">
        <v>34.0</v>
      </c>
      <c r="E697" s="11">
        <v>6.0</v>
      </c>
      <c r="F697" s="11">
        <v>3.0</v>
      </c>
      <c r="G697" s="215">
        <v>-11804.06</v>
      </c>
      <c r="H697" s="11">
        <v>20.0</v>
      </c>
      <c r="I697" s="109">
        <v>67684.6</v>
      </c>
    </row>
    <row r="698">
      <c r="A698" s="110">
        <v>11423.0</v>
      </c>
      <c r="B698" s="17">
        <v>86.0</v>
      </c>
      <c r="C698" s="11">
        <v>96.0</v>
      </c>
      <c r="D698" s="11">
        <v>55.0</v>
      </c>
      <c r="E698" s="11">
        <v>1.0</v>
      </c>
      <c r="F698" s="11">
        <v>4.0</v>
      </c>
      <c r="G698" s="215">
        <v>-45140.18</v>
      </c>
      <c r="H698" s="11">
        <v>28.0</v>
      </c>
      <c r="I698" s="109">
        <v>76562.08</v>
      </c>
    </row>
    <row r="699">
      <c r="A699" s="110">
        <v>102218.0</v>
      </c>
      <c r="B699" s="17">
        <v>44.0</v>
      </c>
      <c r="C699" s="11">
        <v>96.0</v>
      </c>
      <c r="D699" s="11">
        <v>75.0</v>
      </c>
      <c r="E699" s="11">
        <v>6.0</v>
      </c>
      <c r="F699" s="11">
        <v>6.0</v>
      </c>
      <c r="G699" s="215">
        <v>-73010.56</v>
      </c>
      <c r="H699" s="11">
        <v>30.0</v>
      </c>
      <c r="I699" s="109">
        <v>-86443.33</v>
      </c>
    </row>
    <row r="700">
      <c r="A700" s="110">
        <v>21321.0</v>
      </c>
      <c r="B700" s="17">
        <v>93.0</v>
      </c>
      <c r="C700" s="11">
        <v>14.0</v>
      </c>
      <c r="D700" s="11">
        <v>14.0</v>
      </c>
      <c r="E700" s="11">
        <v>2.0</v>
      </c>
      <c r="F700" s="11">
        <v>3.0</v>
      </c>
      <c r="G700" s="215">
        <v>73442.71</v>
      </c>
      <c r="H700" s="11">
        <v>27.0</v>
      </c>
      <c r="I700" s="109">
        <v>-84775.58</v>
      </c>
    </row>
    <row r="701">
      <c r="A701" s="110">
        <v>32616.0</v>
      </c>
      <c r="B701" s="17">
        <v>93.0</v>
      </c>
      <c r="C701" s="11">
        <v>34.0</v>
      </c>
      <c r="D701" s="11">
        <v>34.0</v>
      </c>
      <c r="E701" s="11">
        <v>7.0</v>
      </c>
      <c r="F701" s="11">
        <v>1.0</v>
      </c>
      <c r="G701" s="215">
        <v>-56132.14</v>
      </c>
      <c r="H701" s="11">
        <v>20.0</v>
      </c>
      <c r="I701" s="109">
        <v>-70151.22</v>
      </c>
    </row>
    <row r="702">
      <c r="A702" s="110">
        <v>31217.0</v>
      </c>
      <c r="B702" s="17">
        <v>29.0</v>
      </c>
      <c r="C702" s="11">
        <v>75.0</v>
      </c>
      <c r="D702" s="11">
        <v>96.0</v>
      </c>
      <c r="E702" s="11">
        <v>1.0</v>
      </c>
      <c r="F702" s="11">
        <v>4.0</v>
      </c>
      <c r="G702" s="215">
        <v>-20781.77</v>
      </c>
      <c r="H702" s="11">
        <v>24.0</v>
      </c>
      <c r="I702" s="109">
        <v>41469.61</v>
      </c>
    </row>
    <row r="703">
      <c r="A703" s="110">
        <v>31319.0</v>
      </c>
      <c r="B703" s="17">
        <v>91.0</v>
      </c>
      <c r="C703" s="11">
        <v>96.0</v>
      </c>
      <c r="D703" s="11">
        <v>96.0</v>
      </c>
      <c r="E703" s="11">
        <v>1.0</v>
      </c>
      <c r="F703" s="11">
        <v>8.0</v>
      </c>
      <c r="G703" s="215">
        <v>-3842.66</v>
      </c>
      <c r="H703" s="11">
        <v>30.0</v>
      </c>
      <c r="I703" s="109">
        <v>84996.32</v>
      </c>
    </row>
    <row r="704">
      <c r="A704" s="110">
        <v>51220.0</v>
      </c>
      <c r="B704" s="17">
        <v>44.0</v>
      </c>
      <c r="C704" s="11">
        <v>75.0</v>
      </c>
      <c r="D704" s="11">
        <v>75.0</v>
      </c>
      <c r="E704" s="11">
        <v>7.0</v>
      </c>
      <c r="F704" s="11">
        <v>3.0</v>
      </c>
      <c r="G704" s="215">
        <v>-18391.43</v>
      </c>
      <c r="H704" s="11">
        <v>25.0</v>
      </c>
      <c r="I704" s="109">
        <v>12638.02</v>
      </c>
    </row>
    <row r="705">
      <c r="A705" s="110">
        <v>12721.0</v>
      </c>
      <c r="B705" s="17">
        <v>59.0</v>
      </c>
      <c r="C705" s="11">
        <v>14.0</v>
      </c>
      <c r="D705" s="11">
        <v>96.0</v>
      </c>
      <c r="E705" s="11">
        <v>2.0</v>
      </c>
      <c r="F705" s="11">
        <v>6.0</v>
      </c>
      <c r="G705" s="215">
        <v>2998.56</v>
      </c>
      <c r="H705" s="11">
        <v>20.0</v>
      </c>
      <c r="I705" s="109">
        <v>90843.42</v>
      </c>
    </row>
    <row r="706">
      <c r="A706" s="110">
        <v>41822.0</v>
      </c>
      <c r="B706" s="17">
        <v>10.0</v>
      </c>
      <c r="C706" s="11">
        <v>55.0</v>
      </c>
      <c r="D706" s="11">
        <v>75.0</v>
      </c>
      <c r="E706" s="11">
        <v>7.0</v>
      </c>
      <c r="F706" s="11">
        <v>9.0</v>
      </c>
      <c r="G706" s="215">
        <v>-9685.1</v>
      </c>
      <c r="H706" s="11">
        <v>20.0</v>
      </c>
      <c r="I706" s="109">
        <v>58408.71</v>
      </c>
    </row>
    <row r="707">
      <c r="A707" s="110">
        <v>42219.0</v>
      </c>
      <c r="B707" s="17">
        <v>80.0</v>
      </c>
      <c r="C707" s="11">
        <v>96.0</v>
      </c>
      <c r="D707" s="11">
        <v>14.0</v>
      </c>
      <c r="E707" s="11">
        <v>3.0</v>
      </c>
      <c r="F707" s="11">
        <v>6.0</v>
      </c>
      <c r="G707" s="215">
        <v>22197.44</v>
      </c>
      <c r="H707" s="11">
        <v>23.0</v>
      </c>
      <c r="I707" s="109">
        <v>60971.19</v>
      </c>
    </row>
    <row r="708">
      <c r="A708" s="110">
        <v>70615.0</v>
      </c>
      <c r="B708" s="17">
        <v>87.0</v>
      </c>
      <c r="C708" s="11">
        <v>75.0</v>
      </c>
      <c r="D708" s="11">
        <v>75.0</v>
      </c>
      <c r="E708" s="11">
        <v>8.0</v>
      </c>
      <c r="F708" s="11">
        <v>1.0</v>
      </c>
      <c r="G708" s="215">
        <v>52906.59</v>
      </c>
      <c r="H708" s="11">
        <v>23.0</v>
      </c>
      <c r="I708" s="109">
        <v>7487.84</v>
      </c>
    </row>
    <row r="709">
      <c r="A709" s="110">
        <v>32715.0</v>
      </c>
      <c r="B709" s="17">
        <v>29.0</v>
      </c>
      <c r="C709" s="11">
        <v>34.0</v>
      </c>
      <c r="D709" s="11">
        <v>55.0</v>
      </c>
      <c r="E709" s="11">
        <v>3.0</v>
      </c>
      <c r="F709" s="11">
        <v>4.0</v>
      </c>
      <c r="G709" s="215">
        <v>-34000.75</v>
      </c>
      <c r="H709" s="11">
        <v>25.0</v>
      </c>
      <c r="I709" s="109">
        <v>-90845.45</v>
      </c>
    </row>
    <row r="710">
      <c r="A710" s="110">
        <v>90720.0</v>
      </c>
      <c r="B710" s="17">
        <v>28.0</v>
      </c>
      <c r="C710" s="11">
        <v>96.0</v>
      </c>
      <c r="D710" s="11">
        <v>14.0</v>
      </c>
      <c r="E710" s="11">
        <v>3.0</v>
      </c>
      <c r="F710" s="11">
        <v>8.0</v>
      </c>
      <c r="G710" s="215">
        <v>21682.18</v>
      </c>
      <c r="H710" s="11">
        <v>26.0</v>
      </c>
      <c r="I710" s="109">
        <v>11502.07</v>
      </c>
    </row>
    <row r="711">
      <c r="A711" s="110">
        <v>51015.0</v>
      </c>
      <c r="B711" s="17">
        <v>95.0</v>
      </c>
      <c r="C711" s="11">
        <v>55.0</v>
      </c>
      <c r="D711" s="11">
        <v>75.0</v>
      </c>
      <c r="E711" s="11">
        <v>8.0</v>
      </c>
      <c r="F711" s="11">
        <v>5.0</v>
      </c>
      <c r="G711" s="215">
        <v>41663.01</v>
      </c>
      <c r="H711" s="11">
        <v>28.0</v>
      </c>
      <c r="I711" s="109">
        <v>-46901.79</v>
      </c>
    </row>
    <row r="712">
      <c r="A712" s="110">
        <v>12716.0</v>
      </c>
      <c r="B712" s="17">
        <v>97.0</v>
      </c>
      <c r="C712" s="11">
        <v>55.0</v>
      </c>
      <c r="D712" s="11">
        <v>14.0</v>
      </c>
      <c r="E712" s="11">
        <v>4.0</v>
      </c>
      <c r="F712" s="11">
        <v>3.0</v>
      </c>
      <c r="G712" s="215">
        <v>-66394.56</v>
      </c>
      <c r="H712" s="11">
        <v>24.0</v>
      </c>
      <c r="I712" s="109">
        <v>43858.19</v>
      </c>
    </row>
    <row r="713">
      <c r="A713" s="110">
        <v>42523.0</v>
      </c>
      <c r="B713" s="17">
        <v>55.0</v>
      </c>
      <c r="C713" s="11">
        <v>14.0</v>
      </c>
      <c r="D713" s="11">
        <v>34.0</v>
      </c>
      <c r="E713" s="11">
        <v>9.0</v>
      </c>
      <c r="F713" s="11">
        <v>3.0</v>
      </c>
      <c r="G713" s="215">
        <v>32234.48</v>
      </c>
      <c r="H713" s="11">
        <v>30.0</v>
      </c>
      <c r="I713" s="109">
        <v>19588.97</v>
      </c>
    </row>
    <row r="714">
      <c r="A714" s="110">
        <v>12416.0</v>
      </c>
      <c r="B714" s="17">
        <v>22.0</v>
      </c>
      <c r="C714" s="11">
        <v>55.0</v>
      </c>
      <c r="D714" s="11">
        <v>75.0</v>
      </c>
      <c r="E714" s="11">
        <v>8.0</v>
      </c>
      <c r="F714" s="11">
        <v>9.0</v>
      </c>
      <c r="G714" s="215">
        <v>93421.06</v>
      </c>
      <c r="H714" s="11">
        <v>30.0</v>
      </c>
      <c r="I714" s="109">
        <v>-47826.34</v>
      </c>
    </row>
    <row r="715">
      <c r="A715" s="110">
        <v>22920.0</v>
      </c>
      <c r="B715" s="17">
        <v>86.0</v>
      </c>
      <c r="C715" s="11">
        <v>14.0</v>
      </c>
      <c r="D715" s="11">
        <v>75.0</v>
      </c>
      <c r="E715" s="11">
        <v>9.0</v>
      </c>
      <c r="F715" s="11">
        <v>3.0</v>
      </c>
      <c r="G715" s="215">
        <v>-3053.6</v>
      </c>
      <c r="H715" s="11">
        <v>29.0</v>
      </c>
      <c r="I715" s="109">
        <v>8947.08</v>
      </c>
    </row>
    <row r="716">
      <c r="A716" s="110">
        <v>51218.0</v>
      </c>
      <c r="B716" s="17">
        <v>47.0</v>
      </c>
      <c r="C716" s="11">
        <v>55.0</v>
      </c>
      <c r="D716" s="11">
        <v>55.0</v>
      </c>
      <c r="E716" s="11">
        <v>4.0</v>
      </c>
      <c r="F716" s="11">
        <v>6.0</v>
      </c>
      <c r="G716" s="215">
        <v>7740.02</v>
      </c>
      <c r="H716" s="11">
        <v>29.0</v>
      </c>
      <c r="I716" s="109">
        <v>-9884.88</v>
      </c>
    </row>
    <row r="717">
      <c r="A717" s="110">
        <v>111314.0</v>
      </c>
      <c r="B717" s="17">
        <v>6.0</v>
      </c>
      <c r="C717" s="11">
        <v>55.0</v>
      </c>
      <c r="D717" s="11">
        <v>75.0</v>
      </c>
      <c r="E717" s="11">
        <v>9.0</v>
      </c>
      <c r="F717" s="11">
        <v>4.0</v>
      </c>
      <c r="G717" s="215">
        <v>99150.12</v>
      </c>
      <c r="H717" s="11">
        <v>23.0</v>
      </c>
      <c r="I717" s="109">
        <v>89459.79</v>
      </c>
    </row>
    <row r="718">
      <c r="A718" s="110">
        <v>40717.0</v>
      </c>
      <c r="B718" s="17">
        <v>38.0</v>
      </c>
      <c r="C718" s="11">
        <v>14.0</v>
      </c>
      <c r="D718" s="11">
        <v>75.0</v>
      </c>
      <c r="E718" s="11">
        <v>9.0</v>
      </c>
      <c r="F718" s="11">
        <v>8.0</v>
      </c>
      <c r="G718" s="215">
        <v>-19144.83</v>
      </c>
      <c r="H718" s="11">
        <v>25.0</v>
      </c>
      <c r="I718" s="109">
        <v>31236.04</v>
      </c>
    </row>
    <row r="719">
      <c r="A719" s="110">
        <v>122819.0</v>
      </c>
      <c r="B719" s="17">
        <v>65.0</v>
      </c>
      <c r="C719" s="11">
        <v>35.0</v>
      </c>
      <c r="D719" s="11">
        <v>96.0</v>
      </c>
      <c r="E719" s="11">
        <v>4.0</v>
      </c>
      <c r="F719" s="11">
        <v>9.0</v>
      </c>
      <c r="G719" s="215">
        <v>21975.19</v>
      </c>
      <c r="H719" s="11">
        <v>21.0</v>
      </c>
      <c r="I719" s="109">
        <v>48865.77</v>
      </c>
    </row>
    <row r="720">
      <c r="A720" s="110">
        <v>60118.0</v>
      </c>
      <c r="B720" s="17">
        <v>59.0</v>
      </c>
      <c r="C720" s="11">
        <v>55.0</v>
      </c>
      <c r="D720" s="11">
        <v>96.0</v>
      </c>
      <c r="E720" s="11">
        <v>5.0</v>
      </c>
      <c r="F720" s="11">
        <v>2.0</v>
      </c>
      <c r="G720" s="215">
        <v>-48606.54</v>
      </c>
      <c r="H720" s="11">
        <v>23.0</v>
      </c>
      <c r="I720" s="109">
        <v>-97502.08</v>
      </c>
    </row>
    <row r="721">
      <c r="A721" s="110">
        <v>83013.0</v>
      </c>
      <c r="B721" s="17">
        <v>34.0</v>
      </c>
      <c r="C721" s="11">
        <v>35.0</v>
      </c>
      <c r="D721" s="11">
        <v>14.0</v>
      </c>
      <c r="E721" s="11">
        <v>6.0</v>
      </c>
      <c r="F721" s="11">
        <v>1.0</v>
      </c>
      <c r="G721" s="215">
        <v>-47398.43</v>
      </c>
      <c r="H721" s="11">
        <v>22.0</v>
      </c>
      <c r="I721" s="109">
        <v>20392.93</v>
      </c>
    </row>
    <row r="722">
      <c r="A722" s="110">
        <v>11119.0</v>
      </c>
      <c r="B722" s="17">
        <v>32.0</v>
      </c>
      <c r="C722" s="11">
        <v>96.0</v>
      </c>
      <c r="D722" s="11">
        <v>96.0</v>
      </c>
      <c r="E722" s="11">
        <v>5.0</v>
      </c>
      <c r="F722" s="11">
        <v>3.0</v>
      </c>
      <c r="G722" s="215">
        <v>7331.75</v>
      </c>
      <c r="H722" s="11">
        <v>28.0</v>
      </c>
      <c r="I722" s="109">
        <v>-78681.93</v>
      </c>
    </row>
    <row r="723">
      <c r="A723" s="110">
        <v>11618.0</v>
      </c>
      <c r="B723" s="17">
        <v>76.0</v>
      </c>
      <c r="C723" s="11">
        <v>55.0</v>
      </c>
      <c r="D723" s="11">
        <v>55.0</v>
      </c>
      <c r="E723" s="11">
        <v>5.0</v>
      </c>
      <c r="F723" s="11">
        <v>9.0</v>
      </c>
      <c r="G723" s="215">
        <v>69780.45</v>
      </c>
      <c r="H723" s="11">
        <v>20.0</v>
      </c>
      <c r="I723" s="109">
        <v>76533.84</v>
      </c>
    </row>
    <row r="724">
      <c r="A724" s="110">
        <v>111423.0</v>
      </c>
      <c r="B724" s="17">
        <v>72.0</v>
      </c>
      <c r="C724" s="11">
        <v>35.0</v>
      </c>
      <c r="D724" s="11">
        <v>14.0</v>
      </c>
      <c r="E724" s="11">
        <v>6.0</v>
      </c>
      <c r="F724" s="11">
        <v>4.0</v>
      </c>
      <c r="G724" s="215">
        <v>-68588.0</v>
      </c>
      <c r="H724" s="11">
        <v>27.0</v>
      </c>
      <c r="I724" s="109">
        <v>-64342.31</v>
      </c>
    </row>
    <row r="725">
      <c r="A725" s="110">
        <v>72116.0</v>
      </c>
      <c r="B725" s="17">
        <v>55.0</v>
      </c>
      <c r="C725" s="11">
        <v>35.0</v>
      </c>
      <c r="D725" s="11">
        <v>96.0</v>
      </c>
      <c r="E725" s="11">
        <v>5.0</v>
      </c>
      <c r="F725" s="11">
        <v>7.0</v>
      </c>
      <c r="G725" s="215">
        <v>62754.97</v>
      </c>
      <c r="H725" s="11">
        <v>25.0</v>
      </c>
      <c r="I725" s="109">
        <v>25227.66</v>
      </c>
    </row>
    <row r="726">
      <c r="A726" s="110">
        <v>60814.0</v>
      </c>
      <c r="B726" s="17">
        <v>99.0</v>
      </c>
      <c r="C726" s="11">
        <v>76.0</v>
      </c>
      <c r="D726" s="11">
        <v>55.0</v>
      </c>
      <c r="E726" s="11">
        <v>6.0</v>
      </c>
      <c r="F726" s="11">
        <v>1.0</v>
      </c>
      <c r="G726" s="215">
        <v>41248.48</v>
      </c>
      <c r="H726" s="11">
        <v>29.0</v>
      </c>
      <c r="I726" s="109">
        <v>-77480.94</v>
      </c>
    </row>
    <row r="727">
      <c r="A727" s="110">
        <v>12017.0</v>
      </c>
      <c r="B727" s="17">
        <v>71.0</v>
      </c>
      <c r="C727" s="11">
        <v>55.0</v>
      </c>
      <c r="D727" s="11">
        <v>96.0</v>
      </c>
      <c r="E727" s="11">
        <v>5.0</v>
      </c>
      <c r="F727" s="11">
        <v>9.0</v>
      </c>
      <c r="G727" s="215">
        <v>91954.74</v>
      </c>
      <c r="H727" s="11">
        <v>29.0</v>
      </c>
      <c r="I727" s="109">
        <v>9593.22</v>
      </c>
    </row>
    <row r="728">
      <c r="A728" s="110">
        <v>20914.0</v>
      </c>
      <c r="B728" s="17">
        <v>2.0</v>
      </c>
      <c r="C728" s="11">
        <v>76.0</v>
      </c>
      <c r="D728" s="11">
        <v>35.0</v>
      </c>
      <c r="E728" s="11">
        <v>1.0</v>
      </c>
      <c r="F728" s="11">
        <v>1.0</v>
      </c>
      <c r="G728" s="215">
        <v>75577.46</v>
      </c>
      <c r="H728" s="11">
        <v>20.0</v>
      </c>
      <c r="I728" s="109">
        <v>-76064.02</v>
      </c>
    </row>
    <row r="729">
      <c r="A729" s="110">
        <v>111219.0</v>
      </c>
      <c r="B729" s="17">
        <v>77.0</v>
      </c>
      <c r="C729" s="11">
        <v>96.0</v>
      </c>
      <c r="D729" s="11">
        <v>35.0</v>
      </c>
      <c r="E729" s="11">
        <v>1.0</v>
      </c>
      <c r="F729" s="11">
        <v>7.0</v>
      </c>
      <c r="G729" s="215">
        <v>-87865.6</v>
      </c>
      <c r="H729" s="11">
        <v>23.0</v>
      </c>
      <c r="I729" s="109">
        <v>-53912.32</v>
      </c>
    </row>
    <row r="730">
      <c r="A730" s="110">
        <v>60918.0</v>
      </c>
      <c r="B730" s="17">
        <v>26.0</v>
      </c>
      <c r="C730" s="11">
        <v>14.0</v>
      </c>
      <c r="D730" s="11">
        <v>96.0</v>
      </c>
      <c r="E730" s="11">
        <v>6.0</v>
      </c>
      <c r="F730" s="11">
        <v>1.0</v>
      </c>
      <c r="G730" s="215">
        <v>90134.0</v>
      </c>
      <c r="H730" s="11">
        <v>28.0</v>
      </c>
      <c r="I730" s="109">
        <v>67914.89</v>
      </c>
    </row>
    <row r="731">
      <c r="A731" s="110">
        <v>70921.0</v>
      </c>
      <c r="B731" s="17">
        <v>39.0</v>
      </c>
      <c r="C731" s="11">
        <v>35.0</v>
      </c>
      <c r="D731" s="11">
        <v>76.0</v>
      </c>
      <c r="E731" s="11">
        <v>1.0</v>
      </c>
      <c r="F731" s="11">
        <v>3.0</v>
      </c>
      <c r="G731" s="215">
        <v>-29454.62</v>
      </c>
      <c r="H731" s="11">
        <v>27.0</v>
      </c>
      <c r="I731" s="109">
        <v>73689.6</v>
      </c>
    </row>
    <row r="732">
      <c r="A732" s="110">
        <v>42819.0</v>
      </c>
      <c r="B732" s="17">
        <v>1.0</v>
      </c>
      <c r="C732" s="11">
        <v>76.0</v>
      </c>
      <c r="D732" s="11">
        <v>55.0</v>
      </c>
      <c r="E732" s="11">
        <v>6.0</v>
      </c>
      <c r="F732" s="11">
        <v>7.0</v>
      </c>
      <c r="G732" s="215">
        <v>-60413.13</v>
      </c>
      <c r="H732" s="11">
        <v>26.0</v>
      </c>
      <c r="I732" s="109">
        <v>32743.72</v>
      </c>
    </row>
    <row r="733">
      <c r="A733" s="110">
        <v>50813.0</v>
      </c>
      <c r="B733" s="17">
        <v>75.0</v>
      </c>
      <c r="C733" s="11">
        <v>35.0</v>
      </c>
      <c r="D733" s="11">
        <v>35.0</v>
      </c>
      <c r="E733" s="11">
        <v>2.0</v>
      </c>
      <c r="F733" s="11">
        <v>3.0</v>
      </c>
      <c r="G733" s="215">
        <v>-16970.55</v>
      </c>
      <c r="H733" s="11">
        <v>28.0</v>
      </c>
      <c r="I733" s="109">
        <v>-59502.95</v>
      </c>
    </row>
    <row r="734">
      <c r="A734" s="110">
        <v>11220.0</v>
      </c>
      <c r="B734" s="17">
        <v>1.0</v>
      </c>
      <c r="C734" s="11">
        <v>96.0</v>
      </c>
      <c r="D734" s="11">
        <v>96.0</v>
      </c>
      <c r="E734" s="11">
        <v>6.0</v>
      </c>
      <c r="F734" s="11">
        <v>9.0</v>
      </c>
      <c r="G734" s="215">
        <v>-33469.44</v>
      </c>
      <c r="H734" s="11">
        <v>26.0</v>
      </c>
      <c r="I734" s="109">
        <v>61239.18</v>
      </c>
    </row>
    <row r="735">
      <c r="A735" s="110">
        <v>31617.0</v>
      </c>
      <c r="B735" s="17">
        <v>91.0</v>
      </c>
      <c r="C735" s="11">
        <v>96.0</v>
      </c>
      <c r="D735" s="11">
        <v>55.0</v>
      </c>
      <c r="E735" s="11">
        <v>7.0</v>
      </c>
      <c r="F735" s="11">
        <v>4.0</v>
      </c>
      <c r="G735" s="215">
        <v>72098.27</v>
      </c>
      <c r="H735" s="11">
        <v>28.0</v>
      </c>
      <c r="I735" s="109">
        <v>-62760.75</v>
      </c>
    </row>
    <row r="736">
      <c r="A736" s="110">
        <v>81816.0</v>
      </c>
      <c r="B736" s="17">
        <v>16.0</v>
      </c>
      <c r="C736" s="11">
        <v>35.0</v>
      </c>
      <c r="D736" s="11">
        <v>55.0</v>
      </c>
      <c r="E736" s="11">
        <v>7.0</v>
      </c>
      <c r="F736" s="11">
        <v>5.0</v>
      </c>
      <c r="G736" s="215">
        <v>17413.73</v>
      </c>
      <c r="H736" s="11">
        <v>20.0</v>
      </c>
      <c r="I736" s="109">
        <v>-60982.98</v>
      </c>
    </row>
    <row r="737">
      <c r="A737" s="110">
        <v>91017.0</v>
      </c>
      <c r="B737" s="17">
        <v>96.0</v>
      </c>
      <c r="C737" s="11">
        <v>96.0</v>
      </c>
      <c r="D737" s="11">
        <v>35.0</v>
      </c>
      <c r="E737" s="11">
        <v>2.0</v>
      </c>
      <c r="F737" s="11">
        <v>8.0</v>
      </c>
      <c r="G737" s="215">
        <v>47652.57</v>
      </c>
      <c r="H737" s="11">
        <v>26.0</v>
      </c>
      <c r="I737" s="109">
        <v>-71982.3</v>
      </c>
    </row>
    <row r="738">
      <c r="A738" s="110">
        <v>122716.0</v>
      </c>
      <c r="B738" s="17">
        <v>86.0</v>
      </c>
      <c r="C738" s="11">
        <v>96.0</v>
      </c>
      <c r="D738" s="11">
        <v>35.0</v>
      </c>
      <c r="E738" s="11">
        <v>2.0</v>
      </c>
      <c r="F738" s="11">
        <v>9.0</v>
      </c>
      <c r="G738" s="215">
        <v>-1712.61</v>
      </c>
      <c r="H738" s="11">
        <v>20.0</v>
      </c>
      <c r="I738" s="109">
        <v>65826.97</v>
      </c>
    </row>
    <row r="739">
      <c r="A739" s="110">
        <v>31215.0</v>
      </c>
      <c r="B739" s="17">
        <v>72.0</v>
      </c>
      <c r="C739" s="11">
        <v>76.0</v>
      </c>
      <c r="D739" s="11">
        <v>76.0</v>
      </c>
      <c r="E739" s="11">
        <v>2.0</v>
      </c>
      <c r="F739" s="11">
        <v>6.0</v>
      </c>
      <c r="G739" s="215">
        <v>-15508.16</v>
      </c>
      <c r="H739" s="11">
        <v>26.0</v>
      </c>
      <c r="I739" s="109">
        <v>-79555.07</v>
      </c>
    </row>
    <row r="740">
      <c r="A740" s="110">
        <v>62313.0</v>
      </c>
      <c r="B740" s="17">
        <v>78.0</v>
      </c>
      <c r="C740" s="11">
        <v>76.0</v>
      </c>
      <c r="D740" s="11">
        <v>35.0</v>
      </c>
      <c r="E740" s="11">
        <v>3.0</v>
      </c>
      <c r="F740" s="11">
        <v>1.0</v>
      </c>
      <c r="G740" s="215">
        <v>-86622.02</v>
      </c>
      <c r="H740" s="11">
        <v>26.0</v>
      </c>
      <c r="I740" s="109">
        <v>54139.28</v>
      </c>
    </row>
    <row r="741">
      <c r="A741" s="110">
        <v>81619.0</v>
      </c>
      <c r="B741" s="17">
        <v>26.0</v>
      </c>
      <c r="C741" s="11">
        <v>35.0</v>
      </c>
      <c r="D741" s="11">
        <v>14.0</v>
      </c>
      <c r="E741" s="11">
        <v>8.0</v>
      </c>
      <c r="F741" s="11">
        <v>4.0</v>
      </c>
      <c r="G741" s="215">
        <v>-16173.43</v>
      </c>
      <c r="H741" s="11">
        <v>21.0</v>
      </c>
      <c r="I741" s="109">
        <v>91582.56</v>
      </c>
    </row>
    <row r="742">
      <c r="A742" s="110">
        <v>40220.0</v>
      </c>
      <c r="B742" s="17">
        <v>89.0</v>
      </c>
      <c r="C742" s="11">
        <v>15.0</v>
      </c>
      <c r="D742" s="11">
        <v>55.0</v>
      </c>
      <c r="E742" s="11">
        <v>8.0</v>
      </c>
      <c r="F742" s="11">
        <v>1.0</v>
      </c>
      <c r="G742" s="215">
        <v>-38714.2</v>
      </c>
      <c r="H742" s="11">
        <v>27.0</v>
      </c>
      <c r="I742" s="109">
        <v>-17849.33</v>
      </c>
    </row>
    <row r="743">
      <c r="A743" s="110">
        <v>113019.0</v>
      </c>
      <c r="B743" s="17">
        <v>85.0</v>
      </c>
      <c r="C743" s="11">
        <v>15.0</v>
      </c>
      <c r="D743" s="11">
        <v>76.0</v>
      </c>
      <c r="E743" s="11">
        <v>3.0</v>
      </c>
      <c r="F743" s="11">
        <v>2.0</v>
      </c>
      <c r="G743" s="215">
        <v>-43248.99</v>
      </c>
      <c r="H743" s="11">
        <v>25.0</v>
      </c>
      <c r="I743" s="109">
        <v>-47421.31</v>
      </c>
    </row>
    <row r="744">
      <c r="A744" s="110">
        <v>22818.0</v>
      </c>
      <c r="B744" s="17">
        <v>72.0</v>
      </c>
      <c r="C744" s="11">
        <v>35.0</v>
      </c>
      <c r="D744" s="11">
        <v>35.0</v>
      </c>
      <c r="E744" s="11">
        <v>3.0</v>
      </c>
      <c r="F744" s="11">
        <v>7.0</v>
      </c>
      <c r="G744" s="215">
        <v>93441.07</v>
      </c>
      <c r="H744" s="11">
        <v>25.0</v>
      </c>
      <c r="I744" s="109">
        <v>48770.29</v>
      </c>
    </row>
    <row r="745">
      <c r="A745" s="110">
        <v>41314.0</v>
      </c>
      <c r="B745" s="17">
        <v>69.0</v>
      </c>
      <c r="C745" s="11">
        <v>76.0</v>
      </c>
      <c r="D745" s="11">
        <v>76.0</v>
      </c>
      <c r="E745" s="11">
        <v>3.0</v>
      </c>
      <c r="F745" s="11">
        <v>8.0</v>
      </c>
      <c r="G745" s="215">
        <v>-1775.58</v>
      </c>
      <c r="H745" s="11">
        <v>26.0</v>
      </c>
      <c r="I745" s="109">
        <v>30675.96</v>
      </c>
    </row>
    <row r="746">
      <c r="A746" s="110">
        <v>10817.0</v>
      </c>
      <c r="B746" s="17">
        <v>91.0</v>
      </c>
      <c r="C746" s="11">
        <v>35.0</v>
      </c>
      <c r="D746" s="11">
        <v>35.0</v>
      </c>
      <c r="E746" s="11">
        <v>4.0</v>
      </c>
      <c r="F746" s="11">
        <v>3.0</v>
      </c>
      <c r="G746" s="215">
        <v>-3493.46</v>
      </c>
      <c r="H746" s="11">
        <v>23.0</v>
      </c>
      <c r="I746" s="109">
        <v>-15794.6</v>
      </c>
    </row>
    <row r="747">
      <c r="A747" s="110">
        <v>121120.0</v>
      </c>
      <c r="B747" s="17">
        <v>73.0</v>
      </c>
      <c r="C747" s="11">
        <v>97.0</v>
      </c>
      <c r="D747" s="11">
        <v>55.0</v>
      </c>
      <c r="E747" s="11">
        <v>9.0</v>
      </c>
      <c r="F747" s="11">
        <v>3.0</v>
      </c>
      <c r="G747" s="215">
        <v>-14625.97</v>
      </c>
      <c r="H747" s="11">
        <v>27.0</v>
      </c>
      <c r="I747" s="109">
        <v>34399.24</v>
      </c>
    </row>
    <row r="748">
      <c r="A748" s="110">
        <v>90720.0</v>
      </c>
      <c r="B748" s="17">
        <v>75.0</v>
      </c>
      <c r="C748" s="11">
        <v>97.0</v>
      </c>
      <c r="D748" s="11">
        <v>76.0</v>
      </c>
      <c r="E748" s="11">
        <v>4.0</v>
      </c>
      <c r="F748" s="11">
        <v>1.0</v>
      </c>
      <c r="G748" s="215">
        <v>63230.78</v>
      </c>
      <c r="H748" s="11">
        <v>21.0</v>
      </c>
      <c r="I748" s="109">
        <v>6748.05</v>
      </c>
    </row>
    <row r="749">
      <c r="A749" s="110">
        <v>32016.0</v>
      </c>
      <c r="B749" s="17">
        <v>30.0</v>
      </c>
      <c r="C749" s="11">
        <v>35.0</v>
      </c>
      <c r="D749" s="11">
        <v>14.0</v>
      </c>
      <c r="E749" s="11">
        <v>9.0</v>
      </c>
      <c r="F749" s="11">
        <v>8.0</v>
      </c>
      <c r="G749" s="215">
        <v>58369.37</v>
      </c>
      <c r="H749" s="11">
        <v>23.0</v>
      </c>
      <c r="I749" s="109">
        <v>40594.53</v>
      </c>
    </row>
    <row r="750">
      <c r="A750" s="110">
        <v>121420.0</v>
      </c>
      <c r="B750" s="17">
        <v>61.0</v>
      </c>
      <c r="C750" s="11">
        <v>76.0</v>
      </c>
      <c r="D750" s="11">
        <v>14.0</v>
      </c>
      <c r="E750" s="11">
        <v>9.0</v>
      </c>
      <c r="F750" s="11">
        <v>9.0</v>
      </c>
      <c r="G750" s="215">
        <v>-52882.68</v>
      </c>
      <c r="H750" s="11">
        <v>23.0</v>
      </c>
      <c r="I750" s="109">
        <v>37954.29</v>
      </c>
    </row>
    <row r="751">
      <c r="A751" s="110">
        <v>90817.0</v>
      </c>
      <c r="B751" s="17">
        <v>75.0</v>
      </c>
      <c r="C751" s="11">
        <v>15.0</v>
      </c>
      <c r="D751" s="11">
        <v>55.0</v>
      </c>
      <c r="E751" s="11">
        <v>9.0</v>
      </c>
      <c r="F751" s="11">
        <v>9.0</v>
      </c>
      <c r="G751" s="215">
        <v>-75837.65</v>
      </c>
      <c r="H751" s="11">
        <v>28.0</v>
      </c>
      <c r="I751" s="109">
        <v>73984.39</v>
      </c>
    </row>
    <row r="752">
      <c r="A752" s="110">
        <v>100316.0</v>
      </c>
      <c r="B752" s="17">
        <v>60.0</v>
      </c>
      <c r="C752" s="11">
        <v>15.0</v>
      </c>
      <c r="D752" s="11">
        <v>76.0</v>
      </c>
      <c r="E752" s="11">
        <v>4.0</v>
      </c>
      <c r="F752" s="11">
        <v>8.0</v>
      </c>
      <c r="G752" s="215">
        <v>31651.0</v>
      </c>
      <c r="H752" s="11">
        <v>28.0</v>
      </c>
      <c r="I752" s="109">
        <v>-19470.64</v>
      </c>
    </row>
    <row r="753">
      <c r="A753" s="110">
        <v>71020.0</v>
      </c>
      <c r="B753" s="17">
        <v>70.0</v>
      </c>
      <c r="C753" s="11">
        <v>56.0</v>
      </c>
      <c r="D753" s="11">
        <v>96.0</v>
      </c>
      <c r="E753" s="11">
        <v>9.0</v>
      </c>
      <c r="F753" s="11">
        <v>8.0</v>
      </c>
      <c r="G753" s="215">
        <v>92421.42</v>
      </c>
      <c r="H753" s="11">
        <v>30.0</v>
      </c>
      <c r="I753" s="109">
        <v>-14745.21</v>
      </c>
    </row>
    <row r="754">
      <c r="A754" s="110">
        <v>92813.0</v>
      </c>
      <c r="B754" s="17">
        <v>65.0</v>
      </c>
      <c r="C754" s="11">
        <v>76.0</v>
      </c>
      <c r="D754" s="11">
        <v>76.0</v>
      </c>
      <c r="E754" s="11">
        <v>5.0</v>
      </c>
      <c r="F754" s="11">
        <v>1.0</v>
      </c>
      <c r="G754" s="215">
        <v>21353.81</v>
      </c>
      <c r="H754" s="11">
        <v>28.0</v>
      </c>
      <c r="I754" s="109">
        <v>-91012.16</v>
      </c>
    </row>
    <row r="755">
      <c r="A755" s="110">
        <v>11919.0</v>
      </c>
      <c r="B755" s="17">
        <v>3.0</v>
      </c>
      <c r="C755" s="11">
        <v>56.0</v>
      </c>
      <c r="D755" s="11">
        <v>76.0</v>
      </c>
      <c r="E755" s="11">
        <v>5.0</v>
      </c>
      <c r="F755" s="11">
        <v>2.0</v>
      </c>
      <c r="G755" s="215">
        <v>40418.84</v>
      </c>
      <c r="H755" s="11">
        <v>21.0</v>
      </c>
      <c r="I755" s="109">
        <v>-43660.57</v>
      </c>
    </row>
    <row r="756">
      <c r="A756" s="110">
        <v>121813.0</v>
      </c>
      <c r="B756" s="17">
        <v>21.0</v>
      </c>
      <c r="C756" s="11">
        <v>97.0</v>
      </c>
      <c r="D756" s="11">
        <v>76.0</v>
      </c>
      <c r="E756" s="11">
        <v>5.0</v>
      </c>
      <c r="F756" s="11">
        <v>4.0</v>
      </c>
      <c r="G756" s="215">
        <v>596.51</v>
      </c>
      <c r="H756" s="11">
        <v>28.0</v>
      </c>
      <c r="I756" s="109">
        <v>40529.0</v>
      </c>
    </row>
    <row r="757">
      <c r="A757" s="110">
        <v>62617.0</v>
      </c>
      <c r="B757" s="17">
        <v>38.0</v>
      </c>
      <c r="C757" s="11">
        <v>35.0</v>
      </c>
      <c r="D757" s="11">
        <v>35.0</v>
      </c>
      <c r="E757" s="11">
        <v>5.0</v>
      </c>
      <c r="F757" s="11">
        <v>8.0</v>
      </c>
      <c r="G757" s="215">
        <v>42666.53</v>
      </c>
      <c r="H757" s="11">
        <v>27.0</v>
      </c>
      <c r="I757" s="109">
        <v>-85244.0</v>
      </c>
    </row>
    <row r="758">
      <c r="A758" s="110">
        <v>111623.0</v>
      </c>
      <c r="B758" s="17">
        <v>16.0</v>
      </c>
      <c r="C758" s="11">
        <v>97.0</v>
      </c>
      <c r="D758" s="11">
        <v>15.0</v>
      </c>
      <c r="E758" s="11">
        <v>1.0</v>
      </c>
      <c r="F758" s="11">
        <v>4.0</v>
      </c>
      <c r="G758" s="215">
        <v>-57067.11</v>
      </c>
      <c r="H758" s="11">
        <v>23.0</v>
      </c>
      <c r="I758" s="109">
        <v>-23118.72</v>
      </c>
    </row>
    <row r="759">
      <c r="A759" s="110">
        <v>51621.0</v>
      </c>
      <c r="B759" s="17">
        <v>6.0</v>
      </c>
      <c r="C759" s="11">
        <v>35.0</v>
      </c>
      <c r="D759" s="11">
        <v>56.0</v>
      </c>
      <c r="E759" s="11">
        <v>1.0</v>
      </c>
      <c r="F759" s="11">
        <v>2.0</v>
      </c>
      <c r="G759" s="215">
        <v>-90739.58</v>
      </c>
      <c r="H759" s="11">
        <v>28.0</v>
      </c>
      <c r="I759" s="109">
        <v>75120.34</v>
      </c>
    </row>
    <row r="760">
      <c r="A760" s="110">
        <v>123019.0</v>
      </c>
      <c r="B760" s="17">
        <v>39.0</v>
      </c>
      <c r="C760" s="11">
        <v>15.0</v>
      </c>
      <c r="D760" s="11">
        <v>76.0</v>
      </c>
      <c r="E760" s="11">
        <v>6.0</v>
      </c>
      <c r="F760" s="11">
        <v>2.0</v>
      </c>
      <c r="G760" s="215">
        <v>56134.49</v>
      </c>
      <c r="H760" s="11">
        <v>27.0</v>
      </c>
      <c r="I760" s="109">
        <v>-81044.37</v>
      </c>
    </row>
    <row r="761">
      <c r="A761" s="110">
        <v>40813.0</v>
      </c>
      <c r="B761" s="17">
        <v>45.0</v>
      </c>
      <c r="C761" s="11">
        <v>76.0</v>
      </c>
      <c r="D761" s="11">
        <v>35.0</v>
      </c>
      <c r="E761" s="11">
        <v>6.0</v>
      </c>
      <c r="F761" s="11">
        <v>6.0</v>
      </c>
      <c r="G761" s="215">
        <v>60984.57</v>
      </c>
      <c r="H761" s="11">
        <v>22.0</v>
      </c>
      <c r="I761" s="109">
        <v>-93071.32</v>
      </c>
    </row>
    <row r="762">
      <c r="A762" s="110">
        <v>91913.0</v>
      </c>
      <c r="B762" s="17">
        <v>94.0</v>
      </c>
      <c r="C762" s="11">
        <v>15.0</v>
      </c>
      <c r="D762" s="11">
        <v>35.0</v>
      </c>
      <c r="E762" s="11">
        <v>6.0</v>
      </c>
      <c r="F762" s="11">
        <v>8.0</v>
      </c>
      <c r="G762" s="215">
        <v>45418.27</v>
      </c>
      <c r="H762" s="11">
        <v>23.0</v>
      </c>
      <c r="I762" s="109">
        <v>62800.09</v>
      </c>
    </row>
    <row r="763">
      <c r="A763" s="110">
        <v>72320.0</v>
      </c>
      <c r="B763" s="17">
        <v>57.0</v>
      </c>
      <c r="C763" s="11">
        <v>35.0</v>
      </c>
      <c r="D763" s="11">
        <v>15.0</v>
      </c>
      <c r="E763" s="11">
        <v>2.0</v>
      </c>
      <c r="F763" s="11">
        <v>5.0</v>
      </c>
      <c r="G763" s="215">
        <v>-9419.48</v>
      </c>
      <c r="H763" s="11">
        <v>23.0</v>
      </c>
      <c r="I763" s="109">
        <v>7205.39</v>
      </c>
    </row>
    <row r="764">
      <c r="A764" s="110">
        <v>101514.0</v>
      </c>
      <c r="B764" s="17">
        <v>58.0</v>
      </c>
      <c r="C764" s="11">
        <v>76.0</v>
      </c>
      <c r="D764" s="11">
        <v>56.0</v>
      </c>
      <c r="E764" s="11">
        <v>2.0</v>
      </c>
      <c r="F764" s="11">
        <v>2.0</v>
      </c>
      <c r="G764" s="215">
        <v>97167.22</v>
      </c>
      <c r="H764" s="11">
        <v>24.0</v>
      </c>
      <c r="I764" s="109">
        <v>-51975.91</v>
      </c>
    </row>
    <row r="765">
      <c r="A765" s="110">
        <v>52414.0</v>
      </c>
      <c r="B765" s="17">
        <v>23.0</v>
      </c>
      <c r="C765" s="11">
        <v>56.0</v>
      </c>
      <c r="D765" s="11">
        <v>15.0</v>
      </c>
      <c r="E765" s="11">
        <v>2.0</v>
      </c>
      <c r="F765" s="11">
        <v>8.0</v>
      </c>
      <c r="G765" s="215">
        <v>-2539.58</v>
      </c>
      <c r="H765" s="11">
        <v>30.0</v>
      </c>
      <c r="I765" s="109">
        <v>-31442.56</v>
      </c>
    </row>
    <row r="766">
      <c r="A766" s="110">
        <v>120422.0</v>
      </c>
      <c r="B766" s="17">
        <v>59.0</v>
      </c>
      <c r="C766" s="11">
        <v>35.0</v>
      </c>
      <c r="D766" s="11">
        <v>56.0</v>
      </c>
      <c r="E766" s="11">
        <v>2.0</v>
      </c>
      <c r="F766" s="11">
        <v>4.0</v>
      </c>
      <c r="G766" s="215">
        <v>59252.09</v>
      </c>
      <c r="H766" s="11">
        <v>30.0</v>
      </c>
      <c r="I766" s="109">
        <v>89244.03</v>
      </c>
    </row>
    <row r="767">
      <c r="A767" s="110">
        <v>71418.0</v>
      </c>
      <c r="B767" s="17">
        <v>12.0</v>
      </c>
      <c r="C767" s="11">
        <v>76.0</v>
      </c>
      <c r="D767" s="11">
        <v>15.0</v>
      </c>
      <c r="E767" s="11">
        <v>3.0</v>
      </c>
      <c r="F767" s="11">
        <v>1.0</v>
      </c>
      <c r="G767" s="215">
        <v>79295.5</v>
      </c>
      <c r="H767" s="11">
        <v>27.0</v>
      </c>
      <c r="I767" s="109">
        <v>50798.56</v>
      </c>
    </row>
    <row r="768">
      <c r="A768" s="110">
        <v>70720.0</v>
      </c>
      <c r="B768" s="17">
        <v>30.0</v>
      </c>
      <c r="C768" s="11">
        <v>56.0</v>
      </c>
      <c r="D768" s="11">
        <v>35.0</v>
      </c>
      <c r="E768" s="11">
        <v>7.0</v>
      </c>
      <c r="F768" s="11">
        <v>9.0</v>
      </c>
      <c r="G768" s="215">
        <v>60632.15</v>
      </c>
      <c r="H768" s="11">
        <v>28.0</v>
      </c>
      <c r="I768" s="109">
        <v>7921.65</v>
      </c>
    </row>
    <row r="769">
      <c r="A769" s="110">
        <v>20816.0</v>
      </c>
      <c r="B769" s="17">
        <v>43.0</v>
      </c>
      <c r="C769" s="11">
        <v>35.0</v>
      </c>
      <c r="D769" s="11">
        <v>56.0</v>
      </c>
      <c r="E769" s="11">
        <v>2.0</v>
      </c>
      <c r="F769" s="11">
        <v>7.0</v>
      </c>
      <c r="G769" s="215">
        <v>46820.77</v>
      </c>
      <c r="H769" s="11">
        <v>22.0</v>
      </c>
      <c r="I769" s="109">
        <v>-21569.24</v>
      </c>
    </row>
    <row r="770">
      <c r="A770" s="110">
        <v>110120.0</v>
      </c>
      <c r="B770" s="17">
        <v>30.0</v>
      </c>
      <c r="C770" s="11">
        <v>15.0</v>
      </c>
      <c r="D770" s="11">
        <v>97.0</v>
      </c>
      <c r="E770" s="11">
        <v>2.0</v>
      </c>
      <c r="F770" s="11">
        <v>9.0</v>
      </c>
      <c r="G770" s="215">
        <v>-20969.48</v>
      </c>
      <c r="H770" s="11">
        <v>29.0</v>
      </c>
      <c r="I770" s="109">
        <v>68170.52</v>
      </c>
    </row>
    <row r="771">
      <c r="A771" s="110">
        <v>41123.0</v>
      </c>
      <c r="B771" s="17">
        <v>49.0</v>
      </c>
      <c r="C771" s="11">
        <v>97.0</v>
      </c>
      <c r="D771" s="11">
        <v>56.0</v>
      </c>
      <c r="E771" s="11">
        <v>3.0</v>
      </c>
      <c r="F771" s="11">
        <v>5.0</v>
      </c>
      <c r="G771" s="215">
        <v>57082.45</v>
      </c>
      <c r="H771" s="11">
        <v>26.0</v>
      </c>
      <c r="I771" s="109">
        <v>24891.16</v>
      </c>
    </row>
    <row r="772">
      <c r="A772" s="110">
        <v>93018.0</v>
      </c>
      <c r="B772" s="17">
        <v>85.0</v>
      </c>
      <c r="C772" s="11">
        <v>56.0</v>
      </c>
      <c r="D772" s="11">
        <v>76.0</v>
      </c>
      <c r="E772" s="11">
        <v>8.0</v>
      </c>
      <c r="F772" s="11">
        <v>4.0</v>
      </c>
      <c r="G772" s="215">
        <v>-62833.19</v>
      </c>
      <c r="H772" s="11">
        <v>28.0</v>
      </c>
      <c r="I772" s="109">
        <v>33144.37</v>
      </c>
    </row>
    <row r="773">
      <c r="A773" s="110">
        <v>12715.0</v>
      </c>
      <c r="B773" s="17">
        <v>88.0</v>
      </c>
      <c r="C773" s="11">
        <v>76.0</v>
      </c>
      <c r="D773" s="11">
        <v>76.0</v>
      </c>
      <c r="E773" s="11">
        <v>8.0</v>
      </c>
      <c r="F773" s="11">
        <v>3.0</v>
      </c>
      <c r="G773" s="215">
        <v>99635.26</v>
      </c>
      <c r="H773" s="11">
        <v>21.0</v>
      </c>
      <c r="I773" s="109">
        <v>48794.55</v>
      </c>
    </row>
    <row r="774">
      <c r="A774" s="110">
        <v>22722.0</v>
      </c>
      <c r="B774" s="17">
        <v>59.0</v>
      </c>
      <c r="C774" s="11">
        <v>56.0</v>
      </c>
      <c r="D774" s="11">
        <v>35.0</v>
      </c>
      <c r="E774" s="11">
        <v>8.0</v>
      </c>
      <c r="F774" s="11">
        <v>7.0</v>
      </c>
      <c r="G774" s="215">
        <v>61126.43</v>
      </c>
      <c r="H774" s="11">
        <v>21.0</v>
      </c>
      <c r="I774" s="109">
        <v>-3965.56</v>
      </c>
    </row>
    <row r="775">
      <c r="A775" s="110">
        <v>70417.0</v>
      </c>
      <c r="B775" s="17">
        <v>29.0</v>
      </c>
      <c r="C775" s="11">
        <v>35.0</v>
      </c>
      <c r="D775" s="11">
        <v>15.0</v>
      </c>
      <c r="E775" s="11">
        <v>4.0</v>
      </c>
      <c r="F775" s="11">
        <v>4.0</v>
      </c>
      <c r="G775" s="215">
        <v>-49399.99</v>
      </c>
      <c r="H775" s="11">
        <v>29.0</v>
      </c>
      <c r="I775" s="109">
        <v>11612.08</v>
      </c>
    </row>
    <row r="776">
      <c r="A776" s="110">
        <v>11922.0</v>
      </c>
      <c r="B776" s="17">
        <v>80.0</v>
      </c>
      <c r="C776" s="11">
        <v>56.0</v>
      </c>
      <c r="D776" s="11">
        <v>35.0</v>
      </c>
      <c r="E776" s="11">
        <v>9.0</v>
      </c>
      <c r="F776" s="11">
        <v>4.0</v>
      </c>
      <c r="G776" s="215">
        <v>59297.81</v>
      </c>
      <c r="H776" s="11">
        <v>30.0</v>
      </c>
      <c r="I776" s="109">
        <v>51788.19</v>
      </c>
    </row>
    <row r="777">
      <c r="A777" s="110">
        <v>80121.0</v>
      </c>
      <c r="B777" s="17">
        <v>11.0</v>
      </c>
      <c r="C777" s="11">
        <v>76.0</v>
      </c>
      <c r="D777" s="11">
        <v>15.0</v>
      </c>
      <c r="E777" s="11">
        <v>4.0</v>
      </c>
      <c r="F777" s="11">
        <v>9.0</v>
      </c>
      <c r="G777" s="215">
        <v>-68452.76</v>
      </c>
      <c r="H777" s="11">
        <v>30.0</v>
      </c>
      <c r="I777" s="109">
        <v>87432.39</v>
      </c>
    </row>
    <row r="778">
      <c r="A778" s="110">
        <v>92815.0</v>
      </c>
      <c r="B778" s="17">
        <v>11.0</v>
      </c>
      <c r="C778" s="11">
        <v>56.0</v>
      </c>
      <c r="D778" s="11">
        <v>56.0</v>
      </c>
      <c r="E778" s="11">
        <v>4.0</v>
      </c>
      <c r="F778" s="11">
        <v>6.0</v>
      </c>
      <c r="G778" s="215">
        <v>-86888.24</v>
      </c>
      <c r="H778" s="11">
        <v>26.0</v>
      </c>
      <c r="I778" s="109">
        <v>54131.85</v>
      </c>
    </row>
    <row r="779">
      <c r="A779" s="110">
        <v>71815.0</v>
      </c>
      <c r="B779" s="17">
        <v>43.0</v>
      </c>
      <c r="C779" s="11">
        <v>76.0</v>
      </c>
      <c r="D779" s="11">
        <v>56.0</v>
      </c>
      <c r="E779" s="11">
        <v>4.0</v>
      </c>
      <c r="F779" s="11">
        <v>7.0</v>
      </c>
      <c r="G779" s="215">
        <v>88488.09</v>
      </c>
      <c r="H779" s="11">
        <v>21.0</v>
      </c>
      <c r="I779" s="109">
        <v>70293.76</v>
      </c>
    </row>
    <row r="780">
      <c r="A780" s="110">
        <v>110221.0</v>
      </c>
      <c r="B780" s="17">
        <v>66.0</v>
      </c>
      <c r="C780" s="11">
        <v>56.0</v>
      </c>
      <c r="D780" s="11">
        <v>97.0</v>
      </c>
      <c r="E780" s="11">
        <v>4.0</v>
      </c>
      <c r="F780" s="11">
        <v>4.0</v>
      </c>
      <c r="G780" s="215">
        <v>-48225.82</v>
      </c>
      <c r="H780" s="11">
        <v>28.0</v>
      </c>
      <c r="I780" s="109">
        <v>-5145.96</v>
      </c>
    </row>
    <row r="781">
      <c r="A781" s="110">
        <v>40117.0</v>
      </c>
      <c r="B781" s="17">
        <v>29.0</v>
      </c>
      <c r="C781" s="11">
        <v>97.0</v>
      </c>
      <c r="D781" s="11">
        <v>15.0</v>
      </c>
      <c r="E781" s="11">
        <v>5.0</v>
      </c>
      <c r="F781" s="11">
        <v>5.0</v>
      </c>
      <c r="G781" s="215">
        <v>30845.58</v>
      </c>
      <c r="H781" s="11">
        <v>29.0</v>
      </c>
      <c r="I781" s="109">
        <v>69026.51</v>
      </c>
    </row>
    <row r="782">
      <c r="A782" s="110">
        <v>62823.0</v>
      </c>
      <c r="B782" s="17">
        <v>26.0</v>
      </c>
      <c r="C782" s="11">
        <v>97.0</v>
      </c>
      <c r="D782" s="11">
        <v>56.0</v>
      </c>
      <c r="E782" s="11">
        <v>5.0</v>
      </c>
      <c r="F782" s="11">
        <v>5.0</v>
      </c>
      <c r="G782" s="215">
        <v>-46363.9</v>
      </c>
      <c r="H782" s="11">
        <v>28.0</v>
      </c>
      <c r="I782" s="109">
        <v>-27154.64</v>
      </c>
    </row>
    <row r="783">
      <c r="A783" s="110">
        <v>113017.0</v>
      </c>
      <c r="B783" s="17">
        <v>7.0</v>
      </c>
      <c r="C783" s="11">
        <v>56.0</v>
      </c>
      <c r="D783" s="11">
        <v>97.0</v>
      </c>
      <c r="E783" s="11">
        <v>5.0</v>
      </c>
      <c r="F783" s="11">
        <v>2.0</v>
      </c>
      <c r="G783" s="215">
        <v>-7022.31</v>
      </c>
      <c r="H783" s="11">
        <v>26.0</v>
      </c>
      <c r="I783" s="109">
        <v>26970.95</v>
      </c>
    </row>
    <row r="784">
      <c r="A784" s="110">
        <v>71716.0</v>
      </c>
      <c r="B784" s="17">
        <v>9.0</v>
      </c>
      <c r="C784" s="11">
        <v>36.0</v>
      </c>
      <c r="D784" s="11">
        <v>56.0</v>
      </c>
      <c r="E784" s="11">
        <v>5.0</v>
      </c>
      <c r="F784" s="11">
        <v>7.0</v>
      </c>
      <c r="G784" s="215">
        <v>-42634.29</v>
      </c>
      <c r="H784" s="11">
        <v>23.0</v>
      </c>
      <c r="I784" s="109">
        <v>-12735.98</v>
      </c>
    </row>
    <row r="785">
      <c r="A785" s="110">
        <v>112215.0</v>
      </c>
      <c r="B785" s="17">
        <v>7.0</v>
      </c>
      <c r="C785" s="11">
        <v>15.0</v>
      </c>
      <c r="D785" s="11">
        <v>97.0</v>
      </c>
      <c r="E785" s="11">
        <v>5.0</v>
      </c>
      <c r="F785" s="11">
        <v>4.0</v>
      </c>
      <c r="G785" s="215">
        <v>-91918.49</v>
      </c>
      <c r="H785" s="11">
        <v>23.0</v>
      </c>
      <c r="I785" s="109">
        <v>-88895.98</v>
      </c>
    </row>
    <row r="786">
      <c r="A786" s="110">
        <v>52621.0</v>
      </c>
      <c r="B786" s="17">
        <v>95.0</v>
      </c>
      <c r="C786" s="11">
        <v>36.0</v>
      </c>
      <c r="D786" s="11">
        <v>97.0</v>
      </c>
      <c r="E786" s="11">
        <v>5.0</v>
      </c>
      <c r="F786" s="11">
        <v>5.0</v>
      </c>
      <c r="G786" s="215">
        <v>69260.47</v>
      </c>
      <c r="H786" s="11">
        <v>26.0</v>
      </c>
      <c r="I786" s="109">
        <v>54115.27</v>
      </c>
    </row>
    <row r="787">
      <c r="A787" s="110">
        <v>71414.0</v>
      </c>
      <c r="B787" s="17">
        <v>5.0</v>
      </c>
      <c r="C787" s="11">
        <v>36.0</v>
      </c>
      <c r="D787" s="11">
        <v>56.0</v>
      </c>
      <c r="E787" s="11">
        <v>5.0</v>
      </c>
      <c r="F787" s="11">
        <v>9.0</v>
      </c>
      <c r="G787" s="215">
        <v>-6981.74</v>
      </c>
      <c r="H787" s="11">
        <v>28.0</v>
      </c>
      <c r="I787" s="109">
        <v>72626.44</v>
      </c>
    </row>
    <row r="788">
      <c r="A788" s="110">
        <v>53116.0</v>
      </c>
      <c r="B788" s="17">
        <v>47.0</v>
      </c>
      <c r="C788" s="11">
        <v>77.0</v>
      </c>
      <c r="D788" s="11">
        <v>15.0</v>
      </c>
      <c r="E788" s="11">
        <v>6.0</v>
      </c>
      <c r="F788" s="11">
        <v>5.0</v>
      </c>
      <c r="G788" s="215">
        <v>17007.78</v>
      </c>
      <c r="H788" s="11">
        <v>22.0</v>
      </c>
      <c r="I788" s="109">
        <v>98407.66</v>
      </c>
    </row>
    <row r="789">
      <c r="A789" s="110">
        <v>81814.0</v>
      </c>
      <c r="B789" s="17">
        <v>71.0</v>
      </c>
      <c r="C789" s="11">
        <v>97.0</v>
      </c>
      <c r="D789" s="11">
        <v>56.0</v>
      </c>
      <c r="E789" s="11">
        <v>6.0</v>
      </c>
      <c r="F789" s="11">
        <v>5.0</v>
      </c>
      <c r="G789" s="215">
        <v>79409.41</v>
      </c>
      <c r="H789" s="11">
        <v>30.0</v>
      </c>
      <c r="I789" s="109">
        <v>-80960.51</v>
      </c>
    </row>
    <row r="790">
      <c r="A790" s="110">
        <v>32617.0</v>
      </c>
      <c r="B790" s="17">
        <v>49.0</v>
      </c>
      <c r="C790" s="11">
        <v>15.0</v>
      </c>
      <c r="D790" s="11">
        <v>36.0</v>
      </c>
      <c r="E790" s="11">
        <v>2.0</v>
      </c>
      <c r="F790" s="11">
        <v>1.0</v>
      </c>
      <c r="G790" s="215">
        <v>86387.54</v>
      </c>
      <c r="H790" s="11">
        <v>28.0</v>
      </c>
      <c r="I790" s="109">
        <v>16734.26</v>
      </c>
    </row>
    <row r="791">
      <c r="A791" s="110">
        <v>52522.0</v>
      </c>
      <c r="B791" s="17">
        <v>63.0</v>
      </c>
      <c r="C791" s="11">
        <v>77.0</v>
      </c>
      <c r="D791" s="11">
        <v>77.0</v>
      </c>
      <c r="E791" s="11">
        <v>1.0</v>
      </c>
      <c r="F791" s="11">
        <v>7.0</v>
      </c>
      <c r="G791" s="215">
        <v>67866.26</v>
      </c>
      <c r="H791" s="11">
        <v>20.0</v>
      </c>
      <c r="I791" s="109">
        <v>82162.52</v>
      </c>
    </row>
    <row r="792">
      <c r="A792" s="110">
        <v>112613.0</v>
      </c>
      <c r="B792" s="17">
        <v>74.0</v>
      </c>
      <c r="C792" s="11">
        <v>77.0</v>
      </c>
      <c r="D792" s="11">
        <v>36.0</v>
      </c>
      <c r="E792" s="11">
        <v>2.0</v>
      </c>
      <c r="F792" s="11">
        <v>3.0</v>
      </c>
      <c r="G792" s="215">
        <v>-52495.83</v>
      </c>
      <c r="H792" s="11">
        <v>21.0</v>
      </c>
      <c r="I792" s="109">
        <v>82275.82</v>
      </c>
    </row>
    <row r="793">
      <c r="A793" s="110">
        <v>81220.0</v>
      </c>
      <c r="B793" s="17">
        <v>39.0</v>
      </c>
      <c r="C793" s="11">
        <v>56.0</v>
      </c>
      <c r="D793" s="11">
        <v>97.0</v>
      </c>
      <c r="E793" s="11">
        <v>6.0</v>
      </c>
      <c r="F793" s="11">
        <v>5.0</v>
      </c>
      <c r="G793" s="215">
        <v>53786.45</v>
      </c>
      <c r="H793" s="11">
        <v>26.0</v>
      </c>
      <c r="I793" s="109">
        <v>-34806.13</v>
      </c>
    </row>
    <row r="794">
      <c r="A794" s="110">
        <v>120720.0</v>
      </c>
      <c r="B794" s="17">
        <v>64.0</v>
      </c>
      <c r="C794" s="11">
        <v>97.0</v>
      </c>
      <c r="D794" s="11">
        <v>97.0</v>
      </c>
      <c r="E794" s="11">
        <v>6.0</v>
      </c>
      <c r="F794" s="11">
        <v>9.0</v>
      </c>
      <c r="G794" s="215">
        <v>58855.07</v>
      </c>
      <c r="H794" s="11">
        <v>22.0</v>
      </c>
      <c r="I794" s="109">
        <v>87410.0</v>
      </c>
    </row>
    <row r="795">
      <c r="A795" s="110">
        <v>80522.0</v>
      </c>
      <c r="B795" s="17">
        <v>89.0</v>
      </c>
      <c r="C795" s="11">
        <v>56.0</v>
      </c>
      <c r="D795" s="11">
        <v>56.0</v>
      </c>
      <c r="E795" s="11">
        <v>7.0</v>
      </c>
      <c r="F795" s="11">
        <v>4.0</v>
      </c>
      <c r="G795" s="215">
        <v>62035.52</v>
      </c>
      <c r="H795" s="11">
        <v>20.0</v>
      </c>
      <c r="I795" s="109">
        <v>13283.01</v>
      </c>
    </row>
    <row r="796">
      <c r="A796" s="110">
        <v>61616.0</v>
      </c>
      <c r="B796" s="17">
        <v>78.0</v>
      </c>
      <c r="C796" s="11">
        <v>97.0</v>
      </c>
      <c r="D796" s="11">
        <v>15.0</v>
      </c>
      <c r="E796" s="11">
        <v>7.0</v>
      </c>
      <c r="F796" s="11">
        <v>9.0</v>
      </c>
      <c r="G796" s="215">
        <v>90455.38</v>
      </c>
      <c r="H796" s="11">
        <v>23.0</v>
      </c>
      <c r="I796" s="109">
        <v>99251.63</v>
      </c>
    </row>
    <row r="797">
      <c r="A797" s="110">
        <v>110723.0</v>
      </c>
      <c r="B797" s="17">
        <v>1.0</v>
      </c>
      <c r="C797" s="11">
        <v>77.0</v>
      </c>
      <c r="D797" s="11">
        <v>97.0</v>
      </c>
      <c r="E797" s="11">
        <v>7.0</v>
      </c>
      <c r="F797" s="11">
        <v>2.0</v>
      </c>
      <c r="G797" s="215">
        <v>-85501.38</v>
      </c>
      <c r="H797" s="11">
        <v>26.0</v>
      </c>
      <c r="I797" s="109">
        <v>-60454.6</v>
      </c>
    </row>
    <row r="798">
      <c r="A798" s="110">
        <v>62316.0</v>
      </c>
      <c r="B798" s="17">
        <v>96.0</v>
      </c>
      <c r="C798" s="11">
        <v>15.0</v>
      </c>
      <c r="D798" s="11">
        <v>56.0</v>
      </c>
      <c r="E798" s="11">
        <v>7.0</v>
      </c>
      <c r="F798" s="11">
        <v>5.0</v>
      </c>
      <c r="G798" s="215">
        <v>-67214.88</v>
      </c>
      <c r="H798" s="11">
        <v>22.0</v>
      </c>
      <c r="I798" s="109">
        <v>-51598.4</v>
      </c>
    </row>
    <row r="799">
      <c r="A799" s="110">
        <v>43015.0</v>
      </c>
      <c r="B799" s="17">
        <v>41.0</v>
      </c>
      <c r="C799" s="11">
        <v>56.0</v>
      </c>
      <c r="D799" s="11">
        <v>97.0</v>
      </c>
      <c r="E799" s="11">
        <v>7.0</v>
      </c>
      <c r="F799" s="11">
        <v>4.0</v>
      </c>
      <c r="G799" s="215">
        <v>2085.02</v>
      </c>
      <c r="H799" s="11">
        <v>27.0</v>
      </c>
      <c r="I799" s="109">
        <v>-64416.04</v>
      </c>
    </row>
    <row r="800">
      <c r="A800" s="110">
        <v>62218.0</v>
      </c>
      <c r="B800" s="17">
        <v>56.0</v>
      </c>
      <c r="C800" s="11">
        <v>97.0</v>
      </c>
      <c r="D800" s="11">
        <v>15.0</v>
      </c>
      <c r="E800" s="11">
        <v>8.0</v>
      </c>
      <c r="F800" s="11">
        <v>3.0</v>
      </c>
      <c r="G800" s="215">
        <v>-55045.4</v>
      </c>
      <c r="H800" s="11">
        <v>29.0</v>
      </c>
      <c r="I800" s="109">
        <v>25656.09</v>
      </c>
    </row>
    <row r="801">
      <c r="A801" s="110">
        <v>61217.0</v>
      </c>
      <c r="B801" s="17">
        <v>67.0</v>
      </c>
      <c r="C801" s="11">
        <v>77.0</v>
      </c>
      <c r="D801" s="11">
        <v>77.0</v>
      </c>
      <c r="E801" s="11">
        <v>2.0</v>
      </c>
      <c r="F801" s="11">
        <v>3.0</v>
      </c>
      <c r="G801" s="215">
        <v>51038.59</v>
      </c>
      <c r="H801" s="11">
        <v>28.0</v>
      </c>
      <c r="I801" s="109">
        <v>-11659.49</v>
      </c>
    </row>
    <row r="802">
      <c r="A802" s="110">
        <v>30922.0</v>
      </c>
      <c r="B802" s="17">
        <v>48.0</v>
      </c>
      <c r="C802" s="11">
        <v>97.0</v>
      </c>
      <c r="D802" s="11">
        <v>97.0</v>
      </c>
      <c r="E802" s="11">
        <v>7.0</v>
      </c>
      <c r="F802" s="11">
        <v>7.0</v>
      </c>
      <c r="G802" s="215">
        <v>-6769.45</v>
      </c>
      <c r="H802" s="11">
        <v>27.0</v>
      </c>
      <c r="I802" s="109">
        <v>65728.01</v>
      </c>
    </row>
    <row r="803">
      <c r="A803" s="110">
        <v>30520.0</v>
      </c>
      <c r="B803" s="17">
        <v>15.0</v>
      </c>
      <c r="C803" s="11">
        <v>97.0</v>
      </c>
      <c r="D803" s="11">
        <v>97.0</v>
      </c>
      <c r="E803" s="11">
        <v>7.0</v>
      </c>
      <c r="F803" s="11">
        <v>8.0</v>
      </c>
      <c r="G803" s="215">
        <v>-2287.64</v>
      </c>
      <c r="H803" s="11">
        <v>20.0</v>
      </c>
      <c r="I803" s="109">
        <v>53313.19</v>
      </c>
    </row>
    <row r="804">
      <c r="A804" s="110">
        <v>111719.0</v>
      </c>
      <c r="B804" s="17">
        <v>49.0</v>
      </c>
      <c r="C804" s="11">
        <v>56.0</v>
      </c>
      <c r="D804" s="11">
        <v>77.0</v>
      </c>
      <c r="E804" s="11">
        <v>3.0</v>
      </c>
      <c r="F804" s="11">
        <v>3.0</v>
      </c>
      <c r="G804" s="215">
        <v>95283.22</v>
      </c>
      <c r="H804" s="11">
        <v>26.0</v>
      </c>
      <c r="I804" s="109">
        <v>57179.84</v>
      </c>
    </row>
    <row r="805">
      <c r="A805" s="110">
        <v>60717.0</v>
      </c>
      <c r="B805" s="17">
        <v>18.0</v>
      </c>
      <c r="C805" s="11">
        <v>36.0</v>
      </c>
      <c r="D805" s="11">
        <v>97.0</v>
      </c>
      <c r="E805" s="11">
        <v>8.0</v>
      </c>
      <c r="F805" s="11">
        <v>1.0</v>
      </c>
      <c r="G805" s="215">
        <v>-64608.13</v>
      </c>
      <c r="H805" s="11">
        <v>29.0</v>
      </c>
      <c r="I805" s="109">
        <v>80108.36</v>
      </c>
    </row>
    <row r="806">
      <c r="A806" s="110">
        <v>82815.0</v>
      </c>
      <c r="B806" s="17">
        <v>47.0</v>
      </c>
      <c r="C806" s="11">
        <v>15.0</v>
      </c>
      <c r="D806" s="11">
        <v>77.0</v>
      </c>
      <c r="E806" s="11">
        <v>3.0</v>
      </c>
      <c r="F806" s="11">
        <v>6.0</v>
      </c>
      <c r="G806" s="215">
        <v>99550.53</v>
      </c>
      <c r="H806" s="11">
        <v>24.0</v>
      </c>
      <c r="I806" s="109">
        <v>38269.23</v>
      </c>
    </row>
    <row r="807">
      <c r="A807" s="110">
        <v>13014.0</v>
      </c>
      <c r="B807" s="17">
        <v>61.0</v>
      </c>
      <c r="C807" s="11">
        <v>56.0</v>
      </c>
      <c r="D807" s="11">
        <v>97.0</v>
      </c>
      <c r="E807" s="11">
        <v>8.0</v>
      </c>
      <c r="F807" s="11">
        <v>6.0</v>
      </c>
      <c r="G807" s="215">
        <v>484.02</v>
      </c>
      <c r="H807" s="11">
        <v>21.0</v>
      </c>
      <c r="I807" s="109">
        <v>31069.45</v>
      </c>
    </row>
    <row r="808">
      <c r="A808" s="110">
        <v>91114.0</v>
      </c>
      <c r="B808" s="17">
        <v>11.0</v>
      </c>
      <c r="C808" s="11">
        <v>77.0</v>
      </c>
      <c r="D808" s="11">
        <v>15.0</v>
      </c>
      <c r="E808" s="11">
        <v>9.0</v>
      </c>
      <c r="F808" s="11">
        <v>5.0</v>
      </c>
      <c r="G808" s="215">
        <v>84118.54</v>
      </c>
      <c r="H808" s="11">
        <v>21.0</v>
      </c>
      <c r="I808" s="109">
        <v>-52982.04</v>
      </c>
    </row>
    <row r="809">
      <c r="A809" s="110">
        <v>50920.0</v>
      </c>
      <c r="B809" s="17">
        <v>82.0</v>
      </c>
      <c r="C809" s="11">
        <v>56.0</v>
      </c>
      <c r="D809" s="11">
        <v>97.0</v>
      </c>
      <c r="E809" s="11">
        <v>8.0</v>
      </c>
      <c r="F809" s="11">
        <v>7.0</v>
      </c>
      <c r="G809" s="215">
        <v>-67680.31</v>
      </c>
      <c r="H809" s="11">
        <v>28.0</v>
      </c>
      <c r="I809" s="109">
        <v>38060.53</v>
      </c>
    </row>
    <row r="810">
      <c r="A810" s="110">
        <v>110822.0</v>
      </c>
      <c r="B810" s="17">
        <v>1.0</v>
      </c>
      <c r="C810" s="11">
        <v>36.0</v>
      </c>
      <c r="D810" s="11">
        <v>15.0</v>
      </c>
      <c r="E810" s="11">
        <v>9.0</v>
      </c>
      <c r="F810" s="11">
        <v>8.0</v>
      </c>
      <c r="G810" s="215">
        <v>-57999.69</v>
      </c>
      <c r="H810" s="11">
        <v>23.0</v>
      </c>
      <c r="I810" s="109">
        <v>-72436.55</v>
      </c>
    </row>
    <row r="811">
      <c r="A811" s="110">
        <v>31814.0</v>
      </c>
      <c r="B811" s="17">
        <v>73.0</v>
      </c>
      <c r="C811" s="11">
        <v>97.0</v>
      </c>
      <c r="D811" s="11">
        <v>36.0</v>
      </c>
      <c r="E811" s="11">
        <v>4.0</v>
      </c>
      <c r="F811" s="11">
        <v>8.0</v>
      </c>
      <c r="G811" s="215">
        <v>78605.21</v>
      </c>
      <c r="H811" s="11">
        <v>27.0</v>
      </c>
      <c r="I811" s="109">
        <v>-76098.05</v>
      </c>
    </row>
    <row r="812">
      <c r="A812" s="110">
        <v>62722.0</v>
      </c>
      <c r="B812" s="17">
        <v>11.0</v>
      </c>
      <c r="C812" s="11">
        <v>97.0</v>
      </c>
      <c r="D812" s="11">
        <v>77.0</v>
      </c>
      <c r="E812" s="11">
        <v>4.0</v>
      </c>
      <c r="F812" s="11">
        <v>5.0</v>
      </c>
      <c r="G812" s="215">
        <v>45353.79</v>
      </c>
      <c r="H812" s="11">
        <v>28.0</v>
      </c>
      <c r="I812" s="109">
        <v>-8969.28</v>
      </c>
    </row>
    <row r="813">
      <c r="A813" s="110">
        <v>102014.0</v>
      </c>
      <c r="B813" s="17">
        <v>30.0</v>
      </c>
      <c r="C813" s="11">
        <v>36.0</v>
      </c>
      <c r="D813" s="11">
        <v>56.0</v>
      </c>
      <c r="E813" s="11">
        <v>9.0</v>
      </c>
      <c r="F813" s="11">
        <v>7.0</v>
      </c>
      <c r="G813" s="215">
        <v>44644.03</v>
      </c>
      <c r="H813" s="11">
        <v>22.0</v>
      </c>
      <c r="I813" s="109">
        <v>-88104.79</v>
      </c>
    </row>
    <row r="814">
      <c r="A814" s="110">
        <v>92820.0</v>
      </c>
      <c r="B814" s="17">
        <v>68.0</v>
      </c>
      <c r="C814" s="11">
        <v>15.0</v>
      </c>
      <c r="D814" s="11">
        <v>97.0</v>
      </c>
      <c r="E814" s="11">
        <v>9.0</v>
      </c>
      <c r="F814" s="11">
        <v>3.0</v>
      </c>
      <c r="G814" s="215">
        <v>-25337.73</v>
      </c>
      <c r="H814" s="11">
        <v>22.0</v>
      </c>
      <c r="I814" s="109">
        <v>33274.04</v>
      </c>
    </row>
    <row r="815">
      <c r="A815" s="110">
        <v>12217.0</v>
      </c>
      <c r="B815" s="17">
        <v>15.0</v>
      </c>
      <c r="C815" s="11">
        <v>97.0</v>
      </c>
      <c r="D815" s="11">
        <v>77.0</v>
      </c>
      <c r="E815" s="11">
        <v>4.0</v>
      </c>
      <c r="F815" s="11">
        <v>9.0</v>
      </c>
      <c r="G815" s="215">
        <v>-87758.52</v>
      </c>
      <c r="H815" s="11">
        <v>28.0</v>
      </c>
      <c r="I815" s="109">
        <v>-19575.42</v>
      </c>
    </row>
    <row r="816">
      <c r="A816" s="110">
        <v>31116.0</v>
      </c>
      <c r="B816" s="17">
        <v>39.0</v>
      </c>
      <c r="C816" s="11">
        <v>56.0</v>
      </c>
      <c r="D816" s="11">
        <v>36.0</v>
      </c>
      <c r="E816" s="11">
        <v>5.0</v>
      </c>
      <c r="F816" s="11">
        <v>5.0</v>
      </c>
      <c r="G816" s="215">
        <v>-81898.29</v>
      </c>
      <c r="H816" s="11">
        <v>22.0</v>
      </c>
      <c r="I816" s="109">
        <v>85886.09</v>
      </c>
    </row>
    <row r="817">
      <c r="A817" s="110">
        <v>122616.0</v>
      </c>
      <c r="B817" s="17">
        <v>85.0</v>
      </c>
      <c r="C817" s="11">
        <v>97.0</v>
      </c>
      <c r="D817" s="11">
        <v>77.0</v>
      </c>
      <c r="E817" s="11">
        <v>5.0</v>
      </c>
      <c r="F817" s="11">
        <v>2.0</v>
      </c>
      <c r="G817" s="215">
        <v>83806.73</v>
      </c>
      <c r="H817" s="11">
        <v>24.0</v>
      </c>
      <c r="I817" s="109">
        <v>-33846.47</v>
      </c>
    </row>
    <row r="818">
      <c r="A818" s="110">
        <v>110623.0</v>
      </c>
      <c r="B818" s="17">
        <v>54.0</v>
      </c>
      <c r="C818" s="11">
        <v>97.0</v>
      </c>
      <c r="D818" s="11">
        <v>77.0</v>
      </c>
      <c r="E818" s="11">
        <v>5.0</v>
      </c>
      <c r="F818" s="11">
        <v>3.0</v>
      </c>
      <c r="G818" s="215">
        <v>85371.77</v>
      </c>
      <c r="H818" s="11">
        <v>20.0</v>
      </c>
      <c r="I818" s="109">
        <v>-84844.13</v>
      </c>
    </row>
    <row r="819">
      <c r="A819" s="110">
        <v>90313.0</v>
      </c>
      <c r="B819" s="17">
        <v>30.0</v>
      </c>
      <c r="C819" s="11">
        <v>97.0</v>
      </c>
      <c r="D819" s="11">
        <v>77.0</v>
      </c>
      <c r="E819" s="11">
        <v>5.0</v>
      </c>
      <c r="F819" s="11">
        <v>6.0</v>
      </c>
      <c r="G819" s="215">
        <v>-99859.88</v>
      </c>
      <c r="H819" s="11">
        <v>21.0</v>
      </c>
      <c r="I819" s="109">
        <v>29195.65</v>
      </c>
    </row>
    <row r="820">
      <c r="A820" s="110">
        <v>30618.0</v>
      </c>
      <c r="B820" s="17">
        <v>39.0</v>
      </c>
      <c r="C820" s="11">
        <v>77.0</v>
      </c>
      <c r="D820" s="11">
        <v>77.0</v>
      </c>
      <c r="E820" s="11">
        <v>6.0</v>
      </c>
      <c r="F820" s="11">
        <v>1.0</v>
      </c>
      <c r="G820" s="215">
        <v>-98443.74</v>
      </c>
      <c r="H820" s="11">
        <v>27.0</v>
      </c>
      <c r="I820" s="109">
        <v>-15517.94</v>
      </c>
    </row>
    <row r="821">
      <c r="A821" s="110">
        <v>122214.0</v>
      </c>
      <c r="B821" s="17">
        <v>73.0</v>
      </c>
      <c r="C821" s="11">
        <v>36.0</v>
      </c>
      <c r="D821" s="11">
        <v>98.0</v>
      </c>
      <c r="E821" s="11">
        <v>1.0</v>
      </c>
      <c r="F821" s="11">
        <v>3.0</v>
      </c>
      <c r="G821" s="215">
        <v>97106.2</v>
      </c>
      <c r="H821" s="11">
        <v>30.0</v>
      </c>
      <c r="I821" s="109">
        <v>60483.77</v>
      </c>
    </row>
    <row r="822">
      <c r="A822" s="110">
        <v>51218.0</v>
      </c>
      <c r="B822" s="17">
        <v>83.0</v>
      </c>
      <c r="C822" s="11">
        <v>97.0</v>
      </c>
      <c r="D822" s="11">
        <v>77.0</v>
      </c>
      <c r="E822" s="11">
        <v>6.0</v>
      </c>
      <c r="F822" s="11">
        <v>8.0</v>
      </c>
      <c r="G822" s="215">
        <v>45303.7</v>
      </c>
      <c r="H822" s="11">
        <v>30.0</v>
      </c>
      <c r="I822" s="109">
        <v>24755.13</v>
      </c>
    </row>
    <row r="823">
      <c r="A823" s="110">
        <v>100421.0</v>
      </c>
      <c r="B823" s="17">
        <v>47.0</v>
      </c>
      <c r="C823" s="11">
        <v>36.0</v>
      </c>
      <c r="D823" s="11">
        <v>98.0</v>
      </c>
      <c r="E823" s="11">
        <v>1.0</v>
      </c>
      <c r="F823" s="11">
        <v>7.0</v>
      </c>
      <c r="G823" s="215">
        <v>14742.58</v>
      </c>
      <c r="H823" s="11">
        <v>28.0</v>
      </c>
      <c r="I823" s="109">
        <v>-71839.24</v>
      </c>
    </row>
    <row r="824">
      <c r="A824" s="110">
        <v>62220.0</v>
      </c>
      <c r="B824" s="17">
        <v>82.0</v>
      </c>
      <c r="C824" s="11">
        <v>77.0</v>
      </c>
      <c r="D824" s="11">
        <v>57.0</v>
      </c>
      <c r="E824" s="11">
        <v>2.0</v>
      </c>
      <c r="F824" s="11">
        <v>4.0</v>
      </c>
      <c r="G824" s="215">
        <v>82380.63</v>
      </c>
      <c r="H824" s="11">
        <v>21.0</v>
      </c>
      <c r="I824" s="109">
        <v>-15734.54</v>
      </c>
    </row>
    <row r="825">
      <c r="A825" s="110">
        <v>50214.0</v>
      </c>
      <c r="B825" s="17">
        <v>61.0</v>
      </c>
      <c r="C825" s="11">
        <v>57.0</v>
      </c>
      <c r="D825" s="11">
        <v>77.0</v>
      </c>
      <c r="E825" s="11">
        <v>7.0</v>
      </c>
      <c r="F825" s="11">
        <v>3.0</v>
      </c>
      <c r="G825" s="215">
        <v>-35640.97</v>
      </c>
      <c r="H825" s="11">
        <v>28.0</v>
      </c>
      <c r="I825" s="109">
        <v>-61922.36</v>
      </c>
    </row>
    <row r="826">
      <c r="A826" s="110">
        <v>32022.0</v>
      </c>
      <c r="B826" s="17">
        <v>87.0</v>
      </c>
      <c r="C826" s="11">
        <v>36.0</v>
      </c>
      <c r="D826" s="11">
        <v>77.0</v>
      </c>
      <c r="E826" s="11">
        <v>7.0</v>
      </c>
      <c r="F826" s="11">
        <v>4.0</v>
      </c>
      <c r="G826" s="215">
        <v>35360.67</v>
      </c>
      <c r="H826" s="11">
        <v>29.0</v>
      </c>
      <c r="I826" s="109">
        <v>90620.0</v>
      </c>
    </row>
    <row r="827">
      <c r="A827" s="110">
        <v>43017.0</v>
      </c>
      <c r="B827" s="17">
        <v>14.0</v>
      </c>
      <c r="C827" s="11">
        <v>57.0</v>
      </c>
      <c r="D827" s="11">
        <v>16.0</v>
      </c>
      <c r="E827" s="11">
        <v>2.0</v>
      </c>
      <c r="F827" s="11">
        <v>9.0</v>
      </c>
      <c r="G827" s="215">
        <v>-73398.01</v>
      </c>
      <c r="H827" s="11">
        <v>23.0</v>
      </c>
      <c r="I827" s="109">
        <v>80412.91</v>
      </c>
    </row>
    <row r="828">
      <c r="A828" s="110">
        <v>32020.0</v>
      </c>
      <c r="B828" s="17">
        <v>56.0</v>
      </c>
      <c r="C828" s="11">
        <v>98.0</v>
      </c>
      <c r="D828" s="11">
        <v>77.0</v>
      </c>
      <c r="E828" s="11">
        <v>7.0</v>
      </c>
      <c r="F828" s="11">
        <v>6.0</v>
      </c>
      <c r="G828" s="215">
        <v>-57517.76</v>
      </c>
      <c r="H828" s="11">
        <v>24.0</v>
      </c>
      <c r="I828" s="109">
        <v>-99527.33</v>
      </c>
    </row>
    <row r="829">
      <c r="A829" s="110">
        <v>92619.0</v>
      </c>
      <c r="B829" s="17">
        <v>23.0</v>
      </c>
      <c r="C829" s="11">
        <v>16.0</v>
      </c>
      <c r="D829" s="11">
        <v>98.0</v>
      </c>
      <c r="E829" s="11">
        <v>2.0</v>
      </c>
      <c r="F829" s="11">
        <v>2.0</v>
      </c>
      <c r="G829" s="215">
        <v>-52164.2</v>
      </c>
      <c r="H829" s="11">
        <v>26.0</v>
      </c>
      <c r="I829" s="109">
        <v>38355.85</v>
      </c>
    </row>
    <row r="830">
      <c r="A830" s="110">
        <v>91115.0</v>
      </c>
      <c r="B830" s="17">
        <v>93.0</v>
      </c>
      <c r="C830" s="11">
        <v>57.0</v>
      </c>
      <c r="D830" s="11">
        <v>36.0</v>
      </c>
      <c r="E830" s="11">
        <v>8.0</v>
      </c>
      <c r="F830" s="11">
        <v>2.0</v>
      </c>
      <c r="G830" s="215">
        <v>-1522.44</v>
      </c>
      <c r="H830" s="11">
        <v>25.0</v>
      </c>
      <c r="I830" s="109">
        <v>94539.57</v>
      </c>
    </row>
    <row r="831">
      <c r="A831" s="110">
        <v>32223.0</v>
      </c>
      <c r="B831" s="17">
        <v>22.0</v>
      </c>
      <c r="C831" s="11">
        <v>57.0</v>
      </c>
      <c r="D831" s="11">
        <v>77.0</v>
      </c>
      <c r="E831" s="11">
        <v>7.0</v>
      </c>
      <c r="F831" s="11">
        <v>8.0</v>
      </c>
      <c r="G831" s="215">
        <v>-19944.73</v>
      </c>
      <c r="H831" s="11">
        <v>24.0</v>
      </c>
      <c r="I831" s="109">
        <v>47048.58</v>
      </c>
    </row>
    <row r="832">
      <c r="A832" s="110">
        <v>22215.0</v>
      </c>
      <c r="B832" s="17">
        <v>55.0</v>
      </c>
      <c r="C832" s="11">
        <v>16.0</v>
      </c>
      <c r="D832" s="11">
        <v>36.0</v>
      </c>
      <c r="E832" s="11">
        <v>8.0</v>
      </c>
      <c r="F832" s="11">
        <v>5.0</v>
      </c>
      <c r="G832" s="215">
        <v>-84010.97</v>
      </c>
      <c r="H832" s="11">
        <v>30.0</v>
      </c>
      <c r="I832" s="109">
        <v>79144.5</v>
      </c>
    </row>
    <row r="833">
      <c r="A833" s="110">
        <v>80815.0</v>
      </c>
      <c r="B833" s="17">
        <v>39.0</v>
      </c>
      <c r="C833" s="11">
        <v>57.0</v>
      </c>
      <c r="D833" s="11">
        <v>36.0</v>
      </c>
      <c r="E833" s="11">
        <v>8.0</v>
      </c>
      <c r="F833" s="11">
        <v>6.0</v>
      </c>
      <c r="G833" s="215">
        <v>-23414.07</v>
      </c>
      <c r="H833" s="11">
        <v>20.0</v>
      </c>
      <c r="I833" s="109">
        <v>-2233.82</v>
      </c>
    </row>
    <row r="834">
      <c r="A834" s="110">
        <v>20913.0</v>
      </c>
      <c r="B834" s="17">
        <v>12.0</v>
      </c>
      <c r="C834" s="11">
        <v>16.0</v>
      </c>
      <c r="D834" s="11">
        <v>57.0</v>
      </c>
      <c r="E834" s="11">
        <v>3.0</v>
      </c>
      <c r="F834" s="11">
        <v>7.0</v>
      </c>
      <c r="G834" s="215">
        <v>-90066.26</v>
      </c>
      <c r="H834" s="11">
        <v>20.0</v>
      </c>
      <c r="I834" s="109">
        <v>32680.01</v>
      </c>
    </row>
    <row r="835">
      <c r="A835" s="110">
        <v>91223.0</v>
      </c>
      <c r="B835" s="17">
        <v>82.0</v>
      </c>
      <c r="C835" s="11">
        <v>36.0</v>
      </c>
      <c r="D835" s="11">
        <v>57.0</v>
      </c>
      <c r="E835" s="11">
        <v>3.0</v>
      </c>
      <c r="F835" s="11">
        <v>8.0</v>
      </c>
      <c r="G835" s="215">
        <v>-19129.1</v>
      </c>
      <c r="H835" s="11">
        <v>27.0</v>
      </c>
      <c r="I835" s="109">
        <v>-14995.47</v>
      </c>
    </row>
    <row r="836">
      <c r="A836" s="110">
        <v>111314.0</v>
      </c>
      <c r="B836" s="17">
        <v>32.0</v>
      </c>
      <c r="C836" s="11">
        <v>16.0</v>
      </c>
      <c r="D836" s="11">
        <v>36.0</v>
      </c>
      <c r="E836" s="11">
        <v>9.0</v>
      </c>
      <c r="F836" s="11">
        <v>3.0</v>
      </c>
      <c r="G836" s="215">
        <v>-32516.34</v>
      </c>
      <c r="H836" s="11">
        <v>27.0</v>
      </c>
      <c r="I836" s="109">
        <v>-70498.42</v>
      </c>
    </row>
    <row r="837">
      <c r="A837" s="110">
        <v>11120.0</v>
      </c>
      <c r="B837" s="17">
        <v>9.0</v>
      </c>
      <c r="C837" s="11">
        <v>77.0</v>
      </c>
      <c r="D837" s="11">
        <v>16.0</v>
      </c>
      <c r="E837" s="11">
        <v>4.0</v>
      </c>
      <c r="F837" s="11">
        <v>6.0</v>
      </c>
      <c r="G837" s="215">
        <v>-52294.89</v>
      </c>
      <c r="H837" s="11">
        <v>30.0</v>
      </c>
      <c r="I837" s="109">
        <v>-15782.33</v>
      </c>
    </row>
    <row r="838">
      <c r="A838" s="110">
        <v>30716.0</v>
      </c>
      <c r="B838" s="17">
        <v>30.0</v>
      </c>
      <c r="C838" s="11">
        <v>36.0</v>
      </c>
      <c r="D838" s="11">
        <v>57.0</v>
      </c>
      <c r="E838" s="11">
        <v>4.0</v>
      </c>
      <c r="F838" s="11">
        <v>3.0</v>
      </c>
      <c r="G838" s="215">
        <v>24351.19</v>
      </c>
      <c r="H838" s="11">
        <v>24.0</v>
      </c>
      <c r="I838" s="109">
        <v>45475.48</v>
      </c>
    </row>
    <row r="839">
      <c r="A839" s="110">
        <v>122313.0</v>
      </c>
      <c r="B839" s="17">
        <v>71.0</v>
      </c>
      <c r="C839" s="11">
        <v>98.0</v>
      </c>
      <c r="D839" s="11">
        <v>16.0</v>
      </c>
      <c r="E839" s="11">
        <v>4.0</v>
      </c>
      <c r="F839" s="11">
        <v>8.0</v>
      </c>
      <c r="G839" s="215">
        <v>45620.87</v>
      </c>
      <c r="H839" s="11">
        <v>30.0</v>
      </c>
      <c r="I839" s="109">
        <v>6221.03</v>
      </c>
    </row>
    <row r="840">
      <c r="A840" s="110">
        <v>71223.0</v>
      </c>
      <c r="B840" s="17">
        <v>92.0</v>
      </c>
      <c r="C840" s="11">
        <v>16.0</v>
      </c>
      <c r="D840" s="11">
        <v>98.0</v>
      </c>
      <c r="E840" s="11">
        <v>4.0</v>
      </c>
      <c r="F840" s="11">
        <v>2.0</v>
      </c>
      <c r="G840" s="215">
        <v>-59579.37</v>
      </c>
      <c r="H840" s="11">
        <v>25.0</v>
      </c>
      <c r="I840" s="109">
        <v>-85483.21</v>
      </c>
    </row>
    <row r="841">
      <c r="A841" s="110">
        <v>72523.0</v>
      </c>
      <c r="B841" s="17">
        <v>93.0</v>
      </c>
      <c r="C841" s="11">
        <v>57.0</v>
      </c>
      <c r="D841" s="11">
        <v>16.0</v>
      </c>
      <c r="E841" s="11">
        <v>5.0</v>
      </c>
      <c r="F841" s="11">
        <v>1.0</v>
      </c>
      <c r="G841" s="215">
        <v>-74647.85</v>
      </c>
      <c r="H841" s="11">
        <v>30.0</v>
      </c>
      <c r="I841" s="109">
        <v>47377.94</v>
      </c>
    </row>
    <row r="842">
      <c r="A842" s="110">
        <v>101713.0</v>
      </c>
      <c r="B842" s="17">
        <v>59.0</v>
      </c>
      <c r="C842" s="11">
        <v>77.0</v>
      </c>
      <c r="D842" s="11">
        <v>77.0</v>
      </c>
      <c r="E842" s="11">
        <v>9.0</v>
      </c>
      <c r="F842" s="11">
        <v>6.0</v>
      </c>
      <c r="G842" s="215">
        <v>52470.09</v>
      </c>
      <c r="H842" s="11">
        <v>20.0</v>
      </c>
      <c r="I842" s="109">
        <v>45050.19</v>
      </c>
    </row>
    <row r="843">
      <c r="A843" s="110">
        <v>112221.0</v>
      </c>
      <c r="B843" s="17">
        <v>25.0</v>
      </c>
      <c r="C843" s="11">
        <v>36.0</v>
      </c>
      <c r="D843" s="11">
        <v>16.0</v>
      </c>
      <c r="E843" s="11">
        <v>5.0</v>
      </c>
      <c r="F843" s="11">
        <v>3.0</v>
      </c>
      <c r="G843" s="215">
        <v>-56291.43</v>
      </c>
      <c r="H843" s="11">
        <v>26.0</v>
      </c>
      <c r="I843" s="109">
        <v>-48311.98</v>
      </c>
    </row>
    <row r="844">
      <c r="A844" s="110">
        <v>101122.0</v>
      </c>
      <c r="B844" s="17">
        <v>56.0</v>
      </c>
      <c r="C844" s="11">
        <v>98.0</v>
      </c>
      <c r="D844" s="11">
        <v>57.0</v>
      </c>
      <c r="E844" s="11">
        <v>4.0</v>
      </c>
      <c r="F844" s="11">
        <v>7.0</v>
      </c>
      <c r="G844" s="215">
        <v>50969.0</v>
      </c>
      <c r="H844" s="11">
        <v>26.0</v>
      </c>
      <c r="I844" s="109">
        <v>-44809.6</v>
      </c>
    </row>
    <row r="845">
      <c r="A845" s="110">
        <v>110216.0</v>
      </c>
      <c r="B845" s="17">
        <v>18.0</v>
      </c>
      <c r="C845" s="11">
        <v>98.0</v>
      </c>
      <c r="D845" s="11">
        <v>57.0</v>
      </c>
      <c r="E845" s="11">
        <v>5.0</v>
      </c>
      <c r="F845" s="11">
        <v>1.0</v>
      </c>
      <c r="G845" s="215">
        <v>29732.07</v>
      </c>
      <c r="H845" s="11">
        <v>24.0</v>
      </c>
      <c r="I845" s="109">
        <v>-89882.53</v>
      </c>
    </row>
    <row r="846">
      <c r="A846" s="110">
        <v>62821.0</v>
      </c>
      <c r="B846" s="17">
        <v>23.0</v>
      </c>
      <c r="C846" s="11">
        <v>78.0</v>
      </c>
      <c r="D846" s="11">
        <v>16.0</v>
      </c>
      <c r="E846" s="11">
        <v>6.0</v>
      </c>
      <c r="F846" s="11">
        <v>3.0</v>
      </c>
      <c r="G846" s="215">
        <v>-59004.0</v>
      </c>
      <c r="H846" s="11">
        <v>24.0</v>
      </c>
      <c r="I846" s="109">
        <v>26494.39</v>
      </c>
    </row>
    <row r="847">
      <c r="A847" s="110">
        <v>30113.0</v>
      </c>
      <c r="B847" s="17">
        <v>92.0</v>
      </c>
      <c r="C847" s="11">
        <v>37.0</v>
      </c>
      <c r="D847" s="11">
        <v>37.0</v>
      </c>
      <c r="E847" s="11">
        <v>1.0</v>
      </c>
      <c r="F847" s="11">
        <v>1.0</v>
      </c>
      <c r="G847" s="215">
        <v>6780.56</v>
      </c>
      <c r="H847" s="11">
        <v>28.0</v>
      </c>
      <c r="I847" s="109">
        <v>42700.29</v>
      </c>
    </row>
    <row r="848">
      <c r="A848" s="110">
        <v>100215.0</v>
      </c>
      <c r="B848" s="17">
        <v>48.0</v>
      </c>
      <c r="C848" s="11">
        <v>16.0</v>
      </c>
      <c r="D848" s="11">
        <v>16.0</v>
      </c>
      <c r="E848" s="11">
        <v>6.0</v>
      </c>
      <c r="F848" s="11">
        <v>5.0</v>
      </c>
      <c r="G848" s="215">
        <v>98944.61</v>
      </c>
      <c r="H848" s="11">
        <v>20.0</v>
      </c>
      <c r="I848" s="109">
        <v>-15784.77</v>
      </c>
    </row>
    <row r="849">
      <c r="A849" s="110">
        <v>42317.0</v>
      </c>
      <c r="B849" s="17">
        <v>81.0</v>
      </c>
      <c r="C849" s="11">
        <v>78.0</v>
      </c>
      <c r="D849" s="11">
        <v>98.0</v>
      </c>
      <c r="E849" s="11">
        <v>5.0</v>
      </c>
      <c r="F849" s="11">
        <v>9.0</v>
      </c>
      <c r="G849" s="215">
        <v>-61863.14</v>
      </c>
      <c r="H849" s="11">
        <v>26.0</v>
      </c>
      <c r="I849" s="109">
        <v>69416.03</v>
      </c>
    </row>
    <row r="850">
      <c r="A850" s="110">
        <v>81521.0</v>
      </c>
      <c r="B850" s="17">
        <v>47.0</v>
      </c>
      <c r="C850" s="11">
        <v>16.0</v>
      </c>
      <c r="D850" s="11">
        <v>57.0</v>
      </c>
      <c r="E850" s="11">
        <v>6.0</v>
      </c>
      <c r="F850" s="11">
        <v>4.0</v>
      </c>
      <c r="G850" s="215">
        <v>-45036.88</v>
      </c>
      <c r="H850" s="11">
        <v>22.0</v>
      </c>
      <c r="I850" s="109">
        <v>39416.28</v>
      </c>
    </row>
    <row r="851">
      <c r="A851" s="110">
        <v>60721.0</v>
      </c>
      <c r="B851" s="17">
        <v>65.0</v>
      </c>
      <c r="C851" s="11">
        <v>37.0</v>
      </c>
      <c r="D851" s="11">
        <v>98.0</v>
      </c>
      <c r="E851" s="11">
        <v>6.0</v>
      </c>
      <c r="F851" s="11">
        <v>1.0</v>
      </c>
      <c r="G851" s="215">
        <v>51392.56</v>
      </c>
      <c r="H851" s="11">
        <v>28.0</v>
      </c>
      <c r="I851" s="109">
        <v>22569.78</v>
      </c>
    </row>
    <row r="852">
      <c r="A852" s="110">
        <v>50618.0</v>
      </c>
      <c r="B852" s="17">
        <v>64.0</v>
      </c>
      <c r="C852" s="11">
        <v>37.0</v>
      </c>
      <c r="D852" s="11">
        <v>16.0</v>
      </c>
      <c r="E852" s="11">
        <v>6.0</v>
      </c>
      <c r="F852" s="11">
        <v>9.0</v>
      </c>
      <c r="G852" s="215">
        <v>71836.55</v>
      </c>
      <c r="H852" s="11">
        <v>21.0</v>
      </c>
      <c r="I852" s="109">
        <v>46966.65</v>
      </c>
    </row>
    <row r="853">
      <c r="A853" s="110">
        <v>80616.0</v>
      </c>
      <c r="B853" s="17">
        <v>19.0</v>
      </c>
      <c r="C853" s="11">
        <v>98.0</v>
      </c>
      <c r="D853" s="11">
        <v>78.0</v>
      </c>
      <c r="E853" s="11">
        <v>1.0</v>
      </c>
      <c r="F853" s="11">
        <v>5.0</v>
      </c>
      <c r="G853" s="215">
        <v>-18329.45</v>
      </c>
      <c r="H853" s="11">
        <v>26.0</v>
      </c>
      <c r="I853" s="109">
        <v>-73974.96</v>
      </c>
    </row>
    <row r="854">
      <c r="A854" s="110">
        <v>40621.0</v>
      </c>
      <c r="B854" s="17">
        <v>78.0</v>
      </c>
      <c r="C854" s="11">
        <v>78.0</v>
      </c>
      <c r="D854" s="11">
        <v>37.0</v>
      </c>
      <c r="E854" s="11">
        <v>1.0</v>
      </c>
      <c r="F854" s="11">
        <v>9.0</v>
      </c>
      <c r="G854" s="215">
        <v>34898.06</v>
      </c>
      <c r="H854" s="11">
        <v>24.0</v>
      </c>
      <c r="I854" s="109">
        <v>-95665.89</v>
      </c>
    </row>
    <row r="855">
      <c r="A855" s="110">
        <v>82114.0</v>
      </c>
      <c r="B855" s="17">
        <v>30.0</v>
      </c>
      <c r="C855" s="11">
        <v>16.0</v>
      </c>
      <c r="D855" s="11">
        <v>37.0</v>
      </c>
      <c r="E855" s="11">
        <v>1.0</v>
      </c>
      <c r="F855" s="11">
        <v>5.0</v>
      </c>
      <c r="G855" s="215">
        <v>-62987.67</v>
      </c>
      <c r="H855" s="11">
        <v>29.0</v>
      </c>
      <c r="I855" s="109">
        <v>-40580.61</v>
      </c>
    </row>
    <row r="856">
      <c r="A856" s="110">
        <v>112519.0</v>
      </c>
      <c r="B856" s="17">
        <v>76.0</v>
      </c>
      <c r="C856" s="11">
        <v>78.0</v>
      </c>
      <c r="D856" s="11">
        <v>57.0</v>
      </c>
      <c r="E856" s="11">
        <v>6.0</v>
      </c>
      <c r="F856" s="11">
        <v>3.0</v>
      </c>
      <c r="G856" s="215">
        <v>-45807.0</v>
      </c>
      <c r="H856" s="11">
        <v>27.0</v>
      </c>
      <c r="I856" s="109">
        <v>75119.12</v>
      </c>
    </row>
    <row r="857">
      <c r="A857" s="110">
        <v>121017.0</v>
      </c>
      <c r="B857" s="17">
        <v>68.0</v>
      </c>
      <c r="C857" s="11">
        <v>57.0</v>
      </c>
      <c r="D857" s="11">
        <v>78.0</v>
      </c>
      <c r="E857" s="11">
        <v>1.0</v>
      </c>
      <c r="F857" s="11">
        <v>2.0</v>
      </c>
      <c r="G857" s="215">
        <v>14122.23</v>
      </c>
      <c r="H857" s="11">
        <v>30.0</v>
      </c>
      <c r="I857" s="109">
        <v>-190.93</v>
      </c>
    </row>
    <row r="858">
      <c r="A858" s="110">
        <v>50216.0</v>
      </c>
      <c r="B858" s="17">
        <v>34.0</v>
      </c>
      <c r="C858" s="11">
        <v>16.0</v>
      </c>
      <c r="D858" s="11">
        <v>78.0</v>
      </c>
      <c r="E858" s="11">
        <v>2.0</v>
      </c>
      <c r="F858" s="11">
        <v>2.0</v>
      </c>
      <c r="G858" s="215">
        <v>-58880.44</v>
      </c>
      <c r="H858" s="11">
        <v>20.0</v>
      </c>
      <c r="I858" s="109">
        <v>20377.28</v>
      </c>
    </row>
    <row r="859">
      <c r="A859" s="110">
        <v>10220.0</v>
      </c>
      <c r="B859" s="17">
        <v>9.0</v>
      </c>
      <c r="C859" s="11">
        <v>16.0</v>
      </c>
      <c r="D859" s="11">
        <v>37.0</v>
      </c>
      <c r="E859" s="11">
        <v>2.0</v>
      </c>
      <c r="F859" s="11">
        <v>7.0</v>
      </c>
      <c r="G859" s="215">
        <v>61581.83</v>
      </c>
      <c r="H859" s="11">
        <v>29.0</v>
      </c>
      <c r="I859" s="109">
        <v>20680.12</v>
      </c>
    </row>
    <row r="860">
      <c r="A860" s="110">
        <v>82223.0</v>
      </c>
      <c r="B860" s="17">
        <v>47.0</v>
      </c>
      <c r="C860" s="11">
        <v>98.0</v>
      </c>
      <c r="D860" s="11">
        <v>98.0</v>
      </c>
      <c r="E860" s="11">
        <v>7.0</v>
      </c>
      <c r="F860" s="11">
        <v>4.0</v>
      </c>
      <c r="G860" s="215">
        <v>87708.25</v>
      </c>
      <c r="H860" s="11">
        <v>21.0</v>
      </c>
      <c r="I860" s="109">
        <v>-42547.98</v>
      </c>
    </row>
    <row r="861">
      <c r="A861" s="110">
        <v>52917.0</v>
      </c>
      <c r="B861" s="17">
        <v>58.0</v>
      </c>
      <c r="C861" s="11">
        <v>16.0</v>
      </c>
      <c r="D861" s="11">
        <v>16.0</v>
      </c>
      <c r="E861" s="11">
        <v>8.0</v>
      </c>
      <c r="F861" s="11">
        <v>5.0</v>
      </c>
      <c r="G861" s="215">
        <v>50813.98</v>
      </c>
      <c r="H861" s="11">
        <v>20.0</v>
      </c>
      <c r="I861" s="109">
        <v>42824.96</v>
      </c>
    </row>
    <row r="862">
      <c r="A862" s="110">
        <v>53118.0</v>
      </c>
      <c r="B862" s="17">
        <v>25.0</v>
      </c>
      <c r="C862" s="11">
        <v>98.0</v>
      </c>
      <c r="D862" s="11">
        <v>16.0</v>
      </c>
      <c r="E862" s="11">
        <v>8.0</v>
      </c>
      <c r="F862" s="11">
        <v>6.0</v>
      </c>
      <c r="G862" s="215">
        <v>-9689.98</v>
      </c>
      <c r="H862" s="11">
        <v>23.0</v>
      </c>
      <c r="I862" s="109">
        <v>-85836.17</v>
      </c>
    </row>
    <row r="863">
      <c r="A863" s="110">
        <v>51314.0</v>
      </c>
      <c r="B863" s="17">
        <v>14.0</v>
      </c>
      <c r="C863" s="11">
        <v>57.0</v>
      </c>
      <c r="D863" s="11">
        <v>57.0</v>
      </c>
      <c r="E863" s="11">
        <v>8.0</v>
      </c>
      <c r="F863" s="11">
        <v>5.0</v>
      </c>
      <c r="G863" s="215">
        <v>7320.55</v>
      </c>
      <c r="H863" s="11">
        <v>26.0</v>
      </c>
      <c r="I863" s="109">
        <v>-57918.22</v>
      </c>
    </row>
    <row r="864">
      <c r="A864" s="110">
        <v>112621.0</v>
      </c>
      <c r="B864" s="17">
        <v>2.0</v>
      </c>
      <c r="C864" s="11">
        <v>16.0</v>
      </c>
      <c r="D864" s="11">
        <v>37.0</v>
      </c>
      <c r="E864" s="11">
        <v>3.0</v>
      </c>
      <c r="F864" s="11">
        <v>7.0</v>
      </c>
      <c r="G864" s="215">
        <v>55001.73</v>
      </c>
      <c r="H864" s="11">
        <v>30.0</v>
      </c>
      <c r="I864" s="109">
        <v>-10529.51</v>
      </c>
    </row>
    <row r="865">
      <c r="A865" s="110">
        <v>122719.0</v>
      </c>
      <c r="B865" s="17">
        <v>61.0</v>
      </c>
      <c r="C865" s="11">
        <v>78.0</v>
      </c>
      <c r="D865" s="11">
        <v>98.0</v>
      </c>
      <c r="E865" s="11">
        <v>8.0</v>
      </c>
      <c r="F865" s="11">
        <v>4.0</v>
      </c>
      <c r="G865" s="215">
        <v>38535.58</v>
      </c>
      <c r="H865" s="11">
        <v>20.0</v>
      </c>
      <c r="I865" s="109">
        <v>-13863.96</v>
      </c>
    </row>
    <row r="866">
      <c r="A866" s="110">
        <v>12823.0</v>
      </c>
      <c r="B866" s="17">
        <v>80.0</v>
      </c>
      <c r="C866" s="11">
        <v>98.0</v>
      </c>
      <c r="D866" s="11">
        <v>16.0</v>
      </c>
      <c r="E866" s="11">
        <v>9.0</v>
      </c>
      <c r="F866" s="11">
        <v>5.0</v>
      </c>
      <c r="G866" s="215">
        <v>14764.29</v>
      </c>
      <c r="H866" s="11">
        <v>29.0</v>
      </c>
      <c r="I866" s="109">
        <v>95314.65</v>
      </c>
    </row>
    <row r="867">
      <c r="A867" s="110">
        <v>82715.0</v>
      </c>
      <c r="B867" s="17">
        <v>12.0</v>
      </c>
      <c r="C867" s="11">
        <v>57.0</v>
      </c>
      <c r="D867" s="11">
        <v>98.0</v>
      </c>
      <c r="E867" s="11">
        <v>8.0</v>
      </c>
      <c r="F867" s="11">
        <v>7.0</v>
      </c>
      <c r="G867" s="215">
        <v>-52119.91</v>
      </c>
      <c r="H867" s="11">
        <v>23.0</v>
      </c>
      <c r="I867" s="109">
        <v>-41183.41</v>
      </c>
    </row>
    <row r="868">
      <c r="A868" s="110">
        <v>72117.0</v>
      </c>
      <c r="B868" s="17">
        <v>81.0</v>
      </c>
      <c r="C868" s="11">
        <v>78.0</v>
      </c>
      <c r="D868" s="11">
        <v>78.0</v>
      </c>
      <c r="E868" s="11">
        <v>4.0</v>
      </c>
      <c r="F868" s="11">
        <v>1.0</v>
      </c>
      <c r="G868" s="215">
        <v>-62860.09</v>
      </c>
      <c r="H868" s="11">
        <v>24.0</v>
      </c>
      <c r="I868" s="109">
        <v>44527.98</v>
      </c>
    </row>
    <row r="869">
      <c r="A869" s="110">
        <v>32415.0</v>
      </c>
      <c r="B869" s="17">
        <v>36.0</v>
      </c>
      <c r="C869" s="11">
        <v>78.0</v>
      </c>
      <c r="D869" s="11">
        <v>57.0</v>
      </c>
      <c r="E869" s="11">
        <v>9.0</v>
      </c>
      <c r="F869" s="11">
        <v>3.0</v>
      </c>
      <c r="G869" s="215">
        <v>-32428.86</v>
      </c>
      <c r="H869" s="11">
        <v>20.0</v>
      </c>
      <c r="I869" s="109">
        <v>34868.54</v>
      </c>
    </row>
    <row r="870">
      <c r="A870" s="110">
        <v>42322.0</v>
      </c>
      <c r="B870" s="17">
        <v>96.0</v>
      </c>
      <c r="C870" s="11">
        <v>16.0</v>
      </c>
      <c r="D870" s="11">
        <v>57.0</v>
      </c>
      <c r="E870" s="11">
        <v>9.0</v>
      </c>
      <c r="F870" s="11">
        <v>5.0</v>
      </c>
      <c r="G870" s="215">
        <v>-91948.62</v>
      </c>
      <c r="H870" s="11">
        <v>22.0</v>
      </c>
      <c r="I870" s="109">
        <v>43309.34</v>
      </c>
    </row>
    <row r="871">
      <c r="A871" s="110">
        <v>112814.0</v>
      </c>
      <c r="B871" s="17">
        <v>15.0</v>
      </c>
      <c r="C871" s="11">
        <v>57.0</v>
      </c>
      <c r="D871" s="11">
        <v>37.0</v>
      </c>
      <c r="E871" s="11">
        <v>4.0</v>
      </c>
      <c r="F871" s="11">
        <v>7.0</v>
      </c>
      <c r="G871" s="215">
        <v>-27651.11</v>
      </c>
      <c r="H871" s="11">
        <v>20.0</v>
      </c>
      <c r="I871" s="109">
        <v>24339.83</v>
      </c>
    </row>
    <row r="872">
      <c r="A872" s="110">
        <v>42419.0</v>
      </c>
      <c r="B872" s="17">
        <v>45.0</v>
      </c>
      <c r="C872" s="11">
        <v>57.0</v>
      </c>
      <c r="D872" s="11">
        <v>37.0</v>
      </c>
      <c r="E872" s="11">
        <v>4.0</v>
      </c>
      <c r="F872" s="11">
        <v>5.0</v>
      </c>
      <c r="G872" s="215">
        <v>-92505.76</v>
      </c>
      <c r="H872" s="11">
        <v>20.0</v>
      </c>
      <c r="I872" s="109">
        <v>77183.98</v>
      </c>
    </row>
    <row r="873">
      <c r="A873" s="110">
        <v>82517.0</v>
      </c>
      <c r="B873" s="17">
        <v>21.0</v>
      </c>
      <c r="C873" s="11">
        <v>16.0</v>
      </c>
      <c r="D873" s="11">
        <v>78.0</v>
      </c>
      <c r="E873" s="11">
        <v>4.0</v>
      </c>
      <c r="F873" s="11">
        <v>6.0</v>
      </c>
      <c r="G873" s="215">
        <v>-93758.5</v>
      </c>
      <c r="H873" s="11">
        <v>29.0</v>
      </c>
      <c r="I873" s="109">
        <v>-94294.02</v>
      </c>
    </row>
    <row r="874">
      <c r="A874" s="110">
        <v>72915.0</v>
      </c>
      <c r="B874" s="17">
        <v>3.0</v>
      </c>
      <c r="C874" s="11">
        <v>98.0</v>
      </c>
      <c r="D874" s="11">
        <v>78.0</v>
      </c>
      <c r="E874" s="11">
        <v>4.0</v>
      </c>
      <c r="F874" s="11">
        <v>9.0</v>
      </c>
      <c r="G874" s="215">
        <v>-75844.83</v>
      </c>
      <c r="H874" s="11">
        <v>23.0</v>
      </c>
      <c r="I874" s="109">
        <v>-59066.97</v>
      </c>
    </row>
    <row r="875">
      <c r="A875" s="110">
        <v>30421.0</v>
      </c>
      <c r="B875" s="17">
        <v>66.0</v>
      </c>
      <c r="C875" s="11">
        <v>78.0</v>
      </c>
      <c r="D875" s="11">
        <v>37.0</v>
      </c>
      <c r="E875" s="11">
        <v>5.0</v>
      </c>
      <c r="F875" s="11">
        <v>6.0</v>
      </c>
      <c r="G875" s="215">
        <v>79780.01</v>
      </c>
      <c r="H875" s="11">
        <v>28.0</v>
      </c>
      <c r="I875" s="109">
        <v>71882.82</v>
      </c>
    </row>
    <row r="876">
      <c r="A876" s="110">
        <v>91820.0</v>
      </c>
      <c r="B876" s="17">
        <v>7.0</v>
      </c>
      <c r="C876" s="11">
        <v>37.0</v>
      </c>
      <c r="D876" s="11">
        <v>78.0</v>
      </c>
      <c r="E876" s="11">
        <v>5.0</v>
      </c>
      <c r="F876" s="11">
        <v>4.0</v>
      </c>
      <c r="G876" s="215">
        <v>-42279.12</v>
      </c>
      <c r="H876" s="11">
        <v>24.0</v>
      </c>
      <c r="I876" s="109">
        <v>86897.08</v>
      </c>
    </row>
    <row r="877">
      <c r="A877" s="110">
        <v>71313.0</v>
      </c>
      <c r="B877" s="17">
        <v>98.0</v>
      </c>
      <c r="C877" s="11">
        <v>37.0</v>
      </c>
      <c r="D877" s="11">
        <v>37.0</v>
      </c>
      <c r="E877" s="11">
        <v>6.0</v>
      </c>
      <c r="F877" s="11">
        <v>1.0</v>
      </c>
      <c r="G877" s="215">
        <v>55228.55</v>
      </c>
      <c r="H877" s="11">
        <v>29.0</v>
      </c>
      <c r="I877" s="109">
        <v>-561.08</v>
      </c>
    </row>
    <row r="878">
      <c r="A878" s="110">
        <v>52113.0</v>
      </c>
      <c r="B878" s="17">
        <v>44.0</v>
      </c>
      <c r="C878" s="11">
        <v>78.0</v>
      </c>
      <c r="D878" s="11">
        <v>17.0</v>
      </c>
      <c r="E878" s="11">
        <v>1.0</v>
      </c>
      <c r="F878" s="11">
        <v>5.0</v>
      </c>
      <c r="G878" s="215">
        <v>47691.3</v>
      </c>
      <c r="H878" s="11">
        <v>30.0</v>
      </c>
      <c r="I878" s="109">
        <v>89087.3</v>
      </c>
    </row>
    <row r="879">
      <c r="A879" s="110">
        <v>61616.0</v>
      </c>
      <c r="B879" s="17">
        <v>37.0</v>
      </c>
      <c r="C879" s="11">
        <v>37.0</v>
      </c>
      <c r="D879" s="11">
        <v>17.0</v>
      </c>
      <c r="E879" s="11">
        <v>1.0</v>
      </c>
      <c r="F879" s="11">
        <v>6.0</v>
      </c>
      <c r="G879" s="215">
        <v>-4027.74</v>
      </c>
      <c r="H879" s="11">
        <v>23.0</v>
      </c>
      <c r="I879" s="109">
        <v>87597.66</v>
      </c>
    </row>
    <row r="880">
      <c r="A880" s="110">
        <v>30420.0</v>
      </c>
      <c r="B880" s="17">
        <v>26.0</v>
      </c>
      <c r="C880" s="11">
        <v>78.0</v>
      </c>
      <c r="D880" s="11">
        <v>78.0</v>
      </c>
      <c r="E880" s="11">
        <v>6.0</v>
      </c>
      <c r="F880" s="11">
        <v>5.0</v>
      </c>
      <c r="G880" s="215">
        <v>-59720.19</v>
      </c>
      <c r="H880" s="11">
        <v>27.0</v>
      </c>
      <c r="I880" s="109">
        <v>-34801.67</v>
      </c>
    </row>
    <row r="881">
      <c r="A881" s="110">
        <v>122918.0</v>
      </c>
      <c r="B881" s="17">
        <v>76.0</v>
      </c>
      <c r="C881" s="11">
        <v>17.0</v>
      </c>
      <c r="D881" s="11">
        <v>99.0</v>
      </c>
      <c r="E881" s="11">
        <v>1.0</v>
      </c>
      <c r="F881" s="11">
        <v>4.0</v>
      </c>
      <c r="G881" s="215">
        <v>91426.99</v>
      </c>
      <c r="H881" s="11">
        <v>26.0</v>
      </c>
      <c r="I881" s="109">
        <v>-59639.75</v>
      </c>
    </row>
    <row r="882">
      <c r="A882" s="110">
        <v>70320.0</v>
      </c>
      <c r="B882" s="17">
        <v>90.0</v>
      </c>
      <c r="C882" s="11">
        <v>78.0</v>
      </c>
      <c r="D882" s="11">
        <v>78.0</v>
      </c>
      <c r="E882" s="11">
        <v>6.0</v>
      </c>
      <c r="F882" s="11">
        <v>8.0</v>
      </c>
      <c r="G882" s="215">
        <v>-47609.75</v>
      </c>
      <c r="H882" s="11">
        <v>22.0</v>
      </c>
      <c r="I882" s="109">
        <v>-83413.85</v>
      </c>
    </row>
    <row r="883">
      <c r="A883" s="110">
        <v>31922.0</v>
      </c>
      <c r="B883" s="17">
        <v>4.0</v>
      </c>
      <c r="C883" s="11">
        <v>58.0</v>
      </c>
      <c r="D883" s="11">
        <v>58.0</v>
      </c>
      <c r="E883" s="11">
        <v>2.0</v>
      </c>
      <c r="F883" s="11">
        <v>2.0</v>
      </c>
      <c r="G883" s="215">
        <v>56455.78</v>
      </c>
      <c r="H883" s="11">
        <v>28.0</v>
      </c>
      <c r="I883" s="109">
        <v>11915.92</v>
      </c>
    </row>
    <row r="884">
      <c r="A884" s="110">
        <v>122513.0</v>
      </c>
      <c r="B884" s="17">
        <v>48.0</v>
      </c>
      <c r="C884" s="11">
        <v>37.0</v>
      </c>
      <c r="D884" s="11">
        <v>17.0</v>
      </c>
      <c r="E884" s="11">
        <v>2.0</v>
      </c>
      <c r="F884" s="11">
        <v>7.0</v>
      </c>
      <c r="G884" s="215">
        <v>82785.51</v>
      </c>
      <c r="H884" s="11">
        <v>28.0</v>
      </c>
      <c r="I884" s="109">
        <v>-23465.06</v>
      </c>
    </row>
    <row r="885">
      <c r="A885" s="110">
        <v>91520.0</v>
      </c>
      <c r="B885" s="17">
        <v>62.0</v>
      </c>
      <c r="C885" s="11">
        <v>99.0</v>
      </c>
      <c r="D885" s="11">
        <v>17.0</v>
      </c>
      <c r="E885" s="11">
        <v>2.0</v>
      </c>
      <c r="F885" s="11">
        <v>6.0</v>
      </c>
      <c r="G885" s="215">
        <v>64936.24</v>
      </c>
      <c r="H885" s="11">
        <v>28.0</v>
      </c>
      <c r="I885" s="109">
        <v>23292.15</v>
      </c>
    </row>
    <row r="886">
      <c r="A886" s="110">
        <v>113019.0</v>
      </c>
      <c r="B886" s="17">
        <v>70.0</v>
      </c>
      <c r="C886" s="11">
        <v>17.0</v>
      </c>
      <c r="D886" s="11">
        <v>78.0</v>
      </c>
      <c r="E886" s="11">
        <v>7.0</v>
      </c>
      <c r="F886" s="11">
        <v>3.0</v>
      </c>
      <c r="G886" s="215">
        <v>-84493.48</v>
      </c>
      <c r="H886" s="11">
        <v>25.0</v>
      </c>
      <c r="I886" s="109">
        <v>-52097.69</v>
      </c>
    </row>
    <row r="887">
      <c r="A887" s="110">
        <v>72813.0</v>
      </c>
      <c r="B887" s="17">
        <v>76.0</v>
      </c>
      <c r="C887" s="11">
        <v>78.0</v>
      </c>
      <c r="D887" s="11">
        <v>99.0</v>
      </c>
      <c r="E887" s="11">
        <v>2.0</v>
      </c>
      <c r="F887" s="11">
        <v>1.0</v>
      </c>
      <c r="G887" s="215">
        <v>-74158.22</v>
      </c>
      <c r="H887" s="11">
        <v>30.0</v>
      </c>
      <c r="I887" s="109">
        <v>-29143.6</v>
      </c>
    </row>
    <row r="888">
      <c r="A888" s="110">
        <v>91517.0</v>
      </c>
      <c r="B888" s="17">
        <v>13.0</v>
      </c>
      <c r="C888" s="11">
        <v>58.0</v>
      </c>
      <c r="D888" s="11">
        <v>99.0</v>
      </c>
      <c r="E888" s="11">
        <v>2.0</v>
      </c>
      <c r="F888" s="11">
        <v>7.0</v>
      </c>
      <c r="G888" s="215">
        <v>28800.06</v>
      </c>
      <c r="H888" s="11">
        <v>28.0</v>
      </c>
      <c r="I888" s="109">
        <v>-20068.28</v>
      </c>
    </row>
    <row r="889">
      <c r="A889" s="110">
        <v>42615.0</v>
      </c>
      <c r="B889" s="17">
        <v>43.0</v>
      </c>
      <c r="C889" s="11">
        <v>99.0</v>
      </c>
      <c r="D889" s="11">
        <v>99.0</v>
      </c>
      <c r="E889" s="11">
        <v>2.0</v>
      </c>
      <c r="F889" s="11">
        <v>8.0</v>
      </c>
      <c r="G889" s="215">
        <v>-39051.01</v>
      </c>
      <c r="H889" s="11">
        <v>20.0</v>
      </c>
      <c r="I889" s="109">
        <v>-7802.74</v>
      </c>
    </row>
    <row r="890">
      <c r="A890" s="110">
        <v>40317.0</v>
      </c>
      <c r="B890" s="17">
        <v>42.0</v>
      </c>
      <c r="C890" s="11">
        <v>37.0</v>
      </c>
      <c r="D890" s="11">
        <v>99.0</v>
      </c>
      <c r="E890" s="11">
        <v>2.0</v>
      </c>
      <c r="F890" s="11">
        <v>9.0</v>
      </c>
      <c r="G890" s="215">
        <v>-60156.13</v>
      </c>
      <c r="H890" s="11">
        <v>21.0</v>
      </c>
      <c r="I890" s="109">
        <v>-90072.75</v>
      </c>
    </row>
    <row r="891">
      <c r="A891" s="110">
        <v>121813.0</v>
      </c>
      <c r="B891" s="17">
        <v>75.0</v>
      </c>
      <c r="C891" s="11">
        <v>17.0</v>
      </c>
      <c r="D891" s="11">
        <v>37.0</v>
      </c>
      <c r="E891" s="11">
        <v>8.0</v>
      </c>
      <c r="F891" s="11">
        <v>6.0</v>
      </c>
      <c r="G891" s="215">
        <v>2060.41</v>
      </c>
      <c r="H891" s="11">
        <v>27.0</v>
      </c>
      <c r="I891" s="109">
        <v>69753.22</v>
      </c>
    </row>
    <row r="892">
      <c r="A892" s="110">
        <v>41222.0</v>
      </c>
      <c r="B892" s="17">
        <v>60.0</v>
      </c>
      <c r="C892" s="11">
        <v>17.0</v>
      </c>
      <c r="D892" s="11">
        <v>78.0</v>
      </c>
      <c r="E892" s="11">
        <v>8.0</v>
      </c>
      <c r="F892" s="11">
        <v>3.0</v>
      </c>
      <c r="G892" s="215">
        <v>-14797.48</v>
      </c>
      <c r="H892" s="11">
        <v>29.0</v>
      </c>
      <c r="I892" s="109">
        <v>59030.24</v>
      </c>
    </row>
    <row r="893">
      <c r="A893" s="110">
        <v>21113.0</v>
      </c>
      <c r="B893" s="17">
        <v>12.0</v>
      </c>
      <c r="C893" s="11">
        <v>99.0</v>
      </c>
      <c r="D893" s="11">
        <v>17.0</v>
      </c>
      <c r="E893" s="11">
        <v>3.0</v>
      </c>
      <c r="F893" s="11">
        <v>9.0</v>
      </c>
      <c r="G893" s="215">
        <v>-74611.77</v>
      </c>
      <c r="H893" s="11">
        <v>21.0</v>
      </c>
      <c r="I893" s="109">
        <v>-8323.68</v>
      </c>
    </row>
    <row r="894">
      <c r="A894" s="110">
        <v>22514.0</v>
      </c>
      <c r="B894" s="17">
        <v>40.0</v>
      </c>
      <c r="C894" s="11">
        <v>37.0</v>
      </c>
      <c r="D894" s="11">
        <v>37.0</v>
      </c>
      <c r="E894" s="11">
        <v>8.0</v>
      </c>
      <c r="F894" s="11">
        <v>9.0</v>
      </c>
      <c r="G894" s="215">
        <v>99837.46</v>
      </c>
      <c r="H894" s="11">
        <v>25.0</v>
      </c>
      <c r="I894" s="109">
        <v>-73632.83</v>
      </c>
    </row>
    <row r="895">
      <c r="A895" s="110">
        <v>12919.0</v>
      </c>
      <c r="B895" s="17">
        <v>37.0</v>
      </c>
      <c r="C895" s="11">
        <v>37.0</v>
      </c>
      <c r="D895" s="11">
        <v>58.0</v>
      </c>
      <c r="E895" s="11">
        <v>3.0</v>
      </c>
      <c r="F895" s="11">
        <v>8.0</v>
      </c>
      <c r="G895" s="215">
        <v>51106.27</v>
      </c>
      <c r="H895" s="11">
        <v>30.0</v>
      </c>
      <c r="I895" s="109">
        <v>-39751.24</v>
      </c>
    </row>
    <row r="896">
      <c r="A896" s="110">
        <v>21119.0</v>
      </c>
      <c r="B896" s="17">
        <v>5.0</v>
      </c>
      <c r="C896" s="11">
        <v>37.0</v>
      </c>
      <c r="D896" s="11">
        <v>17.0</v>
      </c>
      <c r="E896" s="11">
        <v>3.0</v>
      </c>
      <c r="F896" s="11">
        <v>6.0</v>
      </c>
      <c r="G896" s="215">
        <v>81414.55</v>
      </c>
      <c r="H896" s="11">
        <v>28.0</v>
      </c>
      <c r="I896" s="109">
        <v>26462.42</v>
      </c>
    </row>
    <row r="897">
      <c r="A897" s="110">
        <v>120921.0</v>
      </c>
      <c r="B897" s="17">
        <v>5.0</v>
      </c>
      <c r="C897" s="11">
        <v>17.0</v>
      </c>
      <c r="D897" s="11">
        <v>37.0</v>
      </c>
      <c r="E897" s="11">
        <v>9.0</v>
      </c>
      <c r="F897" s="11">
        <v>2.0</v>
      </c>
      <c r="G897" s="215">
        <v>-7118.18</v>
      </c>
      <c r="H897" s="11">
        <v>27.0</v>
      </c>
      <c r="I897" s="109">
        <v>57310.43</v>
      </c>
    </row>
    <row r="898">
      <c r="A898" s="110">
        <v>31813.0</v>
      </c>
      <c r="B898" s="17">
        <v>39.0</v>
      </c>
      <c r="C898" s="11">
        <v>99.0</v>
      </c>
      <c r="D898" s="11">
        <v>78.0</v>
      </c>
      <c r="E898" s="11">
        <v>8.0</v>
      </c>
      <c r="F898" s="11">
        <v>8.0</v>
      </c>
      <c r="G898" s="215">
        <v>-2024.29</v>
      </c>
      <c r="H898" s="11">
        <v>20.0</v>
      </c>
      <c r="I898" s="109">
        <v>69132.74</v>
      </c>
    </row>
    <row r="899">
      <c r="A899" s="110">
        <v>82316.0</v>
      </c>
      <c r="B899" s="17">
        <v>9.0</v>
      </c>
      <c r="C899" s="11">
        <v>17.0</v>
      </c>
      <c r="D899" s="11">
        <v>17.0</v>
      </c>
      <c r="E899" s="11">
        <v>4.0</v>
      </c>
      <c r="F899" s="11">
        <v>3.0</v>
      </c>
      <c r="G899" s="215">
        <v>-54666.18</v>
      </c>
      <c r="H899" s="11">
        <v>23.0</v>
      </c>
      <c r="I899" s="109">
        <v>-72098.39</v>
      </c>
    </row>
    <row r="900">
      <c r="A900" s="110">
        <v>112322.0</v>
      </c>
      <c r="B900" s="17">
        <v>23.0</v>
      </c>
      <c r="C900" s="11">
        <v>99.0</v>
      </c>
      <c r="D900" s="11">
        <v>78.0</v>
      </c>
      <c r="E900" s="11">
        <v>8.0</v>
      </c>
      <c r="F900" s="11">
        <v>9.0</v>
      </c>
      <c r="G900" s="215">
        <v>-91953.66</v>
      </c>
      <c r="H900" s="11">
        <v>20.0</v>
      </c>
      <c r="I900" s="109">
        <v>-27084.06</v>
      </c>
    </row>
    <row r="901">
      <c r="A901" s="110">
        <v>52318.0</v>
      </c>
      <c r="B901" s="17">
        <v>92.0</v>
      </c>
      <c r="C901" s="11">
        <v>58.0</v>
      </c>
      <c r="D901" s="11">
        <v>17.0</v>
      </c>
      <c r="E901" s="11">
        <v>4.0</v>
      </c>
      <c r="F901" s="11">
        <v>8.0</v>
      </c>
      <c r="G901" s="215">
        <v>-40551.76</v>
      </c>
      <c r="H901" s="11">
        <v>30.0</v>
      </c>
      <c r="I901" s="109">
        <v>83478.45</v>
      </c>
    </row>
    <row r="902">
      <c r="A902" s="110">
        <v>31118.0</v>
      </c>
      <c r="B902" s="17">
        <v>44.0</v>
      </c>
      <c r="C902" s="11">
        <v>58.0</v>
      </c>
      <c r="D902" s="11">
        <v>17.0</v>
      </c>
      <c r="E902" s="11">
        <v>4.0</v>
      </c>
      <c r="F902" s="11">
        <v>1.0</v>
      </c>
      <c r="G902" s="215">
        <v>-6201.43</v>
      </c>
      <c r="H902" s="11">
        <v>29.0</v>
      </c>
      <c r="I902" s="109">
        <v>1454.29</v>
      </c>
    </row>
    <row r="903">
      <c r="A903" s="110">
        <v>81717.0</v>
      </c>
      <c r="B903" s="17">
        <v>68.0</v>
      </c>
      <c r="C903" s="11">
        <v>38.0</v>
      </c>
      <c r="D903" s="11">
        <v>78.0</v>
      </c>
      <c r="E903" s="11">
        <v>9.0</v>
      </c>
      <c r="F903" s="11">
        <v>4.0</v>
      </c>
      <c r="G903" s="215">
        <v>-74895.23</v>
      </c>
      <c r="H903" s="11">
        <v>23.0</v>
      </c>
      <c r="I903" s="109">
        <v>30442.0</v>
      </c>
    </row>
    <row r="904">
      <c r="A904" s="110">
        <v>83014.0</v>
      </c>
      <c r="B904" s="17">
        <v>5.0</v>
      </c>
      <c r="C904" s="11">
        <v>99.0</v>
      </c>
      <c r="D904" s="11">
        <v>37.0</v>
      </c>
      <c r="E904" s="11">
        <v>9.0</v>
      </c>
      <c r="F904" s="11">
        <v>9.0</v>
      </c>
      <c r="G904" s="215">
        <v>-56829.87</v>
      </c>
      <c r="H904" s="11">
        <v>27.0</v>
      </c>
      <c r="I904" s="109">
        <v>-48788.07</v>
      </c>
    </row>
    <row r="905">
      <c r="A905" s="110">
        <v>102821.0</v>
      </c>
      <c r="B905" s="17">
        <v>79.0</v>
      </c>
      <c r="C905" s="11">
        <v>58.0</v>
      </c>
      <c r="D905" s="11">
        <v>37.0</v>
      </c>
      <c r="E905" s="11">
        <v>9.0</v>
      </c>
      <c r="F905" s="11">
        <v>6.0</v>
      </c>
      <c r="G905" s="215">
        <v>70422.51</v>
      </c>
      <c r="H905" s="11">
        <v>22.0</v>
      </c>
      <c r="I905" s="109">
        <v>-38712.8</v>
      </c>
    </row>
    <row r="906">
      <c r="A906" s="110">
        <v>32618.0</v>
      </c>
      <c r="B906" s="17">
        <v>38.0</v>
      </c>
      <c r="C906" s="11">
        <v>79.0</v>
      </c>
      <c r="D906" s="11">
        <v>17.0</v>
      </c>
      <c r="E906" s="11">
        <v>5.0</v>
      </c>
      <c r="F906" s="11">
        <v>3.0</v>
      </c>
      <c r="G906" s="215">
        <v>81754.25</v>
      </c>
      <c r="H906" s="11">
        <v>29.0</v>
      </c>
      <c r="I906" s="109">
        <v>-66147.6</v>
      </c>
    </row>
    <row r="907">
      <c r="A907" s="110">
        <v>111620.0</v>
      </c>
      <c r="B907" s="17">
        <v>79.0</v>
      </c>
      <c r="C907" s="11">
        <v>58.0</v>
      </c>
      <c r="D907" s="11">
        <v>17.0</v>
      </c>
      <c r="E907" s="11">
        <v>5.0</v>
      </c>
      <c r="F907" s="11">
        <v>6.0</v>
      </c>
      <c r="G907" s="215">
        <v>-11823.05</v>
      </c>
      <c r="H907" s="11">
        <v>30.0</v>
      </c>
      <c r="I907" s="109">
        <v>-22951.04</v>
      </c>
    </row>
    <row r="908">
      <c r="A908" s="110">
        <v>111721.0</v>
      </c>
      <c r="B908" s="17">
        <v>4.0</v>
      </c>
      <c r="C908" s="11">
        <v>38.0</v>
      </c>
      <c r="D908" s="11">
        <v>99.0</v>
      </c>
      <c r="E908" s="11">
        <v>5.0</v>
      </c>
      <c r="F908" s="11">
        <v>3.0</v>
      </c>
      <c r="G908" s="215">
        <v>50282.43</v>
      </c>
      <c r="H908" s="11">
        <v>29.0</v>
      </c>
      <c r="I908" s="109">
        <v>87722.0</v>
      </c>
    </row>
    <row r="909">
      <c r="A909" s="110">
        <v>90922.0</v>
      </c>
      <c r="B909" s="17">
        <v>49.0</v>
      </c>
      <c r="C909" s="11">
        <v>17.0</v>
      </c>
      <c r="D909" s="11">
        <v>58.0</v>
      </c>
      <c r="E909" s="11">
        <v>5.0</v>
      </c>
      <c r="F909" s="11">
        <v>7.0</v>
      </c>
      <c r="G909" s="215">
        <v>95688.23</v>
      </c>
      <c r="H909" s="11">
        <v>23.0</v>
      </c>
      <c r="I909" s="109">
        <v>58974.68</v>
      </c>
    </row>
    <row r="910">
      <c r="A910" s="110">
        <v>80514.0</v>
      </c>
      <c r="B910" s="17">
        <v>52.0</v>
      </c>
      <c r="C910" s="11">
        <v>99.0</v>
      </c>
      <c r="D910" s="11">
        <v>58.0</v>
      </c>
      <c r="E910" s="11">
        <v>5.0</v>
      </c>
      <c r="F910" s="11">
        <v>9.0</v>
      </c>
      <c r="G910" s="215">
        <v>-7640.52</v>
      </c>
      <c r="H910" s="11">
        <v>25.0</v>
      </c>
      <c r="I910" s="109">
        <v>20188.69</v>
      </c>
    </row>
    <row r="911">
      <c r="A911" s="110">
        <v>80314.0</v>
      </c>
      <c r="B911" s="17">
        <v>61.0</v>
      </c>
      <c r="C911" s="11">
        <v>38.0</v>
      </c>
      <c r="D911" s="11">
        <v>38.0</v>
      </c>
      <c r="E911" s="11">
        <v>1.0</v>
      </c>
      <c r="F911" s="11">
        <v>3.0</v>
      </c>
      <c r="G911" s="215">
        <v>72368.44</v>
      </c>
      <c r="H911" s="11">
        <v>21.0</v>
      </c>
      <c r="I911" s="109">
        <v>-90417.63</v>
      </c>
    </row>
    <row r="912">
      <c r="A912" s="110">
        <v>50720.0</v>
      </c>
      <c r="B912" s="17">
        <v>29.0</v>
      </c>
      <c r="C912" s="11">
        <v>58.0</v>
      </c>
      <c r="D912" s="11">
        <v>99.0</v>
      </c>
      <c r="E912" s="11">
        <v>6.0</v>
      </c>
      <c r="F912" s="11">
        <v>2.0</v>
      </c>
      <c r="G912" s="215">
        <v>-67178.72</v>
      </c>
      <c r="H912" s="11">
        <v>29.0</v>
      </c>
      <c r="I912" s="109">
        <v>-63454.9</v>
      </c>
    </row>
    <row r="913">
      <c r="A913" s="110">
        <v>20721.0</v>
      </c>
      <c r="B913" s="17">
        <v>46.0</v>
      </c>
      <c r="C913" s="11">
        <v>17.0</v>
      </c>
      <c r="D913" s="11">
        <v>38.0</v>
      </c>
      <c r="E913" s="11">
        <v>1.0</v>
      </c>
      <c r="F913" s="11">
        <v>8.0</v>
      </c>
      <c r="G913" s="215">
        <v>24777.24</v>
      </c>
      <c r="H913" s="11">
        <v>28.0</v>
      </c>
      <c r="I913" s="109">
        <v>-98623.96</v>
      </c>
    </row>
    <row r="914">
      <c r="A914" s="110">
        <v>123015.0</v>
      </c>
      <c r="B914" s="17">
        <v>82.0</v>
      </c>
      <c r="C914" s="11">
        <v>99.0</v>
      </c>
      <c r="D914" s="11">
        <v>58.0</v>
      </c>
      <c r="E914" s="11">
        <v>6.0</v>
      </c>
      <c r="F914" s="11">
        <v>6.0</v>
      </c>
      <c r="G914" s="215">
        <v>20659.73</v>
      </c>
      <c r="H914" s="11">
        <v>22.0</v>
      </c>
      <c r="I914" s="109">
        <v>-63797.31</v>
      </c>
    </row>
    <row r="915">
      <c r="A915" s="110">
        <v>111922.0</v>
      </c>
      <c r="B915" s="17">
        <v>68.0</v>
      </c>
      <c r="C915" s="11">
        <v>58.0</v>
      </c>
      <c r="D915" s="11">
        <v>38.0</v>
      </c>
      <c r="E915" s="11">
        <v>2.0</v>
      </c>
      <c r="F915" s="11">
        <v>2.0</v>
      </c>
      <c r="G915" s="215">
        <v>-67287.35</v>
      </c>
      <c r="H915" s="11">
        <v>26.0</v>
      </c>
      <c r="I915" s="109">
        <v>-71553.79</v>
      </c>
    </row>
    <row r="916">
      <c r="A916" s="110">
        <v>122116.0</v>
      </c>
      <c r="B916" s="17">
        <v>70.0</v>
      </c>
      <c r="C916" s="11">
        <v>79.0</v>
      </c>
      <c r="D916" s="11">
        <v>99.0</v>
      </c>
      <c r="E916" s="11">
        <v>7.0</v>
      </c>
      <c r="F916" s="11">
        <v>1.0</v>
      </c>
      <c r="G916" s="215">
        <v>-90128.61</v>
      </c>
      <c r="H916" s="11">
        <v>28.0</v>
      </c>
      <c r="I916" s="109">
        <v>29744.99</v>
      </c>
    </row>
    <row r="917">
      <c r="A917" s="110">
        <v>51917.0</v>
      </c>
      <c r="B917" s="17">
        <v>13.0</v>
      </c>
      <c r="C917" s="11">
        <v>58.0</v>
      </c>
      <c r="D917" s="11">
        <v>99.0</v>
      </c>
      <c r="E917" s="11">
        <v>7.0</v>
      </c>
      <c r="F917" s="11">
        <v>4.0</v>
      </c>
      <c r="G917" s="215">
        <v>-81909.31</v>
      </c>
      <c r="H917" s="11">
        <v>23.0</v>
      </c>
      <c r="I917" s="109">
        <v>-94244.27</v>
      </c>
    </row>
    <row r="918">
      <c r="A918" s="110">
        <v>22118.0</v>
      </c>
      <c r="B918" s="17">
        <v>51.0</v>
      </c>
      <c r="C918" s="11">
        <v>38.0</v>
      </c>
      <c r="D918" s="11">
        <v>58.0</v>
      </c>
      <c r="E918" s="11">
        <v>8.0</v>
      </c>
      <c r="F918" s="11">
        <v>1.0</v>
      </c>
      <c r="G918" s="215">
        <v>89678.91</v>
      </c>
      <c r="H918" s="11">
        <v>20.0</v>
      </c>
      <c r="I918" s="109">
        <v>-24318.66</v>
      </c>
    </row>
    <row r="919">
      <c r="A919" s="110">
        <v>122318.0</v>
      </c>
      <c r="B919" s="17">
        <v>43.0</v>
      </c>
      <c r="C919" s="11">
        <v>38.0</v>
      </c>
      <c r="D919" s="11">
        <v>17.0</v>
      </c>
      <c r="E919" s="11">
        <v>8.0</v>
      </c>
      <c r="F919" s="11">
        <v>6.0</v>
      </c>
      <c r="G919" s="215">
        <v>-71046.95</v>
      </c>
      <c r="H919" s="11">
        <v>25.0</v>
      </c>
      <c r="I919" s="109">
        <v>94641.84</v>
      </c>
    </row>
    <row r="920">
      <c r="A920" s="110">
        <v>33019.0</v>
      </c>
      <c r="B920" s="17">
        <v>53.0</v>
      </c>
      <c r="C920" s="11">
        <v>79.0</v>
      </c>
      <c r="D920" s="11">
        <v>58.0</v>
      </c>
      <c r="E920" s="11">
        <v>8.0</v>
      </c>
      <c r="F920" s="11">
        <v>3.0</v>
      </c>
      <c r="G920" s="215">
        <v>-50644.88</v>
      </c>
      <c r="H920" s="11">
        <v>20.0</v>
      </c>
      <c r="I920" s="109">
        <v>-31029.02</v>
      </c>
    </row>
    <row r="921">
      <c r="A921" s="110">
        <v>51521.0</v>
      </c>
      <c r="B921" s="17">
        <v>38.0</v>
      </c>
      <c r="C921" s="11">
        <v>38.0</v>
      </c>
      <c r="D921" s="11">
        <v>58.0</v>
      </c>
      <c r="E921" s="11">
        <v>8.0</v>
      </c>
      <c r="F921" s="11">
        <v>4.0</v>
      </c>
      <c r="G921" s="215">
        <v>-78626.0</v>
      </c>
      <c r="H921" s="11">
        <v>20.0</v>
      </c>
      <c r="I921" s="109">
        <v>23182.24</v>
      </c>
    </row>
    <row r="922">
      <c r="A922" s="110">
        <v>71213.0</v>
      </c>
      <c r="B922" s="17">
        <v>43.0</v>
      </c>
      <c r="C922" s="11">
        <v>38.0</v>
      </c>
      <c r="D922" s="11">
        <v>79.0</v>
      </c>
      <c r="E922" s="11">
        <v>3.0</v>
      </c>
      <c r="F922" s="11">
        <v>4.0</v>
      </c>
      <c r="G922" s="215">
        <v>39749.82</v>
      </c>
      <c r="H922" s="11">
        <v>28.0</v>
      </c>
      <c r="I922" s="109">
        <v>8682.98</v>
      </c>
    </row>
    <row r="923">
      <c r="A923" s="110">
        <v>111422.0</v>
      </c>
      <c r="B923" s="17">
        <v>17.0</v>
      </c>
      <c r="C923" s="11">
        <v>79.0</v>
      </c>
      <c r="D923" s="11">
        <v>17.0</v>
      </c>
      <c r="E923" s="11">
        <v>9.0</v>
      </c>
      <c r="F923" s="11">
        <v>2.0</v>
      </c>
      <c r="G923" s="215">
        <v>66262.59</v>
      </c>
      <c r="H923" s="11">
        <v>26.0</v>
      </c>
      <c r="I923" s="109">
        <v>33453.72</v>
      </c>
    </row>
    <row r="924">
      <c r="A924" s="110">
        <v>21818.0</v>
      </c>
      <c r="B924" s="17">
        <v>54.0</v>
      </c>
      <c r="C924" s="11">
        <v>38.0</v>
      </c>
      <c r="D924" s="11">
        <v>38.0</v>
      </c>
      <c r="E924" s="11">
        <v>4.0</v>
      </c>
      <c r="F924" s="11">
        <v>2.0</v>
      </c>
      <c r="G924" s="215">
        <v>-63001.95</v>
      </c>
      <c r="H924" s="11">
        <v>29.0</v>
      </c>
      <c r="I924" s="109">
        <v>50583.89</v>
      </c>
    </row>
    <row r="925">
      <c r="A925" s="110">
        <v>120323.0</v>
      </c>
      <c r="B925" s="17">
        <v>16.0</v>
      </c>
      <c r="C925" s="11">
        <v>38.0</v>
      </c>
      <c r="D925" s="11">
        <v>79.0</v>
      </c>
      <c r="E925" s="11">
        <v>3.0</v>
      </c>
      <c r="F925" s="11">
        <v>9.0</v>
      </c>
      <c r="G925" s="215">
        <v>66528.76</v>
      </c>
      <c r="H925" s="11">
        <v>26.0</v>
      </c>
      <c r="I925" s="109">
        <v>-30550.92</v>
      </c>
    </row>
    <row r="926">
      <c r="A926" s="110">
        <v>42214.0</v>
      </c>
      <c r="B926" s="17">
        <v>66.0</v>
      </c>
      <c r="C926" s="11">
        <v>38.0</v>
      </c>
      <c r="D926" s="11">
        <v>58.0</v>
      </c>
      <c r="E926" s="11">
        <v>9.0</v>
      </c>
      <c r="F926" s="11">
        <v>2.0</v>
      </c>
      <c r="G926" s="215">
        <v>49707.44</v>
      </c>
      <c r="H926" s="11">
        <v>22.0</v>
      </c>
      <c r="I926" s="109">
        <v>12607.56</v>
      </c>
    </row>
    <row r="927">
      <c r="A927" s="110">
        <v>90113.0</v>
      </c>
      <c r="B927" s="17">
        <v>50.0</v>
      </c>
      <c r="C927" s="11">
        <v>18.0</v>
      </c>
      <c r="D927" s="11">
        <v>38.0</v>
      </c>
      <c r="E927" s="11">
        <v>4.0</v>
      </c>
      <c r="F927" s="11">
        <v>5.0</v>
      </c>
      <c r="G927" s="215">
        <v>-39928.11</v>
      </c>
      <c r="H927" s="11">
        <v>26.0</v>
      </c>
      <c r="I927" s="109">
        <v>53657.4</v>
      </c>
    </row>
    <row r="928">
      <c r="A928" s="110">
        <v>40422.0</v>
      </c>
      <c r="B928" s="17">
        <v>70.0</v>
      </c>
      <c r="C928" s="11">
        <v>59.0</v>
      </c>
      <c r="D928" s="11">
        <v>79.0</v>
      </c>
      <c r="E928" s="11">
        <v>4.0</v>
      </c>
      <c r="F928" s="11">
        <v>1.0</v>
      </c>
      <c r="G928" s="215">
        <v>-3672.51</v>
      </c>
      <c r="H928" s="11">
        <v>30.0</v>
      </c>
      <c r="I928" s="109">
        <v>7555.86</v>
      </c>
    </row>
    <row r="929">
      <c r="A929" s="110">
        <v>12523.0</v>
      </c>
      <c r="B929" s="17">
        <v>74.0</v>
      </c>
      <c r="C929" s="11">
        <v>59.0</v>
      </c>
      <c r="D929" s="11">
        <v>58.0</v>
      </c>
      <c r="E929" s="11">
        <v>9.0</v>
      </c>
      <c r="F929" s="11">
        <v>4.0</v>
      </c>
      <c r="G929" s="215">
        <v>94184.93</v>
      </c>
      <c r="H929" s="11">
        <v>25.0</v>
      </c>
      <c r="I929" s="109">
        <v>84433.68</v>
      </c>
    </row>
    <row r="930">
      <c r="A930" s="110">
        <v>41715.0</v>
      </c>
      <c r="B930" s="17">
        <v>73.0</v>
      </c>
      <c r="C930" s="11">
        <v>38.0</v>
      </c>
      <c r="D930" s="11">
        <v>99.0</v>
      </c>
      <c r="E930" s="11">
        <v>9.0</v>
      </c>
      <c r="F930" s="11">
        <v>3.0</v>
      </c>
      <c r="G930" s="215">
        <v>-26654.13</v>
      </c>
      <c r="H930" s="11">
        <v>24.0</v>
      </c>
      <c r="I930" s="109">
        <v>-25036.63</v>
      </c>
    </row>
    <row r="931">
      <c r="A931" s="110">
        <v>71922.0</v>
      </c>
      <c r="B931" s="17">
        <v>50.0</v>
      </c>
      <c r="C931" s="11">
        <v>52.0</v>
      </c>
      <c r="D931" s="11">
        <v>58.0</v>
      </c>
      <c r="E931" s="11">
        <v>9.0</v>
      </c>
      <c r="F931" s="11">
        <v>8.0</v>
      </c>
      <c r="G931" s="215">
        <v>-77916.15</v>
      </c>
      <c r="H931" s="11">
        <v>22.0</v>
      </c>
      <c r="I931" s="109">
        <v>-83902.54</v>
      </c>
    </row>
    <row r="932">
      <c r="A932" s="110">
        <v>122020.0</v>
      </c>
      <c r="B932" s="17">
        <v>47.0</v>
      </c>
      <c r="C932" s="11">
        <v>18.0</v>
      </c>
      <c r="D932" s="11">
        <v>99.0</v>
      </c>
      <c r="E932" s="11">
        <v>9.0</v>
      </c>
      <c r="F932" s="11">
        <v>5.0</v>
      </c>
      <c r="G932" s="215">
        <v>17498.95</v>
      </c>
      <c r="H932" s="11">
        <v>30.0</v>
      </c>
      <c r="I932" s="109">
        <v>-73925.86</v>
      </c>
    </row>
    <row r="933">
      <c r="A933" s="110">
        <v>91113.0</v>
      </c>
      <c r="B933" s="17">
        <v>57.0</v>
      </c>
      <c r="C933" s="11">
        <v>18.0</v>
      </c>
      <c r="D933" s="11">
        <v>38.0</v>
      </c>
      <c r="E933" s="11">
        <v>5.0</v>
      </c>
      <c r="F933" s="11">
        <v>6.0</v>
      </c>
      <c r="G933" s="215">
        <v>9911.22</v>
      </c>
      <c r="H933" s="11">
        <v>20.0</v>
      </c>
      <c r="I933" s="109">
        <v>-24984.58</v>
      </c>
    </row>
    <row r="934">
      <c r="A934" s="110">
        <v>40315.0</v>
      </c>
      <c r="B934" s="17">
        <v>51.0</v>
      </c>
      <c r="C934" s="11">
        <v>18.0</v>
      </c>
      <c r="D934" s="11">
        <v>38.0</v>
      </c>
      <c r="E934" s="11">
        <v>5.0</v>
      </c>
      <c r="F934" s="11">
        <v>9.0</v>
      </c>
      <c r="G934" s="215">
        <v>6289.7</v>
      </c>
      <c r="H934" s="11">
        <v>28.0</v>
      </c>
      <c r="I934" s="109">
        <v>-15602.81</v>
      </c>
    </row>
    <row r="935">
      <c r="A935" s="110">
        <v>102215.0</v>
      </c>
      <c r="B935" s="17">
        <v>73.0</v>
      </c>
      <c r="C935" s="11">
        <v>79.0</v>
      </c>
      <c r="D935" s="11">
        <v>18.0</v>
      </c>
      <c r="E935" s="11">
        <v>1.0</v>
      </c>
      <c r="F935" s="11">
        <v>2.0</v>
      </c>
      <c r="G935" s="215">
        <v>97060.27</v>
      </c>
      <c r="H935" s="11">
        <v>20.0</v>
      </c>
      <c r="I935" s="109">
        <v>-31162.89</v>
      </c>
    </row>
    <row r="936">
      <c r="A936" s="110">
        <v>122221.0</v>
      </c>
      <c r="B936" s="17">
        <v>40.0</v>
      </c>
      <c r="C936" s="11">
        <v>38.0</v>
      </c>
      <c r="D936" s="11">
        <v>18.0</v>
      </c>
      <c r="E936" s="11">
        <v>1.0</v>
      </c>
      <c r="F936" s="11">
        <v>3.0</v>
      </c>
      <c r="G936" s="215">
        <v>-46842.47</v>
      </c>
      <c r="H936" s="11">
        <v>20.0</v>
      </c>
      <c r="I936" s="109">
        <v>72673.06</v>
      </c>
    </row>
    <row r="937">
      <c r="A937" s="110">
        <v>12413.0</v>
      </c>
      <c r="B937" s="17">
        <v>49.0</v>
      </c>
      <c r="C937" s="11">
        <v>18.0</v>
      </c>
      <c r="D937" s="11">
        <v>79.0</v>
      </c>
      <c r="E937" s="11">
        <v>5.0</v>
      </c>
      <c r="F937" s="11">
        <v>7.0</v>
      </c>
      <c r="G937" s="215">
        <v>-38883.79</v>
      </c>
      <c r="H937" s="11">
        <v>21.0</v>
      </c>
      <c r="I937" s="109">
        <v>29434.13</v>
      </c>
    </row>
    <row r="938">
      <c r="A938" s="110">
        <v>42014.0</v>
      </c>
      <c r="B938" s="17">
        <v>31.0</v>
      </c>
      <c r="C938" s="11">
        <v>79.0</v>
      </c>
      <c r="D938" s="11">
        <v>59.0</v>
      </c>
      <c r="E938" s="11">
        <v>1.0</v>
      </c>
      <c r="F938" s="11">
        <v>3.0</v>
      </c>
      <c r="G938" s="215">
        <v>-1942.02</v>
      </c>
      <c r="H938" s="11">
        <v>21.0</v>
      </c>
      <c r="I938" s="109">
        <v>-83072.01</v>
      </c>
    </row>
    <row r="939">
      <c r="A939" s="110">
        <v>51218.0</v>
      </c>
      <c r="B939" s="17">
        <v>41.0</v>
      </c>
      <c r="C939" s="11">
        <v>18.0</v>
      </c>
      <c r="D939" s="11">
        <v>38.0</v>
      </c>
      <c r="E939" s="11">
        <v>6.0</v>
      </c>
      <c r="F939" s="11">
        <v>9.0</v>
      </c>
      <c r="G939" s="215">
        <v>19471.2</v>
      </c>
      <c r="H939" s="11">
        <v>21.0</v>
      </c>
      <c r="I939" s="109">
        <v>79098.25</v>
      </c>
    </row>
    <row r="940">
      <c r="A940" s="110">
        <v>61623.0</v>
      </c>
      <c r="B940" s="17">
        <v>64.0</v>
      </c>
      <c r="C940" s="11">
        <v>59.0</v>
      </c>
      <c r="D940" s="11">
        <v>38.0</v>
      </c>
      <c r="E940" s="11">
        <v>7.0</v>
      </c>
      <c r="F940" s="11">
        <v>2.0</v>
      </c>
      <c r="G940" s="215">
        <v>89530.7</v>
      </c>
      <c r="H940" s="11">
        <v>28.0</v>
      </c>
      <c r="I940" s="109">
        <v>48905.36</v>
      </c>
    </row>
    <row r="941">
      <c r="A941" s="110">
        <v>70115.0</v>
      </c>
      <c r="B941" s="17">
        <v>53.0</v>
      </c>
      <c r="C941" s="11">
        <v>59.0</v>
      </c>
      <c r="D941" s="11">
        <v>79.0</v>
      </c>
      <c r="E941" s="11">
        <v>6.0</v>
      </c>
      <c r="F941" s="11">
        <v>8.0</v>
      </c>
      <c r="G941" s="215">
        <v>10153.8</v>
      </c>
      <c r="H941" s="11">
        <v>23.0</v>
      </c>
      <c r="I941" s="109">
        <v>63060.07</v>
      </c>
    </row>
    <row r="942">
      <c r="A942" s="110">
        <v>22120.0</v>
      </c>
      <c r="B942" s="17">
        <v>72.0</v>
      </c>
      <c r="C942" s="11">
        <v>79.0</v>
      </c>
      <c r="D942" s="11">
        <v>59.0</v>
      </c>
      <c r="E942" s="11">
        <v>2.0</v>
      </c>
      <c r="F942" s="11">
        <v>2.0</v>
      </c>
      <c r="G942" s="215">
        <v>-12996.12</v>
      </c>
      <c r="H942" s="11">
        <v>29.0</v>
      </c>
      <c r="I942" s="109">
        <v>47760.11</v>
      </c>
    </row>
    <row r="943">
      <c r="A943" s="110">
        <v>10317.0</v>
      </c>
      <c r="B943" s="17">
        <v>99.0</v>
      </c>
      <c r="C943" s="11">
        <v>18.0</v>
      </c>
      <c r="D943" s="11">
        <v>59.0</v>
      </c>
      <c r="E943" s="11">
        <v>2.0</v>
      </c>
      <c r="F943" s="11">
        <v>5.0</v>
      </c>
      <c r="G943" s="215">
        <v>-35768.8</v>
      </c>
      <c r="H943" s="11">
        <v>24.0</v>
      </c>
      <c r="I943" s="109">
        <v>-61833.94</v>
      </c>
    </row>
    <row r="944">
      <c r="A944" s="110">
        <v>30113.0</v>
      </c>
      <c r="B944" s="17">
        <v>74.0</v>
      </c>
      <c r="C944" s="11">
        <v>59.0</v>
      </c>
      <c r="D944" s="11">
        <v>38.0</v>
      </c>
      <c r="E944" s="11">
        <v>7.0</v>
      </c>
      <c r="F944" s="11">
        <v>7.0</v>
      </c>
      <c r="G944" s="215">
        <v>4136.0</v>
      </c>
      <c r="H944" s="11">
        <v>21.0</v>
      </c>
      <c r="I944" s="109">
        <v>-72296.58</v>
      </c>
    </row>
    <row r="945">
      <c r="A945" s="110">
        <v>81721.0</v>
      </c>
      <c r="B945" s="17">
        <v>31.0</v>
      </c>
      <c r="C945" s="11">
        <v>18.0</v>
      </c>
      <c r="D945" s="11">
        <v>79.0</v>
      </c>
      <c r="E945" s="11">
        <v>7.0</v>
      </c>
      <c r="F945" s="11">
        <v>6.0</v>
      </c>
      <c r="G945" s="215">
        <v>72166.21</v>
      </c>
      <c r="H945" s="11">
        <v>30.0</v>
      </c>
      <c r="I945" s="109">
        <v>63008.21</v>
      </c>
    </row>
    <row r="946">
      <c r="A946" s="110">
        <v>111019.0</v>
      </c>
      <c r="B946" s="17">
        <v>53.0</v>
      </c>
      <c r="C946" s="11">
        <v>59.0</v>
      </c>
      <c r="D946" s="11">
        <v>59.0</v>
      </c>
      <c r="E946" s="11">
        <v>3.0</v>
      </c>
      <c r="F946" s="11">
        <v>2.0</v>
      </c>
      <c r="G946" s="215">
        <v>71617.83</v>
      </c>
      <c r="H946" s="11">
        <v>21.0</v>
      </c>
      <c r="I946" s="109">
        <v>91010.43</v>
      </c>
    </row>
    <row r="947">
      <c r="A947" s="110">
        <v>70322.0</v>
      </c>
      <c r="B947" s="17">
        <v>9.0</v>
      </c>
      <c r="C947" s="11">
        <v>79.0</v>
      </c>
      <c r="D947" s="11">
        <v>18.0</v>
      </c>
      <c r="E947" s="11">
        <v>3.0</v>
      </c>
      <c r="F947" s="11">
        <v>7.0</v>
      </c>
      <c r="G947" s="215">
        <v>78122.44</v>
      </c>
      <c r="H947" s="11">
        <v>23.0</v>
      </c>
      <c r="I947" s="109">
        <v>48833.89</v>
      </c>
    </row>
    <row r="948">
      <c r="A948" s="110">
        <v>31318.0</v>
      </c>
      <c r="B948" s="17">
        <v>92.0</v>
      </c>
      <c r="C948" s="11">
        <v>38.0</v>
      </c>
      <c r="D948" s="11">
        <v>38.0</v>
      </c>
      <c r="E948" s="11">
        <v>8.0</v>
      </c>
      <c r="F948" s="11">
        <v>9.0</v>
      </c>
      <c r="G948" s="215">
        <v>56782.87</v>
      </c>
      <c r="H948" s="11">
        <v>24.0</v>
      </c>
      <c r="I948" s="109">
        <v>2614.96</v>
      </c>
    </row>
    <row r="949">
      <c r="A949" s="110">
        <v>80423.0</v>
      </c>
      <c r="B949" s="17">
        <v>44.0</v>
      </c>
      <c r="C949" s="11">
        <v>18.0</v>
      </c>
      <c r="D949" s="11">
        <v>59.0</v>
      </c>
      <c r="E949" s="11">
        <v>3.0</v>
      </c>
      <c r="F949" s="11">
        <v>8.0</v>
      </c>
      <c r="G949" s="215">
        <v>-46761.8</v>
      </c>
      <c r="H949" s="11">
        <v>28.0</v>
      </c>
      <c r="I949" s="109">
        <v>88618.99</v>
      </c>
    </row>
    <row r="950">
      <c r="A950" s="110">
        <v>103121.0</v>
      </c>
      <c r="B950" s="17">
        <v>34.0</v>
      </c>
      <c r="C950" s="11">
        <v>79.0</v>
      </c>
      <c r="D950" s="11">
        <v>59.0</v>
      </c>
      <c r="E950" s="11">
        <v>3.0</v>
      </c>
      <c r="F950" s="11">
        <v>9.0</v>
      </c>
      <c r="G950" s="215">
        <v>-95283.21</v>
      </c>
      <c r="H950" s="11">
        <v>29.0</v>
      </c>
      <c r="I950" s="109">
        <v>-8315.03</v>
      </c>
    </row>
    <row r="951">
      <c r="A951" s="110">
        <v>111420.0</v>
      </c>
      <c r="B951" s="17">
        <v>81.0</v>
      </c>
      <c r="C951" s="11">
        <v>18.0</v>
      </c>
      <c r="D951" s="11">
        <v>59.0</v>
      </c>
      <c r="E951" s="11">
        <v>3.0</v>
      </c>
      <c r="F951" s="11">
        <v>7.0</v>
      </c>
      <c r="G951" s="215">
        <v>-3030.73</v>
      </c>
      <c r="H951" s="11">
        <v>28.0</v>
      </c>
      <c r="I951" s="109">
        <v>-31158.82</v>
      </c>
    </row>
    <row r="952">
      <c r="A952" s="110">
        <v>120817.0</v>
      </c>
      <c r="B952" s="17">
        <v>9.0</v>
      </c>
      <c r="C952" s="11">
        <v>18.0</v>
      </c>
      <c r="D952" s="11">
        <v>79.0</v>
      </c>
      <c r="E952" s="11">
        <v>9.0</v>
      </c>
      <c r="F952" s="11">
        <v>1.0</v>
      </c>
      <c r="G952" s="215">
        <v>-99871.43</v>
      </c>
      <c r="H952" s="11">
        <v>27.0</v>
      </c>
      <c r="I952" s="109">
        <v>-32560.96</v>
      </c>
    </row>
    <row r="953">
      <c r="A953" s="110">
        <v>21122.0</v>
      </c>
      <c r="B953" s="17">
        <v>58.0</v>
      </c>
      <c r="C953" s="11">
        <v>18.0</v>
      </c>
      <c r="D953" s="11">
        <v>38.0</v>
      </c>
      <c r="E953" s="11">
        <v>9.0</v>
      </c>
      <c r="F953" s="11">
        <v>6.0</v>
      </c>
      <c r="G953" s="215">
        <v>9409.48</v>
      </c>
      <c r="H953" s="11">
        <v>21.0</v>
      </c>
      <c r="I953" s="109">
        <v>84875.26</v>
      </c>
    </row>
    <row r="954">
      <c r="A954" s="110">
        <v>102816.0</v>
      </c>
      <c r="B954" s="17">
        <v>97.0</v>
      </c>
      <c r="C954" s="11">
        <v>39.0</v>
      </c>
      <c r="D954" s="11">
        <v>18.0</v>
      </c>
      <c r="E954" s="11">
        <v>5.0</v>
      </c>
      <c r="F954" s="11">
        <v>2.0</v>
      </c>
      <c r="G954" s="215">
        <v>-34079.16</v>
      </c>
      <c r="H954" s="11">
        <v>30.0</v>
      </c>
      <c r="I954" s="109">
        <v>71159.94</v>
      </c>
    </row>
    <row r="955">
      <c r="A955" s="110">
        <v>122117.0</v>
      </c>
      <c r="B955" s="17">
        <v>83.0</v>
      </c>
      <c r="C955" s="11">
        <v>59.0</v>
      </c>
      <c r="D955" s="11">
        <v>79.0</v>
      </c>
      <c r="E955" s="11">
        <v>9.0</v>
      </c>
      <c r="F955" s="11">
        <v>9.0</v>
      </c>
      <c r="G955" s="215">
        <v>-53203.33</v>
      </c>
      <c r="H955" s="11">
        <v>28.0</v>
      </c>
      <c r="I955" s="109">
        <v>39034.59</v>
      </c>
    </row>
    <row r="956">
      <c r="A956" s="110">
        <v>110216.0</v>
      </c>
      <c r="B956" s="17">
        <v>56.0</v>
      </c>
      <c r="C956" s="11">
        <v>39.0</v>
      </c>
      <c r="D956" s="11">
        <v>59.0</v>
      </c>
      <c r="E956" s="11">
        <v>5.0</v>
      </c>
      <c r="F956" s="11">
        <v>4.0</v>
      </c>
      <c r="G956" s="215">
        <v>41613.06</v>
      </c>
      <c r="H956" s="11">
        <v>27.0</v>
      </c>
      <c r="I956" s="109">
        <v>9350.75</v>
      </c>
    </row>
    <row r="957">
      <c r="A957" s="110">
        <v>40516.0</v>
      </c>
      <c r="B957" s="17">
        <v>10.0</v>
      </c>
      <c r="C957" s="11">
        <v>59.0</v>
      </c>
      <c r="D957" s="11">
        <v>18.0</v>
      </c>
      <c r="E957" s="11">
        <v>6.0</v>
      </c>
      <c r="F957" s="11">
        <v>1.0</v>
      </c>
      <c r="G957" s="215">
        <v>52563.45</v>
      </c>
      <c r="H957" s="11">
        <v>27.0</v>
      </c>
      <c r="I957" s="109">
        <v>-24143.1</v>
      </c>
    </row>
    <row r="958">
      <c r="A958" s="110">
        <v>11822.0</v>
      </c>
      <c r="B958" s="17">
        <v>30.0</v>
      </c>
      <c r="C958" s="11">
        <v>18.0</v>
      </c>
      <c r="D958" s="11">
        <v>18.0</v>
      </c>
      <c r="E958" s="11">
        <v>6.0</v>
      </c>
      <c r="F958" s="11">
        <v>3.0</v>
      </c>
      <c r="G958" s="215">
        <v>41009.9</v>
      </c>
      <c r="H958" s="11">
        <v>20.0</v>
      </c>
      <c r="I958" s="109">
        <v>92640.89</v>
      </c>
    </row>
    <row r="959">
      <c r="A959" s="110">
        <v>103018.0</v>
      </c>
      <c r="B959" s="17">
        <v>58.0</v>
      </c>
      <c r="C959" s="11">
        <v>39.0</v>
      </c>
      <c r="D959" s="11">
        <v>39.0</v>
      </c>
      <c r="E959" s="11">
        <v>1.0</v>
      </c>
      <c r="F959" s="11">
        <v>1.0</v>
      </c>
      <c r="G959" s="215">
        <v>-73499.27</v>
      </c>
      <c r="H959" s="11">
        <v>28.0</v>
      </c>
      <c r="I959" s="109">
        <v>64633.16</v>
      </c>
    </row>
    <row r="960">
      <c r="A960" s="110">
        <v>100413.0</v>
      </c>
      <c r="B960" s="17">
        <v>13.0</v>
      </c>
      <c r="C960" s="11">
        <v>39.0</v>
      </c>
      <c r="D960" s="11">
        <v>18.0</v>
      </c>
      <c r="E960" s="11">
        <v>6.0</v>
      </c>
      <c r="F960" s="11">
        <v>8.0</v>
      </c>
      <c r="G960" s="215">
        <v>31221.76</v>
      </c>
      <c r="H960" s="11">
        <v>22.0</v>
      </c>
      <c r="I960" s="109">
        <v>6150.41</v>
      </c>
    </row>
    <row r="961">
      <c r="A961" s="110">
        <v>111317.0</v>
      </c>
      <c r="B961" s="17">
        <v>8.0</v>
      </c>
      <c r="C961" s="11">
        <v>39.0</v>
      </c>
      <c r="D961" s="11">
        <v>59.0</v>
      </c>
      <c r="E961" s="11">
        <v>7.0</v>
      </c>
      <c r="F961" s="11">
        <v>1.0</v>
      </c>
      <c r="G961" s="215">
        <v>81395.75</v>
      </c>
      <c r="H961" s="11">
        <v>29.0</v>
      </c>
      <c r="I961" s="109">
        <v>32191.08</v>
      </c>
    </row>
    <row r="962">
      <c r="A962" s="110">
        <v>101413.0</v>
      </c>
      <c r="B962" s="17">
        <v>60.0</v>
      </c>
      <c r="C962" s="11">
        <v>18.0</v>
      </c>
      <c r="D962" s="11">
        <v>18.0</v>
      </c>
      <c r="E962" s="11">
        <v>7.0</v>
      </c>
      <c r="F962" s="11">
        <v>6.0</v>
      </c>
      <c r="G962" s="215">
        <v>-93585.73</v>
      </c>
      <c r="H962" s="11">
        <v>30.0</v>
      </c>
      <c r="I962" s="109">
        <v>-55110.59</v>
      </c>
    </row>
    <row r="963">
      <c r="A963" s="110">
        <v>30216.0</v>
      </c>
      <c r="B963" s="17">
        <v>46.0</v>
      </c>
      <c r="C963" s="11">
        <v>39.0</v>
      </c>
      <c r="D963" s="11">
        <v>18.0</v>
      </c>
      <c r="E963" s="11">
        <v>7.0</v>
      </c>
      <c r="F963" s="11">
        <v>9.0</v>
      </c>
      <c r="G963" s="215">
        <v>-50407.88</v>
      </c>
      <c r="H963" s="11">
        <v>26.0</v>
      </c>
      <c r="I963" s="109">
        <v>-14939.25</v>
      </c>
    </row>
    <row r="964">
      <c r="A964" s="110">
        <v>102018.0</v>
      </c>
      <c r="B964" s="17">
        <v>58.0</v>
      </c>
      <c r="C964" s="11">
        <v>39.0</v>
      </c>
      <c r="D964" s="11">
        <v>18.0</v>
      </c>
      <c r="E964" s="11">
        <v>8.0</v>
      </c>
      <c r="F964" s="11">
        <v>4.0</v>
      </c>
      <c r="G964" s="215">
        <v>-95032.45</v>
      </c>
      <c r="H964" s="11">
        <v>21.0</v>
      </c>
      <c r="I964" s="109">
        <v>66035.57</v>
      </c>
    </row>
    <row r="965">
      <c r="A965" s="110">
        <v>121819.0</v>
      </c>
      <c r="B965" s="17">
        <v>77.0</v>
      </c>
      <c r="C965" s="11">
        <v>59.0</v>
      </c>
      <c r="D965" s="11">
        <v>39.0</v>
      </c>
      <c r="E965" s="11">
        <v>3.0</v>
      </c>
      <c r="F965" s="11">
        <v>5.0</v>
      </c>
      <c r="G965" s="215">
        <v>68983.43</v>
      </c>
      <c r="H965" s="11">
        <v>30.0</v>
      </c>
      <c r="I965" s="109">
        <v>-23642.73</v>
      </c>
    </row>
    <row r="966">
      <c r="A966" s="110">
        <v>40816.0</v>
      </c>
      <c r="B966" s="17">
        <v>28.0</v>
      </c>
      <c r="C966" s="11">
        <v>59.0</v>
      </c>
      <c r="D966" s="11">
        <v>18.0</v>
      </c>
      <c r="E966" s="11">
        <v>8.0</v>
      </c>
      <c r="F966" s="11">
        <v>8.0</v>
      </c>
      <c r="G966" s="215">
        <v>-85295.1</v>
      </c>
      <c r="H966" s="11">
        <v>28.0</v>
      </c>
      <c r="I966" s="109">
        <v>54309.81</v>
      </c>
    </row>
    <row r="967">
      <c r="A967" s="110">
        <v>101414.0</v>
      </c>
      <c r="B967" s="17">
        <v>25.0</v>
      </c>
      <c r="C967" s="11">
        <v>59.0</v>
      </c>
      <c r="D967" s="11">
        <v>39.0</v>
      </c>
      <c r="E967" s="11">
        <v>3.0</v>
      </c>
      <c r="F967" s="11">
        <v>6.0</v>
      </c>
      <c r="G967" s="215">
        <v>-8633.99</v>
      </c>
      <c r="H967" s="11">
        <v>26.0</v>
      </c>
      <c r="I967" s="109">
        <v>-73950.95</v>
      </c>
    </row>
    <row r="968">
      <c r="A968" s="110">
        <v>42319.0</v>
      </c>
      <c r="B968" s="17">
        <v>12.0</v>
      </c>
      <c r="C968" s="11">
        <v>59.0</v>
      </c>
      <c r="D968" s="11">
        <v>59.0</v>
      </c>
      <c r="E968" s="11">
        <v>8.0</v>
      </c>
      <c r="F968" s="11">
        <v>9.0</v>
      </c>
      <c r="G968" s="215">
        <v>-92164.92</v>
      </c>
      <c r="H968" s="11">
        <v>21.0</v>
      </c>
      <c r="I968" s="109">
        <v>-21044.85</v>
      </c>
    </row>
    <row r="969">
      <c r="A969" s="110">
        <v>72023.0</v>
      </c>
      <c r="B969" s="17">
        <v>96.0</v>
      </c>
      <c r="C969" s="11">
        <v>39.0</v>
      </c>
      <c r="D969" s="11">
        <v>39.0</v>
      </c>
      <c r="E969" s="11">
        <v>4.0</v>
      </c>
      <c r="F969" s="11">
        <v>5.0</v>
      </c>
      <c r="G969" s="215">
        <v>66404.89</v>
      </c>
      <c r="H969" s="11">
        <v>26.0</v>
      </c>
      <c r="I969" s="109">
        <v>-12118.76</v>
      </c>
    </row>
    <row r="970">
      <c r="A970" s="110">
        <v>122022.0</v>
      </c>
      <c r="B970" s="17">
        <v>74.0</v>
      </c>
      <c r="C970" s="11">
        <v>19.0</v>
      </c>
      <c r="D970" s="11">
        <v>19.0</v>
      </c>
      <c r="E970" s="11">
        <v>1.0</v>
      </c>
      <c r="F970" s="11">
        <v>2.0</v>
      </c>
      <c r="G970" s="215">
        <v>-85029.25</v>
      </c>
      <c r="H970" s="11">
        <v>20.0</v>
      </c>
      <c r="I970" s="109">
        <v>76802.18</v>
      </c>
    </row>
    <row r="971">
      <c r="A971" s="110">
        <v>22314.0</v>
      </c>
      <c r="B971" s="17">
        <v>23.0</v>
      </c>
      <c r="C971" s="11">
        <v>39.0</v>
      </c>
      <c r="D971" s="11">
        <v>39.0</v>
      </c>
      <c r="E971" s="11">
        <v>6.0</v>
      </c>
      <c r="F971" s="11">
        <v>3.0</v>
      </c>
      <c r="G971" s="215">
        <v>-19295.74</v>
      </c>
      <c r="H971" s="11">
        <v>27.0</v>
      </c>
      <c r="I971" s="109">
        <v>37525.8</v>
      </c>
    </row>
    <row r="972">
      <c r="A972" s="110">
        <v>12122.0</v>
      </c>
      <c r="B972" s="17">
        <v>33.0</v>
      </c>
      <c r="C972" s="11">
        <v>39.0</v>
      </c>
      <c r="D972" s="11">
        <v>19.0</v>
      </c>
      <c r="E972" s="11">
        <v>1.0</v>
      </c>
      <c r="F972" s="11">
        <v>6.0</v>
      </c>
      <c r="G972" s="215">
        <v>50768.89</v>
      </c>
      <c r="H972" s="11">
        <v>21.0</v>
      </c>
      <c r="I972" s="109">
        <v>55099.62</v>
      </c>
    </row>
    <row r="973">
      <c r="A973" s="110">
        <v>120413.0</v>
      </c>
      <c r="B973" s="17">
        <v>53.0</v>
      </c>
      <c r="C973" s="11">
        <v>39.0</v>
      </c>
      <c r="D973" s="11">
        <v>56.0</v>
      </c>
      <c r="E973" s="11">
        <v>7.0</v>
      </c>
      <c r="F973" s="11">
        <v>3.0</v>
      </c>
      <c r="G973" s="215">
        <v>96513.75</v>
      </c>
      <c r="H973" s="11">
        <v>20.0</v>
      </c>
      <c r="I973" s="109">
        <v>-97056.11</v>
      </c>
    </row>
    <row r="974">
      <c r="A974" s="110">
        <v>12017.0</v>
      </c>
      <c r="B974" s="17">
        <v>3.0</v>
      </c>
      <c r="C974" s="11">
        <v>19.0</v>
      </c>
      <c r="D974" s="11">
        <v>39.0</v>
      </c>
      <c r="E974" s="11">
        <v>7.0</v>
      </c>
      <c r="F974" s="11">
        <v>4.0</v>
      </c>
      <c r="G974" s="215">
        <v>88971.14</v>
      </c>
      <c r="H974" s="11">
        <v>30.0</v>
      </c>
      <c r="I974" s="109">
        <v>-91316.75</v>
      </c>
    </row>
    <row r="975">
      <c r="A975" s="110">
        <v>11519.0</v>
      </c>
      <c r="B975" s="17">
        <v>34.0</v>
      </c>
      <c r="C975" s="11">
        <v>36.0</v>
      </c>
      <c r="D975" s="11">
        <v>39.0</v>
      </c>
      <c r="E975" s="11">
        <v>8.0</v>
      </c>
      <c r="F975" s="11">
        <v>4.0</v>
      </c>
      <c r="G975" s="215">
        <v>55828.21</v>
      </c>
      <c r="H975" s="11">
        <v>30.0</v>
      </c>
      <c r="I975" s="109">
        <v>-98522.8</v>
      </c>
    </row>
    <row r="976">
      <c r="A976" s="110">
        <v>71213.0</v>
      </c>
      <c r="B976" s="17">
        <v>15.0</v>
      </c>
      <c r="C976" s="11">
        <v>39.0</v>
      </c>
      <c r="D976" s="11">
        <v>39.0</v>
      </c>
      <c r="E976" s="11">
        <v>8.0</v>
      </c>
      <c r="F976" s="11">
        <v>8.0</v>
      </c>
      <c r="G976" s="215">
        <v>-13216.55</v>
      </c>
      <c r="H976" s="11">
        <v>27.0</v>
      </c>
      <c r="I976" s="109">
        <v>-85659.48</v>
      </c>
    </row>
    <row r="977">
      <c r="A977" s="110">
        <v>10420.0</v>
      </c>
      <c r="B977" s="17">
        <v>20.0</v>
      </c>
      <c r="C977" s="11">
        <v>39.0</v>
      </c>
      <c r="D977" s="11">
        <v>19.0</v>
      </c>
      <c r="E977" s="11">
        <v>4.0</v>
      </c>
      <c r="F977" s="11">
        <v>7.0</v>
      </c>
      <c r="G977" s="215">
        <v>48302.77</v>
      </c>
      <c r="H977" s="11">
        <v>21.0</v>
      </c>
      <c r="I977" s="109">
        <v>-80551.37</v>
      </c>
    </row>
    <row r="978">
      <c r="A978" s="110">
        <v>32919.0</v>
      </c>
      <c r="B978" s="17">
        <v>54.0</v>
      </c>
      <c r="C978" s="11">
        <v>19.0</v>
      </c>
      <c r="D978" s="11">
        <v>19.0</v>
      </c>
      <c r="E978" s="11">
        <v>4.0</v>
      </c>
      <c r="F978" s="11">
        <v>9.0</v>
      </c>
      <c r="G978" s="215">
        <v>-59117.93</v>
      </c>
      <c r="H978" s="11">
        <v>27.0</v>
      </c>
      <c r="I978" s="109">
        <v>-84489.8</v>
      </c>
    </row>
    <row r="979">
      <c r="A979" s="110">
        <v>121218.0</v>
      </c>
      <c r="B979" s="17">
        <v>74.0</v>
      </c>
      <c r="C979" s="11">
        <v>19.0</v>
      </c>
      <c r="D979" s="11">
        <v>19.0</v>
      </c>
      <c r="E979" s="11">
        <v>5.0</v>
      </c>
      <c r="F979" s="11">
        <v>1.0</v>
      </c>
      <c r="G979" s="215">
        <v>-42445.18</v>
      </c>
      <c r="H979" s="11">
        <v>26.0</v>
      </c>
      <c r="I979" s="109">
        <v>-17365.23</v>
      </c>
    </row>
    <row r="980">
      <c r="A980" s="110">
        <v>101420.0</v>
      </c>
      <c r="B980" s="17">
        <v>17.0</v>
      </c>
      <c r="C980" s="11">
        <v>19.0</v>
      </c>
      <c r="D980" s="11">
        <v>39.0</v>
      </c>
      <c r="E980" s="11">
        <v>9.0</v>
      </c>
      <c r="F980" s="11">
        <v>9.0</v>
      </c>
      <c r="G980" s="215">
        <v>-90211.83</v>
      </c>
      <c r="H980" s="11">
        <v>24.0</v>
      </c>
      <c r="I980" s="109">
        <v>-33081.91</v>
      </c>
    </row>
    <row r="981">
      <c r="A981" s="110">
        <v>100817.0</v>
      </c>
      <c r="B981" s="17">
        <v>64.0</v>
      </c>
      <c r="C981" s="11">
        <v>39.0</v>
      </c>
      <c r="D981" s="11">
        <v>19.0</v>
      </c>
      <c r="E981" s="11">
        <v>5.0</v>
      </c>
      <c r="F981" s="11">
        <v>3.0</v>
      </c>
      <c r="G981" s="215">
        <v>-83355.74</v>
      </c>
      <c r="H981" s="11">
        <v>27.0</v>
      </c>
      <c r="I981" s="109">
        <v>45793.44</v>
      </c>
    </row>
    <row r="982">
      <c r="A982" s="110">
        <v>110114.0</v>
      </c>
      <c r="B982" s="17">
        <v>79.0</v>
      </c>
      <c r="C982" s="11">
        <v>19.0</v>
      </c>
      <c r="D982" s="11">
        <v>19.0</v>
      </c>
      <c r="E982" s="11">
        <v>5.0</v>
      </c>
      <c r="F982" s="11">
        <v>6.0</v>
      </c>
      <c r="G982" s="215">
        <v>-46025.8</v>
      </c>
      <c r="H982" s="11">
        <v>26.0</v>
      </c>
      <c r="I982" s="109">
        <v>20281.42</v>
      </c>
    </row>
    <row r="983">
      <c r="A983" s="110">
        <v>51718.0</v>
      </c>
      <c r="B983" s="17">
        <v>17.0</v>
      </c>
      <c r="C983" s="11">
        <v>19.0</v>
      </c>
      <c r="D983" s="11">
        <v>19.0</v>
      </c>
      <c r="E983" s="11">
        <v>5.0</v>
      </c>
      <c r="F983" s="11">
        <v>8.0</v>
      </c>
      <c r="G983" s="215">
        <v>81206.05</v>
      </c>
      <c r="H983" s="11">
        <v>23.0</v>
      </c>
      <c r="I983" s="109">
        <v>21681.52</v>
      </c>
    </row>
    <row r="984">
      <c r="A984" s="110">
        <v>102314.0</v>
      </c>
      <c r="B984" s="17">
        <v>75.0</v>
      </c>
      <c r="C984" s="11">
        <v>19.0</v>
      </c>
      <c r="D984" s="11">
        <v>19.0</v>
      </c>
      <c r="E984" s="11">
        <v>6.0</v>
      </c>
      <c r="F984" s="11">
        <v>4.0</v>
      </c>
      <c r="G984" s="215">
        <v>-22537.64</v>
      </c>
      <c r="H984" s="11">
        <v>27.0</v>
      </c>
      <c r="I984" s="109">
        <v>-16905.75</v>
      </c>
    </row>
    <row r="985">
      <c r="A985" s="110">
        <v>41819.0</v>
      </c>
      <c r="B985" s="17">
        <v>8.0</v>
      </c>
      <c r="C985" s="11">
        <v>81.0</v>
      </c>
      <c r="D985" s="11">
        <v>19.0</v>
      </c>
      <c r="E985" s="11">
        <v>6.0</v>
      </c>
      <c r="F985" s="11">
        <v>7.0</v>
      </c>
      <c r="G985" s="215">
        <v>-23514.94</v>
      </c>
      <c r="H985" s="11">
        <v>21.0</v>
      </c>
      <c r="I985" s="109">
        <v>2587.36</v>
      </c>
    </row>
    <row r="986">
      <c r="A986" s="110">
        <v>91516.0</v>
      </c>
      <c r="B986" s="17">
        <v>92.0</v>
      </c>
      <c r="C986" s="11">
        <v>19.0</v>
      </c>
      <c r="D986" s="11">
        <v>81.0</v>
      </c>
      <c r="E986" s="11">
        <v>1.0</v>
      </c>
      <c r="F986" s="11">
        <v>5.0</v>
      </c>
      <c r="G986" s="215">
        <v>75698.36</v>
      </c>
      <c r="H986" s="11">
        <v>30.0</v>
      </c>
      <c r="I986" s="109">
        <v>-11009.6</v>
      </c>
    </row>
    <row r="987">
      <c r="A987" s="110">
        <v>32317.0</v>
      </c>
      <c r="B987" s="17">
        <v>10.0</v>
      </c>
      <c r="C987" s="11">
        <v>81.0</v>
      </c>
      <c r="D987" s="11">
        <v>81.0</v>
      </c>
      <c r="E987" s="11">
        <v>1.0</v>
      </c>
      <c r="F987" s="11">
        <v>9.0</v>
      </c>
      <c r="G987" s="215">
        <v>36368.02</v>
      </c>
      <c r="H987" s="11">
        <v>20.0</v>
      </c>
      <c r="I987" s="109">
        <v>-41633.86</v>
      </c>
    </row>
    <row r="988">
      <c r="A988" s="110">
        <v>111122.0</v>
      </c>
      <c r="B988" s="17">
        <v>25.0</v>
      </c>
      <c r="C988" s="11">
        <v>81.0</v>
      </c>
      <c r="D988" s="11">
        <v>19.0</v>
      </c>
      <c r="E988" s="11">
        <v>7.0</v>
      </c>
      <c r="F988" s="11">
        <v>6.0</v>
      </c>
      <c r="G988" s="215">
        <v>84937.77</v>
      </c>
      <c r="H988" s="11">
        <v>26.0</v>
      </c>
      <c r="I988" s="109">
        <v>51836.04</v>
      </c>
    </row>
    <row r="989">
      <c r="A989" s="110">
        <v>100323.0</v>
      </c>
      <c r="B989" s="17">
        <v>37.0</v>
      </c>
      <c r="C989" s="11">
        <v>81.0</v>
      </c>
      <c r="D989" s="11">
        <v>19.0</v>
      </c>
      <c r="E989" s="11">
        <v>9.0</v>
      </c>
      <c r="F989" s="11">
        <v>1.0</v>
      </c>
      <c r="G989" s="215">
        <v>-29750.55</v>
      </c>
      <c r="H989" s="11">
        <v>23.0</v>
      </c>
      <c r="I989" s="109">
        <v>67619.06</v>
      </c>
    </row>
    <row r="990">
      <c r="A990" s="110">
        <v>90822.0</v>
      </c>
      <c r="B990" s="17">
        <v>29.0</v>
      </c>
      <c r="C990" s="11">
        <v>81.0</v>
      </c>
      <c r="D990" s="11">
        <v>81.0</v>
      </c>
      <c r="E990" s="11">
        <v>3.0</v>
      </c>
      <c r="F990" s="11">
        <v>6.0</v>
      </c>
      <c r="G990" s="215">
        <v>15165.52</v>
      </c>
      <c r="H990" s="11">
        <v>30.0</v>
      </c>
      <c r="I990" s="109">
        <v>29623.25</v>
      </c>
    </row>
    <row r="991">
      <c r="A991" s="110">
        <v>120422.0</v>
      </c>
      <c r="B991" s="17">
        <v>14.0</v>
      </c>
      <c r="C991" s="11">
        <v>81.0</v>
      </c>
      <c r="D991" s="11">
        <v>81.0</v>
      </c>
      <c r="E991" s="11">
        <v>3.0</v>
      </c>
      <c r="F991" s="11">
        <v>7.0</v>
      </c>
      <c r="G991" s="215">
        <v>-61444.54</v>
      </c>
      <c r="H991" s="11">
        <v>21.0</v>
      </c>
      <c r="I991" s="109">
        <v>-60300.55</v>
      </c>
    </row>
    <row r="992">
      <c r="A992" s="110">
        <v>121923.0</v>
      </c>
      <c r="B992" s="17">
        <v>94.0</v>
      </c>
      <c r="C992" s="11">
        <v>19.0</v>
      </c>
      <c r="D992" s="11">
        <v>19.0</v>
      </c>
      <c r="E992" s="11">
        <v>9.0</v>
      </c>
      <c r="F992" s="11">
        <v>6.0</v>
      </c>
      <c r="G992" s="215">
        <v>-77801.65</v>
      </c>
      <c r="H992" s="11">
        <v>20.0</v>
      </c>
      <c r="I992" s="109">
        <v>-94983.77</v>
      </c>
    </row>
    <row r="993">
      <c r="A993" s="110">
        <v>32123.0</v>
      </c>
      <c r="B993" s="17">
        <v>36.0</v>
      </c>
      <c r="C993" s="11">
        <v>19.0</v>
      </c>
      <c r="D993" s="11">
        <v>81.0</v>
      </c>
      <c r="E993" s="11">
        <v>6.0</v>
      </c>
      <c r="F993" s="11">
        <v>5.0</v>
      </c>
      <c r="G993" s="215">
        <v>-4554.21</v>
      </c>
      <c r="H993" s="11">
        <v>29.0</v>
      </c>
      <c r="I993" s="109">
        <v>-52088.33</v>
      </c>
    </row>
    <row r="994">
      <c r="A994" s="110">
        <v>11721.0</v>
      </c>
      <c r="B994" s="17">
        <v>58.0</v>
      </c>
      <c r="C994" s="11">
        <v>81.0</v>
      </c>
      <c r="D994" s="11">
        <v>81.0</v>
      </c>
      <c r="E994" s="11">
        <v>6.0</v>
      </c>
      <c r="F994" s="11">
        <v>9.0</v>
      </c>
      <c r="G994" s="215">
        <v>-52888.21</v>
      </c>
      <c r="H994" s="11">
        <v>29.0</v>
      </c>
      <c r="I994" s="109">
        <v>30173.96</v>
      </c>
    </row>
    <row r="995">
      <c r="A995" s="110">
        <v>111122.0</v>
      </c>
      <c r="B995" s="17">
        <v>91.0</v>
      </c>
      <c r="C995" s="11">
        <v>61.0</v>
      </c>
      <c r="D995" s="11">
        <v>61.0</v>
      </c>
      <c r="E995" s="11">
        <v>2.0</v>
      </c>
      <c r="F995" s="11">
        <v>3.0</v>
      </c>
      <c r="G995" s="215">
        <v>-63358.72</v>
      </c>
      <c r="H995" s="11">
        <v>21.0</v>
      </c>
      <c r="I995" s="109">
        <v>8423.35</v>
      </c>
    </row>
    <row r="996">
      <c r="A996" s="110">
        <v>21519.0</v>
      </c>
      <c r="B996" s="17">
        <v>72.0</v>
      </c>
      <c r="C996" s="11">
        <v>81.0</v>
      </c>
      <c r="D996" s="11">
        <v>61.0</v>
      </c>
      <c r="E996" s="11">
        <v>2.0</v>
      </c>
      <c r="F996" s="11">
        <v>4.0</v>
      </c>
      <c r="G996" s="215">
        <v>-31504.1</v>
      </c>
      <c r="H996" s="11">
        <v>23.0</v>
      </c>
      <c r="I996" s="109">
        <v>64095.38</v>
      </c>
    </row>
    <row r="997">
      <c r="A997" s="110">
        <v>90717.0</v>
      </c>
      <c r="B997" s="17">
        <v>86.0</v>
      </c>
      <c r="C997" s="11">
        <v>81.0</v>
      </c>
      <c r="D997" s="11">
        <v>81.0</v>
      </c>
      <c r="E997" s="11">
        <v>7.0</v>
      </c>
      <c r="F997" s="11">
        <v>2.0</v>
      </c>
      <c r="G997" s="215">
        <v>-36637.13</v>
      </c>
      <c r="H997" s="11">
        <v>23.0</v>
      </c>
      <c r="I997" s="109">
        <v>-38604.98</v>
      </c>
    </row>
    <row r="998">
      <c r="A998" s="110">
        <v>110914.0</v>
      </c>
      <c r="B998" s="17">
        <v>42.0</v>
      </c>
      <c r="C998" s="11">
        <v>61.0</v>
      </c>
      <c r="D998" s="11">
        <v>61.0</v>
      </c>
      <c r="E998" s="11">
        <v>2.0</v>
      </c>
      <c r="F998" s="11">
        <v>7.0</v>
      </c>
      <c r="G998" s="215">
        <v>20892.41</v>
      </c>
      <c r="H998" s="11">
        <v>24.0</v>
      </c>
      <c r="I998" s="109">
        <v>-17250.47</v>
      </c>
    </row>
    <row r="999">
      <c r="A999" s="110">
        <v>91614.0</v>
      </c>
      <c r="B999" s="17">
        <v>90.0</v>
      </c>
      <c r="C999" s="11">
        <v>81.0</v>
      </c>
      <c r="D999" s="11">
        <v>61.0</v>
      </c>
      <c r="E999" s="11">
        <v>2.0</v>
      </c>
      <c r="F999" s="11">
        <v>8.0</v>
      </c>
      <c r="G999" s="215">
        <v>-22538.28</v>
      </c>
      <c r="H999" s="11">
        <v>27.0</v>
      </c>
      <c r="I999" s="109">
        <v>57657.59</v>
      </c>
    </row>
    <row r="1000">
      <c r="A1000" s="110">
        <v>12519.0</v>
      </c>
      <c r="B1000" s="17">
        <v>34.0</v>
      </c>
      <c r="C1000" s="11">
        <v>81.0</v>
      </c>
      <c r="D1000" s="11">
        <v>81.0</v>
      </c>
      <c r="E1000" s="11">
        <v>7.0</v>
      </c>
      <c r="F1000" s="11">
        <v>6.0</v>
      </c>
      <c r="G1000" s="215">
        <v>-28192.18</v>
      </c>
      <c r="H1000" s="11">
        <v>30.0</v>
      </c>
      <c r="I1000" s="109">
        <v>-94657.75</v>
      </c>
    </row>
    <row r="1001">
      <c r="A1001" s="110">
        <v>42222.0</v>
      </c>
      <c r="B1001" s="17">
        <v>45.0</v>
      </c>
      <c r="C1001" s="11">
        <v>81.0</v>
      </c>
      <c r="D1001" s="11">
        <v>81.0</v>
      </c>
      <c r="E1001" s="11">
        <v>8.0</v>
      </c>
      <c r="F1001" s="11">
        <v>5.0</v>
      </c>
      <c r="G1001" s="215">
        <v>-77042.39</v>
      </c>
      <c r="H1001" s="11">
        <v>30.0</v>
      </c>
      <c r="I1001" s="109">
        <v>54000.81</v>
      </c>
    </row>
    <row r="1002">
      <c r="A1002" s="110">
        <v>72917.0</v>
      </c>
      <c r="B1002" s="17">
        <v>57.0</v>
      </c>
      <c r="C1002" s="11">
        <v>61.0</v>
      </c>
      <c r="D1002" s="11">
        <v>61.0</v>
      </c>
      <c r="E1002" s="11">
        <v>3.0</v>
      </c>
      <c r="F1002" s="11">
        <v>9.0</v>
      </c>
      <c r="G1002" s="215">
        <v>6909.89</v>
      </c>
      <c r="H1002" s="11">
        <v>21.0</v>
      </c>
      <c r="I1002" s="109">
        <v>43263.68</v>
      </c>
    </row>
    <row r="1003">
      <c r="A1003" s="110">
        <v>62122.0</v>
      </c>
      <c r="B1003" s="17">
        <v>40.0</v>
      </c>
      <c r="C1003" s="11">
        <v>61.0</v>
      </c>
      <c r="D1003" s="11">
        <v>81.0</v>
      </c>
      <c r="E1003" s="11">
        <v>9.0</v>
      </c>
      <c r="F1003" s="11">
        <v>1.0</v>
      </c>
      <c r="G1003" s="215">
        <v>18264.01</v>
      </c>
      <c r="H1003" s="11">
        <v>29.0</v>
      </c>
      <c r="I1003" s="109">
        <v>76138.7</v>
      </c>
    </row>
    <row r="1004">
      <c r="A1004" s="50"/>
      <c r="B1004" s="22"/>
      <c r="C1004" s="66"/>
      <c r="D1004" s="66"/>
      <c r="E1004" s="66"/>
      <c r="F1004" s="66"/>
      <c r="G1004" s="21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8" width="22.13"/>
  </cols>
  <sheetData>
    <row r="1">
      <c r="A1" s="3" t="s">
        <v>551</v>
      </c>
      <c r="B1" s="3" t="s">
        <v>551</v>
      </c>
      <c r="C1" s="3" t="s">
        <v>552</v>
      </c>
      <c r="D1" s="3" t="s">
        <v>557</v>
      </c>
      <c r="E1" s="14" t="s">
        <v>551</v>
      </c>
      <c r="F1" s="217" t="s">
        <v>556</v>
      </c>
      <c r="G1" s="217" t="s">
        <v>556</v>
      </c>
      <c r="H1" s="14" t="s">
        <v>551</v>
      </c>
      <c r="I1" s="217" t="s">
        <v>556</v>
      </c>
      <c r="J1" s="218" t="s">
        <v>5243</v>
      </c>
      <c r="K1" s="3" t="s">
        <v>551</v>
      </c>
      <c r="L1" s="3" t="s">
        <v>552</v>
      </c>
      <c r="M1" s="219" t="s">
        <v>5244</v>
      </c>
      <c r="N1" s="220" t="s">
        <v>5245</v>
      </c>
      <c r="O1" s="221" t="s">
        <v>560</v>
      </c>
      <c r="P1" s="3" t="s">
        <v>551</v>
      </c>
      <c r="Q1" s="15" t="s">
        <v>551</v>
      </c>
      <c r="R1" s="3" t="s">
        <v>551</v>
      </c>
    </row>
    <row r="2">
      <c r="A2" s="85" t="s">
        <v>5246</v>
      </c>
      <c r="B2" s="85" t="s">
        <v>5247</v>
      </c>
      <c r="C2" s="85" t="s">
        <v>5248</v>
      </c>
      <c r="D2" s="85" t="s">
        <v>5249</v>
      </c>
      <c r="E2" s="222" t="s">
        <v>5250</v>
      </c>
      <c r="F2" s="223" t="s">
        <v>5251</v>
      </c>
      <c r="G2" s="223" t="s">
        <v>5252</v>
      </c>
      <c r="H2" s="222" t="s">
        <v>5250</v>
      </c>
      <c r="I2" s="223" t="s">
        <v>5251</v>
      </c>
      <c r="J2" s="224" t="s">
        <v>5253</v>
      </c>
      <c r="K2" s="85" t="s">
        <v>3809</v>
      </c>
      <c r="L2" s="85" t="s">
        <v>5254</v>
      </c>
      <c r="M2" s="225" t="s">
        <v>5255</v>
      </c>
      <c r="N2" s="226" t="s">
        <v>5256</v>
      </c>
      <c r="O2" s="227" t="s">
        <v>614</v>
      </c>
      <c r="P2" s="85" t="s">
        <v>5257</v>
      </c>
      <c r="Q2" s="228" t="s">
        <v>5258</v>
      </c>
      <c r="R2" s="17" t="s">
        <v>5259</v>
      </c>
    </row>
    <row r="3">
      <c r="A3" s="8" t="s">
        <v>5260</v>
      </c>
      <c r="B3" s="8" t="s">
        <v>576</v>
      </c>
      <c r="C3" s="8" t="s">
        <v>5261</v>
      </c>
      <c r="D3" s="8" t="s">
        <v>5262</v>
      </c>
      <c r="E3" s="20" t="s">
        <v>5263</v>
      </c>
      <c r="F3" s="229" t="s">
        <v>5264</v>
      </c>
      <c r="G3" s="229" t="s">
        <v>5265</v>
      </c>
      <c r="H3" s="20" t="s">
        <v>3802</v>
      </c>
      <c r="I3" s="229" t="s">
        <v>3803</v>
      </c>
      <c r="J3" s="230" t="s">
        <v>3804</v>
      </c>
      <c r="K3" s="8" t="s">
        <v>575</v>
      </c>
      <c r="L3" s="8" t="s">
        <v>5266</v>
      </c>
      <c r="M3" s="231" t="s">
        <v>5267</v>
      </c>
      <c r="N3" s="232" t="s">
        <v>5268</v>
      </c>
      <c r="O3" s="233" t="s">
        <v>5269</v>
      </c>
      <c r="P3" s="8" t="s">
        <v>5139</v>
      </c>
      <c r="Q3" s="21" t="s">
        <v>5270</v>
      </c>
      <c r="R3" s="8" t="s">
        <v>514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</row>
    <row r="4">
      <c r="A4" s="11">
        <v>20.0</v>
      </c>
      <c r="B4" s="11">
        <v>61.0</v>
      </c>
      <c r="C4" s="11">
        <v>9.0</v>
      </c>
      <c r="D4" s="11" t="s">
        <v>5271</v>
      </c>
      <c r="E4" s="234">
        <v>13.0</v>
      </c>
      <c r="F4" s="235">
        <v>117.0</v>
      </c>
      <c r="G4" s="235">
        <v>117.0</v>
      </c>
      <c r="H4" s="234">
        <v>13.0</v>
      </c>
      <c r="I4" s="235">
        <v>117.0</v>
      </c>
      <c r="J4" s="236">
        <v>7.6260008E7</v>
      </c>
      <c r="K4" s="11">
        <v>34.0</v>
      </c>
      <c r="L4" s="11">
        <v>6.0</v>
      </c>
      <c r="M4" s="237" t="str">
        <f t="shared" ref="M4:M1003" si="1">textjoin("",1, 0, textjoin("",1,H4:L4))</f>
        <v>0131170076260008346</v>
      </c>
      <c r="N4" s="238">
        <v>45224.92</v>
      </c>
      <c r="O4" s="110">
        <v>112016.0</v>
      </c>
      <c r="P4" s="11">
        <v>74.0</v>
      </c>
      <c r="Q4" s="17">
        <v>54.0</v>
      </c>
      <c r="R4" s="17">
        <v>40.0</v>
      </c>
    </row>
    <row r="5">
      <c r="A5" s="11">
        <v>13.0</v>
      </c>
      <c r="B5" s="11">
        <v>81.0</v>
      </c>
      <c r="C5" s="11">
        <v>7.0</v>
      </c>
      <c r="D5" s="11" t="s">
        <v>31</v>
      </c>
      <c r="E5" s="234">
        <v>31.0</v>
      </c>
      <c r="F5" s="235">
        <v>47.0</v>
      </c>
      <c r="G5" s="235">
        <v>47.0</v>
      </c>
      <c r="H5" s="234">
        <v>31.0</v>
      </c>
      <c r="I5" s="235">
        <v>47.0</v>
      </c>
      <c r="J5" s="236">
        <v>4.9434662E7</v>
      </c>
      <c r="K5" s="11">
        <v>35.0</v>
      </c>
      <c r="L5" s="11">
        <v>7.0</v>
      </c>
      <c r="M5" s="237" t="str">
        <f t="shared" si="1"/>
        <v>0310470049434662357</v>
      </c>
      <c r="N5" s="238">
        <v>-98866.65</v>
      </c>
      <c r="O5" s="110">
        <v>112119.0</v>
      </c>
      <c r="P5" s="11">
        <v>73.0</v>
      </c>
      <c r="Q5" s="17">
        <v>22.0</v>
      </c>
      <c r="R5" s="17">
        <v>81.0</v>
      </c>
    </row>
    <row r="6">
      <c r="A6" s="11">
        <v>16.0</v>
      </c>
      <c r="B6" s="11">
        <v>81.0</v>
      </c>
      <c r="C6" s="11">
        <v>9.0</v>
      </c>
      <c r="D6" s="11" t="s">
        <v>5271</v>
      </c>
      <c r="E6" s="234">
        <v>36.0</v>
      </c>
      <c r="F6" s="235">
        <v>17.0</v>
      </c>
      <c r="G6" s="235">
        <v>17.0</v>
      </c>
      <c r="H6" s="234">
        <v>36.0</v>
      </c>
      <c r="I6" s="235">
        <v>17.0</v>
      </c>
      <c r="J6" s="236">
        <v>4.8515174E7</v>
      </c>
      <c r="K6" s="11">
        <v>67.0</v>
      </c>
      <c r="L6" s="11">
        <v>6.0</v>
      </c>
      <c r="M6" s="237" t="str">
        <f t="shared" si="1"/>
        <v>0360170048515174676</v>
      </c>
      <c r="N6" s="238">
        <v>3830.5</v>
      </c>
      <c r="O6" s="110">
        <v>81620.0</v>
      </c>
      <c r="P6" s="11">
        <v>80.0</v>
      </c>
      <c r="Q6" s="17">
        <v>35.0</v>
      </c>
      <c r="R6" s="17">
        <v>81.0</v>
      </c>
    </row>
    <row r="7">
      <c r="A7" s="11">
        <v>18.0</v>
      </c>
      <c r="B7" s="11">
        <v>61.0</v>
      </c>
      <c r="C7" s="11">
        <v>8.0</v>
      </c>
      <c r="D7" s="11" t="s">
        <v>5272</v>
      </c>
      <c r="E7" s="234">
        <v>18.0</v>
      </c>
      <c r="F7" s="235">
        <v>101.0</v>
      </c>
      <c r="G7" s="235">
        <v>101.0</v>
      </c>
      <c r="H7" s="234">
        <v>18.0</v>
      </c>
      <c r="I7" s="235">
        <v>101.0</v>
      </c>
      <c r="J7" s="236">
        <v>5.930012E7</v>
      </c>
      <c r="K7" s="11">
        <v>40.0</v>
      </c>
      <c r="L7" s="11">
        <v>2.0</v>
      </c>
      <c r="M7" s="237" t="str">
        <f t="shared" si="1"/>
        <v>0181010059300120402</v>
      </c>
      <c r="N7" s="238">
        <v>89869.79</v>
      </c>
      <c r="O7" s="110">
        <v>41221.0</v>
      </c>
      <c r="P7" s="11">
        <v>70.0</v>
      </c>
      <c r="Q7" s="17">
        <v>48.0</v>
      </c>
      <c r="R7" s="17">
        <v>41.0</v>
      </c>
    </row>
    <row r="8">
      <c r="A8" s="11">
        <v>15.0</v>
      </c>
      <c r="B8" s="11">
        <v>61.0</v>
      </c>
      <c r="C8" s="11">
        <v>3.0</v>
      </c>
      <c r="D8" s="11" t="s">
        <v>5271</v>
      </c>
      <c r="E8" s="234">
        <v>37.0</v>
      </c>
      <c r="F8" s="235">
        <v>77.0</v>
      </c>
      <c r="G8" s="235">
        <v>77.0</v>
      </c>
      <c r="H8" s="234">
        <v>37.0</v>
      </c>
      <c r="I8" s="235">
        <v>77.0</v>
      </c>
      <c r="J8" s="236">
        <v>4.6717643E7</v>
      </c>
      <c r="K8" s="11">
        <v>77.0</v>
      </c>
      <c r="L8" s="11">
        <v>0.0</v>
      </c>
      <c r="M8" s="237" t="str">
        <f t="shared" si="1"/>
        <v>0370770046717643770</v>
      </c>
      <c r="N8" s="238">
        <v>29541.3</v>
      </c>
      <c r="O8" s="110">
        <v>101616.0</v>
      </c>
      <c r="P8" s="11">
        <v>76.0</v>
      </c>
      <c r="Q8" s="17">
        <v>56.0</v>
      </c>
      <c r="R8" s="17">
        <v>61.0</v>
      </c>
    </row>
    <row r="9">
      <c r="A9" s="11">
        <v>12.0</v>
      </c>
      <c r="B9" s="11">
        <v>61.0</v>
      </c>
      <c r="C9" s="11">
        <v>5.0</v>
      </c>
      <c r="D9" s="11" t="s">
        <v>5272</v>
      </c>
      <c r="E9" s="234">
        <v>27.0</v>
      </c>
      <c r="F9" s="235">
        <v>101.0</v>
      </c>
      <c r="G9" s="235">
        <v>101.0</v>
      </c>
      <c r="H9" s="234">
        <v>27.0</v>
      </c>
      <c r="I9" s="235">
        <v>101.0</v>
      </c>
      <c r="J9" s="236">
        <v>4.4374901E7</v>
      </c>
      <c r="K9" s="11">
        <v>58.0</v>
      </c>
      <c r="L9" s="11">
        <v>6.0</v>
      </c>
      <c r="M9" s="237" t="str">
        <f t="shared" si="1"/>
        <v>0271010044374901586</v>
      </c>
      <c r="N9" s="238">
        <v>-32160.73</v>
      </c>
      <c r="O9" s="110">
        <v>111120.0</v>
      </c>
      <c r="P9" s="11">
        <v>76.0</v>
      </c>
      <c r="Q9" s="17">
        <v>28.0</v>
      </c>
      <c r="R9" s="17">
        <v>20.0</v>
      </c>
    </row>
    <row r="10">
      <c r="A10" s="11">
        <v>12.0</v>
      </c>
      <c r="B10" s="11">
        <v>61.0</v>
      </c>
      <c r="C10" s="11">
        <v>7.0</v>
      </c>
      <c r="D10" s="11" t="s">
        <v>5273</v>
      </c>
      <c r="E10" s="234">
        <v>30.0</v>
      </c>
      <c r="F10" s="235">
        <v>105.0</v>
      </c>
      <c r="G10" s="235">
        <v>105.0</v>
      </c>
      <c r="H10" s="234">
        <v>30.0</v>
      </c>
      <c r="I10" s="235">
        <v>105.0</v>
      </c>
      <c r="J10" s="236">
        <v>9.5642663E7</v>
      </c>
      <c r="K10" s="11">
        <v>48.0</v>
      </c>
      <c r="L10" s="11">
        <v>9.0</v>
      </c>
      <c r="M10" s="237" t="str">
        <f t="shared" si="1"/>
        <v>0301050095642663489</v>
      </c>
      <c r="N10" s="238">
        <v>94854.18</v>
      </c>
      <c r="O10" s="110">
        <v>92714.0</v>
      </c>
      <c r="P10" s="11">
        <v>71.0</v>
      </c>
      <c r="Q10" s="17">
        <v>25.0</v>
      </c>
      <c r="R10" s="17">
        <v>41.0</v>
      </c>
    </row>
    <row r="11">
      <c r="A11" s="11">
        <v>11.0</v>
      </c>
      <c r="B11" s="11">
        <v>41.0</v>
      </c>
      <c r="C11" s="11">
        <v>2.0</v>
      </c>
      <c r="D11" s="11" t="s">
        <v>5273</v>
      </c>
      <c r="E11" s="234">
        <v>18.0</v>
      </c>
      <c r="F11" s="235">
        <v>45.0</v>
      </c>
      <c r="G11" s="235">
        <v>45.0</v>
      </c>
      <c r="H11" s="234">
        <v>18.0</v>
      </c>
      <c r="I11" s="235">
        <v>45.0</v>
      </c>
      <c r="J11" s="236">
        <v>3.727303E7</v>
      </c>
      <c r="K11" s="11">
        <v>42.0</v>
      </c>
      <c r="L11" s="11">
        <v>2.0</v>
      </c>
      <c r="M11" s="237" t="str">
        <f t="shared" si="1"/>
        <v>0180450037273030422</v>
      </c>
      <c r="N11" s="238">
        <v>17547.73</v>
      </c>
      <c r="O11" s="110">
        <v>21519.0</v>
      </c>
      <c r="P11" s="11">
        <v>77.0</v>
      </c>
      <c r="Q11" s="17">
        <v>32.0</v>
      </c>
      <c r="R11" s="17">
        <v>61.0</v>
      </c>
    </row>
    <row r="12">
      <c r="A12" s="11">
        <v>18.0</v>
      </c>
      <c r="B12" s="11">
        <v>61.0</v>
      </c>
      <c r="C12" s="11">
        <v>7.0</v>
      </c>
      <c r="D12" s="11" t="s">
        <v>39</v>
      </c>
      <c r="E12" s="234">
        <v>26.0</v>
      </c>
      <c r="F12" s="235">
        <v>125.0</v>
      </c>
      <c r="G12" s="235">
        <v>125.0</v>
      </c>
      <c r="H12" s="234">
        <v>26.0</v>
      </c>
      <c r="I12" s="235">
        <v>125.0</v>
      </c>
      <c r="J12" s="236">
        <v>7.1241742E7</v>
      </c>
      <c r="K12" s="11">
        <v>90.0</v>
      </c>
      <c r="L12" s="11">
        <v>3.0</v>
      </c>
      <c r="M12" s="237" t="str">
        <f t="shared" si="1"/>
        <v>0261250071241742903</v>
      </c>
      <c r="N12" s="238">
        <v>-48340.16</v>
      </c>
      <c r="O12" s="110">
        <v>42823.0</v>
      </c>
      <c r="P12" s="11">
        <v>72.0</v>
      </c>
      <c r="Q12" s="17">
        <v>1.0</v>
      </c>
      <c r="R12" s="17">
        <v>82.0</v>
      </c>
    </row>
    <row r="13">
      <c r="A13" s="11">
        <v>11.0</v>
      </c>
      <c r="B13" s="11">
        <v>41.0</v>
      </c>
      <c r="C13" s="11">
        <v>5.0</v>
      </c>
      <c r="D13" s="11" t="s">
        <v>29</v>
      </c>
      <c r="E13" s="234">
        <v>48.0</v>
      </c>
      <c r="F13" s="235">
        <v>267.0</v>
      </c>
      <c r="G13" s="235">
        <v>267.0</v>
      </c>
      <c r="H13" s="234">
        <v>48.0</v>
      </c>
      <c r="I13" s="235">
        <v>267.0</v>
      </c>
      <c r="J13" s="236">
        <v>8.4428185E7</v>
      </c>
      <c r="K13" s="11">
        <v>80.0</v>
      </c>
      <c r="L13" s="11">
        <v>7.0</v>
      </c>
      <c r="M13" s="237" t="str">
        <f t="shared" si="1"/>
        <v>0482670084428185807</v>
      </c>
      <c r="N13" s="238">
        <v>96185.24</v>
      </c>
      <c r="O13" s="110">
        <v>21019.0</v>
      </c>
      <c r="P13" s="11">
        <v>80.0</v>
      </c>
      <c r="Q13" s="17">
        <v>35.0</v>
      </c>
      <c r="R13" s="17">
        <v>20.0</v>
      </c>
    </row>
    <row r="14">
      <c r="A14" s="11">
        <v>14.0</v>
      </c>
      <c r="B14" s="11">
        <v>61.0</v>
      </c>
      <c r="C14" s="11">
        <v>3.0</v>
      </c>
      <c r="D14" s="11" t="s">
        <v>29</v>
      </c>
      <c r="E14" s="234">
        <v>30.0</v>
      </c>
      <c r="F14" s="235">
        <v>69.0</v>
      </c>
      <c r="G14" s="235">
        <v>69.0</v>
      </c>
      <c r="H14" s="234">
        <v>30.0</v>
      </c>
      <c r="I14" s="235">
        <v>69.0</v>
      </c>
      <c r="J14" s="236">
        <v>1.5562267E7</v>
      </c>
      <c r="K14" s="11">
        <v>93.0</v>
      </c>
      <c r="L14" s="11">
        <v>3.0</v>
      </c>
      <c r="M14" s="237" t="str">
        <f t="shared" si="1"/>
        <v>0300690015562267933</v>
      </c>
      <c r="N14" s="238">
        <v>88606.76</v>
      </c>
      <c r="O14" s="110">
        <v>60517.0</v>
      </c>
      <c r="P14" s="11">
        <v>70.0</v>
      </c>
      <c r="Q14" s="17">
        <v>39.0</v>
      </c>
      <c r="R14" s="17">
        <v>41.0</v>
      </c>
    </row>
    <row r="15">
      <c r="A15" s="11">
        <v>14.0</v>
      </c>
      <c r="B15" s="11">
        <v>82.0</v>
      </c>
      <c r="C15" s="11">
        <v>7.0</v>
      </c>
      <c r="D15" s="11" t="s">
        <v>39</v>
      </c>
      <c r="E15" s="234">
        <v>21.0</v>
      </c>
      <c r="F15" s="235">
        <v>221.0</v>
      </c>
      <c r="G15" s="235">
        <v>221.0</v>
      </c>
      <c r="H15" s="234">
        <v>21.0</v>
      </c>
      <c r="I15" s="235">
        <v>221.0</v>
      </c>
      <c r="J15" s="236">
        <v>7.653004E7</v>
      </c>
      <c r="K15" s="11">
        <v>28.0</v>
      </c>
      <c r="L15" s="11">
        <v>0.0</v>
      </c>
      <c r="M15" s="237" t="str">
        <f t="shared" si="1"/>
        <v>0212210076530040280</v>
      </c>
      <c r="N15" s="238">
        <v>58773.45</v>
      </c>
      <c r="O15" s="110">
        <v>32818.0</v>
      </c>
      <c r="P15" s="11">
        <v>75.0</v>
      </c>
      <c r="Q15" s="17">
        <v>35.0</v>
      </c>
      <c r="R15" s="17">
        <v>41.0</v>
      </c>
    </row>
    <row r="16">
      <c r="A16" s="11">
        <v>18.0</v>
      </c>
      <c r="B16" s="11">
        <v>61.0</v>
      </c>
      <c r="C16" s="11">
        <v>6.0</v>
      </c>
      <c r="D16" s="11" t="s">
        <v>5271</v>
      </c>
      <c r="E16" s="234">
        <v>48.0</v>
      </c>
      <c r="F16" s="235">
        <v>481.0</v>
      </c>
      <c r="G16" s="235">
        <v>481.0</v>
      </c>
      <c r="H16" s="234">
        <v>48.0</v>
      </c>
      <c r="I16" s="235">
        <v>481.0</v>
      </c>
      <c r="J16" s="236">
        <v>7.8722308E7</v>
      </c>
      <c r="K16" s="11">
        <v>34.0</v>
      </c>
      <c r="L16" s="11">
        <v>6.0</v>
      </c>
      <c r="M16" s="237" t="str">
        <f t="shared" si="1"/>
        <v>0484810078722308346</v>
      </c>
      <c r="N16" s="238">
        <v>35220.1</v>
      </c>
      <c r="O16" s="110">
        <v>52423.0</v>
      </c>
      <c r="P16" s="11">
        <v>74.0</v>
      </c>
      <c r="Q16" s="17">
        <v>10.0</v>
      </c>
      <c r="R16" s="17">
        <v>41.0</v>
      </c>
    </row>
    <row r="17">
      <c r="A17" s="11">
        <v>17.0</v>
      </c>
      <c r="B17" s="11">
        <v>41.0</v>
      </c>
      <c r="C17" s="11">
        <v>1.0</v>
      </c>
      <c r="D17" s="11" t="s">
        <v>5273</v>
      </c>
      <c r="E17" s="234">
        <v>48.0</v>
      </c>
      <c r="F17" s="235">
        <v>207.0</v>
      </c>
      <c r="G17" s="235">
        <v>207.0</v>
      </c>
      <c r="H17" s="234">
        <v>48.0</v>
      </c>
      <c r="I17" s="235">
        <v>207.0</v>
      </c>
      <c r="J17" s="236">
        <v>5.2034403E7</v>
      </c>
      <c r="K17" s="11">
        <v>65.0</v>
      </c>
      <c r="L17" s="11">
        <v>3.0</v>
      </c>
      <c r="M17" s="237" t="str">
        <f t="shared" si="1"/>
        <v>0482070052034403653</v>
      </c>
      <c r="N17" s="238">
        <v>-70757.75</v>
      </c>
      <c r="O17" s="110">
        <v>112618.0</v>
      </c>
      <c r="P17" s="11">
        <v>75.0</v>
      </c>
      <c r="Q17" s="17">
        <v>49.0</v>
      </c>
      <c r="R17" s="17">
        <v>61.0</v>
      </c>
    </row>
    <row r="18">
      <c r="A18" s="11">
        <v>17.0</v>
      </c>
      <c r="B18" s="11">
        <v>41.0</v>
      </c>
      <c r="C18" s="11">
        <v>5.0</v>
      </c>
      <c r="D18" s="11" t="s">
        <v>5271</v>
      </c>
      <c r="E18" s="234">
        <v>53.0</v>
      </c>
      <c r="F18" s="235">
        <v>27.0</v>
      </c>
      <c r="G18" s="235">
        <v>27.0</v>
      </c>
      <c r="H18" s="234">
        <v>53.0</v>
      </c>
      <c r="I18" s="235">
        <v>27.0</v>
      </c>
      <c r="J18" s="236">
        <v>1.8828032E7</v>
      </c>
      <c r="K18" s="11">
        <v>80.0</v>
      </c>
      <c r="L18" s="11">
        <v>4.0</v>
      </c>
      <c r="M18" s="237" t="str">
        <f t="shared" si="1"/>
        <v>0530270018828032804</v>
      </c>
      <c r="N18" s="238">
        <v>9226.25</v>
      </c>
      <c r="O18" s="110">
        <v>122914.0</v>
      </c>
      <c r="P18" s="11">
        <v>72.0</v>
      </c>
      <c r="Q18" s="17">
        <v>8.0</v>
      </c>
      <c r="R18" s="17">
        <v>41.0</v>
      </c>
    </row>
    <row r="19">
      <c r="A19" s="11">
        <v>13.0</v>
      </c>
      <c r="B19" s="11">
        <v>82.0</v>
      </c>
      <c r="C19" s="11">
        <v>4.0</v>
      </c>
      <c r="D19" s="11" t="s">
        <v>5271</v>
      </c>
      <c r="E19" s="234">
        <v>16.0</v>
      </c>
      <c r="F19" s="235">
        <v>75.0</v>
      </c>
      <c r="G19" s="235">
        <v>75.0</v>
      </c>
      <c r="H19" s="234">
        <v>16.0</v>
      </c>
      <c r="I19" s="235">
        <v>75.0</v>
      </c>
      <c r="J19" s="236">
        <v>1.1844551E7</v>
      </c>
      <c r="K19" s="11">
        <v>22.0</v>
      </c>
      <c r="L19" s="11">
        <v>7.0</v>
      </c>
      <c r="M19" s="237" t="str">
        <f t="shared" si="1"/>
        <v>0160750011844551227</v>
      </c>
      <c r="N19" s="238">
        <v>-38662.34</v>
      </c>
      <c r="O19" s="110">
        <v>50514.0</v>
      </c>
      <c r="P19" s="11">
        <v>80.0</v>
      </c>
      <c r="Q19" s="17">
        <v>22.0</v>
      </c>
      <c r="R19" s="17">
        <v>82.0</v>
      </c>
    </row>
    <row r="20">
      <c r="A20" s="11">
        <v>13.0</v>
      </c>
      <c r="B20" s="11">
        <v>41.0</v>
      </c>
      <c r="C20" s="11">
        <v>5.0</v>
      </c>
      <c r="D20" s="11" t="s">
        <v>31</v>
      </c>
      <c r="E20" s="234">
        <v>20.0</v>
      </c>
      <c r="F20" s="235">
        <v>69.0</v>
      </c>
      <c r="G20" s="235">
        <v>69.0</v>
      </c>
      <c r="H20" s="234">
        <v>20.0</v>
      </c>
      <c r="I20" s="235">
        <v>69.0</v>
      </c>
      <c r="J20" s="236">
        <v>3.5140798E7</v>
      </c>
      <c r="K20" s="11">
        <v>84.0</v>
      </c>
      <c r="L20" s="11">
        <v>6.0</v>
      </c>
      <c r="M20" s="237" t="str">
        <f t="shared" si="1"/>
        <v>0200690035140798846</v>
      </c>
      <c r="N20" s="238">
        <v>-63201.93</v>
      </c>
      <c r="O20" s="110">
        <v>80821.0</v>
      </c>
      <c r="P20" s="11">
        <v>77.0</v>
      </c>
      <c r="Q20" s="17">
        <v>39.0</v>
      </c>
      <c r="R20" s="17">
        <v>41.0</v>
      </c>
    </row>
    <row r="21">
      <c r="A21" s="11">
        <v>14.0</v>
      </c>
      <c r="B21" s="11">
        <v>41.0</v>
      </c>
      <c r="C21" s="11">
        <v>2.0</v>
      </c>
      <c r="D21" s="11" t="s">
        <v>39</v>
      </c>
      <c r="E21" s="234">
        <v>5.0</v>
      </c>
      <c r="F21" s="235">
        <v>85.0</v>
      </c>
      <c r="G21" s="235">
        <v>85.0</v>
      </c>
      <c r="H21" s="234">
        <v>5.0</v>
      </c>
      <c r="I21" s="235">
        <v>85.0</v>
      </c>
      <c r="J21" s="236">
        <v>3.4074143E7</v>
      </c>
      <c r="K21" s="11">
        <v>59.0</v>
      </c>
      <c r="L21" s="11">
        <v>8.0</v>
      </c>
      <c r="M21" s="237" t="str">
        <f t="shared" si="1"/>
        <v>050850034074143598</v>
      </c>
      <c r="N21" s="238">
        <v>67337.4</v>
      </c>
      <c r="O21" s="110">
        <v>71418.0</v>
      </c>
      <c r="P21" s="11">
        <v>74.0</v>
      </c>
      <c r="Q21" s="17">
        <v>1.0</v>
      </c>
      <c r="R21" s="17">
        <v>82.0</v>
      </c>
    </row>
    <row r="22">
      <c r="A22" s="11">
        <v>18.0</v>
      </c>
      <c r="B22" s="11">
        <v>61.0</v>
      </c>
      <c r="C22" s="11">
        <v>2.0</v>
      </c>
      <c r="D22" s="11" t="s">
        <v>5273</v>
      </c>
      <c r="E22" s="234">
        <v>5.0</v>
      </c>
      <c r="F22" s="235">
        <v>91.0</v>
      </c>
      <c r="G22" s="235">
        <v>91.0</v>
      </c>
      <c r="H22" s="234">
        <v>5.0</v>
      </c>
      <c r="I22" s="235">
        <v>91.0</v>
      </c>
      <c r="J22" s="236">
        <v>5.0115484E7</v>
      </c>
      <c r="K22" s="11">
        <v>87.0</v>
      </c>
      <c r="L22" s="11">
        <v>4.0</v>
      </c>
      <c r="M22" s="237" t="str">
        <f t="shared" si="1"/>
        <v>050910050115484874</v>
      </c>
      <c r="N22" s="238">
        <v>79063.22</v>
      </c>
      <c r="O22" s="110">
        <v>71719.0</v>
      </c>
      <c r="P22" s="11">
        <v>73.0</v>
      </c>
      <c r="Q22" s="17">
        <v>13.0</v>
      </c>
      <c r="R22" s="17">
        <v>41.0</v>
      </c>
    </row>
    <row r="23">
      <c r="A23" s="11">
        <v>18.0</v>
      </c>
      <c r="B23" s="11">
        <v>41.0</v>
      </c>
      <c r="C23" s="11">
        <v>3.0</v>
      </c>
      <c r="D23" s="11" t="s">
        <v>5272</v>
      </c>
      <c r="E23" s="234">
        <v>31.0</v>
      </c>
      <c r="F23" s="235">
        <v>9.0</v>
      </c>
      <c r="G23" s="235">
        <v>9.0</v>
      </c>
      <c r="H23" s="234">
        <v>31.0</v>
      </c>
      <c r="I23" s="235">
        <v>9.0</v>
      </c>
      <c r="J23" s="236">
        <v>2.6856922E7</v>
      </c>
      <c r="K23" s="11">
        <v>70.0</v>
      </c>
      <c r="L23" s="11">
        <v>8.0</v>
      </c>
      <c r="M23" s="237" t="str">
        <f t="shared" si="1"/>
        <v>0310090026856922708</v>
      </c>
      <c r="N23" s="238">
        <v>26761.32</v>
      </c>
      <c r="O23" s="110">
        <v>20219.0</v>
      </c>
      <c r="P23" s="11">
        <v>72.0</v>
      </c>
      <c r="Q23" s="17">
        <v>45.0</v>
      </c>
      <c r="R23" s="17">
        <v>20.0</v>
      </c>
    </row>
    <row r="24">
      <c r="A24" s="11">
        <v>18.0</v>
      </c>
      <c r="B24" s="11">
        <v>82.0</v>
      </c>
      <c r="C24" s="11">
        <v>2.0</v>
      </c>
      <c r="D24" s="11" t="s">
        <v>31</v>
      </c>
      <c r="E24" s="234">
        <v>39.0</v>
      </c>
      <c r="F24" s="235">
        <v>17.0</v>
      </c>
      <c r="G24" s="235">
        <v>17.0</v>
      </c>
      <c r="H24" s="234">
        <v>39.0</v>
      </c>
      <c r="I24" s="235">
        <v>17.0</v>
      </c>
      <c r="J24" s="236">
        <v>2.1839827E7</v>
      </c>
      <c r="K24" s="11">
        <v>12.0</v>
      </c>
      <c r="L24" s="11">
        <v>0.0</v>
      </c>
      <c r="M24" s="237" t="str">
        <f t="shared" si="1"/>
        <v>0390170021839827120</v>
      </c>
      <c r="N24" s="238">
        <v>-58228.07</v>
      </c>
      <c r="O24" s="110">
        <v>90423.0</v>
      </c>
      <c r="P24" s="11">
        <v>70.0</v>
      </c>
      <c r="Q24" s="17">
        <v>13.0</v>
      </c>
      <c r="R24" s="17">
        <v>82.0</v>
      </c>
    </row>
    <row r="25">
      <c r="A25" s="11">
        <v>11.0</v>
      </c>
      <c r="B25" s="11">
        <v>82.0</v>
      </c>
      <c r="C25" s="11">
        <v>1.0</v>
      </c>
      <c r="D25" s="11" t="s">
        <v>5272</v>
      </c>
      <c r="E25" s="234">
        <v>26.0</v>
      </c>
      <c r="F25" s="235">
        <v>51.0</v>
      </c>
      <c r="G25" s="235">
        <v>51.0</v>
      </c>
      <c r="H25" s="234">
        <v>26.0</v>
      </c>
      <c r="I25" s="235">
        <v>51.0</v>
      </c>
      <c r="J25" s="236">
        <v>2.8317107E7</v>
      </c>
      <c r="K25" s="11">
        <v>33.0</v>
      </c>
      <c r="L25" s="11">
        <v>2.0</v>
      </c>
      <c r="M25" s="237" t="str">
        <f t="shared" si="1"/>
        <v>0260510028317107332</v>
      </c>
      <c r="N25" s="238">
        <v>59329.11</v>
      </c>
      <c r="O25" s="110">
        <v>73023.0</v>
      </c>
      <c r="P25" s="11">
        <v>80.0</v>
      </c>
      <c r="Q25" s="17">
        <v>16.0</v>
      </c>
      <c r="R25" s="17">
        <v>82.0</v>
      </c>
    </row>
    <row r="26">
      <c r="A26" s="11">
        <v>20.0</v>
      </c>
      <c r="B26" s="11">
        <v>41.0</v>
      </c>
      <c r="C26" s="11">
        <v>1.0</v>
      </c>
      <c r="D26" s="11" t="s">
        <v>5273</v>
      </c>
      <c r="E26" s="234">
        <v>47.0</v>
      </c>
      <c r="F26" s="235">
        <v>121.0</v>
      </c>
      <c r="G26" s="235">
        <v>121.0</v>
      </c>
      <c r="H26" s="234">
        <v>47.0</v>
      </c>
      <c r="I26" s="235">
        <v>121.0</v>
      </c>
      <c r="J26" s="236">
        <v>1.0900624E7</v>
      </c>
      <c r="K26" s="11">
        <v>91.0</v>
      </c>
      <c r="L26" s="11">
        <v>2.0</v>
      </c>
      <c r="M26" s="237" t="str">
        <f t="shared" si="1"/>
        <v>0471210010900624912</v>
      </c>
      <c r="N26" s="238">
        <v>-10716.91</v>
      </c>
      <c r="O26" s="110">
        <v>111416.0</v>
      </c>
      <c r="P26" s="11">
        <v>79.0</v>
      </c>
      <c r="Q26" s="17">
        <v>35.0</v>
      </c>
      <c r="R26" s="17">
        <v>21.0</v>
      </c>
    </row>
    <row r="27">
      <c r="A27" s="11">
        <v>13.0</v>
      </c>
      <c r="B27" s="11">
        <v>82.0</v>
      </c>
      <c r="C27" s="11">
        <v>9.0</v>
      </c>
      <c r="D27" s="11" t="s">
        <v>5271</v>
      </c>
      <c r="E27" s="234">
        <v>40.0</v>
      </c>
      <c r="F27" s="235">
        <v>23.0</v>
      </c>
      <c r="G27" s="235">
        <v>23.0</v>
      </c>
      <c r="H27" s="234">
        <v>40.0</v>
      </c>
      <c r="I27" s="235">
        <v>23.0</v>
      </c>
      <c r="J27" s="236">
        <v>6.0511808E7</v>
      </c>
      <c r="K27" s="11">
        <v>33.0</v>
      </c>
      <c r="L27" s="11">
        <v>3.0</v>
      </c>
      <c r="M27" s="237" t="str">
        <f t="shared" si="1"/>
        <v>0400230060511808333</v>
      </c>
      <c r="N27" s="238">
        <v>95524.64</v>
      </c>
      <c r="O27" s="110">
        <v>103119.0</v>
      </c>
      <c r="P27" s="11">
        <v>73.0</v>
      </c>
      <c r="Q27" s="17">
        <v>1.0</v>
      </c>
      <c r="R27" s="17">
        <v>62.0</v>
      </c>
    </row>
    <row r="28">
      <c r="A28" s="11">
        <v>12.0</v>
      </c>
      <c r="B28" s="11">
        <v>41.0</v>
      </c>
      <c r="C28" s="11">
        <v>6.0</v>
      </c>
      <c r="D28" s="11" t="s">
        <v>39</v>
      </c>
      <c r="E28" s="234">
        <v>5.0</v>
      </c>
      <c r="F28" s="235">
        <v>131.0</v>
      </c>
      <c r="G28" s="235">
        <v>131.0</v>
      </c>
      <c r="H28" s="234">
        <v>5.0</v>
      </c>
      <c r="I28" s="235">
        <v>131.0</v>
      </c>
      <c r="J28" s="236">
        <v>6.7084686E7</v>
      </c>
      <c r="K28" s="11">
        <v>82.0</v>
      </c>
      <c r="L28" s="11">
        <v>3.0</v>
      </c>
      <c r="M28" s="237" t="str">
        <f t="shared" si="1"/>
        <v>051310067084686823</v>
      </c>
      <c r="N28" s="238">
        <v>-69973.37</v>
      </c>
      <c r="O28" s="110">
        <v>41418.0</v>
      </c>
      <c r="P28" s="11">
        <v>72.0</v>
      </c>
      <c r="Q28" s="17">
        <v>9.0</v>
      </c>
      <c r="R28" s="17">
        <v>62.0</v>
      </c>
    </row>
    <row r="29">
      <c r="A29" s="11">
        <v>17.0</v>
      </c>
      <c r="B29" s="11">
        <v>82.0</v>
      </c>
      <c r="C29" s="11">
        <v>8.0</v>
      </c>
      <c r="D29" s="11" t="s">
        <v>29</v>
      </c>
      <c r="E29" s="234">
        <v>48.0</v>
      </c>
      <c r="F29" s="235">
        <v>431.0</v>
      </c>
      <c r="G29" s="235">
        <v>431.0</v>
      </c>
      <c r="H29" s="234">
        <v>48.0</v>
      </c>
      <c r="I29" s="235">
        <v>431.0</v>
      </c>
      <c r="J29" s="236">
        <v>1.2067708E7</v>
      </c>
      <c r="K29" s="11">
        <v>5.0</v>
      </c>
      <c r="L29" s="11">
        <v>2.0</v>
      </c>
      <c r="M29" s="237" t="str">
        <f t="shared" si="1"/>
        <v>048431001206770852</v>
      </c>
      <c r="N29" s="238">
        <v>50142.63</v>
      </c>
      <c r="O29" s="110">
        <v>10321.0</v>
      </c>
      <c r="P29" s="11">
        <v>76.0</v>
      </c>
      <c r="Q29" s="17">
        <v>6.0</v>
      </c>
      <c r="R29" s="17">
        <v>41.0</v>
      </c>
    </row>
    <row r="30">
      <c r="A30" s="11">
        <v>14.0</v>
      </c>
      <c r="B30" s="11">
        <v>21.0</v>
      </c>
      <c r="C30" s="11">
        <v>2.0</v>
      </c>
      <c r="D30" s="11" t="s">
        <v>5272</v>
      </c>
      <c r="E30" s="234">
        <v>48.0</v>
      </c>
      <c r="F30" s="235">
        <v>223.0</v>
      </c>
      <c r="G30" s="235">
        <v>223.0</v>
      </c>
      <c r="H30" s="234">
        <v>48.0</v>
      </c>
      <c r="I30" s="235">
        <v>223.0</v>
      </c>
      <c r="J30" s="236">
        <v>2.1784696E7</v>
      </c>
      <c r="K30" s="11">
        <v>77.0</v>
      </c>
      <c r="L30" s="11">
        <v>8.0</v>
      </c>
      <c r="M30" s="237" t="str">
        <f t="shared" si="1"/>
        <v>0482230021784696778</v>
      </c>
      <c r="N30" s="238">
        <v>27682.07</v>
      </c>
      <c r="O30" s="110">
        <v>72418.0</v>
      </c>
      <c r="P30" s="11">
        <v>71.0</v>
      </c>
      <c r="Q30" s="17">
        <v>29.0</v>
      </c>
      <c r="R30" s="17">
        <v>21.0</v>
      </c>
    </row>
    <row r="31">
      <c r="A31" s="11">
        <v>17.0</v>
      </c>
      <c r="B31" s="11">
        <v>62.0</v>
      </c>
      <c r="C31" s="11">
        <v>4.0</v>
      </c>
      <c r="D31" s="11" t="s">
        <v>5271</v>
      </c>
      <c r="E31" s="234">
        <v>46.0</v>
      </c>
      <c r="F31" s="235">
        <v>41.0</v>
      </c>
      <c r="G31" s="235">
        <v>41.0</v>
      </c>
      <c r="H31" s="234">
        <v>46.0</v>
      </c>
      <c r="I31" s="235">
        <v>41.0</v>
      </c>
      <c r="J31" s="236">
        <v>8.7120329E7</v>
      </c>
      <c r="K31" s="11">
        <v>79.0</v>
      </c>
      <c r="L31" s="11">
        <v>9.0</v>
      </c>
      <c r="M31" s="237" t="str">
        <f t="shared" si="1"/>
        <v>0460410087120329799</v>
      </c>
      <c r="N31" s="238">
        <v>63122.96</v>
      </c>
      <c r="O31" s="110">
        <v>10721.0</v>
      </c>
      <c r="P31" s="11">
        <v>72.0</v>
      </c>
      <c r="Q31" s="17">
        <v>37.0</v>
      </c>
      <c r="R31" s="17">
        <v>82.0</v>
      </c>
    </row>
    <row r="32">
      <c r="A32" s="11">
        <v>16.0</v>
      </c>
      <c r="B32" s="11">
        <v>21.0</v>
      </c>
      <c r="C32" s="11">
        <v>9.0</v>
      </c>
      <c r="D32" s="11" t="s">
        <v>5271</v>
      </c>
      <c r="E32" s="234">
        <v>20.0</v>
      </c>
      <c r="F32" s="235">
        <v>133.0</v>
      </c>
      <c r="G32" s="235">
        <v>133.0</v>
      </c>
      <c r="H32" s="234">
        <v>20.0</v>
      </c>
      <c r="I32" s="235">
        <v>133.0</v>
      </c>
      <c r="J32" s="236">
        <v>3.2228374E7</v>
      </c>
      <c r="K32" s="11">
        <v>75.0</v>
      </c>
      <c r="L32" s="11">
        <v>1.0</v>
      </c>
      <c r="M32" s="237" t="str">
        <f t="shared" si="1"/>
        <v>0201330032228374751</v>
      </c>
      <c r="N32" s="238">
        <v>71809.65</v>
      </c>
      <c r="O32" s="110">
        <v>110313.0</v>
      </c>
      <c r="P32" s="11">
        <v>79.0</v>
      </c>
      <c r="Q32" s="17">
        <v>48.0</v>
      </c>
      <c r="R32" s="17">
        <v>82.0</v>
      </c>
    </row>
    <row r="33">
      <c r="A33" s="11">
        <v>15.0</v>
      </c>
      <c r="B33" s="11">
        <v>41.0</v>
      </c>
      <c r="C33" s="11">
        <v>3.0</v>
      </c>
      <c r="D33" s="11" t="s">
        <v>29</v>
      </c>
      <c r="E33" s="234">
        <v>18.0</v>
      </c>
      <c r="F33" s="235">
        <v>67.0</v>
      </c>
      <c r="G33" s="235">
        <v>67.0</v>
      </c>
      <c r="H33" s="234">
        <v>18.0</v>
      </c>
      <c r="I33" s="235">
        <v>67.0</v>
      </c>
      <c r="J33" s="236">
        <v>4.3995138E7</v>
      </c>
      <c r="K33" s="11">
        <v>47.0</v>
      </c>
      <c r="L33" s="11">
        <v>0.0</v>
      </c>
      <c r="M33" s="237" t="str">
        <f t="shared" si="1"/>
        <v>0180670043995138470</v>
      </c>
      <c r="N33" s="238">
        <v>63822.44</v>
      </c>
      <c r="O33" s="110">
        <v>72915.0</v>
      </c>
      <c r="P33" s="11">
        <v>72.0</v>
      </c>
      <c r="Q33" s="17">
        <v>33.0</v>
      </c>
      <c r="R33" s="17">
        <v>62.0</v>
      </c>
    </row>
    <row r="34">
      <c r="A34" s="11">
        <v>20.0</v>
      </c>
      <c r="B34" s="11">
        <v>62.0</v>
      </c>
      <c r="C34" s="11">
        <v>5.0</v>
      </c>
      <c r="D34" s="11" t="s">
        <v>5272</v>
      </c>
      <c r="E34" s="234">
        <v>37.0</v>
      </c>
      <c r="F34" s="235">
        <v>199.0</v>
      </c>
      <c r="G34" s="235">
        <v>199.0</v>
      </c>
      <c r="H34" s="234">
        <v>37.0</v>
      </c>
      <c r="I34" s="235">
        <v>199.0</v>
      </c>
      <c r="J34" s="236">
        <v>5.8059673E7</v>
      </c>
      <c r="K34" s="11">
        <v>65.0</v>
      </c>
      <c r="L34" s="11">
        <v>2.0</v>
      </c>
      <c r="M34" s="237" t="str">
        <f t="shared" si="1"/>
        <v>0371990058059673652</v>
      </c>
      <c r="N34" s="238">
        <v>66761.63</v>
      </c>
      <c r="O34" s="110">
        <v>11513.0</v>
      </c>
      <c r="P34" s="11">
        <v>80.0</v>
      </c>
      <c r="Q34" s="17">
        <v>10.0</v>
      </c>
      <c r="R34" s="17">
        <v>41.0</v>
      </c>
    </row>
    <row r="35">
      <c r="A35" s="11">
        <v>10.0</v>
      </c>
      <c r="B35" s="11">
        <v>62.0</v>
      </c>
      <c r="C35" s="11">
        <v>9.0</v>
      </c>
      <c r="D35" s="11" t="s">
        <v>5273</v>
      </c>
      <c r="E35" s="234">
        <v>48.0</v>
      </c>
      <c r="F35" s="235">
        <v>247.0</v>
      </c>
      <c r="G35" s="235">
        <v>247.0</v>
      </c>
      <c r="H35" s="234">
        <v>48.0</v>
      </c>
      <c r="I35" s="235">
        <v>247.0</v>
      </c>
      <c r="J35" s="236">
        <v>6.3181942E7</v>
      </c>
      <c r="K35" s="11">
        <v>89.0</v>
      </c>
      <c r="L35" s="11">
        <v>1.0</v>
      </c>
      <c r="M35" s="237" t="str">
        <f t="shared" si="1"/>
        <v>0482470063181942891</v>
      </c>
      <c r="N35" s="238">
        <v>90136.44</v>
      </c>
      <c r="O35" s="110">
        <v>102822.0</v>
      </c>
      <c r="P35" s="11">
        <v>78.0</v>
      </c>
      <c r="Q35" s="17">
        <v>49.0</v>
      </c>
      <c r="R35" s="17">
        <v>21.0</v>
      </c>
    </row>
    <row r="36">
      <c r="A36" s="11">
        <v>20.0</v>
      </c>
      <c r="B36" s="11">
        <v>41.0</v>
      </c>
      <c r="C36" s="11">
        <v>6.0</v>
      </c>
      <c r="D36" s="11" t="s">
        <v>5271</v>
      </c>
      <c r="E36" s="234">
        <v>9.0</v>
      </c>
      <c r="F36" s="235">
        <v>13.0</v>
      </c>
      <c r="G36" s="235">
        <v>13.0</v>
      </c>
      <c r="H36" s="234">
        <v>9.0</v>
      </c>
      <c r="I36" s="235">
        <v>13.0</v>
      </c>
      <c r="J36" s="236">
        <v>7.9622567E7</v>
      </c>
      <c r="K36" s="11">
        <v>14.0</v>
      </c>
      <c r="L36" s="11">
        <v>0.0</v>
      </c>
      <c r="M36" s="237" t="str">
        <f t="shared" si="1"/>
        <v>090130079622567140</v>
      </c>
      <c r="N36" s="238">
        <v>-71348.82</v>
      </c>
      <c r="O36" s="110">
        <v>100514.0</v>
      </c>
      <c r="P36" s="11">
        <v>77.0</v>
      </c>
      <c r="Q36" s="17">
        <v>26.0</v>
      </c>
      <c r="R36" s="17">
        <v>62.0</v>
      </c>
    </row>
    <row r="37">
      <c r="A37" s="11">
        <v>10.0</v>
      </c>
      <c r="B37" s="11">
        <v>62.0</v>
      </c>
      <c r="C37" s="11">
        <v>2.0</v>
      </c>
      <c r="D37" s="11" t="s">
        <v>29</v>
      </c>
      <c r="E37" s="234">
        <v>8.0</v>
      </c>
      <c r="F37" s="235">
        <v>41.0</v>
      </c>
      <c r="G37" s="235">
        <v>41.0</v>
      </c>
      <c r="H37" s="234">
        <v>8.0</v>
      </c>
      <c r="I37" s="235">
        <v>41.0</v>
      </c>
      <c r="J37" s="236">
        <v>1.6970266E7</v>
      </c>
      <c r="K37" s="11">
        <v>29.0</v>
      </c>
      <c r="L37" s="11">
        <v>1.0</v>
      </c>
      <c r="M37" s="237" t="str">
        <f t="shared" si="1"/>
        <v>080410016970266291</v>
      </c>
      <c r="N37" s="238">
        <v>-1411.39</v>
      </c>
      <c r="O37" s="110">
        <v>100121.0</v>
      </c>
      <c r="P37" s="11">
        <v>79.0</v>
      </c>
      <c r="Q37" s="17">
        <v>46.0</v>
      </c>
      <c r="R37" s="17">
        <v>41.0</v>
      </c>
    </row>
    <row r="38">
      <c r="A38" s="11">
        <v>13.0</v>
      </c>
      <c r="B38" s="11">
        <v>21.0</v>
      </c>
      <c r="C38" s="11">
        <v>6.0</v>
      </c>
      <c r="D38" s="11" t="s">
        <v>5271</v>
      </c>
      <c r="E38" s="234">
        <v>49.0</v>
      </c>
      <c r="F38" s="235">
        <v>35.0</v>
      </c>
      <c r="G38" s="235">
        <v>35.0</v>
      </c>
      <c r="H38" s="234">
        <v>49.0</v>
      </c>
      <c r="I38" s="235">
        <v>35.0</v>
      </c>
      <c r="J38" s="236">
        <v>2.513212E7</v>
      </c>
      <c r="K38" s="11">
        <v>52.0</v>
      </c>
      <c r="L38" s="11">
        <v>0.0</v>
      </c>
      <c r="M38" s="237" t="str">
        <f t="shared" si="1"/>
        <v>0490350025132120520</v>
      </c>
      <c r="N38" s="238">
        <v>-76320.62</v>
      </c>
      <c r="O38" s="110">
        <v>12322.0</v>
      </c>
      <c r="P38" s="11">
        <v>77.0</v>
      </c>
      <c r="Q38" s="17">
        <v>47.0</v>
      </c>
      <c r="R38" s="17">
        <v>82.0</v>
      </c>
    </row>
    <row r="39">
      <c r="A39" s="11">
        <v>16.0</v>
      </c>
      <c r="B39" s="11">
        <v>82.0</v>
      </c>
      <c r="C39" s="11">
        <v>9.0</v>
      </c>
      <c r="D39" s="11" t="s">
        <v>29</v>
      </c>
      <c r="E39" s="234">
        <v>2.0</v>
      </c>
      <c r="F39" s="235">
        <v>164.0</v>
      </c>
      <c r="G39" s="235">
        <v>164.0</v>
      </c>
      <c r="H39" s="234">
        <v>2.0</v>
      </c>
      <c r="I39" s="235">
        <v>164.0</v>
      </c>
      <c r="J39" s="236">
        <v>9.6124053E7</v>
      </c>
      <c r="K39" s="11">
        <v>52.0</v>
      </c>
      <c r="L39" s="11">
        <v>8.0</v>
      </c>
      <c r="M39" s="237" t="str">
        <f t="shared" si="1"/>
        <v>021640096124053528</v>
      </c>
      <c r="N39" s="238">
        <v>52468.04</v>
      </c>
      <c r="O39" s="110">
        <v>42821.0</v>
      </c>
      <c r="P39" s="11">
        <v>73.0</v>
      </c>
      <c r="Q39" s="17">
        <v>49.0</v>
      </c>
      <c r="R39" s="17">
        <v>82.0</v>
      </c>
    </row>
    <row r="40">
      <c r="A40" s="11">
        <v>20.0</v>
      </c>
      <c r="B40" s="11">
        <v>21.0</v>
      </c>
      <c r="C40" s="11">
        <v>4.0</v>
      </c>
      <c r="D40" s="11" t="s">
        <v>31</v>
      </c>
      <c r="E40" s="234">
        <v>21.0</v>
      </c>
      <c r="F40" s="235">
        <v>3.0</v>
      </c>
      <c r="G40" s="235">
        <v>3.0</v>
      </c>
      <c r="H40" s="234">
        <v>21.0</v>
      </c>
      <c r="I40" s="235">
        <v>3.0</v>
      </c>
      <c r="J40" s="236">
        <v>9.289936E7</v>
      </c>
      <c r="K40" s="11">
        <v>15.0</v>
      </c>
      <c r="L40" s="11">
        <v>0.0</v>
      </c>
      <c r="M40" s="237" t="str">
        <f t="shared" si="1"/>
        <v>0210030092899360150</v>
      </c>
      <c r="N40" s="238">
        <v>41126.55</v>
      </c>
      <c r="O40" s="110">
        <v>111119.0</v>
      </c>
      <c r="P40" s="11">
        <v>73.0</v>
      </c>
      <c r="Q40" s="17">
        <v>54.0</v>
      </c>
      <c r="R40" s="17">
        <v>62.0</v>
      </c>
    </row>
    <row r="41">
      <c r="A41" s="11">
        <v>16.0</v>
      </c>
      <c r="B41" s="11">
        <v>82.0</v>
      </c>
      <c r="C41" s="11">
        <v>4.0</v>
      </c>
      <c r="D41" s="11" t="s">
        <v>5271</v>
      </c>
      <c r="E41" s="234">
        <v>2.0</v>
      </c>
      <c r="F41" s="235">
        <v>60.0</v>
      </c>
      <c r="G41" s="235">
        <v>60.0</v>
      </c>
      <c r="H41" s="234">
        <v>2.0</v>
      </c>
      <c r="I41" s="235">
        <v>60.0</v>
      </c>
      <c r="J41" s="236">
        <v>8.3830301E7</v>
      </c>
      <c r="K41" s="11">
        <v>85.0</v>
      </c>
      <c r="L41" s="11">
        <v>5.0</v>
      </c>
      <c r="M41" s="237" t="str">
        <f t="shared" si="1"/>
        <v>020600083830301855</v>
      </c>
      <c r="N41" s="238">
        <v>27658.42</v>
      </c>
      <c r="O41" s="110">
        <v>61117.0</v>
      </c>
      <c r="P41" s="11">
        <v>75.0</v>
      </c>
      <c r="Q41" s="17">
        <v>46.0</v>
      </c>
      <c r="R41" s="17">
        <v>41.0</v>
      </c>
    </row>
    <row r="42">
      <c r="A42" s="11">
        <v>19.0</v>
      </c>
      <c r="B42" s="11">
        <v>41.0</v>
      </c>
      <c r="C42" s="11">
        <v>2.0</v>
      </c>
      <c r="D42" s="11" t="s">
        <v>39</v>
      </c>
      <c r="E42" s="234">
        <v>56.0</v>
      </c>
      <c r="F42" s="235">
        <v>43.0</v>
      </c>
      <c r="G42" s="235">
        <v>43.0</v>
      </c>
      <c r="H42" s="234">
        <v>56.0</v>
      </c>
      <c r="I42" s="235">
        <v>43.0</v>
      </c>
      <c r="J42" s="236">
        <v>7.0197143E7</v>
      </c>
      <c r="K42" s="11">
        <v>98.0</v>
      </c>
      <c r="L42" s="11">
        <v>1.0</v>
      </c>
      <c r="M42" s="237" t="str">
        <f t="shared" si="1"/>
        <v>0560430070197143981</v>
      </c>
      <c r="N42" s="238">
        <v>-2930.45</v>
      </c>
      <c r="O42" s="110">
        <v>60518.0</v>
      </c>
      <c r="P42" s="11">
        <v>75.0</v>
      </c>
      <c r="Q42" s="17">
        <v>5.0</v>
      </c>
      <c r="R42" s="17">
        <v>82.0</v>
      </c>
    </row>
    <row r="43">
      <c r="A43" s="11">
        <v>17.0</v>
      </c>
      <c r="B43" s="11">
        <v>21.0</v>
      </c>
      <c r="C43" s="11">
        <v>9.0</v>
      </c>
      <c r="D43" s="11" t="s">
        <v>29</v>
      </c>
      <c r="E43" s="234">
        <v>48.0</v>
      </c>
      <c r="F43" s="235">
        <v>317.0</v>
      </c>
      <c r="G43" s="235">
        <v>317.0</v>
      </c>
      <c r="H43" s="234">
        <v>48.0</v>
      </c>
      <c r="I43" s="235">
        <v>317.0</v>
      </c>
      <c r="J43" s="236">
        <v>2.9589775E7</v>
      </c>
      <c r="K43" s="11">
        <v>25.0</v>
      </c>
      <c r="L43" s="11">
        <v>8.0</v>
      </c>
      <c r="M43" s="237" t="str">
        <f t="shared" si="1"/>
        <v>0483170029589775258</v>
      </c>
      <c r="N43" s="238">
        <v>55005.29</v>
      </c>
      <c r="O43" s="110">
        <v>102415.0</v>
      </c>
      <c r="P43" s="11">
        <v>75.0</v>
      </c>
      <c r="Q43" s="17">
        <v>4.0</v>
      </c>
      <c r="R43" s="17">
        <v>62.0</v>
      </c>
    </row>
    <row r="44">
      <c r="A44" s="11">
        <v>18.0</v>
      </c>
      <c r="B44" s="11">
        <v>41.0</v>
      </c>
      <c r="C44" s="11">
        <v>2.0</v>
      </c>
      <c r="D44" s="11" t="s">
        <v>39</v>
      </c>
      <c r="E44" s="234">
        <v>48.0</v>
      </c>
      <c r="F44" s="235">
        <v>405.0</v>
      </c>
      <c r="G44" s="235">
        <v>405.0</v>
      </c>
      <c r="H44" s="234">
        <v>48.0</v>
      </c>
      <c r="I44" s="235">
        <v>405.0</v>
      </c>
      <c r="J44" s="236">
        <v>6.9046532E7</v>
      </c>
      <c r="K44" s="11">
        <v>44.0</v>
      </c>
      <c r="L44" s="11">
        <v>9.0</v>
      </c>
      <c r="M44" s="237" t="str">
        <f t="shared" si="1"/>
        <v>0484050069046532449</v>
      </c>
      <c r="N44" s="238">
        <v>-56991.16</v>
      </c>
      <c r="O44" s="110">
        <v>53015.0</v>
      </c>
      <c r="P44" s="11">
        <v>71.0</v>
      </c>
      <c r="Q44" s="17">
        <v>25.0</v>
      </c>
      <c r="R44" s="17">
        <v>21.0</v>
      </c>
    </row>
    <row r="45">
      <c r="A45" s="11">
        <v>10.0</v>
      </c>
      <c r="B45" s="11">
        <v>82.0</v>
      </c>
      <c r="C45" s="11">
        <v>7.0</v>
      </c>
      <c r="D45" s="11" t="s">
        <v>39</v>
      </c>
      <c r="E45" s="234">
        <v>51.0</v>
      </c>
      <c r="F45" s="235">
        <v>193.0</v>
      </c>
      <c r="G45" s="235">
        <v>193.0</v>
      </c>
      <c r="H45" s="234">
        <v>51.0</v>
      </c>
      <c r="I45" s="235">
        <v>193.0</v>
      </c>
      <c r="J45" s="236">
        <v>4.3509991E7</v>
      </c>
      <c r="K45" s="11">
        <v>99.0</v>
      </c>
      <c r="L45" s="11">
        <v>3.0</v>
      </c>
      <c r="M45" s="237" t="str">
        <f t="shared" si="1"/>
        <v>0511930043509991993</v>
      </c>
      <c r="N45" s="238">
        <v>-71725.72</v>
      </c>
      <c r="O45" s="110">
        <v>72218.0</v>
      </c>
      <c r="P45" s="11">
        <v>75.0</v>
      </c>
      <c r="Q45" s="17">
        <v>45.0</v>
      </c>
      <c r="R45" s="17">
        <v>41.0</v>
      </c>
    </row>
    <row r="46">
      <c r="A46" s="11">
        <v>12.0</v>
      </c>
      <c r="B46" s="11">
        <v>62.0</v>
      </c>
      <c r="C46" s="11">
        <v>4.0</v>
      </c>
      <c r="D46" s="11" t="s">
        <v>5272</v>
      </c>
      <c r="E46" s="234">
        <v>39.0</v>
      </c>
      <c r="F46" s="235">
        <v>65.0</v>
      </c>
      <c r="G46" s="235">
        <v>65.0</v>
      </c>
      <c r="H46" s="234">
        <v>39.0</v>
      </c>
      <c r="I46" s="235">
        <v>65.0</v>
      </c>
      <c r="J46" s="236">
        <v>9.2936137E7</v>
      </c>
      <c r="K46" s="11">
        <v>51.0</v>
      </c>
      <c r="L46" s="11">
        <v>3.0</v>
      </c>
      <c r="M46" s="237" t="str">
        <f t="shared" si="1"/>
        <v>0390650092936137513</v>
      </c>
      <c r="N46" s="238">
        <v>74274.57</v>
      </c>
      <c r="O46" s="110">
        <v>101720.0</v>
      </c>
      <c r="P46" s="11">
        <v>74.0</v>
      </c>
      <c r="Q46" s="17">
        <v>8.0</v>
      </c>
      <c r="R46" s="17">
        <v>41.0</v>
      </c>
    </row>
    <row r="47">
      <c r="A47" s="11">
        <v>11.0</v>
      </c>
      <c r="B47" s="11">
        <v>41.0</v>
      </c>
      <c r="C47" s="11">
        <v>5.0</v>
      </c>
      <c r="D47" s="11" t="s">
        <v>5272</v>
      </c>
      <c r="E47" s="234">
        <v>48.0</v>
      </c>
      <c r="F47" s="235">
        <v>465.0</v>
      </c>
      <c r="G47" s="235">
        <v>465.0</v>
      </c>
      <c r="H47" s="234">
        <v>48.0</v>
      </c>
      <c r="I47" s="235">
        <v>465.0</v>
      </c>
      <c r="J47" s="236">
        <v>3.012004E7</v>
      </c>
      <c r="K47" s="11">
        <v>6.0</v>
      </c>
      <c r="L47" s="11">
        <v>2.0</v>
      </c>
      <c r="M47" s="237" t="str">
        <f t="shared" si="1"/>
        <v>048465003012004062</v>
      </c>
      <c r="N47" s="238">
        <v>13305.62</v>
      </c>
      <c r="O47" s="110">
        <v>100818.0</v>
      </c>
      <c r="P47" s="11">
        <v>74.0</v>
      </c>
      <c r="Q47" s="17">
        <v>26.0</v>
      </c>
      <c r="R47" s="17">
        <v>62.0</v>
      </c>
    </row>
    <row r="48">
      <c r="A48" s="11">
        <v>15.0</v>
      </c>
      <c r="B48" s="11">
        <v>21.0</v>
      </c>
      <c r="C48" s="11">
        <v>7.0</v>
      </c>
      <c r="D48" s="11" t="s">
        <v>5273</v>
      </c>
      <c r="E48" s="234">
        <v>54.0</v>
      </c>
      <c r="F48" s="235">
        <v>101.0</v>
      </c>
      <c r="G48" s="235">
        <v>101.0</v>
      </c>
      <c r="H48" s="234">
        <v>54.0</v>
      </c>
      <c r="I48" s="235">
        <v>101.0</v>
      </c>
      <c r="J48" s="236">
        <v>3.8299128E7</v>
      </c>
      <c r="K48" s="11">
        <v>73.0</v>
      </c>
      <c r="L48" s="11">
        <v>8.0</v>
      </c>
      <c r="M48" s="237" t="str">
        <f t="shared" si="1"/>
        <v>0541010038299128738</v>
      </c>
      <c r="N48" s="238">
        <v>-25291.72</v>
      </c>
      <c r="O48" s="110">
        <v>61813.0</v>
      </c>
      <c r="P48" s="11">
        <v>77.0</v>
      </c>
      <c r="Q48" s="17">
        <v>54.0</v>
      </c>
      <c r="R48" s="17">
        <v>62.0</v>
      </c>
    </row>
    <row r="49">
      <c r="A49" s="11">
        <v>17.0</v>
      </c>
      <c r="B49" s="11">
        <v>62.0</v>
      </c>
      <c r="C49" s="11">
        <v>8.0</v>
      </c>
      <c r="D49" s="11" t="s">
        <v>39</v>
      </c>
      <c r="E49" s="234">
        <v>47.0</v>
      </c>
      <c r="F49" s="235">
        <v>187.0</v>
      </c>
      <c r="G49" s="235">
        <v>187.0</v>
      </c>
      <c r="H49" s="234">
        <v>47.0</v>
      </c>
      <c r="I49" s="235">
        <v>187.0</v>
      </c>
      <c r="J49" s="236">
        <v>3.1906138E7</v>
      </c>
      <c r="K49" s="11">
        <v>81.0</v>
      </c>
      <c r="L49" s="11">
        <v>2.0</v>
      </c>
      <c r="M49" s="237" t="str">
        <f t="shared" si="1"/>
        <v>0471870031906138812</v>
      </c>
      <c r="N49" s="238">
        <v>15877.95</v>
      </c>
      <c r="O49" s="110">
        <v>21413.0</v>
      </c>
      <c r="P49" s="11">
        <v>73.0</v>
      </c>
      <c r="Q49" s="17">
        <v>36.0</v>
      </c>
      <c r="R49" s="17">
        <v>82.0</v>
      </c>
    </row>
    <row r="50">
      <c r="A50" s="11">
        <v>16.0</v>
      </c>
      <c r="B50" s="11">
        <v>41.0</v>
      </c>
      <c r="C50" s="11">
        <v>3.0</v>
      </c>
      <c r="D50" s="11" t="s">
        <v>5271</v>
      </c>
      <c r="E50" s="234">
        <v>24.0</v>
      </c>
      <c r="F50" s="235">
        <v>21.0</v>
      </c>
      <c r="G50" s="235">
        <v>21.0</v>
      </c>
      <c r="H50" s="234">
        <v>24.0</v>
      </c>
      <c r="I50" s="235">
        <v>21.0</v>
      </c>
      <c r="J50" s="236">
        <v>2.3351692E7</v>
      </c>
      <c r="K50" s="11">
        <v>19.0</v>
      </c>
      <c r="L50" s="11">
        <v>4.0</v>
      </c>
      <c r="M50" s="237" t="str">
        <f t="shared" si="1"/>
        <v>0240210023351692194</v>
      </c>
      <c r="N50" s="238">
        <v>81330.86</v>
      </c>
      <c r="O50" s="110">
        <v>22418.0</v>
      </c>
      <c r="P50" s="11">
        <v>79.0</v>
      </c>
      <c r="Q50" s="17">
        <v>46.0</v>
      </c>
      <c r="R50" s="17">
        <v>21.0</v>
      </c>
    </row>
    <row r="51">
      <c r="A51" s="11">
        <v>15.0</v>
      </c>
      <c r="B51" s="11">
        <v>41.0</v>
      </c>
      <c r="C51" s="11">
        <v>2.0</v>
      </c>
      <c r="D51" s="11" t="s">
        <v>5273</v>
      </c>
      <c r="E51" s="234">
        <v>40.0</v>
      </c>
      <c r="F51" s="235">
        <v>21.0</v>
      </c>
      <c r="G51" s="235">
        <v>21.0</v>
      </c>
      <c r="H51" s="234">
        <v>40.0</v>
      </c>
      <c r="I51" s="235">
        <v>21.0</v>
      </c>
      <c r="J51" s="236">
        <v>3.7918494E7</v>
      </c>
      <c r="K51" s="11">
        <v>87.0</v>
      </c>
      <c r="L51" s="11">
        <v>5.0</v>
      </c>
      <c r="M51" s="237" t="str">
        <f t="shared" si="1"/>
        <v>0400210037918494875</v>
      </c>
      <c r="N51" s="238">
        <v>-37796.46</v>
      </c>
      <c r="O51" s="110">
        <v>10914.0</v>
      </c>
      <c r="P51" s="11">
        <v>76.0</v>
      </c>
      <c r="Q51" s="17">
        <v>48.0</v>
      </c>
      <c r="R51" s="17">
        <v>62.0</v>
      </c>
    </row>
    <row r="52">
      <c r="A52" s="11">
        <v>11.0</v>
      </c>
      <c r="B52" s="11">
        <v>62.0</v>
      </c>
      <c r="C52" s="11">
        <v>5.0</v>
      </c>
      <c r="D52" s="11" t="s">
        <v>5273</v>
      </c>
      <c r="E52" s="234">
        <v>51.0</v>
      </c>
      <c r="F52" s="235">
        <v>145.0</v>
      </c>
      <c r="G52" s="235">
        <v>145.0</v>
      </c>
      <c r="H52" s="234">
        <v>51.0</v>
      </c>
      <c r="I52" s="235">
        <v>145.0</v>
      </c>
      <c r="J52" s="236">
        <v>7.8139869E7</v>
      </c>
      <c r="K52" s="11">
        <v>75.0</v>
      </c>
      <c r="L52" s="11">
        <v>5.0</v>
      </c>
      <c r="M52" s="237" t="str">
        <f t="shared" si="1"/>
        <v>0511450078139869755</v>
      </c>
      <c r="N52" s="238">
        <v>-22290.65</v>
      </c>
      <c r="O52" s="110">
        <v>120916.0</v>
      </c>
      <c r="P52" s="11">
        <v>79.0</v>
      </c>
      <c r="Q52" s="17">
        <v>41.0</v>
      </c>
      <c r="R52" s="17">
        <v>21.0</v>
      </c>
    </row>
    <row r="53">
      <c r="A53" s="11">
        <v>20.0</v>
      </c>
      <c r="B53" s="11">
        <v>62.0</v>
      </c>
      <c r="C53" s="11">
        <v>2.0</v>
      </c>
      <c r="D53" s="11" t="s">
        <v>31</v>
      </c>
      <c r="E53" s="234">
        <v>13.0</v>
      </c>
      <c r="F53" s="235">
        <v>307.0</v>
      </c>
      <c r="G53" s="235">
        <v>307.0</v>
      </c>
      <c r="H53" s="234">
        <v>13.0</v>
      </c>
      <c r="I53" s="235">
        <v>307.0</v>
      </c>
      <c r="J53" s="236">
        <v>1.733017E7</v>
      </c>
      <c r="K53" s="11">
        <v>23.0</v>
      </c>
      <c r="L53" s="11">
        <v>9.0</v>
      </c>
      <c r="M53" s="237" t="str">
        <f t="shared" si="1"/>
        <v>0133070017330170239</v>
      </c>
      <c r="N53" s="238">
        <v>-47228.12</v>
      </c>
      <c r="O53" s="110">
        <v>52515.0</v>
      </c>
      <c r="P53" s="11">
        <v>79.0</v>
      </c>
      <c r="Q53" s="17">
        <v>45.0</v>
      </c>
      <c r="R53" s="17">
        <v>42.0</v>
      </c>
    </row>
    <row r="54">
      <c r="A54" s="11">
        <v>14.0</v>
      </c>
      <c r="B54" s="11">
        <v>82.0</v>
      </c>
      <c r="C54" s="11">
        <v>5.0</v>
      </c>
      <c r="D54" s="11" t="s">
        <v>39</v>
      </c>
      <c r="E54" s="234">
        <v>40.0</v>
      </c>
      <c r="F54" s="235">
        <v>109.0</v>
      </c>
      <c r="G54" s="235">
        <v>109.0</v>
      </c>
      <c r="H54" s="234">
        <v>40.0</v>
      </c>
      <c r="I54" s="235">
        <v>109.0</v>
      </c>
      <c r="J54" s="236">
        <v>7.6964872E7</v>
      </c>
      <c r="K54" s="11">
        <v>6.0</v>
      </c>
      <c r="L54" s="11">
        <v>5.0</v>
      </c>
      <c r="M54" s="237" t="str">
        <f t="shared" si="1"/>
        <v>040109007696487265</v>
      </c>
      <c r="N54" s="238">
        <v>-47390.97</v>
      </c>
      <c r="O54" s="110">
        <v>21018.0</v>
      </c>
      <c r="P54" s="11">
        <v>70.0</v>
      </c>
      <c r="Q54" s="17">
        <v>33.0</v>
      </c>
      <c r="R54" s="17">
        <v>83.0</v>
      </c>
    </row>
    <row r="55">
      <c r="A55" s="11">
        <v>13.0</v>
      </c>
      <c r="B55" s="11">
        <v>62.0</v>
      </c>
      <c r="C55" s="11">
        <v>4.0</v>
      </c>
      <c r="D55" s="11" t="s">
        <v>29</v>
      </c>
      <c r="E55" s="234">
        <v>20.0</v>
      </c>
      <c r="F55" s="235">
        <v>93.0</v>
      </c>
      <c r="G55" s="235">
        <v>93.0</v>
      </c>
      <c r="H55" s="234">
        <v>20.0</v>
      </c>
      <c r="I55" s="235">
        <v>93.0</v>
      </c>
      <c r="J55" s="236">
        <v>6.4897086E7</v>
      </c>
      <c r="K55" s="11">
        <v>79.0</v>
      </c>
      <c r="L55" s="11">
        <v>8.0</v>
      </c>
      <c r="M55" s="237" t="str">
        <f t="shared" si="1"/>
        <v>0200930064897086798</v>
      </c>
      <c r="N55" s="238">
        <v>-80862.28</v>
      </c>
      <c r="O55" s="110">
        <v>21120.0</v>
      </c>
      <c r="P55" s="11">
        <v>71.0</v>
      </c>
      <c r="Q55" s="17">
        <v>13.0</v>
      </c>
      <c r="R55" s="17">
        <v>21.0</v>
      </c>
    </row>
    <row r="56">
      <c r="A56" s="11">
        <v>10.0</v>
      </c>
      <c r="B56" s="11">
        <v>62.0</v>
      </c>
      <c r="C56" s="11">
        <v>1.0</v>
      </c>
      <c r="D56" s="11" t="s">
        <v>5271</v>
      </c>
      <c r="E56" s="234">
        <v>42.0</v>
      </c>
      <c r="F56" s="235">
        <v>61.0</v>
      </c>
      <c r="G56" s="235">
        <v>61.0</v>
      </c>
      <c r="H56" s="234">
        <v>42.0</v>
      </c>
      <c r="I56" s="235">
        <v>61.0</v>
      </c>
      <c r="J56" s="236">
        <v>9.3440471E7</v>
      </c>
      <c r="K56" s="11">
        <v>84.0</v>
      </c>
      <c r="L56" s="11">
        <v>6.0</v>
      </c>
      <c r="M56" s="237" t="str">
        <f t="shared" si="1"/>
        <v>0420610093440471846</v>
      </c>
      <c r="N56" s="238">
        <v>-97617.32</v>
      </c>
      <c r="O56" s="110">
        <v>122316.0</v>
      </c>
      <c r="P56" s="11">
        <v>77.0</v>
      </c>
      <c r="Q56" s="17">
        <v>32.0</v>
      </c>
      <c r="R56" s="17">
        <v>42.0</v>
      </c>
    </row>
    <row r="57">
      <c r="A57" s="11">
        <v>10.0</v>
      </c>
      <c r="B57" s="11">
        <v>21.0</v>
      </c>
      <c r="C57" s="11">
        <v>6.0</v>
      </c>
      <c r="D57" s="11" t="s">
        <v>39</v>
      </c>
      <c r="E57" s="234">
        <v>18.0</v>
      </c>
      <c r="F57" s="235">
        <v>183.0</v>
      </c>
      <c r="G57" s="235">
        <v>183.0</v>
      </c>
      <c r="H57" s="234">
        <v>18.0</v>
      </c>
      <c r="I57" s="235">
        <v>183.0</v>
      </c>
      <c r="J57" s="236">
        <v>4.2357381E7</v>
      </c>
      <c r="K57" s="11">
        <v>96.0</v>
      </c>
      <c r="L57" s="11">
        <v>7.0</v>
      </c>
      <c r="M57" s="237" t="str">
        <f t="shared" si="1"/>
        <v>0181830042357381967</v>
      </c>
      <c r="N57" s="238">
        <v>-84684.33</v>
      </c>
      <c r="O57" s="110">
        <v>71017.0</v>
      </c>
      <c r="P57" s="11">
        <v>74.0</v>
      </c>
      <c r="Q57" s="17">
        <v>27.0</v>
      </c>
      <c r="R57" s="17">
        <v>83.0</v>
      </c>
    </row>
    <row r="58">
      <c r="A58" s="11">
        <v>15.0</v>
      </c>
      <c r="B58" s="11">
        <v>62.0</v>
      </c>
      <c r="C58" s="11">
        <v>6.0</v>
      </c>
      <c r="D58" s="11" t="s">
        <v>5272</v>
      </c>
      <c r="E58" s="234">
        <v>51.0</v>
      </c>
      <c r="F58" s="235">
        <v>540.0</v>
      </c>
      <c r="G58" s="235">
        <v>540.0</v>
      </c>
      <c r="H58" s="234">
        <v>51.0</v>
      </c>
      <c r="I58" s="235">
        <v>540.0</v>
      </c>
      <c r="J58" s="236">
        <v>3.8041186E7</v>
      </c>
      <c r="K58" s="11">
        <v>58.0</v>
      </c>
      <c r="L58" s="11">
        <v>4.0</v>
      </c>
      <c r="M58" s="237" t="str">
        <f t="shared" si="1"/>
        <v>0515400038041186584</v>
      </c>
      <c r="N58" s="238">
        <v>-73241.44</v>
      </c>
      <c r="O58" s="110">
        <v>42315.0</v>
      </c>
      <c r="P58" s="11">
        <v>70.0</v>
      </c>
      <c r="Q58" s="17">
        <v>51.0</v>
      </c>
      <c r="R58" s="17">
        <v>42.0</v>
      </c>
    </row>
    <row r="59">
      <c r="A59" s="11">
        <v>12.0</v>
      </c>
      <c r="B59" s="11">
        <v>42.0</v>
      </c>
      <c r="C59" s="11">
        <v>5.0</v>
      </c>
      <c r="D59" s="11" t="s">
        <v>31</v>
      </c>
      <c r="E59" s="234">
        <v>38.0</v>
      </c>
      <c r="F59" s="235">
        <v>105.0</v>
      </c>
      <c r="G59" s="235">
        <v>105.0</v>
      </c>
      <c r="H59" s="234">
        <v>38.0</v>
      </c>
      <c r="I59" s="235">
        <v>105.0</v>
      </c>
      <c r="J59" s="236">
        <v>5.2186445E7</v>
      </c>
      <c r="K59" s="11">
        <v>19.0</v>
      </c>
      <c r="L59" s="11">
        <v>8.0</v>
      </c>
      <c r="M59" s="237" t="str">
        <f t="shared" si="1"/>
        <v>0381050052186445198</v>
      </c>
      <c r="N59" s="238">
        <v>47538.07</v>
      </c>
      <c r="O59" s="110">
        <v>61317.0</v>
      </c>
      <c r="P59" s="11">
        <v>72.0</v>
      </c>
      <c r="Q59" s="17">
        <v>35.0</v>
      </c>
      <c r="R59" s="17">
        <v>21.0</v>
      </c>
    </row>
    <row r="60">
      <c r="A60" s="11">
        <v>17.0</v>
      </c>
      <c r="B60" s="11">
        <v>62.0</v>
      </c>
      <c r="C60" s="11">
        <v>5.0</v>
      </c>
      <c r="D60" s="11" t="s">
        <v>39</v>
      </c>
      <c r="E60" s="234">
        <v>39.0</v>
      </c>
      <c r="F60" s="235">
        <v>71.0</v>
      </c>
      <c r="G60" s="235">
        <v>71.0</v>
      </c>
      <c r="H60" s="234">
        <v>39.0</v>
      </c>
      <c r="I60" s="235">
        <v>71.0</v>
      </c>
      <c r="J60" s="236">
        <v>3.0400222E7</v>
      </c>
      <c r="K60" s="11">
        <v>79.0</v>
      </c>
      <c r="L60" s="11">
        <v>1.0</v>
      </c>
      <c r="M60" s="237" t="str">
        <f t="shared" si="1"/>
        <v>0390710030400222791</v>
      </c>
      <c r="N60" s="238">
        <v>-46988.08</v>
      </c>
      <c r="O60" s="110">
        <v>52414.0</v>
      </c>
      <c r="P60" s="11">
        <v>78.0</v>
      </c>
      <c r="Q60" s="17">
        <v>1.0</v>
      </c>
      <c r="R60" s="17">
        <v>42.0</v>
      </c>
    </row>
    <row r="61">
      <c r="A61" s="11">
        <v>15.0</v>
      </c>
      <c r="B61" s="11">
        <v>62.0</v>
      </c>
      <c r="C61" s="11">
        <v>4.0</v>
      </c>
      <c r="D61" s="11" t="s">
        <v>5272</v>
      </c>
      <c r="E61" s="234">
        <v>24.0</v>
      </c>
      <c r="F61" s="235">
        <v>37.0</v>
      </c>
      <c r="G61" s="235">
        <v>37.0</v>
      </c>
      <c r="H61" s="234">
        <v>24.0</v>
      </c>
      <c r="I61" s="235">
        <v>37.0</v>
      </c>
      <c r="J61" s="236">
        <v>5.6633353E7</v>
      </c>
      <c r="K61" s="11">
        <v>35.0</v>
      </c>
      <c r="L61" s="11">
        <v>5.0</v>
      </c>
      <c r="M61" s="237" t="str">
        <f t="shared" si="1"/>
        <v>0240370056633353355</v>
      </c>
      <c r="N61" s="238">
        <v>646.24</v>
      </c>
      <c r="O61" s="110">
        <v>20119.0</v>
      </c>
      <c r="P61" s="11">
        <v>74.0</v>
      </c>
      <c r="Q61" s="17">
        <v>56.0</v>
      </c>
      <c r="R61" s="17">
        <v>62.0</v>
      </c>
    </row>
    <row r="62">
      <c r="A62" s="11">
        <v>15.0</v>
      </c>
      <c r="B62" s="11">
        <v>21.0</v>
      </c>
      <c r="C62" s="11">
        <v>8.0</v>
      </c>
      <c r="D62" s="11" t="s">
        <v>29</v>
      </c>
      <c r="E62" s="234">
        <v>47.0</v>
      </c>
      <c r="F62" s="235">
        <v>135.0</v>
      </c>
      <c r="G62" s="235">
        <v>135.0</v>
      </c>
      <c r="H62" s="234">
        <v>47.0</v>
      </c>
      <c r="I62" s="235">
        <v>135.0</v>
      </c>
      <c r="J62" s="236">
        <v>7.6305807E7</v>
      </c>
      <c r="K62" s="11">
        <v>7.0</v>
      </c>
      <c r="L62" s="11">
        <v>7.0</v>
      </c>
      <c r="M62" s="237" t="str">
        <f t="shared" si="1"/>
        <v>047135007630580777</v>
      </c>
      <c r="N62" s="238">
        <v>3123.58</v>
      </c>
      <c r="O62" s="110">
        <v>72218.0</v>
      </c>
      <c r="P62" s="11">
        <v>78.0</v>
      </c>
      <c r="Q62" s="17">
        <v>29.0</v>
      </c>
      <c r="R62" s="17">
        <v>42.0</v>
      </c>
    </row>
    <row r="63">
      <c r="A63" s="11">
        <v>10.0</v>
      </c>
      <c r="B63" s="11">
        <v>42.0</v>
      </c>
      <c r="C63" s="11">
        <v>6.0</v>
      </c>
      <c r="D63" s="11" t="s">
        <v>39</v>
      </c>
      <c r="E63" s="234">
        <v>48.0</v>
      </c>
      <c r="F63" s="235">
        <v>383.0</v>
      </c>
      <c r="G63" s="235">
        <v>383.0</v>
      </c>
      <c r="H63" s="234">
        <v>48.0</v>
      </c>
      <c r="I63" s="235">
        <v>383.0</v>
      </c>
      <c r="J63" s="236">
        <v>4.6142446E7</v>
      </c>
      <c r="K63" s="11">
        <v>67.0</v>
      </c>
      <c r="L63" s="11">
        <v>9.0</v>
      </c>
      <c r="M63" s="237" t="str">
        <f t="shared" si="1"/>
        <v>0483830046142446679</v>
      </c>
      <c r="N63" s="238">
        <v>83496.89</v>
      </c>
      <c r="O63" s="110">
        <v>21014.0</v>
      </c>
      <c r="P63" s="11">
        <v>80.0</v>
      </c>
      <c r="Q63" s="17">
        <v>25.0</v>
      </c>
      <c r="R63" s="17">
        <v>21.0</v>
      </c>
    </row>
    <row r="64">
      <c r="A64" s="11">
        <v>13.0</v>
      </c>
      <c r="B64" s="11">
        <v>83.0</v>
      </c>
      <c r="C64" s="11">
        <v>2.0</v>
      </c>
      <c r="D64" s="11" t="s">
        <v>29</v>
      </c>
      <c r="E64" s="234">
        <v>28.0</v>
      </c>
      <c r="F64" s="235">
        <v>31.0</v>
      </c>
      <c r="G64" s="235">
        <v>31.0</v>
      </c>
      <c r="H64" s="234">
        <v>28.0</v>
      </c>
      <c r="I64" s="235">
        <v>31.0</v>
      </c>
      <c r="J64" s="236">
        <v>8.1101978E7</v>
      </c>
      <c r="K64" s="11">
        <v>2.0</v>
      </c>
      <c r="L64" s="11">
        <v>0.0</v>
      </c>
      <c r="M64" s="237" t="str">
        <f t="shared" si="1"/>
        <v>028031008110197820</v>
      </c>
      <c r="N64" s="238">
        <v>45192.78</v>
      </c>
      <c r="O64" s="110">
        <v>10823.0</v>
      </c>
      <c r="P64" s="11">
        <v>73.0</v>
      </c>
      <c r="Q64" s="17">
        <v>16.0</v>
      </c>
      <c r="R64" s="17">
        <v>62.0</v>
      </c>
    </row>
    <row r="65">
      <c r="A65" s="11">
        <v>11.0</v>
      </c>
      <c r="B65" s="11">
        <v>21.0</v>
      </c>
      <c r="C65" s="11">
        <v>4.0</v>
      </c>
      <c r="D65" s="11" t="s">
        <v>5271</v>
      </c>
      <c r="E65" s="234">
        <v>13.0</v>
      </c>
      <c r="F65" s="235">
        <v>235.0</v>
      </c>
      <c r="G65" s="235">
        <v>235.0</v>
      </c>
      <c r="H65" s="234">
        <v>13.0</v>
      </c>
      <c r="I65" s="235">
        <v>235.0</v>
      </c>
      <c r="J65" s="236">
        <v>2.3396398E7</v>
      </c>
      <c r="K65" s="11">
        <v>37.0</v>
      </c>
      <c r="L65" s="11">
        <v>6.0</v>
      </c>
      <c r="M65" s="237" t="str">
        <f t="shared" si="1"/>
        <v>0132350023396398376</v>
      </c>
      <c r="N65" s="238">
        <v>68490.81</v>
      </c>
      <c r="O65" s="110">
        <v>100423.0</v>
      </c>
      <c r="P65" s="11">
        <v>70.0</v>
      </c>
      <c r="Q65" s="17">
        <v>5.0</v>
      </c>
      <c r="R65" s="17">
        <v>21.0</v>
      </c>
    </row>
    <row r="66">
      <c r="A66" s="11">
        <v>18.0</v>
      </c>
      <c r="B66" s="11">
        <v>83.0</v>
      </c>
      <c r="C66" s="11">
        <v>8.0</v>
      </c>
      <c r="D66" s="11" t="s">
        <v>31</v>
      </c>
      <c r="E66" s="234">
        <v>20.0</v>
      </c>
      <c r="F66" s="235">
        <v>143.0</v>
      </c>
      <c r="G66" s="235">
        <v>143.0</v>
      </c>
      <c r="H66" s="234">
        <v>20.0</v>
      </c>
      <c r="I66" s="235">
        <v>143.0</v>
      </c>
      <c r="J66" s="236">
        <v>3.1968221E7</v>
      </c>
      <c r="K66" s="11">
        <v>69.0</v>
      </c>
      <c r="L66" s="11">
        <v>9.0</v>
      </c>
      <c r="M66" s="237" t="str">
        <f t="shared" si="1"/>
        <v>0201430031968221699</v>
      </c>
      <c r="N66" s="238">
        <v>20908.47</v>
      </c>
      <c r="O66" s="110">
        <v>90515.0</v>
      </c>
      <c r="P66" s="11">
        <v>74.0</v>
      </c>
      <c r="Q66" s="17">
        <v>31.0</v>
      </c>
      <c r="R66" s="17">
        <v>83.0</v>
      </c>
    </row>
    <row r="67">
      <c r="A67" s="11">
        <v>19.0</v>
      </c>
      <c r="B67" s="11">
        <v>62.0</v>
      </c>
      <c r="C67" s="11">
        <v>1.0</v>
      </c>
      <c r="D67" s="11" t="s">
        <v>29</v>
      </c>
      <c r="E67" s="234">
        <v>8.0</v>
      </c>
      <c r="F67" s="235">
        <v>99.0</v>
      </c>
      <c r="G67" s="235">
        <v>99.0</v>
      </c>
      <c r="H67" s="234">
        <v>8.0</v>
      </c>
      <c r="I67" s="235">
        <v>99.0</v>
      </c>
      <c r="J67" s="236">
        <v>7.3061002E7</v>
      </c>
      <c r="K67" s="11">
        <v>30.0</v>
      </c>
      <c r="L67" s="11">
        <v>9.0</v>
      </c>
      <c r="M67" s="237" t="str">
        <f t="shared" si="1"/>
        <v>080990073061002309</v>
      </c>
      <c r="N67" s="238">
        <v>-63073.0</v>
      </c>
      <c r="O67" s="110">
        <v>103023.0</v>
      </c>
      <c r="P67" s="11">
        <v>73.0</v>
      </c>
      <c r="Q67" s="17">
        <v>25.0</v>
      </c>
      <c r="R67" s="17">
        <v>83.0</v>
      </c>
    </row>
    <row r="68">
      <c r="A68" s="11">
        <v>13.0</v>
      </c>
      <c r="B68" s="11">
        <v>83.0</v>
      </c>
      <c r="C68" s="11">
        <v>1.0</v>
      </c>
      <c r="D68" s="11" t="s">
        <v>31</v>
      </c>
      <c r="E68" s="234">
        <v>20.0</v>
      </c>
      <c r="F68" s="235">
        <v>105.0</v>
      </c>
      <c r="G68" s="235">
        <v>105.0</v>
      </c>
      <c r="H68" s="234">
        <v>20.0</v>
      </c>
      <c r="I68" s="235">
        <v>105.0</v>
      </c>
      <c r="J68" s="236">
        <v>9.3437733E7</v>
      </c>
      <c r="K68" s="11">
        <v>24.0</v>
      </c>
      <c r="L68" s="11">
        <v>6.0</v>
      </c>
      <c r="M68" s="237" t="str">
        <f t="shared" si="1"/>
        <v>0201050093437733246</v>
      </c>
      <c r="N68" s="238">
        <v>55231.1</v>
      </c>
      <c r="O68" s="110">
        <v>40917.0</v>
      </c>
      <c r="P68" s="11">
        <v>79.0</v>
      </c>
      <c r="Q68" s="17">
        <v>15.0</v>
      </c>
      <c r="R68" s="17">
        <v>21.0</v>
      </c>
    </row>
    <row r="69">
      <c r="A69" s="11">
        <v>13.0</v>
      </c>
      <c r="B69" s="11">
        <v>42.0</v>
      </c>
      <c r="C69" s="11">
        <v>6.0</v>
      </c>
      <c r="D69" s="11" t="s">
        <v>39</v>
      </c>
      <c r="E69" s="234">
        <v>53.0</v>
      </c>
      <c r="F69" s="235">
        <v>29.0</v>
      </c>
      <c r="G69" s="235">
        <v>29.0</v>
      </c>
      <c r="H69" s="234">
        <v>53.0</v>
      </c>
      <c r="I69" s="235">
        <v>29.0</v>
      </c>
      <c r="J69" s="236">
        <v>7.5342369E7</v>
      </c>
      <c r="K69" s="11">
        <v>29.0</v>
      </c>
      <c r="L69" s="11">
        <v>0.0</v>
      </c>
      <c r="M69" s="237" t="str">
        <f t="shared" si="1"/>
        <v>0530290075342369290</v>
      </c>
      <c r="N69" s="238">
        <v>-43132.18</v>
      </c>
      <c r="O69" s="110">
        <v>11013.0</v>
      </c>
      <c r="P69" s="11">
        <v>80.0</v>
      </c>
      <c r="Q69" s="17">
        <v>30.0</v>
      </c>
      <c r="R69" s="17">
        <v>62.0</v>
      </c>
    </row>
    <row r="70">
      <c r="A70" s="11">
        <v>14.0</v>
      </c>
      <c r="B70" s="11">
        <v>21.0</v>
      </c>
      <c r="C70" s="11">
        <v>6.0</v>
      </c>
      <c r="D70" s="11" t="s">
        <v>5272</v>
      </c>
      <c r="E70" s="234">
        <v>20.0</v>
      </c>
      <c r="F70" s="235">
        <v>59.0</v>
      </c>
      <c r="G70" s="235">
        <v>59.0</v>
      </c>
      <c r="H70" s="234">
        <v>20.0</v>
      </c>
      <c r="I70" s="235">
        <v>59.0</v>
      </c>
      <c r="J70" s="236">
        <v>3.1347427E7</v>
      </c>
      <c r="K70" s="11">
        <v>29.0</v>
      </c>
      <c r="L70" s="11">
        <v>6.0</v>
      </c>
      <c r="M70" s="237" t="str">
        <f t="shared" si="1"/>
        <v>0200590031347427296</v>
      </c>
      <c r="N70" s="238">
        <v>58685.96</v>
      </c>
      <c r="O70" s="110">
        <v>70620.0</v>
      </c>
      <c r="P70" s="11">
        <v>76.0</v>
      </c>
      <c r="Q70" s="17">
        <v>9.0</v>
      </c>
      <c r="R70" s="17">
        <v>42.0</v>
      </c>
    </row>
    <row r="71">
      <c r="A71" s="11">
        <v>16.0</v>
      </c>
      <c r="B71" s="11">
        <v>62.0</v>
      </c>
      <c r="C71" s="11">
        <v>7.0</v>
      </c>
      <c r="D71" s="11" t="s">
        <v>5271</v>
      </c>
      <c r="E71" s="234">
        <v>20.0</v>
      </c>
      <c r="F71" s="235">
        <v>141.0</v>
      </c>
      <c r="G71" s="235">
        <v>141.0</v>
      </c>
      <c r="H71" s="234">
        <v>20.0</v>
      </c>
      <c r="I71" s="235">
        <v>141.0</v>
      </c>
      <c r="J71" s="236">
        <v>4.0483691E7</v>
      </c>
      <c r="K71" s="11">
        <v>21.0</v>
      </c>
      <c r="L71" s="11">
        <v>8.0</v>
      </c>
      <c r="M71" s="237" t="str">
        <f t="shared" si="1"/>
        <v>0201410040483691218</v>
      </c>
      <c r="N71" s="238">
        <v>-26860.86</v>
      </c>
      <c r="O71" s="110">
        <v>70121.0</v>
      </c>
      <c r="P71" s="11">
        <v>79.0</v>
      </c>
      <c r="Q71" s="17">
        <v>5.0</v>
      </c>
      <c r="R71" s="17">
        <v>22.0</v>
      </c>
    </row>
    <row r="72">
      <c r="A72" s="11">
        <v>16.0</v>
      </c>
      <c r="B72" s="11">
        <v>62.0</v>
      </c>
      <c r="C72" s="11">
        <v>9.0</v>
      </c>
      <c r="D72" s="11" t="s">
        <v>5271</v>
      </c>
      <c r="E72" s="234">
        <v>48.0</v>
      </c>
      <c r="F72" s="235">
        <v>189.0</v>
      </c>
      <c r="G72" s="235">
        <v>189.0</v>
      </c>
      <c r="H72" s="234">
        <v>48.0</v>
      </c>
      <c r="I72" s="235">
        <v>189.0</v>
      </c>
      <c r="J72" s="236">
        <v>3.6392322E7</v>
      </c>
      <c r="K72" s="11">
        <v>39.0</v>
      </c>
      <c r="L72" s="11">
        <v>9.0</v>
      </c>
      <c r="M72" s="237" t="str">
        <f t="shared" si="1"/>
        <v>0481890036392322399</v>
      </c>
      <c r="N72" s="238">
        <v>-59272.04</v>
      </c>
      <c r="O72" s="110">
        <v>102820.0</v>
      </c>
      <c r="P72" s="11">
        <v>78.0</v>
      </c>
      <c r="Q72" s="17">
        <v>46.0</v>
      </c>
      <c r="R72" s="17">
        <v>83.0</v>
      </c>
    </row>
    <row r="73">
      <c r="A73" s="11">
        <v>14.0</v>
      </c>
      <c r="B73" s="11">
        <v>42.0</v>
      </c>
      <c r="C73" s="11">
        <v>3.0</v>
      </c>
      <c r="D73" s="11" t="s">
        <v>5272</v>
      </c>
      <c r="E73" s="234">
        <v>47.0</v>
      </c>
      <c r="F73" s="235">
        <v>79.0</v>
      </c>
      <c r="G73" s="235">
        <v>79.0</v>
      </c>
      <c r="H73" s="234">
        <v>47.0</v>
      </c>
      <c r="I73" s="235">
        <v>79.0</v>
      </c>
      <c r="J73" s="236">
        <v>4.5393697E7</v>
      </c>
      <c r="K73" s="11">
        <v>38.0</v>
      </c>
      <c r="L73" s="11">
        <v>8.0</v>
      </c>
      <c r="M73" s="237" t="str">
        <f t="shared" si="1"/>
        <v>0470790045393697388</v>
      </c>
      <c r="N73" s="238">
        <v>-78590.24</v>
      </c>
      <c r="O73" s="110">
        <v>40423.0</v>
      </c>
      <c r="P73" s="11">
        <v>75.0</v>
      </c>
      <c r="Q73" s="17">
        <v>13.0</v>
      </c>
      <c r="R73" s="17">
        <v>62.0</v>
      </c>
    </row>
    <row r="74">
      <c r="A74" s="11">
        <v>11.0</v>
      </c>
      <c r="B74" s="11">
        <v>42.0</v>
      </c>
      <c r="C74" s="11">
        <v>1.0</v>
      </c>
      <c r="D74" s="11" t="s">
        <v>29</v>
      </c>
      <c r="E74" s="234">
        <v>2.0</v>
      </c>
      <c r="F74" s="235">
        <v>68.0</v>
      </c>
      <c r="G74" s="235">
        <v>68.0</v>
      </c>
      <c r="H74" s="234">
        <v>2.0</v>
      </c>
      <c r="I74" s="235">
        <v>68.0</v>
      </c>
      <c r="J74" s="236">
        <v>1.4619831E7</v>
      </c>
      <c r="K74" s="11">
        <v>87.0</v>
      </c>
      <c r="L74" s="11">
        <v>9.0</v>
      </c>
      <c r="M74" s="237" t="str">
        <f t="shared" si="1"/>
        <v>020680014619831879</v>
      </c>
      <c r="N74" s="238">
        <v>35598.19</v>
      </c>
      <c r="O74" s="110">
        <v>112513.0</v>
      </c>
      <c r="P74" s="11">
        <v>71.0</v>
      </c>
      <c r="Q74" s="17">
        <v>30.0</v>
      </c>
      <c r="R74" s="17">
        <v>61.0</v>
      </c>
    </row>
    <row r="75">
      <c r="A75" s="11">
        <v>10.0</v>
      </c>
      <c r="B75" s="11">
        <v>42.0</v>
      </c>
      <c r="C75" s="11">
        <v>1.0</v>
      </c>
      <c r="D75" s="11" t="s">
        <v>5272</v>
      </c>
      <c r="E75" s="234">
        <v>48.0</v>
      </c>
      <c r="F75" s="235">
        <v>141.0</v>
      </c>
      <c r="G75" s="235">
        <v>141.0</v>
      </c>
      <c r="H75" s="234">
        <v>48.0</v>
      </c>
      <c r="I75" s="235">
        <v>141.0</v>
      </c>
      <c r="J75" s="236">
        <v>9.8274377E7</v>
      </c>
      <c r="K75" s="11">
        <v>68.0</v>
      </c>
      <c r="L75" s="11">
        <v>5.0</v>
      </c>
      <c r="M75" s="237" t="str">
        <f t="shared" si="1"/>
        <v>0481410098274377685</v>
      </c>
      <c r="N75" s="238">
        <v>-90980.21</v>
      </c>
      <c r="O75" s="110">
        <v>101216.0</v>
      </c>
      <c r="P75" s="11">
        <v>75.0</v>
      </c>
      <c r="Q75" s="17">
        <v>39.0</v>
      </c>
      <c r="R75" s="17">
        <v>22.0</v>
      </c>
    </row>
    <row r="76">
      <c r="A76" s="11">
        <v>17.0</v>
      </c>
      <c r="B76" s="11">
        <v>62.0</v>
      </c>
      <c r="C76" s="11">
        <v>9.0</v>
      </c>
      <c r="D76" s="11" t="s">
        <v>31</v>
      </c>
      <c r="E76" s="234">
        <v>5.0</v>
      </c>
      <c r="F76" s="235">
        <v>117.0</v>
      </c>
      <c r="G76" s="235">
        <v>117.0</v>
      </c>
      <c r="H76" s="234">
        <v>5.0</v>
      </c>
      <c r="I76" s="235">
        <v>117.0</v>
      </c>
      <c r="J76" s="236">
        <v>5.7497106E7</v>
      </c>
      <c r="K76" s="11">
        <v>48.0</v>
      </c>
      <c r="L76" s="11">
        <v>3.0</v>
      </c>
      <c r="M76" s="237" t="str">
        <f t="shared" si="1"/>
        <v>051170057497106483</v>
      </c>
      <c r="N76" s="238">
        <v>18875.93</v>
      </c>
      <c r="O76" s="110">
        <v>11817.0</v>
      </c>
      <c r="P76" s="11">
        <v>74.0</v>
      </c>
      <c r="Q76" s="17">
        <v>55.0</v>
      </c>
      <c r="R76" s="17">
        <v>42.0</v>
      </c>
    </row>
    <row r="77">
      <c r="A77" s="11">
        <v>14.0</v>
      </c>
      <c r="B77" s="11">
        <v>83.0</v>
      </c>
      <c r="C77" s="11">
        <v>6.0</v>
      </c>
      <c r="D77" s="11" t="s">
        <v>5272</v>
      </c>
      <c r="E77" s="234">
        <v>51.0</v>
      </c>
      <c r="F77" s="235">
        <v>169.0</v>
      </c>
      <c r="G77" s="235">
        <v>169.0</v>
      </c>
      <c r="H77" s="234">
        <v>51.0</v>
      </c>
      <c r="I77" s="235">
        <v>169.0</v>
      </c>
      <c r="J77" s="236">
        <v>8.3549247E7</v>
      </c>
      <c r="K77" s="11">
        <v>85.0</v>
      </c>
      <c r="L77" s="11">
        <v>7.0</v>
      </c>
      <c r="M77" s="237" t="str">
        <f t="shared" si="1"/>
        <v>0511690083549247857</v>
      </c>
      <c r="N77" s="238">
        <v>3246.46</v>
      </c>
      <c r="O77" s="110">
        <v>10218.0</v>
      </c>
      <c r="P77" s="11">
        <v>80.0</v>
      </c>
      <c r="Q77" s="17">
        <v>17.0</v>
      </c>
      <c r="R77" s="17">
        <v>42.0</v>
      </c>
    </row>
    <row r="78">
      <c r="A78" s="11">
        <v>16.0</v>
      </c>
      <c r="B78" s="11">
        <v>42.0</v>
      </c>
      <c r="C78" s="11">
        <v>2.0</v>
      </c>
      <c r="D78" s="11" t="s">
        <v>5271</v>
      </c>
      <c r="E78" s="234">
        <v>37.0</v>
      </c>
      <c r="F78" s="235">
        <v>133.0</v>
      </c>
      <c r="G78" s="235">
        <v>133.0</v>
      </c>
      <c r="H78" s="234">
        <v>37.0</v>
      </c>
      <c r="I78" s="235">
        <v>133.0</v>
      </c>
      <c r="J78" s="236">
        <v>5.2396495E7</v>
      </c>
      <c r="K78" s="11">
        <v>19.0</v>
      </c>
      <c r="L78" s="11">
        <v>0.0</v>
      </c>
      <c r="M78" s="237" t="str">
        <f t="shared" si="1"/>
        <v>0371330052396495190</v>
      </c>
      <c r="N78" s="238">
        <v>63436.12</v>
      </c>
      <c r="O78" s="110">
        <v>10120.0</v>
      </c>
      <c r="P78" s="11">
        <v>80.0</v>
      </c>
      <c r="Q78" s="17">
        <v>23.0</v>
      </c>
      <c r="R78" s="17">
        <v>63.0</v>
      </c>
    </row>
    <row r="79">
      <c r="A79" s="11">
        <v>13.0</v>
      </c>
      <c r="B79" s="11">
        <v>21.0</v>
      </c>
      <c r="C79" s="11">
        <v>6.0</v>
      </c>
      <c r="D79" s="11" t="s">
        <v>39</v>
      </c>
      <c r="E79" s="234">
        <v>37.0</v>
      </c>
      <c r="F79" s="235">
        <v>39.0</v>
      </c>
      <c r="G79" s="235">
        <v>39.0</v>
      </c>
      <c r="H79" s="234">
        <v>37.0</v>
      </c>
      <c r="I79" s="235">
        <v>39.0</v>
      </c>
      <c r="J79" s="236">
        <v>6.077318E7</v>
      </c>
      <c r="K79" s="11">
        <v>39.0</v>
      </c>
      <c r="L79" s="11">
        <v>8.0</v>
      </c>
      <c r="M79" s="237" t="str">
        <f t="shared" si="1"/>
        <v>0370390060773180398</v>
      </c>
      <c r="N79" s="238">
        <v>-75600.9</v>
      </c>
      <c r="O79" s="110">
        <v>81917.0</v>
      </c>
      <c r="P79" s="11">
        <v>80.0</v>
      </c>
      <c r="Q79" s="17">
        <v>4.0</v>
      </c>
      <c r="R79" s="17">
        <v>22.0</v>
      </c>
    </row>
    <row r="80">
      <c r="A80" s="11">
        <v>16.0</v>
      </c>
      <c r="B80" s="11">
        <v>62.0</v>
      </c>
      <c r="C80" s="11">
        <v>7.0</v>
      </c>
      <c r="D80" s="11" t="s">
        <v>5273</v>
      </c>
      <c r="E80" s="234">
        <v>13.0</v>
      </c>
      <c r="F80" s="235">
        <v>65.0</v>
      </c>
      <c r="G80" s="235">
        <v>65.0</v>
      </c>
      <c r="H80" s="234">
        <v>13.0</v>
      </c>
      <c r="I80" s="235">
        <v>65.0</v>
      </c>
      <c r="J80" s="236">
        <v>7.3524505E7</v>
      </c>
      <c r="K80" s="11">
        <v>4.0</v>
      </c>
      <c r="L80" s="11">
        <v>1.0</v>
      </c>
      <c r="M80" s="237" t="str">
        <f t="shared" si="1"/>
        <v>013065007352450541</v>
      </c>
      <c r="N80" s="238">
        <v>45064.77</v>
      </c>
      <c r="O80" s="110">
        <v>120416.0</v>
      </c>
      <c r="P80" s="11">
        <v>70.0</v>
      </c>
      <c r="Q80" s="17">
        <v>12.0</v>
      </c>
      <c r="R80" s="17">
        <v>63.0</v>
      </c>
    </row>
    <row r="81">
      <c r="A81" s="11">
        <v>10.0</v>
      </c>
      <c r="B81" s="11">
        <v>42.0</v>
      </c>
      <c r="C81" s="11">
        <v>9.0</v>
      </c>
      <c r="D81" s="11" t="s">
        <v>5273</v>
      </c>
      <c r="E81" s="234">
        <v>29.0</v>
      </c>
      <c r="F81" s="235">
        <v>229.0</v>
      </c>
      <c r="G81" s="235">
        <v>229.0</v>
      </c>
      <c r="H81" s="234">
        <v>29.0</v>
      </c>
      <c r="I81" s="235">
        <v>229.0</v>
      </c>
      <c r="J81" s="236">
        <v>8.2687659E7</v>
      </c>
      <c r="K81" s="11">
        <v>16.0</v>
      </c>
      <c r="L81" s="11">
        <v>7.0</v>
      </c>
      <c r="M81" s="237" t="str">
        <f t="shared" si="1"/>
        <v>0292290082687659167</v>
      </c>
      <c r="N81" s="238">
        <v>-75334.92</v>
      </c>
      <c r="O81" s="110">
        <v>110617.0</v>
      </c>
      <c r="P81" s="11">
        <v>73.0</v>
      </c>
      <c r="Q81" s="17">
        <v>56.0</v>
      </c>
      <c r="R81" s="17">
        <v>42.0</v>
      </c>
    </row>
    <row r="82">
      <c r="A82" s="11">
        <v>20.0</v>
      </c>
      <c r="B82" s="11">
        <v>21.0</v>
      </c>
      <c r="C82" s="11">
        <v>1.0</v>
      </c>
      <c r="D82" s="11" t="s">
        <v>29</v>
      </c>
      <c r="E82" s="234">
        <v>42.0</v>
      </c>
      <c r="F82" s="235">
        <v>45.0</v>
      </c>
      <c r="G82" s="235">
        <v>45.0</v>
      </c>
      <c r="H82" s="234">
        <v>42.0</v>
      </c>
      <c r="I82" s="235">
        <v>45.0</v>
      </c>
      <c r="J82" s="236">
        <v>3.8863789E7</v>
      </c>
      <c r="K82" s="11">
        <v>88.0</v>
      </c>
      <c r="L82" s="11">
        <v>1.0</v>
      </c>
      <c r="M82" s="237" t="str">
        <f t="shared" si="1"/>
        <v>0420450038863789881</v>
      </c>
      <c r="N82" s="238">
        <v>-13921.15</v>
      </c>
      <c r="O82" s="110">
        <v>120716.0</v>
      </c>
      <c r="P82" s="11">
        <v>71.0</v>
      </c>
      <c r="Q82" s="17">
        <v>45.0</v>
      </c>
      <c r="R82" s="17">
        <v>83.0</v>
      </c>
    </row>
    <row r="83">
      <c r="A83" s="11">
        <v>12.0</v>
      </c>
      <c r="B83" s="11">
        <v>83.0</v>
      </c>
      <c r="C83" s="11">
        <v>5.0</v>
      </c>
      <c r="D83" s="11" t="s">
        <v>29</v>
      </c>
      <c r="E83" s="234">
        <v>1.0</v>
      </c>
      <c r="F83" s="235">
        <v>59.0</v>
      </c>
      <c r="G83" s="235">
        <v>59.0</v>
      </c>
      <c r="H83" s="234">
        <v>1.0</v>
      </c>
      <c r="I83" s="235">
        <v>59.0</v>
      </c>
      <c r="J83" s="236">
        <v>6.5530559E7</v>
      </c>
      <c r="K83" s="11">
        <v>62.0</v>
      </c>
      <c r="L83" s="11">
        <v>0.0</v>
      </c>
      <c r="M83" s="237" t="str">
        <f t="shared" si="1"/>
        <v>010590065530559620</v>
      </c>
      <c r="N83" s="238">
        <v>8108.13</v>
      </c>
      <c r="O83" s="110">
        <v>12418.0</v>
      </c>
      <c r="P83" s="11">
        <v>70.0</v>
      </c>
      <c r="Q83" s="17">
        <v>8.0</v>
      </c>
      <c r="R83" s="17">
        <v>63.0</v>
      </c>
    </row>
    <row r="84">
      <c r="A84" s="11">
        <v>15.0</v>
      </c>
      <c r="B84" s="11">
        <v>42.0</v>
      </c>
      <c r="C84" s="11">
        <v>3.0</v>
      </c>
      <c r="D84" s="11" t="s">
        <v>5272</v>
      </c>
      <c r="E84" s="234">
        <v>20.0</v>
      </c>
      <c r="F84" s="235">
        <v>111.0</v>
      </c>
      <c r="G84" s="235">
        <v>111.0</v>
      </c>
      <c r="H84" s="234">
        <v>20.0</v>
      </c>
      <c r="I84" s="235">
        <v>111.0</v>
      </c>
      <c r="J84" s="236">
        <v>8.2216577E7</v>
      </c>
      <c r="K84" s="11">
        <v>1.0</v>
      </c>
      <c r="L84" s="11">
        <v>6.0</v>
      </c>
      <c r="M84" s="237" t="str">
        <f t="shared" si="1"/>
        <v>020111008221657716</v>
      </c>
      <c r="N84" s="238">
        <v>-63553.74</v>
      </c>
      <c r="O84" s="110">
        <v>82119.0</v>
      </c>
      <c r="P84" s="11">
        <v>73.0</v>
      </c>
      <c r="Q84" s="17">
        <v>23.0</v>
      </c>
      <c r="R84" s="17">
        <v>83.0</v>
      </c>
    </row>
    <row r="85">
      <c r="A85" s="11">
        <v>19.0</v>
      </c>
      <c r="B85" s="11">
        <v>42.0</v>
      </c>
      <c r="C85" s="11">
        <v>3.0</v>
      </c>
      <c r="D85" s="11" t="s">
        <v>31</v>
      </c>
      <c r="E85" s="234">
        <v>42.0</v>
      </c>
      <c r="F85" s="235">
        <v>73.0</v>
      </c>
      <c r="G85" s="235">
        <v>73.0</v>
      </c>
      <c r="H85" s="234">
        <v>42.0</v>
      </c>
      <c r="I85" s="235">
        <v>73.0</v>
      </c>
      <c r="J85" s="236">
        <v>9.4668099E7</v>
      </c>
      <c r="K85" s="11">
        <v>46.0</v>
      </c>
      <c r="L85" s="11">
        <v>2.0</v>
      </c>
      <c r="M85" s="237" t="str">
        <f t="shared" si="1"/>
        <v>0420730094668099462</v>
      </c>
      <c r="N85" s="238">
        <v>-17762.09</v>
      </c>
      <c r="O85" s="110">
        <v>42121.0</v>
      </c>
      <c r="P85" s="11">
        <v>72.0</v>
      </c>
      <c r="Q85" s="17">
        <v>36.0</v>
      </c>
      <c r="R85" s="17">
        <v>22.0</v>
      </c>
    </row>
    <row r="86">
      <c r="A86" s="11">
        <v>12.0</v>
      </c>
      <c r="B86" s="11">
        <v>83.0</v>
      </c>
      <c r="C86" s="11">
        <v>8.0</v>
      </c>
      <c r="D86" s="11" t="s">
        <v>5273</v>
      </c>
      <c r="E86" s="234">
        <v>38.0</v>
      </c>
      <c r="F86" s="235">
        <v>81.0</v>
      </c>
      <c r="G86" s="235">
        <v>81.0</v>
      </c>
      <c r="H86" s="234">
        <v>38.0</v>
      </c>
      <c r="I86" s="235">
        <v>81.0</v>
      </c>
      <c r="J86" s="236">
        <v>2.5557473E7</v>
      </c>
      <c r="K86" s="11">
        <v>2.0</v>
      </c>
      <c r="L86" s="11">
        <v>8.0</v>
      </c>
      <c r="M86" s="237" t="str">
        <f t="shared" si="1"/>
        <v>038081002555747328</v>
      </c>
      <c r="N86" s="238">
        <v>-11418.16</v>
      </c>
      <c r="O86" s="110">
        <v>90717.0</v>
      </c>
      <c r="P86" s="11">
        <v>71.0</v>
      </c>
      <c r="Q86" s="17">
        <v>32.0</v>
      </c>
      <c r="R86" s="17">
        <v>63.0</v>
      </c>
    </row>
    <row r="87">
      <c r="A87" s="11">
        <v>17.0</v>
      </c>
      <c r="B87" s="11">
        <v>83.0</v>
      </c>
      <c r="C87" s="11">
        <v>1.0</v>
      </c>
      <c r="D87" s="11" t="s">
        <v>39</v>
      </c>
      <c r="E87" s="234">
        <v>26.0</v>
      </c>
      <c r="F87" s="235">
        <v>65.0</v>
      </c>
      <c r="G87" s="235">
        <v>65.0</v>
      </c>
      <c r="H87" s="234">
        <v>26.0</v>
      </c>
      <c r="I87" s="235">
        <v>65.0</v>
      </c>
      <c r="J87" s="236">
        <v>3.8973832E7</v>
      </c>
      <c r="K87" s="11">
        <v>39.0</v>
      </c>
      <c r="L87" s="11">
        <v>3.0</v>
      </c>
      <c r="M87" s="237" t="str">
        <f t="shared" si="1"/>
        <v>0260650038973832393</v>
      </c>
      <c r="N87" s="238">
        <v>18221.31</v>
      </c>
      <c r="O87" s="110">
        <v>30921.0</v>
      </c>
      <c r="P87" s="11">
        <v>79.0</v>
      </c>
      <c r="Q87" s="17">
        <v>22.0</v>
      </c>
      <c r="R87" s="17">
        <v>63.0</v>
      </c>
    </row>
    <row r="88">
      <c r="A88" s="11">
        <v>20.0</v>
      </c>
      <c r="B88" s="11">
        <v>22.0</v>
      </c>
      <c r="C88" s="11">
        <v>2.0</v>
      </c>
      <c r="D88" s="11" t="s">
        <v>5271</v>
      </c>
      <c r="E88" s="234">
        <v>13.0</v>
      </c>
      <c r="F88" s="235">
        <v>195.0</v>
      </c>
      <c r="G88" s="235">
        <v>195.0</v>
      </c>
      <c r="H88" s="234">
        <v>13.0</v>
      </c>
      <c r="I88" s="235">
        <v>195.0</v>
      </c>
      <c r="J88" s="236">
        <v>1.1063957E7</v>
      </c>
      <c r="K88" s="11">
        <v>19.0</v>
      </c>
      <c r="L88" s="11">
        <v>7.0</v>
      </c>
      <c r="M88" s="237" t="str">
        <f t="shared" si="1"/>
        <v>0131950011063957197</v>
      </c>
      <c r="N88" s="238">
        <v>90512.51</v>
      </c>
      <c r="O88" s="110">
        <v>101721.0</v>
      </c>
      <c r="P88" s="11">
        <v>80.0</v>
      </c>
      <c r="Q88" s="17">
        <v>35.0</v>
      </c>
      <c r="R88" s="17">
        <v>42.0</v>
      </c>
    </row>
    <row r="89">
      <c r="A89" s="11">
        <v>15.0</v>
      </c>
      <c r="B89" s="11">
        <v>42.0</v>
      </c>
      <c r="C89" s="11">
        <v>2.0</v>
      </c>
      <c r="D89" s="11" t="s">
        <v>31</v>
      </c>
      <c r="E89" s="234">
        <v>26.0</v>
      </c>
      <c r="F89" s="235">
        <v>139.0</v>
      </c>
      <c r="G89" s="235">
        <v>139.0</v>
      </c>
      <c r="H89" s="234">
        <v>26.0</v>
      </c>
      <c r="I89" s="235">
        <v>139.0</v>
      </c>
      <c r="J89" s="236">
        <v>7.3270262E7</v>
      </c>
      <c r="K89" s="11">
        <v>9.0</v>
      </c>
      <c r="L89" s="11">
        <v>3.0</v>
      </c>
      <c r="M89" s="237" t="str">
        <f t="shared" si="1"/>
        <v>026139007327026293</v>
      </c>
      <c r="N89" s="238">
        <v>-85373.81</v>
      </c>
      <c r="O89" s="110">
        <v>102818.0</v>
      </c>
      <c r="P89" s="11">
        <v>80.0</v>
      </c>
      <c r="Q89" s="17">
        <v>24.0</v>
      </c>
      <c r="R89" s="17">
        <v>22.0</v>
      </c>
    </row>
    <row r="90">
      <c r="A90" s="11">
        <v>19.0</v>
      </c>
      <c r="B90" s="11">
        <v>83.0</v>
      </c>
      <c r="C90" s="11">
        <v>5.0</v>
      </c>
      <c r="D90" s="11" t="s">
        <v>5273</v>
      </c>
      <c r="E90" s="234">
        <v>48.0</v>
      </c>
      <c r="F90" s="235">
        <v>201.0</v>
      </c>
      <c r="G90" s="235">
        <v>201.0</v>
      </c>
      <c r="H90" s="234">
        <v>48.0</v>
      </c>
      <c r="I90" s="235">
        <v>201.0</v>
      </c>
      <c r="J90" s="236">
        <v>4.2111461E7</v>
      </c>
      <c r="K90" s="11">
        <v>56.0</v>
      </c>
      <c r="L90" s="11">
        <v>9.0</v>
      </c>
      <c r="M90" s="237" t="str">
        <f t="shared" si="1"/>
        <v>0482010042111461569</v>
      </c>
      <c r="N90" s="238">
        <v>36171.99</v>
      </c>
      <c r="O90" s="110">
        <v>120415.0</v>
      </c>
      <c r="P90" s="11">
        <v>79.0</v>
      </c>
      <c r="Q90" s="17">
        <v>49.0</v>
      </c>
      <c r="R90" s="17">
        <v>42.0</v>
      </c>
    </row>
    <row r="91">
      <c r="A91" s="11">
        <v>19.0</v>
      </c>
      <c r="B91" s="11">
        <v>22.0</v>
      </c>
      <c r="C91" s="11">
        <v>2.0</v>
      </c>
      <c r="D91" s="11" t="s">
        <v>39</v>
      </c>
      <c r="E91" s="234">
        <v>28.0</v>
      </c>
      <c r="F91" s="235">
        <v>23.0</v>
      </c>
      <c r="G91" s="235">
        <v>23.0</v>
      </c>
      <c r="H91" s="234">
        <v>28.0</v>
      </c>
      <c r="I91" s="235">
        <v>23.0</v>
      </c>
      <c r="J91" s="236">
        <v>2.7742423E7</v>
      </c>
      <c r="K91" s="11">
        <v>47.0</v>
      </c>
      <c r="L91" s="11">
        <v>9.0</v>
      </c>
      <c r="M91" s="237" t="str">
        <f t="shared" si="1"/>
        <v>0280230027742423479</v>
      </c>
      <c r="N91" s="238">
        <v>32452.86</v>
      </c>
      <c r="O91" s="110">
        <v>101918.0</v>
      </c>
      <c r="P91" s="11">
        <v>80.0</v>
      </c>
      <c r="Q91" s="17">
        <v>23.0</v>
      </c>
      <c r="R91" s="17">
        <v>42.0</v>
      </c>
    </row>
    <row r="92">
      <c r="A92" s="11">
        <v>15.0</v>
      </c>
      <c r="B92" s="11">
        <v>63.0</v>
      </c>
      <c r="C92" s="11">
        <v>3.0</v>
      </c>
      <c r="D92" s="11" t="s">
        <v>39</v>
      </c>
      <c r="E92" s="234">
        <v>47.0</v>
      </c>
      <c r="F92" s="235">
        <v>27.0</v>
      </c>
      <c r="G92" s="235">
        <v>27.0</v>
      </c>
      <c r="H92" s="234">
        <v>47.0</v>
      </c>
      <c r="I92" s="235">
        <v>27.0</v>
      </c>
      <c r="J92" s="236">
        <v>6.6171119E7</v>
      </c>
      <c r="K92" s="11">
        <v>99.0</v>
      </c>
      <c r="L92" s="11">
        <v>4.0</v>
      </c>
      <c r="M92" s="237" t="str">
        <f t="shared" si="1"/>
        <v>0470270066171119994</v>
      </c>
      <c r="N92" s="238">
        <v>12979.65</v>
      </c>
      <c r="O92" s="110">
        <v>41919.0</v>
      </c>
      <c r="P92" s="11">
        <v>72.0</v>
      </c>
      <c r="Q92" s="17">
        <v>40.0</v>
      </c>
      <c r="R92" s="17">
        <v>83.0</v>
      </c>
    </row>
    <row r="93">
      <c r="A93" s="11">
        <v>11.0</v>
      </c>
      <c r="B93" s="11">
        <v>22.0</v>
      </c>
      <c r="C93" s="11">
        <v>4.0</v>
      </c>
      <c r="D93" s="11" t="s">
        <v>29</v>
      </c>
      <c r="E93" s="234">
        <v>29.0</v>
      </c>
      <c r="F93" s="235">
        <v>9.0</v>
      </c>
      <c r="G93" s="235">
        <v>9.0</v>
      </c>
      <c r="H93" s="234">
        <v>29.0</v>
      </c>
      <c r="I93" s="235">
        <v>9.0</v>
      </c>
      <c r="J93" s="236">
        <v>4.8616972E7</v>
      </c>
      <c r="K93" s="11">
        <v>48.0</v>
      </c>
      <c r="L93" s="11">
        <v>5.0</v>
      </c>
      <c r="M93" s="237" t="str">
        <f t="shared" si="1"/>
        <v>0290090048616972485</v>
      </c>
      <c r="N93" s="238">
        <v>22146.56</v>
      </c>
      <c r="O93" s="110">
        <v>20213.0</v>
      </c>
      <c r="P93" s="11">
        <v>70.0</v>
      </c>
      <c r="Q93" s="17">
        <v>34.0</v>
      </c>
      <c r="R93" s="17">
        <v>83.0</v>
      </c>
    </row>
    <row r="94">
      <c r="A94" s="11">
        <v>15.0</v>
      </c>
      <c r="B94" s="11">
        <v>42.0</v>
      </c>
      <c r="C94" s="11">
        <v>6.0</v>
      </c>
      <c r="D94" s="11" t="s">
        <v>39</v>
      </c>
      <c r="E94" s="234">
        <v>5.0</v>
      </c>
      <c r="F94" s="235">
        <v>143.0</v>
      </c>
      <c r="G94" s="235">
        <v>143.0</v>
      </c>
      <c r="H94" s="234">
        <v>5.0</v>
      </c>
      <c r="I94" s="235">
        <v>143.0</v>
      </c>
      <c r="J94" s="236">
        <v>2.2093289E7</v>
      </c>
      <c r="K94" s="11">
        <v>25.0</v>
      </c>
      <c r="L94" s="11">
        <v>0.0</v>
      </c>
      <c r="M94" s="237" t="str">
        <f t="shared" si="1"/>
        <v>051430022093289250</v>
      </c>
      <c r="N94" s="238">
        <v>-99297.37</v>
      </c>
      <c r="O94" s="110">
        <v>81414.0</v>
      </c>
      <c r="P94" s="11">
        <v>77.0</v>
      </c>
      <c r="Q94" s="17">
        <v>31.0</v>
      </c>
      <c r="R94" s="17">
        <v>22.0</v>
      </c>
    </row>
    <row r="95">
      <c r="A95" s="11">
        <v>10.0</v>
      </c>
      <c r="B95" s="11">
        <v>63.0</v>
      </c>
      <c r="C95" s="11">
        <v>1.0</v>
      </c>
      <c r="D95" s="11" t="s">
        <v>31</v>
      </c>
      <c r="E95" s="234">
        <v>28.0</v>
      </c>
      <c r="F95" s="235">
        <v>157.0</v>
      </c>
      <c r="G95" s="235">
        <v>157.0</v>
      </c>
      <c r="H95" s="234">
        <v>28.0</v>
      </c>
      <c r="I95" s="235">
        <v>157.0</v>
      </c>
      <c r="J95" s="236">
        <v>1.6231061E7</v>
      </c>
      <c r="K95" s="11">
        <v>26.0</v>
      </c>
      <c r="L95" s="11">
        <v>0.0</v>
      </c>
      <c r="M95" s="237" t="str">
        <f t="shared" si="1"/>
        <v>0281570016231061260</v>
      </c>
      <c r="N95" s="238">
        <v>18948.27</v>
      </c>
      <c r="O95" s="110">
        <v>32414.0</v>
      </c>
      <c r="P95" s="11">
        <v>73.0</v>
      </c>
      <c r="Q95" s="17">
        <v>25.0</v>
      </c>
      <c r="R95" s="17">
        <v>63.0</v>
      </c>
    </row>
    <row r="96">
      <c r="A96" s="11">
        <v>11.0</v>
      </c>
      <c r="B96" s="11">
        <v>22.0</v>
      </c>
      <c r="C96" s="11">
        <v>8.0</v>
      </c>
      <c r="D96" s="11" t="s">
        <v>5272</v>
      </c>
      <c r="E96" s="234">
        <v>19.0</v>
      </c>
      <c r="F96" s="235">
        <v>117.0</v>
      </c>
      <c r="G96" s="235">
        <v>117.0</v>
      </c>
      <c r="H96" s="234">
        <v>19.0</v>
      </c>
      <c r="I96" s="235">
        <v>117.0</v>
      </c>
      <c r="J96" s="236">
        <v>8.9116335E7</v>
      </c>
      <c r="K96" s="11">
        <v>45.0</v>
      </c>
      <c r="L96" s="11">
        <v>4.0</v>
      </c>
      <c r="M96" s="237" t="str">
        <f t="shared" si="1"/>
        <v>0191170089116335454</v>
      </c>
      <c r="N96" s="238">
        <v>-93554.5</v>
      </c>
      <c r="O96" s="110">
        <v>20913.0</v>
      </c>
      <c r="P96" s="11">
        <v>78.0</v>
      </c>
      <c r="Q96" s="17">
        <v>47.0</v>
      </c>
      <c r="R96" s="17">
        <v>63.0</v>
      </c>
    </row>
    <row r="97">
      <c r="A97" s="11">
        <v>11.0</v>
      </c>
      <c r="B97" s="11">
        <v>63.0</v>
      </c>
      <c r="C97" s="11">
        <v>7.0</v>
      </c>
      <c r="D97" s="11" t="s">
        <v>31</v>
      </c>
      <c r="E97" s="234">
        <v>38.0</v>
      </c>
      <c r="F97" s="235">
        <v>1.0</v>
      </c>
      <c r="G97" s="235">
        <v>1.0</v>
      </c>
      <c r="H97" s="234">
        <v>38.0</v>
      </c>
      <c r="I97" s="235">
        <v>1.0</v>
      </c>
      <c r="J97" s="236">
        <v>3.5973108E7</v>
      </c>
      <c r="K97" s="11">
        <v>70.0</v>
      </c>
      <c r="L97" s="11">
        <v>1.0</v>
      </c>
      <c r="M97" s="237" t="str">
        <f t="shared" si="1"/>
        <v>0380010035973108701</v>
      </c>
      <c r="N97" s="238">
        <v>1324.04</v>
      </c>
      <c r="O97" s="110">
        <v>80321.0</v>
      </c>
      <c r="P97" s="11">
        <v>70.0</v>
      </c>
      <c r="Q97" s="17">
        <v>44.0</v>
      </c>
      <c r="R97" s="17">
        <v>43.0</v>
      </c>
    </row>
    <row r="98">
      <c r="A98" s="11">
        <v>10.0</v>
      </c>
      <c r="B98" s="11">
        <v>42.0</v>
      </c>
      <c r="C98" s="11">
        <v>8.0</v>
      </c>
      <c r="D98" s="11" t="s">
        <v>31</v>
      </c>
      <c r="E98" s="234">
        <v>31.0</v>
      </c>
      <c r="F98" s="235">
        <v>173.0</v>
      </c>
      <c r="G98" s="235">
        <v>173.0</v>
      </c>
      <c r="H98" s="234">
        <v>31.0</v>
      </c>
      <c r="I98" s="235">
        <v>173.0</v>
      </c>
      <c r="J98" s="236">
        <v>7.6547218E7</v>
      </c>
      <c r="K98" s="11">
        <v>93.0</v>
      </c>
      <c r="L98" s="11">
        <v>4.0</v>
      </c>
      <c r="M98" s="237" t="str">
        <f t="shared" si="1"/>
        <v>0311730076547218934</v>
      </c>
      <c r="N98" s="238">
        <v>-7833.58</v>
      </c>
      <c r="O98" s="110">
        <v>91020.0</v>
      </c>
      <c r="P98" s="11">
        <v>79.0</v>
      </c>
      <c r="Q98" s="17">
        <v>40.0</v>
      </c>
      <c r="R98" s="17">
        <v>84.0</v>
      </c>
    </row>
    <row r="99">
      <c r="A99" s="11">
        <v>10.0</v>
      </c>
      <c r="B99" s="11">
        <v>63.0</v>
      </c>
      <c r="C99" s="11">
        <v>5.0</v>
      </c>
      <c r="D99" s="11" t="s">
        <v>39</v>
      </c>
      <c r="E99" s="234">
        <v>45.0</v>
      </c>
      <c r="F99" s="235">
        <v>5.0</v>
      </c>
      <c r="G99" s="235">
        <v>5.0</v>
      </c>
      <c r="H99" s="234">
        <v>45.0</v>
      </c>
      <c r="I99" s="235">
        <v>5.0</v>
      </c>
      <c r="J99" s="236">
        <v>2.5872762E7</v>
      </c>
      <c r="K99" s="11">
        <v>37.0</v>
      </c>
      <c r="L99" s="11">
        <v>7.0</v>
      </c>
      <c r="M99" s="237" t="str">
        <f t="shared" si="1"/>
        <v>0450050025872762377</v>
      </c>
      <c r="N99" s="238">
        <v>66347.14</v>
      </c>
      <c r="O99" s="110">
        <v>10923.0</v>
      </c>
      <c r="P99" s="11">
        <v>74.0</v>
      </c>
      <c r="Q99" s="17">
        <v>8.0</v>
      </c>
      <c r="R99" s="17">
        <v>63.0</v>
      </c>
    </row>
    <row r="100">
      <c r="A100" s="11">
        <v>15.0</v>
      </c>
      <c r="B100" s="11">
        <v>83.0</v>
      </c>
      <c r="C100" s="11">
        <v>6.0</v>
      </c>
      <c r="D100" s="11" t="s">
        <v>39</v>
      </c>
      <c r="E100" s="234">
        <v>10.0</v>
      </c>
      <c r="F100" s="235">
        <v>1.0</v>
      </c>
      <c r="G100" s="235">
        <v>1.0</v>
      </c>
      <c r="H100" s="234">
        <v>10.0</v>
      </c>
      <c r="I100" s="235">
        <v>1.0</v>
      </c>
      <c r="J100" s="236">
        <v>1.4412194E7</v>
      </c>
      <c r="K100" s="11">
        <v>92.0</v>
      </c>
      <c r="L100" s="11">
        <v>7.0</v>
      </c>
      <c r="M100" s="237" t="str">
        <f t="shared" si="1"/>
        <v>0100010014412194927</v>
      </c>
      <c r="N100" s="238">
        <v>-84077.31</v>
      </c>
      <c r="O100" s="110">
        <v>82819.0</v>
      </c>
      <c r="P100" s="11">
        <v>72.0</v>
      </c>
      <c r="Q100" s="17">
        <v>44.0</v>
      </c>
      <c r="R100" s="17">
        <v>63.0</v>
      </c>
    </row>
    <row r="101">
      <c r="A101" s="11">
        <v>14.0</v>
      </c>
      <c r="B101" s="11">
        <v>63.0</v>
      </c>
      <c r="C101" s="11">
        <v>9.0</v>
      </c>
      <c r="D101" s="11" t="s">
        <v>31</v>
      </c>
      <c r="E101" s="234">
        <v>48.0</v>
      </c>
      <c r="F101" s="235">
        <v>401.0</v>
      </c>
      <c r="G101" s="235">
        <v>401.0</v>
      </c>
      <c r="H101" s="234">
        <v>48.0</v>
      </c>
      <c r="I101" s="235">
        <v>401.0</v>
      </c>
      <c r="J101" s="236">
        <v>4.2514774E7</v>
      </c>
      <c r="K101" s="11">
        <v>48.0</v>
      </c>
      <c r="L101" s="11">
        <v>1.0</v>
      </c>
      <c r="M101" s="237" t="str">
        <f t="shared" si="1"/>
        <v>0484010042514774481</v>
      </c>
      <c r="N101" s="238">
        <v>57527.58</v>
      </c>
      <c r="O101" s="110">
        <v>111918.0</v>
      </c>
      <c r="P101" s="11">
        <v>70.0</v>
      </c>
      <c r="Q101" s="17">
        <v>42.0</v>
      </c>
      <c r="R101" s="17">
        <v>63.0</v>
      </c>
    </row>
    <row r="102">
      <c r="A102" s="11">
        <v>17.0</v>
      </c>
      <c r="B102" s="11">
        <v>42.0</v>
      </c>
      <c r="C102" s="11">
        <v>4.0</v>
      </c>
      <c r="D102" s="11" t="s">
        <v>5273</v>
      </c>
      <c r="E102" s="234">
        <v>13.0</v>
      </c>
      <c r="F102" s="235">
        <v>201.0</v>
      </c>
      <c r="G102" s="235">
        <v>201.0</v>
      </c>
      <c r="H102" s="234">
        <v>13.0</v>
      </c>
      <c r="I102" s="235">
        <v>201.0</v>
      </c>
      <c r="J102" s="236">
        <v>9.1605401E7</v>
      </c>
      <c r="K102" s="11">
        <v>2.0</v>
      </c>
      <c r="L102" s="11">
        <v>9.0</v>
      </c>
      <c r="M102" s="237" t="str">
        <f t="shared" si="1"/>
        <v>013201009160540129</v>
      </c>
      <c r="N102" s="238">
        <v>14733.93</v>
      </c>
      <c r="O102" s="110">
        <v>82317.0</v>
      </c>
      <c r="P102" s="11">
        <v>74.0</v>
      </c>
      <c r="Q102" s="17">
        <v>19.0</v>
      </c>
      <c r="R102" s="17">
        <v>63.0</v>
      </c>
    </row>
    <row r="103">
      <c r="A103" s="11">
        <v>10.0</v>
      </c>
      <c r="B103" s="11">
        <v>22.0</v>
      </c>
      <c r="C103" s="11">
        <v>6.0</v>
      </c>
      <c r="D103" s="11" t="s">
        <v>5271</v>
      </c>
      <c r="E103" s="234">
        <v>27.0</v>
      </c>
      <c r="F103" s="235">
        <v>71.0</v>
      </c>
      <c r="G103" s="235">
        <v>71.0</v>
      </c>
      <c r="H103" s="234">
        <v>27.0</v>
      </c>
      <c r="I103" s="235">
        <v>71.0</v>
      </c>
      <c r="J103" s="236">
        <v>8.9359264E7</v>
      </c>
      <c r="K103" s="11">
        <v>55.0</v>
      </c>
      <c r="L103" s="11">
        <v>8.0</v>
      </c>
      <c r="M103" s="237" t="str">
        <f t="shared" si="1"/>
        <v>0270710089359264558</v>
      </c>
      <c r="N103" s="238">
        <v>91981.39</v>
      </c>
      <c r="O103" s="110">
        <v>12819.0</v>
      </c>
      <c r="P103" s="11">
        <v>80.0</v>
      </c>
      <c r="Q103" s="17">
        <v>38.0</v>
      </c>
      <c r="R103" s="17">
        <v>63.0</v>
      </c>
    </row>
    <row r="104">
      <c r="A104" s="11">
        <v>12.0</v>
      </c>
      <c r="B104" s="11">
        <v>63.0</v>
      </c>
      <c r="C104" s="11">
        <v>3.0</v>
      </c>
      <c r="D104" s="11" t="s">
        <v>5271</v>
      </c>
      <c r="E104" s="234">
        <v>13.0</v>
      </c>
      <c r="F104" s="235">
        <v>21.0</v>
      </c>
      <c r="G104" s="235">
        <v>21.0</v>
      </c>
      <c r="H104" s="234">
        <v>13.0</v>
      </c>
      <c r="I104" s="235">
        <v>21.0</v>
      </c>
      <c r="J104" s="236">
        <v>7.9173826E7</v>
      </c>
      <c r="K104" s="11">
        <v>49.0</v>
      </c>
      <c r="L104" s="11">
        <v>4.0</v>
      </c>
      <c r="M104" s="237" t="str">
        <f t="shared" si="1"/>
        <v>0130210079173826494</v>
      </c>
      <c r="N104" s="238">
        <v>65572.78</v>
      </c>
      <c r="O104" s="110">
        <v>40717.0</v>
      </c>
      <c r="P104" s="11">
        <v>78.0</v>
      </c>
      <c r="Q104" s="239"/>
      <c r="R104" s="17">
        <v>63.0</v>
      </c>
    </row>
    <row r="105">
      <c r="A105" s="11">
        <v>15.0</v>
      </c>
      <c r="B105" s="11">
        <v>42.0</v>
      </c>
      <c r="C105" s="11">
        <v>4.0</v>
      </c>
      <c r="D105" s="11" t="s">
        <v>39</v>
      </c>
      <c r="E105" s="234">
        <v>46.0</v>
      </c>
      <c r="F105" s="235">
        <v>85.0</v>
      </c>
      <c r="G105" s="235">
        <v>85.0</v>
      </c>
      <c r="H105" s="234">
        <v>46.0</v>
      </c>
      <c r="I105" s="235">
        <v>85.0</v>
      </c>
      <c r="J105" s="236">
        <v>1.8831229E7</v>
      </c>
      <c r="K105" s="11">
        <v>74.0</v>
      </c>
      <c r="L105" s="11">
        <v>9.0</v>
      </c>
      <c r="M105" s="237" t="str">
        <f t="shared" si="1"/>
        <v>0460850018831229749</v>
      </c>
      <c r="N105" s="238">
        <v>18458.38</v>
      </c>
      <c r="O105" s="110">
        <v>93017.0</v>
      </c>
      <c r="P105" s="11">
        <v>74.0</v>
      </c>
      <c r="Q105" s="239"/>
      <c r="R105" s="17">
        <v>22.0</v>
      </c>
    </row>
    <row r="106">
      <c r="A106" s="11">
        <v>14.0</v>
      </c>
      <c r="B106" s="11">
        <v>63.0</v>
      </c>
      <c r="C106" s="11">
        <v>9.0</v>
      </c>
      <c r="D106" s="11" t="s">
        <v>29</v>
      </c>
      <c r="E106" s="234">
        <v>48.0</v>
      </c>
      <c r="F106" s="235">
        <v>151.0</v>
      </c>
      <c r="G106" s="235">
        <v>151.0</v>
      </c>
      <c r="H106" s="234">
        <v>48.0</v>
      </c>
      <c r="I106" s="235">
        <v>151.0</v>
      </c>
      <c r="J106" s="236">
        <v>8.3940103E7</v>
      </c>
      <c r="K106" s="11">
        <v>45.0</v>
      </c>
      <c r="L106" s="11">
        <v>5.0</v>
      </c>
      <c r="M106" s="237" t="str">
        <f t="shared" si="1"/>
        <v>0481510083940103455</v>
      </c>
      <c r="N106" s="238">
        <v>40225.58</v>
      </c>
      <c r="O106" s="110">
        <v>82923.0</v>
      </c>
      <c r="P106" s="11">
        <v>77.0</v>
      </c>
      <c r="Q106" s="239"/>
      <c r="R106" s="17">
        <v>22.0</v>
      </c>
    </row>
    <row r="107">
      <c r="A107" s="11">
        <v>16.0</v>
      </c>
      <c r="B107" s="11">
        <v>42.0</v>
      </c>
      <c r="C107" s="11">
        <v>1.0</v>
      </c>
      <c r="D107" s="11" t="s">
        <v>5272</v>
      </c>
      <c r="E107" s="234">
        <v>30.0</v>
      </c>
      <c r="F107" s="235">
        <v>17.0</v>
      </c>
      <c r="G107" s="235">
        <v>17.0</v>
      </c>
      <c r="H107" s="234">
        <v>30.0</v>
      </c>
      <c r="I107" s="235">
        <v>17.0</v>
      </c>
      <c r="J107" s="236">
        <v>1.7101509E7</v>
      </c>
      <c r="K107" s="11">
        <v>45.0</v>
      </c>
      <c r="L107" s="11">
        <v>9.0</v>
      </c>
      <c r="M107" s="237" t="str">
        <f t="shared" si="1"/>
        <v>0300170017101509459</v>
      </c>
      <c r="N107" s="238">
        <v>-75506.19</v>
      </c>
      <c r="O107" s="110">
        <v>50816.0</v>
      </c>
      <c r="P107" s="11">
        <v>74.0</v>
      </c>
      <c r="Q107" s="239"/>
      <c r="R107" s="17">
        <v>84.0</v>
      </c>
    </row>
    <row r="108">
      <c r="A108" s="11">
        <v>15.0</v>
      </c>
      <c r="B108" s="11">
        <v>22.0</v>
      </c>
      <c r="C108" s="11">
        <v>6.0</v>
      </c>
      <c r="D108" s="11" t="s">
        <v>5272</v>
      </c>
      <c r="E108" s="234">
        <v>19.0</v>
      </c>
      <c r="F108" s="235">
        <v>137.0</v>
      </c>
      <c r="G108" s="235">
        <v>137.0</v>
      </c>
      <c r="H108" s="234">
        <v>19.0</v>
      </c>
      <c r="I108" s="235">
        <v>137.0</v>
      </c>
      <c r="J108" s="236">
        <v>5.071759E7</v>
      </c>
      <c r="K108" s="11">
        <v>15.0</v>
      </c>
      <c r="L108" s="11">
        <v>6.0</v>
      </c>
      <c r="M108" s="237" t="str">
        <f t="shared" si="1"/>
        <v>0191370050717590156</v>
      </c>
      <c r="N108" s="238">
        <v>73579.15</v>
      </c>
      <c r="O108" s="110">
        <v>30915.0</v>
      </c>
      <c r="P108" s="11">
        <v>78.0</v>
      </c>
      <c r="Q108" s="239"/>
      <c r="R108" s="17">
        <v>84.0</v>
      </c>
    </row>
    <row r="109">
      <c r="A109" s="11">
        <v>18.0</v>
      </c>
      <c r="B109" s="11">
        <v>22.0</v>
      </c>
      <c r="C109" s="11">
        <v>1.0</v>
      </c>
      <c r="D109" s="11" t="s">
        <v>5271</v>
      </c>
      <c r="E109" s="234">
        <v>37.0</v>
      </c>
      <c r="F109" s="235">
        <v>191.0</v>
      </c>
      <c r="G109" s="235">
        <v>191.0</v>
      </c>
      <c r="H109" s="234">
        <v>37.0</v>
      </c>
      <c r="I109" s="235">
        <v>191.0</v>
      </c>
      <c r="J109" s="236">
        <v>2.021565E7</v>
      </c>
      <c r="K109" s="11">
        <v>28.0</v>
      </c>
      <c r="L109" s="11">
        <v>0.0</v>
      </c>
      <c r="M109" s="237" t="str">
        <f t="shared" si="1"/>
        <v>0371910020215650280</v>
      </c>
      <c r="N109" s="238">
        <v>-59997.34</v>
      </c>
      <c r="O109" s="110">
        <v>31618.0</v>
      </c>
      <c r="P109" s="11">
        <v>71.0</v>
      </c>
      <c r="Q109" s="239"/>
      <c r="R109" s="17">
        <v>22.0</v>
      </c>
    </row>
    <row r="110">
      <c r="A110" s="11">
        <v>19.0</v>
      </c>
      <c r="B110" s="11">
        <v>22.0</v>
      </c>
      <c r="C110" s="11">
        <v>3.0</v>
      </c>
      <c r="D110" s="11" t="s">
        <v>29</v>
      </c>
      <c r="E110" s="234">
        <v>47.0</v>
      </c>
      <c r="F110" s="235">
        <v>41.0</v>
      </c>
      <c r="G110" s="235">
        <v>41.0</v>
      </c>
      <c r="H110" s="234">
        <v>47.0</v>
      </c>
      <c r="I110" s="235">
        <v>41.0</v>
      </c>
      <c r="J110" s="236">
        <v>8.133882E7</v>
      </c>
      <c r="K110" s="11">
        <v>75.0</v>
      </c>
      <c r="L110" s="11">
        <v>9.0</v>
      </c>
      <c r="M110" s="237" t="str">
        <f t="shared" si="1"/>
        <v>0470410081338820759</v>
      </c>
      <c r="N110" s="238">
        <v>-36532.88</v>
      </c>
      <c r="O110" s="110">
        <v>92522.0</v>
      </c>
      <c r="P110" s="11">
        <v>80.0</v>
      </c>
      <c r="Q110" s="239"/>
      <c r="R110" s="17">
        <v>43.0</v>
      </c>
    </row>
    <row r="111">
      <c r="A111" s="11">
        <v>13.0</v>
      </c>
      <c r="B111" s="11">
        <v>63.0</v>
      </c>
      <c r="C111" s="11">
        <v>7.0</v>
      </c>
      <c r="D111" s="11" t="s">
        <v>31</v>
      </c>
      <c r="E111" s="234">
        <v>51.0</v>
      </c>
      <c r="F111" s="235">
        <v>157.0</v>
      </c>
      <c r="G111" s="235">
        <v>157.0</v>
      </c>
      <c r="H111" s="234">
        <v>51.0</v>
      </c>
      <c r="I111" s="235">
        <v>157.0</v>
      </c>
      <c r="J111" s="236">
        <v>9.9402618E7</v>
      </c>
      <c r="K111" s="11">
        <v>91.0</v>
      </c>
      <c r="L111" s="11">
        <v>9.0</v>
      </c>
      <c r="M111" s="237" t="str">
        <f t="shared" si="1"/>
        <v>0511570099402618919</v>
      </c>
      <c r="N111" s="238">
        <v>-45778.77</v>
      </c>
      <c r="O111" s="110">
        <v>62614.0</v>
      </c>
      <c r="P111" s="11">
        <v>70.0</v>
      </c>
      <c r="Q111" s="239"/>
      <c r="R111" s="17">
        <v>84.0</v>
      </c>
    </row>
    <row r="112">
      <c r="A112" s="11">
        <v>11.0</v>
      </c>
      <c r="B112" s="11">
        <v>22.0</v>
      </c>
      <c r="C112" s="11">
        <v>4.0</v>
      </c>
      <c r="D112" s="11" t="s">
        <v>39</v>
      </c>
      <c r="E112" s="234">
        <v>13.0</v>
      </c>
      <c r="F112" s="235">
        <v>83.0</v>
      </c>
      <c r="G112" s="235">
        <v>83.0</v>
      </c>
      <c r="H112" s="234">
        <v>13.0</v>
      </c>
      <c r="I112" s="235">
        <v>83.0</v>
      </c>
      <c r="J112" s="236">
        <v>1.6288707E7</v>
      </c>
      <c r="K112" s="11">
        <v>48.0</v>
      </c>
      <c r="L112" s="11">
        <v>1.0</v>
      </c>
      <c r="M112" s="237" t="str">
        <f t="shared" si="1"/>
        <v>0130830016288707481</v>
      </c>
      <c r="N112" s="238">
        <v>-79010.03</v>
      </c>
      <c r="O112" s="110">
        <v>20315.0</v>
      </c>
      <c r="P112" s="11">
        <v>79.0</v>
      </c>
      <c r="Q112" s="239"/>
      <c r="R112" s="17">
        <v>43.0</v>
      </c>
    </row>
    <row r="113">
      <c r="A113" s="11">
        <v>11.0</v>
      </c>
      <c r="B113" s="11">
        <v>63.0</v>
      </c>
      <c r="C113" s="11">
        <v>4.0</v>
      </c>
      <c r="D113" s="11" t="s">
        <v>29</v>
      </c>
      <c r="E113" s="234">
        <v>37.0</v>
      </c>
      <c r="F113" s="235">
        <v>11.0</v>
      </c>
      <c r="G113" s="235">
        <v>11.0</v>
      </c>
      <c r="H113" s="234">
        <v>37.0</v>
      </c>
      <c r="I113" s="235">
        <v>11.0</v>
      </c>
      <c r="J113" s="236">
        <v>5.6173135E7</v>
      </c>
      <c r="K113" s="11">
        <v>78.0</v>
      </c>
      <c r="L113" s="11">
        <v>8.0</v>
      </c>
      <c r="M113" s="237" t="str">
        <f t="shared" si="1"/>
        <v>0370110056173135788</v>
      </c>
      <c r="N113" s="238">
        <v>27142.86</v>
      </c>
      <c r="O113" s="110">
        <v>31019.0</v>
      </c>
      <c r="P113" s="11">
        <v>71.0</v>
      </c>
      <c r="Q113" s="239"/>
      <c r="R113" s="17">
        <v>23.0</v>
      </c>
    </row>
    <row r="114">
      <c r="A114" s="11">
        <v>15.0</v>
      </c>
      <c r="B114" s="11">
        <v>63.0</v>
      </c>
      <c r="C114" s="11">
        <v>9.0</v>
      </c>
      <c r="D114" s="11" t="s">
        <v>39</v>
      </c>
      <c r="E114" s="234">
        <v>51.0</v>
      </c>
      <c r="F114" s="235">
        <v>173.0</v>
      </c>
      <c r="G114" s="235">
        <v>173.0</v>
      </c>
      <c r="H114" s="234">
        <v>51.0</v>
      </c>
      <c r="I114" s="235">
        <v>173.0</v>
      </c>
      <c r="J114" s="236">
        <v>8.2066599E7</v>
      </c>
      <c r="K114" s="11">
        <v>67.0</v>
      </c>
      <c r="L114" s="11">
        <v>2.0</v>
      </c>
      <c r="M114" s="237" t="str">
        <f t="shared" si="1"/>
        <v>0511730082066599672</v>
      </c>
      <c r="N114" s="238">
        <v>-67969.5</v>
      </c>
      <c r="O114" s="110">
        <v>72415.0</v>
      </c>
      <c r="P114" s="11">
        <v>75.0</v>
      </c>
      <c r="Q114" s="239"/>
      <c r="R114" s="17">
        <v>84.0</v>
      </c>
    </row>
    <row r="115">
      <c r="A115" s="11">
        <v>12.0</v>
      </c>
      <c r="B115" s="11">
        <v>43.0</v>
      </c>
      <c r="C115" s="11">
        <v>4.0</v>
      </c>
      <c r="D115" s="11" t="s">
        <v>5273</v>
      </c>
      <c r="E115" s="234">
        <v>40.0</v>
      </c>
      <c r="F115" s="235">
        <v>137.0</v>
      </c>
      <c r="G115" s="235">
        <v>137.0</v>
      </c>
      <c r="H115" s="234">
        <v>40.0</v>
      </c>
      <c r="I115" s="235">
        <v>137.0</v>
      </c>
      <c r="J115" s="236">
        <v>5.244276E7</v>
      </c>
      <c r="K115" s="11">
        <v>42.0</v>
      </c>
      <c r="L115" s="11">
        <v>7.0</v>
      </c>
      <c r="M115" s="237" t="str">
        <f t="shared" si="1"/>
        <v>0401370052442760427</v>
      </c>
      <c r="N115" s="238">
        <v>69244.61</v>
      </c>
      <c r="O115" s="110">
        <v>122618.0</v>
      </c>
      <c r="P115" s="11">
        <v>79.0</v>
      </c>
      <c r="Q115" s="239"/>
      <c r="R115" s="17">
        <v>43.0</v>
      </c>
    </row>
    <row r="116">
      <c r="A116" s="11">
        <v>19.0</v>
      </c>
      <c r="B116" s="11">
        <v>84.0</v>
      </c>
      <c r="C116" s="11">
        <v>7.0</v>
      </c>
      <c r="D116" s="11" t="s">
        <v>5271</v>
      </c>
      <c r="E116" s="234">
        <v>1.0</v>
      </c>
      <c r="F116" s="235">
        <v>71.0</v>
      </c>
      <c r="G116" s="235">
        <v>71.0</v>
      </c>
      <c r="H116" s="234">
        <v>1.0</v>
      </c>
      <c r="I116" s="235">
        <v>71.0</v>
      </c>
      <c r="J116" s="236">
        <v>3.4661551E7</v>
      </c>
      <c r="K116" s="11">
        <v>87.0</v>
      </c>
      <c r="L116" s="11">
        <v>2.0</v>
      </c>
      <c r="M116" s="237" t="str">
        <f t="shared" si="1"/>
        <v>010710034661551872</v>
      </c>
      <c r="N116" s="238">
        <v>-56710.04</v>
      </c>
      <c r="O116" s="110">
        <v>32023.0</v>
      </c>
      <c r="P116" s="11">
        <v>70.0</v>
      </c>
      <c r="Q116" s="239"/>
      <c r="R116" s="17">
        <v>84.0</v>
      </c>
    </row>
    <row r="117">
      <c r="A117" s="11">
        <v>11.0</v>
      </c>
      <c r="B117" s="11">
        <v>84.0</v>
      </c>
      <c r="C117" s="11">
        <v>2.0</v>
      </c>
      <c r="D117" s="11" t="s">
        <v>29</v>
      </c>
      <c r="E117" s="234">
        <v>48.0</v>
      </c>
      <c r="F117" s="235">
        <v>41.0</v>
      </c>
      <c r="G117" s="235">
        <v>41.0</v>
      </c>
      <c r="H117" s="234">
        <v>48.0</v>
      </c>
      <c r="I117" s="235">
        <v>41.0</v>
      </c>
      <c r="J117" s="236">
        <v>4.522389E7</v>
      </c>
      <c r="K117" s="11">
        <v>47.0</v>
      </c>
      <c r="L117" s="11">
        <v>2.0</v>
      </c>
      <c r="M117" s="237" t="str">
        <f t="shared" si="1"/>
        <v>0480410045223890472</v>
      </c>
      <c r="N117" s="238">
        <v>99807.37</v>
      </c>
      <c r="O117" s="110">
        <v>101623.0</v>
      </c>
      <c r="P117" s="11">
        <v>76.0</v>
      </c>
      <c r="Q117" s="239"/>
      <c r="R117" s="17">
        <v>64.0</v>
      </c>
    </row>
    <row r="118">
      <c r="A118" s="11">
        <v>14.0</v>
      </c>
      <c r="B118" s="11">
        <v>84.0</v>
      </c>
      <c r="C118" s="11">
        <v>5.0</v>
      </c>
      <c r="D118" s="11" t="s">
        <v>5272</v>
      </c>
      <c r="E118" s="234">
        <v>19.0</v>
      </c>
      <c r="F118" s="235">
        <v>79.0</v>
      </c>
      <c r="G118" s="235">
        <v>79.0</v>
      </c>
      <c r="H118" s="234">
        <v>19.0</v>
      </c>
      <c r="I118" s="235">
        <v>79.0</v>
      </c>
      <c r="J118" s="236">
        <v>9.3030362E7</v>
      </c>
      <c r="K118" s="11">
        <v>8.0</v>
      </c>
      <c r="L118" s="11">
        <v>6.0</v>
      </c>
      <c r="M118" s="237" t="str">
        <f t="shared" si="1"/>
        <v>019079009303036286</v>
      </c>
      <c r="N118" s="238">
        <v>-60792.13</v>
      </c>
      <c r="O118" s="110">
        <v>91619.0</v>
      </c>
      <c r="P118" s="11">
        <v>79.0</v>
      </c>
      <c r="Q118" s="239"/>
      <c r="R118" s="17">
        <v>64.0</v>
      </c>
    </row>
    <row r="119">
      <c r="A119" s="11">
        <v>14.0</v>
      </c>
      <c r="B119" s="11">
        <v>22.0</v>
      </c>
      <c r="C119" s="11">
        <v>7.0</v>
      </c>
      <c r="D119" s="11" t="s">
        <v>39</v>
      </c>
      <c r="E119" s="234">
        <v>29.0</v>
      </c>
      <c r="F119" s="235">
        <v>137.0</v>
      </c>
      <c r="G119" s="235">
        <v>137.0</v>
      </c>
      <c r="H119" s="234">
        <v>29.0</v>
      </c>
      <c r="I119" s="235">
        <v>137.0</v>
      </c>
      <c r="J119" s="236">
        <v>7.6884079E7</v>
      </c>
      <c r="K119" s="11">
        <v>6.0</v>
      </c>
      <c r="L119" s="11">
        <v>1.0</v>
      </c>
      <c r="M119" s="237" t="str">
        <f t="shared" si="1"/>
        <v>029137007688407961</v>
      </c>
      <c r="N119" s="238">
        <v>-18818.91</v>
      </c>
      <c r="O119" s="110">
        <v>120614.0</v>
      </c>
      <c r="P119" s="11">
        <v>73.0</v>
      </c>
      <c r="Q119" s="239"/>
      <c r="R119" s="17">
        <v>23.0</v>
      </c>
    </row>
    <row r="120">
      <c r="A120" s="11">
        <v>18.0</v>
      </c>
      <c r="B120" s="11">
        <v>22.0</v>
      </c>
      <c r="C120" s="11">
        <v>2.0</v>
      </c>
      <c r="D120" s="11" t="s">
        <v>31</v>
      </c>
      <c r="E120" s="234">
        <v>17.0</v>
      </c>
      <c r="F120" s="235">
        <v>99.0</v>
      </c>
      <c r="G120" s="235">
        <v>99.0</v>
      </c>
      <c r="H120" s="234">
        <v>17.0</v>
      </c>
      <c r="I120" s="235">
        <v>99.0</v>
      </c>
      <c r="J120" s="236">
        <v>7.7118324E7</v>
      </c>
      <c r="K120" s="11">
        <v>76.0</v>
      </c>
      <c r="L120" s="11">
        <v>3.0</v>
      </c>
      <c r="M120" s="237" t="str">
        <f t="shared" si="1"/>
        <v>0170990077118324763</v>
      </c>
      <c r="N120" s="238">
        <v>38533.02</v>
      </c>
      <c r="O120" s="110">
        <v>22821.0</v>
      </c>
      <c r="P120" s="11">
        <v>70.0</v>
      </c>
      <c r="Q120" s="239"/>
      <c r="R120" s="17">
        <v>64.0</v>
      </c>
    </row>
    <row r="121">
      <c r="A121" s="11">
        <v>14.0</v>
      </c>
      <c r="B121" s="11">
        <v>43.0</v>
      </c>
      <c r="C121" s="11">
        <v>7.0</v>
      </c>
      <c r="D121" s="11" t="s">
        <v>5273</v>
      </c>
      <c r="E121" s="234">
        <v>45.0</v>
      </c>
      <c r="F121" s="235">
        <v>55.0</v>
      </c>
      <c r="G121" s="235">
        <v>55.0</v>
      </c>
      <c r="H121" s="234">
        <v>45.0</v>
      </c>
      <c r="I121" s="235">
        <v>55.0</v>
      </c>
      <c r="J121" s="236">
        <v>3.5164666E7</v>
      </c>
      <c r="K121" s="11">
        <v>55.0</v>
      </c>
      <c r="L121" s="11">
        <v>8.0</v>
      </c>
      <c r="M121" s="237" t="str">
        <f t="shared" si="1"/>
        <v>0450550035164666558</v>
      </c>
      <c r="N121" s="238">
        <v>14895.43</v>
      </c>
      <c r="O121" s="110">
        <v>32218.0</v>
      </c>
      <c r="P121" s="11">
        <v>71.0</v>
      </c>
      <c r="Q121" s="239"/>
      <c r="R121" s="17">
        <v>23.0</v>
      </c>
    </row>
    <row r="122">
      <c r="A122" s="11">
        <v>20.0</v>
      </c>
      <c r="B122" s="11">
        <v>81.0</v>
      </c>
      <c r="C122" s="11">
        <v>4.0</v>
      </c>
      <c r="D122" s="11" t="s">
        <v>39</v>
      </c>
      <c r="E122" s="234">
        <v>8.0</v>
      </c>
      <c r="F122" s="235">
        <v>7.0</v>
      </c>
      <c r="G122" s="235">
        <v>7.0</v>
      </c>
      <c r="H122" s="234">
        <v>8.0</v>
      </c>
      <c r="I122" s="235">
        <v>7.0</v>
      </c>
      <c r="J122" s="236">
        <v>5.0444148E7</v>
      </c>
      <c r="K122" s="11">
        <v>68.0</v>
      </c>
      <c r="L122" s="11">
        <v>8.0</v>
      </c>
      <c r="M122" s="237" t="str">
        <f t="shared" si="1"/>
        <v>080070050444148688</v>
      </c>
      <c r="N122" s="238">
        <v>92986.9</v>
      </c>
      <c r="O122" s="110">
        <v>60715.0</v>
      </c>
      <c r="P122" s="11">
        <v>73.0</v>
      </c>
      <c r="Q122" s="239"/>
      <c r="R122" s="17">
        <v>64.0</v>
      </c>
    </row>
    <row r="123">
      <c r="A123" s="11">
        <v>12.0</v>
      </c>
      <c r="B123" s="11">
        <v>63.0</v>
      </c>
      <c r="C123" s="11">
        <v>8.0</v>
      </c>
      <c r="D123" s="11" t="s">
        <v>5273</v>
      </c>
      <c r="E123" s="234">
        <v>19.0</v>
      </c>
      <c r="F123" s="235">
        <v>169.0</v>
      </c>
      <c r="G123" s="235">
        <v>169.0</v>
      </c>
      <c r="H123" s="234">
        <v>19.0</v>
      </c>
      <c r="I123" s="235">
        <v>169.0</v>
      </c>
      <c r="J123" s="236">
        <v>4.4223839E7</v>
      </c>
      <c r="K123" s="11">
        <v>28.0</v>
      </c>
      <c r="L123" s="11">
        <v>8.0</v>
      </c>
      <c r="M123" s="237" t="str">
        <f t="shared" si="1"/>
        <v>0191690044223839288</v>
      </c>
      <c r="N123" s="238">
        <v>65782.17</v>
      </c>
      <c r="O123" s="110">
        <v>71617.0</v>
      </c>
      <c r="P123" s="11">
        <v>71.0</v>
      </c>
      <c r="Q123" s="239"/>
      <c r="R123" s="17">
        <v>84.0</v>
      </c>
    </row>
    <row r="124">
      <c r="A124" s="11">
        <v>14.0</v>
      </c>
      <c r="B124" s="11">
        <v>43.0</v>
      </c>
      <c r="C124" s="11">
        <v>3.0</v>
      </c>
      <c r="D124" s="11" t="s">
        <v>5272</v>
      </c>
      <c r="E124" s="234">
        <v>47.0</v>
      </c>
      <c r="F124" s="235">
        <v>99.0</v>
      </c>
      <c r="G124" s="235">
        <v>99.0</v>
      </c>
      <c r="H124" s="234">
        <v>47.0</v>
      </c>
      <c r="I124" s="235">
        <v>99.0</v>
      </c>
      <c r="J124" s="236">
        <v>9.2019032E7</v>
      </c>
      <c r="K124" s="11">
        <v>12.0</v>
      </c>
      <c r="L124" s="11">
        <v>0.0</v>
      </c>
      <c r="M124" s="237" t="str">
        <f t="shared" si="1"/>
        <v>0470990092019032120</v>
      </c>
      <c r="N124" s="238">
        <v>23737.35</v>
      </c>
      <c r="O124" s="110">
        <v>52916.0</v>
      </c>
      <c r="P124" s="11">
        <v>71.0</v>
      </c>
      <c r="Q124" s="239"/>
      <c r="R124" s="17">
        <v>43.0</v>
      </c>
    </row>
    <row r="125">
      <c r="A125" s="11">
        <v>19.0</v>
      </c>
      <c r="B125" s="11">
        <v>22.0</v>
      </c>
      <c r="C125" s="11">
        <v>5.0</v>
      </c>
      <c r="D125" s="11" t="s">
        <v>5272</v>
      </c>
      <c r="E125" s="234">
        <v>12.0</v>
      </c>
      <c r="F125" s="235">
        <v>113.0</v>
      </c>
      <c r="G125" s="235">
        <v>113.0</v>
      </c>
      <c r="H125" s="234">
        <v>12.0</v>
      </c>
      <c r="I125" s="235">
        <v>113.0</v>
      </c>
      <c r="J125" s="236">
        <v>2.3971117E7</v>
      </c>
      <c r="K125" s="11">
        <v>63.0</v>
      </c>
      <c r="L125" s="11">
        <v>1.0</v>
      </c>
      <c r="M125" s="237" t="str">
        <f t="shared" si="1"/>
        <v>0121130023971117631</v>
      </c>
      <c r="N125" s="238">
        <v>81624.15</v>
      </c>
      <c r="O125" s="110">
        <v>92521.0</v>
      </c>
      <c r="P125" s="11">
        <v>76.0</v>
      </c>
      <c r="Q125" s="239"/>
      <c r="R125" s="17">
        <v>64.0</v>
      </c>
    </row>
    <row r="126">
      <c r="A126" s="11">
        <v>14.0</v>
      </c>
      <c r="B126" s="11">
        <v>43.0</v>
      </c>
      <c r="C126" s="11">
        <v>1.0</v>
      </c>
      <c r="D126" s="11" t="s">
        <v>5271</v>
      </c>
      <c r="E126" s="234">
        <v>49.0</v>
      </c>
      <c r="F126" s="235">
        <v>55.0</v>
      </c>
      <c r="G126" s="235">
        <v>55.0</v>
      </c>
      <c r="H126" s="234">
        <v>49.0</v>
      </c>
      <c r="I126" s="235">
        <v>55.0</v>
      </c>
      <c r="J126" s="236">
        <v>7.7726066E7</v>
      </c>
      <c r="K126" s="11">
        <v>80.0</v>
      </c>
      <c r="L126" s="11">
        <v>3.0</v>
      </c>
      <c r="M126" s="237" t="str">
        <f t="shared" si="1"/>
        <v>0490550077726066803</v>
      </c>
      <c r="N126" s="238">
        <v>4958.97</v>
      </c>
      <c r="O126" s="110">
        <v>101415.0</v>
      </c>
      <c r="P126" s="11">
        <v>78.0</v>
      </c>
      <c r="Q126" s="239"/>
      <c r="R126" s="17">
        <v>64.0</v>
      </c>
    </row>
    <row r="127">
      <c r="A127" s="11">
        <v>16.0</v>
      </c>
      <c r="B127" s="11">
        <v>84.0</v>
      </c>
      <c r="C127" s="11">
        <v>6.0</v>
      </c>
      <c r="D127" s="11" t="s">
        <v>31</v>
      </c>
      <c r="E127" s="234">
        <v>35.0</v>
      </c>
      <c r="F127" s="235">
        <v>15.0</v>
      </c>
      <c r="G127" s="235">
        <v>15.0</v>
      </c>
      <c r="H127" s="234">
        <v>35.0</v>
      </c>
      <c r="I127" s="235">
        <v>15.0</v>
      </c>
      <c r="J127" s="236">
        <v>4.1461726E7</v>
      </c>
      <c r="K127" s="11">
        <v>84.0</v>
      </c>
      <c r="L127" s="11">
        <v>6.0</v>
      </c>
      <c r="M127" s="237" t="str">
        <f t="shared" si="1"/>
        <v>0350150041461726846</v>
      </c>
      <c r="N127" s="238">
        <v>-88289.74</v>
      </c>
      <c r="O127" s="110">
        <v>31317.0</v>
      </c>
      <c r="P127" s="11">
        <v>78.0</v>
      </c>
      <c r="Q127" s="239"/>
      <c r="R127" s="17">
        <v>23.0</v>
      </c>
    </row>
    <row r="128">
      <c r="A128" s="11">
        <v>10.0</v>
      </c>
      <c r="B128" s="11">
        <v>63.0</v>
      </c>
      <c r="C128" s="11">
        <v>3.0</v>
      </c>
      <c r="D128" s="11" t="s">
        <v>39</v>
      </c>
      <c r="E128" s="234">
        <v>6.0</v>
      </c>
      <c r="F128" s="235">
        <v>19.0</v>
      </c>
      <c r="G128" s="235">
        <v>19.0</v>
      </c>
      <c r="H128" s="234">
        <v>6.0</v>
      </c>
      <c r="I128" s="235">
        <v>19.0</v>
      </c>
      <c r="J128" s="236">
        <v>1.9393454E7</v>
      </c>
      <c r="K128" s="11">
        <v>27.0</v>
      </c>
      <c r="L128" s="11">
        <v>9.0</v>
      </c>
      <c r="M128" s="237" t="str">
        <f t="shared" si="1"/>
        <v>060190019393454279</v>
      </c>
      <c r="N128" s="238">
        <v>-50289.63</v>
      </c>
      <c r="O128" s="110">
        <v>60420.0</v>
      </c>
      <c r="P128" s="11">
        <v>73.0</v>
      </c>
      <c r="Q128" s="239"/>
      <c r="R128" s="17">
        <v>43.0</v>
      </c>
    </row>
    <row r="129">
      <c r="A129" s="11">
        <v>14.0</v>
      </c>
      <c r="B129" s="11">
        <v>43.0</v>
      </c>
      <c r="C129" s="11">
        <v>8.0</v>
      </c>
      <c r="D129" s="11" t="s">
        <v>31</v>
      </c>
      <c r="E129" s="234">
        <v>28.0</v>
      </c>
      <c r="F129" s="235">
        <v>111.0</v>
      </c>
      <c r="G129" s="235">
        <v>111.0</v>
      </c>
      <c r="H129" s="234">
        <v>28.0</v>
      </c>
      <c r="I129" s="235">
        <v>111.0</v>
      </c>
      <c r="J129" s="236">
        <v>4.4806265E7</v>
      </c>
      <c r="K129" s="11">
        <v>94.0</v>
      </c>
      <c r="L129" s="11">
        <v>7.0</v>
      </c>
      <c r="M129" s="237" t="str">
        <f t="shared" si="1"/>
        <v>0281110044806265947</v>
      </c>
      <c r="N129" s="238">
        <v>9362.49</v>
      </c>
      <c r="O129" s="110">
        <v>21421.0</v>
      </c>
      <c r="P129" s="11">
        <v>73.0</v>
      </c>
      <c r="Q129" s="239"/>
      <c r="R129" s="17">
        <v>23.0</v>
      </c>
    </row>
    <row r="130">
      <c r="A130" s="11">
        <v>11.0</v>
      </c>
      <c r="B130" s="11">
        <v>43.0</v>
      </c>
      <c r="C130" s="11">
        <v>5.0</v>
      </c>
      <c r="D130" s="11" t="s">
        <v>31</v>
      </c>
      <c r="E130" s="234">
        <v>17.0</v>
      </c>
      <c r="F130" s="235">
        <v>95.0</v>
      </c>
      <c r="G130" s="235">
        <v>95.0</v>
      </c>
      <c r="H130" s="234">
        <v>17.0</v>
      </c>
      <c r="I130" s="235">
        <v>95.0</v>
      </c>
      <c r="J130" s="236">
        <v>5.9591296E7</v>
      </c>
      <c r="K130" s="11">
        <v>20.0</v>
      </c>
      <c r="L130" s="11">
        <v>6.0</v>
      </c>
      <c r="M130" s="237" t="str">
        <f t="shared" si="1"/>
        <v>0170950059591296206</v>
      </c>
      <c r="N130" s="238">
        <v>42366.45</v>
      </c>
      <c r="O130" s="110">
        <v>22213.0</v>
      </c>
      <c r="P130" s="11">
        <v>73.0</v>
      </c>
      <c r="Q130" s="239"/>
      <c r="R130" s="17">
        <v>23.0</v>
      </c>
    </row>
    <row r="131">
      <c r="A131" s="11">
        <v>15.0</v>
      </c>
      <c r="B131" s="11">
        <v>84.0</v>
      </c>
      <c r="C131" s="11">
        <v>6.0</v>
      </c>
      <c r="D131" s="11" t="s">
        <v>5272</v>
      </c>
      <c r="E131" s="234">
        <v>6.0</v>
      </c>
      <c r="F131" s="235">
        <v>1.0</v>
      </c>
      <c r="G131" s="235">
        <v>1.0</v>
      </c>
      <c r="H131" s="234">
        <v>6.0</v>
      </c>
      <c r="I131" s="235">
        <v>1.0</v>
      </c>
      <c r="J131" s="236">
        <v>4.1258536E7</v>
      </c>
      <c r="K131" s="11">
        <v>50.0</v>
      </c>
      <c r="L131" s="11">
        <v>2.0</v>
      </c>
      <c r="M131" s="237" t="str">
        <f t="shared" si="1"/>
        <v>060010041258536502</v>
      </c>
      <c r="N131" s="238">
        <v>-20695.07</v>
      </c>
      <c r="O131" s="110">
        <v>41315.0</v>
      </c>
      <c r="P131" s="11">
        <v>76.0</v>
      </c>
      <c r="Q131" s="239"/>
      <c r="R131" s="17">
        <v>84.0</v>
      </c>
    </row>
    <row r="132">
      <c r="A132" s="11">
        <v>14.0</v>
      </c>
      <c r="B132" s="11">
        <v>63.0</v>
      </c>
      <c r="C132" s="11">
        <v>6.0</v>
      </c>
      <c r="D132" s="11" t="s">
        <v>5273</v>
      </c>
      <c r="E132" s="234">
        <v>19.0</v>
      </c>
      <c r="F132" s="235">
        <v>87.0</v>
      </c>
      <c r="G132" s="235">
        <v>87.0</v>
      </c>
      <c r="H132" s="234">
        <v>19.0</v>
      </c>
      <c r="I132" s="235">
        <v>87.0</v>
      </c>
      <c r="J132" s="236">
        <v>7.0874007E7</v>
      </c>
      <c r="K132" s="11">
        <v>91.0</v>
      </c>
      <c r="L132" s="11">
        <v>5.0</v>
      </c>
      <c r="M132" s="237" t="str">
        <f t="shared" si="1"/>
        <v>0190870070874007915</v>
      </c>
      <c r="N132" s="238">
        <v>34937.68</v>
      </c>
      <c r="O132" s="110">
        <v>53023.0</v>
      </c>
      <c r="P132" s="11">
        <v>76.0</v>
      </c>
      <c r="Q132" s="239"/>
      <c r="R132" s="17">
        <v>84.0</v>
      </c>
    </row>
    <row r="133">
      <c r="A133" s="11">
        <v>14.0</v>
      </c>
      <c r="B133" s="11">
        <v>43.0</v>
      </c>
      <c r="C133" s="11">
        <v>3.0</v>
      </c>
      <c r="D133" s="11" t="s">
        <v>5273</v>
      </c>
      <c r="E133" s="234">
        <v>12.0</v>
      </c>
      <c r="F133" s="235">
        <v>17.0</v>
      </c>
      <c r="G133" s="235">
        <v>17.0</v>
      </c>
      <c r="H133" s="234">
        <v>12.0</v>
      </c>
      <c r="I133" s="235">
        <v>17.0</v>
      </c>
      <c r="J133" s="236">
        <v>9.0051617E7</v>
      </c>
      <c r="K133" s="11">
        <v>26.0</v>
      </c>
      <c r="L133" s="11">
        <v>2.0</v>
      </c>
      <c r="M133" s="237" t="str">
        <f t="shared" si="1"/>
        <v>0120170090051617262</v>
      </c>
      <c r="N133" s="238">
        <v>-54653.11</v>
      </c>
      <c r="O133" s="110">
        <v>11020.0</v>
      </c>
      <c r="P133" s="11">
        <v>73.0</v>
      </c>
      <c r="Q133" s="239"/>
      <c r="R133" s="17">
        <v>23.0</v>
      </c>
    </row>
    <row r="134">
      <c r="A134" s="11">
        <v>15.0</v>
      </c>
      <c r="B134" s="11">
        <v>63.0</v>
      </c>
      <c r="C134" s="11">
        <v>1.0</v>
      </c>
      <c r="D134" s="11" t="s">
        <v>31</v>
      </c>
      <c r="E134" s="234">
        <v>40.0</v>
      </c>
      <c r="F134" s="235">
        <v>5.0</v>
      </c>
      <c r="G134" s="235">
        <v>5.0</v>
      </c>
      <c r="H134" s="234">
        <v>40.0</v>
      </c>
      <c r="I134" s="235">
        <v>5.0</v>
      </c>
      <c r="J134" s="236">
        <v>8.0053345E7</v>
      </c>
      <c r="K134" s="11">
        <v>27.0</v>
      </c>
      <c r="L134" s="11">
        <v>0.0</v>
      </c>
      <c r="M134" s="237" t="str">
        <f t="shared" si="1"/>
        <v>0400050080053345270</v>
      </c>
      <c r="N134" s="238">
        <v>-96664.58</v>
      </c>
      <c r="O134" s="110">
        <v>101117.0</v>
      </c>
      <c r="P134" s="11">
        <v>77.0</v>
      </c>
      <c r="Q134" s="239"/>
      <c r="R134" s="17">
        <v>64.0</v>
      </c>
    </row>
    <row r="135">
      <c r="A135" s="11">
        <v>10.0</v>
      </c>
      <c r="B135" s="11">
        <v>84.0</v>
      </c>
      <c r="C135" s="11">
        <v>3.0</v>
      </c>
      <c r="D135" s="11" t="s">
        <v>39</v>
      </c>
      <c r="E135" s="234">
        <v>19.0</v>
      </c>
      <c r="F135" s="235">
        <v>193.0</v>
      </c>
      <c r="G135" s="235">
        <v>193.0</v>
      </c>
      <c r="H135" s="234">
        <v>19.0</v>
      </c>
      <c r="I135" s="235">
        <v>193.0</v>
      </c>
      <c r="J135" s="236">
        <v>2.5070732E7</v>
      </c>
      <c r="K135" s="11">
        <v>56.0</v>
      </c>
      <c r="L135" s="11">
        <v>5.0</v>
      </c>
      <c r="M135" s="237" t="str">
        <f t="shared" si="1"/>
        <v>0191930025070732565</v>
      </c>
      <c r="N135" s="238">
        <v>-87638.07</v>
      </c>
      <c r="O135" s="110">
        <v>101321.0</v>
      </c>
      <c r="P135" s="11">
        <v>75.0</v>
      </c>
      <c r="Q135" s="239"/>
      <c r="R135" s="17">
        <v>85.0</v>
      </c>
    </row>
    <row r="136">
      <c r="A136" s="11">
        <v>14.0</v>
      </c>
      <c r="B136" s="11">
        <v>84.0</v>
      </c>
      <c r="C136" s="11">
        <v>5.0</v>
      </c>
      <c r="D136" s="11" t="s">
        <v>39</v>
      </c>
      <c r="E136" s="234">
        <v>48.0</v>
      </c>
      <c r="F136" s="235">
        <v>425.0</v>
      </c>
      <c r="G136" s="235">
        <v>425.0</v>
      </c>
      <c r="H136" s="234">
        <v>48.0</v>
      </c>
      <c r="I136" s="235">
        <v>425.0</v>
      </c>
      <c r="J136" s="236">
        <v>2.4052749E7</v>
      </c>
      <c r="K136" s="11">
        <v>52.0</v>
      </c>
      <c r="L136" s="11">
        <v>6.0</v>
      </c>
      <c r="M136" s="237" t="str">
        <f t="shared" si="1"/>
        <v>0484250024052749526</v>
      </c>
      <c r="N136" s="238">
        <v>-67897.67</v>
      </c>
      <c r="O136" s="110">
        <v>110119.0</v>
      </c>
      <c r="P136" s="11">
        <v>71.0</v>
      </c>
      <c r="Q136" s="239"/>
      <c r="R136" s="17">
        <v>23.0</v>
      </c>
    </row>
    <row r="137">
      <c r="A137" s="11">
        <v>17.0</v>
      </c>
      <c r="B137" s="11">
        <v>23.0</v>
      </c>
      <c r="C137" s="11">
        <v>4.0</v>
      </c>
      <c r="D137" s="11" t="s">
        <v>29</v>
      </c>
      <c r="E137" s="234">
        <v>21.0</v>
      </c>
      <c r="F137" s="235">
        <v>231.0</v>
      </c>
      <c r="G137" s="235">
        <v>231.0</v>
      </c>
      <c r="H137" s="234">
        <v>21.0</v>
      </c>
      <c r="I137" s="235">
        <v>231.0</v>
      </c>
      <c r="J137" s="236">
        <v>6.1924478E7</v>
      </c>
      <c r="K137" s="11">
        <v>8.0</v>
      </c>
      <c r="L137" s="11">
        <v>5.0</v>
      </c>
      <c r="M137" s="237" t="str">
        <f t="shared" si="1"/>
        <v>021231006192447885</v>
      </c>
      <c r="N137" s="238">
        <v>-70976.8</v>
      </c>
      <c r="O137" s="110">
        <v>60622.0</v>
      </c>
      <c r="P137" s="11">
        <v>75.0</v>
      </c>
      <c r="Q137" s="239"/>
      <c r="R137" s="17">
        <v>44.0</v>
      </c>
    </row>
    <row r="138">
      <c r="A138" s="11">
        <v>17.0</v>
      </c>
      <c r="B138" s="11">
        <v>84.0</v>
      </c>
      <c r="C138" s="11">
        <v>4.0</v>
      </c>
      <c r="D138" s="11" t="s">
        <v>31</v>
      </c>
      <c r="E138" s="234">
        <v>48.0</v>
      </c>
      <c r="F138" s="235">
        <v>455.0</v>
      </c>
      <c r="G138" s="235">
        <v>455.0</v>
      </c>
      <c r="H138" s="234">
        <v>48.0</v>
      </c>
      <c r="I138" s="235">
        <v>455.0</v>
      </c>
      <c r="J138" s="236">
        <v>8.651139E7</v>
      </c>
      <c r="K138" s="11">
        <v>16.0</v>
      </c>
      <c r="L138" s="11">
        <v>4.0</v>
      </c>
      <c r="M138" s="237" t="str">
        <f t="shared" si="1"/>
        <v>0484550086511390164</v>
      </c>
      <c r="N138" s="238">
        <v>-34605.55</v>
      </c>
      <c r="O138" s="110">
        <v>112415.0</v>
      </c>
      <c r="P138" s="11">
        <v>78.0</v>
      </c>
      <c r="Q138" s="239"/>
      <c r="R138" s="17">
        <v>64.0</v>
      </c>
    </row>
    <row r="139">
      <c r="A139" s="11">
        <v>15.0</v>
      </c>
      <c r="B139" s="11">
        <v>23.0</v>
      </c>
      <c r="C139" s="11">
        <v>2.0</v>
      </c>
      <c r="D139" s="11" t="s">
        <v>5271</v>
      </c>
      <c r="E139" s="234">
        <v>17.0</v>
      </c>
      <c r="F139" s="235">
        <v>97.0</v>
      </c>
      <c r="G139" s="235">
        <v>97.0</v>
      </c>
      <c r="H139" s="234">
        <v>17.0</v>
      </c>
      <c r="I139" s="235">
        <v>97.0</v>
      </c>
      <c r="J139" s="236">
        <v>4.9976787E7</v>
      </c>
      <c r="K139" s="11">
        <v>49.0</v>
      </c>
      <c r="L139" s="11">
        <v>9.0</v>
      </c>
      <c r="M139" s="237" t="str">
        <f t="shared" si="1"/>
        <v>0170970049976787499</v>
      </c>
      <c r="N139" s="238">
        <v>-33666.6</v>
      </c>
      <c r="O139" s="110">
        <v>91217.0</v>
      </c>
      <c r="P139" s="11">
        <v>76.0</v>
      </c>
      <c r="Q139" s="239"/>
      <c r="R139" s="17">
        <v>64.0</v>
      </c>
    </row>
    <row r="140">
      <c r="A140" s="11">
        <v>11.0</v>
      </c>
      <c r="B140" s="11">
        <v>43.0</v>
      </c>
      <c r="C140" s="11">
        <v>6.0</v>
      </c>
      <c r="D140" s="11" t="s">
        <v>39</v>
      </c>
      <c r="E140" s="234">
        <v>29.0</v>
      </c>
      <c r="F140" s="235">
        <v>77.0</v>
      </c>
      <c r="G140" s="235">
        <v>77.0</v>
      </c>
      <c r="H140" s="234">
        <v>29.0</v>
      </c>
      <c r="I140" s="235">
        <v>77.0</v>
      </c>
      <c r="J140" s="236">
        <v>3.2971184E7</v>
      </c>
      <c r="K140" s="11">
        <v>78.0</v>
      </c>
      <c r="L140" s="11">
        <v>2.0</v>
      </c>
      <c r="M140" s="237" t="str">
        <f t="shared" si="1"/>
        <v>0290770032971184782</v>
      </c>
      <c r="N140" s="238">
        <v>-66742.6</v>
      </c>
      <c r="O140" s="110">
        <v>121518.0</v>
      </c>
      <c r="P140" s="11">
        <v>80.0</v>
      </c>
      <c r="Q140" s="239"/>
      <c r="R140" s="17">
        <v>85.0</v>
      </c>
    </row>
    <row r="141">
      <c r="A141" s="11">
        <v>20.0</v>
      </c>
      <c r="B141" s="11">
        <v>64.0</v>
      </c>
      <c r="C141" s="11">
        <v>1.0</v>
      </c>
      <c r="D141" s="11" t="s">
        <v>31</v>
      </c>
      <c r="E141" s="234">
        <v>29.0</v>
      </c>
      <c r="F141" s="235">
        <v>89.0</v>
      </c>
      <c r="G141" s="235">
        <v>89.0</v>
      </c>
      <c r="H141" s="234">
        <v>29.0</v>
      </c>
      <c r="I141" s="235">
        <v>89.0</v>
      </c>
      <c r="J141" s="236">
        <v>1.8551565E7</v>
      </c>
      <c r="K141" s="11">
        <v>83.0</v>
      </c>
      <c r="L141" s="11">
        <v>4.0</v>
      </c>
      <c r="M141" s="237" t="str">
        <f t="shared" si="1"/>
        <v>0290890018551565834</v>
      </c>
      <c r="N141" s="238">
        <v>-80262.2</v>
      </c>
      <c r="O141" s="110">
        <v>112613.0</v>
      </c>
      <c r="P141" s="11">
        <v>70.0</v>
      </c>
      <c r="Q141" s="239"/>
      <c r="R141" s="17">
        <v>85.0</v>
      </c>
    </row>
    <row r="142">
      <c r="A142" s="11">
        <v>18.0</v>
      </c>
      <c r="B142" s="11">
        <v>64.0</v>
      </c>
      <c r="C142" s="11">
        <v>9.0</v>
      </c>
      <c r="D142" s="11" t="s">
        <v>31</v>
      </c>
      <c r="E142" s="234">
        <v>55.0</v>
      </c>
      <c r="F142" s="235">
        <v>119.0</v>
      </c>
      <c r="G142" s="235">
        <v>119.0</v>
      </c>
      <c r="H142" s="234">
        <v>55.0</v>
      </c>
      <c r="I142" s="235">
        <v>119.0</v>
      </c>
      <c r="J142" s="236">
        <v>4.3165906E7</v>
      </c>
      <c r="K142" s="11">
        <v>98.0</v>
      </c>
      <c r="L142" s="11">
        <v>1.0</v>
      </c>
      <c r="M142" s="237" t="str">
        <f t="shared" si="1"/>
        <v>0551190043165906981</v>
      </c>
      <c r="N142" s="238">
        <v>-57489.26</v>
      </c>
      <c r="O142" s="110">
        <v>63021.0</v>
      </c>
      <c r="P142" s="11">
        <v>70.0</v>
      </c>
      <c r="Q142" s="239"/>
      <c r="R142" s="17">
        <v>44.0</v>
      </c>
    </row>
    <row r="143">
      <c r="A143" s="11">
        <v>12.0</v>
      </c>
      <c r="B143" s="11">
        <v>64.0</v>
      </c>
      <c r="C143" s="11">
        <v>3.0</v>
      </c>
      <c r="D143" s="11" t="s">
        <v>29</v>
      </c>
      <c r="E143" s="234">
        <v>45.0</v>
      </c>
      <c r="F143" s="235">
        <v>27.0</v>
      </c>
      <c r="G143" s="235">
        <v>27.0</v>
      </c>
      <c r="H143" s="234">
        <v>45.0</v>
      </c>
      <c r="I143" s="235">
        <v>27.0</v>
      </c>
      <c r="J143" s="236">
        <v>8.5206555E7</v>
      </c>
      <c r="K143" s="11">
        <v>34.0</v>
      </c>
      <c r="L143" s="11">
        <v>4.0</v>
      </c>
      <c r="M143" s="237" t="str">
        <f t="shared" si="1"/>
        <v>0450270085206555344</v>
      </c>
      <c r="N143" s="238">
        <v>-91018.11</v>
      </c>
      <c r="O143" s="110">
        <v>40322.0</v>
      </c>
      <c r="P143" s="11">
        <v>76.0</v>
      </c>
      <c r="Q143" s="239"/>
      <c r="R143" s="17">
        <v>85.0</v>
      </c>
    </row>
    <row r="144">
      <c r="A144" s="11">
        <v>13.0</v>
      </c>
      <c r="B144" s="11">
        <v>43.0</v>
      </c>
      <c r="C144" s="11">
        <v>1.0</v>
      </c>
      <c r="D144" s="11" t="s">
        <v>29</v>
      </c>
      <c r="E144" s="234">
        <v>37.0</v>
      </c>
      <c r="F144" s="235">
        <v>107.0</v>
      </c>
      <c r="G144" s="235">
        <v>107.0</v>
      </c>
      <c r="H144" s="234">
        <v>37.0</v>
      </c>
      <c r="I144" s="235">
        <v>107.0</v>
      </c>
      <c r="J144" s="236">
        <v>2.5948614E7</v>
      </c>
      <c r="K144" s="11">
        <v>28.0</v>
      </c>
      <c r="L144" s="11">
        <v>3.0</v>
      </c>
      <c r="M144" s="237" t="str">
        <f t="shared" si="1"/>
        <v>0371070025948614283</v>
      </c>
      <c r="N144" s="238">
        <v>58341.87</v>
      </c>
      <c r="O144" s="110">
        <v>90619.0</v>
      </c>
      <c r="P144" s="11">
        <v>75.0</v>
      </c>
      <c r="Q144" s="239"/>
      <c r="R144" s="17">
        <v>85.0</v>
      </c>
    </row>
    <row r="145">
      <c r="A145" s="11">
        <v>20.0</v>
      </c>
      <c r="B145" s="11">
        <v>64.0</v>
      </c>
      <c r="C145" s="11">
        <v>5.0</v>
      </c>
      <c r="D145" s="11" t="s">
        <v>29</v>
      </c>
      <c r="E145" s="234">
        <v>21.0</v>
      </c>
      <c r="F145" s="235">
        <v>107.0</v>
      </c>
      <c r="G145" s="235">
        <v>107.0</v>
      </c>
      <c r="H145" s="234">
        <v>21.0</v>
      </c>
      <c r="I145" s="235">
        <v>107.0</v>
      </c>
      <c r="J145" s="236">
        <v>7.7946733E7</v>
      </c>
      <c r="K145" s="11">
        <v>36.0</v>
      </c>
      <c r="L145" s="11">
        <v>3.0</v>
      </c>
      <c r="M145" s="237" t="str">
        <f t="shared" si="1"/>
        <v>0211070077946733363</v>
      </c>
      <c r="N145" s="238">
        <v>57551.46</v>
      </c>
      <c r="O145" s="110">
        <v>120613.0</v>
      </c>
      <c r="P145" s="11">
        <v>78.0</v>
      </c>
      <c r="Q145" s="239"/>
      <c r="R145" s="17">
        <v>23.0</v>
      </c>
    </row>
    <row r="146">
      <c r="A146" s="11">
        <v>12.0</v>
      </c>
      <c r="B146" s="11">
        <v>64.0</v>
      </c>
      <c r="C146" s="11">
        <v>2.0</v>
      </c>
      <c r="D146" s="11" t="s">
        <v>5271</v>
      </c>
      <c r="E146" s="234">
        <v>30.0</v>
      </c>
      <c r="F146" s="235">
        <v>23.0</v>
      </c>
      <c r="G146" s="235">
        <v>23.0</v>
      </c>
      <c r="H146" s="234">
        <v>30.0</v>
      </c>
      <c r="I146" s="235">
        <v>23.0</v>
      </c>
      <c r="J146" s="236">
        <v>5.1805135E7</v>
      </c>
      <c r="K146" s="11">
        <v>83.0</v>
      </c>
      <c r="L146" s="11">
        <v>2.0</v>
      </c>
      <c r="M146" s="237" t="str">
        <f t="shared" si="1"/>
        <v>0300230051805135832</v>
      </c>
      <c r="N146" s="238">
        <v>72708.4</v>
      </c>
      <c r="O146" s="110">
        <v>122622.0</v>
      </c>
      <c r="P146" s="11">
        <v>78.0</v>
      </c>
      <c r="Q146" s="239"/>
      <c r="R146" s="17">
        <v>85.0</v>
      </c>
    </row>
    <row r="147">
      <c r="A147" s="11">
        <v>18.0</v>
      </c>
      <c r="B147" s="11">
        <v>43.0</v>
      </c>
      <c r="C147" s="11">
        <v>3.0</v>
      </c>
      <c r="D147" s="11" t="s">
        <v>5272</v>
      </c>
      <c r="E147" s="234">
        <v>6.0</v>
      </c>
      <c r="F147" s="235">
        <v>3.0</v>
      </c>
      <c r="G147" s="235">
        <v>3.0</v>
      </c>
      <c r="H147" s="234">
        <v>6.0</v>
      </c>
      <c r="I147" s="235">
        <v>3.0</v>
      </c>
      <c r="J147" s="236">
        <v>6.6095539E7</v>
      </c>
      <c r="K147" s="11">
        <v>83.0</v>
      </c>
      <c r="L147" s="11">
        <v>8.0</v>
      </c>
      <c r="M147" s="237" t="str">
        <f t="shared" si="1"/>
        <v>060030066095539838</v>
      </c>
      <c r="N147" s="238">
        <v>-39778.71</v>
      </c>
      <c r="O147" s="110">
        <v>11521.0</v>
      </c>
      <c r="P147" s="11">
        <v>78.0</v>
      </c>
      <c r="Q147" s="239"/>
      <c r="R147" s="17">
        <v>23.0</v>
      </c>
    </row>
    <row r="148">
      <c r="A148" s="11">
        <v>16.0</v>
      </c>
      <c r="B148" s="11">
        <v>64.0</v>
      </c>
      <c r="C148" s="11">
        <v>2.0</v>
      </c>
      <c r="D148" s="11" t="s">
        <v>29</v>
      </c>
      <c r="E148" s="234">
        <v>18.0</v>
      </c>
      <c r="F148" s="235">
        <v>143.0</v>
      </c>
      <c r="G148" s="235">
        <v>143.0</v>
      </c>
      <c r="H148" s="234">
        <v>18.0</v>
      </c>
      <c r="I148" s="235">
        <v>143.0</v>
      </c>
      <c r="J148" s="236">
        <v>7.4626661E7</v>
      </c>
      <c r="K148" s="11">
        <v>57.0</v>
      </c>
      <c r="L148" s="11">
        <v>6.0</v>
      </c>
      <c r="M148" s="237" t="str">
        <f t="shared" si="1"/>
        <v>0181430074626661576</v>
      </c>
      <c r="N148" s="238">
        <v>41121.19</v>
      </c>
      <c r="O148" s="110">
        <v>11220.0</v>
      </c>
      <c r="P148" s="11">
        <v>71.0</v>
      </c>
      <c r="Q148" s="239"/>
      <c r="R148" s="17">
        <v>44.0</v>
      </c>
    </row>
    <row r="149">
      <c r="A149" s="11">
        <v>13.0</v>
      </c>
      <c r="B149" s="11">
        <v>23.0</v>
      </c>
      <c r="C149" s="11">
        <v>5.0</v>
      </c>
      <c r="D149" s="11" t="s">
        <v>5272</v>
      </c>
      <c r="E149" s="234">
        <v>13.0</v>
      </c>
      <c r="F149" s="235">
        <v>119.0</v>
      </c>
      <c r="G149" s="235">
        <v>119.0</v>
      </c>
      <c r="H149" s="234">
        <v>13.0</v>
      </c>
      <c r="I149" s="235">
        <v>119.0</v>
      </c>
      <c r="J149" s="236">
        <v>6.6414573E7</v>
      </c>
      <c r="K149" s="11">
        <v>60.0</v>
      </c>
      <c r="L149" s="11">
        <v>1.0</v>
      </c>
      <c r="M149" s="237" t="str">
        <f t="shared" si="1"/>
        <v>0131190066414573601</v>
      </c>
      <c r="N149" s="238">
        <v>29783.1</v>
      </c>
      <c r="O149" s="110">
        <v>120214.0</v>
      </c>
      <c r="P149" s="11">
        <v>79.0</v>
      </c>
      <c r="Q149" s="239"/>
      <c r="R149" s="17">
        <v>64.0</v>
      </c>
    </row>
    <row r="150">
      <c r="A150" s="11">
        <v>17.0</v>
      </c>
      <c r="B150" s="11">
        <v>84.0</v>
      </c>
      <c r="C150" s="11">
        <v>8.0</v>
      </c>
      <c r="D150" s="11" t="s">
        <v>31</v>
      </c>
      <c r="E150" s="234">
        <v>19.0</v>
      </c>
      <c r="F150" s="235">
        <v>101.0</v>
      </c>
      <c r="G150" s="235">
        <v>101.0</v>
      </c>
      <c r="H150" s="234">
        <v>19.0</v>
      </c>
      <c r="I150" s="235">
        <v>101.0</v>
      </c>
      <c r="J150" s="236">
        <v>3.9755731E7</v>
      </c>
      <c r="K150" s="11">
        <v>19.0</v>
      </c>
      <c r="L150" s="11">
        <v>4.0</v>
      </c>
      <c r="M150" s="237" t="str">
        <f t="shared" si="1"/>
        <v>0191010039755731194</v>
      </c>
      <c r="N150" s="238">
        <v>60274.64</v>
      </c>
      <c r="O150" s="110">
        <v>100816.0</v>
      </c>
      <c r="P150" s="11">
        <v>70.0</v>
      </c>
      <c r="Q150" s="239"/>
      <c r="R150" s="17">
        <v>23.0</v>
      </c>
    </row>
    <row r="151">
      <c r="A151" s="11">
        <v>15.0</v>
      </c>
      <c r="B151" s="11">
        <v>23.0</v>
      </c>
      <c r="C151" s="11">
        <v>6.0</v>
      </c>
      <c r="D151" s="11" t="s">
        <v>39</v>
      </c>
      <c r="E151" s="234">
        <v>35.0</v>
      </c>
      <c r="F151" s="235">
        <v>59.0</v>
      </c>
      <c r="G151" s="235">
        <v>59.0</v>
      </c>
      <c r="H151" s="234">
        <v>35.0</v>
      </c>
      <c r="I151" s="235">
        <v>59.0</v>
      </c>
      <c r="J151" s="236">
        <v>3.296109E7</v>
      </c>
      <c r="K151" s="11">
        <v>33.0</v>
      </c>
      <c r="L151" s="11">
        <v>7.0</v>
      </c>
      <c r="M151" s="237" t="str">
        <f t="shared" si="1"/>
        <v>0350590032961090337</v>
      </c>
      <c r="N151" s="238">
        <v>-58941.85</v>
      </c>
      <c r="O151" s="110">
        <v>72918.0</v>
      </c>
      <c r="P151" s="11">
        <v>75.0</v>
      </c>
      <c r="Q151" s="239"/>
      <c r="R151" s="17">
        <v>85.0</v>
      </c>
    </row>
    <row r="152">
      <c r="A152" s="11">
        <v>11.0</v>
      </c>
      <c r="B152" s="11">
        <v>43.0</v>
      </c>
      <c r="C152" s="11">
        <v>1.0</v>
      </c>
      <c r="D152" s="11" t="s">
        <v>5273</v>
      </c>
      <c r="E152" s="234">
        <v>48.0</v>
      </c>
      <c r="F152" s="235">
        <v>123.0</v>
      </c>
      <c r="G152" s="235">
        <v>123.0</v>
      </c>
      <c r="H152" s="234">
        <v>48.0</v>
      </c>
      <c r="I152" s="235">
        <v>123.0</v>
      </c>
      <c r="J152" s="236">
        <v>1.9077395E7</v>
      </c>
      <c r="K152" s="11">
        <v>56.0</v>
      </c>
      <c r="L152" s="11">
        <v>2.0</v>
      </c>
      <c r="M152" s="237" t="str">
        <f t="shared" si="1"/>
        <v>0481230019077395562</v>
      </c>
      <c r="N152" s="238">
        <v>67316.95</v>
      </c>
      <c r="O152" s="110">
        <v>33120.0</v>
      </c>
      <c r="P152" s="11">
        <v>71.0</v>
      </c>
      <c r="Q152" s="239"/>
      <c r="R152" s="17">
        <v>44.0</v>
      </c>
    </row>
    <row r="153">
      <c r="A153" s="11">
        <v>12.0</v>
      </c>
      <c r="B153" s="11">
        <v>23.0</v>
      </c>
      <c r="C153" s="11">
        <v>2.0</v>
      </c>
      <c r="D153" s="11" t="s">
        <v>5271</v>
      </c>
      <c r="E153" s="234">
        <v>45.0</v>
      </c>
      <c r="F153" s="235">
        <v>59.0</v>
      </c>
      <c r="G153" s="235">
        <v>59.0</v>
      </c>
      <c r="H153" s="234">
        <v>45.0</v>
      </c>
      <c r="I153" s="235">
        <v>59.0</v>
      </c>
      <c r="J153" s="236">
        <v>9.1713891E7</v>
      </c>
      <c r="K153" s="11">
        <v>14.0</v>
      </c>
      <c r="L153" s="11">
        <v>5.0</v>
      </c>
      <c r="M153" s="237" t="str">
        <f t="shared" si="1"/>
        <v>0450590091713891145</v>
      </c>
      <c r="N153" s="238">
        <v>-78283.39</v>
      </c>
      <c r="O153" s="110">
        <v>22622.0</v>
      </c>
      <c r="P153" s="11">
        <v>80.0</v>
      </c>
      <c r="Q153" s="239"/>
      <c r="R153" s="17">
        <v>65.0</v>
      </c>
    </row>
    <row r="154">
      <c r="A154" s="11">
        <v>17.0</v>
      </c>
      <c r="B154" s="11">
        <v>64.0</v>
      </c>
      <c r="C154" s="11">
        <v>5.0</v>
      </c>
      <c r="D154" s="11" t="s">
        <v>39</v>
      </c>
      <c r="E154" s="234">
        <v>48.0</v>
      </c>
      <c r="F154" s="235">
        <v>483.0</v>
      </c>
      <c r="G154" s="235">
        <v>483.0</v>
      </c>
      <c r="H154" s="234">
        <v>48.0</v>
      </c>
      <c r="I154" s="235">
        <v>483.0</v>
      </c>
      <c r="J154" s="236">
        <v>2.3360016E7</v>
      </c>
      <c r="K154" s="11">
        <v>4.0</v>
      </c>
      <c r="L154" s="11">
        <v>9.0</v>
      </c>
      <c r="M154" s="237" t="str">
        <f t="shared" si="1"/>
        <v>048483002336001649</v>
      </c>
      <c r="N154" s="238">
        <v>91783.38</v>
      </c>
      <c r="O154" s="110">
        <v>90423.0</v>
      </c>
      <c r="P154" s="11">
        <v>77.0</v>
      </c>
      <c r="Q154" s="239"/>
      <c r="R154" s="17">
        <v>24.0</v>
      </c>
    </row>
    <row r="155">
      <c r="A155" s="11">
        <v>14.0</v>
      </c>
      <c r="B155" s="11">
        <v>84.0</v>
      </c>
      <c r="C155" s="11">
        <v>8.0</v>
      </c>
      <c r="D155" s="11" t="s">
        <v>5272</v>
      </c>
      <c r="E155" s="234">
        <v>17.0</v>
      </c>
      <c r="F155" s="235">
        <v>79.0</v>
      </c>
      <c r="G155" s="235">
        <v>79.0</v>
      </c>
      <c r="H155" s="234">
        <v>17.0</v>
      </c>
      <c r="I155" s="235">
        <v>79.0</v>
      </c>
      <c r="J155" s="236">
        <v>6.7574637E7</v>
      </c>
      <c r="K155" s="11">
        <v>52.0</v>
      </c>
      <c r="L155" s="11">
        <v>3.0</v>
      </c>
      <c r="M155" s="237" t="str">
        <f t="shared" si="1"/>
        <v>0170790067574637523</v>
      </c>
      <c r="N155" s="238">
        <v>-15756.58</v>
      </c>
      <c r="O155" s="110">
        <v>31117.0</v>
      </c>
      <c r="P155" s="11">
        <v>74.0</v>
      </c>
      <c r="Q155" s="239"/>
      <c r="R155" s="17">
        <v>44.0</v>
      </c>
    </row>
    <row r="156">
      <c r="A156" s="11">
        <v>15.0</v>
      </c>
      <c r="B156" s="11">
        <v>43.0</v>
      </c>
      <c r="C156" s="11">
        <v>9.0</v>
      </c>
      <c r="D156" s="11" t="s">
        <v>31</v>
      </c>
      <c r="E156" s="234">
        <v>8.0</v>
      </c>
      <c r="F156" s="235">
        <v>57.0</v>
      </c>
      <c r="G156" s="235">
        <v>57.0</v>
      </c>
      <c r="H156" s="234">
        <v>8.0</v>
      </c>
      <c r="I156" s="235">
        <v>57.0</v>
      </c>
      <c r="J156" s="236">
        <v>5.046398E7</v>
      </c>
      <c r="K156" s="11">
        <v>97.0</v>
      </c>
      <c r="L156" s="11">
        <v>6.0</v>
      </c>
      <c r="M156" s="237" t="str">
        <f t="shared" si="1"/>
        <v>080570050463980976</v>
      </c>
      <c r="N156" s="238">
        <v>43998.02</v>
      </c>
      <c r="O156" s="110">
        <v>12713.0</v>
      </c>
      <c r="P156" s="11">
        <v>72.0</v>
      </c>
      <c r="Q156" s="239"/>
      <c r="R156" s="17">
        <v>65.0</v>
      </c>
    </row>
    <row r="157">
      <c r="A157" s="11">
        <v>13.0</v>
      </c>
      <c r="B157" s="11">
        <v>43.0</v>
      </c>
      <c r="C157" s="11">
        <v>5.0</v>
      </c>
      <c r="D157" s="11" t="s">
        <v>5273</v>
      </c>
      <c r="E157" s="234">
        <v>6.0</v>
      </c>
      <c r="F157" s="235">
        <v>63.0</v>
      </c>
      <c r="G157" s="235">
        <v>63.0</v>
      </c>
      <c r="H157" s="234">
        <v>6.0</v>
      </c>
      <c r="I157" s="235">
        <v>63.0</v>
      </c>
      <c r="J157" s="236">
        <v>7.0886521E7</v>
      </c>
      <c r="K157" s="11">
        <v>72.0</v>
      </c>
      <c r="L157" s="11">
        <v>9.0</v>
      </c>
      <c r="M157" s="237" t="str">
        <f t="shared" si="1"/>
        <v>060630070886521729</v>
      </c>
      <c r="N157" s="238">
        <v>78732.77</v>
      </c>
      <c r="O157" s="110">
        <v>51118.0</v>
      </c>
      <c r="P157" s="11">
        <v>73.0</v>
      </c>
      <c r="Q157" s="239"/>
      <c r="R157" s="17">
        <v>85.0</v>
      </c>
    </row>
    <row r="158">
      <c r="A158" s="11">
        <v>20.0</v>
      </c>
      <c r="B158" s="11">
        <v>84.0</v>
      </c>
      <c r="C158" s="11">
        <v>7.0</v>
      </c>
      <c r="D158" s="11" t="s">
        <v>5273</v>
      </c>
      <c r="E158" s="234">
        <v>16.0</v>
      </c>
      <c r="F158" s="235">
        <v>11.0</v>
      </c>
      <c r="G158" s="235">
        <v>11.0</v>
      </c>
      <c r="H158" s="234">
        <v>16.0</v>
      </c>
      <c r="I158" s="235">
        <v>11.0</v>
      </c>
      <c r="J158" s="236">
        <v>3.4282817E7</v>
      </c>
      <c r="K158" s="11">
        <v>97.0</v>
      </c>
      <c r="L158" s="11">
        <v>4.0</v>
      </c>
      <c r="M158" s="237" t="str">
        <f t="shared" si="1"/>
        <v>0160110034282817974</v>
      </c>
      <c r="N158" s="238">
        <v>23603.86</v>
      </c>
      <c r="O158" s="110">
        <v>31214.0</v>
      </c>
      <c r="P158" s="11">
        <v>70.0</v>
      </c>
      <c r="Q158" s="239"/>
      <c r="R158" s="17">
        <v>65.0</v>
      </c>
    </row>
    <row r="159">
      <c r="A159" s="11">
        <v>10.0</v>
      </c>
      <c r="B159" s="11">
        <v>23.0</v>
      </c>
      <c r="C159" s="11">
        <v>8.0</v>
      </c>
      <c r="D159" s="11" t="s">
        <v>39</v>
      </c>
      <c r="E159" s="234">
        <v>20.0</v>
      </c>
      <c r="F159" s="235">
        <v>149.0</v>
      </c>
      <c r="G159" s="235">
        <v>149.0</v>
      </c>
      <c r="H159" s="234">
        <v>20.0</v>
      </c>
      <c r="I159" s="235">
        <v>149.0</v>
      </c>
      <c r="J159" s="236">
        <v>7.0334928E7</v>
      </c>
      <c r="K159" s="11">
        <v>36.0</v>
      </c>
      <c r="L159" s="11">
        <v>9.0</v>
      </c>
      <c r="M159" s="237" t="str">
        <f t="shared" si="1"/>
        <v>0201490070334928369</v>
      </c>
      <c r="N159" s="238">
        <v>58161.39</v>
      </c>
      <c r="O159" s="110">
        <v>72014.0</v>
      </c>
      <c r="P159" s="11">
        <v>80.0</v>
      </c>
      <c r="Q159" s="239"/>
      <c r="R159" s="17">
        <v>24.0</v>
      </c>
    </row>
    <row r="160">
      <c r="A160" s="11">
        <v>11.0</v>
      </c>
      <c r="B160" s="11">
        <v>23.0</v>
      </c>
      <c r="C160" s="11">
        <v>8.0</v>
      </c>
      <c r="D160" s="11" t="s">
        <v>5271</v>
      </c>
      <c r="E160" s="234">
        <v>27.0</v>
      </c>
      <c r="F160" s="235">
        <v>69.0</v>
      </c>
      <c r="G160" s="235">
        <v>69.0</v>
      </c>
      <c r="H160" s="234">
        <v>27.0</v>
      </c>
      <c r="I160" s="235">
        <v>69.0</v>
      </c>
      <c r="J160" s="236">
        <v>8.0826268E7</v>
      </c>
      <c r="K160" s="11">
        <v>58.0</v>
      </c>
      <c r="L160" s="11">
        <v>4.0</v>
      </c>
      <c r="M160" s="237" t="str">
        <f t="shared" si="1"/>
        <v>0270690080826268584</v>
      </c>
      <c r="N160" s="238">
        <v>21839.0</v>
      </c>
      <c r="O160" s="110">
        <v>73023.0</v>
      </c>
      <c r="P160" s="11">
        <v>73.0</v>
      </c>
      <c r="Q160" s="239"/>
      <c r="R160" s="17">
        <v>85.0</v>
      </c>
    </row>
    <row r="161">
      <c r="A161" s="11">
        <v>12.0</v>
      </c>
      <c r="B161" s="11">
        <v>64.0</v>
      </c>
      <c r="C161" s="11">
        <v>6.0</v>
      </c>
      <c r="D161" s="11" t="s">
        <v>5273</v>
      </c>
      <c r="E161" s="234">
        <v>36.0</v>
      </c>
      <c r="F161" s="235">
        <v>85.0</v>
      </c>
      <c r="G161" s="235">
        <v>85.0</v>
      </c>
      <c r="H161" s="234">
        <v>36.0</v>
      </c>
      <c r="I161" s="235">
        <v>85.0</v>
      </c>
      <c r="J161" s="236">
        <v>2.8541367E7</v>
      </c>
      <c r="K161" s="11">
        <v>3.0</v>
      </c>
      <c r="L161" s="11">
        <v>0.0</v>
      </c>
      <c r="M161" s="237" t="str">
        <f t="shared" si="1"/>
        <v>036085002854136730</v>
      </c>
      <c r="N161" s="238">
        <v>40953.03</v>
      </c>
      <c r="O161" s="110">
        <v>41013.0</v>
      </c>
      <c r="P161" s="11">
        <v>71.0</v>
      </c>
      <c r="Q161" s="239"/>
      <c r="R161" s="17">
        <v>65.0</v>
      </c>
    </row>
    <row r="162">
      <c r="A162" s="11">
        <v>20.0</v>
      </c>
      <c r="B162" s="11">
        <v>23.0</v>
      </c>
      <c r="C162" s="11">
        <v>1.0</v>
      </c>
      <c r="D162" s="11" t="s">
        <v>29</v>
      </c>
      <c r="E162" s="234">
        <v>28.0</v>
      </c>
      <c r="F162" s="235">
        <v>15.0</v>
      </c>
      <c r="G162" s="235">
        <v>15.0</v>
      </c>
      <c r="H162" s="234">
        <v>28.0</v>
      </c>
      <c r="I162" s="235">
        <v>15.0</v>
      </c>
      <c r="J162" s="236">
        <v>6.0588189E7</v>
      </c>
      <c r="K162" s="11">
        <v>80.0</v>
      </c>
      <c r="L162" s="11">
        <v>3.0</v>
      </c>
      <c r="M162" s="237" t="str">
        <f t="shared" si="1"/>
        <v>0280150060588189803</v>
      </c>
      <c r="N162" s="238">
        <v>-28958.95</v>
      </c>
      <c r="O162" s="110">
        <v>41917.0</v>
      </c>
      <c r="P162" s="11">
        <v>71.0</v>
      </c>
      <c r="Q162" s="239"/>
      <c r="R162" s="17">
        <v>85.0</v>
      </c>
    </row>
    <row r="163">
      <c r="A163" s="11">
        <v>20.0</v>
      </c>
      <c r="B163" s="11">
        <v>84.0</v>
      </c>
      <c r="C163" s="11">
        <v>7.0</v>
      </c>
      <c r="D163" s="11" t="s">
        <v>31</v>
      </c>
      <c r="E163" s="234">
        <v>42.0</v>
      </c>
      <c r="F163" s="235">
        <v>5.0</v>
      </c>
      <c r="G163" s="235">
        <v>5.0</v>
      </c>
      <c r="H163" s="234">
        <v>42.0</v>
      </c>
      <c r="I163" s="235">
        <v>5.0</v>
      </c>
      <c r="J163" s="236">
        <v>8.9195277E7</v>
      </c>
      <c r="K163" s="11">
        <v>87.0</v>
      </c>
      <c r="L163" s="11">
        <v>4.0</v>
      </c>
      <c r="M163" s="237" t="str">
        <f t="shared" si="1"/>
        <v>0420050089195277874</v>
      </c>
      <c r="N163" s="238">
        <v>77456.55</v>
      </c>
      <c r="O163" s="110">
        <v>40819.0</v>
      </c>
      <c r="P163" s="11">
        <v>73.0</v>
      </c>
      <c r="Q163" s="239"/>
      <c r="R163" s="17">
        <v>24.0</v>
      </c>
    </row>
    <row r="164">
      <c r="A164" s="11">
        <v>14.0</v>
      </c>
      <c r="B164" s="11">
        <v>64.0</v>
      </c>
      <c r="C164" s="11">
        <v>8.0</v>
      </c>
      <c r="D164" s="11" t="s">
        <v>39</v>
      </c>
      <c r="E164" s="234">
        <v>31.0</v>
      </c>
      <c r="F164" s="235">
        <v>99.0</v>
      </c>
      <c r="G164" s="235">
        <v>99.0</v>
      </c>
      <c r="H164" s="234">
        <v>31.0</v>
      </c>
      <c r="I164" s="235">
        <v>99.0</v>
      </c>
      <c r="J164" s="236">
        <v>1.2946203E7</v>
      </c>
      <c r="K164" s="11">
        <v>19.0</v>
      </c>
      <c r="L164" s="11">
        <v>3.0</v>
      </c>
      <c r="M164" s="237" t="str">
        <f t="shared" si="1"/>
        <v>0310990012946203193</v>
      </c>
      <c r="N164" s="238">
        <v>-80153.49</v>
      </c>
      <c r="O164" s="110">
        <v>81718.0</v>
      </c>
      <c r="P164" s="11">
        <v>79.0</v>
      </c>
      <c r="Q164" s="239"/>
      <c r="R164" s="17">
        <v>24.0</v>
      </c>
    </row>
    <row r="165">
      <c r="A165" s="11">
        <v>16.0</v>
      </c>
      <c r="B165" s="11">
        <v>23.0</v>
      </c>
      <c r="C165" s="11">
        <v>7.0</v>
      </c>
      <c r="D165" s="11" t="s">
        <v>29</v>
      </c>
      <c r="E165" s="234">
        <v>18.0</v>
      </c>
      <c r="F165" s="235">
        <v>75.0</v>
      </c>
      <c r="G165" s="235">
        <v>75.0</v>
      </c>
      <c r="H165" s="234">
        <v>18.0</v>
      </c>
      <c r="I165" s="235">
        <v>75.0</v>
      </c>
      <c r="J165" s="236">
        <v>8.919985E7</v>
      </c>
      <c r="K165" s="11">
        <v>29.0</v>
      </c>
      <c r="L165" s="11">
        <v>1.0</v>
      </c>
      <c r="M165" s="237" t="str">
        <f t="shared" si="1"/>
        <v>0180750089199850291</v>
      </c>
      <c r="N165" s="238">
        <v>-93151.15</v>
      </c>
      <c r="O165" s="110">
        <v>30718.0</v>
      </c>
      <c r="P165" s="11">
        <v>79.0</v>
      </c>
      <c r="Q165" s="239"/>
      <c r="R165" s="17">
        <v>85.0</v>
      </c>
    </row>
    <row r="166">
      <c r="A166" s="11">
        <v>11.0</v>
      </c>
      <c r="B166" s="11">
        <v>64.0</v>
      </c>
      <c r="C166" s="11">
        <v>2.0</v>
      </c>
      <c r="D166" s="11" t="s">
        <v>5273</v>
      </c>
      <c r="E166" s="234">
        <v>48.0</v>
      </c>
      <c r="F166" s="235">
        <v>427.0</v>
      </c>
      <c r="G166" s="235">
        <v>427.0</v>
      </c>
      <c r="H166" s="234">
        <v>48.0</v>
      </c>
      <c r="I166" s="235">
        <v>427.0</v>
      </c>
      <c r="J166" s="236">
        <v>5.2144869E7</v>
      </c>
      <c r="K166" s="11">
        <v>17.0</v>
      </c>
      <c r="L166" s="11">
        <v>1.0</v>
      </c>
      <c r="M166" s="237" t="str">
        <f t="shared" si="1"/>
        <v>0484270052144869171</v>
      </c>
      <c r="N166" s="238">
        <v>30869.46</v>
      </c>
      <c r="O166" s="110">
        <v>42815.0</v>
      </c>
      <c r="P166" s="11">
        <v>72.0</v>
      </c>
      <c r="Q166" s="239"/>
      <c r="R166" s="17">
        <v>85.0</v>
      </c>
    </row>
    <row r="167">
      <c r="A167" s="11">
        <v>18.0</v>
      </c>
      <c r="B167" s="11">
        <v>44.0</v>
      </c>
      <c r="C167" s="11">
        <v>8.0</v>
      </c>
      <c r="D167" s="11" t="s">
        <v>31</v>
      </c>
      <c r="E167" s="234">
        <v>41.0</v>
      </c>
      <c r="F167" s="235">
        <v>21.0</v>
      </c>
      <c r="G167" s="235">
        <v>21.0</v>
      </c>
      <c r="H167" s="234">
        <v>41.0</v>
      </c>
      <c r="I167" s="235">
        <v>21.0</v>
      </c>
      <c r="J167" s="236">
        <v>5.7632626E7</v>
      </c>
      <c r="K167" s="11">
        <v>38.0</v>
      </c>
      <c r="L167" s="11">
        <v>8.0</v>
      </c>
      <c r="M167" s="237" t="str">
        <f t="shared" si="1"/>
        <v>0410210057632626388</v>
      </c>
      <c r="N167" s="238">
        <v>-56869.72</v>
      </c>
      <c r="O167" s="110">
        <v>72422.0</v>
      </c>
      <c r="P167" s="11">
        <v>71.0</v>
      </c>
      <c r="Q167" s="239"/>
      <c r="R167" s="17">
        <v>65.0</v>
      </c>
    </row>
    <row r="168">
      <c r="A168" s="11">
        <v>10.0</v>
      </c>
      <c r="B168" s="11">
        <v>64.0</v>
      </c>
      <c r="C168" s="11">
        <v>3.0</v>
      </c>
      <c r="D168" s="11" t="s">
        <v>5273</v>
      </c>
      <c r="E168" s="234">
        <v>17.0</v>
      </c>
      <c r="F168" s="235">
        <v>203.0</v>
      </c>
      <c r="G168" s="235">
        <v>203.0</v>
      </c>
      <c r="H168" s="234">
        <v>17.0</v>
      </c>
      <c r="I168" s="235">
        <v>203.0</v>
      </c>
      <c r="J168" s="236">
        <v>4.4943707E7</v>
      </c>
      <c r="K168" s="11">
        <v>25.0</v>
      </c>
      <c r="L168" s="11">
        <v>8.0</v>
      </c>
      <c r="M168" s="237" t="str">
        <f t="shared" si="1"/>
        <v>0172030044943707258</v>
      </c>
      <c r="N168" s="238">
        <v>-14735.79</v>
      </c>
      <c r="O168" s="110">
        <v>30819.0</v>
      </c>
      <c r="P168" s="11">
        <v>71.0</v>
      </c>
      <c r="Q168" s="239"/>
      <c r="R168" s="17">
        <v>24.0</v>
      </c>
    </row>
    <row r="169">
      <c r="A169" s="11">
        <v>17.0</v>
      </c>
      <c r="B169" s="11">
        <v>23.0</v>
      </c>
      <c r="C169" s="11">
        <v>9.0</v>
      </c>
      <c r="D169" s="11" t="s">
        <v>5271</v>
      </c>
      <c r="E169" s="234">
        <v>30.0</v>
      </c>
      <c r="F169" s="235">
        <v>41.0</v>
      </c>
      <c r="G169" s="235">
        <v>41.0</v>
      </c>
      <c r="H169" s="234">
        <v>30.0</v>
      </c>
      <c r="I169" s="235">
        <v>41.0</v>
      </c>
      <c r="J169" s="236">
        <v>8.4723129E7</v>
      </c>
      <c r="K169" s="11">
        <v>15.0</v>
      </c>
      <c r="L169" s="11">
        <v>6.0</v>
      </c>
      <c r="M169" s="237" t="str">
        <f t="shared" si="1"/>
        <v>0300410084723129156</v>
      </c>
      <c r="N169" s="238">
        <v>70237.95</v>
      </c>
      <c r="O169" s="110">
        <v>31121.0</v>
      </c>
      <c r="P169" s="11">
        <v>74.0</v>
      </c>
      <c r="Q169" s="239"/>
      <c r="R169" s="17">
        <v>85.0</v>
      </c>
    </row>
    <row r="170">
      <c r="A170" s="11">
        <v>18.0</v>
      </c>
      <c r="B170" s="11">
        <v>23.0</v>
      </c>
      <c r="C170" s="11">
        <v>2.0</v>
      </c>
      <c r="D170" s="11" t="s">
        <v>31</v>
      </c>
      <c r="E170" s="234">
        <v>22.0</v>
      </c>
      <c r="F170" s="235">
        <v>7.0</v>
      </c>
      <c r="G170" s="235">
        <v>7.0</v>
      </c>
      <c r="H170" s="234">
        <v>22.0</v>
      </c>
      <c r="I170" s="235">
        <v>7.0</v>
      </c>
      <c r="J170" s="236">
        <v>3.1161179E7</v>
      </c>
      <c r="K170" s="11">
        <v>99.0</v>
      </c>
      <c r="L170" s="11">
        <v>1.0</v>
      </c>
      <c r="M170" s="237" t="str">
        <f t="shared" si="1"/>
        <v>0220070031161179991</v>
      </c>
      <c r="N170" s="238">
        <v>-64728.68</v>
      </c>
      <c r="O170" s="110">
        <v>12617.0</v>
      </c>
      <c r="P170" s="11">
        <v>78.0</v>
      </c>
      <c r="Q170" s="239"/>
      <c r="R170" s="17">
        <v>85.0</v>
      </c>
    </row>
    <row r="171">
      <c r="A171" s="11">
        <v>11.0</v>
      </c>
      <c r="B171" s="11">
        <v>64.0</v>
      </c>
      <c r="C171" s="11">
        <v>1.0</v>
      </c>
      <c r="D171" s="11" t="s">
        <v>29</v>
      </c>
      <c r="E171" s="234">
        <v>21.0</v>
      </c>
      <c r="F171" s="235">
        <v>43.0</v>
      </c>
      <c r="G171" s="235">
        <v>43.0</v>
      </c>
      <c r="H171" s="234">
        <v>21.0</v>
      </c>
      <c r="I171" s="235">
        <v>43.0</v>
      </c>
      <c r="J171" s="236">
        <v>8.3726989E7</v>
      </c>
      <c r="K171" s="11">
        <v>6.0</v>
      </c>
      <c r="L171" s="11">
        <v>2.0</v>
      </c>
      <c r="M171" s="237" t="str">
        <f t="shared" si="1"/>
        <v>021043008372698962</v>
      </c>
      <c r="N171" s="238">
        <v>37049.56</v>
      </c>
      <c r="O171" s="110">
        <v>22719.0</v>
      </c>
      <c r="P171" s="11">
        <v>78.0</v>
      </c>
      <c r="Q171" s="239"/>
      <c r="R171" s="17">
        <v>24.0</v>
      </c>
    </row>
    <row r="172">
      <c r="A172" s="11">
        <v>11.0</v>
      </c>
      <c r="B172" s="11">
        <v>85.0</v>
      </c>
      <c r="C172" s="11">
        <v>3.0</v>
      </c>
      <c r="D172" s="11" t="s">
        <v>5273</v>
      </c>
      <c r="E172" s="234">
        <v>38.0</v>
      </c>
      <c r="F172" s="235">
        <v>13.0</v>
      </c>
      <c r="G172" s="235">
        <v>13.0</v>
      </c>
      <c r="H172" s="234">
        <v>38.0</v>
      </c>
      <c r="I172" s="235">
        <v>13.0</v>
      </c>
      <c r="J172" s="236">
        <v>5.9305962E7</v>
      </c>
      <c r="K172" s="11">
        <v>17.0</v>
      </c>
      <c r="L172" s="11">
        <v>6.0</v>
      </c>
      <c r="M172" s="237" t="str">
        <f t="shared" si="1"/>
        <v>0380130059305962176</v>
      </c>
      <c r="N172" s="238">
        <v>-39486.05</v>
      </c>
      <c r="O172" s="110">
        <v>92716.0</v>
      </c>
      <c r="P172" s="11">
        <v>70.0</v>
      </c>
      <c r="Q172" s="239"/>
      <c r="R172" s="17">
        <v>85.0</v>
      </c>
    </row>
    <row r="173">
      <c r="A173" s="11">
        <v>11.0</v>
      </c>
      <c r="B173" s="11">
        <v>44.0</v>
      </c>
      <c r="C173" s="11">
        <v>8.0</v>
      </c>
      <c r="D173" s="11" t="s">
        <v>31</v>
      </c>
      <c r="E173" s="234">
        <v>35.0</v>
      </c>
      <c r="F173" s="235">
        <v>51.0</v>
      </c>
      <c r="G173" s="235">
        <v>51.0</v>
      </c>
      <c r="H173" s="234">
        <v>35.0</v>
      </c>
      <c r="I173" s="235">
        <v>51.0</v>
      </c>
      <c r="J173" s="236">
        <v>8.6480756E7</v>
      </c>
      <c r="K173" s="11">
        <v>32.0</v>
      </c>
      <c r="L173" s="11">
        <v>0.0</v>
      </c>
      <c r="M173" s="237" t="str">
        <f t="shared" si="1"/>
        <v>0350510086480756320</v>
      </c>
      <c r="N173" s="238">
        <v>-38712.6</v>
      </c>
      <c r="O173" s="110">
        <v>71015.0</v>
      </c>
      <c r="P173" s="11">
        <v>74.0</v>
      </c>
      <c r="Q173" s="239"/>
      <c r="R173" s="17">
        <v>45.0</v>
      </c>
    </row>
    <row r="174">
      <c r="A174" s="11">
        <v>11.0</v>
      </c>
      <c r="B174" s="11">
        <v>85.0</v>
      </c>
      <c r="C174" s="11">
        <v>2.0</v>
      </c>
      <c r="D174" s="11" t="s">
        <v>5273</v>
      </c>
      <c r="E174" s="234">
        <v>4.0</v>
      </c>
      <c r="F174" s="235">
        <v>9.0</v>
      </c>
      <c r="G174" s="235">
        <v>9.0</v>
      </c>
      <c r="H174" s="234">
        <v>4.0</v>
      </c>
      <c r="I174" s="235">
        <v>9.0</v>
      </c>
      <c r="J174" s="236">
        <v>8.8806943E7</v>
      </c>
      <c r="K174" s="11">
        <v>84.0</v>
      </c>
      <c r="L174" s="11">
        <v>4.0</v>
      </c>
      <c r="M174" s="237" t="str">
        <f t="shared" si="1"/>
        <v>040090088806943844</v>
      </c>
      <c r="N174" s="238">
        <v>-54393.82</v>
      </c>
      <c r="O174" s="110">
        <v>20414.0</v>
      </c>
      <c r="P174" s="11">
        <v>75.0</v>
      </c>
      <c r="Q174" s="239"/>
      <c r="R174" s="17">
        <v>86.0</v>
      </c>
    </row>
    <row r="175">
      <c r="A175" s="11">
        <v>20.0</v>
      </c>
      <c r="B175" s="11">
        <v>23.0</v>
      </c>
      <c r="C175" s="11">
        <v>9.0</v>
      </c>
      <c r="D175" s="11" t="s">
        <v>29</v>
      </c>
      <c r="E175" s="234">
        <v>48.0</v>
      </c>
      <c r="F175" s="235">
        <v>243.0</v>
      </c>
      <c r="G175" s="235">
        <v>243.0</v>
      </c>
      <c r="H175" s="234">
        <v>48.0</v>
      </c>
      <c r="I175" s="235">
        <v>243.0</v>
      </c>
      <c r="J175" s="236">
        <v>3.2209948E7</v>
      </c>
      <c r="K175" s="11">
        <v>3.0</v>
      </c>
      <c r="L175" s="11">
        <v>7.0</v>
      </c>
      <c r="M175" s="237" t="str">
        <f t="shared" si="1"/>
        <v>048243003220994837</v>
      </c>
      <c r="N175" s="238">
        <v>85343.75</v>
      </c>
      <c r="O175" s="110">
        <v>51016.0</v>
      </c>
      <c r="P175" s="11">
        <v>72.0</v>
      </c>
      <c r="Q175" s="239"/>
      <c r="R175" s="17">
        <v>65.0</v>
      </c>
    </row>
    <row r="176">
      <c r="A176" s="11">
        <v>19.0</v>
      </c>
      <c r="B176" s="11">
        <v>64.0</v>
      </c>
      <c r="C176" s="11">
        <v>1.0</v>
      </c>
      <c r="D176" s="11" t="s">
        <v>5273</v>
      </c>
      <c r="E176" s="234">
        <v>26.0</v>
      </c>
      <c r="F176" s="235">
        <v>49.0</v>
      </c>
      <c r="G176" s="235">
        <v>49.0</v>
      </c>
      <c r="H176" s="234">
        <v>26.0</v>
      </c>
      <c r="I176" s="235">
        <v>49.0</v>
      </c>
      <c r="J176" s="236">
        <v>4.862302E7</v>
      </c>
      <c r="K176" s="11">
        <v>25.0</v>
      </c>
      <c r="L176" s="11">
        <v>9.0</v>
      </c>
      <c r="M176" s="237" t="str">
        <f t="shared" si="1"/>
        <v>0260490048623020259</v>
      </c>
      <c r="N176" s="238">
        <v>-70230.75</v>
      </c>
      <c r="O176" s="110">
        <v>31821.0</v>
      </c>
      <c r="P176" s="11">
        <v>72.0</v>
      </c>
      <c r="Q176" s="239"/>
      <c r="R176" s="17">
        <v>45.0</v>
      </c>
    </row>
    <row r="177">
      <c r="A177" s="11">
        <v>15.0</v>
      </c>
      <c r="B177" s="11">
        <v>44.0</v>
      </c>
      <c r="C177" s="11">
        <v>4.0</v>
      </c>
      <c r="D177" s="11" t="s">
        <v>31</v>
      </c>
      <c r="E177" s="234">
        <v>48.0</v>
      </c>
      <c r="F177" s="235">
        <v>285.0</v>
      </c>
      <c r="G177" s="235">
        <v>285.0</v>
      </c>
      <c r="H177" s="234">
        <v>48.0</v>
      </c>
      <c r="I177" s="235">
        <v>285.0</v>
      </c>
      <c r="J177" s="236">
        <v>6.6444158E7</v>
      </c>
      <c r="K177" s="11">
        <v>3.0</v>
      </c>
      <c r="L177" s="11">
        <v>5.0</v>
      </c>
      <c r="M177" s="237" t="str">
        <f t="shared" si="1"/>
        <v>048285006644415835</v>
      </c>
      <c r="N177" s="238">
        <v>1549.34</v>
      </c>
      <c r="O177" s="110">
        <v>30220.0</v>
      </c>
      <c r="P177" s="11">
        <v>77.0</v>
      </c>
      <c r="Q177" s="239"/>
      <c r="R177" s="17">
        <v>65.0</v>
      </c>
    </row>
    <row r="178">
      <c r="A178" s="11">
        <v>16.0</v>
      </c>
      <c r="B178" s="11">
        <v>44.0</v>
      </c>
      <c r="C178" s="11">
        <v>9.0</v>
      </c>
      <c r="D178" s="11" t="s">
        <v>5272</v>
      </c>
      <c r="E178" s="234">
        <v>22.0</v>
      </c>
      <c r="F178" s="235">
        <v>81.0</v>
      </c>
      <c r="G178" s="235">
        <v>81.0</v>
      </c>
      <c r="H178" s="234">
        <v>22.0</v>
      </c>
      <c r="I178" s="235">
        <v>81.0</v>
      </c>
      <c r="J178" s="236">
        <v>3.1748689E7</v>
      </c>
      <c r="K178" s="11">
        <v>39.0</v>
      </c>
      <c r="L178" s="11">
        <v>5.0</v>
      </c>
      <c r="M178" s="237" t="str">
        <f t="shared" si="1"/>
        <v>0220810031748689395</v>
      </c>
      <c r="N178" s="238">
        <v>-45134.8</v>
      </c>
      <c r="O178" s="110">
        <v>60322.0</v>
      </c>
      <c r="P178" s="11">
        <v>77.0</v>
      </c>
      <c r="Q178" s="239"/>
      <c r="R178" s="17">
        <v>86.0</v>
      </c>
    </row>
    <row r="179">
      <c r="A179" s="11">
        <v>16.0</v>
      </c>
      <c r="B179" s="11">
        <v>64.0</v>
      </c>
      <c r="C179" s="11">
        <v>7.0</v>
      </c>
      <c r="D179" s="11" t="s">
        <v>29</v>
      </c>
      <c r="E179" s="234">
        <v>26.0</v>
      </c>
      <c r="F179" s="235">
        <v>109.0</v>
      </c>
      <c r="G179" s="235">
        <v>109.0</v>
      </c>
      <c r="H179" s="234">
        <v>26.0</v>
      </c>
      <c r="I179" s="235">
        <v>109.0</v>
      </c>
      <c r="J179" s="236">
        <v>5.4156965E7</v>
      </c>
      <c r="K179" s="11">
        <v>2.0</v>
      </c>
      <c r="L179" s="11">
        <v>5.0</v>
      </c>
      <c r="M179" s="237" t="str">
        <f t="shared" si="1"/>
        <v>026109005415696525</v>
      </c>
      <c r="N179" s="238">
        <v>5495.04</v>
      </c>
      <c r="O179" s="110">
        <v>11317.0</v>
      </c>
      <c r="P179" s="11">
        <v>79.0</v>
      </c>
      <c r="Q179" s="239"/>
      <c r="R179" s="17">
        <v>45.0</v>
      </c>
    </row>
    <row r="180">
      <c r="A180" s="11">
        <v>10.0</v>
      </c>
      <c r="B180" s="11">
        <v>44.0</v>
      </c>
      <c r="C180" s="11">
        <v>3.0</v>
      </c>
      <c r="D180" s="11" t="s">
        <v>5272</v>
      </c>
      <c r="E180" s="234">
        <v>12.0</v>
      </c>
      <c r="F180" s="235">
        <v>19.0</v>
      </c>
      <c r="G180" s="235">
        <v>19.0</v>
      </c>
      <c r="H180" s="234">
        <v>12.0</v>
      </c>
      <c r="I180" s="235">
        <v>19.0</v>
      </c>
      <c r="J180" s="236">
        <v>9.7619222E7</v>
      </c>
      <c r="K180" s="11">
        <v>77.0</v>
      </c>
      <c r="L180" s="11">
        <v>0.0</v>
      </c>
      <c r="M180" s="237" t="str">
        <f t="shared" si="1"/>
        <v>0120190097619222770</v>
      </c>
      <c r="N180" s="238">
        <v>28313.52</v>
      </c>
      <c r="O180" s="110">
        <v>70115.0</v>
      </c>
      <c r="P180" s="11">
        <v>77.0</v>
      </c>
      <c r="Q180" s="239"/>
      <c r="R180" s="17">
        <v>45.0</v>
      </c>
    </row>
    <row r="181">
      <c r="A181" s="11">
        <v>19.0</v>
      </c>
      <c r="B181" s="11">
        <v>44.0</v>
      </c>
      <c r="C181" s="11">
        <v>2.0</v>
      </c>
      <c r="D181" s="11" t="s">
        <v>29</v>
      </c>
      <c r="E181" s="234">
        <v>48.0</v>
      </c>
      <c r="F181" s="235">
        <v>91.0</v>
      </c>
      <c r="G181" s="235">
        <v>91.0</v>
      </c>
      <c r="H181" s="234">
        <v>48.0</v>
      </c>
      <c r="I181" s="235">
        <v>91.0</v>
      </c>
      <c r="J181" s="236">
        <v>8.1839638E7</v>
      </c>
      <c r="K181" s="11">
        <v>13.0</v>
      </c>
      <c r="L181" s="11">
        <v>3.0</v>
      </c>
      <c r="M181" s="237" t="str">
        <f t="shared" si="1"/>
        <v>0480910081839638133</v>
      </c>
      <c r="N181" s="238">
        <v>-61854.51</v>
      </c>
      <c r="O181" s="110">
        <v>100518.0</v>
      </c>
      <c r="P181" s="11">
        <v>72.0</v>
      </c>
      <c r="Q181" s="239"/>
      <c r="R181" s="17">
        <v>45.0</v>
      </c>
    </row>
    <row r="182">
      <c r="A182" s="11">
        <v>19.0</v>
      </c>
      <c r="B182" s="11">
        <v>85.0</v>
      </c>
      <c r="C182" s="11">
        <v>8.0</v>
      </c>
      <c r="D182" s="11" t="s">
        <v>29</v>
      </c>
      <c r="E182" s="234">
        <v>20.0</v>
      </c>
      <c r="F182" s="235">
        <v>169.0</v>
      </c>
      <c r="G182" s="235">
        <v>169.0</v>
      </c>
      <c r="H182" s="234">
        <v>20.0</v>
      </c>
      <c r="I182" s="235">
        <v>169.0</v>
      </c>
      <c r="J182" s="236">
        <v>9.0297512E7</v>
      </c>
      <c r="K182" s="11">
        <v>86.0</v>
      </c>
      <c r="L182" s="11">
        <v>8.0</v>
      </c>
      <c r="M182" s="237" t="str">
        <f t="shared" si="1"/>
        <v>0201690090297512868</v>
      </c>
      <c r="N182" s="238">
        <v>-32508.83</v>
      </c>
      <c r="O182" s="110">
        <v>80823.0</v>
      </c>
      <c r="P182" s="11">
        <v>72.0</v>
      </c>
      <c r="Q182" s="239"/>
      <c r="R182" s="17">
        <v>24.0</v>
      </c>
    </row>
    <row r="183">
      <c r="A183" s="11">
        <v>18.0</v>
      </c>
      <c r="B183" s="11">
        <v>23.0</v>
      </c>
      <c r="C183" s="11">
        <v>9.0</v>
      </c>
      <c r="D183" s="11" t="s">
        <v>31</v>
      </c>
      <c r="E183" s="234">
        <v>38.0</v>
      </c>
      <c r="F183" s="235">
        <v>51.0</v>
      </c>
      <c r="G183" s="235">
        <v>51.0</v>
      </c>
      <c r="H183" s="234">
        <v>38.0</v>
      </c>
      <c r="I183" s="235">
        <v>51.0</v>
      </c>
      <c r="J183" s="236">
        <v>8.9704384E7</v>
      </c>
      <c r="K183" s="11">
        <v>77.0</v>
      </c>
      <c r="L183" s="11">
        <v>3.0</v>
      </c>
      <c r="M183" s="237" t="str">
        <f t="shared" si="1"/>
        <v>0380510089704384773</v>
      </c>
      <c r="N183" s="238">
        <v>-69580.14</v>
      </c>
      <c r="O183" s="110">
        <v>73114.0</v>
      </c>
      <c r="P183" s="11">
        <v>71.0</v>
      </c>
      <c r="Q183" s="239"/>
      <c r="R183" s="17">
        <v>65.0</v>
      </c>
    </row>
    <row r="184">
      <c r="A184" s="11">
        <v>15.0</v>
      </c>
      <c r="B184" s="11">
        <v>85.0</v>
      </c>
      <c r="C184" s="11">
        <v>3.0</v>
      </c>
      <c r="D184" s="11" t="s">
        <v>39</v>
      </c>
      <c r="E184" s="234">
        <v>41.0</v>
      </c>
      <c r="F184" s="235">
        <v>45.0</v>
      </c>
      <c r="G184" s="235">
        <v>45.0</v>
      </c>
      <c r="H184" s="234">
        <v>41.0</v>
      </c>
      <c r="I184" s="235">
        <v>45.0</v>
      </c>
      <c r="J184" s="236">
        <v>4.1348829E7</v>
      </c>
      <c r="K184" s="11">
        <v>57.0</v>
      </c>
      <c r="L184" s="11">
        <v>4.0</v>
      </c>
      <c r="M184" s="237" t="str">
        <f t="shared" si="1"/>
        <v>0410450041348829574</v>
      </c>
      <c r="N184" s="238">
        <v>-65149.17</v>
      </c>
      <c r="O184" s="110">
        <v>61514.0</v>
      </c>
      <c r="P184" s="11">
        <v>76.0</v>
      </c>
      <c r="Q184" s="239"/>
      <c r="R184" s="17">
        <v>86.0</v>
      </c>
    </row>
    <row r="185">
      <c r="A185" s="11">
        <v>17.0</v>
      </c>
      <c r="B185" s="11">
        <v>64.0</v>
      </c>
      <c r="C185" s="11">
        <v>1.0</v>
      </c>
      <c r="D185" s="11" t="s">
        <v>39</v>
      </c>
      <c r="E185" s="234">
        <v>27.0</v>
      </c>
      <c r="F185" s="235">
        <v>59.0</v>
      </c>
      <c r="G185" s="235">
        <v>59.0</v>
      </c>
      <c r="H185" s="234">
        <v>27.0</v>
      </c>
      <c r="I185" s="235">
        <v>59.0</v>
      </c>
      <c r="J185" s="236">
        <v>5.3886347E7</v>
      </c>
      <c r="K185" s="11">
        <v>57.0</v>
      </c>
      <c r="L185" s="11">
        <v>3.0</v>
      </c>
      <c r="M185" s="237" t="str">
        <f t="shared" si="1"/>
        <v>0270590053886347573</v>
      </c>
      <c r="N185" s="238">
        <v>12854.4</v>
      </c>
      <c r="O185" s="110">
        <v>101616.0</v>
      </c>
      <c r="P185" s="11">
        <v>70.0</v>
      </c>
      <c r="Q185" s="239"/>
      <c r="R185" s="17">
        <v>24.0</v>
      </c>
    </row>
    <row r="186">
      <c r="A186" s="11">
        <v>11.0</v>
      </c>
      <c r="B186" s="11">
        <v>85.0</v>
      </c>
      <c r="C186" s="11">
        <v>5.0</v>
      </c>
      <c r="D186" s="11" t="s">
        <v>29</v>
      </c>
      <c r="E186" s="234">
        <v>36.0</v>
      </c>
      <c r="F186" s="235">
        <v>57.0</v>
      </c>
      <c r="G186" s="235">
        <v>57.0</v>
      </c>
      <c r="H186" s="234">
        <v>36.0</v>
      </c>
      <c r="I186" s="235">
        <v>57.0</v>
      </c>
      <c r="J186" s="236">
        <v>5.865143E7</v>
      </c>
      <c r="K186" s="11">
        <v>28.0</v>
      </c>
      <c r="L186" s="11">
        <v>6.0</v>
      </c>
      <c r="M186" s="237" t="str">
        <f t="shared" si="1"/>
        <v>0360570058651430286</v>
      </c>
      <c r="N186" s="238">
        <v>-64451.27</v>
      </c>
      <c r="O186" s="110">
        <v>90814.0</v>
      </c>
      <c r="P186" s="11">
        <v>71.0</v>
      </c>
      <c r="Q186" s="239"/>
      <c r="R186" s="17">
        <v>86.0</v>
      </c>
    </row>
    <row r="187">
      <c r="A187" s="11">
        <v>17.0</v>
      </c>
      <c r="B187" s="11">
        <v>85.0</v>
      </c>
      <c r="C187" s="11">
        <v>9.0</v>
      </c>
      <c r="D187" s="11" t="s">
        <v>5272</v>
      </c>
      <c r="E187" s="234">
        <v>48.0</v>
      </c>
      <c r="F187" s="235">
        <v>287.0</v>
      </c>
      <c r="G187" s="235">
        <v>287.0</v>
      </c>
      <c r="H187" s="234">
        <v>48.0</v>
      </c>
      <c r="I187" s="235">
        <v>287.0</v>
      </c>
      <c r="J187" s="236">
        <v>9.2671331E7</v>
      </c>
      <c r="K187" s="11">
        <v>5.0</v>
      </c>
      <c r="L187" s="11">
        <v>2.0</v>
      </c>
      <c r="M187" s="237" t="str">
        <f t="shared" si="1"/>
        <v>048287009267133152</v>
      </c>
      <c r="N187" s="238">
        <v>-75200.35</v>
      </c>
      <c r="O187" s="110">
        <v>82121.0</v>
      </c>
      <c r="P187" s="11">
        <v>79.0</v>
      </c>
      <c r="Q187" s="239"/>
      <c r="R187" s="17">
        <v>24.0</v>
      </c>
    </row>
    <row r="188">
      <c r="A188" s="11">
        <v>17.0</v>
      </c>
      <c r="B188" s="11">
        <v>24.0</v>
      </c>
      <c r="C188" s="11">
        <v>4.0</v>
      </c>
      <c r="D188" s="11" t="s">
        <v>5273</v>
      </c>
      <c r="E188" s="234">
        <v>37.0</v>
      </c>
      <c r="F188" s="235">
        <v>181.0</v>
      </c>
      <c r="G188" s="235">
        <v>181.0</v>
      </c>
      <c r="H188" s="234">
        <v>37.0</v>
      </c>
      <c r="I188" s="235">
        <v>181.0</v>
      </c>
      <c r="J188" s="236">
        <v>4.6639144E7</v>
      </c>
      <c r="K188" s="11">
        <v>99.0</v>
      </c>
      <c r="L188" s="11">
        <v>3.0</v>
      </c>
      <c r="M188" s="237" t="str">
        <f t="shared" si="1"/>
        <v>0371810046639144993</v>
      </c>
      <c r="N188" s="238">
        <v>4816.24</v>
      </c>
      <c r="O188" s="110">
        <v>42120.0</v>
      </c>
      <c r="P188" s="11">
        <v>77.0</v>
      </c>
      <c r="Q188" s="239"/>
      <c r="R188" s="17">
        <v>65.0</v>
      </c>
    </row>
    <row r="189">
      <c r="A189" s="11">
        <v>16.0</v>
      </c>
      <c r="B189" s="11">
        <v>65.0</v>
      </c>
      <c r="C189" s="11">
        <v>3.0</v>
      </c>
      <c r="D189" s="11" t="s">
        <v>5272</v>
      </c>
      <c r="E189" s="234">
        <v>40.0</v>
      </c>
      <c r="F189" s="235">
        <v>29.0</v>
      </c>
      <c r="G189" s="235">
        <v>29.0</v>
      </c>
      <c r="H189" s="234">
        <v>40.0</v>
      </c>
      <c r="I189" s="235">
        <v>29.0</v>
      </c>
      <c r="J189" s="236">
        <v>1.2456507E7</v>
      </c>
      <c r="K189" s="11">
        <v>19.0</v>
      </c>
      <c r="L189" s="11">
        <v>0.0</v>
      </c>
      <c r="M189" s="237" t="str">
        <f t="shared" si="1"/>
        <v>0400290012456507190</v>
      </c>
      <c r="N189" s="238">
        <v>-12784.36</v>
      </c>
      <c r="O189" s="110">
        <v>120413.0</v>
      </c>
      <c r="P189" s="11">
        <v>72.0</v>
      </c>
      <c r="Q189" s="239"/>
      <c r="R189" s="17">
        <v>86.0</v>
      </c>
    </row>
    <row r="190">
      <c r="A190" s="11">
        <v>18.0</v>
      </c>
      <c r="B190" s="11">
        <v>44.0</v>
      </c>
      <c r="C190" s="11">
        <v>3.0</v>
      </c>
      <c r="D190" s="11" t="s">
        <v>5273</v>
      </c>
      <c r="E190" s="234">
        <v>51.0</v>
      </c>
      <c r="F190" s="235">
        <v>101.0</v>
      </c>
      <c r="G190" s="235">
        <v>101.0</v>
      </c>
      <c r="H190" s="234">
        <v>51.0</v>
      </c>
      <c r="I190" s="235">
        <v>101.0</v>
      </c>
      <c r="J190" s="236">
        <v>3.4080633E7</v>
      </c>
      <c r="K190" s="11">
        <v>16.0</v>
      </c>
      <c r="L190" s="11">
        <v>6.0</v>
      </c>
      <c r="M190" s="237" t="str">
        <f t="shared" si="1"/>
        <v>0511010034080633166</v>
      </c>
      <c r="N190" s="238">
        <v>74184.81</v>
      </c>
      <c r="O190" s="110">
        <v>32915.0</v>
      </c>
      <c r="P190" s="11">
        <v>75.0</v>
      </c>
      <c r="Q190" s="239"/>
      <c r="R190" s="17">
        <v>66.0</v>
      </c>
    </row>
    <row r="191">
      <c r="A191" s="11">
        <v>17.0</v>
      </c>
      <c r="B191" s="11">
        <v>85.0</v>
      </c>
      <c r="C191" s="11">
        <v>2.0</v>
      </c>
      <c r="D191" s="11" t="s">
        <v>39</v>
      </c>
      <c r="E191" s="234">
        <v>47.0</v>
      </c>
      <c r="F191" s="235">
        <v>29.0</v>
      </c>
      <c r="G191" s="235">
        <v>29.0</v>
      </c>
      <c r="H191" s="234">
        <v>47.0</v>
      </c>
      <c r="I191" s="235">
        <v>29.0</v>
      </c>
      <c r="J191" s="236">
        <v>5.1123129E7</v>
      </c>
      <c r="K191" s="11">
        <v>55.0</v>
      </c>
      <c r="L191" s="11">
        <v>8.0</v>
      </c>
      <c r="M191" s="237" t="str">
        <f t="shared" si="1"/>
        <v>0470290051123129558</v>
      </c>
      <c r="N191" s="238">
        <v>-49880.38</v>
      </c>
      <c r="O191" s="110">
        <v>41015.0</v>
      </c>
      <c r="P191" s="11">
        <v>79.0</v>
      </c>
      <c r="Q191" s="239"/>
      <c r="R191" s="17">
        <v>45.0</v>
      </c>
    </row>
    <row r="192">
      <c r="A192" s="11">
        <v>17.0</v>
      </c>
      <c r="B192" s="11">
        <v>44.0</v>
      </c>
      <c r="C192" s="11">
        <v>5.0</v>
      </c>
      <c r="D192" s="11" t="s">
        <v>31</v>
      </c>
      <c r="E192" s="234">
        <v>13.0</v>
      </c>
      <c r="F192" s="235">
        <v>295.0</v>
      </c>
      <c r="G192" s="235">
        <v>295.0</v>
      </c>
      <c r="H192" s="234">
        <v>13.0</v>
      </c>
      <c r="I192" s="235">
        <v>295.0</v>
      </c>
      <c r="J192" s="236">
        <v>8.2622203E7</v>
      </c>
      <c r="K192" s="11">
        <v>14.0</v>
      </c>
      <c r="L192" s="11">
        <v>5.0</v>
      </c>
      <c r="M192" s="237" t="str">
        <f t="shared" si="1"/>
        <v>0132950082622203145</v>
      </c>
      <c r="N192" s="238">
        <v>-69923.63</v>
      </c>
      <c r="O192" s="110">
        <v>110617.0</v>
      </c>
      <c r="P192" s="11">
        <v>71.0</v>
      </c>
      <c r="Q192" s="239"/>
      <c r="R192" s="17">
        <v>86.0</v>
      </c>
    </row>
    <row r="193">
      <c r="A193" s="11">
        <v>17.0</v>
      </c>
      <c r="B193" s="11">
        <v>85.0</v>
      </c>
      <c r="C193" s="11">
        <v>4.0</v>
      </c>
      <c r="D193" s="11" t="s">
        <v>29</v>
      </c>
      <c r="E193" s="234">
        <v>18.0</v>
      </c>
      <c r="F193" s="235">
        <v>171.0</v>
      </c>
      <c r="G193" s="235">
        <v>171.0</v>
      </c>
      <c r="H193" s="234">
        <v>18.0</v>
      </c>
      <c r="I193" s="235">
        <v>171.0</v>
      </c>
      <c r="J193" s="236">
        <v>7.1649315E7</v>
      </c>
      <c r="K193" s="11">
        <v>8.0</v>
      </c>
      <c r="L193" s="11">
        <v>7.0</v>
      </c>
      <c r="M193" s="237" t="str">
        <f t="shared" si="1"/>
        <v>018171007164931587</v>
      </c>
      <c r="N193" s="238">
        <v>-52665.13</v>
      </c>
      <c r="O193" s="110">
        <v>72315.0</v>
      </c>
      <c r="P193" s="11">
        <v>78.0</v>
      </c>
      <c r="Q193" s="239"/>
      <c r="R193" s="17">
        <v>66.0</v>
      </c>
    </row>
    <row r="194">
      <c r="A194" s="11">
        <v>16.0</v>
      </c>
      <c r="B194" s="11">
        <v>65.0</v>
      </c>
      <c r="C194" s="11">
        <v>5.0</v>
      </c>
      <c r="D194" s="11" t="s">
        <v>39</v>
      </c>
      <c r="E194" s="234">
        <v>55.0</v>
      </c>
      <c r="F194" s="235">
        <v>77.0</v>
      </c>
      <c r="G194" s="235">
        <v>77.0</v>
      </c>
      <c r="H194" s="234">
        <v>55.0</v>
      </c>
      <c r="I194" s="235">
        <v>77.0</v>
      </c>
      <c r="J194" s="236">
        <v>3.5487607E7</v>
      </c>
      <c r="K194" s="11">
        <v>16.0</v>
      </c>
      <c r="L194" s="11">
        <v>6.0</v>
      </c>
      <c r="M194" s="237" t="str">
        <f t="shared" si="1"/>
        <v>0550770035487607166</v>
      </c>
      <c r="N194" s="238">
        <v>-7968.13</v>
      </c>
      <c r="O194" s="110">
        <v>11720.0</v>
      </c>
      <c r="P194" s="11">
        <v>80.0</v>
      </c>
      <c r="Q194" s="239"/>
      <c r="R194" s="17">
        <v>25.0</v>
      </c>
    </row>
    <row r="195">
      <c r="A195" s="11">
        <v>15.0</v>
      </c>
      <c r="B195" s="11">
        <v>24.0</v>
      </c>
      <c r="C195" s="11">
        <v>6.0</v>
      </c>
      <c r="D195" s="11" t="s">
        <v>5273</v>
      </c>
      <c r="E195" s="234">
        <v>15.0</v>
      </c>
      <c r="F195" s="235">
        <v>7.0</v>
      </c>
      <c r="G195" s="235">
        <v>7.0</v>
      </c>
      <c r="H195" s="234">
        <v>15.0</v>
      </c>
      <c r="I195" s="235">
        <v>7.0</v>
      </c>
      <c r="J195" s="236">
        <v>1.5860278E7</v>
      </c>
      <c r="K195" s="11">
        <v>88.0</v>
      </c>
      <c r="L195" s="11">
        <v>2.0</v>
      </c>
      <c r="M195" s="237" t="str">
        <f t="shared" si="1"/>
        <v>0150070015860278882</v>
      </c>
      <c r="N195" s="238">
        <v>-73599.62</v>
      </c>
      <c r="O195" s="110">
        <v>101921.0</v>
      </c>
      <c r="P195" s="11">
        <v>78.0</v>
      </c>
      <c r="Q195" s="239"/>
      <c r="R195" s="17">
        <v>25.0</v>
      </c>
    </row>
    <row r="196">
      <c r="A196" s="11">
        <v>12.0</v>
      </c>
      <c r="B196" s="11">
        <v>24.0</v>
      </c>
      <c r="C196" s="11">
        <v>2.0</v>
      </c>
      <c r="D196" s="11" t="s">
        <v>5273</v>
      </c>
      <c r="E196" s="234">
        <v>39.0</v>
      </c>
      <c r="F196" s="235">
        <v>169.0</v>
      </c>
      <c r="G196" s="235">
        <v>169.0</v>
      </c>
      <c r="H196" s="234">
        <v>39.0</v>
      </c>
      <c r="I196" s="235">
        <v>169.0</v>
      </c>
      <c r="J196" s="236">
        <v>5.9376185E7</v>
      </c>
      <c r="K196" s="11">
        <v>97.0</v>
      </c>
      <c r="L196" s="11">
        <v>3.0</v>
      </c>
      <c r="M196" s="237" t="str">
        <f t="shared" si="1"/>
        <v>0391690059376185973</v>
      </c>
      <c r="N196" s="238">
        <v>16065.57</v>
      </c>
      <c r="O196" s="110">
        <v>90415.0</v>
      </c>
      <c r="P196" s="11">
        <v>79.0</v>
      </c>
      <c r="Q196" s="239"/>
      <c r="R196" s="17">
        <v>86.0</v>
      </c>
    </row>
    <row r="197">
      <c r="A197" s="11">
        <v>14.0</v>
      </c>
      <c r="B197" s="11">
        <v>85.0</v>
      </c>
      <c r="C197" s="11">
        <v>3.0</v>
      </c>
      <c r="D197" s="11" t="s">
        <v>5271</v>
      </c>
      <c r="E197" s="234">
        <v>13.0</v>
      </c>
      <c r="F197" s="235">
        <v>309.0</v>
      </c>
      <c r="G197" s="235">
        <v>309.0</v>
      </c>
      <c r="H197" s="234">
        <v>13.0</v>
      </c>
      <c r="I197" s="235">
        <v>309.0</v>
      </c>
      <c r="J197" s="236">
        <v>7.7768144E7</v>
      </c>
      <c r="K197" s="11">
        <v>46.0</v>
      </c>
      <c r="L197" s="11">
        <v>7.0</v>
      </c>
      <c r="M197" s="237" t="str">
        <f t="shared" si="1"/>
        <v>0133090077768144467</v>
      </c>
      <c r="N197" s="238">
        <v>-13246.75</v>
      </c>
      <c r="O197" s="110">
        <v>30519.0</v>
      </c>
      <c r="P197" s="11">
        <v>71.0</v>
      </c>
      <c r="Q197" s="239"/>
      <c r="R197" s="17">
        <v>86.0</v>
      </c>
    </row>
    <row r="198">
      <c r="A198" s="11">
        <v>19.0</v>
      </c>
      <c r="B198" s="11">
        <v>44.0</v>
      </c>
      <c r="C198" s="11">
        <v>5.0</v>
      </c>
      <c r="D198" s="11" t="s">
        <v>31</v>
      </c>
      <c r="E198" s="234">
        <v>31.0</v>
      </c>
      <c r="F198" s="235">
        <v>95.0</v>
      </c>
      <c r="G198" s="235">
        <v>95.0</v>
      </c>
      <c r="H198" s="234">
        <v>31.0</v>
      </c>
      <c r="I198" s="235">
        <v>95.0</v>
      </c>
      <c r="J198" s="236">
        <v>2.1143015E7</v>
      </c>
      <c r="K198" s="11">
        <v>74.0</v>
      </c>
      <c r="L198" s="11">
        <v>7.0</v>
      </c>
      <c r="M198" s="237" t="str">
        <f t="shared" si="1"/>
        <v>0310950021143015747</v>
      </c>
      <c r="N198" s="238">
        <v>34053.06</v>
      </c>
      <c r="O198" s="110">
        <v>90813.0</v>
      </c>
      <c r="P198" s="11">
        <v>79.0</v>
      </c>
      <c r="Q198" s="239"/>
      <c r="R198" s="17">
        <v>45.0</v>
      </c>
    </row>
    <row r="199">
      <c r="A199" s="11">
        <v>15.0</v>
      </c>
      <c r="B199" s="11">
        <v>85.0</v>
      </c>
      <c r="C199" s="11">
        <v>7.0</v>
      </c>
      <c r="D199" s="11" t="s">
        <v>5272</v>
      </c>
      <c r="E199" s="234">
        <v>51.0</v>
      </c>
      <c r="F199" s="235">
        <v>65.0</v>
      </c>
      <c r="G199" s="235">
        <v>65.0</v>
      </c>
      <c r="H199" s="234">
        <v>51.0</v>
      </c>
      <c r="I199" s="235">
        <v>65.0</v>
      </c>
      <c r="J199" s="236">
        <v>3.3307914E7</v>
      </c>
      <c r="K199" s="11">
        <v>20.0</v>
      </c>
      <c r="L199" s="11">
        <v>9.0</v>
      </c>
      <c r="M199" s="237" t="str">
        <f t="shared" si="1"/>
        <v>0510650033307914209</v>
      </c>
      <c r="N199" s="238">
        <v>63025.59</v>
      </c>
      <c r="O199" s="110">
        <v>121218.0</v>
      </c>
      <c r="P199" s="11">
        <v>75.0</v>
      </c>
      <c r="Q199" s="239"/>
      <c r="R199" s="17">
        <v>86.0</v>
      </c>
    </row>
    <row r="200">
      <c r="A200" s="11">
        <v>20.0</v>
      </c>
      <c r="B200" s="11">
        <v>85.0</v>
      </c>
      <c r="C200" s="11">
        <v>8.0</v>
      </c>
      <c r="D200" s="11" t="s">
        <v>29</v>
      </c>
      <c r="E200" s="234">
        <v>40.0</v>
      </c>
      <c r="F200" s="235">
        <v>13.0</v>
      </c>
      <c r="G200" s="235">
        <v>13.0</v>
      </c>
      <c r="H200" s="234">
        <v>40.0</v>
      </c>
      <c r="I200" s="235">
        <v>13.0</v>
      </c>
      <c r="J200" s="236">
        <v>7.0479084E7</v>
      </c>
      <c r="K200" s="11">
        <v>11.0</v>
      </c>
      <c r="L200" s="11">
        <v>8.0</v>
      </c>
      <c r="M200" s="237" t="str">
        <f t="shared" si="1"/>
        <v>0400130070479084118</v>
      </c>
      <c r="N200" s="238">
        <v>-16269.79</v>
      </c>
      <c r="O200" s="110">
        <v>100917.0</v>
      </c>
      <c r="P200" s="11">
        <v>72.0</v>
      </c>
      <c r="Q200" s="239"/>
      <c r="R200" s="17">
        <v>66.0</v>
      </c>
    </row>
    <row r="201">
      <c r="A201" s="11">
        <v>17.0</v>
      </c>
      <c r="B201" s="11">
        <v>85.0</v>
      </c>
      <c r="C201" s="11">
        <v>1.0</v>
      </c>
      <c r="D201" s="11" t="s">
        <v>5271</v>
      </c>
      <c r="E201" s="234">
        <v>46.0</v>
      </c>
      <c r="F201" s="235">
        <v>35.0</v>
      </c>
      <c r="G201" s="235">
        <v>35.0</v>
      </c>
      <c r="H201" s="234">
        <v>46.0</v>
      </c>
      <c r="I201" s="235">
        <v>35.0</v>
      </c>
      <c r="J201" s="236">
        <v>5.4446833E7</v>
      </c>
      <c r="K201" s="11">
        <v>79.0</v>
      </c>
      <c r="L201" s="11">
        <v>0.0</v>
      </c>
      <c r="M201" s="237" t="str">
        <f t="shared" si="1"/>
        <v>0460350054446833790</v>
      </c>
      <c r="N201" s="238">
        <v>79616.93</v>
      </c>
      <c r="O201" s="110">
        <v>60414.0</v>
      </c>
      <c r="P201" s="11">
        <v>74.0</v>
      </c>
      <c r="Q201" s="239"/>
      <c r="R201" s="17">
        <v>45.0</v>
      </c>
    </row>
    <row r="202">
      <c r="A202" s="11">
        <v>20.0</v>
      </c>
      <c r="B202" s="11">
        <v>85.0</v>
      </c>
      <c r="C202" s="11">
        <v>9.0</v>
      </c>
      <c r="D202" s="11" t="s">
        <v>5273</v>
      </c>
      <c r="E202" s="234">
        <v>35.0</v>
      </c>
      <c r="F202" s="235">
        <v>27.0</v>
      </c>
      <c r="G202" s="235">
        <v>27.0</v>
      </c>
      <c r="H202" s="234">
        <v>35.0</v>
      </c>
      <c r="I202" s="235">
        <v>27.0</v>
      </c>
      <c r="J202" s="236">
        <v>9.0306319E7</v>
      </c>
      <c r="K202" s="11">
        <v>58.0</v>
      </c>
      <c r="L202" s="11">
        <v>3.0</v>
      </c>
      <c r="M202" s="237" t="str">
        <f t="shared" si="1"/>
        <v>0350270090306319583</v>
      </c>
      <c r="N202" s="238">
        <v>46212.53</v>
      </c>
      <c r="O202" s="110">
        <v>82815.0</v>
      </c>
      <c r="P202" s="11">
        <v>76.0</v>
      </c>
      <c r="Q202" s="239"/>
      <c r="R202" s="17">
        <v>66.0</v>
      </c>
    </row>
    <row r="203">
      <c r="A203" s="11">
        <v>17.0</v>
      </c>
      <c r="B203" s="11">
        <v>65.0</v>
      </c>
      <c r="C203" s="11">
        <v>7.0</v>
      </c>
      <c r="D203" s="11" t="s">
        <v>5271</v>
      </c>
      <c r="E203" s="234">
        <v>17.0</v>
      </c>
      <c r="F203" s="235">
        <v>67.0</v>
      </c>
      <c r="G203" s="235">
        <v>67.0</v>
      </c>
      <c r="H203" s="234">
        <v>17.0</v>
      </c>
      <c r="I203" s="235">
        <v>67.0</v>
      </c>
      <c r="J203" s="236">
        <v>3.3037187E7</v>
      </c>
      <c r="K203" s="11">
        <v>74.0</v>
      </c>
      <c r="L203" s="11">
        <v>2.0</v>
      </c>
      <c r="M203" s="237" t="str">
        <f t="shared" si="1"/>
        <v>0170670033037187742</v>
      </c>
      <c r="N203" s="238">
        <v>13359.53</v>
      </c>
      <c r="O203" s="110">
        <v>72916.0</v>
      </c>
      <c r="P203" s="11">
        <v>74.0</v>
      </c>
      <c r="Q203" s="239"/>
      <c r="R203" s="17">
        <v>86.0</v>
      </c>
    </row>
    <row r="204">
      <c r="A204" s="11">
        <v>20.0</v>
      </c>
      <c r="B204" s="11">
        <v>44.0</v>
      </c>
      <c r="C204" s="11">
        <v>3.0</v>
      </c>
      <c r="D204" s="11" t="s">
        <v>5271</v>
      </c>
      <c r="E204" s="234">
        <v>5.0</v>
      </c>
      <c r="F204" s="235">
        <v>135.0</v>
      </c>
      <c r="G204" s="235">
        <v>135.0</v>
      </c>
      <c r="H204" s="234">
        <v>5.0</v>
      </c>
      <c r="I204" s="235">
        <v>135.0</v>
      </c>
      <c r="J204" s="236">
        <v>5.0362034E7</v>
      </c>
      <c r="K204" s="11">
        <v>91.0</v>
      </c>
      <c r="L204" s="11">
        <v>5.0</v>
      </c>
      <c r="M204" s="237" t="str">
        <f t="shared" si="1"/>
        <v>051350050362034915</v>
      </c>
      <c r="N204" s="238">
        <v>87805.89</v>
      </c>
      <c r="O204" s="110">
        <v>100114.0</v>
      </c>
      <c r="P204" s="11">
        <v>79.0</v>
      </c>
      <c r="Q204" s="239"/>
      <c r="R204" s="17">
        <v>45.0</v>
      </c>
    </row>
    <row r="205">
      <c r="A205" s="11">
        <v>19.0</v>
      </c>
      <c r="B205" s="11">
        <v>65.0</v>
      </c>
      <c r="C205" s="11">
        <v>9.0</v>
      </c>
      <c r="D205" s="11" t="s">
        <v>5272</v>
      </c>
      <c r="E205" s="234">
        <v>48.0</v>
      </c>
      <c r="F205" s="235">
        <v>29.0</v>
      </c>
      <c r="G205" s="235">
        <v>29.0</v>
      </c>
      <c r="H205" s="234">
        <v>48.0</v>
      </c>
      <c r="I205" s="235">
        <v>29.0</v>
      </c>
      <c r="J205" s="236">
        <v>6.8286679E7</v>
      </c>
      <c r="K205" s="11">
        <v>95.0</v>
      </c>
      <c r="L205" s="11">
        <v>2.0</v>
      </c>
      <c r="M205" s="237" t="str">
        <f t="shared" si="1"/>
        <v>0480290068286679952</v>
      </c>
      <c r="N205" s="238">
        <v>4025.17</v>
      </c>
      <c r="O205" s="110">
        <v>60223.0</v>
      </c>
      <c r="P205" s="11">
        <v>73.0</v>
      </c>
      <c r="Q205" s="239"/>
      <c r="R205" s="17">
        <v>45.0</v>
      </c>
    </row>
    <row r="206">
      <c r="A206" s="11">
        <v>12.0</v>
      </c>
      <c r="B206" s="11">
        <v>85.0</v>
      </c>
      <c r="C206" s="11">
        <v>5.0</v>
      </c>
      <c r="D206" s="11" t="s">
        <v>5272</v>
      </c>
      <c r="E206" s="234">
        <v>21.0</v>
      </c>
      <c r="F206" s="235">
        <v>197.0</v>
      </c>
      <c r="G206" s="235">
        <v>197.0</v>
      </c>
      <c r="H206" s="234">
        <v>21.0</v>
      </c>
      <c r="I206" s="235">
        <v>197.0</v>
      </c>
      <c r="J206" s="236">
        <v>6.6683816E7</v>
      </c>
      <c r="K206" s="11">
        <v>25.0</v>
      </c>
      <c r="L206" s="11">
        <v>3.0</v>
      </c>
      <c r="M206" s="237" t="str">
        <f t="shared" si="1"/>
        <v>0211970066683816253</v>
      </c>
      <c r="N206" s="238">
        <v>-45632.38</v>
      </c>
      <c r="O206" s="110">
        <v>52013.0</v>
      </c>
      <c r="P206" s="11">
        <v>73.0</v>
      </c>
      <c r="Q206" s="239"/>
      <c r="R206" s="17">
        <v>25.0</v>
      </c>
    </row>
    <row r="207">
      <c r="A207" s="11">
        <v>19.0</v>
      </c>
      <c r="B207" s="11">
        <v>44.0</v>
      </c>
      <c r="C207" s="11">
        <v>4.0</v>
      </c>
      <c r="D207" s="11" t="s">
        <v>39</v>
      </c>
      <c r="E207" s="234">
        <v>18.0</v>
      </c>
      <c r="F207" s="235">
        <v>137.0</v>
      </c>
      <c r="G207" s="235">
        <v>137.0</v>
      </c>
      <c r="H207" s="234">
        <v>18.0</v>
      </c>
      <c r="I207" s="235">
        <v>137.0</v>
      </c>
      <c r="J207" s="236">
        <v>7.7304592E7</v>
      </c>
      <c r="K207" s="11">
        <v>13.0</v>
      </c>
      <c r="L207" s="11">
        <v>5.0</v>
      </c>
      <c r="M207" s="237" t="str">
        <f t="shared" si="1"/>
        <v>0181370077304592135</v>
      </c>
      <c r="N207" s="238">
        <v>41745.49</v>
      </c>
      <c r="O207" s="110">
        <v>121023.0</v>
      </c>
      <c r="P207" s="11">
        <v>79.0</v>
      </c>
      <c r="Q207" s="239"/>
      <c r="R207" s="17">
        <v>45.0</v>
      </c>
    </row>
    <row r="208">
      <c r="A208" s="11">
        <v>18.0</v>
      </c>
      <c r="B208" s="11">
        <v>85.0</v>
      </c>
      <c r="C208" s="11">
        <v>8.0</v>
      </c>
      <c r="D208" s="11" t="s">
        <v>29</v>
      </c>
      <c r="E208" s="234">
        <v>51.0</v>
      </c>
      <c r="F208" s="235">
        <v>25.0</v>
      </c>
      <c r="G208" s="235">
        <v>25.0</v>
      </c>
      <c r="H208" s="234">
        <v>51.0</v>
      </c>
      <c r="I208" s="235">
        <v>25.0</v>
      </c>
      <c r="J208" s="236">
        <v>5.6950015E7</v>
      </c>
      <c r="K208" s="11">
        <v>50.0</v>
      </c>
      <c r="L208" s="11">
        <v>6.0</v>
      </c>
      <c r="M208" s="237" t="str">
        <f t="shared" si="1"/>
        <v>0510250056950015506</v>
      </c>
      <c r="N208" s="238">
        <v>-44111.39</v>
      </c>
      <c r="O208" s="110">
        <v>100415.0</v>
      </c>
      <c r="P208" s="11">
        <v>77.0</v>
      </c>
      <c r="Q208" s="239"/>
      <c r="R208" s="17">
        <v>25.0</v>
      </c>
    </row>
    <row r="209">
      <c r="A209" s="11">
        <v>13.0</v>
      </c>
      <c r="B209" s="11">
        <v>85.0</v>
      </c>
      <c r="C209" s="11">
        <v>4.0</v>
      </c>
      <c r="D209" s="11" t="s">
        <v>5273</v>
      </c>
      <c r="E209" s="234">
        <v>54.0</v>
      </c>
      <c r="F209" s="235">
        <v>17.0</v>
      </c>
      <c r="G209" s="235">
        <v>17.0</v>
      </c>
      <c r="H209" s="234">
        <v>54.0</v>
      </c>
      <c r="I209" s="235">
        <v>17.0</v>
      </c>
      <c r="J209" s="236">
        <v>3.7172741E7</v>
      </c>
      <c r="K209" s="11">
        <v>86.0</v>
      </c>
      <c r="L209" s="11">
        <v>9.0</v>
      </c>
      <c r="M209" s="237" t="str">
        <f t="shared" si="1"/>
        <v>0540170037172741869</v>
      </c>
      <c r="N209" s="238">
        <v>-6468.1</v>
      </c>
      <c r="O209" s="110">
        <v>102421.0</v>
      </c>
      <c r="P209" s="11">
        <v>80.0</v>
      </c>
      <c r="Q209" s="239"/>
      <c r="R209" s="17">
        <v>46.0</v>
      </c>
    </row>
    <row r="210">
      <c r="A210" s="11">
        <v>18.0</v>
      </c>
      <c r="B210" s="11">
        <v>65.0</v>
      </c>
      <c r="C210" s="11">
        <v>6.0</v>
      </c>
      <c r="D210" s="11" t="s">
        <v>5271</v>
      </c>
      <c r="E210" s="234">
        <v>45.0</v>
      </c>
      <c r="F210" s="235">
        <v>33.0</v>
      </c>
      <c r="G210" s="235">
        <v>33.0</v>
      </c>
      <c r="H210" s="234">
        <v>45.0</v>
      </c>
      <c r="I210" s="235">
        <v>33.0</v>
      </c>
      <c r="J210" s="236">
        <v>8.9900683E7</v>
      </c>
      <c r="K210" s="11">
        <v>34.0</v>
      </c>
      <c r="L210" s="11">
        <v>3.0</v>
      </c>
      <c r="M210" s="237" t="str">
        <f t="shared" si="1"/>
        <v>0450330089900683343</v>
      </c>
      <c r="N210" s="238">
        <v>-98189.15</v>
      </c>
      <c r="O210" s="110">
        <v>101017.0</v>
      </c>
      <c r="P210" s="11">
        <v>70.0</v>
      </c>
      <c r="Q210" s="239"/>
      <c r="R210" s="17">
        <v>87.0</v>
      </c>
    </row>
    <row r="211">
      <c r="A211" s="11">
        <v>18.0</v>
      </c>
      <c r="B211" s="11">
        <v>24.0</v>
      </c>
      <c r="C211" s="11">
        <v>9.0</v>
      </c>
      <c r="D211" s="11" t="s">
        <v>5272</v>
      </c>
      <c r="E211" s="234">
        <v>13.0</v>
      </c>
      <c r="F211" s="235">
        <v>131.0</v>
      </c>
      <c r="G211" s="235">
        <v>131.0</v>
      </c>
      <c r="H211" s="234">
        <v>13.0</v>
      </c>
      <c r="I211" s="235">
        <v>131.0</v>
      </c>
      <c r="J211" s="236">
        <v>7.7159606E7</v>
      </c>
      <c r="K211" s="11">
        <v>22.0</v>
      </c>
      <c r="L211" s="11">
        <v>9.0</v>
      </c>
      <c r="M211" s="237" t="str">
        <f t="shared" si="1"/>
        <v>0131310077159606229</v>
      </c>
      <c r="N211" s="238">
        <v>6237.25</v>
      </c>
      <c r="O211" s="110">
        <v>122522.0</v>
      </c>
      <c r="P211" s="11">
        <v>74.0</v>
      </c>
      <c r="Q211" s="239"/>
      <c r="R211" s="17">
        <v>66.0</v>
      </c>
    </row>
    <row r="212">
      <c r="A212" s="11">
        <v>20.0</v>
      </c>
      <c r="B212" s="11">
        <v>65.0</v>
      </c>
      <c r="C212" s="11">
        <v>2.0</v>
      </c>
      <c r="D212" s="11" t="s">
        <v>39</v>
      </c>
      <c r="E212" s="234">
        <v>5.0</v>
      </c>
      <c r="F212" s="235">
        <v>39.0</v>
      </c>
      <c r="G212" s="235">
        <v>39.0</v>
      </c>
      <c r="H212" s="234">
        <v>5.0</v>
      </c>
      <c r="I212" s="235">
        <v>39.0</v>
      </c>
      <c r="J212" s="236">
        <v>2.8826476E7</v>
      </c>
      <c r="K212" s="11">
        <v>97.0</v>
      </c>
      <c r="L212" s="11">
        <v>9.0</v>
      </c>
      <c r="M212" s="237" t="str">
        <f t="shared" si="1"/>
        <v>050390028826476979</v>
      </c>
      <c r="N212" s="238">
        <v>-92372.07</v>
      </c>
      <c r="O212" s="110">
        <v>32516.0</v>
      </c>
      <c r="P212" s="11">
        <v>73.0</v>
      </c>
      <c r="Q212" s="239"/>
      <c r="R212" s="17">
        <v>46.0</v>
      </c>
    </row>
    <row r="213">
      <c r="A213" s="11">
        <v>18.0</v>
      </c>
      <c r="B213" s="11">
        <v>65.0</v>
      </c>
      <c r="C213" s="11">
        <v>2.0</v>
      </c>
      <c r="D213" s="11" t="s">
        <v>5273</v>
      </c>
      <c r="E213" s="234">
        <v>4.0</v>
      </c>
      <c r="F213" s="235">
        <v>27.0</v>
      </c>
      <c r="G213" s="235">
        <v>27.0</v>
      </c>
      <c r="H213" s="234">
        <v>4.0</v>
      </c>
      <c r="I213" s="235">
        <v>27.0</v>
      </c>
      <c r="J213" s="236">
        <v>6.0481347E7</v>
      </c>
      <c r="K213" s="11">
        <v>46.0</v>
      </c>
      <c r="L213" s="11">
        <v>1.0</v>
      </c>
      <c r="M213" s="237" t="str">
        <f t="shared" si="1"/>
        <v>040270060481347461</v>
      </c>
      <c r="N213" s="238">
        <v>59196.76</v>
      </c>
      <c r="O213" s="110">
        <v>91220.0</v>
      </c>
      <c r="P213" s="11">
        <v>79.0</v>
      </c>
      <c r="Q213" s="239"/>
      <c r="R213" s="17">
        <v>66.0</v>
      </c>
    </row>
    <row r="214">
      <c r="A214" s="11">
        <v>13.0</v>
      </c>
      <c r="B214" s="11">
        <v>65.0</v>
      </c>
      <c r="C214" s="11">
        <v>8.0</v>
      </c>
      <c r="D214" s="11" t="s">
        <v>5273</v>
      </c>
      <c r="E214" s="234">
        <v>29.0</v>
      </c>
      <c r="F214" s="235">
        <v>209.0</v>
      </c>
      <c r="G214" s="235">
        <v>209.0</v>
      </c>
      <c r="H214" s="234">
        <v>29.0</v>
      </c>
      <c r="I214" s="235">
        <v>209.0</v>
      </c>
      <c r="J214" s="236">
        <v>7.1411726E7</v>
      </c>
      <c r="K214" s="11">
        <v>67.0</v>
      </c>
      <c r="L214" s="11">
        <v>6.0</v>
      </c>
      <c r="M214" s="237" t="str">
        <f t="shared" si="1"/>
        <v>0292090071411726676</v>
      </c>
      <c r="N214" s="238">
        <v>85298.54</v>
      </c>
      <c r="O214" s="110">
        <v>70618.0</v>
      </c>
      <c r="P214" s="11">
        <v>75.0</v>
      </c>
      <c r="Q214" s="239"/>
      <c r="R214" s="17">
        <v>25.0</v>
      </c>
    </row>
    <row r="215">
      <c r="A215" s="11">
        <v>11.0</v>
      </c>
      <c r="B215" s="11">
        <v>24.0</v>
      </c>
      <c r="C215" s="11">
        <v>7.0</v>
      </c>
      <c r="D215" s="11" t="s">
        <v>5272</v>
      </c>
      <c r="E215" s="234">
        <v>21.0</v>
      </c>
      <c r="F215" s="235">
        <v>155.0</v>
      </c>
      <c r="G215" s="235">
        <v>155.0</v>
      </c>
      <c r="H215" s="234">
        <v>21.0</v>
      </c>
      <c r="I215" s="235">
        <v>155.0</v>
      </c>
      <c r="J215" s="236">
        <v>8.8804318E7</v>
      </c>
      <c r="K215" s="11">
        <v>25.0</v>
      </c>
      <c r="L215" s="11">
        <v>5.0</v>
      </c>
      <c r="M215" s="237" t="str">
        <f t="shared" si="1"/>
        <v>0211550088804318255</v>
      </c>
      <c r="N215" s="238">
        <v>80895.7</v>
      </c>
      <c r="O215" s="110">
        <v>31821.0</v>
      </c>
      <c r="P215" s="11">
        <v>73.0</v>
      </c>
      <c r="Q215" s="239"/>
      <c r="R215" s="17">
        <v>87.0</v>
      </c>
    </row>
    <row r="216">
      <c r="A216" s="11">
        <v>13.0</v>
      </c>
      <c r="B216" s="11">
        <v>24.0</v>
      </c>
      <c r="C216" s="11">
        <v>5.0</v>
      </c>
      <c r="D216" s="11" t="s">
        <v>5273</v>
      </c>
      <c r="E216" s="234">
        <v>37.0</v>
      </c>
      <c r="F216" s="235">
        <v>187.0</v>
      </c>
      <c r="G216" s="235">
        <v>187.0</v>
      </c>
      <c r="H216" s="234">
        <v>37.0</v>
      </c>
      <c r="I216" s="235">
        <v>187.0</v>
      </c>
      <c r="J216" s="236">
        <v>1.5803634E7</v>
      </c>
      <c r="K216" s="11">
        <v>89.0</v>
      </c>
      <c r="L216" s="11">
        <v>1.0</v>
      </c>
      <c r="M216" s="237" t="str">
        <f t="shared" si="1"/>
        <v>0371870015803634891</v>
      </c>
      <c r="N216" s="238">
        <v>23100.77</v>
      </c>
      <c r="O216" s="110">
        <v>41814.0</v>
      </c>
      <c r="P216" s="11">
        <v>78.0</v>
      </c>
      <c r="Q216" s="239"/>
      <c r="R216" s="17">
        <v>25.0</v>
      </c>
    </row>
    <row r="217">
      <c r="A217" s="11">
        <v>14.0</v>
      </c>
      <c r="B217" s="11">
        <v>24.0</v>
      </c>
      <c r="C217" s="11">
        <v>1.0</v>
      </c>
      <c r="D217" s="11" t="s">
        <v>5271</v>
      </c>
      <c r="E217" s="234">
        <v>37.0</v>
      </c>
      <c r="F217" s="235">
        <v>87.0</v>
      </c>
      <c r="G217" s="235">
        <v>87.0</v>
      </c>
      <c r="H217" s="234">
        <v>37.0</v>
      </c>
      <c r="I217" s="235">
        <v>87.0</v>
      </c>
      <c r="J217" s="236">
        <v>3.8471535E7</v>
      </c>
      <c r="K217" s="11">
        <v>36.0</v>
      </c>
      <c r="L217" s="11">
        <v>9.0</v>
      </c>
      <c r="M217" s="237" t="str">
        <f t="shared" si="1"/>
        <v>0370870038471535369</v>
      </c>
      <c r="N217" s="238">
        <v>-36390.1</v>
      </c>
      <c r="O217" s="110">
        <v>92319.0</v>
      </c>
      <c r="P217" s="11">
        <v>76.0</v>
      </c>
      <c r="Q217" s="239"/>
      <c r="R217" s="17">
        <v>25.0</v>
      </c>
    </row>
    <row r="218">
      <c r="A218" s="11">
        <v>17.0</v>
      </c>
      <c r="B218" s="11">
        <v>86.0</v>
      </c>
      <c r="C218" s="11">
        <v>5.0</v>
      </c>
      <c r="D218" s="11" t="s">
        <v>39</v>
      </c>
      <c r="E218" s="234">
        <v>48.0</v>
      </c>
      <c r="F218" s="235">
        <v>295.0</v>
      </c>
      <c r="G218" s="235">
        <v>295.0</v>
      </c>
      <c r="H218" s="234">
        <v>48.0</v>
      </c>
      <c r="I218" s="235">
        <v>295.0</v>
      </c>
      <c r="J218" s="236">
        <v>6.5128556E7</v>
      </c>
      <c r="K218" s="11">
        <v>35.0</v>
      </c>
      <c r="L218" s="11">
        <v>2.0</v>
      </c>
      <c r="M218" s="237" t="str">
        <f t="shared" si="1"/>
        <v>0482950065128556352</v>
      </c>
      <c r="N218" s="238">
        <v>-87001.08</v>
      </c>
      <c r="O218" s="110">
        <v>100918.0</v>
      </c>
      <c r="P218" s="11">
        <v>74.0</v>
      </c>
      <c r="Q218" s="239"/>
      <c r="R218" s="17">
        <v>66.0</v>
      </c>
    </row>
    <row r="219">
      <c r="A219" s="11">
        <v>13.0</v>
      </c>
      <c r="B219" s="11">
        <v>65.0</v>
      </c>
      <c r="C219" s="11">
        <v>5.0</v>
      </c>
      <c r="D219" s="11" t="s">
        <v>31</v>
      </c>
      <c r="E219" s="234">
        <v>12.0</v>
      </c>
      <c r="F219" s="235">
        <v>37.0</v>
      </c>
      <c r="G219" s="235">
        <v>37.0</v>
      </c>
      <c r="H219" s="234">
        <v>12.0</v>
      </c>
      <c r="I219" s="235">
        <v>37.0</v>
      </c>
      <c r="J219" s="236">
        <v>1.8082802E7</v>
      </c>
      <c r="K219" s="11">
        <v>87.0</v>
      </c>
      <c r="L219" s="11">
        <v>0.0</v>
      </c>
      <c r="M219" s="237" t="str">
        <f t="shared" si="1"/>
        <v>0120370018082802870</v>
      </c>
      <c r="N219" s="238">
        <v>63945.3</v>
      </c>
      <c r="O219" s="110">
        <v>62414.0</v>
      </c>
      <c r="P219" s="11">
        <v>75.0</v>
      </c>
      <c r="Q219" s="239"/>
      <c r="R219" s="17">
        <v>25.0</v>
      </c>
    </row>
    <row r="220">
      <c r="A220" s="11">
        <v>14.0</v>
      </c>
      <c r="B220" s="11">
        <v>65.0</v>
      </c>
      <c r="C220" s="11">
        <v>2.0</v>
      </c>
      <c r="D220" s="11" t="s">
        <v>5272</v>
      </c>
      <c r="E220" s="234">
        <v>29.0</v>
      </c>
      <c r="F220" s="235">
        <v>81.0</v>
      </c>
      <c r="G220" s="235">
        <v>81.0</v>
      </c>
      <c r="H220" s="234">
        <v>29.0</v>
      </c>
      <c r="I220" s="235">
        <v>81.0</v>
      </c>
      <c r="J220" s="236">
        <v>4.4049315E7</v>
      </c>
      <c r="K220" s="11">
        <v>78.0</v>
      </c>
      <c r="L220" s="11">
        <v>7.0</v>
      </c>
      <c r="M220" s="237" t="str">
        <f t="shared" si="1"/>
        <v>0290810044049315787</v>
      </c>
      <c r="N220" s="238">
        <v>88708.73</v>
      </c>
      <c r="O220" s="110">
        <v>80914.0</v>
      </c>
      <c r="P220" s="11">
        <v>75.0</v>
      </c>
      <c r="Q220" s="239"/>
      <c r="R220" s="17">
        <v>25.0</v>
      </c>
    </row>
    <row r="221">
      <c r="A221" s="11">
        <v>13.0</v>
      </c>
      <c r="B221" s="11">
        <v>24.0</v>
      </c>
      <c r="C221" s="11">
        <v>6.0</v>
      </c>
      <c r="D221" s="11" t="s">
        <v>5271</v>
      </c>
      <c r="E221" s="234">
        <v>47.0</v>
      </c>
      <c r="F221" s="235">
        <v>59.0</v>
      </c>
      <c r="G221" s="235">
        <v>59.0</v>
      </c>
      <c r="H221" s="234">
        <v>47.0</v>
      </c>
      <c r="I221" s="235">
        <v>59.0</v>
      </c>
      <c r="J221" s="236">
        <v>1.2901455E7</v>
      </c>
      <c r="K221" s="11">
        <v>53.0</v>
      </c>
      <c r="L221" s="11">
        <v>5.0</v>
      </c>
      <c r="M221" s="237" t="str">
        <f t="shared" si="1"/>
        <v>0470590012901455535</v>
      </c>
      <c r="N221" s="238">
        <v>56310.37</v>
      </c>
      <c r="O221" s="110">
        <v>122316.0</v>
      </c>
      <c r="P221" s="11">
        <v>80.0</v>
      </c>
      <c r="Q221" s="239"/>
      <c r="R221" s="17">
        <v>46.0</v>
      </c>
    </row>
    <row r="222">
      <c r="A222" s="11">
        <v>14.0</v>
      </c>
      <c r="B222" s="11">
        <v>24.0</v>
      </c>
      <c r="C222" s="11">
        <v>6.0</v>
      </c>
      <c r="D222" s="11" t="s">
        <v>5273</v>
      </c>
      <c r="E222" s="234">
        <v>17.0</v>
      </c>
      <c r="F222" s="235">
        <v>45.0</v>
      </c>
      <c r="G222" s="235">
        <v>45.0</v>
      </c>
      <c r="H222" s="234">
        <v>17.0</v>
      </c>
      <c r="I222" s="235">
        <v>45.0</v>
      </c>
      <c r="J222" s="236">
        <v>4.5825218E7</v>
      </c>
      <c r="K222" s="11">
        <v>63.0</v>
      </c>
      <c r="L222" s="11">
        <v>5.0</v>
      </c>
      <c r="M222" s="237" t="str">
        <f t="shared" si="1"/>
        <v>0170450045825218635</v>
      </c>
      <c r="N222" s="238">
        <v>94804.9</v>
      </c>
      <c r="O222" s="110">
        <v>41020.0</v>
      </c>
      <c r="P222" s="11">
        <v>80.0</v>
      </c>
      <c r="Q222" s="239"/>
      <c r="R222" s="17">
        <v>66.0</v>
      </c>
    </row>
    <row r="223">
      <c r="A223" s="11">
        <v>17.0</v>
      </c>
      <c r="B223" s="11">
        <v>86.0</v>
      </c>
      <c r="C223" s="11">
        <v>8.0</v>
      </c>
      <c r="D223" s="11" t="s">
        <v>29</v>
      </c>
      <c r="E223" s="234">
        <v>48.0</v>
      </c>
      <c r="F223" s="235">
        <v>85.0</v>
      </c>
      <c r="G223" s="235">
        <v>85.0</v>
      </c>
      <c r="H223" s="234">
        <v>48.0</v>
      </c>
      <c r="I223" s="235">
        <v>85.0</v>
      </c>
      <c r="J223" s="236">
        <v>7.9878498E7</v>
      </c>
      <c r="K223" s="11">
        <v>33.0</v>
      </c>
      <c r="L223" s="11">
        <v>4.0</v>
      </c>
      <c r="M223" s="237" t="str">
        <f t="shared" si="1"/>
        <v>0480850079878498334</v>
      </c>
      <c r="N223" s="238">
        <v>54222.67</v>
      </c>
      <c r="O223" s="110">
        <v>63020.0</v>
      </c>
      <c r="P223" s="11">
        <v>72.0</v>
      </c>
      <c r="Q223" s="239"/>
      <c r="R223" s="17">
        <v>87.0</v>
      </c>
    </row>
    <row r="224">
      <c r="A224" s="11">
        <v>20.0</v>
      </c>
      <c r="B224" s="11">
        <v>65.0</v>
      </c>
      <c r="C224" s="11">
        <v>9.0</v>
      </c>
      <c r="D224" s="11" t="s">
        <v>31</v>
      </c>
      <c r="E224" s="234">
        <v>42.0</v>
      </c>
      <c r="F224" s="235">
        <v>23.0</v>
      </c>
      <c r="G224" s="235">
        <v>23.0</v>
      </c>
      <c r="H224" s="234">
        <v>42.0</v>
      </c>
      <c r="I224" s="235">
        <v>23.0</v>
      </c>
      <c r="J224" s="236">
        <v>6.7663292E7</v>
      </c>
      <c r="K224" s="11">
        <v>3.0</v>
      </c>
      <c r="L224" s="11">
        <v>9.0</v>
      </c>
      <c r="M224" s="237" t="str">
        <f t="shared" si="1"/>
        <v>042023006766329239</v>
      </c>
      <c r="N224" s="238">
        <v>-57482.77</v>
      </c>
      <c r="O224" s="110">
        <v>72513.0</v>
      </c>
      <c r="P224" s="11">
        <v>76.0</v>
      </c>
      <c r="Q224" s="239"/>
      <c r="R224" s="17">
        <v>46.0</v>
      </c>
    </row>
    <row r="225">
      <c r="A225" s="11">
        <v>17.0</v>
      </c>
      <c r="B225" s="11">
        <v>45.0</v>
      </c>
      <c r="C225" s="11">
        <v>4.0</v>
      </c>
      <c r="D225" s="11" t="s">
        <v>39</v>
      </c>
      <c r="E225" s="234">
        <v>33.0</v>
      </c>
      <c r="F225" s="235">
        <v>7.0</v>
      </c>
      <c r="G225" s="235">
        <v>7.0</v>
      </c>
      <c r="H225" s="234">
        <v>33.0</v>
      </c>
      <c r="I225" s="235">
        <v>7.0</v>
      </c>
      <c r="J225" s="236">
        <v>2.3638627E7</v>
      </c>
      <c r="K225" s="11">
        <v>89.0</v>
      </c>
      <c r="L225" s="11">
        <v>5.0</v>
      </c>
      <c r="M225" s="237" t="str">
        <f t="shared" si="1"/>
        <v>0330070023638627895</v>
      </c>
      <c r="N225" s="238">
        <v>-65305.95</v>
      </c>
      <c r="O225" s="110">
        <v>53013.0</v>
      </c>
      <c r="P225" s="11">
        <v>76.0</v>
      </c>
      <c r="Q225" s="239"/>
      <c r="R225" s="17">
        <v>25.0</v>
      </c>
    </row>
    <row r="226">
      <c r="A226" s="11">
        <v>14.0</v>
      </c>
      <c r="B226" s="11">
        <v>45.0</v>
      </c>
      <c r="C226" s="11">
        <v>9.0</v>
      </c>
      <c r="D226" s="11" t="s">
        <v>39</v>
      </c>
      <c r="E226" s="234">
        <v>6.0</v>
      </c>
      <c r="F226" s="235">
        <v>111.0</v>
      </c>
      <c r="G226" s="235">
        <v>111.0</v>
      </c>
      <c r="H226" s="234">
        <v>6.0</v>
      </c>
      <c r="I226" s="235">
        <v>111.0</v>
      </c>
      <c r="J226" s="236">
        <v>2.5126955E7</v>
      </c>
      <c r="K226" s="11">
        <v>31.0</v>
      </c>
      <c r="L226" s="11">
        <v>0.0</v>
      </c>
      <c r="M226" s="237" t="str">
        <f t="shared" si="1"/>
        <v>061110025126955310</v>
      </c>
      <c r="N226" s="238">
        <v>30963.51</v>
      </c>
      <c r="O226" s="110">
        <v>120613.0</v>
      </c>
      <c r="P226" s="11">
        <v>74.0</v>
      </c>
      <c r="Q226" s="239"/>
      <c r="R226" s="17">
        <v>66.0</v>
      </c>
    </row>
    <row r="227">
      <c r="A227" s="11">
        <v>17.0</v>
      </c>
      <c r="B227" s="11">
        <v>65.0</v>
      </c>
      <c r="C227" s="11">
        <v>8.0</v>
      </c>
      <c r="D227" s="11" t="s">
        <v>5271</v>
      </c>
      <c r="E227" s="234">
        <v>31.0</v>
      </c>
      <c r="F227" s="235">
        <v>133.0</v>
      </c>
      <c r="G227" s="235">
        <v>133.0</v>
      </c>
      <c r="H227" s="234">
        <v>31.0</v>
      </c>
      <c r="I227" s="235">
        <v>133.0</v>
      </c>
      <c r="J227" s="236">
        <v>9.1372039E7</v>
      </c>
      <c r="K227" s="11">
        <v>17.0</v>
      </c>
      <c r="L227" s="11">
        <v>2.0</v>
      </c>
      <c r="M227" s="237" t="str">
        <f t="shared" si="1"/>
        <v>0311330091372039172</v>
      </c>
      <c r="N227" s="238">
        <v>-81744.65</v>
      </c>
      <c r="O227" s="110">
        <v>22517.0</v>
      </c>
      <c r="P227" s="11">
        <v>72.0</v>
      </c>
      <c r="Q227" s="239"/>
      <c r="R227" s="17">
        <v>25.0</v>
      </c>
    </row>
    <row r="228">
      <c r="A228" s="11">
        <v>11.0</v>
      </c>
      <c r="B228" s="11">
        <v>24.0</v>
      </c>
      <c r="C228" s="11">
        <v>1.0</v>
      </c>
      <c r="D228" s="11" t="s">
        <v>5273</v>
      </c>
      <c r="E228" s="234">
        <v>38.0</v>
      </c>
      <c r="F228" s="235">
        <v>103.0</v>
      </c>
      <c r="G228" s="235">
        <v>103.0</v>
      </c>
      <c r="H228" s="234">
        <v>38.0</v>
      </c>
      <c r="I228" s="235">
        <v>103.0</v>
      </c>
      <c r="J228" s="236">
        <v>2.87653E7</v>
      </c>
      <c r="K228" s="11">
        <v>71.0</v>
      </c>
      <c r="L228" s="11">
        <v>8.0</v>
      </c>
      <c r="M228" s="237" t="str">
        <f t="shared" si="1"/>
        <v>0381030028765300718</v>
      </c>
      <c r="N228" s="238">
        <v>46177.58</v>
      </c>
      <c r="O228" s="110">
        <v>121213.0</v>
      </c>
      <c r="P228" s="11">
        <v>73.0</v>
      </c>
      <c r="Q228" s="239"/>
      <c r="R228" s="17">
        <v>66.0</v>
      </c>
    </row>
    <row r="229">
      <c r="A229" s="11">
        <v>11.0</v>
      </c>
      <c r="B229" s="11">
        <v>86.0</v>
      </c>
      <c r="C229" s="11">
        <v>1.0</v>
      </c>
      <c r="D229" s="11" t="s">
        <v>5273</v>
      </c>
      <c r="E229" s="234">
        <v>17.0</v>
      </c>
      <c r="F229" s="235">
        <v>149.0</v>
      </c>
      <c r="G229" s="235">
        <v>149.0</v>
      </c>
      <c r="H229" s="234">
        <v>17.0</v>
      </c>
      <c r="I229" s="235">
        <v>149.0</v>
      </c>
      <c r="J229" s="236">
        <v>1.3677577E7</v>
      </c>
      <c r="K229" s="11">
        <v>99.0</v>
      </c>
      <c r="L229" s="11">
        <v>4.0</v>
      </c>
      <c r="M229" s="237" t="str">
        <f t="shared" si="1"/>
        <v>0171490013677577994</v>
      </c>
      <c r="N229" s="238">
        <v>-42779.33</v>
      </c>
      <c r="O229" s="110">
        <v>90723.0</v>
      </c>
      <c r="P229" s="11">
        <v>77.0</v>
      </c>
      <c r="Q229" s="239"/>
      <c r="R229" s="17">
        <v>87.0</v>
      </c>
    </row>
    <row r="230">
      <c r="A230" s="11">
        <v>13.0</v>
      </c>
      <c r="B230" s="11">
        <v>45.0</v>
      </c>
      <c r="C230" s="11">
        <v>6.0</v>
      </c>
      <c r="D230" s="11" t="s">
        <v>5272</v>
      </c>
      <c r="E230" s="234">
        <v>27.0</v>
      </c>
      <c r="F230" s="235">
        <v>81.0</v>
      </c>
      <c r="G230" s="235">
        <v>81.0</v>
      </c>
      <c r="H230" s="234">
        <v>27.0</v>
      </c>
      <c r="I230" s="235">
        <v>81.0</v>
      </c>
      <c r="J230" s="236">
        <v>5.4661802E7</v>
      </c>
      <c r="K230" s="11">
        <v>49.0</v>
      </c>
      <c r="L230" s="11">
        <v>8.0</v>
      </c>
      <c r="M230" s="237" t="str">
        <f t="shared" si="1"/>
        <v>0270810054661802498</v>
      </c>
      <c r="N230" s="238">
        <v>43281.99</v>
      </c>
      <c r="O230" s="110">
        <v>101122.0</v>
      </c>
      <c r="P230" s="11">
        <v>70.0</v>
      </c>
      <c r="Q230" s="239"/>
      <c r="R230" s="17">
        <v>66.0</v>
      </c>
    </row>
    <row r="231">
      <c r="A231" s="11">
        <v>17.0</v>
      </c>
      <c r="B231" s="11">
        <v>86.0</v>
      </c>
      <c r="C231" s="11">
        <v>5.0</v>
      </c>
      <c r="D231" s="11" t="s">
        <v>31</v>
      </c>
      <c r="E231" s="234">
        <v>22.0</v>
      </c>
      <c r="F231" s="235">
        <v>89.0</v>
      </c>
      <c r="G231" s="235">
        <v>89.0</v>
      </c>
      <c r="H231" s="234">
        <v>22.0</v>
      </c>
      <c r="I231" s="235">
        <v>89.0</v>
      </c>
      <c r="J231" s="236">
        <v>8.1324325E7</v>
      </c>
      <c r="K231" s="11">
        <v>86.0</v>
      </c>
      <c r="L231" s="11">
        <v>2.0</v>
      </c>
      <c r="M231" s="237" t="str">
        <f t="shared" si="1"/>
        <v>0220890081324325862</v>
      </c>
      <c r="N231" s="238">
        <v>-60203.29</v>
      </c>
      <c r="O231" s="110">
        <v>31223.0</v>
      </c>
      <c r="P231" s="11">
        <v>70.0</v>
      </c>
      <c r="Q231" s="239"/>
      <c r="R231" s="17">
        <v>66.0</v>
      </c>
    </row>
    <row r="232">
      <c r="A232" s="11">
        <v>16.0</v>
      </c>
      <c r="B232" s="11">
        <v>65.0</v>
      </c>
      <c r="C232" s="11">
        <v>9.0</v>
      </c>
      <c r="D232" s="11" t="s">
        <v>31</v>
      </c>
      <c r="E232" s="234">
        <v>38.0</v>
      </c>
      <c r="F232" s="235">
        <v>11.0</v>
      </c>
      <c r="G232" s="235">
        <v>11.0</v>
      </c>
      <c r="H232" s="234">
        <v>38.0</v>
      </c>
      <c r="I232" s="235">
        <v>11.0</v>
      </c>
      <c r="J232" s="236">
        <v>9.7457554E7</v>
      </c>
      <c r="K232" s="11">
        <v>14.0</v>
      </c>
      <c r="L232" s="11">
        <v>2.0</v>
      </c>
      <c r="M232" s="237" t="str">
        <f t="shared" si="1"/>
        <v>0380110097457554142</v>
      </c>
      <c r="N232" s="238">
        <v>62009.56</v>
      </c>
      <c r="O232" s="110">
        <v>30519.0</v>
      </c>
      <c r="P232" s="11">
        <v>71.0</v>
      </c>
      <c r="Q232" s="239"/>
      <c r="R232" s="17">
        <v>66.0</v>
      </c>
    </row>
    <row r="233">
      <c r="A233" s="11">
        <v>11.0</v>
      </c>
      <c r="B233" s="11">
        <v>45.0</v>
      </c>
      <c r="C233" s="11">
        <v>3.0</v>
      </c>
      <c r="D233" s="11" t="s">
        <v>29</v>
      </c>
      <c r="E233" s="234">
        <v>20.0</v>
      </c>
      <c r="F233" s="235">
        <v>121.0</v>
      </c>
      <c r="G233" s="235">
        <v>121.0</v>
      </c>
      <c r="H233" s="234">
        <v>20.0</v>
      </c>
      <c r="I233" s="235">
        <v>121.0</v>
      </c>
      <c r="J233" s="236">
        <v>8.7197323E7</v>
      </c>
      <c r="K233" s="11">
        <v>43.0</v>
      </c>
      <c r="L233" s="11">
        <v>4.0</v>
      </c>
      <c r="M233" s="237" t="str">
        <f t="shared" si="1"/>
        <v>0201210087197323434</v>
      </c>
      <c r="N233" s="238">
        <v>27044.39</v>
      </c>
      <c r="O233" s="110">
        <v>122116.0</v>
      </c>
      <c r="P233" s="11">
        <v>76.0</v>
      </c>
      <c r="Q233" s="239"/>
      <c r="R233" s="17">
        <v>66.0</v>
      </c>
    </row>
    <row r="234">
      <c r="A234" s="11">
        <v>14.0</v>
      </c>
      <c r="B234" s="11">
        <v>24.0</v>
      </c>
      <c r="C234" s="11">
        <v>1.0</v>
      </c>
      <c r="D234" s="11" t="s">
        <v>5273</v>
      </c>
      <c r="E234" s="234">
        <v>35.0</v>
      </c>
      <c r="F234" s="235">
        <v>7.0</v>
      </c>
      <c r="G234" s="235">
        <v>7.0</v>
      </c>
      <c r="H234" s="234">
        <v>35.0</v>
      </c>
      <c r="I234" s="235">
        <v>7.0</v>
      </c>
      <c r="J234" s="236">
        <v>3.0921145E7</v>
      </c>
      <c r="K234" s="11">
        <v>18.0</v>
      </c>
      <c r="L234" s="11">
        <v>6.0</v>
      </c>
      <c r="M234" s="237" t="str">
        <f t="shared" si="1"/>
        <v>0350070030921145186</v>
      </c>
      <c r="N234" s="238">
        <v>74804.37</v>
      </c>
      <c r="O234" s="110">
        <v>11015.0</v>
      </c>
      <c r="P234" s="11">
        <v>80.0</v>
      </c>
      <c r="Q234" s="239"/>
      <c r="R234" s="17">
        <v>87.0</v>
      </c>
    </row>
    <row r="235">
      <c r="A235" s="11">
        <v>18.0</v>
      </c>
      <c r="B235" s="11">
        <v>24.0</v>
      </c>
      <c r="C235" s="11">
        <v>5.0</v>
      </c>
      <c r="D235" s="11" t="s">
        <v>29</v>
      </c>
      <c r="E235" s="234">
        <v>51.0</v>
      </c>
      <c r="F235" s="235">
        <v>36.0</v>
      </c>
      <c r="G235" s="235">
        <v>36.0</v>
      </c>
      <c r="H235" s="234">
        <v>51.0</v>
      </c>
      <c r="I235" s="235">
        <v>36.0</v>
      </c>
      <c r="J235" s="236">
        <v>8.8495167E7</v>
      </c>
      <c r="K235" s="11">
        <v>59.0</v>
      </c>
      <c r="L235" s="11">
        <v>5.0</v>
      </c>
      <c r="M235" s="237" t="str">
        <f t="shared" si="1"/>
        <v>0510360088495167595</v>
      </c>
      <c r="N235" s="238">
        <v>-80535.45</v>
      </c>
      <c r="O235" s="110">
        <v>60420.0</v>
      </c>
      <c r="P235" s="11">
        <v>73.0</v>
      </c>
      <c r="Q235" s="239"/>
      <c r="R235" s="17">
        <v>87.0</v>
      </c>
    </row>
    <row r="236">
      <c r="A236" s="11">
        <v>16.0</v>
      </c>
      <c r="B236" s="11">
        <v>45.0</v>
      </c>
      <c r="C236" s="11">
        <v>9.0</v>
      </c>
      <c r="D236" s="11" t="s">
        <v>5271</v>
      </c>
      <c r="E236" s="234">
        <v>48.0</v>
      </c>
      <c r="F236" s="235">
        <v>249.0</v>
      </c>
      <c r="G236" s="235">
        <v>249.0</v>
      </c>
      <c r="H236" s="234">
        <v>48.0</v>
      </c>
      <c r="I236" s="235">
        <v>249.0</v>
      </c>
      <c r="J236" s="236">
        <v>2.651963E7</v>
      </c>
      <c r="K236" s="11">
        <v>55.0</v>
      </c>
      <c r="L236" s="11">
        <v>0.0</v>
      </c>
      <c r="M236" s="237" t="str">
        <f t="shared" si="1"/>
        <v>0482490026519630550</v>
      </c>
      <c r="N236" s="238">
        <v>69386.45</v>
      </c>
      <c r="O236" s="110">
        <v>91721.0</v>
      </c>
      <c r="P236" s="11">
        <v>71.0</v>
      </c>
      <c r="Q236" s="239"/>
      <c r="R236" s="17">
        <v>87.0</v>
      </c>
    </row>
    <row r="237">
      <c r="A237" s="11">
        <v>19.0</v>
      </c>
      <c r="B237" s="11">
        <v>45.0</v>
      </c>
      <c r="C237" s="11">
        <v>3.0</v>
      </c>
      <c r="D237" s="11" t="s">
        <v>31</v>
      </c>
      <c r="E237" s="234">
        <v>51.0</v>
      </c>
      <c r="F237" s="235">
        <v>760.0</v>
      </c>
      <c r="G237" s="235">
        <v>760.0</v>
      </c>
      <c r="H237" s="234">
        <v>51.0</v>
      </c>
      <c r="I237" s="235">
        <v>760.0</v>
      </c>
      <c r="J237" s="236">
        <v>8.8604065E7</v>
      </c>
      <c r="K237" s="11">
        <v>66.0</v>
      </c>
      <c r="L237" s="11">
        <v>5.0</v>
      </c>
      <c r="M237" s="237" t="str">
        <f t="shared" si="1"/>
        <v>0517600088604065665</v>
      </c>
      <c r="N237" s="238">
        <v>-90496.65</v>
      </c>
      <c r="O237" s="110">
        <v>112016.0</v>
      </c>
      <c r="P237" s="11">
        <v>76.0</v>
      </c>
      <c r="Q237" s="239"/>
      <c r="R237" s="17">
        <v>26.0</v>
      </c>
    </row>
    <row r="238">
      <c r="A238" s="11">
        <v>10.0</v>
      </c>
      <c r="B238" s="11">
        <v>45.0</v>
      </c>
      <c r="C238" s="11">
        <v>4.0</v>
      </c>
      <c r="D238" s="11" t="s">
        <v>29</v>
      </c>
      <c r="E238" s="234">
        <v>21.0</v>
      </c>
      <c r="F238" s="235">
        <v>143.0</v>
      </c>
      <c r="G238" s="235">
        <v>143.0</v>
      </c>
      <c r="H238" s="234">
        <v>21.0</v>
      </c>
      <c r="I238" s="235">
        <v>143.0</v>
      </c>
      <c r="J238" s="236">
        <v>2.631324E7</v>
      </c>
      <c r="K238" s="11">
        <v>28.0</v>
      </c>
      <c r="L238" s="11">
        <v>1.0</v>
      </c>
      <c r="M238" s="237" t="str">
        <f t="shared" si="1"/>
        <v>0211430026313240281</v>
      </c>
      <c r="N238" s="238">
        <v>63768.38</v>
      </c>
      <c r="O238" s="110">
        <v>81622.0</v>
      </c>
      <c r="P238" s="11">
        <v>78.0</v>
      </c>
      <c r="Q238" s="239"/>
      <c r="R238" s="17">
        <v>87.0</v>
      </c>
    </row>
    <row r="239">
      <c r="A239" s="11">
        <v>10.0</v>
      </c>
      <c r="B239" s="11">
        <v>86.0</v>
      </c>
      <c r="C239" s="11">
        <v>9.0</v>
      </c>
      <c r="D239" s="11" t="s">
        <v>39</v>
      </c>
      <c r="E239" s="234">
        <v>28.0</v>
      </c>
      <c r="F239" s="235">
        <v>3.0</v>
      </c>
      <c r="G239" s="235">
        <v>3.0</v>
      </c>
      <c r="H239" s="234">
        <v>28.0</v>
      </c>
      <c r="I239" s="235">
        <v>3.0</v>
      </c>
      <c r="J239" s="236">
        <v>2.7960211E7</v>
      </c>
      <c r="K239" s="11">
        <v>11.0</v>
      </c>
      <c r="L239" s="11">
        <v>0.0</v>
      </c>
      <c r="M239" s="237" t="str">
        <f t="shared" si="1"/>
        <v>0280030027960211110</v>
      </c>
      <c r="N239" s="238">
        <v>63315.9</v>
      </c>
      <c r="O239" s="110">
        <v>90622.0</v>
      </c>
      <c r="P239" s="11">
        <v>72.0</v>
      </c>
      <c r="Q239" s="239"/>
      <c r="R239" s="17">
        <v>67.0</v>
      </c>
    </row>
    <row r="240">
      <c r="A240" s="11">
        <v>18.0</v>
      </c>
      <c r="B240" s="11">
        <v>86.0</v>
      </c>
      <c r="C240" s="11">
        <v>9.0</v>
      </c>
      <c r="D240" s="11" t="s">
        <v>29</v>
      </c>
      <c r="E240" s="234">
        <v>54.0</v>
      </c>
      <c r="F240" s="235">
        <v>95.0</v>
      </c>
      <c r="G240" s="235">
        <v>95.0</v>
      </c>
      <c r="H240" s="234">
        <v>54.0</v>
      </c>
      <c r="I240" s="235">
        <v>95.0</v>
      </c>
      <c r="J240" s="236">
        <v>7.7215311E7</v>
      </c>
      <c r="K240" s="11">
        <v>77.0</v>
      </c>
      <c r="L240" s="11">
        <v>0.0</v>
      </c>
      <c r="M240" s="237" t="str">
        <f t="shared" si="1"/>
        <v>0540950077215311770</v>
      </c>
      <c r="N240" s="238">
        <v>-73196.73</v>
      </c>
      <c r="O240" s="110">
        <v>20919.0</v>
      </c>
      <c r="P240" s="11">
        <v>78.0</v>
      </c>
      <c r="Q240" s="239"/>
      <c r="R240" s="17">
        <v>46.0</v>
      </c>
    </row>
    <row r="241">
      <c r="A241" s="11">
        <v>13.0</v>
      </c>
      <c r="B241" s="11">
        <v>45.0</v>
      </c>
      <c r="C241" s="11">
        <v>2.0</v>
      </c>
      <c r="D241" s="11" t="s">
        <v>39</v>
      </c>
      <c r="E241" s="234">
        <v>19.0</v>
      </c>
      <c r="F241" s="235">
        <v>155.0</v>
      </c>
      <c r="G241" s="235">
        <v>155.0</v>
      </c>
      <c r="H241" s="234">
        <v>19.0</v>
      </c>
      <c r="I241" s="235">
        <v>155.0</v>
      </c>
      <c r="J241" s="236">
        <v>1.7962156E7</v>
      </c>
      <c r="K241" s="11">
        <v>36.0</v>
      </c>
      <c r="L241" s="11">
        <v>3.0</v>
      </c>
      <c r="M241" s="237" t="str">
        <f t="shared" si="1"/>
        <v>0191550017962156363</v>
      </c>
      <c r="N241" s="238">
        <v>36157.64</v>
      </c>
      <c r="O241" s="110">
        <v>22718.0</v>
      </c>
      <c r="P241" s="11">
        <v>77.0</v>
      </c>
      <c r="Q241" s="239"/>
      <c r="R241" s="17">
        <v>26.0</v>
      </c>
    </row>
    <row r="242">
      <c r="A242" s="11">
        <v>16.0</v>
      </c>
      <c r="B242" s="11">
        <v>25.0</v>
      </c>
      <c r="C242" s="11">
        <v>6.0</v>
      </c>
      <c r="D242" s="11" t="s">
        <v>5272</v>
      </c>
      <c r="E242" s="234">
        <v>51.0</v>
      </c>
      <c r="F242" s="235">
        <v>95.0</v>
      </c>
      <c r="G242" s="235">
        <v>95.0</v>
      </c>
      <c r="H242" s="234">
        <v>51.0</v>
      </c>
      <c r="I242" s="235">
        <v>95.0</v>
      </c>
      <c r="J242" s="236">
        <v>5.5166647E7</v>
      </c>
      <c r="K242" s="11">
        <v>47.0</v>
      </c>
      <c r="L242" s="11">
        <v>1.0</v>
      </c>
      <c r="M242" s="237" t="str">
        <f t="shared" si="1"/>
        <v>0510950055166647471</v>
      </c>
      <c r="N242" s="238">
        <v>87400.3</v>
      </c>
      <c r="O242" s="110">
        <v>110918.0</v>
      </c>
      <c r="P242" s="11">
        <v>73.0</v>
      </c>
      <c r="Q242" s="239"/>
      <c r="R242" s="17">
        <v>67.0</v>
      </c>
    </row>
    <row r="243">
      <c r="A243" s="11">
        <v>17.0</v>
      </c>
      <c r="B243" s="11">
        <v>86.0</v>
      </c>
      <c r="C243" s="11">
        <v>2.0</v>
      </c>
      <c r="D243" s="11" t="s">
        <v>5272</v>
      </c>
      <c r="E243" s="234">
        <v>27.0</v>
      </c>
      <c r="F243" s="235">
        <v>79.0</v>
      </c>
      <c r="G243" s="235">
        <v>79.0</v>
      </c>
      <c r="H243" s="234">
        <v>27.0</v>
      </c>
      <c r="I243" s="235">
        <v>79.0</v>
      </c>
      <c r="J243" s="236">
        <v>6.4853214E7</v>
      </c>
      <c r="K243" s="11">
        <v>40.0</v>
      </c>
      <c r="L243" s="11">
        <v>1.0</v>
      </c>
      <c r="M243" s="237" t="str">
        <f t="shared" si="1"/>
        <v>0270790064853214401</v>
      </c>
      <c r="N243" s="238">
        <v>29680.72</v>
      </c>
      <c r="O243" s="110">
        <v>40613.0</v>
      </c>
      <c r="P243" s="11">
        <v>80.0</v>
      </c>
      <c r="Q243" s="239"/>
      <c r="R243" s="17">
        <v>26.0</v>
      </c>
    </row>
    <row r="244">
      <c r="A244" s="11">
        <v>13.0</v>
      </c>
      <c r="B244" s="11">
        <v>66.0</v>
      </c>
      <c r="C244" s="11">
        <v>3.0</v>
      </c>
      <c r="D244" s="11" t="s">
        <v>5271</v>
      </c>
      <c r="E244" s="234">
        <v>6.0</v>
      </c>
      <c r="F244" s="235">
        <v>87.0</v>
      </c>
      <c r="G244" s="235">
        <v>87.0</v>
      </c>
      <c r="H244" s="234">
        <v>6.0</v>
      </c>
      <c r="I244" s="235">
        <v>87.0</v>
      </c>
      <c r="J244" s="236">
        <v>9.5983477E7</v>
      </c>
      <c r="K244" s="11">
        <v>81.0</v>
      </c>
      <c r="L244" s="11">
        <v>3.0</v>
      </c>
      <c r="M244" s="237" t="str">
        <f t="shared" si="1"/>
        <v>060870095983477813</v>
      </c>
      <c r="N244" s="238">
        <v>17970.28</v>
      </c>
      <c r="O244" s="110">
        <v>122221.0</v>
      </c>
      <c r="P244" s="11">
        <v>77.0</v>
      </c>
      <c r="Q244" s="239"/>
      <c r="R244" s="17">
        <v>67.0</v>
      </c>
    </row>
    <row r="245">
      <c r="A245" s="11">
        <v>14.0</v>
      </c>
      <c r="B245" s="11">
        <v>66.0</v>
      </c>
      <c r="C245" s="11">
        <v>4.0</v>
      </c>
      <c r="D245" s="11" t="s">
        <v>5271</v>
      </c>
      <c r="E245" s="234">
        <v>47.0</v>
      </c>
      <c r="F245" s="235">
        <v>75.0</v>
      </c>
      <c r="G245" s="235">
        <v>75.0</v>
      </c>
      <c r="H245" s="234">
        <v>47.0</v>
      </c>
      <c r="I245" s="235">
        <v>75.0</v>
      </c>
      <c r="J245" s="236">
        <v>8.7487679E7</v>
      </c>
      <c r="K245" s="11">
        <v>90.0</v>
      </c>
      <c r="L245" s="11">
        <v>2.0</v>
      </c>
      <c r="M245" s="237" t="str">
        <f t="shared" si="1"/>
        <v>0470750087487679902</v>
      </c>
      <c r="N245" s="238">
        <v>55910.37</v>
      </c>
      <c r="O245" s="110">
        <v>120917.0</v>
      </c>
      <c r="P245" s="11">
        <v>73.0</v>
      </c>
      <c r="Q245" s="239"/>
      <c r="R245" s="17">
        <v>46.0</v>
      </c>
    </row>
    <row r="246">
      <c r="A246" s="11">
        <v>13.0</v>
      </c>
      <c r="B246" s="11">
        <v>45.0</v>
      </c>
      <c r="C246" s="11">
        <v>6.0</v>
      </c>
      <c r="D246" s="11" t="s">
        <v>5273</v>
      </c>
      <c r="E246" s="234">
        <v>1.0</v>
      </c>
      <c r="F246" s="235">
        <v>33.0</v>
      </c>
      <c r="G246" s="235">
        <v>33.0</v>
      </c>
      <c r="H246" s="234">
        <v>1.0</v>
      </c>
      <c r="I246" s="235">
        <v>33.0</v>
      </c>
      <c r="J246" s="236">
        <v>1.160869E7</v>
      </c>
      <c r="K246" s="11">
        <v>73.0</v>
      </c>
      <c r="L246" s="11">
        <v>9.0</v>
      </c>
      <c r="M246" s="237" t="str">
        <f t="shared" si="1"/>
        <v>010330011608690739</v>
      </c>
      <c r="N246" s="238">
        <v>-32685.99</v>
      </c>
      <c r="O246" s="110">
        <v>11818.0</v>
      </c>
      <c r="P246" s="11">
        <v>70.0</v>
      </c>
      <c r="Q246" s="239"/>
      <c r="R246" s="17">
        <v>87.0</v>
      </c>
    </row>
    <row r="247">
      <c r="A247" s="11">
        <v>14.0</v>
      </c>
      <c r="B247" s="11">
        <v>25.0</v>
      </c>
      <c r="C247" s="11">
        <v>5.0</v>
      </c>
      <c r="D247" s="11" t="s">
        <v>31</v>
      </c>
      <c r="E247" s="234">
        <v>20.0</v>
      </c>
      <c r="F247" s="235">
        <v>207.0</v>
      </c>
      <c r="G247" s="235">
        <v>207.0</v>
      </c>
      <c r="H247" s="234">
        <v>20.0</v>
      </c>
      <c r="I247" s="235">
        <v>207.0</v>
      </c>
      <c r="J247" s="236">
        <v>2.3861108E7</v>
      </c>
      <c r="K247" s="11">
        <v>93.0</v>
      </c>
      <c r="L247" s="11">
        <v>0.0</v>
      </c>
      <c r="M247" s="237" t="str">
        <f t="shared" si="1"/>
        <v>0202070023861108930</v>
      </c>
      <c r="N247" s="238">
        <v>-98948.17</v>
      </c>
      <c r="O247" s="110">
        <v>121216.0</v>
      </c>
      <c r="P247" s="11">
        <v>79.0</v>
      </c>
      <c r="Q247" s="239"/>
      <c r="R247" s="17">
        <v>67.0</v>
      </c>
    </row>
    <row r="248">
      <c r="A248" s="11">
        <v>17.0</v>
      </c>
      <c r="B248" s="11">
        <v>66.0</v>
      </c>
      <c r="C248" s="11">
        <v>8.0</v>
      </c>
      <c r="D248" s="11" t="s">
        <v>5271</v>
      </c>
      <c r="E248" s="234">
        <v>1.0</v>
      </c>
      <c r="F248" s="235">
        <v>131.0</v>
      </c>
      <c r="G248" s="235">
        <v>131.0</v>
      </c>
      <c r="H248" s="234">
        <v>1.0</v>
      </c>
      <c r="I248" s="235">
        <v>131.0</v>
      </c>
      <c r="J248" s="236">
        <v>2.1907108E7</v>
      </c>
      <c r="K248" s="11">
        <v>10.0</v>
      </c>
      <c r="L248" s="11">
        <v>8.0</v>
      </c>
      <c r="M248" s="237" t="str">
        <f t="shared" si="1"/>
        <v>011310021907108108</v>
      </c>
      <c r="N248" s="238">
        <v>92521.02</v>
      </c>
      <c r="O248" s="110">
        <v>11317.0</v>
      </c>
      <c r="P248" s="11">
        <v>80.0</v>
      </c>
      <c r="Q248" s="239"/>
      <c r="R248" s="17">
        <v>26.0</v>
      </c>
    </row>
    <row r="249">
      <c r="A249" s="11">
        <v>11.0</v>
      </c>
      <c r="B249" s="11">
        <v>25.0</v>
      </c>
      <c r="C249" s="11">
        <v>9.0</v>
      </c>
      <c r="D249" s="11" t="s">
        <v>5271</v>
      </c>
      <c r="E249" s="234">
        <v>13.0</v>
      </c>
      <c r="F249" s="235">
        <v>85.0</v>
      </c>
      <c r="G249" s="235">
        <v>85.0</v>
      </c>
      <c r="H249" s="234">
        <v>13.0</v>
      </c>
      <c r="I249" s="235">
        <v>85.0</v>
      </c>
      <c r="J249" s="236">
        <v>4.4942607E7</v>
      </c>
      <c r="K249" s="11">
        <v>86.0</v>
      </c>
      <c r="L249" s="11">
        <v>5.0</v>
      </c>
      <c r="M249" s="237" t="str">
        <f t="shared" si="1"/>
        <v>0130850044942607865</v>
      </c>
      <c r="N249" s="238">
        <v>-57897.2</v>
      </c>
      <c r="O249" s="110">
        <v>62222.0</v>
      </c>
      <c r="P249" s="11">
        <v>76.0</v>
      </c>
      <c r="Q249" s="239"/>
      <c r="R249" s="17">
        <v>87.0</v>
      </c>
    </row>
    <row r="250">
      <c r="A250" s="11">
        <v>14.0</v>
      </c>
      <c r="B250" s="11">
        <v>86.0</v>
      </c>
      <c r="C250" s="11">
        <v>5.0</v>
      </c>
      <c r="D250" s="11" t="s">
        <v>39</v>
      </c>
      <c r="E250" s="234">
        <v>46.0</v>
      </c>
      <c r="F250" s="235">
        <v>23.0</v>
      </c>
      <c r="G250" s="235">
        <v>23.0</v>
      </c>
      <c r="H250" s="234">
        <v>46.0</v>
      </c>
      <c r="I250" s="235">
        <v>23.0</v>
      </c>
      <c r="J250" s="236">
        <v>9.3311748E7</v>
      </c>
      <c r="K250" s="11">
        <v>83.0</v>
      </c>
      <c r="L250" s="11">
        <v>4.0</v>
      </c>
      <c r="M250" s="237" t="str">
        <f t="shared" si="1"/>
        <v>0460230093311748834</v>
      </c>
      <c r="N250" s="238">
        <v>88249.55</v>
      </c>
      <c r="O250" s="110">
        <v>21921.0</v>
      </c>
      <c r="P250" s="11">
        <v>72.0</v>
      </c>
      <c r="Q250" s="239"/>
      <c r="R250" s="17">
        <v>26.0</v>
      </c>
    </row>
    <row r="251">
      <c r="A251" s="11">
        <v>15.0</v>
      </c>
      <c r="B251" s="11">
        <v>45.0</v>
      </c>
      <c r="C251" s="11">
        <v>9.0</v>
      </c>
      <c r="D251" s="11" t="s">
        <v>5271</v>
      </c>
      <c r="E251" s="234">
        <v>54.0</v>
      </c>
      <c r="F251" s="235">
        <v>5.0</v>
      </c>
      <c r="G251" s="235">
        <v>5.0</v>
      </c>
      <c r="H251" s="234">
        <v>54.0</v>
      </c>
      <c r="I251" s="235">
        <v>5.0</v>
      </c>
      <c r="J251" s="236">
        <v>5.7804713E7</v>
      </c>
      <c r="K251" s="11">
        <v>97.0</v>
      </c>
      <c r="L251" s="11">
        <v>5.0</v>
      </c>
      <c r="M251" s="237" t="str">
        <f t="shared" si="1"/>
        <v>0540050057804713975</v>
      </c>
      <c r="N251" s="238">
        <v>46075.49</v>
      </c>
      <c r="O251" s="110">
        <v>21915.0</v>
      </c>
      <c r="P251" s="11">
        <v>79.0</v>
      </c>
      <c r="Q251" s="239"/>
      <c r="R251" s="17">
        <v>26.0</v>
      </c>
    </row>
    <row r="252">
      <c r="A252" s="11">
        <v>18.0</v>
      </c>
      <c r="B252" s="11">
        <v>66.0</v>
      </c>
      <c r="C252" s="11">
        <v>2.0</v>
      </c>
      <c r="D252" s="11" t="s">
        <v>29</v>
      </c>
      <c r="E252" s="234">
        <v>29.0</v>
      </c>
      <c r="F252" s="235">
        <v>61.0</v>
      </c>
      <c r="G252" s="235">
        <v>61.0</v>
      </c>
      <c r="H252" s="234">
        <v>29.0</v>
      </c>
      <c r="I252" s="235">
        <v>61.0</v>
      </c>
      <c r="J252" s="236">
        <v>9.6133149E7</v>
      </c>
      <c r="K252" s="11">
        <v>62.0</v>
      </c>
      <c r="L252" s="11">
        <v>0.0</v>
      </c>
      <c r="M252" s="237" t="str">
        <f t="shared" si="1"/>
        <v>0290610096133149620</v>
      </c>
      <c r="N252" s="238">
        <v>63841.16</v>
      </c>
      <c r="O252" s="110">
        <v>80120.0</v>
      </c>
      <c r="P252" s="11">
        <v>79.0</v>
      </c>
      <c r="Q252" s="239"/>
      <c r="R252" s="17">
        <v>87.0</v>
      </c>
    </row>
    <row r="253">
      <c r="A253" s="11">
        <v>17.0</v>
      </c>
      <c r="B253" s="11">
        <v>86.0</v>
      </c>
      <c r="C253" s="11">
        <v>3.0</v>
      </c>
      <c r="D253" s="11" t="s">
        <v>29</v>
      </c>
      <c r="E253" s="234">
        <v>41.0</v>
      </c>
      <c r="F253" s="235">
        <v>19.0</v>
      </c>
      <c r="G253" s="235">
        <v>19.0</v>
      </c>
      <c r="H253" s="234">
        <v>41.0</v>
      </c>
      <c r="I253" s="235">
        <v>19.0</v>
      </c>
      <c r="J253" s="236">
        <v>1.1891448E7</v>
      </c>
      <c r="K253" s="11">
        <v>96.0</v>
      </c>
      <c r="L253" s="11">
        <v>7.0</v>
      </c>
      <c r="M253" s="237" t="str">
        <f t="shared" si="1"/>
        <v>0410190011891448967</v>
      </c>
      <c r="N253" s="238">
        <v>-9643.55</v>
      </c>
      <c r="O253" s="110">
        <v>20118.0</v>
      </c>
      <c r="P253" s="11">
        <v>77.0</v>
      </c>
      <c r="Q253" s="239"/>
      <c r="R253" s="17">
        <v>46.0</v>
      </c>
    </row>
    <row r="254">
      <c r="A254" s="11">
        <v>15.0</v>
      </c>
      <c r="B254" s="11">
        <v>45.0</v>
      </c>
      <c r="C254" s="11">
        <v>2.0</v>
      </c>
      <c r="D254" s="11" t="s">
        <v>5273</v>
      </c>
      <c r="E254" s="234">
        <v>31.0</v>
      </c>
      <c r="F254" s="235">
        <v>13.0</v>
      </c>
      <c r="G254" s="235">
        <v>13.0</v>
      </c>
      <c r="H254" s="234">
        <v>31.0</v>
      </c>
      <c r="I254" s="235">
        <v>13.0</v>
      </c>
      <c r="J254" s="236">
        <v>6.873187E7</v>
      </c>
      <c r="K254" s="11">
        <v>1.0</v>
      </c>
      <c r="L254" s="11">
        <v>2.0</v>
      </c>
      <c r="M254" s="237" t="str">
        <f t="shared" si="1"/>
        <v>031013006873187012</v>
      </c>
      <c r="N254" s="238">
        <v>91357.53</v>
      </c>
      <c r="O254" s="110">
        <v>52418.0</v>
      </c>
      <c r="P254" s="11">
        <v>72.0</v>
      </c>
      <c r="Q254" s="239"/>
      <c r="R254" s="17">
        <v>26.0</v>
      </c>
    </row>
    <row r="255">
      <c r="A255" s="11">
        <v>16.0</v>
      </c>
      <c r="B255" s="11">
        <v>25.0</v>
      </c>
      <c r="C255" s="11">
        <v>7.0</v>
      </c>
      <c r="D255" s="11" t="s">
        <v>5271</v>
      </c>
      <c r="E255" s="234">
        <v>37.0</v>
      </c>
      <c r="F255" s="235">
        <v>99.0</v>
      </c>
      <c r="G255" s="235">
        <v>99.0</v>
      </c>
      <c r="H255" s="234">
        <v>37.0</v>
      </c>
      <c r="I255" s="235">
        <v>99.0</v>
      </c>
      <c r="J255" s="236">
        <v>8.2025393E7</v>
      </c>
      <c r="K255" s="11">
        <v>47.0</v>
      </c>
      <c r="L255" s="11">
        <v>3.0</v>
      </c>
      <c r="M255" s="237" t="str">
        <f t="shared" si="1"/>
        <v>0370990082025393473</v>
      </c>
      <c r="N255" s="238">
        <v>72132.9</v>
      </c>
      <c r="O255" s="110">
        <v>70213.0</v>
      </c>
      <c r="P255" s="11">
        <v>78.0</v>
      </c>
      <c r="Q255" s="239"/>
      <c r="R255" s="17">
        <v>67.0</v>
      </c>
    </row>
    <row r="256">
      <c r="A256" s="11">
        <v>13.0</v>
      </c>
      <c r="B256" s="11">
        <v>25.0</v>
      </c>
      <c r="C256" s="11">
        <v>5.0</v>
      </c>
      <c r="D256" s="11" t="s">
        <v>5272</v>
      </c>
      <c r="E256" s="234">
        <v>27.0</v>
      </c>
      <c r="F256" s="235">
        <v>117.0</v>
      </c>
      <c r="G256" s="235">
        <v>117.0</v>
      </c>
      <c r="H256" s="234">
        <v>27.0</v>
      </c>
      <c r="I256" s="235">
        <v>117.0</v>
      </c>
      <c r="J256" s="236">
        <v>3.1723056E7</v>
      </c>
      <c r="K256" s="11">
        <v>36.0</v>
      </c>
      <c r="L256" s="11">
        <v>1.0</v>
      </c>
      <c r="M256" s="237" t="str">
        <f t="shared" si="1"/>
        <v>0271170031723056361</v>
      </c>
      <c r="N256" s="238">
        <v>-5050.9</v>
      </c>
      <c r="O256" s="110">
        <v>41622.0</v>
      </c>
      <c r="P256" s="11">
        <v>78.0</v>
      </c>
      <c r="Q256" s="239"/>
      <c r="R256" s="17">
        <v>87.0</v>
      </c>
    </row>
    <row r="257">
      <c r="A257" s="11">
        <v>11.0</v>
      </c>
      <c r="B257" s="11">
        <v>45.0</v>
      </c>
      <c r="C257" s="11">
        <v>2.0</v>
      </c>
      <c r="D257" s="11" t="s">
        <v>31</v>
      </c>
      <c r="E257" s="234">
        <v>17.0</v>
      </c>
      <c r="F257" s="235">
        <v>73.0</v>
      </c>
      <c r="G257" s="235">
        <v>73.0</v>
      </c>
      <c r="H257" s="234">
        <v>17.0</v>
      </c>
      <c r="I257" s="235">
        <v>73.0</v>
      </c>
      <c r="J257" s="236">
        <v>5.7466309E7</v>
      </c>
      <c r="K257" s="11">
        <v>95.0</v>
      </c>
      <c r="L257" s="11">
        <v>6.0</v>
      </c>
      <c r="M257" s="237" t="str">
        <f t="shared" si="1"/>
        <v>0170730057466309956</v>
      </c>
      <c r="N257" s="238">
        <v>-53469.53</v>
      </c>
      <c r="O257" s="110">
        <v>51023.0</v>
      </c>
      <c r="P257" s="11">
        <v>76.0</v>
      </c>
      <c r="Q257" s="239"/>
      <c r="R257" s="17">
        <v>26.0</v>
      </c>
    </row>
    <row r="258">
      <c r="A258" s="11">
        <v>19.0</v>
      </c>
      <c r="B258" s="11">
        <v>86.0</v>
      </c>
      <c r="C258" s="11">
        <v>2.0</v>
      </c>
      <c r="D258" s="11" t="s">
        <v>5273</v>
      </c>
      <c r="E258" s="234">
        <v>29.0</v>
      </c>
      <c r="F258" s="235">
        <v>13.0</v>
      </c>
      <c r="G258" s="235">
        <v>13.0</v>
      </c>
      <c r="H258" s="234">
        <v>29.0</v>
      </c>
      <c r="I258" s="235">
        <v>13.0</v>
      </c>
      <c r="J258" s="236">
        <v>7.3146653E7</v>
      </c>
      <c r="K258" s="11">
        <v>95.0</v>
      </c>
      <c r="L258" s="11">
        <v>1.0</v>
      </c>
      <c r="M258" s="237" t="str">
        <f t="shared" si="1"/>
        <v>0290130073146653951</v>
      </c>
      <c r="N258" s="238">
        <v>-30171.39</v>
      </c>
      <c r="O258" s="110">
        <v>70523.0</v>
      </c>
      <c r="P258" s="11">
        <v>72.0</v>
      </c>
      <c r="Q258" s="239"/>
      <c r="R258" s="17">
        <v>26.0</v>
      </c>
    </row>
    <row r="259">
      <c r="A259" s="11">
        <v>19.0</v>
      </c>
      <c r="B259" s="11">
        <v>45.0</v>
      </c>
      <c r="C259" s="11">
        <v>4.0</v>
      </c>
      <c r="D259" s="11" t="s">
        <v>39</v>
      </c>
      <c r="E259" s="234">
        <v>51.0</v>
      </c>
      <c r="F259" s="235">
        <v>690.0</v>
      </c>
      <c r="G259" s="235">
        <v>690.0</v>
      </c>
      <c r="H259" s="234">
        <v>51.0</v>
      </c>
      <c r="I259" s="235">
        <v>690.0</v>
      </c>
      <c r="J259" s="236">
        <v>7.2571861E7</v>
      </c>
      <c r="K259" s="11">
        <v>52.0</v>
      </c>
      <c r="L259" s="11">
        <v>1.0</v>
      </c>
      <c r="M259" s="237" t="str">
        <f t="shared" si="1"/>
        <v>0516900072571861521</v>
      </c>
      <c r="N259" s="238">
        <v>69812.18</v>
      </c>
      <c r="O259" s="110">
        <v>12918.0</v>
      </c>
      <c r="P259" s="11">
        <v>80.0</v>
      </c>
      <c r="Q259" s="239"/>
      <c r="R259" s="17">
        <v>87.0</v>
      </c>
    </row>
    <row r="260">
      <c r="A260" s="11">
        <v>19.0</v>
      </c>
      <c r="B260" s="11">
        <v>45.0</v>
      </c>
      <c r="C260" s="11">
        <v>4.0</v>
      </c>
      <c r="D260" s="11" t="s">
        <v>5272</v>
      </c>
      <c r="E260" s="234">
        <v>30.0</v>
      </c>
      <c r="F260" s="235">
        <v>71.0</v>
      </c>
      <c r="G260" s="235">
        <v>71.0</v>
      </c>
      <c r="H260" s="234">
        <v>30.0</v>
      </c>
      <c r="I260" s="235">
        <v>71.0</v>
      </c>
      <c r="J260" s="236">
        <v>4.0434118E7</v>
      </c>
      <c r="K260" s="11">
        <v>93.0</v>
      </c>
      <c r="L260" s="11">
        <v>7.0</v>
      </c>
      <c r="M260" s="237" t="str">
        <f t="shared" si="1"/>
        <v>0300710040434118937</v>
      </c>
      <c r="N260" s="238">
        <v>97219.63</v>
      </c>
      <c r="O260" s="110">
        <v>52115.0</v>
      </c>
      <c r="P260" s="11">
        <v>80.0</v>
      </c>
      <c r="Q260" s="239"/>
      <c r="R260" s="17">
        <v>47.0</v>
      </c>
    </row>
    <row r="261">
      <c r="A261" s="11">
        <v>10.0</v>
      </c>
      <c r="B261" s="11">
        <v>66.0</v>
      </c>
      <c r="C261" s="11">
        <v>8.0</v>
      </c>
      <c r="D261" s="11" t="s">
        <v>29</v>
      </c>
      <c r="E261" s="234">
        <v>31.0</v>
      </c>
      <c r="F261" s="235">
        <v>171.0</v>
      </c>
      <c r="G261" s="235">
        <v>171.0</v>
      </c>
      <c r="H261" s="234">
        <v>31.0</v>
      </c>
      <c r="I261" s="235">
        <v>171.0</v>
      </c>
      <c r="J261" s="236">
        <v>2.4259989E7</v>
      </c>
      <c r="K261" s="11">
        <v>60.0</v>
      </c>
      <c r="L261" s="11">
        <v>7.0</v>
      </c>
      <c r="M261" s="237" t="str">
        <f t="shared" si="1"/>
        <v>0311710024259989607</v>
      </c>
      <c r="N261" s="238">
        <v>-85582.79</v>
      </c>
      <c r="O261" s="110">
        <v>62113.0</v>
      </c>
      <c r="P261" s="11">
        <v>76.0</v>
      </c>
      <c r="Q261" s="239"/>
      <c r="R261" s="17">
        <v>67.0</v>
      </c>
    </row>
    <row r="262">
      <c r="A262" s="11">
        <v>18.0</v>
      </c>
      <c r="B262" s="11">
        <v>21.0</v>
      </c>
      <c r="C262" s="11">
        <v>1.0</v>
      </c>
      <c r="D262" s="11" t="s">
        <v>5272</v>
      </c>
      <c r="E262" s="234">
        <v>40.0</v>
      </c>
      <c r="F262" s="235">
        <v>99.0</v>
      </c>
      <c r="G262" s="235">
        <v>99.0</v>
      </c>
      <c r="H262" s="234">
        <v>40.0</v>
      </c>
      <c r="I262" s="235">
        <v>99.0</v>
      </c>
      <c r="J262" s="236">
        <v>8.3289181E7</v>
      </c>
      <c r="K262" s="11">
        <v>39.0</v>
      </c>
      <c r="L262" s="11">
        <v>4.0</v>
      </c>
      <c r="M262" s="237" t="str">
        <f t="shared" si="1"/>
        <v>0400990083289181394</v>
      </c>
      <c r="N262" s="238">
        <v>-41904.12</v>
      </c>
      <c r="O262" s="110">
        <v>103116.0</v>
      </c>
      <c r="P262" s="11">
        <v>75.0</v>
      </c>
      <c r="Q262" s="239"/>
      <c r="R262" s="17">
        <v>26.0</v>
      </c>
    </row>
    <row r="263">
      <c r="A263" s="11">
        <v>19.0</v>
      </c>
      <c r="B263" s="11">
        <v>45.0</v>
      </c>
      <c r="C263" s="11">
        <v>3.0</v>
      </c>
      <c r="D263" s="11" t="s">
        <v>29</v>
      </c>
      <c r="E263" s="234">
        <v>21.0</v>
      </c>
      <c r="F263" s="235">
        <v>115.0</v>
      </c>
      <c r="G263" s="235">
        <v>115.0</v>
      </c>
      <c r="H263" s="234">
        <v>21.0</v>
      </c>
      <c r="I263" s="235">
        <v>115.0</v>
      </c>
      <c r="J263" s="236">
        <v>9.0895855E7</v>
      </c>
      <c r="K263" s="11">
        <v>68.0</v>
      </c>
      <c r="L263" s="11">
        <v>3.0</v>
      </c>
      <c r="M263" s="237" t="str">
        <f t="shared" si="1"/>
        <v>0211150090895855683</v>
      </c>
      <c r="N263" s="238">
        <v>-44349.0</v>
      </c>
      <c r="O263" s="110">
        <v>112319.0</v>
      </c>
      <c r="P263" s="11">
        <v>73.0</v>
      </c>
      <c r="Q263" s="239"/>
      <c r="R263" s="17">
        <v>47.0</v>
      </c>
    </row>
    <row r="264">
      <c r="A264" s="11">
        <v>17.0</v>
      </c>
      <c r="B264" s="11">
        <v>45.0</v>
      </c>
      <c r="C264" s="11">
        <v>6.0</v>
      </c>
      <c r="D264" s="11" t="s">
        <v>31</v>
      </c>
      <c r="E264" s="234">
        <v>17.0</v>
      </c>
      <c r="F264" s="235">
        <v>143.0</v>
      </c>
      <c r="G264" s="235">
        <v>143.0</v>
      </c>
      <c r="H264" s="234">
        <v>17.0</v>
      </c>
      <c r="I264" s="235">
        <v>143.0</v>
      </c>
      <c r="J264" s="236">
        <v>4.4847848E7</v>
      </c>
      <c r="K264" s="11">
        <v>97.0</v>
      </c>
      <c r="L264" s="11">
        <v>2.0</v>
      </c>
      <c r="M264" s="237" t="str">
        <f t="shared" si="1"/>
        <v>0171430044847848972</v>
      </c>
      <c r="N264" s="238">
        <v>-21575.21</v>
      </c>
      <c r="O264" s="110">
        <v>121515.0</v>
      </c>
      <c r="P264" s="11">
        <v>75.0</v>
      </c>
      <c r="Q264" s="239"/>
      <c r="R264" s="17">
        <v>67.0</v>
      </c>
    </row>
    <row r="265">
      <c r="A265" s="11">
        <v>18.0</v>
      </c>
      <c r="B265" s="11">
        <v>86.0</v>
      </c>
      <c r="C265" s="11">
        <v>8.0</v>
      </c>
      <c r="D265" s="11" t="s">
        <v>39</v>
      </c>
      <c r="E265" s="234">
        <v>18.0</v>
      </c>
      <c r="F265" s="235">
        <v>61.0</v>
      </c>
      <c r="G265" s="235">
        <v>61.0</v>
      </c>
      <c r="H265" s="234">
        <v>18.0</v>
      </c>
      <c r="I265" s="235">
        <v>61.0</v>
      </c>
      <c r="J265" s="236">
        <v>7.8033073E7</v>
      </c>
      <c r="K265" s="11">
        <v>22.0</v>
      </c>
      <c r="L265" s="11">
        <v>2.0</v>
      </c>
      <c r="M265" s="237" t="str">
        <f t="shared" si="1"/>
        <v>0180610078033073222</v>
      </c>
      <c r="N265" s="238">
        <v>-72105.19</v>
      </c>
      <c r="O265" s="110">
        <v>122813.0</v>
      </c>
      <c r="P265" s="11">
        <v>75.0</v>
      </c>
      <c r="Q265" s="239"/>
      <c r="R265" s="17">
        <v>47.0</v>
      </c>
    </row>
    <row r="266">
      <c r="A266" s="11">
        <v>11.0</v>
      </c>
      <c r="B266" s="11">
        <v>86.0</v>
      </c>
      <c r="C266" s="11">
        <v>5.0</v>
      </c>
      <c r="D266" s="11" t="s">
        <v>5273</v>
      </c>
      <c r="E266" s="234">
        <v>4.0</v>
      </c>
      <c r="F266" s="235">
        <v>3.0</v>
      </c>
      <c r="G266" s="235">
        <v>3.0</v>
      </c>
      <c r="H266" s="234">
        <v>4.0</v>
      </c>
      <c r="I266" s="235">
        <v>3.0</v>
      </c>
      <c r="J266" s="236">
        <v>9.3753288E7</v>
      </c>
      <c r="K266" s="11">
        <v>89.0</v>
      </c>
      <c r="L266" s="11">
        <v>3.0</v>
      </c>
      <c r="M266" s="237" t="str">
        <f t="shared" si="1"/>
        <v>040030093753288893</v>
      </c>
      <c r="N266" s="238">
        <v>13494.02</v>
      </c>
      <c r="O266" s="110">
        <v>92123.0</v>
      </c>
      <c r="P266" s="11">
        <v>70.0</v>
      </c>
      <c r="Q266" s="239"/>
      <c r="R266" s="17">
        <v>67.0</v>
      </c>
    </row>
    <row r="267">
      <c r="A267" s="11">
        <v>15.0</v>
      </c>
      <c r="B267" s="11">
        <v>25.0</v>
      </c>
      <c r="C267" s="11">
        <v>5.0</v>
      </c>
      <c r="D267" s="11" t="s">
        <v>39</v>
      </c>
      <c r="E267" s="234">
        <v>42.0</v>
      </c>
      <c r="F267" s="235">
        <v>99.0</v>
      </c>
      <c r="G267" s="235">
        <v>99.0</v>
      </c>
      <c r="H267" s="234">
        <v>42.0</v>
      </c>
      <c r="I267" s="235">
        <v>99.0</v>
      </c>
      <c r="J267" s="236">
        <v>6.5182985E7</v>
      </c>
      <c r="K267" s="11">
        <v>65.0</v>
      </c>
      <c r="L267" s="11">
        <v>5.0</v>
      </c>
      <c r="M267" s="237" t="str">
        <f t="shared" si="1"/>
        <v>0420990065182985655</v>
      </c>
      <c r="N267" s="238">
        <v>-94796.35</v>
      </c>
      <c r="O267" s="110">
        <v>100716.0</v>
      </c>
      <c r="P267" s="11">
        <v>74.0</v>
      </c>
      <c r="Q267" s="239"/>
      <c r="R267" s="17">
        <v>88.0</v>
      </c>
    </row>
    <row r="268">
      <c r="A268" s="11">
        <v>12.0</v>
      </c>
      <c r="B268" s="11">
        <v>25.0</v>
      </c>
      <c r="C268" s="11">
        <v>9.0</v>
      </c>
      <c r="D268" s="11" t="s">
        <v>31</v>
      </c>
      <c r="E268" s="234">
        <v>41.0</v>
      </c>
      <c r="F268" s="235">
        <v>11.0</v>
      </c>
      <c r="G268" s="235">
        <v>11.0</v>
      </c>
      <c r="H268" s="234">
        <v>41.0</v>
      </c>
      <c r="I268" s="235">
        <v>11.0</v>
      </c>
      <c r="J268" s="236">
        <v>6.7174467E7</v>
      </c>
      <c r="K268" s="11">
        <v>87.0</v>
      </c>
      <c r="L268" s="11">
        <v>3.0</v>
      </c>
      <c r="M268" s="237" t="str">
        <f t="shared" si="1"/>
        <v>0410110067174467873</v>
      </c>
      <c r="N268" s="238">
        <v>88443.06</v>
      </c>
      <c r="O268" s="110">
        <v>72515.0</v>
      </c>
      <c r="P268" s="11">
        <v>71.0</v>
      </c>
      <c r="Q268" s="239"/>
      <c r="R268" s="17">
        <v>67.0</v>
      </c>
    </row>
    <row r="269">
      <c r="A269" s="11">
        <v>18.0</v>
      </c>
      <c r="B269" s="11">
        <v>25.0</v>
      </c>
      <c r="C269" s="11">
        <v>7.0</v>
      </c>
      <c r="D269" s="11" t="s">
        <v>31</v>
      </c>
      <c r="E269" s="234">
        <v>21.0</v>
      </c>
      <c r="F269" s="235">
        <v>17.0</v>
      </c>
      <c r="G269" s="235">
        <v>17.0</v>
      </c>
      <c r="H269" s="234">
        <v>21.0</v>
      </c>
      <c r="I269" s="235">
        <v>17.0</v>
      </c>
      <c r="J269" s="236">
        <v>1.1308127E7</v>
      </c>
      <c r="K269" s="11">
        <v>6.0</v>
      </c>
      <c r="L269" s="11">
        <v>5.0</v>
      </c>
      <c r="M269" s="237" t="str">
        <f t="shared" si="1"/>
        <v>021017001130812765</v>
      </c>
      <c r="N269" s="238">
        <v>-92872.31</v>
      </c>
      <c r="O269" s="110">
        <v>72720.0</v>
      </c>
      <c r="P269" s="11">
        <v>72.0</v>
      </c>
      <c r="Q269" s="239"/>
      <c r="R269" s="17">
        <v>67.0</v>
      </c>
    </row>
    <row r="270">
      <c r="A270" s="11">
        <v>17.0</v>
      </c>
      <c r="B270" s="11">
        <v>87.0</v>
      </c>
      <c r="C270" s="11">
        <v>5.0</v>
      </c>
      <c r="D270" s="11" t="s">
        <v>31</v>
      </c>
      <c r="E270" s="234">
        <v>48.0</v>
      </c>
      <c r="F270" s="235">
        <v>219.0</v>
      </c>
      <c r="G270" s="235">
        <v>219.0</v>
      </c>
      <c r="H270" s="234">
        <v>48.0</v>
      </c>
      <c r="I270" s="235">
        <v>219.0</v>
      </c>
      <c r="J270" s="236">
        <v>2.7737199E7</v>
      </c>
      <c r="K270" s="11">
        <v>11.0</v>
      </c>
      <c r="L270" s="11">
        <v>9.0</v>
      </c>
      <c r="M270" s="237" t="str">
        <f t="shared" si="1"/>
        <v>0482190027737199119</v>
      </c>
      <c r="N270" s="238">
        <v>-25145.95</v>
      </c>
      <c r="O270" s="110">
        <v>40714.0</v>
      </c>
      <c r="P270" s="11">
        <v>78.0</v>
      </c>
      <c r="Q270" s="239"/>
      <c r="R270" s="17">
        <v>88.0</v>
      </c>
    </row>
    <row r="271">
      <c r="A271" s="11">
        <v>11.0</v>
      </c>
      <c r="B271" s="11">
        <v>66.0</v>
      </c>
      <c r="C271" s="11">
        <v>4.0</v>
      </c>
      <c r="D271" s="11" t="s">
        <v>29</v>
      </c>
      <c r="E271" s="234">
        <v>18.0</v>
      </c>
      <c r="F271" s="235">
        <v>121.0</v>
      </c>
      <c r="G271" s="235">
        <v>121.0</v>
      </c>
      <c r="H271" s="234">
        <v>18.0</v>
      </c>
      <c r="I271" s="235">
        <v>121.0</v>
      </c>
      <c r="J271" s="236">
        <v>1.122347E7</v>
      </c>
      <c r="K271" s="11">
        <v>40.0</v>
      </c>
      <c r="L271" s="11">
        <v>6.0</v>
      </c>
      <c r="M271" s="237" t="str">
        <f t="shared" si="1"/>
        <v>0181210011223470406</v>
      </c>
      <c r="N271" s="238">
        <v>83079.63</v>
      </c>
      <c r="O271" s="110">
        <v>102214.0</v>
      </c>
      <c r="P271" s="11">
        <v>76.0</v>
      </c>
      <c r="Q271" s="239"/>
      <c r="R271" s="17">
        <v>88.0</v>
      </c>
    </row>
    <row r="272">
      <c r="A272" s="11">
        <v>20.0</v>
      </c>
      <c r="B272" s="11">
        <v>66.0</v>
      </c>
      <c r="C272" s="11">
        <v>5.0</v>
      </c>
      <c r="D272" s="11" t="s">
        <v>5271</v>
      </c>
      <c r="E272" s="234">
        <v>48.0</v>
      </c>
      <c r="F272" s="235">
        <v>227.0</v>
      </c>
      <c r="G272" s="235">
        <v>227.0</v>
      </c>
      <c r="H272" s="234">
        <v>48.0</v>
      </c>
      <c r="I272" s="235">
        <v>227.0</v>
      </c>
      <c r="J272" s="236">
        <v>4.0599389E7</v>
      </c>
      <c r="K272" s="11">
        <v>18.0</v>
      </c>
      <c r="L272" s="11">
        <v>3.0</v>
      </c>
      <c r="M272" s="237" t="str">
        <f t="shared" si="1"/>
        <v>0482270040599389183</v>
      </c>
      <c r="N272" s="238">
        <v>75106.83</v>
      </c>
      <c r="O272" s="110">
        <v>110923.0</v>
      </c>
      <c r="P272" s="11">
        <v>76.0</v>
      </c>
      <c r="Q272" s="239"/>
      <c r="R272" s="17">
        <v>88.0</v>
      </c>
    </row>
    <row r="273">
      <c r="A273" s="11">
        <v>18.0</v>
      </c>
      <c r="B273" s="11">
        <v>25.0</v>
      </c>
      <c r="C273" s="11">
        <v>7.0</v>
      </c>
      <c r="D273" s="11" t="s">
        <v>5273</v>
      </c>
      <c r="E273" s="234">
        <v>19.0</v>
      </c>
      <c r="F273" s="235">
        <v>183.0</v>
      </c>
      <c r="G273" s="235">
        <v>183.0</v>
      </c>
      <c r="H273" s="234">
        <v>19.0</v>
      </c>
      <c r="I273" s="235">
        <v>183.0</v>
      </c>
      <c r="J273" s="236">
        <v>4.8973805E7</v>
      </c>
      <c r="K273" s="11">
        <v>40.0</v>
      </c>
      <c r="L273" s="11">
        <v>6.0</v>
      </c>
      <c r="M273" s="237" t="str">
        <f t="shared" si="1"/>
        <v>0191830048973805406</v>
      </c>
      <c r="N273" s="238">
        <v>31554.04</v>
      </c>
      <c r="O273" s="110">
        <v>81822.0</v>
      </c>
      <c r="P273" s="11">
        <v>77.0</v>
      </c>
      <c r="Q273" s="239"/>
      <c r="R273" s="17">
        <v>26.0</v>
      </c>
    </row>
    <row r="274">
      <c r="A274" s="11">
        <v>20.0</v>
      </c>
      <c r="B274" s="11">
        <v>87.0</v>
      </c>
      <c r="C274" s="11">
        <v>8.0</v>
      </c>
      <c r="D274" s="11" t="s">
        <v>5273</v>
      </c>
      <c r="E274" s="234">
        <v>45.0</v>
      </c>
      <c r="F274" s="235">
        <v>29.0</v>
      </c>
      <c r="G274" s="235">
        <v>29.0</v>
      </c>
      <c r="H274" s="234">
        <v>45.0</v>
      </c>
      <c r="I274" s="235">
        <v>29.0</v>
      </c>
      <c r="J274" s="236">
        <v>9.5494488E7</v>
      </c>
      <c r="K274" s="11">
        <v>77.0</v>
      </c>
      <c r="L274" s="11">
        <v>9.0</v>
      </c>
      <c r="M274" s="237" t="str">
        <f t="shared" si="1"/>
        <v>0450290095494488779</v>
      </c>
      <c r="N274" s="238">
        <v>56919.66</v>
      </c>
      <c r="O274" s="110">
        <v>80715.0</v>
      </c>
      <c r="P274" s="11">
        <v>72.0</v>
      </c>
      <c r="Q274" s="239"/>
      <c r="R274" s="17">
        <v>27.0</v>
      </c>
    </row>
    <row r="275">
      <c r="A275" s="11">
        <v>15.0</v>
      </c>
      <c r="B275" s="11">
        <v>46.0</v>
      </c>
      <c r="C275" s="11">
        <v>1.0</v>
      </c>
      <c r="D275" s="11" t="s">
        <v>39</v>
      </c>
      <c r="E275" s="234">
        <v>12.0</v>
      </c>
      <c r="F275" s="235">
        <v>57.0</v>
      </c>
      <c r="G275" s="235">
        <v>57.0</v>
      </c>
      <c r="H275" s="234">
        <v>12.0</v>
      </c>
      <c r="I275" s="235">
        <v>57.0</v>
      </c>
      <c r="J275" s="236">
        <v>7.1844737E7</v>
      </c>
      <c r="K275" s="11">
        <v>58.0</v>
      </c>
      <c r="L275" s="11">
        <v>2.0</v>
      </c>
      <c r="M275" s="237" t="str">
        <f t="shared" si="1"/>
        <v>0120570071844737582</v>
      </c>
      <c r="N275" s="238">
        <v>14496.07</v>
      </c>
      <c r="O275" s="110">
        <v>81622.0</v>
      </c>
      <c r="P275" s="11">
        <v>77.0</v>
      </c>
      <c r="Q275" s="239"/>
      <c r="R275" s="17">
        <v>47.0</v>
      </c>
    </row>
    <row r="276">
      <c r="A276" s="11">
        <v>15.0</v>
      </c>
      <c r="B276" s="11">
        <v>25.0</v>
      </c>
      <c r="C276" s="11">
        <v>8.0</v>
      </c>
      <c r="D276" s="11" t="s">
        <v>31</v>
      </c>
      <c r="E276" s="234">
        <v>18.0</v>
      </c>
      <c r="F276" s="235">
        <v>23.0</v>
      </c>
      <c r="G276" s="235">
        <v>23.0</v>
      </c>
      <c r="H276" s="234">
        <v>18.0</v>
      </c>
      <c r="I276" s="235">
        <v>23.0</v>
      </c>
      <c r="J276" s="236">
        <v>5.8266508E7</v>
      </c>
      <c r="K276" s="11">
        <v>93.0</v>
      </c>
      <c r="L276" s="11">
        <v>1.0</v>
      </c>
      <c r="M276" s="237" t="str">
        <f t="shared" si="1"/>
        <v>0180230058266508931</v>
      </c>
      <c r="N276" s="238">
        <v>-66149.66</v>
      </c>
      <c r="O276" s="110">
        <v>112714.0</v>
      </c>
      <c r="P276" s="11">
        <v>79.0</v>
      </c>
      <c r="Q276" s="239"/>
      <c r="R276" s="17">
        <v>88.0</v>
      </c>
    </row>
    <row r="277">
      <c r="A277" s="11">
        <v>13.0</v>
      </c>
      <c r="B277" s="11">
        <v>25.0</v>
      </c>
      <c r="C277" s="11">
        <v>6.0</v>
      </c>
      <c r="D277" s="11" t="s">
        <v>31</v>
      </c>
      <c r="E277" s="234">
        <v>39.0</v>
      </c>
      <c r="F277" s="235">
        <v>89.0</v>
      </c>
      <c r="G277" s="235">
        <v>89.0</v>
      </c>
      <c r="H277" s="234">
        <v>39.0</v>
      </c>
      <c r="I277" s="235">
        <v>89.0</v>
      </c>
      <c r="J277" s="236">
        <v>6.1096959E7</v>
      </c>
      <c r="K277" s="11">
        <v>64.0</v>
      </c>
      <c r="L277" s="11">
        <v>4.0</v>
      </c>
      <c r="M277" s="237" t="str">
        <f t="shared" si="1"/>
        <v>0390890061096959644</v>
      </c>
      <c r="N277" s="238">
        <v>-86342.96</v>
      </c>
      <c r="O277" s="110">
        <v>92421.0</v>
      </c>
      <c r="P277" s="11">
        <v>80.0</v>
      </c>
      <c r="Q277" s="239"/>
      <c r="R277" s="17">
        <v>27.0</v>
      </c>
    </row>
    <row r="278">
      <c r="A278" s="11">
        <v>17.0</v>
      </c>
      <c r="B278" s="11">
        <v>46.0</v>
      </c>
      <c r="C278" s="11">
        <v>4.0</v>
      </c>
      <c r="D278" s="11" t="s">
        <v>5272</v>
      </c>
      <c r="E278" s="234">
        <v>17.0</v>
      </c>
      <c r="F278" s="235">
        <v>89.0</v>
      </c>
      <c r="G278" s="235">
        <v>89.0</v>
      </c>
      <c r="H278" s="234">
        <v>17.0</v>
      </c>
      <c r="I278" s="235">
        <v>89.0</v>
      </c>
      <c r="J278" s="236">
        <v>3.2287813E7</v>
      </c>
      <c r="K278" s="11">
        <v>7.0</v>
      </c>
      <c r="L278" s="11">
        <v>4.0</v>
      </c>
      <c r="M278" s="237" t="str">
        <f t="shared" si="1"/>
        <v>017089003228781374</v>
      </c>
      <c r="N278" s="238">
        <v>49158.14</v>
      </c>
      <c r="O278" s="110">
        <v>20117.0</v>
      </c>
      <c r="P278" s="11">
        <v>72.0</v>
      </c>
      <c r="Q278" s="239"/>
      <c r="R278" s="17">
        <v>68.0</v>
      </c>
    </row>
    <row r="279">
      <c r="A279" s="11">
        <v>16.0</v>
      </c>
      <c r="B279" s="11">
        <v>25.0</v>
      </c>
      <c r="C279" s="11">
        <v>6.0</v>
      </c>
      <c r="D279" s="11" t="s">
        <v>31</v>
      </c>
      <c r="E279" s="234">
        <v>8.0</v>
      </c>
      <c r="F279" s="235">
        <v>123.0</v>
      </c>
      <c r="G279" s="235">
        <v>123.0</v>
      </c>
      <c r="H279" s="234">
        <v>8.0</v>
      </c>
      <c r="I279" s="235">
        <v>123.0</v>
      </c>
      <c r="J279" s="236">
        <v>9.9038444E7</v>
      </c>
      <c r="K279" s="11">
        <v>10.0</v>
      </c>
      <c r="L279" s="11">
        <v>3.0</v>
      </c>
      <c r="M279" s="237" t="str">
        <f t="shared" si="1"/>
        <v>081230099038444103</v>
      </c>
      <c r="N279" s="238">
        <v>-82650.68</v>
      </c>
      <c r="O279" s="110">
        <v>110623.0</v>
      </c>
      <c r="P279" s="11">
        <v>76.0</v>
      </c>
      <c r="Q279" s="239"/>
      <c r="R279" s="17">
        <v>27.0</v>
      </c>
    </row>
    <row r="280">
      <c r="A280" s="11">
        <v>15.0</v>
      </c>
      <c r="B280" s="11">
        <v>87.0</v>
      </c>
      <c r="C280" s="11">
        <v>8.0</v>
      </c>
      <c r="D280" s="11" t="s">
        <v>5272</v>
      </c>
      <c r="E280" s="234">
        <v>13.0</v>
      </c>
      <c r="F280" s="235">
        <v>261.0</v>
      </c>
      <c r="G280" s="235">
        <v>261.0</v>
      </c>
      <c r="H280" s="234">
        <v>13.0</v>
      </c>
      <c r="I280" s="235">
        <v>261.0</v>
      </c>
      <c r="J280" s="236">
        <v>5.8316703E7</v>
      </c>
      <c r="K280" s="11">
        <v>50.0</v>
      </c>
      <c r="L280" s="11">
        <v>3.0</v>
      </c>
      <c r="M280" s="237" t="str">
        <f t="shared" si="1"/>
        <v>0132610058316703503</v>
      </c>
      <c r="N280" s="238">
        <v>40363.1</v>
      </c>
      <c r="O280" s="110">
        <v>100115.0</v>
      </c>
      <c r="P280" s="11">
        <v>70.0</v>
      </c>
      <c r="Q280" s="239"/>
      <c r="R280" s="17">
        <v>88.0</v>
      </c>
    </row>
    <row r="281">
      <c r="A281" s="11">
        <v>11.0</v>
      </c>
      <c r="B281" s="11">
        <v>46.0</v>
      </c>
      <c r="C281" s="11">
        <v>9.0</v>
      </c>
      <c r="D281" s="11" t="s">
        <v>5273</v>
      </c>
      <c r="E281" s="234">
        <v>5.0</v>
      </c>
      <c r="F281" s="235">
        <v>55.0</v>
      </c>
      <c r="G281" s="235">
        <v>55.0</v>
      </c>
      <c r="H281" s="234">
        <v>5.0</v>
      </c>
      <c r="I281" s="235">
        <v>55.0</v>
      </c>
      <c r="J281" s="236">
        <v>5.1749251E7</v>
      </c>
      <c r="K281" s="11">
        <v>74.0</v>
      </c>
      <c r="L281" s="11">
        <v>1.0</v>
      </c>
      <c r="M281" s="237" t="str">
        <f t="shared" si="1"/>
        <v>050550051749251741</v>
      </c>
      <c r="N281" s="238">
        <v>-76292.98</v>
      </c>
      <c r="O281" s="110">
        <v>102516.0</v>
      </c>
      <c r="P281" s="11">
        <v>70.0</v>
      </c>
      <c r="Q281" s="239"/>
      <c r="R281" s="17">
        <v>47.0</v>
      </c>
    </row>
    <row r="282">
      <c r="A282" s="11">
        <v>18.0</v>
      </c>
      <c r="B282" s="11">
        <v>46.0</v>
      </c>
      <c r="C282" s="11">
        <v>9.0</v>
      </c>
      <c r="D282" s="11" t="s">
        <v>39</v>
      </c>
      <c r="E282" s="234">
        <v>20.0</v>
      </c>
      <c r="F282" s="235">
        <v>31.0</v>
      </c>
      <c r="G282" s="235">
        <v>31.0</v>
      </c>
      <c r="H282" s="234">
        <v>20.0</v>
      </c>
      <c r="I282" s="235">
        <v>31.0</v>
      </c>
      <c r="J282" s="236">
        <v>5.0611791E7</v>
      </c>
      <c r="K282" s="11">
        <v>71.0</v>
      </c>
      <c r="L282" s="11">
        <v>1.0</v>
      </c>
      <c r="M282" s="237" t="str">
        <f t="shared" si="1"/>
        <v>0200310050611791711</v>
      </c>
      <c r="N282" s="238">
        <v>-57184.75</v>
      </c>
      <c r="O282" s="110">
        <v>42916.0</v>
      </c>
      <c r="P282" s="11">
        <v>72.0</v>
      </c>
      <c r="Q282" s="239"/>
      <c r="R282" s="17">
        <v>68.0</v>
      </c>
    </row>
    <row r="283">
      <c r="A283" s="11">
        <v>17.0</v>
      </c>
      <c r="B283" s="11">
        <v>66.0</v>
      </c>
      <c r="C283" s="11">
        <v>2.0</v>
      </c>
      <c r="D283" s="11" t="s">
        <v>31</v>
      </c>
      <c r="E283" s="234">
        <v>51.0</v>
      </c>
      <c r="F283" s="235">
        <v>73.0</v>
      </c>
      <c r="G283" s="235">
        <v>73.0</v>
      </c>
      <c r="H283" s="234">
        <v>51.0</v>
      </c>
      <c r="I283" s="235">
        <v>73.0</v>
      </c>
      <c r="J283" s="236">
        <v>3.6962698E7</v>
      </c>
      <c r="K283" s="11">
        <v>69.0</v>
      </c>
      <c r="L283" s="11">
        <v>1.0</v>
      </c>
      <c r="M283" s="237" t="str">
        <f t="shared" si="1"/>
        <v>0510730036962698691</v>
      </c>
      <c r="N283" s="238">
        <v>52579.02</v>
      </c>
      <c r="O283" s="110">
        <v>62716.0</v>
      </c>
      <c r="P283" s="11">
        <v>71.0</v>
      </c>
      <c r="Q283" s="239"/>
      <c r="R283" s="17">
        <v>88.0</v>
      </c>
    </row>
    <row r="284">
      <c r="A284" s="11">
        <v>20.0</v>
      </c>
      <c r="B284" s="11">
        <v>87.0</v>
      </c>
      <c r="C284" s="11">
        <v>9.0</v>
      </c>
      <c r="D284" s="11" t="s">
        <v>5272</v>
      </c>
      <c r="E284" s="234">
        <v>16.0</v>
      </c>
      <c r="F284" s="235">
        <v>61.0</v>
      </c>
      <c r="G284" s="235">
        <v>61.0</v>
      </c>
      <c r="H284" s="234">
        <v>16.0</v>
      </c>
      <c r="I284" s="235">
        <v>61.0</v>
      </c>
      <c r="J284" s="236">
        <v>3.0594175E7</v>
      </c>
      <c r="K284" s="11">
        <v>34.0</v>
      </c>
      <c r="L284" s="11">
        <v>8.0</v>
      </c>
      <c r="M284" s="237" t="str">
        <f t="shared" si="1"/>
        <v>0160610030594175348</v>
      </c>
      <c r="N284" s="238">
        <v>-51337.15</v>
      </c>
      <c r="O284" s="110">
        <v>20119.0</v>
      </c>
      <c r="P284" s="11">
        <v>73.0</v>
      </c>
      <c r="Q284" s="239"/>
      <c r="R284" s="17">
        <v>68.0</v>
      </c>
    </row>
    <row r="285">
      <c r="A285" s="11">
        <v>16.0</v>
      </c>
      <c r="B285" s="11">
        <v>87.0</v>
      </c>
      <c r="C285" s="11">
        <v>6.0</v>
      </c>
      <c r="D285" s="11" t="s">
        <v>5271</v>
      </c>
      <c r="E285" s="234">
        <v>37.0</v>
      </c>
      <c r="F285" s="235">
        <v>115.0</v>
      </c>
      <c r="G285" s="235">
        <v>115.0</v>
      </c>
      <c r="H285" s="234">
        <v>37.0</v>
      </c>
      <c r="I285" s="235">
        <v>115.0</v>
      </c>
      <c r="J285" s="236">
        <v>1.0345468E7</v>
      </c>
      <c r="K285" s="11">
        <v>49.0</v>
      </c>
      <c r="L285" s="11">
        <v>4.0</v>
      </c>
      <c r="M285" s="237" t="str">
        <f t="shared" si="1"/>
        <v>0371150010345468494</v>
      </c>
      <c r="N285" s="238">
        <v>-84465.07</v>
      </c>
      <c r="O285" s="110">
        <v>80921.0</v>
      </c>
      <c r="P285" s="11">
        <v>76.0</v>
      </c>
      <c r="Q285" s="239"/>
      <c r="R285" s="17">
        <v>27.0</v>
      </c>
    </row>
    <row r="286">
      <c r="A286" s="11">
        <v>19.0</v>
      </c>
      <c r="B286" s="11">
        <v>66.0</v>
      </c>
      <c r="C286" s="11">
        <v>1.0</v>
      </c>
      <c r="D286" s="11" t="s">
        <v>39</v>
      </c>
      <c r="E286" s="234">
        <v>53.0</v>
      </c>
      <c r="F286" s="235">
        <v>69.0</v>
      </c>
      <c r="G286" s="235">
        <v>69.0</v>
      </c>
      <c r="H286" s="234">
        <v>53.0</v>
      </c>
      <c r="I286" s="235">
        <v>69.0</v>
      </c>
      <c r="J286" s="236">
        <v>6.5461027E7</v>
      </c>
      <c r="K286" s="11">
        <v>16.0</v>
      </c>
      <c r="L286" s="11">
        <v>9.0</v>
      </c>
      <c r="M286" s="237" t="str">
        <f t="shared" si="1"/>
        <v>0530690065461027169</v>
      </c>
      <c r="N286" s="238">
        <v>-56492.68</v>
      </c>
      <c r="O286" s="110">
        <v>71417.0</v>
      </c>
      <c r="P286" s="11">
        <v>80.0</v>
      </c>
      <c r="Q286" s="239"/>
      <c r="R286" s="17">
        <v>68.0</v>
      </c>
    </row>
    <row r="287">
      <c r="A287" s="11">
        <v>18.0</v>
      </c>
      <c r="B287" s="11">
        <v>66.0</v>
      </c>
      <c r="C287" s="11">
        <v>4.0</v>
      </c>
      <c r="D287" s="11" t="s">
        <v>5271</v>
      </c>
      <c r="E287" s="234">
        <v>37.0</v>
      </c>
      <c r="F287" s="235">
        <v>139.0</v>
      </c>
      <c r="G287" s="235">
        <v>139.0</v>
      </c>
      <c r="H287" s="234">
        <v>37.0</v>
      </c>
      <c r="I287" s="235">
        <v>139.0</v>
      </c>
      <c r="J287" s="236">
        <v>1.7208961E7</v>
      </c>
      <c r="K287" s="11">
        <v>64.0</v>
      </c>
      <c r="L287" s="11">
        <v>2.0</v>
      </c>
      <c r="M287" s="237" t="str">
        <f t="shared" si="1"/>
        <v>0371390017208961642</v>
      </c>
      <c r="N287" s="238">
        <v>36715.93</v>
      </c>
      <c r="O287" s="110">
        <v>50317.0</v>
      </c>
      <c r="P287" s="11">
        <v>77.0</v>
      </c>
      <c r="Q287" s="239"/>
      <c r="R287" s="17">
        <v>88.0</v>
      </c>
    </row>
    <row r="288">
      <c r="A288" s="11">
        <v>19.0</v>
      </c>
      <c r="B288" s="11">
        <v>66.0</v>
      </c>
      <c r="C288" s="11">
        <v>1.0</v>
      </c>
      <c r="D288" s="11" t="s">
        <v>29</v>
      </c>
      <c r="E288" s="234">
        <v>27.0</v>
      </c>
      <c r="F288" s="235">
        <v>159.0</v>
      </c>
      <c r="G288" s="235">
        <v>159.0</v>
      </c>
      <c r="H288" s="234">
        <v>27.0</v>
      </c>
      <c r="I288" s="235">
        <v>159.0</v>
      </c>
      <c r="J288" s="236">
        <v>1.3614763E7</v>
      </c>
      <c r="K288" s="11">
        <v>41.0</v>
      </c>
      <c r="L288" s="11">
        <v>8.0</v>
      </c>
      <c r="M288" s="237" t="str">
        <f t="shared" si="1"/>
        <v>0271590013614763418</v>
      </c>
      <c r="N288" s="238">
        <v>-7046.03</v>
      </c>
      <c r="O288" s="110">
        <v>62823.0</v>
      </c>
      <c r="P288" s="11">
        <v>75.0</v>
      </c>
      <c r="Q288" s="239"/>
      <c r="R288" s="17">
        <v>88.0</v>
      </c>
    </row>
    <row r="289">
      <c r="A289" s="11">
        <v>14.0</v>
      </c>
      <c r="B289" s="11">
        <v>66.0</v>
      </c>
      <c r="C289" s="11">
        <v>6.0</v>
      </c>
      <c r="D289" s="11" t="s">
        <v>5272</v>
      </c>
      <c r="E289" s="234">
        <v>2.0</v>
      </c>
      <c r="F289" s="235">
        <v>170.0</v>
      </c>
      <c r="G289" s="235">
        <v>170.0</v>
      </c>
      <c r="H289" s="234">
        <v>2.0</v>
      </c>
      <c r="I289" s="235">
        <v>170.0</v>
      </c>
      <c r="J289" s="236">
        <v>1.3362377E7</v>
      </c>
      <c r="K289" s="11">
        <v>82.0</v>
      </c>
      <c r="L289" s="11">
        <v>0.0</v>
      </c>
      <c r="M289" s="237" t="str">
        <f t="shared" si="1"/>
        <v>021700013362377820</v>
      </c>
      <c r="N289" s="238">
        <v>-73301.86</v>
      </c>
      <c r="O289" s="110">
        <v>50923.0</v>
      </c>
      <c r="P289" s="11">
        <v>71.0</v>
      </c>
      <c r="Q289" s="239"/>
      <c r="R289" s="17">
        <v>68.0</v>
      </c>
    </row>
    <row r="290">
      <c r="A290" s="11">
        <v>14.0</v>
      </c>
      <c r="B290" s="11">
        <v>87.0</v>
      </c>
      <c r="C290" s="11">
        <v>9.0</v>
      </c>
      <c r="D290" s="11" t="s">
        <v>5271</v>
      </c>
      <c r="E290" s="234">
        <v>36.0</v>
      </c>
      <c r="F290" s="235">
        <v>5.0</v>
      </c>
      <c r="G290" s="235">
        <v>5.0</v>
      </c>
      <c r="H290" s="234">
        <v>36.0</v>
      </c>
      <c r="I290" s="235">
        <v>5.0</v>
      </c>
      <c r="J290" s="236">
        <v>3.5788486E7</v>
      </c>
      <c r="K290" s="11">
        <v>10.0</v>
      </c>
      <c r="L290" s="11">
        <v>1.0</v>
      </c>
      <c r="M290" s="237" t="str">
        <f t="shared" si="1"/>
        <v>0360050035788486101</v>
      </c>
      <c r="N290" s="238">
        <v>4378.93</v>
      </c>
      <c r="O290" s="110">
        <v>32022.0</v>
      </c>
      <c r="P290" s="11">
        <v>71.0</v>
      </c>
      <c r="Q290" s="239"/>
      <c r="R290" s="17">
        <v>47.0</v>
      </c>
    </row>
    <row r="291">
      <c r="A291" s="11">
        <v>19.0</v>
      </c>
      <c r="B291" s="11">
        <v>87.0</v>
      </c>
      <c r="C291" s="11">
        <v>3.0</v>
      </c>
      <c r="D291" s="11" t="s">
        <v>39</v>
      </c>
      <c r="E291" s="234">
        <v>40.0</v>
      </c>
      <c r="F291" s="235">
        <v>15.0</v>
      </c>
      <c r="G291" s="235">
        <v>15.0</v>
      </c>
      <c r="H291" s="234">
        <v>40.0</v>
      </c>
      <c r="I291" s="235">
        <v>15.0</v>
      </c>
      <c r="J291" s="236">
        <v>3.2801763E7</v>
      </c>
      <c r="K291" s="11">
        <v>43.0</v>
      </c>
      <c r="L291" s="11">
        <v>5.0</v>
      </c>
      <c r="M291" s="237" t="str">
        <f t="shared" si="1"/>
        <v>0400150032801763435</v>
      </c>
      <c r="N291" s="238">
        <v>98680.73</v>
      </c>
      <c r="O291" s="110">
        <v>81517.0</v>
      </c>
      <c r="P291" s="11">
        <v>73.0</v>
      </c>
      <c r="Q291" s="239"/>
      <c r="R291" s="17">
        <v>48.0</v>
      </c>
    </row>
    <row r="292">
      <c r="A292" s="11">
        <v>10.0</v>
      </c>
      <c r="B292" s="11">
        <v>25.0</v>
      </c>
      <c r="C292" s="11">
        <v>2.0</v>
      </c>
      <c r="D292" s="11" t="s">
        <v>31</v>
      </c>
      <c r="E292" s="234">
        <v>12.0</v>
      </c>
      <c r="F292" s="235">
        <v>23.0</v>
      </c>
      <c r="G292" s="235">
        <v>23.0</v>
      </c>
      <c r="H292" s="234">
        <v>12.0</v>
      </c>
      <c r="I292" s="235">
        <v>23.0</v>
      </c>
      <c r="J292" s="236">
        <v>3.4470488E7</v>
      </c>
      <c r="K292" s="11">
        <v>90.0</v>
      </c>
      <c r="L292" s="11">
        <v>1.0</v>
      </c>
      <c r="M292" s="237" t="str">
        <f t="shared" si="1"/>
        <v>0120230034470488901</v>
      </c>
      <c r="N292" s="238">
        <v>71273.37</v>
      </c>
      <c r="O292" s="110">
        <v>11218.0</v>
      </c>
      <c r="P292" s="11">
        <v>72.0</v>
      </c>
      <c r="Q292" s="239"/>
      <c r="R292" s="17">
        <v>27.0</v>
      </c>
    </row>
    <row r="293">
      <c r="A293" s="11">
        <v>20.0</v>
      </c>
      <c r="B293" s="11">
        <v>87.0</v>
      </c>
      <c r="C293" s="11">
        <v>6.0</v>
      </c>
      <c r="D293" s="11" t="s">
        <v>5272</v>
      </c>
      <c r="E293" s="234">
        <v>27.0</v>
      </c>
      <c r="F293" s="235">
        <v>43.0</v>
      </c>
      <c r="G293" s="235">
        <v>43.0</v>
      </c>
      <c r="H293" s="234">
        <v>27.0</v>
      </c>
      <c r="I293" s="235">
        <v>43.0</v>
      </c>
      <c r="J293" s="236">
        <v>8.0371203E7</v>
      </c>
      <c r="K293" s="11">
        <v>12.0</v>
      </c>
      <c r="L293" s="11">
        <v>4.0</v>
      </c>
      <c r="M293" s="237" t="str">
        <f t="shared" si="1"/>
        <v>0270430080371203124</v>
      </c>
      <c r="N293" s="238">
        <v>-79705.84</v>
      </c>
      <c r="O293" s="110">
        <v>111113.0</v>
      </c>
      <c r="P293" s="11">
        <v>70.0</v>
      </c>
      <c r="Q293" s="239"/>
      <c r="R293" s="17">
        <v>68.0</v>
      </c>
    </row>
    <row r="294">
      <c r="A294" s="11">
        <v>12.0</v>
      </c>
      <c r="B294" s="11">
        <v>46.0</v>
      </c>
      <c r="C294" s="11">
        <v>8.0</v>
      </c>
      <c r="D294" s="11" t="s">
        <v>31</v>
      </c>
      <c r="E294" s="234">
        <v>26.0</v>
      </c>
      <c r="F294" s="235">
        <v>159.0</v>
      </c>
      <c r="G294" s="235">
        <v>159.0</v>
      </c>
      <c r="H294" s="234">
        <v>26.0</v>
      </c>
      <c r="I294" s="235">
        <v>159.0</v>
      </c>
      <c r="J294" s="236">
        <v>6.0876663E7</v>
      </c>
      <c r="K294" s="11">
        <v>18.0</v>
      </c>
      <c r="L294" s="11">
        <v>5.0</v>
      </c>
      <c r="M294" s="237" t="str">
        <f t="shared" si="1"/>
        <v>0261590060876663185</v>
      </c>
      <c r="N294" s="238">
        <v>16002.07</v>
      </c>
      <c r="O294" s="110">
        <v>90617.0</v>
      </c>
      <c r="P294" s="11">
        <v>79.0</v>
      </c>
      <c r="Q294" s="239"/>
      <c r="R294" s="17">
        <v>27.0</v>
      </c>
    </row>
    <row r="295">
      <c r="A295" s="11">
        <v>12.0</v>
      </c>
      <c r="B295" s="11">
        <v>26.0</v>
      </c>
      <c r="C295" s="11">
        <v>3.0</v>
      </c>
      <c r="D295" s="11" t="s">
        <v>5271</v>
      </c>
      <c r="E295" s="234">
        <v>17.0</v>
      </c>
      <c r="F295" s="235">
        <v>109.0</v>
      </c>
      <c r="G295" s="235">
        <v>109.0</v>
      </c>
      <c r="H295" s="234">
        <v>17.0</v>
      </c>
      <c r="I295" s="235">
        <v>109.0</v>
      </c>
      <c r="J295" s="236">
        <v>5.9088998E7</v>
      </c>
      <c r="K295" s="11">
        <v>30.0</v>
      </c>
      <c r="L295" s="11">
        <v>2.0</v>
      </c>
      <c r="M295" s="237" t="str">
        <f t="shared" si="1"/>
        <v>0171090059088998302</v>
      </c>
      <c r="N295" s="238">
        <v>47082.98</v>
      </c>
      <c r="O295" s="110">
        <v>92215.0</v>
      </c>
      <c r="P295" s="11">
        <v>79.0</v>
      </c>
      <c r="Q295" s="239"/>
      <c r="R295" s="17">
        <v>27.0</v>
      </c>
    </row>
    <row r="296">
      <c r="A296" s="11">
        <v>16.0</v>
      </c>
      <c r="B296" s="11">
        <v>46.0</v>
      </c>
      <c r="C296" s="11">
        <v>6.0</v>
      </c>
      <c r="D296" s="11" t="s">
        <v>5273</v>
      </c>
      <c r="E296" s="234">
        <v>51.0</v>
      </c>
      <c r="F296" s="235">
        <v>77.0</v>
      </c>
      <c r="G296" s="235">
        <v>77.0</v>
      </c>
      <c r="H296" s="234">
        <v>51.0</v>
      </c>
      <c r="I296" s="235">
        <v>77.0</v>
      </c>
      <c r="J296" s="236">
        <v>2.3614218E7</v>
      </c>
      <c r="K296" s="11">
        <v>59.0</v>
      </c>
      <c r="L296" s="11">
        <v>9.0</v>
      </c>
      <c r="M296" s="237" t="str">
        <f t="shared" si="1"/>
        <v>0510770023614218599</v>
      </c>
      <c r="N296" s="238">
        <v>-24146.37</v>
      </c>
      <c r="O296" s="110">
        <v>102914.0</v>
      </c>
      <c r="P296" s="11">
        <v>72.0</v>
      </c>
      <c r="Q296" s="239"/>
      <c r="R296" s="17">
        <v>68.0</v>
      </c>
    </row>
    <row r="297">
      <c r="A297" s="11">
        <v>13.0</v>
      </c>
      <c r="B297" s="11">
        <v>26.0</v>
      </c>
      <c r="C297" s="11">
        <v>8.0</v>
      </c>
      <c r="D297" s="11" t="s">
        <v>39</v>
      </c>
      <c r="E297" s="234">
        <v>19.0</v>
      </c>
      <c r="F297" s="235">
        <v>107.0</v>
      </c>
      <c r="G297" s="235">
        <v>107.0</v>
      </c>
      <c r="H297" s="234">
        <v>19.0</v>
      </c>
      <c r="I297" s="235">
        <v>107.0</v>
      </c>
      <c r="J297" s="236">
        <v>2.1529804E7</v>
      </c>
      <c r="K297" s="11">
        <v>91.0</v>
      </c>
      <c r="L297" s="11">
        <v>5.0</v>
      </c>
      <c r="M297" s="237" t="str">
        <f t="shared" si="1"/>
        <v>0191070021529804915</v>
      </c>
      <c r="N297" s="238">
        <v>-52565.73</v>
      </c>
      <c r="O297" s="110">
        <v>81118.0</v>
      </c>
      <c r="P297" s="11">
        <v>76.0</v>
      </c>
      <c r="Q297" s="239"/>
      <c r="R297" s="17">
        <v>48.0</v>
      </c>
    </row>
    <row r="298">
      <c r="A298" s="11">
        <v>10.0</v>
      </c>
      <c r="B298" s="11">
        <v>26.0</v>
      </c>
      <c r="C298" s="11">
        <v>9.0</v>
      </c>
      <c r="D298" s="11" t="s">
        <v>39</v>
      </c>
      <c r="E298" s="234">
        <v>48.0</v>
      </c>
      <c r="F298" s="235">
        <v>23.0</v>
      </c>
      <c r="G298" s="235">
        <v>23.0</v>
      </c>
      <c r="H298" s="234">
        <v>48.0</v>
      </c>
      <c r="I298" s="235">
        <v>23.0</v>
      </c>
      <c r="J298" s="236">
        <v>8.9170102E7</v>
      </c>
      <c r="K298" s="11">
        <v>63.0</v>
      </c>
      <c r="L298" s="11">
        <v>7.0</v>
      </c>
      <c r="M298" s="237" t="str">
        <f t="shared" si="1"/>
        <v>0480230089170102637</v>
      </c>
      <c r="N298" s="238">
        <v>-83859.09</v>
      </c>
      <c r="O298" s="110">
        <v>123015.0</v>
      </c>
      <c r="P298" s="11">
        <v>70.0</v>
      </c>
      <c r="Q298" s="239"/>
      <c r="R298" s="17">
        <v>27.0</v>
      </c>
    </row>
    <row r="299">
      <c r="A299" s="11">
        <v>11.0</v>
      </c>
      <c r="B299" s="11">
        <v>26.0</v>
      </c>
      <c r="C299" s="11">
        <v>7.0</v>
      </c>
      <c r="D299" s="11" t="s">
        <v>31</v>
      </c>
      <c r="E299" s="234">
        <v>47.0</v>
      </c>
      <c r="F299" s="235">
        <v>53.0</v>
      </c>
      <c r="G299" s="235">
        <v>53.0</v>
      </c>
      <c r="H299" s="234">
        <v>47.0</v>
      </c>
      <c r="I299" s="235">
        <v>53.0</v>
      </c>
      <c r="J299" s="236">
        <v>6.5413263E7</v>
      </c>
      <c r="K299" s="11">
        <v>98.0</v>
      </c>
      <c r="L299" s="11">
        <v>3.0</v>
      </c>
      <c r="M299" s="237" t="str">
        <f t="shared" si="1"/>
        <v>0470530065413263983</v>
      </c>
      <c r="N299" s="238">
        <v>-74120.64</v>
      </c>
      <c r="O299" s="110">
        <v>61415.0</v>
      </c>
      <c r="P299" s="11">
        <v>77.0</v>
      </c>
      <c r="Q299" s="239"/>
      <c r="R299" s="17">
        <v>48.0</v>
      </c>
    </row>
    <row r="300">
      <c r="A300" s="11">
        <v>15.0</v>
      </c>
      <c r="B300" s="11">
        <v>87.0</v>
      </c>
      <c r="C300" s="11">
        <v>8.0</v>
      </c>
      <c r="D300" s="11" t="s">
        <v>29</v>
      </c>
      <c r="E300" s="234">
        <v>30.0</v>
      </c>
      <c r="F300" s="235">
        <v>67.0</v>
      </c>
      <c r="G300" s="235">
        <v>67.0</v>
      </c>
      <c r="H300" s="234">
        <v>30.0</v>
      </c>
      <c r="I300" s="235">
        <v>67.0</v>
      </c>
      <c r="J300" s="236">
        <v>9.4304688E7</v>
      </c>
      <c r="K300" s="11">
        <v>91.0</v>
      </c>
      <c r="L300" s="11">
        <v>6.0</v>
      </c>
      <c r="M300" s="237" t="str">
        <f t="shared" si="1"/>
        <v>0300670094304688916</v>
      </c>
      <c r="N300" s="238">
        <v>-74745.19</v>
      </c>
      <c r="O300" s="110">
        <v>20522.0</v>
      </c>
      <c r="P300" s="11">
        <v>70.0</v>
      </c>
      <c r="Q300" s="239"/>
      <c r="R300" s="17">
        <v>48.0</v>
      </c>
    </row>
    <row r="301">
      <c r="A301" s="11">
        <v>16.0</v>
      </c>
      <c r="B301" s="11">
        <v>46.0</v>
      </c>
      <c r="C301" s="11">
        <v>5.0</v>
      </c>
      <c r="D301" s="11" t="s">
        <v>5272</v>
      </c>
      <c r="E301" s="234">
        <v>12.0</v>
      </c>
      <c r="F301" s="235">
        <v>131.0</v>
      </c>
      <c r="G301" s="235">
        <v>131.0</v>
      </c>
      <c r="H301" s="234">
        <v>12.0</v>
      </c>
      <c r="I301" s="235">
        <v>131.0</v>
      </c>
      <c r="J301" s="236">
        <v>5.9174006E7</v>
      </c>
      <c r="K301" s="11">
        <v>90.0</v>
      </c>
      <c r="L301" s="11">
        <v>4.0</v>
      </c>
      <c r="M301" s="237" t="str">
        <f t="shared" si="1"/>
        <v>0121310059174006904</v>
      </c>
      <c r="N301" s="238">
        <v>26416.3</v>
      </c>
      <c r="O301" s="110">
        <v>62818.0</v>
      </c>
      <c r="P301" s="11">
        <v>74.0</v>
      </c>
      <c r="Q301" s="239"/>
      <c r="R301" s="17">
        <v>68.0</v>
      </c>
    </row>
    <row r="302">
      <c r="A302" s="11">
        <v>13.0</v>
      </c>
      <c r="B302" s="11">
        <v>26.0</v>
      </c>
      <c r="C302" s="11">
        <v>1.0</v>
      </c>
      <c r="D302" s="11" t="s">
        <v>5272</v>
      </c>
      <c r="E302" s="234">
        <v>23.0</v>
      </c>
      <c r="F302" s="235">
        <v>29.0</v>
      </c>
      <c r="G302" s="235">
        <v>29.0</v>
      </c>
      <c r="H302" s="234">
        <v>23.0</v>
      </c>
      <c r="I302" s="235">
        <v>29.0</v>
      </c>
      <c r="J302" s="236">
        <v>5.0811708E7</v>
      </c>
      <c r="K302" s="11">
        <v>98.0</v>
      </c>
      <c r="L302" s="11">
        <v>6.0</v>
      </c>
      <c r="M302" s="237" t="str">
        <f t="shared" si="1"/>
        <v>0230290050811708986</v>
      </c>
      <c r="N302" s="238">
        <v>-73911.34</v>
      </c>
      <c r="O302" s="110">
        <v>11815.0</v>
      </c>
      <c r="P302" s="11">
        <v>75.0</v>
      </c>
      <c r="Q302" s="239"/>
      <c r="R302" s="17">
        <v>27.0</v>
      </c>
    </row>
    <row r="303">
      <c r="A303" s="11">
        <v>14.0</v>
      </c>
      <c r="B303" s="11">
        <v>46.0</v>
      </c>
      <c r="C303" s="11">
        <v>2.0</v>
      </c>
      <c r="D303" s="11" t="s">
        <v>31</v>
      </c>
      <c r="E303" s="234">
        <v>54.0</v>
      </c>
      <c r="F303" s="235">
        <v>29.0</v>
      </c>
      <c r="G303" s="235">
        <v>29.0</v>
      </c>
      <c r="H303" s="234">
        <v>54.0</v>
      </c>
      <c r="I303" s="235">
        <v>29.0</v>
      </c>
      <c r="J303" s="236">
        <v>9.9416394E7</v>
      </c>
      <c r="K303" s="11">
        <v>84.0</v>
      </c>
      <c r="L303" s="11">
        <v>4.0</v>
      </c>
      <c r="M303" s="237" t="str">
        <f t="shared" si="1"/>
        <v>0540290099416394844</v>
      </c>
      <c r="N303" s="238">
        <v>43207.34</v>
      </c>
      <c r="O303" s="110">
        <v>12616.0</v>
      </c>
      <c r="P303" s="11">
        <v>71.0</v>
      </c>
      <c r="Q303" s="239"/>
      <c r="R303" s="17">
        <v>89.0</v>
      </c>
    </row>
    <row r="304">
      <c r="A304" s="11">
        <v>15.0</v>
      </c>
      <c r="B304" s="11">
        <v>26.0</v>
      </c>
      <c r="C304" s="11">
        <v>5.0</v>
      </c>
      <c r="D304" s="11" t="s">
        <v>39</v>
      </c>
      <c r="E304" s="234">
        <v>46.0</v>
      </c>
      <c r="F304" s="235">
        <v>69.0</v>
      </c>
      <c r="G304" s="235">
        <v>69.0</v>
      </c>
      <c r="H304" s="234">
        <v>46.0</v>
      </c>
      <c r="I304" s="235">
        <v>69.0</v>
      </c>
      <c r="J304" s="236">
        <v>4.3588094E7</v>
      </c>
      <c r="K304" s="11">
        <v>73.0</v>
      </c>
      <c r="L304" s="11">
        <v>5.0</v>
      </c>
      <c r="M304" s="237" t="str">
        <f t="shared" si="1"/>
        <v>0460690043588094735</v>
      </c>
      <c r="N304" s="238">
        <v>57355.15</v>
      </c>
      <c r="O304" s="110">
        <v>22414.0</v>
      </c>
      <c r="P304" s="11">
        <v>75.0</v>
      </c>
      <c r="Q304" s="239"/>
      <c r="R304" s="17">
        <v>89.0</v>
      </c>
    </row>
    <row r="305">
      <c r="A305" s="11">
        <v>15.0</v>
      </c>
      <c r="B305" s="11">
        <v>46.0</v>
      </c>
      <c r="C305" s="11">
        <v>2.0</v>
      </c>
      <c r="D305" s="11" t="s">
        <v>5273</v>
      </c>
      <c r="E305" s="234">
        <v>30.0</v>
      </c>
      <c r="F305" s="235">
        <v>85.0</v>
      </c>
      <c r="G305" s="235">
        <v>85.0</v>
      </c>
      <c r="H305" s="234">
        <v>30.0</v>
      </c>
      <c r="I305" s="235">
        <v>85.0</v>
      </c>
      <c r="J305" s="236">
        <v>3.1853873E7</v>
      </c>
      <c r="K305" s="11">
        <v>25.0</v>
      </c>
      <c r="L305" s="11">
        <v>1.0</v>
      </c>
      <c r="M305" s="237" t="str">
        <f t="shared" si="1"/>
        <v>0300850031853873251</v>
      </c>
      <c r="N305" s="238">
        <v>-67702.5</v>
      </c>
      <c r="O305" s="110">
        <v>92018.0</v>
      </c>
      <c r="P305" s="11">
        <v>73.0</v>
      </c>
      <c r="Q305" s="239"/>
      <c r="R305" s="17">
        <v>68.0</v>
      </c>
    </row>
    <row r="306">
      <c r="A306" s="11">
        <v>11.0</v>
      </c>
      <c r="B306" s="11">
        <v>67.0</v>
      </c>
      <c r="C306" s="11">
        <v>3.0</v>
      </c>
      <c r="D306" s="11" t="s">
        <v>39</v>
      </c>
      <c r="E306" s="234">
        <v>19.0</v>
      </c>
      <c r="F306" s="235">
        <v>143.0</v>
      </c>
      <c r="G306" s="235">
        <v>143.0</v>
      </c>
      <c r="H306" s="234">
        <v>19.0</v>
      </c>
      <c r="I306" s="235">
        <v>143.0</v>
      </c>
      <c r="J306" s="236">
        <v>1.3301842E7</v>
      </c>
      <c r="K306" s="11">
        <v>16.0</v>
      </c>
      <c r="L306" s="11">
        <v>6.0</v>
      </c>
      <c r="M306" s="237" t="str">
        <f t="shared" si="1"/>
        <v>0191430013301842166</v>
      </c>
      <c r="N306" s="238">
        <v>90244.59</v>
      </c>
      <c r="O306" s="110">
        <v>111117.0</v>
      </c>
      <c r="P306" s="11">
        <v>77.0</v>
      </c>
      <c r="Q306" s="239"/>
      <c r="R306" s="17">
        <v>27.0</v>
      </c>
    </row>
    <row r="307">
      <c r="A307" s="11">
        <v>13.0</v>
      </c>
      <c r="B307" s="11">
        <v>67.0</v>
      </c>
      <c r="C307" s="11">
        <v>7.0</v>
      </c>
      <c r="D307" s="11" t="s">
        <v>31</v>
      </c>
      <c r="E307" s="234">
        <v>46.0</v>
      </c>
      <c r="F307" s="235">
        <v>45.0</v>
      </c>
      <c r="G307" s="235">
        <v>45.0</v>
      </c>
      <c r="H307" s="234">
        <v>46.0</v>
      </c>
      <c r="I307" s="235">
        <v>45.0</v>
      </c>
      <c r="J307" s="236">
        <v>7.4004205E7</v>
      </c>
      <c r="K307" s="11">
        <v>44.0</v>
      </c>
      <c r="L307" s="11">
        <v>2.0</v>
      </c>
      <c r="M307" s="237" t="str">
        <f t="shared" si="1"/>
        <v>0460450074004205442</v>
      </c>
      <c r="N307" s="238">
        <v>-72171.59</v>
      </c>
      <c r="O307" s="110">
        <v>51422.0</v>
      </c>
      <c r="P307" s="11">
        <v>72.0</v>
      </c>
      <c r="Q307" s="239"/>
      <c r="R307" s="17">
        <v>27.0</v>
      </c>
    </row>
    <row r="308">
      <c r="A308" s="11">
        <v>12.0</v>
      </c>
      <c r="B308" s="11">
        <v>87.0</v>
      </c>
      <c r="C308" s="11">
        <v>7.0</v>
      </c>
      <c r="D308" s="11" t="s">
        <v>39</v>
      </c>
      <c r="E308" s="234">
        <v>51.0</v>
      </c>
      <c r="F308" s="235">
        <v>790.0</v>
      </c>
      <c r="G308" s="235">
        <v>790.0</v>
      </c>
      <c r="H308" s="234">
        <v>51.0</v>
      </c>
      <c r="I308" s="235">
        <v>790.0</v>
      </c>
      <c r="J308" s="236">
        <v>5.9352586E7</v>
      </c>
      <c r="K308" s="11">
        <v>22.0</v>
      </c>
      <c r="L308" s="11">
        <v>9.0</v>
      </c>
      <c r="M308" s="237" t="str">
        <f t="shared" si="1"/>
        <v>0517900059352586229</v>
      </c>
      <c r="N308" s="238">
        <v>-24539.28</v>
      </c>
      <c r="O308" s="110">
        <v>90614.0</v>
      </c>
      <c r="P308" s="11">
        <v>71.0</v>
      </c>
      <c r="Q308" s="239"/>
      <c r="R308" s="17">
        <v>89.0</v>
      </c>
    </row>
    <row r="309">
      <c r="A309" s="11">
        <v>11.0</v>
      </c>
      <c r="B309" s="11">
        <v>87.0</v>
      </c>
      <c r="C309" s="11">
        <v>4.0</v>
      </c>
      <c r="D309" s="11" t="s">
        <v>5272</v>
      </c>
      <c r="E309" s="234">
        <v>5.0</v>
      </c>
      <c r="F309" s="235">
        <v>127.0</v>
      </c>
      <c r="G309" s="235">
        <v>127.0</v>
      </c>
      <c r="H309" s="234">
        <v>5.0</v>
      </c>
      <c r="I309" s="235">
        <v>127.0</v>
      </c>
      <c r="J309" s="236">
        <v>1.2969438E7</v>
      </c>
      <c r="K309" s="11">
        <v>88.0</v>
      </c>
      <c r="L309" s="11">
        <v>3.0</v>
      </c>
      <c r="M309" s="237" t="str">
        <f t="shared" si="1"/>
        <v>051270012969438883</v>
      </c>
      <c r="N309" s="238">
        <v>-52148.11</v>
      </c>
      <c r="O309" s="110">
        <v>43018.0</v>
      </c>
      <c r="P309" s="11">
        <v>79.0</v>
      </c>
      <c r="Q309" s="239"/>
      <c r="R309" s="17">
        <v>89.0</v>
      </c>
    </row>
    <row r="310">
      <c r="A310" s="11">
        <v>19.0</v>
      </c>
      <c r="B310" s="11">
        <v>26.0</v>
      </c>
      <c r="C310" s="11">
        <v>1.0</v>
      </c>
      <c r="D310" s="11" t="s">
        <v>5272</v>
      </c>
      <c r="E310" s="234">
        <v>29.0</v>
      </c>
      <c r="F310" s="235">
        <v>175.0</v>
      </c>
      <c r="G310" s="235">
        <v>175.0</v>
      </c>
      <c r="H310" s="234">
        <v>29.0</v>
      </c>
      <c r="I310" s="235">
        <v>175.0</v>
      </c>
      <c r="J310" s="236">
        <v>2.3720439E7</v>
      </c>
      <c r="K310" s="11">
        <v>90.0</v>
      </c>
      <c r="L310" s="11">
        <v>1.0</v>
      </c>
      <c r="M310" s="237" t="str">
        <f t="shared" si="1"/>
        <v>0291750023720439901</v>
      </c>
      <c r="N310" s="238">
        <v>-19378.7</v>
      </c>
      <c r="O310" s="110">
        <v>22522.0</v>
      </c>
      <c r="P310" s="11">
        <v>72.0</v>
      </c>
      <c r="Q310" s="239"/>
      <c r="R310" s="17">
        <v>68.0</v>
      </c>
    </row>
    <row r="311">
      <c r="A311" s="11">
        <v>11.0</v>
      </c>
      <c r="B311" s="11">
        <v>67.0</v>
      </c>
      <c r="C311" s="11">
        <v>6.0</v>
      </c>
      <c r="D311" s="11" t="s">
        <v>5273</v>
      </c>
      <c r="E311" s="234">
        <v>8.0</v>
      </c>
      <c r="F311" s="235">
        <v>69.0</v>
      </c>
      <c r="G311" s="235">
        <v>69.0</v>
      </c>
      <c r="H311" s="234">
        <v>8.0</v>
      </c>
      <c r="I311" s="235">
        <v>69.0</v>
      </c>
      <c r="J311" s="236">
        <v>8.1470692E7</v>
      </c>
      <c r="K311" s="11">
        <v>92.0</v>
      </c>
      <c r="L311" s="11">
        <v>1.0</v>
      </c>
      <c r="M311" s="237" t="str">
        <f t="shared" si="1"/>
        <v>080690081470692921</v>
      </c>
      <c r="N311" s="238">
        <v>83641.9</v>
      </c>
      <c r="O311" s="110">
        <v>82217.0</v>
      </c>
      <c r="P311" s="11">
        <v>75.0</v>
      </c>
      <c r="Q311" s="239"/>
      <c r="R311" s="17">
        <v>89.0</v>
      </c>
    </row>
    <row r="312">
      <c r="A312" s="11">
        <v>12.0</v>
      </c>
      <c r="B312" s="11">
        <v>26.0</v>
      </c>
      <c r="C312" s="11">
        <v>2.0</v>
      </c>
      <c r="D312" s="11" t="s">
        <v>5273</v>
      </c>
      <c r="E312" s="234">
        <v>22.0</v>
      </c>
      <c r="F312" s="235">
        <v>51.0</v>
      </c>
      <c r="G312" s="235">
        <v>51.0</v>
      </c>
      <c r="H312" s="234">
        <v>22.0</v>
      </c>
      <c r="I312" s="235">
        <v>51.0</v>
      </c>
      <c r="J312" s="236">
        <v>8.4546162E7</v>
      </c>
      <c r="K312" s="11">
        <v>28.0</v>
      </c>
      <c r="L312" s="11">
        <v>0.0</v>
      </c>
      <c r="M312" s="237" t="str">
        <f t="shared" si="1"/>
        <v>0220510084546162280</v>
      </c>
      <c r="N312" s="238">
        <v>-22647.11</v>
      </c>
      <c r="O312" s="110">
        <v>61023.0</v>
      </c>
      <c r="P312" s="11">
        <v>71.0</v>
      </c>
      <c r="Q312" s="239"/>
      <c r="R312" s="17">
        <v>89.0</v>
      </c>
    </row>
    <row r="313">
      <c r="A313" s="11">
        <v>12.0</v>
      </c>
      <c r="B313" s="11">
        <v>46.0</v>
      </c>
      <c r="C313" s="11">
        <v>5.0</v>
      </c>
      <c r="D313" s="11" t="s">
        <v>5272</v>
      </c>
      <c r="E313" s="234">
        <v>6.0</v>
      </c>
      <c r="F313" s="235">
        <v>115.0</v>
      </c>
      <c r="G313" s="235">
        <v>115.0</v>
      </c>
      <c r="H313" s="234">
        <v>6.0</v>
      </c>
      <c r="I313" s="235">
        <v>115.0</v>
      </c>
      <c r="J313" s="236">
        <v>4.0194313E7</v>
      </c>
      <c r="K313" s="11">
        <v>18.0</v>
      </c>
      <c r="L313" s="11">
        <v>3.0</v>
      </c>
      <c r="M313" s="237" t="str">
        <f t="shared" si="1"/>
        <v>061150040194313183</v>
      </c>
      <c r="N313" s="238">
        <v>1072.78</v>
      </c>
      <c r="O313" s="110">
        <v>42716.0</v>
      </c>
      <c r="P313" s="11">
        <v>73.0</v>
      </c>
      <c r="Q313" s="239"/>
      <c r="R313" s="17">
        <v>68.0</v>
      </c>
    </row>
    <row r="314">
      <c r="A314" s="11">
        <v>16.0</v>
      </c>
      <c r="B314" s="11">
        <v>67.0</v>
      </c>
      <c r="C314" s="11">
        <v>1.0</v>
      </c>
      <c r="D314" s="11" t="s">
        <v>5271</v>
      </c>
      <c r="E314" s="234">
        <v>20.0</v>
      </c>
      <c r="F314" s="235">
        <v>107.0</v>
      </c>
      <c r="G314" s="235">
        <v>107.0</v>
      </c>
      <c r="H314" s="234">
        <v>20.0</v>
      </c>
      <c r="I314" s="235">
        <v>107.0</v>
      </c>
      <c r="J314" s="236">
        <v>5.3735604E7</v>
      </c>
      <c r="K314" s="11">
        <v>9.0</v>
      </c>
      <c r="L314" s="11">
        <v>0.0</v>
      </c>
      <c r="M314" s="237" t="str">
        <f t="shared" si="1"/>
        <v>020107005373560490</v>
      </c>
      <c r="N314" s="238">
        <v>-41656.08</v>
      </c>
      <c r="O314" s="110">
        <v>22414.0</v>
      </c>
      <c r="P314" s="11">
        <v>71.0</v>
      </c>
      <c r="Q314" s="239"/>
      <c r="R314" s="17">
        <v>27.0</v>
      </c>
    </row>
    <row r="315">
      <c r="A315" s="11">
        <v>18.0</v>
      </c>
      <c r="B315" s="11">
        <v>87.0</v>
      </c>
      <c r="C315" s="11">
        <v>5.0</v>
      </c>
      <c r="D315" s="11" t="s">
        <v>5273</v>
      </c>
      <c r="E315" s="234">
        <v>19.0</v>
      </c>
      <c r="F315" s="235">
        <v>125.0</v>
      </c>
      <c r="G315" s="235">
        <v>125.0</v>
      </c>
      <c r="H315" s="234">
        <v>19.0</v>
      </c>
      <c r="I315" s="235">
        <v>125.0</v>
      </c>
      <c r="J315" s="236">
        <v>5.5611856E7</v>
      </c>
      <c r="K315" s="11">
        <v>52.0</v>
      </c>
      <c r="L315" s="11">
        <v>4.0</v>
      </c>
      <c r="M315" s="237" t="str">
        <f t="shared" si="1"/>
        <v>0191250055611856524</v>
      </c>
      <c r="N315" s="238">
        <v>-72387.27</v>
      </c>
      <c r="O315" s="110">
        <v>121813.0</v>
      </c>
      <c r="P315" s="11">
        <v>74.0</v>
      </c>
      <c r="Q315" s="239"/>
      <c r="R315" s="17">
        <v>89.0</v>
      </c>
    </row>
    <row r="316">
      <c r="A316" s="11">
        <v>17.0</v>
      </c>
      <c r="B316" s="11">
        <v>26.0</v>
      </c>
      <c r="C316" s="11">
        <v>8.0</v>
      </c>
      <c r="D316" s="11" t="s">
        <v>29</v>
      </c>
      <c r="E316" s="234">
        <v>31.0</v>
      </c>
      <c r="F316" s="235">
        <v>29.0</v>
      </c>
      <c r="G316" s="235">
        <v>29.0</v>
      </c>
      <c r="H316" s="234">
        <v>31.0</v>
      </c>
      <c r="I316" s="235">
        <v>29.0</v>
      </c>
      <c r="J316" s="236">
        <v>1.4283517E7</v>
      </c>
      <c r="K316" s="11">
        <v>23.0</v>
      </c>
      <c r="L316" s="11">
        <v>6.0</v>
      </c>
      <c r="M316" s="237" t="str">
        <f t="shared" si="1"/>
        <v>0310290014283517236</v>
      </c>
      <c r="N316" s="238">
        <v>-25226.33</v>
      </c>
      <c r="O316" s="110">
        <v>102813.0</v>
      </c>
      <c r="P316" s="11">
        <v>78.0</v>
      </c>
      <c r="Q316" s="239"/>
      <c r="R316" s="17">
        <v>89.0</v>
      </c>
    </row>
    <row r="317">
      <c r="A317" s="11">
        <v>20.0</v>
      </c>
      <c r="B317" s="11">
        <v>46.0</v>
      </c>
      <c r="C317" s="11">
        <v>9.0</v>
      </c>
      <c r="D317" s="11" t="s">
        <v>5271</v>
      </c>
      <c r="E317" s="234">
        <v>20.0</v>
      </c>
      <c r="F317" s="235">
        <v>171.0</v>
      </c>
      <c r="G317" s="235">
        <v>171.0</v>
      </c>
      <c r="H317" s="234">
        <v>20.0</v>
      </c>
      <c r="I317" s="235">
        <v>171.0</v>
      </c>
      <c r="J317" s="236">
        <v>8.0988688E7</v>
      </c>
      <c r="K317" s="11">
        <v>25.0</v>
      </c>
      <c r="L317" s="11">
        <v>5.0</v>
      </c>
      <c r="M317" s="237" t="str">
        <f t="shared" si="1"/>
        <v>0201710080988688255</v>
      </c>
      <c r="N317" s="238">
        <v>-69336.31</v>
      </c>
      <c r="O317" s="110">
        <v>41923.0</v>
      </c>
      <c r="P317" s="11">
        <v>76.0</v>
      </c>
      <c r="Q317" s="239"/>
      <c r="R317" s="17">
        <v>48.0</v>
      </c>
    </row>
    <row r="318">
      <c r="A318" s="11">
        <v>19.0</v>
      </c>
      <c r="B318" s="11">
        <v>26.0</v>
      </c>
      <c r="C318" s="11">
        <v>8.0</v>
      </c>
      <c r="D318" s="11" t="s">
        <v>29</v>
      </c>
      <c r="E318" s="234">
        <v>46.0</v>
      </c>
      <c r="F318" s="235">
        <v>87.0</v>
      </c>
      <c r="G318" s="235">
        <v>87.0</v>
      </c>
      <c r="H318" s="234">
        <v>46.0</v>
      </c>
      <c r="I318" s="235">
        <v>87.0</v>
      </c>
      <c r="J318" s="236">
        <v>5.9097843E7</v>
      </c>
      <c r="K318" s="11">
        <v>68.0</v>
      </c>
      <c r="L318" s="11">
        <v>2.0</v>
      </c>
      <c r="M318" s="237" t="str">
        <f t="shared" si="1"/>
        <v>0460870059097843682</v>
      </c>
      <c r="N318" s="238">
        <v>87942.44</v>
      </c>
      <c r="O318" s="110">
        <v>11419.0</v>
      </c>
      <c r="P318" s="11">
        <v>75.0</v>
      </c>
      <c r="Q318" s="239"/>
      <c r="R318" s="17">
        <v>69.0</v>
      </c>
    </row>
    <row r="319">
      <c r="A319" s="11">
        <v>15.0</v>
      </c>
      <c r="B319" s="11">
        <v>67.0</v>
      </c>
      <c r="C319" s="11">
        <v>8.0</v>
      </c>
      <c r="D319" s="11" t="s">
        <v>31</v>
      </c>
      <c r="E319" s="234">
        <v>21.0</v>
      </c>
      <c r="F319" s="235">
        <v>151.0</v>
      </c>
      <c r="G319" s="235">
        <v>151.0</v>
      </c>
      <c r="H319" s="234">
        <v>21.0</v>
      </c>
      <c r="I319" s="235">
        <v>151.0</v>
      </c>
      <c r="J319" s="236">
        <v>2.6367847E7</v>
      </c>
      <c r="K319" s="11">
        <v>38.0</v>
      </c>
      <c r="L319" s="11">
        <v>2.0</v>
      </c>
      <c r="M319" s="237" t="str">
        <f t="shared" si="1"/>
        <v>0211510026367847382</v>
      </c>
      <c r="N319" s="238">
        <v>-91895.22</v>
      </c>
      <c r="O319" s="110">
        <v>92822.0</v>
      </c>
      <c r="P319" s="11">
        <v>71.0</v>
      </c>
      <c r="Q319" s="239"/>
      <c r="R319" s="17">
        <v>69.0</v>
      </c>
    </row>
    <row r="320">
      <c r="A320" s="11">
        <v>19.0</v>
      </c>
      <c r="B320" s="11">
        <v>26.0</v>
      </c>
      <c r="C320" s="11">
        <v>8.0</v>
      </c>
      <c r="D320" s="11" t="s">
        <v>39</v>
      </c>
      <c r="E320" s="234">
        <v>17.0</v>
      </c>
      <c r="F320" s="235">
        <v>141.0</v>
      </c>
      <c r="G320" s="235">
        <v>141.0</v>
      </c>
      <c r="H320" s="234">
        <v>17.0</v>
      </c>
      <c r="I320" s="235">
        <v>141.0</v>
      </c>
      <c r="J320" s="236">
        <v>7.8613427E7</v>
      </c>
      <c r="K320" s="11">
        <v>86.0</v>
      </c>
      <c r="L320" s="11">
        <v>4.0</v>
      </c>
      <c r="M320" s="237" t="str">
        <f t="shared" si="1"/>
        <v>0171410078613427864</v>
      </c>
      <c r="N320" s="238">
        <v>57183.91</v>
      </c>
      <c r="O320" s="110">
        <v>22623.0</v>
      </c>
      <c r="P320" s="11">
        <v>71.0</v>
      </c>
      <c r="Q320" s="239"/>
      <c r="R320" s="17">
        <v>48.0</v>
      </c>
    </row>
    <row r="321">
      <c r="A321" s="11">
        <v>14.0</v>
      </c>
      <c r="B321" s="11">
        <v>46.0</v>
      </c>
      <c r="C321" s="11">
        <v>9.0</v>
      </c>
      <c r="D321" s="11" t="s">
        <v>5272</v>
      </c>
      <c r="E321" s="234">
        <v>30.0</v>
      </c>
      <c r="F321" s="235">
        <v>21.0</v>
      </c>
      <c r="G321" s="235">
        <v>21.0</v>
      </c>
      <c r="H321" s="234">
        <v>30.0</v>
      </c>
      <c r="I321" s="235">
        <v>21.0</v>
      </c>
      <c r="J321" s="236">
        <v>2.1707583E7</v>
      </c>
      <c r="K321" s="11">
        <v>88.0</v>
      </c>
      <c r="L321" s="11">
        <v>1.0</v>
      </c>
      <c r="M321" s="237" t="str">
        <f t="shared" si="1"/>
        <v>0300210021707583881</v>
      </c>
      <c r="N321" s="238">
        <v>-39561.93</v>
      </c>
      <c r="O321" s="110">
        <v>11421.0</v>
      </c>
      <c r="P321" s="11">
        <v>76.0</v>
      </c>
      <c r="Q321" s="239"/>
      <c r="R321" s="17">
        <v>28.0</v>
      </c>
    </row>
    <row r="322">
      <c r="A322" s="11">
        <v>20.0</v>
      </c>
      <c r="B322" s="11">
        <v>87.0</v>
      </c>
      <c r="C322" s="11">
        <v>4.0</v>
      </c>
      <c r="D322" s="11" t="s">
        <v>39</v>
      </c>
      <c r="E322" s="234">
        <v>6.0</v>
      </c>
      <c r="F322" s="235">
        <v>51.0</v>
      </c>
      <c r="G322" s="235">
        <v>51.0</v>
      </c>
      <c r="H322" s="234">
        <v>6.0</v>
      </c>
      <c r="I322" s="235">
        <v>51.0</v>
      </c>
      <c r="J322" s="236">
        <v>8.6734077E7</v>
      </c>
      <c r="K322" s="11">
        <v>28.0</v>
      </c>
      <c r="L322" s="11">
        <v>9.0</v>
      </c>
      <c r="M322" s="237" t="str">
        <f t="shared" si="1"/>
        <v>060510086734077289</v>
      </c>
      <c r="N322" s="238">
        <v>-87366.27</v>
      </c>
      <c r="O322" s="110">
        <v>62320.0</v>
      </c>
      <c r="P322" s="11">
        <v>73.0</v>
      </c>
      <c r="Q322" s="239"/>
      <c r="R322" s="17">
        <v>28.0</v>
      </c>
    </row>
    <row r="323">
      <c r="A323" s="11">
        <v>13.0</v>
      </c>
      <c r="B323" s="11">
        <v>26.0</v>
      </c>
      <c r="C323" s="11">
        <v>2.0</v>
      </c>
      <c r="D323" s="11" t="s">
        <v>39</v>
      </c>
      <c r="E323" s="234">
        <v>49.0</v>
      </c>
      <c r="F323" s="235">
        <v>49.0</v>
      </c>
      <c r="G323" s="235">
        <v>49.0</v>
      </c>
      <c r="H323" s="234">
        <v>49.0</v>
      </c>
      <c r="I323" s="235">
        <v>49.0</v>
      </c>
      <c r="J323" s="236">
        <v>3.5589542E7</v>
      </c>
      <c r="K323" s="11">
        <v>23.0</v>
      </c>
      <c r="L323" s="11">
        <v>5.0</v>
      </c>
      <c r="M323" s="237" t="str">
        <f t="shared" si="1"/>
        <v>0490490035589542235</v>
      </c>
      <c r="N323" s="238">
        <v>47063.73</v>
      </c>
      <c r="O323" s="110">
        <v>61618.0</v>
      </c>
      <c r="P323" s="11">
        <v>73.0</v>
      </c>
      <c r="Q323" s="239"/>
      <c r="R323" s="17">
        <v>48.0</v>
      </c>
    </row>
    <row r="324">
      <c r="A324" s="11">
        <v>14.0</v>
      </c>
      <c r="B324" s="11">
        <v>67.0</v>
      </c>
      <c r="C324" s="11">
        <v>5.0</v>
      </c>
      <c r="D324" s="11" t="s">
        <v>5273</v>
      </c>
      <c r="E324" s="234">
        <v>35.0</v>
      </c>
      <c r="F324" s="235">
        <v>47.0</v>
      </c>
      <c r="G324" s="235">
        <v>47.0</v>
      </c>
      <c r="H324" s="234">
        <v>35.0</v>
      </c>
      <c r="I324" s="235">
        <v>47.0</v>
      </c>
      <c r="J324" s="236">
        <v>6.6915758E7</v>
      </c>
      <c r="K324" s="11">
        <v>69.0</v>
      </c>
      <c r="L324" s="11">
        <v>9.0</v>
      </c>
      <c r="M324" s="237" t="str">
        <f t="shared" si="1"/>
        <v>0350470066915758699</v>
      </c>
      <c r="N324" s="238">
        <v>-96241.29</v>
      </c>
      <c r="O324" s="110">
        <v>83122.0</v>
      </c>
      <c r="P324" s="11">
        <v>75.0</v>
      </c>
      <c r="Q324" s="239"/>
      <c r="R324" s="17">
        <v>89.0</v>
      </c>
    </row>
    <row r="325">
      <c r="A325" s="11">
        <v>15.0</v>
      </c>
      <c r="B325" s="11">
        <v>26.0</v>
      </c>
      <c r="C325" s="11">
        <v>6.0</v>
      </c>
      <c r="D325" s="11" t="s">
        <v>29</v>
      </c>
      <c r="E325" s="234">
        <v>46.0</v>
      </c>
      <c r="F325" s="235">
        <v>3.0</v>
      </c>
      <c r="G325" s="235">
        <v>3.0</v>
      </c>
      <c r="H325" s="234">
        <v>46.0</v>
      </c>
      <c r="I325" s="235">
        <v>3.0</v>
      </c>
      <c r="J325" s="236">
        <v>3.730216E7</v>
      </c>
      <c r="K325" s="11">
        <v>1.0</v>
      </c>
      <c r="L325" s="11">
        <v>3.0</v>
      </c>
      <c r="M325" s="237" t="str">
        <f t="shared" si="1"/>
        <v>046003003730216013</v>
      </c>
      <c r="N325" s="238">
        <v>54294.17</v>
      </c>
      <c r="O325" s="110">
        <v>121220.0</v>
      </c>
      <c r="P325" s="11">
        <v>76.0</v>
      </c>
      <c r="Q325" s="239"/>
      <c r="R325" s="17">
        <v>89.0</v>
      </c>
    </row>
    <row r="326">
      <c r="A326" s="11">
        <v>11.0</v>
      </c>
      <c r="B326" s="11">
        <v>47.0</v>
      </c>
      <c r="C326" s="11">
        <v>4.0</v>
      </c>
      <c r="D326" s="11" t="s">
        <v>31</v>
      </c>
      <c r="E326" s="234">
        <v>20.0</v>
      </c>
      <c r="F326" s="235">
        <v>151.0</v>
      </c>
      <c r="G326" s="235">
        <v>151.0</v>
      </c>
      <c r="H326" s="234">
        <v>20.0</v>
      </c>
      <c r="I326" s="235">
        <v>151.0</v>
      </c>
      <c r="J326" s="236">
        <v>3.0817761E7</v>
      </c>
      <c r="K326" s="11">
        <v>37.0</v>
      </c>
      <c r="L326" s="11">
        <v>1.0</v>
      </c>
      <c r="M326" s="237" t="str">
        <f t="shared" si="1"/>
        <v>0201510030817761371</v>
      </c>
      <c r="N326" s="238">
        <v>20795.21</v>
      </c>
      <c r="O326" s="110">
        <v>100423.0</v>
      </c>
      <c r="P326" s="11">
        <v>80.0</v>
      </c>
      <c r="Q326" s="239"/>
      <c r="R326" s="17">
        <v>48.0</v>
      </c>
    </row>
    <row r="327">
      <c r="A327" s="11">
        <v>18.0</v>
      </c>
      <c r="B327" s="11">
        <v>47.0</v>
      </c>
      <c r="C327" s="11">
        <v>6.0</v>
      </c>
      <c r="D327" s="11" t="s">
        <v>5273</v>
      </c>
      <c r="E327" s="234">
        <v>16.0</v>
      </c>
      <c r="F327" s="235">
        <v>73.0</v>
      </c>
      <c r="G327" s="235">
        <v>73.0</v>
      </c>
      <c r="H327" s="234">
        <v>16.0</v>
      </c>
      <c r="I327" s="235">
        <v>73.0</v>
      </c>
      <c r="J327" s="236">
        <v>3.9097289E7</v>
      </c>
      <c r="K327" s="11">
        <v>94.0</v>
      </c>
      <c r="L327" s="11">
        <v>6.0</v>
      </c>
      <c r="M327" s="237" t="str">
        <f t="shared" si="1"/>
        <v>0160730039097289946</v>
      </c>
      <c r="N327" s="238">
        <v>-67087.51</v>
      </c>
      <c r="O327" s="110">
        <v>40414.0</v>
      </c>
      <c r="P327" s="11">
        <v>78.0</v>
      </c>
      <c r="Q327" s="239"/>
      <c r="R327" s="17">
        <v>89.0</v>
      </c>
    </row>
    <row r="328">
      <c r="A328" s="11">
        <v>18.0</v>
      </c>
      <c r="B328" s="11">
        <v>67.0</v>
      </c>
      <c r="C328" s="11">
        <v>5.0</v>
      </c>
      <c r="D328" s="11" t="s">
        <v>29</v>
      </c>
      <c r="E328" s="234">
        <v>22.0</v>
      </c>
      <c r="F328" s="235">
        <v>125.0</v>
      </c>
      <c r="G328" s="235">
        <v>125.0</v>
      </c>
      <c r="H328" s="234">
        <v>22.0</v>
      </c>
      <c r="I328" s="235">
        <v>125.0</v>
      </c>
      <c r="J328" s="236">
        <v>6.6266872E7</v>
      </c>
      <c r="K328" s="11">
        <v>80.0</v>
      </c>
      <c r="L328" s="11">
        <v>0.0</v>
      </c>
      <c r="M328" s="237" t="str">
        <f t="shared" si="1"/>
        <v>0221250066266872800</v>
      </c>
      <c r="N328" s="238">
        <v>-38946.41</v>
      </c>
      <c r="O328" s="110">
        <v>21723.0</v>
      </c>
      <c r="P328" s="11">
        <v>75.0</v>
      </c>
      <c r="Q328" s="239"/>
      <c r="R328" s="17">
        <v>28.0</v>
      </c>
    </row>
    <row r="329">
      <c r="A329" s="11">
        <v>10.0</v>
      </c>
      <c r="B329" s="11">
        <v>26.0</v>
      </c>
      <c r="C329" s="11">
        <v>9.0</v>
      </c>
      <c r="D329" s="11" t="s">
        <v>39</v>
      </c>
      <c r="E329" s="234">
        <v>42.0</v>
      </c>
      <c r="F329" s="235">
        <v>83.0</v>
      </c>
      <c r="G329" s="235">
        <v>83.0</v>
      </c>
      <c r="H329" s="234">
        <v>42.0</v>
      </c>
      <c r="I329" s="235">
        <v>83.0</v>
      </c>
      <c r="J329" s="236">
        <v>9.3443698E7</v>
      </c>
      <c r="K329" s="11">
        <v>23.0</v>
      </c>
      <c r="L329" s="11">
        <v>2.0</v>
      </c>
      <c r="M329" s="237" t="str">
        <f t="shared" si="1"/>
        <v>0420830093443698232</v>
      </c>
      <c r="N329" s="238">
        <v>5990.96</v>
      </c>
      <c r="O329" s="110">
        <v>52923.0</v>
      </c>
      <c r="P329" s="11">
        <v>73.0</v>
      </c>
      <c r="Q329" s="239"/>
      <c r="R329" s="17">
        <v>69.0</v>
      </c>
    </row>
    <row r="330">
      <c r="A330" s="11">
        <v>13.0</v>
      </c>
      <c r="B330" s="11">
        <v>67.0</v>
      </c>
      <c r="C330" s="11">
        <v>2.0</v>
      </c>
      <c r="D330" s="11" t="s">
        <v>5271</v>
      </c>
      <c r="E330" s="234">
        <v>30.0</v>
      </c>
      <c r="F330" s="235">
        <v>81.0</v>
      </c>
      <c r="G330" s="235">
        <v>81.0</v>
      </c>
      <c r="H330" s="234">
        <v>30.0</v>
      </c>
      <c r="I330" s="235">
        <v>81.0</v>
      </c>
      <c r="J330" s="236">
        <v>5.2937434E7</v>
      </c>
      <c r="K330" s="11">
        <v>94.0</v>
      </c>
      <c r="L330" s="11">
        <v>6.0</v>
      </c>
      <c r="M330" s="237" t="str">
        <f t="shared" si="1"/>
        <v>0300810052937434946</v>
      </c>
      <c r="N330" s="238">
        <v>89633.31</v>
      </c>
      <c r="O330" s="110">
        <v>80218.0</v>
      </c>
      <c r="P330" s="11">
        <v>78.0</v>
      </c>
      <c r="Q330" s="239"/>
      <c r="R330" s="17">
        <v>48.0</v>
      </c>
    </row>
    <row r="331">
      <c r="A331" s="11">
        <v>17.0</v>
      </c>
      <c r="B331" s="11">
        <v>47.0</v>
      </c>
      <c r="C331" s="11">
        <v>4.0</v>
      </c>
      <c r="D331" s="11" t="s">
        <v>5273</v>
      </c>
      <c r="E331" s="234">
        <v>37.0</v>
      </c>
      <c r="F331" s="235">
        <v>129.0</v>
      </c>
      <c r="G331" s="235">
        <v>129.0</v>
      </c>
      <c r="H331" s="234">
        <v>37.0</v>
      </c>
      <c r="I331" s="235">
        <v>129.0</v>
      </c>
      <c r="J331" s="236">
        <v>4.2911307E7</v>
      </c>
      <c r="K331" s="11">
        <v>25.0</v>
      </c>
      <c r="L331" s="11">
        <v>6.0</v>
      </c>
      <c r="M331" s="237" t="str">
        <f t="shared" si="1"/>
        <v>0371290042911307256</v>
      </c>
      <c r="N331" s="238">
        <v>-39236.95</v>
      </c>
      <c r="O331" s="110">
        <v>41520.0</v>
      </c>
      <c r="P331" s="11">
        <v>79.0</v>
      </c>
      <c r="Q331" s="239"/>
      <c r="R331" s="17">
        <v>49.0</v>
      </c>
    </row>
    <row r="332">
      <c r="A332" s="11">
        <v>17.0</v>
      </c>
      <c r="B332" s="11">
        <v>47.0</v>
      </c>
      <c r="C332" s="11">
        <v>4.0</v>
      </c>
      <c r="D332" s="11" t="s">
        <v>29</v>
      </c>
      <c r="E332" s="234">
        <v>17.0</v>
      </c>
      <c r="F332" s="235">
        <v>9.0</v>
      </c>
      <c r="G332" s="235">
        <v>9.0</v>
      </c>
      <c r="H332" s="234">
        <v>17.0</v>
      </c>
      <c r="I332" s="235">
        <v>9.0</v>
      </c>
      <c r="J332" s="236">
        <v>2.080646E7</v>
      </c>
      <c r="K332" s="11">
        <v>2.0</v>
      </c>
      <c r="L332" s="11">
        <v>2.0</v>
      </c>
      <c r="M332" s="237" t="str">
        <f t="shared" si="1"/>
        <v>017009002080646022</v>
      </c>
      <c r="N332" s="238">
        <v>-46470.96</v>
      </c>
      <c r="O332" s="110">
        <v>32314.0</v>
      </c>
      <c r="P332" s="11">
        <v>72.0</v>
      </c>
      <c r="Q332" s="239"/>
      <c r="R332" s="17">
        <v>69.0</v>
      </c>
    </row>
    <row r="333">
      <c r="A333" s="11">
        <v>11.0</v>
      </c>
      <c r="B333" s="11">
        <v>67.0</v>
      </c>
      <c r="C333" s="11">
        <v>1.0</v>
      </c>
      <c r="D333" s="11" t="s">
        <v>5273</v>
      </c>
      <c r="E333" s="234">
        <v>25.0</v>
      </c>
      <c r="F333" s="235">
        <v>23.0</v>
      </c>
      <c r="G333" s="235">
        <v>23.0</v>
      </c>
      <c r="H333" s="234">
        <v>25.0</v>
      </c>
      <c r="I333" s="235">
        <v>23.0</v>
      </c>
      <c r="J333" s="236">
        <v>2.2091799E7</v>
      </c>
      <c r="K333" s="11">
        <v>33.0</v>
      </c>
      <c r="L333" s="11">
        <v>2.0</v>
      </c>
      <c r="M333" s="237" t="str">
        <f t="shared" si="1"/>
        <v>0250230022091799332</v>
      </c>
      <c r="N333" s="238">
        <v>9122.14</v>
      </c>
      <c r="O333" s="110">
        <v>112023.0</v>
      </c>
      <c r="P333" s="11">
        <v>70.0</v>
      </c>
      <c r="Q333" s="239"/>
      <c r="R333" s="17">
        <v>28.0</v>
      </c>
    </row>
    <row r="334">
      <c r="A334" s="11">
        <v>17.0</v>
      </c>
      <c r="B334" s="11">
        <v>67.0</v>
      </c>
      <c r="C334" s="11">
        <v>5.0</v>
      </c>
      <c r="D334" s="11" t="s">
        <v>5273</v>
      </c>
      <c r="E334" s="234">
        <v>51.0</v>
      </c>
      <c r="F334" s="235">
        <v>91.0</v>
      </c>
      <c r="G334" s="235">
        <v>91.0</v>
      </c>
      <c r="H334" s="234">
        <v>51.0</v>
      </c>
      <c r="I334" s="235">
        <v>91.0</v>
      </c>
      <c r="J334" s="236">
        <v>7.5199554E7</v>
      </c>
      <c r="K334" s="11">
        <v>27.0</v>
      </c>
      <c r="L334" s="11">
        <v>0.0</v>
      </c>
      <c r="M334" s="237" t="str">
        <f t="shared" si="1"/>
        <v>0510910075199554270</v>
      </c>
      <c r="N334" s="238">
        <v>-12951.02</v>
      </c>
      <c r="O334" s="110">
        <v>120415.0</v>
      </c>
      <c r="P334" s="11">
        <v>73.0</v>
      </c>
      <c r="Q334" s="239"/>
      <c r="R334" s="17">
        <v>90.0</v>
      </c>
    </row>
    <row r="335">
      <c r="A335" s="11">
        <v>19.0</v>
      </c>
      <c r="B335" s="11">
        <v>88.0</v>
      </c>
      <c r="C335" s="11">
        <v>5.0</v>
      </c>
      <c r="D335" s="11" t="s">
        <v>39</v>
      </c>
      <c r="E335" s="234">
        <v>48.0</v>
      </c>
      <c r="F335" s="235">
        <v>337.0</v>
      </c>
      <c r="G335" s="235">
        <v>337.0</v>
      </c>
      <c r="H335" s="234">
        <v>48.0</v>
      </c>
      <c r="I335" s="235">
        <v>337.0</v>
      </c>
      <c r="J335" s="236">
        <v>9.0851134E7</v>
      </c>
      <c r="K335" s="11">
        <v>24.0</v>
      </c>
      <c r="L335" s="11">
        <v>3.0</v>
      </c>
      <c r="M335" s="237" t="str">
        <f t="shared" si="1"/>
        <v>0483370090851134243</v>
      </c>
      <c r="N335" s="238">
        <v>39812.72</v>
      </c>
      <c r="O335" s="110">
        <v>31413.0</v>
      </c>
      <c r="P335" s="11">
        <v>79.0</v>
      </c>
      <c r="Q335" s="239"/>
      <c r="R335" s="17">
        <v>49.0</v>
      </c>
    </row>
    <row r="336">
      <c r="A336" s="11">
        <v>11.0</v>
      </c>
      <c r="B336" s="11">
        <v>47.0</v>
      </c>
      <c r="C336" s="11">
        <v>6.0</v>
      </c>
      <c r="D336" s="11" t="s">
        <v>29</v>
      </c>
      <c r="E336" s="234">
        <v>51.0</v>
      </c>
      <c r="F336" s="235">
        <v>678.0</v>
      </c>
      <c r="G336" s="235">
        <v>678.0</v>
      </c>
      <c r="H336" s="234">
        <v>51.0</v>
      </c>
      <c r="I336" s="235">
        <v>678.0</v>
      </c>
      <c r="J336" s="236">
        <v>2.8942758E7</v>
      </c>
      <c r="K336" s="11">
        <v>93.0</v>
      </c>
      <c r="L336" s="11">
        <v>8.0</v>
      </c>
      <c r="M336" s="237" t="str">
        <f t="shared" si="1"/>
        <v>0516780028942758938</v>
      </c>
      <c r="N336" s="238">
        <v>-712.53</v>
      </c>
      <c r="O336" s="110">
        <v>71418.0</v>
      </c>
      <c r="P336" s="11">
        <v>73.0</v>
      </c>
      <c r="Q336" s="239"/>
      <c r="R336" s="17">
        <v>49.0</v>
      </c>
    </row>
    <row r="337">
      <c r="A337" s="11">
        <v>17.0</v>
      </c>
      <c r="B337" s="11">
        <v>47.0</v>
      </c>
      <c r="C337" s="11">
        <v>5.0</v>
      </c>
      <c r="D337" s="11" t="s">
        <v>5273</v>
      </c>
      <c r="E337" s="234">
        <v>48.0</v>
      </c>
      <c r="F337" s="235">
        <v>73.0</v>
      </c>
      <c r="G337" s="235">
        <v>73.0</v>
      </c>
      <c r="H337" s="234">
        <v>48.0</v>
      </c>
      <c r="I337" s="235">
        <v>73.0</v>
      </c>
      <c r="J337" s="236">
        <v>4.2212558E7</v>
      </c>
      <c r="K337" s="11">
        <v>20.0</v>
      </c>
      <c r="L337" s="11">
        <v>2.0</v>
      </c>
      <c r="M337" s="237" t="str">
        <f t="shared" si="1"/>
        <v>0480730042212558202</v>
      </c>
      <c r="N337" s="238">
        <v>-84949.67</v>
      </c>
      <c r="O337" s="110">
        <v>111918.0</v>
      </c>
      <c r="P337" s="11">
        <v>78.0</v>
      </c>
      <c r="Q337" s="239"/>
      <c r="R337" s="17">
        <v>28.0</v>
      </c>
    </row>
    <row r="338">
      <c r="A338" s="11">
        <v>15.0</v>
      </c>
      <c r="B338" s="11">
        <v>47.0</v>
      </c>
      <c r="C338" s="11">
        <v>4.0</v>
      </c>
      <c r="D338" s="11" t="s">
        <v>5273</v>
      </c>
      <c r="E338" s="234">
        <v>55.0</v>
      </c>
      <c r="F338" s="235">
        <v>57.0</v>
      </c>
      <c r="G338" s="235">
        <v>57.0</v>
      </c>
      <c r="H338" s="234">
        <v>55.0</v>
      </c>
      <c r="I338" s="235">
        <v>57.0</v>
      </c>
      <c r="J338" s="236">
        <v>5.9050756E7</v>
      </c>
      <c r="K338" s="11">
        <v>93.0</v>
      </c>
      <c r="L338" s="11">
        <v>4.0</v>
      </c>
      <c r="M338" s="237" t="str">
        <f t="shared" si="1"/>
        <v>0550570059050756934</v>
      </c>
      <c r="N338" s="238">
        <v>29046.46</v>
      </c>
      <c r="O338" s="110">
        <v>110820.0</v>
      </c>
      <c r="P338" s="11">
        <v>71.0</v>
      </c>
      <c r="Q338" s="239"/>
      <c r="R338" s="17">
        <v>69.0</v>
      </c>
    </row>
    <row r="339">
      <c r="A339" s="11">
        <v>11.0</v>
      </c>
      <c r="B339" s="11">
        <v>47.0</v>
      </c>
      <c r="C339" s="11">
        <v>6.0</v>
      </c>
      <c r="D339" s="11" t="s">
        <v>5273</v>
      </c>
      <c r="E339" s="234">
        <v>24.0</v>
      </c>
      <c r="F339" s="235">
        <v>35.0</v>
      </c>
      <c r="G339" s="235">
        <v>35.0</v>
      </c>
      <c r="H339" s="234">
        <v>24.0</v>
      </c>
      <c r="I339" s="235">
        <v>35.0</v>
      </c>
      <c r="J339" s="236">
        <v>1.2193512E7</v>
      </c>
      <c r="K339" s="11">
        <v>69.0</v>
      </c>
      <c r="L339" s="11">
        <v>2.0</v>
      </c>
      <c r="M339" s="237" t="str">
        <f t="shared" si="1"/>
        <v>0240350012193512692</v>
      </c>
      <c r="N339" s="238">
        <v>-54861.69</v>
      </c>
      <c r="O339" s="110">
        <v>62213.0</v>
      </c>
      <c r="P339" s="11">
        <v>80.0</v>
      </c>
      <c r="Q339" s="239"/>
      <c r="R339" s="17">
        <v>28.0</v>
      </c>
    </row>
    <row r="340">
      <c r="A340" s="11">
        <v>14.0</v>
      </c>
      <c r="B340" s="11">
        <v>88.0</v>
      </c>
      <c r="C340" s="11">
        <v>1.0</v>
      </c>
      <c r="D340" s="11" t="s">
        <v>29</v>
      </c>
      <c r="E340" s="234">
        <v>41.0</v>
      </c>
      <c r="F340" s="235">
        <v>3.0</v>
      </c>
      <c r="G340" s="235">
        <v>3.0</v>
      </c>
      <c r="H340" s="234">
        <v>41.0</v>
      </c>
      <c r="I340" s="235">
        <v>3.0</v>
      </c>
      <c r="J340" s="236">
        <v>7.145347E7</v>
      </c>
      <c r="K340" s="11">
        <v>58.0</v>
      </c>
      <c r="L340" s="11">
        <v>5.0</v>
      </c>
      <c r="M340" s="237" t="str">
        <f t="shared" si="1"/>
        <v>0410030071453470585</v>
      </c>
      <c r="N340" s="238">
        <v>15857.22</v>
      </c>
      <c r="O340" s="110">
        <v>90817.0</v>
      </c>
      <c r="P340" s="11">
        <v>80.0</v>
      </c>
      <c r="Q340" s="239"/>
      <c r="R340" s="17">
        <v>28.0</v>
      </c>
    </row>
    <row r="341">
      <c r="A341" s="11">
        <v>12.0</v>
      </c>
      <c r="B341" s="11">
        <v>27.0</v>
      </c>
      <c r="C341" s="11">
        <v>5.0</v>
      </c>
      <c r="D341" s="11" t="s">
        <v>39</v>
      </c>
      <c r="E341" s="234">
        <v>5.0</v>
      </c>
      <c r="F341" s="235">
        <v>23.0</v>
      </c>
      <c r="G341" s="235">
        <v>23.0</v>
      </c>
      <c r="H341" s="234">
        <v>5.0</v>
      </c>
      <c r="I341" s="235">
        <v>23.0</v>
      </c>
      <c r="J341" s="236">
        <v>4.1942481E7</v>
      </c>
      <c r="K341" s="11">
        <v>64.0</v>
      </c>
      <c r="L341" s="11">
        <v>2.0</v>
      </c>
      <c r="M341" s="237" t="str">
        <f t="shared" si="1"/>
        <v>050230041942481642</v>
      </c>
      <c r="N341" s="238">
        <v>39044.38</v>
      </c>
      <c r="O341" s="110">
        <v>41620.0</v>
      </c>
      <c r="P341" s="11">
        <v>77.0</v>
      </c>
      <c r="Q341" s="239"/>
      <c r="R341" s="17">
        <v>69.0</v>
      </c>
    </row>
    <row r="342">
      <c r="A342" s="11">
        <v>14.0</v>
      </c>
      <c r="B342" s="11">
        <v>47.0</v>
      </c>
      <c r="C342" s="11">
        <v>3.0</v>
      </c>
      <c r="D342" s="11" t="s">
        <v>29</v>
      </c>
      <c r="E342" s="234">
        <v>13.0</v>
      </c>
      <c r="F342" s="235">
        <v>121.0</v>
      </c>
      <c r="G342" s="235">
        <v>121.0</v>
      </c>
      <c r="H342" s="234">
        <v>13.0</v>
      </c>
      <c r="I342" s="235">
        <v>121.0</v>
      </c>
      <c r="J342" s="236">
        <v>2.7083763E7</v>
      </c>
      <c r="K342" s="11">
        <v>87.0</v>
      </c>
      <c r="L342" s="11">
        <v>7.0</v>
      </c>
      <c r="M342" s="237" t="str">
        <f t="shared" si="1"/>
        <v>0131210027083763877</v>
      </c>
      <c r="N342" s="238">
        <v>41576.31</v>
      </c>
      <c r="O342" s="110">
        <v>82216.0</v>
      </c>
      <c r="P342" s="11">
        <v>79.0</v>
      </c>
      <c r="Q342" s="239"/>
      <c r="R342" s="17">
        <v>90.0</v>
      </c>
    </row>
    <row r="343">
      <c r="A343" s="11">
        <v>19.0</v>
      </c>
      <c r="B343" s="11">
        <v>88.0</v>
      </c>
      <c r="C343" s="11">
        <v>6.0</v>
      </c>
      <c r="D343" s="11" t="s">
        <v>5273</v>
      </c>
      <c r="E343" s="234">
        <v>29.0</v>
      </c>
      <c r="F343" s="235">
        <v>223.0</v>
      </c>
      <c r="G343" s="235">
        <v>223.0</v>
      </c>
      <c r="H343" s="234">
        <v>29.0</v>
      </c>
      <c r="I343" s="235">
        <v>223.0</v>
      </c>
      <c r="J343" s="236">
        <v>5.6385531E7</v>
      </c>
      <c r="K343" s="11">
        <v>37.0</v>
      </c>
      <c r="L343" s="11">
        <v>0.0</v>
      </c>
      <c r="M343" s="237" t="str">
        <f t="shared" si="1"/>
        <v>0292230056385531370</v>
      </c>
      <c r="N343" s="238">
        <v>-59193.95</v>
      </c>
      <c r="O343" s="110">
        <v>62023.0</v>
      </c>
      <c r="P343" s="11">
        <v>71.0</v>
      </c>
      <c r="Q343" s="239"/>
      <c r="R343" s="17">
        <v>69.0</v>
      </c>
    </row>
    <row r="344">
      <c r="A344" s="11">
        <v>17.0</v>
      </c>
      <c r="B344" s="11">
        <v>27.0</v>
      </c>
      <c r="C344" s="11">
        <v>1.0</v>
      </c>
      <c r="D344" s="11" t="s">
        <v>29</v>
      </c>
      <c r="E344" s="234">
        <v>47.0</v>
      </c>
      <c r="F344" s="235">
        <v>109.0</v>
      </c>
      <c r="G344" s="235">
        <v>109.0</v>
      </c>
      <c r="H344" s="234">
        <v>47.0</v>
      </c>
      <c r="I344" s="235">
        <v>109.0</v>
      </c>
      <c r="J344" s="236">
        <v>3.1380802E7</v>
      </c>
      <c r="K344" s="11">
        <v>98.0</v>
      </c>
      <c r="L344" s="11">
        <v>6.0</v>
      </c>
      <c r="M344" s="237" t="str">
        <f t="shared" si="1"/>
        <v>0471090031380802986</v>
      </c>
      <c r="N344" s="238">
        <v>86616.88</v>
      </c>
      <c r="O344" s="110">
        <v>72815.0</v>
      </c>
      <c r="P344" s="11">
        <v>77.0</v>
      </c>
      <c r="Q344" s="239"/>
      <c r="R344" s="17">
        <v>28.0</v>
      </c>
    </row>
    <row r="345">
      <c r="A345" s="11">
        <v>13.0</v>
      </c>
      <c r="B345" s="11">
        <v>68.0</v>
      </c>
      <c r="C345" s="11">
        <v>7.0</v>
      </c>
      <c r="D345" s="11" t="s">
        <v>29</v>
      </c>
      <c r="E345" s="234">
        <v>13.0</v>
      </c>
      <c r="F345" s="235">
        <v>181.0</v>
      </c>
      <c r="G345" s="235">
        <v>181.0</v>
      </c>
      <c r="H345" s="234">
        <v>13.0</v>
      </c>
      <c r="I345" s="235">
        <v>181.0</v>
      </c>
      <c r="J345" s="236">
        <v>7.9634752E7</v>
      </c>
      <c r="K345" s="11">
        <v>33.0</v>
      </c>
      <c r="L345" s="11">
        <v>0.0</v>
      </c>
      <c r="M345" s="237" t="str">
        <f t="shared" si="1"/>
        <v>0131810079634752330</v>
      </c>
      <c r="N345" s="238">
        <v>-30915.94</v>
      </c>
      <c r="O345" s="110">
        <v>22916.0</v>
      </c>
      <c r="P345" s="11">
        <v>72.0</v>
      </c>
      <c r="Q345" s="239"/>
      <c r="R345" s="17">
        <v>28.0</v>
      </c>
    </row>
    <row r="346">
      <c r="A346" s="11">
        <v>20.0</v>
      </c>
      <c r="B346" s="11">
        <v>68.0</v>
      </c>
      <c r="C346" s="11">
        <v>1.0</v>
      </c>
      <c r="D346" s="11" t="s">
        <v>5273</v>
      </c>
      <c r="E346" s="234">
        <v>26.0</v>
      </c>
      <c r="F346" s="235">
        <v>63.0</v>
      </c>
      <c r="G346" s="235">
        <v>63.0</v>
      </c>
      <c r="H346" s="234">
        <v>26.0</v>
      </c>
      <c r="I346" s="235">
        <v>63.0</v>
      </c>
      <c r="J346" s="236">
        <v>7.9888801E7</v>
      </c>
      <c r="K346" s="11">
        <v>96.0</v>
      </c>
      <c r="L346" s="11">
        <v>7.0</v>
      </c>
      <c r="M346" s="237" t="str">
        <f t="shared" si="1"/>
        <v>0260630079888801967</v>
      </c>
      <c r="N346" s="238">
        <v>91678.46</v>
      </c>
      <c r="O346" s="110">
        <v>90314.0</v>
      </c>
      <c r="P346" s="11">
        <v>74.0</v>
      </c>
      <c r="Q346" s="239"/>
      <c r="R346" s="17">
        <v>69.0</v>
      </c>
    </row>
    <row r="347">
      <c r="A347" s="11">
        <v>15.0</v>
      </c>
      <c r="B347" s="11">
        <v>27.0</v>
      </c>
      <c r="C347" s="11">
        <v>3.0</v>
      </c>
      <c r="D347" s="11" t="s">
        <v>5272</v>
      </c>
      <c r="E347" s="234">
        <v>48.0</v>
      </c>
      <c r="F347" s="235">
        <v>51.0</v>
      </c>
      <c r="G347" s="235">
        <v>51.0</v>
      </c>
      <c r="H347" s="234">
        <v>48.0</v>
      </c>
      <c r="I347" s="235">
        <v>51.0</v>
      </c>
      <c r="J347" s="236">
        <v>5.8614624E7</v>
      </c>
      <c r="K347" s="11">
        <v>97.0</v>
      </c>
      <c r="L347" s="11">
        <v>5.0</v>
      </c>
      <c r="M347" s="237" t="str">
        <f t="shared" si="1"/>
        <v>0480510058614624975</v>
      </c>
      <c r="N347" s="238">
        <v>-18083.2</v>
      </c>
      <c r="O347" s="110">
        <v>80715.0</v>
      </c>
      <c r="P347" s="11">
        <v>77.0</v>
      </c>
      <c r="Q347" s="239"/>
      <c r="R347" s="17">
        <v>90.0</v>
      </c>
    </row>
    <row r="348">
      <c r="A348" s="11">
        <v>15.0</v>
      </c>
      <c r="B348" s="11">
        <v>68.0</v>
      </c>
      <c r="C348" s="11">
        <v>4.0</v>
      </c>
      <c r="D348" s="11" t="s">
        <v>5271</v>
      </c>
      <c r="E348" s="234">
        <v>51.0</v>
      </c>
      <c r="F348" s="235">
        <v>119.0</v>
      </c>
      <c r="G348" s="235">
        <v>119.0</v>
      </c>
      <c r="H348" s="234">
        <v>51.0</v>
      </c>
      <c r="I348" s="235">
        <v>119.0</v>
      </c>
      <c r="J348" s="236">
        <v>5.072928E7</v>
      </c>
      <c r="K348" s="11">
        <v>98.0</v>
      </c>
      <c r="L348" s="11">
        <v>8.0</v>
      </c>
      <c r="M348" s="237" t="str">
        <f t="shared" si="1"/>
        <v>0511190050729280988</v>
      </c>
      <c r="N348" s="238">
        <v>33996.85</v>
      </c>
      <c r="O348" s="110">
        <v>121116.0</v>
      </c>
      <c r="P348" s="11">
        <v>80.0</v>
      </c>
      <c r="Q348" s="239"/>
      <c r="R348" s="17">
        <v>69.0</v>
      </c>
    </row>
    <row r="349">
      <c r="A349" s="11">
        <v>10.0</v>
      </c>
      <c r="B349" s="11">
        <v>27.0</v>
      </c>
      <c r="C349" s="11">
        <v>6.0</v>
      </c>
      <c r="D349" s="11" t="s">
        <v>5272</v>
      </c>
      <c r="E349" s="234">
        <v>29.0</v>
      </c>
      <c r="F349" s="235">
        <v>149.0</v>
      </c>
      <c r="G349" s="235">
        <v>149.0</v>
      </c>
      <c r="H349" s="234">
        <v>29.0</v>
      </c>
      <c r="I349" s="235">
        <v>149.0</v>
      </c>
      <c r="J349" s="236">
        <v>1.3097392E7</v>
      </c>
      <c r="K349" s="11">
        <v>35.0</v>
      </c>
      <c r="L349" s="11">
        <v>6.0</v>
      </c>
      <c r="M349" s="237" t="str">
        <f t="shared" si="1"/>
        <v>0291490013097392356</v>
      </c>
      <c r="N349" s="238">
        <v>88553.67</v>
      </c>
      <c r="O349" s="110">
        <v>50918.0</v>
      </c>
      <c r="P349" s="11">
        <v>78.0</v>
      </c>
      <c r="Q349" s="239"/>
      <c r="R349" s="17">
        <v>49.0</v>
      </c>
    </row>
    <row r="350">
      <c r="A350" s="11">
        <v>12.0</v>
      </c>
      <c r="B350" s="11">
        <v>88.0</v>
      </c>
      <c r="C350" s="11">
        <v>6.0</v>
      </c>
      <c r="D350" s="11" t="s">
        <v>5273</v>
      </c>
      <c r="E350" s="234">
        <v>29.0</v>
      </c>
      <c r="F350" s="235">
        <v>57.0</v>
      </c>
      <c r="G350" s="235">
        <v>57.0</v>
      </c>
      <c r="H350" s="234">
        <v>29.0</v>
      </c>
      <c r="I350" s="235">
        <v>57.0</v>
      </c>
      <c r="J350" s="236">
        <v>1.1061475E7</v>
      </c>
      <c r="K350" s="11">
        <v>52.0</v>
      </c>
      <c r="L350" s="11">
        <v>2.0</v>
      </c>
      <c r="M350" s="237" t="str">
        <f t="shared" si="1"/>
        <v>0290570011061475522</v>
      </c>
      <c r="N350" s="238">
        <v>6183.39</v>
      </c>
      <c r="O350" s="110">
        <v>61423.0</v>
      </c>
      <c r="P350" s="11">
        <v>74.0</v>
      </c>
      <c r="Q350" s="239"/>
      <c r="R350" s="17">
        <v>90.0</v>
      </c>
    </row>
    <row r="351">
      <c r="A351" s="11">
        <v>12.0</v>
      </c>
      <c r="B351" s="11">
        <v>47.0</v>
      </c>
      <c r="C351" s="11">
        <v>3.0</v>
      </c>
      <c r="D351" s="11" t="s">
        <v>5272</v>
      </c>
      <c r="E351" s="234">
        <v>8.0</v>
      </c>
      <c r="F351" s="235">
        <v>97.0</v>
      </c>
      <c r="G351" s="235">
        <v>97.0</v>
      </c>
      <c r="H351" s="234">
        <v>8.0</v>
      </c>
      <c r="I351" s="235">
        <v>97.0</v>
      </c>
      <c r="J351" s="236">
        <v>1.1007173E7</v>
      </c>
      <c r="K351" s="11">
        <v>79.0</v>
      </c>
      <c r="L351" s="11">
        <v>7.0</v>
      </c>
      <c r="M351" s="237" t="str">
        <f t="shared" si="1"/>
        <v>080970011007173797</v>
      </c>
      <c r="N351" s="238">
        <v>-3626.66</v>
      </c>
      <c r="O351" s="110">
        <v>100714.0</v>
      </c>
      <c r="P351" s="11">
        <v>80.0</v>
      </c>
      <c r="Q351" s="239"/>
      <c r="R351" s="17">
        <v>69.0</v>
      </c>
    </row>
    <row r="352">
      <c r="A352" s="11">
        <v>19.0</v>
      </c>
      <c r="B352" s="11">
        <v>68.0</v>
      </c>
      <c r="C352" s="11">
        <v>2.0</v>
      </c>
      <c r="D352" s="11" t="s">
        <v>29</v>
      </c>
      <c r="E352" s="234">
        <v>35.0</v>
      </c>
      <c r="F352" s="235">
        <v>33.0</v>
      </c>
      <c r="G352" s="235">
        <v>33.0</v>
      </c>
      <c r="H352" s="234">
        <v>35.0</v>
      </c>
      <c r="I352" s="235">
        <v>33.0</v>
      </c>
      <c r="J352" s="236">
        <v>9.17015E7</v>
      </c>
      <c r="K352" s="11">
        <v>12.0</v>
      </c>
      <c r="L352" s="11">
        <v>4.0</v>
      </c>
      <c r="M352" s="237" t="str">
        <f t="shared" si="1"/>
        <v>0350330091701500124</v>
      </c>
      <c r="N352" s="238">
        <v>75584.45</v>
      </c>
      <c r="O352" s="110">
        <v>40316.0</v>
      </c>
      <c r="P352" s="11">
        <v>80.0</v>
      </c>
      <c r="Q352" s="239"/>
      <c r="R352" s="17">
        <v>49.0</v>
      </c>
    </row>
    <row r="353">
      <c r="A353" s="11">
        <v>13.0</v>
      </c>
      <c r="B353" s="11">
        <v>47.0</v>
      </c>
      <c r="C353" s="11">
        <v>5.0</v>
      </c>
      <c r="D353" s="11" t="s">
        <v>31</v>
      </c>
      <c r="E353" s="234">
        <v>13.0</v>
      </c>
      <c r="F353" s="235">
        <v>193.0</v>
      </c>
      <c r="G353" s="235">
        <v>193.0</v>
      </c>
      <c r="H353" s="234">
        <v>13.0</v>
      </c>
      <c r="I353" s="235">
        <v>193.0</v>
      </c>
      <c r="J353" s="236">
        <v>2.2577901E7</v>
      </c>
      <c r="K353" s="11">
        <v>11.0</v>
      </c>
      <c r="L353" s="11">
        <v>0.0</v>
      </c>
      <c r="M353" s="237" t="str">
        <f t="shared" si="1"/>
        <v>0131930022577901110</v>
      </c>
      <c r="N353" s="238">
        <v>89487.57</v>
      </c>
      <c r="O353" s="110">
        <v>112321.0</v>
      </c>
      <c r="P353" s="11">
        <v>75.0</v>
      </c>
      <c r="Q353" s="239"/>
      <c r="R353" s="17">
        <v>28.0</v>
      </c>
    </row>
    <row r="354">
      <c r="A354" s="11">
        <v>10.0</v>
      </c>
      <c r="B354" s="11">
        <v>27.0</v>
      </c>
      <c r="C354" s="11">
        <v>8.0</v>
      </c>
      <c r="D354" s="11" t="s">
        <v>5272</v>
      </c>
      <c r="E354" s="234">
        <v>48.0</v>
      </c>
      <c r="F354" s="235">
        <v>409.0</v>
      </c>
      <c r="G354" s="235">
        <v>409.0</v>
      </c>
      <c r="H354" s="234">
        <v>48.0</v>
      </c>
      <c r="I354" s="235">
        <v>409.0</v>
      </c>
      <c r="J354" s="236">
        <v>8.3620788E7</v>
      </c>
      <c r="K354" s="11">
        <v>60.0</v>
      </c>
      <c r="L354" s="11">
        <v>2.0</v>
      </c>
      <c r="M354" s="237" t="str">
        <f t="shared" si="1"/>
        <v>0484090083620788602</v>
      </c>
      <c r="N354" s="238">
        <v>-81844.99</v>
      </c>
      <c r="O354" s="110">
        <v>91122.0</v>
      </c>
      <c r="P354" s="11">
        <v>70.0</v>
      </c>
      <c r="Q354" s="239"/>
      <c r="R354" s="17">
        <v>90.0</v>
      </c>
    </row>
    <row r="355">
      <c r="A355" s="11">
        <v>13.0</v>
      </c>
      <c r="B355" s="11">
        <v>27.0</v>
      </c>
      <c r="C355" s="11">
        <v>2.0</v>
      </c>
      <c r="D355" s="11" t="s">
        <v>29</v>
      </c>
      <c r="E355" s="234">
        <v>21.0</v>
      </c>
      <c r="F355" s="235">
        <v>149.0</v>
      </c>
      <c r="G355" s="235">
        <v>149.0</v>
      </c>
      <c r="H355" s="234">
        <v>21.0</v>
      </c>
      <c r="I355" s="235">
        <v>149.0</v>
      </c>
      <c r="J355" s="236">
        <v>3.700717E7</v>
      </c>
      <c r="K355" s="11">
        <v>12.0</v>
      </c>
      <c r="L355" s="11">
        <v>9.0</v>
      </c>
      <c r="M355" s="237" t="str">
        <f t="shared" si="1"/>
        <v>0211490037007170129</v>
      </c>
      <c r="N355" s="238">
        <v>47894.5</v>
      </c>
      <c r="O355" s="110">
        <v>40113.0</v>
      </c>
      <c r="P355" s="11">
        <v>79.0</v>
      </c>
      <c r="Q355" s="239"/>
      <c r="R355" s="17">
        <v>69.0</v>
      </c>
    </row>
    <row r="356">
      <c r="A356" s="11">
        <v>10.0</v>
      </c>
      <c r="B356" s="11">
        <v>88.0</v>
      </c>
      <c r="C356" s="11">
        <v>7.0</v>
      </c>
      <c r="D356" s="11" t="s">
        <v>5273</v>
      </c>
      <c r="E356" s="234">
        <v>49.0</v>
      </c>
      <c r="F356" s="235">
        <v>17.0</v>
      </c>
      <c r="G356" s="235">
        <v>17.0</v>
      </c>
      <c r="H356" s="234">
        <v>49.0</v>
      </c>
      <c r="I356" s="235">
        <v>17.0</v>
      </c>
      <c r="J356" s="236">
        <v>3.3606246E7</v>
      </c>
      <c r="K356" s="11">
        <v>34.0</v>
      </c>
      <c r="L356" s="11">
        <v>7.0</v>
      </c>
      <c r="M356" s="237" t="str">
        <f t="shared" si="1"/>
        <v>0490170033606246347</v>
      </c>
      <c r="N356" s="238">
        <v>-32047.06</v>
      </c>
      <c r="O356" s="110">
        <v>81322.0</v>
      </c>
      <c r="P356" s="11">
        <v>74.0</v>
      </c>
      <c r="Q356" s="239"/>
      <c r="R356" s="17">
        <v>49.0</v>
      </c>
    </row>
    <row r="357">
      <c r="A357" s="11">
        <v>18.0</v>
      </c>
      <c r="B357" s="11">
        <v>68.0</v>
      </c>
      <c r="C357" s="11">
        <v>7.0</v>
      </c>
      <c r="D357" s="11" t="s">
        <v>5272</v>
      </c>
      <c r="E357" s="234">
        <v>17.0</v>
      </c>
      <c r="F357" s="235">
        <v>15.0</v>
      </c>
      <c r="G357" s="235">
        <v>15.0</v>
      </c>
      <c r="H357" s="234">
        <v>17.0</v>
      </c>
      <c r="I357" s="235">
        <v>15.0</v>
      </c>
      <c r="J357" s="236">
        <v>5.5073956E7</v>
      </c>
      <c r="K357" s="11">
        <v>5.0</v>
      </c>
      <c r="L357" s="11">
        <v>4.0</v>
      </c>
      <c r="M357" s="237" t="str">
        <f t="shared" si="1"/>
        <v>017015005507395654</v>
      </c>
      <c r="N357" s="238">
        <v>21482.93</v>
      </c>
      <c r="O357" s="110">
        <v>60118.0</v>
      </c>
      <c r="P357" s="11">
        <v>71.0</v>
      </c>
      <c r="Q357" s="239"/>
      <c r="R357" s="17">
        <v>29.0</v>
      </c>
    </row>
    <row r="358">
      <c r="A358" s="11">
        <v>11.0</v>
      </c>
      <c r="B358" s="11">
        <v>88.0</v>
      </c>
      <c r="C358" s="11">
        <v>7.0</v>
      </c>
      <c r="D358" s="11" t="s">
        <v>5273</v>
      </c>
      <c r="E358" s="234">
        <v>55.0</v>
      </c>
      <c r="F358" s="235">
        <v>137.0</v>
      </c>
      <c r="G358" s="235">
        <v>137.0</v>
      </c>
      <c r="H358" s="234">
        <v>55.0</v>
      </c>
      <c r="I358" s="235">
        <v>137.0</v>
      </c>
      <c r="J358" s="236">
        <v>7.5365478E7</v>
      </c>
      <c r="K358" s="11">
        <v>86.0</v>
      </c>
      <c r="L358" s="11">
        <v>5.0</v>
      </c>
      <c r="M358" s="237" t="str">
        <f t="shared" si="1"/>
        <v>0551370075365478865</v>
      </c>
      <c r="N358" s="238">
        <v>88297.73</v>
      </c>
      <c r="O358" s="110">
        <v>92519.0</v>
      </c>
      <c r="P358" s="11">
        <v>75.0</v>
      </c>
      <c r="Q358" s="239"/>
      <c r="R358" s="17">
        <v>49.0</v>
      </c>
    </row>
    <row r="359">
      <c r="A359" s="11">
        <v>16.0</v>
      </c>
      <c r="B359" s="11">
        <v>27.0</v>
      </c>
      <c r="C359" s="11">
        <v>7.0</v>
      </c>
      <c r="D359" s="11" t="s">
        <v>29</v>
      </c>
      <c r="E359" s="234">
        <v>22.0</v>
      </c>
      <c r="F359" s="235">
        <v>43.0</v>
      </c>
      <c r="G359" s="235">
        <v>43.0</v>
      </c>
      <c r="H359" s="234">
        <v>22.0</v>
      </c>
      <c r="I359" s="235">
        <v>43.0</v>
      </c>
      <c r="J359" s="236">
        <v>8.1472487E7</v>
      </c>
      <c r="K359" s="11">
        <v>42.0</v>
      </c>
      <c r="L359" s="11">
        <v>7.0</v>
      </c>
      <c r="M359" s="237" t="str">
        <f t="shared" si="1"/>
        <v>0220430081472487427</v>
      </c>
      <c r="N359" s="238">
        <v>-8109.11</v>
      </c>
      <c r="O359" s="110">
        <v>73122.0</v>
      </c>
      <c r="P359" s="11">
        <v>71.0</v>
      </c>
      <c r="Q359" s="239"/>
      <c r="R359" s="17">
        <v>90.0</v>
      </c>
    </row>
    <row r="360">
      <c r="A360" s="11">
        <v>18.0</v>
      </c>
      <c r="B360" s="11">
        <v>27.0</v>
      </c>
      <c r="C360" s="11">
        <v>1.0</v>
      </c>
      <c r="D360" s="11" t="s">
        <v>5272</v>
      </c>
      <c r="E360" s="234">
        <v>29.0</v>
      </c>
      <c r="F360" s="235">
        <v>129.0</v>
      </c>
      <c r="G360" s="235">
        <v>129.0</v>
      </c>
      <c r="H360" s="234">
        <v>29.0</v>
      </c>
      <c r="I360" s="235">
        <v>129.0</v>
      </c>
      <c r="J360" s="236">
        <v>3.2154906E7</v>
      </c>
      <c r="K360" s="11">
        <v>61.0</v>
      </c>
      <c r="L360" s="11">
        <v>3.0</v>
      </c>
      <c r="M360" s="237" t="str">
        <f t="shared" si="1"/>
        <v>0291290032154906613</v>
      </c>
      <c r="N360" s="238">
        <v>31559.88</v>
      </c>
      <c r="O360" s="110">
        <v>62314.0</v>
      </c>
      <c r="P360" s="11">
        <v>78.0</v>
      </c>
      <c r="Q360" s="239"/>
      <c r="R360" s="17">
        <v>49.0</v>
      </c>
    </row>
    <row r="361">
      <c r="A361" s="11">
        <v>20.0</v>
      </c>
      <c r="B361" s="11">
        <v>88.0</v>
      </c>
      <c r="C361" s="11">
        <v>4.0</v>
      </c>
      <c r="D361" s="11" t="s">
        <v>39</v>
      </c>
      <c r="E361" s="234">
        <v>37.0</v>
      </c>
      <c r="F361" s="235">
        <v>63.0</v>
      </c>
      <c r="G361" s="235">
        <v>63.0</v>
      </c>
      <c r="H361" s="234">
        <v>37.0</v>
      </c>
      <c r="I361" s="235">
        <v>63.0</v>
      </c>
      <c r="J361" s="236">
        <v>2.5786812E7</v>
      </c>
      <c r="K361" s="11">
        <v>50.0</v>
      </c>
      <c r="L361" s="11">
        <v>1.0</v>
      </c>
      <c r="M361" s="237" t="str">
        <f t="shared" si="1"/>
        <v>0370630025786812501</v>
      </c>
      <c r="N361" s="238">
        <v>71183.06</v>
      </c>
      <c r="O361" s="110">
        <v>82122.0</v>
      </c>
      <c r="P361" s="11">
        <v>72.0</v>
      </c>
      <c r="Q361" s="239"/>
      <c r="R361" s="17">
        <v>29.0</v>
      </c>
    </row>
    <row r="362">
      <c r="A362" s="11">
        <v>17.0</v>
      </c>
      <c r="B362" s="11">
        <v>27.0</v>
      </c>
      <c r="C362" s="11">
        <v>1.0</v>
      </c>
      <c r="D362" s="11" t="s">
        <v>5271</v>
      </c>
      <c r="E362" s="234">
        <v>13.0</v>
      </c>
      <c r="F362" s="235">
        <v>169.0</v>
      </c>
      <c r="G362" s="235">
        <v>169.0</v>
      </c>
      <c r="H362" s="234">
        <v>13.0</v>
      </c>
      <c r="I362" s="235">
        <v>169.0</v>
      </c>
      <c r="J362" s="236">
        <v>3.0709598E7</v>
      </c>
      <c r="K362" s="11">
        <v>83.0</v>
      </c>
      <c r="L362" s="11">
        <v>6.0</v>
      </c>
      <c r="M362" s="237" t="str">
        <f t="shared" si="1"/>
        <v>0131690030709598836</v>
      </c>
      <c r="N362" s="238">
        <v>69304.32</v>
      </c>
      <c r="O362" s="110">
        <v>10318.0</v>
      </c>
      <c r="P362" s="11">
        <v>71.0</v>
      </c>
      <c r="Q362" s="239"/>
      <c r="R362" s="17">
        <v>70.0</v>
      </c>
    </row>
    <row r="363">
      <c r="A363" s="11">
        <v>12.0</v>
      </c>
      <c r="B363" s="11">
        <v>27.0</v>
      </c>
      <c r="C363" s="11">
        <v>7.0</v>
      </c>
      <c r="D363" s="11" t="s">
        <v>5271</v>
      </c>
      <c r="E363" s="234">
        <v>39.0</v>
      </c>
      <c r="F363" s="235">
        <v>121.0</v>
      </c>
      <c r="G363" s="235">
        <v>121.0</v>
      </c>
      <c r="H363" s="234">
        <v>39.0</v>
      </c>
      <c r="I363" s="235">
        <v>121.0</v>
      </c>
      <c r="J363" s="236">
        <v>5.8567057E7</v>
      </c>
      <c r="K363" s="11">
        <v>98.0</v>
      </c>
      <c r="L363" s="11">
        <v>3.0</v>
      </c>
      <c r="M363" s="237" t="str">
        <f t="shared" si="1"/>
        <v>0391210058567057983</v>
      </c>
      <c r="N363" s="238">
        <v>81587.58</v>
      </c>
      <c r="O363" s="110">
        <v>50620.0</v>
      </c>
      <c r="P363" s="11">
        <v>76.0</v>
      </c>
      <c r="Q363" s="239"/>
      <c r="R363" s="17">
        <v>70.0</v>
      </c>
    </row>
    <row r="364">
      <c r="A364" s="11">
        <v>17.0</v>
      </c>
      <c r="B364" s="11">
        <v>68.0</v>
      </c>
      <c r="C364" s="11">
        <v>9.0</v>
      </c>
      <c r="D364" s="11" t="s">
        <v>29</v>
      </c>
      <c r="E364" s="234">
        <v>36.0</v>
      </c>
      <c r="F364" s="235">
        <v>81.0</v>
      </c>
      <c r="G364" s="235">
        <v>81.0</v>
      </c>
      <c r="H364" s="234">
        <v>36.0</v>
      </c>
      <c r="I364" s="235">
        <v>81.0</v>
      </c>
      <c r="J364" s="236">
        <v>8.495424E7</v>
      </c>
      <c r="K364" s="11">
        <v>11.0</v>
      </c>
      <c r="L364" s="11">
        <v>0.0</v>
      </c>
      <c r="M364" s="237" t="str">
        <f t="shared" si="1"/>
        <v>0360810084954240110</v>
      </c>
      <c r="N364" s="238">
        <v>-40294.48</v>
      </c>
      <c r="O364" s="110">
        <v>91617.0</v>
      </c>
      <c r="P364" s="11">
        <v>73.0</v>
      </c>
      <c r="Q364" s="239"/>
      <c r="R364" s="17">
        <v>29.0</v>
      </c>
    </row>
    <row r="365">
      <c r="A365" s="11">
        <v>17.0</v>
      </c>
      <c r="B365" s="11">
        <v>48.0</v>
      </c>
      <c r="C365" s="11">
        <v>9.0</v>
      </c>
      <c r="D365" s="11" t="s">
        <v>5272</v>
      </c>
      <c r="E365" s="234">
        <v>21.0</v>
      </c>
      <c r="F365" s="235">
        <v>73.0</v>
      </c>
      <c r="G365" s="235">
        <v>73.0</v>
      </c>
      <c r="H365" s="234">
        <v>21.0</v>
      </c>
      <c r="I365" s="235">
        <v>73.0</v>
      </c>
      <c r="J365" s="236">
        <v>6.8489368E7</v>
      </c>
      <c r="K365" s="11">
        <v>86.0</v>
      </c>
      <c r="L365" s="11">
        <v>1.0</v>
      </c>
      <c r="M365" s="237" t="str">
        <f t="shared" si="1"/>
        <v>0210730068489368861</v>
      </c>
      <c r="N365" s="238">
        <v>77813.15</v>
      </c>
      <c r="O365" s="110">
        <v>112814.0</v>
      </c>
      <c r="P365" s="11">
        <v>70.0</v>
      </c>
      <c r="Q365" s="239"/>
      <c r="R365" s="17">
        <v>29.0</v>
      </c>
    </row>
    <row r="366">
      <c r="A366" s="11">
        <v>19.0</v>
      </c>
      <c r="B366" s="11">
        <v>27.0</v>
      </c>
      <c r="C366" s="11">
        <v>7.0</v>
      </c>
      <c r="D366" s="11" t="s">
        <v>5272</v>
      </c>
      <c r="E366" s="234">
        <v>47.0</v>
      </c>
      <c r="F366" s="235">
        <v>3.0</v>
      </c>
      <c r="G366" s="235">
        <v>3.0</v>
      </c>
      <c r="H366" s="234">
        <v>47.0</v>
      </c>
      <c r="I366" s="235">
        <v>3.0</v>
      </c>
      <c r="J366" s="236">
        <v>2.0599868E7</v>
      </c>
      <c r="K366" s="11">
        <v>16.0</v>
      </c>
      <c r="L366" s="11">
        <v>9.0</v>
      </c>
      <c r="M366" s="237" t="str">
        <f t="shared" si="1"/>
        <v>0470030020599868169</v>
      </c>
      <c r="N366" s="238">
        <v>-67821.9</v>
      </c>
      <c r="O366" s="110">
        <v>112515.0</v>
      </c>
      <c r="P366" s="11">
        <v>76.0</v>
      </c>
      <c r="Q366" s="239"/>
      <c r="R366" s="17">
        <v>70.0</v>
      </c>
    </row>
    <row r="367">
      <c r="A367" s="11">
        <v>11.0</v>
      </c>
      <c r="B367" s="11">
        <v>68.0</v>
      </c>
      <c r="C367" s="11">
        <v>2.0</v>
      </c>
      <c r="D367" s="11" t="s">
        <v>31</v>
      </c>
      <c r="E367" s="234">
        <v>19.0</v>
      </c>
      <c r="F367" s="235">
        <v>27.0</v>
      </c>
      <c r="G367" s="235">
        <v>27.0</v>
      </c>
      <c r="H367" s="234">
        <v>19.0</v>
      </c>
      <c r="I367" s="235">
        <v>27.0</v>
      </c>
      <c r="J367" s="236">
        <v>2.8847945E7</v>
      </c>
      <c r="K367" s="11">
        <v>28.0</v>
      </c>
      <c r="L367" s="11">
        <v>8.0</v>
      </c>
      <c r="M367" s="237" t="str">
        <f t="shared" si="1"/>
        <v>0190270028847945288</v>
      </c>
      <c r="N367" s="238">
        <v>67183.11</v>
      </c>
      <c r="O367" s="110">
        <v>72321.0</v>
      </c>
      <c r="P367" s="11">
        <v>73.0</v>
      </c>
      <c r="Q367" s="239"/>
      <c r="R367" s="17">
        <v>29.0</v>
      </c>
    </row>
    <row r="368">
      <c r="A368" s="11">
        <v>20.0</v>
      </c>
      <c r="B368" s="11">
        <v>89.0</v>
      </c>
      <c r="C368" s="11">
        <v>8.0</v>
      </c>
      <c r="D368" s="11" t="s">
        <v>5271</v>
      </c>
      <c r="E368" s="234">
        <v>51.0</v>
      </c>
      <c r="F368" s="235">
        <v>520.0</v>
      </c>
      <c r="G368" s="235">
        <v>520.0</v>
      </c>
      <c r="H368" s="234">
        <v>51.0</v>
      </c>
      <c r="I368" s="235">
        <v>520.0</v>
      </c>
      <c r="J368" s="236">
        <v>9.5068326E7</v>
      </c>
      <c r="K368" s="11">
        <v>13.0</v>
      </c>
      <c r="L368" s="11">
        <v>2.0</v>
      </c>
      <c r="M368" s="237" t="str">
        <f t="shared" si="1"/>
        <v>0515200095068326132</v>
      </c>
      <c r="N368" s="238">
        <v>22072.53</v>
      </c>
      <c r="O368" s="110">
        <v>91915.0</v>
      </c>
      <c r="P368" s="11">
        <v>71.0</v>
      </c>
      <c r="Q368" s="239"/>
      <c r="R368" s="17">
        <v>49.0</v>
      </c>
    </row>
    <row r="369">
      <c r="A369" s="11">
        <v>14.0</v>
      </c>
      <c r="B369" s="11">
        <v>27.0</v>
      </c>
      <c r="C369" s="11">
        <v>9.0</v>
      </c>
      <c r="D369" s="11" t="s">
        <v>5271</v>
      </c>
      <c r="E369" s="234">
        <v>48.0</v>
      </c>
      <c r="F369" s="235">
        <v>79.0</v>
      </c>
      <c r="G369" s="235">
        <v>79.0</v>
      </c>
      <c r="H369" s="234">
        <v>48.0</v>
      </c>
      <c r="I369" s="235">
        <v>79.0</v>
      </c>
      <c r="J369" s="236">
        <v>6.5036317E7</v>
      </c>
      <c r="K369" s="11">
        <v>86.0</v>
      </c>
      <c r="L369" s="11">
        <v>1.0</v>
      </c>
      <c r="M369" s="237" t="str">
        <f t="shared" si="1"/>
        <v>0480790065036317861</v>
      </c>
      <c r="N369" s="238">
        <v>-46788.83</v>
      </c>
      <c r="O369" s="110">
        <v>21122.0</v>
      </c>
      <c r="P369" s="11">
        <v>71.0</v>
      </c>
      <c r="Q369" s="239"/>
      <c r="R369" s="17">
        <v>49.0</v>
      </c>
    </row>
    <row r="370">
      <c r="A370" s="11">
        <v>14.0</v>
      </c>
      <c r="B370" s="11">
        <v>68.0</v>
      </c>
      <c r="C370" s="11">
        <v>4.0</v>
      </c>
      <c r="D370" s="11" t="s">
        <v>31</v>
      </c>
      <c r="E370" s="234">
        <v>5.0</v>
      </c>
      <c r="F370" s="235">
        <v>1.0</v>
      </c>
      <c r="G370" s="235">
        <v>1.0</v>
      </c>
      <c r="H370" s="234">
        <v>5.0</v>
      </c>
      <c r="I370" s="235">
        <v>1.0</v>
      </c>
      <c r="J370" s="236">
        <v>2.6635174E7</v>
      </c>
      <c r="K370" s="11">
        <v>93.0</v>
      </c>
      <c r="L370" s="11">
        <v>3.0</v>
      </c>
      <c r="M370" s="237" t="str">
        <f t="shared" si="1"/>
        <v>050010026635174933</v>
      </c>
      <c r="N370" s="238">
        <v>60266.2</v>
      </c>
      <c r="O370" s="110">
        <v>12713.0</v>
      </c>
      <c r="P370" s="11">
        <v>75.0</v>
      </c>
      <c r="Q370" s="239"/>
      <c r="R370" s="17">
        <v>70.0</v>
      </c>
    </row>
    <row r="371">
      <c r="A371" s="11">
        <v>12.0</v>
      </c>
      <c r="B371" s="11">
        <v>68.0</v>
      </c>
      <c r="C371" s="11">
        <v>6.0</v>
      </c>
      <c r="D371" s="11" t="s">
        <v>5272</v>
      </c>
      <c r="E371" s="234">
        <v>55.0</v>
      </c>
      <c r="F371" s="235">
        <v>27.0</v>
      </c>
      <c r="G371" s="235">
        <v>27.0</v>
      </c>
      <c r="H371" s="234">
        <v>55.0</v>
      </c>
      <c r="I371" s="235">
        <v>27.0</v>
      </c>
      <c r="J371" s="236">
        <v>3.2059663E7</v>
      </c>
      <c r="K371" s="11">
        <v>57.0</v>
      </c>
      <c r="L371" s="11">
        <v>0.0</v>
      </c>
      <c r="M371" s="237" t="str">
        <f t="shared" si="1"/>
        <v>0550270032059663570</v>
      </c>
      <c r="N371" s="238">
        <v>-82778.54</v>
      </c>
      <c r="O371" s="110">
        <v>73020.0</v>
      </c>
      <c r="P371" s="11">
        <v>71.0</v>
      </c>
      <c r="Q371" s="239"/>
      <c r="R371" s="17">
        <v>90.0</v>
      </c>
    </row>
    <row r="372">
      <c r="A372" s="11">
        <v>15.0</v>
      </c>
      <c r="B372" s="11">
        <v>68.0</v>
      </c>
      <c r="C372" s="11">
        <v>8.0</v>
      </c>
      <c r="D372" s="11" t="s">
        <v>39</v>
      </c>
      <c r="E372" s="234">
        <v>5.0</v>
      </c>
      <c r="F372" s="235">
        <v>71.0</v>
      </c>
      <c r="G372" s="235">
        <v>71.0</v>
      </c>
      <c r="H372" s="234">
        <v>5.0</v>
      </c>
      <c r="I372" s="235">
        <v>71.0</v>
      </c>
      <c r="J372" s="236">
        <v>1.635512E7</v>
      </c>
      <c r="K372" s="11">
        <v>35.0</v>
      </c>
      <c r="L372" s="11">
        <v>7.0</v>
      </c>
      <c r="M372" s="237" t="str">
        <f t="shared" si="1"/>
        <v>050710016355120357</v>
      </c>
      <c r="N372" s="238">
        <v>56917.01</v>
      </c>
      <c r="O372" s="110">
        <v>12617.0</v>
      </c>
      <c r="P372" s="11">
        <v>70.0</v>
      </c>
      <c r="Q372" s="239"/>
      <c r="R372" s="17">
        <v>90.0</v>
      </c>
    </row>
    <row r="373">
      <c r="A373" s="11">
        <v>18.0</v>
      </c>
      <c r="B373" s="11">
        <v>27.0</v>
      </c>
      <c r="C373" s="11">
        <v>3.0</v>
      </c>
      <c r="D373" s="11" t="s">
        <v>31</v>
      </c>
      <c r="E373" s="234">
        <v>8.0</v>
      </c>
      <c r="F373" s="235">
        <v>85.0</v>
      </c>
      <c r="G373" s="235">
        <v>85.0</v>
      </c>
      <c r="H373" s="234">
        <v>8.0</v>
      </c>
      <c r="I373" s="235">
        <v>85.0</v>
      </c>
      <c r="J373" s="236">
        <v>3.6270471E7</v>
      </c>
      <c r="K373" s="11">
        <v>94.0</v>
      </c>
      <c r="L373" s="11">
        <v>4.0</v>
      </c>
      <c r="M373" s="237" t="str">
        <f t="shared" si="1"/>
        <v>080850036270471944</v>
      </c>
      <c r="N373" s="238">
        <v>-36972.81</v>
      </c>
      <c r="O373" s="110">
        <v>11521.0</v>
      </c>
      <c r="P373" s="11">
        <v>79.0</v>
      </c>
      <c r="Q373" s="239"/>
      <c r="R373" s="17">
        <v>29.0</v>
      </c>
    </row>
    <row r="374">
      <c r="A374" s="11">
        <v>16.0</v>
      </c>
      <c r="B374" s="11">
        <v>48.0</v>
      </c>
      <c r="C374" s="11">
        <v>7.0</v>
      </c>
      <c r="D374" s="11" t="s">
        <v>39</v>
      </c>
      <c r="E374" s="234">
        <v>22.0</v>
      </c>
      <c r="F374" s="235">
        <v>55.0</v>
      </c>
      <c r="G374" s="235">
        <v>55.0</v>
      </c>
      <c r="H374" s="234">
        <v>22.0</v>
      </c>
      <c r="I374" s="235">
        <v>55.0</v>
      </c>
      <c r="J374" s="236">
        <v>5.7979156E7</v>
      </c>
      <c r="K374" s="11">
        <v>81.0</v>
      </c>
      <c r="L374" s="11">
        <v>1.0</v>
      </c>
      <c r="M374" s="237" t="str">
        <f t="shared" si="1"/>
        <v>0220550057979156811</v>
      </c>
      <c r="N374" s="238">
        <v>-86167.19</v>
      </c>
      <c r="O374" s="110">
        <v>60415.0</v>
      </c>
      <c r="P374" s="11">
        <v>70.0</v>
      </c>
      <c r="Q374" s="239"/>
      <c r="R374" s="17">
        <v>90.0</v>
      </c>
    </row>
    <row r="375">
      <c r="A375" s="11">
        <v>12.0</v>
      </c>
      <c r="B375" s="11">
        <v>27.0</v>
      </c>
      <c r="C375" s="11">
        <v>8.0</v>
      </c>
      <c r="D375" s="11" t="s">
        <v>31</v>
      </c>
      <c r="E375" s="234">
        <v>37.0</v>
      </c>
      <c r="F375" s="235">
        <v>3.0</v>
      </c>
      <c r="G375" s="235">
        <v>3.0</v>
      </c>
      <c r="H375" s="234">
        <v>37.0</v>
      </c>
      <c r="I375" s="235">
        <v>3.0</v>
      </c>
      <c r="J375" s="236">
        <v>8.205078E7</v>
      </c>
      <c r="K375" s="11">
        <v>67.0</v>
      </c>
      <c r="L375" s="11">
        <v>8.0</v>
      </c>
      <c r="M375" s="237" t="str">
        <f t="shared" si="1"/>
        <v>0370030082050780678</v>
      </c>
      <c r="N375" s="238">
        <v>48697.89</v>
      </c>
      <c r="O375" s="110">
        <v>22320.0</v>
      </c>
      <c r="P375" s="11">
        <v>74.0</v>
      </c>
      <c r="Q375" s="239"/>
      <c r="R375" s="17">
        <v>90.0</v>
      </c>
    </row>
    <row r="376">
      <c r="A376" s="11">
        <v>20.0</v>
      </c>
      <c r="B376" s="11">
        <v>48.0</v>
      </c>
      <c r="C376" s="11">
        <v>9.0</v>
      </c>
      <c r="D376" s="11" t="s">
        <v>5271</v>
      </c>
      <c r="E376" s="234">
        <v>53.0</v>
      </c>
      <c r="F376" s="235">
        <v>61.0</v>
      </c>
      <c r="G376" s="235">
        <v>61.0</v>
      </c>
      <c r="H376" s="234">
        <v>53.0</v>
      </c>
      <c r="I376" s="235">
        <v>61.0</v>
      </c>
      <c r="J376" s="236">
        <v>8.3673338E7</v>
      </c>
      <c r="K376" s="11">
        <v>51.0</v>
      </c>
      <c r="L376" s="11">
        <v>3.0</v>
      </c>
      <c r="M376" s="237" t="str">
        <f t="shared" si="1"/>
        <v>0530610083673338513</v>
      </c>
      <c r="N376" s="238">
        <v>-83830.03</v>
      </c>
      <c r="O376" s="110">
        <v>42714.0</v>
      </c>
      <c r="P376" s="11">
        <v>73.0</v>
      </c>
      <c r="Q376" s="239"/>
      <c r="R376" s="17">
        <v>90.0</v>
      </c>
    </row>
    <row r="377">
      <c r="A377" s="11">
        <v>19.0</v>
      </c>
      <c r="B377" s="11">
        <v>27.0</v>
      </c>
      <c r="C377" s="11">
        <v>9.0</v>
      </c>
      <c r="D377" s="11" t="s">
        <v>31</v>
      </c>
      <c r="E377" s="234">
        <v>21.0</v>
      </c>
      <c r="F377" s="235">
        <v>27.0</v>
      </c>
      <c r="G377" s="235">
        <v>27.0</v>
      </c>
      <c r="H377" s="234">
        <v>21.0</v>
      </c>
      <c r="I377" s="235">
        <v>27.0</v>
      </c>
      <c r="J377" s="236">
        <v>2.8063191E7</v>
      </c>
      <c r="K377" s="11">
        <v>3.0</v>
      </c>
      <c r="L377" s="11">
        <v>8.0</v>
      </c>
      <c r="M377" s="237" t="str">
        <f t="shared" si="1"/>
        <v>021027002806319138</v>
      </c>
      <c r="N377" s="238">
        <v>85944.03</v>
      </c>
      <c r="O377" s="110">
        <v>60815.0</v>
      </c>
      <c r="P377" s="11">
        <v>75.0</v>
      </c>
      <c r="Q377" s="239"/>
      <c r="R377" s="17">
        <v>90.0</v>
      </c>
    </row>
    <row r="378">
      <c r="A378" s="11">
        <v>13.0</v>
      </c>
      <c r="B378" s="11">
        <v>89.0</v>
      </c>
      <c r="C378" s="11">
        <v>1.0</v>
      </c>
      <c r="D378" s="11" t="s">
        <v>29</v>
      </c>
      <c r="E378" s="234">
        <v>23.0</v>
      </c>
      <c r="F378" s="235">
        <v>9.0</v>
      </c>
      <c r="G378" s="235">
        <v>9.0</v>
      </c>
      <c r="H378" s="234">
        <v>23.0</v>
      </c>
      <c r="I378" s="235">
        <v>9.0</v>
      </c>
      <c r="J378" s="236">
        <v>4.4123435E7</v>
      </c>
      <c r="K378" s="11">
        <v>95.0</v>
      </c>
      <c r="L378" s="11">
        <v>1.0</v>
      </c>
      <c r="M378" s="237" t="str">
        <f t="shared" si="1"/>
        <v>0230090044123435951</v>
      </c>
      <c r="N378" s="238">
        <v>27825.1</v>
      </c>
      <c r="O378" s="110">
        <v>82820.0</v>
      </c>
      <c r="P378" s="11">
        <v>78.0</v>
      </c>
      <c r="Q378" s="239"/>
      <c r="R378" s="17">
        <v>49.0</v>
      </c>
    </row>
    <row r="379">
      <c r="A379" s="11">
        <v>13.0</v>
      </c>
      <c r="B379" s="11">
        <v>48.0</v>
      </c>
      <c r="C379" s="11">
        <v>4.0</v>
      </c>
      <c r="D379" s="11" t="s">
        <v>29</v>
      </c>
      <c r="E379" s="234">
        <v>39.0</v>
      </c>
      <c r="F379" s="235">
        <v>83.0</v>
      </c>
      <c r="G379" s="235">
        <v>83.0</v>
      </c>
      <c r="H379" s="234">
        <v>39.0</v>
      </c>
      <c r="I379" s="235">
        <v>83.0</v>
      </c>
      <c r="J379" s="236">
        <v>3.2193525E7</v>
      </c>
      <c r="K379" s="11">
        <v>97.0</v>
      </c>
      <c r="L379" s="11">
        <v>6.0</v>
      </c>
      <c r="M379" s="237" t="str">
        <f t="shared" si="1"/>
        <v>0390830032193525976</v>
      </c>
      <c r="N379" s="238">
        <v>85702.75</v>
      </c>
      <c r="O379" s="110">
        <v>122819.0</v>
      </c>
      <c r="P379" s="11">
        <v>75.0</v>
      </c>
      <c r="Q379" s="239"/>
      <c r="R379" s="17">
        <v>90.0</v>
      </c>
    </row>
    <row r="380">
      <c r="A380" s="11">
        <v>14.0</v>
      </c>
      <c r="B380" s="11">
        <v>27.0</v>
      </c>
      <c r="C380" s="11">
        <v>9.0</v>
      </c>
      <c r="D380" s="11" t="s">
        <v>39</v>
      </c>
      <c r="E380" s="234">
        <v>42.0</v>
      </c>
      <c r="F380" s="235">
        <v>39.0</v>
      </c>
      <c r="G380" s="235">
        <v>39.0</v>
      </c>
      <c r="H380" s="234">
        <v>42.0</v>
      </c>
      <c r="I380" s="235">
        <v>39.0</v>
      </c>
      <c r="J380" s="236">
        <v>3.1584164E7</v>
      </c>
      <c r="K380" s="11">
        <v>18.0</v>
      </c>
      <c r="L380" s="11">
        <v>8.0</v>
      </c>
      <c r="M380" s="237" t="str">
        <f t="shared" si="1"/>
        <v>0420390031584164188</v>
      </c>
      <c r="N380" s="238">
        <v>-24008.98</v>
      </c>
      <c r="O380" s="110">
        <v>61819.0</v>
      </c>
      <c r="P380" s="11">
        <v>71.0</v>
      </c>
      <c r="Q380" s="239"/>
      <c r="R380" s="17">
        <v>70.0</v>
      </c>
    </row>
    <row r="381">
      <c r="A381" s="11">
        <v>18.0</v>
      </c>
      <c r="B381" s="11">
        <v>27.0</v>
      </c>
      <c r="C381" s="11">
        <v>4.0</v>
      </c>
      <c r="D381" s="11" t="s">
        <v>5272</v>
      </c>
      <c r="E381" s="234">
        <v>20.0</v>
      </c>
      <c r="F381" s="235">
        <v>87.0</v>
      </c>
      <c r="G381" s="235">
        <v>87.0</v>
      </c>
      <c r="H381" s="234">
        <v>20.0</v>
      </c>
      <c r="I381" s="235">
        <v>87.0</v>
      </c>
      <c r="J381" s="236">
        <v>7.1713845E7</v>
      </c>
      <c r="K381" s="11">
        <v>35.0</v>
      </c>
      <c r="L381" s="11">
        <v>2.0</v>
      </c>
      <c r="M381" s="237" t="str">
        <f t="shared" si="1"/>
        <v>0200870071713845352</v>
      </c>
      <c r="N381" s="238">
        <v>-74947.38</v>
      </c>
      <c r="O381" s="110">
        <v>41713.0</v>
      </c>
      <c r="P381" s="11">
        <v>79.0</v>
      </c>
      <c r="Q381" s="239"/>
      <c r="R381" s="17">
        <v>50.0</v>
      </c>
    </row>
    <row r="382">
      <c r="A382" s="11">
        <v>16.0</v>
      </c>
      <c r="B382" s="11">
        <v>27.0</v>
      </c>
      <c r="C382" s="11">
        <v>3.0</v>
      </c>
      <c r="D382" s="11" t="s">
        <v>29</v>
      </c>
      <c r="E382" s="234">
        <v>42.0</v>
      </c>
      <c r="F382" s="235">
        <v>31.0</v>
      </c>
      <c r="G382" s="235">
        <v>31.0</v>
      </c>
      <c r="H382" s="234">
        <v>42.0</v>
      </c>
      <c r="I382" s="235">
        <v>31.0</v>
      </c>
      <c r="J382" s="236">
        <v>6.0682466E7</v>
      </c>
      <c r="K382" s="11">
        <v>18.0</v>
      </c>
      <c r="L382" s="11">
        <v>7.0</v>
      </c>
      <c r="M382" s="237" t="str">
        <f t="shared" si="1"/>
        <v>0420310060682466187</v>
      </c>
      <c r="N382" s="238">
        <v>-84877.21</v>
      </c>
      <c r="O382" s="110">
        <v>111420.0</v>
      </c>
      <c r="P382" s="11">
        <v>73.0</v>
      </c>
      <c r="Q382" s="239"/>
      <c r="R382" s="17">
        <v>29.0</v>
      </c>
    </row>
    <row r="383">
      <c r="A383" s="11">
        <v>11.0</v>
      </c>
      <c r="B383" s="11">
        <v>68.0</v>
      </c>
      <c r="C383" s="11">
        <v>4.0</v>
      </c>
      <c r="D383" s="11" t="s">
        <v>39</v>
      </c>
      <c r="E383" s="234">
        <v>13.0</v>
      </c>
      <c r="F383" s="235">
        <v>273.0</v>
      </c>
      <c r="G383" s="235">
        <v>273.0</v>
      </c>
      <c r="H383" s="234">
        <v>13.0</v>
      </c>
      <c r="I383" s="235">
        <v>273.0</v>
      </c>
      <c r="J383" s="236">
        <v>8.6861668E7</v>
      </c>
      <c r="K383" s="11">
        <v>36.0</v>
      </c>
      <c r="L383" s="11">
        <v>4.0</v>
      </c>
      <c r="M383" s="237" t="str">
        <f t="shared" si="1"/>
        <v>0132730086861668364</v>
      </c>
      <c r="N383" s="238">
        <v>66682.07</v>
      </c>
      <c r="O383" s="110">
        <v>101714.0</v>
      </c>
      <c r="P383" s="11">
        <v>71.0</v>
      </c>
      <c r="Q383" s="239"/>
      <c r="R383" s="17">
        <v>91.0</v>
      </c>
    </row>
    <row r="384">
      <c r="A384" s="11">
        <v>20.0</v>
      </c>
      <c r="B384" s="11">
        <v>27.0</v>
      </c>
      <c r="C384" s="11">
        <v>8.0</v>
      </c>
      <c r="D384" s="11" t="s">
        <v>5271</v>
      </c>
      <c r="E384" s="234">
        <v>28.0</v>
      </c>
      <c r="F384" s="235">
        <v>25.0</v>
      </c>
      <c r="G384" s="235">
        <v>25.0</v>
      </c>
      <c r="H384" s="234">
        <v>28.0</v>
      </c>
      <c r="I384" s="235">
        <v>25.0</v>
      </c>
      <c r="J384" s="236">
        <v>6.5788759E7</v>
      </c>
      <c r="K384" s="11">
        <v>40.0</v>
      </c>
      <c r="L384" s="11">
        <v>7.0</v>
      </c>
      <c r="M384" s="237" t="str">
        <f t="shared" si="1"/>
        <v>0280250065788759407</v>
      </c>
      <c r="N384" s="238">
        <v>-17910.06</v>
      </c>
      <c r="O384" s="110">
        <v>50215.0</v>
      </c>
      <c r="P384" s="11">
        <v>75.0</v>
      </c>
      <c r="Q384" s="239"/>
      <c r="R384" s="17">
        <v>50.0</v>
      </c>
    </row>
    <row r="385">
      <c r="A385" s="11">
        <v>15.0</v>
      </c>
      <c r="B385" s="11">
        <v>48.0</v>
      </c>
      <c r="C385" s="11">
        <v>4.0</v>
      </c>
      <c r="D385" s="11" t="s">
        <v>5272</v>
      </c>
      <c r="E385" s="234">
        <v>48.0</v>
      </c>
      <c r="F385" s="235">
        <v>209.0</v>
      </c>
      <c r="G385" s="235">
        <v>209.0</v>
      </c>
      <c r="H385" s="234">
        <v>48.0</v>
      </c>
      <c r="I385" s="235">
        <v>209.0</v>
      </c>
      <c r="J385" s="236">
        <v>6.5495693E7</v>
      </c>
      <c r="K385" s="11">
        <v>98.0</v>
      </c>
      <c r="L385" s="11">
        <v>0.0</v>
      </c>
      <c r="M385" s="237" t="str">
        <f t="shared" si="1"/>
        <v>0482090065495693980</v>
      </c>
      <c r="N385" s="238">
        <v>43477.8</v>
      </c>
      <c r="O385" s="110">
        <v>123013.0</v>
      </c>
      <c r="P385" s="11">
        <v>74.0</v>
      </c>
      <c r="Q385" s="239"/>
      <c r="R385" s="17">
        <v>70.0</v>
      </c>
    </row>
    <row r="386">
      <c r="A386" s="11">
        <v>13.0</v>
      </c>
      <c r="B386" s="11">
        <v>27.0</v>
      </c>
      <c r="C386" s="11">
        <v>5.0</v>
      </c>
      <c r="D386" s="11" t="s">
        <v>5271</v>
      </c>
      <c r="E386" s="234">
        <v>25.0</v>
      </c>
      <c r="F386" s="235">
        <v>21.0</v>
      </c>
      <c r="G386" s="235">
        <v>21.0</v>
      </c>
      <c r="H386" s="234">
        <v>25.0</v>
      </c>
      <c r="I386" s="235">
        <v>21.0</v>
      </c>
      <c r="J386" s="236">
        <v>9.9721998E7</v>
      </c>
      <c r="K386" s="11">
        <v>31.0</v>
      </c>
      <c r="L386" s="11">
        <v>1.0</v>
      </c>
      <c r="M386" s="237" t="str">
        <f t="shared" si="1"/>
        <v>0250210099721998311</v>
      </c>
      <c r="N386" s="238">
        <v>-77444.45</v>
      </c>
      <c r="O386" s="110">
        <v>51022.0</v>
      </c>
      <c r="P386" s="11">
        <v>73.0</v>
      </c>
      <c r="Q386" s="239"/>
      <c r="R386" s="17">
        <v>50.0</v>
      </c>
    </row>
    <row r="387">
      <c r="A387" s="11">
        <v>10.0</v>
      </c>
      <c r="B387" s="11">
        <v>27.0</v>
      </c>
      <c r="C387" s="11">
        <v>5.0</v>
      </c>
      <c r="D387" s="11" t="s">
        <v>5271</v>
      </c>
      <c r="E387" s="234">
        <v>21.0</v>
      </c>
      <c r="F387" s="235">
        <v>55.0</v>
      </c>
      <c r="G387" s="235">
        <v>55.0</v>
      </c>
      <c r="H387" s="234">
        <v>21.0</v>
      </c>
      <c r="I387" s="235">
        <v>55.0</v>
      </c>
      <c r="J387" s="236">
        <v>6.0025855E7</v>
      </c>
      <c r="K387" s="11">
        <v>95.0</v>
      </c>
      <c r="L387" s="11">
        <v>8.0</v>
      </c>
      <c r="M387" s="237" t="str">
        <f t="shared" si="1"/>
        <v>0210550060025855958</v>
      </c>
      <c r="N387" s="238">
        <v>12872.3</v>
      </c>
      <c r="O387" s="110">
        <v>71418.0</v>
      </c>
      <c r="P387" s="11">
        <v>71.0</v>
      </c>
      <c r="Q387" s="239"/>
      <c r="R387" s="17">
        <v>50.0</v>
      </c>
    </row>
    <row r="388">
      <c r="A388" s="11">
        <v>20.0</v>
      </c>
      <c r="B388" s="11">
        <v>48.0</v>
      </c>
      <c r="C388" s="11">
        <v>2.0</v>
      </c>
      <c r="D388" s="11" t="s">
        <v>5272</v>
      </c>
      <c r="E388" s="234">
        <v>36.0</v>
      </c>
      <c r="F388" s="235">
        <v>11.0</v>
      </c>
      <c r="G388" s="235">
        <v>11.0</v>
      </c>
      <c r="H388" s="234">
        <v>36.0</v>
      </c>
      <c r="I388" s="235">
        <v>11.0</v>
      </c>
      <c r="J388" s="236">
        <v>1.3607986E7</v>
      </c>
      <c r="K388" s="11">
        <v>15.0</v>
      </c>
      <c r="L388" s="11">
        <v>8.0</v>
      </c>
      <c r="M388" s="237" t="str">
        <f t="shared" si="1"/>
        <v>0360110013607986158</v>
      </c>
      <c r="N388" s="238">
        <v>-24709.63</v>
      </c>
      <c r="O388" s="110">
        <v>80116.0</v>
      </c>
      <c r="P388" s="11">
        <v>72.0</v>
      </c>
      <c r="Q388" s="239"/>
      <c r="R388" s="17">
        <v>50.0</v>
      </c>
    </row>
    <row r="389">
      <c r="A389" s="11">
        <v>10.0</v>
      </c>
      <c r="B389" s="11">
        <v>68.0</v>
      </c>
      <c r="C389" s="11">
        <v>1.0</v>
      </c>
      <c r="D389" s="11" t="s">
        <v>39</v>
      </c>
      <c r="E389" s="234">
        <v>28.0</v>
      </c>
      <c r="F389" s="235">
        <v>83.0</v>
      </c>
      <c r="G389" s="235">
        <v>83.0</v>
      </c>
      <c r="H389" s="234">
        <v>28.0</v>
      </c>
      <c r="I389" s="235">
        <v>83.0</v>
      </c>
      <c r="J389" s="236">
        <v>7.692682E7</v>
      </c>
      <c r="K389" s="11">
        <v>90.0</v>
      </c>
      <c r="L389" s="11">
        <v>6.0</v>
      </c>
      <c r="M389" s="237" t="str">
        <f t="shared" si="1"/>
        <v>0280830076926820906</v>
      </c>
      <c r="N389" s="238">
        <v>33082.8</v>
      </c>
      <c r="O389" s="110">
        <v>121514.0</v>
      </c>
      <c r="P389" s="11">
        <v>75.0</v>
      </c>
      <c r="Q389" s="239"/>
      <c r="R389" s="17">
        <v>29.0</v>
      </c>
    </row>
    <row r="390">
      <c r="A390" s="11">
        <v>15.0</v>
      </c>
      <c r="B390" s="11">
        <v>68.0</v>
      </c>
      <c r="C390" s="11">
        <v>7.0</v>
      </c>
      <c r="D390" s="11" t="s">
        <v>31</v>
      </c>
      <c r="E390" s="234">
        <v>37.0</v>
      </c>
      <c r="F390" s="235">
        <v>143.0</v>
      </c>
      <c r="G390" s="235">
        <v>143.0</v>
      </c>
      <c r="H390" s="234">
        <v>37.0</v>
      </c>
      <c r="I390" s="235">
        <v>143.0</v>
      </c>
      <c r="J390" s="236">
        <v>7.0004323E7</v>
      </c>
      <c r="K390" s="11">
        <v>45.0</v>
      </c>
      <c r="L390" s="11">
        <v>3.0</v>
      </c>
      <c r="M390" s="237" t="str">
        <f t="shared" si="1"/>
        <v>0371430070004323453</v>
      </c>
      <c r="N390" s="238">
        <v>84871.04</v>
      </c>
      <c r="O390" s="110">
        <v>12214.0</v>
      </c>
      <c r="P390" s="11">
        <v>72.0</v>
      </c>
      <c r="Q390" s="239"/>
      <c r="R390" s="17">
        <v>29.0</v>
      </c>
    </row>
    <row r="391">
      <c r="A391" s="11">
        <v>13.0</v>
      </c>
      <c r="B391" s="11">
        <v>48.0</v>
      </c>
      <c r="C391" s="11">
        <v>6.0</v>
      </c>
      <c r="D391" s="11" t="s">
        <v>29</v>
      </c>
      <c r="E391" s="234">
        <v>36.0</v>
      </c>
      <c r="F391" s="235">
        <v>31.0</v>
      </c>
      <c r="G391" s="235">
        <v>31.0</v>
      </c>
      <c r="H391" s="234">
        <v>36.0</v>
      </c>
      <c r="I391" s="235">
        <v>31.0</v>
      </c>
      <c r="J391" s="236">
        <v>5.442428E7</v>
      </c>
      <c r="K391" s="11">
        <v>66.0</v>
      </c>
      <c r="L391" s="11">
        <v>2.0</v>
      </c>
      <c r="M391" s="237" t="str">
        <f t="shared" si="1"/>
        <v>0360310054424280662</v>
      </c>
      <c r="N391" s="238">
        <v>36740.49</v>
      </c>
      <c r="O391" s="110">
        <v>33016.0</v>
      </c>
      <c r="P391" s="11">
        <v>73.0</v>
      </c>
      <c r="Q391" s="239"/>
      <c r="R391" s="17">
        <v>91.0</v>
      </c>
    </row>
    <row r="392">
      <c r="A392" s="11">
        <v>12.0</v>
      </c>
      <c r="B392" s="11">
        <v>48.0</v>
      </c>
      <c r="C392" s="11">
        <v>8.0</v>
      </c>
      <c r="D392" s="11" t="s">
        <v>5273</v>
      </c>
      <c r="E392" s="234">
        <v>21.0</v>
      </c>
      <c r="F392" s="235">
        <v>75.0</v>
      </c>
      <c r="G392" s="235">
        <v>75.0</v>
      </c>
      <c r="H392" s="234">
        <v>21.0</v>
      </c>
      <c r="I392" s="235">
        <v>75.0</v>
      </c>
      <c r="J392" s="236">
        <v>3.0994332E7</v>
      </c>
      <c r="K392" s="11">
        <v>43.0</v>
      </c>
      <c r="L392" s="11">
        <v>9.0</v>
      </c>
      <c r="M392" s="237" t="str">
        <f t="shared" si="1"/>
        <v>0210750030994332439</v>
      </c>
      <c r="N392" s="238">
        <v>81815.0</v>
      </c>
      <c r="O392" s="110">
        <v>31022.0</v>
      </c>
      <c r="P392" s="11">
        <v>75.0</v>
      </c>
      <c r="Q392" s="239"/>
      <c r="R392" s="17">
        <v>29.0</v>
      </c>
    </row>
    <row r="393">
      <c r="A393" s="11">
        <v>14.0</v>
      </c>
      <c r="B393" s="11">
        <v>68.0</v>
      </c>
      <c r="C393" s="11">
        <v>9.0</v>
      </c>
      <c r="D393" s="11" t="s">
        <v>31</v>
      </c>
      <c r="E393" s="234">
        <v>55.0</v>
      </c>
      <c r="F393" s="235">
        <v>53.0</v>
      </c>
      <c r="G393" s="235">
        <v>53.0</v>
      </c>
      <c r="H393" s="234">
        <v>55.0</v>
      </c>
      <c r="I393" s="235">
        <v>53.0</v>
      </c>
      <c r="J393" s="236">
        <v>2.2679615E7</v>
      </c>
      <c r="K393" s="11">
        <v>5.0</v>
      </c>
      <c r="L393" s="11">
        <v>6.0</v>
      </c>
      <c r="M393" s="237" t="str">
        <f t="shared" si="1"/>
        <v>055053002267961556</v>
      </c>
      <c r="N393" s="238">
        <v>-76158.35</v>
      </c>
      <c r="O393" s="110">
        <v>50823.0</v>
      </c>
      <c r="P393" s="11">
        <v>78.0</v>
      </c>
      <c r="Q393" s="239"/>
      <c r="R393" s="17">
        <v>50.0</v>
      </c>
    </row>
    <row r="394">
      <c r="A394" s="11">
        <v>11.0</v>
      </c>
      <c r="B394" s="11">
        <v>48.0</v>
      </c>
      <c r="C394" s="11">
        <v>5.0</v>
      </c>
      <c r="D394" s="11" t="s">
        <v>5271</v>
      </c>
      <c r="E394" s="234">
        <v>56.0</v>
      </c>
      <c r="F394" s="235">
        <v>41.0</v>
      </c>
      <c r="G394" s="235">
        <v>41.0</v>
      </c>
      <c r="H394" s="234">
        <v>56.0</v>
      </c>
      <c r="I394" s="235">
        <v>41.0</v>
      </c>
      <c r="J394" s="236">
        <v>1.8927212E7</v>
      </c>
      <c r="K394" s="11">
        <v>59.0</v>
      </c>
      <c r="L394" s="11">
        <v>3.0</v>
      </c>
      <c r="M394" s="237" t="str">
        <f t="shared" si="1"/>
        <v>0560410018927212593</v>
      </c>
      <c r="N394" s="238">
        <v>75662.89</v>
      </c>
      <c r="O394" s="110">
        <v>80313.0</v>
      </c>
      <c r="P394" s="11">
        <v>77.0</v>
      </c>
      <c r="Q394" s="239"/>
      <c r="R394" s="17">
        <v>91.0</v>
      </c>
    </row>
    <row r="395">
      <c r="A395" s="11">
        <v>11.0</v>
      </c>
      <c r="B395" s="11">
        <v>89.0</v>
      </c>
      <c r="C395" s="11">
        <v>2.0</v>
      </c>
      <c r="D395" s="11" t="s">
        <v>29</v>
      </c>
      <c r="E395" s="234">
        <v>17.0</v>
      </c>
      <c r="F395" s="235">
        <v>3.0</v>
      </c>
      <c r="G395" s="235">
        <v>3.0</v>
      </c>
      <c r="H395" s="234">
        <v>17.0</v>
      </c>
      <c r="I395" s="235">
        <v>3.0</v>
      </c>
      <c r="J395" s="236">
        <v>8.9890752E7</v>
      </c>
      <c r="K395" s="11">
        <v>43.0</v>
      </c>
      <c r="L395" s="11">
        <v>8.0</v>
      </c>
      <c r="M395" s="237" t="str">
        <f t="shared" si="1"/>
        <v>0170030089890752438</v>
      </c>
      <c r="N395" s="238">
        <v>-16707.31</v>
      </c>
      <c r="O395" s="110">
        <v>82414.0</v>
      </c>
      <c r="P395" s="11">
        <v>76.0</v>
      </c>
      <c r="Q395" s="239"/>
      <c r="R395" s="17">
        <v>91.0</v>
      </c>
    </row>
    <row r="396">
      <c r="A396" s="11">
        <v>16.0</v>
      </c>
      <c r="B396" s="11">
        <v>48.0</v>
      </c>
      <c r="C396" s="11">
        <v>1.0</v>
      </c>
      <c r="D396" s="11" t="s">
        <v>29</v>
      </c>
      <c r="E396" s="234">
        <v>37.0</v>
      </c>
      <c r="F396" s="235">
        <v>147.0</v>
      </c>
      <c r="G396" s="235">
        <v>147.0</v>
      </c>
      <c r="H396" s="234">
        <v>37.0</v>
      </c>
      <c r="I396" s="235">
        <v>147.0</v>
      </c>
      <c r="J396" s="236">
        <v>3.8194059E7</v>
      </c>
      <c r="K396" s="11">
        <v>49.0</v>
      </c>
      <c r="L396" s="11">
        <v>1.0</v>
      </c>
      <c r="M396" s="237" t="str">
        <f t="shared" si="1"/>
        <v>0371470038194059491</v>
      </c>
      <c r="N396" s="238">
        <v>-4722.97</v>
      </c>
      <c r="O396" s="110">
        <v>110920.0</v>
      </c>
      <c r="P396" s="11">
        <v>72.0</v>
      </c>
      <c r="Q396" s="239"/>
      <c r="R396" s="17">
        <v>29.0</v>
      </c>
    </row>
    <row r="397">
      <c r="A397" s="11">
        <v>11.0</v>
      </c>
      <c r="B397" s="11">
        <v>89.0</v>
      </c>
      <c r="C397" s="11">
        <v>5.0</v>
      </c>
      <c r="D397" s="11" t="s">
        <v>5272</v>
      </c>
      <c r="E397" s="234">
        <v>13.0</v>
      </c>
      <c r="F397" s="235">
        <v>43.0</v>
      </c>
      <c r="G397" s="235">
        <v>43.0</v>
      </c>
      <c r="H397" s="234">
        <v>13.0</v>
      </c>
      <c r="I397" s="235">
        <v>43.0</v>
      </c>
      <c r="J397" s="236">
        <v>2.9818671E7</v>
      </c>
      <c r="K397" s="11">
        <v>18.0</v>
      </c>
      <c r="L397" s="11">
        <v>8.0</v>
      </c>
      <c r="M397" s="237" t="str">
        <f t="shared" si="1"/>
        <v>0130430029818671188</v>
      </c>
      <c r="N397" s="238">
        <v>-683.57</v>
      </c>
      <c r="O397" s="110">
        <v>110315.0</v>
      </c>
      <c r="P397" s="11">
        <v>70.0</v>
      </c>
      <c r="Q397" s="239"/>
      <c r="R397" s="17">
        <v>50.0</v>
      </c>
    </row>
    <row r="398">
      <c r="A398" s="11">
        <v>11.0</v>
      </c>
      <c r="B398" s="11">
        <v>69.0</v>
      </c>
      <c r="C398" s="11">
        <v>3.0</v>
      </c>
      <c r="D398" s="11" t="s">
        <v>5273</v>
      </c>
      <c r="E398" s="234">
        <v>40.0</v>
      </c>
      <c r="F398" s="235">
        <v>67.0</v>
      </c>
      <c r="G398" s="235">
        <v>67.0</v>
      </c>
      <c r="H398" s="234">
        <v>40.0</v>
      </c>
      <c r="I398" s="235">
        <v>67.0</v>
      </c>
      <c r="J398" s="236">
        <v>3.7429086E7</v>
      </c>
      <c r="K398" s="11">
        <v>57.0</v>
      </c>
      <c r="L398" s="11">
        <v>6.0</v>
      </c>
      <c r="M398" s="237" t="str">
        <f t="shared" si="1"/>
        <v>0400670037429086576</v>
      </c>
      <c r="N398" s="238">
        <v>-2200.29</v>
      </c>
      <c r="O398" s="110">
        <v>32816.0</v>
      </c>
      <c r="P398" s="11">
        <v>72.0</v>
      </c>
      <c r="Q398" s="239"/>
      <c r="R398" s="17">
        <v>91.0</v>
      </c>
    </row>
    <row r="399">
      <c r="A399" s="11">
        <v>16.0</v>
      </c>
      <c r="B399" s="11">
        <v>48.0</v>
      </c>
      <c r="C399" s="11">
        <v>9.0</v>
      </c>
      <c r="D399" s="11" t="s">
        <v>31</v>
      </c>
      <c r="E399" s="234">
        <v>21.0</v>
      </c>
      <c r="F399" s="235">
        <v>63.0</v>
      </c>
      <c r="G399" s="235">
        <v>63.0</v>
      </c>
      <c r="H399" s="234">
        <v>21.0</v>
      </c>
      <c r="I399" s="235">
        <v>63.0</v>
      </c>
      <c r="J399" s="236">
        <v>2.4700969E7</v>
      </c>
      <c r="K399" s="11">
        <v>71.0</v>
      </c>
      <c r="L399" s="11">
        <v>6.0</v>
      </c>
      <c r="M399" s="237" t="str">
        <f t="shared" si="1"/>
        <v>0210630024700969716</v>
      </c>
      <c r="N399" s="238">
        <v>58907.67</v>
      </c>
      <c r="O399" s="110">
        <v>123123.0</v>
      </c>
      <c r="P399" s="11">
        <v>74.0</v>
      </c>
      <c r="Q399" s="239"/>
      <c r="R399" s="17">
        <v>91.0</v>
      </c>
    </row>
    <row r="400">
      <c r="A400" s="11">
        <v>17.0</v>
      </c>
      <c r="B400" s="11">
        <v>28.0</v>
      </c>
      <c r="C400" s="11">
        <v>4.0</v>
      </c>
      <c r="D400" s="11" t="s">
        <v>39</v>
      </c>
      <c r="E400" s="234">
        <v>19.0</v>
      </c>
      <c r="F400" s="235">
        <v>65.0</v>
      </c>
      <c r="G400" s="235">
        <v>65.0</v>
      </c>
      <c r="H400" s="234">
        <v>19.0</v>
      </c>
      <c r="I400" s="235">
        <v>65.0</v>
      </c>
      <c r="J400" s="236">
        <v>2.3312616E7</v>
      </c>
      <c r="K400" s="11">
        <v>49.0</v>
      </c>
      <c r="L400" s="11">
        <v>7.0</v>
      </c>
      <c r="M400" s="237" t="str">
        <f t="shared" si="1"/>
        <v>0190650023312616497</v>
      </c>
      <c r="N400" s="238">
        <v>-24366.38</v>
      </c>
      <c r="O400" s="110">
        <v>60815.0</v>
      </c>
      <c r="P400" s="11">
        <v>76.0</v>
      </c>
      <c r="Q400" s="239"/>
      <c r="R400" s="17">
        <v>71.0</v>
      </c>
    </row>
    <row r="401">
      <c r="A401" s="11">
        <v>16.0</v>
      </c>
      <c r="B401" s="11">
        <v>28.0</v>
      </c>
      <c r="C401" s="11">
        <v>9.0</v>
      </c>
      <c r="D401" s="11" t="s">
        <v>31</v>
      </c>
      <c r="E401" s="234">
        <v>1.0</v>
      </c>
      <c r="F401" s="235">
        <v>125.0</v>
      </c>
      <c r="G401" s="235">
        <v>125.0</v>
      </c>
      <c r="H401" s="234">
        <v>1.0</v>
      </c>
      <c r="I401" s="235">
        <v>125.0</v>
      </c>
      <c r="J401" s="236">
        <v>1.7469141E7</v>
      </c>
      <c r="K401" s="11">
        <v>51.0</v>
      </c>
      <c r="L401" s="11">
        <v>6.0</v>
      </c>
      <c r="M401" s="237" t="str">
        <f t="shared" si="1"/>
        <v>011250017469141516</v>
      </c>
      <c r="N401" s="238">
        <v>-60900.92</v>
      </c>
      <c r="O401" s="110">
        <v>81218.0</v>
      </c>
      <c r="P401" s="11">
        <v>80.0</v>
      </c>
      <c r="Q401" s="239"/>
      <c r="R401" s="17">
        <v>30.0</v>
      </c>
    </row>
    <row r="402">
      <c r="A402" s="11">
        <v>16.0</v>
      </c>
      <c r="B402" s="11">
        <v>28.0</v>
      </c>
      <c r="C402" s="11">
        <v>4.0</v>
      </c>
      <c r="D402" s="11" t="s">
        <v>29</v>
      </c>
      <c r="E402" s="234">
        <v>24.0</v>
      </c>
      <c r="F402" s="235">
        <v>27.0</v>
      </c>
      <c r="G402" s="235">
        <v>27.0</v>
      </c>
      <c r="H402" s="234">
        <v>24.0</v>
      </c>
      <c r="I402" s="235">
        <v>27.0</v>
      </c>
      <c r="J402" s="236">
        <v>5.1369392E7</v>
      </c>
      <c r="K402" s="11">
        <v>38.0</v>
      </c>
      <c r="L402" s="11">
        <v>9.0</v>
      </c>
      <c r="M402" s="237" t="str">
        <f t="shared" si="1"/>
        <v>0240270051369392389</v>
      </c>
      <c r="N402" s="238">
        <v>-90209.31</v>
      </c>
      <c r="O402" s="110">
        <v>60614.0</v>
      </c>
      <c r="P402" s="11">
        <v>76.0</v>
      </c>
      <c r="Q402" s="239"/>
      <c r="R402" s="17">
        <v>30.0</v>
      </c>
    </row>
    <row r="403">
      <c r="A403" s="11">
        <v>13.0</v>
      </c>
      <c r="B403" s="11">
        <v>28.0</v>
      </c>
      <c r="C403" s="11">
        <v>6.0</v>
      </c>
      <c r="D403" s="11" t="s">
        <v>5272</v>
      </c>
      <c r="E403" s="234">
        <v>27.0</v>
      </c>
      <c r="F403" s="235">
        <v>11.0</v>
      </c>
      <c r="G403" s="235">
        <v>11.0</v>
      </c>
      <c r="H403" s="234">
        <v>27.0</v>
      </c>
      <c r="I403" s="235">
        <v>11.0</v>
      </c>
      <c r="J403" s="236">
        <v>4.2978268E7</v>
      </c>
      <c r="K403" s="11">
        <v>47.0</v>
      </c>
      <c r="L403" s="11">
        <v>8.0</v>
      </c>
      <c r="M403" s="237" t="str">
        <f t="shared" si="1"/>
        <v>0270110042978268478</v>
      </c>
      <c r="N403" s="238">
        <v>-77885.64</v>
      </c>
      <c r="O403" s="110">
        <v>41715.0</v>
      </c>
      <c r="P403" s="11">
        <v>70.0</v>
      </c>
      <c r="Q403" s="239"/>
      <c r="R403" s="17">
        <v>50.0</v>
      </c>
    </row>
    <row r="404">
      <c r="A404" s="11">
        <v>17.0</v>
      </c>
      <c r="B404" s="11">
        <v>28.0</v>
      </c>
      <c r="C404" s="11">
        <v>6.0</v>
      </c>
      <c r="D404" s="11" t="s">
        <v>5272</v>
      </c>
      <c r="E404" s="234">
        <v>53.0</v>
      </c>
      <c r="F404" s="235">
        <v>31.0</v>
      </c>
      <c r="G404" s="235">
        <v>31.0</v>
      </c>
      <c r="H404" s="234">
        <v>53.0</v>
      </c>
      <c r="I404" s="235">
        <v>31.0</v>
      </c>
      <c r="J404" s="236">
        <v>8.2209746E7</v>
      </c>
      <c r="K404" s="11">
        <v>32.0</v>
      </c>
      <c r="L404" s="11">
        <v>5.0</v>
      </c>
      <c r="M404" s="237" t="str">
        <f t="shared" si="1"/>
        <v>0530310082209746325</v>
      </c>
      <c r="N404" s="238">
        <v>-46254.7</v>
      </c>
      <c r="O404" s="110">
        <v>50119.0</v>
      </c>
      <c r="P404" s="11">
        <v>75.0</v>
      </c>
      <c r="Q404" s="239"/>
      <c r="R404" s="17">
        <v>71.0</v>
      </c>
    </row>
    <row r="405">
      <c r="A405" s="11">
        <v>12.0</v>
      </c>
      <c r="B405" s="11">
        <v>89.0</v>
      </c>
      <c r="C405" s="11">
        <v>9.0</v>
      </c>
      <c r="D405" s="11" t="s">
        <v>5273</v>
      </c>
      <c r="E405" s="234">
        <v>36.0</v>
      </c>
      <c r="F405" s="235">
        <v>109.0</v>
      </c>
      <c r="G405" s="235">
        <v>109.0</v>
      </c>
      <c r="H405" s="234">
        <v>36.0</v>
      </c>
      <c r="I405" s="235">
        <v>109.0</v>
      </c>
      <c r="J405" s="236">
        <v>2.768265E7</v>
      </c>
      <c r="K405" s="11">
        <v>4.0</v>
      </c>
      <c r="L405" s="11">
        <v>9.0</v>
      </c>
      <c r="M405" s="237" t="str">
        <f t="shared" si="1"/>
        <v>036109002768265049</v>
      </c>
      <c r="N405" s="238">
        <v>-40854.6</v>
      </c>
      <c r="O405" s="110">
        <v>81814.0</v>
      </c>
      <c r="P405" s="11">
        <v>76.0</v>
      </c>
      <c r="Q405" s="239"/>
      <c r="R405" s="17">
        <v>91.0</v>
      </c>
    </row>
    <row r="406">
      <c r="A406" s="11">
        <v>20.0</v>
      </c>
      <c r="B406" s="11">
        <v>48.0</v>
      </c>
      <c r="C406" s="11">
        <v>2.0</v>
      </c>
      <c r="D406" s="11" t="s">
        <v>39</v>
      </c>
      <c r="E406" s="234">
        <v>18.0</v>
      </c>
      <c r="F406" s="235">
        <v>139.0</v>
      </c>
      <c r="G406" s="235">
        <v>139.0</v>
      </c>
      <c r="H406" s="234">
        <v>18.0</v>
      </c>
      <c r="I406" s="235">
        <v>139.0</v>
      </c>
      <c r="J406" s="236">
        <v>3.7052078E7</v>
      </c>
      <c r="K406" s="11">
        <v>44.0</v>
      </c>
      <c r="L406" s="11">
        <v>6.0</v>
      </c>
      <c r="M406" s="237" t="str">
        <f t="shared" si="1"/>
        <v>0181390037052078446</v>
      </c>
      <c r="N406" s="238">
        <v>-51196.96</v>
      </c>
      <c r="O406" s="110">
        <v>10513.0</v>
      </c>
      <c r="P406" s="11">
        <v>74.0</v>
      </c>
      <c r="Q406" s="239"/>
      <c r="R406" s="17">
        <v>50.0</v>
      </c>
    </row>
    <row r="407">
      <c r="A407" s="11">
        <v>12.0</v>
      </c>
      <c r="B407" s="11">
        <v>89.0</v>
      </c>
      <c r="C407" s="11">
        <v>6.0</v>
      </c>
      <c r="D407" s="11" t="s">
        <v>29</v>
      </c>
      <c r="E407" s="234">
        <v>4.0</v>
      </c>
      <c r="F407" s="235">
        <v>15.0</v>
      </c>
      <c r="G407" s="235">
        <v>15.0</v>
      </c>
      <c r="H407" s="234">
        <v>4.0</v>
      </c>
      <c r="I407" s="235">
        <v>15.0</v>
      </c>
      <c r="J407" s="236">
        <v>8.7654156E7</v>
      </c>
      <c r="K407" s="11">
        <v>24.0</v>
      </c>
      <c r="L407" s="11">
        <v>9.0</v>
      </c>
      <c r="M407" s="237" t="str">
        <f t="shared" si="1"/>
        <v>040150087654156249</v>
      </c>
      <c r="N407" s="238">
        <v>3750.21</v>
      </c>
      <c r="O407" s="110">
        <v>102118.0</v>
      </c>
      <c r="P407" s="11">
        <v>74.0</v>
      </c>
      <c r="Q407" s="239"/>
      <c r="R407" s="17">
        <v>50.0</v>
      </c>
    </row>
    <row r="408">
      <c r="A408" s="11">
        <v>19.0</v>
      </c>
      <c r="B408" s="11">
        <v>28.0</v>
      </c>
      <c r="C408" s="11">
        <v>1.0</v>
      </c>
      <c r="D408" s="11" t="s">
        <v>5272</v>
      </c>
      <c r="E408" s="234">
        <v>17.0</v>
      </c>
      <c r="F408" s="235">
        <v>27.0</v>
      </c>
      <c r="G408" s="235">
        <v>27.0</v>
      </c>
      <c r="H408" s="234">
        <v>17.0</v>
      </c>
      <c r="I408" s="235">
        <v>27.0</v>
      </c>
      <c r="J408" s="236">
        <v>3.9282232E7</v>
      </c>
      <c r="K408" s="11">
        <v>51.0</v>
      </c>
      <c r="L408" s="11">
        <v>2.0</v>
      </c>
      <c r="M408" s="237" t="str">
        <f t="shared" si="1"/>
        <v>0170270039282232512</v>
      </c>
      <c r="N408" s="238">
        <v>-71597.62</v>
      </c>
      <c r="O408" s="110">
        <v>80216.0</v>
      </c>
      <c r="P408" s="11">
        <v>71.0</v>
      </c>
      <c r="Q408" s="239"/>
      <c r="R408" s="17">
        <v>50.0</v>
      </c>
    </row>
    <row r="409">
      <c r="A409" s="11">
        <v>13.0</v>
      </c>
      <c r="B409" s="11">
        <v>69.0</v>
      </c>
      <c r="C409" s="11">
        <v>4.0</v>
      </c>
      <c r="D409" s="11" t="s">
        <v>29</v>
      </c>
      <c r="E409" s="234">
        <v>38.0</v>
      </c>
      <c r="F409" s="235">
        <v>69.0</v>
      </c>
      <c r="G409" s="235">
        <v>69.0</v>
      </c>
      <c r="H409" s="234">
        <v>38.0</v>
      </c>
      <c r="I409" s="235">
        <v>69.0</v>
      </c>
      <c r="J409" s="236">
        <v>1.0884943E7</v>
      </c>
      <c r="K409" s="11">
        <v>23.0</v>
      </c>
      <c r="L409" s="11">
        <v>0.0</v>
      </c>
      <c r="M409" s="237" t="str">
        <f t="shared" si="1"/>
        <v>0380690010884943230</v>
      </c>
      <c r="N409" s="238">
        <v>93473.46</v>
      </c>
      <c r="O409" s="110">
        <v>62522.0</v>
      </c>
      <c r="P409" s="11">
        <v>78.0</v>
      </c>
      <c r="Q409" s="239"/>
      <c r="R409" s="17">
        <v>50.0</v>
      </c>
    </row>
    <row r="410">
      <c r="A410" s="11">
        <v>15.0</v>
      </c>
      <c r="B410" s="11">
        <v>89.0</v>
      </c>
      <c r="C410" s="11">
        <v>7.0</v>
      </c>
      <c r="D410" s="11" t="s">
        <v>31</v>
      </c>
      <c r="E410" s="234">
        <v>19.0</v>
      </c>
      <c r="F410" s="235">
        <v>109.0</v>
      </c>
      <c r="G410" s="235">
        <v>109.0</v>
      </c>
      <c r="H410" s="234">
        <v>19.0</v>
      </c>
      <c r="I410" s="235">
        <v>109.0</v>
      </c>
      <c r="J410" s="236">
        <v>2.1408738E7</v>
      </c>
      <c r="K410" s="11">
        <v>69.0</v>
      </c>
      <c r="L410" s="11">
        <v>1.0</v>
      </c>
      <c r="M410" s="237" t="str">
        <f t="shared" si="1"/>
        <v>0191090021408738691</v>
      </c>
      <c r="N410" s="238">
        <v>-72868.16</v>
      </c>
      <c r="O410" s="110">
        <v>20721.0</v>
      </c>
      <c r="P410" s="11">
        <v>79.0</v>
      </c>
      <c r="Q410" s="239"/>
      <c r="R410" s="17">
        <v>71.0</v>
      </c>
    </row>
    <row r="411">
      <c r="A411" s="11">
        <v>13.0</v>
      </c>
      <c r="B411" s="11">
        <v>48.0</v>
      </c>
      <c r="C411" s="11">
        <v>9.0</v>
      </c>
      <c r="D411" s="11" t="s">
        <v>5271</v>
      </c>
      <c r="E411" s="234">
        <v>53.0</v>
      </c>
      <c r="F411" s="235">
        <v>49.0</v>
      </c>
      <c r="G411" s="235">
        <v>49.0</v>
      </c>
      <c r="H411" s="234">
        <v>53.0</v>
      </c>
      <c r="I411" s="235">
        <v>49.0</v>
      </c>
      <c r="J411" s="236">
        <v>7.3644019E7</v>
      </c>
      <c r="K411" s="11">
        <v>33.0</v>
      </c>
      <c r="L411" s="11">
        <v>4.0</v>
      </c>
      <c r="M411" s="237" t="str">
        <f t="shared" si="1"/>
        <v>0530490073644019334</v>
      </c>
      <c r="N411" s="238">
        <v>46389.83</v>
      </c>
      <c r="O411" s="110">
        <v>10420.0</v>
      </c>
      <c r="P411" s="11">
        <v>70.0</v>
      </c>
      <c r="Q411" s="239"/>
      <c r="R411" s="17">
        <v>71.0</v>
      </c>
    </row>
    <row r="412">
      <c r="A412" s="11">
        <v>18.0</v>
      </c>
      <c r="B412" s="11">
        <v>69.0</v>
      </c>
      <c r="C412" s="11">
        <v>1.0</v>
      </c>
      <c r="D412" s="11" t="s">
        <v>5273</v>
      </c>
      <c r="E412" s="234">
        <v>18.0</v>
      </c>
      <c r="F412" s="235">
        <v>37.0</v>
      </c>
      <c r="G412" s="235">
        <v>37.0</v>
      </c>
      <c r="H412" s="234">
        <v>18.0</v>
      </c>
      <c r="I412" s="235">
        <v>37.0</v>
      </c>
      <c r="J412" s="236">
        <v>6.2494024E7</v>
      </c>
      <c r="K412" s="11">
        <v>92.0</v>
      </c>
      <c r="L412" s="11">
        <v>7.0</v>
      </c>
      <c r="M412" s="237" t="str">
        <f t="shared" si="1"/>
        <v>0180370062494024927</v>
      </c>
      <c r="N412" s="238">
        <v>-94292.05</v>
      </c>
      <c r="O412" s="110">
        <v>91419.0</v>
      </c>
      <c r="P412" s="11">
        <v>70.0</v>
      </c>
      <c r="Q412" s="239"/>
      <c r="R412" s="17">
        <v>91.0</v>
      </c>
    </row>
    <row r="413">
      <c r="A413" s="11">
        <v>15.0</v>
      </c>
      <c r="B413" s="11">
        <v>89.0</v>
      </c>
      <c r="C413" s="11">
        <v>7.0</v>
      </c>
      <c r="D413" s="11" t="s">
        <v>29</v>
      </c>
      <c r="E413" s="234">
        <v>37.0</v>
      </c>
      <c r="F413" s="235">
        <v>43.0</v>
      </c>
      <c r="G413" s="235">
        <v>43.0</v>
      </c>
      <c r="H413" s="234">
        <v>37.0</v>
      </c>
      <c r="I413" s="235">
        <v>43.0</v>
      </c>
      <c r="J413" s="236">
        <v>5.2228028E7</v>
      </c>
      <c r="K413" s="11">
        <v>25.0</v>
      </c>
      <c r="L413" s="11">
        <v>0.0</v>
      </c>
      <c r="M413" s="237" t="str">
        <f t="shared" si="1"/>
        <v>0370430052228028250</v>
      </c>
      <c r="N413" s="238">
        <v>-25430.84</v>
      </c>
      <c r="O413" s="110">
        <v>110919.0</v>
      </c>
      <c r="P413" s="11">
        <v>71.0</v>
      </c>
      <c r="Q413" s="239"/>
      <c r="R413" s="17">
        <v>91.0</v>
      </c>
    </row>
    <row r="414">
      <c r="A414" s="11">
        <v>14.0</v>
      </c>
      <c r="B414" s="11">
        <v>28.0</v>
      </c>
      <c r="C414" s="11">
        <v>8.0</v>
      </c>
      <c r="D414" s="11" t="s">
        <v>31</v>
      </c>
      <c r="E414" s="234">
        <v>48.0</v>
      </c>
      <c r="F414" s="235">
        <v>129.0</v>
      </c>
      <c r="G414" s="235">
        <v>129.0</v>
      </c>
      <c r="H414" s="234">
        <v>48.0</v>
      </c>
      <c r="I414" s="235">
        <v>129.0</v>
      </c>
      <c r="J414" s="236">
        <v>3.2721506E7</v>
      </c>
      <c r="K414" s="11">
        <v>96.0</v>
      </c>
      <c r="L414" s="11">
        <v>5.0</v>
      </c>
      <c r="M414" s="237" t="str">
        <f t="shared" si="1"/>
        <v>0481290032721506965</v>
      </c>
      <c r="N414" s="238">
        <v>-95764.39</v>
      </c>
      <c r="O414" s="110">
        <v>73119.0</v>
      </c>
      <c r="P414" s="11">
        <v>72.0</v>
      </c>
      <c r="Q414" s="239"/>
      <c r="R414" s="17">
        <v>91.0</v>
      </c>
    </row>
    <row r="415">
      <c r="A415" s="11">
        <v>17.0</v>
      </c>
      <c r="B415" s="11">
        <v>48.0</v>
      </c>
      <c r="C415" s="11">
        <v>4.0</v>
      </c>
      <c r="D415" s="11" t="s">
        <v>39</v>
      </c>
      <c r="E415" s="234">
        <v>54.0</v>
      </c>
      <c r="F415" s="235">
        <v>65.0</v>
      </c>
      <c r="G415" s="235">
        <v>65.0</v>
      </c>
      <c r="H415" s="234">
        <v>54.0</v>
      </c>
      <c r="I415" s="235">
        <v>65.0</v>
      </c>
      <c r="J415" s="236">
        <v>7.505108E7</v>
      </c>
      <c r="K415" s="11">
        <v>20.0</v>
      </c>
      <c r="L415" s="11">
        <v>8.0</v>
      </c>
      <c r="M415" s="237" t="str">
        <f t="shared" si="1"/>
        <v>0540650075051080208</v>
      </c>
      <c r="N415" s="238">
        <v>37358.05</v>
      </c>
      <c r="O415" s="110">
        <v>30922.0</v>
      </c>
      <c r="P415" s="11">
        <v>71.0</v>
      </c>
      <c r="Q415" s="239"/>
      <c r="R415" s="17">
        <v>30.0</v>
      </c>
    </row>
    <row r="416">
      <c r="A416" s="11">
        <v>16.0</v>
      </c>
      <c r="B416" s="11">
        <v>89.0</v>
      </c>
      <c r="C416" s="11">
        <v>3.0</v>
      </c>
      <c r="D416" s="11" t="s">
        <v>5272</v>
      </c>
      <c r="E416" s="234">
        <v>51.0</v>
      </c>
      <c r="F416" s="235">
        <v>59.0</v>
      </c>
      <c r="G416" s="235">
        <v>59.0</v>
      </c>
      <c r="H416" s="234">
        <v>51.0</v>
      </c>
      <c r="I416" s="235">
        <v>59.0</v>
      </c>
      <c r="J416" s="236">
        <v>9.8433932E7</v>
      </c>
      <c r="K416" s="11">
        <v>75.0</v>
      </c>
      <c r="L416" s="11">
        <v>4.0</v>
      </c>
      <c r="M416" s="237" t="str">
        <f t="shared" si="1"/>
        <v>0510590098433932754</v>
      </c>
      <c r="N416" s="238">
        <v>85079.12</v>
      </c>
      <c r="O416" s="110">
        <v>51821.0</v>
      </c>
      <c r="P416" s="11">
        <v>72.0</v>
      </c>
      <c r="Q416" s="239"/>
      <c r="R416" s="17">
        <v>30.0</v>
      </c>
    </row>
    <row r="417">
      <c r="A417" s="11">
        <v>18.0</v>
      </c>
      <c r="B417" s="11">
        <v>69.0</v>
      </c>
      <c r="C417" s="11">
        <v>2.0</v>
      </c>
      <c r="D417" s="11" t="s">
        <v>5273</v>
      </c>
      <c r="E417" s="234">
        <v>21.0</v>
      </c>
      <c r="F417" s="235">
        <v>161.0</v>
      </c>
      <c r="G417" s="235">
        <v>161.0</v>
      </c>
      <c r="H417" s="234">
        <v>21.0</v>
      </c>
      <c r="I417" s="235">
        <v>161.0</v>
      </c>
      <c r="J417" s="236">
        <v>4.4999401E7</v>
      </c>
      <c r="K417" s="11">
        <v>7.0</v>
      </c>
      <c r="L417" s="11">
        <v>7.0</v>
      </c>
      <c r="M417" s="237" t="str">
        <f t="shared" si="1"/>
        <v>021161004499940177</v>
      </c>
      <c r="N417" s="238">
        <v>-77160.25</v>
      </c>
      <c r="O417" s="110">
        <v>61719.0</v>
      </c>
      <c r="P417" s="11">
        <v>75.0</v>
      </c>
      <c r="Q417" s="239"/>
      <c r="R417" s="17">
        <v>30.0</v>
      </c>
    </row>
    <row r="418">
      <c r="A418" s="11">
        <v>18.0</v>
      </c>
      <c r="B418" s="11">
        <v>28.0</v>
      </c>
      <c r="C418" s="11">
        <v>2.0</v>
      </c>
      <c r="D418" s="11" t="s">
        <v>5271</v>
      </c>
      <c r="E418" s="234">
        <v>48.0</v>
      </c>
      <c r="F418" s="235">
        <v>157.0</v>
      </c>
      <c r="G418" s="235">
        <v>157.0</v>
      </c>
      <c r="H418" s="234">
        <v>48.0</v>
      </c>
      <c r="I418" s="235">
        <v>157.0</v>
      </c>
      <c r="J418" s="236">
        <v>3.7775487E7</v>
      </c>
      <c r="K418" s="11">
        <v>77.0</v>
      </c>
      <c r="L418" s="11">
        <v>9.0</v>
      </c>
      <c r="M418" s="237" t="str">
        <f t="shared" si="1"/>
        <v>0481570037775487779</v>
      </c>
      <c r="N418" s="238">
        <v>-63537.56</v>
      </c>
      <c r="O418" s="110">
        <v>31213.0</v>
      </c>
      <c r="P418" s="11">
        <v>78.0</v>
      </c>
      <c r="Q418" s="239"/>
      <c r="R418" s="17">
        <v>91.0</v>
      </c>
    </row>
    <row r="419">
      <c r="A419" s="11">
        <v>20.0</v>
      </c>
      <c r="B419" s="11">
        <v>28.0</v>
      </c>
      <c r="C419" s="11">
        <v>6.0</v>
      </c>
      <c r="D419" s="11" t="s">
        <v>5273</v>
      </c>
      <c r="E419" s="234">
        <v>17.0</v>
      </c>
      <c r="F419" s="235">
        <v>17.0</v>
      </c>
      <c r="G419" s="235">
        <v>17.0</v>
      </c>
      <c r="H419" s="234">
        <v>17.0</v>
      </c>
      <c r="I419" s="235">
        <v>17.0</v>
      </c>
      <c r="J419" s="236">
        <v>7.2817458E7</v>
      </c>
      <c r="K419" s="11">
        <v>60.0</v>
      </c>
      <c r="L419" s="11">
        <v>2.0</v>
      </c>
      <c r="M419" s="237" t="str">
        <f t="shared" si="1"/>
        <v>0170170072817458602</v>
      </c>
      <c r="N419" s="238">
        <v>-17224.0</v>
      </c>
      <c r="O419" s="110">
        <v>80720.0</v>
      </c>
      <c r="P419" s="11">
        <v>76.0</v>
      </c>
      <c r="Q419" s="239"/>
      <c r="R419" s="17">
        <v>30.0</v>
      </c>
    </row>
    <row r="420">
      <c r="A420" s="11">
        <v>11.0</v>
      </c>
      <c r="B420" s="11">
        <v>69.0</v>
      </c>
      <c r="C420" s="11">
        <v>5.0</v>
      </c>
      <c r="D420" s="11" t="s">
        <v>5271</v>
      </c>
      <c r="E420" s="234">
        <v>37.0</v>
      </c>
      <c r="F420" s="235">
        <v>155.0</v>
      </c>
      <c r="G420" s="235">
        <v>155.0</v>
      </c>
      <c r="H420" s="234">
        <v>37.0</v>
      </c>
      <c r="I420" s="235">
        <v>155.0</v>
      </c>
      <c r="J420" s="236">
        <v>6.7213653E7</v>
      </c>
      <c r="K420" s="11">
        <v>15.0</v>
      </c>
      <c r="L420" s="11">
        <v>6.0</v>
      </c>
      <c r="M420" s="237" t="str">
        <f t="shared" si="1"/>
        <v>0371550067213653156</v>
      </c>
      <c r="N420" s="238">
        <v>-44383.44</v>
      </c>
      <c r="O420" s="110">
        <v>72123.0</v>
      </c>
      <c r="P420" s="11">
        <v>76.0</v>
      </c>
      <c r="Q420" s="239"/>
      <c r="R420" s="17">
        <v>30.0</v>
      </c>
    </row>
    <row r="421">
      <c r="A421" s="11">
        <v>14.0</v>
      </c>
      <c r="B421" s="11">
        <v>28.0</v>
      </c>
      <c r="C421" s="11">
        <v>1.0</v>
      </c>
      <c r="D421" s="11" t="s">
        <v>31</v>
      </c>
      <c r="E421" s="234">
        <v>47.0</v>
      </c>
      <c r="F421" s="235">
        <v>67.0</v>
      </c>
      <c r="G421" s="235">
        <v>67.0</v>
      </c>
      <c r="H421" s="234">
        <v>47.0</v>
      </c>
      <c r="I421" s="235">
        <v>67.0</v>
      </c>
      <c r="J421" s="236">
        <v>5.6331842E7</v>
      </c>
      <c r="K421" s="11">
        <v>93.0</v>
      </c>
      <c r="L421" s="11">
        <v>4.0</v>
      </c>
      <c r="M421" s="237" t="str">
        <f t="shared" si="1"/>
        <v>0470670056331842934</v>
      </c>
      <c r="N421" s="238">
        <v>-67832.45</v>
      </c>
      <c r="O421" s="110">
        <v>82523.0</v>
      </c>
      <c r="P421" s="11">
        <v>73.0</v>
      </c>
      <c r="Q421" s="239"/>
      <c r="R421" s="17">
        <v>91.0</v>
      </c>
    </row>
    <row r="422">
      <c r="A422" s="11">
        <v>14.0</v>
      </c>
      <c r="B422" s="11">
        <v>28.0</v>
      </c>
      <c r="C422" s="11">
        <v>7.0</v>
      </c>
      <c r="D422" s="11" t="s">
        <v>5273</v>
      </c>
      <c r="E422" s="234">
        <v>6.0</v>
      </c>
      <c r="F422" s="235">
        <v>113.0</v>
      </c>
      <c r="G422" s="235">
        <v>113.0</v>
      </c>
      <c r="H422" s="234">
        <v>6.0</v>
      </c>
      <c r="I422" s="235">
        <v>113.0</v>
      </c>
      <c r="J422" s="236">
        <v>4.7281287E7</v>
      </c>
      <c r="K422" s="11">
        <v>65.0</v>
      </c>
      <c r="L422" s="11">
        <v>9.0</v>
      </c>
      <c r="M422" s="237" t="str">
        <f t="shared" si="1"/>
        <v>061130047281287659</v>
      </c>
      <c r="N422" s="238">
        <v>62770.73</v>
      </c>
      <c r="O422" s="110">
        <v>61815.0</v>
      </c>
      <c r="P422" s="11">
        <v>75.0</v>
      </c>
      <c r="Q422" s="239"/>
      <c r="R422" s="17">
        <v>50.0</v>
      </c>
    </row>
    <row r="423">
      <c r="A423" s="11">
        <v>14.0</v>
      </c>
      <c r="B423" s="11">
        <v>28.0</v>
      </c>
      <c r="C423" s="11">
        <v>6.0</v>
      </c>
      <c r="D423" s="11" t="s">
        <v>5273</v>
      </c>
      <c r="E423" s="234">
        <v>21.0</v>
      </c>
      <c r="F423" s="235">
        <v>47.0</v>
      </c>
      <c r="G423" s="235">
        <v>47.0</v>
      </c>
      <c r="H423" s="234">
        <v>21.0</v>
      </c>
      <c r="I423" s="235">
        <v>47.0</v>
      </c>
      <c r="J423" s="236">
        <v>6.8027254E7</v>
      </c>
      <c r="K423" s="11">
        <v>98.0</v>
      </c>
      <c r="L423" s="11">
        <v>6.0</v>
      </c>
      <c r="M423" s="237" t="str">
        <f t="shared" si="1"/>
        <v>0210470068027254986</v>
      </c>
      <c r="N423" s="238">
        <v>90148.62</v>
      </c>
      <c r="O423" s="110">
        <v>40516.0</v>
      </c>
      <c r="P423" s="11">
        <v>80.0</v>
      </c>
      <c r="Q423" s="239"/>
      <c r="R423" s="17">
        <v>91.0</v>
      </c>
    </row>
    <row r="424">
      <c r="A424" s="11">
        <v>15.0</v>
      </c>
      <c r="B424" s="11">
        <v>28.0</v>
      </c>
      <c r="C424" s="11">
        <v>5.0</v>
      </c>
      <c r="D424" s="11" t="s">
        <v>5271</v>
      </c>
      <c r="E424" s="234">
        <v>42.0</v>
      </c>
      <c r="F424" s="235">
        <v>53.0</v>
      </c>
      <c r="G424" s="235">
        <v>53.0</v>
      </c>
      <c r="H424" s="234">
        <v>42.0</v>
      </c>
      <c r="I424" s="235">
        <v>53.0</v>
      </c>
      <c r="J424" s="236">
        <v>4.4089839E7</v>
      </c>
      <c r="K424" s="11">
        <v>30.0</v>
      </c>
      <c r="L424" s="11">
        <v>8.0</v>
      </c>
      <c r="M424" s="237" t="str">
        <f t="shared" si="1"/>
        <v>0420530044089839308</v>
      </c>
      <c r="N424" s="238">
        <v>30531.05</v>
      </c>
      <c r="O424" s="110">
        <v>100219.0</v>
      </c>
      <c r="P424" s="11">
        <v>77.0</v>
      </c>
      <c r="Q424" s="239"/>
      <c r="R424" s="17">
        <v>91.0</v>
      </c>
    </row>
    <row r="425">
      <c r="A425" s="11">
        <v>12.0</v>
      </c>
      <c r="B425" s="11">
        <v>28.0</v>
      </c>
      <c r="C425" s="11">
        <v>4.0</v>
      </c>
      <c r="D425" s="11" t="s">
        <v>29</v>
      </c>
      <c r="E425" s="234">
        <v>42.0</v>
      </c>
      <c r="F425" s="235">
        <v>77.0</v>
      </c>
      <c r="G425" s="235">
        <v>77.0</v>
      </c>
      <c r="H425" s="234">
        <v>42.0</v>
      </c>
      <c r="I425" s="235">
        <v>77.0</v>
      </c>
      <c r="J425" s="236">
        <v>5.8912476E7</v>
      </c>
      <c r="K425" s="11">
        <v>88.0</v>
      </c>
      <c r="L425" s="11">
        <v>5.0</v>
      </c>
      <c r="M425" s="237" t="str">
        <f t="shared" si="1"/>
        <v>0420770058912476885</v>
      </c>
      <c r="N425" s="238">
        <v>-35871.22</v>
      </c>
      <c r="O425" s="110">
        <v>81415.0</v>
      </c>
      <c r="P425" s="11">
        <v>78.0</v>
      </c>
      <c r="Q425" s="239"/>
      <c r="R425" s="17">
        <v>30.0</v>
      </c>
    </row>
    <row r="426">
      <c r="A426" s="11">
        <v>16.0</v>
      </c>
      <c r="B426" s="11">
        <v>69.0</v>
      </c>
      <c r="C426" s="11">
        <v>9.0</v>
      </c>
      <c r="D426" s="11" t="s">
        <v>29</v>
      </c>
      <c r="E426" s="234">
        <v>31.0</v>
      </c>
      <c r="F426" s="235">
        <v>83.0</v>
      </c>
      <c r="G426" s="235">
        <v>83.0</v>
      </c>
      <c r="H426" s="234">
        <v>31.0</v>
      </c>
      <c r="I426" s="235">
        <v>83.0</v>
      </c>
      <c r="J426" s="236">
        <v>3.009384E7</v>
      </c>
      <c r="K426" s="11">
        <v>49.0</v>
      </c>
      <c r="L426" s="11">
        <v>1.0</v>
      </c>
      <c r="M426" s="237" t="str">
        <f t="shared" si="1"/>
        <v>0310830030093840491</v>
      </c>
      <c r="N426" s="238">
        <v>-94437.9</v>
      </c>
      <c r="O426" s="110">
        <v>71117.0</v>
      </c>
      <c r="P426" s="11">
        <v>74.0</v>
      </c>
      <c r="Q426" s="239"/>
      <c r="R426" s="17">
        <v>71.0</v>
      </c>
    </row>
    <row r="427">
      <c r="A427" s="11">
        <v>18.0</v>
      </c>
      <c r="B427" s="11">
        <v>49.0</v>
      </c>
      <c r="C427" s="11">
        <v>9.0</v>
      </c>
      <c r="D427" s="11" t="s">
        <v>31</v>
      </c>
      <c r="E427" s="234">
        <v>46.0</v>
      </c>
      <c r="F427" s="235">
        <v>127.0</v>
      </c>
      <c r="G427" s="235">
        <v>127.0</v>
      </c>
      <c r="H427" s="234">
        <v>46.0</v>
      </c>
      <c r="I427" s="235">
        <v>127.0</v>
      </c>
      <c r="J427" s="236">
        <v>8.439842E7</v>
      </c>
      <c r="K427" s="11">
        <v>95.0</v>
      </c>
      <c r="L427" s="11">
        <v>1.0</v>
      </c>
      <c r="M427" s="237" t="str">
        <f t="shared" si="1"/>
        <v>0461270084398420951</v>
      </c>
      <c r="N427" s="238">
        <v>-43946.31</v>
      </c>
      <c r="O427" s="110">
        <v>41517.0</v>
      </c>
      <c r="P427" s="11">
        <v>80.0</v>
      </c>
      <c r="Q427" s="239"/>
      <c r="R427" s="17">
        <v>91.0</v>
      </c>
    </row>
    <row r="428">
      <c r="A428" s="11">
        <v>10.0</v>
      </c>
      <c r="B428" s="11">
        <v>28.0</v>
      </c>
      <c r="C428" s="11">
        <v>4.0</v>
      </c>
      <c r="D428" s="11" t="s">
        <v>5273</v>
      </c>
      <c r="E428" s="234">
        <v>19.0</v>
      </c>
      <c r="F428" s="235">
        <v>89.0</v>
      </c>
      <c r="G428" s="235">
        <v>89.0</v>
      </c>
      <c r="H428" s="234">
        <v>19.0</v>
      </c>
      <c r="I428" s="235">
        <v>89.0</v>
      </c>
      <c r="J428" s="236">
        <v>6.8363689E7</v>
      </c>
      <c r="K428" s="11">
        <v>27.0</v>
      </c>
      <c r="L428" s="11">
        <v>8.0</v>
      </c>
      <c r="M428" s="237" t="str">
        <f t="shared" si="1"/>
        <v>0190890068363689278</v>
      </c>
      <c r="N428" s="238">
        <v>-23757.07</v>
      </c>
      <c r="O428" s="110">
        <v>92717.0</v>
      </c>
      <c r="P428" s="11">
        <v>71.0</v>
      </c>
      <c r="Q428" s="239"/>
      <c r="R428" s="17">
        <v>50.0</v>
      </c>
    </row>
    <row r="429">
      <c r="A429" s="11">
        <v>19.0</v>
      </c>
      <c r="B429" s="11">
        <v>69.0</v>
      </c>
      <c r="C429" s="11">
        <v>1.0</v>
      </c>
      <c r="D429" s="11" t="s">
        <v>29</v>
      </c>
      <c r="E429" s="234">
        <v>21.0</v>
      </c>
      <c r="F429" s="235">
        <v>31.0</v>
      </c>
      <c r="G429" s="235">
        <v>31.0</v>
      </c>
      <c r="H429" s="234">
        <v>21.0</v>
      </c>
      <c r="I429" s="235">
        <v>31.0</v>
      </c>
      <c r="J429" s="236">
        <v>7.368558E7</v>
      </c>
      <c r="K429" s="11">
        <v>63.0</v>
      </c>
      <c r="L429" s="11">
        <v>5.0</v>
      </c>
      <c r="M429" s="237" t="str">
        <f t="shared" si="1"/>
        <v>0210310073685580635</v>
      </c>
      <c r="N429" s="238">
        <v>15318.59</v>
      </c>
      <c r="O429" s="110">
        <v>62617.0</v>
      </c>
      <c r="P429" s="11">
        <v>75.0</v>
      </c>
      <c r="Q429" s="239"/>
      <c r="R429" s="17">
        <v>71.0</v>
      </c>
    </row>
    <row r="430">
      <c r="A430" s="11">
        <v>16.0</v>
      </c>
      <c r="B430" s="11">
        <v>49.0</v>
      </c>
      <c r="C430" s="11">
        <v>1.0</v>
      </c>
      <c r="D430" s="11" t="s">
        <v>29</v>
      </c>
      <c r="E430" s="234">
        <v>29.0</v>
      </c>
      <c r="F430" s="235">
        <v>37.0</v>
      </c>
      <c r="G430" s="235">
        <v>37.0</v>
      </c>
      <c r="H430" s="234">
        <v>29.0</v>
      </c>
      <c r="I430" s="235">
        <v>37.0</v>
      </c>
      <c r="J430" s="236">
        <v>6.7710659E7</v>
      </c>
      <c r="K430" s="11">
        <v>30.0</v>
      </c>
      <c r="L430" s="11">
        <v>3.0</v>
      </c>
      <c r="M430" s="237" t="str">
        <f t="shared" si="1"/>
        <v>0290370067710659303</v>
      </c>
      <c r="N430" s="238">
        <v>53523.54</v>
      </c>
      <c r="O430" s="110">
        <v>21616.0</v>
      </c>
      <c r="P430" s="11">
        <v>75.0</v>
      </c>
      <c r="Q430" s="239"/>
      <c r="R430" s="17">
        <v>30.0</v>
      </c>
    </row>
    <row r="431">
      <c r="A431" s="11">
        <v>17.0</v>
      </c>
      <c r="B431" s="11">
        <v>49.0</v>
      </c>
      <c r="C431" s="11">
        <v>8.0</v>
      </c>
      <c r="D431" s="11" t="s">
        <v>5272</v>
      </c>
      <c r="E431" s="234">
        <v>32.0</v>
      </c>
      <c r="F431" s="235">
        <v>13.0</v>
      </c>
      <c r="G431" s="235">
        <v>13.0</v>
      </c>
      <c r="H431" s="234">
        <v>32.0</v>
      </c>
      <c r="I431" s="235">
        <v>13.0</v>
      </c>
      <c r="J431" s="236">
        <v>8.7481737E7</v>
      </c>
      <c r="K431" s="11">
        <v>25.0</v>
      </c>
      <c r="L431" s="11">
        <v>0.0</v>
      </c>
      <c r="M431" s="237" t="str">
        <f t="shared" si="1"/>
        <v>0320130087481737250</v>
      </c>
      <c r="N431" s="238">
        <v>64580.76</v>
      </c>
      <c r="O431" s="110">
        <v>92822.0</v>
      </c>
      <c r="P431" s="11">
        <v>75.0</v>
      </c>
      <c r="Q431" s="239"/>
      <c r="R431" s="17">
        <v>10.0</v>
      </c>
    </row>
    <row r="432">
      <c r="A432" s="11">
        <v>14.0</v>
      </c>
      <c r="B432" s="11">
        <v>69.0</v>
      </c>
      <c r="C432" s="11">
        <v>6.0</v>
      </c>
      <c r="D432" s="11" t="s">
        <v>5273</v>
      </c>
      <c r="E432" s="234">
        <v>36.0</v>
      </c>
      <c r="F432" s="235">
        <v>83.0</v>
      </c>
      <c r="G432" s="235">
        <v>83.0</v>
      </c>
      <c r="H432" s="234">
        <v>36.0</v>
      </c>
      <c r="I432" s="235">
        <v>83.0</v>
      </c>
      <c r="J432" s="236">
        <v>3.6326256E7</v>
      </c>
      <c r="K432" s="11">
        <v>97.0</v>
      </c>
      <c r="L432" s="11">
        <v>8.0</v>
      </c>
      <c r="M432" s="237" t="str">
        <f t="shared" si="1"/>
        <v>0360830036326256978</v>
      </c>
      <c r="N432" s="238">
        <v>28810.99</v>
      </c>
      <c r="O432" s="110">
        <v>121417.0</v>
      </c>
      <c r="P432" s="11">
        <v>71.0</v>
      </c>
      <c r="Q432" s="239"/>
      <c r="R432" s="17">
        <v>10.0</v>
      </c>
    </row>
    <row r="433">
      <c r="A433" s="11">
        <v>18.0</v>
      </c>
      <c r="B433" s="11">
        <v>49.0</v>
      </c>
      <c r="C433" s="11">
        <v>7.0</v>
      </c>
      <c r="D433" s="11" t="s">
        <v>5273</v>
      </c>
      <c r="E433" s="234">
        <v>20.0</v>
      </c>
      <c r="F433" s="235">
        <v>175.0</v>
      </c>
      <c r="G433" s="235">
        <v>175.0</v>
      </c>
      <c r="H433" s="234">
        <v>20.0</v>
      </c>
      <c r="I433" s="235">
        <v>175.0</v>
      </c>
      <c r="J433" s="236">
        <v>2.801149E7</v>
      </c>
      <c r="K433" s="11">
        <v>16.0</v>
      </c>
      <c r="L433" s="11">
        <v>6.0</v>
      </c>
      <c r="M433" s="237" t="str">
        <f t="shared" si="1"/>
        <v>0201750028011490166</v>
      </c>
      <c r="N433" s="238">
        <v>-43947.49</v>
      </c>
      <c r="O433" s="110">
        <v>20322.0</v>
      </c>
      <c r="P433" s="11">
        <v>79.0</v>
      </c>
      <c r="Q433" s="239"/>
      <c r="R433" s="17">
        <v>91.0</v>
      </c>
    </row>
    <row r="434">
      <c r="A434" s="11">
        <v>15.0</v>
      </c>
      <c r="B434" s="11">
        <v>49.0</v>
      </c>
      <c r="C434" s="11">
        <v>7.0</v>
      </c>
      <c r="D434" s="11" t="s">
        <v>29</v>
      </c>
      <c r="E434" s="234">
        <v>42.0</v>
      </c>
      <c r="F434" s="235">
        <v>35.0</v>
      </c>
      <c r="G434" s="235">
        <v>35.0</v>
      </c>
      <c r="H434" s="234">
        <v>42.0</v>
      </c>
      <c r="I434" s="235">
        <v>35.0</v>
      </c>
      <c r="J434" s="236">
        <v>1.4755012E7</v>
      </c>
      <c r="K434" s="11">
        <v>18.0</v>
      </c>
      <c r="L434" s="11">
        <v>5.0</v>
      </c>
      <c r="M434" s="237" t="str">
        <f t="shared" si="1"/>
        <v>0420350014755012185</v>
      </c>
      <c r="N434" s="238">
        <v>-69505.67</v>
      </c>
      <c r="O434" s="110">
        <v>102720.0</v>
      </c>
      <c r="P434" s="11">
        <v>78.0</v>
      </c>
      <c r="Q434" s="239"/>
      <c r="R434" s="17">
        <v>30.0</v>
      </c>
    </row>
    <row r="435">
      <c r="A435" s="11">
        <v>17.0</v>
      </c>
      <c r="B435" s="11">
        <v>49.0</v>
      </c>
      <c r="C435" s="11">
        <v>2.0</v>
      </c>
      <c r="D435" s="11" t="s">
        <v>31</v>
      </c>
      <c r="E435" s="234">
        <v>54.0</v>
      </c>
      <c r="F435" s="235">
        <v>85.0</v>
      </c>
      <c r="G435" s="235">
        <v>85.0</v>
      </c>
      <c r="H435" s="234">
        <v>54.0</v>
      </c>
      <c r="I435" s="235">
        <v>85.0</v>
      </c>
      <c r="J435" s="236">
        <v>9.0277293E7</v>
      </c>
      <c r="K435" s="11">
        <v>69.0</v>
      </c>
      <c r="L435" s="11">
        <v>9.0</v>
      </c>
      <c r="M435" s="237" t="str">
        <f t="shared" si="1"/>
        <v>0540850090277293699</v>
      </c>
      <c r="N435" s="238">
        <v>45520.35</v>
      </c>
      <c r="O435" s="110">
        <v>11222.0</v>
      </c>
      <c r="P435" s="11">
        <v>73.0</v>
      </c>
      <c r="Q435" s="239"/>
      <c r="R435" s="17">
        <v>92.0</v>
      </c>
    </row>
    <row r="436">
      <c r="A436" s="11">
        <v>11.0</v>
      </c>
      <c r="B436" s="11">
        <v>28.0</v>
      </c>
      <c r="C436" s="11">
        <v>6.0</v>
      </c>
      <c r="D436" s="11" t="s">
        <v>5273</v>
      </c>
      <c r="E436" s="234">
        <v>37.0</v>
      </c>
      <c r="F436" s="235">
        <v>29.0</v>
      </c>
      <c r="G436" s="235">
        <v>29.0</v>
      </c>
      <c r="H436" s="234">
        <v>37.0</v>
      </c>
      <c r="I436" s="235">
        <v>29.0</v>
      </c>
      <c r="J436" s="236">
        <v>9.3169516E7</v>
      </c>
      <c r="K436" s="11">
        <v>80.0</v>
      </c>
      <c r="L436" s="11">
        <v>2.0</v>
      </c>
      <c r="M436" s="237" t="str">
        <f t="shared" si="1"/>
        <v>0370290093169516802</v>
      </c>
      <c r="N436" s="238">
        <v>1908.56</v>
      </c>
      <c r="O436" s="110">
        <v>112717.0</v>
      </c>
      <c r="P436" s="11">
        <v>76.0</v>
      </c>
      <c r="Q436" s="239"/>
      <c r="R436" s="17">
        <v>30.0</v>
      </c>
    </row>
    <row r="437">
      <c r="A437" s="11">
        <v>13.0</v>
      </c>
      <c r="B437" s="11">
        <v>28.0</v>
      </c>
      <c r="C437" s="11">
        <v>8.0</v>
      </c>
      <c r="D437" s="11" t="s">
        <v>31</v>
      </c>
      <c r="E437" s="234">
        <v>51.0</v>
      </c>
      <c r="F437" s="235">
        <v>530.0</v>
      </c>
      <c r="G437" s="235">
        <v>530.0</v>
      </c>
      <c r="H437" s="234">
        <v>51.0</v>
      </c>
      <c r="I437" s="235">
        <v>530.0</v>
      </c>
      <c r="J437" s="236">
        <v>7.1482491E7</v>
      </c>
      <c r="K437" s="11">
        <v>11.0</v>
      </c>
      <c r="L437" s="11">
        <v>1.0</v>
      </c>
      <c r="M437" s="237" t="str">
        <f t="shared" si="1"/>
        <v>0515300071482491111</v>
      </c>
      <c r="N437" s="238">
        <v>-96736.94</v>
      </c>
      <c r="O437" s="110">
        <v>11322.0</v>
      </c>
      <c r="P437" s="11">
        <v>80.0</v>
      </c>
      <c r="Q437" s="239"/>
      <c r="R437" s="17">
        <v>30.0</v>
      </c>
    </row>
    <row r="438">
      <c r="A438" s="11">
        <v>20.0</v>
      </c>
      <c r="B438" s="11">
        <v>69.0</v>
      </c>
      <c r="C438" s="11">
        <v>2.0</v>
      </c>
      <c r="D438" s="11" t="s">
        <v>29</v>
      </c>
      <c r="E438" s="234">
        <v>48.0</v>
      </c>
      <c r="F438" s="235">
        <v>351.0</v>
      </c>
      <c r="G438" s="235">
        <v>351.0</v>
      </c>
      <c r="H438" s="234">
        <v>48.0</v>
      </c>
      <c r="I438" s="235">
        <v>351.0</v>
      </c>
      <c r="J438" s="236">
        <v>3.0651942E7</v>
      </c>
      <c r="K438" s="11">
        <v>25.0</v>
      </c>
      <c r="L438" s="11">
        <v>8.0</v>
      </c>
      <c r="M438" s="237" t="str">
        <f t="shared" si="1"/>
        <v>0483510030651942258</v>
      </c>
      <c r="N438" s="238">
        <v>18858.49</v>
      </c>
      <c r="O438" s="110">
        <v>70721.0</v>
      </c>
      <c r="P438" s="11">
        <v>76.0</v>
      </c>
      <c r="Q438" s="239"/>
      <c r="R438" s="17">
        <v>71.0</v>
      </c>
    </row>
    <row r="439">
      <c r="A439" s="11">
        <v>12.0</v>
      </c>
      <c r="B439" s="11">
        <v>69.0</v>
      </c>
      <c r="C439" s="11">
        <v>4.0</v>
      </c>
      <c r="D439" s="11" t="s">
        <v>5271</v>
      </c>
      <c r="E439" s="234">
        <v>38.0</v>
      </c>
      <c r="F439" s="235">
        <v>9.0</v>
      </c>
      <c r="G439" s="235">
        <v>9.0</v>
      </c>
      <c r="H439" s="234">
        <v>38.0</v>
      </c>
      <c r="I439" s="235">
        <v>9.0</v>
      </c>
      <c r="J439" s="236">
        <v>5.4505715E7</v>
      </c>
      <c r="K439" s="11">
        <v>84.0</v>
      </c>
      <c r="L439" s="11">
        <v>5.0</v>
      </c>
      <c r="M439" s="237" t="str">
        <f t="shared" si="1"/>
        <v>0380090054505715845</v>
      </c>
      <c r="N439" s="238">
        <v>9741.63</v>
      </c>
      <c r="O439" s="110">
        <v>30721.0</v>
      </c>
      <c r="P439" s="11">
        <v>70.0</v>
      </c>
      <c r="Q439" s="239"/>
      <c r="R439" s="17">
        <v>92.0</v>
      </c>
    </row>
    <row r="440">
      <c r="A440" s="11">
        <v>19.0</v>
      </c>
      <c r="B440" s="11">
        <v>49.0</v>
      </c>
      <c r="C440" s="11">
        <v>2.0</v>
      </c>
      <c r="D440" s="11" t="s">
        <v>5272</v>
      </c>
      <c r="E440" s="234">
        <v>42.0</v>
      </c>
      <c r="F440" s="235">
        <v>127.0</v>
      </c>
      <c r="G440" s="235">
        <v>127.0</v>
      </c>
      <c r="H440" s="234">
        <v>42.0</v>
      </c>
      <c r="I440" s="235">
        <v>127.0</v>
      </c>
      <c r="J440" s="236">
        <v>9.8954031E7</v>
      </c>
      <c r="K440" s="11">
        <v>33.0</v>
      </c>
      <c r="L440" s="11">
        <v>1.0</v>
      </c>
      <c r="M440" s="237" t="str">
        <f t="shared" si="1"/>
        <v>0421270098954031331</v>
      </c>
      <c r="N440" s="238">
        <v>78165.2</v>
      </c>
      <c r="O440" s="110">
        <v>31423.0</v>
      </c>
      <c r="P440" s="11">
        <v>71.0</v>
      </c>
      <c r="Q440" s="239"/>
      <c r="R440" s="17">
        <v>30.0</v>
      </c>
    </row>
    <row r="441">
      <c r="A441" s="11">
        <v>14.0</v>
      </c>
      <c r="B441" s="11">
        <v>69.0</v>
      </c>
      <c r="C441" s="11">
        <v>2.0</v>
      </c>
      <c r="D441" s="11" t="s">
        <v>29</v>
      </c>
      <c r="E441" s="234">
        <v>2.0</v>
      </c>
      <c r="F441" s="235">
        <v>13.0</v>
      </c>
      <c r="G441" s="235">
        <v>13.0</v>
      </c>
      <c r="H441" s="234">
        <v>2.0</v>
      </c>
      <c r="I441" s="235">
        <v>13.0</v>
      </c>
      <c r="J441" s="236">
        <v>1.9637079E7</v>
      </c>
      <c r="K441" s="11">
        <v>59.0</v>
      </c>
      <c r="L441" s="11">
        <v>6.0</v>
      </c>
      <c r="M441" s="237" t="str">
        <f t="shared" si="1"/>
        <v>020130019637079596</v>
      </c>
      <c r="N441" s="238">
        <v>-81408.46</v>
      </c>
      <c r="O441" s="110">
        <v>11420.0</v>
      </c>
      <c r="P441" s="11">
        <v>71.0</v>
      </c>
      <c r="Q441" s="239"/>
      <c r="R441" s="17">
        <v>10.0</v>
      </c>
    </row>
    <row r="442">
      <c r="A442" s="11">
        <v>13.0</v>
      </c>
      <c r="B442" s="11">
        <v>49.0</v>
      </c>
      <c r="C442" s="11">
        <v>6.0</v>
      </c>
      <c r="D442" s="11" t="s">
        <v>39</v>
      </c>
      <c r="E442" s="234">
        <v>29.0</v>
      </c>
      <c r="F442" s="235">
        <v>97.0</v>
      </c>
      <c r="G442" s="235">
        <v>97.0</v>
      </c>
      <c r="H442" s="234">
        <v>29.0</v>
      </c>
      <c r="I442" s="235">
        <v>97.0</v>
      </c>
      <c r="J442" s="236">
        <v>1.0417563E7</v>
      </c>
      <c r="K442" s="11">
        <v>44.0</v>
      </c>
      <c r="L442" s="11">
        <v>8.0</v>
      </c>
      <c r="M442" s="237" t="str">
        <f t="shared" si="1"/>
        <v>0290970010417563448</v>
      </c>
      <c r="N442" s="238">
        <v>41271.94</v>
      </c>
      <c r="O442" s="110">
        <v>61518.0</v>
      </c>
      <c r="P442" s="11">
        <v>70.0</v>
      </c>
      <c r="Q442" s="239"/>
      <c r="R442" s="17">
        <v>92.0</v>
      </c>
    </row>
    <row r="443">
      <c r="A443" s="11">
        <v>16.0</v>
      </c>
      <c r="B443" s="11">
        <v>49.0</v>
      </c>
      <c r="C443" s="11">
        <v>3.0</v>
      </c>
      <c r="D443" s="11" t="s">
        <v>39</v>
      </c>
      <c r="E443" s="234">
        <v>41.0</v>
      </c>
      <c r="F443" s="235">
        <v>61.0</v>
      </c>
      <c r="G443" s="235">
        <v>61.0</v>
      </c>
      <c r="H443" s="234">
        <v>41.0</v>
      </c>
      <c r="I443" s="235">
        <v>61.0</v>
      </c>
      <c r="J443" s="236">
        <v>3.8415688E7</v>
      </c>
      <c r="K443" s="11">
        <v>85.0</v>
      </c>
      <c r="L443" s="11">
        <v>3.0</v>
      </c>
      <c r="M443" s="237" t="str">
        <f t="shared" si="1"/>
        <v>0410610038415688853</v>
      </c>
      <c r="N443" s="238">
        <v>82174.19</v>
      </c>
      <c r="O443" s="110">
        <v>42517.0</v>
      </c>
      <c r="P443" s="11">
        <v>72.0</v>
      </c>
      <c r="Q443" s="239"/>
      <c r="R443" s="17">
        <v>51.0</v>
      </c>
    </row>
    <row r="444">
      <c r="A444" s="11">
        <v>15.0</v>
      </c>
      <c r="B444" s="11">
        <v>49.0</v>
      </c>
      <c r="C444" s="11">
        <v>8.0</v>
      </c>
      <c r="D444" s="11" t="s">
        <v>5272</v>
      </c>
      <c r="E444" s="234">
        <v>39.0</v>
      </c>
      <c r="F444" s="235">
        <v>29.0</v>
      </c>
      <c r="G444" s="235">
        <v>29.0</v>
      </c>
      <c r="H444" s="234">
        <v>39.0</v>
      </c>
      <c r="I444" s="235">
        <v>29.0</v>
      </c>
      <c r="J444" s="236">
        <v>5.563392E7</v>
      </c>
      <c r="K444" s="11">
        <v>46.0</v>
      </c>
      <c r="L444" s="11">
        <v>5.0</v>
      </c>
      <c r="M444" s="237" t="str">
        <f t="shared" si="1"/>
        <v>0390290055633920465</v>
      </c>
      <c r="N444" s="238">
        <v>-59429.4</v>
      </c>
      <c r="O444" s="110">
        <v>62815.0</v>
      </c>
      <c r="P444" s="11">
        <v>79.0</v>
      </c>
      <c r="Q444" s="239"/>
      <c r="R444" s="17">
        <v>92.0</v>
      </c>
    </row>
    <row r="445">
      <c r="A445" s="11">
        <v>14.0</v>
      </c>
      <c r="B445" s="11">
        <v>29.0</v>
      </c>
      <c r="C445" s="11">
        <v>8.0</v>
      </c>
      <c r="D445" s="11" t="s">
        <v>5273</v>
      </c>
      <c r="E445" s="234">
        <v>5.0</v>
      </c>
      <c r="F445" s="235">
        <v>31.0</v>
      </c>
      <c r="G445" s="235">
        <v>31.0</v>
      </c>
      <c r="H445" s="234">
        <v>5.0</v>
      </c>
      <c r="I445" s="235">
        <v>31.0</v>
      </c>
      <c r="J445" s="236">
        <v>1.6334262E7</v>
      </c>
      <c r="K445" s="11">
        <v>13.0</v>
      </c>
      <c r="L445" s="11">
        <v>3.0</v>
      </c>
      <c r="M445" s="237" t="str">
        <f t="shared" si="1"/>
        <v>050310016334262133</v>
      </c>
      <c r="N445" s="238">
        <v>-76365.75</v>
      </c>
      <c r="O445" s="110">
        <v>50914.0</v>
      </c>
      <c r="P445" s="11">
        <v>73.0</v>
      </c>
      <c r="Q445" s="239"/>
      <c r="R445" s="17">
        <v>71.0</v>
      </c>
    </row>
    <row r="446">
      <c r="A446" s="11">
        <v>15.0</v>
      </c>
      <c r="B446" s="11">
        <v>29.0</v>
      </c>
      <c r="C446" s="11">
        <v>7.0</v>
      </c>
      <c r="D446" s="11" t="s">
        <v>5272</v>
      </c>
      <c r="E446" s="234">
        <v>48.0</v>
      </c>
      <c r="F446" s="235">
        <v>459.0</v>
      </c>
      <c r="G446" s="235">
        <v>459.0</v>
      </c>
      <c r="H446" s="234">
        <v>48.0</v>
      </c>
      <c r="I446" s="235">
        <v>459.0</v>
      </c>
      <c r="J446" s="236">
        <v>6.9864716E7</v>
      </c>
      <c r="K446" s="11">
        <v>96.0</v>
      </c>
      <c r="L446" s="11">
        <v>9.0</v>
      </c>
      <c r="M446" s="237" t="str">
        <f t="shared" si="1"/>
        <v>0484590069864716969</v>
      </c>
      <c r="N446" s="238">
        <v>24809.73</v>
      </c>
      <c r="O446" s="110">
        <v>12122.0</v>
      </c>
      <c r="P446" s="11">
        <v>76.0</v>
      </c>
      <c r="Q446" s="239"/>
      <c r="R446" s="17">
        <v>30.0</v>
      </c>
    </row>
    <row r="447">
      <c r="A447" s="11">
        <v>15.0</v>
      </c>
      <c r="B447" s="11">
        <v>29.0</v>
      </c>
      <c r="C447" s="11">
        <v>3.0</v>
      </c>
      <c r="D447" s="11" t="s">
        <v>5272</v>
      </c>
      <c r="E447" s="234">
        <v>54.0</v>
      </c>
      <c r="F447" s="235">
        <v>49.0</v>
      </c>
      <c r="G447" s="235">
        <v>49.0</v>
      </c>
      <c r="H447" s="234">
        <v>54.0</v>
      </c>
      <c r="I447" s="235">
        <v>49.0</v>
      </c>
      <c r="J447" s="236">
        <v>3.1713012E7</v>
      </c>
      <c r="K447" s="11">
        <v>61.0</v>
      </c>
      <c r="L447" s="11">
        <v>7.0</v>
      </c>
      <c r="M447" s="237" t="str">
        <f t="shared" si="1"/>
        <v>0540490031713012617</v>
      </c>
      <c r="N447" s="238">
        <v>65278.16</v>
      </c>
      <c r="O447" s="110">
        <v>22123.0</v>
      </c>
      <c r="P447" s="11">
        <v>80.0</v>
      </c>
      <c r="Q447" s="239"/>
      <c r="R447" s="17">
        <v>71.0</v>
      </c>
    </row>
    <row r="448">
      <c r="A448" s="11">
        <v>10.0</v>
      </c>
      <c r="B448" s="11">
        <v>49.0</v>
      </c>
      <c r="C448" s="11">
        <v>7.0</v>
      </c>
      <c r="D448" s="11" t="s">
        <v>31</v>
      </c>
      <c r="E448" s="234">
        <v>30.0</v>
      </c>
      <c r="F448" s="235">
        <v>53.0</v>
      </c>
      <c r="G448" s="235">
        <v>53.0</v>
      </c>
      <c r="H448" s="234">
        <v>30.0</v>
      </c>
      <c r="I448" s="235">
        <v>53.0</v>
      </c>
      <c r="J448" s="236">
        <v>2.0049298E7</v>
      </c>
      <c r="K448" s="11">
        <v>44.0</v>
      </c>
      <c r="L448" s="11">
        <v>9.0</v>
      </c>
      <c r="M448" s="237" t="str">
        <f t="shared" si="1"/>
        <v>0300530020049298449</v>
      </c>
      <c r="N448" s="238">
        <v>-80711.7</v>
      </c>
      <c r="O448" s="110">
        <v>30223.0</v>
      </c>
      <c r="P448" s="11">
        <v>74.0</v>
      </c>
      <c r="Q448" s="239"/>
      <c r="R448" s="17">
        <v>92.0</v>
      </c>
    </row>
    <row r="449">
      <c r="A449" s="11">
        <v>15.0</v>
      </c>
      <c r="B449" s="11">
        <v>49.0</v>
      </c>
      <c r="C449" s="11">
        <v>5.0</v>
      </c>
      <c r="D449" s="11" t="s">
        <v>31</v>
      </c>
      <c r="E449" s="234">
        <v>30.0</v>
      </c>
      <c r="F449" s="235">
        <v>37.0</v>
      </c>
      <c r="G449" s="235">
        <v>37.0</v>
      </c>
      <c r="H449" s="234">
        <v>30.0</v>
      </c>
      <c r="I449" s="235">
        <v>37.0</v>
      </c>
      <c r="J449" s="236">
        <v>2.7258203E7</v>
      </c>
      <c r="K449" s="11">
        <v>74.0</v>
      </c>
      <c r="L449" s="11">
        <v>0.0</v>
      </c>
      <c r="M449" s="237" t="str">
        <f t="shared" si="1"/>
        <v>0300370027258203740</v>
      </c>
      <c r="N449" s="238">
        <v>23324.45</v>
      </c>
      <c r="O449" s="110">
        <v>82814.0</v>
      </c>
      <c r="P449" s="11">
        <v>75.0</v>
      </c>
      <c r="Q449" s="239"/>
      <c r="R449" s="17">
        <v>10.0</v>
      </c>
    </row>
    <row r="450">
      <c r="A450" s="11">
        <v>15.0</v>
      </c>
      <c r="B450" s="11">
        <v>49.0</v>
      </c>
      <c r="C450" s="11">
        <v>6.0</v>
      </c>
      <c r="D450" s="11" t="s">
        <v>31</v>
      </c>
      <c r="E450" s="234">
        <v>13.0</v>
      </c>
      <c r="F450" s="235">
        <v>173.0</v>
      </c>
      <c r="G450" s="235">
        <v>173.0</v>
      </c>
      <c r="H450" s="234">
        <v>13.0</v>
      </c>
      <c r="I450" s="235">
        <v>173.0</v>
      </c>
      <c r="J450" s="236">
        <v>9.7136669E7</v>
      </c>
      <c r="K450" s="11">
        <v>14.0</v>
      </c>
      <c r="L450" s="11">
        <v>0.0</v>
      </c>
      <c r="M450" s="237" t="str">
        <f t="shared" si="1"/>
        <v>0131730097136669140</v>
      </c>
      <c r="N450" s="238">
        <v>-85258.92</v>
      </c>
      <c r="O450" s="110">
        <v>92513.0</v>
      </c>
      <c r="P450" s="11">
        <v>74.0</v>
      </c>
      <c r="Q450" s="239"/>
      <c r="R450" s="17">
        <v>51.0</v>
      </c>
    </row>
    <row r="451">
      <c r="A451" s="11">
        <v>10.0</v>
      </c>
      <c r="B451" s="11">
        <v>29.0</v>
      </c>
      <c r="C451" s="11">
        <v>1.0</v>
      </c>
      <c r="D451" s="11" t="s">
        <v>5273</v>
      </c>
      <c r="E451" s="234">
        <v>46.0</v>
      </c>
      <c r="F451" s="235">
        <v>49.0</v>
      </c>
      <c r="G451" s="235">
        <v>49.0</v>
      </c>
      <c r="H451" s="234">
        <v>46.0</v>
      </c>
      <c r="I451" s="235">
        <v>49.0</v>
      </c>
      <c r="J451" s="236">
        <v>6.2588952E7</v>
      </c>
      <c r="K451" s="11">
        <v>80.0</v>
      </c>
      <c r="L451" s="11">
        <v>8.0</v>
      </c>
      <c r="M451" s="237" t="str">
        <f t="shared" si="1"/>
        <v>0460490062588952808</v>
      </c>
      <c r="N451" s="238">
        <v>78112.97</v>
      </c>
      <c r="O451" s="110">
        <v>110521.0</v>
      </c>
      <c r="P451" s="11">
        <v>72.0</v>
      </c>
      <c r="Q451" s="239"/>
      <c r="R451" s="17">
        <v>10.0</v>
      </c>
    </row>
    <row r="452">
      <c r="A452" s="11">
        <v>15.0</v>
      </c>
      <c r="B452" s="11">
        <v>49.0</v>
      </c>
      <c r="C452" s="11">
        <v>3.0</v>
      </c>
      <c r="D452" s="11" t="s">
        <v>5273</v>
      </c>
      <c r="E452" s="234">
        <v>19.0</v>
      </c>
      <c r="F452" s="235">
        <v>191.0</v>
      </c>
      <c r="G452" s="235">
        <v>191.0</v>
      </c>
      <c r="H452" s="234">
        <v>19.0</v>
      </c>
      <c r="I452" s="235">
        <v>191.0</v>
      </c>
      <c r="J452" s="236">
        <v>6.0655203E7</v>
      </c>
      <c r="K452" s="11">
        <v>7.0</v>
      </c>
      <c r="L452" s="11">
        <v>5.0</v>
      </c>
      <c r="M452" s="237" t="str">
        <f t="shared" si="1"/>
        <v>019191006065520375</v>
      </c>
      <c r="N452" s="238">
        <v>-68929.51</v>
      </c>
      <c r="O452" s="110">
        <v>92220.0</v>
      </c>
      <c r="P452" s="11">
        <v>77.0</v>
      </c>
      <c r="Q452" s="239"/>
      <c r="R452" s="17">
        <v>71.0</v>
      </c>
    </row>
    <row r="453">
      <c r="A453" s="11">
        <v>15.0</v>
      </c>
      <c r="B453" s="11">
        <v>49.0</v>
      </c>
      <c r="C453" s="11">
        <v>7.0</v>
      </c>
      <c r="D453" s="11" t="s">
        <v>5271</v>
      </c>
      <c r="E453" s="234">
        <v>39.0</v>
      </c>
      <c r="F453" s="235">
        <v>139.0</v>
      </c>
      <c r="G453" s="235">
        <v>139.0</v>
      </c>
      <c r="H453" s="234">
        <v>39.0</v>
      </c>
      <c r="I453" s="235">
        <v>139.0</v>
      </c>
      <c r="J453" s="236">
        <v>6.6319557E7</v>
      </c>
      <c r="K453" s="11">
        <v>25.0</v>
      </c>
      <c r="L453" s="11">
        <v>3.0</v>
      </c>
      <c r="M453" s="237" t="str">
        <f t="shared" si="1"/>
        <v>0391390066319557253</v>
      </c>
      <c r="N453" s="238">
        <v>-56132.58</v>
      </c>
      <c r="O453" s="110">
        <v>40921.0</v>
      </c>
      <c r="P453" s="11">
        <v>77.0</v>
      </c>
      <c r="Q453" s="239"/>
      <c r="R453" s="17">
        <v>10.0</v>
      </c>
    </row>
    <row r="454">
      <c r="A454" s="11">
        <v>18.0</v>
      </c>
      <c r="B454" s="11">
        <v>49.0</v>
      </c>
      <c r="C454" s="11">
        <v>7.0</v>
      </c>
      <c r="D454" s="11" t="s">
        <v>5272</v>
      </c>
      <c r="E454" s="234">
        <v>31.0</v>
      </c>
      <c r="F454" s="235">
        <v>25.0</v>
      </c>
      <c r="G454" s="235">
        <v>25.0</v>
      </c>
      <c r="H454" s="234">
        <v>31.0</v>
      </c>
      <c r="I454" s="235">
        <v>25.0</v>
      </c>
      <c r="J454" s="236">
        <v>6.3639206E7</v>
      </c>
      <c r="K454" s="11">
        <v>2.0</v>
      </c>
      <c r="L454" s="11">
        <v>8.0</v>
      </c>
      <c r="M454" s="237" t="str">
        <f t="shared" si="1"/>
        <v>031025006363920628</v>
      </c>
      <c r="N454" s="238">
        <v>-37050.69</v>
      </c>
      <c r="O454" s="110">
        <v>22823.0</v>
      </c>
      <c r="P454" s="11">
        <v>79.0</v>
      </c>
      <c r="Q454" s="239"/>
      <c r="R454" s="17">
        <v>71.0</v>
      </c>
    </row>
    <row r="455">
      <c r="A455" s="11">
        <v>12.0</v>
      </c>
      <c r="B455" s="11">
        <v>49.0</v>
      </c>
      <c r="C455" s="11">
        <v>7.0</v>
      </c>
      <c r="D455" s="11" t="s">
        <v>31</v>
      </c>
      <c r="E455" s="234">
        <v>18.0</v>
      </c>
      <c r="F455" s="235">
        <v>131.0</v>
      </c>
      <c r="G455" s="235">
        <v>131.0</v>
      </c>
      <c r="H455" s="234">
        <v>18.0</v>
      </c>
      <c r="I455" s="235">
        <v>131.0</v>
      </c>
      <c r="J455" s="236">
        <v>6.5182205E7</v>
      </c>
      <c r="K455" s="11">
        <v>66.0</v>
      </c>
      <c r="L455" s="11">
        <v>8.0</v>
      </c>
      <c r="M455" s="237" t="str">
        <f t="shared" si="1"/>
        <v>0181310065182205668</v>
      </c>
      <c r="N455" s="238">
        <v>-55495.66</v>
      </c>
      <c r="O455" s="110">
        <v>42418.0</v>
      </c>
      <c r="P455" s="11">
        <v>80.0</v>
      </c>
      <c r="Q455" s="239"/>
      <c r="R455" s="17">
        <v>51.0</v>
      </c>
    </row>
    <row r="456">
      <c r="A456" s="11">
        <v>20.0</v>
      </c>
      <c r="B456" s="11">
        <v>29.0</v>
      </c>
      <c r="C456" s="11">
        <v>1.0</v>
      </c>
      <c r="D456" s="11" t="s">
        <v>31</v>
      </c>
      <c r="E456" s="234">
        <v>31.0</v>
      </c>
      <c r="F456" s="235">
        <v>57.0</v>
      </c>
      <c r="G456" s="235">
        <v>57.0</v>
      </c>
      <c r="H456" s="234">
        <v>31.0</v>
      </c>
      <c r="I456" s="235">
        <v>57.0</v>
      </c>
      <c r="J456" s="236">
        <v>7.3503845E7</v>
      </c>
      <c r="K456" s="11">
        <v>28.0</v>
      </c>
      <c r="L456" s="11">
        <v>5.0</v>
      </c>
      <c r="M456" s="237" t="str">
        <f t="shared" si="1"/>
        <v>0310570073503845285</v>
      </c>
      <c r="N456" s="238">
        <v>-9020.13</v>
      </c>
      <c r="O456" s="110">
        <v>70213.0</v>
      </c>
      <c r="P456" s="11">
        <v>79.0</v>
      </c>
      <c r="Q456" s="239"/>
      <c r="R456" s="17">
        <v>92.0</v>
      </c>
    </row>
    <row r="457">
      <c r="A457" s="11">
        <v>16.0</v>
      </c>
      <c r="B457" s="11">
        <v>29.0</v>
      </c>
      <c r="C457" s="11">
        <v>1.0</v>
      </c>
      <c r="D457" s="11" t="s">
        <v>5272</v>
      </c>
      <c r="E457" s="234">
        <v>40.0</v>
      </c>
      <c r="F457" s="235">
        <v>73.0</v>
      </c>
      <c r="G457" s="235">
        <v>73.0</v>
      </c>
      <c r="H457" s="234">
        <v>40.0</v>
      </c>
      <c r="I457" s="235">
        <v>73.0</v>
      </c>
      <c r="J457" s="236">
        <v>9.2420308E7</v>
      </c>
      <c r="K457" s="11">
        <v>33.0</v>
      </c>
      <c r="L457" s="11">
        <v>5.0</v>
      </c>
      <c r="M457" s="237" t="str">
        <f t="shared" si="1"/>
        <v>0400730092420308335</v>
      </c>
      <c r="N457" s="238">
        <v>-97982.51</v>
      </c>
      <c r="O457" s="110">
        <v>52521.0</v>
      </c>
      <c r="P457" s="11">
        <v>77.0</v>
      </c>
      <c r="Q457" s="239"/>
      <c r="R457" s="17">
        <v>10.0</v>
      </c>
    </row>
    <row r="458">
      <c r="A458" s="11">
        <v>15.0</v>
      </c>
      <c r="B458" s="11">
        <v>29.0</v>
      </c>
      <c r="C458" s="11">
        <v>4.0</v>
      </c>
      <c r="D458" s="11" t="s">
        <v>31</v>
      </c>
      <c r="E458" s="234">
        <v>20.0</v>
      </c>
      <c r="F458" s="235">
        <v>1.0</v>
      </c>
      <c r="G458" s="235">
        <v>1.0</v>
      </c>
      <c r="H458" s="234">
        <v>20.0</v>
      </c>
      <c r="I458" s="235">
        <v>1.0</v>
      </c>
      <c r="J458" s="236">
        <v>4.5502776E7</v>
      </c>
      <c r="K458" s="11">
        <v>46.0</v>
      </c>
      <c r="L458" s="11">
        <v>1.0</v>
      </c>
      <c r="M458" s="237" t="str">
        <f t="shared" si="1"/>
        <v>0200010045502776461</v>
      </c>
      <c r="N458" s="238">
        <v>87901.69</v>
      </c>
      <c r="O458" s="110">
        <v>21214.0</v>
      </c>
      <c r="P458" s="11">
        <v>70.0</v>
      </c>
      <c r="Q458" s="239"/>
      <c r="R458" s="17">
        <v>72.0</v>
      </c>
    </row>
    <row r="459">
      <c r="A459" s="11">
        <v>20.0</v>
      </c>
      <c r="B459" s="11">
        <v>91.0</v>
      </c>
      <c r="C459" s="11">
        <v>6.0</v>
      </c>
      <c r="D459" s="11" t="s">
        <v>29</v>
      </c>
      <c r="E459" s="234">
        <v>8.0</v>
      </c>
      <c r="F459" s="235">
        <v>35.0</v>
      </c>
      <c r="G459" s="235">
        <v>35.0</v>
      </c>
      <c r="H459" s="234">
        <v>8.0</v>
      </c>
      <c r="I459" s="235">
        <v>35.0</v>
      </c>
      <c r="J459" s="236">
        <v>4.9309745E7</v>
      </c>
      <c r="K459" s="11">
        <v>97.0</v>
      </c>
      <c r="L459" s="11">
        <v>4.0</v>
      </c>
      <c r="M459" s="237" t="str">
        <f t="shared" si="1"/>
        <v>080350049309745974</v>
      </c>
      <c r="N459" s="238">
        <v>-67783.95</v>
      </c>
      <c r="O459" s="110">
        <v>32922.0</v>
      </c>
      <c r="P459" s="11">
        <v>71.0</v>
      </c>
      <c r="Q459" s="239"/>
      <c r="R459" s="17">
        <v>72.0</v>
      </c>
    </row>
    <row r="460">
      <c r="A460" s="11">
        <v>15.0</v>
      </c>
      <c r="B460" s="11">
        <v>29.0</v>
      </c>
      <c r="C460" s="11">
        <v>9.0</v>
      </c>
      <c r="D460" s="11" t="s">
        <v>5272</v>
      </c>
      <c r="E460" s="234">
        <v>24.0</v>
      </c>
      <c r="F460" s="235">
        <v>3.0</v>
      </c>
      <c r="G460" s="235">
        <v>3.0</v>
      </c>
      <c r="H460" s="234">
        <v>24.0</v>
      </c>
      <c r="I460" s="235">
        <v>3.0</v>
      </c>
      <c r="J460" s="236">
        <v>4.0930994E7</v>
      </c>
      <c r="K460" s="11">
        <v>50.0</v>
      </c>
      <c r="L460" s="11">
        <v>5.0</v>
      </c>
      <c r="M460" s="237" t="str">
        <f t="shared" si="1"/>
        <v>0240030040930994505</v>
      </c>
      <c r="N460" s="238">
        <v>-75782.04</v>
      </c>
      <c r="O460" s="110">
        <v>52520.0</v>
      </c>
      <c r="P460" s="11">
        <v>73.0</v>
      </c>
      <c r="Q460" s="239"/>
      <c r="R460" s="17">
        <v>51.0</v>
      </c>
    </row>
    <row r="461">
      <c r="A461" s="11">
        <v>19.0</v>
      </c>
      <c r="B461" s="11">
        <v>91.0</v>
      </c>
      <c r="C461" s="11">
        <v>9.0</v>
      </c>
      <c r="D461" s="11" t="s">
        <v>5273</v>
      </c>
      <c r="E461" s="234">
        <v>42.0</v>
      </c>
      <c r="F461" s="235">
        <v>13.0</v>
      </c>
      <c r="G461" s="235">
        <v>13.0</v>
      </c>
      <c r="H461" s="234">
        <v>42.0</v>
      </c>
      <c r="I461" s="235">
        <v>13.0</v>
      </c>
      <c r="J461" s="236">
        <v>3.7400581E7</v>
      </c>
      <c r="K461" s="11">
        <v>94.0</v>
      </c>
      <c r="L461" s="11">
        <v>1.0</v>
      </c>
      <c r="M461" s="237" t="str">
        <f t="shared" si="1"/>
        <v>0420130037400581941</v>
      </c>
      <c r="N461" s="238">
        <v>10582.04</v>
      </c>
      <c r="O461" s="110">
        <v>81514.0</v>
      </c>
      <c r="P461" s="11">
        <v>77.0</v>
      </c>
      <c r="Q461" s="239"/>
      <c r="R461" s="17">
        <v>31.0</v>
      </c>
    </row>
    <row r="462">
      <c r="A462" s="11">
        <v>18.0</v>
      </c>
      <c r="B462" s="11">
        <v>29.0</v>
      </c>
      <c r="C462" s="11">
        <v>5.0</v>
      </c>
      <c r="D462" s="11" t="s">
        <v>5272</v>
      </c>
      <c r="E462" s="234">
        <v>45.0</v>
      </c>
      <c r="F462" s="235">
        <v>89.0</v>
      </c>
      <c r="G462" s="235">
        <v>89.0</v>
      </c>
      <c r="H462" s="234">
        <v>45.0</v>
      </c>
      <c r="I462" s="235">
        <v>89.0</v>
      </c>
      <c r="J462" s="236">
        <v>2.1889238E7</v>
      </c>
      <c r="K462" s="11">
        <v>51.0</v>
      </c>
      <c r="L462" s="11">
        <v>1.0</v>
      </c>
      <c r="M462" s="237" t="str">
        <f t="shared" si="1"/>
        <v>0450890021889238511</v>
      </c>
      <c r="N462" s="238">
        <v>-34895.54</v>
      </c>
      <c r="O462" s="110">
        <v>82823.0</v>
      </c>
      <c r="P462" s="11">
        <v>72.0</v>
      </c>
      <c r="Q462" s="239"/>
      <c r="R462" s="17">
        <v>72.0</v>
      </c>
    </row>
    <row r="463">
      <c r="A463" s="11">
        <v>15.0</v>
      </c>
      <c r="B463" s="11">
        <v>29.0</v>
      </c>
      <c r="C463" s="11">
        <v>2.0</v>
      </c>
      <c r="D463" s="11" t="s">
        <v>31</v>
      </c>
      <c r="E463" s="234">
        <v>39.0</v>
      </c>
      <c r="F463" s="235">
        <v>137.0</v>
      </c>
      <c r="G463" s="235">
        <v>137.0</v>
      </c>
      <c r="H463" s="234">
        <v>39.0</v>
      </c>
      <c r="I463" s="235">
        <v>137.0</v>
      </c>
      <c r="J463" s="236">
        <v>2.1543199E7</v>
      </c>
      <c r="K463" s="11">
        <v>88.0</v>
      </c>
      <c r="L463" s="11">
        <v>9.0</v>
      </c>
      <c r="M463" s="237" t="str">
        <f t="shared" si="1"/>
        <v>0391370021543199889</v>
      </c>
      <c r="N463" s="238">
        <v>665.62</v>
      </c>
      <c r="O463" s="110">
        <v>71818.0</v>
      </c>
      <c r="P463" s="11">
        <v>70.0</v>
      </c>
      <c r="Q463" s="239"/>
      <c r="R463" s="17">
        <v>92.0</v>
      </c>
    </row>
    <row r="464">
      <c r="A464" s="11">
        <v>12.0</v>
      </c>
      <c r="B464" s="11">
        <v>91.0</v>
      </c>
      <c r="C464" s="11">
        <v>9.0</v>
      </c>
      <c r="D464" s="11" t="s">
        <v>5273</v>
      </c>
      <c r="E464" s="234">
        <v>29.0</v>
      </c>
      <c r="F464" s="235">
        <v>181.0</v>
      </c>
      <c r="G464" s="235">
        <v>181.0</v>
      </c>
      <c r="H464" s="234">
        <v>29.0</v>
      </c>
      <c r="I464" s="235">
        <v>181.0</v>
      </c>
      <c r="J464" s="236">
        <v>3.9582715E7</v>
      </c>
      <c r="K464" s="11">
        <v>73.0</v>
      </c>
      <c r="L464" s="11">
        <v>4.0</v>
      </c>
      <c r="M464" s="237" t="str">
        <f t="shared" si="1"/>
        <v>0291810039582715734</v>
      </c>
      <c r="N464" s="238">
        <v>75161.33</v>
      </c>
      <c r="O464" s="110">
        <v>62723.0</v>
      </c>
      <c r="P464" s="11">
        <v>77.0</v>
      </c>
      <c r="Q464" s="239"/>
      <c r="R464" s="17">
        <v>72.0</v>
      </c>
    </row>
    <row r="465">
      <c r="A465" s="11">
        <v>16.0</v>
      </c>
      <c r="B465" s="11">
        <v>91.0</v>
      </c>
      <c r="C465" s="11">
        <v>6.0</v>
      </c>
      <c r="D465" s="11" t="s">
        <v>5273</v>
      </c>
      <c r="E465" s="234">
        <v>36.0</v>
      </c>
      <c r="F465" s="235">
        <v>63.0</v>
      </c>
      <c r="G465" s="235">
        <v>63.0</v>
      </c>
      <c r="H465" s="234">
        <v>36.0</v>
      </c>
      <c r="I465" s="235">
        <v>63.0</v>
      </c>
      <c r="J465" s="236">
        <v>6.6796722E7</v>
      </c>
      <c r="K465" s="11">
        <v>25.0</v>
      </c>
      <c r="L465" s="11">
        <v>0.0</v>
      </c>
      <c r="M465" s="237" t="str">
        <f t="shared" si="1"/>
        <v>0360630066796722250</v>
      </c>
      <c r="N465" s="238">
        <v>-88176.54</v>
      </c>
      <c r="O465" s="110">
        <v>40817.0</v>
      </c>
      <c r="P465" s="11">
        <v>78.0</v>
      </c>
      <c r="Q465" s="239"/>
      <c r="R465" s="17">
        <v>31.0</v>
      </c>
    </row>
    <row r="466">
      <c r="A466" s="11">
        <v>20.0</v>
      </c>
      <c r="B466" s="11">
        <v>91.0</v>
      </c>
      <c r="C466" s="11">
        <v>2.0</v>
      </c>
      <c r="D466" s="11" t="s">
        <v>29</v>
      </c>
      <c r="E466" s="234">
        <v>48.0</v>
      </c>
      <c r="F466" s="235">
        <v>13.0</v>
      </c>
      <c r="G466" s="235">
        <v>13.0</v>
      </c>
      <c r="H466" s="234">
        <v>48.0</v>
      </c>
      <c r="I466" s="235">
        <v>13.0</v>
      </c>
      <c r="J466" s="236">
        <v>8.2311638E7</v>
      </c>
      <c r="K466" s="11">
        <v>43.0</v>
      </c>
      <c r="L466" s="11">
        <v>7.0</v>
      </c>
      <c r="M466" s="237" t="str">
        <f t="shared" si="1"/>
        <v>0480130082311638437</v>
      </c>
      <c r="N466" s="238">
        <v>-66845.47</v>
      </c>
      <c r="O466" s="110">
        <v>120113.0</v>
      </c>
      <c r="P466" s="11">
        <v>79.0</v>
      </c>
      <c r="Q466" s="239"/>
      <c r="R466" s="17">
        <v>92.0</v>
      </c>
    </row>
    <row r="467">
      <c r="A467" s="11">
        <v>16.0</v>
      </c>
      <c r="B467" s="11">
        <v>91.0</v>
      </c>
      <c r="C467" s="11">
        <v>5.0</v>
      </c>
      <c r="D467" s="11" t="s">
        <v>31</v>
      </c>
      <c r="E467" s="234">
        <v>12.0</v>
      </c>
      <c r="F467" s="235">
        <v>107.0</v>
      </c>
      <c r="G467" s="235">
        <v>107.0</v>
      </c>
      <c r="H467" s="234">
        <v>12.0</v>
      </c>
      <c r="I467" s="235">
        <v>107.0</v>
      </c>
      <c r="J467" s="236">
        <v>5.5331585E7</v>
      </c>
      <c r="K467" s="11">
        <v>41.0</v>
      </c>
      <c r="L467" s="11">
        <v>5.0</v>
      </c>
      <c r="M467" s="237" t="str">
        <f t="shared" si="1"/>
        <v>0121070055331585415</v>
      </c>
      <c r="N467" s="238">
        <v>-65275.48</v>
      </c>
      <c r="O467" s="110">
        <v>120916.0</v>
      </c>
      <c r="P467" s="11">
        <v>70.0</v>
      </c>
      <c r="Q467" s="239"/>
      <c r="R467" s="17">
        <v>72.0</v>
      </c>
    </row>
    <row r="468">
      <c r="A468" s="11">
        <v>20.0</v>
      </c>
      <c r="B468" s="11">
        <v>91.0</v>
      </c>
      <c r="C468" s="11">
        <v>5.0</v>
      </c>
      <c r="D468" s="11" t="s">
        <v>5271</v>
      </c>
      <c r="E468" s="234">
        <v>28.0</v>
      </c>
      <c r="F468" s="235">
        <v>125.0</v>
      </c>
      <c r="G468" s="235">
        <v>125.0</v>
      </c>
      <c r="H468" s="234">
        <v>28.0</v>
      </c>
      <c r="I468" s="235">
        <v>125.0</v>
      </c>
      <c r="J468" s="236">
        <v>7.0664923E7</v>
      </c>
      <c r="K468" s="11">
        <v>36.0</v>
      </c>
      <c r="L468" s="11">
        <v>6.0</v>
      </c>
      <c r="M468" s="237" t="str">
        <f t="shared" si="1"/>
        <v>0281250070664923366</v>
      </c>
      <c r="N468" s="238">
        <v>55899.82</v>
      </c>
      <c r="O468" s="110">
        <v>30723.0</v>
      </c>
      <c r="P468" s="11">
        <v>70.0</v>
      </c>
      <c r="Q468" s="239"/>
      <c r="R468" s="17">
        <v>31.0</v>
      </c>
    </row>
    <row r="469">
      <c r="A469" s="11">
        <v>13.0</v>
      </c>
      <c r="B469" s="11">
        <v>91.0</v>
      </c>
      <c r="C469" s="11">
        <v>6.0</v>
      </c>
      <c r="D469" s="11" t="s">
        <v>31</v>
      </c>
      <c r="E469" s="234">
        <v>20.0</v>
      </c>
      <c r="F469" s="235">
        <v>153.0</v>
      </c>
      <c r="G469" s="235">
        <v>153.0</v>
      </c>
      <c r="H469" s="234">
        <v>20.0</v>
      </c>
      <c r="I469" s="235">
        <v>153.0</v>
      </c>
      <c r="J469" s="236">
        <v>1.1064457E7</v>
      </c>
      <c r="K469" s="11">
        <v>35.0</v>
      </c>
      <c r="L469" s="11">
        <v>4.0</v>
      </c>
      <c r="M469" s="237" t="str">
        <f t="shared" si="1"/>
        <v>0201530011064457354</v>
      </c>
      <c r="N469" s="238">
        <v>-60543.98</v>
      </c>
      <c r="O469" s="110">
        <v>52915.0</v>
      </c>
      <c r="P469" s="11">
        <v>77.0</v>
      </c>
      <c r="Q469" s="239"/>
      <c r="R469" s="17">
        <v>31.0</v>
      </c>
    </row>
    <row r="470">
      <c r="A470" s="11">
        <v>11.0</v>
      </c>
      <c r="B470" s="11">
        <v>91.0</v>
      </c>
      <c r="C470" s="11">
        <v>8.0</v>
      </c>
      <c r="D470" s="11" t="s">
        <v>5272</v>
      </c>
      <c r="E470" s="234">
        <v>26.0</v>
      </c>
      <c r="F470" s="235">
        <v>27.0</v>
      </c>
      <c r="G470" s="235">
        <v>27.0</v>
      </c>
      <c r="H470" s="234">
        <v>26.0</v>
      </c>
      <c r="I470" s="235">
        <v>27.0</v>
      </c>
      <c r="J470" s="236">
        <v>2.8720704E7</v>
      </c>
      <c r="K470" s="11">
        <v>61.0</v>
      </c>
      <c r="L470" s="11">
        <v>3.0</v>
      </c>
      <c r="M470" s="237" t="str">
        <f t="shared" si="1"/>
        <v>0260270028720704613</v>
      </c>
      <c r="N470" s="238">
        <v>59421.81</v>
      </c>
      <c r="O470" s="110">
        <v>51421.0</v>
      </c>
      <c r="P470" s="11">
        <v>79.0</v>
      </c>
      <c r="Q470" s="239"/>
      <c r="R470" s="17">
        <v>31.0</v>
      </c>
    </row>
    <row r="471">
      <c r="A471" s="11">
        <v>19.0</v>
      </c>
      <c r="B471" s="11">
        <v>91.0</v>
      </c>
      <c r="C471" s="11">
        <v>1.0</v>
      </c>
      <c r="D471" s="11" t="s">
        <v>39</v>
      </c>
      <c r="E471" s="234">
        <v>51.0</v>
      </c>
      <c r="F471" s="235">
        <v>19.0</v>
      </c>
      <c r="G471" s="235">
        <v>19.0</v>
      </c>
      <c r="H471" s="234">
        <v>51.0</v>
      </c>
      <c r="I471" s="235">
        <v>19.0</v>
      </c>
      <c r="J471" s="236">
        <v>6.1424589E7</v>
      </c>
      <c r="K471" s="11">
        <v>68.0</v>
      </c>
      <c r="L471" s="11">
        <v>6.0</v>
      </c>
      <c r="M471" s="237" t="str">
        <f t="shared" si="1"/>
        <v>0510190061424589686</v>
      </c>
      <c r="N471" s="238">
        <v>-27884.21</v>
      </c>
      <c r="O471" s="110">
        <v>111717.0</v>
      </c>
      <c r="P471" s="11">
        <v>72.0</v>
      </c>
      <c r="Q471" s="239"/>
      <c r="R471" s="17">
        <v>92.0</v>
      </c>
    </row>
    <row r="472">
      <c r="A472" s="11">
        <v>10.0</v>
      </c>
      <c r="B472" s="11">
        <v>91.0</v>
      </c>
      <c r="C472" s="11">
        <v>8.0</v>
      </c>
      <c r="D472" s="11" t="s">
        <v>31</v>
      </c>
      <c r="E472" s="234">
        <v>46.0</v>
      </c>
      <c r="F472" s="235">
        <v>53.0</v>
      </c>
      <c r="G472" s="235">
        <v>53.0</v>
      </c>
      <c r="H472" s="234">
        <v>46.0</v>
      </c>
      <c r="I472" s="235">
        <v>53.0</v>
      </c>
      <c r="J472" s="236">
        <v>1.4622498E7</v>
      </c>
      <c r="K472" s="11">
        <v>33.0</v>
      </c>
      <c r="L472" s="11">
        <v>9.0</v>
      </c>
      <c r="M472" s="237" t="str">
        <f t="shared" si="1"/>
        <v>0460530014622498339</v>
      </c>
      <c r="N472" s="238">
        <v>90493.64</v>
      </c>
      <c r="O472" s="110">
        <v>11617.0</v>
      </c>
      <c r="P472" s="11">
        <v>74.0</v>
      </c>
      <c r="Q472" s="239"/>
      <c r="R472" s="17">
        <v>10.0</v>
      </c>
    </row>
    <row r="473">
      <c r="A473" s="11">
        <v>18.0</v>
      </c>
      <c r="B473" s="11">
        <v>71.0</v>
      </c>
      <c r="C473" s="11">
        <v>3.0</v>
      </c>
      <c r="D473" s="11" t="s">
        <v>29</v>
      </c>
      <c r="E473" s="234">
        <v>13.0</v>
      </c>
      <c r="F473" s="235">
        <v>29.0</v>
      </c>
      <c r="G473" s="235">
        <v>29.0</v>
      </c>
      <c r="H473" s="234">
        <v>13.0</v>
      </c>
      <c r="I473" s="235">
        <v>29.0</v>
      </c>
      <c r="J473" s="236">
        <v>5.6907123E7</v>
      </c>
      <c r="K473" s="11">
        <v>95.0</v>
      </c>
      <c r="L473" s="11">
        <v>0.0</v>
      </c>
      <c r="M473" s="237" t="str">
        <f t="shared" si="1"/>
        <v>0130290056907123950</v>
      </c>
      <c r="N473" s="238">
        <v>65693.22</v>
      </c>
      <c r="O473" s="110">
        <v>21723.0</v>
      </c>
      <c r="P473" s="11">
        <v>72.0</v>
      </c>
      <c r="Q473" s="239"/>
      <c r="R473" s="17">
        <v>92.0</v>
      </c>
    </row>
    <row r="474">
      <c r="A474" s="11">
        <v>14.0</v>
      </c>
      <c r="B474" s="11">
        <v>71.0</v>
      </c>
      <c r="C474" s="11">
        <v>2.0</v>
      </c>
      <c r="D474" s="11" t="s">
        <v>5273</v>
      </c>
      <c r="E474" s="234">
        <v>55.0</v>
      </c>
      <c r="F474" s="235">
        <v>105.0</v>
      </c>
      <c r="G474" s="235">
        <v>105.0</v>
      </c>
      <c r="H474" s="234">
        <v>55.0</v>
      </c>
      <c r="I474" s="235">
        <v>105.0</v>
      </c>
      <c r="J474" s="236">
        <v>1.5421321E7</v>
      </c>
      <c r="K474" s="11">
        <v>42.0</v>
      </c>
      <c r="L474" s="11">
        <v>0.0</v>
      </c>
      <c r="M474" s="237" t="str">
        <f t="shared" si="1"/>
        <v>0551050015421321420</v>
      </c>
      <c r="N474" s="238">
        <v>-20677.64</v>
      </c>
      <c r="O474" s="110">
        <v>51514.0</v>
      </c>
      <c r="P474" s="11">
        <v>77.0</v>
      </c>
      <c r="Q474" s="239"/>
      <c r="R474" s="17">
        <v>51.0</v>
      </c>
    </row>
    <row r="475">
      <c r="A475" s="11">
        <v>11.0</v>
      </c>
      <c r="B475" s="11">
        <v>91.0</v>
      </c>
      <c r="C475" s="11">
        <v>5.0</v>
      </c>
      <c r="D475" s="11" t="s">
        <v>5273</v>
      </c>
      <c r="E475" s="234">
        <v>26.0</v>
      </c>
      <c r="F475" s="235">
        <v>85.0</v>
      </c>
      <c r="G475" s="235">
        <v>85.0</v>
      </c>
      <c r="H475" s="234">
        <v>26.0</v>
      </c>
      <c r="I475" s="235">
        <v>85.0</v>
      </c>
      <c r="J475" s="236">
        <v>6.3047472E7</v>
      </c>
      <c r="K475" s="11">
        <v>11.0</v>
      </c>
      <c r="L475" s="11">
        <v>3.0</v>
      </c>
      <c r="M475" s="237" t="str">
        <f t="shared" si="1"/>
        <v>0260850063047472113</v>
      </c>
      <c r="N475" s="238">
        <v>-55432.33</v>
      </c>
      <c r="O475" s="110">
        <v>122316.0</v>
      </c>
      <c r="P475" s="11">
        <v>75.0</v>
      </c>
      <c r="Q475" s="239"/>
      <c r="R475" s="17">
        <v>10.0</v>
      </c>
    </row>
    <row r="476">
      <c r="A476" s="11">
        <v>10.0</v>
      </c>
      <c r="B476" s="11">
        <v>71.0</v>
      </c>
      <c r="C476" s="11">
        <v>1.0</v>
      </c>
      <c r="D476" s="11" t="s">
        <v>29</v>
      </c>
      <c r="E476" s="234">
        <v>29.0</v>
      </c>
      <c r="F476" s="235">
        <v>5.0</v>
      </c>
      <c r="G476" s="235">
        <v>5.0</v>
      </c>
      <c r="H476" s="234">
        <v>29.0</v>
      </c>
      <c r="I476" s="235">
        <v>5.0</v>
      </c>
      <c r="J476" s="236">
        <v>7.5014463E7</v>
      </c>
      <c r="K476" s="11">
        <v>73.0</v>
      </c>
      <c r="L476" s="11">
        <v>1.0</v>
      </c>
      <c r="M476" s="237" t="str">
        <f t="shared" si="1"/>
        <v>0290050075014463731</v>
      </c>
      <c r="N476" s="238">
        <v>26117.88</v>
      </c>
      <c r="O476" s="110">
        <v>111821.0</v>
      </c>
      <c r="P476" s="11">
        <v>72.0</v>
      </c>
      <c r="Q476" s="239"/>
      <c r="R476" s="17">
        <v>10.0</v>
      </c>
    </row>
    <row r="477">
      <c r="A477" s="11">
        <v>12.0</v>
      </c>
      <c r="B477" s="11">
        <v>71.0</v>
      </c>
      <c r="C477" s="11">
        <v>1.0</v>
      </c>
      <c r="D477" s="11" t="s">
        <v>5271</v>
      </c>
      <c r="E477" s="234">
        <v>37.0</v>
      </c>
      <c r="F477" s="235">
        <v>125.0</v>
      </c>
      <c r="G477" s="235">
        <v>125.0</v>
      </c>
      <c r="H477" s="234">
        <v>37.0</v>
      </c>
      <c r="I477" s="235">
        <v>125.0</v>
      </c>
      <c r="J477" s="236">
        <v>8.4635341E7</v>
      </c>
      <c r="K477" s="11">
        <v>29.0</v>
      </c>
      <c r="L477" s="11">
        <v>9.0</v>
      </c>
      <c r="M477" s="237" t="str">
        <f t="shared" si="1"/>
        <v>0371250084635341299</v>
      </c>
      <c r="N477" s="238">
        <v>-92323.3</v>
      </c>
      <c r="O477" s="110">
        <v>112313.0</v>
      </c>
      <c r="P477" s="11">
        <v>78.0</v>
      </c>
      <c r="Q477" s="239"/>
      <c r="R477" s="17">
        <v>92.0</v>
      </c>
    </row>
    <row r="478">
      <c r="A478" s="11">
        <v>15.0</v>
      </c>
      <c r="B478" s="11">
        <v>71.0</v>
      </c>
      <c r="C478" s="11">
        <v>1.0</v>
      </c>
      <c r="D478" s="11" t="s">
        <v>31</v>
      </c>
      <c r="E478" s="234">
        <v>38.0</v>
      </c>
      <c r="F478" s="235">
        <v>29.0</v>
      </c>
      <c r="G478" s="235">
        <v>29.0</v>
      </c>
      <c r="H478" s="234">
        <v>38.0</v>
      </c>
      <c r="I478" s="235">
        <v>29.0</v>
      </c>
      <c r="J478" s="236">
        <v>7.2143995E7</v>
      </c>
      <c r="K478" s="11">
        <v>39.0</v>
      </c>
      <c r="L478" s="11">
        <v>5.0</v>
      </c>
      <c r="M478" s="237" t="str">
        <f t="shared" si="1"/>
        <v>0380290072143995395</v>
      </c>
      <c r="N478" s="238">
        <v>42954.75</v>
      </c>
      <c r="O478" s="110">
        <v>10313.0</v>
      </c>
      <c r="P478" s="11">
        <v>78.0</v>
      </c>
      <c r="Q478" s="239"/>
      <c r="R478" s="17">
        <v>72.0</v>
      </c>
    </row>
    <row r="479">
      <c r="A479" s="11">
        <v>16.0</v>
      </c>
      <c r="B479" s="11">
        <v>51.0</v>
      </c>
      <c r="C479" s="11">
        <v>7.0</v>
      </c>
      <c r="D479" s="11" t="s">
        <v>5273</v>
      </c>
      <c r="E479" s="234">
        <v>42.0</v>
      </c>
      <c r="F479" s="235">
        <v>91.0</v>
      </c>
      <c r="G479" s="235">
        <v>91.0</v>
      </c>
      <c r="H479" s="234">
        <v>42.0</v>
      </c>
      <c r="I479" s="235">
        <v>91.0</v>
      </c>
      <c r="J479" s="236">
        <v>5.3473563E7</v>
      </c>
      <c r="K479" s="11">
        <v>29.0</v>
      </c>
      <c r="L479" s="11">
        <v>7.0</v>
      </c>
      <c r="M479" s="237" t="str">
        <f t="shared" si="1"/>
        <v>0420910053473563297</v>
      </c>
      <c r="N479" s="238">
        <v>4519.23</v>
      </c>
      <c r="O479" s="110">
        <v>91322.0</v>
      </c>
      <c r="P479" s="11">
        <v>77.0</v>
      </c>
      <c r="Q479" s="239"/>
      <c r="R479" s="17">
        <v>10.0</v>
      </c>
    </row>
    <row r="480">
      <c r="A480" s="11">
        <v>16.0</v>
      </c>
      <c r="B480" s="11">
        <v>71.0</v>
      </c>
      <c r="C480" s="11">
        <v>2.0</v>
      </c>
      <c r="D480" s="11" t="s">
        <v>29</v>
      </c>
      <c r="E480" s="234">
        <v>36.0</v>
      </c>
      <c r="F480" s="235">
        <v>43.0</v>
      </c>
      <c r="G480" s="235">
        <v>43.0</v>
      </c>
      <c r="H480" s="234">
        <v>36.0</v>
      </c>
      <c r="I480" s="235">
        <v>43.0</v>
      </c>
      <c r="J480" s="236">
        <v>7.3471815E7</v>
      </c>
      <c r="K480" s="11">
        <v>18.0</v>
      </c>
      <c r="L480" s="11">
        <v>0.0</v>
      </c>
      <c r="M480" s="237" t="str">
        <f t="shared" si="1"/>
        <v>0360430073471815180</v>
      </c>
      <c r="N480" s="238">
        <v>-40272.08</v>
      </c>
      <c r="O480" s="110">
        <v>30720.0</v>
      </c>
      <c r="P480" s="11">
        <v>72.0</v>
      </c>
      <c r="Q480" s="239"/>
      <c r="R480" s="17">
        <v>31.0</v>
      </c>
    </row>
    <row r="481">
      <c r="A481" s="11">
        <v>12.0</v>
      </c>
      <c r="B481" s="11">
        <v>71.0</v>
      </c>
      <c r="C481" s="11">
        <v>7.0</v>
      </c>
      <c r="D481" s="11" t="s">
        <v>29</v>
      </c>
      <c r="E481" s="234">
        <v>21.0</v>
      </c>
      <c r="F481" s="235">
        <v>121.0</v>
      </c>
      <c r="G481" s="235">
        <v>121.0</v>
      </c>
      <c r="H481" s="234">
        <v>21.0</v>
      </c>
      <c r="I481" s="235">
        <v>121.0</v>
      </c>
      <c r="J481" s="236">
        <v>6.874613E7</v>
      </c>
      <c r="K481" s="11">
        <v>76.0</v>
      </c>
      <c r="L481" s="11">
        <v>5.0</v>
      </c>
      <c r="M481" s="237" t="str">
        <f t="shared" si="1"/>
        <v>0211210068746130765</v>
      </c>
      <c r="N481" s="238">
        <v>-14121.81</v>
      </c>
      <c r="O481" s="110">
        <v>91419.0</v>
      </c>
      <c r="P481" s="11">
        <v>79.0</v>
      </c>
      <c r="Q481" s="239"/>
      <c r="R481" s="17">
        <v>31.0</v>
      </c>
    </row>
    <row r="482">
      <c r="A482" s="11">
        <v>15.0</v>
      </c>
      <c r="B482" s="11">
        <v>92.0</v>
      </c>
      <c r="C482" s="11">
        <v>1.0</v>
      </c>
      <c r="D482" s="11" t="s">
        <v>5272</v>
      </c>
      <c r="E482" s="234">
        <v>18.0</v>
      </c>
      <c r="F482" s="235">
        <v>145.0</v>
      </c>
      <c r="G482" s="235">
        <v>145.0</v>
      </c>
      <c r="H482" s="234">
        <v>18.0</v>
      </c>
      <c r="I482" s="235">
        <v>145.0</v>
      </c>
      <c r="J482" s="236">
        <v>5.8832389E7</v>
      </c>
      <c r="K482" s="11">
        <v>82.0</v>
      </c>
      <c r="L482" s="11">
        <v>4.0</v>
      </c>
      <c r="M482" s="237" t="str">
        <f t="shared" si="1"/>
        <v>0181450058832389824</v>
      </c>
      <c r="N482" s="238">
        <v>8644.3</v>
      </c>
      <c r="O482" s="110">
        <v>102020.0</v>
      </c>
      <c r="P482" s="11">
        <v>73.0</v>
      </c>
      <c r="Q482" s="239"/>
      <c r="R482" s="17">
        <v>92.0</v>
      </c>
    </row>
    <row r="483">
      <c r="A483" s="11">
        <v>15.0</v>
      </c>
      <c r="B483" s="11">
        <v>71.0</v>
      </c>
      <c r="C483" s="11">
        <v>5.0</v>
      </c>
      <c r="D483" s="11" t="s">
        <v>5272</v>
      </c>
      <c r="E483" s="234">
        <v>17.0</v>
      </c>
      <c r="F483" s="235">
        <v>69.0</v>
      </c>
      <c r="G483" s="235">
        <v>69.0</v>
      </c>
      <c r="H483" s="234">
        <v>17.0</v>
      </c>
      <c r="I483" s="235">
        <v>69.0</v>
      </c>
      <c r="J483" s="236">
        <v>8.7295025E7</v>
      </c>
      <c r="K483" s="11">
        <v>9.0</v>
      </c>
      <c r="L483" s="11">
        <v>9.0</v>
      </c>
      <c r="M483" s="237" t="str">
        <f t="shared" si="1"/>
        <v>017069008729502599</v>
      </c>
      <c r="N483" s="238">
        <v>33972.27</v>
      </c>
      <c r="O483" s="110">
        <v>121517.0</v>
      </c>
      <c r="P483" s="11">
        <v>77.0</v>
      </c>
      <c r="Q483" s="239"/>
      <c r="R483" s="17">
        <v>92.0</v>
      </c>
    </row>
    <row r="484">
      <c r="A484" s="11">
        <v>10.0</v>
      </c>
      <c r="B484" s="11">
        <v>71.0</v>
      </c>
      <c r="C484" s="11">
        <v>3.0</v>
      </c>
      <c r="D484" s="11" t="s">
        <v>5272</v>
      </c>
      <c r="E484" s="234">
        <v>19.0</v>
      </c>
      <c r="F484" s="235">
        <v>33.0</v>
      </c>
      <c r="G484" s="235">
        <v>33.0</v>
      </c>
      <c r="H484" s="234">
        <v>19.0</v>
      </c>
      <c r="I484" s="235">
        <v>33.0</v>
      </c>
      <c r="J484" s="236">
        <v>3.644777E7</v>
      </c>
      <c r="K484" s="11">
        <v>63.0</v>
      </c>
      <c r="L484" s="11">
        <v>6.0</v>
      </c>
      <c r="M484" s="237" t="str">
        <f t="shared" si="1"/>
        <v>0190330036447770636</v>
      </c>
      <c r="N484" s="238">
        <v>26880.2</v>
      </c>
      <c r="O484" s="110">
        <v>80817.0</v>
      </c>
      <c r="P484" s="11">
        <v>76.0</v>
      </c>
      <c r="Q484" s="239"/>
      <c r="R484" s="17">
        <v>72.0</v>
      </c>
    </row>
    <row r="485">
      <c r="A485" s="11">
        <v>20.0</v>
      </c>
      <c r="B485" s="11">
        <v>71.0</v>
      </c>
      <c r="C485" s="11">
        <v>2.0</v>
      </c>
      <c r="D485" s="11" t="s">
        <v>5273</v>
      </c>
      <c r="E485" s="234">
        <v>47.0</v>
      </c>
      <c r="F485" s="235">
        <v>165.0</v>
      </c>
      <c r="G485" s="235">
        <v>165.0</v>
      </c>
      <c r="H485" s="234">
        <v>47.0</v>
      </c>
      <c r="I485" s="235">
        <v>165.0</v>
      </c>
      <c r="J485" s="236">
        <v>7.3850509E7</v>
      </c>
      <c r="K485" s="11">
        <v>75.0</v>
      </c>
      <c r="L485" s="11">
        <v>3.0</v>
      </c>
      <c r="M485" s="237" t="str">
        <f t="shared" si="1"/>
        <v>0471650073850509753</v>
      </c>
      <c r="N485" s="238">
        <v>12593.95</v>
      </c>
      <c r="O485" s="110">
        <v>112313.0</v>
      </c>
      <c r="P485" s="11">
        <v>74.0</v>
      </c>
      <c r="Q485" s="239"/>
      <c r="R485" s="17">
        <v>31.0</v>
      </c>
    </row>
    <row r="486">
      <c r="A486" s="11">
        <v>18.0</v>
      </c>
      <c r="B486" s="11">
        <v>51.0</v>
      </c>
      <c r="C486" s="11">
        <v>5.0</v>
      </c>
      <c r="D486" s="11" t="s">
        <v>29</v>
      </c>
      <c r="E486" s="234">
        <v>17.0</v>
      </c>
      <c r="F486" s="235">
        <v>35.0</v>
      </c>
      <c r="G486" s="235">
        <v>35.0</v>
      </c>
      <c r="H486" s="234">
        <v>17.0</v>
      </c>
      <c r="I486" s="235">
        <v>35.0</v>
      </c>
      <c r="J486" s="236">
        <v>7.8257755E7</v>
      </c>
      <c r="K486" s="11">
        <v>98.0</v>
      </c>
      <c r="L486" s="11">
        <v>7.0</v>
      </c>
      <c r="M486" s="237" t="str">
        <f t="shared" si="1"/>
        <v>0170350078257755987</v>
      </c>
      <c r="N486" s="238">
        <v>63634.19</v>
      </c>
      <c r="O486" s="110">
        <v>91113.0</v>
      </c>
      <c r="P486" s="11">
        <v>79.0</v>
      </c>
      <c r="Q486" s="239"/>
      <c r="R486" s="17">
        <v>72.0</v>
      </c>
    </row>
    <row r="487">
      <c r="A487" s="11">
        <v>12.0</v>
      </c>
      <c r="B487" s="11">
        <v>51.0</v>
      </c>
      <c r="C487" s="11">
        <v>3.0</v>
      </c>
      <c r="D487" s="11" t="s">
        <v>31</v>
      </c>
      <c r="E487" s="234">
        <v>34.0</v>
      </c>
      <c r="F487" s="235">
        <v>33.0</v>
      </c>
      <c r="G487" s="235">
        <v>33.0</v>
      </c>
      <c r="H487" s="234">
        <v>34.0</v>
      </c>
      <c r="I487" s="235">
        <v>33.0</v>
      </c>
      <c r="J487" s="236">
        <v>6.8235569E7</v>
      </c>
      <c r="K487" s="11">
        <v>54.0</v>
      </c>
      <c r="L487" s="11">
        <v>3.0</v>
      </c>
      <c r="M487" s="237" t="str">
        <f t="shared" si="1"/>
        <v>0340330068235569543</v>
      </c>
      <c r="N487" s="238">
        <v>17430.56</v>
      </c>
      <c r="O487" s="110">
        <v>102015.0</v>
      </c>
      <c r="P487" s="11">
        <v>75.0</v>
      </c>
      <c r="Q487" s="239"/>
      <c r="R487" s="17">
        <v>92.0</v>
      </c>
    </row>
    <row r="488">
      <c r="A488" s="11">
        <v>20.0</v>
      </c>
      <c r="B488" s="11">
        <v>51.0</v>
      </c>
      <c r="C488" s="11">
        <v>4.0</v>
      </c>
      <c r="D488" s="11" t="s">
        <v>29</v>
      </c>
      <c r="E488" s="234">
        <v>2.0</v>
      </c>
      <c r="F488" s="235">
        <v>185.0</v>
      </c>
      <c r="G488" s="235">
        <v>185.0</v>
      </c>
      <c r="H488" s="234">
        <v>2.0</v>
      </c>
      <c r="I488" s="235">
        <v>185.0</v>
      </c>
      <c r="J488" s="236">
        <v>5.1079418E7</v>
      </c>
      <c r="K488" s="11">
        <v>80.0</v>
      </c>
      <c r="L488" s="11">
        <v>6.0</v>
      </c>
      <c r="M488" s="237" t="str">
        <f t="shared" si="1"/>
        <v>021850051079418806</v>
      </c>
      <c r="N488" s="238">
        <v>59994.01</v>
      </c>
      <c r="O488" s="110">
        <v>70923.0</v>
      </c>
      <c r="P488" s="11">
        <v>78.0</v>
      </c>
      <c r="Q488" s="239"/>
      <c r="R488" s="17">
        <v>51.0</v>
      </c>
    </row>
    <row r="489">
      <c r="A489" s="11">
        <v>17.0</v>
      </c>
      <c r="B489" s="11">
        <v>51.0</v>
      </c>
      <c r="C489" s="11">
        <v>2.0</v>
      </c>
      <c r="D489" s="11" t="s">
        <v>39</v>
      </c>
      <c r="E489" s="234">
        <v>12.0</v>
      </c>
      <c r="F489" s="235">
        <v>73.0</v>
      </c>
      <c r="G489" s="235">
        <v>73.0</v>
      </c>
      <c r="H489" s="234">
        <v>12.0</v>
      </c>
      <c r="I489" s="235">
        <v>73.0</v>
      </c>
      <c r="J489" s="236">
        <v>3.1024448E7</v>
      </c>
      <c r="K489" s="11">
        <v>99.0</v>
      </c>
      <c r="L489" s="11">
        <v>8.0</v>
      </c>
      <c r="M489" s="237" t="str">
        <f t="shared" si="1"/>
        <v>0120730031024448998</v>
      </c>
      <c r="N489" s="238">
        <v>-49361.3</v>
      </c>
      <c r="O489" s="110">
        <v>30213.0</v>
      </c>
      <c r="P489" s="11">
        <v>72.0</v>
      </c>
      <c r="Q489" s="239"/>
      <c r="R489" s="17">
        <v>51.0</v>
      </c>
    </row>
    <row r="490">
      <c r="A490" s="11">
        <v>19.0</v>
      </c>
      <c r="B490" s="11">
        <v>92.0</v>
      </c>
      <c r="C490" s="11">
        <v>2.0</v>
      </c>
      <c r="D490" s="11" t="s">
        <v>5272</v>
      </c>
      <c r="E490" s="234">
        <v>6.0</v>
      </c>
      <c r="F490" s="235">
        <v>95.0</v>
      </c>
      <c r="G490" s="235">
        <v>95.0</v>
      </c>
      <c r="H490" s="234">
        <v>6.0</v>
      </c>
      <c r="I490" s="235">
        <v>95.0</v>
      </c>
      <c r="J490" s="236">
        <v>2.6599534E7</v>
      </c>
      <c r="K490" s="11">
        <v>38.0</v>
      </c>
      <c r="L490" s="11">
        <v>3.0</v>
      </c>
      <c r="M490" s="237" t="str">
        <f t="shared" si="1"/>
        <v>060950026599534383</v>
      </c>
      <c r="N490" s="238">
        <v>-86881.46</v>
      </c>
      <c r="O490" s="110">
        <v>32223.0</v>
      </c>
      <c r="P490" s="11">
        <v>75.0</v>
      </c>
      <c r="Q490" s="239"/>
      <c r="R490" s="17">
        <v>92.0</v>
      </c>
    </row>
    <row r="491">
      <c r="A491" s="11">
        <v>17.0</v>
      </c>
      <c r="B491" s="11">
        <v>72.0</v>
      </c>
      <c r="C491" s="11">
        <v>3.0</v>
      </c>
      <c r="D491" s="11" t="s">
        <v>29</v>
      </c>
      <c r="E491" s="234">
        <v>29.0</v>
      </c>
      <c r="F491" s="235">
        <v>121.0</v>
      </c>
      <c r="G491" s="235">
        <v>121.0</v>
      </c>
      <c r="H491" s="234">
        <v>29.0</v>
      </c>
      <c r="I491" s="235">
        <v>121.0</v>
      </c>
      <c r="J491" s="236">
        <v>4.9912079E7</v>
      </c>
      <c r="K491" s="11">
        <v>69.0</v>
      </c>
      <c r="L491" s="11">
        <v>4.0</v>
      </c>
      <c r="M491" s="237" t="str">
        <f t="shared" si="1"/>
        <v>0291210049912079694</v>
      </c>
      <c r="N491" s="238">
        <v>-44162.47</v>
      </c>
      <c r="O491" s="110">
        <v>81423.0</v>
      </c>
      <c r="P491" s="11">
        <v>71.0</v>
      </c>
      <c r="Q491" s="239"/>
      <c r="R491" s="17">
        <v>11.0</v>
      </c>
    </row>
    <row r="492">
      <c r="A492" s="11">
        <v>14.0</v>
      </c>
      <c r="B492" s="11">
        <v>31.0</v>
      </c>
      <c r="C492" s="11">
        <v>3.0</v>
      </c>
      <c r="D492" s="11" t="s">
        <v>39</v>
      </c>
      <c r="E492" s="234">
        <v>16.0</v>
      </c>
      <c r="F492" s="235">
        <v>45.0</v>
      </c>
      <c r="G492" s="235">
        <v>45.0</v>
      </c>
      <c r="H492" s="234">
        <v>16.0</v>
      </c>
      <c r="I492" s="235">
        <v>45.0</v>
      </c>
      <c r="J492" s="236">
        <v>6.5858776E7</v>
      </c>
      <c r="K492" s="11">
        <v>27.0</v>
      </c>
      <c r="L492" s="11">
        <v>5.0</v>
      </c>
      <c r="M492" s="237" t="str">
        <f t="shared" si="1"/>
        <v>0160450065858776275</v>
      </c>
      <c r="N492" s="238">
        <v>-38000.35</v>
      </c>
      <c r="O492" s="110">
        <v>70716.0</v>
      </c>
      <c r="P492" s="11">
        <v>70.0</v>
      </c>
      <c r="Q492" s="239"/>
      <c r="R492" s="17">
        <v>31.0</v>
      </c>
    </row>
    <row r="493">
      <c r="A493" s="11">
        <v>16.0</v>
      </c>
      <c r="B493" s="11">
        <v>51.0</v>
      </c>
      <c r="C493" s="11">
        <v>1.0</v>
      </c>
      <c r="D493" s="11" t="s">
        <v>5272</v>
      </c>
      <c r="E493" s="234">
        <v>45.0</v>
      </c>
      <c r="F493" s="235">
        <v>19.0</v>
      </c>
      <c r="G493" s="235">
        <v>19.0</v>
      </c>
      <c r="H493" s="234">
        <v>45.0</v>
      </c>
      <c r="I493" s="235">
        <v>19.0</v>
      </c>
      <c r="J493" s="236">
        <v>4.6763223E7</v>
      </c>
      <c r="K493" s="11">
        <v>34.0</v>
      </c>
      <c r="L493" s="11">
        <v>3.0</v>
      </c>
      <c r="M493" s="237" t="str">
        <f t="shared" si="1"/>
        <v>0450190046763223343</v>
      </c>
      <c r="N493" s="238">
        <v>60240.88</v>
      </c>
      <c r="O493" s="110">
        <v>101917.0</v>
      </c>
      <c r="P493" s="11">
        <v>70.0</v>
      </c>
      <c r="Q493" s="239"/>
      <c r="R493" s="17">
        <v>31.0</v>
      </c>
    </row>
    <row r="494">
      <c r="A494" s="11">
        <v>19.0</v>
      </c>
      <c r="B494" s="11">
        <v>72.0</v>
      </c>
      <c r="C494" s="11">
        <v>7.0</v>
      </c>
      <c r="D494" s="11" t="s">
        <v>5271</v>
      </c>
      <c r="E494" s="234">
        <v>16.0</v>
      </c>
      <c r="F494" s="235">
        <v>79.0</v>
      </c>
      <c r="G494" s="235">
        <v>79.0</v>
      </c>
      <c r="H494" s="234">
        <v>16.0</v>
      </c>
      <c r="I494" s="235">
        <v>79.0</v>
      </c>
      <c r="J494" s="236">
        <v>6.6988175E7</v>
      </c>
      <c r="K494" s="11">
        <v>26.0</v>
      </c>
      <c r="L494" s="11">
        <v>2.0</v>
      </c>
      <c r="M494" s="237" t="str">
        <f t="shared" si="1"/>
        <v>0160790066988175262</v>
      </c>
      <c r="N494" s="238">
        <v>20856.14</v>
      </c>
      <c r="O494" s="110">
        <v>103022.0</v>
      </c>
      <c r="P494" s="11">
        <v>73.0</v>
      </c>
      <c r="Q494" s="239"/>
      <c r="R494" s="17">
        <v>11.0</v>
      </c>
    </row>
    <row r="495">
      <c r="A495" s="11">
        <v>16.0</v>
      </c>
      <c r="B495" s="11">
        <v>51.0</v>
      </c>
      <c r="C495" s="11">
        <v>3.0</v>
      </c>
      <c r="D495" s="11" t="s">
        <v>29</v>
      </c>
      <c r="E495" s="234">
        <v>13.0</v>
      </c>
      <c r="F495" s="235">
        <v>263.0</v>
      </c>
      <c r="G495" s="235">
        <v>263.0</v>
      </c>
      <c r="H495" s="234">
        <v>13.0</v>
      </c>
      <c r="I495" s="235">
        <v>263.0</v>
      </c>
      <c r="J495" s="236">
        <v>8.3309798E7</v>
      </c>
      <c r="K495" s="11">
        <v>2.0</v>
      </c>
      <c r="L495" s="11">
        <v>5.0</v>
      </c>
      <c r="M495" s="237" t="str">
        <f t="shared" si="1"/>
        <v>013263008330979825</v>
      </c>
      <c r="N495" s="238">
        <v>-86089.47</v>
      </c>
      <c r="O495" s="110">
        <v>52519.0</v>
      </c>
      <c r="P495" s="11">
        <v>79.0</v>
      </c>
      <c r="Q495" s="239"/>
      <c r="R495" s="17">
        <v>31.0</v>
      </c>
    </row>
    <row r="496">
      <c r="A496" s="11">
        <v>12.0</v>
      </c>
      <c r="B496" s="11">
        <v>92.0</v>
      </c>
      <c r="C496" s="11">
        <v>9.0</v>
      </c>
      <c r="D496" s="11" t="s">
        <v>5271</v>
      </c>
      <c r="E496" s="234">
        <v>16.0</v>
      </c>
      <c r="F496" s="235">
        <v>37.0</v>
      </c>
      <c r="G496" s="235">
        <v>37.0</v>
      </c>
      <c r="H496" s="234">
        <v>16.0</v>
      </c>
      <c r="I496" s="235">
        <v>37.0</v>
      </c>
      <c r="J496" s="236">
        <v>4.8810098E7</v>
      </c>
      <c r="K496" s="11">
        <v>51.0</v>
      </c>
      <c r="L496" s="11">
        <v>3.0</v>
      </c>
      <c r="M496" s="237" t="str">
        <f t="shared" si="1"/>
        <v>0160370048810098513</v>
      </c>
      <c r="N496" s="238">
        <v>10637.92</v>
      </c>
      <c r="O496" s="110">
        <v>110323.0</v>
      </c>
      <c r="P496" s="11">
        <v>71.0</v>
      </c>
      <c r="Q496" s="239"/>
      <c r="R496" s="17">
        <v>72.0</v>
      </c>
    </row>
    <row r="497">
      <c r="A497" s="11">
        <v>20.0</v>
      </c>
      <c r="B497" s="11">
        <v>51.0</v>
      </c>
      <c r="C497" s="11">
        <v>2.0</v>
      </c>
      <c r="D497" s="11" t="s">
        <v>29</v>
      </c>
      <c r="E497" s="234">
        <v>24.0</v>
      </c>
      <c r="F497" s="235">
        <v>15.0</v>
      </c>
      <c r="G497" s="235">
        <v>15.0</v>
      </c>
      <c r="H497" s="234">
        <v>24.0</v>
      </c>
      <c r="I497" s="235">
        <v>15.0</v>
      </c>
      <c r="J497" s="236">
        <v>3.0305345E7</v>
      </c>
      <c r="K497" s="11">
        <v>81.0</v>
      </c>
      <c r="L497" s="11">
        <v>1.0</v>
      </c>
      <c r="M497" s="237" t="str">
        <f t="shared" si="1"/>
        <v>0240150030305345811</v>
      </c>
      <c r="N497" s="238">
        <v>59455.68</v>
      </c>
      <c r="O497" s="110">
        <v>30518.0</v>
      </c>
      <c r="P497" s="11">
        <v>76.0</v>
      </c>
      <c r="Q497" s="239"/>
      <c r="R497" s="17">
        <v>31.0</v>
      </c>
    </row>
    <row r="498">
      <c r="A498" s="11">
        <v>16.0</v>
      </c>
      <c r="B498" s="11">
        <v>92.0</v>
      </c>
      <c r="C498" s="11">
        <v>7.0</v>
      </c>
      <c r="D498" s="11" t="s">
        <v>5273</v>
      </c>
      <c r="E498" s="234">
        <v>46.0</v>
      </c>
      <c r="F498" s="235">
        <v>51.0</v>
      </c>
      <c r="G498" s="235">
        <v>51.0</v>
      </c>
      <c r="H498" s="234">
        <v>46.0</v>
      </c>
      <c r="I498" s="235">
        <v>51.0</v>
      </c>
      <c r="J498" s="236">
        <v>5.1660648E7</v>
      </c>
      <c r="K498" s="11">
        <v>60.0</v>
      </c>
      <c r="L498" s="11">
        <v>1.0</v>
      </c>
      <c r="M498" s="237" t="str">
        <f t="shared" si="1"/>
        <v>0460510051660648601</v>
      </c>
      <c r="N498" s="238">
        <v>56620.56</v>
      </c>
      <c r="O498" s="110">
        <v>12115.0</v>
      </c>
      <c r="P498" s="11">
        <v>78.0</v>
      </c>
      <c r="Q498" s="239"/>
      <c r="R498" s="17">
        <v>92.0</v>
      </c>
    </row>
    <row r="499">
      <c r="A499" s="11">
        <v>20.0</v>
      </c>
      <c r="B499" s="11">
        <v>51.0</v>
      </c>
      <c r="C499" s="11">
        <v>7.0</v>
      </c>
      <c r="D499" s="11" t="s">
        <v>5271</v>
      </c>
      <c r="E499" s="234">
        <v>56.0</v>
      </c>
      <c r="F499" s="235">
        <v>17.0</v>
      </c>
      <c r="G499" s="235">
        <v>17.0</v>
      </c>
      <c r="H499" s="234">
        <v>56.0</v>
      </c>
      <c r="I499" s="235">
        <v>17.0</v>
      </c>
      <c r="J499" s="236">
        <v>5.0378598E7</v>
      </c>
      <c r="K499" s="11">
        <v>42.0</v>
      </c>
      <c r="L499" s="11">
        <v>6.0</v>
      </c>
      <c r="M499" s="237" t="str">
        <f t="shared" si="1"/>
        <v>0560170050378598426</v>
      </c>
      <c r="N499" s="238">
        <v>79706.6</v>
      </c>
      <c r="O499" s="110">
        <v>30815.0</v>
      </c>
      <c r="P499" s="11">
        <v>71.0</v>
      </c>
      <c r="Q499" s="239"/>
      <c r="R499" s="17">
        <v>31.0</v>
      </c>
    </row>
    <row r="500">
      <c r="A500" s="11">
        <v>10.0</v>
      </c>
      <c r="B500" s="11">
        <v>51.0</v>
      </c>
      <c r="C500" s="11">
        <v>2.0</v>
      </c>
      <c r="D500" s="11" t="s">
        <v>29</v>
      </c>
      <c r="E500" s="234">
        <v>29.0</v>
      </c>
      <c r="F500" s="235">
        <v>201.0</v>
      </c>
      <c r="G500" s="235">
        <v>201.0</v>
      </c>
      <c r="H500" s="234">
        <v>29.0</v>
      </c>
      <c r="I500" s="235">
        <v>201.0</v>
      </c>
      <c r="J500" s="236">
        <v>9.8100962E7</v>
      </c>
      <c r="K500" s="11">
        <v>8.0</v>
      </c>
      <c r="L500" s="11">
        <v>6.0</v>
      </c>
      <c r="M500" s="237" t="str">
        <f t="shared" si="1"/>
        <v>029201009810096286</v>
      </c>
      <c r="N500" s="238">
        <v>84330.54</v>
      </c>
      <c r="O500" s="110">
        <v>91321.0</v>
      </c>
      <c r="P500" s="11">
        <v>77.0</v>
      </c>
      <c r="Q500" s="239"/>
      <c r="R500" s="17">
        <v>11.0</v>
      </c>
    </row>
    <row r="501">
      <c r="A501" s="11">
        <v>15.0</v>
      </c>
      <c r="B501" s="11">
        <v>92.0</v>
      </c>
      <c r="C501" s="11">
        <v>6.0</v>
      </c>
      <c r="D501" s="11" t="s">
        <v>5273</v>
      </c>
      <c r="E501" s="234">
        <v>13.0</v>
      </c>
      <c r="F501" s="235">
        <v>301.0</v>
      </c>
      <c r="G501" s="235">
        <v>301.0</v>
      </c>
      <c r="H501" s="234">
        <v>13.0</v>
      </c>
      <c r="I501" s="235">
        <v>301.0</v>
      </c>
      <c r="J501" s="236">
        <v>9.2569015E7</v>
      </c>
      <c r="K501" s="11">
        <v>64.0</v>
      </c>
      <c r="L501" s="11">
        <v>1.0</v>
      </c>
      <c r="M501" s="237" t="str">
        <f t="shared" si="1"/>
        <v>0133010092569015641</v>
      </c>
      <c r="N501" s="238">
        <v>-39917.8</v>
      </c>
      <c r="O501" s="110">
        <v>81121.0</v>
      </c>
      <c r="P501" s="11">
        <v>80.0</v>
      </c>
      <c r="Q501" s="239"/>
      <c r="R501" s="17">
        <v>72.0</v>
      </c>
    </row>
    <row r="502">
      <c r="A502" s="11">
        <v>19.0</v>
      </c>
      <c r="B502" s="11">
        <v>72.0</v>
      </c>
      <c r="C502" s="11">
        <v>3.0</v>
      </c>
      <c r="D502" s="11" t="s">
        <v>39</v>
      </c>
      <c r="E502" s="234">
        <v>6.0</v>
      </c>
      <c r="F502" s="235">
        <v>9.0</v>
      </c>
      <c r="G502" s="235">
        <v>9.0</v>
      </c>
      <c r="H502" s="234">
        <v>6.0</v>
      </c>
      <c r="I502" s="235">
        <v>9.0</v>
      </c>
      <c r="J502" s="236">
        <v>9.6222697E7</v>
      </c>
      <c r="K502" s="11">
        <v>80.0</v>
      </c>
      <c r="L502" s="11">
        <v>6.0</v>
      </c>
      <c r="M502" s="237" t="str">
        <f t="shared" si="1"/>
        <v>060090096222697806</v>
      </c>
      <c r="N502" s="238">
        <v>96116.32</v>
      </c>
      <c r="O502" s="110">
        <v>111720.0</v>
      </c>
      <c r="P502" s="11">
        <v>80.0</v>
      </c>
      <c r="Q502" s="239"/>
      <c r="R502" s="17">
        <v>52.0</v>
      </c>
    </row>
    <row r="503">
      <c r="A503" s="11">
        <v>16.0</v>
      </c>
      <c r="B503" s="11">
        <v>92.0</v>
      </c>
      <c r="C503" s="11">
        <v>4.0</v>
      </c>
      <c r="D503" s="11" t="s">
        <v>5273</v>
      </c>
      <c r="E503" s="234">
        <v>55.0</v>
      </c>
      <c r="F503" s="235">
        <v>41.0</v>
      </c>
      <c r="G503" s="235">
        <v>41.0</v>
      </c>
      <c r="H503" s="234">
        <v>55.0</v>
      </c>
      <c r="I503" s="235">
        <v>41.0</v>
      </c>
      <c r="J503" s="236">
        <v>3.5009532E7</v>
      </c>
      <c r="K503" s="11">
        <v>63.0</v>
      </c>
      <c r="L503" s="11">
        <v>9.0</v>
      </c>
      <c r="M503" s="237" t="str">
        <f t="shared" si="1"/>
        <v>0550410035009532639</v>
      </c>
      <c r="N503" s="238">
        <v>-78243.06</v>
      </c>
      <c r="O503" s="110">
        <v>42217.0</v>
      </c>
      <c r="P503" s="11">
        <v>78.0</v>
      </c>
      <c r="Q503" s="239"/>
      <c r="R503" s="17">
        <v>31.0</v>
      </c>
    </row>
    <row r="504">
      <c r="A504" s="11">
        <v>14.0</v>
      </c>
      <c r="B504" s="11">
        <v>72.0</v>
      </c>
      <c r="C504" s="11">
        <v>7.0</v>
      </c>
      <c r="D504" s="11" t="s">
        <v>31</v>
      </c>
      <c r="E504" s="234">
        <v>5.0</v>
      </c>
      <c r="F504" s="235">
        <v>25.0</v>
      </c>
      <c r="G504" s="235">
        <v>25.0</v>
      </c>
      <c r="H504" s="234">
        <v>5.0</v>
      </c>
      <c r="I504" s="235">
        <v>25.0</v>
      </c>
      <c r="J504" s="236">
        <v>7.4926175E7</v>
      </c>
      <c r="K504" s="11">
        <v>97.0</v>
      </c>
      <c r="L504" s="11">
        <v>7.0</v>
      </c>
      <c r="M504" s="237" t="str">
        <f t="shared" si="1"/>
        <v>050250074926175977</v>
      </c>
      <c r="N504" s="238">
        <v>-24203.52</v>
      </c>
      <c r="O504" s="110">
        <v>80518.0</v>
      </c>
      <c r="P504" s="11">
        <v>73.0</v>
      </c>
      <c r="Q504" s="239"/>
      <c r="R504" s="17">
        <v>31.0</v>
      </c>
    </row>
    <row r="505">
      <c r="A505" s="11">
        <v>19.0</v>
      </c>
      <c r="B505" s="11">
        <v>51.0</v>
      </c>
      <c r="C505" s="11">
        <v>7.0</v>
      </c>
      <c r="D505" s="11" t="s">
        <v>31</v>
      </c>
      <c r="E505" s="234">
        <v>12.0</v>
      </c>
      <c r="F505" s="235">
        <v>71.0</v>
      </c>
      <c r="G505" s="235">
        <v>71.0</v>
      </c>
      <c r="H505" s="234">
        <v>12.0</v>
      </c>
      <c r="I505" s="235">
        <v>71.0</v>
      </c>
      <c r="J505" s="236">
        <v>7.5908695E7</v>
      </c>
      <c r="K505" s="11">
        <v>17.0</v>
      </c>
      <c r="L505" s="11">
        <v>1.0</v>
      </c>
      <c r="M505" s="237" t="str">
        <f t="shared" si="1"/>
        <v>0120710075908695171</v>
      </c>
      <c r="N505" s="238">
        <v>-1180.06</v>
      </c>
      <c r="O505" s="110">
        <v>61118.0</v>
      </c>
      <c r="P505" s="11">
        <v>75.0</v>
      </c>
      <c r="Q505" s="239"/>
      <c r="R505" s="17">
        <v>52.0</v>
      </c>
    </row>
    <row r="506">
      <c r="A506" s="11">
        <v>12.0</v>
      </c>
      <c r="B506" s="11">
        <v>92.0</v>
      </c>
      <c r="C506" s="11">
        <v>5.0</v>
      </c>
      <c r="D506" s="11" t="s">
        <v>5272</v>
      </c>
      <c r="E506" s="234">
        <v>40.0</v>
      </c>
      <c r="F506" s="235">
        <v>37.0</v>
      </c>
      <c r="G506" s="235">
        <v>37.0</v>
      </c>
      <c r="H506" s="234">
        <v>40.0</v>
      </c>
      <c r="I506" s="235">
        <v>37.0</v>
      </c>
      <c r="J506" s="236">
        <v>2.9463713E7</v>
      </c>
      <c r="K506" s="11">
        <v>60.0</v>
      </c>
      <c r="L506" s="11">
        <v>8.0</v>
      </c>
      <c r="M506" s="237" t="str">
        <f t="shared" si="1"/>
        <v>0400370029463713608</v>
      </c>
      <c r="N506" s="238">
        <v>-24263.39</v>
      </c>
      <c r="O506" s="110">
        <v>112615.0</v>
      </c>
      <c r="P506" s="11">
        <v>70.0</v>
      </c>
      <c r="Q506" s="239"/>
      <c r="R506" s="17">
        <v>93.0</v>
      </c>
    </row>
    <row r="507">
      <c r="A507" s="11">
        <v>17.0</v>
      </c>
      <c r="B507" s="11">
        <v>92.0</v>
      </c>
      <c r="C507" s="11">
        <v>1.0</v>
      </c>
      <c r="D507" s="11" t="s">
        <v>5271</v>
      </c>
      <c r="E507" s="234">
        <v>29.0</v>
      </c>
      <c r="F507" s="235">
        <v>187.0</v>
      </c>
      <c r="G507" s="235">
        <v>187.0</v>
      </c>
      <c r="H507" s="234">
        <v>29.0</v>
      </c>
      <c r="I507" s="235">
        <v>187.0</v>
      </c>
      <c r="J507" s="236">
        <v>3.1213309E7</v>
      </c>
      <c r="K507" s="11">
        <v>58.0</v>
      </c>
      <c r="L507" s="11">
        <v>6.0</v>
      </c>
      <c r="M507" s="237" t="str">
        <f t="shared" si="1"/>
        <v>0291870031213309586</v>
      </c>
      <c r="N507" s="238">
        <v>-38228.29</v>
      </c>
      <c r="O507" s="110">
        <v>72116.0</v>
      </c>
      <c r="P507" s="11">
        <v>77.0</v>
      </c>
      <c r="Q507" s="239"/>
      <c r="R507" s="17">
        <v>72.0</v>
      </c>
    </row>
    <row r="508">
      <c r="A508" s="11">
        <v>13.0</v>
      </c>
      <c r="B508" s="11">
        <v>92.0</v>
      </c>
      <c r="C508" s="11">
        <v>8.0</v>
      </c>
      <c r="D508" s="11" t="s">
        <v>31</v>
      </c>
      <c r="E508" s="234">
        <v>13.0</v>
      </c>
      <c r="F508" s="235">
        <v>177.0</v>
      </c>
      <c r="G508" s="235">
        <v>177.0</v>
      </c>
      <c r="H508" s="234">
        <v>13.0</v>
      </c>
      <c r="I508" s="235">
        <v>177.0</v>
      </c>
      <c r="J508" s="236">
        <v>5.4805188E7</v>
      </c>
      <c r="K508" s="11">
        <v>18.0</v>
      </c>
      <c r="L508" s="11">
        <v>6.0</v>
      </c>
      <c r="M508" s="237" t="str">
        <f t="shared" si="1"/>
        <v>0131770054805188186</v>
      </c>
      <c r="N508" s="238">
        <v>-92834.1</v>
      </c>
      <c r="O508" s="110">
        <v>82313.0</v>
      </c>
      <c r="P508" s="11">
        <v>72.0</v>
      </c>
      <c r="Q508" s="239"/>
      <c r="R508" s="17">
        <v>72.0</v>
      </c>
    </row>
    <row r="509">
      <c r="A509" s="11">
        <v>13.0</v>
      </c>
      <c r="B509" s="11">
        <v>51.0</v>
      </c>
      <c r="C509" s="11">
        <v>3.0</v>
      </c>
      <c r="D509" s="11" t="s">
        <v>31</v>
      </c>
      <c r="E509" s="234">
        <v>21.0</v>
      </c>
      <c r="F509" s="235">
        <v>225.0</v>
      </c>
      <c r="G509" s="235">
        <v>225.0</v>
      </c>
      <c r="H509" s="234">
        <v>21.0</v>
      </c>
      <c r="I509" s="235">
        <v>225.0</v>
      </c>
      <c r="J509" s="236">
        <v>6.0295274E7</v>
      </c>
      <c r="K509" s="11">
        <v>10.0</v>
      </c>
      <c r="L509" s="11">
        <v>7.0</v>
      </c>
      <c r="M509" s="237" t="str">
        <f t="shared" si="1"/>
        <v>0212250060295274107</v>
      </c>
      <c r="N509" s="238">
        <v>87899.61</v>
      </c>
      <c r="O509" s="110">
        <v>20318.0</v>
      </c>
      <c r="P509" s="11">
        <v>80.0</v>
      </c>
      <c r="Q509" s="239"/>
      <c r="R509" s="17">
        <v>11.0</v>
      </c>
    </row>
    <row r="510">
      <c r="A510" s="11">
        <v>18.0</v>
      </c>
      <c r="B510" s="11">
        <v>72.0</v>
      </c>
      <c r="C510" s="11">
        <v>9.0</v>
      </c>
      <c r="D510" s="11" t="s">
        <v>29</v>
      </c>
      <c r="E510" s="234">
        <v>48.0</v>
      </c>
      <c r="F510" s="235">
        <v>403.0</v>
      </c>
      <c r="G510" s="235">
        <v>403.0</v>
      </c>
      <c r="H510" s="234">
        <v>48.0</v>
      </c>
      <c r="I510" s="235">
        <v>403.0</v>
      </c>
      <c r="J510" s="236">
        <v>3.147436E7</v>
      </c>
      <c r="K510" s="11">
        <v>76.0</v>
      </c>
      <c r="L510" s="11">
        <v>1.0</v>
      </c>
      <c r="M510" s="237" t="str">
        <f t="shared" si="1"/>
        <v>0484030031474360761</v>
      </c>
      <c r="N510" s="238">
        <v>-96718.94</v>
      </c>
      <c r="O510" s="110">
        <v>30614.0</v>
      </c>
      <c r="P510" s="11">
        <v>78.0</v>
      </c>
      <c r="Q510" s="239"/>
      <c r="R510" s="17">
        <v>31.0</v>
      </c>
    </row>
    <row r="511">
      <c r="A511" s="11">
        <v>15.0</v>
      </c>
      <c r="B511" s="11">
        <v>92.0</v>
      </c>
      <c r="C511" s="11">
        <v>4.0</v>
      </c>
      <c r="D511" s="11" t="s">
        <v>5273</v>
      </c>
      <c r="E511" s="234">
        <v>36.0</v>
      </c>
      <c r="F511" s="235">
        <v>93.0</v>
      </c>
      <c r="G511" s="235">
        <v>93.0</v>
      </c>
      <c r="H511" s="234">
        <v>36.0</v>
      </c>
      <c r="I511" s="235">
        <v>93.0</v>
      </c>
      <c r="J511" s="236">
        <v>7.4460913E7</v>
      </c>
      <c r="K511" s="11">
        <v>2.0</v>
      </c>
      <c r="L511" s="11">
        <v>3.0</v>
      </c>
      <c r="M511" s="237" t="str">
        <f t="shared" si="1"/>
        <v>036093007446091323</v>
      </c>
      <c r="N511" s="238">
        <v>-80525.33</v>
      </c>
      <c r="O511" s="110">
        <v>90720.0</v>
      </c>
      <c r="P511" s="11">
        <v>71.0</v>
      </c>
      <c r="Q511" s="239"/>
      <c r="R511" s="17">
        <v>31.0</v>
      </c>
    </row>
    <row r="512">
      <c r="A512" s="11">
        <v>17.0</v>
      </c>
      <c r="B512" s="11">
        <v>31.0</v>
      </c>
      <c r="C512" s="11">
        <v>9.0</v>
      </c>
      <c r="D512" s="11" t="s">
        <v>5271</v>
      </c>
      <c r="E512" s="234">
        <v>1.0</v>
      </c>
      <c r="F512" s="235">
        <v>93.0</v>
      </c>
      <c r="G512" s="235">
        <v>93.0</v>
      </c>
      <c r="H512" s="234">
        <v>1.0</v>
      </c>
      <c r="I512" s="235">
        <v>93.0</v>
      </c>
      <c r="J512" s="236">
        <v>1.0645705E7</v>
      </c>
      <c r="K512" s="11">
        <v>25.0</v>
      </c>
      <c r="L512" s="11">
        <v>0.0</v>
      </c>
      <c r="M512" s="237" t="str">
        <f t="shared" si="1"/>
        <v>010930010645705250</v>
      </c>
      <c r="N512" s="238">
        <v>-26530.74</v>
      </c>
      <c r="O512" s="110">
        <v>12223.0</v>
      </c>
      <c r="P512" s="11">
        <v>72.0</v>
      </c>
      <c r="Q512" s="239"/>
      <c r="R512" s="17">
        <v>72.0</v>
      </c>
    </row>
    <row r="513">
      <c r="A513" s="11">
        <v>18.0</v>
      </c>
      <c r="B513" s="11">
        <v>31.0</v>
      </c>
      <c r="C513" s="11">
        <v>2.0</v>
      </c>
      <c r="D513" s="11" t="s">
        <v>5272</v>
      </c>
      <c r="E513" s="234">
        <v>28.0</v>
      </c>
      <c r="F513" s="235">
        <v>95.0</v>
      </c>
      <c r="G513" s="235">
        <v>95.0</v>
      </c>
      <c r="H513" s="234">
        <v>28.0</v>
      </c>
      <c r="I513" s="235">
        <v>95.0</v>
      </c>
      <c r="J513" s="236">
        <v>4.4622266E7</v>
      </c>
      <c r="K513" s="11">
        <v>65.0</v>
      </c>
      <c r="L513" s="11">
        <v>0.0</v>
      </c>
      <c r="M513" s="237" t="str">
        <f t="shared" si="1"/>
        <v>0280950044622266650</v>
      </c>
      <c r="N513" s="238">
        <v>62235.7</v>
      </c>
      <c r="O513" s="110">
        <v>42615.0</v>
      </c>
      <c r="P513" s="11">
        <v>75.0</v>
      </c>
      <c r="Q513" s="239"/>
      <c r="R513" s="17">
        <v>72.0</v>
      </c>
    </row>
    <row r="514">
      <c r="A514" s="11">
        <v>16.0</v>
      </c>
      <c r="B514" s="11">
        <v>31.0</v>
      </c>
      <c r="C514" s="11">
        <v>6.0</v>
      </c>
      <c r="D514" s="11" t="s">
        <v>5272</v>
      </c>
      <c r="E514" s="234">
        <v>36.0</v>
      </c>
      <c r="F514" s="235">
        <v>41.0</v>
      </c>
      <c r="G514" s="235">
        <v>41.0</v>
      </c>
      <c r="H514" s="234">
        <v>36.0</v>
      </c>
      <c r="I514" s="235">
        <v>41.0</v>
      </c>
      <c r="J514" s="236">
        <v>4.6477681E7</v>
      </c>
      <c r="K514" s="11">
        <v>56.0</v>
      </c>
      <c r="L514" s="11">
        <v>4.0</v>
      </c>
      <c r="M514" s="237" t="str">
        <f t="shared" si="1"/>
        <v>0360410046477681564</v>
      </c>
      <c r="N514" s="238">
        <v>-72736.85</v>
      </c>
      <c r="O514" s="110">
        <v>30516.0</v>
      </c>
      <c r="P514" s="11">
        <v>73.0</v>
      </c>
      <c r="Q514" s="239"/>
      <c r="R514" s="17">
        <v>11.0</v>
      </c>
    </row>
    <row r="515">
      <c r="A515" s="11">
        <v>17.0</v>
      </c>
      <c r="B515" s="11">
        <v>52.0</v>
      </c>
      <c r="C515" s="11">
        <v>9.0</v>
      </c>
      <c r="D515" s="11" t="s">
        <v>31</v>
      </c>
      <c r="E515" s="234">
        <v>37.0</v>
      </c>
      <c r="F515" s="235">
        <v>25.0</v>
      </c>
      <c r="G515" s="235">
        <v>25.0</v>
      </c>
      <c r="H515" s="234">
        <v>37.0</v>
      </c>
      <c r="I515" s="235">
        <v>25.0</v>
      </c>
      <c r="J515" s="236">
        <v>6.4257665E7</v>
      </c>
      <c r="K515" s="11">
        <v>91.0</v>
      </c>
      <c r="L515" s="11">
        <v>0.0</v>
      </c>
      <c r="M515" s="237" t="str">
        <f t="shared" si="1"/>
        <v>0370250064257665910</v>
      </c>
      <c r="N515" s="238">
        <v>79482.92</v>
      </c>
      <c r="O515" s="110">
        <v>11619.0</v>
      </c>
      <c r="P515" s="11">
        <v>75.0</v>
      </c>
      <c r="Q515" s="239"/>
      <c r="R515" s="17">
        <v>93.0</v>
      </c>
    </row>
    <row r="516">
      <c r="A516" s="11">
        <v>10.0</v>
      </c>
      <c r="B516" s="11">
        <v>52.0</v>
      </c>
      <c r="C516" s="11">
        <v>6.0</v>
      </c>
      <c r="D516" s="11" t="s">
        <v>29</v>
      </c>
      <c r="E516" s="234">
        <v>46.0</v>
      </c>
      <c r="F516" s="235">
        <v>81.0</v>
      </c>
      <c r="G516" s="235">
        <v>81.0</v>
      </c>
      <c r="H516" s="234">
        <v>46.0</v>
      </c>
      <c r="I516" s="235">
        <v>81.0</v>
      </c>
      <c r="J516" s="236">
        <v>4.4752413E7</v>
      </c>
      <c r="K516" s="11">
        <v>94.0</v>
      </c>
      <c r="L516" s="11">
        <v>5.0</v>
      </c>
      <c r="M516" s="237" t="str">
        <f t="shared" si="1"/>
        <v>0460810044752413945</v>
      </c>
      <c r="N516" s="238">
        <v>-99418.98</v>
      </c>
      <c r="O516" s="110">
        <v>10716.0</v>
      </c>
      <c r="P516" s="11">
        <v>77.0</v>
      </c>
      <c r="Q516" s="239"/>
      <c r="R516" s="17">
        <v>52.0</v>
      </c>
    </row>
    <row r="517">
      <c r="A517" s="11">
        <v>15.0</v>
      </c>
      <c r="B517" s="11">
        <v>72.0</v>
      </c>
      <c r="C517" s="11">
        <v>6.0</v>
      </c>
      <c r="D517" s="11" t="s">
        <v>29</v>
      </c>
      <c r="E517" s="234">
        <v>28.0</v>
      </c>
      <c r="F517" s="235">
        <v>37.0</v>
      </c>
      <c r="G517" s="235">
        <v>37.0</v>
      </c>
      <c r="H517" s="234">
        <v>28.0</v>
      </c>
      <c r="I517" s="235">
        <v>37.0</v>
      </c>
      <c r="J517" s="236">
        <v>3.062604E7</v>
      </c>
      <c r="K517" s="11">
        <v>75.0</v>
      </c>
      <c r="L517" s="11">
        <v>1.0</v>
      </c>
      <c r="M517" s="237" t="str">
        <f t="shared" si="1"/>
        <v>0280370030626040751</v>
      </c>
      <c r="N517" s="238">
        <v>-28960.69</v>
      </c>
      <c r="O517" s="110">
        <v>70119.0</v>
      </c>
      <c r="P517" s="11">
        <v>80.0</v>
      </c>
      <c r="Q517" s="239"/>
      <c r="R517" s="17">
        <v>31.0</v>
      </c>
    </row>
    <row r="518">
      <c r="A518" s="11">
        <v>17.0</v>
      </c>
      <c r="B518" s="11">
        <v>11.0</v>
      </c>
      <c r="C518" s="11">
        <v>6.0</v>
      </c>
      <c r="D518" s="11" t="s">
        <v>5272</v>
      </c>
      <c r="E518" s="234">
        <v>5.0</v>
      </c>
      <c r="F518" s="235">
        <v>67.0</v>
      </c>
      <c r="G518" s="235">
        <v>67.0</v>
      </c>
      <c r="H518" s="234">
        <v>5.0</v>
      </c>
      <c r="I518" s="235">
        <v>67.0</v>
      </c>
      <c r="J518" s="236">
        <v>9.2028793E7</v>
      </c>
      <c r="K518" s="11">
        <v>31.0</v>
      </c>
      <c r="L518" s="11">
        <v>7.0</v>
      </c>
      <c r="M518" s="237" t="str">
        <f t="shared" si="1"/>
        <v>050670092028793317</v>
      </c>
      <c r="N518" s="238">
        <v>-43291.74</v>
      </c>
      <c r="O518" s="110">
        <v>122120.0</v>
      </c>
      <c r="P518" s="11">
        <v>80.0</v>
      </c>
      <c r="Q518" s="239"/>
      <c r="R518" s="17">
        <v>31.0</v>
      </c>
    </row>
    <row r="519">
      <c r="A519" s="11">
        <v>19.0</v>
      </c>
      <c r="B519" s="11">
        <v>52.0</v>
      </c>
      <c r="C519" s="11">
        <v>7.0</v>
      </c>
      <c r="D519" s="11" t="s">
        <v>5273</v>
      </c>
      <c r="E519" s="234">
        <v>19.0</v>
      </c>
      <c r="F519" s="235">
        <v>39.0</v>
      </c>
      <c r="G519" s="235">
        <v>39.0</v>
      </c>
      <c r="H519" s="234">
        <v>19.0</v>
      </c>
      <c r="I519" s="235">
        <v>39.0</v>
      </c>
      <c r="J519" s="236">
        <v>5.7464759E7</v>
      </c>
      <c r="K519" s="11">
        <v>24.0</v>
      </c>
      <c r="L519" s="11">
        <v>9.0</v>
      </c>
      <c r="M519" s="237" t="str">
        <f t="shared" si="1"/>
        <v>0190390057464759249</v>
      </c>
      <c r="N519" s="238">
        <v>-60735.51</v>
      </c>
      <c r="O519" s="110">
        <v>30916.0</v>
      </c>
      <c r="P519" s="11">
        <v>71.0</v>
      </c>
      <c r="Q519" s="239"/>
      <c r="R519" s="17">
        <v>11.0</v>
      </c>
    </row>
    <row r="520">
      <c r="A520" s="11">
        <v>10.0</v>
      </c>
      <c r="B520" s="11">
        <v>93.0</v>
      </c>
      <c r="C520" s="11">
        <v>8.0</v>
      </c>
      <c r="D520" s="11" t="s">
        <v>29</v>
      </c>
      <c r="E520" s="234">
        <v>40.0</v>
      </c>
      <c r="F520" s="235">
        <v>113.0</v>
      </c>
      <c r="G520" s="235">
        <v>113.0</v>
      </c>
      <c r="H520" s="234">
        <v>40.0</v>
      </c>
      <c r="I520" s="235">
        <v>113.0</v>
      </c>
      <c r="J520" s="236">
        <v>4.8553144E7</v>
      </c>
      <c r="K520" s="11">
        <v>93.0</v>
      </c>
      <c r="L520" s="11">
        <v>6.0</v>
      </c>
      <c r="M520" s="237" t="str">
        <f t="shared" si="1"/>
        <v>0401130048553144936</v>
      </c>
      <c r="N520" s="238">
        <v>-21238.15</v>
      </c>
      <c r="O520" s="110">
        <v>100115.0</v>
      </c>
      <c r="P520" s="11">
        <v>75.0</v>
      </c>
      <c r="Q520" s="239"/>
      <c r="R520" s="17">
        <v>93.0</v>
      </c>
    </row>
    <row r="521">
      <c r="A521" s="11">
        <v>10.0</v>
      </c>
      <c r="B521" s="11">
        <v>11.0</v>
      </c>
      <c r="C521" s="11">
        <v>8.0</v>
      </c>
      <c r="D521" s="11" t="s">
        <v>5271</v>
      </c>
      <c r="E521" s="234">
        <v>31.0</v>
      </c>
      <c r="F521" s="235">
        <v>85.0</v>
      </c>
      <c r="G521" s="235">
        <v>85.0</v>
      </c>
      <c r="H521" s="234">
        <v>31.0</v>
      </c>
      <c r="I521" s="235">
        <v>85.0</v>
      </c>
      <c r="J521" s="236">
        <v>7.666706E7</v>
      </c>
      <c r="K521" s="11">
        <v>63.0</v>
      </c>
      <c r="L521" s="11">
        <v>8.0</v>
      </c>
      <c r="M521" s="237" t="str">
        <f t="shared" si="1"/>
        <v>0310850076667060638</v>
      </c>
      <c r="N521" s="238">
        <v>6949.82</v>
      </c>
      <c r="O521" s="110">
        <v>62913.0</v>
      </c>
      <c r="P521" s="11">
        <v>76.0</v>
      </c>
      <c r="Q521" s="239"/>
      <c r="R521" s="17">
        <v>93.0</v>
      </c>
    </row>
    <row r="522">
      <c r="A522" s="11">
        <v>14.0</v>
      </c>
      <c r="B522" s="11">
        <v>52.0</v>
      </c>
      <c r="C522" s="11">
        <v>4.0</v>
      </c>
      <c r="D522" s="11" t="s">
        <v>29</v>
      </c>
      <c r="E522" s="234">
        <v>48.0</v>
      </c>
      <c r="F522" s="235">
        <v>205.0</v>
      </c>
      <c r="G522" s="235">
        <v>205.0</v>
      </c>
      <c r="H522" s="234">
        <v>48.0</v>
      </c>
      <c r="I522" s="235">
        <v>205.0</v>
      </c>
      <c r="J522" s="236">
        <v>9.3782921E7</v>
      </c>
      <c r="K522" s="11">
        <v>19.0</v>
      </c>
      <c r="L522" s="11">
        <v>3.0</v>
      </c>
      <c r="M522" s="237" t="str">
        <f t="shared" si="1"/>
        <v>0482050093782921193</v>
      </c>
      <c r="N522" s="238">
        <v>44499.64</v>
      </c>
      <c r="O522" s="110">
        <v>111818.0</v>
      </c>
      <c r="P522" s="11">
        <v>70.0</v>
      </c>
      <c r="Q522" s="239"/>
      <c r="R522" s="17">
        <v>93.0</v>
      </c>
    </row>
    <row r="523">
      <c r="A523" s="11">
        <v>10.0</v>
      </c>
      <c r="B523" s="11">
        <v>93.0</v>
      </c>
      <c r="C523" s="11">
        <v>6.0</v>
      </c>
      <c r="D523" s="11" t="s">
        <v>5271</v>
      </c>
      <c r="E523" s="234">
        <v>26.0</v>
      </c>
      <c r="F523" s="235">
        <v>95.0</v>
      </c>
      <c r="G523" s="235">
        <v>95.0</v>
      </c>
      <c r="H523" s="234">
        <v>26.0</v>
      </c>
      <c r="I523" s="235">
        <v>95.0</v>
      </c>
      <c r="J523" s="236">
        <v>4.846921E7</v>
      </c>
      <c r="K523" s="11">
        <v>57.0</v>
      </c>
      <c r="L523" s="11">
        <v>5.0</v>
      </c>
      <c r="M523" s="237" t="str">
        <f t="shared" si="1"/>
        <v>0260950048469210575</v>
      </c>
      <c r="N523" s="238">
        <v>30982.16</v>
      </c>
      <c r="O523" s="110">
        <v>121315.0</v>
      </c>
      <c r="P523" s="11">
        <v>79.0</v>
      </c>
      <c r="Q523" s="239"/>
      <c r="R523" s="17">
        <v>11.0</v>
      </c>
    </row>
    <row r="524">
      <c r="A524" s="11">
        <v>20.0</v>
      </c>
      <c r="B524" s="11">
        <v>31.0</v>
      </c>
      <c r="C524" s="11">
        <v>9.0</v>
      </c>
      <c r="D524" s="11" t="s">
        <v>29</v>
      </c>
      <c r="E524" s="234">
        <v>53.0</v>
      </c>
      <c r="F524" s="235">
        <v>37.0</v>
      </c>
      <c r="G524" s="235">
        <v>37.0</v>
      </c>
      <c r="H524" s="234">
        <v>53.0</v>
      </c>
      <c r="I524" s="235">
        <v>37.0</v>
      </c>
      <c r="J524" s="236">
        <v>5.0117459E7</v>
      </c>
      <c r="K524" s="11">
        <v>86.0</v>
      </c>
      <c r="L524" s="11">
        <v>4.0</v>
      </c>
      <c r="M524" s="237" t="str">
        <f t="shared" si="1"/>
        <v>0530370050117459864</v>
      </c>
      <c r="N524" s="238">
        <v>-66332.32</v>
      </c>
      <c r="O524" s="110">
        <v>10813.0</v>
      </c>
      <c r="P524" s="11">
        <v>80.0</v>
      </c>
      <c r="Q524" s="239"/>
      <c r="R524" s="17">
        <v>52.0</v>
      </c>
    </row>
    <row r="525">
      <c r="A525" s="11">
        <v>16.0</v>
      </c>
      <c r="B525" s="11">
        <v>93.0</v>
      </c>
      <c r="C525" s="11">
        <v>8.0</v>
      </c>
      <c r="D525" s="11" t="s">
        <v>39</v>
      </c>
      <c r="E525" s="234">
        <v>29.0</v>
      </c>
      <c r="F525" s="235">
        <v>213.0</v>
      </c>
      <c r="G525" s="235">
        <v>213.0</v>
      </c>
      <c r="H525" s="234">
        <v>29.0</v>
      </c>
      <c r="I525" s="235">
        <v>213.0</v>
      </c>
      <c r="J525" s="236">
        <v>8.1821767E7</v>
      </c>
      <c r="K525" s="11">
        <v>4.0</v>
      </c>
      <c r="L525" s="11">
        <v>5.0</v>
      </c>
      <c r="M525" s="237" t="str">
        <f t="shared" si="1"/>
        <v>029213008182176745</v>
      </c>
      <c r="N525" s="238">
        <v>80735.7</v>
      </c>
      <c r="O525" s="110">
        <v>110318.0</v>
      </c>
      <c r="P525" s="11">
        <v>73.0</v>
      </c>
      <c r="Q525" s="239"/>
      <c r="R525" s="17">
        <v>72.0</v>
      </c>
    </row>
    <row r="526">
      <c r="A526" s="11">
        <v>20.0</v>
      </c>
      <c r="B526" s="11">
        <v>72.0</v>
      </c>
      <c r="C526" s="11">
        <v>2.0</v>
      </c>
      <c r="D526" s="11" t="s">
        <v>5271</v>
      </c>
      <c r="E526" s="234">
        <v>1.0</v>
      </c>
      <c r="F526" s="235">
        <v>5.0</v>
      </c>
      <c r="G526" s="235">
        <v>5.0</v>
      </c>
      <c r="H526" s="234">
        <v>1.0</v>
      </c>
      <c r="I526" s="235">
        <v>5.0</v>
      </c>
      <c r="J526" s="236">
        <v>3.2566853E7</v>
      </c>
      <c r="K526" s="11">
        <v>31.0</v>
      </c>
      <c r="L526" s="11">
        <v>5.0</v>
      </c>
      <c r="M526" s="237" t="str">
        <f t="shared" si="1"/>
        <v>010050032566853315</v>
      </c>
      <c r="N526" s="238">
        <v>-95144.44</v>
      </c>
      <c r="O526" s="110">
        <v>62619.0</v>
      </c>
      <c r="P526" s="11">
        <v>70.0</v>
      </c>
      <c r="Q526" s="239"/>
      <c r="R526" s="17">
        <v>31.0</v>
      </c>
    </row>
    <row r="527">
      <c r="A527" s="11">
        <v>17.0</v>
      </c>
      <c r="B527" s="11">
        <v>52.0</v>
      </c>
      <c r="C527" s="11">
        <v>5.0</v>
      </c>
      <c r="D527" s="11" t="s">
        <v>31</v>
      </c>
      <c r="E527" s="234">
        <v>17.0</v>
      </c>
      <c r="F527" s="235">
        <v>63.0</v>
      </c>
      <c r="G527" s="235">
        <v>63.0</v>
      </c>
      <c r="H527" s="234">
        <v>17.0</v>
      </c>
      <c r="I527" s="235">
        <v>63.0</v>
      </c>
      <c r="J527" s="236">
        <v>6.5060128E7</v>
      </c>
      <c r="K527" s="11">
        <v>37.0</v>
      </c>
      <c r="L527" s="11">
        <v>8.0</v>
      </c>
      <c r="M527" s="237" t="str">
        <f t="shared" si="1"/>
        <v>0170630065060128378</v>
      </c>
      <c r="N527" s="238">
        <v>-68527.73</v>
      </c>
      <c r="O527" s="110">
        <v>81215.0</v>
      </c>
      <c r="P527" s="11">
        <v>73.0</v>
      </c>
      <c r="Q527" s="239"/>
      <c r="R527" s="17">
        <v>93.0</v>
      </c>
    </row>
    <row r="528">
      <c r="A528" s="11">
        <v>15.0</v>
      </c>
      <c r="B528" s="11">
        <v>11.0</v>
      </c>
      <c r="C528" s="11">
        <v>6.0</v>
      </c>
      <c r="D528" s="11" t="s">
        <v>5271</v>
      </c>
      <c r="E528" s="234">
        <v>54.0</v>
      </c>
      <c r="F528" s="235">
        <v>55.0</v>
      </c>
      <c r="G528" s="235">
        <v>55.0</v>
      </c>
      <c r="H528" s="234">
        <v>54.0</v>
      </c>
      <c r="I528" s="235">
        <v>55.0</v>
      </c>
      <c r="J528" s="236">
        <v>4.5020517E7</v>
      </c>
      <c r="K528" s="11">
        <v>13.0</v>
      </c>
      <c r="L528" s="11">
        <v>9.0</v>
      </c>
      <c r="M528" s="237" t="str">
        <f t="shared" si="1"/>
        <v>0540550045020517139</v>
      </c>
      <c r="N528" s="238">
        <v>-56762.03</v>
      </c>
      <c r="O528" s="110">
        <v>102822.0</v>
      </c>
      <c r="P528" s="11">
        <v>73.0</v>
      </c>
      <c r="Q528" s="239"/>
      <c r="R528" s="17">
        <v>31.0</v>
      </c>
    </row>
    <row r="529">
      <c r="A529" s="11">
        <v>10.0</v>
      </c>
      <c r="B529" s="11">
        <v>72.0</v>
      </c>
      <c r="C529" s="11">
        <v>5.0</v>
      </c>
      <c r="D529" s="11" t="s">
        <v>31</v>
      </c>
      <c r="E529" s="234">
        <v>13.0</v>
      </c>
      <c r="F529" s="235">
        <v>157.0</v>
      </c>
      <c r="G529" s="235">
        <v>157.0</v>
      </c>
      <c r="H529" s="234">
        <v>13.0</v>
      </c>
      <c r="I529" s="235">
        <v>157.0</v>
      </c>
      <c r="J529" s="236">
        <v>8.6292446E7</v>
      </c>
      <c r="K529" s="11">
        <v>85.0</v>
      </c>
      <c r="L529" s="11">
        <v>1.0</v>
      </c>
      <c r="M529" s="237" t="str">
        <f t="shared" si="1"/>
        <v>0131570086292446851</v>
      </c>
      <c r="N529" s="238">
        <v>29178.12</v>
      </c>
      <c r="O529" s="110">
        <v>92123.0</v>
      </c>
      <c r="P529" s="11">
        <v>71.0</v>
      </c>
      <c r="Q529" s="239"/>
      <c r="R529" s="17">
        <v>11.0</v>
      </c>
    </row>
    <row r="530">
      <c r="A530" s="11">
        <v>17.0</v>
      </c>
      <c r="B530" s="11">
        <v>11.0</v>
      </c>
      <c r="C530" s="11">
        <v>2.0</v>
      </c>
      <c r="D530" s="11" t="s">
        <v>5271</v>
      </c>
      <c r="E530" s="234">
        <v>39.0</v>
      </c>
      <c r="F530" s="235">
        <v>47.0</v>
      </c>
      <c r="G530" s="235">
        <v>47.0</v>
      </c>
      <c r="H530" s="234">
        <v>39.0</v>
      </c>
      <c r="I530" s="235">
        <v>47.0</v>
      </c>
      <c r="J530" s="236">
        <v>3.520333E7</v>
      </c>
      <c r="K530" s="11">
        <v>91.0</v>
      </c>
      <c r="L530" s="11">
        <v>0.0</v>
      </c>
      <c r="M530" s="237" t="str">
        <f t="shared" si="1"/>
        <v>0390470035203330910</v>
      </c>
      <c r="N530" s="238">
        <v>48931.72</v>
      </c>
      <c r="O530" s="110">
        <v>60119.0</v>
      </c>
      <c r="P530" s="11">
        <v>74.0</v>
      </c>
      <c r="Q530" s="239"/>
      <c r="R530" s="17">
        <v>93.0</v>
      </c>
    </row>
    <row r="531">
      <c r="A531" s="11">
        <v>10.0</v>
      </c>
      <c r="B531" s="11">
        <v>11.0</v>
      </c>
      <c r="C531" s="11">
        <v>5.0</v>
      </c>
      <c r="D531" s="11" t="s">
        <v>29</v>
      </c>
      <c r="E531" s="234">
        <v>2.0</v>
      </c>
      <c r="F531" s="235">
        <v>290.0</v>
      </c>
      <c r="G531" s="235">
        <v>290.0</v>
      </c>
      <c r="H531" s="234">
        <v>2.0</v>
      </c>
      <c r="I531" s="235">
        <v>290.0</v>
      </c>
      <c r="J531" s="236">
        <v>2.4325814E7</v>
      </c>
      <c r="K531" s="11">
        <v>16.0</v>
      </c>
      <c r="L531" s="11">
        <v>9.0</v>
      </c>
      <c r="M531" s="237" t="str">
        <f t="shared" si="1"/>
        <v>022900024325814169</v>
      </c>
      <c r="N531" s="238">
        <v>27873.18</v>
      </c>
      <c r="O531" s="110">
        <v>112917.0</v>
      </c>
      <c r="P531" s="11">
        <v>74.0</v>
      </c>
      <c r="Q531" s="239"/>
      <c r="R531" s="17">
        <v>31.0</v>
      </c>
    </row>
    <row r="532">
      <c r="A532" s="11">
        <v>16.0</v>
      </c>
      <c r="B532" s="11">
        <v>31.0</v>
      </c>
      <c r="C532" s="11">
        <v>4.0</v>
      </c>
      <c r="D532" s="11" t="s">
        <v>39</v>
      </c>
      <c r="E532" s="234">
        <v>55.0</v>
      </c>
      <c r="F532" s="235">
        <v>23.0</v>
      </c>
      <c r="G532" s="235">
        <v>23.0</v>
      </c>
      <c r="H532" s="234">
        <v>55.0</v>
      </c>
      <c r="I532" s="235">
        <v>23.0</v>
      </c>
      <c r="J532" s="236">
        <v>8.4897879E7</v>
      </c>
      <c r="K532" s="11">
        <v>22.0</v>
      </c>
      <c r="L532" s="11">
        <v>1.0</v>
      </c>
      <c r="M532" s="237" t="str">
        <f t="shared" si="1"/>
        <v>0550230084897879221</v>
      </c>
      <c r="N532" s="238">
        <v>7639.73</v>
      </c>
      <c r="O532" s="110">
        <v>71122.0</v>
      </c>
      <c r="P532" s="11">
        <v>75.0</v>
      </c>
      <c r="Q532" s="239"/>
      <c r="R532" s="17">
        <v>11.0</v>
      </c>
    </row>
    <row r="533">
      <c r="A533" s="11">
        <v>10.0</v>
      </c>
      <c r="B533" s="11">
        <v>72.0</v>
      </c>
      <c r="C533" s="11">
        <v>6.0</v>
      </c>
      <c r="D533" s="11" t="s">
        <v>5272</v>
      </c>
      <c r="E533" s="234">
        <v>46.0</v>
      </c>
      <c r="F533" s="235">
        <v>113.0</v>
      </c>
      <c r="G533" s="235">
        <v>113.0</v>
      </c>
      <c r="H533" s="234">
        <v>46.0</v>
      </c>
      <c r="I533" s="235">
        <v>113.0</v>
      </c>
      <c r="J533" s="236">
        <v>5.6964417E7</v>
      </c>
      <c r="K533" s="11">
        <v>53.0</v>
      </c>
      <c r="L533" s="11">
        <v>0.0</v>
      </c>
      <c r="M533" s="237" t="str">
        <f t="shared" si="1"/>
        <v>0461130056964417530</v>
      </c>
      <c r="N533" s="238">
        <v>-56080.25</v>
      </c>
      <c r="O533" s="110">
        <v>12723.0</v>
      </c>
      <c r="P533" s="11">
        <v>76.0</v>
      </c>
      <c r="Q533" s="239"/>
      <c r="R533" s="17">
        <v>72.0</v>
      </c>
    </row>
    <row r="534">
      <c r="A534" s="11">
        <v>12.0</v>
      </c>
      <c r="B534" s="11">
        <v>31.0</v>
      </c>
      <c r="C534" s="11">
        <v>6.0</v>
      </c>
      <c r="D534" s="11" t="s">
        <v>5273</v>
      </c>
      <c r="E534" s="234">
        <v>31.0</v>
      </c>
      <c r="F534" s="235">
        <v>71.0</v>
      </c>
      <c r="G534" s="235">
        <v>71.0</v>
      </c>
      <c r="H534" s="234">
        <v>31.0</v>
      </c>
      <c r="I534" s="235">
        <v>71.0</v>
      </c>
      <c r="J534" s="236">
        <v>3.1120095E7</v>
      </c>
      <c r="K534" s="11">
        <v>40.0</v>
      </c>
      <c r="L534" s="11">
        <v>9.0</v>
      </c>
      <c r="M534" s="237" t="str">
        <f t="shared" si="1"/>
        <v>0310710031120095409</v>
      </c>
      <c r="N534" s="238">
        <v>42688.95</v>
      </c>
      <c r="O534" s="110">
        <v>10919.0</v>
      </c>
      <c r="P534" s="11">
        <v>75.0</v>
      </c>
      <c r="Q534" s="239"/>
      <c r="R534" s="17">
        <v>72.0</v>
      </c>
    </row>
    <row r="535">
      <c r="A535" s="11">
        <v>16.0</v>
      </c>
      <c r="B535" s="11">
        <v>72.0</v>
      </c>
      <c r="C535" s="11">
        <v>4.0</v>
      </c>
      <c r="D535" s="11" t="s">
        <v>5272</v>
      </c>
      <c r="E535" s="234">
        <v>18.0</v>
      </c>
      <c r="F535" s="235">
        <v>169.0</v>
      </c>
      <c r="G535" s="235">
        <v>169.0</v>
      </c>
      <c r="H535" s="234">
        <v>18.0</v>
      </c>
      <c r="I535" s="235">
        <v>169.0</v>
      </c>
      <c r="J535" s="236">
        <v>4.274008E7</v>
      </c>
      <c r="K535" s="11">
        <v>30.0</v>
      </c>
      <c r="L535" s="11">
        <v>3.0</v>
      </c>
      <c r="M535" s="237" t="str">
        <f t="shared" si="1"/>
        <v>0181690042740080303</v>
      </c>
      <c r="N535" s="238">
        <v>-86559.73</v>
      </c>
      <c r="O535" s="110">
        <v>41018.0</v>
      </c>
      <c r="P535" s="11">
        <v>73.0</v>
      </c>
      <c r="Q535" s="239"/>
      <c r="R535" s="17">
        <v>32.0</v>
      </c>
    </row>
    <row r="536">
      <c r="A536" s="11">
        <v>11.0</v>
      </c>
      <c r="B536" s="11">
        <v>11.0</v>
      </c>
      <c r="C536" s="11">
        <v>5.0</v>
      </c>
      <c r="D536" s="11" t="s">
        <v>5273</v>
      </c>
      <c r="E536" s="234">
        <v>48.0</v>
      </c>
      <c r="F536" s="235">
        <v>45.0</v>
      </c>
      <c r="G536" s="235">
        <v>45.0</v>
      </c>
      <c r="H536" s="234">
        <v>48.0</v>
      </c>
      <c r="I536" s="235">
        <v>45.0</v>
      </c>
      <c r="J536" s="236">
        <v>4.3553271E7</v>
      </c>
      <c r="K536" s="11">
        <v>89.0</v>
      </c>
      <c r="L536" s="11">
        <v>1.0</v>
      </c>
      <c r="M536" s="237" t="str">
        <f t="shared" si="1"/>
        <v>0480450043553271891</v>
      </c>
      <c r="N536" s="238">
        <v>46006.63</v>
      </c>
      <c r="O536" s="110">
        <v>73115.0</v>
      </c>
      <c r="P536" s="11">
        <v>72.0</v>
      </c>
      <c r="Q536" s="239"/>
      <c r="R536" s="17">
        <v>73.0</v>
      </c>
    </row>
    <row r="537">
      <c r="A537" s="11">
        <v>15.0</v>
      </c>
      <c r="B537" s="11">
        <v>11.0</v>
      </c>
      <c r="C537" s="11">
        <v>2.0</v>
      </c>
      <c r="D537" s="11" t="s">
        <v>29</v>
      </c>
      <c r="E537" s="234">
        <v>27.0</v>
      </c>
      <c r="F537" s="235">
        <v>51.0</v>
      </c>
      <c r="G537" s="235">
        <v>51.0</v>
      </c>
      <c r="H537" s="234">
        <v>27.0</v>
      </c>
      <c r="I537" s="235">
        <v>51.0</v>
      </c>
      <c r="J537" s="236">
        <v>9.9795539E7</v>
      </c>
      <c r="K537" s="11">
        <v>28.0</v>
      </c>
      <c r="L537" s="11">
        <v>5.0</v>
      </c>
      <c r="M537" s="237" t="str">
        <f t="shared" si="1"/>
        <v>0270510099795539285</v>
      </c>
      <c r="N537" s="238">
        <v>2634.27</v>
      </c>
      <c r="O537" s="110">
        <v>121815.0</v>
      </c>
      <c r="P537" s="11">
        <v>76.0</v>
      </c>
      <c r="Q537" s="239"/>
      <c r="R537" s="17">
        <v>52.0</v>
      </c>
    </row>
    <row r="538">
      <c r="A538" s="11">
        <v>10.0</v>
      </c>
      <c r="B538" s="11">
        <v>93.0</v>
      </c>
      <c r="C538" s="11">
        <v>1.0</v>
      </c>
      <c r="D538" s="11" t="s">
        <v>31</v>
      </c>
      <c r="E538" s="234">
        <v>20.0</v>
      </c>
      <c r="F538" s="235">
        <v>67.0</v>
      </c>
      <c r="G538" s="235">
        <v>67.0</v>
      </c>
      <c r="H538" s="234">
        <v>20.0</v>
      </c>
      <c r="I538" s="235">
        <v>67.0</v>
      </c>
      <c r="J538" s="236">
        <v>5.1986611E7</v>
      </c>
      <c r="K538" s="11">
        <v>91.0</v>
      </c>
      <c r="L538" s="11">
        <v>2.0</v>
      </c>
      <c r="M538" s="237" t="str">
        <f t="shared" si="1"/>
        <v>0200670051986611912</v>
      </c>
      <c r="N538" s="238">
        <v>89067.51</v>
      </c>
      <c r="O538" s="110">
        <v>40619.0</v>
      </c>
      <c r="P538" s="11">
        <v>72.0</v>
      </c>
      <c r="Q538" s="239"/>
      <c r="R538" s="17">
        <v>73.0</v>
      </c>
    </row>
    <row r="539">
      <c r="A539" s="11">
        <v>14.0</v>
      </c>
      <c r="B539" s="11">
        <v>93.0</v>
      </c>
      <c r="C539" s="11">
        <v>5.0</v>
      </c>
      <c r="D539" s="11" t="s">
        <v>29</v>
      </c>
      <c r="E539" s="234">
        <v>13.0</v>
      </c>
      <c r="F539" s="235">
        <v>123.0</v>
      </c>
      <c r="G539" s="235">
        <v>123.0</v>
      </c>
      <c r="H539" s="234">
        <v>13.0</v>
      </c>
      <c r="I539" s="235">
        <v>123.0</v>
      </c>
      <c r="J539" s="236">
        <v>3.9228425E7</v>
      </c>
      <c r="K539" s="11">
        <v>54.0</v>
      </c>
      <c r="L539" s="11">
        <v>6.0</v>
      </c>
      <c r="M539" s="237" t="str">
        <f t="shared" si="1"/>
        <v>0131230039228425546</v>
      </c>
      <c r="N539" s="238">
        <v>-46327.63</v>
      </c>
      <c r="O539" s="110">
        <v>80617.0</v>
      </c>
      <c r="P539" s="11">
        <v>80.0</v>
      </c>
      <c r="Q539" s="239"/>
      <c r="R539" s="17">
        <v>73.0</v>
      </c>
    </row>
    <row r="540">
      <c r="A540" s="11">
        <v>11.0</v>
      </c>
      <c r="B540" s="11">
        <v>32.0</v>
      </c>
      <c r="C540" s="11">
        <v>5.0</v>
      </c>
      <c r="D540" s="11" t="s">
        <v>29</v>
      </c>
      <c r="E540" s="234">
        <v>26.0</v>
      </c>
      <c r="F540" s="235">
        <v>29.0</v>
      </c>
      <c r="G540" s="235">
        <v>29.0</v>
      </c>
      <c r="H540" s="234">
        <v>26.0</v>
      </c>
      <c r="I540" s="235">
        <v>29.0</v>
      </c>
      <c r="J540" s="236">
        <v>7.1814357E7</v>
      </c>
      <c r="K540" s="11">
        <v>80.0</v>
      </c>
      <c r="L540" s="11">
        <v>0.0</v>
      </c>
      <c r="M540" s="237" t="str">
        <f t="shared" si="1"/>
        <v>0260290071814357800</v>
      </c>
      <c r="N540" s="238">
        <v>-96774.34</v>
      </c>
      <c r="O540" s="110">
        <v>50214.0</v>
      </c>
      <c r="P540" s="11">
        <v>73.0</v>
      </c>
      <c r="Q540" s="239"/>
      <c r="R540" s="17">
        <v>73.0</v>
      </c>
    </row>
    <row r="541">
      <c r="A541" s="11">
        <v>12.0</v>
      </c>
      <c r="B541" s="11">
        <v>11.0</v>
      </c>
      <c r="C541" s="11">
        <v>3.0</v>
      </c>
      <c r="D541" s="11" t="s">
        <v>5273</v>
      </c>
      <c r="E541" s="234">
        <v>26.0</v>
      </c>
      <c r="F541" s="235">
        <v>77.0</v>
      </c>
      <c r="G541" s="235">
        <v>77.0</v>
      </c>
      <c r="H541" s="234">
        <v>26.0</v>
      </c>
      <c r="I541" s="235">
        <v>77.0</v>
      </c>
      <c r="J541" s="236">
        <v>6.3321516E7</v>
      </c>
      <c r="K541" s="11">
        <v>56.0</v>
      </c>
      <c r="L541" s="11">
        <v>9.0</v>
      </c>
      <c r="M541" s="237" t="str">
        <f t="shared" si="1"/>
        <v>0260770063321516569</v>
      </c>
      <c r="N541" s="238">
        <v>62494.52</v>
      </c>
      <c r="O541" s="110">
        <v>90320.0</v>
      </c>
      <c r="P541" s="11">
        <v>70.0</v>
      </c>
      <c r="Q541" s="239"/>
      <c r="R541" s="17">
        <v>73.0</v>
      </c>
    </row>
    <row r="542">
      <c r="A542" s="11">
        <v>19.0</v>
      </c>
      <c r="B542" s="11">
        <v>93.0</v>
      </c>
      <c r="C542" s="11">
        <v>6.0</v>
      </c>
      <c r="D542" s="11" t="s">
        <v>39</v>
      </c>
      <c r="E542" s="234">
        <v>31.0</v>
      </c>
      <c r="F542" s="235">
        <v>105.0</v>
      </c>
      <c r="G542" s="235">
        <v>105.0</v>
      </c>
      <c r="H542" s="234">
        <v>31.0</v>
      </c>
      <c r="I542" s="235">
        <v>105.0</v>
      </c>
      <c r="J542" s="236">
        <v>9.8825907E7</v>
      </c>
      <c r="K542" s="11">
        <v>52.0</v>
      </c>
      <c r="L542" s="11">
        <v>7.0</v>
      </c>
      <c r="M542" s="237" t="str">
        <f t="shared" si="1"/>
        <v>0311050098825907527</v>
      </c>
      <c r="N542" s="238">
        <v>-57135.53</v>
      </c>
      <c r="O542" s="110">
        <v>53115.0</v>
      </c>
      <c r="P542" s="11">
        <v>71.0</v>
      </c>
      <c r="Q542" s="239"/>
      <c r="R542" s="17">
        <v>93.0</v>
      </c>
    </row>
    <row r="543">
      <c r="A543" s="11">
        <v>15.0</v>
      </c>
      <c r="B543" s="11">
        <v>73.0</v>
      </c>
      <c r="C543" s="11">
        <v>4.0</v>
      </c>
      <c r="D543" s="11" t="s">
        <v>39</v>
      </c>
      <c r="E543" s="234">
        <v>51.0</v>
      </c>
      <c r="F543" s="235">
        <v>107.0</v>
      </c>
      <c r="G543" s="235">
        <v>107.0</v>
      </c>
      <c r="H543" s="234">
        <v>51.0</v>
      </c>
      <c r="I543" s="235">
        <v>107.0</v>
      </c>
      <c r="J543" s="236">
        <v>9.8916415E7</v>
      </c>
      <c r="K543" s="11">
        <v>97.0</v>
      </c>
      <c r="L543" s="11">
        <v>8.0</v>
      </c>
      <c r="M543" s="237" t="str">
        <f t="shared" si="1"/>
        <v>0511070098916415978</v>
      </c>
      <c r="N543" s="238">
        <v>43091.76</v>
      </c>
      <c r="O543" s="110">
        <v>51722.0</v>
      </c>
      <c r="P543" s="11">
        <v>73.0</v>
      </c>
      <c r="Q543" s="239"/>
      <c r="R543" s="17">
        <v>32.0</v>
      </c>
    </row>
    <row r="544">
      <c r="A544" s="11">
        <v>17.0</v>
      </c>
      <c r="B544" s="11">
        <v>93.0</v>
      </c>
      <c r="C544" s="11">
        <v>1.0</v>
      </c>
      <c r="D544" s="11" t="s">
        <v>5272</v>
      </c>
      <c r="E544" s="234">
        <v>55.0</v>
      </c>
      <c r="F544" s="235">
        <v>83.0</v>
      </c>
      <c r="G544" s="235">
        <v>83.0</v>
      </c>
      <c r="H544" s="234">
        <v>55.0</v>
      </c>
      <c r="I544" s="235">
        <v>83.0</v>
      </c>
      <c r="J544" s="236">
        <v>4.2539912E7</v>
      </c>
      <c r="K544" s="11">
        <v>56.0</v>
      </c>
      <c r="L544" s="11">
        <v>2.0</v>
      </c>
      <c r="M544" s="237" t="str">
        <f t="shared" si="1"/>
        <v>0550830042539912562</v>
      </c>
      <c r="N544" s="238">
        <v>-37865.74</v>
      </c>
      <c r="O544" s="110">
        <v>90618.0</v>
      </c>
      <c r="P544" s="11">
        <v>70.0</v>
      </c>
      <c r="Q544" s="239"/>
      <c r="R544" s="17">
        <v>93.0</v>
      </c>
    </row>
    <row r="545">
      <c r="A545" s="11">
        <v>18.0</v>
      </c>
      <c r="B545" s="11">
        <v>93.0</v>
      </c>
      <c r="C545" s="11">
        <v>6.0</v>
      </c>
      <c r="D545" s="11" t="s">
        <v>31</v>
      </c>
      <c r="E545" s="234">
        <v>21.0</v>
      </c>
      <c r="F545" s="235">
        <v>169.0</v>
      </c>
      <c r="G545" s="235">
        <v>169.0</v>
      </c>
      <c r="H545" s="234">
        <v>21.0</v>
      </c>
      <c r="I545" s="235">
        <v>169.0</v>
      </c>
      <c r="J545" s="236">
        <v>2.9288811E7</v>
      </c>
      <c r="K545" s="11">
        <v>56.0</v>
      </c>
      <c r="L545" s="11">
        <v>9.0</v>
      </c>
      <c r="M545" s="237" t="str">
        <f t="shared" si="1"/>
        <v>0211690029288811569</v>
      </c>
      <c r="N545" s="238">
        <v>-95427.47</v>
      </c>
      <c r="O545" s="110">
        <v>111117.0</v>
      </c>
      <c r="P545" s="11">
        <v>74.0</v>
      </c>
      <c r="Q545" s="239"/>
      <c r="R545" s="17">
        <v>93.0</v>
      </c>
    </row>
    <row r="546">
      <c r="A546" s="11">
        <v>12.0</v>
      </c>
      <c r="B546" s="11">
        <v>32.0</v>
      </c>
      <c r="C546" s="11">
        <v>4.0</v>
      </c>
      <c r="D546" s="11" t="s">
        <v>29</v>
      </c>
      <c r="E546" s="234">
        <v>47.0</v>
      </c>
      <c r="F546" s="235">
        <v>9.0</v>
      </c>
      <c r="G546" s="235">
        <v>9.0</v>
      </c>
      <c r="H546" s="234">
        <v>47.0</v>
      </c>
      <c r="I546" s="235">
        <v>9.0</v>
      </c>
      <c r="J546" s="236">
        <v>8.0336766E7</v>
      </c>
      <c r="K546" s="11">
        <v>18.0</v>
      </c>
      <c r="L546" s="11">
        <v>1.0</v>
      </c>
      <c r="M546" s="237" t="str">
        <f t="shared" si="1"/>
        <v>0470090080336766181</v>
      </c>
      <c r="N546" s="238">
        <v>43349.35</v>
      </c>
      <c r="O546" s="110">
        <v>72322.0</v>
      </c>
      <c r="P546" s="11">
        <v>79.0</v>
      </c>
      <c r="Q546" s="239"/>
      <c r="R546" s="17">
        <v>52.0</v>
      </c>
    </row>
    <row r="547">
      <c r="A547" s="11">
        <v>14.0</v>
      </c>
      <c r="B547" s="11">
        <v>32.0</v>
      </c>
      <c r="C547" s="11">
        <v>1.0</v>
      </c>
      <c r="D547" s="11" t="s">
        <v>29</v>
      </c>
      <c r="E547" s="234">
        <v>9.0</v>
      </c>
      <c r="F547" s="235">
        <v>7.0</v>
      </c>
      <c r="G547" s="235">
        <v>7.0</v>
      </c>
      <c r="H547" s="234">
        <v>9.0</v>
      </c>
      <c r="I547" s="235">
        <v>7.0</v>
      </c>
      <c r="J547" s="236">
        <v>6.8300833E7</v>
      </c>
      <c r="K547" s="11">
        <v>59.0</v>
      </c>
      <c r="L547" s="11">
        <v>1.0</v>
      </c>
      <c r="M547" s="237" t="str">
        <f t="shared" si="1"/>
        <v>090070068300833591</v>
      </c>
      <c r="N547" s="238">
        <v>20494.91</v>
      </c>
      <c r="O547" s="110">
        <v>11815.0</v>
      </c>
      <c r="P547" s="11">
        <v>73.0</v>
      </c>
      <c r="Q547" s="239"/>
      <c r="R547" s="17">
        <v>32.0</v>
      </c>
    </row>
    <row r="548">
      <c r="A548" s="11">
        <v>14.0</v>
      </c>
      <c r="B548" s="11">
        <v>11.0</v>
      </c>
      <c r="C548" s="11">
        <v>4.0</v>
      </c>
      <c r="D548" s="11" t="s">
        <v>29</v>
      </c>
      <c r="E548" s="234">
        <v>6.0</v>
      </c>
      <c r="F548" s="235">
        <v>23.0</v>
      </c>
      <c r="G548" s="235">
        <v>23.0</v>
      </c>
      <c r="H548" s="234">
        <v>6.0</v>
      </c>
      <c r="I548" s="235">
        <v>23.0</v>
      </c>
      <c r="J548" s="236">
        <v>5.0844326E7</v>
      </c>
      <c r="K548" s="11">
        <v>41.0</v>
      </c>
      <c r="L548" s="11">
        <v>5.0</v>
      </c>
      <c r="M548" s="237" t="str">
        <f t="shared" si="1"/>
        <v>060230050844326415</v>
      </c>
      <c r="N548" s="238">
        <v>22765.77</v>
      </c>
      <c r="O548" s="110">
        <v>22019.0</v>
      </c>
      <c r="P548" s="11">
        <v>78.0</v>
      </c>
      <c r="Q548" s="239"/>
      <c r="R548" s="17">
        <v>32.0</v>
      </c>
    </row>
    <row r="549">
      <c r="A549" s="11">
        <v>11.0</v>
      </c>
      <c r="B549" s="11">
        <v>32.0</v>
      </c>
      <c r="C549" s="11">
        <v>7.0</v>
      </c>
      <c r="D549" s="11" t="s">
        <v>5272</v>
      </c>
      <c r="E549" s="234">
        <v>19.0</v>
      </c>
      <c r="F549" s="235">
        <v>59.0</v>
      </c>
      <c r="G549" s="235">
        <v>59.0</v>
      </c>
      <c r="H549" s="234">
        <v>19.0</v>
      </c>
      <c r="I549" s="235">
        <v>59.0</v>
      </c>
      <c r="J549" s="236">
        <v>7.7668069E7</v>
      </c>
      <c r="K549" s="11">
        <v>83.0</v>
      </c>
      <c r="L549" s="11">
        <v>5.0</v>
      </c>
      <c r="M549" s="237" t="str">
        <f t="shared" si="1"/>
        <v>0190590077668069835</v>
      </c>
      <c r="N549" s="238">
        <v>83397.76</v>
      </c>
      <c r="O549" s="110">
        <v>121915.0</v>
      </c>
      <c r="P549" s="11">
        <v>78.0</v>
      </c>
      <c r="Q549" s="239"/>
      <c r="R549" s="17">
        <v>93.0</v>
      </c>
    </row>
    <row r="550">
      <c r="A550" s="11">
        <v>19.0</v>
      </c>
      <c r="B550" s="11">
        <v>73.0</v>
      </c>
      <c r="C550" s="11">
        <v>9.0</v>
      </c>
      <c r="D550" s="11" t="s">
        <v>39</v>
      </c>
      <c r="E550" s="234">
        <v>29.0</v>
      </c>
      <c r="F550" s="235">
        <v>55.0</v>
      </c>
      <c r="G550" s="235">
        <v>55.0</v>
      </c>
      <c r="H550" s="234">
        <v>29.0</v>
      </c>
      <c r="I550" s="235">
        <v>55.0</v>
      </c>
      <c r="J550" s="236">
        <v>3.3898961E7</v>
      </c>
      <c r="K550" s="11">
        <v>49.0</v>
      </c>
      <c r="L550" s="11">
        <v>2.0</v>
      </c>
      <c r="M550" s="237" t="str">
        <f t="shared" si="1"/>
        <v>0290550033898961492</v>
      </c>
      <c r="N550" s="238">
        <v>4112.02</v>
      </c>
      <c r="O550" s="110">
        <v>71518.0</v>
      </c>
      <c r="P550" s="11">
        <v>77.0</v>
      </c>
      <c r="Q550" s="239"/>
      <c r="R550" s="17">
        <v>11.0</v>
      </c>
    </row>
    <row r="551">
      <c r="A551" s="11">
        <v>13.0</v>
      </c>
      <c r="B551" s="11">
        <v>11.0</v>
      </c>
      <c r="C551" s="11">
        <v>4.0</v>
      </c>
      <c r="D551" s="11" t="s">
        <v>5272</v>
      </c>
      <c r="E551" s="234">
        <v>34.0</v>
      </c>
      <c r="F551" s="235">
        <v>29.0</v>
      </c>
      <c r="G551" s="235">
        <v>29.0</v>
      </c>
      <c r="H551" s="234">
        <v>34.0</v>
      </c>
      <c r="I551" s="235">
        <v>29.0</v>
      </c>
      <c r="J551" s="236">
        <v>4.118219E7</v>
      </c>
      <c r="K551" s="11">
        <v>36.0</v>
      </c>
      <c r="L551" s="11">
        <v>6.0</v>
      </c>
      <c r="M551" s="237" t="str">
        <f t="shared" si="1"/>
        <v>0340290041182190366</v>
      </c>
      <c r="N551" s="238">
        <v>-13358.38</v>
      </c>
      <c r="O551" s="110">
        <v>21013.0</v>
      </c>
      <c r="P551" s="11">
        <v>73.0</v>
      </c>
      <c r="Q551" s="239"/>
      <c r="R551" s="17">
        <v>93.0</v>
      </c>
    </row>
    <row r="552">
      <c r="A552" s="11">
        <v>17.0</v>
      </c>
      <c r="B552" s="11">
        <v>52.0</v>
      </c>
      <c r="C552" s="11">
        <v>5.0</v>
      </c>
      <c r="D552" s="11" t="s">
        <v>5273</v>
      </c>
      <c r="E552" s="234">
        <v>32.0</v>
      </c>
      <c r="F552" s="235">
        <v>5.0</v>
      </c>
      <c r="G552" s="235">
        <v>5.0</v>
      </c>
      <c r="H552" s="234">
        <v>32.0</v>
      </c>
      <c r="I552" s="235">
        <v>5.0</v>
      </c>
      <c r="J552" s="236">
        <v>4.5644591E7</v>
      </c>
      <c r="K552" s="11">
        <v>18.0</v>
      </c>
      <c r="L552" s="11">
        <v>3.0</v>
      </c>
      <c r="M552" s="237" t="str">
        <f t="shared" si="1"/>
        <v>0320050045644591183</v>
      </c>
      <c r="N552" s="238">
        <v>-59670.96</v>
      </c>
      <c r="O552" s="110">
        <v>121521.0</v>
      </c>
      <c r="P552" s="11">
        <v>77.0</v>
      </c>
      <c r="Q552" s="239"/>
      <c r="R552" s="17">
        <v>11.0</v>
      </c>
    </row>
    <row r="553">
      <c r="A553" s="11">
        <v>20.0</v>
      </c>
      <c r="B553" s="11">
        <v>11.0</v>
      </c>
      <c r="C553" s="11">
        <v>8.0</v>
      </c>
      <c r="D553" s="11" t="s">
        <v>5272</v>
      </c>
      <c r="E553" s="234">
        <v>28.0</v>
      </c>
      <c r="F553" s="235">
        <v>123.0</v>
      </c>
      <c r="G553" s="235">
        <v>123.0</v>
      </c>
      <c r="H553" s="234">
        <v>28.0</v>
      </c>
      <c r="I553" s="235">
        <v>123.0</v>
      </c>
      <c r="J553" s="236">
        <v>4.5950464E7</v>
      </c>
      <c r="K553" s="11">
        <v>29.0</v>
      </c>
      <c r="L553" s="11">
        <v>4.0</v>
      </c>
      <c r="M553" s="237" t="str">
        <f t="shared" si="1"/>
        <v>0281230045950464294</v>
      </c>
      <c r="N553" s="238">
        <v>-23365.9</v>
      </c>
      <c r="O553" s="110">
        <v>31922.0</v>
      </c>
      <c r="P553" s="11">
        <v>71.0</v>
      </c>
      <c r="Q553" s="239"/>
      <c r="R553" s="17">
        <v>11.0</v>
      </c>
    </row>
    <row r="554">
      <c r="A554" s="11">
        <v>14.0</v>
      </c>
      <c r="B554" s="11">
        <v>32.0</v>
      </c>
      <c r="C554" s="11">
        <v>1.0</v>
      </c>
      <c r="D554" s="11" t="s">
        <v>29</v>
      </c>
      <c r="E554" s="234">
        <v>20.0</v>
      </c>
      <c r="F554" s="235">
        <v>91.0</v>
      </c>
      <c r="G554" s="235">
        <v>91.0</v>
      </c>
      <c r="H554" s="234">
        <v>20.0</v>
      </c>
      <c r="I554" s="235">
        <v>91.0</v>
      </c>
      <c r="J554" s="236">
        <v>3.0061586E7</v>
      </c>
      <c r="K554" s="11">
        <v>55.0</v>
      </c>
      <c r="L554" s="11">
        <v>8.0</v>
      </c>
      <c r="M554" s="237" t="str">
        <f t="shared" si="1"/>
        <v>0200910030061586558</v>
      </c>
      <c r="N554" s="238">
        <v>17867.9</v>
      </c>
      <c r="O554" s="110">
        <v>22721.0</v>
      </c>
      <c r="P554" s="11">
        <v>79.0</v>
      </c>
      <c r="Q554" s="239"/>
      <c r="R554" s="17">
        <v>93.0</v>
      </c>
    </row>
    <row r="555">
      <c r="A555" s="11">
        <v>10.0</v>
      </c>
      <c r="B555" s="11">
        <v>93.0</v>
      </c>
      <c r="C555" s="11">
        <v>6.0</v>
      </c>
      <c r="D555" s="11" t="s">
        <v>31</v>
      </c>
      <c r="E555" s="234">
        <v>19.0</v>
      </c>
      <c r="F555" s="235">
        <v>17.0</v>
      </c>
      <c r="G555" s="235">
        <v>17.0</v>
      </c>
      <c r="H555" s="234">
        <v>19.0</v>
      </c>
      <c r="I555" s="235">
        <v>17.0</v>
      </c>
      <c r="J555" s="236">
        <v>5.4197069E7</v>
      </c>
      <c r="K555" s="11">
        <v>14.0</v>
      </c>
      <c r="L555" s="11">
        <v>8.0</v>
      </c>
      <c r="M555" s="237" t="str">
        <f t="shared" si="1"/>
        <v>0190170054197069148</v>
      </c>
      <c r="N555" s="238">
        <v>37119.48</v>
      </c>
      <c r="O555" s="110">
        <v>92419.0</v>
      </c>
      <c r="P555" s="11">
        <v>75.0</v>
      </c>
      <c r="Q555" s="239"/>
      <c r="R555" s="17">
        <v>52.0</v>
      </c>
    </row>
    <row r="556">
      <c r="A556" s="11">
        <v>16.0</v>
      </c>
      <c r="B556" s="11">
        <v>32.0</v>
      </c>
      <c r="C556" s="11">
        <v>6.0</v>
      </c>
      <c r="D556" s="11" t="s">
        <v>31</v>
      </c>
      <c r="E556" s="234">
        <v>23.0</v>
      </c>
      <c r="F556" s="235">
        <v>31.0</v>
      </c>
      <c r="G556" s="235">
        <v>31.0</v>
      </c>
      <c r="H556" s="234">
        <v>23.0</v>
      </c>
      <c r="I556" s="235">
        <v>31.0</v>
      </c>
      <c r="J556" s="236">
        <v>9.5992574E7</v>
      </c>
      <c r="K556" s="11">
        <v>44.0</v>
      </c>
      <c r="L556" s="11">
        <v>4.0</v>
      </c>
      <c r="M556" s="237" t="str">
        <f t="shared" si="1"/>
        <v>0230310095992574444</v>
      </c>
      <c r="N556" s="238">
        <v>44635.24</v>
      </c>
      <c r="O556" s="110">
        <v>30316.0</v>
      </c>
      <c r="P556" s="11">
        <v>72.0</v>
      </c>
      <c r="Q556" s="239"/>
      <c r="R556" s="17">
        <v>52.0</v>
      </c>
    </row>
    <row r="557">
      <c r="A557" s="11">
        <v>10.0</v>
      </c>
      <c r="B557" s="11">
        <v>32.0</v>
      </c>
      <c r="C557" s="11">
        <v>2.0</v>
      </c>
      <c r="D557" s="11" t="s">
        <v>29</v>
      </c>
      <c r="E557" s="234">
        <v>48.0</v>
      </c>
      <c r="F557" s="235">
        <v>37.0</v>
      </c>
      <c r="G557" s="235">
        <v>37.0</v>
      </c>
      <c r="H557" s="234">
        <v>48.0</v>
      </c>
      <c r="I557" s="235">
        <v>37.0</v>
      </c>
      <c r="J557" s="236">
        <v>4.7037978E7</v>
      </c>
      <c r="K557" s="11">
        <v>97.0</v>
      </c>
      <c r="L557" s="11">
        <v>0.0</v>
      </c>
      <c r="M557" s="237" t="str">
        <f t="shared" si="1"/>
        <v>0480370047037978970</v>
      </c>
      <c r="N557" s="238">
        <v>36455.97</v>
      </c>
      <c r="O557" s="110">
        <v>80317.0</v>
      </c>
      <c r="P557" s="11">
        <v>75.0</v>
      </c>
      <c r="Q557" s="239"/>
      <c r="R557" s="17">
        <v>73.0</v>
      </c>
    </row>
    <row r="558">
      <c r="A558" s="11">
        <v>10.0</v>
      </c>
      <c r="B558" s="11">
        <v>73.0</v>
      </c>
      <c r="C558" s="11">
        <v>6.0</v>
      </c>
      <c r="D558" s="11" t="s">
        <v>5272</v>
      </c>
      <c r="E558" s="234">
        <v>35.0</v>
      </c>
      <c r="F558" s="235">
        <v>13.0</v>
      </c>
      <c r="G558" s="235">
        <v>13.0</v>
      </c>
      <c r="H558" s="234">
        <v>35.0</v>
      </c>
      <c r="I558" s="235">
        <v>13.0</v>
      </c>
      <c r="J558" s="236">
        <v>8.0036945E7</v>
      </c>
      <c r="K558" s="11">
        <v>50.0</v>
      </c>
      <c r="L558" s="11">
        <v>7.0</v>
      </c>
      <c r="M558" s="237" t="str">
        <f t="shared" si="1"/>
        <v>0350130080036945507</v>
      </c>
      <c r="N558" s="238">
        <v>-39874.57</v>
      </c>
      <c r="O558" s="110">
        <v>10814.0</v>
      </c>
      <c r="P558" s="11">
        <v>70.0</v>
      </c>
      <c r="Q558" s="239"/>
      <c r="R558" s="17">
        <v>73.0</v>
      </c>
    </row>
    <row r="559">
      <c r="A559" s="11">
        <v>13.0</v>
      </c>
      <c r="B559" s="11">
        <v>93.0</v>
      </c>
      <c r="C559" s="11">
        <v>6.0</v>
      </c>
      <c r="D559" s="11" t="s">
        <v>31</v>
      </c>
      <c r="E559" s="234">
        <v>5.0</v>
      </c>
      <c r="F559" s="235">
        <v>89.0</v>
      </c>
      <c r="G559" s="235">
        <v>89.0</v>
      </c>
      <c r="H559" s="234">
        <v>5.0</v>
      </c>
      <c r="I559" s="235">
        <v>89.0</v>
      </c>
      <c r="J559" s="236">
        <v>5.8235412E7</v>
      </c>
      <c r="K559" s="11">
        <v>34.0</v>
      </c>
      <c r="L559" s="11">
        <v>6.0</v>
      </c>
      <c r="M559" s="237" t="str">
        <f t="shared" si="1"/>
        <v>050890058235412346</v>
      </c>
      <c r="N559" s="238">
        <v>21804.28</v>
      </c>
      <c r="O559" s="110">
        <v>122823.0</v>
      </c>
      <c r="P559" s="11">
        <v>74.0</v>
      </c>
      <c r="Q559" s="239"/>
      <c r="R559" s="17">
        <v>32.0</v>
      </c>
    </row>
    <row r="560">
      <c r="A560" s="11">
        <v>14.0</v>
      </c>
      <c r="B560" s="11">
        <v>73.0</v>
      </c>
      <c r="C560" s="11">
        <v>8.0</v>
      </c>
      <c r="D560" s="11" t="s">
        <v>5273</v>
      </c>
      <c r="E560" s="234">
        <v>20.0</v>
      </c>
      <c r="F560" s="235">
        <v>179.0</v>
      </c>
      <c r="G560" s="235">
        <v>179.0</v>
      </c>
      <c r="H560" s="234">
        <v>20.0</v>
      </c>
      <c r="I560" s="235">
        <v>179.0</v>
      </c>
      <c r="J560" s="236">
        <v>7.8770066E7</v>
      </c>
      <c r="K560" s="11">
        <v>7.0</v>
      </c>
      <c r="L560" s="11">
        <v>7.0</v>
      </c>
      <c r="M560" s="237" t="str">
        <f t="shared" si="1"/>
        <v>020179007877006677</v>
      </c>
      <c r="N560" s="238">
        <v>13300.24</v>
      </c>
      <c r="O560" s="110">
        <v>10220.0</v>
      </c>
      <c r="P560" s="11">
        <v>75.0</v>
      </c>
      <c r="Q560" s="239"/>
      <c r="R560" s="17">
        <v>11.0</v>
      </c>
    </row>
    <row r="561">
      <c r="A561" s="11">
        <v>15.0</v>
      </c>
      <c r="B561" s="11">
        <v>93.0</v>
      </c>
      <c r="C561" s="11">
        <v>8.0</v>
      </c>
      <c r="D561" s="11" t="s">
        <v>39</v>
      </c>
      <c r="E561" s="234">
        <v>48.0</v>
      </c>
      <c r="F561" s="235">
        <v>191.0</v>
      </c>
      <c r="G561" s="235">
        <v>191.0</v>
      </c>
      <c r="H561" s="234">
        <v>48.0</v>
      </c>
      <c r="I561" s="235">
        <v>191.0</v>
      </c>
      <c r="J561" s="236">
        <v>9.5029378E7</v>
      </c>
      <c r="K561" s="11">
        <v>74.0</v>
      </c>
      <c r="L561" s="11">
        <v>8.0</v>
      </c>
      <c r="M561" s="237" t="str">
        <f t="shared" si="1"/>
        <v>0481910095029378748</v>
      </c>
      <c r="N561" s="238">
        <v>-31154.58</v>
      </c>
      <c r="O561" s="110">
        <v>90821.0</v>
      </c>
      <c r="P561" s="11">
        <v>72.0</v>
      </c>
      <c r="Q561" s="239"/>
      <c r="R561" s="17">
        <v>32.0</v>
      </c>
    </row>
    <row r="562">
      <c r="A562" s="11">
        <v>18.0</v>
      </c>
      <c r="B562" s="11">
        <v>32.0</v>
      </c>
      <c r="C562" s="11">
        <v>9.0</v>
      </c>
      <c r="D562" s="11" t="s">
        <v>39</v>
      </c>
      <c r="E562" s="234">
        <v>29.0</v>
      </c>
      <c r="F562" s="235">
        <v>159.0</v>
      </c>
      <c r="G562" s="235">
        <v>159.0</v>
      </c>
      <c r="H562" s="234">
        <v>29.0</v>
      </c>
      <c r="I562" s="235">
        <v>159.0</v>
      </c>
      <c r="J562" s="236">
        <v>7.2428346E7</v>
      </c>
      <c r="K562" s="11">
        <v>8.0</v>
      </c>
      <c r="L562" s="11">
        <v>8.0</v>
      </c>
      <c r="M562" s="237" t="str">
        <f t="shared" si="1"/>
        <v>029159007242834688</v>
      </c>
      <c r="N562" s="238">
        <v>-22726.57</v>
      </c>
      <c r="O562" s="110">
        <v>51022.0</v>
      </c>
      <c r="P562" s="11">
        <v>71.0</v>
      </c>
      <c r="Q562" s="239"/>
      <c r="R562" s="17">
        <v>52.0</v>
      </c>
    </row>
    <row r="563">
      <c r="A563" s="11">
        <v>20.0</v>
      </c>
      <c r="B563" s="11">
        <v>32.0</v>
      </c>
      <c r="C563" s="11">
        <v>9.0</v>
      </c>
      <c r="D563" s="11" t="s">
        <v>5273</v>
      </c>
      <c r="E563" s="234">
        <v>28.0</v>
      </c>
      <c r="F563" s="235">
        <v>161.0</v>
      </c>
      <c r="G563" s="235">
        <v>161.0</v>
      </c>
      <c r="H563" s="234">
        <v>28.0</v>
      </c>
      <c r="I563" s="235">
        <v>161.0</v>
      </c>
      <c r="J563" s="236">
        <v>2.3061772E7</v>
      </c>
      <c r="K563" s="11">
        <v>55.0</v>
      </c>
      <c r="L563" s="11">
        <v>4.0</v>
      </c>
      <c r="M563" s="237" t="str">
        <f t="shared" si="1"/>
        <v>0281610023061772554</v>
      </c>
      <c r="N563" s="238">
        <v>6745.47</v>
      </c>
      <c r="O563" s="110">
        <v>21323.0</v>
      </c>
      <c r="P563" s="11">
        <v>72.0</v>
      </c>
      <c r="Q563" s="239"/>
      <c r="R563" s="17">
        <v>32.0</v>
      </c>
    </row>
    <row r="564">
      <c r="A564" s="11">
        <v>12.0</v>
      </c>
      <c r="B564" s="11">
        <v>73.0</v>
      </c>
      <c r="C564" s="11">
        <v>5.0</v>
      </c>
      <c r="D564" s="11" t="s">
        <v>5272</v>
      </c>
      <c r="E564" s="234">
        <v>27.0</v>
      </c>
      <c r="F564" s="235">
        <v>131.0</v>
      </c>
      <c r="G564" s="235">
        <v>131.0</v>
      </c>
      <c r="H564" s="234">
        <v>27.0</v>
      </c>
      <c r="I564" s="235">
        <v>131.0</v>
      </c>
      <c r="J564" s="236">
        <v>8.6511977E7</v>
      </c>
      <c r="K564" s="11">
        <v>23.0</v>
      </c>
      <c r="L564" s="11">
        <v>4.0</v>
      </c>
      <c r="M564" s="237" t="str">
        <f t="shared" si="1"/>
        <v>0271310086511977234</v>
      </c>
      <c r="N564" s="238">
        <v>79260.63</v>
      </c>
      <c r="O564" s="110">
        <v>71421.0</v>
      </c>
      <c r="P564" s="11">
        <v>76.0</v>
      </c>
      <c r="Q564" s="239"/>
      <c r="R564" s="17">
        <v>52.0</v>
      </c>
    </row>
    <row r="565">
      <c r="A565" s="11">
        <v>13.0</v>
      </c>
      <c r="B565" s="11">
        <v>73.0</v>
      </c>
      <c r="C565" s="11">
        <v>6.0</v>
      </c>
      <c r="D565" s="11" t="s">
        <v>31</v>
      </c>
      <c r="E565" s="234">
        <v>13.0</v>
      </c>
      <c r="F565" s="235">
        <v>267.0</v>
      </c>
      <c r="G565" s="235">
        <v>267.0</v>
      </c>
      <c r="H565" s="234">
        <v>13.0</v>
      </c>
      <c r="I565" s="235">
        <v>267.0</v>
      </c>
      <c r="J565" s="236">
        <v>7.2757549E7</v>
      </c>
      <c r="K565" s="11">
        <v>80.0</v>
      </c>
      <c r="L565" s="11">
        <v>8.0</v>
      </c>
      <c r="M565" s="237" t="str">
        <f t="shared" si="1"/>
        <v>0132670072757549808</v>
      </c>
      <c r="N565" s="238">
        <v>48020.52</v>
      </c>
      <c r="O565" s="110">
        <v>92721.0</v>
      </c>
      <c r="P565" s="11">
        <v>76.0</v>
      </c>
      <c r="Q565" s="239"/>
      <c r="R565" s="17">
        <v>11.0</v>
      </c>
    </row>
    <row r="566">
      <c r="A566" s="11">
        <v>14.0</v>
      </c>
      <c r="B566" s="11">
        <v>12.0</v>
      </c>
      <c r="C566" s="11">
        <v>6.0</v>
      </c>
      <c r="D566" s="11" t="s">
        <v>5271</v>
      </c>
      <c r="E566" s="234">
        <v>36.0</v>
      </c>
      <c r="F566" s="235">
        <v>21.0</v>
      </c>
      <c r="G566" s="235">
        <v>21.0</v>
      </c>
      <c r="H566" s="234">
        <v>36.0</v>
      </c>
      <c r="I566" s="235">
        <v>21.0</v>
      </c>
      <c r="J566" s="236">
        <v>9.4011292E7</v>
      </c>
      <c r="K566" s="11">
        <v>95.0</v>
      </c>
      <c r="L566" s="11">
        <v>7.0</v>
      </c>
      <c r="M566" s="237" t="str">
        <f t="shared" si="1"/>
        <v>0360210094011292957</v>
      </c>
      <c r="N566" s="238">
        <v>-88988.41</v>
      </c>
      <c r="O566" s="110">
        <v>110815.0</v>
      </c>
      <c r="P566" s="11">
        <v>78.0</v>
      </c>
      <c r="Q566" s="239"/>
      <c r="R566" s="17">
        <v>11.0</v>
      </c>
    </row>
    <row r="567">
      <c r="A567" s="11">
        <v>10.0</v>
      </c>
      <c r="B567" s="11">
        <v>73.0</v>
      </c>
      <c r="C567" s="11">
        <v>7.0</v>
      </c>
      <c r="D567" s="11" t="s">
        <v>31</v>
      </c>
      <c r="E567" s="234">
        <v>5.0</v>
      </c>
      <c r="F567" s="235">
        <v>79.0</v>
      </c>
      <c r="G567" s="235">
        <v>79.0</v>
      </c>
      <c r="H567" s="234">
        <v>5.0</v>
      </c>
      <c r="I567" s="235">
        <v>79.0</v>
      </c>
      <c r="J567" s="236">
        <v>2.4021202E7</v>
      </c>
      <c r="K567" s="11">
        <v>49.0</v>
      </c>
      <c r="L567" s="11">
        <v>6.0</v>
      </c>
      <c r="M567" s="237" t="str">
        <f t="shared" si="1"/>
        <v>050790024021202496</v>
      </c>
      <c r="N567" s="238">
        <v>-16303.66</v>
      </c>
      <c r="O567" s="110">
        <v>42315.0</v>
      </c>
      <c r="P567" s="11">
        <v>77.0</v>
      </c>
      <c r="Q567" s="239"/>
      <c r="R567" s="17">
        <v>11.0</v>
      </c>
    </row>
    <row r="568">
      <c r="A568" s="11">
        <v>14.0</v>
      </c>
      <c r="B568" s="11">
        <v>32.0</v>
      </c>
      <c r="C568" s="11">
        <v>4.0</v>
      </c>
      <c r="D568" s="11" t="s">
        <v>5272</v>
      </c>
      <c r="E568" s="234">
        <v>30.0</v>
      </c>
      <c r="F568" s="235">
        <v>11.0</v>
      </c>
      <c r="G568" s="235">
        <v>11.0</v>
      </c>
      <c r="H568" s="234">
        <v>30.0</v>
      </c>
      <c r="I568" s="235">
        <v>11.0</v>
      </c>
      <c r="J568" s="236">
        <v>2.1913278E7</v>
      </c>
      <c r="K568" s="11">
        <v>12.0</v>
      </c>
      <c r="L568" s="11">
        <v>5.0</v>
      </c>
      <c r="M568" s="237" t="str">
        <f t="shared" si="1"/>
        <v>0300110021913278125</v>
      </c>
      <c r="N568" s="238">
        <v>19548.08</v>
      </c>
      <c r="O568" s="110">
        <v>30316.0</v>
      </c>
      <c r="P568" s="11">
        <v>70.0</v>
      </c>
      <c r="Q568" s="239"/>
      <c r="R568" s="17">
        <v>73.0</v>
      </c>
    </row>
    <row r="569">
      <c r="A569" s="11">
        <v>15.0</v>
      </c>
      <c r="B569" s="11">
        <v>12.0</v>
      </c>
      <c r="C569" s="11">
        <v>4.0</v>
      </c>
      <c r="D569" s="11" t="s">
        <v>39</v>
      </c>
      <c r="E569" s="234">
        <v>48.0</v>
      </c>
      <c r="F569" s="235">
        <v>245.0</v>
      </c>
      <c r="G569" s="235">
        <v>245.0</v>
      </c>
      <c r="H569" s="234">
        <v>48.0</v>
      </c>
      <c r="I569" s="235">
        <v>245.0</v>
      </c>
      <c r="J569" s="236">
        <v>5.1422774E7</v>
      </c>
      <c r="K569" s="11">
        <v>2.0</v>
      </c>
      <c r="L569" s="11">
        <v>8.0</v>
      </c>
      <c r="M569" s="237" t="str">
        <f t="shared" si="1"/>
        <v>048245005142277428</v>
      </c>
      <c r="N569" s="238">
        <v>-46806.03</v>
      </c>
      <c r="O569" s="110">
        <v>62615.0</v>
      </c>
      <c r="P569" s="11">
        <v>76.0</v>
      </c>
      <c r="Q569" s="239"/>
      <c r="R569" s="17">
        <v>11.0</v>
      </c>
    </row>
    <row r="570">
      <c r="A570" s="11">
        <v>16.0</v>
      </c>
      <c r="B570" s="11">
        <v>32.0</v>
      </c>
      <c r="C570" s="11">
        <v>7.0</v>
      </c>
      <c r="D570" s="11" t="s">
        <v>29</v>
      </c>
      <c r="E570" s="234">
        <v>46.0</v>
      </c>
      <c r="F570" s="235">
        <v>47.0</v>
      </c>
      <c r="G570" s="235">
        <v>47.0</v>
      </c>
      <c r="H570" s="234">
        <v>46.0</v>
      </c>
      <c r="I570" s="235">
        <v>47.0</v>
      </c>
      <c r="J570" s="236">
        <v>2.1259163E7</v>
      </c>
      <c r="K570" s="11">
        <v>95.0</v>
      </c>
      <c r="L570" s="11">
        <v>3.0</v>
      </c>
      <c r="M570" s="237" t="str">
        <f t="shared" si="1"/>
        <v>0460470021259163953</v>
      </c>
      <c r="N570" s="238">
        <v>85183.47</v>
      </c>
      <c r="O570" s="110">
        <v>11420.0</v>
      </c>
      <c r="P570" s="11">
        <v>71.0</v>
      </c>
      <c r="Q570" s="239"/>
      <c r="R570" s="17">
        <v>73.0</v>
      </c>
    </row>
    <row r="571">
      <c r="A571" s="11">
        <v>19.0</v>
      </c>
      <c r="B571" s="11">
        <v>12.0</v>
      </c>
      <c r="C571" s="11">
        <v>5.0</v>
      </c>
      <c r="D571" s="11" t="s">
        <v>5271</v>
      </c>
      <c r="E571" s="234">
        <v>48.0</v>
      </c>
      <c r="F571" s="235">
        <v>83.0</v>
      </c>
      <c r="G571" s="235">
        <v>83.0</v>
      </c>
      <c r="H571" s="234">
        <v>48.0</v>
      </c>
      <c r="I571" s="235">
        <v>83.0</v>
      </c>
      <c r="J571" s="236">
        <v>4.3846241E7</v>
      </c>
      <c r="K571" s="11">
        <v>4.0</v>
      </c>
      <c r="L571" s="11">
        <v>4.0</v>
      </c>
      <c r="M571" s="237" t="str">
        <f t="shared" si="1"/>
        <v>048083004384624144</v>
      </c>
      <c r="N571" s="238">
        <v>47044.96</v>
      </c>
      <c r="O571" s="110">
        <v>12719.0</v>
      </c>
      <c r="P571" s="11">
        <v>74.0</v>
      </c>
      <c r="Q571" s="239"/>
      <c r="R571" s="17">
        <v>73.0</v>
      </c>
    </row>
    <row r="572">
      <c r="A572" s="11">
        <v>17.0</v>
      </c>
      <c r="B572" s="11">
        <v>94.0</v>
      </c>
      <c r="C572" s="11">
        <v>9.0</v>
      </c>
      <c r="D572" s="11" t="s">
        <v>39</v>
      </c>
      <c r="E572" s="234">
        <v>44.0</v>
      </c>
      <c r="F572" s="235">
        <v>7.0</v>
      </c>
      <c r="G572" s="235">
        <v>7.0</v>
      </c>
      <c r="H572" s="234">
        <v>44.0</v>
      </c>
      <c r="I572" s="235">
        <v>7.0</v>
      </c>
      <c r="J572" s="236">
        <v>9.4390505E7</v>
      </c>
      <c r="K572" s="11">
        <v>61.0</v>
      </c>
      <c r="L572" s="11">
        <v>7.0</v>
      </c>
      <c r="M572" s="237" t="str">
        <f t="shared" si="1"/>
        <v>0440070094390505617</v>
      </c>
      <c r="N572" s="238">
        <v>-42341.86</v>
      </c>
      <c r="O572" s="110">
        <v>123118.0</v>
      </c>
      <c r="P572" s="11">
        <v>70.0</v>
      </c>
      <c r="Q572" s="239"/>
      <c r="R572" s="17">
        <v>93.0</v>
      </c>
    </row>
    <row r="573">
      <c r="A573" s="11">
        <v>10.0</v>
      </c>
      <c r="B573" s="11">
        <v>32.0</v>
      </c>
      <c r="C573" s="11">
        <v>1.0</v>
      </c>
      <c r="D573" s="11" t="s">
        <v>29</v>
      </c>
      <c r="E573" s="234">
        <v>55.0</v>
      </c>
      <c r="F573" s="235">
        <v>67.0</v>
      </c>
      <c r="G573" s="235">
        <v>67.0</v>
      </c>
      <c r="H573" s="234">
        <v>55.0</v>
      </c>
      <c r="I573" s="235">
        <v>67.0</v>
      </c>
      <c r="J573" s="236">
        <v>4.1045132E7</v>
      </c>
      <c r="K573" s="11">
        <v>49.0</v>
      </c>
      <c r="L573" s="11">
        <v>4.0</v>
      </c>
      <c r="M573" s="237" t="str">
        <f t="shared" si="1"/>
        <v>0550670041045132494</v>
      </c>
      <c r="N573" s="238">
        <v>-73696.54</v>
      </c>
      <c r="O573" s="110">
        <v>32316.0</v>
      </c>
      <c r="P573" s="11">
        <v>72.0</v>
      </c>
      <c r="Q573" s="239"/>
      <c r="R573" s="17">
        <v>52.0</v>
      </c>
    </row>
    <row r="574">
      <c r="A574" s="11">
        <v>10.0</v>
      </c>
      <c r="B574" s="11">
        <v>73.0</v>
      </c>
      <c r="C574" s="11">
        <v>6.0</v>
      </c>
      <c r="D574" s="11" t="s">
        <v>5272</v>
      </c>
      <c r="E574" s="234">
        <v>35.0</v>
      </c>
      <c r="F574" s="235">
        <v>37.0</v>
      </c>
      <c r="G574" s="235">
        <v>37.0</v>
      </c>
      <c r="H574" s="234">
        <v>35.0</v>
      </c>
      <c r="I574" s="235">
        <v>37.0</v>
      </c>
      <c r="J574" s="236">
        <v>9.8105595E7</v>
      </c>
      <c r="K574" s="11">
        <v>48.0</v>
      </c>
      <c r="L574" s="11">
        <v>6.0</v>
      </c>
      <c r="M574" s="237" t="str">
        <f t="shared" si="1"/>
        <v>0350370098105595486</v>
      </c>
      <c r="N574" s="238">
        <v>-37570.82</v>
      </c>
      <c r="O574" s="110">
        <v>103013.0</v>
      </c>
      <c r="P574" s="11">
        <v>78.0</v>
      </c>
      <c r="Q574" s="239"/>
      <c r="R574" s="17">
        <v>52.0</v>
      </c>
    </row>
    <row r="575">
      <c r="A575" s="11">
        <v>18.0</v>
      </c>
      <c r="B575" s="11">
        <v>94.0</v>
      </c>
      <c r="C575" s="11">
        <v>9.0</v>
      </c>
      <c r="D575" s="11" t="s">
        <v>39</v>
      </c>
      <c r="E575" s="234">
        <v>15.0</v>
      </c>
      <c r="F575" s="235">
        <v>9.0</v>
      </c>
      <c r="G575" s="235">
        <v>9.0</v>
      </c>
      <c r="H575" s="234">
        <v>15.0</v>
      </c>
      <c r="I575" s="235">
        <v>9.0</v>
      </c>
      <c r="J575" s="236">
        <v>9.3451198E7</v>
      </c>
      <c r="K575" s="11">
        <v>35.0</v>
      </c>
      <c r="L575" s="11">
        <v>0.0</v>
      </c>
      <c r="M575" s="237" t="str">
        <f t="shared" si="1"/>
        <v>0150090093451198350</v>
      </c>
      <c r="N575" s="238">
        <v>82148.76</v>
      </c>
      <c r="O575" s="110">
        <v>110816.0</v>
      </c>
      <c r="P575" s="11">
        <v>71.0</v>
      </c>
      <c r="Q575" s="239"/>
      <c r="R575" s="17">
        <v>12.0</v>
      </c>
    </row>
    <row r="576">
      <c r="A576" s="11">
        <v>12.0</v>
      </c>
      <c r="B576" s="11">
        <v>73.0</v>
      </c>
      <c r="C576" s="11">
        <v>6.0</v>
      </c>
      <c r="D576" s="11" t="s">
        <v>5272</v>
      </c>
      <c r="E576" s="234">
        <v>45.0</v>
      </c>
      <c r="F576" s="235">
        <v>81.0</v>
      </c>
      <c r="G576" s="235">
        <v>81.0</v>
      </c>
      <c r="H576" s="234">
        <v>45.0</v>
      </c>
      <c r="I576" s="235">
        <v>81.0</v>
      </c>
      <c r="J576" s="236">
        <v>7.4786584E7</v>
      </c>
      <c r="K576" s="11">
        <v>76.0</v>
      </c>
      <c r="L576" s="11">
        <v>0.0</v>
      </c>
      <c r="M576" s="237" t="str">
        <f t="shared" si="1"/>
        <v>0450810074786584760</v>
      </c>
      <c r="N576" s="238">
        <v>-3009.2</v>
      </c>
      <c r="O576" s="110">
        <v>90420.0</v>
      </c>
      <c r="P576" s="11">
        <v>76.0</v>
      </c>
      <c r="Q576" s="239"/>
      <c r="R576" s="17">
        <v>73.0</v>
      </c>
    </row>
    <row r="577">
      <c r="A577" s="11">
        <v>17.0</v>
      </c>
      <c r="B577" s="11">
        <v>32.0</v>
      </c>
      <c r="C577" s="11">
        <v>8.0</v>
      </c>
      <c r="D577" s="11" t="s">
        <v>31</v>
      </c>
      <c r="E577" s="234">
        <v>44.0</v>
      </c>
      <c r="F577" s="235">
        <v>1.0</v>
      </c>
      <c r="G577" s="235">
        <v>1.0</v>
      </c>
      <c r="H577" s="234">
        <v>44.0</v>
      </c>
      <c r="I577" s="235">
        <v>1.0</v>
      </c>
      <c r="J577" s="236">
        <v>5.6812796E7</v>
      </c>
      <c r="K577" s="11">
        <v>54.0</v>
      </c>
      <c r="L577" s="11">
        <v>7.0</v>
      </c>
      <c r="M577" s="237" t="str">
        <f t="shared" si="1"/>
        <v>0440010056812796547</v>
      </c>
      <c r="N577" s="238">
        <v>31824.03</v>
      </c>
      <c r="O577" s="110">
        <v>72516.0</v>
      </c>
      <c r="P577" s="11">
        <v>80.0</v>
      </c>
      <c r="Q577" s="239"/>
      <c r="R577" s="17">
        <v>53.0</v>
      </c>
    </row>
    <row r="578">
      <c r="A578" s="11">
        <v>13.0</v>
      </c>
      <c r="B578" s="11">
        <v>94.0</v>
      </c>
      <c r="C578" s="11">
        <v>4.0</v>
      </c>
      <c r="D578" s="11" t="s">
        <v>5272</v>
      </c>
      <c r="E578" s="234">
        <v>21.0</v>
      </c>
      <c r="F578" s="235">
        <v>65.0</v>
      </c>
      <c r="G578" s="235">
        <v>65.0</v>
      </c>
      <c r="H578" s="234">
        <v>21.0</v>
      </c>
      <c r="I578" s="235">
        <v>65.0</v>
      </c>
      <c r="J578" s="236">
        <v>6.3634224E7</v>
      </c>
      <c r="K578" s="11">
        <v>3.0</v>
      </c>
      <c r="L578" s="11">
        <v>2.0</v>
      </c>
      <c r="M578" s="237" t="str">
        <f t="shared" si="1"/>
        <v>021065006363422432</v>
      </c>
      <c r="N578" s="238">
        <v>39590.67</v>
      </c>
      <c r="O578" s="110">
        <v>82416.0</v>
      </c>
      <c r="P578" s="11">
        <v>70.0</v>
      </c>
      <c r="Q578" s="239"/>
      <c r="R578" s="17">
        <v>12.0</v>
      </c>
    </row>
    <row r="579">
      <c r="A579" s="11">
        <v>17.0</v>
      </c>
      <c r="B579" s="11">
        <v>73.0</v>
      </c>
      <c r="C579" s="11">
        <v>9.0</v>
      </c>
      <c r="D579" s="11" t="s">
        <v>39</v>
      </c>
      <c r="E579" s="234">
        <v>12.0</v>
      </c>
      <c r="F579" s="235">
        <v>101.0</v>
      </c>
      <c r="G579" s="235">
        <v>101.0</v>
      </c>
      <c r="H579" s="234">
        <v>12.0</v>
      </c>
      <c r="I579" s="235">
        <v>101.0</v>
      </c>
      <c r="J579" s="236">
        <v>1.5547593E7</v>
      </c>
      <c r="K579" s="11">
        <v>78.0</v>
      </c>
      <c r="L579" s="11">
        <v>4.0</v>
      </c>
      <c r="M579" s="237" t="str">
        <f t="shared" si="1"/>
        <v>0121010015547593784</v>
      </c>
      <c r="N579" s="238">
        <v>50905.28</v>
      </c>
      <c r="O579" s="110">
        <v>111916.0</v>
      </c>
      <c r="P579" s="11">
        <v>80.0</v>
      </c>
      <c r="Q579" s="239"/>
      <c r="R579" s="17">
        <v>12.0</v>
      </c>
    </row>
    <row r="580">
      <c r="A580" s="11">
        <v>15.0</v>
      </c>
      <c r="B580" s="11">
        <v>94.0</v>
      </c>
      <c r="C580" s="11">
        <v>7.0</v>
      </c>
      <c r="D580" s="11" t="s">
        <v>29</v>
      </c>
      <c r="E580" s="234">
        <v>5.0</v>
      </c>
      <c r="F580" s="235">
        <v>53.0</v>
      </c>
      <c r="G580" s="235">
        <v>53.0</v>
      </c>
      <c r="H580" s="234">
        <v>5.0</v>
      </c>
      <c r="I580" s="235">
        <v>53.0</v>
      </c>
      <c r="J580" s="236">
        <v>7.902411E7</v>
      </c>
      <c r="K580" s="11">
        <v>98.0</v>
      </c>
      <c r="L580" s="11">
        <v>8.0</v>
      </c>
      <c r="M580" s="237" t="str">
        <f t="shared" si="1"/>
        <v>050530079024110988</v>
      </c>
      <c r="N580" s="238">
        <v>-89378.75</v>
      </c>
      <c r="O580" s="110">
        <v>11617.0</v>
      </c>
      <c r="P580" s="11">
        <v>74.0</v>
      </c>
      <c r="Q580" s="239"/>
      <c r="R580" s="17">
        <v>12.0</v>
      </c>
    </row>
    <row r="581">
      <c r="A581" s="11">
        <v>12.0</v>
      </c>
      <c r="B581" s="11">
        <v>73.0</v>
      </c>
      <c r="C581" s="11">
        <v>2.0</v>
      </c>
      <c r="D581" s="11" t="s">
        <v>31</v>
      </c>
      <c r="E581" s="234">
        <v>22.0</v>
      </c>
      <c r="F581" s="235">
        <v>87.0</v>
      </c>
      <c r="G581" s="235">
        <v>87.0</v>
      </c>
      <c r="H581" s="234">
        <v>22.0</v>
      </c>
      <c r="I581" s="235">
        <v>87.0</v>
      </c>
      <c r="J581" s="236">
        <v>9.8629752E7</v>
      </c>
      <c r="K581" s="11">
        <v>78.0</v>
      </c>
      <c r="L581" s="11">
        <v>0.0</v>
      </c>
      <c r="M581" s="237" t="str">
        <f t="shared" si="1"/>
        <v>0220870098629752780</v>
      </c>
      <c r="N581" s="238">
        <v>62420.25</v>
      </c>
      <c r="O581" s="110">
        <v>22716.0</v>
      </c>
      <c r="P581" s="11">
        <v>76.0</v>
      </c>
      <c r="Q581" s="239"/>
      <c r="R581" s="17">
        <v>53.0</v>
      </c>
    </row>
    <row r="582">
      <c r="A582" s="11">
        <v>15.0</v>
      </c>
      <c r="B582" s="11">
        <v>12.0</v>
      </c>
      <c r="C582" s="11">
        <v>9.0</v>
      </c>
      <c r="D582" s="11" t="s">
        <v>29</v>
      </c>
      <c r="E582" s="234">
        <v>38.0</v>
      </c>
      <c r="F582" s="235">
        <v>49.0</v>
      </c>
      <c r="G582" s="235">
        <v>49.0</v>
      </c>
      <c r="H582" s="234">
        <v>38.0</v>
      </c>
      <c r="I582" s="235">
        <v>49.0</v>
      </c>
      <c r="J582" s="236">
        <v>5.5765673E7</v>
      </c>
      <c r="K582" s="11">
        <v>67.0</v>
      </c>
      <c r="L582" s="11">
        <v>7.0</v>
      </c>
      <c r="M582" s="237" t="str">
        <f t="shared" si="1"/>
        <v>0380490055765673677</v>
      </c>
      <c r="N582" s="238">
        <v>-45168.96</v>
      </c>
      <c r="O582" s="110">
        <v>41116.0</v>
      </c>
      <c r="P582" s="11">
        <v>72.0</v>
      </c>
      <c r="Q582" s="239"/>
      <c r="R582" s="17">
        <v>94.0</v>
      </c>
    </row>
    <row r="583">
      <c r="A583" s="11">
        <v>18.0</v>
      </c>
      <c r="B583" s="11">
        <v>32.0</v>
      </c>
      <c r="C583" s="11">
        <v>4.0</v>
      </c>
      <c r="D583" s="11" t="s">
        <v>5271</v>
      </c>
      <c r="E583" s="234">
        <v>2.0</v>
      </c>
      <c r="F583" s="235">
        <v>70.0</v>
      </c>
      <c r="G583" s="235">
        <v>70.0</v>
      </c>
      <c r="H583" s="234">
        <v>2.0</v>
      </c>
      <c r="I583" s="235">
        <v>70.0</v>
      </c>
      <c r="J583" s="236">
        <v>2.6195275E7</v>
      </c>
      <c r="K583" s="11">
        <v>72.0</v>
      </c>
      <c r="L583" s="11">
        <v>6.0</v>
      </c>
      <c r="M583" s="237" t="str">
        <f t="shared" si="1"/>
        <v>020700026195275726</v>
      </c>
      <c r="N583" s="238">
        <v>-55370.74</v>
      </c>
      <c r="O583" s="110">
        <v>52813.0</v>
      </c>
      <c r="P583" s="11">
        <v>74.0</v>
      </c>
      <c r="Q583" s="239"/>
      <c r="R583" s="17">
        <v>32.0</v>
      </c>
    </row>
    <row r="584">
      <c r="A584" s="11">
        <v>18.0</v>
      </c>
      <c r="B584" s="11">
        <v>94.0</v>
      </c>
      <c r="C584" s="11">
        <v>6.0</v>
      </c>
      <c r="D584" s="11" t="s">
        <v>31</v>
      </c>
      <c r="E584" s="234">
        <v>26.0</v>
      </c>
      <c r="F584" s="235">
        <v>41.0</v>
      </c>
      <c r="G584" s="235">
        <v>41.0</v>
      </c>
      <c r="H584" s="234">
        <v>26.0</v>
      </c>
      <c r="I584" s="235">
        <v>41.0</v>
      </c>
      <c r="J584" s="236">
        <v>2.4760818E7</v>
      </c>
      <c r="K584" s="11">
        <v>57.0</v>
      </c>
      <c r="L584" s="11">
        <v>0.0</v>
      </c>
      <c r="M584" s="237" t="str">
        <f t="shared" si="1"/>
        <v>0260410024760818570</v>
      </c>
      <c r="N584" s="238">
        <v>66704.6</v>
      </c>
      <c r="O584" s="110">
        <v>21917.0</v>
      </c>
      <c r="P584" s="11">
        <v>73.0</v>
      </c>
      <c r="Q584" s="239"/>
      <c r="R584" s="17">
        <v>94.0</v>
      </c>
    </row>
    <row r="585">
      <c r="A585" s="11">
        <v>11.0</v>
      </c>
      <c r="B585" s="11">
        <v>12.0</v>
      </c>
      <c r="C585" s="11">
        <v>2.0</v>
      </c>
      <c r="D585" s="11" t="s">
        <v>5271</v>
      </c>
      <c r="E585" s="234">
        <v>22.0</v>
      </c>
      <c r="F585" s="235">
        <v>37.0</v>
      </c>
      <c r="G585" s="235">
        <v>37.0</v>
      </c>
      <c r="H585" s="234">
        <v>22.0</v>
      </c>
      <c r="I585" s="235">
        <v>37.0</v>
      </c>
      <c r="J585" s="236">
        <v>9.735173E7</v>
      </c>
      <c r="K585" s="11">
        <v>17.0</v>
      </c>
      <c r="L585" s="11">
        <v>7.0</v>
      </c>
      <c r="M585" s="237" t="str">
        <f t="shared" si="1"/>
        <v>0220370097351730177</v>
      </c>
      <c r="N585" s="238">
        <v>-73859.63</v>
      </c>
      <c r="O585" s="110">
        <v>41015.0</v>
      </c>
      <c r="P585" s="11">
        <v>71.0</v>
      </c>
      <c r="Q585" s="239"/>
      <c r="R585" s="17">
        <v>32.0</v>
      </c>
    </row>
    <row r="586">
      <c r="A586" s="11">
        <v>13.0</v>
      </c>
      <c r="B586" s="11">
        <v>32.0</v>
      </c>
      <c r="C586" s="11">
        <v>7.0</v>
      </c>
      <c r="D586" s="11" t="s">
        <v>29</v>
      </c>
      <c r="E586" s="234">
        <v>55.0</v>
      </c>
      <c r="F586" s="235">
        <v>101.0</v>
      </c>
      <c r="G586" s="235">
        <v>101.0</v>
      </c>
      <c r="H586" s="234">
        <v>55.0</v>
      </c>
      <c r="I586" s="235">
        <v>101.0</v>
      </c>
      <c r="J586" s="236">
        <v>5.6994406E7</v>
      </c>
      <c r="K586" s="11">
        <v>81.0</v>
      </c>
      <c r="L586" s="11">
        <v>8.0</v>
      </c>
      <c r="M586" s="237" t="str">
        <f t="shared" si="1"/>
        <v>0551010056994406818</v>
      </c>
      <c r="N586" s="238">
        <v>99010.89</v>
      </c>
      <c r="O586" s="110">
        <v>72815.0</v>
      </c>
      <c r="P586" s="11">
        <v>78.0</v>
      </c>
      <c r="Q586" s="239"/>
      <c r="R586" s="17">
        <v>12.0</v>
      </c>
    </row>
    <row r="587">
      <c r="A587" s="11">
        <v>13.0</v>
      </c>
      <c r="B587" s="11">
        <v>12.0</v>
      </c>
      <c r="C587" s="11">
        <v>8.0</v>
      </c>
      <c r="D587" s="11" t="s">
        <v>39</v>
      </c>
      <c r="E587" s="234">
        <v>1.0</v>
      </c>
      <c r="F587" s="235">
        <v>95.0</v>
      </c>
      <c r="G587" s="235">
        <v>95.0</v>
      </c>
      <c r="H587" s="234">
        <v>1.0</v>
      </c>
      <c r="I587" s="235">
        <v>95.0</v>
      </c>
      <c r="J587" s="236">
        <v>5.3434588E7</v>
      </c>
      <c r="K587" s="11">
        <v>62.0</v>
      </c>
      <c r="L587" s="11">
        <v>3.0</v>
      </c>
      <c r="M587" s="237" t="str">
        <f t="shared" si="1"/>
        <v>010950053434588623</v>
      </c>
      <c r="N587" s="238">
        <v>31088.6</v>
      </c>
      <c r="O587" s="110">
        <v>51818.0</v>
      </c>
      <c r="P587" s="11">
        <v>77.0</v>
      </c>
      <c r="Q587" s="239"/>
      <c r="R587" s="17">
        <v>53.0</v>
      </c>
    </row>
    <row r="588">
      <c r="A588" s="11">
        <v>17.0</v>
      </c>
      <c r="B588" s="11">
        <v>32.0</v>
      </c>
      <c r="C588" s="11">
        <v>5.0</v>
      </c>
      <c r="D588" s="11" t="s">
        <v>5271</v>
      </c>
      <c r="E588" s="234">
        <v>5.0</v>
      </c>
      <c r="F588" s="235">
        <v>49.0</v>
      </c>
      <c r="G588" s="235">
        <v>49.0</v>
      </c>
      <c r="H588" s="234">
        <v>5.0</v>
      </c>
      <c r="I588" s="235">
        <v>49.0</v>
      </c>
      <c r="J588" s="236">
        <v>2.6149237E7</v>
      </c>
      <c r="K588" s="11">
        <v>1.0</v>
      </c>
      <c r="L588" s="11">
        <v>2.0</v>
      </c>
      <c r="M588" s="237" t="str">
        <f t="shared" si="1"/>
        <v>05049002614923712</v>
      </c>
      <c r="N588" s="238">
        <v>38157.73</v>
      </c>
      <c r="O588" s="110">
        <v>12422.0</v>
      </c>
      <c r="P588" s="11">
        <v>75.0</v>
      </c>
      <c r="Q588" s="239"/>
      <c r="R588" s="17">
        <v>32.0</v>
      </c>
    </row>
    <row r="589">
      <c r="A589" s="11">
        <v>13.0</v>
      </c>
      <c r="B589" s="11">
        <v>32.0</v>
      </c>
      <c r="C589" s="11">
        <v>5.0</v>
      </c>
      <c r="D589" s="11" t="s">
        <v>5271</v>
      </c>
      <c r="E589" s="234">
        <v>47.0</v>
      </c>
      <c r="F589" s="235">
        <v>127.0</v>
      </c>
      <c r="G589" s="235">
        <v>127.0</v>
      </c>
      <c r="H589" s="234">
        <v>47.0</v>
      </c>
      <c r="I589" s="235">
        <v>127.0</v>
      </c>
      <c r="J589" s="236">
        <v>9.2408928E7</v>
      </c>
      <c r="K589" s="11">
        <v>36.0</v>
      </c>
      <c r="L589" s="11">
        <v>1.0</v>
      </c>
      <c r="M589" s="237" t="str">
        <f t="shared" si="1"/>
        <v>0471270092408928361</v>
      </c>
      <c r="N589" s="238">
        <v>-26266.59</v>
      </c>
      <c r="O589" s="110">
        <v>90320.0</v>
      </c>
      <c r="P589" s="11">
        <v>74.0</v>
      </c>
      <c r="Q589" s="239"/>
      <c r="R589" s="17">
        <v>53.0</v>
      </c>
    </row>
    <row r="590">
      <c r="A590" s="11">
        <v>11.0</v>
      </c>
      <c r="B590" s="11">
        <v>12.0</v>
      </c>
      <c r="C590" s="11">
        <v>9.0</v>
      </c>
      <c r="D590" s="11" t="s">
        <v>29</v>
      </c>
      <c r="E590" s="234">
        <v>46.0</v>
      </c>
      <c r="F590" s="235">
        <v>119.0</v>
      </c>
      <c r="G590" s="235">
        <v>119.0</v>
      </c>
      <c r="H590" s="234">
        <v>46.0</v>
      </c>
      <c r="I590" s="235">
        <v>119.0</v>
      </c>
      <c r="J590" s="236">
        <v>6.3638279E7</v>
      </c>
      <c r="K590" s="11">
        <v>99.0</v>
      </c>
      <c r="L590" s="11">
        <v>5.0</v>
      </c>
      <c r="M590" s="237" t="str">
        <f t="shared" si="1"/>
        <v>0461190063638279995</v>
      </c>
      <c r="N590" s="238">
        <v>1571.51</v>
      </c>
      <c r="O590" s="110">
        <v>20421.0</v>
      </c>
      <c r="P590" s="11">
        <v>80.0</v>
      </c>
      <c r="Q590" s="239"/>
      <c r="R590" s="17">
        <v>12.0</v>
      </c>
    </row>
    <row r="591">
      <c r="A591" s="11">
        <v>19.0</v>
      </c>
      <c r="B591" s="11">
        <v>73.0</v>
      </c>
      <c r="C591" s="11">
        <v>8.0</v>
      </c>
      <c r="D591" s="11" t="s">
        <v>31</v>
      </c>
      <c r="E591" s="234">
        <v>47.0</v>
      </c>
      <c r="F591" s="235">
        <v>83.0</v>
      </c>
      <c r="G591" s="235">
        <v>83.0</v>
      </c>
      <c r="H591" s="234">
        <v>47.0</v>
      </c>
      <c r="I591" s="235">
        <v>83.0</v>
      </c>
      <c r="J591" s="236">
        <v>8.0794468E7</v>
      </c>
      <c r="K591" s="11">
        <v>82.0</v>
      </c>
      <c r="L591" s="11">
        <v>4.0</v>
      </c>
      <c r="M591" s="237" t="str">
        <f t="shared" si="1"/>
        <v>0470830080794468824</v>
      </c>
      <c r="N591" s="238">
        <v>40331.52</v>
      </c>
      <c r="O591" s="110">
        <v>100819.0</v>
      </c>
      <c r="P591" s="11">
        <v>79.0</v>
      </c>
      <c r="Q591" s="239"/>
      <c r="R591" s="17">
        <v>94.0</v>
      </c>
    </row>
    <row r="592">
      <c r="A592" s="11">
        <v>17.0</v>
      </c>
      <c r="B592" s="11">
        <v>73.0</v>
      </c>
      <c r="C592" s="11">
        <v>5.0</v>
      </c>
      <c r="D592" s="11" t="s">
        <v>29</v>
      </c>
      <c r="E592" s="234">
        <v>29.0</v>
      </c>
      <c r="F592" s="235">
        <v>85.0</v>
      </c>
      <c r="G592" s="235">
        <v>85.0</v>
      </c>
      <c r="H592" s="234">
        <v>29.0</v>
      </c>
      <c r="I592" s="235">
        <v>85.0</v>
      </c>
      <c r="J592" s="236">
        <v>2.9636726E7</v>
      </c>
      <c r="K592" s="11">
        <v>4.0</v>
      </c>
      <c r="L592" s="11">
        <v>1.0</v>
      </c>
      <c r="M592" s="237" t="str">
        <f t="shared" si="1"/>
        <v>029085002963672641</v>
      </c>
      <c r="N592" s="238">
        <v>14020.32</v>
      </c>
      <c r="O592" s="110">
        <v>90315.0</v>
      </c>
      <c r="P592" s="11">
        <v>71.0</v>
      </c>
      <c r="Q592" s="239"/>
      <c r="R592" s="17">
        <v>94.0</v>
      </c>
    </row>
    <row r="593">
      <c r="A593" s="11">
        <v>20.0</v>
      </c>
      <c r="B593" s="11">
        <v>94.0</v>
      </c>
      <c r="C593" s="11">
        <v>6.0</v>
      </c>
      <c r="D593" s="11" t="s">
        <v>39</v>
      </c>
      <c r="E593" s="234">
        <v>47.0</v>
      </c>
      <c r="F593" s="235">
        <v>65.0</v>
      </c>
      <c r="G593" s="235">
        <v>65.0</v>
      </c>
      <c r="H593" s="234">
        <v>47.0</v>
      </c>
      <c r="I593" s="235">
        <v>65.0</v>
      </c>
      <c r="J593" s="236">
        <v>3.6489566E7</v>
      </c>
      <c r="K593" s="11">
        <v>40.0</v>
      </c>
      <c r="L593" s="11">
        <v>1.0</v>
      </c>
      <c r="M593" s="237" t="str">
        <f t="shared" si="1"/>
        <v>0470650036489566401</v>
      </c>
      <c r="N593" s="238">
        <v>-21750.18</v>
      </c>
      <c r="O593" s="110">
        <v>81113.0</v>
      </c>
      <c r="P593" s="11">
        <v>75.0</v>
      </c>
      <c r="Q593" s="239"/>
      <c r="R593" s="17">
        <v>73.0</v>
      </c>
    </row>
    <row r="594">
      <c r="A594" s="11">
        <v>10.0</v>
      </c>
      <c r="B594" s="11">
        <v>53.0</v>
      </c>
      <c r="C594" s="11">
        <v>3.0</v>
      </c>
      <c r="D594" s="11" t="s">
        <v>29</v>
      </c>
      <c r="E594" s="234">
        <v>1.0</v>
      </c>
      <c r="F594" s="235">
        <v>31.0</v>
      </c>
      <c r="G594" s="235">
        <v>31.0</v>
      </c>
      <c r="H594" s="234">
        <v>1.0</v>
      </c>
      <c r="I594" s="235">
        <v>31.0</v>
      </c>
      <c r="J594" s="236">
        <v>1.1071233E7</v>
      </c>
      <c r="K594" s="11">
        <v>63.0</v>
      </c>
      <c r="L594" s="11">
        <v>9.0</v>
      </c>
      <c r="M594" s="237" t="str">
        <f t="shared" si="1"/>
        <v>010310011071233639</v>
      </c>
      <c r="N594" s="238">
        <v>-90482.27</v>
      </c>
      <c r="O594" s="110">
        <v>70319.0</v>
      </c>
      <c r="P594" s="11">
        <v>80.0</v>
      </c>
      <c r="Q594" s="239"/>
      <c r="R594" s="17">
        <v>94.0</v>
      </c>
    </row>
    <row r="595">
      <c r="A595" s="11">
        <v>15.0</v>
      </c>
      <c r="B595" s="11">
        <v>53.0</v>
      </c>
      <c r="C595" s="11">
        <v>3.0</v>
      </c>
      <c r="D595" s="11" t="s">
        <v>5273</v>
      </c>
      <c r="E595" s="234">
        <v>48.0</v>
      </c>
      <c r="F595" s="235">
        <v>371.0</v>
      </c>
      <c r="G595" s="235">
        <v>371.0</v>
      </c>
      <c r="H595" s="234">
        <v>48.0</v>
      </c>
      <c r="I595" s="235">
        <v>371.0</v>
      </c>
      <c r="J595" s="236">
        <v>3.2637391E7</v>
      </c>
      <c r="K595" s="11">
        <v>97.0</v>
      </c>
      <c r="L595" s="11">
        <v>5.0</v>
      </c>
      <c r="M595" s="237" t="str">
        <f t="shared" si="1"/>
        <v>0483710032637391975</v>
      </c>
      <c r="N595" s="238">
        <v>72305.35</v>
      </c>
      <c r="O595" s="110">
        <v>22120.0</v>
      </c>
      <c r="P595" s="11">
        <v>70.0</v>
      </c>
      <c r="Q595" s="239"/>
      <c r="R595" s="17">
        <v>32.0</v>
      </c>
    </row>
    <row r="596">
      <c r="A596" s="11">
        <v>19.0</v>
      </c>
      <c r="B596" s="11">
        <v>32.0</v>
      </c>
      <c r="C596" s="11">
        <v>6.0</v>
      </c>
      <c r="D596" s="11" t="s">
        <v>39</v>
      </c>
      <c r="E596" s="234">
        <v>33.0</v>
      </c>
      <c r="F596" s="235">
        <v>19.0</v>
      </c>
      <c r="G596" s="235">
        <v>19.0</v>
      </c>
      <c r="H596" s="234">
        <v>33.0</v>
      </c>
      <c r="I596" s="235">
        <v>19.0</v>
      </c>
      <c r="J596" s="236">
        <v>4.4103211E7</v>
      </c>
      <c r="K596" s="11">
        <v>77.0</v>
      </c>
      <c r="L596" s="11">
        <v>2.0</v>
      </c>
      <c r="M596" s="237" t="str">
        <f t="shared" si="1"/>
        <v>0330190044103211772</v>
      </c>
      <c r="N596" s="238">
        <v>12257.16</v>
      </c>
      <c r="O596" s="110">
        <v>81919.0</v>
      </c>
      <c r="P596" s="11">
        <v>76.0</v>
      </c>
      <c r="Q596" s="239"/>
      <c r="R596" s="17">
        <v>12.0</v>
      </c>
    </row>
    <row r="597">
      <c r="A597" s="11">
        <v>15.0</v>
      </c>
      <c r="B597" s="11">
        <v>53.0</v>
      </c>
      <c r="C597" s="11">
        <v>6.0</v>
      </c>
      <c r="D597" s="11" t="s">
        <v>5272</v>
      </c>
      <c r="E597" s="234">
        <v>40.0</v>
      </c>
      <c r="F597" s="235">
        <v>149.0</v>
      </c>
      <c r="G597" s="235">
        <v>149.0</v>
      </c>
      <c r="H597" s="234">
        <v>40.0</v>
      </c>
      <c r="I597" s="235">
        <v>149.0</v>
      </c>
      <c r="J597" s="236">
        <v>2.8898613E7</v>
      </c>
      <c r="K597" s="11">
        <v>76.0</v>
      </c>
      <c r="L597" s="11">
        <v>6.0</v>
      </c>
      <c r="M597" s="237" t="str">
        <f t="shared" si="1"/>
        <v>0401490028898613766</v>
      </c>
      <c r="N597" s="238">
        <v>90682.13</v>
      </c>
      <c r="O597" s="110">
        <v>52217.0</v>
      </c>
      <c r="P597" s="11">
        <v>71.0</v>
      </c>
      <c r="Q597" s="239"/>
      <c r="R597" s="17">
        <v>33.0</v>
      </c>
    </row>
    <row r="598">
      <c r="A598" s="11">
        <v>16.0</v>
      </c>
      <c r="B598" s="11">
        <v>12.0</v>
      </c>
      <c r="C598" s="11">
        <v>3.0</v>
      </c>
      <c r="D598" s="11" t="s">
        <v>5272</v>
      </c>
      <c r="E598" s="234">
        <v>45.0</v>
      </c>
      <c r="F598" s="235">
        <v>51.0</v>
      </c>
      <c r="G598" s="235">
        <v>51.0</v>
      </c>
      <c r="H598" s="234">
        <v>45.0</v>
      </c>
      <c r="I598" s="235">
        <v>51.0</v>
      </c>
      <c r="J598" s="236">
        <v>4.7259687E7</v>
      </c>
      <c r="K598" s="11">
        <v>10.0</v>
      </c>
      <c r="L598" s="11">
        <v>8.0</v>
      </c>
      <c r="M598" s="237" t="str">
        <f t="shared" si="1"/>
        <v>0450510047259687108</v>
      </c>
      <c r="N598" s="238">
        <v>-60742.17</v>
      </c>
      <c r="O598" s="110">
        <v>110417.0</v>
      </c>
      <c r="P598" s="11">
        <v>80.0</v>
      </c>
      <c r="Q598" s="239"/>
      <c r="R598" s="17">
        <v>12.0</v>
      </c>
    </row>
    <row r="599">
      <c r="A599" s="11">
        <v>20.0</v>
      </c>
      <c r="B599" s="11">
        <v>12.0</v>
      </c>
      <c r="C599" s="11">
        <v>6.0</v>
      </c>
      <c r="D599" s="11" t="s">
        <v>5271</v>
      </c>
      <c r="E599" s="234">
        <v>48.0</v>
      </c>
      <c r="F599" s="235">
        <v>197.0</v>
      </c>
      <c r="G599" s="235">
        <v>197.0</v>
      </c>
      <c r="H599" s="234">
        <v>48.0</v>
      </c>
      <c r="I599" s="235">
        <v>197.0</v>
      </c>
      <c r="J599" s="236">
        <v>2.7135045E7</v>
      </c>
      <c r="K599" s="11">
        <v>32.0</v>
      </c>
      <c r="L599" s="11">
        <v>8.0</v>
      </c>
      <c r="M599" s="237" t="str">
        <f t="shared" si="1"/>
        <v>0481970027135045328</v>
      </c>
      <c r="N599" s="238">
        <v>10985.43</v>
      </c>
      <c r="O599" s="110">
        <v>22819.0</v>
      </c>
      <c r="P599" s="11">
        <v>70.0</v>
      </c>
      <c r="Q599" s="239"/>
      <c r="R599" s="17">
        <v>33.0</v>
      </c>
    </row>
    <row r="600">
      <c r="A600" s="11">
        <v>17.0</v>
      </c>
      <c r="B600" s="11">
        <v>12.0</v>
      </c>
      <c r="C600" s="11">
        <v>8.0</v>
      </c>
      <c r="D600" s="11" t="s">
        <v>39</v>
      </c>
      <c r="E600" s="234">
        <v>51.0</v>
      </c>
      <c r="F600" s="235">
        <v>155.0</v>
      </c>
      <c r="G600" s="235">
        <v>155.0</v>
      </c>
      <c r="H600" s="234">
        <v>51.0</v>
      </c>
      <c r="I600" s="235">
        <v>155.0</v>
      </c>
      <c r="J600" s="236">
        <v>7.5468018E7</v>
      </c>
      <c r="K600" s="11">
        <v>25.0</v>
      </c>
      <c r="L600" s="11">
        <v>9.0</v>
      </c>
      <c r="M600" s="237" t="str">
        <f t="shared" si="1"/>
        <v>0511550075468018259</v>
      </c>
      <c r="N600" s="238">
        <v>-57889.46</v>
      </c>
      <c r="O600" s="110">
        <v>52420.0</v>
      </c>
      <c r="P600" s="11">
        <v>77.0</v>
      </c>
      <c r="Q600" s="239"/>
      <c r="R600" s="17">
        <v>74.0</v>
      </c>
    </row>
    <row r="601">
      <c r="A601" s="11">
        <v>10.0</v>
      </c>
      <c r="B601" s="11">
        <v>33.0</v>
      </c>
      <c r="C601" s="11">
        <v>4.0</v>
      </c>
      <c r="D601" s="11" t="s">
        <v>5272</v>
      </c>
      <c r="E601" s="234">
        <v>40.0</v>
      </c>
      <c r="F601" s="235">
        <v>125.0</v>
      </c>
      <c r="G601" s="235">
        <v>125.0</v>
      </c>
      <c r="H601" s="234">
        <v>40.0</v>
      </c>
      <c r="I601" s="235">
        <v>125.0</v>
      </c>
      <c r="J601" s="236">
        <v>3.3845262E7</v>
      </c>
      <c r="K601" s="11">
        <v>61.0</v>
      </c>
      <c r="L601" s="11">
        <v>0.0</v>
      </c>
      <c r="M601" s="237" t="str">
        <f t="shared" si="1"/>
        <v>0401250033845262610</v>
      </c>
      <c r="N601" s="238">
        <v>-73357.71</v>
      </c>
      <c r="O601" s="110">
        <v>91113.0</v>
      </c>
      <c r="P601" s="11">
        <v>71.0</v>
      </c>
      <c r="Q601" s="239"/>
      <c r="R601" s="17">
        <v>94.0</v>
      </c>
    </row>
    <row r="602">
      <c r="A602" s="11">
        <v>20.0</v>
      </c>
      <c r="B602" s="11">
        <v>12.0</v>
      </c>
      <c r="C602" s="11">
        <v>6.0</v>
      </c>
      <c r="D602" s="11" t="s">
        <v>5273</v>
      </c>
      <c r="E602" s="234">
        <v>16.0</v>
      </c>
      <c r="F602" s="235">
        <v>33.0</v>
      </c>
      <c r="G602" s="235">
        <v>33.0</v>
      </c>
      <c r="H602" s="234">
        <v>16.0</v>
      </c>
      <c r="I602" s="235">
        <v>33.0</v>
      </c>
      <c r="J602" s="236">
        <v>5.3891132E7</v>
      </c>
      <c r="K602" s="11">
        <v>81.0</v>
      </c>
      <c r="L602" s="11">
        <v>7.0</v>
      </c>
      <c r="M602" s="237" t="str">
        <f t="shared" si="1"/>
        <v>0160330053891132817</v>
      </c>
      <c r="N602" s="238">
        <v>-37807.7</v>
      </c>
      <c r="O602" s="110">
        <v>42822.0</v>
      </c>
      <c r="P602" s="11">
        <v>72.0</v>
      </c>
      <c r="Q602" s="239"/>
      <c r="R602" s="17">
        <v>12.0</v>
      </c>
    </row>
    <row r="603">
      <c r="A603" s="11">
        <v>18.0</v>
      </c>
      <c r="B603" s="11">
        <v>74.0</v>
      </c>
      <c r="C603" s="11">
        <v>5.0</v>
      </c>
      <c r="D603" s="11" t="s">
        <v>5271</v>
      </c>
      <c r="E603" s="234">
        <v>29.0</v>
      </c>
      <c r="F603" s="235">
        <v>25.0</v>
      </c>
      <c r="G603" s="235">
        <v>25.0</v>
      </c>
      <c r="H603" s="234">
        <v>29.0</v>
      </c>
      <c r="I603" s="235">
        <v>25.0</v>
      </c>
      <c r="J603" s="236">
        <v>9.2159547E7</v>
      </c>
      <c r="K603" s="11">
        <v>71.0</v>
      </c>
      <c r="L603" s="11">
        <v>6.0</v>
      </c>
      <c r="M603" s="237" t="str">
        <f t="shared" si="1"/>
        <v>0290250092159547716</v>
      </c>
      <c r="N603" s="238">
        <v>14623.24</v>
      </c>
      <c r="O603" s="110">
        <v>112816.0</v>
      </c>
      <c r="P603" s="11">
        <v>77.0</v>
      </c>
      <c r="Q603" s="239"/>
      <c r="R603" s="17">
        <v>53.0</v>
      </c>
    </row>
    <row r="604">
      <c r="A604" s="11">
        <v>12.0</v>
      </c>
      <c r="B604" s="11">
        <v>53.0</v>
      </c>
      <c r="C604" s="11">
        <v>4.0</v>
      </c>
      <c r="D604" s="11" t="s">
        <v>31</v>
      </c>
      <c r="E604" s="234">
        <v>8.0</v>
      </c>
      <c r="F604" s="235">
        <v>111.0</v>
      </c>
      <c r="G604" s="235">
        <v>111.0</v>
      </c>
      <c r="H604" s="234">
        <v>8.0</v>
      </c>
      <c r="I604" s="235">
        <v>111.0</v>
      </c>
      <c r="J604" s="236">
        <v>2.9155874E7</v>
      </c>
      <c r="K604" s="11">
        <v>52.0</v>
      </c>
      <c r="L604" s="11">
        <v>7.0</v>
      </c>
      <c r="M604" s="237" t="str">
        <f t="shared" si="1"/>
        <v>081110029155874527</v>
      </c>
      <c r="N604" s="238">
        <v>61638.98</v>
      </c>
      <c r="O604" s="110">
        <v>80714.0</v>
      </c>
      <c r="P604" s="11">
        <v>77.0</v>
      </c>
      <c r="Q604" s="239"/>
      <c r="R604" s="17">
        <v>74.0</v>
      </c>
    </row>
    <row r="605">
      <c r="A605" s="11">
        <v>15.0</v>
      </c>
      <c r="B605" s="11">
        <v>94.0</v>
      </c>
      <c r="C605" s="11">
        <v>4.0</v>
      </c>
      <c r="D605" s="11" t="s">
        <v>5271</v>
      </c>
      <c r="E605" s="234">
        <v>45.0</v>
      </c>
      <c r="F605" s="235">
        <v>53.0</v>
      </c>
      <c r="G605" s="235">
        <v>53.0</v>
      </c>
      <c r="H605" s="234">
        <v>45.0</v>
      </c>
      <c r="I605" s="235">
        <v>53.0</v>
      </c>
      <c r="J605" s="236">
        <v>7.9354329E7</v>
      </c>
      <c r="K605" s="11">
        <v>97.0</v>
      </c>
      <c r="L605" s="11">
        <v>8.0</v>
      </c>
      <c r="M605" s="237" t="str">
        <f t="shared" si="1"/>
        <v>0450530079354329978</v>
      </c>
      <c r="N605" s="238">
        <v>81252.68</v>
      </c>
      <c r="O605" s="110">
        <v>33116.0</v>
      </c>
      <c r="P605" s="11">
        <v>80.0</v>
      </c>
      <c r="Q605" s="239"/>
      <c r="R605" s="17">
        <v>33.0</v>
      </c>
    </row>
    <row r="606">
      <c r="A606" s="11">
        <v>18.0</v>
      </c>
      <c r="B606" s="11">
        <v>12.0</v>
      </c>
      <c r="C606" s="11">
        <v>6.0</v>
      </c>
      <c r="D606" s="11" t="s">
        <v>5273</v>
      </c>
      <c r="E606" s="234">
        <v>37.0</v>
      </c>
      <c r="F606" s="235">
        <v>45.0</v>
      </c>
      <c r="G606" s="235">
        <v>45.0</v>
      </c>
      <c r="H606" s="234">
        <v>37.0</v>
      </c>
      <c r="I606" s="235">
        <v>45.0</v>
      </c>
      <c r="J606" s="236">
        <v>4.9725296E7</v>
      </c>
      <c r="K606" s="11">
        <v>94.0</v>
      </c>
      <c r="L606" s="11">
        <v>7.0</v>
      </c>
      <c r="M606" s="237" t="str">
        <f t="shared" si="1"/>
        <v>0370450049725296947</v>
      </c>
      <c r="N606" s="238">
        <v>-9301.61</v>
      </c>
      <c r="O606" s="110">
        <v>61023.0</v>
      </c>
      <c r="P606" s="11">
        <v>70.0</v>
      </c>
      <c r="Q606" s="239"/>
      <c r="R606" s="17">
        <v>33.0</v>
      </c>
    </row>
    <row r="607">
      <c r="A607" s="11">
        <v>13.0</v>
      </c>
      <c r="B607" s="11">
        <v>53.0</v>
      </c>
      <c r="C607" s="11">
        <v>3.0</v>
      </c>
      <c r="D607" s="11" t="s">
        <v>39</v>
      </c>
      <c r="E607" s="234">
        <v>38.0</v>
      </c>
      <c r="F607" s="235">
        <v>97.0</v>
      </c>
      <c r="G607" s="235">
        <v>97.0</v>
      </c>
      <c r="H607" s="234">
        <v>38.0</v>
      </c>
      <c r="I607" s="235">
        <v>97.0</v>
      </c>
      <c r="J607" s="236">
        <v>5.2212869E7</v>
      </c>
      <c r="K607" s="11">
        <v>5.0</v>
      </c>
      <c r="L607" s="11">
        <v>1.0</v>
      </c>
      <c r="M607" s="237" t="str">
        <f t="shared" si="1"/>
        <v>038097005221286951</v>
      </c>
      <c r="N607" s="238">
        <v>-22149.34</v>
      </c>
      <c r="O607" s="110">
        <v>102614.0</v>
      </c>
      <c r="P607" s="11">
        <v>74.0</v>
      </c>
      <c r="Q607" s="239"/>
      <c r="R607" s="17">
        <v>94.0</v>
      </c>
    </row>
    <row r="608">
      <c r="A608" s="11">
        <v>20.0</v>
      </c>
      <c r="B608" s="11">
        <v>33.0</v>
      </c>
      <c r="C608" s="11">
        <v>6.0</v>
      </c>
      <c r="D608" s="11" t="s">
        <v>31</v>
      </c>
      <c r="E608" s="234">
        <v>12.0</v>
      </c>
      <c r="F608" s="235">
        <v>115.0</v>
      </c>
      <c r="G608" s="235">
        <v>115.0</v>
      </c>
      <c r="H608" s="234">
        <v>12.0</v>
      </c>
      <c r="I608" s="235">
        <v>115.0</v>
      </c>
      <c r="J608" s="236">
        <v>2.1133679E7</v>
      </c>
      <c r="K608" s="11">
        <v>49.0</v>
      </c>
      <c r="L608" s="11">
        <v>9.0</v>
      </c>
      <c r="M608" s="237" t="str">
        <f t="shared" si="1"/>
        <v>0121150021133679499</v>
      </c>
      <c r="N608" s="238">
        <v>35177.55</v>
      </c>
      <c r="O608" s="110">
        <v>111416.0</v>
      </c>
      <c r="P608" s="11">
        <v>78.0</v>
      </c>
      <c r="Q608" s="239"/>
      <c r="R608" s="17">
        <v>33.0</v>
      </c>
    </row>
    <row r="609">
      <c r="A609" s="11">
        <v>14.0</v>
      </c>
      <c r="B609" s="11">
        <v>74.0</v>
      </c>
      <c r="C609" s="11">
        <v>5.0</v>
      </c>
      <c r="D609" s="11" t="s">
        <v>5271</v>
      </c>
      <c r="E609" s="234">
        <v>18.0</v>
      </c>
      <c r="F609" s="235">
        <v>53.0</v>
      </c>
      <c r="G609" s="235">
        <v>53.0</v>
      </c>
      <c r="H609" s="234">
        <v>18.0</v>
      </c>
      <c r="I609" s="235">
        <v>53.0</v>
      </c>
      <c r="J609" s="236">
        <v>5.7517614E7</v>
      </c>
      <c r="K609" s="11">
        <v>94.0</v>
      </c>
      <c r="L609" s="11">
        <v>3.0</v>
      </c>
      <c r="M609" s="237" t="str">
        <f t="shared" si="1"/>
        <v>0180530057517614943</v>
      </c>
      <c r="N609" s="238">
        <v>7969.5</v>
      </c>
      <c r="O609" s="110">
        <v>111218.0</v>
      </c>
      <c r="P609" s="11">
        <v>79.0</v>
      </c>
      <c r="Q609" s="239"/>
      <c r="R609" s="17">
        <v>74.0</v>
      </c>
    </row>
    <row r="610">
      <c r="A610" s="11">
        <v>15.0</v>
      </c>
      <c r="B610" s="11">
        <v>33.0</v>
      </c>
      <c r="C610" s="11">
        <v>6.0</v>
      </c>
      <c r="D610" s="11" t="s">
        <v>5271</v>
      </c>
      <c r="E610" s="234">
        <v>24.0</v>
      </c>
      <c r="F610" s="235">
        <v>29.0</v>
      </c>
      <c r="G610" s="235">
        <v>29.0</v>
      </c>
      <c r="H610" s="234">
        <v>24.0</v>
      </c>
      <c r="I610" s="235">
        <v>29.0</v>
      </c>
      <c r="J610" s="236">
        <v>3.3238755E7</v>
      </c>
      <c r="K610" s="11">
        <v>33.0</v>
      </c>
      <c r="L610" s="11">
        <v>7.0</v>
      </c>
      <c r="M610" s="237" t="str">
        <f t="shared" si="1"/>
        <v>0240290033238755337</v>
      </c>
      <c r="N610" s="238">
        <v>4095.39</v>
      </c>
      <c r="O610" s="110">
        <v>41022.0</v>
      </c>
      <c r="P610" s="11">
        <v>80.0</v>
      </c>
      <c r="Q610" s="239"/>
      <c r="R610" s="17">
        <v>74.0</v>
      </c>
    </row>
    <row r="611">
      <c r="A611" s="11">
        <v>18.0</v>
      </c>
      <c r="B611" s="11">
        <v>94.0</v>
      </c>
      <c r="C611" s="11">
        <v>1.0</v>
      </c>
      <c r="D611" s="11" t="s">
        <v>39</v>
      </c>
      <c r="E611" s="234">
        <v>40.0</v>
      </c>
      <c r="F611" s="235">
        <v>111.0</v>
      </c>
      <c r="G611" s="235">
        <v>111.0</v>
      </c>
      <c r="H611" s="234">
        <v>40.0</v>
      </c>
      <c r="I611" s="235">
        <v>111.0</v>
      </c>
      <c r="J611" s="236">
        <v>3.9610056E7</v>
      </c>
      <c r="K611" s="11">
        <v>94.0</v>
      </c>
      <c r="L611" s="11">
        <v>9.0</v>
      </c>
      <c r="M611" s="237" t="str">
        <f t="shared" si="1"/>
        <v>0401110039610056949</v>
      </c>
      <c r="N611" s="238">
        <v>-91374.23</v>
      </c>
      <c r="O611" s="110">
        <v>121913.0</v>
      </c>
      <c r="P611" s="11">
        <v>75.0</v>
      </c>
      <c r="Q611" s="239"/>
      <c r="R611" s="17">
        <v>33.0</v>
      </c>
    </row>
    <row r="612">
      <c r="A612" s="11">
        <v>19.0</v>
      </c>
      <c r="B612" s="11">
        <v>53.0</v>
      </c>
      <c r="C612" s="11">
        <v>7.0</v>
      </c>
      <c r="D612" s="11" t="s">
        <v>5271</v>
      </c>
      <c r="E612" s="234">
        <v>28.0</v>
      </c>
      <c r="F612" s="235">
        <v>119.0</v>
      </c>
      <c r="G612" s="235">
        <v>119.0</v>
      </c>
      <c r="H612" s="234">
        <v>28.0</v>
      </c>
      <c r="I612" s="235">
        <v>119.0</v>
      </c>
      <c r="J612" s="236">
        <v>3.458675E7</v>
      </c>
      <c r="K612" s="11">
        <v>77.0</v>
      </c>
      <c r="L612" s="11">
        <v>4.0</v>
      </c>
      <c r="M612" s="237" t="str">
        <f t="shared" si="1"/>
        <v>0281190034586750774</v>
      </c>
      <c r="N612" s="238">
        <v>-13638.17</v>
      </c>
      <c r="O612" s="110">
        <v>91322.0</v>
      </c>
      <c r="P612" s="11">
        <v>80.0</v>
      </c>
      <c r="Q612" s="239"/>
      <c r="R612" s="17">
        <v>33.0</v>
      </c>
    </row>
    <row r="613">
      <c r="A613" s="11">
        <v>13.0</v>
      </c>
      <c r="B613" s="11">
        <v>74.0</v>
      </c>
      <c r="C613" s="11">
        <v>7.0</v>
      </c>
      <c r="D613" s="11" t="s">
        <v>31</v>
      </c>
      <c r="E613" s="234">
        <v>55.0</v>
      </c>
      <c r="F613" s="235">
        <v>91.0</v>
      </c>
      <c r="G613" s="235">
        <v>91.0</v>
      </c>
      <c r="H613" s="234">
        <v>55.0</v>
      </c>
      <c r="I613" s="235">
        <v>91.0</v>
      </c>
      <c r="J613" s="236">
        <v>6.151423E7</v>
      </c>
      <c r="K613" s="11">
        <v>51.0</v>
      </c>
      <c r="L613" s="11">
        <v>4.0</v>
      </c>
      <c r="M613" s="237" t="str">
        <f t="shared" si="1"/>
        <v>0550910061514230514</v>
      </c>
      <c r="N613" s="238">
        <v>-2643.45</v>
      </c>
      <c r="O613" s="110">
        <v>102023.0</v>
      </c>
      <c r="P613" s="11">
        <v>73.0</v>
      </c>
      <c r="Q613" s="239"/>
      <c r="R613" s="17">
        <v>33.0</v>
      </c>
    </row>
    <row r="614">
      <c r="A614" s="11">
        <v>15.0</v>
      </c>
      <c r="B614" s="11">
        <v>33.0</v>
      </c>
      <c r="C614" s="11">
        <v>1.0</v>
      </c>
      <c r="D614" s="11" t="s">
        <v>31</v>
      </c>
      <c r="E614" s="234">
        <v>29.0</v>
      </c>
      <c r="F614" s="235">
        <v>69.0</v>
      </c>
      <c r="G614" s="235">
        <v>69.0</v>
      </c>
      <c r="H614" s="234">
        <v>29.0</v>
      </c>
      <c r="I614" s="235">
        <v>69.0</v>
      </c>
      <c r="J614" s="236">
        <v>5.9140953E7</v>
      </c>
      <c r="K614" s="11">
        <v>63.0</v>
      </c>
      <c r="L614" s="11">
        <v>9.0</v>
      </c>
      <c r="M614" s="237" t="str">
        <f t="shared" si="1"/>
        <v>0290690059140953639</v>
      </c>
      <c r="N614" s="238">
        <v>-35336.84</v>
      </c>
      <c r="O614" s="110">
        <v>71517.0</v>
      </c>
      <c r="P614" s="11">
        <v>71.0</v>
      </c>
      <c r="Q614" s="239"/>
      <c r="R614" s="17">
        <v>12.0</v>
      </c>
    </row>
    <row r="615">
      <c r="A615" s="11">
        <v>11.0</v>
      </c>
      <c r="B615" s="11">
        <v>94.0</v>
      </c>
      <c r="C615" s="11">
        <v>6.0</v>
      </c>
      <c r="D615" s="11" t="s">
        <v>29</v>
      </c>
      <c r="E615" s="234">
        <v>31.0</v>
      </c>
      <c r="F615" s="235">
        <v>147.0</v>
      </c>
      <c r="G615" s="235">
        <v>147.0</v>
      </c>
      <c r="H615" s="234">
        <v>31.0</v>
      </c>
      <c r="I615" s="235">
        <v>147.0</v>
      </c>
      <c r="J615" s="236">
        <v>4.9471204E7</v>
      </c>
      <c r="K615" s="11">
        <v>77.0</v>
      </c>
      <c r="L615" s="11">
        <v>1.0</v>
      </c>
      <c r="M615" s="237" t="str">
        <f t="shared" si="1"/>
        <v>0311470049471204771</v>
      </c>
      <c r="N615" s="238">
        <v>-96318.87</v>
      </c>
      <c r="O615" s="110">
        <v>10422.0</v>
      </c>
      <c r="P615" s="11">
        <v>75.0</v>
      </c>
      <c r="Q615" s="239"/>
      <c r="R615" s="17">
        <v>74.0</v>
      </c>
    </row>
    <row r="616">
      <c r="A616" s="11">
        <v>14.0</v>
      </c>
      <c r="B616" s="11">
        <v>53.0</v>
      </c>
      <c r="C616" s="11">
        <v>9.0</v>
      </c>
      <c r="D616" s="11" t="s">
        <v>29</v>
      </c>
      <c r="E616" s="234">
        <v>17.0</v>
      </c>
      <c r="F616" s="235">
        <v>185.0</v>
      </c>
      <c r="G616" s="235">
        <v>185.0</v>
      </c>
      <c r="H616" s="234">
        <v>17.0</v>
      </c>
      <c r="I616" s="235">
        <v>185.0</v>
      </c>
      <c r="J616" s="236">
        <v>9.655569E7</v>
      </c>
      <c r="K616" s="11">
        <v>9.0</v>
      </c>
      <c r="L616" s="11">
        <v>3.0</v>
      </c>
      <c r="M616" s="237" t="str">
        <f t="shared" si="1"/>
        <v>017185009655569093</v>
      </c>
      <c r="N616" s="238">
        <v>-37286.25</v>
      </c>
      <c r="O616" s="110">
        <v>112213.0</v>
      </c>
      <c r="P616" s="11">
        <v>74.0</v>
      </c>
      <c r="Q616" s="239"/>
      <c r="R616" s="17">
        <v>53.0</v>
      </c>
    </row>
    <row r="617">
      <c r="A617" s="11">
        <v>14.0</v>
      </c>
      <c r="B617" s="11">
        <v>12.0</v>
      </c>
      <c r="C617" s="11">
        <v>8.0</v>
      </c>
      <c r="D617" s="11" t="s">
        <v>5271</v>
      </c>
      <c r="E617" s="234">
        <v>8.0</v>
      </c>
      <c r="F617" s="235">
        <v>11.0</v>
      </c>
      <c r="G617" s="235">
        <v>11.0</v>
      </c>
      <c r="H617" s="234">
        <v>8.0</v>
      </c>
      <c r="I617" s="235">
        <v>11.0</v>
      </c>
      <c r="J617" s="236">
        <v>7.2002597E7</v>
      </c>
      <c r="K617" s="11">
        <v>51.0</v>
      </c>
      <c r="L617" s="11">
        <v>1.0</v>
      </c>
      <c r="M617" s="237" t="str">
        <f t="shared" si="1"/>
        <v>080110072002597511</v>
      </c>
      <c r="N617" s="238">
        <v>-94168.49</v>
      </c>
      <c r="O617" s="110">
        <v>51314.0</v>
      </c>
      <c r="P617" s="11">
        <v>76.0</v>
      </c>
      <c r="Q617" s="239"/>
      <c r="R617" s="17">
        <v>74.0</v>
      </c>
    </row>
    <row r="618">
      <c r="A618" s="11">
        <v>20.0</v>
      </c>
      <c r="B618" s="11">
        <v>53.0</v>
      </c>
      <c r="C618" s="11">
        <v>7.0</v>
      </c>
      <c r="D618" s="11" t="s">
        <v>5271</v>
      </c>
      <c r="E618" s="234">
        <v>48.0</v>
      </c>
      <c r="F618" s="235">
        <v>275.0</v>
      </c>
      <c r="G618" s="235">
        <v>275.0</v>
      </c>
      <c r="H618" s="234">
        <v>48.0</v>
      </c>
      <c r="I618" s="235">
        <v>275.0</v>
      </c>
      <c r="J618" s="236">
        <v>2.8058075E7</v>
      </c>
      <c r="K618" s="11">
        <v>56.0</v>
      </c>
      <c r="L618" s="11">
        <v>8.0</v>
      </c>
      <c r="M618" s="237" t="str">
        <f t="shared" si="1"/>
        <v>0482750028058075568</v>
      </c>
      <c r="N618" s="238">
        <v>-25149.82</v>
      </c>
      <c r="O618" s="110">
        <v>51417.0</v>
      </c>
      <c r="P618" s="11">
        <v>73.0</v>
      </c>
      <c r="Q618" s="239"/>
      <c r="R618" s="17">
        <v>33.0</v>
      </c>
    </row>
    <row r="619">
      <c r="A619" s="11">
        <v>15.0</v>
      </c>
      <c r="B619" s="11">
        <v>94.0</v>
      </c>
      <c r="C619" s="11">
        <v>8.0</v>
      </c>
      <c r="D619" s="11" t="s">
        <v>39</v>
      </c>
      <c r="E619" s="234">
        <v>48.0</v>
      </c>
      <c r="F619" s="235">
        <v>491.0</v>
      </c>
      <c r="G619" s="235">
        <v>491.0</v>
      </c>
      <c r="H619" s="234">
        <v>48.0</v>
      </c>
      <c r="I619" s="235">
        <v>491.0</v>
      </c>
      <c r="J619" s="236">
        <v>2.2936075E7</v>
      </c>
      <c r="K619" s="11">
        <v>41.0</v>
      </c>
      <c r="L619" s="11">
        <v>5.0</v>
      </c>
      <c r="M619" s="237" t="str">
        <f t="shared" si="1"/>
        <v>0484910022936075415</v>
      </c>
      <c r="N619" s="238">
        <v>70295.44</v>
      </c>
      <c r="O619" s="110">
        <v>12022.0</v>
      </c>
      <c r="P619" s="11">
        <v>80.0</v>
      </c>
      <c r="Q619" s="239"/>
      <c r="R619" s="17">
        <v>53.0</v>
      </c>
    </row>
    <row r="620">
      <c r="A620" s="11">
        <v>20.0</v>
      </c>
      <c r="B620" s="11">
        <v>33.0</v>
      </c>
      <c r="C620" s="11">
        <v>7.0</v>
      </c>
      <c r="D620" s="11" t="s">
        <v>31</v>
      </c>
      <c r="E620" s="234">
        <v>37.0</v>
      </c>
      <c r="F620" s="235">
        <v>195.0</v>
      </c>
      <c r="G620" s="235">
        <v>195.0</v>
      </c>
      <c r="H620" s="234">
        <v>37.0</v>
      </c>
      <c r="I620" s="235">
        <v>195.0</v>
      </c>
      <c r="J620" s="236">
        <v>8.9791153E7</v>
      </c>
      <c r="K620" s="11">
        <v>22.0</v>
      </c>
      <c r="L620" s="11">
        <v>5.0</v>
      </c>
      <c r="M620" s="237" t="str">
        <f t="shared" si="1"/>
        <v>0371950089791153225</v>
      </c>
      <c r="N620" s="238">
        <v>-7416.4</v>
      </c>
      <c r="O620" s="110">
        <v>12213.0</v>
      </c>
      <c r="P620" s="11">
        <v>79.0</v>
      </c>
      <c r="Q620" s="239"/>
      <c r="R620" s="17">
        <v>12.0</v>
      </c>
    </row>
    <row r="621">
      <c r="A621" s="11">
        <v>12.0</v>
      </c>
      <c r="B621" s="11">
        <v>94.0</v>
      </c>
      <c r="C621" s="11">
        <v>2.0</v>
      </c>
      <c r="D621" s="11" t="s">
        <v>31</v>
      </c>
      <c r="E621" s="234">
        <v>26.0</v>
      </c>
      <c r="F621" s="235">
        <v>121.0</v>
      </c>
      <c r="G621" s="235">
        <v>121.0</v>
      </c>
      <c r="H621" s="234">
        <v>26.0</v>
      </c>
      <c r="I621" s="235">
        <v>121.0</v>
      </c>
      <c r="J621" s="236">
        <v>3.2903048E7</v>
      </c>
      <c r="K621" s="11">
        <v>41.0</v>
      </c>
      <c r="L621" s="11">
        <v>4.0</v>
      </c>
      <c r="M621" s="237" t="str">
        <f t="shared" si="1"/>
        <v>0261210032903048414</v>
      </c>
      <c r="N621" s="238">
        <v>38704.64</v>
      </c>
      <c r="O621" s="110">
        <v>43018.0</v>
      </c>
      <c r="P621" s="11">
        <v>79.0</v>
      </c>
      <c r="Q621" s="239"/>
      <c r="R621" s="17">
        <v>94.0</v>
      </c>
    </row>
    <row r="622">
      <c r="A622" s="11">
        <v>13.0</v>
      </c>
      <c r="B622" s="11">
        <v>74.0</v>
      </c>
      <c r="C622" s="11">
        <v>3.0</v>
      </c>
      <c r="D622" s="11" t="s">
        <v>39</v>
      </c>
      <c r="E622" s="234">
        <v>34.0</v>
      </c>
      <c r="F622" s="235">
        <v>27.0</v>
      </c>
      <c r="G622" s="235">
        <v>27.0</v>
      </c>
      <c r="H622" s="234">
        <v>34.0</v>
      </c>
      <c r="I622" s="235">
        <v>27.0</v>
      </c>
      <c r="J622" s="236">
        <v>5.6055098E7</v>
      </c>
      <c r="K622" s="11">
        <v>27.0</v>
      </c>
      <c r="L622" s="11">
        <v>7.0</v>
      </c>
      <c r="M622" s="237" t="str">
        <f t="shared" si="1"/>
        <v>0340270056055098277</v>
      </c>
      <c r="N622" s="238">
        <v>-15682.78</v>
      </c>
      <c r="O622" s="110">
        <v>92217.0</v>
      </c>
      <c r="P622" s="11">
        <v>77.0</v>
      </c>
      <c r="Q622" s="239"/>
      <c r="R622" s="17">
        <v>53.0</v>
      </c>
    </row>
    <row r="623">
      <c r="A623" s="11">
        <v>17.0</v>
      </c>
      <c r="B623" s="11">
        <v>74.0</v>
      </c>
      <c r="C623" s="11">
        <v>7.0</v>
      </c>
      <c r="D623" s="11" t="s">
        <v>5271</v>
      </c>
      <c r="E623" s="234">
        <v>31.0</v>
      </c>
      <c r="F623" s="235">
        <v>69.0</v>
      </c>
      <c r="G623" s="235">
        <v>69.0</v>
      </c>
      <c r="H623" s="234">
        <v>31.0</v>
      </c>
      <c r="I623" s="235">
        <v>69.0</v>
      </c>
      <c r="J623" s="236">
        <v>5.2795383E7</v>
      </c>
      <c r="K623" s="11">
        <v>66.0</v>
      </c>
      <c r="L623" s="11">
        <v>8.0</v>
      </c>
      <c r="M623" s="237" t="str">
        <f t="shared" si="1"/>
        <v>0310690052795383668</v>
      </c>
      <c r="N623" s="238">
        <v>-72500.92</v>
      </c>
      <c r="O623" s="110">
        <v>60418.0</v>
      </c>
      <c r="P623" s="11">
        <v>74.0</v>
      </c>
      <c r="Q623" s="239"/>
      <c r="R623" s="17">
        <v>74.0</v>
      </c>
    </row>
    <row r="624">
      <c r="A624" s="11">
        <v>16.0</v>
      </c>
      <c r="B624" s="11">
        <v>33.0</v>
      </c>
      <c r="C624" s="11">
        <v>6.0</v>
      </c>
      <c r="D624" s="11" t="s">
        <v>5272</v>
      </c>
      <c r="E624" s="234">
        <v>1.0</v>
      </c>
      <c r="F624" s="235">
        <v>17.0</v>
      </c>
      <c r="G624" s="235">
        <v>17.0</v>
      </c>
      <c r="H624" s="234">
        <v>1.0</v>
      </c>
      <c r="I624" s="235">
        <v>17.0</v>
      </c>
      <c r="J624" s="236">
        <v>4.2591807E7</v>
      </c>
      <c r="K624" s="11">
        <v>1.0</v>
      </c>
      <c r="L624" s="11">
        <v>0.0</v>
      </c>
      <c r="M624" s="237" t="str">
        <f t="shared" si="1"/>
        <v>01017004259180710</v>
      </c>
      <c r="N624" s="238">
        <v>-70624.35</v>
      </c>
      <c r="O624" s="110">
        <v>62222.0</v>
      </c>
      <c r="P624" s="11">
        <v>77.0</v>
      </c>
      <c r="Q624" s="239"/>
      <c r="R624" s="17">
        <v>94.0</v>
      </c>
    </row>
    <row r="625">
      <c r="A625" s="11">
        <v>10.0</v>
      </c>
      <c r="B625" s="11">
        <v>94.0</v>
      </c>
      <c r="C625" s="11">
        <v>3.0</v>
      </c>
      <c r="D625" s="11" t="s">
        <v>39</v>
      </c>
      <c r="E625" s="234">
        <v>17.0</v>
      </c>
      <c r="F625" s="235">
        <v>145.0</v>
      </c>
      <c r="G625" s="235">
        <v>145.0</v>
      </c>
      <c r="H625" s="234">
        <v>17.0</v>
      </c>
      <c r="I625" s="235">
        <v>145.0</v>
      </c>
      <c r="J625" s="236">
        <v>5.1258225E7</v>
      </c>
      <c r="K625" s="11">
        <v>13.0</v>
      </c>
      <c r="L625" s="11">
        <v>7.0</v>
      </c>
      <c r="M625" s="237" t="str">
        <f t="shared" si="1"/>
        <v>0171450051258225137</v>
      </c>
      <c r="N625" s="238">
        <v>1036.74</v>
      </c>
      <c r="O625" s="110">
        <v>81219.0</v>
      </c>
      <c r="P625" s="11">
        <v>79.0</v>
      </c>
      <c r="Q625" s="239"/>
      <c r="R625" s="17">
        <v>74.0</v>
      </c>
    </row>
    <row r="626">
      <c r="A626" s="11">
        <v>16.0</v>
      </c>
      <c r="B626" s="11">
        <v>74.0</v>
      </c>
      <c r="C626" s="11">
        <v>6.0</v>
      </c>
      <c r="D626" s="11" t="s">
        <v>5273</v>
      </c>
      <c r="E626" s="234">
        <v>17.0</v>
      </c>
      <c r="F626" s="235">
        <v>181.0</v>
      </c>
      <c r="G626" s="235">
        <v>181.0</v>
      </c>
      <c r="H626" s="234">
        <v>17.0</v>
      </c>
      <c r="I626" s="235">
        <v>181.0</v>
      </c>
      <c r="J626" s="236">
        <v>4.0776746E7</v>
      </c>
      <c r="K626" s="11">
        <v>89.0</v>
      </c>
      <c r="L626" s="11">
        <v>2.0</v>
      </c>
      <c r="M626" s="237" t="str">
        <f t="shared" si="1"/>
        <v>0171810040776746892</v>
      </c>
      <c r="N626" s="238">
        <v>47765.64</v>
      </c>
      <c r="O626" s="110">
        <v>100117.0</v>
      </c>
      <c r="P626" s="11">
        <v>71.0</v>
      </c>
      <c r="Q626" s="239"/>
      <c r="R626" s="17">
        <v>94.0</v>
      </c>
    </row>
    <row r="627">
      <c r="A627" s="11">
        <v>12.0</v>
      </c>
      <c r="B627" s="11">
        <v>13.0</v>
      </c>
      <c r="C627" s="11">
        <v>6.0</v>
      </c>
      <c r="D627" s="11" t="s">
        <v>5271</v>
      </c>
      <c r="E627" s="234">
        <v>19.0</v>
      </c>
      <c r="F627" s="235">
        <v>45.0</v>
      </c>
      <c r="G627" s="235">
        <v>45.0</v>
      </c>
      <c r="H627" s="234">
        <v>19.0</v>
      </c>
      <c r="I627" s="235">
        <v>45.0</v>
      </c>
      <c r="J627" s="236">
        <v>3.2767412E7</v>
      </c>
      <c r="K627" s="11">
        <v>72.0</v>
      </c>
      <c r="L627" s="11">
        <v>2.0</v>
      </c>
      <c r="M627" s="237" t="str">
        <f t="shared" si="1"/>
        <v>0190450032767412722</v>
      </c>
      <c r="N627" s="238">
        <v>96831.77</v>
      </c>
      <c r="O627" s="110">
        <v>73113.0</v>
      </c>
      <c r="P627" s="11">
        <v>74.0</v>
      </c>
      <c r="Q627" s="239"/>
      <c r="R627" s="17">
        <v>94.0</v>
      </c>
    </row>
    <row r="628">
      <c r="A628" s="11">
        <v>15.0</v>
      </c>
      <c r="B628" s="11">
        <v>74.0</v>
      </c>
      <c r="C628" s="11">
        <v>2.0</v>
      </c>
      <c r="D628" s="11" t="s">
        <v>5272</v>
      </c>
      <c r="E628" s="234">
        <v>31.0</v>
      </c>
      <c r="F628" s="235">
        <v>159.0</v>
      </c>
      <c r="G628" s="235">
        <v>159.0</v>
      </c>
      <c r="H628" s="234">
        <v>31.0</v>
      </c>
      <c r="I628" s="235">
        <v>159.0</v>
      </c>
      <c r="J628" s="236">
        <v>2.4895152E7</v>
      </c>
      <c r="K628" s="11">
        <v>81.0</v>
      </c>
      <c r="L628" s="11">
        <v>2.0</v>
      </c>
      <c r="M628" s="237" t="str">
        <f t="shared" si="1"/>
        <v>0311590024895152812</v>
      </c>
      <c r="N628" s="238">
        <v>66844.44</v>
      </c>
      <c r="O628" s="110">
        <v>41721.0</v>
      </c>
      <c r="P628" s="11">
        <v>73.0</v>
      </c>
      <c r="Q628" s="239"/>
      <c r="R628" s="17">
        <v>95.0</v>
      </c>
    </row>
    <row r="629">
      <c r="A629" s="11">
        <v>18.0</v>
      </c>
      <c r="B629" s="11">
        <v>13.0</v>
      </c>
      <c r="C629" s="11">
        <v>5.0</v>
      </c>
      <c r="D629" s="11" t="s">
        <v>29</v>
      </c>
      <c r="E629" s="234">
        <v>30.0</v>
      </c>
      <c r="F629" s="235">
        <v>43.0</v>
      </c>
      <c r="G629" s="235">
        <v>43.0</v>
      </c>
      <c r="H629" s="234">
        <v>30.0</v>
      </c>
      <c r="I629" s="235">
        <v>43.0</v>
      </c>
      <c r="J629" s="236">
        <v>8.8029431E7</v>
      </c>
      <c r="K629" s="11">
        <v>16.0</v>
      </c>
      <c r="L629" s="11">
        <v>5.0</v>
      </c>
      <c r="M629" s="237" t="str">
        <f t="shared" si="1"/>
        <v>0300430088029431165</v>
      </c>
      <c r="N629" s="238">
        <v>74501.3</v>
      </c>
      <c r="O629" s="110">
        <v>70519.0</v>
      </c>
      <c r="P629" s="11">
        <v>79.0</v>
      </c>
      <c r="Q629" s="239"/>
      <c r="R629" s="17">
        <v>33.0</v>
      </c>
    </row>
    <row r="630">
      <c r="A630" s="11">
        <v>11.0</v>
      </c>
      <c r="B630" s="11">
        <v>33.0</v>
      </c>
      <c r="C630" s="11">
        <v>1.0</v>
      </c>
      <c r="D630" s="11" t="s">
        <v>31</v>
      </c>
      <c r="E630" s="234">
        <v>39.0</v>
      </c>
      <c r="F630" s="235">
        <v>153.0</v>
      </c>
      <c r="G630" s="235">
        <v>153.0</v>
      </c>
      <c r="H630" s="234">
        <v>39.0</v>
      </c>
      <c r="I630" s="235">
        <v>153.0</v>
      </c>
      <c r="J630" s="236">
        <v>6.8478694E7</v>
      </c>
      <c r="K630" s="11">
        <v>34.0</v>
      </c>
      <c r="L630" s="11">
        <v>3.0</v>
      </c>
      <c r="M630" s="237" t="str">
        <f t="shared" si="1"/>
        <v>0391530068478694343</v>
      </c>
      <c r="N630" s="238">
        <v>-21031.05</v>
      </c>
      <c r="O630" s="110">
        <v>91020.0</v>
      </c>
      <c r="P630" s="11">
        <v>72.0</v>
      </c>
      <c r="Q630" s="239"/>
      <c r="R630" s="17">
        <v>33.0</v>
      </c>
    </row>
    <row r="631">
      <c r="A631" s="11">
        <v>11.0</v>
      </c>
      <c r="B631" s="11">
        <v>33.0</v>
      </c>
      <c r="C631" s="11">
        <v>2.0</v>
      </c>
      <c r="D631" s="11" t="s">
        <v>39</v>
      </c>
      <c r="E631" s="234">
        <v>38.0</v>
      </c>
      <c r="F631" s="235">
        <v>7.0</v>
      </c>
      <c r="G631" s="235">
        <v>7.0</v>
      </c>
      <c r="H631" s="234">
        <v>38.0</v>
      </c>
      <c r="I631" s="235">
        <v>7.0</v>
      </c>
      <c r="J631" s="236">
        <v>7.8646013E7</v>
      </c>
      <c r="K631" s="11">
        <v>28.0</v>
      </c>
      <c r="L631" s="11">
        <v>1.0</v>
      </c>
      <c r="M631" s="237" t="str">
        <f t="shared" si="1"/>
        <v>0380070078646013281</v>
      </c>
      <c r="N631" s="238">
        <v>-8369.83</v>
      </c>
      <c r="O631" s="110">
        <v>111414.0</v>
      </c>
      <c r="P631" s="11">
        <v>73.0</v>
      </c>
      <c r="Q631" s="239"/>
      <c r="R631" s="17">
        <v>33.0</v>
      </c>
    </row>
    <row r="632">
      <c r="A632" s="11">
        <v>14.0</v>
      </c>
      <c r="B632" s="11">
        <v>54.0</v>
      </c>
      <c r="C632" s="11">
        <v>2.0</v>
      </c>
      <c r="D632" s="11" t="s">
        <v>31</v>
      </c>
      <c r="E632" s="234">
        <v>27.0</v>
      </c>
      <c r="F632" s="235">
        <v>47.0</v>
      </c>
      <c r="G632" s="235">
        <v>47.0</v>
      </c>
      <c r="H632" s="234">
        <v>27.0</v>
      </c>
      <c r="I632" s="235">
        <v>47.0</v>
      </c>
      <c r="J632" s="236">
        <v>7.332629E7</v>
      </c>
      <c r="K632" s="11">
        <v>72.0</v>
      </c>
      <c r="L632" s="11">
        <v>0.0</v>
      </c>
      <c r="M632" s="237" t="str">
        <f t="shared" si="1"/>
        <v>0270470073326290720</v>
      </c>
      <c r="N632" s="238">
        <v>70966.5</v>
      </c>
      <c r="O632" s="110">
        <v>122014.0</v>
      </c>
      <c r="P632" s="11">
        <v>73.0</v>
      </c>
      <c r="Q632" s="239"/>
      <c r="R632" s="17">
        <v>74.0</v>
      </c>
    </row>
    <row r="633">
      <c r="A633" s="11">
        <v>13.0</v>
      </c>
      <c r="B633" s="11">
        <v>13.0</v>
      </c>
      <c r="C633" s="11">
        <v>8.0</v>
      </c>
      <c r="D633" s="11" t="s">
        <v>39</v>
      </c>
      <c r="E633" s="234">
        <v>46.0</v>
      </c>
      <c r="F633" s="235">
        <v>13.0</v>
      </c>
      <c r="G633" s="235">
        <v>13.0</v>
      </c>
      <c r="H633" s="234">
        <v>46.0</v>
      </c>
      <c r="I633" s="235">
        <v>13.0</v>
      </c>
      <c r="J633" s="236">
        <v>5.9206083E7</v>
      </c>
      <c r="K633" s="11">
        <v>47.0</v>
      </c>
      <c r="L633" s="11">
        <v>1.0</v>
      </c>
      <c r="M633" s="237" t="str">
        <f t="shared" si="1"/>
        <v>0460130059206083471</v>
      </c>
      <c r="N633" s="238">
        <v>68466.05</v>
      </c>
      <c r="O633" s="110">
        <v>41217.0</v>
      </c>
      <c r="P633" s="11">
        <v>80.0</v>
      </c>
      <c r="Q633" s="239"/>
      <c r="R633" s="17">
        <v>13.0</v>
      </c>
    </row>
    <row r="634">
      <c r="A634" s="11">
        <v>15.0</v>
      </c>
      <c r="B634" s="11">
        <v>54.0</v>
      </c>
      <c r="C634" s="11">
        <v>9.0</v>
      </c>
      <c r="D634" s="11" t="s">
        <v>31</v>
      </c>
      <c r="E634" s="234">
        <v>8.0</v>
      </c>
      <c r="F634" s="235">
        <v>29.0</v>
      </c>
      <c r="G634" s="235">
        <v>29.0</v>
      </c>
      <c r="H634" s="234">
        <v>8.0</v>
      </c>
      <c r="I634" s="235">
        <v>29.0</v>
      </c>
      <c r="J634" s="236">
        <v>9.4667598E7</v>
      </c>
      <c r="K634" s="11">
        <v>65.0</v>
      </c>
      <c r="L634" s="11">
        <v>5.0</v>
      </c>
      <c r="M634" s="237" t="str">
        <f t="shared" si="1"/>
        <v>080290094667598655</v>
      </c>
      <c r="N634" s="238">
        <v>71491.86</v>
      </c>
      <c r="O634" s="110">
        <v>52719.0</v>
      </c>
      <c r="P634" s="11">
        <v>74.0</v>
      </c>
      <c r="Q634" s="239"/>
      <c r="R634" s="17">
        <v>74.0</v>
      </c>
    </row>
    <row r="635">
      <c r="A635" s="11">
        <v>11.0</v>
      </c>
      <c r="B635" s="11">
        <v>95.0</v>
      </c>
      <c r="C635" s="11">
        <v>2.0</v>
      </c>
      <c r="D635" s="11" t="s">
        <v>29</v>
      </c>
      <c r="E635" s="234">
        <v>29.0</v>
      </c>
      <c r="F635" s="235">
        <v>165.0</v>
      </c>
      <c r="G635" s="235">
        <v>165.0</v>
      </c>
      <c r="H635" s="234">
        <v>29.0</v>
      </c>
      <c r="I635" s="235">
        <v>165.0</v>
      </c>
      <c r="J635" s="236">
        <v>7.8864668E7</v>
      </c>
      <c r="K635" s="11">
        <v>56.0</v>
      </c>
      <c r="L635" s="11">
        <v>3.0</v>
      </c>
      <c r="M635" s="237" t="str">
        <f t="shared" si="1"/>
        <v>0291650078864668563</v>
      </c>
      <c r="N635" s="238">
        <v>-57223.7</v>
      </c>
      <c r="O635" s="110">
        <v>91722.0</v>
      </c>
      <c r="P635" s="11">
        <v>77.0</v>
      </c>
      <c r="Q635" s="239"/>
      <c r="R635" s="17">
        <v>95.0</v>
      </c>
    </row>
    <row r="636">
      <c r="A636" s="11">
        <v>11.0</v>
      </c>
      <c r="B636" s="11">
        <v>54.0</v>
      </c>
      <c r="C636" s="11">
        <v>5.0</v>
      </c>
      <c r="D636" s="11" t="s">
        <v>39</v>
      </c>
      <c r="E636" s="234">
        <v>18.0</v>
      </c>
      <c r="F636" s="235">
        <v>77.0</v>
      </c>
      <c r="G636" s="235">
        <v>77.0</v>
      </c>
      <c r="H636" s="234">
        <v>18.0</v>
      </c>
      <c r="I636" s="235">
        <v>77.0</v>
      </c>
      <c r="J636" s="236">
        <v>1.0889306E7</v>
      </c>
      <c r="K636" s="11">
        <v>51.0</v>
      </c>
      <c r="L636" s="11">
        <v>1.0</v>
      </c>
      <c r="M636" s="237" t="str">
        <f t="shared" si="1"/>
        <v>0180770010889306511</v>
      </c>
      <c r="N636" s="238">
        <v>19290.67</v>
      </c>
      <c r="O636" s="110">
        <v>52022.0</v>
      </c>
      <c r="P636" s="11">
        <v>70.0</v>
      </c>
      <c r="Q636" s="239"/>
      <c r="R636" s="17">
        <v>95.0</v>
      </c>
    </row>
    <row r="637">
      <c r="A637" s="11">
        <v>10.0</v>
      </c>
      <c r="B637" s="11">
        <v>95.0</v>
      </c>
      <c r="C637" s="11">
        <v>5.0</v>
      </c>
      <c r="D637" s="11" t="s">
        <v>5271</v>
      </c>
      <c r="E637" s="234">
        <v>6.0</v>
      </c>
      <c r="F637" s="235">
        <v>27.0</v>
      </c>
      <c r="G637" s="235">
        <v>27.0</v>
      </c>
      <c r="H637" s="234">
        <v>6.0</v>
      </c>
      <c r="I637" s="235">
        <v>27.0</v>
      </c>
      <c r="J637" s="236">
        <v>9.8008756E7</v>
      </c>
      <c r="K637" s="11">
        <v>51.0</v>
      </c>
      <c r="L637" s="11">
        <v>4.0</v>
      </c>
      <c r="M637" s="237" t="str">
        <f t="shared" si="1"/>
        <v>060270098008756514</v>
      </c>
      <c r="N637" s="238">
        <v>75990.53</v>
      </c>
      <c r="O637" s="110">
        <v>91919.0</v>
      </c>
      <c r="P637" s="11">
        <v>73.0</v>
      </c>
      <c r="Q637" s="239"/>
      <c r="R637" s="17">
        <v>33.0</v>
      </c>
    </row>
    <row r="638">
      <c r="A638" s="11">
        <v>16.0</v>
      </c>
      <c r="B638" s="11">
        <v>74.0</v>
      </c>
      <c r="C638" s="11">
        <v>7.0</v>
      </c>
      <c r="D638" s="11" t="s">
        <v>5273</v>
      </c>
      <c r="E638" s="234">
        <v>55.0</v>
      </c>
      <c r="F638" s="235">
        <v>78.0</v>
      </c>
      <c r="G638" s="235">
        <v>78.0</v>
      </c>
      <c r="H638" s="234">
        <v>55.0</v>
      </c>
      <c r="I638" s="235">
        <v>78.0</v>
      </c>
      <c r="J638" s="236">
        <v>7.2944448E7</v>
      </c>
      <c r="K638" s="11">
        <v>39.0</v>
      </c>
      <c r="L638" s="11">
        <v>1.0</v>
      </c>
      <c r="M638" s="237" t="str">
        <f t="shared" si="1"/>
        <v>0550780072944448391</v>
      </c>
      <c r="N638" s="238">
        <v>77921.99</v>
      </c>
      <c r="O638" s="110">
        <v>122614.0</v>
      </c>
      <c r="P638" s="11">
        <v>80.0</v>
      </c>
      <c r="Q638" s="239"/>
      <c r="R638" s="17">
        <v>33.0</v>
      </c>
    </row>
    <row r="639">
      <c r="A639" s="11">
        <v>13.0</v>
      </c>
      <c r="B639" s="11">
        <v>74.0</v>
      </c>
      <c r="C639" s="11">
        <v>6.0</v>
      </c>
      <c r="D639" s="11" t="s">
        <v>39</v>
      </c>
      <c r="E639" s="234">
        <v>51.0</v>
      </c>
      <c r="F639" s="235">
        <v>13.0</v>
      </c>
      <c r="G639" s="235">
        <v>13.0</v>
      </c>
      <c r="H639" s="234">
        <v>51.0</v>
      </c>
      <c r="I639" s="235">
        <v>13.0</v>
      </c>
      <c r="J639" s="236">
        <v>2.3403811E7</v>
      </c>
      <c r="K639" s="11">
        <v>77.0</v>
      </c>
      <c r="L639" s="11">
        <v>6.0</v>
      </c>
      <c r="M639" s="237" t="str">
        <f t="shared" si="1"/>
        <v>0510130023403811776</v>
      </c>
      <c r="N639" s="238">
        <v>-90789.1</v>
      </c>
      <c r="O639" s="110">
        <v>61721.0</v>
      </c>
      <c r="P639" s="11">
        <v>71.0</v>
      </c>
      <c r="Q639" s="239"/>
      <c r="R639" s="17">
        <v>54.0</v>
      </c>
    </row>
    <row r="640">
      <c r="A640" s="11">
        <v>13.0</v>
      </c>
      <c r="B640" s="11">
        <v>13.0</v>
      </c>
      <c r="C640" s="11">
        <v>1.0</v>
      </c>
      <c r="D640" s="11" t="s">
        <v>29</v>
      </c>
      <c r="E640" s="234">
        <v>49.0</v>
      </c>
      <c r="F640" s="235">
        <v>29.0</v>
      </c>
      <c r="G640" s="235">
        <v>29.0</v>
      </c>
      <c r="H640" s="234">
        <v>49.0</v>
      </c>
      <c r="I640" s="235">
        <v>29.0</v>
      </c>
      <c r="J640" s="236">
        <v>7.1311178E7</v>
      </c>
      <c r="K640" s="11">
        <v>31.0</v>
      </c>
      <c r="L640" s="11">
        <v>5.0</v>
      </c>
      <c r="M640" s="237" t="str">
        <f t="shared" si="1"/>
        <v>0490290071311178315</v>
      </c>
      <c r="N640" s="238">
        <v>-72302.73</v>
      </c>
      <c r="O640" s="110">
        <v>100618.0</v>
      </c>
      <c r="P640" s="11">
        <v>77.0</v>
      </c>
      <c r="Q640" s="239"/>
      <c r="R640" s="17">
        <v>33.0</v>
      </c>
    </row>
    <row r="641">
      <c r="A641" s="11">
        <v>14.0</v>
      </c>
      <c r="B641" s="11">
        <v>54.0</v>
      </c>
      <c r="C641" s="11">
        <v>8.0</v>
      </c>
      <c r="D641" s="11" t="s">
        <v>5273</v>
      </c>
      <c r="E641" s="234">
        <v>6.0</v>
      </c>
      <c r="F641" s="235">
        <v>71.0</v>
      </c>
      <c r="G641" s="235">
        <v>71.0</v>
      </c>
      <c r="H641" s="234">
        <v>6.0</v>
      </c>
      <c r="I641" s="235">
        <v>71.0</v>
      </c>
      <c r="J641" s="236">
        <v>7.6652698E7</v>
      </c>
      <c r="K641" s="11">
        <v>54.0</v>
      </c>
      <c r="L641" s="11">
        <v>6.0</v>
      </c>
      <c r="M641" s="237" t="str">
        <f t="shared" si="1"/>
        <v>060710076652698546</v>
      </c>
      <c r="N641" s="238">
        <v>86029.81</v>
      </c>
      <c r="O641" s="110">
        <v>42414.0</v>
      </c>
      <c r="P641" s="11">
        <v>72.0</v>
      </c>
      <c r="Q641" s="239"/>
      <c r="R641" s="17">
        <v>13.0</v>
      </c>
    </row>
    <row r="642">
      <c r="A642" s="11">
        <v>13.0</v>
      </c>
      <c r="B642" s="11">
        <v>74.0</v>
      </c>
      <c r="C642" s="11">
        <v>2.0</v>
      </c>
      <c r="D642" s="11" t="s">
        <v>39</v>
      </c>
      <c r="E642" s="234">
        <v>21.0</v>
      </c>
      <c r="F642" s="235">
        <v>113.0</v>
      </c>
      <c r="G642" s="235">
        <v>113.0</v>
      </c>
      <c r="H642" s="234">
        <v>21.0</v>
      </c>
      <c r="I642" s="235">
        <v>113.0</v>
      </c>
      <c r="J642" s="236">
        <v>8.8105983E7</v>
      </c>
      <c r="K642" s="11">
        <v>54.0</v>
      </c>
      <c r="L642" s="11">
        <v>8.0</v>
      </c>
      <c r="M642" s="237" t="str">
        <f t="shared" si="1"/>
        <v>0211130088105983548</v>
      </c>
      <c r="N642" s="238">
        <v>32151.07</v>
      </c>
      <c r="O642" s="110">
        <v>101213.0</v>
      </c>
      <c r="P642" s="11">
        <v>77.0</v>
      </c>
      <c r="Q642" s="239"/>
      <c r="R642" s="17">
        <v>13.0</v>
      </c>
    </row>
    <row r="643">
      <c r="A643" s="11">
        <v>13.0</v>
      </c>
      <c r="B643" s="11">
        <v>95.0</v>
      </c>
      <c r="C643" s="11">
        <v>7.0</v>
      </c>
      <c r="D643" s="11" t="s">
        <v>5273</v>
      </c>
      <c r="E643" s="234">
        <v>42.0</v>
      </c>
      <c r="F643" s="235">
        <v>103.0</v>
      </c>
      <c r="G643" s="235">
        <v>103.0</v>
      </c>
      <c r="H643" s="234">
        <v>42.0</v>
      </c>
      <c r="I643" s="235">
        <v>103.0</v>
      </c>
      <c r="J643" s="236">
        <v>5.221206E7</v>
      </c>
      <c r="K643" s="11">
        <v>29.0</v>
      </c>
      <c r="L643" s="11">
        <v>1.0</v>
      </c>
      <c r="M643" s="237" t="str">
        <f t="shared" si="1"/>
        <v>0421030052212060291</v>
      </c>
      <c r="N643" s="238">
        <v>-69962.3</v>
      </c>
      <c r="O643" s="110">
        <v>72414.0</v>
      </c>
      <c r="P643" s="11">
        <v>70.0</v>
      </c>
      <c r="Q643" s="239"/>
      <c r="R643" s="17">
        <v>95.0</v>
      </c>
    </row>
    <row r="644">
      <c r="A644" s="11">
        <v>13.0</v>
      </c>
      <c r="B644" s="11">
        <v>95.0</v>
      </c>
      <c r="C644" s="11">
        <v>4.0</v>
      </c>
      <c r="D644" s="11" t="s">
        <v>5273</v>
      </c>
      <c r="E644" s="234">
        <v>28.0</v>
      </c>
      <c r="F644" s="235">
        <v>133.0</v>
      </c>
      <c r="G644" s="235">
        <v>133.0</v>
      </c>
      <c r="H644" s="234">
        <v>28.0</v>
      </c>
      <c r="I644" s="235">
        <v>133.0</v>
      </c>
      <c r="J644" s="236">
        <v>9.7770918E7</v>
      </c>
      <c r="K644" s="11">
        <v>49.0</v>
      </c>
      <c r="L644" s="11">
        <v>3.0</v>
      </c>
      <c r="M644" s="237" t="str">
        <f t="shared" si="1"/>
        <v>0281330097770918493</v>
      </c>
      <c r="N644" s="238">
        <v>-3042.38</v>
      </c>
      <c r="O644" s="110">
        <v>93015.0</v>
      </c>
      <c r="P644" s="11">
        <v>74.0</v>
      </c>
      <c r="Q644" s="239"/>
      <c r="R644" s="17">
        <v>33.0</v>
      </c>
    </row>
    <row r="645">
      <c r="A645" s="11">
        <v>17.0</v>
      </c>
      <c r="B645" s="11">
        <v>95.0</v>
      </c>
      <c r="C645" s="11">
        <v>6.0</v>
      </c>
      <c r="D645" s="11" t="s">
        <v>39</v>
      </c>
      <c r="E645" s="234">
        <v>17.0</v>
      </c>
      <c r="F645" s="235">
        <v>13.0</v>
      </c>
      <c r="G645" s="235">
        <v>13.0</v>
      </c>
      <c r="H645" s="234">
        <v>17.0</v>
      </c>
      <c r="I645" s="235">
        <v>13.0</v>
      </c>
      <c r="J645" s="236">
        <v>9.480594E7</v>
      </c>
      <c r="K645" s="11">
        <v>85.0</v>
      </c>
      <c r="L645" s="11">
        <v>6.0</v>
      </c>
      <c r="M645" s="237" t="str">
        <f t="shared" si="1"/>
        <v>0170130094805940856</v>
      </c>
      <c r="N645" s="238">
        <v>65077.91</v>
      </c>
      <c r="O645" s="110">
        <v>12522.0</v>
      </c>
      <c r="P645" s="11">
        <v>74.0</v>
      </c>
      <c r="Q645" s="239"/>
      <c r="R645" s="17">
        <v>13.0</v>
      </c>
    </row>
    <row r="646">
      <c r="A646" s="11">
        <v>15.0</v>
      </c>
      <c r="B646" s="11">
        <v>33.0</v>
      </c>
      <c r="C646" s="11">
        <v>2.0</v>
      </c>
      <c r="D646" s="11" t="s">
        <v>5272</v>
      </c>
      <c r="E646" s="234">
        <v>30.0</v>
      </c>
      <c r="F646" s="235">
        <v>87.0</v>
      </c>
      <c r="G646" s="235">
        <v>87.0</v>
      </c>
      <c r="H646" s="234">
        <v>30.0</v>
      </c>
      <c r="I646" s="235">
        <v>87.0</v>
      </c>
      <c r="J646" s="236">
        <v>5.1699802E7</v>
      </c>
      <c r="K646" s="11">
        <v>81.0</v>
      </c>
      <c r="L646" s="11">
        <v>3.0</v>
      </c>
      <c r="M646" s="237" t="str">
        <f t="shared" si="1"/>
        <v>0300870051699802813</v>
      </c>
      <c r="N646" s="238">
        <v>40917.76</v>
      </c>
      <c r="O646" s="110">
        <v>111920.0</v>
      </c>
      <c r="P646" s="11">
        <v>72.0</v>
      </c>
      <c r="Q646" s="239"/>
      <c r="R646" s="17">
        <v>13.0</v>
      </c>
    </row>
    <row r="647">
      <c r="A647" s="11">
        <v>10.0</v>
      </c>
      <c r="B647" s="11">
        <v>13.0</v>
      </c>
      <c r="C647" s="11">
        <v>4.0</v>
      </c>
      <c r="D647" s="11" t="s">
        <v>5273</v>
      </c>
      <c r="E647" s="234">
        <v>29.0</v>
      </c>
      <c r="F647" s="235">
        <v>67.0</v>
      </c>
      <c r="G647" s="235">
        <v>67.0</v>
      </c>
      <c r="H647" s="234">
        <v>29.0</v>
      </c>
      <c r="I647" s="235">
        <v>67.0</v>
      </c>
      <c r="J647" s="236">
        <v>8.1908437E7</v>
      </c>
      <c r="K647" s="11">
        <v>64.0</v>
      </c>
      <c r="L647" s="11">
        <v>0.0</v>
      </c>
      <c r="M647" s="237" t="str">
        <f t="shared" si="1"/>
        <v>0290670081908437640</v>
      </c>
      <c r="N647" s="238">
        <v>66079.83</v>
      </c>
      <c r="O647" s="110">
        <v>81321.0</v>
      </c>
      <c r="P647" s="11">
        <v>77.0</v>
      </c>
      <c r="Q647" s="239"/>
      <c r="R647" s="17">
        <v>33.0</v>
      </c>
    </row>
    <row r="648">
      <c r="A648" s="11">
        <v>15.0</v>
      </c>
      <c r="B648" s="11">
        <v>74.0</v>
      </c>
      <c r="C648" s="11">
        <v>6.0</v>
      </c>
      <c r="D648" s="11" t="s">
        <v>5271</v>
      </c>
      <c r="E648" s="234">
        <v>27.0</v>
      </c>
      <c r="F648" s="235">
        <v>61.0</v>
      </c>
      <c r="G648" s="235">
        <v>61.0</v>
      </c>
      <c r="H648" s="234">
        <v>27.0</v>
      </c>
      <c r="I648" s="235">
        <v>61.0</v>
      </c>
      <c r="J648" s="236">
        <v>5.9703472E7</v>
      </c>
      <c r="K648" s="11">
        <v>72.0</v>
      </c>
      <c r="L648" s="11">
        <v>6.0</v>
      </c>
      <c r="M648" s="237" t="str">
        <f t="shared" si="1"/>
        <v>0270610059703472726</v>
      </c>
      <c r="N648" s="238">
        <v>-29797.97</v>
      </c>
      <c r="O648" s="110">
        <v>91713.0</v>
      </c>
      <c r="P648" s="11">
        <v>74.0</v>
      </c>
      <c r="Q648" s="239"/>
      <c r="R648" s="17">
        <v>54.0</v>
      </c>
    </row>
    <row r="649">
      <c r="A649" s="11">
        <v>16.0</v>
      </c>
      <c r="B649" s="11">
        <v>33.0</v>
      </c>
      <c r="C649" s="11">
        <v>7.0</v>
      </c>
      <c r="D649" s="11" t="s">
        <v>5272</v>
      </c>
      <c r="E649" s="234">
        <v>28.0</v>
      </c>
      <c r="F649" s="235">
        <v>85.0</v>
      </c>
      <c r="G649" s="235">
        <v>85.0</v>
      </c>
      <c r="H649" s="234">
        <v>28.0</v>
      </c>
      <c r="I649" s="235">
        <v>85.0</v>
      </c>
      <c r="J649" s="236">
        <v>6.9166809E7</v>
      </c>
      <c r="K649" s="11">
        <v>40.0</v>
      </c>
      <c r="L649" s="11">
        <v>3.0</v>
      </c>
      <c r="M649" s="237" t="str">
        <f t="shared" si="1"/>
        <v>0280850069166809403</v>
      </c>
      <c r="N649" s="238">
        <v>96504.25</v>
      </c>
      <c r="O649" s="110">
        <v>81814.0</v>
      </c>
      <c r="P649" s="11">
        <v>75.0</v>
      </c>
      <c r="Q649" s="239"/>
      <c r="R649" s="17">
        <v>74.0</v>
      </c>
    </row>
    <row r="650">
      <c r="A650" s="11">
        <v>20.0</v>
      </c>
      <c r="B650" s="11">
        <v>33.0</v>
      </c>
      <c r="C650" s="11">
        <v>7.0</v>
      </c>
      <c r="D650" s="11" t="s">
        <v>5271</v>
      </c>
      <c r="E650" s="234">
        <v>1.0</v>
      </c>
      <c r="F650" s="235">
        <v>99.0</v>
      </c>
      <c r="G650" s="235">
        <v>99.0</v>
      </c>
      <c r="H650" s="234">
        <v>1.0</v>
      </c>
      <c r="I650" s="235">
        <v>99.0</v>
      </c>
      <c r="J650" s="236">
        <v>7.9310189E7</v>
      </c>
      <c r="K650" s="11">
        <v>1.0</v>
      </c>
      <c r="L650" s="11">
        <v>0.0</v>
      </c>
      <c r="M650" s="237" t="str">
        <f t="shared" si="1"/>
        <v>01099007931018910</v>
      </c>
      <c r="N650" s="238">
        <v>-19078.79</v>
      </c>
      <c r="O650" s="110">
        <v>60320.0</v>
      </c>
      <c r="P650" s="11">
        <v>76.0</v>
      </c>
      <c r="Q650" s="239"/>
      <c r="R650" s="17">
        <v>95.0</v>
      </c>
    </row>
    <row r="651">
      <c r="A651" s="11">
        <v>15.0</v>
      </c>
      <c r="B651" s="11">
        <v>54.0</v>
      </c>
      <c r="C651" s="11">
        <v>2.0</v>
      </c>
      <c r="D651" s="11" t="s">
        <v>5272</v>
      </c>
      <c r="E651" s="234">
        <v>31.0</v>
      </c>
      <c r="F651" s="235">
        <v>117.0</v>
      </c>
      <c r="G651" s="235">
        <v>117.0</v>
      </c>
      <c r="H651" s="234">
        <v>31.0</v>
      </c>
      <c r="I651" s="235">
        <v>117.0</v>
      </c>
      <c r="J651" s="236">
        <v>1.2977886E7</v>
      </c>
      <c r="K651" s="11">
        <v>64.0</v>
      </c>
      <c r="L651" s="11">
        <v>9.0</v>
      </c>
      <c r="M651" s="237" t="str">
        <f t="shared" si="1"/>
        <v>0311170012977886649</v>
      </c>
      <c r="N651" s="238">
        <v>40863.44</v>
      </c>
      <c r="O651" s="110">
        <v>91515.0</v>
      </c>
      <c r="P651" s="11">
        <v>70.0</v>
      </c>
      <c r="Q651" s="239"/>
      <c r="R651" s="17">
        <v>33.0</v>
      </c>
    </row>
    <row r="652">
      <c r="A652" s="11">
        <v>14.0</v>
      </c>
      <c r="B652" s="11">
        <v>54.0</v>
      </c>
      <c r="C652" s="11">
        <v>2.0</v>
      </c>
      <c r="D652" s="11" t="s">
        <v>39</v>
      </c>
      <c r="E652" s="234">
        <v>56.0</v>
      </c>
      <c r="F652" s="235">
        <v>45.0</v>
      </c>
      <c r="G652" s="235">
        <v>45.0</v>
      </c>
      <c r="H652" s="234">
        <v>56.0</v>
      </c>
      <c r="I652" s="235">
        <v>45.0</v>
      </c>
      <c r="J652" s="236">
        <v>5.4579248E7</v>
      </c>
      <c r="K652" s="11">
        <v>64.0</v>
      </c>
      <c r="L652" s="11">
        <v>7.0</v>
      </c>
      <c r="M652" s="237" t="str">
        <f t="shared" si="1"/>
        <v>0560450054579248647</v>
      </c>
      <c r="N652" s="238">
        <v>-27192.55</v>
      </c>
      <c r="O652" s="110">
        <v>51913.0</v>
      </c>
      <c r="P652" s="11">
        <v>78.0</v>
      </c>
      <c r="Q652" s="239"/>
      <c r="R652" s="17">
        <v>54.0</v>
      </c>
    </row>
    <row r="653">
      <c r="A653" s="11">
        <v>17.0</v>
      </c>
      <c r="B653" s="11">
        <v>13.0</v>
      </c>
      <c r="C653" s="11">
        <v>1.0</v>
      </c>
      <c r="D653" s="11" t="s">
        <v>5272</v>
      </c>
      <c r="E653" s="234">
        <v>18.0</v>
      </c>
      <c r="F653" s="235">
        <v>19.0</v>
      </c>
      <c r="G653" s="235">
        <v>19.0</v>
      </c>
      <c r="H653" s="234">
        <v>18.0</v>
      </c>
      <c r="I653" s="235">
        <v>19.0</v>
      </c>
      <c r="J653" s="236">
        <v>1.6202808E7</v>
      </c>
      <c r="K653" s="11">
        <v>13.0</v>
      </c>
      <c r="L653" s="11">
        <v>9.0</v>
      </c>
      <c r="M653" s="237" t="str">
        <f t="shared" si="1"/>
        <v>0180190016202808139</v>
      </c>
      <c r="N653" s="238">
        <v>60324.63</v>
      </c>
      <c r="O653" s="110">
        <v>92620.0</v>
      </c>
      <c r="P653" s="11">
        <v>73.0</v>
      </c>
      <c r="Q653" s="239"/>
      <c r="R653" s="17">
        <v>74.0</v>
      </c>
    </row>
    <row r="654">
      <c r="A654" s="11">
        <v>12.0</v>
      </c>
      <c r="B654" s="11">
        <v>95.0</v>
      </c>
      <c r="C654" s="11">
        <v>9.0</v>
      </c>
      <c r="D654" s="11" t="s">
        <v>39</v>
      </c>
      <c r="E654" s="234">
        <v>29.0</v>
      </c>
      <c r="F654" s="235">
        <v>123.0</v>
      </c>
      <c r="G654" s="235">
        <v>123.0</v>
      </c>
      <c r="H654" s="234">
        <v>29.0</v>
      </c>
      <c r="I654" s="235">
        <v>123.0</v>
      </c>
      <c r="J654" s="236">
        <v>2.0206089E7</v>
      </c>
      <c r="K654" s="11">
        <v>90.0</v>
      </c>
      <c r="L654" s="11">
        <v>8.0</v>
      </c>
      <c r="M654" s="237" t="str">
        <f t="shared" si="1"/>
        <v>0291230020206089908</v>
      </c>
      <c r="N654" s="238">
        <v>-36549.77</v>
      </c>
      <c r="O654" s="110">
        <v>42614.0</v>
      </c>
      <c r="P654" s="11">
        <v>70.0</v>
      </c>
      <c r="Q654" s="239"/>
      <c r="R654" s="17">
        <v>33.0</v>
      </c>
    </row>
    <row r="655">
      <c r="A655" s="11">
        <v>14.0</v>
      </c>
      <c r="B655" s="11">
        <v>13.0</v>
      </c>
      <c r="C655" s="11">
        <v>4.0</v>
      </c>
      <c r="D655" s="11" t="s">
        <v>39</v>
      </c>
      <c r="E655" s="234">
        <v>13.0</v>
      </c>
      <c r="F655" s="235">
        <v>303.0</v>
      </c>
      <c r="G655" s="235">
        <v>303.0</v>
      </c>
      <c r="H655" s="234">
        <v>13.0</v>
      </c>
      <c r="I655" s="235">
        <v>303.0</v>
      </c>
      <c r="J655" s="236">
        <v>1.7392188E7</v>
      </c>
      <c r="K655" s="11">
        <v>56.0</v>
      </c>
      <c r="L655" s="11">
        <v>3.0</v>
      </c>
      <c r="M655" s="237" t="str">
        <f t="shared" si="1"/>
        <v>0133030017392188563</v>
      </c>
      <c r="N655" s="238">
        <v>14552.88</v>
      </c>
      <c r="O655" s="110">
        <v>32016.0</v>
      </c>
      <c r="P655" s="11">
        <v>73.0</v>
      </c>
      <c r="Q655" s="239"/>
      <c r="R655" s="17">
        <v>74.0</v>
      </c>
    </row>
    <row r="656">
      <c r="A656" s="11">
        <v>10.0</v>
      </c>
      <c r="B656" s="11">
        <v>74.0</v>
      </c>
      <c r="C656" s="11">
        <v>4.0</v>
      </c>
      <c r="D656" s="11" t="s">
        <v>5271</v>
      </c>
      <c r="E656" s="234">
        <v>17.0</v>
      </c>
      <c r="F656" s="235">
        <v>111.0</v>
      </c>
      <c r="G656" s="235">
        <v>111.0</v>
      </c>
      <c r="H656" s="234">
        <v>17.0</v>
      </c>
      <c r="I656" s="235">
        <v>111.0</v>
      </c>
      <c r="J656" s="236">
        <v>8.3721445E7</v>
      </c>
      <c r="K656" s="11">
        <v>29.0</v>
      </c>
      <c r="L656" s="11">
        <v>2.0</v>
      </c>
      <c r="M656" s="237" t="str">
        <f t="shared" si="1"/>
        <v>0171110083721445292</v>
      </c>
      <c r="N656" s="238">
        <v>72183.3</v>
      </c>
      <c r="O656" s="110">
        <v>30120.0</v>
      </c>
      <c r="P656" s="11">
        <v>76.0</v>
      </c>
      <c r="Q656" s="239"/>
      <c r="R656" s="17">
        <v>95.0</v>
      </c>
    </row>
    <row r="657">
      <c r="A657" s="11">
        <v>19.0</v>
      </c>
      <c r="B657" s="11">
        <v>74.0</v>
      </c>
      <c r="C657" s="11">
        <v>5.0</v>
      </c>
      <c r="D657" s="11" t="s">
        <v>5272</v>
      </c>
      <c r="E657" s="234">
        <v>47.0</v>
      </c>
      <c r="F657" s="235">
        <v>37.0</v>
      </c>
      <c r="G657" s="235">
        <v>37.0</v>
      </c>
      <c r="H657" s="234">
        <v>47.0</v>
      </c>
      <c r="I657" s="235">
        <v>37.0</v>
      </c>
      <c r="J657" s="236">
        <v>7.3073303E7</v>
      </c>
      <c r="K657" s="11">
        <v>5.0</v>
      </c>
      <c r="L657" s="11">
        <v>1.0</v>
      </c>
      <c r="M657" s="237" t="str">
        <f t="shared" si="1"/>
        <v>047037007307330351</v>
      </c>
      <c r="N657" s="238">
        <v>-86086.97</v>
      </c>
      <c r="O657" s="110">
        <v>33119.0</v>
      </c>
      <c r="P657" s="11">
        <v>77.0</v>
      </c>
      <c r="Q657" s="239"/>
      <c r="R657" s="17">
        <v>54.0</v>
      </c>
    </row>
    <row r="658">
      <c r="A658" s="11">
        <v>12.0</v>
      </c>
      <c r="B658" s="11">
        <v>13.0</v>
      </c>
      <c r="C658" s="11">
        <v>7.0</v>
      </c>
      <c r="D658" s="11" t="s">
        <v>5272</v>
      </c>
      <c r="E658" s="234">
        <v>42.0</v>
      </c>
      <c r="F658" s="235">
        <v>109.0</v>
      </c>
      <c r="G658" s="235">
        <v>109.0</v>
      </c>
      <c r="H658" s="234">
        <v>42.0</v>
      </c>
      <c r="I658" s="235">
        <v>109.0</v>
      </c>
      <c r="J658" s="236">
        <v>8.4937321E7</v>
      </c>
      <c r="K658" s="11">
        <v>56.0</v>
      </c>
      <c r="L658" s="11">
        <v>4.0</v>
      </c>
      <c r="M658" s="237" t="str">
        <f t="shared" si="1"/>
        <v>0421090084937321564</v>
      </c>
      <c r="N658" s="238">
        <v>8769.62</v>
      </c>
      <c r="O658" s="110">
        <v>21814.0</v>
      </c>
      <c r="P658" s="11">
        <v>74.0</v>
      </c>
      <c r="Q658" s="239"/>
      <c r="R658" s="17">
        <v>13.0</v>
      </c>
    </row>
    <row r="659">
      <c r="A659" s="11">
        <v>18.0</v>
      </c>
      <c r="B659" s="11">
        <v>13.0</v>
      </c>
      <c r="C659" s="11">
        <v>5.0</v>
      </c>
      <c r="D659" s="11" t="s">
        <v>5272</v>
      </c>
      <c r="E659" s="234">
        <v>22.0</v>
      </c>
      <c r="F659" s="235">
        <v>117.0</v>
      </c>
      <c r="G659" s="235">
        <v>117.0</v>
      </c>
      <c r="H659" s="234">
        <v>22.0</v>
      </c>
      <c r="I659" s="235">
        <v>117.0</v>
      </c>
      <c r="J659" s="236">
        <v>5.9621068E7</v>
      </c>
      <c r="K659" s="11">
        <v>96.0</v>
      </c>
      <c r="L659" s="11">
        <v>2.0</v>
      </c>
      <c r="M659" s="237" t="str">
        <f t="shared" si="1"/>
        <v>0221170059621068962</v>
      </c>
      <c r="N659" s="238">
        <v>-83543.2</v>
      </c>
      <c r="O659" s="110">
        <v>112623.0</v>
      </c>
      <c r="P659" s="11">
        <v>77.0</v>
      </c>
      <c r="Q659" s="239"/>
      <c r="R659" s="17">
        <v>74.0</v>
      </c>
    </row>
    <row r="660">
      <c r="A660" s="11">
        <v>10.0</v>
      </c>
      <c r="B660" s="11">
        <v>54.0</v>
      </c>
      <c r="C660" s="11">
        <v>6.0</v>
      </c>
      <c r="D660" s="11" t="s">
        <v>5272</v>
      </c>
      <c r="E660" s="234">
        <v>13.0</v>
      </c>
      <c r="F660" s="235">
        <v>3.0</v>
      </c>
      <c r="G660" s="235">
        <v>3.0</v>
      </c>
      <c r="H660" s="234">
        <v>13.0</v>
      </c>
      <c r="I660" s="235">
        <v>3.0</v>
      </c>
      <c r="J660" s="236">
        <v>4.8779032E7</v>
      </c>
      <c r="K660" s="11">
        <v>8.0</v>
      </c>
      <c r="L660" s="11">
        <v>0.0</v>
      </c>
      <c r="M660" s="237" t="str">
        <f t="shared" si="1"/>
        <v>013003004877903280</v>
      </c>
      <c r="N660" s="238">
        <v>-80423.79</v>
      </c>
      <c r="O660" s="110">
        <v>72423.0</v>
      </c>
      <c r="P660" s="11">
        <v>71.0</v>
      </c>
      <c r="Q660" s="239"/>
      <c r="R660" s="17">
        <v>95.0</v>
      </c>
    </row>
    <row r="661">
      <c r="A661" s="11">
        <v>10.0</v>
      </c>
      <c r="B661" s="11">
        <v>13.0</v>
      </c>
      <c r="C661" s="11">
        <v>8.0</v>
      </c>
      <c r="D661" s="11" t="s">
        <v>29</v>
      </c>
      <c r="E661" s="234">
        <v>55.0</v>
      </c>
      <c r="F661" s="235">
        <v>31.0</v>
      </c>
      <c r="G661" s="235">
        <v>31.0</v>
      </c>
      <c r="H661" s="234">
        <v>55.0</v>
      </c>
      <c r="I661" s="235">
        <v>31.0</v>
      </c>
      <c r="J661" s="236">
        <v>2.4199994E7</v>
      </c>
      <c r="K661" s="11">
        <v>58.0</v>
      </c>
      <c r="L661" s="11">
        <v>8.0</v>
      </c>
      <c r="M661" s="237" t="str">
        <f t="shared" si="1"/>
        <v>0550310024199994588</v>
      </c>
      <c r="N661" s="238">
        <v>27754.76</v>
      </c>
      <c r="O661" s="110">
        <v>22017.0</v>
      </c>
      <c r="P661" s="11">
        <v>79.0</v>
      </c>
      <c r="Q661" s="239"/>
      <c r="R661" s="17">
        <v>75.0</v>
      </c>
    </row>
    <row r="662">
      <c r="A662" s="11">
        <v>12.0</v>
      </c>
      <c r="B662" s="11">
        <v>13.0</v>
      </c>
      <c r="C662" s="11">
        <v>9.0</v>
      </c>
      <c r="D662" s="11" t="s">
        <v>5273</v>
      </c>
      <c r="E662" s="234">
        <v>48.0</v>
      </c>
      <c r="F662" s="235">
        <v>493.0</v>
      </c>
      <c r="G662" s="235">
        <v>493.0</v>
      </c>
      <c r="H662" s="234">
        <v>48.0</v>
      </c>
      <c r="I662" s="235">
        <v>493.0</v>
      </c>
      <c r="J662" s="236">
        <v>8.0473986E7</v>
      </c>
      <c r="K662" s="11">
        <v>45.0</v>
      </c>
      <c r="L662" s="11">
        <v>4.0</v>
      </c>
      <c r="M662" s="237" t="str">
        <f t="shared" si="1"/>
        <v>0484930080473986454</v>
      </c>
      <c r="N662" s="238">
        <v>89956.51</v>
      </c>
      <c r="O662" s="110">
        <v>100316.0</v>
      </c>
      <c r="P662" s="11">
        <v>71.0</v>
      </c>
      <c r="Q662" s="239"/>
      <c r="R662" s="17">
        <v>75.0</v>
      </c>
    </row>
    <row r="663">
      <c r="A663" s="11">
        <v>12.0</v>
      </c>
      <c r="B663" s="11">
        <v>34.0</v>
      </c>
      <c r="C663" s="11">
        <v>7.0</v>
      </c>
      <c r="D663" s="11" t="s">
        <v>5271</v>
      </c>
      <c r="E663" s="234">
        <v>21.0</v>
      </c>
      <c r="F663" s="235">
        <v>239.0</v>
      </c>
      <c r="G663" s="235">
        <v>239.0</v>
      </c>
      <c r="H663" s="234">
        <v>21.0</v>
      </c>
      <c r="I663" s="235">
        <v>239.0</v>
      </c>
      <c r="J663" s="236">
        <v>6.6685281E7</v>
      </c>
      <c r="K663" s="11">
        <v>60.0</v>
      </c>
      <c r="L663" s="11">
        <v>4.0</v>
      </c>
      <c r="M663" s="237" t="str">
        <f t="shared" si="1"/>
        <v>0212390066685281604</v>
      </c>
      <c r="N663" s="238">
        <v>12392.48</v>
      </c>
      <c r="O663" s="110">
        <v>72221.0</v>
      </c>
      <c r="P663" s="11">
        <v>70.0</v>
      </c>
      <c r="Q663" s="239"/>
      <c r="R663" s="17">
        <v>95.0</v>
      </c>
    </row>
    <row r="664">
      <c r="A664" s="11">
        <v>20.0</v>
      </c>
      <c r="B664" s="11">
        <v>34.0</v>
      </c>
      <c r="C664" s="11">
        <v>3.0</v>
      </c>
      <c r="D664" s="11" t="s">
        <v>5271</v>
      </c>
      <c r="E664" s="234">
        <v>38.0</v>
      </c>
      <c r="F664" s="235">
        <v>43.0</v>
      </c>
      <c r="G664" s="235">
        <v>43.0</v>
      </c>
      <c r="H664" s="234">
        <v>38.0</v>
      </c>
      <c r="I664" s="235">
        <v>43.0</v>
      </c>
      <c r="J664" s="236">
        <v>8.4619318E7</v>
      </c>
      <c r="K664" s="11">
        <v>38.0</v>
      </c>
      <c r="L664" s="11">
        <v>4.0</v>
      </c>
      <c r="M664" s="237" t="str">
        <f t="shared" si="1"/>
        <v>0380430084619318384</v>
      </c>
      <c r="N664" s="238">
        <v>-22103.82</v>
      </c>
      <c r="O664" s="110">
        <v>101613.0</v>
      </c>
      <c r="P664" s="11">
        <v>79.0</v>
      </c>
      <c r="Q664" s="239"/>
      <c r="R664" s="17">
        <v>95.0</v>
      </c>
    </row>
    <row r="665">
      <c r="A665" s="11">
        <v>18.0</v>
      </c>
      <c r="B665" s="11">
        <v>95.0</v>
      </c>
      <c r="C665" s="11">
        <v>5.0</v>
      </c>
      <c r="D665" s="11" t="s">
        <v>29</v>
      </c>
      <c r="E665" s="234">
        <v>37.0</v>
      </c>
      <c r="F665" s="235">
        <v>37.0</v>
      </c>
      <c r="G665" s="235">
        <v>37.0</v>
      </c>
      <c r="H665" s="234">
        <v>37.0</v>
      </c>
      <c r="I665" s="235">
        <v>37.0</v>
      </c>
      <c r="J665" s="236">
        <v>3.5208268E7</v>
      </c>
      <c r="K665" s="11">
        <v>58.0</v>
      </c>
      <c r="L665" s="11">
        <v>8.0</v>
      </c>
      <c r="M665" s="237" t="str">
        <f t="shared" si="1"/>
        <v>0370370035208268588</v>
      </c>
      <c r="N665" s="238">
        <v>20399.74</v>
      </c>
      <c r="O665" s="110">
        <v>50220.0</v>
      </c>
      <c r="P665" s="11">
        <v>80.0</v>
      </c>
      <c r="Q665" s="239"/>
      <c r="R665" s="17">
        <v>13.0</v>
      </c>
    </row>
    <row r="666">
      <c r="A666" s="11">
        <v>10.0</v>
      </c>
      <c r="B666" s="11">
        <v>95.0</v>
      </c>
      <c r="C666" s="11">
        <v>5.0</v>
      </c>
      <c r="D666" s="11" t="s">
        <v>31</v>
      </c>
      <c r="E666" s="234">
        <v>48.0</v>
      </c>
      <c r="F666" s="235">
        <v>57.0</v>
      </c>
      <c r="G666" s="235">
        <v>57.0</v>
      </c>
      <c r="H666" s="234">
        <v>48.0</v>
      </c>
      <c r="I666" s="235">
        <v>57.0</v>
      </c>
      <c r="J666" s="236">
        <v>3.1141474E7</v>
      </c>
      <c r="K666" s="11">
        <v>98.0</v>
      </c>
      <c r="L666" s="11">
        <v>5.0</v>
      </c>
      <c r="M666" s="237" t="str">
        <f t="shared" si="1"/>
        <v>0480570031141474985</v>
      </c>
      <c r="N666" s="238">
        <v>97515.58</v>
      </c>
      <c r="O666" s="110">
        <v>92913.0</v>
      </c>
      <c r="P666" s="11">
        <v>73.0</v>
      </c>
      <c r="Q666" s="239"/>
      <c r="R666" s="17">
        <v>75.0</v>
      </c>
    </row>
    <row r="667">
      <c r="A667" s="11">
        <v>18.0</v>
      </c>
      <c r="B667" s="11">
        <v>13.0</v>
      </c>
      <c r="C667" s="11">
        <v>2.0</v>
      </c>
      <c r="D667" s="11" t="s">
        <v>5272</v>
      </c>
      <c r="E667" s="234">
        <v>42.0</v>
      </c>
      <c r="F667" s="235">
        <v>79.0</v>
      </c>
      <c r="G667" s="235">
        <v>79.0</v>
      </c>
      <c r="H667" s="234">
        <v>42.0</v>
      </c>
      <c r="I667" s="235">
        <v>79.0</v>
      </c>
      <c r="J667" s="236">
        <v>3.0587792E7</v>
      </c>
      <c r="K667" s="11">
        <v>63.0</v>
      </c>
      <c r="L667" s="11">
        <v>4.0</v>
      </c>
      <c r="M667" s="237" t="str">
        <f t="shared" si="1"/>
        <v>0420790030587792634</v>
      </c>
      <c r="N667" s="238">
        <v>93615.33</v>
      </c>
      <c r="O667" s="110">
        <v>21915.0</v>
      </c>
      <c r="P667" s="11">
        <v>73.0</v>
      </c>
      <c r="Q667" s="239"/>
      <c r="R667" s="17">
        <v>95.0</v>
      </c>
    </row>
    <row r="668">
      <c r="A668" s="11">
        <v>11.0</v>
      </c>
      <c r="B668" s="11">
        <v>95.0</v>
      </c>
      <c r="C668" s="11">
        <v>9.0</v>
      </c>
      <c r="D668" s="11" t="s">
        <v>39</v>
      </c>
      <c r="E668" s="234">
        <v>42.0</v>
      </c>
      <c r="F668" s="235">
        <v>33.0</v>
      </c>
      <c r="G668" s="235">
        <v>33.0</v>
      </c>
      <c r="H668" s="234">
        <v>42.0</v>
      </c>
      <c r="I668" s="235">
        <v>33.0</v>
      </c>
      <c r="J668" s="236">
        <v>9.6105324E7</v>
      </c>
      <c r="K668" s="11">
        <v>88.0</v>
      </c>
      <c r="L668" s="11">
        <v>7.0</v>
      </c>
      <c r="M668" s="237" t="str">
        <f t="shared" si="1"/>
        <v>0420330096105324887</v>
      </c>
      <c r="N668" s="238">
        <v>38184.05</v>
      </c>
      <c r="O668" s="110">
        <v>52121.0</v>
      </c>
      <c r="P668" s="11">
        <v>76.0</v>
      </c>
      <c r="Q668" s="239"/>
      <c r="R668" s="17">
        <v>13.0</v>
      </c>
    </row>
    <row r="669">
      <c r="A669" s="11">
        <v>11.0</v>
      </c>
      <c r="B669" s="11">
        <v>54.0</v>
      </c>
      <c r="C669" s="11">
        <v>3.0</v>
      </c>
      <c r="D669" s="11" t="s">
        <v>31</v>
      </c>
      <c r="E669" s="234">
        <v>42.0</v>
      </c>
      <c r="F669" s="235">
        <v>25.0</v>
      </c>
      <c r="G669" s="235">
        <v>25.0</v>
      </c>
      <c r="H669" s="234">
        <v>42.0</v>
      </c>
      <c r="I669" s="235">
        <v>25.0</v>
      </c>
      <c r="J669" s="236">
        <v>6.9161482E7</v>
      </c>
      <c r="K669" s="11">
        <v>73.0</v>
      </c>
      <c r="L669" s="11">
        <v>3.0</v>
      </c>
      <c r="M669" s="237" t="str">
        <f t="shared" si="1"/>
        <v>0420250069161482733</v>
      </c>
      <c r="N669" s="238">
        <v>-34672.57</v>
      </c>
      <c r="O669" s="110">
        <v>92315.0</v>
      </c>
      <c r="P669" s="11">
        <v>70.0</v>
      </c>
      <c r="Q669" s="239"/>
      <c r="R669" s="17">
        <v>95.0</v>
      </c>
    </row>
    <row r="670">
      <c r="A670" s="11">
        <v>16.0</v>
      </c>
      <c r="B670" s="11">
        <v>75.0</v>
      </c>
      <c r="C670" s="11">
        <v>9.0</v>
      </c>
      <c r="D670" s="11" t="s">
        <v>5272</v>
      </c>
      <c r="E670" s="234">
        <v>37.0</v>
      </c>
      <c r="F670" s="235">
        <v>31.0</v>
      </c>
      <c r="G670" s="235">
        <v>31.0</v>
      </c>
      <c r="H670" s="234">
        <v>37.0</v>
      </c>
      <c r="I670" s="235">
        <v>31.0</v>
      </c>
      <c r="J670" s="236">
        <v>6.0701378E7</v>
      </c>
      <c r="K670" s="11">
        <v>7.0</v>
      </c>
      <c r="L670" s="11">
        <v>2.0</v>
      </c>
      <c r="M670" s="237" t="str">
        <f t="shared" si="1"/>
        <v>037031006070137872</v>
      </c>
      <c r="N670" s="238">
        <v>-25102.07</v>
      </c>
      <c r="O670" s="110">
        <v>101021.0</v>
      </c>
      <c r="P670" s="11">
        <v>80.0</v>
      </c>
      <c r="Q670" s="239"/>
      <c r="R670" s="17">
        <v>13.0</v>
      </c>
    </row>
    <row r="671">
      <c r="A671" s="11">
        <v>16.0</v>
      </c>
      <c r="B671" s="11">
        <v>13.0</v>
      </c>
      <c r="C671" s="11">
        <v>5.0</v>
      </c>
      <c r="D671" s="11" t="s">
        <v>39</v>
      </c>
      <c r="E671" s="234">
        <v>51.0</v>
      </c>
      <c r="F671" s="235">
        <v>680.0</v>
      </c>
      <c r="G671" s="235">
        <v>680.0</v>
      </c>
      <c r="H671" s="234">
        <v>51.0</v>
      </c>
      <c r="I671" s="235">
        <v>680.0</v>
      </c>
      <c r="J671" s="236">
        <v>7.5202084E7</v>
      </c>
      <c r="K671" s="11">
        <v>1.0</v>
      </c>
      <c r="L671" s="11">
        <v>0.0</v>
      </c>
      <c r="M671" s="237" t="str">
        <f t="shared" si="1"/>
        <v>051680007520208410</v>
      </c>
      <c r="N671" s="238">
        <v>14928.27</v>
      </c>
      <c r="O671" s="110">
        <v>40818.0</v>
      </c>
      <c r="P671" s="11">
        <v>76.0</v>
      </c>
      <c r="Q671" s="239"/>
      <c r="R671" s="17">
        <v>54.0</v>
      </c>
    </row>
    <row r="672">
      <c r="A672" s="11">
        <v>18.0</v>
      </c>
      <c r="B672" s="11">
        <v>95.0</v>
      </c>
      <c r="C672" s="11">
        <v>9.0</v>
      </c>
      <c r="D672" s="11" t="s">
        <v>39</v>
      </c>
      <c r="E672" s="234">
        <v>34.0</v>
      </c>
      <c r="F672" s="235">
        <v>7.0</v>
      </c>
      <c r="G672" s="235">
        <v>7.0</v>
      </c>
      <c r="H672" s="234">
        <v>34.0</v>
      </c>
      <c r="I672" s="235">
        <v>7.0</v>
      </c>
      <c r="J672" s="236">
        <v>1.7535711E7</v>
      </c>
      <c r="K672" s="11">
        <v>25.0</v>
      </c>
      <c r="L672" s="11">
        <v>4.0</v>
      </c>
      <c r="M672" s="237" t="str">
        <f t="shared" si="1"/>
        <v>0340070017535711254</v>
      </c>
      <c r="N672" s="238">
        <v>98010.86</v>
      </c>
      <c r="O672" s="110">
        <v>11417.0</v>
      </c>
      <c r="P672" s="11">
        <v>79.0</v>
      </c>
      <c r="Q672" s="239"/>
      <c r="R672" s="17">
        <v>34.0</v>
      </c>
    </row>
    <row r="673">
      <c r="A673" s="11">
        <v>12.0</v>
      </c>
      <c r="B673" s="11">
        <v>13.0</v>
      </c>
      <c r="C673" s="11">
        <v>4.0</v>
      </c>
      <c r="D673" s="11" t="s">
        <v>39</v>
      </c>
      <c r="E673" s="234">
        <v>47.0</v>
      </c>
      <c r="F673" s="235">
        <v>51.0</v>
      </c>
      <c r="G673" s="235">
        <v>51.0</v>
      </c>
      <c r="H673" s="234">
        <v>47.0</v>
      </c>
      <c r="I673" s="235">
        <v>51.0</v>
      </c>
      <c r="J673" s="236">
        <v>5.0801681E7</v>
      </c>
      <c r="K673" s="11">
        <v>3.0</v>
      </c>
      <c r="L673" s="11">
        <v>9.0</v>
      </c>
      <c r="M673" s="237" t="str">
        <f t="shared" si="1"/>
        <v>047051005080168139</v>
      </c>
      <c r="N673" s="238">
        <v>70975.82</v>
      </c>
      <c r="O673" s="110">
        <v>111620.0</v>
      </c>
      <c r="P673" s="11">
        <v>77.0</v>
      </c>
      <c r="Q673" s="239"/>
      <c r="R673" s="17">
        <v>13.0</v>
      </c>
    </row>
    <row r="674">
      <c r="A674" s="11">
        <v>15.0</v>
      </c>
      <c r="B674" s="11">
        <v>95.0</v>
      </c>
      <c r="C674" s="11">
        <v>1.0</v>
      </c>
      <c r="D674" s="11" t="s">
        <v>29</v>
      </c>
      <c r="E674" s="234">
        <v>45.0</v>
      </c>
      <c r="F674" s="235">
        <v>87.0</v>
      </c>
      <c r="G674" s="235">
        <v>87.0</v>
      </c>
      <c r="H674" s="234">
        <v>45.0</v>
      </c>
      <c r="I674" s="235">
        <v>87.0</v>
      </c>
      <c r="J674" s="236">
        <v>2.6549869E7</v>
      </c>
      <c r="K674" s="11">
        <v>50.0</v>
      </c>
      <c r="L674" s="11">
        <v>6.0</v>
      </c>
      <c r="M674" s="237" t="str">
        <f t="shared" si="1"/>
        <v>0450870026549869506</v>
      </c>
      <c r="N674" s="238">
        <v>35329.82</v>
      </c>
      <c r="O674" s="110">
        <v>111819.0</v>
      </c>
      <c r="P674" s="11">
        <v>78.0</v>
      </c>
      <c r="Q674" s="239"/>
      <c r="R674" s="17">
        <v>34.0</v>
      </c>
    </row>
    <row r="675">
      <c r="A675" s="11">
        <v>19.0</v>
      </c>
      <c r="B675" s="11">
        <v>54.0</v>
      </c>
      <c r="C675" s="11">
        <v>9.0</v>
      </c>
      <c r="D675" s="11" t="s">
        <v>5273</v>
      </c>
      <c r="E675" s="234">
        <v>29.0</v>
      </c>
      <c r="F675" s="235">
        <v>109.0</v>
      </c>
      <c r="G675" s="235">
        <v>109.0</v>
      </c>
      <c r="H675" s="234">
        <v>29.0</v>
      </c>
      <c r="I675" s="235">
        <v>109.0</v>
      </c>
      <c r="J675" s="236">
        <v>9.653139E7</v>
      </c>
      <c r="K675" s="11">
        <v>69.0</v>
      </c>
      <c r="L675" s="11">
        <v>7.0</v>
      </c>
      <c r="M675" s="237" t="str">
        <f t="shared" si="1"/>
        <v>0291090096531390697</v>
      </c>
      <c r="N675" s="238">
        <v>-67254.62</v>
      </c>
      <c r="O675" s="110">
        <v>22314.0</v>
      </c>
      <c r="P675" s="11">
        <v>73.0</v>
      </c>
      <c r="Q675" s="239"/>
      <c r="R675" s="17">
        <v>95.0</v>
      </c>
    </row>
    <row r="676">
      <c r="A676" s="11">
        <v>15.0</v>
      </c>
      <c r="B676" s="11">
        <v>13.0</v>
      </c>
      <c r="C676" s="11">
        <v>6.0</v>
      </c>
      <c r="D676" s="11" t="s">
        <v>5272</v>
      </c>
      <c r="E676" s="234">
        <v>30.0</v>
      </c>
      <c r="F676" s="235">
        <v>47.0</v>
      </c>
      <c r="G676" s="235">
        <v>47.0</v>
      </c>
      <c r="H676" s="234">
        <v>30.0</v>
      </c>
      <c r="I676" s="235">
        <v>47.0</v>
      </c>
      <c r="J676" s="236">
        <v>3.5219238E7</v>
      </c>
      <c r="K676" s="11">
        <v>46.0</v>
      </c>
      <c r="L676" s="11">
        <v>9.0</v>
      </c>
      <c r="M676" s="237" t="str">
        <f t="shared" si="1"/>
        <v>0300470035219238469</v>
      </c>
      <c r="N676" s="238">
        <v>-56857.12</v>
      </c>
      <c r="O676" s="110">
        <v>102513.0</v>
      </c>
      <c r="P676" s="11">
        <v>79.0</v>
      </c>
      <c r="Q676" s="239"/>
      <c r="R676" s="17">
        <v>75.0</v>
      </c>
    </row>
    <row r="677">
      <c r="A677" s="11">
        <v>10.0</v>
      </c>
      <c r="B677" s="11">
        <v>34.0</v>
      </c>
      <c r="C677" s="11">
        <v>2.0</v>
      </c>
      <c r="D677" s="11" t="s">
        <v>39</v>
      </c>
      <c r="E677" s="234">
        <v>32.0</v>
      </c>
      <c r="F677" s="235">
        <v>15.0</v>
      </c>
      <c r="G677" s="235">
        <v>15.0</v>
      </c>
      <c r="H677" s="234">
        <v>32.0</v>
      </c>
      <c r="I677" s="235">
        <v>15.0</v>
      </c>
      <c r="J677" s="236">
        <v>2.4727663E7</v>
      </c>
      <c r="K677" s="11">
        <v>96.0</v>
      </c>
      <c r="L677" s="11">
        <v>7.0</v>
      </c>
      <c r="M677" s="237" t="str">
        <f t="shared" si="1"/>
        <v>0320150024727663967</v>
      </c>
      <c r="N677" s="238">
        <v>24005.19</v>
      </c>
      <c r="O677" s="110">
        <v>40622.0</v>
      </c>
      <c r="P677" s="11">
        <v>76.0</v>
      </c>
      <c r="Q677" s="239"/>
      <c r="R677" s="17">
        <v>13.0</v>
      </c>
    </row>
    <row r="678">
      <c r="A678" s="11">
        <v>18.0</v>
      </c>
      <c r="B678" s="11">
        <v>54.0</v>
      </c>
      <c r="C678" s="11">
        <v>3.0</v>
      </c>
      <c r="D678" s="11" t="s">
        <v>5273</v>
      </c>
      <c r="E678" s="234">
        <v>49.0</v>
      </c>
      <c r="F678" s="235">
        <v>11.0</v>
      </c>
      <c r="G678" s="235">
        <v>11.0</v>
      </c>
      <c r="H678" s="234">
        <v>49.0</v>
      </c>
      <c r="I678" s="235">
        <v>11.0</v>
      </c>
      <c r="J678" s="236">
        <v>7.4865247E7</v>
      </c>
      <c r="K678" s="11">
        <v>52.0</v>
      </c>
      <c r="L678" s="11">
        <v>5.0</v>
      </c>
      <c r="M678" s="237" t="str">
        <f t="shared" si="1"/>
        <v>0490110074865247525</v>
      </c>
      <c r="N678" s="238">
        <v>88158.81</v>
      </c>
      <c r="O678" s="110">
        <v>62914.0</v>
      </c>
      <c r="P678" s="11">
        <v>77.0</v>
      </c>
      <c r="Q678" s="239"/>
      <c r="R678" s="17">
        <v>75.0</v>
      </c>
    </row>
    <row r="679">
      <c r="A679" s="11">
        <v>11.0</v>
      </c>
      <c r="B679" s="11">
        <v>13.0</v>
      </c>
      <c r="C679" s="11">
        <v>9.0</v>
      </c>
      <c r="D679" s="11" t="s">
        <v>29</v>
      </c>
      <c r="E679" s="234">
        <v>54.0</v>
      </c>
      <c r="F679" s="235">
        <v>15.0</v>
      </c>
      <c r="G679" s="235">
        <v>15.0</v>
      </c>
      <c r="H679" s="234">
        <v>54.0</v>
      </c>
      <c r="I679" s="235">
        <v>15.0</v>
      </c>
      <c r="J679" s="236">
        <v>2.1690126E7</v>
      </c>
      <c r="K679" s="11">
        <v>80.0</v>
      </c>
      <c r="L679" s="11">
        <v>1.0</v>
      </c>
      <c r="M679" s="237" t="str">
        <f t="shared" si="1"/>
        <v>0540150021690126801</v>
      </c>
      <c r="N679" s="238">
        <v>98268.16</v>
      </c>
      <c r="O679" s="110">
        <v>70721.0</v>
      </c>
      <c r="P679" s="11">
        <v>75.0</v>
      </c>
      <c r="Q679" s="239"/>
      <c r="R679" s="17">
        <v>95.0</v>
      </c>
    </row>
    <row r="680">
      <c r="A680" s="11">
        <v>14.0</v>
      </c>
      <c r="B680" s="11">
        <v>95.0</v>
      </c>
      <c r="C680" s="11">
        <v>2.0</v>
      </c>
      <c r="D680" s="11" t="s">
        <v>39</v>
      </c>
      <c r="E680" s="234">
        <v>28.0</v>
      </c>
      <c r="F680" s="235">
        <v>129.0</v>
      </c>
      <c r="G680" s="235">
        <v>129.0</v>
      </c>
      <c r="H680" s="234">
        <v>28.0</v>
      </c>
      <c r="I680" s="235">
        <v>129.0</v>
      </c>
      <c r="J680" s="236">
        <v>6.2130658E7</v>
      </c>
      <c r="K680" s="11">
        <v>3.0</v>
      </c>
      <c r="L680" s="11">
        <v>2.0</v>
      </c>
      <c r="M680" s="237" t="str">
        <f t="shared" si="1"/>
        <v>028129006213065832</v>
      </c>
      <c r="N680" s="238">
        <v>-93859.05</v>
      </c>
      <c r="O680" s="110">
        <v>41016.0</v>
      </c>
      <c r="P680" s="11">
        <v>79.0</v>
      </c>
      <c r="Q680" s="239"/>
      <c r="R680" s="17">
        <v>13.0</v>
      </c>
    </row>
    <row r="681">
      <c r="A681" s="11">
        <v>10.0</v>
      </c>
      <c r="B681" s="11">
        <v>34.0</v>
      </c>
      <c r="C681" s="11">
        <v>7.0</v>
      </c>
      <c r="D681" s="11" t="s">
        <v>31</v>
      </c>
      <c r="E681" s="234">
        <v>5.0</v>
      </c>
      <c r="F681" s="235">
        <v>121.0</v>
      </c>
      <c r="G681" s="235">
        <v>121.0</v>
      </c>
      <c r="H681" s="234">
        <v>5.0</v>
      </c>
      <c r="I681" s="235">
        <v>121.0</v>
      </c>
      <c r="J681" s="236">
        <v>9.2930005E7</v>
      </c>
      <c r="K681" s="11">
        <v>41.0</v>
      </c>
      <c r="L681" s="11">
        <v>4.0</v>
      </c>
      <c r="M681" s="237" t="str">
        <f t="shared" si="1"/>
        <v>051210092930005414</v>
      </c>
      <c r="N681" s="238">
        <v>-15536.15</v>
      </c>
      <c r="O681" s="110">
        <v>101717.0</v>
      </c>
      <c r="P681" s="11">
        <v>77.0</v>
      </c>
      <c r="Q681" s="239"/>
      <c r="R681" s="17">
        <v>54.0</v>
      </c>
    </row>
    <row r="682">
      <c r="A682" s="11">
        <v>11.0</v>
      </c>
      <c r="B682" s="11">
        <v>54.0</v>
      </c>
      <c r="C682" s="11">
        <v>8.0</v>
      </c>
      <c r="D682" s="11" t="s">
        <v>5271</v>
      </c>
      <c r="E682" s="234">
        <v>17.0</v>
      </c>
      <c r="F682" s="235">
        <v>153.0</v>
      </c>
      <c r="G682" s="235">
        <v>153.0</v>
      </c>
      <c r="H682" s="234">
        <v>17.0</v>
      </c>
      <c r="I682" s="235">
        <v>153.0</v>
      </c>
      <c r="J682" s="236">
        <v>9.9691549E7</v>
      </c>
      <c r="K682" s="11">
        <v>86.0</v>
      </c>
      <c r="L682" s="11">
        <v>3.0</v>
      </c>
      <c r="M682" s="237" t="str">
        <f t="shared" si="1"/>
        <v>0171530099691549863</v>
      </c>
      <c r="N682" s="238">
        <v>-76537.3</v>
      </c>
      <c r="O682" s="110">
        <v>81716.0</v>
      </c>
      <c r="P682" s="11">
        <v>79.0</v>
      </c>
      <c r="Q682" s="239"/>
      <c r="R682" s="17">
        <v>23.0</v>
      </c>
    </row>
    <row r="683">
      <c r="A683" s="11">
        <v>20.0</v>
      </c>
      <c r="B683" s="11">
        <v>75.0</v>
      </c>
      <c r="C683" s="11">
        <v>6.0</v>
      </c>
      <c r="D683" s="11" t="s">
        <v>31</v>
      </c>
      <c r="E683" s="234">
        <v>12.0</v>
      </c>
      <c r="F683" s="235">
        <v>15.0</v>
      </c>
      <c r="G683" s="235">
        <v>15.0</v>
      </c>
      <c r="H683" s="234">
        <v>12.0</v>
      </c>
      <c r="I683" s="235">
        <v>15.0</v>
      </c>
      <c r="J683" s="236">
        <v>5.7597721E7</v>
      </c>
      <c r="K683" s="11">
        <v>15.0</v>
      </c>
      <c r="L683" s="11">
        <v>0.0</v>
      </c>
      <c r="M683" s="237" t="str">
        <f t="shared" si="1"/>
        <v>0120150057597721150</v>
      </c>
      <c r="N683" s="238">
        <v>52789.58</v>
      </c>
      <c r="O683" s="110">
        <v>30422.0</v>
      </c>
      <c r="P683" s="11">
        <v>76.0</v>
      </c>
      <c r="Q683" s="239"/>
      <c r="R683" s="17">
        <v>95.0</v>
      </c>
    </row>
    <row r="684">
      <c r="A684" s="11">
        <v>16.0</v>
      </c>
      <c r="B684" s="11">
        <v>75.0</v>
      </c>
      <c r="C684" s="11">
        <v>6.0</v>
      </c>
      <c r="D684" s="11" t="s">
        <v>31</v>
      </c>
      <c r="E684" s="234">
        <v>36.0</v>
      </c>
      <c r="F684" s="235">
        <v>37.0</v>
      </c>
      <c r="G684" s="235">
        <v>37.0</v>
      </c>
      <c r="H684" s="234">
        <v>36.0</v>
      </c>
      <c r="I684" s="235">
        <v>37.0</v>
      </c>
      <c r="J684" s="236">
        <v>5.9390501E7</v>
      </c>
      <c r="K684" s="11">
        <v>82.0</v>
      </c>
      <c r="L684" s="11">
        <v>7.0</v>
      </c>
      <c r="M684" s="237" t="str">
        <f t="shared" si="1"/>
        <v>0360370059390501827</v>
      </c>
      <c r="N684" s="238">
        <v>-80805.71</v>
      </c>
      <c r="O684" s="110">
        <v>30514.0</v>
      </c>
      <c r="P684" s="11">
        <v>77.0</v>
      </c>
      <c r="Q684" s="239"/>
      <c r="R684" s="17">
        <v>95.0</v>
      </c>
    </row>
    <row r="685">
      <c r="A685" s="11">
        <v>18.0</v>
      </c>
      <c r="B685" s="11">
        <v>34.0</v>
      </c>
      <c r="C685" s="11">
        <v>9.0</v>
      </c>
      <c r="D685" s="11" t="s">
        <v>5271</v>
      </c>
      <c r="E685" s="234">
        <v>8.0</v>
      </c>
      <c r="F685" s="235">
        <v>79.0</v>
      </c>
      <c r="G685" s="235">
        <v>79.0</v>
      </c>
      <c r="H685" s="234">
        <v>8.0</v>
      </c>
      <c r="I685" s="235">
        <v>79.0</v>
      </c>
      <c r="J685" s="236">
        <v>5.6019953E7</v>
      </c>
      <c r="K685" s="11">
        <v>48.0</v>
      </c>
      <c r="L685" s="11">
        <v>9.0</v>
      </c>
      <c r="M685" s="237" t="str">
        <f t="shared" si="1"/>
        <v>080790056019953489</v>
      </c>
      <c r="N685" s="238">
        <v>64460.48</v>
      </c>
      <c r="O685" s="110">
        <v>52421.0</v>
      </c>
      <c r="P685" s="11">
        <v>74.0</v>
      </c>
      <c r="Q685" s="239"/>
      <c r="R685" s="17">
        <v>75.0</v>
      </c>
    </row>
    <row r="686">
      <c r="A686" s="11">
        <v>15.0</v>
      </c>
      <c r="B686" s="11">
        <v>34.0</v>
      </c>
      <c r="C686" s="11">
        <v>5.0</v>
      </c>
      <c r="D686" s="11" t="s">
        <v>39</v>
      </c>
      <c r="E686" s="234">
        <v>40.0</v>
      </c>
      <c r="F686" s="235">
        <v>31.0</v>
      </c>
      <c r="G686" s="235">
        <v>31.0</v>
      </c>
      <c r="H686" s="234">
        <v>40.0</v>
      </c>
      <c r="I686" s="235">
        <v>31.0</v>
      </c>
      <c r="J686" s="236">
        <v>2.3955139E7</v>
      </c>
      <c r="K686" s="11">
        <v>65.0</v>
      </c>
      <c r="L686" s="11">
        <v>3.0</v>
      </c>
      <c r="M686" s="237" t="str">
        <f t="shared" si="1"/>
        <v>0400310023955139653</v>
      </c>
      <c r="N686" s="238">
        <v>92298.14</v>
      </c>
      <c r="O686" s="110">
        <v>60522.0</v>
      </c>
      <c r="P686" s="11">
        <v>72.0</v>
      </c>
      <c r="Q686" s="239"/>
      <c r="R686" s="17">
        <v>54.0</v>
      </c>
    </row>
    <row r="687">
      <c r="A687" s="11">
        <v>18.0</v>
      </c>
      <c r="B687" s="11">
        <v>34.0</v>
      </c>
      <c r="C687" s="11">
        <v>7.0</v>
      </c>
      <c r="D687" s="11" t="s">
        <v>5273</v>
      </c>
      <c r="E687" s="234">
        <v>51.0</v>
      </c>
      <c r="F687" s="235">
        <v>183.0</v>
      </c>
      <c r="G687" s="235">
        <v>183.0</v>
      </c>
      <c r="H687" s="234">
        <v>51.0</v>
      </c>
      <c r="I687" s="235">
        <v>183.0</v>
      </c>
      <c r="J687" s="236">
        <v>4.6180534E7</v>
      </c>
      <c r="K687" s="11">
        <v>27.0</v>
      </c>
      <c r="L687" s="11">
        <v>9.0</v>
      </c>
      <c r="M687" s="237" t="str">
        <f t="shared" si="1"/>
        <v>0511830046180534279</v>
      </c>
      <c r="N687" s="238">
        <v>-88306.6</v>
      </c>
      <c r="O687" s="110">
        <v>32618.0</v>
      </c>
      <c r="P687" s="11">
        <v>71.0</v>
      </c>
      <c r="Q687" s="239"/>
      <c r="R687" s="17">
        <v>75.0</v>
      </c>
    </row>
    <row r="688">
      <c r="A688" s="11">
        <v>15.0</v>
      </c>
      <c r="B688" s="11">
        <v>13.0</v>
      </c>
      <c r="C688" s="11">
        <v>5.0</v>
      </c>
      <c r="D688" s="11" t="s">
        <v>39</v>
      </c>
      <c r="E688" s="234">
        <v>51.0</v>
      </c>
      <c r="F688" s="235">
        <v>710.0</v>
      </c>
      <c r="G688" s="235">
        <v>710.0</v>
      </c>
      <c r="H688" s="234">
        <v>51.0</v>
      </c>
      <c r="I688" s="235">
        <v>710.0</v>
      </c>
      <c r="J688" s="236">
        <v>9.5045392E7</v>
      </c>
      <c r="K688" s="11">
        <v>59.0</v>
      </c>
      <c r="L688" s="11">
        <v>7.0</v>
      </c>
      <c r="M688" s="237" t="str">
        <f t="shared" si="1"/>
        <v>0517100095045392597</v>
      </c>
      <c r="N688" s="238">
        <v>23517.41</v>
      </c>
      <c r="O688" s="110">
        <v>70623.0</v>
      </c>
      <c r="P688" s="11">
        <v>72.0</v>
      </c>
      <c r="Q688" s="239"/>
      <c r="R688" s="17">
        <v>95.0</v>
      </c>
    </row>
    <row r="689">
      <c r="A689" s="11">
        <v>15.0</v>
      </c>
      <c r="B689" s="11">
        <v>75.0</v>
      </c>
      <c r="C689" s="11">
        <v>3.0</v>
      </c>
      <c r="D689" s="11" t="s">
        <v>5271</v>
      </c>
      <c r="E689" s="234">
        <v>16.0</v>
      </c>
      <c r="F689" s="235">
        <v>3.0</v>
      </c>
      <c r="G689" s="235">
        <v>3.0</v>
      </c>
      <c r="H689" s="234">
        <v>16.0</v>
      </c>
      <c r="I689" s="235">
        <v>3.0</v>
      </c>
      <c r="J689" s="236">
        <v>4.1038312E7</v>
      </c>
      <c r="K689" s="11">
        <v>61.0</v>
      </c>
      <c r="L689" s="11">
        <v>7.0</v>
      </c>
      <c r="M689" s="237" t="str">
        <f t="shared" si="1"/>
        <v>0160030041038312617</v>
      </c>
      <c r="N689" s="238">
        <v>-42093.9</v>
      </c>
      <c r="O689" s="110">
        <v>72823.0</v>
      </c>
      <c r="P689" s="11">
        <v>79.0</v>
      </c>
      <c r="Q689" s="239"/>
      <c r="R689" s="17">
        <v>14.0</v>
      </c>
    </row>
    <row r="690">
      <c r="A690" s="11">
        <v>14.0</v>
      </c>
      <c r="B690" s="11">
        <v>75.0</v>
      </c>
      <c r="C690" s="11">
        <v>4.0</v>
      </c>
      <c r="D690" s="11" t="s">
        <v>5272</v>
      </c>
      <c r="E690" s="234">
        <v>20.0</v>
      </c>
      <c r="F690" s="235">
        <v>147.0</v>
      </c>
      <c r="G690" s="235">
        <v>147.0</v>
      </c>
      <c r="H690" s="234">
        <v>20.0</v>
      </c>
      <c r="I690" s="235">
        <v>147.0</v>
      </c>
      <c r="J690" s="236">
        <v>3.5612509E7</v>
      </c>
      <c r="K690" s="11">
        <v>52.0</v>
      </c>
      <c r="L690" s="11">
        <v>7.0</v>
      </c>
      <c r="M690" s="237" t="str">
        <f t="shared" si="1"/>
        <v>0201470035612509527</v>
      </c>
      <c r="N690" s="238">
        <v>14956.87</v>
      </c>
      <c r="O690" s="110">
        <v>72920.0</v>
      </c>
      <c r="P690" s="11">
        <v>80.0</v>
      </c>
      <c r="Q690" s="239"/>
      <c r="R690" s="17">
        <v>34.0</v>
      </c>
    </row>
    <row r="691">
      <c r="A691" s="11">
        <v>17.0</v>
      </c>
      <c r="B691" s="11">
        <v>75.0</v>
      </c>
      <c r="C691" s="11">
        <v>5.0</v>
      </c>
      <c r="D691" s="11" t="s">
        <v>29</v>
      </c>
      <c r="E691" s="234">
        <v>53.0</v>
      </c>
      <c r="F691" s="235">
        <v>47.0</v>
      </c>
      <c r="G691" s="235">
        <v>47.0</v>
      </c>
      <c r="H691" s="234">
        <v>53.0</v>
      </c>
      <c r="I691" s="235">
        <v>47.0</v>
      </c>
      <c r="J691" s="236">
        <v>2.7651551E7</v>
      </c>
      <c r="K691" s="11">
        <v>80.0</v>
      </c>
      <c r="L691" s="11">
        <v>9.0</v>
      </c>
      <c r="M691" s="237" t="str">
        <f t="shared" si="1"/>
        <v>0530470027651551809</v>
      </c>
      <c r="N691" s="238">
        <v>21264.01</v>
      </c>
      <c r="O691" s="110">
        <v>51721.0</v>
      </c>
      <c r="P691" s="11">
        <v>73.0</v>
      </c>
      <c r="Q691" s="239"/>
      <c r="R691" s="17">
        <v>14.0</v>
      </c>
    </row>
    <row r="692">
      <c r="A692" s="11">
        <v>15.0</v>
      </c>
      <c r="B692" s="11">
        <v>34.0</v>
      </c>
      <c r="C692" s="11">
        <v>5.0</v>
      </c>
      <c r="D692" s="11" t="s">
        <v>29</v>
      </c>
      <c r="E692" s="234">
        <v>2.0</v>
      </c>
      <c r="F692" s="235">
        <v>180.0</v>
      </c>
      <c r="G692" s="235">
        <v>180.0</v>
      </c>
      <c r="H692" s="234">
        <v>2.0</v>
      </c>
      <c r="I692" s="235">
        <v>180.0</v>
      </c>
      <c r="J692" s="236">
        <v>5.4573375E7</v>
      </c>
      <c r="K692" s="11">
        <v>51.0</v>
      </c>
      <c r="L692" s="11">
        <v>2.0</v>
      </c>
      <c r="M692" s="237" t="str">
        <f t="shared" si="1"/>
        <v>021800054573375512</v>
      </c>
      <c r="N692" s="238">
        <v>-69489.05</v>
      </c>
      <c r="O692" s="110">
        <v>11515.0</v>
      </c>
      <c r="P692" s="11">
        <v>70.0</v>
      </c>
      <c r="Q692" s="239"/>
      <c r="R692" s="17">
        <v>14.0</v>
      </c>
    </row>
    <row r="693">
      <c r="A693" s="11">
        <v>11.0</v>
      </c>
      <c r="B693" s="11">
        <v>34.0</v>
      </c>
      <c r="C693" s="11">
        <v>5.0</v>
      </c>
      <c r="D693" s="11" t="s">
        <v>29</v>
      </c>
      <c r="E693" s="234">
        <v>40.0</v>
      </c>
      <c r="F693" s="235">
        <v>7.0</v>
      </c>
      <c r="G693" s="235">
        <v>7.0</v>
      </c>
      <c r="H693" s="234">
        <v>40.0</v>
      </c>
      <c r="I693" s="235">
        <v>7.0</v>
      </c>
      <c r="J693" s="236">
        <v>5.175189E7</v>
      </c>
      <c r="K693" s="11">
        <v>91.0</v>
      </c>
      <c r="L693" s="11">
        <v>6.0</v>
      </c>
      <c r="M693" s="237" t="str">
        <f t="shared" si="1"/>
        <v>0400070051751890916</v>
      </c>
      <c r="N693" s="238">
        <v>98995.58</v>
      </c>
      <c r="O693" s="110">
        <v>20115.0</v>
      </c>
      <c r="P693" s="11">
        <v>71.0</v>
      </c>
      <c r="Q693" s="239"/>
      <c r="R693" s="17">
        <v>75.0</v>
      </c>
    </row>
    <row r="694">
      <c r="A694" s="11">
        <v>19.0</v>
      </c>
      <c r="B694" s="11">
        <v>75.0</v>
      </c>
      <c r="C694" s="11">
        <v>8.0</v>
      </c>
      <c r="D694" s="11" t="s">
        <v>29</v>
      </c>
      <c r="E694" s="234">
        <v>41.0</v>
      </c>
      <c r="F694" s="235">
        <v>59.0</v>
      </c>
      <c r="G694" s="235">
        <v>59.0</v>
      </c>
      <c r="H694" s="234">
        <v>41.0</v>
      </c>
      <c r="I694" s="235">
        <v>59.0</v>
      </c>
      <c r="J694" s="236">
        <v>8.0533683E7</v>
      </c>
      <c r="K694" s="11">
        <v>38.0</v>
      </c>
      <c r="L694" s="11">
        <v>1.0</v>
      </c>
      <c r="M694" s="237" t="str">
        <f t="shared" si="1"/>
        <v>0410590080533683381</v>
      </c>
      <c r="N694" s="238">
        <v>-31454.49</v>
      </c>
      <c r="O694" s="110">
        <v>71920.0</v>
      </c>
      <c r="P694" s="11">
        <v>70.0</v>
      </c>
      <c r="Q694" s="239"/>
      <c r="R694" s="17">
        <v>95.0</v>
      </c>
    </row>
    <row r="695">
      <c r="A695" s="11">
        <v>10.0</v>
      </c>
      <c r="B695" s="11">
        <v>14.0</v>
      </c>
      <c r="C695" s="11">
        <v>7.0</v>
      </c>
      <c r="D695" s="11" t="s">
        <v>39</v>
      </c>
      <c r="E695" s="234">
        <v>39.0</v>
      </c>
      <c r="F695" s="235">
        <v>25.0</v>
      </c>
      <c r="G695" s="235">
        <v>25.0</v>
      </c>
      <c r="H695" s="234">
        <v>39.0</v>
      </c>
      <c r="I695" s="235">
        <v>25.0</v>
      </c>
      <c r="J695" s="236">
        <v>7.5610058E7</v>
      </c>
      <c r="K695" s="11">
        <v>39.0</v>
      </c>
      <c r="L695" s="11">
        <v>7.0</v>
      </c>
      <c r="M695" s="237" t="str">
        <f t="shared" si="1"/>
        <v>0390250075610058397</v>
      </c>
      <c r="N695" s="238">
        <v>-9111.89</v>
      </c>
      <c r="O695" s="110">
        <v>20718.0</v>
      </c>
      <c r="P695" s="11">
        <v>70.0</v>
      </c>
      <c r="Q695" s="239"/>
      <c r="R695" s="17">
        <v>96.0</v>
      </c>
    </row>
    <row r="696">
      <c r="A696" s="11">
        <v>10.0</v>
      </c>
      <c r="B696" s="11">
        <v>75.0</v>
      </c>
      <c r="C696" s="11">
        <v>6.0</v>
      </c>
      <c r="D696" s="11" t="s">
        <v>31</v>
      </c>
      <c r="E696" s="234">
        <v>1.0</v>
      </c>
      <c r="F696" s="235">
        <v>13.0</v>
      </c>
      <c r="G696" s="235">
        <v>13.0</v>
      </c>
      <c r="H696" s="234">
        <v>1.0</v>
      </c>
      <c r="I696" s="235">
        <v>13.0</v>
      </c>
      <c r="J696" s="236">
        <v>2.8655123E7</v>
      </c>
      <c r="K696" s="11">
        <v>5.0</v>
      </c>
      <c r="L696" s="11">
        <v>8.0</v>
      </c>
      <c r="M696" s="237" t="str">
        <f t="shared" si="1"/>
        <v>01013002865512358</v>
      </c>
      <c r="N696" s="238">
        <v>-38610.17</v>
      </c>
      <c r="O696" s="110">
        <v>41718.0</v>
      </c>
      <c r="P696" s="11">
        <v>80.0</v>
      </c>
      <c r="Q696" s="239"/>
      <c r="R696" s="17">
        <v>55.0</v>
      </c>
    </row>
    <row r="697">
      <c r="A697" s="11">
        <v>17.0</v>
      </c>
      <c r="B697" s="11">
        <v>34.0</v>
      </c>
      <c r="C697" s="11">
        <v>6.0</v>
      </c>
      <c r="D697" s="11" t="s">
        <v>39</v>
      </c>
      <c r="E697" s="234">
        <v>8.0</v>
      </c>
      <c r="F697" s="235">
        <v>87.0</v>
      </c>
      <c r="G697" s="235">
        <v>87.0</v>
      </c>
      <c r="H697" s="234">
        <v>8.0</v>
      </c>
      <c r="I697" s="235">
        <v>87.0</v>
      </c>
      <c r="J697" s="236">
        <v>4.4416698E7</v>
      </c>
      <c r="K697" s="11">
        <v>80.0</v>
      </c>
      <c r="L697" s="11">
        <v>8.0</v>
      </c>
      <c r="M697" s="237" t="str">
        <f t="shared" si="1"/>
        <v>080870044416698808</v>
      </c>
      <c r="N697" s="238">
        <v>18446.94</v>
      </c>
      <c r="O697" s="110">
        <v>110522.0</v>
      </c>
      <c r="P697" s="11">
        <v>77.0</v>
      </c>
      <c r="Q697" s="239"/>
      <c r="R697" s="17">
        <v>14.0</v>
      </c>
    </row>
    <row r="698">
      <c r="A698" s="11">
        <v>18.0</v>
      </c>
      <c r="B698" s="11">
        <v>55.0</v>
      </c>
      <c r="C698" s="11">
        <v>9.0</v>
      </c>
      <c r="D698" s="11" t="s">
        <v>39</v>
      </c>
      <c r="E698" s="234">
        <v>26.0</v>
      </c>
      <c r="F698" s="235">
        <v>163.0</v>
      </c>
      <c r="G698" s="235">
        <v>163.0</v>
      </c>
      <c r="H698" s="234">
        <v>26.0</v>
      </c>
      <c r="I698" s="235">
        <v>163.0</v>
      </c>
      <c r="J698" s="236">
        <v>2.9349848E7</v>
      </c>
      <c r="K698" s="11">
        <v>86.0</v>
      </c>
      <c r="L698" s="11">
        <v>9.0</v>
      </c>
      <c r="M698" s="237" t="str">
        <f t="shared" si="1"/>
        <v>0261630029349848869</v>
      </c>
      <c r="N698" s="238">
        <v>-56482.3</v>
      </c>
      <c r="O698" s="110">
        <v>82418.0</v>
      </c>
      <c r="P698" s="11">
        <v>78.0</v>
      </c>
      <c r="Q698" s="239"/>
      <c r="R698" s="17">
        <v>34.0</v>
      </c>
    </row>
    <row r="699">
      <c r="A699" s="11">
        <v>16.0</v>
      </c>
      <c r="B699" s="11">
        <v>75.0</v>
      </c>
      <c r="C699" s="11">
        <v>7.0</v>
      </c>
      <c r="D699" s="11" t="s">
        <v>39</v>
      </c>
      <c r="E699" s="234">
        <v>46.0</v>
      </c>
      <c r="F699" s="235">
        <v>25.0</v>
      </c>
      <c r="G699" s="235">
        <v>25.0</v>
      </c>
      <c r="H699" s="234">
        <v>46.0</v>
      </c>
      <c r="I699" s="235">
        <v>25.0</v>
      </c>
      <c r="J699" s="236">
        <v>3.4311926E7</v>
      </c>
      <c r="K699" s="11">
        <v>44.0</v>
      </c>
      <c r="L699" s="11">
        <v>0.0</v>
      </c>
      <c r="M699" s="237" t="str">
        <f t="shared" si="1"/>
        <v>0460250034311926440</v>
      </c>
      <c r="N699" s="238">
        <v>-86831.73</v>
      </c>
      <c r="O699" s="110">
        <v>92514.0</v>
      </c>
      <c r="P699" s="11">
        <v>73.0</v>
      </c>
      <c r="Q699" s="239"/>
      <c r="R699" s="17">
        <v>14.0</v>
      </c>
    </row>
    <row r="700">
      <c r="A700" s="11">
        <v>20.0</v>
      </c>
      <c r="B700" s="11">
        <v>14.0</v>
      </c>
      <c r="C700" s="11">
        <v>3.0</v>
      </c>
      <c r="D700" s="11" t="s">
        <v>31</v>
      </c>
      <c r="E700" s="234">
        <v>17.0</v>
      </c>
      <c r="F700" s="235">
        <v>53.0</v>
      </c>
      <c r="G700" s="235">
        <v>53.0</v>
      </c>
      <c r="H700" s="234">
        <v>17.0</v>
      </c>
      <c r="I700" s="235">
        <v>53.0</v>
      </c>
      <c r="J700" s="236">
        <v>5.3188969E7</v>
      </c>
      <c r="K700" s="11">
        <v>93.0</v>
      </c>
      <c r="L700" s="11">
        <v>1.0</v>
      </c>
      <c r="M700" s="237" t="str">
        <f t="shared" si="1"/>
        <v>0170530053188969931</v>
      </c>
      <c r="N700" s="238">
        <v>-12205.97</v>
      </c>
      <c r="O700" s="110">
        <v>72922.0</v>
      </c>
      <c r="P700" s="11">
        <v>75.0</v>
      </c>
      <c r="Q700" s="239"/>
      <c r="R700" s="17">
        <v>96.0</v>
      </c>
    </row>
    <row r="701">
      <c r="A701" s="11">
        <v>12.0</v>
      </c>
      <c r="B701" s="11">
        <v>34.0</v>
      </c>
      <c r="C701" s="11">
        <v>5.0</v>
      </c>
      <c r="D701" s="11" t="s">
        <v>5271</v>
      </c>
      <c r="E701" s="234">
        <v>48.0</v>
      </c>
      <c r="F701" s="235">
        <v>159.0</v>
      </c>
      <c r="G701" s="235">
        <v>159.0</v>
      </c>
      <c r="H701" s="234">
        <v>48.0</v>
      </c>
      <c r="I701" s="235">
        <v>159.0</v>
      </c>
      <c r="J701" s="236">
        <v>2.5635484E7</v>
      </c>
      <c r="K701" s="11">
        <v>93.0</v>
      </c>
      <c r="L701" s="11">
        <v>2.0</v>
      </c>
      <c r="M701" s="237" t="str">
        <f t="shared" si="1"/>
        <v>0481590025635484932</v>
      </c>
      <c r="N701" s="238">
        <v>-44131.75</v>
      </c>
      <c r="O701" s="110">
        <v>111119.0</v>
      </c>
      <c r="P701" s="11">
        <v>78.0</v>
      </c>
      <c r="Q701" s="239"/>
      <c r="R701" s="17">
        <v>14.0</v>
      </c>
    </row>
    <row r="702">
      <c r="A702" s="11">
        <v>11.0</v>
      </c>
      <c r="B702" s="11">
        <v>96.0</v>
      </c>
      <c r="C702" s="11">
        <v>9.0</v>
      </c>
      <c r="D702" s="11" t="s">
        <v>5273</v>
      </c>
      <c r="E702" s="234">
        <v>17.0</v>
      </c>
      <c r="F702" s="235">
        <v>41.0</v>
      </c>
      <c r="G702" s="235">
        <v>41.0</v>
      </c>
      <c r="H702" s="234">
        <v>17.0</v>
      </c>
      <c r="I702" s="235">
        <v>41.0</v>
      </c>
      <c r="J702" s="236">
        <v>6.9466022E7</v>
      </c>
      <c r="K702" s="11">
        <v>29.0</v>
      </c>
      <c r="L702" s="11">
        <v>1.0</v>
      </c>
      <c r="M702" s="237" t="str">
        <f t="shared" si="1"/>
        <v>0170410069466022291</v>
      </c>
      <c r="N702" s="238">
        <v>29743.45</v>
      </c>
      <c r="O702" s="110">
        <v>10617.0</v>
      </c>
      <c r="P702" s="11">
        <v>77.0</v>
      </c>
      <c r="Q702" s="239"/>
      <c r="R702" s="17">
        <v>34.0</v>
      </c>
    </row>
    <row r="703">
      <c r="A703" s="11">
        <v>17.0</v>
      </c>
      <c r="B703" s="11">
        <v>96.0</v>
      </c>
      <c r="C703" s="11">
        <v>1.0</v>
      </c>
      <c r="D703" s="11" t="s">
        <v>5273</v>
      </c>
      <c r="E703" s="234">
        <v>56.0</v>
      </c>
      <c r="F703" s="235">
        <v>9.0</v>
      </c>
      <c r="G703" s="235">
        <v>9.0</v>
      </c>
      <c r="H703" s="234">
        <v>56.0</v>
      </c>
      <c r="I703" s="235">
        <v>9.0</v>
      </c>
      <c r="J703" s="236">
        <v>9.682094E7</v>
      </c>
      <c r="K703" s="11">
        <v>91.0</v>
      </c>
      <c r="L703" s="11">
        <v>8.0</v>
      </c>
      <c r="M703" s="237" t="str">
        <f t="shared" si="1"/>
        <v>0560090096820940918</v>
      </c>
      <c r="N703" s="238">
        <v>21074.57</v>
      </c>
      <c r="O703" s="110">
        <v>31017.0</v>
      </c>
      <c r="P703" s="11">
        <v>77.0</v>
      </c>
      <c r="Q703" s="239"/>
      <c r="R703" s="17">
        <v>55.0</v>
      </c>
    </row>
    <row r="704">
      <c r="A704" s="11">
        <v>17.0</v>
      </c>
      <c r="B704" s="11">
        <v>75.0</v>
      </c>
      <c r="C704" s="11">
        <v>7.0</v>
      </c>
      <c r="D704" s="11" t="s">
        <v>29</v>
      </c>
      <c r="E704" s="234">
        <v>2.0</v>
      </c>
      <c r="F704" s="235">
        <v>16.0</v>
      </c>
      <c r="G704" s="235">
        <v>16.0</v>
      </c>
      <c r="H704" s="234">
        <v>2.0</v>
      </c>
      <c r="I704" s="235">
        <v>16.0</v>
      </c>
      <c r="J704" s="236">
        <v>1.5432261E7</v>
      </c>
      <c r="K704" s="11">
        <v>44.0</v>
      </c>
      <c r="L704" s="11">
        <v>3.0</v>
      </c>
      <c r="M704" s="237" t="str">
        <f t="shared" si="1"/>
        <v>020160015432261443</v>
      </c>
      <c r="N704" s="238">
        <v>-16347.55</v>
      </c>
      <c r="O704" s="110">
        <v>71913.0</v>
      </c>
      <c r="P704" s="11">
        <v>70.0</v>
      </c>
      <c r="Q704" s="239"/>
      <c r="R704" s="17">
        <v>96.0</v>
      </c>
    </row>
    <row r="705">
      <c r="A705" s="11">
        <v>18.0</v>
      </c>
      <c r="B705" s="11">
        <v>96.0</v>
      </c>
      <c r="C705" s="11">
        <v>3.0</v>
      </c>
      <c r="D705" s="11" t="s">
        <v>5273</v>
      </c>
      <c r="E705" s="234">
        <v>5.0</v>
      </c>
      <c r="F705" s="235">
        <v>115.0</v>
      </c>
      <c r="G705" s="235">
        <v>115.0</v>
      </c>
      <c r="H705" s="234">
        <v>5.0</v>
      </c>
      <c r="I705" s="235">
        <v>115.0</v>
      </c>
      <c r="J705" s="236">
        <v>7.1115351E7</v>
      </c>
      <c r="K705" s="11">
        <v>59.0</v>
      </c>
      <c r="L705" s="11">
        <v>3.0</v>
      </c>
      <c r="M705" s="237" t="str">
        <f t="shared" si="1"/>
        <v>051150071115351593</v>
      </c>
      <c r="N705" s="238">
        <v>94686.37</v>
      </c>
      <c r="O705" s="110">
        <v>110119.0</v>
      </c>
      <c r="P705" s="11">
        <v>77.0</v>
      </c>
      <c r="Q705" s="239"/>
      <c r="R705" s="17">
        <v>34.0</v>
      </c>
    </row>
    <row r="706">
      <c r="A706" s="11">
        <v>19.0</v>
      </c>
      <c r="B706" s="11">
        <v>75.0</v>
      </c>
      <c r="C706" s="11">
        <v>5.0</v>
      </c>
      <c r="D706" s="11" t="s">
        <v>29</v>
      </c>
      <c r="E706" s="234">
        <v>13.0</v>
      </c>
      <c r="F706" s="235">
        <v>221.0</v>
      </c>
      <c r="G706" s="235">
        <v>221.0</v>
      </c>
      <c r="H706" s="234">
        <v>13.0</v>
      </c>
      <c r="I706" s="235">
        <v>221.0</v>
      </c>
      <c r="J706" s="236">
        <v>9.2992249E7</v>
      </c>
      <c r="K706" s="11">
        <v>10.0</v>
      </c>
      <c r="L706" s="11">
        <v>4.0</v>
      </c>
      <c r="M706" s="237" t="str">
        <f t="shared" si="1"/>
        <v>0132210092992249104</v>
      </c>
      <c r="N706" s="238">
        <v>-52745.3</v>
      </c>
      <c r="O706" s="110">
        <v>12219.0</v>
      </c>
      <c r="P706" s="11">
        <v>79.0</v>
      </c>
      <c r="Q706" s="239"/>
      <c r="R706" s="17">
        <v>96.0</v>
      </c>
    </row>
    <row r="707">
      <c r="A707" s="11">
        <v>17.0</v>
      </c>
      <c r="B707" s="11">
        <v>14.0</v>
      </c>
      <c r="C707" s="11">
        <v>5.0</v>
      </c>
      <c r="D707" s="11" t="s">
        <v>39</v>
      </c>
      <c r="E707" s="234">
        <v>13.0</v>
      </c>
      <c r="F707" s="235">
        <v>227.0</v>
      </c>
      <c r="G707" s="235">
        <v>227.0</v>
      </c>
      <c r="H707" s="234">
        <v>13.0</v>
      </c>
      <c r="I707" s="235">
        <v>227.0</v>
      </c>
      <c r="J707" s="236">
        <v>2.8654046E7</v>
      </c>
      <c r="K707" s="11">
        <v>80.0</v>
      </c>
      <c r="L707" s="11">
        <v>8.0</v>
      </c>
      <c r="M707" s="237" t="str">
        <f t="shared" si="1"/>
        <v>0132270028654046808</v>
      </c>
      <c r="N707" s="238">
        <v>63837.12</v>
      </c>
      <c r="O707" s="110">
        <v>10220.0</v>
      </c>
      <c r="P707" s="11">
        <v>75.0</v>
      </c>
      <c r="Q707" s="239"/>
      <c r="R707" s="17">
        <v>14.0</v>
      </c>
    </row>
    <row r="708">
      <c r="A708" s="11">
        <v>10.0</v>
      </c>
      <c r="B708" s="11">
        <v>75.0</v>
      </c>
      <c r="C708" s="11">
        <v>1.0</v>
      </c>
      <c r="D708" s="11" t="s">
        <v>5273</v>
      </c>
      <c r="E708" s="234">
        <v>29.0</v>
      </c>
      <c r="F708" s="235">
        <v>31.0</v>
      </c>
      <c r="G708" s="235">
        <v>31.0</v>
      </c>
      <c r="H708" s="234">
        <v>29.0</v>
      </c>
      <c r="I708" s="235">
        <v>31.0</v>
      </c>
      <c r="J708" s="236">
        <v>7.162256E7</v>
      </c>
      <c r="K708" s="11">
        <v>87.0</v>
      </c>
      <c r="L708" s="11">
        <v>0.0</v>
      </c>
      <c r="M708" s="237" t="str">
        <f t="shared" si="1"/>
        <v>0290310071622560870</v>
      </c>
      <c r="N708" s="238">
        <v>-24444.59</v>
      </c>
      <c r="O708" s="110">
        <v>111223.0</v>
      </c>
      <c r="P708" s="11">
        <v>76.0</v>
      </c>
      <c r="Q708" s="239"/>
      <c r="R708" s="17">
        <v>34.0</v>
      </c>
    </row>
    <row r="709">
      <c r="A709" s="11">
        <v>16.0</v>
      </c>
      <c r="B709" s="11">
        <v>55.0</v>
      </c>
      <c r="C709" s="11">
        <v>5.0</v>
      </c>
      <c r="D709" s="11" t="s">
        <v>5273</v>
      </c>
      <c r="E709" s="234">
        <v>47.0</v>
      </c>
      <c r="F709" s="235">
        <v>113.0</v>
      </c>
      <c r="G709" s="235">
        <v>113.0</v>
      </c>
      <c r="H709" s="234">
        <v>47.0</v>
      </c>
      <c r="I709" s="235">
        <v>113.0</v>
      </c>
      <c r="J709" s="236">
        <v>4.2244831E7</v>
      </c>
      <c r="K709" s="11">
        <v>29.0</v>
      </c>
      <c r="L709" s="11">
        <v>2.0</v>
      </c>
      <c r="M709" s="237" t="str">
        <f t="shared" si="1"/>
        <v>0471130042244831292</v>
      </c>
      <c r="N709" s="238">
        <v>-22317.72</v>
      </c>
      <c r="O709" s="110">
        <v>112416.0</v>
      </c>
      <c r="P709" s="11">
        <v>70.0</v>
      </c>
      <c r="Q709" s="239"/>
      <c r="R709" s="17">
        <v>96.0</v>
      </c>
    </row>
    <row r="710">
      <c r="A710" s="11">
        <v>16.0</v>
      </c>
      <c r="B710" s="11">
        <v>14.0</v>
      </c>
      <c r="C710" s="11">
        <v>3.0</v>
      </c>
      <c r="D710" s="11" t="s">
        <v>31</v>
      </c>
      <c r="E710" s="234">
        <v>29.0</v>
      </c>
      <c r="F710" s="235">
        <v>151.0</v>
      </c>
      <c r="G710" s="235">
        <v>151.0</v>
      </c>
      <c r="H710" s="234">
        <v>29.0</v>
      </c>
      <c r="I710" s="235">
        <v>151.0</v>
      </c>
      <c r="J710" s="236">
        <v>5.4917549E7</v>
      </c>
      <c r="K710" s="11">
        <v>28.0</v>
      </c>
      <c r="L710" s="11">
        <v>9.0</v>
      </c>
      <c r="M710" s="237" t="str">
        <f t="shared" si="1"/>
        <v>0291510054917549289</v>
      </c>
      <c r="N710" s="238">
        <v>81026.27</v>
      </c>
      <c r="O710" s="110">
        <v>52817.0</v>
      </c>
      <c r="P710" s="11">
        <v>80.0</v>
      </c>
      <c r="Q710" s="239"/>
      <c r="R710" s="17">
        <v>14.0</v>
      </c>
    </row>
    <row r="711">
      <c r="A711" s="11">
        <v>18.0</v>
      </c>
      <c r="B711" s="11">
        <v>75.0</v>
      </c>
      <c r="C711" s="11">
        <v>2.0</v>
      </c>
      <c r="D711" s="11" t="s">
        <v>39</v>
      </c>
      <c r="E711" s="234">
        <v>55.0</v>
      </c>
      <c r="F711" s="235">
        <v>103.0</v>
      </c>
      <c r="G711" s="235">
        <v>103.0</v>
      </c>
      <c r="H711" s="234">
        <v>55.0</v>
      </c>
      <c r="I711" s="235">
        <v>103.0</v>
      </c>
      <c r="J711" s="236">
        <v>7.4655144E7</v>
      </c>
      <c r="K711" s="11">
        <v>95.0</v>
      </c>
      <c r="L711" s="11">
        <v>6.0</v>
      </c>
      <c r="M711" s="237" t="str">
        <f t="shared" si="1"/>
        <v>0551030074655144956</v>
      </c>
      <c r="N711" s="238">
        <v>-99621.47</v>
      </c>
      <c r="O711" s="110">
        <v>31616.0</v>
      </c>
      <c r="P711" s="11">
        <v>71.0</v>
      </c>
      <c r="Q711" s="239"/>
      <c r="R711" s="17">
        <v>55.0</v>
      </c>
    </row>
    <row r="712">
      <c r="A712" s="11">
        <v>13.0</v>
      </c>
      <c r="B712" s="11">
        <v>14.0</v>
      </c>
      <c r="C712" s="11">
        <v>4.0</v>
      </c>
      <c r="D712" s="11" t="s">
        <v>5271</v>
      </c>
      <c r="E712" s="234">
        <v>1.0</v>
      </c>
      <c r="F712" s="235">
        <v>23.0</v>
      </c>
      <c r="G712" s="235">
        <v>23.0</v>
      </c>
      <c r="H712" s="234">
        <v>1.0</v>
      </c>
      <c r="I712" s="235">
        <v>23.0</v>
      </c>
      <c r="J712" s="236">
        <v>4.7218193E7</v>
      </c>
      <c r="K712" s="11">
        <v>97.0</v>
      </c>
      <c r="L712" s="11">
        <v>2.0</v>
      </c>
      <c r="M712" s="237" t="str">
        <f t="shared" si="1"/>
        <v>010230047218193972</v>
      </c>
      <c r="N712" s="238">
        <v>5322.32</v>
      </c>
      <c r="O712" s="110">
        <v>90117.0</v>
      </c>
      <c r="P712" s="11">
        <v>74.0</v>
      </c>
      <c r="Q712" s="239"/>
      <c r="R712" s="17">
        <v>75.0</v>
      </c>
    </row>
    <row r="713">
      <c r="A713" s="11">
        <v>12.0</v>
      </c>
      <c r="B713" s="11">
        <v>34.0</v>
      </c>
      <c r="C713" s="11">
        <v>3.0</v>
      </c>
      <c r="D713" s="11" t="s">
        <v>5272</v>
      </c>
      <c r="E713" s="234">
        <v>45.0</v>
      </c>
      <c r="F713" s="235">
        <v>79.0</v>
      </c>
      <c r="G713" s="235">
        <v>79.0</v>
      </c>
      <c r="H713" s="234">
        <v>45.0</v>
      </c>
      <c r="I713" s="235">
        <v>79.0</v>
      </c>
      <c r="J713" s="236">
        <v>2.1886415E7</v>
      </c>
      <c r="K713" s="11">
        <v>55.0</v>
      </c>
      <c r="L713" s="11">
        <v>0.0</v>
      </c>
      <c r="M713" s="237" t="str">
        <f t="shared" si="1"/>
        <v>0450790021886415550</v>
      </c>
      <c r="N713" s="238">
        <v>2912.38</v>
      </c>
      <c r="O713" s="110">
        <v>110918.0</v>
      </c>
      <c r="P713" s="11">
        <v>74.0</v>
      </c>
      <c r="Q713" s="239"/>
      <c r="R713" s="17">
        <v>75.0</v>
      </c>
    </row>
    <row r="714">
      <c r="A714" s="11">
        <v>16.0</v>
      </c>
      <c r="B714" s="11">
        <v>75.0</v>
      </c>
      <c r="C714" s="11">
        <v>6.0</v>
      </c>
      <c r="D714" s="11" t="s">
        <v>39</v>
      </c>
      <c r="E714" s="234">
        <v>27.0</v>
      </c>
      <c r="F714" s="235">
        <v>97.0</v>
      </c>
      <c r="G714" s="235">
        <v>97.0</v>
      </c>
      <c r="H714" s="234">
        <v>27.0</v>
      </c>
      <c r="I714" s="235">
        <v>97.0</v>
      </c>
      <c r="J714" s="236">
        <v>4.9988195E7</v>
      </c>
      <c r="K714" s="11">
        <v>22.0</v>
      </c>
      <c r="L714" s="11">
        <v>9.0</v>
      </c>
      <c r="M714" s="237" t="str">
        <f t="shared" si="1"/>
        <v>0270970049988195229</v>
      </c>
      <c r="N714" s="238">
        <v>-27307.66</v>
      </c>
      <c r="O714" s="110">
        <v>53113.0</v>
      </c>
      <c r="P714" s="11">
        <v>78.0</v>
      </c>
      <c r="Q714" s="239"/>
      <c r="R714" s="17">
        <v>14.0</v>
      </c>
    </row>
    <row r="715">
      <c r="A715" s="11">
        <v>17.0</v>
      </c>
      <c r="B715" s="11">
        <v>75.0</v>
      </c>
      <c r="C715" s="11">
        <v>3.0</v>
      </c>
      <c r="D715" s="11" t="s">
        <v>39</v>
      </c>
      <c r="E715" s="234">
        <v>46.0</v>
      </c>
      <c r="F715" s="235">
        <v>123.0</v>
      </c>
      <c r="G715" s="235">
        <v>123.0</v>
      </c>
      <c r="H715" s="234">
        <v>46.0</v>
      </c>
      <c r="I715" s="235">
        <v>123.0</v>
      </c>
      <c r="J715" s="236">
        <v>3.8773921E7</v>
      </c>
      <c r="K715" s="11">
        <v>86.0</v>
      </c>
      <c r="L715" s="11">
        <v>7.0</v>
      </c>
      <c r="M715" s="237" t="str">
        <f t="shared" si="1"/>
        <v>0461230038773921867</v>
      </c>
      <c r="N715" s="238">
        <v>-31091.24</v>
      </c>
      <c r="O715" s="110">
        <v>112318.0</v>
      </c>
      <c r="P715" s="11">
        <v>73.0</v>
      </c>
      <c r="Q715" s="239"/>
      <c r="R715" s="17">
        <v>55.0</v>
      </c>
    </row>
    <row r="716">
      <c r="A716" s="11">
        <v>14.0</v>
      </c>
      <c r="B716" s="11">
        <v>55.0</v>
      </c>
      <c r="C716" s="11">
        <v>3.0</v>
      </c>
      <c r="D716" s="11" t="s">
        <v>5273</v>
      </c>
      <c r="E716" s="234">
        <v>22.0</v>
      </c>
      <c r="F716" s="235">
        <v>71.0</v>
      </c>
      <c r="G716" s="235">
        <v>71.0</v>
      </c>
      <c r="H716" s="234">
        <v>22.0</v>
      </c>
      <c r="I716" s="235">
        <v>71.0</v>
      </c>
      <c r="J716" s="236">
        <v>3.3424426E7</v>
      </c>
      <c r="K716" s="11">
        <v>47.0</v>
      </c>
      <c r="L716" s="11">
        <v>9.0</v>
      </c>
      <c r="M716" s="237" t="str">
        <f t="shared" si="1"/>
        <v>0220710033424426479</v>
      </c>
      <c r="N716" s="238">
        <v>59224.23</v>
      </c>
      <c r="O716" s="110">
        <v>50420.0</v>
      </c>
      <c r="P716" s="11">
        <v>75.0</v>
      </c>
      <c r="Q716" s="239"/>
      <c r="R716" s="17">
        <v>75.0</v>
      </c>
    </row>
    <row r="717">
      <c r="A717" s="11">
        <v>16.0</v>
      </c>
      <c r="B717" s="11">
        <v>75.0</v>
      </c>
      <c r="C717" s="11">
        <v>8.0</v>
      </c>
      <c r="D717" s="11" t="s">
        <v>29</v>
      </c>
      <c r="E717" s="234">
        <v>37.0</v>
      </c>
      <c r="F717" s="235">
        <v>171.0</v>
      </c>
      <c r="G717" s="235">
        <v>171.0</v>
      </c>
      <c r="H717" s="234">
        <v>37.0</v>
      </c>
      <c r="I717" s="235">
        <v>171.0</v>
      </c>
      <c r="J717" s="236">
        <v>8.9789675E7</v>
      </c>
      <c r="K717" s="11">
        <v>6.0</v>
      </c>
      <c r="L717" s="11">
        <v>2.0</v>
      </c>
      <c r="M717" s="237" t="str">
        <f t="shared" si="1"/>
        <v>037171008978967562</v>
      </c>
      <c r="N717" s="238">
        <v>-54094.16</v>
      </c>
      <c r="O717" s="110">
        <v>120815.0</v>
      </c>
      <c r="P717" s="11">
        <v>80.0</v>
      </c>
      <c r="Q717" s="239"/>
      <c r="R717" s="17">
        <v>55.0</v>
      </c>
    </row>
    <row r="718">
      <c r="A718" s="11">
        <v>15.0</v>
      </c>
      <c r="B718" s="11">
        <v>75.0</v>
      </c>
      <c r="C718" s="11">
        <v>1.0</v>
      </c>
      <c r="D718" s="11" t="s">
        <v>39</v>
      </c>
      <c r="E718" s="234">
        <v>30.0</v>
      </c>
      <c r="F718" s="235">
        <v>49.0</v>
      </c>
      <c r="G718" s="235">
        <v>49.0</v>
      </c>
      <c r="H718" s="234">
        <v>30.0</v>
      </c>
      <c r="I718" s="235">
        <v>49.0</v>
      </c>
      <c r="J718" s="236">
        <v>6.0056237E7</v>
      </c>
      <c r="K718" s="11">
        <v>38.0</v>
      </c>
      <c r="L718" s="11">
        <v>1.0</v>
      </c>
      <c r="M718" s="237" t="str">
        <f t="shared" si="1"/>
        <v>0300490060056237381</v>
      </c>
      <c r="N718" s="238">
        <v>42040.75</v>
      </c>
      <c r="O718" s="110">
        <v>93019.0</v>
      </c>
      <c r="P718" s="11">
        <v>76.0</v>
      </c>
      <c r="Q718" s="239"/>
      <c r="R718" s="17">
        <v>75.0</v>
      </c>
    </row>
    <row r="719">
      <c r="A719" s="11">
        <v>18.0</v>
      </c>
      <c r="B719" s="11">
        <v>96.0</v>
      </c>
      <c r="C719" s="11">
        <v>6.0</v>
      </c>
      <c r="D719" s="11" t="s">
        <v>5271</v>
      </c>
      <c r="E719" s="234">
        <v>20.0</v>
      </c>
      <c r="F719" s="235">
        <v>185.0</v>
      </c>
      <c r="G719" s="235">
        <v>185.0</v>
      </c>
      <c r="H719" s="234">
        <v>20.0</v>
      </c>
      <c r="I719" s="235">
        <v>185.0</v>
      </c>
      <c r="J719" s="236">
        <v>5.8453434E7</v>
      </c>
      <c r="K719" s="11">
        <v>65.0</v>
      </c>
      <c r="L719" s="11">
        <v>9.0</v>
      </c>
      <c r="M719" s="237" t="str">
        <f t="shared" si="1"/>
        <v>0201850058453434659</v>
      </c>
      <c r="N719" s="238">
        <v>87533.49</v>
      </c>
      <c r="O719" s="110">
        <v>122321.0</v>
      </c>
      <c r="P719" s="11">
        <v>78.0</v>
      </c>
      <c r="Q719" s="239"/>
      <c r="R719" s="17">
        <v>14.0</v>
      </c>
    </row>
    <row r="720">
      <c r="A720" s="11">
        <v>17.0</v>
      </c>
      <c r="B720" s="11">
        <v>96.0</v>
      </c>
      <c r="C720" s="11">
        <v>8.0</v>
      </c>
      <c r="D720" s="11" t="s">
        <v>5271</v>
      </c>
      <c r="E720" s="234">
        <v>33.0</v>
      </c>
      <c r="F720" s="235">
        <v>3.0</v>
      </c>
      <c r="G720" s="235">
        <v>3.0</v>
      </c>
      <c r="H720" s="234">
        <v>33.0</v>
      </c>
      <c r="I720" s="235">
        <v>3.0</v>
      </c>
      <c r="J720" s="236">
        <v>5.3035618E7</v>
      </c>
      <c r="K720" s="11">
        <v>59.0</v>
      </c>
      <c r="L720" s="11">
        <v>8.0</v>
      </c>
      <c r="M720" s="237" t="str">
        <f t="shared" si="1"/>
        <v>0330030053035618598</v>
      </c>
      <c r="N720" s="238">
        <v>15783.78</v>
      </c>
      <c r="O720" s="110">
        <v>120321.0</v>
      </c>
      <c r="P720" s="11">
        <v>76.0</v>
      </c>
      <c r="Q720" s="239"/>
      <c r="R720" s="17">
        <v>96.0</v>
      </c>
    </row>
    <row r="721">
      <c r="A721" s="11">
        <v>19.0</v>
      </c>
      <c r="B721" s="11">
        <v>14.0</v>
      </c>
      <c r="C721" s="11">
        <v>2.0</v>
      </c>
      <c r="D721" s="11" t="s">
        <v>31</v>
      </c>
      <c r="E721" s="234">
        <v>29.0</v>
      </c>
      <c r="F721" s="235">
        <v>1.0</v>
      </c>
      <c r="G721" s="235">
        <v>1.0</v>
      </c>
      <c r="H721" s="234">
        <v>29.0</v>
      </c>
      <c r="I721" s="235">
        <v>1.0</v>
      </c>
      <c r="J721" s="236">
        <v>3.9973537E7</v>
      </c>
      <c r="K721" s="11">
        <v>34.0</v>
      </c>
      <c r="L721" s="11">
        <v>9.0</v>
      </c>
      <c r="M721" s="237" t="str">
        <f t="shared" si="1"/>
        <v>0290010039973537349</v>
      </c>
      <c r="N721" s="238">
        <v>33024.49</v>
      </c>
      <c r="O721" s="110">
        <v>110713.0</v>
      </c>
      <c r="P721" s="11">
        <v>74.0</v>
      </c>
      <c r="Q721" s="239"/>
      <c r="R721" s="17">
        <v>75.0</v>
      </c>
    </row>
    <row r="722">
      <c r="A722" s="11">
        <v>11.0</v>
      </c>
      <c r="B722" s="11">
        <v>96.0</v>
      </c>
      <c r="C722" s="11">
        <v>9.0</v>
      </c>
      <c r="D722" s="11" t="s">
        <v>5272</v>
      </c>
      <c r="E722" s="234">
        <v>6.0</v>
      </c>
      <c r="F722" s="235">
        <v>93.0</v>
      </c>
      <c r="G722" s="235">
        <v>93.0</v>
      </c>
      <c r="H722" s="234">
        <v>6.0</v>
      </c>
      <c r="I722" s="235">
        <v>93.0</v>
      </c>
      <c r="J722" s="236">
        <v>8.8697332E7</v>
      </c>
      <c r="K722" s="11">
        <v>32.0</v>
      </c>
      <c r="L722" s="11">
        <v>5.0</v>
      </c>
      <c r="M722" s="237" t="str">
        <f t="shared" si="1"/>
        <v>060930088697332325</v>
      </c>
      <c r="N722" s="238">
        <v>13089.94</v>
      </c>
      <c r="O722" s="110">
        <v>50118.0</v>
      </c>
      <c r="P722" s="11">
        <v>76.0</v>
      </c>
      <c r="Q722" s="239"/>
      <c r="R722" s="17">
        <v>35.0</v>
      </c>
    </row>
    <row r="723">
      <c r="A723" s="11">
        <v>11.0</v>
      </c>
      <c r="B723" s="11">
        <v>55.0</v>
      </c>
      <c r="C723" s="11">
        <v>1.0</v>
      </c>
      <c r="D723" s="11" t="s">
        <v>39</v>
      </c>
      <c r="E723" s="234">
        <v>12.0</v>
      </c>
      <c r="F723" s="235">
        <v>31.0</v>
      </c>
      <c r="G723" s="235">
        <v>31.0</v>
      </c>
      <c r="H723" s="234">
        <v>12.0</v>
      </c>
      <c r="I723" s="235">
        <v>31.0</v>
      </c>
      <c r="J723" s="236">
        <v>9.7889194E7</v>
      </c>
      <c r="K723" s="11">
        <v>76.0</v>
      </c>
      <c r="L723" s="11">
        <v>3.0</v>
      </c>
      <c r="M723" s="237" t="str">
        <f t="shared" si="1"/>
        <v>0120310097889194763</v>
      </c>
      <c r="N723" s="238">
        <v>89154.82</v>
      </c>
      <c r="O723" s="110">
        <v>112417.0</v>
      </c>
      <c r="P723" s="11">
        <v>71.0</v>
      </c>
      <c r="Q723" s="239"/>
      <c r="R723" s="17">
        <v>55.0</v>
      </c>
    </row>
    <row r="724">
      <c r="A724" s="11">
        <v>17.0</v>
      </c>
      <c r="B724" s="11">
        <v>14.0</v>
      </c>
      <c r="C724" s="11">
        <v>2.0</v>
      </c>
      <c r="D724" s="11" t="s">
        <v>39</v>
      </c>
      <c r="E724" s="234">
        <v>26.0</v>
      </c>
      <c r="F724" s="235">
        <v>23.0</v>
      </c>
      <c r="G724" s="235">
        <v>23.0</v>
      </c>
      <c r="H724" s="234">
        <v>26.0</v>
      </c>
      <c r="I724" s="235">
        <v>23.0</v>
      </c>
      <c r="J724" s="236">
        <v>3.3216617E7</v>
      </c>
      <c r="K724" s="11">
        <v>72.0</v>
      </c>
      <c r="L724" s="11">
        <v>7.0</v>
      </c>
      <c r="M724" s="237" t="str">
        <f t="shared" si="1"/>
        <v>0260230033216617727</v>
      </c>
      <c r="N724" s="238">
        <v>47879.67</v>
      </c>
      <c r="O724" s="110">
        <v>61816.0</v>
      </c>
      <c r="P724" s="11">
        <v>78.0</v>
      </c>
      <c r="Q724" s="239"/>
      <c r="R724" s="17">
        <v>96.0</v>
      </c>
    </row>
    <row r="725">
      <c r="A725" s="11">
        <v>19.0</v>
      </c>
      <c r="B725" s="11">
        <v>96.0</v>
      </c>
      <c r="C725" s="11">
        <v>6.0</v>
      </c>
      <c r="D725" s="11" t="s">
        <v>29</v>
      </c>
      <c r="E725" s="234">
        <v>46.0</v>
      </c>
      <c r="F725" s="235">
        <v>17.0</v>
      </c>
      <c r="G725" s="235">
        <v>17.0</v>
      </c>
      <c r="H725" s="234">
        <v>46.0</v>
      </c>
      <c r="I725" s="235">
        <v>17.0</v>
      </c>
      <c r="J725" s="236">
        <v>1.486156E7</v>
      </c>
      <c r="K725" s="11">
        <v>55.0</v>
      </c>
      <c r="L725" s="11">
        <v>8.0</v>
      </c>
      <c r="M725" s="237" t="str">
        <f t="shared" si="1"/>
        <v>0460170014861560558</v>
      </c>
      <c r="N725" s="238">
        <v>-40378.63</v>
      </c>
      <c r="O725" s="110">
        <v>122823.0</v>
      </c>
      <c r="P725" s="11">
        <v>70.0</v>
      </c>
      <c r="Q725" s="239"/>
      <c r="R725" s="17">
        <v>14.0</v>
      </c>
    </row>
    <row r="726">
      <c r="A726" s="11">
        <v>17.0</v>
      </c>
      <c r="B726" s="11">
        <v>55.0</v>
      </c>
      <c r="C726" s="11">
        <v>7.0</v>
      </c>
      <c r="D726" s="11" t="s">
        <v>5273</v>
      </c>
      <c r="E726" s="234">
        <v>20.0</v>
      </c>
      <c r="F726" s="235">
        <v>17.0</v>
      </c>
      <c r="G726" s="235">
        <v>17.0</v>
      </c>
      <c r="H726" s="234">
        <v>20.0</v>
      </c>
      <c r="I726" s="235">
        <v>17.0</v>
      </c>
      <c r="J726" s="236">
        <v>3.6606107E7</v>
      </c>
      <c r="K726" s="11">
        <v>99.0</v>
      </c>
      <c r="L726" s="11">
        <v>1.0</v>
      </c>
      <c r="M726" s="237" t="str">
        <f t="shared" si="1"/>
        <v>0200170036606107991</v>
      </c>
      <c r="N726" s="238">
        <v>-66709.45</v>
      </c>
      <c r="O726" s="110">
        <v>91213.0</v>
      </c>
      <c r="P726" s="11">
        <v>77.0</v>
      </c>
      <c r="Q726" s="239"/>
      <c r="R726" s="17">
        <v>55.0</v>
      </c>
    </row>
    <row r="727">
      <c r="A727" s="11">
        <v>13.0</v>
      </c>
      <c r="B727" s="11">
        <v>96.0</v>
      </c>
      <c r="C727" s="11">
        <v>2.0</v>
      </c>
      <c r="D727" s="11" t="s">
        <v>31</v>
      </c>
      <c r="E727" s="234">
        <v>19.0</v>
      </c>
      <c r="F727" s="235">
        <v>149.0</v>
      </c>
      <c r="G727" s="235">
        <v>149.0</v>
      </c>
      <c r="H727" s="234">
        <v>19.0</v>
      </c>
      <c r="I727" s="235">
        <v>149.0</v>
      </c>
      <c r="J727" s="236">
        <v>3.4168431E7</v>
      </c>
      <c r="K727" s="11">
        <v>71.0</v>
      </c>
      <c r="L727" s="11">
        <v>0.0</v>
      </c>
      <c r="M727" s="237" t="str">
        <f t="shared" si="1"/>
        <v>0191490034168431710</v>
      </c>
      <c r="N727" s="238">
        <v>-67510.99</v>
      </c>
      <c r="O727" s="110">
        <v>91420.0</v>
      </c>
      <c r="P727" s="11">
        <v>73.0</v>
      </c>
      <c r="Q727" s="239"/>
      <c r="R727" s="17">
        <v>76.0</v>
      </c>
    </row>
    <row r="728">
      <c r="A728" s="11">
        <v>13.0</v>
      </c>
      <c r="B728" s="11">
        <v>35.0</v>
      </c>
      <c r="C728" s="11">
        <v>1.0</v>
      </c>
      <c r="D728" s="11" t="s">
        <v>5272</v>
      </c>
      <c r="E728" s="234">
        <v>27.0</v>
      </c>
      <c r="F728" s="235">
        <v>129.0</v>
      </c>
      <c r="G728" s="235">
        <v>129.0</v>
      </c>
      <c r="H728" s="234">
        <v>27.0</v>
      </c>
      <c r="I728" s="235">
        <v>129.0</v>
      </c>
      <c r="J728" s="236">
        <v>8.2691513E7</v>
      </c>
      <c r="K728" s="11">
        <v>2.0</v>
      </c>
      <c r="L728" s="11">
        <v>8.0</v>
      </c>
      <c r="M728" s="237" t="str">
        <f t="shared" si="1"/>
        <v>027129008269151328</v>
      </c>
      <c r="N728" s="238">
        <v>-74807.19</v>
      </c>
      <c r="O728" s="110">
        <v>41315.0</v>
      </c>
      <c r="P728" s="11">
        <v>76.0</v>
      </c>
      <c r="Q728" s="239"/>
      <c r="R728" s="17">
        <v>76.0</v>
      </c>
    </row>
    <row r="729">
      <c r="A729" s="11">
        <v>16.0</v>
      </c>
      <c r="B729" s="11">
        <v>35.0</v>
      </c>
      <c r="C729" s="11">
        <v>5.0</v>
      </c>
      <c r="D729" s="11" t="s">
        <v>29</v>
      </c>
      <c r="E729" s="234">
        <v>24.0</v>
      </c>
      <c r="F729" s="235">
        <v>5.0</v>
      </c>
      <c r="G729" s="235">
        <v>5.0</v>
      </c>
      <c r="H729" s="234">
        <v>24.0</v>
      </c>
      <c r="I729" s="235">
        <v>5.0</v>
      </c>
      <c r="J729" s="236">
        <v>6.1905259E7</v>
      </c>
      <c r="K729" s="11">
        <v>77.0</v>
      </c>
      <c r="L729" s="11">
        <v>9.0</v>
      </c>
      <c r="M729" s="237" t="str">
        <f t="shared" si="1"/>
        <v>0240050061905259779</v>
      </c>
      <c r="N729" s="238">
        <v>69338.91</v>
      </c>
      <c r="O729" s="110">
        <v>22523.0</v>
      </c>
      <c r="P729" s="11">
        <v>74.0</v>
      </c>
      <c r="Q729" s="239"/>
      <c r="R729" s="17">
        <v>35.0</v>
      </c>
    </row>
    <row r="730">
      <c r="A730" s="11">
        <v>20.0</v>
      </c>
      <c r="B730" s="11">
        <v>96.0</v>
      </c>
      <c r="C730" s="11">
        <v>5.0</v>
      </c>
      <c r="D730" s="11" t="s">
        <v>29</v>
      </c>
      <c r="E730" s="234">
        <v>18.0</v>
      </c>
      <c r="F730" s="235">
        <v>125.0</v>
      </c>
      <c r="G730" s="235">
        <v>125.0</v>
      </c>
      <c r="H730" s="234">
        <v>18.0</v>
      </c>
      <c r="I730" s="235">
        <v>125.0</v>
      </c>
      <c r="J730" s="236">
        <v>1.06421E7</v>
      </c>
      <c r="K730" s="11">
        <v>26.0</v>
      </c>
      <c r="L730" s="11">
        <v>5.0</v>
      </c>
      <c r="M730" s="237" t="str">
        <f t="shared" si="1"/>
        <v>0181250010642100265</v>
      </c>
      <c r="N730" s="238">
        <v>33515.02</v>
      </c>
      <c r="O730" s="110">
        <v>51523.0</v>
      </c>
      <c r="P730" s="11">
        <v>77.0</v>
      </c>
      <c r="Q730" s="239"/>
      <c r="R730" s="17">
        <v>55.0</v>
      </c>
    </row>
    <row r="731">
      <c r="A731" s="11">
        <v>10.0</v>
      </c>
      <c r="B731" s="11">
        <v>76.0</v>
      </c>
      <c r="C731" s="11">
        <v>7.0</v>
      </c>
      <c r="D731" s="11" t="s">
        <v>31</v>
      </c>
      <c r="E731" s="234">
        <v>20.0</v>
      </c>
      <c r="F731" s="235">
        <v>99.0</v>
      </c>
      <c r="G731" s="235">
        <v>99.0</v>
      </c>
      <c r="H731" s="234">
        <v>20.0</v>
      </c>
      <c r="I731" s="235">
        <v>99.0</v>
      </c>
      <c r="J731" s="236">
        <v>3.5201287E7</v>
      </c>
      <c r="K731" s="11">
        <v>39.0</v>
      </c>
      <c r="L731" s="11">
        <v>6.0</v>
      </c>
      <c r="M731" s="237" t="str">
        <f t="shared" si="1"/>
        <v>0200990035201287396</v>
      </c>
      <c r="N731" s="238">
        <v>69204.8</v>
      </c>
      <c r="O731" s="110">
        <v>20615.0</v>
      </c>
      <c r="P731" s="11">
        <v>70.0</v>
      </c>
      <c r="Q731" s="239"/>
      <c r="R731" s="17">
        <v>35.0</v>
      </c>
    </row>
    <row r="732">
      <c r="A732" s="11">
        <v>13.0</v>
      </c>
      <c r="B732" s="11">
        <v>55.0</v>
      </c>
      <c r="C732" s="11">
        <v>3.0</v>
      </c>
      <c r="D732" s="11" t="s">
        <v>5273</v>
      </c>
      <c r="E732" s="234">
        <v>13.0</v>
      </c>
      <c r="F732" s="235">
        <v>49.0</v>
      </c>
      <c r="G732" s="235">
        <v>49.0</v>
      </c>
      <c r="H732" s="234">
        <v>13.0</v>
      </c>
      <c r="I732" s="235">
        <v>49.0</v>
      </c>
      <c r="J732" s="236">
        <v>4.8669111E7</v>
      </c>
      <c r="K732" s="11">
        <v>1.0</v>
      </c>
      <c r="L732" s="11">
        <v>3.0</v>
      </c>
      <c r="M732" s="237" t="str">
        <f t="shared" si="1"/>
        <v>013049004866911113</v>
      </c>
      <c r="N732" s="238">
        <v>4803.15</v>
      </c>
      <c r="O732" s="110">
        <v>61917.0</v>
      </c>
      <c r="P732" s="11">
        <v>73.0</v>
      </c>
      <c r="Q732" s="239"/>
      <c r="R732" s="17">
        <v>55.0</v>
      </c>
    </row>
    <row r="733">
      <c r="A733" s="11">
        <v>17.0</v>
      </c>
      <c r="B733" s="11">
        <v>35.0</v>
      </c>
      <c r="C733" s="11">
        <v>4.0</v>
      </c>
      <c r="D733" s="11" t="s">
        <v>5273</v>
      </c>
      <c r="E733" s="234">
        <v>17.0</v>
      </c>
      <c r="F733" s="235">
        <v>163.0</v>
      </c>
      <c r="G733" s="235">
        <v>163.0</v>
      </c>
      <c r="H733" s="234">
        <v>17.0</v>
      </c>
      <c r="I733" s="235">
        <v>163.0</v>
      </c>
      <c r="J733" s="236">
        <v>4.0457561E7</v>
      </c>
      <c r="K733" s="11">
        <v>75.0</v>
      </c>
      <c r="L733" s="11">
        <v>0.0</v>
      </c>
      <c r="M733" s="237" t="str">
        <f t="shared" si="1"/>
        <v>0171630040457561750</v>
      </c>
      <c r="N733" s="238">
        <v>23380.91</v>
      </c>
      <c r="O733" s="110">
        <v>42320.0</v>
      </c>
      <c r="P733" s="11">
        <v>73.0</v>
      </c>
      <c r="Q733" s="239"/>
      <c r="R733" s="17">
        <v>14.0</v>
      </c>
    </row>
    <row r="734">
      <c r="A734" s="11">
        <v>19.0</v>
      </c>
      <c r="B734" s="11">
        <v>96.0</v>
      </c>
      <c r="C734" s="11">
        <v>9.0</v>
      </c>
      <c r="D734" s="11" t="s">
        <v>29</v>
      </c>
      <c r="E734" s="234">
        <v>51.0</v>
      </c>
      <c r="F734" s="235">
        <v>31.0</v>
      </c>
      <c r="G734" s="235">
        <v>31.0</v>
      </c>
      <c r="H734" s="234">
        <v>51.0</v>
      </c>
      <c r="I734" s="235">
        <v>31.0</v>
      </c>
      <c r="J734" s="236">
        <v>1.2218461E7</v>
      </c>
      <c r="K734" s="11">
        <v>1.0</v>
      </c>
      <c r="L734" s="11">
        <v>8.0</v>
      </c>
      <c r="M734" s="237" t="str">
        <f t="shared" si="1"/>
        <v>051031001221846118</v>
      </c>
      <c r="N734" s="238">
        <v>-62293.19</v>
      </c>
      <c r="O734" s="110">
        <v>11922.0</v>
      </c>
      <c r="P734" s="11">
        <v>71.0</v>
      </c>
      <c r="Q734" s="239"/>
      <c r="R734" s="17">
        <v>14.0</v>
      </c>
    </row>
    <row r="735">
      <c r="A735" s="11">
        <v>16.0</v>
      </c>
      <c r="B735" s="11">
        <v>55.0</v>
      </c>
      <c r="C735" s="11">
        <v>5.0</v>
      </c>
      <c r="D735" s="11" t="s">
        <v>31</v>
      </c>
      <c r="E735" s="234">
        <v>26.0</v>
      </c>
      <c r="F735" s="235">
        <v>113.0</v>
      </c>
      <c r="G735" s="235">
        <v>113.0</v>
      </c>
      <c r="H735" s="234">
        <v>26.0</v>
      </c>
      <c r="I735" s="235">
        <v>113.0</v>
      </c>
      <c r="J735" s="236">
        <v>5.6618755E7</v>
      </c>
      <c r="K735" s="11">
        <v>91.0</v>
      </c>
      <c r="L735" s="11">
        <v>7.0</v>
      </c>
      <c r="M735" s="237" t="str">
        <f t="shared" si="1"/>
        <v>0261130056618755917</v>
      </c>
      <c r="N735" s="238">
        <v>79090.91</v>
      </c>
      <c r="O735" s="110">
        <v>31721.0</v>
      </c>
      <c r="P735" s="11">
        <v>76.0</v>
      </c>
      <c r="Q735" s="239"/>
      <c r="R735" s="17">
        <v>76.0</v>
      </c>
    </row>
    <row r="736">
      <c r="A736" s="11">
        <v>15.0</v>
      </c>
      <c r="B736" s="11">
        <v>55.0</v>
      </c>
      <c r="C736" s="11">
        <v>9.0</v>
      </c>
      <c r="D736" s="11" t="s">
        <v>29</v>
      </c>
      <c r="E736" s="234">
        <v>21.0</v>
      </c>
      <c r="F736" s="235">
        <v>69.0</v>
      </c>
      <c r="G736" s="235">
        <v>69.0</v>
      </c>
      <c r="H736" s="234">
        <v>21.0</v>
      </c>
      <c r="I736" s="235">
        <v>69.0</v>
      </c>
      <c r="J736" s="236">
        <v>5.4688997E7</v>
      </c>
      <c r="K736" s="11">
        <v>16.0</v>
      </c>
      <c r="L736" s="11">
        <v>2.0</v>
      </c>
      <c r="M736" s="237" t="str">
        <f t="shared" si="1"/>
        <v>0210690054688997162</v>
      </c>
      <c r="N736" s="238">
        <v>20491.16</v>
      </c>
      <c r="O736" s="110">
        <v>22417.0</v>
      </c>
      <c r="P736" s="11">
        <v>75.0</v>
      </c>
      <c r="Q736" s="239"/>
      <c r="R736" s="17">
        <v>96.0</v>
      </c>
    </row>
    <row r="737">
      <c r="A737" s="11">
        <v>13.0</v>
      </c>
      <c r="B737" s="11">
        <v>35.0</v>
      </c>
      <c r="C737" s="11">
        <v>5.0</v>
      </c>
      <c r="D737" s="11" t="s">
        <v>5273</v>
      </c>
      <c r="E737" s="234">
        <v>28.0</v>
      </c>
      <c r="F737" s="235">
        <v>27.0</v>
      </c>
      <c r="G737" s="235">
        <v>27.0</v>
      </c>
      <c r="H737" s="234">
        <v>28.0</v>
      </c>
      <c r="I737" s="235">
        <v>27.0</v>
      </c>
      <c r="J737" s="236">
        <v>4.882389E7</v>
      </c>
      <c r="K737" s="11">
        <v>96.0</v>
      </c>
      <c r="L737" s="11">
        <v>5.0</v>
      </c>
      <c r="M737" s="237" t="str">
        <f t="shared" si="1"/>
        <v>0280270048823890965</v>
      </c>
      <c r="N737" s="238">
        <v>-36319.71</v>
      </c>
      <c r="O737" s="110">
        <v>32920.0</v>
      </c>
      <c r="P737" s="11">
        <v>77.0</v>
      </c>
      <c r="Q737" s="239"/>
      <c r="R737" s="17">
        <v>14.0</v>
      </c>
    </row>
    <row r="738">
      <c r="A738" s="11">
        <v>11.0</v>
      </c>
      <c r="B738" s="11">
        <v>35.0</v>
      </c>
      <c r="C738" s="11">
        <v>4.0</v>
      </c>
      <c r="D738" s="11" t="s">
        <v>5272</v>
      </c>
      <c r="E738" s="234">
        <v>34.0</v>
      </c>
      <c r="F738" s="235">
        <v>23.0</v>
      </c>
      <c r="G738" s="235">
        <v>23.0</v>
      </c>
      <c r="H738" s="234">
        <v>34.0</v>
      </c>
      <c r="I738" s="235">
        <v>23.0</v>
      </c>
      <c r="J738" s="236">
        <v>7.2312159E7</v>
      </c>
      <c r="K738" s="11">
        <v>86.0</v>
      </c>
      <c r="L738" s="11">
        <v>8.0</v>
      </c>
      <c r="M738" s="237" t="str">
        <f t="shared" si="1"/>
        <v>0340230072312159868</v>
      </c>
      <c r="N738" s="238">
        <v>-33736.94</v>
      </c>
      <c r="O738" s="110">
        <v>60821.0</v>
      </c>
      <c r="P738" s="11">
        <v>70.0</v>
      </c>
      <c r="Q738" s="239"/>
      <c r="R738" s="17">
        <v>76.0</v>
      </c>
    </row>
    <row r="739">
      <c r="A739" s="11">
        <v>19.0</v>
      </c>
      <c r="B739" s="11">
        <v>76.0</v>
      </c>
      <c r="C739" s="11">
        <v>3.0</v>
      </c>
      <c r="D739" s="11" t="s">
        <v>5271</v>
      </c>
      <c r="E739" s="234">
        <v>18.0</v>
      </c>
      <c r="F739" s="235">
        <v>105.0</v>
      </c>
      <c r="G739" s="235">
        <v>105.0</v>
      </c>
      <c r="H739" s="234">
        <v>18.0</v>
      </c>
      <c r="I739" s="235">
        <v>105.0</v>
      </c>
      <c r="J739" s="236">
        <v>4.1897458E7</v>
      </c>
      <c r="K739" s="11">
        <v>72.0</v>
      </c>
      <c r="L739" s="11">
        <v>3.0</v>
      </c>
      <c r="M739" s="237" t="str">
        <f t="shared" si="1"/>
        <v>0181050041897458723</v>
      </c>
      <c r="N739" s="238">
        <v>-75263.92</v>
      </c>
      <c r="O739" s="110">
        <v>50322.0</v>
      </c>
      <c r="P739" s="11">
        <v>78.0</v>
      </c>
      <c r="Q739" s="239"/>
      <c r="R739" s="17">
        <v>35.0</v>
      </c>
    </row>
    <row r="740">
      <c r="A740" s="11">
        <v>18.0</v>
      </c>
      <c r="B740" s="11">
        <v>35.0</v>
      </c>
      <c r="C740" s="11">
        <v>4.0</v>
      </c>
      <c r="D740" s="11" t="s">
        <v>39</v>
      </c>
      <c r="E740" s="234">
        <v>13.0</v>
      </c>
      <c r="F740" s="235">
        <v>191.0</v>
      </c>
      <c r="G740" s="235">
        <v>191.0</v>
      </c>
      <c r="H740" s="234">
        <v>13.0</v>
      </c>
      <c r="I740" s="235">
        <v>191.0</v>
      </c>
      <c r="J740" s="236">
        <v>6.4941812E7</v>
      </c>
      <c r="K740" s="11">
        <v>78.0</v>
      </c>
      <c r="L740" s="11">
        <v>6.0</v>
      </c>
      <c r="M740" s="237" t="str">
        <f t="shared" si="1"/>
        <v>0131910064941812786</v>
      </c>
      <c r="N740" s="238">
        <v>-52032.16</v>
      </c>
      <c r="O740" s="110">
        <v>42415.0</v>
      </c>
      <c r="P740" s="11">
        <v>79.0</v>
      </c>
      <c r="Q740" s="239"/>
      <c r="R740" s="17">
        <v>14.0</v>
      </c>
    </row>
    <row r="741">
      <c r="A741" s="11">
        <v>15.0</v>
      </c>
      <c r="B741" s="11">
        <v>14.0</v>
      </c>
      <c r="C741" s="11">
        <v>5.0</v>
      </c>
      <c r="D741" s="11" t="s">
        <v>5273</v>
      </c>
      <c r="E741" s="234">
        <v>18.0</v>
      </c>
      <c r="F741" s="235">
        <v>141.0</v>
      </c>
      <c r="G741" s="235">
        <v>141.0</v>
      </c>
      <c r="H741" s="234">
        <v>18.0</v>
      </c>
      <c r="I741" s="235">
        <v>141.0</v>
      </c>
      <c r="J741" s="236">
        <v>5.9665777E7</v>
      </c>
      <c r="K741" s="11">
        <v>26.0</v>
      </c>
      <c r="L741" s="11">
        <v>0.0</v>
      </c>
      <c r="M741" s="237" t="str">
        <f t="shared" si="1"/>
        <v>0181410059665777260</v>
      </c>
      <c r="N741" s="238">
        <v>67689.07</v>
      </c>
      <c r="O741" s="110">
        <v>111516.0</v>
      </c>
      <c r="P741" s="11">
        <v>79.0</v>
      </c>
      <c r="Q741" s="239"/>
      <c r="R741" s="17">
        <v>96.0</v>
      </c>
    </row>
    <row r="742">
      <c r="A742" s="11">
        <v>15.0</v>
      </c>
      <c r="B742" s="11">
        <v>55.0</v>
      </c>
      <c r="C742" s="11">
        <v>2.0</v>
      </c>
      <c r="D742" s="11" t="s">
        <v>5272</v>
      </c>
      <c r="E742" s="234">
        <v>1.0</v>
      </c>
      <c r="F742" s="235">
        <v>35.0</v>
      </c>
      <c r="G742" s="235">
        <v>35.0</v>
      </c>
      <c r="H742" s="234">
        <v>1.0</v>
      </c>
      <c r="I742" s="235">
        <v>35.0</v>
      </c>
      <c r="J742" s="236">
        <v>6.3394952E7</v>
      </c>
      <c r="K742" s="11">
        <v>89.0</v>
      </c>
      <c r="L742" s="11">
        <v>3.0</v>
      </c>
      <c r="M742" s="237" t="str">
        <f t="shared" si="1"/>
        <v>010350063394952893</v>
      </c>
      <c r="N742" s="238">
        <v>68709.31</v>
      </c>
      <c r="O742" s="110">
        <v>40313.0</v>
      </c>
      <c r="P742" s="11">
        <v>79.0</v>
      </c>
      <c r="Q742" s="239"/>
      <c r="R742" s="17">
        <v>35.0</v>
      </c>
    </row>
    <row r="743">
      <c r="A743" s="11">
        <v>15.0</v>
      </c>
      <c r="B743" s="11">
        <v>76.0</v>
      </c>
      <c r="C743" s="11">
        <v>7.0</v>
      </c>
      <c r="D743" s="11" t="s">
        <v>29</v>
      </c>
      <c r="E743" s="234">
        <v>37.0</v>
      </c>
      <c r="F743" s="235">
        <v>145.0</v>
      </c>
      <c r="G743" s="235">
        <v>145.0</v>
      </c>
      <c r="H743" s="234">
        <v>37.0</v>
      </c>
      <c r="I743" s="235">
        <v>145.0</v>
      </c>
      <c r="J743" s="236">
        <v>1.3747808E7</v>
      </c>
      <c r="K743" s="11">
        <v>85.0</v>
      </c>
      <c r="L743" s="11">
        <v>9.0</v>
      </c>
      <c r="M743" s="237" t="str">
        <f t="shared" si="1"/>
        <v>0371450013747808859</v>
      </c>
      <c r="N743" s="238">
        <v>44614.66</v>
      </c>
      <c r="O743" s="110">
        <v>42115.0</v>
      </c>
      <c r="P743" s="11">
        <v>70.0</v>
      </c>
      <c r="Q743" s="239"/>
      <c r="R743" s="17">
        <v>55.0</v>
      </c>
    </row>
    <row r="744">
      <c r="A744" s="11">
        <v>18.0</v>
      </c>
      <c r="B744" s="11">
        <v>35.0</v>
      </c>
      <c r="C744" s="11">
        <v>7.0</v>
      </c>
      <c r="D744" s="11" t="s">
        <v>39</v>
      </c>
      <c r="E744" s="234">
        <v>13.0</v>
      </c>
      <c r="F744" s="235">
        <v>5.0</v>
      </c>
      <c r="G744" s="235">
        <v>5.0</v>
      </c>
      <c r="H744" s="234">
        <v>13.0</v>
      </c>
      <c r="I744" s="235">
        <v>5.0</v>
      </c>
      <c r="J744" s="236">
        <v>2.8069411E7</v>
      </c>
      <c r="K744" s="11">
        <v>72.0</v>
      </c>
      <c r="L744" s="11">
        <v>7.0</v>
      </c>
      <c r="M744" s="237" t="str">
        <f t="shared" si="1"/>
        <v>0130050028069411727</v>
      </c>
      <c r="N744" s="238">
        <v>-50792.79</v>
      </c>
      <c r="O744" s="110">
        <v>12014.0</v>
      </c>
      <c r="P744" s="11">
        <v>79.0</v>
      </c>
      <c r="Q744" s="239"/>
      <c r="R744" s="17">
        <v>35.0</v>
      </c>
    </row>
    <row r="745">
      <c r="A745" s="11">
        <v>16.0</v>
      </c>
      <c r="B745" s="11">
        <v>76.0</v>
      </c>
      <c r="C745" s="11">
        <v>9.0</v>
      </c>
      <c r="D745" s="11" t="s">
        <v>5272</v>
      </c>
      <c r="E745" s="234">
        <v>27.0</v>
      </c>
      <c r="F745" s="235">
        <v>141.0</v>
      </c>
      <c r="G745" s="235">
        <v>141.0</v>
      </c>
      <c r="H745" s="234">
        <v>27.0</v>
      </c>
      <c r="I745" s="235">
        <v>141.0</v>
      </c>
      <c r="J745" s="236">
        <v>5.9918271E7</v>
      </c>
      <c r="K745" s="11">
        <v>69.0</v>
      </c>
      <c r="L745" s="11">
        <v>4.0</v>
      </c>
      <c r="M745" s="237" t="str">
        <f t="shared" si="1"/>
        <v>0271410059918271694</v>
      </c>
      <c r="N745" s="238">
        <v>-99568.28</v>
      </c>
      <c r="O745" s="110">
        <v>32221.0</v>
      </c>
      <c r="P745" s="11">
        <v>70.0</v>
      </c>
      <c r="Q745" s="239"/>
      <c r="R745" s="17">
        <v>35.0</v>
      </c>
    </row>
    <row r="746">
      <c r="A746" s="11">
        <v>13.0</v>
      </c>
      <c r="B746" s="11">
        <v>35.0</v>
      </c>
      <c r="C746" s="11">
        <v>1.0</v>
      </c>
      <c r="D746" s="11" t="s">
        <v>5273</v>
      </c>
      <c r="E746" s="234">
        <v>54.0</v>
      </c>
      <c r="F746" s="235">
        <v>25.0</v>
      </c>
      <c r="G746" s="235">
        <v>25.0</v>
      </c>
      <c r="H746" s="234">
        <v>54.0</v>
      </c>
      <c r="I746" s="235">
        <v>25.0</v>
      </c>
      <c r="J746" s="236">
        <v>3.9404755E7</v>
      </c>
      <c r="K746" s="11">
        <v>91.0</v>
      </c>
      <c r="L746" s="11">
        <v>9.0</v>
      </c>
      <c r="M746" s="237" t="str">
        <f t="shared" si="1"/>
        <v>0540250039404755919</v>
      </c>
      <c r="N746" s="238">
        <v>13242.64</v>
      </c>
      <c r="O746" s="110">
        <v>101819.0</v>
      </c>
      <c r="P746" s="11">
        <v>78.0</v>
      </c>
      <c r="Q746" s="239"/>
      <c r="R746" s="17">
        <v>14.0</v>
      </c>
    </row>
    <row r="747">
      <c r="A747" s="11">
        <v>14.0</v>
      </c>
      <c r="B747" s="11">
        <v>55.0</v>
      </c>
      <c r="C747" s="11">
        <v>9.0</v>
      </c>
      <c r="D747" s="11" t="s">
        <v>5273</v>
      </c>
      <c r="E747" s="234">
        <v>20.0</v>
      </c>
      <c r="F747" s="235">
        <v>75.0</v>
      </c>
      <c r="G747" s="235">
        <v>75.0</v>
      </c>
      <c r="H747" s="234">
        <v>20.0</v>
      </c>
      <c r="I747" s="235">
        <v>75.0</v>
      </c>
      <c r="J747" s="236">
        <v>5.1165908E7</v>
      </c>
      <c r="K747" s="11">
        <v>73.0</v>
      </c>
      <c r="L747" s="11">
        <v>0.0</v>
      </c>
      <c r="M747" s="237" t="str">
        <f t="shared" si="1"/>
        <v>0200750051165908730</v>
      </c>
      <c r="N747" s="238">
        <v>-37965.52</v>
      </c>
      <c r="O747" s="110">
        <v>60816.0</v>
      </c>
      <c r="P747" s="11">
        <v>72.0</v>
      </c>
      <c r="Q747" s="239"/>
      <c r="R747" s="17">
        <v>55.0</v>
      </c>
    </row>
    <row r="748">
      <c r="A748" s="11">
        <v>17.0</v>
      </c>
      <c r="B748" s="11">
        <v>76.0</v>
      </c>
      <c r="C748" s="11">
        <v>9.0</v>
      </c>
      <c r="D748" s="11" t="s">
        <v>5272</v>
      </c>
      <c r="E748" s="234">
        <v>21.0</v>
      </c>
      <c r="F748" s="235">
        <v>103.0</v>
      </c>
      <c r="G748" s="235">
        <v>103.0</v>
      </c>
      <c r="H748" s="234">
        <v>21.0</v>
      </c>
      <c r="I748" s="235">
        <v>103.0</v>
      </c>
      <c r="J748" s="236">
        <v>6.4659856E7</v>
      </c>
      <c r="K748" s="11">
        <v>75.0</v>
      </c>
      <c r="L748" s="11">
        <v>5.0</v>
      </c>
      <c r="M748" s="237" t="str">
        <f t="shared" si="1"/>
        <v>0211030064659856755</v>
      </c>
      <c r="N748" s="238">
        <v>50888.86</v>
      </c>
      <c r="O748" s="110">
        <v>82922.0</v>
      </c>
      <c r="P748" s="11">
        <v>78.0</v>
      </c>
      <c r="Q748" s="239"/>
      <c r="R748" s="17">
        <v>35.0</v>
      </c>
    </row>
    <row r="749">
      <c r="A749" s="11">
        <v>11.0</v>
      </c>
      <c r="B749" s="11">
        <v>14.0</v>
      </c>
      <c r="C749" s="11">
        <v>2.0</v>
      </c>
      <c r="D749" s="11" t="s">
        <v>39</v>
      </c>
      <c r="E749" s="234">
        <v>39.0</v>
      </c>
      <c r="F749" s="235">
        <v>161.0</v>
      </c>
      <c r="G749" s="235">
        <v>161.0</v>
      </c>
      <c r="H749" s="234">
        <v>39.0</v>
      </c>
      <c r="I749" s="235">
        <v>161.0</v>
      </c>
      <c r="J749" s="236">
        <v>4.9579507E7</v>
      </c>
      <c r="K749" s="11">
        <v>30.0</v>
      </c>
      <c r="L749" s="11">
        <v>4.0</v>
      </c>
      <c r="M749" s="237" t="str">
        <f t="shared" si="1"/>
        <v>0391610049579507304</v>
      </c>
      <c r="N749" s="238">
        <v>-96015.74</v>
      </c>
      <c r="O749" s="110">
        <v>12017.0</v>
      </c>
      <c r="P749" s="11">
        <v>72.0</v>
      </c>
      <c r="Q749" s="239"/>
      <c r="R749" s="17">
        <v>14.0</v>
      </c>
    </row>
    <row r="750">
      <c r="A750" s="11">
        <v>10.0</v>
      </c>
      <c r="B750" s="11">
        <v>14.0</v>
      </c>
      <c r="C750" s="11">
        <v>7.0</v>
      </c>
      <c r="D750" s="11" t="s">
        <v>39</v>
      </c>
      <c r="E750" s="234">
        <v>41.0</v>
      </c>
      <c r="F750" s="235">
        <v>31.0</v>
      </c>
      <c r="G750" s="235">
        <v>31.0</v>
      </c>
      <c r="H750" s="234">
        <v>41.0</v>
      </c>
      <c r="I750" s="235">
        <v>31.0</v>
      </c>
      <c r="J750" s="236">
        <v>5.5796615E7</v>
      </c>
      <c r="K750" s="11">
        <v>61.0</v>
      </c>
      <c r="L750" s="11">
        <v>6.0</v>
      </c>
      <c r="M750" s="237" t="str">
        <f t="shared" si="1"/>
        <v>0410310055796615616</v>
      </c>
      <c r="N750" s="238">
        <v>61155.55</v>
      </c>
      <c r="O750" s="110">
        <v>71114.0</v>
      </c>
      <c r="P750" s="11">
        <v>77.0</v>
      </c>
      <c r="Q750" s="239"/>
      <c r="R750" s="17">
        <v>35.0</v>
      </c>
    </row>
    <row r="751">
      <c r="A751" s="11">
        <v>16.0</v>
      </c>
      <c r="B751" s="11">
        <v>55.0</v>
      </c>
      <c r="C751" s="11">
        <v>5.0</v>
      </c>
      <c r="D751" s="11" t="s">
        <v>5273</v>
      </c>
      <c r="E751" s="234">
        <v>51.0</v>
      </c>
      <c r="F751" s="235">
        <v>159.0</v>
      </c>
      <c r="G751" s="235">
        <v>159.0</v>
      </c>
      <c r="H751" s="234">
        <v>51.0</v>
      </c>
      <c r="I751" s="235">
        <v>159.0</v>
      </c>
      <c r="J751" s="236">
        <v>7.9554903E7</v>
      </c>
      <c r="K751" s="11">
        <v>75.0</v>
      </c>
      <c r="L751" s="11">
        <v>3.0</v>
      </c>
      <c r="M751" s="237" t="str">
        <f t="shared" si="1"/>
        <v>0511590079554903753</v>
      </c>
      <c r="N751" s="238">
        <v>21258.94</v>
      </c>
      <c r="O751" s="110">
        <v>102922.0</v>
      </c>
      <c r="P751" s="11">
        <v>80.0</v>
      </c>
      <c r="Q751" s="239"/>
      <c r="R751" s="17">
        <v>96.0</v>
      </c>
    </row>
    <row r="752">
      <c r="A752" s="11">
        <v>14.0</v>
      </c>
      <c r="B752" s="11">
        <v>76.0</v>
      </c>
      <c r="C752" s="11">
        <v>7.0</v>
      </c>
      <c r="D752" s="11" t="s">
        <v>5271</v>
      </c>
      <c r="E752" s="234">
        <v>53.0</v>
      </c>
      <c r="F752" s="235">
        <v>3.0</v>
      </c>
      <c r="G752" s="235">
        <v>3.0</v>
      </c>
      <c r="H752" s="234">
        <v>53.0</v>
      </c>
      <c r="I752" s="235">
        <v>3.0</v>
      </c>
      <c r="J752" s="236">
        <v>9.687687E7</v>
      </c>
      <c r="K752" s="11">
        <v>60.0</v>
      </c>
      <c r="L752" s="11">
        <v>1.0</v>
      </c>
      <c r="M752" s="237" t="str">
        <f t="shared" si="1"/>
        <v>0530030096876870601</v>
      </c>
      <c r="N752" s="238">
        <v>56344.63</v>
      </c>
      <c r="O752" s="110">
        <v>31214.0</v>
      </c>
      <c r="P752" s="11">
        <v>79.0</v>
      </c>
      <c r="Q752" s="239"/>
      <c r="R752" s="17">
        <v>96.0</v>
      </c>
    </row>
    <row r="753">
      <c r="A753" s="11">
        <v>17.0</v>
      </c>
      <c r="B753" s="11">
        <v>96.0</v>
      </c>
      <c r="C753" s="11">
        <v>3.0</v>
      </c>
      <c r="D753" s="11" t="s">
        <v>29</v>
      </c>
      <c r="E753" s="234">
        <v>49.0</v>
      </c>
      <c r="F753" s="235">
        <v>13.0</v>
      </c>
      <c r="G753" s="235">
        <v>13.0</v>
      </c>
      <c r="H753" s="234">
        <v>49.0</v>
      </c>
      <c r="I753" s="235">
        <v>13.0</v>
      </c>
      <c r="J753" s="236">
        <v>2.815277E7</v>
      </c>
      <c r="K753" s="11">
        <v>70.0</v>
      </c>
      <c r="L753" s="11">
        <v>8.0</v>
      </c>
      <c r="M753" s="237" t="str">
        <f t="shared" si="1"/>
        <v>0490130028152770708</v>
      </c>
      <c r="N753" s="238">
        <v>-467.72</v>
      </c>
      <c r="O753" s="110">
        <v>63017.0</v>
      </c>
      <c r="P753" s="11">
        <v>74.0</v>
      </c>
      <c r="Q753" s="239"/>
      <c r="R753" s="17">
        <v>96.0</v>
      </c>
    </row>
    <row r="754">
      <c r="A754" s="11">
        <v>15.0</v>
      </c>
      <c r="B754" s="11">
        <v>76.0</v>
      </c>
      <c r="C754" s="11">
        <v>1.0</v>
      </c>
      <c r="D754" s="11" t="s">
        <v>39</v>
      </c>
      <c r="E754" s="234">
        <v>39.0</v>
      </c>
      <c r="F754" s="235">
        <v>117.0</v>
      </c>
      <c r="G754" s="235">
        <v>117.0</v>
      </c>
      <c r="H754" s="234">
        <v>39.0</v>
      </c>
      <c r="I754" s="235">
        <v>117.0</v>
      </c>
      <c r="J754" s="236">
        <v>2.022558E7</v>
      </c>
      <c r="K754" s="11">
        <v>65.0</v>
      </c>
      <c r="L754" s="11">
        <v>5.0</v>
      </c>
      <c r="M754" s="237" t="str">
        <f t="shared" si="1"/>
        <v>0391170020225580655</v>
      </c>
      <c r="N754" s="238">
        <v>49009.39</v>
      </c>
      <c r="O754" s="110">
        <v>12319.0</v>
      </c>
      <c r="P754" s="11">
        <v>75.0</v>
      </c>
      <c r="Q754" s="239"/>
      <c r="R754" s="17">
        <v>96.0</v>
      </c>
    </row>
    <row r="755">
      <c r="A755" s="11">
        <v>10.0</v>
      </c>
      <c r="B755" s="11">
        <v>76.0</v>
      </c>
      <c r="C755" s="11">
        <v>4.0</v>
      </c>
      <c r="D755" s="11" t="s">
        <v>5273</v>
      </c>
      <c r="E755" s="234">
        <v>48.0</v>
      </c>
      <c r="F755" s="235">
        <v>341.0</v>
      </c>
      <c r="G755" s="235">
        <v>341.0</v>
      </c>
      <c r="H755" s="234">
        <v>48.0</v>
      </c>
      <c r="I755" s="235">
        <v>341.0</v>
      </c>
      <c r="J755" s="236">
        <v>5.3790658E7</v>
      </c>
      <c r="K755" s="11">
        <v>3.0</v>
      </c>
      <c r="L755" s="11">
        <v>8.0</v>
      </c>
      <c r="M755" s="237" t="str">
        <f t="shared" si="1"/>
        <v>048341005379065838</v>
      </c>
      <c r="N755" s="238">
        <v>38642.51</v>
      </c>
      <c r="O755" s="110">
        <v>60323.0</v>
      </c>
      <c r="P755" s="11">
        <v>78.0</v>
      </c>
      <c r="Q755" s="239"/>
      <c r="R755" s="17">
        <v>55.0</v>
      </c>
    </row>
    <row r="756">
      <c r="A756" s="11">
        <v>14.0</v>
      </c>
      <c r="B756" s="11">
        <v>76.0</v>
      </c>
      <c r="C756" s="11">
        <v>8.0</v>
      </c>
      <c r="D756" s="11" t="s">
        <v>5271</v>
      </c>
      <c r="E756" s="234">
        <v>54.0</v>
      </c>
      <c r="F756" s="235">
        <v>59.0</v>
      </c>
      <c r="G756" s="235">
        <v>59.0</v>
      </c>
      <c r="H756" s="234">
        <v>54.0</v>
      </c>
      <c r="I756" s="235">
        <v>59.0</v>
      </c>
      <c r="J756" s="236">
        <v>6.6847732E7</v>
      </c>
      <c r="K756" s="11">
        <v>21.0</v>
      </c>
      <c r="L756" s="11">
        <v>8.0</v>
      </c>
      <c r="M756" s="237" t="str">
        <f t="shared" si="1"/>
        <v>0540590066847732218</v>
      </c>
      <c r="N756" s="238">
        <v>-93479.26</v>
      </c>
      <c r="O756" s="110">
        <v>82619.0</v>
      </c>
      <c r="P756" s="11">
        <v>77.0</v>
      </c>
      <c r="Q756" s="239"/>
      <c r="R756" s="17">
        <v>15.0</v>
      </c>
    </row>
    <row r="757">
      <c r="A757" s="11">
        <v>14.0</v>
      </c>
      <c r="B757" s="11">
        <v>35.0</v>
      </c>
      <c r="C757" s="11">
        <v>8.0</v>
      </c>
      <c r="D757" s="11" t="s">
        <v>5273</v>
      </c>
      <c r="E757" s="234">
        <v>20.0</v>
      </c>
      <c r="F757" s="235">
        <v>109.0</v>
      </c>
      <c r="G757" s="235">
        <v>109.0</v>
      </c>
      <c r="H757" s="234">
        <v>20.0</v>
      </c>
      <c r="I757" s="235">
        <v>109.0</v>
      </c>
      <c r="J757" s="236">
        <v>4.0285502E7</v>
      </c>
      <c r="K757" s="11">
        <v>38.0</v>
      </c>
      <c r="L757" s="11">
        <v>6.0</v>
      </c>
      <c r="M757" s="237" t="str">
        <f t="shared" si="1"/>
        <v>0201090040285502386</v>
      </c>
      <c r="N757" s="238">
        <v>66330.15</v>
      </c>
      <c r="O757" s="110">
        <v>60516.0</v>
      </c>
      <c r="P757" s="11">
        <v>77.0</v>
      </c>
      <c r="Q757" s="239"/>
      <c r="R757" s="17">
        <v>96.0</v>
      </c>
    </row>
    <row r="758">
      <c r="A758" s="11">
        <v>19.0</v>
      </c>
      <c r="B758" s="11">
        <v>15.0</v>
      </c>
      <c r="C758" s="11">
        <v>5.0</v>
      </c>
      <c r="D758" s="11" t="s">
        <v>5272</v>
      </c>
      <c r="E758" s="234">
        <v>48.0</v>
      </c>
      <c r="F758" s="235">
        <v>215.0</v>
      </c>
      <c r="G758" s="235">
        <v>215.0</v>
      </c>
      <c r="H758" s="234">
        <v>48.0</v>
      </c>
      <c r="I758" s="235">
        <v>215.0</v>
      </c>
      <c r="J758" s="236">
        <v>1.2604516E7</v>
      </c>
      <c r="K758" s="11">
        <v>16.0</v>
      </c>
      <c r="L758" s="11">
        <v>1.0</v>
      </c>
      <c r="M758" s="237" t="str">
        <f t="shared" si="1"/>
        <v>0482150012604516161</v>
      </c>
      <c r="N758" s="238">
        <v>-79864.78</v>
      </c>
      <c r="O758" s="110">
        <v>91716.0</v>
      </c>
      <c r="P758" s="11">
        <v>71.0</v>
      </c>
      <c r="Q758" s="239"/>
      <c r="R758" s="17">
        <v>96.0</v>
      </c>
    </row>
    <row r="759">
      <c r="A759" s="11">
        <v>14.0</v>
      </c>
      <c r="B759" s="11">
        <v>56.0</v>
      </c>
      <c r="C759" s="11">
        <v>9.0</v>
      </c>
      <c r="D759" s="11" t="s">
        <v>5271</v>
      </c>
      <c r="E759" s="234">
        <v>42.0</v>
      </c>
      <c r="F759" s="235">
        <v>131.0</v>
      </c>
      <c r="G759" s="235">
        <v>131.0</v>
      </c>
      <c r="H759" s="234">
        <v>42.0</v>
      </c>
      <c r="I759" s="235">
        <v>131.0</v>
      </c>
      <c r="J759" s="236">
        <v>5.4494075E7</v>
      </c>
      <c r="K759" s="11">
        <v>6.0</v>
      </c>
      <c r="L759" s="11">
        <v>4.0</v>
      </c>
      <c r="M759" s="237" t="str">
        <f t="shared" si="1"/>
        <v>042131005449407564</v>
      </c>
      <c r="N759" s="238">
        <v>-48025.94</v>
      </c>
      <c r="O759" s="110">
        <v>90523.0</v>
      </c>
      <c r="P759" s="11">
        <v>74.0</v>
      </c>
      <c r="Q759" s="239"/>
      <c r="R759" s="17">
        <v>56.0</v>
      </c>
    </row>
    <row r="760">
      <c r="A760" s="11">
        <v>14.0</v>
      </c>
      <c r="B760" s="11">
        <v>76.0</v>
      </c>
      <c r="C760" s="11">
        <v>1.0</v>
      </c>
      <c r="D760" s="11" t="s">
        <v>29</v>
      </c>
      <c r="E760" s="234">
        <v>47.0</v>
      </c>
      <c r="F760" s="235">
        <v>35.0</v>
      </c>
      <c r="G760" s="235">
        <v>35.0</v>
      </c>
      <c r="H760" s="234">
        <v>47.0</v>
      </c>
      <c r="I760" s="235">
        <v>35.0</v>
      </c>
      <c r="J760" s="236">
        <v>5.0025031E7</v>
      </c>
      <c r="K760" s="11">
        <v>39.0</v>
      </c>
      <c r="L760" s="11">
        <v>0.0</v>
      </c>
      <c r="M760" s="237" t="str">
        <f t="shared" si="1"/>
        <v>0470350050025031390</v>
      </c>
      <c r="N760" s="238">
        <v>34564.48</v>
      </c>
      <c r="O760" s="110">
        <v>32119.0</v>
      </c>
      <c r="P760" s="11">
        <v>79.0</v>
      </c>
      <c r="Q760" s="239"/>
      <c r="R760" s="17">
        <v>76.0</v>
      </c>
    </row>
    <row r="761">
      <c r="A761" s="11">
        <v>16.0</v>
      </c>
      <c r="B761" s="11">
        <v>35.0</v>
      </c>
      <c r="C761" s="11">
        <v>5.0</v>
      </c>
      <c r="D761" s="11" t="s">
        <v>31</v>
      </c>
      <c r="E761" s="234">
        <v>32.0</v>
      </c>
      <c r="F761" s="235">
        <v>17.0</v>
      </c>
      <c r="G761" s="235">
        <v>17.0</v>
      </c>
      <c r="H761" s="234">
        <v>32.0</v>
      </c>
      <c r="I761" s="235">
        <v>17.0</v>
      </c>
      <c r="J761" s="236">
        <v>2.4595697E7</v>
      </c>
      <c r="K761" s="11">
        <v>45.0</v>
      </c>
      <c r="L761" s="11">
        <v>4.0</v>
      </c>
      <c r="M761" s="237" t="str">
        <f t="shared" si="1"/>
        <v>0320170024595697454</v>
      </c>
      <c r="N761" s="238">
        <v>-85090.54</v>
      </c>
      <c r="O761" s="110">
        <v>91315.0</v>
      </c>
      <c r="P761" s="11">
        <v>78.0</v>
      </c>
      <c r="Q761" s="239"/>
      <c r="R761" s="17">
        <v>15.0</v>
      </c>
    </row>
    <row r="762">
      <c r="A762" s="11">
        <v>18.0</v>
      </c>
      <c r="B762" s="11">
        <v>35.0</v>
      </c>
      <c r="C762" s="11">
        <v>9.0</v>
      </c>
      <c r="D762" s="11" t="s">
        <v>29</v>
      </c>
      <c r="E762" s="234">
        <v>46.0</v>
      </c>
      <c r="F762" s="235">
        <v>31.0</v>
      </c>
      <c r="G762" s="235">
        <v>31.0</v>
      </c>
      <c r="H762" s="234">
        <v>46.0</v>
      </c>
      <c r="I762" s="235">
        <v>31.0</v>
      </c>
      <c r="J762" s="236">
        <v>8.1926045E7</v>
      </c>
      <c r="K762" s="11">
        <v>94.0</v>
      </c>
      <c r="L762" s="11">
        <v>7.0</v>
      </c>
      <c r="M762" s="237" t="str">
        <f t="shared" si="1"/>
        <v>0460310081926045947</v>
      </c>
      <c r="N762" s="238">
        <v>64971.03</v>
      </c>
      <c r="O762" s="110">
        <v>90422.0</v>
      </c>
      <c r="P762" s="11">
        <v>77.0</v>
      </c>
      <c r="Q762" s="239"/>
      <c r="R762" s="17">
        <v>56.0</v>
      </c>
    </row>
    <row r="763">
      <c r="A763" s="11">
        <v>14.0</v>
      </c>
      <c r="B763" s="11">
        <v>15.0</v>
      </c>
      <c r="C763" s="11">
        <v>1.0</v>
      </c>
      <c r="D763" s="11" t="s">
        <v>31</v>
      </c>
      <c r="E763" s="234">
        <v>21.0</v>
      </c>
      <c r="F763" s="235">
        <v>15.0</v>
      </c>
      <c r="G763" s="235">
        <v>15.0</v>
      </c>
      <c r="H763" s="234">
        <v>21.0</v>
      </c>
      <c r="I763" s="235">
        <v>15.0</v>
      </c>
      <c r="J763" s="236">
        <v>7.2331957E7</v>
      </c>
      <c r="K763" s="11">
        <v>57.0</v>
      </c>
      <c r="L763" s="11">
        <v>4.0</v>
      </c>
      <c r="M763" s="237" t="str">
        <f t="shared" si="1"/>
        <v>0210150072331957574</v>
      </c>
      <c r="N763" s="238">
        <v>25029.61</v>
      </c>
      <c r="O763" s="110">
        <v>11015.0</v>
      </c>
      <c r="P763" s="11">
        <v>73.0</v>
      </c>
      <c r="Q763" s="239"/>
      <c r="R763" s="17">
        <v>15.0</v>
      </c>
    </row>
    <row r="764">
      <c r="A764" s="11">
        <v>15.0</v>
      </c>
      <c r="B764" s="11">
        <v>56.0</v>
      </c>
      <c r="C764" s="11">
        <v>5.0</v>
      </c>
      <c r="D764" s="11" t="s">
        <v>5271</v>
      </c>
      <c r="E764" s="234">
        <v>1.0</v>
      </c>
      <c r="F764" s="235">
        <v>25.0</v>
      </c>
      <c r="G764" s="235">
        <v>25.0</v>
      </c>
      <c r="H764" s="234">
        <v>1.0</v>
      </c>
      <c r="I764" s="235">
        <v>25.0</v>
      </c>
      <c r="J764" s="236">
        <v>4.6575368E7</v>
      </c>
      <c r="K764" s="11">
        <v>58.0</v>
      </c>
      <c r="L764" s="11">
        <v>0.0</v>
      </c>
      <c r="M764" s="237" t="str">
        <f t="shared" si="1"/>
        <v>010250046575368580</v>
      </c>
      <c r="N764" s="238">
        <v>54895.1</v>
      </c>
      <c r="O764" s="110">
        <v>32420.0</v>
      </c>
      <c r="P764" s="11">
        <v>76.0</v>
      </c>
      <c r="Q764" s="239"/>
      <c r="R764" s="17">
        <v>35.0</v>
      </c>
    </row>
    <row r="765">
      <c r="A765" s="11">
        <v>19.0</v>
      </c>
      <c r="B765" s="11">
        <v>15.0</v>
      </c>
      <c r="C765" s="11">
        <v>6.0</v>
      </c>
      <c r="D765" s="11" t="s">
        <v>5272</v>
      </c>
      <c r="E765" s="234">
        <v>10.0</v>
      </c>
      <c r="F765" s="235">
        <v>5.0</v>
      </c>
      <c r="G765" s="235">
        <v>5.0</v>
      </c>
      <c r="H765" s="234">
        <v>10.0</v>
      </c>
      <c r="I765" s="235">
        <v>5.0</v>
      </c>
      <c r="J765" s="236">
        <v>7.3324617E7</v>
      </c>
      <c r="K765" s="11">
        <v>23.0</v>
      </c>
      <c r="L765" s="11">
        <v>3.0</v>
      </c>
      <c r="M765" s="237" t="str">
        <f t="shared" si="1"/>
        <v>0100050073324617233</v>
      </c>
      <c r="N765" s="238">
        <v>-23039.02</v>
      </c>
      <c r="O765" s="110">
        <v>40714.0</v>
      </c>
      <c r="P765" s="11">
        <v>79.0</v>
      </c>
      <c r="Q765" s="239"/>
      <c r="R765" s="17">
        <v>97.0</v>
      </c>
    </row>
    <row r="766">
      <c r="A766" s="11">
        <v>13.0</v>
      </c>
      <c r="B766" s="11">
        <v>56.0</v>
      </c>
      <c r="C766" s="11">
        <v>3.0</v>
      </c>
      <c r="D766" s="11" t="s">
        <v>5271</v>
      </c>
      <c r="E766" s="234">
        <v>45.0</v>
      </c>
      <c r="F766" s="235">
        <v>41.0</v>
      </c>
      <c r="G766" s="235">
        <v>41.0</v>
      </c>
      <c r="H766" s="234">
        <v>45.0</v>
      </c>
      <c r="I766" s="235">
        <v>41.0</v>
      </c>
      <c r="J766" s="236">
        <v>9.8228227E7</v>
      </c>
      <c r="K766" s="11">
        <v>59.0</v>
      </c>
      <c r="L766" s="11">
        <v>9.0</v>
      </c>
      <c r="M766" s="237" t="str">
        <f t="shared" si="1"/>
        <v>0450410098228227599</v>
      </c>
      <c r="N766" s="238">
        <v>-97133.55</v>
      </c>
      <c r="O766" s="110">
        <v>61317.0</v>
      </c>
      <c r="P766" s="11">
        <v>70.0</v>
      </c>
      <c r="Q766" s="239"/>
      <c r="R766" s="17">
        <v>35.0</v>
      </c>
    </row>
    <row r="767">
      <c r="A767" s="11">
        <v>15.0</v>
      </c>
      <c r="B767" s="11">
        <v>15.0</v>
      </c>
      <c r="C767" s="11">
        <v>2.0</v>
      </c>
      <c r="D767" s="11" t="s">
        <v>5271</v>
      </c>
      <c r="E767" s="234">
        <v>46.0</v>
      </c>
      <c r="F767" s="235">
        <v>83.0</v>
      </c>
      <c r="G767" s="235">
        <v>83.0</v>
      </c>
      <c r="H767" s="234">
        <v>46.0</v>
      </c>
      <c r="I767" s="235">
        <v>83.0</v>
      </c>
      <c r="J767" s="236">
        <v>8.4566993E7</v>
      </c>
      <c r="K767" s="11">
        <v>12.0</v>
      </c>
      <c r="L767" s="11">
        <v>2.0</v>
      </c>
      <c r="M767" s="237" t="str">
        <f t="shared" si="1"/>
        <v>0460830084566993122</v>
      </c>
      <c r="N767" s="238">
        <v>-93223.79</v>
      </c>
      <c r="O767" s="110">
        <v>72820.0</v>
      </c>
      <c r="P767" s="11">
        <v>75.0</v>
      </c>
      <c r="Q767" s="239"/>
      <c r="R767" s="17">
        <v>15.0</v>
      </c>
    </row>
    <row r="768">
      <c r="A768" s="11">
        <v>13.0</v>
      </c>
      <c r="B768" s="11">
        <v>35.0</v>
      </c>
      <c r="C768" s="11">
        <v>4.0</v>
      </c>
      <c r="D768" s="11" t="s">
        <v>31</v>
      </c>
      <c r="E768" s="234">
        <v>24.0</v>
      </c>
      <c r="F768" s="235">
        <v>19.0</v>
      </c>
      <c r="G768" s="235">
        <v>19.0</v>
      </c>
      <c r="H768" s="234">
        <v>24.0</v>
      </c>
      <c r="I768" s="235">
        <v>19.0</v>
      </c>
      <c r="J768" s="236">
        <v>5.7613558E7</v>
      </c>
      <c r="K768" s="11">
        <v>30.0</v>
      </c>
      <c r="L768" s="11">
        <v>8.0</v>
      </c>
      <c r="M768" s="237" t="str">
        <f t="shared" si="1"/>
        <v>0240190057613558308</v>
      </c>
      <c r="N768" s="238">
        <v>93227.35</v>
      </c>
      <c r="O768" s="110">
        <v>122015.0</v>
      </c>
      <c r="P768" s="11">
        <v>80.0</v>
      </c>
      <c r="Q768" s="239"/>
      <c r="R768" s="17">
        <v>56.0</v>
      </c>
    </row>
    <row r="769">
      <c r="A769" s="11">
        <v>14.0</v>
      </c>
      <c r="B769" s="11">
        <v>56.0</v>
      </c>
      <c r="C769" s="11">
        <v>4.0</v>
      </c>
      <c r="D769" s="11" t="s">
        <v>5273</v>
      </c>
      <c r="E769" s="234">
        <v>45.0</v>
      </c>
      <c r="F769" s="235">
        <v>71.0</v>
      </c>
      <c r="G769" s="235">
        <v>71.0</v>
      </c>
      <c r="H769" s="234">
        <v>45.0</v>
      </c>
      <c r="I769" s="235">
        <v>71.0</v>
      </c>
      <c r="J769" s="236">
        <v>5.3656503E7</v>
      </c>
      <c r="K769" s="11">
        <v>43.0</v>
      </c>
      <c r="L769" s="11">
        <v>2.0</v>
      </c>
      <c r="M769" s="237" t="str">
        <f t="shared" si="1"/>
        <v>0450710053656503432</v>
      </c>
      <c r="N769" s="238">
        <v>-38199.58</v>
      </c>
      <c r="O769" s="110">
        <v>41015.0</v>
      </c>
      <c r="P769" s="11">
        <v>76.0</v>
      </c>
      <c r="Q769" s="239"/>
      <c r="R769" s="17">
        <v>35.0</v>
      </c>
    </row>
    <row r="770">
      <c r="A770" s="11">
        <v>12.0</v>
      </c>
      <c r="B770" s="11">
        <v>97.0</v>
      </c>
      <c r="C770" s="11">
        <v>6.0</v>
      </c>
      <c r="D770" s="11" t="s">
        <v>31</v>
      </c>
      <c r="E770" s="234">
        <v>1.0</v>
      </c>
      <c r="F770" s="235">
        <v>49.0</v>
      </c>
      <c r="G770" s="235">
        <v>49.0</v>
      </c>
      <c r="H770" s="234">
        <v>1.0</v>
      </c>
      <c r="I770" s="235">
        <v>49.0</v>
      </c>
      <c r="J770" s="236">
        <v>4.4400393E7</v>
      </c>
      <c r="K770" s="11">
        <v>30.0</v>
      </c>
      <c r="L770" s="11">
        <v>6.0</v>
      </c>
      <c r="M770" s="237" t="str">
        <f t="shared" si="1"/>
        <v>010490044400393306</v>
      </c>
      <c r="N770" s="238">
        <v>-50438.31</v>
      </c>
      <c r="O770" s="110">
        <v>122114.0</v>
      </c>
      <c r="P770" s="11">
        <v>72.0</v>
      </c>
      <c r="Q770" s="239"/>
      <c r="R770" s="17">
        <v>97.0</v>
      </c>
    </row>
    <row r="771">
      <c r="A771" s="11">
        <v>18.0</v>
      </c>
      <c r="B771" s="11">
        <v>56.0</v>
      </c>
      <c r="C771" s="11">
        <v>9.0</v>
      </c>
      <c r="D771" s="11" t="s">
        <v>5271</v>
      </c>
      <c r="E771" s="234">
        <v>31.0</v>
      </c>
      <c r="F771" s="235">
        <v>101.0</v>
      </c>
      <c r="G771" s="235">
        <v>101.0</v>
      </c>
      <c r="H771" s="234">
        <v>31.0</v>
      </c>
      <c r="I771" s="235">
        <v>101.0</v>
      </c>
      <c r="J771" s="236">
        <v>2.3169478E7</v>
      </c>
      <c r="K771" s="11">
        <v>49.0</v>
      </c>
      <c r="L771" s="11">
        <v>2.0</v>
      </c>
      <c r="M771" s="237" t="str">
        <f t="shared" si="1"/>
        <v>0311010023169478492</v>
      </c>
      <c r="N771" s="238">
        <v>-91652.57</v>
      </c>
      <c r="O771" s="110">
        <v>72420.0</v>
      </c>
      <c r="P771" s="11">
        <v>75.0</v>
      </c>
      <c r="Q771" s="239"/>
      <c r="R771" s="17">
        <v>76.0</v>
      </c>
    </row>
    <row r="772">
      <c r="A772" s="11">
        <v>20.0</v>
      </c>
      <c r="B772" s="11">
        <v>76.0</v>
      </c>
      <c r="C772" s="11">
        <v>4.0</v>
      </c>
      <c r="D772" s="11" t="s">
        <v>5272</v>
      </c>
      <c r="E772" s="234">
        <v>39.0</v>
      </c>
      <c r="F772" s="235">
        <v>97.0</v>
      </c>
      <c r="G772" s="235">
        <v>97.0</v>
      </c>
      <c r="H772" s="234">
        <v>39.0</v>
      </c>
      <c r="I772" s="235">
        <v>97.0</v>
      </c>
      <c r="J772" s="236">
        <v>3.5630709E7</v>
      </c>
      <c r="K772" s="11">
        <v>85.0</v>
      </c>
      <c r="L772" s="11">
        <v>5.0</v>
      </c>
      <c r="M772" s="237" t="str">
        <f t="shared" si="1"/>
        <v>0390970035630709855</v>
      </c>
      <c r="N772" s="238">
        <v>-64513.69</v>
      </c>
      <c r="O772" s="110">
        <v>21013.0</v>
      </c>
      <c r="P772" s="11">
        <v>71.0</v>
      </c>
      <c r="Q772" s="239"/>
      <c r="R772" s="17">
        <v>76.0</v>
      </c>
    </row>
    <row r="773">
      <c r="A773" s="11">
        <v>14.0</v>
      </c>
      <c r="B773" s="11">
        <v>76.0</v>
      </c>
      <c r="C773" s="11">
        <v>9.0</v>
      </c>
      <c r="D773" s="11" t="s">
        <v>29</v>
      </c>
      <c r="E773" s="234">
        <v>53.0</v>
      </c>
      <c r="F773" s="235">
        <v>7.0</v>
      </c>
      <c r="G773" s="235">
        <v>7.0</v>
      </c>
      <c r="H773" s="234">
        <v>53.0</v>
      </c>
      <c r="I773" s="235">
        <v>7.0</v>
      </c>
      <c r="J773" s="236">
        <v>8.8633442E7</v>
      </c>
      <c r="K773" s="11">
        <v>88.0</v>
      </c>
      <c r="L773" s="11">
        <v>2.0</v>
      </c>
      <c r="M773" s="237" t="str">
        <f t="shared" si="1"/>
        <v>0530070088633442882</v>
      </c>
      <c r="N773" s="238">
        <v>98825.4</v>
      </c>
      <c r="O773" s="110">
        <v>81315.0</v>
      </c>
      <c r="P773" s="11">
        <v>70.0</v>
      </c>
      <c r="Q773" s="239"/>
      <c r="R773" s="17">
        <v>97.0</v>
      </c>
    </row>
    <row r="774">
      <c r="A774" s="11">
        <v>18.0</v>
      </c>
      <c r="B774" s="11">
        <v>35.0</v>
      </c>
      <c r="C774" s="11">
        <v>7.0</v>
      </c>
      <c r="D774" s="11" t="s">
        <v>29</v>
      </c>
      <c r="E774" s="234">
        <v>46.0</v>
      </c>
      <c r="F774" s="235">
        <v>95.0</v>
      </c>
      <c r="G774" s="235">
        <v>95.0</v>
      </c>
      <c r="H774" s="234">
        <v>46.0</v>
      </c>
      <c r="I774" s="235">
        <v>95.0</v>
      </c>
      <c r="J774" s="236">
        <v>2.6062823E7</v>
      </c>
      <c r="K774" s="11">
        <v>59.0</v>
      </c>
      <c r="L774" s="11">
        <v>5.0</v>
      </c>
      <c r="M774" s="237" t="str">
        <f t="shared" si="1"/>
        <v>0460950026062823595</v>
      </c>
      <c r="N774" s="238">
        <v>-33664.69</v>
      </c>
      <c r="O774" s="110">
        <v>20915.0</v>
      </c>
      <c r="P774" s="11">
        <v>74.0</v>
      </c>
      <c r="Q774" s="239"/>
      <c r="R774" s="17">
        <v>15.0</v>
      </c>
    </row>
    <row r="775">
      <c r="A775" s="11">
        <v>13.0</v>
      </c>
      <c r="B775" s="11">
        <v>15.0</v>
      </c>
      <c r="C775" s="11">
        <v>9.0</v>
      </c>
      <c r="D775" s="11" t="s">
        <v>5273</v>
      </c>
      <c r="E775" s="234">
        <v>27.0</v>
      </c>
      <c r="F775" s="235">
        <v>115.0</v>
      </c>
      <c r="G775" s="235">
        <v>115.0</v>
      </c>
      <c r="H775" s="234">
        <v>27.0</v>
      </c>
      <c r="I775" s="235">
        <v>115.0</v>
      </c>
      <c r="J775" s="236">
        <v>3.7139114E7</v>
      </c>
      <c r="K775" s="11">
        <v>29.0</v>
      </c>
      <c r="L775" s="11">
        <v>2.0</v>
      </c>
      <c r="M775" s="237" t="str">
        <f t="shared" si="1"/>
        <v>0271150037139114292</v>
      </c>
      <c r="N775" s="238">
        <v>-70207.12</v>
      </c>
      <c r="O775" s="110">
        <v>102622.0</v>
      </c>
      <c r="P775" s="11">
        <v>71.0</v>
      </c>
      <c r="Q775" s="239"/>
      <c r="R775" s="17">
        <v>76.0</v>
      </c>
    </row>
    <row r="776">
      <c r="A776" s="11">
        <v>18.0</v>
      </c>
      <c r="B776" s="11">
        <v>35.0</v>
      </c>
      <c r="C776" s="11">
        <v>6.0</v>
      </c>
      <c r="D776" s="11" t="s">
        <v>5273</v>
      </c>
      <c r="E776" s="234">
        <v>19.0</v>
      </c>
      <c r="F776" s="235">
        <v>1.0</v>
      </c>
      <c r="G776" s="235">
        <v>1.0</v>
      </c>
      <c r="H776" s="234">
        <v>19.0</v>
      </c>
      <c r="I776" s="235">
        <v>1.0</v>
      </c>
      <c r="J776" s="236">
        <v>8.1977914E7</v>
      </c>
      <c r="K776" s="11">
        <v>80.0</v>
      </c>
      <c r="L776" s="11">
        <v>4.0</v>
      </c>
      <c r="M776" s="237" t="str">
        <f t="shared" si="1"/>
        <v>0190010081977914804</v>
      </c>
      <c r="N776" s="238">
        <v>171.15</v>
      </c>
      <c r="O776" s="110">
        <v>11718.0</v>
      </c>
      <c r="P776" s="11">
        <v>73.0</v>
      </c>
      <c r="Q776" s="239"/>
      <c r="R776" s="17">
        <v>35.0</v>
      </c>
    </row>
    <row r="777">
      <c r="A777" s="11">
        <v>11.0</v>
      </c>
      <c r="B777" s="11">
        <v>15.0</v>
      </c>
      <c r="C777" s="11">
        <v>6.0</v>
      </c>
      <c r="D777" s="11" t="s">
        <v>29</v>
      </c>
      <c r="E777" s="234">
        <v>42.0</v>
      </c>
      <c r="F777" s="235">
        <v>29.0</v>
      </c>
      <c r="G777" s="235">
        <v>29.0</v>
      </c>
      <c r="H777" s="234">
        <v>42.0</v>
      </c>
      <c r="I777" s="235">
        <v>29.0</v>
      </c>
      <c r="J777" s="236">
        <v>3.81173E7</v>
      </c>
      <c r="K777" s="11">
        <v>11.0</v>
      </c>
      <c r="L777" s="11">
        <v>9.0</v>
      </c>
      <c r="M777" s="237" t="str">
        <f t="shared" si="1"/>
        <v>0420290038117300119</v>
      </c>
      <c r="N777" s="238">
        <v>-44574.7</v>
      </c>
      <c r="O777" s="110">
        <v>12416.0</v>
      </c>
      <c r="P777" s="11">
        <v>80.0</v>
      </c>
      <c r="Q777" s="239"/>
      <c r="R777" s="17">
        <v>56.0</v>
      </c>
    </row>
    <row r="778">
      <c r="A778" s="11">
        <v>12.0</v>
      </c>
      <c r="B778" s="11">
        <v>56.0</v>
      </c>
      <c r="C778" s="11">
        <v>1.0</v>
      </c>
      <c r="D778" s="11" t="s">
        <v>39</v>
      </c>
      <c r="E778" s="234">
        <v>12.0</v>
      </c>
      <c r="F778" s="235">
        <v>77.0</v>
      </c>
      <c r="G778" s="235">
        <v>77.0</v>
      </c>
      <c r="H778" s="234">
        <v>12.0</v>
      </c>
      <c r="I778" s="235">
        <v>77.0</v>
      </c>
      <c r="J778" s="236">
        <v>5.0094739E7</v>
      </c>
      <c r="K778" s="11">
        <v>11.0</v>
      </c>
      <c r="L778" s="11">
        <v>2.0</v>
      </c>
      <c r="M778" s="237" t="str">
        <f t="shared" si="1"/>
        <v>0120770050094739112</v>
      </c>
      <c r="N778" s="238">
        <v>63993.79</v>
      </c>
      <c r="O778" s="110">
        <v>41415.0</v>
      </c>
      <c r="P778" s="11">
        <v>72.0</v>
      </c>
      <c r="Q778" s="239"/>
      <c r="R778" s="17">
        <v>97.0</v>
      </c>
    </row>
    <row r="779">
      <c r="A779" s="11">
        <v>13.0</v>
      </c>
      <c r="B779" s="11">
        <v>56.0</v>
      </c>
      <c r="C779" s="11">
        <v>4.0</v>
      </c>
      <c r="D779" s="11" t="s">
        <v>5272</v>
      </c>
      <c r="E779" s="234">
        <v>20.0</v>
      </c>
      <c r="F779" s="235">
        <v>155.0</v>
      </c>
      <c r="G779" s="235">
        <v>155.0</v>
      </c>
      <c r="H779" s="234">
        <v>20.0</v>
      </c>
      <c r="I779" s="235">
        <v>155.0</v>
      </c>
      <c r="J779" s="236">
        <v>7.0110388E7</v>
      </c>
      <c r="K779" s="11">
        <v>43.0</v>
      </c>
      <c r="L779" s="11">
        <v>9.0</v>
      </c>
      <c r="M779" s="237" t="str">
        <f t="shared" si="1"/>
        <v>0201550070110388439</v>
      </c>
      <c r="N779" s="238">
        <v>-70196.81</v>
      </c>
      <c r="O779" s="110">
        <v>90223.0</v>
      </c>
      <c r="P779" s="11">
        <v>76.0</v>
      </c>
      <c r="Q779" s="239"/>
      <c r="R779" s="17">
        <v>76.0</v>
      </c>
    </row>
    <row r="780">
      <c r="A780" s="11">
        <v>16.0</v>
      </c>
      <c r="B780" s="11">
        <v>97.0</v>
      </c>
      <c r="C780" s="11">
        <v>8.0</v>
      </c>
      <c r="D780" s="11" t="s">
        <v>5272</v>
      </c>
      <c r="E780" s="234">
        <v>38.0</v>
      </c>
      <c r="F780" s="235">
        <v>61.0</v>
      </c>
      <c r="G780" s="235">
        <v>61.0</v>
      </c>
      <c r="H780" s="234">
        <v>38.0</v>
      </c>
      <c r="I780" s="235">
        <v>61.0</v>
      </c>
      <c r="J780" s="236">
        <v>6.5010306E7</v>
      </c>
      <c r="K780" s="11">
        <v>66.0</v>
      </c>
      <c r="L780" s="11">
        <v>9.0</v>
      </c>
      <c r="M780" s="237" t="str">
        <f t="shared" si="1"/>
        <v>0380610065010306669</v>
      </c>
      <c r="N780" s="238">
        <v>-92461.83</v>
      </c>
      <c r="O780" s="110">
        <v>61615.0</v>
      </c>
      <c r="P780" s="11">
        <v>70.0</v>
      </c>
      <c r="Q780" s="239"/>
      <c r="R780" s="17">
        <v>15.0</v>
      </c>
    </row>
    <row r="781">
      <c r="A781" s="11">
        <v>16.0</v>
      </c>
      <c r="B781" s="11">
        <v>15.0</v>
      </c>
      <c r="C781" s="11">
        <v>4.0</v>
      </c>
      <c r="D781" s="11" t="s">
        <v>5273</v>
      </c>
      <c r="E781" s="234">
        <v>21.0</v>
      </c>
      <c r="F781" s="235">
        <v>199.0</v>
      </c>
      <c r="G781" s="235">
        <v>199.0</v>
      </c>
      <c r="H781" s="234">
        <v>21.0</v>
      </c>
      <c r="I781" s="235">
        <v>199.0</v>
      </c>
      <c r="J781" s="236">
        <v>8.733906E7</v>
      </c>
      <c r="K781" s="11">
        <v>29.0</v>
      </c>
      <c r="L781" s="11">
        <v>0.0</v>
      </c>
      <c r="M781" s="237" t="str">
        <f t="shared" si="1"/>
        <v>0211990087339060290</v>
      </c>
      <c r="N781" s="238">
        <v>62318.28</v>
      </c>
      <c r="O781" s="110">
        <v>10717.0</v>
      </c>
      <c r="P781" s="11">
        <v>70.0</v>
      </c>
      <c r="Q781" s="239"/>
      <c r="R781" s="17">
        <v>35.0</v>
      </c>
    </row>
    <row r="782">
      <c r="A782" s="11">
        <v>12.0</v>
      </c>
      <c r="B782" s="11">
        <v>56.0</v>
      </c>
      <c r="C782" s="11">
        <v>5.0</v>
      </c>
      <c r="D782" s="11" t="s">
        <v>5273</v>
      </c>
      <c r="E782" s="234">
        <v>51.0</v>
      </c>
      <c r="F782" s="235">
        <v>660.0</v>
      </c>
      <c r="G782" s="235">
        <v>660.0</v>
      </c>
      <c r="H782" s="234">
        <v>51.0</v>
      </c>
      <c r="I782" s="235">
        <v>660.0</v>
      </c>
      <c r="J782" s="236">
        <v>2.6994136E7</v>
      </c>
      <c r="K782" s="11">
        <v>26.0</v>
      </c>
      <c r="L782" s="11">
        <v>5.0</v>
      </c>
      <c r="M782" s="237" t="str">
        <f t="shared" si="1"/>
        <v>0516600026994136265</v>
      </c>
      <c r="N782" s="238">
        <v>-68210.4</v>
      </c>
      <c r="O782" s="110">
        <v>50720.0</v>
      </c>
      <c r="P782" s="11">
        <v>79.0</v>
      </c>
      <c r="Q782" s="239"/>
      <c r="R782" s="17">
        <v>15.0</v>
      </c>
    </row>
    <row r="783">
      <c r="A783" s="11">
        <v>15.0</v>
      </c>
      <c r="B783" s="11">
        <v>97.0</v>
      </c>
      <c r="C783" s="11">
        <v>7.0</v>
      </c>
      <c r="D783" s="11" t="s">
        <v>29</v>
      </c>
      <c r="E783" s="234">
        <v>51.0</v>
      </c>
      <c r="F783" s="235">
        <v>187.0</v>
      </c>
      <c r="G783" s="235">
        <v>187.0</v>
      </c>
      <c r="H783" s="234">
        <v>51.0</v>
      </c>
      <c r="I783" s="235">
        <v>187.0</v>
      </c>
      <c r="J783" s="236">
        <v>4.7100873E7</v>
      </c>
      <c r="K783" s="11">
        <v>7.0</v>
      </c>
      <c r="L783" s="11">
        <v>4.0</v>
      </c>
      <c r="M783" s="237" t="str">
        <f t="shared" si="1"/>
        <v>051187004710087374</v>
      </c>
      <c r="N783" s="238">
        <v>74832.51</v>
      </c>
      <c r="O783" s="110">
        <v>111418.0</v>
      </c>
      <c r="P783" s="11">
        <v>70.0</v>
      </c>
      <c r="Q783" s="239"/>
      <c r="R783" s="17">
        <v>35.0</v>
      </c>
    </row>
    <row r="784">
      <c r="A784" s="11">
        <v>11.0</v>
      </c>
      <c r="B784" s="11">
        <v>56.0</v>
      </c>
      <c r="C784" s="11">
        <v>1.0</v>
      </c>
      <c r="D784" s="11" t="s">
        <v>5271</v>
      </c>
      <c r="E784" s="234">
        <v>51.0</v>
      </c>
      <c r="F784" s="235">
        <v>191.0</v>
      </c>
      <c r="G784" s="235">
        <v>191.0</v>
      </c>
      <c r="H784" s="234">
        <v>51.0</v>
      </c>
      <c r="I784" s="235">
        <v>191.0</v>
      </c>
      <c r="J784" s="236">
        <v>9.4634584E7</v>
      </c>
      <c r="K784" s="11">
        <v>9.0</v>
      </c>
      <c r="L784" s="11">
        <v>4.0</v>
      </c>
      <c r="M784" s="237" t="str">
        <f t="shared" si="1"/>
        <v>051191009463458494</v>
      </c>
      <c r="N784" s="238">
        <v>14193.9</v>
      </c>
      <c r="O784" s="110">
        <v>62822.0</v>
      </c>
      <c r="P784" s="11">
        <v>75.0</v>
      </c>
      <c r="Q784" s="239"/>
      <c r="R784" s="17">
        <v>97.0</v>
      </c>
    </row>
    <row r="785">
      <c r="A785" s="11">
        <v>16.0</v>
      </c>
      <c r="B785" s="11">
        <v>97.0</v>
      </c>
      <c r="C785" s="11">
        <v>8.0</v>
      </c>
      <c r="D785" s="11" t="s">
        <v>39</v>
      </c>
      <c r="E785" s="234">
        <v>47.0</v>
      </c>
      <c r="F785" s="235">
        <v>123.0</v>
      </c>
      <c r="G785" s="235">
        <v>123.0</v>
      </c>
      <c r="H785" s="234">
        <v>47.0</v>
      </c>
      <c r="I785" s="235">
        <v>123.0</v>
      </c>
      <c r="J785" s="236">
        <v>2.3120751E7</v>
      </c>
      <c r="K785" s="11">
        <v>7.0</v>
      </c>
      <c r="L785" s="11">
        <v>2.0</v>
      </c>
      <c r="M785" s="237" t="str">
        <f t="shared" si="1"/>
        <v>047123002312075172</v>
      </c>
      <c r="N785" s="238">
        <v>-30384.03</v>
      </c>
      <c r="O785" s="110">
        <v>42219.0</v>
      </c>
      <c r="P785" s="11">
        <v>74.0</v>
      </c>
      <c r="Q785" s="239"/>
      <c r="R785" s="17">
        <v>76.0</v>
      </c>
    </row>
    <row r="786">
      <c r="A786" s="11">
        <v>19.0</v>
      </c>
      <c r="B786" s="11">
        <v>97.0</v>
      </c>
      <c r="C786" s="11">
        <v>4.0</v>
      </c>
      <c r="D786" s="11" t="s">
        <v>5271</v>
      </c>
      <c r="E786" s="234">
        <v>28.0</v>
      </c>
      <c r="F786" s="235">
        <v>99.0</v>
      </c>
      <c r="G786" s="235">
        <v>99.0</v>
      </c>
      <c r="H786" s="234">
        <v>28.0</v>
      </c>
      <c r="I786" s="235">
        <v>99.0</v>
      </c>
      <c r="J786" s="236">
        <v>3.163368E7</v>
      </c>
      <c r="K786" s="11">
        <v>95.0</v>
      </c>
      <c r="L786" s="11">
        <v>6.0</v>
      </c>
      <c r="M786" s="237" t="str">
        <f t="shared" si="1"/>
        <v>0280990031633680956</v>
      </c>
      <c r="N786" s="238">
        <v>21098.97</v>
      </c>
      <c r="O786" s="110">
        <v>40518.0</v>
      </c>
      <c r="P786" s="11">
        <v>72.0</v>
      </c>
      <c r="Q786" s="239"/>
      <c r="R786" s="17">
        <v>77.0</v>
      </c>
    </row>
    <row r="787">
      <c r="A787" s="11">
        <v>16.0</v>
      </c>
      <c r="B787" s="11">
        <v>56.0</v>
      </c>
      <c r="C787" s="11">
        <v>9.0</v>
      </c>
      <c r="D787" s="11" t="s">
        <v>5272</v>
      </c>
      <c r="E787" s="234">
        <v>12.0</v>
      </c>
      <c r="F787" s="235">
        <v>3.0</v>
      </c>
      <c r="G787" s="235">
        <v>3.0</v>
      </c>
      <c r="H787" s="234">
        <v>12.0</v>
      </c>
      <c r="I787" s="235">
        <v>3.0</v>
      </c>
      <c r="J787" s="236">
        <v>8.5455549E7</v>
      </c>
      <c r="K787" s="11">
        <v>5.0</v>
      </c>
      <c r="L787" s="11">
        <v>5.0</v>
      </c>
      <c r="M787" s="237" t="str">
        <f t="shared" si="1"/>
        <v>012003008545554955</v>
      </c>
      <c r="N787" s="238">
        <v>83460.07</v>
      </c>
      <c r="O787" s="110">
        <v>42523.0</v>
      </c>
      <c r="P787" s="11">
        <v>71.0</v>
      </c>
      <c r="Q787" s="239"/>
      <c r="R787" s="17">
        <v>77.0</v>
      </c>
    </row>
    <row r="788">
      <c r="A788" s="11">
        <v>15.0</v>
      </c>
      <c r="B788" s="11">
        <v>15.0</v>
      </c>
      <c r="C788" s="11">
        <v>8.0</v>
      </c>
      <c r="D788" s="11" t="s">
        <v>31</v>
      </c>
      <c r="E788" s="234">
        <v>46.0</v>
      </c>
      <c r="F788" s="235">
        <v>29.0</v>
      </c>
      <c r="G788" s="235">
        <v>29.0</v>
      </c>
      <c r="H788" s="234">
        <v>46.0</v>
      </c>
      <c r="I788" s="235">
        <v>29.0</v>
      </c>
      <c r="J788" s="236">
        <v>9.8116874E7</v>
      </c>
      <c r="K788" s="11">
        <v>47.0</v>
      </c>
      <c r="L788" s="11">
        <v>3.0</v>
      </c>
      <c r="M788" s="237" t="str">
        <f t="shared" si="1"/>
        <v>0460290098116874473</v>
      </c>
      <c r="N788" s="238">
        <v>9883.98</v>
      </c>
      <c r="O788" s="110">
        <v>12821.0</v>
      </c>
      <c r="P788" s="11">
        <v>74.0</v>
      </c>
      <c r="Q788" s="239"/>
      <c r="R788" s="17">
        <v>56.0</v>
      </c>
    </row>
    <row r="789">
      <c r="A789" s="11">
        <v>13.0</v>
      </c>
      <c r="B789" s="11">
        <v>56.0</v>
      </c>
      <c r="C789" s="11">
        <v>5.0</v>
      </c>
      <c r="D789" s="11" t="s">
        <v>29</v>
      </c>
      <c r="E789" s="234">
        <v>22.0</v>
      </c>
      <c r="F789" s="235">
        <v>21.0</v>
      </c>
      <c r="G789" s="235">
        <v>21.0</v>
      </c>
      <c r="H789" s="234">
        <v>22.0</v>
      </c>
      <c r="I789" s="235">
        <v>21.0</v>
      </c>
      <c r="J789" s="236">
        <v>2.1714432E7</v>
      </c>
      <c r="K789" s="11">
        <v>71.0</v>
      </c>
      <c r="L789" s="11">
        <v>8.0</v>
      </c>
      <c r="M789" s="237" t="str">
        <f t="shared" si="1"/>
        <v>0220210021714432718</v>
      </c>
      <c r="N789" s="238">
        <v>-21903.73</v>
      </c>
      <c r="O789" s="110">
        <v>32419.0</v>
      </c>
      <c r="P789" s="11">
        <v>74.0</v>
      </c>
      <c r="Q789" s="239"/>
      <c r="R789" s="17">
        <v>51.0</v>
      </c>
    </row>
    <row r="790">
      <c r="A790" s="11">
        <v>16.0</v>
      </c>
      <c r="B790" s="11">
        <v>36.0</v>
      </c>
      <c r="C790" s="11">
        <v>4.0</v>
      </c>
      <c r="D790" s="11" t="s">
        <v>5271</v>
      </c>
      <c r="E790" s="234">
        <v>36.0</v>
      </c>
      <c r="F790" s="235">
        <v>47.0</v>
      </c>
      <c r="G790" s="235">
        <v>47.0</v>
      </c>
      <c r="H790" s="234">
        <v>36.0</v>
      </c>
      <c r="I790" s="235">
        <v>47.0</v>
      </c>
      <c r="J790" s="236">
        <v>4.3902556E7</v>
      </c>
      <c r="K790" s="11">
        <v>49.0</v>
      </c>
      <c r="L790" s="11">
        <v>0.0</v>
      </c>
      <c r="M790" s="237" t="str">
        <f t="shared" si="1"/>
        <v>0360470043902556490</v>
      </c>
      <c r="N790" s="238">
        <v>15982.09</v>
      </c>
      <c r="O790" s="110">
        <v>71817.0</v>
      </c>
      <c r="P790" s="11">
        <v>78.0</v>
      </c>
      <c r="Q790" s="239"/>
      <c r="R790" s="17">
        <v>15.0</v>
      </c>
    </row>
    <row r="791">
      <c r="A791" s="11">
        <v>16.0</v>
      </c>
      <c r="B791" s="11">
        <v>77.0</v>
      </c>
      <c r="C791" s="11">
        <v>6.0</v>
      </c>
      <c r="D791" s="11" t="s">
        <v>5273</v>
      </c>
      <c r="E791" s="234">
        <v>29.0</v>
      </c>
      <c r="F791" s="235">
        <v>83.0</v>
      </c>
      <c r="G791" s="235">
        <v>83.0</v>
      </c>
      <c r="H791" s="234">
        <v>29.0</v>
      </c>
      <c r="I791" s="235">
        <v>83.0</v>
      </c>
      <c r="J791" s="236">
        <v>1.3909418E7</v>
      </c>
      <c r="K791" s="11">
        <v>63.0</v>
      </c>
      <c r="L791" s="11">
        <v>8.0</v>
      </c>
      <c r="M791" s="237" t="str">
        <f t="shared" si="1"/>
        <v>0290830013909418638</v>
      </c>
      <c r="N791" s="238">
        <v>-48683.15</v>
      </c>
      <c r="O791" s="110">
        <v>11218.0</v>
      </c>
      <c r="P791" s="11">
        <v>78.0</v>
      </c>
      <c r="Q791" s="239"/>
      <c r="R791" s="17">
        <v>97.0</v>
      </c>
    </row>
    <row r="792">
      <c r="A792" s="11">
        <v>20.0</v>
      </c>
      <c r="B792" s="11">
        <v>36.0</v>
      </c>
      <c r="C792" s="11">
        <v>5.0</v>
      </c>
      <c r="D792" s="11" t="s">
        <v>39</v>
      </c>
      <c r="E792" s="234">
        <v>21.0</v>
      </c>
      <c r="F792" s="235">
        <v>135.0</v>
      </c>
      <c r="G792" s="235">
        <v>135.0</v>
      </c>
      <c r="H792" s="234">
        <v>21.0</v>
      </c>
      <c r="I792" s="235">
        <v>135.0</v>
      </c>
      <c r="J792" s="236">
        <v>8.2292342E7</v>
      </c>
      <c r="K792" s="11">
        <v>74.0</v>
      </c>
      <c r="L792" s="11">
        <v>0.0</v>
      </c>
      <c r="M792" s="237" t="str">
        <f t="shared" si="1"/>
        <v>0211350082292342740</v>
      </c>
      <c r="N792" s="238">
        <v>-26390.16</v>
      </c>
      <c r="O792" s="110">
        <v>100922.0</v>
      </c>
      <c r="P792" s="11">
        <v>74.0</v>
      </c>
      <c r="Q792" s="239"/>
      <c r="R792" s="17">
        <v>97.0</v>
      </c>
    </row>
    <row r="793">
      <c r="A793" s="11">
        <v>11.0</v>
      </c>
      <c r="B793" s="11">
        <v>97.0</v>
      </c>
      <c r="C793" s="11">
        <v>6.0</v>
      </c>
      <c r="D793" s="11" t="s">
        <v>5272</v>
      </c>
      <c r="E793" s="234">
        <v>19.0</v>
      </c>
      <c r="F793" s="235">
        <v>21.0</v>
      </c>
      <c r="G793" s="235">
        <v>21.0</v>
      </c>
      <c r="H793" s="234">
        <v>19.0</v>
      </c>
      <c r="I793" s="235">
        <v>21.0</v>
      </c>
      <c r="J793" s="236">
        <v>9.1286729E7</v>
      </c>
      <c r="K793" s="11">
        <v>39.0</v>
      </c>
      <c r="L793" s="11">
        <v>1.0</v>
      </c>
      <c r="M793" s="237" t="str">
        <f t="shared" si="1"/>
        <v>0190210091286729391</v>
      </c>
      <c r="N793" s="238">
        <v>-15229.3</v>
      </c>
      <c r="O793" s="110">
        <v>122918.0</v>
      </c>
      <c r="P793" s="11">
        <v>76.0</v>
      </c>
      <c r="Q793" s="239"/>
      <c r="R793" s="17">
        <v>36.0</v>
      </c>
    </row>
    <row r="794">
      <c r="A794" s="11">
        <v>10.0</v>
      </c>
      <c r="B794" s="11">
        <v>97.0</v>
      </c>
      <c r="C794" s="11">
        <v>8.0</v>
      </c>
      <c r="D794" s="11" t="s">
        <v>5273</v>
      </c>
      <c r="E794" s="234">
        <v>22.0</v>
      </c>
      <c r="F794" s="235">
        <v>99.0</v>
      </c>
      <c r="G794" s="235">
        <v>99.0</v>
      </c>
      <c r="H794" s="234">
        <v>22.0</v>
      </c>
      <c r="I794" s="235">
        <v>99.0</v>
      </c>
      <c r="J794" s="236">
        <v>8.6315183E7</v>
      </c>
      <c r="K794" s="11">
        <v>64.0</v>
      </c>
      <c r="L794" s="11">
        <v>2.0</v>
      </c>
      <c r="M794" s="237" t="str">
        <f t="shared" si="1"/>
        <v>0220990086315183642</v>
      </c>
      <c r="N794" s="238">
        <v>21711.15</v>
      </c>
      <c r="O794" s="110">
        <v>12415.0</v>
      </c>
      <c r="P794" s="11">
        <v>78.0</v>
      </c>
      <c r="Q794" s="239"/>
      <c r="R794" s="17">
        <v>56.0</v>
      </c>
    </row>
    <row r="795">
      <c r="A795" s="11">
        <v>14.0</v>
      </c>
      <c r="B795" s="11">
        <v>56.0</v>
      </c>
      <c r="C795" s="11">
        <v>8.0</v>
      </c>
      <c r="D795" s="11" t="s">
        <v>5272</v>
      </c>
      <c r="E795" s="234">
        <v>37.0</v>
      </c>
      <c r="F795" s="235">
        <v>23.0</v>
      </c>
      <c r="G795" s="235">
        <v>23.0</v>
      </c>
      <c r="H795" s="234">
        <v>37.0</v>
      </c>
      <c r="I795" s="235">
        <v>23.0</v>
      </c>
      <c r="J795" s="236">
        <v>4.2100314E7</v>
      </c>
      <c r="K795" s="11">
        <v>89.0</v>
      </c>
      <c r="L795" s="11">
        <v>7.0</v>
      </c>
      <c r="M795" s="237" t="str">
        <f t="shared" si="1"/>
        <v>0370230042100314897</v>
      </c>
      <c r="N795" s="238">
        <v>-39239.42</v>
      </c>
      <c r="O795" s="110">
        <v>22216.0</v>
      </c>
      <c r="P795" s="11">
        <v>77.0</v>
      </c>
      <c r="Q795" s="239"/>
      <c r="R795" s="17">
        <v>97.0</v>
      </c>
    </row>
    <row r="796">
      <c r="A796" s="11">
        <v>17.0</v>
      </c>
      <c r="B796" s="11">
        <v>15.0</v>
      </c>
      <c r="C796" s="11">
        <v>7.0</v>
      </c>
      <c r="D796" s="11" t="s">
        <v>5271</v>
      </c>
      <c r="E796" s="234">
        <v>17.0</v>
      </c>
      <c r="F796" s="235">
        <v>19.0</v>
      </c>
      <c r="G796" s="235">
        <v>19.0</v>
      </c>
      <c r="H796" s="234">
        <v>17.0</v>
      </c>
      <c r="I796" s="235">
        <v>19.0</v>
      </c>
      <c r="J796" s="236">
        <v>5.9938884E7</v>
      </c>
      <c r="K796" s="11">
        <v>78.0</v>
      </c>
      <c r="L796" s="11">
        <v>2.0</v>
      </c>
      <c r="M796" s="237" t="str">
        <f t="shared" si="1"/>
        <v>0170190059938884782</v>
      </c>
      <c r="N796" s="238">
        <v>-75817.39</v>
      </c>
      <c r="O796" s="110">
        <v>122518.0</v>
      </c>
      <c r="P796" s="11">
        <v>75.0</v>
      </c>
      <c r="Q796" s="239"/>
      <c r="R796" s="17">
        <v>97.0</v>
      </c>
    </row>
    <row r="797">
      <c r="A797" s="11">
        <v>10.0</v>
      </c>
      <c r="B797" s="11">
        <v>97.0</v>
      </c>
      <c r="C797" s="11">
        <v>6.0</v>
      </c>
      <c r="D797" s="11" t="s">
        <v>5273</v>
      </c>
      <c r="E797" s="234">
        <v>46.0</v>
      </c>
      <c r="F797" s="235">
        <v>57.0</v>
      </c>
      <c r="G797" s="235">
        <v>57.0</v>
      </c>
      <c r="H797" s="234">
        <v>46.0</v>
      </c>
      <c r="I797" s="235">
        <v>57.0</v>
      </c>
      <c r="J797" s="236">
        <v>7.670167E7</v>
      </c>
      <c r="K797" s="11">
        <v>1.0</v>
      </c>
      <c r="L797" s="11">
        <v>6.0</v>
      </c>
      <c r="M797" s="237" t="str">
        <f t="shared" si="1"/>
        <v>046057007670167016</v>
      </c>
      <c r="N797" s="238">
        <v>-55161.44</v>
      </c>
      <c r="O797" s="110">
        <v>13114.0</v>
      </c>
      <c r="P797" s="11">
        <v>74.0</v>
      </c>
      <c r="Q797" s="239"/>
      <c r="R797" s="17">
        <v>77.0</v>
      </c>
    </row>
    <row r="798">
      <c r="A798" s="11">
        <v>18.0</v>
      </c>
      <c r="B798" s="11">
        <v>56.0</v>
      </c>
      <c r="C798" s="11">
        <v>4.0</v>
      </c>
      <c r="D798" s="11" t="s">
        <v>5272</v>
      </c>
      <c r="E798" s="234">
        <v>11.0</v>
      </c>
      <c r="F798" s="235">
        <v>1.0</v>
      </c>
      <c r="G798" s="235">
        <v>1.0</v>
      </c>
      <c r="H798" s="234">
        <v>11.0</v>
      </c>
      <c r="I798" s="235">
        <v>1.0</v>
      </c>
      <c r="J798" s="236">
        <v>6.2395661E7</v>
      </c>
      <c r="K798" s="11">
        <v>96.0</v>
      </c>
      <c r="L798" s="11">
        <v>5.0</v>
      </c>
      <c r="M798" s="237" t="str">
        <f t="shared" si="1"/>
        <v>0110010062395661965</v>
      </c>
      <c r="N798" s="238">
        <v>-45687.52</v>
      </c>
      <c r="O798" s="110">
        <v>51513.0</v>
      </c>
      <c r="P798" s="11">
        <v>79.0</v>
      </c>
      <c r="Q798" s="239"/>
      <c r="R798" s="17">
        <v>77.0</v>
      </c>
    </row>
    <row r="799">
      <c r="A799" s="11">
        <v>14.0</v>
      </c>
      <c r="B799" s="11">
        <v>97.0</v>
      </c>
      <c r="C799" s="11">
        <v>7.0</v>
      </c>
      <c r="D799" s="11" t="s">
        <v>5273</v>
      </c>
      <c r="E799" s="234">
        <v>40.0</v>
      </c>
      <c r="F799" s="235">
        <v>57.0</v>
      </c>
      <c r="G799" s="235">
        <v>57.0</v>
      </c>
      <c r="H799" s="234">
        <v>40.0</v>
      </c>
      <c r="I799" s="235">
        <v>57.0</v>
      </c>
      <c r="J799" s="236">
        <v>3.8085951E7</v>
      </c>
      <c r="K799" s="11">
        <v>41.0</v>
      </c>
      <c r="L799" s="11">
        <v>0.0</v>
      </c>
      <c r="M799" s="237" t="str">
        <f t="shared" si="1"/>
        <v>0400570038085951410</v>
      </c>
      <c r="N799" s="238">
        <v>38674.17</v>
      </c>
      <c r="O799" s="110">
        <v>80113.0</v>
      </c>
      <c r="P799" s="11">
        <v>71.0</v>
      </c>
      <c r="Q799" s="239"/>
      <c r="R799" s="17">
        <v>77.0</v>
      </c>
    </row>
    <row r="800">
      <c r="A800" s="11">
        <v>11.0</v>
      </c>
      <c r="B800" s="11">
        <v>15.0</v>
      </c>
      <c r="C800" s="11">
        <v>5.0</v>
      </c>
      <c r="D800" s="11" t="s">
        <v>31</v>
      </c>
      <c r="E800" s="234">
        <v>16.0</v>
      </c>
      <c r="F800" s="235">
        <v>77.0</v>
      </c>
      <c r="G800" s="235">
        <v>77.0</v>
      </c>
      <c r="H800" s="234">
        <v>16.0</v>
      </c>
      <c r="I800" s="235">
        <v>77.0</v>
      </c>
      <c r="J800" s="236">
        <v>5.4020543E7</v>
      </c>
      <c r="K800" s="11">
        <v>56.0</v>
      </c>
      <c r="L800" s="11">
        <v>7.0</v>
      </c>
      <c r="M800" s="237" t="str">
        <f t="shared" si="1"/>
        <v>0160770054020543567</v>
      </c>
      <c r="N800" s="238">
        <v>-45449.23</v>
      </c>
      <c r="O800" s="110">
        <v>70118.0</v>
      </c>
      <c r="P800" s="11">
        <v>79.0</v>
      </c>
      <c r="Q800" s="239"/>
      <c r="R800" s="17">
        <v>36.0</v>
      </c>
    </row>
    <row r="801">
      <c r="A801" s="11">
        <v>19.0</v>
      </c>
      <c r="B801" s="11">
        <v>77.0</v>
      </c>
      <c r="C801" s="11">
        <v>8.0</v>
      </c>
      <c r="D801" s="11" t="s">
        <v>31</v>
      </c>
      <c r="E801" s="234">
        <v>36.0</v>
      </c>
      <c r="F801" s="235">
        <v>79.0</v>
      </c>
      <c r="G801" s="235">
        <v>79.0</v>
      </c>
      <c r="H801" s="234">
        <v>36.0</v>
      </c>
      <c r="I801" s="235">
        <v>79.0</v>
      </c>
      <c r="J801" s="236">
        <v>8.496831E7</v>
      </c>
      <c r="K801" s="11">
        <v>67.0</v>
      </c>
      <c r="L801" s="11">
        <v>8.0</v>
      </c>
      <c r="M801" s="237" t="str">
        <f t="shared" si="1"/>
        <v>0360790084968310678</v>
      </c>
      <c r="N801" s="238">
        <v>-3304.01</v>
      </c>
      <c r="O801" s="110">
        <v>62423.0</v>
      </c>
      <c r="P801" s="11">
        <v>72.0</v>
      </c>
      <c r="Q801" s="239"/>
      <c r="R801" s="17">
        <v>56.0</v>
      </c>
    </row>
    <row r="802">
      <c r="A802" s="11">
        <v>13.0</v>
      </c>
      <c r="B802" s="11">
        <v>97.0</v>
      </c>
      <c r="C802" s="11">
        <v>5.0</v>
      </c>
      <c r="D802" s="11" t="s">
        <v>39</v>
      </c>
      <c r="E802" s="234">
        <v>28.0</v>
      </c>
      <c r="F802" s="235">
        <v>87.0</v>
      </c>
      <c r="G802" s="235">
        <v>87.0</v>
      </c>
      <c r="H802" s="234">
        <v>28.0</v>
      </c>
      <c r="I802" s="235">
        <v>87.0</v>
      </c>
      <c r="J802" s="236">
        <v>1.7529855E7</v>
      </c>
      <c r="K802" s="11">
        <v>48.0</v>
      </c>
      <c r="L802" s="11">
        <v>2.0</v>
      </c>
      <c r="M802" s="237" t="str">
        <f t="shared" si="1"/>
        <v>0280870017529855482</v>
      </c>
      <c r="N802" s="238">
        <v>-82986.42</v>
      </c>
      <c r="O802" s="110">
        <v>52719.0</v>
      </c>
      <c r="P802" s="11">
        <v>80.0</v>
      </c>
      <c r="Q802" s="239"/>
      <c r="R802" s="17">
        <v>36.0</v>
      </c>
    </row>
    <row r="803">
      <c r="A803" s="11">
        <v>15.0</v>
      </c>
      <c r="B803" s="11">
        <v>97.0</v>
      </c>
      <c r="C803" s="11">
        <v>4.0</v>
      </c>
      <c r="D803" s="11" t="s">
        <v>5271</v>
      </c>
      <c r="E803" s="234">
        <v>39.0</v>
      </c>
      <c r="F803" s="235">
        <v>31.0</v>
      </c>
      <c r="G803" s="235">
        <v>31.0</v>
      </c>
      <c r="H803" s="234">
        <v>39.0</v>
      </c>
      <c r="I803" s="235">
        <v>31.0</v>
      </c>
      <c r="J803" s="236">
        <v>8.9444699E7</v>
      </c>
      <c r="K803" s="11">
        <v>15.0</v>
      </c>
      <c r="L803" s="11">
        <v>3.0</v>
      </c>
      <c r="M803" s="237" t="str">
        <f t="shared" si="1"/>
        <v>0390310089444699153</v>
      </c>
      <c r="N803" s="238">
        <v>90361.82</v>
      </c>
      <c r="O803" s="110">
        <v>82817.0</v>
      </c>
      <c r="P803" s="11">
        <v>70.0</v>
      </c>
      <c r="Q803" s="239"/>
      <c r="R803" s="17">
        <v>36.0</v>
      </c>
    </row>
    <row r="804">
      <c r="A804" s="11">
        <v>11.0</v>
      </c>
      <c r="B804" s="11">
        <v>77.0</v>
      </c>
      <c r="C804" s="11">
        <v>4.0</v>
      </c>
      <c r="D804" s="11" t="s">
        <v>5272</v>
      </c>
      <c r="E804" s="234">
        <v>29.0</v>
      </c>
      <c r="F804" s="235">
        <v>107.0</v>
      </c>
      <c r="G804" s="235">
        <v>107.0</v>
      </c>
      <c r="H804" s="234">
        <v>29.0</v>
      </c>
      <c r="I804" s="235">
        <v>107.0</v>
      </c>
      <c r="J804" s="236">
        <v>3.038312E7</v>
      </c>
      <c r="K804" s="11">
        <v>49.0</v>
      </c>
      <c r="L804" s="11">
        <v>4.0</v>
      </c>
      <c r="M804" s="237" t="str">
        <f t="shared" si="1"/>
        <v>0291070030383120494</v>
      </c>
      <c r="N804" s="238">
        <v>60319.45</v>
      </c>
      <c r="O804" s="110">
        <v>81816.0</v>
      </c>
      <c r="P804" s="11">
        <v>71.0</v>
      </c>
      <c r="Q804" s="239"/>
      <c r="R804" s="17">
        <v>97.0</v>
      </c>
    </row>
    <row r="805">
      <c r="A805" s="11">
        <v>16.0</v>
      </c>
      <c r="B805" s="11">
        <v>97.0</v>
      </c>
      <c r="C805" s="11">
        <v>2.0</v>
      </c>
      <c r="D805" s="11" t="s">
        <v>5273</v>
      </c>
      <c r="E805" s="234">
        <v>12.0</v>
      </c>
      <c r="F805" s="235">
        <v>133.0</v>
      </c>
      <c r="G805" s="235">
        <v>133.0</v>
      </c>
      <c r="H805" s="234">
        <v>12.0</v>
      </c>
      <c r="I805" s="235">
        <v>133.0</v>
      </c>
      <c r="J805" s="236">
        <v>1.0869711E7</v>
      </c>
      <c r="K805" s="11">
        <v>18.0</v>
      </c>
      <c r="L805" s="11">
        <v>4.0</v>
      </c>
      <c r="M805" s="237" t="str">
        <f t="shared" si="1"/>
        <v>0121330010869711184</v>
      </c>
      <c r="N805" s="238">
        <v>-96274.37</v>
      </c>
      <c r="O805" s="110">
        <v>41121.0</v>
      </c>
      <c r="P805" s="11">
        <v>74.0</v>
      </c>
      <c r="Q805" s="239"/>
      <c r="R805" s="17">
        <v>77.0</v>
      </c>
    </row>
    <row r="806">
      <c r="A806" s="11">
        <v>15.0</v>
      </c>
      <c r="B806" s="11">
        <v>77.0</v>
      </c>
      <c r="C806" s="11">
        <v>9.0</v>
      </c>
      <c r="D806" s="11" t="s">
        <v>5273</v>
      </c>
      <c r="E806" s="234">
        <v>29.0</v>
      </c>
      <c r="F806" s="235">
        <v>29.0</v>
      </c>
      <c r="G806" s="235">
        <v>29.0</v>
      </c>
      <c r="H806" s="234">
        <v>29.0</v>
      </c>
      <c r="I806" s="235">
        <v>29.0</v>
      </c>
      <c r="J806" s="236">
        <v>8.8362325E7</v>
      </c>
      <c r="K806" s="11">
        <v>47.0</v>
      </c>
      <c r="L806" s="11">
        <v>9.0</v>
      </c>
      <c r="M806" s="237" t="str">
        <f t="shared" si="1"/>
        <v>0290290088362325479</v>
      </c>
      <c r="N806" s="238">
        <v>61210.97</v>
      </c>
      <c r="O806" s="110">
        <v>51019.0</v>
      </c>
      <c r="P806" s="11">
        <v>76.0</v>
      </c>
      <c r="Q806" s="239"/>
      <c r="R806" s="17">
        <v>56.0</v>
      </c>
    </row>
    <row r="807">
      <c r="A807" s="11">
        <v>10.0</v>
      </c>
      <c r="B807" s="11">
        <v>97.0</v>
      </c>
      <c r="C807" s="11">
        <v>3.0</v>
      </c>
      <c r="D807" s="11" t="s">
        <v>29</v>
      </c>
      <c r="E807" s="234">
        <v>29.0</v>
      </c>
      <c r="F807" s="235">
        <v>95.0</v>
      </c>
      <c r="G807" s="235">
        <v>95.0</v>
      </c>
      <c r="H807" s="234">
        <v>29.0</v>
      </c>
      <c r="I807" s="235">
        <v>95.0</v>
      </c>
      <c r="J807" s="236">
        <v>3.3419412E7</v>
      </c>
      <c r="K807" s="11">
        <v>61.0</v>
      </c>
      <c r="L807" s="11">
        <v>0.0</v>
      </c>
      <c r="M807" s="237" t="str">
        <f t="shared" si="1"/>
        <v>0290950033419412610</v>
      </c>
      <c r="N807" s="238">
        <v>-41430.48</v>
      </c>
      <c r="O807" s="110">
        <v>102019.0</v>
      </c>
      <c r="P807" s="11">
        <v>79.0</v>
      </c>
      <c r="Q807" s="239"/>
      <c r="R807" s="17">
        <v>77.0</v>
      </c>
    </row>
    <row r="808">
      <c r="A808" s="11">
        <v>20.0</v>
      </c>
      <c r="B808" s="11">
        <v>15.0</v>
      </c>
      <c r="C808" s="11">
        <v>7.0</v>
      </c>
      <c r="D808" s="11" t="s">
        <v>5273</v>
      </c>
      <c r="E808" s="234">
        <v>1.0</v>
      </c>
      <c r="F808" s="235">
        <v>55.0</v>
      </c>
      <c r="G808" s="235">
        <v>55.0</v>
      </c>
      <c r="H808" s="234">
        <v>1.0</v>
      </c>
      <c r="I808" s="235">
        <v>55.0</v>
      </c>
      <c r="J808" s="236">
        <v>3.6440372E7</v>
      </c>
      <c r="K808" s="11">
        <v>11.0</v>
      </c>
      <c r="L808" s="11">
        <v>0.0</v>
      </c>
      <c r="M808" s="237" t="str">
        <f t="shared" si="1"/>
        <v>010550036440372110</v>
      </c>
      <c r="N808" s="238">
        <v>82328.72</v>
      </c>
      <c r="O808" s="110">
        <v>30513.0</v>
      </c>
      <c r="P808" s="11">
        <v>74.0</v>
      </c>
      <c r="Q808" s="239"/>
      <c r="R808" s="17">
        <v>36.0</v>
      </c>
    </row>
    <row r="809">
      <c r="A809" s="11">
        <v>13.0</v>
      </c>
      <c r="B809" s="11">
        <v>97.0</v>
      </c>
      <c r="C809" s="11">
        <v>7.0</v>
      </c>
      <c r="D809" s="11" t="s">
        <v>31</v>
      </c>
      <c r="E809" s="234">
        <v>6.0</v>
      </c>
      <c r="F809" s="235">
        <v>91.0</v>
      </c>
      <c r="G809" s="235">
        <v>91.0</v>
      </c>
      <c r="H809" s="234">
        <v>6.0</v>
      </c>
      <c r="I809" s="235">
        <v>91.0</v>
      </c>
      <c r="J809" s="236">
        <v>1.7997511E7</v>
      </c>
      <c r="K809" s="11">
        <v>82.0</v>
      </c>
      <c r="L809" s="11">
        <v>4.0</v>
      </c>
      <c r="M809" s="237" t="str">
        <f t="shared" si="1"/>
        <v>060910017997511824</v>
      </c>
      <c r="N809" s="238">
        <v>69436.09</v>
      </c>
      <c r="O809" s="110">
        <v>51918.0</v>
      </c>
      <c r="P809" s="11">
        <v>70.0</v>
      </c>
      <c r="Q809" s="239"/>
      <c r="R809" s="17">
        <v>56.0</v>
      </c>
    </row>
    <row r="810">
      <c r="A810" s="11">
        <v>18.0</v>
      </c>
      <c r="B810" s="11">
        <v>15.0</v>
      </c>
      <c r="C810" s="11">
        <v>3.0</v>
      </c>
      <c r="D810" s="11" t="s">
        <v>5271</v>
      </c>
      <c r="E810" s="234">
        <v>17.0</v>
      </c>
      <c r="F810" s="235">
        <v>91.0</v>
      </c>
      <c r="G810" s="235">
        <v>91.0</v>
      </c>
      <c r="H810" s="234">
        <v>17.0</v>
      </c>
      <c r="I810" s="235">
        <v>91.0</v>
      </c>
      <c r="J810" s="236">
        <v>1.4414037E7</v>
      </c>
      <c r="K810" s="11">
        <v>1.0</v>
      </c>
      <c r="L810" s="11">
        <v>9.0</v>
      </c>
      <c r="M810" s="237" t="str">
        <f t="shared" si="1"/>
        <v>017091001441403719</v>
      </c>
      <c r="N810" s="238">
        <v>-93443.78</v>
      </c>
      <c r="O810" s="110">
        <v>21123.0</v>
      </c>
      <c r="P810" s="11">
        <v>74.0</v>
      </c>
      <c r="Q810" s="239"/>
      <c r="R810" s="17">
        <v>16.0</v>
      </c>
    </row>
    <row r="811">
      <c r="A811" s="11">
        <v>18.0</v>
      </c>
      <c r="B811" s="11">
        <v>36.0</v>
      </c>
      <c r="C811" s="11">
        <v>8.0</v>
      </c>
      <c r="D811" s="11" t="s">
        <v>31</v>
      </c>
      <c r="E811" s="234">
        <v>44.0</v>
      </c>
      <c r="F811" s="235">
        <v>9.0</v>
      </c>
      <c r="G811" s="235">
        <v>9.0</v>
      </c>
      <c r="H811" s="234">
        <v>44.0</v>
      </c>
      <c r="I811" s="235">
        <v>9.0</v>
      </c>
      <c r="J811" s="236">
        <v>9.9328189E7</v>
      </c>
      <c r="K811" s="11">
        <v>73.0</v>
      </c>
      <c r="L811" s="11">
        <v>8.0</v>
      </c>
      <c r="M811" s="237" t="str">
        <f t="shared" si="1"/>
        <v>0440090099328189738</v>
      </c>
      <c r="N811" s="238">
        <v>76190.55</v>
      </c>
      <c r="O811" s="110">
        <v>70714.0</v>
      </c>
      <c r="P811" s="11">
        <v>71.0</v>
      </c>
      <c r="Q811" s="239"/>
      <c r="R811" s="17">
        <v>16.0</v>
      </c>
    </row>
    <row r="812">
      <c r="A812" s="11">
        <v>17.0</v>
      </c>
      <c r="B812" s="11">
        <v>77.0</v>
      </c>
      <c r="C812" s="11">
        <v>3.0</v>
      </c>
      <c r="D812" s="11" t="s">
        <v>5273</v>
      </c>
      <c r="E812" s="234">
        <v>13.0</v>
      </c>
      <c r="F812" s="235">
        <v>51.0</v>
      </c>
      <c r="G812" s="235">
        <v>51.0</v>
      </c>
      <c r="H812" s="234">
        <v>13.0</v>
      </c>
      <c r="I812" s="235">
        <v>51.0</v>
      </c>
      <c r="J812" s="236">
        <v>8.1359003E7</v>
      </c>
      <c r="K812" s="11">
        <v>11.0</v>
      </c>
      <c r="L812" s="11">
        <v>8.0</v>
      </c>
      <c r="M812" s="237" t="str">
        <f t="shared" si="1"/>
        <v>0130510081359003118</v>
      </c>
      <c r="N812" s="238">
        <v>32276.95</v>
      </c>
      <c r="O812" s="110">
        <v>51616.0</v>
      </c>
      <c r="P812" s="11">
        <v>79.0</v>
      </c>
      <c r="Q812" s="239"/>
      <c r="R812" s="17">
        <v>77.0</v>
      </c>
    </row>
    <row r="813">
      <c r="A813" s="11">
        <v>13.0</v>
      </c>
      <c r="B813" s="11">
        <v>56.0</v>
      </c>
      <c r="C813" s="11">
        <v>8.0</v>
      </c>
      <c r="D813" s="11" t="s">
        <v>31</v>
      </c>
      <c r="E813" s="234">
        <v>26.0</v>
      </c>
      <c r="F813" s="235">
        <v>55.0</v>
      </c>
      <c r="G813" s="235">
        <v>55.0</v>
      </c>
      <c r="H813" s="234">
        <v>26.0</v>
      </c>
      <c r="I813" s="235">
        <v>55.0</v>
      </c>
      <c r="J813" s="236">
        <v>7.6322421E7</v>
      </c>
      <c r="K813" s="11">
        <v>30.0</v>
      </c>
      <c r="L813" s="11">
        <v>3.0</v>
      </c>
      <c r="M813" s="237" t="str">
        <f t="shared" si="1"/>
        <v>0260550076322421303</v>
      </c>
      <c r="N813" s="238">
        <v>-80487.54</v>
      </c>
      <c r="O813" s="110">
        <v>91721.0</v>
      </c>
      <c r="P813" s="11">
        <v>80.0</v>
      </c>
      <c r="Q813" s="239"/>
      <c r="R813" s="17">
        <v>77.0</v>
      </c>
    </row>
    <row r="814">
      <c r="A814" s="11">
        <v>13.0</v>
      </c>
      <c r="B814" s="11">
        <v>97.0</v>
      </c>
      <c r="C814" s="11">
        <v>2.0</v>
      </c>
      <c r="D814" s="11" t="s">
        <v>39</v>
      </c>
      <c r="E814" s="234">
        <v>51.0</v>
      </c>
      <c r="F814" s="235">
        <v>105.0</v>
      </c>
      <c r="G814" s="235">
        <v>105.0</v>
      </c>
      <c r="H814" s="234">
        <v>51.0</v>
      </c>
      <c r="I814" s="235">
        <v>105.0</v>
      </c>
      <c r="J814" s="236">
        <v>8.4087292E7</v>
      </c>
      <c r="K814" s="11">
        <v>68.0</v>
      </c>
      <c r="L814" s="11">
        <v>7.0</v>
      </c>
      <c r="M814" s="237" t="str">
        <f t="shared" si="1"/>
        <v>0511050084087292687</v>
      </c>
      <c r="N814" s="238">
        <v>75629.5</v>
      </c>
      <c r="O814" s="110">
        <v>121420.0</v>
      </c>
      <c r="P814" s="11">
        <v>70.0</v>
      </c>
      <c r="Q814" s="239"/>
      <c r="R814" s="17">
        <v>16.0</v>
      </c>
    </row>
    <row r="815">
      <c r="A815" s="11">
        <v>20.0</v>
      </c>
      <c r="B815" s="11">
        <v>77.0</v>
      </c>
      <c r="C815" s="11">
        <v>1.0</v>
      </c>
      <c r="D815" s="11" t="s">
        <v>29</v>
      </c>
      <c r="E815" s="234">
        <v>26.0</v>
      </c>
      <c r="F815" s="235">
        <v>5.0</v>
      </c>
      <c r="G815" s="235">
        <v>5.0</v>
      </c>
      <c r="H815" s="234">
        <v>26.0</v>
      </c>
      <c r="I815" s="235">
        <v>5.0</v>
      </c>
      <c r="J815" s="236">
        <v>2.1993909E7</v>
      </c>
      <c r="K815" s="11">
        <v>15.0</v>
      </c>
      <c r="L815" s="11">
        <v>7.0</v>
      </c>
      <c r="M815" s="237" t="str">
        <f t="shared" si="1"/>
        <v>0260050021993909157</v>
      </c>
      <c r="N815" s="238">
        <v>-81279.5</v>
      </c>
      <c r="O815" s="110">
        <v>40922.0</v>
      </c>
      <c r="P815" s="11">
        <v>80.0</v>
      </c>
      <c r="Q815" s="239"/>
      <c r="R815" s="17">
        <v>16.0</v>
      </c>
    </row>
    <row r="816">
      <c r="A816" s="11">
        <v>11.0</v>
      </c>
      <c r="B816" s="11">
        <v>36.0</v>
      </c>
      <c r="C816" s="11">
        <v>9.0</v>
      </c>
      <c r="D816" s="11" t="s">
        <v>31</v>
      </c>
      <c r="E816" s="234">
        <v>8.0</v>
      </c>
      <c r="F816" s="235">
        <v>91.0</v>
      </c>
      <c r="G816" s="235">
        <v>91.0</v>
      </c>
      <c r="H816" s="234">
        <v>8.0</v>
      </c>
      <c r="I816" s="235">
        <v>91.0</v>
      </c>
      <c r="J816" s="236">
        <v>9.2988575E7</v>
      </c>
      <c r="K816" s="11">
        <v>39.0</v>
      </c>
      <c r="L816" s="11">
        <v>8.0</v>
      </c>
      <c r="M816" s="237" t="str">
        <f t="shared" si="1"/>
        <v>080910092988575398</v>
      </c>
      <c r="N816" s="238">
        <v>53580.33</v>
      </c>
      <c r="O816" s="110">
        <v>102217.0</v>
      </c>
      <c r="P816" s="11">
        <v>75.0</v>
      </c>
      <c r="Q816" s="239"/>
      <c r="R816" s="17">
        <v>77.0</v>
      </c>
    </row>
    <row r="817">
      <c r="A817" s="11">
        <v>10.0</v>
      </c>
      <c r="B817" s="11">
        <v>77.0</v>
      </c>
      <c r="C817" s="11">
        <v>7.0</v>
      </c>
      <c r="D817" s="11" t="s">
        <v>5272</v>
      </c>
      <c r="E817" s="234">
        <v>28.0</v>
      </c>
      <c r="F817" s="235">
        <v>155.0</v>
      </c>
      <c r="G817" s="235">
        <v>155.0</v>
      </c>
      <c r="H817" s="234">
        <v>28.0</v>
      </c>
      <c r="I817" s="235">
        <v>155.0</v>
      </c>
      <c r="J817" s="236">
        <v>7.0505237E7</v>
      </c>
      <c r="K817" s="11">
        <v>85.0</v>
      </c>
      <c r="L817" s="11">
        <v>4.0</v>
      </c>
      <c r="M817" s="237" t="str">
        <f t="shared" si="1"/>
        <v>0281550070505237854</v>
      </c>
      <c r="N817" s="238">
        <v>-31095.83</v>
      </c>
      <c r="O817" s="110">
        <v>11622.0</v>
      </c>
      <c r="P817" s="11">
        <v>72.0</v>
      </c>
      <c r="Q817" s="239"/>
      <c r="R817" s="17">
        <v>57.0</v>
      </c>
    </row>
    <row r="818">
      <c r="A818" s="11">
        <v>16.0</v>
      </c>
      <c r="B818" s="11">
        <v>77.0</v>
      </c>
      <c r="C818" s="11">
        <v>6.0</v>
      </c>
      <c r="D818" s="11" t="s">
        <v>29</v>
      </c>
      <c r="E818" s="234">
        <v>28.0</v>
      </c>
      <c r="F818" s="235">
        <v>109.0</v>
      </c>
      <c r="G818" s="235">
        <v>109.0</v>
      </c>
      <c r="H818" s="234">
        <v>28.0</v>
      </c>
      <c r="I818" s="235">
        <v>109.0</v>
      </c>
      <c r="J818" s="236">
        <v>4.2694027E7</v>
      </c>
      <c r="K818" s="11">
        <v>54.0</v>
      </c>
      <c r="L818" s="11">
        <v>2.0</v>
      </c>
      <c r="M818" s="237" t="str">
        <f t="shared" si="1"/>
        <v>0281090042694027542</v>
      </c>
      <c r="N818" s="238">
        <v>-81680.25</v>
      </c>
      <c r="O818" s="110">
        <v>31914.0</v>
      </c>
      <c r="P818" s="11">
        <v>79.0</v>
      </c>
      <c r="Q818" s="239"/>
      <c r="R818" s="17">
        <v>16.0</v>
      </c>
    </row>
    <row r="819">
      <c r="A819" s="11">
        <v>12.0</v>
      </c>
      <c r="B819" s="11">
        <v>77.0</v>
      </c>
      <c r="C819" s="11">
        <v>7.0</v>
      </c>
      <c r="D819" s="11" t="s">
        <v>39</v>
      </c>
      <c r="E819" s="234">
        <v>48.0</v>
      </c>
      <c r="F819" s="235">
        <v>35.0</v>
      </c>
      <c r="G819" s="235">
        <v>35.0</v>
      </c>
      <c r="H819" s="234">
        <v>48.0</v>
      </c>
      <c r="I819" s="235">
        <v>35.0</v>
      </c>
      <c r="J819" s="236">
        <v>1.0784217E7</v>
      </c>
      <c r="K819" s="11">
        <v>30.0</v>
      </c>
      <c r="L819" s="11">
        <v>3.0</v>
      </c>
      <c r="M819" s="237" t="str">
        <f t="shared" si="1"/>
        <v>0480350010784217303</v>
      </c>
      <c r="N819" s="238">
        <v>36476.94</v>
      </c>
      <c r="O819" s="110">
        <v>41917.0</v>
      </c>
      <c r="P819" s="11">
        <v>79.0</v>
      </c>
      <c r="Q819" s="239"/>
      <c r="R819" s="17">
        <v>16.0</v>
      </c>
    </row>
    <row r="820">
      <c r="A820" s="11">
        <v>12.0</v>
      </c>
      <c r="B820" s="11">
        <v>77.0</v>
      </c>
      <c r="C820" s="11">
        <v>7.0</v>
      </c>
      <c r="D820" s="11" t="s">
        <v>5273</v>
      </c>
      <c r="E820" s="234">
        <v>21.0</v>
      </c>
      <c r="F820" s="235">
        <v>93.0</v>
      </c>
      <c r="G820" s="235">
        <v>93.0</v>
      </c>
      <c r="H820" s="234">
        <v>21.0</v>
      </c>
      <c r="I820" s="235">
        <v>93.0</v>
      </c>
      <c r="J820" s="236">
        <v>6.5377493E7</v>
      </c>
      <c r="K820" s="11">
        <v>39.0</v>
      </c>
      <c r="L820" s="11">
        <v>5.0</v>
      </c>
      <c r="M820" s="237" t="str">
        <f t="shared" si="1"/>
        <v>0210930065377493395</v>
      </c>
      <c r="N820" s="238">
        <v>23259.33</v>
      </c>
      <c r="O820" s="110">
        <v>20215.0</v>
      </c>
      <c r="P820" s="11">
        <v>79.0</v>
      </c>
      <c r="Q820" s="239"/>
      <c r="R820" s="17">
        <v>36.0</v>
      </c>
    </row>
    <row r="821">
      <c r="A821" s="11">
        <v>15.0</v>
      </c>
      <c r="B821" s="11">
        <v>98.0</v>
      </c>
      <c r="C821" s="11">
        <v>8.0</v>
      </c>
      <c r="D821" s="11" t="s">
        <v>31</v>
      </c>
      <c r="E821" s="234">
        <v>29.0</v>
      </c>
      <c r="F821" s="235">
        <v>41.0</v>
      </c>
      <c r="G821" s="235">
        <v>41.0</v>
      </c>
      <c r="H821" s="234">
        <v>29.0</v>
      </c>
      <c r="I821" s="235">
        <v>41.0</v>
      </c>
      <c r="J821" s="236">
        <v>5.9587654E7</v>
      </c>
      <c r="K821" s="11">
        <v>73.0</v>
      </c>
      <c r="L821" s="11">
        <v>4.0</v>
      </c>
      <c r="M821" s="237" t="str">
        <f t="shared" si="1"/>
        <v>0290410059587654734</v>
      </c>
      <c r="N821" s="238">
        <v>-58347.07</v>
      </c>
      <c r="O821" s="110">
        <v>111623.0</v>
      </c>
      <c r="P821" s="11">
        <v>78.0</v>
      </c>
      <c r="Q821" s="239"/>
      <c r="R821" s="17">
        <v>98.0</v>
      </c>
    </row>
    <row r="822">
      <c r="A822" s="11">
        <v>16.0</v>
      </c>
      <c r="B822" s="11">
        <v>77.0</v>
      </c>
      <c r="C822" s="11">
        <v>4.0</v>
      </c>
      <c r="D822" s="11" t="s">
        <v>5271</v>
      </c>
      <c r="E822" s="234">
        <v>12.0</v>
      </c>
      <c r="F822" s="235">
        <v>61.0</v>
      </c>
      <c r="G822" s="235">
        <v>61.0</v>
      </c>
      <c r="H822" s="234">
        <v>12.0</v>
      </c>
      <c r="I822" s="235">
        <v>61.0</v>
      </c>
      <c r="J822" s="236">
        <v>3.5743801E7</v>
      </c>
      <c r="K822" s="11">
        <v>83.0</v>
      </c>
      <c r="L822" s="11">
        <v>1.0</v>
      </c>
      <c r="M822" s="237" t="str">
        <f t="shared" si="1"/>
        <v>0120610035743801831</v>
      </c>
      <c r="N822" s="238">
        <v>-26330.0</v>
      </c>
      <c r="O822" s="110">
        <v>10119.0</v>
      </c>
      <c r="P822" s="11">
        <v>70.0</v>
      </c>
      <c r="Q822" s="239"/>
      <c r="R822" s="17">
        <v>36.0</v>
      </c>
    </row>
    <row r="823">
      <c r="A823" s="11">
        <v>12.0</v>
      </c>
      <c r="B823" s="11">
        <v>98.0</v>
      </c>
      <c r="C823" s="11">
        <v>3.0</v>
      </c>
      <c r="D823" s="11" t="s">
        <v>5272</v>
      </c>
      <c r="E823" s="234">
        <v>26.0</v>
      </c>
      <c r="F823" s="235">
        <v>141.0</v>
      </c>
      <c r="G823" s="235">
        <v>141.0</v>
      </c>
      <c r="H823" s="234">
        <v>26.0</v>
      </c>
      <c r="I823" s="235">
        <v>141.0</v>
      </c>
      <c r="J823" s="236">
        <v>9.2684751E7</v>
      </c>
      <c r="K823" s="11">
        <v>47.0</v>
      </c>
      <c r="L823" s="11">
        <v>7.0</v>
      </c>
      <c r="M823" s="237" t="str">
        <f t="shared" si="1"/>
        <v>0261410092684751477</v>
      </c>
      <c r="N823" s="238">
        <v>91357.34</v>
      </c>
      <c r="O823" s="110">
        <v>81814.0</v>
      </c>
      <c r="P823" s="11">
        <v>73.0</v>
      </c>
      <c r="Q823" s="239"/>
      <c r="R823" s="17">
        <v>57.0</v>
      </c>
    </row>
    <row r="824">
      <c r="A824" s="11">
        <v>19.0</v>
      </c>
      <c r="B824" s="11">
        <v>57.0</v>
      </c>
      <c r="C824" s="11">
        <v>2.0</v>
      </c>
      <c r="D824" s="11" t="s">
        <v>5273</v>
      </c>
      <c r="E824" s="234">
        <v>48.0</v>
      </c>
      <c r="F824" s="235">
        <v>393.0</v>
      </c>
      <c r="G824" s="235">
        <v>393.0</v>
      </c>
      <c r="H824" s="234">
        <v>48.0</v>
      </c>
      <c r="I824" s="235">
        <v>393.0</v>
      </c>
      <c r="J824" s="236">
        <v>2.9463157E7</v>
      </c>
      <c r="K824" s="11">
        <v>82.0</v>
      </c>
      <c r="L824" s="11">
        <v>7.0</v>
      </c>
      <c r="M824" s="237" t="str">
        <f t="shared" si="1"/>
        <v>0483930029463157827</v>
      </c>
      <c r="N824" s="238">
        <v>-38561.27</v>
      </c>
      <c r="O824" s="110">
        <v>100814.0</v>
      </c>
      <c r="P824" s="11">
        <v>74.0</v>
      </c>
      <c r="Q824" s="239"/>
      <c r="R824" s="17">
        <v>16.0</v>
      </c>
    </row>
    <row r="825">
      <c r="A825" s="11">
        <v>20.0</v>
      </c>
      <c r="B825" s="11">
        <v>77.0</v>
      </c>
      <c r="C825" s="11">
        <v>7.0</v>
      </c>
      <c r="D825" s="11" t="s">
        <v>29</v>
      </c>
      <c r="E825" s="234">
        <v>45.0</v>
      </c>
      <c r="F825" s="235">
        <v>73.0</v>
      </c>
      <c r="G825" s="235">
        <v>73.0</v>
      </c>
      <c r="H825" s="234">
        <v>45.0</v>
      </c>
      <c r="I825" s="235">
        <v>73.0</v>
      </c>
      <c r="J825" s="236">
        <v>6.7608238E7</v>
      </c>
      <c r="K825" s="11">
        <v>61.0</v>
      </c>
      <c r="L825" s="11">
        <v>3.0</v>
      </c>
      <c r="M825" s="237" t="str">
        <f t="shared" si="1"/>
        <v>0450730067608238613</v>
      </c>
      <c r="N825" s="238">
        <v>88293.89</v>
      </c>
      <c r="O825" s="110">
        <v>102920.0</v>
      </c>
      <c r="P825" s="11">
        <v>76.0</v>
      </c>
      <c r="Q825" s="239"/>
      <c r="R825" s="17">
        <v>98.0</v>
      </c>
    </row>
    <row r="826">
      <c r="A826" s="11">
        <v>13.0</v>
      </c>
      <c r="B826" s="11">
        <v>77.0</v>
      </c>
      <c r="C826" s="11">
        <v>2.0</v>
      </c>
      <c r="D826" s="11" t="s">
        <v>29</v>
      </c>
      <c r="E826" s="234">
        <v>27.0</v>
      </c>
      <c r="F826" s="235">
        <v>119.0</v>
      </c>
      <c r="G826" s="235">
        <v>119.0</v>
      </c>
      <c r="H826" s="234">
        <v>27.0</v>
      </c>
      <c r="I826" s="235">
        <v>119.0</v>
      </c>
      <c r="J826" s="236">
        <v>1.5662955E7</v>
      </c>
      <c r="K826" s="11">
        <v>87.0</v>
      </c>
      <c r="L826" s="11">
        <v>8.0</v>
      </c>
      <c r="M826" s="237" t="str">
        <f t="shared" si="1"/>
        <v>0271190015662955878</v>
      </c>
      <c r="N826" s="238">
        <v>-37175.01</v>
      </c>
      <c r="O826" s="110">
        <v>41116.0</v>
      </c>
      <c r="P826" s="11">
        <v>80.0</v>
      </c>
      <c r="Q826" s="239"/>
      <c r="R826" s="17">
        <v>16.0</v>
      </c>
    </row>
    <row r="827">
      <c r="A827" s="11">
        <v>16.0</v>
      </c>
      <c r="B827" s="11">
        <v>16.0</v>
      </c>
      <c r="C827" s="11">
        <v>6.0</v>
      </c>
      <c r="D827" s="11" t="s">
        <v>5272</v>
      </c>
      <c r="E827" s="234">
        <v>47.0</v>
      </c>
      <c r="F827" s="235">
        <v>77.0</v>
      </c>
      <c r="G827" s="235">
        <v>77.0</v>
      </c>
      <c r="H827" s="234">
        <v>47.0</v>
      </c>
      <c r="I827" s="235">
        <v>77.0</v>
      </c>
      <c r="J827" s="236">
        <v>9.2941236E7</v>
      </c>
      <c r="K827" s="11">
        <v>14.0</v>
      </c>
      <c r="L827" s="11">
        <v>5.0</v>
      </c>
      <c r="M827" s="237" t="str">
        <f t="shared" si="1"/>
        <v>0470770092941236145</v>
      </c>
      <c r="N827" s="238">
        <v>59952.44</v>
      </c>
      <c r="O827" s="110">
        <v>22816.0</v>
      </c>
      <c r="P827" s="11">
        <v>70.0</v>
      </c>
      <c r="Q827" s="239"/>
      <c r="R827" s="17">
        <v>16.0</v>
      </c>
    </row>
    <row r="828">
      <c r="A828" s="11">
        <v>15.0</v>
      </c>
      <c r="B828" s="11">
        <v>77.0</v>
      </c>
      <c r="C828" s="11">
        <v>8.0</v>
      </c>
      <c r="D828" s="11" t="s">
        <v>5271</v>
      </c>
      <c r="E828" s="234">
        <v>28.0</v>
      </c>
      <c r="F828" s="235">
        <v>101.0</v>
      </c>
      <c r="G828" s="235">
        <v>101.0</v>
      </c>
      <c r="H828" s="234">
        <v>28.0</v>
      </c>
      <c r="I828" s="235">
        <v>101.0</v>
      </c>
      <c r="J828" s="236">
        <v>6.5797542E7</v>
      </c>
      <c r="K828" s="11">
        <v>56.0</v>
      </c>
      <c r="L828" s="11">
        <v>0.0</v>
      </c>
      <c r="M828" s="237" t="str">
        <f t="shared" si="1"/>
        <v>0281010065797542560</v>
      </c>
      <c r="N828" s="238">
        <v>-46111.18</v>
      </c>
      <c r="O828" s="110">
        <v>90723.0</v>
      </c>
      <c r="P828" s="11">
        <v>78.0</v>
      </c>
      <c r="Q828" s="239"/>
      <c r="R828" s="17">
        <v>36.0</v>
      </c>
    </row>
    <row r="829">
      <c r="A829" s="11">
        <v>14.0</v>
      </c>
      <c r="B829" s="11">
        <v>98.0</v>
      </c>
      <c r="C829" s="11">
        <v>3.0</v>
      </c>
      <c r="D829" s="11" t="s">
        <v>5272</v>
      </c>
      <c r="E829" s="234">
        <v>21.0</v>
      </c>
      <c r="F829" s="235">
        <v>7.0</v>
      </c>
      <c r="G829" s="235">
        <v>7.0</v>
      </c>
      <c r="H829" s="234">
        <v>21.0</v>
      </c>
      <c r="I829" s="235">
        <v>7.0</v>
      </c>
      <c r="J829" s="236">
        <v>5.0817858E7</v>
      </c>
      <c r="K829" s="11">
        <v>23.0</v>
      </c>
      <c r="L829" s="11">
        <v>5.0</v>
      </c>
      <c r="M829" s="237" t="str">
        <f t="shared" si="1"/>
        <v>0210070050817858235</v>
      </c>
      <c r="N829" s="238">
        <v>51817.81</v>
      </c>
      <c r="O829" s="110">
        <v>31115.0</v>
      </c>
      <c r="P829" s="11">
        <v>74.0</v>
      </c>
      <c r="Q829" s="239"/>
      <c r="R829" s="17">
        <v>16.0</v>
      </c>
    </row>
    <row r="830">
      <c r="A830" s="11">
        <v>18.0</v>
      </c>
      <c r="B830" s="11">
        <v>36.0</v>
      </c>
      <c r="C830" s="11">
        <v>5.0</v>
      </c>
      <c r="D830" s="11" t="s">
        <v>39</v>
      </c>
      <c r="E830" s="234">
        <v>48.0</v>
      </c>
      <c r="F830" s="235">
        <v>437.0</v>
      </c>
      <c r="G830" s="235">
        <v>437.0</v>
      </c>
      <c r="H830" s="234">
        <v>48.0</v>
      </c>
      <c r="I830" s="235">
        <v>437.0</v>
      </c>
      <c r="J830" s="236">
        <v>7.0436214E7</v>
      </c>
      <c r="K830" s="11">
        <v>93.0</v>
      </c>
      <c r="L830" s="11">
        <v>7.0</v>
      </c>
      <c r="M830" s="237" t="str">
        <f t="shared" si="1"/>
        <v>0484370070436214937</v>
      </c>
      <c r="N830" s="238">
        <v>-85046.25</v>
      </c>
      <c r="O830" s="110">
        <v>121814.0</v>
      </c>
      <c r="P830" s="11">
        <v>71.0</v>
      </c>
      <c r="Q830" s="239"/>
      <c r="R830" s="17">
        <v>37.0</v>
      </c>
    </row>
    <row r="831">
      <c r="A831" s="11">
        <v>19.0</v>
      </c>
      <c r="B831" s="11">
        <v>77.0</v>
      </c>
      <c r="C831" s="11">
        <v>8.0</v>
      </c>
      <c r="D831" s="11" t="s">
        <v>5271</v>
      </c>
      <c r="E831" s="234">
        <v>48.0</v>
      </c>
      <c r="F831" s="235">
        <v>447.0</v>
      </c>
      <c r="G831" s="235">
        <v>447.0</v>
      </c>
      <c r="H831" s="234">
        <v>48.0</v>
      </c>
      <c r="I831" s="235">
        <v>447.0</v>
      </c>
      <c r="J831" s="236">
        <v>8.4904487E7</v>
      </c>
      <c r="K831" s="11">
        <v>22.0</v>
      </c>
      <c r="L831" s="11">
        <v>0.0</v>
      </c>
      <c r="M831" s="237" t="str">
        <f t="shared" si="1"/>
        <v>0484470084904487220</v>
      </c>
      <c r="N831" s="238">
        <v>93261.33</v>
      </c>
      <c r="O831" s="110">
        <v>30916.0</v>
      </c>
      <c r="P831" s="11">
        <v>71.0</v>
      </c>
      <c r="Q831" s="239"/>
      <c r="R831" s="17">
        <v>57.0</v>
      </c>
    </row>
    <row r="832">
      <c r="A832" s="11">
        <v>15.0</v>
      </c>
      <c r="B832" s="11">
        <v>36.0</v>
      </c>
      <c r="C832" s="11">
        <v>8.0</v>
      </c>
      <c r="D832" s="11" t="s">
        <v>31</v>
      </c>
      <c r="E832" s="234">
        <v>26.0</v>
      </c>
      <c r="F832" s="235">
        <v>67.0</v>
      </c>
      <c r="G832" s="235">
        <v>67.0</v>
      </c>
      <c r="H832" s="234">
        <v>26.0</v>
      </c>
      <c r="I832" s="235">
        <v>67.0</v>
      </c>
      <c r="J832" s="236">
        <v>8.6186984E7</v>
      </c>
      <c r="K832" s="11">
        <v>55.0</v>
      </c>
      <c r="L832" s="11">
        <v>9.0</v>
      </c>
      <c r="M832" s="237" t="str">
        <f t="shared" si="1"/>
        <v>0260670086186984559</v>
      </c>
      <c r="N832" s="238">
        <v>65564.17</v>
      </c>
      <c r="O832" s="110">
        <v>101414.0</v>
      </c>
      <c r="P832" s="11">
        <v>80.0</v>
      </c>
      <c r="Q832" s="239"/>
      <c r="R832" s="17">
        <v>98.0</v>
      </c>
    </row>
    <row r="833">
      <c r="A833" s="11">
        <v>19.0</v>
      </c>
      <c r="B833" s="11">
        <v>36.0</v>
      </c>
      <c r="C833" s="11">
        <v>1.0</v>
      </c>
      <c r="D833" s="11" t="s">
        <v>31</v>
      </c>
      <c r="E833" s="234">
        <v>30.0</v>
      </c>
      <c r="F833" s="235">
        <v>95.0</v>
      </c>
      <c r="G833" s="235">
        <v>95.0</v>
      </c>
      <c r="H833" s="234">
        <v>30.0</v>
      </c>
      <c r="I833" s="235">
        <v>95.0</v>
      </c>
      <c r="J833" s="236">
        <v>7.355264E7</v>
      </c>
      <c r="K833" s="11">
        <v>39.0</v>
      </c>
      <c r="L833" s="11">
        <v>2.0</v>
      </c>
      <c r="M833" s="237" t="str">
        <f t="shared" si="1"/>
        <v>0300950073552640392</v>
      </c>
      <c r="N833" s="238">
        <v>-43017.16</v>
      </c>
      <c r="O833" s="110">
        <v>22523.0</v>
      </c>
      <c r="P833" s="11">
        <v>75.0</v>
      </c>
      <c r="Q833" s="239"/>
      <c r="R833" s="17">
        <v>37.0</v>
      </c>
    </row>
    <row r="834">
      <c r="A834" s="11">
        <v>18.0</v>
      </c>
      <c r="B834" s="11">
        <v>57.0</v>
      </c>
      <c r="C834" s="11">
        <v>4.0</v>
      </c>
      <c r="D834" s="11" t="s">
        <v>5272</v>
      </c>
      <c r="E834" s="234">
        <v>29.0</v>
      </c>
      <c r="F834" s="235">
        <v>153.0</v>
      </c>
      <c r="G834" s="235">
        <v>153.0</v>
      </c>
      <c r="H834" s="234">
        <v>29.0</v>
      </c>
      <c r="I834" s="235">
        <v>153.0</v>
      </c>
      <c r="J834" s="236">
        <v>4.3461555E7</v>
      </c>
      <c r="K834" s="11">
        <v>12.0</v>
      </c>
      <c r="L834" s="11">
        <v>4.0</v>
      </c>
      <c r="M834" s="237" t="str">
        <f t="shared" si="1"/>
        <v>0291530043461555124</v>
      </c>
      <c r="N834" s="238">
        <v>67554.33</v>
      </c>
      <c r="O834" s="110">
        <v>121014.0</v>
      </c>
      <c r="P834" s="11">
        <v>79.0</v>
      </c>
      <c r="Q834" s="239"/>
      <c r="R834" s="17">
        <v>57.0</v>
      </c>
    </row>
    <row r="835">
      <c r="A835" s="11">
        <v>20.0</v>
      </c>
      <c r="B835" s="11">
        <v>57.0</v>
      </c>
      <c r="C835" s="11">
        <v>7.0</v>
      </c>
      <c r="D835" s="11" t="s">
        <v>5271</v>
      </c>
      <c r="E835" s="234">
        <v>21.0</v>
      </c>
      <c r="F835" s="235">
        <v>193.0</v>
      </c>
      <c r="G835" s="235">
        <v>193.0</v>
      </c>
      <c r="H835" s="234">
        <v>21.0</v>
      </c>
      <c r="I835" s="235">
        <v>193.0</v>
      </c>
      <c r="J835" s="236">
        <v>5.735453E7</v>
      </c>
      <c r="K835" s="11">
        <v>82.0</v>
      </c>
      <c r="L835" s="11">
        <v>4.0</v>
      </c>
      <c r="M835" s="237" t="str">
        <f t="shared" si="1"/>
        <v>0211930057354530824</v>
      </c>
      <c r="N835" s="238">
        <v>-25283.28</v>
      </c>
      <c r="O835" s="110">
        <v>62823.0</v>
      </c>
      <c r="P835" s="11">
        <v>72.0</v>
      </c>
      <c r="Q835" s="239"/>
      <c r="R835" s="17">
        <v>16.0</v>
      </c>
    </row>
    <row r="836">
      <c r="A836" s="11">
        <v>15.0</v>
      </c>
      <c r="B836" s="11">
        <v>36.0</v>
      </c>
      <c r="C836" s="11">
        <v>8.0</v>
      </c>
      <c r="D836" s="11" t="s">
        <v>5272</v>
      </c>
      <c r="E836" s="234">
        <v>20.0</v>
      </c>
      <c r="F836" s="235">
        <v>27.0</v>
      </c>
      <c r="G836" s="235">
        <v>27.0</v>
      </c>
      <c r="H836" s="234">
        <v>20.0</v>
      </c>
      <c r="I836" s="235">
        <v>27.0</v>
      </c>
      <c r="J836" s="236">
        <v>3.7802471E7</v>
      </c>
      <c r="K836" s="11">
        <v>32.0</v>
      </c>
      <c r="L836" s="11">
        <v>3.0</v>
      </c>
      <c r="M836" s="237" t="str">
        <f t="shared" si="1"/>
        <v>0200270037802471323</v>
      </c>
      <c r="N836" s="238">
        <v>-75179.94</v>
      </c>
      <c r="O836" s="110">
        <v>61520.0</v>
      </c>
      <c r="P836" s="11">
        <v>76.0</v>
      </c>
      <c r="Q836" s="239"/>
      <c r="R836" s="17">
        <v>57.0</v>
      </c>
    </row>
    <row r="837">
      <c r="A837" s="11">
        <v>14.0</v>
      </c>
      <c r="B837" s="11">
        <v>16.0</v>
      </c>
      <c r="C837" s="11">
        <v>9.0</v>
      </c>
      <c r="D837" s="11" t="s">
        <v>31</v>
      </c>
      <c r="E837" s="234">
        <v>48.0</v>
      </c>
      <c r="F837" s="235">
        <v>303.0</v>
      </c>
      <c r="G837" s="235">
        <v>303.0</v>
      </c>
      <c r="H837" s="234">
        <v>48.0</v>
      </c>
      <c r="I837" s="235">
        <v>303.0</v>
      </c>
      <c r="J837" s="236">
        <v>5.556051E7</v>
      </c>
      <c r="K837" s="11">
        <v>9.0</v>
      </c>
      <c r="L837" s="11">
        <v>6.0</v>
      </c>
      <c r="M837" s="237" t="str">
        <f t="shared" si="1"/>
        <v>048303005556051096</v>
      </c>
      <c r="N837" s="238">
        <v>-6370.96</v>
      </c>
      <c r="O837" s="110">
        <v>60115.0</v>
      </c>
      <c r="P837" s="11">
        <v>72.0</v>
      </c>
      <c r="Q837" s="239"/>
      <c r="R837" s="17">
        <v>78.0</v>
      </c>
    </row>
    <row r="838">
      <c r="A838" s="11">
        <v>13.0</v>
      </c>
      <c r="B838" s="11">
        <v>57.0</v>
      </c>
      <c r="C838" s="11">
        <v>9.0</v>
      </c>
      <c r="D838" s="11" t="s">
        <v>39</v>
      </c>
      <c r="E838" s="234">
        <v>22.0</v>
      </c>
      <c r="F838" s="235">
        <v>5.0</v>
      </c>
      <c r="G838" s="235">
        <v>5.0</v>
      </c>
      <c r="H838" s="234">
        <v>22.0</v>
      </c>
      <c r="I838" s="235">
        <v>5.0</v>
      </c>
      <c r="J838" s="236">
        <v>9.7944624E7</v>
      </c>
      <c r="K838" s="11">
        <v>30.0</v>
      </c>
      <c r="L838" s="11">
        <v>6.0</v>
      </c>
      <c r="M838" s="237" t="str">
        <f t="shared" si="1"/>
        <v>0220050097944624306</v>
      </c>
      <c r="N838" s="238">
        <v>-47603.26</v>
      </c>
      <c r="O838" s="110">
        <v>70813.0</v>
      </c>
      <c r="P838" s="11">
        <v>78.0</v>
      </c>
      <c r="Q838" s="239"/>
      <c r="R838" s="17">
        <v>37.0</v>
      </c>
    </row>
    <row r="839">
      <c r="A839" s="11">
        <v>15.0</v>
      </c>
      <c r="B839" s="11">
        <v>16.0</v>
      </c>
      <c r="C839" s="11">
        <v>7.0</v>
      </c>
      <c r="D839" s="11" t="s">
        <v>5273</v>
      </c>
      <c r="E839" s="234">
        <v>29.0</v>
      </c>
      <c r="F839" s="235">
        <v>167.0</v>
      </c>
      <c r="G839" s="235">
        <v>167.0</v>
      </c>
      <c r="H839" s="234">
        <v>29.0</v>
      </c>
      <c r="I839" s="235">
        <v>167.0</v>
      </c>
      <c r="J839" s="236">
        <v>2.0936264E7</v>
      </c>
      <c r="K839" s="11">
        <v>71.0</v>
      </c>
      <c r="L839" s="11">
        <v>2.0</v>
      </c>
      <c r="M839" s="237" t="str">
        <f t="shared" si="1"/>
        <v>0291670020936264712</v>
      </c>
      <c r="N839" s="238">
        <v>-99293.27</v>
      </c>
      <c r="O839" s="110">
        <v>81123.0</v>
      </c>
      <c r="P839" s="11">
        <v>80.0</v>
      </c>
      <c r="Q839" s="239"/>
      <c r="R839" s="17">
        <v>98.0</v>
      </c>
    </row>
    <row r="840">
      <c r="A840" s="11">
        <v>20.0</v>
      </c>
      <c r="B840" s="11">
        <v>98.0</v>
      </c>
      <c r="C840" s="11">
        <v>6.0</v>
      </c>
      <c r="D840" s="11" t="s">
        <v>5272</v>
      </c>
      <c r="E840" s="234">
        <v>48.0</v>
      </c>
      <c r="F840" s="235">
        <v>115.0</v>
      </c>
      <c r="G840" s="235">
        <v>115.0</v>
      </c>
      <c r="H840" s="234">
        <v>48.0</v>
      </c>
      <c r="I840" s="235">
        <v>115.0</v>
      </c>
      <c r="J840" s="236">
        <v>1.4905133E7</v>
      </c>
      <c r="K840" s="11">
        <v>92.0</v>
      </c>
      <c r="L840" s="11">
        <v>0.0</v>
      </c>
      <c r="M840" s="237" t="str">
        <f t="shared" si="1"/>
        <v>0481150014905133920</v>
      </c>
      <c r="N840" s="238">
        <v>1728.57</v>
      </c>
      <c r="O840" s="110">
        <v>73021.0</v>
      </c>
      <c r="P840" s="11">
        <v>71.0</v>
      </c>
      <c r="Q840" s="239"/>
      <c r="R840" s="17">
        <v>57.0</v>
      </c>
    </row>
    <row r="841">
      <c r="A841" s="11">
        <v>10.0</v>
      </c>
      <c r="B841" s="11">
        <v>16.0</v>
      </c>
      <c r="C841" s="11">
        <v>4.0</v>
      </c>
      <c r="D841" s="11" t="s">
        <v>31</v>
      </c>
      <c r="E841" s="234">
        <v>46.0</v>
      </c>
      <c r="F841" s="235">
        <v>7.0</v>
      </c>
      <c r="G841" s="235">
        <v>7.0</v>
      </c>
      <c r="H841" s="234">
        <v>46.0</v>
      </c>
      <c r="I841" s="235">
        <v>7.0</v>
      </c>
      <c r="J841" s="236">
        <v>7.880231E7</v>
      </c>
      <c r="K841" s="11">
        <v>93.0</v>
      </c>
      <c r="L841" s="11">
        <v>9.0</v>
      </c>
      <c r="M841" s="237" t="str">
        <f t="shared" si="1"/>
        <v>0460070078802310939</v>
      </c>
      <c r="N841" s="238">
        <v>-18711.94</v>
      </c>
      <c r="O841" s="110">
        <v>82516.0</v>
      </c>
      <c r="P841" s="11">
        <v>80.0</v>
      </c>
      <c r="Q841" s="239"/>
      <c r="R841" s="17">
        <v>98.0</v>
      </c>
    </row>
    <row r="842">
      <c r="A842" s="11">
        <v>12.0</v>
      </c>
      <c r="B842" s="11">
        <v>77.0</v>
      </c>
      <c r="C842" s="11">
        <v>8.0</v>
      </c>
      <c r="D842" s="11" t="s">
        <v>5271</v>
      </c>
      <c r="E842" s="234">
        <v>26.0</v>
      </c>
      <c r="F842" s="235">
        <v>145.0</v>
      </c>
      <c r="G842" s="235">
        <v>145.0</v>
      </c>
      <c r="H842" s="234">
        <v>26.0</v>
      </c>
      <c r="I842" s="235">
        <v>145.0</v>
      </c>
      <c r="J842" s="236">
        <v>2.697633E7</v>
      </c>
      <c r="K842" s="11">
        <v>59.0</v>
      </c>
      <c r="L842" s="11">
        <v>4.0</v>
      </c>
      <c r="M842" s="237" t="str">
        <f t="shared" si="1"/>
        <v>0261450026976330594</v>
      </c>
      <c r="N842" s="238">
        <v>97119.02</v>
      </c>
      <c r="O842" s="110">
        <v>81223.0</v>
      </c>
      <c r="P842" s="11">
        <v>74.0</v>
      </c>
      <c r="Q842" s="239"/>
      <c r="R842" s="17">
        <v>16.0</v>
      </c>
    </row>
    <row r="843">
      <c r="A843" s="11">
        <v>14.0</v>
      </c>
      <c r="B843" s="11">
        <v>16.0</v>
      </c>
      <c r="C843" s="11">
        <v>7.0</v>
      </c>
      <c r="D843" s="11" t="s">
        <v>5272</v>
      </c>
      <c r="E843" s="234">
        <v>19.0</v>
      </c>
      <c r="F843" s="235">
        <v>69.0</v>
      </c>
      <c r="G843" s="235">
        <v>69.0</v>
      </c>
      <c r="H843" s="234">
        <v>19.0</v>
      </c>
      <c r="I843" s="235">
        <v>69.0</v>
      </c>
      <c r="J843" s="236">
        <v>8.0186248E7</v>
      </c>
      <c r="K843" s="11">
        <v>25.0</v>
      </c>
      <c r="L843" s="11">
        <v>1.0</v>
      </c>
      <c r="M843" s="237" t="str">
        <f t="shared" si="1"/>
        <v>0190690080186248251</v>
      </c>
      <c r="N843" s="238">
        <v>2588.44</v>
      </c>
      <c r="O843" s="110">
        <v>12522.0</v>
      </c>
      <c r="P843" s="11">
        <v>80.0</v>
      </c>
      <c r="Q843" s="239"/>
      <c r="R843" s="17">
        <v>98.0</v>
      </c>
    </row>
    <row r="844">
      <c r="A844" s="11">
        <v>12.0</v>
      </c>
      <c r="B844" s="11">
        <v>57.0</v>
      </c>
      <c r="C844" s="11">
        <v>9.0</v>
      </c>
      <c r="D844" s="11" t="s">
        <v>31</v>
      </c>
      <c r="E844" s="234">
        <v>6.0</v>
      </c>
      <c r="F844" s="235">
        <v>53.0</v>
      </c>
      <c r="G844" s="235">
        <v>53.0</v>
      </c>
      <c r="H844" s="234">
        <v>6.0</v>
      </c>
      <c r="I844" s="235">
        <v>53.0</v>
      </c>
      <c r="J844" s="236">
        <v>6.5584641E7</v>
      </c>
      <c r="K844" s="11">
        <v>56.0</v>
      </c>
      <c r="L844" s="11">
        <v>5.0</v>
      </c>
      <c r="M844" s="237" t="str">
        <f t="shared" si="1"/>
        <v>060530065584641565</v>
      </c>
      <c r="N844" s="238">
        <v>-80649.74</v>
      </c>
      <c r="O844" s="110">
        <v>21223.0</v>
      </c>
      <c r="P844" s="11">
        <v>75.0</v>
      </c>
      <c r="Q844" s="239"/>
      <c r="R844" s="17">
        <v>78.0</v>
      </c>
    </row>
    <row r="845">
      <c r="A845" s="11">
        <v>17.0</v>
      </c>
      <c r="B845" s="11">
        <v>57.0</v>
      </c>
      <c r="C845" s="11">
        <v>6.0</v>
      </c>
      <c r="D845" s="11" t="s">
        <v>5271</v>
      </c>
      <c r="E845" s="234">
        <v>54.0</v>
      </c>
      <c r="F845" s="235">
        <v>33.0</v>
      </c>
      <c r="G845" s="235">
        <v>33.0</v>
      </c>
      <c r="H845" s="234">
        <v>54.0</v>
      </c>
      <c r="I845" s="235">
        <v>33.0</v>
      </c>
      <c r="J845" s="236">
        <v>3.3326678E7</v>
      </c>
      <c r="K845" s="11">
        <v>18.0</v>
      </c>
      <c r="L845" s="11">
        <v>5.0</v>
      </c>
      <c r="M845" s="237" t="str">
        <f t="shared" si="1"/>
        <v>0540330033326678185</v>
      </c>
      <c r="N845" s="238">
        <v>-46232.94</v>
      </c>
      <c r="O845" s="110">
        <v>71517.0</v>
      </c>
      <c r="P845" s="11">
        <v>70.0</v>
      </c>
      <c r="Q845" s="239"/>
      <c r="R845" s="17">
        <v>37.0</v>
      </c>
    </row>
    <row r="846">
      <c r="A846" s="11">
        <v>19.0</v>
      </c>
      <c r="B846" s="11">
        <v>16.0</v>
      </c>
      <c r="C846" s="11">
        <v>9.0</v>
      </c>
      <c r="D846" s="11" t="s">
        <v>29</v>
      </c>
      <c r="E846" s="234">
        <v>31.0</v>
      </c>
      <c r="F846" s="235">
        <v>37.0</v>
      </c>
      <c r="G846" s="235">
        <v>37.0</v>
      </c>
      <c r="H846" s="234">
        <v>31.0</v>
      </c>
      <c r="I846" s="235">
        <v>37.0</v>
      </c>
      <c r="J846" s="236">
        <v>6.5504331E7</v>
      </c>
      <c r="K846" s="11">
        <v>23.0</v>
      </c>
      <c r="L846" s="11">
        <v>9.0</v>
      </c>
      <c r="M846" s="237" t="str">
        <f t="shared" si="1"/>
        <v>0310370065504331239</v>
      </c>
      <c r="N846" s="238">
        <v>27331.36</v>
      </c>
      <c r="O846" s="110">
        <v>21414.0</v>
      </c>
      <c r="P846" s="11">
        <v>70.0</v>
      </c>
      <c r="Q846" s="239"/>
      <c r="R846" s="17">
        <v>98.0</v>
      </c>
    </row>
    <row r="847">
      <c r="A847" s="11">
        <v>13.0</v>
      </c>
      <c r="B847" s="11">
        <v>37.0</v>
      </c>
      <c r="C847" s="11">
        <v>4.0</v>
      </c>
      <c r="D847" s="11" t="s">
        <v>5273</v>
      </c>
      <c r="E847" s="234">
        <v>37.0</v>
      </c>
      <c r="F847" s="235">
        <v>15.0</v>
      </c>
      <c r="G847" s="235">
        <v>15.0</v>
      </c>
      <c r="H847" s="234">
        <v>37.0</v>
      </c>
      <c r="I847" s="235">
        <v>15.0</v>
      </c>
      <c r="J847" s="236">
        <v>6.1327947E7</v>
      </c>
      <c r="K847" s="11">
        <v>92.0</v>
      </c>
      <c r="L847" s="11">
        <v>1.0</v>
      </c>
      <c r="M847" s="237" t="str">
        <f t="shared" si="1"/>
        <v>0370150061327947921</v>
      </c>
      <c r="N847" s="238">
        <v>-66541.42</v>
      </c>
      <c r="O847" s="110">
        <v>100523.0</v>
      </c>
      <c r="P847" s="11">
        <v>78.0</v>
      </c>
      <c r="Q847" s="239"/>
      <c r="R847" s="17">
        <v>78.0</v>
      </c>
    </row>
    <row r="848">
      <c r="A848" s="11">
        <v>10.0</v>
      </c>
      <c r="B848" s="11">
        <v>16.0</v>
      </c>
      <c r="C848" s="11">
        <v>9.0</v>
      </c>
      <c r="D848" s="11" t="s">
        <v>31</v>
      </c>
      <c r="E848" s="234">
        <v>36.0</v>
      </c>
      <c r="F848" s="235">
        <v>105.0</v>
      </c>
      <c r="G848" s="235">
        <v>105.0</v>
      </c>
      <c r="H848" s="234">
        <v>36.0</v>
      </c>
      <c r="I848" s="235">
        <v>105.0</v>
      </c>
      <c r="J848" s="236">
        <v>4.9768053E7</v>
      </c>
      <c r="K848" s="11">
        <v>48.0</v>
      </c>
      <c r="L848" s="11">
        <v>5.0</v>
      </c>
      <c r="M848" s="237" t="str">
        <f t="shared" si="1"/>
        <v>0361050049768053485</v>
      </c>
      <c r="N848" s="238">
        <v>35475.16</v>
      </c>
      <c r="O848" s="110">
        <v>12817.0</v>
      </c>
      <c r="P848" s="11">
        <v>75.0</v>
      </c>
      <c r="Q848" s="239"/>
      <c r="R848" s="17">
        <v>78.0</v>
      </c>
    </row>
    <row r="849">
      <c r="A849" s="11">
        <v>16.0</v>
      </c>
      <c r="B849" s="11">
        <v>98.0</v>
      </c>
      <c r="C849" s="11">
        <v>7.0</v>
      </c>
      <c r="D849" s="11" t="s">
        <v>29</v>
      </c>
      <c r="E849" s="234">
        <v>48.0</v>
      </c>
      <c r="F849" s="235">
        <v>373.0</v>
      </c>
      <c r="G849" s="235">
        <v>373.0</v>
      </c>
      <c r="H849" s="234">
        <v>48.0</v>
      </c>
      <c r="I849" s="235">
        <v>373.0</v>
      </c>
      <c r="J849" s="236">
        <v>1.8789165E7</v>
      </c>
      <c r="K849" s="11">
        <v>81.0</v>
      </c>
      <c r="L849" s="11">
        <v>2.0</v>
      </c>
      <c r="M849" s="237" t="str">
        <f t="shared" si="1"/>
        <v>0483730018789165812</v>
      </c>
      <c r="N849" s="238">
        <v>12511.43</v>
      </c>
      <c r="O849" s="110">
        <v>92623.0</v>
      </c>
      <c r="P849" s="11">
        <v>75.0</v>
      </c>
      <c r="Q849" s="239"/>
      <c r="R849" s="17">
        <v>98.0</v>
      </c>
    </row>
    <row r="850">
      <c r="A850" s="11">
        <v>10.0</v>
      </c>
      <c r="B850" s="11">
        <v>57.0</v>
      </c>
      <c r="C850" s="11">
        <v>5.0</v>
      </c>
      <c r="D850" s="11" t="s">
        <v>5271</v>
      </c>
      <c r="E850" s="234">
        <v>19.0</v>
      </c>
      <c r="F850" s="235">
        <v>119.0</v>
      </c>
      <c r="G850" s="235">
        <v>119.0</v>
      </c>
      <c r="H850" s="234">
        <v>19.0</v>
      </c>
      <c r="I850" s="235">
        <v>119.0</v>
      </c>
      <c r="J850" s="236">
        <v>3.5405461E7</v>
      </c>
      <c r="K850" s="11">
        <v>47.0</v>
      </c>
      <c r="L850" s="11">
        <v>0.0</v>
      </c>
      <c r="M850" s="237" t="str">
        <f t="shared" si="1"/>
        <v>0191190035405461470</v>
      </c>
      <c r="N850" s="238">
        <v>86335.13</v>
      </c>
      <c r="O850" s="110">
        <v>123015.0</v>
      </c>
      <c r="P850" s="11">
        <v>77.0</v>
      </c>
      <c r="Q850" s="239"/>
      <c r="R850" s="17">
        <v>16.0</v>
      </c>
    </row>
    <row r="851">
      <c r="A851" s="11">
        <v>15.0</v>
      </c>
      <c r="B851" s="11">
        <v>98.0</v>
      </c>
      <c r="C851" s="11">
        <v>6.0</v>
      </c>
      <c r="D851" s="11" t="s">
        <v>29</v>
      </c>
      <c r="E851" s="234">
        <v>17.0</v>
      </c>
      <c r="F851" s="235">
        <v>115.0</v>
      </c>
      <c r="G851" s="235">
        <v>115.0</v>
      </c>
      <c r="H851" s="234">
        <v>17.0</v>
      </c>
      <c r="I851" s="235">
        <v>115.0</v>
      </c>
      <c r="J851" s="236">
        <v>1.0220119E7</v>
      </c>
      <c r="K851" s="11">
        <v>65.0</v>
      </c>
      <c r="L851" s="11">
        <v>8.0</v>
      </c>
      <c r="M851" s="237" t="str">
        <f t="shared" si="1"/>
        <v>0171150010220119658</v>
      </c>
      <c r="N851" s="238">
        <v>-46967.7</v>
      </c>
      <c r="O851" s="110">
        <v>40623.0</v>
      </c>
      <c r="P851" s="11">
        <v>73.0</v>
      </c>
      <c r="Q851" s="239"/>
      <c r="R851" s="17">
        <v>78.0</v>
      </c>
    </row>
    <row r="852">
      <c r="A852" s="11">
        <v>14.0</v>
      </c>
      <c r="B852" s="11">
        <v>16.0</v>
      </c>
      <c r="C852" s="11">
        <v>4.0</v>
      </c>
      <c r="D852" s="11" t="s">
        <v>39</v>
      </c>
      <c r="E852" s="234">
        <v>17.0</v>
      </c>
      <c r="F852" s="235">
        <v>183.0</v>
      </c>
      <c r="G852" s="235">
        <v>183.0</v>
      </c>
      <c r="H852" s="234">
        <v>17.0</v>
      </c>
      <c r="I852" s="235">
        <v>183.0</v>
      </c>
      <c r="J852" s="236">
        <v>5.5056025E7</v>
      </c>
      <c r="K852" s="11">
        <v>64.0</v>
      </c>
      <c r="L852" s="11">
        <v>7.0</v>
      </c>
      <c r="M852" s="237" t="str">
        <f t="shared" si="1"/>
        <v>0171830055056025647</v>
      </c>
      <c r="N852" s="238">
        <v>58143.76</v>
      </c>
      <c r="O852" s="110">
        <v>120318.0</v>
      </c>
      <c r="P852" s="11">
        <v>71.0</v>
      </c>
      <c r="Q852" s="239"/>
      <c r="R852" s="17">
        <v>57.0</v>
      </c>
    </row>
    <row r="853">
      <c r="A853" s="11">
        <v>11.0</v>
      </c>
      <c r="B853" s="11">
        <v>78.0</v>
      </c>
      <c r="C853" s="11">
        <v>2.0</v>
      </c>
      <c r="D853" s="11" t="s">
        <v>29</v>
      </c>
      <c r="E853" s="234">
        <v>20.0</v>
      </c>
      <c r="F853" s="235">
        <v>181.0</v>
      </c>
      <c r="G853" s="235">
        <v>181.0</v>
      </c>
      <c r="H853" s="234">
        <v>20.0</v>
      </c>
      <c r="I853" s="235">
        <v>181.0</v>
      </c>
      <c r="J853" s="236">
        <v>1.6584684E7</v>
      </c>
      <c r="K853" s="11">
        <v>19.0</v>
      </c>
      <c r="L853" s="11">
        <v>2.0</v>
      </c>
      <c r="M853" s="237" t="str">
        <f t="shared" si="1"/>
        <v>0201810016584684192</v>
      </c>
      <c r="N853" s="238">
        <v>-15191.23</v>
      </c>
      <c r="O853" s="110">
        <v>123115.0</v>
      </c>
      <c r="P853" s="11">
        <v>73.0</v>
      </c>
      <c r="Q853" s="239"/>
      <c r="R853" s="17">
        <v>17.0</v>
      </c>
    </row>
    <row r="854">
      <c r="A854" s="11">
        <v>18.0</v>
      </c>
      <c r="B854" s="11">
        <v>37.0</v>
      </c>
      <c r="C854" s="11">
        <v>2.0</v>
      </c>
      <c r="D854" s="11" t="s">
        <v>29</v>
      </c>
      <c r="E854" s="234">
        <v>13.0</v>
      </c>
      <c r="F854" s="235">
        <v>315.0</v>
      </c>
      <c r="G854" s="235">
        <v>315.0</v>
      </c>
      <c r="H854" s="234">
        <v>13.0</v>
      </c>
      <c r="I854" s="235">
        <v>315.0</v>
      </c>
      <c r="J854" s="236">
        <v>6.2830521E7</v>
      </c>
      <c r="K854" s="11">
        <v>78.0</v>
      </c>
      <c r="L854" s="11">
        <v>8.0</v>
      </c>
      <c r="M854" s="237" t="str">
        <f t="shared" si="1"/>
        <v>0133150062830521788</v>
      </c>
      <c r="N854" s="238">
        <v>-67937.12</v>
      </c>
      <c r="O854" s="110">
        <v>92223.0</v>
      </c>
      <c r="P854" s="11">
        <v>76.0</v>
      </c>
      <c r="Q854" s="239"/>
      <c r="R854" s="17">
        <v>58.0</v>
      </c>
    </row>
    <row r="855">
      <c r="A855" s="11">
        <v>16.0</v>
      </c>
      <c r="B855" s="11">
        <v>37.0</v>
      </c>
      <c r="C855" s="11">
        <v>3.0</v>
      </c>
      <c r="D855" s="11" t="s">
        <v>5273</v>
      </c>
      <c r="E855" s="234">
        <v>40.0</v>
      </c>
      <c r="F855" s="235">
        <v>41.0</v>
      </c>
      <c r="G855" s="235">
        <v>41.0</v>
      </c>
      <c r="H855" s="234">
        <v>40.0</v>
      </c>
      <c r="I855" s="235">
        <v>41.0</v>
      </c>
      <c r="J855" s="236">
        <v>4.1324388E7</v>
      </c>
      <c r="K855" s="11">
        <v>30.0</v>
      </c>
      <c r="L855" s="11">
        <v>5.0</v>
      </c>
      <c r="M855" s="237" t="str">
        <f t="shared" si="1"/>
        <v>0400410041324388305</v>
      </c>
      <c r="N855" s="238">
        <v>70647.26</v>
      </c>
      <c r="O855" s="110">
        <v>121617.0</v>
      </c>
      <c r="P855" s="11">
        <v>71.0</v>
      </c>
      <c r="Q855" s="239"/>
      <c r="R855" s="17">
        <v>99.0</v>
      </c>
    </row>
    <row r="856">
      <c r="A856" s="11">
        <v>13.0</v>
      </c>
      <c r="B856" s="11">
        <v>57.0</v>
      </c>
      <c r="C856" s="11">
        <v>2.0</v>
      </c>
      <c r="D856" s="11" t="s">
        <v>5271</v>
      </c>
      <c r="E856" s="234">
        <v>30.0</v>
      </c>
      <c r="F856" s="235">
        <v>19.0</v>
      </c>
      <c r="G856" s="235">
        <v>19.0</v>
      </c>
      <c r="H856" s="234">
        <v>30.0</v>
      </c>
      <c r="I856" s="235">
        <v>19.0</v>
      </c>
      <c r="J856" s="236">
        <v>8.9222032E7</v>
      </c>
      <c r="K856" s="11">
        <v>76.0</v>
      </c>
      <c r="L856" s="11">
        <v>7.0</v>
      </c>
      <c r="M856" s="237" t="str">
        <f t="shared" si="1"/>
        <v>0300190089222032767</v>
      </c>
      <c r="N856" s="238">
        <v>-57755.68</v>
      </c>
      <c r="O856" s="110">
        <v>42618.0</v>
      </c>
      <c r="P856" s="11">
        <v>74.0</v>
      </c>
      <c r="Q856" s="239"/>
      <c r="R856" s="17">
        <v>58.0</v>
      </c>
    </row>
    <row r="857">
      <c r="A857" s="11">
        <v>11.0</v>
      </c>
      <c r="B857" s="11">
        <v>78.0</v>
      </c>
      <c r="C857" s="11">
        <v>8.0</v>
      </c>
      <c r="D857" s="11" t="s">
        <v>5273</v>
      </c>
      <c r="E857" s="234">
        <v>40.0</v>
      </c>
      <c r="F857" s="235">
        <v>89.0</v>
      </c>
      <c r="G857" s="235">
        <v>89.0</v>
      </c>
      <c r="H857" s="234">
        <v>40.0</v>
      </c>
      <c r="I857" s="235">
        <v>89.0</v>
      </c>
      <c r="J857" s="236">
        <v>5.0342729E7</v>
      </c>
      <c r="K857" s="11">
        <v>68.0</v>
      </c>
      <c r="L857" s="11">
        <v>6.0</v>
      </c>
      <c r="M857" s="237" t="str">
        <f t="shared" si="1"/>
        <v>0400890050342729686</v>
      </c>
      <c r="N857" s="238">
        <v>-25909.75</v>
      </c>
      <c r="O857" s="110">
        <v>70921.0</v>
      </c>
      <c r="P857" s="11">
        <v>73.0</v>
      </c>
      <c r="Q857" s="239"/>
      <c r="R857" s="17">
        <v>78.0</v>
      </c>
    </row>
    <row r="858">
      <c r="A858" s="11">
        <v>13.0</v>
      </c>
      <c r="B858" s="11">
        <v>78.0</v>
      </c>
      <c r="C858" s="11">
        <v>8.0</v>
      </c>
      <c r="D858" s="11" t="s">
        <v>29</v>
      </c>
      <c r="E858" s="234">
        <v>46.0</v>
      </c>
      <c r="F858" s="235">
        <v>129.0</v>
      </c>
      <c r="G858" s="235">
        <v>129.0</v>
      </c>
      <c r="H858" s="234">
        <v>46.0</v>
      </c>
      <c r="I858" s="235">
        <v>129.0</v>
      </c>
      <c r="J858" s="236">
        <v>1.9431018E7</v>
      </c>
      <c r="K858" s="11">
        <v>34.0</v>
      </c>
      <c r="L858" s="11">
        <v>1.0</v>
      </c>
      <c r="M858" s="237" t="str">
        <f t="shared" si="1"/>
        <v>0461290019431018341</v>
      </c>
      <c r="N858" s="238">
        <v>-86556.33</v>
      </c>
      <c r="O858" s="110">
        <v>101319.0</v>
      </c>
      <c r="P858" s="11">
        <v>80.0</v>
      </c>
      <c r="Q858" s="239"/>
      <c r="R858" s="17">
        <v>99.0</v>
      </c>
    </row>
    <row r="859">
      <c r="A859" s="11">
        <v>20.0</v>
      </c>
      <c r="B859" s="11">
        <v>37.0</v>
      </c>
      <c r="C859" s="11">
        <v>7.0</v>
      </c>
      <c r="D859" s="11" t="s">
        <v>31</v>
      </c>
      <c r="E859" s="234">
        <v>37.0</v>
      </c>
      <c r="F859" s="235">
        <v>79.0</v>
      </c>
      <c r="G859" s="235">
        <v>79.0</v>
      </c>
      <c r="H859" s="234">
        <v>37.0</v>
      </c>
      <c r="I859" s="235">
        <v>79.0</v>
      </c>
      <c r="J859" s="236">
        <v>2.2126752E7</v>
      </c>
      <c r="K859" s="11">
        <v>9.0</v>
      </c>
      <c r="L859" s="11">
        <v>8.0</v>
      </c>
      <c r="M859" s="237" t="str">
        <f t="shared" si="1"/>
        <v>037079002212675298</v>
      </c>
      <c r="N859" s="238">
        <v>77830.1</v>
      </c>
      <c r="O859" s="110">
        <v>91618.0</v>
      </c>
      <c r="P859" s="11">
        <v>70.0</v>
      </c>
      <c r="Q859" s="239"/>
      <c r="R859" s="17">
        <v>78.0</v>
      </c>
    </row>
    <row r="860">
      <c r="A860" s="11">
        <v>16.0</v>
      </c>
      <c r="B860" s="11">
        <v>98.0</v>
      </c>
      <c r="C860" s="11">
        <v>3.0</v>
      </c>
      <c r="D860" s="11" t="s">
        <v>5272</v>
      </c>
      <c r="E860" s="234">
        <v>19.0</v>
      </c>
      <c r="F860" s="235">
        <v>61.0</v>
      </c>
      <c r="G860" s="235">
        <v>61.0</v>
      </c>
      <c r="H860" s="234">
        <v>19.0</v>
      </c>
      <c r="I860" s="235">
        <v>61.0</v>
      </c>
      <c r="J860" s="236">
        <v>4.2485435E7</v>
      </c>
      <c r="K860" s="11">
        <v>47.0</v>
      </c>
      <c r="L860" s="11">
        <v>8.0</v>
      </c>
      <c r="M860" s="237" t="str">
        <f t="shared" si="1"/>
        <v>0190610042485435478</v>
      </c>
      <c r="N860" s="238">
        <v>-93386.31</v>
      </c>
      <c r="O860" s="110">
        <v>52416.0</v>
      </c>
      <c r="P860" s="11">
        <v>77.0</v>
      </c>
      <c r="Q860" s="239"/>
      <c r="R860" s="17">
        <v>17.0</v>
      </c>
    </row>
    <row r="861">
      <c r="A861" s="11">
        <v>16.0</v>
      </c>
      <c r="B861" s="11">
        <v>16.0</v>
      </c>
      <c r="C861" s="11">
        <v>9.0</v>
      </c>
      <c r="D861" s="11" t="s">
        <v>5273</v>
      </c>
      <c r="E861" s="234">
        <v>20.0</v>
      </c>
      <c r="F861" s="235">
        <v>97.0</v>
      </c>
      <c r="G861" s="235">
        <v>97.0</v>
      </c>
      <c r="H861" s="234">
        <v>20.0</v>
      </c>
      <c r="I861" s="235">
        <v>97.0</v>
      </c>
      <c r="J861" s="236">
        <v>7.3634616E7</v>
      </c>
      <c r="K861" s="11">
        <v>58.0</v>
      </c>
      <c r="L861" s="11">
        <v>9.0</v>
      </c>
      <c r="M861" s="237" t="str">
        <f t="shared" si="1"/>
        <v>0200970073634616589</v>
      </c>
      <c r="N861" s="238">
        <v>67799.59</v>
      </c>
      <c r="O861" s="110">
        <v>71121.0</v>
      </c>
      <c r="P861" s="11">
        <v>74.0</v>
      </c>
      <c r="Q861" s="239"/>
      <c r="R861" s="17">
        <v>17.0</v>
      </c>
    </row>
    <row r="862">
      <c r="A862" s="11">
        <v>20.0</v>
      </c>
      <c r="B862" s="11">
        <v>16.0</v>
      </c>
      <c r="C862" s="11">
        <v>8.0</v>
      </c>
      <c r="D862" s="11" t="s">
        <v>5271</v>
      </c>
      <c r="E862" s="234">
        <v>31.0</v>
      </c>
      <c r="F862" s="235">
        <v>109.0</v>
      </c>
      <c r="G862" s="235">
        <v>109.0</v>
      </c>
      <c r="H862" s="234">
        <v>31.0</v>
      </c>
      <c r="I862" s="235">
        <v>109.0</v>
      </c>
      <c r="J862" s="236">
        <v>6.3262985E7</v>
      </c>
      <c r="K862" s="11">
        <v>25.0</v>
      </c>
      <c r="L862" s="11">
        <v>6.0</v>
      </c>
      <c r="M862" s="237" t="str">
        <f t="shared" si="1"/>
        <v>0311090063262985256</v>
      </c>
      <c r="N862" s="238">
        <v>-51571.14</v>
      </c>
      <c r="O862" s="110">
        <v>81921.0</v>
      </c>
      <c r="P862" s="11">
        <v>73.0</v>
      </c>
      <c r="Q862" s="239"/>
      <c r="R862" s="17">
        <v>58.0</v>
      </c>
    </row>
    <row r="863">
      <c r="A863" s="11">
        <v>12.0</v>
      </c>
      <c r="B863" s="11">
        <v>57.0</v>
      </c>
      <c r="C863" s="11">
        <v>5.0</v>
      </c>
      <c r="D863" s="11" t="s">
        <v>5272</v>
      </c>
      <c r="E863" s="234">
        <v>5.0</v>
      </c>
      <c r="F863" s="235">
        <v>73.0</v>
      </c>
      <c r="G863" s="235">
        <v>73.0</v>
      </c>
      <c r="H863" s="234">
        <v>5.0</v>
      </c>
      <c r="I863" s="235">
        <v>73.0</v>
      </c>
      <c r="J863" s="236">
        <v>5.1796477E7</v>
      </c>
      <c r="K863" s="11">
        <v>14.0</v>
      </c>
      <c r="L863" s="11">
        <v>7.0</v>
      </c>
      <c r="M863" s="237" t="str">
        <f t="shared" si="1"/>
        <v>050730051796477147</v>
      </c>
      <c r="N863" s="238">
        <v>-46129.79</v>
      </c>
      <c r="O863" s="110">
        <v>22513.0</v>
      </c>
      <c r="P863" s="11">
        <v>73.0</v>
      </c>
      <c r="Q863" s="239"/>
      <c r="R863" s="17">
        <v>78.0</v>
      </c>
    </row>
    <row r="864">
      <c r="A864" s="11">
        <v>11.0</v>
      </c>
      <c r="B864" s="11">
        <v>37.0</v>
      </c>
      <c r="C864" s="11">
        <v>3.0</v>
      </c>
      <c r="D864" s="11" t="s">
        <v>31</v>
      </c>
      <c r="E864" s="234">
        <v>26.0</v>
      </c>
      <c r="F864" s="235">
        <v>71.0</v>
      </c>
      <c r="G864" s="235">
        <v>71.0</v>
      </c>
      <c r="H864" s="234">
        <v>26.0</v>
      </c>
      <c r="I864" s="235">
        <v>71.0</v>
      </c>
      <c r="J864" s="236">
        <v>6.2589981E7</v>
      </c>
      <c r="K864" s="11">
        <v>2.0</v>
      </c>
      <c r="L864" s="11">
        <v>2.0</v>
      </c>
      <c r="M864" s="237" t="str">
        <f t="shared" si="1"/>
        <v>026071006258998122</v>
      </c>
      <c r="N864" s="238">
        <v>14140.68</v>
      </c>
      <c r="O864" s="110">
        <v>80923.0</v>
      </c>
      <c r="P864" s="11">
        <v>71.0</v>
      </c>
      <c r="Q864" s="239"/>
      <c r="R864" s="17">
        <v>58.0</v>
      </c>
    </row>
    <row r="865">
      <c r="A865" s="11">
        <v>16.0</v>
      </c>
      <c r="B865" s="11">
        <v>98.0</v>
      </c>
      <c r="C865" s="11">
        <v>7.0</v>
      </c>
      <c r="D865" s="11" t="s">
        <v>39</v>
      </c>
      <c r="E865" s="234">
        <v>26.0</v>
      </c>
      <c r="F865" s="235">
        <v>3.0</v>
      </c>
      <c r="G865" s="235">
        <v>3.0</v>
      </c>
      <c r="H865" s="234">
        <v>26.0</v>
      </c>
      <c r="I865" s="235">
        <v>3.0</v>
      </c>
      <c r="J865" s="236">
        <v>7.7120309E7</v>
      </c>
      <c r="K865" s="11">
        <v>61.0</v>
      </c>
      <c r="L865" s="11">
        <v>0.0</v>
      </c>
      <c r="M865" s="237" t="str">
        <f t="shared" si="1"/>
        <v>0260030077120309610</v>
      </c>
      <c r="N865" s="238">
        <v>-7663.35</v>
      </c>
      <c r="O865" s="110">
        <v>82416.0</v>
      </c>
      <c r="P865" s="11">
        <v>77.0</v>
      </c>
      <c r="Q865" s="239"/>
      <c r="R865" s="17">
        <v>99.0</v>
      </c>
    </row>
    <row r="866">
      <c r="A866" s="11">
        <v>18.0</v>
      </c>
      <c r="B866" s="11">
        <v>16.0</v>
      </c>
      <c r="C866" s="11">
        <v>7.0</v>
      </c>
      <c r="D866" s="11" t="s">
        <v>5273</v>
      </c>
      <c r="E866" s="234">
        <v>40.0</v>
      </c>
      <c r="F866" s="235">
        <v>135.0</v>
      </c>
      <c r="G866" s="235">
        <v>135.0</v>
      </c>
      <c r="H866" s="234">
        <v>40.0</v>
      </c>
      <c r="I866" s="235">
        <v>135.0</v>
      </c>
      <c r="J866" s="236">
        <v>4.2805615E7</v>
      </c>
      <c r="K866" s="11">
        <v>80.0</v>
      </c>
      <c r="L866" s="11">
        <v>1.0</v>
      </c>
      <c r="M866" s="237" t="str">
        <f t="shared" si="1"/>
        <v>0401350042805615801</v>
      </c>
      <c r="N866" s="238">
        <v>-59134.52</v>
      </c>
      <c r="O866" s="110">
        <v>83014.0</v>
      </c>
      <c r="P866" s="11">
        <v>74.0</v>
      </c>
      <c r="Q866" s="239"/>
      <c r="R866" s="17">
        <v>17.0</v>
      </c>
    </row>
    <row r="867">
      <c r="A867" s="11">
        <v>13.0</v>
      </c>
      <c r="B867" s="11">
        <v>98.0</v>
      </c>
      <c r="C867" s="11">
        <v>7.0</v>
      </c>
      <c r="D867" s="11" t="s">
        <v>31</v>
      </c>
      <c r="E867" s="234">
        <v>28.0</v>
      </c>
      <c r="F867" s="235">
        <v>33.0</v>
      </c>
      <c r="G867" s="235">
        <v>33.0</v>
      </c>
      <c r="H867" s="234">
        <v>28.0</v>
      </c>
      <c r="I867" s="235">
        <v>33.0</v>
      </c>
      <c r="J867" s="236">
        <v>6.8557736E7</v>
      </c>
      <c r="K867" s="11">
        <v>12.0</v>
      </c>
      <c r="L867" s="11">
        <v>8.0</v>
      </c>
      <c r="M867" s="237" t="str">
        <f t="shared" si="1"/>
        <v>0280330068557736128</v>
      </c>
      <c r="N867" s="238">
        <v>14831.23</v>
      </c>
      <c r="O867" s="110">
        <v>121022.0</v>
      </c>
      <c r="P867" s="11">
        <v>76.0</v>
      </c>
      <c r="Q867" s="239"/>
      <c r="R867" s="17">
        <v>58.0</v>
      </c>
    </row>
    <row r="868">
      <c r="A868" s="11">
        <v>18.0</v>
      </c>
      <c r="B868" s="11">
        <v>78.0</v>
      </c>
      <c r="C868" s="11">
        <v>6.0</v>
      </c>
      <c r="D868" s="11" t="s">
        <v>31</v>
      </c>
      <c r="E868" s="234">
        <v>54.0</v>
      </c>
      <c r="F868" s="235">
        <v>9.0</v>
      </c>
      <c r="G868" s="235">
        <v>9.0</v>
      </c>
      <c r="H868" s="234">
        <v>54.0</v>
      </c>
      <c r="I868" s="235">
        <v>9.0</v>
      </c>
      <c r="J868" s="236">
        <v>6.857085E7</v>
      </c>
      <c r="K868" s="11">
        <v>81.0</v>
      </c>
      <c r="L868" s="11">
        <v>0.0</v>
      </c>
      <c r="M868" s="237" t="str">
        <f t="shared" si="1"/>
        <v>0540090068570850810</v>
      </c>
      <c r="N868" s="238">
        <v>71643.18</v>
      </c>
      <c r="O868" s="110">
        <v>32920.0</v>
      </c>
      <c r="P868" s="11">
        <v>78.0</v>
      </c>
      <c r="Q868" s="239"/>
      <c r="R868" s="17">
        <v>78.0</v>
      </c>
    </row>
    <row r="869">
      <c r="A869" s="11">
        <v>15.0</v>
      </c>
      <c r="B869" s="11">
        <v>57.0</v>
      </c>
      <c r="C869" s="11">
        <v>2.0</v>
      </c>
      <c r="D869" s="11" t="s">
        <v>5273</v>
      </c>
      <c r="E869" s="234">
        <v>13.0</v>
      </c>
      <c r="F869" s="235">
        <v>163.0</v>
      </c>
      <c r="G869" s="235">
        <v>163.0</v>
      </c>
      <c r="H869" s="234">
        <v>13.0</v>
      </c>
      <c r="I869" s="235">
        <v>163.0</v>
      </c>
      <c r="J869" s="236">
        <v>8.1591763E7</v>
      </c>
      <c r="K869" s="11">
        <v>36.0</v>
      </c>
      <c r="L869" s="11">
        <v>9.0</v>
      </c>
      <c r="M869" s="237" t="str">
        <f t="shared" si="1"/>
        <v>0131630081591763369</v>
      </c>
      <c r="N869" s="238">
        <v>-63940.34</v>
      </c>
      <c r="O869" s="110">
        <v>102722.0</v>
      </c>
      <c r="P869" s="11">
        <v>70.0</v>
      </c>
      <c r="Q869" s="239"/>
      <c r="R869" s="17">
        <v>58.0</v>
      </c>
    </row>
    <row r="870">
      <c r="A870" s="11">
        <v>19.0</v>
      </c>
      <c r="B870" s="11">
        <v>57.0</v>
      </c>
      <c r="C870" s="11">
        <v>6.0</v>
      </c>
      <c r="D870" s="11" t="s">
        <v>5272</v>
      </c>
      <c r="E870" s="234">
        <v>19.0</v>
      </c>
      <c r="F870" s="235">
        <v>103.0</v>
      </c>
      <c r="G870" s="235">
        <v>103.0</v>
      </c>
      <c r="H870" s="234">
        <v>19.0</v>
      </c>
      <c r="I870" s="235">
        <v>103.0</v>
      </c>
      <c r="J870" s="236">
        <v>7.000133E7</v>
      </c>
      <c r="K870" s="11">
        <v>96.0</v>
      </c>
      <c r="L870" s="11">
        <v>9.0</v>
      </c>
      <c r="M870" s="237" t="str">
        <f t="shared" si="1"/>
        <v>0191030070001330969</v>
      </c>
      <c r="N870" s="238">
        <v>43143.46</v>
      </c>
      <c r="O870" s="110">
        <v>50722.0</v>
      </c>
      <c r="P870" s="11">
        <v>80.0</v>
      </c>
      <c r="Q870" s="239"/>
      <c r="R870" s="17">
        <v>37.0</v>
      </c>
    </row>
    <row r="871">
      <c r="A871" s="11">
        <v>15.0</v>
      </c>
      <c r="B871" s="11">
        <v>37.0</v>
      </c>
      <c r="C871" s="11">
        <v>1.0</v>
      </c>
      <c r="D871" s="11" t="s">
        <v>5273</v>
      </c>
      <c r="E871" s="234">
        <v>54.0</v>
      </c>
      <c r="F871" s="235">
        <v>37.0</v>
      </c>
      <c r="G871" s="235">
        <v>37.0</v>
      </c>
      <c r="H871" s="234">
        <v>54.0</v>
      </c>
      <c r="I871" s="235">
        <v>37.0</v>
      </c>
      <c r="J871" s="236">
        <v>8.8247533E7</v>
      </c>
      <c r="K871" s="11">
        <v>15.0</v>
      </c>
      <c r="L871" s="11">
        <v>0.0</v>
      </c>
      <c r="M871" s="237" t="str">
        <f t="shared" si="1"/>
        <v>0540370088247533150</v>
      </c>
      <c r="N871" s="238">
        <v>65844.83</v>
      </c>
      <c r="O871" s="110">
        <v>51722.0</v>
      </c>
      <c r="P871" s="11">
        <v>70.0</v>
      </c>
      <c r="Q871" s="239"/>
      <c r="R871" s="17">
        <v>37.0</v>
      </c>
    </row>
    <row r="872">
      <c r="A872" s="11">
        <v>16.0</v>
      </c>
      <c r="B872" s="11">
        <v>37.0</v>
      </c>
      <c r="C872" s="11">
        <v>3.0</v>
      </c>
      <c r="D872" s="11" t="s">
        <v>5271</v>
      </c>
      <c r="E872" s="234">
        <v>41.0</v>
      </c>
      <c r="F872" s="235">
        <v>53.0</v>
      </c>
      <c r="G872" s="235">
        <v>53.0</v>
      </c>
      <c r="H872" s="234">
        <v>41.0</v>
      </c>
      <c r="I872" s="235">
        <v>53.0</v>
      </c>
      <c r="J872" s="236">
        <v>7.8933799E7</v>
      </c>
      <c r="K872" s="11">
        <v>45.0</v>
      </c>
      <c r="L872" s="11">
        <v>9.0</v>
      </c>
      <c r="M872" s="237" t="str">
        <f t="shared" si="1"/>
        <v>0410530078933799459</v>
      </c>
      <c r="N872" s="238">
        <v>-88320.2</v>
      </c>
      <c r="O872" s="110">
        <v>113019.0</v>
      </c>
      <c r="P872" s="11">
        <v>72.0</v>
      </c>
      <c r="Q872" s="239"/>
      <c r="R872" s="17">
        <v>78.0</v>
      </c>
    </row>
    <row r="873">
      <c r="A873" s="11">
        <v>14.0</v>
      </c>
      <c r="B873" s="11">
        <v>78.0</v>
      </c>
      <c r="C873" s="11">
        <v>1.0</v>
      </c>
      <c r="D873" s="11" t="s">
        <v>39</v>
      </c>
      <c r="E873" s="234">
        <v>18.0</v>
      </c>
      <c r="F873" s="235">
        <v>73.0</v>
      </c>
      <c r="G873" s="235">
        <v>73.0</v>
      </c>
      <c r="H873" s="234">
        <v>18.0</v>
      </c>
      <c r="I873" s="235">
        <v>73.0</v>
      </c>
      <c r="J873" s="236">
        <v>7.8251784E7</v>
      </c>
      <c r="K873" s="11">
        <v>21.0</v>
      </c>
      <c r="L873" s="11">
        <v>5.0</v>
      </c>
      <c r="M873" s="237" t="str">
        <f t="shared" si="1"/>
        <v>0180730078251784215</v>
      </c>
      <c r="N873" s="238">
        <v>46811.55</v>
      </c>
      <c r="O873" s="110">
        <v>30119.0</v>
      </c>
      <c r="P873" s="11">
        <v>70.0</v>
      </c>
      <c r="Q873" s="239"/>
      <c r="R873" s="17">
        <v>78.0</v>
      </c>
    </row>
    <row r="874">
      <c r="A874" s="11">
        <v>12.0</v>
      </c>
      <c r="B874" s="11">
        <v>78.0</v>
      </c>
      <c r="C874" s="11">
        <v>5.0</v>
      </c>
      <c r="D874" s="11" t="s">
        <v>39</v>
      </c>
      <c r="E874" s="234">
        <v>4.0</v>
      </c>
      <c r="F874" s="235">
        <v>23.0</v>
      </c>
      <c r="G874" s="235">
        <v>23.0</v>
      </c>
      <c r="H874" s="234">
        <v>4.0</v>
      </c>
      <c r="I874" s="235">
        <v>23.0</v>
      </c>
      <c r="J874" s="236">
        <v>6.6938378E7</v>
      </c>
      <c r="K874" s="11">
        <v>3.0</v>
      </c>
      <c r="L874" s="11">
        <v>6.0</v>
      </c>
      <c r="M874" s="237" t="str">
        <f t="shared" si="1"/>
        <v>04023006693837836</v>
      </c>
      <c r="N874" s="238">
        <v>48117.42</v>
      </c>
      <c r="O874" s="110">
        <v>101920.0</v>
      </c>
      <c r="P874" s="11">
        <v>78.0</v>
      </c>
      <c r="Q874" s="239"/>
      <c r="R874" s="17">
        <v>17.0</v>
      </c>
    </row>
    <row r="875">
      <c r="A875" s="11">
        <v>16.0</v>
      </c>
      <c r="B875" s="11">
        <v>37.0</v>
      </c>
      <c r="C875" s="11">
        <v>7.0</v>
      </c>
      <c r="D875" s="11" t="s">
        <v>5273</v>
      </c>
      <c r="E875" s="234">
        <v>22.0</v>
      </c>
      <c r="F875" s="235">
        <v>123.0</v>
      </c>
      <c r="G875" s="235">
        <v>123.0</v>
      </c>
      <c r="H875" s="234">
        <v>22.0</v>
      </c>
      <c r="I875" s="235">
        <v>123.0</v>
      </c>
      <c r="J875" s="236">
        <v>8.1241136E7</v>
      </c>
      <c r="K875" s="11">
        <v>66.0</v>
      </c>
      <c r="L875" s="11">
        <v>2.0</v>
      </c>
      <c r="M875" s="237" t="str">
        <f t="shared" si="1"/>
        <v>0221230081241136662</v>
      </c>
      <c r="N875" s="238">
        <v>97562.31</v>
      </c>
      <c r="O875" s="110">
        <v>80923.0</v>
      </c>
      <c r="P875" s="11">
        <v>77.0</v>
      </c>
      <c r="Q875" s="239"/>
      <c r="R875" s="17">
        <v>99.0</v>
      </c>
    </row>
    <row r="876">
      <c r="A876" s="11">
        <v>12.0</v>
      </c>
      <c r="B876" s="11">
        <v>78.0</v>
      </c>
      <c r="C876" s="11">
        <v>9.0</v>
      </c>
      <c r="D876" s="11" t="s">
        <v>31</v>
      </c>
      <c r="E876" s="234">
        <v>19.0</v>
      </c>
      <c r="F876" s="235">
        <v>131.0</v>
      </c>
      <c r="G876" s="235">
        <v>131.0</v>
      </c>
      <c r="H876" s="234">
        <v>19.0</v>
      </c>
      <c r="I876" s="235">
        <v>131.0</v>
      </c>
      <c r="J876" s="236">
        <v>6.6792247E7</v>
      </c>
      <c r="K876" s="11">
        <v>7.0</v>
      </c>
      <c r="L876" s="11">
        <v>3.0</v>
      </c>
      <c r="M876" s="237" t="str">
        <f t="shared" si="1"/>
        <v>019131006679224773</v>
      </c>
      <c r="N876" s="238">
        <v>43153.77</v>
      </c>
      <c r="O876" s="110">
        <v>50114.0</v>
      </c>
      <c r="P876" s="11">
        <v>74.0</v>
      </c>
      <c r="Q876" s="239"/>
      <c r="R876" s="17">
        <v>58.0</v>
      </c>
    </row>
    <row r="877">
      <c r="A877" s="11">
        <v>17.0</v>
      </c>
      <c r="B877" s="11">
        <v>37.0</v>
      </c>
      <c r="C877" s="11">
        <v>4.0</v>
      </c>
      <c r="D877" s="11" t="s">
        <v>39</v>
      </c>
      <c r="E877" s="234">
        <v>16.0</v>
      </c>
      <c r="F877" s="235">
        <v>13.0</v>
      </c>
      <c r="G877" s="235">
        <v>13.0</v>
      </c>
      <c r="H877" s="234">
        <v>16.0</v>
      </c>
      <c r="I877" s="235">
        <v>13.0</v>
      </c>
      <c r="J877" s="236">
        <v>4.9222785E7</v>
      </c>
      <c r="K877" s="11">
        <v>98.0</v>
      </c>
      <c r="L877" s="11">
        <v>3.0</v>
      </c>
      <c r="M877" s="237" t="str">
        <f t="shared" si="1"/>
        <v>0160130049222785983</v>
      </c>
      <c r="N877" s="238">
        <v>-75992.58</v>
      </c>
      <c r="O877" s="110">
        <v>53115.0</v>
      </c>
      <c r="P877" s="11">
        <v>80.0</v>
      </c>
      <c r="Q877" s="239"/>
      <c r="R877" s="17">
        <v>17.0</v>
      </c>
    </row>
    <row r="878">
      <c r="A878" s="11">
        <v>18.0</v>
      </c>
      <c r="B878" s="11">
        <v>17.0</v>
      </c>
      <c r="C878" s="11">
        <v>8.0</v>
      </c>
      <c r="D878" s="11" t="s">
        <v>31</v>
      </c>
      <c r="E878" s="234">
        <v>8.0</v>
      </c>
      <c r="F878" s="235">
        <v>5.0</v>
      </c>
      <c r="G878" s="235">
        <v>5.0</v>
      </c>
      <c r="H878" s="234">
        <v>8.0</v>
      </c>
      <c r="I878" s="235">
        <v>5.0</v>
      </c>
      <c r="J878" s="236">
        <v>9.5361065E7</v>
      </c>
      <c r="K878" s="11">
        <v>44.0</v>
      </c>
      <c r="L878" s="11">
        <v>6.0</v>
      </c>
      <c r="M878" s="237" t="str">
        <f t="shared" si="1"/>
        <v>080050095361065446</v>
      </c>
      <c r="N878" s="238">
        <v>-78257.01</v>
      </c>
      <c r="O878" s="110">
        <v>30517.0</v>
      </c>
      <c r="P878" s="11">
        <v>70.0</v>
      </c>
      <c r="Q878" s="239"/>
      <c r="R878" s="17">
        <v>99.0</v>
      </c>
    </row>
    <row r="879">
      <c r="A879" s="11">
        <v>18.0</v>
      </c>
      <c r="B879" s="11">
        <v>17.0</v>
      </c>
      <c r="C879" s="11">
        <v>6.0</v>
      </c>
      <c r="D879" s="11" t="s">
        <v>5273</v>
      </c>
      <c r="E879" s="234">
        <v>21.0</v>
      </c>
      <c r="F879" s="235">
        <v>109.0</v>
      </c>
      <c r="G879" s="235">
        <v>109.0</v>
      </c>
      <c r="H879" s="234">
        <v>21.0</v>
      </c>
      <c r="I879" s="235">
        <v>109.0</v>
      </c>
      <c r="J879" s="236">
        <v>1.6247604E7</v>
      </c>
      <c r="K879" s="11">
        <v>37.0</v>
      </c>
      <c r="L879" s="11">
        <v>4.0</v>
      </c>
      <c r="M879" s="237" t="str">
        <f t="shared" si="1"/>
        <v>0211090016247604374</v>
      </c>
      <c r="N879" s="238">
        <v>17611.47</v>
      </c>
      <c r="O879" s="110">
        <v>13120.0</v>
      </c>
      <c r="P879" s="11">
        <v>77.0</v>
      </c>
      <c r="Q879" s="239"/>
      <c r="R879" s="17">
        <v>58.0</v>
      </c>
    </row>
    <row r="880">
      <c r="A880" s="11">
        <v>15.0</v>
      </c>
      <c r="B880" s="11">
        <v>78.0</v>
      </c>
      <c r="C880" s="11">
        <v>8.0</v>
      </c>
      <c r="D880" s="11" t="s">
        <v>29</v>
      </c>
      <c r="E880" s="234">
        <v>54.0</v>
      </c>
      <c r="F880" s="235">
        <v>69.0</v>
      </c>
      <c r="G880" s="235">
        <v>69.0</v>
      </c>
      <c r="H880" s="234">
        <v>54.0</v>
      </c>
      <c r="I880" s="235">
        <v>69.0</v>
      </c>
      <c r="J880" s="236">
        <v>2.3488097E7</v>
      </c>
      <c r="K880" s="11">
        <v>26.0</v>
      </c>
      <c r="L880" s="11">
        <v>8.0</v>
      </c>
      <c r="M880" s="237" t="str">
        <f t="shared" si="1"/>
        <v>0540690023488097268</v>
      </c>
      <c r="N880" s="238">
        <v>-63293.42</v>
      </c>
      <c r="O880" s="110">
        <v>52213.0</v>
      </c>
      <c r="P880" s="11">
        <v>70.0</v>
      </c>
      <c r="Q880" s="239"/>
      <c r="R880" s="17">
        <v>78.0</v>
      </c>
    </row>
    <row r="881">
      <c r="A881" s="11">
        <v>20.0</v>
      </c>
      <c r="B881" s="11">
        <v>99.0</v>
      </c>
      <c r="C881" s="11">
        <v>7.0</v>
      </c>
      <c r="D881" s="11" t="s">
        <v>29</v>
      </c>
      <c r="E881" s="234">
        <v>39.0</v>
      </c>
      <c r="F881" s="235">
        <v>95.0</v>
      </c>
      <c r="G881" s="235">
        <v>95.0</v>
      </c>
      <c r="H881" s="234">
        <v>39.0</v>
      </c>
      <c r="I881" s="235">
        <v>95.0</v>
      </c>
      <c r="J881" s="236">
        <v>3.4966351E7</v>
      </c>
      <c r="K881" s="11">
        <v>76.0</v>
      </c>
      <c r="L881" s="11">
        <v>8.0</v>
      </c>
      <c r="M881" s="237" t="str">
        <f t="shared" si="1"/>
        <v>0390950034966351768</v>
      </c>
      <c r="N881" s="238">
        <v>-44265.43</v>
      </c>
      <c r="O881" s="110">
        <v>30917.0</v>
      </c>
      <c r="P881" s="11">
        <v>72.0</v>
      </c>
      <c r="Q881" s="239"/>
      <c r="R881" s="17">
        <v>99.0</v>
      </c>
    </row>
    <row r="882">
      <c r="A882" s="11">
        <v>10.0</v>
      </c>
      <c r="B882" s="11">
        <v>78.0</v>
      </c>
      <c r="C882" s="11">
        <v>1.0</v>
      </c>
      <c r="D882" s="11" t="s">
        <v>39</v>
      </c>
      <c r="E882" s="234">
        <v>53.0</v>
      </c>
      <c r="F882" s="235">
        <v>43.0</v>
      </c>
      <c r="G882" s="235">
        <v>43.0</v>
      </c>
      <c r="H882" s="234">
        <v>53.0</v>
      </c>
      <c r="I882" s="235">
        <v>43.0</v>
      </c>
      <c r="J882" s="236">
        <v>9.6435878E7</v>
      </c>
      <c r="K882" s="11">
        <v>90.0</v>
      </c>
      <c r="L882" s="11">
        <v>8.0</v>
      </c>
      <c r="M882" s="237" t="str">
        <f t="shared" si="1"/>
        <v>0530430096435878908</v>
      </c>
      <c r="N882" s="238">
        <v>29236.25</v>
      </c>
      <c r="O882" s="110">
        <v>61023.0</v>
      </c>
      <c r="P882" s="11">
        <v>79.0</v>
      </c>
      <c r="Q882" s="239"/>
      <c r="R882" s="17">
        <v>99.0</v>
      </c>
    </row>
    <row r="883">
      <c r="A883" s="11">
        <v>14.0</v>
      </c>
      <c r="B883" s="11">
        <v>58.0</v>
      </c>
      <c r="C883" s="11">
        <v>1.0</v>
      </c>
      <c r="D883" s="11" t="s">
        <v>5273</v>
      </c>
      <c r="E883" s="234">
        <v>18.0</v>
      </c>
      <c r="F883" s="235">
        <v>123.0</v>
      </c>
      <c r="G883" s="235">
        <v>123.0</v>
      </c>
      <c r="H883" s="234">
        <v>18.0</v>
      </c>
      <c r="I883" s="235">
        <v>123.0</v>
      </c>
      <c r="J883" s="236">
        <v>4.1090401E7</v>
      </c>
      <c r="K883" s="11">
        <v>4.0</v>
      </c>
      <c r="L883" s="11">
        <v>9.0</v>
      </c>
      <c r="M883" s="237" t="str">
        <f t="shared" si="1"/>
        <v>018123004109040149</v>
      </c>
      <c r="N883" s="238">
        <v>34548.57</v>
      </c>
      <c r="O883" s="110">
        <v>51718.0</v>
      </c>
      <c r="P883" s="11">
        <v>80.0</v>
      </c>
      <c r="Q883" s="239"/>
      <c r="R883" s="17">
        <v>17.0</v>
      </c>
    </row>
    <row r="884">
      <c r="A884" s="11">
        <v>10.0</v>
      </c>
      <c r="B884" s="11">
        <v>17.0</v>
      </c>
      <c r="C884" s="11">
        <v>7.0</v>
      </c>
      <c r="D884" s="11" t="s">
        <v>5273</v>
      </c>
      <c r="E884" s="234">
        <v>6.0</v>
      </c>
      <c r="F884" s="235">
        <v>43.0</v>
      </c>
      <c r="G884" s="235">
        <v>43.0</v>
      </c>
      <c r="H884" s="234">
        <v>6.0</v>
      </c>
      <c r="I884" s="235">
        <v>43.0</v>
      </c>
      <c r="J884" s="236">
        <v>7.7900246E7</v>
      </c>
      <c r="K884" s="11">
        <v>48.0</v>
      </c>
      <c r="L884" s="11">
        <v>1.0</v>
      </c>
      <c r="M884" s="237" t="str">
        <f t="shared" si="1"/>
        <v>060430077900246481</v>
      </c>
      <c r="N884" s="238">
        <v>-25149.9</v>
      </c>
      <c r="O884" s="110">
        <v>121317.0</v>
      </c>
      <c r="P884" s="11">
        <v>72.0</v>
      </c>
      <c r="Q884" s="239"/>
      <c r="R884" s="17">
        <v>99.0</v>
      </c>
    </row>
    <row r="885">
      <c r="A885" s="11">
        <v>17.0</v>
      </c>
      <c r="B885" s="11">
        <v>17.0</v>
      </c>
      <c r="C885" s="11">
        <v>4.0</v>
      </c>
      <c r="D885" s="11" t="s">
        <v>31</v>
      </c>
      <c r="E885" s="234">
        <v>48.0</v>
      </c>
      <c r="F885" s="235">
        <v>131.0</v>
      </c>
      <c r="G885" s="235">
        <v>131.0</v>
      </c>
      <c r="H885" s="234">
        <v>48.0</v>
      </c>
      <c r="I885" s="235">
        <v>131.0</v>
      </c>
      <c r="J885" s="236">
        <v>2.1208028E7</v>
      </c>
      <c r="K885" s="11">
        <v>62.0</v>
      </c>
      <c r="L885" s="11">
        <v>6.0</v>
      </c>
      <c r="M885" s="237" t="str">
        <f t="shared" si="1"/>
        <v>0481310021208028626</v>
      </c>
      <c r="N885" s="238">
        <v>43178.75</v>
      </c>
      <c r="O885" s="110">
        <v>42016.0</v>
      </c>
      <c r="P885" s="11">
        <v>76.0</v>
      </c>
      <c r="Q885" s="239"/>
      <c r="R885" s="17">
        <v>38.0</v>
      </c>
    </row>
    <row r="886">
      <c r="A886" s="11">
        <v>12.0</v>
      </c>
      <c r="B886" s="11">
        <v>78.0</v>
      </c>
      <c r="C886" s="11">
        <v>4.0</v>
      </c>
      <c r="D886" s="11" t="s">
        <v>39</v>
      </c>
      <c r="E886" s="234">
        <v>29.0</v>
      </c>
      <c r="F886" s="235">
        <v>91.0</v>
      </c>
      <c r="G886" s="235">
        <v>91.0</v>
      </c>
      <c r="H886" s="234">
        <v>29.0</v>
      </c>
      <c r="I886" s="235">
        <v>91.0</v>
      </c>
      <c r="J886" s="236">
        <v>9.1468688E7</v>
      </c>
      <c r="K886" s="11">
        <v>70.0</v>
      </c>
      <c r="L886" s="11">
        <v>7.0</v>
      </c>
      <c r="M886" s="237" t="str">
        <f t="shared" si="1"/>
        <v>0290910091468688707</v>
      </c>
      <c r="N886" s="238">
        <v>89730.81</v>
      </c>
      <c r="O886" s="110">
        <v>22518.0</v>
      </c>
      <c r="P886" s="11">
        <v>75.0</v>
      </c>
      <c r="Q886" s="239"/>
      <c r="R886" s="17">
        <v>17.0</v>
      </c>
    </row>
    <row r="887">
      <c r="A887" s="11">
        <v>13.0</v>
      </c>
      <c r="B887" s="11">
        <v>99.0</v>
      </c>
      <c r="C887" s="11">
        <v>6.0</v>
      </c>
      <c r="D887" s="11" t="s">
        <v>5272</v>
      </c>
      <c r="E887" s="234">
        <v>39.0</v>
      </c>
      <c r="F887" s="235">
        <v>159.0</v>
      </c>
      <c r="G887" s="235">
        <v>159.0</v>
      </c>
      <c r="H887" s="234">
        <v>39.0</v>
      </c>
      <c r="I887" s="235">
        <v>159.0</v>
      </c>
      <c r="J887" s="236">
        <v>1.6763169E7</v>
      </c>
      <c r="K887" s="11">
        <v>76.0</v>
      </c>
      <c r="L887" s="11">
        <v>4.0</v>
      </c>
      <c r="M887" s="237" t="str">
        <f t="shared" si="1"/>
        <v>0391590016763169764</v>
      </c>
      <c r="N887" s="238">
        <v>48885.54</v>
      </c>
      <c r="O887" s="110">
        <v>91515.0</v>
      </c>
      <c r="P887" s="11">
        <v>76.0</v>
      </c>
      <c r="Q887" s="239"/>
      <c r="R887" s="17">
        <v>38.0</v>
      </c>
    </row>
    <row r="888">
      <c r="A888" s="11">
        <v>11.0</v>
      </c>
      <c r="B888" s="11">
        <v>99.0</v>
      </c>
      <c r="C888" s="11">
        <v>4.0</v>
      </c>
      <c r="D888" s="11" t="s">
        <v>39</v>
      </c>
      <c r="E888" s="234">
        <v>39.0</v>
      </c>
      <c r="F888" s="235">
        <v>41.0</v>
      </c>
      <c r="G888" s="235">
        <v>41.0</v>
      </c>
      <c r="H888" s="234">
        <v>39.0</v>
      </c>
      <c r="I888" s="235">
        <v>41.0</v>
      </c>
      <c r="J888" s="236">
        <v>9.0592063E7</v>
      </c>
      <c r="K888" s="11">
        <v>13.0</v>
      </c>
      <c r="L888" s="11">
        <v>9.0</v>
      </c>
      <c r="M888" s="237" t="str">
        <f t="shared" si="1"/>
        <v>0390410090592063139</v>
      </c>
      <c r="N888" s="238">
        <v>-94667.12</v>
      </c>
      <c r="O888" s="110">
        <v>52618.0</v>
      </c>
      <c r="P888" s="11">
        <v>78.0</v>
      </c>
      <c r="Q888" s="239"/>
      <c r="R888" s="17">
        <v>58.0</v>
      </c>
    </row>
    <row r="889">
      <c r="A889" s="11">
        <v>20.0</v>
      </c>
      <c r="B889" s="11">
        <v>99.0</v>
      </c>
      <c r="C889" s="11">
        <v>8.0</v>
      </c>
      <c r="D889" s="11" t="s">
        <v>5273</v>
      </c>
      <c r="E889" s="234">
        <v>48.0</v>
      </c>
      <c r="F889" s="235">
        <v>443.0</v>
      </c>
      <c r="G889" s="235">
        <v>443.0</v>
      </c>
      <c r="H889" s="234">
        <v>48.0</v>
      </c>
      <c r="I889" s="235">
        <v>443.0</v>
      </c>
      <c r="J889" s="236">
        <v>4.6331544E7</v>
      </c>
      <c r="K889" s="11">
        <v>43.0</v>
      </c>
      <c r="L889" s="11">
        <v>3.0</v>
      </c>
      <c r="M889" s="237" t="str">
        <f t="shared" si="1"/>
        <v>0484430046331544433</v>
      </c>
      <c r="N889" s="238">
        <v>47414.85</v>
      </c>
      <c r="O889" s="110">
        <v>31123.0</v>
      </c>
      <c r="P889" s="11">
        <v>72.0</v>
      </c>
      <c r="Q889" s="239"/>
      <c r="R889" s="17">
        <v>38.0</v>
      </c>
    </row>
    <row r="890">
      <c r="A890" s="11">
        <v>14.0</v>
      </c>
      <c r="B890" s="11">
        <v>99.0</v>
      </c>
      <c r="C890" s="11">
        <v>6.0</v>
      </c>
      <c r="D890" s="11" t="s">
        <v>5272</v>
      </c>
      <c r="E890" s="234">
        <v>6.0</v>
      </c>
      <c r="F890" s="235">
        <v>79.0</v>
      </c>
      <c r="G890" s="235">
        <v>79.0</v>
      </c>
      <c r="H890" s="234">
        <v>6.0</v>
      </c>
      <c r="I890" s="235">
        <v>79.0</v>
      </c>
      <c r="J890" s="236">
        <v>5.1778314E7</v>
      </c>
      <c r="K890" s="11">
        <v>42.0</v>
      </c>
      <c r="L890" s="11">
        <v>6.0</v>
      </c>
      <c r="M890" s="237" t="str">
        <f t="shared" si="1"/>
        <v>060790051778314426</v>
      </c>
      <c r="N890" s="238">
        <v>-85860.54</v>
      </c>
      <c r="O890" s="110">
        <v>90917.0</v>
      </c>
      <c r="P890" s="11">
        <v>79.0</v>
      </c>
      <c r="Q890" s="239"/>
      <c r="R890" s="17">
        <v>58.0</v>
      </c>
    </row>
    <row r="891">
      <c r="A891" s="11">
        <v>17.0</v>
      </c>
      <c r="B891" s="11">
        <v>37.0</v>
      </c>
      <c r="C891" s="11">
        <v>8.0</v>
      </c>
      <c r="D891" s="11" t="s">
        <v>5271</v>
      </c>
      <c r="E891" s="234">
        <v>36.0</v>
      </c>
      <c r="F891" s="235">
        <v>97.0</v>
      </c>
      <c r="G891" s="235">
        <v>97.0</v>
      </c>
      <c r="H891" s="234">
        <v>36.0</v>
      </c>
      <c r="I891" s="235">
        <v>97.0</v>
      </c>
      <c r="J891" s="236">
        <v>6.1267202E7</v>
      </c>
      <c r="K891" s="11">
        <v>75.0</v>
      </c>
      <c r="L891" s="11">
        <v>7.0</v>
      </c>
      <c r="M891" s="237" t="str">
        <f t="shared" si="1"/>
        <v>0360970061267202757</v>
      </c>
      <c r="N891" s="238">
        <v>-92658.13</v>
      </c>
      <c r="O891" s="110">
        <v>20914.0</v>
      </c>
      <c r="P891" s="11">
        <v>76.0</v>
      </c>
      <c r="Q891" s="239"/>
      <c r="R891" s="17">
        <v>17.0</v>
      </c>
    </row>
    <row r="892">
      <c r="A892" s="11">
        <v>10.0</v>
      </c>
      <c r="B892" s="11">
        <v>78.0</v>
      </c>
      <c r="C892" s="11">
        <v>4.0</v>
      </c>
      <c r="D892" s="11" t="s">
        <v>5273</v>
      </c>
      <c r="E892" s="234">
        <v>47.0</v>
      </c>
      <c r="F892" s="235">
        <v>177.0</v>
      </c>
      <c r="G892" s="235">
        <v>177.0</v>
      </c>
      <c r="H892" s="234">
        <v>47.0</v>
      </c>
      <c r="I892" s="235">
        <v>177.0</v>
      </c>
      <c r="J892" s="236">
        <v>5.730072E7</v>
      </c>
      <c r="K892" s="11">
        <v>60.0</v>
      </c>
      <c r="L892" s="11">
        <v>2.0</v>
      </c>
      <c r="M892" s="237" t="str">
        <f t="shared" si="1"/>
        <v>0471770057300720602</v>
      </c>
      <c r="N892" s="238">
        <v>-66868.93</v>
      </c>
      <c r="O892" s="110">
        <v>103116.0</v>
      </c>
      <c r="P892" s="11">
        <v>78.0</v>
      </c>
      <c r="Q892" s="239"/>
      <c r="R892" s="17">
        <v>38.0</v>
      </c>
    </row>
    <row r="893">
      <c r="A893" s="11">
        <v>14.0</v>
      </c>
      <c r="B893" s="11">
        <v>17.0</v>
      </c>
      <c r="C893" s="11">
        <v>9.0</v>
      </c>
      <c r="D893" s="11" t="s">
        <v>5271</v>
      </c>
      <c r="E893" s="234">
        <v>29.0</v>
      </c>
      <c r="F893" s="235">
        <v>35.0</v>
      </c>
      <c r="G893" s="235">
        <v>35.0</v>
      </c>
      <c r="H893" s="234">
        <v>29.0</v>
      </c>
      <c r="I893" s="235">
        <v>35.0</v>
      </c>
      <c r="J893" s="236">
        <v>5.8177707E7</v>
      </c>
      <c r="K893" s="11">
        <v>12.0</v>
      </c>
      <c r="L893" s="11">
        <v>5.0</v>
      </c>
      <c r="M893" s="237" t="str">
        <f t="shared" si="1"/>
        <v>0290350058177707125</v>
      </c>
      <c r="N893" s="238">
        <v>-94769.36</v>
      </c>
      <c r="O893" s="110">
        <v>50120.0</v>
      </c>
      <c r="P893" s="11">
        <v>76.0</v>
      </c>
      <c r="Q893" s="239"/>
      <c r="R893" s="17">
        <v>79.0</v>
      </c>
    </row>
    <row r="894">
      <c r="A894" s="11">
        <v>11.0</v>
      </c>
      <c r="B894" s="11">
        <v>37.0</v>
      </c>
      <c r="C894" s="11">
        <v>3.0</v>
      </c>
      <c r="D894" s="11" t="s">
        <v>31</v>
      </c>
      <c r="E894" s="234">
        <v>55.0</v>
      </c>
      <c r="F894" s="235">
        <v>133.0</v>
      </c>
      <c r="G894" s="235">
        <v>133.0</v>
      </c>
      <c r="H894" s="234">
        <v>55.0</v>
      </c>
      <c r="I894" s="235">
        <v>133.0</v>
      </c>
      <c r="J894" s="236">
        <v>5.6946953E7</v>
      </c>
      <c r="K894" s="11">
        <v>40.0</v>
      </c>
      <c r="L894" s="11">
        <v>0.0</v>
      </c>
      <c r="M894" s="237" t="str">
        <f t="shared" si="1"/>
        <v>0551330056946953400</v>
      </c>
      <c r="N894" s="238">
        <v>-9446.4</v>
      </c>
      <c r="O894" s="110">
        <v>31714.0</v>
      </c>
      <c r="P894" s="11">
        <v>77.0</v>
      </c>
      <c r="Q894" s="239"/>
      <c r="R894" s="17">
        <v>38.0</v>
      </c>
    </row>
    <row r="895">
      <c r="A895" s="11">
        <v>11.0</v>
      </c>
      <c r="B895" s="11">
        <v>58.0</v>
      </c>
      <c r="C895" s="11">
        <v>2.0</v>
      </c>
      <c r="D895" s="11" t="s">
        <v>5273</v>
      </c>
      <c r="E895" s="234">
        <v>40.0</v>
      </c>
      <c r="F895" s="235">
        <v>75.0</v>
      </c>
      <c r="G895" s="235">
        <v>75.0</v>
      </c>
      <c r="H895" s="234">
        <v>40.0</v>
      </c>
      <c r="I895" s="235">
        <v>75.0</v>
      </c>
      <c r="J895" s="236">
        <v>6.7794611E7</v>
      </c>
      <c r="K895" s="11">
        <v>37.0</v>
      </c>
      <c r="L895" s="11">
        <v>0.0</v>
      </c>
      <c r="M895" s="237" t="str">
        <f t="shared" si="1"/>
        <v>0400750067794611370</v>
      </c>
      <c r="N895" s="238">
        <v>8444.08</v>
      </c>
      <c r="O895" s="110">
        <v>12115.0</v>
      </c>
      <c r="P895" s="11">
        <v>79.0</v>
      </c>
      <c r="Q895" s="239"/>
      <c r="R895" s="17">
        <v>79.0</v>
      </c>
    </row>
    <row r="896">
      <c r="A896" s="11">
        <v>10.0</v>
      </c>
      <c r="B896" s="11">
        <v>17.0</v>
      </c>
      <c r="C896" s="11">
        <v>5.0</v>
      </c>
      <c r="D896" s="11" t="s">
        <v>29</v>
      </c>
      <c r="E896" s="234">
        <v>20.0</v>
      </c>
      <c r="F896" s="235">
        <v>23.0</v>
      </c>
      <c r="G896" s="235">
        <v>23.0</v>
      </c>
      <c r="H896" s="234">
        <v>20.0</v>
      </c>
      <c r="I896" s="235">
        <v>23.0</v>
      </c>
      <c r="J896" s="236">
        <v>9.0250252E7</v>
      </c>
      <c r="K896" s="11">
        <v>5.0</v>
      </c>
      <c r="L896" s="11">
        <v>2.0</v>
      </c>
      <c r="M896" s="237" t="str">
        <f t="shared" si="1"/>
        <v>020023009025025252</v>
      </c>
      <c r="N896" s="238">
        <v>-49748.82</v>
      </c>
      <c r="O896" s="110">
        <v>81320.0</v>
      </c>
      <c r="P896" s="11">
        <v>70.0</v>
      </c>
      <c r="Q896" s="239"/>
      <c r="R896" s="17">
        <v>38.0</v>
      </c>
    </row>
    <row r="897">
      <c r="A897" s="11">
        <v>18.0</v>
      </c>
      <c r="B897" s="11">
        <v>37.0</v>
      </c>
      <c r="C897" s="11">
        <v>8.0</v>
      </c>
      <c r="D897" s="11" t="s">
        <v>31</v>
      </c>
      <c r="E897" s="234">
        <v>8.0</v>
      </c>
      <c r="F897" s="235">
        <v>23.0</v>
      </c>
      <c r="G897" s="235">
        <v>23.0</v>
      </c>
      <c r="H897" s="234">
        <v>8.0</v>
      </c>
      <c r="I897" s="235">
        <v>23.0</v>
      </c>
      <c r="J897" s="236">
        <v>8.5963316E7</v>
      </c>
      <c r="K897" s="11">
        <v>5.0</v>
      </c>
      <c r="L897" s="11">
        <v>0.0</v>
      </c>
      <c r="M897" s="237" t="str">
        <f t="shared" si="1"/>
        <v>08023008596331650</v>
      </c>
      <c r="N897" s="238">
        <v>-51348.36</v>
      </c>
      <c r="O897" s="110">
        <v>22813.0</v>
      </c>
      <c r="P897" s="11">
        <v>78.0</v>
      </c>
      <c r="Q897" s="239"/>
      <c r="R897" s="17">
        <v>99.0</v>
      </c>
    </row>
    <row r="898">
      <c r="A898" s="11">
        <v>18.0</v>
      </c>
      <c r="B898" s="11">
        <v>78.0</v>
      </c>
      <c r="C898" s="11">
        <v>5.0</v>
      </c>
      <c r="D898" s="11" t="s">
        <v>5272</v>
      </c>
      <c r="E898" s="234">
        <v>13.0</v>
      </c>
      <c r="F898" s="235">
        <v>79.0</v>
      </c>
      <c r="G898" s="235">
        <v>79.0</v>
      </c>
      <c r="H898" s="234">
        <v>13.0</v>
      </c>
      <c r="I898" s="235">
        <v>79.0</v>
      </c>
      <c r="J898" s="236">
        <v>9.0261826E7</v>
      </c>
      <c r="K898" s="11">
        <v>39.0</v>
      </c>
      <c r="L898" s="11">
        <v>8.0</v>
      </c>
      <c r="M898" s="237" t="str">
        <f t="shared" si="1"/>
        <v>0130790090261826398</v>
      </c>
      <c r="N898" s="238">
        <v>-51057.22</v>
      </c>
      <c r="O898" s="110">
        <v>51815.0</v>
      </c>
      <c r="P898" s="11">
        <v>79.0</v>
      </c>
      <c r="Q898" s="239"/>
      <c r="R898" s="17">
        <v>38.0</v>
      </c>
    </row>
    <row r="899">
      <c r="A899" s="11">
        <v>12.0</v>
      </c>
      <c r="B899" s="11">
        <v>17.0</v>
      </c>
      <c r="C899" s="11">
        <v>6.0</v>
      </c>
      <c r="D899" s="11" t="s">
        <v>5272</v>
      </c>
      <c r="E899" s="234">
        <v>48.0</v>
      </c>
      <c r="F899" s="235">
        <v>69.0</v>
      </c>
      <c r="G899" s="235">
        <v>69.0</v>
      </c>
      <c r="H899" s="234">
        <v>48.0</v>
      </c>
      <c r="I899" s="235">
        <v>69.0</v>
      </c>
      <c r="J899" s="236">
        <v>1.4059737E7</v>
      </c>
      <c r="K899" s="11">
        <v>9.0</v>
      </c>
      <c r="L899" s="11">
        <v>2.0</v>
      </c>
      <c r="M899" s="237" t="str">
        <f t="shared" si="1"/>
        <v>048069001405973792</v>
      </c>
      <c r="N899" s="238">
        <v>-68323.49</v>
      </c>
      <c r="O899" s="110">
        <v>101917.0</v>
      </c>
      <c r="P899" s="11">
        <v>72.0</v>
      </c>
      <c r="Q899" s="239"/>
      <c r="R899" s="17">
        <v>99.0</v>
      </c>
    </row>
    <row r="900">
      <c r="A900" s="11">
        <v>12.0</v>
      </c>
      <c r="B900" s="11">
        <v>78.0</v>
      </c>
      <c r="C900" s="11">
        <v>3.0</v>
      </c>
      <c r="D900" s="11" t="s">
        <v>5271</v>
      </c>
      <c r="E900" s="234">
        <v>1.0</v>
      </c>
      <c r="F900" s="235">
        <v>27.0</v>
      </c>
      <c r="G900" s="235">
        <v>27.0</v>
      </c>
      <c r="H900" s="234">
        <v>1.0</v>
      </c>
      <c r="I900" s="235">
        <v>27.0</v>
      </c>
      <c r="J900" s="236">
        <v>6.2071386E7</v>
      </c>
      <c r="K900" s="11">
        <v>23.0</v>
      </c>
      <c r="L900" s="11">
        <v>6.0</v>
      </c>
      <c r="M900" s="237" t="str">
        <f t="shared" si="1"/>
        <v>010270062071386236</v>
      </c>
      <c r="N900" s="238">
        <v>59882.7</v>
      </c>
      <c r="O900" s="110">
        <v>100418.0</v>
      </c>
      <c r="P900" s="11">
        <v>76.0</v>
      </c>
      <c r="Q900" s="239"/>
      <c r="R900" s="17">
        <v>99.0</v>
      </c>
    </row>
    <row r="901">
      <c r="A901" s="11">
        <v>16.0</v>
      </c>
      <c r="B901" s="11">
        <v>17.0</v>
      </c>
      <c r="C901" s="11">
        <v>2.0</v>
      </c>
      <c r="D901" s="11" t="s">
        <v>5272</v>
      </c>
      <c r="E901" s="234">
        <v>27.0</v>
      </c>
      <c r="F901" s="235">
        <v>57.0</v>
      </c>
      <c r="G901" s="235">
        <v>57.0</v>
      </c>
      <c r="H901" s="234">
        <v>27.0</v>
      </c>
      <c r="I901" s="235">
        <v>57.0</v>
      </c>
      <c r="J901" s="236">
        <v>5.2744607E7</v>
      </c>
      <c r="K901" s="11">
        <v>92.0</v>
      </c>
      <c r="L901" s="11">
        <v>9.0</v>
      </c>
      <c r="M901" s="237" t="str">
        <f t="shared" si="1"/>
        <v>0270570052744607929</v>
      </c>
      <c r="N901" s="238">
        <v>-64150.95</v>
      </c>
      <c r="O901" s="110">
        <v>41513.0</v>
      </c>
      <c r="P901" s="11">
        <v>80.0</v>
      </c>
      <c r="Q901" s="239"/>
      <c r="R901" s="17">
        <v>58.0</v>
      </c>
    </row>
    <row r="902">
      <c r="A902" s="11">
        <v>15.0</v>
      </c>
      <c r="B902" s="11">
        <v>17.0</v>
      </c>
      <c r="C902" s="11">
        <v>7.0</v>
      </c>
      <c r="D902" s="11" t="s">
        <v>29</v>
      </c>
      <c r="E902" s="234">
        <v>53.0</v>
      </c>
      <c r="F902" s="235">
        <v>41.0</v>
      </c>
      <c r="G902" s="235">
        <v>41.0</v>
      </c>
      <c r="H902" s="234">
        <v>53.0</v>
      </c>
      <c r="I902" s="235">
        <v>41.0</v>
      </c>
      <c r="J902" s="236">
        <v>1.505054E7</v>
      </c>
      <c r="K902" s="11">
        <v>44.0</v>
      </c>
      <c r="L902" s="11">
        <v>1.0</v>
      </c>
      <c r="M902" s="237" t="str">
        <f t="shared" si="1"/>
        <v>0530410015050540441</v>
      </c>
      <c r="N902" s="238">
        <v>-86085.69</v>
      </c>
      <c r="O902" s="110">
        <v>90218.0</v>
      </c>
      <c r="P902" s="11">
        <v>75.0</v>
      </c>
      <c r="Q902" s="239"/>
      <c r="R902" s="17">
        <v>58.0</v>
      </c>
    </row>
    <row r="903">
      <c r="A903" s="11">
        <v>12.0</v>
      </c>
      <c r="B903" s="11">
        <v>78.0</v>
      </c>
      <c r="C903" s="11">
        <v>1.0</v>
      </c>
      <c r="D903" s="11" t="s">
        <v>5273</v>
      </c>
      <c r="E903" s="234">
        <v>29.0</v>
      </c>
      <c r="F903" s="235">
        <v>119.0</v>
      </c>
      <c r="G903" s="235">
        <v>119.0</v>
      </c>
      <c r="H903" s="234">
        <v>29.0</v>
      </c>
      <c r="I903" s="235">
        <v>119.0</v>
      </c>
      <c r="J903" s="236">
        <v>1.9961826E7</v>
      </c>
      <c r="K903" s="11">
        <v>68.0</v>
      </c>
      <c r="L903" s="11">
        <v>1.0</v>
      </c>
      <c r="M903" s="237" t="str">
        <f t="shared" si="1"/>
        <v>0291190019961826681</v>
      </c>
      <c r="N903" s="238">
        <v>-78274.62</v>
      </c>
      <c r="O903" s="110">
        <v>50213.0</v>
      </c>
      <c r="P903" s="11">
        <v>73.0</v>
      </c>
      <c r="Q903" s="239"/>
      <c r="R903" s="17">
        <v>99.0</v>
      </c>
    </row>
    <row r="904">
      <c r="A904" s="11">
        <v>12.0</v>
      </c>
      <c r="B904" s="11">
        <v>37.0</v>
      </c>
      <c r="C904" s="11">
        <v>5.0</v>
      </c>
      <c r="D904" s="11" t="s">
        <v>39</v>
      </c>
      <c r="E904" s="234">
        <v>18.0</v>
      </c>
      <c r="F904" s="235">
        <v>59.0</v>
      </c>
      <c r="G904" s="235">
        <v>59.0</v>
      </c>
      <c r="H904" s="234">
        <v>18.0</v>
      </c>
      <c r="I904" s="235">
        <v>59.0</v>
      </c>
      <c r="J904" s="236">
        <v>4.7116531E7</v>
      </c>
      <c r="K904" s="11">
        <v>5.0</v>
      </c>
      <c r="L904" s="11">
        <v>6.0</v>
      </c>
      <c r="M904" s="237" t="str">
        <f t="shared" si="1"/>
        <v>018059004711653156</v>
      </c>
      <c r="N904" s="238">
        <v>60378.95</v>
      </c>
      <c r="O904" s="110">
        <v>122819.0</v>
      </c>
      <c r="P904" s="11">
        <v>71.0</v>
      </c>
      <c r="Q904" s="239"/>
      <c r="R904" s="17">
        <v>58.0</v>
      </c>
    </row>
    <row r="905">
      <c r="A905" s="11">
        <v>12.0</v>
      </c>
      <c r="B905" s="11">
        <v>37.0</v>
      </c>
      <c r="C905" s="11">
        <v>4.0</v>
      </c>
      <c r="D905" s="11" t="s">
        <v>5272</v>
      </c>
      <c r="E905" s="234">
        <v>25.0</v>
      </c>
      <c r="F905" s="235">
        <v>17.0</v>
      </c>
      <c r="G905" s="235">
        <v>17.0</v>
      </c>
      <c r="H905" s="234">
        <v>25.0</v>
      </c>
      <c r="I905" s="235">
        <v>17.0</v>
      </c>
      <c r="J905" s="236">
        <v>1.8710258E7</v>
      </c>
      <c r="K905" s="11">
        <v>79.0</v>
      </c>
      <c r="L905" s="11">
        <v>8.0</v>
      </c>
      <c r="M905" s="237" t="str">
        <f t="shared" si="1"/>
        <v>0250170018710258798</v>
      </c>
      <c r="N905" s="238">
        <v>-90845.35</v>
      </c>
      <c r="O905" s="110">
        <v>70818.0</v>
      </c>
      <c r="P905" s="11">
        <v>71.0</v>
      </c>
      <c r="Q905" s="239"/>
      <c r="R905" s="17">
        <v>58.0</v>
      </c>
    </row>
    <row r="906">
      <c r="A906" s="11">
        <v>19.0</v>
      </c>
      <c r="B906" s="11">
        <v>17.0</v>
      </c>
      <c r="C906" s="11">
        <v>6.0</v>
      </c>
      <c r="D906" s="11" t="s">
        <v>5272</v>
      </c>
      <c r="E906" s="234">
        <v>13.0</v>
      </c>
      <c r="F906" s="235">
        <v>11.0</v>
      </c>
      <c r="G906" s="235">
        <v>11.0</v>
      </c>
      <c r="H906" s="234">
        <v>13.0</v>
      </c>
      <c r="I906" s="235">
        <v>11.0</v>
      </c>
      <c r="J906" s="236">
        <v>6.4633346E7</v>
      </c>
      <c r="K906" s="11">
        <v>38.0</v>
      </c>
      <c r="L906" s="11">
        <v>6.0</v>
      </c>
      <c r="M906" s="237" t="str">
        <f t="shared" si="1"/>
        <v>0130110064633346386</v>
      </c>
      <c r="N906" s="238">
        <v>-23919.71</v>
      </c>
      <c r="O906" s="110">
        <v>50113.0</v>
      </c>
      <c r="P906" s="11">
        <v>78.0</v>
      </c>
      <c r="Q906" s="239"/>
      <c r="R906" s="17">
        <v>99.0</v>
      </c>
    </row>
    <row r="907">
      <c r="A907" s="11">
        <v>10.0</v>
      </c>
      <c r="B907" s="11">
        <v>17.0</v>
      </c>
      <c r="C907" s="11">
        <v>6.0</v>
      </c>
      <c r="D907" s="11" t="s">
        <v>5272</v>
      </c>
      <c r="E907" s="234">
        <v>50.0</v>
      </c>
      <c r="F907" s="235">
        <v>11.0</v>
      </c>
      <c r="G907" s="235">
        <v>11.0</v>
      </c>
      <c r="H907" s="234">
        <v>50.0</v>
      </c>
      <c r="I907" s="235">
        <v>11.0</v>
      </c>
      <c r="J907" s="236">
        <v>4.8946882E7</v>
      </c>
      <c r="K907" s="11">
        <v>79.0</v>
      </c>
      <c r="L907" s="11">
        <v>1.0</v>
      </c>
      <c r="M907" s="237" t="str">
        <f t="shared" si="1"/>
        <v>0500110048946882791</v>
      </c>
      <c r="N907" s="238">
        <v>-83697.08</v>
      </c>
      <c r="O907" s="110">
        <v>12722.0</v>
      </c>
      <c r="P907" s="11">
        <v>80.0</v>
      </c>
      <c r="Q907" s="239"/>
      <c r="R907" s="17">
        <v>38.0</v>
      </c>
    </row>
    <row r="908">
      <c r="A908" s="11">
        <v>15.0</v>
      </c>
      <c r="B908" s="11">
        <v>99.0</v>
      </c>
      <c r="C908" s="11">
        <v>9.0</v>
      </c>
      <c r="D908" s="11" t="s">
        <v>5272</v>
      </c>
      <c r="E908" s="234">
        <v>46.0</v>
      </c>
      <c r="F908" s="235">
        <v>67.0</v>
      </c>
      <c r="G908" s="235">
        <v>67.0</v>
      </c>
      <c r="H908" s="234">
        <v>46.0</v>
      </c>
      <c r="I908" s="235">
        <v>67.0</v>
      </c>
      <c r="J908" s="236">
        <v>7.2085748E7</v>
      </c>
      <c r="K908" s="11">
        <v>4.0</v>
      </c>
      <c r="L908" s="11">
        <v>8.0</v>
      </c>
      <c r="M908" s="237" t="str">
        <f t="shared" si="1"/>
        <v>046067007208574848</v>
      </c>
      <c r="N908" s="238">
        <v>-36764.78</v>
      </c>
      <c r="O908" s="110">
        <v>92519.0</v>
      </c>
      <c r="P908" s="11">
        <v>71.0</v>
      </c>
      <c r="Q908" s="239"/>
      <c r="R908" s="17">
        <v>38.0</v>
      </c>
    </row>
    <row r="909">
      <c r="A909" s="11">
        <v>16.0</v>
      </c>
      <c r="B909" s="11">
        <v>58.0</v>
      </c>
      <c r="C909" s="11">
        <v>2.0</v>
      </c>
      <c r="D909" s="11" t="s">
        <v>5273</v>
      </c>
      <c r="E909" s="234">
        <v>22.0</v>
      </c>
      <c r="F909" s="235">
        <v>107.0</v>
      </c>
      <c r="G909" s="235">
        <v>107.0</v>
      </c>
      <c r="H909" s="234">
        <v>22.0</v>
      </c>
      <c r="I909" s="235">
        <v>107.0</v>
      </c>
      <c r="J909" s="236">
        <v>4.8394891E7</v>
      </c>
      <c r="K909" s="11">
        <v>49.0</v>
      </c>
      <c r="L909" s="11">
        <v>8.0</v>
      </c>
      <c r="M909" s="237" t="str">
        <f t="shared" si="1"/>
        <v>0221070048394891498</v>
      </c>
      <c r="N909" s="238">
        <v>-38683.91</v>
      </c>
      <c r="O909" s="110">
        <v>93018.0</v>
      </c>
      <c r="P909" s="11">
        <v>78.0</v>
      </c>
      <c r="Q909" s="239"/>
      <c r="R909" s="17">
        <v>58.0</v>
      </c>
    </row>
    <row r="910">
      <c r="A910" s="11">
        <v>11.0</v>
      </c>
      <c r="B910" s="11">
        <v>58.0</v>
      </c>
      <c r="C910" s="11">
        <v>1.0</v>
      </c>
      <c r="D910" s="11" t="s">
        <v>31</v>
      </c>
      <c r="E910" s="234">
        <v>12.0</v>
      </c>
      <c r="F910" s="235">
        <v>83.0</v>
      </c>
      <c r="G910" s="235">
        <v>83.0</v>
      </c>
      <c r="H910" s="234">
        <v>12.0</v>
      </c>
      <c r="I910" s="235">
        <v>83.0</v>
      </c>
      <c r="J910" s="236">
        <v>8.9184217E7</v>
      </c>
      <c r="K910" s="11">
        <v>52.0</v>
      </c>
      <c r="L910" s="11">
        <v>4.0</v>
      </c>
      <c r="M910" s="237" t="str">
        <f t="shared" si="1"/>
        <v>0120830089184217524</v>
      </c>
      <c r="N910" s="238">
        <v>-72129.16</v>
      </c>
      <c r="O910" s="110">
        <v>102817.0</v>
      </c>
      <c r="P910" s="11">
        <v>73.0</v>
      </c>
      <c r="Q910" s="239"/>
      <c r="R910" s="17">
        <v>99.0</v>
      </c>
    </row>
    <row r="911">
      <c r="A911" s="11">
        <v>18.0</v>
      </c>
      <c r="B911" s="11">
        <v>38.0</v>
      </c>
      <c r="C911" s="11">
        <v>2.0</v>
      </c>
      <c r="D911" s="11" t="s">
        <v>39</v>
      </c>
      <c r="E911" s="234">
        <v>19.0</v>
      </c>
      <c r="F911" s="235">
        <v>25.0</v>
      </c>
      <c r="G911" s="235">
        <v>25.0</v>
      </c>
      <c r="H911" s="234">
        <v>19.0</v>
      </c>
      <c r="I911" s="235">
        <v>25.0</v>
      </c>
      <c r="J911" s="236">
        <v>1.8150132E7</v>
      </c>
      <c r="K911" s="11">
        <v>61.0</v>
      </c>
      <c r="L911" s="11">
        <v>6.0</v>
      </c>
      <c r="M911" s="237" t="str">
        <f t="shared" si="1"/>
        <v>0190250018150132616</v>
      </c>
      <c r="N911" s="238">
        <v>98650.63</v>
      </c>
      <c r="O911" s="110">
        <v>111723.0</v>
      </c>
      <c r="P911" s="11">
        <v>79.0</v>
      </c>
      <c r="Q911" s="239"/>
      <c r="R911" s="17">
        <v>38.0</v>
      </c>
    </row>
    <row r="912">
      <c r="A912" s="11">
        <v>12.0</v>
      </c>
      <c r="B912" s="11">
        <v>99.0</v>
      </c>
      <c r="C912" s="11">
        <v>9.0</v>
      </c>
      <c r="D912" s="11" t="s">
        <v>29</v>
      </c>
      <c r="E912" s="234">
        <v>48.0</v>
      </c>
      <c r="F912" s="235">
        <v>385.0</v>
      </c>
      <c r="G912" s="235">
        <v>385.0</v>
      </c>
      <c r="H912" s="234">
        <v>48.0</v>
      </c>
      <c r="I912" s="235">
        <v>385.0</v>
      </c>
      <c r="J912" s="236">
        <v>8.1231359E7</v>
      </c>
      <c r="K912" s="11">
        <v>29.0</v>
      </c>
      <c r="L912" s="11">
        <v>5.0</v>
      </c>
      <c r="M912" s="237" t="str">
        <f t="shared" si="1"/>
        <v>0483850081231359295</v>
      </c>
      <c r="N912" s="238">
        <v>91380.08</v>
      </c>
      <c r="O912" s="110">
        <v>103019.0</v>
      </c>
      <c r="P912" s="11">
        <v>71.0</v>
      </c>
      <c r="Q912" s="239"/>
      <c r="R912" s="17">
        <v>58.0</v>
      </c>
    </row>
    <row r="913">
      <c r="A913" s="11">
        <v>15.0</v>
      </c>
      <c r="B913" s="11">
        <v>38.0</v>
      </c>
      <c r="C913" s="11">
        <v>5.0</v>
      </c>
      <c r="D913" s="11" t="s">
        <v>5273</v>
      </c>
      <c r="E913" s="234">
        <v>21.0</v>
      </c>
      <c r="F913" s="235">
        <v>207.0</v>
      </c>
      <c r="G913" s="235">
        <v>207.0</v>
      </c>
      <c r="H913" s="234">
        <v>21.0</v>
      </c>
      <c r="I913" s="235">
        <v>207.0</v>
      </c>
      <c r="J913" s="236">
        <v>7.4871754E7</v>
      </c>
      <c r="K913" s="11">
        <v>46.0</v>
      </c>
      <c r="L913" s="11">
        <v>5.0</v>
      </c>
      <c r="M913" s="237" t="str">
        <f t="shared" si="1"/>
        <v>0212070074871754465</v>
      </c>
      <c r="N913" s="238">
        <v>25548.45</v>
      </c>
      <c r="O913" s="110">
        <v>110822.0</v>
      </c>
      <c r="P913" s="11">
        <v>72.0</v>
      </c>
      <c r="Q913" s="239"/>
      <c r="R913" s="17">
        <v>38.0</v>
      </c>
    </row>
    <row r="914">
      <c r="A914" s="11">
        <v>15.0</v>
      </c>
      <c r="B914" s="11">
        <v>58.0</v>
      </c>
      <c r="C914" s="11">
        <v>8.0</v>
      </c>
      <c r="D914" s="11" t="s">
        <v>5271</v>
      </c>
      <c r="E914" s="234">
        <v>48.0</v>
      </c>
      <c r="F914" s="235">
        <v>21.0</v>
      </c>
      <c r="G914" s="235">
        <v>21.0</v>
      </c>
      <c r="H914" s="234">
        <v>48.0</v>
      </c>
      <c r="I914" s="235">
        <v>21.0</v>
      </c>
      <c r="J914" s="236">
        <v>4.1099337E7</v>
      </c>
      <c r="K914" s="11">
        <v>82.0</v>
      </c>
      <c r="L914" s="11">
        <v>3.0</v>
      </c>
      <c r="M914" s="237" t="str">
        <f t="shared" si="1"/>
        <v>0480210041099337823</v>
      </c>
      <c r="N914" s="238">
        <v>-44683.81</v>
      </c>
      <c r="O914" s="110">
        <v>60115.0</v>
      </c>
      <c r="P914" s="11">
        <v>78.0</v>
      </c>
      <c r="Q914" s="239"/>
      <c r="R914" s="17">
        <v>59.0</v>
      </c>
    </row>
    <row r="915">
      <c r="A915" s="11">
        <v>19.0</v>
      </c>
      <c r="B915" s="11">
        <v>38.0</v>
      </c>
      <c r="C915" s="11">
        <v>5.0</v>
      </c>
      <c r="D915" s="11" t="s">
        <v>5273</v>
      </c>
      <c r="E915" s="234">
        <v>13.0</v>
      </c>
      <c r="F915" s="235">
        <v>13.0</v>
      </c>
      <c r="G915" s="235">
        <v>13.0</v>
      </c>
      <c r="H915" s="234">
        <v>13.0</v>
      </c>
      <c r="I915" s="235">
        <v>13.0</v>
      </c>
      <c r="J915" s="236">
        <v>2.5242124E7</v>
      </c>
      <c r="K915" s="11">
        <v>68.0</v>
      </c>
      <c r="L915" s="11">
        <v>5.0</v>
      </c>
      <c r="M915" s="237" t="str">
        <f t="shared" si="1"/>
        <v>0130130025242124685</v>
      </c>
      <c r="N915" s="238">
        <v>66539.41</v>
      </c>
      <c r="O915" s="110">
        <v>122213.0</v>
      </c>
      <c r="P915" s="11">
        <v>70.0</v>
      </c>
      <c r="Q915" s="239"/>
      <c r="R915" s="17">
        <v>18.0</v>
      </c>
    </row>
    <row r="916">
      <c r="A916" s="11">
        <v>17.0</v>
      </c>
      <c r="B916" s="11">
        <v>99.0</v>
      </c>
      <c r="C916" s="11">
        <v>2.0</v>
      </c>
      <c r="D916" s="11" t="s">
        <v>39</v>
      </c>
      <c r="E916" s="234">
        <v>27.0</v>
      </c>
      <c r="F916" s="235">
        <v>1.0</v>
      </c>
      <c r="G916" s="235">
        <v>1.0</v>
      </c>
      <c r="H916" s="234">
        <v>27.0</v>
      </c>
      <c r="I916" s="235">
        <v>1.0</v>
      </c>
      <c r="J916" s="236">
        <v>5.3666656E7</v>
      </c>
      <c r="K916" s="11">
        <v>70.0</v>
      </c>
      <c r="L916" s="11">
        <v>6.0</v>
      </c>
      <c r="M916" s="237" t="str">
        <f t="shared" si="1"/>
        <v>0270010053666656706</v>
      </c>
      <c r="N916" s="238">
        <v>-70772.96</v>
      </c>
      <c r="O916" s="110">
        <v>60420.0</v>
      </c>
      <c r="P916" s="11">
        <v>73.0</v>
      </c>
      <c r="Q916" s="239"/>
      <c r="R916" s="17">
        <v>79.0</v>
      </c>
    </row>
    <row r="917">
      <c r="A917" s="11">
        <v>18.0</v>
      </c>
      <c r="B917" s="11">
        <v>99.0</v>
      </c>
      <c r="C917" s="11">
        <v>9.0</v>
      </c>
      <c r="D917" s="11" t="s">
        <v>31</v>
      </c>
      <c r="E917" s="234">
        <v>12.0</v>
      </c>
      <c r="F917" s="235">
        <v>129.0</v>
      </c>
      <c r="G917" s="235">
        <v>129.0</v>
      </c>
      <c r="H917" s="234">
        <v>12.0</v>
      </c>
      <c r="I917" s="235">
        <v>129.0</v>
      </c>
      <c r="J917" s="236">
        <v>6.4917449E7</v>
      </c>
      <c r="K917" s="11">
        <v>13.0</v>
      </c>
      <c r="L917" s="11">
        <v>3.0</v>
      </c>
      <c r="M917" s="237" t="str">
        <f t="shared" si="1"/>
        <v>0121290064917449133</v>
      </c>
      <c r="N917" s="238">
        <v>57058.09</v>
      </c>
      <c r="O917" s="110">
        <v>62913.0</v>
      </c>
      <c r="P917" s="11">
        <v>71.0</v>
      </c>
      <c r="Q917" s="239"/>
      <c r="R917" s="17">
        <v>59.0</v>
      </c>
    </row>
    <row r="918">
      <c r="A918" s="11">
        <v>11.0</v>
      </c>
      <c r="B918" s="11">
        <v>58.0</v>
      </c>
      <c r="C918" s="11">
        <v>7.0</v>
      </c>
      <c r="D918" s="11" t="s">
        <v>29</v>
      </c>
      <c r="E918" s="234">
        <v>1.0</v>
      </c>
      <c r="F918" s="235">
        <v>105.0</v>
      </c>
      <c r="G918" s="235">
        <v>105.0</v>
      </c>
      <c r="H918" s="234">
        <v>1.0</v>
      </c>
      <c r="I918" s="235">
        <v>105.0</v>
      </c>
      <c r="J918" s="236">
        <v>7.7705181E7</v>
      </c>
      <c r="K918" s="11">
        <v>51.0</v>
      </c>
      <c r="L918" s="11">
        <v>6.0</v>
      </c>
      <c r="M918" s="237" t="str">
        <f t="shared" si="1"/>
        <v>011050077705181516</v>
      </c>
      <c r="N918" s="238">
        <v>65353.92</v>
      </c>
      <c r="O918" s="110">
        <v>50919.0</v>
      </c>
      <c r="P918" s="11">
        <v>76.0</v>
      </c>
      <c r="Q918" s="239"/>
      <c r="R918" s="17">
        <v>38.0</v>
      </c>
    </row>
    <row r="919">
      <c r="A919" s="11">
        <v>18.0</v>
      </c>
      <c r="B919" s="11">
        <v>17.0</v>
      </c>
      <c r="C919" s="11">
        <v>5.0</v>
      </c>
      <c r="D919" s="11" t="s">
        <v>29</v>
      </c>
      <c r="E919" s="234">
        <v>26.0</v>
      </c>
      <c r="F919" s="235">
        <v>115.0</v>
      </c>
      <c r="G919" s="235">
        <v>115.0</v>
      </c>
      <c r="H919" s="234">
        <v>26.0</v>
      </c>
      <c r="I919" s="235">
        <v>115.0</v>
      </c>
      <c r="J919" s="236">
        <v>5.8172716E7</v>
      </c>
      <c r="K919" s="11">
        <v>43.0</v>
      </c>
      <c r="L919" s="11">
        <v>5.0</v>
      </c>
      <c r="M919" s="237" t="str">
        <f t="shared" si="1"/>
        <v>0261150058172716435</v>
      </c>
      <c r="N919" s="238">
        <v>-26271.03</v>
      </c>
      <c r="O919" s="110">
        <v>50818.0</v>
      </c>
      <c r="P919" s="11">
        <v>72.0</v>
      </c>
      <c r="Q919" s="239"/>
      <c r="R919" s="17">
        <v>79.0</v>
      </c>
    </row>
    <row r="920">
      <c r="A920" s="11">
        <v>13.0</v>
      </c>
      <c r="B920" s="11">
        <v>58.0</v>
      </c>
      <c r="C920" s="11">
        <v>8.0</v>
      </c>
      <c r="D920" s="11" t="s">
        <v>29</v>
      </c>
      <c r="E920" s="234">
        <v>8.0</v>
      </c>
      <c r="F920" s="235">
        <v>21.0</v>
      </c>
      <c r="G920" s="235">
        <v>21.0</v>
      </c>
      <c r="H920" s="234">
        <v>8.0</v>
      </c>
      <c r="I920" s="235">
        <v>21.0</v>
      </c>
      <c r="J920" s="236">
        <v>8.9066195E7</v>
      </c>
      <c r="K920" s="11">
        <v>53.0</v>
      </c>
      <c r="L920" s="11">
        <v>4.0</v>
      </c>
      <c r="M920" s="237" t="str">
        <f t="shared" si="1"/>
        <v>080210089066195534</v>
      </c>
      <c r="N920" s="238">
        <v>-36122.39</v>
      </c>
      <c r="O920" s="110">
        <v>110918.0</v>
      </c>
      <c r="P920" s="11">
        <v>70.0</v>
      </c>
      <c r="Q920" s="239"/>
      <c r="R920" s="17">
        <v>18.0</v>
      </c>
    </row>
    <row r="921">
      <c r="A921" s="11">
        <v>16.0</v>
      </c>
      <c r="B921" s="11">
        <v>58.0</v>
      </c>
      <c r="C921" s="11">
        <v>7.0</v>
      </c>
      <c r="D921" s="11" t="s">
        <v>29</v>
      </c>
      <c r="E921" s="234">
        <v>47.0</v>
      </c>
      <c r="F921" s="235">
        <v>21.0</v>
      </c>
      <c r="G921" s="235">
        <v>21.0</v>
      </c>
      <c r="H921" s="234">
        <v>47.0</v>
      </c>
      <c r="I921" s="235">
        <v>21.0</v>
      </c>
      <c r="J921" s="236">
        <v>3.5166518E7</v>
      </c>
      <c r="K921" s="11">
        <v>38.0</v>
      </c>
      <c r="L921" s="11">
        <v>7.0</v>
      </c>
      <c r="M921" s="237" t="str">
        <f t="shared" si="1"/>
        <v>0470210035166518387</v>
      </c>
      <c r="N921" s="238">
        <v>-48536.5</v>
      </c>
      <c r="O921" s="110">
        <v>52622.0</v>
      </c>
      <c r="P921" s="11">
        <v>78.0</v>
      </c>
      <c r="Q921" s="239"/>
      <c r="R921" s="17">
        <v>79.0</v>
      </c>
    </row>
    <row r="922">
      <c r="A922" s="11">
        <v>16.0</v>
      </c>
      <c r="B922" s="11">
        <v>79.0</v>
      </c>
      <c r="C922" s="11">
        <v>8.0</v>
      </c>
      <c r="D922" s="11" t="s">
        <v>39</v>
      </c>
      <c r="E922" s="234">
        <v>48.0</v>
      </c>
      <c r="F922" s="235">
        <v>377.0</v>
      </c>
      <c r="G922" s="235">
        <v>377.0</v>
      </c>
      <c r="H922" s="234">
        <v>48.0</v>
      </c>
      <c r="I922" s="235">
        <v>377.0</v>
      </c>
      <c r="J922" s="236">
        <v>7.6548519E7</v>
      </c>
      <c r="K922" s="11">
        <v>43.0</v>
      </c>
      <c r="L922" s="11">
        <v>2.0</v>
      </c>
      <c r="M922" s="237" t="str">
        <f t="shared" si="1"/>
        <v>0483770076548519432</v>
      </c>
      <c r="N922" s="238">
        <v>-74951.16</v>
      </c>
      <c r="O922" s="110">
        <v>101422.0</v>
      </c>
      <c r="P922" s="11">
        <v>74.0</v>
      </c>
      <c r="Q922" s="239"/>
      <c r="R922" s="17">
        <v>38.0</v>
      </c>
    </row>
    <row r="923">
      <c r="A923" s="11">
        <v>19.0</v>
      </c>
      <c r="B923" s="11">
        <v>17.0</v>
      </c>
      <c r="C923" s="11">
        <v>7.0</v>
      </c>
      <c r="D923" s="11" t="s">
        <v>39</v>
      </c>
      <c r="E923" s="234">
        <v>20.0</v>
      </c>
      <c r="F923" s="235">
        <v>167.0</v>
      </c>
      <c r="G923" s="235">
        <v>167.0</v>
      </c>
      <c r="H923" s="234">
        <v>20.0</v>
      </c>
      <c r="I923" s="235">
        <v>167.0</v>
      </c>
      <c r="J923" s="236">
        <v>5.1767901E7</v>
      </c>
      <c r="K923" s="11">
        <v>17.0</v>
      </c>
      <c r="L923" s="11">
        <v>8.0</v>
      </c>
      <c r="M923" s="237" t="str">
        <f t="shared" si="1"/>
        <v>0201670051767901178</v>
      </c>
      <c r="N923" s="238">
        <v>85558.09</v>
      </c>
      <c r="O923" s="110">
        <v>40818.0</v>
      </c>
      <c r="P923" s="11">
        <v>75.0</v>
      </c>
      <c r="Q923" s="239"/>
      <c r="R923" s="17">
        <v>18.0</v>
      </c>
    </row>
    <row r="924">
      <c r="A924" s="11">
        <v>18.0</v>
      </c>
      <c r="B924" s="11">
        <v>38.0</v>
      </c>
      <c r="C924" s="11">
        <v>2.0</v>
      </c>
      <c r="D924" s="11" t="s">
        <v>39</v>
      </c>
      <c r="E924" s="234">
        <v>42.0</v>
      </c>
      <c r="F924" s="235">
        <v>41.0</v>
      </c>
      <c r="G924" s="235">
        <v>41.0</v>
      </c>
      <c r="H924" s="234">
        <v>42.0</v>
      </c>
      <c r="I924" s="235">
        <v>41.0</v>
      </c>
      <c r="J924" s="236">
        <v>7.9050589E7</v>
      </c>
      <c r="K924" s="11">
        <v>54.0</v>
      </c>
      <c r="L924" s="11">
        <v>3.0</v>
      </c>
      <c r="M924" s="237" t="str">
        <f t="shared" si="1"/>
        <v>0420410079050589543</v>
      </c>
      <c r="N924" s="238">
        <v>65524.26</v>
      </c>
      <c r="O924" s="110">
        <v>80313.0</v>
      </c>
      <c r="P924" s="11">
        <v>80.0</v>
      </c>
      <c r="Q924" s="239"/>
      <c r="R924" s="17">
        <v>38.0</v>
      </c>
    </row>
    <row r="925">
      <c r="A925" s="11">
        <v>17.0</v>
      </c>
      <c r="B925" s="11">
        <v>79.0</v>
      </c>
      <c r="C925" s="11">
        <v>1.0</v>
      </c>
      <c r="D925" s="11" t="s">
        <v>39</v>
      </c>
      <c r="E925" s="234">
        <v>38.0</v>
      </c>
      <c r="F925" s="235">
        <v>25.0</v>
      </c>
      <c r="G925" s="235">
        <v>25.0</v>
      </c>
      <c r="H925" s="234">
        <v>38.0</v>
      </c>
      <c r="I925" s="235">
        <v>25.0</v>
      </c>
      <c r="J925" s="236">
        <v>2.1661973E7</v>
      </c>
      <c r="K925" s="11">
        <v>16.0</v>
      </c>
      <c r="L925" s="11">
        <v>0.0</v>
      </c>
      <c r="M925" s="237" t="str">
        <f t="shared" si="1"/>
        <v>0380250021661973160</v>
      </c>
      <c r="N925" s="238">
        <v>-52414.3</v>
      </c>
      <c r="O925" s="110">
        <v>60120.0</v>
      </c>
      <c r="P925" s="11">
        <v>75.0</v>
      </c>
      <c r="Q925" s="239"/>
      <c r="R925" s="17">
        <v>18.0</v>
      </c>
    </row>
    <row r="926">
      <c r="A926" s="11">
        <v>14.0</v>
      </c>
      <c r="B926" s="11">
        <v>58.0</v>
      </c>
      <c r="C926" s="11">
        <v>6.0</v>
      </c>
      <c r="D926" s="11" t="s">
        <v>5273</v>
      </c>
      <c r="E926" s="234">
        <v>35.0</v>
      </c>
      <c r="F926" s="235">
        <v>19.0</v>
      </c>
      <c r="G926" s="235">
        <v>19.0</v>
      </c>
      <c r="H926" s="234">
        <v>35.0</v>
      </c>
      <c r="I926" s="235">
        <v>19.0</v>
      </c>
      <c r="J926" s="236">
        <v>3.4275745E7</v>
      </c>
      <c r="K926" s="11">
        <v>66.0</v>
      </c>
      <c r="L926" s="11">
        <v>5.0</v>
      </c>
      <c r="M926" s="237" t="str">
        <f t="shared" si="1"/>
        <v>0350190034275745665</v>
      </c>
      <c r="N926" s="238">
        <v>-2617.51</v>
      </c>
      <c r="O926" s="110">
        <v>122623.0</v>
      </c>
      <c r="P926" s="11">
        <v>79.0</v>
      </c>
      <c r="Q926" s="239"/>
      <c r="R926" s="17">
        <v>38.0</v>
      </c>
    </row>
    <row r="927">
      <c r="A927" s="11">
        <v>13.0</v>
      </c>
      <c r="B927" s="11">
        <v>38.0</v>
      </c>
      <c r="C927" s="11">
        <v>1.0</v>
      </c>
      <c r="D927" s="11" t="s">
        <v>39</v>
      </c>
      <c r="E927" s="234">
        <v>51.0</v>
      </c>
      <c r="F927" s="235">
        <v>735.0</v>
      </c>
      <c r="G927" s="235">
        <v>735.0</v>
      </c>
      <c r="H927" s="234">
        <v>51.0</v>
      </c>
      <c r="I927" s="235">
        <v>735.0</v>
      </c>
      <c r="J927" s="236">
        <v>8.2793018E7</v>
      </c>
      <c r="K927" s="11">
        <v>50.0</v>
      </c>
      <c r="L927" s="11">
        <v>2.0</v>
      </c>
      <c r="M927" s="237" t="str">
        <f t="shared" si="1"/>
        <v>0517350082793018502</v>
      </c>
      <c r="N927" s="238">
        <v>84851.41</v>
      </c>
      <c r="O927" s="110">
        <v>112613.0</v>
      </c>
      <c r="P927" s="11">
        <v>76.0</v>
      </c>
      <c r="Q927" s="239"/>
      <c r="R927" s="17">
        <v>79.0</v>
      </c>
    </row>
    <row r="928">
      <c r="A928" s="11">
        <v>18.0</v>
      </c>
      <c r="B928" s="11">
        <v>79.0</v>
      </c>
      <c r="C928" s="11">
        <v>3.0</v>
      </c>
      <c r="D928" s="11" t="s">
        <v>29</v>
      </c>
      <c r="E928" s="234">
        <v>27.0</v>
      </c>
      <c r="F928" s="235">
        <v>67.0</v>
      </c>
      <c r="G928" s="235">
        <v>67.0</v>
      </c>
      <c r="H928" s="234">
        <v>27.0</v>
      </c>
      <c r="I928" s="235">
        <v>67.0</v>
      </c>
      <c r="J928" s="236">
        <v>2.7968041E7</v>
      </c>
      <c r="K928" s="11">
        <v>70.0</v>
      </c>
      <c r="L928" s="11">
        <v>8.0</v>
      </c>
      <c r="M928" s="237" t="str">
        <f t="shared" si="1"/>
        <v>0270670027968041708</v>
      </c>
      <c r="N928" s="238">
        <v>-49129.73</v>
      </c>
      <c r="O928" s="110">
        <v>62615.0</v>
      </c>
      <c r="P928" s="11">
        <v>80.0</v>
      </c>
      <c r="Q928" s="239"/>
      <c r="R928" s="17">
        <v>38.0</v>
      </c>
    </row>
    <row r="929">
      <c r="A929" s="11">
        <v>10.0</v>
      </c>
      <c r="B929" s="11">
        <v>58.0</v>
      </c>
      <c r="C929" s="11">
        <v>4.0</v>
      </c>
      <c r="D929" s="11" t="s">
        <v>31</v>
      </c>
      <c r="E929" s="234">
        <v>5.0</v>
      </c>
      <c r="F929" s="235">
        <v>15.0</v>
      </c>
      <c r="G929" s="235">
        <v>15.0</v>
      </c>
      <c r="H929" s="234">
        <v>5.0</v>
      </c>
      <c r="I929" s="235">
        <v>15.0</v>
      </c>
      <c r="J929" s="236">
        <v>5.8061213E7</v>
      </c>
      <c r="K929" s="11">
        <v>74.0</v>
      </c>
      <c r="L929" s="11">
        <v>1.0</v>
      </c>
      <c r="M929" s="237" t="str">
        <f t="shared" si="1"/>
        <v>050150058061213741</v>
      </c>
      <c r="N929" s="238">
        <v>-53682.72</v>
      </c>
      <c r="O929" s="110">
        <v>122813.0</v>
      </c>
      <c r="P929" s="11">
        <v>79.0</v>
      </c>
      <c r="Q929" s="239"/>
      <c r="R929" s="17">
        <v>18.0</v>
      </c>
    </row>
    <row r="930">
      <c r="A930" s="11">
        <v>19.0</v>
      </c>
      <c r="B930" s="11">
        <v>99.0</v>
      </c>
      <c r="C930" s="11">
        <v>5.0</v>
      </c>
      <c r="D930" s="11" t="s">
        <v>5271</v>
      </c>
      <c r="E930" s="234">
        <v>47.0</v>
      </c>
      <c r="F930" s="235">
        <v>95.0</v>
      </c>
      <c r="G930" s="235">
        <v>95.0</v>
      </c>
      <c r="H930" s="234">
        <v>47.0</v>
      </c>
      <c r="I930" s="235">
        <v>95.0</v>
      </c>
      <c r="J930" s="236">
        <v>3.7653122E7</v>
      </c>
      <c r="K930" s="11">
        <v>73.0</v>
      </c>
      <c r="L930" s="11">
        <v>4.0</v>
      </c>
      <c r="M930" s="237" t="str">
        <f t="shared" si="1"/>
        <v>0470950037653122734</v>
      </c>
      <c r="N930" s="238">
        <v>-77447.28</v>
      </c>
      <c r="O930" s="110">
        <v>51516.0</v>
      </c>
      <c r="P930" s="11">
        <v>80.0</v>
      </c>
      <c r="Q930" s="239"/>
      <c r="R930" s="17">
        <v>38.0</v>
      </c>
    </row>
    <row r="931">
      <c r="A931" s="11">
        <v>14.0</v>
      </c>
      <c r="B931" s="11">
        <v>58.0</v>
      </c>
      <c r="C931" s="11">
        <v>8.0</v>
      </c>
      <c r="D931" s="11" t="s">
        <v>5273</v>
      </c>
      <c r="E931" s="234">
        <v>55.0</v>
      </c>
      <c r="F931" s="235">
        <v>11.0</v>
      </c>
      <c r="G931" s="235">
        <v>11.0</v>
      </c>
      <c r="H931" s="234">
        <v>55.0</v>
      </c>
      <c r="I931" s="235">
        <v>11.0</v>
      </c>
      <c r="J931" s="236">
        <v>7.5723783E7</v>
      </c>
      <c r="K931" s="11">
        <v>50.0</v>
      </c>
      <c r="L931" s="11">
        <v>1.0</v>
      </c>
      <c r="M931" s="237" t="str">
        <f t="shared" si="1"/>
        <v>0550110075723783501</v>
      </c>
      <c r="N931" s="238">
        <v>-99246.69</v>
      </c>
      <c r="O931" s="110">
        <v>71114.0</v>
      </c>
      <c r="P931" s="11">
        <v>73.0</v>
      </c>
      <c r="Q931" s="239"/>
      <c r="R931" s="17">
        <v>18.0</v>
      </c>
    </row>
    <row r="932">
      <c r="A932" s="11">
        <v>15.0</v>
      </c>
      <c r="B932" s="11">
        <v>99.0</v>
      </c>
      <c r="C932" s="11">
        <v>8.0</v>
      </c>
      <c r="D932" s="11" t="s">
        <v>39</v>
      </c>
      <c r="E932" s="234">
        <v>37.0</v>
      </c>
      <c r="F932" s="235">
        <v>19.0</v>
      </c>
      <c r="G932" s="235">
        <v>19.0</v>
      </c>
      <c r="H932" s="234">
        <v>37.0</v>
      </c>
      <c r="I932" s="235">
        <v>19.0</v>
      </c>
      <c r="J932" s="236">
        <v>8.1153896E7</v>
      </c>
      <c r="K932" s="11">
        <v>47.0</v>
      </c>
      <c r="L932" s="11">
        <v>9.0</v>
      </c>
      <c r="M932" s="237" t="str">
        <f t="shared" si="1"/>
        <v>0370190081153896479</v>
      </c>
      <c r="N932" s="238">
        <v>-75551.67</v>
      </c>
      <c r="O932" s="110">
        <v>11118.0</v>
      </c>
      <c r="P932" s="11">
        <v>74.0</v>
      </c>
      <c r="Q932" s="239"/>
      <c r="R932" s="17">
        <v>79.0</v>
      </c>
    </row>
    <row r="933">
      <c r="A933" s="11">
        <v>15.0</v>
      </c>
      <c r="B933" s="11">
        <v>38.0</v>
      </c>
      <c r="C933" s="11">
        <v>6.0</v>
      </c>
      <c r="D933" s="11" t="s">
        <v>5272</v>
      </c>
      <c r="E933" s="234">
        <v>51.0</v>
      </c>
      <c r="F933" s="235">
        <v>197.0</v>
      </c>
      <c r="G933" s="235">
        <v>197.0</v>
      </c>
      <c r="H933" s="234">
        <v>51.0</v>
      </c>
      <c r="I933" s="235">
        <v>197.0</v>
      </c>
      <c r="J933" s="236">
        <v>7.4743377E7</v>
      </c>
      <c r="K933" s="11">
        <v>57.0</v>
      </c>
      <c r="L933" s="11">
        <v>3.0</v>
      </c>
      <c r="M933" s="237" t="str">
        <f t="shared" si="1"/>
        <v>0511970074743377573</v>
      </c>
      <c r="N933" s="238">
        <v>82160.31</v>
      </c>
      <c r="O933" s="110">
        <v>10816.0</v>
      </c>
      <c r="P933" s="11">
        <v>72.0</v>
      </c>
      <c r="Q933" s="239"/>
      <c r="R933" s="17">
        <v>18.0</v>
      </c>
    </row>
    <row r="934">
      <c r="A934" s="11">
        <v>10.0</v>
      </c>
      <c r="B934" s="11">
        <v>38.0</v>
      </c>
      <c r="C934" s="11">
        <v>2.0</v>
      </c>
      <c r="D934" s="11" t="s">
        <v>5272</v>
      </c>
      <c r="E934" s="234">
        <v>22.0</v>
      </c>
      <c r="F934" s="235">
        <v>49.0</v>
      </c>
      <c r="G934" s="235">
        <v>49.0</v>
      </c>
      <c r="H934" s="234">
        <v>22.0</v>
      </c>
      <c r="I934" s="235">
        <v>49.0</v>
      </c>
      <c r="J934" s="236">
        <v>2.7103068E7</v>
      </c>
      <c r="K934" s="11">
        <v>51.0</v>
      </c>
      <c r="L934" s="11">
        <v>7.0</v>
      </c>
      <c r="M934" s="237" t="str">
        <f t="shared" si="1"/>
        <v>0220490027103068517</v>
      </c>
      <c r="N934" s="238">
        <v>1907.93</v>
      </c>
      <c r="O934" s="110">
        <v>50517.0</v>
      </c>
      <c r="P934" s="11">
        <v>71.0</v>
      </c>
      <c r="Q934" s="239"/>
      <c r="R934" s="17">
        <v>59.0</v>
      </c>
    </row>
    <row r="935">
      <c r="A935" s="11">
        <v>15.0</v>
      </c>
      <c r="B935" s="11">
        <v>18.0</v>
      </c>
      <c r="C935" s="11">
        <v>7.0</v>
      </c>
      <c r="D935" s="11" t="s">
        <v>31</v>
      </c>
      <c r="E935" s="234">
        <v>17.0</v>
      </c>
      <c r="F935" s="235">
        <v>125.0</v>
      </c>
      <c r="G935" s="235">
        <v>125.0</v>
      </c>
      <c r="H935" s="234">
        <v>17.0</v>
      </c>
      <c r="I935" s="235">
        <v>125.0</v>
      </c>
      <c r="J935" s="236">
        <v>8.8347631E7</v>
      </c>
      <c r="K935" s="11">
        <v>73.0</v>
      </c>
      <c r="L935" s="11">
        <v>0.0</v>
      </c>
      <c r="M935" s="237" t="str">
        <f t="shared" si="1"/>
        <v>0171250088347631730</v>
      </c>
      <c r="N935" s="238">
        <v>86451.88</v>
      </c>
      <c r="O935" s="110">
        <v>80922.0</v>
      </c>
      <c r="P935" s="11">
        <v>70.0</v>
      </c>
      <c r="Q935" s="239"/>
      <c r="R935" s="17">
        <v>39.0</v>
      </c>
    </row>
    <row r="936">
      <c r="A936" s="11">
        <v>11.0</v>
      </c>
      <c r="B936" s="11">
        <v>18.0</v>
      </c>
      <c r="C936" s="11">
        <v>5.0</v>
      </c>
      <c r="D936" s="11" t="s">
        <v>5273</v>
      </c>
      <c r="E936" s="234">
        <v>39.0</v>
      </c>
      <c r="F936" s="235">
        <v>9.0</v>
      </c>
      <c r="G936" s="235">
        <v>9.0</v>
      </c>
      <c r="H936" s="234">
        <v>39.0</v>
      </c>
      <c r="I936" s="235">
        <v>9.0</v>
      </c>
      <c r="J936" s="236">
        <v>7.4229098E7</v>
      </c>
      <c r="K936" s="11">
        <v>40.0</v>
      </c>
      <c r="L936" s="11">
        <v>1.0</v>
      </c>
      <c r="M936" s="237" t="str">
        <f t="shared" si="1"/>
        <v>0390090074229098401</v>
      </c>
      <c r="N936" s="238">
        <v>56277.96</v>
      </c>
      <c r="O936" s="110">
        <v>22816.0</v>
      </c>
      <c r="P936" s="11">
        <v>78.0</v>
      </c>
      <c r="Q936" s="239"/>
      <c r="R936" s="17">
        <v>39.0</v>
      </c>
    </row>
    <row r="937">
      <c r="A937" s="11">
        <v>10.0</v>
      </c>
      <c r="B937" s="11">
        <v>79.0</v>
      </c>
      <c r="C937" s="11">
        <v>8.0</v>
      </c>
      <c r="D937" s="11" t="s">
        <v>5273</v>
      </c>
      <c r="E937" s="234">
        <v>47.0</v>
      </c>
      <c r="F937" s="235">
        <v>167.0</v>
      </c>
      <c r="G937" s="235">
        <v>167.0</v>
      </c>
      <c r="H937" s="234">
        <v>47.0</v>
      </c>
      <c r="I937" s="235">
        <v>167.0</v>
      </c>
      <c r="J937" s="236">
        <v>7.6265288E7</v>
      </c>
      <c r="K937" s="11">
        <v>49.0</v>
      </c>
      <c r="L937" s="11">
        <v>8.0</v>
      </c>
      <c r="M937" s="237" t="str">
        <f t="shared" si="1"/>
        <v>0471670076265288498</v>
      </c>
      <c r="N937" s="238">
        <v>63785.82</v>
      </c>
      <c r="O937" s="110">
        <v>11017.0</v>
      </c>
      <c r="P937" s="11">
        <v>70.0</v>
      </c>
      <c r="Q937" s="239"/>
      <c r="R937" s="17">
        <v>39.0</v>
      </c>
    </row>
    <row r="938">
      <c r="A938" s="11">
        <v>19.0</v>
      </c>
      <c r="B938" s="11">
        <v>59.0</v>
      </c>
      <c r="C938" s="11">
        <v>3.0</v>
      </c>
      <c r="D938" s="11" t="s">
        <v>5271</v>
      </c>
      <c r="E938" s="234">
        <v>19.0</v>
      </c>
      <c r="F938" s="235">
        <v>19.0</v>
      </c>
      <c r="G938" s="235">
        <v>19.0</v>
      </c>
      <c r="H938" s="234">
        <v>19.0</v>
      </c>
      <c r="I938" s="235">
        <v>19.0</v>
      </c>
      <c r="J938" s="236">
        <v>2.1507315E7</v>
      </c>
      <c r="K938" s="11">
        <v>31.0</v>
      </c>
      <c r="L938" s="11">
        <v>0.0</v>
      </c>
      <c r="M938" s="237" t="str">
        <f t="shared" si="1"/>
        <v>0190190021507315310</v>
      </c>
      <c r="N938" s="238">
        <v>-44718.12</v>
      </c>
      <c r="O938" s="110">
        <v>22820.0</v>
      </c>
      <c r="P938" s="11">
        <v>73.0</v>
      </c>
      <c r="Q938" s="239"/>
      <c r="R938" s="17">
        <v>18.0</v>
      </c>
    </row>
    <row r="939">
      <c r="A939" s="11">
        <v>16.0</v>
      </c>
      <c r="B939" s="11">
        <v>38.0</v>
      </c>
      <c r="C939" s="11">
        <v>9.0</v>
      </c>
      <c r="D939" s="11" t="s">
        <v>5273</v>
      </c>
      <c r="E939" s="234">
        <v>55.0</v>
      </c>
      <c r="F939" s="235">
        <v>65.0</v>
      </c>
      <c r="G939" s="235">
        <v>65.0</v>
      </c>
      <c r="H939" s="234">
        <v>55.0</v>
      </c>
      <c r="I939" s="235">
        <v>65.0</v>
      </c>
      <c r="J939" s="236">
        <v>7.1597906E7</v>
      </c>
      <c r="K939" s="11">
        <v>41.0</v>
      </c>
      <c r="L939" s="11">
        <v>6.0</v>
      </c>
      <c r="M939" s="237" t="str">
        <f t="shared" si="1"/>
        <v>0550650071597906416</v>
      </c>
      <c r="N939" s="238">
        <v>-61989.09</v>
      </c>
      <c r="O939" s="110">
        <v>22420.0</v>
      </c>
      <c r="P939" s="11">
        <v>78.0</v>
      </c>
      <c r="Q939" s="239"/>
      <c r="R939" s="17">
        <v>39.0</v>
      </c>
    </row>
    <row r="940">
      <c r="A940" s="11">
        <v>13.0</v>
      </c>
      <c r="B940" s="11">
        <v>38.0</v>
      </c>
      <c r="C940" s="11">
        <v>8.0</v>
      </c>
      <c r="D940" s="11" t="s">
        <v>39</v>
      </c>
      <c r="E940" s="234">
        <v>16.0</v>
      </c>
      <c r="F940" s="235">
        <v>1.0</v>
      </c>
      <c r="G940" s="235">
        <v>1.0</v>
      </c>
      <c r="H940" s="234">
        <v>16.0</v>
      </c>
      <c r="I940" s="235">
        <v>1.0</v>
      </c>
      <c r="J940" s="236">
        <v>6.0282055E7</v>
      </c>
      <c r="K940" s="11">
        <v>64.0</v>
      </c>
      <c r="L940" s="11">
        <v>0.0</v>
      </c>
      <c r="M940" s="237" t="str">
        <f t="shared" si="1"/>
        <v>0160010060282055640</v>
      </c>
      <c r="N940" s="238">
        <v>-57116.11</v>
      </c>
      <c r="O940" s="110">
        <v>102018.0</v>
      </c>
      <c r="P940" s="11">
        <v>71.0</v>
      </c>
      <c r="Q940" s="239"/>
      <c r="R940" s="17">
        <v>80.0</v>
      </c>
    </row>
    <row r="941">
      <c r="A941" s="11">
        <v>14.0</v>
      </c>
      <c r="B941" s="11">
        <v>79.0</v>
      </c>
      <c r="C941" s="11">
        <v>2.0</v>
      </c>
      <c r="D941" s="11" t="s">
        <v>5272</v>
      </c>
      <c r="E941" s="234">
        <v>13.0</v>
      </c>
      <c r="F941" s="235">
        <v>77.0</v>
      </c>
      <c r="G941" s="235">
        <v>77.0</v>
      </c>
      <c r="H941" s="234">
        <v>13.0</v>
      </c>
      <c r="I941" s="235">
        <v>77.0</v>
      </c>
      <c r="J941" s="236">
        <v>8.2282125E7</v>
      </c>
      <c r="K941" s="11">
        <v>53.0</v>
      </c>
      <c r="L941" s="11">
        <v>9.0</v>
      </c>
      <c r="M941" s="237" t="str">
        <f t="shared" si="1"/>
        <v>0130770082282125539</v>
      </c>
      <c r="N941" s="238">
        <v>-67685.96</v>
      </c>
      <c r="O941" s="110">
        <v>21219.0</v>
      </c>
      <c r="P941" s="11">
        <v>77.0</v>
      </c>
      <c r="Q941" s="239"/>
      <c r="R941" s="17">
        <v>80.0</v>
      </c>
    </row>
    <row r="942">
      <c r="A942" s="11">
        <v>14.0</v>
      </c>
      <c r="B942" s="11">
        <v>59.0</v>
      </c>
      <c r="C942" s="11">
        <v>6.0</v>
      </c>
      <c r="D942" s="11" t="s">
        <v>5273</v>
      </c>
      <c r="E942" s="234">
        <v>22.0</v>
      </c>
      <c r="F942" s="235">
        <v>19.0</v>
      </c>
      <c r="G942" s="235">
        <v>19.0</v>
      </c>
      <c r="H942" s="234">
        <v>22.0</v>
      </c>
      <c r="I942" s="235">
        <v>19.0</v>
      </c>
      <c r="J942" s="236">
        <v>8.7011774E7</v>
      </c>
      <c r="K942" s="11">
        <v>72.0</v>
      </c>
      <c r="L942" s="11">
        <v>1.0</v>
      </c>
      <c r="M942" s="237" t="str">
        <f t="shared" si="1"/>
        <v>0220190087011774721</v>
      </c>
      <c r="N942" s="238">
        <v>-70256.42</v>
      </c>
      <c r="O942" s="110">
        <v>71913.0</v>
      </c>
      <c r="P942" s="11">
        <v>78.0</v>
      </c>
      <c r="Q942" s="239"/>
      <c r="R942" s="17">
        <v>18.0</v>
      </c>
    </row>
    <row r="943">
      <c r="A943" s="11">
        <v>19.0</v>
      </c>
      <c r="B943" s="11">
        <v>59.0</v>
      </c>
      <c r="C943" s="11">
        <v>7.0</v>
      </c>
      <c r="D943" s="11" t="s">
        <v>5271</v>
      </c>
      <c r="E943" s="234">
        <v>46.0</v>
      </c>
      <c r="F943" s="235">
        <v>117.0</v>
      </c>
      <c r="G943" s="235">
        <v>117.0</v>
      </c>
      <c r="H943" s="234">
        <v>46.0</v>
      </c>
      <c r="I943" s="235">
        <v>117.0</v>
      </c>
      <c r="J943" s="236">
        <v>7.5911949E7</v>
      </c>
      <c r="K943" s="11">
        <v>99.0</v>
      </c>
      <c r="L943" s="11">
        <v>1.0</v>
      </c>
      <c r="M943" s="237" t="str">
        <f t="shared" si="1"/>
        <v>0461170075911949991</v>
      </c>
      <c r="N943" s="238">
        <v>-45064.84</v>
      </c>
      <c r="O943" s="110">
        <v>112623.0</v>
      </c>
      <c r="P943" s="11">
        <v>78.0</v>
      </c>
      <c r="Q943" s="239"/>
      <c r="R943" s="17">
        <v>59.0</v>
      </c>
    </row>
    <row r="944">
      <c r="A944" s="11">
        <v>16.0</v>
      </c>
      <c r="B944" s="11">
        <v>38.0</v>
      </c>
      <c r="C944" s="11">
        <v>2.0</v>
      </c>
      <c r="D944" s="11" t="s">
        <v>29</v>
      </c>
      <c r="E944" s="234">
        <v>13.0</v>
      </c>
      <c r="F944" s="235">
        <v>199.0</v>
      </c>
      <c r="G944" s="235">
        <v>199.0</v>
      </c>
      <c r="H944" s="234">
        <v>13.0</v>
      </c>
      <c r="I944" s="235">
        <v>199.0</v>
      </c>
      <c r="J944" s="236">
        <v>9.4271502E7</v>
      </c>
      <c r="K944" s="11">
        <v>74.0</v>
      </c>
      <c r="L944" s="11">
        <v>7.0</v>
      </c>
      <c r="M944" s="237" t="str">
        <f t="shared" si="1"/>
        <v>0131990094271502747</v>
      </c>
      <c r="N944" s="238">
        <v>-55085.12</v>
      </c>
      <c r="O944" s="110">
        <v>51616.0</v>
      </c>
      <c r="P944" s="11">
        <v>76.0</v>
      </c>
      <c r="Q944" s="239"/>
      <c r="R944" s="17">
        <v>59.0</v>
      </c>
    </row>
    <row r="945">
      <c r="A945" s="11">
        <v>13.0</v>
      </c>
      <c r="B945" s="11">
        <v>79.0</v>
      </c>
      <c r="C945" s="11">
        <v>6.0</v>
      </c>
      <c r="D945" s="11" t="s">
        <v>5271</v>
      </c>
      <c r="E945" s="234">
        <v>31.0</v>
      </c>
      <c r="F945" s="235">
        <v>39.0</v>
      </c>
      <c r="G945" s="235">
        <v>39.0</v>
      </c>
      <c r="H945" s="234">
        <v>31.0</v>
      </c>
      <c r="I945" s="235">
        <v>39.0</v>
      </c>
      <c r="J945" s="236">
        <v>6.1738848E7</v>
      </c>
      <c r="K945" s="11">
        <v>31.0</v>
      </c>
      <c r="L945" s="11">
        <v>2.0</v>
      </c>
      <c r="M945" s="237" t="str">
        <f t="shared" si="1"/>
        <v>0310390061738848312</v>
      </c>
      <c r="N945" s="238">
        <v>23802.14</v>
      </c>
      <c r="O945" s="110">
        <v>40614.0</v>
      </c>
      <c r="P945" s="11">
        <v>77.0</v>
      </c>
      <c r="Q945" s="239"/>
      <c r="R945" s="17">
        <v>18.0</v>
      </c>
    </row>
    <row r="946">
      <c r="A946" s="11">
        <v>20.0</v>
      </c>
      <c r="B946" s="11">
        <v>59.0</v>
      </c>
      <c r="C946" s="11">
        <v>2.0</v>
      </c>
      <c r="D946" s="11" t="s">
        <v>31</v>
      </c>
      <c r="E946" s="234">
        <v>29.0</v>
      </c>
      <c r="F946" s="235">
        <v>131.0</v>
      </c>
      <c r="G946" s="235">
        <v>131.0</v>
      </c>
      <c r="H946" s="234">
        <v>29.0</v>
      </c>
      <c r="I946" s="235">
        <v>131.0</v>
      </c>
      <c r="J946" s="236">
        <v>1.8091316E7</v>
      </c>
      <c r="K946" s="11">
        <v>53.0</v>
      </c>
      <c r="L946" s="11">
        <v>8.0</v>
      </c>
      <c r="M946" s="237" t="str">
        <f t="shared" si="1"/>
        <v>0291310018091316538</v>
      </c>
      <c r="N946" s="238">
        <v>44420.55</v>
      </c>
      <c r="O946" s="110">
        <v>62814.0</v>
      </c>
      <c r="P946" s="11">
        <v>72.0</v>
      </c>
      <c r="Q946" s="239"/>
      <c r="R946" s="17">
        <v>59.0</v>
      </c>
    </row>
    <row r="947">
      <c r="A947" s="11">
        <v>11.0</v>
      </c>
      <c r="B947" s="11">
        <v>18.0</v>
      </c>
      <c r="C947" s="11">
        <v>7.0</v>
      </c>
      <c r="D947" s="11" t="s">
        <v>5271</v>
      </c>
      <c r="E947" s="234">
        <v>8.0</v>
      </c>
      <c r="F947" s="235">
        <v>67.0</v>
      </c>
      <c r="G947" s="235">
        <v>67.0</v>
      </c>
      <c r="H947" s="234">
        <v>8.0</v>
      </c>
      <c r="I947" s="235">
        <v>67.0</v>
      </c>
      <c r="J947" s="236">
        <v>9.0566343E7</v>
      </c>
      <c r="K947" s="11">
        <v>9.0</v>
      </c>
      <c r="L947" s="11">
        <v>9.0</v>
      </c>
      <c r="M947" s="237" t="str">
        <f t="shared" si="1"/>
        <v>08067009056634399</v>
      </c>
      <c r="N947" s="238">
        <v>77586.38</v>
      </c>
      <c r="O947" s="110">
        <v>10117.0</v>
      </c>
      <c r="P947" s="11">
        <v>78.0</v>
      </c>
      <c r="Q947" s="239"/>
      <c r="R947" s="17">
        <v>59.0</v>
      </c>
    </row>
    <row r="948">
      <c r="A948" s="11">
        <v>18.0</v>
      </c>
      <c r="B948" s="11">
        <v>38.0</v>
      </c>
      <c r="C948" s="11">
        <v>9.0</v>
      </c>
      <c r="D948" s="11" t="s">
        <v>39</v>
      </c>
      <c r="E948" s="234">
        <v>13.0</v>
      </c>
      <c r="F948" s="235">
        <v>229.0</v>
      </c>
      <c r="G948" s="235">
        <v>229.0</v>
      </c>
      <c r="H948" s="234">
        <v>13.0</v>
      </c>
      <c r="I948" s="235">
        <v>229.0</v>
      </c>
      <c r="J948" s="236">
        <v>4.8661586E7</v>
      </c>
      <c r="K948" s="11">
        <v>92.0</v>
      </c>
      <c r="L948" s="11">
        <v>2.0</v>
      </c>
      <c r="M948" s="237" t="str">
        <f t="shared" si="1"/>
        <v>0132290048661586922</v>
      </c>
      <c r="N948" s="238">
        <v>3633.34</v>
      </c>
      <c r="O948" s="110">
        <v>112716.0</v>
      </c>
      <c r="P948" s="11">
        <v>79.0</v>
      </c>
      <c r="Q948" s="239"/>
      <c r="R948" s="17">
        <v>59.0</v>
      </c>
    </row>
    <row r="949">
      <c r="A949" s="11">
        <v>15.0</v>
      </c>
      <c r="B949" s="11">
        <v>59.0</v>
      </c>
      <c r="C949" s="11">
        <v>7.0</v>
      </c>
      <c r="D949" s="11" t="s">
        <v>39</v>
      </c>
      <c r="E949" s="234">
        <v>31.0</v>
      </c>
      <c r="F949" s="235">
        <v>27.0</v>
      </c>
      <c r="G949" s="235">
        <v>27.0</v>
      </c>
      <c r="H949" s="234">
        <v>31.0</v>
      </c>
      <c r="I949" s="235">
        <v>27.0</v>
      </c>
      <c r="J949" s="236">
        <v>3.5684224E7</v>
      </c>
      <c r="K949" s="11">
        <v>44.0</v>
      </c>
      <c r="L949" s="11">
        <v>5.0</v>
      </c>
      <c r="M949" s="237" t="str">
        <f t="shared" si="1"/>
        <v>0310270035684224445</v>
      </c>
      <c r="N949" s="238">
        <v>65100.94</v>
      </c>
      <c r="O949" s="110">
        <v>81813.0</v>
      </c>
      <c r="P949" s="11">
        <v>74.0</v>
      </c>
      <c r="Q949" s="239"/>
      <c r="R949" s="17">
        <v>80.0</v>
      </c>
    </row>
    <row r="950">
      <c r="A950" s="11">
        <v>13.0</v>
      </c>
      <c r="B950" s="11">
        <v>59.0</v>
      </c>
      <c r="C950" s="11">
        <v>6.0</v>
      </c>
      <c r="D950" s="11" t="s">
        <v>39</v>
      </c>
      <c r="E950" s="234">
        <v>54.0</v>
      </c>
      <c r="F950" s="235">
        <v>31.0</v>
      </c>
      <c r="G950" s="235">
        <v>31.0</v>
      </c>
      <c r="H950" s="234">
        <v>54.0</v>
      </c>
      <c r="I950" s="235">
        <v>31.0</v>
      </c>
      <c r="J950" s="236">
        <v>2.4349299E7</v>
      </c>
      <c r="K950" s="11">
        <v>34.0</v>
      </c>
      <c r="L950" s="11">
        <v>0.0</v>
      </c>
      <c r="M950" s="237" t="str">
        <f t="shared" si="1"/>
        <v>0540310024349299340</v>
      </c>
      <c r="N950" s="238">
        <v>54352.87</v>
      </c>
      <c r="O950" s="110">
        <v>91618.0</v>
      </c>
      <c r="P950" s="11">
        <v>80.0</v>
      </c>
      <c r="Q950" s="239"/>
      <c r="R950" s="17">
        <v>59.0</v>
      </c>
    </row>
    <row r="951">
      <c r="A951" s="11">
        <v>18.0</v>
      </c>
      <c r="B951" s="11">
        <v>59.0</v>
      </c>
      <c r="C951" s="11">
        <v>9.0</v>
      </c>
      <c r="D951" s="11" t="s">
        <v>5271</v>
      </c>
      <c r="E951" s="234">
        <v>6.0</v>
      </c>
      <c r="F951" s="235">
        <v>61.0</v>
      </c>
      <c r="G951" s="235">
        <v>61.0</v>
      </c>
      <c r="H951" s="234">
        <v>6.0</v>
      </c>
      <c r="I951" s="235">
        <v>61.0</v>
      </c>
      <c r="J951" s="236">
        <v>7.1460698E7</v>
      </c>
      <c r="K951" s="11">
        <v>81.0</v>
      </c>
      <c r="L951" s="11">
        <v>2.0</v>
      </c>
      <c r="M951" s="237" t="str">
        <f t="shared" si="1"/>
        <v>060610071460698812</v>
      </c>
      <c r="N951" s="238">
        <v>-97351.5</v>
      </c>
      <c r="O951" s="110">
        <v>32818.0</v>
      </c>
      <c r="P951" s="11">
        <v>70.0</v>
      </c>
      <c r="Q951" s="239"/>
      <c r="R951" s="17">
        <v>39.0</v>
      </c>
    </row>
    <row r="952">
      <c r="A952" s="11">
        <v>11.0</v>
      </c>
      <c r="B952" s="11">
        <v>79.0</v>
      </c>
      <c r="C952" s="11">
        <v>7.0</v>
      </c>
      <c r="D952" s="11" t="s">
        <v>5273</v>
      </c>
      <c r="E952" s="234">
        <v>29.0</v>
      </c>
      <c r="F952" s="235">
        <v>87.0</v>
      </c>
      <c r="G952" s="235">
        <v>87.0</v>
      </c>
      <c r="H952" s="234">
        <v>29.0</v>
      </c>
      <c r="I952" s="235">
        <v>87.0</v>
      </c>
      <c r="J952" s="236">
        <v>1.5608877E7</v>
      </c>
      <c r="K952" s="11">
        <v>9.0</v>
      </c>
      <c r="L952" s="11">
        <v>4.0</v>
      </c>
      <c r="M952" s="237" t="str">
        <f t="shared" si="1"/>
        <v>029087001560887794</v>
      </c>
      <c r="N952" s="238">
        <v>33202.11</v>
      </c>
      <c r="O952" s="110">
        <v>81321.0</v>
      </c>
      <c r="P952" s="11">
        <v>78.0</v>
      </c>
      <c r="Q952" s="239"/>
      <c r="R952" s="17">
        <v>19.0</v>
      </c>
    </row>
    <row r="953">
      <c r="A953" s="11">
        <v>14.0</v>
      </c>
      <c r="B953" s="11">
        <v>38.0</v>
      </c>
      <c r="C953" s="11">
        <v>1.0</v>
      </c>
      <c r="D953" s="11" t="s">
        <v>31</v>
      </c>
      <c r="E953" s="234">
        <v>39.0</v>
      </c>
      <c r="F953" s="235">
        <v>101.0</v>
      </c>
      <c r="G953" s="235">
        <v>101.0</v>
      </c>
      <c r="H953" s="234">
        <v>39.0</v>
      </c>
      <c r="I953" s="235">
        <v>101.0</v>
      </c>
      <c r="J953" s="236">
        <v>1.6762035E7</v>
      </c>
      <c r="K953" s="11">
        <v>58.0</v>
      </c>
      <c r="L953" s="11">
        <v>2.0</v>
      </c>
      <c r="M953" s="237" t="str">
        <f t="shared" si="1"/>
        <v>0391010016762035582</v>
      </c>
      <c r="N953" s="238">
        <v>96291.83</v>
      </c>
      <c r="O953" s="110">
        <v>81121.0</v>
      </c>
      <c r="P953" s="11">
        <v>73.0</v>
      </c>
      <c r="Q953" s="239"/>
      <c r="R953" s="17">
        <v>19.0</v>
      </c>
    </row>
    <row r="954">
      <c r="A954" s="11">
        <v>19.0</v>
      </c>
      <c r="B954" s="11">
        <v>18.0</v>
      </c>
      <c r="C954" s="11">
        <v>8.0</v>
      </c>
      <c r="D954" s="11" t="s">
        <v>5272</v>
      </c>
      <c r="E954" s="234">
        <v>49.0</v>
      </c>
      <c r="F954" s="235">
        <v>23.0</v>
      </c>
      <c r="G954" s="235">
        <v>23.0</v>
      </c>
      <c r="H954" s="234">
        <v>49.0</v>
      </c>
      <c r="I954" s="235">
        <v>23.0</v>
      </c>
      <c r="J954" s="236">
        <v>6.9199541E7</v>
      </c>
      <c r="K954" s="11">
        <v>97.0</v>
      </c>
      <c r="L954" s="11">
        <v>7.0</v>
      </c>
      <c r="M954" s="237" t="str">
        <f t="shared" si="1"/>
        <v>0490230069199541977</v>
      </c>
      <c r="N954" s="238">
        <v>85116.43</v>
      </c>
      <c r="O954" s="110">
        <v>51222.0</v>
      </c>
      <c r="P954" s="11">
        <v>72.0</v>
      </c>
      <c r="Q954" s="239"/>
      <c r="R954" s="17">
        <v>19.0</v>
      </c>
    </row>
    <row r="955">
      <c r="A955" s="11">
        <v>13.0</v>
      </c>
      <c r="B955" s="11">
        <v>79.0</v>
      </c>
      <c r="C955" s="11">
        <v>3.0</v>
      </c>
      <c r="D955" s="11" t="s">
        <v>5271</v>
      </c>
      <c r="E955" s="234">
        <v>51.0</v>
      </c>
      <c r="F955" s="235">
        <v>147.0</v>
      </c>
      <c r="G955" s="235">
        <v>147.0</v>
      </c>
      <c r="H955" s="234">
        <v>51.0</v>
      </c>
      <c r="I955" s="235">
        <v>147.0</v>
      </c>
      <c r="J955" s="236">
        <v>9.35185E7</v>
      </c>
      <c r="K955" s="11">
        <v>83.0</v>
      </c>
      <c r="L955" s="11">
        <v>7.0</v>
      </c>
      <c r="M955" s="237" t="str">
        <f t="shared" si="1"/>
        <v>0511470093518500837</v>
      </c>
      <c r="N955" s="238">
        <v>-68868.69</v>
      </c>
      <c r="O955" s="110">
        <v>20222.0</v>
      </c>
      <c r="P955" s="11">
        <v>75.0</v>
      </c>
      <c r="Q955" s="239"/>
      <c r="R955" s="17">
        <v>19.0</v>
      </c>
    </row>
    <row r="956">
      <c r="A956" s="11">
        <v>13.0</v>
      </c>
      <c r="B956" s="11">
        <v>59.0</v>
      </c>
      <c r="C956" s="11">
        <v>5.0</v>
      </c>
      <c r="D956" s="11" t="s">
        <v>39</v>
      </c>
      <c r="E956" s="234">
        <v>48.0</v>
      </c>
      <c r="F956" s="235">
        <v>77.0</v>
      </c>
      <c r="G956" s="235">
        <v>77.0</v>
      </c>
      <c r="H956" s="234">
        <v>48.0</v>
      </c>
      <c r="I956" s="235">
        <v>77.0</v>
      </c>
      <c r="J956" s="236">
        <v>5.8064844E7</v>
      </c>
      <c r="K956" s="11">
        <v>56.0</v>
      </c>
      <c r="L956" s="11">
        <v>8.0</v>
      </c>
      <c r="M956" s="237" t="str">
        <f t="shared" si="1"/>
        <v>0480770058064844568</v>
      </c>
      <c r="N956" s="238">
        <v>44075.82</v>
      </c>
      <c r="O956" s="110">
        <v>101416.0</v>
      </c>
      <c r="P956" s="11">
        <v>70.0</v>
      </c>
      <c r="Q956" s="239"/>
      <c r="R956" s="17">
        <v>39.0</v>
      </c>
    </row>
    <row r="957">
      <c r="A957" s="11">
        <v>11.0</v>
      </c>
      <c r="B957" s="11">
        <v>18.0</v>
      </c>
      <c r="C957" s="11">
        <v>9.0</v>
      </c>
      <c r="D957" s="11" t="s">
        <v>39</v>
      </c>
      <c r="E957" s="234">
        <v>29.0</v>
      </c>
      <c r="F957" s="235">
        <v>49.0</v>
      </c>
      <c r="G957" s="235">
        <v>49.0</v>
      </c>
      <c r="H957" s="234">
        <v>29.0</v>
      </c>
      <c r="I957" s="235">
        <v>49.0</v>
      </c>
      <c r="J957" s="236">
        <v>1.8465866E7</v>
      </c>
      <c r="K957" s="11">
        <v>10.0</v>
      </c>
      <c r="L957" s="11">
        <v>0.0</v>
      </c>
      <c r="M957" s="237" t="str">
        <f t="shared" si="1"/>
        <v>0290490018465866100</v>
      </c>
      <c r="N957" s="238">
        <v>-84924.94</v>
      </c>
      <c r="O957" s="110">
        <v>62713.0</v>
      </c>
      <c r="P957" s="11">
        <v>70.0</v>
      </c>
      <c r="Q957" s="239"/>
      <c r="R957" s="17">
        <v>60.0</v>
      </c>
    </row>
    <row r="958">
      <c r="A958" s="11">
        <v>17.0</v>
      </c>
      <c r="B958" s="11">
        <v>18.0</v>
      </c>
      <c r="C958" s="11">
        <v>8.0</v>
      </c>
      <c r="D958" s="11" t="s">
        <v>5271</v>
      </c>
      <c r="E958" s="234">
        <v>39.0</v>
      </c>
      <c r="F958" s="235">
        <v>55.0</v>
      </c>
      <c r="G958" s="235">
        <v>55.0</v>
      </c>
      <c r="H958" s="234">
        <v>39.0</v>
      </c>
      <c r="I958" s="235">
        <v>55.0</v>
      </c>
      <c r="J958" s="236">
        <v>1.3829928E7</v>
      </c>
      <c r="K958" s="11">
        <v>30.0</v>
      </c>
      <c r="L958" s="11">
        <v>0.0</v>
      </c>
      <c r="M958" s="237" t="str">
        <f t="shared" si="1"/>
        <v>0390550013829928300</v>
      </c>
      <c r="N958" s="238">
        <v>-33986.19</v>
      </c>
      <c r="O958" s="110">
        <v>102321.0</v>
      </c>
      <c r="P958" s="11">
        <v>71.0</v>
      </c>
      <c r="Q958" s="239"/>
      <c r="R958" s="17">
        <v>80.0</v>
      </c>
    </row>
    <row r="959">
      <c r="A959" s="11">
        <v>18.0</v>
      </c>
      <c r="B959" s="11">
        <v>39.0</v>
      </c>
      <c r="C959" s="11">
        <v>9.0</v>
      </c>
      <c r="D959" s="11" t="s">
        <v>5273</v>
      </c>
      <c r="E959" s="234">
        <v>39.0</v>
      </c>
      <c r="F959" s="235">
        <v>173.0</v>
      </c>
      <c r="G959" s="235">
        <v>173.0</v>
      </c>
      <c r="H959" s="234">
        <v>39.0</v>
      </c>
      <c r="I959" s="235">
        <v>173.0</v>
      </c>
      <c r="J959" s="236">
        <v>9.1592454E7</v>
      </c>
      <c r="K959" s="11">
        <v>58.0</v>
      </c>
      <c r="L959" s="11">
        <v>9.0</v>
      </c>
      <c r="M959" s="237" t="str">
        <f t="shared" si="1"/>
        <v>0391730091592454589</v>
      </c>
      <c r="N959" s="238">
        <v>45251.32</v>
      </c>
      <c r="O959" s="110">
        <v>62720.0</v>
      </c>
      <c r="P959" s="11">
        <v>73.0</v>
      </c>
      <c r="Q959" s="239"/>
      <c r="R959" s="17">
        <v>39.0</v>
      </c>
    </row>
    <row r="960">
      <c r="A960" s="11">
        <v>18.0</v>
      </c>
      <c r="B960" s="11">
        <v>18.0</v>
      </c>
      <c r="C960" s="11">
        <v>4.0</v>
      </c>
      <c r="D960" s="11" t="s">
        <v>5271</v>
      </c>
      <c r="E960" s="234">
        <v>9.0</v>
      </c>
      <c r="F960" s="235">
        <v>5.0</v>
      </c>
      <c r="G960" s="235">
        <v>5.0</v>
      </c>
      <c r="H960" s="234">
        <v>9.0</v>
      </c>
      <c r="I960" s="235">
        <v>5.0</v>
      </c>
      <c r="J960" s="236">
        <v>2.5840308E7</v>
      </c>
      <c r="K960" s="11">
        <v>13.0</v>
      </c>
      <c r="L960" s="11">
        <v>2.0</v>
      </c>
      <c r="M960" s="237" t="str">
        <f t="shared" si="1"/>
        <v>090050025840308132</v>
      </c>
      <c r="N960" s="238">
        <v>15871.34</v>
      </c>
      <c r="O960" s="110">
        <v>120323.0</v>
      </c>
      <c r="P960" s="11">
        <v>72.0</v>
      </c>
      <c r="Q960" s="239"/>
      <c r="R960" s="17">
        <v>80.0</v>
      </c>
    </row>
    <row r="961">
      <c r="A961" s="11">
        <v>15.0</v>
      </c>
      <c r="B961" s="11">
        <v>59.0</v>
      </c>
      <c r="C961" s="11">
        <v>6.0</v>
      </c>
      <c r="D961" s="11" t="s">
        <v>5271</v>
      </c>
      <c r="E961" s="234">
        <v>13.0</v>
      </c>
      <c r="F961" s="235">
        <v>19.0</v>
      </c>
      <c r="G961" s="235">
        <v>19.0</v>
      </c>
      <c r="H961" s="234">
        <v>13.0</v>
      </c>
      <c r="I961" s="235">
        <v>19.0</v>
      </c>
      <c r="J961" s="236">
        <v>9.6050019E7</v>
      </c>
      <c r="K961" s="11">
        <v>8.0</v>
      </c>
      <c r="L961" s="11">
        <v>7.0</v>
      </c>
      <c r="M961" s="237" t="str">
        <f t="shared" si="1"/>
        <v>013019009605001987</v>
      </c>
      <c r="N961" s="238">
        <v>-15016.8</v>
      </c>
      <c r="O961" s="110">
        <v>60220.0</v>
      </c>
      <c r="P961" s="11">
        <v>75.0</v>
      </c>
      <c r="Q961" s="239"/>
      <c r="R961" s="17">
        <v>39.0</v>
      </c>
    </row>
    <row r="962">
      <c r="A962" s="11">
        <v>17.0</v>
      </c>
      <c r="B962" s="11">
        <v>18.0</v>
      </c>
      <c r="C962" s="11">
        <v>9.0</v>
      </c>
      <c r="D962" s="11" t="s">
        <v>39</v>
      </c>
      <c r="E962" s="234">
        <v>28.0</v>
      </c>
      <c r="F962" s="235">
        <v>103.0</v>
      </c>
      <c r="G962" s="235">
        <v>103.0</v>
      </c>
      <c r="H962" s="234">
        <v>28.0</v>
      </c>
      <c r="I962" s="235">
        <v>103.0</v>
      </c>
      <c r="J962" s="236">
        <v>1.1144927E7</v>
      </c>
      <c r="K962" s="11">
        <v>60.0</v>
      </c>
      <c r="L962" s="11">
        <v>1.0</v>
      </c>
      <c r="M962" s="237" t="str">
        <f t="shared" si="1"/>
        <v>0281030011144927601</v>
      </c>
      <c r="N962" s="238">
        <v>37422.33</v>
      </c>
      <c r="O962" s="110">
        <v>82820.0</v>
      </c>
      <c r="P962" s="11">
        <v>75.0</v>
      </c>
      <c r="Q962" s="239"/>
      <c r="R962" s="17">
        <v>60.0</v>
      </c>
    </row>
    <row r="963">
      <c r="A963" s="11">
        <v>10.0</v>
      </c>
      <c r="B963" s="11">
        <v>18.0</v>
      </c>
      <c r="C963" s="11">
        <v>1.0</v>
      </c>
      <c r="D963" s="11" t="s">
        <v>5273</v>
      </c>
      <c r="E963" s="234">
        <v>19.0</v>
      </c>
      <c r="F963" s="235">
        <v>173.0</v>
      </c>
      <c r="G963" s="235">
        <v>173.0</v>
      </c>
      <c r="H963" s="234">
        <v>19.0</v>
      </c>
      <c r="I963" s="235">
        <v>173.0</v>
      </c>
      <c r="J963" s="236">
        <v>1.6452286E7</v>
      </c>
      <c r="K963" s="11">
        <v>46.0</v>
      </c>
      <c r="L963" s="11">
        <v>3.0</v>
      </c>
      <c r="M963" s="237" t="str">
        <f t="shared" si="1"/>
        <v>0191730016452286463</v>
      </c>
      <c r="N963" s="238">
        <v>82567.12</v>
      </c>
      <c r="O963" s="110">
        <v>20222.0</v>
      </c>
      <c r="P963" s="11">
        <v>76.0</v>
      </c>
      <c r="Q963" s="239"/>
      <c r="R963" s="17">
        <v>19.0</v>
      </c>
    </row>
    <row r="964">
      <c r="A964" s="11">
        <v>15.0</v>
      </c>
      <c r="B964" s="11">
        <v>18.0</v>
      </c>
      <c r="C964" s="11">
        <v>4.0</v>
      </c>
      <c r="D964" s="11" t="s">
        <v>31</v>
      </c>
      <c r="E964" s="234">
        <v>47.0</v>
      </c>
      <c r="F964" s="235">
        <v>147.0</v>
      </c>
      <c r="G964" s="235">
        <v>147.0</v>
      </c>
      <c r="H964" s="234">
        <v>47.0</v>
      </c>
      <c r="I964" s="235">
        <v>147.0</v>
      </c>
      <c r="J964" s="236">
        <v>4.3676298E7</v>
      </c>
      <c r="K964" s="11">
        <v>58.0</v>
      </c>
      <c r="L964" s="11">
        <v>8.0</v>
      </c>
      <c r="M964" s="237" t="str">
        <f t="shared" si="1"/>
        <v>0471470043676298588</v>
      </c>
      <c r="N964" s="238">
        <v>17578.5</v>
      </c>
      <c r="O964" s="110">
        <v>72620.0</v>
      </c>
      <c r="P964" s="11">
        <v>75.0</v>
      </c>
      <c r="Q964" s="239"/>
      <c r="R964" s="17">
        <v>40.0</v>
      </c>
    </row>
    <row r="965">
      <c r="A965" s="11">
        <v>13.0</v>
      </c>
      <c r="B965" s="11">
        <v>39.0</v>
      </c>
      <c r="C965" s="11">
        <v>3.0</v>
      </c>
      <c r="D965" s="11" t="s">
        <v>29</v>
      </c>
      <c r="E965" s="234">
        <v>35.0</v>
      </c>
      <c r="F965" s="235">
        <v>5.0</v>
      </c>
      <c r="G965" s="235">
        <v>5.0</v>
      </c>
      <c r="H965" s="234">
        <v>35.0</v>
      </c>
      <c r="I965" s="235">
        <v>5.0</v>
      </c>
      <c r="J965" s="236">
        <v>6.8587417E7</v>
      </c>
      <c r="K965" s="11">
        <v>77.0</v>
      </c>
      <c r="L965" s="11">
        <v>0.0</v>
      </c>
      <c r="M965" s="237" t="str">
        <f t="shared" si="1"/>
        <v>0350050068587417770</v>
      </c>
      <c r="N965" s="238">
        <v>-88813.09</v>
      </c>
      <c r="O965" s="110">
        <v>111920.0</v>
      </c>
      <c r="P965" s="11">
        <v>77.0</v>
      </c>
      <c r="Q965" s="239"/>
      <c r="R965" s="17">
        <v>80.0</v>
      </c>
    </row>
    <row r="966">
      <c r="A966" s="11">
        <v>11.0</v>
      </c>
      <c r="B966" s="11">
        <v>18.0</v>
      </c>
      <c r="C966" s="11">
        <v>4.0</v>
      </c>
      <c r="D966" s="11" t="s">
        <v>5271</v>
      </c>
      <c r="E966" s="234">
        <v>46.0</v>
      </c>
      <c r="F966" s="235">
        <v>105.0</v>
      </c>
      <c r="G966" s="235">
        <v>105.0</v>
      </c>
      <c r="H966" s="234">
        <v>46.0</v>
      </c>
      <c r="I966" s="235">
        <v>105.0</v>
      </c>
      <c r="J966" s="236">
        <v>9.5326169E7</v>
      </c>
      <c r="K966" s="11">
        <v>28.0</v>
      </c>
      <c r="L966" s="11">
        <v>4.0</v>
      </c>
      <c r="M966" s="237" t="str">
        <f t="shared" si="1"/>
        <v>0461050095326169284</v>
      </c>
      <c r="N966" s="238">
        <v>12389.4</v>
      </c>
      <c r="O966" s="110">
        <v>81722.0</v>
      </c>
      <c r="P966" s="11">
        <v>72.0</v>
      </c>
      <c r="Q966" s="239"/>
      <c r="R966" s="17">
        <v>19.0</v>
      </c>
    </row>
    <row r="967">
      <c r="A967" s="11">
        <v>12.0</v>
      </c>
      <c r="B967" s="11">
        <v>39.0</v>
      </c>
      <c r="C967" s="11">
        <v>5.0</v>
      </c>
      <c r="D967" s="11" t="s">
        <v>5271</v>
      </c>
      <c r="E967" s="234">
        <v>27.0</v>
      </c>
      <c r="F967" s="235">
        <v>163.0</v>
      </c>
      <c r="G967" s="235">
        <v>163.0</v>
      </c>
      <c r="H967" s="234">
        <v>27.0</v>
      </c>
      <c r="I967" s="235">
        <v>163.0</v>
      </c>
      <c r="J967" s="236">
        <v>2.814707E7</v>
      </c>
      <c r="K967" s="11">
        <v>25.0</v>
      </c>
      <c r="L967" s="11">
        <v>1.0</v>
      </c>
      <c r="M967" s="237" t="str">
        <f t="shared" si="1"/>
        <v>0271630028147070251</v>
      </c>
      <c r="N967" s="238">
        <v>-95931.91</v>
      </c>
      <c r="O967" s="110">
        <v>20720.0</v>
      </c>
      <c r="P967" s="11">
        <v>73.0</v>
      </c>
      <c r="Q967" s="239"/>
      <c r="R967" s="17">
        <v>81.0</v>
      </c>
    </row>
    <row r="968">
      <c r="A968" s="11">
        <v>18.0</v>
      </c>
      <c r="B968" s="11">
        <v>59.0</v>
      </c>
      <c r="C968" s="11">
        <v>1.0</v>
      </c>
      <c r="D968" s="11" t="s">
        <v>31</v>
      </c>
      <c r="E968" s="234">
        <v>47.0</v>
      </c>
      <c r="F968" s="235">
        <v>71.0</v>
      </c>
      <c r="G968" s="235">
        <v>71.0</v>
      </c>
      <c r="H968" s="234">
        <v>47.0</v>
      </c>
      <c r="I968" s="235">
        <v>71.0</v>
      </c>
      <c r="J968" s="236">
        <v>6.9749848E7</v>
      </c>
      <c r="K968" s="11">
        <v>12.0</v>
      </c>
      <c r="L968" s="11">
        <v>1.0</v>
      </c>
      <c r="M968" s="237" t="str">
        <f t="shared" si="1"/>
        <v>0470710069749848121</v>
      </c>
      <c r="N968" s="238">
        <v>-4617.71</v>
      </c>
      <c r="O968" s="110">
        <v>53017.0</v>
      </c>
      <c r="P968" s="11">
        <v>79.0</v>
      </c>
      <c r="Q968" s="239"/>
      <c r="R968" s="17">
        <v>81.0</v>
      </c>
    </row>
    <row r="969">
      <c r="A969" s="11">
        <v>14.0</v>
      </c>
      <c r="B969" s="11">
        <v>39.0</v>
      </c>
      <c r="C969" s="11">
        <v>7.0</v>
      </c>
      <c r="D969" s="11" t="s">
        <v>39</v>
      </c>
      <c r="E969" s="234">
        <v>1.0</v>
      </c>
      <c r="F969" s="235">
        <v>65.0</v>
      </c>
      <c r="G969" s="235">
        <v>65.0</v>
      </c>
      <c r="H969" s="234">
        <v>1.0</v>
      </c>
      <c r="I969" s="235">
        <v>65.0</v>
      </c>
      <c r="J969" s="236">
        <v>3.6763865E7</v>
      </c>
      <c r="K969" s="11">
        <v>96.0</v>
      </c>
      <c r="L969" s="11">
        <v>6.0</v>
      </c>
      <c r="M969" s="237" t="str">
        <f t="shared" si="1"/>
        <v>010650036763865966</v>
      </c>
      <c r="N969" s="238">
        <v>42761.91</v>
      </c>
      <c r="O969" s="110">
        <v>42320.0</v>
      </c>
      <c r="P969" s="11">
        <v>79.0</v>
      </c>
      <c r="Q969" s="239"/>
      <c r="R969" s="17">
        <v>60.0</v>
      </c>
    </row>
    <row r="970">
      <c r="A970" s="11">
        <v>10.0</v>
      </c>
      <c r="B970" s="11">
        <v>19.0</v>
      </c>
      <c r="C970" s="11">
        <v>5.0</v>
      </c>
      <c r="D970" s="11" t="s">
        <v>5273</v>
      </c>
      <c r="E970" s="234">
        <v>47.0</v>
      </c>
      <c r="F970" s="235">
        <v>105.0</v>
      </c>
      <c r="G970" s="235">
        <v>105.0</v>
      </c>
      <c r="H970" s="234">
        <v>47.0</v>
      </c>
      <c r="I970" s="235">
        <v>105.0</v>
      </c>
      <c r="J970" s="236">
        <v>5.0381601E7</v>
      </c>
      <c r="K970" s="11">
        <v>74.0</v>
      </c>
      <c r="L970" s="11">
        <v>0.0</v>
      </c>
      <c r="M970" s="237" t="str">
        <f t="shared" si="1"/>
        <v>0471050050381601740</v>
      </c>
      <c r="N970" s="238">
        <v>25651.91</v>
      </c>
      <c r="O970" s="110">
        <v>61913.0</v>
      </c>
      <c r="P970" s="11">
        <v>78.0</v>
      </c>
      <c r="Q970" s="239"/>
      <c r="R970" s="17">
        <v>19.0</v>
      </c>
    </row>
    <row r="971">
      <c r="A971" s="11">
        <v>20.0</v>
      </c>
      <c r="B971" s="11">
        <v>39.0</v>
      </c>
      <c r="C971" s="11">
        <v>9.0</v>
      </c>
      <c r="D971" s="11" t="s">
        <v>31</v>
      </c>
      <c r="E971" s="234">
        <v>27.0</v>
      </c>
      <c r="F971" s="235">
        <v>5.0</v>
      </c>
      <c r="G971" s="235">
        <v>5.0</v>
      </c>
      <c r="H971" s="234">
        <v>27.0</v>
      </c>
      <c r="I971" s="235">
        <v>5.0</v>
      </c>
      <c r="J971" s="236">
        <v>3.5252675E7</v>
      </c>
      <c r="K971" s="11">
        <v>23.0</v>
      </c>
      <c r="L971" s="11">
        <v>0.0</v>
      </c>
      <c r="M971" s="237" t="str">
        <f t="shared" si="1"/>
        <v>0270050035252675230</v>
      </c>
      <c r="N971" s="238">
        <v>29852.98</v>
      </c>
      <c r="O971" s="110">
        <v>110917.0</v>
      </c>
      <c r="P971" s="11">
        <v>80.0</v>
      </c>
      <c r="Q971" s="239"/>
      <c r="R971" s="17">
        <v>40.0</v>
      </c>
    </row>
    <row r="972">
      <c r="A972" s="11">
        <v>17.0</v>
      </c>
      <c r="B972" s="11">
        <v>19.0</v>
      </c>
      <c r="C972" s="11">
        <v>8.0</v>
      </c>
      <c r="D972" s="11" t="s">
        <v>31</v>
      </c>
      <c r="E972" s="234">
        <v>31.0</v>
      </c>
      <c r="F972" s="235">
        <v>49.0</v>
      </c>
      <c r="G972" s="235">
        <v>49.0</v>
      </c>
      <c r="H972" s="234">
        <v>31.0</v>
      </c>
      <c r="I972" s="235">
        <v>49.0</v>
      </c>
      <c r="J972" s="236">
        <v>7.768789E7</v>
      </c>
      <c r="K972" s="11">
        <v>33.0</v>
      </c>
      <c r="L972" s="11">
        <v>8.0</v>
      </c>
      <c r="M972" s="237" t="str">
        <f t="shared" si="1"/>
        <v>0310490077687890338</v>
      </c>
      <c r="N972" s="238">
        <v>-4439.0</v>
      </c>
      <c r="O972" s="110">
        <v>100721.0</v>
      </c>
      <c r="P972" s="11">
        <v>76.0</v>
      </c>
      <c r="Q972" s="239"/>
      <c r="R972" s="17">
        <v>19.0</v>
      </c>
    </row>
    <row r="973">
      <c r="A973" s="11">
        <v>18.0</v>
      </c>
      <c r="B973" s="11">
        <v>56.0</v>
      </c>
      <c r="C973" s="11">
        <v>2.0</v>
      </c>
      <c r="D973" s="11" t="s">
        <v>29</v>
      </c>
      <c r="E973" s="234">
        <v>13.0</v>
      </c>
      <c r="F973" s="235">
        <v>45.0</v>
      </c>
      <c r="G973" s="235">
        <v>45.0</v>
      </c>
      <c r="H973" s="234">
        <v>13.0</v>
      </c>
      <c r="I973" s="235">
        <v>45.0</v>
      </c>
      <c r="J973" s="236">
        <v>4.3709054E7</v>
      </c>
      <c r="K973" s="11">
        <v>53.0</v>
      </c>
      <c r="L973" s="11">
        <v>6.0</v>
      </c>
      <c r="M973" s="237" t="str">
        <f t="shared" si="1"/>
        <v>0130450043709054536</v>
      </c>
      <c r="N973" s="238">
        <v>7611.11</v>
      </c>
      <c r="O973" s="110">
        <v>21522.0</v>
      </c>
      <c r="P973" s="11">
        <v>71.0</v>
      </c>
      <c r="Q973" s="239"/>
      <c r="R973" s="17">
        <v>19.0</v>
      </c>
    </row>
    <row r="974">
      <c r="A974" s="11">
        <v>16.0</v>
      </c>
      <c r="B974" s="11">
        <v>39.0</v>
      </c>
      <c r="C974" s="11">
        <v>5.0</v>
      </c>
      <c r="D974" s="11" t="s">
        <v>5273</v>
      </c>
      <c r="E974" s="234">
        <v>55.0</v>
      </c>
      <c r="F974" s="235">
        <v>123.0</v>
      </c>
      <c r="G974" s="235">
        <v>123.0</v>
      </c>
      <c r="H974" s="234">
        <v>55.0</v>
      </c>
      <c r="I974" s="235">
        <v>123.0</v>
      </c>
      <c r="J974" s="236">
        <v>6.9435815E7</v>
      </c>
      <c r="K974" s="11">
        <v>3.0</v>
      </c>
      <c r="L974" s="11">
        <v>0.0</v>
      </c>
      <c r="M974" s="237" t="str">
        <f t="shared" si="1"/>
        <v>055123006943581530</v>
      </c>
      <c r="N974" s="238">
        <v>99703.02</v>
      </c>
      <c r="O974" s="110">
        <v>102413.0</v>
      </c>
      <c r="P974" s="11">
        <v>71.0</v>
      </c>
      <c r="Q974" s="239"/>
      <c r="R974" s="17">
        <v>40.0</v>
      </c>
    </row>
    <row r="975">
      <c r="A975" s="11">
        <v>11.0</v>
      </c>
      <c r="B975" s="11">
        <v>39.0</v>
      </c>
      <c r="C975" s="11">
        <v>7.0</v>
      </c>
      <c r="D975" s="11" t="s">
        <v>5271</v>
      </c>
      <c r="E975" s="234">
        <v>48.0</v>
      </c>
      <c r="F975" s="235">
        <v>65.0</v>
      </c>
      <c r="G975" s="235">
        <v>65.0</v>
      </c>
      <c r="H975" s="234">
        <v>48.0</v>
      </c>
      <c r="I975" s="235">
        <v>65.0</v>
      </c>
      <c r="J975" s="236">
        <v>9.0145651E7</v>
      </c>
      <c r="K975" s="11">
        <v>34.0</v>
      </c>
      <c r="L975" s="11">
        <v>7.0</v>
      </c>
      <c r="M975" s="237" t="str">
        <f t="shared" si="1"/>
        <v>0480650090145651347</v>
      </c>
      <c r="N975" s="238">
        <v>34359.7</v>
      </c>
      <c r="O975" s="110">
        <v>123013.0</v>
      </c>
      <c r="P975" s="11">
        <v>70.0</v>
      </c>
      <c r="Q975" s="239"/>
      <c r="R975" s="17">
        <v>40.0</v>
      </c>
    </row>
    <row r="976">
      <c r="A976" s="11">
        <v>19.0</v>
      </c>
      <c r="B976" s="11">
        <v>39.0</v>
      </c>
      <c r="C976" s="11">
        <v>4.0</v>
      </c>
      <c r="D976" s="11" t="s">
        <v>29</v>
      </c>
      <c r="E976" s="234">
        <v>1.0</v>
      </c>
      <c r="F976" s="235">
        <v>89.0</v>
      </c>
      <c r="G976" s="235">
        <v>89.0</v>
      </c>
      <c r="H976" s="234">
        <v>1.0</v>
      </c>
      <c r="I976" s="235">
        <v>89.0</v>
      </c>
      <c r="J976" s="236">
        <v>2.7942092E7</v>
      </c>
      <c r="K976" s="11">
        <v>15.0</v>
      </c>
      <c r="L976" s="11">
        <v>8.0</v>
      </c>
      <c r="M976" s="237" t="str">
        <f t="shared" si="1"/>
        <v>010890027942092158</v>
      </c>
      <c r="N976" s="238">
        <v>82324.2</v>
      </c>
      <c r="O976" s="110">
        <v>12919.0</v>
      </c>
      <c r="P976" s="11">
        <v>79.0</v>
      </c>
      <c r="Q976" s="239"/>
      <c r="R976" s="17">
        <v>60.0</v>
      </c>
    </row>
    <row r="977">
      <c r="A977" s="11">
        <v>15.0</v>
      </c>
      <c r="B977" s="11">
        <v>19.0</v>
      </c>
      <c r="C977" s="11">
        <v>6.0</v>
      </c>
      <c r="D977" s="11" t="s">
        <v>5273</v>
      </c>
      <c r="E977" s="234">
        <v>13.0</v>
      </c>
      <c r="F977" s="235">
        <v>277.0</v>
      </c>
      <c r="G977" s="235">
        <v>277.0</v>
      </c>
      <c r="H977" s="234">
        <v>13.0</v>
      </c>
      <c r="I977" s="235">
        <v>277.0</v>
      </c>
      <c r="J977" s="236">
        <v>7.4520621E7</v>
      </c>
      <c r="K977" s="11">
        <v>20.0</v>
      </c>
      <c r="L977" s="11">
        <v>0.0</v>
      </c>
      <c r="M977" s="237" t="str">
        <f t="shared" si="1"/>
        <v>0132770074520621200</v>
      </c>
      <c r="N977" s="238">
        <v>33061.86</v>
      </c>
      <c r="O977" s="110">
        <v>110515.0</v>
      </c>
      <c r="P977" s="11">
        <v>74.0</v>
      </c>
      <c r="Q977" s="239"/>
      <c r="R977" s="17">
        <v>19.0</v>
      </c>
    </row>
    <row r="978">
      <c r="A978" s="11">
        <v>16.0</v>
      </c>
      <c r="B978" s="11">
        <v>19.0</v>
      </c>
      <c r="C978" s="11">
        <v>2.0</v>
      </c>
      <c r="D978" s="11" t="s">
        <v>5272</v>
      </c>
      <c r="E978" s="234">
        <v>34.0</v>
      </c>
      <c r="F978" s="235">
        <v>13.0</v>
      </c>
      <c r="G978" s="235">
        <v>13.0</v>
      </c>
      <c r="H978" s="234">
        <v>34.0</v>
      </c>
      <c r="I978" s="235">
        <v>13.0</v>
      </c>
      <c r="J978" s="236">
        <v>5.7458996E7</v>
      </c>
      <c r="K978" s="11">
        <v>54.0</v>
      </c>
      <c r="L978" s="11">
        <v>4.0</v>
      </c>
      <c r="M978" s="237" t="str">
        <f t="shared" si="1"/>
        <v>0340130057458996544</v>
      </c>
      <c r="N978" s="238">
        <v>55061.06</v>
      </c>
      <c r="O978" s="110">
        <v>121317.0</v>
      </c>
      <c r="P978" s="11">
        <v>74.0</v>
      </c>
      <c r="Q978" s="239"/>
      <c r="R978" s="17">
        <v>19.0</v>
      </c>
    </row>
    <row r="979">
      <c r="A979" s="11">
        <v>18.0</v>
      </c>
      <c r="B979" s="11">
        <v>19.0</v>
      </c>
      <c r="C979" s="11">
        <v>3.0</v>
      </c>
      <c r="D979" s="11" t="s">
        <v>5272</v>
      </c>
      <c r="E979" s="234">
        <v>18.0</v>
      </c>
      <c r="F979" s="235">
        <v>79.0</v>
      </c>
      <c r="G979" s="235">
        <v>79.0</v>
      </c>
      <c r="H979" s="234">
        <v>18.0</v>
      </c>
      <c r="I979" s="235">
        <v>79.0</v>
      </c>
      <c r="J979" s="236">
        <v>1.4998093E7</v>
      </c>
      <c r="K979" s="11">
        <v>74.0</v>
      </c>
      <c r="L979" s="11">
        <v>1.0</v>
      </c>
      <c r="M979" s="237" t="str">
        <f t="shared" si="1"/>
        <v>0180790014998093741</v>
      </c>
      <c r="N979" s="238">
        <v>-91461.22</v>
      </c>
      <c r="O979" s="110">
        <v>11820.0</v>
      </c>
      <c r="P979" s="11">
        <v>74.0</v>
      </c>
      <c r="Q979" s="239"/>
      <c r="R979" s="17">
        <v>60.0</v>
      </c>
    </row>
    <row r="980">
      <c r="A980" s="11">
        <v>14.0</v>
      </c>
      <c r="B980" s="11">
        <v>39.0</v>
      </c>
      <c r="C980" s="11">
        <v>6.0</v>
      </c>
      <c r="D980" s="11" t="s">
        <v>31</v>
      </c>
      <c r="E980" s="234">
        <v>51.0</v>
      </c>
      <c r="F980" s="235">
        <v>45.0</v>
      </c>
      <c r="G980" s="235">
        <v>45.0</v>
      </c>
      <c r="H980" s="234">
        <v>51.0</v>
      </c>
      <c r="I980" s="235">
        <v>45.0</v>
      </c>
      <c r="J980" s="236">
        <v>6.2445069E7</v>
      </c>
      <c r="K980" s="11">
        <v>17.0</v>
      </c>
      <c r="L980" s="11">
        <v>5.0</v>
      </c>
      <c r="M980" s="237" t="str">
        <f t="shared" si="1"/>
        <v>0510450062445069175</v>
      </c>
      <c r="N980" s="238">
        <v>-38772.2</v>
      </c>
      <c r="O980" s="110">
        <v>102516.0</v>
      </c>
      <c r="P980" s="11">
        <v>80.0</v>
      </c>
      <c r="Q980" s="239"/>
      <c r="R980" s="17">
        <v>40.0</v>
      </c>
    </row>
    <row r="981">
      <c r="A981" s="11">
        <v>15.0</v>
      </c>
      <c r="B981" s="11">
        <v>19.0</v>
      </c>
      <c r="C981" s="11">
        <v>3.0</v>
      </c>
      <c r="D981" s="11" t="s">
        <v>31</v>
      </c>
      <c r="E981" s="234">
        <v>1.0</v>
      </c>
      <c r="F981" s="235">
        <v>69.0</v>
      </c>
      <c r="G981" s="235">
        <v>69.0</v>
      </c>
      <c r="H981" s="234">
        <v>1.0</v>
      </c>
      <c r="I981" s="235">
        <v>69.0</v>
      </c>
      <c r="J981" s="236">
        <v>8.8842821E7</v>
      </c>
      <c r="K981" s="11">
        <v>64.0</v>
      </c>
      <c r="L981" s="11">
        <v>6.0</v>
      </c>
      <c r="M981" s="237" t="str">
        <f t="shared" si="1"/>
        <v>010690088842821646</v>
      </c>
      <c r="N981" s="238">
        <v>-73341.25</v>
      </c>
      <c r="O981" s="110">
        <v>31413.0</v>
      </c>
      <c r="P981" s="11">
        <v>80.0</v>
      </c>
      <c r="Q981" s="239"/>
      <c r="R981" s="17">
        <v>40.0</v>
      </c>
    </row>
    <row r="982">
      <c r="A982" s="11">
        <v>16.0</v>
      </c>
      <c r="B982" s="11">
        <v>19.0</v>
      </c>
      <c r="C982" s="11">
        <v>9.0</v>
      </c>
      <c r="D982" s="11" t="s">
        <v>29</v>
      </c>
      <c r="E982" s="234">
        <v>42.0</v>
      </c>
      <c r="F982" s="235">
        <v>81.0</v>
      </c>
      <c r="G982" s="235">
        <v>81.0</v>
      </c>
      <c r="H982" s="234">
        <v>42.0</v>
      </c>
      <c r="I982" s="235">
        <v>81.0</v>
      </c>
      <c r="J982" s="236">
        <v>9.1788548E7</v>
      </c>
      <c r="K982" s="11">
        <v>79.0</v>
      </c>
      <c r="L982" s="11">
        <v>3.0</v>
      </c>
      <c r="M982" s="237" t="str">
        <f t="shared" si="1"/>
        <v>0420810091788548793</v>
      </c>
      <c r="N982" s="238">
        <v>-61091.31</v>
      </c>
      <c r="O982" s="110">
        <v>52421.0</v>
      </c>
      <c r="P982" s="11">
        <v>71.0</v>
      </c>
      <c r="Q982" s="239"/>
      <c r="R982" s="17">
        <v>40.0</v>
      </c>
    </row>
    <row r="983">
      <c r="A983" s="11">
        <v>16.0</v>
      </c>
      <c r="B983" s="11">
        <v>19.0</v>
      </c>
      <c r="C983" s="11">
        <v>1.0</v>
      </c>
      <c r="D983" s="11" t="s">
        <v>31</v>
      </c>
      <c r="E983" s="234">
        <v>28.0</v>
      </c>
      <c r="F983" s="235">
        <v>63.0</v>
      </c>
      <c r="G983" s="235">
        <v>63.0</v>
      </c>
      <c r="H983" s="234">
        <v>28.0</v>
      </c>
      <c r="I983" s="235">
        <v>63.0</v>
      </c>
      <c r="J983" s="236">
        <v>2.1925082E7</v>
      </c>
      <c r="K983" s="11">
        <v>17.0</v>
      </c>
      <c r="L983" s="11">
        <v>2.0</v>
      </c>
      <c r="M983" s="237" t="str">
        <f t="shared" si="1"/>
        <v>0280630021925082172</v>
      </c>
      <c r="N983" s="238">
        <v>-79056.87</v>
      </c>
      <c r="O983" s="110">
        <v>72616.0</v>
      </c>
      <c r="P983" s="11">
        <v>76.0</v>
      </c>
      <c r="Q983" s="239"/>
      <c r="R983" s="17">
        <v>81.0</v>
      </c>
    </row>
    <row r="984">
      <c r="A984" s="11">
        <v>16.0</v>
      </c>
      <c r="B984" s="11">
        <v>19.0</v>
      </c>
      <c r="C984" s="11">
        <v>2.0</v>
      </c>
      <c r="D984" s="11" t="s">
        <v>5272</v>
      </c>
      <c r="E984" s="234">
        <v>37.0</v>
      </c>
      <c r="F984" s="235">
        <v>81.0</v>
      </c>
      <c r="G984" s="235">
        <v>81.0</v>
      </c>
      <c r="H984" s="234">
        <v>37.0</v>
      </c>
      <c r="I984" s="235">
        <v>81.0</v>
      </c>
      <c r="J984" s="236">
        <v>4.5200751E7</v>
      </c>
      <c r="K984" s="11">
        <v>75.0</v>
      </c>
      <c r="L984" s="11">
        <v>8.0</v>
      </c>
      <c r="M984" s="237" t="str">
        <f t="shared" si="1"/>
        <v>0370810045200751758</v>
      </c>
      <c r="N984" s="238">
        <v>-46984.61</v>
      </c>
      <c r="O984" s="110">
        <v>92014.0</v>
      </c>
      <c r="P984" s="11">
        <v>77.0</v>
      </c>
      <c r="Q984" s="239"/>
      <c r="R984" s="17">
        <v>81.0</v>
      </c>
    </row>
    <row r="985">
      <c r="A985" s="11">
        <v>16.0</v>
      </c>
      <c r="B985" s="11">
        <v>19.0</v>
      </c>
      <c r="C985" s="11">
        <v>6.0</v>
      </c>
      <c r="D985" s="11" t="s">
        <v>5273</v>
      </c>
      <c r="E985" s="234">
        <v>26.0</v>
      </c>
      <c r="F985" s="235">
        <v>89.0</v>
      </c>
      <c r="G985" s="235">
        <v>89.0</v>
      </c>
      <c r="H985" s="234">
        <v>26.0</v>
      </c>
      <c r="I985" s="235">
        <v>89.0</v>
      </c>
      <c r="J985" s="236">
        <v>2.8274146E7</v>
      </c>
      <c r="K985" s="11">
        <v>8.0</v>
      </c>
      <c r="L985" s="11">
        <v>3.0</v>
      </c>
      <c r="M985" s="237" t="str">
        <f t="shared" si="1"/>
        <v>026089002827414683</v>
      </c>
      <c r="N985" s="238">
        <v>-31534.69</v>
      </c>
      <c r="O985" s="110">
        <v>52919.0</v>
      </c>
      <c r="P985" s="11">
        <v>74.0</v>
      </c>
      <c r="Q985" s="239"/>
      <c r="R985" s="17">
        <v>81.0</v>
      </c>
    </row>
    <row r="986">
      <c r="A986" s="11">
        <v>12.0</v>
      </c>
      <c r="B986" s="11">
        <v>81.0</v>
      </c>
      <c r="C986" s="11">
        <v>4.0</v>
      </c>
      <c r="D986" s="11" t="s">
        <v>31</v>
      </c>
      <c r="E986" s="234">
        <v>27.0</v>
      </c>
      <c r="F986" s="235">
        <v>41.0</v>
      </c>
      <c r="G986" s="235">
        <v>41.0</v>
      </c>
      <c r="H986" s="234">
        <v>27.0</v>
      </c>
      <c r="I986" s="235">
        <v>41.0</v>
      </c>
      <c r="J986" s="236">
        <v>7.3375822E7</v>
      </c>
      <c r="K986" s="11">
        <v>92.0</v>
      </c>
      <c r="L986" s="11">
        <v>2.0</v>
      </c>
      <c r="M986" s="237" t="str">
        <f t="shared" si="1"/>
        <v>0270410073375822922</v>
      </c>
      <c r="N986" s="238">
        <v>76919.52</v>
      </c>
      <c r="O986" s="110">
        <v>51414.0</v>
      </c>
      <c r="P986" s="11">
        <v>75.0</v>
      </c>
      <c r="Q986" s="239"/>
      <c r="R986" s="17">
        <v>81.0</v>
      </c>
    </row>
    <row r="987">
      <c r="A987" s="11">
        <v>12.0</v>
      </c>
      <c r="B987" s="11">
        <v>81.0</v>
      </c>
      <c r="C987" s="11">
        <v>4.0</v>
      </c>
      <c r="D987" s="11" t="s">
        <v>5273</v>
      </c>
      <c r="E987" s="234">
        <v>19.0</v>
      </c>
      <c r="F987" s="235">
        <v>141.0</v>
      </c>
      <c r="G987" s="235">
        <v>141.0</v>
      </c>
      <c r="H987" s="234">
        <v>19.0</v>
      </c>
      <c r="I987" s="235">
        <v>141.0</v>
      </c>
      <c r="J987" s="236">
        <v>5.6795797E7</v>
      </c>
      <c r="K987" s="11">
        <v>10.0</v>
      </c>
      <c r="L987" s="11">
        <v>1.0</v>
      </c>
      <c r="M987" s="237" t="str">
        <f t="shared" si="1"/>
        <v>0191410056795797101</v>
      </c>
      <c r="N987" s="238">
        <v>18428.87</v>
      </c>
      <c r="O987" s="110">
        <v>50620.0</v>
      </c>
      <c r="P987" s="11">
        <v>78.0</v>
      </c>
      <c r="Q987" s="239"/>
      <c r="R987" s="17">
        <v>81.0</v>
      </c>
    </row>
    <row r="988">
      <c r="A988" s="11">
        <v>17.0</v>
      </c>
      <c r="B988" s="11">
        <v>19.0</v>
      </c>
      <c r="C988" s="11">
        <v>4.0</v>
      </c>
      <c r="D988" s="11" t="s">
        <v>5271</v>
      </c>
      <c r="E988" s="234">
        <v>40.0</v>
      </c>
      <c r="F988" s="235">
        <v>153.0</v>
      </c>
      <c r="G988" s="235">
        <v>153.0</v>
      </c>
      <c r="H988" s="234">
        <v>40.0</v>
      </c>
      <c r="I988" s="235">
        <v>153.0</v>
      </c>
      <c r="J988" s="236">
        <v>2.2621499E7</v>
      </c>
      <c r="K988" s="11">
        <v>25.0</v>
      </c>
      <c r="L988" s="11">
        <v>2.0</v>
      </c>
      <c r="M988" s="237" t="str">
        <f t="shared" si="1"/>
        <v>0401530022621499252</v>
      </c>
      <c r="N988" s="238">
        <v>-11368.03</v>
      </c>
      <c r="O988" s="110">
        <v>70815.0</v>
      </c>
      <c r="P988" s="11">
        <v>80.0</v>
      </c>
      <c r="Q988" s="239"/>
      <c r="R988" s="17">
        <v>40.0</v>
      </c>
    </row>
    <row r="989">
      <c r="A989" s="11">
        <v>14.0</v>
      </c>
      <c r="B989" s="11">
        <v>19.0</v>
      </c>
      <c r="C989" s="11">
        <v>5.0</v>
      </c>
      <c r="D989" s="11" t="s">
        <v>29</v>
      </c>
      <c r="E989" s="234">
        <v>48.0</v>
      </c>
      <c r="F989" s="235">
        <v>143.0</v>
      </c>
      <c r="G989" s="235">
        <v>143.0</v>
      </c>
      <c r="H989" s="234">
        <v>48.0</v>
      </c>
      <c r="I989" s="235">
        <v>143.0</v>
      </c>
      <c r="J989" s="236">
        <v>7.2785735E7</v>
      </c>
      <c r="K989" s="11">
        <v>37.0</v>
      </c>
      <c r="L989" s="11">
        <v>9.0</v>
      </c>
      <c r="M989" s="237" t="str">
        <f t="shared" si="1"/>
        <v>0481430072785735379</v>
      </c>
      <c r="N989" s="238">
        <v>64961.05</v>
      </c>
      <c r="O989" s="110">
        <v>31013.0</v>
      </c>
      <c r="P989" s="11">
        <v>80.0</v>
      </c>
      <c r="Q989" s="239"/>
      <c r="R989" s="17">
        <v>40.0</v>
      </c>
    </row>
    <row r="990">
      <c r="A990" s="11">
        <v>15.0</v>
      </c>
      <c r="B990" s="11">
        <v>81.0</v>
      </c>
      <c r="C990" s="11">
        <v>7.0</v>
      </c>
      <c r="D990" s="11" t="s">
        <v>5271</v>
      </c>
      <c r="E990" s="234">
        <v>20.0</v>
      </c>
      <c r="F990" s="235">
        <v>57.0</v>
      </c>
      <c r="G990" s="235">
        <v>57.0</v>
      </c>
      <c r="H990" s="234">
        <v>20.0</v>
      </c>
      <c r="I990" s="235">
        <v>57.0</v>
      </c>
      <c r="J990" s="236">
        <v>7.3633746E7</v>
      </c>
      <c r="K990" s="11">
        <v>29.0</v>
      </c>
      <c r="L990" s="11">
        <v>0.0</v>
      </c>
      <c r="M990" s="237" t="str">
        <f t="shared" si="1"/>
        <v>0200570073633746290</v>
      </c>
      <c r="N990" s="238">
        <v>1278.42</v>
      </c>
      <c r="O990" s="110">
        <v>51819.0</v>
      </c>
      <c r="P990" s="11">
        <v>73.0</v>
      </c>
      <c r="Q990" s="239"/>
      <c r="R990" s="17">
        <v>20.0</v>
      </c>
    </row>
    <row r="991">
      <c r="A991" s="11">
        <v>17.0</v>
      </c>
      <c r="B991" s="11">
        <v>81.0</v>
      </c>
      <c r="C991" s="11">
        <v>7.0</v>
      </c>
      <c r="D991" s="11" t="s">
        <v>39</v>
      </c>
      <c r="E991" s="234">
        <v>26.0</v>
      </c>
      <c r="F991" s="235">
        <v>137.0</v>
      </c>
      <c r="G991" s="235">
        <v>137.0</v>
      </c>
      <c r="H991" s="234">
        <v>26.0</v>
      </c>
      <c r="I991" s="235">
        <v>137.0</v>
      </c>
      <c r="J991" s="236">
        <v>9.4649261E7</v>
      </c>
      <c r="K991" s="11">
        <v>14.0</v>
      </c>
      <c r="L991" s="11">
        <v>7.0</v>
      </c>
      <c r="M991" s="237" t="str">
        <f t="shared" si="1"/>
        <v>0261370094649261147</v>
      </c>
      <c r="N991" s="238">
        <v>-51088.85</v>
      </c>
      <c r="O991" s="110">
        <v>22716.0</v>
      </c>
      <c r="P991" s="11">
        <v>79.0</v>
      </c>
      <c r="Q991" s="239"/>
      <c r="R991" s="17">
        <v>40.0</v>
      </c>
    </row>
    <row r="992">
      <c r="A992" s="11">
        <v>15.0</v>
      </c>
      <c r="B992" s="11">
        <v>19.0</v>
      </c>
      <c r="C992" s="11">
        <v>4.0</v>
      </c>
      <c r="D992" s="11" t="s">
        <v>29</v>
      </c>
      <c r="E992" s="234">
        <v>36.0</v>
      </c>
      <c r="F992" s="235">
        <v>69.0</v>
      </c>
      <c r="G992" s="235">
        <v>69.0</v>
      </c>
      <c r="H992" s="234">
        <v>36.0</v>
      </c>
      <c r="I992" s="235">
        <v>69.0</v>
      </c>
      <c r="J992" s="236">
        <v>5.0836378E7</v>
      </c>
      <c r="K992" s="11">
        <v>94.0</v>
      </c>
      <c r="L992" s="11">
        <v>1.0</v>
      </c>
      <c r="M992" s="237" t="str">
        <f t="shared" si="1"/>
        <v>0360690050836378941</v>
      </c>
      <c r="N992" s="238">
        <v>-63483.23</v>
      </c>
      <c r="O992" s="110">
        <v>91619.0</v>
      </c>
      <c r="P992" s="11">
        <v>76.0</v>
      </c>
      <c r="Q992" s="239"/>
      <c r="R992" s="17">
        <v>40.0</v>
      </c>
    </row>
    <row r="993">
      <c r="A993" s="11">
        <v>19.0</v>
      </c>
      <c r="B993" s="11">
        <v>81.0</v>
      </c>
      <c r="C993" s="11">
        <v>2.0</v>
      </c>
      <c r="D993" s="11" t="s">
        <v>5271</v>
      </c>
      <c r="E993" s="234">
        <v>51.0</v>
      </c>
      <c r="F993" s="235">
        <v>650.0</v>
      </c>
      <c r="G993" s="235">
        <v>650.0</v>
      </c>
      <c r="H993" s="234">
        <v>51.0</v>
      </c>
      <c r="I993" s="235">
        <v>650.0</v>
      </c>
      <c r="J993" s="236">
        <v>7.5023492E7</v>
      </c>
      <c r="K993" s="11">
        <v>36.0</v>
      </c>
      <c r="L993" s="11">
        <v>7.0</v>
      </c>
      <c r="M993" s="237" t="str">
        <f t="shared" si="1"/>
        <v>0516500075023492367</v>
      </c>
      <c r="N993" s="238">
        <v>75843.5</v>
      </c>
      <c r="O993" s="110">
        <v>81520.0</v>
      </c>
      <c r="P993" s="11">
        <v>73.0</v>
      </c>
      <c r="Q993" s="239"/>
      <c r="R993" s="17">
        <v>81.0</v>
      </c>
    </row>
    <row r="994">
      <c r="A994" s="11">
        <v>13.0</v>
      </c>
      <c r="B994" s="11">
        <v>81.0</v>
      </c>
      <c r="C994" s="11">
        <v>1.0</v>
      </c>
      <c r="D994" s="11" t="s">
        <v>39</v>
      </c>
      <c r="E994" s="234">
        <v>53.0</v>
      </c>
      <c r="F994" s="235">
        <v>17.0</v>
      </c>
      <c r="G994" s="235">
        <v>17.0</v>
      </c>
      <c r="H994" s="234">
        <v>53.0</v>
      </c>
      <c r="I994" s="235">
        <v>17.0</v>
      </c>
      <c r="J994" s="236">
        <v>8.2793731E7</v>
      </c>
      <c r="K994" s="11">
        <v>58.0</v>
      </c>
      <c r="L994" s="11">
        <v>1.0</v>
      </c>
      <c r="M994" s="237" t="str">
        <f t="shared" si="1"/>
        <v>0530170082793731581</v>
      </c>
      <c r="N994" s="238">
        <v>31573.42</v>
      </c>
      <c r="O994" s="110">
        <v>73021.0</v>
      </c>
      <c r="P994" s="11">
        <v>76.0</v>
      </c>
      <c r="Q994" s="239"/>
      <c r="R994" s="17">
        <v>20.0</v>
      </c>
    </row>
    <row r="995">
      <c r="A995" s="11">
        <v>10.0</v>
      </c>
      <c r="B995" s="11">
        <v>61.0</v>
      </c>
      <c r="C995" s="11">
        <v>9.0</v>
      </c>
      <c r="D995" s="11" t="s">
        <v>5273</v>
      </c>
      <c r="E995" s="234">
        <v>50.0</v>
      </c>
      <c r="F995" s="235">
        <v>17.0</v>
      </c>
      <c r="G995" s="235">
        <v>17.0</v>
      </c>
      <c r="H995" s="234">
        <v>50.0</v>
      </c>
      <c r="I995" s="235">
        <v>17.0</v>
      </c>
      <c r="J995" s="236">
        <v>3.9083199E7</v>
      </c>
      <c r="K995" s="11">
        <v>91.0</v>
      </c>
      <c r="L995" s="11">
        <v>3.0</v>
      </c>
      <c r="M995" s="237" t="str">
        <f t="shared" si="1"/>
        <v>0500170039083199913</v>
      </c>
      <c r="N995" s="238">
        <v>-95390.35</v>
      </c>
      <c r="O995" s="110">
        <v>90816.0</v>
      </c>
      <c r="P995" s="11">
        <v>70.0</v>
      </c>
      <c r="Q995" s="239"/>
      <c r="R995" s="17">
        <v>20.0</v>
      </c>
    </row>
    <row r="996">
      <c r="A996" s="11">
        <v>18.0</v>
      </c>
      <c r="B996" s="11">
        <v>61.0</v>
      </c>
      <c r="C996" s="11">
        <v>4.0</v>
      </c>
      <c r="D996" s="11" t="s">
        <v>29</v>
      </c>
      <c r="E996" s="234">
        <v>30.0</v>
      </c>
      <c r="F996" s="235">
        <v>77.0</v>
      </c>
      <c r="G996" s="235">
        <v>77.0</v>
      </c>
      <c r="H996" s="234">
        <v>30.0</v>
      </c>
      <c r="I996" s="235">
        <v>77.0</v>
      </c>
      <c r="J996" s="236">
        <v>4.8007622E7</v>
      </c>
      <c r="K996" s="11">
        <v>72.0</v>
      </c>
      <c r="L996" s="11">
        <v>4.0</v>
      </c>
      <c r="M996" s="237" t="str">
        <f t="shared" si="1"/>
        <v>0300770048007622724</v>
      </c>
      <c r="N996" s="238">
        <v>24520.96</v>
      </c>
      <c r="O996" s="110">
        <v>92516.0</v>
      </c>
      <c r="P996" s="11">
        <v>70.0</v>
      </c>
      <c r="Q996" s="239"/>
      <c r="R996" s="17">
        <v>81.0</v>
      </c>
    </row>
    <row r="997">
      <c r="A997" s="11">
        <v>13.0</v>
      </c>
      <c r="B997" s="11">
        <v>81.0</v>
      </c>
      <c r="C997" s="11">
        <v>7.0</v>
      </c>
      <c r="D997" s="11" t="s">
        <v>5271</v>
      </c>
      <c r="E997" s="234">
        <v>21.0</v>
      </c>
      <c r="F997" s="235">
        <v>119.0</v>
      </c>
      <c r="G997" s="235">
        <v>119.0</v>
      </c>
      <c r="H997" s="234">
        <v>21.0</v>
      </c>
      <c r="I997" s="235">
        <v>119.0</v>
      </c>
      <c r="J997" s="236">
        <v>9.2542511E7</v>
      </c>
      <c r="K997" s="11">
        <v>86.0</v>
      </c>
      <c r="L997" s="11">
        <v>0.0</v>
      </c>
      <c r="M997" s="237" t="str">
        <f t="shared" si="1"/>
        <v>0211190092542511860</v>
      </c>
      <c r="N997" s="238">
        <v>31111.71</v>
      </c>
      <c r="O997" s="110">
        <v>81623.0</v>
      </c>
      <c r="P997" s="11">
        <v>77.0</v>
      </c>
      <c r="Q997" s="239"/>
      <c r="R997" s="17">
        <v>40.0</v>
      </c>
    </row>
    <row r="998">
      <c r="A998" s="11">
        <v>17.0</v>
      </c>
      <c r="B998" s="11">
        <v>61.0</v>
      </c>
      <c r="C998" s="11">
        <v>7.0</v>
      </c>
      <c r="D998" s="11" t="s">
        <v>5271</v>
      </c>
      <c r="E998" s="234">
        <v>54.0</v>
      </c>
      <c r="F998" s="235">
        <v>71.0</v>
      </c>
      <c r="G998" s="235">
        <v>71.0</v>
      </c>
      <c r="H998" s="234">
        <v>54.0</v>
      </c>
      <c r="I998" s="235">
        <v>71.0</v>
      </c>
      <c r="J998" s="236">
        <v>6.0140475E7</v>
      </c>
      <c r="K998" s="11">
        <v>42.0</v>
      </c>
      <c r="L998" s="11">
        <v>7.0</v>
      </c>
      <c r="M998" s="237" t="str">
        <f t="shared" si="1"/>
        <v>0540710060140475427</v>
      </c>
      <c r="N998" s="238">
        <v>-82356.51</v>
      </c>
      <c r="O998" s="110">
        <v>102715.0</v>
      </c>
      <c r="P998" s="11">
        <v>72.0</v>
      </c>
      <c r="Q998" s="239"/>
      <c r="R998" s="17">
        <v>81.0</v>
      </c>
    </row>
    <row r="999">
      <c r="A999" s="11">
        <v>20.0</v>
      </c>
      <c r="B999" s="11">
        <v>61.0</v>
      </c>
      <c r="C999" s="11">
        <v>4.0</v>
      </c>
      <c r="D999" s="11" t="s">
        <v>5271</v>
      </c>
      <c r="E999" s="234">
        <v>56.0</v>
      </c>
      <c r="F999" s="235">
        <v>1.0</v>
      </c>
      <c r="G999" s="235">
        <v>1.0</v>
      </c>
      <c r="H999" s="234">
        <v>56.0</v>
      </c>
      <c r="I999" s="235">
        <v>1.0</v>
      </c>
      <c r="J999" s="236">
        <v>9.0467689E7</v>
      </c>
      <c r="K999" s="11">
        <v>90.0</v>
      </c>
      <c r="L999" s="11">
        <v>2.0</v>
      </c>
      <c r="M999" s="237" t="str">
        <f t="shared" si="1"/>
        <v>0560010090467689902</v>
      </c>
      <c r="N999" s="238">
        <v>-72026.39</v>
      </c>
      <c r="O999" s="110">
        <v>51713.0</v>
      </c>
      <c r="P999" s="11">
        <v>75.0</v>
      </c>
      <c r="Q999" s="239"/>
      <c r="R999" s="17">
        <v>40.0</v>
      </c>
    </row>
    <row r="1000">
      <c r="A1000" s="11">
        <v>17.0</v>
      </c>
      <c r="B1000" s="11">
        <v>81.0</v>
      </c>
      <c r="C1000" s="11">
        <v>1.0</v>
      </c>
      <c r="D1000" s="11" t="s">
        <v>31</v>
      </c>
      <c r="E1000" s="234">
        <v>38.0</v>
      </c>
      <c r="F1000" s="235">
        <v>101.0</v>
      </c>
      <c r="G1000" s="235">
        <v>101.0</v>
      </c>
      <c r="H1000" s="234">
        <v>38.0</v>
      </c>
      <c r="I1000" s="235">
        <v>101.0</v>
      </c>
      <c r="J1000" s="236">
        <v>7.9956177E7</v>
      </c>
      <c r="K1000" s="11">
        <v>34.0</v>
      </c>
      <c r="L1000" s="11">
        <v>4.0</v>
      </c>
      <c r="M1000" s="237" t="str">
        <f t="shared" si="1"/>
        <v>0381010079956177344</v>
      </c>
      <c r="N1000" s="238">
        <v>30321.55</v>
      </c>
      <c r="O1000" s="110">
        <v>91621.0</v>
      </c>
      <c r="P1000" s="11">
        <v>71.0</v>
      </c>
      <c r="Q1000" s="239"/>
      <c r="R1000" s="17">
        <v>40.0</v>
      </c>
    </row>
    <row r="1001">
      <c r="A1001" s="11">
        <v>20.0</v>
      </c>
      <c r="B1001" s="11">
        <v>81.0</v>
      </c>
      <c r="C1001" s="11">
        <v>3.0</v>
      </c>
      <c r="D1001" s="11" t="s">
        <v>5271</v>
      </c>
      <c r="E1001" s="234">
        <v>26.0</v>
      </c>
      <c r="F1001" s="235">
        <v>129.0</v>
      </c>
      <c r="G1001" s="235">
        <v>129.0</v>
      </c>
      <c r="H1001" s="234">
        <v>26.0</v>
      </c>
      <c r="I1001" s="235">
        <v>129.0</v>
      </c>
      <c r="J1001" s="236">
        <v>5.4842807E7</v>
      </c>
      <c r="K1001" s="11">
        <v>45.0</v>
      </c>
      <c r="L1001" s="11">
        <v>0.0</v>
      </c>
      <c r="M1001" s="237" t="str">
        <f t="shared" si="1"/>
        <v>0261290054842807450</v>
      </c>
      <c r="N1001" s="238">
        <v>-73798.65</v>
      </c>
      <c r="O1001" s="110">
        <v>62317.0</v>
      </c>
      <c r="P1001" s="11">
        <v>71.0</v>
      </c>
      <c r="Q1001" s="239"/>
      <c r="R1001" s="17">
        <v>61.0</v>
      </c>
    </row>
    <row r="1002">
      <c r="A1002" s="11">
        <v>12.0</v>
      </c>
      <c r="B1002" s="11">
        <v>61.0</v>
      </c>
      <c r="C1002" s="11">
        <v>1.0</v>
      </c>
      <c r="D1002" s="11" t="s">
        <v>5272</v>
      </c>
      <c r="E1002" s="234">
        <v>41.0</v>
      </c>
      <c r="F1002" s="235">
        <v>47.0</v>
      </c>
      <c r="G1002" s="235">
        <v>47.0</v>
      </c>
      <c r="H1002" s="234">
        <v>41.0</v>
      </c>
      <c r="I1002" s="235">
        <v>47.0</v>
      </c>
      <c r="J1002" s="236">
        <v>9.5259511E7</v>
      </c>
      <c r="K1002" s="11">
        <v>57.0</v>
      </c>
      <c r="L1002" s="11">
        <v>6.0</v>
      </c>
      <c r="M1002" s="237" t="str">
        <f t="shared" si="1"/>
        <v>0410470095259511576</v>
      </c>
      <c r="N1002" s="238">
        <v>-84350.38</v>
      </c>
      <c r="O1002" s="110">
        <v>82319.0</v>
      </c>
      <c r="P1002" s="11">
        <v>78.0</v>
      </c>
      <c r="Q1002" s="239"/>
      <c r="R1002" s="17">
        <v>40.0</v>
      </c>
    </row>
    <row r="1003">
      <c r="A1003" s="11">
        <v>13.0</v>
      </c>
      <c r="B1003" s="11">
        <v>81.0</v>
      </c>
      <c r="C1003" s="11">
        <v>5.0</v>
      </c>
      <c r="D1003" s="11" t="s">
        <v>5273</v>
      </c>
      <c r="E1003" s="234">
        <v>20.0</v>
      </c>
      <c r="F1003" s="235">
        <v>37.0</v>
      </c>
      <c r="G1003" s="235">
        <v>37.0</v>
      </c>
      <c r="H1003" s="234">
        <v>20.0</v>
      </c>
      <c r="I1003" s="235">
        <v>37.0</v>
      </c>
      <c r="J1003" s="236">
        <v>4.7216491E7</v>
      </c>
      <c r="K1003" s="11">
        <v>40.0</v>
      </c>
      <c r="L1003" s="11">
        <v>0.0</v>
      </c>
      <c r="M1003" s="237" t="str">
        <f t="shared" si="1"/>
        <v>0200370047216491400</v>
      </c>
      <c r="N1003" s="238">
        <v>-81480.78</v>
      </c>
      <c r="O1003" s="110">
        <v>91623.0</v>
      </c>
      <c r="P1003" s="11">
        <v>79.0</v>
      </c>
      <c r="Q1003" s="239"/>
      <c r="R1003" s="17">
        <v>81.0</v>
      </c>
    </row>
    <row r="1004">
      <c r="A1004" s="168"/>
      <c r="B1004" s="168"/>
      <c r="C1004" s="168"/>
      <c r="E1004" s="240"/>
      <c r="F1004" s="241"/>
      <c r="G1004" s="242"/>
      <c r="H1004" s="240"/>
      <c r="I1004" s="241"/>
      <c r="J1004" s="243"/>
      <c r="L1004" s="168"/>
      <c r="M1004" s="244"/>
      <c r="N1004" s="245"/>
      <c r="O1004" s="143"/>
      <c r="Q1004" s="54"/>
      <c r="R1004" s="160"/>
    </row>
    <row r="1005">
      <c r="A1005" s="168"/>
      <c r="B1005" s="168"/>
      <c r="C1005" s="168"/>
      <c r="E1005" s="25"/>
      <c r="F1005" s="242"/>
      <c r="G1005" s="242"/>
      <c r="H1005" s="25"/>
      <c r="I1005" s="242"/>
      <c r="J1005" s="243"/>
      <c r="L1005" s="168"/>
      <c r="M1005" s="244"/>
      <c r="N1005" s="245"/>
      <c r="O1005" s="143"/>
      <c r="Q1005" s="54"/>
      <c r="R1005" s="160"/>
    </row>
    <row r="1006">
      <c r="A1006" s="168"/>
      <c r="B1006" s="168"/>
      <c r="C1006" s="168"/>
      <c r="E1006" s="25"/>
      <c r="F1006" s="242"/>
      <c r="G1006" s="242"/>
      <c r="H1006" s="25"/>
      <c r="I1006" s="242"/>
      <c r="J1006" s="243"/>
      <c r="L1006" s="168"/>
      <c r="M1006" s="244"/>
      <c r="N1006" s="245"/>
      <c r="O1006" s="143"/>
      <c r="Q1006" s="54"/>
      <c r="R1006" s="160"/>
    </row>
    <row r="1007">
      <c r="A1007" s="168"/>
      <c r="B1007" s="168"/>
      <c r="C1007" s="168"/>
      <c r="E1007" s="25"/>
      <c r="F1007" s="242"/>
      <c r="G1007" s="242"/>
      <c r="H1007" s="25"/>
      <c r="I1007" s="242"/>
      <c r="J1007" s="243"/>
      <c r="L1007" s="168"/>
      <c r="M1007" s="244"/>
      <c r="N1007" s="245"/>
      <c r="O1007" s="143"/>
      <c r="Q1007" s="54"/>
      <c r="R1007" s="160"/>
    </row>
    <row r="1008">
      <c r="A1008" s="168"/>
      <c r="B1008" s="168"/>
      <c r="C1008" s="168"/>
      <c r="E1008" s="25"/>
      <c r="F1008" s="242"/>
      <c r="G1008" s="242"/>
      <c r="H1008" s="25"/>
      <c r="I1008" s="242"/>
      <c r="J1008" s="243"/>
      <c r="L1008" s="168"/>
      <c r="M1008" s="244"/>
      <c r="N1008" s="245"/>
      <c r="O1008" s="143"/>
      <c r="Q1008" s="54"/>
      <c r="R1008" s="160"/>
    </row>
    <row r="1009">
      <c r="A1009" s="168"/>
      <c r="B1009" s="168"/>
      <c r="C1009" s="168"/>
      <c r="E1009" s="25"/>
      <c r="F1009" s="242"/>
      <c r="G1009" s="242"/>
      <c r="H1009" s="25"/>
      <c r="I1009" s="242"/>
      <c r="J1009" s="243"/>
      <c r="L1009" s="168"/>
      <c r="M1009" s="244"/>
      <c r="N1009" s="245"/>
      <c r="O1009" s="143"/>
      <c r="Q1009" s="54"/>
      <c r="R1009" s="160"/>
    </row>
    <row r="1010">
      <c r="A1010" s="168"/>
      <c r="B1010" s="168"/>
      <c r="C1010" s="168"/>
      <c r="E1010" s="25"/>
      <c r="F1010" s="242"/>
      <c r="G1010" s="242"/>
      <c r="H1010" s="25"/>
      <c r="I1010" s="242"/>
      <c r="J1010" s="243"/>
      <c r="L1010" s="168"/>
      <c r="M1010" s="244"/>
      <c r="N1010" s="245"/>
      <c r="O1010" s="143"/>
      <c r="Q1010" s="54"/>
      <c r="R1010" s="160"/>
    </row>
    <row r="1011">
      <c r="A1011" s="168"/>
      <c r="B1011" s="168"/>
      <c r="C1011" s="168"/>
      <c r="E1011" s="25"/>
      <c r="F1011" s="242"/>
      <c r="G1011" s="242"/>
      <c r="H1011" s="25"/>
      <c r="I1011" s="242"/>
      <c r="J1011" s="243"/>
      <c r="L1011" s="168"/>
      <c r="M1011" s="244"/>
      <c r="N1011" s="245"/>
      <c r="O1011" s="143"/>
      <c r="Q1011" s="54"/>
      <c r="R1011" s="160"/>
    </row>
    <row r="1012">
      <c r="A1012" s="168"/>
      <c r="B1012" s="168"/>
      <c r="C1012" s="168"/>
      <c r="E1012" s="25"/>
      <c r="F1012" s="242"/>
      <c r="G1012" s="242"/>
      <c r="H1012" s="25"/>
      <c r="I1012" s="242"/>
      <c r="J1012" s="243"/>
      <c r="L1012" s="168"/>
      <c r="M1012" s="244"/>
      <c r="N1012" s="245"/>
      <c r="O1012" s="143"/>
      <c r="Q1012" s="54"/>
      <c r="R1012" s="160"/>
    </row>
    <row r="1013">
      <c r="A1013" s="168"/>
      <c r="B1013" s="168"/>
      <c r="C1013" s="168"/>
      <c r="E1013" s="25"/>
      <c r="F1013" s="242"/>
      <c r="G1013" s="242"/>
      <c r="H1013" s="25"/>
      <c r="I1013" s="242"/>
      <c r="J1013" s="243"/>
      <c r="L1013" s="168"/>
      <c r="M1013" s="244"/>
      <c r="N1013" s="245"/>
      <c r="O1013" s="143"/>
      <c r="Q1013" s="54"/>
      <c r="R1013" s="160"/>
    </row>
    <row r="1014">
      <c r="A1014" s="168"/>
      <c r="B1014" s="168"/>
      <c r="C1014" s="168"/>
      <c r="E1014" s="25"/>
      <c r="F1014" s="242"/>
      <c r="G1014" s="242"/>
      <c r="H1014" s="25"/>
      <c r="I1014" s="242"/>
      <c r="J1014" s="243"/>
      <c r="L1014" s="168"/>
      <c r="M1014" s="244"/>
      <c r="N1014" s="245"/>
      <c r="O1014" s="143"/>
      <c r="Q1014" s="54"/>
      <c r="R1014" s="160"/>
    </row>
    <row r="1015">
      <c r="A1015" s="168"/>
      <c r="B1015" s="168"/>
      <c r="C1015" s="168"/>
      <c r="E1015" s="25"/>
      <c r="F1015" s="242"/>
      <c r="G1015" s="242"/>
      <c r="H1015" s="25"/>
      <c r="I1015" s="242"/>
      <c r="J1015" s="243"/>
      <c r="L1015" s="168"/>
      <c r="M1015" s="244"/>
      <c r="N1015" s="245"/>
      <c r="O1015" s="143"/>
      <c r="Q1015" s="54"/>
      <c r="R1015" s="160"/>
    </row>
    <row r="1016">
      <c r="A1016" s="168"/>
      <c r="B1016" s="168"/>
      <c r="C1016" s="168"/>
      <c r="E1016" s="25"/>
      <c r="F1016" s="242"/>
      <c r="G1016" s="242"/>
      <c r="H1016" s="25"/>
      <c r="I1016" s="242"/>
      <c r="J1016" s="243"/>
      <c r="L1016" s="168"/>
      <c r="M1016" s="244"/>
      <c r="N1016" s="245"/>
      <c r="O1016" s="143"/>
      <c r="Q1016" s="54"/>
      <c r="R1016" s="160"/>
    </row>
    <row r="1017">
      <c r="A1017" s="168"/>
      <c r="B1017" s="168"/>
      <c r="C1017" s="168"/>
      <c r="E1017" s="25"/>
      <c r="F1017" s="242"/>
      <c r="G1017" s="242"/>
      <c r="H1017" s="25"/>
      <c r="I1017" s="242"/>
      <c r="J1017" s="243"/>
      <c r="L1017" s="168"/>
      <c r="M1017" s="244"/>
      <c r="N1017" s="245"/>
      <c r="O1017" s="143"/>
      <c r="Q1017" s="54"/>
      <c r="R1017" s="160"/>
    </row>
    <row r="1018">
      <c r="A1018" s="168"/>
      <c r="B1018" s="168"/>
      <c r="C1018" s="168"/>
      <c r="E1018" s="25"/>
      <c r="F1018" s="242"/>
      <c r="G1018" s="242"/>
      <c r="H1018" s="25"/>
      <c r="I1018" s="242"/>
      <c r="J1018" s="243"/>
      <c r="L1018" s="168"/>
      <c r="M1018" s="244"/>
      <c r="N1018" s="245"/>
      <c r="O1018" s="143"/>
      <c r="Q1018" s="54"/>
      <c r="R1018" s="160"/>
    </row>
    <row r="1019">
      <c r="A1019" s="168"/>
      <c r="B1019" s="168"/>
      <c r="C1019" s="168"/>
      <c r="E1019" s="25"/>
      <c r="F1019" s="242"/>
      <c r="G1019" s="242"/>
      <c r="H1019" s="25"/>
      <c r="I1019" s="242"/>
      <c r="J1019" s="243"/>
      <c r="L1019" s="168"/>
      <c r="M1019" s="244"/>
      <c r="N1019" s="245"/>
      <c r="O1019" s="143"/>
      <c r="Q1019" s="54"/>
      <c r="R1019" s="160"/>
    </row>
    <row r="1020">
      <c r="A1020" s="168"/>
      <c r="B1020" s="168"/>
      <c r="C1020" s="168"/>
      <c r="E1020" s="25"/>
      <c r="F1020" s="242"/>
      <c r="G1020" s="242"/>
      <c r="H1020" s="25"/>
      <c r="I1020" s="242"/>
      <c r="J1020" s="243"/>
      <c r="L1020" s="168"/>
      <c r="M1020" s="244"/>
      <c r="N1020" s="245"/>
      <c r="O1020" s="143"/>
      <c r="Q1020" s="54"/>
      <c r="R1020" s="160"/>
    </row>
    <row r="1021">
      <c r="A1021" s="168"/>
      <c r="B1021" s="168"/>
      <c r="C1021" s="168"/>
      <c r="E1021" s="25"/>
      <c r="F1021" s="242"/>
      <c r="G1021" s="242"/>
      <c r="H1021" s="25"/>
      <c r="I1021" s="242"/>
      <c r="J1021" s="243"/>
      <c r="L1021" s="168"/>
      <c r="M1021" s="244"/>
      <c r="N1021" s="245"/>
      <c r="O1021" s="143"/>
      <c r="Q1021" s="54"/>
      <c r="R1021" s="160"/>
    </row>
    <row r="1022">
      <c r="A1022" s="168"/>
      <c r="B1022" s="168"/>
      <c r="C1022" s="168"/>
      <c r="E1022" s="25"/>
      <c r="F1022" s="242"/>
      <c r="G1022" s="242"/>
      <c r="H1022" s="25"/>
      <c r="I1022" s="242"/>
      <c r="J1022" s="243"/>
      <c r="L1022" s="168"/>
      <c r="M1022" s="244"/>
      <c r="N1022" s="245"/>
      <c r="O1022" s="143"/>
      <c r="Q1022" s="54"/>
      <c r="R1022" s="160"/>
    </row>
    <row r="1023">
      <c r="A1023" s="168"/>
      <c r="B1023" s="168"/>
      <c r="C1023" s="168"/>
      <c r="E1023" s="25"/>
      <c r="F1023" s="242"/>
      <c r="G1023" s="242"/>
      <c r="H1023" s="25"/>
      <c r="I1023" s="242"/>
      <c r="J1023" s="243"/>
      <c r="L1023" s="168"/>
      <c r="M1023" s="244"/>
      <c r="N1023" s="245"/>
      <c r="O1023" s="143"/>
      <c r="Q1023" s="54"/>
      <c r="R1023" s="160"/>
    </row>
    <row r="1024">
      <c r="A1024" s="168"/>
      <c r="B1024" s="168"/>
      <c r="C1024" s="168"/>
      <c r="E1024" s="25"/>
      <c r="F1024" s="242"/>
      <c r="G1024" s="242"/>
      <c r="H1024" s="25"/>
      <c r="I1024" s="242"/>
      <c r="J1024" s="243"/>
      <c r="L1024" s="168"/>
      <c r="M1024" s="244"/>
      <c r="N1024" s="245"/>
      <c r="O1024" s="143"/>
      <c r="Q1024" s="54"/>
      <c r="R1024" s="160"/>
    </row>
    <row r="1025">
      <c r="A1025" s="168"/>
      <c r="B1025" s="168"/>
      <c r="C1025" s="168"/>
      <c r="E1025" s="25"/>
      <c r="F1025" s="242"/>
      <c r="G1025" s="242"/>
      <c r="H1025" s="25"/>
      <c r="I1025" s="242"/>
      <c r="J1025" s="243"/>
      <c r="L1025" s="168"/>
      <c r="M1025" s="244"/>
      <c r="N1025" s="245"/>
      <c r="O1025" s="143"/>
      <c r="Q1025" s="54"/>
      <c r="R1025" s="160"/>
    </row>
    <row r="1026">
      <c r="A1026" s="168"/>
      <c r="B1026" s="168"/>
      <c r="C1026" s="168"/>
      <c r="E1026" s="25"/>
      <c r="F1026" s="242"/>
      <c r="G1026" s="242"/>
      <c r="H1026" s="25"/>
      <c r="I1026" s="242"/>
      <c r="J1026" s="243"/>
      <c r="L1026" s="168"/>
      <c r="M1026" s="244"/>
      <c r="N1026" s="245"/>
      <c r="O1026" s="143"/>
      <c r="Q1026" s="54"/>
      <c r="R1026" s="160"/>
    </row>
    <row r="1027">
      <c r="A1027" s="168"/>
      <c r="B1027" s="168"/>
      <c r="C1027" s="168"/>
      <c r="E1027" s="25"/>
      <c r="F1027" s="242"/>
      <c r="G1027" s="242"/>
      <c r="H1027" s="25"/>
      <c r="I1027" s="242"/>
      <c r="J1027" s="243"/>
      <c r="L1027" s="168"/>
      <c r="M1027" s="244"/>
      <c r="N1027" s="245"/>
      <c r="O1027" s="143"/>
      <c r="Q1027" s="54"/>
      <c r="R1027" s="160"/>
    </row>
    <row r="1028">
      <c r="A1028" s="168"/>
      <c r="B1028" s="168"/>
      <c r="C1028" s="168"/>
      <c r="E1028" s="25"/>
      <c r="F1028" s="242"/>
      <c r="G1028" s="242"/>
      <c r="H1028" s="25"/>
      <c r="I1028" s="242"/>
      <c r="J1028" s="243"/>
      <c r="L1028" s="168"/>
      <c r="M1028" s="244"/>
      <c r="N1028" s="245"/>
      <c r="O1028" s="143"/>
      <c r="Q1028" s="54"/>
      <c r="R1028" s="160"/>
    </row>
    <row r="1029">
      <c r="A1029" s="168"/>
      <c r="B1029" s="168"/>
      <c r="C1029" s="168"/>
      <c r="E1029" s="25"/>
      <c r="F1029" s="242"/>
      <c r="G1029" s="242"/>
      <c r="H1029" s="25"/>
      <c r="I1029" s="242"/>
      <c r="J1029" s="243"/>
      <c r="L1029" s="168"/>
      <c r="M1029" s="244"/>
      <c r="N1029" s="245"/>
      <c r="O1029" s="143"/>
      <c r="Q1029" s="54"/>
      <c r="R1029" s="160"/>
    </row>
    <row r="1030">
      <c r="A1030" s="168"/>
      <c r="B1030" s="168"/>
      <c r="C1030" s="168"/>
      <c r="E1030" s="25"/>
      <c r="F1030" s="242"/>
      <c r="G1030" s="242"/>
      <c r="H1030" s="25"/>
      <c r="I1030" s="242"/>
      <c r="J1030" s="243"/>
      <c r="L1030" s="168"/>
      <c r="M1030" s="244"/>
      <c r="N1030" s="245"/>
      <c r="O1030" s="143"/>
      <c r="Q1030" s="54"/>
      <c r="R1030" s="160"/>
    </row>
    <row r="1031">
      <c r="A1031" s="168"/>
      <c r="B1031" s="168"/>
      <c r="C1031" s="168"/>
      <c r="E1031" s="25"/>
      <c r="F1031" s="242"/>
      <c r="G1031" s="242"/>
      <c r="H1031" s="25"/>
      <c r="I1031" s="242"/>
      <c r="J1031" s="243"/>
      <c r="L1031" s="168"/>
      <c r="M1031" s="244"/>
      <c r="N1031" s="245"/>
      <c r="O1031" s="143"/>
      <c r="Q1031" s="54"/>
      <c r="R1031" s="160"/>
    </row>
    <row r="1032">
      <c r="A1032" s="168"/>
      <c r="B1032" s="168"/>
      <c r="C1032" s="168"/>
      <c r="E1032" s="25"/>
      <c r="F1032" s="242"/>
      <c r="G1032" s="242"/>
      <c r="H1032" s="25"/>
      <c r="I1032" s="242"/>
      <c r="J1032" s="243"/>
      <c r="L1032" s="168"/>
      <c r="M1032" s="244"/>
      <c r="N1032" s="245"/>
      <c r="O1032" s="143"/>
      <c r="Q1032" s="54"/>
      <c r="R1032" s="160"/>
    </row>
    <row r="1033">
      <c r="A1033" s="168"/>
      <c r="B1033" s="168"/>
      <c r="C1033" s="168"/>
      <c r="E1033" s="25"/>
      <c r="F1033" s="242"/>
      <c r="G1033" s="242"/>
      <c r="H1033" s="25"/>
      <c r="I1033" s="242"/>
      <c r="J1033" s="243"/>
      <c r="L1033" s="168"/>
      <c r="M1033" s="244"/>
      <c r="N1033" s="245"/>
      <c r="O1033" s="143"/>
      <c r="Q1033" s="54"/>
      <c r="R1033" s="160"/>
    </row>
    <row r="1034">
      <c r="A1034" s="168"/>
      <c r="B1034" s="168"/>
      <c r="C1034" s="168"/>
      <c r="E1034" s="25"/>
      <c r="F1034" s="242"/>
      <c r="G1034" s="242"/>
      <c r="H1034" s="25"/>
      <c r="I1034" s="242"/>
      <c r="J1034" s="243"/>
      <c r="L1034" s="168"/>
      <c r="M1034" s="244"/>
      <c r="N1034" s="245"/>
      <c r="O1034" s="143"/>
      <c r="Q1034" s="54"/>
      <c r="R1034" s="160"/>
    </row>
    <row r="1035">
      <c r="A1035" s="168"/>
      <c r="B1035" s="168"/>
      <c r="C1035" s="168"/>
      <c r="E1035" s="25"/>
      <c r="F1035" s="242"/>
      <c r="G1035" s="242"/>
      <c r="H1035" s="25"/>
      <c r="I1035" s="242"/>
      <c r="J1035" s="243"/>
      <c r="L1035" s="168"/>
      <c r="M1035" s="244"/>
      <c r="N1035" s="245"/>
      <c r="O1035" s="143"/>
      <c r="Q1035" s="54"/>
      <c r="R1035" s="160"/>
    </row>
    <row r="1036">
      <c r="A1036" s="168"/>
      <c r="B1036" s="168"/>
      <c r="C1036" s="168"/>
      <c r="E1036" s="25"/>
      <c r="F1036" s="242"/>
      <c r="G1036" s="242"/>
      <c r="H1036" s="25"/>
      <c r="I1036" s="242"/>
      <c r="J1036" s="243"/>
      <c r="L1036" s="168"/>
      <c r="M1036" s="244"/>
      <c r="N1036" s="245"/>
      <c r="O1036" s="143"/>
      <c r="Q1036" s="54"/>
      <c r="R1036" s="160"/>
    </row>
    <row r="1037">
      <c r="A1037" s="168"/>
      <c r="B1037" s="168"/>
      <c r="C1037" s="168"/>
      <c r="E1037" s="25"/>
      <c r="F1037" s="242"/>
      <c r="G1037" s="242"/>
      <c r="H1037" s="25"/>
      <c r="I1037" s="242"/>
      <c r="J1037" s="243"/>
      <c r="L1037" s="168"/>
      <c r="M1037" s="244"/>
      <c r="N1037" s="245"/>
      <c r="O1037" s="143"/>
      <c r="Q1037" s="54"/>
      <c r="R1037" s="160"/>
    </row>
    <row r="1038">
      <c r="A1038" s="168"/>
      <c r="B1038" s="168"/>
      <c r="C1038" s="168"/>
      <c r="E1038" s="25"/>
      <c r="F1038" s="242"/>
      <c r="G1038" s="242"/>
      <c r="H1038" s="25"/>
      <c r="I1038" s="242"/>
      <c r="J1038" s="243"/>
      <c r="L1038" s="168"/>
      <c r="M1038" s="244"/>
      <c r="N1038" s="245"/>
      <c r="O1038" s="143"/>
      <c r="Q1038" s="54"/>
      <c r="R1038" s="160"/>
    </row>
    <row r="1039">
      <c r="A1039" s="168"/>
      <c r="B1039" s="168"/>
      <c r="C1039" s="168"/>
      <c r="E1039" s="25"/>
      <c r="F1039" s="242"/>
      <c r="G1039" s="242"/>
      <c r="H1039" s="25"/>
      <c r="I1039" s="242"/>
      <c r="J1039" s="243"/>
      <c r="L1039" s="168"/>
      <c r="M1039" s="244"/>
      <c r="N1039" s="245"/>
      <c r="O1039" s="143"/>
      <c r="Q1039" s="54"/>
      <c r="R1039" s="160"/>
    </row>
    <row r="1040">
      <c r="A1040" s="168"/>
      <c r="B1040" s="168"/>
      <c r="C1040" s="168"/>
      <c r="E1040" s="25"/>
      <c r="F1040" s="242"/>
      <c r="G1040" s="242"/>
      <c r="H1040" s="25"/>
      <c r="I1040" s="242"/>
      <c r="J1040" s="243"/>
      <c r="L1040" s="168"/>
      <c r="M1040" s="244"/>
      <c r="N1040" s="245"/>
      <c r="O1040" s="143"/>
      <c r="Q1040" s="54"/>
      <c r="R1040" s="160"/>
    </row>
    <row r="1041">
      <c r="A1041" s="168"/>
      <c r="B1041" s="168"/>
      <c r="C1041" s="168"/>
      <c r="E1041" s="25"/>
      <c r="F1041" s="242"/>
      <c r="G1041" s="242"/>
      <c r="H1041" s="25"/>
      <c r="I1041" s="242"/>
      <c r="J1041" s="243"/>
      <c r="L1041" s="168"/>
      <c r="M1041" s="244"/>
      <c r="N1041" s="245"/>
      <c r="O1041" s="143"/>
      <c r="Q1041" s="54"/>
      <c r="R1041" s="160"/>
    </row>
    <row r="1042">
      <c r="A1042" s="168"/>
      <c r="B1042" s="168"/>
      <c r="C1042" s="168"/>
      <c r="E1042" s="25"/>
      <c r="F1042" s="242"/>
      <c r="G1042" s="242"/>
      <c r="H1042" s="25"/>
      <c r="I1042" s="242"/>
      <c r="J1042" s="243"/>
      <c r="L1042" s="168"/>
      <c r="M1042" s="244"/>
      <c r="N1042" s="245"/>
      <c r="O1042" s="143"/>
      <c r="Q1042" s="54"/>
      <c r="R1042" s="160"/>
    </row>
    <row r="1043">
      <c r="A1043" s="168"/>
      <c r="B1043" s="168"/>
      <c r="C1043" s="168"/>
      <c r="E1043" s="25"/>
      <c r="F1043" s="242"/>
      <c r="G1043" s="242"/>
      <c r="H1043" s="25"/>
      <c r="I1043" s="242"/>
      <c r="J1043" s="243"/>
      <c r="L1043" s="168"/>
      <c r="M1043" s="244"/>
      <c r="N1043" s="245"/>
      <c r="O1043" s="143"/>
      <c r="Q1043" s="54"/>
      <c r="R1043" s="160"/>
    </row>
    <row r="1044">
      <c r="A1044" s="168"/>
      <c r="B1044" s="168"/>
      <c r="C1044" s="168"/>
      <c r="E1044" s="25"/>
      <c r="F1044" s="242"/>
      <c r="G1044" s="242"/>
      <c r="H1044" s="25"/>
      <c r="I1044" s="242"/>
      <c r="J1044" s="243"/>
      <c r="L1044" s="168"/>
      <c r="M1044" s="244"/>
      <c r="N1044" s="245"/>
      <c r="O1044" s="143"/>
      <c r="Q1044" s="54"/>
      <c r="R1044" s="160"/>
    </row>
    <row r="1045">
      <c r="A1045" s="168"/>
      <c r="B1045" s="168"/>
      <c r="C1045" s="168"/>
      <c r="E1045" s="25"/>
      <c r="F1045" s="242"/>
      <c r="G1045" s="242"/>
      <c r="H1045" s="25"/>
      <c r="I1045" s="242"/>
      <c r="J1045" s="243"/>
      <c r="L1045" s="168"/>
      <c r="M1045" s="244"/>
      <c r="N1045" s="245"/>
      <c r="O1045" s="143"/>
      <c r="Q1045" s="54"/>
      <c r="R1045" s="160"/>
    </row>
    <row r="1046">
      <c r="A1046" s="168"/>
      <c r="B1046" s="168"/>
      <c r="C1046" s="168"/>
      <c r="E1046" s="25"/>
      <c r="F1046" s="242"/>
      <c r="G1046" s="242"/>
      <c r="H1046" s="25"/>
      <c r="I1046" s="242"/>
      <c r="J1046" s="243"/>
      <c r="L1046" s="168"/>
      <c r="M1046" s="244"/>
      <c r="N1046" s="245"/>
      <c r="O1046" s="143"/>
      <c r="Q1046" s="54"/>
      <c r="R1046" s="160"/>
    </row>
    <row r="1047">
      <c r="A1047" s="168"/>
      <c r="B1047" s="168"/>
      <c r="C1047" s="168"/>
      <c r="E1047" s="25"/>
      <c r="F1047" s="242"/>
      <c r="G1047" s="242"/>
      <c r="H1047" s="25"/>
      <c r="I1047" s="242"/>
      <c r="J1047" s="243"/>
      <c r="L1047" s="168"/>
      <c r="M1047" s="244"/>
      <c r="N1047" s="245"/>
      <c r="O1047" s="143"/>
      <c r="Q1047" s="54"/>
      <c r="R1047" s="160"/>
    </row>
    <row r="1048">
      <c r="A1048" s="168"/>
      <c r="B1048" s="168"/>
      <c r="C1048" s="168"/>
      <c r="E1048" s="25"/>
      <c r="F1048" s="242"/>
      <c r="G1048" s="242"/>
      <c r="H1048" s="25"/>
      <c r="I1048" s="242"/>
      <c r="J1048" s="243"/>
      <c r="L1048" s="168"/>
      <c r="M1048" s="244"/>
      <c r="N1048" s="245"/>
      <c r="O1048" s="143"/>
      <c r="Q1048" s="54"/>
      <c r="R1048" s="160"/>
    </row>
    <row r="1049">
      <c r="A1049" s="168"/>
      <c r="B1049" s="168"/>
      <c r="C1049" s="168"/>
      <c r="E1049" s="25"/>
      <c r="F1049" s="242"/>
      <c r="G1049" s="242"/>
      <c r="H1049" s="25"/>
      <c r="I1049" s="242"/>
      <c r="J1049" s="243"/>
      <c r="L1049" s="168"/>
      <c r="M1049" s="244"/>
      <c r="N1049" s="245"/>
      <c r="O1049" s="143"/>
      <c r="Q1049" s="54"/>
      <c r="R1049" s="160"/>
    </row>
    <row r="1050">
      <c r="A1050" s="168"/>
      <c r="B1050" s="168"/>
      <c r="C1050" s="168"/>
      <c r="E1050" s="25"/>
      <c r="F1050" s="242"/>
      <c r="G1050" s="242"/>
      <c r="H1050" s="25"/>
      <c r="I1050" s="242"/>
      <c r="J1050" s="243"/>
      <c r="L1050" s="168"/>
      <c r="M1050" s="244"/>
      <c r="N1050" s="245"/>
      <c r="O1050" s="143"/>
      <c r="Q1050" s="54"/>
      <c r="R1050" s="160"/>
    </row>
    <row r="1051">
      <c r="A1051" s="168"/>
      <c r="B1051" s="168"/>
      <c r="C1051" s="168"/>
      <c r="E1051" s="25"/>
      <c r="F1051" s="242"/>
      <c r="G1051" s="242"/>
      <c r="H1051" s="25"/>
      <c r="I1051" s="242"/>
      <c r="J1051" s="243"/>
      <c r="L1051" s="168"/>
      <c r="M1051" s="244"/>
      <c r="N1051" s="245"/>
      <c r="O1051" s="143"/>
      <c r="Q1051" s="54"/>
      <c r="R1051" s="160"/>
    </row>
    <row r="1052">
      <c r="A1052" s="168"/>
      <c r="B1052" s="168"/>
      <c r="C1052" s="168"/>
      <c r="E1052" s="25"/>
      <c r="F1052" s="242"/>
      <c r="G1052" s="242"/>
      <c r="H1052" s="25"/>
      <c r="I1052" s="242"/>
      <c r="J1052" s="243"/>
      <c r="L1052" s="168"/>
      <c r="M1052" s="244"/>
      <c r="N1052" s="245"/>
      <c r="O1052" s="143"/>
      <c r="Q1052" s="54"/>
      <c r="R1052" s="160"/>
    </row>
    <row r="1053">
      <c r="A1053" s="168"/>
      <c r="B1053" s="168"/>
      <c r="C1053" s="168"/>
      <c r="E1053" s="25"/>
      <c r="F1053" s="242"/>
      <c r="G1053" s="242"/>
      <c r="H1053" s="25"/>
      <c r="I1053" s="242"/>
      <c r="J1053" s="243"/>
      <c r="L1053" s="168"/>
      <c r="M1053" s="244"/>
      <c r="N1053" s="245"/>
      <c r="O1053" s="143"/>
      <c r="Q1053" s="54"/>
      <c r="R1053" s="160"/>
    </row>
    <row r="1054">
      <c r="A1054" s="168"/>
      <c r="B1054" s="168"/>
      <c r="C1054" s="168"/>
      <c r="E1054" s="25"/>
      <c r="F1054" s="242"/>
      <c r="G1054" s="242"/>
      <c r="H1054" s="25"/>
      <c r="I1054" s="242"/>
      <c r="J1054" s="243"/>
      <c r="L1054" s="168"/>
      <c r="M1054" s="244"/>
      <c r="N1054" s="245"/>
      <c r="O1054" s="143"/>
      <c r="Q1054" s="54"/>
      <c r="R1054" s="160"/>
    </row>
    <row r="1055">
      <c r="A1055" s="168"/>
      <c r="B1055" s="168"/>
      <c r="C1055" s="168"/>
      <c r="E1055" s="25"/>
      <c r="F1055" s="242"/>
      <c r="G1055" s="242"/>
      <c r="H1055" s="25"/>
      <c r="I1055" s="242"/>
      <c r="J1055" s="243"/>
      <c r="L1055" s="168"/>
      <c r="M1055" s="244"/>
      <c r="N1055" s="245"/>
      <c r="O1055" s="143"/>
      <c r="Q1055" s="54"/>
      <c r="R1055" s="160"/>
    </row>
    <row r="1056">
      <c r="A1056" s="168"/>
      <c r="B1056" s="168"/>
      <c r="C1056" s="168"/>
      <c r="E1056" s="25"/>
      <c r="F1056" s="242"/>
      <c r="G1056" s="242"/>
      <c r="H1056" s="25"/>
      <c r="I1056" s="242"/>
      <c r="J1056" s="243"/>
      <c r="L1056" s="168"/>
      <c r="M1056" s="244"/>
      <c r="N1056" s="245"/>
      <c r="O1056" s="143"/>
      <c r="Q1056" s="54"/>
      <c r="R1056" s="160"/>
    </row>
    <row r="1057">
      <c r="A1057" s="168"/>
      <c r="B1057" s="168"/>
      <c r="C1057" s="168"/>
      <c r="E1057" s="25"/>
      <c r="F1057" s="242"/>
      <c r="G1057" s="242"/>
      <c r="H1057" s="25"/>
      <c r="I1057" s="242"/>
      <c r="J1057" s="243"/>
      <c r="L1057" s="168"/>
      <c r="M1057" s="244"/>
      <c r="N1057" s="245"/>
      <c r="O1057" s="143"/>
      <c r="Q1057" s="54"/>
      <c r="R1057" s="160"/>
    </row>
    <row r="1058">
      <c r="A1058" s="168"/>
      <c r="B1058" s="168"/>
      <c r="C1058" s="168"/>
      <c r="E1058" s="25"/>
      <c r="F1058" s="242"/>
      <c r="G1058" s="242"/>
      <c r="H1058" s="25"/>
      <c r="I1058" s="242"/>
      <c r="J1058" s="243"/>
      <c r="L1058" s="168"/>
      <c r="M1058" s="244"/>
      <c r="N1058" s="245"/>
      <c r="O1058" s="143"/>
      <c r="Q1058" s="54"/>
      <c r="R1058" s="160"/>
    </row>
    <row r="1059">
      <c r="A1059" s="168"/>
      <c r="B1059" s="168"/>
      <c r="C1059" s="168"/>
      <c r="E1059" s="25"/>
      <c r="F1059" s="242"/>
      <c r="G1059" s="242"/>
      <c r="H1059" s="25"/>
      <c r="I1059" s="242"/>
      <c r="J1059" s="243"/>
      <c r="L1059" s="168"/>
      <c r="M1059" s="244"/>
      <c r="N1059" s="245"/>
      <c r="O1059" s="143"/>
      <c r="Q1059" s="54"/>
      <c r="R1059" s="160"/>
    </row>
    <row r="1060">
      <c r="A1060" s="168"/>
      <c r="B1060" s="168"/>
      <c r="C1060" s="168"/>
      <c r="E1060" s="25"/>
      <c r="F1060" s="242"/>
      <c r="G1060" s="242"/>
      <c r="H1060" s="25"/>
      <c r="I1060" s="242"/>
      <c r="J1060" s="243"/>
      <c r="L1060" s="168"/>
      <c r="M1060" s="244"/>
      <c r="N1060" s="245"/>
      <c r="O1060" s="143"/>
      <c r="Q1060" s="54"/>
      <c r="R1060" s="160"/>
    </row>
    <row r="1061">
      <c r="A1061" s="168"/>
      <c r="B1061" s="168"/>
      <c r="C1061" s="168"/>
      <c r="E1061" s="25"/>
      <c r="F1061" s="242"/>
      <c r="G1061" s="242"/>
      <c r="H1061" s="25"/>
      <c r="I1061" s="242"/>
      <c r="J1061" s="243"/>
      <c r="L1061" s="168"/>
      <c r="M1061" s="244"/>
      <c r="N1061" s="245"/>
      <c r="O1061" s="143"/>
      <c r="Q1061" s="54"/>
      <c r="R1061" s="160"/>
    </row>
    <row r="1062">
      <c r="A1062" s="168"/>
      <c r="B1062" s="168"/>
      <c r="C1062" s="168"/>
      <c r="E1062" s="25"/>
      <c r="F1062" s="242"/>
      <c r="G1062" s="242"/>
      <c r="H1062" s="25"/>
      <c r="I1062" s="242"/>
      <c r="J1062" s="243"/>
      <c r="L1062" s="168"/>
      <c r="M1062" s="244"/>
      <c r="N1062" s="245"/>
      <c r="O1062" s="143"/>
      <c r="Q1062" s="54"/>
      <c r="R1062" s="160"/>
    </row>
    <row r="1063">
      <c r="A1063" s="168"/>
      <c r="B1063" s="168"/>
      <c r="C1063" s="168"/>
      <c r="E1063" s="25"/>
      <c r="F1063" s="242"/>
      <c r="G1063" s="242"/>
      <c r="H1063" s="25"/>
      <c r="I1063" s="242"/>
      <c r="J1063" s="243"/>
      <c r="L1063" s="168"/>
      <c r="M1063" s="244"/>
      <c r="N1063" s="245"/>
      <c r="O1063" s="143"/>
      <c r="Q1063" s="54"/>
      <c r="R1063" s="160"/>
    </row>
    <row r="1064">
      <c r="A1064" s="168"/>
      <c r="B1064" s="168"/>
      <c r="C1064" s="168"/>
      <c r="E1064" s="25"/>
      <c r="F1064" s="242"/>
      <c r="G1064" s="242"/>
      <c r="H1064" s="25"/>
      <c r="I1064" s="242"/>
      <c r="J1064" s="243"/>
      <c r="L1064" s="168"/>
      <c r="M1064" s="244"/>
      <c r="N1064" s="245"/>
      <c r="O1064" s="143"/>
      <c r="Q1064" s="54"/>
      <c r="R1064" s="160"/>
    </row>
    <row r="1065">
      <c r="A1065" s="168"/>
      <c r="B1065" s="168"/>
      <c r="C1065" s="168"/>
      <c r="E1065" s="25"/>
      <c r="F1065" s="242"/>
      <c r="G1065" s="242"/>
      <c r="H1065" s="25"/>
      <c r="I1065" s="242"/>
      <c r="J1065" s="243"/>
      <c r="L1065" s="168"/>
      <c r="M1065" s="244"/>
      <c r="N1065" s="245"/>
      <c r="O1065" s="143"/>
      <c r="Q1065" s="54"/>
      <c r="R1065" s="160"/>
    </row>
    <row r="1066">
      <c r="A1066" s="168"/>
      <c r="B1066" s="168"/>
      <c r="C1066" s="168"/>
      <c r="E1066" s="25"/>
      <c r="F1066" s="242"/>
      <c r="G1066" s="242"/>
      <c r="H1066" s="25"/>
      <c r="I1066" s="242"/>
      <c r="J1066" s="243"/>
      <c r="L1066" s="168"/>
      <c r="M1066" s="244"/>
      <c r="N1066" s="245"/>
      <c r="O1066" s="143"/>
      <c r="Q1066" s="54"/>
      <c r="R1066" s="160"/>
    </row>
    <row r="1067">
      <c r="A1067" s="168"/>
      <c r="B1067" s="168"/>
      <c r="C1067" s="168"/>
      <c r="E1067" s="25"/>
      <c r="F1067" s="242"/>
      <c r="G1067" s="242"/>
      <c r="H1067" s="25"/>
      <c r="I1067" s="242"/>
      <c r="J1067" s="243"/>
      <c r="L1067" s="168"/>
      <c r="M1067" s="244"/>
      <c r="N1067" s="245"/>
      <c r="O1067" s="143"/>
      <c r="Q1067" s="54"/>
      <c r="R1067" s="160"/>
    </row>
    <row r="1068">
      <c r="A1068" s="168"/>
      <c r="B1068" s="168"/>
      <c r="C1068" s="168"/>
      <c r="E1068" s="25"/>
      <c r="F1068" s="242"/>
      <c r="G1068" s="242"/>
      <c r="H1068" s="25"/>
      <c r="I1068" s="242"/>
      <c r="J1068" s="243"/>
      <c r="L1068" s="168"/>
      <c r="M1068" s="244"/>
      <c r="N1068" s="245"/>
      <c r="O1068" s="143"/>
      <c r="Q1068" s="54"/>
      <c r="R1068" s="160"/>
    </row>
    <row r="1069">
      <c r="A1069" s="168"/>
      <c r="B1069" s="168"/>
      <c r="C1069" s="168"/>
      <c r="E1069" s="25"/>
      <c r="F1069" s="242"/>
      <c r="G1069" s="242"/>
      <c r="H1069" s="25"/>
      <c r="I1069" s="242"/>
      <c r="J1069" s="243"/>
      <c r="L1069" s="168"/>
      <c r="M1069" s="244"/>
      <c r="N1069" s="245"/>
      <c r="O1069" s="143"/>
      <c r="Q1069" s="54"/>
      <c r="R1069" s="160"/>
    </row>
    <row r="1070">
      <c r="A1070" s="168"/>
      <c r="B1070" s="168"/>
      <c r="C1070" s="168"/>
      <c r="E1070" s="25"/>
      <c r="F1070" s="242"/>
      <c r="G1070" s="242"/>
      <c r="H1070" s="25"/>
      <c r="I1070" s="242"/>
      <c r="J1070" s="243"/>
      <c r="L1070" s="168"/>
      <c r="M1070" s="244"/>
      <c r="N1070" s="245"/>
      <c r="O1070" s="143"/>
      <c r="Q1070" s="54"/>
      <c r="R1070" s="160"/>
    </row>
    <row r="1071">
      <c r="A1071" s="168"/>
      <c r="B1071" s="168"/>
      <c r="C1071" s="168"/>
      <c r="E1071" s="25"/>
      <c r="F1071" s="242"/>
      <c r="G1071" s="242"/>
      <c r="H1071" s="25"/>
      <c r="I1071" s="242"/>
      <c r="J1071" s="243"/>
      <c r="L1071" s="168"/>
      <c r="M1071" s="244"/>
      <c r="N1071" s="245"/>
      <c r="O1071" s="143"/>
      <c r="Q1071" s="54"/>
      <c r="R1071" s="160"/>
    </row>
    <row r="1072">
      <c r="A1072" s="168"/>
      <c r="B1072" s="168"/>
      <c r="C1072" s="168"/>
      <c r="E1072" s="25"/>
      <c r="F1072" s="242"/>
      <c r="G1072" s="242"/>
      <c r="H1072" s="25"/>
      <c r="I1072" s="242"/>
      <c r="J1072" s="243"/>
      <c r="L1072" s="168"/>
      <c r="M1072" s="244"/>
      <c r="N1072" s="245"/>
      <c r="O1072" s="143"/>
      <c r="Q1072" s="54"/>
      <c r="R1072" s="160"/>
    </row>
    <row r="1073">
      <c r="A1073" s="168"/>
      <c r="B1073" s="168"/>
      <c r="C1073" s="168"/>
      <c r="E1073" s="25"/>
      <c r="F1073" s="242"/>
      <c r="G1073" s="242"/>
      <c r="H1073" s="25"/>
      <c r="I1073" s="242"/>
      <c r="J1073" s="243"/>
      <c r="L1073" s="168"/>
      <c r="M1073" s="244"/>
      <c r="N1073" s="245"/>
      <c r="O1073" s="143"/>
      <c r="Q1073" s="54"/>
      <c r="R1073" s="160"/>
    </row>
    <row r="1074">
      <c r="A1074" s="168"/>
      <c r="B1074" s="168"/>
      <c r="C1074" s="168"/>
      <c r="E1074" s="25"/>
      <c r="F1074" s="242"/>
      <c r="G1074" s="242"/>
      <c r="H1074" s="25"/>
      <c r="I1074" s="242"/>
      <c r="J1074" s="243"/>
      <c r="L1074" s="168"/>
      <c r="M1074" s="244"/>
      <c r="N1074" s="245"/>
      <c r="O1074" s="143"/>
      <c r="Q1074" s="54"/>
      <c r="R1074" s="160"/>
    </row>
    <row r="1075">
      <c r="A1075" s="168"/>
      <c r="B1075" s="168"/>
      <c r="C1075" s="168"/>
      <c r="E1075" s="25"/>
      <c r="F1075" s="242"/>
      <c r="G1075" s="242"/>
      <c r="H1075" s="25"/>
      <c r="I1075" s="242"/>
      <c r="J1075" s="243"/>
      <c r="L1075" s="168"/>
      <c r="M1075" s="244"/>
      <c r="N1075" s="245"/>
      <c r="O1075" s="143"/>
      <c r="Q1075" s="54"/>
      <c r="R1075" s="160"/>
    </row>
    <row r="1076">
      <c r="A1076" s="168"/>
      <c r="B1076" s="168"/>
      <c r="C1076" s="168"/>
      <c r="E1076" s="25"/>
      <c r="F1076" s="242"/>
      <c r="G1076" s="242"/>
      <c r="H1076" s="25"/>
      <c r="I1076" s="242"/>
      <c r="J1076" s="243"/>
      <c r="L1076" s="168"/>
      <c r="M1076" s="244"/>
      <c r="N1076" s="245"/>
      <c r="O1076" s="143"/>
      <c r="Q1076" s="54"/>
      <c r="R1076" s="160"/>
    </row>
    <row r="1077">
      <c r="A1077" s="168"/>
      <c r="B1077" s="168"/>
      <c r="C1077" s="168"/>
      <c r="E1077" s="25"/>
      <c r="F1077" s="242"/>
      <c r="G1077" s="242"/>
      <c r="H1077" s="25"/>
      <c r="I1077" s="242"/>
      <c r="J1077" s="243"/>
      <c r="L1077" s="168"/>
      <c r="M1077" s="244"/>
      <c r="N1077" s="245"/>
      <c r="O1077" s="143"/>
      <c r="Q1077" s="54"/>
      <c r="R1077" s="160"/>
    </row>
    <row r="1078">
      <c r="A1078" s="168"/>
      <c r="B1078" s="168"/>
      <c r="C1078" s="168"/>
      <c r="E1078" s="25"/>
      <c r="F1078" s="242"/>
      <c r="G1078" s="242"/>
      <c r="H1078" s="25"/>
      <c r="I1078" s="242"/>
      <c r="J1078" s="243"/>
      <c r="L1078" s="168"/>
      <c r="M1078" s="244"/>
      <c r="N1078" s="245"/>
      <c r="O1078" s="143"/>
      <c r="Q1078" s="54"/>
      <c r="R1078" s="160"/>
    </row>
    <row r="1079">
      <c r="A1079" s="168"/>
      <c r="B1079" s="168"/>
      <c r="C1079" s="168"/>
      <c r="E1079" s="25"/>
      <c r="F1079" s="242"/>
      <c r="G1079" s="242"/>
      <c r="H1079" s="25"/>
      <c r="I1079" s="242"/>
      <c r="J1079" s="243"/>
      <c r="L1079" s="168"/>
      <c r="M1079" s="244"/>
      <c r="N1079" s="245"/>
      <c r="O1079" s="143"/>
      <c r="Q1079" s="54"/>
      <c r="R1079" s="160"/>
    </row>
    <row r="1080">
      <c r="A1080" s="168"/>
      <c r="B1080" s="168"/>
      <c r="C1080" s="168"/>
      <c r="E1080" s="25"/>
      <c r="F1080" s="242"/>
      <c r="G1080" s="242"/>
      <c r="H1080" s="25"/>
      <c r="I1080" s="242"/>
      <c r="J1080" s="243"/>
      <c r="L1080" s="168"/>
      <c r="M1080" s="244"/>
      <c r="N1080" s="245"/>
      <c r="O1080" s="143"/>
      <c r="Q1080" s="54"/>
      <c r="R1080" s="160"/>
    </row>
    <row r="1081">
      <c r="A1081" s="168"/>
      <c r="B1081" s="168"/>
      <c r="C1081" s="168"/>
      <c r="E1081" s="25"/>
      <c r="F1081" s="242"/>
      <c r="G1081" s="242"/>
      <c r="H1081" s="25"/>
      <c r="I1081" s="242"/>
      <c r="J1081" s="243"/>
      <c r="L1081" s="168"/>
      <c r="M1081" s="244"/>
      <c r="N1081" s="245"/>
      <c r="O1081" s="143"/>
      <c r="Q1081" s="54"/>
      <c r="R1081" s="160"/>
    </row>
    <row r="1082">
      <c r="A1082" s="168"/>
      <c r="B1082" s="168"/>
      <c r="C1082" s="168"/>
      <c r="E1082" s="25"/>
      <c r="F1082" s="242"/>
      <c r="G1082" s="242"/>
      <c r="H1082" s="25"/>
      <c r="I1082" s="242"/>
      <c r="J1082" s="243"/>
      <c r="L1082" s="168"/>
      <c r="M1082" s="244"/>
      <c r="N1082" s="245"/>
      <c r="O1082" s="143"/>
      <c r="Q1082" s="54"/>
      <c r="R1082" s="160"/>
    </row>
    <row r="1083">
      <c r="A1083" s="168"/>
      <c r="B1083" s="168"/>
      <c r="C1083" s="168"/>
      <c r="E1083" s="25"/>
      <c r="F1083" s="242"/>
      <c r="G1083" s="242"/>
      <c r="H1083" s="25"/>
      <c r="I1083" s="242"/>
      <c r="J1083" s="243"/>
      <c r="L1083" s="168"/>
      <c r="M1083" s="244"/>
      <c r="N1083" s="245"/>
      <c r="O1083" s="143"/>
      <c r="Q1083" s="54"/>
      <c r="R1083" s="160"/>
    </row>
    <row r="1084">
      <c r="A1084" s="168"/>
      <c r="B1084" s="168"/>
      <c r="C1084" s="168"/>
      <c r="E1084" s="25"/>
      <c r="F1084" s="242"/>
      <c r="G1084" s="242"/>
      <c r="H1084" s="25"/>
      <c r="I1084" s="242"/>
      <c r="J1084" s="243"/>
      <c r="L1084" s="168"/>
      <c r="M1084" s="244"/>
      <c r="N1084" s="245"/>
      <c r="O1084" s="143"/>
      <c r="Q1084" s="54"/>
      <c r="R1084" s="160"/>
    </row>
    <row r="1085">
      <c r="A1085" s="168"/>
      <c r="B1085" s="168"/>
      <c r="C1085" s="168"/>
      <c r="E1085" s="25"/>
      <c r="F1085" s="242"/>
      <c r="G1085" s="242"/>
      <c r="H1085" s="25"/>
      <c r="I1085" s="242"/>
      <c r="J1085" s="243"/>
      <c r="L1085" s="168"/>
      <c r="M1085" s="244"/>
      <c r="N1085" s="245"/>
      <c r="O1085" s="143"/>
      <c r="Q1085" s="54"/>
      <c r="R1085" s="160"/>
    </row>
    <row r="1086">
      <c r="A1086" s="168"/>
      <c r="B1086" s="168"/>
      <c r="C1086" s="168"/>
      <c r="E1086" s="25"/>
      <c r="F1086" s="242"/>
      <c r="G1086" s="242"/>
      <c r="H1086" s="25"/>
      <c r="I1086" s="242"/>
      <c r="J1086" s="243"/>
      <c r="L1086" s="168"/>
      <c r="M1086" s="244"/>
      <c r="N1086" s="245"/>
      <c r="O1086" s="143"/>
      <c r="Q1086" s="54"/>
      <c r="R1086" s="160"/>
    </row>
    <row r="1087">
      <c r="A1087" s="168"/>
      <c r="B1087" s="168"/>
      <c r="C1087" s="168"/>
      <c r="E1087" s="25"/>
      <c r="F1087" s="242"/>
      <c r="G1087" s="242"/>
      <c r="H1087" s="25"/>
      <c r="I1087" s="242"/>
      <c r="J1087" s="243"/>
      <c r="L1087" s="168"/>
      <c r="M1087" s="244"/>
      <c r="N1087" s="245"/>
      <c r="O1087" s="143"/>
      <c r="Q1087" s="54"/>
      <c r="R1087" s="160"/>
    </row>
    <row r="1088">
      <c r="A1088" s="168"/>
      <c r="B1088" s="168"/>
      <c r="C1088" s="168"/>
      <c r="E1088" s="25"/>
      <c r="F1088" s="242"/>
      <c r="G1088" s="242"/>
      <c r="H1088" s="25"/>
      <c r="I1088" s="242"/>
      <c r="J1088" s="243"/>
      <c r="L1088" s="168"/>
      <c r="M1088" s="244"/>
      <c r="N1088" s="245"/>
      <c r="O1088" s="143"/>
      <c r="Q1088" s="54"/>
      <c r="R1088" s="160"/>
    </row>
    <row r="1089">
      <c r="A1089" s="168"/>
      <c r="B1089" s="168"/>
      <c r="C1089" s="168"/>
      <c r="E1089" s="25"/>
      <c r="F1089" s="242"/>
      <c r="G1089" s="242"/>
      <c r="H1089" s="25"/>
      <c r="I1089" s="242"/>
      <c r="J1089" s="243"/>
      <c r="L1089" s="168"/>
      <c r="M1089" s="244"/>
      <c r="N1089" s="245"/>
      <c r="O1089" s="143"/>
      <c r="Q1089" s="54"/>
      <c r="R1089" s="160"/>
    </row>
    <row r="1090">
      <c r="A1090" s="168"/>
      <c r="B1090" s="168"/>
      <c r="C1090" s="168"/>
      <c r="E1090" s="25"/>
      <c r="F1090" s="242"/>
      <c r="G1090" s="242"/>
      <c r="H1090" s="25"/>
      <c r="I1090" s="242"/>
      <c r="J1090" s="243"/>
      <c r="L1090" s="168"/>
      <c r="M1090" s="244"/>
      <c r="N1090" s="245"/>
      <c r="O1090" s="143"/>
      <c r="Q1090" s="54"/>
      <c r="R1090" s="160"/>
    </row>
    <row r="1091">
      <c r="A1091" s="168"/>
      <c r="B1091" s="168"/>
      <c r="C1091" s="168"/>
      <c r="E1091" s="25"/>
      <c r="F1091" s="242"/>
      <c r="G1091" s="242"/>
      <c r="H1091" s="25"/>
      <c r="I1091" s="242"/>
      <c r="J1091" s="243"/>
      <c r="L1091" s="168"/>
      <c r="M1091" s="244"/>
      <c r="N1091" s="245"/>
      <c r="O1091" s="143"/>
      <c r="Q1091" s="54"/>
      <c r="R1091" s="160"/>
    </row>
    <row r="1092">
      <c r="A1092" s="168"/>
      <c r="B1092" s="168"/>
      <c r="C1092" s="168"/>
      <c r="E1092" s="25"/>
      <c r="F1092" s="242"/>
      <c r="G1092" s="242"/>
      <c r="H1092" s="25"/>
      <c r="I1092" s="242"/>
      <c r="J1092" s="243"/>
      <c r="L1092" s="168"/>
      <c r="M1092" s="244"/>
      <c r="N1092" s="245"/>
      <c r="O1092" s="143"/>
      <c r="Q1092" s="54"/>
      <c r="R1092" s="160"/>
    </row>
    <row r="1093">
      <c r="A1093" s="168"/>
      <c r="B1093" s="168"/>
      <c r="C1093" s="168"/>
      <c r="E1093" s="25"/>
      <c r="F1093" s="242"/>
      <c r="G1093" s="242"/>
      <c r="H1093" s="25"/>
      <c r="I1093" s="242"/>
      <c r="J1093" s="243"/>
      <c r="L1093" s="168"/>
      <c r="M1093" s="244"/>
      <c r="N1093" s="245"/>
      <c r="O1093" s="143"/>
      <c r="Q1093" s="54"/>
      <c r="R1093" s="160"/>
    </row>
    <row r="1094">
      <c r="A1094" s="168"/>
      <c r="B1094" s="168"/>
      <c r="C1094" s="168"/>
      <c r="E1094" s="25"/>
      <c r="F1094" s="242"/>
      <c r="G1094" s="242"/>
      <c r="H1094" s="25"/>
      <c r="I1094" s="242"/>
      <c r="J1094" s="243"/>
      <c r="L1094" s="168"/>
      <c r="M1094" s="244"/>
      <c r="N1094" s="245"/>
      <c r="O1094" s="143"/>
      <c r="Q1094" s="54"/>
      <c r="R1094" s="160"/>
    </row>
    <row r="1095">
      <c r="A1095" s="168"/>
      <c r="B1095" s="168"/>
      <c r="C1095" s="168"/>
      <c r="E1095" s="25"/>
      <c r="F1095" s="242"/>
      <c r="G1095" s="242"/>
      <c r="H1095" s="25"/>
      <c r="I1095" s="242"/>
      <c r="J1095" s="243"/>
      <c r="L1095" s="168"/>
      <c r="M1095" s="244"/>
      <c r="N1095" s="245"/>
      <c r="O1095" s="143"/>
      <c r="Q1095" s="54"/>
      <c r="R1095" s="160"/>
    </row>
    <row r="1096">
      <c r="A1096" s="168"/>
      <c r="B1096" s="168"/>
      <c r="C1096" s="168"/>
      <c r="E1096" s="25"/>
      <c r="F1096" s="242"/>
      <c r="G1096" s="242"/>
      <c r="H1096" s="25"/>
      <c r="I1096" s="242"/>
      <c r="J1096" s="243"/>
      <c r="L1096" s="168"/>
      <c r="M1096" s="244"/>
      <c r="N1096" s="245"/>
      <c r="O1096" s="143"/>
      <c r="Q1096" s="54"/>
      <c r="R1096" s="160"/>
    </row>
    <row r="1097">
      <c r="A1097" s="168"/>
      <c r="B1097" s="168"/>
      <c r="C1097" s="168"/>
      <c r="E1097" s="25"/>
      <c r="F1097" s="242"/>
      <c r="G1097" s="242"/>
      <c r="H1097" s="25"/>
      <c r="I1097" s="242"/>
      <c r="J1097" s="243"/>
      <c r="L1097" s="168"/>
      <c r="M1097" s="244"/>
      <c r="N1097" s="245"/>
      <c r="O1097" s="143"/>
      <c r="Q1097" s="54"/>
      <c r="R1097" s="160"/>
    </row>
    <row r="1098">
      <c r="A1098" s="168"/>
      <c r="B1098" s="168"/>
      <c r="C1098" s="168"/>
      <c r="E1098" s="25"/>
      <c r="F1098" s="242"/>
      <c r="G1098" s="242"/>
      <c r="H1098" s="25"/>
      <c r="I1098" s="242"/>
      <c r="J1098" s="243"/>
      <c r="L1098" s="168"/>
      <c r="M1098" s="244"/>
      <c r="N1098" s="245"/>
      <c r="O1098" s="143"/>
      <c r="Q1098" s="54"/>
      <c r="R1098" s="160"/>
    </row>
    <row r="1099">
      <c r="A1099" s="168"/>
      <c r="B1099" s="168"/>
      <c r="C1099" s="168"/>
      <c r="E1099" s="25"/>
      <c r="F1099" s="242"/>
      <c r="G1099" s="242"/>
      <c r="H1099" s="25"/>
      <c r="I1099" s="242"/>
      <c r="J1099" s="243"/>
      <c r="L1099" s="168"/>
      <c r="M1099" s="244"/>
      <c r="N1099" s="245"/>
      <c r="O1099" s="143"/>
      <c r="Q1099" s="54"/>
      <c r="R1099" s="160"/>
    </row>
    <row r="1100">
      <c r="A1100" s="168"/>
      <c r="B1100" s="168"/>
      <c r="C1100" s="168"/>
      <c r="E1100" s="25"/>
      <c r="F1100" s="242"/>
      <c r="G1100" s="242"/>
      <c r="H1100" s="25"/>
      <c r="I1100" s="242"/>
      <c r="J1100" s="243"/>
      <c r="L1100" s="168"/>
      <c r="M1100" s="244"/>
      <c r="N1100" s="245"/>
      <c r="O1100" s="143"/>
      <c r="Q1100" s="54"/>
      <c r="R1100" s="160"/>
    </row>
    <row r="1101">
      <c r="A1101" s="168"/>
      <c r="B1101" s="168"/>
      <c r="C1101" s="168"/>
      <c r="E1101" s="25"/>
      <c r="F1101" s="242"/>
      <c r="G1101" s="242"/>
      <c r="H1101" s="25"/>
      <c r="I1101" s="242"/>
      <c r="J1101" s="243"/>
      <c r="L1101" s="168"/>
      <c r="M1101" s="244"/>
      <c r="N1101" s="245"/>
      <c r="O1101" s="143"/>
      <c r="Q1101" s="54"/>
      <c r="R1101" s="160"/>
    </row>
    <row r="1102">
      <c r="A1102" s="168"/>
      <c r="B1102" s="168"/>
      <c r="C1102" s="168"/>
      <c r="E1102" s="25"/>
      <c r="F1102" s="242"/>
      <c r="G1102" s="242"/>
      <c r="H1102" s="25"/>
      <c r="I1102" s="242"/>
      <c r="J1102" s="243"/>
      <c r="L1102" s="168"/>
      <c r="M1102" s="244"/>
      <c r="N1102" s="245"/>
      <c r="O1102" s="143"/>
      <c r="Q1102" s="54"/>
      <c r="R1102" s="160"/>
    </row>
    <row r="1103">
      <c r="A1103" s="168"/>
      <c r="B1103" s="168"/>
      <c r="C1103" s="168"/>
      <c r="E1103" s="25"/>
      <c r="F1103" s="242"/>
      <c r="G1103" s="242"/>
      <c r="H1103" s="25"/>
      <c r="I1103" s="242"/>
      <c r="J1103" s="243"/>
      <c r="L1103" s="168"/>
      <c r="M1103" s="244"/>
      <c r="N1103" s="245"/>
      <c r="O1103" s="143"/>
      <c r="Q1103" s="54"/>
      <c r="R1103" s="160"/>
    </row>
    <row r="1104">
      <c r="A1104" s="168"/>
      <c r="B1104" s="168"/>
      <c r="C1104" s="168"/>
      <c r="E1104" s="25"/>
      <c r="F1104" s="242"/>
      <c r="G1104" s="242"/>
      <c r="H1104" s="25"/>
      <c r="I1104" s="242"/>
      <c r="J1104" s="243"/>
      <c r="L1104" s="168"/>
      <c r="M1104" s="244"/>
      <c r="N1104" s="245"/>
      <c r="O1104" s="143"/>
      <c r="Q1104" s="54"/>
      <c r="R1104" s="160"/>
    </row>
    <row r="1105">
      <c r="A1105" s="168"/>
      <c r="B1105" s="168"/>
      <c r="C1105" s="168"/>
      <c r="E1105" s="25"/>
      <c r="F1105" s="242"/>
      <c r="G1105" s="242"/>
      <c r="H1105" s="25"/>
      <c r="I1105" s="242"/>
      <c r="J1105" s="243"/>
      <c r="L1105" s="168"/>
      <c r="M1105" s="244"/>
      <c r="N1105" s="245"/>
      <c r="O1105" s="143"/>
      <c r="Q1105" s="54"/>
      <c r="R1105" s="160"/>
    </row>
    <row r="1106">
      <c r="A1106" s="168"/>
      <c r="B1106" s="168"/>
      <c r="C1106" s="168"/>
      <c r="E1106" s="25"/>
      <c r="F1106" s="242"/>
      <c r="G1106" s="242"/>
      <c r="H1106" s="25"/>
      <c r="I1106" s="242"/>
      <c r="J1106" s="243"/>
      <c r="L1106" s="168"/>
      <c r="M1106" s="244"/>
      <c r="N1106" s="245"/>
      <c r="O1106" s="143"/>
      <c r="Q1106" s="54"/>
      <c r="R1106" s="160"/>
    </row>
    <row r="1107">
      <c r="A1107" s="168"/>
      <c r="B1107" s="168"/>
      <c r="C1107" s="168"/>
      <c r="E1107" s="25"/>
      <c r="F1107" s="242"/>
      <c r="G1107" s="242"/>
      <c r="H1107" s="25"/>
      <c r="I1107" s="242"/>
      <c r="J1107" s="243"/>
      <c r="L1107" s="168"/>
      <c r="M1107" s="244"/>
      <c r="N1107" s="245"/>
      <c r="O1107" s="143"/>
      <c r="Q1107" s="54"/>
      <c r="R1107" s="160"/>
    </row>
    <row r="1108">
      <c r="A1108" s="168"/>
      <c r="B1108" s="168"/>
      <c r="C1108" s="168"/>
      <c r="E1108" s="25"/>
      <c r="F1108" s="242"/>
      <c r="G1108" s="242"/>
      <c r="H1108" s="25"/>
      <c r="I1108" s="242"/>
      <c r="J1108" s="243"/>
      <c r="L1108" s="168"/>
      <c r="M1108" s="244"/>
      <c r="N1108" s="245"/>
      <c r="O1108" s="143"/>
      <c r="Q1108" s="54"/>
      <c r="R1108" s="160"/>
    </row>
    <row r="1109">
      <c r="A1109" s="168"/>
      <c r="B1109" s="168"/>
      <c r="C1109" s="168"/>
      <c r="E1109" s="25"/>
      <c r="F1109" s="242"/>
      <c r="G1109" s="242"/>
      <c r="H1109" s="25"/>
      <c r="I1109" s="242"/>
      <c r="J1109" s="243"/>
      <c r="L1109" s="168"/>
      <c r="M1109" s="244"/>
      <c r="N1109" s="245"/>
      <c r="O1109" s="143"/>
      <c r="Q1109" s="54"/>
      <c r="R1109" s="160"/>
    </row>
    <row r="1110">
      <c r="A1110" s="168"/>
      <c r="B1110" s="168"/>
      <c r="C1110" s="168"/>
      <c r="E1110" s="25"/>
      <c r="F1110" s="242"/>
      <c r="G1110" s="242"/>
      <c r="H1110" s="25"/>
      <c r="I1110" s="242"/>
      <c r="J1110" s="243"/>
      <c r="L1110" s="168"/>
      <c r="M1110" s="244"/>
      <c r="N1110" s="245"/>
      <c r="O1110" s="143"/>
      <c r="Q1110" s="54"/>
      <c r="R1110" s="160"/>
    </row>
    <row r="1111">
      <c r="A1111" s="168"/>
      <c r="B1111" s="168"/>
      <c r="C1111" s="168"/>
      <c r="E1111" s="25"/>
      <c r="F1111" s="242"/>
      <c r="G1111" s="242"/>
      <c r="H1111" s="25"/>
      <c r="I1111" s="242"/>
      <c r="J1111" s="243"/>
      <c r="L1111" s="168"/>
      <c r="M1111" s="244"/>
      <c r="N1111" s="245"/>
      <c r="O1111" s="143"/>
      <c r="Q1111" s="54"/>
      <c r="R1111" s="160"/>
    </row>
    <row r="1112">
      <c r="A1112" s="168"/>
      <c r="B1112" s="168"/>
      <c r="C1112" s="168"/>
      <c r="E1112" s="25"/>
      <c r="F1112" s="242"/>
      <c r="G1112" s="242"/>
      <c r="H1112" s="25"/>
      <c r="I1112" s="242"/>
      <c r="J1112" s="243"/>
      <c r="L1112" s="168"/>
      <c r="M1112" s="244"/>
      <c r="N1112" s="245"/>
      <c r="O1112" s="143"/>
      <c r="Q1112" s="54"/>
      <c r="R1112" s="160"/>
    </row>
    <row r="1113">
      <c r="A1113" s="168"/>
      <c r="B1113" s="168"/>
      <c r="C1113" s="168"/>
      <c r="E1113" s="25"/>
      <c r="F1113" s="242"/>
      <c r="G1113" s="242"/>
      <c r="H1113" s="25"/>
      <c r="I1113" s="242"/>
      <c r="J1113" s="243"/>
      <c r="L1113" s="168"/>
      <c r="M1113" s="244"/>
      <c r="N1113" s="245"/>
      <c r="O1113" s="143"/>
      <c r="Q1113" s="54"/>
      <c r="R1113" s="160"/>
    </row>
    <row r="1114">
      <c r="A1114" s="168"/>
      <c r="B1114" s="168"/>
      <c r="C1114" s="168"/>
      <c r="E1114" s="25"/>
      <c r="F1114" s="242"/>
      <c r="G1114" s="242"/>
      <c r="H1114" s="25"/>
      <c r="I1114" s="242"/>
      <c r="J1114" s="243"/>
      <c r="L1114" s="168"/>
      <c r="M1114" s="244"/>
      <c r="N1114" s="245"/>
      <c r="O1114" s="143"/>
      <c r="Q1114" s="54"/>
      <c r="R1114" s="160"/>
    </row>
    <row r="1115">
      <c r="A1115" s="168"/>
      <c r="B1115" s="168"/>
      <c r="C1115" s="168"/>
      <c r="E1115" s="25"/>
      <c r="F1115" s="242"/>
      <c r="G1115" s="242"/>
      <c r="H1115" s="25"/>
      <c r="I1115" s="242"/>
      <c r="J1115" s="243"/>
      <c r="L1115" s="168"/>
      <c r="M1115" s="244"/>
      <c r="N1115" s="245"/>
      <c r="O1115" s="143"/>
      <c r="Q1115" s="54"/>
      <c r="R1115" s="160"/>
    </row>
    <row r="1116">
      <c r="A1116" s="168"/>
      <c r="B1116" s="168"/>
      <c r="C1116" s="168"/>
      <c r="E1116" s="25"/>
      <c r="F1116" s="242"/>
      <c r="G1116" s="242"/>
      <c r="H1116" s="25"/>
      <c r="I1116" s="242"/>
      <c r="J1116" s="243"/>
      <c r="L1116" s="168"/>
      <c r="M1116" s="244"/>
      <c r="N1116" s="245"/>
      <c r="O1116" s="143"/>
      <c r="Q1116" s="54"/>
      <c r="R1116" s="160"/>
    </row>
    <row r="1117">
      <c r="A1117" s="168"/>
      <c r="B1117" s="168"/>
      <c r="C1117" s="168"/>
      <c r="E1117" s="25"/>
      <c r="F1117" s="242"/>
      <c r="G1117" s="242"/>
      <c r="H1117" s="25"/>
      <c r="I1117" s="242"/>
      <c r="J1117" s="243"/>
      <c r="L1117" s="168"/>
      <c r="M1117" s="244"/>
      <c r="N1117" s="245"/>
      <c r="O1117" s="143"/>
      <c r="Q1117" s="54"/>
      <c r="R1117" s="160"/>
    </row>
    <row r="1118">
      <c r="A1118" s="168"/>
      <c r="B1118" s="168"/>
      <c r="C1118" s="168"/>
      <c r="E1118" s="25"/>
      <c r="F1118" s="242"/>
      <c r="G1118" s="242"/>
      <c r="H1118" s="25"/>
      <c r="I1118" s="242"/>
      <c r="J1118" s="243"/>
      <c r="L1118" s="168"/>
      <c r="M1118" s="244"/>
      <c r="N1118" s="245"/>
      <c r="O1118" s="143"/>
      <c r="Q1118" s="54"/>
      <c r="R1118" s="160"/>
    </row>
    <row r="1119">
      <c r="A1119" s="168"/>
      <c r="B1119" s="168"/>
      <c r="C1119" s="168"/>
      <c r="E1119" s="25"/>
      <c r="F1119" s="242"/>
      <c r="G1119" s="242"/>
      <c r="H1119" s="25"/>
      <c r="I1119" s="242"/>
      <c r="J1119" s="243"/>
      <c r="L1119" s="168"/>
      <c r="M1119" s="244"/>
      <c r="N1119" s="245"/>
      <c r="O1119" s="143"/>
      <c r="Q1119" s="54"/>
      <c r="R1119" s="160"/>
    </row>
    <row r="1120">
      <c r="A1120" s="168"/>
      <c r="B1120" s="168"/>
      <c r="C1120" s="168"/>
      <c r="E1120" s="25"/>
      <c r="F1120" s="242"/>
      <c r="G1120" s="242"/>
      <c r="H1120" s="25"/>
      <c r="I1120" s="242"/>
      <c r="J1120" s="243"/>
      <c r="L1120" s="168"/>
      <c r="M1120" s="244"/>
      <c r="N1120" s="245"/>
      <c r="O1120" s="143"/>
      <c r="Q1120" s="54"/>
      <c r="R1120" s="160"/>
    </row>
    <row r="1121">
      <c r="A1121" s="168"/>
      <c r="B1121" s="168"/>
      <c r="C1121" s="168"/>
      <c r="E1121" s="25"/>
      <c r="F1121" s="242"/>
      <c r="G1121" s="242"/>
      <c r="H1121" s="25"/>
      <c r="I1121" s="242"/>
      <c r="J1121" s="243"/>
      <c r="L1121" s="168"/>
      <c r="M1121" s="244"/>
      <c r="N1121" s="245"/>
      <c r="O1121" s="143"/>
      <c r="Q1121" s="54"/>
      <c r="R1121" s="160"/>
    </row>
    <row r="1122">
      <c r="A1122" s="168"/>
      <c r="B1122" s="168"/>
      <c r="C1122" s="168"/>
      <c r="E1122" s="25"/>
      <c r="F1122" s="242"/>
      <c r="G1122" s="242"/>
      <c r="H1122" s="25"/>
      <c r="I1122" s="242"/>
      <c r="J1122" s="243"/>
      <c r="L1122" s="168"/>
      <c r="M1122" s="244"/>
      <c r="N1122" s="245"/>
      <c r="O1122" s="143"/>
      <c r="Q1122" s="54"/>
      <c r="R1122" s="160"/>
    </row>
    <row r="1123">
      <c r="A1123" s="168"/>
      <c r="B1123" s="168"/>
      <c r="C1123" s="168"/>
      <c r="E1123" s="25"/>
      <c r="F1123" s="242"/>
      <c r="G1123" s="242"/>
      <c r="H1123" s="25"/>
      <c r="I1123" s="242"/>
      <c r="J1123" s="243"/>
      <c r="L1123" s="168"/>
      <c r="M1123" s="244"/>
      <c r="N1123" s="245"/>
      <c r="O1123" s="143"/>
      <c r="Q1123" s="54"/>
      <c r="R1123" s="160"/>
    </row>
    <row r="1124">
      <c r="A1124" s="168"/>
      <c r="B1124" s="168"/>
      <c r="C1124" s="168"/>
      <c r="E1124" s="25"/>
      <c r="F1124" s="242"/>
      <c r="G1124" s="242"/>
      <c r="H1124" s="25"/>
      <c r="I1124" s="242"/>
      <c r="J1124" s="243"/>
      <c r="L1124" s="168"/>
      <c r="M1124" s="244"/>
      <c r="N1124" s="245"/>
      <c r="O1124" s="143"/>
      <c r="Q1124" s="54"/>
      <c r="R1124" s="160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  <col customWidth="1" min="2" max="2" width="25.38"/>
    <col customWidth="1" min="3" max="7" width="22.13"/>
    <col customWidth="1" min="8" max="8" width="13.38"/>
    <col customWidth="1" min="9" max="9" width="20.63"/>
    <col customWidth="1" min="10" max="10" width="17.88"/>
    <col customWidth="1" min="11" max="11" width="31.5"/>
    <col customWidth="1" min="12" max="12" width="21.75"/>
    <col customWidth="1" min="13" max="13" width="14.25"/>
    <col customWidth="1" min="14" max="14" width="15.5"/>
    <col customWidth="1" min="15" max="15" width="22.0"/>
    <col customWidth="1" min="16" max="16" width="13.13"/>
    <col customWidth="1" min="17" max="18" width="21.25"/>
    <col customWidth="1" min="19" max="19" width="15.63"/>
    <col customWidth="1" min="20" max="20" width="29.13"/>
    <col customWidth="1" min="21" max="21" width="15.63"/>
    <col customWidth="1" min="22" max="22" width="17.5"/>
    <col customWidth="1" min="23" max="23" width="16.88"/>
    <col customWidth="1" min="24" max="24" width="20.13"/>
    <col customWidth="1" min="25" max="25" width="8.88"/>
  </cols>
  <sheetData>
    <row r="1">
      <c r="A1" s="3" t="s">
        <v>551</v>
      </c>
      <c r="B1" s="3" t="s">
        <v>551</v>
      </c>
      <c r="C1" s="14" t="s">
        <v>551</v>
      </c>
      <c r="D1" s="217" t="s">
        <v>556</v>
      </c>
      <c r="E1" s="217" t="s">
        <v>556</v>
      </c>
      <c r="F1" s="14" t="s">
        <v>551</v>
      </c>
      <c r="G1" s="217" t="s">
        <v>556</v>
      </c>
      <c r="H1" s="218" t="s">
        <v>5243</v>
      </c>
      <c r="I1" s="14" t="s">
        <v>551</v>
      </c>
      <c r="J1" s="3" t="s">
        <v>552</v>
      </c>
      <c r="K1" s="3" t="s">
        <v>5244</v>
      </c>
      <c r="L1" s="3" t="s">
        <v>5245</v>
      </c>
      <c r="M1" s="3" t="s">
        <v>560</v>
      </c>
      <c r="N1" s="14" t="s">
        <v>551</v>
      </c>
      <c r="O1" s="3" t="s">
        <v>551</v>
      </c>
      <c r="P1" s="3" t="s">
        <v>551</v>
      </c>
      <c r="Q1" s="3" t="s">
        <v>5274</v>
      </c>
      <c r="R1" s="3" t="s">
        <v>552</v>
      </c>
      <c r="S1" s="3" t="s">
        <v>557</v>
      </c>
      <c r="T1" s="246" t="s">
        <v>5275</v>
      </c>
      <c r="U1" s="14" t="s">
        <v>551</v>
      </c>
      <c r="V1" s="14" t="s">
        <v>551</v>
      </c>
      <c r="W1" s="14" t="s">
        <v>551</v>
      </c>
      <c r="X1" s="3" t="s">
        <v>555</v>
      </c>
      <c r="Y1" s="247" t="s">
        <v>14</v>
      </c>
    </row>
    <row r="2">
      <c r="A2" s="85" t="s">
        <v>5246</v>
      </c>
      <c r="B2" s="85" t="s">
        <v>5247</v>
      </c>
      <c r="C2" s="222" t="s">
        <v>5250</v>
      </c>
      <c r="D2" s="223" t="s">
        <v>5251</v>
      </c>
      <c r="E2" s="223" t="s">
        <v>5252</v>
      </c>
      <c r="F2" s="222" t="s">
        <v>5250</v>
      </c>
      <c r="G2" s="223" t="s">
        <v>5251</v>
      </c>
      <c r="H2" s="224" t="s">
        <v>5253</v>
      </c>
      <c r="I2" s="222" t="s">
        <v>3809</v>
      </c>
      <c r="J2" s="11" t="s">
        <v>5276</v>
      </c>
      <c r="K2" s="225" t="s">
        <v>5255</v>
      </c>
      <c r="L2" s="85" t="s">
        <v>5277</v>
      </c>
      <c r="M2" s="85" t="s">
        <v>5278</v>
      </c>
      <c r="N2" s="16" t="s">
        <v>5279</v>
      </c>
      <c r="O2" s="248" t="s">
        <v>5280</v>
      </c>
      <c r="P2" s="17" t="s">
        <v>4107</v>
      </c>
      <c r="Q2" s="85" t="s">
        <v>5281</v>
      </c>
      <c r="R2" s="11" t="s">
        <v>5276</v>
      </c>
      <c r="S2" s="11" t="s">
        <v>5282</v>
      </c>
      <c r="T2" s="249" t="s">
        <v>5283</v>
      </c>
      <c r="U2" s="17" t="s">
        <v>4107</v>
      </c>
      <c r="V2" s="16" t="s">
        <v>5279</v>
      </c>
      <c r="W2" s="16" t="s">
        <v>5279</v>
      </c>
      <c r="X2" s="60" t="s">
        <v>2776</v>
      </c>
      <c r="Y2" s="250" t="s">
        <v>5284</v>
      </c>
    </row>
    <row r="3">
      <c r="A3" s="8" t="s">
        <v>5260</v>
      </c>
      <c r="B3" s="8" t="s">
        <v>576</v>
      </c>
      <c r="C3" s="20" t="s">
        <v>5263</v>
      </c>
      <c r="D3" s="229" t="s">
        <v>5264</v>
      </c>
      <c r="E3" s="229" t="s">
        <v>5265</v>
      </c>
      <c r="F3" s="20" t="s">
        <v>3802</v>
      </c>
      <c r="G3" s="229" t="s">
        <v>3803</v>
      </c>
      <c r="H3" s="230" t="s">
        <v>3804</v>
      </c>
      <c r="I3" s="20" t="s">
        <v>575</v>
      </c>
      <c r="J3" s="8" t="s">
        <v>5266</v>
      </c>
      <c r="K3" s="8" t="s">
        <v>5267</v>
      </c>
      <c r="L3" s="8" t="s">
        <v>5268</v>
      </c>
      <c r="M3" s="8" t="s">
        <v>5269</v>
      </c>
      <c r="N3" s="20" t="s">
        <v>5139</v>
      </c>
      <c r="O3" s="8" t="s">
        <v>5270</v>
      </c>
      <c r="P3" s="8" t="s">
        <v>514</v>
      </c>
      <c r="Q3" s="8" t="s">
        <v>5285</v>
      </c>
      <c r="R3" s="8" t="s">
        <v>5286</v>
      </c>
      <c r="S3" s="8" t="s">
        <v>5287</v>
      </c>
      <c r="T3" s="251" t="s">
        <v>5288</v>
      </c>
      <c r="U3" s="20" t="s">
        <v>4114</v>
      </c>
      <c r="V3" s="20" t="s">
        <v>5289</v>
      </c>
      <c r="W3" s="20" t="s">
        <v>5290</v>
      </c>
      <c r="X3" s="8" t="s">
        <v>3839</v>
      </c>
      <c r="Y3" s="252" t="s">
        <v>5291</v>
      </c>
    </row>
    <row r="4">
      <c r="A4" s="11">
        <v>20.0</v>
      </c>
      <c r="B4" s="11">
        <v>61.0</v>
      </c>
      <c r="C4" s="253">
        <v>13.0</v>
      </c>
      <c r="D4" s="235">
        <v>117.0</v>
      </c>
      <c r="E4" s="235">
        <v>117.0</v>
      </c>
      <c r="F4" s="253">
        <v>13.0</v>
      </c>
      <c r="G4" s="235">
        <v>117.0</v>
      </c>
      <c r="H4" s="236">
        <v>7.6260008E7</v>
      </c>
      <c r="I4" s="16">
        <v>34.0</v>
      </c>
      <c r="J4" s="11">
        <v>6.0</v>
      </c>
      <c r="K4" s="11" t="str">
        <f t="shared" ref="K4:K1003" si="1">textjoin("",,0,G4:J4)</f>
        <v>01170076260008346</v>
      </c>
      <c r="L4" s="238">
        <v>-235791.99</v>
      </c>
      <c r="M4" s="254">
        <v>112016.0</v>
      </c>
      <c r="N4" s="16">
        <v>9.0</v>
      </c>
      <c r="O4" s="22">
        <v>1.0</v>
      </c>
      <c r="P4" s="17">
        <v>40.0</v>
      </c>
      <c r="Q4" s="11">
        <v>9.5944708E7</v>
      </c>
      <c r="R4" s="11">
        <v>2.0</v>
      </c>
      <c r="S4" s="24" t="s">
        <v>5292</v>
      </c>
      <c r="T4" s="249" t="s">
        <v>5293</v>
      </c>
      <c r="U4" s="17">
        <v>96.0</v>
      </c>
      <c r="V4" s="16">
        <v>60.0</v>
      </c>
      <c r="W4" s="16">
        <v>4.0</v>
      </c>
      <c r="X4" s="50">
        <v>11413.0</v>
      </c>
      <c r="Y4" s="250">
        <v>3203.0</v>
      </c>
    </row>
    <row r="5">
      <c r="A5" s="11">
        <v>13.0</v>
      </c>
      <c r="B5" s="11">
        <v>81.0</v>
      </c>
      <c r="C5" s="253">
        <v>31.0</v>
      </c>
      <c r="D5" s="235">
        <v>47.0</v>
      </c>
      <c r="E5" s="235">
        <v>47.0</v>
      </c>
      <c r="F5" s="253">
        <v>31.0</v>
      </c>
      <c r="G5" s="235">
        <v>47.0</v>
      </c>
      <c r="H5" s="236">
        <v>4.9434662E7</v>
      </c>
      <c r="I5" s="16">
        <v>35.0</v>
      </c>
      <c r="J5" s="11">
        <v>7.0</v>
      </c>
      <c r="K5" s="11" t="str">
        <f t="shared" si="1"/>
        <v>00470049434662357</v>
      </c>
      <c r="L5" s="238">
        <v>97443.24</v>
      </c>
      <c r="M5" s="254">
        <v>112119.0</v>
      </c>
      <c r="N5" s="16">
        <v>90.0</v>
      </c>
      <c r="O5" s="22">
        <v>48.0</v>
      </c>
      <c r="P5" s="17">
        <v>81.0</v>
      </c>
      <c r="Q5" s="11">
        <v>2.7158716E7</v>
      </c>
      <c r="R5" s="11">
        <v>1.0</v>
      </c>
      <c r="S5" s="24" t="s">
        <v>39</v>
      </c>
      <c r="T5" s="249" t="s">
        <v>5294</v>
      </c>
      <c r="U5" s="17">
        <v>93.0</v>
      </c>
      <c r="V5" s="16">
        <v>65.0</v>
      </c>
      <c r="W5" s="16">
        <v>56.0</v>
      </c>
      <c r="X5" s="50">
        <v>21721.0</v>
      </c>
      <c r="Y5" s="250">
        <v>1753.0</v>
      </c>
    </row>
    <row r="6">
      <c r="A6" s="11">
        <v>16.0</v>
      </c>
      <c r="B6" s="11">
        <v>81.0</v>
      </c>
      <c r="C6" s="253">
        <v>36.0</v>
      </c>
      <c r="D6" s="235">
        <v>17.0</v>
      </c>
      <c r="E6" s="235">
        <v>17.0</v>
      </c>
      <c r="F6" s="253">
        <v>36.0</v>
      </c>
      <c r="G6" s="235">
        <v>17.0</v>
      </c>
      <c r="H6" s="236">
        <v>4.8515174E7</v>
      </c>
      <c r="I6" s="16">
        <v>67.0</v>
      </c>
      <c r="J6" s="11">
        <v>6.0</v>
      </c>
      <c r="K6" s="11" t="str">
        <f t="shared" si="1"/>
        <v>00170048515174676</v>
      </c>
      <c r="L6" s="238">
        <v>72022.83</v>
      </c>
      <c r="M6" s="254">
        <v>81620.0</v>
      </c>
      <c r="N6" s="16">
        <v>58.0</v>
      </c>
      <c r="O6" s="22">
        <v>56.0</v>
      </c>
      <c r="P6" s="17">
        <v>81.0</v>
      </c>
      <c r="Q6" s="11">
        <v>1.1528729E7</v>
      </c>
      <c r="R6" s="11">
        <v>0.0</v>
      </c>
      <c r="S6" s="24" t="s">
        <v>39</v>
      </c>
      <c r="T6" s="249" t="s">
        <v>5295</v>
      </c>
      <c r="U6" s="17">
        <v>97.0</v>
      </c>
      <c r="V6" s="16">
        <v>99.0</v>
      </c>
      <c r="W6" s="16">
        <v>24.0</v>
      </c>
      <c r="X6" s="50">
        <v>11518.0</v>
      </c>
      <c r="Y6" s="250">
        <v>7985.0</v>
      </c>
    </row>
    <row r="7">
      <c r="A7" s="11">
        <v>18.0</v>
      </c>
      <c r="B7" s="11">
        <v>61.0</v>
      </c>
      <c r="C7" s="253">
        <v>18.0</v>
      </c>
      <c r="D7" s="235">
        <v>101.0</v>
      </c>
      <c r="E7" s="235">
        <v>101.0</v>
      </c>
      <c r="F7" s="253">
        <v>18.0</v>
      </c>
      <c r="G7" s="235">
        <v>101.0</v>
      </c>
      <c r="H7" s="236">
        <v>5.930012E7</v>
      </c>
      <c r="I7" s="16">
        <v>40.0</v>
      </c>
      <c r="J7" s="11">
        <v>2.0</v>
      </c>
      <c r="K7" s="11" t="str">
        <f t="shared" si="1"/>
        <v>01010059300120402</v>
      </c>
      <c r="L7" s="238">
        <v>9062.57</v>
      </c>
      <c r="M7" s="254">
        <v>41221.0</v>
      </c>
      <c r="N7" s="16">
        <v>47.0</v>
      </c>
      <c r="O7" s="22">
        <v>31.0</v>
      </c>
      <c r="P7" s="17">
        <v>41.0</v>
      </c>
      <c r="Q7" s="11">
        <v>6.3341378E7</v>
      </c>
      <c r="R7" s="11">
        <v>2.0</v>
      </c>
      <c r="S7" s="24" t="s">
        <v>29</v>
      </c>
      <c r="T7" s="249" t="s">
        <v>5296</v>
      </c>
      <c r="U7" s="17">
        <v>4.0</v>
      </c>
      <c r="V7" s="16">
        <v>41.0</v>
      </c>
      <c r="W7" s="16">
        <v>44.0</v>
      </c>
      <c r="X7" s="50">
        <v>51915.0</v>
      </c>
      <c r="Y7" s="250">
        <v>9374.0</v>
      </c>
    </row>
    <row r="8">
      <c r="A8" s="11">
        <v>15.0</v>
      </c>
      <c r="B8" s="11">
        <v>61.0</v>
      </c>
      <c r="C8" s="253">
        <v>37.0</v>
      </c>
      <c r="D8" s="235">
        <v>77.0</v>
      </c>
      <c r="E8" s="235">
        <v>77.0</v>
      </c>
      <c r="F8" s="253">
        <v>37.0</v>
      </c>
      <c r="G8" s="235">
        <v>77.0</v>
      </c>
      <c r="H8" s="236">
        <v>4.6717643E7</v>
      </c>
      <c r="I8" s="16">
        <v>77.0</v>
      </c>
      <c r="J8" s="11">
        <v>0.0</v>
      </c>
      <c r="K8" s="11" t="str">
        <f t="shared" si="1"/>
        <v>00770046717643770</v>
      </c>
      <c r="L8" s="238">
        <v>30041.24</v>
      </c>
      <c r="M8" s="254">
        <v>101616.0</v>
      </c>
      <c r="N8" s="16">
        <v>69.0</v>
      </c>
      <c r="O8" s="22">
        <v>18.0</v>
      </c>
      <c r="P8" s="17">
        <v>61.0</v>
      </c>
      <c r="Q8" s="11">
        <v>2.9925244E7</v>
      </c>
      <c r="R8" s="11">
        <v>9.0</v>
      </c>
      <c r="S8" s="24" t="s">
        <v>5292</v>
      </c>
      <c r="T8" s="249" t="s">
        <v>5297</v>
      </c>
      <c r="U8" s="17">
        <v>53.0</v>
      </c>
      <c r="V8" s="16">
        <v>53.0</v>
      </c>
      <c r="W8" s="16">
        <v>28.0</v>
      </c>
      <c r="X8" s="50">
        <v>122915.0</v>
      </c>
      <c r="Y8" s="250">
        <v>5338.0</v>
      </c>
    </row>
    <row r="9">
      <c r="A9" s="11">
        <v>12.0</v>
      </c>
      <c r="B9" s="11">
        <v>61.0</v>
      </c>
      <c r="C9" s="253">
        <v>27.0</v>
      </c>
      <c r="D9" s="235">
        <v>101.0</v>
      </c>
      <c r="E9" s="235">
        <v>101.0</v>
      </c>
      <c r="F9" s="253">
        <v>27.0</v>
      </c>
      <c r="G9" s="235">
        <v>101.0</v>
      </c>
      <c r="H9" s="236">
        <v>4.4374901E7</v>
      </c>
      <c r="I9" s="16">
        <v>58.0</v>
      </c>
      <c r="J9" s="11">
        <v>6.0</v>
      </c>
      <c r="K9" s="11" t="str">
        <f t="shared" si="1"/>
        <v>01010044374901586</v>
      </c>
      <c r="L9" s="238">
        <v>-70314.32</v>
      </c>
      <c r="M9" s="254">
        <v>111120.0</v>
      </c>
      <c r="N9" s="16">
        <v>22.0</v>
      </c>
      <c r="O9" s="22">
        <v>21.0</v>
      </c>
      <c r="P9" s="17">
        <v>20.0</v>
      </c>
      <c r="Q9" s="11">
        <v>9.3678819E7</v>
      </c>
      <c r="R9" s="11">
        <v>9.0</v>
      </c>
      <c r="S9" s="24" t="s">
        <v>48</v>
      </c>
      <c r="T9" s="249" t="s">
        <v>5298</v>
      </c>
      <c r="U9" s="17">
        <v>59.0</v>
      </c>
      <c r="V9" s="16">
        <v>50.0</v>
      </c>
      <c r="W9" s="16">
        <v>27.0</v>
      </c>
      <c r="X9" s="50">
        <v>21513.0</v>
      </c>
      <c r="Y9" s="250">
        <v>4594.0</v>
      </c>
    </row>
    <row r="10">
      <c r="A10" s="11">
        <v>12.0</v>
      </c>
      <c r="B10" s="11">
        <v>61.0</v>
      </c>
      <c r="C10" s="253">
        <v>30.0</v>
      </c>
      <c r="D10" s="235">
        <v>105.0</v>
      </c>
      <c r="E10" s="235">
        <v>105.0</v>
      </c>
      <c r="F10" s="253">
        <v>30.0</v>
      </c>
      <c r="G10" s="235">
        <v>105.0</v>
      </c>
      <c r="H10" s="236">
        <v>9.5642663E7</v>
      </c>
      <c r="I10" s="16">
        <v>48.0</v>
      </c>
      <c r="J10" s="11">
        <v>9.0</v>
      </c>
      <c r="K10" s="11" t="str">
        <f t="shared" si="1"/>
        <v>01050095642663489</v>
      </c>
      <c r="L10" s="238">
        <v>8502.37</v>
      </c>
      <c r="M10" s="254">
        <v>92714.0</v>
      </c>
      <c r="N10" s="16">
        <v>32.0</v>
      </c>
      <c r="O10" s="22">
        <v>2.0</v>
      </c>
      <c r="P10" s="17">
        <v>41.0</v>
      </c>
      <c r="Q10" s="11">
        <v>9.12128E7</v>
      </c>
      <c r="R10" s="11">
        <v>1.0</v>
      </c>
      <c r="S10" s="24" t="s">
        <v>29</v>
      </c>
      <c r="T10" s="249" t="s">
        <v>5299</v>
      </c>
      <c r="U10" s="17">
        <v>11.0</v>
      </c>
      <c r="V10" s="16">
        <v>84.0</v>
      </c>
      <c r="W10" s="16">
        <v>79.0</v>
      </c>
      <c r="X10" s="50">
        <v>61920.0</v>
      </c>
      <c r="Y10" s="250">
        <v>9811.0</v>
      </c>
    </row>
    <row r="11">
      <c r="A11" s="11">
        <v>11.0</v>
      </c>
      <c r="B11" s="11">
        <v>41.0</v>
      </c>
      <c r="C11" s="253">
        <v>18.0</v>
      </c>
      <c r="D11" s="235">
        <v>45.0</v>
      </c>
      <c r="E11" s="235">
        <v>45.0</v>
      </c>
      <c r="F11" s="253">
        <v>18.0</v>
      </c>
      <c r="G11" s="235">
        <v>45.0</v>
      </c>
      <c r="H11" s="236">
        <v>3.727303E7</v>
      </c>
      <c r="I11" s="16">
        <v>42.0</v>
      </c>
      <c r="J11" s="11">
        <v>2.0</v>
      </c>
      <c r="K11" s="11" t="str">
        <f t="shared" si="1"/>
        <v>00450037273030422</v>
      </c>
      <c r="L11" s="238">
        <v>-324.67</v>
      </c>
      <c r="M11" s="254">
        <v>21519.0</v>
      </c>
      <c r="N11" s="16">
        <v>96.0</v>
      </c>
      <c r="O11" s="22">
        <v>13.0</v>
      </c>
      <c r="P11" s="17">
        <v>61.0</v>
      </c>
      <c r="Q11" s="11">
        <v>4.9452506E7</v>
      </c>
      <c r="R11" s="11">
        <v>6.0</v>
      </c>
      <c r="S11" s="24" t="s">
        <v>39</v>
      </c>
      <c r="T11" s="249" t="s">
        <v>5300</v>
      </c>
      <c r="U11" s="17">
        <v>66.0</v>
      </c>
      <c r="V11" s="16">
        <v>76.0</v>
      </c>
      <c r="W11" s="16">
        <v>24.0</v>
      </c>
      <c r="X11" s="50">
        <v>112815.0</v>
      </c>
      <c r="Y11" s="250">
        <v>3253.0</v>
      </c>
    </row>
    <row r="12">
      <c r="A12" s="11">
        <v>18.0</v>
      </c>
      <c r="B12" s="11">
        <v>61.0</v>
      </c>
      <c r="C12" s="253">
        <v>26.0</v>
      </c>
      <c r="D12" s="235">
        <v>125.0</v>
      </c>
      <c r="E12" s="235">
        <v>125.0</v>
      </c>
      <c r="F12" s="253">
        <v>26.0</v>
      </c>
      <c r="G12" s="235">
        <v>125.0</v>
      </c>
      <c r="H12" s="236">
        <v>7.1241742E7</v>
      </c>
      <c r="I12" s="16">
        <v>90.0</v>
      </c>
      <c r="J12" s="11">
        <v>3.0</v>
      </c>
      <c r="K12" s="11" t="str">
        <f t="shared" si="1"/>
        <v>01250071241742903</v>
      </c>
      <c r="L12" s="238">
        <v>-140.16</v>
      </c>
      <c r="M12" s="254">
        <v>42823.0</v>
      </c>
      <c r="N12" s="16">
        <v>62.0</v>
      </c>
      <c r="O12" s="22">
        <v>48.0</v>
      </c>
      <c r="P12" s="17">
        <v>82.0</v>
      </c>
      <c r="Q12" s="11">
        <v>6.9369041E7</v>
      </c>
      <c r="R12" s="11">
        <v>6.0</v>
      </c>
      <c r="S12" s="24" t="s">
        <v>39</v>
      </c>
      <c r="T12" s="249" t="s">
        <v>5301</v>
      </c>
      <c r="U12" s="17">
        <v>16.0</v>
      </c>
      <c r="V12" s="16">
        <v>7.0</v>
      </c>
      <c r="W12" s="16">
        <v>12.0</v>
      </c>
      <c r="X12" s="50">
        <v>111313.0</v>
      </c>
      <c r="Y12" s="250">
        <v>1333.0</v>
      </c>
    </row>
    <row r="13">
      <c r="A13" s="11">
        <v>11.0</v>
      </c>
      <c r="B13" s="11">
        <v>41.0</v>
      </c>
      <c r="C13" s="253">
        <v>48.0</v>
      </c>
      <c r="D13" s="235">
        <v>267.0</v>
      </c>
      <c r="E13" s="235">
        <v>267.0</v>
      </c>
      <c r="F13" s="253">
        <v>48.0</v>
      </c>
      <c r="G13" s="235">
        <v>267.0</v>
      </c>
      <c r="H13" s="236">
        <v>8.4428185E7</v>
      </c>
      <c r="I13" s="16">
        <v>80.0</v>
      </c>
      <c r="J13" s="11">
        <v>7.0</v>
      </c>
      <c r="K13" s="11" t="str">
        <f t="shared" si="1"/>
        <v>02670084428185807</v>
      </c>
      <c r="L13" s="238">
        <v>-5972.5</v>
      </c>
      <c r="M13" s="254">
        <v>21019.0</v>
      </c>
      <c r="N13" s="16">
        <v>62.0</v>
      </c>
      <c r="O13" s="22">
        <v>30.0</v>
      </c>
      <c r="P13" s="17">
        <v>20.0</v>
      </c>
      <c r="Q13" s="11">
        <v>6.1876179E7</v>
      </c>
      <c r="R13" s="11">
        <v>3.0</v>
      </c>
      <c r="S13" s="24" t="s">
        <v>39</v>
      </c>
      <c r="T13" s="249" t="s">
        <v>5302</v>
      </c>
      <c r="U13" s="17">
        <v>75.0</v>
      </c>
      <c r="V13" s="16">
        <v>25.0</v>
      </c>
      <c r="W13" s="16">
        <v>24.0</v>
      </c>
      <c r="X13" s="50">
        <v>71820.0</v>
      </c>
      <c r="Y13" s="250">
        <v>618.0</v>
      </c>
    </row>
    <row r="14">
      <c r="A14" s="11">
        <v>14.0</v>
      </c>
      <c r="B14" s="11">
        <v>61.0</v>
      </c>
      <c r="C14" s="253">
        <v>30.0</v>
      </c>
      <c r="D14" s="235">
        <v>69.0</v>
      </c>
      <c r="E14" s="235">
        <v>69.0</v>
      </c>
      <c r="F14" s="253">
        <v>30.0</v>
      </c>
      <c r="G14" s="235">
        <v>69.0</v>
      </c>
      <c r="H14" s="236">
        <v>1.5562267E7</v>
      </c>
      <c r="I14" s="16">
        <v>93.0</v>
      </c>
      <c r="J14" s="11">
        <v>3.0</v>
      </c>
      <c r="K14" s="11" t="str">
        <f t="shared" si="1"/>
        <v>00690015562267933</v>
      </c>
      <c r="L14" s="238">
        <v>736.35</v>
      </c>
      <c r="M14" s="254">
        <v>60517.0</v>
      </c>
      <c r="N14" s="16">
        <v>82.0</v>
      </c>
      <c r="O14" s="22">
        <v>53.0</v>
      </c>
      <c r="P14" s="17">
        <v>41.0</v>
      </c>
      <c r="Q14" s="11">
        <v>1.1448978E7</v>
      </c>
      <c r="R14" s="11">
        <v>8.0</v>
      </c>
      <c r="S14" s="24" t="s">
        <v>48</v>
      </c>
      <c r="T14" s="249" t="s">
        <v>5303</v>
      </c>
      <c r="U14" s="17">
        <v>24.0</v>
      </c>
      <c r="V14" s="16">
        <v>98.0</v>
      </c>
      <c r="W14" s="16">
        <v>25.0</v>
      </c>
      <c r="X14" s="50">
        <v>31014.0</v>
      </c>
      <c r="Y14" s="250">
        <v>5509.0</v>
      </c>
    </row>
    <row r="15">
      <c r="A15" s="11">
        <v>14.0</v>
      </c>
      <c r="B15" s="11">
        <v>82.0</v>
      </c>
      <c r="C15" s="253">
        <v>21.0</v>
      </c>
      <c r="D15" s="235">
        <v>221.0</v>
      </c>
      <c r="E15" s="235">
        <v>221.0</v>
      </c>
      <c r="F15" s="253">
        <v>21.0</v>
      </c>
      <c r="G15" s="235">
        <v>221.0</v>
      </c>
      <c r="H15" s="236">
        <v>7.653004E7</v>
      </c>
      <c r="I15" s="16">
        <v>28.0</v>
      </c>
      <c r="J15" s="11">
        <v>0.0</v>
      </c>
      <c r="K15" s="11" t="str">
        <f t="shared" si="1"/>
        <v>02210076530040280</v>
      </c>
      <c r="L15" s="238">
        <v>8481.2</v>
      </c>
      <c r="M15" s="254">
        <v>32818.0</v>
      </c>
      <c r="N15" s="16">
        <v>65.0</v>
      </c>
      <c r="O15" s="22">
        <v>49.0</v>
      </c>
      <c r="P15" s="17">
        <v>41.0</v>
      </c>
      <c r="Q15" s="11">
        <v>7.0925451E7</v>
      </c>
      <c r="R15" s="11">
        <v>0.0</v>
      </c>
      <c r="S15" s="24" t="s">
        <v>29</v>
      </c>
      <c r="T15" s="249" t="s">
        <v>5304</v>
      </c>
      <c r="U15" s="17">
        <v>26.0</v>
      </c>
      <c r="V15" s="16">
        <v>83.0</v>
      </c>
      <c r="W15" s="16">
        <v>31.0</v>
      </c>
      <c r="X15" s="50">
        <v>71821.0</v>
      </c>
      <c r="Y15" s="250">
        <v>8562.0</v>
      </c>
    </row>
    <row r="16">
      <c r="A16" s="11">
        <v>18.0</v>
      </c>
      <c r="B16" s="11">
        <v>61.0</v>
      </c>
      <c r="C16" s="253">
        <v>48.0</v>
      </c>
      <c r="D16" s="235">
        <v>481.0</v>
      </c>
      <c r="E16" s="235">
        <v>481.0</v>
      </c>
      <c r="F16" s="253">
        <v>48.0</v>
      </c>
      <c r="G16" s="235">
        <v>481.0</v>
      </c>
      <c r="H16" s="236">
        <v>7.8722308E7</v>
      </c>
      <c r="I16" s="16">
        <v>34.0</v>
      </c>
      <c r="J16" s="11">
        <v>6.0</v>
      </c>
      <c r="K16" s="11" t="str">
        <f t="shared" si="1"/>
        <v>04810078722308346</v>
      </c>
      <c r="L16" s="238">
        <v>1329.38</v>
      </c>
      <c r="M16" s="254">
        <v>52423.0</v>
      </c>
      <c r="N16" s="16">
        <v>29.0</v>
      </c>
      <c r="O16" s="22">
        <v>38.0</v>
      </c>
      <c r="P16" s="17">
        <v>41.0</v>
      </c>
      <c r="Q16" s="11">
        <v>1.499847E7</v>
      </c>
      <c r="R16" s="11">
        <v>3.0</v>
      </c>
      <c r="S16" s="24" t="s">
        <v>5292</v>
      </c>
      <c r="T16" s="249" t="s">
        <v>5305</v>
      </c>
      <c r="U16" s="17">
        <v>27.0</v>
      </c>
      <c r="V16" s="16">
        <v>33.0</v>
      </c>
      <c r="W16" s="16">
        <v>84.0</v>
      </c>
      <c r="X16" s="50">
        <v>72318.0</v>
      </c>
      <c r="Y16" s="250">
        <v>3146.0</v>
      </c>
    </row>
    <row r="17">
      <c r="A17" s="11">
        <v>17.0</v>
      </c>
      <c r="B17" s="11">
        <v>41.0</v>
      </c>
      <c r="C17" s="253">
        <v>48.0</v>
      </c>
      <c r="D17" s="235">
        <v>207.0</v>
      </c>
      <c r="E17" s="235">
        <v>207.0</v>
      </c>
      <c r="F17" s="253">
        <v>48.0</v>
      </c>
      <c r="G17" s="235">
        <v>207.0</v>
      </c>
      <c r="H17" s="236">
        <v>5.2034403E7</v>
      </c>
      <c r="I17" s="16">
        <v>65.0</v>
      </c>
      <c r="J17" s="11">
        <v>3.0</v>
      </c>
      <c r="K17" s="11" t="str">
        <f t="shared" si="1"/>
        <v>02070052034403653</v>
      </c>
      <c r="L17" s="238">
        <v>2754.68</v>
      </c>
      <c r="M17" s="254">
        <v>112618.0</v>
      </c>
      <c r="N17" s="16">
        <v>62.0</v>
      </c>
      <c r="O17" s="22">
        <v>12.0</v>
      </c>
      <c r="P17" s="17">
        <v>61.0</v>
      </c>
      <c r="Q17" s="11">
        <v>1.5691946E7</v>
      </c>
      <c r="R17" s="11">
        <v>7.0</v>
      </c>
      <c r="S17" s="24" t="s">
        <v>39</v>
      </c>
      <c r="T17" s="249" t="s">
        <v>5306</v>
      </c>
      <c r="U17" s="17">
        <v>76.0</v>
      </c>
      <c r="V17" s="16">
        <v>21.0</v>
      </c>
      <c r="W17" s="16">
        <v>24.0</v>
      </c>
      <c r="X17" s="50">
        <v>111621.0</v>
      </c>
      <c r="Y17" s="250">
        <v>4647.0</v>
      </c>
    </row>
    <row r="18">
      <c r="A18" s="11">
        <v>17.0</v>
      </c>
      <c r="B18" s="11">
        <v>41.0</v>
      </c>
      <c r="C18" s="253">
        <v>53.0</v>
      </c>
      <c r="D18" s="235">
        <v>27.0</v>
      </c>
      <c r="E18" s="235">
        <v>27.0</v>
      </c>
      <c r="F18" s="253">
        <v>53.0</v>
      </c>
      <c r="G18" s="235">
        <v>27.0</v>
      </c>
      <c r="H18" s="236">
        <v>1.8828032E7</v>
      </c>
      <c r="I18" s="16">
        <v>80.0</v>
      </c>
      <c r="J18" s="11">
        <v>4.0</v>
      </c>
      <c r="K18" s="11" t="str">
        <f t="shared" si="1"/>
        <v>00270018828032804</v>
      </c>
      <c r="L18" s="238">
        <v>62802.8</v>
      </c>
      <c r="M18" s="254">
        <v>122914.0</v>
      </c>
      <c r="N18" s="16">
        <v>44.0</v>
      </c>
      <c r="O18" s="22">
        <v>8.0</v>
      </c>
      <c r="P18" s="17">
        <v>41.0</v>
      </c>
      <c r="Q18" s="11">
        <v>3.503368E7</v>
      </c>
      <c r="R18" s="11">
        <v>9.0</v>
      </c>
      <c r="S18" s="24" t="s">
        <v>29</v>
      </c>
      <c r="T18" s="249" t="s">
        <v>5307</v>
      </c>
      <c r="U18" s="17">
        <v>36.0</v>
      </c>
      <c r="V18" s="16">
        <v>29.0</v>
      </c>
      <c r="W18" s="16">
        <v>77.0</v>
      </c>
      <c r="X18" s="50">
        <v>32717.0</v>
      </c>
      <c r="Y18" s="250">
        <v>1060.0</v>
      </c>
    </row>
    <row r="19">
      <c r="A19" s="11">
        <v>13.0</v>
      </c>
      <c r="B19" s="11">
        <v>82.0</v>
      </c>
      <c r="C19" s="253">
        <v>16.0</v>
      </c>
      <c r="D19" s="235">
        <v>75.0</v>
      </c>
      <c r="E19" s="235">
        <v>75.0</v>
      </c>
      <c r="F19" s="253">
        <v>16.0</v>
      </c>
      <c r="G19" s="235">
        <v>75.0</v>
      </c>
      <c r="H19" s="236">
        <v>1.1844551E7</v>
      </c>
      <c r="I19" s="16">
        <v>22.0</v>
      </c>
      <c r="J19" s="11">
        <v>7.0</v>
      </c>
      <c r="K19" s="11" t="str">
        <f t="shared" si="1"/>
        <v>00750011844551227</v>
      </c>
      <c r="L19" s="238">
        <v>-474.61</v>
      </c>
      <c r="M19" s="254">
        <v>50514.0</v>
      </c>
      <c r="N19" s="16">
        <v>67.0</v>
      </c>
      <c r="O19" s="22">
        <v>41.0</v>
      </c>
      <c r="P19" s="17">
        <v>82.0</v>
      </c>
      <c r="Q19" s="11">
        <v>3.6017236E7</v>
      </c>
      <c r="R19" s="11">
        <v>8.0</v>
      </c>
      <c r="S19" s="24" t="s">
        <v>39</v>
      </c>
      <c r="T19" s="249" t="s">
        <v>5308</v>
      </c>
      <c r="U19" s="17">
        <v>33.0</v>
      </c>
      <c r="V19" s="16">
        <v>72.0</v>
      </c>
      <c r="W19" s="16">
        <v>49.0</v>
      </c>
      <c r="X19" s="50">
        <v>81115.0</v>
      </c>
      <c r="Y19" s="250">
        <v>3772.0</v>
      </c>
    </row>
    <row r="20">
      <c r="A20" s="11">
        <v>13.0</v>
      </c>
      <c r="B20" s="11">
        <v>41.0</v>
      </c>
      <c r="C20" s="253">
        <v>20.0</v>
      </c>
      <c r="D20" s="235">
        <v>69.0</v>
      </c>
      <c r="E20" s="235">
        <v>69.0</v>
      </c>
      <c r="F20" s="253">
        <v>20.0</v>
      </c>
      <c r="G20" s="235">
        <v>69.0</v>
      </c>
      <c r="H20" s="236">
        <v>3.5140798E7</v>
      </c>
      <c r="I20" s="16">
        <v>84.0</v>
      </c>
      <c r="J20" s="11">
        <v>6.0</v>
      </c>
      <c r="K20" s="11" t="str">
        <f t="shared" si="1"/>
        <v>00690035140798846</v>
      </c>
      <c r="L20" s="238">
        <v>8283.94</v>
      </c>
      <c r="M20" s="254">
        <v>80821.0</v>
      </c>
      <c r="N20" s="16">
        <v>67.0</v>
      </c>
      <c r="O20" s="22">
        <v>54.0</v>
      </c>
      <c r="P20" s="17">
        <v>41.0</v>
      </c>
      <c r="Q20" s="11">
        <v>1.4195884E7</v>
      </c>
      <c r="R20" s="11">
        <v>7.0</v>
      </c>
      <c r="S20" s="24" t="s">
        <v>39</v>
      </c>
      <c r="T20" s="249" t="s">
        <v>5309</v>
      </c>
      <c r="U20" s="17">
        <v>39.0</v>
      </c>
      <c r="V20" s="16">
        <v>15.0</v>
      </c>
      <c r="W20" s="16">
        <v>5.0</v>
      </c>
      <c r="X20" s="50">
        <v>50813.0</v>
      </c>
      <c r="Y20" s="250">
        <v>5360.0</v>
      </c>
    </row>
    <row r="21">
      <c r="A21" s="11">
        <v>14.0</v>
      </c>
      <c r="B21" s="11">
        <v>41.0</v>
      </c>
      <c r="C21" s="253">
        <v>5.0</v>
      </c>
      <c r="D21" s="235">
        <v>85.0</v>
      </c>
      <c r="E21" s="235">
        <v>85.0</v>
      </c>
      <c r="F21" s="253">
        <v>5.0</v>
      </c>
      <c r="G21" s="235">
        <v>85.0</v>
      </c>
      <c r="H21" s="236">
        <v>3.4074143E7</v>
      </c>
      <c r="I21" s="16">
        <v>59.0</v>
      </c>
      <c r="J21" s="11">
        <v>8.0</v>
      </c>
      <c r="K21" s="11" t="str">
        <f t="shared" si="1"/>
        <v>00850034074143598</v>
      </c>
      <c r="L21" s="238">
        <v>607.87</v>
      </c>
      <c r="M21" s="254">
        <v>71418.0</v>
      </c>
      <c r="N21" s="16">
        <v>60.0</v>
      </c>
      <c r="O21" s="22">
        <v>23.0</v>
      </c>
      <c r="P21" s="17">
        <v>82.0</v>
      </c>
      <c r="Q21" s="11">
        <v>8.4316282E7</v>
      </c>
      <c r="R21" s="11">
        <v>9.0</v>
      </c>
      <c r="S21" s="24" t="s">
        <v>39</v>
      </c>
      <c r="T21" s="249" t="s">
        <v>5310</v>
      </c>
      <c r="U21" s="17">
        <v>36.0</v>
      </c>
      <c r="V21" s="16">
        <v>98.0</v>
      </c>
      <c r="W21" s="16">
        <v>66.0</v>
      </c>
      <c r="X21" s="50">
        <v>92920.0</v>
      </c>
      <c r="Y21" s="250">
        <v>9048.0</v>
      </c>
    </row>
    <row r="22">
      <c r="A22" s="11">
        <v>18.0</v>
      </c>
      <c r="B22" s="11">
        <v>61.0</v>
      </c>
      <c r="C22" s="253">
        <v>5.0</v>
      </c>
      <c r="D22" s="235">
        <v>91.0</v>
      </c>
      <c r="E22" s="235">
        <v>91.0</v>
      </c>
      <c r="F22" s="253">
        <v>5.0</v>
      </c>
      <c r="G22" s="235">
        <v>91.0</v>
      </c>
      <c r="H22" s="236">
        <v>5.0115484E7</v>
      </c>
      <c r="I22" s="16">
        <v>87.0</v>
      </c>
      <c r="J22" s="11">
        <v>4.0</v>
      </c>
      <c r="K22" s="11" t="str">
        <f t="shared" si="1"/>
        <v>00910050115484874</v>
      </c>
      <c r="L22" s="238">
        <v>-944256.23</v>
      </c>
      <c r="M22" s="254">
        <v>71719.0</v>
      </c>
      <c r="N22" s="16">
        <v>41.0</v>
      </c>
      <c r="O22" s="22">
        <v>42.0</v>
      </c>
      <c r="P22" s="17">
        <v>41.0</v>
      </c>
      <c r="Q22" s="11">
        <v>7.2766879E7</v>
      </c>
      <c r="R22" s="11">
        <v>9.0</v>
      </c>
      <c r="S22" s="24" t="s">
        <v>48</v>
      </c>
      <c r="T22" s="249" t="s">
        <v>5311</v>
      </c>
      <c r="U22" s="17">
        <v>43.0</v>
      </c>
      <c r="V22" s="16">
        <v>86.0</v>
      </c>
      <c r="W22" s="16">
        <v>22.0</v>
      </c>
      <c r="X22" s="50">
        <v>21519.0</v>
      </c>
      <c r="Y22" s="250">
        <v>7292.0</v>
      </c>
    </row>
    <row r="23">
      <c r="A23" s="11">
        <v>18.0</v>
      </c>
      <c r="B23" s="11">
        <v>41.0</v>
      </c>
      <c r="C23" s="253">
        <v>31.0</v>
      </c>
      <c r="D23" s="235">
        <v>9.0</v>
      </c>
      <c r="E23" s="235">
        <v>9.0</v>
      </c>
      <c r="F23" s="253">
        <v>31.0</v>
      </c>
      <c r="G23" s="235">
        <v>9.0</v>
      </c>
      <c r="H23" s="236">
        <v>2.6856922E7</v>
      </c>
      <c r="I23" s="16">
        <v>70.0</v>
      </c>
      <c r="J23" s="11">
        <v>8.0</v>
      </c>
      <c r="K23" s="11" t="str">
        <f t="shared" si="1"/>
        <v>00090026856922708</v>
      </c>
      <c r="L23" s="238">
        <v>521501.39</v>
      </c>
      <c r="M23" s="254">
        <v>20219.0</v>
      </c>
      <c r="N23" s="16">
        <v>76.0</v>
      </c>
      <c r="O23" s="22">
        <v>21.0</v>
      </c>
      <c r="P23" s="17">
        <v>20.0</v>
      </c>
      <c r="Q23" s="11">
        <v>7.4245651E7</v>
      </c>
      <c r="R23" s="11">
        <v>4.0</v>
      </c>
      <c r="S23" s="24" t="s">
        <v>5292</v>
      </c>
      <c r="T23" s="249" t="s">
        <v>5312</v>
      </c>
      <c r="U23" s="17">
        <v>96.0</v>
      </c>
      <c r="V23" s="16">
        <v>27.0</v>
      </c>
      <c r="W23" s="16">
        <v>19.0</v>
      </c>
      <c r="X23" s="50">
        <v>81220.0</v>
      </c>
      <c r="Y23" s="250">
        <v>2769.0</v>
      </c>
    </row>
    <row r="24">
      <c r="A24" s="11">
        <v>18.0</v>
      </c>
      <c r="B24" s="11">
        <v>82.0</v>
      </c>
      <c r="C24" s="253">
        <v>39.0</v>
      </c>
      <c r="D24" s="235">
        <v>17.0</v>
      </c>
      <c r="E24" s="235">
        <v>17.0</v>
      </c>
      <c r="F24" s="253">
        <v>39.0</v>
      </c>
      <c r="G24" s="235">
        <v>17.0</v>
      </c>
      <c r="H24" s="236">
        <v>2.1839827E7</v>
      </c>
      <c r="I24" s="16">
        <v>12.0</v>
      </c>
      <c r="J24" s="11">
        <v>0.0</v>
      </c>
      <c r="K24" s="11" t="str">
        <f t="shared" si="1"/>
        <v>00170021839827120</v>
      </c>
      <c r="L24" s="238">
        <v>825597.9</v>
      </c>
      <c r="M24" s="254">
        <v>90423.0</v>
      </c>
      <c r="N24" s="16">
        <v>52.0</v>
      </c>
      <c r="O24" s="22">
        <v>18.0</v>
      </c>
      <c r="P24" s="17">
        <v>82.0</v>
      </c>
      <c r="Q24" s="11">
        <v>3.1020674E7</v>
      </c>
      <c r="R24" s="11">
        <v>6.0</v>
      </c>
      <c r="S24" s="24" t="s">
        <v>48</v>
      </c>
      <c r="T24" s="249" t="s">
        <v>5313</v>
      </c>
      <c r="U24" s="17">
        <v>42.0</v>
      </c>
      <c r="V24" s="16">
        <v>64.0</v>
      </c>
      <c r="W24" s="16">
        <v>40.0</v>
      </c>
      <c r="X24" s="50">
        <v>70918.0</v>
      </c>
      <c r="Y24" s="250">
        <v>3732.0</v>
      </c>
    </row>
    <row r="25">
      <c r="A25" s="11">
        <v>11.0</v>
      </c>
      <c r="B25" s="11">
        <v>82.0</v>
      </c>
      <c r="C25" s="253">
        <v>26.0</v>
      </c>
      <c r="D25" s="235">
        <v>51.0</v>
      </c>
      <c r="E25" s="235">
        <v>51.0</v>
      </c>
      <c r="F25" s="253">
        <v>26.0</v>
      </c>
      <c r="G25" s="235">
        <v>51.0</v>
      </c>
      <c r="H25" s="236">
        <v>2.8317107E7</v>
      </c>
      <c r="I25" s="16">
        <v>33.0</v>
      </c>
      <c r="J25" s="11">
        <v>2.0</v>
      </c>
      <c r="K25" s="11" t="str">
        <f t="shared" si="1"/>
        <v>00510028317107332</v>
      </c>
      <c r="L25" s="238">
        <v>-56922.95</v>
      </c>
      <c r="M25" s="254">
        <v>73023.0</v>
      </c>
      <c r="N25" s="16">
        <v>22.0</v>
      </c>
      <c r="O25" s="22">
        <v>15.0</v>
      </c>
      <c r="P25" s="17">
        <v>82.0</v>
      </c>
      <c r="Q25" s="11">
        <v>7.4222425E7</v>
      </c>
      <c r="R25" s="11">
        <v>5.0</v>
      </c>
      <c r="S25" s="24" t="s">
        <v>29</v>
      </c>
      <c r="T25" s="249" t="s">
        <v>5314</v>
      </c>
      <c r="U25" s="17">
        <v>44.0</v>
      </c>
      <c r="V25" s="16">
        <v>67.0</v>
      </c>
      <c r="W25" s="16">
        <v>2.0</v>
      </c>
      <c r="X25" s="50">
        <v>120518.0</v>
      </c>
      <c r="Y25" s="250">
        <v>4346.0</v>
      </c>
    </row>
    <row r="26">
      <c r="A26" s="11">
        <v>20.0</v>
      </c>
      <c r="B26" s="11">
        <v>41.0</v>
      </c>
      <c r="C26" s="253">
        <v>47.0</v>
      </c>
      <c r="D26" s="235">
        <v>121.0</v>
      </c>
      <c r="E26" s="235">
        <v>121.0</v>
      </c>
      <c r="F26" s="253">
        <v>47.0</v>
      </c>
      <c r="G26" s="235">
        <v>121.0</v>
      </c>
      <c r="H26" s="236">
        <v>1.0900624E7</v>
      </c>
      <c r="I26" s="16">
        <v>91.0</v>
      </c>
      <c r="J26" s="11">
        <v>2.0</v>
      </c>
      <c r="K26" s="11" t="str">
        <f t="shared" si="1"/>
        <v>01210010900624912</v>
      </c>
      <c r="L26" s="238">
        <v>957194.69</v>
      </c>
      <c r="M26" s="254">
        <v>111416.0</v>
      </c>
      <c r="N26" s="16">
        <v>10.0</v>
      </c>
      <c r="O26" s="22">
        <v>53.0</v>
      </c>
      <c r="P26" s="17">
        <v>21.0</v>
      </c>
      <c r="Q26" s="11">
        <v>9.8265061E7</v>
      </c>
      <c r="R26" s="11">
        <v>6.0</v>
      </c>
      <c r="S26" s="24" t="s">
        <v>29</v>
      </c>
      <c r="T26" s="249" t="s">
        <v>5315</v>
      </c>
      <c r="U26" s="17">
        <v>0.0</v>
      </c>
      <c r="V26" s="16">
        <v>21.0</v>
      </c>
      <c r="W26" s="16">
        <v>28.0</v>
      </c>
      <c r="X26" s="50">
        <v>120219.0</v>
      </c>
      <c r="Y26" s="250">
        <v>9579.0</v>
      </c>
    </row>
    <row r="27">
      <c r="A27" s="11">
        <v>13.0</v>
      </c>
      <c r="B27" s="11">
        <v>82.0</v>
      </c>
      <c r="C27" s="253">
        <v>40.0</v>
      </c>
      <c r="D27" s="235">
        <v>23.0</v>
      </c>
      <c r="E27" s="235">
        <v>23.0</v>
      </c>
      <c r="F27" s="253">
        <v>40.0</v>
      </c>
      <c r="G27" s="235">
        <v>23.0</v>
      </c>
      <c r="H27" s="236">
        <v>6.0511808E7</v>
      </c>
      <c r="I27" s="16">
        <v>33.0</v>
      </c>
      <c r="J27" s="11">
        <v>3.0</v>
      </c>
      <c r="K27" s="11" t="str">
        <f t="shared" si="1"/>
        <v>00230060511808333</v>
      </c>
      <c r="L27" s="238">
        <v>-1923.31</v>
      </c>
      <c r="M27" s="254">
        <v>103119.0</v>
      </c>
      <c r="N27" s="16">
        <v>20.0</v>
      </c>
      <c r="O27" s="22">
        <v>21.0</v>
      </c>
      <c r="P27" s="17">
        <v>62.0</v>
      </c>
      <c r="Q27" s="11">
        <v>3.2684005E7</v>
      </c>
      <c r="R27" s="11">
        <v>1.0</v>
      </c>
      <c r="S27" s="24" t="s">
        <v>5292</v>
      </c>
      <c r="T27" s="249" t="s">
        <v>5316</v>
      </c>
      <c r="U27" s="17">
        <v>1.0</v>
      </c>
      <c r="V27" s="16">
        <v>57.0</v>
      </c>
      <c r="W27" s="16">
        <v>56.0</v>
      </c>
      <c r="X27" s="50">
        <v>42614.0</v>
      </c>
      <c r="Y27" s="250">
        <v>9286.0</v>
      </c>
    </row>
    <row r="28">
      <c r="A28" s="11">
        <v>12.0</v>
      </c>
      <c r="B28" s="11">
        <v>41.0</v>
      </c>
      <c r="C28" s="253">
        <v>5.0</v>
      </c>
      <c r="D28" s="235">
        <v>131.0</v>
      </c>
      <c r="E28" s="235">
        <v>131.0</v>
      </c>
      <c r="F28" s="253">
        <v>5.0</v>
      </c>
      <c r="G28" s="235">
        <v>131.0</v>
      </c>
      <c r="H28" s="236">
        <v>6.7084686E7</v>
      </c>
      <c r="I28" s="16">
        <v>82.0</v>
      </c>
      <c r="J28" s="11">
        <v>3.0</v>
      </c>
      <c r="K28" s="11" t="str">
        <f t="shared" si="1"/>
        <v>01310067084686823</v>
      </c>
      <c r="L28" s="238">
        <v>6930.8</v>
      </c>
      <c r="M28" s="254">
        <v>41418.0</v>
      </c>
      <c r="N28" s="16">
        <v>70.0</v>
      </c>
      <c r="O28" s="22">
        <v>25.0</v>
      </c>
      <c r="P28" s="17">
        <v>62.0</v>
      </c>
      <c r="Q28" s="11">
        <v>3.3903283E7</v>
      </c>
      <c r="R28" s="11">
        <v>3.0</v>
      </c>
      <c r="S28" s="24" t="s">
        <v>5292</v>
      </c>
      <c r="T28" s="249" t="s">
        <v>5317</v>
      </c>
      <c r="U28" s="17">
        <v>2.0</v>
      </c>
      <c r="V28" s="16">
        <v>27.0</v>
      </c>
      <c r="W28" s="16">
        <v>25.0</v>
      </c>
      <c r="X28" s="50">
        <v>21220.0</v>
      </c>
      <c r="Y28" s="250">
        <v>6224.0</v>
      </c>
    </row>
    <row r="29">
      <c r="A29" s="11">
        <v>17.0</v>
      </c>
      <c r="B29" s="11">
        <v>82.0</v>
      </c>
      <c r="C29" s="253">
        <v>48.0</v>
      </c>
      <c r="D29" s="235">
        <v>431.0</v>
      </c>
      <c r="E29" s="235">
        <v>431.0</v>
      </c>
      <c r="F29" s="253">
        <v>48.0</v>
      </c>
      <c r="G29" s="235">
        <v>431.0</v>
      </c>
      <c r="H29" s="236">
        <v>1.2067708E7</v>
      </c>
      <c r="I29" s="16">
        <v>5.0</v>
      </c>
      <c r="J29" s="11">
        <v>2.0</v>
      </c>
      <c r="K29" s="11" t="str">
        <f t="shared" si="1"/>
        <v>04310012067708052</v>
      </c>
      <c r="L29" s="238">
        <v>703877.19</v>
      </c>
      <c r="M29" s="254">
        <v>10321.0</v>
      </c>
      <c r="N29" s="16">
        <v>45.0</v>
      </c>
      <c r="O29" s="22">
        <v>1.0</v>
      </c>
      <c r="P29" s="17">
        <v>41.0</v>
      </c>
      <c r="Q29" s="11">
        <v>4.1310269E7</v>
      </c>
      <c r="R29" s="11">
        <v>5.0</v>
      </c>
      <c r="S29" s="24" t="s">
        <v>39</v>
      </c>
      <c r="T29" s="249" t="s">
        <v>5318</v>
      </c>
      <c r="U29" s="17">
        <v>55.0</v>
      </c>
      <c r="V29" s="16">
        <v>90.0</v>
      </c>
      <c r="W29" s="16">
        <v>25.0</v>
      </c>
      <c r="X29" s="50">
        <v>60118.0</v>
      </c>
      <c r="Y29" s="250">
        <v>8160.0</v>
      </c>
    </row>
    <row r="30">
      <c r="A30" s="11">
        <v>14.0</v>
      </c>
      <c r="B30" s="11">
        <v>21.0</v>
      </c>
      <c r="C30" s="253">
        <v>48.0</v>
      </c>
      <c r="D30" s="235">
        <v>223.0</v>
      </c>
      <c r="E30" s="235">
        <v>223.0</v>
      </c>
      <c r="F30" s="253">
        <v>48.0</v>
      </c>
      <c r="G30" s="235">
        <v>223.0</v>
      </c>
      <c r="H30" s="236">
        <v>2.1784696E7</v>
      </c>
      <c r="I30" s="16">
        <v>77.0</v>
      </c>
      <c r="J30" s="11">
        <v>8.0</v>
      </c>
      <c r="K30" s="11" t="str">
        <f t="shared" si="1"/>
        <v>02230021784696778</v>
      </c>
      <c r="L30" s="238">
        <v>83265.29</v>
      </c>
      <c r="M30" s="254">
        <v>72418.0</v>
      </c>
      <c r="N30" s="16">
        <v>48.0</v>
      </c>
      <c r="O30" s="22">
        <v>4.0</v>
      </c>
      <c r="P30" s="17">
        <v>21.0</v>
      </c>
      <c r="Q30" s="11">
        <v>5.5350069E7</v>
      </c>
      <c r="R30" s="11">
        <v>4.0</v>
      </c>
      <c r="S30" s="24" t="s">
        <v>48</v>
      </c>
      <c r="T30" s="249" t="s">
        <v>5319</v>
      </c>
      <c r="U30" s="17">
        <v>9.0</v>
      </c>
      <c r="V30" s="16">
        <v>29.0</v>
      </c>
      <c r="W30" s="16">
        <v>22.0</v>
      </c>
      <c r="X30" s="50">
        <v>41813.0</v>
      </c>
      <c r="Y30" s="250">
        <v>7528.0</v>
      </c>
    </row>
    <row r="31">
      <c r="A31" s="11">
        <v>17.0</v>
      </c>
      <c r="B31" s="11">
        <v>62.0</v>
      </c>
      <c r="C31" s="253">
        <v>46.0</v>
      </c>
      <c r="D31" s="235">
        <v>41.0</v>
      </c>
      <c r="E31" s="235">
        <v>41.0</v>
      </c>
      <c r="F31" s="253">
        <v>46.0</v>
      </c>
      <c r="G31" s="235">
        <v>41.0</v>
      </c>
      <c r="H31" s="236">
        <v>8.7120329E7</v>
      </c>
      <c r="I31" s="16">
        <v>79.0</v>
      </c>
      <c r="J31" s="11">
        <v>9.0</v>
      </c>
      <c r="K31" s="11" t="str">
        <f t="shared" si="1"/>
        <v>00410087120329799</v>
      </c>
      <c r="L31" s="238">
        <v>65542.93</v>
      </c>
      <c r="M31" s="254">
        <v>10721.0</v>
      </c>
      <c r="N31" s="16">
        <v>87.0</v>
      </c>
      <c r="O31" s="22">
        <v>30.0</v>
      </c>
      <c r="P31" s="17">
        <v>82.0</v>
      </c>
      <c r="Q31" s="11">
        <v>4.6294869E7</v>
      </c>
      <c r="R31" s="11">
        <v>1.0</v>
      </c>
      <c r="S31" s="24" t="s">
        <v>39</v>
      </c>
      <c r="T31" s="249" t="s">
        <v>5320</v>
      </c>
      <c r="U31" s="17">
        <v>56.0</v>
      </c>
      <c r="V31" s="16">
        <v>18.0</v>
      </c>
      <c r="W31" s="16">
        <v>50.0</v>
      </c>
      <c r="X31" s="50">
        <v>110416.0</v>
      </c>
      <c r="Y31" s="250">
        <v>9861.0</v>
      </c>
    </row>
    <row r="32">
      <c r="A32" s="11">
        <v>16.0</v>
      </c>
      <c r="B32" s="11">
        <v>21.0</v>
      </c>
      <c r="C32" s="253">
        <v>20.0</v>
      </c>
      <c r="D32" s="235">
        <v>133.0</v>
      </c>
      <c r="E32" s="235">
        <v>133.0</v>
      </c>
      <c r="F32" s="253">
        <v>20.0</v>
      </c>
      <c r="G32" s="235">
        <v>133.0</v>
      </c>
      <c r="H32" s="236">
        <v>3.2228374E7</v>
      </c>
      <c r="I32" s="16">
        <v>75.0</v>
      </c>
      <c r="J32" s="11">
        <v>1.0</v>
      </c>
      <c r="K32" s="11" t="str">
        <f t="shared" si="1"/>
        <v>01330032228374751</v>
      </c>
      <c r="L32" s="238">
        <v>39439.38</v>
      </c>
      <c r="M32" s="254">
        <v>110313.0</v>
      </c>
      <c r="N32" s="16">
        <v>82.0</v>
      </c>
      <c r="O32" s="22">
        <v>40.0</v>
      </c>
      <c r="P32" s="17">
        <v>82.0</v>
      </c>
      <c r="Q32" s="11">
        <v>9.8867324E7</v>
      </c>
      <c r="R32" s="11">
        <v>9.0</v>
      </c>
      <c r="S32" s="24" t="s">
        <v>29</v>
      </c>
      <c r="T32" s="249" t="s">
        <v>5321</v>
      </c>
      <c r="U32" s="17">
        <v>57.0</v>
      </c>
      <c r="V32" s="16">
        <v>7.0</v>
      </c>
      <c r="W32" s="16">
        <v>79.0</v>
      </c>
      <c r="X32" s="50">
        <v>80922.0</v>
      </c>
      <c r="Y32" s="250">
        <v>3465.0</v>
      </c>
    </row>
    <row r="33">
      <c r="A33" s="11">
        <v>15.0</v>
      </c>
      <c r="B33" s="11">
        <v>41.0</v>
      </c>
      <c r="C33" s="253">
        <v>18.0</v>
      </c>
      <c r="D33" s="235">
        <v>67.0</v>
      </c>
      <c r="E33" s="235">
        <v>67.0</v>
      </c>
      <c r="F33" s="253">
        <v>18.0</v>
      </c>
      <c r="G33" s="235">
        <v>67.0</v>
      </c>
      <c r="H33" s="236">
        <v>4.3995138E7</v>
      </c>
      <c r="I33" s="16">
        <v>47.0</v>
      </c>
      <c r="J33" s="11">
        <v>0.0</v>
      </c>
      <c r="K33" s="11" t="str">
        <f t="shared" si="1"/>
        <v>00670043995138470</v>
      </c>
      <c r="L33" s="238">
        <v>-20351.14</v>
      </c>
      <c r="M33" s="254">
        <v>72915.0</v>
      </c>
      <c r="N33" s="16">
        <v>40.0</v>
      </c>
      <c r="O33" s="22">
        <v>27.0</v>
      </c>
      <c r="P33" s="17">
        <v>62.0</v>
      </c>
      <c r="Q33" s="11">
        <v>3.0257565E7</v>
      </c>
      <c r="R33" s="11">
        <v>6.0</v>
      </c>
      <c r="S33" s="24" t="s">
        <v>48</v>
      </c>
      <c r="T33" s="249" t="s">
        <v>5322</v>
      </c>
      <c r="U33" s="17">
        <v>10.0</v>
      </c>
      <c r="V33" s="16">
        <v>81.0</v>
      </c>
      <c r="W33" s="16">
        <v>94.0</v>
      </c>
      <c r="X33" s="50">
        <v>52817.0</v>
      </c>
      <c r="Y33" s="250">
        <v>4503.0</v>
      </c>
    </row>
    <row r="34">
      <c r="A34" s="11">
        <v>20.0</v>
      </c>
      <c r="B34" s="11">
        <v>62.0</v>
      </c>
      <c r="C34" s="253">
        <v>37.0</v>
      </c>
      <c r="D34" s="235">
        <v>199.0</v>
      </c>
      <c r="E34" s="235">
        <v>199.0</v>
      </c>
      <c r="F34" s="253">
        <v>37.0</v>
      </c>
      <c r="G34" s="235">
        <v>199.0</v>
      </c>
      <c r="H34" s="236">
        <v>5.8059673E7</v>
      </c>
      <c r="I34" s="16">
        <v>65.0</v>
      </c>
      <c r="J34" s="11">
        <v>2.0</v>
      </c>
      <c r="K34" s="11" t="str">
        <f t="shared" si="1"/>
        <v>01990058059673652</v>
      </c>
      <c r="L34" s="238">
        <v>-98535.85</v>
      </c>
      <c r="M34" s="254">
        <v>11513.0</v>
      </c>
      <c r="N34" s="16">
        <v>34.0</v>
      </c>
      <c r="O34" s="22">
        <v>28.0</v>
      </c>
      <c r="P34" s="17">
        <v>41.0</v>
      </c>
      <c r="Q34" s="11">
        <v>1.5204869E7</v>
      </c>
      <c r="R34" s="11">
        <v>9.0</v>
      </c>
      <c r="S34" s="24" t="s">
        <v>5292</v>
      </c>
      <c r="T34" s="249" t="s">
        <v>5323</v>
      </c>
      <c r="U34" s="17">
        <v>63.0</v>
      </c>
      <c r="V34" s="16">
        <v>65.0</v>
      </c>
      <c r="W34" s="16">
        <v>34.0</v>
      </c>
      <c r="X34" s="50">
        <v>42814.0</v>
      </c>
      <c r="Y34" s="250">
        <v>4263.0</v>
      </c>
    </row>
    <row r="35">
      <c r="A35" s="11">
        <v>10.0</v>
      </c>
      <c r="B35" s="11">
        <v>62.0</v>
      </c>
      <c r="C35" s="253">
        <v>48.0</v>
      </c>
      <c r="D35" s="235">
        <v>247.0</v>
      </c>
      <c r="E35" s="235">
        <v>247.0</v>
      </c>
      <c r="F35" s="253">
        <v>48.0</v>
      </c>
      <c r="G35" s="235">
        <v>247.0</v>
      </c>
      <c r="H35" s="236">
        <v>6.3181942E7</v>
      </c>
      <c r="I35" s="16">
        <v>89.0</v>
      </c>
      <c r="J35" s="11">
        <v>1.0</v>
      </c>
      <c r="K35" s="11" t="str">
        <f t="shared" si="1"/>
        <v>02470063181942891</v>
      </c>
      <c r="L35" s="238">
        <v>-70713.43</v>
      </c>
      <c r="M35" s="254">
        <v>102822.0</v>
      </c>
      <c r="N35" s="16">
        <v>94.0</v>
      </c>
      <c r="O35" s="22">
        <v>48.0</v>
      </c>
      <c r="P35" s="17">
        <v>21.0</v>
      </c>
      <c r="Q35" s="11">
        <v>9.4933021E7</v>
      </c>
      <c r="R35" s="11">
        <v>7.0</v>
      </c>
      <c r="S35" s="24" t="s">
        <v>5292</v>
      </c>
      <c r="T35" s="249" t="s">
        <v>5324</v>
      </c>
      <c r="U35" s="17">
        <v>20.0</v>
      </c>
      <c r="V35" s="16">
        <v>75.0</v>
      </c>
      <c r="W35" s="16">
        <v>47.0</v>
      </c>
      <c r="X35" s="50">
        <v>50514.0</v>
      </c>
      <c r="Y35" s="250">
        <v>3405.0</v>
      </c>
    </row>
    <row r="36">
      <c r="A36" s="11">
        <v>20.0</v>
      </c>
      <c r="B36" s="11">
        <v>41.0</v>
      </c>
      <c r="C36" s="253">
        <v>9.0</v>
      </c>
      <c r="D36" s="235">
        <v>13.0</v>
      </c>
      <c r="E36" s="235">
        <v>13.0</v>
      </c>
      <c r="F36" s="253">
        <v>9.0</v>
      </c>
      <c r="G36" s="235">
        <v>13.0</v>
      </c>
      <c r="H36" s="236">
        <v>7.9622567E7</v>
      </c>
      <c r="I36" s="16">
        <v>14.0</v>
      </c>
      <c r="J36" s="11">
        <v>0.0</v>
      </c>
      <c r="K36" s="11" t="str">
        <f t="shared" si="1"/>
        <v>00130079622567140</v>
      </c>
      <c r="L36" s="238">
        <v>-516177.65</v>
      </c>
      <c r="M36" s="254">
        <v>100514.0</v>
      </c>
      <c r="N36" s="16">
        <v>52.0</v>
      </c>
      <c r="O36" s="22">
        <v>47.0</v>
      </c>
      <c r="P36" s="17">
        <v>62.0</v>
      </c>
      <c r="Q36" s="11">
        <v>7.1606822E7</v>
      </c>
      <c r="R36" s="11">
        <v>9.0</v>
      </c>
      <c r="S36" s="24" t="s">
        <v>48</v>
      </c>
      <c r="T36" s="249" t="s">
        <v>5325</v>
      </c>
      <c r="U36" s="17">
        <v>16.0</v>
      </c>
      <c r="V36" s="16">
        <v>61.0</v>
      </c>
      <c r="W36" s="16">
        <v>69.0</v>
      </c>
      <c r="X36" s="50">
        <v>101415.0</v>
      </c>
      <c r="Y36" s="250">
        <v>4695.0</v>
      </c>
    </row>
    <row r="37">
      <c r="A37" s="11">
        <v>10.0</v>
      </c>
      <c r="B37" s="11">
        <v>62.0</v>
      </c>
      <c r="C37" s="253">
        <v>8.0</v>
      </c>
      <c r="D37" s="235">
        <v>41.0</v>
      </c>
      <c r="E37" s="235">
        <v>41.0</v>
      </c>
      <c r="F37" s="253">
        <v>8.0</v>
      </c>
      <c r="G37" s="235">
        <v>41.0</v>
      </c>
      <c r="H37" s="236">
        <v>1.6970266E7</v>
      </c>
      <c r="I37" s="16">
        <v>29.0</v>
      </c>
      <c r="J37" s="11">
        <v>1.0</v>
      </c>
      <c r="K37" s="11" t="str">
        <f t="shared" si="1"/>
        <v>00410016970266291</v>
      </c>
      <c r="L37" s="238">
        <v>82072.7</v>
      </c>
      <c r="M37" s="254">
        <v>100121.0</v>
      </c>
      <c r="N37" s="16">
        <v>86.0</v>
      </c>
      <c r="O37" s="22">
        <v>56.0</v>
      </c>
      <c r="P37" s="17">
        <v>41.0</v>
      </c>
      <c r="Q37" s="11">
        <v>1.433596E7</v>
      </c>
      <c r="R37" s="11">
        <v>9.0</v>
      </c>
      <c r="S37" s="24" t="s">
        <v>48</v>
      </c>
      <c r="T37" s="249" t="s">
        <v>5326</v>
      </c>
      <c r="U37" s="17">
        <v>70.0</v>
      </c>
      <c r="V37" s="16">
        <v>12.0</v>
      </c>
      <c r="W37" s="16">
        <v>11.0</v>
      </c>
      <c r="X37" s="50">
        <v>12215.0</v>
      </c>
      <c r="Y37" s="250">
        <v>666.0</v>
      </c>
    </row>
    <row r="38">
      <c r="A38" s="11">
        <v>13.0</v>
      </c>
      <c r="B38" s="11">
        <v>21.0</v>
      </c>
      <c r="C38" s="253">
        <v>49.0</v>
      </c>
      <c r="D38" s="235">
        <v>35.0</v>
      </c>
      <c r="E38" s="235">
        <v>35.0</v>
      </c>
      <c r="F38" s="253">
        <v>49.0</v>
      </c>
      <c r="G38" s="235">
        <v>35.0</v>
      </c>
      <c r="H38" s="236">
        <v>2.513212E7</v>
      </c>
      <c r="I38" s="16">
        <v>52.0</v>
      </c>
      <c r="J38" s="11">
        <v>0.0</v>
      </c>
      <c r="K38" s="11" t="str">
        <f t="shared" si="1"/>
        <v>00350025132120520</v>
      </c>
      <c r="L38" s="238">
        <v>-871811.14</v>
      </c>
      <c r="M38" s="254">
        <v>12322.0</v>
      </c>
      <c r="N38" s="16">
        <v>31.0</v>
      </c>
      <c r="O38" s="22">
        <v>9.0</v>
      </c>
      <c r="P38" s="17">
        <v>82.0</v>
      </c>
      <c r="Q38" s="11">
        <v>6.5924638E7</v>
      </c>
      <c r="R38" s="11">
        <v>9.0</v>
      </c>
      <c r="S38" s="24" t="s">
        <v>29</v>
      </c>
      <c r="T38" s="249" t="s">
        <v>5327</v>
      </c>
      <c r="U38" s="17">
        <v>67.0</v>
      </c>
      <c r="V38" s="16">
        <v>20.0</v>
      </c>
      <c r="W38" s="16">
        <v>71.0</v>
      </c>
      <c r="X38" s="50">
        <v>120220.0</v>
      </c>
      <c r="Y38" s="250">
        <v>9149.0</v>
      </c>
    </row>
    <row r="39">
      <c r="A39" s="11">
        <v>16.0</v>
      </c>
      <c r="B39" s="11">
        <v>82.0</v>
      </c>
      <c r="C39" s="253">
        <v>2.0</v>
      </c>
      <c r="D39" s="235">
        <v>164.0</v>
      </c>
      <c r="E39" s="235">
        <v>164.0</v>
      </c>
      <c r="F39" s="253">
        <v>2.0</v>
      </c>
      <c r="G39" s="235">
        <v>164.0</v>
      </c>
      <c r="H39" s="236">
        <v>9.6124053E7</v>
      </c>
      <c r="I39" s="16">
        <v>52.0</v>
      </c>
      <c r="J39" s="11">
        <v>8.0</v>
      </c>
      <c r="K39" s="11" t="str">
        <f t="shared" si="1"/>
        <v>01640096124053528</v>
      </c>
      <c r="L39" s="238">
        <v>573.6</v>
      </c>
      <c r="M39" s="254">
        <v>42821.0</v>
      </c>
      <c r="N39" s="16">
        <v>20.0</v>
      </c>
      <c r="O39" s="22">
        <v>22.0</v>
      </c>
      <c r="P39" s="17">
        <v>82.0</v>
      </c>
      <c r="Q39" s="11">
        <v>3.7988691E7</v>
      </c>
      <c r="R39" s="11">
        <v>0.0</v>
      </c>
      <c r="S39" s="24" t="s">
        <v>39</v>
      </c>
      <c r="T39" s="249" t="s">
        <v>5328</v>
      </c>
      <c r="U39" s="17">
        <v>64.0</v>
      </c>
      <c r="V39" s="16">
        <v>46.0</v>
      </c>
      <c r="W39" s="16">
        <v>22.0</v>
      </c>
      <c r="X39" s="50">
        <v>122314.0</v>
      </c>
      <c r="Y39" s="250">
        <v>1396.0</v>
      </c>
    </row>
    <row r="40">
      <c r="A40" s="11">
        <v>20.0</v>
      </c>
      <c r="B40" s="11">
        <v>21.0</v>
      </c>
      <c r="C40" s="253">
        <v>21.0</v>
      </c>
      <c r="D40" s="235">
        <v>3.0</v>
      </c>
      <c r="E40" s="235">
        <v>3.0</v>
      </c>
      <c r="F40" s="253">
        <v>21.0</v>
      </c>
      <c r="G40" s="235">
        <v>3.0</v>
      </c>
      <c r="H40" s="236">
        <v>9.289936E7</v>
      </c>
      <c r="I40" s="16">
        <v>15.0</v>
      </c>
      <c r="J40" s="11">
        <v>0.0</v>
      </c>
      <c r="K40" s="11" t="str">
        <f t="shared" si="1"/>
        <v>00030092899360150</v>
      </c>
      <c r="L40" s="238">
        <v>841926.65</v>
      </c>
      <c r="M40" s="254">
        <v>111119.0</v>
      </c>
      <c r="N40" s="16">
        <v>66.0</v>
      </c>
      <c r="O40" s="22">
        <v>10.0</v>
      </c>
      <c r="P40" s="17">
        <v>62.0</v>
      </c>
      <c r="Q40" s="11">
        <v>2.4889958E7</v>
      </c>
      <c r="R40" s="11">
        <v>8.0</v>
      </c>
      <c r="S40" s="24" t="s">
        <v>39</v>
      </c>
      <c r="T40" s="249" t="s">
        <v>5329</v>
      </c>
      <c r="U40" s="17">
        <v>27.0</v>
      </c>
      <c r="V40" s="16">
        <v>93.0</v>
      </c>
      <c r="W40" s="16">
        <v>32.0</v>
      </c>
      <c r="X40" s="50">
        <v>63021.0</v>
      </c>
      <c r="Y40" s="250">
        <v>6678.0</v>
      </c>
    </row>
    <row r="41">
      <c r="A41" s="11">
        <v>16.0</v>
      </c>
      <c r="B41" s="11">
        <v>82.0</v>
      </c>
      <c r="C41" s="253">
        <v>2.0</v>
      </c>
      <c r="D41" s="235">
        <v>60.0</v>
      </c>
      <c r="E41" s="235">
        <v>60.0</v>
      </c>
      <c r="F41" s="253">
        <v>2.0</v>
      </c>
      <c r="G41" s="235">
        <v>60.0</v>
      </c>
      <c r="H41" s="236">
        <v>8.3830301E7</v>
      </c>
      <c r="I41" s="16">
        <v>85.0</v>
      </c>
      <c r="J41" s="11">
        <v>5.0</v>
      </c>
      <c r="K41" s="11" t="str">
        <f t="shared" si="1"/>
        <v>00600083830301855</v>
      </c>
      <c r="L41" s="238">
        <v>90853.56</v>
      </c>
      <c r="M41" s="254">
        <v>61117.0</v>
      </c>
      <c r="N41" s="16">
        <v>74.0</v>
      </c>
      <c r="O41" s="22">
        <v>47.0</v>
      </c>
      <c r="P41" s="17">
        <v>41.0</v>
      </c>
      <c r="Q41" s="11">
        <v>6.4112174E7</v>
      </c>
      <c r="R41" s="11">
        <v>1.0</v>
      </c>
      <c r="S41" s="24" t="s">
        <v>48</v>
      </c>
      <c r="T41" s="249" t="s">
        <v>5330</v>
      </c>
      <c r="U41" s="17">
        <v>79.0</v>
      </c>
      <c r="V41" s="16">
        <v>89.0</v>
      </c>
      <c r="W41" s="16">
        <v>28.0</v>
      </c>
      <c r="X41" s="50">
        <v>92922.0</v>
      </c>
      <c r="Y41" s="250">
        <v>6059.0</v>
      </c>
    </row>
    <row r="42">
      <c r="A42" s="11">
        <v>19.0</v>
      </c>
      <c r="B42" s="11">
        <v>41.0</v>
      </c>
      <c r="C42" s="253">
        <v>56.0</v>
      </c>
      <c r="D42" s="235">
        <v>43.0</v>
      </c>
      <c r="E42" s="235">
        <v>43.0</v>
      </c>
      <c r="F42" s="253">
        <v>56.0</v>
      </c>
      <c r="G42" s="235">
        <v>43.0</v>
      </c>
      <c r="H42" s="236">
        <v>7.0197143E7</v>
      </c>
      <c r="I42" s="16">
        <v>98.0</v>
      </c>
      <c r="J42" s="11">
        <v>1.0</v>
      </c>
      <c r="K42" s="11" t="str">
        <f t="shared" si="1"/>
        <v>00430070197143981</v>
      </c>
      <c r="L42" s="238">
        <v>474.24</v>
      </c>
      <c r="M42" s="254">
        <v>60518.0</v>
      </c>
      <c r="N42" s="16">
        <v>66.0</v>
      </c>
      <c r="O42" s="22">
        <v>46.0</v>
      </c>
      <c r="P42" s="17">
        <v>82.0</v>
      </c>
      <c r="Q42" s="11">
        <v>3.7939383E7</v>
      </c>
      <c r="R42" s="11">
        <v>4.0</v>
      </c>
      <c r="S42" s="24" t="s">
        <v>29</v>
      </c>
      <c r="T42" s="249" t="s">
        <v>5331</v>
      </c>
      <c r="U42" s="17">
        <v>77.0</v>
      </c>
      <c r="V42" s="16">
        <v>76.0</v>
      </c>
      <c r="W42" s="16">
        <v>8.0</v>
      </c>
      <c r="X42" s="50">
        <v>42622.0</v>
      </c>
      <c r="Y42" s="250">
        <v>5253.0</v>
      </c>
    </row>
    <row r="43">
      <c r="A43" s="11">
        <v>17.0</v>
      </c>
      <c r="B43" s="11">
        <v>21.0</v>
      </c>
      <c r="C43" s="253">
        <v>48.0</v>
      </c>
      <c r="D43" s="235">
        <v>317.0</v>
      </c>
      <c r="E43" s="235">
        <v>317.0</v>
      </c>
      <c r="F43" s="253">
        <v>48.0</v>
      </c>
      <c r="G43" s="235">
        <v>317.0</v>
      </c>
      <c r="H43" s="236">
        <v>2.9589775E7</v>
      </c>
      <c r="I43" s="16">
        <v>25.0</v>
      </c>
      <c r="J43" s="11">
        <v>8.0</v>
      </c>
      <c r="K43" s="11" t="str">
        <f t="shared" si="1"/>
        <v>03170029589775258</v>
      </c>
      <c r="L43" s="238">
        <v>9131.16</v>
      </c>
      <c r="M43" s="254">
        <v>102415.0</v>
      </c>
      <c r="N43" s="16">
        <v>46.0</v>
      </c>
      <c r="O43" s="22">
        <v>33.0</v>
      </c>
      <c r="P43" s="17">
        <v>62.0</v>
      </c>
      <c r="Q43" s="11">
        <v>5.9279678E7</v>
      </c>
      <c r="R43" s="11">
        <v>6.0</v>
      </c>
      <c r="S43" s="24" t="s">
        <v>39</v>
      </c>
      <c r="T43" s="249" t="s">
        <v>5332</v>
      </c>
      <c r="U43" s="17">
        <v>30.0</v>
      </c>
      <c r="V43" s="16">
        <v>61.0</v>
      </c>
      <c r="W43" s="16">
        <v>15.0</v>
      </c>
      <c r="X43" s="50">
        <v>111616.0</v>
      </c>
      <c r="Y43" s="250">
        <v>9596.0</v>
      </c>
    </row>
    <row r="44">
      <c r="A44" s="11">
        <v>18.0</v>
      </c>
      <c r="B44" s="11">
        <v>41.0</v>
      </c>
      <c r="C44" s="253">
        <v>48.0</v>
      </c>
      <c r="D44" s="235">
        <v>405.0</v>
      </c>
      <c r="E44" s="235">
        <v>405.0</v>
      </c>
      <c r="F44" s="253">
        <v>48.0</v>
      </c>
      <c r="G44" s="235">
        <v>405.0</v>
      </c>
      <c r="H44" s="236">
        <v>6.9046532E7</v>
      </c>
      <c r="I44" s="16">
        <v>44.0</v>
      </c>
      <c r="J44" s="11">
        <v>9.0</v>
      </c>
      <c r="K44" s="11" t="str">
        <f t="shared" si="1"/>
        <v>04050069046532449</v>
      </c>
      <c r="L44" s="238">
        <v>796003.98</v>
      </c>
      <c r="M44" s="254">
        <v>53015.0</v>
      </c>
      <c r="N44" s="16">
        <v>21.0</v>
      </c>
      <c r="O44" s="22">
        <v>41.0</v>
      </c>
      <c r="P44" s="17">
        <v>21.0</v>
      </c>
      <c r="Q44" s="11">
        <v>4.4847932E7</v>
      </c>
      <c r="R44" s="11">
        <v>0.0</v>
      </c>
      <c r="S44" s="24" t="s">
        <v>39</v>
      </c>
      <c r="T44" s="249" t="s">
        <v>5333</v>
      </c>
      <c r="U44" s="17">
        <v>36.0</v>
      </c>
      <c r="V44" s="16">
        <v>19.0</v>
      </c>
      <c r="W44" s="16">
        <v>13.0</v>
      </c>
      <c r="X44" s="50">
        <v>51218.0</v>
      </c>
      <c r="Y44" s="250">
        <v>7643.0</v>
      </c>
    </row>
    <row r="45">
      <c r="A45" s="11">
        <v>10.0</v>
      </c>
      <c r="B45" s="11">
        <v>82.0</v>
      </c>
      <c r="C45" s="253">
        <v>51.0</v>
      </c>
      <c r="D45" s="235">
        <v>193.0</v>
      </c>
      <c r="E45" s="235">
        <v>193.0</v>
      </c>
      <c r="F45" s="253">
        <v>51.0</v>
      </c>
      <c r="G45" s="235">
        <v>193.0</v>
      </c>
      <c r="H45" s="236">
        <v>4.3509991E7</v>
      </c>
      <c r="I45" s="16">
        <v>99.0</v>
      </c>
      <c r="J45" s="11">
        <v>3.0</v>
      </c>
      <c r="K45" s="11" t="str">
        <f t="shared" si="1"/>
        <v>01930043509991993</v>
      </c>
      <c r="L45" s="238">
        <v>-93828.33</v>
      </c>
      <c r="M45" s="254">
        <v>72218.0</v>
      </c>
      <c r="N45" s="16">
        <v>68.0</v>
      </c>
      <c r="O45" s="22">
        <v>26.0</v>
      </c>
      <c r="P45" s="17">
        <v>41.0</v>
      </c>
      <c r="Q45" s="11">
        <v>7.9765853E7</v>
      </c>
      <c r="R45" s="11">
        <v>2.0</v>
      </c>
      <c r="S45" s="24" t="s">
        <v>39</v>
      </c>
      <c r="T45" s="249" t="s">
        <v>5334</v>
      </c>
      <c r="U45" s="17">
        <v>86.0</v>
      </c>
      <c r="V45" s="16">
        <v>76.0</v>
      </c>
      <c r="W45" s="16">
        <v>50.0</v>
      </c>
      <c r="X45" s="50">
        <v>110715.0</v>
      </c>
      <c r="Y45" s="250">
        <v>1666.0</v>
      </c>
    </row>
    <row r="46">
      <c r="A46" s="11">
        <v>12.0</v>
      </c>
      <c r="B46" s="11">
        <v>62.0</v>
      </c>
      <c r="C46" s="253">
        <v>39.0</v>
      </c>
      <c r="D46" s="235">
        <v>65.0</v>
      </c>
      <c r="E46" s="235">
        <v>65.0</v>
      </c>
      <c r="F46" s="253">
        <v>39.0</v>
      </c>
      <c r="G46" s="235">
        <v>65.0</v>
      </c>
      <c r="H46" s="236">
        <v>9.2936137E7</v>
      </c>
      <c r="I46" s="16">
        <v>51.0</v>
      </c>
      <c r="J46" s="11">
        <v>3.0</v>
      </c>
      <c r="K46" s="11" t="str">
        <f t="shared" si="1"/>
        <v>00650092936137513</v>
      </c>
      <c r="L46" s="238">
        <v>224.93</v>
      </c>
      <c r="M46" s="254">
        <v>101720.0</v>
      </c>
      <c r="N46" s="16">
        <v>60.0</v>
      </c>
      <c r="O46" s="22">
        <v>55.0</v>
      </c>
      <c r="P46" s="17">
        <v>41.0</v>
      </c>
      <c r="Q46" s="11">
        <v>1.9758016E7</v>
      </c>
      <c r="R46" s="11">
        <v>8.0</v>
      </c>
      <c r="S46" s="24" t="s">
        <v>5292</v>
      </c>
      <c r="T46" s="249" t="s">
        <v>5335</v>
      </c>
      <c r="U46" s="17">
        <v>87.0</v>
      </c>
      <c r="V46" s="16">
        <v>78.0</v>
      </c>
      <c r="W46" s="16">
        <v>8.0</v>
      </c>
      <c r="X46" s="50">
        <v>92114.0</v>
      </c>
      <c r="Y46" s="250">
        <v>305.0</v>
      </c>
    </row>
    <row r="47">
      <c r="A47" s="11">
        <v>11.0</v>
      </c>
      <c r="B47" s="11">
        <v>41.0</v>
      </c>
      <c r="C47" s="253">
        <v>48.0</v>
      </c>
      <c r="D47" s="235">
        <v>465.0</v>
      </c>
      <c r="E47" s="235">
        <v>465.0</v>
      </c>
      <c r="F47" s="253">
        <v>48.0</v>
      </c>
      <c r="G47" s="235">
        <v>465.0</v>
      </c>
      <c r="H47" s="236">
        <v>3.012004E7</v>
      </c>
      <c r="I47" s="16">
        <v>6.0</v>
      </c>
      <c r="J47" s="11">
        <v>2.0</v>
      </c>
      <c r="K47" s="11" t="str">
        <f t="shared" si="1"/>
        <v>04650030120040062</v>
      </c>
      <c r="L47" s="238">
        <v>48794.51</v>
      </c>
      <c r="M47" s="254">
        <v>100818.0</v>
      </c>
      <c r="N47" s="16">
        <v>68.0</v>
      </c>
      <c r="O47" s="22">
        <v>40.0</v>
      </c>
      <c r="P47" s="17">
        <v>62.0</v>
      </c>
      <c r="Q47" s="11">
        <v>5.5337876E7</v>
      </c>
      <c r="R47" s="11">
        <v>1.0</v>
      </c>
      <c r="S47" s="24" t="s">
        <v>48</v>
      </c>
      <c r="T47" s="249" t="s">
        <v>5336</v>
      </c>
      <c r="U47" s="17">
        <v>34.0</v>
      </c>
      <c r="V47" s="16">
        <v>4.0</v>
      </c>
      <c r="W47" s="16">
        <v>86.0</v>
      </c>
      <c r="X47" s="50">
        <v>91015.0</v>
      </c>
      <c r="Y47" s="250">
        <v>5007.0</v>
      </c>
    </row>
    <row r="48">
      <c r="A48" s="11">
        <v>15.0</v>
      </c>
      <c r="B48" s="11">
        <v>21.0</v>
      </c>
      <c r="C48" s="253">
        <v>54.0</v>
      </c>
      <c r="D48" s="235">
        <v>101.0</v>
      </c>
      <c r="E48" s="235">
        <v>101.0</v>
      </c>
      <c r="F48" s="253">
        <v>54.0</v>
      </c>
      <c r="G48" s="235">
        <v>101.0</v>
      </c>
      <c r="H48" s="236">
        <v>3.8299128E7</v>
      </c>
      <c r="I48" s="16">
        <v>73.0</v>
      </c>
      <c r="J48" s="11">
        <v>8.0</v>
      </c>
      <c r="K48" s="11" t="str">
        <f t="shared" si="1"/>
        <v>01010038299128738</v>
      </c>
      <c r="L48" s="238">
        <v>-9716.79</v>
      </c>
      <c r="M48" s="254">
        <v>61813.0</v>
      </c>
      <c r="N48" s="16">
        <v>85.0</v>
      </c>
      <c r="O48" s="22">
        <v>24.0</v>
      </c>
      <c r="P48" s="17">
        <v>62.0</v>
      </c>
      <c r="Q48" s="11">
        <v>9.5505022E7</v>
      </c>
      <c r="R48" s="11">
        <v>4.0</v>
      </c>
      <c r="S48" s="24" t="s">
        <v>48</v>
      </c>
      <c r="T48" s="249" t="s">
        <v>5337</v>
      </c>
      <c r="U48" s="17">
        <v>37.0</v>
      </c>
      <c r="V48" s="16">
        <v>41.0</v>
      </c>
      <c r="W48" s="16">
        <v>20.0</v>
      </c>
      <c r="X48" s="50">
        <v>71121.0</v>
      </c>
      <c r="Y48" s="250">
        <v>7362.0</v>
      </c>
    </row>
    <row r="49">
      <c r="A49" s="11">
        <v>17.0</v>
      </c>
      <c r="B49" s="11">
        <v>62.0</v>
      </c>
      <c r="C49" s="253">
        <v>47.0</v>
      </c>
      <c r="D49" s="235">
        <v>187.0</v>
      </c>
      <c r="E49" s="235">
        <v>187.0</v>
      </c>
      <c r="F49" s="253">
        <v>47.0</v>
      </c>
      <c r="G49" s="235">
        <v>187.0</v>
      </c>
      <c r="H49" s="236">
        <v>3.1906138E7</v>
      </c>
      <c r="I49" s="16">
        <v>81.0</v>
      </c>
      <c r="J49" s="11">
        <v>2.0</v>
      </c>
      <c r="K49" s="11" t="str">
        <f t="shared" si="1"/>
        <v>01870031906138812</v>
      </c>
      <c r="L49" s="238">
        <v>-2672.28</v>
      </c>
      <c r="M49" s="254">
        <v>21413.0</v>
      </c>
      <c r="N49" s="16">
        <v>54.0</v>
      </c>
      <c r="O49" s="22">
        <v>41.0</v>
      </c>
      <c r="P49" s="17">
        <v>82.0</v>
      </c>
      <c r="Q49" s="11">
        <v>1.7988677E7</v>
      </c>
      <c r="R49" s="11">
        <v>6.0</v>
      </c>
      <c r="S49" s="24" t="s">
        <v>48</v>
      </c>
      <c r="T49" s="249" t="s">
        <v>5338</v>
      </c>
      <c r="U49" s="17">
        <v>89.0</v>
      </c>
      <c r="V49" s="16">
        <v>2.0</v>
      </c>
      <c r="W49" s="16">
        <v>15.0</v>
      </c>
      <c r="X49" s="50">
        <v>51217.0</v>
      </c>
      <c r="Y49" s="250">
        <v>2222.0</v>
      </c>
    </row>
    <row r="50">
      <c r="A50" s="11">
        <v>16.0</v>
      </c>
      <c r="B50" s="11">
        <v>41.0</v>
      </c>
      <c r="C50" s="253">
        <v>24.0</v>
      </c>
      <c r="D50" s="235">
        <v>21.0</v>
      </c>
      <c r="E50" s="235">
        <v>21.0</v>
      </c>
      <c r="F50" s="253">
        <v>24.0</v>
      </c>
      <c r="G50" s="235">
        <v>21.0</v>
      </c>
      <c r="H50" s="236">
        <v>2.3351692E7</v>
      </c>
      <c r="I50" s="16">
        <v>19.0</v>
      </c>
      <c r="J50" s="11">
        <v>4.0</v>
      </c>
      <c r="K50" s="11" t="str">
        <f t="shared" si="1"/>
        <v>00210023351692194</v>
      </c>
      <c r="L50" s="238">
        <v>69486.41</v>
      </c>
      <c r="M50" s="254">
        <v>22418.0</v>
      </c>
      <c r="N50" s="16">
        <v>14.0</v>
      </c>
      <c r="O50" s="22">
        <v>20.0</v>
      </c>
      <c r="P50" s="17">
        <v>21.0</v>
      </c>
      <c r="Q50" s="11">
        <v>7.6505207E7</v>
      </c>
      <c r="R50" s="11">
        <v>0.0</v>
      </c>
      <c r="S50" s="24" t="s">
        <v>39</v>
      </c>
      <c r="T50" s="249" t="s">
        <v>5339</v>
      </c>
      <c r="U50" s="17">
        <v>52.0</v>
      </c>
      <c r="V50" s="16">
        <v>18.0</v>
      </c>
      <c r="W50" s="16">
        <v>5.0</v>
      </c>
      <c r="X50" s="50">
        <v>73013.0</v>
      </c>
      <c r="Y50" s="250">
        <v>3910.0</v>
      </c>
    </row>
    <row r="51">
      <c r="A51" s="11">
        <v>15.0</v>
      </c>
      <c r="B51" s="11">
        <v>41.0</v>
      </c>
      <c r="C51" s="253">
        <v>40.0</v>
      </c>
      <c r="D51" s="235">
        <v>21.0</v>
      </c>
      <c r="E51" s="235">
        <v>21.0</v>
      </c>
      <c r="F51" s="253">
        <v>40.0</v>
      </c>
      <c r="G51" s="235">
        <v>21.0</v>
      </c>
      <c r="H51" s="236">
        <v>3.7918494E7</v>
      </c>
      <c r="I51" s="16">
        <v>87.0</v>
      </c>
      <c r="J51" s="11">
        <v>5.0</v>
      </c>
      <c r="K51" s="11" t="str">
        <f t="shared" si="1"/>
        <v>00210037918494875</v>
      </c>
      <c r="L51" s="238">
        <v>-420.93</v>
      </c>
      <c r="M51" s="254">
        <v>10914.0</v>
      </c>
      <c r="N51" s="16">
        <v>61.0</v>
      </c>
      <c r="O51" s="22">
        <v>13.0</v>
      </c>
      <c r="P51" s="17">
        <v>62.0</v>
      </c>
      <c r="Q51" s="11">
        <v>3.5267445E7</v>
      </c>
      <c r="R51" s="11">
        <v>2.0</v>
      </c>
      <c r="S51" s="24" t="s">
        <v>48</v>
      </c>
      <c r="T51" s="249" t="s">
        <v>5340</v>
      </c>
      <c r="U51" s="17">
        <v>48.0</v>
      </c>
      <c r="V51" s="16">
        <v>69.0</v>
      </c>
      <c r="W51" s="16">
        <v>33.0</v>
      </c>
      <c r="X51" s="50">
        <v>103017.0</v>
      </c>
      <c r="Y51" s="250">
        <v>7644.0</v>
      </c>
    </row>
    <row r="52">
      <c r="A52" s="11">
        <v>11.0</v>
      </c>
      <c r="B52" s="11">
        <v>62.0</v>
      </c>
      <c r="C52" s="253">
        <v>51.0</v>
      </c>
      <c r="D52" s="235">
        <v>145.0</v>
      </c>
      <c r="E52" s="235">
        <v>145.0</v>
      </c>
      <c r="F52" s="253">
        <v>51.0</v>
      </c>
      <c r="G52" s="235">
        <v>145.0</v>
      </c>
      <c r="H52" s="236">
        <v>7.8139869E7</v>
      </c>
      <c r="I52" s="16">
        <v>75.0</v>
      </c>
      <c r="J52" s="11">
        <v>5.0</v>
      </c>
      <c r="K52" s="11" t="str">
        <f t="shared" si="1"/>
        <v>01450078139869755</v>
      </c>
      <c r="L52" s="238">
        <v>2466.79</v>
      </c>
      <c r="M52" s="254">
        <v>120916.0</v>
      </c>
      <c r="N52" s="16">
        <v>53.0</v>
      </c>
      <c r="O52" s="22">
        <v>29.0</v>
      </c>
      <c r="P52" s="17">
        <v>21.0</v>
      </c>
      <c r="Q52" s="11">
        <v>2.5347609E7</v>
      </c>
      <c r="R52" s="11">
        <v>7.0</v>
      </c>
      <c r="S52" s="24" t="s">
        <v>39</v>
      </c>
      <c r="T52" s="249" t="s">
        <v>5341</v>
      </c>
      <c r="U52" s="17">
        <v>56.0</v>
      </c>
      <c r="V52" s="16">
        <v>26.0</v>
      </c>
      <c r="W52" s="16">
        <v>94.0</v>
      </c>
      <c r="X52" s="50">
        <v>72714.0</v>
      </c>
      <c r="Y52" s="250">
        <v>2110.0</v>
      </c>
    </row>
    <row r="53">
      <c r="A53" s="11">
        <v>20.0</v>
      </c>
      <c r="B53" s="11">
        <v>62.0</v>
      </c>
      <c r="C53" s="253">
        <v>13.0</v>
      </c>
      <c r="D53" s="235">
        <v>307.0</v>
      </c>
      <c r="E53" s="235">
        <v>307.0</v>
      </c>
      <c r="F53" s="253">
        <v>13.0</v>
      </c>
      <c r="G53" s="235">
        <v>307.0</v>
      </c>
      <c r="H53" s="236">
        <v>1.733017E7</v>
      </c>
      <c r="I53" s="16">
        <v>23.0</v>
      </c>
      <c r="J53" s="11">
        <v>9.0</v>
      </c>
      <c r="K53" s="11" t="str">
        <f t="shared" si="1"/>
        <v>03070017330170239</v>
      </c>
      <c r="L53" s="238">
        <v>-25646.89</v>
      </c>
      <c r="M53" s="254">
        <v>52515.0</v>
      </c>
      <c r="N53" s="16">
        <v>95.0</v>
      </c>
      <c r="O53" s="22">
        <v>36.0</v>
      </c>
      <c r="P53" s="17">
        <v>42.0</v>
      </c>
      <c r="Q53" s="11">
        <v>7.2720734E7</v>
      </c>
      <c r="R53" s="11">
        <v>6.0</v>
      </c>
      <c r="S53" s="24" t="s">
        <v>48</v>
      </c>
      <c r="T53" s="249" t="s">
        <v>5342</v>
      </c>
      <c r="U53" s="17">
        <v>6.0</v>
      </c>
      <c r="V53" s="16">
        <v>11.0</v>
      </c>
      <c r="W53" s="16">
        <v>59.0</v>
      </c>
      <c r="X53" s="50">
        <v>101213.0</v>
      </c>
      <c r="Y53" s="250">
        <v>2367.0</v>
      </c>
    </row>
    <row r="54">
      <c r="A54" s="11">
        <v>14.0</v>
      </c>
      <c r="B54" s="11">
        <v>82.0</v>
      </c>
      <c r="C54" s="253">
        <v>40.0</v>
      </c>
      <c r="D54" s="235">
        <v>109.0</v>
      </c>
      <c r="E54" s="235">
        <v>109.0</v>
      </c>
      <c r="F54" s="253">
        <v>40.0</v>
      </c>
      <c r="G54" s="235">
        <v>109.0</v>
      </c>
      <c r="H54" s="236">
        <v>7.6964872E7</v>
      </c>
      <c r="I54" s="16">
        <v>6.0</v>
      </c>
      <c r="J54" s="11">
        <v>5.0</v>
      </c>
      <c r="K54" s="11" t="str">
        <f t="shared" si="1"/>
        <v>01090076964872065</v>
      </c>
      <c r="L54" s="238">
        <v>752.7</v>
      </c>
      <c r="M54" s="254">
        <v>21018.0</v>
      </c>
      <c r="N54" s="16">
        <v>2.0</v>
      </c>
      <c r="O54" s="22">
        <v>6.0</v>
      </c>
      <c r="P54" s="17">
        <v>83.0</v>
      </c>
      <c r="Q54" s="11">
        <v>1.1245293E7</v>
      </c>
      <c r="R54" s="11">
        <v>4.0</v>
      </c>
      <c r="S54" s="24" t="s">
        <v>29</v>
      </c>
      <c r="T54" s="249" t="s">
        <v>5343</v>
      </c>
      <c r="U54" s="17">
        <v>5.0</v>
      </c>
      <c r="V54" s="16">
        <v>52.0</v>
      </c>
      <c r="W54" s="16">
        <v>86.0</v>
      </c>
      <c r="X54" s="50">
        <v>62515.0</v>
      </c>
      <c r="Y54" s="250">
        <v>6445.0</v>
      </c>
    </row>
    <row r="55">
      <c r="A55" s="11">
        <v>13.0</v>
      </c>
      <c r="B55" s="11">
        <v>62.0</v>
      </c>
      <c r="C55" s="253">
        <v>20.0</v>
      </c>
      <c r="D55" s="235">
        <v>93.0</v>
      </c>
      <c r="E55" s="235">
        <v>93.0</v>
      </c>
      <c r="F55" s="253">
        <v>20.0</v>
      </c>
      <c r="G55" s="235">
        <v>93.0</v>
      </c>
      <c r="H55" s="236">
        <v>6.4897086E7</v>
      </c>
      <c r="I55" s="16">
        <v>79.0</v>
      </c>
      <c r="J55" s="11">
        <v>8.0</v>
      </c>
      <c r="K55" s="11" t="str">
        <f t="shared" si="1"/>
        <v>00930064897086798</v>
      </c>
      <c r="L55" s="238">
        <v>392751.14</v>
      </c>
      <c r="M55" s="254">
        <v>21120.0</v>
      </c>
      <c r="N55" s="16">
        <v>47.0</v>
      </c>
      <c r="O55" s="22">
        <v>50.0</v>
      </c>
      <c r="P55" s="17">
        <v>21.0</v>
      </c>
      <c r="Q55" s="11">
        <v>3.3922302E7</v>
      </c>
      <c r="R55" s="11">
        <v>4.0</v>
      </c>
      <c r="S55" s="24" t="s">
        <v>48</v>
      </c>
      <c r="T55" s="249" t="s">
        <v>5344</v>
      </c>
      <c r="U55" s="17">
        <v>66.0</v>
      </c>
      <c r="V55" s="16">
        <v>83.0</v>
      </c>
      <c r="W55" s="16">
        <v>32.0</v>
      </c>
      <c r="X55" s="50">
        <v>32817.0</v>
      </c>
      <c r="Y55" s="250">
        <v>4382.0</v>
      </c>
    </row>
    <row r="56">
      <c r="A56" s="11">
        <v>10.0</v>
      </c>
      <c r="B56" s="11">
        <v>62.0</v>
      </c>
      <c r="C56" s="253">
        <v>42.0</v>
      </c>
      <c r="D56" s="235">
        <v>61.0</v>
      </c>
      <c r="E56" s="235">
        <v>61.0</v>
      </c>
      <c r="F56" s="253">
        <v>42.0</v>
      </c>
      <c r="G56" s="235">
        <v>61.0</v>
      </c>
      <c r="H56" s="236">
        <v>9.3440471E7</v>
      </c>
      <c r="I56" s="16">
        <v>84.0</v>
      </c>
      <c r="J56" s="11">
        <v>6.0</v>
      </c>
      <c r="K56" s="11" t="str">
        <f t="shared" si="1"/>
        <v>00610093440471846</v>
      </c>
      <c r="L56" s="238">
        <v>-4242.49</v>
      </c>
      <c r="M56" s="254">
        <v>122316.0</v>
      </c>
      <c r="N56" s="16">
        <v>99.0</v>
      </c>
      <c r="O56" s="22">
        <v>4.0</v>
      </c>
      <c r="P56" s="17">
        <v>42.0</v>
      </c>
      <c r="Q56" s="11">
        <v>9.3865624E7</v>
      </c>
      <c r="R56" s="11">
        <v>0.0</v>
      </c>
      <c r="S56" s="24" t="s">
        <v>39</v>
      </c>
      <c r="T56" s="249" t="s">
        <v>5345</v>
      </c>
      <c r="U56" s="17">
        <v>15.0</v>
      </c>
      <c r="V56" s="16">
        <v>59.0</v>
      </c>
      <c r="W56" s="16">
        <v>54.0</v>
      </c>
      <c r="X56" s="50">
        <v>61116.0</v>
      </c>
      <c r="Y56" s="250">
        <v>8769.0</v>
      </c>
    </row>
    <row r="57">
      <c r="A57" s="11">
        <v>10.0</v>
      </c>
      <c r="B57" s="11">
        <v>21.0</v>
      </c>
      <c r="C57" s="253">
        <v>18.0</v>
      </c>
      <c r="D57" s="235">
        <v>183.0</v>
      </c>
      <c r="E57" s="235">
        <v>183.0</v>
      </c>
      <c r="F57" s="253">
        <v>18.0</v>
      </c>
      <c r="G57" s="235">
        <v>183.0</v>
      </c>
      <c r="H57" s="236">
        <v>4.2357381E7</v>
      </c>
      <c r="I57" s="16">
        <v>96.0</v>
      </c>
      <c r="J57" s="11">
        <v>7.0</v>
      </c>
      <c r="K57" s="11" t="str">
        <f t="shared" si="1"/>
        <v>01830042357381967</v>
      </c>
      <c r="L57" s="238">
        <v>87759.22</v>
      </c>
      <c r="M57" s="254">
        <v>71017.0</v>
      </c>
      <c r="N57" s="16">
        <v>9.0</v>
      </c>
      <c r="O57" s="22">
        <v>17.0</v>
      </c>
      <c r="P57" s="17">
        <v>83.0</v>
      </c>
      <c r="Q57" s="11">
        <v>4.0563857E7</v>
      </c>
      <c r="R57" s="11">
        <v>2.0</v>
      </c>
      <c r="S57" s="24" t="s">
        <v>48</v>
      </c>
      <c r="T57" s="249" t="s">
        <v>5346</v>
      </c>
      <c r="U57" s="17">
        <v>12.0</v>
      </c>
      <c r="V57" s="16">
        <v>2.0</v>
      </c>
      <c r="W57" s="16">
        <v>80.0</v>
      </c>
      <c r="X57" s="50">
        <v>60318.0</v>
      </c>
      <c r="Y57" s="250">
        <v>458.0</v>
      </c>
    </row>
    <row r="58">
      <c r="A58" s="11">
        <v>15.0</v>
      </c>
      <c r="B58" s="11">
        <v>62.0</v>
      </c>
      <c r="C58" s="253">
        <v>51.0</v>
      </c>
      <c r="D58" s="235">
        <v>540.0</v>
      </c>
      <c r="E58" s="235">
        <v>540.0</v>
      </c>
      <c r="F58" s="253">
        <v>51.0</v>
      </c>
      <c r="G58" s="235">
        <v>540.0</v>
      </c>
      <c r="H58" s="236">
        <v>3.8041186E7</v>
      </c>
      <c r="I58" s="16">
        <v>58.0</v>
      </c>
      <c r="J58" s="11">
        <v>4.0</v>
      </c>
      <c r="K58" s="11" t="str">
        <f t="shared" si="1"/>
        <v>05400038041186584</v>
      </c>
      <c r="L58" s="238">
        <v>110278.95</v>
      </c>
      <c r="M58" s="254">
        <v>42315.0</v>
      </c>
      <c r="N58" s="16">
        <v>32.0</v>
      </c>
      <c r="O58" s="22">
        <v>15.0</v>
      </c>
      <c r="P58" s="17">
        <v>42.0</v>
      </c>
      <c r="Q58" s="11">
        <v>5.3883453E7</v>
      </c>
      <c r="R58" s="11">
        <v>5.0</v>
      </c>
      <c r="S58" s="24" t="s">
        <v>29</v>
      </c>
      <c r="T58" s="249" t="s">
        <v>5347</v>
      </c>
      <c r="U58" s="17">
        <v>16.0</v>
      </c>
      <c r="V58" s="16">
        <v>2.0</v>
      </c>
      <c r="W58" s="16">
        <v>98.0</v>
      </c>
      <c r="X58" s="50">
        <v>10919.0</v>
      </c>
      <c r="Y58" s="250">
        <v>2936.0</v>
      </c>
    </row>
    <row r="59">
      <c r="A59" s="11">
        <v>12.0</v>
      </c>
      <c r="B59" s="11">
        <v>42.0</v>
      </c>
      <c r="C59" s="253">
        <v>38.0</v>
      </c>
      <c r="D59" s="235">
        <v>105.0</v>
      </c>
      <c r="E59" s="235">
        <v>105.0</v>
      </c>
      <c r="F59" s="253">
        <v>38.0</v>
      </c>
      <c r="G59" s="235">
        <v>105.0</v>
      </c>
      <c r="H59" s="236">
        <v>5.2186445E7</v>
      </c>
      <c r="I59" s="16">
        <v>19.0</v>
      </c>
      <c r="J59" s="11">
        <v>8.0</v>
      </c>
      <c r="K59" s="11" t="str">
        <f t="shared" si="1"/>
        <v>01050052186445198</v>
      </c>
      <c r="L59" s="238">
        <v>286.41</v>
      </c>
      <c r="M59" s="254">
        <v>61317.0</v>
      </c>
      <c r="N59" s="16">
        <v>68.0</v>
      </c>
      <c r="O59" s="22">
        <v>56.0</v>
      </c>
      <c r="P59" s="17">
        <v>21.0</v>
      </c>
      <c r="Q59" s="11">
        <v>6.0842392E7</v>
      </c>
      <c r="R59" s="11">
        <v>0.0</v>
      </c>
      <c r="S59" s="24" t="s">
        <v>48</v>
      </c>
      <c r="T59" s="249" t="s">
        <v>5348</v>
      </c>
      <c r="U59" s="17">
        <v>71.0</v>
      </c>
      <c r="V59" s="16">
        <v>59.0</v>
      </c>
      <c r="W59" s="16">
        <v>88.0</v>
      </c>
      <c r="X59" s="50">
        <v>110413.0</v>
      </c>
      <c r="Y59" s="250">
        <v>6717.0</v>
      </c>
    </row>
    <row r="60">
      <c r="A60" s="11">
        <v>17.0</v>
      </c>
      <c r="B60" s="11">
        <v>62.0</v>
      </c>
      <c r="C60" s="253">
        <v>39.0</v>
      </c>
      <c r="D60" s="235">
        <v>71.0</v>
      </c>
      <c r="E60" s="235">
        <v>71.0</v>
      </c>
      <c r="F60" s="253">
        <v>39.0</v>
      </c>
      <c r="G60" s="235">
        <v>71.0</v>
      </c>
      <c r="H60" s="236">
        <v>3.0400222E7</v>
      </c>
      <c r="I60" s="16">
        <v>79.0</v>
      </c>
      <c r="J60" s="11">
        <v>1.0</v>
      </c>
      <c r="K60" s="11" t="str">
        <f t="shared" si="1"/>
        <v>00710030400222791</v>
      </c>
      <c r="L60" s="238">
        <v>-308479.5</v>
      </c>
      <c r="M60" s="254">
        <v>52414.0</v>
      </c>
      <c r="N60" s="16">
        <v>62.0</v>
      </c>
      <c r="O60" s="22">
        <v>16.0</v>
      </c>
      <c r="P60" s="17">
        <v>42.0</v>
      </c>
      <c r="Q60" s="11">
        <v>3.0481205E7</v>
      </c>
      <c r="R60" s="11">
        <v>8.0</v>
      </c>
      <c r="S60" s="24" t="s">
        <v>48</v>
      </c>
      <c r="T60" s="249" t="s">
        <v>5349</v>
      </c>
      <c r="U60" s="17">
        <v>21.0</v>
      </c>
      <c r="V60" s="16">
        <v>72.0</v>
      </c>
      <c r="W60" s="16">
        <v>4.0</v>
      </c>
      <c r="X60" s="50">
        <v>90519.0</v>
      </c>
      <c r="Y60" s="250">
        <v>7903.0</v>
      </c>
    </row>
    <row r="61">
      <c r="A61" s="11">
        <v>15.0</v>
      </c>
      <c r="B61" s="11">
        <v>62.0</v>
      </c>
      <c r="C61" s="253">
        <v>24.0</v>
      </c>
      <c r="D61" s="235">
        <v>37.0</v>
      </c>
      <c r="E61" s="235">
        <v>37.0</v>
      </c>
      <c r="F61" s="253">
        <v>24.0</v>
      </c>
      <c r="G61" s="235">
        <v>37.0</v>
      </c>
      <c r="H61" s="236">
        <v>5.6633353E7</v>
      </c>
      <c r="I61" s="16">
        <v>35.0</v>
      </c>
      <c r="J61" s="11">
        <v>5.0</v>
      </c>
      <c r="K61" s="11" t="str">
        <f t="shared" si="1"/>
        <v>00370056633353355</v>
      </c>
      <c r="L61" s="238">
        <v>521.74</v>
      </c>
      <c r="M61" s="254">
        <v>20119.0</v>
      </c>
      <c r="N61" s="16">
        <v>24.0</v>
      </c>
      <c r="O61" s="22">
        <v>25.0</v>
      </c>
      <c r="P61" s="17">
        <v>62.0</v>
      </c>
      <c r="Q61" s="11">
        <v>9.5668759E7</v>
      </c>
      <c r="R61" s="11">
        <v>4.0</v>
      </c>
      <c r="S61" s="24" t="s">
        <v>48</v>
      </c>
      <c r="T61" s="249" t="s">
        <v>5350</v>
      </c>
      <c r="U61" s="17">
        <v>70.0</v>
      </c>
      <c r="V61" s="16">
        <v>65.0</v>
      </c>
      <c r="W61" s="16">
        <v>63.0</v>
      </c>
      <c r="X61" s="50">
        <v>31713.0</v>
      </c>
      <c r="Y61" s="250">
        <v>3482.0</v>
      </c>
    </row>
    <row r="62">
      <c r="A62" s="11">
        <v>15.0</v>
      </c>
      <c r="B62" s="11">
        <v>21.0</v>
      </c>
      <c r="C62" s="253">
        <v>47.0</v>
      </c>
      <c r="D62" s="235">
        <v>135.0</v>
      </c>
      <c r="E62" s="235">
        <v>135.0</v>
      </c>
      <c r="F62" s="253">
        <v>47.0</v>
      </c>
      <c r="G62" s="235">
        <v>135.0</v>
      </c>
      <c r="H62" s="236">
        <v>7.6305807E7</v>
      </c>
      <c r="I62" s="16">
        <v>7.0</v>
      </c>
      <c r="J62" s="11">
        <v>7.0</v>
      </c>
      <c r="K62" s="11" t="str">
        <f t="shared" si="1"/>
        <v>01350076305807077</v>
      </c>
      <c r="L62" s="238">
        <v>-77192.12</v>
      </c>
      <c r="M62" s="254">
        <v>72218.0</v>
      </c>
      <c r="N62" s="16">
        <v>19.0</v>
      </c>
      <c r="O62" s="22">
        <v>39.0</v>
      </c>
      <c r="P62" s="17">
        <v>42.0</v>
      </c>
      <c r="Q62" s="11">
        <v>4.5381064E7</v>
      </c>
      <c r="R62" s="11">
        <v>1.0</v>
      </c>
      <c r="S62" s="24" t="s">
        <v>5292</v>
      </c>
      <c r="T62" s="249" t="s">
        <v>5351</v>
      </c>
      <c r="U62" s="17">
        <v>24.0</v>
      </c>
      <c r="V62" s="16">
        <v>83.0</v>
      </c>
      <c r="W62" s="16">
        <v>65.0</v>
      </c>
      <c r="X62" s="50">
        <v>62222.0</v>
      </c>
      <c r="Y62" s="250">
        <v>1023.0</v>
      </c>
    </row>
    <row r="63">
      <c r="A63" s="11">
        <v>10.0</v>
      </c>
      <c r="B63" s="11">
        <v>42.0</v>
      </c>
      <c r="C63" s="253">
        <v>48.0</v>
      </c>
      <c r="D63" s="235">
        <v>383.0</v>
      </c>
      <c r="E63" s="235">
        <v>383.0</v>
      </c>
      <c r="F63" s="253">
        <v>48.0</v>
      </c>
      <c r="G63" s="235">
        <v>383.0</v>
      </c>
      <c r="H63" s="236">
        <v>4.6142446E7</v>
      </c>
      <c r="I63" s="16">
        <v>67.0</v>
      </c>
      <c r="J63" s="11">
        <v>9.0</v>
      </c>
      <c r="K63" s="11" t="str">
        <f t="shared" si="1"/>
        <v>03830046142446679</v>
      </c>
      <c r="L63" s="238">
        <v>6998.73</v>
      </c>
      <c r="M63" s="254">
        <v>21014.0</v>
      </c>
      <c r="N63" s="16">
        <v>94.0</v>
      </c>
      <c r="O63" s="22">
        <v>4.0</v>
      </c>
      <c r="P63" s="17">
        <v>21.0</v>
      </c>
      <c r="Q63" s="11">
        <v>1.4231684E7</v>
      </c>
      <c r="R63" s="11">
        <v>0.0</v>
      </c>
      <c r="S63" s="24" t="s">
        <v>29</v>
      </c>
      <c r="T63" s="249" t="s">
        <v>5352</v>
      </c>
      <c r="U63" s="17">
        <v>81.0</v>
      </c>
      <c r="V63" s="16">
        <v>2.0</v>
      </c>
      <c r="W63" s="16">
        <v>70.0</v>
      </c>
      <c r="X63" s="50">
        <v>72017.0</v>
      </c>
      <c r="Y63" s="250">
        <v>3394.0</v>
      </c>
    </row>
    <row r="64">
      <c r="A64" s="11">
        <v>13.0</v>
      </c>
      <c r="B64" s="11">
        <v>83.0</v>
      </c>
      <c r="C64" s="253">
        <v>28.0</v>
      </c>
      <c r="D64" s="235">
        <v>31.0</v>
      </c>
      <c r="E64" s="235">
        <v>31.0</v>
      </c>
      <c r="F64" s="253">
        <v>28.0</v>
      </c>
      <c r="G64" s="235">
        <v>31.0</v>
      </c>
      <c r="H64" s="236">
        <v>8.1101978E7</v>
      </c>
      <c r="I64" s="16">
        <v>2.0</v>
      </c>
      <c r="J64" s="11">
        <v>0.0</v>
      </c>
      <c r="K64" s="11" t="str">
        <f t="shared" si="1"/>
        <v>00310081101978020</v>
      </c>
      <c r="L64" s="238">
        <v>268.95</v>
      </c>
      <c r="M64" s="254">
        <v>10823.0</v>
      </c>
      <c r="N64" s="16">
        <v>56.0</v>
      </c>
      <c r="O64" s="22">
        <v>38.0</v>
      </c>
      <c r="P64" s="17">
        <v>62.0</v>
      </c>
      <c r="Q64" s="11">
        <v>3.785233E7</v>
      </c>
      <c r="R64" s="11">
        <v>4.0</v>
      </c>
      <c r="S64" s="24" t="s">
        <v>48</v>
      </c>
      <c r="T64" s="249" t="s">
        <v>5353</v>
      </c>
      <c r="U64" s="17">
        <v>78.0</v>
      </c>
      <c r="V64" s="16">
        <v>95.0</v>
      </c>
      <c r="W64" s="16">
        <v>22.0</v>
      </c>
      <c r="X64" s="50">
        <v>101320.0</v>
      </c>
      <c r="Y64" s="250">
        <v>6394.0</v>
      </c>
    </row>
    <row r="65">
      <c r="A65" s="11">
        <v>11.0</v>
      </c>
      <c r="B65" s="11">
        <v>21.0</v>
      </c>
      <c r="C65" s="253">
        <v>13.0</v>
      </c>
      <c r="D65" s="235">
        <v>235.0</v>
      </c>
      <c r="E65" s="235">
        <v>235.0</v>
      </c>
      <c r="F65" s="253">
        <v>13.0</v>
      </c>
      <c r="G65" s="235">
        <v>235.0</v>
      </c>
      <c r="H65" s="236">
        <v>2.3396398E7</v>
      </c>
      <c r="I65" s="16">
        <v>37.0</v>
      </c>
      <c r="J65" s="11">
        <v>6.0</v>
      </c>
      <c r="K65" s="11" t="str">
        <f t="shared" si="1"/>
        <v>02350023396398376</v>
      </c>
      <c r="L65" s="238">
        <v>170023.36</v>
      </c>
      <c r="M65" s="254">
        <v>100423.0</v>
      </c>
      <c r="N65" s="16">
        <v>50.0</v>
      </c>
      <c r="O65" s="22">
        <v>53.0</v>
      </c>
      <c r="P65" s="17">
        <v>21.0</v>
      </c>
      <c r="Q65" s="11">
        <v>6.5765551E7</v>
      </c>
      <c r="R65" s="11">
        <v>1.0</v>
      </c>
      <c r="S65" s="24" t="s">
        <v>48</v>
      </c>
      <c r="T65" s="249" t="s">
        <v>5354</v>
      </c>
      <c r="U65" s="17">
        <v>86.0</v>
      </c>
      <c r="V65" s="16">
        <v>64.0</v>
      </c>
      <c r="W65" s="16">
        <v>33.0</v>
      </c>
      <c r="X65" s="50">
        <v>22422.0</v>
      </c>
      <c r="Y65" s="250">
        <v>9765.0</v>
      </c>
    </row>
    <row r="66">
      <c r="A66" s="11">
        <v>18.0</v>
      </c>
      <c r="B66" s="11">
        <v>83.0</v>
      </c>
      <c r="C66" s="253">
        <v>20.0</v>
      </c>
      <c r="D66" s="235">
        <v>143.0</v>
      </c>
      <c r="E66" s="235">
        <v>143.0</v>
      </c>
      <c r="F66" s="253">
        <v>20.0</v>
      </c>
      <c r="G66" s="235">
        <v>143.0</v>
      </c>
      <c r="H66" s="236">
        <v>3.1968221E7</v>
      </c>
      <c r="I66" s="16">
        <v>69.0</v>
      </c>
      <c r="J66" s="11">
        <v>9.0</v>
      </c>
      <c r="K66" s="11" t="str">
        <f t="shared" si="1"/>
        <v>01430031968221699</v>
      </c>
      <c r="L66" s="238">
        <v>-8678.48</v>
      </c>
      <c r="M66" s="254">
        <v>90515.0</v>
      </c>
      <c r="N66" s="16">
        <v>59.0</v>
      </c>
      <c r="O66" s="22">
        <v>6.0</v>
      </c>
      <c r="P66" s="17">
        <v>83.0</v>
      </c>
      <c r="Q66" s="11">
        <v>5.8106223E7</v>
      </c>
      <c r="R66" s="11">
        <v>4.0</v>
      </c>
      <c r="S66" s="24" t="s">
        <v>48</v>
      </c>
      <c r="T66" s="249" t="s">
        <v>5355</v>
      </c>
      <c r="U66" s="17">
        <v>32.0</v>
      </c>
      <c r="V66" s="16">
        <v>16.0</v>
      </c>
      <c r="W66" s="16">
        <v>26.0</v>
      </c>
      <c r="X66" s="50">
        <v>60813.0</v>
      </c>
      <c r="Y66" s="250">
        <v>2671.0</v>
      </c>
    </row>
    <row r="67">
      <c r="A67" s="11">
        <v>19.0</v>
      </c>
      <c r="B67" s="11">
        <v>62.0</v>
      </c>
      <c r="C67" s="253">
        <v>8.0</v>
      </c>
      <c r="D67" s="235">
        <v>99.0</v>
      </c>
      <c r="E67" s="235">
        <v>99.0</v>
      </c>
      <c r="F67" s="253">
        <v>8.0</v>
      </c>
      <c r="G67" s="235">
        <v>99.0</v>
      </c>
      <c r="H67" s="236">
        <v>7.3061002E7</v>
      </c>
      <c r="I67" s="16">
        <v>30.0</v>
      </c>
      <c r="J67" s="11">
        <v>9.0</v>
      </c>
      <c r="K67" s="11" t="str">
        <f t="shared" si="1"/>
        <v>00990073061002309</v>
      </c>
      <c r="L67" s="238">
        <v>443.96</v>
      </c>
      <c r="M67" s="254">
        <v>103023.0</v>
      </c>
      <c r="N67" s="16">
        <v>41.0</v>
      </c>
      <c r="O67" s="22">
        <v>51.0</v>
      </c>
      <c r="P67" s="17">
        <v>83.0</v>
      </c>
      <c r="Q67" s="11">
        <v>7.6682218E7</v>
      </c>
      <c r="R67" s="11">
        <v>4.0</v>
      </c>
      <c r="S67" s="24" t="s">
        <v>48</v>
      </c>
      <c r="T67" s="249" t="s">
        <v>5356</v>
      </c>
      <c r="U67" s="17">
        <v>35.0</v>
      </c>
      <c r="V67" s="16">
        <v>44.0</v>
      </c>
      <c r="W67" s="16">
        <v>88.0</v>
      </c>
      <c r="X67" s="50">
        <v>93014.0</v>
      </c>
      <c r="Y67" s="250">
        <v>4835.0</v>
      </c>
    </row>
    <row r="68">
      <c r="A68" s="11">
        <v>13.0</v>
      </c>
      <c r="B68" s="11">
        <v>83.0</v>
      </c>
      <c r="C68" s="253">
        <v>20.0</v>
      </c>
      <c r="D68" s="235">
        <v>105.0</v>
      </c>
      <c r="E68" s="235">
        <v>105.0</v>
      </c>
      <c r="F68" s="253">
        <v>20.0</v>
      </c>
      <c r="G68" s="235">
        <v>105.0</v>
      </c>
      <c r="H68" s="236">
        <v>9.3437733E7</v>
      </c>
      <c r="I68" s="16">
        <v>24.0</v>
      </c>
      <c r="J68" s="11">
        <v>6.0</v>
      </c>
      <c r="K68" s="11" t="str">
        <f t="shared" si="1"/>
        <v>01050093437733246</v>
      </c>
      <c r="L68" s="238">
        <v>6054.18</v>
      </c>
      <c r="M68" s="254">
        <v>40917.0</v>
      </c>
      <c r="N68" s="16">
        <v>17.0</v>
      </c>
      <c r="O68" s="22">
        <v>41.0</v>
      </c>
      <c r="P68" s="17">
        <v>21.0</v>
      </c>
      <c r="Q68" s="11">
        <v>1.0714918E7</v>
      </c>
      <c r="R68" s="11">
        <v>4.0</v>
      </c>
      <c r="S68" s="24" t="s">
        <v>39</v>
      </c>
      <c r="T68" s="249" t="s">
        <v>5357</v>
      </c>
      <c r="U68" s="17">
        <v>91.0</v>
      </c>
      <c r="V68" s="16">
        <v>58.0</v>
      </c>
      <c r="W68" s="16">
        <v>76.0</v>
      </c>
      <c r="X68" s="50">
        <v>42313.0</v>
      </c>
      <c r="Y68" s="250">
        <v>1504.0</v>
      </c>
    </row>
    <row r="69">
      <c r="A69" s="11">
        <v>13.0</v>
      </c>
      <c r="B69" s="11">
        <v>42.0</v>
      </c>
      <c r="C69" s="253">
        <v>53.0</v>
      </c>
      <c r="D69" s="235">
        <v>29.0</v>
      </c>
      <c r="E69" s="235">
        <v>29.0</v>
      </c>
      <c r="F69" s="253">
        <v>53.0</v>
      </c>
      <c r="G69" s="235">
        <v>29.0</v>
      </c>
      <c r="H69" s="236">
        <v>7.5342369E7</v>
      </c>
      <c r="I69" s="16">
        <v>29.0</v>
      </c>
      <c r="J69" s="11">
        <v>0.0</v>
      </c>
      <c r="K69" s="11" t="str">
        <f t="shared" si="1"/>
        <v>00290075342369290</v>
      </c>
      <c r="L69" s="238">
        <v>-45167.1</v>
      </c>
      <c r="M69" s="254">
        <v>11013.0</v>
      </c>
      <c r="N69" s="16">
        <v>42.0</v>
      </c>
      <c r="O69" s="22">
        <v>6.0</v>
      </c>
      <c r="P69" s="17">
        <v>62.0</v>
      </c>
      <c r="Q69" s="11">
        <v>7.3969174E7</v>
      </c>
      <c r="R69" s="11">
        <v>8.0</v>
      </c>
      <c r="S69" s="24" t="s">
        <v>5292</v>
      </c>
      <c r="T69" s="249" t="s">
        <v>5358</v>
      </c>
      <c r="U69" s="17">
        <v>89.0</v>
      </c>
      <c r="V69" s="16">
        <v>17.0</v>
      </c>
      <c r="W69" s="16">
        <v>49.0</v>
      </c>
      <c r="X69" s="50">
        <v>22020.0</v>
      </c>
      <c r="Y69" s="250">
        <v>8708.0</v>
      </c>
    </row>
    <row r="70">
      <c r="A70" s="11">
        <v>14.0</v>
      </c>
      <c r="B70" s="11">
        <v>21.0</v>
      </c>
      <c r="C70" s="253">
        <v>20.0</v>
      </c>
      <c r="D70" s="235">
        <v>59.0</v>
      </c>
      <c r="E70" s="235">
        <v>59.0</v>
      </c>
      <c r="F70" s="253">
        <v>20.0</v>
      </c>
      <c r="G70" s="235">
        <v>59.0</v>
      </c>
      <c r="H70" s="236">
        <v>3.1347427E7</v>
      </c>
      <c r="I70" s="16">
        <v>29.0</v>
      </c>
      <c r="J70" s="11">
        <v>6.0</v>
      </c>
      <c r="K70" s="11" t="str">
        <f t="shared" si="1"/>
        <v>00590031347427296</v>
      </c>
      <c r="L70" s="238">
        <v>-25050.82</v>
      </c>
      <c r="M70" s="254">
        <v>70620.0</v>
      </c>
      <c r="N70" s="16">
        <v>80.0</v>
      </c>
      <c r="O70" s="22">
        <v>36.0</v>
      </c>
      <c r="P70" s="17">
        <v>42.0</v>
      </c>
      <c r="Q70" s="11">
        <v>6.9840155E7</v>
      </c>
      <c r="R70" s="11">
        <v>9.0</v>
      </c>
      <c r="S70" s="24" t="s">
        <v>48</v>
      </c>
      <c r="T70" s="249" t="s">
        <v>5359</v>
      </c>
      <c r="U70" s="17">
        <v>43.0</v>
      </c>
      <c r="V70" s="16">
        <v>6.0</v>
      </c>
      <c r="W70" s="16">
        <v>11.0</v>
      </c>
      <c r="X70" s="50">
        <v>100914.0</v>
      </c>
      <c r="Y70" s="250">
        <v>1780.0</v>
      </c>
    </row>
    <row r="71">
      <c r="A71" s="11">
        <v>16.0</v>
      </c>
      <c r="B71" s="11">
        <v>62.0</v>
      </c>
      <c r="C71" s="253">
        <v>20.0</v>
      </c>
      <c r="D71" s="235">
        <v>141.0</v>
      </c>
      <c r="E71" s="235">
        <v>141.0</v>
      </c>
      <c r="F71" s="253">
        <v>20.0</v>
      </c>
      <c r="G71" s="235">
        <v>141.0</v>
      </c>
      <c r="H71" s="236">
        <v>4.0483691E7</v>
      </c>
      <c r="I71" s="16">
        <v>21.0</v>
      </c>
      <c r="J71" s="11">
        <v>8.0</v>
      </c>
      <c r="K71" s="11" t="str">
        <f t="shared" si="1"/>
        <v>01410040483691218</v>
      </c>
      <c r="L71" s="238">
        <v>50078.76</v>
      </c>
      <c r="M71" s="254">
        <v>70121.0</v>
      </c>
      <c r="N71" s="16">
        <v>25.0</v>
      </c>
      <c r="O71" s="22">
        <v>53.0</v>
      </c>
      <c r="P71" s="17">
        <v>22.0</v>
      </c>
      <c r="Q71" s="11">
        <v>3.1719508E7</v>
      </c>
      <c r="R71" s="11">
        <v>7.0</v>
      </c>
      <c r="S71" s="24" t="s">
        <v>5292</v>
      </c>
      <c r="T71" s="249" t="s">
        <v>5360</v>
      </c>
      <c r="U71" s="17">
        <v>2.0</v>
      </c>
      <c r="V71" s="16">
        <v>74.0</v>
      </c>
      <c r="W71" s="16">
        <v>54.0</v>
      </c>
      <c r="X71" s="50">
        <v>111119.0</v>
      </c>
      <c r="Y71" s="250">
        <v>1512.0</v>
      </c>
    </row>
    <row r="72">
      <c r="A72" s="11">
        <v>16.0</v>
      </c>
      <c r="B72" s="11">
        <v>62.0</v>
      </c>
      <c r="C72" s="253">
        <v>48.0</v>
      </c>
      <c r="D72" s="235">
        <v>189.0</v>
      </c>
      <c r="E72" s="235">
        <v>189.0</v>
      </c>
      <c r="F72" s="253">
        <v>48.0</v>
      </c>
      <c r="G72" s="235">
        <v>189.0</v>
      </c>
      <c r="H72" s="236">
        <v>3.6392322E7</v>
      </c>
      <c r="I72" s="16">
        <v>39.0</v>
      </c>
      <c r="J72" s="11">
        <v>9.0</v>
      </c>
      <c r="K72" s="11" t="str">
        <f t="shared" si="1"/>
        <v>01890036392322399</v>
      </c>
      <c r="L72" s="238">
        <v>709884.16</v>
      </c>
      <c r="M72" s="254">
        <v>102820.0</v>
      </c>
      <c r="N72" s="16">
        <v>39.0</v>
      </c>
      <c r="O72" s="22">
        <v>46.0</v>
      </c>
      <c r="P72" s="17">
        <v>83.0</v>
      </c>
      <c r="Q72" s="11">
        <v>3.521877E7</v>
      </c>
      <c r="R72" s="11">
        <v>7.0</v>
      </c>
      <c r="S72" s="24" t="s">
        <v>29</v>
      </c>
      <c r="T72" s="249" t="s">
        <v>5361</v>
      </c>
      <c r="U72" s="17">
        <v>47.0</v>
      </c>
      <c r="V72" s="16">
        <v>46.0</v>
      </c>
      <c r="W72" s="16">
        <v>71.0</v>
      </c>
      <c r="X72" s="50">
        <v>11420.0</v>
      </c>
      <c r="Y72" s="250">
        <v>5299.0</v>
      </c>
    </row>
    <row r="73">
      <c r="A73" s="11">
        <v>14.0</v>
      </c>
      <c r="B73" s="11">
        <v>42.0</v>
      </c>
      <c r="C73" s="253">
        <v>47.0</v>
      </c>
      <c r="D73" s="235">
        <v>79.0</v>
      </c>
      <c r="E73" s="235">
        <v>79.0</v>
      </c>
      <c r="F73" s="253">
        <v>47.0</v>
      </c>
      <c r="G73" s="235">
        <v>79.0</v>
      </c>
      <c r="H73" s="236">
        <v>4.5393697E7</v>
      </c>
      <c r="I73" s="16">
        <v>38.0</v>
      </c>
      <c r="J73" s="11">
        <v>8.0</v>
      </c>
      <c r="K73" s="11" t="str">
        <f t="shared" si="1"/>
        <v>00790045393697388</v>
      </c>
      <c r="L73" s="238">
        <v>1140.26</v>
      </c>
      <c r="M73" s="254">
        <v>40423.0</v>
      </c>
      <c r="N73" s="16">
        <v>62.0</v>
      </c>
      <c r="O73" s="22">
        <v>21.0</v>
      </c>
      <c r="P73" s="17">
        <v>62.0</v>
      </c>
      <c r="Q73" s="11">
        <v>8.8386781E7</v>
      </c>
      <c r="R73" s="11">
        <v>5.0</v>
      </c>
      <c r="S73" s="24" t="s">
        <v>39</v>
      </c>
      <c r="T73" s="249" t="s">
        <v>5362</v>
      </c>
      <c r="U73" s="17">
        <v>99.0</v>
      </c>
      <c r="V73" s="16">
        <v>10.0</v>
      </c>
      <c r="W73" s="16">
        <v>52.0</v>
      </c>
      <c r="X73" s="50">
        <v>73121.0</v>
      </c>
      <c r="Y73" s="250">
        <v>1614.0</v>
      </c>
    </row>
    <row r="74">
      <c r="A74" s="11">
        <v>11.0</v>
      </c>
      <c r="B74" s="11">
        <v>42.0</v>
      </c>
      <c r="C74" s="253">
        <v>2.0</v>
      </c>
      <c r="D74" s="235">
        <v>68.0</v>
      </c>
      <c r="E74" s="235">
        <v>68.0</v>
      </c>
      <c r="F74" s="253">
        <v>2.0</v>
      </c>
      <c r="G74" s="235">
        <v>68.0</v>
      </c>
      <c r="H74" s="236">
        <v>1.4619831E7</v>
      </c>
      <c r="I74" s="16">
        <v>87.0</v>
      </c>
      <c r="J74" s="11">
        <v>9.0</v>
      </c>
      <c r="K74" s="11" t="str">
        <f t="shared" si="1"/>
        <v>00680014619831879</v>
      </c>
      <c r="L74" s="238">
        <v>-428.51</v>
      </c>
      <c r="M74" s="254">
        <v>112513.0</v>
      </c>
      <c r="N74" s="16">
        <v>8.0</v>
      </c>
      <c r="O74" s="22">
        <v>45.0</v>
      </c>
      <c r="P74" s="17">
        <v>61.0</v>
      </c>
      <c r="Q74" s="11">
        <v>6.2504943E7</v>
      </c>
      <c r="R74" s="11">
        <v>9.0</v>
      </c>
      <c r="S74" s="24" t="s">
        <v>48</v>
      </c>
      <c r="T74" s="249" t="s">
        <v>5363</v>
      </c>
      <c r="U74" s="17">
        <v>37.0</v>
      </c>
      <c r="V74" s="16">
        <v>12.0</v>
      </c>
      <c r="W74" s="16">
        <v>95.0</v>
      </c>
      <c r="X74" s="50">
        <v>120120.0</v>
      </c>
      <c r="Y74" s="250">
        <v>3982.0</v>
      </c>
    </row>
    <row r="75">
      <c r="A75" s="11">
        <v>10.0</v>
      </c>
      <c r="B75" s="11">
        <v>42.0</v>
      </c>
      <c r="C75" s="253">
        <v>48.0</v>
      </c>
      <c r="D75" s="235">
        <v>141.0</v>
      </c>
      <c r="E75" s="235">
        <v>141.0</v>
      </c>
      <c r="F75" s="253">
        <v>48.0</v>
      </c>
      <c r="G75" s="235">
        <v>141.0</v>
      </c>
      <c r="H75" s="236">
        <v>9.8274377E7</v>
      </c>
      <c r="I75" s="16">
        <v>68.0</v>
      </c>
      <c r="J75" s="11">
        <v>5.0</v>
      </c>
      <c r="K75" s="11" t="str">
        <f t="shared" si="1"/>
        <v>01410098274377685</v>
      </c>
      <c r="L75" s="238">
        <v>80697.49</v>
      </c>
      <c r="M75" s="254">
        <v>101216.0</v>
      </c>
      <c r="N75" s="16">
        <v>15.0</v>
      </c>
      <c r="O75" s="22">
        <v>13.0</v>
      </c>
      <c r="P75" s="17">
        <v>22.0</v>
      </c>
      <c r="Q75" s="11">
        <v>6.7482255E7</v>
      </c>
      <c r="R75" s="11">
        <v>0.0</v>
      </c>
      <c r="S75" s="24" t="s">
        <v>5292</v>
      </c>
      <c r="T75" s="249" t="s">
        <v>5364</v>
      </c>
      <c r="U75" s="17">
        <v>9.0</v>
      </c>
      <c r="V75" s="16">
        <v>67.0</v>
      </c>
      <c r="W75" s="16">
        <v>53.0</v>
      </c>
      <c r="X75" s="50">
        <v>60514.0</v>
      </c>
      <c r="Y75" s="250">
        <v>7371.0</v>
      </c>
    </row>
    <row r="76">
      <c r="A76" s="11">
        <v>17.0</v>
      </c>
      <c r="B76" s="11">
        <v>62.0</v>
      </c>
      <c r="C76" s="253">
        <v>5.0</v>
      </c>
      <c r="D76" s="235">
        <v>117.0</v>
      </c>
      <c r="E76" s="235">
        <v>117.0</v>
      </c>
      <c r="F76" s="253">
        <v>5.0</v>
      </c>
      <c r="G76" s="235">
        <v>117.0</v>
      </c>
      <c r="H76" s="236">
        <v>5.7497106E7</v>
      </c>
      <c r="I76" s="16">
        <v>48.0</v>
      </c>
      <c r="J76" s="11">
        <v>3.0</v>
      </c>
      <c r="K76" s="11" t="str">
        <f t="shared" si="1"/>
        <v>01170057497106483</v>
      </c>
      <c r="L76" s="238">
        <v>-510820.21</v>
      </c>
      <c r="M76" s="254">
        <v>11817.0</v>
      </c>
      <c r="N76" s="16">
        <v>31.0</v>
      </c>
      <c r="O76" s="22">
        <v>22.0</v>
      </c>
      <c r="P76" s="17">
        <v>42.0</v>
      </c>
      <c r="Q76" s="11">
        <v>1.0637476E7</v>
      </c>
      <c r="R76" s="11">
        <v>2.0</v>
      </c>
      <c r="S76" s="24" t="s">
        <v>48</v>
      </c>
      <c r="T76" s="249" t="s">
        <v>5365</v>
      </c>
      <c r="U76" s="17">
        <v>59.0</v>
      </c>
      <c r="V76" s="16">
        <v>99.0</v>
      </c>
      <c r="W76" s="16">
        <v>95.0</v>
      </c>
      <c r="X76" s="50">
        <v>50122.0</v>
      </c>
      <c r="Y76" s="250">
        <v>2609.0</v>
      </c>
    </row>
    <row r="77">
      <c r="A77" s="11">
        <v>14.0</v>
      </c>
      <c r="B77" s="11">
        <v>83.0</v>
      </c>
      <c r="C77" s="253">
        <v>51.0</v>
      </c>
      <c r="D77" s="235">
        <v>169.0</v>
      </c>
      <c r="E77" s="235">
        <v>169.0</v>
      </c>
      <c r="F77" s="253">
        <v>51.0</v>
      </c>
      <c r="G77" s="235">
        <v>169.0</v>
      </c>
      <c r="H77" s="236">
        <v>8.3549247E7</v>
      </c>
      <c r="I77" s="16">
        <v>85.0</v>
      </c>
      <c r="J77" s="11">
        <v>7.0</v>
      </c>
      <c r="K77" s="11" t="str">
        <f t="shared" si="1"/>
        <v>01690083549247857</v>
      </c>
      <c r="L77" s="238">
        <v>-94067.44</v>
      </c>
      <c r="M77" s="254">
        <v>10218.0</v>
      </c>
      <c r="N77" s="16">
        <v>22.0</v>
      </c>
      <c r="O77" s="22">
        <v>19.0</v>
      </c>
      <c r="P77" s="17">
        <v>42.0</v>
      </c>
      <c r="Q77" s="11">
        <v>5.3040002E7</v>
      </c>
      <c r="R77" s="11">
        <v>7.0</v>
      </c>
      <c r="S77" s="24" t="s">
        <v>48</v>
      </c>
      <c r="T77" s="249" t="s">
        <v>5366</v>
      </c>
      <c r="U77" s="17">
        <v>61.0</v>
      </c>
      <c r="V77" s="16">
        <v>16.0</v>
      </c>
      <c r="W77" s="16">
        <v>72.0</v>
      </c>
      <c r="X77" s="50">
        <v>100519.0</v>
      </c>
      <c r="Y77" s="250">
        <v>1732.0</v>
      </c>
    </row>
    <row r="78">
      <c r="A78" s="11">
        <v>16.0</v>
      </c>
      <c r="B78" s="11">
        <v>42.0</v>
      </c>
      <c r="C78" s="253">
        <v>37.0</v>
      </c>
      <c r="D78" s="235">
        <v>133.0</v>
      </c>
      <c r="E78" s="235">
        <v>133.0</v>
      </c>
      <c r="F78" s="253">
        <v>37.0</v>
      </c>
      <c r="G78" s="235">
        <v>133.0</v>
      </c>
      <c r="H78" s="236">
        <v>5.2396495E7</v>
      </c>
      <c r="I78" s="16">
        <v>19.0</v>
      </c>
      <c r="J78" s="11">
        <v>0.0</v>
      </c>
      <c r="K78" s="11" t="str">
        <f t="shared" si="1"/>
        <v>01330052396495190</v>
      </c>
      <c r="L78" s="238">
        <v>659.55</v>
      </c>
      <c r="M78" s="254">
        <v>10120.0</v>
      </c>
      <c r="N78" s="16">
        <v>25.0</v>
      </c>
      <c r="O78" s="22">
        <v>40.0</v>
      </c>
      <c r="P78" s="17">
        <v>63.0</v>
      </c>
      <c r="Q78" s="11">
        <v>8.9504866E7</v>
      </c>
      <c r="R78" s="11">
        <v>3.0</v>
      </c>
      <c r="S78" s="24" t="s">
        <v>29</v>
      </c>
      <c r="T78" s="249" t="s">
        <v>5367</v>
      </c>
      <c r="U78" s="17">
        <v>12.0</v>
      </c>
      <c r="V78" s="16">
        <v>51.0</v>
      </c>
      <c r="W78" s="16">
        <v>76.0</v>
      </c>
      <c r="X78" s="50">
        <v>102916.0</v>
      </c>
      <c r="Y78" s="250">
        <v>7873.0</v>
      </c>
    </row>
    <row r="79">
      <c r="A79" s="11">
        <v>13.0</v>
      </c>
      <c r="B79" s="11">
        <v>21.0</v>
      </c>
      <c r="C79" s="253">
        <v>37.0</v>
      </c>
      <c r="D79" s="235">
        <v>39.0</v>
      </c>
      <c r="E79" s="235">
        <v>39.0</v>
      </c>
      <c r="F79" s="253">
        <v>37.0</v>
      </c>
      <c r="G79" s="235">
        <v>39.0</v>
      </c>
      <c r="H79" s="236">
        <v>6.077318E7</v>
      </c>
      <c r="I79" s="16">
        <v>39.0</v>
      </c>
      <c r="J79" s="11">
        <v>8.0</v>
      </c>
      <c r="K79" s="11" t="str">
        <f t="shared" si="1"/>
        <v>00390060773180398</v>
      </c>
      <c r="L79" s="238">
        <v>8914.98</v>
      </c>
      <c r="M79" s="254">
        <v>81917.0</v>
      </c>
      <c r="N79" s="16">
        <v>93.0</v>
      </c>
      <c r="O79" s="22">
        <v>16.0</v>
      </c>
      <c r="P79" s="17">
        <v>22.0</v>
      </c>
      <c r="Q79" s="11">
        <v>2.8798855E7</v>
      </c>
      <c r="R79" s="11">
        <v>9.0</v>
      </c>
      <c r="S79" s="24" t="s">
        <v>39</v>
      </c>
      <c r="T79" s="249" t="s">
        <v>5368</v>
      </c>
      <c r="U79" s="17">
        <v>16.0</v>
      </c>
      <c r="V79" s="16">
        <v>75.0</v>
      </c>
      <c r="W79" s="16">
        <v>71.0</v>
      </c>
      <c r="X79" s="50">
        <v>100121.0</v>
      </c>
      <c r="Y79" s="250">
        <v>6144.0</v>
      </c>
    </row>
    <row r="80">
      <c r="A80" s="11">
        <v>16.0</v>
      </c>
      <c r="B80" s="11">
        <v>62.0</v>
      </c>
      <c r="C80" s="253">
        <v>13.0</v>
      </c>
      <c r="D80" s="235">
        <v>65.0</v>
      </c>
      <c r="E80" s="235">
        <v>65.0</v>
      </c>
      <c r="F80" s="253">
        <v>13.0</v>
      </c>
      <c r="G80" s="235">
        <v>65.0</v>
      </c>
      <c r="H80" s="236">
        <v>7.3524505E7</v>
      </c>
      <c r="I80" s="16">
        <v>4.0</v>
      </c>
      <c r="J80" s="11">
        <v>1.0</v>
      </c>
      <c r="K80" s="11" t="str">
        <f t="shared" si="1"/>
        <v>00650073524505041</v>
      </c>
      <c r="L80" s="238">
        <v>-9612.5</v>
      </c>
      <c r="M80" s="254">
        <v>120416.0</v>
      </c>
      <c r="N80" s="16">
        <v>91.0</v>
      </c>
      <c r="O80" s="22">
        <v>26.0</v>
      </c>
      <c r="P80" s="17">
        <v>63.0</v>
      </c>
      <c r="Q80" s="11">
        <v>5.3530591E7</v>
      </c>
      <c r="R80" s="11">
        <v>6.0</v>
      </c>
      <c r="S80" s="24" t="s">
        <v>29</v>
      </c>
      <c r="T80" s="249" t="s">
        <v>5369</v>
      </c>
      <c r="U80" s="17">
        <v>14.0</v>
      </c>
      <c r="V80" s="16">
        <v>35.0</v>
      </c>
      <c r="W80" s="16">
        <v>8.0</v>
      </c>
      <c r="X80" s="50">
        <v>102919.0</v>
      </c>
      <c r="Y80" s="250">
        <v>6149.0</v>
      </c>
    </row>
    <row r="81">
      <c r="A81" s="11">
        <v>10.0</v>
      </c>
      <c r="B81" s="11">
        <v>42.0</v>
      </c>
      <c r="C81" s="253">
        <v>29.0</v>
      </c>
      <c r="D81" s="235">
        <v>229.0</v>
      </c>
      <c r="E81" s="235">
        <v>229.0</v>
      </c>
      <c r="F81" s="253">
        <v>29.0</v>
      </c>
      <c r="G81" s="235">
        <v>229.0</v>
      </c>
      <c r="H81" s="236">
        <v>8.2687659E7</v>
      </c>
      <c r="I81" s="16">
        <v>16.0</v>
      </c>
      <c r="J81" s="11">
        <v>7.0</v>
      </c>
      <c r="K81" s="11" t="str">
        <f t="shared" si="1"/>
        <v>02290082687659167</v>
      </c>
      <c r="L81" s="238">
        <v>227.67</v>
      </c>
      <c r="M81" s="254">
        <v>110617.0</v>
      </c>
      <c r="N81" s="16">
        <v>91.0</v>
      </c>
      <c r="O81" s="22">
        <v>22.0</v>
      </c>
      <c r="P81" s="17">
        <v>42.0</v>
      </c>
      <c r="Q81" s="11">
        <v>1.6392361E7</v>
      </c>
      <c r="R81" s="11">
        <v>5.0</v>
      </c>
      <c r="S81" s="24" t="s">
        <v>39</v>
      </c>
      <c r="T81" s="249" t="s">
        <v>5370</v>
      </c>
      <c r="U81" s="17">
        <v>67.0</v>
      </c>
      <c r="V81" s="16">
        <v>35.0</v>
      </c>
      <c r="W81" s="16">
        <v>46.0</v>
      </c>
      <c r="X81" s="50">
        <v>122015.0</v>
      </c>
      <c r="Y81" s="250">
        <v>9921.0</v>
      </c>
    </row>
    <row r="82">
      <c r="A82" s="11">
        <v>20.0</v>
      </c>
      <c r="B82" s="11">
        <v>21.0</v>
      </c>
      <c r="C82" s="253">
        <v>42.0</v>
      </c>
      <c r="D82" s="235">
        <v>45.0</v>
      </c>
      <c r="E82" s="235">
        <v>45.0</v>
      </c>
      <c r="F82" s="253">
        <v>42.0</v>
      </c>
      <c r="G82" s="235">
        <v>45.0</v>
      </c>
      <c r="H82" s="236">
        <v>3.8863789E7</v>
      </c>
      <c r="I82" s="16">
        <v>88.0</v>
      </c>
      <c r="J82" s="11">
        <v>1.0</v>
      </c>
      <c r="K82" s="11" t="str">
        <f t="shared" si="1"/>
        <v>00450038863789881</v>
      </c>
      <c r="L82" s="238">
        <v>-469368.5</v>
      </c>
      <c r="M82" s="254">
        <v>120716.0</v>
      </c>
      <c r="N82" s="16">
        <v>43.0</v>
      </c>
      <c r="O82" s="22">
        <v>32.0</v>
      </c>
      <c r="P82" s="17">
        <v>83.0</v>
      </c>
      <c r="Q82" s="11">
        <v>1.9547789E7</v>
      </c>
      <c r="R82" s="11">
        <v>5.0</v>
      </c>
      <c r="S82" s="24" t="s">
        <v>5292</v>
      </c>
      <c r="T82" s="249" t="s">
        <v>5371</v>
      </c>
      <c r="U82" s="17">
        <v>66.0</v>
      </c>
      <c r="V82" s="16">
        <v>90.0</v>
      </c>
      <c r="W82" s="16">
        <v>73.0</v>
      </c>
      <c r="X82" s="50">
        <v>91615.0</v>
      </c>
      <c r="Y82" s="250">
        <v>4646.0</v>
      </c>
    </row>
    <row r="83">
      <c r="A83" s="11">
        <v>12.0</v>
      </c>
      <c r="B83" s="11">
        <v>83.0</v>
      </c>
      <c r="C83" s="253">
        <v>1.0</v>
      </c>
      <c r="D83" s="235">
        <v>59.0</v>
      </c>
      <c r="E83" s="235">
        <v>59.0</v>
      </c>
      <c r="F83" s="253">
        <v>1.0</v>
      </c>
      <c r="G83" s="235">
        <v>59.0</v>
      </c>
      <c r="H83" s="236">
        <v>6.5530559E7</v>
      </c>
      <c r="I83" s="16">
        <v>62.0</v>
      </c>
      <c r="J83" s="11">
        <v>0.0</v>
      </c>
      <c r="K83" s="11" t="str">
        <f t="shared" si="1"/>
        <v>00590065530559620</v>
      </c>
      <c r="L83" s="238">
        <v>156747.1</v>
      </c>
      <c r="M83" s="254">
        <v>12418.0</v>
      </c>
      <c r="N83" s="16">
        <v>74.0</v>
      </c>
      <c r="O83" s="22">
        <v>19.0</v>
      </c>
      <c r="P83" s="17">
        <v>63.0</v>
      </c>
      <c r="Q83" s="11">
        <v>1.0634636E7</v>
      </c>
      <c r="R83" s="11">
        <v>1.0</v>
      </c>
      <c r="S83" s="24" t="s">
        <v>39</v>
      </c>
      <c r="T83" s="249" t="s">
        <v>5372</v>
      </c>
      <c r="U83" s="17">
        <v>19.0</v>
      </c>
      <c r="V83" s="16">
        <v>20.0</v>
      </c>
      <c r="W83" s="16">
        <v>32.0</v>
      </c>
      <c r="X83" s="50">
        <v>42916.0</v>
      </c>
      <c r="Y83" s="250">
        <v>3272.0</v>
      </c>
    </row>
    <row r="84">
      <c r="A84" s="11">
        <v>15.0</v>
      </c>
      <c r="B84" s="11">
        <v>42.0</v>
      </c>
      <c r="C84" s="253">
        <v>20.0</v>
      </c>
      <c r="D84" s="235">
        <v>111.0</v>
      </c>
      <c r="E84" s="235">
        <v>111.0</v>
      </c>
      <c r="F84" s="253">
        <v>20.0</v>
      </c>
      <c r="G84" s="235">
        <v>111.0</v>
      </c>
      <c r="H84" s="236">
        <v>8.2216577E7</v>
      </c>
      <c r="I84" s="16">
        <v>1.0</v>
      </c>
      <c r="J84" s="11">
        <v>6.0</v>
      </c>
      <c r="K84" s="11" t="str">
        <f t="shared" si="1"/>
        <v>01110082216577016</v>
      </c>
      <c r="L84" s="238">
        <v>21888.96</v>
      </c>
      <c r="M84" s="254">
        <v>82119.0</v>
      </c>
      <c r="N84" s="16">
        <v>75.0</v>
      </c>
      <c r="O84" s="22">
        <v>18.0</v>
      </c>
      <c r="P84" s="17">
        <v>83.0</v>
      </c>
      <c r="Q84" s="11">
        <v>6.9012004E7</v>
      </c>
      <c r="R84" s="11">
        <v>6.0</v>
      </c>
      <c r="S84" s="24" t="s">
        <v>39</v>
      </c>
      <c r="T84" s="249" t="s">
        <v>5373</v>
      </c>
      <c r="U84" s="17">
        <v>67.0</v>
      </c>
      <c r="V84" s="16">
        <v>81.0</v>
      </c>
      <c r="W84" s="16">
        <v>59.0</v>
      </c>
      <c r="X84" s="50">
        <v>71313.0</v>
      </c>
      <c r="Y84" s="250">
        <v>1828.0</v>
      </c>
    </row>
    <row r="85">
      <c r="A85" s="11">
        <v>19.0</v>
      </c>
      <c r="B85" s="11">
        <v>42.0</v>
      </c>
      <c r="C85" s="253">
        <v>42.0</v>
      </c>
      <c r="D85" s="235">
        <v>73.0</v>
      </c>
      <c r="E85" s="235">
        <v>73.0</v>
      </c>
      <c r="F85" s="253">
        <v>42.0</v>
      </c>
      <c r="G85" s="235">
        <v>73.0</v>
      </c>
      <c r="H85" s="236">
        <v>9.4668099E7</v>
      </c>
      <c r="I85" s="16">
        <v>46.0</v>
      </c>
      <c r="J85" s="11">
        <v>2.0</v>
      </c>
      <c r="K85" s="11" t="str">
        <f t="shared" si="1"/>
        <v>00730094668099462</v>
      </c>
      <c r="L85" s="238">
        <v>-2116.9</v>
      </c>
      <c r="M85" s="254">
        <v>42121.0</v>
      </c>
      <c r="N85" s="16">
        <v>50.0</v>
      </c>
      <c r="O85" s="22">
        <v>18.0</v>
      </c>
      <c r="P85" s="17">
        <v>22.0</v>
      </c>
      <c r="Q85" s="11">
        <v>4.705819E7</v>
      </c>
      <c r="R85" s="11">
        <v>7.0</v>
      </c>
      <c r="S85" s="24" t="s">
        <v>5292</v>
      </c>
      <c r="T85" s="249" t="s">
        <v>5374</v>
      </c>
      <c r="U85" s="17">
        <v>25.0</v>
      </c>
      <c r="V85" s="16">
        <v>56.0</v>
      </c>
      <c r="W85" s="16">
        <v>95.0</v>
      </c>
      <c r="X85" s="50">
        <v>110820.0</v>
      </c>
      <c r="Y85" s="250">
        <v>2380.0</v>
      </c>
    </row>
    <row r="86">
      <c r="A86" s="11">
        <v>12.0</v>
      </c>
      <c r="B86" s="11">
        <v>83.0</v>
      </c>
      <c r="C86" s="253">
        <v>38.0</v>
      </c>
      <c r="D86" s="235">
        <v>81.0</v>
      </c>
      <c r="E86" s="235">
        <v>81.0</v>
      </c>
      <c r="F86" s="253">
        <v>38.0</v>
      </c>
      <c r="G86" s="235">
        <v>81.0</v>
      </c>
      <c r="H86" s="236">
        <v>2.5557473E7</v>
      </c>
      <c r="I86" s="16">
        <v>2.0</v>
      </c>
      <c r="J86" s="11">
        <v>8.0</v>
      </c>
      <c r="K86" s="11" t="str">
        <f t="shared" si="1"/>
        <v>00810025557473028</v>
      </c>
      <c r="L86" s="238">
        <v>2751.5</v>
      </c>
      <c r="M86" s="254">
        <v>90717.0</v>
      </c>
      <c r="N86" s="16">
        <v>65.0</v>
      </c>
      <c r="O86" s="22">
        <v>38.0</v>
      </c>
      <c r="P86" s="17">
        <v>63.0</v>
      </c>
      <c r="Q86" s="11">
        <v>8.5790756E7</v>
      </c>
      <c r="R86" s="11">
        <v>3.0</v>
      </c>
      <c r="S86" s="24" t="s">
        <v>48</v>
      </c>
      <c r="T86" s="249" t="s">
        <v>5375</v>
      </c>
      <c r="U86" s="17">
        <v>25.0</v>
      </c>
      <c r="V86" s="16">
        <v>42.0</v>
      </c>
      <c r="W86" s="16">
        <v>41.0</v>
      </c>
      <c r="X86" s="50">
        <v>31720.0</v>
      </c>
      <c r="Y86" s="250">
        <v>4372.0</v>
      </c>
    </row>
    <row r="87">
      <c r="A87" s="11">
        <v>17.0</v>
      </c>
      <c r="B87" s="11">
        <v>83.0</v>
      </c>
      <c r="C87" s="253">
        <v>26.0</v>
      </c>
      <c r="D87" s="235">
        <v>65.0</v>
      </c>
      <c r="E87" s="235">
        <v>65.0</v>
      </c>
      <c r="F87" s="253">
        <v>26.0</v>
      </c>
      <c r="G87" s="235">
        <v>65.0</v>
      </c>
      <c r="H87" s="236">
        <v>3.8973832E7</v>
      </c>
      <c r="I87" s="16">
        <v>39.0</v>
      </c>
      <c r="J87" s="11">
        <v>3.0</v>
      </c>
      <c r="K87" s="11" t="str">
        <f t="shared" si="1"/>
        <v>00650038973832393</v>
      </c>
      <c r="L87" s="238">
        <v>671374.64</v>
      </c>
      <c r="M87" s="254">
        <v>30921.0</v>
      </c>
      <c r="N87" s="16">
        <v>41.0</v>
      </c>
      <c r="O87" s="22">
        <v>24.0</v>
      </c>
      <c r="P87" s="17">
        <v>63.0</v>
      </c>
      <c r="Q87" s="11">
        <v>5.1537104E7</v>
      </c>
      <c r="R87" s="11">
        <v>0.0</v>
      </c>
      <c r="S87" s="24" t="s">
        <v>29</v>
      </c>
      <c r="T87" s="249" t="s">
        <v>5376</v>
      </c>
      <c r="U87" s="17">
        <v>26.0</v>
      </c>
      <c r="V87" s="16">
        <v>33.0</v>
      </c>
      <c r="W87" s="16">
        <v>2.0</v>
      </c>
      <c r="X87" s="50">
        <v>121815.0</v>
      </c>
      <c r="Y87" s="250">
        <v>1614.0</v>
      </c>
    </row>
    <row r="88">
      <c r="A88" s="11">
        <v>20.0</v>
      </c>
      <c r="B88" s="11">
        <v>22.0</v>
      </c>
      <c r="C88" s="253">
        <v>13.0</v>
      </c>
      <c r="D88" s="235">
        <v>195.0</v>
      </c>
      <c r="E88" s="235">
        <v>195.0</v>
      </c>
      <c r="F88" s="253">
        <v>13.0</v>
      </c>
      <c r="G88" s="235">
        <v>195.0</v>
      </c>
      <c r="H88" s="236">
        <v>1.1063957E7</v>
      </c>
      <c r="I88" s="16">
        <v>19.0</v>
      </c>
      <c r="J88" s="11">
        <v>7.0</v>
      </c>
      <c r="K88" s="11" t="str">
        <f t="shared" si="1"/>
        <v>01950011063957197</v>
      </c>
      <c r="L88" s="238">
        <v>633.71</v>
      </c>
      <c r="M88" s="254">
        <v>101721.0</v>
      </c>
      <c r="N88" s="16">
        <v>75.0</v>
      </c>
      <c r="O88" s="22">
        <v>21.0</v>
      </c>
      <c r="P88" s="17">
        <v>42.0</v>
      </c>
      <c r="Q88" s="11">
        <v>2.5054431E7</v>
      </c>
      <c r="R88" s="11">
        <v>9.0</v>
      </c>
      <c r="S88" s="24" t="s">
        <v>39</v>
      </c>
      <c r="T88" s="249" t="s">
        <v>5377</v>
      </c>
      <c r="U88" s="17">
        <v>78.0</v>
      </c>
      <c r="V88" s="16">
        <v>79.0</v>
      </c>
      <c r="W88" s="16">
        <v>15.0</v>
      </c>
      <c r="X88" s="50">
        <v>10719.0</v>
      </c>
      <c r="Y88" s="250">
        <v>7064.0</v>
      </c>
    </row>
    <row r="89">
      <c r="A89" s="11">
        <v>15.0</v>
      </c>
      <c r="B89" s="11">
        <v>42.0</v>
      </c>
      <c r="C89" s="253">
        <v>26.0</v>
      </c>
      <c r="D89" s="235">
        <v>139.0</v>
      </c>
      <c r="E89" s="235">
        <v>139.0</v>
      </c>
      <c r="F89" s="253">
        <v>26.0</v>
      </c>
      <c r="G89" s="235">
        <v>139.0</v>
      </c>
      <c r="H89" s="236">
        <v>7.3270262E7</v>
      </c>
      <c r="I89" s="16">
        <v>9.0</v>
      </c>
      <c r="J89" s="11">
        <v>3.0</v>
      </c>
      <c r="K89" s="11" t="str">
        <f t="shared" si="1"/>
        <v>01390073270262093</v>
      </c>
      <c r="L89" s="238">
        <v>452.26</v>
      </c>
      <c r="M89" s="254">
        <v>102818.0</v>
      </c>
      <c r="N89" s="16">
        <v>14.0</v>
      </c>
      <c r="O89" s="22">
        <v>20.0</v>
      </c>
      <c r="P89" s="17">
        <v>22.0</v>
      </c>
      <c r="Q89" s="11">
        <v>5.2413061E7</v>
      </c>
      <c r="R89" s="11">
        <v>3.0</v>
      </c>
      <c r="S89" s="24" t="s">
        <v>29</v>
      </c>
      <c r="T89" s="249" t="s">
        <v>5378</v>
      </c>
      <c r="U89" s="17">
        <v>37.0</v>
      </c>
      <c r="V89" s="16">
        <v>50.0</v>
      </c>
      <c r="W89" s="16">
        <v>94.0</v>
      </c>
      <c r="X89" s="50">
        <v>122316.0</v>
      </c>
      <c r="Y89" s="250">
        <v>6504.0</v>
      </c>
    </row>
    <row r="90">
      <c r="A90" s="11">
        <v>19.0</v>
      </c>
      <c r="B90" s="11">
        <v>83.0</v>
      </c>
      <c r="C90" s="253">
        <v>48.0</v>
      </c>
      <c r="D90" s="235">
        <v>201.0</v>
      </c>
      <c r="E90" s="235">
        <v>201.0</v>
      </c>
      <c r="F90" s="253">
        <v>48.0</v>
      </c>
      <c r="G90" s="235">
        <v>201.0</v>
      </c>
      <c r="H90" s="236">
        <v>4.2111461E7</v>
      </c>
      <c r="I90" s="16">
        <v>56.0</v>
      </c>
      <c r="J90" s="11">
        <v>9.0</v>
      </c>
      <c r="K90" s="11" t="str">
        <f t="shared" si="1"/>
        <v>02010042111461569</v>
      </c>
      <c r="L90" s="238">
        <v>53046.72</v>
      </c>
      <c r="M90" s="254">
        <v>120415.0</v>
      </c>
      <c r="N90" s="16">
        <v>62.0</v>
      </c>
      <c r="O90" s="22">
        <v>45.0</v>
      </c>
      <c r="P90" s="17">
        <v>42.0</v>
      </c>
      <c r="Q90" s="11">
        <v>1.9438332E7</v>
      </c>
      <c r="R90" s="11">
        <v>9.0</v>
      </c>
      <c r="S90" s="24" t="s">
        <v>29</v>
      </c>
      <c r="T90" s="249" t="s">
        <v>5379</v>
      </c>
      <c r="U90" s="17">
        <v>85.0</v>
      </c>
      <c r="V90" s="16">
        <v>26.0</v>
      </c>
      <c r="W90" s="16">
        <v>19.0</v>
      </c>
      <c r="X90" s="50">
        <v>82315.0</v>
      </c>
      <c r="Y90" s="250">
        <v>6817.0</v>
      </c>
    </row>
    <row r="91">
      <c r="A91" s="11">
        <v>19.0</v>
      </c>
      <c r="B91" s="11">
        <v>22.0</v>
      </c>
      <c r="C91" s="253">
        <v>28.0</v>
      </c>
      <c r="D91" s="235">
        <v>23.0</v>
      </c>
      <c r="E91" s="235">
        <v>23.0</v>
      </c>
      <c r="F91" s="253">
        <v>28.0</v>
      </c>
      <c r="G91" s="235">
        <v>23.0</v>
      </c>
      <c r="H91" s="236">
        <v>2.7742423E7</v>
      </c>
      <c r="I91" s="16">
        <v>47.0</v>
      </c>
      <c r="J91" s="11">
        <v>9.0</v>
      </c>
      <c r="K91" s="11" t="str">
        <f t="shared" si="1"/>
        <v>00230027742423479</v>
      </c>
      <c r="L91" s="238">
        <v>576072.19</v>
      </c>
      <c r="M91" s="254">
        <v>101918.0</v>
      </c>
      <c r="N91" s="16">
        <v>76.0</v>
      </c>
      <c r="O91" s="22">
        <v>8.0</v>
      </c>
      <c r="P91" s="17">
        <v>42.0</v>
      </c>
      <c r="Q91" s="11">
        <v>1.8915251E7</v>
      </c>
      <c r="R91" s="11">
        <v>8.0</v>
      </c>
      <c r="S91" s="24" t="s">
        <v>48</v>
      </c>
      <c r="T91" s="249" t="s">
        <v>5380</v>
      </c>
      <c r="U91" s="17">
        <v>91.0</v>
      </c>
      <c r="V91" s="16">
        <v>76.0</v>
      </c>
      <c r="W91" s="16">
        <v>84.0</v>
      </c>
      <c r="X91" s="50">
        <v>21017.0</v>
      </c>
      <c r="Y91" s="250">
        <v>5497.0</v>
      </c>
    </row>
    <row r="92">
      <c r="A92" s="11">
        <v>15.0</v>
      </c>
      <c r="B92" s="11">
        <v>63.0</v>
      </c>
      <c r="C92" s="253">
        <v>47.0</v>
      </c>
      <c r="D92" s="235">
        <v>27.0</v>
      </c>
      <c r="E92" s="235">
        <v>27.0</v>
      </c>
      <c r="F92" s="253">
        <v>47.0</v>
      </c>
      <c r="G92" s="235">
        <v>27.0</v>
      </c>
      <c r="H92" s="236">
        <v>6.6171119E7</v>
      </c>
      <c r="I92" s="16">
        <v>99.0</v>
      </c>
      <c r="J92" s="11">
        <v>4.0</v>
      </c>
      <c r="K92" s="11" t="str">
        <f t="shared" si="1"/>
        <v>00270066171119994</v>
      </c>
      <c r="L92" s="238">
        <v>1710.22</v>
      </c>
      <c r="M92" s="254">
        <v>41919.0</v>
      </c>
      <c r="N92" s="16">
        <v>42.0</v>
      </c>
      <c r="O92" s="22">
        <v>56.0</v>
      </c>
      <c r="P92" s="17">
        <v>83.0</v>
      </c>
      <c r="Q92" s="11">
        <v>2.7822405E7</v>
      </c>
      <c r="R92" s="11">
        <v>6.0</v>
      </c>
      <c r="S92" s="24" t="s">
        <v>39</v>
      </c>
      <c r="T92" s="249" t="s">
        <v>5381</v>
      </c>
      <c r="U92" s="17">
        <v>91.0</v>
      </c>
      <c r="V92" s="16">
        <v>83.0</v>
      </c>
      <c r="W92" s="16">
        <v>72.0</v>
      </c>
      <c r="X92" s="50">
        <v>70520.0</v>
      </c>
      <c r="Y92" s="250">
        <v>4178.0</v>
      </c>
    </row>
    <row r="93">
      <c r="A93" s="11">
        <v>11.0</v>
      </c>
      <c r="B93" s="11">
        <v>22.0</v>
      </c>
      <c r="C93" s="253">
        <v>29.0</v>
      </c>
      <c r="D93" s="235">
        <v>9.0</v>
      </c>
      <c r="E93" s="235">
        <v>9.0</v>
      </c>
      <c r="F93" s="253">
        <v>29.0</v>
      </c>
      <c r="G93" s="235">
        <v>9.0</v>
      </c>
      <c r="H93" s="236">
        <v>4.8616972E7</v>
      </c>
      <c r="I93" s="16">
        <v>48.0</v>
      </c>
      <c r="J93" s="11">
        <v>5.0</v>
      </c>
      <c r="K93" s="11" t="str">
        <f t="shared" si="1"/>
        <v>00090048616972485</v>
      </c>
      <c r="L93" s="238">
        <v>-415.64</v>
      </c>
      <c r="M93" s="254">
        <v>20213.0</v>
      </c>
      <c r="N93" s="16">
        <v>67.0</v>
      </c>
      <c r="O93" s="22">
        <v>12.0</v>
      </c>
      <c r="P93" s="17">
        <v>83.0</v>
      </c>
      <c r="Q93" s="11">
        <v>7.291706E7</v>
      </c>
      <c r="R93" s="11">
        <v>8.0</v>
      </c>
      <c r="S93" s="24" t="s">
        <v>29</v>
      </c>
      <c r="T93" s="249" t="s">
        <v>5382</v>
      </c>
      <c r="U93" s="17">
        <v>93.0</v>
      </c>
      <c r="V93" s="16">
        <v>5.0</v>
      </c>
      <c r="W93" s="16">
        <v>23.0</v>
      </c>
      <c r="X93" s="50">
        <v>72113.0</v>
      </c>
      <c r="Y93" s="250">
        <v>8793.0</v>
      </c>
    </row>
    <row r="94">
      <c r="A94" s="11">
        <v>15.0</v>
      </c>
      <c r="B94" s="11">
        <v>42.0</v>
      </c>
      <c r="C94" s="253">
        <v>5.0</v>
      </c>
      <c r="D94" s="235">
        <v>143.0</v>
      </c>
      <c r="E94" s="235">
        <v>143.0</v>
      </c>
      <c r="F94" s="253">
        <v>5.0</v>
      </c>
      <c r="G94" s="235">
        <v>143.0</v>
      </c>
      <c r="H94" s="236">
        <v>2.2093289E7</v>
      </c>
      <c r="I94" s="16">
        <v>25.0</v>
      </c>
      <c r="J94" s="11">
        <v>0.0</v>
      </c>
      <c r="K94" s="11" t="str">
        <f t="shared" si="1"/>
        <v>01430022093289250</v>
      </c>
      <c r="L94" s="238">
        <v>361886.88</v>
      </c>
      <c r="M94" s="254">
        <v>81414.0</v>
      </c>
      <c r="N94" s="16">
        <v>26.0</v>
      </c>
      <c r="O94" s="22">
        <v>15.0</v>
      </c>
      <c r="P94" s="17">
        <v>22.0</v>
      </c>
      <c r="Q94" s="11">
        <v>5.9060511E7</v>
      </c>
      <c r="R94" s="11">
        <v>8.0</v>
      </c>
      <c r="S94" s="24" t="s">
        <v>48</v>
      </c>
      <c r="T94" s="249" t="s">
        <v>5383</v>
      </c>
      <c r="U94" s="17">
        <v>50.0</v>
      </c>
      <c r="V94" s="16">
        <v>92.0</v>
      </c>
      <c r="W94" s="16">
        <v>95.0</v>
      </c>
      <c r="X94" s="50">
        <v>121216.0</v>
      </c>
      <c r="Y94" s="250">
        <v>730.0</v>
      </c>
    </row>
    <row r="95">
      <c r="A95" s="11">
        <v>10.0</v>
      </c>
      <c r="B95" s="11">
        <v>63.0</v>
      </c>
      <c r="C95" s="253">
        <v>28.0</v>
      </c>
      <c r="D95" s="235">
        <v>157.0</v>
      </c>
      <c r="E95" s="235">
        <v>157.0</v>
      </c>
      <c r="F95" s="253">
        <v>28.0</v>
      </c>
      <c r="G95" s="235">
        <v>157.0</v>
      </c>
      <c r="H95" s="236">
        <v>1.6231061E7</v>
      </c>
      <c r="I95" s="16">
        <v>26.0</v>
      </c>
      <c r="J95" s="11">
        <v>0.0</v>
      </c>
      <c r="K95" s="11" t="str">
        <f t="shared" si="1"/>
        <v>01570016231061260</v>
      </c>
      <c r="L95" s="238">
        <v>9526.2</v>
      </c>
      <c r="M95" s="254">
        <v>32414.0</v>
      </c>
      <c r="N95" s="16">
        <v>62.0</v>
      </c>
      <c r="O95" s="22">
        <v>30.0</v>
      </c>
      <c r="P95" s="17">
        <v>63.0</v>
      </c>
      <c r="Q95" s="11">
        <v>5.9711413E7</v>
      </c>
      <c r="R95" s="11">
        <v>5.0</v>
      </c>
      <c r="S95" s="24" t="s">
        <v>29</v>
      </c>
      <c r="T95" s="249" t="s">
        <v>5384</v>
      </c>
      <c r="U95" s="17">
        <v>52.0</v>
      </c>
      <c r="V95" s="16">
        <v>34.0</v>
      </c>
      <c r="W95" s="16">
        <v>14.0</v>
      </c>
      <c r="X95" s="50">
        <v>52119.0</v>
      </c>
      <c r="Y95" s="250">
        <v>4147.0</v>
      </c>
    </row>
    <row r="96">
      <c r="A96" s="11">
        <v>11.0</v>
      </c>
      <c r="B96" s="11">
        <v>22.0</v>
      </c>
      <c r="C96" s="253">
        <v>19.0</v>
      </c>
      <c r="D96" s="235">
        <v>117.0</v>
      </c>
      <c r="E96" s="235">
        <v>117.0</v>
      </c>
      <c r="F96" s="253">
        <v>19.0</v>
      </c>
      <c r="G96" s="235">
        <v>117.0</v>
      </c>
      <c r="H96" s="236">
        <v>8.9116335E7</v>
      </c>
      <c r="I96" s="16">
        <v>45.0</v>
      </c>
      <c r="J96" s="11">
        <v>4.0</v>
      </c>
      <c r="K96" s="11" t="str">
        <f t="shared" si="1"/>
        <v>01170089116335454</v>
      </c>
      <c r="L96" s="238">
        <v>734215.39</v>
      </c>
      <c r="M96" s="254">
        <v>20913.0</v>
      </c>
      <c r="N96" s="16">
        <v>60.0</v>
      </c>
      <c r="O96" s="22">
        <v>29.0</v>
      </c>
      <c r="P96" s="17">
        <v>63.0</v>
      </c>
      <c r="Q96" s="11">
        <v>3.5100011E7</v>
      </c>
      <c r="R96" s="11">
        <v>6.0</v>
      </c>
      <c r="S96" s="24" t="s">
        <v>5292</v>
      </c>
      <c r="T96" s="249" t="s">
        <v>5385</v>
      </c>
      <c r="U96" s="17">
        <v>55.0</v>
      </c>
      <c r="V96" s="16">
        <v>61.0</v>
      </c>
      <c r="W96" s="16">
        <v>86.0</v>
      </c>
      <c r="X96" s="50">
        <v>92617.0</v>
      </c>
      <c r="Y96" s="250">
        <v>1484.0</v>
      </c>
    </row>
    <row r="97">
      <c r="A97" s="11">
        <v>11.0</v>
      </c>
      <c r="B97" s="11">
        <v>63.0</v>
      </c>
      <c r="C97" s="253">
        <v>38.0</v>
      </c>
      <c r="D97" s="235">
        <v>1.0</v>
      </c>
      <c r="E97" s="235">
        <v>1.0</v>
      </c>
      <c r="F97" s="253">
        <v>38.0</v>
      </c>
      <c r="G97" s="235">
        <v>1.0</v>
      </c>
      <c r="H97" s="236">
        <v>3.5973108E7</v>
      </c>
      <c r="I97" s="16">
        <v>70.0</v>
      </c>
      <c r="J97" s="11">
        <v>1.0</v>
      </c>
      <c r="K97" s="11" t="str">
        <f t="shared" si="1"/>
        <v>00010035973108701</v>
      </c>
      <c r="L97" s="238">
        <v>-359.33</v>
      </c>
      <c r="M97" s="254">
        <v>80321.0</v>
      </c>
      <c r="N97" s="16">
        <v>53.0</v>
      </c>
      <c r="O97" s="22">
        <v>30.0</v>
      </c>
      <c r="P97" s="17">
        <v>43.0</v>
      </c>
      <c r="Q97" s="11">
        <v>9.9031745E7</v>
      </c>
      <c r="R97" s="11">
        <v>2.0</v>
      </c>
      <c r="S97" s="24" t="s">
        <v>29</v>
      </c>
      <c r="T97" s="249" t="s">
        <v>5386</v>
      </c>
      <c r="U97" s="17">
        <v>8.0</v>
      </c>
      <c r="V97" s="16">
        <v>57.0</v>
      </c>
      <c r="W97" s="16">
        <v>76.0</v>
      </c>
      <c r="X97" s="50">
        <v>31222.0</v>
      </c>
      <c r="Y97" s="250">
        <v>5840.0</v>
      </c>
    </row>
    <row r="98">
      <c r="A98" s="11">
        <v>10.0</v>
      </c>
      <c r="B98" s="11">
        <v>42.0</v>
      </c>
      <c r="C98" s="253">
        <v>31.0</v>
      </c>
      <c r="D98" s="235">
        <v>173.0</v>
      </c>
      <c r="E98" s="235">
        <v>173.0</v>
      </c>
      <c r="F98" s="253">
        <v>31.0</v>
      </c>
      <c r="G98" s="235">
        <v>173.0</v>
      </c>
      <c r="H98" s="236">
        <v>7.6547218E7</v>
      </c>
      <c r="I98" s="16">
        <v>93.0</v>
      </c>
      <c r="J98" s="11">
        <v>4.0</v>
      </c>
      <c r="K98" s="11" t="str">
        <f t="shared" si="1"/>
        <v>01730076547218934</v>
      </c>
      <c r="L98" s="238">
        <v>5520.41</v>
      </c>
      <c r="M98" s="254">
        <v>91020.0</v>
      </c>
      <c r="N98" s="16">
        <v>97.0</v>
      </c>
      <c r="O98" s="22">
        <v>45.0</v>
      </c>
      <c r="P98" s="17">
        <v>84.0</v>
      </c>
      <c r="Q98" s="11">
        <v>5.0771171E7</v>
      </c>
      <c r="R98" s="11">
        <v>3.0</v>
      </c>
      <c r="S98" s="24" t="s">
        <v>5292</v>
      </c>
      <c r="T98" s="249" t="s">
        <v>5387</v>
      </c>
      <c r="U98" s="17">
        <v>5.0</v>
      </c>
      <c r="V98" s="16">
        <v>2.0</v>
      </c>
      <c r="W98" s="16">
        <v>18.0</v>
      </c>
      <c r="X98" s="50">
        <v>121417.0</v>
      </c>
      <c r="Y98" s="250">
        <v>4176.0</v>
      </c>
    </row>
    <row r="99">
      <c r="A99" s="11">
        <v>10.0</v>
      </c>
      <c r="B99" s="11">
        <v>63.0</v>
      </c>
      <c r="C99" s="253">
        <v>45.0</v>
      </c>
      <c r="D99" s="235">
        <v>5.0</v>
      </c>
      <c r="E99" s="235">
        <v>5.0</v>
      </c>
      <c r="F99" s="253">
        <v>45.0</v>
      </c>
      <c r="G99" s="235">
        <v>5.0</v>
      </c>
      <c r="H99" s="236">
        <v>2.5872762E7</v>
      </c>
      <c r="I99" s="16">
        <v>37.0</v>
      </c>
      <c r="J99" s="11">
        <v>7.0</v>
      </c>
      <c r="K99" s="11" t="str">
        <f t="shared" si="1"/>
        <v>00050025872762377</v>
      </c>
      <c r="L99" s="238">
        <v>749621.15</v>
      </c>
      <c r="M99" s="254">
        <v>10923.0</v>
      </c>
      <c r="N99" s="16">
        <v>46.0</v>
      </c>
      <c r="O99" s="22">
        <v>42.0</v>
      </c>
      <c r="P99" s="17">
        <v>63.0</v>
      </c>
      <c r="Q99" s="11">
        <v>4.7901303E7</v>
      </c>
      <c r="R99" s="11">
        <v>3.0</v>
      </c>
      <c r="S99" s="24" t="s">
        <v>39</v>
      </c>
      <c r="T99" s="249" t="s">
        <v>5388</v>
      </c>
      <c r="U99" s="17">
        <v>63.0</v>
      </c>
      <c r="V99" s="16">
        <v>88.0</v>
      </c>
      <c r="W99" s="16">
        <v>43.0</v>
      </c>
      <c r="X99" s="50">
        <v>50715.0</v>
      </c>
      <c r="Y99" s="250">
        <v>4455.0</v>
      </c>
    </row>
    <row r="100">
      <c r="A100" s="11">
        <v>15.0</v>
      </c>
      <c r="B100" s="11">
        <v>83.0</v>
      </c>
      <c r="C100" s="253">
        <v>10.0</v>
      </c>
      <c r="D100" s="235">
        <v>1.0</v>
      </c>
      <c r="E100" s="235">
        <v>1.0</v>
      </c>
      <c r="F100" s="253">
        <v>10.0</v>
      </c>
      <c r="G100" s="235">
        <v>1.0</v>
      </c>
      <c r="H100" s="236">
        <v>1.4412194E7</v>
      </c>
      <c r="I100" s="16">
        <v>92.0</v>
      </c>
      <c r="J100" s="11">
        <v>7.0</v>
      </c>
      <c r="K100" s="11" t="str">
        <f t="shared" si="1"/>
        <v>00010014412194927</v>
      </c>
      <c r="L100" s="238">
        <v>625800.49</v>
      </c>
      <c r="M100" s="254">
        <v>82819.0</v>
      </c>
      <c r="N100" s="16">
        <v>72.0</v>
      </c>
      <c r="O100" s="22">
        <v>6.0</v>
      </c>
      <c r="P100" s="17">
        <v>63.0</v>
      </c>
      <c r="Q100" s="11">
        <v>5.9357891E7</v>
      </c>
      <c r="R100" s="11">
        <v>0.0</v>
      </c>
      <c r="S100" s="24" t="s">
        <v>39</v>
      </c>
      <c r="T100" s="249" t="s">
        <v>5389</v>
      </c>
      <c r="U100" s="17">
        <v>64.0</v>
      </c>
      <c r="V100" s="16">
        <v>3.0</v>
      </c>
      <c r="W100" s="16">
        <v>29.0</v>
      </c>
      <c r="X100" s="50">
        <v>71114.0</v>
      </c>
      <c r="Y100" s="250">
        <v>5888.0</v>
      </c>
    </row>
    <row r="101">
      <c r="A101" s="11">
        <v>14.0</v>
      </c>
      <c r="B101" s="11">
        <v>63.0</v>
      </c>
      <c r="C101" s="253">
        <v>48.0</v>
      </c>
      <c r="D101" s="235">
        <v>401.0</v>
      </c>
      <c r="E101" s="235">
        <v>401.0</v>
      </c>
      <c r="F101" s="253">
        <v>48.0</v>
      </c>
      <c r="G101" s="235">
        <v>401.0</v>
      </c>
      <c r="H101" s="236">
        <v>4.2514774E7</v>
      </c>
      <c r="I101" s="16">
        <v>48.0</v>
      </c>
      <c r="J101" s="11">
        <v>1.0</v>
      </c>
      <c r="K101" s="11" t="str">
        <f t="shared" si="1"/>
        <v>04010042514774481</v>
      </c>
      <c r="L101" s="238">
        <v>22446.71</v>
      </c>
      <c r="M101" s="254">
        <v>111918.0</v>
      </c>
      <c r="N101" s="16">
        <v>3.0</v>
      </c>
      <c r="O101" s="22">
        <v>21.0</v>
      </c>
      <c r="P101" s="17">
        <v>63.0</v>
      </c>
      <c r="Q101" s="11">
        <v>9.0427312E7</v>
      </c>
      <c r="R101" s="11">
        <v>8.0</v>
      </c>
      <c r="S101" s="24" t="s">
        <v>5292</v>
      </c>
      <c r="T101" s="249" t="s">
        <v>5390</v>
      </c>
      <c r="U101" s="17">
        <v>73.0</v>
      </c>
      <c r="V101" s="16">
        <v>34.0</v>
      </c>
      <c r="W101" s="16">
        <v>78.0</v>
      </c>
      <c r="X101" s="50">
        <v>52713.0</v>
      </c>
      <c r="Y101" s="250">
        <v>6352.0</v>
      </c>
    </row>
    <row r="102">
      <c r="A102" s="11">
        <v>17.0</v>
      </c>
      <c r="B102" s="11">
        <v>42.0</v>
      </c>
      <c r="C102" s="253">
        <v>13.0</v>
      </c>
      <c r="D102" s="235">
        <v>201.0</v>
      </c>
      <c r="E102" s="235">
        <v>201.0</v>
      </c>
      <c r="F102" s="253">
        <v>13.0</v>
      </c>
      <c r="G102" s="235">
        <v>201.0</v>
      </c>
      <c r="H102" s="236">
        <v>9.1605401E7</v>
      </c>
      <c r="I102" s="16">
        <v>2.0</v>
      </c>
      <c r="J102" s="11">
        <v>9.0</v>
      </c>
      <c r="K102" s="11" t="str">
        <f t="shared" si="1"/>
        <v>02010091605401029</v>
      </c>
      <c r="L102" s="238">
        <v>-385698.27</v>
      </c>
      <c r="M102" s="254">
        <v>82317.0</v>
      </c>
      <c r="N102" s="16">
        <v>63.0</v>
      </c>
      <c r="O102" s="22">
        <v>39.0</v>
      </c>
      <c r="P102" s="17">
        <v>63.0</v>
      </c>
      <c r="Q102" s="11">
        <v>9.2032999E7</v>
      </c>
      <c r="R102" s="11">
        <v>3.0</v>
      </c>
      <c r="S102" s="24" t="s">
        <v>29</v>
      </c>
      <c r="T102" s="249" t="s">
        <v>5391</v>
      </c>
      <c r="U102" s="17">
        <v>75.0</v>
      </c>
      <c r="V102" s="16">
        <v>74.0</v>
      </c>
      <c r="W102" s="16">
        <v>31.0</v>
      </c>
      <c r="X102" s="50">
        <v>52113.0</v>
      </c>
      <c r="Y102" s="250">
        <v>5882.0</v>
      </c>
    </row>
    <row r="103">
      <c r="A103" s="11">
        <v>10.0</v>
      </c>
      <c r="B103" s="11">
        <v>22.0</v>
      </c>
      <c r="C103" s="253">
        <v>27.0</v>
      </c>
      <c r="D103" s="235">
        <v>71.0</v>
      </c>
      <c r="E103" s="235">
        <v>71.0</v>
      </c>
      <c r="F103" s="253">
        <v>27.0</v>
      </c>
      <c r="G103" s="235">
        <v>71.0</v>
      </c>
      <c r="H103" s="236">
        <v>8.9359264E7</v>
      </c>
      <c r="I103" s="16">
        <v>55.0</v>
      </c>
      <c r="J103" s="11">
        <v>8.0</v>
      </c>
      <c r="K103" s="11" t="str">
        <f t="shared" si="1"/>
        <v>00710089359264558</v>
      </c>
      <c r="L103" s="238">
        <v>291037.88</v>
      </c>
      <c r="M103" s="254">
        <v>12819.0</v>
      </c>
      <c r="N103" s="16">
        <v>7.0</v>
      </c>
      <c r="O103" s="22">
        <v>32.0</v>
      </c>
      <c r="P103" s="17">
        <v>63.0</v>
      </c>
      <c r="Q103" s="11">
        <v>5.6440232E7</v>
      </c>
      <c r="R103" s="11">
        <v>0.0</v>
      </c>
      <c r="S103" s="24" t="s">
        <v>48</v>
      </c>
      <c r="T103" s="249" t="s">
        <v>5392</v>
      </c>
      <c r="U103" s="17">
        <v>79.0</v>
      </c>
      <c r="V103" s="16">
        <v>2.0</v>
      </c>
      <c r="W103" s="16">
        <v>19.0</v>
      </c>
      <c r="X103" s="50">
        <v>83020.0</v>
      </c>
      <c r="Y103" s="250">
        <v>4394.0</v>
      </c>
    </row>
    <row r="104">
      <c r="A104" s="11">
        <v>12.0</v>
      </c>
      <c r="B104" s="11">
        <v>63.0</v>
      </c>
      <c r="C104" s="253">
        <v>13.0</v>
      </c>
      <c r="D104" s="235">
        <v>21.0</v>
      </c>
      <c r="E104" s="235">
        <v>21.0</v>
      </c>
      <c r="F104" s="253">
        <v>13.0</v>
      </c>
      <c r="G104" s="235">
        <v>21.0</v>
      </c>
      <c r="H104" s="236">
        <v>7.9173826E7</v>
      </c>
      <c r="I104" s="16">
        <v>49.0</v>
      </c>
      <c r="J104" s="11">
        <v>4.0</v>
      </c>
      <c r="K104" s="11" t="str">
        <f t="shared" si="1"/>
        <v>00210079173826494</v>
      </c>
      <c r="L104" s="238">
        <v>853.81</v>
      </c>
      <c r="M104" s="254">
        <v>40717.0</v>
      </c>
      <c r="N104" s="16">
        <v>78.0</v>
      </c>
      <c r="O104" s="22">
        <v>35.0</v>
      </c>
      <c r="P104" s="17">
        <v>63.0</v>
      </c>
      <c r="Q104" s="11">
        <v>7.0685367E7</v>
      </c>
      <c r="R104" s="11">
        <v>0.0</v>
      </c>
      <c r="S104" s="24" t="s">
        <v>5292</v>
      </c>
      <c r="T104" s="249" t="s">
        <v>5393</v>
      </c>
      <c r="U104" s="17">
        <v>82.0</v>
      </c>
      <c r="V104" s="16">
        <v>74.0</v>
      </c>
      <c r="W104" s="16">
        <v>45.0</v>
      </c>
      <c r="X104" s="50">
        <v>32021.0</v>
      </c>
      <c r="Y104" s="250">
        <v>1602.0</v>
      </c>
    </row>
    <row r="105">
      <c r="A105" s="11">
        <v>15.0</v>
      </c>
      <c r="B105" s="11">
        <v>42.0</v>
      </c>
      <c r="C105" s="253">
        <v>46.0</v>
      </c>
      <c r="D105" s="235">
        <v>85.0</v>
      </c>
      <c r="E105" s="235">
        <v>85.0</v>
      </c>
      <c r="F105" s="253">
        <v>46.0</v>
      </c>
      <c r="G105" s="235">
        <v>85.0</v>
      </c>
      <c r="H105" s="236">
        <v>1.8831229E7</v>
      </c>
      <c r="I105" s="16">
        <v>74.0</v>
      </c>
      <c r="J105" s="11">
        <v>9.0</v>
      </c>
      <c r="K105" s="11" t="str">
        <f t="shared" si="1"/>
        <v>00850018831229749</v>
      </c>
      <c r="L105" s="238">
        <v>-881981.36</v>
      </c>
      <c r="M105" s="254">
        <v>93017.0</v>
      </c>
      <c r="N105" s="16">
        <v>85.0</v>
      </c>
      <c r="O105" s="22">
        <v>15.0</v>
      </c>
      <c r="P105" s="17">
        <v>22.0</v>
      </c>
      <c r="Q105" s="11">
        <v>8.2803336E7</v>
      </c>
      <c r="R105" s="11">
        <v>7.0</v>
      </c>
      <c r="S105" s="24" t="s">
        <v>39</v>
      </c>
      <c r="T105" s="249" t="s">
        <v>5394</v>
      </c>
      <c r="U105" s="17">
        <v>88.0</v>
      </c>
      <c r="V105" s="16">
        <v>47.0</v>
      </c>
      <c r="W105" s="16">
        <v>30.0</v>
      </c>
      <c r="X105" s="50">
        <v>72019.0</v>
      </c>
      <c r="Y105" s="250">
        <v>7965.0</v>
      </c>
    </row>
    <row r="106">
      <c r="A106" s="11">
        <v>14.0</v>
      </c>
      <c r="B106" s="11">
        <v>63.0</v>
      </c>
      <c r="C106" s="253">
        <v>48.0</v>
      </c>
      <c r="D106" s="235">
        <v>151.0</v>
      </c>
      <c r="E106" s="235">
        <v>151.0</v>
      </c>
      <c r="F106" s="253">
        <v>48.0</v>
      </c>
      <c r="G106" s="235">
        <v>151.0</v>
      </c>
      <c r="H106" s="236">
        <v>8.3940103E7</v>
      </c>
      <c r="I106" s="16">
        <v>45.0</v>
      </c>
      <c r="J106" s="11">
        <v>5.0</v>
      </c>
      <c r="K106" s="11" t="str">
        <f t="shared" si="1"/>
        <v>01510083940103455</v>
      </c>
      <c r="L106" s="238">
        <v>729891.27</v>
      </c>
      <c r="M106" s="254">
        <v>82923.0</v>
      </c>
      <c r="N106" s="16">
        <v>86.0</v>
      </c>
      <c r="O106" s="22">
        <v>32.0</v>
      </c>
      <c r="P106" s="17">
        <v>22.0</v>
      </c>
      <c r="Q106" s="11">
        <v>5.5457326E7</v>
      </c>
      <c r="R106" s="11">
        <v>6.0</v>
      </c>
      <c r="S106" s="24" t="s">
        <v>5292</v>
      </c>
      <c r="T106" s="249" t="s">
        <v>5395</v>
      </c>
      <c r="U106" s="17">
        <v>91.0</v>
      </c>
      <c r="V106" s="16">
        <v>19.0</v>
      </c>
      <c r="W106" s="16">
        <v>64.0</v>
      </c>
      <c r="X106" s="50">
        <v>72515.0</v>
      </c>
      <c r="Y106" s="250">
        <v>3626.0</v>
      </c>
    </row>
    <row r="107">
      <c r="A107" s="11">
        <v>16.0</v>
      </c>
      <c r="B107" s="11">
        <v>42.0</v>
      </c>
      <c r="C107" s="253">
        <v>30.0</v>
      </c>
      <c r="D107" s="235">
        <v>17.0</v>
      </c>
      <c r="E107" s="235">
        <v>17.0</v>
      </c>
      <c r="F107" s="253">
        <v>30.0</v>
      </c>
      <c r="G107" s="235">
        <v>17.0</v>
      </c>
      <c r="H107" s="236">
        <v>1.7101509E7</v>
      </c>
      <c r="I107" s="16">
        <v>45.0</v>
      </c>
      <c r="J107" s="11">
        <v>9.0</v>
      </c>
      <c r="K107" s="11" t="str">
        <f t="shared" si="1"/>
        <v>00170017101509459</v>
      </c>
      <c r="L107" s="238">
        <v>568539.99</v>
      </c>
      <c r="M107" s="254">
        <v>50816.0</v>
      </c>
      <c r="N107" s="16">
        <v>5.0</v>
      </c>
      <c r="O107" s="22">
        <v>50.0</v>
      </c>
      <c r="P107" s="17">
        <v>84.0</v>
      </c>
      <c r="Q107" s="11">
        <v>4.197934E7</v>
      </c>
      <c r="R107" s="11">
        <v>4.0</v>
      </c>
      <c r="S107" s="24" t="s">
        <v>39</v>
      </c>
      <c r="T107" s="249" t="s">
        <v>5396</v>
      </c>
      <c r="U107" s="17">
        <v>36.0</v>
      </c>
      <c r="V107" s="16">
        <v>27.0</v>
      </c>
      <c r="W107" s="16">
        <v>97.0</v>
      </c>
      <c r="X107" s="50">
        <v>51514.0</v>
      </c>
      <c r="Y107" s="250">
        <v>217.0</v>
      </c>
    </row>
    <row r="108">
      <c r="A108" s="11">
        <v>15.0</v>
      </c>
      <c r="B108" s="11">
        <v>22.0</v>
      </c>
      <c r="C108" s="253">
        <v>19.0</v>
      </c>
      <c r="D108" s="235">
        <v>137.0</v>
      </c>
      <c r="E108" s="235">
        <v>137.0</v>
      </c>
      <c r="F108" s="253">
        <v>19.0</v>
      </c>
      <c r="G108" s="235">
        <v>137.0</v>
      </c>
      <c r="H108" s="236">
        <v>5.071759E7</v>
      </c>
      <c r="I108" s="16">
        <v>15.0</v>
      </c>
      <c r="J108" s="11">
        <v>6.0</v>
      </c>
      <c r="K108" s="11" t="str">
        <f t="shared" si="1"/>
        <v>01370050717590156</v>
      </c>
      <c r="L108" s="238">
        <v>-200.2</v>
      </c>
      <c r="M108" s="254">
        <v>30915.0</v>
      </c>
      <c r="N108" s="16">
        <v>7.0</v>
      </c>
      <c r="O108" s="22">
        <v>23.0</v>
      </c>
      <c r="P108" s="17">
        <v>84.0</v>
      </c>
      <c r="Q108" s="11">
        <v>5.8011339E7</v>
      </c>
      <c r="R108" s="11">
        <v>3.0</v>
      </c>
      <c r="S108" s="24" t="s">
        <v>29</v>
      </c>
      <c r="T108" s="249" t="s">
        <v>5397</v>
      </c>
      <c r="U108" s="17">
        <v>38.0</v>
      </c>
      <c r="V108" s="16">
        <v>45.0</v>
      </c>
      <c r="W108" s="16">
        <v>7.0</v>
      </c>
      <c r="X108" s="50">
        <v>50221.0</v>
      </c>
      <c r="Y108" s="250">
        <v>8669.0</v>
      </c>
    </row>
    <row r="109">
      <c r="A109" s="11">
        <v>18.0</v>
      </c>
      <c r="B109" s="11">
        <v>22.0</v>
      </c>
      <c r="C109" s="253">
        <v>37.0</v>
      </c>
      <c r="D109" s="235">
        <v>191.0</v>
      </c>
      <c r="E109" s="235">
        <v>191.0</v>
      </c>
      <c r="F109" s="253">
        <v>37.0</v>
      </c>
      <c r="G109" s="235">
        <v>191.0</v>
      </c>
      <c r="H109" s="236">
        <v>2.021565E7</v>
      </c>
      <c r="I109" s="16">
        <v>28.0</v>
      </c>
      <c r="J109" s="11">
        <v>0.0</v>
      </c>
      <c r="K109" s="11" t="str">
        <f t="shared" si="1"/>
        <v>01910020215650280</v>
      </c>
      <c r="L109" s="238">
        <v>-28791.0</v>
      </c>
      <c r="M109" s="254">
        <v>31618.0</v>
      </c>
      <c r="N109" s="16">
        <v>35.0</v>
      </c>
      <c r="O109" s="22">
        <v>55.0</v>
      </c>
      <c r="P109" s="17">
        <v>22.0</v>
      </c>
      <c r="Q109" s="11">
        <v>2.4882509E7</v>
      </c>
      <c r="R109" s="11">
        <v>8.0</v>
      </c>
      <c r="S109" s="24" t="s">
        <v>39</v>
      </c>
      <c r="T109" s="249" t="s">
        <v>5398</v>
      </c>
      <c r="U109" s="17">
        <v>94.0</v>
      </c>
      <c r="V109" s="16">
        <v>73.0</v>
      </c>
      <c r="W109" s="16">
        <v>80.0</v>
      </c>
      <c r="X109" s="50">
        <v>121614.0</v>
      </c>
      <c r="Y109" s="250">
        <v>3188.0</v>
      </c>
    </row>
    <row r="110">
      <c r="A110" s="11">
        <v>19.0</v>
      </c>
      <c r="B110" s="11">
        <v>22.0</v>
      </c>
      <c r="C110" s="253">
        <v>47.0</v>
      </c>
      <c r="D110" s="235">
        <v>41.0</v>
      </c>
      <c r="E110" s="235">
        <v>41.0</v>
      </c>
      <c r="F110" s="253">
        <v>47.0</v>
      </c>
      <c r="G110" s="235">
        <v>41.0</v>
      </c>
      <c r="H110" s="236">
        <v>8.133882E7</v>
      </c>
      <c r="I110" s="16">
        <v>75.0</v>
      </c>
      <c r="J110" s="11">
        <v>9.0</v>
      </c>
      <c r="K110" s="11" t="str">
        <f t="shared" si="1"/>
        <v>00410081338820759</v>
      </c>
      <c r="L110" s="238">
        <v>677.88</v>
      </c>
      <c r="M110" s="254">
        <v>92522.0</v>
      </c>
      <c r="N110" s="16">
        <v>5.0</v>
      </c>
      <c r="O110" s="22">
        <v>44.0</v>
      </c>
      <c r="P110" s="17">
        <v>43.0</v>
      </c>
      <c r="Q110" s="11">
        <v>9.7633583E7</v>
      </c>
      <c r="R110" s="11">
        <v>0.0</v>
      </c>
      <c r="S110" s="24" t="s">
        <v>5292</v>
      </c>
      <c r="T110" s="249" t="s">
        <v>5399</v>
      </c>
      <c r="U110" s="17">
        <v>45.0</v>
      </c>
      <c r="V110" s="16">
        <v>87.0</v>
      </c>
      <c r="W110" s="16">
        <v>89.0</v>
      </c>
      <c r="X110" s="50">
        <v>40414.0</v>
      </c>
      <c r="Y110" s="250">
        <v>9087.0</v>
      </c>
    </row>
    <row r="111">
      <c r="A111" s="11">
        <v>13.0</v>
      </c>
      <c r="B111" s="11">
        <v>63.0</v>
      </c>
      <c r="C111" s="253">
        <v>51.0</v>
      </c>
      <c r="D111" s="235">
        <v>157.0</v>
      </c>
      <c r="E111" s="235">
        <v>157.0</v>
      </c>
      <c r="F111" s="253">
        <v>51.0</v>
      </c>
      <c r="G111" s="235">
        <v>157.0</v>
      </c>
      <c r="H111" s="236">
        <v>9.9402618E7</v>
      </c>
      <c r="I111" s="16">
        <v>91.0</v>
      </c>
      <c r="J111" s="11">
        <v>9.0</v>
      </c>
      <c r="K111" s="11" t="str">
        <f t="shared" si="1"/>
        <v>01570099402618919</v>
      </c>
      <c r="L111" s="238">
        <v>51357.37</v>
      </c>
      <c r="M111" s="254">
        <v>62614.0</v>
      </c>
      <c r="N111" s="16">
        <v>27.0</v>
      </c>
      <c r="O111" s="22">
        <v>23.0</v>
      </c>
      <c r="P111" s="17">
        <v>84.0</v>
      </c>
      <c r="Q111" s="11">
        <v>1.901272E7</v>
      </c>
      <c r="R111" s="11">
        <v>2.0</v>
      </c>
      <c r="S111" s="24" t="s">
        <v>39</v>
      </c>
      <c r="T111" s="249" t="s">
        <v>5400</v>
      </c>
      <c r="U111" s="17">
        <v>43.0</v>
      </c>
      <c r="V111" s="16">
        <v>9.0</v>
      </c>
      <c r="W111" s="16">
        <v>47.0</v>
      </c>
      <c r="X111" s="50">
        <v>53122.0</v>
      </c>
      <c r="Y111" s="250">
        <v>8066.0</v>
      </c>
    </row>
    <row r="112">
      <c r="A112" s="11">
        <v>11.0</v>
      </c>
      <c r="B112" s="11">
        <v>22.0</v>
      </c>
      <c r="C112" s="253">
        <v>13.0</v>
      </c>
      <c r="D112" s="235">
        <v>83.0</v>
      </c>
      <c r="E112" s="235">
        <v>83.0</v>
      </c>
      <c r="F112" s="253">
        <v>13.0</v>
      </c>
      <c r="G112" s="235">
        <v>83.0</v>
      </c>
      <c r="H112" s="236">
        <v>1.6288707E7</v>
      </c>
      <c r="I112" s="16">
        <v>48.0</v>
      </c>
      <c r="J112" s="11">
        <v>1.0</v>
      </c>
      <c r="K112" s="11" t="str">
        <f t="shared" si="1"/>
        <v>00830016288707481</v>
      </c>
      <c r="L112" s="238">
        <v>583.44</v>
      </c>
      <c r="M112" s="254">
        <v>20315.0</v>
      </c>
      <c r="N112" s="16">
        <v>62.0</v>
      </c>
      <c r="O112" s="22">
        <v>15.0</v>
      </c>
      <c r="P112" s="17">
        <v>43.0</v>
      </c>
      <c r="Q112" s="11">
        <v>9.5306934E7</v>
      </c>
      <c r="R112" s="11">
        <v>3.0</v>
      </c>
      <c r="S112" s="24" t="s">
        <v>5292</v>
      </c>
      <c r="T112" s="249" t="s">
        <v>5401</v>
      </c>
      <c r="U112" s="17">
        <v>52.0</v>
      </c>
      <c r="V112" s="16">
        <v>47.0</v>
      </c>
      <c r="W112" s="16">
        <v>66.0</v>
      </c>
      <c r="X112" s="50">
        <v>22315.0</v>
      </c>
      <c r="Y112" s="250">
        <v>3017.0</v>
      </c>
    </row>
    <row r="113">
      <c r="A113" s="11">
        <v>11.0</v>
      </c>
      <c r="B113" s="11">
        <v>63.0</v>
      </c>
      <c r="C113" s="253">
        <v>37.0</v>
      </c>
      <c r="D113" s="235">
        <v>11.0</v>
      </c>
      <c r="E113" s="235">
        <v>11.0</v>
      </c>
      <c r="F113" s="253">
        <v>37.0</v>
      </c>
      <c r="G113" s="235">
        <v>11.0</v>
      </c>
      <c r="H113" s="236">
        <v>5.6173135E7</v>
      </c>
      <c r="I113" s="16">
        <v>78.0</v>
      </c>
      <c r="J113" s="11">
        <v>8.0</v>
      </c>
      <c r="K113" s="11" t="str">
        <f t="shared" si="1"/>
        <v>00110056173135788</v>
      </c>
      <c r="L113" s="238">
        <v>395996.8</v>
      </c>
      <c r="M113" s="254">
        <v>31019.0</v>
      </c>
      <c r="N113" s="16">
        <v>32.0</v>
      </c>
      <c r="O113" s="22">
        <v>29.0</v>
      </c>
      <c r="P113" s="17">
        <v>23.0</v>
      </c>
      <c r="Q113" s="11">
        <v>5.3460845E7</v>
      </c>
      <c r="R113" s="11">
        <v>3.0</v>
      </c>
      <c r="S113" s="24" t="s">
        <v>39</v>
      </c>
      <c r="T113" s="249" t="s">
        <v>5402</v>
      </c>
      <c r="U113" s="17">
        <v>7.0</v>
      </c>
      <c r="V113" s="16">
        <v>47.0</v>
      </c>
      <c r="W113" s="16">
        <v>56.0</v>
      </c>
      <c r="X113" s="50">
        <v>112416.0</v>
      </c>
      <c r="Y113" s="250">
        <v>3402.0</v>
      </c>
    </row>
    <row r="114">
      <c r="A114" s="11">
        <v>15.0</v>
      </c>
      <c r="B114" s="11">
        <v>63.0</v>
      </c>
      <c r="C114" s="253">
        <v>51.0</v>
      </c>
      <c r="D114" s="235">
        <v>173.0</v>
      </c>
      <c r="E114" s="235">
        <v>173.0</v>
      </c>
      <c r="F114" s="253">
        <v>51.0</v>
      </c>
      <c r="G114" s="235">
        <v>173.0</v>
      </c>
      <c r="H114" s="236">
        <v>8.2066599E7</v>
      </c>
      <c r="I114" s="16">
        <v>67.0</v>
      </c>
      <c r="J114" s="11">
        <v>2.0</v>
      </c>
      <c r="K114" s="11" t="str">
        <f t="shared" si="1"/>
        <v>01730082066599672</v>
      </c>
      <c r="L114" s="238">
        <v>126.23</v>
      </c>
      <c r="M114" s="254">
        <v>72415.0</v>
      </c>
      <c r="N114" s="16">
        <v>6.0</v>
      </c>
      <c r="O114" s="22">
        <v>29.0</v>
      </c>
      <c r="P114" s="17">
        <v>84.0</v>
      </c>
      <c r="Q114" s="11">
        <v>2.387084E7</v>
      </c>
      <c r="R114" s="11">
        <v>3.0</v>
      </c>
      <c r="S114" s="24" t="s">
        <v>5292</v>
      </c>
      <c r="T114" s="249" t="s">
        <v>5403</v>
      </c>
      <c r="U114" s="17">
        <v>54.0</v>
      </c>
      <c r="V114" s="16">
        <v>64.0</v>
      </c>
      <c r="W114" s="16">
        <v>27.0</v>
      </c>
      <c r="X114" s="50">
        <v>52421.0</v>
      </c>
      <c r="Y114" s="250">
        <v>3806.0</v>
      </c>
    </row>
    <row r="115">
      <c r="A115" s="11">
        <v>12.0</v>
      </c>
      <c r="B115" s="11">
        <v>43.0</v>
      </c>
      <c r="C115" s="253">
        <v>40.0</v>
      </c>
      <c r="D115" s="235">
        <v>137.0</v>
      </c>
      <c r="E115" s="235">
        <v>137.0</v>
      </c>
      <c r="F115" s="253">
        <v>40.0</v>
      </c>
      <c r="G115" s="235">
        <v>137.0</v>
      </c>
      <c r="H115" s="236">
        <v>5.244276E7</v>
      </c>
      <c r="I115" s="16">
        <v>42.0</v>
      </c>
      <c r="J115" s="11">
        <v>7.0</v>
      </c>
      <c r="K115" s="11" t="str">
        <f t="shared" si="1"/>
        <v>01370052442760427</v>
      </c>
      <c r="L115" s="238">
        <v>33050.84</v>
      </c>
      <c r="M115" s="254">
        <v>122618.0</v>
      </c>
      <c r="N115" s="16">
        <v>61.0</v>
      </c>
      <c r="O115" s="22">
        <v>41.0</v>
      </c>
      <c r="P115" s="17">
        <v>43.0</v>
      </c>
      <c r="Q115" s="11">
        <v>6.1978997E7</v>
      </c>
      <c r="R115" s="11">
        <v>7.0</v>
      </c>
      <c r="S115" s="24" t="s">
        <v>48</v>
      </c>
      <c r="T115" s="249" t="s">
        <v>5404</v>
      </c>
      <c r="U115" s="17">
        <v>59.0</v>
      </c>
      <c r="V115" s="16">
        <v>43.0</v>
      </c>
      <c r="W115" s="16">
        <v>47.0</v>
      </c>
      <c r="X115" s="50">
        <v>53014.0</v>
      </c>
      <c r="Y115" s="250">
        <v>593.0</v>
      </c>
    </row>
    <row r="116">
      <c r="A116" s="11">
        <v>19.0</v>
      </c>
      <c r="B116" s="11">
        <v>84.0</v>
      </c>
      <c r="C116" s="253">
        <v>1.0</v>
      </c>
      <c r="D116" s="235">
        <v>71.0</v>
      </c>
      <c r="E116" s="235">
        <v>71.0</v>
      </c>
      <c r="F116" s="253">
        <v>1.0</v>
      </c>
      <c r="G116" s="235">
        <v>71.0</v>
      </c>
      <c r="H116" s="236">
        <v>3.4661551E7</v>
      </c>
      <c r="I116" s="16">
        <v>87.0</v>
      </c>
      <c r="J116" s="11">
        <v>2.0</v>
      </c>
      <c r="K116" s="11" t="str">
        <f t="shared" si="1"/>
        <v>00710034661551872</v>
      </c>
      <c r="L116" s="238">
        <v>9992.88</v>
      </c>
      <c r="M116" s="254">
        <v>32023.0</v>
      </c>
      <c r="N116" s="16">
        <v>79.0</v>
      </c>
      <c r="O116" s="22">
        <v>18.0</v>
      </c>
      <c r="P116" s="17">
        <v>84.0</v>
      </c>
      <c r="Q116" s="11">
        <v>5.0670735E7</v>
      </c>
      <c r="R116" s="11">
        <v>9.0</v>
      </c>
      <c r="S116" s="24" t="s">
        <v>29</v>
      </c>
      <c r="T116" s="249" t="s">
        <v>5405</v>
      </c>
      <c r="U116" s="17">
        <v>55.0</v>
      </c>
      <c r="V116" s="16">
        <v>8.0</v>
      </c>
      <c r="W116" s="16">
        <v>97.0</v>
      </c>
      <c r="X116" s="50">
        <v>42119.0</v>
      </c>
      <c r="Y116" s="250">
        <v>5085.0</v>
      </c>
    </row>
    <row r="117">
      <c r="A117" s="11">
        <v>11.0</v>
      </c>
      <c r="B117" s="11">
        <v>84.0</v>
      </c>
      <c r="C117" s="253">
        <v>48.0</v>
      </c>
      <c r="D117" s="235">
        <v>41.0</v>
      </c>
      <c r="E117" s="235">
        <v>41.0</v>
      </c>
      <c r="F117" s="253">
        <v>48.0</v>
      </c>
      <c r="G117" s="235">
        <v>41.0</v>
      </c>
      <c r="H117" s="236">
        <v>4.522389E7</v>
      </c>
      <c r="I117" s="16">
        <v>47.0</v>
      </c>
      <c r="J117" s="11">
        <v>2.0</v>
      </c>
      <c r="K117" s="11" t="str">
        <f t="shared" si="1"/>
        <v>00410045223890472</v>
      </c>
      <c r="L117" s="238">
        <v>435.1</v>
      </c>
      <c r="M117" s="254">
        <v>101623.0</v>
      </c>
      <c r="N117" s="16">
        <v>15.0</v>
      </c>
      <c r="O117" s="22">
        <v>26.0</v>
      </c>
      <c r="P117" s="17">
        <v>64.0</v>
      </c>
      <c r="Q117" s="11">
        <v>2.0648224E7</v>
      </c>
      <c r="R117" s="11">
        <v>3.0</v>
      </c>
      <c r="S117" s="24" t="s">
        <v>39</v>
      </c>
      <c r="T117" s="249" t="s">
        <v>5406</v>
      </c>
      <c r="U117" s="17">
        <v>9.0</v>
      </c>
      <c r="V117" s="16">
        <v>29.0</v>
      </c>
      <c r="W117" s="16">
        <v>87.0</v>
      </c>
      <c r="X117" s="50">
        <v>60216.0</v>
      </c>
      <c r="Y117" s="250">
        <v>9033.0</v>
      </c>
    </row>
    <row r="118">
      <c r="A118" s="11">
        <v>14.0</v>
      </c>
      <c r="B118" s="11">
        <v>84.0</v>
      </c>
      <c r="C118" s="253">
        <v>19.0</v>
      </c>
      <c r="D118" s="235">
        <v>79.0</v>
      </c>
      <c r="E118" s="235">
        <v>79.0</v>
      </c>
      <c r="F118" s="253">
        <v>19.0</v>
      </c>
      <c r="G118" s="235">
        <v>79.0</v>
      </c>
      <c r="H118" s="236">
        <v>9.3030362E7</v>
      </c>
      <c r="I118" s="16">
        <v>8.0</v>
      </c>
      <c r="J118" s="11">
        <v>6.0</v>
      </c>
      <c r="K118" s="11" t="str">
        <f t="shared" si="1"/>
        <v>00790093030362086</v>
      </c>
      <c r="L118" s="238">
        <v>46122.55</v>
      </c>
      <c r="M118" s="254">
        <v>91619.0</v>
      </c>
      <c r="N118" s="16">
        <v>56.0</v>
      </c>
      <c r="O118" s="22">
        <v>26.0</v>
      </c>
      <c r="P118" s="17">
        <v>64.0</v>
      </c>
      <c r="Q118" s="11">
        <v>8.682201E7</v>
      </c>
      <c r="R118" s="11">
        <v>6.0</v>
      </c>
      <c r="S118" s="24" t="s">
        <v>29</v>
      </c>
      <c r="T118" s="249" t="s">
        <v>5407</v>
      </c>
      <c r="U118" s="17">
        <v>10.0</v>
      </c>
      <c r="V118" s="16">
        <v>18.0</v>
      </c>
      <c r="W118" s="16">
        <v>26.0</v>
      </c>
      <c r="X118" s="50">
        <v>72021.0</v>
      </c>
      <c r="Y118" s="250">
        <v>3220.0</v>
      </c>
    </row>
    <row r="119">
      <c r="A119" s="11">
        <v>14.0</v>
      </c>
      <c r="B119" s="11">
        <v>22.0</v>
      </c>
      <c r="C119" s="253">
        <v>29.0</v>
      </c>
      <c r="D119" s="235">
        <v>137.0</v>
      </c>
      <c r="E119" s="235">
        <v>137.0</v>
      </c>
      <c r="F119" s="253">
        <v>29.0</v>
      </c>
      <c r="G119" s="235">
        <v>137.0</v>
      </c>
      <c r="H119" s="236">
        <v>7.6884079E7</v>
      </c>
      <c r="I119" s="16">
        <v>6.0</v>
      </c>
      <c r="J119" s="11">
        <v>1.0</v>
      </c>
      <c r="K119" s="11" t="str">
        <f t="shared" si="1"/>
        <v>01370076884079061</v>
      </c>
      <c r="L119" s="238">
        <v>9372.96</v>
      </c>
      <c r="M119" s="254">
        <v>120614.0</v>
      </c>
      <c r="N119" s="16">
        <v>42.0</v>
      </c>
      <c r="O119" s="22">
        <v>10.0</v>
      </c>
      <c r="P119" s="17">
        <v>23.0</v>
      </c>
      <c r="Q119" s="11">
        <v>3.1093609E7</v>
      </c>
      <c r="R119" s="11">
        <v>3.0</v>
      </c>
      <c r="S119" s="24" t="s">
        <v>5292</v>
      </c>
      <c r="T119" s="249" t="s">
        <v>5408</v>
      </c>
      <c r="U119" s="17">
        <v>15.0</v>
      </c>
      <c r="V119" s="16">
        <v>95.0</v>
      </c>
      <c r="W119" s="16">
        <v>12.0</v>
      </c>
      <c r="X119" s="50">
        <v>111722.0</v>
      </c>
      <c r="Y119" s="250">
        <v>1829.0</v>
      </c>
    </row>
    <row r="120">
      <c r="A120" s="11">
        <v>18.0</v>
      </c>
      <c r="B120" s="11">
        <v>22.0</v>
      </c>
      <c r="C120" s="253">
        <v>17.0</v>
      </c>
      <c r="D120" s="235">
        <v>99.0</v>
      </c>
      <c r="E120" s="235">
        <v>99.0</v>
      </c>
      <c r="F120" s="253">
        <v>17.0</v>
      </c>
      <c r="G120" s="235">
        <v>99.0</v>
      </c>
      <c r="H120" s="236">
        <v>7.7118324E7</v>
      </c>
      <c r="I120" s="16">
        <v>76.0</v>
      </c>
      <c r="J120" s="11">
        <v>3.0</v>
      </c>
      <c r="K120" s="11" t="str">
        <f t="shared" si="1"/>
        <v>00990077118324763</v>
      </c>
      <c r="L120" s="238">
        <v>59417.86</v>
      </c>
      <c r="M120" s="254">
        <v>22821.0</v>
      </c>
      <c r="N120" s="16">
        <v>22.0</v>
      </c>
      <c r="O120" s="22">
        <v>6.0</v>
      </c>
      <c r="P120" s="17">
        <v>64.0</v>
      </c>
      <c r="Q120" s="11">
        <v>5.5320519E7</v>
      </c>
      <c r="R120" s="11">
        <v>6.0</v>
      </c>
      <c r="S120" s="24" t="s">
        <v>39</v>
      </c>
      <c r="T120" s="249" t="s">
        <v>5409</v>
      </c>
      <c r="U120" s="17">
        <v>12.0</v>
      </c>
      <c r="V120" s="16">
        <v>22.0</v>
      </c>
      <c r="W120" s="16">
        <v>40.0</v>
      </c>
      <c r="X120" s="50">
        <v>90913.0</v>
      </c>
      <c r="Y120" s="250">
        <v>3187.0</v>
      </c>
    </row>
    <row r="121">
      <c r="A121" s="11">
        <v>14.0</v>
      </c>
      <c r="B121" s="11">
        <v>43.0</v>
      </c>
      <c r="C121" s="253">
        <v>45.0</v>
      </c>
      <c r="D121" s="235">
        <v>55.0</v>
      </c>
      <c r="E121" s="235">
        <v>55.0</v>
      </c>
      <c r="F121" s="253">
        <v>45.0</v>
      </c>
      <c r="G121" s="235">
        <v>55.0</v>
      </c>
      <c r="H121" s="236">
        <v>3.5164666E7</v>
      </c>
      <c r="I121" s="16">
        <v>55.0</v>
      </c>
      <c r="J121" s="11">
        <v>8.0</v>
      </c>
      <c r="K121" s="11" t="str">
        <f t="shared" si="1"/>
        <v>00550035164666558</v>
      </c>
      <c r="L121" s="238">
        <v>437885.32</v>
      </c>
      <c r="M121" s="254">
        <v>32218.0</v>
      </c>
      <c r="N121" s="16">
        <v>53.0</v>
      </c>
      <c r="O121" s="22">
        <v>31.0</v>
      </c>
      <c r="P121" s="17">
        <v>23.0</v>
      </c>
      <c r="Q121" s="11">
        <v>9.4322876E7</v>
      </c>
      <c r="R121" s="11">
        <v>4.0</v>
      </c>
      <c r="S121" s="24" t="s">
        <v>29</v>
      </c>
      <c r="T121" s="249" t="s">
        <v>5410</v>
      </c>
      <c r="U121" s="17">
        <v>17.0</v>
      </c>
      <c r="V121" s="16">
        <v>54.0</v>
      </c>
      <c r="W121" s="16">
        <v>14.0</v>
      </c>
      <c r="X121" s="50">
        <v>10816.0</v>
      </c>
      <c r="Y121" s="250">
        <v>9228.0</v>
      </c>
    </row>
    <row r="122">
      <c r="A122" s="11">
        <v>20.0</v>
      </c>
      <c r="B122" s="11">
        <v>81.0</v>
      </c>
      <c r="C122" s="253">
        <v>8.0</v>
      </c>
      <c r="D122" s="235">
        <v>7.0</v>
      </c>
      <c r="E122" s="235">
        <v>7.0</v>
      </c>
      <c r="F122" s="253">
        <v>8.0</v>
      </c>
      <c r="G122" s="235">
        <v>7.0</v>
      </c>
      <c r="H122" s="236">
        <v>5.0444148E7</v>
      </c>
      <c r="I122" s="16">
        <v>68.0</v>
      </c>
      <c r="J122" s="11">
        <v>8.0</v>
      </c>
      <c r="K122" s="11" t="str">
        <f t="shared" si="1"/>
        <v>00070050444148688</v>
      </c>
      <c r="L122" s="238">
        <v>679.41</v>
      </c>
      <c r="M122" s="254">
        <v>60715.0</v>
      </c>
      <c r="N122" s="16">
        <v>7.0</v>
      </c>
      <c r="O122" s="22">
        <v>29.0</v>
      </c>
      <c r="P122" s="17">
        <v>64.0</v>
      </c>
      <c r="Q122" s="11">
        <v>8.6371206E7</v>
      </c>
      <c r="R122" s="11">
        <v>1.0</v>
      </c>
      <c r="S122" s="24" t="s">
        <v>5292</v>
      </c>
      <c r="T122" s="249" t="s">
        <v>5411</v>
      </c>
      <c r="U122" s="17">
        <v>14.0</v>
      </c>
      <c r="V122" s="16">
        <v>31.0</v>
      </c>
      <c r="W122" s="16">
        <v>2.0</v>
      </c>
      <c r="X122" s="50">
        <v>120418.0</v>
      </c>
      <c r="Y122" s="250">
        <v>944.0</v>
      </c>
    </row>
    <row r="123">
      <c r="A123" s="11">
        <v>12.0</v>
      </c>
      <c r="B123" s="11">
        <v>63.0</v>
      </c>
      <c r="C123" s="253">
        <v>19.0</v>
      </c>
      <c r="D123" s="235">
        <v>169.0</v>
      </c>
      <c r="E123" s="235">
        <v>169.0</v>
      </c>
      <c r="F123" s="253">
        <v>19.0</v>
      </c>
      <c r="G123" s="235">
        <v>169.0</v>
      </c>
      <c r="H123" s="236">
        <v>4.4223839E7</v>
      </c>
      <c r="I123" s="16">
        <v>28.0</v>
      </c>
      <c r="J123" s="11">
        <v>8.0</v>
      </c>
      <c r="K123" s="11" t="str">
        <f t="shared" si="1"/>
        <v>01690044223839288</v>
      </c>
      <c r="L123" s="238">
        <v>27040.62</v>
      </c>
      <c r="M123" s="254">
        <v>71617.0</v>
      </c>
      <c r="N123" s="16">
        <v>88.0</v>
      </c>
      <c r="O123" s="22">
        <v>23.0</v>
      </c>
      <c r="P123" s="17">
        <v>84.0</v>
      </c>
      <c r="Q123" s="11">
        <v>2.5227634E7</v>
      </c>
      <c r="R123" s="11">
        <v>3.0</v>
      </c>
      <c r="S123" s="24" t="s">
        <v>29</v>
      </c>
      <c r="T123" s="249" t="s">
        <v>5412</v>
      </c>
      <c r="U123" s="17">
        <v>63.0</v>
      </c>
      <c r="V123" s="16">
        <v>22.0</v>
      </c>
      <c r="W123" s="16">
        <v>13.0</v>
      </c>
      <c r="X123" s="50">
        <v>102016.0</v>
      </c>
      <c r="Y123" s="250">
        <v>8435.0</v>
      </c>
    </row>
    <row r="124">
      <c r="A124" s="11">
        <v>14.0</v>
      </c>
      <c r="B124" s="11">
        <v>43.0</v>
      </c>
      <c r="C124" s="253">
        <v>47.0</v>
      </c>
      <c r="D124" s="235">
        <v>99.0</v>
      </c>
      <c r="E124" s="235">
        <v>99.0</v>
      </c>
      <c r="F124" s="253">
        <v>47.0</v>
      </c>
      <c r="G124" s="235">
        <v>99.0</v>
      </c>
      <c r="H124" s="236">
        <v>9.2019032E7</v>
      </c>
      <c r="I124" s="16">
        <v>12.0</v>
      </c>
      <c r="J124" s="11">
        <v>0.0</v>
      </c>
      <c r="K124" s="11" t="str">
        <f t="shared" si="1"/>
        <v>00990092019032120</v>
      </c>
      <c r="L124" s="238">
        <v>5103.39</v>
      </c>
      <c r="M124" s="254">
        <v>52916.0</v>
      </c>
      <c r="N124" s="16">
        <v>35.0</v>
      </c>
      <c r="O124" s="22">
        <v>54.0</v>
      </c>
      <c r="P124" s="17">
        <v>43.0</v>
      </c>
      <c r="Q124" s="11">
        <v>7.7696716E7</v>
      </c>
      <c r="R124" s="11">
        <v>1.0</v>
      </c>
      <c r="S124" s="24" t="s">
        <v>29</v>
      </c>
      <c r="T124" s="249" t="s">
        <v>5413</v>
      </c>
      <c r="U124" s="17">
        <v>68.0</v>
      </c>
      <c r="V124" s="16">
        <v>41.0</v>
      </c>
      <c r="W124" s="16">
        <v>47.0</v>
      </c>
      <c r="X124" s="50">
        <v>113017.0</v>
      </c>
      <c r="Y124" s="250">
        <v>5679.0</v>
      </c>
    </row>
    <row r="125">
      <c r="A125" s="11">
        <v>19.0</v>
      </c>
      <c r="B125" s="11">
        <v>22.0</v>
      </c>
      <c r="C125" s="253">
        <v>12.0</v>
      </c>
      <c r="D125" s="235">
        <v>113.0</v>
      </c>
      <c r="E125" s="235">
        <v>113.0</v>
      </c>
      <c r="F125" s="253">
        <v>12.0</v>
      </c>
      <c r="G125" s="235">
        <v>113.0</v>
      </c>
      <c r="H125" s="236">
        <v>2.3971117E7</v>
      </c>
      <c r="I125" s="16">
        <v>63.0</v>
      </c>
      <c r="J125" s="11">
        <v>1.0</v>
      </c>
      <c r="K125" s="11" t="str">
        <f t="shared" si="1"/>
        <v>01130023971117631</v>
      </c>
      <c r="L125" s="238">
        <v>-69140.0</v>
      </c>
      <c r="M125" s="254">
        <v>92521.0</v>
      </c>
      <c r="N125" s="16">
        <v>39.0</v>
      </c>
      <c r="O125" s="22">
        <v>40.0</v>
      </c>
      <c r="P125" s="17">
        <v>64.0</v>
      </c>
      <c r="Q125" s="11">
        <v>3.2574196E7</v>
      </c>
      <c r="R125" s="11">
        <v>7.0</v>
      </c>
      <c r="S125" s="24" t="s">
        <v>39</v>
      </c>
      <c r="T125" s="249" t="s">
        <v>5414</v>
      </c>
      <c r="U125" s="17">
        <v>17.0</v>
      </c>
      <c r="V125" s="16">
        <v>24.0</v>
      </c>
      <c r="W125" s="16">
        <v>2.0</v>
      </c>
      <c r="X125" s="50">
        <v>80718.0</v>
      </c>
      <c r="Y125" s="250">
        <v>4816.0</v>
      </c>
    </row>
    <row r="126">
      <c r="A126" s="11">
        <v>14.0</v>
      </c>
      <c r="B126" s="11">
        <v>43.0</v>
      </c>
      <c r="C126" s="253">
        <v>49.0</v>
      </c>
      <c r="D126" s="235">
        <v>55.0</v>
      </c>
      <c r="E126" s="235">
        <v>55.0</v>
      </c>
      <c r="F126" s="253">
        <v>49.0</v>
      </c>
      <c r="G126" s="235">
        <v>55.0</v>
      </c>
      <c r="H126" s="236">
        <v>7.7726066E7</v>
      </c>
      <c r="I126" s="16">
        <v>80.0</v>
      </c>
      <c r="J126" s="11">
        <v>3.0</v>
      </c>
      <c r="K126" s="11" t="str">
        <f t="shared" si="1"/>
        <v>00550077726066803</v>
      </c>
      <c r="L126" s="238">
        <v>-529620.87</v>
      </c>
      <c r="M126" s="254">
        <v>101415.0</v>
      </c>
      <c r="N126" s="16">
        <v>40.0</v>
      </c>
      <c r="O126" s="22">
        <v>32.0</v>
      </c>
      <c r="P126" s="17">
        <v>64.0</v>
      </c>
      <c r="Q126" s="11">
        <v>3.9072268E7</v>
      </c>
      <c r="R126" s="11">
        <v>8.0</v>
      </c>
      <c r="S126" s="24" t="s">
        <v>39</v>
      </c>
      <c r="T126" s="249" t="s">
        <v>5415</v>
      </c>
      <c r="U126" s="17">
        <v>19.0</v>
      </c>
      <c r="V126" s="16">
        <v>69.0</v>
      </c>
      <c r="W126" s="16">
        <v>55.0</v>
      </c>
      <c r="X126" s="50">
        <v>50818.0</v>
      </c>
      <c r="Y126" s="250">
        <v>6129.0</v>
      </c>
    </row>
    <row r="127">
      <c r="A127" s="11">
        <v>16.0</v>
      </c>
      <c r="B127" s="11">
        <v>84.0</v>
      </c>
      <c r="C127" s="253">
        <v>35.0</v>
      </c>
      <c r="D127" s="235">
        <v>15.0</v>
      </c>
      <c r="E127" s="235">
        <v>15.0</v>
      </c>
      <c r="F127" s="253">
        <v>35.0</v>
      </c>
      <c r="G127" s="235">
        <v>15.0</v>
      </c>
      <c r="H127" s="236">
        <v>4.1461726E7</v>
      </c>
      <c r="I127" s="16">
        <v>84.0</v>
      </c>
      <c r="J127" s="11">
        <v>6.0</v>
      </c>
      <c r="K127" s="11" t="str">
        <f t="shared" si="1"/>
        <v>00150041461726846</v>
      </c>
      <c r="L127" s="238">
        <v>812512.29</v>
      </c>
      <c r="M127" s="254">
        <v>31317.0</v>
      </c>
      <c r="N127" s="16">
        <v>46.0</v>
      </c>
      <c r="O127" s="22">
        <v>21.0</v>
      </c>
      <c r="P127" s="17">
        <v>23.0</v>
      </c>
      <c r="Q127" s="11">
        <v>9.1593122E7</v>
      </c>
      <c r="R127" s="11">
        <v>2.0</v>
      </c>
      <c r="S127" s="24" t="s">
        <v>5292</v>
      </c>
      <c r="T127" s="249" t="s">
        <v>5416</v>
      </c>
      <c r="U127" s="17">
        <v>26.0</v>
      </c>
      <c r="V127" s="16">
        <v>28.0</v>
      </c>
      <c r="W127" s="16">
        <v>40.0</v>
      </c>
      <c r="X127" s="50">
        <v>22515.0</v>
      </c>
      <c r="Y127" s="250">
        <v>4973.0</v>
      </c>
    </row>
    <row r="128">
      <c r="A128" s="11">
        <v>10.0</v>
      </c>
      <c r="B128" s="11">
        <v>63.0</v>
      </c>
      <c r="C128" s="253">
        <v>6.0</v>
      </c>
      <c r="D128" s="235">
        <v>19.0</v>
      </c>
      <c r="E128" s="235">
        <v>19.0</v>
      </c>
      <c r="F128" s="253">
        <v>6.0</v>
      </c>
      <c r="G128" s="235">
        <v>19.0</v>
      </c>
      <c r="H128" s="236">
        <v>1.9393454E7</v>
      </c>
      <c r="I128" s="16">
        <v>27.0</v>
      </c>
      <c r="J128" s="11">
        <v>9.0</v>
      </c>
      <c r="K128" s="11" t="str">
        <f t="shared" si="1"/>
        <v>00190019393454279</v>
      </c>
      <c r="L128" s="238">
        <v>94123.59</v>
      </c>
      <c r="M128" s="254">
        <v>60420.0</v>
      </c>
      <c r="N128" s="16">
        <v>99.0</v>
      </c>
      <c r="O128" s="22">
        <v>45.0</v>
      </c>
      <c r="P128" s="17">
        <v>43.0</v>
      </c>
      <c r="Q128" s="11">
        <v>4.595027E7</v>
      </c>
      <c r="R128" s="11">
        <v>3.0</v>
      </c>
      <c r="S128" s="24" t="s">
        <v>5292</v>
      </c>
      <c r="T128" s="249" t="s">
        <v>5417</v>
      </c>
      <c r="U128" s="17">
        <v>79.0</v>
      </c>
      <c r="V128" s="16">
        <v>37.0</v>
      </c>
      <c r="W128" s="16">
        <v>76.0</v>
      </c>
      <c r="X128" s="50">
        <v>33119.0</v>
      </c>
      <c r="Y128" s="250">
        <v>2211.0</v>
      </c>
    </row>
    <row r="129">
      <c r="A129" s="11">
        <v>14.0</v>
      </c>
      <c r="B129" s="11">
        <v>43.0</v>
      </c>
      <c r="C129" s="253">
        <v>28.0</v>
      </c>
      <c r="D129" s="235">
        <v>111.0</v>
      </c>
      <c r="E129" s="235">
        <v>111.0</v>
      </c>
      <c r="F129" s="253">
        <v>28.0</v>
      </c>
      <c r="G129" s="235">
        <v>111.0</v>
      </c>
      <c r="H129" s="236">
        <v>4.4806265E7</v>
      </c>
      <c r="I129" s="16">
        <v>94.0</v>
      </c>
      <c r="J129" s="11">
        <v>7.0</v>
      </c>
      <c r="K129" s="11" t="str">
        <f t="shared" si="1"/>
        <v>01110044806265947</v>
      </c>
      <c r="L129" s="238">
        <v>-799437.8</v>
      </c>
      <c r="M129" s="254">
        <v>21421.0</v>
      </c>
      <c r="N129" s="16">
        <v>55.0</v>
      </c>
      <c r="O129" s="22">
        <v>26.0</v>
      </c>
      <c r="P129" s="17">
        <v>23.0</v>
      </c>
      <c r="Q129" s="11">
        <v>1.5477572E7</v>
      </c>
      <c r="R129" s="11">
        <v>8.0</v>
      </c>
      <c r="S129" s="24" t="s">
        <v>5292</v>
      </c>
      <c r="T129" s="249" t="s">
        <v>5418</v>
      </c>
      <c r="U129" s="17">
        <v>35.0</v>
      </c>
      <c r="V129" s="16">
        <v>13.0</v>
      </c>
      <c r="W129" s="16">
        <v>69.0</v>
      </c>
      <c r="X129" s="50">
        <v>122715.0</v>
      </c>
      <c r="Y129" s="250">
        <v>4109.0</v>
      </c>
    </row>
    <row r="130">
      <c r="A130" s="11">
        <v>11.0</v>
      </c>
      <c r="B130" s="11">
        <v>43.0</v>
      </c>
      <c r="C130" s="253">
        <v>17.0</v>
      </c>
      <c r="D130" s="235">
        <v>95.0</v>
      </c>
      <c r="E130" s="235">
        <v>95.0</v>
      </c>
      <c r="F130" s="253">
        <v>17.0</v>
      </c>
      <c r="G130" s="235">
        <v>95.0</v>
      </c>
      <c r="H130" s="236">
        <v>5.9591296E7</v>
      </c>
      <c r="I130" s="16">
        <v>20.0</v>
      </c>
      <c r="J130" s="11">
        <v>6.0</v>
      </c>
      <c r="K130" s="11" t="str">
        <f t="shared" si="1"/>
        <v>00950059591296206</v>
      </c>
      <c r="L130" s="238">
        <v>64608.88</v>
      </c>
      <c r="M130" s="254">
        <v>22213.0</v>
      </c>
      <c r="N130" s="16">
        <v>33.0</v>
      </c>
      <c r="O130" s="22">
        <v>32.0</v>
      </c>
      <c r="P130" s="17">
        <v>23.0</v>
      </c>
      <c r="Q130" s="11">
        <v>5.9687382E7</v>
      </c>
      <c r="R130" s="11">
        <v>5.0</v>
      </c>
      <c r="S130" s="24" t="s">
        <v>48</v>
      </c>
      <c r="T130" s="249" t="s">
        <v>5419</v>
      </c>
      <c r="U130" s="17">
        <v>36.0</v>
      </c>
      <c r="V130" s="16">
        <v>12.0</v>
      </c>
      <c r="W130" s="16">
        <v>84.0</v>
      </c>
      <c r="X130" s="50">
        <v>21718.0</v>
      </c>
      <c r="Y130" s="250">
        <v>3172.0</v>
      </c>
    </row>
    <row r="131">
      <c r="A131" s="11">
        <v>15.0</v>
      </c>
      <c r="B131" s="11">
        <v>84.0</v>
      </c>
      <c r="C131" s="253">
        <v>6.0</v>
      </c>
      <c r="D131" s="235">
        <v>1.0</v>
      </c>
      <c r="E131" s="235">
        <v>1.0</v>
      </c>
      <c r="F131" s="253">
        <v>6.0</v>
      </c>
      <c r="G131" s="235">
        <v>1.0</v>
      </c>
      <c r="H131" s="236">
        <v>4.1258536E7</v>
      </c>
      <c r="I131" s="16">
        <v>50.0</v>
      </c>
      <c r="J131" s="11">
        <v>2.0</v>
      </c>
      <c r="K131" s="11" t="str">
        <f t="shared" si="1"/>
        <v>00010041258536502</v>
      </c>
      <c r="L131" s="238">
        <v>-54797.47</v>
      </c>
      <c r="M131" s="254">
        <v>41315.0</v>
      </c>
      <c r="N131" s="16">
        <v>47.0</v>
      </c>
      <c r="O131" s="22">
        <v>30.0</v>
      </c>
      <c r="P131" s="17">
        <v>84.0</v>
      </c>
      <c r="Q131" s="11">
        <v>5.8827386E7</v>
      </c>
      <c r="R131" s="11">
        <v>9.0</v>
      </c>
      <c r="S131" s="24" t="s">
        <v>48</v>
      </c>
      <c r="T131" s="249" t="s">
        <v>5420</v>
      </c>
      <c r="U131" s="17">
        <v>97.0</v>
      </c>
      <c r="V131" s="16">
        <v>21.0</v>
      </c>
      <c r="W131" s="16">
        <v>61.0</v>
      </c>
      <c r="X131" s="50">
        <v>61519.0</v>
      </c>
      <c r="Y131" s="250">
        <v>906.0</v>
      </c>
    </row>
    <row r="132">
      <c r="A132" s="11">
        <v>14.0</v>
      </c>
      <c r="B132" s="11">
        <v>63.0</v>
      </c>
      <c r="C132" s="253">
        <v>19.0</v>
      </c>
      <c r="D132" s="235">
        <v>87.0</v>
      </c>
      <c r="E132" s="235">
        <v>87.0</v>
      </c>
      <c r="F132" s="253">
        <v>19.0</v>
      </c>
      <c r="G132" s="235">
        <v>87.0</v>
      </c>
      <c r="H132" s="236">
        <v>7.0874007E7</v>
      </c>
      <c r="I132" s="16">
        <v>91.0</v>
      </c>
      <c r="J132" s="11">
        <v>5.0</v>
      </c>
      <c r="K132" s="11" t="str">
        <f t="shared" si="1"/>
        <v>00870070874007915</v>
      </c>
      <c r="L132" s="238">
        <v>431.19</v>
      </c>
      <c r="M132" s="254">
        <v>53023.0</v>
      </c>
      <c r="N132" s="16">
        <v>80.0</v>
      </c>
      <c r="O132" s="22">
        <v>4.0</v>
      </c>
      <c r="P132" s="17">
        <v>84.0</v>
      </c>
      <c r="Q132" s="11">
        <v>4.7706564E7</v>
      </c>
      <c r="R132" s="11">
        <v>3.0</v>
      </c>
      <c r="S132" s="24" t="s">
        <v>29</v>
      </c>
      <c r="T132" s="249" t="s">
        <v>5421</v>
      </c>
      <c r="U132" s="17">
        <v>98.0</v>
      </c>
      <c r="V132" s="16">
        <v>80.0</v>
      </c>
      <c r="W132" s="16">
        <v>38.0</v>
      </c>
      <c r="X132" s="50">
        <v>30321.0</v>
      </c>
      <c r="Y132" s="250">
        <v>4324.0</v>
      </c>
    </row>
    <row r="133">
      <c r="A133" s="11">
        <v>14.0</v>
      </c>
      <c r="B133" s="11">
        <v>43.0</v>
      </c>
      <c r="C133" s="253">
        <v>12.0</v>
      </c>
      <c r="D133" s="235">
        <v>17.0</v>
      </c>
      <c r="E133" s="235">
        <v>17.0</v>
      </c>
      <c r="F133" s="253">
        <v>12.0</v>
      </c>
      <c r="G133" s="235">
        <v>17.0</v>
      </c>
      <c r="H133" s="236">
        <v>9.0051617E7</v>
      </c>
      <c r="I133" s="16">
        <v>26.0</v>
      </c>
      <c r="J133" s="11">
        <v>2.0</v>
      </c>
      <c r="K133" s="11" t="str">
        <f t="shared" si="1"/>
        <v>00170090051617262</v>
      </c>
      <c r="L133" s="238">
        <v>793352.29</v>
      </c>
      <c r="M133" s="254">
        <v>11020.0</v>
      </c>
      <c r="N133" s="16">
        <v>30.0</v>
      </c>
      <c r="O133" s="22">
        <v>35.0</v>
      </c>
      <c r="P133" s="17">
        <v>23.0</v>
      </c>
      <c r="Q133" s="11">
        <v>6.7373854E7</v>
      </c>
      <c r="R133" s="11">
        <v>2.0</v>
      </c>
      <c r="S133" s="24" t="s">
        <v>29</v>
      </c>
      <c r="T133" s="249" t="s">
        <v>5422</v>
      </c>
      <c r="U133" s="17">
        <v>58.0</v>
      </c>
      <c r="V133" s="16">
        <v>21.0</v>
      </c>
      <c r="W133" s="16">
        <v>42.0</v>
      </c>
      <c r="X133" s="50">
        <v>20321.0</v>
      </c>
      <c r="Y133" s="250">
        <v>323.0</v>
      </c>
    </row>
    <row r="134">
      <c r="A134" s="11">
        <v>15.0</v>
      </c>
      <c r="B134" s="11">
        <v>63.0</v>
      </c>
      <c r="C134" s="253">
        <v>40.0</v>
      </c>
      <c r="D134" s="235">
        <v>5.0</v>
      </c>
      <c r="E134" s="235">
        <v>5.0</v>
      </c>
      <c r="F134" s="253">
        <v>40.0</v>
      </c>
      <c r="G134" s="235">
        <v>5.0</v>
      </c>
      <c r="H134" s="236">
        <v>8.0053345E7</v>
      </c>
      <c r="I134" s="16">
        <v>27.0</v>
      </c>
      <c r="J134" s="11">
        <v>0.0</v>
      </c>
      <c r="K134" s="11" t="str">
        <f t="shared" si="1"/>
        <v>00050080053345270</v>
      </c>
      <c r="L134" s="238">
        <v>3102.17</v>
      </c>
      <c r="M134" s="254">
        <v>101117.0</v>
      </c>
      <c r="N134" s="16">
        <v>32.0</v>
      </c>
      <c r="O134" s="22">
        <v>16.0</v>
      </c>
      <c r="P134" s="17">
        <v>64.0</v>
      </c>
      <c r="Q134" s="11">
        <v>1.2895728E7</v>
      </c>
      <c r="R134" s="11">
        <v>4.0</v>
      </c>
      <c r="S134" s="24" t="s">
        <v>39</v>
      </c>
      <c r="T134" s="249" t="s">
        <v>5423</v>
      </c>
      <c r="U134" s="17">
        <v>58.0</v>
      </c>
      <c r="V134" s="16">
        <v>38.0</v>
      </c>
      <c r="W134" s="16">
        <v>94.0</v>
      </c>
      <c r="X134" s="50">
        <v>91416.0</v>
      </c>
      <c r="Y134" s="250">
        <v>7483.0</v>
      </c>
    </row>
    <row r="135">
      <c r="A135" s="11">
        <v>10.0</v>
      </c>
      <c r="B135" s="11">
        <v>84.0</v>
      </c>
      <c r="C135" s="253">
        <v>19.0</v>
      </c>
      <c r="D135" s="235">
        <v>193.0</v>
      </c>
      <c r="E135" s="235">
        <v>193.0</v>
      </c>
      <c r="F135" s="253">
        <v>19.0</v>
      </c>
      <c r="G135" s="235">
        <v>193.0</v>
      </c>
      <c r="H135" s="236">
        <v>2.5070732E7</v>
      </c>
      <c r="I135" s="16">
        <v>56.0</v>
      </c>
      <c r="J135" s="11">
        <v>5.0</v>
      </c>
      <c r="K135" s="11" t="str">
        <f t="shared" si="1"/>
        <v>01930025070732565</v>
      </c>
      <c r="L135" s="238">
        <v>339001.54</v>
      </c>
      <c r="M135" s="254">
        <v>101321.0</v>
      </c>
      <c r="N135" s="16">
        <v>26.0</v>
      </c>
      <c r="O135" s="22">
        <v>49.0</v>
      </c>
      <c r="P135" s="17">
        <v>85.0</v>
      </c>
      <c r="Q135" s="11">
        <v>2.1951921E7</v>
      </c>
      <c r="R135" s="11">
        <v>9.0</v>
      </c>
      <c r="S135" s="24" t="s">
        <v>29</v>
      </c>
      <c r="T135" s="249" t="s">
        <v>5424</v>
      </c>
      <c r="U135" s="17">
        <v>7.0</v>
      </c>
      <c r="V135" s="16">
        <v>3.0</v>
      </c>
      <c r="W135" s="16">
        <v>77.0</v>
      </c>
      <c r="X135" s="50">
        <v>112013.0</v>
      </c>
      <c r="Y135" s="250">
        <v>1155.0</v>
      </c>
    </row>
    <row r="136">
      <c r="A136" s="11">
        <v>14.0</v>
      </c>
      <c r="B136" s="11">
        <v>84.0</v>
      </c>
      <c r="C136" s="253">
        <v>48.0</v>
      </c>
      <c r="D136" s="235">
        <v>425.0</v>
      </c>
      <c r="E136" s="235">
        <v>425.0</v>
      </c>
      <c r="F136" s="253">
        <v>48.0</v>
      </c>
      <c r="G136" s="235">
        <v>425.0</v>
      </c>
      <c r="H136" s="236">
        <v>2.4052749E7</v>
      </c>
      <c r="I136" s="16">
        <v>52.0</v>
      </c>
      <c r="J136" s="11">
        <v>6.0</v>
      </c>
      <c r="K136" s="11" t="str">
        <f t="shared" si="1"/>
        <v>04250024052749526</v>
      </c>
      <c r="L136" s="238">
        <v>801.39</v>
      </c>
      <c r="M136" s="254">
        <v>110119.0</v>
      </c>
      <c r="N136" s="16">
        <v>87.0</v>
      </c>
      <c r="O136" s="22">
        <v>10.0</v>
      </c>
      <c r="P136" s="17">
        <v>23.0</v>
      </c>
      <c r="Q136" s="11">
        <v>7.3275653E7</v>
      </c>
      <c r="R136" s="11">
        <v>9.0</v>
      </c>
      <c r="S136" s="24" t="s">
        <v>48</v>
      </c>
      <c r="T136" s="249" t="s">
        <v>5425</v>
      </c>
      <c r="U136" s="17">
        <v>64.0</v>
      </c>
      <c r="V136" s="16">
        <v>19.0</v>
      </c>
      <c r="W136" s="16">
        <v>16.0</v>
      </c>
      <c r="X136" s="50">
        <v>32014.0</v>
      </c>
      <c r="Y136" s="250">
        <v>3059.0</v>
      </c>
    </row>
    <row r="137">
      <c r="A137" s="11">
        <v>17.0</v>
      </c>
      <c r="B137" s="11">
        <v>23.0</v>
      </c>
      <c r="C137" s="253">
        <v>21.0</v>
      </c>
      <c r="D137" s="235">
        <v>231.0</v>
      </c>
      <c r="E137" s="235">
        <v>231.0</v>
      </c>
      <c r="F137" s="253">
        <v>21.0</v>
      </c>
      <c r="G137" s="235">
        <v>231.0</v>
      </c>
      <c r="H137" s="236">
        <v>6.1924478E7</v>
      </c>
      <c r="I137" s="16">
        <v>8.0</v>
      </c>
      <c r="J137" s="11">
        <v>5.0</v>
      </c>
      <c r="K137" s="11" t="str">
        <f t="shared" si="1"/>
        <v>02310061924478085</v>
      </c>
      <c r="L137" s="238">
        <v>-466.9</v>
      </c>
      <c r="M137" s="254">
        <v>60622.0</v>
      </c>
      <c r="N137" s="16">
        <v>10.0</v>
      </c>
      <c r="O137" s="22">
        <v>10.0</v>
      </c>
      <c r="P137" s="17">
        <v>44.0</v>
      </c>
      <c r="Q137" s="11">
        <v>8.9747824E7</v>
      </c>
      <c r="R137" s="11">
        <v>1.0</v>
      </c>
      <c r="S137" s="24" t="s">
        <v>29</v>
      </c>
      <c r="T137" s="249" t="s">
        <v>5426</v>
      </c>
      <c r="U137" s="17">
        <v>16.0</v>
      </c>
      <c r="V137" s="16">
        <v>6.0</v>
      </c>
      <c r="W137" s="16">
        <v>17.0</v>
      </c>
      <c r="X137" s="50">
        <v>112216.0</v>
      </c>
      <c r="Y137" s="250">
        <v>2944.0</v>
      </c>
    </row>
    <row r="138">
      <c r="A138" s="11">
        <v>17.0</v>
      </c>
      <c r="B138" s="11">
        <v>84.0</v>
      </c>
      <c r="C138" s="253">
        <v>48.0</v>
      </c>
      <c r="D138" s="235">
        <v>455.0</v>
      </c>
      <c r="E138" s="235">
        <v>455.0</v>
      </c>
      <c r="F138" s="253">
        <v>48.0</v>
      </c>
      <c r="G138" s="235">
        <v>455.0</v>
      </c>
      <c r="H138" s="236">
        <v>8.651139E7</v>
      </c>
      <c r="I138" s="16">
        <v>16.0</v>
      </c>
      <c r="J138" s="11">
        <v>4.0</v>
      </c>
      <c r="K138" s="11" t="str">
        <f t="shared" si="1"/>
        <v>04550086511390164</v>
      </c>
      <c r="L138" s="238">
        <v>11999.39</v>
      </c>
      <c r="M138" s="254">
        <v>112415.0</v>
      </c>
      <c r="N138" s="16">
        <v>18.0</v>
      </c>
      <c r="O138" s="22">
        <v>1.0</v>
      </c>
      <c r="P138" s="17">
        <v>64.0</v>
      </c>
      <c r="Q138" s="11">
        <v>6.5830641E7</v>
      </c>
      <c r="R138" s="11">
        <v>6.0</v>
      </c>
      <c r="S138" s="24" t="s">
        <v>39</v>
      </c>
      <c r="T138" s="249" t="s">
        <v>5427</v>
      </c>
      <c r="U138" s="17">
        <v>64.0</v>
      </c>
      <c r="V138" s="16">
        <v>60.0</v>
      </c>
      <c r="W138" s="16">
        <v>30.0</v>
      </c>
      <c r="X138" s="50">
        <v>52219.0</v>
      </c>
      <c r="Y138" s="250">
        <v>2063.0</v>
      </c>
    </row>
    <row r="139">
      <c r="A139" s="11">
        <v>15.0</v>
      </c>
      <c r="B139" s="11">
        <v>23.0</v>
      </c>
      <c r="C139" s="253">
        <v>17.0</v>
      </c>
      <c r="D139" s="235">
        <v>97.0</v>
      </c>
      <c r="E139" s="235">
        <v>97.0</v>
      </c>
      <c r="F139" s="253">
        <v>17.0</v>
      </c>
      <c r="G139" s="235">
        <v>97.0</v>
      </c>
      <c r="H139" s="236">
        <v>4.9976787E7</v>
      </c>
      <c r="I139" s="16">
        <v>49.0</v>
      </c>
      <c r="J139" s="11">
        <v>9.0</v>
      </c>
      <c r="K139" s="11" t="str">
        <f t="shared" si="1"/>
        <v>00970049976787499</v>
      </c>
      <c r="L139" s="238">
        <v>-27026.41</v>
      </c>
      <c r="M139" s="254">
        <v>91217.0</v>
      </c>
      <c r="N139" s="16">
        <v>58.0</v>
      </c>
      <c r="O139" s="22">
        <v>11.0</v>
      </c>
      <c r="P139" s="17">
        <v>64.0</v>
      </c>
      <c r="Q139" s="11">
        <v>2.4632283E7</v>
      </c>
      <c r="R139" s="11">
        <v>9.0</v>
      </c>
      <c r="S139" s="24" t="s">
        <v>29</v>
      </c>
      <c r="T139" s="249" t="s">
        <v>5428</v>
      </c>
      <c r="U139" s="17">
        <v>72.0</v>
      </c>
      <c r="V139" s="16">
        <v>80.0</v>
      </c>
      <c r="W139" s="16">
        <v>68.0</v>
      </c>
      <c r="X139" s="50">
        <v>31613.0</v>
      </c>
      <c r="Y139" s="250">
        <v>8415.0</v>
      </c>
    </row>
    <row r="140">
      <c r="A140" s="11">
        <v>11.0</v>
      </c>
      <c r="B140" s="11">
        <v>43.0</v>
      </c>
      <c r="C140" s="253">
        <v>29.0</v>
      </c>
      <c r="D140" s="235">
        <v>77.0</v>
      </c>
      <c r="E140" s="235">
        <v>77.0</v>
      </c>
      <c r="F140" s="253">
        <v>29.0</v>
      </c>
      <c r="G140" s="235">
        <v>77.0</v>
      </c>
      <c r="H140" s="236">
        <v>3.2971184E7</v>
      </c>
      <c r="I140" s="16">
        <v>78.0</v>
      </c>
      <c r="J140" s="11">
        <v>2.0</v>
      </c>
      <c r="K140" s="11" t="str">
        <f t="shared" si="1"/>
        <v>00770032971184782</v>
      </c>
      <c r="L140" s="238">
        <v>607.41</v>
      </c>
      <c r="M140" s="254">
        <v>121518.0</v>
      </c>
      <c r="N140" s="16">
        <v>42.0</v>
      </c>
      <c r="O140" s="22">
        <v>50.0</v>
      </c>
      <c r="P140" s="17">
        <v>85.0</v>
      </c>
      <c r="Q140" s="11">
        <v>1.119516E7</v>
      </c>
      <c r="R140" s="11">
        <v>5.0</v>
      </c>
      <c r="S140" s="24" t="s">
        <v>48</v>
      </c>
      <c r="T140" s="249" t="s">
        <v>5429</v>
      </c>
      <c r="U140" s="17">
        <v>22.0</v>
      </c>
      <c r="V140" s="16">
        <v>9.0</v>
      </c>
      <c r="W140" s="16">
        <v>97.0</v>
      </c>
      <c r="X140" s="50">
        <v>62414.0</v>
      </c>
      <c r="Y140" s="250">
        <v>9873.0</v>
      </c>
    </row>
    <row r="141">
      <c r="A141" s="11">
        <v>20.0</v>
      </c>
      <c r="B141" s="11">
        <v>64.0</v>
      </c>
      <c r="C141" s="253">
        <v>29.0</v>
      </c>
      <c r="D141" s="235">
        <v>89.0</v>
      </c>
      <c r="E141" s="235">
        <v>89.0</v>
      </c>
      <c r="F141" s="253">
        <v>29.0</v>
      </c>
      <c r="G141" s="235">
        <v>89.0</v>
      </c>
      <c r="H141" s="236">
        <v>1.8551565E7</v>
      </c>
      <c r="I141" s="16">
        <v>83.0</v>
      </c>
      <c r="J141" s="11">
        <v>4.0</v>
      </c>
      <c r="K141" s="11" t="str">
        <f t="shared" si="1"/>
        <v>00890018551565834</v>
      </c>
      <c r="L141" s="238">
        <v>-127916.53</v>
      </c>
      <c r="M141" s="254">
        <v>112613.0</v>
      </c>
      <c r="N141" s="16">
        <v>49.0</v>
      </c>
      <c r="O141" s="22">
        <v>19.0</v>
      </c>
      <c r="P141" s="17">
        <v>85.0</v>
      </c>
      <c r="Q141" s="11">
        <v>6.7694585E7</v>
      </c>
      <c r="R141" s="11">
        <v>1.0</v>
      </c>
      <c r="S141" s="24" t="s">
        <v>39</v>
      </c>
      <c r="T141" s="249" t="s">
        <v>5430</v>
      </c>
      <c r="U141" s="17">
        <v>24.0</v>
      </c>
      <c r="V141" s="16">
        <v>44.0</v>
      </c>
      <c r="W141" s="16">
        <v>31.0</v>
      </c>
      <c r="X141" s="50">
        <v>71720.0</v>
      </c>
      <c r="Y141" s="250">
        <v>4754.0</v>
      </c>
    </row>
    <row r="142">
      <c r="A142" s="11">
        <v>18.0</v>
      </c>
      <c r="B142" s="11">
        <v>64.0</v>
      </c>
      <c r="C142" s="253">
        <v>55.0</v>
      </c>
      <c r="D142" s="235">
        <v>119.0</v>
      </c>
      <c r="E142" s="235">
        <v>119.0</v>
      </c>
      <c r="F142" s="253">
        <v>55.0</v>
      </c>
      <c r="G142" s="235">
        <v>119.0</v>
      </c>
      <c r="H142" s="236">
        <v>4.3165906E7</v>
      </c>
      <c r="I142" s="16">
        <v>98.0</v>
      </c>
      <c r="J142" s="11">
        <v>1.0</v>
      </c>
      <c r="K142" s="11" t="str">
        <f t="shared" si="1"/>
        <v>01190043165906981</v>
      </c>
      <c r="L142" s="238">
        <v>23536.8</v>
      </c>
      <c r="M142" s="254">
        <v>63021.0</v>
      </c>
      <c r="N142" s="16">
        <v>68.0</v>
      </c>
      <c r="O142" s="22">
        <v>1.0</v>
      </c>
      <c r="P142" s="17">
        <v>44.0</v>
      </c>
      <c r="Q142" s="11">
        <v>5.5539172E7</v>
      </c>
      <c r="R142" s="11">
        <v>4.0</v>
      </c>
      <c r="S142" s="24" t="s">
        <v>39</v>
      </c>
      <c r="T142" s="249" t="s">
        <v>5431</v>
      </c>
      <c r="U142" s="17">
        <v>29.0</v>
      </c>
      <c r="V142" s="16">
        <v>22.0</v>
      </c>
      <c r="W142" s="16">
        <v>51.0</v>
      </c>
      <c r="X142" s="50">
        <v>111117.0</v>
      </c>
      <c r="Y142" s="250">
        <v>9157.0</v>
      </c>
    </row>
    <row r="143">
      <c r="A143" s="11">
        <v>12.0</v>
      </c>
      <c r="B143" s="11">
        <v>64.0</v>
      </c>
      <c r="C143" s="253">
        <v>45.0</v>
      </c>
      <c r="D143" s="235">
        <v>27.0</v>
      </c>
      <c r="E143" s="235">
        <v>27.0</v>
      </c>
      <c r="F143" s="253">
        <v>45.0</v>
      </c>
      <c r="G143" s="235">
        <v>27.0</v>
      </c>
      <c r="H143" s="236">
        <v>8.5206555E7</v>
      </c>
      <c r="I143" s="16">
        <v>34.0</v>
      </c>
      <c r="J143" s="11">
        <v>4.0</v>
      </c>
      <c r="K143" s="11" t="str">
        <f t="shared" si="1"/>
        <v>00270085206555344</v>
      </c>
      <c r="L143" s="238">
        <v>970.3</v>
      </c>
      <c r="M143" s="254">
        <v>40322.0</v>
      </c>
      <c r="N143" s="16">
        <v>28.0</v>
      </c>
      <c r="O143" s="22">
        <v>25.0</v>
      </c>
      <c r="P143" s="17">
        <v>85.0</v>
      </c>
      <c r="Q143" s="11">
        <v>4.5834238E7</v>
      </c>
      <c r="R143" s="11">
        <v>4.0</v>
      </c>
      <c r="S143" s="24" t="s">
        <v>39</v>
      </c>
      <c r="T143" s="249" t="s">
        <v>5432</v>
      </c>
      <c r="U143" s="17">
        <v>26.0</v>
      </c>
      <c r="V143" s="16">
        <v>69.0</v>
      </c>
      <c r="W143" s="16">
        <v>38.0</v>
      </c>
      <c r="X143" s="50">
        <v>93020.0</v>
      </c>
      <c r="Y143" s="250">
        <v>7026.0</v>
      </c>
    </row>
    <row r="144">
      <c r="A144" s="11">
        <v>13.0</v>
      </c>
      <c r="B144" s="11">
        <v>43.0</v>
      </c>
      <c r="C144" s="253">
        <v>37.0</v>
      </c>
      <c r="D144" s="235">
        <v>107.0</v>
      </c>
      <c r="E144" s="235">
        <v>107.0</v>
      </c>
      <c r="F144" s="253">
        <v>37.0</v>
      </c>
      <c r="G144" s="235">
        <v>107.0</v>
      </c>
      <c r="H144" s="236">
        <v>2.5948614E7</v>
      </c>
      <c r="I144" s="16">
        <v>28.0</v>
      </c>
      <c r="J144" s="11">
        <v>3.0</v>
      </c>
      <c r="K144" s="11" t="str">
        <f t="shared" si="1"/>
        <v>01070025948614283</v>
      </c>
      <c r="L144" s="238">
        <v>4673.73</v>
      </c>
      <c r="M144" s="254">
        <v>90619.0</v>
      </c>
      <c r="N144" s="16">
        <v>36.0</v>
      </c>
      <c r="O144" s="22">
        <v>2.0</v>
      </c>
      <c r="P144" s="17">
        <v>85.0</v>
      </c>
      <c r="Q144" s="11">
        <v>1.1287E7</v>
      </c>
      <c r="R144" s="11">
        <v>6.0</v>
      </c>
      <c r="S144" s="24" t="s">
        <v>29</v>
      </c>
      <c r="T144" s="249" t="s">
        <v>5433</v>
      </c>
      <c r="U144" s="17">
        <v>28.0</v>
      </c>
      <c r="V144" s="16">
        <v>96.0</v>
      </c>
      <c r="W144" s="16">
        <v>52.0</v>
      </c>
      <c r="X144" s="50">
        <v>71321.0</v>
      </c>
      <c r="Y144" s="250">
        <v>4575.0</v>
      </c>
    </row>
    <row r="145">
      <c r="A145" s="11">
        <v>20.0</v>
      </c>
      <c r="B145" s="11">
        <v>64.0</v>
      </c>
      <c r="C145" s="253">
        <v>21.0</v>
      </c>
      <c r="D145" s="235">
        <v>107.0</v>
      </c>
      <c r="E145" s="235">
        <v>107.0</v>
      </c>
      <c r="F145" s="253">
        <v>21.0</v>
      </c>
      <c r="G145" s="235">
        <v>107.0</v>
      </c>
      <c r="H145" s="236">
        <v>7.7946733E7</v>
      </c>
      <c r="I145" s="16">
        <v>36.0</v>
      </c>
      <c r="J145" s="11">
        <v>3.0</v>
      </c>
      <c r="K145" s="11" t="str">
        <f t="shared" si="1"/>
        <v>01070077946733363</v>
      </c>
      <c r="L145" s="238">
        <v>450369.54</v>
      </c>
      <c r="M145" s="254">
        <v>120613.0</v>
      </c>
      <c r="N145" s="16">
        <v>19.0</v>
      </c>
      <c r="O145" s="22">
        <v>47.0</v>
      </c>
      <c r="P145" s="17">
        <v>23.0</v>
      </c>
      <c r="Q145" s="11">
        <v>5.8298644E7</v>
      </c>
      <c r="R145" s="11">
        <v>4.0</v>
      </c>
      <c r="S145" s="24" t="s">
        <v>39</v>
      </c>
      <c r="T145" s="249" t="s">
        <v>5434</v>
      </c>
      <c r="U145" s="17">
        <v>85.0</v>
      </c>
      <c r="V145" s="16">
        <v>62.0</v>
      </c>
      <c r="W145" s="16">
        <v>9.0</v>
      </c>
      <c r="X145" s="50">
        <v>101116.0</v>
      </c>
      <c r="Y145" s="250">
        <v>5678.0</v>
      </c>
    </row>
    <row r="146">
      <c r="A146" s="11">
        <v>12.0</v>
      </c>
      <c r="B146" s="11">
        <v>64.0</v>
      </c>
      <c r="C146" s="253">
        <v>30.0</v>
      </c>
      <c r="D146" s="235">
        <v>23.0</v>
      </c>
      <c r="E146" s="235">
        <v>23.0</v>
      </c>
      <c r="F146" s="253">
        <v>30.0</v>
      </c>
      <c r="G146" s="235">
        <v>23.0</v>
      </c>
      <c r="H146" s="236">
        <v>5.1805135E7</v>
      </c>
      <c r="I146" s="16">
        <v>83.0</v>
      </c>
      <c r="J146" s="11">
        <v>2.0</v>
      </c>
      <c r="K146" s="11" t="str">
        <f t="shared" si="1"/>
        <v>00230051805135832</v>
      </c>
      <c r="L146" s="238">
        <v>96614.19</v>
      </c>
      <c r="M146" s="254">
        <v>122622.0</v>
      </c>
      <c r="N146" s="16">
        <v>92.0</v>
      </c>
      <c r="O146" s="22">
        <v>34.0</v>
      </c>
      <c r="P146" s="17">
        <v>85.0</v>
      </c>
      <c r="Q146" s="11">
        <v>3.3269314E7</v>
      </c>
      <c r="R146" s="11">
        <v>5.0</v>
      </c>
      <c r="S146" s="24" t="s">
        <v>39</v>
      </c>
      <c r="T146" s="249" t="s">
        <v>5435</v>
      </c>
      <c r="U146" s="17">
        <v>31.0</v>
      </c>
      <c r="V146" s="16">
        <v>95.0</v>
      </c>
      <c r="W146" s="16">
        <v>13.0</v>
      </c>
      <c r="X146" s="50">
        <v>10413.0</v>
      </c>
      <c r="Y146" s="250">
        <v>3627.0</v>
      </c>
    </row>
    <row r="147">
      <c r="A147" s="11">
        <v>18.0</v>
      </c>
      <c r="B147" s="11">
        <v>43.0</v>
      </c>
      <c r="C147" s="253">
        <v>6.0</v>
      </c>
      <c r="D147" s="235">
        <v>3.0</v>
      </c>
      <c r="E147" s="235">
        <v>3.0</v>
      </c>
      <c r="F147" s="253">
        <v>6.0</v>
      </c>
      <c r="G147" s="235">
        <v>3.0</v>
      </c>
      <c r="H147" s="236">
        <v>6.6095539E7</v>
      </c>
      <c r="I147" s="16">
        <v>83.0</v>
      </c>
      <c r="J147" s="11">
        <v>8.0</v>
      </c>
      <c r="K147" s="11" t="str">
        <f t="shared" si="1"/>
        <v>00030066095539838</v>
      </c>
      <c r="L147" s="238">
        <v>-195.72</v>
      </c>
      <c r="M147" s="254">
        <v>11521.0</v>
      </c>
      <c r="N147" s="16">
        <v>5.0</v>
      </c>
      <c r="O147" s="22">
        <v>48.0</v>
      </c>
      <c r="P147" s="17">
        <v>23.0</v>
      </c>
      <c r="Q147" s="11">
        <v>6.5233632E7</v>
      </c>
      <c r="R147" s="11">
        <v>4.0</v>
      </c>
      <c r="S147" s="24" t="s">
        <v>29</v>
      </c>
      <c r="T147" s="249" t="s">
        <v>5436</v>
      </c>
      <c r="U147" s="17">
        <v>88.0</v>
      </c>
      <c r="V147" s="16">
        <v>94.0</v>
      </c>
      <c r="W147" s="16">
        <v>19.0</v>
      </c>
      <c r="X147" s="50">
        <v>42016.0</v>
      </c>
      <c r="Y147" s="250">
        <v>8372.0</v>
      </c>
    </row>
    <row r="148">
      <c r="A148" s="11">
        <v>16.0</v>
      </c>
      <c r="B148" s="11">
        <v>64.0</v>
      </c>
      <c r="C148" s="253">
        <v>18.0</v>
      </c>
      <c r="D148" s="235">
        <v>143.0</v>
      </c>
      <c r="E148" s="235">
        <v>143.0</v>
      </c>
      <c r="F148" s="253">
        <v>18.0</v>
      </c>
      <c r="G148" s="235">
        <v>143.0</v>
      </c>
      <c r="H148" s="236">
        <v>7.4626661E7</v>
      </c>
      <c r="I148" s="16">
        <v>57.0</v>
      </c>
      <c r="J148" s="11">
        <v>6.0</v>
      </c>
      <c r="K148" s="11" t="str">
        <f t="shared" si="1"/>
        <v>01430074626661576</v>
      </c>
      <c r="L148" s="238">
        <v>207035.48</v>
      </c>
      <c r="M148" s="254">
        <v>11220.0</v>
      </c>
      <c r="N148" s="16">
        <v>45.0</v>
      </c>
      <c r="O148" s="22">
        <v>54.0</v>
      </c>
      <c r="P148" s="17">
        <v>44.0</v>
      </c>
      <c r="Q148" s="11">
        <v>6.3452434E7</v>
      </c>
      <c r="R148" s="11">
        <v>1.0</v>
      </c>
      <c r="S148" s="24" t="s">
        <v>48</v>
      </c>
      <c r="T148" s="249" t="s">
        <v>5437</v>
      </c>
      <c r="U148" s="17">
        <v>37.0</v>
      </c>
      <c r="V148" s="16">
        <v>17.0</v>
      </c>
      <c r="W148" s="16">
        <v>73.0</v>
      </c>
      <c r="X148" s="50">
        <v>72016.0</v>
      </c>
      <c r="Y148" s="250">
        <v>5442.0</v>
      </c>
    </row>
    <row r="149">
      <c r="A149" s="11">
        <v>13.0</v>
      </c>
      <c r="B149" s="11">
        <v>23.0</v>
      </c>
      <c r="C149" s="253">
        <v>13.0</v>
      </c>
      <c r="D149" s="235">
        <v>119.0</v>
      </c>
      <c r="E149" s="235">
        <v>119.0</v>
      </c>
      <c r="F149" s="253">
        <v>13.0</v>
      </c>
      <c r="G149" s="235">
        <v>119.0</v>
      </c>
      <c r="H149" s="236">
        <v>6.6414573E7</v>
      </c>
      <c r="I149" s="16">
        <v>60.0</v>
      </c>
      <c r="J149" s="11">
        <v>1.0</v>
      </c>
      <c r="K149" s="11" t="str">
        <f t="shared" si="1"/>
        <v>01190066414573601</v>
      </c>
      <c r="L149" s="238">
        <v>-218.11</v>
      </c>
      <c r="M149" s="254">
        <v>120214.0</v>
      </c>
      <c r="N149" s="16">
        <v>29.0</v>
      </c>
      <c r="O149" s="22">
        <v>32.0</v>
      </c>
      <c r="P149" s="17">
        <v>64.0</v>
      </c>
      <c r="Q149" s="11">
        <v>4.9931826E7</v>
      </c>
      <c r="R149" s="11">
        <v>2.0</v>
      </c>
      <c r="S149" s="24" t="s">
        <v>29</v>
      </c>
      <c r="T149" s="249" t="s">
        <v>5438</v>
      </c>
      <c r="U149" s="17">
        <v>90.0</v>
      </c>
      <c r="V149" s="16">
        <v>59.0</v>
      </c>
      <c r="W149" s="16">
        <v>79.0</v>
      </c>
      <c r="X149" s="50">
        <v>32419.0</v>
      </c>
      <c r="Y149" s="250">
        <v>2607.0</v>
      </c>
    </row>
    <row r="150">
      <c r="A150" s="11">
        <v>17.0</v>
      </c>
      <c r="B150" s="11">
        <v>84.0</v>
      </c>
      <c r="C150" s="253">
        <v>19.0</v>
      </c>
      <c r="D150" s="235">
        <v>101.0</v>
      </c>
      <c r="E150" s="235">
        <v>101.0</v>
      </c>
      <c r="F150" s="253">
        <v>19.0</v>
      </c>
      <c r="G150" s="235">
        <v>101.0</v>
      </c>
      <c r="H150" s="236">
        <v>3.9755731E7</v>
      </c>
      <c r="I150" s="16">
        <v>19.0</v>
      </c>
      <c r="J150" s="11">
        <v>4.0</v>
      </c>
      <c r="K150" s="11" t="str">
        <f t="shared" si="1"/>
        <v>01010039755731194</v>
      </c>
      <c r="L150" s="238">
        <v>-105.67</v>
      </c>
      <c r="M150" s="254">
        <v>100816.0</v>
      </c>
      <c r="N150" s="16">
        <v>68.0</v>
      </c>
      <c r="O150" s="22">
        <v>53.0</v>
      </c>
      <c r="P150" s="17">
        <v>23.0</v>
      </c>
      <c r="Q150" s="11">
        <v>8.2267213E7</v>
      </c>
      <c r="R150" s="11">
        <v>3.0</v>
      </c>
      <c r="S150" s="24" t="s">
        <v>29</v>
      </c>
      <c r="T150" s="249" t="s">
        <v>5439</v>
      </c>
      <c r="U150" s="17">
        <v>99.0</v>
      </c>
      <c r="V150" s="16">
        <v>45.0</v>
      </c>
      <c r="W150" s="16">
        <v>53.0</v>
      </c>
      <c r="X150" s="50">
        <v>70416.0</v>
      </c>
      <c r="Y150" s="250">
        <v>1772.0</v>
      </c>
    </row>
    <row r="151">
      <c r="A151" s="11">
        <v>15.0</v>
      </c>
      <c r="B151" s="11">
        <v>23.0</v>
      </c>
      <c r="C151" s="253">
        <v>35.0</v>
      </c>
      <c r="D151" s="235">
        <v>59.0</v>
      </c>
      <c r="E151" s="235">
        <v>59.0</v>
      </c>
      <c r="F151" s="253">
        <v>35.0</v>
      </c>
      <c r="G151" s="235">
        <v>59.0</v>
      </c>
      <c r="H151" s="236">
        <v>3.296109E7</v>
      </c>
      <c r="I151" s="16">
        <v>33.0</v>
      </c>
      <c r="J151" s="11">
        <v>7.0</v>
      </c>
      <c r="K151" s="11" t="str">
        <f t="shared" si="1"/>
        <v>00590032961090337</v>
      </c>
      <c r="L151" s="238">
        <v>-463180.53</v>
      </c>
      <c r="M151" s="254">
        <v>72918.0</v>
      </c>
      <c r="N151" s="16">
        <v>26.0</v>
      </c>
      <c r="O151" s="22">
        <v>40.0</v>
      </c>
      <c r="P151" s="17">
        <v>85.0</v>
      </c>
      <c r="Q151" s="11">
        <v>6.49647E7</v>
      </c>
      <c r="R151" s="11">
        <v>7.0</v>
      </c>
      <c r="S151" s="24" t="s">
        <v>39</v>
      </c>
      <c r="T151" s="249" t="s">
        <v>5440</v>
      </c>
      <c r="U151" s="17">
        <v>43.0</v>
      </c>
      <c r="V151" s="16">
        <v>11.0</v>
      </c>
      <c r="W151" s="16">
        <v>90.0</v>
      </c>
      <c r="X151" s="50">
        <v>81122.0</v>
      </c>
      <c r="Y151" s="250">
        <v>6218.0</v>
      </c>
    </row>
    <row r="152">
      <c r="A152" s="11">
        <v>11.0</v>
      </c>
      <c r="B152" s="11">
        <v>43.0</v>
      </c>
      <c r="C152" s="253">
        <v>48.0</v>
      </c>
      <c r="D152" s="235">
        <v>123.0</v>
      </c>
      <c r="E152" s="235">
        <v>123.0</v>
      </c>
      <c r="F152" s="253">
        <v>48.0</v>
      </c>
      <c r="G152" s="235">
        <v>123.0</v>
      </c>
      <c r="H152" s="236">
        <v>1.9077395E7</v>
      </c>
      <c r="I152" s="16">
        <v>56.0</v>
      </c>
      <c r="J152" s="11">
        <v>2.0</v>
      </c>
      <c r="K152" s="11" t="str">
        <f t="shared" si="1"/>
        <v>01230019077395562</v>
      </c>
      <c r="L152" s="238">
        <v>792.5</v>
      </c>
      <c r="M152" s="254">
        <v>33120.0</v>
      </c>
      <c r="N152" s="16">
        <v>38.0</v>
      </c>
      <c r="O152" s="22">
        <v>4.0</v>
      </c>
      <c r="P152" s="17">
        <v>44.0</v>
      </c>
      <c r="Q152" s="11">
        <v>2.3089596E7</v>
      </c>
      <c r="R152" s="11">
        <v>5.0</v>
      </c>
      <c r="S152" s="24" t="s">
        <v>29</v>
      </c>
      <c r="T152" s="249" t="s">
        <v>5441</v>
      </c>
      <c r="U152" s="17">
        <v>53.0</v>
      </c>
      <c r="V152" s="16">
        <v>63.0</v>
      </c>
      <c r="W152" s="16">
        <v>72.0</v>
      </c>
      <c r="X152" s="50">
        <v>61718.0</v>
      </c>
      <c r="Y152" s="250">
        <v>1673.0</v>
      </c>
    </row>
    <row r="153">
      <c r="A153" s="11">
        <v>12.0</v>
      </c>
      <c r="B153" s="11">
        <v>23.0</v>
      </c>
      <c r="C153" s="253">
        <v>45.0</v>
      </c>
      <c r="D153" s="235">
        <v>59.0</v>
      </c>
      <c r="E153" s="235">
        <v>59.0</v>
      </c>
      <c r="F153" s="253">
        <v>45.0</v>
      </c>
      <c r="G153" s="235">
        <v>59.0</v>
      </c>
      <c r="H153" s="236">
        <v>9.1713891E7</v>
      </c>
      <c r="I153" s="16">
        <v>14.0</v>
      </c>
      <c r="J153" s="11">
        <v>5.0</v>
      </c>
      <c r="K153" s="11" t="str">
        <f t="shared" si="1"/>
        <v>00590091713891145</v>
      </c>
      <c r="L153" s="238">
        <v>-59041.38</v>
      </c>
      <c r="M153" s="254">
        <v>22622.0</v>
      </c>
      <c r="N153" s="16">
        <v>92.0</v>
      </c>
      <c r="O153" s="22">
        <v>44.0</v>
      </c>
      <c r="P153" s="17">
        <v>65.0</v>
      </c>
      <c r="Q153" s="11">
        <v>3.2200971E7</v>
      </c>
      <c r="R153" s="11">
        <v>3.0</v>
      </c>
      <c r="S153" s="24" t="s">
        <v>29</v>
      </c>
      <c r="T153" s="249" t="s">
        <v>5442</v>
      </c>
      <c r="U153" s="17">
        <v>2.0</v>
      </c>
      <c r="V153" s="16">
        <v>49.0</v>
      </c>
      <c r="W153" s="16">
        <v>40.0</v>
      </c>
      <c r="X153" s="50">
        <v>110818.0</v>
      </c>
      <c r="Y153" s="250">
        <v>6392.0</v>
      </c>
    </row>
    <row r="154">
      <c r="A154" s="11">
        <v>17.0</v>
      </c>
      <c r="B154" s="11">
        <v>64.0</v>
      </c>
      <c r="C154" s="253">
        <v>48.0</v>
      </c>
      <c r="D154" s="235">
        <v>483.0</v>
      </c>
      <c r="E154" s="235">
        <v>483.0</v>
      </c>
      <c r="F154" s="253">
        <v>48.0</v>
      </c>
      <c r="G154" s="235">
        <v>483.0</v>
      </c>
      <c r="H154" s="236">
        <v>2.3360016E7</v>
      </c>
      <c r="I154" s="16">
        <v>4.0</v>
      </c>
      <c r="J154" s="11">
        <v>9.0</v>
      </c>
      <c r="K154" s="11" t="str">
        <f t="shared" si="1"/>
        <v>04830023360016049</v>
      </c>
      <c r="L154" s="238">
        <v>984.71</v>
      </c>
      <c r="M154" s="254">
        <v>90423.0</v>
      </c>
      <c r="N154" s="16">
        <v>85.0</v>
      </c>
      <c r="O154" s="22">
        <v>10.0</v>
      </c>
      <c r="P154" s="17">
        <v>24.0</v>
      </c>
      <c r="Q154" s="11">
        <v>9.6021763E7</v>
      </c>
      <c r="R154" s="11">
        <v>6.0</v>
      </c>
      <c r="S154" s="24" t="s">
        <v>39</v>
      </c>
      <c r="T154" s="249" t="s">
        <v>5443</v>
      </c>
      <c r="U154" s="17">
        <v>8.0</v>
      </c>
      <c r="V154" s="16">
        <v>12.0</v>
      </c>
      <c r="W154" s="16">
        <v>36.0</v>
      </c>
      <c r="X154" s="50">
        <v>60918.0</v>
      </c>
      <c r="Y154" s="250">
        <v>5431.0</v>
      </c>
    </row>
    <row r="155">
      <c r="A155" s="11">
        <v>14.0</v>
      </c>
      <c r="B155" s="11">
        <v>84.0</v>
      </c>
      <c r="C155" s="253">
        <v>17.0</v>
      </c>
      <c r="D155" s="235">
        <v>79.0</v>
      </c>
      <c r="E155" s="235">
        <v>79.0</v>
      </c>
      <c r="F155" s="253">
        <v>17.0</v>
      </c>
      <c r="G155" s="235">
        <v>79.0</v>
      </c>
      <c r="H155" s="236">
        <v>6.7574637E7</v>
      </c>
      <c r="I155" s="16">
        <v>52.0</v>
      </c>
      <c r="J155" s="11">
        <v>3.0</v>
      </c>
      <c r="K155" s="11" t="str">
        <f t="shared" si="1"/>
        <v>00790067574637523</v>
      </c>
      <c r="L155" s="238">
        <v>34231.52</v>
      </c>
      <c r="M155" s="254">
        <v>31117.0</v>
      </c>
      <c r="N155" s="16">
        <v>99.0</v>
      </c>
      <c r="O155" s="22">
        <v>55.0</v>
      </c>
      <c r="P155" s="17">
        <v>44.0</v>
      </c>
      <c r="Q155" s="11">
        <v>3.7203043E7</v>
      </c>
      <c r="R155" s="11">
        <v>1.0</v>
      </c>
      <c r="S155" s="24" t="s">
        <v>48</v>
      </c>
      <c r="T155" s="249" t="s">
        <v>5444</v>
      </c>
      <c r="U155" s="17">
        <v>59.0</v>
      </c>
      <c r="V155" s="16">
        <v>95.0</v>
      </c>
      <c r="W155" s="16">
        <v>86.0</v>
      </c>
      <c r="X155" s="50">
        <v>82717.0</v>
      </c>
      <c r="Y155" s="250">
        <v>138.0</v>
      </c>
    </row>
    <row r="156">
      <c r="A156" s="11">
        <v>15.0</v>
      </c>
      <c r="B156" s="11">
        <v>43.0</v>
      </c>
      <c r="C156" s="253">
        <v>8.0</v>
      </c>
      <c r="D156" s="235">
        <v>57.0</v>
      </c>
      <c r="E156" s="235">
        <v>57.0</v>
      </c>
      <c r="F156" s="253">
        <v>8.0</v>
      </c>
      <c r="G156" s="235">
        <v>57.0</v>
      </c>
      <c r="H156" s="236">
        <v>5.046398E7</v>
      </c>
      <c r="I156" s="16">
        <v>97.0</v>
      </c>
      <c r="J156" s="11">
        <v>6.0</v>
      </c>
      <c r="K156" s="11" t="str">
        <f t="shared" si="1"/>
        <v>00570050463980976</v>
      </c>
      <c r="L156" s="238">
        <v>45764.13</v>
      </c>
      <c r="M156" s="254">
        <v>12713.0</v>
      </c>
      <c r="N156" s="16">
        <v>98.0</v>
      </c>
      <c r="O156" s="22">
        <v>25.0</v>
      </c>
      <c r="P156" s="17">
        <v>65.0</v>
      </c>
      <c r="Q156" s="11">
        <v>6.1189361E7</v>
      </c>
      <c r="R156" s="11">
        <v>8.0</v>
      </c>
      <c r="S156" s="24" t="s">
        <v>29</v>
      </c>
      <c r="T156" s="249" t="s">
        <v>5445</v>
      </c>
      <c r="U156" s="17">
        <v>8.0</v>
      </c>
      <c r="V156" s="16">
        <v>35.0</v>
      </c>
      <c r="W156" s="16">
        <v>67.0</v>
      </c>
      <c r="X156" s="50">
        <v>21621.0</v>
      </c>
      <c r="Y156" s="250">
        <v>9863.0</v>
      </c>
    </row>
    <row r="157">
      <c r="A157" s="11">
        <v>13.0</v>
      </c>
      <c r="B157" s="11">
        <v>43.0</v>
      </c>
      <c r="C157" s="253">
        <v>6.0</v>
      </c>
      <c r="D157" s="235">
        <v>63.0</v>
      </c>
      <c r="E157" s="235">
        <v>63.0</v>
      </c>
      <c r="F157" s="253">
        <v>6.0</v>
      </c>
      <c r="G157" s="235">
        <v>63.0</v>
      </c>
      <c r="H157" s="236">
        <v>7.0886521E7</v>
      </c>
      <c r="I157" s="16">
        <v>72.0</v>
      </c>
      <c r="J157" s="11">
        <v>9.0</v>
      </c>
      <c r="K157" s="11" t="str">
        <f t="shared" si="1"/>
        <v>00630070886521729</v>
      </c>
      <c r="L157" s="238">
        <v>576329.8</v>
      </c>
      <c r="M157" s="254">
        <v>51118.0</v>
      </c>
      <c r="N157" s="16">
        <v>72.0</v>
      </c>
      <c r="O157" s="22">
        <v>29.0</v>
      </c>
      <c r="P157" s="17">
        <v>85.0</v>
      </c>
      <c r="Q157" s="11">
        <v>8.9791302E7</v>
      </c>
      <c r="R157" s="11">
        <v>1.0</v>
      </c>
      <c r="S157" s="24" t="s">
        <v>48</v>
      </c>
      <c r="T157" s="249" t="s">
        <v>5446</v>
      </c>
      <c r="U157" s="17">
        <v>58.0</v>
      </c>
      <c r="V157" s="16">
        <v>29.0</v>
      </c>
      <c r="W157" s="16">
        <v>67.0</v>
      </c>
      <c r="X157" s="50">
        <v>22216.0</v>
      </c>
      <c r="Y157" s="250">
        <v>5429.0</v>
      </c>
    </row>
    <row r="158">
      <c r="A158" s="11">
        <v>20.0</v>
      </c>
      <c r="B158" s="11">
        <v>84.0</v>
      </c>
      <c r="C158" s="253">
        <v>16.0</v>
      </c>
      <c r="D158" s="235">
        <v>11.0</v>
      </c>
      <c r="E158" s="235">
        <v>11.0</v>
      </c>
      <c r="F158" s="253">
        <v>16.0</v>
      </c>
      <c r="G158" s="235">
        <v>11.0</v>
      </c>
      <c r="H158" s="236">
        <v>3.4282817E7</v>
      </c>
      <c r="I158" s="16">
        <v>97.0</v>
      </c>
      <c r="J158" s="11">
        <v>4.0</v>
      </c>
      <c r="K158" s="11" t="str">
        <f t="shared" si="1"/>
        <v>00110034282817974</v>
      </c>
      <c r="L158" s="238">
        <v>60721.61</v>
      </c>
      <c r="M158" s="254">
        <v>31214.0</v>
      </c>
      <c r="N158" s="16">
        <v>88.0</v>
      </c>
      <c r="O158" s="22">
        <v>31.0</v>
      </c>
      <c r="P158" s="17">
        <v>65.0</v>
      </c>
      <c r="Q158" s="11">
        <v>4.3748869E7</v>
      </c>
      <c r="R158" s="11">
        <v>9.0</v>
      </c>
      <c r="S158" s="24" t="s">
        <v>39</v>
      </c>
      <c r="T158" s="249" t="s">
        <v>5447</v>
      </c>
      <c r="U158" s="17">
        <v>11.0</v>
      </c>
      <c r="V158" s="16">
        <v>17.0</v>
      </c>
      <c r="W158" s="16">
        <v>31.0</v>
      </c>
      <c r="X158" s="50">
        <v>50922.0</v>
      </c>
      <c r="Y158" s="250">
        <v>4449.0</v>
      </c>
    </row>
    <row r="159">
      <c r="A159" s="11">
        <v>10.0</v>
      </c>
      <c r="B159" s="11">
        <v>23.0</v>
      </c>
      <c r="C159" s="253">
        <v>20.0</v>
      </c>
      <c r="D159" s="235">
        <v>149.0</v>
      </c>
      <c r="E159" s="235">
        <v>149.0</v>
      </c>
      <c r="F159" s="253">
        <v>20.0</v>
      </c>
      <c r="G159" s="235">
        <v>149.0</v>
      </c>
      <c r="H159" s="236">
        <v>7.0334928E7</v>
      </c>
      <c r="I159" s="16">
        <v>36.0</v>
      </c>
      <c r="J159" s="11">
        <v>9.0</v>
      </c>
      <c r="K159" s="11" t="str">
        <f t="shared" si="1"/>
        <v>01490070334928369</v>
      </c>
      <c r="L159" s="238">
        <v>16327.7</v>
      </c>
      <c r="M159" s="254">
        <v>72014.0</v>
      </c>
      <c r="N159" s="16">
        <v>66.0</v>
      </c>
      <c r="O159" s="22">
        <v>40.0</v>
      </c>
      <c r="P159" s="17">
        <v>24.0</v>
      </c>
      <c r="Q159" s="11">
        <v>1.9305374E7</v>
      </c>
      <c r="R159" s="11">
        <v>4.0</v>
      </c>
      <c r="S159" s="24" t="s">
        <v>48</v>
      </c>
      <c r="T159" s="249" t="s">
        <v>5448</v>
      </c>
      <c r="U159" s="17">
        <v>17.0</v>
      </c>
      <c r="V159" s="16">
        <v>39.0</v>
      </c>
      <c r="W159" s="16">
        <v>1.0</v>
      </c>
      <c r="X159" s="50">
        <v>82621.0</v>
      </c>
      <c r="Y159" s="250">
        <v>4226.0</v>
      </c>
    </row>
    <row r="160">
      <c r="A160" s="11">
        <v>11.0</v>
      </c>
      <c r="B160" s="11">
        <v>23.0</v>
      </c>
      <c r="C160" s="253">
        <v>27.0</v>
      </c>
      <c r="D160" s="235">
        <v>69.0</v>
      </c>
      <c r="E160" s="235">
        <v>69.0</v>
      </c>
      <c r="F160" s="253">
        <v>27.0</v>
      </c>
      <c r="G160" s="235">
        <v>69.0</v>
      </c>
      <c r="H160" s="236">
        <v>8.0826268E7</v>
      </c>
      <c r="I160" s="16">
        <v>58.0</v>
      </c>
      <c r="J160" s="11">
        <v>4.0</v>
      </c>
      <c r="K160" s="11" t="str">
        <f t="shared" si="1"/>
        <v>00690080826268584</v>
      </c>
      <c r="L160" s="238">
        <v>77852.17</v>
      </c>
      <c r="M160" s="254">
        <v>73023.0</v>
      </c>
      <c r="N160" s="16">
        <v>4.0</v>
      </c>
      <c r="O160" s="22">
        <v>37.0</v>
      </c>
      <c r="P160" s="17">
        <v>85.0</v>
      </c>
      <c r="Q160" s="11">
        <v>6.0890539E7</v>
      </c>
      <c r="R160" s="11">
        <v>6.0</v>
      </c>
      <c r="S160" s="24" t="s">
        <v>5292</v>
      </c>
      <c r="T160" s="249" t="s">
        <v>5449</v>
      </c>
      <c r="U160" s="17">
        <v>62.0</v>
      </c>
      <c r="V160" s="16">
        <v>24.0</v>
      </c>
      <c r="W160" s="16">
        <v>74.0</v>
      </c>
      <c r="X160" s="50">
        <v>32120.0</v>
      </c>
      <c r="Y160" s="250">
        <v>5160.0</v>
      </c>
    </row>
    <row r="161">
      <c r="A161" s="11">
        <v>12.0</v>
      </c>
      <c r="B161" s="11">
        <v>64.0</v>
      </c>
      <c r="C161" s="253">
        <v>36.0</v>
      </c>
      <c r="D161" s="235">
        <v>85.0</v>
      </c>
      <c r="E161" s="235">
        <v>85.0</v>
      </c>
      <c r="F161" s="253">
        <v>36.0</v>
      </c>
      <c r="G161" s="235">
        <v>85.0</v>
      </c>
      <c r="H161" s="236">
        <v>2.8541367E7</v>
      </c>
      <c r="I161" s="16">
        <v>3.0</v>
      </c>
      <c r="J161" s="11">
        <v>0.0</v>
      </c>
      <c r="K161" s="11" t="str">
        <f t="shared" si="1"/>
        <v>00850028541367030</v>
      </c>
      <c r="L161" s="238">
        <v>41622.7</v>
      </c>
      <c r="M161" s="254">
        <v>41013.0</v>
      </c>
      <c r="N161" s="16">
        <v>5.0</v>
      </c>
      <c r="O161" s="22">
        <v>53.0</v>
      </c>
      <c r="P161" s="17">
        <v>65.0</v>
      </c>
      <c r="Q161" s="11">
        <v>7.3538669E7</v>
      </c>
      <c r="R161" s="11">
        <v>8.0</v>
      </c>
      <c r="S161" s="24" t="s">
        <v>5292</v>
      </c>
      <c r="T161" s="249" t="s">
        <v>5450</v>
      </c>
      <c r="U161" s="17">
        <v>15.0</v>
      </c>
      <c r="V161" s="16">
        <v>6.0</v>
      </c>
      <c r="W161" s="16">
        <v>24.0</v>
      </c>
      <c r="X161" s="50">
        <v>41117.0</v>
      </c>
      <c r="Y161" s="250">
        <v>2393.0</v>
      </c>
    </row>
    <row r="162">
      <c r="A162" s="11">
        <v>20.0</v>
      </c>
      <c r="B162" s="11">
        <v>23.0</v>
      </c>
      <c r="C162" s="253">
        <v>28.0</v>
      </c>
      <c r="D162" s="235">
        <v>15.0</v>
      </c>
      <c r="E162" s="235">
        <v>15.0</v>
      </c>
      <c r="F162" s="253">
        <v>28.0</v>
      </c>
      <c r="G162" s="235">
        <v>15.0</v>
      </c>
      <c r="H162" s="236">
        <v>6.0588189E7</v>
      </c>
      <c r="I162" s="16">
        <v>80.0</v>
      </c>
      <c r="J162" s="11">
        <v>3.0</v>
      </c>
      <c r="K162" s="11" t="str">
        <f t="shared" si="1"/>
        <v>00150060588189803</v>
      </c>
      <c r="L162" s="238">
        <v>6353.7</v>
      </c>
      <c r="M162" s="254">
        <v>41917.0</v>
      </c>
      <c r="N162" s="16">
        <v>84.0</v>
      </c>
      <c r="O162" s="22">
        <v>45.0</v>
      </c>
      <c r="P162" s="17">
        <v>85.0</v>
      </c>
      <c r="Q162" s="11">
        <v>7.7136329E7</v>
      </c>
      <c r="R162" s="11">
        <v>6.0</v>
      </c>
      <c r="S162" s="24" t="s">
        <v>5292</v>
      </c>
      <c r="T162" s="249" t="s">
        <v>5451</v>
      </c>
      <c r="U162" s="17">
        <v>64.0</v>
      </c>
      <c r="V162" s="16">
        <v>20.0</v>
      </c>
      <c r="W162" s="16">
        <v>81.0</v>
      </c>
      <c r="X162" s="50">
        <v>91716.0</v>
      </c>
      <c r="Y162" s="250">
        <v>7376.0</v>
      </c>
    </row>
    <row r="163">
      <c r="A163" s="11">
        <v>20.0</v>
      </c>
      <c r="B163" s="11">
        <v>84.0</v>
      </c>
      <c r="C163" s="253">
        <v>42.0</v>
      </c>
      <c r="D163" s="235">
        <v>5.0</v>
      </c>
      <c r="E163" s="235">
        <v>5.0</v>
      </c>
      <c r="F163" s="253">
        <v>42.0</v>
      </c>
      <c r="G163" s="235">
        <v>5.0</v>
      </c>
      <c r="H163" s="236">
        <v>8.9195277E7</v>
      </c>
      <c r="I163" s="16">
        <v>87.0</v>
      </c>
      <c r="J163" s="11">
        <v>4.0</v>
      </c>
      <c r="K163" s="11" t="str">
        <f t="shared" si="1"/>
        <v>00050089195277874</v>
      </c>
      <c r="L163" s="238">
        <v>2477.8</v>
      </c>
      <c r="M163" s="254">
        <v>40819.0</v>
      </c>
      <c r="N163" s="16">
        <v>56.0</v>
      </c>
      <c r="O163" s="22">
        <v>24.0</v>
      </c>
      <c r="P163" s="17">
        <v>24.0</v>
      </c>
      <c r="Q163" s="11">
        <v>6.1345925E7</v>
      </c>
      <c r="R163" s="11">
        <v>5.0</v>
      </c>
      <c r="S163" s="24" t="s">
        <v>48</v>
      </c>
      <c r="T163" s="249" t="s">
        <v>5452</v>
      </c>
      <c r="U163" s="17">
        <v>19.0</v>
      </c>
      <c r="V163" s="16">
        <v>47.0</v>
      </c>
      <c r="W163" s="16">
        <v>72.0</v>
      </c>
      <c r="X163" s="50">
        <v>22013.0</v>
      </c>
      <c r="Y163" s="250">
        <v>9138.0</v>
      </c>
    </row>
    <row r="164">
      <c r="A164" s="11">
        <v>14.0</v>
      </c>
      <c r="B164" s="11">
        <v>64.0</v>
      </c>
      <c r="C164" s="253">
        <v>31.0</v>
      </c>
      <c r="D164" s="235">
        <v>99.0</v>
      </c>
      <c r="E164" s="235">
        <v>99.0</v>
      </c>
      <c r="F164" s="253">
        <v>31.0</v>
      </c>
      <c r="G164" s="235">
        <v>99.0</v>
      </c>
      <c r="H164" s="236">
        <v>1.2946203E7</v>
      </c>
      <c r="I164" s="16">
        <v>19.0</v>
      </c>
      <c r="J164" s="11">
        <v>3.0</v>
      </c>
      <c r="K164" s="11" t="str">
        <f t="shared" si="1"/>
        <v>00990012946203193</v>
      </c>
      <c r="L164" s="238">
        <v>578130.26</v>
      </c>
      <c r="M164" s="254">
        <v>81718.0</v>
      </c>
      <c r="N164" s="16">
        <v>37.0</v>
      </c>
      <c r="O164" s="22">
        <v>20.0</v>
      </c>
      <c r="P164" s="17">
        <v>24.0</v>
      </c>
      <c r="Q164" s="11">
        <v>6.6939598E7</v>
      </c>
      <c r="R164" s="11">
        <v>8.0</v>
      </c>
      <c r="S164" s="24" t="s">
        <v>48</v>
      </c>
      <c r="T164" s="249" t="s">
        <v>5453</v>
      </c>
      <c r="U164" s="17">
        <v>29.0</v>
      </c>
      <c r="V164" s="16">
        <v>47.0</v>
      </c>
      <c r="W164" s="16">
        <v>5.0</v>
      </c>
      <c r="X164" s="50">
        <v>101013.0</v>
      </c>
      <c r="Y164" s="250">
        <v>60.0</v>
      </c>
    </row>
    <row r="165">
      <c r="A165" s="11">
        <v>16.0</v>
      </c>
      <c r="B165" s="11">
        <v>23.0</v>
      </c>
      <c r="C165" s="253">
        <v>18.0</v>
      </c>
      <c r="D165" s="235">
        <v>75.0</v>
      </c>
      <c r="E165" s="235">
        <v>75.0</v>
      </c>
      <c r="F165" s="253">
        <v>18.0</v>
      </c>
      <c r="G165" s="235">
        <v>75.0</v>
      </c>
      <c r="H165" s="236">
        <v>8.919985E7</v>
      </c>
      <c r="I165" s="16">
        <v>29.0</v>
      </c>
      <c r="J165" s="11">
        <v>1.0</v>
      </c>
      <c r="K165" s="11" t="str">
        <f t="shared" si="1"/>
        <v>00750089199850291</v>
      </c>
      <c r="L165" s="238">
        <v>1013.78</v>
      </c>
      <c r="M165" s="254">
        <v>30718.0</v>
      </c>
      <c r="N165" s="16">
        <v>83.0</v>
      </c>
      <c r="O165" s="22">
        <v>40.0</v>
      </c>
      <c r="P165" s="17">
        <v>85.0</v>
      </c>
      <c r="Q165" s="11">
        <v>2.3133325E7</v>
      </c>
      <c r="R165" s="11">
        <v>5.0</v>
      </c>
      <c r="S165" s="24" t="s">
        <v>5292</v>
      </c>
      <c r="T165" s="249" t="s">
        <v>5454</v>
      </c>
      <c r="U165" s="17">
        <v>76.0</v>
      </c>
      <c r="V165" s="16">
        <v>48.0</v>
      </c>
      <c r="W165" s="16">
        <v>96.0</v>
      </c>
      <c r="X165" s="50">
        <v>42813.0</v>
      </c>
      <c r="Y165" s="250">
        <v>9915.0</v>
      </c>
    </row>
    <row r="166">
      <c r="A166" s="11">
        <v>11.0</v>
      </c>
      <c r="B166" s="11">
        <v>64.0</v>
      </c>
      <c r="C166" s="253">
        <v>48.0</v>
      </c>
      <c r="D166" s="235">
        <v>427.0</v>
      </c>
      <c r="E166" s="235">
        <v>427.0</v>
      </c>
      <c r="F166" s="253">
        <v>48.0</v>
      </c>
      <c r="G166" s="235">
        <v>427.0</v>
      </c>
      <c r="H166" s="236">
        <v>5.2144869E7</v>
      </c>
      <c r="I166" s="16">
        <v>17.0</v>
      </c>
      <c r="J166" s="11">
        <v>1.0</v>
      </c>
      <c r="K166" s="11" t="str">
        <f t="shared" si="1"/>
        <v>04270052144869171</v>
      </c>
      <c r="L166" s="238">
        <v>313.37</v>
      </c>
      <c r="M166" s="254">
        <v>42815.0</v>
      </c>
      <c r="N166" s="16">
        <v>56.0</v>
      </c>
      <c r="O166" s="22">
        <v>12.0</v>
      </c>
      <c r="P166" s="17">
        <v>85.0</v>
      </c>
      <c r="Q166" s="11">
        <v>8.0676428E7</v>
      </c>
      <c r="R166" s="11">
        <v>3.0</v>
      </c>
      <c r="S166" s="24" t="s">
        <v>48</v>
      </c>
      <c r="T166" s="249" t="s">
        <v>5455</v>
      </c>
      <c r="U166" s="17">
        <v>88.0</v>
      </c>
      <c r="V166" s="16">
        <v>6.0</v>
      </c>
      <c r="W166" s="16">
        <v>54.0</v>
      </c>
      <c r="X166" s="50">
        <v>92019.0</v>
      </c>
      <c r="Y166" s="250">
        <v>6183.0</v>
      </c>
    </row>
    <row r="167">
      <c r="A167" s="11">
        <v>18.0</v>
      </c>
      <c r="B167" s="11">
        <v>44.0</v>
      </c>
      <c r="C167" s="253">
        <v>41.0</v>
      </c>
      <c r="D167" s="235">
        <v>21.0</v>
      </c>
      <c r="E167" s="235">
        <v>21.0</v>
      </c>
      <c r="F167" s="253">
        <v>41.0</v>
      </c>
      <c r="G167" s="235">
        <v>21.0</v>
      </c>
      <c r="H167" s="236">
        <v>5.7632626E7</v>
      </c>
      <c r="I167" s="16">
        <v>38.0</v>
      </c>
      <c r="J167" s="11">
        <v>8.0</v>
      </c>
      <c r="K167" s="11" t="str">
        <f t="shared" si="1"/>
        <v>00210057632626388</v>
      </c>
      <c r="L167" s="238">
        <v>-29143.44</v>
      </c>
      <c r="M167" s="254">
        <v>72422.0</v>
      </c>
      <c r="N167" s="16">
        <v>66.0</v>
      </c>
      <c r="O167" s="22">
        <v>56.0</v>
      </c>
      <c r="P167" s="17">
        <v>65.0</v>
      </c>
      <c r="Q167" s="11">
        <v>7.8646338E7</v>
      </c>
      <c r="R167" s="11">
        <v>0.0</v>
      </c>
      <c r="S167" s="24" t="s">
        <v>48</v>
      </c>
      <c r="T167" s="249" t="s">
        <v>5456</v>
      </c>
      <c r="U167" s="17">
        <v>41.0</v>
      </c>
      <c r="V167" s="16">
        <v>93.0</v>
      </c>
      <c r="W167" s="16">
        <v>58.0</v>
      </c>
      <c r="X167" s="50">
        <v>82321.0</v>
      </c>
      <c r="Y167" s="250">
        <v>253.0</v>
      </c>
    </row>
    <row r="168">
      <c r="A168" s="11">
        <v>10.0</v>
      </c>
      <c r="B168" s="11">
        <v>64.0</v>
      </c>
      <c r="C168" s="253">
        <v>17.0</v>
      </c>
      <c r="D168" s="235">
        <v>203.0</v>
      </c>
      <c r="E168" s="235">
        <v>203.0</v>
      </c>
      <c r="F168" s="253">
        <v>17.0</v>
      </c>
      <c r="G168" s="235">
        <v>203.0</v>
      </c>
      <c r="H168" s="236">
        <v>4.4943707E7</v>
      </c>
      <c r="I168" s="16">
        <v>25.0</v>
      </c>
      <c r="J168" s="11">
        <v>8.0</v>
      </c>
      <c r="K168" s="11" t="str">
        <f t="shared" si="1"/>
        <v>02030044943707258</v>
      </c>
      <c r="L168" s="238">
        <v>5759.13</v>
      </c>
      <c r="M168" s="254">
        <v>30819.0</v>
      </c>
      <c r="N168" s="16">
        <v>62.0</v>
      </c>
      <c r="O168" s="22">
        <v>2.0</v>
      </c>
      <c r="P168" s="17">
        <v>24.0</v>
      </c>
      <c r="Q168" s="11">
        <v>9.8096932E7</v>
      </c>
      <c r="R168" s="11">
        <v>6.0</v>
      </c>
      <c r="S168" s="24" t="s">
        <v>29</v>
      </c>
      <c r="T168" s="249" t="s">
        <v>5457</v>
      </c>
      <c r="U168" s="17">
        <v>46.0</v>
      </c>
      <c r="V168" s="16">
        <v>28.0</v>
      </c>
      <c r="W168" s="16">
        <v>99.0</v>
      </c>
      <c r="X168" s="50">
        <v>42113.0</v>
      </c>
      <c r="Y168" s="250">
        <v>5876.0</v>
      </c>
    </row>
    <row r="169">
      <c r="A169" s="11">
        <v>17.0</v>
      </c>
      <c r="B169" s="11">
        <v>23.0</v>
      </c>
      <c r="C169" s="253">
        <v>30.0</v>
      </c>
      <c r="D169" s="235">
        <v>41.0</v>
      </c>
      <c r="E169" s="235">
        <v>41.0</v>
      </c>
      <c r="F169" s="253">
        <v>30.0</v>
      </c>
      <c r="G169" s="235">
        <v>41.0</v>
      </c>
      <c r="H169" s="236">
        <v>8.4723129E7</v>
      </c>
      <c r="I169" s="16">
        <v>15.0</v>
      </c>
      <c r="J169" s="11">
        <v>6.0</v>
      </c>
      <c r="K169" s="11" t="str">
        <f t="shared" si="1"/>
        <v>00410084723129156</v>
      </c>
      <c r="L169" s="238">
        <v>660.27</v>
      </c>
      <c r="M169" s="254">
        <v>31121.0</v>
      </c>
      <c r="N169" s="16">
        <v>27.0</v>
      </c>
      <c r="O169" s="22">
        <v>12.0</v>
      </c>
      <c r="P169" s="17">
        <v>85.0</v>
      </c>
      <c r="Q169" s="11">
        <v>3.8904203E7</v>
      </c>
      <c r="R169" s="11">
        <v>9.0</v>
      </c>
      <c r="S169" s="24" t="s">
        <v>29</v>
      </c>
      <c r="T169" s="249" t="s">
        <v>5458</v>
      </c>
      <c r="U169" s="17">
        <v>89.0</v>
      </c>
      <c r="V169" s="16">
        <v>25.0</v>
      </c>
      <c r="W169" s="16">
        <v>40.0</v>
      </c>
      <c r="X169" s="50">
        <v>101914.0</v>
      </c>
      <c r="Y169" s="250">
        <v>5435.0</v>
      </c>
    </row>
    <row r="170">
      <c r="A170" s="11">
        <v>18.0</v>
      </c>
      <c r="B170" s="11">
        <v>23.0</v>
      </c>
      <c r="C170" s="253">
        <v>22.0</v>
      </c>
      <c r="D170" s="235">
        <v>7.0</v>
      </c>
      <c r="E170" s="235">
        <v>7.0</v>
      </c>
      <c r="F170" s="253">
        <v>22.0</v>
      </c>
      <c r="G170" s="235">
        <v>7.0</v>
      </c>
      <c r="H170" s="236">
        <v>3.1161179E7</v>
      </c>
      <c r="I170" s="16">
        <v>99.0</v>
      </c>
      <c r="J170" s="11">
        <v>1.0</v>
      </c>
      <c r="K170" s="11" t="str">
        <f t="shared" si="1"/>
        <v>00070031161179991</v>
      </c>
      <c r="L170" s="238">
        <v>38724.41</v>
      </c>
      <c r="M170" s="254">
        <v>12617.0</v>
      </c>
      <c r="N170" s="16">
        <v>56.0</v>
      </c>
      <c r="O170" s="22">
        <v>50.0</v>
      </c>
      <c r="P170" s="17">
        <v>85.0</v>
      </c>
      <c r="Q170" s="11">
        <v>3.8885773E7</v>
      </c>
      <c r="R170" s="11">
        <v>5.0</v>
      </c>
      <c r="S170" s="24" t="s">
        <v>48</v>
      </c>
      <c r="T170" s="249" t="s">
        <v>5459</v>
      </c>
      <c r="U170" s="17">
        <v>93.0</v>
      </c>
      <c r="V170" s="16">
        <v>64.0</v>
      </c>
      <c r="W170" s="16">
        <v>64.0</v>
      </c>
      <c r="X170" s="50">
        <v>92221.0</v>
      </c>
      <c r="Y170" s="250">
        <v>7554.0</v>
      </c>
    </row>
    <row r="171">
      <c r="A171" s="11">
        <v>11.0</v>
      </c>
      <c r="B171" s="11">
        <v>64.0</v>
      </c>
      <c r="C171" s="253">
        <v>21.0</v>
      </c>
      <c r="D171" s="235">
        <v>43.0</v>
      </c>
      <c r="E171" s="235">
        <v>43.0</v>
      </c>
      <c r="F171" s="253">
        <v>21.0</v>
      </c>
      <c r="G171" s="235">
        <v>43.0</v>
      </c>
      <c r="H171" s="236">
        <v>8.3726989E7</v>
      </c>
      <c r="I171" s="16">
        <v>6.0</v>
      </c>
      <c r="J171" s="11">
        <v>2.0</v>
      </c>
      <c r="K171" s="11" t="str">
        <f t="shared" si="1"/>
        <v>00430083726989062</v>
      </c>
      <c r="L171" s="238">
        <v>627982.7</v>
      </c>
      <c r="M171" s="254">
        <v>22719.0</v>
      </c>
      <c r="N171" s="16">
        <v>90.0</v>
      </c>
      <c r="O171" s="22">
        <v>30.0</v>
      </c>
      <c r="P171" s="17">
        <v>24.0</v>
      </c>
      <c r="Q171" s="11">
        <v>1.8807562E7</v>
      </c>
      <c r="R171" s="11">
        <v>6.0</v>
      </c>
      <c r="S171" s="24" t="s">
        <v>29</v>
      </c>
      <c r="T171" s="249" t="s">
        <v>5460</v>
      </c>
      <c r="U171" s="17">
        <v>53.0</v>
      </c>
      <c r="V171" s="16">
        <v>56.0</v>
      </c>
      <c r="W171" s="16">
        <v>22.0</v>
      </c>
      <c r="X171" s="50">
        <v>111419.0</v>
      </c>
      <c r="Y171" s="250">
        <v>7835.0</v>
      </c>
    </row>
    <row r="172">
      <c r="A172" s="11">
        <v>11.0</v>
      </c>
      <c r="B172" s="11">
        <v>85.0</v>
      </c>
      <c r="C172" s="253">
        <v>38.0</v>
      </c>
      <c r="D172" s="235">
        <v>13.0</v>
      </c>
      <c r="E172" s="235">
        <v>13.0</v>
      </c>
      <c r="F172" s="253">
        <v>38.0</v>
      </c>
      <c r="G172" s="235">
        <v>13.0</v>
      </c>
      <c r="H172" s="236">
        <v>5.9305962E7</v>
      </c>
      <c r="I172" s="16">
        <v>17.0</v>
      </c>
      <c r="J172" s="11">
        <v>6.0</v>
      </c>
      <c r="K172" s="11" t="str">
        <f t="shared" si="1"/>
        <v>00130059305962176</v>
      </c>
      <c r="L172" s="238">
        <v>68476.67</v>
      </c>
      <c r="M172" s="254">
        <v>92716.0</v>
      </c>
      <c r="N172" s="16">
        <v>63.0</v>
      </c>
      <c r="O172" s="22">
        <v>11.0</v>
      </c>
      <c r="P172" s="17">
        <v>85.0</v>
      </c>
      <c r="Q172" s="11">
        <v>6.3635431E7</v>
      </c>
      <c r="R172" s="11">
        <v>4.0</v>
      </c>
      <c r="S172" s="24" t="s">
        <v>29</v>
      </c>
      <c r="T172" s="249" t="s">
        <v>5461</v>
      </c>
      <c r="U172" s="17">
        <v>97.0</v>
      </c>
      <c r="V172" s="16">
        <v>68.0</v>
      </c>
      <c r="W172" s="16">
        <v>89.0</v>
      </c>
      <c r="X172" s="50">
        <v>51720.0</v>
      </c>
      <c r="Y172" s="250">
        <v>1444.0</v>
      </c>
    </row>
    <row r="173">
      <c r="A173" s="11">
        <v>11.0</v>
      </c>
      <c r="B173" s="11">
        <v>44.0</v>
      </c>
      <c r="C173" s="253">
        <v>35.0</v>
      </c>
      <c r="D173" s="235">
        <v>51.0</v>
      </c>
      <c r="E173" s="235">
        <v>51.0</v>
      </c>
      <c r="F173" s="253">
        <v>35.0</v>
      </c>
      <c r="G173" s="235">
        <v>51.0</v>
      </c>
      <c r="H173" s="236">
        <v>8.6480756E7</v>
      </c>
      <c r="I173" s="16">
        <v>32.0</v>
      </c>
      <c r="J173" s="11">
        <v>0.0</v>
      </c>
      <c r="K173" s="11" t="str">
        <f t="shared" si="1"/>
        <v>00510086480756320</v>
      </c>
      <c r="L173" s="238">
        <v>560.83</v>
      </c>
      <c r="M173" s="254">
        <v>71015.0</v>
      </c>
      <c r="N173" s="16">
        <v>38.0</v>
      </c>
      <c r="O173" s="22">
        <v>12.0</v>
      </c>
      <c r="P173" s="17">
        <v>45.0</v>
      </c>
      <c r="Q173" s="11">
        <v>8.4648449E7</v>
      </c>
      <c r="R173" s="11">
        <v>5.0</v>
      </c>
      <c r="S173" s="24" t="s">
        <v>5292</v>
      </c>
      <c r="T173" s="249" t="s">
        <v>5462</v>
      </c>
      <c r="U173" s="17">
        <v>4.0</v>
      </c>
      <c r="V173" s="16">
        <v>15.0</v>
      </c>
      <c r="W173" s="16">
        <v>33.0</v>
      </c>
      <c r="X173" s="50">
        <v>82920.0</v>
      </c>
      <c r="Y173" s="250">
        <v>2789.0</v>
      </c>
    </row>
    <row r="174">
      <c r="A174" s="11">
        <v>11.0</v>
      </c>
      <c r="B174" s="11">
        <v>85.0</v>
      </c>
      <c r="C174" s="253">
        <v>4.0</v>
      </c>
      <c r="D174" s="235">
        <v>9.0</v>
      </c>
      <c r="E174" s="235">
        <v>9.0</v>
      </c>
      <c r="F174" s="253">
        <v>4.0</v>
      </c>
      <c r="G174" s="235">
        <v>9.0</v>
      </c>
      <c r="H174" s="236">
        <v>8.8806943E7</v>
      </c>
      <c r="I174" s="16">
        <v>84.0</v>
      </c>
      <c r="J174" s="11">
        <v>4.0</v>
      </c>
      <c r="K174" s="11" t="str">
        <f t="shared" si="1"/>
        <v>00090088806943844</v>
      </c>
      <c r="L174" s="238">
        <v>97516.9</v>
      </c>
      <c r="M174" s="254">
        <v>20414.0</v>
      </c>
      <c r="N174" s="16">
        <v>41.0</v>
      </c>
      <c r="O174" s="22">
        <v>46.0</v>
      </c>
      <c r="P174" s="17">
        <v>86.0</v>
      </c>
      <c r="Q174" s="11">
        <v>3.418729E7</v>
      </c>
      <c r="R174" s="11">
        <v>2.0</v>
      </c>
      <c r="S174" s="24" t="s">
        <v>48</v>
      </c>
      <c r="T174" s="249" t="s">
        <v>5463</v>
      </c>
      <c r="U174" s="17">
        <v>0.0</v>
      </c>
      <c r="V174" s="16">
        <v>70.0</v>
      </c>
      <c r="W174" s="16">
        <v>21.0</v>
      </c>
      <c r="X174" s="50">
        <v>111819.0</v>
      </c>
      <c r="Y174" s="250">
        <v>8438.0</v>
      </c>
    </row>
    <row r="175">
      <c r="A175" s="11">
        <v>20.0</v>
      </c>
      <c r="B175" s="11">
        <v>23.0</v>
      </c>
      <c r="C175" s="253">
        <v>48.0</v>
      </c>
      <c r="D175" s="235">
        <v>243.0</v>
      </c>
      <c r="E175" s="235">
        <v>243.0</v>
      </c>
      <c r="F175" s="253">
        <v>48.0</v>
      </c>
      <c r="G175" s="235">
        <v>243.0</v>
      </c>
      <c r="H175" s="236">
        <v>3.2209948E7</v>
      </c>
      <c r="I175" s="16">
        <v>3.0</v>
      </c>
      <c r="J175" s="11">
        <v>7.0</v>
      </c>
      <c r="K175" s="11" t="str">
        <f t="shared" si="1"/>
        <v>02430032209948037</v>
      </c>
      <c r="L175" s="238">
        <v>9411.71</v>
      </c>
      <c r="M175" s="254">
        <v>51016.0</v>
      </c>
      <c r="N175" s="16">
        <v>47.0</v>
      </c>
      <c r="O175" s="22">
        <v>35.0</v>
      </c>
      <c r="P175" s="17">
        <v>65.0</v>
      </c>
      <c r="Q175" s="11">
        <v>7.7612729E7</v>
      </c>
      <c r="R175" s="11">
        <v>0.0</v>
      </c>
      <c r="S175" s="24" t="s">
        <v>48</v>
      </c>
      <c r="T175" s="249" t="s">
        <v>5464</v>
      </c>
      <c r="U175" s="17">
        <v>58.0</v>
      </c>
      <c r="V175" s="16">
        <v>25.0</v>
      </c>
      <c r="W175" s="16">
        <v>75.0</v>
      </c>
      <c r="X175" s="50">
        <v>81717.0</v>
      </c>
      <c r="Y175" s="250">
        <v>9300.0</v>
      </c>
    </row>
    <row r="176">
      <c r="A176" s="11">
        <v>19.0</v>
      </c>
      <c r="B176" s="11">
        <v>64.0</v>
      </c>
      <c r="C176" s="253">
        <v>26.0</v>
      </c>
      <c r="D176" s="235">
        <v>49.0</v>
      </c>
      <c r="E176" s="235">
        <v>49.0</v>
      </c>
      <c r="F176" s="253">
        <v>26.0</v>
      </c>
      <c r="G176" s="235">
        <v>49.0</v>
      </c>
      <c r="H176" s="236">
        <v>4.862302E7</v>
      </c>
      <c r="I176" s="16">
        <v>25.0</v>
      </c>
      <c r="J176" s="11">
        <v>9.0</v>
      </c>
      <c r="K176" s="11" t="str">
        <f t="shared" si="1"/>
        <v>00490048623020259</v>
      </c>
      <c r="L176" s="238">
        <v>-6072.29</v>
      </c>
      <c r="M176" s="254">
        <v>31821.0</v>
      </c>
      <c r="N176" s="16">
        <v>90.0</v>
      </c>
      <c r="O176" s="22">
        <v>17.0</v>
      </c>
      <c r="P176" s="17">
        <v>45.0</v>
      </c>
      <c r="Q176" s="11">
        <v>6.4140738E7</v>
      </c>
      <c r="R176" s="11">
        <v>9.0</v>
      </c>
      <c r="S176" s="24" t="s">
        <v>48</v>
      </c>
      <c r="T176" s="249" t="s">
        <v>5465</v>
      </c>
      <c r="U176" s="17">
        <v>18.0</v>
      </c>
      <c r="V176" s="16">
        <v>74.0</v>
      </c>
      <c r="W176" s="16">
        <v>66.0</v>
      </c>
      <c r="X176" s="50">
        <v>50521.0</v>
      </c>
      <c r="Y176" s="250">
        <v>1779.0</v>
      </c>
    </row>
    <row r="177">
      <c r="A177" s="11">
        <v>15.0</v>
      </c>
      <c r="B177" s="11">
        <v>44.0</v>
      </c>
      <c r="C177" s="253">
        <v>48.0</v>
      </c>
      <c r="D177" s="235">
        <v>285.0</v>
      </c>
      <c r="E177" s="235">
        <v>285.0</v>
      </c>
      <c r="F177" s="253">
        <v>48.0</v>
      </c>
      <c r="G177" s="235">
        <v>285.0</v>
      </c>
      <c r="H177" s="236">
        <v>6.6444158E7</v>
      </c>
      <c r="I177" s="16">
        <v>3.0</v>
      </c>
      <c r="J177" s="11">
        <v>5.0</v>
      </c>
      <c r="K177" s="11" t="str">
        <f t="shared" si="1"/>
        <v>02850066444158035</v>
      </c>
      <c r="L177" s="238">
        <v>-994945.23</v>
      </c>
      <c r="M177" s="254">
        <v>30220.0</v>
      </c>
      <c r="N177" s="16">
        <v>54.0</v>
      </c>
      <c r="O177" s="22">
        <v>41.0</v>
      </c>
      <c r="P177" s="17">
        <v>65.0</v>
      </c>
      <c r="Q177" s="11">
        <v>2.1238816E7</v>
      </c>
      <c r="R177" s="11">
        <v>8.0</v>
      </c>
      <c r="S177" s="24" t="s">
        <v>5292</v>
      </c>
      <c r="T177" s="249" t="s">
        <v>5466</v>
      </c>
      <c r="U177" s="17">
        <v>70.0</v>
      </c>
      <c r="V177" s="16">
        <v>7.0</v>
      </c>
      <c r="W177" s="16">
        <v>1.0</v>
      </c>
      <c r="X177" s="50">
        <v>101917.0</v>
      </c>
      <c r="Y177" s="250">
        <v>7627.0</v>
      </c>
    </row>
    <row r="178">
      <c r="A178" s="11">
        <v>16.0</v>
      </c>
      <c r="B178" s="11">
        <v>44.0</v>
      </c>
      <c r="C178" s="253">
        <v>22.0</v>
      </c>
      <c r="D178" s="235">
        <v>81.0</v>
      </c>
      <c r="E178" s="235">
        <v>81.0</v>
      </c>
      <c r="F178" s="253">
        <v>22.0</v>
      </c>
      <c r="G178" s="235">
        <v>81.0</v>
      </c>
      <c r="H178" s="236">
        <v>3.1748689E7</v>
      </c>
      <c r="I178" s="16">
        <v>39.0</v>
      </c>
      <c r="J178" s="11">
        <v>5.0</v>
      </c>
      <c r="K178" s="11" t="str">
        <f t="shared" si="1"/>
        <v>00810031748689395</v>
      </c>
      <c r="L178" s="238">
        <v>-846662.34</v>
      </c>
      <c r="M178" s="254">
        <v>60322.0</v>
      </c>
      <c r="N178" s="16">
        <v>96.0</v>
      </c>
      <c r="O178" s="22">
        <v>18.0</v>
      </c>
      <c r="P178" s="17">
        <v>86.0</v>
      </c>
      <c r="Q178" s="11">
        <v>9.4030127E7</v>
      </c>
      <c r="R178" s="11">
        <v>7.0</v>
      </c>
      <c r="S178" s="24" t="s">
        <v>29</v>
      </c>
      <c r="T178" s="249" t="s">
        <v>5467</v>
      </c>
      <c r="U178" s="17">
        <v>19.0</v>
      </c>
      <c r="V178" s="16">
        <v>95.0</v>
      </c>
      <c r="W178" s="16">
        <v>67.0</v>
      </c>
      <c r="X178" s="50">
        <v>61913.0</v>
      </c>
      <c r="Y178" s="250">
        <v>3377.0</v>
      </c>
    </row>
    <row r="179">
      <c r="A179" s="11">
        <v>16.0</v>
      </c>
      <c r="B179" s="11">
        <v>64.0</v>
      </c>
      <c r="C179" s="253">
        <v>26.0</v>
      </c>
      <c r="D179" s="235">
        <v>109.0</v>
      </c>
      <c r="E179" s="235">
        <v>109.0</v>
      </c>
      <c r="F179" s="253">
        <v>26.0</v>
      </c>
      <c r="G179" s="235">
        <v>109.0</v>
      </c>
      <c r="H179" s="236">
        <v>5.4156965E7</v>
      </c>
      <c r="I179" s="16">
        <v>2.0</v>
      </c>
      <c r="J179" s="11">
        <v>5.0</v>
      </c>
      <c r="K179" s="11" t="str">
        <f t="shared" si="1"/>
        <v>01090054156965025</v>
      </c>
      <c r="L179" s="238">
        <v>53054.81</v>
      </c>
      <c r="M179" s="254">
        <v>11317.0</v>
      </c>
      <c r="N179" s="16">
        <v>50.0</v>
      </c>
      <c r="O179" s="22">
        <v>1.0</v>
      </c>
      <c r="P179" s="17">
        <v>45.0</v>
      </c>
      <c r="Q179" s="11">
        <v>1.3930824E7</v>
      </c>
      <c r="R179" s="11">
        <v>3.0</v>
      </c>
      <c r="S179" s="24" t="s">
        <v>29</v>
      </c>
      <c r="T179" s="249" t="s">
        <v>5468</v>
      </c>
      <c r="U179" s="17">
        <v>25.0</v>
      </c>
      <c r="V179" s="16">
        <v>58.0</v>
      </c>
      <c r="W179" s="16">
        <v>58.0</v>
      </c>
      <c r="X179" s="50">
        <v>91317.0</v>
      </c>
      <c r="Y179" s="250">
        <v>1390.0</v>
      </c>
    </row>
    <row r="180">
      <c r="A180" s="11">
        <v>10.0</v>
      </c>
      <c r="B180" s="11">
        <v>44.0</v>
      </c>
      <c r="C180" s="253">
        <v>12.0</v>
      </c>
      <c r="D180" s="235">
        <v>19.0</v>
      </c>
      <c r="E180" s="235">
        <v>19.0</v>
      </c>
      <c r="F180" s="253">
        <v>12.0</v>
      </c>
      <c r="G180" s="235">
        <v>19.0</v>
      </c>
      <c r="H180" s="236">
        <v>9.7619222E7</v>
      </c>
      <c r="I180" s="16">
        <v>77.0</v>
      </c>
      <c r="J180" s="11">
        <v>0.0</v>
      </c>
      <c r="K180" s="11" t="str">
        <f t="shared" si="1"/>
        <v>00190097619222770</v>
      </c>
      <c r="L180" s="238">
        <v>8621.45</v>
      </c>
      <c r="M180" s="254">
        <v>70115.0</v>
      </c>
      <c r="N180" s="16">
        <v>80.0</v>
      </c>
      <c r="O180" s="22">
        <v>29.0</v>
      </c>
      <c r="P180" s="17">
        <v>45.0</v>
      </c>
      <c r="Q180" s="11">
        <v>6.6894964E7</v>
      </c>
      <c r="R180" s="11">
        <v>3.0</v>
      </c>
      <c r="S180" s="24" t="s">
        <v>39</v>
      </c>
      <c r="T180" s="249" t="s">
        <v>5469</v>
      </c>
      <c r="U180" s="17">
        <v>26.0</v>
      </c>
      <c r="V180" s="16">
        <v>10.0</v>
      </c>
      <c r="W180" s="16">
        <v>18.0</v>
      </c>
      <c r="X180" s="50">
        <v>82618.0</v>
      </c>
      <c r="Y180" s="250">
        <v>7182.0</v>
      </c>
    </row>
    <row r="181">
      <c r="A181" s="11">
        <v>19.0</v>
      </c>
      <c r="B181" s="11">
        <v>44.0</v>
      </c>
      <c r="C181" s="253">
        <v>48.0</v>
      </c>
      <c r="D181" s="235">
        <v>91.0</v>
      </c>
      <c r="E181" s="235">
        <v>91.0</v>
      </c>
      <c r="F181" s="253">
        <v>48.0</v>
      </c>
      <c r="G181" s="235">
        <v>91.0</v>
      </c>
      <c r="H181" s="236">
        <v>8.1839638E7</v>
      </c>
      <c r="I181" s="16">
        <v>13.0</v>
      </c>
      <c r="J181" s="11">
        <v>3.0</v>
      </c>
      <c r="K181" s="11" t="str">
        <f t="shared" si="1"/>
        <v>00910081839638133</v>
      </c>
      <c r="L181" s="238">
        <v>864271.84</v>
      </c>
      <c r="M181" s="254">
        <v>100518.0</v>
      </c>
      <c r="N181" s="16">
        <v>31.0</v>
      </c>
      <c r="O181" s="22">
        <v>55.0</v>
      </c>
      <c r="P181" s="17">
        <v>45.0</v>
      </c>
      <c r="Q181" s="11">
        <v>6.0859005E7</v>
      </c>
      <c r="R181" s="11">
        <v>8.0</v>
      </c>
      <c r="S181" s="24" t="s">
        <v>39</v>
      </c>
      <c r="T181" s="249" t="s">
        <v>5470</v>
      </c>
      <c r="U181" s="17">
        <v>29.0</v>
      </c>
      <c r="V181" s="16">
        <v>90.0</v>
      </c>
      <c r="W181" s="16">
        <v>35.0</v>
      </c>
      <c r="X181" s="50">
        <v>81121.0</v>
      </c>
      <c r="Y181" s="250">
        <v>3665.0</v>
      </c>
    </row>
    <row r="182">
      <c r="A182" s="11">
        <v>19.0</v>
      </c>
      <c r="B182" s="11">
        <v>85.0</v>
      </c>
      <c r="C182" s="253">
        <v>20.0</v>
      </c>
      <c r="D182" s="235">
        <v>169.0</v>
      </c>
      <c r="E182" s="235">
        <v>169.0</v>
      </c>
      <c r="F182" s="253">
        <v>20.0</v>
      </c>
      <c r="G182" s="235">
        <v>169.0</v>
      </c>
      <c r="H182" s="236">
        <v>9.0297512E7</v>
      </c>
      <c r="I182" s="16">
        <v>86.0</v>
      </c>
      <c r="J182" s="11">
        <v>8.0</v>
      </c>
      <c r="K182" s="11" t="str">
        <f t="shared" si="1"/>
        <v>01690090297512868</v>
      </c>
      <c r="L182" s="238">
        <v>8962.2</v>
      </c>
      <c r="M182" s="254">
        <v>80823.0</v>
      </c>
      <c r="N182" s="16">
        <v>12.0</v>
      </c>
      <c r="O182" s="22">
        <v>20.0</v>
      </c>
      <c r="P182" s="17">
        <v>24.0</v>
      </c>
      <c r="Q182" s="11">
        <v>5.673128E7</v>
      </c>
      <c r="R182" s="11">
        <v>5.0</v>
      </c>
      <c r="S182" s="24" t="s">
        <v>29</v>
      </c>
      <c r="T182" s="249" t="s">
        <v>5471</v>
      </c>
      <c r="U182" s="17">
        <v>86.0</v>
      </c>
      <c r="V182" s="16">
        <v>92.0</v>
      </c>
      <c r="W182" s="16">
        <v>7.0</v>
      </c>
      <c r="X182" s="50">
        <v>40914.0</v>
      </c>
      <c r="Y182" s="250">
        <v>1839.0</v>
      </c>
    </row>
    <row r="183">
      <c r="A183" s="11">
        <v>18.0</v>
      </c>
      <c r="B183" s="11">
        <v>23.0</v>
      </c>
      <c r="C183" s="253">
        <v>38.0</v>
      </c>
      <c r="D183" s="235">
        <v>51.0</v>
      </c>
      <c r="E183" s="235">
        <v>51.0</v>
      </c>
      <c r="F183" s="253">
        <v>38.0</v>
      </c>
      <c r="G183" s="235">
        <v>51.0</v>
      </c>
      <c r="H183" s="236">
        <v>8.9704384E7</v>
      </c>
      <c r="I183" s="16">
        <v>77.0</v>
      </c>
      <c r="J183" s="11">
        <v>3.0</v>
      </c>
      <c r="K183" s="11" t="str">
        <f t="shared" si="1"/>
        <v>00510089704384773</v>
      </c>
      <c r="L183" s="238">
        <v>8482.96</v>
      </c>
      <c r="M183" s="254">
        <v>73114.0</v>
      </c>
      <c r="N183" s="16">
        <v>5.0</v>
      </c>
      <c r="O183" s="22">
        <v>48.0</v>
      </c>
      <c r="P183" s="17">
        <v>65.0</v>
      </c>
      <c r="Q183" s="11">
        <v>7.6704728E7</v>
      </c>
      <c r="R183" s="11">
        <v>8.0</v>
      </c>
      <c r="S183" s="24" t="s">
        <v>29</v>
      </c>
      <c r="T183" s="249" t="s">
        <v>5472</v>
      </c>
      <c r="U183" s="17">
        <v>83.0</v>
      </c>
      <c r="V183" s="16">
        <v>36.0</v>
      </c>
      <c r="W183" s="16">
        <v>34.0</v>
      </c>
      <c r="X183" s="50">
        <v>93022.0</v>
      </c>
      <c r="Y183" s="250">
        <v>2725.0</v>
      </c>
    </row>
    <row r="184">
      <c r="A184" s="11">
        <v>15.0</v>
      </c>
      <c r="B184" s="11">
        <v>85.0</v>
      </c>
      <c r="C184" s="253">
        <v>41.0</v>
      </c>
      <c r="D184" s="235">
        <v>45.0</v>
      </c>
      <c r="E184" s="235">
        <v>45.0</v>
      </c>
      <c r="F184" s="253">
        <v>41.0</v>
      </c>
      <c r="G184" s="235">
        <v>45.0</v>
      </c>
      <c r="H184" s="236">
        <v>4.1348829E7</v>
      </c>
      <c r="I184" s="16">
        <v>57.0</v>
      </c>
      <c r="J184" s="11">
        <v>4.0</v>
      </c>
      <c r="K184" s="11" t="str">
        <f t="shared" si="1"/>
        <v>00450041348829574</v>
      </c>
      <c r="L184" s="238">
        <v>-732.63</v>
      </c>
      <c r="M184" s="254">
        <v>61514.0</v>
      </c>
      <c r="N184" s="16">
        <v>46.0</v>
      </c>
      <c r="O184" s="22">
        <v>30.0</v>
      </c>
      <c r="P184" s="17">
        <v>86.0</v>
      </c>
      <c r="Q184" s="11">
        <v>1.4640791E7</v>
      </c>
      <c r="R184" s="11">
        <v>0.0</v>
      </c>
      <c r="S184" s="24" t="s">
        <v>5292</v>
      </c>
      <c r="T184" s="249" t="s">
        <v>5473</v>
      </c>
      <c r="U184" s="17">
        <v>32.0</v>
      </c>
      <c r="V184" s="16">
        <v>84.0</v>
      </c>
      <c r="W184" s="16">
        <v>72.0</v>
      </c>
      <c r="X184" s="50">
        <v>10116.0</v>
      </c>
      <c r="Y184" s="250">
        <v>4468.0</v>
      </c>
    </row>
    <row r="185">
      <c r="A185" s="11">
        <v>17.0</v>
      </c>
      <c r="B185" s="11">
        <v>64.0</v>
      </c>
      <c r="C185" s="253">
        <v>27.0</v>
      </c>
      <c r="D185" s="235">
        <v>59.0</v>
      </c>
      <c r="E185" s="235">
        <v>59.0</v>
      </c>
      <c r="F185" s="253">
        <v>27.0</v>
      </c>
      <c r="G185" s="235">
        <v>59.0</v>
      </c>
      <c r="H185" s="236">
        <v>5.3886347E7</v>
      </c>
      <c r="I185" s="16">
        <v>57.0</v>
      </c>
      <c r="J185" s="11">
        <v>3.0</v>
      </c>
      <c r="K185" s="11" t="str">
        <f t="shared" si="1"/>
        <v>00590053886347573</v>
      </c>
      <c r="L185" s="238">
        <v>-946764.89</v>
      </c>
      <c r="M185" s="254">
        <v>101616.0</v>
      </c>
      <c r="N185" s="16">
        <v>97.0</v>
      </c>
      <c r="O185" s="22">
        <v>13.0</v>
      </c>
      <c r="P185" s="17">
        <v>24.0</v>
      </c>
      <c r="Q185" s="11">
        <v>3.7397724E7</v>
      </c>
      <c r="R185" s="11">
        <v>9.0</v>
      </c>
      <c r="S185" s="24" t="s">
        <v>5292</v>
      </c>
      <c r="T185" s="249" t="s">
        <v>5474</v>
      </c>
      <c r="U185" s="17">
        <v>87.0</v>
      </c>
      <c r="V185" s="16">
        <v>74.0</v>
      </c>
      <c r="W185" s="16">
        <v>92.0</v>
      </c>
      <c r="X185" s="50">
        <v>53118.0</v>
      </c>
      <c r="Y185" s="250">
        <v>8837.0</v>
      </c>
    </row>
    <row r="186">
      <c r="A186" s="11">
        <v>11.0</v>
      </c>
      <c r="B186" s="11">
        <v>85.0</v>
      </c>
      <c r="C186" s="253">
        <v>36.0</v>
      </c>
      <c r="D186" s="235">
        <v>57.0</v>
      </c>
      <c r="E186" s="235">
        <v>57.0</v>
      </c>
      <c r="F186" s="253">
        <v>36.0</v>
      </c>
      <c r="G186" s="235">
        <v>57.0</v>
      </c>
      <c r="H186" s="236">
        <v>5.865143E7</v>
      </c>
      <c r="I186" s="16">
        <v>28.0</v>
      </c>
      <c r="J186" s="11">
        <v>6.0</v>
      </c>
      <c r="K186" s="11" t="str">
        <f t="shared" si="1"/>
        <v>00570058651430286</v>
      </c>
      <c r="L186" s="238">
        <v>-372.27</v>
      </c>
      <c r="M186" s="254">
        <v>90814.0</v>
      </c>
      <c r="N186" s="16">
        <v>11.0</v>
      </c>
      <c r="O186" s="22">
        <v>12.0</v>
      </c>
      <c r="P186" s="17">
        <v>86.0</v>
      </c>
      <c r="Q186" s="11">
        <v>4.7404969E7</v>
      </c>
      <c r="R186" s="11">
        <v>0.0</v>
      </c>
      <c r="S186" s="24" t="s">
        <v>48</v>
      </c>
      <c r="T186" s="249" t="s">
        <v>5475</v>
      </c>
      <c r="U186" s="17">
        <v>34.0</v>
      </c>
      <c r="V186" s="16">
        <v>54.0</v>
      </c>
      <c r="W186" s="16">
        <v>96.0</v>
      </c>
      <c r="X186" s="50">
        <v>82014.0</v>
      </c>
      <c r="Y186" s="250">
        <v>9060.0</v>
      </c>
    </row>
    <row r="187">
      <c r="A187" s="11">
        <v>17.0</v>
      </c>
      <c r="B187" s="11">
        <v>85.0</v>
      </c>
      <c r="C187" s="253">
        <v>48.0</v>
      </c>
      <c r="D187" s="235">
        <v>287.0</v>
      </c>
      <c r="E187" s="235">
        <v>287.0</v>
      </c>
      <c r="F187" s="253">
        <v>48.0</v>
      </c>
      <c r="G187" s="235">
        <v>287.0</v>
      </c>
      <c r="H187" s="236">
        <v>9.2671331E7</v>
      </c>
      <c r="I187" s="16">
        <v>5.0</v>
      </c>
      <c r="J187" s="11">
        <v>2.0</v>
      </c>
      <c r="K187" s="11" t="str">
        <f t="shared" si="1"/>
        <v>02870092671331052</v>
      </c>
      <c r="L187" s="238">
        <v>-651.6</v>
      </c>
      <c r="M187" s="254">
        <v>82121.0</v>
      </c>
      <c r="N187" s="16">
        <v>39.0</v>
      </c>
      <c r="O187" s="22">
        <v>24.0</v>
      </c>
      <c r="P187" s="17">
        <v>24.0</v>
      </c>
      <c r="Q187" s="11">
        <v>6.3172869E7</v>
      </c>
      <c r="R187" s="11">
        <v>1.0</v>
      </c>
      <c r="S187" s="24" t="s">
        <v>48</v>
      </c>
      <c r="T187" s="249" t="s">
        <v>5476</v>
      </c>
      <c r="U187" s="17">
        <v>91.0</v>
      </c>
      <c r="V187" s="16">
        <v>11.0</v>
      </c>
      <c r="W187" s="16">
        <v>22.0</v>
      </c>
      <c r="X187" s="50">
        <v>20320.0</v>
      </c>
      <c r="Y187" s="250">
        <v>8946.0</v>
      </c>
    </row>
    <row r="188">
      <c r="A188" s="11">
        <v>17.0</v>
      </c>
      <c r="B188" s="11">
        <v>24.0</v>
      </c>
      <c r="C188" s="253">
        <v>37.0</v>
      </c>
      <c r="D188" s="235">
        <v>181.0</v>
      </c>
      <c r="E188" s="235">
        <v>181.0</v>
      </c>
      <c r="F188" s="253">
        <v>37.0</v>
      </c>
      <c r="G188" s="235">
        <v>181.0</v>
      </c>
      <c r="H188" s="236">
        <v>4.6639144E7</v>
      </c>
      <c r="I188" s="16">
        <v>99.0</v>
      </c>
      <c r="J188" s="11">
        <v>3.0</v>
      </c>
      <c r="K188" s="11" t="str">
        <f t="shared" si="1"/>
        <v>01810046639144993</v>
      </c>
      <c r="L188" s="238">
        <v>-755530.57</v>
      </c>
      <c r="M188" s="254">
        <v>42120.0</v>
      </c>
      <c r="N188" s="16">
        <v>97.0</v>
      </c>
      <c r="O188" s="22">
        <v>19.0</v>
      </c>
      <c r="P188" s="17">
        <v>65.0</v>
      </c>
      <c r="Q188" s="11">
        <v>7.9770638E7</v>
      </c>
      <c r="R188" s="11">
        <v>3.0</v>
      </c>
      <c r="S188" s="24" t="s">
        <v>48</v>
      </c>
      <c r="T188" s="249" t="s">
        <v>5477</v>
      </c>
      <c r="U188" s="17">
        <v>84.0</v>
      </c>
      <c r="V188" s="16">
        <v>16.0</v>
      </c>
      <c r="W188" s="16">
        <v>79.0</v>
      </c>
      <c r="X188" s="50">
        <v>32313.0</v>
      </c>
      <c r="Y188" s="250">
        <v>1469.0</v>
      </c>
    </row>
    <row r="189">
      <c r="A189" s="11">
        <v>16.0</v>
      </c>
      <c r="B189" s="11">
        <v>65.0</v>
      </c>
      <c r="C189" s="253">
        <v>40.0</v>
      </c>
      <c r="D189" s="235">
        <v>29.0</v>
      </c>
      <c r="E189" s="235">
        <v>29.0</v>
      </c>
      <c r="F189" s="253">
        <v>40.0</v>
      </c>
      <c r="G189" s="235">
        <v>29.0</v>
      </c>
      <c r="H189" s="236">
        <v>1.2456507E7</v>
      </c>
      <c r="I189" s="16">
        <v>19.0</v>
      </c>
      <c r="J189" s="11">
        <v>0.0</v>
      </c>
      <c r="K189" s="11" t="str">
        <f t="shared" si="1"/>
        <v>00290012456507190</v>
      </c>
      <c r="L189" s="238">
        <v>993.77</v>
      </c>
      <c r="M189" s="254">
        <v>120413.0</v>
      </c>
      <c r="N189" s="16">
        <v>58.0</v>
      </c>
      <c r="O189" s="22">
        <v>46.0</v>
      </c>
      <c r="P189" s="17">
        <v>86.0</v>
      </c>
      <c r="Q189" s="11">
        <v>4.9125956E7</v>
      </c>
      <c r="R189" s="11">
        <v>2.0</v>
      </c>
      <c r="S189" s="24" t="s">
        <v>29</v>
      </c>
      <c r="T189" s="249" t="s">
        <v>5478</v>
      </c>
      <c r="U189" s="17">
        <v>38.0</v>
      </c>
      <c r="V189" s="16">
        <v>77.0</v>
      </c>
      <c r="W189" s="16">
        <v>34.0</v>
      </c>
      <c r="X189" s="50">
        <v>73116.0</v>
      </c>
      <c r="Y189" s="250">
        <v>2218.0</v>
      </c>
    </row>
    <row r="190">
      <c r="A190" s="11">
        <v>18.0</v>
      </c>
      <c r="B190" s="11">
        <v>44.0</v>
      </c>
      <c r="C190" s="253">
        <v>51.0</v>
      </c>
      <c r="D190" s="235">
        <v>101.0</v>
      </c>
      <c r="E190" s="235">
        <v>101.0</v>
      </c>
      <c r="F190" s="253">
        <v>51.0</v>
      </c>
      <c r="G190" s="235">
        <v>101.0</v>
      </c>
      <c r="H190" s="236">
        <v>3.4080633E7</v>
      </c>
      <c r="I190" s="16">
        <v>16.0</v>
      </c>
      <c r="J190" s="11">
        <v>6.0</v>
      </c>
      <c r="K190" s="11" t="str">
        <f t="shared" si="1"/>
        <v>01010034080633166</v>
      </c>
      <c r="L190" s="238">
        <v>794790.86</v>
      </c>
      <c r="M190" s="254">
        <v>32915.0</v>
      </c>
      <c r="N190" s="16">
        <v>36.0</v>
      </c>
      <c r="O190" s="22">
        <v>30.0</v>
      </c>
      <c r="P190" s="17">
        <v>66.0</v>
      </c>
      <c r="Q190" s="11">
        <v>2.9665172E7</v>
      </c>
      <c r="R190" s="11">
        <v>8.0</v>
      </c>
      <c r="S190" s="24" t="s">
        <v>48</v>
      </c>
      <c r="T190" s="249" t="s">
        <v>5479</v>
      </c>
      <c r="U190" s="17">
        <v>0.0</v>
      </c>
      <c r="V190" s="16">
        <v>60.0</v>
      </c>
      <c r="W190" s="16">
        <v>30.0</v>
      </c>
      <c r="X190" s="50">
        <v>91620.0</v>
      </c>
      <c r="Y190" s="250">
        <v>8095.0</v>
      </c>
    </row>
    <row r="191">
      <c r="A191" s="11">
        <v>17.0</v>
      </c>
      <c r="B191" s="11">
        <v>85.0</v>
      </c>
      <c r="C191" s="253">
        <v>47.0</v>
      </c>
      <c r="D191" s="235">
        <v>29.0</v>
      </c>
      <c r="E191" s="235">
        <v>29.0</v>
      </c>
      <c r="F191" s="253">
        <v>47.0</v>
      </c>
      <c r="G191" s="235">
        <v>29.0</v>
      </c>
      <c r="H191" s="236">
        <v>5.1123129E7</v>
      </c>
      <c r="I191" s="16">
        <v>55.0</v>
      </c>
      <c r="J191" s="11">
        <v>8.0</v>
      </c>
      <c r="K191" s="11" t="str">
        <f t="shared" si="1"/>
        <v>00290051123129558</v>
      </c>
      <c r="L191" s="238">
        <v>-2279.55</v>
      </c>
      <c r="M191" s="254">
        <v>41015.0</v>
      </c>
      <c r="N191" s="16">
        <v>85.0</v>
      </c>
      <c r="O191" s="22">
        <v>2.0</v>
      </c>
      <c r="P191" s="17">
        <v>45.0</v>
      </c>
      <c r="Q191" s="11">
        <v>6.7891058E7</v>
      </c>
      <c r="R191" s="11">
        <v>4.0</v>
      </c>
      <c r="S191" s="24" t="s">
        <v>29</v>
      </c>
      <c r="T191" s="249" t="s">
        <v>5480</v>
      </c>
      <c r="U191" s="17">
        <v>53.0</v>
      </c>
      <c r="V191" s="16">
        <v>53.0</v>
      </c>
      <c r="W191" s="16">
        <v>76.0</v>
      </c>
      <c r="X191" s="50">
        <v>40714.0</v>
      </c>
      <c r="Y191" s="250">
        <v>4181.0</v>
      </c>
    </row>
    <row r="192">
      <c r="A192" s="11">
        <v>17.0</v>
      </c>
      <c r="B192" s="11">
        <v>44.0</v>
      </c>
      <c r="C192" s="253">
        <v>13.0</v>
      </c>
      <c r="D192" s="235">
        <v>295.0</v>
      </c>
      <c r="E192" s="235">
        <v>295.0</v>
      </c>
      <c r="F192" s="253">
        <v>13.0</v>
      </c>
      <c r="G192" s="235">
        <v>295.0</v>
      </c>
      <c r="H192" s="236">
        <v>8.2622203E7</v>
      </c>
      <c r="I192" s="16">
        <v>14.0</v>
      </c>
      <c r="J192" s="11">
        <v>5.0</v>
      </c>
      <c r="K192" s="11" t="str">
        <f t="shared" si="1"/>
        <v>02950082622203145</v>
      </c>
      <c r="L192" s="238">
        <v>839755.82</v>
      </c>
      <c r="M192" s="254">
        <v>110617.0</v>
      </c>
      <c r="N192" s="16">
        <v>17.0</v>
      </c>
      <c r="O192" s="22">
        <v>9.0</v>
      </c>
      <c r="P192" s="17">
        <v>86.0</v>
      </c>
      <c r="Q192" s="11">
        <v>7.8396219E7</v>
      </c>
      <c r="R192" s="11">
        <v>4.0</v>
      </c>
      <c r="S192" s="24" t="s">
        <v>39</v>
      </c>
      <c r="T192" s="249" t="s">
        <v>5481</v>
      </c>
      <c r="U192" s="17">
        <v>50.0</v>
      </c>
      <c r="V192" s="16">
        <v>99.0</v>
      </c>
      <c r="W192" s="16">
        <v>54.0</v>
      </c>
      <c r="X192" s="50">
        <v>92622.0</v>
      </c>
      <c r="Y192" s="250">
        <v>5372.0</v>
      </c>
    </row>
    <row r="193">
      <c r="A193" s="11">
        <v>17.0</v>
      </c>
      <c r="B193" s="11">
        <v>85.0</v>
      </c>
      <c r="C193" s="253">
        <v>18.0</v>
      </c>
      <c r="D193" s="235">
        <v>171.0</v>
      </c>
      <c r="E193" s="235">
        <v>171.0</v>
      </c>
      <c r="F193" s="253">
        <v>18.0</v>
      </c>
      <c r="G193" s="235">
        <v>171.0</v>
      </c>
      <c r="H193" s="236">
        <v>7.1649315E7</v>
      </c>
      <c r="I193" s="16">
        <v>8.0</v>
      </c>
      <c r="J193" s="11">
        <v>7.0</v>
      </c>
      <c r="K193" s="11" t="str">
        <f t="shared" si="1"/>
        <v>01710071649315087</v>
      </c>
      <c r="L193" s="238">
        <v>743093.48</v>
      </c>
      <c r="M193" s="254">
        <v>72315.0</v>
      </c>
      <c r="N193" s="16">
        <v>65.0</v>
      </c>
      <c r="O193" s="22">
        <v>12.0</v>
      </c>
      <c r="P193" s="17">
        <v>66.0</v>
      </c>
      <c r="Q193" s="11">
        <v>7.7625121E7</v>
      </c>
      <c r="R193" s="11">
        <v>2.0</v>
      </c>
      <c r="S193" s="24" t="s">
        <v>5292</v>
      </c>
      <c r="T193" s="249" t="s">
        <v>5482</v>
      </c>
      <c r="U193" s="17">
        <v>7.0</v>
      </c>
      <c r="V193" s="16">
        <v>86.0</v>
      </c>
      <c r="W193" s="16">
        <v>75.0</v>
      </c>
      <c r="X193" s="50">
        <v>101016.0</v>
      </c>
      <c r="Y193" s="250">
        <v>3656.0</v>
      </c>
    </row>
    <row r="194">
      <c r="A194" s="11">
        <v>16.0</v>
      </c>
      <c r="B194" s="11">
        <v>65.0</v>
      </c>
      <c r="C194" s="253">
        <v>55.0</v>
      </c>
      <c r="D194" s="235">
        <v>77.0</v>
      </c>
      <c r="E194" s="235">
        <v>77.0</v>
      </c>
      <c r="F194" s="253">
        <v>55.0</v>
      </c>
      <c r="G194" s="235">
        <v>77.0</v>
      </c>
      <c r="H194" s="236">
        <v>3.5487607E7</v>
      </c>
      <c r="I194" s="16">
        <v>16.0</v>
      </c>
      <c r="J194" s="11">
        <v>6.0</v>
      </c>
      <c r="K194" s="11" t="str">
        <f t="shared" si="1"/>
        <v>00770035487607166</v>
      </c>
      <c r="L194" s="238">
        <v>-449.43</v>
      </c>
      <c r="M194" s="254">
        <v>11720.0</v>
      </c>
      <c r="N194" s="16">
        <v>77.0</v>
      </c>
      <c r="O194" s="22">
        <v>49.0</v>
      </c>
      <c r="P194" s="17">
        <v>25.0</v>
      </c>
      <c r="Q194" s="11">
        <v>3.4987977E7</v>
      </c>
      <c r="R194" s="11">
        <v>4.0</v>
      </c>
      <c r="S194" s="24" t="s">
        <v>39</v>
      </c>
      <c r="T194" s="249" t="s">
        <v>5483</v>
      </c>
      <c r="U194" s="17">
        <v>24.0</v>
      </c>
      <c r="V194" s="16">
        <v>6.0</v>
      </c>
      <c r="W194" s="16">
        <v>13.0</v>
      </c>
      <c r="X194" s="50">
        <v>92715.0</v>
      </c>
      <c r="Y194" s="250">
        <v>9555.0</v>
      </c>
    </row>
    <row r="195">
      <c r="A195" s="11">
        <v>15.0</v>
      </c>
      <c r="B195" s="11">
        <v>24.0</v>
      </c>
      <c r="C195" s="253">
        <v>15.0</v>
      </c>
      <c r="D195" s="235">
        <v>7.0</v>
      </c>
      <c r="E195" s="235">
        <v>7.0</v>
      </c>
      <c r="F195" s="253">
        <v>15.0</v>
      </c>
      <c r="G195" s="235">
        <v>7.0</v>
      </c>
      <c r="H195" s="236">
        <v>1.5860278E7</v>
      </c>
      <c r="I195" s="16">
        <v>88.0</v>
      </c>
      <c r="J195" s="11">
        <v>2.0</v>
      </c>
      <c r="K195" s="11" t="str">
        <f t="shared" si="1"/>
        <v>00070015860278882</v>
      </c>
      <c r="L195" s="238">
        <v>274.78</v>
      </c>
      <c r="M195" s="254">
        <v>101921.0</v>
      </c>
      <c r="N195" s="16">
        <v>86.0</v>
      </c>
      <c r="O195" s="22">
        <v>15.0</v>
      </c>
      <c r="P195" s="17">
        <v>25.0</v>
      </c>
      <c r="Q195" s="11">
        <v>3.7968271E7</v>
      </c>
      <c r="R195" s="11">
        <v>9.0</v>
      </c>
      <c r="S195" s="24" t="s">
        <v>5292</v>
      </c>
      <c r="T195" s="249" t="s">
        <v>5484</v>
      </c>
      <c r="U195" s="17">
        <v>25.0</v>
      </c>
      <c r="V195" s="16">
        <v>95.0</v>
      </c>
      <c r="W195" s="16">
        <v>55.0</v>
      </c>
      <c r="X195" s="50">
        <v>102318.0</v>
      </c>
      <c r="Y195" s="250">
        <v>4403.0</v>
      </c>
    </row>
    <row r="196">
      <c r="A196" s="11">
        <v>12.0</v>
      </c>
      <c r="B196" s="11">
        <v>24.0</v>
      </c>
      <c r="C196" s="253">
        <v>39.0</v>
      </c>
      <c r="D196" s="235">
        <v>169.0</v>
      </c>
      <c r="E196" s="235">
        <v>169.0</v>
      </c>
      <c r="F196" s="253">
        <v>39.0</v>
      </c>
      <c r="G196" s="235">
        <v>169.0</v>
      </c>
      <c r="H196" s="236">
        <v>5.9376185E7</v>
      </c>
      <c r="I196" s="16">
        <v>97.0</v>
      </c>
      <c r="J196" s="11">
        <v>3.0</v>
      </c>
      <c r="K196" s="11" t="str">
        <f t="shared" si="1"/>
        <v>01690059376185973</v>
      </c>
      <c r="L196" s="238">
        <v>113278.86</v>
      </c>
      <c r="M196" s="254">
        <v>90415.0</v>
      </c>
      <c r="N196" s="16">
        <v>72.0</v>
      </c>
      <c r="O196" s="22">
        <v>44.0</v>
      </c>
      <c r="P196" s="17">
        <v>86.0</v>
      </c>
      <c r="Q196" s="11">
        <v>5.3485181E7</v>
      </c>
      <c r="R196" s="11">
        <v>1.0</v>
      </c>
      <c r="S196" s="24" t="s">
        <v>48</v>
      </c>
      <c r="T196" s="249" t="s">
        <v>5485</v>
      </c>
      <c r="U196" s="17">
        <v>72.0</v>
      </c>
      <c r="V196" s="16">
        <v>40.0</v>
      </c>
      <c r="W196" s="16">
        <v>51.0</v>
      </c>
      <c r="X196" s="50">
        <v>80418.0</v>
      </c>
      <c r="Y196" s="250">
        <v>7032.0</v>
      </c>
    </row>
    <row r="197">
      <c r="A197" s="11">
        <v>14.0</v>
      </c>
      <c r="B197" s="11">
        <v>85.0</v>
      </c>
      <c r="C197" s="253">
        <v>13.0</v>
      </c>
      <c r="D197" s="235">
        <v>309.0</v>
      </c>
      <c r="E197" s="235">
        <v>309.0</v>
      </c>
      <c r="F197" s="253">
        <v>13.0</v>
      </c>
      <c r="G197" s="235">
        <v>309.0</v>
      </c>
      <c r="H197" s="236">
        <v>7.7768144E7</v>
      </c>
      <c r="I197" s="16">
        <v>46.0</v>
      </c>
      <c r="J197" s="11">
        <v>7.0</v>
      </c>
      <c r="K197" s="11" t="str">
        <f t="shared" si="1"/>
        <v>03090077768144467</v>
      </c>
      <c r="L197" s="238">
        <v>-1408.1</v>
      </c>
      <c r="M197" s="254">
        <v>30519.0</v>
      </c>
      <c r="N197" s="16">
        <v>10.0</v>
      </c>
      <c r="O197" s="22">
        <v>40.0</v>
      </c>
      <c r="P197" s="17">
        <v>86.0</v>
      </c>
      <c r="Q197" s="11">
        <v>3.6041482E7</v>
      </c>
      <c r="R197" s="11">
        <v>5.0</v>
      </c>
      <c r="S197" s="24" t="s">
        <v>39</v>
      </c>
      <c r="T197" s="249" t="s">
        <v>5486</v>
      </c>
      <c r="U197" s="17">
        <v>73.0</v>
      </c>
      <c r="V197" s="16">
        <v>79.0</v>
      </c>
      <c r="W197" s="16">
        <v>56.0</v>
      </c>
      <c r="X197" s="50">
        <v>40115.0</v>
      </c>
      <c r="Y197" s="250">
        <v>5275.0</v>
      </c>
    </row>
    <row r="198">
      <c r="A198" s="11">
        <v>19.0</v>
      </c>
      <c r="B198" s="11">
        <v>44.0</v>
      </c>
      <c r="C198" s="253">
        <v>31.0</v>
      </c>
      <c r="D198" s="235">
        <v>95.0</v>
      </c>
      <c r="E198" s="235">
        <v>95.0</v>
      </c>
      <c r="F198" s="253">
        <v>31.0</v>
      </c>
      <c r="G198" s="235">
        <v>95.0</v>
      </c>
      <c r="H198" s="236">
        <v>2.1143015E7</v>
      </c>
      <c r="I198" s="16">
        <v>74.0</v>
      </c>
      <c r="J198" s="11">
        <v>7.0</v>
      </c>
      <c r="K198" s="11" t="str">
        <f t="shared" si="1"/>
        <v>00950021143015747</v>
      </c>
      <c r="L198" s="238">
        <v>-13834.77</v>
      </c>
      <c r="M198" s="254">
        <v>90813.0</v>
      </c>
      <c r="N198" s="16">
        <v>20.0</v>
      </c>
      <c r="O198" s="22">
        <v>29.0</v>
      </c>
      <c r="P198" s="17">
        <v>45.0</v>
      </c>
      <c r="Q198" s="11">
        <v>3.9987751E7</v>
      </c>
      <c r="R198" s="11">
        <v>1.0</v>
      </c>
      <c r="S198" s="24" t="s">
        <v>29</v>
      </c>
      <c r="T198" s="249" t="s">
        <v>5487</v>
      </c>
      <c r="U198" s="17">
        <v>79.0</v>
      </c>
      <c r="V198" s="16">
        <v>32.0</v>
      </c>
      <c r="W198" s="16">
        <v>50.0</v>
      </c>
      <c r="X198" s="50">
        <v>53019.0</v>
      </c>
      <c r="Y198" s="250">
        <v>9520.0</v>
      </c>
    </row>
    <row r="199">
      <c r="A199" s="11">
        <v>15.0</v>
      </c>
      <c r="B199" s="11">
        <v>85.0</v>
      </c>
      <c r="C199" s="253">
        <v>51.0</v>
      </c>
      <c r="D199" s="235">
        <v>65.0</v>
      </c>
      <c r="E199" s="235">
        <v>65.0</v>
      </c>
      <c r="F199" s="253">
        <v>51.0</v>
      </c>
      <c r="G199" s="235">
        <v>65.0</v>
      </c>
      <c r="H199" s="236">
        <v>3.3307914E7</v>
      </c>
      <c r="I199" s="16">
        <v>20.0</v>
      </c>
      <c r="J199" s="11">
        <v>9.0</v>
      </c>
      <c r="K199" s="11" t="str">
        <f t="shared" si="1"/>
        <v>00650033307914209</v>
      </c>
      <c r="L199" s="238">
        <v>-123845.87</v>
      </c>
      <c r="M199" s="254">
        <v>121218.0</v>
      </c>
      <c r="N199" s="16">
        <v>72.0</v>
      </c>
      <c r="O199" s="22">
        <v>4.0</v>
      </c>
      <c r="P199" s="17">
        <v>86.0</v>
      </c>
      <c r="Q199" s="11">
        <v>7.6396828E7</v>
      </c>
      <c r="R199" s="11">
        <v>7.0</v>
      </c>
      <c r="S199" s="24" t="s">
        <v>48</v>
      </c>
      <c r="T199" s="249" t="s">
        <v>5488</v>
      </c>
      <c r="U199" s="17">
        <v>76.0</v>
      </c>
      <c r="V199" s="16">
        <v>26.0</v>
      </c>
      <c r="W199" s="16">
        <v>47.0</v>
      </c>
      <c r="X199" s="50">
        <v>123016.0</v>
      </c>
      <c r="Y199" s="250">
        <v>2850.0</v>
      </c>
    </row>
    <row r="200">
      <c r="A200" s="11">
        <v>20.0</v>
      </c>
      <c r="B200" s="11">
        <v>85.0</v>
      </c>
      <c r="C200" s="253">
        <v>40.0</v>
      </c>
      <c r="D200" s="235">
        <v>13.0</v>
      </c>
      <c r="E200" s="235">
        <v>13.0</v>
      </c>
      <c r="F200" s="253">
        <v>40.0</v>
      </c>
      <c r="G200" s="235">
        <v>13.0</v>
      </c>
      <c r="H200" s="236">
        <v>7.0479084E7</v>
      </c>
      <c r="I200" s="16">
        <v>11.0</v>
      </c>
      <c r="J200" s="11">
        <v>8.0</v>
      </c>
      <c r="K200" s="11" t="str">
        <f t="shared" si="1"/>
        <v>00130070479084118</v>
      </c>
      <c r="L200" s="238">
        <v>9242.8</v>
      </c>
      <c r="M200" s="254">
        <v>100917.0</v>
      </c>
      <c r="N200" s="16">
        <v>41.0</v>
      </c>
      <c r="O200" s="22">
        <v>53.0</v>
      </c>
      <c r="P200" s="17">
        <v>66.0</v>
      </c>
      <c r="Q200" s="11">
        <v>6.8167044E7</v>
      </c>
      <c r="R200" s="11">
        <v>9.0</v>
      </c>
      <c r="S200" s="24" t="s">
        <v>48</v>
      </c>
      <c r="T200" s="249" t="s">
        <v>5489</v>
      </c>
      <c r="U200" s="17">
        <v>30.0</v>
      </c>
      <c r="V200" s="16">
        <v>47.0</v>
      </c>
      <c r="W200" s="16">
        <v>83.0</v>
      </c>
      <c r="X200" s="50">
        <v>112914.0</v>
      </c>
      <c r="Y200" s="250">
        <v>7126.0</v>
      </c>
    </row>
    <row r="201">
      <c r="A201" s="11">
        <v>17.0</v>
      </c>
      <c r="B201" s="11">
        <v>85.0</v>
      </c>
      <c r="C201" s="253">
        <v>46.0</v>
      </c>
      <c r="D201" s="235">
        <v>35.0</v>
      </c>
      <c r="E201" s="235">
        <v>35.0</v>
      </c>
      <c r="F201" s="253">
        <v>46.0</v>
      </c>
      <c r="G201" s="235">
        <v>35.0</v>
      </c>
      <c r="H201" s="236">
        <v>5.4446833E7</v>
      </c>
      <c r="I201" s="16">
        <v>79.0</v>
      </c>
      <c r="J201" s="11">
        <v>0.0</v>
      </c>
      <c r="K201" s="11" t="str">
        <f t="shared" si="1"/>
        <v>00350054446833790</v>
      </c>
      <c r="L201" s="238">
        <v>11109.44</v>
      </c>
      <c r="M201" s="254">
        <v>60414.0</v>
      </c>
      <c r="N201" s="16">
        <v>69.0</v>
      </c>
      <c r="O201" s="22">
        <v>36.0</v>
      </c>
      <c r="P201" s="17">
        <v>45.0</v>
      </c>
      <c r="Q201" s="11">
        <v>9.4001119E7</v>
      </c>
      <c r="R201" s="11">
        <v>8.0</v>
      </c>
      <c r="S201" s="24" t="s">
        <v>29</v>
      </c>
      <c r="T201" s="249" t="s">
        <v>5490</v>
      </c>
      <c r="U201" s="17">
        <v>82.0</v>
      </c>
      <c r="V201" s="16">
        <v>3.0</v>
      </c>
      <c r="W201" s="16">
        <v>31.0</v>
      </c>
      <c r="X201" s="50">
        <v>22021.0</v>
      </c>
      <c r="Y201" s="250">
        <v>7603.0</v>
      </c>
    </row>
    <row r="202">
      <c r="A202" s="11">
        <v>20.0</v>
      </c>
      <c r="B202" s="11">
        <v>85.0</v>
      </c>
      <c r="C202" s="253">
        <v>35.0</v>
      </c>
      <c r="D202" s="235">
        <v>27.0</v>
      </c>
      <c r="E202" s="235">
        <v>27.0</v>
      </c>
      <c r="F202" s="253">
        <v>35.0</v>
      </c>
      <c r="G202" s="235">
        <v>27.0</v>
      </c>
      <c r="H202" s="236">
        <v>9.0306319E7</v>
      </c>
      <c r="I202" s="16">
        <v>58.0</v>
      </c>
      <c r="J202" s="11">
        <v>3.0</v>
      </c>
      <c r="K202" s="11" t="str">
        <f t="shared" si="1"/>
        <v>00270090306319583</v>
      </c>
      <c r="L202" s="238">
        <v>499.89</v>
      </c>
      <c r="M202" s="254">
        <v>82815.0</v>
      </c>
      <c r="N202" s="16">
        <v>48.0</v>
      </c>
      <c r="O202" s="22">
        <v>4.0</v>
      </c>
      <c r="P202" s="17">
        <v>66.0</v>
      </c>
      <c r="Q202" s="11">
        <v>5.8788259E7</v>
      </c>
      <c r="R202" s="11">
        <v>8.0</v>
      </c>
      <c r="S202" s="24" t="s">
        <v>48</v>
      </c>
      <c r="T202" s="249" t="s">
        <v>5491</v>
      </c>
      <c r="U202" s="17">
        <v>32.0</v>
      </c>
      <c r="V202" s="16">
        <v>8.0</v>
      </c>
      <c r="W202" s="16">
        <v>98.0</v>
      </c>
      <c r="X202" s="50">
        <v>60616.0</v>
      </c>
      <c r="Y202" s="250">
        <v>830.0</v>
      </c>
    </row>
    <row r="203">
      <c r="A203" s="11">
        <v>17.0</v>
      </c>
      <c r="B203" s="11">
        <v>65.0</v>
      </c>
      <c r="C203" s="253">
        <v>17.0</v>
      </c>
      <c r="D203" s="235">
        <v>67.0</v>
      </c>
      <c r="E203" s="235">
        <v>67.0</v>
      </c>
      <c r="F203" s="253">
        <v>17.0</v>
      </c>
      <c r="G203" s="235">
        <v>67.0</v>
      </c>
      <c r="H203" s="236">
        <v>3.3037187E7</v>
      </c>
      <c r="I203" s="16">
        <v>74.0</v>
      </c>
      <c r="J203" s="11">
        <v>2.0</v>
      </c>
      <c r="K203" s="11" t="str">
        <f t="shared" si="1"/>
        <v>00670033037187742</v>
      </c>
      <c r="L203" s="238">
        <v>763984.96</v>
      </c>
      <c r="M203" s="254">
        <v>72916.0</v>
      </c>
      <c r="N203" s="16">
        <v>67.0</v>
      </c>
      <c r="O203" s="22">
        <v>23.0</v>
      </c>
      <c r="P203" s="17">
        <v>86.0</v>
      </c>
      <c r="Q203" s="11">
        <v>6.733399E7</v>
      </c>
      <c r="R203" s="11">
        <v>9.0</v>
      </c>
      <c r="S203" s="24" t="s">
        <v>39</v>
      </c>
      <c r="T203" s="249" t="s">
        <v>5492</v>
      </c>
      <c r="U203" s="17">
        <v>82.0</v>
      </c>
      <c r="V203" s="16">
        <v>75.0</v>
      </c>
      <c r="W203" s="16">
        <v>39.0</v>
      </c>
      <c r="X203" s="50">
        <v>52015.0</v>
      </c>
      <c r="Y203" s="250">
        <v>4721.0</v>
      </c>
    </row>
    <row r="204">
      <c r="A204" s="11">
        <v>20.0</v>
      </c>
      <c r="B204" s="11">
        <v>44.0</v>
      </c>
      <c r="C204" s="253">
        <v>5.0</v>
      </c>
      <c r="D204" s="235">
        <v>135.0</v>
      </c>
      <c r="E204" s="235">
        <v>135.0</v>
      </c>
      <c r="F204" s="253">
        <v>5.0</v>
      </c>
      <c r="G204" s="235">
        <v>135.0</v>
      </c>
      <c r="H204" s="236">
        <v>5.0362034E7</v>
      </c>
      <c r="I204" s="16">
        <v>91.0</v>
      </c>
      <c r="J204" s="11">
        <v>5.0</v>
      </c>
      <c r="K204" s="11" t="str">
        <f t="shared" si="1"/>
        <v>01350050362034915</v>
      </c>
      <c r="L204" s="238">
        <v>314.65</v>
      </c>
      <c r="M204" s="254">
        <v>100114.0</v>
      </c>
      <c r="N204" s="16">
        <v>38.0</v>
      </c>
      <c r="O204" s="22">
        <v>6.0</v>
      </c>
      <c r="P204" s="17">
        <v>45.0</v>
      </c>
      <c r="Q204" s="11">
        <v>7.1404666E7</v>
      </c>
      <c r="R204" s="11">
        <v>8.0</v>
      </c>
      <c r="S204" s="24" t="s">
        <v>29</v>
      </c>
      <c r="T204" s="249" t="s">
        <v>5493</v>
      </c>
      <c r="U204" s="17">
        <v>90.0</v>
      </c>
      <c r="V204" s="16">
        <v>94.0</v>
      </c>
      <c r="W204" s="16">
        <v>3.0</v>
      </c>
      <c r="X204" s="50">
        <v>11522.0</v>
      </c>
      <c r="Y204" s="250">
        <v>7695.0</v>
      </c>
    </row>
    <row r="205">
      <c r="A205" s="11">
        <v>19.0</v>
      </c>
      <c r="B205" s="11">
        <v>65.0</v>
      </c>
      <c r="C205" s="253">
        <v>48.0</v>
      </c>
      <c r="D205" s="235">
        <v>29.0</v>
      </c>
      <c r="E205" s="235">
        <v>29.0</v>
      </c>
      <c r="F205" s="253">
        <v>48.0</v>
      </c>
      <c r="G205" s="235">
        <v>29.0</v>
      </c>
      <c r="H205" s="236">
        <v>6.8286679E7</v>
      </c>
      <c r="I205" s="16">
        <v>95.0</v>
      </c>
      <c r="J205" s="11">
        <v>2.0</v>
      </c>
      <c r="K205" s="11" t="str">
        <f t="shared" si="1"/>
        <v>00290068286679952</v>
      </c>
      <c r="L205" s="238">
        <v>4569.57</v>
      </c>
      <c r="M205" s="254">
        <v>60223.0</v>
      </c>
      <c r="N205" s="16">
        <v>93.0</v>
      </c>
      <c r="O205" s="22">
        <v>25.0</v>
      </c>
      <c r="P205" s="17">
        <v>45.0</v>
      </c>
      <c r="Q205" s="11">
        <v>5.871278E7</v>
      </c>
      <c r="R205" s="11">
        <v>6.0</v>
      </c>
      <c r="S205" s="24" t="s">
        <v>39</v>
      </c>
      <c r="T205" s="249" t="s">
        <v>5494</v>
      </c>
      <c r="U205" s="17">
        <v>94.0</v>
      </c>
      <c r="V205" s="16">
        <v>57.0</v>
      </c>
      <c r="W205" s="16">
        <v>57.0</v>
      </c>
      <c r="X205" s="50">
        <v>71517.0</v>
      </c>
      <c r="Y205" s="250">
        <v>8161.0</v>
      </c>
    </row>
    <row r="206">
      <c r="A206" s="11">
        <v>12.0</v>
      </c>
      <c r="B206" s="11">
        <v>85.0</v>
      </c>
      <c r="C206" s="253">
        <v>21.0</v>
      </c>
      <c r="D206" s="235">
        <v>197.0</v>
      </c>
      <c r="E206" s="235">
        <v>197.0</v>
      </c>
      <c r="F206" s="253">
        <v>21.0</v>
      </c>
      <c r="G206" s="235">
        <v>197.0</v>
      </c>
      <c r="H206" s="236">
        <v>6.6683816E7</v>
      </c>
      <c r="I206" s="16">
        <v>25.0</v>
      </c>
      <c r="J206" s="11">
        <v>3.0</v>
      </c>
      <c r="K206" s="11" t="str">
        <f t="shared" si="1"/>
        <v>01970066683816253</v>
      </c>
      <c r="L206" s="238">
        <v>504.62</v>
      </c>
      <c r="M206" s="254">
        <v>52013.0</v>
      </c>
      <c r="N206" s="16">
        <v>4.0</v>
      </c>
      <c r="O206" s="22">
        <v>32.0</v>
      </c>
      <c r="P206" s="17">
        <v>25.0</v>
      </c>
      <c r="Q206" s="11">
        <v>8.4615384E7</v>
      </c>
      <c r="R206" s="11">
        <v>3.0</v>
      </c>
      <c r="S206" s="24" t="s">
        <v>39</v>
      </c>
      <c r="T206" s="249" t="s">
        <v>5495</v>
      </c>
      <c r="U206" s="17">
        <v>47.0</v>
      </c>
      <c r="V206" s="16">
        <v>62.0</v>
      </c>
      <c r="W206" s="16">
        <v>69.0</v>
      </c>
      <c r="X206" s="50">
        <v>91014.0</v>
      </c>
      <c r="Y206" s="250">
        <v>2621.0</v>
      </c>
    </row>
    <row r="207">
      <c r="A207" s="11">
        <v>19.0</v>
      </c>
      <c r="B207" s="11">
        <v>44.0</v>
      </c>
      <c r="C207" s="253">
        <v>18.0</v>
      </c>
      <c r="D207" s="235">
        <v>137.0</v>
      </c>
      <c r="E207" s="235">
        <v>137.0</v>
      </c>
      <c r="F207" s="253">
        <v>18.0</v>
      </c>
      <c r="G207" s="235">
        <v>137.0</v>
      </c>
      <c r="H207" s="236">
        <v>7.7304592E7</v>
      </c>
      <c r="I207" s="16">
        <v>13.0</v>
      </c>
      <c r="J207" s="11">
        <v>5.0</v>
      </c>
      <c r="K207" s="11" t="str">
        <f t="shared" si="1"/>
        <v>01370077304592135</v>
      </c>
      <c r="L207" s="238">
        <v>660305.75</v>
      </c>
      <c r="M207" s="254">
        <v>121023.0</v>
      </c>
      <c r="N207" s="16">
        <v>13.0</v>
      </c>
      <c r="O207" s="22">
        <v>21.0</v>
      </c>
      <c r="P207" s="17">
        <v>45.0</v>
      </c>
      <c r="Q207" s="11">
        <v>6.3571915E7</v>
      </c>
      <c r="R207" s="11">
        <v>7.0</v>
      </c>
      <c r="S207" s="24" t="s">
        <v>29</v>
      </c>
      <c r="T207" s="249" t="s">
        <v>5496</v>
      </c>
      <c r="U207" s="17">
        <v>96.0</v>
      </c>
      <c r="V207" s="16">
        <v>82.0</v>
      </c>
      <c r="W207" s="16">
        <v>47.0</v>
      </c>
      <c r="X207" s="50">
        <v>30116.0</v>
      </c>
      <c r="Y207" s="250">
        <v>6642.0</v>
      </c>
    </row>
    <row r="208">
      <c r="A208" s="11">
        <v>18.0</v>
      </c>
      <c r="B208" s="11">
        <v>85.0</v>
      </c>
      <c r="C208" s="253">
        <v>51.0</v>
      </c>
      <c r="D208" s="235">
        <v>25.0</v>
      </c>
      <c r="E208" s="235">
        <v>25.0</v>
      </c>
      <c r="F208" s="253">
        <v>51.0</v>
      </c>
      <c r="G208" s="235">
        <v>25.0</v>
      </c>
      <c r="H208" s="236">
        <v>5.6950015E7</v>
      </c>
      <c r="I208" s="16">
        <v>50.0</v>
      </c>
      <c r="J208" s="11">
        <v>6.0</v>
      </c>
      <c r="K208" s="11" t="str">
        <f t="shared" si="1"/>
        <v>00250056950015506</v>
      </c>
      <c r="L208" s="238">
        <v>-53075.8</v>
      </c>
      <c r="M208" s="254">
        <v>100415.0</v>
      </c>
      <c r="N208" s="16">
        <v>8.0</v>
      </c>
      <c r="O208" s="22">
        <v>23.0</v>
      </c>
      <c r="P208" s="17">
        <v>25.0</v>
      </c>
      <c r="Q208" s="11">
        <v>9.400308E7</v>
      </c>
      <c r="R208" s="11">
        <v>3.0</v>
      </c>
      <c r="S208" s="24" t="s">
        <v>39</v>
      </c>
      <c r="T208" s="249" t="s">
        <v>5497</v>
      </c>
      <c r="U208" s="17">
        <v>52.0</v>
      </c>
      <c r="V208" s="16">
        <v>60.0</v>
      </c>
      <c r="W208" s="16">
        <v>26.0</v>
      </c>
      <c r="X208" s="50">
        <v>90521.0</v>
      </c>
      <c r="Y208" s="250">
        <v>1498.0</v>
      </c>
    </row>
    <row r="209">
      <c r="A209" s="11">
        <v>13.0</v>
      </c>
      <c r="B209" s="11">
        <v>85.0</v>
      </c>
      <c r="C209" s="253">
        <v>54.0</v>
      </c>
      <c r="D209" s="235">
        <v>17.0</v>
      </c>
      <c r="E209" s="235">
        <v>17.0</v>
      </c>
      <c r="F209" s="253">
        <v>54.0</v>
      </c>
      <c r="G209" s="235">
        <v>17.0</v>
      </c>
      <c r="H209" s="236">
        <v>3.7172741E7</v>
      </c>
      <c r="I209" s="16">
        <v>86.0</v>
      </c>
      <c r="J209" s="11">
        <v>9.0</v>
      </c>
      <c r="K209" s="11" t="str">
        <f t="shared" si="1"/>
        <v>00170037172741869</v>
      </c>
      <c r="L209" s="238">
        <v>87539.82</v>
      </c>
      <c r="M209" s="254">
        <v>102421.0</v>
      </c>
      <c r="N209" s="16">
        <v>30.0</v>
      </c>
      <c r="O209" s="22">
        <v>27.0</v>
      </c>
      <c r="P209" s="17">
        <v>46.0</v>
      </c>
      <c r="Q209" s="11">
        <v>7.64271E7</v>
      </c>
      <c r="R209" s="11">
        <v>9.0</v>
      </c>
      <c r="S209" s="24" t="s">
        <v>39</v>
      </c>
      <c r="T209" s="249" t="s">
        <v>5498</v>
      </c>
      <c r="U209" s="17">
        <v>6.0</v>
      </c>
      <c r="V209" s="16">
        <v>54.0</v>
      </c>
      <c r="W209" s="16">
        <v>47.0</v>
      </c>
      <c r="X209" s="50">
        <v>50216.0</v>
      </c>
      <c r="Y209" s="250">
        <v>112.0</v>
      </c>
    </row>
    <row r="210">
      <c r="A210" s="11">
        <v>18.0</v>
      </c>
      <c r="B210" s="11">
        <v>65.0</v>
      </c>
      <c r="C210" s="253">
        <v>45.0</v>
      </c>
      <c r="D210" s="235">
        <v>33.0</v>
      </c>
      <c r="E210" s="235">
        <v>33.0</v>
      </c>
      <c r="F210" s="253">
        <v>45.0</v>
      </c>
      <c r="G210" s="235">
        <v>33.0</v>
      </c>
      <c r="H210" s="236">
        <v>8.9900683E7</v>
      </c>
      <c r="I210" s="16">
        <v>34.0</v>
      </c>
      <c r="J210" s="11">
        <v>3.0</v>
      </c>
      <c r="K210" s="11" t="str">
        <f t="shared" si="1"/>
        <v>00330089900683343</v>
      </c>
      <c r="L210" s="238">
        <v>977077.46</v>
      </c>
      <c r="M210" s="254">
        <v>101017.0</v>
      </c>
      <c r="N210" s="16">
        <v>62.0</v>
      </c>
      <c r="O210" s="22">
        <v>31.0</v>
      </c>
      <c r="P210" s="17">
        <v>87.0</v>
      </c>
      <c r="Q210" s="11">
        <v>3.4872052E7</v>
      </c>
      <c r="R210" s="11">
        <v>5.0</v>
      </c>
      <c r="S210" s="24" t="s">
        <v>48</v>
      </c>
      <c r="T210" s="249" t="s">
        <v>5499</v>
      </c>
      <c r="U210" s="17">
        <v>6.0</v>
      </c>
      <c r="V210" s="16">
        <v>60.0</v>
      </c>
      <c r="W210" s="16">
        <v>96.0</v>
      </c>
      <c r="X210" s="50">
        <v>92815.0</v>
      </c>
      <c r="Y210" s="250">
        <v>5256.0</v>
      </c>
    </row>
    <row r="211">
      <c r="A211" s="11">
        <v>18.0</v>
      </c>
      <c r="B211" s="11">
        <v>24.0</v>
      </c>
      <c r="C211" s="253">
        <v>13.0</v>
      </c>
      <c r="D211" s="235">
        <v>131.0</v>
      </c>
      <c r="E211" s="235">
        <v>131.0</v>
      </c>
      <c r="F211" s="253">
        <v>13.0</v>
      </c>
      <c r="G211" s="235">
        <v>131.0</v>
      </c>
      <c r="H211" s="236">
        <v>7.7159606E7</v>
      </c>
      <c r="I211" s="16">
        <v>22.0</v>
      </c>
      <c r="J211" s="11">
        <v>9.0</v>
      </c>
      <c r="K211" s="11" t="str">
        <f t="shared" si="1"/>
        <v>01310077159606229</v>
      </c>
      <c r="L211" s="238">
        <v>80558.51</v>
      </c>
      <c r="M211" s="254">
        <v>122522.0</v>
      </c>
      <c r="N211" s="16">
        <v>53.0</v>
      </c>
      <c r="O211" s="22">
        <v>16.0</v>
      </c>
      <c r="P211" s="17">
        <v>66.0</v>
      </c>
      <c r="Q211" s="11">
        <v>1.9208261E7</v>
      </c>
      <c r="R211" s="11">
        <v>8.0</v>
      </c>
      <c r="S211" s="24" t="s">
        <v>39</v>
      </c>
      <c r="T211" s="249" t="s">
        <v>5500</v>
      </c>
      <c r="U211" s="17">
        <v>60.0</v>
      </c>
      <c r="V211" s="16">
        <v>35.0</v>
      </c>
      <c r="W211" s="16">
        <v>61.0</v>
      </c>
      <c r="X211" s="50">
        <v>122714.0</v>
      </c>
      <c r="Y211" s="250">
        <v>3357.0</v>
      </c>
    </row>
    <row r="212">
      <c r="A212" s="11">
        <v>20.0</v>
      </c>
      <c r="B212" s="11">
        <v>65.0</v>
      </c>
      <c r="C212" s="253">
        <v>5.0</v>
      </c>
      <c r="D212" s="235">
        <v>39.0</v>
      </c>
      <c r="E212" s="235">
        <v>39.0</v>
      </c>
      <c r="F212" s="253">
        <v>5.0</v>
      </c>
      <c r="G212" s="235">
        <v>39.0</v>
      </c>
      <c r="H212" s="236">
        <v>2.8826476E7</v>
      </c>
      <c r="I212" s="16">
        <v>97.0</v>
      </c>
      <c r="J212" s="11">
        <v>9.0</v>
      </c>
      <c r="K212" s="11" t="str">
        <f t="shared" si="1"/>
        <v>00390028826476979</v>
      </c>
      <c r="L212" s="238">
        <v>126939.6</v>
      </c>
      <c r="M212" s="254">
        <v>32516.0</v>
      </c>
      <c r="N212" s="16">
        <v>98.0</v>
      </c>
      <c r="O212" s="22">
        <v>29.0</v>
      </c>
      <c r="P212" s="17">
        <v>46.0</v>
      </c>
      <c r="Q212" s="11">
        <v>7.7040272E7</v>
      </c>
      <c r="R212" s="11">
        <v>2.0</v>
      </c>
      <c r="S212" s="24" t="s">
        <v>29</v>
      </c>
      <c r="T212" s="249" t="s">
        <v>5501</v>
      </c>
      <c r="U212" s="17">
        <v>13.0</v>
      </c>
      <c r="V212" s="16">
        <v>40.0</v>
      </c>
      <c r="W212" s="16">
        <v>15.0</v>
      </c>
      <c r="X212" s="50">
        <v>32015.0</v>
      </c>
      <c r="Y212" s="250">
        <v>3641.0</v>
      </c>
    </row>
    <row r="213">
      <c r="A213" s="11">
        <v>18.0</v>
      </c>
      <c r="B213" s="11">
        <v>65.0</v>
      </c>
      <c r="C213" s="253">
        <v>4.0</v>
      </c>
      <c r="D213" s="235">
        <v>27.0</v>
      </c>
      <c r="E213" s="235">
        <v>27.0</v>
      </c>
      <c r="F213" s="253">
        <v>4.0</v>
      </c>
      <c r="G213" s="235">
        <v>27.0</v>
      </c>
      <c r="H213" s="236">
        <v>6.0481347E7</v>
      </c>
      <c r="I213" s="16">
        <v>46.0</v>
      </c>
      <c r="J213" s="11">
        <v>1.0</v>
      </c>
      <c r="K213" s="11" t="str">
        <f t="shared" si="1"/>
        <v>00270060481347461</v>
      </c>
      <c r="L213" s="238">
        <v>390.6</v>
      </c>
      <c r="M213" s="254">
        <v>91220.0</v>
      </c>
      <c r="N213" s="16">
        <v>88.0</v>
      </c>
      <c r="O213" s="22">
        <v>23.0</v>
      </c>
      <c r="P213" s="17">
        <v>66.0</v>
      </c>
      <c r="Q213" s="11">
        <v>4.1473157E7</v>
      </c>
      <c r="R213" s="11">
        <v>2.0</v>
      </c>
      <c r="S213" s="24" t="s">
        <v>5292</v>
      </c>
      <c r="T213" s="249" t="s">
        <v>5502</v>
      </c>
      <c r="U213" s="17">
        <v>63.0</v>
      </c>
      <c r="V213" s="16">
        <v>49.0</v>
      </c>
      <c r="W213" s="16">
        <v>13.0</v>
      </c>
      <c r="X213" s="50">
        <v>72620.0</v>
      </c>
      <c r="Y213" s="250">
        <v>663.0</v>
      </c>
    </row>
    <row r="214">
      <c r="A214" s="11">
        <v>13.0</v>
      </c>
      <c r="B214" s="11">
        <v>65.0</v>
      </c>
      <c r="C214" s="253">
        <v>29.0</v>
      </c>
      <c r="D214" s="235">
        <v>209.0</v>
      </c>
      <c r="E214" s="235">
        <v>209.0</v>
      </c>
      <c r="F214" s="253">
        <v>29.0</v>
      </c>
      <c r="G214" s="235">
        <v>209.0</v>
      </c>
      <c r="H214" s="236">
        <v>7.1411726E7</v>
      </c>
      <c r="I214" s="16">
        <v>67.0</v>
      </c>
      <c r="J214" s="11">
        <v>6.0</v>
      </c>
      <c r="K214" s="11" t="str">
        <f t="shared" si="1"/>
        <v>02090071411726676</v>
      </c>
      <c r="L214" s="238">
        <v>1236.12</v>
      </c>
      <c r="M214" s="254">
        <v>70618.0</v>
      </c>
      <c r="N214" s="16">
        <v>65.0</v>
      </c>
      <c r="O214" s="22">
        <v>53.0</v>
      </c>
      <c r="P214" s="17">
        <v>25.0</v>
      </c>
      <c r="Q214" s="11">
        <v>6.9003511E7</v>
      </c>
      <c r="R214" s="11">
        <v>5.0</v>
      </c>
      <c r="S214" s="24" t="s">
        <v>5292</v>
      </c>
      <c r="T214" s="249" t="s">
        <v>5503</v>
      </c>
      <c r="U214" s="17">
        <v>67.0</v>
      </c>
      <c r="V214" s="16">
        <v>13.0</v>
      </c>
      <c r="W214" s="16">
        <v>16.0</v>
      </c>
      <c r="X214" s="50">
        <v>101214.0</v>
      </c>
      <c r="Y214" s="250">
        <v>7865.0</v>
      </c>
    </row>
    <row r="215">
      <c r="A215" s="11">
        <v>11.0</v>
      </c>
      <c r="B215" s="11">
        <v>24.0</v>
      </c>
      <c r="C215" s="253">
        <v>21.0</v>
      </c>
      <c r="D215" s="235">
        <v>155.0</v>
      </c>
      <c r="E215" s="235">
        <v>155.0</v>
      </c>
      <c r="F215" s="253">
        <v>21.0</v>
      </c>
      <c r="G215" s="235">
        <v>155.0</v>
      </c>
      <c r="H215" s="236">
        <v>8.8804318E7</v>
      </c>
      <c r="I215" s="16">
        <v>25.0</v>
      </c>
      <c r="J215" s="11">
        <v>5.0</v>
      </c>
      <c r="K215" s="11" t="str">
        <f t="shared" si="1"/>
        <v>01550088804318255</v>
      </c>
      <c r="L215" s="238">
        <v>-43799.15</v>
      </c>
      <c r="M215" s="254">
        <v>31821.0</v>
      </c>
      <c r="N215" s="16">
        <v>23.0</v>
      </c>
      <c r="O215" s="22">
        <v>17.0</v>
      </c>
      <c r="P215" s="17">
        <v>87.0</v>
      </c>
      <c r="Q215" s="11">
        <v>8.5885332E7</v>
      </c>
      <c r="R215" s="11">
        <v>3.0</v>
      </c>
      <c r="S215" s="24" t="s">
        <v>29</v>
      </c>
      <c r="T215" s="249" t="s">
        <v>5504</v>
      </c>
      <c r="U215" s="17">
        <v>13.0</v>
      </c>
      <c r="V215" s="16">
        <v>22.0</v>
      </c>
      <c r="W215" s="16">
        <v>58.0</v>
      </c>
      <c r="X215" s="50">
        <v>71714.0</v>
      </c>
      <c r="Y215" s="250">
        <v>3668.0</v>
      </c>
    </row>
    <row r="216">
      <c r="A216" s="11">
        <v>13.0</v>
      </c>
      <c r="B216" s="11">
        <v>24.0</v>
      </c>
      <c r="C216" s="253">
        <v>37.0</v>
      </c>
      <c r="D216" s="235">
        <v>187.0</v>
      </c>
      <c r="E216" s="235">
        <v>187.0</v>
      </c>
      <c r="F216" s="253">
        <v>37.0</v>
      </c>
      <c r="G216" s="235">
        <v>187.0</v>
      </c>
      <c r="H216" s="236">
        <v>1.5803634E7</v>
      </c>
      <c r="I216" s="16">
        <v>89.0</v>
      </c>
      <c r="J216" s="11">
        <v>1.0</v>
      </c>
      <c r="K216" s="11" t="str">
        <f t="shared" si="1"/>
        <v>01870015803634891</v>
      </c>
      <c r="L216" s="238">
        <v>481.64</v>
      </c>
      <c r="M216" s="254">
        <v>41814.0</v>
      </c>
      <c r="N216" s="16">
        <v>60.0</v>
      </c>
      <c r="O216" s="22">
        <v>35.0</v>
      </c>
      <c r="P216" s="17">
        <v>25.0</v>
      </c>
      <c r="Q216" s="11">
        <v>2.2783008E7</v>
      </c>
      <c r="R216" s="11">
        <v>7.0</v>
      </c>
      <c r="S216" s="24" t="s">
        <v>29</v>
      </c>
      <c r="T216" s="249" t="s">
        <v>5505</v>
      </c>
      <c r="U216" s="17">
        <v>68.0</v>
      </c>
      <c r="V216" s="16">
        <v>29.0</v>
      </c>
      <c r="W216" s="16">
        <v>30.0</v>
      </c>
      <c r="X216" s="50">
        <v>60419.0</v>
      </c>
      <c r="Y216" s="250">
        <v>2772.0</v>
      </c>
    </row>
    <row r="217">
      <c r="A217" s="11">
        <v>14.0</v>
      </c>
      <c r="B217" s="11">
        <v>24.0</v>
      </c>
      <c r="C217" s="253">
        <v>37.0</v>
      </c>
      <c r="D217" s="235">
        <v>87.0</v>
      </c>
      <c r="E217" s="235">
        <v>87.0</v>
      </c>
      <c r="F217" s="253">
        <v>37.0</v>
      </c>
      <c r="G217" s="235">
        <v>87.0</v>
      </c>
      <c r="H217" s="236">
        <v>3.8471535E7</v>
      </c>
      <c r="I217" s="16">
        <v>36.0</v>
      </c>
      <c r="J217" s="11">
        <v>9.0</v>
      </c>
      <c r="K217" s="11" t="str">
        <f t="shared" si="1"/>
        <v>00870038471535369</v>
      </c>
      <c r="L217" s="238">
        <v>4944.47</v>
      </c>
      <c r="M217" s="254">
        <v>92319.0</v>
      </c>
      <c r="N217" s="16">
        <v>55.0</v>
      </c>
      <c r="O217" s="22">
        <v>39.0</v>
      </c>
      <c r="P217" s="17">
        <v>25.0</v>
      </c>
      <c r="Q217" s="11">
        <v>8.533142E7</v>
      </c>
      <c r="R217" s="11">
        <v>4.0</v>
      </c>
      <c r="S217" s="24" t="s">
        <v>39</v>
      </c>
      <c r="T217" s="249" t="s">
        <v>5506</v>
      </c>
      <c r="U217" s="17">
        <v>71.0</v>
      </c>
      <c r="V217" s="16">
        <v>85.0</v>
      </c>
      <c r="W217" s="16">
        <v>51.0</v>
      </c>
      <c r="X217" s="50">
        <v>62322.0</v>
      </c>
      <c r="Y217" s="250">
        <v>8603.0</v>
      </c>
    </row>
    <row r="218">
      <c r="A218" s="11">
        <v>17.0</v>
      </c>
      <c r="B218" s="11">
        <v>86.0</v>
      </c>
      <c r="C218" s="253">
        <v>48.0</v>
      </c>
      <c r="D218" s="235">
        <v>295.0</v>
      </c>
      <c r="E218" s="235">
        <v>295.0</v>
      </c>
      <c r="F218" s="253">
        <v>48.0</v>
      </c>
      <c r="G218" s="235">
        <v>295.0</v>
      </c>
      <c r="H218" s="236">
        <v>6.5128556E7</v>
      </c>
      <c r="I218" s="16">
        <v>35.0</v>
      </c>
      <c r="J218" s="11">
        <v>2.0</v>
      </c>
      <c r="K218" s="11" t="str">
        <f t="shared" si="1"/>
        <v>02950065128556352</v>
      </c>
      <c r="L218" s="238">
        <v>199990.27</v>
      </c>
      <c r="M218" s="254">
        <v>100918.0</v>
      </c>
      <c r="N218" s="16">
        <v>76.0</v>
      </c>
      <c r="O218" s="22">
        <v>45.0</v>
      </c>
      <c r="P218" s="17">
        <v>66.0</v>
      </c>
      <c r="Q218" s="11">
        <v>3.4504085E7</v>
      </c>
      <c r="R218" s="11">
        <v>1.0</v>
      </c>
      <c r="S218" s="24" t="s">
        <v>39</v>
      </c>
      <c r="T218" s="249" t="s">
        <v>5507</v>
      </c>
      <c r="U218" s="17">
        <v>69.0</v>
      </c>
      <c r="V218" s="16">
        <v>77.0</v>
      </c>
      <c r="W218" s="16">
        <v>99.0</v>
      </c>
      <c r="X218" s="50">
        <v>82118.0</v>
      </c>
      <c r="Y218" s="250">
        <v>7748.0</v>
      </c>
    </row>
    <row r="219">
      <c r="A219" s="11">
        <v>13.0</v>
      </c>
      <c r="B219" s="11">
        <v>65.0</v>
      </c>
      <c r="C219" s="253">
        <v>12.0</v>
      </c>
      <c r="D219" s="235">
        <v>37.0</v>
      </c>
      <c r="E219" s="235">
        <v>37.0</v>
      </c>
      <c r="F219" s="253">
        <v>12.0</v>
      </c>
      <c r="G219" s="235">
        <v>37.0</v>
      </c>
      <c r="H219" s="236">
        <v>1.8082802E7</v>
      </c>
      <c r="I219" s="16">
        <v>87.0</v>
      </c>
      <c r="J219" s="11">
        <v>0.0</v>
      </c>
      <c r="K219" s="11" t="str">
        <f t="shared" si="1"/>
        <v>00370018082802870</v>
      </c>
      <c r="L219" s="238">
        <v>4602.61</v>
      </c>
      <c r="M219" s="254">
        <v>62414.0</v>
      </c>
      <c r="N219" s="16">
        <v>38.0</v>
      </c>
      <c r="O219" s="22">
        <v>15.0</v>
      </c>
      <c r="P219" s="17">
        <v>25.0</v>
      </c>
      <c r="Q219" s="11">
        <v>2.8330768E7</v>
      </c>
      <c r="R219" s="11">
        <v>7.0</v>
      </c>
      <c r="S219" s="24" t="s">
        <v>48</v>
      </c>
      <c r="T219" s="249" t="s">
        <v>5508</v>
      </c>
      <c r="U219" s="17">
        <v>74.0</v>
      </c>
      <c r="V219" s="16">
        <v>29.0</v>
      </c>
      <c r="W219" s="16">
        <v>20.0</v>
      </c>
      <c r="X219" s="50">
        <v>120322.0</v>
      </c>
      <c r="Y219" s="250">
        <v>8180.0</v>
      </c>
    </row>
    <row r="220">
      <c r="A220" s="11">
        <v>14.0</v>
      </c>
      <c r="B220" s="11">
        <v>65.0</v>
      </c>
      <c r="C220" s="253">
        <v>29.0</v>
      </c>
      <c r="D220" s="235">
        <v>81.0</v>
      </c>
      <c r="E220" s="235">
        <v>81.0</v>
      </c>
      <c r="F220" s="253">
        <v>29.0</v>
      </c>
      <c r="G220" s="235">
        <v>81.0</v>
      </c>
      <c r="H220" s="236">
        <v>4.4049315E7</v>
      </c>
      <c r="I220" s="16">
        <v>78.0</v>
      </c>
      <c r="J220" s="11">
        <v>7.0</v>
      </c>
      <c r="K220" s="11" t="str">
        <f t="shared" si="1"/>
        <v>00810044049315787</v>
      </c>
      <c r="L220" s="238">
        <v>55590.36</v>
      </c>
      <c r="M220" s="254">
        <v>80914.0</v>
      </c>
      <c r="N220" s="16">
        <v>76.0</v>
      </c>
      <c r="O220" s="22">
        <v>55.0</v>
      </c>
      <c r="P220" s="17">
        <v>25.0</v>
      </c>
      <c r="Q220" s="11">
        <v>4.1056164E7</v>
      </c>
      <c r="R220" s="11">
        <v>3.0</v>
      </c>
      <c r="S220" s="24" t="s">
        <v>5292</v>
      </c>
      <c r="T220" s="249" t="s">
        <v>5509</v>
      </c>
      <c r="U220" s="17">
        <v>75.0</v>
      </c>
      <c r="V220" s="16">
        <v>1.0</v>
      </c>
      <c r="W220" s="16">
        <v>44.0</v>
      </c>
      <c r="X220" s="50">
        <v>52621.0</v>
      </c>
      <c r="Y220" s="250">
        <v>6150.0</v>
      </c>
    </row>
    <row r="221">
      <c r="A221" s="11">
        <v>13.0</v>
      </c>
      <c r="B221" s="11">
        <v>24.0</v>
      </c>
      <c r="C221" s="253">
        <v>47.0</v>
      </c>
      <c r="D221" s="235">
        <v>59.0</v>
      </c>
      <c r="E221" s="235">
        <v>59.0</v>
      </c>
      <c r="F221" s="253">
        <v>47.0</v>
      </c>
      <c r="G221" s="235">
        <v>59.0</v>
      </c>
      <c r="H221" s="236">
        <v>1.2901455E7</v>
      </c>
      <c r="I221" s="16">
        <v>53.0</v>
      </c>
      <c r="J221" s="11">
        <v>5.0</v>
      </c>
      <c r="K221" s="11" t="str">
        <f t="shared" si="1"/>
        <v>00590012901455535</v>
      </c>
      <c r="L221" s="238">
        <v>-5315.1</v>
      </c>
      <c r="M221" s="254">
        <v>122316.0</v>
      </c>
      <c r="N221" s="16">
        <v>87.0</v>
      </c>
      <c r="O221" s="22">
        <v>1.0</v>
      </c>
      <c r="P221" s="17">
        <v>46.0</v>
      </c>
      <c r="Q221" s="11">
        <v>5.1138952E7</v>
      </c>
      <c r="R221" s="11">
        <v>5.0</v>
      </c>
      <c r="S221" s="24" t="s">
        <v>39</v>
      </c>
      <c r="T221" s="249" t="s">
        <v>5510</v>
      </c>
      <c r="U221" s="17">
        <v>29.0</v>
      </c>
      <c r="V221" s="16">
        <v>24.0</v>
      </c>
      <c r="W221" s="16">
        <v>82.0</v>
      </c>
      <c r="X221" s="50">
        <v>10213.0</v>
      </c>
      <c r="Y221" s="250">
        <v>7534.0</v>
      </c>
    </row>
    <row r="222">
      <c r="A222" s="11">
        <v>14.0</v>
      </c>
      <c r="B222" s="11">
        <v>24.0</v>
      </c>
      <c r="C222" s="253">
        <v>17.0</v>
      </c>
      <c r="D222" s="235">
        <v>45.0</v>
      </c>
      <c r="E222" s="235">
        <v>45.0</v>
      </c>
      <c r="F222" s="253">
        <v>17.0</v>
      </c>
      <c r="G222" s="235">
        <v>45.0</v>
      </c>
      <c r="H222" s="236">
        <v>4.5825218E7</v>
      </c>
      <c r="I222" s="16">
        <v>63.0</v>
      </c>
      <c r="J222" s="11">
        <v>5.0</v>
      </c>
      <c r="K222" s="11" t="str">
        <f t="shared" si="1"/>
        <v>00450045825218635</v>
      </c>
      <c r="L222" s="238">
        <v>634736.16</v>
      </c>
      <c r="M222" s="254">
        <v>41020.0</v>
      </c>
      <c r="N222" s="16">
        <v>27.0</v>
      </c>
      <c r="O222" s="22">
        <v>21.0</v>
      </c>
      <c r="P222" s="17">
        <v>66.0</v>
      </c>
      <c r="Q222" s="11">
        <v>9.5621696E7</v>
      </c>
      <c r="R222" s="11">
        <v>3.0</v>
      </c>
      <c r="S222" s="24" t="s">
        <v>39</v>
      </c>
      <c r="T222" s="249" t="s">
        <v>5511</v>
      </c>
      <c r="U222" s="17">
        <v>78.0</v>
      </c>
      <c r="V222" s="16">
        <v>80.0</v>
      </c>
      <c r="W222" s="16">
        <v>34.0</v>
      </c>
      <c r="X222" s="50">
        <v>100118.0</v>
      </c>
      <c r="Y222" s="250">
        <v>6309.0</v>
      </c>
    </row>
    <row r="223">
      <c r="A223" s="11">
        <v>17.0</v>
      </c>
      <c r="B223" s="11">
        <v>86.0</v>
      </c>
      <c r="C223" s="253">
        <v>48.0</v>
      </c>
      <c r="D223" s="235">
        <v>85.0</v>
      </c>
      <c r="E223" s="235">
        <v>85.0</v>
      </c>
      <c r="F223" s="253">
        <v>48.0</v>
      </c>
      <c r="G223" s="235">
        <v>85.0</v>
      </c>
      <c r="H223" s="236">
        <v>7.9878498E7</v>
      </c>
      <c r="I223" s="16">
        <v>33.0</v>
      </c>
      <c r="J223" s="11">
        <v>4.0</v>
      </c>
      <c r="K223" s="11" t="str">
        <f t="shared" si="1"/>
        <v>00850079878498334</v>
      </c>
      <c r="L223" s="238">
        <v>17816.48</v>
      </c>
      <c r="M223" s="254">
        <v>63020.0</v>
      </c>
      <c r="N223" s="16">
        <v>69.0</v>
      </c>
      <c r="O223" s="22">
        <v>37.0</v>
      </c>
      <c r="P223" s="17">
        <v>87.0</v>
      </c>
      <c r="Q223" s="11">
        <v>1.1952823E7</v>
      </c>
      <c r="R223" s="11">
        <v>8.0</v>
      </c>
      <c r="S223" s="24" t="s">
        <v>39</v>
      </c>
      <c r="T223" s="249" t="s">
        <v>5512</v>
      </c>
      <c r="U223" s="17">
        <v>27.0</v>
      </c>
      <c r="V223" s="16">
        <v>51.0</v>
      </c>
      <c r="W223" s="16">
        <v>45.0</v>
      </c>
      <c r="X223" s="50">
        <v>31314.0</v>
      </c>
      <c r="Y223" s="250">
        <v>7021.0</v>
      </c>
    </row>
    <row r="224">
      <c r="A224" s="11">
        <v>20.0</v>
      </c>
      <c r="B224" s="11">
        <v>65.0</v>
      </c>
      <c r="C224" s="253">
        <v>42.0</v>
      </c>
      <c r="D224" s="235">
        <v>23.0</v>
      </c>
      <c r="E224" s="235">
        <v>23.0</v>
      </c>
      <c r="F224" s="253">
        <v>42.0</v>
      </c>
      <c r="G224" s="235">
        <v>23.0</v>
      </c>
      <c r="H224" s="236">
        <v>6.7663292E7</v>
      </c>
      <c r="I224" s="16">
        <v>3.0</v>
      </c>
      <c r="J224" s="11">
        <v>9.0</v>
      </c>
      <c r="K224" s="11" t="str">
        <f t="shared" si="1"/>
        <v>00230067663292039</v>
      </c>
      <c r="L224" s="238">
        <v>113.21</v>
      </c>
      <c r="M224" s="254">
        <v>72513.0</v>
      </c>
      <c r="N224" s="16">
        <v>42.0</v>
      </c>
      <c r="O224" s="22">
        <v>34.0</v>
      </c>
      <c r="P224" s="17">
        <v>46.0</v>
      </c>
      <c r="Q224" s="11">
        <v>3.5875922E7</v>
      </c>
      <c r="R224" s="11">
        <v>1.0</v>
      </c>
      <c r="S224" s="24" t="s">
        <v>48</v>
      </c>
      <c r="T224" s="249" t="s">
        <v>5513</v>
      </c>
      <c r="U224" s="17">
        <v>33.0</v>
      </c>
      <c r="V224" s="16">
        <v>45.0</v>
      </c>
      <c r="W224" s="16">
        <v>12.0</v>
      </c>
      <c r="X224" s="50">
        <v>70317.0</v>
      </c>
      <c r="Y224" s="250">
        <v>8885.0</v>
      </c>
    </row>
    <row r="225">
      <c r="A225" s="11">
        <v>17.0</v>
      </c>
      <c r="B225" s="11">
        <v>45.0</v>
      </c>
      <c r="C225" s="253">
        <v>33.0</v>
      </c>
      <c r="D225" s="235">
        <v>7.0</v>
      </c>
      <c r="E225" s="235">
        <v>7.0</v>
      </c>
      <c r="F225" s="253">
        <v>33.0</v>
      </c>
      <c r="G225" s="235">
        <v>7.0</v>
      </c>
      <c r="H225" s="236">
        <v>2.3638627E7</v>
      </c>
      <c r="I225" s="16">
        <v>89.0</v>
      </c>
      <c r="J225" s="11">
        <v>5.0</v>
      </c>
      <c r="K225" s="11" t="str">
        <f t="shared" si="1"/>
        <v>00070023638627895</v>
      </c>
      <c r="L225" s="238">
        <v>731194.2</v>
      </c>
      <c r="M225" s="254">
        <v>53013.0</v>
      </c>
      <c r="N225" s="16">
        <v>21.0</v>
      </c>
      <c r="O225" s="22">
        <v>45.0</v>
      </c>
      <c r="P225" s="17">
        <v>25.0</v>
      </c>
      <c r="Q225" s="11">
        <v>9.8520762E7</v>
      </c>
      <c r="R225" s="11">
        <v>8.0</v>
      </c>
      <c r="S225" s="24" t="s">
        <v>29</v>
      </c>
      <c r="T225" s="249" t="s">
        <v>5514</v>
      </c>
      <c r="U225" s="17">
        <v>87.0</v>
      </c>
      <c r="V225" s="16">
        <v>73.0</v>
      </c>
      <c r="W225" s="16">
        <v>32.0</v>
      </c>
      <c r="X225" s="50">
        <v>50116.0</v>
      </c>
      <c r="Y225" s="250">
        <v>671.0</v>
      </c>
    </row>
    <row r="226">
      <c r="A226" s="11">
        <v>14.0</v>
      </c>
      <c r="B226" s="11">
        <v>45.0</v>
      </c>
      <c r="C226" s="253">
        <v>6.0</v>
      </c>
      <c r="D226" s="235">
        <v>111.0</v>
      </c>
      <c r="E226" s="235">
        <v>111.0</v>
      </c>
      <c r="F226" s="253">
        <v>6.0</v>
      </c>
      <c r="G226" s="235">
        <v>111.0</v>
      </c>
      <c r="H226" s="236">
        <v>2.5126955E7</v>
      </c>
      <c r="I226" s="16">
        <v>31.0</v>
      </c>
      <c r="J226" s="11">
        <v>0.0</v>
      </c>
      <c r="K226" s="11" t="str">
        <f t="shared" si="1"/>
        <v>01110025126955310</v>
      </c>
      <c r="L226" s="238">
        <v>4816.0</v>
      </c>
      <c r="M226" s="254">
        <v>120613.0</v>
      </c>
      <c r="N226" s="16">
        <v>27.0</v>
      </c>
      <c r="O226" s="22">
        <v>13.0</v>
      </c>
      <c r="P226" s="17">
        <v>66.0</v>
      </c>
      <c r="Q226" s="11">
        <v>3.3917483E7</v>
      </c>
      <c r="R226" s="11">
        <v>9.0</v>
      </c>
      <c r="S226" s="24" t="s">
        <v>48</v>
      </c>
      <c r="T226" s="249" t="s">
        <v>5515</v>
      </c>
      <c r="U226" s="17">
        <v>84.0</v>
      </c>
      <c r="V226" s="16">
        <v>43.0</v>
      </c>
      <c r="W226" s="16">
        <v>13.0</v>
      </c>
      <c r="X226" s="50">
        <v>11316.0</v>
      </c>
      <c r="Y226" s="250">
        <v>3339.0</v>
      </c>
    </row>
    <row r="227">
      <c r="A227" s="11">
        <v>17.0</v>
      </c>
      <c r="B227" s="11">
        <v>65.0</v>
      </c>
      <c r="C227" s="253">
        <v>31.0</v>
      </c>
      <c r="D227" s="235">
        <v>133.0</v>
      </c>
      <c r="E227" s="235">
        <v>133.0</v>
      </c>
      <c r="F227" s="253">
        <v>31.0</v>
      </c>
      <c r="G227" s="235">
        <v>133.0</v>
      </c>
      <c r="H227" s="236">
        <v>9.1372039E7</v>
      </c>
      <c r="I227" s="16">
        <v>17.0</v>
      </c>
      <c r="J227" s="11">
        <v>2.0</v>
      </c>
      <c r="K227" s="11" t="str">
        <f t="shared" si="1"/>
        <v>01330091372039172</v>
      </c>
      <c r="L227" s="238">
        <v>-5847.16</v>
      </c>
      <c r="M227" s="254">
        <v>22517.0</v>
      </c>
      <c r="N227" s="16">
        <v>46.0</v>
      </c>
      <c r="O227" s="22">
        <v>34.0</v>
      </c>
      <c r="P227" s="17">
        <v>25.0</v>
      </c>
      <c r="Q227" s="11">
        <v>1.5555368E7</v>
      </c>
      <c r="R227" s="11">
        <v>7.0</v>
      </c>
      <c r="S227" s="24" t="s">
        <v>48</v>
      </c>
      <c r="T227" s="249" t="s">
        <v>5516</v>
      </c>
      <c r="U227" s="17">
        <v>88.0</v>
      </c>
      <c r="V227" s="16">
        <v>80.0</v>
      </c>
      <c r="W227" s="16">
        <v>95.0</v>
      </c>
      <c r="X227" s="50">
        <v>121016.0</v>
      </c>
      <c r="Y227" s="250">
        <v>2459.0</v>
      </c>
    </row>
    <row r="228">
      <c r="A228" s="11">
        <v>11.0</v>
      </c>
      <c r="B228" s="11">
        <v>24.0</v>
      </c>
      <c r="C228" s="253">
        <v>38.0</v>
      </c>
      <c r="D228" s="235">
        <v>103.0</v>
      </c>
      <c r="E228" s="235">
        <v>103.0</v>
      </c>
      <c r="F228" s="253">
        <v>38.0</v>
      </c>
      <c r="G228" s="235">
        <v>103.0</v>
      </c>
      <c r="H228" s="236">
        <v>2.87653E7</v>
      </c>
      <c r="I228" s="16">
        <v>71.0</v>
      </c>
      <c r="J228" s="11">
        <v>8.0</v>
      </c>
      <c r="K228" s="11" t="str">
        <f t="shared" si="1"/>
        <v>01030028765300718</v>
      </c>
      <c r="L228" s="238">
        <v>937.92</v>
      </c>
      <c r="M228" s="254">
        <v>121213.0</v>
      </c>
      <c r="N228" s="16">
        <v>92.0</v>
      </c>
      <c r="O228" s="22">
        <v>51.0</v>
      </c>
      <c r="P228" s="17">
        <v>66.0</v>
      </c>
      <c r="Q228" s="11">
        <v>3.5722638E7</v>
      </c>
      <c r="R228" s="11">
        <v>7.0</v>
      </c>
      <c r="S228" s="24" t="s">
        <v>39</v>
      </c>
      <c r="T228" s="249" t="s">
        <v>5517</v>
      </c>
      <c r="U228" s="17">
        <v>86.0</v>
      </c>
      <c r="V228" s="16">
        <v>84.0</v>
      </c>
      <c r="W228" s="16">
        <v>61.0</v>
      </c>
      <c r="X228" s="50">
        <v>41120.0</v>
      </c>
      <c r="Y228" s="250">
        <v>6353.0</v>
      </c>
    </row>
    <row r="229">
      <c r="A229" s="11">
        <v>11.0</v>
      </c>
      <c r="B229" s="11">
        <v>86.0</v>
      </c>
      <c r="C229" s="253">
        <v>17.0</v>
      </c>
      <c r="D229" s="235">
        <v>149.0</v>
      </c>
      <c r="E229" s="235">
        <v>149.0</v>
      </c>
      <c r="F229" s="253">
        <v>17.0</v>
      </c>
      <c r="G229" s="235">
        <v>149.0</v>
      </c>
      <c r="H229" s="236">
        <v>1.3677577E7</v>
      </c>
      <c r="I229" s="16">
        <v>99.0</v>
      </c>
      <c r="J229" s="11">
        <v>4.0</v>
      </c>
      <c r="K229" s="11" t="str">
        <f t="shared" si="1"/>
        <v>01490013677577994</v>
      </c>
      <c r="L229" s="238">
        <v>74789.7</v>
      </c>
      <c r="M229" s="254">
        <v>90723.0</v>
      </c>
      <c r="N229" s="16">
        <v>47.0</v>
      </c>
      <c r="O229" s="22">
        <v>41.0</v>
      </c>
      <c r="P229" s="17">
        <v>87.0</v>
      </c>
      <c r="Q229" s="11">
        <v>9.7759984E7</v>
      </c>
      <c r="R229" s="11">
        <v>9.0</v>
      </c>
      <c r="S229" s="24" t="s">
        <v>5292</v>
      </c>
      <c r="T229" s="249" t="s">
        <v>5518</v>
      </c>
      <c r="U229" s="17">
        <v>37.0</v>
      </c>
      <c r="V229" s="16">
        <v>61.0</v>
      </c>
      <c r="W229" s="16">
        <v>42.0</v>
      </c>
      <c r="X229" s="50">
        <v>90422.0</v>
      </c>
      <c r="Y229" s="250">
        <v>1958.0</v>
      </c>
    </row>
    <row r="230">
      <c r="A230" s="11">
        <v>13.0</v>
      </c>
      <c r="B230" s="11">
        <v>45.0</v>
      </c>
      <c r="C230" s="253">
        <v>27.0</v>
      </c>
      <c r="D230" s="235">
        <v>81.0</v>
      </c>
      <c r="E230" s="235">
        <v>81.0</v>
      </c>
      <c r="F230" s="253">
        <v>27.0</v>
      </c>
      <c r="G230" s="235">
        <v>81.0</v>
      </c>
      <c r="H230" s="236">
        <v>5.4661802E7</v>
      </c>
      <c r="I230" s="16">
        <v>49.0</v>
      </c>
      <c r="J230" s="11">
        <v>8.0</v>
      </c>
      <c r="K230" s="11" t="str">
        <f t="shared" si="1"/>
        <v>00810054661802498</v>
      </c>
      <c r="L230" s="238">
        <v>145.2</v>
      </c>
      <c r="M230" s="254">
        <v>101122.0</v>
      </c>
      <c r="N230" s="16">
        <v>32.0</v>
      </c>
      <c r="O230" s="22">
        <v>48.0</v>
      </c>
      <c r="P230" s="17">
        <v>66.0</v>
      </c>
      <c r="Q230" s="11">
        <v>1.2690246E7</v>
      </c>
      <c r="R230" s="11">
        <v>1.0</v>
      </c>
      <c r="S230" s="24" t="s">
        <v>39</v>
      </c>
      <c r="T230" s="249" t="s">
        <v>5519</v>
      </c>
      <c r="U230" s="17">
        <v>91.0</v>
      </c>
      <c r="V230" s="16">
        <v>90.0</v>
      </c>
      <c r="W230" s="16">
        <v>81.0</v>
      </c>
      <c r="X230" s="50">
        <v>11320.0</v>
      </c>
      <c r="Y230" s="250">
        <v>5733.0</v>
      </c>
    </row>
    <row r="231">
      <c r="A231" s="11">
        <v>17.0</v>
      </c>
      <c r="B231" s="11">
        <v>86.0</v>
      </c>
      <c r="C231" s="253">
        <v>22.0</v>
      </c>
      <c r="D231" s="235">
        <v>89.0</v>
      </c>
      <c r="E231" s="235">
        <v>89.0</v>
      </c>
      <c r="F231" s="253">
        <v>22.0</v>
      </c>
      <c r="G231" s="235">
        <v>89.0</v>
      </c>
      <c r="H231" s="236">
        <v>8.1324325E7</v>
      </c>
      <c r="I231" s="16">
        <v>86.0</v>
      </c>
      <c r="J231" s="11">
        <v>2.0</v>
      </c>
      <c r="K231" s="11" t="str">
        <f t="shared" si="1"/>
        <v>00890081324325862</v>
      </c>
      <c r="L231" s="238">
        <v>508.62</v>
      </c>
      <c r="M231" s="254">
        <v>31223.0</v>
      </c>
      <c r="N231" s="16">
        <v>6.0</v>
      </c>
      <c r="O231" s="22">
        <v>1.0</v>
      </c>
      <c r="P231" s="17">
        <v>66.0</v>
      </c>
      <c r="Q231" s="11">
        <v>7.3651612E7</v>
      </c>
      <c r="R231" s="11">
        <v>7.0</v>
      </c>
      <c r="S231" s="24" t="s">
        <v>39</v>
      </c>
      <c r="T231" s="249" t="s">
        <v>5520</v>
      </c>
      <c r="U231" s="17">
        <v>93.0</v>
      </c>
      <c r="V231" s="16">
        <v>43.0</v>
      </c>
      <c r="W231" s="16">
        <v>34.0</v>
      </c>
      <c r="X231" s="50">
        <v>70618.0</v>
      </c>
      <c r="Y231" s="250">
        <v>2328.0</v>
      </c>
    </row>
    <row r="232">
      <c r="A232" s="11">
        <v>16.0</v>
      </c>
      <c r="B232" s="11">
        <v>65.0</v>
      </c>
      <c r="C232" s="253">
        <v>38.0</v>
      </c>
      <c r="D232" s="235">
        <v>11.0</v>
      </c>
      <c r="E232" s="235">
        <v>11.0</v>
      </c>
      <c r="F232" s="253">
        <v>38.0</v>
      </c>
      <c r="G232" s="235">
        <v>11.0</v>
      </c>
      <c r="H232" s="236">
        <v>9.7457554E7</v>
      </c>
      <c r="I232" s="16">
        <v>14.0</v>
      </c>
      <c r="J232" s="11">
        <v>2.0</v>
      </c>
      <c r="K232" s="11" t="str">
        <f t="shared" si="1"/>
        <v>00110097457554142</v>
      </c>
      <c r="L232" s="238">
        <v>27836.5</v>
      </c>
      <c r="M232" s="254">
        <v>30519.0</v>
      </c>
      <c r="N232" s="16">
        <v>39.0</v>
      </c>
      <c r="O232" s="22">
        <v>24.0</v>
      </c>
      <c r="P232" s="17">
        <v>66.0</v>
      </c>
      <c r="Q232" s="11">
        <v>6.9517556E7</v>
      </c>
      <c r="R232" s="11">
        <v>1.0</v>
      </c>
      <c r="S232" s="24" t="s">
        <v>29</v>
      </c>
      <c r="T232" s="249" t="s">
        <v>5521</v>
      </c>
      <c r="U232" s="17">
        <v>94.0</v>
      </c>
      <c r="V232" s="16">
        <v>63.0</v>
      </c>
      <c r="W232" s="16">
        <v>32.0</v>
      </c>
      <c r="X232" s="50">
        <v>101017.0</v>
      </c>
      <c r="Y232" s="250">
        <v>1066.0</v>
      </c>
    </row>
    <row r="233">
      <c r="A233" s="11">
        <v>11.0</v>
      </c>
      <c r="B233" s="11">
        <v>45.0</v>
      </c>
      <c r="C233" s="253">
        <v>20.0</v>
      </c>
      <c r="D233" s="235">
        <v>121.0</v>
      </c>
      <c r="E233" s="235">
        <v>121.0</v>
      </c>
      <c r="F233" s="253">
        <v>20.0</v>
      </c>
      <c r="G233" s="235">
        <v>121.0</v>
      </c>
      <c r="H233" s="236">
        <v>8.7197323E7</v>
      </c>
      <c r="I233" s="16">
        <v>43.0</v>
      </c>
      <c r="J233" s="11">
        <v>4.0</v>
      </c>
      <c r="K233" s="11" t="str">
        <f t="shared" si="1"/>
        <v>01210087197323434</v>
      </c>
      <c r="L233" s="238">
        <v>470451.62</v>
      </c>
      <c r="M233" s="254">
        <v>122116.0</v>
      </c>
      <c r="N233" s="16">
        <v>95.0</v>
      </c>
      <c r="O233" s="22">
        <v>13.0</v>
      </c>
      <c r="P233" s="17">
        <v>66.0</v>
      </c>
      <c r="Q233" s="11">
        <v>6.3430447E7</v>
      </c>
      <c r="R233" s="11">
        <v>1.0</v>
      </c>
      <c r="S233" s="24" t="s">
        <v>5292</v>
      </c>
      <c r="T233" s="249" t="s">
        <v>5522</v>
      </c>
      <c r="U233" s="17">
        <v>96.0</v>
      </c>
      <c r="V233" s="16">
        <v>23.0</v>
      </c>
      <c r="W233" s="16">
        <v>40.0</v>
      </c>
      <c r="X233" s="50">
        <v>72121.0</v>
      </c>
      <c r="Y233" s="250">
        <v>8969.0</v>
      </c>
    </row>
    <row r="234">
      <c r="A234" s="11">
        <v>14.0</v>
      </c>
      <c r="B234" s="11">
        <v>24.0</v>
      </c>
      <c r="C234" s="253">
        <v>35.0</v>
      </c>
      <c r="D234" s="235">
        <v>7.0</v>
      </c>
      <c r="E234" s="235">
        <v>7.0</v>
      </c>
      <c r="F234" s="253">
        <v>35.0</v>
      </c>
      <c r="G234" s="235">
        <v>7.0</v>
      </c>
      <c r="H234" s="236">
        <v>3.0921145E7</v>
      </c>
      <c r="I234" s="16">
        <v>18.0</v>
      </c>
      <c r="J234" s="11">
        <v>6.0</v>
      </c>
      <c r="K234" s="11" t="str">
        <f t="shared" si="1"/>
        <v>00070030921145186</v>
      </c>
      <c r="L234" s="238">
        <v>-5053.11</v>
      </c>
      <c r="M234" s="254">
        <v>11015.0</v>
      </c>
      <c r="N234" s="16">
        <v>13.0</v>
      </c>
      <c r="O234" s="22">
        <v>5.0</v>
      </c>
      <c r="P234" s="17">
        <v>87.0</v>
      </c>
      <c r="Q234" s="11">
        <v>2.1905993E7</v>
      </c>
      <c r="R234" s="11">
        <v>0.0</v>
      </c>
      <c r="S234" s="24" t="s">
        <v>29</v>
      </c>
      <c r="T234" s="249" t="s">
        <v>5523</v>
      </c>
      <c r="U234" s="17">
        <v>45.0</v>
      </c>
      <c r="V234" s="16">
        <v>64.0</v>
      </c>
      <c r="W234" s="16">
        <v>54.0</v>
      </c>
      <c r="X234" s="50">
        <v>110116.0</v>
      </c>
      <c r="Y234" s="250">
        <v>993.0</v>
      </c>
    </row>
    <row r="235">
      <c r="A235" s="11">
        <v>18.0</v>
      </c>
      <c r="B235" s="11">
        <v>24.0</v>
      </c>
      <c r="C235" s="253">
        <v>51.0</v>
      </c>
      <c r="D235" s="235">
        <v>36.0</v>
      </c>
      <c r="E235" s="235">
        <v>36.0</v>
      </c>
      <c r="F235" s="253">
        <v>51.0</v>
      </c>
      <c r="G235" s="235">
        <v>36.0</v>
      </c>
      <c r="H235" s="236">
        <v>8.8495167E7</v>
      </c>
      <c r="I235" s="16">
        <v>59.0</v>
      </c>
      <c r="J235" s="11">
        <v>5.0</v>
      </c>
      <c r="K235" s="11" t="str">
        <f t="shared" si="1"/>
        <v>00360088495167595</v>
      </c>
      <c r="L235" s="238">
        <v>-5038.64</v>
      </c>
      <c r="M235" s="254">
        <v>60420.0</v>
      </c>
      <c r="N235" s="16">
        <v>57.0</v>
      </c>
      <c r="O235" s="22">
        <v>15.0</v>
      </c>
      <c r="P235" s="17">
        <v>87.0</v>
      </c>
      <c r="Q235" s="11">
        <v>2.6424484E7</v>
      </c>
      <c r="R235" s="11">
        <v>2.0</v>
      </c>
      <c r="S235" s="24" t="s">
        <v>39</v>
      </c>
      <c r="T235" s="249" t="s">
        <v>5524</v>
      </c>
      <c r="U235" s="17">
        <v>48.0</v>
      </c>
      <c r="V235" s="16">
        <v>68.0</v>
      </c>
      <c r="W235" s="16">
        <v>80.0</v>
      </c>
      <c r="X235" s="50">
        <v>21120.0</v>
      </c>
      <c r="Y235" s="250">
        <v>10.0</v>
      </c>
    </row>
    <row r="236">
      <c r="A236" s="11">
        <v>16.0</v>
      </c>
      <c r="B236" s="11">
        <v>45.0</v>
      </c>
      <c r="C236" s="253">
        <v>48.0</v>
      </c>
      <c r="D236" s="235">
        <v>249.0</v>
      </c>
      <c r="E236" s="235">
        <v>249.0</v>
      </c>
      <c r="F236" s="253">
        <v>48.0</v>
      </c>
      <c r="G236" s="235">
        <v>249.0</v>
      </c>
      <c r="H236" s="236">
        <v>2.651963E7</v>
      </c>
      <c r="I236" s="16">
        <v>55.0</v>
      </c>
      <c r="J236" s="11">
        <v>0.0</v>
      </c>
      <c r="K236" s="11" t="str">
        <f t="shared" si="1"/>
        <v>02490026519630550</v>
      </c>
      <c r="L236" s="238">
        <v>-4351.72</v>
      </c>
      <c r="M236" s="254">
        <v>91721.0</v>
      </c>
      <c r="N236" s="16">
        <v>21.0</v>
      </c>
      <c r="O236" s="22">
        <v>27.0</v>
      </c>
      <c r="P236" s="17">
        <v>87.0</v>
      </c>
      <c r="Q236" s="11">
        <v>8.3631591E7</v>
      </c>
      <c r="R236" s="11">
        <v>3.0</v>
      </c>
      <c r="S236" s="24" t="s">
        <v>39</v>
      </c>
      <c r="T236" s="249" t="s">
        <v>5525</v>
      </c>
      <c r="U236" s="17">
        <v>49.0</v>
      </c>
      <c r="V236" s="16">
        <v>80.0</v>
      </c>
      <c r="W236" s="16">
        <v>18.0</v>
      </c>
      <c r="X236" s="50">
        <v>31821.0</v>
      </c>
      <c r="Y236" s="250">
        <v>9693.0</v>
      </c>
    </row>
    <row r="237">
      <c r="A237" s="11">
        <v>19.0</v>
      </c>
      <c r="B237" s="11">
        <v>45.0</v>
      </c>
      <c r="C237" s="253">
        <v>51.0</v>
      </c>
      <c r="D237" s="235">
        <v>760.0</v>
      </c>
      <c r="E237" s="235">
        <v>760.0</v>
      </c>
      <c r="F237" s="253">
        <v>51.0</v>
      </c>
      <c r="G237" s="235">
        <v>760.0</v>
      </c>
      <c r="H237" s="236">
        <v>8.8604065E7</v>
      </c>
      <c r="I237" s="16">
        <v>66.0</v>
      </c>
      <c r="J237" s="11">
        <v>5.0</v>
      </c>
      <c r="K237" s="11" t="str">
        <f t="shared" si="1"/>
        <v>07600088604065665</v>
      </c>
      <c r="L237" s="238">
        <v>7515.17</v>
      </c>
      <c r="M237" s="254">
        <v>112016.0</v>
      </c>
      <c r="N237" s="16">
        <v>53.0</v>
      </c>
      <c r="O237" s="22">
        <v>37.0</v>
      </c>
      <c r="P237" s="17">
        <v>26.0</v>
      </c>
      <c r="Q237" s="11">
        <v>4.2796465E7</v>
      </c>
      <c r="R237" s="11">
        <v>4.0</v>
      </c>
      <c r="S237" s="24" t="s">
        <v>29</v>
      </c>
      <c r="T237" s="249" t="s">
        <v>5526</v>
      </c>
      <c r="U237" s="17">
        <v>8.0</v>
      </c>
      <c r="V237" s="16">
        <v>36.0</v>
      </c>
      <c r="W237" s="16">
        <v>82.0</v>
      </c>
      <c r="X237" s="50">
        <v>90713.0</v>
      </c>
      <c r="Y237" s="250">
        <v>3625.0</v>
      </c>
    </row>
    <row r="238">
      <c r="A238" s="11">
        <v>10.0</v>
      </c>
      <c r="B238" s="11">
        <v>45.0</v>
      </c>
      <c r="C238" s="253">
        <v>21.0</v>
      </c>
      <c r="D238" s="235">
        <v>143.0</v>
      </c>
      <c r="E238" s="235">
        <v>143.0</v>
      </c>
      <c r="F238" s="253">
        <v>21.0</v>
      </c>
      <c r="G238" s="235">
        <v>143.0</v>
      </c>
      <c r="H238" s="236">
        <v>2.631324E7</v>
      </c>
      <c r="I238" s="16">
        <v>28.0</v>
      </c>
      <c r="J238" s="11">
        <v>1.0</v>
      </c>
      <c r="K238" s="11" t="str">
        <f t="shared" si="1"/>
        <v>01430026313240281</v>
      </c>
      <c r="L238" s="238">
        <v>455898.21</v>
      </c>
      <c r="M238" s="254">
        <v>81622.0</v>
      </c>
      <c r="N238" s="16">
        <v>29.0</v>
      </c>
      <c r="O238" s="22">
        <v>39.0</v>
      </c>
      <c r="P238" s="17">
        <v>87.0</v>
      </c>
      <c r="Q238" s="11">
        <v>8.6561589E7</v>
      </c>
      <c r="R238" s="11">
        <v>8.0</v>
      </c>
      <c r="S238" s="24" t="s">
        <v>48</v>
      </c>
      <c r="T238" s="249" t="s">
        <v>5527</v>
      </c>
      <c r="U238" s="17">
        <v>52.0</v>
      </c>
      <c r="V238" s="16">
        <v>60.0</v>
      </c>
      <c r="W238" s="16">
        <v>33.0</v>
      </c>
      <c r="X238" s="50">
        <v>50214.0</v>
      </c>
      <c r="Y238" s="250">
        <v>1759.0</v>
      </c>
    </row>
    <row r="239">
      <c r="A239" s="11">
        <v>10.0</v>
      </c>
      <c r="B239" s="11">
        <v>86.0</v>
      </c>
      <c r="C239" s="253">
        <v>28.0</v>
      </c>
      <c r="D239" s="235">
        <v>3.0</v>
      </c>
      <c r="E239" s="235">
        <v>3.0</v>
      </c>
      <c r="F239" s="253">
        <v>28.0</v>
      </c>
      <c r="G239" s="235">
        <v>3.0</v>
      </c>
      <c r="H239" s="236">
        <v>2.7960211E7</v>
      </c>
      <c r="I239" s="16">
        <v>11.0</v>
      </c>
      <c r="J239" s="11">
        <v>0.0</v>
      </c>
      <c r="K239" s="11" t="str">
        <f t="shared" si="1"/>
        <v>00030027960211110</v>
      </c>
      <c r="L239" s="238">
        <v>617577.19</v>
      </c>
      <c r="M239" s="254">
        <v>90622.0</v>
      </c>
      <c r="N239" s="16">
        <v>64.0</v>
      </c>
      <c r="O239" s="22">
        <v>33.0</v>
      </c>
      <c r="P239" s="17">
        <v>67.0</v>
      </c>
      <c r="Q239" s="11">
        <v>1.1143544E7</v>
      </c>
      <c r="R239" s="11">
        <v>7.0</v>
      </c>
      <c r="S239" s="24" t="s">
        <v>39</v>
      </c>
      <c r="T239" s="249" t="s">
        <v>5528</v>
      </c>
      <c r="U239" s="17">
        <v>4.0</v>
      </c>
      <c r="V239" s="16">
        <v>29.0</v>
      </c>
      <c r="W239" s="16">
        <v>95.0</v>
      </c>
      <c r="X239" s="50">
        <v>123115.0</v>
      </c>
      <c r="Y239" s="250">
        <v>7464.0</v>
      </c>
    </row>
    <row r="240">
      <c r="A240" s="11">
        <v>18.0</v>
      </c>
      <c r="B240" s="11">
        <v>86.0</v>
      </c>
      <c r="C240" s="253">
        <v>54.0</v>
      </c>
      <c r="D240" s="235">
        <v>95.0</v>
      </c>
      <c r="E240" s="235">
        <v>95.0</v>
      </c>
      <c r="F240" s="253">
        <v>54.0</v>
      </c>
      <c r="G240" s="235">
        <v>95.0</v>
      </c>
      <c r="H240" s="236">
        <v>7.7215311E7</v>
      </c>
      <c r="I240" s="16">
        <v>77.0</v>
      </c>
      <c r="J240" s="11">
        <v>0.0</v>
      </c>
      <c r="K240" s="11" t="str">
        <f t="shared" si="1"/>
        <v>00950077215311770</v>
      </c>
      <c r="L240" s="238">
        <v>-369902.6</v>
      </c>
      <c r="M240" s="254">
        <v>20919.0</v>
      </c>
      <c r="N240" s="16">
        <v>49.0</v>
      </c>
      <c r="O240" s="22">
        <v>30.0</v>
      </c>
      <c r="P240" s="17">
        <v>46.0</v>
      </c>
      <c r="Q240" s="11">
        <v>7.8489567E7</v>
      </c>
      <c r="R240" s="11">
        <v>0.0</v>
      </c>
      <c r="S240" s="24" t="s">
        <v>39</v>
      </c>
      <c r="T240" s="249" t="s">
        <v>5529</v>
      </c>
      <c r="U240" s="17">
        <v>60.0</v>
      </c>
      <c r="V240" s="16">
        <v>56.0</v>
      </c>
      <c r="W240" s="16">
        <v>53.0</v>
      </c>
      <c r="X240" s="50">
        <v>31620.0</v>
      </c>
      <c r="Y240" s="250">
        <v>208.0</v>
      </c>
    </row>
    <row r="241">
      <c r="A241" s="11">
        <v>13.0</v>
      </c>
      <c r="B241" s="11">
        <v>45.0</v>
      </c>
      <c r="C241" s="253">
        <v>19.0</v>
      </c>
      <c r="D241" s="235">
        <v>155.0</v>
      </c>
      <c r="E241" s="235">
        <v>155.0</v>
      </c>
      <c r="F241" s="253">
        <v>19.0</v>
      </c>
      <c r="G241" s="235">
        <v>155.0</v>
      </c>
      <c r="H241" s="236">
        <v>1.7962156E7</v>
      </c>
      <c r="I241" s="16">
        <v>36.0</v>
      </c>
      <c r="J241" s="11">
        <v>3.0</v>
      </c>
      <c r="K241" s="11" t="str">
        <f t="shared" si="1"/>
        <v>01550017962156363</v>
      </c>
      <c r="L241" s="238">
        <v>-3954.19</v>
      </c>
      <c r="M241" s="254">
        <v>22718.0</v>
      </c>
      <c r="N241" s="16">
        <v>49.0</v>
      </c>
      <c r="O241" s="22">
        <v>37.0</v>
      </c>
      <c r="P241" s="17">
        <v>26.0</v>
      </c>
      <c r="Q241" s="11">
        <v>5.9876163E7</v>
      </c>
      <c r="R241" s="11">
        <v>7.0</v>
      </c>
      <c r="S241" s="24" t="s">
        <v>29</v>
      </c>
      <c r="T241" s="249" t="s">
        <v>5530</v>
      </c>
      <c r="U241" s="17">
        <v>12.0</v>
      </c>
      <c r="V241" s="16">
        <v>30.0</v>
      </c>
      <c r="W241" s="16">
        <v>80.0</v>
      </c>
      <c r="X241" s="50">
        <v>102915.0</v>
      </c>
      <c r="Y241" s="250">
        <v>1845.0</v>
      </c>
    </row>
    <row r="242">
      <c r="A242" s="11">
        <v>16.0</v>
      </c>
      <c r="B242" s="11">
        <v>25.0</v>
      </c>
      <c r="C242" s="253">
        <v>51.0</v>
      </c>
      <c r="D242" s="235">
        <v>95.0</v>
      </c>
      <c r="E242" s="235">
        <v>95.0</v>
      </c>
      <c r="F242" s="253">
        <v>51.0</v>
      </c>
      <c r="G242" s="235">
        <v>95.0</v>
      </c>
      <c r="H242" s="236">
        <v>5.5166647E7</v>
      </c>
      <c r="I242" s="16">
        <v>47.0</v>
      </c>
      <c r="J242" s="11">
        <v>1.0</v>
      </c>
      <c r="K242" s="11" t="str">
        <f t="shared" si="1"/>
        <v>00950055166647471</v>
      </c>
      <c r="L242" s="238">
        <v>99395.87</v>
      </c>
      <c r="M242" s="254">
        <v>110918.0</v>
      </c>
      <c r="N242" s="16">
        <v>32.0</v>
      </c>
      <c r="O242" s="22">
        <v>54.0</v>
      </c>
      <c r="P242" s="17">
        <v>67.0</v>
      </c>
      <c r="Q242" s="11">
        <v>5.7935898E7</v>
      </c>
      <c r="R242" s="11">
        <v>4.0</v>
      </c>
      <c r="S242" s="24" t="s">
        <v>5292</v>
      </c>
      <c r="T242" s="249" t="s">
        <v>5531</v>
      </c>
      <c r="U242" s="17">
        <v>14.0</v>
      </c>
      <c r="V242" s="16">
        <v>92.0</v>
      </c>
      <c r="W242" s="16">
        <v>71.0</v>
      </c>
      <c r="X242" s="50">
        <v>70319.0</v>
      </c>
      <c r="Y242" s="250">
        <v>391.0</v>
      </c>
    </row>
    <row r="243">
      <c r="A243" s="11">
        <v>17.0</v>
      </c>
      <c r="B243" s="11">
        <v>86.0</v>
      </c>
      <c r="C243" s="253">
        <v>27.0</v>
      </c>
      <c r="D243" s="235">
        <v>79.0</v>
      </c>
      <c r="E243" s="235">
        <v>79.0</v>
      </c>
      <c r="F243" s="253">
        <v>27.0</v>
      </c>
      <c r="G243" s="235">
        <v>79.0</v>
      </c>
      <c r="H243" s="236">
        <v>6.4853214E7</v>
      </c>
      <c r="I243" s="16">
        <v>40.0</v>
      </c>
      <c r="J243" s="11">
        <v>1.0</v>
      </c>
      <c r="K243" s="11" t="str">
        <f t="shared" si="1"/>
        <v>00790064853214401</v>
      </c>
      <c r="L243" s="238">
        <v>594.95</v>
      </c>
      <c r="M243" s="254">
        <v>40613.0</v>
      </c>
      <c r="N243" s="16">
        <v>8.0</v>
      </c>
      <c r="O243" s="22">
        <v>6.0</v>
      </c>
      <c r="P243" s="17">
        <v>26.0</v>
      </c>
      <c r="Q243" s="11">
        <v>5.5482815E7</v>
      </c>
      <c r="R243" s="11">
        <v>4.0</v>
      </c>
      <c r="S243" s="24" t="s">
        <v>48</v>
      </c>
      <c r="T243" s="249" t="s">
        <v>5532</v>
      </c>
      <c r="U243" s="17">
        <v>21.0</v>
      </c>
      <c r="V243" s="16">
        <v>82.0</v>
      </c>
      <c r="W243" s="16">
        <v>89.0</v>
      </c>
      <c r="X243" s="50">
        <v>50217.0</v>
      </c>
      <c r="Y243" s="250">
        <v>2601.0</v>
      </c>
    </row>
    <row r="244">
      <c r="A244" s="11">
        <v>13.0</v>
      </c>
      <c r="B244" s="11">
        <v>66.0</v>
      </c>
      <c r="C244" s="253">
        <v>6.0</v>
      </c>
      <c r="D244" s="235">
        <v>87.0</v>
      </c>
      <c r="E244" s="235">
        <v>87.0</v>
      </c>
      <c r="F244" s="253">
        <v>6.0</v>
      </c>
      <c r="G244" s="235">
        <v>87.0</v>
      </c>
      <c r="H244" s="236">
        <v>9.5983477E7</v>
      </c>
      <c r="I244" s="16">
        <v>81.0</v>
      </c>
      <c r="J244" s="11">
        <v>3.0</v>
      </c>
      <c r="K244" s="11" t="str">
        <f t="shared" si="1"/>
        <v>00870095983477813</v>
      </c>
      <c r="L244" s="238">
        <v>31700.67</v>
      </c>
      <c r="M244" s="254">
        <v>122221.0</v>
      </c>
      <c r="N244" s="16">
        <v>75.0</v>
      </c>
      <c r="O244" s="22">
        <v>49.0</v>
      </c>
      <c r="P244" s="17">
        <v>67.0</v>
      </c>
      <c r="Q244" s="11">
        <v>5.1005766E7</v>
      </c>
      <c r="R244" s="11">
        <v>7.0</v>
      </c>
      <c r="S244" s="24" t="s">
        <v>39</v>
      </c>
      <c r="T244" s="249" t="s">
        <v>5533</v>
      </c>
      <c r="U244" s="17">
        <v>18.0</v>
      </c>
      <c r="V244" s="16">
        <v>45.0</v>
      </c>
      <c r="W244" s="16">
        <v>27.0</v>
      </c>
      <c r="X244" s="50">
        <v>91516.0</v>
      </c>
      <c r="Y244" s="250">
        <v>2409.0</v>
      </c>
    </row>
    <row r="245">
      <c r="A245" s="11">
        <v>14.0</v>
      </c>
      <c r="B245" s="11">
        <v>66.0</v>
      </c>
      <c r="C245" s="253">
        <v>47.0</v>
      </c>
      <c r="D245" s="235">
        <v>75.0</v>
      </c>
      <c r="E245" s="235">
        <v>75.0</v>
      </c>
      <c r="F245" s="253">
        <v>47.0</v>
      </c>
      <c r="G245" s="235">
        <v>75.0</v>
      </c>
      <c r="H245" s="236">
        <v>8.7487679E7</v>
      </c>
      <c r="I245" s="16">
        <v>90.0</v>
      </c>
      <c r="J245" s="11">
        <v>2.0</v>
      </c>
      <c r="K245" s="11" t="str">
        <f t="shared" si="1"/>
        <v>00750087487679902</v>
      </c>
      <c r="L245" s="238">
        <v>637872.5</v>
      </c>
      <c r="M245" s="254">
        <v>120917.0</v>
      </c>
      <c r="N245" s="16">
        <v>50.0</v>
      </c>
      <c r="O245" s="22">
        <v>50.0</v>
      </c>
      <c r="P245" s="17">
        <v>46.0</v>
      </c>
      <c r="Q245" s="11">
        <v>1.6966592E7</v>
      </c>
      <c r="R245" s="11">
        <v>3.0</v>
      </c>
      <c r="S245" s="24" t="s">
        <v>48</v>
      </c>
      <c r="T245" s="249" t="s">
        <v>5534</v>
      </c>
      <c r="U245" s="17">
        <v>70.0</v>
      </c>
      <c r="V245" s="16">
        <v>50.0</v>
      </c>
      <c r="W245" s="16">
        <v>49.0</v>
      </c>
      <c r="X245" s="50">
        <v>52514.0</v>
      </c>
      <c r="Y245" s="250">
        <v>5391.0</v>
      </c>
    </row>
    <row r="246">
      <c r="A246" s="11">
        <v>13.0</v>
      </c>
      <c r="B246" s="11">
        <v>45.0</v>
      </c>
      <c r="C246" s="253">
        <v>1.0</v>
      </c>
      <c r="D246" s="235">
        <v>33.0</v>
      </c>
      <c r="E246" s="235">
        <v>33.0</v>
      </c>
      <c r="F246" s="253">
        <v>1.0</v>
      </c>
      <c r="G246" s="235">
        <v>33.0</v>
      </c>
      <c r="H246" s="236">
        <v>1.160869E7</v>
      </c>
      <c r="I246" s="16">
        <v>73.0</v>
      </c>
      <c r="J246" s="11">
        <v>9.0</v>
      </c>
      <c r="K246" s="11" t="str">
        <f t="shared" si="1"/>
        <v>00330011608690739</v>
      </c>
      <c r="L246" s="238">
        <v>-69360.63</v>
      </c>
      <c r="M246" s="254">
        <v>11818.0</v>
      </c>
      <c r="N246" s="16">
        <v>1.0</v>
      </c>
      <c r="O246" s="22">
        <v>19.0</v>
      </c>
      <c r="P246" s="17">
        <v>87.0</v>
      </c>
      <c r="Q246" s="11">
        <v>3.2636334E7</v>
      </c>
      <c r="R246" s="11">
        <v>1.0</v>
      </c>
      <c r="S246" s="24" t="s">
        <v>48</v>
      </c>
      <c r="T246" s="249" t="s">
        <v>5535</v>
      </c>
      <c r="U246" s="17">
        <v>67.0</v>
      </c>
      <c r="V246" s="16">
        <v>62.0</v>
      </c>
      <c r="W246" s="16">
        <v>47.0</v>
      </c>
      <c r="X246" s="50">
        <v>42518.0</v>
      </c>
      <c r="Y246" s="250">
        <v>4674.0</v>
      </c>
    </row>
    <row r="247">
      <c r="A247" s="11">
        <v>14.0</v>
      </c>
      <c r="B247" s="11">
        <v>25.0</v>
      </c>
      <c r="C247" s="253">
        <v>20.0</v>
      </c>
      <c r="D247" s="235">
        <v>207.0</v>
      </c>
      <c r="E247" s="235">
        <v>207.0</v>
      </c>
      <c r="F247" s="253">
        <v>20.0</v>
      </c>
      <c r="G247" s="235">
        <v>207.0</v>
      </c>
      <c r="H247" s="236">
        <v>2.3861108E7</v>
      </c>
      <c r="I247" s="16">
        <v>93.0</v>
      </c>
      <c r="J247" s="11">
        <v>0.0</v>
      </c>
      <c r="K247" s="11" t="str">
        <f t="shared" si="1"/>
        <v>02070023861108930</v>
      </c>
      <c r="L247" s="238">
        <v>13109.55</v>
      </c>
      <c r="M247" s="254">
        <v>121216.0</v>
      </c>
      <c r="N247" s="16">
        <v>1.0</v>
      </c>
      <c r="O247" s="22">
        <v>40.0</v>
      </c>
      <c r="P247" s="17">
        <v>67.0</v>
      </c>
      <c r="Q247" s="11">
        <v>4.5932627E7</v>
      </c>
      <c r="R247" s="11">
        <v>5.0</v>
      </c>
      <c r="S247" s="24" t="s">
        <v>39</v>
      </c>
      <c r="T247" s="249" t="s">
        <v>5536</v>
      </c>
      <c r="U247" s="17">
        <v>21.0</v>
      </c>
      <c r="V247" s="16">
        <v>37.0</v>
      </c>
      <c r="W247" s="16">
        <v>57.0</v>
      </c>
      <c r="X247" s="50">
        <v>100716.0</v>
      </c>
      <c r="Y247" s="250">
        <v>9644.0</v>
      </c>
    </row>
    <row r="248">
      <c r="A248" s="11">
        <v>17.0</v>
      </c>
      <c r="B248" s="11">
        <v>66.0</v>
      </c>
      <c r="C248" s="253">
        <v>1.0</v>
      </c>
      <c r="D248" s="235">
        <v>131.0</v>
      </c>
      <c r="E248" s="235">
        <v>131.0</v>
      </c>
      <c r="F248" s="253">
        <v>1.0</v>
      </c>
      <c r="G248" s="235">
        <v>131.0</v>
      </c>
      <c r="H248" s="236">
        <v>2.1907108E7</v>
      </c>
      <c r="I248" s="16">
        <v>10.0</v>
      </c>
      <c r="J248" s="11">
        <v>8.0</v>
      </c>
      <c r="K248" s="11" t="str">
        <f t="shared" si="1"/>
        <v>01310021907108108</v>
      </c>
      <c r="L248" s="238">
        <v>312413.43</v>
      </c>
      <c r="M248" s="254">
        <v>11317.0</v>
      </c>
      <c r="N248" s="16">
        <v>48.0</v>
      </c>
      <c r="O248" s="22">
        <v>19.0</v>
      </c>
      <c r="P248" s="17">
        <v>26.0</v>
      </c>
      <c r="Q248" s="11">
        <v>2.5316745E7</v>
      </c>
      <c r="R248" s="11">
        <v>8.0</v>
      </c>
      <c r="S248" s="24" t="s">
        <v>29</v>
      </c>
      <c r="T248" s="249" t="s">
        <v>5537</v>
      </c>
      <c r="U248" s="17">
        <v>24.0</v>
      </c>
      <c r="V248" s="16">
        <v>17.0</v>
      </c>
      <c r="W248" s="16">
        <v>32.0</v>
      </c>
      <c r="X248" s="50">
        <v>81619.0</v>
      </c>
      <c r="Y248" s="250">
        <v>3137.0</v>
      </c>
    </row>
    <row r="249">
      <c r="A249" s="11">
        <v>11.0</v>
      </c>
      <c r="B249" s="11">
        <v>25.0</v>
      </c>
      <c r="C249" s="253">
        <v>13.0</v>
      </c>
      <c r="D249" s="235">
        <v>85.0</v>
      </c>
      <c r="E249" s="235">
        <v>85.0</v>
      </c>
      <c r="F249" s="253">
        <v>13.0</v>
      </c>
      <c r="G249" s="235">
        <v>85.0</v>
      </c>
      <c r="H249" s="236">
        <v>4.4942607E7</v>
      </c>
      <c r="I249" s="16">
        <v>86.0</v>
      </c>
      <c r="J249" s="11">
        <v>5.0</v>
      </c>
      <c r="K249" s="11" t="str">
        <f t="shared" si="1"/>
        <v>00850044942607865</v>
      </c>
      <c r="L249" s="238">
        <v>716.81</v>
      </c>
      <c r="M249" s="254">
        <v>62222.0</v>
      </c>
      <c r="N249" s="16">
        <v>1.0</v>
      </c>
      <c r="O249" s="22">
        <v>21.0</v>
      </c>
      <c r="P249" s="17">
        <v>87.0</v>
      </c>
      <c r="Q249" s="11">
        <v>1.3524112E7</v>
      </c>
      <c r="R249" s="11">
        <v>1.0</v>
      </c>
      <c r="S249" s="24" t="s">
        <v>29</v>
      </c>
      <c r="T249" s="249" t="s">
        <v>5538</v>
      </c>
      <c r="U249" s="17">
        <v>69.0</v>
      </c>
      <c r="V249" s="16">
        <v>51.0</v>
      </c>
      <c r="W249" s="16">
        <v>29.0</v>
      </c>
      <c r="X249" s="50">
        <v>102613.0</v>
      </c>
      <c r="Y249" s="250">
        <v>6731.0</v>
      </c>
    </row>
    <row r="250">
      <c r="A250" s="11">
        <v>14.0</v>
      </c>
      <c r="B250" s="11">
        <v>86.0</v>
      </c>
      <c r="C250" s="253">
        <v>46.0</v>
      </c>
      <c r="D250" s="235">
        <v>23.0</v>
      </c>
      <c r="E250" s="235">
        <v>23.0</v>
      </c>
      <c r="F250" s="253">
        <v>46.0</v>
      </c>
      <c r="G250" s="235">
        <v>23.0</v>
      </c>
      <c r="H250" s="236">
        <v>9.3311748E7</v>
      </c>
      <c r="I250" s="16">
        <v>83.0</v>
      </c>
      <c r="J250" s="11">
        <v>4.0</v>
      </c>
      <c r="K250" s="11" t="str">
        <f t="shared" si="1"/>
        <v>00230093311748834</v>
      </c>
      <c r="L250" s="238">
        <v>5694.42</v>
      </c>
      <c r="M250" s="254">
        <v>21921.0</v>
      </c>
      <c r="N250" s="16">
        <v>83.0</v>
      </c>
      <c r="O250" s="22">
        <v>8.0</v>
      </c>
      <c r="P250" s="17">
        <v>26.0</v>
      </c>
      <c r="Q250" s="11">
        <v>8.4848678E7</v>
      </c>
      <c r="R250" s="11">
        <v>8.0</v>
      </c>
      <c r="S250" s="24" t="s">
        <v>39</v>
      </c>
      <c r="T250" s="249" t="s">
        <v>5539</v>
      </c>
      <c r="U250" s="17">
        <v>28.0</v>
      </c>
      <c r="V250" s="16">
        <v>90.0</v>
      </c>
      <c r="W250" s="16">
        <v>16.0</v>
      </c>
      <c r="X250" s="50">
        <v>51119.0</v>
      </c>
      <c r="Y250" s="250">
        <v>8649.0</v>
      </c>
    </row>
    <row r="251">
      <c r="A251" s="11">
        <v>15.0</v>
      </c>
      <c r="B251" s="11">
        <v>45.0</v>
      </c>
      <c r="C251" s="253">
        <v>54.0</v>
      </c>
      <c r="D251" s="235">
        <v>5.0</v>
      </c>
      <c r="E251" s="235">
        <v>5.0</v>
      </c>
      <c r="F251" s="253">
        <v>54.0</v>
      </c>
      <c r="G251" s="235">
        <v>5.0</v>
      </c>
      <c r="H251" s="236">
        <v>5.7804713E7</v>
      </c>
      <c r="I251" s="16">
        <v>97.0</v>
      </c>
      <c r="J251" s="11">
        <v>5.0</v>
      </c>
      <c r="K251" s="11" t="str">
        <f t="shared" si="1"/>
        <v>00050057804713975</v>
      </c>
      <c r="L251" s="238">
        <v>5292.1</v>
      </c>
      <c r="M251" s="254">
        <v>21915.0</v>
      </c>
      <c r="N251" s="16">
        <v>87.0</v>
      </c>
      <c r="O251" s="22">
        <v>4.0</v>
      </c>
      <c r="P251" s="17">
        <v>26.0</v>
      </c>
      <c r="Q251" s="11">
        <v>2.3746016E7</v>
      </c>
      <c r="R251" s="11">
        <v>8.0</v>
      </c>
      <c r="S251" s="24" t="s">
        <v>5292</v>
      </c>
      <c r="T251" s="249" t="s">
        <v>5540</v>
      </c>
      <c r="U251" s="17">
        <v>29.0</v>
      </c>
      <c r="V251" s="16">
        <v>1.0</v>
      </c>
      <c r="W251" s="16">
        <v>5.0</v>
      </c>
      <c r="X251" s="50">
        <v>71016.0</v>
      </c>
      <c r="Y251" s="250">
        <v>8322.0</v>
      </c>
    </row>
    <row r="252">
      <c r="A252" s="11">
        <v>18.0</v>
      </c>
      <c r="B252" s="11">
        <v>66.0</v>
      </c>
      <c r="C252" s="253">
        <v>29.0</v>
      </c>
      <c r="D252" s="235">
        <v>61.0</v>
      </c>
      <c r="E252" s="235">
        <v>61.0</v>
      </c>
      <c r="F252" s="253">
        <v>29.0</v>
      </c>
      <c r="G252" s="235">
        <v>61.0</v>
      </c>
      <c r="H252" s="236">
        <v>9.6133149E7</v>
      </c>
      <c r="I252" s="16">
        <v>62.0</v>
      </c>
      <c r="J252" s="11">
        <v>0.0</v>
      </c>
      <c r="K252" s="11" t="str">
        <f t="shared" si="1"/>
        <v>00610096133149620</v>
      </c>
      <c r="L252" s="238">
        <v>847408.8</v>
      </c>
      <c r="M252" s="254">
        <v>80120.0</v>
      </c>
      <c r="N252" s="16">
        <v>35.0</v>
      </c>
      <c r="O252" s="22">
        <v>23.0</v>
      </c>
      <c r="P252" s="17">
        <v>87.0</v>
      </c>
      <c r="Q252" s="11">
        <v>3.1686746E7</v>
      </c>
      <c r="R252" s="11">
        <v>9.0</v>
      </c>
      <c r="S252" s="24" t="s">
        <v>5292</v>
      </c>
      <c r="T252" s="249" t="s">
        <v>5541</v>
      </c>
      <c r="U252" s="17">
        <v>75.0</v>
      </c>
      <c r="V252" s="16">
        <v>26.0</v>
      </c>
      <c r="W252" s="16">
        <v>5.0</v>
      </c>
      <c r="X252" s="50">
        <v>72418.0</v>
      </c>
      <c r="Y252" s="250">
        <v>1120.0</v>
      </c>
    </row>
    <row r="253">
      <c r="A253" s="11">
        <v>17.0</v>
      </c>
      <c r="B253" s="11">
        <v>86.0</v>
      </c>
      <c r="C253" s="253">
        <v>41.0</v>
      </c>
      <c r="D253" s="235">
        <v>19.0</v>
      </c>
      <c r="E253" s="235">
        <v>19.0</v>
      </c>
      <c r="F253" s="253">
        <v>41.0</v>
      </c>
      <c r="G253" s="235">
        <v>19.0</v>
      </c>
      <c r="H253" s="236">
        <v>1.1891448E7</v>
      </c>
      <c r="I253" s="16">
        <v>96.0</v>
      </c>
      <c r="J253" s="11">
        <v>7.0</v>
      </c>
      <c r="K253" s="11" t="str">
        <f t="shared" si="1"/>
        <v>00190011891448967</v>
      </c>
      <c r="L253" s="238">
        <v>-9924.59</v>
      </c>
      <c r="M253" s="254">
        <v>20118.0</v>
      </c>
      <c r="N253" s="16">
        <v>31.0</v>
      </c>
      <c r="O253" s="22">
        <v>56.0</v>
      </c>
      <c r="P253" s="17">
        <v>46.0</v>
      </c>
      <c r="Q253" s="11">
        <v>2.0613721E7</v>
      </c>
      <c r="R253" s="11">
        <v>8.0</v>
      </c>
      <c r="S253" s="24" t="s">
        <v>29</v>
      </c>
      <c r="T253" s="249" t="s">
        <v>5542</v>
      </c>
      <c r="U253" s="17">
        <v>80.0</v>
      </c>
      <c r="V253" s="16">
        <v>20.0</v>
      </c>
      <c r="W253" s="16">
        <v>4.0</v>
      </c>
      <c r="X253" s="50">
        <v>50622.0</v>
      </c>
      <c r="Y253" s="250">
        <v>2961.0</v>
      </c>
    </row>
    <row r="254">
      <c r="A254" s="11">
        <v>15.0</v>
      </c>
      <c r="B254" s="11">
        <v>45.0</v>
      </c>
      <c r="C254" s="253">
        <v>31.0</v>
      </c>
      <c r="D254" s="235">
        <v>13.0</v>
      </c>
      <c r="E254" s="235">
        <v>13.0</v>
      </c>
      <c r="F254" s="253">
        <v>31.0</v>
      </c>
      <c r="G254" s="235">
        <v>13.0</v>
      </c>
      <c r="H254" s="236">
        <v>6.873187E7</v>
      </c>
      <c r="I254" s="16">
        <v>1.0</v>
      </c>
      <c r="J254" s="11">
        <v>2.0</v>
      </c>
      <c r="K254" s="11" t="str">
        <f t="shared" si="1"/>
        <v>00130068731870012</v>
      </c>
      <c r="L254" s="238">
        <v>16027.59</v>
      </c>
      <c r="M254" s="254">
        <v>52418.0</v>
      </c>
      <c r="N254" s="16">
        <v>72.0</v>
      </c>
      <c r="O254" s="22">
        <v>10.0</v>
      </c>
      <c r="P254" s="17">
        <v>26.0</v>
      </c>
      <c r="Q254" s="11">
        <v>1.3147335E7</v>
      </c>
      <c r="R254" s="11">
        <v>6.0</v>
      </c>
      <c r="S254" s="24" t="s">
        <v>39</v>
      </c>
      <c r="T254" s="249" t="s">
        <v>5543</v>
      </c>
      <c r="U254" s="17">
        <v>34.0</v>
      </c>
      <c r="V254" s="16">
        <v>55.0</v>
      </c>
      <c r="W254" s="16">
        <v>83.0</v>
      </c>
      <c r="X254" s="50">
        <v>82818.0</v>
      </c>
      <c r="Y254" s="250">
        <v>6696.0</v>
      </c>
    </row>
    <row r="255">
      <c r="A255" s="11">
        <v>16.0</v>
      </c>
      <c r="B255" s="11">
        <v>25.0</v>
      </c>
      <c r="C255" s="253">
        <v>37.0</v>
      </c>
      <c r="D255" s="235">
        <v>99.0</v>
      </c>
      <c r="E255" s="235">
        <v>99.0</v>
      </c>
      <c r="F255" s="253">
        <v>37.0</v>
      </c>
      <c r="G255" s="235">
        <v>99.0</v>
      </c>
      <c r="H255" s="236">
        <v>8.2025393E7</v>
      </c>
      <c r="I255" s="16">
        <v>47.0</v>
      </c>
      <c r="J255" s="11">
        <v>3.0</v>
      </c>
      <c r="K255" s="11" t="str">
        <f t="shared" si="1"/>
        <v>00990082025393473</v>
      </c>
      <c r="L255" s="238">
        <v>3475.9</v>
      </c>
      <c r="M255" s="254">
        <v>70213.0</v>
      </c>
      <c r="N255" s="16">
        <v>96.0</v>
      </c>
      <c r="O255" s="22">
        <v>53.0</v>
      </c>
      <c r="P255" s="17">
        <v>67.0</v>
      </c>
      <c r="Q255" s="11">
        <v>2.9888812E7</v>
      </c>
      <c r="R255" s="11">
        <v>1.0</v>
      </c>
      <c r="S255" s="24" t="s">
        <v>48</v>
      </c>
      <c r="T255" s="249" t="s">
        <v>5544</v>
      </c>
      <c r="U255" s="17">
        <v>36.0</v>
      </c>
      <c r="V255" s="16">
        <v>12.0</v>
      </c>
      <c r="W255" s="16">
        <v>26.0</v>
      </c>
      <c r="X255" s="50">
        <v>71322.0</v>
      </c>
      <c r="Y255" s="250">
        <v>9522.0</v>
      </c>
    </row>
    <row r="256">
      <c r="A256" s="11">
        <v>13.0</v>
      </c>
      <c r="B256" s="11">
        <v>25.0</v>
      </c>
      <c r="C256" s="253">
        <v>27.0</v>
      </c>
      <c r="D256" s="235">
        <v>117.0</v>
      </c>
      <c r="E256" s="235">
        <v>117.0</v>
      </c>
      <c r="F256" s="253">
        <v>27.0</v>
      </c>
      <c r="G256" s="235">
        <v>117.0</v>
      </c>
      <c r="H256" s="236">
        <v>3.1723056E7</v>
      </c>
      <c r="I256" s="16">
        <v>36.0</v>
      </c>
      <c r="J256" s="11">
        <v>1.0</v>
      </c>
      <c r="K256" s="11" t="str">
        <f t="shared" si="1"/>
        <v>01170031723056361</v>
      </c>
      <c r="L256" s="238">
        <v>9591.41</v>
      </c>
      <c r="M256" s="254">
        <v>41622.0</v>
      </c>
      <c r="N256" s="16">
        <v>92.0</v>
      </c>
      <c r="O256" s="22">
        <v>53.0</v>
      </c>
      <c r="P256" s="17">
        <v>87.0</v>
      </c>
      <c r="Q256" s="11">
        <v>5.6925398E7</v>
      </c>
      <c r="R256" s="11">
        <v>8.0</v>
      </c>
      <c r="S256" s="24" t="s">
        <v>29</v>
      </c>
      <c r="T256" s="249" t="s">
        <v>5545</v>
      </c>
      <c r="U256" s="17">
        <v>88.0</v>
      </c>
      <c r="V256" s="16">
        <v>10.0</v>
      </c>
      <c r="W256" s="16">
        <v>71.0</v>
      </c>
      <c r="X256" s="50">
        <v>51815.0</v>
      </c>
      <c r="Y256" s="250">
        <v>8934.0</v>
      </c>
    </row>
    <row r="257">
      <c r="A257" s="11">
        <v>11.0</v>
      </c>
      <c r="B257" s="11">
        <v>45.0</v>
      </c>
      <c r="C257" s="253">
        <v>17.0</v>
      </c>
      <c r="D257" s="235">
        <v>73.0</v>
      </c>
      <c r="E257" s="235">
        <v>73.0</v>
      </c>
      <c r="F257" s="253">
        <v>17.0</v>
      </c>
      <c r="G257" s="235">
        <v>73.0</v>
      </c>
      <c r="H257" s="236">
        <v>5.7466309E7</v>
      </c>
      <c r="I257" s="16">
        <v>95.0</v>
      </c>
      <c r="J257" s="11">
        <v>6.0</v>
      </c>
      <c r="K257" s="11" t="str">
        <f t="shared" si="1"/>
        <v>00730057466309956</v>
      </c>
      <c r="L257" s="238">
        <v>9587.11</v>
      </c>
      <c r="M257" s="254">
        <v>51023.0</v>
      </c>
      <c r="N257" s="16">
        <v>41.0</v>
      </c>
      <c r="O257" s="22">
        <v>46.0</v>
      </c>
      <c r="P257" s="17">
        <v>26.0</v>
      </c>
      <c r="Q257" s="11">
        <v>9.0682522E7</v>
      </c>
      <c r="R257" s="11">
        <v>8.0</v>
      </c>
      <c r="S257" s="24" t="s">
        <v>39</v>
      </c>
      <c r="T257" s="249" t="s">
        <v>5546</v>
      </c>
      <c r="U257" s="17">
        <v>45.0</v>
      </c>
      <c r="V257" s="16">
        <v>55.0</v>
      </c>
      <c r="W257" s="16">
        <v>32.0</v>
      </c>
      <c r="X257" s="50">
        <v>11221.0</v>
      </c>
      <c r="Y257" s="250">
        <v>3649.0</v>
      </c>
    </row>
    <row r="258">
      <c r="A258" s="11">
        <v>19.0</v>
      </c>
      <c r="B258" s="11">
        <v>86.0</v>
      </c>
      <c r="C258" s="253">
        <v>29.0</v>
      </c>
      <c r="D258" s="235">
        <v>13.0</v>
      </c>
      <c r="E258" s="235">
        <v>13.0</v>
      </c>
      <c r="F258" s="253">
        <v>29.0</v>
      </c>
      <c r="G258" s="235">
        <v>13.0</v>
      </c>
      <c r="H258" s="236">
        <v>7.3146653E7</v>
      </c>
      <c r="I258" s="16">
        <v>95.0</v>
      </c>
      <c r="J258" s="11">
        <v>1.0</v>
      </c>
      <c r="K258" s="11" t="str">
        <f t="shared" si="1"/>
        <v>00130073146653951</v>
      </c>
      <c r="L258" s="238">
        <v>481094.2</v>
      </c>
      <c r="M258" s="254">
        <v>70523.0</v>
      </c>
      <c r="N258" s="16">
        <v>67.0</v>
      </c>
      <c r="O258" s="22">
        <v>19.0</v>
      </c>
      <c r="P258" s="17">
        <v>26.0</v>
      </c>
      <c r="Q258" s="11">
        <v>1.5760915E7</v>
      </c>
      <c r="R258" s="11">
        <v>8.0</v>
      </c>
      <c r="S258" s="24" t="s">
        <v>39</v>
      </c>
      <c r="T258" s="249" t="s">
        <v>5547</v>
      </c>
      <c r="U258" s="17">
        <v>54.0</v>
      </c>
      <c r="V258" s="16">
        <v>30.0</v>
      </c>
      <c r="W258" s="16">
        <v>71.0</v>
      </c>
      <c r="X258" s="50">
        <v>32122.0</v>
      </c>
      <c r="Y258" s="250">
        <v>3745.0</v>
      </c>
    </row>
    <row r="259">
      <c r="A259" s="11">
        <v>19.0</v>
      </c>
      <c r="B259" s="11">
        <v>45.0</v>
      </c>
      <c r="C259" s="253">
        <v>51.0</v>
      </c>
      <c r="D259" s="235">
        <v>690.0</v>
      </c>
      <c r="E259" s="235">
        <v>690.0</v>
      </c>
      <c r="F259" s="253">
        <v>51.0</v>
      </c>
      <c r="G259" s="235">
        <v>690.0</v>
      </c>
      <c r="H259" s="236">
        <v>7.2571861E7</v>
      </c>
      <c r="I259" s="16">
        <v>52.0</v>
      </c>
      <c r="J259" s="11">
        <v>1.0</v>
      </c>
      <c r="K259" s="11" t="str">
        <f t="shared" si="1"/>
        <v>06900072571861521</v>
      </c>
      <c r="L259" s="238">
        <v>6414.33</v>
      </c>
      <c r="M259" s="254">
        <v>12918.0</v>
      </c>
      <c r="N259" s="16">
        <v>59.0</v>
      </c>
      <c r="O259" s="22">
        <v>23.0</v>
      </c>
      <c r="P259" s="17">
        <v>87.0</v>
      </c>
      <c r="Q259" s="11">
        <v>4.9544473E7</v>
      </c>
      <c r="R259" s="11">
        <v>2.0</v>
      </c>
      <c r="S259" s="24" t="s">
        <v>29</v>
      </c>
      <c r="T259" s="249" t="s">
        <v>5548</v>
      </c>
      <c r="U259" s="17">
        <v>99.0</v>
      </c>
      <c r="V259" s="16">
        <v>59.0</v>
      </c>
      <c r="W259" s="16">
        <v>32.0</v>
      </c>
      <c r="X259" s="50">
        <v>30819.0</v>
      </c>
      <c r="Y259" s="250">
        <v>1851.0</v>
      </c>
    </row>
    <row r="260">
      <c r="A260" s="11">
        <v>19.0</v>
      </c>
      <c r="B260" s="11">
        <v>45.0</v>
      </c>
      <c r="C260" s="253">
        <v>30.0</v>
      </c>
      <c r="D260" s="235">
        <v>71.0</v>
      </c>
      <c r="E260" s="235">
        <v>71.0</v>
      </c>
      <c r="F260" s="253">
        <v>30.0</v>
      </c>
      <c r="G260" s="235">
        <v>71.0</v>
      </c>
      <c r="H260" s="236">
        <v>4.0434118E7</v>
      </c>
      <c r="I260" s="16">
        <v>93.0</v>
      </c>
      <c r="J260" s="11">
        <v>7.0</v>
      </c>
      <c r="K260" s="11" t="str">
        <f t="shared" si="1"/>
        <v>00710040434118937</v>
      </c>
      <c r="L260" s="238">
        <v>321.17</v>
      </c>
      <c r="M260" s="254">
        <v>52115.0</v>
      </c>
      <c r="N260" s="16">
        <v>59.0</v>
      </c>
      <c r="O260" s="22">
        <v>44.0</v>
      </c>
      <c r="P260" s="17">
        <v>47.0</v>
      </c>
      <c r="Q260" s="11">
        <v>3.2935816E7</v>
      </c>
      <c r="R260" s="11">
        <v>7.0</v>
      </c>
      <c r="S260" s="24" t="s">
        <v>39</v>
      </c>
      <c r="T260" s="249" t="s">
        <v>5549</v>
      </c>
      <c r="U260" s="17">
        <v>2.0</v>
      </c>
      <c r="V260" s="16">
        <v>76.0</v>
      </c>
      <c r="W260" s="16">
        <v>28.0</v>
      </c>
      <c r="X260" s="50">
        <v>60917.0</v>
      </c>
      <c r="Y260" s="250">
        <v>3612.0</v>
      </c>
    </row>
    <row r="261">
      <c r="A261" s="11">
        <v>10.0</v>
      </c>
      <c r="B261" s="11">
        <v>66.0</v>
      </c>
      <c r="C261" s="253">
        <v>31.0</v>
      </c>
      <c r="D261" s="235">
        <v>171.0</v>
      </c>
      <c r="E261" s="235">
        <v>171.0</v>
      </c>
      <c r="F261" s="253">
        <v>31.0</v>
      </c>
      <c r="G261" s="235">
        <v>171.0</v>
      </c>
      <c r="H261" s="236">
        <v>2.4259989E7</v>
      </c>
      <c r="I261" s="16">
        <v>60.0</v>
      </c>
      <c r="J261" s="11">
        <v>7.0</v>
      </c>
      <c r="K261" s="11" t="str">
        <f t="shared" si="1"/>
        <v>01710024259989607</v>
      </c>
      <c r="L261" s="238">
        <v>331.18</v>
      </c>
      <c r="M261" s="254">
        <v>62113.0</v>
      </c>
      <c r="N261" s="16">
        <v>75.0</v>
      </c>
      <c r="O261" s="22">
        <v>40.0</v>
      </c>
      <c r="P261" s="17">
        <v>67.0</v>
      </c>
      <c r="Q261" s="11">
        <v>4.3479329E7</v>
      </c>
      <c r="R261" s="11">
        <v>7.0</v>
      </c>
      <c r="S261" s="24" t="s">
        <v>29</v>
      </c>
      <c r="T261" s="249" t="s">
        <v>5550</v>
      </c>
      <c r="U261" s="17">
        <v>50.0</v>
      </c>
      <c r="V261" s="16">
        <v>3.0</v>
      </c>
      <c r="W261" s="16">
        <v>97.0</v>
      </c>
      <c r="X261" s="50">
        <v>12015.0</v>
      </c>
      <c r="Y261" s="250">
        <v>2770.0</v>
      </c>
    </row>
    <row r="262">
      <c r="A262" s="11">
        <v>18.0</v>
      </c>
      <c r="B262" s="11">
        <v>21.0</v>
      </c>
      <c r="C262" s="253">
        <v>40.0</v>
      </c>
      <c r="D262" s="235">
        <v>99.0</v>
      </c>
      <c r="E262" s="235">
        <v>99.0</v>
      </c>
      <c r="F262" s="253">
        <v>40.0</v>
      </c>
      <c r="G262" s="235">
        <v>99.0</v>
      </c>
      <c r="H262" s="236">
        <v>8.3289181E7</v>
      </c>
      <c r="I262" s="16">
        <v>39.0</v>
      </c>
      <c r="J262" s="11">
        <v>4.0</v>
      </c>
      <c r="K262" s="11" t="str">
        <f t="shared" si="1"/>
        <v>00990083289181394</v>
      </c>
      <c r="L262" s="238">
        <v>13413.32</v>
      </c>
      <c r="M262" s="254">
        <v>103116.0</v>
      </c>
      <c r="N262" s="16">
        <v>97.0</v>
      </c>
      <c r="O262" s="22">
        <v>37.0</v>
      </c>
      <c r="P262" s="17">
        <v>26.0</v>
      </c>
      <c r="Q262" s="11">
        <v>1.3696168E7</v>
      </c>
      <c r="R262" s="11">
        <v>3.0</v>
      </c>
      <c r="S262" s="24" t="s">
        <v>5292</v>
      </c>
      <c r="T262" s="249" t="s">
        <v>5551</v>
      </c>
      <c r="U262" s="17">
        <v>60.0</v>
      </c>
      <c r="V262" s="16">
        <v>7.0</v>
      </c>
      <c r="W262" s="16">
        <v>47.0</v>
      </c>
      <c r="X262" s="50">
        <v>31214.0</v>
      </c>
      <c r="Y262" s="250">
        <v>503.0</v>
      </c>
    </row>
    <row r="263">
      <c r="A263" s="11">
        <v>19.0</v>
      </c>
      <c r="B263" s="11">
        <v>45.0</v>
      </c>
      <c r="C263" s="253">
        <v>21.0</v>
      </c>
      <c r="D263" s="235">
        <v>115.0</v>
      </c>
      <c r="E263" s="235">
        <v>115.0</v>
      </c>
      <c r="F263" s="253">
        <v>21.0</v>
      </c>
      <c r="G263" s="235">
        <v>115.0</v>
      </c>
      <c r="H263" s="236">
        <v>9.0895855E7</v>
      </c>
      <c r="I263" s="16">
        <v>68.0</v>
      </c>
      <c r="J263" s="11">
        <v>3.0</v>
      </c>
      <c r="K263" s="11" t="str">
        <f t="shared" si="1"/>
        <v>01150090895855683</v>
      </c>
      <c r="L263" s="238">
        <v>9658.89</v>
      </c>
      <c r="M263" s="254">
        <v>112319.0</v>
      </c>
      <c r="N263" s="16">
        <v>44.0</v>
      </c>
      <c r="O263" s="22">
        <v>11.0</v>
      </c>
      <c r="P263" s="17">
        <v>47.0</v>
      </c>
      <c r="Q263" s="11">
        <v>9.5104531E7</v>
      </c>
      <c r="R263" s="11">
        <v>4.0</v>
      </c>
      <c r="S263" s="24" t="s">
        <v>29</v>
      </c>
      <c r="T263" s="249" t="s">
        <v>5552</v>
      </c>
      <c r="U263" s="17">
        <v>11.0</v>
      </c>
      <c r="V263" s="16">
        <v>61.0</v>
      </c>
      <c r="W263" s="16">
        <v>90.0</v>
      </c>
      <c r="X263" s="50">
        <v>90717.0</v>
      </c>
      <c r="Y263" s="250">
        <v>4030.0</v>
      </c>
    </row>
    <row r="264">
      <c r="A264" s="11">
        <v>17.0</v>
      </c>
      <c r="B264" s="11">
        <v>45.0</v>
      </c>
      <c r="C264" s="253">
        <v>17.0</v>
      </c>
      <c r="D264" s="235">
        <v>143.0</v>
      </c>
      <c r="E264" s="235">
        <v>143.0</v>
      </c>
      <c r="F264" s="253">
        <v>17.0</v>
      </c>
      <c r="G264" s="235">
        <v>143.0</v>
      </c>
      <c r="H264" s="236">
        <v>4.4847848E7</v>
      </c>
      <c r="I264" s="16">
        <v>97.0</v>
      </c>
      <c r="J264" s="11">
        <v>2.0</v>
      </c>
      <c r="K264" s="11" t="str">
        <f t="shared" si="1"/>
        <v>01430044847848972</v>
      </c>
      <c r="L264" s="238">
        <v>76448.22</v>
      </c>
      <c r="M264" s="254">
        <v>121515.0</v>
      </c>
      <c r="N264" s="16">
        <v>54.0</v>
      </c>
      <c r="O264" s="22">
        <v>10.0</v>
      </c>
      <c r="P264" s="17">
        <v>67.0</v>
      </c>
      <c r="Q264" s="11">
        <v>4.5503142E7</v>
      </c>
      <c r="R264" s="11">
        <v>8.0</v>
      </c>
      <c r="S264" s="24" t="s">
        <v>39</v>
      </c>
      <c r="T264" s="249" t="s">
        <v>5553</v>
      </c>
      <c r="U264" s="17">
        <v>62.0</v>
      </c>
      <c r="V264" s="16">
        <v>29.0</v>
      </c>
      <c r="W264" s="16">
        <v>72.0</v>
      </c>
      <c r="X264" s="50">
        <v>22316.0</v>
      </c>
      <c r="Y264" s="250">
        <v>1500.0</v>
      </c>
    </row>
    <row r="265">
      <c r="A265" s="11">
        <v>18.0</v>
      </c>
      <c r="B265" s="11">
        <v>86.0</v>
      </c>
      <c r="C265" s="253">
        <v>18.0</v>
      </c>
      <c r="D265" s="235">
        <v>61.0</v>
      </c>
      <c r="E265" s="235">
        <v>61.0</v>
      </c>
      <c r="F265" s="253">
        <v>18.0</v>
      </c>
      <c r="G265" s="235">
        <v>61.0</v>
      </c>
      <c r="H265" s="236">
        <v>7.8033073E7</v>
      </c>
      <c r="I265" s="16">
        <v>22.0</v>
      </c>
      <c r="J265" s="11">
        <v>2.0</v>
      </c>
      <c r="K265" s="11" t="str">
        <f t="shared" si="1"/>
        <v>00610078033073222</v>
      </c>
      <c r="L265" s="238">
        <v>3477.53</v>
      </c>
      <c r="M265" s="254">
        <v>122813.0</v>
      </c>
      <c r="N265" s="16">
        <v>23.0</v>
      </c>
      <c r="O265" s="22">
        <v>9.0</v>
      </c>
      <c r="P265" s="17">
        <v>47.0</v>
      </c>
      <c r="Q265" s="11">
        <v>7.8438547E7</v>
      </c>
      <c r="R265" s="11">
        <v>8.0</v>
      </c>
      <c r="S265" s="24" t="s">
        <v>39</v>
      </c>
      <c r="T265" s="249" t="s">
        <v>5554</v>
      </c>
      <c r="U265" s="17">
        <v>14.0</v>
      </c>
      <c r="V265" s="16">
        <v>71.0</v>
      </c>
      <c r="W265" s="16">
        <v>63.0</v>
      </c>
      <c r="X265" s="50">
        <v>112422.0</v>
      </c>
      <c r="Y265" s="250">
        <v>4420.0</v>
      </c>
    </row>
    <row r="266">
      <c r="A266" s="11">
        <v>11.0</v>
      </c>
      <c r="B266" s="11">
        <v>86.0</v>
      </c>
      <c r="C266" s="253">
        <v>4.0</v>
      </c>
      <c r="D266" s="235">
        <v>3.0</v>
      </c>
      <c r="E266" s="235">
        <v>3.0</v>
      </c>
      <c r="F266" s="253">
        <v>4.0</v>
      </c>
      <c r="G266" s="235">
        <v>3.0</v>
      </c>
      <c r="H266" s="236">
        <v>9.3753288E7</v>
      </c>
      <c r="I266" s="16">
        <v>89.0</v>
      </c>
      <c r="J266" s="11">
        <v>3.0</v>
      </c>
      <c r="K266" s="11" t="str">
        <f t="shared" si="1"/>
        <v>00030093753288893</v>
      </c>
      <c r="L266" s="238">
        <v>718386.1</v>
      </c>
      <c r="M266" s="254">
        <v>92123.0</v>
      </c>
      <c r="N266" s="16">
        <v>99.0</v>
      </c>
      <c r="O266" s="22">
        <v>28.0</v>
      </c>
      <c r="P266" s="17">
        <v>67.0</v>
      </c>
      <c r="Q266" s="11">
        <v>4.9965771E7</v>
      </c>
      <c r="R266" s="11">
        <v>8.0</v>
      </c>
      <c r="S266" s="24" t="s">
        <v>39</v>
      </c>
      <c r="T266" s="249" t="s">
        <v>5555</v>
      </c>
      <c r="U266" s="17">
        <v>64.0</v>
      </c>
      <c r="V266" s="16">
        <v>79.0</v>
      </c>
      <c r="W266" s="16">
        <v>69.0</v>
      </c>
      <c r="X266" s="50">
        <v>122914.0</v>
      </c>
      <c r="Y266" s="250">
        <v>983.0</v>
      </c>
    </row>
    <row r="267">
      <c r="A267" s="11">
        <v>15.0</v>
      </c>
      <c r="B267" s="11">
        <v>25.0</v>
      </c>
      <c r="C267" s="253">
        <v>42.0</v>
      </c>
      <c r="D267" s="235">
        <v>99.0</v>
      </c>
      <c r="E267" s="235">
        <v>99.0</v>
      </c>
      <c r="F267" s="253">
        <v>42.0</v>
      </c>
      <c r="G267" s="235">
        <v>99.0</v>
      </c>
      <c r="H267" s="236">
        <v>6.5182985E7</v>
      </c>
      <c r="I267" s="16">
        <v>65.0</v>
      </c>
      <c r="J267" s="11">
        <v>5.0</v>
      </c>
      <c r="K267" s="11" t="str">
        <f t="shared" si="1"/>
        <v>00990065182985655</v>
      </c>
      <c r="L267" s="238">
        <v>369.47</v>
      </c>
      <c r="M267" s="254">
        <v>100716.0</v>
      </c>
      <c r="N267" s="16">
        <v>95.0</v>
      </c>
      <c r="O267" s="22">
        <v>4.0</v>
      </c>
      <c r="P267" s="17">
        <v>88.0</v>
      </c>
      <c r="Q267" s="11">
        <v>1.6808439E7</v>
      </c>
      <c r="R267" s="11">
        <v>9.0</v>
      </c>
      <c r="S267" s="24" t="s">
        <v>39</v>
      </c>
      <c r="T267" s="249" t="s">
        <v>5556</v>
      </c>
      <c r="U267" s="17">
        <v>21.0</v>
      </c>
      <c r="V267" s="16">
        <v>27.0</v>
      </c>
      <c r="W267" s="16">
        <v>27.0</v>
      </c>
      <c r="X267" s="50">
        <v>72114.0</v>
      </c>
      <c r="Y267" s="250">
        <v>2343.0</v>
      </c>
    </row>
    <row r="268">
      <c r="A268" s="11">
        <v>12.0</v>
      </c>
      <c r="B268" s="11">
        <v>25.0</v>
      </c>
      <c r="C268" s="253">
        <v>41.0</v>
      </c>
      <c r="D268" s="235">
        <v>11.0</v>
      </c>
      <c r="E268" s="235">
        <v>11.0</v>
      </c>
      <c r="F268" s="253">
        <v>41.0</v>
      </c>
      <c r="G268" s="235">
        <v>11.0</v>
      </c>
      <c r="H268" s="236">
        <v>6.7174467E7</v>
      </c>
      <c r="I268" s="16">
        <v>87.0</v>
      </c>
      <c r="J268" s="11">
        <v>3.0</v>
      </c>
      <c r="K268" s="11" t="str">
        <f t="shared" si="1"/>
        <v>00110067174467873</v>
      </c>
      <c r="L268" s="238">
        <v>960201.72</v>
      </c>
      <c r="M268" s="254">
        <v>72515.0</v>
      </c>
      <c r="N268" s="16">
        <v>67.0</v>
      </c>
      <c r="O268" s="22">
        <v>9.0</v>
      </c>
      <c r="P268" s="17">
        <v>67.0</v>
      </c>
      <c r="Q268" s="11">
        <v>9.306913E7</v>
      </c>
      <c r="R268" s="11">
        <v>1.0</v>
      </c>
      <c r="S268" s="24" t="s">
        <v>29</v>
      </c>
      <c r="T268" s="249" t="s">
        <v>5557</v>
      </c>
      <c r="U268" s="17">
        <v>80.0</v>
      </c>
      <c r="V268" s="16">
        <v>16.0</v>
      </c>
      <c r="W268" s="16">
        <v>38.0</v>
      </c>
      <c r="X268" s="50">
        <v>41014.0</v>
      </c>
      <c r="Y268" s="250">
        <v>5068.0</v>
      </c>
    </row>
    <row r="269">
      <c r="A269" s="11">
        <v>18.0</v>
      </c>
      <c r="B269" s="11">
        <v>25.0</v>
      </c>
      <c r="C269" s="253">
        <v>21.0</v>
      </c>
      <c r="D269" s="235">
        <v>17.0</v>
      </c>
      <c r="E269" s="235">
        <v>17.0</v>
      </c>
      <c r="F269" s="253">
        <v>21.0</v>
      </c>
      <c r="G269" s="235">
        <v>17.0</v>
      </c>
      <c r="H269" s="236">
        <v>1.1308127E7</v>
      </c>
      <c r="I269" s="16">
        <v>6.0</v>
      </c>
      <c r="J269" s="11">
        <v>5.0</v>
      </c>
      <c r="K269" s="11" t="str">
        <f t="shared" si="1"/>
        <v>00170011308127065</v>
      </c>
      <c r="L269" s="238">
        <v>419549.22</v>
      </c>
      <c r="M269" s="254">
        <v>72720.0</v>
      </c>
      <c r="N269" s="16">
        <v>71.0</v>
      </c>
      <c r="O269" s="22">
        <v>42.0</v>
      </c>
      <c r="P269" s="17">
        <v>67.0</v>
      </c>
      <c r="Q269" s="11">
        <v>6.3379971E7</v>
      </c>
      <c r="R269" s="11">
        <v>2.0</v>
      </c>
      <c r="S269" s="24" t="s">
        <v>5292</v>
      </c>
      <c r="T269" s="249" t="s">
        <v>5558</v>
      </c>
      <c r="U269" s="17">
        <v>81.0</v>
      </c>
      <c r="V269" s="16">
        <v>9.0</v>
      </c>
      <c r="W269" s="16">
        <v>44.0</v>
      </c>
      <c r="X269" s="50">
        <v>12221.0</v>
      </c>
      <c r="Y269" s="250">
        <v>4876.0</v>
      </c>
    </row>
    <row r="270">
      <c r="A270" s="11">
        <v>17.0</v>
      </c>
      <c r="B270" s="11">
        <v>87.0</v>
      </c>
      <c r="C270" s="253">
        <v>48.0</v>
      </c>
      <c r="D270" s="235">
        <v>219.0</v>
      </c>
      <c r="E270" s="235">
        <v>219.0</v>
      </c>
      <c r="F270" s="253">
        <v>48.0</v>
      </c>
      <c r="G270" s="235">
        <v>219.0</v>
      </c>
      <c r="H270" s="236">
        <v>2.7737199E7</v>
      </c>
      <c r="I270" s="16">
        <v>11.0</v>
      </c>
      <c r="J270" s="11">
        <v>9.0</v>
      </c>
      <c r="K270" s="11" t="str">
        <f t="shared" si="1"/>
        <v>02190027737199119</v>
      </c>
      <c r="L270" s="238">
        <v>72569.12</v>
      </c>
      <c r="M270" s="254">
        <v>40714.0</v>
      </c>
      <c r="N270" s="16">
        <v>15.0</v>
      </c>
      <c r="O270" s="22">
        <v>10.0</v>
      </c>
      <c r="P270" s="17">
        <v>88.0</v>
      </c>
      <c r="Q270" s="11">
        <v>4.5496814E7</v>
      </c>
      <c r="R270" s="11">
        <v>2.0</v>
      </c>
      <c r="S270" s="24" t="s">
        <v>48</v>
      </c>
      <c r="T270" s="249" t="s">
        <v>5559</v>
      </c>
      <c r="U270" s="17">
        <v>33.0</v>
      </c>
      <c r="V270" s="16">
        <v>34.0</v>
      </c>
      <c r="W270" s="16">
        <v>60.0</v>
      </c>
      <c r="X270" s="50">
        <v>102321.0</v>
      </c>
      <c r="Y270" s="250">
        <v>31.0</v>
      </c>
    </row>
    <row r="271">
      <c r="A271" s="11">
        <v>11.0</v>
      </c>
      <c r="B271" s="11">
        <v>66.0</v>
      </c>
      <c r="C271" s="253">
        <v>18.0</v>
      </c>
      <c r="D271" s="235">
        <v>121.0</v>
      </c>
      <c r="E271" s="235">
        <v>121.0</v>
      </c>
      <c r="F271" s="253">
        <v>18.0</v>
      </c>
      <c r="G271" s="235">
        <v>121.0</v>
      </c>
      <c r="H271" s="236">
        <v>1.122347E7</v>
      </c>
      <c r="I271" s="16">
        <v>40.0</v>
      </c>
      <c r="J271" s="11">
        <v>6.0</v>
      </c>
      <c r="K271" s="11" t="str">
        <f t="shared" si="1"/>
        <v>01210011223470406</v>
      </c>
      <c r="L271" s="238">
        <v>63655.63</v>
      </c>
      <c r="M271" s="254">
        <v>102214.0</v>
      </c>
      <c r="N271" s="16">
        <v>95.0</v>
      </c>
      <c r="O271" s="22">
        <v>45.0</v>
      </c>
      <c r="P271" s="17">
        <v>88.0</v>
      </c>
      <c r="Q271" s="11">
        <v>5.9419779E7</v>
      </c>
      <c r="R271" s="11">
        <v>9.0</v>
      </c>
      <c r="S271" s="24" t="s">
        <v>5292</v>
      </c>
      <c r="T271" s="249" t="s">
        <v>5560</v>
      </c>
      <c r="U271" s="17">
        <v>36.0</v>
      </c>
      <c r="V271" s="16">
        <v>9.0</v>
      </c>
      <c r="W271" s="16">
        <v>85.0</v>
      </c>
      <c r="X271" s="50">
        <v>30913.0</v>
      </c>
      <c r="Y271" s="250">
        <v>2850.0</v>
      </c>
    </row>
    <row r="272">
      <c r="A272" s="11">
        <v>20.0</v>
      </c>
      <c r="B272" s="11">
        <v>66.0</v>
      </c>
      <c r="C272" s="253">
        <v>48.0</v>
      </c>
      <c r="D272" s="235">
        <v>227.0</v>
      </c>
      <c r="E272" s="235">
        <v>227.0</v>
      </c>
      <c r="F272" s="253">
        <v>48.0</v>
      </c>
      <c r="G272" s="235">
        <v>227.0</v>
      </c>
      <c r="H272" s="236">
        <v>4.0599389E7</v>
      </c>
      <c r="I272" s="16">
        <v>18.0</v>
      </c>
      <c r="J272" s="11">
        <v>3.0</v>
      </c>
      <c r="K272" s="11" t="str">
        <f t="shared" si="1"/>
        <v>02270040599389183</v>
      </c>
      <c r="L272" s="238">
        <v>7826.8</v>
      </c>
      <c r="M272" s="254">
        <v>110923.0</v>
      </c>
      <c r="N272" s="16">
        <v>28.0</v>
      </c>
      <c r="O272" s="22">
        <v>51.0</v>
      </c>
      <c r="P272" s="17">
        <v>88.0</v>
      </c>
      <c r="Q272" s="11">
        <v>6.9214054E7</v>
      </c>
      <c r="R272" s="11">
        <v>0.0</v>
      </c>
      <c r="S272" s="24" t="s">
        <v>39</v>
      </c>
      <c r="T272" s="249" t="s">
        <v>5561</v>
      </c>
      <c r="U272" s="17">
        <v>40.0</v>
      </c>
      <c r="V272" s="16">
        <v>98.0</v>
      </c>
      <c r="W272" s="16">
        <v>52.0</v>
      </c>
      <c r="X272" s="50">
        <v>41815.0</v>
      </c>
      <c r="Y272" s="250">
        <v>3844.0</v>
      </c>
    </row>
    <row r="273">
      <c r="A273" s="11">
        <v>18.0</v>
      </c>
      <c r="B273" s="11">
        <v>25.0</v>
      </c>
      <c r="C273" s="253">
        <v>19.0</v>
      </c>
      <c r="D273" s="235">
        <v>183.0</v>
      </c>
      <c r="E273" s="235">
        <v>183.0</v>
      </c>
      <c r="F273" s="253">
        <v>19.0</v>
      </c>
      <c r="G273" s="235">
        <v>183.0</v>
      </c>
      <c r="H273" s="236">
        <v>4.8973805E7</v>
      </c>
      <c r="I273" s="16">
        <v>40.0</v>
      </c>
      <c r="J273" s="11">
        <v>6.0</v>
      </c>
      <c r="K273" s="11" t="str">
        <f t="shared" si="1"/>
        <v>01830048973805406</v>
      </c>
      <c r="L273" s="238">
        <v>888401.3</v>
      </c>
      <c r="M273" s="254">
        <v>81822.0</v>
      </c>
      <c r="N273" s="16">
        <v>85.0</v>
      </c>
      <c r="O273" s="22">
        <v>13.0</v>
      </c>
      <c r="P273" s="17">
        <v>26.0</v>
      </c>
      <c r="Q273" s="11">
        <v>1.4752728E7</v>
      </c>
      <c r="R273" s="11">
        <v>1.0</v>
      </c>
      <c r="S273" s="24" t="s">
        <v>48</v>
      </c>
      <c r="T273" s="249" t="s">
        <v>5562</v>
      </c>
      <c r="U273" s="17">
        <v>99.0</v>
      </c>
      <c r="V273" s="16">
        <v>25.0</v>
      </c>
      <c r="W273" s="16">
        <v>81.0</v>
      </c>
      <c r="X273" s="50">
        <v>123116.0</v>
      </c>
      <c r="Y273" s="250">
        <v>7831.0</v>
      </c>
    </row>
    <row r="274">
      <c r="A274" s="11">
        <v>20.0</v>
      </c>
      <c r="B274" s="11">
        <v>87.0</v>
      </c>
      <c r="C274" s="253">
        <v>45.0</v>
      </c>
      <c r="D274" s="235">
        <v>29.0</v>
      </c>
      <c r="E274" s="235">
        <v>29.0</v>
      </c>
      <c r="F274" s="253">
        <v>45.0</v>
      </c>
      <c r="G274" s="235">
        <v>29.0</v>
      </c>
      <c r="H274" s="236">
        <v>9.5494488E7</v>
      </c>
      <c r="I274" s="16">
        <v>77.0</v>
      </c>
      <c r="J274" s="11">
        <v>9.0</v>
      </c>
      <c r="K274" s="11" t="str">
        <f t="shared" si="1"/>
        <v>00290095494488779</v>
      </c>
      <c r="L274" s="238">
        <v>92476.76</v>
      </c>
      <c r="M274" s="254">
        <v>80715.0</v>
      </c>
      <c r="N274" s="16">
        <v>46.0</v>
      </c>
      <c r="O274" s="22">
        <v>27.0</v>
      </c>
      <c r="P274" s="17">
        <v>27.0</v>
      </c>
      <c r="Q274" s="11">
        <v>3.1424269E7</v>
      </c>
      <c r="R274" s="11">
        <v>0.0</v>
      </c>
      <c r="S274" s="24" t="s">
        <v>5292</v>
      </c>
      <c r="T274" s="249" t="s">
        <v>5563</v>
      </c>
      <c r="U274" s="17">
        <v>4.0</v>
      </c>
      <c r="V274" s="16">
        <v>54.0</v>
      </c>
      <c r="W274" s="16">
        <v>93.0</v>
      </c>
      <c r="X274" s="50">
        <v>31514.0</v>
      </c>
      <c r="Y274" s="250">
        <v>5622.0</v>
      </c>
    </row>
    <row r="275">
      <c r="A275" s="11">
        <v>15.0</v>
      </c>
      <c r="B275" s="11">
        <v>46.0</v>
      </c>
      <c r="C275" s="253">
        <v>12.0</v>
      </c>
      <c r="D275" s="235">
        <v>57.0</v>
      </c>
      <c r="E275" s="235">
        <v>57.0</v>
      </c>
      <c r="F275" s="253">
        <v>12.0</v>
      </c>
      <c r="G275" s="235">
        <v>57.0</v>
      </c>
      <c r="H275" s="236">
        <v>7.1844737E7</v>
      </c>
      <c r="I275" s="16">
        <v>58.0</v>
      </c>
      <c r="J275" s="11">
        <v>2.0</v>
      </c>
      <c r="K275" s="11" t="str">
        <f t="shared" si="1"/>
        <v>00570071844737582</v>
      </c>
      <c r="L275" s="238">
        <v>-667632.87</v>
      </c>
      <c r="M275" s="254">
        <v>81622.0</v>
      </c>
      <c r="N275" s="16">
        <v>71.0</v>
      </c>
      <c r="O275" s="22">
        <v>8.0</v>
      </c>
      <c r="P275" s="17">
        <v>47.0</v>
      </c>
      <c r="Q275" s="11">
        <v>7.5482009E7</v>
      </c>
      <c r="R275" s="11">
        <v>2.0</v>
      </c>
      <c r="S275" s="24" t="s">
        <v>5292</v>
      </c>
      <c r="T275" s="249" t="s">
        <v>5564</v>
      </c>
      <c r="U275" s="17">
        <v>53.0</v>
      </c>
      <c r="V275" s="16">
        <v>20.0</v>
      </c>
      <c r="W275" s="16">
        <v>18.0</v>
      </c>
      <c r="X275" s="50">
        <v>120913.0</v>
      </c>
      <c r="Y275" s="250">
        <v>6539.0</v>
      </c>
    </row>
    <row r="276">
      <c r="A276" s="11">
        <v>15.0</v>
      </c>
      <c r="B276" s="11">
        <v>25.0</v>
      </c>
      <c r="C276" s="253">
        <v>18.0</v>
      </c>
      <c r="D276" s="235">
        <v>23.0</v>
      </c>
      <c r="E276" s="235">
        <v>23.0</v>
      </c>
      <c r="F276" s="253">
        <v>18.0</v>
      </c>
      <c r="G276" s="235">
        <v>23.0</v>
      </c>
      <c r="H276" s="236">
        <v>5.8266508E7</v>
      </c>
      <c r="I276" s="16">
        <v>93.0</v>
      </c>
      <c r="J276" s="11">
        <v>1.0</v>
      </c>
      <c r="K276" s="11" t="str">
        <f t="shared" si="1"/>
        <v>00230058266508931</v>
      </c>
      <c r="L276" s="238">
        <v>2092.77</v>
      </c>
      <c r="M276" s="254">
        <v>112714.0</v>
      </c>
      <c r="N276" s="16">
        <v>58.0</v>
      </c>
      <c r="O276" s="22">
        <v>39.0</v>
      </c>
      <c r="P276" s="17">
        <v>88.0</v>
      </c>
      <c r="Q276" s="11">
        <v>1.6908632E7</v>
      </c>
      <c r="R276" s="11">
        <v>1.0</v>
      </c>
      <c r="S276" s="24" t="s">
        <v>39</v>
      </c>
      <c r="T276" s="249" t="s">
        <v>5565</v>
      </c>
      <c r="U276" s="17">
        <v>48.0</v>
      </c>
      <c r="V276" s="16">
        <v>99.0</v>
      </c>
      <c r="W276" s="16">
        <v>53.0</v>
      </c>
      <c r="X276" s="50">
        <v>81119.0</v>
      </c>
      <c r="Y276" s="250">
        <v>7741.0</v>
      </c>
    </row>
    <row r="277">
      <c r="A277" s="11">
        <v>13.0</v>
      </c>
      <c r="B277" s="11">
        <v>25.0</v>
      </c>
      <c r="C277" s="253">
        <v>39.0</v>
      </c>
      <c r="D277" s="235">
        <v>89.0</v>
      </c>
      <c r="E277" s="235">
        <v>89.0</v>
      </c>
      <c r="F277" s="253">
        <v>39.0</v>
      </c>
      <c r="G277" s="235">
        <v>89.0</v>
      </c>
      <c r="H277" s="236">
        <v>6.1096959E7</v>
      </c>
      <c r="I277" s="16">
        <v>64.0</v>
      </c>
      <c r="J277" s="11">
        <v>4.0</v>
      </c>
      <c r="K277" s="11" t="str">
        <f t="shared" si="1"/>
        <v>00890061096959644</v>
      </c>
      <c r="L277" s="238">
        <v>763.85</v>
      </c>
      <c r="M277" s="254">
        <v>92421.0</v>
      </c>
      <c r="N277" s="16">
        <v>60.0</v>
      </c>
      <c r="O277" s="22">
        <v>28.0</v>
      </c>
      <c r="P277" s="17">
        <v>27.0</v>
      </c>
      <c r="Q277" s="11">
        <v>4.5938269E7</v>
      </c>
      <c r="R277" s="11">
        <v>9.0</v>
      </c>
      <c r="S277" s="24" t="s">
        <v>48</v>
      </c>
      <c r="T277" s="249" t="s">
        <v>5566</v>
      </c>
      <c r="U277" s="17">
        <v>7.0</v>
      </c>
      <c r="V277" s="16">
        <v>3.0</v>
      </c>
      <c r="W277" s="16">
        <v>62.0</v>
      </c>
      <c r="X277" s="50">
        <v>92519.0</v>
      </c>
      <c r="Y277" s="250">
        <v>4759.0</v>
      </c>
    </row>
    <row r="278">
      <c r="A278" s="11">
        <v>17.0</v>
      </c>
      <c r="B278" s="11">
        <v>46.0</v>
      </c>
      <c r="C278" s="253">
        <v>17.0</v>
      </c>
      <c r="D278" s="235">
        <v>89.0</v>
      </c>
      <c r="E278" s="235">
        <v>89.0</v>
      </c>
      <c r="F278" s="253">
        <v>17.0</v>
      </c>
      <c r="G278" s="235">
        <v>89.0</v>
      </c>
      <c r="H278" s="236">
        <v>3.2287813E7</v>
      </c>
      <c r="I278" s="16">
        <v>7.0</v>
      </c>
      <c r="J278" s="11">
        <v>4.0</v>
      </c>
      <c r="K278" s="11" t="str">
        <f t="shared" si="1"/>
        <v>00890032287813074</v>
      </c>
      <c r="L278" s="238">
        <v>6936.3</v>
      </c>
      <c r="M278" s="254">
        <v>20117.0</v>
      </c>
      <c r="N278" s="16">
        <v>90.0</v>
      </c>
      <c r="O278" s="22">
        <v>56.0</v>
      </c>
      <c r="P278" s="17">
        <v>68.0</v>
      </c>
      <c r="Q278" s="11">
        <v>8.0998415E7</v>
      </c>
      <c r="R278" s="11">
        <v>9.0</v>
      </c>
      <c r="S278" s="24" t="s">
        <v>39</v>
      </c>
      <c r="T278" s="249" t="s">
        <v>5567</v>
      </c>
      <c r="U278" s="17">
        <v>1.0</v>
      </c>
      <c r="V278" s="16">
        <v>9.0</v>
      </c>
      <c r="W278" s="16">
        <v>26.0</v>
      </c>
      <c r="X278" s="50">
        <v>22616.0</v>
      </c>
      <c r="Y278" s="250">
        <v>6951.0</v>
      </c>
    </row>
    <row r="279">
      <c r="A279" s="11">
        <v>16.0</v>
      </c>
      <c r="B279" s="11">
        <v>25.0</v>
      </c>
      <c r="C279" s="253">
        <v>8.0</v>
      </c>
      <c r="D279" s="235">
        <v>123.0</v>
      </c>
      <c r="E279" s="235">
        <v>123.0</v>
      </c>
      <c r="F279" s="253">
        <v>8.0</v>
      </c>
      <c r="G279" s="235">
        <v>123.0</v>
      </c>
      <c r="H279" s="236">
        <v>9.9038444E7</v>
      </c>
      <c r="I279" s="16">
        <v>10.0</v>
      </c>
      <c r="J279" s="11">
        <v>3.0</v>
      </c>
      <c r="K279" s="11" t="str">
        <f t="shared" si="1"/>
        <v>01230099038444103</v>
      </c>
      <c r="L279" s="238">
        <v>156898.3</v>
      </c>
      <c r="M279" s="254">
        <v>110623.0</v>
      </c>
      <c r="N279" s="16">
        <v>97.0</v>
      </c>
      <c r="O279" s="22">
        <v>50.0</v>
      </c>
      <c r="P279" s="17">
        <v>27.0</v>
      </c>
      <c r="Q279" s="11">
        <v>8.771705E7</v>
      </c>
      <c r="R279" s="11">
        <v>3.0</v>
      </c>
      <c r="S279" s="24" t="s">
        <v>48</v>
      </c>
      <c r="T279" s="249" t="s">
        <v>5568</v>
      </c>
      <c r="U279" s="17">
        <v>15.0</v>
      </c>
      <c r="V279" s="16">
        <v>29.0</v>
      </c>
      <c r="W279" s="16">
        <v>20.0</v>
      </c>
      <c r="X279" s="50">
        <v>112721.0</v>
      </c>
      <c r="Y279" s="250">
        <v>2525.0</v>
      </c>
    </row>
    <row r="280">
      <c r="A280" s="11">
        <v>15.0</v>
      </c>
      <c r="B280" s="11">
        <v>87.0</v>
      </c>
      <c r="C280" s="253">
        <v>13.0</v>
      </c>
      <c r="D280" s="235">
        <v>261.0</v>
      </c>
      <c r="E280" s="235">
        <v>261.0</v>
      </c>
      <c r="F280" s="253">
        <v>13.0</v>
      </c>
      <c r="G280" s="235">
        <v>261.0</v>
      </c>
      <c r="H280" s="236">
        <v>5.8316703E7</v>
      </c>
      <c r="I280" s="16">
        <v>50.0</v>
      </c>
      <c r="J280" s="11">
        <v>3.0</v>
      </c>
      <c r="K280" s="11" t="str">
        <f t="shared" si="1"/>
        <v>02610058316703503</v>
      </c>
      <c r="L280" s="238">
        <v>5385.39</v>
      </c>
      <c r="M280" s="254">
        <v>100115.0</v>
      </c>
      <c r="N280" s="16">
        <v>83.0</v>
      </c>
      <c r="O280" s="22">
        <v>31.0</v>
      </c>
      <c r="P280" s="17">
        <v>88.0</v>
      </c>
      <c r="Q280" s="11">
        <v>3.1783272E7</v>
      </c>
      <c r="R280" s="11">
        <v>7.0</v>
      </c>
      <c r="S280" s="24" t="s">
        <v>39</v>
      </c>
      <c r="T280" s="249" t="s">
        <v>5569</v>
      </c>
      <c r="U280" s="17">
        <v>59.0</v>
      </c>
      <c r="V280" s="16">
        <v>10.0</v>
      </c>
      <c r="W280" s="16">
        <v>43.0</v>
      </c>
      <c r="X280" s="50">
        <v>92915.0</v>
      </c>
      <c r="Y280" s="250">
        <v>204.0</v>
      </c>
    </row>
    <row r="281">
      <c r="A281" s="11">
        <v>11.0</v>
      </c>
      <c r="B281" s="11">
        <v>46.0</v>
      </c>
      <c r="C281" s="253">
        <v>5.0</v>
      </c>
      <c r="D281" s="235">
        <v>55.0</v>
      </c>
      <c r="E281" s="235">
        <v>55.0</v>
      </c>
      <c r="F281" s="253">
        <v>5.0</v>
      </c>
      <c r="G281" s="235">
        <v>55.0</v>
      </c>
      <c r="H281" s="236">
        <v>5.1749251E7</v>
      </c>
      <c r="I281" s="16">
        <v>74.0</v>
      </c>
      <c r="J281" s="11">
        <v>1.0</v>
      </c>
      <c r="K281" s="11" t="str">
        <f t="shared" si="1"/>
        <v>00550051749251741</v>
      </c>
      <c r="L281" s="238">
        <v>-9831.22</v>
      </c>
      <c r="M281" s="254">
        <v>102516.0</v>
      </c>
      <c r="N281" s="16">
        <v>90.0</v>
      </c>
      <c r="O281" s="22">
        <v>11.0</v>
      </c>
      <c r="P281" s="17">
        <v>47.0</v>
      </c>
      <c r="Q281" s="11">
        <v>3.3024437E7</v>
      </c>
      <c r="R281" s="11">
        <v>0.0</v>
      </c>
      <c r="S281" s="24" t="s">
        <v>48</v>
      </c>
      <c r="T281" s="249" t="s">
        <v>5570</v>
      </c>
      <c r="U281" s="17">
        <v>65.0</v>
      </c>
      <c r="V281" s="16">
        <v>44.0</v>
      </c>
      <c r="W281" s="16">
        <v>71.0</v>
      </c>
      <c r="X281" s="50">
        <v>91013.0</v>
      </c>
      <c r="Y281" s="250">
        <v>3555.0</v>
      </c>
    </row>
    <row r="282">
      <c r="A282" s="11">
        <v>18.0</v>
      </c>
      <c r="B282" s="11">
        <v>46.0</v>
      </c>
      <c r="C282" s="253">
        <v>20.0</v>
      </c>
      <c r="D282" s="235">
        <v>31.0</v>
      </c>
      <c r="E282" s="235">
        <v>31.0</v>
      </c>
      <c r="F282" s="253">
        <v>20.0</v>
      </c>
      <c r="G282" s="235">
        <v>31.0</v>
      </c>
      <c r="H282" s="236">
        <v>5.0611791E7</v>
      </c>
      <c r="I282" s="16">
        <v>71.0</v>
      </c>
      <c r="J282" s="11">
        <v>1.0</v>
      </c>
      <c r="K282" s="11" t="str">
        <f t="shared" si="1"/>
        <v>00310050611791711</v>
      </c>
      <c r="L282" s="238">
        <v>9940.24</v>
      </c>
      <c r="M282" s="254">
        <v>42916.0</v>
      </c>
      <c r="N282" s="16">
        <v>10.0</v>
      </c>
      <c r="O282" s="22">
        <v>20.0</v>
      </c>
      <c r="P282" s="17">
        <v>68.0</v>
      </c>
      <c r="Q282" s="11">
        <v>5.7419832E7</v>
      </c>
      <c r="R282" s="11">
        <v>2.0</v>
      </c>
      <c r="S282" s="24" t="s">
        <v>39</v>
      </c>
      <c r="T282" s="249" t="s">
        <v>5571</v>
      </c>
      <c r="U282" s="17">
        <v>18.0</v>
      </c>
      <c r="V282" s="16">
        <v>22.0</v>
      </c>
      <c r="W282" s="16">
        <v>12.0</v>
      </c>
      <c r="X282" s="50">
        <v>31421.0</v>
      </c>
      <c r="Y282" s="250">
        <v>6547.0</v>
      </c>
    </row>
    <row r="283">
      <c r="A283" s="11">
        <v>17.0</v>
      </c>
      <c r="B283" s="11">
        <v>66.0</v>
      </c>
      <c r="C283" s="253">
        <v>51.0</v>
      </c>
      <c r="D283" s="235">
        <v>73.0</v>
      </c>
      <c r="E283" s="235">
        <v>73.0</v>
      </c>
      <c r="F283" s="253">
        <v>51.0</v>
      </c>
      <c r="G283" s="235">
        <v>73.0</v>
      </c>
      <c r="H283" s="236">
        <v>3.6962698E7</v>
      </c>
      <c r="I283" s="16">
        <v>69.0</v>
      </c>
      <c r="J283" s="11">
        <v>1.0</v>
      </c>
      <c r="K283" s="11" t="str">
        <f t="shared" si="1"/>
        <v>00730036962698691</v>
      </c>
      <c r="L283" s="238">
        <v>431.23</v>
      </c>
      <c r="M283" s="254">
        <v>62716.0</v>
      </c>
      <c r="N283" s="16">
        <v>40.0</v>
      </c>
      <c r="O283" s="22">
        <v>53.0</v>
      </c>
      <c r="P283" s="17">
        <v>88.0</v>
      </c>
      <c r="Q283" s="11">
        <v>2.8006642E7</v>
      </c>
      <c r="R283" s="11">
        <v>0.0</v>
      </c>
      <c r="S283" s="24" t="s">
        <v>5292</v>
      </c>
      <c r="T283" s="249" t="s">
        <v>5572</v>
      </c>
      <c r="U283" s="17">
        <v>77.0</v>
      </c>
      <c r="V283" s="16">
        <v>87.0</v>
      </c>
      <c r="W283" s="16">
        <v>39.0</v>
      </c>
      <c r="X283" s="50">
        <v>100821.0</v>
      </c>
      <c r="Y283" s="250">
        <v>5093.0</v>
      </c>
    </row>
    <row r="284">
      <c r="A284" s="11">
        <v>20.0</v>
      </c>
      <c r="B284" s="11">
        <v>87.0</v>
      </c>
      <c r="C284" s="253">
        <v>16.0</v>
      </c>
      <c r="D284" s="235">
        <v>61.0</v>
      </c>
      <c r="E284" s="235">
        <v>61.0</v>
      </c>
      <c r="F284" s="253">
        <v>16.0</v>
      </c>
      <c r="G284" s="235">
        <v>61.0</v>
      </c>
      <c r="H284" s="236">
        <v>3.0594175E7</v>
      </c>
      <c r="I284" s="16">
        <v>34.0</v>
      </c>
      <c r="J284" s="11">
        <v>8.0</v>
      </c>
      <c r="K284" s="11" t="str">
        <f t="shared" si="1"/>
        <v>00610030594175348</v>
      </c>
      <c r="L284" s="238">
        <v>-532.4</v>
      </c>
      <c r="M284" s="254">
        <v>20119.0</v>
      </c>
      <c r="N284" s="16">
        <v>29.0</v>
      </c>
      <c r="O284" s="22">
        <v>37.0</v>
      </c>
      <c r="P284" s="17">
        <v>68.0</v>
      </c>
      <c r="Q284" s="11">
        <v>4.9476544E7</v>
      </c>
      <c r="R284" s="11">
        <v>4.0</v>
      </c>
      <c r="S284" s="24" t="s">
        <v>29</v>
      </c>
      <c r="T284" s="249" t="s">
        <v>5573</v>
      </c>
      <c r="U284" s="17">
        <v>29.0</v>
      </c>
      <c r="V284" s="16">
        <v>90.0</v>
      </c>
      <c r="W284" s="16">
        <v>48.0</v>
      </c>
      <c r="X284" s="50">
        <v>81020.0</v>
      </c>
      <c r="Y284" s="250">
        <v>6710.0</v>
      </c>
    </row>
    <row r="285">
      <c r="A285" s="11">
        <v>16.0</v>
      </c>
      <c r="B285" s="11">
        <v>87.0</v>
      </c>
      <c r="C285" s="253">
        <v>37.0</v>
      </c>
      <c r="D285" s="235">
        <v>115.0</v>
      </c>
      <c r="E285" s="235">
        <v>115.0</v>
      </c>
      <c r="F285" s="253">
        <v>37.0</v>
      </c>
      <c r="G285" s="235">
        <v>115.0</v>
      </c>
      <c r="H285" s="236">
        <v>1.0345468E7</v>
      </c>
      <c r="I285" s="16">
        <v>49.0</v>
      </c>
      <c r="J285" s="11">
        <v>4.0</v>
      </c>
      <c r="K285" s="11" t="str">
        <f t="shared" si="1"/>
        <v>01150010345468494</v>
      </c>
      <c r="L285" s="238">
        <v>8969.33</v>
      </c>
      <c r="M285" s="254">
        <v>80921.0</v>
      </c>
      <c r="N285" s="16">
        <v>18.0</v>
      </c>
      <c r="O285" s="22">
        <v>25.0</v>
      </c>
      <c r="P285" s="17">
        <v>27.0</v>
      </c>
      <c r="Q285" s="11">
        <v>4.6875162E7</v>
      </c>
      <c r="R285" s="11">
        <v>6.0</v>
      </c>
      <c r="S285" s="24" t="s">
        <v>48</v>
      </c>
      <c r="T285" s="249" t="s">
        <v>5574</v>
      </c>
      <c r="U285" s="17">
        <v>38.0</v>
      </c>
      <c r="V285" s="16">
        <v>36.0</v>
      </c>
      <c r="W285" s="16">
        <v>41.0</v>
      </c>
      <c r="X285" s="50">
        <v>51917.0</v>
      </c>
      <c r="Y285" s="250">
        <v>9846.0</v>
      </c>
    </row>
    <row r="286">
      <c r="A286" s="11">
        <v>19.0</v>
      </c>
      <c r="B286" s="11">
        <v>66.0</v>
      </c>
      <c r="C286" s="253">
        <v>53.0</v>
      </c>
      <c r="D286" s="235">
        <v>69.0</v>
      </c>
      <c r="E286" s="235">
        <v>69.0</v>
      </c>
      <c r="F286" s="253">
        <v>53.0</v>
      </c>
      <c r="G286" s="235">
        <v>69.0</v>
      </c>
      <c r="H286" s="236">
        <v>6.5461027E7</v>
      </c>
      <c r="I286" s="16">
        <v>16.0</v>
      </c>
      <c r="J286" s="11">
        <v>9.0</v>
      </c>
      <c r="K286" s="11" t="str">
        <f t="shared" si="1"/>
        <v>00690065461027169</v>
      </c>
      <c r="L286" s="238">
        <v>944543.16</v>
      </c>
      <c r="M286" s="254">
        <v>71417.0</v>
      </c>
      <c r="N286" s="16">
        <v>42.0</v>
      </c>
      <c r="O286" s="22">
        <v>28.0</v>
      </c>
      <c r="P286" s="17">
        <v>68.0</v>
      </c>
      <c r="Q286" s="11">
        <v>2.3904862E7</v>
      </c>
      <c r="R286" s="11">
        <v>9.0</v>
      </c>
      <c r="S286" s="24" t="s">
        <v>48</v>
      </c>
      <c r="T286" s="249" t="s">
        <v>5575</v>
      </c>
      <c r="U286" s="17">
        <v>36.0</v>
      </c>
      <c r="V286" s="16">
        <v>26.0</v>
      </c>
      <c r="W286" s="16">
        <v>54.0</v>
      </c>
      <c r="X286" s="50">
        <v>101117.0</v>
      </c>
      <c r="Y286" s="250">
        <v>8859.0</v>
      </c>
    </row>
    <row r="287">
      <c r="A287" s="11">
        <v>18.0</v>
      </c>
      <c r="B287" s="11">
        <v>66.0</v>
      </c>
      <c r="C287" s="253">
        <v>37.0</v>
      </c>
      <c r="D287" s="235">
        <v>139.0</v>
      </c>
      <c r="E287" s="235">
        <v>139.0</v>
      </c>
      <c r="F287" s="253">
        <v>37.0</v>
      </c>
      <c r="G287" s="235">
        <v>139.0</v>
      </c>
      <c r="H287" s="236">
        <v>1.7208961E7</v>
      </c>
      <c r="I287" s="16">
        <v>64.0</v>
      </c>
      <c r="J287" s="11">
        <v>2.0</v>
      </c>
      <c r="K287" s="11" t="str">
        <f t="shared" si="1"/>
        <v>01390017208961642</v>
      </c>
      <c r="L287" s="238">
        <v>66597.48</v>
      </c>
      <c r="M287" s="254">
        <v>50317.0</v>
      </c>
      <c r="N287" s="16">
        <v>18.0</v>
      </c>
      <c r="O287" s="22">
        <v>30.0</v>
      </c>
      <c r="P287" s="17">
        <v>88.0</v>
      </c>
      <c r="Q287" s="11">
        <v>4.983677E7</v>
      </c>
      <c r="R287" s="11">
        <v>3.0</v>
      </c>
      <c r="S287" s="24" t="s">
        <v>48</v>
      </c>
      <c r="T287" s="249" t="s">
        <v>5576</v>
      </c>
      <c r="U287" s="17">
        <v>84.0</v>
      </c>
      <c r="V287" s="16">
        <v>51.0</v>
      </c>
      <c r="W287" s="16">
        <v>81.0</v>
      </c>
      <c r="X287" s="50">
        <v>112819.0</v>
      </c>
      <c r="Y287" s="250">
        <v>3432.0</v>
      </c>
    </row>
    <row r="288">
      <c r="A288" s="11">
        <v>19.0</v>
      </c>
      <c r="B288" s="11">
        <v>66.0</v>
      </c>
      <c r="C288" s="253">
        <v>27.0</v>
      </c>
      <c r="D288" s="235">
        <v>159.0</v>
      </c>
      <c r="E288" s="235">
        <v>159.0</v>
      </c>
      <c r="F288" s="253">
        <v>27.0</v>
      </c>
      <c r="G288" s="235">
        <v>159.0</v>
      </c>
      <c r="H288" s="236">
        <v>1.3614763E7</v>
      </c>
      <c r="I288" s="16">
        <v>41.0</v>
      </c>
      <c r="J288" s="11">
        <v>8.0</v>
      </c>
      <c r="K288" s="11" t="str">
        <f t="shared" si="1"/>
        <v>01590013614763418</v>
      </c>
      <c r="L288" s="238">
        <v>36777.25</v>
      </c>
      <c r="M288" s="254">
        <v>62823.0</v>
      </c>
      <c r="N288" s="16">
        <v>15.0</v>
      </c>
      <c r="O288" s="22">
        <v>56.0</v>
      </c>
      <c r="P288" s="17">
        <v>88.0</v>
      </c>
      <c r="Q288" s="11">
        <v>1.4844771E7</v>
      </c>
      <c r="R288" s="11">
        <v>6.0</v>
      </c>
      <c r="S288" s="24" t="s">
        <v>5292</v>
      </c>
      <c r="T288" s="249" t="s">
        <v>5577</v>
      </c>
      <c r="U288" s="17">
        <v>87.0</v>
      </c>
      <c r="V288" s="16">
        <v>71.0</v>
      </c>
      <c r="W288" s="16">
        <v>98.0</v>
      </c>
      <c r="X288" s="50">
        <v>100915.0</v>
      </c>
      <c r="Y288" s="250">
        <v>1788.0</v>
      </c>
    </row>
    <row r="289">
      <c r="A289" s="11">
        <v>14.0</v>
      </c>
      <c r="B289" s="11">
        <v>66.0</v>
      </c>
      <c r="C289" s="253">
        <v>2.0</v>
      </c>
      <c r="D289" s="235">
        <v>170.0</v>
      </c>
      <c r="E289" s="235">
        <v>170.0</v>
      </c>
      <c r="F289" s="253">
        <v>2.0</v>
      </c>
      <c r="G289" s="235">
        <v>170.0</v>
      </c>
      <c r="H289" s="236">
        <v>1.3362377E7</v>
      </c>
      <c r="I289" s="16">
        <v>82.0</v>
      </c>
      <c r="J289" s="11">
        <v>0.0</v>
      </c>
      <c r="K289" s="11" t="str">
        <f t="shared" si="1"/>
        <v>01700013362377820</v>
      </c>
      <c r="L289" s="238">
        <v>11411.26</v>
      </c>
      <c r="M289" s="254">
        <v>50923.0</v>
      </c>
      <c r="N289" s="16">
        <v>29.0</v>
      </c>
      <c r="O289" s="22">
        <v>34.0</v>
      </c>
      <c r="P289" s="17">
        <v>68.0</v>
      </c>
      <c r="Q289" s="11">
        <v>9.7239311E7</v>
      </c>
      <c r="R289" s="11">
        <v>7.0</v>
      </c>
      <c r="S289" s="24" t="s">
        <v>48</v>
      </c>
      <c r="T289" s="249" t="s">
        <v>5578</v>
      </c>
      <c r="U289" s="17">
        <v>44.0</v>
      </c>
      <c r="V289" s="16">
        <v>97.0</v>
      </c>
      <c r="W289" s="16">
        <v>17.0</v>
      </c>
      <c r="X289" s="50">
        <v>91618.0</v>
      </c>
      <c r="Y289" s="250">
        <v>1909.0</v>
      </c>
    </row>
    <row r="290">
      <c r="A290" s="11">
        <v>14.0</v>
      </c>
      <c r="B290" s="11">
        <v>87.0</v>
      </c>
      <c r="C290" s="253">
        <v>36.0</v>
      </c>
      <c r="D290" s="235">
        <v>5.0</v>
      </c>
      <c r="E290" s="235">
        <v>5.0</v>
      </c>
      <c r="F290" s="253">
        <v>36.0</v>
      </c>
      <c r="G290" s="235">
        <v>5.0</v>
      </c>
      <c r="H290" s="236">
        <v>3.5788486E7</v>
      </c>
      <c r="I290" s="16">
        <v>10.0</v>
      </c>
      <c r="J290" s="11">
        <v>1.0</v>
      </c>
      <c r="K290" s="11" t="str">
        <f t="shared" si="1"/>
        <v>00050035788486101</v>
      </c>
      <c r="L290" s="238">
        <v>-130.27</v>
      </c>
      <c r="M290" s="254">
        <v>32022.0</v>
      </c>
      <c r="N290" s="16">
        <v>62.0</v>
      </c>
      <c r="O290" s="22">
        <v>2.0</v>
      </c>
      <c r="P290" s="17">
        <v>47.0</v>
      </c>
      <c r="Q290" s="11">
        <v>7.3221679E7</v>
      </c>
      <c r="R290" s="11">
        <v>0.0</v>
      </c>
      <c r="S290" s="24" t="s">
        <v>5292</v>
      </c>
      <c r="T290" s="249" t="s">
        <v>5579</v>
      </c>
      <c r="U290" s="17">
        <v>96.0</v>
      </c>
      <c r="V290" s="16">
        <v>93.0</v>
      </c>
      <c r="W290" s="16">
        <v>63.0</v>
      </c>
      <c r="X290" s="50">
        <v>82515.0</v>
      </c>
      <c r="Y290" s="250">
        <v>4494.0</v>
      </c>
    </row>
    <row r="291">
      <c r="A291" s="11">
        <v>19.0</v>
      </c>
      <c r="B291" s="11">
        <v>87.0</v>
      </c>
      <c r="C291" s="253">
        <v>40.0</v>
      </c>
      <c r="D291" s="235">
        <v>15.0</v>
      </c>
      <c r="E291" s="235">
        <v>15.0</v>
      </c>
      <c r="F291" s="253">
        <v>40.0</v>
      </c>
      <c r="G291" s="235">
        <v>15.0</v>
      </c>
      <c r="H291" s="236">
        <v>3.2801763E7</v>
      </c>
      <c r="I291" s="16">
        <v>43.0</v>
      </c>
      <c r="J291" s="11">
        <v>5.0</v>
      </c>
      <c r="K291" s="11" t="str">
        <f t="shared" si="1"/>
        <v>00150032801763435</v>
      </c>
      <c r="L291" s="238">
        <v>1096.88</v>
      </c>
      <c r="M291" s="254">
        <v>81517.0</v>
      </c>
      <c r="N291" s="16">
        <v>82.0</v>
      </c>
      <c r="O291" s="22">
        <v>31.0</v>
      </c>
      <c r="P291" s="17">
        <v>48.0</v>
      </c>
      <c r="Q291" s="11">
        <v>5.0866845E7</v>
      </c>
      <c r="R291" s="11">
        <v>4.0</v>
      </c>
      <c r="S291" s="24" t="s">
        <v>48</v>
      </c>
      <c r="T291" s="249" t="s">
        <v>5580</v>
      </c>
      <c r="U291" s="17">
        <v>2.0</v>
      </c>
      <c r="V291" s="16">
        <v>84.0</v>
      </c>
      <c r="W291" s="16">
        <v>51.0</v>
      </c>
      <c r="X291" s="50">
        <v>50321.0</v>
      </c>
      <c r="Y291" s="250">
        <v>4793.0</v>
      </c>
    </row>
    <row r="292">
      <c r="A292" s="11">
        <v>10.0</v>
      </c>
      <c r="B292" s="11">
        <v>25.0</v>
      </c>
      <c r="C292" s="253">
        <v>12.0</v>
      </c>
      <c r="D292" s="235">
        <v>23.0</v>
      </c>
      <c r="E292" s="235">
        <v>23.0</v>
      </c>
      <c r="F292" s="253">
        <v>12.0</v>
      </c>
      <c r="G292" s="235">
        <v>23.0</v>
      </c>
      <c r="H292" s="236">
        <v>3.4470488E7</v>
      </c>
      <c r="I292" s="16">
        <v>90.0</v>
      </c>
      <c r="J292" s="11">
        <v>1.0</v>
      </c>
      <c r="K292" s="11" t="str">
        <f t="shared" si="1"/>
        <v>00230034470488901</v>
      </c>
      <c r="L292" s="238">
        <v>84605.56</v>
      </c>
      <c r="M292" s="254">
        <v>11218.0</v>
      </c>
      <c r="N292" s="16">
        <v>47.0</v>
      </c>
      <c r="O292" s="22">
        <v>53.0</v>
      </c>
      <c r="P292" s="17">
        <v>27.0</v>
      </c>
      <c r="Q292" s="11">
        <v>4.327407E7</v>
      </c>
      <c r="R292" s="11">
        <v>5.0</v>
      </c>
      <c r="S292" s="24" t="s">
        <v>29</v>
      </c>
      <c r="T292" s="249" t="s">
        <v>5581</v>
      </c>
      <c r="U292" s="17">
        <v>54.0</v>
      </c>
      <c r="V292" s="16">
        <v>38.0</v>
      </c>
      <c r="W292" s="16">
        <v>50.0</v>
      </c>
      <c r="X292" s="50">
        <v>120414.0</v>
      </c>
      <c r="Y292" s="250">
        <v>4696.0</v>
      </c>
    </row>
    <row r="293">
      <c r="A293" s="11">
        <v>20.0</v>
      </c>
      <c r="B293" s="11">
        <v>87.0</v>
      </c>
      <c r="C293" s="253">
        <v>27.0</v>
      </c>
      <c r="D293" s="235">
        <v>43.0</v>
      </c>
      <c r="E293" s="235">
        <v>43.0</v>
      </c>
      <c r="F293" s="253">
        <v>27.0</v>
      </c>
      <c r="G293" s="235">
        <v>43.0</v>
      </c>
      <c r="H293" s="236">
        <v>8.0371203E7</v>
      </c>
      <c r="I293" s="16">
        <v>12.0</v>
      </c>
      <c r="J293" s="11">
        <v>4.0</v>
      </c>
      <c r="K293" s="11" t="str">
        <f t="shared" si="1"/>
        <v>00430080371203124</v>
      </c>
      <c r="L293" s="238">
        <v>55335.3</v>
      </c>
      <c r="M293" s="254">
        <v>111113.0</v>
      </c>
      <c r="N293" s="16">
        <v>57.0</v>
      </c>
      <c r="O293" s="22">
        <v>30.0</v>
      </c>
      <c r="P293" s="17">
        <v>68.0</v>
      </c>
      <c r="Q293" s="11">
        <v>1.9751826E7</v>
      </c>
      <c r="R293" s="11">
        <v>8.0</v>
      </c>
      <c r="S293" s="24" t="s">
        <v>5292</v>
      </c>
      <c r="T293" s="249" t="s">
        <v>5582</v>
      </c>
      <c r="U293" s="17">
        <v>50.0</v>
      </c>
      <c r="V293" s="16">
        <v>18.0</v>
      </c>
      <c r="W293" s="16">
        <v>11.0</v>
      </c>
      <c r="X293" s="50">
        <v>91815.0</v>
      </c>
      <c r="Y293" s="250">
        <v>5689.0</v>
      </c>
    </row>
    <row r="294">
      <c r="A294" s="11">
        <v>12.0</v>
      </c>
      <c r="B294" s="11">
        <v>46.0</v>
      </c>
      <c r="C294" s="253">
        <v>26.0</v>
      </c>
      <c r="D294" s="235">
        <v>159.0</v>
      </c>
      <c r="E294" s="235">
        <v>159.0</v>
      </c>
      <c r="F294" s="253">
        <v>26.0</v>
      </c>
      <c r="G294" s="235">
        <v>159.0</v>
      </c>
      <c r="H294" s="236">
        <v>6.0876663E7</v>
      </c>
      <c r="I294" s="16">
        <v>18.0</v>
      </c>
      <c r="J294" s="11">
        <v>5.0</v>
      </c>
      <c r="K294" s="11" t="str">
        <f t="shared" si="1"/>
        <v>01590060876663185</v>
      </c>
      <c r="L294" s="238">
        <v>8394.28</v>
      </c>
      <c r="M294" s="254">
        <v>90617.0</v>
      </c>
      <c r="N294" s="16">
        <v>62.0</v>
      </c>
      <c r="O294" s="22">
        <v>16.0</v>
      </c>
      <c r="P294" s="17">
        <v>27.0</v>
      </c>
      <c r="Q294" s="11">
        <v>8.9443402E7</v>
      </c>
      <c r="R294" s="11">
        <v>0.0</v>
      </c>
      <c r="S294" s="24" t="s">
        <v>48</v>
      </c>
      <c r="T294" s="249" t="s">
        <v>5583</v>
      </c>
      <c r="U294" s="17">
        <v>56.0</v>
      </c>
      <c r="V294" s="16">
        <v>55.0</v>
      </c>
      <c r="W294" s="16">
        <v>82.0</v>
      </c>
      <c r="X294" s="50">
        <v>91314.0</v>
      </c>
      <c r="Y294" s="250">
        <v>4805.0</v>
      </c>
    </row>
    <row r="295">
      <c r="A295" s="11">
        <v>12.0</v>
      </c>
      <c r="B295" s="11">
        <v>26.0</v>
      </c>
      <c r="C295" s="253">
        <v>17.0</v>
      </c>
      <c r="D295" s="235">
        <v>109.0</v>
      </c>
      <c r="E295" s="235">
        <v>109.0</v>
      </c>
      <c r="F295" s="253">
        <v>17.0</v>
      </c>
      <c r="G295" s="235">
        <v>109.0</v>
      </c>
      <c r="H295" s="236">
        <v>5.9088998E7</v>
      </c>
      <c r="I295" s="16">
        <v>30.0</v>
      </c>
      <c r="J295" s="11">
        <v>2.0</v>
      </c>
      <c r="K295" s="11" t="str">
        <f t="shared" si="1"/>
        <v>01090059088998302</v>
      </c>
      <c r="L295" s="238">
        <v>794081.66</v>
      </c>
      <c r="M295" s="254">
        <v>92215.0</v>
      </c>
      <c r="N295" s="16">
        <v>46.0</v>
      </c>
      <c r="O295" s="22">
        <v>41.0</v>
      </c>
      <c r="P295" s="17">
        <v>27.0</v>
      </c>
      <c r="Q295" s="11">
        <v>7.8876506E7</v>
      </c>
      <c r="R295" s="11">
        <v>1.0</v>
      </c>
      <c r="S295" s="24" t="s">
        <v>5292</v>
      </c>
      <c r="T295" s="249" t="s">
        <v>5584</v>
      </c>
      <c r="U295" s="17">
        <v>58.0</v>
      </c>
      <c r="V295" s="16">
        <v>98.0</v>
      </c>
      <c r="W295" s="16">
        <v>44.0</v>
      </c>
      <c r="X295" s="50">
        <v>91215.0</v>
      </c>
      <c r="Y295" s="250">
        <v>7618.0</v>
      </c>
    </row>
    <row r="296">
      <c r="A296" s="11">
        <v>16.0</v>
      </c>
      <c r="B296" s="11">
        <v>46.0</v>
      </c>
      <c r="C296" s="253">
        <v>51.0</v>
      </c>
      <c r="D296" s="235">
        <v>77.0</v>
      </c>
      <c r="E296" s="235">
        <v>77.0</v>
      </c>
      <c r="F296" s="253">
        <v>51.0</v>
      </c>
      <c r="G296" s="235">
        <v>77.0</v>
      </c>
      <c r="H296" s="236">
        <v>2.3614218E7</v>
      </c>
      <c r="I296" s="16">
        <v>59.0</v>
      </c>
      <c r="J296" s="11">
        <v>9.0</v>
      </c>
      <c r="K296" s="11" t="str">
        <f t="shared" si="1"/>
        <v>00770023614218599</v>
      </c>
      <c r="L296" s="238">
        <v>5809.26</v>
      </c>
      <c r="M296" s="254">
        <v>102914.0</v>
      </c>
      <c r="N296" s="16">
        <v>58.0</v>
      </c>
      <c r="O296" s="22">
        <v>35.0</v>
      </c>
      <c r="P296" s="17">
        <v>68.0</v>
      </c>
      <c r="Q296" s="11">
        <v>8.50425E7</v>
      </c>
      <c r="R296" s="11">
        <v>4.0</v>
      </c>
      <c r="S296" s="24" t="s">
        <v>39</v>
      </c>
      <c r="T296" s="249" t="s">
        <v>5585</v>
      </c>
      <c r="U296" s="17">
        <v>58.0</v>
      </c>
      <c r="V296" s="16">
        <v>7.0</v>
      </c>
      <c r="W296" s="16">
        <v>7.0</v>
      </c>
      <c r="X296" s="50">
        <v>62218.0</v>
      </c>
      <c r="Y296" s="250">
        <v>3088.0</v>
      </c>
    </row>
    <row r="297">
      <c r="A297" s="11">
        <v>13.0</v>
      </c>
      <c r="B297" s="11">
        <v>26.0</v>
      </c>
      <c r="C297" s="253">
        <v>19.0</v>
      </c>
      <c r="D297" s="235">
        <v>107.0</v>
      </c>
      <c r="E297" s="235">
        <v>107.0</v>
      </c>
      <c r="F297" s="253">
        <v>19.0</v>
      </c>
      <c r="G297" s="235">
        <v>107.0</v>
      </c>
      <c r="H297" s="236">
        <v>2.1529804E7</v>
      </c>
      <c r="I297" s="16">
        <v>91.0</v>
      </c>
      <c r="J297" s="11">
        <v>5.0</v>
      </c>
      <c r="K297" s="11" t="str">
        <f t="shared" si="1"/>
        <v>01070021529804915</v>
      </c>
      <c r="L297" s="238">
        <v>91995.2</v>
      </c>
      <c r="M297" s="254">
        <v>81118.0</v>
      </c>
      <c r="N297" s="16">
        <v>36.0</v>
      </c>
      <c r="O297" s="22">
        <v>13.0</v>
      </c>
      <c r="P297" s="17">
        <v>48.0</v>
      </c>
      <c r="Q297" s="11">
        <v>2.054447E7</v>
      </c>
      <c r="R297" s="11">
        <v>4.0</v>
      </c>
      <c r="S297" s="24" t="s">
        <v>29</v>
      </c>
      <c r="T297" s="249" t="s">
        <v>5586</v>
      </c>
      <c r="U297" s="17">
        <v>12.0</v>
      </c>
      <c r="V297" s="16">
        <v>26.0</v>
      </c>
      <c r="W297" s="16">
        <v>63.0</v>
      </c>
      <c r="X297" s="50">
        <v>52916.0</v>
      </c>
      <c r="Y297" s="250">
        <v>5120.0</v>
      </c>
    </row>
    <row r="298">
      <c r="A298" s="11">
        <v>10.0</v>
      </c>
      <c r="B298" s="11">
        <v>26.0</v>
      </c>
      <c r="C298" s="253">
        <v>48.0</v>
      </c>
      <c r="D298" s="235">
        <v>23.0</v>
      </c>
      <c r="E298" s="235">
        <v>23.0</v>
      </c>
      <c r="F298" s="253">
        <v>48.0</v>
      </c>
      <c r="G298" s="235">
        <v>23.0</v>
      </c>
      <c r="H298" s="236">
        <v>8.9170102E7</v>
      </c>
      <c r="I298" s="16">
        <v>63.0</v>
      </c>
      <c r="J298" s="11">
        <v>7.0</v>
      </c>
      <c r="K298" s="11" t="str">
        <f t="shared" si="1"/>
        <v>00230089170102637</v>
      </c>
      <c r="L298" s="238">
        <v>25922.37</v>
      </c>
      <c r="M298" s="254">
        <v>123015.0</v>
      </c>
      <c r="N298" s="16">
        <v>65.0</v>
      </c>
      <c r="O298" s="22">
        <v>31.0</v>
      </c>
      <c r="P298" s="17">
        <v>27.0</v>
      </c>
      <c r="Q298" s="11">
        <v>2.8044449E7</v>
      </c>
      <c r="R298" s="11">
        <v>1.0</v>
      </c>
      <c r="S298" s="24" t="s">
        <v>39</v>
      </c>
      <c r="T298" s="249" t="s">
        <v>5587</v>
      </c>
      <c r="U298" s="17">
        <v>65.0</v>
      </c>
      <c r="V298" s="16">
        <v>24.0</v>
      </c>
      <c r="W298" s="16">
        <v>94.0</v>
      </c>
      <c r="X298" s="50">
        <v>72616.0</v>
      </c>
      <c r="Y298" s="250">
        <v>1730.0</v>
      </c>
    </row>
    <row r="299">
      <c r="A299" s="11">
        <v>11.0</v>
      </c>
      <c r="B299" s="11">
        <v>26.0</v>
      </c>
      <c r="C299" s="253">
        <v>47.0</v>
      </c>
      <c r="D299" s="235">
        <v>53.0</v>
      </c>
      <c r="E299" s="235">
        <v>53.0</v>
      </c>
      <c r="F299" s="253">
        <v>47.0</v>
      </c>
      <c r="G299" s="235">
        <v>53.0</v>
      </c>
      <c r="H299" s="236">
        <v>6.5413263E7</v>
      </c>
      <c r="I299" s="16">
        <v>98.0</v>
      </c>
      <c r="J299" s="11">
        <v>3.0</v>
      </c>
      <c r="K299" s="11" t="str">
        <f t="shared" si="1"/>
        <v>00530065413263983</v>
      </c>
      <c r="L299" s="238">
        <v>354.1</v>
      </c>
      <c r="M299" s="254">
        <v>61415.0</v>
      </c>
      <c r="N299" s="16">
        <v>13.0</v>
      </c>
      <c r="O299" s="22">
        <v>23.0</v>
      </c>
      <c r="P299" s="17">
        <v>48.0</v>
      </c>
      <c r="Q299" s="11">
        <v>3.2677223E7</v>
      </c>
      <c r="R299" s="11">
        <v>0.0</v>
      </c>
      <c r="S299" s="24" t="s">
        <v>5292</v>
      </c>
      <c r="T299" s="249" t="s">
        <v>5588</v>
      </c>
      <c r="U299" s="17">
        <v>14.0</v>
      </c>
      <c r="V299" s="16">
        <v>80.0</v>
      </c>
      <c r="W299" s="16">
        <v>84.0</v>
      </c>
      <c r="X299" s="50">
        <v>10113.0</v>
      </c>
      <c r="Y299" s="250">
        <v>7883.0</v>
      </c>
    </row>
    <row r="300">
      <c r="A300" s="11">
        <v>15.0</v>
      </c>
      <c r="B300" s="11">
        <v>87.0</v>
      </c>
      <c r="C300" s="253">
        <v>30.0</v>
      </c>
      <c r="D300" s="235">
        <v>67.0</v>
      </c>
      <c r="E300" s="235">
        <v>67.0</v>
      </c>
      <c r="F300" s="253">
        <v>30.0</v>
      </c>
      <c r="G300" s="235">
        <v>67.0</v>
      </c>
      <c r="H300" s="236">
        <v>9.4304688E7</v>
      </c>
      <c r="I300" s="16">
        <v>91.0</v>
      </c>
      <c r="J300" s="11">
        <v>6.0</v>
      </c>
      <c r="K300" s="11" t="str">
        <f t="shared" si="1"/>
        <v>00670094304688916</v>
      </c>
      <c r="L300" s="238">
        <v>-48748.77</v>
      </c>
      <c r="M300" s="254">
        <v>20522.0</v>
      </c>
      <c r="N300" s="16">
        <v>9.0</v>
      </c>
      <c r="O300" s="22">
        <v>37.0</v>
      </c>
      <c r="P300" s="17">
        <v>48.0</v>
      </c>
      <c r="Q300" s="11">
        <v>2.4964002E7</v>
      </c>
      <c r="R300" s="11">
        <v>6.0</v>
      </c>
      <c r="S300" s="24" t="s">
        <v>48</v>
      </c>
      <c r="T300" s="249" t="s">
        <v>5589</v>
      </c>
      <c r="U300" s="17">
        <v>15.0</v>
      </c>
      <c r="V300" s="16">
        <v>97.0</v>
      </c>
      <c r="W300" s="16">
        <v>11.0</v>
      </c>
      <c r="X300" s="50">
        <v>120320.0</v>
      </c>
      <c r="Y300" s="250">
        <v>8895.0</v>
      </c>
    </row>
    <row r="301">
      <c r="A301" s="11">
        <v>16.0</v>
      </c>
      <c r="B301" s="11">
        <v>46.0</v>
      </c>
      <c r="C301" s="253">
        <v>12.0</v>
      </c>
      <c r="D301" s="235">
        <v>131.0</v>
      </c>
      <c r="E301" s="235">
        <v>131.0</v>
      </c>
      <c r="F301" s="253">
        <v>12.0</v>
      </c>
      <c r="G301" s="235">
        <v>131.0</v>
      </c>
      <c r="H301" s="236">
        <v>5.9174006E7</v>
      </c>
      <c r="I301" s="16">
        <v>90.0</v>
      </c>
      <c r="J301" s="11">
        <v>4.0</v>
      </c>
      <c r="K301" s="11" t="str">
        <f t="shared" si="1"/>
        <v>01310059174006904</v>
      </c>
      <c r="L301" s="238">
        <v>-31480.48</v>
      </c>
      <c r="M301" s="254">
        <v>62818.0</v>
      </c>
      <c r="N301" s="16">
        <v>10.0</v>
      </c>
      <c r="O301" s="22">
        <v>11.0</v>
      </c>
      <c r="P301" s="17">
        <v>68.0</v>
      </c>
      <c r="Q301" s="11">
        <v>1.1040034E7</v>
      </c>
      <c r="R301" s="11">
        <v>9.0</v>
      </c>
      <c r="S301" s="24" t="s">
        <v>39</v>
      </c>
      <c r="T301" s="249" t="s">
        <v>5590</v>
      </c>
      <c r="U301" s="17">
        <v>64.0</v>
      </c>
      <c r="V301" s="16">
        <v>54.0</v>
      </c>
      <c r="W301" s="16">
        <v>22.0</v>
      </c>
      <c r="X301" s="50">
        <v>110521.0</v>
      </c>
      <c r="Y301" s="250">
        <v>5518.0</v>
      </c>
    </row>
    <row r="302">
      <c r="A302" s="11">
        <v>13.0</v>
      </c>
      <c r="B302" s="11">
        <v>26.0</v>
      </c>
      <c r="C302" s="253">
        <v>23.0</v>
      </c>
      <c r="D302" s="235">
        <v>29.0</v>
      </c>
      <c r="E302" s="235">
        <v>29.0</v>
      </c>
      <c r="F302" s="253">
        <v>23.0</v>
      </c>
      <c r="G302" s="235">
        <v>29.0</v>
      </c>
      <c r="H302" s="236">
        <v>5.0811708E7</v>
      </c>
      <c r="I302" s="16">
        <v>98.0</v>
      </c>
      <c r="J302" s="11">
        <v>6.0</v>
      </c>
      <c r="K302" s="11" t="str">
        <f t="shared" si="1"/>
        <v>00290050811708986</v>
      </c>
      <c r="L302" s="238">
        <v>329023.62</v>
      </c>
      <c r="M302" s="254">
        <v>11815.0</v>
      </c>
      <c r="N302" s="16">
        <v>93.0</v>
      </c>
      <c r="O302" s="22">
        <v>19.0</v>
      </c>
      <c r="P302" s="17">
        <v>27.0</v>
      </c>
      <c r="Q302" s="11">
        <v>4.6391819E7</v>
      </c>
      <c r="R302" s="11">
        <v>4.0</v>
      </c>
      <c r="S302" s="24" t="s">
        <v>29</v>
      </c>
      <c r="T302" s="249" t="s">
        <v>5591</v>
      </c>
      <c r="U302" s="17">
        <v>64.0</v>
      </c>
      <c r="V302" s="16">
        <v>76.0</v>
      </c>
      <c r="W302" s="16">
        <v>25.0</v>
      </c>
      <c r="X302" s="50">
        <v>21121.0</v>
      </c>
      <c r="Y302" s="250">
        <v>3104.0</v>
      </c>
    </row>
    <row r="303">
      <c r="A303" s="11">
        <v>14.0</v>
      </c>
      <c r="B303" s="11">
        <v>46.0</v>
      </c>
      <c r="C303" s="253">
        <v>54.0</v>
      </c>
      <c r="D303" s="235">
        <v>29.0</v>
      </c>
      <c r="E303" s="235">
        <v>29.0</v>
      </c>
      <c r="F303" s="253">
        <v>54.0</v>
      </c>
      <c r="G303" s="235">
        <v>29.0</v>
      </c>
      <c r="H303" s="236">
        <v>9.9416394E7</v>
      </c>
      <c r="I303" s="16">
        <v>84.0</v>
      </c>
      <c r="J303" s="11">
        <v>4.0</v>
      </c>
      <c r="K303" s="11" t="str">
        <f t="shared" si="1"/>
        <v>00290099416394844</v>
      </c>
      <c r="L303" s="238">
        <v>445175.31</v>
      </c>
      <c r="M303" s="254">
        <v>12616.0</v>
      </c>
      <c r="N303" s="16">
        <v>36.0</v>
      </c>
      <c r="O303" s="22">
        <v>38.0</v>
      </c>
      <c r="P303" s="17">
        <v>89.0</v>
      </c>
      <c r="Q303" s="11">
        <v>3.9876278E7</v>
      </c>
      <c r="R303" s="11">
        <v>0.0</v>
      </c>
      <c r="S303" s="24" t="s">
        <v>48</v>
      </c>
      <c r="T303" s="249" t="s">
        <v>5592</v>
      </c>
      <c r="U303" s="17">
        <v>11.0</v>
      </c>
      <c r="V303" s="16">
        <v>70.0</v>
      </c>
      <c r="W303" s="16">
        <v>4.0</v>
      </c>
      <c r="X303" s="50">
        <v>100122.0</v>
      </c>
      <c r="Y303" s="250">
        <v>9143.0</v>
      </c>
    </row>
    <row r="304">
      <c r="A304" s="11">
        <v>15.0</v>
      </c>
      <c r="B304" s="11">
        <v>26.0</v>
      </c>
      <c r="C304" s="253">
        <v>46.0</v>
      </c>
      <c r="D304" s="235">
        <v>69.0</v>
      </c>
      <c r="E304" s="235">
        <v>69.0</v>
      </c>
      <c r="F304" s="253">
        <v>46.0</v>
      </c>
      <c r="G304" s="235">
        <v>69.0</v>
      </c>
      <c r="H304" s="236">
        <v>4.3588094E7</v>
      </c>
      <c r="I304" s="16">
        <v>73.0</v>
      </c>
      <c r="J304" s="11">
        <v>5.0</v>
      </c>
      <c r="K304" s="11" t="str">
        <f t="shared" si="1"/>
        <v>00690043588094735</v>
      </c>
      <c r="L304" s="238">
        <v>-5603.56</v>
      </c>
      <c r="M304" s="254">
        <v>22414.0</v>
      </c>
      <c r="N304" s="16">
        <v>42.0</v>
      </c>
      <c r="O304" s="22">
        <v>35.0</v>
      </c>
      <c r="P304" s="17">
        <v>89.0</v>
      </c>
      <c r="Q304" s="11">
        <v>3.4439472E7</v>
      </c>
      <c r="R304" s="11">
        <v>5.0</v>
      </c>
      <c r="S304" s="24" t="s">
        <v>5292</v>
      </c>
      <c r="T304" s="249" t="s">
        <v>5593</v>
      </c>
      <c r="U304" s="17">
        <v>15.0</v>
      </c>
      <c r="V304" s="16">
        <v>81.0</v>
      </c>
      <c r="W304" s="16">
        <v>10.0</v>
      </c>
      <c r="X304" s="50">
        <v>53013.0</v>
      </c>
      <c r="Y304" s="250">
        <v>405.0</v>
      </c>
    </row>
    <row r="305">
      <c r="A305" s="11">
        <v>15.0</v>
      </c>
      <c r="B305" s="11">
        <v>46.0</v>
      </c>
      <c r="C305" s="253">
        <v>30.0</v>
      </c>
      <c r="D305" s="235">
        <v>85.0</v>
      </c>
      <c r="E305" s="235">
        <v>85.0</v>
      </c>
      <c r="F305" s="253">
        <v>30.0</v>
      </c>
      <c r="G305" s="235">
        <v>85.0</v>
      </c>
      <c r="H305" s="236">
        <v>3.1853873E7</v>
      </c>
      <c r="I305" s="16">
        <v>25.0</v>
      </c>
      <c r="J305" s="11">
        <v>1.0</v>
      </c>
      <c r="K305" s="11" t="str">
        <f t="shared" si="1"/>
        <v>00850031853873251</v>
      </c>
      <c r="L305" s="238">
        <v>59923.35</v>
      </c>
      <c r="M305" s="254">
        <v>92018.0</v>
      </c>
      <c r="N305" s="16">
        <v>18.0</v>
      </c>
      <c r="O305" s="22">
        <v>30.0</v>
      </c>
      <c r="P305" s="17">
        <v>68.0</v>
      </c>
      <c r="Q305" s="11">
        <v>4.2053172E7</v>
      </c>
      <c r="R305" s="11">
        <v>9.0</v>
      </c>
      <c r="S305" s="24" t="s">
        <v>29</v>
      </c>
      <c r="T305" s="249" t="s">
        <v>5594</v>
      </c>
      <c r="U305" s="17">
        <v>67.0</v>
      </c>
      <c r="V305" s="16">
        <v>87.0</v>
      </c>
      <c r="W305" s="16">
        <v>67.0</v>
      </c>
      <c r="X305" s="50">
        <v>70922.0</v>
      </c>
      <c r="Y305" s="250">
        <v>3513.0</v>
      </c>
    </row>
    <row r="306">
      <c r="A306" s="11">
        <v>11.0</v>
      </c>
      <c r="B306" s="11">
        <v>67.0</v>
      </c>
      <c r="C306" s="253">
        <v>19.0</v>
      </c>
      <c r="D306" s="235">
        <v>143.0</v>
      </c>
      <c r="E306" s="235">
        <v>143.0</v>
      </c>
      <c r="F306" s="253">
        <v>19.0</v>
      </c>
      <c r="G306" s="235">
        <v>143.0</v>
      </c>
      <c r="H306" s="236">
        <v>1.3301842E7</v>
      </c>
      <c r="I306" s="16">
        <v>16.0</v>
      </c>
      <c r="J306" s="11">
        <v>6.0</v>
      </c>
      <c r="K306" s="11" t="str">
        <f t="shared" si="1"/>
        <v>01430013301842166</v>
      </c>
      <c r="L306" s="238">
        <v>555.1</v>
      </c>
      <c r="M306" s="254">
        <v>111117.0</v>
      </c>
      <c r="N306" s="16">
        <v>2.0</v>
      </c>
      <c r="O306" s="22">
        <v>10.0</v>
      </c>
      <c r="P306" s="17">
        <v>27.0</v>
      </c>
      <c r="Q306" s="11">
        <v>9.1834799E7</v>
      </c>
      <c r="R306" s="11">
        <v>8.0</v>
      </c>
      <c r="S306" s="24" t="s">
        <v>39</v>
      </c>
      <c r="T306" s="249" t="s">
        <v>5595</v>
      </c>
      <c r="U306" s="17">
        <v>75.0</v>
      </c>
      <c r="V306" s="16">
        <v>44.0</v>
      </c>
      <c r="W306" s="16">
        <v>67.0</v>
      </c>
      <c r="X306" s="50">
        <v>51715.0</v>
      </c>
      <c r="Y306" s="250">
        <v>173.0</v>
      </c>
    </row>
    <row r="307">
      <c r="A307" s="11">
        <v>13.0</v>
      </c>
      <c r="B307" s="11">
        <v>67.0</v>
      </c>
      <c r="C307" s="253">
        <v>46.0</v>
      </c>
      <c r="D307" s="235">
        <v>45.0</v>
      </c>
      <c r="E307" s="235">
        <v>45.0</v>
      </c>
      <c r="F307" s="253">
        <v>46.0</v>
      </c>
      <c r="G307" s="235">
        <v>45.0</v>
      </c>
      <c r="H307" s="236">
        <v>7.4004205E7</v>
      </c>
      <c r="I307" s="16">
        <v>44.0</v>
      </c>
      <c r="J307" s="11">
        <v>2.0</v>
      </c>
      <c r="K307" s="11" t="str">
        <f t="shared" si="1"/>
        <v>00450074004205442</v>
      </c>
      <c r="L307" s="238">
        <v>21107.76</v>
      </c>
      <c r="M307" s="254">
        <v>51422.0</v>
      </c>
      <c r="N307" s="16">
        <v>73.0</v>
      </c>
      <c r="O307" s="22">
        <v>30.0</v>
      </c>
      <c r="P307" s="17">
        <v>27.0</v>
      </c>
      <c r="Q307" s="11">
        <v>5.0077676E7</v>
      </c>
      <c r="R307" s="11">
        <v>5.0</v>
      </c>
      <c r="S307" s="24" t="s">
        <v>48</v>
      </c>
      <c r="T307" s="249" t="s">
        <v>5596</v>
      </c>
      <c r="U307" s="17">
        <v>77.0</v>
      </c>
      <c r="V307" s="16">
        <v>42.0</v>
      </c>
      <c r="W307" s="16">
        <v>90.0</v>
      </c>
      <c r="X307" s="50">
        <v>70420.0</v>
      </c>
      <c r="Y307" s="250">
        <v>3908.0</v>
      </c>
    </row>
    <row r="308">
      <c r="A308" s="11">
        <v>12.0</v>
      </c>
      <c r="B308" s="11">
        <v>87.0</v>
      </c>
      <c r="C308" s="253">
        <v>51.0</v>
      </c>
      <c r="D308" s="235">
        <v>790.0</v>
      </c>
      <c r="E308" s="235">
        <v>790.0</v>
      </c>
      <c r="F308" s="253">
        <v>51.0</v>
      </c>
      <c r="G308" s="235">
        <v>790.0</v>
      </c>
      <c r="H308" s="236">
        <v>5.9352586E7</v>
      </c>
      <c r="I308" s="16">
        <v>22.0</v>
      </c>
      <c r="J308" s="11">
        <v>9.0</v>
      </c>
      <c r="K308" s="11" t="str">
        <f t="shared" si="1"/>
        <v>07900059352586229</v>
      </c>
      <c r="L308" s="238">
        <v>-3713.71</v>
      </c>
      <c r="M308" s="254">
        <v>90614.0</v>
      </c>
      <c r="N308" s="16">
        <v>49.0</v>
      </c>
      <c r="O308" s="22">
        <v>19.0</v>
      </c>
      <c r="P308" s="17">
        <v>89.0</v>
      </c>
      <c r="Q308" s="11">
        <v>7.0169772E7</v>
      </c>
      <c r="R308" s="11">
        <v>9.0</v>
      </c>
      <c r="S308" s="24" t="s">
        <v>48</v>
      </c>
      <c r="T308" s="249" t="s">
        <v>5597</v>
      </c>
      <c r="U308" s="17">
        <v>23.0</v>
      </c>
      <c r="V308" s="16">
        <v>86.0</v>
      </c>
      <c r="W308" s="16">
        <v>21.0</v>
      </c>
      <c r="X308" s="50">
        <v>62714.0</v>
      </c>
      <c r="Y308" s="250">
        <v>6351.0</v>
      </c>
    </row>
    <row r="309">
      <c r="A309" s="11">
        <v>11.0</v>
      </c>
      <c r="B309" s="11">
        <v>87.0</v>
      </c>
      <c r="C309" s="253">
        <v>5.0</v>
      </c>
      <c r="D309" s="235">
        <v>127.0</v>
      </c>
      <c r="E309" s="235">
        <v>127.0</v>
      </c>
      <c r="F309" s="253">
        <v>5.0</v>
      </c>
      <c r="G309" s="235">
        <v>127.0</v>
      </c>
      <c r="H309" s="236">
        <v>1.2969438E7</v>
      </c>
      <c r="I309" s="16">
        <v>88.0</v>
      </c>
      <c r="J309" s="11">
        <v>3.0</v>
      </c>
      <c r="K309" s="11" t="str">
        <f t="shared" si="1"/>
        <v>01270012969438883</v>
      </c>
      <c r="L309" s="238">
        <v>244.61</v>
      </c>
      <c r="M309" s="254">
        <v>43018.0</v>
      </c>
      <c r="N309" s="16">
        <v>42.0</v>
      </c>
      <c r="O309" s="22">
        <v>21.0</v>
      </c>
      <c r="P309" s="17">
        <v>89.0</v>
      </c>
      <c r="Q309" s="11">
        <v>8.1020657E7</v>
      </c>
      <c r="R309" s="11">
        <v>6.0</v>
      </c>
      <c r="S309" s="24" t="s">
        <v>39</v>
      </c>
      <c r="T309" s="249" t="s">
        <v>5598</v>
      </c>
      <c r="U309" s="17">
        <v>26.0</v>
      </c>
      <c r="V309" s="16">
        <v>89.0</v>
      </c>
      <c r="W309" s="16">
        <v>91.0</v>
      </c>
      <c r="X309" s="50">
        <v>92420.0</v>
      </c>
      <c r="Y309" s="250">
        <v>4443.0</v>
      </c>
    </row>
    <row r="310">
      <c r="A310" s="11">
        <v>19.0</v>
      </c>
      <c r="B310" s="11">
        <v>26.0</v>
      </c>
      <c r="C310" s="253">
        <v>29.0</v>
      </c>
      <c r="D310" s="235">
        <v>175.0</v>
      </c>
      <c r="E310" s="235">
        <v>175.0</v>
      </c>
      <c r="F310" s="253">
        <v>29.0</v>
      </c>
      <c r="G310" s="235">
        <v>175.0</v>
      </c>
      <c r="H310" s="236">
        <v>2.3720439E7</v>
      </c>
      <c r="I310" s="16">
        <v>90.0</v>
      </c>
      <c r="J310" s="11">
        <v>1.0</v>
      </c>
      <c r="K310" s="11" t="str">
        <f t="shared" si="1"/>
        <v>01750023720439901</v>
      </c>
      <c r="L310" s="238">
        <v>4152.96</v>
      </c>
      <c r="M310" s="254">
        <v>22522.0</v>
      </c>
      <c r="N310" s="16">
        <v>48.0</v>
      </c>
      <c r="O310" s="22">
        <v>8.0</v>
      </c>
      <c r="P310" s="17">
        <v>68.0</v>
      </c>
      <c r="Q310" s="11">
        <v>8.4155429E7</v>
      </c>
      <c r="R310" s="11">
        <v>6.0</v>
      </c>
      <c r="S310" s="24" t="s">
        <v>39</v>
      </c>
      <c r="T310" s="249" t="s">
        <v>5599</v>
      </c>
      <c r="U310" s="17">
        <v>78.0</v>
      </c>
      <c r="V310" s="16">
        <v>82.0</v>
      </c>
      <c r="W310" s="16">
        <v>71.0</v>
      </c>
      <c r="X310" s="50">
        <v>111522.0</v>
      </c>
      <c r="Y310" s="250">
        <v>9503.0</v>
      </c>
    </row>
    <row r="311">
      <c r="A311" s="11">
        <v>11.0</v>
      </c>
      <c r="B311" s="11">
        <v>67.0</v>
      </c>
      <c r="C311" s="253">
        <v>8.0</v>
      </c>
      <c r="D311" s="235">
        <v>69.0</v>
      </c>
      <c r="E311" s="235">
        <v>69.0</v>
      </c>
      <c r="F311" s="253">
        <v>8.0</v>
      </c>
      <c r="G311" s="235">
        <v>69.0</v>
      </c>
      <c r="H311" s="236">
        <v>8.1470692E7</v>
      </c>
      <c r="I311" s="16">
        <v>92.0</v>
      </c>
      <c r="J311" s="11">
        <v>1.0</v>
      </c>
      <c r="K311" s="11" t="str">
        <f t="shared" si="1"/>
        <v>00690081470692921</v>
      </c>
      <c r="L311" s="238">
        <v>40178.4</v>
      </c>
      <c r="M311" s="254">
        <v>82217.0</v>
      </c>
      <c r="N311" s="16">
        <v>2.0</v>
      </c>
      <c r="O311" s="22">
        <v>22.0</v>
      </c>
      <c r="P311" s="17">
        <v>89.0</v>
      </c>
      <c r="Q311" s="11">
        <v>6.090089E7</v>
      </c>
      <c r="R311" s="11">
        <v>5.0</v>
      </c>
      <c r="S311" s="24" t="s">
        <v>29</v>
      </c>
      <c r="T311" s="249" t="s">
        <v>5600</v>
      </c>
      <c r="U311" s="17">
        <v>33.0</v>
      </c>
      <c r="V311" s="16">
        <v>77.0</v>
      </c>
      <c r="W311" s="16">
        <v>89.0</v>
      </c>
      <c r="X311" s="50">
        <v>20114.0</v>
      </c>
      <c r="Y311" s="250">
        <v>8789.0</v>
      </c>
    </row>
    <row r="312">
      <c r="A312" s="11">
        <v>12.0</v>
      </c>
      <c r="B312" s="11">
        <v>26.0</v>
      </c>
      <c r="C312" s="253">
        <v>22.0</v>
      </c>
      <c r="D312" s="235">
        <v>51.0</v>
      </c>
      <c r="E312" s="235">
        <v>51.0</v>
      </c>
      <c r="F312" s="253">
        <v>22.0</v>
      </c>
      <c r="G312" s="235">
        <v>51.0</v>
      </c>
      <c r="H312" s="236">
        <v>8.4546162E7</v>
      </c>
      <c r="I312" s="16">
        <v>28.0</v>
      </c>
      <c r="J312" s="11">
        <v>0.0</v>
      </c>
      <c r="K312" s="11" t="str">
        <f t="shared" si="1"/>
        <v>00510084546162280</v>
      </c>
      <c r="L312" s="238">
        <v>2907.16</v>
      </c>
      <c r="M312" s="254">
        <v>61023.0</v>
      </c>
      <c r="N312" s="16">
        <v>22.0</v>
      </c>
      <c r="O312" s="22">
        <v>54.0</v>
      </c>
      <c r="P312" s="17">
        <v>89.0</v>
      </c>
      <c r="Q312" s="11">
        <v>4.2089958E7</v>
      </c>
      <c r="R312" s="11">
        <v>3.0</v>
      </c>
      <c r="S312" s="24" t="s">
        <v>48</v>
      </c>
      <c r="T312" s="249" t="s">
        <v>5601</v>
      </c>
      <c r="U312" s="17">
        <v>34.0</v>
      </c>
      <c r="V312" s="16">
        <v>71.0</v>
      </c>
      <c r="W312" s="16">
        <v>9.0</v>
      </c>
      <c r="X312" s="50">
        <v>12621.0</v>
      </c>
      <c r="Y312" s="250">
        <v>123.0</v>
      </c>
    </row>
    <row r="313">
      <c r="A313" s="11">
        <v>12.0</v>
      </c>
      <c r="B313" s="11">
        <v>46.0</v>
      </c>
      <c r="C313" s="253">
        <v>6.0</v>
      </c>
      <c r="D313" s="235">
        <v>115.0</v>
      </c>
      <c r="E313" s="235">
        <v>115.0</v>
      </c>
      <c r="F313" s="253">
        <v>6.0</v>
      </c>
      <c r="G313" s="235">
        <v>115.0</v>
      </c>
      <c r="H313" s="236">
        <v>4.0194313E7</v>
      </c>
      <c r="I313" s="16">
        <v>18.0</v>
      </c>
      <c r="J313" s="11">
        <v>3.0</v>
      </c>
      <c r="K313" s="11" t="str">
        <f t="shared" si="1"/>
        <v>01150040194313183</v>
      </c>
      <c r="L313" s="238">
        <v>3248.38</v>
      </c>
      <c r="M313" s="254">
        <v>42716.0</v>
      </c>
      <c r="N313" s="16">
        <v>77.0</v>
      </c>
      <c r="O313" s="22">
        <v>39.0</v>
      </c>
      <c r="P313" s="17">
        <v>68.0</v>
      </c>
      <c r="Q313" s="11">
        <v>8.555074E7</v>
      </c>
      <c r="R313" s="11">
        <v>5.0</v>
      </c>
      <c r="S313" s="24" t="s">
        <v>29</v>
      </c>
      <c r="T313" s="249" t="s">
        <v>5602</v>
      </c>
      <c r="U313" s="17">
        <v>87.0</v>
      </c>
      <c r="V313" s="16">
        <v>7.0</v>
      </c>
      <c r="W313" s="16">
        <v>89.0</v>
      </c>
      <c r="X313" s="50">
        <v>61522.0</v>
      </c>
      <c r="Y313" s="250">
        <v>3466.0</v>
      </c>
    </row>
    <row r="314">
      <c r="A314" s="11">
        <v>16.0</v>
      </c>
      <c r="B314" s="11">
        <v>67.0</v>
      </c>
      <c r="C314" s="253">
        <v>20.0</v>
      </c>
      <c r="D314" s="235">
        <v>107.0</v>
      </c>
      <c r="E314" s="235">
        <v>107.0</v>
      </c>
      <c r="F314" s="253">
        <v>20.0</v>
      </c>
      <c r="G314" s="235">
        <v>107.0</v>
      </c>
      <c r="H314" s="236">
        <v>5.3735604E7</v>
      </c>
      <c r="I314" s="16">
        <v>9.0</v>
      </c>
      <c r="J314" s="11">
        <v>0.0</v>
      </c>
      <c r="K314" s="11" t="str">
        <f t="shared" si="1"/>
        <v>01070053735604090</v>
      </c>
      <c r="L314" s="238">
        <v>851773.62</v>
      </c>
      <c r="M314" s="254">
        <v>22414.0</v>
      </c>
      <c r="N314" s="16">
        <v>53.0</v>
      </c>
      <c r="O314" s="22">
        <v>12.0</v>
      </c>
      <c r="P314" s="17">
        <v>27.0</v>
      </c>
      <c r="Q314" s="11">
        <v>4.2928264E7</v>
      </c>
      <c r="R314" s="11">
        <v>0.0</v>
      </c>
      <c r="S314" s="24" t="s">
        <v>39</v>
      </c>
      <c r="T314" s="249" t="s">
        <v>5603</v>
      </c>
      <c r="U314" s="17">
        <v>93.0</v>
      </c>
      <c r="V314" s="16">
        <v>22.0</v>
      </c>
      <c r="W314" s="16">
        <v>28.0</v>
      </c>
      <c r="X314" s="50">
        <v>81915.0</v>
      </c>
      <c r="Y314" s="250">
        <v>6980.0</v>
      </c>
    </row>
    <row r="315">
      <c r="A315" s="11">
        <v>18.0</v>
      </c>
      <c r="B315" s="11">
        <v>87.0</v>
      </c>
      <c r="C315" s="253">
        <v>19.0</v>
      </c>
      <c r="D315" s="235">
        <v>125.0</v>
      </c>
      <c r="E315" s="235">
        <v>125.0</v>
      </c>
      <c r="F315" s="253">
        <v>19.0</v>
      </c>
      <c r="G315" s="235">
        <v>125.0</v>
      </c>
      <c r="H315" s="236">
        <v>5.5611856E7</v>
      </c>
      <c r="I315" s="16">
        <v>52.0</v>
      </c>
      <c r="J315" s="11">
        <v>4.0</v>
      </c>
      <c r="K315" s="11" t="str">
        <f t="shared" si="1"/>
        <v>01250055611856524</v>
      </c>
      <c r="L315" s="238">
        <v>3678.83</v>
      </c>
      <c r="M315" s="254">
        <v>121813.0</v>
      </c>
      <c r="N315" s="16">
        <v>49.0</v>
      </c>
      <c r="O315" s="22">
        <v>47.0</v>
      </c>
      <c r="P315" s="17">
        <v>89.0</v>
      </c>
      <c r="Q315" s="11">
        <v>1.1978927E7</v>
      </c>
      <c r="R315" s="11">
        <v>1.0</v>
      </c>
      <c r="S315" s="24" t="s">
        <v>5292</v>
      </c>
      <c r="T315" s="249" t="s">
        <v>5604</v>
      </c>
      <c r="U315" s="17">
        <v>38.0</v>
      </c>
      <c r="V315" s="16">
        <v>27.0</v>
      </c>
      <c r="W315" s="16">
        <v>61.0</v>
      </c>
      <c r="X315" s="50">
        <v>120115.0</v>
      </c>
      <c r="Y315" s="250">
        <v>7665.0</v>
      </c>
    </row>
    <row r="316">
      <c r="A316" s="11">
        <v>17.0</v>
      </c>
      <c r="B316" s="11">
        <v>26.0</v>
      </c>
      <c r="C316" s="253">
        <v>31.0</v>
      </c>
      <c r="D316" s="235">
        <v>29.0</v>
      </c>
      <c r="E316" s="235">
        <v>29.0</v>
      </c>
      <c r="F316" s="253">
        <v>31.0</v>
      </c>
      <c r="G316" s="235">
        <v>29.0</v>
      </c>
      <c r="H316" s="236">
        <v>1.4283517E7</v>
      </c>
      <c r="I316" s="16">
        <v>23.0</v>
      </c>
      <c r="J316" s="11">
        <v>6.0</v>
      </c>
      <c r="K316" s="11" t="str">
        <f t="shared" si="1"/>
        <v>00290014283517236</v>
      </c>
      <c r="L316" s="238">
        <v>-46563.34</v>
      </c>
      <c r="M316" s="254">
        <v>102813.0</v>
      </c>
      <c r="N316" s="16">
        <v>79.0</v>
      </c>
      <c r="O316" s="22">
        <v>49.0</v>
      </c>
      <c r="P316" s="17">
        <v>89.0</v>
      </c>
      <c r="Q316" s="11">
        <v>2.1025874E7</v>
      </c>
      <c r="R316" s="11">
        <v>9.0</v>
      </c>
      <c r="S316" s="24" t="s">
        <v>39</v>
      </c>
      <c r="T316" s="249" t="s">
        <v>5605</v>
      </c>
      <c r="U316" s="17">
        <v>37.0</v>
      </c>
      <c r="V316" s="16">
        <v>71.0</v>
      </c>
      <c r="W316" s="16">
        <v>31.0</v>
      </c>
      <c r="X316" s="50">
        <v>100315.0</v>
      </c>
      <c r="Y316" s="250">
        <v>581.0</v>
      </c>
    </row>
    <row r="317">
      <c r="A317" s="11">
        <v>20.0</v>
      </c>
      <c r="B317" s="11">
        <v>46.0</v>
      </c>
      <c r="C317" s="253">
        <v>20.0</v>
      </c>
      <c r="D317" s="235">
        <v>171.0</v>
      </c>
      <c r="E317" s="235">
        <v>171.0</v>
      </c>
      <c r="F317" s="253">
        <v>20.0</v>
      </c>
      <c r="G317" s="235">
        <v>171.0</v>
      </c>
      <c r="H317" s="236">
        <v>8.0988688E7</v>
      </c>
      <c r="I317" s="16">
        <v>25.0</v>
      </c>
      <c r="J317" s="11">
        <v>5.0</v>
      </c>
      <c r="K317" s="11" t="str">
        <f t="shared" si="1"/>
        <v>01710080988688255</v>
      </c>
      <c r="L317" s="238">
        <v>-20011.14</v>
      </c>
      <c r="M317" s="254">
        <v>41923.0</v>
      </c>
      <c r="N317" s="16">
        <v>96.0</v>
      </c>
      <c r="O317" s="22">
        <v>25.0</v>
      </c>
      <c r="P317" s="17">
        <v>48.0</v>
      </c>
      <c r="Q317" s="11">
        <v>6.1604147E7</v>
      </c>
      <c r="R317" s="11">
        <v>8.0</v>
      </c>
      <c r="S317" s="24" t="s">
        <v>48</v>
      </c>
      <c r="T317" s="249" t="s">
        <v>5606</v>
      </c>
      <c r="U317" s="17">
        <v>41.0</v>
      </c>
      <c r="V317" s="16">
        <v>76.0</v>
      </c>
      <c r="W317" s="16">
        <v>12.0</v>
      </c>
      <c r="X317" s="50">
        <v>121117.0</v>
      </c>
      <c r="Y317" s="250">
        <v>9888.0</v>
      </c>
    </row>
    <row r="318">
      <c r="A318" s="11">
        <v>19.0</v>
      </c>
      <c r="B318" s="11">
        <v>26.0</v>
      </c>
      <c r="C318" s="253">
        <v>46.0</v>
      </c>
      <c r="D318" s="235">
        <v>87.0</v>
      </c>
      <c r="E318" s="235">
        <v>87.0</v>
      </c>
      <c r="F318" s="253">
        <v>46.0</v>
      </c>
      <c r="G318" s="235">
        <v>87.0</v>
      </c>
      <c r="H318" s="236">
        <v>5.9097843E7</v>
      </c>
      <c r="I318" s="16">
        <v>68.0</v>
      </c>
      <c r="J318" s="11">
        <v>2.0</v>
      </c>
      <c r="K318" s="11" t="str">
        <f t="shared" si="1"/>
        <v>00870059097843682</v>
      </c>
      <c r="L318" s="238">
        <v>790566.39</v>
      </c>
      <c r="M318" s="254">
        <v>11419.0</v>
      </c>
      <c r="N318" s="16">
        <v>13.0</v>
      </c>
      <c r="O318" s="22">
        <v>46.0</v>
      </c>
      <c r="P318" s="17">
        <v>69.0</v>
      </c>
      <c r="Q318" s="11">
        <v>5.333016E7</v>
      </c>
      <c r="R318" s="11">
        <v>7.0</v>
      </c>
      <c r="S318" s="24" t="s">
        <v>48</v>
      </c>
      <c r="T318" s="249" t="s">
        <v>5607</v>
      </c>
      <c r="U318" s="17">
        <v>7.0</v>
      </c>
      <c r="V318" s="16">
        <v>54.0</v>
      </c>
      <c r="W318" s="16">
        <v>48.0</v>
      </c>
      <c r="X318" s="50">
        <v>102120.0</v>
      </c>
      <c r="Y318" s="250">
        <v>6746.0</v>
      </c>
    </row>
    <row r="319">
      <c r="A319" s="11">
        <v>15.0</v>
      </c>
      <c r="B319" s="11">
        <v>67.0</v>
      </c>
      <c r="C319" s="253">
        <v>21.0</v>
      </c>
      <c r="D319" s="235">
        <v>151.0</v>
      </c>
      <c r="E319" s="235">
        <v>151.0</v>
      </c>
      <c r="F319" s="253">
        <v>21.0</v>
      </c>
      <c r="G319" s="235">
        <v>151.0</v>
      </c>
      <c r="H319" s="236">
        <v>2.6367847E7</v>
      </c>
      <c r="I319" s="16">
        <v>38.0</v>
      </c>
      <c r="J319" s="11">
        <v>2.0</v>
      </c>
      <c r="K319" s="11" t="str">
        <f t="shared" si="1"/>
        <v>01510026367847382</v>
      </c>
      <c r="L319" s="238">
        <v>4886.9</v>
      </c>
      <c r="M319" s="254">
        <v>92822.0</v>
      </c>
      <c r="N319" s="16">
        <v>8.0</v>
      </c>
      <c r="O319" s="22">
        <v>34.0</v>
      </c>
      <c r="P319" s="17">
        <v>69.0</v>
      </c>
      <c r="Q319" s="11">
        <v>2.0798948E7</v>
      </c>
      <c r="R319" s="11">
        <v>1.0</v>
      </c>
      <c r="S319" s="24" t="s">
        <v>39</v>
      </c>
      <c r="T319" s="249" t="s">
        <v>5608</v>
      </c>
      <c r="U319" s="17">
        <v>13.0</v>
      </c>
      <c r="V319" s="16">
        <v>35.0</v>
      </c>
      <c r="W319" s="16">
        <v>95.0</v>
      </c>
      <c r="X319" s="50">
        <v>92618.0</v>
      </c>
      <c r="Y319" s="250">
        <v>365.0</v>
      </c>
    </row>
    <row r="320">
      <c r="A320" s="11">
        <v>19.0</v>
      </c>
      <c r="B320" s="11">
        <v>26.0</v>
      </c>
      <c r="C320" s="253">
        <v>17.0</v>
      </c>
      <c r="D320" s="235">
        <v>141.0</v>
      </c>
      <c r="E320" s="235">
        <v>141.0</v>
      </c>
      <c r="F320" s="253">
        <v>17.0</v>
      </c>
      <c r="G320" s="235">
        <v>141.0</v>
      </c>
      <c r="H320" s="236">
        <v>7.8613427E7</v>
      </c>
      <c r="I320" s="16">
        <v>86.0</v>
      </c>
      <c r="J320" s="11">
        <v>4.0</v>
      </c>
      <c r="K320" s="11" t="str">
        <f t="shared" si="1"/>
        <v>01410078613427864</v>
      </c>
      <c r="L320" s="238">
        <v>383.77</v>
      </c>
      <c r="M320" s="254">
        <v>22623.0</v>
      </c>
      <c r="N320" s="16">
        <v>52.0</v>
      </c>
      <c r="O320" s="22">
        <v>45.0</v>
      </c>
      <c r="P320" s="17">
        <v>48.0</v>
      </c>
      <c r="Q320" s="11">
        <v>8.0833353E7</v>
      </c>
      <c r="R320" s="11">
        <v>2.0</v>
      </c>
      <c r="S320" s="24" t="s">
        <v>48</v>
      </c>
      <c r="T320" s="249" t="s">
        <v>5609</v>
      </c>
      <c r="U320" s="17">
        <v>65.0</v>
      </c>
      <c r="V320" s="16">
        <v>53.0</v>
      </c>
      <c r="W320" s="16">
        <v>8.0</v>
      </c>
      <c r="X320" s="50">
        <v>110513.0</v>
      </c>
      <c r="Y320" s="250">
        <v>5218.0</v>
      </c>
    </row>
    <row r="321">
      <c r="A321" s="11">
        <v>14.0</v>
      </c>
      <c r="B321" s="11">
        <v>46.0</v>
      </c>
      <c r="C321" s="253">
        <v>30.0</v>
      </c>
      <c r="D321" s="235">
        <v>21.0</v>
      </c>
      <c r="E321" s="235">
        <v>21.0</v>
      </c>
      <c r="F321" s="253">
        <v>30.0</v>
      </c>
      <c r="G321" s="235">
        <v>21.0</v>
      </c>
      <c r="H321" s="236">
        <v>2.1707583E7</v>
      </c>
      <c r="I321" s="16">
        <v>88.0</v>
      </c>
      <c r="J321" s="11">
        <v>1.0</v>
      </c>
      <c r="K321" s="11" t="str">
        <f t="shared" si="1"/>
        <v>00210021707583881</v>
      </c>
      <c r="L321" s="238">
        <v>46417.18</v>
      </c>
      <c r="M321" s="254">
        <v>11421.0</v>
      </c>
      <c r="N321" s="16">
        <v>1.0</v>
      </c>
      <c r="O321" s="22">
        <v>8.0</v>
      </c>
      <c r="P321" s="17">
        <v>28.0</v>
      </c>
      <c r="Q321" s="11">
        <v>1.4790289E7</v>
      </c>
      <c r="R321" s="11">
        <v>0.0</v>
      </c>
      <c r="S321" s="24" t="s">
        <v>39</v>
      </c>
      <c r="T321" s="249" t="s">
        <v>5610</v>
      </c>
      <c r="U321" s="17">
        <v>28.0</v>
      </c>
      <c r="V321" s="16">
        <v>38.0</v>
      </c>
      <c r="W321" s="16">
        <v>69.0</v>
      </c>
      <c r="X321" s="50">
        <v>121518.0</v>
      </c>
      <c r="Y321" s="250">
        <v>9791.0</v>
      </c>
    </row>
    <row r="322">
      <c r="A322" s="11">
        <v>20.0</v>
      </c>
      <c r="B322" s="11">
        <v>87.0</v>
      </c>
      <c r="C322" s="253">
        <v>6.0</v>
      </c>
      <c r="D322" s="235">
        <v>51.0</v>
      </c>
      <c r="E322" s="235">
        <v>51.0</v>
      </c>
      <c r="F322" s="253">
        <v>6.0</v>
      </c>
      <c r="G322" s="235">
        <v>51.0</v>
      </c>
      <c r="H322" s="236">
        <v>8.6734077E7</v>
      </c>
      <c r="I322" s="16">
        <v>28.0</v>
      </c>
      <c r="J322" s="11">
        <v>9.0</v>
      </c>
      <c r="K322" s="11" t="str">
        <f t="shared" si="1"/>
        <v>00510086734077289</v>
      </c>
      <c r="L322" s="238">
        <v>409649.65</v>
      </c>
      <c r="M322" s="254">
        <v>62320.0</v>
      </c>
      <c r="N322" s="16">
        <v>29.0</v>
      </c>
      <c r="O322" s="22">
        <v>46.0</v>
      </c>
      <c r="P322" s="17">
        <v>28.0</v>
      </c>
      <c r="Q322" s="11">
        <v>5.8965704E7</v>
      </c>
      <c r="R322" s="11">
        <v>8.0</v>
      </c>
      <c r="S322" s="24" t="s">
        <v>29</v>
      </c>
      <c r="T322" s="249" t="s">
        <v>5611</v>
      </c>
      <c r="U322" s="17">
        <v>33.0</v>
      </c>
      <c r="V322" s="16">
        <v>9.0</v>
      </c>
      <c r="W322" s="16">
        <v>45.0</v>
      </c>
      <c r="X322" s="50">
        <v>81814.0</v>
      </c>
      <c r="Y322" s="250">
        <v>2404.0</v>
      </c>
    </row>
    <row r="323">
      <c r="A323" s="11">
        <v>13.0</v>
      </c>
      <c r="B323" s="11">
        <v>26.0</v>
      </c>
      <c r="C323" s="253">
        <v>49.0</v>
      </c>
      <c r="D323" s="235">
        <v>49.0</v>
      </c>
      <c r="E323" s="235">
        <v>49.0</v>
      </c>
      <c r="F323" s="253">
        <v>49.0</v>
      </c>
      <c r="G323" s="235">
        <v>49.0</v>
      </c>
      <c r="H323" s="236">
        <v>3.5589542E7</v>
      </c>
      <c r="I323" s="16">
        <v>23.0</v>
      </c>
      <c r="J323" s="11">
        <v>5.0</v>
      </c>
      <c r="K323" s="11" t="str">
        <f t="shared" si="1"/>
        <v>00490035589542235</v>
      </c>
      <c r="L323" s="238">
        <v>6397.12</v>
      </c>
      <c r="M323" s="254">
        <v>61618.0</v>
      </c>
      <c r="N323" s="16">
        <v>50.0</v>
      </c>
      <c r="O323" s="22">
        <v>30.0</v>
      </c>
      <c r="P323" s="17">
        <v>48.0</v>
      </c>
      <c r="Q323" s="11">
        <v>7.8599955E7</v>
      </c>
      <c r="R323" s="11">
        <v>7.0</v>
      </c>
      <c r="S323" s="24" t="s">
        <v>48</v>
      </c>
      <c r="T323" s="249" t="s">
        <v>5612</v>
      </c>
      <c r="U323" s="17">
        <v>83.0</v>
      </c>
      <c r="V323" s="16">
        <v>48.0</v>
      </c>
      <c r="W323" s="16">
        <v>37.0</v>
      </c>
      <c r="X323" s="50">
        <v>102416.0</v>
      </c>
      <c r="Y323" s="250">
        <v>8613.0</v>
      </c>
    </row>
    <row r="324">
      <c r="A324" s="11">
        <v>14.0</v>
      </c>
      <c r="B324" s="11">
        <v>67.0</v>
      </c>
      <c r="C324" s="253">
        <v>35.0</v>
      </c>
      <c r="D324" s="235">
        <v>47.0</v>
      </c>
      <c r="E324" s="235">
        <v>47.0</v>
      </c>
      <c r="F324" s="253">
        <v>35.0</v>
      </c>
      <c r="G324" s="235">
        <v>47.0</v>
      </c>
      <c r="H324" s="236">
        <v>6.6915758E7</v>
      </c>
      <c r="I324" s="16">
        <v>69.0</v>
      </c>
      <c r="J324" s="11">
        <v>9.0</v>
      </c>
      <c r="K324" s="11" t="str">
        <f t="shared" si="1"/>
        <v>00470066915758699</v>
      </c>
      <c r="L324" s="238">
        <v>81843.22</v>
      </c>
      <c r="M324" s="254">
        <v>83122.0</v>
      </c>
      <c r="N324" s="16">
        <v>25.0</v>
      </c>
      <c r="O324" s="22">
        <v>31.0</v>
      </c>
      <c r="P324" s="17">
        <v>89.0</v>
      </c>
      <c r="Q324" s="11">
        <v>5.4000655E7</v>
      </c>
      <c r="R324" s="11">
        <v>1.0</v>
      </c>
      <c r="S324" s="24" t="s">
        <v>29</v>
      </c>
      <c r="T324" s="249" t="s">
        <v>5613</v>
      </c>
      <c r="U324" s="17">
        <v>80.0</v>
      </c>
      <c r="V324" s="16">
        <v>42.0</v>
      </c>
      <c r="W324" s="16">
        <v>5.0</v>
      </c>
      <c r="X324" s="50">
        <v>61416.0</v>
      </c>
      <c r="Y324" s="250">
        <v>5047.0</v>
      </c>
    </row>
    <row r="325">
      <c r="A325" s="11">
        <v>15.0</v>
      </c>
      <c r="B325" s="11">
        <v>26.0</v>
      </c>
      <c r="C325" s="253">
        <v>46.0</v>
      </c>
      <c r="D325" s="235">
        <v>3.0</v>
      </c>
      <c r="E325" s="235">
        <v>3.0</v>
      </c>
      <c r="F325" s="253">
        <v>46.0</v>
      </c>
      <c r="G325" s="235">
        <v>3.0</v>
      </c>
      <c r="H325" s="236">
        <v>3.730216E7</v>
      </c>
      <c r="I325" s="16">
        <v>1.0</v>
      </c>
      <c r="J325" s="11">
        <v>3.0</v>
      </c>
      <c r="K325" s="11" t="str">
        <f t="shared" si="1"/>
        <v>00030037302160013</v>
      </c>
      <c r="L325" s="238">
        <v>981205.78</v>
      </c>
      <c r="M325" s="254">
        <v>121220.0</v>
      </c>
      <c r="N325" s="16">
        <v>13.0</v>
      </c>
      <c r="O325" s="22">
        <v>24.0</v>
      </c>
      <c r="P325" s="17">
        <v>89.0</v>
      </c>
      <c r="Q325" s="11">
        <v>8.2445252E7</v>
      </c>
      <c r="R325" s="11">
        <v>2.0</v>
      </c>
      <c r="S325" s="24" t="s">
        <v>48</v>
      </c>
      <c r="T325" s="249" t="s">
        <v>5614</v>
      </c>
      <c r="U325" s="17">
        <v>81.0</v>
      </c>
      <c r="V325" s="16">
        <v>92.0</v>
      </c>
      <c r="W325" s="16">
        <v>59.0</v>
      </c>
      <c r="X325" s="50">
        <v>60720.0</v>
      </c>
      <c r="Y325" s="250">
        <v>1744.0</v>
      </c>
    </row>
    <row r="326">
      <c r="A326" s="11">
        <v>11.0</v>
      </c>
      <c r="B326" s="11">
        <v>47.0</v>
      </c>
      <c r="C326" s="253">
        <v>20.0</v>
      </c>
      <c r="D326" s="235">
        <v>151.0</v>
      </c>
      <c r="E326" s="235">
        <v>151.0</v>
      </c>
      <c r="F326" s="253">
        <v>20.0</v>
      </c>
      <c r="G326" s="235">
        <v>151.0</v>
      </c>
      <c r="H326" s="236">
        <v>3.0817761E7</v>
      </c>
      <c r="I326" s="16">
        <v>37.0</v>
      </c>
      <c r="J326" s="11">
        <v>1.0</v>
      </c>
      <c r="K326" s="11" t="str">
        <f t="shared" si="1"/>
        <v>01510030817761371</v>
      </c>
      <c r="L326" s="238">
        <v>677444.6</v>
      </c>
      <c r="M326" s="254">
        <v>100423.0</v>
      </c>
      <c r="N326" s="16">
        <v>68.0</v>
      </c>
      <c r="O326" s="22">
        <v>37.0</v>
      </c>
      <c r="P326" s="17">
        <v>48.0</v>
      </c>
      <c r="Q326" s="11">
        <v>2.1234679E7</v>
      </c>
      <c r="R326" s="11">
        <v>3.0</v>
      </c>
      <c r="S326" s="24" t="s">
        <v>48</v>
      </c>
      <c r="T326" s="249" t="s">
        <v>5615</v>
      </c>
      <c r="U326" s="17">
        <v>86.0</v>
      </c>
      <c r="V326" s="16">
        <v>88.0</v>
      </c>
      <c r="W326" s="16">
        <v>8.0</v>
      </c>
      <c r="X326" s="50">
        <v>91921.0</v>
      </c>
      <c r="Y326" s="250">
        <v>5114.0</v>
      </c>
    </row>
    <row r="327">
      <c r="A327" s="11">
        <v>18.0</v>
      </c>
      <c r="B327" s="11">
        <v>47.0</v>
      </c>
      <c r="C327" s="253">
        <v>16.0</v>
      </c>
      <c r="D327" s="235">
        <v>73.0</v>
      </c>
      <c r="E327" s="235">
        <v>73.0</v>
      </c>
      <c r="F327" s="253">
        <v>16.0</v>
      </c>
      <c r="G327" s="235">
        <v>73.0</v>
      </c>
      <c r="H327" s="236">
        <v>3.9097289E7</v>
      </c>
      <c r="I327" s="16">
        <v>94.0</v>
      </c>
      <c r="J327" s="11">
        <v>6.0</v>
      </c>
      <c r="K327" s="11" t="str">
        <f t="shared" si="1"/>
        <v>00730039097289946</v>
      </c>
      <c r="L327" s="238">
        <v>5500.91</v>
      </c>
      <c r="M327" s="254">
        <v>40414.0</v>
      </c>
      <c r="N327" s="16">
        <v>31.0</v>
      </c>
      <c r="O327" s="22">
        <v>5.0</v>
      </c>
      <c r="P327" s="17">
        <v>89.0</v>
      </c>
      <c r="Q327" s="11">
        <v>5.3422546E7</v>
      </c>
      <c r="R327" s="11">
        <v>5.0</v>
      </c>
      <c r="S327" s="24" t="s">
        <v>29</v>
      </c>
      <c r="T327" s="249" t="s">
        <v>5616</v>
      </c>
      <c r="U327" s="17">
        <v>90.0</v>
      </c>
      <c r="V327" s="16">
        <v>72.0</v>
      </c>
      <c r="W327" s="16">
        <v>72.0</v>
      </c>
      <c r="X327" s="50">
        <v>30114.0</v>
      </c>
      <c r="Y327" s="250">
        <v>4892.0</v>
      </c>
    </row>
    <row r="328">
      <c r="A328" s="11">
        <v>18.0</v>
      </c>
      <c r="B328" s="11">
        <v>67.0</v>
      </c>
      <c r="C328" s="253">
        <v>22.0</v>
      </c>
      <c r="D328" s="235">
        <v>125.0</v>
      </c>
      <c r="E328" s="235">
        <v>125.0</v>
      </c>
      <c r="F328" s="253">
        <v>22.0</v>
      </c>
      <c r="G328" s="235">
        <v>125.0</v>
      </c>
      <c r="H328" s="236">
        <v>6.6266872E7</v>
      </c>
      <c r="I328" s="16">
        <v>80.0</v>
      </c>
      <c r="J328" s="11">
        <v>0.0</v>
      </c>
      <c r="K328" s="11" t="str">
        <f t="shared" si="1"/>
        <v>01250066266872800</v>
      </c>
      <c r="L328" s="238">
        <v>150855.6</v>
      </c>
      <c r="M328" s="254">
        <v>21723.0</v>
      </c>
      <c r="N328" s="16">
        <v>96.0</v>
      </c>
      <c r="O328" s="22">
        <v>16.0</v>
      </c>
      <c r="P328" s="17">
        <v>28.0</v>
      </c>
      <c r="Q328" s="11">
        <v>5.092303E7</v>
      </c>
      <c r="R328" s="11">
        <v>7.0</v>
      </c>
      <c r="S328" s="24" t="s">
        <v>39</v>
      </c>
      <c r="T328" s="249" t="s">
        <v>5617</v>
      </c>
      <c r="U328" s="17">
        <v>50.0</v>
      </c>
      <c r="V328" s="16">
        <v>32.0</v>
      </c>
      <c r="W328" s="16">
        <v>76.0</v>
      </c>
      <c r="X328" s="50">
        <v>51413.0</v>
      </c>
      <c r="Y328" s="250">
        <v>3890.0</v>
      </c>
    </row>
    <row r="329">
      <c r="A329" s="11">
        <v>10.0</v>
      </c>
      <c r="B329" s="11">
        <v>26.0</v>
      </c>
      <c r="C329" s="253">
        <v>42.0</v>
      </c>
      <c r="D329" s="235">
        <v>83.0</v>
      </c>
      <c r="E329" s="235">
        <v>83.0</v>
      </c>
      <c r="F329" s="253">
        <v>42.0</v>
      </c>
      <c r="G329" s="235">
        <v>83.0</v>
      </c>
      <c r="H329" s="236">
        <v>9.3443698E7</v>
      </c>
      <c r="I329" s="16">
        <v>23.0</v>
      </c>
      <c r="J329" s="11">
        <v>2.0</v>
      </c>
      <c r="K329" s="11" t="str">
        <f t="shared" si="1"/>
        <v>00830093443698232</v>
      </c>
      <c r="L329" s="238">
        <v>467639.12</v>
      </c>
      <c r="M329" s="254">
        <v>52923.0</v>
      </c>
      <c r="N329" s="16">
        <v>99.0</v>
      </c>
      <c r="O329" s="22">
        <v>51.0</v>
      </c>
      <c r="P329" s="17">
        <v>69.0</v>
      </c>
      <c r="Q329" s="11">
        <v>7.9356136E7</v>
      </c>
      <c r="R329" s="11">
        <v>0.0</v>
      </c>
      <c r="S329" s="24" t="s">
        <v>5292</v>
      </c>
      <c r="T329" s="249" t="s">
        <v>5618</v>
      </c>
      <c r="U329" s="17">
        <v>47.0</v>
      </c>
      <c r="V329" s="16">
        <v>48.0</v>
      </c>
      <c r="W329" s="16">
        <v>72.0</v>
      </c>
      <c r="X329" s="50">
        <v>82521.0</v>
      </c>
      <c r="Y329" s="250">
        <v>306.0</v>
      </c>
    </row>
    <row r="330">
      <c r="A330" s="11">
        <v>13.0</v>
      </c>
      <c r="B330" s="11">
        <v>67.0</v>
      </c>
      <c r="C330" s="253">
        <v>30.0</v>
      </c>
      <c r="D330" s="235">
        <v>81.0</v>
      </c>
      <c r="E330" s="235">
        <v>81.0</v>
      </c>
      <c r="F330" s="253">
        <v>30.0</v>
      </c>
      <c r="G330" s="235">
        <v>81.0</v>
      </c>
      <c r="H330" s="236">
        <v>5.2937434E7</v>
      </c>
      <c r="I330" s="16">
        <v>94.0</v>
      </c>
      <c r="J330" s="11">
        <v>6.0</v>
      </c>
      <c r="K330" s="11" t="str">
        <f t="shared" si="1"/>
        <v>00810052937434946</v>
      </c>
      <c r="L330" s="238">
        <v>5587.23</v>
      </c>
      <c r="M330" s="254">
        <v>80218.0</v>
      </c>
      <c r="N330" s="16">
        <v>76.0</v>
      </c>
      <c r="O330" s="22">
        <v>17.0</v>
      </c>
      <c r="P330" s="17">
        <v>48.0</v>
      </c>
      <c r="Q330" s="11">
        <v>7.2062715E7</v>
      </c>
      <c r="R330" s="11">
        <v>5.0</v>
      </c>
      <c r="S330" s="24" t="s">
        <v>48</v>
      </c>
      <c r="T330" s="249" t="s">
        <v>5619</v>
      </c>
      <c r="U330" s="17">
        <v>99.0</v>
      </c>
      <c r="V330" s="16">
        <v>34.0</v>
      </c>
      <c r="W330" s="16">
        <v>50.0</v>
      </c>
      <c r="X330" s="50">
        <v>70119.0</v>
      </c>
      <c r="Y330" s="250">
        <v>2598.0</v>
      </c>
    </row>
    <row r="331">
      <c r="A331" s="11">
        <v>17.0</v>
      </c>
      <c r="B331" s="11">
        <v>47.0</v>
      </c>
      <c r="C331" s="253">
        <v>37.0</v>
      </c>
      <c r="D331" s="235">
        <v>129.0</v>
      </c>
      <c r="E331" s="235">
        <v>129.0</v>
      </c>
      <c r="F331" s="253">
        <v>37.0</v>
      </c>
      <c r="G331" s="235">
        <v>129.0</v>
      </c>
      <c r="H331" s="236">
        <v>4.2911307E7</v>
      </c>
      <c r="I331" s="16">
        <v>25.0</v>
      </c>
      <c r="J331" s="11">
        <v>6.0</v>
      </c>
      <c r="K331" s="11" t="str">
        <f t="shared" si="1"/>
        <v>01290042911307256</v>
      </c>
      <c r="L331" s="238">
        <v>26651.72</v>
      </c>
      <c r="M331" s="254">
        <v>41520.0</v>
      </c>
      <c r="N331" s="16">
        <v>23.0</v>
      </c>
      <c r="O331" s="22">
        <v>37.0</v>
      </c>
      <c r="P331" s="17">
        <v>49.0</v>
      </c>
      <c r="Q331" s="11">
        <v>8.2043856E7</v>
      </c>
      <c r="R331" s="11">
        <v>2.0</v>
      </c>
      <c r="S331" s="24" t="s">
        <v>29</v>
      </c>
      <c r="T331" s="249" t="s">
        <v>5620</v>
      </c>
      <c r="U331" s="17">
        <v>1.0</v>
      </c>
      <c r="V331" s="16">
        <v>28.0</v>
      </c>
      <c r="W331" s="16">
        <v>18.0</v>
      </c>
      <c r="X331" s="50">
        <v>70617.0</v>
      </c>
      <c r="Y331" s="250">
        <v>2008.0</v>
      </c>
    </row>
    <row r="332">
      <c r="A332" s="11">
        <v>17.0</v>
      </c>
      <c r="B332" s="11">
        <v>47.0</v>
      </c>
      <c r="C332" s="253">
        <v>17.0</v>
      </c>
      <c r="D332" s="235">
        <v>9.0</v>
      </c>
      <c r="E332" s="235">
        <v>9.0</v>
      </c>
      <c r="F332" s="253">
        <v>17.0</v>
      </c>
      <c r="G332" s="235">
        <v>9.0</v>
      </c>
      <c r="H332" s="236">
        <v>2.080646E7</v>
      </c>
      <c r="I332" s="16">
        <v>2.0</v>
      </c>
      <c r="J332" s="11">
        <v>2.0</v>
      </c>
      <c r="K332" s="11" t="str">
        <f t="shared" si="1"/>
        <v>00090020806460022</v>
      </c>
      <c r="L332" s="238">
        <v>65293.25</v>
      </c>
      <c r="M332" s="254">
        <v>32314.0</v>
      </c>
      <c r="N332" s="16">
        <v>60.0</v>
      </c>
      <c r="O332" s="22">
        <v>30.0</v>
      </c>
      <c r="P332" s="17">
        <v>69.0</v>
      </c>
      <c r="Q332" s="11">
        <v>2.4432572E7</v>
      </c>
      <c r="R332" s="11">
        <v>6.0</v>
      </c>
      <c r="S332" s="24" t="s">
        <v>29</v>
      </c>
      <c r="T332" s="249" t="s">
        <v>5621</v>
      </c>
      <c r="U332" s="17">
        <v>52.0</v>
      </c>
      <c r="V332" s="16">
        <v>18.0</v>
      </c>
      <c r="W332" s="16">
        <v>92.0</v>
      </c>
      <c r="X332" s="50">
        <v>102917.0</v>
      </c>
      <c r="Y332" s="250">
        <v>6732.0</v>
      </c>
    </row>
    <row r="333">
      <c r="A333" s="11">
        <v>11.0</v>
      </c>
      <c r="B333" s="11">
        <v>67.0</v>
      </c>
      <c r="C333" s="253">
        <v>25.0</v>
      </c>
      <c r="D333" s="235">
        <v>23.0</v>
      </c>
      <c r="E333" s="235">
        <v>23.0</v>
      </c>
      <c r="F333" s="253">
        <v>25.0</v>
      </c>
      <c r="G333" s="235">
        <v>23.0</v>
      </c>
      <c r="H333" s="236">
        <v>2.2091799E7</v>
      </c>
      <c r="I333" s="16">
        <v>33.0</v>
      </c>
      <c r="J333" s="11">
        <v>2.0</v>
      </c>
      <c r="K333" s="11" t="str">
        <f t="shared" si="1"/>
        <v>00230022091799332</v>
      </c>
      <c r="L333" s="238">
        <v>-69570.36</v>
      </c>
      <c r="M333" s="254">
        <v>112023.0</v>
      </c>
      <c r="N333" s="16">
        <v>96.0</v>
      </c>
      <c r="O333" s="22">
        <v>42.0</v>
      </c>
      <c r="P333" s="17">
        <v>28.0</v>
      </c>
      <c r="Q333" s="11">
        <v>7.9358124E7</v>
      </c>
      <c r="R333" s="11">
        <v>2.0</v>
      </c>
      <c r="S333" s="24" t="s">
        <v>5292</v>
      </c>
      <c r="T333" s="249" t="s">
        <v>5622</v>
      </c>
      <c r="U333" s="17">
        <v>57.0</v>
      </c>
      <c r="V333" s="16">
        <v>40.0</v>
      </c>
      <c r="W333" s="16">
        <v>10.0</v>
      </c>
      <c r="X333" s="50">
        <v>82318.0</v>
      </c>
      <c r="Y333" s="250">
        <v>4325.0</v>
      </c>
    </row>
    <row r="334">
      <c r="A334" s="11">
        <v>17.0</v>
      </c>
      <c r="B334" s="11">
        <v>67.0</v>
      </c>
      <c r="C334" s="253">
        <v>51.0</v>
      </c>
      <c r="D334" s="235">
        <v>91.0</v>
      </c>
      <c r="E334" s="235">
        <v>91.0</v>
      </c>
      <c r="F334" s="253">
        <v>51.0</v>
      </c>
      <c r="G334" s="235">
        <v>91.0</v>
      </c>
      <c r="H334" s="236">
        <v>7.5199554E7</v>
      </c>
      <c r="I334" s="16">
        <v>27.0</v>
      </c>
      <c r="J334" s="11">
        <v>0.0</v>
      </c>
      <c r="K334" s="11" t="str">
        <f t="shared" si="1"/>
        <v>00910075199554270</v>
      </c>
      <c r="L334" s="238">
        <v>4598.97</v>
      </c>
      <c r="M334" s="254">
        <v>120415.0</v>
      </c>
      <c r="N334" s="16">
        <v>53.0</v>
      </c>
      <c r="O334" s="22">
        <v>2.0</v>
      </c>
      <c r="P334" s="17">
        <v>90.0</v>
      </c>
      <c r="Q334" s="11">
        <v>9.6716156E7</v>
      </c>
      <c r="R334" s="11">
        <v>8.0</v>
      </c>
      <c r="S334" s="24" t="s">
        <v>29</v>
      </c>
      <c r="T334" s="249" t="s">
        <v>5623</v>
      </c>
      <c r="U334" s="17">
        <v>1.0</v>
      </c>
      <c r="V334" s="16">
        <v>67.0</v>
      </c>
      <c r="W334" s="16">
        <v>5.0</v>
      </c>
      <c r="X334" s="50">
        <v>120718.0</v>
      </c>
      <c r="Y334" s="250">
        <v>5392.0</v>
      </c>
    </row>
    <row r="335">
      <c r="A335" s="11">
        <v>19.0</v>
      </c>
      <c r="B335" s="11">
        <v>88.0</v>
      </c>
      <c r="C335" s="253">
        <v>48.0</v>
      </c>
      <c r="D335" s="235">
        <v>337.0</v>
      </c>
      <c r="E335" s="235">
        <v>337.0</v>
      </c>
      <c r="F335" s="253">
        <v>48.0</v>
      </c>
      <c r="G335" s="235">
        <v>337.0</v>
      </c>
      <c r="H335" s="236">
        <v>9.0851134E7</v>
      </c>
      <c r="I335" s="16">
        <v>24.0</v>
      </c>
      <c r="J335" s="11">
        <v>3.0</v>
      </c>
      <c r="K335" s="11" t="str">
        <f t="shared" si="1"/>
        <v>03370090851134243</v>
      </c>
      <c r="L335" s="238">
        <v>46378.13</v>
      </c>
      <c r="M335" s="254">
        <v>31413.0</v>
      </c>
      <c r="N335" s="16">
        <v>76.0</v>
      </c>
      <c r="O335" s="22">
        <v>49.0</v>
      </c>
      <c r="P335" s="17">
        <v>49.0</v>
      </c>
      <c r="Q335" s="11">
        <v>7.2111261E7</v>
      </c>
      <c r="R335" s="11">
        <v>6.0</v>
      </c>
      <c r="S335" s="24" t="s">
        <v>39</v>
      </c>
      <c r="T335" s="249" t="s">
        <v>5624</v>
      </c>
      <c r="U335" s="17">
        <v>6.0</v>
      </c>
      <c r="V335" s="16">
        <v>6.0</v>
      </c>
      <c r="W335" s="16">
        <v>46.0</v>
      </c>
      <c r="X335" s="50">
        <v>81918.0</v>
      </c>
      <c r="Y335" s="250">
        <v>6399.0</v>
      </c>
    </row>
    <row r="336">
      <c r="A336" s="11">
        <v>11.0</v>
      </c>
      <c r="B336" s="11">
        <v>47.0</v>
      </c>
      <c r="C336" s="253">
        <v>51.0</v>
      </c>
      <c r="D336" s="235">
        <v>678.0</v>
      </c>
      <c r="E336" s="235">
        <v>678.0</v>
      </c>
      <c r="F336" s="253">
        <v>51.0</v>
      </c>
      <c r="G336" s="235">
        <v>678.0</v>
      </c>
      <c r="H336" s="236">
        <v>2.8942758E7</v>
      </c>
      <c r="I336" s="16">
        <v>93.0</v>
      </c>
      <c r="J336" s="11">
        <v>8.0</v>
      </c>
      <c r="K336" s="11" t="str">
        <f t="shared" si="1"/>
        <v>06780028942758938</v>
      </c>
      <c r="L336" s="238">
        <v>-899660.56</v>
      </c>
      <c r="M336" s="254">
        <v>71418.0</v>
      </c>
      <c r="N336" s="16">
        <v>92.0</v>
      </c>
      <c r="O336" s="22">
        <v>27.0</v>
      </c>
      <c r="P336" s="17">
        <v>49.0</v>
      </c>
      <c r="Q336" s="11">
        <v>4.8178074E7</v>
      </c>
      <c r="R336" s="11">
        <v>4.0</v>
      </c>
      <c r="S336" s="24" t="s">
        <v>48</v>
      </c>
      <c r="T336" s="249" t="s">
        <v>5625</v>
      </c>
      <c r="U336" s="17">
        <v>10.0</v>
      </c>
      <c r="V336" s="16">
        <v>79.0</v>
      </c>
      <c r="W336" s="16">
        <v>81.0</v>
      </c>
      <c r="X336" s="50">
        <v>42615.0</v>
      </c>
      <c r="Y336" s="250">
        <v>3212.0</v>
      </c>
    </row>
    <row r="337">
      <c r="A337" s="11">
        <v>17.0</v>
      </c>
      <c r="B337" s="11">
        <v>47.0</v>
      </c>
      <c r="C337" s="253">
        <v>48.0</v>
      </c>
      <c r="D337" s="235">
        <v>73.0</v>
      </c>
      <c r="E337" s="235">
        <v>73.0</v>
      </c>
      <c r="F337" s="253">
        <v>48.0</v>
      </c>
      <c r="G337" s="235">
        <v>73.0</v>
      </c>
      <c r="H337" s="236">
        <v>4.2212558E7</v>
      </c>
      <c r="I337" s="16">
        <v>20.0</v>
      </c>
      <c r="J337" s="11">
        <v>2.0</v>
      </c>
      <c r="K337" s="11" t="str">
        <f t="shared" si="1"/>
        <v>00730042212558202</v>
      </c>
      <c r="L337" s="238">
        <v>301.31</v>
      </c>
      <c r="M337" s="254">
        <v>111918.0</v>
      </c>
      <c r="N337" s="16">
        <v>8.0</v>
      </c>
      <c r="O337" s="22">
        <v>16.0</v>
      </c>
      <c r="P337" s="17">
        <v>28.0</v>
      </c>
      <c r="Q337" s="11">
        <v>8.4743358E7</v>
      </c>
      <c r="R337" s="11">
        <v>6.0</v>
      </c>
      <c r="S337" s="24" t="s">
        <v>39</v>
      </c>
      <c r="T337" s="249" t="s">
        <v>5626</v>
      </c>
      <c r="U337" s="17">
        <v>64.0</v>
      </c>
      <c r="V337" s="16">
        <v>62.0</v>
      </c>
      <c r="W337" s="16">
        <v>89.0</v>
      </c>
      <c r="X337" s="50">
        <v>30918.0</v>
      </c>
      <c r="Y337" s="250">
        <v>9842.0</v>
      </c>
    </row>
    <row r="338">
      <c r="A338" s="11">
        <v>15.0</v>
      </c>
      <c r="B338" s="11">
        <v>47.0</v>
      </c>
      <c r="C338" s="253">
        <v>55.0</v>
      </c>
      <c r="D338" s="235">
        <v>57.0</v>
      </c>
      <c r="E338" s="235">
        <v>57.0</v>
      </c>
      <c r="F338" s="253">
        <v>55.0</v>
      </c>
      <c r="G338" s="235">
        <v>57.0</v>
      </c>
      <c r="H338" s="236">
        <v>5.9050756E7</v>
      </c>
      <c r="I338" s="16">
        <v>93.0</v>
      </c>
      <c r="J338" s="11">
        <v>4.0</v>
      </c>
      <c r="K338" s="11" t="str">
        <f t="shared" si="1"/>
        <v>00570059050756934</v>
      </c>
      <c r="L338" s="238">
        <v>-9864.77</v>
      </c>
      <c r="M338" s="254">
        <v>110820.0</v>
      </c>
      <c r="N338" s="16">
        <v>95.0</v>
      </c>
      <c r="O338" s="22">
        <v>45.0</v>
      </c>
      <c r="P338" s="17">
        <v>69.0</v>
      </c>
      <c r="Q338" s="11">
        <v>5.1951705E7</v>
      </c>
      <c r="R338" s="11">
        <v>4.0</v>
      </c>
      <c r="S338" s="24" t="s">
        <v>5292</v>
      </c>
      <c r="T338" s="249" t="s">
        <v>5627</v>
      </c>
      <c r="U338" s="17">
        <v>64.0</v>
      </c>
      <c r="V338" s="16">
        <v>25.0</v>
      </c>
      <c r="W338" s="16">
        <v>56.0</v>
      </c>
      <c r="X338" s="50">
        <v>11620.0</v>
      </c>
      <c r="Y338" s="250">
        <v>5461.0</v>
      </c>
    </row>
    <row r="339">
      <c r="A339" s="11">
        <v>11.0</v>
      </c>
      <c r="B339" s="11">
        <v>47.0</v>
      </c>
      <c r="C339" s="253">
        <v>24.0</v>
      </c>
      <c r="D339" s="235">
        <v>35.0</v>
      </c>
      <c r="E339" s="235">
        <v>35.0</v>
      </c>
      <c r="F339" s="253">
        <v>24.0</v>
      </c>
      <c r="G339" s="235">
        <v>35.0</v>
      </c>
      <c r="H339" s="236">
        <v>1.2193512E7</v>
      </c>
      <c r="I339" s="16">
        <v>69.0</v>
      </c>
      <c r="J339" s="11">
        <v>2.0</v>
      </c>
      <c r="K339" s="11" t="str">
        <f t="shared" si="1"/>
        <v>00350012193512692</v>
      </c>
      <c r="L339" s="238">
        <v>-727.46</v>
      </c>
      <c r="M339" s="254">
        <v>62213.0</v>
      </c>
      <c r="N339" s="16">
        <v>37.0</v>
      </c>
      <c r="O339" s="22">
        <v>30.0</v>
      </c>
      <c r="P339" s="17">
        <v>28.0</v>
      </c>
      <c r="Q339" s="11">
        <v>4.9224742E7</v>
      </c>
      <c r="R339" s="11">
        <v>9.0</v>
      </c>
      <c r="S339" s="24" t="s">
        <v>5292</v>
      </c>
      <c r="T339" s="249" t="s">
        <v>5628</v>
      </c>
      <c r="U339" s="17">
        <v>69.0</v>
      </c>
      <c r="V339" s="16">
        <v>64.0</v>
      </c>
      <c r="W339" s="16">
        <v>25.0</v>
      </c>
      <c r="X339" s="50">
        <v>101819.0</v>
      </c>
      <c r="Y339" s="250">
        <v>9206.0</v>
      </c>
    </row>
    <row r="340">
      <c r="A340" s="11">
        <v>14.0</v>
      </c>
      <c r="B340" s="11">
        <v>88.0</v>
      </c>
      <c r="C340" s="253">
        <v>41.0</v>
      </c>
      <c r="D340" s="235">
        <v>3.0</v>
      </c>
      <c r="E340" s="235">
        <v>3.0</v>
      </c>
      <c r="F340" s="253">
        <v>41.0</v>
      </c>
      <c r="G340" s="235">
        <v>3.0</v>
      </c>
      <c r="H340" s="236">
        <v>7.145347E7</v>
      </c>
      <c r="I340" s="16">
        <v>58.0</v>
      </c>
      <c r="J340" s="11">
        <v>5.0</v>
      </c>
      <c r="K340" s="11" t="str">
        <f t="shared" si="1"/>
        <v>00030071453470585</v>
      </c>
      <c r="L340" s="238">
        <v>-660.39</v>
      </c>
      <c r="M340" s="254">
        <v>90817.0</v>
      </c>
      <c r="N340" s="16">
        <v>10.0</v>
      </c>
      <c r="O340" s="22">
        <v>24.0</v>
      </c>
      <c r="P340" s="17">
        <v>28.0</v>
      </c>
      <c r="Q340" s="11">
        <v>7.7467435E7</v>
      </c>
      <c r="R340" s="11">
        <v>2.0</v>
      </c>
      <c r="S340" s="24" t="s">
        <v>48</v>
      </c>
      <c r="T340" s="249" t="s">
        <v>5629</v>
      </c>
      <c r="U340" s="17">
        <v>70.0</v>
      </c>
      <c r="V340" s="16">
        <v>45.0</v>
      </c>
      <c r="W340" s="16">
        <v>28.0</v>
      </c>
      <c r="X340" s="50">
        <v>22519.0</v>
      </c>
      <c r="Y340" s="250">
        <v>5309.0</v>
      </c>
    </row>
    <row r="341">
      <c r="A341" s="11">
        <v>12.0</v>
      </c>
      <c r="B341" s="11">
        <v>27.0</v>
      </c>
      <c r="C341" s="253">
        <v>5.0</v>
      </c>
      <c r="D341" s="235">
        <v>23.0</v>
      </c>
      <c r="E341" s="235">
        <v>23.0</v>
      </c>
      <c r="F341" s="253">
        <v>5.0</v>
      </c>
      <c r="G341" s="235">
        <v>23.0</v>
      </c>
      <c r="H341" s="236">
        <v>4.1942481E7</v>
      </c>
      <c r="I341" s="16">
        <v>64.0</v>
      </c>
      <c r="J341" s="11">
        <v>2.0</v>
      </c>
      <c r="K341" s="11" t="str">
        <f t="shared" si="1"/>
        <v>00230041942481642</v>
      </c>
      <c r="L341" s="238">
        <v>520883.23</v>
      </c>
      <c r="M341" s="254">
        <v>41620.0</v>
      </c>
      <c r="N341" s="16">
        <v>68.0</v>
      </c>
      <c r="O341" s="22">
        <v>29.0</v>
      </c>
      <c r="P341" s="17">
        <v>69.0</v>
      </c>
      <c r="Q341" s="11">
        <v>9.9105968E7</v>
      </c>
      <c r="R341" s="11">
        <v>7.0</v>
      </c>
      <c r="S341" s="24" t="s">
        <v>5292</v>
      </c>
      <c r="T341" s="249" t="s">
        <v>5630</v>
      </c>
      <c r="U341" s="17">
        <v>65.0</v>
      </c>
      <c r="V341" s="16">
        <v>70.0</v>
      </c>
      <c r="W341" s="16">
        <v>55.0</v>
      </c>
      <c r="X341" s="50">
        <v>72118.0</v>
      </c>
      <c r="Y341" s="250">
        <v>168.0</v>
      </c>
    </row>
    <row r="342">
      <c r="A342" s="11">
        <v>14.0</v>
      </c>
      <c r="B342" s="11">
        <v>47.0</v>
      </c>
      <c r="C342" s="253">
        <v>13.0</v>
      </c>
      <c r="D342" s="235">
        <v>121.0</v>
      </c>
      <c r="E342" s="235">
        <v>121.0</v>
      </c>
      <c r="F342" s="253">
        <v>13.0</v>
      </c>
      <c r="G342" s="235">
        <v>121.0</v>
      </c>
      <c r="H342" s="236">
        <v>2.7083763E7</v>
      </c>
      <c r="I342" s="16">
        <v>87.0</v>
      </c>
      <c r="J342" s="11">
        <v>7.0</v>
      </c>
      <c r="K342" s="11" t="str">
        <f t="shared" si="1"/>
        <v>01210027083763877</v>
      </c>
      <c r="L342" s="238">
        <v>-268.16</v>
      </c>
      <c r="M342" s="254">
        <v>82216.0</v>
      </c>
      <c r="N342" s="16">
        <v>70.0</v>
      </c>
      <c r="O342" s="22">
        <v>29.0</v>
      </c>
      <c r="P342" s="17">
        <v>90.0</v>
      </c>
      <c r="Q342" s="11">
        <v>3.2431784E7</v>
      </c>
      <c r="R342" s="11">
        <v>6.0</v>
      </c>
      <c r="S342" s="24" t="s">
        <v>5292</v>
      </c>
      <c r="T342" s="249" t="s">
        <v>5631</v>
      </c>
      <c r="U342" s="17">
        <v>15.0</v>
      </c>
      <c r="V342" s="16">
        <v>60.0</v>
      </c>
      <c r="W342" s="16">
        <v>88.0</v>
      </c>
      <c r="X342" s="50">
        <v>102514.0</v>
      </c>
      <c r="Y342" s="250">
        <v>7997.0</v>
      </c>
    </row>
    <row r="343">
      <c r="A343" s="11">
        <v>19.0</v>
      </c>
      <c r="B343" s="11">
        <v>88.0</v>
      </c>
      <c r="C343" s="253">
        <v>29.0</v>
      </c>
      <c r="D343" s="235">
        <v>223.0</v>
      </c>
      <c r="E343" s="235">
        <v>223.0</v>
      </c>
      <c r="F343" s="253">
        <v>29.0</v>
      </c>
      <c r="G343" s="235">
        <v>223.0</v>
      </c>
      <c r="H343" s="236">
        <v>5.6385531E7</v>
      </c>
      <c r="I343" s="16">
        <v>37.0</v>
      </c>
      <c r="J343" s="11">
        <v>0.0</v>
      </c>
      <c r="K343" s="11" t="str">
        <f t="shared" si="1"/>
        <v>02230056385531370</v>
      </c>
      <c r="L343" s="238">
        <v>8392.83</v>
      </c>
      <c r="M343" s="254">
        <v>62023.0</v>
      </c>
      <c r="N343" s="16">
        <v>10.0</v>
      </c>
      <c r="O343" s="22">
        <v>38.0</v>
      </c>
      <c r="P343" s="17">
        <v>69.0</v>
      </c>
      <c r="Q343" s="11">
        <v>2.8172275E7</v>
      </c>
      <c r="R343" s="11">
        <v>6.0</v>
      </c>
      <c r="S343" s="24" t="s">
        <v>48</v>
      </c>
      <c r="T343" s="249" t="s">
        <v>5632</v>
      </c>
      <c r="U343" s="17">
        <v>69.0</v>
      </c>
      <c r="V343" s="16">
        <v>56.0</v>
      </c>
      <c r="W343" s="16">
        <v>29.0</v>
      </c>
      <c r="X343" s="50">
        <v>60117.0</v>
      </c>
      <c r="Y343" s="250">
        <v>169.0</v>
      </c>
    </row>
    <row r="344">
      <c r="A344" s="11">
        <v>17.0</v>
      </c>
      <c r="B344" s="11">
        <v>27.0</v>
      </c>
      <c r="C344" s="253">
        <v>47.0</v>
      </c>
      <c r="D344" s="235">
        <v>109.0</v>
      </c>
      <c r="E344" s="235">
        <v>109.0</v>
      </c>
      <c r="F344" s="253">
        <v>47.0</v>
      </c>
      <c r="G344" s="235">
        <v>109.0</v>
      </c>
      <c r="H344" s="236">
        <v>3.1380802E7</v>
      </c>
      <c r="I344" s="16">
        <v>98.0</v>
      </c>
      <c r="J344" s="11">
        <v>6.0</v>
      </c>
      <c r="K344" s="11" t="str">
        <f t="shared" si="1"/>
        <v>01090031380802986</v>
      </c>
      <c r="L344" s="238">
        <v>823.11</v>
      </c>
      <c r="M344" s="254">
        <v>72815.0</v>
      </c>
      <c r="N344" s="16">
        <v>96.0</v>
      </c>
      <c r="O344" s="22">
        <v>41.0</v>
      </c>
      <c r="P344" s="17">
        <v>28.0</v>
      </c>
      <c r="Q344" s="11">
        <v>7.1313526E7</v>
      </c>
      <c r="R344" s="11">
        <v>7.0</v>
      </c>
      <c r="S344" s="24" t="s">
        <v>5292</v>
      </c>
      <c r="T344" s="249" t="s">
        <v>5633</v>
      </c>
      <c r="U344" s="17">
        <v>73.0</v>
      </c>
      <c r="V344" s="16">
        <v>57.0</v>
      </c>
      <c r="W344" s="16">
        <v>31.0</v>
      </c>
      <c r="X344" s="50">
        <v>110118.0</v>
      </c>
      <c r="Y344" s="250">
        <v>9086.0</v>
      </c>
    </row>
    <row r="345">
      <c r="A345" s="11">
        <v>13.0</v>
      </c>
      <c r="B345" s="11">
        <v>68.0</v>
      </c>
      <c r="C345" s="253">
        <v>13.0</v>
      </c>
      <c r="D345" s="235">
        <v>181.0</v>
      </c>
      <c r="E345" s="235">
        <v>181.0</v>
      </c>
      <c r="F345" s="253">
        <v>13.0</v>
      </c>
      <c r="G345" s="235">
        <v>181.0</v>
      </c>
      <c r="H345" s="236">
        <v>7.9634752E7</v>
      </c>
      <c r="I345" s="16">
        <v>33.0</v>
      </c>
      <c r="J345" s="11">
        <v>0.0</v>
      </c>
      <c r="K345" s="11" t="str">
        <f t="shared" si="1"/>
        <v>01810079634752330</v>
      </c>
      <c r="L345" s="238">
        <v>806.93</v>
      </c>
      <c r="M345" s="254">
        <v>22916.0</v>
      </c>
      <c r="N345" s="16">
        <v>93.0</v>
      </c>
      <c r="O345" s="22">
        <v>41.0</v>
      </c>
      <c r="P345" s="17">
        <v>28.0</v>
      </c>
      <c r="Q345" s="11">
        <v>7.3677388E7</v>
      </c>
      <c r="R345" s="11">
        <v>0.0</v>
      </c>
      <c r="S345" s="24" t="s">
        <v>48</v>
      </c>
      <c r="T345" s="249" t="s">
        <v>5634</v>
      </c>
      <c r="U345" s="17">
        <v>75.0</v>
      </c>
      <c r="V345" s="16">
        <v>38.0</v>
      </c>
      <c r="W345" s="16">
        <v>95.0</v>
      </c>
      <c r="X345" s="50">
        <v>70517.0</v>
      </c>
      <c r="Y345" s="250">
        <v>9724.0</v>
      </c>
    </row>
    <row r="346">
      <c r="A346" s="11">
        <v>20.0</v>
      </c>
      <c r="B346" s="11">
        <v>68.0</v>
      </c>
      <c r="C346" s="253">
        <v>26.0</v>
      </c>
      <c r="D346" s="235">
        <v>63.0</v>
      </c>
      <c r="E346" s="235">
        <v>63.0</v>
      </c>
      <c r="F346" s="253">
        <v>26.0</v>
      </c>
      <c r="G346" s="235">
        <v>63.0</v>
      </c>
      <c r="H346" s="236">
        <v>7.9888801E7</v>
      </c>
      <c r="I346" s="16">
        <v>96.0</v>
      </c>
      <c r="J346" s="11">
        <v>7.0</v>
      </c>
      <c r="K346" s="11" t="str">
        <f t="shared" si="1"/>
        <v>00630079888801967</v>
      </c>
      <c r="L346" s="238">
        <v>-34594.15</v>
      </c>
      <c r="M346" s="254">
        <v>90314.0</v>
      </c>
      <c r="N346" s="16">
        <v>82.0</v>
      </c>
      <c r="O346" s="22">
        <v>23.0</v>
      </c>
      <c r="P346" s="17">
        <v>69.0</v>
      </c>
      <c r="Q346" s="11">
        <v>5.1485699E7</v>
      </c>
      <c r="R346" s="11">
        <v>0.0</v>
      </c>
      <c r="S346" s="24" t="s">
        <v>29</v>
      </c>
      <c r="T346" s="249" t="s">
        <v>5635</v>
      </c>
      <c r="U346" s="17">
        <v>72.0</v>
      </c>
      <c r="V346" s="16">
        <v>23.0</v>
      </c>
      <c r="W346" s="16">
        <v>61.0</v>
      </c>
      <c r="X346" s="50">
        <v>81016.0</v>
      </c>
      <c r="Y346" s="250">
        <v>5914.0</v>
      </c>
    </row>
    <row r="347">
      <c r="A347" s="11">
        <v>15.0</v>
      </c>
      <c r="B347" s="11">
        <v>27.0</v>
      </c>
      <c r="C347" s="253">
        <v>48.0</v>
      </c>
      <c r="D347" s="235">
        <v>51.0</v>
      </c>
      <c r="E347" s="235">
        <v>51.0</v>
      </c>
      <c r="F347" s="253">
        <v>48.0</v>
      </c>
      <c r="G347" s="235">
        <v>51.0</v>
      </c>
      <c r="H347" s="236">
        <v>5.8614624E7</v>
      </c>
      <c r="I347" s="16">
        <v>97.0</v>
      </c>
      <c r="J347" s="11">
        <v>5.0</v>
      </c>
      <c r="K347" s="11" t="str">
        <f t="shared" si="1"/>
        <v>00510058614624975</v>
      </c>
      <c r="L347" s="238">
        <v>195705.34</v>
      </c>
      <c r="M347" s="254">
        <v>80715.0</v>
      </c>
      <c r="N347" s="16">
        <v>23.0</v>
      </c>
      <c r="O347" s="22">
        <v>17.0</v>
      </c>
      <c r="P347" s="17">
        <v>90.0</v>
      </c>
      <c r="Q347" s="11">
        <v>6.9219771E7</v>
      </c>
      <c r="R347" s="11">
        <v>0.0</v>
      </c>
      <c r="S347" s="24" t="s">
        <v>5292</v>
      </c>
      <c r="T347" s="249" t="s">
        <v>5636</v>
      </c>
      <c r="U347" s="17">
        <v>20.0</v>
      </c>
      <c r="V347" s="16">
        <v>82.0</v>
      </c>
      <c r="W347" s="16">
        <v>44.0</v>
      </c>
      <c r="X347" s="50">
        <v>31413.0</v>
      </c>
      <c r="Y347" s="250">
        <v>4141.0</v>
      </c>
    </row>
    <row r="348">
      <c r="A348" s="11">
        <v>15.0</v>
      </c>
      <c r="B348" s="11">
        <v>68.0</v>
      </c>
      <c r="C348" s="253">
        <v>51.0</v>
      </c>
      <c r="D348" s="235">
        <v>119.0</v>
      </c>
      <c r="E348" s="235">
        <v>119.0</v>
      </c>
      <c r="F348" s="253">
        <v>51.0</v>
      </c>
      <c r="G348" s="235">
        <v>119.0</v>
      </c>
      <c r="H348" s="236">
        <v>5.072928E7</v>
      </c>
      <c r="I348" s="16">
        <v>98.0</v>
      </c>
      <c r="J348" s="11">
        <v>8.0</v>
      </c>
      <c r="K348" s="11" t="str">
        <f t="shared" si="1"/>
        <v>01190050729280988</v>
      </c>
      <c r="L348" s="238">
        <v>-683606.73</v>
      </c>
      <c r="M348" s="254">
        <v>121116.0</v>
      </c>
      <c r="N348" s="16">
        <v>81.0</v>
      </c>
      <c r="O348" s="22">
        <v>1.0</v>
      </c>
      <c r="P348" s="17">
        <v>69.0</v>
      </c>
      <c r="Q348" s="11">
        <v>5.5014562E7</v>
      </c>
      <c r="R348" s="11">
        <v>3.0</v>
      </c>
      <c r="S348" s="24" t="s">
        <v>48</v>
      </c>
      <c r="T348" s="249" t="s">
        <v>5637</v>
      </c>
      <c r="U348" s="17">
        <v>73.0</v>
      </c>
      <c r="V348" s="16">
        <v>99.0</v>
      </c>
      <c r="W348" s="16">
        <v>25.0</v>
      </c>
      <c r="X348" s="50">
        <v>21318.0</v>
      </c>
      <c r="Y348" s="250">
        <v>9152.0</v>
      </c>
    </row>
    <row r="349">
      <c r="A349" s="11">
        <v>10.0</v>
      </c>
      <c r="B349" s="11">
        <v>27.0</v>
      </c>
      <c r="C349" s="253">
        <v>29.0</v>
      </c>
      <c r="D349" s="235">
        <v>149.0</v>
      </c>
      <c r="E349" s="235">
        <v>149.0</v>
      </c>
      <c r="F349" s="253">
        <v>29.0</v>
      </c>
      <c r="G349" s="235">
        <v>149.0</v>
      </c>
      <c r="H349" s="236">
        <v>1.3097392E7</v>
      </c>
      <c r="I349" s="16">
        <v>35.0</v>
      </c>
      <c r="J349" s="11">
        <v>6.0</v>
      </c>
      <c r="K349" s="11" t="str">
        <f t="shared" si="1"/>
        <v>01490013097392356</v>
      </c>
      <c r="L349" s="238">
        <v>2941.86</v>
      </c>
      <c r="M349" s="254">
        <v>50918.0</v>
      </c>
      <c r="N349" s="16">
        <v>21.0</v>
      </c>
      <c r="O349" s="22">
        <v>19.0</v>
      </c>
      <c r="P349" s="17">
        <v>49.0</v>
      </c>
      <c r="Q349" s="11">
        <v>6.9251416E7</v>
      </c>
      <c r="R349" s="11">
        <v>0.0</v>
      </c>
      <c r="S349" s="24" t="s">
        <v>29</v>
      </c>
      <c r="T349" s="249" t="s">
        <v>5638</v>
      </c>
      <c r="U349" s="17">
        <v>29.0</v>
      </c>
      <c r="V349" s="16">
        <v>35.0</v>
      </c>
      <c r="W349" s="16">
        <v>67.0</v>
      </c>
      <c r="X349" s="50">
        <v>113022.0</v>
      </c>
      <c r="Y349" s="250">
        <v>7900.0</v>
      </c>
    </row>
    <row r="350">
      <c r="A350" s="11">
        <v>12.0</v>
      </c>
      <c r="B350" s="11">
        <v>88.0</v>
      </c>
      <c r="C350" s="253">
        <v>29.0</v>
      </c>
      <c r="D350" s="235">
        <v>57.0</v>
      </c>
      <c r="E350" s="235">
        <v>57.0</v>
      </c>
      <c r="F350" s="253">
        <v>29.0</v>
      </c>
      <c r="G350" s="235">
        <v>57.0</v>
      </c>
      <c r="H350" s="236">
        <v>1.1061475E7</v>
      </c>
      <c r="I350" s="16">
        <v>52.0</v>
      </c>
      <c r="J350" s="11">
        <v>2.0</v>
      </c>
      <c r="K350" s="11" t="str">
        <f t="shared" si="1"/>
        <v>00570011061475522</v>
      </c>
      <c r="L350" s="238">
        <v>76557.73</v>
      </c>
      <c r="M350" s="254">
        <v>61423.0</v>
      </c>
      <c r="N350" s="16">
        <v>4.0</v>
      </c>
      <c r="O350" s="22">
        <v>49.0</v>
      </c>
      <c r="P350" s="17">
        <v>90.0</v>
      </c>
      <c r="Q350" s="11">
        <v>9.0598637E7</v>
      </c>
      <c r="R350" s="11">
        <v>4.0</v>
      </c>
      <c r="S350" s="24" t="s">
        <v>29</v>
      </c>
      <c r="T350" s="249" t="s">
        <v>5639</v>
      </c>
      <c r="U350" s="17">
        <v>28.0</v>
      </c>
      <c r="V350" s="16">
        <v>74.0</v>
      </c>
      <c r="W350" s="16">
        <v>5.0</v>
      </c>
      <c r="X350" s="50">
        <v>100416.0</v>
      </c>
      <c r="Y350" s="250">
        <v>793.0</v>
      </c>
    </row>
    <row r="351">
      <c r="A351" s="11">
        <v>12.0</v>
      </c>
      <c r="B351" s="11">
        <v>47.0</v>
      </c>
      <c r="C351" s="253">
        <v>8.0</v>
      </c>
      <c r="D351" s="235">
        <v>97.0</v>
      </c>
      <c r="E351" s="235">
        <v>97.0</v>
      </c>
      <c r="F351" s="253">
        <v>8.0</v>
      </c>
      <c r="G351" s="235">
        <v>97.0</v>
      </c>
      <c r="H351" s="236">
        <v>1.1007173E7</v>
      </c>
      <c r="I351" s="16">
        <v>79.0</v>
      </c>
      <c r="J351" s="11">
        <v>7.0</v>
      </c>
      <c r="K351" s="11" t="str">
        <f t="shared" si="1"/>
        <v>00970011007173797</v>
      </c>
      <c r="L351" s="238">
        <v>77757.38</v>
      </c>
      <c r="M351" s="254">
        <v>100714.0</v>
      </c>
      <c r="N351" s="16">
        <v>87.0</v>
      </c>
      <c r="O351" s="22">
        <v>25.0</v>
      </c>
      <c r="P351" s="17">
        <v>69.0</v>
      </c>
      <c r="Q351" s="11">
        <v>1.7167872E7</v>
      </c>
      <c r="R351" s="11">
        <v>6.0</v>
      </c>
      <c r="S351" s="24" t="s">
        <v>39</v>
      </c>
      <c r="T351" s="249" t="s">
        <v>5640</v>
      </c>
      <c r="U351" s="17">
        <v>84.0</v>
      </c>
      <c r="V351" s="16">
        <v>75.0</v>
      </c>
      <c r="W351" s="16">
        <v>95.0</v>
      </c>
      <c r="X351" s="50">
        <v>20913.0</v>
      </c>
      <c r="Y351" s="250">
        <v>2504.0</v>
      </c>
    </row>
    <row r="352">
      <c r="A352" s="11">
        <v>19.0</v>
      </c>
      <c r="B352" s="11">
        <v>68.0</v>
      </c>
      <c r="C352" s="253">
        <v>35.0</v>
      </c>
      <c r="D352" s="235">
        <v>33.0</v>
      </c>
      <c r="E352" s="235">
        <v>33.0</v>
      </c>
      <c r="F352" s="253">
        <v>35.0</v>
      </c>
      <c r="G352" s="235">
        <v>33.0</v>
      </c>
      <c r="H352" s="236">
        <v>9.17015E7</v>
      </c>
      <c r="I352" s="16">
        <v>12.0</v>
      </c>
      <c r="J352" s="11">
        <v>4.0</v>
      </c>
      <c r="K352" s="11" t="str">
        <f t="shared" si="1"/>
        <v>00330091701500124</v>
      </c>
      <c r="L352" s="238">
        <v>-110.58</v>
      </c>
      <c r="M352" s="254">
        <v>40316.0</v>
      </c>
      <c r="N352" s="16">
        <v>90.0</v>
      </c>
      <c r="O352" s="22">
        <v>12.0</v>
      </c>
      <c r="P352" s="17">
        <v>49.0</v>
      </c>
      <c r="Q352" s="11">
        <v>3.2339096E7</v>
      </c>
      <c r="R352" s="11">
        <v>6.0</v>
      </c>
      <c r="S352" s="24" t="s">
        <v>5292</v>
      </c>
      <c r="T352" s="249" t="s">
        <v>5641</v>
      </c>
      <c r="U352" s="17">
        <v>37.0</v>
      </c>
      <c r="V352" s="16">
        <v>37.0</v>
      </c>
      <c r="W352" s="16">
        <v>55.0</v>
      </c>
      <c r="X352" s="50">
        <v>52221.0</v>
      </c>
      <c r="Y352" s="250">
        <v>4964.0</v>
      </c>
    </row>
    <row r="353">
      <c r="A353" s="11">
        <v>13.0</v>
      </c>
      <c r="B353" s="11">
        <v>47.0</v>
      </c>
      <c r="C353" s="253">
        <v>13.0</v>
      </c>
      <c r="D353" s="235">
        <v>193.0</v>
      </c>
      <c r="E353" s="235">
        <v>193.0</v>
      </c>
      <c r="F353" s="253">
        <v>13.0</v>
      </c>
      <c r="G353" s="235">
        <v>193.0</v>
      </c>
      <c r="H353" s="236">
        <v>2.2577901E7</v>
      </c>
      <c r="I353" s="16">
        <v>11.0</v>
      </c>
      <c r="J353" s="11">
        <v>0.0</v>
      </c>
      <c r="K353" s="11" t="str">
        <f t="shared" si="1"/>
        <v>01930022577901110</v>
      </c>
      <c r="L353" s="238">
        <v>2966.66</v>
      </c>
      <c r="M353" s="254">
        <v>112321.0</v>
      </c>
      <c r="N353" s="16">
        <v>91.0</v>
      </c>
      <c r="O353" s="22">
        <v>10.0</v>
      </c>
      <c r="P353" s="17">
        <v>28.0</v>
      </c>
      <c r="Q353" s="11">
        <v>6.4616831E7</v>
      </c>
      <c r="R353" s="11">
        <v>0.0</v>
      </c>
      <c r="S353" s="24" t="s">
        <v>29</v>
      </c>
      <c r="T353" s="249" t="s">
        <v>5642</v>
      </c>
      <c r="U353" s="17">
        <v>91.0</v>
      </c>
      <c r="V353" s="16">
        <v>5.0</v>
      </c>
      <c r="W353" s="16">
        <v>12.0</v>
      </c>
      <c r="X353" s="50">
        <v>11318.0</v>
      </c>
      <c r="Y353" s="250">
        <v>2967.0</v>
      </c>
    </row>
    <row r="354">
      <c r="A354" s="11">
        <v>10.0</v>
      </c>
      <c r="B354" s="11">
        <v>27.0</v>
      </c>
      <c r="C354" s="253">
        <v>48.0</v>
      </c>
      <c r="D354" s="235">
        <v>409.0</v>
      </c>
      <c r="E354" s="235">
        <v>409.0</v>
      </c>
      <c r="F354" s="253">
        <v>48.0</v>
      </c>
      <c r="G354" s="235">
        <v>409.0</v>
      </c>
      <c r="H354" s="236">
        <v>8.3620788E7</v>
      </c>
      <c r="I354" s="16">
        <v>60.0</v>
      </c>
      <c r="J354" s="11">
        <v>2.0</v>
      </c>
      <c r="K354" s="11" t="str">
        <f t="shared" si="1"/>
        <v>04090083620788602</v>
      </c>
      <c r="L354" s="238">
        <v>317.51</v>
      </c>
      <c r="M354" s="254">
        <v>91122.0</v>
      </c>
      <c r="N354" s="16">
        <v>67.0</v>
      </c>
      <c r="O354" s="22">
        <v>47.0</v>
      </c>
      <c r="P354" s="17">
        <v>90.0</v>
      </c>
      <c r="Q354" s="11">
        <v>1.5746351E7</v>
      </c>
      <c r="R354" s="11">
        <v>1.0</v>
      </c>
      <c r="S354" s="24" t="s">
        <v>29</v>
      </c>
      <c r="T354" s="249" t="s">
        <v>5643</v>
      </c>
      <c r="U354" s="17">
        <v>37.0</v>
      </c>
      <c r="V354" s="16">
        <v>18.0</v>
      </c>
      <c r="W354" s="16">
        <v>29.0</v>
      </c>
      <c r="X354" s="50">
        <v>121321.0</v>
      </c>
      <c r="Y354" s="250">
        <v>8960.0</v>
      </c>
    </row>
    <row r="355">
      <c r="A355" s="11">
        <v>13.0</v>
      </c>
      <c r="B355" s="11">
        <v>27.0</v>
      </c>
      <c r="C355" s="253">
        <v>21.0</v>
      </c>
      <c r="D355" s="235">
        <v>149.0</v>
      </c>
      <c r="E355" s="235">
        <v>149.0</v>
      </c>
      <c r="F355" s="253">
        <v>21.0</v>
      </c>
      <c r="G355" s="235">
        <v>149.0</v>
      </c>
      <c r="H355" s="236">
        <v>3.700717E7</v>
      </c>
      <c r="I355" s="16">
        <v>12.0</v>
      </c>
      <c r="J355" s="11">
        <v>9.0</v>
      </c>
      <c r="K355" s="11" t="str">
        <f t="shared" si="1"/>
        <v>01490037007170129</v>
      </c>
      <c r="L355" s="238">
        <v>377456.11</v>
      </c>
      <c r="M355" s="254">
        <v>40113.0</v>
      </c>
      <c r="N355" s="16">
        <v>87.0</v>
      </c>
      <c r="O355" s="22">
        <v>12.0</v>
      </c>
      <c r="P355" s="17">
        <v>69.0</v>
      </c>
      <c r="Q355" s="11">
        <v>6.2280105E7</v>
      </c>
      <c r="R355" s="11">
        <v>0.0</v>
      </c>
      <c r="S355" s="24" t="s">
        <v>5292</v>
      </c>
      <c r="T355" s="249" t="s">
        <v>5644</v>
      </c>
      <c r="U355" s="17">
        <v>91.0</v>
      </c>
      <c r="V355" s="16">
        <v>96.0</v>
      </c>
      <c r="W355" s="16">
        <v>79.0</v>
      </c>
      <c r="X355" s="50">
        <v>80417.0</v>
      </c>
      <c r="Y355" s="250">
        <v>2519.0</v>
      </c>
    </row>
    <row r="356">
      <c r="A356" s="11">
        <v>10.0</v>
      </c>
      <c r="B356" s="11">
        <v>88.0</v>
      </c>
      <c r="C356" s="253">
        <v>49.0</v>
      </c>
      <c r="D356" s="235">
        <v>17.0</v>
      </c>
      <c r="E356" s="235">
        <v>17.0</v>
      </c>
      <c r="F356" s="253">
        <v>49.0</v>
      </c>
      <c r="G356" s="235">
        <v>17.0</v>
      </c>
      <c r="H356" s="236">
        <v>3.3606246E7</v>
      </c>
      <c r="I356" s="16">
        <v>34.0</v>
      </c>
      <c r="J356" s="11">
        <v>7.0</v>
      </c>
      <c r="K356" s="11" t="str">
        <f t="shared" si="1"/>
        <v>00170033606246347</v>
      </c>
      <c r="L356" s="238">
        <v>417945.2</v>
      </c>
      <c r="M356" s="254">
        <v>81322.0</v>
      </c>
      <c r="N356" s="16">
        <v>2.0</v>
      </c>
      <c r="O356" s="22">
        <v>56.0</v>
      </c>
      <c r="P356" s="17">
        <v>49.0</v>
      </c>
      <c r="Q356" s="11">
        <v>5.0103232E7</v>
      </c>
      <c r="R356" s="11">
        <v>2.0</v>
      </c>
      <c r="S356" s="24" t="s">
        <v>5292</v>
      </c>
      <c r="T356" s="249" t="s">
        <v>5645</v>
      </c>
      <c r="U356" s="17">
        <v>47.0</v>
      </c>
      <c r="V356" s="16">
        <v>46.0</v>
      </c>
      <c r="W356" s="16">
        <v>15.0</v>
      </c>
      <c r="X356" s="50">
        <v>80721.0</v>
      </c>
      <c r="Y356" s="250">
        <v>1790.0</v>
      </c>
    </row>
    <row r="357">
      <c r="A357" s="11">
        <v>18.0</v>
      </c>
      <c r="B357" s="11">
        <v>68.0</v>
      </c>
      <c r="C357" s="253">
        <v>17.0</v>
      </c>
      <c r="D357" s="235">
        <v>15.0</v>
      </c>
      <c r="E357" s="235">
        <v>15.0</v>
      </c>
      <c r="F357" s="253">
        <v>17.0</v>
      </c>
      <c r="G357" s="235">
        <v>15.0</v>
      </c>
      <c r="H357" s="236">
        <v>5.5073956E7</v>
      </c>
      <c r="I357" s="16">
        <v>5.0</v>
      </c>
      <c r="J357" s="11">
        <v>4.0</v>
      </c>
      <c r="K357" s="11" t="str">
        <f t="shared" si="1"/>
        <v>00150055073956054</v>
      </c>
      <c r="L357" s="238">
        <v>239383.41</v>
      </c>
      <c r="M357" s="254">
        <v>60118.0</v>
      </c>
      <c r="N357" s="16">
        <v>48.0</v>
      </c>
      <c r="O357" s="22">
        <v>9.0</v>
      </c>
      <c r="P357" s="17">
        <v>29.0</v>
      </c>
      <c r="Q357" s="11">
        <v>8.2770965E7</v>
      </c>
      <c r="R357" s="11">
        <v>3.0</v>
      </c>
      <c r="S357" s="24" t="s">
        <v>29</v>
      </c>
      <c r="T357" s="249" t="s">
        <v>5646</v>
      </c>
      <c r="U357" s="17">
        <v>1.0</v>
      </c>
      <c r="V357" s="16">
        <v>6.0</v>
      </c>
      <c r="W357" s="16">
        <v>78.0</v>
      </c>
      <c r="X357" s="50">
        <v>111214.0</v>
      </c>
      <c r="Y357" s="250">
        <v>6432.0</v>
      </c>
    </row>
    <row r="358">
      <c r="A358" s="11">
        <v>11.0</v>
      </c>
      <c r="B358" s="11">
        <v>88.0</v>
      </c>
      <c r="C358" s="253">
        <v>55.0</v>
      </c>
      <c r="D358" s="235">
        <v>137.0</v>
      </c>
      <c r="E358" s="235">
        <v>137.0</v>
      </c>
      <c r="F358" s="253">
        <v>55.0</v>
      </c>
      <c r="G358" s="235">
        <v>137.0</v>
      </c>
      <c r="H358" s="236">
        <v>7.5365478E7</v>
      </c>
      <c r="I358" s="16">
        <v>86.0</v>
      </c>
      <c r="J358" s="11">
        <v>5.0</v>
      </c>
      <c r="K358" s="11" t="str">
        <f t="shared" si="1"/>
        <v>01370075365478865</v>
      </c>
      <c r="L358" s="238">
        <v>4110.2</v>
      </c>
      <c r="M358" s="254">
        <v>92519.0</v>
      </c>
      <c r="N358" s="16">
        <v>91.0</v>
      </c>
      <c r="O358" s="22">
        <v>50.0</v>
      </c>
      <c r="P358" s="17">
        <v>49.0</v>
      </c>
      <c r="Q358" s="11">
        <v>9.8430233E7</v>
      </c>
      <c r="R358" s="11">
        <v>9.0</v>
      </c>
      <c r="S358" s="24" t="s">
        <v>48</v>
      </c>
      <c r="T358" s="249" t="s">
        <v>5647</v>
      </c>
      <c r="U358" s="17">
        <v>49.0</v>
      </c>
      <c r="V358" s="16">
        <v>24.0</v>
      </c>
      <c r="W358" s="16">
        <v>64.0</v>
      </c>
      <c r="X358" s="50">
        <v>61513.0</v>
      </c>
      <c r="Y358" s="250">
        <v>2909.0</v>
      </c>
    </row>
    <row r="359">
      <c r="A359" s="11">
        <v>16.0</v>
      </c>
      <c r="B359" s="11">
        <v>27.0</v>
      </c>
      <c r="C359" s="253">
        <v>22.0</v>
      </c>
      <c r="D359" s="235">
        <v>43.0</v>
      </c>
      <c r="E359" s="235">
        <v>43.0</v>
      </c>
      <c r="F359" s="253">
        <v>22.0</v>
      </c>
      <c r="G359" s="235">
        <v>43.0</v>
      </c>
      <c r="H359" s="236">
        <v>8.1472487E7</v>
      </c>
      <c r="I359" s="16">
        <v>42.0</v>
      </c>
      <c r="J359" s="11">
        <v>7.0</v>
      </c>
      <c r="K359" s="11" t="str">
        <f t="shared" si="1"/>
        <v>00430081472487427</v>
      </c>
      <c r="L359" s="238">
        <v>45767.99</v>
      </c>
      <c r="M359" s="254">
        <v>73122.0</v>
      </c>
      <c r="N359" s="16">
        <v>76.0</v>
      </c>
      <c r="O359" s="22">
        <v>37.0</v>
      </c>
      <c r="P359" s="17">
        <v>90.0</v>
      </c>
      <c r="Q359" s="11">
        <v>3.3286428E7</v>
      </c>
      <c r="R359" s="11">
        <v>6.0</v>
      </c>
      <c r="S359" s="24" t="s">
        <v>5292</v>
      </c>
      <c r="T359" s="249" t="s">
        <v>5648</v>
      </c>
      <c r="U359" s="17">
        <v>47.0</v>
      </c>
      <c r="V359" s="16">
        <v>75.0</v>
      </c>
      <c r="W359" s="16">
        <v>31.0</v>
      </c>
      <c r="X359" s="50">
        <v>51013.0</v>
      </c>
      <c r="Y359" s="250">
        <v>6524.0</v>
      </c>
    </row>
    <row r="360">
      <c r="A360" s="11">
        <v>18.0</v>
      </c>
      <c r="B360" s="11">
        <v>27.0</v>
      </c>
      <c r="C360" s="253">
        <v>29.0</v>
      </c>
      <c r="D360" s="235">
        <v>129.0</v>
      </c>
      <c r="E360" s="235">
        <v>129.0</v>
      </c>
      <c r="F360" s="253">
        <v>29.0</v>
      </c>
      <c r="G360" s="235">
        <v>129.0</v>
      </c>
      <c r="H360" s="236">
        <v>3.2154906E7</v>
      </c>
      <c r="I360" s="16">
        <v>61.0</v>
      </c>
      <c r="J360" s="11">
        <v>3.0</v>
      </c>
      <c r="K360" s="11" t="str">
        <f t="shared" si="1"/>
        <v>01290032154906613</v>
      </c>
      <c r="L360" s="238">
        <v>-775.2</v>
      </c>
      <c r="M360" s="254">
        <v>62314.0</v>
      </c>
      <c r="N360" s="16">
        <v>47.0</v>
      </c>
      <c r="O360" s="22">
        <v>31.0</v>
      </c>
      <c r="P360" s="17">
        <v>49.0</v>
      </c>
      <c r="Q360" s="11">
        <v>4.0505561E7</v>
      </c>
      <c r="R360" s="11">
        <v>7.0</v>
      </c>
      <c r="S360" s="24" t="s">
        <v>29</v>
      </c>
      <c r="T360" s="249" t="s">
        <v>5649</v>
      </c>
      <c r="U360" s="17">
        <v>52.0</v>
      </c>
      <c r="V360" s="16">
        <v>62.0</v>
      </c>
      <c r="W360" s="16">
        <v>30.0</v>
      </c>
      <c r="X360" s="50">
        <v>42914.0</v>
      </c>
      <c r="Y360" s="250">
        <v>3784.0</v>
      </c>
    </row>
    <row r="361">
      <c r="A361" s="11">
        <v>20.0</v>
      </c>
      <c r="B361" s="11">
        <v>88.0</v>
      </c>
      <c r="C361" s="253">
        <v>37.0</v>
      </c>
      <c r="D361" s="235">
        <v>63.0</v>
      </c>
      <c r="E361" s="235">
        <v>63.0</v>
      </c>
      <c r="F361" s="253">
        <v>37.0</v>
      </c>
      <c r="G361" s="235">
        <v>63.0</v>
      </c>
      <c r="H361" s="236">
        <v>2.5786812E7</v>
      </c>
      <c r="I361" s="16">
        <v>50.0</v>
      </c>
      <c r="J361" s="11">
        <v>1.0</v>
      </c>
      <c r="K361" s="11" t="str">
        <f t="shared" si="1"/>
        <v>00630025786812501</v>
      </c>
      <c r="L361" s="238">
        <v>375707.45</v>
      </c>
      <c r="M361" s="254">
        <v>82122.0</v>
      </c>
      <c r="N361" s="16">
        <v>45.0</v>
      </c>
      <c r="O361" s="22">
        <v>35.0</v>
      </c>
      <c r="P361" s="17">
        <v>29.0</v>
      </c>
      <c r="Q361" s="11">
        <v>9.4728533E7</v>
      </c>
      <c r="R361" s="11">
        <v>2.0</v>
      </c>
      <c r="S361" s="24" t="s">
        <v>39</v>
      </c>
      <c r="T361" s="249" t="s">
        <v>5650</v>
      </c>
      <c r="U361" s="17">
        <v>7.0</v>
      </c>
      <c r="V361" s="16">
        <v>62.0</v>
      </c>
      <c r="W361" s="16">
        <v>64.0</v>
      </c>
      <c r="X361" s="50">
        <v>110217.0</v>
      </c>
      <c r="Y361" s="250">
        <v>3828.0</v>
      </c>
    </row>
    <row r="362">
      <c r="A362" s="11">
        <v>17.0</v>
      </c>
      <c r="B362" s="11">
        <v>27.0</v>
      </c>
      <c r="C362" s="253">
        <v>13.0</v>
      </c>
      <c r="D362" s="235">
        <v>169.0</v>
      </c>
      <c r="E362" s="235">
        <v>169.0</v>
      </c>
      <c r="F362" s="253">
        <v>13.0</v>
      </c>
      <c r="G362" s="235">
        <v>169.0</v>
      </c>
      <c r="H362" s="236">
        <v>3.0709598E7</v>
      </c>
      <c r="I362" s="16">
        <v>83.0</v>
      </c>
      <c r="J362" s="11">
        <v>6.0</v>
      </c>
      <c r="K362" s="11" t="str">
        <f t="shared" si="1"/>
        <v>01690030709598836</v>
      </c>
      <c r="L362" s="238">
        <v>703.57</v>
      </c>
      <c r="M362" s="254">
        <v>10318.0</v>
      </c>
      <c r="N362" s="16">
        <v>96.0</v>
      </c>
      <c r="O362" s="22">
        <v>44.0</v>
      </c>
      <c r="P362" s="17">
        <v>70.0</v>
      </c>
      <c r="Q362" s="11">
        <v>7.6811933E7</v>
      </c>
      <c r="R362" s="11">
        <v>3.0</v>
      </c>
      <c r="S362" s="24" t="s">
        <v>29</v>
      </c>
      <c r="T362" s="249" t="s">
        <v>5651</v>
      </c>
      <c r="U362" s="17">
        <v>4.0</v>
      </c>
      <c r="V362" s="16">
        <v>47.0</v>
      </c>
      <c r="W362" s="16">
        <v>66.0</v>
      </c>
      <c r="X362" s="50">
        <v>121821.0</v>
      </c>
      <c r="Y362" s="250">
        <v>6830.0</v>
      </c>
    </row>
    <row r="363">
      <c r="A363" s="11">
        <v>12.0</v>
      </c>
      <c r="B363" s="11">
        <v>27.0</v>
      </c>
      <c r="C363" s="253">
        <v>39.0</v>
      </c>
      <c r="D363" s="235">
        <v>121.0</v>
      </c>
      <c r="E363" s="235">
        <v>121.0</v>
      </c>
      <c r="F363" s="253">
        <v>39.0</v>
      </c>
      <c r="G363" s="235">
        <v>121.0</v>
      </c>
      <c r="H363" s="236">
        <v>5.8567057E7</v>
      </c>
      <c r="I363" s="16">
        <v>98.0</v>
      </c>
      <c r="J363" s="11">
        <v>3.0</v>
      </c>
      <c r="K363" s="11" t="str">
        <f t="shared" si="1"/>
        <v>01210058567057983</v>
      </c>
      <c r="L363" s="238">
        <v>401532.78</v>
      </c>
      <c r="M363" s="254">
        <v>50620.0</v>
      </c>
      <c r="N363" s="16">
        <v>66.0</v>
      </c>
      <c r="O363" s="22">
        <v>36.0</v>
      </c>
      <c r="P363" s="17">
        <v>70.0</v>
      </c>
      <c r="Q363" s="11">
        <v>6.9615756E7</v>
      </c>
      <c r="R363" s="11">
        <v>9.0</v>
      </c>
      <c r="S363" s="24" t="s">
        <v>39</v>
      </c>
      <c r="T363" s="249" t="s">
        <v>5652</v>
      </c>
      <c r="U363" s="17">
        <v>5.0</v>
      </c>
      <c r="V363" s="16">
        <v>4.0</v>
      </c>
      <c r="W363" s="16">
        <v>68.0</v>
      </c>
      <c r="X363" s="50">
        <v>32713.0</v>
      </c>
      <c r="Y363" s="250">
        <v>7640.0</v>
      </c>
    </row>
    <row r="364">
      <c r="A364" s="11">
        <v>17.0</v>
      </c>
      <c r="B364" s="11">
        <v>68.0</v>
      </c>
      <c r="C364" s="253">
        <v>36.0</v>
      </c>
      <c r="D364" s="235">
        <v>81.0</v>
      </c>
      <c r="E364" s="235">
        <v>81.0</v>
      </c>
      <c r="F364" s="253">
        <v>36.0</v>
      </c>
      <c r="G364" s="235">
        <v>81.0</v>
      </c>
      <c r="H364" s="236">
        <v>8.495424E7</v>
      </c>
      <c r="I364" s="16">
        <v>11.0</v>
      </c>
      <c r="J364" s="11">
        <v>0.0</v>
      </c>
      <c r="K364" s="11" t="str">
        <f t="shared" si="1"/>
        <v>00810084954240110</v>
      </c>
      <c r="L364" s="238">
        <v>441608.52</v>
      </c>
      <c r="M364" s="254">
        <v>91617.0</v>
      </c>
      <c r="N364" s="16">
        <v>23.0</v>
      </c>
      <c r="O364" s="22">
        <v>10.0</v>
      </c>
      <c r="P364" s="17">
        <v>29.0</v>
      </c>
      <c r="Q364" s="11">
        <v>6.9765515E7</v>
      </c>
      <c r="R364" s="11">
        <v>1.0</v>
      </c>
      <c r="S364" s="24" t="s">
        <v>29</v>
      </c>
      <c r="T364" s="249" t="s">
        <v>5653</v>
      </c>
      <c r="U364" s="17">
        <v>10.0</v>
      </c>
      <c r="V364" s="16">
        <v>29.0</v>
      </c>
      <c r="W364" s="16">
        <v>77.0</v>
      </c>
      <c r="X364" s="50">
        <v>10417.0</v>
      </c>
      <c r="Y364" s="250">
        <v>3465.0</v>
      </c>
    </row>
    <row r="365">
      <c r="A365" s="11">
        <v>17.0</v>
      </c>
      <c r="B365" s="11">
        <v>48.0</v>
      </c>
      <c r="C365" s="253">
        <v>21.0</v>
      </c>
      <c r="D365" s="235">
        <v>73.0</v>
      </c>
      <c r="E365" s="235">
        <v>73.0</v>
      </c>
      <c r="F365" s="253">
        <v>21.0</v>
      </c>
      <c r="G365" s="235">
        <v>73.0</v>
      </c>
      <c r="H365" s="236">
        <v>6.8489368E7</v>
      </c>
      <c r="I365" s="16">
        <v>86.0</v>
      </c>
      <c r="J365" s="11">
        <v>1.0</v>
      </c>
      <c r="K365" s="11" t="str">
        <f t="shared" si="1"/>
        <v>00730068489368861</v>
      </c>
      <c r="L365" s="238">
        <v>1522.33</v>
      </c>
      <c r="M365" s="254">
        <v>112814.0</v>
      </c>
      <c r="N365" s="16">
        <v>50.0</v>
      </c>
      <c r="O365" s="22">
        <v>20.0</v>
      </c>
      <c r="P365" s="17">
        <v>29.0</v>
      </c>
      <c r="Q365" s="11">
        <v>7.1632151E7</v>
      </c>
      <c r="R365" s="11">
        <v>6.0</v>
      </c>
      <c r="S365" s="24" t="s">
        <v>39</v>
      </c>
      <c r="T365" s="249" t="s">
        <v>5654</v>
      </c>
      <c r="U365" s="17">
        <v>9.0</v>
      </c>
      <c r="V365" s="16">
        <v>15.0</v>
      </c>
      <c r="W365" s="16">
        <v>18.0</v>
      </c>
      <c r="X365" s="50">
        <v>12213.0</v>
      </c>
      <c r="Y365" s="250">
        <v>9388.0</v>
      </c>
    </row>
    <row r="366">
      <c r="A366" s="11">
        <v>19.0</v>
      </c>
      <c r="B366" s="11">
        <v>27.0</v>
      </c>
      <c r="C366" s="253">
        <v>47.0</v>
      </c>
      <c r="D366" s="235">
        <v>3.0</v>
      </c>
      <c r="E366" s="235">
        <v>3.0</v>
      </c>
      <c r="F366" s="253">
        <v>47.0</v>
      </c>
      <c r="G366" s="235">
        <v>3.0</v>
      </c>
      <c r="H366" s="236">
        <v>2.0599868E7</v>
      </c>
      <c r="I366" s="16">
        <v>16.0</v>
      </c>
      <c r="J366" s="11">
        <v>9.0</v>
      </c>
      <c r="K366" s="11" t="str">
        <f t="shared" si="1"/>
        <v>00030020599868169</v>
      </c>
      <c r="L366" s="238">
        <v>8721.1</v>
      </c>
      <c r="M366" s="254">
        <v>112515.0</v>
      </c>
      <c r="N366" s="16">
        <v>46.0</v>
      </c>
      <c r="O366" s="22">
        <v>29.0</v>
      </c>
      <c r="P366" s="17">
        <v>70.0</v>
      </c>
      <c r="Q366" s="11">
        <v>8.2070515E7</v>
      </c>
      <c r="R366" s="11">
        <v>4.0</v>
      </c>
      <c r="S366" s="24" t="s">
        <v>39</v>
      </c>
      <c r="T366" s="249" t="s">
        <v>5655</v>
      </c>
      <c r="U366" s="17">
        <v>11.0</v>
      </c>
      <c r="V366" s="16">
        <v>26.0</v>
      </c>
      <c r="W366" s="16">
        <v>47.0</v>
      </c>
      <c r="X366" s="50">
        <v>22115.0</v>
      </c>
      <c r="Y366" s="250">
        <v>1860.0</v>
      </c>
    </row>
    <row r="367">
      <c r="A367" s="11">
        <v>11.0</v>
      </c>
      <c r="B367" s="11">
        <v>68.0</v>
      </c>
      <c r="C367" s="253">
        <v>19.0</v>
      </c>
      <c r="D367" s="235">
        <v>27.0</v>
      </c>
      <c r="E367" s="235">
        <v>27.0</v>
      </c>
      <c r="F367" s="253">
        <v>19.0</v>
      </c>
      <c r="G367" s="235">
        <v>27.0</v>
      </c>
      <c r="H367" s="236">
        <v>2.8847945E7</v>
      </c>
      <c r="I367" s="16">
        <v>28.0</v>
      </c>
      <c r="J367" s="11">
        <v>8.0</v>
      </c>
      <c r="K367" s="11" t="str">
        <f t="shared" si="1"/>
        <v>00270028847945288</v>
      </c>
      <c r="L367" s="238">
        <v>-47128.24</v>
      </c>
      <c r="M367" s="254">
        <v>72321.0</v>
      </c>
      <c r="N367" s="16">
        <v>19.0</v>
      </c>
      <c r="O367" s="22">
        <v>48.0</v>
      </c>
      <c r="P367" s="17">
        <v>29.0</v>
      </c>
      <c r="Q367" s="11">
        <v>8.0407662E7</v>
      </c>
      <c r="R367" s="11">
        <v>9.0</v>
      </c>
      <c r="S367" s="24" t="s">
        <v>5292</v>
      </c>
      <c r="T367" s="249" t="s">
        <v>5656</v>
      </c>
      <c r="U367" s="17">
        <v>19.0</v>
      </c>
      <c r="V367" s="16">
        <v>47.0</v>
      </c>
      <c r="W367" s="16">
        <v>70.0</v>
      </c>
      <c r="X367" s="50">
        <v>40615.0</v>
      </c>
      <c r="Y367" s="250">
        <v>6685.0</v>
      </c>
    </row>
    <row r="368">
      <c r="A368" s="11">
        <v>20.0</v>
      </c>
      <c r="B368" s="11">
        <v>89.0</v>
      </c>
      <c r="C368" s="253">
        <v>51.0</v>
      </c>
      <c r="D368" s="235">
        <v>520.0</v>
      </c>
      <c r="E368" s="235">
        <v>520.0</v>
      </c>
      <c r="F368" s="253">
        <v>51.0</v>
      </c>
      <c r="G368" s="235">
        <v>520.0</v>
      </c>
      <c r="H368" s="236">
        <v>9.5068326E7</v>
      </c>
      <c r="I368" s="16">
        <v>13.0</v>
      </c>
      <c r="J368" s="11">
        <v>2.0</v>
      </c>
      <c r="K368" s="11" t="str">
        <f t="shared" si="1"/>
        <v>05200095068326132</v>
      </c>
      <c r="L368" s="238">
        <v>-8126.24</v>
      </c>
      <c r="M368" s="254">
        <v>91915.0</v>
      </c>
      <c r="N368" s="16">
        <v>25.0</v>
      </c>
      <c r="O368" s="22">
        <v>20.0</v>
      </c>
      <c r="P368" s="17">
        <v>49.0</v>
      </c>
      <c r="Q368" s="11">
        <v>7.0135779E7</v>
      </c>
      <c r="R368" s="11">
        <v>7.0</v>
      </c>
      <c r="S368" s="24" t="s">
        <v>5292</v>
      </c>
      <c r="T368" s="249" t="s">
        <v>5657</v>
      </c>
      <c r="U368" s="17">
        <v>70.0</v>
      </c>
      <c r="V368" s="16">
        <v>44.0</v>
      </c>
      <c r="W368" s="16">
        <v>35.0</v>
      </c>
      <c r="X368" s="50">
        <v>21920.0</v>
      </c>
      <c r="Y368" s="250">
        <v>3058.0</v>
      </c>
    </row>
    <row r="369">
      <c r="A369" s="11">
        <v>14.0</v>
      </c>
      <c r="B369" s="11">
        <v>27.0</v>
      </c>
      <c r="C369" s="253">
        <v>48.0</v>
      </c>
      <c r="D369" s="235">
        <v>79.0</v>
      </c>
      <c r="E369" s="235">
        <v>79.0</v>
      </c>
      <c r="F369" s="253">
        <v>48.0</v>
      </c>
      <c r="G369" s="235">
        <v>79.0</v>
      </c>
      <c r="H369" s="236">
        <v>6.5036317E7</v>
      </c>
      <c r="I369" s="16">
        <v>86.0</v>
      </c>
      <c r="J369" s="11">
        <v>1.0</v>
      </c>
      <c r="K369" s="11" t="str">
        <f t="shared" si="1"/>
        <v>00790065036317861</v>
      </c>
      <c r="L369" s="238">
        <v>532581.3</v>
      </c>
      <c r="M369" s="254">
        <v>21122.0</v>
      </c>
      <c r="N369" s="16">
        <v>63.0</v>
      </c>
      <c r="O369" s="22">
        <v>13.0</v>
      </c>
      <c r="P369" s="17">
        <v>49.0</v>
      </c>
      <c r="Q369" s="11">
        <v>5.5477833E7</v>
      </c>
      <c r="R369" s="11">
        <v>3.0</v>
      </c>
      <c r="S369" s="24" t="s">
        <v>29</v>
      </c>
      <c r="T369" s="249" t="s">
        <v>5658</v>
      </c>
      <c r="U369" s="17">
        <v>71.0</v>
      </c>
      <c r="V369" s="16">
        <v>11.0</v>
      </c>
      <c r="W369" s="16">
        <v>73.0</v>
      </c>
      <c r="X369" s="50">
        <v>61819.0</v>
      </c>
      <c r="Y369" s="250">
        <v>6202.0</v>
      </c>
    </row>
    <row r="370">
      <c r="A370" s="11">
        <v>14.0</v>
      </c>
      <c r="B370" s="11">
        <v>68.0</v>
      </c>
      <c r="C370" s="253">
        <v>5.0</v>
      </c>
      <c r="D370" s="235">
        <v>1.0</v>
      </c>
      <c r="E370" s="235">
        <v>1.0</v>
      </c>
      <c r="F370" s="253">
        <v>5.0</v>
      </c>
      <c r="G370" s="235">
        <v>1.0</v>
      </c>
      <c r="H370" s="236">
        <v>2.6635174E7</v>
      </c>
      <c r="I370" s="16">
        <v>93.0</v>
      </c>
      <c r="J370" s="11">
        <v>3.0</v>
      </c>
      <c r="K370" s="11" t="str">
        <f t="shared" si="1"/>
        <v>00010026635174933</v>
      </c>
      <c r="L370" s="238">
        <v>119.53</v>
      </c>
      <c r="M370" s="254">
        <v>12713.0</v>
      </c>
      <c r="N370" s="16">
        <v>74.0</v>
      </c>
      <c r="O370" s="22">
        <v>54.0</v>
      </c>
      <c r="P370" s="17">
        <v>70.0</v>
      </c>
      <c r="Q370" s="11">
        <v>6.5116015E7</v>
      </c>
      <c r="R370" s="11">
        <v>7.0</v>
      </c>
      <c r="S370" s="24" t="s">
        <v>48</v>
      </c>
      <c r="T370" s="249" t="s">
        <v>5659</v>
      </c>
      <c r="U370" s="17">
        <v>22.0</v>
      </c>
      <c r="V370" s="16">
        <v>30.0</v>
      </c>
      <c r="W370" s="16">
        <v>31.0</v>
      </c>
      <c r="X370" s="50">
        <v>120921.0</v>
      </c>
      <c r="Y370" s="250">
        <v>9290.0</v>
      </c>
    </row>
    <row r="371">
      <c r="A371" s="11">
        <v>12.0</v>
      </c>
      <c r="B371" s="11">
        <v>68.0</v>
      </c>
      <c r="C371" s="253">
        <v>55.0</v>
      </c>
      <c r="D371" s="235">
        <v>27.0</v>
      </c>
      <c r="E371" s="235">
        <v>27.0</v>
      </c>
      <c r="F371" s="253">
        <v>55.0</v>
      </c>
      <c r="G371" s="235">
        <v>27.0</v>
      </c>
      <c r="H371" s="236">
        <v>3.2059663E7</v>
      </c>
      <c r="I371" s="16">
        <v>57.0</v>
      </c>
      <c r="J371" s="11">
        <v>0.0</v>
      </c>
      <c r="K371" s="11" t="str">
        <f t="shared" si="1"/>
        <v>00270032059663570</v>
      </c>
      <c r="L371" s="238">
        <v>8395.5</v>
      </c>
      <c r="M371" s="254">
        <v>73020.0</v>
      </c>
      <c r="N371" s="16">
        <v>72.0</v>
      </c>
      <c r="O371" s="22">
        <v>47.0</v>
      </c>
      <c r="P371" s="17">
        <v>90.0</v>
      </c>
      <c r="Q371" s="11">
        <v>6.2643644E7</v>
      </c>
      <c r="R371" s="11">
        <v>3.0</v>
      </c>
      <c r="S371" s="24" t="s">
        <v>39</v>
      </c>
      <c r="T371" s="249" t="s">
        <v>5660</v>
      </c>
      <c r="U371" s="17">
        <v>72.0</v>
      </c>
      <c r="V371" s="16">
        <v>44.0</v>
      </c>
      <c r="W371" s="16">
        <v>3.0</v>
      </c>
      <c r="X371" s="50">
        <v>110822.0</v>
      </c>
      <c r="Y371" s="250">
        <v>9615.0</v>
      </c>
    </row>
    <row r="372">
      <c r="A372" s="11">
        <v>15.0</v>
      </c>
      <c r="B372" s="11">
        <v>68.0</v>
      </c>
      <c r="C372" s="253">
        <v>5.0</v>
      </c>
      <c r="D372" s="235">
        <v>71.0</v>
      </c>
      <c r="E372" s="235">
        <v>71.0</v>
      </c>
      <c r="F372" s="253">
        <v>5.0</v>
      </c>
      <c r="G372" s="235">
        <v>71.0</v>
      </c>
      <c r="H372" s="236">
        <v>1.635512E7</v>
      </c>
      <c r="I372" s="16">
        <v>35.0</v>
      </c>
      <c r="J372" s="11">
        <v>7.0</v>
      </c>
      <c r="K372" s="11" t="str">
        <f t="shared" si="1"/>
        <v>00710016355120357</v>
      </c>
      <c r="L372" s="238">
        <v>3651.49</v>
      </c>
      <c r="M372" s="254">
        <v>12617.0</v>
      </c>
      <c r="N372" s="16">
        <v>63.0</v>
      </c>
      <c r="O372" s="22">
        <v>19.0</v>
      </c>
      <c r="P372" s="17">
        <v>90.0</v>
      </c>
      <c r="Q372" s="11">
        <v>9.6805213E7</v>
      </c>
      <c r="R372" s="11">
        <v>4.0</v>
      </c>
      <c r="S372" s="24" t="s">
        <v>5292</v>
      </c>
      <c r="T372" s="249" t="s">
        <v>5661</v>
      </c>
      <c r="U372" s="17">
        <v>73.0</v>
      </c>
      <c r="V372" s="16">
        <v>85.0</v>
      </c>
      <c r="W372" s="16">
        <v>48.0</v>
      </c>
      <c r="X372" s="50">
        <v>61413.0</v>
      </c>
      <c r="Y372" s="250">
        <v>4931.0</v>
      </c>
    </row>
    <row r="373">
      <c r="A373" s="11">
        <v>18.0</v>
      </c>
      <c r="B373" s="11">
        <v>27.0</v>
      </c>
      <c r="C373" s="253">
        <v>8.0</v>
      </c>
      <c r="D373" s="235">
        <v>85.0</v>
      </c>
      <c r="E373" s="235">
        <v>85.0</v>
      </c>
      <c r="F373" s="253">
        <v>8.0</v>
      </c>
      <c r="G373" s="235">
        <v>85.0</v>
      </c>
      <c r="H373" s="236">
        <v>3.6270471E7</v>
      </c>
      <c r="I373" s="16">
        <v>94.0</v>
      </c>
      <c r="J373" s="11">
        <v>4.0</v>
      </c>
      <c r="K373" s="11" t="str">
        <f t="shared" si="1"/>
        <v>00850036270471944</v>
      </c>
      <c r="L373" s="238">
        <v>497.47</v>
      </c>
      <c r="M373" s="254">
        <v>11521.0</v>
      </c>
      <c r="N373" s="16">
        <v>65.0</v>
      </c>
      <c r="O373" s="22">
        <v>48.0</v>
      </c>
      <c r="P373" s="17">
        <v>29.0</v>
      </c>
      <c r="Q373" s="11">
        <v>1.4206549E7</v>
      </c>
      <c r="R373" s="11">
        <v>2.0</v>
      </c>
      <c r="S373" s="24" t="s">
        <v>5292</v>
      </c>
      <c r="T373" s="249" t="s">
        <v>5662</v>
      </c>
      <c r="U373" s="17">
        <v>32.0</v>
      </c>
      <c r="V373" s="16">
        <v>54.0</v>
      </c>
      <c r="W373" s="16">
        <v>69.0</v>
      </c>
      <c r="X373" s="50">
        <v>110813.0</v>
      </c>
      <c r="Y373" s="250">
        <v>8204.0</v>
      </c>
    </row>
    <row r="374">
      <c r="A374" s="11">
        <v>16.0</v>
      </c>
      <c r="B374" s="11">
        <v>48.0</v>
      </c>
      <c r="C374" s="253">
        <v>22.0</v>
      </c>
      <c r="D374" s="235">
        <v>55.0</v>
      </c>
      <c r="E374" s="235">
        <v>55.0</v>
      </c>
      <c r="F374" s="253">
        <v>22.0</v>
      </c>
      <c r="G374" s="235">
        <v>55.0</v>
      </c>
      <c r="H374" s="236">
        <v>5.7979156E7</v>
      </c>
      <c r="I374" s="16">
        <v>81.0</v>
      </c>
      <c r="J374" s="11">
        <v>1.0</v>
      </c>
      <c r="K374" s="11" t="str">
        <f t="shared" si="1"/>
        <v>00550057979156811</v>
      </c>
      <c r="L374" s="238">
        <v>572.13</v>
      </c>
      <c r="M374" s="254">
        <v>60415.0</v>
      </c>
      <c r="N374" s="16">
        <v>87.0</v>
      </c>
      <c r="O374" s="22">
        <v>20.0</v>
      </c>
      <c r="P374" s="17">
        <v>90.0</v>
      </c>
      <c r="Q374" s="11">
        <v>7.6133851E7</v>
      </c>
      <c r="R374" s="11">
        <v>8.0</v>
      </c>
      <c r="S374" s="24" t="s">
        <v>5292</v>
      </c>
      <c r="T374" s="249" t="s">
        <v>5663</v>
      </c>
      <c r="U374" s="17">
        <v>78.0</v>
      </c>
      <c r="V374" s="16">
        <v>4.0</v>
      </c>
      <c r="W374" s="16">
        <v>40.0</v>
      </c>
      <c r="X374" s="50">
        <v>100622.0</v>
      </c>
      <c r="Y374" s="250">
        <v>7006.0</v>
      </c>
    </row>
    <row r="375">
      <c r="A375" s="11">
        <v>12.0</v>
      </c>
      <c r="B375" s="11">
        <v>27.0</v>
      </c>
      <c r="C375" s="253">
        <v>37.0</v>
      </c>
      <c r="D375" s="235">
        <v>3.0</v>
      </c>
      <c r="E375" s="235">
        <v>3.0</v>
      </c>
      <c r="F375" s="253">
        <v>37.0</v>
      </c>
      <c r="G375" s="235">
        <v>3.0</v>
      </c>
      <c r="H375" s="236">
        <v>8.205078E7</v>
      </c>
      <c r="I375" s="16">
        <v>67.0</v>
      </c>
      <c r="J375" s="11">
        <v>8.0</v>
      </c>
      <c r="K375" s="11" t="str">
        <f t="shared" si="1"/>
        <v>00030082050780678</v>
      </c>
      <c r="L375" s="238">
        <v>467832.91</v>
      </c>
      <c r="M375" s="254">
        <v>22320.0</v>
      </c>
      <c r="N375" s="16">
        <v>21.0</v>
      </c>
      <c r="O375" s="22">
        <v>9.0</v>
      </c>
      <c r="P375" s="17">
        <v>90.0</v>
      </c>
      <c r="Q375" s="11">
        <v>6.5644969E7</v>
      </c>
      <c r="R375" s="11">
        <v>8.0</v>
      </c>
      <c r="S375" s="24" t="s">
        <v>48</v>
      </c>
      <c r="T375" s="249" t="s">
        <v>5664</v>
      </c>
      <c r="U375" s="17">
        <v>80.0</v>
      </c>
      <c r="V375" s="16">
        <v>36.0</v>
      </c>
      <c r="W375" s="16">
        <v>33.0</v>
      </c>
      <c r="X375" s="50">
        <v>72119.0</v>
      </c>
      <c r="Y375" s="250">
        <v>9132.0</v>
      </c>
    </row>
    <row r="376">
      <c r="A376" s="11">
        <v>20.0</v>
      </c>
      <c r="B376" s="11">
        <v>48.0</v>
      </c>
      <c r="C376" s="253">
        <v>53.0</v>
      </c>
      <c r="D376" s="235">
        <v>61.0</v>
      </c>
      <c r="E376" s="235">
        <v>61.0</v>
      </c>
      <c r="F376" s="253">
        <v>53.0</v>
      </c>
      <c r="G376" s="235">
        <v>61.0</v>
      </c>
      <c r="H376" s="236">
        <v>8.3673338E7</v>
      </c>
      <c r="I376" s="16">
        <v>51.0</v>
      </c>
      <c r="J376" s="11">
        <v>3.0</v>
      </c>
      <c r="K376" s="11" t="str">
        <f t="shared" si="1"/>
        <v>00610083673338513</v>
      </c>
      <c r="L376" s="238">
        <v>-54639.96</v>
      </c>
      <c r="M376" s="254">
        <v>42714.0</v>
      </c>
      <c r="N376" s="16">
        <v>40.0</v>
      </c>
      <c r="O376" s="22">
        <v>37.0</v>
      </c>
      <c r="P376" s="17">
        <v>90.0</v>
      </c>
      <c r="Q376" s="11">
        <v>3.9386748E7</v>
      </c>
      <c r="R376" s="11">
        <v>9.0</v>
      </c>
      <c r="S376" s="24" t="s">
        <v>29</v>
      </c>
      <c r="T376" s="249" t="s">
        <v>5665</v>
      </c>
      <c r="U376" s="17">
        <v>81.0</v>
      </c>
      <c r="V376" s="16">
        <v>61.0</v>
      </c>
      <c r="W376" s="16">
        <v>57.0</v>
      </c>
      <c r="X376" s="50">
        <v>11515.0</v>
      </c>
      <c r="Y376" s="250">
        <v>9089.0</v>
      </c>
    </row>
    <row r="377">
      <c r="A377" s="11">
        <v>19.0</v>
      </c>
      <c r="B377" s="11">
        <v>27.0</v>
      </c>
      <c r="C377" s="253">
        <v>21.0</v>
      </c>
      <c r="D377" s="235">
        <v>27.0</v>
      </c>
      <c r="E377" s="235">
        <v>27.0</v>
      </c>
      <c r="F377" s="253">
        <v>21.0</v>
      </c>
      <c r="G377" s="235">
        <v>27.0</v>
      </c>
      <c r="H377" s="236">
        <v>2.8063191E7</v>
      </c>
      <c r="I377" s="16">
        <v>3.0</v>
      </c>
      <c r="J377" s="11">
        <v>8.0</v>
      </c>
      <c r="K377" s="11" t="str">
        <f t="shared" si="1"/>
        <v>00270028063191038</v>
      </c>
      <c r="L377" s="238">
        <v>689.33</v>
      </c>
      <c r="M377" s="254">
        <v>60815.0</v>
      </c>
      <c r="N377" s="16">
        <v>70.0</v>
      </c>
      <c r="O377" s="22">
        <v>20.0</v>
      </c>
      <c r="P377" s="17">
        <v>90.0</v>
      </c>
      <c r="Q377" s="11">
        <v>4.6642318E7</v>
      </c>
      <c r="R377" s="11">
        <v>8.0</v>
      </c>
      <c r="S377" s="24" t="s">
        <v>48</v>
      </c>
      <c r="T377" s="249" t="s">
        <v>5666</v>
      </c>
      <c r="U377" s="17">
        <v>90.0</v>
      </c>
      <c r="V377" s="16">
        <v>69.0</v>
      </c>
      <c r="W377" s="16">
        <v>86.0</v>
      </c>
      <c r="X377" s="50">
        <v>43020.0</v>
      </c>
      <c r="Y377" s="250">
        <v>8692.0</v>
      </c>
    </row>
    <row r="378">
      <c r="A378" s="11">
        <v>13.0</v>
      </c>
      <c r="B378" s="11">
        <v>89.0</v>
      </c>
      <c r="C378" s="253">
        <v>23.0</v>
      </c>
      <c r="D378" s="235">
        <v>9.0</v>
      </c>
      <c r="E378" s="235">
        <v>9.0</v>
      </c>
      <c r="F378" s="253">
        <v>23.0</v>
      </c>
      <c r="G378" s="235">
        <v>9.0</v>
      </c>
      <c r="H378" s="236">
        <v>4.4123435E7</v>
      </c>
      <c r="I378" s="16">
        <v>95.0</v>
      </c>
      <c r="J378" s="11">
        <v>1.0</v>
      </c>
      <c r="K378" s="11" t="str">
        <f t="shared" si="1"/>
        <v>00090044123435951</v>
      </c>
      <c r="L378" s="238">
        <v>962.38</v>
      </c>
      <c r="M378" s="254">
        <v>82820.0</v>
      </c>
      <c r="N378" s="16">
        <v>56.0</v>
      </c>
      <c r="O378" s="22">
        <v>19.0</v>
      </c>
      <c r="P378" s="17">
        <v>49.0</v>
      </c>
      <c r="Q378" s="11">
        <v>3.056811E7</v>
      </c>
      <c r="R378" s="11">
        <v>8.0</v>
      </c>
      <c r="S378" s="24" t="s">
        <v>48</v>
      </c>
      <c r="T378" s="249" t="s">
        <v>5667</v>
      </c>
      <c r="U378" s="17">
        <v>96.0</v>
      </c>
      <c r="V378" s="16">
        <v>1.0</v>
      </c>
      <c r="W378" s="16">
        <v>62.0</v>
      </c>
      <c r="X378" s="50">
        <v>20915.0</v>
      </c>
      <c r="Y378" s="250">
        <v>9451.0</v>
      </c>
    </row>
    <row r="379">
      <c r="A379" s="11">
        <v>13.0</v>
      </c>
      <c r="B379" s="11">
        <v>48.0</v>
      </c>
      <c r="C379" s="253">
        <v>39.0</v>
      </c>
      <c r="D379" s="235">
        <v>83.0</v>
      </c>
      <c r="E379" s="235">
        <v>83.0</v>
      </c>
      <c r="F379" s="253">
        <v>39.0</v>
      </c>
      <c r="G379" s="235">
        <v>83.0</v>
      </c>
      <c r="H379" s="236">
        <v>3.2193525E7</v>
      </c>
      <c r="I379" s="16">
        <v>97.0</v>
      </c>
      <c r="J379" s="11">
        <v>6.0</v>
      </c>
      <c r="K379" s="11" t="str">
        <f t="shared" si="1"/>
        <v>00830032193525976</v>
      </c>
      <c r="L379" s="238">
        <v>56196.83</v>
      </c>
      <c r="M379" s="254">
        <v>122819.0</v>
      </c>
      <c r="N379" s="16">
        <v>52.0</v>
      </c>
      <c r="O379" s="22">
        <v>39.0</v>
      </c>
      <c r="P379" s="17">
        <v>90.0</v>
      </c>
      <c r="Q379" s="11">
        <v>8.043397E7</v>
      </c>
      <c r="R379" s="11">
        <v>6.0</v>
      </c>
      <c r="S379" s="24" t="s">
        <v>5292</v>
      </c>
      <c r="T379" s="249" t="s">
        <v>5668</v>
      </c>
      <c r="U379" s="17">
        <v>94.0</v>
      </c>
      <c r="V379" s="16">
        <v>98.0</v>
      </c>
      <c r="W379" s="16">
        <v>47.0</v>
      </c>
      <c r="X379" s="50">
        <v>111918.0</v>
      </c>
      <c r="Y379" s="250">
        <v>6567.0</v>
      </c>
    </row>
    <row r="380">
      <c r="A380" s="11">
        <v>14.0</v>
      </c>
      <c r="B380" s="11">
        <v>27.0</v>
      </c>
      <c r="C380" s="253">
        <v>42.0</v>
      </c>
      <c r="D380" s="235">
        <v>39.0</v>
      </c>
      <c r="E380" s="235">
        <v>39.0</v>
      </c>
      <c r="F380" s="253">
        <v>42.0</v>
      </c>
      <c r="G380" s="235">
        <v>39.0</v>
      </c>
      <c r="H380" s="236">
        <v>3.1584164E7</v>
      </c>
      <c r="I380" s="16">
        <v>18.0</v>
      </c>
      <c r="J380" s="11">
        <v>8.0</v>
      </c>
      <c r="K380" s="11" t="str">
        <f t="shared" si="1"/>
        <v>00390031584164188</v>
      </c>
      <c r="L380" s="238">
        <v>-96400.15</v>
      </c>
      <c r="M380" s="254">
        <v>61819.0</v>
      </c>
      <c r="N380" s="16">
        <v>8.0</v>
      </c>
      <c r="O380" s="22">
        <v>36.0</v>
      </c>
      <c r="P380" s="17">
        <v>70.0</v>
      </c>
      <c r="Q380" s="11">
        <v>8.0955441E7</v>
      </c>
      <c r="R380" s="11">
        <v>0.0</v>
      </c>
      <c r="S380" s="24" t="s">
        <v>29</v>
      </c>
      <c r="T380" s="249" t="s">
        <v>5669</v>
      </c>
      <c r="U380" s="17">
        <v>49.0</v>
      </c>
      <c r="V380" s="16">
        <v>83.0</v>
      </c>
      <c r="W380" s="16">
        <v>12.0</v>
      </c>
      <c r="X380" s="50">
        <v>72922.0</v>
      </c>
      <c r="Y380" s="250">
        <v>5384.0</v>
      </c>
    </row>
    <row r="381">
      <c r="A381" s="11">
        <v>18.0</v>
      </c>
      <c r="B381" s="11">
        <v>27.0</v>
      </c>
      <c r="C381" s="253">
        <v>20.0</v>
      </c>
      <c r="D381" s="235">
        <v>87.0</v>
      </c>
      <c r="E381" s="235">
        <v>87.0</v>
      </c>
      <c r="F381" s="253">
        <v>20.0</v>
      </c>
      <c r="G381" s="235">
        <v>87.0</v>
      </c>
      <c r="H381" s="236">
        <v>7.1713845E7</v>
      </c>
      <c r="I381" s="16">
        <v>35.0</v>
      </c>
      <c r="J381" s="11">
        <v>2.0</v>
      </c>
      <c r="K381" s="11" t="str">
        <f t="shared" si="1"/>
        <v>00870071713845352</v>
      </c>
      <c r="L381" s="238">
        <v>-496172.45</v>
      </c>
      <c r="M381" s="254">
        <v>41713.0</v>
      </c>
      <c r="N381" s="16">
        <v>68.0</v>
      </c>
      <c r="O381" s="22">
        <v>56.0</v>
      </c>
      <c r="P381" s="17">
        <v>50.0</v>
      </c>
      <c r="Q381" s="11">
        <v>3.3009801E7</v>
      </c>
      <c r="R381" s="11">
        <v>4.0</v>
      </c>
      <c r="S381" s="24" t="s">
        <v>5292</v>
      </c>
      <c r="T381" s="249" t="s">
        <v>5670</v>
      </c>
      <c r="U381" s="17">
        <v>4.0</v>
      </c>
      <c r="V381" s="16">
        <v>15.0</v>
      </c>
      <c r="W381" s="16">
        <v>27.0</v>
      </c>
      <c r="X381" s="50">
        <v>50817.0</v>
      </c>
      <c r="Y381" s="250">
        <v>9993.0</v>
      </c>
    </row>
    <row r="382">
      <c r="A382" s="11">
        <v>16.0</v>
      </c>
      <c r="B382" s="11">
        <v>27.0</v>
      </c>
      <c r="C382" s="253">
        <v>42.0</v>
      </c>
      <c r="D382" s="235">
        <v>31.0</v>
      </c>
      <c r="E382" s="235">
        <v>31.0</v>
      </c>
      <c r="F382" s="253">
        <v>42.0</v>
      </c>
      <c r="G382" s="235">
        <v>31.0</v>
      </c>
      <c r="H382" s="236">
        <v>6.0682466E7</v>
      </c>
      <c r="I382" s="16">
        <v>18.0</v>
      </c>
      <c r="J382" s="11">
        <v>7.0</v>
      </c>
      <c r="K382" s="11" t="str">
        <f t="shared" si="1"/>
        <v>00310060682466187</v>
      </c>
      <c r="L382" s="238">
        <v>-184.59</v>
      </c>
      <c r="M382" s="254">
        <v>111420.0</v>
      </c>
      <c r="N382" s="16">
        <v>73.0</v>
      </c>
      <c r="O382" s="22">
        <v>20.0</v>
      </c>
      <c r="P382" s="17">
        <v>29.0</v>
      </c>
      <c r="Q382" s="11">
        <v>1.1026475E7</v>
      </c>
      <c r="R382" s="11">
        <v>1.0</v>
      </c>
      <c r="S382" s="24" t="s">
        <v>48</v>
      </c>
      <c r="T382" s="249" t="s">
        <v>5671</v>
      </c>
      <c r="U382" s="17">
        <v>59.0</v>
      </c>
      <c r="V382" s="16">
        <v>51.0</v>
      </c>
      <c r="W382" s="16">
        <v>11.0</v>
      </c>
      <c r="X382" s="50">
        <v>82821.0</v>
      </c>
      <c r="Y382" s="250">
        <v>6893.0</v>
      </c>
    </row>
    <row r="383">
      <c r="A383" s="11">
        <v>11.0</v>
      </c>
      <c r="B383" s="11">
        <v>68.0</v>
      </c>
      <c r="C383" s="253">
        <v>13.0</v>
      </c>
      <c r="D383" s="235">
        <v>273.0</v>
      </c>
      <c r="E383" s="235">
        <v>273.0</v>
      </c>
      <c r="F383" s="253">
        <v>13.0</v>
      </c>
      <c r="G383" s="235">
        <v>273.0</v>
      </c>
      <c r="H383" s="236">
        <v>8.6861668E7</v>
      </c>
      <c r="I383" s="16">
        <v>36.0</v>
      </c>
      <c r="J383" s="11">
        <v>4.0</v>
      </c>
      <c r="K383" s="11" t="str">
        <f t="shared" si="1"/>
        <v>02730086861668364</v>
      </c>
      <c r="L383" s="238">
        <v>136192.8</v>
      </c>
      <c r="M383" s="254">
        <v>101714.0</v>
      </c>
      <c r="N383" s="16">
        <v>69.0</v>
      </c>
      <c r="O383" s="22">
        <v>25.0</v>
      </c>
      <c r="P383" s="17">
        <v>91.0</v>
      </c>
      <c r="Q383" s="11">
        <v>2.2899518E7</v>
      </c>
      <c r="R383" s="11">
        <v>2.0</v>
      </c>
      <c r="S383" s="24" t="s">
        <v>29</v>
      </c>
      <c r="T383" s="249" t="s">
        <v>5672</v>
      </c>
      <c r="U383" s="17">
        <v>4.0</v>
      </c>
      <c r="V383" s="16">
        <v>54.0</v>
      </c>
      <c r="W383" s="16">
        <v>31.0</v>
      </c>
      <c r="X383" s="50">
        <v>52116.0</v>
      </c>
      <c r="Y383" s="250">
        <v>1338.0</v>
      </c>
    </row>
    <row r="384">
      <c r="A384" s="11">
        <v>20.0</v>
      </c>
      <c r="B384" s="11">
        <v>27.0</v>
      </c>
      <c r="C384" s="253">
        <v>28.0</v>
      </c>
      <c r="D384" s="235">
        <v>25.0</v>
      </c>
      <c r="E384" s="235">
        <v>25.0</v>
      </c>
      <c r="F384" s="253">
        <v>28.0</v>
      </c>
      <c r="G384" s="235">
        <v>25.0</v>
      </c>
      <c r="H384" s="236">
        <v>6.5788759E7</v>
      </c>
      <c r="I384" s="16">
        <v>40.0</v>
      </c>
      <c r="J384" s="11">
        <v>7.0</v>
      </c>
      <c r="K384" s="11" t="str">
        <f t="shared" si="1"/>
        <v>00250065788759407</v>
      </c>
      <c r="L384" s="238">
        <v>-711754.0</v>
      </c>
      <c r="M384" s="254">
        <v>50215.0</v>
      </c>
      <c r="N384" s="16">
        <v>37.0</v>
      </c>
      <c r="O384" s="22">
        <v>31.0</v>
      </c>
      <c r="P384" s="17">
        <v>50.0</v>
      </c>
      <c r="Q384" s="11">
        <v>8.2889239E7</v>
      </c>
      <c r="R384" s="11">
        <v>3.0</v>
      </c>
      <c r="S384" s="24" t="s">
        <v>5292</v>
      </c>
      <c r="T384" s="249" t="s">
        <v>5673</v>
      </c>
      <c r="U384" s="17">
        <v>9.0</v>
      </c>
      <c r="V384" s="16">
        <v>94.0</v>
      </c>
      <c r="W384" s="16">
        <v>67.0</v>
      </c>
      <c r="X384" s="50">
        <v>51321.0</v>
      </c>
      <c r="Y384" s="250">
        <v>5253.0</v>
      </c>
    </row>
    <row r="385">
      <c r="A385" s="11">
        <v>15.0</v>
      </c>
      <c r="B385" s="11">
        <v>48.0</v>
      </c>
      <c r="C385" s="253">
        <v>48.0</v>
      </c>
      <c r="D385" s="235">
        <v>209.0</v>
      </c>
      <c r="E385" s="235">
        <v>209.0</v>
      </c>
      <c r="F385" s="253">
        <v>48.0</v>
      </c>
      <c r="G385" s="235">
        <v>209.0</v>
      </c>
      <c r="H385" s="236">
        <v>6.5495693E7</v>
      </c>
      <c r="I385" s="16">
        <v>98.0</v>
      </c>
      <c r="J385" s="11">
        <v>0.0</v>
      </c>
      <c r="K385" s="11" t="str">
        <f t="shared" si="1"/>
        <v>02090065495693980</v>
      </c>
      <c r="L385" s="238">
        <v>-654047.27</v>
      </c>
      <c r="M385" s="254">
        <v>123013.0</v>
      </c>
      <c r="N385" s="16">
        <v>45.0</v>
      </c>
      <c r="O385" s="22">
        <v>6.0</v>
      </c>
      <c r="P385" s="17">
        <v>70.0</v>
      </c>
      <c r="Q385" s="11">
        <v>8.73175E7</v>
      </c>
      <c r="R385" s="11">
        <v>8.0</v>
      </c>
      <c r="S385" s="24" t="s">
        <v>39</v>
      </c>
      <c r="T385" s="249" t="s">
        <v>5674</v>
      </c>
      <c r="U385" s="17">
        <v>56.0</v>
      </c>
      <c r="V385" s="16">
        <v>55.0</v>
      </c>
      <c r="W385" s="16">
        <v>90.0</v>
      </c>
      <c r="X385" s="50">
        <v>100522.0</v>
      </c>
      <c r="Y385" s="250">
        <v>3521.0</v>
      </c>
    </row>
    <row r="386">
      <c r="A386" s="11">
        <v>13.0</v>
      </c>
      <c r="B386" s="11">
        <v>27.0</v>
      </c>
      <c r="C386" s="253">
        <v>25.0</v>
      </c>
      <c r="D386" s="235">
        <v>21.0</v>
      </c>
      <c r="E386" s="235">
        <v>21.0</v>
      </c>
      <c r="F386" s="253">
        <v>25.0</v>
      </c>
      <c r="G386" s="235">
        <v>21.0</v>
      </c>
      <c r="H386" s="236">
        <v>9.9721998E7</v>
      </c>
      <c r="I386" s="16">
        <v>31.0</v>
      </c>
      <c r="J386" s="11">
        <v>1.0</v>
      </c>
      <c r="K386" s="11" t="str">
        <f t="shared" si="1"/>
        <v>00210099721998311</v>
      </c>
      <c r="L386" s="238">
        <v>65183.78</v>
      </c>
      <c r="M386" s="254">
        <v>51022.0</v>
      </c>
      <c r="N386" s="16">
        <v>56.0</v>
      </c>
      <c r="O386" s="22">
        <v>1.0</v>
      </c>
      <c r="P386" s="17">
        <v>50.0</v>
      </c>
      <c r="Q386" s="11">
        <v>7.8409703E7</v>
      </c>
      <c r="R386" s="11">
        <v>8.0</v>
      </c>
      <c r="S386" s="24" t="s">
        <v>48</v>
      </c>
      <c r="T386" s="249" t="s">
        <v>5675</v>
      </c>
      <c r="U386" s="17">
        <v>7.0</v>
      </c>
      <c r="V386" s="16">
        <v>9.0</v>
      </c>
      <c r="W386" s="16">
        <v>74.0</v>
      </c>
      <c r="X386" s="50">
        <v>11314.0</v>
      </c>
      <c r="Y386" s="250">
        <v>5219.0</v>
      </c>
    </row>
    <row r="387">
      <c r="A387" s="11">
        <v>10.0</v>
      </c>
      <c r="B387" s="11">
        <v>27.0</v>
      </c>
      <c r="C387" s="253">
        <v>21.0</v>
      </c>
      <c r="D387" s="235">
        <v>55.0</v>
      </c>
      <c r="E387" s="235">
        <v>55.0</v>
      </c>
      <c r="F387" s="253">
        <v>21.0</v>
      </c>
      <c r="G387" s="235">
        <v>55.0</v>
      </c>
      <c r="H387" s="236">
        <v>6.0025855E7</v>
      </c>
      <c r="I387" s="16">
        <v>95.0</v>
      </c>
      <c r="J387" s="11">
        <v>8.0</v>
      </c>
      <c r="K387" s="11" t="str">
        <f t="shared" si="1"/>
        <v>00550060025855958</v>
      </c>
      <c r="L387" s="238">
        <v>27115.98</v>
      </c>
      <c r="M387" s="254">
        <v>71418.0</v>
      </c>
      <c r="N387" s="16">
        <v>61.0</v>
      </c>
      <c r="O387" s="22">
        <v>55.0</v>
      </c>
      <c r="P387" s="17">
        <v>50.0</v>
      </c>
      <c r="Q387" s="11">
        <v>8.3238358E7</v>
      </c>
      <c r="R387" s="11">
        <v>6.0</v>
      </c>
      <c r="S387" s="24" t="s">
        <v>48</v>
      </c>
      <c r="T387" s="249" t="s">
        <v>5676</v>
      </c>
      <c r="U387" s="17">
        <v>14.0</v>
      </c>
      <c r="V387" s="16">
        <v>85.0</v>
      </c>
      <c r="W387" s="16">
        <v>10.0</v>
      </c>
      <c r="X387" s="50">
        <v>102718.0</v>
      </c>
      <c r="Y387" s="250">
        <v>233.0</v>
      </c>
    </row>
    <row r="388">
      <c r="A388" s="11">
        <v>20.0</v>
      </c>
      <c r="B388" s="11">
        <v>48.0</v>
      </c>
      <c r="C388" s="253">
        <v>36.0</v>
      </c>
      <c r="D388" s="235">
        <v>11.0</v>
      </c>
      <c r="E388" s="235">
        <v>11.0</v>
      </c>
      <c r="F388" s="253">
        <v>36.0</v>
      </c>
      <c r="G388" s="235">
        <v>11.0</v>
      </c>
      <c r="H388" s="236">
        <v>1.3607986E7</v>
      </c>
      <c r="I388" s="16">
        <v>15.0</v>
      </c>
      <c r="J388" s="11">
        <v>8.0</v>
      </c>
      <c r="K388" s="11" t="str">
        <f t="shared" si="1"/>
        <v>00110013607986158</v>
      </c>
      <c r="L388" s="238">
        <v>981246.86</v>
      </c>
      <c r="M388" s="254">
        <v>80116.0</v>
      </c>
      <c r="N388" s="16">
        <v>34.0</v>
      </c>
      <c r="O388" s="22">
        <v>21.0</v>
      </c>
      <c r="P388" s="17">
        <v>50.0</v>
      </c>
      <c r="Q388" s="11">
        <v>3.7335647E7</v>
      </c>
      <c r="R388" s="11">
        <v>1.0</v>
      </c>
      <c r="S388" s="24" t="s">
        <v>48</v>
      </c>
      <c r="T388" s="249" t="s">
        <v>5677</v>
      </c>
      <c r="U388" s="17">
        <v>17.0</v>
      </c>
      <c r="V388" s="16">
        <v>8.0</v>
      </c>
      <c r="W388" s="16">
        <v>76.0</v>
      </c>
      <c r="X388" s="50">
        <v>33122.0</v>
      </c>
      <c r="Y388" s="250">
        <v>5422.0</v>
      </c>
    </row>
    <row r="389">
      <c r="A389" s="11">
        <v>10.0</v>
      </c>
      <c r="B389" s="11">
        <v>68.0</v>
      </c>
      <c r="C389" s="253">
        <v>28.0</v>
      </c>
      <c r="D389" s="235">
        <v>83.0</v>
      </c>
      <c r="E389" s="235">
        <v>83.0</v>
      </c>
      <c r="F389" s="253">
        <v>28.0</v>
      </c>
      <c r="G389" s="235">
        <v>83.0</v>
      </c>
      <c r="H389" s="236">
        <v>7.692682E7</v>
      </c>
      <c r="I389" s="16">
        <v>90.0</v>
      </c>
      <c r="J389" s="11">
        <v>6.0</v>
      </c>
      <c r="K389" s="11" t="str">
        <f t="shared" si="1"/>
        <v>00830076926820906</v>
      </c>
      <c r="L389" s="238">
        <v>-3123.45</v>
      </c>
      <c r="M389" s="254">
        <v>121514.0</v>
      </c>
      <c r="N389" s="16">
        <v>28.0</v>
      </c>
      <c r="O389" s="22">
        <v>38.0</v>
      </c>
      <c r="P389" s="17">
        <v>29.0</v>
      </c>
      <c r="Q389" s="11">
        <v>6.4624318E7</v>
      </c>
      <c r="R389" s="11">
        <v>3.0</v>
      </c>
      <c r="S389" s="24" t="s">
        <v>39</v>
      </c>
      <c r="T389" s="249" t="s">
        <v>5678</v>
      </c>
      <c r="U389" s="17">
        <v>71.0</v>
      </c>
      <c r="V389" s="16">
        <v>97.0</v>
      </c>
      <c r="W389" s="16">
        <v>88.0</v>
      </c>
      <c r="X389" s="50">
        <v>43016.0</v>
      </c>
      <c r="Y389" s="250">
        <v>1169.0</v>
      </c>
    </row>
    <row r="390">
      <c r="A390" s="11">
        <v>15.0</v>
      </c>
      <c r="B390" s="11">
        <v>68.0</v>
      </c>
      <c r="C390" s="253">
        <v>37.0</v>
      </c>
      <c r="D390" s="235">
        <v>143.0</v>
      </c>
      <c r="E390" s="235">
        <v>143.0</v>
      </c>
      <c r="F390" s="253">
        <v>37.0</v>
      </c>
      <c r="G390" s="235">
        <v>143.0</v>
      </c>
      <c r="H390" s="236">
        <v>7.0004323E7</v>
      </c>
      <c r="I390" s="16">
        <v>45.0</v>
      </c>
      <c r="J390" s="11">
        <v>3.0</v>
      </c>
      <c r="K390" s="11" t="str">
        <f t="shared" si="1"/>
        <v>01430070004323453</v>
      </c>
      <c r="L390" s="238">
        <v>161000.44</v>
      </c>
      <c r="M390" s="254">
        <v>12214.0</v>
      </c>
      <c r="N390" s="16">
        <v>1.0</v>
      </c>
      <c r="O390" s="22">
        <v>32.0</v>
      </c>
      <c r="P390" s="17">
        <v>29.0</v>
      </c>
      <c r="Q390" s="11">
        <v>9.5322842E7</v>
      </c>
      <c r="R390" s="11">
        <v>8.0</v>
      </c>
      <c r="S390" s="24" t="s">
        <v>29</v>
      </c>
      <c r="T390" s="249" t="s">
        <v>5679</v>
      </c>
      <c r="U390" s="17">
        <v>73.0</v>
      </c>
      <c r="V390" s="16">
        <v>23.0</v>
      </c>
      <c r="W390" s="16">
        <v>69.0</v>
      </c>
      <c r="X390" s="50">
        <v>122219.0</v>
      </c>
      <c r="Y390" s="250">
        <v>8020.0</v>
      </c>
    </row>
    <row r="391">
      <c r="A391" s="11">
        <v>13.0</v>
      </c>
      <c r="B391" s="11">
        <v>48.0</v>
      </c>
      <c r="C391" s="253">
        <v>36.0</v>
      </c>
      <c r="D391" s="235">
        <v>31.0</v>
      </c>
      <c r="E391" s="235">
        <v>31.0</v>
      </c>
      <c r="F391" s="253">
        <v>36.0</v>
      </c>
      <c r="G391" s="235">
        <v>31.0</v>
      </c>
      <c r="H391" s="236">
        <v>5.442428E7</v>
      </c>
      <c r="I391" s="16">
        <v>66.0</v>
      </c>
      <c r="J391" s="11">
        <v>2.0</v>
      </c>
      <c r="K391" s="11" t="str">
        <f t="shared" si="1"/>
        <v>00310054424280662</v>
      </c>
      <c r="L391" s="238">
        <v>5467.44</v>
      </c>
      <c r="M391" s="254">
        <v>33016.0</v>
      </c>
      <c r="N391" s="16">
        <v>54.0</v>
      </c>
      <c r="O391" s="22">
        <v>25.0</v>
      </c>
      <c r="P391" s="17">
        <v>91.0</v>
      </c>
      <c r="Q391" s="11">
        <v>5.0811073E7</v>
      </c>
      <c r="R391" s="11">
        <v>4.0</v>
      </c>
      <c r="S391" s="24" t="s">
        <v>29</v>
      </c>
      <c r="T391" s="249" t="s">
        <v>5680</v>
      </c>
      <c r="U391" s="17">
        <v>21.0</v>
      </c>
      <c r="V391" s="16">
        <v>32.0</v>
      </c>
      <c r="W391" s="16">
        <v>30.0</v>
      </c>
      <c r="X391" s="50">
        <v>102521.0</v>
      </c>
      <c r="Y391" s="250">
        <v>4172.0</v>
      </c>
    </row>
    <row r="392">
      <c r="A392" s="11">
        <v>12.0</v>
      </c>
      <c r="B392" s="11">
        <v>48.0</v>
      </c>
      <c r="C392" s="253">
        <v>21.0</v>
      </c>
      <c r="D392" s="235">
        <v>75.0</v>
      </c>
      <c r="E392" s="235">
        <v>75.0</v>
      </c>
      <c r="F392" s="253">
        <v>21.0</v>
      </c>
      <c r="G392" s="235">
        <v>75.0</v>
      </c>
      <c r="H392" s="236">
        <v>3.0994332E7</v>
      </c>
      <c r="I392" s="16">
        <v>43.0</v>
      </c>
      <c r="J392" s="11">
        <v>9.0</v>
      </c>
      <c r="K392" s="11" t="str">
        <f t="shared" si="1"/>
        <v>00750030994332439</v>
      </c>
      <c r="L392" s="238">
        <v>5577.78</v>
      </c>
      <c r="M392" s="254">
        <v>31022.0</v>
      </c>
      <c r="N392" s="16">
        <v>72.0</v>
      </c>
      <c r="O392" s="22">
        <v>19.0</v>
      </c>
      <c r="P392" s="17">
        <v>29.0</v>
      </c>
      <c r="Q392" s="11">
        <v>8.4234734E7</v>
      </c>
      <c r="R392" s="11">
        <v>7.0</v>
      </c>
      <c r="S392" s="24" t="s">
        <v>29</v>
      </c>
      <c r="T392" s="249" t="s">
        <v>5681</v>
      </c>
      <c r="U392" s="17">
        <v>77.0</v>
      </c>
      <c r="V392" s="16">
        <v>74.0</v>
      </c>
      <c r="W392" s="16">
        <v>81.0</v>
      </c>
      <c r="X392" s="50">
        <v>40817.0</v>
      </c>
      <c r="Y392" s="250">
        <v>2172.0</v>
      </c>
    </row>
    <row r="393">
      <c r="A393" s="11">
        <v>14.0</v>
      </c>
      <c r="B393" s="11">
        <v>68.0</v>
      </c>
      <c r="C393" s="253">
        <v>55.0</v>
      </c>
      <c r="D393" s="235">
        <v>53.0</v>
      </c>
      <c r="E393" s="235">
        <v>53.0</v>
      </c>
      <c r="F393" s="253">
        <v>55.0</v>
      </c>
      <c r="G393" s="235">
        <v>53.0</v>
      </c>
      <c r="H393" s="236">
        <v>2.2679615E7</v>
      </c>
      <c r="I393" s="16">
        <v>5.0</v>
      </c>
      <c r="J393" s="11">
        <v>6.0</v>
      </c>
      <c r="K393" s="11" t="str">
        <f t="shared" si="1"/>
        <v>00530022679615056</v>
      </c>
      <c r="L393" s="238">
        <v>-674.29</v>
      </c>
      <c r="M393" s="254">
        <v>50823.0</v>
      </c>
      <c r="N393" s="16">
        <v>6.0</v>
      </c>
      <c r="O393" s="22">
        <v>6.0</v>
      </c>
      <c r="P393" s="17">
        <v>50.0</v>
      </c>
      <c r="Q393" s="11">
        <v>5.825714E7</v>
      </c>
      <c r="R393" s="11">
        <v>0.0</v>
      </c>
      <c r="S393" s="24" t="s">
        <v>48</v>
      </c>
      <c r="T393" s="249" t="s">
        <v>5682</v>
      </c>
      <c r="U393" s="17">
        <v>30.0</v>
      </c>
      <c r="V393" s="16">
        <v>33.0</v>
      </c>
      <c r="W393" s="16">
        <v>95.0</v>
      </c>
      <c r="X393" s="50">
        <v>82713.0</v>
      </c>
      <c r="Y393" s="250">
        <v>2525.0</v>
      </c>
    </row>
    <row r="394">
      <c r="A394" s="11">
        <v>11.0</v>
      </c>
      <c r="B394" s="11">
        <v>48.0</v>
      </c>
      <c r="C394" s="253">
        <v>56.0</v>
      </c>
      <c r="D394" s="235">
        <v>41.0</v>
      </c>
      <c r="E394" s="235">
        <v>41.0</v>
      </c>
      <c r="F394" s="253">
        <v>56.0</v>
      </c>
      <c r="G394" s="235">
        <v>41.0</v>
      </c>
      <c r="H394" s="236">
        <v>1.8927212E7</v>
      </c>
      <c r="I394" s="16">
        <v>59.0</v>
      </c>
      <c r="J394" s="11">
        <v>3.0</v>
      </c>
      <c r="K394" s="11" t="str">
        <f t="shared" si="1"/>
        <v>00410018927212593</v>
      </c>
      <c r="L394" s="238">
        <v>176973.27</v>
      </c>
      <c r="M394" s="254">
        <v>80313.0</v>
      </c>
      <c r="N394" s="16">
        <v>47.0</v>
      </c>
      <c r="O394" s="22">
        <v>16.0</v>
      </c>
      <c r="P394" s="17">
        <v>91.0</v>
      </c>
      <c r="Q394" s="11">
        <v>9.6824127E7</v>
      </c>
      <c r="R394" s="11">
        <v>4.0</v>
      </c>
      <c r="S394" s="24" t="s">
        <v>5292</v>
      </c>
      <c r="T394" s="249" t="s">
        <v>5683</v>
      </c>
      <c r="U394" s="17">
        <v>27.0</v>
      </c>
      <c r="V394" s="16">
        <v>33.0</v>
      </c>
      <c r="W394" s="16">
        <v>35.0</v>
      </c>
      <c r="X394" s="50">
        <v>62313.0</v>
      </c>
      <c r="Y394" s="250">
        <v>3605.0</v>
      </c>
    </row>
    <row r="395">
      <c r="A395" s="11">
        <v>11.0</v>
      </c>
      <c r="B395" s="11">
        <v>89.0</v>
      </c>
      <c r="C395" s="253">
        <v>17.0</v>
      </c>
      <c r="D395" s="235">
        <v>3.0</v>
      </c>
      <c r="E395" s="235">
        <v>3.0</v>
      </c>
      <c r="F395" s="253">
        <v>17.0</v>
      </c>
      <c r="G395" s="235">
        <v>3.0</v>
      </c>
      <c r="H395" s="236">
        <v>8.9890752E7</v>
      </c>
      <c r="I395" s="16">
        <v>43.0</v>
      </c>
      <c r="J395" s="11">
        <v>8.0</v>
      </c>
      <c r="K395" s="11" t="str">
        <f t="shared" si="1"/>
        <v>00030089890752438</v>
      </c>
      <c r="L395" s="238">
        <v>609221.85</v>
      </c>
      <c r="M395" s="254">
        <v>82414.0</v>
      </c>
      <c r="N395" s="16">
        <v>96.0</v>
      </c>
      <c r="O395" s="22">
        <v>50.0</v>
      </c>
      <c r="P395" s="17">
        <v>91.0</v>
      </c>
      <c r="Q395" s="11">
        <v>1.9642592E7</v>
      </c>
      <c r="R395" s="11">
        <v>4.0</v>
      </c>
      <c r="S395" s="24" t="s">
        <v>48</v>
      </c>
      <c r="T395" s="249" t="s">
        <v>5684</v>
      </c>
      <c r="U395" s="17">
        <v>28.0</v>
      </c>
      <c r="V395" s="16">
        <v>29.0</v>
      </c>
      <c r="W395" s="16">
        <v>41.0</v>
      </c>
      <c r="X395" s="50">
        <v>22116.0</v>
      </c>
      <c r="Y395" s="250">
        <v>9369.0</v>
      </c>
    </row>
    <row r="396">
      <c r="A396" s="11">
        <v>16.0</v>
      </c>
      <c r="B396" s="11">
        <v>48.0</v>
      </c>
      <c r="C396" s="253">
        <v>37.0</v>
      </c>
      <c r="D396" s="235">
        <v>147.0</v>
      </c>
      <c r="E396" s="235">
        <v>147.0</v>
      </c>
      <c r="F396" s="253">
        <v>37.0</v>
      </c>
      <c r="G396" s="235">
        <v>147.0</v>
      </c>
      <c r="H396" s="236">
        <v>3.8194059E7</v>
      </c>
      <c r="I396" s="16">
        <v>49.0</v>
      </c>
      <c r="J396" s="11">
        <v>1.0</v>
      </c>
      <c r="K396" s="11" t="str">
        <f t="shared" si="1"/>
        <v>01470038194059491</v>
      </c>
      <c r="L396" s="238">
        <v>270.4</v>
      </c>
      <c r="M396" s="254">
        <v>110920.0</v>
      </c>
      <c r="N396" s="16">
        <v>30.0</v>
      </c>
      <c r="O396" s="22">
        <v>30.0</v>
      </c>
      <c r="P396" s="17">
        <v>29.0</v>
      </c>
      <c r="Q396" s="11">
        <v>6.4147306E7</v>
      </c>
      <c r="R396" s="11">
        <v>9.0</v>
      </c>
      <c r="S396" s="24" t="s">
        <v>39</v>
      </c>
      <c r="T396" s="249" t="s">
        <v>5685</v>
      </c>
      <c r="U396" s="17">
        <v>85.0</v>
      </c>
      <c r="V396" s="16">
        <v>74.0</v>
      </c>
      <c r="W396" s="16">
        <v>1.0</v>
      </c>
      <c r="X396" s="50">
        <v>60618.0</v>
      </c>
      <c r="Y396" s="250">
        <v>507.0</v>
      </c>
    </row>
    <row r="397">
      <c r="A397" s="11">
        <v>11.0</v>
      </c>
      <c r="B397" s="11">
        <v>89.0</v>
      </c>
      <c r="C397" s="253">
        <v>13.0</v>
      </c>
      <c r="D397" s="235">
        <v>43.0</v>
      </c>
      <c r="E397" s="235">
        <v>43.0</v>
      </c>
      <c r="F397" s="253">
        <v>13.0</v>
      </c>
      <c r="G397" s="235">
        <v>43.0</v>
      </c>
      <c r="H397" s="236">
        <v>2.9818671E7</v>
      </c>
      <c r="I397" s="16">
        <v>18.0</v>
      </c>
      <c r="J397" s="11">
        <v>8.0</v>
      </c>
      <c r="K397" s="11" t="str">
        <f t="shared" si="1"/>
        <v>00430029818671188</v>
      </c>
      <c r="L397" s="238">
        <v>517908.3</v>
      </c>
      <c r="M397" s="254">
        <v>110315.0</v>
      </c>
      <c r="N397" s="16">
        <v>57.0</v>
      </c>
      <c r="O397" s="22">
        <v>28.0</v>
      </c>
      <c r="P397" s="17">
        <v>50.0</v>
      </c>
      <c r="Q397" s="11">
        <v>4.3123887E7</v>
      </c>
      <c r="R397" s="11">
        <v>1.0</v>
      </c>
      <c r="S397" s="24" t="s">
        <v>29</v>
      </c>
      <c r="T397" s="249" t="s">
        <v>5686</v>
      </c>
      <c r="U397" s="17">
        <v>40.0</v>
      </c>
      <c r="V397" s="16">
        <v>91.0</v>
      </c>
      <c r="W397" s="16">
        <v>82.0</v>
      </c>
      <c r="X397" s="50">
        <v>100316.0</v>
      </c>
      <c r="Y397" s="250">
        <v>5593.0</v>
      </c>
    </row>
    <row r="398">
      <c r="A398" s="11">
        <v>11.0</v>
      </c>
      <c r="B398" s="11">
        <v>69.0</v>
      </c>
      <c r="C398" s="253">
        <v>40.0</v>
      </c>
      <c r="D398" s="235">
        <v>67.0</v>
      </c>
      <c r="E398" s="235">
        <v>67.0</v>
      </c>
      <c r="F398" s="253">
        <v>40.0</v>
      </c>
      <c r="G398" s="235">
        <v>67.0</v>
      </c>
      <c r="H398" s="236">
        <v>3.7429086E7</v>
      </c>
      <c r="I398" s="16">
        <v>57.0</v>
      </c>
      <c r="J398" s="11">
        <v>6.0</v>
      </c>
      <c r="K398" s="11" t="str">
        <f t="shared" si="1"/>
        <v>00670037429086576</v>
      </c>
      <c r="L398" s="238">
        <v>-728.85</v>
      </c>
      <c r="M398" s="254">
        <v>32816.0</v>
      </c>
      <c r="N398" s="16">
        <v>36.0</v>
      </c>
      <c r="O398" s="22">
        <v>30.0</v>
      </c>
      <c r="P398" s="17">
        <v>91.0</v>
      </c>
      <c r="Q398" s="11">
        <v>3.1610152E7</v>
      </c>
      <c r="R398" s="11">
        <v>2.0</v>
      </c>
      <c r="S398" s="24" t="s">
        <v>39</v>
      </c>
      <c r="T398" s="249" t="s">
        <v>5687</v>
      </c>
      <c r="U398" s="17">
        <v>43.0</v>
      </c>
      <c r="V398" s="16">
        <v>45.0</v>
      </c>
      <c r="W398" s="16">
        <v>52.0</v>
      </c>
      <c r="X398" s="50">
        <v>51716.0</v>
      </c>
      <c r="Y398" s="250">
        <v>2425.0</v>
      </c>
    </row>
    <row r="399">
      <c r="A399" s="11">
        <v>16.0</v>
      </c>
      <c r="B399" s="11">
        <v>48.0</v>
      </c>
      <c r="C399" s="253">
        <v>21.0</v>
      </c>
      <c r="D399" s="235">
        <v>63.0</v>
      </c>
      <c r="E399" s="235">
        <v>63.0</v>
      </c>
      <c r="F399" s="253">
        <v>21.0</v>
      </c>
      <c r="G399" s="235">
        <v>63.0</v>
      </c>
      <c r="H399" s="236">
        <v>2.4700969E7</v>
      </c>
      <c r="I399" s="16">
        <v>71.0</v>
      </c>
      <c r="J399" s="11">
        <v>6.0</v>
      </c>
      <c r="K399" s="11" t="str">
        <f t="shared" si="1"/>
        <v>00630024700969716</v>
      </c>
      <c r="L399" s="238">
        <v>-4490.1</v>
      </c>
      <c r="M399" s="254">
        <v>123123.0</v>
      </c>
      <c r="N399" s="16">
        <v>79.0</v>
      </c>
      <c r="O399" s="22">
        <v>42.0</v>
      </c>
      <c r="P399" s="17">
        <v>91.0</v>
      </c>
      <c r="Q399" s="11">
        <v>8.8514189E7</v>
      </c>
      <c r="R399" s="11">
        <v>2.0</v>
      </c>
      <c r="S399" s="24" t="s">
        <v>48</v>
      </c>
      <c r="T399" s="249" t="s">
        <v>5688</v>
      </c>
      <c r="U399" s="17">
        <v>47.0</v>
      </c>
      <c r="V399" s="16">
        <v>84.0</v>
      </c>
      <c r="W399" s="16">
        <v>20.0</v>
      </c>
      <c r="X399" s="50">
        <v>91919.0</v>
      </c>
      <c r="Y399" s="250">
        <v>3357.0</v>
      </c>
    </row>
    <row r="400">
      <c r="A400" s="11">
        <v>17.0</v>
      </c>
      <c r="B400" s="11">
        <v>28.0</v>
      </c>
      <c r="C400" s="253">
        <v>19.0</v>
      </c>
      <c r="D400" s="235">
        <v>65.0</v>
      </c>
      <c r="E400" s="235">
        <v>65.0</v>
      </c>
      <c r="F400" s="253">
        <v>19.0</v>
      </c>
      <c r="G400" s="235">
        <v>65.0</v>
      </c>
      <c r="H400" s="236">
        <v>2.3312616E7</v>
      </c>
      <c r="I400" s="16">
        <v>49.0</v>
      </c>
      <c r="J400" s="11">
        <v>7.0</v>
      </c>
      <c r="K400" s="11" t="str">
        <f t="shared" si="1"/>
        <v>00650023312616497</v>
      </c>
      <c r="L400" s="238">
        <v>-174313.59</v>
      </c>
      <c r="M400" s="254">
        <v>60815.0</v>
      </c>
      <c r="N400" s="16">
        <v>53.0</v>
      </c>
      <c r="O400" s="22">
        <v>17.0</v>
      </c>
      <c r="P400" s="17">
        <v>71.0</v>
      </c>
      <c r="Q400" s="11">
        <v>2.3779885E7</v>
      </c>
      <c r="R400" s="11">
        <v>7.0</v>
      </c>
      <c r="S400" s="24" t="s">
        <v>29</v>
      </c>
      <c r="T400" s="249" t="s">
        <v>5689</v>
      </c>
      <c r="U400" s="17">
        <v>0.0</v>
      </c>
      <c r="V400" s="16">
        <v>76.0</v>
      </c>
      <c r="W400" s="16">
        <v>19.0</v>
      </c>
      <c r="X400" s="50">
        <v>100220.0</v>
      </c>
      <c r="Y400" s="250">
        <v>936.0</v>
      </c>
    </row>
    <row r="401">
      <c r="A401" s="11">
        <v>16.0</v>
      </c>
      <c r="B401" s="11">
        <v>28.0</v>
      </c>
      <c r="C401" s="253">
        <v>1.0</v>
      </c>
      <c r="D401" s="235">
        <v>125.0</v>
      </c>
      <c r="E401" s="235">
        <v>125.0</v>
      </c>
      <c r="F401" s="253">
        <v>1.0</v>
      </c>
      <c r="G401" s="235">
        <v>125.0</v>
      </c>
      <c r="H401" s="236">
        <v>1.7469141E7</v>
      </c>
      <c r="I401" s="16">
        <v>51.0</v>
      </c>
      <c r="J401" s="11">
        <v>6.0</v>
      </c>
      <c r="K401" s="11" t="str">
        <f t="shared" si="1"/>
        <v>01250017469141516</v>
      </c>
      <c r="L401" s="238">
        <v>7717.66</v>
      </c>
      <c r="M401" s="254">
        <v>81218.0</v>
      </c>
      <c r="N401" s="16">
        <v>97.0</v>
      </c>
      <c r="O401" s="22">
        <v>19.0</v>
      </c>
      <c r="P401" s="17">
        <v>30.0</v>
      </c>
      <c r="Q401" s="11">
        <v>5.0110154E7</v>
      </c>
      <c r="R401" s="11">
        <v>3.0</v>
      </c>
      <c r="S401" s="24" t="s">
        <v>5292</v>
      </c>
      <c r="T401" s="249" t="s">
        <v>5690</v>
      </c>
      <c r="U401" s="17">
        <v>4.0</v>
      </c>
      <c r="V401" s="16">
        <v>71.0</v>
      </c>
      <c r="W401" s="16">
        <v>24.0</v>
      </c>
      <c r="X401" s="50">
        <v>21322.0</v>
      </c>
      <c r="Y401" s="250">
        <v>501.0</v>
      </c>
    </row>
    <row r="402">
      <c r="A402" s="11">
        <v>16.0</v>
      </c>
      <c r="B402" s="11">
        <v>28.0</v>
      </c>
      <c r="C402" s="253">
        <v>24.0</v>
      </c>
      <c r="D402" s="235">
        <v>27.0</v>
      </c>
      <c r="E402" s="235">
        <v>27.0</v>
      </c>
      <c r="F402" s="253">
        <v>24.0</v>
      </c>
      <c r="G402" s="235">
        <v>27.0</v>
      </c>
      <c r="H402" s="236">
        <v>5.1369392E7</v>
      </c>
      <c r="I402" s="16">
        <v>38.0</v>
      </c>
      <c r="J402" s="11">
        <v>9.0</v>
      </c>
      <c r="K402" s="11" t="str">
        <f t="shared" si="1"/>
        <v>00270051369392389</v>
      </c>
      <c r="L402" s="238">
        <v>16880.88</v>
      </c>
      <c r="M402" s="254">
        <v>60614.0</v>
      </c>
      <c r="N402" s="16">
        <v>38.0</v>
      </c>
      <c r="O402" s="22">
        <v>9.0</v>
      </c>
      <c r="P402" s="17">
        <v>30.0</v>
      </c>
      <c r="Q402" s="11">
        <v>7.419815E7</v>
      </c>
      <c r="R402" s="11">
        <v>1.0</v>
      </c>
      <c r="S402" s="24" t="s">
        <v>48</v>
      </c>
      <c r="T402" s="249" t="s">
        <v>5691</v>
      </c>
      <c r="U402" s="17">
        <v>10.0</v>
      </c>
      <c r="V402" s="16">
        <v>75.0</v>
      </c>
      <c r="W402" s="16">
        <v>76.0</v>
      </c>
      <c r="X402" s="50">
        <v>30620.0</v>
      </c>
      <c r="Y402" s="250">
        <v>6379.0</v>
      </c>
    </row>
    <row r="403">
      <c r="A403" s="11">
        <v>13.0</v>
      </c>
      <c r="B403" s="11">
        <v>28.0</v>
      </c>
      <c r="C403" s="253">
        <v>27.0</v>
      </c>
      <c r="D403" s="235">
        <v>11.0</v>
      </c>
      <c r="E403" s="235">
        <v>11.0</v>
      </c>
      <c r="F403" s="253">
        <v>27.0</v>
      </c>
      <c r="G403" s="235">
        <v>11.0</v>
      </c>
      <c r="H403" s="236">
        <v>4.2978268E7</v>
      </c>
      <c r="I403" s="16">
        <v>47.0</v>
      </c>
      <c r="J403" s="11">
        <v>8.0</v>
      </c>
      <c r="K403" s="11" t="str">
        <f t="shared" si="1"/>
        <v>00110042978268478</v>
      </c>
      <c r="L403" s="238">
        <v>-16989.12</v>
      </c>
      <c r="M403" s="254">
        <v>41715.0</v>
      </c>
      <c r="N403" s="16">
        <v>28.0</v>
      </c>
      <c r="O403" s="22">
        <v>48.0</v>
      </c>
      <c r="P403" s="17">
        <v>50.0</v>
      </c>
      <c r="Q403" s="11">
        <v>5.3221697E7</v>
      </c>
      <c r="R403" s="11">
        <v>2.0</v>
      </c>
      <c r="S403" s="24" t="s">
        <v>39</v>
      </c>
      <c r="T403" s="249" t="s">
        <v>5692</v>
      </c>
      <c r="U403" s="17">
        <v>60.0</v>
      </c>
      <c r="V403" s="16">
        <v>10.0</v>
      </c>
      <c r="W403" s="16">
        <v>35.0</v>
      </c>
      <c r="X403" s="50">
        <v>71220.0</v>
      </c>
      <c r="Y403" s="250">
        <v>6255.0</v>
      </c>
    </row>
    <row r="404">
      <c r="A404" s="11">
        <v>17.0</v>
      </c>
      <c r="B404" s="11">
        <v>28.0</v>
      </c>
      <c r="C404" s="253">
        <v>53.0</v>
      </c>
      <c r="D404" s="235">
        <v>31.0</v>
      </c>
      <c r="E404" s="235">
        <v>31.0</v>
      </c>
      <c r="F404" s="253">
        <v>53.0</v>
      </c>
      <c r="G404" s="235">
        <v>31.0</v>
      </c>
      <c r="H404" s="236">
        <v>8.2209746E7</v>
      </c>
      <c r="I404" s="16">
        <v>32.0</v>
      </c>
      <c r="J404" s="11">
        <v>5.0</v>
      </c>
      <c r="K404" s="11" t="str">
        <f t="shared" si="1"/>
        <v>00310082209746325</v>
      </c>
      <c r="L404" s="238">
        <v>93487.95</v>
      </c>
      <c r="M404" s="254">
        <v>50119.0</v>
      </c>
      <c r="N404" s="16">
        <v>91.0</v>
      </c>
      <c r="O404" s="22">
        <v>29.0</v>
      </c>
      <c r="P404" s="17">
        <v>71.0</v>
      </c>
      <c r="Q404" s="11">
        <v>4.5253343E7</v>
      </c>
      <c r="R404" s="11">
        <v>7.0</v>
      </c>
      <c r="S404" s="24" t="s">
        <v>48</v>
      </c>
      <c r="T404" s="249" t="s">
        <v>5693</v>
      </c>
      <c r="U404" s="17">
        <v>9.0</v>
      </c>
      <c r="V404" s="16">
        <v>30.0</v>
      </c>
      <c r="W404" s="16">
        <v>89.0</v>
      </c>
      <c r="X404" s="50">
        <v>71221.0</v>
      </c>
      <c r="Y404" s="250">
        <v>7685.0</v>
      </c>
    </row>
    <row r="405">
      <c r="A405" s="11">
        <v>12.0</v>
      </c>
      <c r="B405" s="11">
        <v>89.0</v>
      </c>
      <c r="C405" s="253">
        <v>36.0</v>
      </c>
      <c r="D405" s="235">
        <v>109.0</v>
      </c>
      <c r="E405" s="235">
        <v>109.0</v>
      </c>
      <c r="F405" s="253">
        <v>36.0</v>
      </c>
      <c r="G405" s="235">
        <v>109.0</v>
      </c>
      <c r="H405" s="236">
        <v>2.768265E7</v>
      </c>
      <c r="I405" s="16">
        <v>4.0</v>
      </c>
      <c r="J405" s="11">
        <v>9.0</v>
      </c>
      <c r="K405" s="11" t="str">
        <f t="shared" si="1"/>
        <v>01090027682650049</v>
      </c>
      <c r="L405" s="238">
        <v>243344.35</v>
      </c>
      <c r="M405" s="254">
        <v>81814.0</v>
      </c>
      <c r="N405" s="16">
        <v>50.0</v>
      </c>
      <c r="O405" s="22">
        <v>38.0</v>
      </c>
      <c r="P405" s="17">
        <v>91.0</v>
      </c>
      <c r="Q405" s="11">
        <v>6.3727685E7</v>
      </c>
      <c r="R405" s="11">
        <v>0.0</v>
      </c>
      <c r="S405" s="24" t="s">
        <v>39</v>
      </c>
      <c r="T405" s="249" t="s">
        <v>5694</v>
      </c>
      <c r="U405" s="17">
        <v>61.0</v>
      </c>
      <c r="V405" s="16">
        <v>12.0</v>
      </c>
      <c r="W405" s="16">
        <v>49.0</v>
      </c>
      <c r="X405" s="50">
        <v>53021.0</v>
      </c>
      <c r="Y405" s="250">
        <v>6982.0</v>
      </c>
    </row>
    <row r="406">
      <c r="A406" s="11">
        <v>20.0</v>
      </c>
      <c r="B406" s="11">
        <v>48.0</v>
      </c>
      <c r="C406" s="253">
        <v>18.0</v>
      </c>
      <c r="D406" s="235">
        <v>139.0</v>
      </c>
      <c r="E406" s="235">
        <v>139.0</v>
      </c>
      <c r="F406" s="253">
        <v>18.0</v>
      </c>
      <c r="G406" s="235">
        <v>139.0</v>
      </c>
      <c r="H406" s="236">
        <v>3.7052078E7</v>
      </c>
      <c r="I406" s="16">
        <v>44.0</v>
      </c>
      <c r="J406" s="11">
        <v>6.0</v>
      </c>
      <c r="K406" s="11" t="str">
        <f t="shared" si="1"/>
        <v>01390037052078446</v>
      </c>
      <c r="L406" s="238">
        <v>1219.3</v>
      </c>
      <c r="M406" s="254">
        <v>10513.0</v>
      </c>
      <c r="N406" s="16">
        <v>53.0</v>
      </c>
      <c r="O406" s="22">
        <v>54.0</v>
      </c>
      <c r="P406" s="17">
        <v>50.0</v>
      </c>
      <c r="Q406" s="11">
        <v>3.620001E7</v>
      </c>
      <c r="R406" s="11">
        <v>6.0</v>
      </c>
      <c r="S406" s="24" t="s">
        <v>39</v>
      </c>
      <c r="T406" s="249" t="s">
        <v>5695</v>
      </c>
      <c r="U406" s="17">
        <v>66.0</v>
      </c>
      <c r="V406" s="16">
        <v>52.0</v>
      </c>
      <c r="W406" s="16">
        <v>20.0</v>
      </c>
      <c r="X406" s="50">
        <v>62615.0</v>
      </c>
      <c r="Y406" s="250">
        <v>7026.0</v>
      </c>
    </row>
    <row r="407">
      <c r="A407" s="11">
        <v>12.0</v>
      </c>
      <c r="B407" s="11">
        <v>89.0</v>
      </c>
      <c r="C407" s="253">
        <v>4.0</v>
      </c>
      <c r="D407" s="235">
        <v>15.0</v>
      </c>
      <c r="E407" s="235">
        <v>15.0</v>
      </c>
      <c r="F407" s="253">
        <v>4.0</v>
      </c>
      <c r="G407" s="235">
        <v>15.0</v>
      </c>
      <c r="H407" s="236">
        <v>8.7654156E7</v>
      </c>
      <c r="I407" s="16">
        <v>24.0</v>
      </c>
      <c r="J407" s="11">
        <v>9.0</v>
      </c>
      <c r="K407" s="11" t="str">
        <f t="shared" si="1"/>
        <v>00150087654156249</v>
      </c>
      <c r="L407" s="238">
        <v>774.21</v>
      </c>
      <c r="M407" s="254">
        <v>102118.0</v>
      </c>
      <c r="N407" s="16">
        <v>7.0</v>
      </c>
      <c r="O407" s="22">
        <v>22.0</v>
      </c>
      <c r="P407" s="17">
        <v>50.0</v>
      </c>
      <c r="Q407" s="11">
        <v>6.8717064E7</v>
      </c>
      <c r="R407" s="11">
        <v>0.0</v>
      </c>
      <c r="S407" s="24" t="s">
        <v>5292</v>
      </c>
      <c r="T407" s="249" t="s">
        <v>5696</v>
      </c>
      <c r="U407" s="17">
        <v>67.0</v>
      </c>
      <c r="V407" s="16">
        <v>25.0</v>
      </c>
      <c r="W407" s="16">
        <v>89.0</v>
      </c>
      <c r="X407" s="50">
        <v>80819.0</v>
      </c>
      <c r="Y407" s="250">
        <v>7003.0</v>
      </c>
    </row>
    <row r="408">
      <c r="A408" s="11">
        <v>19.0</v>
      </c>
      <c r="B408" s="11">
        <v>28.0</v>
      </c>
      <c r="C408" s="253">
        <v>17.0</v>
      </c>
      <c r="D408" s="235">
        <v>27.0</v>
      </c>
      <c r="E408" s="235">
        <v>27.0</v>
      </c>
      <c r="F408" s="253">
        <v>17.0</v>
      </c>
      <c r="G408" s="235">
        <v>27.0</v>
      </c>
      <c r="H408" s="236">
        <v>3.9282232E7</v>
      </c>
      <c r="I408" s="16">
        <v>51.0</v>
      </c>
      <c r="J408" s="11">
        <v>2.0</v>
      </c>
      <c r="K408" s="11" t="str">
        <f t="shared" si="1"/>
        <v>00270039282232512</v>
      </c>
      <c r="L408" s="238">
        <v>9114.86</v>
      </c>
      <c r="M408" s="254">
        <v>80216.0</v>
      </c>
      <c r="N408" s="16">
        <v>26.0</v>
      </c>
      <c r="O408" s="22">
        <v>30.0</v>
      </c>
      <c r="P408" s="17">
        <v>50.0</v>
      </c>
      <c r="Q408" s="11">
        <v>2.1481918E7</v>
      </c>
      <c r="R408" s="11">
        <v>8.0</v>
      </c>
      <c r="S408" s="24" t="s">
        <v>39</v>
      </c>
      <c r="T408" s="249" t="s">
        <v>5697</v>
      </c>
      <c r="U408" s="17">
        <v>68.0</v>
      </c>
      <c r="V408" s="16">
        <v>90.0</v>
      </c>
      <c r="W408" s="16">
        <v>70.0</v>
      </c>
      <c r="X408" s="50">
        <v>121921.0</v>
      </c>
      <c r="Y408" s="250">
        <v>3775.0</v>
      </c>
    </row>
    <row r="409">
      <c r="A409" s="11">
        <v>13.0</v>
      </c>
      <c r="B409" s="11">
        <v>69.0</v>
      </c>
      <c r="C409" s="253">
        <v>38.0</v>
      </c>
      <c r="D409" s="235">
        <v>69.0</v>
      </c>
      <c r="E409" s="235">
        <v>69.0</v>
      </c>
      <c r="F409" s="253">
        <v>38.0</v>
      </c>
      <c r="G409" s="235">
        <v>69.0</v>
      </c>
      <c r="H409" s="236">
        <v>1.0884943E7</v>
      </c>
      <c r="I409" s="16">
        <v>23.0</v>
      </c>
      <c r="J409" s="11">
        <v>0.0</v>
      </c>
      <c r="K409" s="11" t="str">
        <f t="shared" si="1"/>
        <v>00690010884943230</v>
      </c>
      <c r="L409" s="238">
        <v>-990105.84</v>
      </c>
      <c r="M409" s="254">
        <v>62522.0</v>
      </c>
      <c r="N409" s="16">
        <v>51.0</v>
      </c>
      <c r="O409" s="22">
        <v>27.0</v>
      </c>
      <c r="P409" s="17">
        <v>50.0</v>
      </c>
      <c r="Q409" s="11">
        <v>7.8093898E7</v>
      </c>
      <c r="R409" s="11">
        <v>3.0</v>
      </c>
      <c r="S409" s="24" t="s">
        <v>5292</v>
      </c>
      <c r="T409" s="249" t="s">
        <v>5698</v>
      </c>
      <c r="U409" s="17">
        <v>69.0</v>
      </c>
      <c r="V409" s="16">
        <v>87.0</v>
      </c>
      <c r="W409" s="16">
        <v>90.0</v>
      </c>
      <c r="X409" s="50">
        <v>70421.0</v>
      </c>
      <c r="Y409" s="250">
        <v>7576.0</v>
      </c>
    </row>
    <row r="410">
      <c r="A410" s="11">
        <v>15.0</v>
      </c>
      <c r="B410" s="11">
        <v>89.0</v>
      </c>
      <c r="C410" s="253">
        <v>19.0</v>
      </c>
      <c r="D410" s="235">
        <v>109.0</v>
      </c>
      <c r="E410" s="235">
        <v>109.0</v>
      </c>
      <c r="F410" s="253">
        <v>19.0</v>
      </c>
      <c r="G410" s="235">
        <v>109.0</v>
      </c>
      <c r="H410" s="236">
        <v>2.1408738E7</v>
      </c>
      <c r="I410" s="16">
        <v>69.0</v>
      </c>
      <c r="J410" s="11">
        <v>1.0</v>
      </c>
      <c r="K410" s="11" t="str">
        <f t="shared" si="1"/>
        <v>01090021408738691</v>
      </c>
      <c r="L410" s="238">
        <v>1740.85</v>
      </c>
      <c r="M410" s="254">
        <v>20721.0</v>
      </c>
      <c r="N410" s="16">
        <v>6.0</v>
      </c>
      <c r="O410" s="22">
        <v>6.0</v>
      </c>
      <c r="P410" s="17">
        <v>71.0</v>
      </c>
      <c r="Q410" s="11">
        <v>6.3147907E7</v>
      </c>
      <c r="R410" s="11">
        <v>3.0</v>
      </c>
      <c r="S410" s="24" t="s">
        <v>48</v>
      </c>
      <c r="T410" s="249" t="s">
        <v>5699</v>
      </c>
      <c r="U410" s="17">
        <v>18.0</v>
      </c>
      <c r="V410" s="16">
        <v>62.0</v>
      </c>
      <c r="W410" s="16">
        <v>18.0</v>
      </c>
      <c r="X410" s="50">
        <v>30619.0</v>
      </c>
      <c r="Y410" s="250">
        <v>7622.0</v>
      </c>
    </row>
    <row r="411">
      <c r="A411" s="11">
        <v>13.0</v>
      </c>
      <c r="B411" s="11">
        <v>48.0</v>
      </c>
      <c r="C411" s="253">
        <v>53.0</v>
      </c>
      <c r="D411" s="235">
        <v>49.0</v>
      </c>
      <c r="E411" s="235">
        <v>49.0</v>
      </c>
      <c r="F411" s="253">
        <v>53.0</v>
      </c>
      <c r="G411" s="235">
        <v>49.0</v>
      </c>
      <c r="H411" s="236">
        <v>7.3644019E7</v>
      </c>
      <c r="I411" s="16">
        <v>33.0</v>
      </c>
      <c r="J411" s="11">
        <v>4.0</v>
      </c>
      <c r="K411" s="11" t="str">
        <f t="shared" si="1"/>
        <v>00490073644019334</v>
      </c>
      <c r="L411" s="238">
        <v>124.8</v>
      </c>
      <c r="M411" s="254">
        <v>10420.0</v>
      </c>
      <c r="N411" s="16">
        <v>9.0</v>
      </c>
      <c r="O411" s="22">
        <v>42.0</v>
      </c>
      <c r="P411" s="17">
        <v>71.0</v>
      </c>
      <c r="Q411" s="11">
        <v>8.924629E7</v>
      </c>
      <c r="R411" s="11">
        <v>7.0</v>
      </c>
      <c r="S411" s="24" t="s">
        <v>29</v>
      </c>
      <c r="T411" s="249" t="s">
        <v>5700</v>
      </c>
      <c r="U411" s="17">
        <v>17.0</v>
      </c>
      <c r="V411" s="16">
        <v>10.0</v>
      </c>
      <c r="W411" s="16">
        <v>54.0</v>
      </c>
      <c r="X411" s="50">
        <v>91115.0</v>
      </c>
      <c r="Y411" s="250">
        <v>3329.0</v>
      </c>
    </row>
    <row r="412">
      <c r="A412" s="11">
        <v>18.0</v>
      </c>
      <c r="B412" s="11">
        <v>69.0</v>
      </c>
      <c r="C412" s="253">
        <v>18.0</v>
      </c>
      <c r="D412" s="235">
        <v>37.0</v>
      </c>
      <c r="E412" s="235">
        <v>37.0</v>
      </c>
      <c r="F412" s="253">
        <v>18.0</v>
      </c>
      <c r="G412" s="235">
        <v>37.0</v>
      </c>
      <c r="H412" s="236">
        <v>6.2494024E7</v>
      </c>
      <c r="I412" s="16">
        <v>92.0</v>
      </c>
      <c r="J412" s="11">
        <v>7.0</v>
      </c>
      <c r="K412" s="11" t="str">
        <f t="shared" si="1"/>
        <v>00370062494024927</v>
      </c>
      <c r="L412" s="238">
        <v>5071.28</v>
      </c>
      <c r="M412" s="254">
        <v>91419.0</v>
      </c>
      <c r="N412" s="16">
        <v>3.0</v>
      </c>
      <c r="O412" s="22">
        <v>27.0</v>
      </c>
      <c r="P412" s="17">
        <v>91.0</v>
      </c>
      <c r="Q412" s="11">
        <v>8.7372228E7</v>
      </c>
      <c r="R412" s="11">
        <v>9.0</v>
      </c>
      <c r="S412" s="24" t="s">
        <v>29</v>
      </c>
      <c r="T412" s="249" t="s">
        <v>5701</v>
      </c>
      <c r="U412" s="17">
        <v>65.0</v>
      </c>
      <c r="V412" s="16">
        <v>93.0</v>
      </c>
      <c r="W412" s="16">
        <v>89.0</v>
      </c>
      <c r="X412" s="50">
        <v>122018.0</v>
      </c>
      <c r="Y412" s="250">
        <v>7410.0</v>
      </c>
    </row>
    <row r="413">
      <c r="A413" s="11">
        <v>15.0</v>
      </c>
      <c r="B413" s="11">
        <v>89.0</v>
      </c>
      <c r="C413" s="253">
        <v>37.0</v>
      </c>
      <c r="D413" s="235">
        <v>43.0</v>
      </c>
      <c r="E413" s="235">
        <v>43.0</v>
      </c>
      <c r="F413" s="253">
        <v>37.0</v>
      </c>
      <c r="G413" s="235">
        <v>43.0</v>
      </c>
      <c r="H413" s="236">
        <v>5.2228028E7</v>
      </c>
      <c r="I413" s="16">
        <v>25.0</v>
      </c>
      <c r="J413" s="11">
        <v>0.0</v>
      </c>
      <c r="K413" s="11" t="str">
        <f t="shared" si="1"/>
        <v>00430052228028250</v>
      </c>
      <c r="L413" s="238">
        <v>8162.6</v>
      </c>
      <c r="M413" s="254">
        <v>110919.0</v>
      </c>
      <c r="N413" s="16">
        <v>24.0</v>
      </c>
      <c r="O413" s="22">
        <v>19.0</v>
      </c>
      <c r="P413" s="17">
        <v>91.0</v>
      </c>
      <c r="Q413" s="11">
        <v>6.3089321E7</v>
      </c>
      <c r="R413" s="11">
        <v>4.0</v>
      </c>
      <c r="S413" s="24" t="s">
        <v>39</v>
      </c>
      <c r="T413" s="249" t="s">
        <v>5702</v>
      </c>
      <c r="U413" s="17">
        <v>69.0</v>
      </c>
      <c r="V413" s="16">
        <v>48.0</v>
      </c>
      <c r="W413" s="16">
        <v>48.0</v>
      </c>
      <c r="X413" s="50">
        <v>92216.0</v>
      </c>
      <c r="Y413" s="250">
        <v>7429.0</v>
      </c>
    </row>
    <row r="414">
      <c r="A414" s="11">
        <v>14.0</v>
      </c>
      <c r="B414" s="11">
        <v>28.0</v>
      </c>
      <c r="C414" s="253">
        <v>48.0</v>
      </c>
      <c r="D414" s="235">
        <v>129.0</v>
      </c>
      <c r="E414" s="235">
        <v>129.0</v>
      </c>
      <c r="F414" s="253">
        <v>48.0</v>
      </c>
      <c r="G414" s="235">
        <v>129.0</v>
      </c>
      <c r="H414" s="236">
        <v>3.2721506E7</v>
      </c>
      <c r="I414" s="16">
        <v>96.0</v>
      </c>
      <c r="J414" s="11">
        <v>5.0</v>
      </c>
      <c r="K414" s="11" t="str">
        <f t="shared" si="1"/>
        <v>01290032721506965</v>
      </c>
      <c r="L414" s="238">
        <v>226.9</v>
      </c>
      <c r="M414" s="254">
        <v>73119.0</v>
      </c>
      <c r="N414" s="16">
        <v>74.0</v>
      </c>
      <c r="O414" s="22">
        <v>6.0</v>
      </c>
      <c r="P414" s="17">
        <v>91.0</v>
      </c>
      <c r="Q414" s="11">
        <v>4.6701047E7</v>
      </c>
      <c r="R414" s="11">
        <v>0.0</v>
      </c>
      <c r="S414" s="24" t="s">
        <v>29</v>
      </c>
      <c r="T414" s="249" t="s">
        <v>5703</v>
      </c>
      <c r="U414" s="17">
        <v>71.0</v>
      </c>
      <c r="V414" s="16">
        <v>71.0</v>
      </c>
      <c r="W414" s="16">
        <v>65.0</v>
      </c>
      <c r="X414" s="50">
        <v>93013.0</v>
      </c>
      <c r="Y414" s="250">
        <v>58.0</v>
      </c>
    </row>
    <row r="415">
      <c r="A415" s="11">
        <v>17.0</v>
      </c>
      <c r="B415" s="11">
        <v>48.0</v>
      </c>
      <c r="C415" s="253">
        <v>54.0</v>
      </c>
      <c r="D415" s="235">
        <v>65.0</v>
      </c>
      <c r="E415" s="235">
        <v>65.0</v>
      </c>
      <c r="F415" s="253">
        <v>54.0</v>
      </c>
      <c r="G415" s="235">
        <v>65.0</v>
      </c>
      <c r="H415" s="236">
        <v>7.505108E7</v>
      </c>
      <c r="I415" s="16">
        <v>20.0</v>
      </c>
      <c r="J415" s="11">
        <v>8.0</v>
      </c>
      <c r="K415" s="11" t="str">
        <f t="shared" si="1"/>
        <v>00650075051080208</v>
      </c>
      <c r="L415" s="238">
        <v>-70992.26</v>
      </c>
      <c r="M415" s="254">
        <v>30922.0</v>
      </c>
      <c r="N415" s="16">
        <v>53.0</v>
      </c>
      <c r="O415" s="22">
        <v>34.0</v>
      </c>
      <c r="P415" s="17">
        <v>30.0</v>
      </c>
      <c r="Q415" s="11">
        <v>7.108692E7</v>
      </c>
      <c r="R415" s="11">
        <v>6.0</v>
      </c>
      <c r="S415" s="24" t="s">
        <v>5292</v>
      </c>
      <c r="T415" s="249" t="s">
        <v>5704</v>
      </c>
      <c r="U415" s="17">
        <v>29.0</v>
      </c>
      <c r="V415" s="16">
        <v>13.0</v>
      </c>
      <c r="W415" s="16">
        <v>89.0</v>
      </c>
      <c r="X415" s="50">
        <v>81520.0</v>
      </c>
      <c r="Y415" s="250">
        <v>1911.0</v>
      </c>
    </row>
    <row r="416">
      <c r="A416" s="11">
        <v>16.0</v>
      </c>
      <c r="B416" s="11">
        <v>89.0</v>
      </c>
      <c r="C416" s="253">
        <v>51.0</v>
      </c>
      <c r="D416" s="235">
        <v>59.0</v>
      </c>
      <c r="E416" s="235">
        <v>59.0</v>
      </c>
      <c r="F416" s="253">
        <v>51.0</v>
      </c>
      <c r="G416" s="235">
        <v>59.0</v>
      </c>
      <c r="H416" s="236">
        <v>9.8433932E7</v>
      </c>
      <c r="I416" s="16">
        <v>75.0</v>
      </c>
      <c r="J416" s="11">
        <v>4.0</v>
      </c>
      <c r="K416" s="11" t="str">
        <f t="shared" si="1"/>
        <v>00590098433932754</v>
      </c>
      <c r="L416" s="238">
        <v>6710.95</v>
      </c>
      <c r="M416" s="254">
        <v>51821.0</v>
      </c>
      <c r="N416" s="16">
        <v>17.0</v>
      </c>
      <c r="O416" s="22">
        <v>50.0</v>
      </c>
      <c r="P416" s="17">
        <v>30.0</v>
      </c>
      <c r="Q416" s="11">
        <v>7.4298981E7</v>
      </c>
      <c r="R416" s="11">
        <v>6.0</v>
      </c>
      <c r="S416" s="24" t="s">
        <v>48</v>
      </c>
      <c r="T416" s="249" t="s">
        <v>5705</v>
      </c>
      <c r="U416" s="17">
        <v>31.0</v>
      </c>
      <c r="V416" s="16">
        <v>83.0</v>
      </c>
      <c r="W416" s="16">
        <v>50.0</v>
      </c>
      <c r="X416" s="50">
        <v>31013.0</v>
      </c>
      <c r="Y416" s="250">
        <v>223.0</v>
      </c>
    </row>
    <row r="417">
      <c r="A417" s="11">
        <v>18.0</v>
      </c>
      <c r="B417" s="11">
        <v>69.0</v>
      </c>
      <c r="C417" s="253">
        <v>21.0</v>
      </c>
      <c r="D417" s="235">
        <v>161.0</v>
      </c>
      <c r="E417" s="235">
        <v>161.0</v>
      </c>
      <c r="F417" s="253">
        <v>21.0</v>
      </c>
      <c r="G417" s="235">
        <v>161.0</v>
      </c>
      <c r="H417" s="236">
        <v>4.4999401E7</v>
      </c>
      <c r="I417" s="16">
        <v>7.0</v>
      </c>
      <c r="J417" s="11">
        <v>7.0</v>
      </c>
      <c r="K417" s="11" t="str">
        <f t="shared" si="1"/>
        <v>01610044999401077</v>
      </c>
      <c r="L417" s="238">
        <v>-35769.33</v>
      </c>
      <c r="M417" s="254">
        <v>61719.0</v>
      </c>
      <c r="N417" s="16">
        <v>97.0</v>
      </c>
      <c r="O417" s="22">
        <v>4.0</v>
      </c>
      <c r="P417" s="17">
        <v>30.0</v>
      </c>
      <c r="Q417" s="11">
        <v>1.838917E7</v>
      </c>
      <c r="R417" s="11">
        <v>8.0</v>
      </c>
      <c r="S417" s="24" t="s">
        <v>39</v>
      </c>
      <c r="T417" s="249" t="s">
        <v>5706</v>
      </c>
      <c r="U417" s="17">
        <v>32.0</v>
      </c>
      <c r="V417" s="16">
        <v>75.0</v>
      </c>
      <c r="W417" s="16">
        <v>80.0</v>
      </c>
      <c r="X417" s="50">
        <v>110214.0</v>
      </c>
      <c r="Y417" s="250">
        <v>5175.0</v>
      </c>
    </row>
    <row r="418">
      <c r="A418" s="11">
        <v>18.0</v>
      </c>
      <c r="B418" s="11">
        <v>28.0</v>
      </c>
      <c r="C418" s="253">
        <v>48.0</v>
      </c>
      <c r="D418" s="235">
        <v>157.0</v>
      </c>
      <c r="E418" s="235">
        <v>157.0</v>
      </c>
      <c r="F418" s="253">
        <v>48.0</v>
      </c>
      <c r="G418" s="235">
        <v>157.0</v>
      </c>
      <c r="H418" s="236">
        <v>3.7775487E7</v>
      </c>
      <c r="I418" s="16">
        <v>77.0</v>
      </c>
      <c r="J418" s="11">
        <v>9.0</v>
      </c>
      <c r="K418" s="11" t="str">
        <f t="shared" si="1"/>
        <v>01570037775487779</v>
      </c>
      <c r="L418" s="238">
        <v>-5125.97</v>
      </c>
      <c r="M418" s="254">
        <v>31213.0</v>
      </c>
      <c r="N418" s="16">
        <v>17.0</v>
      </c>
      <c r="O418" s="22">
        <v>25.0</v>
      </c>
      <c r="P418" s="17">
        <v>91.0</v>
      </c>
      <c r="Q418" s="11">
        <v>2.8571948E7</v>
      </c>
      <c r="R418" s="11">
        <v>4.0</v>
      </c>
      <c r="S418" s="24" t="s">
        <v>29</v>
      </c>
      <c r="T418" s="249" t="s">
        <v>5707</v>
      </c>
      <c r="U418" s="17">
        <v>76.0</v>
      </c>
      <c r="V418" s="16">
        <v>10.0</v>
      </c>
      <c r="W418" s="16">
        <v>38.0</v>
      </c>
      <c r="X418" s="50">
        <v>50819.0</v>
      </c>
      <c r="Y418" s="250">
        <v>6727.0</v>
      </c>
    </row>
    <row r="419">
      <c r="A419" s="11">
        <v>20.0</v>
      </c>
      <c r="B419" s="11">
        <v>28.0</v>
      </c>
      <c r="C419" s="253">
        <v>17.0</v>
      </c>
      <c r="D419" s="235">
        <v>17.0</v>
      </c>
      <c r="E419" s="235">
        <v>17.0</v>
      </c>
      <c r="F419" s="253">
        <v>17.0</v>
      </c>
      <c r="G419" s="235">
        <v>17.0</v>
      </c>
      <c r="H419" s="236">
        <v>7.2817458E7</v>
      </c>
      <c r="I419" s="16">
        <v>60.0</v>
      </c>
      <c r="J419" s="11">
        <v>2.0</v>
      </c>
      <c r="K419" s="11" t="str">
        <f t="shared" si="1"/>
        <v>00170072817458602</v>
      </c>
      <c r="L419" s="238">
        <v>5093.84</v>
      </c>
      <c r="M419" s="254">
        <v>80720.0</v>
      </c>
      <c r="N419" s="16">
        <v>30.0</v>
      </c>
      <c r="O419" s="22">
        <v>13.0</v>
      </c>
      <c r="P419" s="17">
        <v>30.0</v>
      </c>
      <c r="Q419" s="11">
        <v>8.4633626E7</v>
      </c>
      <c r="R419" s="11">
        <v>6.0</v>
      </c>
      <c r="S419" s="24" t="s">
        <v>39</v>
      </c>
      <c r="T419" s="249" t="s">
        <v>5708</v>
      </c>
      <c r="U419" s="17">
        <v>35.0</v>
      </c>
      <c r="V419" s="16">
        <v>99.0</v>
      </c>
      <c r="W419" s="16">
        <v>47.0</v>
      </c>
      <c r="X419" s="50">
        <v>111115.0</v>
      </c>
      <c r="Y419" s="250">
        <v>8771.0</v>
      </c>
    </row>
    <row r="420">
      <c r="A420" s="11">
        <v>11.0</v>
      </c>
      <c r="B420" s="11">
        <v>69.0</v>
      </c>
      <c r="C420" s="253">
        <v>37.0</v>
      </c>
      <c r="D420" s="235">
        <v>155.0</v>
      </c>
      <c r="E420" s="235">
        <v>155.0</v>
      </c>
      <c r="F420" s="253">
        <v>37.0</v>
      </c>
      <c r="G420" s="235">
        <v>155.0</v>
      </c>
      <c r="H420" s="236">
        <v>6.7213653E7</v>
      </c>
      <c r="I420" s="16">
        <v>15.0</v>
      </c>
      <c r="J420" s="11">
        <v>6.0</v>
      </c>
      <c r="K420" s="11" t="str">
        <f t="shared" si="1"/>
        <v>01550067213653156</v>
      </c>
      <c r="L420" s="238">
        <v>24379.57</v>
      </c>
      <c r="M420" s="254">
        <v>72123.0</v>
      </c>
      <c r="N420" s="16">
        <v>92.0</v>
      </c>
      <c r="O420" s="22">
        <v>35.0</v>
      </c>
      <c r="P420" s="17">
        <v>30.0</v>
      </c>
      <c r="Q420" s="11">
        <v>8.8778355E7</v>
      </c>
      <c r="R420" s="11">
        <v>3.0</v>
      </c>
      <c r="S420" s="24" t="s">
        <v>5292</v>
      </c>
      <c r="T420" s="249" t="s">
        <v>5709</v>
      </c>
      <c r="U420" s="17">
        <v>36.0</v>
      </c>
      <c r="V420" s="16">
        <v>51.0</v>
      </c>
      <c r="W420" s="16">
        <v>46.0</v>
      </c>
      <c r="X420" s="50">
        <v>62920.0</v>
      </c>
      <c r="Y420" s="250">
        <v>3482.0</v>
      </c>
    </row>
    <row r="421">
      <c r="A421" s="11">
        <v>14.0</v>
      </c>
      <c r="B421" s="11">
        <v>28.0</v>
      </c>
      <c r="C421" s="253">
        <v>47.0</v>
      </c>
      <c r="D421" s="235">
        <v>67.0</v>
      </c>
      <c r="E421" s="235">
        <v>67.0</v>
      </c>
      <c r="F421" s="253">
        <v>47.0</v>
      </c>
      <c r="G421" s="235">
        <v>67.0</v>
      </c>
      <c r="H421" s="236">
        <v>5.6331842E7</v>
      </c>
      <c r="I421" s="16">
        <v>93.0</v>
      </c>
      <c r="J421" s="11">
        <v>4.0</v>
      </c>
      <c r="K421" s="11" t="str">
        <f t="shared" si="1"/>
        <v>00670056331842934</v>
      </c>
      <c r="L421" s="238">
        <v>135640.1</v>
      </c>
      <c r="M421" s="254">
        <v>82523.0</v>
      </c>
      <c r="N421" s="16">
        <v>85.0</v>
      </c>
      <c r="O421" s="22">
        <v>26.0</v>
      </c>
      <c r="P421" s="17">
        <v>91.0</v>
      </c>
      <c r="Q421" s="11">
        <v>4.907611E7</v>
      </c>
      <c r="R421" s="11">
        <v>5.0</v>
      </c>
      <c r="S421" s="24" t="s">
        <v>5292</v>
      </c>
      <c r="T421" s="249" t="s">
        <v>5710</v>
      </c>
      <c r="U421" s="17">
        <v>80.0</v>
      </c>
      <c r="V421" s="16">
        <v>97.0</v>
      </c>
      <c r="W421" s="16">
        <v>71.0</v>
      </c>
      <c r="X421" s="50">
        <v>110117.0</v>
      </c>
      <c r="Y421" s="250">
        <v>3006.0</v>
      </c>
    </row>
    <row r="422">
      <c r="A422" s="11">
        <v>14.0</v>
      </c>
      <c r="B422" s="11">
        <v>28.0</v>
      </c>
      <c r="C422" s="253">
        <v>6.0</v>
      </c>
      <c r="D422" s="235">
        <v>113.0</v>
      </c>
      <c r="E422" s="235">
        <v>113.0</v>
      </c>
      <c r="F422" s="253">
        <v>6.0</v>
      </c>
      <c r="G422" s="235">
        <v>113.0</v>
      </c>
      <c r="H422" s="236">
        <v>4.7281287E7</v>
      </c>
      <c r="I422" s="16">
        <v>65.0</v>
      </c>
      <c r="J422" s="11">
        <v>9.0</v>
      </c>
      <c r="K422" s="11" t="str">
        <f t="shared" si="1"/>
        <v>01130047281287659</v>
      </c>
      <c r="L422" s="238">
        <v>866733.61</v>
      </c>
      <c r="M422" s="254">
        <v>61815.0</v>
      </c>
      <c r="N422" s="16">
        <v>61.0</v>
      </c>
      <c r="O422" s="22">
        <v>22.0</v>
      </c>
      <c r="P422" s="17">
        <v>50.0</v>
      </c>
      <c r="Q422" s="11">
        <v>5.7355951E7</v>
      </c>
      <c r="R422" s="11">
        <v>3.0</v>
      </c>
      <c r="S422" s="24" t="s">
        <v>5292</v>
      </c>
      <c r="T422" s="249" t="s">
        <v>5711</v>
      </c>
      <c r="U422" s="17">
        <v>85.0</v>
      </c>
      <c r="V422" s="16">
        <v>90.0</v>
      </c>
      <c r="W422" s="16">
        <v>75.0</v>
      </c>
      <c r="X422" s="50">
        <v>50517.0</v>
      </c>
      <c r="Y422" s="250">
        <v>5160.0</v>
      </c>
    </row>
    <row r="423">
      <c r="A423" s="11">
        <v>14.0</v>
      </c>
      <c r="B423" s="11">
        <v>28.0</v>
      </c>
      <c r="C423" s="253">
        <v>21.0</v>
      </c>
      <c r="D423" s="235">
        <v>47.0</v>
      </c>
      <c r="E423" s="235">
        <v>47.0</v>
      </c>
      <c r="F423" s="253">
        <v>21.0</v>
      </c>
      <c r="G423" s="235">
        <v>47.0</v>
      </c>
      <c r="H423" s="236">
        <v>6.8027254E7</v>
      </c>
      <c r="I423" s="16">
        <v>98.0</v>
      </c>
      <c r="J423" s="11">
        <v>6.0</v>
      </c>
      <c r="K423" s="11" t="str">
        <f t="shared" si="1"/>
        <v>00470068027254986</v>
      </c>
      <c r="L423" s="238">
        <v>785171.25</v>
      </c>
      <c r="M423" s="254">
        <v>40516.0</v>
      </c>
      <c r="N423" s="16">
        <v>24.0</v>
      </c>
      <c r="O423" s="22">
        <v>50.0</v>
      </c>
      <c r="P423" s="17">
        <v>91.0</v>
      </c>
      <c r="Q423" s="11">
        <v>9.7705111E7</v>
      </c>
      <c r="R423" s="11">
        <v>7.0</v>
      </c>
      <c r="S423" s="24" t="s">
        <v>48</v>
      </c>
      <c r="T423" s="249" t="s">
        <v>5712</v>
      </c>
      <c r="U423" s="17">
        <v>83.0</v>
      </c>
      <c r="V423" s="16">
        <v>77.0</v>
      </c>
      <c r="W423" s="16">
        <v>15.0</v>
      </c>
      <c r="X423" s="50">
        <v>32215.0</v>
      </c>
      <c r="Y423" s="250">
        <v>9354.0</v>
      </c>
    </row>
    <row r="424">
      <c r="A424" s="11">
        <v>15.0</v>
      </c>
      <c r="B424" s="11">
        <v>28.0</v>
      </c>
      <c r="C424" s="253">
        <v>42.0</v>
      </c>
      <c r="D424" s="235">
        <v>53.0</v>
      </c>
      <c r="E424" s="235">
        <v>53.0</v>
      </c>
      <c r="F424" s="253">
        <v>42.0</v>
      </c>
      <c r="G424" s="235">
        <v>53.0</v>
      </c>
      <c r="H424" s="236">
        <v>4.4089839E7</v>
      </c>
      <c r="I424" s="16">
        <v>30.0</v>
      </c>
      <c r="J424" s="11">
        <v>8.0</v>
      </c>
      <c r="K424" s="11" t="str">
        <f t="shared" si="1"/>
        <v>00530044089839308</v>
      </c>
      <c r="L424" s="238">
        <v>-8115.36</v>
      </c>
      <c r="M424" s="254">
        <v>100219.0</v>
      </c>
      <c r="N424" s="16">
        <v>74.0</v>
      </c>
      <c r="O424" s="22">
        <v>10.0</v>
      </c>
      <c r="P424" s="17">
        <v>91.0</v>
      </c>
      <c r="Q424" s="11">
        <v>7.2513254E7</v>
      </c>
      <c r="R424" s="11">
        <v>5.0</v>
      </c>
      <c r="S424" s="24" t="s">
        <v>48</v>
      </c>
      <c r="T424" s="249" t="s">
        <v>5713</v>
      </c>
      <c r="U424" s="17">
        <v>84.0</v>
      </c>
      <c r="V424" s="16">
        <v>22.0</v>
      </c>
      <c r="W424" s="16">
        <v>91.0</v>
      </c>
      <c r="X424" s="50">
        <v>122616.0</v>
      </c>
      <c r="Y424" s="250">
        <v>551.0</v>
      </c>
    </row>
    <row r="425">
      <c r="A425" s="11">
        <v>12.0</v>
      </c>
      <c r="B425" s="11">
        <v>28.0</v>
      </c>
      <c r="C425" s="253">
        <v>42.0</v>
      </c>
      <c r="D425" s="235">
        <v>77.0</v>
      </c>
      <c r="E425" s="235">
        <v>77.0</v>
      </c>
      <c r="F425" s="253">
        <v>42.0</v>
      </c>
      <c r="G425" s="235">
        <v>77.0</v>
      </c>
      <c r="H425" s="236">
        <v>5.8912476E7</v>
      </c>
      <c r="I425" s="16">
        <v>88.0</v>
      </c>
      <c r="J425" s="11">
        <v>5.0</v>
      </c>
      <c r="K425" s="11" t="str">
        <f t="shared" si="1"/>
        <v>00770058912476885</v>
      </c>
      <c r="L425" s="238">
        <v>3681.4</v>
      </c>
      <c r="M425" s="254">
        <v>81415.0</v>
      </c>
      <c r="N425" s="16">
        <v>75.0</v>
      </c>
      <c r="O425" s="22">
        <v>55.0</v>
      </c>
      <c r="P425" s="17">
        <v>30.0</v>
      </c>
      <c r="Q425" s="11">
        <v>2.0338253E7</v>
      </c>
      <c r="R425" s="11">
        <v>1.0</v>
      </c>
      <c r="S425" s="24" t="s">
        <v>48</v>
      </c>
      <c r="T425" s="249" t="s">
        <v>5714</v>
      </c>
      <c r="U425" s="17">
        <v>44.0</v>
      </c>
      <c r="V425" s="16">
        <v>58.0</v>
      </c>
      <c r="W425" s="16">
        <v>10.0</v>
      </c>
      <c r="X425" s="50">
        <v>73115.0</v>
      </c>
      <c r="Y425" s="250">
        <v>4377.0</v>
      </c>
    </row>
    <row r="426">
      <c r="A426" s="11">
        <v>16.0</v>
      </c>
      <c r="B426" s="11">
        <v>69.0</v>
      </c>
      <c r="C426" s="253">
        <v>31.0</v>
      </c>
      <c r="D426" s="235">
        <v>83.0</v>
      </c>
      <c r="E426" s="235">
        <v>83.0</v>
      </c>
      <c r="F426" s="253">
        <v>31.0</v>
      </c>
      <c r="G426" s="235">
        <v>83.0</v>
      </c>
      <c r="H426" s="236">
        <v>3.009384E7</v>
      </c>
      <c r="I426" s="16">
        <v>49.0</v>
      </c>
      <c r="J426" s="11">
        <v>1.0</v>
      </c>
      <c r="K426" s="11" t="str">
        <f t="shared" si="1"/>
        <v>00830030093840491</v>
      </c>
      <c r="L426" s="238">
        <v>-908590.9</v>
      </c>
      <c r="M426" s="254">
        <v>71117.0</v>
      </c>
      <c r="N426" s="16">
        <v>7.0</v>
      </c>
      <c r="O426" s="22">
        <v>27.0</v>
      </c>
      <c r="P426" s="17">
        <v>71.0</v>
      </c>
      <c r="Q426" s="11">
        <v>1.7075827E7</v>
      </c>
      <c r="R426" s="11">
        <v>8.0</v>
      </c>
      <c r="S426" s="24" t="s">
        <v>48</v>
      </c>
      <c r="T426" s="249" t="s">
        <v>5715</v>
      </c>
      <c r="U426" s="17">
        <v>42.0</v>
      </c>
      <c r="V426" s="16">
        <v>77.0</v>
      </c>
      <c r="W426" s="16">
        <v>36.0</v>
      </c>
      <c r="X426" s="50">
        <v>123014.0</v>
      </c>
      <c r="Y426" s="250">
        <v>7605.0</v>
      </c>
    </row>
    <row r="427">
      <c r="A427" s="11">
        <v>18.0</v>
      </c>
      <c r="B427" s="11">
        <v>49.0</v>
      </c>
      <c r="C427" s="253">
        <v>46.0</v>
      </c>
      <c r="D427" s="235">
        <v>127.0</v>
      </c>
      <c r="E427" s="235">
        <v>127.0</v>
      </c>
      <c r="F427" s="253">
        <v>46.0</v>
      </c>
      <c r="G427" s="235">
        <v>127.0</v>
      </c>
      <c r="H427" s="236">
        <v>8.439842E7</v>
      </c>
      <c r="I427" s="16">
        <v>95.0</v>
      </c>
      <c r="J427" s="11">
        <v>1.0</v>
      </c>
      <c r="K427" s="11" t="str">
        <f t="shared" si="1"/>
        <v>01270084398420951</v>
      </c>
      <c r="L427" s="238">
        <v>16692.22</v>
      </c>
      <c r="M427" s="254">
        <v>41517.0</v>
      </c>
      <c r="N427" s="16">
        <v>65.0</v>
      </c>
      <c r="O427" s="22">
        <v>55.0</v>
      </c>
      <c r="P427" s="17">
        <v>91.0</v>
      </c>
      <c r="Q427" s="11">
        <v>6.668563E7</v>
      </c>
      <c r="R427" s="11">
        <v>0.0</v>
      </c>
      <c r="S427" s="24" t="s">
        <v>5292</v>
      </c>
      <c r="T427" s="249" t="s">
        <v>5716</v>
      </c>
      <c r="U427" s="17">
        <v>91.0</v>
      </c>
      <c r="V427" s="16">
        <v>40.0</v>
      </c>
      <c r="W427" s="16">
        <v>40.0</v>
      </c>
      <c r="X427" s="50">
        <v>123119.0</v>
      </c>
      <c r="Y427" s="250">
        <v>109.0</v>
      </c>
    </row>
    <row r="428">
      <c r="A428" s="11">
        <v>10.0</v>
      </c>
      <c r="B428" s="11">
        <v>28.0</v>
      </c>
      <c r="C428" s="253">
        <v>19.0</v>
      </c>
      <c r="D428" s="235">
        <v>89.0</v>
      </c>
      <c r="E428" s="235">
        <v>89.0</v>
      </c>
      <c r="F428" s="253">
        <v>19.0</v>
      </c>
      <c r="G428" s="235">
        <v>89.0</v>
      </c>
      <c r="H428" s="236">
        <v>6.8363689E7</v>
      </c>
      <c r="I428" s="16">
        <v>27.0</v>
      </c>
      <c r="J428" s="11">
        <v>8.0</v>
      </c>
      <c r="K428" s="11" t="str">
        <f t="shared" si="1"/>
        <v>00890068363689278</v>
      </c>
      <c r="L428" s="238">
        <v>998.53</v>
      </c>
      <c r="M428" s="254">
        <v>92717.0</v>
      </c>
      <c r="N428" s="16">
        <v>83.0</v>
      </c>
      <c r="O428" s="22">
        <v>49.0</v>
      </c>
      <c r="P428" s="17">
        <v>50.0</v>
      </c>
      <c r="Q428" s="11">
        <v>7.7015007E7</v>
      </c>
      <c r="R428" s="11">
        <v>8.0</v>
      </c>
      <c r="S428" s="24" t="s">
        <v>29</v>
      </c>
      <c r="T428" s="249" t="s">
        <v>5717</v>
      </c>
      <c r="U428" s="17">
        <v>96.0</v>
      </c>
      <c r="V428" s="16">
        <v>39.0</v>
      </c>
      <c r="W428" s="16">
        <v>32.0</v>
      </c>
      <c r="X428" s="50">
        <v>41415.0</v>
      </c>
      <c r="Y428" s="250">
        <v>295.0</v>
      </c>
    </row>
    <row r="429">
      <c r="A429" s="11">
        <v>19.0</v>
      </c>
      <c r="B429" s="11">
        <v>69.0</v>
      </c>
      <c r="C429" s="253">
        <v>21.0</v>
      </c>
      <c r="D429" s="235">
        <v>31.0</v>
      </c>
      <c r="E429" s="235">
        <v>31.0</v>
      </c>
      <c r="F429" s="253">
        <v>21.0</v>
      </c>
      <c r="G429" s="235">
        <v>31.0</v>
      </c>
      <c r="H429" s="236">
        <v>7.368558E7</v>
      </c>
      <c r="I429" s="16">
        <v>63.0</v>
      </c>
      <c r="J429" s="11">
        <v>5.0</v>
      </c>
      <c r="K429" s="11" t="str">
        <f t="shared" si="1"/>
        <v>00310073685580635</v>
      </c>
      <c r="L429" s="238">
        <v>4148.1</v>
      </c>
      <c r="M429" s="254">
        <v>62617.0</v>
      </c>
      <c r="N429" s="16">
        <v>15.0</v>
      </c>
      <c r="O429" s="22">
        <v>33.0</v>
      </c>
      <c r="P429" s="17">
        <v>71.0</v>
      </c>
      <c r="Q429" s="11">
        <v>4.9828403E7</v>
      </c>
      <c r="R429" s="11">
        <v>2.0</v>
      </c>
      <c r="S429" s="24" t="s">
        <v>48</v>
      </c>
      <c r="T429" s="249" t="s">
        <v>5718</v>
      </c>
      <c r="U429" s="17">
        <v>43.0</v>
      </c>
      <c r="V429" s="16">
        <v>60.0</v>
      </c>
      <c r="W429" s="16">
        <v>99.0</v>
      </c>
      <c r="X429" s="50">
        <v>12419.0</v>
      </c>
      <c r="Y429" s="250">
        <v>7264.0</v>
      </c>
    </row>
    <row r="430">
      <c r="A430" s="11">
        <v>16.0</v>
      </c>
      <c r="B430" s="11">
        <v>49.0</v>
      </c>
      <c r="C430" s="253">
        <v>29.0</v>
      </c>
      <c r="D430" s="235">
        <v>37.0</v>
      </c>
      <c r="E430" s="235">
        <v>37.0</v>
      </c>
      <c r="F430" s="253">
        <v>29.0</v>
      </c>
      <c r="G430" s="235">
        <v>37.0</v>
      </c>
      <c r="H430" s="236">
        <v>6.7710659E7</v>
      </c>
      <c r="I430" s="16">
        <v>30.0</v>
      </c>
      <c r="J430" s="11">
        <v>3.0</v>
      </c>
      <c r="K430" s="11" t="str">
        <f t="shared" si="1"/>
        <v>00370067710659303</v>
      </c>
      <c r="L430" s="238">
        <v>-1846.28</v>
      </c>
      <c r="M430" s="254">
        <v>21616.0</v>
      </c>
      <c r="N430" s="16">
        <v>12.0</v>
      </c>
      <c r="O430" s="22">
        <v>33.0</v>
      </c>
      <c r="P430" s="17">
        <v>30.0</v>
      </c>
      <c r="Q430" s="11">
        <v>6.8849798E7</v>
      </c>
      <c r="R430" s="11">
        <v>7.0</v>
      </c>
      <c r="S430" s="24" t="s">
        <v>39</v>
      </c>
      <c r="T430" s="249" t="s">
        <v>5719</v>
      </c>
      <c r="U430" s="17">
        <v>50.0</v>
      </c>
      <c r="V430" s="16">
        <v>82.0</v>
      </c>
      <c r="W430" s="16">
        <v>81.0</v>
      </c>
      <c r="X430" s="50">
        <v>61213.0</v>
      </c>
      <c r="Y430" s="250">
        <v>1190.0</v>
      </c>
    </row>
    <row r="431">
      <c r="A431" s="11">
        <v>17.0</v>
      </c>
      <c r="B431" s="11">
        <v>49.0</v>
      </c>
      <c r="C431" s="253">
        <v>32.0</v>
      </c>
      <c r="D431" s="235">
        <v>13.0</v>
      </c>
      <c r="E431" s="235">
        <v>13.0</v>
      </c>
      <c r="F431" s="253">
        <v>32.0</v>
      </c>
      <c r="G431" s="235">
        <v>13.0</v>
      </c>
      <c r="H431" s="236">
        <v>8.7481737E7</v>
      </c>
      <c r="I431" s="16">
        <v>25.0</v>
      </c>
      <c r="J431" s="11">
        <v>0.0</v>
      </c>
      <c r="K431" s="11" t="str">
        <f t="shared" si="1"/>
        <v>00130087481737250</v>
      </c>
      <c r="L431" s="238">
        <v>770714.69</v>
      </c>
      <c r="M431" s="254">
        <v>92822.0</v>
      </c>
      <c r="N431" s="16">
        <v>81.0</v>
      </c>
      <c r="O431" s="22">
        <v>27.0</v>
      </c>
      <c r="P431" s="17">
        <v>10.0</v>
      </c>
      <c r="Q431" s="11">
        <v>7.6826942E7</v>
      </c>
      <c r="R431" s="11">
        <v>9.0</v>
      </c>
      <c r="S431" s="24" t="s">
        <v>48</v>
      </c>
      <c r="T431" s="249" t="s">
        <v>5720</v>
      </c>
      <c r="U431" s="17">
        <v>4.0</v>
      </c>
      <c r="V431" s="16">
        <v>4.0</v>
      </c>
      <c r="W431" s="16">
        <v>72.0</v>
      </c>
      <c r="X431" s="50">
        <v>101218.0</v>
      </c>
      <c r="Y431" s="250">
        <v>2508.0</v>
      </c>
    </row>
    <row r="432">
      <c r="A432" s="11">
        <v>14.0</v>
      </c>
      <c r="B432" s="11">
        <v>69.0</v>
      </c>
      <c r="C432" s="253">
        <v>36.0</v>
      </c>
      <c r="D432" s="235">
        <v>83.0</v>
      </c>
      <c r="E432" s="235">
        <v>83.0</v>
      </c>
      <c r="F432" s="253">
        <v>36.0</v>
      </c>
      <c r="G432" s="235">
        <v>83.0</v>
      </c>
      <c r="H432" s="236">
        <v>3.6326256E7</v>
      </c>
      <c r="I432" s="16">
        <v>97.0</v>
      </c>
      <c r="J432" s="11">
        <v>8.0</v>
      </c>
      <c r="K432" s="11" t="str">
        <f t="shared" si="1"/>
        <v>00830036326256978</v>
      </c>
      <c r="L432" s="238">
        <v>446878.26</v>
      </c>
      <c r="M432" s="254">
        <v>121417.0</v>
      </c>
      <c r="N432" s="16">
        <v>8.0</v>
      </c>
      <c r="O432" s="22">
        <v>2.0</v>
      </c>
      <c r="P432" s="17">
        <v>10.0</v>
      </c>
      <c r="Q432" s="11">
        <v>1.9538164E7</v>
      </c>
      <c r="R432" s="11">
        <v>6.0</v>
      </c>
      <c r="S432" s="24" t="s">
        <v>5292</v>
      </c>
      <c r="T432" s="249" t="s">
        <v>5721</v>
      </c>
      <c r="U432" s="17">
        <v>5.0</v>
      </c>
      <c r="V432" s="16">
        <v>93.0</v>
      </c>
      <c r="W432" s="16">
        <v>20.0</v>
      </c>
      <c r="X432" s="50">
        <v>111321.0</v>
      </c>
      <c r="Y432" s="250">
        <v>1227.0</v>
      </c>
    </row>
    <row r="433">
      <c r="A433" s="11">
        <v>18.0</v>
      </c>
      <c r="B433" s="11">
        <v>49.0</v>
      </c>
      <c r="C433" s="253">
        <v>20.0</v>
      </c>
      <c r="D433" s="235">
        <v>175.0</v>
      </c>
      <c r="E433" s="235">
        <v>175.0</v>
      </c>
      <c r="F433" s="253">
        <v>20.0</v>
      </c>
      <c r="G433" s="235">
        <v>175.0</v>
      </c>
      <c r="H433" s="236">
        <v>2.801149E7</v>
      </c>
      <c r="I433" s="16">
        <v>16.0</v>
      </c>
      <c r="J433" s="11">
        <v>6.0</v>
      </c>
      <c r="K433" s="11" t="str">
        <f t="shared" si="1"/>
        <v>01750028011490166</v>
      </c>
      <c r="L433" s="238">
        <v>426577.96</v>
      </c>
      <c r="M433" s="254">
        <v>20322.0</v>
      </c>
      <c r="N433" s="16">
        <v>78.0</v>
      </c>
      <c r="O433" s="22">
        <v>25.0</v>
      </c>
      <c r="P433" s="17">
        <v>91.0</v>
      </c>
      <c r="Q433" s="11">
        <v>4.7940451E7</v>
      </c>
      <c r="R433" s="11">
        <v>6.0</v>
      </c>
      <c r="S433" s="24" t="s">
        <v>29</v>
      </c>
      <c r="T433" s="249" t="s">
        <v>5722</v>
      </c>
      <c r="U433" s="17">
        <v>99.0</v>
      </c>
      <c r="V433" s="16">
        <v>28.0</v>
      </c>
      <c r="W433" s="16">
        <v>57.0</v>
      </c>
      <c r="X433" s="50">
        <v>90513.0</v>
      </c>
      <c r="Y433" s="250">
        <v>3474.0</v>
      </c>
    </row>
    <row r="434">
      <c r="A434" s="11">
        <v>15.0</v>
      </c>
      <c r="B434" s="11">
        <v>49.0</v>
      </c>
      <c r="C434" s="253">
        <v>42.0</v>
      </c>
      <c r="D434" s="235">
        <v>35.0</v>
      </c>
      <c r="E434" s="235">
        <v>35.0</v>
      </c>
      <c r="F434" s="253">
        <v>42.0</v>
      </c>
      <c r="G434" s="235">
        <v>35.0</v>
      </c>
      <c r="H434" s="236">
        <v>1.4755012E7</v>
      </c>
      <c r="I434" s="16">
        <v>18.0</v>
      </c>
      <c r="J434" s="11">
        <v>5.0</v>
      </c>
      <c r="K434" s="11" t="str">
        <f t="shared" si="1"/>
        <v>00350014755012185</v>
      </c>
      <c r="L434" s="238">
        <v>5435.68</v>
      </c>
      <c r="M434" s="254">
        <v>102720.0</v>
      </c>
      <c r="N434" s="16">
        <v>91.0</v>
      </c>
      <c r="O434" s="22">
        <v>44.0</v>
      </c>
      <c r="P434" s="17">
        <v>30.0</v>
      </c>
      <c r="Q434" s="11">
        <v>3.1747429E7</v>
      </c>
      <c r="R434" s="11">
        <v>1.0</v>
      </c>
      <c r="S434" s="24" t="s">
        <v>29</v>
      </c>
      <c r="T434" s="249" t="s">
        <v>5723</v>
      </c>
      <c r="U434" s="17">
        <v>59.0</v>
      </c>
      <c r="V434" s="16">
        <v>87.0</v>
      </c>
      <c r="W434" s="16">
        <v>27.0</v>
      </c>
      <c r="X434" s="50">
        <v>90814.0</v>
      </c>
      <c r="Y434" s="250">
        <v>1946.0</v>
      </c>
    </row>
    <row r="435">
      <c r="A435" s="11">
        <v>17.0</v>
      </c>
      <c r="B435" s="11">
        <v>49.0</v>
      </c>
      <c r="C435" s="253">
        <v>54.0</v>
      </c>
      <c r="D435" s="235">
        <v>85.0</v>
      </c>
      <c r="E435" s="235">
        <v>85.0</v>
      </c>
      <c r="F435" s="253">
        <v>54.0</v>
      </c>
      <c r="G435" s="235">
        <v>85.0</v>
      </c>
      <c r="H435" s="236">
        <v>9.0277293E7</v>
      </c>
      <c r="I435" s="16">
        <v>69.0</v>
      </c>
      <c r="J435" s="11">
        <v>9.0</v>
      </c>
      <c r="K435" s="11" t="str">
        <f t="shared" si="1"/>
        <v>00850090277293699</v>
      </c>
      <c r="L435" s="238">
        <v>264028.51</v>
      </c>
      <c r="M435" s="254">
        <v>11222.0</v>
      </c>
      <c r="N435" s="16">
        <v>48.0</v>
      </c>
      <c r="O435" s="22">
        <v>55.0</v>
      </c>
      <c r="P435" s="17">
        <v>92.0</v>
      </c>
      <c r="Q435" s="11">
        <v>3.5111447E7</v>
      </c>
      <c r="R435" s="11">
        <v>6.0</v>
      </c>
      <c r="S435" s="24" t="s">
        <v>5292</v>
      </c>
      <c r="T435" s="249" t="s">
        <v>5724</v>
      </c>
      <c r="U435" s="17">
        <v>4.0</v>
      </c>
      <c r="V435" s="16">
        <v>84.0</v>
      </c>
      <c r="W435" s="16">
        <v>87.0</v>
      </c>
      <c r="X435" s="50">
        <v>82216.0</v>
      </c>
      <c r="Y435" s="250">
        <v>7888.0</v>
      </c>
    </row>
    <row r="436">
      <c r="A436" s="11">
        <v>11.0</v>
      </c>
      <c r="B436" s="11">
        <v>28.0</v>
      </c>
      <c r="C436" s="253">
        <v>37.0</v>
      </c>
      <c r="D436" s="235">
        <v>29.0</v>
      </c>
      <c r="E436" s="235">
        <v>29.0</v>
      </c>
      <c r="F436" s="253">
        <v>37.0</v>
      </c>
      <c r="G436" s="235">
        <v>29.0</v>
      </c>
      <c r="H436" s="236">
        <v>9.3169516E7</v>
      </c>
      <c r="I436" s="16">
        <v>80.0</v>
      </c>
      <c r="J436" s="11">
        <v>2.0</v>
      </c>
      <c r="K436" s="11" t="str">
        <f t="shared" si="1"/>
        <v>00290093169516802</v>
      </c>
      <c r="L436" s="238">
        <v>477.96</v>
      </c>
      <c r="M436" s="254">
        <v>112717.0</v>
      </c>
      <c r="N436" s="16">
        <v>69.0</v>
      </c>
      <c r="O436" s="22">
        <v>45.0</v>
      </c>
      <c r="P436" s="17">
        <v>30.0</v>
      </c>
      <c r="Q436" s="11">
        <v>2.0344306E7</v>
      </c>
      <c r="R436" s="11">
        <v>2.0</v>
      </c>
      <c r="S436" s="24" t="s">
        <v>29</v>
      </c>
      <c r="T436" s="249" t="s">
        <v>5725</v>
      </c>
      <c r="U436" s="17">
        <v>64.0</v>
      </c>
      <c r="V436" s="16">
        <v>81.0</v>
      </c>
      <c r="W436" s="16">
        <v>19.0</v>
      </c>
      <c r="X436" s="50">
        <v>53117.0</v>
      </c>
      <c r="Y436" s="250">
        <v>5750.0</v>
      </c>
    </row>
    <row r="437">
      <c r="A437" s="11">
        <v>13.0</v>
      </c>
      <c r="B437" s="11">
        <v>28.0</v>
      </c>
      <c r="C437" s="253">
        <v>51.0</v>
      </c>
      <c r="D437" s="235">
        <v>530.0</v>
      </c>
      <c r="E437" s="235">
        <v>530.0</v>
      </c>
      <c r="F437" s="253">
        <v>51.0</v>
      </c>
      <c r="G437" s="235">
        <v>530.0</v>
      </c>
      <c r="H437" s="236">
        <v>7.1482491E7</v>
      </c>
      <c r="I437" s="16">
        <v>11.0</v>
      </c>
      <c r="J437" s="11">
        <v>1.0</v>
      </c>
      <c r="K437" s="11" t="str">
        <f t="shared" si="1"/>
        <v>05300071482491111</v>
      </c>
      <c r="L437" s="238">
        <v>7506.71</v>
      </c>
      <c r="M437" s="254">
        <v>11322.0</v>
      </c>
      <c r="N437" s="16">
        <v>26.0</v>
      </c>
      <c r="O437" s="22">
        <v>19.0</v>
      </c>
      <c r="P437" s="17">
        <v>30.0</v>
      </c>
      <c r="Q437" s="11">
        <v>9.2956107E7</v>
      </c>
      <c r="R437" s="11">
        <v>3.0</v>
      </c>
      <c r="S437" s="24" t="s">
        <v>39</v>
      </c>
      <c r="T437" s="249" t="s">
        <v>5726</v>
      </c>
      <c r="U437" s="17">
        <v>65.0</v>
      </c>
      <c r="V437" s="16">
        <v>76.0</v>
      </c>
      <c r="W437" s="16">
        <v>97.0</v>
      </c>
      <c r="X437" s="50">
        <v>82422.0</v>
      </c>
      <c r="Y437" s="250">
        <v>3543.0</v>
      </c>
    </row>
    <row r="438">
      <c r="A438" s="11">
        <v>20.0</v>
      </c>
      <c r="B438" s="11">
        <v>69.0</v>
      </c>
      <c r="C438" s="253">
        <v>48.0</v>
      </c>
      <c r="D438" s="235">
        <v>351.0</v>
      </c>
      <c r="E438" s="235">
        <v>351.0</v>
      </c>
      <c r="F438" s="253">
        <v>48.0</v>
      </c>
      <c r="G438" s="235">
        <v>351.0</v>
      </c>
      <c r="H438" s="236">
        <v>3.0651942E7</v>
      </c>
      <c r="I438" s="16">
        <v>25.0</v>
      </c>
      <c r="J438" s="11">
        <v>8.0</v>
      </c>
      <c r="K438" s="11" t="str">
        <f t="shared" si="1"/>
        <v>03510030651942258</v>
      </c>
      <c r="L438" s="238">
        <v>636.95</v>
      </c>
      <c r="M438" s="254">
        <v>70721.0</v>
      </c>
      <c r="N438" s="16">
        <v>82.0</v>
      </c>
      <c r="O438" s="22">
        <v>32.0</v>
      </c>
      <c r="P438" s="17">
        <v>71.0</v>
      </c>
      <c r="Q438" s="11">
        <v>4.5843337E7</v>
      </c>
      <c r="R438" s="11">
        <v>4.0</v>
      </c>
      <c r="S438" s="24" t="s">
        <v>29</v>
      </c>
      <c r="T438" s="249" t="s">
        <v>5727</v>
      </c>
      <c r="U438" s="17">
        <v>61.0</v>
      </c>
      <c r="V438" s="16">
        <v>56.0</v>
      </c>
      <c r="W438" s="16">
        <v>99.0</v>
      </c>
      <c r="X438" s="50">
        <v>11818.0</v>
      </c>
      <c r="Y438" s="250">
        <v>1088.0</v>
      </c>
    </row>
    <row r="439">
      <c r="A439" s="11">
        <v>12.0</v>
      </c>
      <c r="B439" s="11">
        <v>69.0</v>
      </c>
      <c r="C439" s="253">
        <v>38.0</v>
      </c>
      <c r="D439" s="235">
        <v>9.0</v>
      </c>
      <c r="E439" s="235">
        <v>9.0</v>
      </c>
      <c r="F439" s="253">
        <v>38.0</v>
      </c>
      <c r="G439" s="235">
        <v>9.0</v>
      </c>
      <c r="H439" s="236">
        <v>5.4505715E7</v>
      </c>
      <c r="I439" s="16">
        <v>84.0</v>
      </c>
      <c r="J439" s="11">
        <v>5.0</v>
      </c>
      <c r="K439" s="11" t="str">
        <f t="shared" si="1"/>
        <v>00090054505715845</v>
      </c>
      <c r="L439" s="238">
        <v>-847082.87</v>
      </c>
      <c r="M439" s="254">
        <v>30721.0</v>
      </c>
      <c r="N439" s="16">
        <v>97.0</v>
      </c>
      <c r="O439" s="22">
        <v>20.0</v>
      </c>
      <c r="P439" s="17">
        <v>92.0</v>
      </c>
      <c r="Q439" s="11">
        <v>3.7235136E7</v>
      </c>
      <c r="R439" s="11">
        <v>2.0</v>
      </c>
      <c r="S439" s="24" t="s">
        <v>5292</v>
      </c>
      <c r="T439" s="249" t="s">
        <v>5728</v>
      </c>
      <c r="U439" s="17">
        <v>9.0</v>
      </c>
      <c r="V439" s="16">
        <v>51.0</v>
      </c>
      <c r="W439" s="16">
        <v>69.0</v>
      </c>
      <c r="X439" s="50">
        <v>21319.0</v>
      </c>
      <c r="Y439" s="250">
        <v>4410.0</v>
      </c>
    </row>
    <row r="440">
      <c r="A440" s="11">
        <v>19.0</v>
      </c>
      <c r="B440" s="11">
        <v>49.0</v>
      </c>
      <c r="C440" s="253">
        <v>42.0</v>
      </c>
      <c r="D440" s="235">
        <v>127.0</v>
      </c>
      <c r="E440" s="235">
        <v>127.0</v>
      </c>
      <c r="F440" s="253">
        <v>42.0</v>
      </c>
      <c r="G440" s="235">
        <v>127.0</v>
      </c>
      <c r="H440" s="236">
        <v>9.8954031E7</v>
      </c>
      <c r="I440" s="16">
        <v>33.0</v>
      </c>
      <c r="J440" s="11">
        <v>1.0</v>
      </c>
      <c r="K440" s="11" t="str">
        <f t="shared" si="1"/>
        <v>01270098954031331</v>
      </c>
      <c r="L440" s="238">
        <v>-9111.2</v>
      </c>
      <c r="M440" s="254">
        <v>31423.0</v>
      </c>
      <c r="N440" s="16">
        <v>99.0</v>
      </c>
      <c r="O440" s="22">
        <v>31.0</v>
      </c>
      <c r="P440" s="17">
        <v>30.0</v>
      </c>
      <c r="Q440" s="11">
        <v>6.4140466E7</v>
      </c>
      <c r="R440" s="11">
        <v>3.0</v>
      </c>
      <c r="S440" s="24" t="s">
        <v>48</v>
      </c>
      <c r="T440" s="249" t="s">
        <v>5729</v>
      </c>
      <c r="U440" s="17">
        <v>67.0</v>
      </c>
      <c r="V440" s="16">
        <v>6.0</v>
      </c>
      <c r="W440" s="16">
        <v>31.0</v>
      </c>
      <c r="X440" s="50">
        <v>40819.0</v>
      </c>
      <c r="Y440" s="250">
        <v>3994.0</v>
      </c>
    </row>
    <row r="441">
      <c r="A441" s="11">
        <v>14.0</v>
      </c>
      <c r="B441" s="11">
        <v>69.0</v>
      </c>
      <c r="C441" s="253">
        <v>2.0</v>
      </c>
      <c r="D441" s="235">
        <v>13.0</v>
      </c>
      <c r="E441" s="235">
        <v>13.0</v>
      </c>
      <c r="F441" s="253">
        <v>2.0</v>
      </c>
      <c r="G441" s="235">
        <v>13.0</v>
      </c>
      <c r="H441" s="236">
        <v>1.9637079E7</v>
      </c>
      <c r="I441" s="16">
        <v>59.0</v>
      </c>
      <c r="J441" s="11">
        <v>6.0</v>
      </c>
      <c r="K441" s="11" t="str">
        <f t="shared" si="1"/>
        <v>00130019637079596</v>
      </c>
      <c r="L441" s="238">
        <v>-26379.67</v>
      </c>
      <c r="M441" s="254">
        <v>11420.0</v>
      </c>
      <c r="N441" s="16">
        <v>92.0</v>
      </c>
      <c r="O441" s="22">
        <v>51.0</v>
      </c>
      <c r="P441" s="17">
        <v>10.0</v>
      </c>
      <c r="Q441" s="11">
        <v>7.889787E7</v>
      </c>
      <c r="R441" s="11">
        <v>9.0</v>
      </c>
      <c r="S441" s="24" t="s">
        <v>39</v>
      </c>
      <c r="T441" s="249" t="s">
        <v>5730</v>
      </c>
      <c r="U441" s="17">
        <v>23.0</v>
      </c>
      <c r="V441" s="16">
        <v>85.0</v>
      </c>
      <c r="W441" s="16">
        <v>33.0</v>
      </c>
      <c r="X441" s="50">
        <v>92713.0</v>
      </c>
      <c r="Y441" s="250">
        <v>2082.0</v>
      </c>
    </row>
    <row r="442">
      <c r="A442" s="11">
        <v>13.0</v>
      </c>
      <c r="B442" s="11">
        <v>49.0</v>
      </c>
      <c r="C442" s="253">
        <v>29.0</v>
      </c>
      <c r="D442" s="235">
        <v>97.0</v>
      </c>
      <c r="E442" s="235">
        <v>97.0</v>
      </c>
      <c r="F442" s="253">
        <v>29.0</v>
      </c>
      <c r="G442" s="235">
        <v>97.0</v>
      </c>
      <c r="H442" s="236">
        <v>1.0417563E7</v>
      </c>
      <c r="I442" s="16">
        <v>44.0</v>
      </c>
      <c r="J442" s="11">
        <v>8.0</v>
      </c>
      <c r="K442" s="11" t="str">
        <f t="shared" si="1"/>
        <v>00970010417563448</v>
      </c>
      <c r="L442" s="238">
        <v>3706.25</v>
      </c>
      <c r="M442" s="254">
        <v>61518.0</v>
      </c>
      <c r="N442" s="16">
        <v>14.0</v>
      </c>
      <c r="O442" s="22">
        <v>4.0</v>
      </c>
      <c r="P442" s="17">
        <v>92.0</v>
      </c>
      <c r="Q442" s="11">
        <v>8.6054719E7</v>
      </c>
      <c r="R442" s="11">
        <v>0.0</v>
      </c>
      <c r="S442" s="24" t="s">
        <v>39</v>
      </c>
      <c r="T442" s="249" t="s">
        <v>5731</v>
      </c>
      <c r="U442" s="17">
        <v>16.0</v>
      </c>
      <c r="V442" s="16">
        <v>87.0</v>
      </c>
      <c r="W442" s="16">
        <v>96.0</v>
      </c>
      <c r="X442" s="50">
        <v>31218.0</v>
      </c>
      <c r="Y442" s="250">
        <v>6160.0</v>
      </c>
    </row>
    <row r="443">
      <c r="A443" s="11">
        <v>16.0</v>
      </c>
      <c r="B443" s="11">
        <v>49.0</v>
      </c>
      <c r="C443" s="253">
        <v>41.0</v>
      </c>
      <c r="D443" s="235">
        <v>61.0</v>
      </c>
      <c r="E443" s="235">
        <v>61.0</v>
      </c>
      <c r="F443" s="253">
        <v>41.0</v>
      </c>
      <c r="G443" s="235">
        <v>61.0</v>
      </c>
      <c r="H443" s="236">
        <v>3.8415688E7</v>
      </c>
      <c r="I443" s="16">
        <v>85.0</v>
      </c>
      <c r="J443" s="11">
        <v>3.0</v>
      </c>
      <c r="K443" s="11" t="str">
        <f t="shared" si="1"/>
        <v>00610038415688853</v>
      </c>
      <c r="L443" s="238">
        <v>-948.72</v>
      </c>
      <c r="M443" s="254">
        <v>42517.0</v>
      </c>
      <c r="N443" s="16">
        <v>78.0</v>
      </c>
      <c r="O443" s="22">
        <v>55.0</v>
      </c>
      <c r="P443" s="17">
        <v>51.0</v>
      </c>
      <c r="Q443" s="11">
        <v>7.9301679E7</v>
      </c>
      <c r="R443" s="11">
        <v>2.0</v>
      </c>
      <c r="S443" s="24" t="s">
        <v>5292</v>
      </c>
      <c r="T443" s="249" t="s">
        <v>5732</v>
      </c>
      <c r="U443" s="17">
        <v>21.0</v>
      </c>
      <c r="V443" s="16">
        <v>9.0</v>
      </c>
      <c r="W443" s="16">
        <v>19.0</v>
      </c>
      <c r="X443" s="50">
        <v>82120.0</v>
      </c>
      <c r="Y443" s="250">
        <v>2178.0</v>
      </c>
    </row>
    <row r="444">
      <c r="A444" s="11">
        <v>15.0</v>
      </c>
      <c r="B444" s="11">
        <v>49.0</v>
      </c>
      <c r="C444" s="253">
        <v>39.0</v>
      </c>
      <c r="D444" s="235">
        <v>29.0</v>
      </c>
      <c r="E444" s="235">
        <v>29.0</v>
      </c>
      <c r="F444" s="253">
        <v>39.0</v>
      </c>
      <c r="G444" s="235">
        <v>29.0</v>
      </c>
      <c r="H444" s="236">
        <v>5.563392E7</v>
      </c>
      <c r="I444" s="16">
        <v>46.0</v>
      </c>
      <c r="J444" s="11">
        <v>5.0</v>
      </c>
      <c r="K444" s="11" t="str">
        <f t="shared" si="1"/>
        <v>00290055633920465</v>
      </c>
      <c r="L444" s="238">
        <v>584.5</v>
      </c>
      <c r="M444" s="254">
        <v>62815.0</v>
      </c>
      <c r="N444" s="16">
        <v>41.0</v>
      </c>
      <c r="O444" s="22">
        <v>35.0</v>
      </c>
      <c r="P444" s="17">
        <v>92.0</v>
      </c>
      <c r="Q444" s="11">
        <v>7.9618778E7</v>
      </c>
      <c r="R444" s="11">
        <v>5.0</v>
      </c>
      <c r="S444" s="24" t="s">
        <v>5292</v>
      </c>
      <c r="T444" s="249" t="s">
        <v>5733</v>
      </c>
      <c r="U444" s="17">
        <v>18.0</v>
      </c>
      <c r="V444" s="16">
        <v>3.0</v>
      </c>
      <c r="W444" s="16">
        <v>17.0</v>
      </c>
      <c r="X444" s="50">
        <v>52819.0</v>
      </c>
      <c r="Y444" s="250">
        <v>5488.0</v>
      </c>
    </row>
    <row r="445">
      <c r="A445" s="11">
        <v>14.0</v>
      </c>
      <c r="B445" s="11">
        <v>29.0</v>
      </c>
      <c r="C445" s="253">
        <v>5.0</v>
      </c>
      <c r="D445" s="235">
        <v>31.0</v>
      </c>
      <c r="E445" s="235">
        <v>31.0</v>
      </c>
      <c r="F445" s="253">
        <v>5.0</v>
      </c>
      <c r="G445" s="235">
        <v>31.0</v>
      </c>
      <c r="H445" s="236">
        <v>1.6334262E7</v>
      </c>
      <c r="I445" s="16">
        <v>13.0</v>
      </c>
      <c r="J445" s="11">
        <v>3.0</v>
      </c>
      <c r="K445" s="11" t="str">
        <f t="shared" si="1"/>
        <v>00310016334262133</v>
      </c>
      <c r="L445" s="238">
        <v>2332.38</v>
      </c>
      <c r="M445" s="254">
        <v>50914.0</v>
      </c>
      <c r="N445" s="16">
        <v>71.0</v>
      </c>
      <c r="O445" s="22">
        <v>37.0</v>
      </c>
      <c r="P445" s="17">
        <v>71.0</v>
      </c>
      <c r="Q445" s="11">
        <v>3.8845969E7</v>
      </c>
      <c r="R445" s="11">
        <v>7.0</v>
      </c>
      <c r="S445" s="24" t="s">
        <v>39</v>
      </c>
      <c r="T445" s="249" t="s">
        <v>5734</v>
      </c>
      <c r="U445" s="17">
        <v>71.0</v>
      </c>
      <c r="V445" s="16">
        <v>59.0</v>
      </c>
      <c r="W445" s="16">
        <v>45.0</v>
      </c>
      <c r="X445" s="50">
        <v>120820.0</v>
      </c>
      <c r="Y445" s="250">
        <v>6322.0</v>
      </c>
    </row>
    <row r="446">
      <c r="A446" s="11">
        <v>15.0</v>
      </c>
      <c r="B446" s="11">
        <v>29.0</v>
      </c>
      <c r="C446" s="253">
        <v>48.0</v>
      </c>
      <c r="D446" s="235">
        <v>459.0</v>
      </c>
      <c r="E446" s="235">
        <v>459.0</v>
      </c>
      <c r="F446" s="253">
        <v>48.0</v>
      </c>
      <c r="G446" s="235">
        <v>459.0</v>
      </c>
      <c r="H446" s="236">
        <v>6.9864716E7</v>
      </c>
      <c r="I446" s="16">
        <v>96.0</v>
      </c>
      <c r="J446" s="11">
        <v>9.0</v>
      </c>
      <c r="K446" s="11" t="str">
        <f t="shared" si="1"/>
        <v>04590069864716969</v>
      </c>
      <c r="L446" s="238">
        <v>2249.33</v>
      </c>
      <c r="M446" s="254">
        <v>12122.0</v>
      </c>
      <c r="N446" s="16">
        <v>77.0</v>
      </c>
      <c r="O446" s="22">
        <v>15.0</v>
      </c>
      <c r="P446" s="17">
        <v>30.0</v>
      </c>
      <c r="Q446" s="11">
        <v>1.8150161E7</v>
      </c>
      <c r="R446" s="11">
        <v>7.0</v>
      </c>
      <c r="S446" s="24" t="s">
        <v>48</v>
      </c>
      <c r="T446" s="249" t="s">
        <v>5735</v>
      </c>
      <c r="U446" s="17">
        <v>80.0</v>
      </c>
      <c r="V446" s="16">
        <v>65.0</v>
      </c>
      <c r="W446" s="16">
        <v>19.0</v>
      </c>
      <c r="X446" s="50">
        <v>31714.0</v>
      </c>
      <c r="Y446" s="250">
        <v>1714.0</v>
      </c>
    </row>
    <row r="447">
      <c r="A447" s="11">
        <v>15.0</v>
      </c>
      <c r="B447" s="11">
        <v>29.0</v>
      </c>
      <c r="C447" s="253">
        <v>54.0</v>
      </c>
      <c r="D447" s="235">
        <v>49.0</v>
      </c>
      <c r="E447" s="235">
        <v>49.0</v>
      </c>
      <c r="F447" s="253">
        <v>54.0</v>
      </c>
      <c r="G447" s="235">
        <v>49.0</v>
      </c>
      <c r="H447" s="236">
        <v>3.1713012E7</v>
      </c>
      <c r="I447" s="16">
        <v>61.0</v>
      </c>
      <c r="J447" s="11">
        <v>7.0</v>
      </c>
      <c r="K447" s="11" t="str">
        <f t="shared" si="1"/>
        <v>00490031713012617</v>
      </c>
      <c r="L447" s="238">
        <v>38977.87</v>
      </c>
      <c r="M447" s="254">
        <v>22123.0</v>
      </c>
      <c r="N447" s="16">
        <v>83.0</v>
      </c>
      <c r="O447" s="22">
        <v>51.0</v>
      </c>
      <c r="P447" s="17">
        <v>71.0</v>
      </c>
      <c r="Q447" s="11">
        <v>4.3011597E7</v>
      </c>
      <c r="R447" s="11">
        <v>7.0</v>
      </c>
      <c r="S447" s="24" t="s">
        <v>39</v>
      </c>
      <c r="T447" s="249" t="s">
        <v>5736</v>
      </c>
      <c r="U447" s="17">
        <v>77.0</v>
      </c>
      <c r="V447" s="16">
        <v>49.0</v>
      </c>
      <c r="W447" s="16">
        <v>11.0</v>
      </c>
      <c r="X447" s="50">
        <v>21113.0</v>
      </c>
      <c r="Y447" s="250">
        <v>9775.0</v>
      </c>
    </row>
    <row r="448">
      <c r="A448" s="11">
        <v>10.0</v>
      </c>
      <c r="B448" s="11">
        <v>49.0</v>
      </c>
      <c r="C448" s="253">
        <v>30.0</v>
      </c>
      <c r="D448" s="235">
        <v>53.0</v>
      </c>
      <c r="E448" s="235">
        <v>53.0</v>
      </c>
      <c r="F448" s="253">
        <v>30.0</v>
      </c>
      <c r="G448" s="235">
        <v>53.0</v>
      </c>
      <c r="H448" s="236">
        <v>2.0049298E7</v>
      </c>
      <c r="I448" s="16">
        <v>44.0</v>
      </c>
      <c r="J448" s="11">
        <v>9.0</v>
      </c>
      <c r="K448" s="11" t="str">
        <f t="shared" si="1"/>
        <v>00530020049298449</v>
      </c>
      <c r="L448" s="238">
        <v>386.88</v>
      </c>
      <c r="M448" s="254">
        <v>30223.0</v>
      </c>
      <c r="N448" s="16">
        <v>92.0</v>
      </c>
      <c r="O448" s="22">
        <v>51.0</v>
      </c>
      <c r="P448" s="17">
        <v>92.0</v>
      </c>
      <c r="Q448" s="11">
        <v>4.3750489E7</v>
      </c>
      <c r="R448" s="11">
        <v>3.0</v>
      </c>
      <c r="S448" s="24" t="s">
        <v>5292</v>
      </c>
      <c r="T448" s="249" t="s">
        <v>5737</v>
      </c>
      <c r="U448" s="17">
        <v>24.0</v>
      </c>
      <c r="V448" s="16">
        <v>19.0</v>
      </c>
      <c r="W448" s="16">
        <v>84.0</v>
      </c>
      <c r="X448" s="50">
        <v>110622.0</v>
      </c>
      <c r="Y448" s="250">
        <v>7856.0</v>
      </c>
    </row>
    <row r="449">
      <c r="A449" s="11">
        <v>15.0</v>
      </c>
      <c r="B449" s="11">
        <v>49.0</v>
      </c>
      <c r="C449" s="253">
        <v>30.0</v>
      </c>
      <c r="D449" s="235">
        <v>37.0</v>
      </c>
      <c r="E449" s="235">
        <v>37.0</v>
      </c>
      <c r="F449" s="253">
        <v>30.0</v>
      </c>
      <c r="G449" s="235">
        <v>37.0</v>
      </c>
      <c r="H449" s="236">
        <v>2.7258203E7</v>
      </c>
      <c r="I449" s="16">
        <v>74.0</v>
      </c>
      <c r="J449" s="11">
        <v>0.0</v>
      </c>
      <c r="K449" s="11" t="str">
        <f t="shared" si="1"/>
        <v>00370027258203740</v>
      </c>
      <c r="L449" s="238">
        <v>-5670.39</v>
      </c>
      <c r="M449" s="254">
        <v>82814.0</v>
      </c>
      <c r="N449" s="16">
        <v>57.0</v>
      </c>
      <c r="O449" s="22">
        <v>30.0</v>
      </c>
      <c r="P449" s="17">
        <v>10.0</v>
      </c>
      <c r="Q449" s="11">
        <v>3.0613972E7</v>
      </c>
      <c r="R449" s="11">
        <v>7.0</v>
      </c>
      <c r="S449" s="24" t="s">
        <v>29</v>
      </c>
      <c r="T449" s="249" t="s">
        <v>5738</v>
      </c>
      <c r="U449" s="17">
        <v>38.0</v>
      </c>
      <c r="V449" s="16">
        <v>11.0</v>
      </c>
      <c r="W449" s="16">
        <v>12.0</v>
      </c>
      <c r="X449" s="50">
        <v>80116.0</v>
      </c>
      <c r="Y449" s="250">
        <v>8243.0</v>
      </c>
    </row>
    <row r="450">
      <c r="A450" s="11">
        <v>15.0</v>
      </c>
      <c r="B450" s="11">
        <v>49.0</v>
      </c>
      <c r="C450" s="253">
        <v>13.0</v>
      </c>
      <c r="D450" s="235">
        <v>173.0</v>
      </c>
      <c r="E450" s="235">
        <v>173.0</v>
      </c>
      <c r="F450" s="253">
        <v>13.0</v>
      </c>
      <c r="G450" s="235">
        <v>173.0</v>
      </c>
      <c r="H450" s="236">
        <v>9.7136669E7</v>
      </c>
      <c r="I450" s="16">
        <v>14.0</v>
      </c>
      <c r="J450" s="11">
        <v>0.0</v>
      </c>
      <c r="K450" s="11" t="str">
        <f t="shared" si="1"/>
        <v>01730097136669140</v>
      </c>
      <c r="L450" s="238">
        <v>8246.17</v>
      </c>
      <c r="M450" s="254">
        <v>92513.0</v>
      </c>
      <c r="N450" s="16">
        <v>39.0</v>
      </c>
      <c r="O450" s="22">
        <v>55.0</v>
      </c>
      <c r="P450" s="17">
        <v>51.0</v>
      </c>
      <c r="Q450" s="11">
        <v>2.504029E7</v>
      </c>
      <c r="R450" s="11">
        <v>1.0</v>
      </c>
      <c r="S450" s="24" t="s">
        <v>48</v>
      </c>
      <c r="T450" s="249" t="s">
        <v>5739</v>
      </c>
      <c r="U450" s="17">
        <v>34.0</v>
      </c>
      <c r="V450" s="16">
        <v>27.0</v>
      </c>
      <c r="W450" s="16">
        <v>95.0</v>
      </c>
      <c r="X450" s="50">
        <v>70920.0</v>
      </c>
      <c r="Y450" s="250">
        <v>7330.0</v>
      </c>
    </row>
    <row r="451">
      <c r="A451" s="11">
        <v>10.0</v>
      </c>
      <c r="B451" s="11">
        <v>29.0</v>
      </c>
      <c r="C451" s="253">
        <v>46.0</v>
      </c>
      <c r="D451" s="235">
        <v>49.0</v>
      </c>
      <c r="E451" s="235">
        <v>49.0</v>
      </c>
      <c r="F451" s="253">
        <v>46.0</v>
      </c>
      <c r="G451" s="235">
        <v>49.0</v>
      </c>
      <c r="H451" s="236">
        <v>6.2588952E7</v>
      </c>
      <c r="I451" s="16">
        <v>80.0</v>
      </c>
      <c r="J451" s="11">
        <v>8.0</v>
      </c>
      <c r="K451" s="11" t="str">
        <f t="shared" si="1"/>
        <v>00490062588952808</v>
      </c>
      <c r="L451" s="238">
        <v>414698.8</v>
      </c>
      <c r="M451" s="254">
        <v>110521.0</v>
      </c>
      <c r="N451" s="16">
        <v>52.0</v>
      </c>
      <c r="O451" s="22">
        <v>23.0</v>
      </c>
      <c r="P451" s="17">
        <v>10.0</v>
      </c>
      <c r="Q451" s="11">
        <v>5.6073254E7</v>
      </c>
      <c r="R451" s="11">
        <v>0.0</v>
      </c>
      <c r="S451" s="24" t="s">
        <v>39</v>
      </c>
      <c r="T451" s="249" t="s">
        <v>5740</v>
      </c>
      <c r="U451" s="17">
        <v>41.0</v>
      </c>
      <c r="V451" s="16">
        <v>47.0</v>
      </c>
      <c r="W451" s="16">
        <v>41.0</v>
      </c>
      <c r="X451" s="50">
        <v>80522.0</v>
      </c>
      <c r="Y451" s="250">
        <v>2560.0</v>
      </c>
    </row>
    <row r="452">
      <c r="A452" s="11">
        <v>15.0</v>
      </c>
      <c r="B452" s="11">
        <v>49.0</v>
      </c>
      <c r="C452" s="253">
        <v>19.0</v>
      </c>
      <c r="D452" s="235">
        <v>191.0</v>
      </c>
      <c r="E452" s="235">
        <v>191.0</v>
      </c>
      <c r="F452" s="253">
        <v>19.0</v>
      </c>
      <c r="G452" s="235">
        <v>191.0</v>
      </c>
      <c r="H452" s="236">
        <v>6.0655203E7</v>
      </c>
      <c r="I452" s="16">
        <v>7.0</v>
      </c>
      <c r="J452" s="11">
        <v>5.0</v>
      </c>
      <c r="K452" s="11" t="str">
        <f t="shared" si="1"/>
        <v>01910060655203075</v>
      </c>
      <c r="L452" s="238">
        <v>2851.83</v>
      </c>
      <c r="M452" s="254">
        <v>92220.0</v>
      </c>
      <c r="N452" s="16">
        <v>30.0</v>
      </c>
      <c r="O452" s="22">
        <v>22.0</v>
      </c>
      <c r="P452" s="17">
        <v>71.0</v>
      </c>
      <c r="Q452" s="11">
        <v>6.8964889E7</v>
      </c>
      <c r="R452" s="11">
        <v>5.0</v>
      </c>
      <c r="S452" s="24" t="s">
        <v>48</v>
      </c>
      <c r="T452" s="249" t="s">
        <v>5741</v>
      </c>
      <c r="U452" s="17">
        <v>85.0</v>
      </c>
      <c r="V452" s="16">
        <v>6.0</v>
      </c>
      <c r="W452" s="16">
        <v>82.0</v>
      </c>
      <c r="X452" s="50">
        <v>42114.0</v>
      </c>
      <c r="Y452" s="250">
        <v>3574.0</v>
      </c>
    </row>
    <row r="453">
      <c r="A453" s="11">
        <v>15.0</v>
      </c>
      <c r="B453" s="11">
        <v>49.0</v>
      </c>
      <c r="C453" s="253">
        <v>39.0</v>
      </c>
      <c r="D453" s="235">
        <v>139.0</v>
      </c>
      <c r="E453" s="235">
        <v>139.0</v>
      </c>
      <c r="F453" s="253">
        <v>39.0</v>
      </c>
      <c r="G453" s="235">
        <v>139.0</v>
      </c>
      <c r="H453" s="236">
        <v>6.6319557E7</v>
      </c>
      <c r="I453" s="16">
        <v>25.0</v>
      </c>
      <c r="J453" s="11">
        <v>3.0</v>
      </c>
      <c r="K453" s="11" t="str">
        <f t="shared" si="1"/>
        <v>01390066319557253</v>
      </c>
      <c r="L453" s="238">
        <v>81859.45</v>
      </c>
      <c r="M453" s="254">
        <v>40921.0</v>
      </c>
      <c r="N453" s="16">
        <v>3.0</v>
      </c>
      <c r="O453" s="22">
        <v>40.0</v>
      </c>
      <c r="P453" s="17">
        <v>10.0</v>
      </c>
      <c r="Q453" s="11">
        <v>3.7430712E7</v>
      </c>
      <c r="R453" s="11">
        <v>5.0</v>
      </c>
      <c r="S453" s="24" t="s">
        <v>29</v>
      </c>
      <c r="T453" s="249" t="s">
        <v>5742</v>
      </c>
      <c r="U453" s="17">
        <v>45.0</v>
      </c>
      <c r="V453" s="16">
        <v>79.0</v>
      </c>
      <c r="W453" s="16">
        <v>15.0</v>
      </c>
      <c r="X453" s="50">
        <v>51222.0</v>
      </c>
      <c r="Y453" s="250">
        <v>1887.0</v>
      </c>
    </row>
    <row r="454">
      <c r="A454" s="11">
        <v>18.0</v>
      </c>
      <c r="B454" s="11">
        <v>49.0</v>
      </c>
      <c r="C454" s="253">
        <v>31.0</v>
      </c>
      <c r="D454" s="235">
        <v>25.0</v>
      </c>
      <c r="E454" s="235">
        <v>25.0</v>
      </c>
      <c r="F454" s="253">
        <v>31.0</v>
      </c>
      <c r="G454" s="235">
        <v>25.0</v>
      </c>
      <c r="H454" s="236">
        <v>6.3639206E7</v>
      </c>
      <c r="I454" s="16">
        <v>2.0</v>
      </c>
      <c r="J454" s="11">
        <v>8.0</v>
      </c>
      <c r="K454" s="11" t="str">
        <f t="shared" si="1"/>
        <v>00250063639206028</v>
      </c>
      <c r="L454" s="238">
        <v>3253.75</v>
      </c>
      <c r="M454" s="254">
        <v>22823.0</v>
      </c>
      <c r="N454" s="16">
        <v>13.0</v>
      </c>
      <c r="O454" s="22">
        <v>37.0</v>
      </c>
      <c r="P454" s="17">
        <v>71.0</v>
      </c>
      <c r="Q454" s="11">
        <v>3.593764E7</v>
      </c>
      <c r="R454" s="11">
        <v>5.0</v>
      </c>
      <c r="S454" s="24" t="s">
        <v>29</v>
      </c>
      <c r="T454" s="249" t="s">
        <v>5743</v>
      </c>
      <c r="U454" s="17">
        <v>89.0</v>
      </c>
      <c r="V454" s="16">
        <v>69.0</v>
      </c>
      <c r="W454" s="16">
        <v>42.0</v>
      </c>
      <c r="X454" s="50">
        <v>22222.0</v>
      </c>
      <c r="Y454" s="250">
        <v>73.0</v>
      </c>
    </row>
    <row r="455">
      <c r="A455" s="11">
        <v>12.0</v>
      </c>
      <c r="B455" s="11">
        <v>49.0</v>
      </c>
      <c r="C455" s="253">
        <v>18.0</v>
      </c>
      <c r="D455" s="235">
        <v>131.0</v>
      </c>
      <c r="E455" s="235">
        <v>131.0</v>
      </c>
      <c r="F455" s="253">
        <v>18.0</v>
      </c>
      <c r="G455" s="235">
        <v>131.0</v>
      </c>
      <c r="H455" s="236">
        <v>6.5182205E7</v>
      </c>
      <c r="I455" s="16">
        <v>66.0</v>
      </c>
      <c r="J455" s="11">
        <v>8.0</v>
      </c>
      <c r="K455" s="11" t="str">
        <f t="shared" si="1"/>
        <v>01310065182205668</v>
      </c>
      <c r="L455" s="238">
        <v>20084.45</v>
      </c>
      <c r="M455" s="254">
        <v>42418.0</v>
      </c>
      <c r="N455" s="16">
        <v>85.0</v>
      </c>
      <c r="O455" s="22">
        <v>13.0</v>
      </c>
      <c r="P455" s="17">
        <v>51.0</v>
      </c>
      <c r="Q455" s="11">
        <v>3.3082522E7</v>
      </c>
      <c r="R455" s="11">
        <v>7.0</v>
      </c>
      <c r="S455" s="24" t="s">
        <v>29</v>
      </c>
      <c r="T455" s="249" t="s">
        <v>5744</v>
      </c>
      <c r="U455" s="17">
        <v>52.0</v>
      </c>
      <c r="V455" s="16">
        <v>81.0</v>
      </c>
      <c r="W455" s="16">
        <v>78.0</v>
      </c>
      <c r="X455" s="50">
        <v>11715.0</v>
      </c>
      <c r="Y455" s="250">
        <v>3935.0</v>
      </c>
    </row>
    <row r="456">
      <c r="A456" s="11">
        <v>20.0</v>
      </c>
      <c r="B456" s="11">
        <v>29.0</v>
      </c>
      <c r="C456" s="253">
        <v>31.0</v>
      </c>
      <c r="D456" s="235">
        <v>57.0</v>
      </c>
      <c r="E456" s="235">
        <v>57.0</v>
      </c>
      <c r="F456" s="253">
        <v>31.0</v>
      </c>
      <c r="G456" s="235">
        <v>57.0</v>
      </c>
      <c r="H456" s="236">
        <v>7.3503845E7</v>
      </c>
      <c r="I456" s="16">
        <v>28.0</v>
      </c>
      <c r="J456" s="11">
        <v>5.0</v>
      </c>
      <c r="K456" s="11" t="str">
        <f t="shared" si="1"/>
        <v>00570073503845285</v>
      </c>
      <c r="L456" s="238">
        <v>81344.5</v>
      </c>
      <c r="M456" s="254">
        <v>70213.0</v>
      </c>
      <c r="N456" s="16">
        <v>90.0</v>
      </c>
      <c r="O456" s="22">
        <v>42.0</v>
      </c>
      <c r="P456" s="17">
        <v>92.0</v>
      </c>
      <c r="Q456" s="11">
        <v>7.87894E7</v>
      </c>
      <c r="R456" s="11">
        <v>7.0</v>
      </c>
      <c r="S456" s="24" t="s">
        <v>5292</v>
      </c>
      <c r="T456" s="249" t="s">
        <v>5745</v>
      </c>
      <c r="U456" s="17">
        <v>49.0</v>
      </c>
      <c r="V456" s="16">
        <v>21.0</v>
      </c>
      <c r="W456" s="16">
        <v>39.0</v>
      </c>
      <c r="X456" s="50">
        <v>80617.0</v>
      </c>
      <c r="Y456" s="250">
        <v>8665.0</v>
      </c>
    </row>
    <row r="457">
      <c r="A457" s="11">
        <v>16.0</v>
      </c>
      <c r="B457" s="11">
        <v>29.0</v>
      </c>
      <c r="C457" s="253">
        <v>40.0</v>
      </c>
      <c r="D457" s="235">
        <v>73.0</v>
      </c>
      <c r="E457" s="235">
        <v>73.0</v>
      </c>
      <c r="F457" s="253">
        <v>40.0</v>
      </c>
      <c r="G457" s="235">
        <v>73.0</v>
      </c>
      <c r="H457" s="236">
        <v>9.2420308E7</v>
      </c>
      <c r="I457" s="16">
        <v>33.0</v>
      </c>
      <c r="J457" s="11">
        <v>5.0</v>
      </c>
      <c r="K457" s="11" t="str">
        <f t="shared" si="1"/>
        <v>00730092420308335</v>
      </c>
      <c r="L457" s="238">
        <v>91878.71</v>
      </c>
      <c r="M457" s="254">
        <v>52521.0</v>
      </c>
      <c r="N457" s="16">
        <v>88.0</v>
      </c>
      <c r="O457" s="22">
        <v>50.0</v>
      </c>
      <c r="P457" s="17">
        <v>10.0</v>
      </c>
      <c r="Q457" s="11">
        <v>1.8302428E7</v>
      </c>
      <c r="R457" s="11">
        <v>1.0</v>
      </c>
      <c r="S457" s="24" t="s">
        <v>29</v>
      </c>
      <c r="T457" s="249" t="s">
        <v>5746</v>
      </c>
      <c r="U457" s="17">
        <v>58.0</v>
      </c>
      <c r="V457" s="16">
        <v>33.0</v>
      </c>
      <c r="W457" s="16">
        <v>37.0</v>
      </c>
      <c r="X457" s="50">
        <v>90618.0</v>
      </c>
      <c r="Y457" s="250">
        <v>3998.0</v>
      </c>
    </row>
    <row r="458">
      <c r="A458" s="11">
        <v>15.0</v>
      </c>
      <c r="B458" s="11">
        <v>29.0</v>
      </c>
      <c r="C458" s="253">
        <v>20.0</v>
      </c>
      <c r="D458" s="235">
        <v>1.0</v>
      </c>
      <c r="E458" s="235">
        <v>1.0</v>
      </c>
      <c r="F458" s="253">
        <v>20.0</v>
      </c>
      <c r="G458" s="235">
        <v>1.0</v>
      </c>
      <c r="H458" s="236">
        <v>4.5502776E7</v>
      </c>
      <c r="I458" s="16">
        <v>46.0</v>
      </c>
      <c r="J458" s="11">
        <v>1.0</v>
      </c>
      <c r="K458" s="11" t="str">
        <f t="shared" si="1"/>
        <v>00010045502776461</v>
      </c>
      <c r="L458" s="238">
        <v>-52175.69</v>
      </c>
      <c r="M458" s="254">
        <v>21214.0</v>
      </c>
      <c r="N458" s="16">
        <v>31.0</v>
      </c>
      <c r="O458" s="22">
        <v>38.0</v>
      </c>
      <c r="P458" s="17">
        <v>72.0</v>
      </c>
      <c r="Q458" s="11">
        <v>2.9802734E7</v>
      </c>
      <c r="R458" s="11">
        <v>2.0</v>
      </c>
      <c r="S458" s="24" t="s">
        <v>29</v>
      </c>
      <c r="T458" s="249" t="s">
        <v>5747</v>
      </c>
      <c r="U458" s="17">
        <v>3.0</v>
      </c>
      <c r="V458" s="16">
        <v>48.0</v>
      </c>
      <c r="W458" s="16">
        <v>26.0</v>
      </c>
      <c r="X458" s="50">
        <v>52318.0</v>
      </c>
      <c r="Y458" s="250">
        <v>6488.0</v>
      </c>
    </row>
    <row r="459">
      <c r="A459" s="11">
        <v>20.0</v>
      </c>
      <c r="B459" s="11">
        <v>91.0</v>
      </c>
      <c r="C459" s="253">
        <v>8.0</v>
      </c>
      <c r="D459" s="235">
        <v>35.0</v>
      </c>
      <c r="E459" s="235">
        <v>35.0</v>
      </c>
      <c r="F459" s="253">
        <v>8.0</v>
      </c>
      <c r="G459" s="235">
        <v>35.0</v>
      </c>
      <c r="H459" s="236">
        <v>4.9309745E7</v>
      </c>
      <c r="I459" s="16">
        <v>97.0</v>
      </c>
      <c r="J459" s="11">
        <v>4.0</v>
      </c>
      <c r="K459" s="11" t="str">
        <f t="shared" si="1"/>
        <v>00350049309745974</v>
      </c>
      <c r="L459" s="238">
        <v>5656.5</v>
      </c>
      <c r="M459" s="254">
        <v>32922.0</v>
      </c>
      <c r="N459" s="16">
        <v>93.0</v>
      </c>
      <c r="O459" s="22">
        <v>6.0</v>
      </c>
      <c r="P459" s="17">
        <v>72.0</v>
      </c>
      <c r="Q459" s="11">
        <v>1.5921838E7</v>
      </c>
      <c r="R459" s="11">
        <v>3.0</v>
      </c>
      <c r="S459" s="24" t="s">
        <v>29</v>
      </c>
      <c r="T459" s="249" t="s">
        <v>5748</v>
      </c>
      <c r="U459" s="17">
        <v>5.0</v>
      </c>
      <c r="V459" s="16">
        <v>45.0</v>
      </c>
      <c r="W459" s="16">
        <v>79.0</v>
      </c>
      <c r="X459" s="50">
        <v>42221.0</v>
      </c>
      <c r="Y459" s="250">
        <v>7573.0</v>
      </c>
    </row>
    <row r="460">
      <c r="A460" s="11">
        <v>15.0</v>
      </c>
      <c r="B460" s="11">
        <v>29.0</v>
      </c>
      <c r="C460" s="253">
        <v>24.0</v>
      </c>
      <c r="D460" s="235">
        <v>3.0</v>
      </c>
      <c r="E460" s="235">
        <v>3.0</v>
      </c>
      <c r="F460" s="253">
        <v>24.0</v>
      </c>
      <c r="G460" s="235">
        <v>3.0</v>
      </c>
      <c r="H460" s="236">
        <v>4.0930994E7</v>
      </c>
      <c r="I460" s="16">
        <v>50.0</v>
      </c>
      <c r="J460" s="11">
        <v>5.0</v>
      </c>
      <c r="K460" s="11" t="str">
        <f t="shared" si="1"/>
        <v>00030040930994505</v>
      </c>
      <c r="L460" s="238">
        <v>78299.94</v>
      </c>
      <c r="M460" s="254">
        <v>52520.0</v>
      </c>
      <c r="N460" s="16">
        <v>75.0</v>
      </c>
      <c r="O460" s="22">
        <v>15.0</v>
      </c>
      <c r="P460" s="17">
        <v>51.0</v>
      </c>
      <c r="Q460" s="11">
        <v>9.0028857E7</v>
      </c>
      <c r="R460" s="11">
        <v>8.0</v>
      </c>
      <c r="S460" s="24" t="s">
        <v>48</v>
      </c>
      <c r="T460" s="249" t="s">
        <v>5749</v>
      </c>
      <c r="U460" s="17">
        <v>59.0</v>
      </c>
      <c r="V460" s="16">
        <v>77.0</v>
      </c>
      <c r="W460" s="16">
        <v>53.0</v>
      </c>
      <c r="X460" s="50">
        <v>110821.0</v>
      </c>
      <c r="Y460" s="250">
        <v>5529.0</v>
      </c>
    </row>
    <row r="461">
      <c r="A461" s="11">
        <v>19.0</v>
      </c>
      <c r="B461" s="11">
        <v>91.0</v>
      </c>
      <c r="C461" s="253">
        <v>42.0</v>
      </c>
      <c r="D461" s="235">
        <v>13.0</v>
      </c>
      <c r="E461" s="235">
        <v>13.0</v>
      </c>
      <c r="F461" s="253">
        <v>42.0</v>
      </c>
      <c r="G461" s="235">
        <v>13.0</v>
      </c>
      <c r="H461" s="236">
        <v>3.7400581E7</v>
      </c>
      <c r="I461" s="16">
        <v>94.0</v>
      </c>
      <c r="J461" s="11">
        <v>1.0</v>
      </c>
      <c r="K461" s="11" t="str">
        <f t="shared" si="1"/>
        <v>00130037400581941</v>
      </c>
      <c r="L461" s="238">
        <v>572943.42</v>
      </c>
      <c r="M461" s="254">
        <v>81514.0</v>
      </c>
      <c r="N461" s="16">
        <v>93.0</v>
      </c>
      <c r="O461" s="22">
        <v>18.0</v>
      </c>
      <c r="P461" s="17">
        <v>31.0</v>
      </c>
      <c r="Q461" s="11">
        <v>4.1528624E7</v>
      </c>
      <c r="R461" s="11">
        <v>5.0</v>
      </c>
      <c r="S461" s="24" t="s">
        <v>29</v>
      </c>
      <c r="T461" s="249" t="s">
        <v>5750</v>
      </c>
      <c r="U461" s="17">
        <v>11.0</v>
      </c>
      <c r="V461" s="16">
        <v>29.0</v>
      </c>
      <c r="W461" s="16">
        <v>28.0</v>
      </c>
      <c r="X461" s="50">
        <v>121514.0</v>
      </c>
      <c r="Y461" s="250">
        <v>9643.0</v>
      </c>
    </row>
    <row r="462">
      <c r="A462" s="11">
        <v>18.0</v>
      </c>
      <c r="B462" s="11">
        <v>29.0</v>
      </c>
      <c r="C462" s="253">
        <v>45.0</v>
      </c>
      <c r="D462" s="235">
        <v>89.0</v>
      </c>
      <c r="E462" s="235">
        <v>89.0</v>
      </c>
      <c r="F462" s="253">
        <v>45.0</v>
      </c>
      <c r="G462" s="235">
        <v>89.0</v>
      </c>
      <c r="H462" s="236">
        <v>2.1889238E7</v>
      </c>
      <c r="I462" s="16">
        <v>51.0</v>
      </c>
      <c r="J462" s="11">
        <v>1.0</v>
      </c>
      <c r="K462" s="11" t="str">
        <f t="shared" si="1"/>
        <v>00890021889238511</v>
      </c>
      <c r="L462" s="238">
        <v>85988.78</v>
      </c>
      <c r="M462" s="254">
        <v>82823.0</v>
      </c>
      <c r="N462" s="16">
        <v>48.0</v>
      </c>
      <c r="O462" s="22">
        <v>33.0</v>
      </c>
      <c r="P462" s="17">
        <v>72.0</v>
      </c>
      <c r="Q462" s="11">
        <v>9.0193552E7</v>
      </c>
      <c r="R462" s="11">
        <v>6.0</v>
      </c>
      <c r="S462" s="24" t="s">
        <v>39</v>
      </c>
      <c r="T462" s="249" t="s">
        <v>5751</v>
      </c>
      <c r="U462" s="17">
        <v>7.0</v>
      </c>
      <c r="V462" s="16">
        <v>52.0</v>
      </c>
      <c r="W462" s="16">
        <v>11.0</v>
      </c>
      <c r="X462" s="50">
        <v>21813.0</v>
      </c>
      <c r="Y462" s="250">
        <v>7221.0</v>
      </c>
    </row>
    <row r="463">
      <c r="A463" s="11">
        <v>15.0</v>
      </c>
      <c r="B463" s="11">
        <v>29.0</v>
      </c>
      <c r="C463" s="253">
        <v>39.0</v>
      </c>
      <c r="D463" s="235">
        <v>137.0</v>
      </c>
      <c r="E463" s="235">
        <v>137.0</v>
      </c>
      <c r="F463" s="253">
        <v>39.0</v>
      </c>
      <c r="G463" s="235">
        <v>137.0</v>
      </c>
      <c r="H463" s="236">
        <v>2.1543199E7</v>
      </c>
      <c r="I463" s="16">
        <v>88.0</v>
      </c>
      <c r="J463" s="11">
        <v>9.0</v>
      </c>
      <c r="K463" s="11" t="str">
        <f t="shared" si="1"/>
        <v>01370021543199889</v>
      </c>
      <c r="L463" s="238">
        <v>-75153.75</v>
      </c>
      <c r="M463" s="254">
        <v>71818.0</v>
      </c>
      <c r="N463" s="16">
        <v>95.0</v>
      </c>
      <c r="O463" s="22">
        <v>10.0</v>
      </c>
      <c r="P463" s="17">
        <v>92.0</v>
      </c>
      <c r="Q463" s="11">
        <v>2.0949447E7</v>
      </c>
      <c r="R463" s="11">
        <v>6.0</v>
      </c>
      <c r="S463" s="24" t="s">
        <v>39</v>
      </c>
      <c r="T463" s="249" t="s">
        <v>5752</v>
      </c>
      <c r="U463" s="17">
        <v>59.0</v>
      </c>
      <c r="V463" s="16">
        <v>86.0</v>
      </c>
      <c r="W463" s="16">
        <v>72.0</v>
      </c>
      <c r="X463" s="50">
        <v>81720.0</v>
      </c>
      <c r="Y463" s="250">
        <v>1944.0</v>
      </c>
    </row>
    <row r="464">
      <c r="A464" s="11">
        <v>12.0</v>
      </c>
      <c r="B464" s="11">
        <v>91.0</v>
      </c>
      <c r="C464" s="253">
        <v>29.0</v>
      </c>
      <c r="D464" s="235">
        <v>181.0</v>
      </c>
      <c r="E464" s="235">
        <v>181.0</v>
      </c>
      <c r="F464" s="253">
        <v>29.0</v>
      </c>
      <c r="G464" s="235">
        <v>181.0</v>
      </c>
      <c r="H464" s="236">
        <v>3.9582715E7</v>
      </c>
      <c r="I464" s="16">
        <v>73.0</v>
      </c>
      <c r="J464" s="11">
        <v>4.0</v>
      </c>
      <c r="K464" s="11" t="str">
        <f t="shared" si="1"/>
        <v>01810039582715734</v>
      </c>
      <c r="L464" s="238">
        <v>304.1</v>
      </c>
      <c r="M464" s="254">
        <v>62723.0</v>
      </c>
      <c r="N464" s="16">
        <v>33.0</v>
      </c>
      <c r="O464" s="22">
        <v>32.0</v>
      </c>
      <c r="P464" s="17">
        <v>72.0</v>
      </c>
      <c r="Q464" s="11">
        <v>4.7282119E7</v>
      </c>
      <c r="R464" s="11">
        <v>3.0</v>
      </c>
      <c r="S464" s="24" t="s">
        <v>29</v>
      </c>
      <c r="T464" s="249" t="s">
        <v>5753</v>
      </c>
      <c r="U464" s="17">
        <v>13.0</v>
      </c>
      <c r="V464" s="16">
        <v>50.0</v>
      </c>
      <c r="W464" s="16">
        <v>77.0</v>
      </c>
      <c r="X464" s="50">
        <v>50318.0</v>
      </c>
      <c r="Y464" s="250">
        <v>3435.0</v>
      </c>
    </row>
    <row r="465">
      <c r="A465" s="11">
        <v>16.0</v>
      </c>
      <c r="B465" s="11">
        <v>91.0</v>
      </c>
      <c r="C465" s="253">
        <v>36.0</v>
      </c>
      <c r="D465" s="235">
        <v>63.0</v>
      </c>
      <c r="E465" s="235">
        <v>63.0</v>
      </c>
      <c r="F465" s="253">
        <v>36.0</v>
      </c>
      <c r="G465" s="235">
        <v>63.0</v>
      </c>
      <c r="H465" s="236">
        <v>6.6796722E7</v>
      </c>
      <c r="I465" s="16">
        <v>25.0</v>
      </c>
      <c r="J465" s="11">
        <v>0.0</v>
      </c>
      <c r="K465" s="11" t="str">
        <f t="shared" si="1"/>
        <v>00630066796722250</v>
      </c>
      <c r="L465" s="238">
        <v>857.58</v>
      </c>
      <c r="M465" s="254">
        <v>40817.0</v>
      </c>
      <c r="N465" s="16">
        <v>20.0</v>
      </c>
      <c r="O465" s="22">
        <v>4.0</v>
      </c>
      <c r="P465" s="17">
        <v>31.0</v>
      </c>
      <c r="Q465" s="11">
        <v>6.2383293E7</v>
      </c>
      <c r="R465" s="11">
        <v>4.0</v>
      </c>
      <c r="S465" s="24" t="s">
        <v>29</v>
      </c>
      <c r="T465" s="249" t="s">
        <v>5754</v>
      </c>
      <c r="U465" s="17">
        <v>18.0</v>
      </c>
      <c r="V465" s="16">
        <v>93.0</v>
      </c>
      <c r="W465" s="16">
        <v>86.0</v>
      </c>
      <c r="X465" s="50">
        <v>73122.0</v>
      </c>
      <c r="Y465" s="250">
        <v>26.0</v>
      </c>
    </row>
    <row r="466">
      <c r="A466" s="11">
        <v>20.0</v>
      </c>
      <c r="B466" s="11">
        <v>91.0</v>
      </c>
      <c r="C466" s="253">
        <v>48.0</v>
      </c>
      <c r="D466" s="235">
        <v>13.0</v>
      </c>
      <c r="E466" s="235">
        <v>13.0</v>
      </c>
      <c r="F466" s="253">
        <v>48.0</v>
      </c>
      <c r="G466" s="235">
        <v>13.0</v>
      </c>
      <c r="H466" s="236">
        <v>8.2311638E7</v>
      </c>
      <c r="I466" s="16">
        <v>43.0</v>
      </c>
      <c r="J466" s="11">
        <v>7.0</v>
      </c>
      <c r="K466" s="11" t="str">
        <f t="shared" si="1"/>
        <v>00130082311638437</v>
      </c>
      <c r="L466" s="238">
        <v>-6824.3</v>
      </c>
      <c r="M466" s="254">
        <v>120113.0</v>
      </c>
      <c r="N466" s="16">
        <v>24.0</v>
      </c>
      <c r="O466" s="22">
        <v>34.0</v>
      </c>
      <c r="P466" s="17">
        <v>92.0</v>
      </c>
      <c r="Q466" s="11">
        <v>7.0566516E7</v>
      </c>
      <c r="R466" s="11">
        <v>0.0</v>
      </c>
      <c r="S466" s="24" t="s">
        <v>5292</v>
      </c>
      <c r="T466" s="249" t="s">
        <v>5755</v>
      </c>
      <c r="U466" s="17">
        <v>63.0</v>
      </c>
      <c r="V466" s="16">
        <v>86.0</v>
      </c>
      <c r="W466" s="16">
        <v>28.0</v>
      </c>
      <c r="X466" s="50">
        <v>81818.0</v>
      </c>
      <c r="Y466" s="250">
        <v>1621.0</v>
      </c>
    </row>
    <row r="467">
      <c r="A467" s="11">
        <v>16.0</v>
      </c>
      <c r="B467" s="11">
        <v>91.0</v>
      </c>
      <c r="C467" s="253">
        <v>12.0</v>
      </c>
      <c r="D467" s="235">
        <v>107.0</v>
      </c>
      <c r="E467" s="235">
        <v>107.0</v>
      </c>
      <c r="F467" s="253">
        <v>12.0</v>
      </c>
      <c r="G467" s="235">
        <v>107.0</v>
      </c>
      <c r="H467" s="236">
        <v>5.5331585E7</v>
      </c>
      <c r="I467" s="16">
        <v>41.0</v>
      </c>
      <c r="J467" s="11">
        <v>5.0</v>
      </c>
      <c r="K467" s="11" t="str">
        <f t="shared" si="1"/>
        <v>01070055331585415</v>
      </c>
      <c r="L467" s="238">
        <v>232084.89</v>
      </c>
      <c r="M467" s="254">
        <v>120916.0</v>
      </c>
      <c r="N467" s="16">
        <v>78.0</v>
      </c>
      <c r="O467" s="22">
        <v>37.0</v>
      </c>
      <c r="P467" s="17">
        <v>72.0</v>
      </c>
      <c r="Q467" s="11">
        <v>1.4717842E7</v>
      </c>
      <c r="R467" s="11">
        <v>6.0</v>
      </c>
      <c r="S467" s="24" t="s">
        <v>29</v>
      </c>
      <c r="T467" s="249" t="s">
        <v>5756</v>
      </c>
      <c r="U467" s="17">
        <v>18.0</v>
      </c>
      <c r="V467" s="16">
        <v>24.0</v>
      </c>
      <c r="W467" s="16">
        <v>82.0</v>
      </c>
      <c r="X467" s="50">
        <v>121213.0</v>
      </c>
      <c r="Y467" s="250">
        <v>3398.0</v>
      </c>
    </row>
    <row r="468">
      <c r="A468" s="11">
        <v>20.0</v>
      </c>
      <c r="B468" s="11">
        <v>91.0</v>
      </c>
      <c r="C468" s="253">
        <v>28.0</v>
      </c>
      <c r="D468" s="235">
        <v>125.0</v>
      </c>
      <c r="E468" s="235">
        <v>125.0</v>
      </c>
      <c r="F468" s="253">
        <v>28.0</v>
      </c>
      <c r="G468" s="235">
        <v>125.0</v>
      </c>
      <c r="H468" s="236">
        <v>7.0664923E7</v>
      </c>
      <c r="I468" s="16">
        <v>36.0</v>
      </c>
      <c r="J468" s="11">
        <v>6.0</v>
      </c>
      <c r="K468" s="11" t="str">
        <f t="shared" si="1"/>
        <v>01250070664923366</v>
      </c>
      <c r="L468" s="238">
        <v>303.14</v>
      </c>
      <c r="M468" s="254">
        <v>30723.0</v>
      </c>
      <c r="N468" s="16">
        <v>50.0</v>
      </c>
      <c r="O468" s="22">
        <v>56.0</v>
      </c>
      <c r="P468" s="17">
        <v>31.0</v>
      </c>
      <c r="Q468" s="11">
        <v>5.7242084E7</v>
      </c>
      <c r="R468" s="11">
        <v>4.0</v>
      </c>
      <c r="S468" s="24" t="s">
        <v>39</v>
      </c>
      <c r="T468" s="249" t="s">
        <v>5757</v>
      </c>
      <c r="U468" s="17">
        <v>23.0</v>
      </c>
      <c r="V468" s="16">
        <v>46.0</v>
      </c>
      <c r="W468" s="16">
        <v>30.0</v>
      </c>
      <c r="X468" s="50">
        <v>111413.0</v>
      </c>
      <c r="Y468" s="250">
        <v>2567.0</v>
      </c>
    </row>
    <row r="469">
      <c r="A469" s="11">
        <v>13.0</v>
      </c>
      <c r="B469" s="11">
        <v>91.0</v>
      </c>
      <c r="C469" s="253">
        <v>20.0</v>
      </c>
      <c r="D469" s="235">
        <v>153.0</v>
      </c>
      <c r="E469" s="235">
        <v>153.0</v>
      </c>
      <c r="F469" s="253">
        <v>20.0</v>
      </c>
      <c r="G469" s="235">
        <v>153.0</v>
      </c>
      <c r="H469" s="236">
        <v>1.1064457E7</v>
      </c>
      <c r="I469" s="16">
        <v>35.0</v>
      </c>
      <c r="J469" s="11">
        <v>4.0</v>
      </c>
      <c r="K469" s="11" t="str">
        <f t="shared" si="1"/>
        <v>01530011064457354</v>
      </c>
      <c r="L469" s="238">
        <v>74362.44</v>
      </c>
      <c r="M469" s="254">
        <v>52915.0</v>
      </c>
      <c r="N469" s="16">
        <v>39.0</v>
      </c>
      <c r="O469" s="22">
        <v>34.0</v>
      </c>
      <c r="P469" s="17">
        <v>31.0</v>
      </c>
      <c r="Q469" s="11">
        <v>2.7007916E7</v>
      </c>
      <c r="R469" s="11">
        <v>8.0</v>
      </c>
      <c r="S469" s="24" t="s">
        <v>48</v>
      </c>
      <c r="T469" s="249" t="s">
        <v>5758</v>
      </c>
      <c r="U469" s="17">
        <v>24.0</v>
      </c>
      <c r="V469" s="16">
        <v>28.0</v>
      </c>
      <c r="W469" s="16">
        <v>57.0</v>
      </c>
      <c r="X469" s="50">
        <v>112214.0</v>
      </c>
      <c r="Y469" s="250">
        <v>5055.0</v>
      </c>
    </row>
    <row r="470">
      <c r="A470" s="11">
        <v>11.0</v>
      </c>
      <c r="B470" s="11">
        <v>91.0</v>
      </c>
      <c r="C470" s="253">
        <v>26.0</v>
      </c>
      <c r="D470" s="235">
        <v>27.0</v>
      </c>
      <c r="E470" s="235">
        <v>27.0</v>
      </c>
      <c r="F470" s="253">
        <v>26.0</v>
      </c>
      <c r="G470" s="235">
        <v>27.0</v>
      </c>
      <c r="H470" s="236">
        <v>2.8720704E7</v>
      </c>
      <c r="I470" s="16">
        <v>61.0</v>
      </c>
      <c r="J470" s="11">
        <v>3.0</v>
      </c>
      <c r="K470" s="11" t="str">
        <f t="shared" si="1"/>
        <v>00270028720704613</v>
      </c>
      <c r="L470" s="238">
        <v>744.53</v>
      </c>
      <c r="M470" s="254">
        <v>51421.0</v>
      </c>
      <c r="N470" s="16">
        <v>41.0</v>
      </c>
      <c r="O470" s="22">
        <v>46.0</v>
      </c>
      <c r="P470" s="17">
        <v>31.0</v>
      </c>
      <c r="Q470" s="11">
        <v>1.8665059E7</v>
      </c>
      <c r="R470" s="11">
        <v>1.0</v>
      </c>
      <c r="S470" s="24" t="s">
        <v>29</v>
      </c>
      <c r="T470" s="249" t="s">
        <v>5759</v>
      </c>
      <c r="U470" s="17">
        <v>22.0</v>
      </c>
      <c r="V470" s="16">
        <v>86.0</v>
      </c>
      <c r="W470" s="16">
        <v>47.0</v>
      </c>
      <c r="X470" s="50">
        <v>61919.0</v>
      </c>
      <c r="Y470" s="250">
        <v>9195.0</v>
      </c>
    </row>
    <row r="471">
      <c r="A471" s="11">
        <v>19.0</v>
      </c>
      <c r="B471" s="11">
        <v>91.0</v>
      </c>
      <c r="C471" s="253">
        <v>51.0</v>
      </c>
      <c r="D471" s="235">
        <v>19.0</v>
      </c>
      <c r="E471" s="235">
        <v>19.0</v>
      </c>
      <c r="F471" s="253">
        <v>51.0</v>
      </c>
      <c r="G471" s="235">
        <v>19.0</v>
      </c>
      <c r="H471" s="236">
        <v>6.1424589E7</v>
      </c>
      <c r="I471" s="16">
        <v>68.0</v>
      </c>
      <c r="J471" s="11">
        <v>6.0</v>
      </c>
      <c r="K471" s="11" t="str">
        <f t="shared" si="1"/>
        <v>00190061424589686</v>
      </c>
      <c r="L471" s="238">
        <v>574526.21</v>
      </c>
      <c r="M471" s="254">
        <v>111717.0</v>
      </c>
      <c r="N471" s="16">
        <v>27.0</v>
      </c>
      <c r="O471" s="22">
        <v>32.0</v>
      </c>
      <c r="P471" s="17">
        <v>92.0</v>
      </c>
      <c r="Q471" s="11">
        <v>8.9734297E7</v>
      </c>
      <c r="R471" s="11">
        <v>8.0</v>
      </c>
      <c r="S471" s="24" t="s">
        <v>48</v>
      </c>
      <c r="T471" s="249" t="s">
        <v>5760</v>
      </c>
      <c r="U471" s="17">
        <v>70.0</v>
      </c>
      <c r="V471" s="16">
        <v>39.0</v>
      </c>
      <c r="W471" s="16">
        <v>62.0</v>
      </c>
      <c r="X471" s="50">
        <v>100113.0</v>
      </c>
      <c r="Y471" s="250">
        <v>226.0</v>
      </c>
    </row>
    <row r="472">
      <c r="A472" s="11">
        <v>10.0</v>
      </c>
      <c r="B472" s="11">
        <v>91.0</v>
      </c>
      <c r="C472" s="253">
        <v>46.0</v>
      </c>
      <c r="D472" s="235">
        <v>53.0</v>
      </c>
      <c r="E472" s="235">
        <v>53.0</v>
      </c>
      <c r="F472" s="253">
        <v>46.0</v>
      </c>
      <c r="G472" s="235">
        <v>53.0</v>
      </c>
      <c r="H472" s="236">
        <v>1.4622498E7</v>
      </c>
      <c r="I472" s="16">
        <v>33.0</v>
      </c>
      <c r="J472" s="11">
        <v>9.0</v>
      </c>
      <c r="K472" s="11" t="str">
        <f t="shared" si="1"/>
        <v>00530014622498339</v>
      </c>
      <c r="L472" s="238">
        <v>498.4</v>
      </c>
      <c r="M472" s="254">
        <v>11617.0</v>
      </c>
      <c r="N472" s="16">
        <v>38.0</v>
      </c>
      <c r="O472" s="22">
        <v>37.0</v>
      </c>
      <c r="P472" s="17">
        <v>10.0</v>
      </c>
      <c r="Q472" s="11">
        <v>8.805327E7</v>
      </c>
      <c r="R472" s="11">
        <v>6.0</v>
      </c>
      <c r="S472" s="24" t="s">
        <v>5292</v>
      </c>
      <c r="T472" s="249" t="s">
        <v>5761</v>
      </c>
      <c r="U472" s="17">
        <v>79.0</v>
      </c>
      <c r="V472" s="16">
        <v>44.0</v>
      </c>
      <c r="W472" s="16">
        <v>52.0</v>
      </c>
      <c r="X472" s="50">
        <v>60113.0</v>
      </c>
      <c r="Y472" s="250">
        <v>3865.0</v>
      </c>
    </row>
    <row r="473">
      <c r="A473" s="11">
        <v>18.0</v>
      </c>
      <c r="B473" s="11">
        <v>71.0</v>
      </c>
      <c r="C473" s="253">
        <v>13.0</v>
      </c>
      <c r="D473" s="235">
        <v>29.0</v>
      </c>
      <c r="E473" s="235">
        <v>29.0</v>
      </c>
      <c r="F473" s="253">
        <v>13.0</v>
      </c>
      <c r="G473" s="235">
        <v>29.0</v>
      </c>
      <c r="H473" s="236">
        <v>5.6907123E7</v>
      </c>
      <c r="I473" s="16">
        <v>95.0</v>
      </c>
      <c r="J473" s="11">
        <v>0.0</v>
      </c>
      <c r="K473" s="11" t="str">
        <f t="shared" si="1"/>
        <v>00290056907123950</v>
      </c>
      <c r="L473" s="238">
        <v>1072.21</v>
      </c>
      <c r="M473" s="254">
        <v>21723.0</v>
      </c>
      <c r="N473" s="16">
        <v>72.0</v>
      </c>
      <c r="O473" s="22">
        <v>19.0</v>
      </c>
      <c r="P473" s="17">
        <v>92.0</v>
      </c>
      <c r="Q473" s="11">
        <v>1.1786364E7</v>
      </c>
      <c r="R473" s="11">
        <v>7.0</v>
      </c>
      <c r="S473" s="24" t="s">
        <v>48</v>
      </c>
      <c r="T473" s="249" t="s">
        <v>5762</v>
      </c>
      <c r="U473" s="17">
        <v>72.0</v>
      </c>
      <c r="V473" s="16">
        <v>11.0</v>
      </c>
      <c r="W473" s="16">
        <v>17.0</v>
      </c>
      <c r="X473" s="50">
        <v>62518.0</v>
      </c>
      <c r="Y473" s="250">
        <v>6569.0</v>
      </c>
    </row>
    <row r="474">
      <c r="A474" s="11">
        <v>14.0</v>
      </c>
      <c r="B474" s="11">
        <v>71.0</v>
      </c>
      <c r="C474" s="253">
        <v>55.0</v>
      </c>
      <c r="D474" s="235">
        <v>105.0</v>
      </c>
      <c r="E474" s="235">
        <v>105.0</v>
      </c>
      <c r="F474" s="253">
        <v>55.0</v>
      </c>
      <c r="G474" s="235">
        <v>105.0</v>
      </c>
      <c r="H474" s="236">
        <v>1.5421321E7</v>
      </c>
      <c r="I474" s="16">
        <v>42.0</v>
      </c>
      <c r="J474" s="11">
        <v>0.0</v>
      </c>
      <c r="K474" s="11" t="str">
        <f t="shared" si="1"/>
        <v>01050015421321420</v>
      </c>
      <c r="L474" s="238">
        <v>57107.2</v>
      </c>
      <c r="M474" s="254">
        <v>51514.0</v>
      </c>
      <c r="N474" s="16">
        <v>25.0</v>
      </c>
      <c r="O474" s="22">
        <v>23.0</v>
      </c>
      <c r="P474" s="17">
        <v>51.0</v>
      </c>
      <c r="Q474" s="11">
        <v>1.2002776E7</v>
      </c>
      <c r="R474" s="11">
        <v>0.0</v>
      </c>
      <c r="S474" s="24" t="s">
        <v>39</v>
      </c>
      <c r="T474" s="249" t="s">
        <v>5763</v>
      </c>
      <c r="U474" s="17">
        <v>77.0</v>
      </c>
      <c r="V474" s="16">
        <v>95.0</v>
      </c>
      <c r="W474" s="16">
        <v>63.0</v>
      </c>
      <c r="X474" s="50">
        <v>71213.0</v>
      </c>
      <c r="Y474" s="250">
        <v>8430.0</v>
      </c>
    </row>
    <row r="475">
      <c r="A475" s="11">
        <v>11.0</v>
      </c>
      <c r="B475" s="11">
        <v>91.0</v>
      </c>
      <c r="C475" s="253">
        <v>26.0</v>
      </c>
      <c r="D475" s="235">
        <v>85.0</v>
      </c>
      <c r="E475" s="235">
        <v>85.0</v>
      </c>
      <c r="F475" s="253">
        <v>26.0</v>
      </c>
      <c r="G475" s="235">
        <v>85.0</v>
      </c>
      <c r="H475" s="236">
        <v>6.3047472E7</v>
      </c>
      <c r="I475" s="16">
        <v>11.0</v>
      </c>
      <c r="J475" s="11">
        <v>3.0</v>
      </c>
      <c r="K475" s="11" t="str">
        <f t="shared" si="1"/>
        <v>00850063047472113</v>
      </c>
      <c r="L475" s="238">
        <v>-497.16</v>
      </c>
      <c r="M475" s="254">
        <v>122316.0</v>
      </c>
      <c r="N475" s="16">
        <v>81.0</v>
      </c>
      <c r="O475" s="22">
        <v>1.0</v>
      </c>
      <c r="P475" s="17">
        <v>10.0</v>
      </c>
      <c r="Q475" s="11">
        <v>4.4624353E7</v>
      </c>
      <c r="R475" s="11">
        <v>3.0</v>
      </c>
      <c r="S475" s="24" t="s">
        <v>48</v>
      </c>
      <c r="T475" s="249" t="s">
        <v>5764</v>
      </c>
      <c r="U475" s="17">
        <v>82.0</v>
      </c>
      <c r="V475" s="16">
        <v>36.0</v>
      </c>
      <c r="W475" s="16">
        <v>45.0</v>
      </c>
      <c r="X475" s="50">
        <v>11516.0</v>
      </c>
      <c r="Y475" s="250">
        <v>8049.0</v>
      </c>
    </row>
    <row r="476">
      <c r="A476" s="11">
        <v>10.0</v>
      </c>
      <c r="B476" s="11">
        <v>71.0</v>
      </c>
      <c r="C476" s="253">
        <v>29.0</v>
      </c>
      <c r="D476" s="235">
        <v>5.0</v>
      </c>
      <c r="E476" s="235">
        <v>5.0</v>
      </c>
      <c r="F476" s="253">
        <v>29.0</v>
      </c>
      <c r="G476" s="235">
        <v>5.0</v>
      </c>
      <c r="H476" s="236">
        <v>7.5014463E7</v>
      </c>
      <c r="I476" s="16">
        <v>73.0</v>
      </c>
      <c r="J476" s="11">
        <v>1.0</v>
      </c>
      <c r="K476" s="11" t="str">
        <f t="shared" si="1"/>
        <v>00050075014463731</v>
      </c>
      <c r="L476" s="238">
        <v>-3121.92</v>
      </c>
      <c r="M476" s="254">
        <v>111821.0</v>
      </c>
      <c r="N476" s="16">
        <v>93.0</v>
      </c>
      <c r="O476" s="22">
        <v>23.0</v>
      </c>
      <c r="P476" s="17">
        <v>10.0</v>
      </c>
      <c r="Q476" s="11">
        <v>1.857432E7</v>
      </c>
      <c r="R476" s="11">
        <v>3.0</v>
      </c>
      <c r="S476" s="24" t="s">
        <v>39</v>
      </c>
      <c r="T476" s="249" t="s">
        <v>5765</v>
      </c>
      <c r="U476" s="17">
        <v>74.0</v>
      </c>
      <c r="V476" s="16">
        <v>74.0</v>
      </c>
      <c r="W476" s="16">
        <v>12.0</v>
      </c>
      <c r="X476" s="50">
        <v>12114.0</v>
      </c>
      <c r="Y476" s="250">
        <v>5187.0</v>
      </c>
    </row>
    <row r="477">
      <c r="A477" s="11">
        <v>12.0</v>
      </c>
      <c r="B477" s="11">
        <v>71.0</v>
      </c>
      <c r="C477" s="253">
        <v>37.0</v>
      </c>
      <c r="D477" s="235">
        <v>125.0</v>
      </c>
      <c r="E477" s="235">
        <v>125.0</v>
      </c>
      <c r="F477" s="253">
        <v>37.0</v>
      </c>
      <c r="G477" s="235">
        <v>125.0</v>
      </c>
      <c r="H477" s="236">
        <v>8.4635341E7</v>
      </c>
      <c r="I477" s="16">
        <v>29.0</v>
      </c>
      <c r="J477" s="11">
        <v>9.0</v>
      </c>
      <c r="K477" s="11" t="str">
        <f t="shared" si="1"/>
        <v>01250084635341299</v>
      </c>
      <c r="L477" s="238">
        <v>315.48</v>
      </c>
      <c r="M477" s="254">
        <v>112313.0</v>
      </c>
      <c r="N477" s="16">
        <v>86.0</v>
      </c>
      <c r="O477" s="22">
        <v>11.0</v>
      </c>
      <c r="P477" s="17">
        <v>92.0</v>
      </c>
      <c r="Q477" s="11">
        <v>1.3100586E7</v>
      </c>
      <c r="R477" s="11">
        <v>4.0</v>
      </c>
      <c r="S477" s="24" t="s">
        <v>39</v>
      </c>
      <c r="T477" s="249" t="s">
        <v>5766</v>
      </c>
      <c r="U477" s="17">
        <v>71.0</v>
      </c>
      <c r="V477" s="16">
        <v>97.0</v>
      </c>
      <c r="W477" s="16">
        <v>94.0</v>
      </c>
      <c r="X477" s="50">
        <v>81316.0</v>
      </c>
      <c r="Y477" s="250">
        <v>4414.0</v>
      </c>
    </row>
    <row r="478">
      <c r="A478" s="11">
        <v>15.0</v>
      </c>
      <c r="B478" s="11">
        <v>71.0</v>
      </c>
      <c r="C478" s="253">
        <v>38.0</v>
      </c>
      <c r="D478" s="235">
        <v>29.0</v>
      </c>
      <c r="E478" s="235">
        <v>29.0</v>
      </c>
      <c r="F478" s="253">
        <v>38.0</v>
      </c>
      <c r="G478" s="235">
        <v>29.0</v>
      </c>
      <c r="H478" s="236">
        <v>7.2143995E7</v>
      </c>
      <c r="I478" s="16">
        <v>39.0</v>
      </c>
      <c r="J478" s="11">
        <v>5.0</v>
      </c>
      <c r="K478" s="11" t="str">
        <f t="shared" si="1"/>
        <v>00290072143995395</v>
      </c>
      <c r="L478" s="238">
        <v>7917.67</v>
      </c>
      <c r="M478" s="254">
        <v>10313.0</v>
      </c>
      <c r="N478" s="16">
        <v>4.0</v>
      </c>
      <c r="O478" s="22">
        <v>41.0</v>
      </c>
      <c r="P478" s="17">
        <v>72.0</v>
      </c>
      <c r="Q478" s="11">
        <v>1.4433636E7</v>
      </c>
      <c r="R478" s="11">
        <v>5.0</v>
      </c>
      <c r="S478" s="24" t="s">
        <v>29</v>
      </c>
      <c r="T478" s="249" t="s">
        <v>5767</v>
      </c>
      <c r="U478" s="17">
        <v>30.0</v>
      </c>
      <c r="V478" s="16">
        <v>1.0</v>
      </c>
      <c r="W478" s="16">
        <v>61.0</v>
      </c>
      <c r="X478" s="50">
        <v>63013.0</v>
      </c>
      <c r="Y478" s="250">
        <v>2990.0</v>
      </c>
    </row>
    <row r="479">
      <c r="A479" s="11">
        <v>16.0</v>
      </c>
      <c r="B479" s="11">
        <v>51.0</v>
      </c>
      <c r="C479" s="253">
        <v>42.0</v>
      </c>
      <c r="D479" s="235">
        <v>91.0</v>
      </c>
      <c r="E479" s="235">
        <v>91.0</v>
      </c>
      <c r="F479" s="253">
        <v>42.0</v>
      </c>
      <c r="G479" s="235">
        <v>91.0</v>
      </c>
      <c r="H479" s="236">
        <v>5.3473563E7</v>
      </c>
      <c r="I479" s="16">
        <v>29.0</v>
      </c>
      <c r="J479" s="11">
        <v>7.0</v>
      </c>
      <c r="K479" s="11" t="str">
        <f t="shared" si="1"/>
        <v>00910053473563297</v>
      </c>
      <c r="L479" s="238">
        <v>3984.88</v>
      </c>
      <c r="M479" s="254">
        <v>91322.0</v>
      </c>
      <c r="N479" s="16">
        <v>41.0</v>
      </c>
      <c r="O479" s="22">
        <v>23.0</v>
      </c>
      <c r="P479" s="17">
        <v>10.0</v>
      </c>
      <c r="Q479" s="11">
        <v>2.5392111E7</v>
      </c>
      <c r="R479" s="11">
        <v>7.0</v>
      </c>
      <c r="S479" s="24" t="s">
        <v>5292</v>
      </c>
      <c r="T479" s="249" t="s">
        <v>5768</v>
      </c>
      <c r="U479" s="17">
        <v>87.0</v>
      </c>
      <c r="V479" s="16">
        <v>98.0</v>
      </c>
      <c r="W479" s="16">
        <v>2.0</v>
      </c>
      <c r="X479" s="50">
        <v>102616.0</v>
      </c>
      <c r="Y479" s="250">
        <v>8745.0</v>
      </c>
    </row>
    <row r="480">
      <c r="A480" s="11">
        <v>16.0</v>
      </c>
      <c r="B480" s="11">
        <v>71.0</v>
      </c>
      <c r="C480" s="253">
        <v>36.0</v>
      </c>
      <c r="D480" s="235">
        <v>43.0</v>
      </c>
      <c r="E480" s="235">
        <v>43.0</v>
      </c>
      <c r="F480" s="253">
        <v>36.0</v>
      </c>
      <c r="G480" s="235">
        <v>43.0</v>
      </c>
      <c r="H480" s="236">
        <v>7.3471815E7</v>
      </c>
      <c r="I480" s="16">
        <v>18.0</v>
      </c>
      <c r="J480" s="11">
        <v>0.0</v>
      </c>
      <c r="K480" s="11" t="str">
        <f t="shared" si="1"/>
        <v>00430073471815180</v>
      </c>
      <c r="L480" s="238">
        <v>5376.5</v>
      </c>
      <c r="M480" s="254">
        <v>30720.0</v>
      </c>
      <c r="N480" s="16">
        <v>54.0</v>
      </c>
      <c r="O480" s="22">
        <v>44.0</v>
      </c>
      <c r="P480" s="17">
        <v>31.0</v>
      </c>
      <c r="Q480" s="11">
        <v>4.0148012E7</v>
      </c>
      <c r="R480" s="11">
        <v>8.0</v>
      </c>
      <c r="S480" s="24" t="s">
        <v>29</v>
      </c>
      <c r="T480" s="249" t="s">
        <v>5769</v>
      </c>
      <c r="U480" s="17">
        <v>36.0</v>
      </c>
      <c r="V480" s="16">
        <v>91.0</v>
      </c>
      <c r="W480" s="16">
        <v>94.0</v>
      </c>
      <c r="X480" s="50">
        <v>30314.0</v>
      </c>
      <c r="Y480" s="250">
        <v>3674.0</v>
      </c>
    </row>
    <row r="481">
      <c r="A481" s="11">
        <v>12.0</v>
      </c>
      <c r="B481" s="11">
        <v>71.0</v>
      </c>
      <c r="C481" s="253">
        <v>21.0</v>
      </c>
      <c r="D481" s="235">
        <v>121.0</v>
      </c>
      <c r="E481" s="235">
        <v>121.0</v>
      </c>
      <c r="F481" s="253">
        <v>21.0</v>
      </c>
      <c r="G481" s="235">
        <v>121.0</v>
      </c>
      <c r="H481" s="236">
        <v>6.874613E7</v>
      </c>
      <c r="I481" s="16">
        <v>76.0</v>
      </c>
      <c r="J481" s="11">
        <v>5.0</v>
      </c>
      <c r="K481" s="11" t="str">
        <f t="shared" si="1"/>
        <v>01210068746130765</v>
      </c>
      <c r="L481" s="238">
        <v>685.55</v>
      </c>
      <c r="M481" s="254">
        <v>91419.0</v>
      </c>
      <c r="N481" s="16">
        <v>41.0</v>
      </c>
      <c r="O481" s="22">
        <v>4.0</v>
      </c>
      <c r="P481" s="17">
        <v>31.0</v>
      </c>
      <c r="Q481" s="11">
        <v>9.6497844E7</v>
      </c>
      <c r="R481" s="11">
        <v>1.0</v>
      </c>
      <c r="S481" s="24" t="s">
        <v>48</v>
      </c>
      <c r="T481" s="249" t="s">
        <v>5770</v>
      </c>
      <c r="U481" s="17">
        <v>37.0</v>
      </c>
      <c r="V481" s="16">
        <v>84.0</v>
      </c>
      <c r="W481" s="16">
        <v>11.0</v>
      </c>
      <c r="X481" s="50">
        <v>42818.0</v>
      </c>
      <c r="Y481" s="250">
        <v>8221.0</v>
      </c>
    </row>
    <row r="482">
      <c r="A482" s="11">
        <v>15.0</v>
      </c>
      <c r="B482" s="11">
        <v>92.0</v>
      </c>
      <c r="C482" s="253">
        <v>18.0</v>
      </c>
      <c r="D482" s="235">
        <v>145.0</v>
      </c>
      <c r="E482" s="235">
        <v>145.0</v>
      </c>
      <c r="F482" s="253">
        <v>18.0</v>
      </c>
      <c r="G482" s="235">
        <v>145.0</v>
      </c>
      <c r="H482" s="236">
        <v>5.8832389E7</v>
      </c>
      <c r="I482" s="16">
        <v>82.0</v>
      </c>
      <c r="J482" s="11">
        <v>4.0</v>
      </c>
      <c r="K482" s="11" t="str">
        <f t="shared" si="1"/>
        <v>01450058832389824</v>
      </c>
      <c r="L482" s="238">
        <v>645.58</v>
      </c>
      <c r="M482" s="254">
        <v>102020.0</v>
      </c>
      <c r="N482" s="16">
        <v>74.0</v>
      </c>
      <c r="O482" s="22">
        <v>37.0</v>
      </c>
      <c r="P482" s="17">
        <v>92.0</v>
      </c>
      <c r="Q482" s="11">
        <v>1.3180607E7</v>
      </c>
      <c r="R482" s="11">
        <v>1.0</v>
      </c>
      <c r="S482" s="24" t="s">
        <v>48</v>
      </c>
      <c r="T482" s="249" t="s">
        <v>5771</v>
      </c>
      <c r="U482" s="17">
        <v>81.0</v>
      </c>
      <c r="V482" s="16">
        <v>68.0</v>
      </c>
      <c r="W482" s="16">
        <v>67.0</v>
      </c>
      <c r="X482" s="50">
        <v>102419.0</v>
      </c>
      <c r="Y482" s="250">
        <v>1448.0</v>
      </c>
    </row>
    <row r="483">
      <c r="A483" s="11">
        <v>15.0</v>
      </c>
      <c r="B483" s="11">
        <v>71.0</v>
      </c>
      <c r="C483" s="253">
        <v>17.0</v>
      </c>
      <c r="D483" s="235">
        <v>69.0</v>
      </c>
      <c r="E483" s="235">
        <v>69.0</v>
      </c>
      <c r="F483" s="253">
        <v>17.0</v>
      </c>
      <c r="G483" s="235">
        <v>69.0</v>
      </c>
      <c r="H483" s="236">
        <v>8.7295025E7</v>
      </c>
      <c r="I483" s="16">
        <v>9.0</v>
      </c>
      <c r="J483" s="11">
        <v>9.0</v>
      </c>
      <c r="K483" s="11" t="str">
        <f t="shared" si="1"/>
        <v>00690087295025099</v>
      </c>
      <c r="L483" s="238">
        <v>693594.52</v>
      </c>
      <c r="M483" s="254">
        <v>121517.0</v>
      </c>
      <c r="N483" s="16">
        <v>39.0</v>
      </c>
      <c r="O483" s="22">
        <v>38.0</v>
      </c>
      <c r="P483" s="17">
        <v>92.0</v>
      </c>
      <c r="Q483" s="11">
        <v>6.6232421E7</v>
      </c>
      <c r="R483" s="11">
        <v>2.0</v>
      </c>
      <c r="S483" s="24" t="s">
        <v>48</v>
      </c>
      <c r="T483" s="249" t="s">
        <v>5772</v>
      </c>
      <c r="U483" s="17">
        <v>83.0</v>
      </c>
      <c r="V483" s="16">
        <v>32.0</v>
      </c>
      <c r="W483" s="16">
        <v>30.0</v>
      </c>
      <c r="X483" s="50">
        <v>52018.0</v>
      </c>
      <c r="Y483" s="250">
        <v>9446.0</v>
      </c>
    </row>
    <row r="484">
      <c r="A484" s="11">
        <v>10.0</v>
      </c>
      <c r="B484" s="11">
        <v>71.0</v>
      </c>
      <c r="C484" s="253">
        <v>19.0</v>
      </c>
      <c r="D484" s="235">
        <v>33.0</v>
      </c>
      <c r="E484" s="235">
        <v>33.0</v>
      </c>
      <c r="F484" s="253">
        <v>19.0</v>
      </c>
      <c r="G484" s="235">
        <v>33.0</v>
      </c>
      <c r="H484" s="236">
        <v>3.644777E7</v>
      </c>
      <c r="I484" s="16">
        <v>63.0</v>
      </c>
      <c r="J484" s="11">
        <v>6.0</v>
      </c>
      <c r="K484" s="11" t="str">
        <f t="shared" si="1"/>
        <v>00330036447770636</v>
      </c>
      <c r="L484" s="238">
        <v>34254.79</v>
      </c>
      <c r="M484" s="254">
        <v>80817.0</v>
      </c>
      <c r="N484" s="16">
        <v>48.0</v>
      </c>
      <c r="O484" s="22">
        <v>17.0</v>
      </c>
      <c r="P484" s="17">
        <v>72.0</v>
      </c>
      <c r="Q484" s="11">
        <v>5.6368828E7</v>
      </c>
      <c r="R484" s="11">
        <v>2.0</v>
      </c>
      <c r="S484" s="24" t="s">
        <v>29</v>
      </c>
      <c r="T484" s="249" t="s">
        <v>5773</v>
      </c>
      <c r="U484" s="17">
        <v>32.0</v>
      </c>
      <c r="V484" s="16">
        <v>33.0</v>
      </c>
      <c r="W484" s="16">
        <v>23.0</v>
      </c>
      <c r="X484" s="50">
        <v>22117.0</v>
      </c>
      <c r="Y484" s="250">
        <v>85.0</v>
      </c>
    </row>
    <row r="485">
      <c r="A485" s="11">
        <v>20.0</v>
      </c>
      <c r="B485" s="11">
        <v>71.0</v>
      </c>
      <c r="C485" s="253">
        <v>47.0</v>
      </c>
      <c r="D485" s="235">
        <v>165.0</v>
      </c>
      <c r="E485" s="235">
        <v>165.0</v>
      </c>
      <c r="F485" s="253">
        <v>47.0</v>
      </c>
      <c r="G485" s="235">
        <v>165.0</v>
      </c>
      <c r="H485" s="236">
        <v>7.3850509E7</v>
      </c>
      <c r="I485" s="16">
        <v>75.0</v>
      </c>
      <c r="J485" s="11">
        <v>3.0</v>
      </c>
      <c r="K485" s="11" t="str">
        <f t="shared" si="1"/>
        <v>01650073850509753</v>
      </c>
      <c r="L485" s="238">
        <v>-5953.8</v>
      </c>
      <c r="M485" s="254">
        <v>112313.0</v>
      </c>
      <c r="N485" s="16">
        <v>12.0</v>
      </c>
      <c r="O485" s="22">
        <v>51.0</v>
      </c>
      <c r="P485" s="17">
        <v>31.0</v>
      </c>
      <c r="Q485" s="11">
        <v>2.864245E7</v>
      </c>
      <c r="R485" s="11">
        <v>6.0</v>
      </c>
      <c r="S485" s="24" t="s">
        <v>39</v>
      </c>
      <c r="T485" s="249" t="s">
        <v>5774</v>
      </c>
      <c r="U485" s="17">
        <v>35.0</v>
      </c>
      <c r="V485" s="16">
        <v>94.0</v>
      </c>
      <c r="W485" s="16">
        <v>32.0</v>
      </c>
      <c r="X485" s="50">
        <v>41420.0</v>
      </c>
      <c r="Y485" s="250">
        <v>5372.0</v>
      </c>
    </row>
    <row r="486">
      <c r="A486" s="11">
        <v>18.0</v>
      </c>
      <c r="B486" s="11">
        <v>51.0</v>
      </c>
      <c r="C486" s="253">
        <v>17.0</v>
      </c>
      <c r="D486" s="235">
        <v>35.0</v>
      </c>
      <c r="E486" s="235">
        <v>35.0</v>
      </c>
      <c r="F486" s="253">
        <v>17.0</v>
      </c>
      <c r="G486" s="235">
        <v>35.0</v>
      </c>
      <c r="H486" s="236">
        <v>7.8257755E7</v>
      </c>
      <c r="I486" s="16">
        <v>98.0</v>
      </c>
      <c r="J486" s="11">
        <v>7.0</v>
      </c>
      <c r="K486" s="11" t="str">
        <f t="shared" si="1"/>
        <v>00350078257755987</v>
      </c>
      <c r="L486" s="238">
        <v>773.62</v>
      </c>
      <c r="M486" s="254">
        <v>91113.0</v>
      </c>
      <c r="N486" s="16">
        <v>7.0</v>
      </c>
      <c r="O486" s="22">
        <v>31.0</v>
      </c>
      <c r="P486" s="17">
        <v>72.0</v>
      </c>
      <c r="Q486" s="11">
        <v>7.670548E7</v>
      </c>
      <c r="R486" s="11">
        <v>1.0</v>
      </c>
      <c r="S486" s="24" t="s">
        <v>5292</v>
      </c>
      <c r="T486" s="249" t="s">
        <v>5775</v>
      </c>
      <c r="U486" s="17">
        <v>38.0</v>
      </c>
      <c r="V486" s="16">
        <v>17.0</v>
      </c>
      <c r="W486" s="16">
        <v>5.0</v>
      </c>
      <c r="X486" s="50">
        <v>31213.0</v>
      </c>
      <c r="Y486" s="250">
        <v>9937.0</v>
      </c>
    </row>
    <row r="487">
      <c r="A487" s="11">
        <v>12.0</v>
      </c>
      <c r="B487" s="11">
        <v>51.0</v>
      </c>
      <c r="C487" s="253">
        <v>34.0</v>
      </c>
      <c r="D487" s="235">
        <v>33.0</v>
      </c>
      <c r="E487" s="235">
        <v>33.0</v>
      </c>
      <c r="F487" s="253">
        <v>34.0</v>
      </c>
      <c r="G487" s="235">
        <v>33.0</v>
      </c>
      <c r="H487" s="236">
        <v>6.8235569E7</v>
      </c>
      <c r="I487" s="16">
        <v>54.0</v>
      </c>
      <c r="J487" s="11">
        <v>3.0</v>
      </c>
      <c r="K487" s="11" t="str">
        <f t="shared" si="1"/>
        <v>00330068235569543</v>
      </c>
      <c r="L487" s="238">
        <v>-4115.47</v>
      </c>
      <c r="M487" s="254">
        <v>102015.0</v>
      </c>
      <c r="N487" s="16">
        <v>52.0</v>
      </c>
      <c r="O487" s="22">
        <v>56.0</v>
      </c>
      <c r="P487" s="17">
        <v>92.0</v>
      </c>
      <c r="Q487" s="11">
        <v>6.7536993E7</v>
      </c>
      <c r="R487" s="11">
        <v>4.0</v>
      </c>
      <c r="S487" s="24" t="s">
        <v>48</v>
      </c>
      <c r="T487" s="249" t="s">
        <v>5776</v>
      </c>
      <c r="U487" s="17">
        <v>88.0</v>
      </c>
      <c r="V487" s="16">
        <v>47.0</v>
      </c>
      <c r="W487" s="16">
        <v>95.0</v>
      </c>
      <c r="X487" s="50">
        <v>40117.0</v>
      </c>
      <c r="Y487" s="250">
        <v>3525.0</v>
      </c>
    </row>
    <row r="488">
      <c r="A488" s="11">
        <v>20.0</v>
      </c>
      <c r="B488" s="11">
        <v>51.0</v>
      </c>
      <c r="C488" s="253">
        <v>2.0</v>
      </c>
      <c r="D488" s="235">
        <v>185.0</v>
      </c>
      <c r="E488" s="235">
        <v>185.0</v>
      </c>
      <c r="F488" s="253">
        <v>2.0</v>
      </c>
      <c r="G488" s="235">
        <v>185.0</v>
      </c>
      <c r="H488" s="236">
        <v>5.1079418E7</v>
      </c>
      <c r="I488" s="16">
        <v>80.0</v>
      </c>
      <c r="J488" s="11">
        <v>6.0</v>
      </c>
      <c r="K488" s="11" t="str">
        <f t="shared" si="1"/>
        <v>01850051079418806</v>
      </c>
      <c r="L488" s="238">
        <v>6612.87</v>
      </c>
      <c r="M488" s="254">
        <v>70923.0</v>
      </c>
      <c r="N488" s="16">
        <v>46.0</v>
      </c>
      <c r="O488" s="22">
        <v>16.0</v>
      </c>
      <c r="P488" s="17">
        <v>51.0</v>
      </c>
      <c r="Q488" s="11">
        <v>9.4277323E7</v>
      </c>
      <c r="R488" s="11">
        <v>1.0</v>
      </c>
      <c r="S488" s="24" t="s">
        <v>29</v>
      </c>
      <c r="T488" s="249" t="s">
        <v>5777</v>
      </c>
      <c r="U488" s="17">
        <v>93.0</v>
      </c>
      <c r="V488" s="16">
        <v>8.0</v>
      </c>
      <c r="W488" s="16">
        <v>58.0</v>
      </c>
      <c r="X488" s="50">
        <v>12615.0</v>
      </c>
      <c r="Y488" s="250">
        <v>2284.0</v>
      </c>
    </row>
    <row r="489">
      <c r="A489" s="11">
        <v>17.0</v>
      </c>
      <c r="B489" s="11">
        <v>51.0</v>
      </c>
      <c r="C489" s="253">
        <v>12.0</v>
      </c>
      <c r="D489" s="235">
        <v>73.0</v>
      </c>
      <c r="E489" s="235">
        <v>73.0</v>
      </c>
      <c r="F489" s="253">
        <v>12.0</v>
      </c>
      <c r="G489" s="235">
        <v>73.0</v>
      </c>
      <c r="H489" s="236">
        <v>3.1024448E7</v>
      </c>
      <c r="I489" s="16">
        <v>99.0</v>
      </c>
      <c r="J489" s="11">
        <v>8.0</v>
      </c>
      <c r="K489" s="11" t="str">
        <f t="shared" si="1"/>
        <v>00730031024448998</v>
      </c>
      <c r="L489" s="238">
        <v>-7933.7</v>
      </c>
      <c r="M489" s="254">
        <v>30213.0</v>
      </c>
      <c r="N489" s="16">
        <v>61.0</v>
      </c>
      <c r="O489" s="22">
        <v>27.0</v>
      </c>
      <c r="P489" s="17">
        <v>51.0</v>
      </c>
      <c r="Q489" s="11">
        <v>9.3364923E7</v>
      </c>
      <c r="R489" s="11">
        <v>6.0</v>
      </c>
      <c r="S489" s="24" t="s">
        <v>29</v>
      </c>
      <c r="T489" s="249" t="s">
        <v>5778</v>
      </c>
      <c r="U489" s="17">
        <v>92.0</v>
      </c>
      <c r="V489" s="16">
        <v>91.0</v>
      </c>
      <c r="W489" s="16">
        <v>37.0</v>
      </c>
      <c r="X489" s="50">
        <v>61515.0</v>
      </c>
      <c r="Y489" s="250">
        <v>3268.0</v>
      </c>
    </row>
    <row r="490">
      <c r="A490" s="11">
        <v>19.0</v>
      </c>
      <c r="B490" s="11">
        <v>92.0</v>
      </c>
      <c r="C490" s="253">
        <v>6.0</v>
      </c>
      <c r="D490" s="235">
        <v>95.0</v>
      </c>
      <c r="E490" s="235">
        <v>95.0</v>
      </c>
      <c r="F490" s="253">
        <v>6.0</v>
      </c>
      <c r="G490" s="235">
        <v>95.0</v>
      </c>
      <c r="H490" s="236">
        <v>2.6599534E7</v>
      </c>
      <c r="I490" s="16">
        <v>38.0</v>
      </c>
      <c r="J490" s="11">
        <v>3.0</v>
      </c>
      <c r="K490" s="11" t="str">
        <f t="shared" si="1"/>
        <v>00950026599534383</v>
      </c>
      <c r="L490" s="238">
        <v>95736.41</v>
      </c>
      <c r="M490" s="254">
        <v>32223.0</v>
      </c>
      <c r="N490" s="16">
        <v>91.0</v>
      </c>
      <c r="O490" s="22">
        <v>2.0</v>
      </c>
      <c r="P490" s="17">
        <v>92.0</v>
      </c>
      <c r="Q490" s="11">
        <v>2.051673E7</v>
      </c>
      <c r="R490" s="11">
        <v>8.0</v>
      </c>
      <c r="S490" s="24" t="s">
        <v>29</v>
      </c>
      <c r="T490" s="249" t="s">
        <v>5779</v>
      </c>
      <c r="U490" s="17">
        <v>91.0</v>
      </c>
      <c r="V490" s="16">
        <v>28.0</v>
      </c>
      <c r="W490" s="16">
        <v>68.0</v>
      </c>
      <c r="X490" s="50">
        <v>100913.0</v>
      </c>
      <c r="Y490" s="250">
        <v>8295.0</v>
      </c>
    </row>
    <row r="491">
      <c r="A491" s="11">
        <v>17.0</v>
      </c>
      <c r="B491" s="11">
        <v>72.0</v>
      </c>
      <c r="C491" s="253">
        <v>29.0</v>
      </c>
      <c r="D491" s="235">
        <v>121.0</v>
      </c>
      <c r="E491" s="235">
        <v>121.0</v>
      </c>
      <c r="F491" s="253">
        <v>29.0</v>
      </c>
      <c r="G491" s="235">
        <v>121.0</v>
      </c>
      <c r="H491" s="236">
        <v>4.9912079E7</v>
      </c>
      <c r="I491" s="16">
        <v>69.0</v>
      </c>
      <c r="J491" s="11">
        <v>4.0</v>
      </c>
      <c r="K491" s="11" t="str">
        <f t="shared" si="1"/>
        <v>01210049912079694</v>
      </c>
      <c r="L491" s="238">
        <v>28527.69</v>
      </c>
      <c r="M491" s="254">
        <v>81423.0</v>
      </c>
      <c r="N491" s="16">
        <v>22.0</v>
      </c>
      <c r="O491" s="22">
        <v>24.0</v>
      </c>
      <c r="P491" s="17">
        <v>11.0</v>
      </c>
      <c r="Q491" s="11">
        <v>8.0404788E7</v>
      </c>
      <c r="R491" s="11">
        <v>6.0</v>
      </c>
      <c r="S491" s="24" t="s">
        <v>5292</v>
      </c>
      <c r="T491" s="249" t="s">
        <v>5780</v>
      </c>
      <c r="U491" s="17">
        <v>0.0</v>
      </c>
      <c r="V491" s="16">
        <v>51.0</v>
      </c>
      <c r="W491" s="16">
        <v>87.0</v>
      </c>
      <c r="X491" s="50">
        <v>80118.0</v>
      </c>
      <c r="Y491" s="250">
        <v>2036.0</v>
      </c>
    </row>
    <row r="492">
      <c r="A492" s="11">
        <v>14.0</v>
      </c>
      <c r="B492" s="11">
        <v>31.0</v>
      </c>
      <c r="C492" s="253">
        <v>16.0</v>
      </c>
      <c r="D492" s="235">
        <v>45.0</v>
      </c>
      <c r="E492" s="235">
        <v>45.0</v>
      </c>
      <c r="F492" s="253">
        <v>16.0</v>
      </c>
      <c r="G492" s="235">
        <v>45.0</v>
      </c>
      <c r="H492" s="236">
        <v>6.5858776E7</v>
      </c>
      <c r="I492" s="16">
        <v>27.0</v>
      </c>
      <c r="J492" s="11">
        <v>5.0</v>
      </c>
      <c r="K492" s="11" t="str">
        <f t="shared" si="1"/>
        <v>00450065858776275</v>
      </c>
      <c r="L492" s="238">
        <v>566.92</v>
      </c>
      <c r="M492" s="254">
        <v>70716.0</v>
      </c>
      <c r="N492" s="16">
        <v>8.0</v>
      </c>
      <c r="O492" s="22">
        <v>18.0</v>
      </c>
      <c r="P492" s="17">
        <v>31.0</v>
      </c>
      <c r="Q492" s="11">
        <v>3.286265E7</v>
      </c>
      <c r="R492" s="11">
        <v>2.0</v>
      </c>
      <c r="S492" s="24" t="s">
        <v>29</v>
      </c>
      <c r="T492" s="249" t="s">
        <v>5781</v>
      </c>
      <c r="U492" s="17">
        <v>49.0</v>
      </c>
      <c r="V492" s="16">
        <v>60.0</v>
      </c>
      <c r="W492" s="16">
        <v>34.0</v>
      </c>
      <c r="X492" s="50">
        <v>110916.0</v>
      </c>
      <c r="Y492" s="250">
        <v>5169.0</v>
      </c>
    </row>
    <row r="493">
      <c r="A493" s="11">
        <v>16.0</v>
      </c>
      <c r="B493" s="11">
        <v>51.0</v>
      </c>
      <c r="C493" s="253">
        <v>45.0</v>
      </c>
      <c r="D493" s="235">
        <v>19.0</v>
      </c>
      <c r="E493" s="235">
        <v>19.0</v>
      </c>
      <c r="F493" s="253">
        <v>45.0</v>
      </c>
      <c r="G493" s="235">
        <v>19.0</v>
      </c>
      <c r="H493" s="236">
        <v>4.6763223E7</v>
      </c>
      <c r="I493" s="16">
        <v>34.0</v>
      </c>
      <c r="J493" s="11">
        <v>3.0</v>
      </c>
      <c r="K493" s="11" t="str">
        <f t="shared" si="1"/>
        <v>00190046763223343</v>
      </c>
      <c r="L493" s="238">
        <v>-40663.58</v>
      </c>
      <c r="M493" s="254">
        <v>101917.0</v>
      </c>
      <c r="N493" s="16">
        <v>48.0</v>
      </c>
      <c r="O493" s="22">
        <v>56.0</v>
      </c>
      <c r="P493" s="17">
        <v>31.0</v>
      </c>
      <c r="Q493" s="11">
        <v>4.3944523E7</v>
      </c>
      <c r="R493" s="11">
        <v>7.0</v>
      </c>
      <c r="S493" s="24" t="s">
        <v>5292</v>
      </c>
      <c r="T493" s="249" t="s">
        <v>5782</v>
      </c>
      <c r="U493" s="17">
        <v>50.0</v>
      </c>
      <c r="V493" s="16">
        <v>89.0</v>
      </c>
      <c r="W493" s="16">
        <v>7.0</v>
      </c>
      <c r="X493" s="50">
        <v>112421.0</v>
      </c>
      <c r="Y493" s="250">
        <v>8313.0</v>
      </c>
    </row>
    <row r="494">
      <c r="A494" s="11">
        <v>19.0</v>
      </c>
      <c r="B494" s="11">
        <v>72.0</v>
      </c>
      <c r="C494" s="253">
        <v>16.0</v>
      </c>
      <c r="D494" s="235">
        <v>79.0</v>
      </c>
      <c r="E494" s="235">
        <v>79.0</v>
      </c>
      <c r="F494" s="253">
        <v>16.0</v>
      </c>
      <c r="G494" s="235">
        <v>79.0</v>
      </c>
      <c r="H494" s="236">
        <v>6.6988175E7</v>
      </c>
      <c r="I494" s="16">
        <v>26.0</v>
      </c>
      <c r="J494" s="11">
        <v>2.0</v>
      </c>
      <c r="K494" s="11" t="str">
        <f t="shared" si="1"/>
        <v>00790066988175262</v>
      </c>
      <c r="L494" s="238">
        <v>731048.65</v>
      </c>
      <c r="M494" s="254">
        <v>103022.0</v>
      </c>
      <c r="N494" s="16">
        <v>42.0</v>
      </c>
      <c r="O494" s="22">
        <v>53.0</v>
      </c>
      <c r="P494" s="17">
        <v>11.0</v>
      </c>
      <c r="Q494" s="11">
        <v>6.5521633E7</v>
      </c>
      <c r="R494" s="11">
        <v>4.0</v>
      </c>
      <c r="S494" s="24" t="s">
        <v>5292</v>
      </c>
      <c r="T494" s="249" t="s">
        <v>5783</v>
      </c>
      <c r="U494" s="17">
        <v>3.0</v>
      </c>
      <c r="V494" s="16">
        <v>10.0</v>
      </c>
      <c r="W494" s="16">
        <v>41.0</v>
      </c>
      <c r="X494" s="50">
        <v>10917.0</v>
      </c>
      <c r="Y494" s="250">
        <v>2256.0</v>
      </c>
    </row>
    <row r="495">
      <c r="A495" s="11">
        <v>16.0</v>
      </c>
      <c r="B495" s="11">
        <v>51.0</v>
      </c>
      <c r="C495" s="253">
        <v>13.0</v>
      </c>
      <c r="D495" s="235">
        <v>263.0</v>
      </c>
      <c r="E495" s="235">
        <v>263.0</v>
      </c>
      <c r="F495" s="253">
        <v>13.0</v>
      </c>
      <c r="G495" s="235">
        <v>263.0</v>
      </c>
      <c r="H495" s="236">
        <v>8.3309798E7</v>
      </c>
      <c r="I495" s="16">
        <v>2.0</v>
      </c>
      <c r="J495" s="11">
        <v>5.0</v>
      </c>
      <c r="K495" s="11" t="str">
        <f t="shared" si="1"/>
        <v>02630083309798025</v>
      </c>
      <c r="L495" s="238">
        <v>36692.63</v>
      </c>
      <c r="M495" s="254">
        <v>52519.0</v>
      </c>
      <c r="N495" s="16">
        <v>98.0</v>
      </c>
      <c r="O495" s="22">
        <v>24.0</v>
      </c>
      <c r="P495" s="17">
        <v>31.0</v>
      </c>
      <c r="Q495" s="11">
        <v>6.5449559E7</v>
      </c>
      <c r="R495" s="11">
        <v>7.0</v>
      </c>
      <c r="S495" s="24" t="s">
        <v>29</v>
      </c>
      <c r="T495" s="249" t="s">
        <v>5784</v>
      </c>
      <c r="U495" s="17">
        <v>52.0</v>
      </c>
      <c r="V495" s="16">
        <v>74.0</v>
      </c>
      <c r="W495" s="16">
        <v>45.0</v>
      </c>
      <c r="X495" s="50">
        <v>12017.0</v>
      </c>
      <c r="Y495" s="250">
        <v>1203.0</v>
      </c>
    </row>
    <row r="496">
      <c r="A496" s="11">
        <v>12.0</v>
      </c>
      <c r="B496" s="11">
        <v>92.0</v>
      </c>
      <c r="C496" s="253">
        <v>16.0</v>
      </c>
      <c r="D496" s="235">
        <v>37.0</v>
      </c>
      <c r="E496" s="235">
        <v>37.0</v>
      </c>
      <c r="F496" s="253">
        <v>16.0</v>
      </c>
      <c r="G496" s="235">
        <v>37.0</v>
      </c>
      <c r="H496" s="236">
        <v>4.8810098E7</v>
      </c>
      <c r="I496" s="16">
        <v>51.0</v>
      </c>
      <c r="J496" s="11">
        <v>3.0</v>
      </c>
      <c r="K496" s="11" t="str">
        <f t="shared" si="1"/>
        <v>00370048810098513</v>
      </c>
      <c r="L496" s="238">
        <v>3777.64</v>
      </c>
      <c r="M496" s="254">
        <v>110323.0</v>
      </c>
      <c r="N496" s="16">
        <v>54.0</v>
      </c>
      <c r="O496" s="22">
        <v>41.0</v>
      </c>
      <c r="P496" s="17">
        <v>72.0</v>
      </c>
      <c r="Q496" s="11">
        <v>3.9381264E7</v>
      </c>
      <c r="R496" s="11">
        <v>6.0</v>
      </c>
      <c r="S496" s="24" t="s">
        <v>39</v>
      </c>
      <c r="T496" s="249" t="s">
        <v>5785</v>
      </c>
      <c r="U496" s="17">
        <v>48.0</v>
      </c>
      <c r="V496" s="16">
        <v>4.0</v>
      </c>
      <c r="W496" s="16">
        <v>69.0</v>
      </c>
      <c r="X496" s="50">
        <v>111821.0</v>
      </c>
      <c r="Y496" s="250">
        <v>4844.0</v>
      </c>
    </row>
    <row r="497">
      <c r="A497" s="11">
        <v>20.0</v>
      </c>
      <c r="B497" s="11">
        <v>51.0</v>
      </c>
      <c r="C497" s="253">
        <v>24.0</v>
      </c>
      <c r="D497" s="235">
        <v>15.0</v>
      </c>
      <c r="E497" s="235">
        <v>15.0</v>
      </c>
      <c r="F497" s="253">
        <v>24.0</v>
      </c>
      <c r="G497" s="235">
        <v>15.0</v>
      </c>
      <c r="H497" s="236">
        <v>3.0305345E7</v>
      </c>
      <c r="I497" s="16">
        <v>81.0</v>
      </c>
      <c r="J497" s="11">
        <v>1.0</v>
      </c>
      <c r="K497" s="11" t="str">
        <f t="shared" si="1"/>
        <v>00150030305345811</v>
      </c>
      <c r="L497" s="238">
        <v>5483.71</v>
      </c>
      <c r="M497" s="254">
        <v>30518.0</v>
      </c>
      <c r="N497" s="16">
        <v>44.0</v>
      </c>
      <c r="O497" s="22">
        <v>53.0</v>
      </c>
      <c r="P497" s="17">
        <v>31.0</v>
      </c>
      <c r="Q497" s="11">
        <v>8.2338764E7</v>
      </c>
      <c r="R497" s="11">
        <v>9.0</v>
      </c>
      <c r="S497" s="24" t="s">
        <v>39</v>
      </c>
      <c r="T497" s="249" t="s">
        <v>5786</v>
      </c>
      <c r="U497" s="17">
        <v>54.0</v>
      </c>
      <c r="V497" s="16">
        <v>76.0</v>
      </c>
      <c r="W497" s="16">
        <v>15.0</v>
      </c>
      <c r="X497" s="50">
        <v>40718.0</v>
      </c>
      <c r="Y497" s="250">
        <v>2150.0</v>
      </c>
    </row>
    <row r="498">
      <c r="A498" s="11">
        <v>16.0</v>
      </c>
      <c r="B498" s="11">
        <v>92.0</v>
      </c>
      <c r="C498" s="253">
        <v>46.0</v>
      </c>
      <c r="D498" s="235">
        <v>51.0</v>
      </c>
      <c r="E498" s="235">
        <v>51.0</v>
      </c>
      <c r="F498" s="253">
        <v>46.0</v>
      </c>
      <c r="G498" s="235">
        <v>51.0</v>
      </c>
      <c r="H498" s="236">
        <v>5.1660648E7</v>
      </c>
      <c r="I498" s="16">
        <v>60.0</v>
      </c>
      <c r="J498" s="11">
        <v>1.0</v>
      </c>
      <c r="K498" s="11" t="str">
        <f t="shared" si="1"/>
        <v>00510051660648601</v>
      </c>
      <c r="L498" s="238">
        <v>-6489.74</v>
      </c>
      <c r="M498" s="254">
        <v>12115.0</v>
      </c>
      <c r="N498" s="16">
        <v>27.0</v>
      </c>
      <c r="O498" s="22">
        <v>13.0</v>
      </c>
      <c r="P498" s="17">
        <v>92.0</v>
      </c>
      <c r="Q498" s="11">
        <v>9.0518715E7</v>
      </c>
      <c r="R498" s="11">
        <v>5.0</v>
      </c>
      <c r="S498" s="24" t="s">
        <v>29</v>
      </c>
      <c r="T498" s="249" t="s">
        <v>5787</v>
      </c>
      <c r="U498" s="17">
        <v>99.0</v>
      </c>
      <c r="V498" s="16">
        <v>74.0</v>
      </c>
      <c r="W498" s="16">
        <v>43.0</v>
      </c>
      <c r="X498" s="50">
        <v>10218.0</v>
      </c>
      <c r="Y498" s="250">
        <v>2638.0</v>
      </c>
    </row>
    <row r="499">
      <c r="A499" s="11">
        <v>20.0</v>
      </c>
      <c r="B499" s="11">
        <v>51.0</v>
      </c>
      <c r="C499" s="253">
        <v>56.0</v>
      </c>
      <c r="D499" s="235">
        <v>17.0</v>
      </c>
      <c r="E499" s="235">
        <v>17.0</v>
      </c>
      <c r="F499" s="253">
        <v>56.0</v>
      </c>
      <c r="G499" s="235">
        <v>17.0</v>
      </c>
      <c r="H499" s="236">
        <v>5.0378598E7</v>
      </c>
      <c r="I499" s="16">
        <v>42.0</v>
      </c>
      <c r="J499" s="11">
        <v>6.0</v>
      </c>
      <c r="K499" s="11" t="str">
        <f t="shared" si="1"/>
        <v>00170050378598426</v>
      </c>
      <c r="L499" s="238">
        <v>76492.19</v>
      </c>
      <c r="M499" s="254">
        <v>30815.0</v>
      </c>
      <c r="N499" s="16">
        <v>89.0</v>
      </c>
      <c r="O499" s="22">
        <v>24.0</v>
      </c>
      <c r="P499" s="17">
        <v>31.0</v>
      </c>
      <c r="Q499" s="11">
        <v>9.4445828E7</v>
      </c>
      <c r="R499" s="11">
        <v>4.0</v>
      </c>
      <c r="S499" s="24" t="s">
        <v>29</v>
      </c>
      <c r="T499" s="249" t="s">
        <v>5788</v>
      </c>
      <c r="U499" s="17">
        <v>56.0</v>
      </c>
      <c r="V499" s="16">
        <v>12.0</v>
      </c>
      <c r="W499" s="16">
        <v>5.0</v>
      </c>
      <c r="X499" s="50">
        <v>121413.0</v>
      </c>
      <c r="Y499" s="250">
        <v>6968.0</v>
      </c>
    </row>
    <row r="500">
      <c r="A500" s="11">
        <v>10.0</v>
      </c>
      <c r="B500" s="11">
        <v>51.0</v>
      </c>
      <c r="C500" s="253">
        <v>29.0</v>
      </c>
      <c r="D500" s="235">
        <v>201.0</v>
      </c>
      <c r="E500" s="235">
        <v>201.0</v>
      </c>
      <c r="F500" s="253">
        <v>29.0</v>
      </c>
      <c r="G500" s="235">
        <v>201.0</v>
      </c>
      <c r="H500" s="236">
        <v>9.8100962E7</v>
      </c>
      <c r="I500" s="16">
        <v>8.0</v>
      </c>
      <c r="J500" s="11">
        <v>6.0</v>
      </c>
      <c r="K500" s="11" t="str">
        <f t="shared" si="1"/>
        <v>02010098100962086</v>
      </c>
      <c r="L500" s="238">
        <v>52633.0</v>
      </c>
      <c r="M500" s="254">
        <v>91321.0</v>
      </c>
      <c r="N500" s="16">
        <v>56.0</v>
      </c>
      <c r="O500" s="22">
        <v>47.0</v>
      </c>
      <c r="P500" s="17">
        <v>11.0</v>
      </c>
      <c r="Q500" s="11">
        <v>1.9244421E7</v>
      </c>
      <c r="R500" s="11">
        <v>4.0</v>
      </c>
      <c r="S500" s="24" t="s">
        <v>48</v>
      </c>
      <c r="T500" s="249" t="s">
        <v>5789</v>
      </c>
      <c r="U500" s="17">
        <v>4.0</v>
      </c>
      <c r="V500" s="16">
        <v>52.0</v>
      </c>
      <c r="W500" s="16">
        <v>69.0</v>
      </c>
      <c r="X500" s="50">
        <v>120613.0</v>
      </c>
      <c r="Y500" s="250">
        <v>2492.0</v>
      </c>
    </row>
    <row r="501">
      <c r="A501" s="11">
        <v>15.0</v>
      </c>
      <c r="B501" s="11">
        <v>92.0</v>
      </c>
      <c r="C501" s="253">
        <v>13.0</v>
      </c>
      <c r="D501" s="235">
        <v>301.0</v>
      </c>
      <c r="E501" s="235">
        <v>301.0</v>
      </c>
      <c r="F501" s="253">
        <v>13.0</v>
      </c>
      <c r="G501" s="235">
        <v>301.0</v>
      </c>
      <c r="H501" s="236">
        <v>9.2569015E7</v>
      </c>
      <c r="I501" s="16">
        <v>64.0</v>
      </c>
      <c r="J501" s="11">
        <v>1.0</v>
      </c>
      <c r="K501" s="11" t="str">
        <f t="shared" si="1"/>
        <v>03010092569015641</v>
      </c>
      <c r="L501" s="238">
        <v>3810.66</v>
      </c>
      <c r="M501" s="254">
        <v>81121.0</v>
      </c>
      <c r="N501" s="16">
        <v>93.0</v>
      </c>
      <c r="O501" s="22">
        <v>42.0</v>
      </c>
      <c r="P501" s="17">
        <v>72.0</v>
      </c>
      <c r="Q501" s="11">
        <v>8.5223896E7</v>
      </c>
      <c r="R501" s="11">
        <v>5.0</v>
      </c>
      <c r="S501" s="24" t="s">
        <v>39</v>
      </c>
      <c r="T501" s="249" t="s">
        <v>5790</v>
      </c>
      <c r="U501" s="17">
        <v>54.0</v>
      </c>
      <c r="V501" s="16">
        <v>48.0</v>
      </c>
      <c r="W501" s="16">
        <v>19.0</v>
      </c>
      <c r="X501" s="50">
        <v>41517.0</v>
      </c>
      <c r="Y501" s="250">
        <v>8493.0</v>
      </c>
    </row>
    <row r="502">
      <c r="A502" s="11">
        <v>19.0</v>
      </c>
      <c r="B502" s="11">
        <v>72.0</v>
      </c>
      <c r="C502" s="253">
        <v>6.0</v>
      </c>
      <c r="D502" s="235">
        <v>9.0</v>
      </c>
      <c r="E502" s="235">
        <v>9.0</v>
      </c>
      <c r="F502" s="253">
        <v>6.0</v>
      </c>
      <c r="G502" s="235">
        <v>9.0</v>
      </c>
      <c r="H502" s="236">
        <v>9.6222697E7</v>
      </c>
      <c r="I502" s="16">
        <v>80.0</v>
      </c>
      <c r="J502" s="11">
        <v>6.0</v>
      </c>
      <c r="K502" s="11" t="str">
        <f t="shared" si="1"/>
        <v>00090096222697806</v>
      </c>
      <c r="L502" s="238">
        <v>967.48</v>
      </c>
      <c r="M502" s="254">
        <v>111720.0</v>
      </c>
      <c r="N502" s="16">
        <v>43.0</v>
      </c>
      <c r="O502" s="22">
        <v>31.0</v>
      </c>
      <c r="P502" s="17">
        <v>52.0</v>
      </c>
      <c r="Q502" s="11">
        <v>2.2726983E7</v>
      </c>
      <c r="R502" s="11">
        <v>7.0</v>
      </c>
      <c r="S502" s="24" t="s">
        <v>48</v>
      </c>
      <c r="T502" s="249" t="s">
        <v>5791</v>
      </c>
      <c r="U502" s="17">
        <v>8.0</v>
      </c>
      <c r="V502" s="16">
        <v>47.0</v>
      </c>
      <c r="W502" s="16">
        <v>55.0</v>
      </c>
      <c r="X502" s="50">
        <v>121618.0</v>
      </c>
      <c r="Y502" s="250">
        <v>2076.0</v>
      </c>
    </row>
    <row r="503">
      <c r="A503" s="11">
        <v>16.0</v>
      </c>
      <c r="B503" s="11">
        <v>92.0</v>
      </c>
      <c r="C503" s="253">
        <v>55.0</v>
      </c>
      <c r="D503" s="235">
        <v>41.0</v>
      </c>
      <c r="E503" s="235">
        <v>41.0</v>
      </c>
      <c r="F503" s="253">
        <v>55.0</v>
      </c>
      <c r="G503" s="235">
        <v>41.0</v>
      </c>
      <c r="H503" s="236">
        <v>3.5009532E7</v>
      </c>
      <c r="I503" s="16">
        <v>63.0</v>
      </c>
      <c r="J503" s="11">
        <v>9.0</v>
      </c>
      <c r="K503" s="11" t="str">
        <f t="shared" si="1"/>
        <v>00410035009532639</v>
      </c>
      <c r="L503" s="238">
        <v>599820.41</v>
      </c>
      <c r="M503" s="254">
        <v>42217.0</v>
      </c>
      <c r="N503" s="16">
        <v>21.0</v>
      </c>
      <c r="O503" s="22">
        <v>31.0</v>
      </c>
      <c r="P503" s="17">
        <v>31.0</v>
      </c>
      <c r="Q503" s="11">
        <v>6.9637176E7</v>
      </c>
      <c r="R503" s="11">
        <v>2.0</v>
      </c>
      <c r="S503" s="24" t="s">
        <v>29</v>
      </c>
      <c r="T503" s="249" t="s">
        <v>5792</v>
      </c>
      <c r="U503" s="17">
        <v>61.0</v>
      </c>
      <c r="V503" s="16">
        <v>65.0</v>
      </c>
      <c r="W503" s="16">
        <v>78.0</v>
      </c>
      <c r="X503" s="50">
        <v>31522.0</v>
      </c>
      <c r="Y503" s="250">
        <v>4685.0</v>
      </c>
    </row>
    <row r="504">
      <c r="A504" s="11">
        <v>14.0</v>
      </c>
      <c r="B504" s="11">
        <v>72.0</v>
      </c>
      <c r="C504" s="253">
        <v>5.0</v>
      </c>
      <c r="D504" s="235">
        <v>25.0</v>
      </c>
      <c r="E504" s="235">
        <v>25.0</v>
      </c>
      <c r="F504" s="253">
        <v>5.0</v>
      </c>
      <c r="G504" s="235">
        <v>25.0</v>
      </c>
      <c r="H504" s="236">
        <v>7.4926175E7</v>
      </c>
      <c r="I504" s="16">
        <v>97.0</v>
      </c>
      <c r="J504" s="11">
        <v>7.0</v>
      </c>
      <c r="K504" s="11" t="str">
        <f t="shared" si="1"/>
        <v>00250074926175977</v>
      </c>
      <c r="L504" s="238">
        <v>1145.8</v>
      </c>
      <c r="M504" s="254">
        <v>80518.0</v>
      </c>
      <c r="N504" s="16">
        <v>7.0</v>
      </c>
      <c r="O504" s="17">
        <v>39.0</v>
      </c>
      <c r="P504" s="17">
        <v>31.0</v>
      </c>
      <c r="Q504" s="11">
        <v>6.3415524E7</v>
      </c>
      <c r="R504" s="11">
        <v>4.0</v>
      </c>
      <c r="S504" s="24" t="s">
        <v>5292</v>
      </c>
      <c r="T504" s="249" t="s">
        <v>5793</v>
      </c>
      <c r="U504" s="17">
        <v>60.0</v>
      </c>
      <c r="V504" s="16">
        <v>19.0</v>
      </c>
      <c r="W504" s="16">
        <v>59.0</v>
      </c>
      <c r="X504" s="50">
        <v>70220.0</v>
      </c>
      <c r="Y504" s="250">
        <v>3153.0</v>
      </c>
    </row>
    <row r="505">
      <c r="A505" s="11">
        <v>19.0</v>
      </c>
      <c r="B505" s="11">
        <v>51.0</v>
      </c>
      <c r="C505" s="253">
        <v>12.0</v>
      </c>
      <c r="D505" s="235">
        <v>71.0</v>
      </c>
      <c r="E505" s="235">
        <v>71.0</v>
      </c>
      <c r="F505" s="253">
        <v>12.0</v>
      </c>
      <c r="G505" s="235">
        <v>71.0</v>
      </c>
      <c r="H505" s="236">
        <v>7.5908695E7</v>
      </c>
      <c r="I505" s="16">
        <v>17.0</v>
      </c>
      <c r="J505" s="11">
        <v>1.0</v>
      </c>
      <c r="K505" s="11" t="str">
        <f t="shared" si="1"/>
        <v>00710075908695171</v>
      </c>
      <c r="L505" s="238">
        <v>250106.62</v>
      </c>
      <c r="M505" s="254">
        <v>61118.0</v>
      </c>
      <c r="N505" s="16">
        <v>51.0</v>
      </c>
      <c r="O505" s="17">
        <v>50.0</v>
      </c>
      <c r="P505" s="17">
        <v>52.0</v>
      </c>
      <c r="Q505" s="11">
        <v>8.8411826E7</v>
      </c>
      <c r="R505" s="11">
        <v>0.0</v>
      </c>
      <c r="S505" s="24" t="s">
        <v>39</v>
      </c>
      <c r="T505" s="249" t="s">
        <v>5794</v>
      </c>
      <c r="U505" s="17">
        <v>11.0</v>
      </c>
      <c r="V505" s="16">
        <v>70.0</v>
      </c>
      <c r="W505" s="16">
        <v>7.0</v>
      </c>
      <c r="X505" s="50">
        <v>121822.0</v>
      </c>
      <c r="Y505" s="250">
        <v>4512.0</v>
      </c>
    </row>
    <row r="506">
      <c r="A506" s="11">
        <v>12.0</v>
      </c>
      <c r="B506" s="11">
        <v>92.0</v>
      </c>
      <c r="C506" s="253">
        <v>40.0</v>
      </c>
      <c r="D506" s="235">
        <v>37.0</v>
      </c>
      <c r="E506" s="235">
        <v>37.0</v>
      </c>
      <c r="F506" s="253">
        <v>40.0</v>
      </c>
      <c r="G506" s="235">
        <v>37.0</v>
      </c>
      <c r="H506" s="236">
        <v>2.9463713E7</v>
      </c>
      <c r="I506" s="16">
        <v>60.0</v>
      </c>
      <c r="J506" s="11">
        <v>8.0</v>
      </c>
      <c r="K506" s="11" t="str">
        <f t="shared" si="1"/>
        <v>00370029463713608</v>
      </c>
      <c r="L506" s="238">
        <v>249740.87</v>
      </c>
      <c r="M506" s="254">
        <v>112615.0</v>
      </c>
      <c r="N506" s="16">
        <v>52.0</v>
      </c>
      <c r="O506" s="17">
        <v>12.0</v>
      </c>
      <c r="P506" s="17">
        <v>93.0</v>
      </c>
      <c r="Q506" s="11">
        <v>8.765814E7</v>
      </c>
      <c r="R506" s="11">
        <v>0.0</v>
      </c>
      <c r="S506" s="24" t="s">
        <v>29</v>
      </c>
      <c r="T506" s="249" t="s">
        <v>5795</v>
      </c>
      <c r="U506" s="17">
        <v>9.0</v>
      </c>
      <c r="V506" s="16">
        <v>98.0</v>
      </c>
      <c r="W506" s="16">
        <v>31.0</v>
      </c>
      <c r="X506" s="50">
        <v>61720.0</v>
      </c>
      <c r="Y506" s="250">
        <v>2689.0</v>
      </c>
    </row>
    <row r="507">
      <c r="A507" s="11">
        <v>17.0</v>
      </c>
      <c r="B507" s="11">
        <v>92.0</v>
      </c>
      <c r="C507" s="253">
        <v>29.0</v>
      </c>
      <c r="D507" s="235">
        <v>187.0</v>
      </c>
      <c r="E507" s="235">
        <v>187.0</v>
      </c>
      <c r="F507" s="253">
        <v>29.0</v>
      </c>
      <c r="G507" s="235">
        <v>187.0</v>
      </c>
      <c r="H507" s="236">
        <v>3.1213309E7</v>
      </c>
      <c r="I507" s="16">
        <v>58.0</v>
      </c>
      <c r="J507" s="11">
        <v>6.0</v>
      </c>
      <c r="K507" s="11" t="str">
        <f t="shared" si="1"/>
        <v>01870031213309586</v>
      </c>
      <c r="L507" s="238">
        <v>-948726.72</v>
      </c>
      <c r="M507" s="254">
        <v>72116.0</v>
      </c>
      <c r="N507" s="16">
        <v>22.0</v>
      </c>
      <c r="O507" s="17">
        <v>33.0</v>
      </c>
      <c r="P507" s="17">
        <v>72.0</v>
      </c>
      <c r="Q507" s="11">
        <v>8.5009563E7</v>
      </c>
      <c r="R507" s="11">
        <v>3.0</v>
      </c>
      <c r="S507" s="24" t="s">
        <v>39</v>
      </c>
      <c r="T507" s="249" t="s">
        <v>5796</v>
      </c>
      <c r="U507" s="17">
        <v>62.0</v>
      </c>
      <c r="V507" s="16">
        <v>98.0</v>
      </c>
      <c r="W507" s="16">
        <v>7.0</v>
      </c>
      <c r="X507" s="50">
        <v>120817.0</v>
      </c>
      <c r="Y507" s="250">
        <v>3449.0</v>
      </c>
    </row>
    <row r="508">
      <c r="A508" s="11">
        <v>13.0</v>
      </c>
      <c r="B508" s="11">
        <v>92.0</v>
      </c>
      <c r="C508" s="253">
        <v>13.0</v>
      </c>
      <c r="D508" s="235">
        <v>177.0</v>
      </c>
      <c r="E508" s="235">
        <v>177.0</v>
      </c>
      <c r="F508" s="253">
        <v>13.0</v>
      </c>
      <c r="G508" s="235">
        <v>177.0</v>
      </c>
      <c r="H508" s="236">
        <v>5.4805188E7</v>
      </c>
      <c r="I508" s="16">
        <v>18.0</v>
      </c>
      <c r="J508" s="11">
        <v>6.0</v>
      </c>
      <c r="K508" s="11" t="str">
        <f t="shared" si="1"/>
        <v>01770054805188186</v>
      </c>
      <c r="L508" s="238">
        <v>398054.37</v>
      </c>
      <c r="M508" s="254">
        <v>82313.0</v>
      </c>
      <c r="N508" s="16">
        <v>16.0</v>
      </c>
      <c r="O508" s="17">
        <v>9.0</v>
      </c>
      <c r="P508" s="17">
        <v>72.0</v>
      </c>
      <c r="Q508" s="11">
        <v>1.9237461E7</v>
      </c>
      <c r="R508" s="11">
        <v>1.0</v>
      </c>
      <c r="S508" s="24" t="s">
        <v>29</v>
      </c>
      <c r="T508" s="249" t="s">
        <v>5797</v>
      </c>
      <c r="U508" s="17">
        <v>65.0</v>
      </c>
      <c r="V508" s="16">
        <v>12.0</v>
      </c>
      <c r="W508" s="16">
        <v>96.0</v>
      </c>
      <c r="X508" s="50">
        <v>82221.0</v>
      </c>
      <c r="Y508" s="250">
        <v>7264.0</v>
      </c>
    </row>
    <row r="509">
      <c r="A509" s="11">
        <v>13.0</v>
      </c>
      <c r="B509" s="11">
        <v>51.0</v>
      </c>
      <c r="C509" s="253">
        <v>21.0</v>
      </c>
      <c r="D509" s="235">
        <v>225.0</v>
      </c>
      <c r="E509" s="235">
        <v>225.0</v>
      </c>
      <c r="F509" s="253">
        <v>21.0</v>
      </c>
      <c r="G509" s="235">
        <v>225.0</v>
      </c>
      <c r="H509" s="236">
        <v>6.0295274E7</v>
      </c>
      <c r="I509" s="16">
        <v>10.0</v>
      </c>
      <c r="J509" s="11">
        <v>7.0</v>
      </c>
      <c r="K509" s="11" t="str">
        <f t="shared" si="1"/>
        <v>02250060295274107</v>
      </c>
      <c r="L509" s="238">
        <v>119693.15</v>
      </c>
      <c r="M509" s="254">
        <v>20318.0</v>
      </c>
      <c r="N509" s="16">
        <v>4.0</v>
      </c>
      <c r="O509" s="17">
        <v>12.0</v>
      </c>
      <c r="P509" s="17">
        <v>11.0</v>
      </c>
      <c r="Q509" s="11">
        <v>6.3370922E7</v>
      </c>
      <c r="R509" s="11">
        <v>9.0</v>
      </c>
      <c r="S509" s="24" t="s">
        <v>5292</v>
      </c>
      <c r="T509" s="249" t="s">
        <v>5798</v>
      </c>
      <c r="U509" s="17">
        <v>25.0</v>
      </c>
      <c r="V509" s="16">
        <v>27.0</v>
      </c>
      <c r="W509" s="16">
        <v>55.0</v>
      </c>
      <c r="X509" s="50">
        <v>102317.0</v>
      </c>
      <c r="Y509" s="250">
        <v>3887.0</v>
      </c>
    </row>
    <row r="510">
      <c r="A510" s="11">
        <v>18.0</v>
      </c>
      <c r="B510" s="11">
        <v>72.0</v>
      </c>
      <c r="C510" s="253">
        <v>48.0</v>
      </c>
      <c r="D510" s="235">
        <v>403.0</v>
      </c>
      <c r="E510" s="235">
        <v>403.0</v>
      </c>
      <c r="F510" s="253">
        <v>48.0</v>
      </c>
      <c r="G510" s="235">
        <v>403.0</v>
      </c>
      <c r="H510" s="236">
        <v>3.147436E7</v>
      </c>
      <c r="I510" s="16">
        <v>76.0</v>
      </c>
      <c r="J510" s="11">
        <v>1.0</v>
      </c>
      <c r="K510" s="11" t="str">
        <f t="shared" si="1"/>
        <v>04030031474360761</v>
      </c>
      <c r="L510" s="238">
        <v>83254.45</v>
      </c>
      <c r="M510" s="254">
        <v>30614.0</v>
      </c>
      <c r="N510" s="16">
        <v>18.0</v>
      </c>
      <c r="O510" s="17">
        <v>46.0</v>
      </c>
      <c r="P510" s="17">
        <v>31.0</v>
      </c>
      <c r="Q510" s="11">
        <v>7.3647805E7</v>
      </c>
      <c r="R510" s="11">
        <v>8.0</v>
      </c>
      <c r="S510" s="24" t="s">
        <v>39</v>
      </c>
      <c r="T510" s="249" t="s">
        <v>5799</v>
      </c>
      <c r="U510" s="17">
        <v>74.0</v>
      </c>
      <c r="V510" s="16">
        <v>85.0</v>
      </c>
      <c r="W510" s="16">
        <v>34.0</v>
      </c>
      <c r="X510" s="50">
        <v>41714.0</v>
      </c>
      <c r="Y510" s="250">
        <v>8546.0</v>
      </c>
    </row>
    <row r="511">
      <c r="A511" s="11">
        <v>15.0</v>
      </c>
      <c r="B511" s="11">
        <v>92.0</v>
      </c>
      <c r="C511" s="253">
        <v>36.0</v>
      </c>
      <c r="D511" s="235">
        <v>93.0</v>
      </c>
      <c r="E511" s="235">
        <v>93.0</v>
      </c>
      <c r="F511" s="253">
        <v>36.0</v>
      </c>
      <c r="G511" s="235">
        <v>93.0</v>
      </c>
      <c r="H511" s="236">
        <v>7.4460913E7</v>
      </c>
      <c r="I511" s="16">
        <v>2.0</v>
      </c>
      <c r="J511" s="11">
        <v>3.0</v>
      </c>
      <c r="K511" s="11" t="str">
        <f t="shared" si="1"/>
        <v>00930074460913023</v>
      </c>
      <c r="L511" s="238">
        <v>-605890.76</v>
      </c>
      <c r="M511" s="254">
        <v>90720.0</v>
      </c>
      <c r="N511" s="16">
        <v>96.0</v>
      </c>
      <c r="O511" s="17">
        <v>47.0</v>
      </c>
      <c r="P511" s="17">
        <v>31.0</v>
      </c>
      <c r="Q511" s="11">
        <v>1.0320375E7</v>
      </c>
      <c r="R511" s="11">
        <v>2.0</v>
      </c>
      <c r="S511" s="24" t="s">
        <v>48</v>
      </c>
      <c r="T511" s="249" t="s">
        <v>5800</v>
      </c>
      <c r="U511" s="17">
        <v>75.0</v>
      </c>
      <c r="V511" s="16">
        <v>25.0</v>
      </c>
      <c r="W511" s="16">
        <v>26.0</v>
      </c>
      <c r="X511" s="50">
        <v>70813.0</v>
      </c>
      <c r="Y511" s="250">
        <v>695.0</v>
      </c>
    </row>
    <row r="512">
      <c r="A512" s="11">
        <v>17.0</v>
      </c>
      <c r="B512" s="11">
        <v>31.0</v>
      </c>
      <c r="C512" s="253">
        <v>1.0</v>
      </c>
      <c r="D512" s="235">
        <v>93.0</v>
      </c>
      <c r="E512" s="235">
        <v>93.0</v>
      </c>
      <c r="F512" s="253">
        <v>1.0</v>
      </c>
      <c r="G512" s="235">
        <v>93.0</v>
      </c>
      <c r="H512" s="236">
        <v>1.0645705E7</v>
      </c>
      <c r="I512" s="16">
        <v>25.0</v>
      </c>
      <c r="J512" s="11">
        <v>0.0</v>
      </c>
      <c r="K512" s="11" t="str">
        <f t="shared" si="1"/>
        <v>00930010645705250</v>
      </c>
      <c r="L512" s="238">
        <v>-61838.4</v>
      </c>
      <c r="M512" s="254">
        <v>12223.0</v>
      </c>
      <c r="N512" s="16">
        <v>49.0</v>
      </c>
      <c r="O512" s="17">
        <v>26.0</v>
      </c>
      <c r="P512" s="17">
        <v>72.0</v>
      </c>
      <c r="Q512" s="11">
        <v>3.1982038E7</v>
      </c>
      <c r="R512" s="11">
        <v>0.0</v>
      </c>
      <c r="S512" s="24" t="s">
        <v>5292</v>
      </c>
      <c r="T512" s="249" t="s">
        <v>5801</v>
      </c>
      <c r="U512" s="17">
        <v>72.0</v>
      </c>
      <c r="V512" s="16">
        <v>12.0</v>
      </c>
      <c r="W512" s="16">
        <v>29.0</v>
      </c>
      <c r="X512" s="50">
        <v>110719.0</v>
      </c>
      <c r="Y512" s="250">
        <v>2242.0</v>
      </c>
    </row>
    <row r="513">
      <c r="A513" s="11">
        <v>18.0</v>
      </c>
      <c r="B513" s="11">
        <v>31.0</v>
      </c>
      <c r="C513" s="253">
        <v>28.0</v>
      </c>
      <c r="D513" s="235">
        <v>95.0</v>
      </c>
      <c r="E513" s="235">
        <v>95.0</v>
      </c>
      <c r="F513" s="253">
        <v>28.0</v>
      </c>
      <c r="G513" s="235">
        <v>95.0</v>
      </c>
      <c r="H513" s="236">
        <v>4.4622266E7</v>
      </c>
      <c r="I513" s="16">
        <v>65.0</v>
      </c>
      <c r="J513" s="11">
        <v>0.0</v>
      </c>
      <c r="K513" s="11" t="str">
        <f t="shared" si="1"/>
        <v>00950044622266650</v>
      </c>
      <c r="L513" s="238">
        <v>2474.58</v>
      </c>
      <c r="M513" s="254">
        <v>42615.0</v>
      </c>
      <c r="N513" s="16">
        <v>33.0</v>
      </c>
      <c r="O513" s="17">
        <v>25.0</v>
      </c>
      <c r="P513" s="17">
        <v>72.0</v>
      </c>
      <c r="Q513" s="11">
        <v>9.3246713E7</v>
      </c>
      <c r="R513" s="11">
        <v>8.0</v>
      </c>
      <c r="S513" s="24" t="s">
        <v>5292</v>
      </c>
      <c r="T513" s="249" t="s">
        <v>5802</v>
      </c>
      <c r="U513" s="17">
        <v>70.0</v>
      </c>
      <c r="V513" s="16">
        <v>59.0</v>
      </c>
      <c r="W513" s="16">
        <v>57.0</v>
      </c>
      <c r="X513" s="50">
        <v>41818.0</v>
      </c>
      <c r="Y513" s="250">
        <v>2342.0</v>
      </c>
    </row>
    <row r="514">
      <c r="A514" s="11">
        <v>16.0</v>
      </c>
      <c r="B514" s="11">
        <v>31.0</v>
      </c>
      <c r="C514" s="253">
        <v>36.0</v>
      </c>
      <c r="D514" s="235">
        <v>41.0</v>
      </c>
      <c r="E514" s="235">
        <v>41.0</v>
      </c>
      <c r="F514" s="253">
        <v>36.0</v>
      </c>
      <c r="G514" s="235">
        <v>41.0</v>
      </c>
      <c r="H514" s="236">
        <v>4.6477681E7</v>
      </c>
      <c r="I514" s="16">
        <v>56.0</v>
      </c>
      <c r="J514" s="11">
        <v>4.0</v>
      </c>
      <c r="K514" s="11" t="str">
        <f t="shared" si="1"/>
        <v>00410046477681564</v>
      </c>
      <c r="L514" s="238">
        <v>97542.53</v>
      </c>
      <c r="M514" s="254">
        <v>30516.0</v>
      </c>
      <c r="N514" s="16">
        <v>37.0</v>
      </c>
      <c r="O514" s="17">
        <v>54.0</v>
      </c>
      <c r="P514" s="17">
        <v>11.0</v>
      </c>
      <c r="Q514" s="11">
        <v>3.6495693E7</v>
      </c>
      <c r="R514" s="11">
        <v>5.0</v>
      </c>
      <c r="S514" s="24" t="s">
        <v>29</v>
      </c>
      <c r="T514" s="249" t="s">
        <v>5803</v>
      </c>
      <c r="U514" s="17">
        <v>30.0</v>
      </c>
      <c r="V514" s="16">
        <v>8.0</v>
      </c>
      <c r="W514" s="16">
        <v>17.0</v>
      </c>
      <c r="X514" s="50">
        <v>71422.0</v>
      </c>
      <c r="Y514" s="250">
        <v>4307.0</v>
      </c>
    </row>
    <row r="515">
      <c r="A515" s="11">
        <v>17.0</v>
      </c>
      <c r="B515" s="11">
        <v>52.0</v>
      </c>
      <c r="C515" s="253">
        <v>37.0</v>
      </c>
      <c r="D515" s="235">
        <v>25.0</v>
      </c>
      <c r="E515" s="235">
        <v>25.0</v>
      </c>
      <c r="F515" s="253">
        <v>37.0</v>
      </c>
      <c r="G515" s="235">
        <v>25.0</v>
      </c>
      <c r="H515" s="236">
        <v>6.4257665E7</v>
      </c>
      <c r="I515" s="16">
        <v>91.0</v>
      </c>
      <c r="J515" s="11">
        <v>0.0</v>
      </c>
      <c r="K515" s="11" t="str">
        <f t="shared" si="1"/>
        <v>00250064257665910</v>
      </c>
      <c r="L515" s="238">
        <v>46260.87</v>
      </c>
      <c r="M515" s="254">
        <v>11619.0</v>
      </c>
      <c r="N515" s="16">
        <v>92.0</v>
      </c>
      <c r="O515" s="17">
        <v>36.0</v>
      </c>
      <c r="P515" s="17">
        <v>93.0</v>
      </c>
      <c r="Q515" s="11">
        <v>7.9373582E7</v>
      </c>
      <c r="R515" s="11">
        <v>8.0</v>
      </c>
      <c r="S515" s="24" t="s">
        <v>39</v>
      </c>
      <c r="T515" s="249" t="s">
        <v>5804</v>
      </c>
      <c r="U515" s="17">
        <v>23.0</v>
      </c>
      <c r="V515" s="16">
        <v>87.0</v>
      </c>
      <c r="W515" s="16">
        <v>24.0</v>
      </c>
      <c r="X515" s="50">
        <v>11814.0</v>
      </c>
      <c r="Y515" s="250">
        <v>7715.0</v>
      </c>
    </row>
    <row r="516">
      <c r="A516" s="11">
        <v>10.0</v>
      </c>
      <c r="B516" s="11">
        <v>52.0</v>
      </c>
      <c r="C516" s="253">
        <v>46.0</v>
      </c>
      <c r="D516" s="235">
        <v>81.0</v>
      </c>
      <c r="E516" s="235">
        <v>81.0</v>
      </c>
      <c r="F516" s="253">
        <v>46.0</v>
      </c>
      <c r="G516" s="235">
        <v>81.0</v>
      </c>
      <c r="H516" s="236">
        <v>4.4752413E7</v>
      </c>
      <c r="I516" s="16">
        <v>94.0</v>
      </c>
      <c r="J516" s="11">
        <v>5.0</v>
      </c>
      <c r="K516" s="11" t="str">
        <f t="shared" si="1"/>
        <v>00810044752413945</v>
      </c>
      <c r="L516" s="238">
        <v>599.82</v>
      </c>
      <c r="M516" s="254">
        <v>10716.0</v>
      </c>
      <c r="N516" s="16">
        <v>38.0</v>
      </c>
      <c r="O516" s="17">
        <v>27.0</v>
      </c>
      <c r="P516" s="17">
        <v>52.0</v>
      </c>
      <c r="Q516" s="11">
        <v>6.2136723E7</v>
      </c>
      <c r="R516" s="11">
        <v>4.0</v>
      </c>
      <c r="S516" s="24" t="s">
        <v>29</v>
      </c>
      <c r="T516" s="249" t="s">
        <v>5805</v>
      </c>
      <c r="U516" s="17">
        <v>23.0</v>
      </c>
      <c r="V516" s="16">
        <v>2.0</v>
      </c>
      <c r="W516" s="16">
        <v>56.0</v>
      </c>
      <c r="X516" s="50">
        <v>21522.0</v>
      </c>
      <c r="Y516" s="250">
        <v>967.0</v>
      </c>
    </row>
    <row r="517">
      <c r="A517" s="11">
        <v>15.0</v>
      </c>
      <c r="B517" s="11">
        <v>72.0</v>
      </c>
      <c r="C517" s="253">
        <v>28.0</v>
      </c>
      <c r="D517" s="235">
        <v>37.0</v>
      </c>
      <c r="E517" s="235">
        <v>37.0</v>
      </c>
      <c r="F517" s="253">
        <v>28.0</v>
      </c>
      <c r="G517" s="235">
        <v>37.0</v>
      </c>
      <c r="H517" s="236">
        <v>3.062604E7</v>
      </c>
      <c r="I517" s="16">
        <v>75.0</v>
      </c>
      <c r="J517" s="11">
        <v>1.0</v>
      </c>
      <c r="K517" s="11" t="str">
        <f t="shared" si="1"/>
        <v>00370030626040751</v>
      </c>
      <c r="L517" s="238">
        <v>962414.47</v>
      </c>
      <c r="M517" s="254">
        <v>70119.0</v>
      </c>
      <c r="N517" s="16">
        <v>63.0</v>
      </c>
      <c r="O517" s="17">
        <v>50.0</v>
      </c>
      <c r="P517" s="17">
        <v>31.0</v>
      </c>
      <c r="Q517" s="11">
        <v>9.5604859E7</v>
      </c>
      <c r="R517" s="11">
        <v>4.0</v>
      </c>
      <c r="S517" s="24" t="s">
        <v>29</v>
      </c>
      <c r="T517" s="249" t="s">
        <v>5806</v>
      </c>
      <c r="U517" s="17">
        <v>80.0</v>
      </c>
      <c r="V517" s="16">
        <v>58.0</v>
      </c>
      <c r="W517" s="16">
        <v>50.0</v>
      </c>
      <c r="X517" s="50">
        <v>10314.0</v>
      </c>
      <c r="Y517" s="250">
        <v>7228.0</v>
      </c>
    </row>
    <row r="518">
      <c r="A518" s="11">
        <v>17.0</v>
      </c>
      <c r="B518" s="11">
        <v>11.0</v>
      </c>
      <c r="C518" s="253">
        <v>5.0</v>
      </c>
      <c r="D518" s="235">
        <v>67.0</v>
      </c>
      <c r="E518" s="235">
        <v>67.0</v>
      </c>
      <c r="F518" s="253">
        <v>5.0</v>
      </c>
      <c r="G518" s="235">
        <v>67.0</v>
      </c>
      <c r="H518" s="236">
        <v>9.2028793E7</v>
      </c>
      <c r="I518" s="16">
        <v>31.0</v>
      </c>
      <c r="J518" s="11">
        <v>7.0</v>
      </c>
      <c r="K518" s="11" t="str">
        <f t="shared" si="1"/>
        <v>00670092028793317</v>
      </c>
      <c r="L518" s="238">
        <v>975271.24</v>
      </c>
      <c r="M518" s="254">
        <v>122120.0</v>
      </c>
      <c r="N518" s="16">
        <v>82.0</v>
      </c>
      <c r="O518" s="17">
        <v>48.0</v>
      </c>
      <c r="P518" s="17">
        <v>31.0</v>
      </c>
      <c r="Q518" s="11">
        <v>2.7733663E7</v>
      </c>
      <c r="R518" s="11">
        <v>0.0</v>
      </c>
      <c r="S518" s="24" t="s">
        <v>5292</v>
      </c>
      <c r="T518" s="249" t="s">
        <v>5807</v>
      </c>
      <c r="U518" s="17">
        <v>76.0</v>
      </c>
      <c r="V518" s="16">
        <v>86.0</v>
      </c>
      <c r="W518" s="16">
        <v>52.0</v>
      </c>
      <c r="X518" s="50">
        <v>121915.0</v>
      </c>
      <c r="Y518" s="250">
        <v>981.0</v>
      </c>
    </row>
    <row r="519">
      <c r="A519" s="11">
        <v>19.0</v>
      </c>
      <c r="B519" s="11">
        <v>52.0</v>
      </c>
      <c r="C519" s="253">
        <v>19.0</v>
      </c>
      <c r="D519" s="235">
        <v>39.0</v>
      </c>
      <c r="E519" s="235">
        <v>39.0</v>
      </c>
      <c r="F519" s="253">
        <v>19.0</v>
      </c>
      <c r="G519" s="235">
        <v>39.0</v>
      </c>
      <c r="H519" s="236">
        <v>5.7464759E7</v>
      </c>
      <c r="I519" s="16">
        <v>24.0</v>
      </c>
      <c r="J519" s="11">
        <v>9.0</v>
      </c>
      <c r="K519" s="11" t="str">
        <f t="shared" si="1"/>
        <v>00390057464759249</v>
      </c>
      <c r="L519" s="238">
        <v>646.11</v>
      </c>
      <c r="M519" s="254">
        <v>30916.0</v>
      </c>
      <c r="N519" s="16">
        <v>81.0</v>
      </c>
      <c r="O519" s="17">
        <v>5.0</v>
      </c>
      <c r="P519" s="17">
        <v>11.0</v>
      </c>
      <c r="Q519" s="11">
        <v>4.2397508E7</v>
      </c>
      <c r="R519" s="11">
        <v>8.0</v>
      </c>
      <c r="S519" s="24" t="s">
        <v>5292</v>
      </c>
      <c r="T519" s="249" t="s">
        <v>5808</v>
      </c>
      <c r="U519" s="17">
        <v>36.0</v>
      </c>
      <c r="V519" s="16">
        <v>96.0</v>
      </c>
      <c r="W519" s="16">
        <v>66.0</v>
      </c>
      <c r="X519" s="50">
        <v>40619.0</v>
      </c>
      <c r="Y519" s="250">
        <v>6454.0</v>
      </c>
    </row>
    <row r="520">
      <c r="A520" s="11">
        <v>10.0</v>
      </c>
      <c r="B520" s="11">
        <v>93.0</v>
      </c>
      <c r="C520" s="253">
        <v>40.0</v>
      </c>
      <c r="D520" s="235">
        <v>113.0</v>
      </c>
      <c r="E520" s="235">
        <v>113.0</v>
      </c>
      <c r="F520" s="253">
        <v>40.0</v>
      </c>
      <c r="G520" s="235">
        <v>113.0</v>
      </c>
      <c r="H520" s="236">
        <v>4.8553144E7</v>
      </c>
      <c r="I520" s="16">
        <v>93.0</v>
      </c>
      <c r="J520" s="11">
        <v>6.0</v>
      </c>
      <c r="K520" s="11" t="str">
        <f t="shared" si="1"/>
        <v>01130048553144936</v>
      </c>
      <c r="L520" s="238">
        <v>846756.89</v>
      </c>
      <c r="M520" s="254">
        <v>100115.0</v>
      </c>
      <c r="N520" s="16">
        <v>26.0</v>
      </c>
      <c r="O520" s="17">
        <v>22.0</v>
      </c>
      <c r="P520" s="17">
        <v>93.0</v>
      </c>
      <c r="Q520" s="11">
        <v>8.504285E7</v>
      </c>
      <c r="R520" s="11">
        <v>8.0</v>
      </c>
      <c r="S520" s="24" t="s">
        <v>39</v>
      </c>
      <c r="T520" s="249" t="s">
        <v>5809</v>
      </c>
      <c r="U520" s="17">
        <v>29.0</v>
      </c>
      <c r="V520" s="16">
        <v>82.0</v>
      </c>
      <c r="W520" s="16">
        <v>31.0</v>
      </c>
      <c r="X520" s="50">
        <v>121217.0</v>
      </c>
      <c r="Y520" s="250">
        <v>9016.0</v>
      </c>
    </row>
    <row r="521">
      <c r="A521" s="11">
        <v>10.0</v>
      </c>
      <c r="B521" s="11">
        <v>11.0</v>
      </c>
      <c r="C521" s="253">
        <v>31.0</v>
      </c>
      <c r="D521" s="235">
        <v>85.0</v>
      </c>
      <c r="E521" s="235">
        <v>85.0</v>
      </c>
      <c r="F521" s="253">
        <v>31.0</v>
      </c>
      <c r="G521" s="235">
        <v>85.0</v>
      </c>
      <c r="H521" s="236">
        <v>7.666706E7</v>
      </c>
      <c r="I521" s="16">
        <v>63.0</v>
      </c>
      <c r="J521" s="11">
        <v>8.0</v>
      </c>
      <c r="K521" s="11" t="str">
        <f t="shared" si="1"/>
        <v>00850076667060638</v>
      </c>
      <c r="L521" s="238">
        <v>6617.88</v>
      </c>
      <c r="M521" s="254">
        <v>62913.0</v>
      </c>
      <c r="N521" s="16">
        <v>94.0</v>
      </c>
      <c r="O521" s="17">
        <v>5.0</v>
      </c>
      <c r="P521" s="17">
        <v>93.0</v>
      </c>
      <c r="Q521" s="11">
        <v>1.4184363E7</v>
      </c>
      <c r="R521" s="11">
        <v>1.0</v>
      </c>
      <c r="S521" s="24" t="s">
        <v>39</v>
      </c>
      <c r="T521" s="249" t="s">
        <v>5810</v>
      </c>
      <c r="U521" s="17">
        <v>30.0</v>
      </c>
      <c r="V521" s="16">
        <v>17.0</v>
      </c>
      <c r="W521" s="16">
        <v>48.0</v>
      </c>
      <c r="X521" s="50">
        <v>42216.0</v>
      </c>
      <c r="Y521" s="250">
        <v>6233.0</v>
      </c>
    </row>
    <row r="522">
      <c r="A522" s="11">
        <v>14.0</v>
      </c>
      <c r="B522" s="11">
        <v>52.0</v>
      </c>
      <c r="C522" s="253">
        <v>48.0</v>
      </c>
      <c r="D522" s="235">
        <v>205.0</v>
      </c>
      <c r="E522" s="235">
        <v>205.0</v>
      </c>
      <c r="F522" s="253">
        <v>48.0</v>
      </c>
      <c r="G522" s="235">
        <v>205.0</v>
      </c>
      <c r="H522" s="236">
        <v>9.3782921E7</v>
      </c>
      <c r="I522" s="16">
        <v>19.0</v>
      </c>
      <c r="J522" s="11">
        <v>3.0</v>
      </c>
      <c r="K522" s="11" t="str">
        <f t="shared" si="1"/>
        <v>02050093782921193</v>
      </c>
      <c r="L522" s="238">
        <v>6164.73</v>
      </c>
      <c r="M522" s="254">
        <v>111818.0</v>
      </c>
      <c r="N522" s="16">
        <v>54.0</v>
      </c>
      <c r="O522" s="17">
        <v>50.0</v>
      </c>
      <c r="P522" s="17">
        <v>93.0</v>
      </c>
      <c r="Q522" s="11">
        <v>2.9666713E7</v>
      </c>
      <c r="R522" s="11">
        <v>3.0</v>
      </c>
      <c r="S522" s="24" t="s">
        <v>5292</v>
      </c>
      <c r="T522" s="249" t="s">
        <v>5811</v>
      </c>
      <c r="U522" s="17">
        <v>28.0</v>
      </c>
      <c r="V522" s="16">
        <v>30.0</v>
      </c>
      <c r="W522" s="16">
        <v>78.0</v>
      </c>
      <c r="X522" s="50">
        <v>43021.0</v>
      </c>
      <c r="Y522" s="250">
        <v>8290.0</v>
      </c>
    </row>
    <row r="523">
      <c r="A523" s="11">
        <v>10.0</v>
      </c>
      <c r="B523" s="11">
        <v>93.0</v>
      </c>
      <c r="C523" s="253">
        <v>26.0</v>
      </c>
      <c r="D523" s="235">
        <v>95.0</v>
      </c>
      <c r="E523" s="235">
        <v>95.0</v>
      </c>
      <c r="F523" s="253">
        <v>26.0</v>
      </c>
      <c r="G523" s="235">
        <v>95.0</v>
      </c>
      <c r="H523" s="236">
        <v>4.846921E7</v>
      </c>
      <c r="I523" s="16">
        <v>57.0</v>
      </c>
      <c r="J523" s="11">
        <v>5.0</v>
      </c>
      <c r="K523" s="11" t="str">
        <f t="shared" si="1"/>
        <v>00950048469210575</v>
      </c>
      <c r="L523" s="238">
        <v>449.33</v>
      </c>
      <c r="M523" s="254">
        <v>121315.0</v>
      </c>
      <c r="N523" s="16">
        <v>67.0</v>
      </c>
      <c r="O523" s="17">
        <v>47.0</v>
      </c>
      <c r="P523" s="17">
        <v>11.0</v>
      </c>
      <c r="Q523" s="11">
        <v>4.7660112E7</v>
      </c>
      <c r="R523" s="11">
        <v>9.0</v>
      </c>
      <c r="S523" s="24" t="s">
        <v>48</v>
      </c>
      <c r="T523" s="249" t="s">
        <v>5812</v>
      </c>
      <c r="U523" s="17">
        <v>40.0</v>
      </c>
      <c r="V523" s="16">
        <v>97.0</v>
      </c>
      <c r="W523" s="16">
        <v>84.0</v>
      </c>
      <c r="X523" s="50">
        <v>100215.0</v>
      </c>
      <c r="Y523" s="250">
        <v>3451.0</v>
      </c>
    </row>
    <row r="524">
      <c r="A524" s="11">
        <v>20.0</v>
      </c>
      <c r="B524" s="11">
        <v>31.0</v>
      </c>
      <c r="C524" s="253">
        <v>53.0</v>
      </c>
      <c r="D524" s="235">
        <v>37.0</v>
      </c>
      <c r="E524" s="235">
        <v>37.0</v>
      </c>
      <c r="F524" s="253">
        <v>53.0</v>
      </c>
      <c r="G524" s="235">
        <v>37.0</v>
      </c>
      <c r="H524" s="236">
        <v>5.0117459E7</v>
      </c>
      <c r="I524" s="16">
        <v>86.0</v>
      </c>
      <c r="J524" s="11">
        <v>4.0</v>
      </c>
      <c r="K524" s="11" t="str">
        <f t="shared" si="1"/>
        <v>00370050117459864</v>
      </c>
      <c r="L524" s="238">
        <v>79568.8</v>
      </c>
      <c r="M524" s="254">
        <v>10813.0</v>
      </c>
      <c r="N524" s="16">
        <v>45.0</v>
      </c>
      <c r="O524" s="17">
        <v>22.0</v>
      </c>
      <c r="P524" s="17">
        <v>52.0</v>
      </c>
      <c r="Q524" s="11">
        <v>7.3903648E7</v>
      </c>
      <c r="R524" s="11">
        <v>6.0</v>
      </c>
      <c r="S524" s="24" t="s">
        <v>29</v>
      </c>
      <c r="T524" s="249" t="s">
        <v>5813</v>
      </c>
      <c r="U524" s="17">
        <v>39.0</v>
      </c>
      <c r="V524" s="16">
        <v>40.0</v>
      </c>
      <c r="W524" s="16">
        <v>31.0</v>
      </c>
      <c r="X524" s="50">
        <v>42617.0</v>
      </c>
      <c r="Y524" s="250">
        <v>890.0</v>
      </c>
    </row>
    <row r="525">
      <c r="A525" s="11">
        <v>16.0</v>
      </c>
      <c r="B525" s="11">
        <v>93.0</v>
      </c>
      <c r="C525" s="253">
        <v>29.0</v>
      </c>
      <c r="D525" s="235">
        <v>213.0</v>
      </c>
      <c r="E525" s="235">
        <v>213.0</v>
      </c>
      <c r="F525" s="253">
        <v>29.0</v>
      </c>
      <c r="G525" s="235">
        <v>213.0</v>
      </c>
      <c r="H525" s="236">
        <v>8.1821767E7</v>
      </c>
      <c r="I525" s="16">
        <v>4.0</v>
      </c>
      <c r="J525" s="11">
        <v>5.0</v>
      </c>
      <c r="K525" s="11" t="str">
        <f t="shared" si="1"/>
        <v>02130081821767045</v>
      </c>
      <c r="L525" s="238">
        <v>588660.8</v>
      </c>
      <c r="M525" s="254">
        <v>110318.0</v>
      </c>
      <c r="N525" s="16">
        <v>17.0</v>
      </c>
      <c r="O525" s="17">
        <v>49.0</v>
      </c>
      <c r="P525" s="17">
        <v>72.0</v>
      </c>
      <c r="Q525" s="11">
        <v>4.1185161E7</v>
      </c>
      <c r="R525" s="11">
        <v>1.0</v>
      </c>
      <c r="S525" s="24" t="s">
        <v>5292</v>
      </c>
      <c r="T525" s="249" t="s">
        <v>5814</v>
      </c>
      <c r="U525" s="17">
        <v>87.0</v>
      </c>
      <c r="V525" s="16">
        <v>39.0</v>
      </c>
      <c r="W525" s="16">
        <v>89.0</v>
      </c>
      <c r="X525" s="50">
        <v>51520.0</v>
      </c>
      <c r="Y525" s="250">
        <v>5374.0</v>
      </c>
    </row>
    <row r="526">
      <c r="A526" s="11">
        <v>20.0</v>
      </c>
      <c r="B526" s="11">
        <v>72.0</v>
      </c>
      <c r="C526" s="253">
        <v>1.0</v>
      </c>
      <c r="D526" s="235">
        <v>5.0</v>
      </c>
      <c r="E526" s="235">
        <v>5.0</v>
      </c>
      <c r="F526" s="253">
        <v>1.0</v>
      </c>
      <c r="G526" s="235">
        <v>5.0</v>
      </c>
      <c r="H526" s="236">
        <v>3.2566853E7</v>
      </c>
      <c r="I526" s="16">
        <v>31.0</v>
      </c>
      <c r="J526" s="11">
        <v>5.0</v>
      </c>
      <c r="K526" s="11" t="str">
        <f t="shared" si="1"/>
        <v>00050032566853315</v>
      </c>
      <c r="L526" s="238">
        <v>2329.87</v>
      </c>
      <c r="M526" s="254">
        <v>62619.0</v>
      </c>
      <c r="N526" s="16">
        <v>80.0</v>
      </c>
      <c r="O526" s="17">
        <v>21.0</v>
      </c>
      <c r="P526" s="17">
        <v>31.0</v>
      </c>
      <c r="Q526" s="11">
        <v>4.3817271E7</v>
      </c>
      <c r="R526" s="11">
        <v>1.0</v>
      </c>
      <c r="S526" s="24" t="s">
        <v>48</v>
      </c>
      <c r="T526" s="249" t="s">
        <v>5815</v>
      </c>
      <c r="U526" s="17">
        <v>93.0</v>
      </c>
      <c r="V526" s="16">
        <v>61.0</v>
      </c>
      <c r="W526" s="16">
        <v>7.0</v>
      </c>
      <c r="X526" s="50">
        <v>50315.0</v>
      </c>
      <c r="Y526" s="250">
        <v>4282.0</v>
      </c>
    </row>
    <row r="527">
      <c r="A527" s="11">
        <v>17.0</v>
      </c>
      <c r="B527" s="11">
        <v>52.0</v>
      </c>
      <c r="C527" s="253">
        <v>17.0</v>
      </c>
      <c r="D527" s="235">
        <v>63.0</v>
      </c>
      <c r="E527" s="235">
        <v>63.0</v>
      </c>
      <c r="F527" s="253">
        <v>17.0</v>
      </c>
      <c r="G527" s="235">
        <v>63.0</v>
      </c>
      <c r="H527" s="236">
        <v>6.5060128E7</v>
      </c>
      <c r="I527" s="16">
        <v>37.0</v>
      </c>
      <c r="J527" s="11">
        <v>8.0</v>
      </c>
      <c r="K527" s="11" t="str">
        <f t="shared" si="1"/>
        <v>00630065060128378</v>
      </c>
      <c r="L527" s="238">
        <v>-731401.69</v>
      </c>
      <c r="M527" s="254">
        <v>81215.0</v>
      </c>
      <c r="N527" s="16">
        <v>33.0</v>
      </c>
      <c r="O527" s="17">
        <v>20.0</v>
      </c>
      <c r="P527" s="17">
        <v>93.0</v>
      </c>
      <c r="Q527" s="11">
        <v>4.2524399E7</v>
      </c>
      <c r="R527" s="11">
        <v>3.0</v>
      </c>
      <c r="S527" s="24" t="s">
        <v>48</v>
      </c>
      <c r="T527" s="249" t="s">
        <v>5816</v>
      </c>
      <c r="U527" s="17">
        <v>38.0</v>
      </c>
      <c r="V527" s="16">
        <v>47.0</v>
      </c>
      <c r="W527" s="16">
        <v>29.0</v>
      </c>
      <c r="X527" s="50">
        <v>93019.0</v>
      </c>
      <c r="Y527" s="250">
        <v>743.0</v>
      </c>
    </row>
    <row r="528">
      <c r="A528" s="11">
        <v>15.0</v>
      </c>
      <c r="B528" s="11">
        <v>11.0</v>
      </c>
      <c r="C528" s="253">
        <v>54.0</v>
      </c>
      <c r="D528" s="235">
        <v>55.0</v>
      </c>
      <c r="E528" s="235">
        <v>55.0</v>
      </c>
      <c r="F528" s="253">
        <v>54.0</v>
      </c>
      <c r="G528" s="235">
        <v>55.0</v>
      </c>
      <c r="H528" s="236">
        <v>4.5020517E7</v>
      </c>
      <c r="I528" s="16">
        <v>13.0</v>
      </c>
      <c r="J528" s="11">
        <v>9.0</v>
      </c>
      <c r="K528" s="11" t="str">
        <f t="shared" si="1"/>
        <v>00550045020517139</v>
      </c>
      <c r="L528" s="238">
        <v>2751.57</v>
      </c>
      <c r="M528" s="254">
        <v>102822.0</v>
      </c>
      <c r="N528" s="16">
        <v>56.0</v>
      </c>
      <c r="O528" s="17">
        <v>24.0</v>
      </c>
      <c r="P528" s="17">
        <v>31.0</v>
      </c>
      <c r="Q528" s="11">
        <v>5.5389004E7</v>
      </c>
      <c r="R528" s="11">
        <v>7.0</v>
      </c>
      <c r="S528" s="24" t="s">
        <v>29</v>
      </c>
      <c r="T528" s="249" t="s">
        <v>5817</v>
      </c>
      <c r="U528" s="17">
        <v>95.0</v>
      </c>
      <c r="V528" s="16">
        <v>47.0</v>
      </c>
      <c r="W528" s="16">
        <v>86.0</v>
      </c>
      <c r="X528" s="50">
        <v>61315.0</v>
      </c>
      <c r="Y528" s="250">
        <v>5102.0</v>
      </c>
    </row>
    <row r="529">
      <c r="A529" s="11">
        <v>10.0</v>
      </c>
      <c r="B529" s="11">
        <v>72.0</v>
      </c>
      <c r="C529" s="253">
        <v>13.0</v>
      </c>
      <c r="D529" s="235">
        <v>157.0</v>
      </c>
      <c r="E529" s="235">
        <v>157.0</v>
      </c>
      <c r="F529" s="253">
        <v>13.0</v>
      </c>
      <c r="G529" s="235">
        <v>157.0</v>
      </c>
      <c r="H529" s="236">
        <v>8.6292446E7</v>
      </c>
      <c r="I529" s="16">
        <v>85.0</v>
      </c>
      <c r="J529" s="11">
        <v>1.0</v>
      </c>
      <c r="K529" s="11" t="str">
        <f t="shared" si="1"/>
        <v>01570086292446851</v>
      </c>
      <c r="L529" s="238">
        <v>15903.61</v>
      </c>
      <c r="M529" s="254">
        <v>92123.0</v>
      </c>
      <c r="N529" s="16">
        <v>75.0</v>
      </c>
      <c r="O529" s="17">
        <v>54.0</v>
      </c>
      <c r="P529" s="17">
        <v>11.0</v>
      </c>
      <c r="Q529" s="11">
        <v>4.3163032E7</v>
      </c>
      <c r="R529" s="11">
        <v>7.0</v>
      </c>
      <c r="S529" s="24" t="s">
        <v>29</v>
      </c>
      <c r="T529" s="249" t="s">
        <v>5818</v>
      </c>
      <c r="U529" s="17">
        <v>44.0</v>
      </c>
      <c r="V529" s="16">
        <v>34.0</v>
      </c>
      <c r="W529" s="16">
        <v>98.0</v>
      </c>
      <c r="X529" s="50">
        <v>122419.0</v>
      </c>
      <c r="Y529" s="250">
        <v>9354.0</v>
      </c>
    </row>
    <row r="530">
      <c r="A530" s="11">
        <v>17.0</v>
      </c>
      <c r="B530" s="11">
        <v>11.0</v>
      </c>
      <c r="C530" s="253">
        <v>39.0</v>
      </c>
      <c r="D530" s="235">
        <v>47.0</v>
      </c>
      <c r="E530" s="235">
        <v>47.0</v>
      </c>
      <c r="F530" s="253">
        <v>39.0</v>
      </c>
      <c r="G530" s="235">
        <v>47.0</v>
      </c>
      <c r="H530" s="236">
        <v>3.520333E7</v>
      </c>
      <c r="I530" s="16">
        <v>91.0</v>
      </c>
      <c r="J530" s="11">
        <v>0.0</v>
      </c>
      <c r="K530" s="11" t="str">
        <f t="shared" si="1"/>
        <v>00470035203330910</v>
      </c>
      <c r="L530" s="238">
        <v>-577.19</v>
      </c>
      <c r="M530" s="254">
        <v>60119.0</v>
      </c>
      <c r="N530" s="16">
        <v>83.0</v>
      </c>
      <c r="O530" s="17">
        <v>47.0</v>
      </c>
      <c r="P530" s="17">
        <v>93.0</v>
      </c>
      <c r="Q530" s="11">
        <v>4.4480631E7</v>
      </c>
      <c r="R530" s="11">
        <v>9.0</v>
      </c>
      <c r="S530" s="24" t="s">
        <v>29</v>
      </c>
      <c r="T530" s="249" t="s">
        <v>5819</v>
      </c>
      <c r="U530" s="17">
        <v>41.0</v>
      </c>
      <c r="V530" s="16">
        <v>95.0</v>
      </c>
      <c r="W530" s="16">
        <v>41.0</v>
      </c>
      <c r="X530" s="50">
        <v>120413.0</v>
      </c>
      <c r="Y530" s="250">
        <v>738.0</v>
      </c>
    </row>
    <row r="531">
      <c r="A531" s="11">
        <v>10.0</v>
      </c>
      <c r="B531" s="11">
        <v>11.0</v>
      </c>
      <c r="C531" s="253">
        <v>2.0</v>
      </c>
      <c r="D531" s="235">
        <v>290.0</v>
      </c>
      <c r="E531" s="235">
        <v>290.0</v>
      </c>
      <c r="F531" s="253">
        <v>2.0</v>
      </c>
      <c r="G531" s="235">
        <v>290.0</v>
      </c>
      <c r="H531" s="236">
        <v>2.4325814E7</v>
      </c>
      <c r="I531" s="16">
        <v>16.0</v>
      </c>
      <c r="J531" s="11">
        <v>9.0</v>
      </c>
      <c r="K531" s="11" t="str">
        <f t="shared" si="1"/>
        <v>02900024325814169</v>
      </c>
      <c r="L531" s="238">
        <v>4633.56</v>
      </c>
      <c r="M531" s="254">
        <v>112917.0</v>
      </c>
      <c r="N531" s="16">
        <v>25.0</v>
      </c>
      <c r="O531" s="17">
        <v>36.0</v>
      </c>
      <c r="P531" s="17">
        <v>31.0</v>
      </c>
      <c r="Q531" s="11">
        <v>9.9423966E7</v>
      </c>
      <c r="R531" s="11">
        <v>2.0</v>
      </c>
      <c r="S531" s="24" t="s">
        <v>48</v>
      </c>
      <c r="T531" s="249" t="s">
        <v>5820</v>
      </c>
      <c r="U531" s="17">
        <v>91.0</v>
      </c>
      <c r="V531" s="16">
        <v>99.0</v>
      </c>
      <c r="W531" s="16">
        <v>59.0</v>
      </c>
      <c r="X531" s="50">
        <v>11120.0</v>
      </c>
      <c r="Y531" s="250">
        <v>723.0</v>
      </c>
    </row>
    <row r="532">
      <c r="A532" s="11">
        <v>16.0</v>
      </c>
      <c r="B532" s="11">
        <v>31.0</v>
      </c>
      <c r="C532" s="253">
        <v>55.0</v>
      </c>
      <c r="D532" s="235">
        <v>23.0</v>
      </c>
      <c r="E532" s="235">
        <v>23.0</v>
      </c>
      <c r="F532" s="253">
        <v>55.0</v>
      </c>
      <c r="G532" s="235">
        <v>23.0</v>
      </c>
      <c r="H532" s="236">
        <v>8.4897879E7</v>
      </c>
      <c r="I532" s="16">
        <v>22.0</v>
      </c>
      <c r="J532" s="11">
        <v>1.0</v>
      </c>
      <c r="K532" s="11" t="str">
        <f t="shared" si="1"/>
        <v>00230084897879221</v>
      </c>
      <c r="L532" s="238">
        <v>-39894.44</v>
      </c>
      <c r="M532" s="254">
        <v>71122.0</v>
      </c>
      <c r="N532" s="16">
        <v>2.0</v>
      </c>
      <c r="O532" s="17">
        <v>2.0</v>
      </c>
      <c r="P532" s="17">
        <v>11.0</v>
      </c>
      <c r="Q532" s="11">
        <v>2.3264303E7</v>
      </c>
      <c r="R532" s="11">
        <v>6.0</v>
      </c>
      <c r="S532" s="24" t="s">
        <v>48</v>
      </c>
      <c r="T532" s="249" t="s">
        <v>5821</v>
      </c>
      <c r="U532" s="17">
        <v>51.0</v>
      </c>
      <c r="V532" s="16">
        <v>35.0</v>
      </c>
      <c r="W532" s="16">
        <v>37.0</v>
      </c>
      <c r="X532" s="50">
        <v>103119.0</v>
      </c>
      <c r="Y532" s="250">
        <v>9875.0</v>
      </c>
    </row>
    <row r="533">
      <c r="A533" s="11">
        <v>10.0</v>
      </c>
      <c r="B533" s="11">
        <v>72.0</v>
      </c>
      <c r="C533" s="253">
        <v>46.0</v>
      </c>
      <c r="D533" s="235">
        <v>113.0</v>
      </c>
      <c r="E533" s="235">
        <v>113.0</v>
      </c>
      <c r="F533" s="253">
        <v>46.0</v>
      </c>
      <c r="G533" s="235">
        <v>113.0</v>
      </c>
      <c r="H533" s="236">
        <v>5.6964417E7</v>
      </c>
      <c r="I533" s="16">
        <v>53.0</v>
      </c>
      <c r="J533" s="11">
        <v>0.0</v>
      </c>
      <c r="K533" s="11" t="str">
        <f t="shared" si="1"/>
        <v>01130056964417530</v>
      </c>
      <c r="L533" s="238">
        <v>5899.73</v>
      </c>
      <c r="M533" s="254">
        <v>12723.0</v>
      </c>
      <c r="N533" s="16">
        <v>16.0</v>
      </c>
      <c r="O533" s="17">
        <v>24.0</v>
      </c>
      <c r="P533" s="17">
        <v>72.0</v>
      </c>
      <c r="Q533" s="11">
        <v>2.1544926E7</v>
      </c>
      <c r="R533" s="11">
        <v>7.0</v>
      </c>
      <c r="S533" s="24" t="s">
        <v>48</v>
      </c>
      <c r="T533" s="249" t="s">
        <v>5822</v>
      </c>
      <c r="U533" s="17">
        <v>88.0</v>
      </c>
      <c r="V533" s="16">
        <v>98.0</v>
      </c>
      <c r="W533" s="16">
        <v>55.0</v>
      </c>
      <c r="X533" s="50">
        <v>31313.0</v>
      </c>
      <c r="Y533" s="250">
        <v>9181.0</v>
      </c>
    </row>
    <row r="534">
      <c r="A534" s="11">
        <v>12.0</v>
      </c>
      <c r="B534" s="11">
        <v>31.0</v>
      </c>
      <c r="C534" s="253">
        <v>31.0</v>
      </c>
      <c r="D534" s="235">
        <v>71.0</v>
      </c>
      <c r="E534" s="235">
        <v>71.0</v>
      </c>
      <c r="F534" s="253">
        <v>31.0</v>
      </c>
      <c r="G534" s="235">
        <v>71.0</v>
      </c>
      <c r="H534" s="236">
        <v>3.1120095E7</v>
      </c>
      <c r="I534" s="16">
        <v>40.0</v>
      </c>
      <c r="J534" s="11">
        <v>9.0</v>
      </c>
      <c r="K534" s="11" t="str">
        <f t="shared" si="1"/>
        <v>00710031120095409</v>
      </c>
      <c r="L534" s="238">
        <v>8837.42</v>
      </c>
      <c r="M534" s="254">
        <v>10919.0</v>
      </c>
      <c r="N534" s="16">
        <v>38.0</v>
      </c>
      <c r="O534" s="17">
        <v>50.0</v>
      </c>
      <c r="P534" s="17">
        <v>72.0</v>
      </c>
      <c r="Q534" s="11">
        <v>2.4149325E7</v>
      </c>
      <c r="R534" s="11">
        <v>1.0</v>
      </c>
      <c r="S534" s="24" t="s">
        <v>29</v>
      </c>
      <c r="T534" s="249" t="s">
        <v>5823</v>
      </c>
      <c r="U534" s="17">
        <v>99.0</v>
      </c>
      <c r="V534" s="16">
        <v>21.0</v>
      </c>
      <c r="W534" s="16">
        <v>22.0</v>
      </c>
      <c r="X534" s="50">
        <v>21918.0</v>
      </c>
      <c r="Y534" s="250">
        <v>5582.0</v>
      </c>
    </row>
    <row r="535">
      <c r="A535" s="11">
        <v>16.0</v>
      </c>
      <c r="B535" s="11">
        <v>72.0</v>
      </c>
      <c r="C535" s="253">
        <v>18.0</v>
      </c>
      <c r="D535" s="235">
        <v>169.0</v>
      </c>
      <c r="E535" s="235">
        <v>169.0</v>
      </c>
      <c r="F535" s="253">
        <v>18.0</v>
      </c>
      <c r="G535" s="235">
        <v>169.0</v>
      </c>
      <c r="H535" s="236">
        <v>4.274008E7</v>
      </c>
      <c r="I535" s="16">
        <v>30.0</v>
      </c>
      <c r="J535" s="11">
        <v>3.0</v>
      </c>
      <c r="K535" s="11" t="str">
        <f t="shared" si="1"/>
        <v>01690042740080303</v>
      </c>
      <c r="L535" s="238">
        <v>-110222.38</v>
      </c>
      <c r="M535" s="254">
        <v>41018.0</v>
      </c>
      <c r="N535" s="16">
        <v>5.0</v>
      </c>
      <c r="O535" s="17">
        <v>10.0</v>
      </c>
      <c r="P535" s="17">
        <v>32.0</v>
      </c>
      <c r="Q535" s="11">
        <v>7.1578721E7</v>
      </c>
      <c r="R535" s="11">
        <v>1.0</v>
      </c>
      <c r="S535" s="24" t="s">
        <v>29</v>
      </c>
      <c r="T535" s="249" t="s">
        <v>5824</v>
      </c>
      <c r="U535" s="17">
        <v>3.0</v>
      </c>
      <c r="V535" s="16">
        <v>46.0</v>
      </c>
      <c r="W535" s="16">
        <v>91.0</v>
      </c>
      <c r="X535" s="50">
        <v>12516.0</v>
      </c>
      <c r="Y535" s="250">
        <v>8510.0</v>
      </c>
    </row>
    <row r="536">
      <c r="A536" s="11">
        <v>11.0</v>
      </c>
      <c r="B536" s="11">
        <v>11.0</v>
      </c>
      <c r="C536" s="253">
        <v>48.0</v>
      </c>
      <c r="D536" s="235">
        <v>45.0</v>
      </c>
      <c r="E536" s="235">
        <v>45.0</v>
      </c>
      <c r="F536" s="253">
        <v>48.0</v>
      </c>
      <c r="G536" s="235">
        <v>45.0</v>
      </c>
      <c r="H536" s="236">
        <v>4.3553271E7</v>
      </c>
      <c r="I536" s="16">
        <v>89.0</v>
      </c>
      <c r="J536" s="11">
        <v>1.0</v>
      </c>
      <c r="K536" s="11" t="str">
        <f t="shared" si="1"/>
        <v>00450043553271891</v>
      </c>
      <c r="L536" s="238">
        <v>-9288.16</v>
      </c>
      <c r="M536" s="254">
        <v>73115.0</v>
      </c>
      <c r="N536" s="16">
        <v>42.0</v>
      </c>
      <c r="O536" s="17">
        <v>8.0</v>
      </c>
      <c r="P536" s="17">
        <v>73.0</v>
      </c>
      <c r="Q536" s="11">
        <v>8.865549E7</v>
      </c>
      <c r="R536" s="11">
        <v>3.0</v>
      </c>
      <c r="S536" s="24" t="s">
        <v>29</v>
      </c>
      <c r="T536" s="249" t="s">
        <v>5825</v>
      </c>
      <c r="U536" s="17">
        <v>0.0</v>
      </c>
      <c r="V536" s="16">
        <v>55.0</v>
      </c>
      <c r="W536" s="16">
        <v>63.0</v>
      </c>
      <c r="X536" s="50">
        <v>20421.0</v>
      </c>
      <c r="Y536" s="250">
        <v>2049.0</v>
      </c>
    </row>
    <row r="537">
      <c r="A537" s="11">
        <v>15.0</v>
      </c>
      <c r="B537" s="11">
        <v>11.0</v>
      </c>
      <c r="C537" s="253">
        <v>27.0</v>
      </c>
      <c r="D537" s="235">
        <v>51.0</v>
      </c>
      <c r="E537" s="235">
        <v>51.0</v>
      </c>
      <c r="F537" s="253">
        <v>27.0</v>
      </c>
      <c r="G537" s="235">
        <v>51.0</v>
      </c>
      <c r="H537" s="236">
        <v>9.9795539E7</v>
      </c>
      <c r="I537" s="16">
        <v>28.0</v>
      </c>
      <c r="J537" s="11">
        <v>5.0</v>
      </c>
      <c r="K537" s="11" t="str">
        <f t="shared" si="1"/>
        <v>00510099795539285</v>
      </c>
      <c r="L537" s="238">
        <v>5978.36</v>
      </c>
      <c r="M537" s="254">
        <v>121815.0</v>
      </c>
      <c r="N537" s="16">
        <v>5.0</v>
      </c>
      <c r="O537" s="17">
        <v>39.0</v>
      </c>
      <c r="P537" s="17">
        <v>52.0</v>
      </c>
      <c r="Q537" s="11">
        <v>8.0253846E7</v>
      </c>
      <c r="R537" s="11">
        <v>5.0</v>
      </c>
      <c r="S537" s="24" t="s">
        <v>5292</v>
      </c>
      <c r="T537" s="249" t="s">
        <v>5826</v>
      </c>
      <c r="U537" s="17">
        <v>54.0</v>
      </c>
      <c r="V537" s="16">
        <v>15.0</v>
      </c>
      <c r="W537" s="16">
        <v>58.0</v>
      </c>
      <c r="X537" s="50">
        <v>21717.0</v>
      </c>
      <c r="Y537" s="250">
        <v>4962.0</v>
      </c>
    </row>
    <row r="538">
      <c r="A538" s="11">
        <v>10.0</v>
      </c>
      <c r="B538" s="11">
        <v>93.0</v>
      </c>
      <c r="C538" s="253">
        <v>20.0</v>
      </c>
      <c r="D538" s="235">
        <v>67.0</v>
      </c>
      <c r="E538" s="235">
        <v>67.0</v>
      </c>
      <c r="F538" s="253">
        <v>20.0</v>
      </c>
      <c r="G538" s="235">
        <v>67.0</v>
      </c>
      <c r="H538" s="236">
        <v>5.1986611E7</v>
      </c>
      <c r="I538" s="16">
        <v>91.0</v>
      </c>
      <c r="J538" s="11">
        <v>2.0</v>
      </c>
      <c r="K538" s="11" t="str">
        <f t="shared" si="1"/>
        <v>00670051986611912</v>
      </c>
      <c r="L538" s="238">
        <v>6937.85</v>
      </c>
      <c r="M538" s="254">
        <v>40619.0</v>
      </c>
      <c r="N538" s="16">
        <v>24.0</v>
      </c>
      <c r="O538" s="17">
        <v>41.0</v>
      </c>
      <c r="P538" s="17">
        <v>73.0</v>
      </c>
      <c r="Q538" s="11">
        <v>3.6862247E7</v>
      </c>
      <c r="R538" s="11">
        <v>2.0</v>
      </c>
      <c r="S538" s="24" t="s">
        <v>29</v>
      </c>
      <c r="T538" s="249" t="s">
        <v>5827</v>
      </c>
      <c r="U538" s="17">
        <v>4.0</v>
      </c>
      <c r="V538" s="16">
        <v>32.0</v>
      </c>
      <c r="W538" s="16">
        <v>60.0</v>
      </c>
      <c r="X538" s="50">
        <v>81722.0</v>
      </c>
      <c r="Y538" s="250">
        <v>3605.0</v>
      </c>
    </row>
    <row r="539">
      <c r="A539" s="11">
        <v>14.0</v>
      </c>
      <c r="B539" s="11">
        <v>93.0</v>
      </c>
      <c r="C539" s="253">
        <v>13.0</v>
      </c>
      <c r="D539" s="235">
        <v>123.0</v>
      </c>
      <c r="E539" s="235">
        <v>123.0</v>
      </c>
      <c r="F539" s="253">
        <v>13.0</v>
      </c>
      <c r="G539" s="235">
        <v>123.0</v>
      </c>
      <c r="H539" s="236">
        <v>3.9228425E7</v>
      </c>
      <c r="I539" s="16">
        <v>54.0</v>
      </c>
      <c r="J539" s="11">
        <v>6.0</v>
      </c>
      <c r="K539" s="11" t="str">
        <f t="shared" si="1"/>
        <v>01230039228425546</v>
      </c>
      <c r="L539" s="238">
        <v>59133.51</v>
      </c>
      <c r="M539" s="254">
        <v>80617.0</v>
      </c>
      <c r="N539" s="16">
        <v>91.0</v>
      </c>
      <c r="O539" s="17">
        <v>15.0</v>
      </c>
      <c r="P539" s="17">
        <v>73.0</v>
      </c>
      <c r="Q539" s="11">
        <v>1.0164998E7</v>
      </c>
      <c r="R539" s="11">
        <v>5.0</v>
      </c>
      <c r="S539" s="24" t="s">
        <v>48</v>
      </c>
      <c r="T539" s="249" t="s">
        <v>5828</v>
      </c>
      <c r="U539" s="17">
        <v>5.0</v>
      </c>
      <c r="V539" s="16">
        <v>1.0</v>
      </c>
      <c r="W539" s="16">
        <v>54.0</v>
      </c>
      <c r="X539" s="50">
        <v>10514.0</v>
      </c>
      <c r="Y539" s="250">
        <v>8205.0</v>
      </c>
    </row>
    <row r="540">
      <c r="A540" s="11">
        <v>11.0</v>
      </c>
      <c r="B540" s="11">
        <v>32.0</v>
      </c>
      <c r="C540" s="253">
        <v>26.0</v>
      </c>
      <c r="D540" s="235">
        <v>29.0</v>
      </c>
      <c r="E540" s="235">
        <v>29.0</v>
      </c>
      <c r="F540" s="253">
        <v>26.0</v>
      </c>
      <c r="G540" s="235">
        <v>29.0</v>
      </c>
      <c r="H540" s="236">
        <v>7.1814357E7</v>
      </c>
      <c r="I540" s="16">
        <v>80.0</v>
      </c>
      <c r="J540" s="11">
        <v>0.0</v>
      </c>
      <c r="K540" s="11" t="str">
        <f t="shared" si="1"/>
        <v>00290071814357800</v>
      </c>
      <c r="L540" s="238">
        <v>-9320.54</v>
      </c>
      <c r="M540" s="254">
        <v>50214.0</v>
      </c>
      <c r="N540" s="16">
        <v>29.0</v>
      </c>
      <c r="O540" s="17">
        <v>30.0</v>
      </c>
      <c r="P540" s="17">
        <v>73.0</v>
      </c>
      <c r="Q540" s="11">
        <v>9.5751989E7</v>
      </c>
      <c r="R540" s="11">
        <v>8.0</v>
      </c>
      <c r="S540" s="24" t="s">
        <v>29</v>
      </c>
      <c r="T540" s="249" t="s">
        <v>5829</v>
      </c>
      <c r="U540" s="17">
        <v>7.0</v>
      </c>
      <c r="V540" s="16">
        <v>43.0</v>
      </c>
      <c r="W540" s="16">
        <v>79.0</v>
      </c>
      <c r="X540" s="50">
        <v>90516.0</v>
      </c>
      <c r="Y540" s="250">
        <v>4230.0</v>
      </c>
    </row>
    <row r="541">
      <c r="A541" s="11">
        <v>12.0</v>
      </c>
      <c r="B541" s="11">
        <v>11.0</v>
      </c>
      <c r="C541" s="253">
        <v>26.0</v>
      </c>
      <c r="D541" s="235">
        <v>77.0</v>
      </c>
      <c r="E541" s="235">
        <v>77.0</v>
      </c>
      <c r="F541" s="253">
        <v>26.0</v>
      </c>
      <c r="G541" s="235">
        <v>77.0</v>
      </c>
      <c r="H541" s="236">
        <v>6.3321516E7</v>
      </c>
      <c r="I541" s="16">
        <v>56.0</v>
      </c>
      <c r="J541" s="11">
        <v>9.0</v>
      </c>
      <c r="K541" s="11" t="str">
        <f t="shared" si="1"/>
        <v>00770063321516569</v>
      </c>
      <c r="L541" s="238">
        <v>9482.9</v>
      </c>
      <c r="M541" s="254">
        <v>90320.0</v>
      </c>
      <c r="N541" s="16">
        <v>78.0</v>
      </c>
      <c r="O541" s="17">
        <v>5.0</v>
      </c>
      <c r="P541" s="17">
        <v>73.0</v>
      </c>
      <c r="Q541" s="11">
        <v>9.1878793E7</v>
      </c>
      <c r="R541" s="11">
        <v>3.0</v>
      </c>
      <c r="S541" s="24" t="s">
        <v>29</v>
      </c>
      <c r="T541" s="249" t="s">
        <v>5830</v>
      </c>
      <c r="U541" s="17">
        <v>8.0</v>
      </c>
      <c r="V541" s="16">
        <v>23.0</v>
      </c>
      <c r="W541" s="16">
        <v>32.0</v>
      </c>
      <c r="X541" s="50">
        <v>10722.0</v>
      </c>
      <c r="Y541" s="250">
        <v>4143.0</v>
      </c>
    </row>
    <row r="542">
      <c r="A542" s="11">
        <v>19.0</v>
      </c>
      <c r="B542" s="11">
        <v>93.0</v>
      </c>
      <c r="C542" s="253">
        <v>31.0</v>
      </c>
      <c r="D542" s="235">
        <v>105.0</v>
      </c>
      <c r="E542" s="235">
        <v>105.0</v>
      </c>
      <c r="F542" s="253">
        <v>31.0</v>
      </c>
      <c r="G542" s="235">
        <v>105.0</v>
      </c>
      <c r="H542" s="236">
        <v>9.8825907E7</v>
      </c>
      <c r="I542" s="16">
        <v>52.0</v>
      </c>
      <c r="J542" s="11">
        <v>7.0</v>
      </c>
      <c r="K542" s="11" t="str">
        <f t="shared" si="1"/>
        <v>01050098825907527</v>
      </c>
      <c r="L542" s="238">
        <v>1044.46</v>
      </c>
      <c r="M542" s="254">
        <v>53115.0</v>
      </c>
      <c r="N542" s="16">
        <v>42.0</v>
      </c>
      <c r="O542" s="17">
        <v>18.0</v>
      </c>
      <c r="P542" s="17">
        <v>93.0</v>
      </c>
      <c r="Q542" s="11">
        <v>7.2208692E7</v>
      </c>
      <c r="R542" s="11">
        <v>8.0</v>
      </c>
      <c r="S542" s="24" t="s">
        <v>48</v>
      </c>
      <c r="T542" s="249" t="s">
        <v>5831</v>
      </c>
      <c r="U542" s="17">
        <v>56.0</v>
      </c>
      <c r="V542" s="16">
        <v>98.0</v>
      </c>
      <c r="W542" s="16">
        <v>79.0</v>
      </c>
      <c r="X542" s="50">
        <v>111220.0</v>
      </c>
      <c r="Y542" s="250">
        <v>306.0</v>
      </c>
    </row>
    <row r="543">
      <c r="A543" s="11">
        <v>15.0</v>
      </c>
      <c r="B543" s="11">
        <v>73.0</v>
      </c>
      <c r="C543" s="253">
        <v>51.0</v>
      </c>
      <c r="D543" s="235">
        <v>107.0</v>
      </c>
      <c r="E543" s="235">
        <v>107.0</v>
      </c>
      <c r="F543" s="253">
        <v>51.0</v>
      </c>
      <c r="G543" s="235">
        <v>107.0</v>
      </c>
      <c r="H543" s="236">
        <v>9.8916415E7</v>
      </c>
      <c r="I543" s="16">
        <v>97.0</v>
      </c>
      <c r="J543" s="11">
        <v>8.0</v>
      </c>
      <c r="K543" s="11" t="str">
        <f t="shared" si="1"/>
        <v>01070098916415978</v>
      </c>
      <c r="L543" s="238">
        <v>53681.16</v>
      </c>
      <c r="M543" s="254">
        <v>51722.0</v>
      </c>
      <c r="N543" s="16">
        <v>82.0</v>
      </c>
      <c r="O543" s="17">
        <v>28.0</v>
      </c>
      <c r="P543" s="17">
        <v>32.0</v>
      </c>
      <c r="Q543" s="11">
        <v>9.4498587E7</v>
      </c>
      <c r="R543" s="11">
        <v>1.0</v>
      </c>
      <c r="S543" s="24" t="s">
        <v>48</v>
      </c>
      <c r="T543" s="249" t="s">
        <v>5832</v>
      </c>
      <c r="U543" s="17">
        <v>14.0</v>
      </c>
      <c r="V543" s="16">
        <v>91.0</v>
      </c>
      <c r="W543" s="16">
        <v>96.0</v>
      </c>
      <c r="X543" s="50">
        <v>32614.0</v>
      </c>
      <c r="Y543" s="250">
        <v>2715.0</v>
      </c>
    </row>
    <row r="544">
      <c r="A544" s="11">
        <v>17.0</v>
      </c>
      <c r="B544" s="11">
        <v>93.0</v>
      </c>
      <c r="C544" s="253">
        <v>55.0</v>
      </c>
      <c r="D544" s="235">
        <v>83.0</v>
      </c>
      <c r="E544" s="235">
        <v>83.0</v>
      </c>
      <c r="F544" s="253">
        <v>55.0</v>
      </c>
      <c r="G544" s="235">
        <v>83.0</v>
      </c>
      <c r="H544" s="236">
        <v>4.2539912E7</v>
      </c>
      <c r="I544" s="16">
        <v>56.0</v>
      </c>
      <c r="J544" s="11">
        <v>2.0</v>
      </c>
      <c r="K544" s="11" t="str">
        <f t="shared" si="1"/>
        <v>00830042539912562</v>
      </c>
      <c r="L544" s="238">
        <v>63971.83</v>
      </c>
      <c r="M544" s="254">
        <v>90618.0</v>
      </c>
      <c r="N544" s="16">
        <v>9.0</v>
      </c>
      <c r="O544" s="17">
        <v>38.0</v>
      </c>
      <c r="P544" s="17">
        <v>93.0</v>
      </c>
      <c r="Q544" s="11">
        <v>7.3739773E7</v>
      </c>
      <c r="R544" s="11">
        <v>3.0</v>
      </c>
      <c r="S544" s="24" t="s">
        <v>29</v>
      </c>
      <c r="T544" s="249" t="s">
        <v>5833</v>
      </c>
      <c r="U544" s="17">
        <v>60.0</v>
      </c>
      <c r="V544" s="16">
        <v>29.0</v>
      </c>
      <c r="W544" s="16">
        <v>89.0</v>
      </c>
      <c r="X544" s="50">
        <v>20521.0</v>
      </c>
      <c r="Y544" s="250">
        <v>3346.0</v>
      </c>
    </row>
    <row r="545">
      <c r="A545" s="11">
        <v>18.0</v>
      </c>
      <c r="B545" s="11">
        <v>93.0</v>
      </c>
      <c r="C545" s="253">
        <v>21.0</v>
      </c>
      <c r="D545" s="235">
        <v>169.0</v>
      </c>
      <c r="E545" s="235">
        <v>169.0</v>
      </c>
      <c r="F545" s="253">
        <v>21.0</v>
      </c>
      <c r="G545" s="235">
        <v>169.0</v>
      </c>
      <c r="H545" s="236">
        <v>2.9288811E7</v>
      </c>
      <c r="I545" s="16">
        <v>56.0</v>
      </c>
      <c r="J545" s="11">
        <v>9.0</v>
      </c>
      <c r="K545" s="11" t="str">
        <f t="shared" si="1"/>
        <v>01690029288811569</v>
      </c>
      <c r="L545" s="238">
        <v>610622.77</v>
      </c>
      <c r="M545" s="254">
        <v>111117.0</v>
      </c>
      <c r="N545" s="16">
        <v>20.0</v>
      </c>
      <c r="O545" s="17">
        <v>39.0</v>
      </c>
      <c r="P545" s="17">
        <v>93.0</v>
      </c>
      <c r="Q545" s="11">
        <v>2.102613E7</v>
      </c>
      <c r="R545" s="11">
        <v>8.0</v>
      </c>
      <c r="S545" s="24" t="s">
        <v>29</v>
      </c>
      <c r="T545" s="249" t="s">
        <v>5834</v>
      </c>
      <c r="U545" s="17">
        <v>61.0</v>
      </c>
      <c r="V545" s="16">
        <v>69.0</v>
      </c>
      <c r="W545" s="16">
        <v>86.0</v>
      </c>
      <c r="X545" s="50">
        <v>111814.0</v>
      </c>
      <c r="Y545" s="250">
        <v>7234.0</v>
      </c>
    </row>
    <row r="546">
      <c r="A546" s="11">
        <v>12.0</v>
      </c>
      <c r="B546" s="11">
        <v>32.0</v>
      </c>
      <c r="C546" s="253">
        <v>47.0</v>
      </c>
      <c r="D546" s="235">
        <v>9.0</v>
      </c>
      <c r="E546" s="235">
        <v>9.0</v>
      </c>
      <c r="F546" s="253">
        <v>47.0</v>
      </c>
      <c r="G546" s="235">
        <v>9.0</v>
      </c>
      <c r="H546" s="236">
        <v>8.0336766E7</v>
      </c>
      <c r="I546" s="16">
        <v>18.0</v>
      </c>
      <c r="J546" s="11">
        <v>1.0</v>
      </c>
      <c r="K546" s="11" t="str">
        <f t="shared" si="1"/>
        <v>00090080336766181</v>
      </c>
      <c r="L546" s="238">
        <v>534.73</v>
      </c>
      <c r="M546" s="254">
        <v>72322.0</v>
      </c>
      <c r="N546" s="16">
        <v>98.0</v>
      </c>
      <c r="O546" s="17">
        <v>13.0</v>
      </c>
      <c r="P546" s="17">
        <v>52.0</v>
      </c>
      <c r="Q546" s="11">
        <v>3.7075449E7</v>
      </c>
      <c r="R546" s="11">
        <v>9.0</v>
      </c>
      <c r="S546" s="24" t="s">
        <v>48</v>
      </c>
      <c r="T546" s="249" t="s">
        <v>5835</v>
      </c>
      <c r="U546" s="17">
        <v>66.0</v>
      </c>
      <c r="V546" s="16">
        <v>99.0</v>
      </c>
      <c r="W546" s="16">
        <v>44.0</v>
      </c>
      <c r="X546" s="50">
        <v>10321.0</v>
      </c>
      <c r="Y546" s="250">
        <v>4785.0</v>
      </c>
    </row>
    <row r="547">
      <c r="A547" s="11">
        <v>14.0</v>
      </c>
      <c r="B547" s="11">
        <v>32.0</v>
      </c>
      <c r="C547" s="253">
        <v>9.0</v>
      </c>
      <c r="D547" s="235">
        <v>7.0</v>
      </c>
      <c r="E547" s="235">
        <v>7.0</v>
      </c>
      <c r="F547" s="253">
        <v>9.0</v>
      </c>
      <c r="G547" s="235">
        <v>7.0</v>
      </c>
      <c r="H547" s="236">
        <v>6.8300833E7</v>
      </c>
      <c r="I547" s="16">
        <v>59.0</v>
      </c>
      <c r="J547" s="11">
        <v>1.0</v>
      </c>
      <c r="K547" s="11" t="str">
        <f t="shared" si="1"/>
        <v>00070068300833591</v>
      </c>
      <c r="L547" s="238">
        <v>528428.86</v>
      </c>
      <c r="M547" s="254">
        <v>11815.0</v>
      </c>
      <c r="N547" s="16">
        <v>51.0</v>
      </c>
      <c r="O547" s="17">
        <v>27.0</v>
      </c>
      <c r="P547" s="17">
        <v>32.0</v>
      </c>
      <c r="Q547" s="11">
        <v>8.4747029E7</v>
      </c>
      <c r="R547" s="11">
        <v>3.0</v>
      </c>
      <c r="S547" s="24" t="s">
        <v>48</v>
      </c>
      <c r="T547" s="249" t="s">
        <v>5836</v>
      </c>
      <c r="U547" s="17">
        <v>18.0</v>
      </c>
      <c r="V547" s="16">
        <v>41.0</v>
      </c>
      <c r="W547" s="16">
        <v>80.0</v>
      </c>
      <c r="X547" s="50">
        <v>21818.0</v>
      </c>
      <c r="Y547" s="250">
        <v>8049.0</v>
      </c>
    </row>
    <row r="548">
      <c r="A548" s="11">
        <v>14.0</v>
      </c>
      <c r="B548" s="11">
        <v>11.0</v>
      </c>
      <c r="C548" s="253">
        <v>6.0</v>
      </c>
      <c r="D548" s="235">
        <v>23.0</v>
      </c>
      <c r="E548" s="235">
        <v>23.0</v>
      </c>
      <c r="F548" s="253">
        <v>6.0</v>
      </c>
      <c r="G548" s="235">
        <v>23.0</v>
      </c>
      <c r="H548" s="236">
        <v>5.0844326E7</v>
      </c>
      <c r="I548" s="16">
        <v>41.0</v>
      </c>
      <c r="J548" s="11">
        <v>5.0</v>
      </c>
      <c r="K548" s="11" t="str">
        <f t="shared" si="1"/>
        <v>00230050844326415</v>
      </c>
      <c r="L548" s="238">
        <v>555.34</v>
      </c>
      <c r="M548" s="254">
        <v>22019.0</v>
      </c>
      <c r="N548" s="16">
        <v>21.0</v>
      </c>
      <c r="O548" s="17">
        <v>8.0</v>
      </c>
      <c r="P548" s="17">
        <v>32.0</v>
      </c>
      <c r="Q548" s="11">
        <v>8.7901198E7</v>
      </c>
      <c r="R548" s="11">
        <v>7.0</v>
      </c>
      <c r="S548" s="24" t="s">
        <v>5292</v>
      </c>
      <c r="T548" s="249" t="s">
        <v>5837</v>
      </c>
      <c r="U548" s="17">
        <v>16.0</v>
      </c>
      <c r="V548" s="16">
        <v>25.0</v>
      </c>
      <c r="W548" s="16">
        <v>55.0</v>
      </c>
      <c r="X548" s="50">
        <v>102617.0</v>
      </c>
      <c r="Y548" s="250">
        <v>1556.0</v>
      </c>
    </row>
    <row r="549">
      <c r="A549" s="11">
        <v>11.0</v>
      </c>
      <c r="B549" s="11">
        <v>32.0</v>
      </c>
      <c r="C549" s="253">
        <v>19.0</v>
      </c>
      <c r="D549" s="235">
        <v>59.0</v>
      </c>
      <c r="E549" s="235">
        <v>59.0</v>
      </c>
      <c r="F549" s="253">
        <v>19.0</v>
      </c>
      <c r="G549" s="235">
        <v>59.0</v>
      </c>
      <c r="H549" s="236">
        <v>7.7668069E7</v>
      </c>
      <c r="I549" s="16">
        <v>83.0</v>
      </c>
      <c r="J549" s="11">
        <v>5.0</v>
      </c>
      <c r="K549" s="11" t="str">
        <f t="shared" si="1"/>
        <v>00590077668069835</v>
      </c>
      <c r="L549" s="238">
        <v>61082.41</v>
      </c>
      <c r="M549" s="254">
        <v>121915.0</v>
      </c>
      <c r="N549" s="16">
        <v>51.0</v>
      </c>
      <c r="O549" s="17">
        <v>11.0</v>
      </c>
      <c r="P549" s="17">
        <v>93.0</v>
      </c>
      <c r="Q549" s="11">
        <v>4.4584751E7</v>
      </c>
      <c r="R549" s="11">
        <v>7.0</v>
      </c>
      <c r="S549" s="24" t="s">
        <v>48</v>
      </c>
      <c r="T549" s="249" t="s">
        <v>5838</v>
      </c>
      <c r="U549" s="17">
        <v>67.0</v>
      </c>
      <c r="V549" s="16">
        <v>19.0</v>
      </c>
      <c r="W549" s="16">
        <v>72.0</v>
      </c>
      <c r="X549" s="50">
        <v>102019.0</v>
      </c>
      <c r="Y549" s="250">
        <v>8420.0</v>
      </c>
    </row>
    <row r="550">
      <c r="A550" s="11">
        <v>19.0</v>
      </c>
      <c r="B550" s="11">
        <v>73.0</v>
      </c>
      <c r="C550" s="253">
        <v>29.0</v>
      </c>
      <c r="D550" s="235">
        <v>55.0</v>
      </c>
      <c r="E550" s="235">
        <v>55.0</v>
      </c>
      <c r="F550" s="253">
        <v>29.0</v>
      </c>
      <c r="G550" s="235">
        <v>55.0</v>
      </c>
      <c r="H550" s="236">
        <v>3.3898961E7</v>
      </c>
      <c r="I550" s="16">
        <v>49.0</v>
      </c>
      <c r="J550" s="11">
        <v>2.0</v>
      </c>
      <c r="K550" s="11" t="str">
        <f t="shared" si="1"/>
        <v>00550033898961492</v>
      </c>
      <c r="L550" s="238">
        <v>551453.24</v>
      </c>
      <c r="M550" s="254">
        <v>71518.0</v>
      </c>
      <c r="N550" s="16">
        <v>72.0</v>
      </c>
      <c r="O550" s="17">
        <v>17.0</v>
      </c>
      <c r="P550" s="17">
        <v>11.0</v>
      </c>
      <c r="Q550" s="11">
        <v>3.4952027E7</v>
      </c>
      <c r="R550" s="11">
        <v>2.0</v>
      </c>
      <c r="S550" s="24" t="s">
        <v>29</v>
      </c>
      <c r="T550" s="249" t="s">
        <v>5839</v>
      </c>
      <c r="U550" s="17">
        <v>76.0</v>
      </c>
      <c r="V550" s="16">
        <v>55.0</v>
      </c>
      <c r="W550" s="16">
        <v>82.0</v>
      </c>
      <c r="X550" s="50">
        <v>70819.0</v>
      </c>
      <c r="Y550" s="250">
        <v>1285.0</v>
      </c>
    </row>
    <row r="551">
      <c r="A551" s="11">
        <v>13.0</v>
      </c>
      <c r="B551" s="11">
        <v>11.0</v>
      </c>
      <c r="C551" s="253">
        <v>34.0</v>
      </c>
      <c r="D551" s="235">
        <v>29.0</v>
      </c>
      <c r="E551" s="235">
        <v>29.0</v>
      </c>
      <c r="F551" s="253">
        <v>34.0</v>
      </c>
      <c r="G551" s="235">
        <v>29.0</v>
      </c>
      <c r="H551" s="236">
        <v>4.118219E7</v>
      </c>
      <c r="I551" s="16">
        <v>36.0</v>
      </c>
      <c r="J551" s="11">
        <v>6.0</v>
      </c>
      <c r="K551" s="11" t="str">
        <f t="shared" si="1"/>
        <v>00290041182190366</v>
      </c>
      <c r="L551" s="238">
        <v>-353937.13</v>
      </c>
      <c r="M551" s="254">
        <v>21013.0</v>
      </c>
      <c r="N551" s="16">
        <v>97.0</v>
      </c>
      <c r="O551" s="17">
        <v>19.0</v>
      </c>
      <c r="P551" s="17">
        <v>93.0</v>
      </c>
      <c r="Q551" s="11">
        <v>2.0583341E7</v>
      </c>
      <c r="R551" s="11">
        <v>9.0</v>
      </c>
      <c r="S551" s="24" t="s">
        <v>29</v>
      </c>
      <c r="T551" s="249" t="s">
        <v>5840</v>
      </c>
      <c r="U551" s="17">
        <v>71.0</v>
      </c>
      <c r="V551" s="16">
        <v>92.0</v>
      </c>
      <c r="W551" s="16">
        <v>89.0</v>
      </c>
      <c r="X551" s="50">
        <v>40121.0</v>
      </c>
      <c r="Y551" s="250">
        <v>4718.0</v>
      </c>
    </row>
    <row r="552">
      <c r="A552" s="11">
        <v>17.0</v>
      </c>
      <c r="B552" s="11">
        <v>52.0</v>
      </c>
      <c r="C552" s="253">
        <v>32.0</v>
      </c>
      <c r="D552" s="235">
        <v>5.0</v>
      </c>
      <c r="E552" s="235">
        <v>5.0</v>
      </c>
      <c r="F552" s="253">
        <v>32.0</v>
      </c>
      <c r="G552" s="235">
        <v>5.0</v>
      </c>
      <c r="H552" s="236">
        <v>4.5644591E7</v>
      </c>
      <c r="I552" s="16">
        <v>18.0</v>
      </c>
      <c r="J552" s="11">
        <v>3.0</v>
      </c>
      <c r="K552" s="11" t="str">
        <f t="shared" si="1"/>
        <v>00050045644591183</v>
      </c>
      <c r="L552" s="238">
        <v>-54983.58</v>
      </c>
      <c r="M552" s="254">
        <v>121521.0</v>
      </c>
      <c r="N552" s="16">
        <v>4.0</v>
      </c>
      <c r="O552" s="17">
        <v>1.0</v>
      </c>
      <c r="P552" s="17">
        <v>11.0</v>
      </c>
      <c r="Q552" s="11">
        <v>1.6859843E7</v>
      </c>
      <c r="R552" s="11">
        <v>9.0</v>
      </c>
      <c r="S552" s="24" t="s">
        <v>5292</v>
      </c>
      <c r="T552" s="249" t="s">
        <v>5841</v>
      </c>
      <c r="U552" s="17">
        <v>80.0</v>
      </c>
      <c r="V552" s="16">
        <v>54.0</v>
      </c>
      <c r="W552" s="16">
        <v>35.0</v>
      </c>
      <c r="X552" s="50">
        <v>101719.0</v>
      </c>
      <c r="Y552" s="250">
        <v>902.0</v>
      </c>
    </row>
    <row r="553">
      <c r="A553" s="11">
        <v>20.0</v>
      </c>
      <c r="B553" s="11">
        <v>11.0</v>
      </c>
      <c r="C553" s="253">
        <v>28.0</v>
      </c>
      <c r="D553" s="235">
        <v>123.0</v>
      </c>
      <c r="E553" s="235">
        <v>123.0</v>
      </c>
      <c r="F553" s="253">
        <v>28.0</v>
      </c>
      <c r="G553" s="235">
        <v>123.0</v>
      </c>
      <c r="H553" s="236">
        <v>4.5950464E7</v>
      </c>
      <c r="I553" s="16">
        <v>29.0</v>
      </c>
      <c r="J553" s="11">
        <v>4.0</v>
      </c>
      <c r="K553" s="11" t="str">
        <f t="shared" si="1"/>
        <v>01230045950464294</v>
      </c>
      <c r="L553" s="238">
        <v>-9644.61</v>
      </c>
      <c r="M553" s="254">
        <v>31922.0</v>
      </c>
      <c r="N553" s="16">
        <v>30.0</v>
      </c>
      <c r="O553" s="17">
        <v>48.0</v>
      </c>
      <c r="P553" s="17">
        <v>11.0</v>
      </c>
      <c r="Q553" s="11">
        <v>6.0521549E7</v>
      </c>
      <c r="R553" s="11">
        <v>7.0</v>
      </c>
      <c r="S553" s="24" t="s">
        <v>29</v>
      </c>
      <c r="T553" s="249" t="s">
        <v>5842</v>
      </c>
      <c r="U553" s="17">
        <v>81.0</v>
      </c>
      <c r="V553" s="16">
        <v>31.0</v>
      </c>
      <c r="W553" s="16">
        <v>92.0</v>
      </c>
      <c r="X553" s="50">
        <v>31417.0</v>
      </c>
      <c r="Y553" s="250">
        <v>9737.0</v>
      </c>
    </row>
    <row r="554">
      <c r="A554" s="11">
        <v>14.0</v>
      </c>
      <c r="B554" s="11">
        <v>32.0</v>
      </c>
      <c r="C554" s="253">
        <v>20.0</v>
      </c>
      <c r="D554" s="235">
        <v>91.0</v>
      </c>
      <c r="E554" s="235">
        <v>91.0</v>
      </c>
      <c r="F554" s="253">
        <v>20.0</v>
      </c>
      <c r="G554" s="235">
        <v>91.0</v>
      </c>
      <c r="H554" s="236">
        <v>3.0061586E7</v>
      </c>
      <c r="I554" s="16">
        <v>55.0</v>
      </c>
      <c r="J554" s="11">
        <v>8.0</v>
      </c>
      <c r="K554" s="11" t="str">
        <f t="shared" si="1"/>
        <v>00910030061586558</v>
      </c>
      <c r="L554" s="238">
        <v>874.32</v>
      </c>
      <c r="M554" s="254">
        <v>22721.0</v>
      </c>
      <c r="N554" s="16">
        <v>6.0</v>
      </c>
      <c r="O554" s="17">
        <v>41.0</v>
      </c>
      <c r="P554" s="17">
        <v>93.0</v>
      </c>
      <c r="Q554" s="11">
        <v>4.5488816E7</v>
      </c>
      <c r="R554" s="11">
        <v>8.0</v>
      </c>
      <c r="S554" s="24" t="s">
        <v>39</v>
      </c>
      <c r="T554" s="249" t="s">
        <v>5843</v>
      </c>
      <c r="U554" s="17">
        <v>75.0</v>
      </c>
      <c r="V554" s="16">
        <v>57.0</v>
      </c>
      <c r="W554" s="16">
        <v>15.0</v>
      </c>
      <c r="X554" s="50">
        <v>102117.0</v>
      </c>
      <c r="Y554" s="250">
        <v>6879.0</v>
      </c>
    </row>
    <row r="555">
      <c r="A555" s="11">
        <v>10.0</v>
      </c>
      <c r="B555" s="11">
        <v>93.0</v>
      </c>
      <c r="C555" s="253">
        <v>19.0</v>
      </c>
      <c r="D555" s="235">
        <v>17.0</v>
      </c>
      <c r="E555" s="235">
        <v>17.0</v>
      </c>
      <c r="F555" s="253">
        <v>19.0</v>
      </c>
      <c r="G555" s="235">
        <v>17.0</v>
      </c>
      <c r="H555" s="236">
        <v>5.4197069E7</v>
      </c>
      <c r="I555" s="16">
        <v>14.0</v>
      </c>
      <c r="J555" s="11">
        <v>8.0</v>
      </c>
      <c r="K555" s="11" t="str">
        <f t="shared" si="1"/>
        <v>00170054197069148</v>
      </c>
      <c r="L555" s="238">
        <v>23931.75</v>
      </c>
      <c r="M555" s="254">
        <v>92419.0</v>
      </c>
      <c r="N555" s="16">
        <v>58.0</v>
      </c>
      <c r="O555" s="17">
        <v>2.0</v>
      </c>
      <c r="P555" s="17">
        <v>52.0</v>
      </c>
      <c r="Q555" s="11">
        <v>6.7540197E7</v>
      </c>
      <c r="R555" s="11">
        <v>4.0</v>
      </c>
      <c r="S555" s="24" t="s">
        <v>5292</v>
      </c>
      <c r="T555" s="249" t="s">
        <v>5844</v>
      </c>
      <c r="U555" s="17">
        <v>79.0</v>
      </c>
      <c r="V555" s="16">
        <v>65.0</v>
      </c>
      <c r="W555" s="16">
        <v>18.0</v>
      </c>
      <c r="X555" s="50">
        <v>30822.0</v>
      </c>
      <c r="Y555" s="250">
        <v>8895.0</v>
      </c>
    </row>
    <row r="556">
      <c r="A556" s="11">
        <v>16.0</v>
      </c>
      <c r="B556" s="11">
        <v>32.0</v>
      </c>
      <c r="C556" s="253">
        <v>23.0</v>
      </c>
      <c r="D556" s="235">
        <v>31.0</v>
      </c>
      <c r="E556" s="235">
        <v>31.0</v>
      </c>
      <c r="F556" s="253">
        <v>23.0</v>
      </c>
      <c r="G556" s="235">
        <v>31.0</v>
      </c>
      <c r="H556" s="236">
        <v>9.5992574E7</v>
      </c>
      <c r="I556" s="16">
        <v>44.0</v>
      </c>
      <c r="J556" s="11">
        <v>4.0</v>
      </c>
      <c r="K556" s="11" t="str">
        <f t="shared" si="1"/>
        <v>00310095992574444</v>
      </c>
      <c r="L556" s="238">
        <v>863.91</v>
      </c>
      <c r="M556" s="254">
        <v>30316.0</v>
      </c>
      <c r="N556" s="16">
        <v>44.0</v>
      </c>
      <c r="O556" s="17">
        <v>39.0</v>
      </c>
      <c r="P556" s="17">
        <v>52.0</v>
      </c>
      <c r="Q556" s="11">
        <v>9.2699576E7</v>
      </c>
      <c r="R556" s="11">
        <v>9.0</v>
      </c>
      <c r="S556" s="24" t="s">
        <v>5292</v>
      </c>
      <c r="T556" s="249" t="s">
        <v>5845</v>
      </c>
      <c r="U556" s="17">
        <v>81.0</v>
      </c>
      <c r="V556" s="16">
        <v>2.0</v>
      </c>
      <c r="W556" s="16">
        <v>82.0</v>
      </c>
      <c r="X556" s="50">
        <v>33114.0</v>
      </c>
      <c r="Y556" s="250">
        <v>2950.0</v>
      </c>
    </row>
    <row r="557">
      <c r="A557" s="11">
        <v>10.0</v>
      </c>
      <c r="B557" s="11">
        <v>32.0</v>
      </c>
      <c r="C557" s="253">
        <v>48.0</v>
      </c>
      <c r="D557" s="235">
        <v>37.0</v>
      </c>
      <c r="E557" s="235">
        <v>37.0</v>
      </c>
      <c r="F557" s="253">
        <v>48.0</v>
      </c>
      <c r="G557" s="235">
        <v>37.0</v>
      </c>
      <c r="H557" s="236">
        <v>4.7037978E7</v>
      </c>
      <c r="I557" s="16">
        <v>97.0</v>
      </c>
      <c r="J557" s="11">
        <v>0.0</v>
      </c>
      <c r="K557" s="11" t="str">
        <f t="shared" si="1"/>
        <v>00370047037978970</v>
      </c>
      <c r="L557" s="238">
        <v>475742.53</v>
      </c>
      <c r="M557" s="254">
        <v>80317.0</v>
      </c>
      <c r="N557" s="16">
        <v>55.0</v>
      </c>
      <c r="O557" s="17">
        <v>38.0</v>
      </c>
      <c r="P557" s="17">
        <v>73.0</v>
      </c>
      <c r="Q557" s="11">
        <v>7.8220652E7</v>
      </c>
      <c r="R557" s="11">
        <v>0.0</v>
      </c>
      <c r="S557" s="24" t="s">
        <v>48</v>
      </c>
      <c r="T557" s="249" t="s">
        <v>5846</v>
      </c>
      <c r="U557" s="17">
        <v>29.0</v>
      </c>
      <c r="V557" s="16">
        <v>95.0</v>
      </c>
      <c r="W557" s="16">
        <v>42.0</v>
      </c>
      <c r="X557" s="50">
        <v>82616.0</v>
      </c>
      <c r="Y557" s="250">
        <v>5270.0</v>
      </c>
    </row>
    <row r="558">
      <c r="A558" s="11">
        <v>10.0</v>
      </c>
      <c r="B558" s="11">
        <v>73.0</v>
      </c>
      <c r="C558" s="253">
        <v>35.0</v>
      </c>
      <c r="D558" s="235">
        <v>13.0</v>
      </c>
      <c r="E558" s="235">
        <v>13.0</v>
      </c>
      <c r="F558" s="253">
        <v>35.0</v>
      </c>
      <c r="G558" s="235">
        <v>13.0</v>
      </c>
      <c r="H558" s="236">
        <v>8.0036945E7</v>
      </c>
      <c r="I558" s="16">
        <v>50.0</v>
      </c>
      <c r="J558" s="11">
        <v>7.0</v>
      </c>
      <c r="K558" s="11" t="str">
        <f t="shared" si="1"/>
        <v>00130080036945507</v>
      </c>
      <c r="L558" s="238">
        <v>6470.77</v>
      </c>
      <c r="M558" s="254">
        <v>10814.0</v>
      </c>
      <c r="N558" s="16">
        <v>43.0</v>
      </c>
      <c r="O558" s="17">
        <v>6.0</v>
      </c>
      <c r="P558" s="17">
        <v>73.0</v>
      </c>
      <c r="Q558" s="11">
        <v>6.8820739E7</v>
      </c>
      <c r="R558" s="11">
        <v>1.0</v>
      </c>
      <c r="S558" s="24" t="s">
        <v>5292</v>
      </c>
      <c r="T558" s="249" t="s">
        <v>5847</v>
      </c>
      <c r="U558" s="17">
        <v>30.0</v>
      </c>
      <c r="V558" s="16">
        <v>59.0</v>
      </c>
      <c r="W558" s="16">
        <v>99.0</v>
      </c>
      <c r="X558" s="50">
        <v>72519.0</v>
      </c>
      <c r="Y558" s="250">
        <v>3753.0</v>
      </c>
    </row>
    <row r="559">
      <c r="A559" s="11">
        <v>13.0</v>
      </c>
      <c r="B559" s="11">
        <v>93.0</v>
      </c>
      <c r="C559" s="253">
        <v>5.0</v>
      </c>
      <c r="D559" s="235">
        <v>89.0</v>
      </c>
      <c r="E559" s="235">
        <v>89.0</v>
      </c>
      <c r="F559" s="253">
        <v>5.0</v>
      </c>
      <c r="G559" s="235">
        <v>89.0</v>
      </c>
      <c r="H559" s="236">
        <v>5.8235412E7</v>
      </c>
      <c r="I559" s="16">
        <v>34.0</v>
      </c>
      <c r="J559" s="11">
        <v>6.0</v>
      </c>
      <c r="K559" s="11" t="str">
        <f t="shared" si="1"/>
        <v>00890058235412346</v>
      </c>
      <c r="L559" s="238">
        <v>85998.27</v>
      </c>
      <c r="M559" s="254">
        <v>122823.0</v>
      </c>
      <c r="N559" s="16">
        <v>46.0</v>
      </c>
      <c r="O559" s="17">
        <v>12.0</v>
      </c>
      <c r="P559" s="17">
        <v>32.0</v>
      </c>
      <c r="Q559" s="11">
        <v>1.3184113E7</v>
      </c>
      <c r="R559" s="11">
        <v>2.0</v>
      </c>
      <c r="S559" s="24" t="s">
        <v>48</v>
      </c>
      <c r="T559" s="249" t="s">
        <v>5848</v>
      </c>
      <c r="U559" s="17">
        <v>37.0</v>
      </c>
      <c r="V559" s="16">
        <v>59.0</v>
      </c>
      <c r="W559" s="16">
        <v>37.0</v>
      </c>
      <c r="X559" s="50">
        <v>21217.0</v>
      </c>
      <c r="Y559" s="250">
        <v>3896.0</v>
      </c>
    </row>
    <row r="560">
      <c r="A560" s="11">
        <v>14.0</v>
      </c>
      <c r="B560" s="11">
        <v>73.0</v>
      </c>
      <c r="C560" s="253">
        <v>20.0</v>
      </c>
      <c r="D560" s="235">
        <v>179.0</v>
      </c>
      <c r="E560" s="235">
        <v>179.0</v>
      </c>
      <c r="F560" s="253">
        <v>20.0</v>
      </c>
      <c r="G560" s="235">
        <v>179.0</v>
      </c>
      <c r="H560" s="236">
        <v>7.8770066E7</v>
      </c>
      <c r="I560" s="16">
        <v>7.0</v>
      </c>
      <c r="J560" s="11">
        <v>7.0</v>
      </c>
      <c r="K560" s="11" t="str">
        <f t="shared" si="1"/>
        <v>01790078770066077</v>
      </c>
      <c r="L560" s="238">
        <v>8687.38</v>
      </c>
      <c r="M560" s="254">
        <v>10220.0</v>
      </c>
      <c r="N560" s="16">
        <v>19.0</v>
      </c>
      <c r="O560" s="17">
        <v>30.0</v>
      </c>
      <c r="P560" s="17">
        <v>11.0</v>
      </c>
      <c r="Q560" s="11">
        <v>4.9849548E7</v>
      </c>
      <c r="R560" s="11">
        <v>8.0</v>
      </c>
      <c r="S560" s="24" t="s">
        <v>39</v>
      </c>
      <c r="T560" s="249" t="s">
        <v>5849</v>
      </c>
      <c r="U560" s="17">
        <v>90.0</v>
      </c>
      <c r="V560" s="16">
        <v>60.0</v>
      </c>
      <c r="W560" s="16">
        <v>83.0</v>
      </c>
      <c r="X560" s="50">
        <v>11418.0</v>
      </c>
      <c r="Y560" s="250">
        <v>9345.0</v>
      </c>
    </row>
    <row r="561">
      <c r="A561" s="11">
        <v>15.0</v>
      </c>
      <c r="B561" s="11">
        <v>93.0</v>
      </c>
      <c r="C561" s="253">
        <v>48.0</v>
      </c>
      <c r="D561" s="235">
        <v>191.0</v>
      </c>
      <c r="E561" s="235">
        <v>191.0</v>
      </c>
      <c r="F561" s="253">
        <v>48.0</v>
      </c>
      <c r="G561" s="235">
        <v>191.0</v>
      </c>
      <c r="H561" s="236">
        <v>9.5029378E7</v>
      </c>
      <c r="I561" s="16">
        <v>74.0</v>
      </c>
      <c r="J561" s="11">
        <v>8.0</v>
      </c>
      <c r="K561" s="11" t="str">
        <f t="shared" si="1"/>
        <v>01910095029378748</v>
      </c>
      <c r="L561" s="238">
        <v>-293946.28</v>
      </c>
      <c r="M561" s="254">
        <v>90821.0</v>
      </c>
      <c r="N561" s="16">
        <v>70.0</v>
      </c>
      <c r="O561" s="17">
        <v>17.0</v>
      </c>
      <c r="P561" s="17">
        <v>32.0</v>
      </c>
      <c r="Q561" s="11">
        <v>4.7895027E7</v>
      </c>
      <c r="R561" s="11">
        <v>8.0</v>
      </c>
      <c r="S561" s="24" t="s">
        <v>5292</v>
      </c>
      <c r="T561" s="249" t="s">
        <v>5850</v>
      </c>
      <c r="U561" s="17">
        <v>38.0</v>
      </c>
      <c r="V561" s="16">
        <v>43.0</v>
      </c>
      <c r="W561" s="16">
        <v>97.0</v>
      </c>
      <c r="X561" s="50">
        <v>82122.0</v>
      </c>
      <c r="Y561" s="250">
        <v>3537.0</v>
      </c>
    </row>
    <row r="562">
      <c r="A562" s="11">
        <v>18.0</v>
      </c>
      <c r="B562" s="11">
        <v>32.0</v>
      </c>
      <c r="C562" s="253">
        <v>29.0</v>
      </c>
      <c r="D562" s="235">
        <v>159.0</v>
      </c>
      <c r="E562" s="235">
        <v>159.0</v>
      </c>
      <c r="F562" s="253">
        <v>29.0</v>
      </c>
      <c r="G562" s="235">
        <v>159.0</v>
      </c>
      <c r="H562" s="236">
        <v>7.2428346E7</v>
      </c>
      <c r="I562" s="16">
        <v>8.0</v>
      </c>
      <c r="J562" s="11">
        <v>8.0</v>
      </c>
      <c r="K562" s="11" t="str">
        <f t="shared" si="1"/>
        <v>01590072428346088</v>
      </c>
      <c r="L562" s="238">
        <v>609.73</v>
      </c>
      <c r="M562" s="254">
        <v>51022.0</v>
      </c>
      <c r="N562" s="16">
        <v>50.0</v>
      </c>
      <c r="O562" s="17">
        <v>5.0</v>
      </c>
      <c r="P562" s="17">
        <v>52.0</v>
      </c>
      <c r="Q562" s="11">
        <v>8.2697008E7</v>
      </c>
      <c r="R562" s="11">
        <v>4.0</v>
      </c>
      <c r="S562" s="24" t="s">
        <v>29</v>
      </c>
      <c r="T562" s="249" t="s">
        <v>5851</v>
      </c>
      <c r="U562" s="17">
        <v>89.0</v>
      </c>
      <c r="V562" s="16">
        <v>12.0</v>
      </c>
      <c r="W562" s="16">
        <v>18.0</v>
      </c>
      <c r="X562" s="50">
        <v>52614.0</v>
      </c>
      <c r="Y562" s="250">
        <v>3821.0</v>
      </c>
    </row>
    <row r="563">
      <c r="A563" s="11">
        <v>20.0</v>
      </c>
      <c r="B563" s="11">
        <v>32.0</v>
      </c>
      <c r="C563" s="253">
        <v>28.0</v>
      </c>
      <c r="D563" s="235">
        <v>161.0</v>
      </c>
      <c r="E563" s="235">
        <v>161.0</v>
      </c>
      <c r="F563" s="253">
        <v>28.0</v>
      </c>
      <c r="G563" s="235">
        <v>161.0</v>
      </c>
      <c r="H563" s="236">
        <v>2.3061772E7</v>
      </c>
      <c r="I563" s="16">
        <v>55.0</v>
      </c>
      <c r="J563" s="11">
        <v>4.0</v>
      </c>
      <c r="K563" s="11" t="str">
        <f t="shared" si="1"/>
        <v>01610023061772554</v>
      </c>
      <c r="L563" s="238">
        <v>-4635.85</v>
      </c>
      <c r="M563" s="254">
        <v>21323.0</v>
      </c>
      <c r="N563" s="16">
        <v>93.0</v>
      </c>
      <c r="O563" s="17">
        <v>50.0</v>
      </c>
      <c r="P563" s="17">
        <v>32.0</v>
      </c>
      <c r="Q563" s="11">
        <v>8.3909815E7</v>
      </c>
      <c r="R563" s="11">
        <v>5.0</v>
      </c>
      <c r="S563" s="24" t="s">
        <v>39</v>
      </c>
      <c r="T563" s="249" t="s">
        <v>5852</v>
      </c>
      <c r="U563" s="17">
        <v>42.0</v>
      </c>
      <c r="V563" s="16">
        <v>71.0</v>
      </c>
      <c r="W563" s="16">
        <v>60.0</v>
      </c>
      <c r="X563" s="50">
        <v>90818.0</v>
      </c>
      <c r="Y563" s="250">
        <v>3850.0</v>
      </c>
    </row>
    <row r="564">
      <c r="A564" s="11">
        <v>12.0</v>
      </c>
      <c r="B564" s="11">
        <v>73.0</v>
      </c>
      <c r="C564" s="253">
        <v>27.0</v>
      </c>
      <c r="D564" s="235">
        <v>131.0</v>
      </c>
      <c r="E564" s="235">
        <v>131.0</v>
      </c>
      <c r="F564" s="253">
        <v>27.0</v>
      </c>
      <c r="G564" s="235">
        <v>131.0</v>
      </c>
      <c r="H564" s="236">
        <v>8.6511977E7</v>
      </c>
      <c r="I564" s="16">
        <v>23.0</v>
      </c>
      <c r="J564" s="11">
        <v>4.0</v>
      </c>
      <c r="K564" s="11" t="str">
        <f t="shared" si="1"/>
        <v>01310086511977234</v>
      </c>
      <c r="L564" s="238">
        <v>92799.89</v>
      </c>
      <c r="M564" s="254">
        <v>71421.0</v>
      </c>
      <c r="N564" s="16">
        <v>76.0</v>
      </c>
      <c r="O564" s="17">
        <v>22.0</v>
      </c>
      <c r="P564" s="17">
        <v>52.0</v>
      </c>
      <c r="Q564" s="11">
        <v>5.5872321E7</v>
      </c>
      <c r="R564" s="11">
        <v>4.0</v>
      </c>
      <c r="S564" s="24" t="s">
        <v>5292</v>
      </c>
      <c r="T564" s="249" t="s">
        <v>5853</v>
      </c>
      <c r="U564" s="17">
        <v>91.0</v>
      </c>
      <c r="V564" s="16">
        <v>68.0</v>
      </c>
      <c r="W564" s="16">
        <v>83.0</v>
      </c>
      <c r="X564" s="50">
        <v>122822.0</v>
      </c>
      <c r="Y564" s="250">
        <v>4644.0</v>
      </c>
    </row>
    <row r="565">
      <c r="A565" s="11">
        <v>13.0</v>
      </c>
      <c r="B565" s="11">
        <v>73.0</v>
      </c>
      <c r="C565" s="253">
        <v>13.0</v>
      </c>
      <c r="D565" s="235">
        <v>267.0</v>
      </c>
      <c r="E565" s="235">
        <v>267.0</v>
      </c>
      <c r="F565" s="253">
        <v>13.0</v>
      </c>
      <c r="G565" s="235">
        <v>267.0</v>
      </c>
      <c r="H565" s="236">
        <v>7.2757549E7</v>
      </c>
      <c r="I565" s="16">
        <v>80.0</v>
      </c>
      <c r="J565" s="11">
        <v>8.0</v>
      </c>
      <c r="K565" s="11" t="str">
        <f t="shared" si="1"/>
        <v>02670072757549808</v>
      </c>
      <c r="L565" s="238">
        <v>367.5</v>
      </c>
      <c r="M565" s="254">
        <v>92721.0</v>
      </c>
      <c r="N565" s="16">
        <v>28.0</v>
      </c>
      <c r="O565" s="17">
        <v>56.0</v>
      </c>
      <c r="P565" s="17">
        <v>11.0</v>
      </c>
      <c r="Q565" s="11">
        <v>8.2583071E7</v>
      </c>
      <c r="R565" s="11">
        <v>5.0</v>
      </c>
      <c r="S565" s="24" t="s">
        <v>5292</v>
      </c>
      <c r="T565" s="249" t="s">
        <v>5854</v>
      </c>
      <c r="U565" s="17">
        <v>96.0</v>
      </c>
      <c r="V565" s="16">
        <v>71.0</v>
      </c>
      <c r="W565" s="16">
        <v>81.0</v>
      </c>
      <c r="X565" s="50">
        <v>122114.0</v>
      </c>
      <c r="Y565" s="250">
        <v>6972.0</v>
      </c>
    </row>
    <row r="566">
      <c r="A566" s="11">
        <v>14.0</v>
      </c>
      <c r="B566" s="11">
        <v>12.0</v>
      </c>
      <c r="C566" s="253">
        <v>36.0</v>
      </c>
      <c r="D566" s="235">
        <v>21.0</v>
      </c>
      <c r="E566" s="235">
        <v>21.0</v>
      </c>
      <c r="F566" s="253">
        <v>36.0</v>
      </c>
      <c r="G566" s="235">
        <v>21.0</v>
      </c>
      <c r="H566" s="236">
        <v>9.4011292E7</v>
      </c>
      <c r="I566" s="16">
        <v>95.0</v>
      </c>
      <c r="J566" s="11">
        <v>7.0</v>
      </c>
      <c r="K566" s="11" t="str">
        <f t="shared" si="1"/>
        <v>00210094011292957</v>
      </c>
      <c r="L566" s="238">
        <v>-362545.8</v>
      </c>
      <c r="M566" s="254">
        <v>110815.0</v>
      </c>
      <c r="N566" s="16">
        <v>90.0</v>
      </c>
      <c r="O566" s="17">
        <v>56.0</v>
      </c>
      <c r="P566" s="17">
        <v>11.0</v>
      </c>
      <c r="Q566" s="11">
        <v>9.2377563E7</v>
      </c>
      <c r="R566" s="11">
        <v>5.0</v>
      </c>
      <c r="S566" s="24" t="s">
        <v>39</v>
      </c>
      <c r="T566" s="249" t="s">
        <v>5855</v>
      </c>
      <c r="U566" s="17">
        <v>97.0</v>
      </c>
      <c r="V566" s="16">
        <v>39.0</v>
      </c>
      <c r="W566" s="16">
        <v>78.0</v>
      </c>
      <c r="X566" s="50">
        <v>52413.0</v>
      </c>
      <c r="Y566" s="250">
        <v>2755.0</v>
      </c>
    </row>
    <row r="567">
      <c r="A567" s="11">
        <v>10.0</v>
      </c>
      <c r="B567" s="11">
        <v>73.0</v>
      </c>
      <c r="C567" s="253">
        <v>5.0</v>
      </c>
      <c r="D567" s="235">
        <v>79.0</v>
      </c>
      <c r="E567" s="235">
        <v>79.0</v>
      </c>
      <c r="F567" s="253">
        <v>5.0</v>
      </c>
      <c r="G567" s="235">
        <v>79.0</v>
      </c>
      <c r="H567" s="236">
        <v>2.4021202E7</v>
      </c>
      <c r="I567" s="16">
        <v>49.0</v>
      </c>
      <c r="J567" s="11">
        <v>6.0</v>
      </c>
      <c r="K567" s="11" t="str">
        <f t="shared" si="1"/>
        <v>00790024021202496</v>
      </c>
      <c r="L567" s="238">
        <v>-3297.84</v>
      </c>
      <c r="M567" s="254">
        <v>42315.0</v>
      </c>
      <c r="N567" s="16">
        <v>59.0</v>
      </c>
      <c r="O567" s="17">
        <v>1.0</v>
      </c>
      <c r="P567" s="17">
        <v>11.0</v>
      </c>
      <c r="Q567" s="11">
        <v>5.1173681E7</v>
      </c>
      <c r="R567" s="11">
        <v>2.0</v>
      </c>
      <c r="S567" s="24" t="s">
        <v>48</v>
      </c>
      <c r="T567" s="249" t="s">
        <v>5856</v>
      </c>
      <c r="U567" s="17">
        <v>98.0</v>
      </c>
      <c r="V567" s="16">
        <v>73.0</v>
      </c>
      <c r="W567" s="16">
        <v>55.0</v>
      </c>
      <c r="X567" s="50">
        <v>81221.0</v>
      </c>
      <c r="Y567" s="250">
        <v>3025.0</v>
      </c>
    </row>
    <row r="568">
      <c r="A568" s="11">
        <v>14.0</v>
      </c>
      <c r="B568" s="11">
        <v>32.0</v>
      </c>
      <c r="C568" s="253">
        <v>30.0</v>
      </c>
      <c r="D568" s="235">
        <v>11.0</v>
      </c>
      <c r="E568" s="235">
        <v>11.0</v>
      </c>
      <c r="F568" s="253">
        <v>30.0</v>
      </c>
      <c r="G568" s="235">
        <v>11.0</v>
      </c>
      <c r="H568" s="236">
        <v>2.1913278E7</v>
      </c>
      <c r="I568" s="16">
        <v>12.0</v>
      </c>
      <c r="J568" s="11">
        <v>5.0</v>
      </c>
      <c r="K568" s="11" t="str">
        <f t="shared" si="1"/>
        <v>00110021913278125</v>
      </c>
      <c r="L568" s="238">
        <v>889.68</v>
      </c>
      <c r="M568" s="254">
        <v>30316.0</v>
      </c>
      <c r="N568" s="16">
        <v>96.0</v>
      </c>
      <c r="O568" s="17">
        <v>53.0</v>
      </c>
      <c r="P568" s="17">
        <v>73.0</v>
      </c>
      <c r="Q568" s="11">
        <v>2.8480893E7</v>
      </c>
      <c r="R568" s="11">
        <v>4.0</v>
      </c>
      <c r="S568" s="24" t="s">
        <v>5292</v>
      </c>
      <c r="T568" s="249" t="s">
        <v>5857</v>
      </c>
      <c r="U568" s="17">
        <v>43.0</v>
      </c>
      <c r="V568" s="16">
        <v>81.0</v>
      </c>
      <c r="W568" s="16">
        <v>47.0</v>
      </c>
      <c r="X568" s="50">
        <v>21615.0</v>
      </c>
      <c r="Y568" s="250">
        <v>9430.0</v>
      </c>
    </row>
    <row r="569">
      <c r="A569" s="11">
        <v>15.0</v>
      </c>
      <c r="B569" s="11">
        <v>12.0</v>
      </c>
      <c r="C569" s="253">
        <v>48.0</v>
      </c>
      <c r="D569" s="235">
        <v>245.0</v>
      </c>
      <c r="E569" s="235">
        <v>245.0</v>
      </c>
      <c r="F569" s="253">
        <v>48.0</v>
      </c>
      <c r="G569" s="235">
        <v>245.0</v>
      </c>
      <c r="H569" s="236">
        <v>5.1422774E7</v>
      </c>
      <c r="I569" s="16">
        <v>2.0</v>
      </c>
      <c r="J569" s="11">
        <v>8.0</v>
      </c>
      <c r="K569" s="11" t="str">
        <f t="shared" si="1"/>
        <v>02450051422774028</v>
      </c>
      <c r="L569" s="238">
        <v>52974.39</v>
      </c>
      <c r="M569" s="254">
        <v>62615.0</v>
      </c>
      <c r="N569" s="16">
        <v>6.0</v>
      </c>
      <c r="O569" s="17">
        <v>4.0</v>
      </c>
      <c r="P569" s="17">
        <v>11.0</v>
      </c>
      <c r="Q569" s="11">
        <v>2.8779502E7</v>
      </c>
      <c r="R569" s="11">
        <v>9.0</v>
      </c>
      <c r="S569" s="24" t="s">
        <v>29</v>
      </c>
      <c r="T569" s="249" t="s">
        <v>5858</v>
      </c>
      <c r="U569" s="17">
        <v>95.0</v>
      </c>
      <c r="V569" s="16">
        <v>72.0</v>
      </c>
      <c r="W569" s="16">
        <v>11.0</v>
      </c>
      <c r="X569" s="50">
        <v>101516.0</v>
      </c>
      <c r="Y569" s="250">
        <v>7050.0</v>
      </c>
    </row>
    <row r="570">
      <c r="A570" s="11">
        <v>16.0</v>
      </c>
      <c r="B570" s="11">
        <v>32.0</v>
      </c>
      <c r="C570" s="253">
        <v>46.0</v>
      </c>
      <c r="D570" s="235">
        <v>47.0</v>
      </c>
      <c r="E570" s="235">
        <v>47.0</v>
      </c>
      <c r="F570" s="253">
        <v>46.0</v>
      </c>
      <c r="G570" s="235">
        <v>47.0</v>
      </c>
      <c r="H570" s="236">
        <v>2.1259163E7</v>
      </c>
      <c r="I570" s="16">
        <v>95.0</v>
      </c>
      <c r="J570" s="11">
        <v>3.0</v>
      </c>
      <c r="K570" s="11" t="str">
        <f t="shared" si="1"/>
        <v>00470021259163953</v>
      </c>
      <c r="L570" s="238">
        <v>-627.83</v>
      </c>
      <c r="M570" s="254">
        <v>11420.0</v>
      </c>
      <c r="N570" s="16">
        <v>92.0</v>
      </c>
      <c r="O570" s="17">
        <v>6.0</v>
      </c>
      <c r="P570" s="17">
        <v>73.0</v>
      </c>
      <c r="Q570" s="11">
        <v>7.5489227E7</v>
      </c>
      <c r="R570" s="11">
        <v>8.0</v>
      </c>
      <c r="S570" s="24" t="s">
        <v>5292</v>
      </c>
      <c r="T570" s="249" t="s">
        <v>5859</v>
      </c>
      <c r="U570" s="17">
        <v>41.0</v>
      </c>
      <c r="V570" s="16">
        <v>54.0</v>
      </c>
      <c r="W570" s="16">
        <v>8.0</v>
      </c>
      <c r="X570" s="50">
        <v>21416.0</v>
      </c>
      <c r="Y570" s="250">
        <v>2385.0</v>
      </c>
    </row>
    <row r="571">
      <c r="A571" s="11">
        <v>19.0</v>
      </c>
      <c r="B571" s="11">
        <v>12.0</v>
      </c>
      <c r="C571" s="253">
        <v>48.0</v>
      </c>
      <c r="D571" s="235">
        <v>83.0</v>
      </c>
      <c r="E571" s="235">
        <v>83.0</v>
      </c>
      <c r="F571" s="253">
        <v>48.0</v>
      </c>
      <c r="G571" s="235">
        <v>83.0</v>
      </c>
      <c r="H571" s="236">
        <v>4.3846241E7</v>
      </c>
      <c r="I571" s="16">
        <v>4.0</v>
      </c>
      <c r="J571" s="11">
        <v>4.0</v>
      </c>
      <c r="K571" s="11" t="str">
        <f t="shared" si="1"/>
        <v>00830043846241044</v>
      </c>
      <c r="L571" s="238">
        <v>995.36</v>
      </c>
      <c r="M571" s="254">
        <v>12719.0</v>
      </c>
      <c r="N571" s="16">
        <v>12.0</v>
      </c>
      <c r="O571" s="17">
        <v>49.0</v>
      </c>
      <c r="P571" s="17">
        <v>73.0</v>
      </c>
      <c r="Q571" s="11">
        <v>4.8219503E7</v>
      </c>
      <c r="R571" s="11">
        <v>6.0</v>
      </c>
      <c r="S571" s="24" t="s">
        <v>5292</v>
      </c>
      <c r="T571" s="249" t="s">
        <v>5860</v>
      </c>
      <c r="U571" s="17">
        <v>46.0</v>
      </c>
      <c r="V571" s="16">
        <v>97.0</v>
      </c>
      <c r="W571" s="16">
        <v>65.0</v>
      </c>
      <c r="X571" s="50">
        <v>91116.0</v>
      </c>
      <c r="Y571" s="250">
        <v>1641.0</v>
      </c>
    </row>
    <row r="572">
      <c r="A572" s="11">
        <v>17.0</v>
      </c>
      <c r="B572" s="11">
        <v>94.0</v>
      </c>
      <c r="C572" s="253">
        <v>44.0</v>
      </c>
      <c r="D572" s="235">
        <v>7.0</v>
      </c>
      <c r="E572" s="235">
        <v>7.0</v>
      </c>
      <c r="F572" s="253">
        <v>44.0</v>
      </c>
      <c r="G572" s="235">
        <v>7.0</v>
      </c>
      <c r="H572" s="236">
        <v>9.4390505E7</v>
      </c>
      <c r="I572" s="16">
        <v>61.0</v>
      </c>
      <c r="J572" s="11">
        <v>7.0</v>
      </c>
      <c r="K572" s="11" t="str">
        <f t="shared" si="1"/>
        <v>00070094390505617</v>
      </c>
      <c r="L572" s="238">
        <v>-483759.71</v>
      </c>
      <c r="M572" s="254">
        <v>123118.0</v>
      </c>
      <c r="N572" s="16">
        <v>95.0</v>
      </c>
      <c r="O572" s="17">
        <v>31.0</v>
      </c>
      <c r="P572" s="17">
        <v>93.0</v>
      </c>
      <c r="Q572" s="11">
        <v>1.3283109E7</v>
      </c>
      <c r="R572" s="11">
        <v>6.0</v>
      </c>
      <c r="S572" s="24" t="s">
        <v>5292</v>
      </c>
      <c r="T572" s="249" t="s">
        <v>5861</v>
      </c>
      <c r="U572" s="17">
        <v>94.0</v>
      </c>
      <c r="V572" s="16">
        <v>54.0</v>
      </c>
      <c r="W572" s="16">
        <v>93.0</v>
      </c>
      <c r="X572" s="50">
        <v>42215.0</v>
      </c>
      <c r="Y572" s="250">
        <v>3939.0</v>
      </c>
    </row>
    <row r="573">
      <c r="A573" s="11">
        <v>10.0</v>
      </c>
      <c r="B573" s="11">
        <v>32.0</v>
      </c>
      <c r="C573" s="253">
        <v>55.0</v>
      </c>
      <c r="D573" s="235">
        <v>67.0</v>
      </c>
      <c r="E573" s="235">
        <v>67.0</v>
      </c>
      <c r="F573" s="253">
        <v>55.0</v>
      </c>
      <c r="G573" s="235">
        <v>67.0</v>
      </c>
      <c r="H573" s="236">
        <v>4.1045132E7</v>
      </c>
      <c r="I573" s="16">
        <v>49.0</v>
      </c>
      <c r="J573" s="11">
        <v>4.0</v>
      </c>
      <c r="K573" s="11" t="str">
        <f t="shared" si="1"/>
        <v>00670041045132494</v>
      </c>
      <c r="L573" s="238">
        <v>-8280.73</v>
      </c>
      <c r="M573" s="254">
        <v>32316.0</v>
      </c>
      <c r="N573" s="16">
        <v>22.0</v>
      </c>
      <c r="O573" s="17">
        <v>26.0</v>
      </c>
      <c r="P573" s="17">
        <v>52.0</v>
      </c>
      <c r="Q573" s="11">
        <v>4.5471082E7</v>
      </c>
      <c r="R573" s="11">
        <v>9.0</v>
      </c>
      <c r="S573" s="24" t="s">
        <v>29</v>
      </c>
      <c r="T573" s="249" t="s">
        <v>5862</v>
      </c>
      <c r="U573" s="17">
        <v>98.0</v>
      </c>
      <c r="V573" s="16">
        <v>75.0</v>
      </c>
      <c r="W573" s="16">
        <v>82.0</v>
      </c>
      <c r="X573" s="50">
        <v>111316.0</v>
      </c>
      <c r="Y573" s="250">
        <v>7074.0</v>
      </c>
    </row>
    <row r="574">
      <c r="A574" s="11">
        <v>10.0</v>
      </c>
      <c r="B574" s="11">
        <v>73.0</v>
      </c>
      <c r="C574" s="253">
        <v>35.0</v>
      </c>
      <c r="D574" s="235">
        <v>37.0</v>
      </c>
      <c r="E574" s="235">
        <v>37.0</v>
      </c>
      <c r="F574" s="253">
        <v>35.0</v>
      </c>
      <c r="G574" s="235">
        <v>37.0</v>
      </c>
      <c r="H574" s="236">
        <v>9.8105595E7</v>
      </c>
      <c r="I574" s="16">
        <v>48.0</v>
      </c>
      <c r="J574" s="11">
        <v>6.0</v>
      </c>
      <c r="K574" s="11" t="str">
        <f t="shared" si="1"/>
        <v>00370098105595486</v>
      </c>
      <c r="L574" s="238">
        <v>169.6</v>
      </c>
      <c r="M574" s="254">
        <v>103013.0</v>
      </c>
      <c r="N574" s="16">
        <v>52.0</v>
      </c>
      <c r="O574" s="17">
        <v>37.0</v>
      </c>
      <c r="P574" s="17">
        <v>52.0</v>
      </c>
      <c r="Q574" s="11">
        <v>4.1305012E7</v>
      </c>
      <c r="R574" s="11">
        <v>7.0</v>
      </c>
      <c r="S574" s="24" t="s">
        <v>29</v>
      </c>
      <c r="T574" s="249" t="s">
        <v>5863</v>
      </c>
      <c r="U574" s="17">
        <v>92.0</v>
      </c>
      <c r="V574" s="16">
        <v>34.0</v>
      </c>
      <c r="W574" s="16">
        <v>36.0</v>
      </c>
      <c r="X574" s="50">
        <v>62815.0</v>
      </c>
      <c r="Y574" s="250">
        <v>1857.0</v>
      </c>
    </row>
    <row r="575">
      <c r="A575" s="11">
        <v>18.0</v>
      </c>
      <c r="B575" s="11">
        <v>94.0</v>
      </c>
      <c r="C575" s="253">
        <v>15.0</v>
      </c>
      <c r="D575" s="235">
        <v>9.0</v>
      </c>
      <c r="E575" s="235">
        <v>9.0</v>
      </c>
      <c r="F575" s="253">
        <v>15.0</v>
      </c>
      <c r="G575" s="235">
        <v>9.0</v>
      </c>
      <c r="H575" s="236">
        <v>9.3451198E7</v>
      </c>
      <c r="I575" s="16">
        <v>35.0</v>
      </c>
      <c r="J575" s="11">
        <v>0.0</v>
      </c>
      <c r="K575" s="11" t="str">
        <f t="shared" si="1"/>
        <v>00090093451198350</v>
      </c>
      <c r="L575" s="238">
        <v>52404.6</v>
      </c>
      <c r="M575" s="254">
        <v>110816.0</v>
      </c>
      <c r="N575" s="16">
        <v>52.0</v>
      </c>
      <c r="O575" s="17">
        <v>11.0</v>
      </c>
      <c r="P575" s="17">
        <v>12.0</v>
      </c>
      <c r="Q575" s="11">
        <v>1.2485399E7</v>
      </c>
      <c r="R575" s="11">
        <v>8.0</v>
      </c>
      <c r="S575" s="24" t="s">
        <v>39</v>
      </c>
      <c r="T575" s="249" t="s">
        <v>5864</v>
      </c>
      <c r="U575" s="17">
        <v>6.0</v>
      </c>
      <c r="V575" s="16">
        <v>39.0</v>
      </c>
      <c r="W575" s="16">
        <v>56.0</v>
      </c>
      <c r="X575" s="50">
        <v>43015.0</v>
      </c>
      <c r="Y575" s="250">
        <v>824.0</v>
      </c>
    </row>
    <row r="576">
      <c r="A576" s="11">
        <v>12.0</v>
      </c>
      <c r="B576" s="11">
        <v>73.0</v>
      </c>
      <c r="C576" s="253">
        <v>45.0</v>
      </c>
      <c r="D576" s="235">
        <v>81.0</v>
      </c>
      <c r="E576" s="235">
        <v>81.0</v>
      </c>
      <c r="F576" s="253">
        <v>45.0</v>
      </c>
      <c r="G576" s="235">
        <v>81.0</v>
      </c>
      <c r="H576" s="236">
        <v>7.4786584E7</v>
      </c>
      <c r="I576" s="16">
        <v>76.0</v>
      </c>
      <c r="J576" s="11">
        <v>0.0</v>
      </c>
      <c r="K576" s="11" t="str">
        <f t="shared" si="1"/>
        <v>00810074786584760</v>
      </c>
      <c r="L576" s="238">
        <v>312.6</v>
      </c>
      <c r="M576" s="254">
        <v>90420.0</v>
      </c>
      <c r="N576" s="16">
        <v>20.0</v>
      </c>
      <c r="O576" s="17">
        <v>40.0</v>
      </c>
      <c r="P576" s="17">
        <v>73.0</v>
      </c>
      <c r="Q576" s="11">
        <v>6.7858214E7</v>
      </c>
      <c r="R576" s="11">
        <v>3.0</v>
      </c>
      <c r="S576" s="24" t="s">
        <v>39</v>
      </c>
      <c r="T576" s="249" t="s">
        <v>5865</v>
      </c>
      <c r="U576" s="17">
        <v>51.0</v>
      </c>
      <c r="V576" s="16">
        <v>14.0</v>
      </c>
      <c r="W576" s="16">
        <v>55.0</v>
      </c>
      <c r="X576" s="50">
        <v>32213.0</v>
      </c>
      <c r="Y576" s="250">
        <v>7875.0</v>
      </c>
    </row>
    <row r="577">
      <c r="A577" s="11">
        <v>17.0</v>
      </c>
      <c r="B577" s="11">
        <v>32.0</v>
      </c>
      <c r="C577" s="253">
        <v>44.0</v>
      </c>
      <c r="D577" s="235">
        <v>1.0</v>
      </c>
      <c r="E577" s="235">
        <v>1.0</v>
      </c>
      <c r="F577" s="253">
        <v>44.0</v>
      </c>
      <c r="G577" s="235">
        <v>1.0</v>
      </c>
      <c r="H577" s="236">
        <v>5.6812796E7</v>
      </c>
      <c r="I577" s="16">
        <v>54.0</v>
      </c>
      <c r="J577" s="11">
        <v>7.0</v>
      </c>
      <c r="K577" s="11" t="str">
        <f t="shared" si="1"/>
        <v>00010056812796547</v>
      </c>
      <c r="L577" s="238">
        <v>-164.67</v>
      </c>
      <c r="M577" s="254">
        <v>72516.0</v>
      </c>
      <c r="N577" s="16">
        <v>6.0</v>
      </c>
      <c r="O577" s="17">
        <v>4.0</v>
      </c>
      <c r="P577" s="17">
        <v>53.0</v>
      </c>
      <c r="Q577" s="11">
        <v>5.4264578E7</v>
      </c>
      <c r="R577" s="11">
        <v>4.0</v>
      </c>
      <c r="S577" s="24" t="s">
        <v>5292</v>
      </c>
      <c r="T577" s="249" t="s">
        <v>5866</v>
      </c>
      <c r="U577" s="17">
        <v>9.0</v>
      </c>
      <c r="V577" s="16">
        <v>78.0</v>
      </c>
      <c r="W577" s="16">
        <v>25.0</v>
      </c>
      <c r="X577" s="50">
        <v>32513.0</v>
      </c>
      <c r="Y577" s="250">
        <v>1700.0</v>
      </c>
    </row>
    <row r="578">
      <c r="A578" s="11">
        <v>13.0</v>
      </c>
      <c r="B578" s="11">
        <v>94.0</v>
      </c>
      <c r="C578" s="253">
        <v>21.0</v>
      </c>
      <c r="D578" s="235">
        <v>65.0</v>
      </c>
      <c r="E578" s="235">
        <v>65.0</v>
      </c>
      <c r="F578" s="253">
        <v>21.0</v>
      </c>
      <c r="G578" s="235">
        <v>65.0</v>
      </c>
      <c r="H578" s="236">
        <v>6.3634224E7</v>
      </c>
      <c r="I578" s="16">
        <v>3.0</v>
      </c>
      <c r="J578" s="11">
        <v>2.0</v>
      </c>
      <c r="K578" s="11" t="str">
        <f t="shared" si="1"/>
        <v>00650063634224032</v>
      </c>
      <c r="L578" s="238">
        <v>6805.4</v>
      </c>
      <c r="M578" s="254">
        <v>82416.0</v>
      </c>
      <c r="N578" s="16">
        <v>80.0</v>
      </c>
      <c r="O578" s="17">
        <v>51.0</v>
      </c>
      <c r="P578" s="17">
        <v>12.0</v>
      </c>
      <c r="Q578" s="11">
        <v>5.5769692E7</v>
      </c>
      <c r="R578" s="11">
        <v>4.0</v>
      </c>
      <c r="S578" s="24" t="s">
        <v>5292</v>
      </c>
      <c r="T578" s="249" t="s">
        <v>5867</v>
      </c>
      <c r="U578" s="17">
        <v>15.0</v>
      </c>
      <c r="V578" s="16">
        <v>36.0</v>
      </c>
      <c r="W578" s="16">
        <v>29.0</v>
      </c>
      <c r="X578" s="50">
        <v>71018.0</v>
      </c>
      <c r="Y578" s="250">
        <v>316.0</v>
      </c>
    </row>
    <row r="579">
      <c r="A579" s="11">
        <v>17.0</v>
      </c>
      <c r="B579" s="11">
        <v>73.0</v>
      </c>
      <c r="C579" s="253">
        <v>12.0</v>
      </c>
      <c r="D579" s="235">
        <v>101.0</v>
      </c>
      <c r="E579" s="235">
        <v>101.0</v>
      </c>
      <c r="F579" s="253">
        <v>12.0</v>
      </c>
      <c r="G579" s="235">
        <v>101.0</v>
      </c>
      <c r="H579" s="236">
        <v>1.5547593E7</v>
      </c>
      <c r="I579" s="16">
        <v>78.0</v>
      </c>
      <c r="J579" s="11">
        <v>4.0</v>
      </c>
      <c r="K579" s="11" t="str">
        <f t="shared" si="1"/>
        <v>01010015547593784</v>
      </c>
      <c r="L579" s="238">
        <v>-227279.99</v>
      </c>
      <c r="M579" s="254">
        <v>111916.0</v>
      </c>
      <c r="N579" s="16">
        <v>47.0</v>
      </c>
      <c r="O579" s="17">
        <v>22.0</v>
      </c>
      <c r="P579" s="17">
        <v>12.0</v>
      </c>
      <c r="Q579" s="11">
        <v>8.071931E7</v>
      </c>
      <c r="R579" s="11">
        <v>5.0</v>
      </c>
      <c r="S579" s="24" t="s">
        <v>48</v>
      </c>
      <c r="T579" s="249" t="s">
        <v>5868</v>
      </c>
      <c r="U579" s="17">
        <v>16.0</v>
      </c>
      <c r="V579" s="16">
        <v>3.0</v>
      </c>
      <c r="W579" s="16">
        <v>4.0</v>
      </c>
      <c r="X579" s="50">
        <v>60517.0</v>
      </c>
      <c r="Y579" s="250">
        <v>6439.0</v>
      </c>
    </row>
    <row r="580">
      <c r="A580" s="11">
        <v>15.0</v>
      </c>
      <c r="B580" s="11">
        <v>94.0</v>
      </c>
      <c r="C580" s="253">
        <v>5.0</v>
      </c>
      <c r="D580" s="235">
        <v>53.0</v>
      </c>
      <c r="E580" s="235">
        <v>53.0</v>
      </c>
      <c r="F580" s="253">
        <v>5.0</v>
      </c>
      <c r="G580" s="235">
        <v>53.0</v>
      </c>
      <c r="H580" s="236">
        <v>7.902411E7</v>
      </c>
      <c r="I580" s="16">
        <v>98.0</v>
      </c>
      <c r="J580" s="11">
        <v>8.0</v>
      </c>
      <c r="K580" s="11" t="str">
        <f t="shared" si="1"/>
        <v>00530079024110988</v>
      </c>
      <c r="L580" s="238">
        <v>881.1</v>
      </c>
      <c r="M580" s="254">
        <v>11617.0</v>
      </c>
      <c r="N580" s="16">
        <v>4.0</v>
      </c>
      <c r="O580" s="17">
        <v>46.0</v>
      </c>
      <c r="P580" s="17">
        <v>12.0</v>
      </c>
      <c r="Q580" s="11">
        <v>2.0104596E7</v>
      </c>
      <c r="R580" s="11">
        <v>7.0</v>
      </c>
      <c r="S580" s="24" t="s">
        <v>48</v>
      </c>
      <c r="T580" s="249" t="s">
        <v>5869</v>
      </c>
      <c r="U580" s="17">
        <v>17.0</v>
      </c>
      <c r="V580" s="16">
        <v>47.0</v>
      </c>
      <c r="W580" s="16">
        <v>75.0</v>
      </c>
      <c r="X580" s="50">
        <v>60522.0</v>
      </c>
      <c r="Y580" s="250">
        <v>1551.0</v>
      </c>
    </row>
    <row r="581">
      <c r="A581" s="11">
        <v>12.0</v>
      </c>
      <c r="B581" s="11">
        <v>73.0</v>
      </c>
      <c r="C581" s="253">
        <v>22.0</v>
      </c>
      <c r="D581" s="235">
        <v>87.0</v>
      </c>
      <c r="E581" s="235">
        <v>87.0</v>
      </c>
      <c r="F581" s="253">
        <v>22.0</v>
      </c>
      <c r="G581" s="235">
        <v>87.0</v>
      </c>
      <c r="H581" s="236">
        <v>9.8629752E7</v>
      </c>
      <c r="I581" s="16">
        <v>78.0</v>
      </c>
      <c r="J581" s="11">
        <v>0.0</v>
      </c>
      <c r="K581" s="11" t="str">
        <f t="shared" si="1"/>
        <v>00870098629752780</v>
      </c>
      <c r="L581" s="238">
        <v>14156.2</v>
      </c>
      <c r="M581" s="254">
        <v>22716.0</v>
      </c>
      <c r="N581" s="16">
        <v>57.0</v>
      </c>
      <c r="O581" s="17">
        <v>50.0</v>
      </c>
      <c r="P581" s="17">
        <v>53.0</v>
      </c>
      <c r="Q581" s="11">
        <v>7.1921579E7</v>
      </c>
      <c r="R581" s="11">
        <v>5.0</v>
      </c>
      <c r="S581" s="24" t="s">
        <v>5292</v>
      </c>
      <c r="T581" s="249" t="s">
        <v>5870</v>
      </c>
      <c r="U581" s="17">
        <v>12.0</v>
      </c>
      <c r="V581" s="16">
        <v>9.0</v>
      </c>
      <c r="W581" s="16">
        <v>30.0</v>
      </c>
      <c r="X581" s="50">
        <v>61020.0</v>
      </c>
      <c r="Y581" s="250">
        <v>1778.0</v>
      </c>
    </row>
    <row r="582">
      <c r="A582" s="11">
        <v>15.0</v>
      </c>
      <c r="B582" s="11">
        <v>12.0</v>
      </c>
      <c r="C582" s="253">
        <v>38.0</v>
      </c>
      <c r="D582" s="235">
        <v>49.0</v>
      </c>
      <c r="E582" s="235">
        <v>49.0</v>
      </c>
      <c r="F582" s="253">
        <v>38.0</v>
      </c>
      <c r="G582" s="235">
        <v>49.0</v>
      </c>
      <c r="H582" s="236">
        <v>5.5765673E7</v>
      </c>
      <c r="I582" s="16">
        <v>67.0</v>
      </c>
      <c r="J582" s="11">
        <v>7.0</v>
      </c>
      <c r="K582" s="11" t="str">
        <f t="shared" si="1"/>
        <v>00490055765673677</v>
      </c>
      <c r="L582" s="238">
        <v>20686.36</v>
      </c>
      <c r="M582" s="254">
        <v>41116.0</v>
      </c>
      <c r="N582" s="16">
        <v>80.0</v>
      </c>
      <c r="O582" s="17">
        <v>10.0</v>
      </c>
      <c r="P582" s="17">
        <v>94.0</v>
      </c>
      <c r="Q582" s="11">
        <v>1.9022089E7</v>
      </c>
      <c r="R582" s="11">
        <v>6.0</v>
      </c>
      <c r="S582" s="24" t="s">
        <v>5292</v>
      </c>
      <c r="T582" s="249" t="s">
        <v>5871</v>
      </c>
      <c r="U582" s="17">
        <v>10.0</v>
      </c>
      <c r="V582" s="16">
        <v>32.0</v>
      </c>
      <c r="W582" s="16">
        <v>47.0</v>
      </c>
      <c r="X582" s="50">
        <v>81215.0</v>
      </c>
      <c r="Y582" s="250">
        <v>5017.0</v>
      </c>
    </row>
    <row r="583">
      <c r="A583" s="11">
        <v>18.0</v>
      </c>
      <c r="B583" s="11">
        <v>32.0</v>
      </c>
      <c r="C583" s="253">
        <v>2.0</v>
      </c>
      <c r="D583" s="235">
        <v>70.0</v>
      </c>
      <c r="E583" s="235">
        <v>70.0</v>
      </c>
      <c r="F583" s="253">
        <v>2.0</v>
      </c>
      <c r="G583" s="235">
        <v>70.0</v>
      </c>
      <c r="H583" s="236">
        <v>2.6195275E7</v>
      </c>
      <c r="I583" s="16">
        <v>72.0</v>
      </c>
      <c r="J583" s="11">
        <v>6.0</v>
      </c>
      <c r="K583" s="11" t="str">
        <f t="shared" si="1"/>
        <v>00700026195275726</v>
      </c>
      <c r="L583" s="238">
        <v>89649.53</v>
      </c>
      <c r="M583" s="254">
        <v>52813.0</v>
      </c>
      <c r="N583" s="16">
        <v>39.0</v>
      </c>
      <c r="O583" s="17">
        <v>28.0</v>
      </c>
      <c r="P583" s="17">
        <v>32.0</v>
      </c>
      <c r="Q583" s="11">
        <v>7.1819226E7</v>
      </c>
      <c r="R583" s="11">
        <v>0.0</v>
      </c>
      <c r="S583" s="24" t="s">
        <v>48</v>
      </c>
      <c r="T583" s="249" t="s">
        <v>5872</v>
      </c>
      <c r="U583" s="17">
        <v>66.0</v>
      </c>
      <c r="V583" s="16">
        <v>50.0</v>
      </c>
      <c r="W583" s="16">
        <v>15.0</v>
      </c>
      <c r="X583" s="50">
        <v>82314.0</v>
      </c>
      <c r="Y583" s="250">
        <v>3997.0</v>
      </c>
    </row>
    <row r="584">
      <c r="A584" s="11">
        <v>18.0</v>
      </c>
      <c r="B584" s="11">
        <v>94.0</v>
      </c>
      <c r="C584" s="253">
        <v>26.0</v>
      </c>
      <c r="D584" s="235">
        <v>41.0</v>
      </c>
      <c r="E584" s="235">
        <v>41.0</v>
      </c>
      <c r="F584" s="253">
        <v>26.0</v>
      </c>
      <c r="G584" s="235">
        <v>41.0</v>
      </c>
      <c r="H584" s="236">
        <v>2.4760818E7</v>
      </c>
      <c r="I584" s="16">
        <v>57.0</v>
      </c>
      <c r="J584" s="11">
        <v>0.0</v>
      </c>
      <c r="K584" s="11" t="str">
        <f t="shared" si="1"/>
        <v>00410024760818570</v>
      </c>
      <c r="L584" s="238">
        <v>-95725.12</v>
      </c>
      <c r="M584" s="254">
        <v>21917.0</v>
      </c>
      <c r="N584" s="16">
        <v>86.0</v>
      </c>
      <c r="O584" s="17">
        <v>29.0</v>
      </c>
      <c r="P584" s="17">
        <v>94.0</v>
      </c>
      <c r="Q584" s="11">
        <v>2.655954E7</v>
      </c>
      <c r="R584" s="11">
        <v>6.0</v>
      </c>
      <c r="S584" s="24" t="s">
        <v>29</v>
      </c>
      <c r="T584" s="249" t="s">
        <v>5873</v>
      </c>
      <c r="U584" s="17">
        <v>15.0</v>
      </c>
      <c r="V584" s="16">
        <v>4.0</v>
      </c>
      <c r="W584" s="16">
        <v>18.0</v>
      </c>
      <c r="X584" s="50">
        <v>51920.0</v>
      </c>
      <c r="Y584" s="250">
        <v>3239.0</v>
      </c>
    </row>
    <row r="585">
      <c r="A585" s="11">
        <v>11.0</v>
      </c>
      <c r="B585" s="11">
        <v>12.0</v>
      </c>
      <c r="C585" s="253">
        <v>22.0</v>
      </c>
      <c r="D585" s="235">
        <v>37.0</v>
      </c>
      <c r="E585" s="235">
        <v>37.0</v>
      </c>
      <c r="F585" s="253">
        <v>22.0</v>
      </c>
      <c r="G585" s="235">
        <v>37.0</v>
      </c>
      <c r="H585" s="236">
        <v>9.735173E7</v>
      </c>
      <c r="I585" s="16">
        <v>17.0</v>
      </c>
      <c r="J585" s="11">
        <v>7.0</v>
      </c>
      <c r="K585" s="11" t="str">
        <f t="shared" si="1"/>
        <v>00370097351730177</v>
      </c>
      <c r="L585" s="238">
        <v>-78298.83</v>
      </c>
      <c r="M585" s="254">
        <v>41015.0</v>
      </c>
      <c r="N585" s="16">
        <v>15.0</v>
      </c>
      <c r="O585" s="17">
        <v>44.0</v>
      </c>
      <c r="P585" s="17">
        <v>32.0</v>
      </c>
      <c r="Q585" s="11">
        <v>4.7444015E7</v>
      </c>
      <c r="R585" s="11">
        <v>8.0</v>
      </c>
      <c r="S585" s="24" t="s">
        <v>48</v>
      </c>
      <c r="T585" s="249" t="s">
        <v>5874</v>
      </c>
      <c r="U585" s="17">
        <v>74.0</v>
      </c>
      <c r="V585" s="16">
        <v>97.0</v>
      </c>
      <c r="W585" s="16">
        <v>72.0</v>
      </c>
      <c r="X585" s="50">
        <v>91814.0</v>
      </c>
      <c r="Y585" s="250">
        <v>2752.0</v>
      </c>
    </row>
    <row r="586">
      <c r="A586" s="11">
        <v>13.0</v>
      </c>
      <c r="B586" s="11">
        <v>32.0</v>
      </c>
      <c r="C586" s="253">
        <v>55.0</v>
      </c>
      <c r="D586" s="235">
        <v>101.0</v>
      </c>
      <c r="E586" s="235">
        <v>101.0</v>
      </c>
      <c r="F586" s="253">
        <v>55.0</v>
      </c>
      <c r="G586" s="235">
        <v>101.0</v>
      </c>
      <c r="H586" s="236">
        <v>5.6994406E7</v>
      </c>
      <c r="I586" s="16">
        <v>81.0</v>
      </c>
      <c r="J586" s="11">
        <v>8.0</v>
      </c>
      <c r="K586" s="11" t="str">
        <f t="shared" si="1"/>
        <v>01010056994406818</v>
      </c>
      <c r="L586" s="238">
        <v>-104.92</v>
      </c>
      <c r="M586" s="254">
        <v>72815.0</v>
      </c>
      <c r="N586" s="16">
        <v>21.0</v>
      </c>
      <c r="O586" s="17">
        <v>24.0</v>
      </c>
      <c r="P586" s="17">
        <v>12.0</v>
      </c>
      <c r="Q586" s="11">
        <v>3.204855E7</v>
      </c>
      <c r="R586" s="11">
        <v>1.0</v>
      </c>
      <c r="S586" s="24" t="s">
        <v>29</v>
      </c>
      <c r="T586" s="249" t="s">
        <v>5875</v>
      </c>
      <c r="U586" s="17">
        <v>30.0</v>
      </c>
      <c r="V586" s="16">
        <v>90.0</v>
      </c>
      <c r="W586" s="16">
        <v>99.0</v>
      </c>
      <c r="X586" s="50">
        <v>60418.0</v>
      </c>
      <c r="Y586" s="250">
        <v>6167.0</v>
      </c>
    </row>
    <row r="587">
      <c r="A587" s="11">
        <v>13.0</v>
      </c>
      <c r="B587" s="11">
        <v>12.0</v>
      </c>
      <c r="C587" s="253">
        <v>1.0</v>
      </c>
      <c r="D587" s="235">
        <v>95.0</v>
      </c>
      <c r="E587" s="235">
        <v>95.0</v>
      </c>
      <c r="F587" s="253">
        <v>1.0</v>
      </c>
      <c r="G587" s="235">
        <v>95.0</v>
      </c>
      <c r="H587" s="236">
        <v>5.3434588E7</v>
      </c>
      <c r="I587" s="16">
        <v>62.0</v>
      </c>
      <c r="J587" s="11">
        <v>3.0</v>
      </c>
      <c r="K587" s="11" t="str">
        <f t="shared" si="1"/>
        <v>00950053434588623</v>
      </c>
      <c r="L587" s="238">
        <v>913450.26</v>
      </c>
      <c r="M587" s="254">
        <v>51818.0</v>
      </c>
      <c r="N587" s="16">
        <v>34.0</v>
      </c>
      <c r="O587" s="17">
        <v>28.0</v>
      </c>
      <c r="P587" s="17">
        <v>53.0</v>
      </c>
      <c r="Q587" s="11">
        <v>9.6244585E7</v>
      </c>
      <c r="R587" s="11">
        <v>2.0</v>
      </c>
      <c r="S587" s="24" t="s">
        <v>5292</v>
      </c>
      <c r="T587" s="249" t="s">
        <v>5876</v>
      </c>
      <c r="U587" s="17">
        <v>30.0</v>
      </c>
      <c r="V587" s="16">
        <v>9.0</v>
      </c>
      <c r="W587" s="16">
        <v>34.0</v>
      </c>
      <c r="X587" s="50">
        <v>80713.0</v>
      </c>
      <c r="Y587" s="250">
        <v>7216.0</v>
      </c>
    </row>
    <row r="588">
      <c r="A588" s="11">
        <v>17.0</v>
      </c>
      <c r="B588" s="11">
        <v>32.0</v>
      </c>
      <c r="C588" s="253">
        <v>5.0</v>
      </c>
      <c r="D588" s="235">
        <v>49.0</v>
      </c>
      <c r="E588" s="235">
        <v>49.0</v>
      </c>
      <c r="F588" s="253">
        <v>5.0</v>
      </c>
      <c r="G588" s="235">
        <v>49.0</v>
      </c>
      <c r="H588" s="236">
        <v>2.6149237E7</v>
      </c>
      <c r="I588" s="16">
        <v>1.0</v>
      </c>
      <c r="J588" s="11">
        <v>2.0</v>
      </c>
      <c r="K588" s="11" t="str">
        <f t="shared" si="1"/>
        <v>00490026149237012</v>
      </c>
      <c r="L588" s="238">
        <v>413.81</v>
      </c>
      <c r="M588" s="254">
        <v>12422.0</v>
      </c>
      <c r="N588" s="16">
        <v>69.0</v>
      </c>
      <c r="O588" s="17">
        <v>13.0</v>
      </c>
      <c r="P588" s="17">
        <v>32.0</v>
      </c>
      <c r="Q588" s="11">
        <v>1.6319191E7</v>
      </c>
      <c r="R588" s="11">
        <v>5.0</v>
      </c>
      <c r="S588" s="24" t="s">
        <v>29</v>
      </c>
      <c r="T588" s="249" t="s">
        <v>5877</v>
      </c>
      <c r="U588" s="17">
        <v>85.0</v>
      </c>
      <c r="V588" s="16">
        <v>13.0</v>
      </c>
      <c r="W588" s="16">
        <v>62.0</v>
      </c>
      <c r="X588" s="50">
        <v>71519.0</v>
      </c>
      <c r="Y588" s="250">
        <v>220.0</v>
      </c>
    </row>
    <row r="589">
      <c r="A589" s="11">
        <v>13.0</v>
      </c>
      <c r="B589" s="11">
        <v>32.0</v>
      </c>
      <c r="C589" s="253">
        <v>47.0</v>
      </c>
      <c r="D589" s="235">
        <v>127.0</v>
      </c>
      <c r="E589" s="235">
        <v>127.0</v>
      </c>
      <c r="F589" s="253">
        <v>47.0</v>
      </c>
      <c r="G589" s="235">
        <v>127.0</v>
      </c>
      <c r="H589" s="236">
        <v>9.2408928E7</v>
      </c>
      <c r="I589" s="16">
        <v>36.0</v>
      </c>
      <c r="J589" s="11">
        <v>1.0</v>
      </c>
      <c r="K589" s="11" t="str">
        <f t="shared" si="1"/>
        <v>01270092408928361</v>
      </c>
      <c r="L589" s="238">
        <v>59219.12</v>
      </c>
      <c r="M589" s="254">
        <v>90320.0</v>
      </c>
      <c r="N589" s="16">
        <v>23.0</v>
      </c>
      <c r="O589" s="17">
        <v>2.0</v>
      </c>
      <c r="P589" s="17">
        <v>53.0</v>
      </c>
      <c r="Q589" s="11">
        <v>9.7371209E7</v>
      </c>
      <c r="R589" s="11">
        <v>0.0</v>
      </c>
      <c r="S589" s="24" t="s">
        <v>5292</v>
      </c>
      <c r="T589" s="249" t="s">
        <v>5878</v>
      </c>
      <c r="U589" s="17">
        <v>34.0</v>
      </c>
      <c r="V589" s="16">
        <v>44.0</v>
      </c>
      <c r="W589" s="16">
        <v>16.0</v>
      </c>
      <c r="X589" s="50">
        <v>122022.0</v>
      </c>
      <c r="Y589" s="250">
        <v>8264.0</v>
      </c>
    </row>
    <row r="590">
      <c r="A590" s="11">
        <v>11.0</v>
      </c>
      <c r="B590" s="11">
        <v>12.0</v>
      </c>
      <c r="C590" s="253">
        <v>46.0</v>
      </c>
      <c r="D590" s="235">
        <v>119.0</v>
      </c>
      <c r="E590" s="235">
        <v>119.0</v>
      </c>
      <c r="F590" s="253">
        <v>46.0</v>
      </c>
      <c r="G590" s="235">
        <v>119.0</v>
      </c>
      <c r="H590" s="236">
        <v>6.3638279E7</v>
      </c>
      <c r="I590" s="16">
        <v>99.0</v>
      </c>
      <c r="J590" s="11">
        <v>5.0</v>
      </c>
      <c r="K590" s="11" t="str">
        <f t="shared" si="1"/>
        <v>01190063638279995</v>
      </c>
      <c r="L590" s="238">
        <v>663857.4</v>
      </c>
      <c r="M590" s="254">
        <v>20421.0</v>
      </c>
      <c r="N590" s="16">
        <v>81.0</v>
      </c>
      <c r="O590" s="17">
        <v>54.0</v>
      </c>
      <c r="P590" s="17">
        <v>12.0</v>
      </c>
      <c r="Q590" s="11">
        <v>4.4614971E7</v>
      </c>
      <c r="R590" s="11">
        <v>6.0</v>
      </c>
      <c r="S590" s="24" t="s">
        <v>5292</v>
      </c>
      <c r="T590" s="249" t="s">
        <v>5879</v>
      </c>
      <c r="U590" s="17">
        <v>37.0</v>
      </c>
      <c r="V590" s="16">
        <v>68.0</v>
      </c>
      <c r="W590" s="16">
        <v>30.0</v>
      </c>
      <c r="X590" s="50">
        <v>92817.0</v>
      </c>
      <c r="Y590" s="250">
        <v>9269.0</v>
      </c>
    </row>
    <row r="591">
      <c r="A591" s="11">
        <v>19.0</v>
      </c>
      <c r="B591" s="11">
        <v>73.0</v>
      </c>
      <c r="C591" s="253">
        <v>47.0</v>
      </c>
      <c r="D591" s="235">
        <v>83.0</v>
      </c>
      <c r="E591" s="235">
        <v>83.0</v>
      </c>
      <c r="F591" s="253">
        <v>47.0</v>
      </c>
      <c r="G591" s="235">
        <v>83.0</v>
      </c>
      <c r="H591" s="236">
        <v>8.0794468E7</v>
      </c>
      <c r="I591" s="16">
        <v>82.0</v>
      </c>
      <c r="J591" s="11">
        <v>4.0</v>
      </c>
      <c r="K591" s="11" t="str">
        <f t="shared" si="1"/>
        <v>00830080794468824</v>
      </c>
      <c r="L591" s="238">
        <v>-6129.29</v>
      </c>
      <c r="M591" s="254">
        <v>100819.0</v>
      </c>
      <c r="N591" s="16">
        <v>54.0</v>
      </c>
      <c r="O591" s="17">
        <v>31.0</v>
      </c>
      <c r="P591" s="17">
        <v>94.0</v>
      </c>
      <c r="Q591" s="11">
        <v>3.7386092E7</v>
      </c>
      <c r="R591" s="11">
        <v>8.0</v>
      </c>
      <c r="S591" s="24" t="s">
        <v>5292</v>
      </c>
      <c r="T591" s="249" t="s">
        <v>5880</v>
      </c>
      <c r="U591" s="17">
        <v>31.0</v>
      </c>
      <c r="V591" s="16">
        <v>66.0</v>
      </c>
      <c r="W591" s="16">
        <v>26.0</v>
      </c>
      <c r="X591" s="50">
        <v>102615.0</v>
      </c>
      <c r="Y591" s="250">
        <v>2351.0</v>
      </c>
    </row>
    <row r="592">
      <c r="A592" s="11">
        <v>17.0</v>
      </c>
      <c r="B592" s="11">
        <v>73.0</v>
      </c>
      <c r="C592" s="253">
        <v>29.0</v>
      </c>
      <c r="D592" s="235">
        <v>85.0</v>
      </c>
      <c r="E592" s="235">
        <v>85.0</v>
      </c>
      <c r="F592" s="253">
        <v>29.0</v>
      </c>
      <c r="G592" s="235">
        <v>85.0</v>
      </c>
      <c r="H592" s="236">
        <v>2.9636726E7</v>
      </c>
      <c r="I592" s="16">
        <v>4.0</v>
      </c>
      <c r="J592" s="11">
        <v>1.0</v>
      </c>
      <c r="K592" s="11" t="str">
        <f t="shared" si="1"/>
        <v>00850029636726041</v>
      </c>
      <c r="L592" s="238">
        <v>305.77</v>
      </c>
      <c r="M592" s="254">
        <v>90315.0</v>
      </c>
      <c r="N592" s="16">
        <v>71.0</v>
      </c>
      <c r="O592" s="17">
        <v>40.0</v>
      </c>
      <c r="P592" s="17">
        <v>94.0</v>
      </c>
      <c r="Q592" s="11">
        <v>3.7802621E7</v>
      </c>
      <c r="R592" s="11">
        <v>7.0</v>
      </c>
      <c r="S592" s="24" t="s">
        <v>48</v>
      </c>
      <c r="T592" s="249" t="s">
        <v>5881</v>
      </c>
      <c r="U592" s="17">
        <v>39.0</v>
      </c>
      <c r="V592" s="16">
        <v>88.0</v>
      </c>
      <c r="W592" s="16">
        <v>24.0</v>
      </c>
      <c r="X592" s="50">
        <v>11016.0</v>
      </c>
      <c r="Y592" s="250">
        <v>6739.0</v>
      </c>
    </row>
    <row r="593">
      <c r="A593" s="11">
        <v>20.0</v>
      </c>
      <c r="B593" s="11">
        <v>94.0</v>
      </c>
      <c r="C593" s="253">
        <v>47.0</v>
      </c>
      <c r="D593" s="235">
        <v>65.0</v>
      </c>
      <c r="E593" s="235">
        <v>65.0</v>
      </c>
      <c r="F593" s="253">
        <v>47.0</v>
      </c>
      <c r="G593" s="235">
        <v>65.0</v>
      </c>
      <c r="H593" s="236">
        <v>3.6489566E7</v>
      </c>
      <c r="I593" s="16">
        <v>40.0</v>
      </c>
      <c r="J593" s="11">
        <v>1.0</v>
      </c>
      <c r="K593" s="11" t="str">
        <f t="shared" si="1"/>
        <v>00650036489566401</v>
      </c>
      <c r="L593" s="238">
        <v>1706.56</v>
      </c>
      <c r="M593" s="254">
        <v>81113.0</v>
      </c>
      <c r="N593" s="16">
        <v>86.0</v>
      </c>
      <c r="O593" s="17">
        <v>44.0</v>
      </c>
      <c r="P593" s="17">
        <v>73.0</v>
      </c>
      <c r="Q593" s="11">
        <v>4.3017788E7</v>
      </c>
      <c r="R593" s="11">
        <v>9.0</v>
      </c>
      <c r="S593" s="24" t="s">
        <v>5292</v>
      </c>
      <c r="T593" s="249" t="s">
        <v>5882</v>
      </c>
      <c r="U593" s="17">
        <v>92.0</v>
      </c>
      <c r="V593" s="16">
        <v>96.0</v>
      </c>
      <c r="W593" s="16">
        <v>90.0</v>
      </c>
      <c r="X593" s="50">
        <v>50522.0</v>
      </c>
      <c r="Y593" s="250">
        <v>1886.0</v>
      </c>
    </row>
    <row r="594">
      <c r="A594" s="11">
        <v>10.0</v>
      </c>
      <c r="B594" s="11">
        <v>53.0</v>
      </c>
      <c r="C594" s="253">
        <v>1.0</v>
      </c>
      <c r="D594" s="235">
        <v>31.0</v>
      </c>
      <c r="E594" s="235">
        <v>31.0</v>
      </c>
      <c r="F594" s="253">
        <v>1.0</v>
      </c>
      <c r="G594" s="235">
        <v>31.0</v>
      </c>
      <c r="H594" s="236">
        <v>1.1071233E7</v>
      </c>
      <c r="I594" s="16">
        <v>63.0</v>
      </c>
      <c r="J594" s="11">
        <v>9.0</v>
      </c>
      <c r="K594" s="11" t="str">
        <f t="shared" si="1"/>
        <v>00310011071233639</v>
      </c>
      <c r="L594" s="238">
        <v>-7406.14</v>
      </c>
      <c r="M594" s="254">
        <v>70319.0</v>
      </c>
      <c r="N594" s="16">
        <v>3.0</v>
      </c>
      <c r="O594" s="17">
        <v>42.0</v>
      </c>
      <c r="P594" s="17">
        <v>94.0</v>
      </c>
      <c r="Q594" s="11">
        <v>8.8414969E7</v>
      </c>
      <c r="R594" s="11">
        <v>0.0</v>
      </c>
      <c r="S594" s="24" t="s">
        <v>48</v>
      </c>
      <c r="T594" s="249" t="s">
        <v>5883</v>
      </c>
      <c r="U594" s="17">
        <v>41.0</v>
      </c>
      <c r="V594" s="16">
        <v>33.0</v>
      </c>
      <c r="W594" s="16">
        <v>62.0</v>
      </c>
      <c r="X594" s="50">
        <v>122214.0</v>
      </c>
      <c r="Y594" s="250">
        <v>6425.0</v>
      </c>
    </row>
    <row r="595">
      <c r="A595" s="11">
        <v>15.0</v>
      </c>
      <c r="B595" s="11">
        <v>53.0</v>
      </c>
      <c r="C595" s="253">
        <v>48.0</v>
      </c>
      <c r="D595" s="235">
        <v>371.0</v>
      </c>
      <c r="E595" s="235">
        <v>371.0</v>
      </c>
      <c r="F595" s="253">
        <v>48.0</v>
      </c>
      <c r="G595" s="235">
        <v>371.0</v>
      </c>
      <c r="H595" s="236">
        <v>3.2637391E7</v>
      </c>
      <c r="I595" s="16">
        <v>97.0</v>
      </c>
      <c r="J595" s="11">
        <v>5.0</v>
      </c>
      <c r="K595" s="11" t="str">
        <f t="shared" si="1"/>
        <v>03710032637391975</v>
      </c>
      <c r="L595" s="238">
        <v>-5069.39</v>
      </c>
      <c r="M595" s="254">
        <v>22120.0</v>
      </c>
      <c r="N595" s="16">
        <v>7.0</v>
      </c>
      <c r="O595" s="17">
        <v>4.0</v>
      </c>
      <c r="P595" s="17">
        <v>32.0</v>
      </c>
      <c r="Q595" s="11">
        <v>1.5997618E7</v>
      </c>
      <c r="R595" s="11">
        <v>5.0</v>
      </c>
      <c r="S595" s="24" t="s">
        <v>48</v>
      </c>
      <c r="T595" s="249" t="s">
        <v>5884</v>
      </c>
      <c r="U595" s="17">
        <v>99.0</v>
      </c>
      <c r="V595" s="16">
        <v>76.0</v>
      </c>
      <c r="W595" s="16">
        <v>47.0</v>
      </c>
      <c r="X595" s="50">
        <v>72618.0</v>
      </c>
      <c r="Y595" s="250">
        <v>7145.0</v>
      </c>
    </row>
    <row r="596">
      <c r="A596" s="11">
        <v>19.0</v>
      </c>
      <c r="B596" s="11">
        <v>32.0</v>
      </c>
      <c r="C596" s="253">
        <v>33.0</v>
      </c>
      <c r="D596" s="235">
        <v>19.0</v>
      </c>
      <c r="E596" s="235">
        <v>19.0</v>
      </c>
      <c r="F596" s="253">
        <v>33.0</v>
      </c>
      <c r="G596" s="235">
        <v>19.0</v>
      </c>
      <c r="H596" s="236">
        <v>4.4103211E7</v>
      </c>
      <c r="I596" s="16">
        <v>77.0</v>
      </c>
      <c r="J596" s="11">
        <v>2.0</v>
      </c>
      <c r="K596" s="11" t="str">
        <f t="shared" si="1"/>
        <v>00190044103211772</v>
      </c>
      <c r="L596" s="238">
        <v>9642.59</v>
      </c>
      <c r="M596" s="254">
        <v>81919.0</v>
      </c>
      <c r="N596" s="16">
        <v>56.0</v>
      </c>
      <c r="O596" s="17">
        <v>1.0</v>
      </c>
      <c r="P596" s="17">
        <v>12.0</v>
      </c>
      <c r="Q596" s="11">
        <v>1.2875583E7</v>
      </c>
      <c r="R596" s="11">
        <v>3.0</v>
      </c>
      <c r="S596" s="24" t="s">
        <v>48</v>
      </c>
      <c r="T596" s="249" t="s">
        <v>5885</v>
      </c>
      <c r="U596" s="17">
        <v>52.0</v>
      </c>
      <c r="V596" s="16">
        <v>46.0</v>
      </c>
      <c r="W596" s="16">
        <v>78.0</v>
      </c>
      <c r="X596" s="50">
        <v>42115.0</v>
      </c>
      <c r="Y596" s="250">
        <v>2305.0</v>
      </c>
    </row>
    <row r="597">
      <c r="A597" s="11">
        <v>15.0</v>
      </c>
      <c r="B597" s="11">
        <v>53.0</v>
      </c>
      <c r="C597" s="253">
        <v>40.0</v>
      </c>
      <c r="D597" s="235">
        <v>149.0</v>
      </c>
      <c r="E597" s="235">
        <v>149.0</v>
      </c>
      <c r="F597" s="253">
        <v>40.0</v>
      </c>
      <c r="G597" s="235">
        <v>149.0</v>
      </c>
      <c r="H597" s="236">
        <v>2.8898613E7</v>
      </c>
      <c r="I597" s="16">
        <v>76.0</v>
      </c>
      <c r="J597" s="11">
        <v>6.0</v>
      </c>
      <c r="K597" s="11" t="str">
        <f t="shared" si="1"/>
        <v>01490028898613766</v>
      </c>
      <c r="L597" s="238">
        <v>221200.7</v>
      </c>
      <c r="M597" s="254">
        <v>52217.0</v>
      </c>
      <c r="N597" s="16">
        <v>50.0</v>
      </c>
      <c r="O597" s="17">
        <v>16.0</v>
      </c>
      <c r="P597" s="17">
        <v>33.0</v>
      </c>
      <c r="Q597" s="11">
        <v>5.4523054E7</v>
      </c>
      <c r="R597" s="11">
        <v>4.0</v>
      </c>
      <c r="S597" s="24" t="s">
        <v>29</v>
      </c>
      <c r="T597" s="249" t="s">
        <v>5886</v>
      </c>
      <c r="U597" s="17">
        <v>1.0</v>
      </c>
      <c r="V597" s="16">
        <v>71.0</v>
      </c>
      <c r="W597" s="16">
        <v>94.0</v>
      </c>
      <c r="X597" s="50">
        <v>91619.0</v>
      </c>
      <c r="Y597" s="250">
        <v>7500.0</v>
      </c>
    </row>
    <row r="598">
      <c r="A598" s="11">
        <v>16.0</v>
      </c>
      <c r="B598" s="11">
        <v>12.0</v>
      </c>
      <c r="C598" s="253">
        <v>45.0</v>
      </c>
      <c r="D598" s="235">
        <v>51.0</v>
      </c>
      <c r="E598" s="235">
        <v>51.0</v>
      </c>
      <c r="F598" s="253">
        <v>45.0</v>
      </c>
      <c r="G598" s="235">
        <v>51.0</v>
      </c>
      <c r="H598" s="236">
        <v>4.7259687E7</v>
      </c>
      <c r="I598" s="16">
        <v>10.0</v>
      </c>
      <c r="J598" s="11">
        <v>8.0</v>
      </c>
      <c r="K598" s="11" t="str">
        <f t="shared" si="1"/>
        <v>00510047259687108</v>
      </c>
      <c r="L598" s="238">
        <v>16718.15</v>
      </c>
      <c r="M598" s="254">
        <v>110417.0</v>
      </c>
      <c r="N598" s="16">
        <v>41.0</v>
      </c>
      <c r="O598" s="17">
        <v>28.0</v>
      </c>
      <c r="P598" s="17">
        <v>12.0</v>
      </c>
      <c r="Q598" s="11">
        <v>8.0353594E7</v>
      </c>
      <c r="R598" s="11">
        <v>8.0</v>
      </c>
      <c r="S598" s="24" t="s">
        <v>29</v>
      </c>
      <c r="T598" s="249" t="s">
        <v>5887</v>
      </c>
      <c r="U598" s="17">
        <v>55.0</v>
      </c>
      <c r="V598" s="16">
        <v>3.0</v>
      </c>
      <c r="W598" s="16">
        <v>77.0</v>
      </c>
      <c r="X598" s="50">
        <v>33115.0</v>
      </c>
      <c r="Y598" s="250">
        <v>4566.0</v>
      </c>
    </row>
    <row r="599">
      <c r="A599" s="11">
        <v>20.0</v>
      </c>
      <c r="B599" s="11">
        <v>12.0</v>
      </c>
      <c r="C599" s="253">
        <v>48.0</v>
      </c>
      <c r="D599" s="235">
        <v>197.0</v>
      </c>
      <c r="E599" s="235">
        <v>197.0</v>
      </c>
      <c r="F599" s="253">
        <v>48.0</v>
      </c>
      <c r="G599" s="235">
        <v>197.0</v>
      </c>
      <c r="H599" s="236">
        <v>2.7135045E7</v>
      </c>
      <c r="I599" s="16">
        <v>32.0</v>
      </c>
      <c r="J599" s="11">
        <v>8.0</v>
      </c>
      <c r="K599" s="11" t="str">
        <f t="shared" si="1"/>
        <v>01970027135045328</v>
      </c>
      <c r="L599" s="238">
        <v>46255.0</v>
      </c>
      <c r="M599" s="254">
        <v>22819.0</v>
      </c>
      <c r="N599" s="16">
        <v>46.0</v>
      </c>
      <c r="O599" s="17">
        <v>46.0</v>
      </c>
      <c r="P599" s="17">
        <v>33.0</v>
      </c>
      <c r="Q599" s="11">
        <v>8.1484365E7</v>
      </c>
      <c r="R599" s="11">
        <v>1.0</v>
      </c>
      <c r="S599" s="24" t="s">
        <v>39</v>
      </c>
      <c r="T599" s="249" t="s">
        <v>5888</v>
      </c>
      <c r="U599" s="17">
        <v>4.0</v>
      </c>
      <c r="V599" s="16">
        <v>29.0</v>
      </c>
      <c r="W599" s="16">
        <v>8.0</v>
      </c>
      <c r="X599" s="50">
        <v>42120.0</v>
      </c>
      <c r="Y599" s="250">
        <v>4100.0</v>
      </c>
    </row>
    <row r="600">
      <c r="A600" s="11">
        <v>17.0</v>
      </c>
      <c r="B600" s="11">
        <v>12.0</v>
      </c>
      <c r="C600" s="253">
        <v>51.0</v>
      </c>
      <c r="D600" s="235">
        <v>155.0</v>
      </c>
      <c r="E600" s="235">
        <v>155.0</v>
      </c>
      <c r="F600" s="253">
        <v>51.0</v>
      </c>
      <c r="G600" s="235">
        <v>155.0</v>
      </c>
      <c r="H600" s="236">
        <v>7.5468018E7</v>
      </c>
      <c r="I600" s="16">
        <v>25.0</v>
      </c>
      <c r="J600" s="11">
        <v>9.0</v>
      </c>
      <c r="K600" s="11" t="str">
        <f t="shared" si="1"/>
        <v>01550075468018259</v>
      </c>
      <c r="L600" s="238">
        <v>183.68</v>
      </c>
      <c r="M600" s="254">
        <v>52420.0</v>
      </c>
      <c r="N600" s="16">
        <v>11.0</v>
      </c>
      <c r="O600" s="17">
        <v>10.0</v>
      </c>
      <c r="P600" s="17">
        <v>74.0</v>
      </c>
      <c r="Q600" s="11">
        <v>8.3495724E7</v>
      </c>
      <c r="R600" s="11">
        <v>0.0</v>
      </c>
      <c r="S600" s="24" t="s">
        <v>5292</v>
      </c>
      <c r="T600" s="249" t="s">
        <v>5889</v>
      </c>
      <c r="U600" s="17">
        <v>5.0</v>
      </c>
      <c r="V600" s="16">
        <v>94.0</v>
      </c>
      <c r="W600" s="16">
        <v>36.0</v>
      </c>
      <c r="X600" s="50">
        <v>22916.0</v>
      </c>
      <c r="Y600" s="250">
        <v>4317.0</v>
      </c>
    </row>
    <row r="601">
      <c r="A601" s="11">
        <v>10.0</v>
      </c>
      <c r="B601" s="11">
        <v>33.0</v>
      </c>
      <c r="C601" s="253">
        <v>40.0</v>
      </c>
      <c r="D601" s="235">
        <v>125.0</v>
      </c>
      <c r="E601" s="235">
        <v>125.0</v>
      </c>
      <c r="F601" s="253">
        <v>40.0</v>
      </c>
      <c r="G601" s="235">
        <v>125.0</v>
      </c>
      <c r="H601" s="236">
        <v>3.3845262E7</v>
      </c>
      <c r="I601" s="16">
        <v>61.0</v>
      </c>
      <c r="J601" s="11">
        <v>0.0</v>
      </c>
      <c r="K601" s="11" t="str">
        <f t="shared" si="1"/>
        <v>01250033845262610</v>
      </c>
      <c r="L601" s="238">
        <v>35015.76</v>
      </c>
      <c r="M601" s="254">
        <v>91113.0</v>
      </c>
      <c r="N601" s="16">
        <v>98.0</v>
      </c>
      <c r="O601" s="17">
        <v>47.0</v>
      </c>
      <c r="P601" s="17">
        <v>94.0</v>
      </c>
      <c r="Q601" s="11">
        <v>6.6089204E7</v>
      </c>
      <c r="R601" s="11">
        <v>6.0</v>
      </c>
      <c r="S601" s="24" t="s">
        <v>39</v>
      </c>
      <c r="T601" s="249" t="s">
        <v>5890</v>
      </c>
      <c r="U601" s="17">
        <v>54.0</v>
      </c>
      <c r="V601" s="16">
        <v>24.0</v>
      </c>
      <c r="W601" s="16">
        <v>61.0</v>
      </c>
      <c r="X601" s="50">
        <v>100414.0</v>
      </c>
      <c r="Y601" s="250">
        <v>274.0</v>
      </c>
    </row>
    <row r="602">
      <c r="A602" s="11">
        <v>20.0</v>
      </c>
      <c r="B602" s="11">
        <v>12.0</v>
      </c>
      <c r="C602" s="253">
        <v>16.0</v>
      </c>
      <c r="D602" s="235">
        <v>33.0</v>
      </c>
      <c r="E602" s="235">
        <v>33.0</v>
      </c>
      <c r="F602" s="253">
        <v>16.0</v>
      </c>
      <c r="G602" s="235">
        <v>33.0</v>
      </c>
      <c r="H602" s="236">
        <v>5.3891132E7</v>
      </c>
      <c r="I602" s="16">
        <v>81.0</v>
      </c>
      <c r="J602" s="11">
        <v>7.0</v>
      </c>
      <c r="K602" s="11" t="str">
        <f t="shared" si="1"/>
        <v>00330053891132817</v>
      </c>
      <c r="L602" s="238">
        <v>177951.92</v>
      </c>
      <c r="M602" s="254">
        <v>42822.0</v>
      </c>
      <c r="N602" s="16">
        <v>97.0</v>
      </c>
      <c r="O602" s="17">
        <v>18.0</v>
      </c>
      <c r="P602" s="17">
        <v>12.0</v>
      </c>
      <c r="Q602" s="11">
        <v>5.5937493E7</v>
      </c>
      <c r="R602" s="11">
        <v>0.0</v>
      </c>
      <c r="S602" s="24" t="s">
        <v>29</v>
      </c>
      <c r="T602" s="249" t="s">
        <v>5891</v>
      </c>
      <c r="U602" s="17">
        <v>68.0</v>
      </c>
      <c r="V602" s="16">
        <v>16.0</v>
      </c>
      <c r="W602" s="16">
        <v>22.0</v>
      </c>
      <c r="X602" s="50">
        <v>22018.0</v>
      </c>
      <c r="Y602" s="250">
        <v>3289.0</v>
      </c>
    </row>
    <row r="603">
      <c r="A603" s="11">
        <v>18.0</v>
      </c>
      <c r="B603" s="11">
        <v>74.0</v>
      </c>
      <c r="C603" s="253">
        <v>29.0</v>
      </c>
      <c r="D603" s="235">
        <v>25.0</v>
      </c>
      <c r="E603" s="235">
        <v>25.0</v>
      </c>
      <c r="F603" s="253">
        <v>29.0</v>
      </c>
      <c r="G603" s="235">
        <v>25.0</v>
      </c>
      <c r="H603" s="236">
        <v>9.2159547E7</v>
      </c>
      <c r="I603" s="16">
        <v>71.0</v>
      </c>
      <c r="J603" s="11">
        <v>6.0</v>
      </c>
      <c r="K603" s="11" t="str">
        <f t="shared" si="1"/>
        <v>00250092159547716</v>
      </c>
      <c r="L603" s="238">
        <v>128.69</v>
      </c>
      <c r="M603" s="254">
        <v>112816.0</v>
      </c>
      <c r="N603" s="16">
        <v>18.0</v>
      </c>
      <c r="O603" s="17">
        <v>38.0</v>
      </c>
      <c r="P603" s="17">
        <v>53.0</v>
      </c>
      <c r="Q603" s="11">
        <v>9.0973016E7</v>
      </c>
      <c r="R603" s="11">
        <v>3.0</v>
      </c>
      <c r="S603" s="24" t="s">
        <v>48</v>
      </c>
      <c r="T603" s="249" t="s">
        <v>5892</v>
      </c>
      <c r="U603" s="17">
        <v>65.0</v>
      </c>
      <c r="V603" s="16">
        <v>66.0</v>
      </c>
      <c r="W603" s="16">
        <v>32.0</v>
      </c>
      <c r="X603" s="50">
        <v>110716.0</v>
      </c>
      <c r="Y603" s="250">
        <v>6384.0</v>
      </c>
    </row>
    <row r="604">
      <c r="A604" s="11">
        <v>12.0</v>
      </c>
      <c r="B604" s="11">
        <v>53.0</v>
      </c>
      <c r="C604" s="253">
        <v>8.0</v>
      </c>
      <c r="D604" s="235">
        <v>111.0</v>
      </c>
      <c r="E604" s="235">
        <v>111.0</v>
      </c>
      <c r="F604" s="253">
        <v>8.0</v>
      </c>
      <c r="G604" s="235">
        <v>111.0</v>
      </c>
      <c r="H604" s="236">
        <v>2.9155874E7</v>
      </c>
      <c r="I604" s="16">
        <v>52.0</v>
      </c>
      <c r="J604" s="11">
        <v>7.0</v>
      </c>
      <c r="K604" s="11" t="str">
        <f t="shared" si="1"/>
        <v>01110029155874527</v>
      </c>
      <c r="L604" s="238">
        <v>-61608.26</v>
      </c>
      <c r="M604" s="254">
        <v>80714.0</v>
      </c>
      <c r="N604" s="16">
        <v>50.0</v>
      </c>
      <c r="O604" s="17">
        <v>4.0</v>
      </c>
      <c r="P604" s="17">
        <v>74.0</v>
      </c>
      <c r="Q604" s="11">
        <v>4.0729765E7</v>
      </c>
      <c r="R604" s="11">
        <v>4.0</v>
      </c>
      <c r="S604" s="24" t="s">
        <v>29</v>
      </c>
      <c r="T604" s="249" t="s">
        <v>5893</v>
      </c>
      <c r="U604" s="17">
        <v>13.0</v>
      </c>
      <c r="V604" s="16">
        <v>65.0</v>
      </c>
      <c r="W604" s="16">
        <v>44.0</v>
      </c>
      <c r="X604" s="50">
        <v>72816.0</v>
      </c>
      <c r="Y604" s="250">
        <v>137.0</v>
      </c>
    </row>
    <row r="605">
      <c r="A605" s="11">
        <v>15.0</v>
      </c>
      <c r="B605" s="11">
        <v>94.0</v>
      </c>
      <c r="C605" s="253">
        <v>45.0</v>
      </c>
      <c r="D605" s="235">
        <v>53.0</v>
      </c>
      <c r="E605" s="235">
        <v>53.0</v>
      </c>
      <c r="F605" s="253">
        <v>45.0</v>
      </c>
      <c r="G605" s="235">
        <v>53.0</v>
      </c>
      <c r="H605" s="236">
        <v>7.9354329E7</v>
      </c>
      <c r="I605" s="16">
        <v>97.0</v>
      </c>
      <c r="J605" s="11">
        <v>8.0</v>
      </c>
      <c r="K605" s="11" t="str">
        <f t="shared" si="1"/>
        <v>00530079354329978</v>
      </c>
      <c r="L605" s="238">
        <v>-991.75</v>
      </c>
      <c r="M605" s="254">
        <v>33116.0</v>
      </c>
      <c r="N605" s="16">
        <v>36.0</v>
      </c>
      <c r="O605" s="17">
        <v>26.0</v>
      </c>
      <c r="P605" s="17">
        <v>33.0</v>
      </c>
      <c r="Q605" s="11">
        <v>6.5171166E7</v>
      </c>
      <c r="R605" s="11">
        <v>1.0</v>
      </c>
      <c r="S605" s="24" t="s">
        <v>5292</v>
      </c>
      <c r="T605" s="249" t="s">
        <v>5894</v>
      </c>
      <c r="U605" s="17">
        <v>18.0</v>
      </c>
      <c r="V605" s="16">
        <v>30.0</v>
      </c>
      <c r="W605" s="16">
        <v>84.0</v>
      </c>
      <c r="X605" s="50">
        <v>72615.0</v>
      </c>
      <c r="Y605" s="250">
        <v>5660.0</v>
      </c>
    </row>
    <row r="606">
      <c r="A606" s="11">
        <v>18.0</v>
      </c>
      <c r="B606" s="11">
        <v>12.0</v>
      </c>
      <c r="C606" s="253">
        <v>37.0</v>
      </c>
      <c r="D606" s="235">
        <v>45.0</v>
      </c>
      <c r="E606" s="235">
        <v>45.0</v>
      </c>
      <c r="F606" s="253">
        <v>37.0</v>
      </c>
      <c r="G606" s="235">
        <v>45.0</v>
      </c>
      <c r="H606" s="236">
        <v>4.9725296E7</v>
      </c>
      <c r="I606" s="16">
        <v>94.0</v>
      </c>
      <c r="J606" s="11">
        <v>7.0</v>
      </c>
      <c r="K606" s="11" t="str">
        <f t="shared" si="1"/>
        <v>00450049725296947</v>
      </c>
      <c r="L606" s="238">
        <v>919716.47</v>
      </c>
      <c r="M606" s="254">
        <v>61023.0</v>
      </c>
      <c r="N606" s="16">
        <v>75.0</v>
      </c>
      <c r="O606" s="17">
        <v>13.0</v>
      </c>
      <c r="P606" s="17">
        <v>33.0</v>
      </c>
      <c r="Q606" s="11">
        <v>4.4411039E7</v>
      </c>
      <c r="R606" s="11">
        <v>4.0</v>
      </c>
      <c r="S606" s="24" t="s">
        <v>5292</v>
      </c>
      <c r="T606" s="249" t="s">
        <v>5895</v>
      </c>
      <c r="U606" s="17">
        <v>17.0</v>
      </c>
      <c r="V606" s="16">
        <v>35.0</v>
      </c>
      <c r="W606" s="16">
        <v>16.0</v>
      </c>
      <c r="X606" s="50">
        <v>90615.0</v>
      </c>
      <c r="Y606" s="250">
        <v>1181.0</v>
      </c>
    </row>
    <row r="607">
      <c r="A607" s="11">
        <v>13.0</v>
      </c>
      <c r="B607" s="11">
        <v>53.0</v>
      </c>
      <c r="C607" s="253">
        <v>38.0</v>
      </c>
      <c r="D607" s="235">
        <v>97.0</v>
      </c>
      <c r="E607" s="235">
        <v>97.0</v>
      </c>
      <c r="F607" s="253">
        <v>38.0</v>
      </c>
      <c r="G607" s="235">
        <v>97.0</v>
      </c>
      <c r="H607" s="236">
        <v>5.2212869E7</v>
      </c>
      <c r="I607" s="16">
        <v>5.0</v>
      </c>
      <c r="J607" s="11">
        <v>1.0</v>
      </c>
      <c r="K607" s="11" t="str">
        <f t="shared" si="1"/>
        <v>00970052212869051</v>
      </c>
      <c r="L607" s="238">
        <v>31880.86</v>
      </c>
      <c r="M607" s="254">
        <v>102614.0</v>
      </c>
      <c r="N607" s="16">
        <v>1.0</v>
      </c>
      <c r="O607" s="17">
        <v>12.0</v>
      </c>
      <c r="P607" s="17">
        <v>94.0</v>
      </c>
      <c r="Q607" s="11">
        <v>2.4933172E7</v>
      </c>
      <c r="R607" s="11">
        <v>8.0</v>
      </c>
      <c r="S607" s="24" t="s">
        <v>39</v>
      </c>
      <c r="T607" s="249" t="s">
        <v>5896</v>
      </c>
      <c r="U607" s="17">
        <v>66.0</v>
      </c>
      <c r="V607" s="16">
        <v>7.0</v>
      </c>
      <c r="W607" s="16">
        <v>50.0</v>
      </c>
      <c r="X607" s="50">
        <v>41720.0</v>
      </c>
      <c r="Y607" s="250">
        <v>9859.0</v>
      </c>
    </row>
    <row r="608">
      <c r="A608" s="11">
        <v>20.0</v>
      </c>
      <c r="B608" s="11">
        <v>33.0</v>
      </c>
      <c r="C608" s="253">
        <v>12.0</v>
      </c>
      <c r="D608" s="235">
        <v>115.0</v>
      </c>
      <c r="E608" s="235">
        <v>115.0</v>
      </c>
      <c r="F608" s="253">
        <v>12.0</v>
      </c>
      <c r="G608" s="235">
        <v>115.0</v>
      </c>
      <c r="H608" s="236">
        <v>2.1133679E7</v>
      </c>
      <c r="I608" s="16">
        <v>49.0</v>
      </c>
      <c r="J608" s="11">
        <v>9.0</v>
      </c>
      <c r="K608" s="11" t="str">
        <f t="shared" si="1"/>
        <v>01150021133679499</v>
      </c>
      <c r="L608" s="238">
        <v>3928.8</v>
      </c>
      <c r="M608" s="254">
        <v>111416.0</v>
      </c>
      <c r="N608" s="16">
        <v>9.0</v>
      </c>
      <c r="O608" s="17">
        <v>2.0</v>
      </c>
      <c r="P608" s="17">
        <v>33.0</v>
      </c>
      <c r="Q608" s="11">
        <v>6.9605242E7</v>
      </c>
      <c r="R608" s="11">
        <v>8.0</v>
      </c>
      <c r="S608" s="24" t="s">
        <v>29</v>
      </c>
      <c r="T608" s="249" t="s">
        <v>5897</v>
      </c>
      <c r="U608" s="17">
        <v>24.0</v>
      </c>
      <c r="V608" s="16">
        <v>9.0</v>
      </c>
      <c r="W608" s="16">
        <v>71.0</v>
      </c>
      <c r="X608" s="50">
        <v>30516.0</v>
      </c>
      <c r="Y608" s="250">
        <v>3041.0</v>
      </c>
    </row>
    <row r="609">
      <c r="A609" s="11">
        <v>14.0</v>
      </c>
      <c r="B609" s="11">
        <v>74.0</v>
      </c>
      <c r="C609" s="253">
        <v>18.0</v>
      </c>
      <c r="D609" s="235">
        <v>53.0</v>
      </c>
      <c r="E609" s="235">
        <v>53.0</v>
      </c>
      <c r="F609" s="253">
        <v>18.0</v>
      </c>
      <c r="G609" s="235">
        <v>53.0</v>
      </c>
      <c r="H609" s="236">
        <v>5.7517614E7</v>
      </c>
      <c r="I609" s="16">
        <v>94.0</v>
      </c>
      <c r="J609" s="11">
        <v>3.0</v>
      </c>
      <c r="K609" s="11" t="str">
        <f t="shared" si="1"/>
        <v>00530057517614943</v>
      </c>
      <c r="L609" s="238">
        <v>4672.73</v>
      </c>
      <c r="M609" s="254">
        <v>111218.0</v>
      </c>
      <c r="N609" s="16">
        <v>20.0</v>
      </c>
      <c r="O609" s="17">
        <v>47.0</v>
      </c>
      <c r="P609" s="17">
        <v>74.0</v>
      </c>
      <c r="Q609" s="11">
        <v>9.6397907E7</v>
      </c>
      <c r="R609" s="11">
        <v>9.0</v>
      </c>
      <c r="S609" s="24" t="s">
        <v>48</v>
      </c>
      <c r="T609" s="249" t="s">
        <v>5898</v>
      </c>
      <c r="U609" s="17">
        <v>21.0</v>
      </c>
      <c r="V609" s="16">
        <v>34.0</v>
      </c>
      <c r="W609" s="16">
        <v>51.0</v>
      </c>
      <c r="X609" s="50">
        <v>61617.0</v>
      </c>
      <c r="Y609" s="250">
        <v>8024.0</v>
      </c>
    </row>
    <row r="610">
      <c r="A610" s="11">
        <v>15.0</v>
      </c>
      <c r="B610" s="11">
        <v>33.0</v>
      </c>
      <c r="C610" s="253">
        <v>24.0</v>
      </c>
      <c r="D610" s="235">
        <v>29.0</v>
      </c>
      <c r="E610" s="235">
        <v>29.0</v>
      </c>
      <c r="F610" s="253">
        <v>24.0</v>
      </c>
      <c r="G610" s="235">
        <v>29.0</v>
      </c>
      <c r="H610" s="236">
        <v>3.3238755E7</v>
      </c>
      <c r="I610" s="16">
        <v>33.0</v>
      </c>
      <c r="J610" s="11">
        <v>7.0</v>
      </c>
      <c r="K610" s="11" t="str">
        <f t="shared" si="1"/>
        <v>00290033238755337</v>
      </c>
      <c r="L610" s="238">
        <v>3890.38</v>
      </c>
      <c r="M610" s="254">
        <v>41022.0</v>
      </c>
      <c r="N610" s="16">
        <v>33.0</v>
      </c>
      <c r="O610" s="17">
        <v>51.0</v>
      </c>
      <c r="P610" s="17">
        <v>74.0</v>
      </c>
      <c r="Q610" s="11">
        <v>6.4225162E7</v>
      </c>
      <c r="R610" s="11">
        <v>7.0</v>
      </c>
      <c r="S610" s="24" t="s">
        <v>29</v>
      </c>
      <c r="T610" s="249" t="s">
        <v>5899</v>
      </c>
      <c r="U610" s="17">
        <v>22.0</v>
      </c>
      <c r="V610" s="16">
        <v>95.0</v>
      </c>
      <c r="W610" s="16">
        <v>65.0</v>
      </c>
      <c r="X610" s="50">
        <v>102115.0</v>
      </c>
      <c r="Y610" s="250">
        <v>9161.0</v>
      </c>
    </row>
    <row r="611">
      <c r="A611" s="11">
        <v>18.0</v>
      </c>
      <c r="B611" s="11">
        <v>94.0</v>
      </c>
      <c r="C611" s="253">
        <v>40.0</v>
      </c>
      <c r="D611" s="235">
        <v>111.0</v>
      </c>
      <c r="E611" s="235">
        <v>111.0</v>
      </c>
      <c r="F611" s="253">
        <v>40.0</v>
      </c>
      <c r="G611" s="235">
        <v>111.0</v>
      </c>
      <c r="H611" s="236">
        <v>3.9610056E7</v>
      </c>
      <c r="I611" s="16">
        <v>94.0</v>
      </c>
      <c r="J611" s="11">
        <v>9.0</v>
      </c>
      <c r="K611" s="11" t="str">
        <f t="shared" si="1"/>
        <v>01110039610056949</v>
      </c>
      <c r="L611" s="238">
        <v>-2598.28</v>
      </c>
      <c r="M611" s="254">
        <v>121913.0</v>
      </c>
      <c r="N611" s="16">
        <v>39.0</v>
      </c>
      <c r="O611" s="17">
        <v>33.0</v>
      </c>
      <c r="P611" s="17">
        <v>33.0</v>
      </c>
      <c r="Q611" s="11">
        <v>8.9404947E7</v>
      </c>
      <c r="R611" s="11">
        <v>1.0</v>
      </c>
      <c r="S611" s="24" t="s">
        <v>48</v>
      </c>
      <c r="T611" s="249" t="s">
        <v>5900</v>
      </c>
      <c r="U611" s="17">
        <v>27.0</v>
      </c>
      <c r="V611" s="16">
        <v>65.0</v>
      </c>
      <c r="W611" s="16">
        <v>97.0</v>
      </c>
      <c r="X611" s="50">
        <v>50713.0</v>
      </c>
      <c r="Y611" s="250">
        <v>6341.0</v>
      </c>
    </row>
    <row r="612">
      <c r="A612" s="11">
        <v>19.0</v>
      </c>
      <c r="B612" s="11">
        <v>53.0</v>
      </c>
      <c r="C612" s="253">
        <v>28.0</v>
      </c>
      <c r="D612" s="235">
        <v>119.0</v>
      </c>
      <c r="E612" s="235">
        <v>119.0</v>
      </c>
      <c r="F612" s="253">
        <v>28.0</v>
      </c>
      <c r="G612" s="235">
        <v>119.0</v>
      </c>
      <c r="H612" s="236">
        <v>3.458675E7</v>
      </c>
      <c r="I612" s="16">
        <v>77.0</v>
      </c>
      <c r="J612" s="11">
        <v>4.0</v>
      </c>
      <c r="K612" s="11" t="str">
        <f t="shared" si="1"/>
        <v>01190034586750774</v>
      </c>
      <c r="L612" s="238">
        <v>-1500.78</v>
      </c>
      <c r="M612" s="254">
        <v>91322.0</v>
      </c>
      <c r="N612" s="16">
        <v>54.0</v>
      </c>
      <c r="O612" s="17">
        <v>19.0</v>
      </c>
      <c r="P612" s="17">
        <v>33.0</v>
      </c>
      <c r="Q612" s="11">
        <v>3.7609781E7</v>
      </c>
      <c r="R612" s="11">
        <v>7.0</v>
      </c>
      <c r="S612" s="24" t="s">
        <v>39</v>
      </c>
      <c r="T612" s="249" t="s">
        <v>5901</v>
      </c>
      <c r="U612" s="17">
        <v>28.0</v>
      </c>
      <c r="V612" s="16">
        <v>95.0</v>
      </c>
      <c r="W612" s="16">
        <v>35.0</v>
      </c>
      <c r="X612" s="50">
        <v>53115.0</v>
      </c>
      <c r="Y612" s="250">
        <v>8714.0</v>
      </c>
    </row>
    <row r="613">
      <c r="A613" s="11">
        <v>13.0</v>
      </c>
      <c r="B613" s="11">
        <v>74.0</v>
      </c>
      <c r="C613" s="253">
        <v>55.0</v>
      </c>
      <c r="D613" s="235">
        <v>91.0</v>
      </c>
      <c r="E613" s="235">
        <v>91.0</v>
      </c>
      <c r="F613" s="253">
        <v>55.0</v>
      </c>
      <c r="G613" s="235">
        <v>91.0</v>
      </c>
      <c r="H613" s="236">
        <v>6.151423E7</v>
      </c>
      <c r="I613" s="16">
        <v>51.0</v>
      </c>
      <c r="J613" s="11">
        <v>4.0</v>
      </c>
      <c r="K613" s="11" t="str">
        <f t="shared" si="1"/>
        <v>00910061514230514</v>
      </c>
      <c r="L613" s="238">
        <v>92956.14</v>
      </c>
      <c r="M613" s="254">
        <v>102023.0</v>
      </c>
      <c r="N613" s="16">
        <v>74.0</v>
      </c>
      <c r="O613" s="17">
        <v>42.0</v>
      </c>
      <c r="P613" s="17">
        <v>33.0</v>
      </c>
      <c r="Q613" s="11">
        <v>6.8064517E7</v>
      </c>
      <c r="R613" s="11">
        <v>9.0</v>
      </c>
      <c r="S613" s="24" t="s">
        <v>5292</v>
      </c>
      <c r="T613" s="249" t="s">
        <v>5902</v>
      </c>
      <c r="U613" s="17">
        <v>29.0</v>
      </c>
      <c r="V613" s="16">
        <v>26.0</v>
      </c>
      <c r="W613" s="16">
        <v>94.0</v>
      </c>
      <c r="X613" s="50">
        <v>82417.0</v>
      </c>
      <c r="Y613" s="250">
        <v>9657.0</v>
      </c>
    </row>
    <row r="614">
      <c r="A614" s="11">
        <v>15.0</v>
      </c>
      <c r="B614" s="11">
        <v>33.0</v>
      </c>
      <c r="C614" s="253">
        <v>29.0</v>
      </c>
      <c r="D614" s="235">
        <v>69.0</v>
      </c>
      <c r="E614" s="235">
        <v>69.0</v>
      </c>
      <c r="F614" s="253">
        <v>29.0</v>
      </c>
      <c r="G614" s="235">
        <v>69.0</v>
      </c>
      <c r="H614" s="236">
        <v>5.9140953E7</v>
      </c>
      <c r="I614" s="16">
        <v>63.0</v>
      </c>
      <c r="J614" s="11">
        <v>9.0</v>
      </c>
      <c r="K614" s="11" t="str">
        <f t="shared" si="1"/>
        <v>00690059140953639</v>
      </c>
      <c r="L614" s="238">
        <v>595.73</v>
      </c>
      <c r="M614" s="254">
        <v>71517.0</v>
      </c>
      <c r="N614" s="16">
        <v>58.0</v>
      </c>
      <c r="O614" s="17">
        <v>40.0</v>
      </c>
      <c r="P614" s="17">
        <v>12.0</v>
      </c>
      <c r="Q614" s="11">
        <v>6.8841047E7</v>
      </c>
      <c r="R614" s="11">
        <v>0.0</v>
      </c>
      <c r="S614" s="24" t="s">
        <v>5292</v>
      </c>
      <c r="T614" s="249" t="s">
        <v>5903</v>
      </c>
      <c r="U614" s="17">
        <v>82.0</v>
      </c>
      <c r="V614" s="16">
        <v>97.0</v>
      </c>
      <c r="W614" s="16">
        <v>62.0</v>
      </c>
      <c r="X614" s="50">
        <v>80919.0</v>
      </c>
      <c r="Y614" s="250">
        <v>6820.0</v>
      </c>
    </row>
    <row r="615">
      <c r="A615" s="11">
        <v>11.0</v>
      </c>
      <c r="B615" s="11">
        <v>94.0</v>
      </c>
      <c r="C615" s="253">
        <v>31.0</v>
      </c>
      <c r="D615" s="235">
        <v>147.0</v>
      </c>
      <c r="E615" s="235">
        <v>147.0</v>
      </c>
      <c r="F615" s="253">
        <v>31.0</v>
      </c>
      <c r="G615" s="235">
        <v>147.0</v>
      </c>
      <c r="H615" s="236">
        <v>4.9471204E7</v>
      </c>
      <c r="I615" s="16">
        <v>77.0</v>
      </c>
      <c r="J615" s="11">
        <v>1.0</v>
      </c>
      <c r="K615" s="11" t="str">
        <f t="shared" si="1"/>
        <v>01470049471204771</v>
      </c>
      <c r="L615" s="238">
        <v>269401.43</v>
      </c>
      <c r="M615" s="254">
        <v>10422.0</v>
      </c>
      <c r="N615" s="16">
        <v>72.0</v>
      </c>
      <c r="O615" s="17">
        <v>12.0</v>
      </c>
      <c r="P615" s="17">
        <v>74.0</v>
      </c>
      <c r="Q615" s="11">
        <v>9.596795E7</v>
      </c>
      <c r="R615" s="11">
        <v>8.0</v>
      </c>
      <c r="S615" s="24" t="s">
        <v>5292</v>
      </c>
      <c r="T615" s="249" t="s">
        <v>5904</v>
      </c>
      <c r="U615" s="17">
        <v>27.0</v>
      </c>
      <c r="V615" s="16">
        <v>64.0</v>
      </c>
      <c r="W615" s="16">
        <v>21.0</v>
      </c>
      <c r="X615" s="50">
        <v>110417.0</v>
      </c>
      <c r="Y615" s="250">
        <v>6906.0</v>
      </c>
    </row>
    <row r="616">
      <c r="A616" s="11">
        <v>14.0</v>
      </c>
      <c r="B616" s="11">
        <v>53.0</v>
      </c>
      <c r="C616" s="253">
        <v>17.0</v>
      </c>
      <c r="D616" s="235">
        <v>185.0</v>
      </c>
      <c r="E616" s="235">
        <v>185.0</v>
      </c>
      <c r="F616" s="253">
        <v>17.0</v>
      </c>
      <c r="G616" s="235">
        <v>185.0</v>
      </c>
      <c r="H616" s="236">
        <v>9.655569E7</v>
      </c>
      <c r="I616" s="16">
        <v>9.0</v>
      </c>
      <c r="J616" s="11">
        <v>3.0</v>
      </c>
      <c r="K616" s="11" t="str">
        <f t="shared" si="1"/>
        <v>01850096555690093</v>
      </c>
      <c r="L616" s="238">
        <v>242363.91</v>
      </c>
      <c r="M616" s="254">
        <v>112213.0</v>
      </c>
      <c r="N616" s="16">
        <v>76.0</v>
      </c>
      <c r="O616" s="17">
        <v>54.0</v>
      </c>
      <c r="P616" s="17">
        <v>53.0</v>
      </c>
      <c r="Q616" s="11">
        <v>7.3240764E7</v>
      </c>
      <c r="R616" s="11">
        <v>6.0</v>
      </c>
      <c r="S616" s="24" t="s">
        <v>39</v>
      </c>
      <c r="T616" s="249" t="s">
        <v>5905</v>
      </c>
      <c r="U616" s="17">
        <v>77.0</v>
      </c>
      <c r="V616" s="16">
        <v>54.0</v>
      </c>
      <c r="W616" s="16">
        <v>91.0</v>
      </c>
      <c r="X616" s="50">
        <v>100218.0</v>
      </c>
      <c r="Y616" s="250">
        <v>2341.0</v>
      </c>
    </row>
    <row r="617">
      <c r="A617" s="11">
        <v>14.0</v>
      </c>
      <c r="B617" s="11">
        <v>12.0</v>
      </c>
      <c r="C617" s="253">
        <v>8.0</v>
      </c>
      <c r="D617" s="235">
        <v>11.0</v>
      </c>
      <c r="E617" s="235">
        <v>11.0</v>
      </c>
      <c r="F617" s="253">
        <v>8.0</v>
      </c>
      <c r="G617" s="235">
        <v>11.0</v>
      </c>
      <c r="H617" s="236">
        <v>7.2002597E7</v>
      </c>
      <c r="I617" s="16">
        <v>51.0</v>
      </c>
      <c r="J617" s="11">
        <v>1.0</v>
      </c>
      <c r="K617" s="11" t="str">
        <f t="shared" si="1"/>
        <v>00110072002597511</v>
      </c>
      <c r="L617" s="238">
        <v>92167.5</v>
      </c>
      <c r="M617" s="254">
        <v>51314.0</v>
      </c>
      <c r="N617" s="16">
        <v>78.0</v>
      </c>
      <c r="O617" s="17">
        <v>27.0</v>
      </c>
      <c r="P617" s="17">
        <v>74.0</v>
      </c>
      <c r="Q617" s="11">
        <v>8.7280049E7</v>
      </c>
      <c r="R617" s="11">
        <v>6.0</v>
      </c>
      <c r="S617" s="24" t="s">
        <v>29</v>
      </c>
      <c r="T617" s="249" t="s">
        <v>5906</v>
      </c>
      <c r="U617" s="17">
        <v>25.0</v>
      </c>
      <c r="V617" s="16">
        <v>2.0</v>
      </c>
      <c r="W617" s="16">
        <v>62.0</v>
      </c>
      <c r="X617" s="50">
        <v>113015.0</v>
      </c>
      <c r="Y617" s="250">
        <v>1665.0</v>
      </c>
    </row>
    <row r="618">
      <c r="A618" s="11">
        <v>20.0</v>
      </c>
      <c r="B618" s="11">
        <v>53.0</v>
      </c>
      <c r="C618" s="253">
        <v>48.0</v>
      </c>
      <c r="D618" s="235">
        <v>275.0</v>
      </c>
      <c r="E618" s="235">
        <v>275.0</v>
      </c>
      <c r="F618" s="253">
        <v>48.0</v>
      </c>
      <c r="G618" s="235">
        <v>275.0</v>
      </c>
      <c r="H618" s="236">
        <v>2.8058075E7</v>
      </c>
      <c r="I618" s="16">
        <v>56.0</v>
      </c>
      <c r="J618" s="11">
        <v>8.0</v>
      </c>
      <c r="K618" s="11" t="str">
        <f t="shared" si="1"/>
        <v>02750028058075568</v>
      </c>
      <c r="L618" s="238">
        <v>3446.12</v>
      </c>
      <c r="M618" s="254">
        <v>51417.0</v>
      </c>
      <c r="N618" s="16">
        <v>95.0</v>
      </c>
      <c r="O618" s="17">
        <v>27.0</v>
      </c>
      <c r="P618" s="17">
        <v>33.0</v>
      </c>
      <c r="Q618" s="11">
        <v>4.4494646E7</v>
      </c>
      <c r="R618" s="11">
        <v>4.0</v>
      </c>
      <c r="S618" s="24" t="s">
        <v>5292</v>
      </c>
      <c r="T618" s="249" t="s">
        <v>5907</v>
      </c>
      <c r="U618" s="17">
        <v>35.0</v>
      </c>
      <c r="V618" s="16">
        <v>43.0</v>
      </c>
      <c r="W618" s="16">
        <v>82.0</v>
      </c>
      <c r="X618" s="50">
        <v>10322.0</v>
      </c>
      <c r="Y618" s="250">
        <v>1789.0</v>
      </c>
    </row>
    <row r="619">
      <c r="A619" s="11">
        <v>15.0</v>
      </c>
      <c r="B619" s="11">
        <v>94.0</v>
      </c>
      <c r="C619" s="253">
        <v>48.0</v>
      </c>
      <c r="D619" s="235">
        <v>491.0</v>
      </c>
      <c r="E619" s="235">
        <v>491.0</v>
      </c>
      <c r="F619" s="253">
        <v>48.0</v>
      </c>
      <c r="G619" s="235">
        <v>491.0</v>
      </c>
      <c r="H619" s="236">
        <v>2.2936075E7</v>
      </c>
      <c r="I619" s="16">
        <v>41.0</v>
      </c>
      <c r="J619" s="11">
        <v>5.0</v>
      </c>
      <c r="K619" s="11" t="str">
        <f t="shared" si="1"/>
        <v>04910022936075415</v>
      </c>
      <c r="L619" s="238">
        <v>909455.65</v>
      </c>
      <c r="M619" s="254">
        <v>12022.0</v>
      </c>
      <c r="N619" s="16">
        <v>90.0</v>
      </c>
      <c r="O619" s="17">
        <v>40.0</v>
      </c>
      <c r="P619" s="17">
        <v>53.0</v>
      </c>
      <c r="Q619" s="11">
        <v>4.9208153E7</v>
      </c>
      <c r="R619" s="11">
        <v>4.0</v>
      </c>
      <c r="S619" s="24" t="s">
        <v>48</v>
      </c>
      <c r="T619" s="249" t="s">
        <v>5908</v>
      </c>
      <c r="U619" s="17">
        <v>84.0</v>
      </c>
      <c r="V619" s="16">
        <v>70.0</v>
      </c>
      <c r="W619" s="16">
        <v>37.0</v>
      </c>
      <c r="X619" s="50">
        <v>70916.0</v>
      </c>
      <c r="Y619" s="250">
        <v>3262.0</v>
      </c>
    </row>
    <row r="620">
      <c r="A620" s="11">
        <v>20.0</v>
      </c>
      <c r="B620" s="11">
        <v>33.0</v>
      </c>
      <c r="C620" s="253">
        <v>37.0</v>
      </c>
      <c r="D620" s="235">
        <v>195.0</v>
      </c>
      <c r="E620" s="235">
        <v>195.0</v>
      </c>
      <c r="F620" s="253">
        <v>37.0</v>
      </c>
      <c r="G620" s="235">
        <v>195.0</v>
      </c>
      <c r="H620" s="236">
        <v>8.9791153E7</v>
      </c>
      <c r="I620" s="16">
        <v>22.0</v>
      </c>
      <c r="J620" s="11">
        <v>5.0</v>
      </c>
      <c r="K620" s="11" t="str">
        <f t="shared" si="1"/>
        <v>01950089791153225</v>
      </c>
      <c r="L620" s="238">
        <v>-2791.3</v>
      </c>
      <c r="M620" s="254">
        <v>12213.0</v>
      </c>
      <c r="N620" s="16">
        <v>66.0</v>
      </c>
      <c r="O620" s="17">
        <v>4.0</v>
      </c>
      <c r="P620" s="17">
        <v>12.0</v>
      </c>
      <c r="Q620" s="11">
        <v>9.4569346E7</v>
      </c>
      <c r="R620" s="11">
        <v>9.0</v>
      </c>
      <c r="S620" s="24" t="s">
        <v>5292</v>
      </c>
      <c r="T620" s="249" t="s">
        <v>5909</v>
      </c>
      <c r="U620" s="17">
        <v>87.0</v>
      </c>
      <c r="V620" s="16">
        <v>64.0</v>
      </c>
      <c r="W620" s="16">
        <v>14.0</v>
      </c>
      <c r="X620" s="50">
        <v>41313.0</v>
      </c>
      <c r="Y620" s="250">
        <v>3924.0</v>
      </c>
    </row>
    <row r="621">
      <c r="A621" s="11">
        <v>12.0</v>
      </c>
      <c r="B621" s="11">
        <v>94.0</v>
      </c>
      <c r="C621" s="253">
        <v>26.0</v>
      </c>
      <c r="D621" s="235">
        <v>121.0</v>
      </c>
      <c r="E621" s="235">
        <v>121.0</v>
      </c>
      <c r="F621" s="253">
        <v>26.0</v>
      </c>
      <c r="G621" s="235">
        <v>121.0</v>
      </c>
      <c r="H621" s="236">
        <v>3.2903048E7</v>
      </c>
      <c r="I621" s="16">
        <v>41.0</v>
      </c>
      <c r="J621" s="11">
        <v>4.0</v>
      </c>
      <c r="K621" s="11" t="str">
        <f t="shared" si="1"/>
        <v>01210032903048414</v>
      </c>
      <c r="L621" s="238">
        <v>872.37</v>
      </c>
      <c r="M621" s="254">
        <v>43018.0</v>
      </c>
      <c r="N621" s="16">
        <v>41.0</v>
      </c>
      <c r="O621" s="17">
        <v>51.0</v>
      </c>
      <c r="P621" s="17">
        <v>94.0</v>
      </c>
      <c r="Q621" s="11">
        <v>6.1346216E7</v>
      </c>
      <c r="R621" s="11">
        <v>2.0</v>
      </c>
      <c r="S621" s="24" t="s">
        <v>48</v>
      </c>
      <c r="T621" s="249" t="s">
        <v>5910</v>
      </c>
      <c r="U621" s="17">
        <v>83.0</v>
      </c>
      <c r="V621" s="16">
        <v>67.0</v>
      </c>
      <c r="W621" s="16">
        <v>38.0</v>
      </c>
      <c r="X621" s="50">
        <v>11313.0</v>
      </c>
      <c r="Y621" s="250">
        <v>6808.0</v>
      </c>
    </row>
    <row r="622">
      <c r="A622" s="11">
        <v>13.0</v>
      </c>
      <c r="B622" s="11">
        <v>74.0</v>
      </c>
      <c r="C622" s="253">
        <v>34.0</v>
      </c>
      <c r="D622" s="235">
        <v>27.0</v>
      </c>
      <c r="E622" s="235">
        <v>27.0</v>
      </c>
      <c r="F622" s="253">
        <v>34.0</v>
      </c>
      <c r="G622" s="235">
        <v>27.0</v>
      </c>
      <c r="H622" s="236">
        <v>5.6055098E7</v>
      </c>
      <c r="I622" s="16">
        <v>27.0</v>
      </c>
      <c r="J622" s="11">
        <v>7.0</v>
      </c>
      <c r="K622" s="11" t="str">
        <f t="shared" si="1"/>
        <v>00270056055098277</v>
      </c>
      <c r="L622" s="238">
        <v>646943.27</v>
      </c>
      <c r="M622" s="254">
        <v>92217.0</v>
      </c>
      <c r="N622" s="16">
        <v>97.0</v>
      </c>
      <c r="O622" s="17">
        <v>16.0</v>
      </c>
      <c r="P622" s="17">
        <v>53.0</v>
      </c>
      <c r="Q622" s="11">
        <v>5.611278E7</v>
      </c>
      <c r="R622" s="11">
        <v>3.0</v>
      </c>
      <c r="S622" s="24" t="s">
        <v>29</v>
      </c>
      <c r="T622" s="249" t="s">
        <v>5911</v>
      </c>
      <c r="U622" s="17">
        <v>87.0</v>
      </c>
      <c r="V622" s="16">
        <v>60.0</v>
      </c>
      <c r="W622" s="16">
        <v>43.0</v>
      </c>
      <c r="X622" s="50">
        <v>22019.0</v>
      </c>
      <c r="Y622" s="250">
        <v>3505.0</v>
      </c>
    </row>
    <row r="623">
      <c r="A623" s="11">
        <v>17.0</v>
      </c>
      <c r="B623" s="11">
        <v>74.0</v>
      </c>
      <c r="C623" s="253">
        <v>31.0</v>
      </c>
      <c r="D623" s="235">
        <v>69.0</v>
      </c>
      <c r="E623" s="235">
        <v>69.0</v>
      </c>
      <c r="F623" s="253">
        <v>31.0</v>
      </c>
      <c r="G623" s="235">
        <v>69.0</v>
      </c>
      <c r="H623" s="236">
        <v>5.2795383E7</v>
      </c>
      <c r="I623" s="16">
        <v>66.0</v>
      </c>
      <c r="J623" s="11">
        <v>8.0</v>
      </c>
      <c r="K623" s="11" t="str">
        <f t="shared" si="1"/>
        <v>00690052795383668</v>
      </c>
      <c r="L623" s="238">
        <v>468545.67</v>
      </c>
      <c r="M623" s="254">
        <v>60418.0</v>
      </c>
      <c r="N623" s="16">
        <v>19.0</v>
      </c>
      <c r="O623" s="17">
        <v>22.0</v>
      </c>
      <c r="P623" s="17">
        <v>74.0</v>
      </c>
      <c r="Q623" s="11">
        <v>6.4852028E7</v>
      </c>
      <c r="R623" s="11">
        <v>4.0</v>
      </c>
      <c r="S623" s="24" t="s">
        <v>48</v>
      </c>
      <c r="T623" s="249" t="s">
        <v>5912</v>
      </c>
      <c r="U623" s="17">
        <v>38.0</v>
      </c>
      <c r="V623" s="16">
        <v>60.0</v>
      </c>
      <c r="W623" s="16">
        <v>67.0</v>
      </c>
      <c r="X623" s="50">
        <v>121015.0</v>
      </c>
      <c r="Y623" s="250">
        <v>8514.0</v>
      </c>
    </row>
    <row r="624">
      <c r="A624" s="11">
        <v>16.0</v>
      </c>
      <c r="B624" s="11">
        <v>33.0</v>
      </c>
      <c r="C624" s="253">
        <v>1.0</v>
      </c>
      <c r="D624" s="235">
        <v>17.0</v>
      </c>
      <c r="E624" s="235">
        <v>17.0</v>
      </c>
      <c r="F624" s="253">
        <v>1.0</v>
      </c>
      <c r="G624" s="235">
        <v>17.0</v>
      </c>
      <c r="H624" s="236">
        <v>4.2591807E7</v>
      </c>
      <c r="I624" s="16">
        <v>1.0</v>
      </c>
      <c r="J624" s="11">
        <v>0.0</v>
      </c>
      <c r="K624" s="11" t="str">
        <f t="shared" si="1"/>
        <v>00170042591807010</v>
      </c>
      <c r="L624" s="238">
        <v>695.4</v>
      </c>
      <c r="M624" s="254">
        <v>62222.0</v>
      </c>
      <c r="N624" s="16">
        <v>49.0</v>
      </c>
      <c r="O624" s="17">
        <v>23.0</v>
      </c>
      <c r="P624" s="17">
        <v>94.0</v>
      </c>
      <c r="Q624" s="11">
        <v>3.8604596E7</v>
      </c>
      <c r="R624" s="11">
        <v>1.0</v>
      </c>
      <c r="S624" s="24" t="s">
        <v>39</v>
      </c>
      <c r="T624" s="249" t="s">
        <v>5913</v>
      </c>
      <c r="U624" s="17">
        <v>88.0</v>
      </c>
      <c r="V624" s="16">
        <v>79.0</v>
      </c>
      <c r="W624" s="16">
        <v>21.0</v>
      </c>
      <c r="X624" s="50">
        <v>92522.0</v>
      </c>
      <c r="Y624" s="250">
        <v>1395.0</v>
      </c>
    </row>
    <row r="625">
      <c r="A625" s="11">
        <v>10.0</v>
      </c>
      <c r="B625" s="11">
        <v>94.0</v>
      </c>
      <c r="C625" s="253">
        <v>17.0</v>
      </c>
      <c r="D625" s="235">
        <v>145.0</v>
      </c>
      <c r="E625" s="235">
        <v>145.0</v>
      </c>
      <c r="F625" s="253">
        <v>17.0</v>
      </c>
      <c r="G625" s="235">
        <v>145.0</v>
      </c>
      <c r="H625" s="236">
        <v>5.1258225E7</v>
      </c>
      <c r="I625" s="16">
        <v>13.0</v>
      </c>
      <c r="J625" s="11">
        <v>7.0</v>
      </c>
      <c r="K625" s="11" t="str">
        <f t="shared" si="1"/>
        <v>01450051258225137</v>
      </c>
      <c r="L625" s="238">
        <v>-2186.11</v>
      </c>
      <c r="M625" s="254">
        <v>81219.0</v>
      </c>
      <c r="N625" s="16">
        <v>74.0</v>
      </c>
      <c r="O625" s="17">
        <v>34.0</v>
      </c>
      <c r="P625" s="17">
        <v>74.0</v>
      </c>
      <c r="Q625" s="11">
        <v>7.3623082E7</v>
      </c>
      <c r="R625" s="11">
        <v>5.0</v>
      </c>
      <c r="S625" s="24" t="s">
        <v>29</v>
      </c>
      <c r="T625" s="249" t="s">
        <v>5914</v>
      </c>
      <c r="U625" s="17">
        <v>44.0</v>
      </c>
      <c r="V625" s="16">
        <v>51.0</v>
      </c>
      <c r="W625" s="16">
        <v>10.0</v>
      </c>
      <c r="X625" s="50">
        <v>32521.0</v>
      </c>
      <c r="Y625" s="250">
        <v>7539.0</v>
      </c>
    </row>
    <row r="626">
      <c r="A626" s="11">
        <v>16.0</v>
      </c>
      <c r="B626" s="11">
        <v>74.0</v>
      </c>
      <c r="C626" s="253">
        <v>17.0</v>
      </c>
      <c r="D626" s="235">
        <v>181.0</v>
      </c>
      <c r="E626" s="235">
        <v>181.0</v>
      </c>
      <c r="F626" s="253">
        <v>17.0</v>
      </c>
      <c r="G626" s="235">
        <v>181.0</v>
      </c>
      <c r="H626" s="236">
        <v>4.0776746E7</v>
      </c>
      <c r="I626" s="16">
        <v>89.0</v>
      </c>
      <c r="J626" s="11">
        <v>2.0</v>
      </c>
      <c r="K626" s="11" t="str">
        <f t="shared" si="1"/>
        <v>01810040776746892</v>
      </c>
      <c r="L626" s="238">
        <v>8144.56</v>
      </c>
      <c r="M626" s="254">
        <v>100117.0</v>
      </c>
      <c r="N626" s="16">
        <v>22.0</v>
      </c>
      <c r="O626" s="17">
        <v>47.0</v>
      </c>
      <c r="P626" s="17">
        <v>94.0</v>
      </c>
      <c r="Q626" s="11">
        <v>8.9012644E7</v>
      </c>
      <c r="R626" s="11">
        <v>7.0</v>
      </c>
      <c r="S626" s="24" t="s">
        <v>5292</v>
      </c>
      <c r="T626" s="249" t="s">
        <v>5915</v>
      </c>
      <c r="U626" s="17">
        <v>94.0</v>
      </c>
      <c r="V626" s="16">
        <v>20.0</v>
      </c>
      <c r="W626" s="16">
        <v>63.0</v>
      </c>
      <c r="X626" s="50">
        <v>52821.0</v>
      </c>
      <c r="Y626" s="250">
        <v>1080.0</v>
      </c>
    </row>
    <row r="627">
      <c r="A627" s="11">
        <v>12.0</v>
      </c>
      <c r="B627" s="11">
        <v>13.0</v>
      </c>
      <c r="C627" s="253">
        <v>19.0</v>
      </c>
      <c r="D627" s="235">
        <v>45.0</v>
      </c>
      <c r="E627" s="235">
        <v>45.0</v>
      </c>
      <c r="F627" s="253">
        <v>19.0</v>
      </c>
      <c r="G627" s="235">
        <v>45.0</v>
      </c>
      <c r="H627" s="236">
        <v>3.2767412E7</v>
      </c>
      <c r="I627" s="16">
        <v>72.0</v>
      </c>
      <c r="J627" s="11">
        <v>2.0</v>
      </c>
      <c r="K627" s="11" t="str">
        <f t="shared" si="1"/>
        <v>00450032767412722</v>
      </c>
      <c r="L627" s="238">
        <v>659596.14</v>
      </c>
      <c r="M627" s="254">
        <v>73113.0</v>
      </c>
      <c r="N627" s="16">
        <v>84.0</v>
      </c>
      <c r="O627" s="17">
        <v>5.0</v>
      </c>
      <c r="P627" s="17">
        <v>94.0</v>
      </c>
      <c r="Q627" s="11">
        <v>4.8569427E7</v>
      </c>
      <c r="R627" s="11">
        <v>7.0</v>
      </c>
      <c r="S627" s="24" t="s">
        <v>5292</v>
      </c>
      <c r="T627" s="249" t="s">
        <v>5916</v>
      </c>
      <c r="U627" s="17">
        <v>97.0</v>
      </c>
      <c r="V627" s="16">
        <v>51.0</v>
      </c>
      <c r="W627" s="16">
        <v>45.0</v>
      </c>
      <c r="X627" s="50">
        <v>72218.0</v>
      </c>
      <c r="Y627" s="250">
        <v>7789.0</v>
      </c>
    </row>
    <row r="628">
      <c r="A628" s="11">
        <v>15.0</v>
      </c>
      <c r="B628" s="11">
        <v>74.0</v>
      </c>
      <c r="C628" s="253">
        <v>31.0</v>
      </c>
      <c r="D628" s="235">
        <v>159.0</v>
      </c>
      <c r="E628" s="235">
        <v>159.0</v>
      </c>
      <c r="F628" s="253">
        <v>31.0</v>
      </c>
      <c r="G628" s="235">
        <v>159.0</v>
      </c>
      <c r="H628" s="236">
        <v>2.4895152E7</v>
      </c>
      <c r="I628" s="16">
        <v>81.0</v>
      </c>
      <c r="J628" s="11">
        <v>2.0</v>
      </c>
      <c r="K628" s="11" t="str">
        <f t="shared" si="1"/>
        <v>01590024895152812</v>
      </c>
      <c r="L628" s="238">
        <v>106054.12</v>
      </c>
      <c r="M628" s="254">
        <v>41721.0</v>
      </c>
      <c r="N628" s="16">
        <v>21.0</v>
      </c>
      <c r="O628" s="17">
        <v>37.0</v>
      </c>
      <c r="P628" s="17">
        <v>95.0</v>
      </c>
      <c r="Q628" s="11">
        <v>3.6361083E7</v>
      </c>
      <c r="R628" s="11">
        <v>9.0</v>
      </c>
      <c r="S628" s="24" t="s">
        <v>48</v>
      </c>
      <c r="T628" s="249" t="s">
        <v>5917</v>
      </c>
      <c r="U628" s="17">
        <v>1.0</v>
      </c>
      <c r="V628" s="16">
        <v>24.0</v>
      </c>
      <c r="W628" s="16">
        <v>24.0</v>
      </c>
      <c r="X628" s="50">
        <v>10820.0</v>
      </c>
      <c r="Y628" s="250">
        <v>8841.0</v>
      </c>
    </row>
    <row r="629">
      <c r="A629" s="11">
        <v>18.0</v>
      </c>
      <c r="B629" s="11">
        <v>13.0</v>
      </c>
      <c r="C629" s="253">
        <v>30.0</v>
      </c>
      <c r="D629" s="235">
        <v>43.0</v>
      </c>
      <c r="E629" s="235">
        <v>43.0</v>
      </c>
      <c r="F629" s="253">
        <v>30.0</v>
      </c>
      <c r="G629" s="235">
        <v>43.0</v>
      </c>
      <c r="H629" s="236">
        <v>8.8029431E7</v>
      </c>
      <c r="I629" s="16">
        <v>16.0</v>
      </c>
      <c r="J629" s="11">
        <v>5.0</v>
      </c>
      <c r="K629" s="11" t="str">
        <f t="shared" si="1"/>
        <v>00430088029431165</v>
      </c>
      <c r="L629" s="238">
        <v>831.67</v>
      </c>
      <c r="M629" s="254">
        <v>70519.0</v>
      </c>
      <c r="N629" s="16">
        <v>36.0</v>
      </c>
      <c r="O629" s="17">
        <v>37.0</v>
      </c>
      <c r="P629" s="17">
        <v>33.0</v>
      </c>
      <c r="Q629" s="11">
        <v>7.2635005E7</v>
      </c>
      <c r="R629" s="11">
        <v>9.0</v>
      </c>
      <c r="S629" s="24" t="s">
        <v>5292</v>
      </c>
      <c r="T629" s="249" t="s">
        <v>5918</v>
      </c>
      <c r="U629" s="17">
        <v>57.0</v>
      </c>
      <c r="V629" s="16">
        <v>7.0</v>
      </c>
      <c r="W629" s="16">
        <v>91.0</v>
      </c>
      <c r="X629" s="50">
        <v>91119.0</v>
      </c>
      <c r="Y629" s="250">
        <v>6654.0</v>
      </c>
    </row>
    <row r="630">
      <c r="A630" s="11">
        <v>11.0</v>
      </c>
      <c r="B630" s="11">
        <v>33.0</v>
      </c>
      <c r="C630" s="253">
        <v>39.0</v>
      </c>
      <c r="D630" s="235">
        <v>153.0</v>
      </c>
      <c r="E630" s="235">
        <v>153.0</v>
      </c>
      <c r="F630" s="253">
        <v>39.0</v>
      </c>
      <c r="G630" s="235">
        <v>153.0</v>
      </c>
      <c r="H630" s="236">
        <v>6.8478694E7</v>
      </c>
      <c r="I630" s="16">
        <v>34.0</v>
      </c>
      <c r="J630" s="11">
        <v>3.0</v>
      </c>
      <c r="K630" s="11" t="str">
        <f t="shared" si="1"/>
        <v>01530068478694343</v>
      </c>
      <c r="L630" s="238">
        <v>-3043.42</v>
      </c>
      <c r="M630" s="254">
        <v>91020.0</v>
      </c>
      <c r="N630" s="16">
        <v>27.0</v>
      </c>
      <c r="O630" s="17">
        <v>23.0</v>
      </c>
      <c r="P630" s="17">
        <v>33.0</v>
      </c>
      <c r="Q630" s="11">
        <v>4.866042E7</v>
      </c>
      <c r="R630" s="11">
        <v>2.0</v>
      </c>
      <c r="S630" s="24" t="s">
        <v>48</v>
      </c>
      <c r="T630" s="249" t="s">
        <v>5919</v>
      </c>
      <c r="U630" s="17">
        <v>62.0</v>
      </c>
      <c r="V630" s="16">
        <v>48.0</v>
      </c>
      <c r="W630" s="16">
        <v>77.0</v>
      </c>
      <c r="X630" s="50">
        <v>40222.0</v>
      </c>
      <c r="Y630" s="250">
        <v>9708.0</v>
      </c>
    </row>
    <row r="631">
      <c r="A631" s="11">
        <v>11.0</v>
      </c>
      <c r="B631" s="11">
        <v>33.0</v>
      </c>
      <c r="C631" s="253">
        <v>38.0</v>
      </c>
      <c r="D631" s="235">
        <v>7.0</v>
      </c>
      <c r="E631" s="235">
        <v>7.0</v>
      </c>
      <c r="F631" s="253">
        <v>38.0</v>
      </c>
      <c r="G631" s="235">
        <v>7.0</v>
      </c>
      <c r="H631" s="236">
        <v>7.8646013E7</v>
      </c>
      <c r="I631" s="16">
        <v>28.0</v>
      </c>
      <c r="J631" s="11">
        <v>1.0</v>
      </c>
      <c r="K631" s="11" t="str">
        <f t="shared" si="1"/>
        <v>00070078646013281</v>
      </c>
      <c r="L631" s="238">
        <v>9010.7</v>
      </c>
      <c r="M631" s="254">
        <v>111414.0</v>
      </c>
      <c r="N631" s="16">
        <v>85.0</v>
      </c>
      <c r="O631" s="17">
        <v>8.0</v>
      </c>
      <c r="P631" s="17">
        <v>33.0</v>
      </c>
      <c r="Q631" s="11">
        <v>8.3459437E7</v>
      </c>
      <c r="R631" s="11">
        <v>3.0</v>
      </c>
      <c r="S631" s="24" t="s">
        <v>48</v>
      </c>
      <c r="T631" s="249" t="s">
        <v>5920</v>
      </c>
      <c r="U631" s="17">
        <v>63.0</v>
      </c>
      <c r="V631" s="16">
        <v>25.0</v>
      </c>
      <c r="W631" s="16">
        <v>69.0</v>
      </c>
      <c r="X631" s="50">
        <v>121622.0</v>
      </c>
      <c r="Y631" s="250">
        <v>5139.0</v>
      </c>
    </row>
    <row r="632">
      <c r="A632" s="11">
        <v>14.0</v>
      </c>
      <c r="B632" s="11">
        <v>54.0</v>
      </c>
      <c r="C632" s="253">
        <v>27.0</v>
      </c>
      <c r="D632" s="235">
        <v>47.0</v>
      </c>
      <c r="E632" s="235">
        <v>47.0</v>
      </c>
      <c r="F632" s="253">
        <v>27.0</v>
      </c>
      <c r="G632" s="235">
        <v>47.0</v>
      </c>
      <c r="H632" s="236">
        <v>7.332629E7</v>
      </c>
      <c r="I632" s="16">
        <v>72.0</v>
      </c>
      <c r="J632" s="11">
        <v>0.0</v>
      </c>
      <c r="K632" s="11" t="str">
        <f t="shared" si="1"/>
        <v>00470073326290720</v>
      </c>
      <c r="L632" s="238">
        <v>701483.94</v>
      </c>
      <c r="M632" s="254">
        <v>122014.0</v>
      </c>
      <c r="N632" s="16">
        <v>13.0</v>
      </c>
      <c r="O632" s="17">
        <v>5.0</v>
      </c>
      <c r="P632" s="17">
        <v>74.0</v>
      </c>
      <c r="Q632" s="11">
        <v>8.2835171E7</v>
      </c>
      <c r="R632" s="11">
        <v>0.0</v>
      </c>
      <c r="S632" s="24" t="s">
        <v>29</v>
      </c>
      <c r="T632" s="249" t="s">
        <v>5921</v>
      </c>
      <c r="U632" s="17">
        <v>61.0</v>
      </c>
      <c r="V632" s="16">
        <v>10.0</v>
      </c>
      <c r="W632" s="16">
        <v>25.0</v>
      </c>
      <c r="X632" s="50">
        <v>110420.0</v>
      </c>
      <c r="Y632" s="250">
        <v>8846.0</v>
      </c>
    </row>
    <row r="633">
      <c r="A633" s="11">
        <v>13.0</v>
      </c>
      <c r="B633" s="11">
        <v>13.0</v>
      </c>
      <c r="C633" s="253">
        <v>46.0</v>
      </c>
      <c r="D633" s="235">
        <v>13.0</v>
      </c>
      <c r="E633" s="235">
        <v>13.0</v>
      </c>
      <c r="F633" s="253">
        <v>46.0</v>
      </c>
      <c r="G633" s="235">
        <v>13.0</v>
      </c>
      <c r="H633" s="236">
        <v>5.9206083E7</v>
      </c>
      <c r="I633" s="16">
        <v>47.0</v>
      </c>
      <c r="J633" s="11">
        <v>1.0</v>
      </c>
      <c r="K633" s="11" t="str">
        <f t="shared" si="1"/>
        <v>00130059206083471</v>
      </c>
      <c r="L633" s="238">
        <v>897559.3</v>
      </c>
      <c r="M633" s="254">
        <v>41217.0</v>
      </c>
      <c r="N633" s="16">
        <v>90.0</v>
      </c>
      <c r="O633" s="17">
        <v>12.0</v>
      </c>
      <c r="P633" s="17">
        <v>13.0</v>
      </c>
      <c r="Q633" s="11">
        <v>7.9773595E7</v>
      </c>
      <c r="R633" s="11">
        <v>1.0</v>
      </c>
      <c r="S633" s="24" t="s">
        <v>29</v>
      </c>
      <c r="T633" s="249" t="s">
        <v>5922</v>
      </c>
      <c r="U633" s="17">
        <v>18.0</v>
      </c>
      <c r="V633" s="16">
        <v>19.0</v>
      </c>
      <c r="W633" s="16">
        <v>56.0</v>
      </c>
      <c r="X633" s="50">
        <v>71915.0</v>
      </c>
      <c r="Y633" s="250">
        <v>4045.0</v>
      </c>
    </row>
    <row r="634">
      <c r="A634" s="11">
        <v>15.0</v>
      </c>
      <c r="B634" s="11">
        <v>54.0</v>
      </c>
      <c r="C634" s="253">
        <v>8.0</v>
      </c>
      <c r="D634" s="235">
        <v>29.0</v>
      </c>
      <c r="E634" s="235">
        <v>29.0</v>
      </c>
      <c r="F634" s="253">
        <v>8.0</v>
      </c>
      <c r="G634" s="235">
        <v>29.0</v>
      </c>
      <c r="H634" s="236">
        <v>9.4667598E7</v>
      </c>
      <c r="I634" s="16">
        <v>65.0</v>
      </c>
      <c r="J634" s="11">
        <v>5.0</v>
      </c>
      <c r="K634" s="11" t="str">
        <f t="shared" si="1"/>
        <v>00290094667598655</v>
      </c>
      <c r="L634" s="238">
        <v>55402.66</v>
      </c>
      <c r="M634" s="254">
        <v>52719.0</v>
      </c>
      <c r="N634" s="16">
        <v>79.0</v>
      </c>
      <c r="O634" s="17">
        <v>24.0</v>
      </c>
      <c r="P634" s="17">
        <v>74.0</v>
      </c>
      <c r="Q634" s="11">
        <v>5.9493029E7</v>
      </c>
      <c r="R634" s="11">
        <v>6.0</v>
      </c>
      <c r="S634" s="24" t="s">
        <v>48</v>
      </c>
      <c r="T634" s="249" t="s">
        <v>5923</v>
      </c>
      <c r="U634" s="17">
        <v>63.0</v>
      </c>
      <c r="V634" s="16">
        <v>45.0</v>
      </c>
      <c r="W634" s="16">
        <v>8.0</v>
      </c>
      <c r="X634" s="50">
        <v>111815.0</v>
      </c>
      <c r="Y634" s="250">
        <v>4109.0</v>
      </c>
    </row>
    <row r="635">
      <c r="A635" s="11">
        <v>11.0</v>
      </c>
      <c r="B635" s="11">
        <v>95.0</v>
      </c>
      <c r="C635" s="253">
        <v>29.0</v>
      </c>
      <c r="D635" s="235">
        <v>165.0</v>
      </c>
      <c r="E635" s="235">
        <v>165.0</v>
      </c>
      <c r="F635" s="253">
        <v>29.0</v>
      </c>
      <c r="G635" s="235">
        <v>165.0</v>
      </c>
      <c r="H635" s="236">
        <v>7.8864668E7</v>
      </c>
      <c r="I635" s="16">
        <v>56.0</v>
      </c>
      <c r="J635" s="11">
        <v>3.0</v>
      </c>
      <c r="K635" s="11" t="str">
        <f t="shared" si="1"/>
        <v>01650078864668563</v>
      </c>
      <c r="L635" s="238">
        <v>860990.39</v>
      </c>
      <c r="M635" s="254">
        <v>91722.0</v>
      </c>
      <c r="N635" s="16">
        <v>35.0</v>
      </c>
      <c r="O635" s="17">
        <v>6.0</v>
      </c>
      <c r="P635" s="17">
        <v>95.0</v>
      </c>
      <c r="Q635" s="11">
        <v>3.0284054E7</v>
      </c>
      <c r="R635" s="11">
        <v>0.0</v>
      </c>
      <c r="S635" s="24" t="s">
        <v>39</v>
      </c>
      <c r="T635" s="249" t="s">
        <v>5924</v>
      </c>
      <c r="U635" s="17">
        <v>12.0</v>
      </c>
      <c r="V635" s="16">
        <v>29.0</v>
      </c>
      <c r="W635" s="16">
        <v>8.0</v>
      </c>
      <c r="X635" s="50">
        <v>72814.0</v>
      </c>
      <c r="Y635" s="250">
        <v>9017.0</v>
      </c>
    </row>
    <row r="636">
      <c r="A636" s="11">
        <v>11.0</v>
      </c>
      <c r="B636" s="11">
        <v>54.0</v>
      </c>
      <c r="C636" s="253">
        <v>18.0</v>
      </c>
      <c r="D636" s="235">
        <v>77.0</v>
      </c>
      <c r="E636" s="235">
        <v>77.0</v>
      </c>
      <c r="F636" s="253">
        <v>18.0</v>
      </c>
      <c r="G636" s="235">
        <v>77.0</v>
      </c>
      <c r="H636" s="236">
        <v>1.0889306E7</v>
      </c>
      <c r="I636" s="16">
        <v>51.0</v>
      </c>
      <c r="J636" s="11">
        <v>1.0</v>
      </c>
      <c r="K636" s="11" t="str">
        <f t="shared" si="1"/>
        <v>00770010889306511</v>
      </c>
      <c r="L636" s="238">
        <v>907.24</v>
      </c>
      <c r="M636" s="254">
        <v>52022.0</v>
      </c>
      <c r="N636" s="16">
        <v>68.0</v>
      </c>
      <c r="O636" s="17">
        <v>30.0</v>
      </c>
      <c r="P636" s="17">
        <v>95.0</v>
      </c>
      <c r="Q636" s="11">
        <v>5.6166671E7</v>
      </c>
      <c r="R636" s="11">
        <v>4.0</v>
      </c>
      <c r="S636" s="24" t="s">
        <v>48</v>
      </c>
      <c r="T636" s="249" t="s">
        <v>5925</v>
      </c>
      <c r="U636" s="17">
        <v>10.0</v>
      </c>
      <c r="V636" s="16">
        <v>45.0</v>
      </c>
      <c r="W636" s="16">
        <v>87.0</v>
      </c>
      <c r="X636" s="50">
        <v>122920.0</v>
      </c>
      <c r="Y636" s="250">
        <v>139.0</v>
      </c>
    </row>
    <row r="637">
      <c r="A637" s="11">
        <v>10.0</v>
      </c>
      <c r="B637" s="11">
        <v>95.0</v>
      </c>
      <c r="C637" s="253">
        <v>6.0</v>
      </c>
      <c r="D637" s="235">
        <v>27.0</v>
      </c>
      <c r="E637" s="235">
        <v>27.0</v>
      </c>
      <c r="F637" s="253">
        <v>6.0</v>
      </c>
      <c r="G637" s="235">
        <v>27.0</v>
      </c>
      <c r="H637" s="236">
        <v>9.8008756E7</v>
      </c>
      <c r="I637" s="16">
        <v>51.0</v>
      </c>
      <c r="J637" s="11">
        <v>4.0</v>
      </c>
      <c r="K637" s="11" t="str">
        <f t="shared" si="1"/>
        <v>00270098008756514</v>
      </c>
      <c r="L637" s="238">
        <v>9127.23</v>
      </c>
      <c r="M637" s="254">
        <v>91919.0</v>
      </c>
      <c r="N637" s="16">
        <v>85.0</v>
      </c>
      <c r="O637" s="17">
        <v>55.0</v>
      </c>
      <c r="P637" s="17">
        <v>33.0</v>
      </c>
      <c r="Q637" s="11">
        <v>2.6464564E7</v>
      </c>
      <c r="R637" s="11">
        <v>4.0</v>
      </c>
      <c r="S637" s="24" t="s">
        <v>39</v>
      </c>
      <c r="T637" s="249" t="s">
        <v>5926</v>
      </c>
      <c r="U637" s="17">
        <v>68.0</v>
      </c>
      <c r="V637" s="16">
        <v>68.0</v>
      </c>
      <c r="W637" s="16">
        <v>84.0</v>
      </c>
      <c r="X637" s="50">
        <v>40114.0</v>
      </c>
      <c r="Y637" s="250">
        <v>5875.0</v>
      </c>
    </row>
    <row r="638">
      <c r="A638" s="11">
        <v>16.0</v>
      </c>
      <c r="B638" s="11">
        <v>74.0</v>
      </c>
      <c r="C638" s="253">
        <v>55.0</v>
      </c>
      <c r="D638" s="235">
        <v>78.0</v>
      </c>
      <c r="E638" s="235">
        <v>78.0</v>
      </c>
      <c r="F638" s="253">
        <v>55.0</v>
      </c>
      <c r="G638" s="235">
        <v>78.0</v>
      </c>
      <c r="H638" s="236">
        <v>7.2944448E7</v>
      </c>
      <c r="I638" s="16">
        <v>39.0</v>
      </c>
      <c r="J638" s="11">
        <v>1.0</v>
      </c>
      <c r="K638" s="11" t="str">
        <f t="shared" si="1"/>
        <v>00780072944448391</v>
      </c>
      <c r="L638" s="238">
        <v>942545.14</v>
      </c>
      <c r="M638" s="254">
        <v>122614.0</v>
      </c>
      <c r="N638" s="16">
        <v>20.0</v>
      </c>
      <c r="O638" s="17">
        <v>26.0</v>
      </c>
      <c r="P638" s="17">
        <v>33.0</v>
      </c>
      <c r="Q638" s="11">
        <v>3.2839814E7</v>
      </c>
      <c r="R638" s="11">
        <v>9.0</v>
      </c>
      <c r="S638" s="24" t="s">
        <v>39</v>
      </c>
      <c r="T638" s="249" t="s">
        <v>5927</v>
      </c>
      <c r="U638" s="17">
        <v>65.0</v>
      </c>
      <c r="V638" s="16">
        <v>97.0</v>
      </c>
      <c r="W638" s="16">
        <v>31.0</v>
      </c>
      <c r="X638" s="50">
        <v>41820.0</v>
      </c>
      <c r="Y638" s="250">
        <v>7012.0</v>
      </c>
    </row>
    <row r="639">
      <c r="A639" s="11">
        <v>13.0</v>
      </c>
      <c r="B639" s="11">
        <v>74.0</v>
      </c>
      <c r="C639" s="253">
        <v>51.0</v>
      </c>
      <c r="D639" s="235">
        <v>13.0</v>
      </c>
      <c r="E639" s="235">
        <v>13.0</v>
      </c>
      <c r="F639" s="253">
        <v>51.0</v>
      </c>
      <c r="G639" s="235">
        <v>13.0</v>
      </c>
      <c r="H639" s="236">
        <v>2.3403811E7</v>
      </c>
      <c r="I639" s="16">
        <v>77.0</v>
      </c>
      <c r="J639" s="11">
        <v>6.0</v>
      </c>
      <c r="K639" s="11" t="str">
        <f t="shared" si="1"/>
        <v>00130023403811776</v>
      </c>
      <c r="L639" s="238">
        <v>5548.2</v>
      </c>
      <c r="M639" s="254">
        <v>61721.0</v>
      </c>
      <c r="N639" s="16">
        <v>52.0</v>
      </c>
      <c r="O639" s="17">
        <v>33.0</v>
      </c>
      <c r="P639" s="17">
        <v>54.0</v>
      </c>
      <c r="Q639" s="11">
        <v>7.04408E7</v>
      </c>
      <c r="R639" s="11">
        <v>8.0</v>
      </c>
      <c r="S639" s="24" t="s">
        <v>5292</v>
      </c>
      <c r="T639" s="249" t="s">
        <v>5928</v>
      </c>
      <c r="U639" s="17">
        <v>20.0</v>
      </c>
      <c r="V639" s="16">
        <v>91.0</v>
      </c>
      <c r="W639" s="16">
        <v>62.0</v>
      </c>
      <c r="X639" s="50">
        <v>11720.0</v>
      </c>
      <c r="Y639" s="250">
        <v>5759.0</v>
      </c>
    </row>
    <row r="640">
      <c r="A640" s="11">
        <v>13.0</v>
      </c>
      <c r="B640" s="11">
        <v>13.0</v>
      </c>
      <c r="C640" s="253">
        <v>49.0</v>
      </c>
      <c r="D640" s="235">
        <v>29.0</v>
      </c>
      <c r="E640" s="235">
        <v>29.0</v>
      </c>
      <c r="F640" s="253">
        <v>49.0</v>
      </c>
      <c r="G640" s="235">
        <v>29.0</v>
      </c>
      <c r="H640" s="236">
        <v>7.1311178E7</v>
      </c>
      <c r="I640" s="16">
        <v>31.0</v>
      </c>
      <c r="J640" s="11">
        <v>5.0</v>
      </c>
      <c r="K640" s="11" t="str">
        <f t="shared" si="1"/>
        <v>00290071311178315</v>
      </c>
      <c r="L640" s="238">
        <v>-7656.36</v>
      </c>
      <c r="M640" s="254">
        <v>100618.0</v>
      </c>
      <c r="N640" s="16">
        <v>20.0</v>
      </c>
      <c r="O640" s="17">
        <v>56.0</v>
      </c>
      <c r="P640" s="17">
        <v>33.0</v>
      </c>
      <c r="Q640" s="11">
        <v>7.6229951E7</v>
      </c>
      <c r="R640" s="11">
        <v>8.0</v>
      </c>
      <c r="S640" s="24" t="s">
        <v>48</v>
      </c>
      <c r="T640" s="249" t="s">
        <v>5929</v>
      </c>
      <c r="U640" s="17">
        <v>72.0</v>
      </c>
      <c r="V640" s="16">
        <v>79.0</v>
      </c>
      <c r="W640" s="16">
        <v>86.0</v>
      </c>
      <c r="X640" s="50">
        <v>110520.0</v>
      </c>
      <c r="Y640" s="250">
        <v>3831.0</v>
      </c>
    </row>
    <row r="641">
      <c r="A641" s="11">
        <v>14.0</v>
      </c>
      <c r="B641" s="11">
        <v>54.0</v>
      </c>
      <c r="C641" s="253">
        <v>6.0</v>
      </c>
      <c r="D641" s="235">
        <v>71.0</v>
      </c>
      <c r="E641" s="235">
        <v>71.0</v>
      </c>
      <c r="F641" s="253">
        <v>6.0</v>
      </c>
      <c r="G641" s="235">
        <v>71.0</v>
      </c>
      <c r="H641" s="236">
        <v>7.6652698E7</v>
      </c>
      <c r="I641" s="16">
        <v>54.0</v>
      </c>
      <c r="J641" s="11">
        <v>6.0</v>
      </c>
      <c r="K641" s="11" t="str">
        <f t="shared" si="1"/>
        <v>00710076652698546</v>
      </c>
      <c r="L641" s="238">
        <v>-48610.25</v>
      </c>
      <c r="M641" s="254">
        <v>42414.0</v>
      </c>
      <c r="N641" s="16">
        <v>61.0</v>
      </c>
      <c r="O641" s="17">
        <v>44.0</v>
      </c>
      <c r="P641" s="17">
        <v>13.0</v>
      </c>
      <c r="Q641" s="11">
        <v>2.7511446E7</v>
      </c>
      <c r="R641" s="11">
        <v>7.0</v>
      </c>
      <c r="S641" s="24" t="s">
        <v>5292</v>
      </c>
      <c r="T641" s="249" t="s">
        <v>5930</v>
      </c>
      <c r="U641" s="17">
        <v>24.0</v>
      </c>
      <c r="V641" s="16">
        <v>75.0</v>
      </c>
      <c r="W641" s="16">
        <v>71.0</v>
      </c>
      <c r="X641" s="50">
        <v>51116.0</v>
      </c>
      <c r="Y641" s="250">
        <v>9737.0</v>
      </c>
    </row>
    <row r="642">
      <c r="A642" s="11">
        <v>13.0</v>
      </c>
      <c r="B642" s="11">
        <v>74.0</v>
      </c>
      <c r="C642" s="253">
        <v>21.0</v>
      </c>
      <c r="D642" s="235">
        <v>113.0</v>
      </c>
      <c r="E642" s="235">
        <v>113.0</v>
      </c>
      <c r="F642" s="253">
        <v>21.0</v>
      </c>
      <c r="G642" s="235">
        <v>113.0</v>
      </c>
      <c r="H642" s="236">
        <v>8.8105983E7</v>
      </c>
      <c r="I642" s="16">
        <v>54.0</v>
      </c>
      <c r="J642" s="11">
        <v>8.0</v>
      </c>
      <c r="K642" s="11" t="str">
        <f t="shared" si="1"/>
        <v>01130088105983548</v>
      </c>
      <c r="L642" s="238">
        <v>692439.54</v>
      </c>
      <c r="M642" s="254">
        <v>101213.0</v>
      </c>
      <c r="N642" s="16">
        <v>11.0</v>
      </c>
      <c r="O642" s="17">
        <v>51.0</v>
      </c>
      <c r="P642" s="17">
        <v>13.0</v>
      </c>
      <c r="Q642" s="11">
        <v>9.6301623E7</v>
      </c>
      <c r="R642" s="11">
        <v>0.0</v>
      </c>
      <c r="S642" s="24" t="s">
        <v>48</v>
      </c>
      <c r="T642" s="249" t="s">
        <v>5931</v>
      </c>
      <c r="U642" s="17">
        <v>27.0</v>
      </c>
      <c r="V642" s="16">
        <v>49.0</v>
      </c>
      <c r="W642" s="16">
        <v>58.0</v>
      </c>
      <c r="X642" s="50">
        <v>80722.0</v>
      </c>
      <c r="Y642" s="250">
        <v>1514.0</v>
      </c>
    </row>
    <row r="643">
      <c r="A643" s="11">
        <v>13.0</v>
      </c>
      <c r="B643" s="11">
        <v>95.0</v>
      </c>
      <c r="C643" s="253">
        <v>42.0</v>
      </c>
      <c r="D643" s="235">
        <v>103.0</v>
      </c>
      <c r="E643" s="235">
        <v>103.0</v>
      </c>
      <c r="F643" s="253">
        <v>42.0</v>
      </c>
      <c r="G643" s="235">
        <v>103.0</v>
      </c>
      <c r="H643" s="236">
        <v>5.221206E7</v>
      </c>
      <c r="I643" s="16">
        <v>29.0</v>
      </c>
      <c r="J643" s="11">
        <v>1.0</v>
      </c>
      <c r="K643" s="11" t="str">
        <f t="shared" si="1"/>
        <v>01030052212060291</v>
      </c>
      <c r="L643" s="238">
        <v>85536.73</v>
      </c>
      <c r="M643" s="254">
        <v>72414.0</v>
      </c>
      <c r="N643" s="16">
        <v>61.0</v>
      </c>
      <c r="O643" s="17">
        <v>28.0</v>
      </c>
      <c r="P643" s="17">
        <v>95.0</v>
      </c>
      <c r="Q643" s="11">
        <v>1.7851904E7</v>
      </c>
      <c r="R643" s="11">
        <v>9.0</v>
      </c>
      <c r="S643" s="24" t="s">
        <v>5292</v>
      </c>
      <c r="T643" s="249" t="s">
        <v>5932</v>
      </c>
      <c r="U643" s="17">
        <v>11.0</v>
      </c>
      <c r="V643" s="16">
        <v>10.0</v>
      </c>
      <c r="W643" s="16">
        <v>74.0</v>
      </c>
      <c r="X643" s="50">
        <v>70218.0</v>
      </c>
      <c r="Y643" s="250">
        <v>96.0</v>
      </c>
    </row>
    <row r="644">
      <c r="A644" s="11">
        <v>13.0</v>
      </c>
      <c r="B644" s="11">
        <v>95.0</v>
      </c>
      <c r="C644" s="253">
        <v>28.0</v>
      </c>
      <c r="D644" s="235">
        <v>133.0</v>
      </c>
      <c r="E644" s="235">
        <v>133.0</v>
      </c>
      <c r="F644" s="253">
        <v>28.0</v>
      </c>
      <c r="G644" s="235">
        <v>133.0</v>
      </c>
      <c r="H644" s="236">
        <v>9.7770918E7</v>
      </c>
      <c r="I644" s="16">
        <v>49.0</v>
      </c>
      <c r="J644" s="11">
        <v>3.0</v>
      </c>
      <c r="K644" s="11" t="str">
        <f t="shared" si="1"/>
        <v>01330097770918493</v>
      </c>
      <c r="L644" s="238">
        <v>208.27</v>
      </c>
      <c r="M644" s="254">
        <v>93015.0</v>
      </c>
      <c r="N644" s="16">
        <v>76.0</v>
      </c>
      <c r="O644" s="17">
        <v>46.0</v>
      </c>
      <c r="P644" s="17">
        <v>33.0</v>
      </c>
      <c r="Q644" s="11">
        <v>9.4243201E7</v>
      </c>
      <c r="R644" s="11">
        <v>9.0</v>
      </c>
      <c r="S644" s="24" t="s">
        <v>29</v>
      </c>
      <c r="T644" s="249" t="s">
        <v>5933</v>
      </c>
      <c r="U644" s="17">
        <v>80.0</v>
      </c>
      <c r="V644" s="16">
        <v>50.0</v>
      </c>
      <c r="W644" s="16">
        <v>96.0</v>
      </c>
      <c r="X644" s="50">
        <v>31622.0</v>
      </c>
      <c r="Y644" s="250">
        <v>9224.0</v>
      </c>
    </row>
    <row r="645">
      <c r="A645" s="11">
        <v>17.0</v>
      </c>
      <c r="B645" s="11">
        <v>95.0</v>
      </c>
      <c r="C645" s="253">
        <v>17.0</v>
      </c>
      <c r="D645" s="235">
        <v>13.0</v>
      </c>
      <c r="E645" s="235">
        <v>13.0</v>
      </c>
      <c r="F645" s="253">
        <v>17.0</v>
      </c>
      <c r="G645" s="235">
        <v>13.0</v>
      </c>
      <c r="H645" s="236">
        <v>9.480594E7</v>
      </c>
      <c r="I645" s="16">
        <v>85.0</v>
      </c>
      <c r="J645" s="11">
        <v>6.0</v>
      </c>
      <c r="K645" s="11" t="str">
        <f t="shared" si="1"/>
        <v>00130094805940856</v>
      </c>
      <c r="L645" s="238">
        <v>305.5</v>
      </c>
      <c r="M645" s="254">
        <v>12522.0</v>
      </c>
      <c r="N645" s="16">
        <v>43.0</v>
      </c>
      <c r="O645" s="17">
        <v>19.0</v>
      </c>
      <c r="P645" s="17">
        <v>13.0</v>
      </c>
      <c r="Q645" s="11">
        <v>3.1368379E7</v>
      </c>
      <c r="R645" s="11">
        <v>3.0</v>
      </c>
      <c r="S645" s="24" t="s">
        <v>39</v>
      </c>
      <c r="T645" s="249" t="s">
        <v>5934</v>
      </c>
      <c r="U645" s="17">
        <v>36.0</v>
      </c>
      <c r="V645" s="16">
        <v>49.0</v>
      </c>
      <c r="W645" s="16">
        <v>61.0</v>
      </c>
      <c r="X645" s="50">
        <v>11820.0</v>
      </c>
      <c r="Y645" s="250">
        <v>5506.0</v>
      </c>
    </row>
    <row r="646">
      <c r="A646" s="11">
        <v>15.0</v>
      </c>
      <c r="B646" s="11">
        <v>33.0</v>
      </c>
      <c r="C646" s="253">
        <v>30.0</v>
      </c>
      <c r="D646" s="235">
        <v>87.0</v>
      </c>
      <c r="E646" s="235">
        <v>87.0</v>
      </c>
      <c r="F646" s="253">
        <v>30.0</v>
      </c>
      <c r="G646" s="235">
        <v>87.0</v>
      </c>
      <c r="H646" s="236">
        <v>5.1699802E7</v>
      </c>
      <c r="I646" s="16">
        <v>81.0</v>
      </c>
      <c r="J646" s="11">
        <v>3.0</v>
      </c>
      <c r="K646" s="11" t="str">
        <f t="shared" si="1"/>
        <v>00870051699802813</v>
      </c>
      <c r="L646" s="238">
        <v>671.58</v>
      </c>
      <c r="M646" s="254">
        <v>111920.0</v>
      </c>
      <c r="N646" s="16">
        <v>23.0</v>
      </c>
      <c r="O646" s="17">
        <v>29.0</v>
      </c>
      <c r="P646" s="17">
        <v>13.0</v>
      </c>
      <c r="Q646" s="11">
        <v>5.4169263E7</v>
      </c>
      <c r="R646" s="11">
        <v>6.0</v>
      </c>
      <c r="S646" s="24" t="s">
        <v>48</v>
      </c>
      <c r="T646" s="249" t="s">
        <v>5935</v>
      </c>
      <c r="U646" s="17">
        <v>37.0</v>
      </c>
      <c r="V646" s="16">
        <v>14.0</v>
      </c>
      <c r="W646" s="16">
        <v>91.0</v>
      </c>
      <c r="X646" s="50">
        <v>91122.0</v>
      </c>
      <c r="Y646" s="250">
        <v>6605.0</v>
      </c>
    </row>
    <row r="647">
      <c r="A647" s="11">
        <v>10.0</v>
      </c>
      <c r="B647" s="11">
        <v>13.0</v>
      </c>
      <c r="C647" s="253">
        <v>29.0</v>
      </c>
      <c r="D647" s="235">
        <v>67.0</v>
      </c>
      <c r="E647" s="235">
        <v>67.0</v>
      </c>
      <c r="F647" s="253">
        <v>29.0</v>
      </c>
      <c r="G647" s="235">
        <v>67.0</v>
      </c>
      <c r="H647" s="236">
        <v>8.1908437E7</v>
      </c>
      <c r="I647" s="16">
        <v>64.0</v>
      </c>
      <c r="J647" s="11">
        <v>0.0</v>
      </c>
      <c r="K647" s="11" t="str">
        <f t="shared" si="1"/>
        <v>00670081908437640</v>
      </c>
      <c r="L647" s="238">
        <v>8664.41</v>
      </c>
      <c r="M647" s="254">
        <v>81321.0</v>
      </c>
      <c r="N647" s="16">
        <v>40.0</v>
      </c>
      <c r="O647" s="17">
        <v>11.0</v>
      </c>
      <c r="P647" s="17">
        <v>33.0</v>
      </c>
      <c r="Q647" s="11">
        <v>5.1600652E7</v>
      </c>
      <c r="R647" s="11">
        <v>9.0</v>
      </c>
      <c r="S647" s="24" t="s">
        <v>39</v>
      </c>
      <c r="T647" s="249" t="s">
        <v>5936</v>
      </c>
      <c r="U647" s="17">
        <v>85.0</v>
      </c>
      <c r="V647" s="16">
        <v>4.0</v>
      </c>
      <c r="W647" s="16">
        <v>1.0</v>
      </c>
      <c r="X647" s="50">
        <v>103121.0</v>
      </c>
      <c r="Y647" s="250">
        <v>6064.0</v>
      </c>
    </row>
    <row r="648">
      <c r="A648" s="11">
        <v>15.0</v>
      </c>
      <c r="B648" s="11">
        <v>74.0</v>
      </c>
      <c r="C648" s="253">
        <v>27.0</v>
      </c>
      <c r="D648" s="235">
        <v>61.0</v>
      </c>
      <c r="E648" s="235">
        <v>61.0</v>
      </c>
      <c r="F648" s="253">
        <v>27.0</v>
      </c>
      <c r="G648" s="235">
        <v>61.0</v>
      </c>
      <c r="H648" s="236">
        <v>5.9703472E7</v>
      </c>
      <c r="I648" s="16">
        <v>72.0</v>
      </c>
      <c r="J648" s="11">
        <v>6.0</v>
      </c>
      <c r="K648" s="11" t="str">
        <f t="shared" si="1"/>
        <v>00610059703472726</v>
      </c>
      <c r="L648" s="238">
        <v>-8856.49</v>
      </c>
      <c r="M648" s="254">
        <v>91713.0</v>
      </c>
      <c r="N648" s="16">
        <v>74.0</v>
      </c>
      <c r="O648" s="17">
        <v>35.0</v>
      </c>
      <c r="P648" s="17">
        <v>54.0</v>
      </c>
      <c r="Q648" s="11">
        <v>6.503986E7</v>
      </c>
      <c r="R648" s="11">
        <v>7.0</v>
      </c>
      <c r="S648" s="24" t="s">
        <v>5292</v>
      </c>
      <c r="T648" s="249" t="s">
        <v>5937</v>
      </c>
      <c r="U648" s="17">
        <v>35.0</v>
      </c>
      <c r="V648" s="16">
        <v>97.0</v>
      </c>
      <c r="W648" s="16">
        <v>67.0</v>
      </c>
      <c r="X648" s="50">
        <v>81914.0</v>
      </c>
      <c r="Y648" s="250">
        <v>8910.0</v>
      </c>
    </row>
    <row r="649">
      <c r="A649" s="11">
        <v>16.0</v>
      </c>
      <c r="B649" s="11">
        <v>33.0</v>
      </c>
      <c r="C649" s="253">
        <v>28.0</v>
      </c>
      <c r="D649" s="235">
        <v>85.0</v>
      </c>
      <c r="E649" s="235">
        <v>85.0</v>
      </c>
      <c r="F649" s="253">
        <v>28.0</v>
      </c>
      <c r="G649" s="235">
        <v>85.0</v>
      </c>
      <c r="H649" s="236">
        <v>6.9166809E7</v>
      </c>
      <c r="I649" s="16">
        <v>40.0</v>
      </c>
      <c r="J649" s="11">
        <v>3.0</v>
      </c>
      <c r="K649" s="11" t="str">
        <f t="shared" si="1"/>
        <v>00850069166809403</v>
      </c>
      <c r="L649" s="238">
        <v>718577.12</v>
      </c>
      <c r="M649" s="254">
        <v>81814.0</v>
      </c>
      <c r="N649" s="16">
        <v>43.0</v>
      </c>
      <c r="O649" s="17">
        <v>36.0</v>
      </c>
      <c r="P649" s="17">
        <v>74.0</v>
      </c>
      <c r="Q649" s="11">
        <v>9.8797164E7</v>
      </c>
      <c r="R649" s="11">
        <v>2.0</v>
      </c>
      <c r="S649" s="24" t="s">
        <v>39</v>
      </c>
      <c r="T649" s="249" t="s">
        <v>5938</v>
      </c>
      <c r="U649" s="17">
        <v>84.0</v>
      </c>
      <c r="V649" s="16">
        <v>17.0</v>
      </c>
      <c r="W649" s="16">
        <v>96.0</v>
      </c>
      <c r="X649" s="50">
        <v>80219.0</v>
      </c>
      <c r="Y649" s="250">
        <v>7044.0</v>
      </c>
    </row>
    <row r="650">
      <c r="A650" s="11">
        <v>20.0</v>
      </c>
      <c r="B650" s="11">
        <v>33.0</v>
      </c>
      <c r="C650" s="253">
        <v>1.0</v>
      </c>
      <c r="D650" s="235">
        <v>99.0</v>
      </c>
      <c r="E650" s="235">
        <v>99.0</v>
      </c>
      <c r="F650" s="253">
        <v>1.0</v>
      </c>
      <c r="G650" s="235">
        <v>99.0</v>
      </c>
      <c r="H650" s="236">
        <v>7.9310189E7</v>
      </c>
      <c r="I650" s="16">
        <v>1.0</v>
      </c>
      <c r="J650" s="11">
        <v>0.0</v>
      </c>
      <c r="K650" s="11" t="str">
        <f t="shared" si="1"/>
        <v>00990079310189010</v>
      </c>
      <c r="L650" s="238">
        <v>-69530.59</v>
      </c>
      <c r="M650" s="254">
        <v>60320.0</v>
      </c>
      <c r="N650" s="16">
        <v>11.0</v>
      </c>
      <c r="O650" s="17">
        <v>11.0</v>
      </c>
      <c r="P650" s="17">
        <v>95.0</v>
      </c>
      <c r="Q650" s="11">
        <v>3.8932877E7</v>
      </c>
      <c r="R650" s="11">
        <v>9.0</v>
      </c>
      <c r="S650" s="24" t="s">
        <v>29</v>
      </c>
      <c r="T650" s="249" t="s">
        <v>5939</v>
      </c>
      <c r="U650" s="17">
        <v>29.0</v>
      </c>
      <c r="V650" s="16">
        <v>80.0</v>
      </c>
      <c r="W650" s="16">
        <v>53.0</v>
      </c>
      <c r="X650" s="50">
        <v>112121.0</v>
      </c>
      <c r="Y650" s="250">
        <v>2709.0</v>
      </c>
    </row>
    <row r="651">
      <c r="A651" s="11">
        <v>15.0</v>
      </c>
      <c r="B651" s="11">
        <v>54.0</v>
      </c>
      <c r="C651" s="253">
        <v>31.0</v>
      </c>
      <c r="D651" s="235">
        <v>117.0</v>
      </c>
      <c r="E651" s="235">
        <v>117.0</v>
      </c>
      <c r="F651" s="253">
        <v>31.0</v>
      </c>
      <c r="G651" s="235">
        <v>117.0</v>
      </c>
      <c r="H651" s="236">
        <v>1.2977886E7</v>
      </c>
      <c r="I651" s="16">
        <v>64.0</v>
      </c>
      <c r="J651" s="11">
        <v>9.0</v>
      </c>
      <c r="K651" s="11" t="str">
        <f t="shared" si="1"/>
        <v>01170012977886649</v>
      </c>
      <c r="L651" s="238">
        <v>-822.39</v>
      </c>
      <c r="M651" s="254">
        <v>91515.0</v>
      </c>
      <c r="N651" s="16">
        <v>3.0</v>
      </c>
      <c r="O651" s="17">
        <v>25.0</v>
      </c>
      <c r="P651" s="17">
        <v>33.0</v>
      </c>
      <c r="Q651" s="11">
        <v>6.2185447E7</v>
      </c>
      <c r="R651" s="11">
        <v>8.0</v>
      </c>
      <c r="S651" s="24" t="s">
        <v>48</v>
      </c>
      <c r="T651" s="249" t="s">
        <v>5940</v>
      </c>
      <c r="U651" s="17">
        <v>90.0</v>
      </c>
      <c r="V651" s="16">
        <v>65.0</v>
      </c>
      <c r="W651" s="16">
        <v>45.0</v>
      </c>
      <c r="X651" s="50">
        <v>92917.0</v>
      </c>
      <c r="Y651" s="250">
        <v>4575.0</v>
      </c>
    </row>
    <row r="652">
      <c r="A652" s="11">
        <v>14.0</v>
      </c>
      <c r="B652" s="11">
        <v>54.0</v>
      </c>
      <c r="C652" s="253">
        <v>56.0</v>
      </c>
      <c r="D652" s="235">
        <v>45.0</v>
      </c>
      <c r="E652" s="235">
        <v>45.0</v>
      </c>
      <c r="F652" s="253">
        <v>56.0</v>
      </c>
      <c r="G652" s="235">
        <v>45.0</v>
      </c>
      <c r="H652" s="236">
        <v>5.4579248E7</v>
      </c>
      <c r="I652" s="16">
        <v>64.0</v>
      </c>
      <c r="J652" s="11">
        <v>7.0</v>
      </c>
      <c r="K652" s="11" t="str">
        <f t="shared" si="1"/>
        <v>00450054579248647</v>
      </c>
      <c r="L652" s="238">
        <v>7575.69</v>
      </c>
      <c r="M652" s="254">
        <v>51913.0</v>
      </c>
      <c r="N652" s="16">
        <v>7.0</v>
      </c>
      <c r="O652" s="17">
        <v>51.0</v>
      </c>
      <c r="P652" s="17">
        <v>54.0</v>
      </c>
      <c r="Q652" s="11">
        <v>2.6123848E7</v>
      </c>
      <c r="R652" s="11">
        <v>9.0</v>
      </c>
      <c r="S652" s="24" t="s">
        <v>29</v>
      </c>
      <c r="T652" s="249" t="s">
        <v>5941</v>
      </c>
      <c r="U652" s="17">
        <v>38.0</v>
      </c>
      <c r="V652" s="16">
        <v>47.0</v>
      </c>
      <c r="W652" s="16">
        <v>36.0</v>
      </c>
      <c r="X652" s="50">
        <v>120521.0</v>
      </c>
      <c r="Y652" s="250">
        <v>5560.0</v>
      </c>
    </row>
    <row r="653">
      <c r="A653" s="11">
        <v>17.0</v>
      </c>
      <c r="B653" s="11">
        <v>13.0</v>
      </c>
      <c r="C653" s="253">
        <v>18.0</v>
      </c>
      <c r="D653" s="235">
        <v>19.0</v>
      </c>
      <c r="E653" s="235">
        <v>19.0</v>
      </c>
      <c r="F653" s="253">
        <v>18.0</v>
      </c>
      <c r="G653" s="235">
        <v>19.0</v>
      </c>
      <c r="H653" s="236">
        <v>1.6202808E7</v>
      </c>
      <c r="I653" s="16">
        <v>13.0</v>
      </c>
      <c r="J653" s="11">
        <v>9.0</v>
      </c>
      <c r="K653" s="11" t="str">
        <f t="shared" si="1"/>
        <v>00190016202808139</v>
      </c>
      <c r="L653" s="238">
        <v>-4778.12</v>
      </c>
      <c r="M653" s="254">
        <v>92620.0</v>
      </c>
      <c r="N653" s="16">
        <v>4.0</v>
      </c>
      <c r="O653" s="17">
        <v>10.0</v>
      </c>
      <c r="P653" s="17">
        <v>74.0</v>
      </c>
      <c r="Q653" s="11">
        <v>9.059638E7</v>
      </c>
      <c r="R653" s="11">
        <v>2.0</v>
      </c>
      <c r="S653" s="24" t="s">
        <v>48</v>
      </c>
      <c r="T653" s="249" t="s">
        <v>5942</v>
      </c>
      <c r="U653" s="17">
        <v>88.0</v>
      </c>
      <c r="V653" s="16">
        <v>34.0</v>
      </c>
      <c r="W653" s="16">
        <v>60.0</v>
      </c>
      <c r="X653" s="50">
        <v>51114.0</v>
      </c>
      <c r="Y653" s="250">
        <v>8413.0</v>
      </c>
    </row>
    <row r="654">
      <c r="A654" s="11">
        <v>12.0</v>
      </c>
      <c r="B654" s="11">
        <v>95.0</v>
      </c>
      <c r="C654" s="253">
        <v>29.0</v>
      </c>
      <c r="D654" s="235">
        <v>123.0</v>
      </c>
      <c r="E654" s="235">
        <v>123.0</v>
      </c>
      <c r="F654" s="253">
        <v>29.0</v>
      </c>
      <c r="G654" s="235">
        <v>123.0</v>
      </c>
      <c r="H654" s="236">
        <v>2.0206089E7</v>
      </c>
      <c r="I654" s="16">
        <v>90.0</v>
      </c>
      <c r="J654" s="11">
        <v>8.0</v>
      </c>
      <c r="K654" s="11" t="str">
        <f t="shared" si="1"/>
        <v>01230020206089908</v>
      </c>
      <c r="L654" s="238">
        <v>7777.11</v>
      </c>
      <c r="M654" s="254">
        <v>42614.0</v>
      </c>
      <c r="N654" s="16">
        <v>63.0</v>
      </c>
      <c r="O654" s="17">
        <v>45.0</v>
      </c>
      <c r="P654" s="17">
        <v>33.0</v>
      </c>
      <c r="Q654" s="11">
        <v>9.2654594E7</v>
      </c>
      <c r="R654" s="11">
        <v>8.0</v>
      </c>
      <c r="S654" s="24" t="s">
        <v>5292</v>
      </c>
      <c r="T654" s="249" t="s">
        <v>5943</v>
      </c>
      <c r="U654" s="17">
        <v>93.0</v>
      </c>
      <c r="V654" s="16">
        <v>74.0</v>
      </c>
      <c r="W654" s="16">
        <v>6.0</v>
      </c>
      <c r="X654" s="50">
        <v>52515.0</v>
      </c>
      <c r="Y654" s="250">
        <v>1527.0</v>
      </c>
    </row>
    <row r="655">
      <c r="A655" s="11">
        <v>14.0</v>
      </c>
      <c r="B655" s="11">
        <v>13.0</v>
      </c>
      <c r="C655" s="253">
        <v>13.0</v>
      </c>
      <c r="D655" s="235">
        <v>303.0</v>
      </c>
      <c r="E655" s="235">
        <v>303.0</v>
      </c>
      <c r="F655" s="253">
        <v>13.0</v>
      </c>
      <c r="G655" s="235">
        <v>303.0</v>
      </c>
      <c r="H655" s="236">
        <v>1.7392188E7</v>
      </c>
      <c r="I655" s="16">
        <v>56.0</v>
      </c>
      <c r="J655" s="11">
        <v>3.0</v>
      </c>
      <c r="K655" s="11" t="str">
        <f t="shared" si="1"/>
        <v>03030017392188563</v>
      </c>
      <c r="L655" s="238">
        <v>42735.91</v>
      </c>
      <c r="M655" s="254">
        <v>32016.0</v>
      </c>
      <c r="N655" s="16">
        <v>21.0</v>
      </c>
      <c r="O655" s="17">
        <v>2.0</v>
      </c>
      <c r="P655" s="17">
        <v>74.0</v>
      </c>
      <c r="Q655" s="11">
        <v>7.6698195E7</v>
      </c>
      <c r="R655" s="11">
        <v>7.0</v>
      </c>
      <c r="S655" s="24" t="s">
        <v>39</v>
      </c>
      <c r="T655" s="249" t="s">
        <v>5944</v>
      </c>
      <c r="U655" s="17">
        <v>89.0</v>
      </c>
      <c r="V655" s="16">
        <v>66.0</v>
      </c>
      <c r="W655" s="16">
        <v>17.0</v>
      </c>
      <c r="X655" s="50">
        <v>121717.0</v>
      </c>
      <c r="Y655" s="250">
        <v>3211.0</v>
      </c>
    </row>
    <row r="656">
      <c r="A656" s="11">
        <v>10.0</v>
      </c>
      <c r="B656" s="11">
        <v>74.0</v>
      </c>
      <c r="C656" s="253">
        <v>17.0</v>
      </c>
      <c r="D656" s="235">
        <v>111.0</v>
      </c>
      <c r="E656" s="235">
        <v>111.0</v>
      </c>
      <c r="F656" s="253">
        <v>17.0</v>
      </c>
      <c r="G656" s="235">
        <v>111.0</v>
      </c>
      <c r="H656" s="236">
        <v>8.3721445E7</v>
      </c>
      <c r="I656" s="16">
        <v>29.0</v>
      </c>
      <c r="J656" s="11">
        <v>2.0</v>
      </c>
      <c r="K656" s="11" t="str">
        <f t="shared" si="1"/>
        <v>01110083721445292</v>
      </c>
      <c r="L656" s="238">
        <v>31998.85</v>
      </c>
      <c r="M656" s="254">
        <v>30120.0</v>
      </c>
      <c r="N656" s="16">
        <v>32.0</v>
      </c>
      <c r="O656" s="17">
        <v>18.0</v>
      </c>
      <c r="P656" s="17">
        <v>95.0</v>
      </c>
      <c r="Q656" s="11">
        <v>2.211615E7</v>
      </c>
      <c r="R656" s="11">
        <v>3.0</v>
      </c>
      <c r="S656" s="24" t="s">
        <v>29</v>
      </c>
      <c r="T656" s="249" t="s">
        <v>5945</v>
      </c>
      <c r="U656" s="17">
        <v>38.0</v>
      </c>
      <c r="V656" s="16">
        <v>57.0</v>
      </c>
      <c r="W656" s="16">
        <v>69.0</v>
      </c>
      <c r="X656" s="50">
        <v>92015.0</v>
      </c>
      <c r="Y656" s="250">
        <v>9632.0</v>
      </c>
    </row>
    <row r="657">
      <c r="A657" s="11">
        <v>19.0</v>
      </c>
      <c r="B657" s="11">
        <v>74.0</v>
      </c>
      <c r="C657" s="253">
        <v>47.0</v>
      </c>
      <c r="D657" s="235">
        <v>37.0</v>
      </c>
      <c r="E657" s="235">
        <v>37.0</v>
      </c>
      <c r="F657" s="253">
        <v>47.0</v>
      </c>
      <c r="G657" s="235">
        <v>37.0</v>
      </c>
      <c r="H657" s="236">
        <v>7.3073303E7</v>
      </c>
      <c r="I657" s="16">
        <v>5.0</v>
      </c>
      <c r="J657" s="11">
        <v>1.0</v>
      </c>
      <c r="K657" s="11" t="str">
        <f t="shared" si="1"/>
        <v>00370073073303051</v>
      </c>
      <c r="L657" s="238">
        <v>-1957.35</v>
      </c>
      <c r="M657" s="254">
        <v>33119.0</v>
      </c>
      <c r="N657" s="16">
        <v>36.0</v>
      </c>
      <c r="O657" s="17">
        <v>18.0</v>
      </c>
      <c r="P657" s="17">
        <v>54.0</v>
      </c>
      <c r="Q657" s="11">
        <v>6.6938006E7</v>
      </c>
      <c r="R657" s="11">
        <v>9.0</v>
      </c>
      <c r="S657" s="24" t="s">
        <v>39</v>
      </c>
      <c r="T657" s="249" t="s">
        <v>5946</v>
      </c>
      <c r="U657" s="17">
        <v>47.0</v>
      </c>
      <c r="V657" s="16">
        <v>30.0</v>
      </c>
      <c r="W657" s="16">
        <v>60.0</v>
      </c>
      <c r="X657" s="50">
        <v>113020.0</v>
      </c>
      <c r="Y657" s="250">
        <v>5154.0</v>
      </c>
    </row>
    <row r="658">
      <c r="A658" s="11">
        <v>12.0</v>
      </c>
      <c r="B658" s="11">
        <v>13.0</v>
      </c>
      <c r="C658" s="253">
        <v>42.0</v>
      </c>
      <c r="D658" s="235">
        <v>109.0</v>
      </c>
      <c r="E658" s="235">
        <v>109.0</v>
      </c>
      <c r="F658" s="253">
        <v>42.0</v>
      </c>
      <c r="G658" s="235">
        <v>109.0</v>
      </c>
      <c r="H658" s="236">
        <v>8.4937321E7</v>
      </c>
      <c r="I658" s="16">
        <v>56.0</v>
      </c>
      <c r="J658" s="11">
        <v>4.0</v>
      </c>
      <c r="K658" s="11" t="str">
        <f t="shared" si="1"/>
        <v>01090084937321564</v>
      </c>
      <c r="L658" s="238">
        <v>5366.26</v>
      </c>
      <c r="M658" s="254">
        <v>21814.0</v>
      </c>
      <c r="N658" s="16">
        <v>47.0</v>
      </c>
      <c r="O658" s="17">
        <v>40.0</v>
      </c>
      <c r="P658" s="17">
        <v>13.0</v>
      </c>
      <c r="Q658" s="11">
        <v>8.4082107E7</v>
      </c>
      <c r="R658" s="11">
        <v>9.0</v>
      </c>
      <c r="S658" s="24" t="s">
        <v>29</v>
      </c>
      <c r="T658" s="249" t="s">
        <v>5947</v>
      </c>
      <c r="U658" s="17">
        <v>51.0</v>
      </c>
      <c r="V658" s="16">
        <v>87.0</v>
      </c>
      <c r="W658" s="16">
        <v>95.0</v>
      </c>
      <c r="X658" s="50">
        <v>102816.0</v>
      </c>
      <c r="Y658" s="250">
        <v>4413.0</v>
      </c>
    </row>
    <row r="659">
      <c r="A659" s="11">
        <v>18.0</v>
      </c>
      <c r="B659" s="11">
        <v>13.0</v>
      </c>
      <c r="C659" s="253">
        <v>22.0</v>
      </c>
      <c r="D659" s="235">
        <v>117.0</v>
      </c>
      <c r="E659" s="235">
        <v>117.0</v>
      </c>
      <c r="F659" s="253">
        <v>22.0</v>
      </c>
      <c r="G659" s="235">
        <v>117.0</v>
      </c>
      <c r="H659" s="236">
        <v>5.9621068E7</v>
      </c>
      <c r="I659" s="16">
        <v>96.0</v>
      </c>
      <c r="J659" s="11">
        <v>2.0</v>
      </c>
      <c r="K659" s="11" t="str">
        <f t="shared" si="1"/>
        <v>01170059621068962</v>
      </c>
      <c r="L659" s="238">
        <v>953.11</v>
      </c>
      <c r="M659" s="254">
        <v>112623.0</v>
      </c>
      <c r="N659" s="16">
        <v>86.0</v>
      </c>
      <c r="O659" s="17">
        <v>9.0</v>
      </c>
      <c r="P659" s="17">
        <v>74.0</v>
      </c>
      <c r="Q659" s="11">
        <v>5.4793802E7</v>
      </c>
      <c r="R659" s="11">
        <v>4.0</v>
      </c>
      <c r="S659" s="24" t="s">
        <v>5292</v>
      </c>
      <c r="T659" s="249" t="s">
        <v>5948</v>
      </c>
      <c r="U659" s="17">
        <v>96.0</v>
      </c>
      <c r="V659" s="16">
        <v>42.0</v>
      </c>
      <c r="W659" s="16">
        <v>78.0</v>
      </c>
      <c r="X659" s="50">
        <v>72213.0</v>
      </c>
      <c r="Y659" s="250">
        <v>6874.0</v>
      </c>
    </row>
    <row r="660">
      <c r="A660" s="11">
        <v>10.0</v>
      </c>
      <c r="B660" s="11">
        <v>54.0</v>
      </c>
      <c r="C660" s="253">
        <v>13.0</v>
      </c>
      <c r="D660" s="235">
        <v>3.0</v>
      </c>
      <c r="E660" s="235">
        <v>3.0</v>
      </c>
      <c r="F660" s="253">
        <v>13.0</v>
      </c>
      <c r="G660" s="235">
        <v>3.0</v>
      </c>
      <c r="H660" s="236">
        <v>4.8779032E7</v>
      </c>
      <c r="I660" s="16">
        <v>8.0</v>
      </c>
      <c r="J660" s="11">
        <v>0.0</v>
      </c>
      <c r="K660" s="11" t="str">
        <f t="shared" si="1"/>
        <v>00030048779032080</v>
      </c>
      <c r="L660" s="238">
        <v>608.19</v>
      </c>
      <c r="M660" s="254">
        <v>72423.0</v>
      </c>
      <c r="N660" s="16">
        <v>47.0</v>
      </c>
      <c r="O660" s="17">
        <v>48.0</v>
      </c>
      <c r="P660" s="17">
        <v>95.0</v>
      </c>
      <c r="Q660" s="11">
        <v>4.2538279E7</v>
      </c>
      <c r="R660" s="11">
        <v>5.0</v>
      </c>
      <c r="S660" s="24" t="s">
        <v>5292</v>
      </c>
      <c r="T660" s="249" t="s">
        <v>5949</v>
      </c>
      <c r="U660" s="17">
        <v>47.0</v>
      </c>
      <c r="V660" s="16">
        <v>79.0</v>
      </c>
      <c r="W660" s="16">
        <v>47.0</v>
      </c>
      <c r="X660" s="50">
        <v>33016.0</v>
      </c>
      <c r="Y660" s="250">
        <v>1095.0</v>
      </c>
    </row>
    <row r="661">
      <c r="A661" s="11">
        <v>10.0</v>
      </c>
      <c r="B661" s="11">
        <v>13.0</v>
      </c>
      <c r="C661" s="253">
        <v>55.0</v>
      </c>
      <c r="D661" s="235">
        <v>31.0</v>
      </c>
      <c r="E661" s="235">
        <v>31.0</v>
      </c>
      <c r="F661" s="253">
        <v>55.0</v>
      </c>
      <c r="G661" s="235">
        <v>31.0</v>
      </c>
      <c r="H661" s="236">
        <v>2.4199994E7</v>
      </c>
      <c r="I661" s="16">
        <v>58.0</v>
      </c>
      <c r="J661" s="11">
        <v>8.0</v>
      </c>
      <c r="K661" s="11" t="str">
        <f t="shared" si="1"/>
        <v>00310024199994588</v>
      </c>
      <c r="L661" s="238">
        <v>4778.41</v>
      </c>
      <c r="M661" s="254">
        <v>22017.0</v>
      </c>
      <c r="N661" s="16">
        <v>97.0</v>
      </c>
      <c r="O661" s="17">
        <v>21.0</v>
      </c>
      <c r="P661" s="17">
        <v>75.0</v>
      </c>
      <c r="Q661" s="11">
        <v>1.9686398E7</v>
      </c>
      <c r="R661" s="11">
        <v>9.0</v>
      </c>
      <c r="S661" s="24" t="s">
        <v>5292</v>
      </c>
      <c r="T661" s="249" t="s">
        <v>5950</v>
      </c>
      <c r="U661" s="17">
        <v>0.0</v>
      </c>
      <c r="V661" s="16">
        <v>99.0</v>
      </c>
      <c r="W661" s="16">
        <v>4.0</v>
      </c>
      <c r="X661" s="50">
        <v>41422.0</v>
      </c>
      <c r="Y661" s="250">
        <v>368.0</v>
      </c>
    </row>
    <row r="662">
      <c r="A662" s="11">
        <v>12.0</v>
      </c>
      <c r="B662" s="11">
        <v>13.0</v>
      </c>
      <c r="C662" s="253">
        <v>48.0</v>
      </c>
      <c r="D662" s="235">
        <v>493.0</v>
      </c>
      <c r="E662" s="235">
        <v>493.0</v>
      </c>
      <c r="F662" s="253">
        <v>48.0</v>
      </c>
      <c r="G662" s="235">
        <v>493.0</v>
      </c>
      <c r="H662" s="236">
        <v>8.0473986E7</v>
      </c>
      <c r="I662" s="16">
        <v>45.0</v>
      </c>
      <c r="J662" s="11">
        <v>4.0</v>
      </c>
      <c r="K662" s="11" t="str">
        <f t="shared" si="1"/>
        <v>04930080473986454</v>
      </c>
      <c r="L662" s="238">
        <v>294.72</v>
      </c>
      <c r="M662" s="254">
        <v>100316.0</v>
      </c>
      <c r="N662" s="16">
        <v>30.0</v>
      </c>
      <c r="O662" s="17">
        <v>45.0</v>
      </c>
      <c r="P662" s="17">
        <v>75.0</v>
      </c>
      <c r="Q662" s="11">
        <v>3.9742434E7</v>
      </c>
      <c r="R662" s="11">
        <v>1.0</v>
      </c>
      <c r="S662" s="24" t="s">
        <v>48</v>
      </c>
      <c r="T662" s="249" t="s">
        <v>5951</v>
      </c>
      <c r="U662" s="17">
        <v>1.0</v>
      </c>
      <c r="V662" s="16">
        <v>11.0</v>
      </c>
      <c r="W662" s="16">
        <v>76.0</v>
      </c>
      <c r="X662" s="50">
        <v>110920.0</v>
      </c>
      <c r="Y662" s="250">
        <v>499.0</v>
      </c>
    </row>
    <row r="663">
      <c r="A663" s="11">
        <v>12.0</v>
      </c>
      <c r="B663" s="11">
        <v>34.0</v>
      </c>
      <c r="C663" s="253">
        <v>21.0</v>
      </c>
      <c r="D663" s="235">
        <v>239.0</v>
      </c>
      <c r="E663" s="235">
        <v>239.0</v>
      </c>
      <c r="F663" s="253">
        <v>21.0</v>
      </c>
      <c r="G663" s="235">
        <v>239.0</v>
      </c>
      <c r="H663" s="236">
        <v>6.6685281E7</v>
      </c>
      <c r="I663" s="16">
        <v>60.0</v>
      </c>
      <c r="J663" s="11">
        <v>4.0</v>
      </c>
      <c r="K663" s="11" t="str">
        <f t="shared" si="1"/>
        <v>02390066685281604</v>
      </c>
      <c r="L663" s="238">
        <v>38155.68</v>
      </c>
      <c r="M663" s="254">
        <v>72221.0</v>
      </c>
      <c r="N663" s="16">
        <v>21.0</v>
      </c>
      <c r="O663" s="17">
        <v>42.0</v>
      </c>
      <c r="P663" s="17">
        <v>95.0</v>
      </c>
      <c r="Q663" s="11">
        <v>5.5566953E7</v>
      </c>
      <c r="R663" s="11">
        <v>1.0</v>
      </c>
      <c r="S663" s="24" t="s">
        <v>39</v>
      </c>
      <c r="T663" s="249" t="s">
        <v>5952</v>
      </c>
      <c r="U663" s="17">
        <v>50.0</v>
      </c>
      <c r="V663" s="16">
        <v>64.0</v>
      </c>
      <c r="W663" s="16">
        <v>68.0</v>
      </c>
      <c r="X663" s="50">
        <v>50420.0</v>
      </c>
      <c r="Y663" s="250">
        <v>6082.0</v>
      </c>
    </row>
    <row r="664">
      <c r="A664" s="11">
        <v>20.0</v>
      </c>
      <c r="B664" s="11">
        <v>34.0</v>
      </c>
      <c r="C664" s="253">
        <v>38.0</v>
      </c>
      <c r="D664" s="235">
        <v>43.0</v>
      </c>
      <c r="E664" s="235">
        <v>43.0</v>
      </c>
      <c r="F664" s="253">
        <v>38.0</v>
      </c>
      <c r="G664" s="235">
        <v>43.0</v>
      </c>
      <c r="H664" s="236">
        <v>8.4619318E7</v>
      </c>
      <c r="I664" s="16">
        <v>38.0</v>
      </c>
      <c r="J664" s="11">
        <v>4.0</v>
      </c>
      <c r="K664" s="11" t="str">
        <f t="shared" si="1"/>
        <v>00430084619318384</v>
      </c>
      <c r="L664" s="238">
        <v>68125.34</v>
      </c>
      <c r="M664" s="254">
        <v>101613.0</v>
      </c>
      <c r="N664" s="16">
        <v>36.0</v>
      </c>
      <c r="O664" s="17">
        <v>5.0</v>
      </c>
      <c r="P664" s="17">
        <v>95.0</v>
      </c>
      <c r="Q664" s="11">
        <v>4.1221501E7</v>
      </c>
      <c r="R664" s="11">
        <v>7.0</v>
      </c>
      <c r="S664" s="24" t="s">
        <v>29</v>
      </c>
      <c r="T664" s="249" t="s">
        <v>5953</v>
      </c>
      <c r="U664" s="17">
        <v>53.0</v>
      </c>
      <c r="V664" s="16">
        <v>15.0</v>
      </c>
      <c r="W664" s="16">
        <v>22.0</v>
      </c>
      <c r="X664" s="50">
        <v>72518.0</v>
      </c>
      <c r="Y664" s="250">
        <v>2585.0</v>
      </c>
    </row>
    <row r="665">
      <c r="A665" s="11">
        <v>18.0</v>
      </c>
      <c r="B665" s="11">
        <v>95.0</v>
      </c>
      <c r="C665" s="253">
        <v>37.0</v>
      </c>
      <c r="D665" s="235">
        <v>37.0</v>
      </c>
      <c r="E665" s="235">
        <v>37.0</v>
      </c>
      <c r="F665" s="253">
        <v>37.0</v>
      </c>
      <c r="G665" s="235">
        <v>37.0</v>
      </c>
      <c r="H665" s="236">
        <v>3.5208268E7</v>
      </c>
      <c r="I665" s="16">
        <v>58.0</v>
      </c>
      <c r="J665" s="11">
        <v>8.0</v>
      </c>
      <c r="K665" s="11" t="str">
        <f t="shared" si="1"/>
        <v>00370035208268588</v>
      </c>
      <c r="L665" s="238">
        <v>24494.68</v>
      </c>
      <c r="M665" s="254">
        <v>50220.0</v>
      </c>
      <c r="N665" s="16">
        <v>12.0</v>
      </c>
      <c r="O665" s="17">
        <v>4.0</v>
      </c>
      <c r="P665" s="17">
        <v>13.0</v>
      </c>
      <c r="Q665" s="11">
        <v>2.8394394E7</v>
      </c>
      <c r="R665" s="11">
        <v>9.0</v>
      </c>
      <c r="S665" s="24" t="s">
        <v>5292</v>
      </c>
      <c r="T665" s="249" t="s">
        <v>5954</v>
      </c>
      <c r="U665" s="17">
        <v>61.0</v>
      </c>
      <c r="V665" s="16">
        <v>53.0</v>
      </c>
      <c r="W665" s="16">
        <v>35.0</v>
      </c>
      <c r="X665" s="50">
        <v>30717.0</v>
      </c>
      <c r="Y665" s="250">
        <v>2081.0</v>
      </c>
    </row>
    <row r="666">
      <c r="A666" s="11">
        <v>10.0</v>
      </c>
      <c r="B666" s="11">
        <v>95.0</v>
      </c>
      <c r="C666" s="253">
        <v>48.0</v>
      </c>
      <c r="D666" s="235">
        <v>57.0</v>
      </c>
      <c r="E666" s="235">
        <v>57.0</v>
      </c>
      <c r="F666" s="253">
        <v>48.0</v>
      </c>
      <c r="G666" s="235">
        <v>57.0</v>
      </c>
      <c r="H666" s="236">
        <v>3.1141474E7</v>
      </c>
      <c r="I666" s="16">
        <v>98.0</v>
      </c>
      <c r="J666" s="11">
        <v>5.0</v>
      </c>
      <c r="K666" s="11" t="str">
        <f t="shared" si="1"/>
        <v>00570031141474985</v>
      </c>
      <c r="L666" s="238">
        <v>712815.31</v>
      </c>
      <c r="M666" s="254">
        <v>92913.0</v>
      </c>
      <c r="N666" s="16">
        <v>6.0</v>
      </c>
      <c r="O666" s="17">
        <v>40.0</v>
      </c>
      <c r="P666" s="17">
        <v>75.0</v>
      </c>
      <c r="Q666" s="11">
        <v>3.2383428E7</v>
      </c>
      <c r="R666" s="11">
        <v>7.0</v>
      </c>
      <c r="S666" s="24" t="s">
        <v>48</v>
      </c>
      <c r="T666" s="249" t="s">
        <v>5955</v>
      </c>
      <c r="U666" s="17">
        <v>7.0</v>
      </c>
      <c r="V666" s="16">
        <v>81.0</v>
      </c>
      <c r="W666" s="16">
        <v>59.0</v>
      </c>
      <c r="X666" s="50">
        <v>32819.0</v>
      </c>
      <c r="Y666" s="250">
        <v>8966.0</v>
      </c>
    </row>
    <row r="667">
      <c r="A667" s="11">
        <v>18.0</v>
      </c>
      <c r="B667" s="11">
        <v>13.0</v>
      </c>
      <c r="C667" s="253">
        <v>42.0</v>
      </c>
      <c r="D667" s="235">
        <v>79.0</v>
      </c>
      <c r="E667" s="235">
        <v>79.0</v>
      </c>
      <c r="F667" s="253">
        <v>42.0</v>
      </c>
      <c r="G667" s="235">
        <v>79.0</v>
      </c>
      <c r="H667" s="236">
        <v>3.0587792E7</v>
      </c>
      <c r="I667" s="16">
        <v>63.0</v>
      </c>
      <c r="J667" s="11">
        <v>4.0</v>
      </c>
      <c r="K667" s="11" t="str">
        <f t="shared" si="1"/>
        <v>00790030587792634</v>
      </c>
      <c r="L667" s="238">
        <v>93648.4</v>
      </c>
      <c r="M667" s="254">
        <v>21915.0</v>
      </c>
      <c r="N667" s="16">
        <v>28.0</v>
      </c>
      <c r="O667" s="17">
        <v>1.0</v>
      </c>
      <c r="P667" s="17">
        <v>95.0</v>
      </c>
      <c r="Q667" s="11">
        <v>8.8929344E7</v>
      </c>
      <c r="R667" s="11">
        <v>0.0</v>
      </c>
      <c r="S667" s="24" t="s">
        <v>48</v>
      </c>
      <c r="T667" s="249" t="s">
        <v>5956</v>
      </c>
      <c r="U667" s="17">
        <v>58.0</v>
      </c>
      <c r="V667" s="16">
        <v>36.0</v>
      </c>
      <c r="W667" s="16">
        <v>19.0</v>
      </c>
      <c r="X667" s="50">
        <v>111213.0</v>
      </c>
      <c r="Y667" s="250">
        <v>9852.0</v>
      </c>
    </row>
    <row r="668">
      <c r="A668" s="11">
        <v>11.0</v>
      </c>
      <c r="B668" s="11">
        <v>95.0</v>
      </c>
      <c r="C668" s="253">
        <v>42.0</v>
      </c>
      <c r="D668" s="235">
        <v>33.0</v>
      </c>
      <c r="E668" s="235">
        <v>33.0</v>
      </c>
      <c r="F668" s="253">
        <v>42.0</v>
      </c>
      <c r="G668" s="235">
        <v>33.0</v>
      </c>
      <c r="H668" s="236">
        <v>9.6105324E7</v>
      </c>
      <c r="I668" s="16">
        <v>88.0</v>
      </c>
      <c r="J668" s="11">
        <v>7.0</v>
      </c>
      <c r="K668" s="11" t="str">
        <f t="shared" si="1"/>
        <v>00330096105324887</v>
      </c>
      <c r="L668" s="238">
        <v>86717.7</v>
      </c>
      <c r="M668" s="254">
        <v>52121.0</v>
      </c>
      <c r="N668" s="16">
        <v>45.0</v>
      </c>
      <c r="O668" s="17">
        <v>20.0</v>
      </c>
      <c r="P668" s="17">
        <v>13.0</v>
      </c>
      <c r="Q668" s="11">
        <v>9.0855818E7</v>
      </c>
      <c r="R668" s="11">
        <v>0.0</v>
      </c>
      <c r="S668" s="24" t="s">
        <v>29</v>
      </c>
      <c r="T668" s="249" t="s">
        <v>5957</v>
      </c>
      <c r="U668" s="17">
        <v>67.0</v>
      </c>
      <c r="V668" s="16">
        <v>20.0</v>
      </c>
      <c r="W668" s="16">
        <v>29.0</v>
      </c>
      <c r="X668" s="50">
        <v>111416.0</v>
      </c>
      <c r="Y668" s="250">
        <v>1925.0</v>
      </c>
    </row>
    <row r="669">
      <c r="A669" s="11">
        <v>11.0</v>
      </c>
      <c r="B669" s="11">
        <v>54.0</v>
      </c>
      <c r="C669" s="253">
        <v>42.0</v>
      </c>
      <c r="D669" s="235">
        <v>25.0</v>
      </c>
      <c r="E669" s="235">
        <v>25.0</v>
      </c>
      <c r="F669" s="253">
        <v>42.0</v>
      </c>
      <c r="G669" s="235">
        <v>25.0</v>
      </c>
      <c r="H669" s="236">
        <v>6.9161482E7</v>
      </c>
      <c r="I669" s="16">
        <v>73.0</v>
      </c>
      <c r="J669" s="11">
        <v>3.0</v>
      </c>
      <c r="K669" s="11" t="str">
        <f t="shared" si="1"/>
        <v>00250069161482733</v>
      </c>
      <c r="L669" s="238">
        <v>7624.27</v>
      </c>
      <c r="M669" s="254">
        <v>92315.0</v>
      </c>
      <c r="N669" s="16">
        <v>90.0</v>
      </c>
      <c r="O669" s="17">
        <v>17.0</v>
      </c>
      <c r="P669" s="17">
        <v>95.0</v>
      </c>
      <c r="Q669" s="11">
        <v>4.5745024E7</v>
      </c>
      <c r="R669" s="11">
        <v>1.0</v>
      </c>
      <c r="S669" s="24" t="s">
        <v>39</v>
      </c>
      <c r="T669" s="249" t="s">
        <v>5958</v>
      </c>
      <c r="U669" s="17">
        <v>60.0</v>
      </c>
      <c r="V669" s="16">
        <v>49.0</v>
      </c>
      <c r="W669" s="16">
        <v>61.0</v>
      </c>
      <c r="X669" s="50">
        <v>61817.0</v>
      </c>
      <c r="Y669" s="250">
        <v>7819.0</v>
      </c>
    </row>
    <row r="670">
      <c r="A670" s="11">
        <v>16.0</v>
      </c>
      <c r="B670" s="11">
        <v>75.0</v>
      </c>
      <c r="C670" s="253">
        <v>37.0</v>
      </c>
      <c r="D670" s="235">
        <v>31.0</v>
      </c>
      <c r="E670" s="235">
        <v>31.0</v>
      </c>
      <c r="F670" s="253">
        <v>37.0</v>
      </c>
      <c r="G670" s="235">
        <v>31.0</v>
      </c>
      <c r="H670" s="236">
        <v>6.0701378E7</v>
      </c>
      <c r="I670" s="16">
        <v>7.0</v>
      </c>
      <c r="J670" s="11">
        <v>2.0</v>
      </c>
      <c r="K670" s="11" t="str">
        <f t="shared" si="1"/>
        <v>00310060701378072</v>
      </c>
      <c r="L670" s="238">
        <v>-716.89</v>
      </c>
      <c r="M670" s="254">
        <v>101021.0</v>
      </c>
      <c r="N670" s="16">
        <v>26.0</v>
      </c>
      <c r="O670" s="17">
        <v>23.0</v>
      </c>
      <c r="P670" s="17">
        <v>13.0</v>
      </c>
      <c r="Q670" s="11">
        <v>5.8180169E7</v>
      </c>
      <c r="R670" s="11">
        <v>9.0</v>
      </c>
      <c r="S670" s="24" t="s">
        <v>48</v>
      </c>
      <c r="T670" s="249" t="s">
        <v>5959</v>
      </c>
      <c r="U670" s="17">
        <v>69.0</v>
      </c>
      <c r="V670" s="16">
        <v>82.0</v>
      </c>
      <c r="W670" s="16">
        <v>21.0</v>
      </c>
      <c r="X670" s="50">
        <v>102619.0</v>
      </c>
      <c r="Y670" s="250">
        <v>9523.0</v>
      </c>
    </row>
    <row r="671">
      <c r="A671" s="11">
        <v>16.0</v>
      </c>
      <c r="B671" s="11">
        <v>13.0</v>
      </c>
      <c r="C671" s="253">
        <v>51.0</v>
      </c>
      <c r="D671" s="235">
        <v>680.0</v>
      </c>
      <c r="E671" s="235">
        <v>680.0</v>
      </c>
      <c r="F671" s="253">
        <v>51.0</v>
      </c>
      <c r="G671" s="235">
        <v>680.0</v>
      </c>
      <c r="H671" s="236">
        <v>7.5202084E7</v>
      </c>
      <c r="I671" s="16">
        <v>1.0</v>
      </c>
      <c r="J671" s="11">
        <v>0.0</v>
      </c>
      <c r="K671" s="11" t="str">
        <f t="shared" si="1"/>
        <v>06800075202084010</v>
      </c>
      <c r="L671" s="238">
        <v>-1484.8</v>
      </c>
      <c r="M671" s="254">
        <v>40818.0</v>
      </c>
      <c r="N671" s="16">
        <v>68.0</v>
      </c>
      <c r="O671" s="17">
        <v>41.0</v>
      </c>
      <c r="P671" s="17">
        <v>54.0</v>
      </c>
      <c r="Q671" s="11">
        <v>1.2412849E7</v>
      </c>
      <c r="R671" s="11">
        <v>5.0</v>
      </c>
      <c r="S671" s="24" t="s">
        <v>48</v>
      </c>
      <c r="T671" s="249" t="s">
        <v>5960</v>
      </c>
      <c r="U671" s="17">
        <v>65.0</v>
      </c>
      <c r="V671" s="16">
        <v>20.0</v>
      </c>
      <c r="W671" s="16">
        <v>47.0</v>
      </c>
      <c r="X671" s="50">
        <v>70716.0</v>
      </c>
      <c r="Y671" s="250">
        <v>5759.0</v>
      </c>
    </row>
    <row r="672">
      <c r="A672" s="11">
        <v>18.0</v>
      </c>
      <c r="B672" s="11">
        <v>95.0</v>
      </c>
      <c r="C672" s="253">
        <v>34.0</v>
      </c>
      <c r="D672" s="235">
        <v>7.0</v>
      </c>
      <c r="E672" s="235">
        <v>7.0</v>
      </c>
      <c r="F672" s="253">
        <v>34.0</v>
      </c>
      <c r="G672" s="235">
        <v>7.0</v>
      </c>
      <c r="H672" s="236">
        <v>1.7535711E7</v>
      </c>
      <c r="I672" s="16">
        <v>25.0</v>
      </c>
      <c r="J672" s="11">
        <v>4.0</v>
      </c>
      <c r="K672" s="11" t="str">
        <f t="shared" si="1"/>
        <v>00070017535711254</v>
      </c>
      <c r="L672" s="238">
        <v>59049.49</v>
      </c>
      <c r="M672" s="254">
        <v>11417.0</v>
      </c>
      <c r="N672" s="16">
        <v>31.0</v>
      </c>
      <c r="O672" s="17">
        <v>18.0</v>
      </c>
      <c r="P672" s="17">
        <v>34.0</v>
      </c>
      <c r="Q672" s="11">
        <v>2.1862627E7</v>
      </c>
      <c r="R672" s="11">
        <v>7.0</v>
      </c>
      <c r="S672" s="24" t="s">
        <v>29</v>
      </c>
      <c r="T672" s="249" t="s">
        <v>5961</v>
      </c>
      <c r="U672" s="17">
        <v>21.0</v>
      </c>
      <c r="V672" s="16">
        <v>67.0</v>
      </c>
      <c r="W672" s="16">
        <v>95.0</v>
      </c>
      <c r="X672" s="50">
        <v>21417.0</v>
      </c>
      <c r="Y672" s="250">
        <v>6368.0</v>
      </c>
    </row>
    <row r="673">
      <c r="A673" s="11">
        <v>12.0</v>
      </c>
      <c r="B673" s="11">
        <v>13.0</v>
      </c>
      <c r="C673" s="253">
        <v>47.0</v>
      </c>
      <c r="D673" s="235">
        <v>51.0</v>
      </c>
      <c r="E673" s="235">
        <v>51.0</v>
      </c>
      <c r="F673" s="253">
        <v>47.0</v>
      </c>
      <c r="G673" s="235">
        <v>51.0</v>
      </c>
      <c r="H673" s="236">
        <v>5.0801681E7</v>
      </c>
      <c r="I673" s="16">
        <v>3.0</v>
      </c>
      <c r="J673" s="11">
        <v>9.0</v>
      </c>
      <c r="K673" s="11" t="str">
        <f t="shared" si="1"/>
        <v>00510050801681039</v>
      </c>
      <c r="L673" s="238">
        <v>-329958.56</v>
      </c>
      <c r="M673" s="254">
        <v>111620.0</v>
      </c>
      <c r="N673" s="16">
        <v>92.0</v>
      </c>
      <c r="O673" s="17">
        <v>35.0</v>
      </c>
      <c r="P673" s="17">
        <v>13.0</v>
      </c>
      <c r="Q673" s="11">
        <v>4.9496085E7</v>
      </c>
      <c r="R673" s="11">
        <v>8.0</v>
      </c>
      <c r="S673" s="24" t="s">
        <v>29</v>
      </c>
      <c r="T673" s="249" t="s">
        <v>5962</v>
      </c>
      <c r="U673" s="17">
        <v>74.0</v>
      </c>
      <c r="V673" s="16">
        <v>38.0</v>
      </c>
      <c r="W673" s="16">
        <v>47.0</v>
      </c>
      <c r="X673" s="50">
        <v>60622.0</v>
      </c>
      <c r="Y673" s="250">
        <v>987.0</v>
      </c>
    </row>
    <row r="674">
      <c r="A674" s="11">
        <v>15.0</v>
      </c>
      <c r="B674" s="11">
        <v>95.0</v>
      </c>
      <c r="C674" s="253">
        <v>45.0</v>
      </c>
      <c r="D674" s="235">
        <v>87.0</v>
      </c>
      <c r="E674" s="235">
        <v>87.0</v>
      </c>
      <c r="F674" s="253">
        <v>45.0</v>
      </c>
      <c r="G674" s="235">
        <v>87.0</v>
      </c>
      <c r="H674" s="236">
        <v>2.6549869E7</v>
      </c>
      <c r="I674" s="16">
        <v>50.0</v>
      </c>
      <c r="J674" s="11">
        <v>6.0</v>
      </c>
      <c r="K674" s="11" t="str">
        <f t="shared" si="1"/>
        <v>00870026549869506</v>
      </c>
      <c r="L674" s="238">
        <v>1292.2</v>
      </c>
      <c r="M674" s="254">
        <v>111819.0</v>
      </c>
      <c r="N674" s="16">
        <v>9.0</v>
      </c>
      <c r="O674" s="17">
        <v>11.0</v>
      </c>
      <c r="P674" s="17">
        <v>34.0</v>
      </c>
      <c r="Q674" s="11">
        <v>7.4422139E7</v>
      </c>
      <c r="R674" s="11">
        <v>4.0</v>
      </c>
      <c r="S674" s="24" t="s">
        <v>39</v>
      </c>
      <c r="T674" s="249" t="s">
        <v>5963</v>
      </c>
      <c r="U674" s="17">
        <v>23.0</v>
      </c>
      <c r="V674" s="16">
        <v>34.0</v>
      </c>
      <c r="W674" s="16">
        <v>18.0</v>
      </c>
      <c r="X674" s="50">
        <v>51516.0</v>
      </c>
      <c r="Y674" s="250">
        <v>849.0</v>
      </c>
    </row>
    <row r="675">
      <c r="A675" s="11">
        <v>19.0</v>
      </c>
      <c r="B675" s="11">
        <v>54.0</v>
      </c>
      <c r="C675" s="253">
        <v>29.0</v>
      </c>
      <c r="D675" s="235">
        <v>109.0</v>
      </c>
      <c r="E675" s="235">
        <v>109.0</v>
      </c>
      <c r="F675" s="253">
        <v>29.0</v>
      </c>
      <c r="G675" s="235">
        <v>109.0</v>
      </c>
      <c r="H675" s="236">
        <v>9.653139E7</v>
      </c>
      <c r="I675" s="16">
        <v>69.0</v>
      </c>
      <c r="J675" s="11">
        <v>7.0</v>
      </c>
      <c r="K675" s="11" t="str">
        <f t="shared" si="1"/>
        <v>01090096531390697</v>
      </c>
      <c r="L675" s="238">
        <v>300.32</v>
      </c>
      <c r="M675" s="254">
        <v>22314.0</v>
      </c>
      <c r="N675" s="16">
        <v>96.0</v>
      </c>
      <c r="O675" s="17">
        <v>54.0</v>
      </c>
      <c r="P675" s="17">
        <v>95.0</v>
      </c>
      <c r="Q675" s="11">
        <v>8.6547277E7</v>
      </c>
      <c r="R675" s="11">
        <v>3.0</v>
      </c>
      <c r="S675" s="24" t="s">
        <v>29</v>
      </c>
      <c r="T675" s="249" t="s">
        <v>5964</v>
      </c>
      <c r="U675" s="17">
        <v>68.0</v>
      </c>
      <c r="V675" s="16">
        <v>66.0</v>
      </c>
      <c r="W675" s="16">
        <v>40.0</v>
      </c>
      <c r="X675" s="50">
        <v>121818.0</v>
      </c>
      <c r="Y675" s="250">
        <v>5681.0</v>
      </c>
    </row>
    <row r="676">
      <c r="A676" s="11">
        <v>15.0</v>
      </c>
      <c r="B676" s="11">
        <v>13.0</v>
      </c>
      <c r="C676" s="253">
        <v>30.0</v>
      </c>
      <c r="D676" s="235">
        <v>47.0</v>
      </c>
      <c r="E676" s="235">
        <v>47.0</v>
      </c>
      <c r="F676" s="253">
        <v>30.0</v>
      </c>
      <c r="G676" s="235">
        <v>47.0</v>
      </c>
      <c r="H676" s="236">
        <v>3.5219238E7</v>
      </c>
      <c r="I676" s="16">
        <v>46.0</v>
      </c>
      <c r="J676" s="11">
        <v>9.0</v>
      </c>
      <c r="K676" s="11" t="str">
        <f t="shared" si="1"/>
        <v>00470035219238469</v>
      </c>
      <c r="L676" s="238">
        <v>428680.87</v>
      </c>
      <c r="M676" s="254">
        <v>102513.0</v>
      </c>
      <c r="N676" s="16">
        <v>37.0</v>
      </c>
      <c r="O676" s="17">
        <v>19.0</v>
      </c>
      <c r="P676" s="17">
        <v>75.0</v>
      </c>
      <c r="Q676" s="11">
        <v>7.7913395E7</v>
      </c>
      <c r="R676" s="11">
        <v>7.0</v>
      </c>
      <c r="S676" s="24" t="s">
        <v>29</v>
      </c>
      <c r="T676" s="249" t="s">
        <v>5965</v>
      </c>
      <c r="U676" s="17">
        <v>21.0</v>
      </c>
      <c r="V676" s="16">
        <v>95.0</v>
      </c>
      <c r="W676" s="16">
        <v>79.0</v>
      </c>
      <c r="X676" s="50">
        <v>32815.0</v>
      </c>
      <c r="Y676" s="250">
        <v>9304.0</v>
      </c>
    </row>
    <row r="677">
      <c r="A677" s="11">
        <v>10.0</v>
      </c>
      <c r="B677" s="11">
        <v>34.0</v>
      </c>
      <c r="C677" s="253">
        <v>32.0</v>
      </c>
      <c r="D677" s="235">
        <v>15.0</v>
      </c>
      <c r="E677" s="235">
        <v>15.0</v>
      </c>
      <c r="F677" s="253">
        <v>32.0</v>
      </c>
      <c r="G677" s="235">
        <v>15.0</v>
      </c>
      <c r="H677" s="236">
        <v>2.4727663E7</v>
      </c>
      <c r="I677" s="16">
        <v>96.0</v>
      </c>
      <c r="J677" s="11">
        <v>7.0</v>
      </c>
      <c r="K677" s="11" t="str">
        <f t="shared" si="1"/>
        <v>00150024727663967</v>
      </c>
      <c r="L677" s="238">
        <v>77893.94</v>
      </c>
      <c r="M677" s="254">
        <v>40622.0</v>
      </c>
      <c r="N677" s="16">
        <v>43.0</v>
      </c>
      <c r="O677" s="17">
        <v>15.0</v>
      </c>
      <c r="P677" s="17">
        <v>13.0</v>
      </c>
      <c r="Q677" s="11">
        <v>1.4703099E7</v>
      </c>
      <c r="R677" s="11">
        <v>2.0</v>
      </c>
      <c r="S677" s="24" t="s">
        <v>48</v>
      </c>
      <c r="T677" s="249" t="s">
        <v>5966</v>
      </c>
      <c r="U677" s="17">
        <v>78.0</v>
      </c>
      <c r="V677" s="16">
        <v>60.0</v>
      </c>
      <c r="W677" s="16">
        <v>16.0</v>
      </c>
      <c r="X677" s="50">
        <v>123114.0</v>
      </c>
      <c r="Y677" s="250">
        <v>7040.0</v>
      </c>
    </row>
    <row r="678">
      <c r="A678" s="11">
        <v>18.0</v>
      </c>
      <c r="B678" s="11">
        <v>54.0</v>
      </c>
      <c r="C678" s="253">
        <v>49.0</v>
      </c>
      <c r="D678" s="235">
        <v>11.0</v>
      </c>
      <c r="E678" s="235">
        <v>11.0</v>
      </c>
      <c r="F678" s="253">
        <v>49.0</v>
      </c>
      <c r="G678" s="235">
        <v>11.0</v>
      </c>
      <c r="H678" s="236">
        <v>7.4865247E7</v>
      </c>
      <c r="I678" s="16">
        <v>52.0</v>
      </c>
      <c r="J678" s="11">
        <v>5.0</v>
      </c>
      <c r="K678" s="11" t="str">
        <f t="shared" si="1"/>
        <v>00110074865247525</v>
      </c>
      <c r="L678" s="238">
        <v>61456.69</v>
      </c>
      <c r="M678" s="254">
        <v>62914.0</v>
      </c>
      <c r="N678" s="16">
        <v>47.0</v>
      </c>
      <c r="O678" s="17">
        <v>13.0</v>
      </c>
      <c r="P678" s="17">
        <v>75.0</v>
      </c>
      <c r="Q678" s="11">
        <v>5.6875955E7</v>
      </c>
      <c r="R678" s="11">
        <v>3.0</v>
      </c>
      <c r="S678" s="24" t="s">
        <v>5292</v>
      </c>
      <c r="T678" s="249" t="s">
        <v>5967</v>
      </c>
      <c r="U678" s="17">
        <v>24.0</v>
      </c>
      <c r="V678" s="16">
        <v>9.0</v>
      </c>
      <c r="W678" s="16">
        <v>91.0</v>
      </c>
      <c r="X678" s="50">
        <v>62422.0</v>
      </c>
      <c r="Y678" s="250">
        <v>3744.0</v>
      </c>
    </row>
    <row r="679">
      <c r="A679" s="11">
        <v>11.0</v>
      </c>
      <c r="B679" s="11">
        <v>13.0</v>
      </c>
      <c r="C679" s="253">
        <v>54.0</v>
      </c>
      <c r="D679" s="235">
        <v>15.0</v>
      </c>
      <c r="E679" s="235">
        <v>15.0</v>
      </c>
      <c r="F679" s="253">
        <v>54.0</v>
      </c>
      <c r="G679" s="235">
        <v>15.0</v>
      </c>
      <c r="H679" s="236">
        <v>2.1690126E7</v>
      </c>
      <c r="I679" s="16">
        <v>80.0</v>
      </c>
      <c r="J679" s="11">
        <v>1.0</v>
      </c>
      <c r="K679" s="11" t="str">
        <f t="shared" si="1"/>
        <v>00150021690126801</v>
      </c>
      <c r="L679" s="238">
        <v>-727866.51</v>
      </c>
      <c r="M679" s="254">
        <v>70721.0</v>
      </c>
      <c r="N679" s="16">
        <v>44.0</v>
      </c>
      <c r="O679" s="17">
        <v>44.0</v>
      </c>
      <c r="P679" s="17">
        <v>95.0</v>
      </c>
      <c r="Q679" s="11">
        <v>6.5434443E7</v>
      </c>
      <c r="R679" s="11">
        <v>6.0</v>
      </c>
      <c r="S679" s="24" t="s">
        <v>29</v>
      </c>
      <c r="T679" s="249" t="s">
        <v>5968</v>
      </c>
      <c r="U679" s="17">
        <v>74.0</v>
      </c>
      <c r="V679" s="16">
        <v>42.0</v>
      </c>
      <c r="W679" s="16">
        <v>51.0</v>
      </c>
      <c r="X679" s="50">
        <v>122013.0</v>
      </c>
      <c r="Y679" s="250">
        <v>6356.0</v>
      </c>
    </row>
    <row r="680">
      <c r="A680" s="11">
        <v>14.0</v>
      </c>
      <c r="B680" s="11">
        <v>95.0</v>
      </c>
      <c r="C680" s="253">
        <v>28.0</v>
      </c>
      <c r="D680" s="235">
        <v>129.0</v>
      </c>
      <c r="E680" s="235">
        <v>129.0</v>
      </c>
      <c r="F680" s="253">
        <v>28.0</v>
      </c>
      <c r="G680" s="235">
        <v>129.0</v>
      </c>
      <c r="H680" s="236">
        <v>6.2130658E7</v>
      </c>
      <c r="I680" s="16">
        <v>3.0</v>
      </c>
      <c r="J680" s="11">
        <v>2.0</v>
      </c>
      <c r="K680" s="11" t="str">
        <f t="shared" si="1"/>
        <v>01290062130658032</v>
      </c>
      <c r="L680" s="238">
        <v>60364.36</v>
      </c>
      <c r="M680" s="254">
        <v>41016.0</v>
      </c>
      <c r="N680" s="16">
        <v>75.0</v>
      </c>
      <c r="O680" s="17">
        <v>48.0</v>
      </c>
      <c r="P680" s="17">
        <v>13.0</v>
      </c>
      <c r="Q680" s="11">
        <v>5.1426192E7</v>
      </c>
      <c r="R680" s="11">
        <v>8.0</v>
      </c>
      <c r="S680" s="24" t="s">
        <v>48</v>
      </c>
      <c r="T680" s="249" t="s">
        <v>5969</v>
      </c>
      <c r="U680" s="17">
        <v>86.0</v>
      </c>
      <c r="V680" s="16">
        <v>38.0</v>
      </c>
      <c r="W680" s="16">
        <v>14.0</v>
      </c>
      <c r="X680" s="50">
        <v>101113.0</v>
      </c>
      <c r="Y680" s="250">
        <v>7619.0</v>
      </c>
    </row>
    <row r="681">
      <c r="A681" s="11">
        <v>10.0</v>
      </c>
      <c r="B681" s="11">
        <v>34.0</v>
      </c>
      <c r="C681" s="253">
        <v>5.0</v>
      </c>
      <c r="D681" s="235">
        <v>121.0</v>
      </c>
      <c r="E681" s="235">
        <v>121.0</v>
      </c>
      <c r="F681" s="253">
        <v>5.0</v>
      </c>
      <c r="G681" s="235">
        <v>121.0</v>
      </c>
      <c r="H681" s="236">
        <v>9.2930005E7</v>
      </c>
      <c r="I681" s="16">
        <v>41.0</v>
      </c>
      <c r="J681" s="11">
        <v>4.0</v>
      </c>
      <c r="K681" s="11" t="str">
        <f t="shared" si="1"/>
        <v>01210092930005414</v>
      </c>
      <c r="L681" s="238">
        <v>-278.16</v>
      </c>
      <c r="M681" s="254">
        <v>101717.0</v>
      </c>
      <c r="N681" s="16">
        <v>63.0</v>
      </c>
      <c r="O681" s="17">
        <v>15.0</v>
      </c>
      <c r="P681" s="17">
        <v>54.0</v>
      </c>
      <c r="Q681" s="11">
        <v>6.9759565E7</v>
      </c>
      <c r="R681" s="11">
        <v>0.0</v>
      </c>
      <c r="S681" s="24" t="s">
        <v>5292</v>
      </c>
      <c r="T681" s="249" t="s">
        <v>5970</v>
      </c>
      <c r="U681" s="17">
        <v>83.0</v>
      </c>
      <c r="V681" s="16">
        <v>96.0</v>
      </c>
      <c r="W681" s="16">
        <v>4.0</v>
      </c>
      <c r="X681" s="50">
        <v>73022.0</v>
      </c>
      <c r="Y681" s="250">
        <v>7411.0</v>
      </c>
    </row>
    <row r="682">
      <c r="A682" s="11">
        <v>11.0</v>
      </c>
      <c r="B682" s="11">
        <v>54.0</v>
      </c>
      <c r="C682" s="253">
        <v>17.0</v>
      </c>
      <c r="D682" s="235">
        <v>153.0</v>
      </c>
      <c r="E682" s="235">
        <v>153.0</v>
      </c>
      <c r="F682" s="253">
        <v>17.0</v>
      </c>
      <c r="G682" s="235">
        <v>153.0</v>
      </c>
      <c r="H682" s="236">
        <v>9.9691549E7</v>
      </c>
      <c r="I682" s="16">
        <v>86.0</v>
      </c>
      <c r="J682" s="11">
        <v>3.0</v>
      </c>
      <c r="K682" s="11" t="str">
        <f t="shared" si="1"/>
        <v>01530099691549863</v>
      </c>
      <c r="L682" s="238">
        <v>-3455.2</v>
      </c>
      <c r="M682" s="254">
        <v>81716.0</v>
      </c>
      <c r="N682" s="16">
        <v>7.0</v>
      </c>
      <c r="O682" s="17">
        <v>19.0</v>
      </c>
      <c r="P682" s="17">
        <v>23.0</v>
      </c>
      <c r="Q682" s="11">
        <v>1.9421135E7</v>
      </c>
      <c r="R682" s="11">
        <v>3.0</v>
      </c>
      <c r="S682" s="24" t="s">
        <v>5292</v>
      </c>
      <c r="T682" s="249" t="s">
        <v>5971</v>
      </c>
      <c r="U682" s="17">
        <v>11.0</v>
      </c>
      <c r="V682" s="16">
        <v>52.0</v>
      </c>
      <c r="W682" s="16">
        <v>64.0</v>
      </c>
      <c r="X682" s="50">
        <v>112314.0</v>
      </c>
      <c r="Y682" s="250">
        <v>6601.0</v>
      </c>
    </row>
    <row r="683">
      <c r="A683" s="11">
        <v>20.0</v>
      </c>
      <c r="B683" s="11">
        <v>75.0</v>
      </c>
      <c r="C683" s="253">
        <v>12.0</v>
      </c>
      <c r="D683" s="235">
        <v>15.0</v>
      </c>
      <c r="E683" s="235">
        <v>15.0</v>
      </c>
      <c r="F683" s="253">
        <v>12.0</v>
      </c>
      <c r="G683" s="235">
        <v>15.0</v>
      </c>
      <c r="H683" s="236">
        <v>5.7597721E7</v>
      </c>
      <c r="I683" s="16">
        <v>15.0</v>
      </c>
      <c r="J683" s="11">
        <v>0.0</v>
      </c>
      <c r="K683" s="11" t="str">
        <f t="shared" si="1"/>
        <v>00150057597721150</v>
      </c>
      <c r="L683" s="238">
        <v>-49523.24</v>
      </c>
      <c r="M683" s="254">
        <v>30422.0</v>
      </c>
      <c r="N683" s="16">
        <v>82.0</v>
      </c>
      <c r="O683" s="17">
        <v>45.0</v>
      </c>
      <c r="P683" s="17">
        <v>95.0</v>
      </c>
      <c r="Q683" s="11">
        <v>4.7261822E7</v>
      </c>
      <c r="R683" s="11">
        <v>8.0</v>
      </c>
      <c r="S683" s="24" t="s">
        <v>29</v>
      </c>
      <c r="T683" s="249" t="s">
        <v>5972</v>
      </c>
      <c r="U683" s="17">
        <v>81.0</v>
      </c>
      <c r="V683" s="16">
        <v>52.0</v>
      </c>
      <c r="W683" s="16">
        <v>80.0</v>
      </c>
      <c r="X683" s="50">
        <v>61716.0</v>
      </c>
      <c r="Y683" s="250">
        <v>2526.0</v>
      </c>
    </row>
    <row r="684">
      <c r="A684" s="11">
        <v>16.0</v>
      </c>
      <c r="B684" s="11">
        <v>75.0</v>
      </c>
      <c r="C684" s="253">
        <v>36.0</v>
      </c>
      <c r="D684" s="235">
        <v>37.0</v>
      </c>
      <c r="E684" s="235">
        <v>37.0</v>
      </c>
      <c r="F684" s="253">
        <v>36.0</v>
      </c>
      <c r="G684" s="235">
        <v>37.0</v>
      </c>
      <c r="H684" s="236">
        <v>5.9390501E7</v>
      </c>
      <c r="I684" s="16">
        <v>82.0</v>
      </c>
      <c r="J684" s="11">
        <v>7.0</v>
      </c>
      <c r="K684" s="11" t="str">
        <f t="shared" si="1"/>
        <v>00370059390501827</v>
      </c>
      <c r="L684" s="238">
        <v>-495.5</v>
      </c>
      <c r="M684" s="254">
        <v>30514.0</v>
      </c>
      <c r="N684" s="16">
        <v>26.0</v>
      </c>
      <c r="O684" s="17">
        <v>34.0</v>
      </c>
      <c r="P684" s="17">
        <v>95.0</v>
      </c>
      <c r="Q684" s="11">
        <v>8.4903976E7</v>
      </c>
      <c r="R684" s="11">
        <v>0.0</v>
      </c>
      <c r="S684" s="24" t="s">
        <v>48</v>
      </c>
      <c r="T684" s="249" t="s">
        <v>5973</v>
      </c>
      <c r="U684" s="17">
        <v>84.0</v>
      </c>
      <c r="V684" s="16">
        <v>38.0</v>
      </c>
      <c r="W684" s="16">
        <v>11.0</v>
      </c>
      <c r="X684" s="50">
        <v>51313.0</v>
      </c>
      <c r="Y684" s="250">
        <v>7666.0</v>
      </c>
    </row>
    <row r="685">
      <c r="A685" s="11">
        <v>18.0</v>
      </c>
      <c r="B685" s="11">
        <v>34.0</v>
      </c>
      <c r="C685" s="253">
        <v>8.0</v>
      </c>
      <c r="D685" s="235">
        <v>79.0</v>
      </c>
      <c r="E685" s="235">
        <v>79.0</v>
      </c>
      <c r="F685" s="253">
        <v>8.0</v>
      </c>
      <c r="G685" s="235">
        <v>79.0</v>
      </c>
      <c r="H685" s="236">
        <v>5.6019953E7</v>
      </c>
      <c r="I685" s="16">
        <v>48.0</v>
      </c>
      <c r="J685" s="11">
        <v>9.0</v>
      </c>
      <c r="K685" s="11" t="str">
        <f t="shared" si="1"/>
        <v>00790056019953489</v>
      </c>
      <c r="L685" s="238">
        <v>2423.1</v>
      </c>
      <c r="M685" s="254">
        <v>52421.0</v>
      </c>
      <c r="N685" s="16">
        <v>69.0</v>
      </c>
      <c r="O685" s="17">
        <v>54.0</v>
      </c>
      <c r="P685" s="17">
        <v>75.0</v>
      </c>
      <c r="Q685" s="11">
        <v>2.8341725E7</v>
      </c>
      <c r="R685" s="11">
        <v>1.0</v>
      </c>
      <c r="S685" s="24" t="s">
        <v>39</v>
      </c>
      <c r="T685" s="249" t="s">
        <v>5974</v>
      </c>
      <c r="U685" s="17">
        <v>40.0</v>
      </c>
      <c r="V685" s="16">
        <v>2.0</v>
      </c>
      <c r="W685" s="16">
        <v>55.0</v>
      </c>
      <c r="X685" s="50">
        <v>52620.0</v>
      </c>
      <c r="Y685" s="250">
        <v>268.0</v>
      </c>
    </row>
    <row r="686">
      <c r="A686" s="11">
        <v>15.0</v>
      </c>
      <c r="B686" s="11">
        <v>34.0</v>
      </c>
      <c r="C686" s="253">
        <v>40.0</v>
      </c>
      <c r="D686" s="235">
        <v>31.0</v>
      </c>
      <c r="E686" s="235">
        <v>31.0</v>
      </c>
      <c r="F686" s="253">
        <v>40.0</v>
      </c>
      <c r="G686" s="235">
        <v>31.0</v>
      </c>
      <c r="H686" s="236">
        <v>2.3955139E7</v>
      </c>
      <c r="I686" s="16">
        <v>65.0</v>
      </c>
      <c r="J686" s="11">
        <v>3.0</v>
      </c>
      <c r="K686" s="11" t="str">
        <f t="shared" si="1"/>
        <v>00310023955139653</v>
      </c>
      <c r="L686" s="238">
        <v>789.62</v>
      </c>
      <c r="M686" s="254">
        <v>60522.0</v>
      </c>
      <c r="N686" s="16">
        <v>15.0</v>
      </c>
      <c r="O686" s="17">
        <v>25.0</v>
      </c>
      <c r="P686" s="17">
        <v>54.0</v>
      </c>
      <c r="Q686" s="11">
        <v>1.3345753E7</v>
      </c>
      <c r="R686" s="11">
        <v>9.0</v>
      </c>
      <c r="S686" s="24" t="s">
        <v>5292</v>
      </c>
      <c r="T686" s="249" t="s">
        <v>5975</v>
      </c>
      <c r="U686" s="17">
        <v>92.0</v>
      </c>
      <c r="V686" s="16">
        <v>15.0</v>
      </c>
      <c r="W686" s="16">
        <v>89.0</v>
      </c>
      <c r="X686" s="50">
        <v>112113.0</v>
      </c>
      <c r="Y686" s="250">
        <v>4514.0</v>
      </c>
    </row>
    <row r="687">
      <c r="A687" s="11">
        <v>18.0</v>
      </c>
      <c r="B687" s="11">
        <v>34.0</v>
      </c>
      <c r="C687" s="253">
        <v>51.0</v>
      </c>
      <c r="D687" s="235">
        <v>183.0</v>
      </c>
      <c r="E687" s="235">
        <v>183.0</v>
      </c>
      <c r="F687" s="253">
        <v>51.0</v>
      </c>
      <c r="G687" s="235">
        <v>183.0</v>
      </c>
      <c r="H687" s="236">
        <v>4.6180534E7</v>
      </c>
      <c r="I687" s="16">
        <v>27.0</v>
      </c>
      <c r="J687" s="11">
        <v>9.0</v>
      </c>
      <c r="K687" s="11" t="str">
        <f t="shared" si="1"/>
        <v>01830046180534279</v>
      </c>
      <c r="L687" s="238">
        <v>9433.37</v>
      </c>
      <c r="M687" s="254">
        <v>32618.0</v>
      </c>
      <c r="N687" s="16">
        <v>72.0</v>
      </c>
      <c r="O687" s="17">
        <v>5.0</v>
      </c>
      <c r="P687" s="17">
        <v>75.0</v>
      </c>
      <c r="Q687" s="11">
        <v>1.0874062E7</v>
      </c>
      <c r="R687" s="11">
        <v>4.0</v>
      </c>
      <c r="S687" s="24" t="s">
        <v>48</v>
      </c>
      <c r="T687" s="249" t="s">
        <v>5976</v>
      </c>
      <c r="U687" s="17">
        <v>42.0</v>
      </c>
      <c r="V687" s="16">
        <v>76.0</v>
      </c>
      <c r="W687" s="16">
        <v>36.0</v>
      </c>
      <c r="X687" s="50">
        <v>72416.0</v>
      </c>
      <c r="Y687" s="250">
        <v>5794.0</v>
      </c>
    </row>
    <row r="688">
      <c r="A688" s="11">
        <v>15.0</v>
      </c>
      <c r="B688" s="11">
        <v>13.0</v>
      </c>
      <c r="C688" s="253">
        <v>51.0</v>
      </c>
      <c r="D688" s="235">
        <v>710.0</v>
      </c>
      <c r="E688" s="235">
        <v>710.0</v>
      </c>
      <c r="F688" s="253">
        <v>51.0</v>
      </c>
      <c r="G688" s="235">
        <v>710.0</v>
      </c>
      <c r="H688" s="236">
        <v>9.5045392E7</v>
      </c>
      <c r="I688" s="16">
        <v>59.0</v>
      </c>
      <c r="J688" s="11">
        <v>7.0</v>
      </c>
      <c r="K688" s="11" t="str">
        <f t="shared" si="1"/>
        <v>07100095045392597</v>
      </c>
      <c r="L688" s="238">
        <v>-66331.47</v>
      </c>
      <c r="M688" s="254">
        <v>70623.0</v>
      </c>
      <c r="N688" s="16">
        <v>54.0</v>
      </c>
      <c r="O688" s="17">
        <v>37.0</v>
      </c>
      <c r="P688" s="17">
        <v>95.0</v>
      </c>
      <c r="Q688" s="11">
        <v>4.6118139E7</v>
      </c>
      <c r="R688" s="11">
        <v>6.0</v>
      </c>
      <c r="S688" s="24" t="s">
        <v>39</v>
      </c>
      <c r="T688" s="249" t="s">
        <v>5977</v>
      </c>
      <c r="U688" s="17">
        <v>90.0</v>
      </c>
      <c r="V688" s="16">
        <v>68.0</v>
      </c>
      <c r="W688" s="16">
        <v>87.0</v>
      </c>
      <c r="X688" s="50">
        <v>70622.0</v>
      </c>
      <c r="Y688" s="250">
        <v>9583.0</v>
      </c>
    </row>
    <row r="689">
      <c r="A689" s="11">
        <v>15.0</v>
      </c>
      <c r="B689" s="11">
        <v>75.0</v>
      </c>
      <c r="C689" s="253">
        <v>16.0</v>
      </c>
      <c r="D689" s="235">
        <v>3.0</v>
      </c>
      <c r="E689" s="235">
        <v>3.0</v>
      </c>
      <c r="F689" s="253">
        <v>16.0</v>
      </c>
      <c r="G689" s="235">
        <v>3.0</v>
      </c>
      <c r="H689" s="236">
        <v>4.1038312E7</v>
      </c>
      <c r="I689" s="16">
        <v>61.0</v>
      </c>
      <c r="J689" s="11">
        <v>7.0</v>
      </c>
      <c r="K689" s="11" t="str">
        <f t="shared" si="1"/>
        <v>00030041038312617</v>
      </c>
      <c r="L689" s="238">
        <v>477393.79</v>
      </c>
      <c r="M689" s="254">
        <v>72823.0</v>
      </c>
      <c r="N689" s="16">
        <v>54.0</v>
      </c>
      <c r="O689" s="17">
        <v>11.0</v>
      </c>
      <c r="P689" s="17">
        <v>14.0</v>
      </c>
      <c r="Q689" s="11">
        <v>1.2270857E7</v>
      </c>
      <c r="R689" s="11">
        <v>3.0</v>
      </c>
      <c r="S689" s="24" t="s">
        <v>5292</v>
      </c>
      <c r="T689" s="249" t="s">
        <v>5978</v>
      </c>
      <c r="U689" s="17">
        <v>0.0</v>
      </c>
      <c r="V689" s="16">
        <v>65.0</v>
      </c>
      <c r="W689" s="16">
        <v>59.0</v>
      </c>
      <c r="X689" s="50">
        <v>50621.0</v>
      </c>
      <c r="Y689" s="250">
        <v>7396.0</v>
      </c>
    </row>
    <row r="690">
      <c r="A690" s="11">
        <v>14.0</v>
      </c>
      <c r="B690" s="11">
        <v>75.0</v>
      </c>
      <c r="C690" s="253">
        <v>20.0</v>
      </c>
      <c r="D690" s="235">
        <v>147.0</v>
      </c>
      <c r="E690" s="235">
        <v>147.0</v>
      </c>
      <c r="F690" s="253">
        <v>20.0</v>
      </c>
      <c r="G690" s="235">
        <v>147.0</v>
      </c>
      <c r="H690" s="236">
        <v>3.5612509E7</v>
      </c>
      <c r="I690" s="16">
        <v>52.0</v>
      </c>
      <c r="J690" s="11">
        <v>7.0</v>
      </c>
      <c r="K690" s="11" t="str">
        <f t="shared" si="1"/>
        <v>01470035612509527</v>
      </c>
      <c r="L690" s="238">
        <v>927676.4</v>
      </c>
      <c r="M690" s="254">
        <v>72920.0</v>
      </c>
      <c r="N690" s="16">
        <v>55.0</v>
      </c>
      <c r="O690" s="17">
        <v>24.0</v>
      </c>
      <c r="P690" s="17">
        <v>34.0</v>
      </c>
      <c r="Q690" s="11">
        <v>3.8355704E7</v>
      </c>
      <c r="R690" s="11">
        <v>6.0</v>
      </c>
      <c r="S690" s="24" t="s">
        <v>39</v>
      </c>
      <c r="T690" s="249" t="s">
        <v>5979</v>
      </c>
      <c r="U690" s="17">
        <v>49.0</v>
      </c>
      <c r="V690" s="16">
        <v>73.0</v>
      </c>
      <c r="W690" s="16">
        <v>26.0</v>
      </c>
      <c r="X690" s="50">
        <v>72022.0</v>
      </c>
      <c r="Y690" s="250">
        <v>458.0</v>
      </c>
    </row>
    <row r="691">
      <c r="A691" s="11">
        <v>17.0</v>
      </c>
      <c r="B691" s="11">
        <v>75.0</v>
      </c>
      <c r="C691" s="253">
        <v>53.0</v>
      </c>
      <c r="D691" s="235">
        <v>47.0</v>
      </c>
      <c r="E691" s="235">
        <v>47.0</v>
      </c>
      <c r="F691" s="253">
        <v>53.0</v>
      </c>
      <c r="G691" s="235">
        <v>47.0</v>
      </c>
      <c r="H691" s="236">
        <v>2.7651551E7</v>
      </c>
      <c r="I691" s="16">
        <v>80.0</v>
      </c>
      <c r="J691" s="11">
        <v>9.0</v>
      </c>
      <c r="K691" s="11" t="str">
        <f t="shared" si="1"/>
        <v>00470027651551809</v>
      </c>
      <c r="L691" s="238">
        <v>2255.69</v>
      </c>
      <c r="M691" s="254">
        <v>51721.0</v>
      </c>
      <c r="N691" s="16">
        <v>10.0</v>
      </c>
      <c r="O691" s="17">
        <v>36.0</v>
      </c>
      <c r="P691" s="17">
        <v>14.0</v>
      </c>
      <c r="Q691" s="11">
        <v>3.2419917E7</v>
      </c>
      <c r="R691" s="11">
        <v>5.0</v>
      </c>
      <c r="S691" s="24" t="s">
        <v>48</v>
      </c>
      <c r="T691" s="249" t="s">
        <v>5980</v>
      </c>
      <c r="U691" s="17">
        <v>2.0</v>
      </c>
      <c r="V691" s="16">
        <v>15.0</v>
      </c>
      <c r="W691" s="16">
        <v>4.0</v>
      </c>
      <c r="X691" s="50">
        <v>13120.0</v>
      </c>
      <c r="Y691" s="250">
        <v>5330.0</v>
      </c>
    </row>
    <row r="692">
      <c r="A692" s="11">
        <v>15.0</v>
      </c>
      <c r="B692" s="11">
        <v>34.0</v>
      </c>
      <c r="C692" s="253">
        <v>2.0</v>
      </c>
      <c r="D692" s="235">
        <v>180.0</v>
      </c>
      <c r="E692" s="235">
        <v>180.0</v>
      </c>
      <c r="F692" s="253">
        <v>2.0</v>
      </c>
      <c r="G692" s="235">
        <v>180.0</v>
      </c>
      <c r="H692" s="236">
        <v>5.4573375E7</v>
      </c>
      <c r="I692" s="16">
        <v>51.0</v>
      </c>
      <c r="J692" s="11">
        <v>2.0</v>
      </c>
      <c r="K692" s="11" t="str">
        <f t="shared" si="1"/>
        <v>01800054573375512</v>
      </c>
      <c r="L692" s="238">
        <v>-71074.25</v>
      </c>
      <c r="M692" s="254">
        <v>11515.0</v>
      </c>
      <c r="N692" s="16">
        <v>28.0</v>
      </c>
      <c r="O692" s="17">
        <v>22.0</v>
      </c>
      <c r="P692" s="17">
        <v>14.0</v>
      </c>
      <c r="Q692" s="11">
        <v>6.8601111E7</v>
      </c>
      <c r="R692" s="11">
        <v>8.0</v>
      </c>
      <c r="S692" s="24" t="s">
        <v>39</v>
      </c>
      <c r="T692" s="249" t="s">
        <v>5981</v>
      </c>
      <c r="U692" s="17">
        <v>1.0</v>
      </c>
      <c r="V692" s="16">
        <v>25.0</v>
      </c>
      <c r="W692" s="16">
        <v>38.0</v>
      </c>
      <c r="X692" s="50">
        <v>72619.0</v>
      </c>
      <c r="Y692" s="250">
        <v>3565.0</v>
      </c>
    </row>
    <row r="693">
      <c r="A693" s="11">
        <v>11.0</v>
      </c>
      <c r="B693" s="11">
        <v>34.0</v>
      </c>
      <c r="C693" s="253">
        <v>40.0</v>
      </c>
      <c r="D693" s="235">
        <v>7.0</v>
      </c>
      <c r="E693" s="235">
        <v>7.0</v>
      </c>
      <c r="F693" s="253">
        <v>40.0</v>
      </c>
      <c r="G693" s="235">
        <v>7.0</v>
      </c>
      <c r="H693" s="236">
        <v>5.175189E7</v>
      </c>
      <c r="I693" s="16">
        <v>91.0</v>
      </c>
      <c r="J693" s="11">
        <v>6.0</v>
      </c>
      <c r="K693" s="11" t="str">
        <f t="shared" si="1"/>
        <v>00070051751890916</v>
      </c>
      <c r="L693" s="238">
        <v>1416.46</v>
      </c>
      <c r="M693" s="254">
        <v>20115.0</v>
      </c>
      <c r="N693" s="16">
        <v>38.0</v>
      </c>
      <c r="O693" s="17">
        <v>24.0</v>
      </c>
      <c r="P693" s="17">
        <v>75.0</v>
      </c>
      <c r="Q693" s="11">
        <v>2.8491932E7</v>
      </c>
      <c r="R693" s="11">
        <v>6.0</v>
      </c>
      <c r="S693" s="24" t="s">
        <v>29</v>
      </c>
      <c r="T693" s="249" t="s">
        <v>5982</v>
      </c>
      <c r="U693" s="17">
        <v>48.0</v>
      </c>
      <c r="V693" s="16">
        <v>77.0</v>
      </c>
      <c r="W693" s="16">
        <v>4.0</v>
      </c>
      <c r="X693" s="50">
        <v>61118.0</v>
      </c>
      <c r="Y693" s="250">
        <v>2512.0</v>
      </c>
    </row>
    <row r="694">
      <c r="A694" s="11">
        <v>19.0</v>
      </c>
      <c r="B694" s="11">
        <v>75.0</v>
      </c>
      <c r="C694" s="253">
        <v>41.0</v>
      </c>
      <c r="D694" s="235">
        <v>59.0</v>
      </c>
      <c r="E694" s="235">
        <v>59.0</v>
      </c>
      <c r="F694" s="253">
        <v>41.0</v>
      </c>
      <c r="G694" s="235">
        <v>59.0</v>
      </c>
      <c r="H694" s="236">
        <v>8.0533683E7</v>
      </c>
      <c r="I694" s="16">
        <v>38.0</v>
      </c>
      <c r="J694" s="11">
        <v>1.0</v>
      </c>
      <c r="K694" s="11" t="str">
        <f t="shared" si="1"/>
        <v>00590080533683381</v>
      </c>
      <c r="L694" s="238">
        <v>178.63</v>
      </c>
      <c r="M694" s="254">
        <v>71920.0</v>
      </c>
      <c r="N694" s="16">
        <v>87.0</v>
      </c>
      <c r="O694" s="17">
        <v>1.0</v>
      </c>
      <c r="P694" s="17">
        <v>95.0</v>
      </c>
      <c r="Q694" s="11">
        <v>2.3804692E7</v>
      </c>
      <c r="R694" s="11">
        <v>6.0</v>
      </c>
      <c r="S694" s="24" t="s">
        <v>39</v>
      </c>
      <c r="T694" s="249" t="s">
        <v>5983</v>
      </c>
      <c r="U694" s="17">
        <v>97.0</v>
      </c>
      <c r="V694" s="16">
        <v>31.0</v>
      </c>
      <c r="W694" s="16">
        <v>34.0</v>
      </c>
      <c r="X694" s="50">
        <v>70816.0</v>
      </c>
      <c r="Y694" s="250">
        <v>9774.0</v>
      </c>
    </row>
    <row r="695">
      <c r="A695" s="11">
        <v>10.0</v>
      </c>
      <c r="B695" s="11">
        <v>14.0</v>
      </c>
      <c r="C695" s="253">
        <v>39.0</v>
      </c>
      <c r="D695" s="235">
        <v>25.0</v>
      </c>
      <c r="E695" s="235">
        <v>25.0</v>
      </c>
      <c r="F695" s="253">
        <v>39.0</v>
      </c>
      <c r="G695" s="235">
        <v>25.0</v>
      </c>
      <c r="H695" s="236">
        <v>7.5610058E7</v>
      </c>
      <c r="I695" s="16">
        <v>39.0</v>
      </c>
      <c r="J695" s="11">
        <v>7.0</v>
      </c>
      <c r="K695" s="11" t="str">
        <f t="shared" si="1"/>
        <v>00250075610058397</v>
      </c>
      <c r="L695" s="238">
        <v>6921.82</v>
      </c>
      <c r="M695" s="254">
        <v>20718.0</v>
      </c>
      <c r="N695" s="16">
        <v>64.0</v>
      </c>
      <c r="O695" s="17">
        <v>9.0</v>
      </c>
      <c r="P695" s="17">
        <v>96.0</v>
      </c>
      <c r="Q695" s="11">
        <v>7.3669644E7</v>
      </c>
      <c r="R695" s="11">
        <v>6.0</v>
      </c>
      <c r="S695" s="24" t="s">
        <v>5292</v>
      </c>
      <c r="T695" s="249" t="s">
        <v>5984</v>
      </c>
      <c r="U695" s="17">
        <v>0.0</v>
      </c>
      <c r="V695" s="16">
        <v>18.0</v>
      </c>
      <c r="W695" s="16">
        <v>26.0</v>
      </c>
      <c r="X695" s="50">
        <v>91916.0</v>
      </c>
      <c r="Y695" s="250">
        <v>4333.0</v>
      </c>
    </row>
    <row r="696">
      <c r="A696" s="11">
        <v>10.0</v>
      </c>
      <c r="B696" s="11">
        <v>75.0</v>
      </c>
      <c r="C696" s="253">
        <v>1.0</v>
      </c>
      <c r="D696" s="235">
        <v>13.0</v>
      </c>
      <c r="E696" s="235">
        <v>13.0</v>
      </c>
      <c r="F696" s="253">
        <v>1.0</v>
      </c>
      <c r="G696" s="235">
        <v>13.0</v>
      </c>
      <c r="H696" s="236">
        <v>2.8655123E7</v>
      </c>
      <c r="I696" s="16">
        <v>5.0</v>
      </c>
      <c r="J696" s="11">
        <v>8.0</v>
      </c>
      <c r="K696" s="11" t="str">
        <f t="shared" si="1"/>
        <v>00130028655123058</v>
      </c>
      <c r="L696" s="238">
        <v>464.9</v>
      </c>
      <c r="M696" s="254">
        <v>41718.0</v>
      </c>
      <c r="N696" s="16">
        <v>39.0</v>
      </c>
      <c r="O696" s="17">
        <v>22.0</v>
      </c>
      <c r="P696" s="17">
        <v>55.0</v>
      </c>
      <c r="Q696" s="11">
        <v>4.0487561E7</v>
      </c>
      <c r="R696" s="11">
        <v>3.0</v>
      </c>
      <c r="S696" s="24" t="s">
        <v>29</v>
      </c>
      <c r="T696" s="249" t="s">
        <v>5985</v>
      </c>
      <c r="U696" s="17">
        <v>11.0</v>
      </c>
      <c r="V696" s="16">
        <v>29.0</v>
      </c>
      <c r="W696" s="16">
        <v>86.0</v>
      </c>
      <c r="X696" s="50">
        <v>10715.0</v>
      </c>
      <c r="Y696" s="250">
        <v>1271.0</v>
      </c>
    </row>
    <row r="697">
      <c r="A697" s="11">
        <v>17.0</v>
      </c>
      <c r="B697" s="11">
        <v>34.0</v>
      </c>
      <c r="C697" s="253">
        <v>8.0</v>
      </c>
      <c r="D697" s="235">
        <v>87.0</v>
      </c>
      <c r="E697" s="235">
        <v>87.0</v>
      </c>
      <c r="F697" s="253">
        <v>8.0</v>
      </c>
      <c r="G697" s="235">
        <v>87.0</v>
      </c>
      <c r="H697" s="236">
        <v>4.4416698E7</v>
      </c>
      <c r="I697" s="16">
        <v>80.0</v>
      </c>
      <c r="J697" s="11">
        <v>8.0</v>
      </c>
      <c r="K697" s="11" t="str">
        <f t="shared" si="1"/>
        <v>00870044416698808</v>
      </c>
      <c r="L697" s="238">
        <v>-581345.78</v>
      </c>
      <c r="M697" s="254">
        <v>110522.0</v>
      </c>
      <c r="N697" s="16">
        <v>32.0</v>
      </c>
      <c r="O697" s="17">
        <v>22.0</v>
      </c>
      <c r="P697" s="17">
        <v>14.0</v>
      </c>
      <c r="Q697" s="11">
        <v>5.2347101E7</v>
      </c>
      <c r="R697" s="11">
        <v>8.0</v>
      </c>
      <c r="S697" s="24" t="s">
        <v>39</v>
      </c>
      <c r="T697" s="249" t="s">
        <v>5986</v>
      </c>
      <c r="U697" s="17">
        <v>16.0</v>
      </c>
      <c r="V697" s="16">
        <v>11.0</v>
      </c>
      <c r="W697" s="16">
        <v>38.0</v>
      </c>
      <c r="X697" s="50">
        <v>10714.0</v>
      </c>
      <c r="Y697" s="250">
        <v>198.0</v>
      </c>
    </row>
    <row r="698">
      <c r="A698" s="11">
        <v>18.0</v>
      </c>
      <c r="B698" s="11">
        <v>55.0</v>
      </c>
      <c r="C698" s="253">
        <v>26.0</v>
      </c>
      <c r="D698" s="235">
        <v>163.0</v>
      </c>
      <c r="E698" s="235">
        <v>163.0</v>
      </c>
      <c r="F698" s="253">
        <v>26.0</v>
      </c>
      <c r="G698" s="235">
        <v>163.0</v>
      </c>
      <c r="H698" s="236">
        <v>2.9349848E7</v>
      </c>
      <c r="I698" s="16">
        <v>86.0</v>
      </c>
      <c r="J698" s="11">
        <v>9.0</v>
      </c>
      <c r="K698" s="11" t="str">
        <f t="shared" si="1"/>
        <v>01630029349848869</v>
      </c>
      <c r="L698" s="238">
        <v>1793.49</v>
      </c>
      <c r="M698" s="254">
        <v>82418.0</v>
      </c>
      <c r="N698" s="16">
        <v>41.0</v>
      </c>
      <c r="O698" s="17">
        <v>49.0</v>
      </c>
      <c r="P698" s="17">
        <v>34.0</v>
      </c>
      <c r="Q698" s="11">
        <v>7.6205748E7</v>
      </c>
      <c r="R698" s="11">
        <v>8.0</v>
      </c>
      <c r="S698" s="24" t="s">
        <v>29</v>
      </c>
      <c r="T698" s="249" t="s">
        <v>5987</v>
      </c>
      <c r="U698" s="17">
        <v>63.0</v>
      </c>
      <c r="V698" s="16">
        <v>70.0</v>
      </c>
      <c r="W698" s="16">
        <v>97.0</v>
      </c>
      <c r="X698" s="50">
        <v>112918.0</v>
      </c>
      <c r="Y698" s="250">
        <v>5133.0</v>
      </c>
    </row>
    <row r="699">
      <c r="A699" s="11">
        <v>16.0</v>
      </c>
      <c r="B699" s="11">
        <v>75.0</v>
      </c>
      <c r="C699" s="253">
        <v>46.0</v>
      </c>
      <c r="D699" s="235">
        <v>25.0</v>
      </c>
      <c r="E699" s="235">
        <v>25.0</v>
      </c>
      <c r="F699" s="253">
        <v>46.0</v>
      </c>
      <c r="G699" s="235">
        <v>25.0</v>
      </c>
      <c r="H699" s="236">
        <v>3.4311926E7</v>
      </c>
      <c r="I699" s="16">
        <v>44.0</v>
      </c>
      <c r="J699" s="11">
        <v>0.0</v>
      </c>
      <c r="K699" s="11" t="str">
        <f t="shared" si="1"/>
        <v>00250034311926440</v>
      </c>
      <c r="L699" s="238">
        <v>856.56</v>
      </c>
      <c r="M699" s="254">
        <v>92514.0</v>
      </c>
      <c r="N699" s="16">
        <v>90.0</v>
      </c>
      <c r="O699" s="17">
        <v>51.0</v>
      </c>
      <c r="P699" s="17">
        <v>14.0</v>
      </c>
      <c r="Q699" s="11">
        <v>6.7029584E7</v>
      </c>
      <c r="R699" s="11">
        <v>8.0</v>
      </c>
      <c r="S699" s="24" t="s">
        <v>39</v>
      </c>
      <c r="T699" s="249" t="s">
        <v>5988</v>
      </c>
      <c r="U699" s="17">
        <v>18.0</v>
      </c>
      <c r="V699" s="16">
        <v>66.0</v>
      </c>
      <c r="W699" s="16">
        <v>90.0</v>
      </c>
      <c r="X699" s="50">
        <v>12422.0</v>
      </c>
      <c r="Y699" s="250">
        <v>6319.0</v>
      </c>
    </row>
    <row r="700">
      <c r="A700" s="11">
        <v>20.0</v>
      </c>
      <c r="B700" s="11">
        <v>14.0</v>
      </c>
      <c r="C700" s="253">
        <v>17.0</v>
      </c>
      <c r="D700" s="235">
        <v>53.0</v>
      </c>
      <c r="E700" s="235">
        <v>53.0</v>
      </c>
      <c r="F700" s="253">
        <v>17.0</v>
      </c>
      <c r="G700" s="235">
        <v>53.0</v>
      </c>
      <c r="H700" s="236">
        <v>5.3188969E7</v>
      </c>
      <c r="I700" s="16">
        <v>93.0</v>
      </c>
      <c r="J700" s="11">
        <v>1.0</v>
      </c>
      <c r="K700" s="11" t="str">
        <f t="shared" si="1"/>
        <v>00530053188969931</v>
      </c>
      <c r="L700" s="238">
        <v>-6571.87</v>
      </c>
      <c r="M700" s="254">
        <v>72922.0</v>
      </c>
      <c r="N700" s="16">
        <v>61.0</v>
      </c>
      <c r="O700" s="17">
        <v>54.0</v>
      </c>
      <c r="P700" s="17">
        <v>96.0</v>
      </c>
      <c r="Q700" s="11">
        <v>8.6268992E7</v>
      </c>
      <c r="R700" s="11">
        <v>7.0</v>
      </c>
      <c r="S700" s="24" t="s">
        <v>29</v>
      </c>
      <c r="T700" s="249" t="s">
        <v>5989</v>
      </c>
      <c r="U700" s="17">
        <v>11.0</v>
      </c>
      <c r="V700" s="16">
        <v>90.0</v>
      </c>
      <c r="W700" s="16">
        <v>57.0</v>
      </c>
      <c r="X700" s="50">
        <v>92613.0</v>
      </c>
      <c r="Y700" s="250">
        <v>2766.0</v>
      </c>
    </row>
    <row r="701">
      <c r="A701" s="11">
        <v>12.0</v>
      </c>
      <c r="B701" s="11">
        <v>34.0</v>
      </c>
      <c r="C701" s="253">
        <v>48.0</v>
      </c>
      <c r="D701" s="235">
        <v>159.0</v>
      </c>
      <c r="E701" s="235">
        <v>159.0</v>
      </c>
      <c r="F701" s="253">
        <v>48.0</v>
      </c>
      <c r="G701" s="235">
        <v>159.0</v>
      </c>
      <c r="H701" s="236">
        <v>2.5635484E7</v>
      </c>
      <c r="I701" s="16">
        <v>93.0</v>
      </c>
      <c r="J701" s="11">
        <v>2.0</v>
      </c>
      <c r="K701" s="11" t="str">
        <f t="shared" si="1"/>
        <v>01590025635484932</v>
      </c>
      <c r="L701" s="238">
        <v>122555.53</v>
      </c>
      <c r="M701" s="254">
        <v>111119.0</v>
      </c>
      <c r="N701" s="16">
        <v>49.0</v>
      </c>
      <c r="O701" s="17">
        <v>53.0</v>
      </c>
      <c r="P701" s="17">
        <v>14.0</v>
      </c>
      <c r="Q701" s="11">
        <v>6.7672194E7</v>
      </c>
      <c r="R701" s="11">
        <v>5.0</v>
      </c>
      <c r="S701" s="24" t="s">
        <v>5292</v>
      </c>
      <c r="T701" s="249" t="s">
        <v>5990</v>
      </c>
      <c r="U701" s="17">
        <v>20.0</v>
      </c>
      <c r="V701" s="16">
        <v>68.0</v>
      </c>
      <c r="W701" s="16">
        <v>58.0</v>
      </c>
      <c r="X701" s="50">
        <v>30117.0</v>
      </c>
      <c r="Y701" s="250">
        <v>7348.0</v>
      </c>
    </row>
    <row r="702">
      <c r="A702" s="11">
        <v>11.0</v>
      </c>
      <c r="B702" s="11">
        <v>96.0</v>
      </c>
      <c r="C702" s="253">
        <v>17.0</v>
      </c>
      <c r="D702" s="235">
        <v>41.0</v>
      </c>
      <c r="E702" s="235">
        <v>41.0</v>
      </c>
      <c r="F702" s="253">
        <v>17.0</v>
      </c>
      <c r="G702" s="235">
        <v>41.0</v>
      </c>
      <c r="H702" s="236">
        <v>6.9466022E7</v>
      </c>
      <c r="I702" s="16">
        <v>29.0</v>
      </c>
      <c r="J702" s="11">
        <v>1.0</v>
      </c>
      <c r="K702" s="11" t="str">
        <f t="shared" si="1"/>
        <v>00410069466022291</v>
      </c>
      <c r="L702" s="238">
        <v>711.26</v>
      </c>
      <c r="M702" s="254">
        <v>10617.0</v>
      </c>
      <c r="N702" s="16">
        <v>54.0</v>
      </c>
      <c r="O702" s="17">
        <v>21.0</v>
      </c>
      <c r="P702" s="17">
        <v>34.0</v>
      </c>
      <c r="Q702" s="11">
        <v>8.6121443E7</v>
      </c>
      <c r="R702" s="11">
        <v>6.0</v>
      </c>
      <c r="S702" s="24" t="s">
        <v>39</v>
      </c>
      <c r="T702" s="249" t="s">
        <v>5991</v>
      </c>
      <c r="U702" s="17">
        <v>70.0</v>
      </c>
      <c r="V702" s="16">
        <v>60.0</v>
      </c>
      <c r="W702" s="16">
        <v>93.0</v>
      </c>
      <c r="X702" s="50">
        <v>120215.0</v>
      </c>
      <c r="Y702" s="250">
        <v>5385.0</v>
      </c>
    </row>
    <row r="703">
      <c r="A703" s="11">
        <v>17.0</v>
      </c>
      <c r="B703" s="11">
        <v>96.0</v>
      </c>
      <c r="C703" s="253">
        <v>56.0</v>
      </c>
      <c r="D703" s="235">
        <v>9.0</v>
      </c>
      <c r="E703" s="235">
        <v>9.0</v>
      </c>
      <c r="F703" s="253">
        <v>56.0</v>
      </c>
      <c r="G703" s="235">
        <v>9.0</v>
      </c>
      <c r="H703" s="236">
        <v>9.682094E7</v>
      </c>
      <c r="I703" s="16">
        <v>91.0</v>
      </c>
      <c r="J703" s="11">
        <v>8.0</v>
      </c>
      <c r="K703" s="11" t="str">
        <f t="shared" si="1"/>
        <v>00090096820940918</v>
      </c>
      <c r="L703" s="238">
        <v>246596.39</v>
      </c>
      <c r="M703" s="254">
        <v>31017.0</v>
      </c>
      <c r="N703" s="16">
        <v>66.0</v>
      </c>
      <c r="O703" s="17">
        <v>40.0</v>
      </c>
      <c r="P703" s="17">
        <v>55.0</v>
      </c>
      <c r="Q703" s="11">
        <v>5.0089103E7</v>
      </c>
      <c r="R703" s="11">
        <v>2.0</v>
      </c>
      <c r="S703" s="24" t="s">
        <v>5292</v>
      </c>
      <c r="T703" s="249" t="s">
        <v>5992</v>
      </c>
      <c r="U703" s="17">
        <v>18.0</v>
      </c>
      <c r="V703" s="16">
        <v>6.0</v>
      </c>
      <c r="W703" s="16">
        <v>36.0</v>
      </c>
      <c r="X703" s="50">
        <v>92013.0</v>
      </c>
      <c r="Y703" s="250">
        <v>6228.0</v>
      </c>
    </row>
    <row r="704">
      <c r="A704" s="11">
        <v>17.0</v>
      </c>
      <c r="B704" s="11">
        <v>75.0</v>
      </c>
      <c r="C704" s="253">
        <v>2.0</v>
      </c>
      <c r="D704" s="235">
        <v>16.0</v>
      </c>
      <c r="E704" s="235">
        <v>16.0</v>
      </c>
      <c r="F704" s="253">
        <v>2.0</v>
      </c>
      <c r="G704" s="235">
        <v>16.0</v>
      </c>
      <c r="H704" s="236">
        <v>1.5432261E7</v>
      </c>
      <c r="I704" s="16">
        <v>44.0</v>
      </c>
      <c r="J704" s="11">
        <v>3.0</v>
      </c>
      <c r="K704" s="11" t="str">
        <f t="shared" si="1"/>
        <v>00160015432261443</v>
      </c>
      <c r="L704" s="238">
        <v>124.18</v>
      </c>
      <c r="M704" s="254">
        <v>71913.0</v>
      </c>
      <c r="N704" s="16">
        <v>68.0</v>
      </c>
      <c r="O704" s="17">
        <v>8.0</v>
      </c>
      <c r="P704" s="17">
        <v>96.0</v>
      </c>
      <c r="Q704" s="11">
        <v>3.6546942E7</v>
      </c>
      <c r="R704" s="11">
        <v>2.0</v>
      </c>
      <c r="S704" s="24" t="s">
        <v>5292</v>
      </c>
      <c r="T704" s="249" t="s">
        <v>5993</v>
      </c>
      <c r="U704" s="17">
        <v>16.0</v>
      </c>
      <c r="V704" s="16">
        <v>29.0</v>
      </c>
      <c r="W704" s="16">
        <v>70.0</v>
      </c>
      <c r="X704" s="50">
        <v>51617.0</v>
      </c>
      <c r="Y704" s="250">
        <v>5244.0</v>
      </c>
    </row>
    <row r="705">
      <c r="A705" s="11">
        <v>18.0</v>
      </c>
      <c r="B705" s="11">
        <v>96.0</v>
      </c>
      <c r="C705" s="253">
        <v>5.0</v>
      </c>
      <c r="D705" s="235">
        <v>115.0</v>
      </c>
      <c r="E705" s="235">
        <v>115.0</v>
      </c>
      <c r="F705" s="253">
        <v>5.0</v>
      </c>
      <c r="G705" s="235">
        <v>115.0</v>
      </c>
      <c r="H705" s="236">
        <v>7.1115351E7</v>
      </c>
      <c r="I705" s="16">
        <v>59.0</v>
      </c>
      <c r="J705" s="11">
        <v>3.0</v>
      </c>
      <c r="K705" s="11" t="str">
        <f t="shared" si="1"/>
        <v>01150071115351593</v>
      </c>
      <c r="L705" s="238">
        <v>85087.42</v>
      </c>
      <c r="M705" s="254">
        <v>110119.0</v>
      </c>
      <c r="N705" s="16">
        <v>20.0</v>
      </c>
      <c r="O705" s="17">
        <v>9.0</v>
      </c>
      <c r="P705" s="17">
        <v>34.0</v>
      </c>
      <c r="Q705" s="11">
        <v>2.0308643E7</v>
      </c>
      <c r="R705" s="11">
        <v>6.0</v>
      </c>
      <c r="S705" s="24" t="s">
        <v>5292</v>
      </c>
      <c r="T705" s="249" t="s">
        <v>5994</v>
      </c>
      <c r="U705" s="17">
        <v>73.0</v>
      </c>
      <c r="V705" s="16">
        <v>21.0</v>
      </c>
      <c r="W705" s="16">
        <v>73.0</v>
      </c>
      <c r="X705" s="50">
        <v>31915.0</v>
      </c>
      <c r="Y705" s="250">
        <v>4634.0</v>
      </c>
    </row>
    <row r="706">
      <c r="A706" s="11">
        <v>19.0</v>
      </c>
      <c r="B706" s="11">
        <v>75.0</v>
      </c>
      <c r="C706" s="253">
        <v>13.0</v>
      </c>
      <c r="D706" s="235">
        <v>221.0</v>
      </c>
      <c r="E706" s="235">
        <v>221.0</v>
      </c>
      <c r="F706" s="253">
        <v>13.0</v>
      </c>
      <c r="G706" s="235">
        <v>221.0</v>
      </c>
      <c r="H706" s="236">
        <v>9.2992249E7</v>
      </c>
      <c r="I706" s="16">
        <v>10.0</v>
      </c>
      <c r="J706" s="11">
        <v>4.0</v>
      </c>
      <c r="K706" s="11" t="str">
        <f t="shared" si="1"/>
        <v>02210092992249104</v>
      </c>
      <c r="L706" s="238">
        <v>4705.98</v>
      </c>
      <c r="M706" s="254">
        <v>12219.0</v>
      </c>
      <c r="N706" s="16">
        <v>37.0</v>
      </c>
      <c r="O706" s="17">
        <v>8.0</v>
      </c>
      <c r="P706" s="17">
        <v>96.0</v>
      </c>
      <c r="Q706" s="11">
        <v>7.5384788E7</v>
      </c>
      <c r="R706" s="11">
        <v>5.0</v>
      </c>
      <c r="S706" s="24" t="s">
        <v>29</v>
      </c>
      <c r="T706" s="249" t="s">
        <v>5995</v>
      </c>
      <c r="U706" s="17">
        <v>19.0</v>
      </c>
      <c r="V706" s="16">
        <v>57.0</v>
      </c>
      <c r="W706" s="16">
        <v>45.0</v>
      </c>
      <c r="X706" s="50">
        <v>110713.0</v>
      </c>
      <c r="Y706" s="250">
        <v>4011.0</v>
      </c>
    </row>
    <row r="707">
      <c r="A707" s="11">
        <v>17.0</v>
      </c>
      <c r="B707" s="11">
        <v>14.0</v>
      </c>
      <c r="C707" s="253">
        <v>13.0</v>
      </c>
      <c r="D707" s="235">
        <v>227.0</v>
      </c>
      <c r="E707" s="235">
        <v>227.0</v>
      </c>
      <c r="F707" s="253">
        <v>13.0</v>
      </c>
      <c r="G707" s="235">
        <v>227.0</v>
      </c>
      <c r="H707" s="236">
        <v>2.8654046E7</v>
      </c>
      <c r="I707" s="16">
        <v>80.0</v>
      </c>
      <c r="J707" s="11">
        <v>8.0</v>
      </c>
      <c r="K707" s="11" t="str">
        <f t="shared" si="1"/>
        <v>02270028654046808</v>
      </c>
      <c r="L707" s="238">
        <v>-989432.53</v>
      </c>
      <c r="M707" s="254">
        <v>10220.0</v>
      </c>
      <c r="N707" s="16">
        <v>74.0</v>
      </c>
      <c r="O707" s="17">
        <v>49.0</v>
      </c>
      <c r="P707" s="17">
        <v>14.0</v>
      </c>
      <c r="Q707" s="11">
        <v>8.1528498E7</v>
      </c>
      <c r="R707" s="11">
        <v>7.0</v>
      </c>
      <c r="S707" s="24" t="s">
        <v>29</v>
      </c>
      <c r="T707" s="249" t="s">
        <v>5996</v>
      </c>
      <c r="U707" s="17">
        <v>30.0</v>
      </c>
      <c r="V707" s="16">
        <v>51.0</v>
      </c>
      <c r="W707" s="16">
        <v>21.0</v>
      </c>
      <c r="X707" s="50">
        <v>33116.0</v>
      </c>
      <c r="Y707" s="250">
        <v>4796.0</v>
      </c>
    </row>
    <row r="708">
      <c r="A708" s="11">
        <v>10.0</v>
      </c>
      <c r="B708" s="11">
        <v>75.0</v>
      </c>
      <c r="C708" s="253">
        <v>29.0</v>
      </c>
      <c r="D708" s="235">
        <v>31.0</v>
      </c>
      <c r="E708" s="235">
        <v>31.0</v>
      </c>
      <c r="F708" s="253">
        <v>29.0</v>
      </c>
      <c r="G708" s="235">
        <v>31.0</v>
      </c>
      <c r="H708" s="236">
        <v>7.162256E7</v>
      </c>
      <c r="I708" s="16">
        <v>87.0</v>
      </c>
      <c r="J708" s="11">
        <v>0.0</v>
      </c>
      <c r="K708" s="11" t="str">
        <f t="shared" si="1"/>
        <v>00310071622560870</v>
      </c>
      <c r="L708" s="238">
        <v>138.4</v>
      </c>
      <c r="M708" s="254">
        <v>111223.0</v>
      </c>
      <c r="N708" s="16">
        <v>73.0</v>
      </c>
      <c r="O708" s="17">
        <v>16.0</v>
      </c>
      <c r="P708" s="17">
        <v>34.0</v>
      </c>
      <c r="Q708" s="11">
        <v>8.8461903E7</v>
      </c>
      <c r="R708" s="11">
        <v>2.0</v>
      </c>
      <c r="S708" s="24" t="s">
        <v>48</v>
      </c>
      <c r="T708" s="249" t="s">
        <v>5997</v>
      </c>
      <c r="U708" s="17">
        <v>78.0</v>
      </c>
      <c r="V708" s="16">
        <v>69.0</v>
      </c>
      <c r="W708" s="16">
        <v>29.0</v>
      </c>
      <c r="X708" s="50">
        <v>22217.0</v>
      </c>
      <c r="Y708" s="250">
        <v>3527.0</v>
      </c>
    </row>
    <row r="709">
      <c r="A709" s="11">
        <v>16.0</v>
      </c>
      <c r="B709" s="11">
        <v>55.0</v>
      </c>
      <c r="C709" s="253">
        <v>47.0</v>
      </c>
      <c r="D709" s="235">
        <v>113.0</v>
      </c>
      <c r="E709" s="235">
        <v>113.0</v>
      </c>
      <c r="F709" s="253">
        <v>47.0</v>
      </c>
      <c r="G709" s="235">
        <v>113.0</v>
      </c>
      <c r="H709" s="236">
        <v>4.2244831E7</v>
      </c>
      <c r="I709" s="16">
        <v>29.0</v>
      </c>
      <c r="J709" s="11">
        <v>2.0</v>
      </c>
      <c r="K709" s="11" t="str">
        <f t="shared" si="1"/>
        <v>01130042244831292</v>
      </c>
      <c r="L709" s="238">
        <v>94887.81</v>
      </c>
      <c r="M709" s="254">
        <v>112416.0</v>
      </c>
      <c r="N709" s="16">
        <v>17.0</v>
      </c>
      <c r="O709" s="17">
        <v>55.0</v>
      </c>
      <c r="P709" s="17">
        <v>96.0</v>
      </c>
      <c r="Q709" s="11">
        <v>1.639971E7</v>
      </c>
      <c r="R709" s="11">
        <v>0.0</v>
      </c>
      <c r="S709" s="24" t="s">
        <v>48</v>
      </c>
      <c r="T709" s="249" t="s">
        <v>5998</v>
      </c>
      <c r="U709" s="17">
        <v>23.0</v>
      </c>
      <c r="V709" s="16">
        <v>55.0</v>
      </c>
      <c r="W709" s="16">
        <v>6.0</v>
      </c>
      <c r="X709" s="50">
        <v>81222.0</v>
      </c>
      <c r="Y709" s="250">
        <v>2124.0</v>
      </c>
    </row>
    <row r="710">
      <c r="A710" s="11">
        <v>16.0</v>
      </c>
      <c r="B710" s="11">
        <v>14.0</v>
      </c>
      <c r="C710" s="253">
        <v>29.0</v>
      </c>
      <c r="D710" s="235">
        <v>151.0</v>
      </c>
      <c r="E710" s="235">
        <v>151.0</v>
      </c>
      <c r="F710" s="253">
        <v>29.0</v>
      </c>
      <c r="G710" s="235">
        <v>151.0</v>
      </c>
      <c r="H710" s="236">
        <v>5.4917549E7</v>
      </c>
      <c r="I710" s="16">
        <v>28.0</v>
      </c>
      <c r="J710" s="11">
        <v>9.0</v>
      </c>
      <c r="K710" s="11" t="str">
        <f t="shared" si="1"/>
        <v>01510054917549289</v>
      </c>
      <c r="L710" s="238">
        <v>-5645.68</v>
      </c>
      <c r="M710" s="254">
        <v>52817.0</v>
      </c>
      <c r="N710" s="16">
        <v>88.0</v>
      </c>
      <c r="O710" s="17">
        <v>42.0</v>
      </c>
      <c r="P710" s="17">
        <v>14.0</v>
      </c>
      <c r="Q710" s="11">
        <v>8.8882381E7</v>
      </c>
      <c r="R710" s="11">
        <v>3.0</v>
      </c>
      <c r="S710" s="24" t="s">
        <v>39</v>
      </c>
      <c r="T710" s="249" t="s">
        <v>5999</v>
      </c>
      <c r="U710" s="17">
        <v>32.0</v>
      </c>
      <c r="V710" s="16">
        <v>37.0</v>
      </c>
      <c r="W710" s="16">
        <v>46.0</v>
      </c>
      <c r="X710" s="50">
        <v>50917.0</v>
      </c>
      <c r="Y710" s="250">
        <v>4155.0</v>
      </c>
    </row>
    <row r="711">
      <c r="A711" s="11">
        <v>18.0</v>
      </c>
      <c r="B711" s="11">
        <v>75.0</v>
      </c>
      <c r="C711" s="253">
        <v>55.0</v>
      </c>
      <c r="D711" s="235">
        <v>103.0</v>
      </c>
      <c r="E711" s="235">
        <v>103.0</v>
      </c>
      <c r="F711" s="253">
        <v>55.0</v>
      </c>
      <c r="G711" s="235">
        <v>103.0</v>
      </c>
      <c r="H711" s="236">
        <v>7.4655144E7</v>
      </c>
      <c r="I711" s="16">
        <v>95.0</v>
      </c>
      <c r="J711" s="11">
        <v>6.0</v>
      </c>
      <c r="K711" s="11" t="str">
        <f t="shared" si="1"/>
        <v>01030074655144956</v>
      </c>
      <c r="L711" s="238">
        <v>329.6</v>
      </c>
      <c r="M711" s="254">
        <v>31616.0</v>
      </c>
      <c r="N711" s="16">
        <v>62.0</v>
      </c>
      <c r="O711" s="17">
        <v>32.0</v>
      </c>
      <c r="P711" s="17">
        <v>55.0</v>
      </c>
      <c r="Q711" s="11">
        <v>2.0302406E7</v>
      </c>
      <c r="R711" s="11">
        <v>3.0</v>
      </c>
      <c r="S711" s="24" t="s">
        <v>29</v>
      </c>
      <c r="T711" s="249" t="s">
        <v>6000</v>
      </c>
      <c r="U711" s="17">
        <v>27.0</v>
      </c>
      <c r="V711" s="16">
        <v>15.0</v>
      </c>
      <c r="W711" s="16">
        <v>32.0</v>
      </c>
      <c r="X711" s="50">
        <v>42817.0</v>
      </c>
      <c r="Y711" s="250">
        <v>4132.0</v>
      </c>
    </row>
    <row r="712">
      <c r="A712" s="11">
        <v>13.0</v>
      </c>
      <c r="B712" s="11">
        <v>14.0</v>
      </c>
      <c r="C712" s="253">
        <v>1.0</v>
      </c>
      <c r="D712" s="235">
        <v>23.0</v>
      </c>
      <c r="E712" s="235">
        <v>23.0</v>
      </c>
      <c r="F712" s="253">
        <v>1.0</v>
      </c>
      <c r="G712" s="235">
        <v>23.0</v>
      </c>
      <c r="H712" s="236">
        <v>4.7218193E7</v>
      </c>
      <c r="I712" s="16">
        <v>97.0</v>
      </c>
      <c r="J712" s="11">
        <v>2.0</v>
      </c>
      <c r="K712" s="11" t="str">
        <f t="shared" si="1"/>
        <v>00230047218193972</v>
      </c>
      <c r="L712" s="238">
        <v>52680.42</v>
      </c>
      <c r="M712" s="254">
        <v>90117.0</v>
      </c>
      <c r="N712" s="16">
        <v>45.0</v>
      </c>
      <c r="O712" s="17">
        <v>51.0</v>
      </c>
      <c r="P712" s="17">
        <v>75.0</v>
      </c>
      <c r="Q712" s="11">
        <v>5.6315817E7</v>
      </c>
      <c r="R712" s="11">
        <v>1.0</v>
      </c>
      <c r="S712" s="24" t="s">
        <v>29</v>
      </c>
      <c r="T712" s="249" t="s">
        <v>6001</v>
      </c>
      <c r="U712" s="17">
        <v>80.0</v>
      </c>
      <c r="V712" s="16">
        <v>9.0</v>
      </c>
      <c r="W712" s="16">
        <v>89.0</v>
      </c>
      <c r="X712" s="50">
        <v>11816.0</v>
      </c>
      <c r="Y712" s="250">
        <v>1855.0</v>
      </c>
    </row>
    <row r="713">
      <c r="A713" s="11">
        <v>12.0</v>
      </c>
      <c r="B713" s="11">
        <v>34.0</v>
      </c>
      <c r="C713" s="253">
        <v>45.0</v>
      </c>
      <c r="D713" s="235">
        <v>79.0</v>
      </c>
      <c r="E713" s="235">
        <v>79.0</v>
      </c>
      <c r="F713" s="253">
        <v>45.0</v>
      </c>
      <c r="G713" s="235">
        <v>79.0</v>
      </c>
      <c r="H713" s="236">
        <v>2.1886415E7</v>
      </c>
      <c r="I713" s="16">
        <v>55.0</v>
      </c>
      <c r="J713" s="11">
        <v>0.0</v>
      </c>
      <c r="K713" s="11" t="str">
        <f t="shared" si="1"/>
        <v>00790021886415550</v>
      </c>
      <c r="L713" s="238">
        <v>-9881.26</v>
      </c>
      <c r="M713" s="254">
        <v>110918.0</v>
      </c>
      <c r="N713" s="16">
        <v>34.0</v>
      </c>
      <c r="O713" s="17">
        <v>51.0</v>
      </c>
      <c r="P713" s="17">
        <v>75.0</v>
      </c>
      <c r="Q713" s="11">
        <v>7.50252E7</v>
      </c>
      <c r="R713" s="11">
        <v>8.0</v>
      </c>
      <c r="S713" s="24" t="s">
        <v>29</v>
      </c>
      <c r="T713" s="249" t="s">
        <v>6002</v>
      </c>
      <c r="U713" s="17">
        <v>81.0</v>
      </c>
      <c r="V713" s="16">
        <v>10.0</v>
      </c>
      <c r="W713" s="16">
        <v>83.0</v>
      </c>
      <c r="X713" s="50">
        <v>91822.0</v>
      </c>
      <c r="Y713" s="250">
        <v>9720.0</v>
      </c>
    </row>
    <row r="714">
      <c r="A714" s="11">
        <v>16.0</v>
      </c>
      <c r="B714" s="11">
        <v>75.0</v>
      </c>
      <c r="C714" s="253">
        <v>27.0</v>
      </c>
      <c r="D714" s="235">
        <v>97.0</v>
      </c>
      <c r="E714" s="235">
        <v>97.0</v>
      </c>
      <c r="F714" s="253">
        <v>27.0</v>
      </c>
      <c r="G714" s="235">
        <v>97.0</v>
      </c>
      <c r="H714" s="236">
        <v>4.9988195E7</v>
      </c>
      <c r="I714" s="16">
        <v>22.0</v>
      </c>
      <c r="J714" s="11">
        <v>9.0</v>
      </c>
      <c r="K714" s="11" t="str">
        <f t="shared" si="1"/>
        <v>00970049988195229</v>
      </c>
      <c r="L714" s="238">
        <v>45155.79</v>
      </c>
      <c r="M714" s="254">
        <v>53113.0</v>
      </c>
      <c r="N714" s="16">
        <v>46.0</v>
      </c>
      <c r="O714" s="17">
        <v>40.0</v>
      </c>
      <c r="P714" s="17">
        <v>14.0</v>
      </c>
      <c r="Q714" s="11">
        <v>3.2235917E7</v>
      </c>
      <c r="R714" s="11">
        <v>4.0</v>
      </c>
      <c r="S714" s="24" t="s">
        <v>5292</v>
      </c>
      <c r="T714" s="249" t="s">
        <v>6003</v>
      </c>
      <c r="U714" s="17">
        <v>38.0</v>
      </c>
      <c r="V714" s="16">
        <v>64.0</v>
      </c>
      <c r="W714" s="16">
        <v>23.0</v>
      </c>
      <c r="X714" s="50">
        <v>113018.0</v>
      </c>
      <c r="Y714" s="250">
        <v>8997.0</v>
      </c>
    </row>
    <row r="715">
      <c r="A715" s="11">
        <v>17.0</v>
      </c>
      <c r="B715" s="11">
        <v>75.0</v>
      </c>
      <c r="C715" s="253">
        <v>46.0</v>
      </c>
      <c r="D715" s="235">
        <v>123.0</v>
      </c>
      <c r="E715" s="235">
        <v>123.0</v>
      </c>
      <c r="F715" s="253">
        <v>46.0</v>
      </c>
      <c r="G715" s="235">
        <v>123.0</v>
      </c>
      <c r="H715" s="236">
        <v>3.8773921E7</v>
      </c>
      <c r="I715" s="16">
        <v>86.0</v>
      </c>
      <c r="J715" s="11">
        <v>7.0</v>
      </c>
      <c r="K715" s="11" t="str">
        <f t="shared" si="1"/>
        <v>01230038773921867</v>
      </c>
      <c r="L715" s="238">
        <v>114113.4</v>
      </c>
      <c r="M715" s="254">
        <v>112318.0</v>
      </c>
      <c r="N715" s="16">
        <v>19.0</v>
      </c>
      <c r="O715" s="17">
        <v>8.0</v>
      </c>
      <c r="P715" s="17">
        <v>55.0</v>
      </c>
      <c r="Q715" s="11">
        <v>6.5638981E7</v>
      </c>
      <c r="R715" s="11">
        <v>0.0</v>
      </c>
      <c r="S715" s="24" t="s">
        <v>5292</v>
      </c>
      <c r="T715" s="249" t="s">
        <v>6004</v>
      </c>
      <c r="U715" s="17">
        <v>35.0</v>
      </c>
      <c r="V715" s="16">
        <v>33.0</v>
      </c>
      <c r="W715" s="16">
        <v>86.0</v>
      </c>
      <c r="X715" s="50">
        <v>111622.0</v>
      </c>
      <c r="Y715" s="250">
        <v>6663.0</v>
      </c>
    </row>
    <row r="716">
      <c r="A716" s="11">
        <v>14.0</v>
      </c>
      <c r="B716" s="11">
        <v>55.0</v>
      </c>
      <c r="C716" s="253">
        <v>22.0</v>
      </c>
      <c r="D716" s="235">
        <v>71.0</v>
      </c>
      <c r="E716" s="235">
        <v>71.0</v>
      </c>
      <c r="F716" s="253">
        <v>22.0</v>
      </c>
      <c r="G716" s="235">
        <v>71.0</v>
      </c>
      <c r="H716" s="236">
        <v>3.3424426E7</v>
      </c>
      <c r="I716" s="16">
        <v>47.0</v>
      </c>
      <c r="J716" s="11">
        <v>9.0</v>
      </c>
      <c r="K716" s="11" t="str">
        <f t="shared" si="1"/>
        <v>00710033424426479</v>
      </c>
      <c r="L716" s="238">
        <v>-16439.29</v>
      </c>
      <c r="M716" s="254">
        <v>50420.0</v>
      </c>
      <c r="N716" s="16">
        <v>74.0</v>
      </c>
      <c r="O716" s="17">
        <v>45.0</v>
      </c>
      <c r="P716" s="17">
        <v>75.0</v>
      </c>
      <c r="Q716" s="11">
        <v>1.5792771E7</v>
      </c>
      <c r="R716" s="11">
        <v>6.0</v>
      </c>
      <c r="S716" s="24" t="s">
        <v>29</v>
      </c>
      <c r="T716" s="249" t="s">
        <v>6005</v>
      </c>
      <c r="U716" s="17">
        <v>84.0</v>
      </c>
      <c r="V716" s="16">
        <v>44.0</v>
      </c>
      <c r="W716" s="16">
        <v>48.0</v>
      </c>
      <c r="X716" s="50">
        <v>71922.0</v>
      </c>
      <c r="Y716" s="250">
        <v>3470.0</v>
      </c>
    </row>
    <row r="717">
      <c r="A717" s="11">
        <v>16.0</v>
      </c>
      <c r="B717" s="11">
        <v>75.0</v>
      </c>
      <c r="C717" s="253">
        <v>37.0</v>
      </c>
      <c r="D717" s="235">
        <v>171.0</v>
      </c>
      <c r="E717" s="235">
        <v>171.0</v>
      </c>
      <c r="F717" s="253">
        <v>37.0</v>
      </c>
      <c r="G717" s="235">
        <v>171.0</v>
      </c>
      <c r="H717" s="236">
        <v>8.9789675E7</v>
      </c>
      <c r="I717" s="16">
        <v>6.0</v>
      </c>
      <c r="J717" s="11">
        <v>2.0</v>
      </c>
      <c r="K717" s="11" t="str">
        <f t="shared" si="1"/>
        <v>01710089789675062</v>
      </c>
      <c r="L717" s="238">
        <v>647.7</v>
      </c>
      <c r="M717" s="254">
        <v>120815.0</v>
      </c>
      <c r="N717" s="16">
        <v>59.0</v>
      </c>
      <c r="O717" s="17">
        <v>51.0</v>
      </c>
      <c r="P717" s="17">
        <v>55.0</v>
      </c>
      <c r="Q717" s="11">
        <v>1.8515024E7</v>
      </c>
      <c r="R717" s="11">
        <v>9.0</v>
      </c>
      <c r="S717" s="24" t="s">
        <v>48</v>
      </c>
      <c r="T717" s="249" t="s">
        <v>6006</v>
      </c>
      <c r="U717" s="17">
        <v>37.0</v>
      </c>
      <c r="V717" s="16">
        <v>46.0</v>
      </c>
      <c r="W717" s="16">
        <v>25.0</v>
      </c>
      <c r="X717" s="50">
        <v>40321.0</v>
      </c>
      <c r="Y717" s="250">
        <v>8985.0</v>
      </c>
    </row>
    <row r="718">
      <c r="A718" s="11">
        <v>15.0</v>
      </c>
      <c r="B718" s="11">
        <v>75.0</v>
      </c>
      <c r="C718" s="253">
        <v>30.0</v>
      </c>
      <c r="D718" s="235">
        <v>49.0</v>
      </c>
      <c r="E718" s="235">
        <v>49.0</v>
      </c>
      <c r="F718" s="253">
        <v>30.0</v>
      </c>
      <c r="G718" s="235">
        <v>49.0</v>
      </c>
      <c r="H718" s="236">
        <v>6.0056237E7</v>
      </c>
      <c r="I718" s="16">
        <v>38.0</v>
      </c>
      <c r="J718" s="11">
        <v>1.0</v>
      </c>
      <c r="K718" s="11" t="str">
        <f t="shared" si="1"/>
        <v>00490060056237381</v>
      </c>
      <c r="L718" s="238">
        <v>925.77</v>
      </c>
      <c r="M718" s="254">
        <v>93019.0</v>
      </c>
      <c r="N718" s="16">
        <v>76.0</v>
      </c>
      <c r="O718" s="17">
        <v>9.0</v>
      </c>
      <c r="P718" s="17">
        <v>75.0</v>
      </c>
      <c r="Q718" s="11">
        <v>1.5783235E7</v>
      </c>
      <c r="R718" s="11">
        <v>8.0</v>
      </c>
      <c r="S718" s="24" t="s">
        <v>5292</v>
      </c>
      <c r="T718" s="249" t="s">
        <v>6007</v>
      </c>
      <c r="U718" s="17">
        <v>88.0</v>
      </c>
      <c r="V718" s="16">
        <v>56.0</v>
      </c>
      <c r="W718" s="16">
        <v>99.0</v>
      </c>
      <c r="X718" s="50">
        <v>50617.0</v>
      </c>
      <c r="Y718" s="250">
        <v>952.0</v>
      </c>
    </row>
    <row r="719">
      <c r="A719" s="11">
        <v>18.0</v>
      </c>
      <c r="B719" s="11">
        <v>96.0</v>
      </c>
      <c r="C719" s="253">
        <v>20.0</v>
      </c>
      <c r="D719" s="235">
        <v>185.0</v>
      </c>
      <c r="E719" s="235">
        <v>185.0</v>
      </c>
      <c r="F719" s="253">
        <v>20.0</v>
      </c>
      <c r="G719" s="235">
        <v>185.0</v>
      </c>
      <c r="H719" s="236">
        <v>5.8453434E7</v>
      </c>
      <c r="I719" s="16">
        <v>65.0</v>
      </c>
      <c r="J719" s="11">
        <v>9.0</v>
      </c>
      <c r="K719" s="11" t="str">
        <f t="shared" si="1"/>
        <v>01850058453434659</v>
      </c>
      <c r="L719" s="238">
        <v>514.33</v>
      </c>
      <c r="M719" s="254">
        <v>122321.0</v>
      </c>
      <c r="N719" s="16">
        <v>47.0</v>
      </c>
      <c r="O719" s="17">
        <v>53.0</v>
      </c>
      <c r="P719" s="17">
        <v>14.0</v>
      </c>
      <c r="Q719" s="11">
        <v>5.835264E7</v>
      </c>
      <c r="R719" s="11">
        <v>2.0</v>
      </c>
      <c r="S719" s="24" t="s">
        <v>29</v>
      </c>
      <c r="T719" s="249" t="s">
        <v>6008</v>
      </c>
      <c r="U719" s="17">
        <v>46.0</v>
      </c>
      <c r="V719" s="16">
        <v>43.0</v>
      </c>
      <c r="W719" s="16">
        <v>42.0</v>
      </c>
      <c r="X719" s="50">
        <v>42315.0</v>
      </c>
      <c r="Y719" s="250">
        <v>276.0</v>
      </c>
    </row>
    <row r="720">
      <c r="A720" s="11">
        <v>17.0</v>
      </c>
      <c r="B720" s="11">
        <v>96.0</v>
      </c>
      <c r="C720" s="253">
        <v>33.0</v>
      </c>
      <c r="D720" s="235">
        <v>3.0</v>
      </c>
      <c r="E720" s="235">
        <v>3.0</v>
      </c>
      <c r="F720" s="253">
        <v>33.0</v>
      </c>
      <c r="G720" s="235">
        <v>3.0</v>
      </c>
      <c r="H720" s="236">
        <v>5.3035618E7</v>
      </c>
      <c r="I720" s="16">
        <v>59.0</v>
      </c>
      <c r="J720" s="11">
        <v>8.0</v>
      </c>
      <c r="K720" s="11" t="str">
        <f t="shared" si="1"/>
        <v>00030053035618598</v>
      </c>
      <c r="L720" s="238">
        <v>-616414.11</v>
      </c>
      <c r="M720" s="254">
        <v>120321.0</v>
      </c>
      <c r="N720" s="16">
        <v>51.0</v>
      </c>
      <c r="O720" s="17">
        <v>42.0</v>
      </c>
      <c r="P720" s="17">
        <v>96.0</v>
      </c>
      <c r="Q720" s="11">
        <v>1.4923527E7</v>
      </c>
      <c r="R720" s="11">
        <v>8.0</v>
      </c>
      <c r="S720" s="24" t="s">
        <v>48</v>
      </c>
      <c r="T720" s="249" t="s">
        <v>6009</v>
      </c>
      <c r="U720" s="17">
        <v>43.0</v>
      </c>
      <c r="V720" s="16">
        <v>15.0</v>
      </c>
      <c r="W720" s="16">
        <v>42.0</v>
      </c>
      <c r="X720" s="50">
        <v>83118.0</v>
      </c>
      <c r="Y720" s="250">
        <v>1053.0</v>
      </c>
    </row>
    <row r="721">
      <c r="A721" s="11">
        <v>19.0</v>
      </c>
      <c r="B721" s="11">
        <v>14.0</v>
      </c>
      <c r="C721" s="253">
        <v>29.0</v>
      </c>
      <c r="D721" s="235">
        <v>1.0</v>
      </c>
      <c r="E721" s="235">
        <v>1.0</v>
      </c>
      <c r="F721" s="253">
        <v>29.0</v>
      </c>
      <c r="G721" s="235">
        <v>1.0</v>
      </c>
      <c r="H721" s="236">
        <v>3.9973537E7</v>
      </c>
      <c r="I721" s="16">
        <v>34.0</v>
      </c>
      <c r="J721" s="11">
        <v>9.0</v>
      </c>
      <c r="K721" s="11" t="str">
        <f t="shared" si="1"/>
        <v>00010039973537349</v>
      </c>
      <c r="L721" s="238">
        <v>16143.45</v>
      </c>
      <c r="M721" s="254">
        <v>110713.0</v>
      </c>
      <c r="N721" s="16">
        <v>21.0</v>
      </c>
      <c r="O721" s="17">
        <v>34.0</v>
      </c>
      <c r="P721" s="17">
        <v>75.0</v>
      </c>
      <c r="Q721" s="11">
        <v>1.7020821E7</v>
      </c>
      <c r="R721" s="11">
        <v>3.0</v>
      </c>
      <c r="S721" s="24" t="s">
        <v>39</v>
      </c>
      <c r="T721" s="249" t="s">
        <v>6010</v>
      </c>
      <c r="U721" s="17">
        <v>96.0</v>
      </c>
      <c r="V721" s="16">
        <v>37.0</v>
      </c>
      <c r="W721" s="16">
        <v>48.0</v>
      </c>
      <c r="X721" s="50">
        <v>31322.0</v>
      </c>
      <c r="Y721" s="250">
        <v>6960.0</v>
      </c>
    </row>
    <row r="722">
      <c r="A722" s="11">
        <v>11.0</v>
      </c>
      <c r="B722" s="11">
        <v>96.0</v>
      </c>
      <c r="C722" s="253">
        <v>6.0</v>
      </c>
      <c r="D722" s="235">
        <v>93.0</v>
      </c>
      <c r="E722" s="235">
        <v>93.0</v>
      </c>
      <c r="F722" s="253">
        <v>6.0</v>
      </c>
      <c r="G722" s="235">
        <v>93.0</v>
      </c>
      <c r="H722" s="236">
        <v>8.8697332E7</v>
      </c>
      <c r="I722" s="16">
        <v>32.0</v>
      </c>
      <c r="J722" s="11">
        <v>5.0</v>
      </c>
      <c r="K722" s="11" t="str">
        <f t="shared" si="1"/>
        <v>00930088697332325</v>
      </c>
      <c r="L722" s="238">
        <v>78355.59</v>
      </c>
      <c r="M722" s="254">
        <v>50118.0</v>
      </c>
      <c r="N722" s="16">
        <v>71.0</v>
      </c>
      <c r="O722" s="17">
        <v>49.0</v>
      </c>
      <c r="P722" s="17">
        <v>35.0</v>
      </c>
      <c r="Q722" s="11">
        <v>1.5568865E7</v>
      </c>
      <c r="R722" s="11">
        <v>5.0</v>
      </c>
      <c r="S722" s="24" t="s">
        <v>48</v>
      </c>
      <c r="T722" s="249" t="s">
        <v>6011</v>
      </c>
      <c r="U722" s="17">
        <v>1.0</v>
      </c>
      <c r="V722" s="16">
        <v>79.0</v>
      </c>
      <c r="W722" s="16">
        <v>77.0</v>
      </c>
      <c r="X722" s="50">
        <v>71822.0</v>
      </c>
      <c r="Y722" s="250">
        <v>4743.0</v>
      </c>
    </row>
    <row r="723">
      <c r="A723" s="11">
        <v>11.0</v>
      </c>
      <c r="B723" s="11">
        <v>55.0</v>
      </c>
      <c r="C723" s="253">
        <v>12.0</v>
      </c>
      <c r="D723" s="235">
        <v>31.0</v>
      </c>
      <c r="E723" s="235">
        <v>31.0</v>
      </c>
      <c r="F723" s="253">
        <v>12.0</v>
      </c>
      <c r="G723" s="235">
        <v>31.0</v>
      </c>
      <c r="H723" s="236">
        <v>9.7889194E7</v>
      </c>
      <c r="I723" s="16">
        <v>76.0</v>
      </c>
      <c r="J723" s="11">
        <v>3.0</v>
      </c>
      <c r="K723" s="11" t="str">
        <f t="shared" si="1"/>
        <v>00310097889194763</v>
      </c>
      <c r="L723" s="238">
        <v>-232.75</v>
      </c>
      <c r="M723" s="254">
        <v>112417.0</v>
      </c>
      <c r="N723" s="16">
        <v>98.0</v>
      </c>
      <c r="O723" s="17">
        <v>12.0</v>
      </c>
      <c r="P723" s="17">
        <v>55.0</v>
      </c>
      <c r="Q723" s="11">
        <v>5.4103681E7</v>
      </c>
      <c r="R723" s="11">
        <v>5.0</v>
      </c>
      <c r="S723" s="24" t="s">
        <v>29</v>
      </c>
      <c r="T723" s="249" t="s">
        <v>6012</v>
      </c>
      <c r="U723" s="17">
        <v>49.0</v>
      </c>
      <c r="V723" s="16">
        <v>7.0</v>
      </c>
      <c r="W723" s="16">
        <v>94.0</v>
      </c>
      <c r="X723" s="50">
        <v>82916.0</v>
      </c>
      <c r="Y723" s="250">
        <v>7295.0</v>
      </c>
    </row>
    <row r="724">
      <c r="A724" s="11">
        <v>17.0</v>
      </c>
      <c r="B724" s="11">
        <v>14.0</v>
      </c>
      <c r="C724" s="253">
        <v>26.0</v>
      </c>
      <c r="D724" s="235">
        <v>23.0</v>
      </c>
      <c r="E724" s="235">
        <v>23.0</v>
      </c>
      <c r="F724" s="253">
        <v>26.0</v>
      </c>
      <c r="G724" s="235">
        <v>23.0</v>
      </c>
      <c r="H724" s="236">
        <v>3.3216617E7</v>
      </c>
      <c r="I724" s="16">
        <v>72.0</v>
      </c>
      <c r="J724" s="11">
        <v>7.0</v>
      </c>
      <c r="K724" s="11" t="str">
        <f t="shared" si="1"/>
        <v>00230033216617727</v>
      </c>
      <c r="L724" s="238">
        <v>-882866.18</v>
      </c>
      <c r="M724" s="254">
        <v>61816.0</v>
      </c>
      <c r="N724" s="16">
        <v>2.0</v>
      </c>
      <c r="O724" s="17">
        <v>35.0</v>
      </c>
      <c r="P724" s="17">
        <v>96.0</v>
      </c>
      <c r="Q724" s="11">
        <v>5.7300334E7</v>
      </c>
      <c r="R724" s="11">
        <v>0.0</v>
      </c>
      <c r="S724" s="24" t="s">
        <v>5292</v>
      </c>
      <c r="T724" s="249" t="s">
        <v>6013</v>
      </c>
      <c r="U724" s="17">
        <v>45.0</v>
      </c>
      <c r="V724" s="16">
        <v>38.0</v>
      </c>
      <c r="W724" s="16">
        <v>93.0</v>
      </c>
      <c r="X724" s="50">
        <v>51422.0</v>
      </c>
      <c r="Y724" s="250">
        <v>9910.0</v>
      </c>
    </row>
    <row r="725">
      <c r="A725" s="11">
        <v>19.0</v>
      </c>
      <c r="B725" s="11">
        <v>96.0</v>
      </c>
      <c r="C725" s="253">
        <v>46.0</v>
      </c>
      <c r="D725" s="235">
        <v>17.0</v>
      </c>
      <c r="E725" s="235">
        <v>17.0</v>
      </c>
      <c r="F725" s="253">
        <v>46.0</v>
      </c>
      <c r="G725" s="235">
        <v>17.0</v>
      </c>
      <c r="H725" s="236">
        <v>1.486156E7</v>
      </c>
      <c r="I725" s="16">
        <v>55.0</v>
      </c>
      <c r="J725" s="11">
        <v>8.0</v>
      </c>
      <c r="K725" s="11" t="str">
        <f t="shared" si="1"/>
        <v>00170014861560558</v>
      </c>
      <c r="L725" s="238">
        <v>-6319.23</v>
      </c>
      <c r="M725" s="254">
        <v>122823.0</v>
      </c>
      <c r="N725" s="16">
        <v>30.0</v>
      </c>
      <c r="O725" s="17">
        <v>9.0</v>
      </c>
      <c r="P725" s="17">
        <v>14.0</v>
      </c>
      <c r="Q725" s="11">
        <v>1.102243E7</v>
      </c>
      <c r="R725" s="11">
        <v>3.0</v>
      </c>
      <c r="S725" s="24" t="s">
        <v>48</v>
      </c>
      <c r="T725" s="249" t="s">
        <v>6014</v>
      </c>
      <c r="U725" s="17">
        <v>53.0</v>
      </c>
      <c r="V725" s="16">
        <v>63.0</v>
      </c>
      <c r="W725" s="16">
        <v>24.0</v>
      </c>
      <c r="X725" s="50">
        <v>81715.0</v>
      </c>
      <c r="Y725" s="250">
        <v>544.0</v>
      </c>
    </row>
    <row r="726">
      <c r="A726" s="11">
        <v>17.0</v>
      </c>
      <c r="B726" s="11">
        <v>55.0</v>
      </c>
      <c r="C726" s="253">
        <v>20.0</v>
      </c>
      <c r="D726" s="235">
        <v>17.0</v>
      </c>
      <c r="E726" s="235">
        <v>17.0</v>
      </c>
      <c r="F726" s="253">
        <v>20.0</v>
      </c>
      <c r="G726" s="235">
        <v>17.0</v>
      </c>
      <c r="H726" s="236">
        <v>3.6606107E7</v>
      </c>
      <c r="I726" s="16">
        <v>99.0</v>
      </c>
      <c r="J726" s="11">
        <v>1.0</v>
      </c>
      <c r="K726" s="11" t="str">
        <f t="shared" si="1"/>
        <v>00170036606107991</v>
      </c>
      <c r="L726" s="238">
        <v>-454269.4</v>
      </c>
      <c r="M726" s="254">
        <v>91213.0</v>
      </c>
      <c r="N726" s="16">
        <v>20.0</v>
      </c>
      <c r="O726" s="17">
        <v>9.0</v>
      </c>
      <c r="P726" s="17">
        <v>55.0</v>
      </c>
      <c r="Q726" s="11">
        <v>8.8953281E7</v>
      </c>
      <c r="R726" s="11">
        <v>2.0</v>
      </c>
      <c r="S726" s="24" t="s">
        <v>48</v>
      </c>
      <c r="T726" s="249" t="s">
        <v>6015</v>
      </c>
      <c r="U726" s="17">
        <v>51.0</v>
      </c>
      <c r="V726" s="16">
        <v>40.0</v>
      </c>
      <c r="W726" s="16">
        <v>97.0</v>
      </c>
      <c r="X726" s="50">
        <v>42314.0</v>
      </c>
      <c r="Y726" s="250">
        <v>3762.0</v>
      </c>
    </row>
    <row r="727">
      <c r="A727" s="11">
        <v>13.0</v>
      </c>
      <c r="B727" s="11">
        <v>96.0</v>
      </c>
      <c r="C727" s="253">
        <v>19.0</v>
      </c>
      <c r="D727" s="235">
        <v>149.0</v>
      </c>
      <c r="E727" s="235">
        <v>149.0</v>
      </c>
      <c r="F727" s="253">
        <v>19.0</v>
      </c>
      <c r="G727" s="235">
        <v>149.0</v>
      </c>
      <c r="H727" s="236">
        <v>3.4168431E7</v>
      </c>
      <c r="I727" s="16">
        <v>71.0</v>
      </c>
      <c r="J727" s="11">
        <v>0.0</v>
      </c>
      <c r="K727" s="11" t="str">
        <f t="shared" si="1"/>
        <v>01490034168431710</v>
      </c>
      <c r="L727" s="238">
        <v>740.1</v>
      </c>
      <c r="M727" s="254">
        <v>91420.0</v>
      </c>
      <c r="N727" s="16">
        <v>22.0</v>
      </c>
      <c r="O727" s="17">
        <v>2.0</v>
      </c>
      <c r="P727" s="17">
        <v>76.0</v>
      </c>
      <c r="Q727" s="11">
        <v>2.7356375E7</v>
      </c>
      <c r="R727" s="11">
        <v>1.0</v>
      </c>
      <c r="S727" s="24" t="s">
        <v>39</v>
      </c>
      <c r="T727" s="249" t="s">
        <v>6016</v>
      </c>
      <c r="U727" s="17">
        <v>2.0</v>
      </c>
      <c r="V727" s="16">
        <v>56.0</v>
      </c>
      <c r="W727" s="16">
        <v>8.0</v>
      </c>
      <c r="X727" s="50">
        <v>20914.0</v>
      </c>
      <c r="Y727" s="250">
        <v>3581.0</v>
      </c>
    </row>
    <row r="728">
      <c r="A728" s="11">
        <v>13.0</v>
      </c>
      <c r="B728" s="11">
        <v>35.0</v>
      </c>
      <c r="C728" s="253">
        <v>27.0</v>
      </c>
      <c r="D728" s="235">
        <v>129.0</v>
      </c>
      <c r="E728" s="235">
        <v>129.0</v>
      </c>
      <c r="F728" s="253">
        <v>27.0</v>
      </c>
      <c r="G728" s="235">
        <v>129.0</v>
      </c>
      <c r="H728" s="236">
        <v>8.2691513E7</v>
      </c>
      <c r="I728" s="16">
        <v>2.0</v>
      </c>
      <c r="J728" s="11">
        <v>8.0</v>
      </c>
      <c r="K728" s="11" t="str">
        <f t="shared" si="1"/>
        <v>01290082691513028</v>
      </c>
      <c r="L728" s="238">
        <v>2851.52</v>
      </c>
      <c r="M728" s="254">
        <v>41315.0</v>
      </c>
      <c r="N728" s="16">
        <v>97.0</v>
      </c>
      <c r="O728" s="17">
        <v>28.0</v>
      </c>
      <c r="P728" s="17">
        <v>76.0</v>
      </c>
      <c r="Q728" s="11">
        <v>8.5823828E7</v>
      </c>
      <c r="R728" s="11">
        <v>2.0</v>
      </c>
      <c r="S728" s="24" t="s">
        <v>48</v>
      </c>
      <c r="T728" s="249" t="s">
        <v>6017</v>
      </c>
      <c r="U728" s="17">
        <v>3.0</v>
      </c>
      <c r="V728" s="16">
        <v>12.0</v>
      </c>
      <c r="W728" s="16">
        <v>81.0</v>
      </c>
      <c r="X728" s="50">
        <v>13018.0</v>
      </c>
      <c r="Y728" s="250">
        <v>655.0</v>
      </c>
    </row>
    <row r="729">
      <c r="A729" s="11">
        <v>16.0</v>
      </c>
      <c r="B729" s="11">
        <v>35.0</v>
      </c>
      <c r="C729" s="253">
        <v>24.0</v>
      </c>
      <c r="D729" s="235">
        <v>5.0</v>
      </c>
      <c r="E729" s="235">
        <v>5.0</v>
      </c>
      <c r="F729" s="253">
        <v>24.0</v>
      </c>
      <c r="G729" s="235">
        <v>5.0</v>
      </c>
      <c r="H729" s="236">
        <v>6.1905259E7</v>
      </c>
      <c r="I729" s="16">
        <v>77.0</v>
      </c>
      <c r="J729" s="11">
        <v>9.0</v>
      </c>
      <c r="K729" s="11" t="str">
        <f t="shared" si="1"/>
        <v>00050061905259779</v>
      </c>
      <c r="L729" s="238">
        <v>-75136.55</v>
      </c>
      <c r="M729" s="254">
        <v>22523.0</v>
      </c>
      <c r="N729" s="16">
        <v>82.0</v>
      </c>
      <c r="O729" s="17">
        <v>27.0</v>
      </c>
      <c r="P729" s="17">
        <v>35.0</v>
      </c>
      <c r="Q729" s="11">
        <v>9.7424392E7</v>
      </c>
      <c r="R729" s="11">
        <v>6.0</v>
      </c>
      <c r="S729" s="24" t="s">
        <v>29</v>
      </c>
      <c r="T729" s="249" t="s">
        <v>6018</v>
      </c>
      <c r="U729" s="17">
        <v>8.0</v>
      </c>
      <c r="V729" s="16">
        <v>1.0</v>
      </c>
      <c r="W729" s="16">
        <v>54.0</v>
      </c>
      <c r="X729" s="50">
        <v>71014.0</v>
      </c>
      <c r="Y729" s="250">
        <v>3313.0</v>
      </c>
    </row>
    <row r="730">
      <c r="A730" s="11">
        <v>20.0</v>
      </c>
      <c r="B730" s="11">
        <v>96.0</v>
      </c>
      <c r="C730" s="253">
        <v>18.0</v>
      </c>
      <c r="D730" s="235">
        <v>125.0</v>
      </c>
      <c r="E730" s="235">
        <v>125.0</v>
      </c>
      <c r="F730" s="253">
        <v>18.0</v>
      </c>
      <c r="G730" s="235">
        <v>125.0</v>
      </c>
      <c r="H730" s="236">
        <v>1.06421E7</v>
      </c>
      <c r="I730" s="16">
        <v>26.0</v>
      </c>
      <c r="J730" s="11">
        <v>5.0</v>
      </c>
      <c r="K730" s="11" t="str">
        <f t="shared" si="1"/>
        <v>01250010642100265</v>
      </c>
      <c r="L730" s="238">
        <v>77079.22</v>
      </c>
      <c r="M730" s="254">
        <v>51523.0</v>
      </c>
      <c r="N730" s="16">
        <v>86.0</v>
      </c>
      <c r="O730" s="17">
        <v>13.0</v>
      </c>
      <c r="P730" s="17">
        <v>55.0</v>
      </c>
      <c r="Q730" s="11">
        <v>2.7061332E7</v>
      </c>
      <c r="R730" s="11">
        <v>9.0</v>
      </c>
      <c r="S730" s="24" t="s">
        <v>48</v>
      </c>
      <c r="T730" s="249" t="s">
        <v>6019</v>
      </c>
      <c r="U730" s="17">
        <v>55.0</v>
      </c>
      <c r="V730" s="16">
        <v>22.0</v>
      </c>
      <c r="W730" s="16">
        <v>25.0</v>
      </c>
      <c r="X730" s="50">
        <v>20816.0</v>
      </c>
      <c r="Y730" s="250">
        <v>3132.0</v>
      </c>
    </row>
    <row r="731">
      <c r="A731" s="11">
        <v>10.0</v>
      </c>
      <c r="B731" s="11">
        <v>76.0</v>
      </c>
      <c r="C731" s="253">
        <v>20.0</v>
      </c>
      <c r="D731" s="235">
        <v>99.0</v>
      </c>
      <c r="E731" s="235">
        <v>99.0</v>
      </c>
      <c r="F731" s="253">
        <v>20.0</v>
      </c>
      <c r="G731" s="235">
        <v>99.0</v>
      </c>
      <c r="H731" s="236">
        <v>3.5201287E7</v>
      </c>
      <c r="I731" s="16">
        <v>39.0</v>
      </c>
      <c r="J731" s="11">
        <v>6.0</v>
      </c>
      <c r="K731" s="11" t="str">
        <f t="shared" si="1"/>
        <v>00990035201287396</v>
      </c>
      <c r="L731" s="238">
        <v>286.42</v>
      </c>
      <c r="M731" s="254">
        <v>20615.0</v>
      </c>
      <c r="N731" s="16">
        <v>83.0</v>
      </c>
      <c r="O731" s="17">
        <v>12.0</v>
      </c>
      <c r="P731" s="17">
        <v>35.0</v>
      </c>
      <c r="Q731" s="11">
        <v>2.3318493E7</v>
      </c>
      <c r="R731" s="11">
        <v>1.0</v>
      </c>
      <c r="S731" s="24" t="s">
        <v>5292</v>
      </c>
      <c r="T731" s="249" t="s">
        <v>6020</v>
      </c>
      <c r="U731" s="17">
        <v>9.0</v>
      </c>
      <c r="V731" s="16">
        <v>64.0</v>
      </c>
      <c r="W731" s="16">
        <v>47.0</v>
      </c>
      <c r="X731" s="50">
        <v>50920.0</v>
      </c>
      <c r="Y731" s="250">
        <v>8669.0</v>
      </c>
    </row>
    <row r="732">
      <c r="A732" s="11">
        <v>13.0</v>
      </c>
      <c r="B732" s="11">
        <v>55.0</v>
      </c>
      <c r="C732" s="253">
        <v>13.0</v>
      </c>
      <c r="D732" s="235">
        <v>49.0</v>
      </c>
      <c r="E732" s="235">
        <v>49.0</v>
      </c>
      <c r="F732" s="253">
        <v>13.0</v>
      </c>
      <c r="G732" s="235">
        <v>49.0</v>
      </c>
      <c r="H732" s="236">
        <v>4.8669111E7</v>
      </c>
      <c r="I732" s="16">
        <v>1.0</v>
      </c>
      <c r="J732" s="11">
        <v>3.0</v>
      </c>
      <c r="K732" s="11" t="str">
        <f t="shared" si="1"/>
        <v>00490048669111013</v>
      </c>
      <c r="L732" s="238">
        <v>4511.35</v>
      </c>
      <c r="M732" s="254">
        <v>61917.0</v>
      </c>
      <c r="N732" s="16">
        <v>22.0</v>
      </c>
      <c r="O732" s="17">
        <v>33.0</v>
      </c>
      <c r="P732" s="17">
        <v>55.0</v>
      </c>
      <c r="Q732" s="11">
        <v>5.9551769E7</v>
      </c>
      <c r="R732" s="11">
        <v>9.0</v>
      </c>
      <c r="S732" s="24" t="s">
        <v>39</v>
      </c>
      <c r="T732" s="249" t="s">
        <v>6021</v>
      </c>
      <c r="U732" s="17">
        <v>59.0</v>
      </c>
      <c r="V732" s="16">
        <v>95.0</v>
      </c>
      <c r="W732" s="16">
        <v>15.0</v>
      </c>
      <c r="X732" s="50">
        <v>31919.0</v>
      </c>
      <c r="Y732" s="250">
        <v>1573.0</v>
      </c>
    </row>
    <row r="733">
      <c r="A733" s="11">
        <v>17.0</v>
      </c>
      <c r="B733" s="11">
        <v>35.0</v>
      </c>
      <c r="C733" s="253">
        <v>17.0</v>
      </c>
      <c r="D733" s="235">
        <v>163.0</v>
      </c>
      <c r="E733" s="235">
        <v>163.0</v>
      </c>
      <c r="F733" s="253">
        <v>17.0</v>
      </c>
      <c r="G733" s="235">
        <v>163.0</v>
      </c>
      <c r="H733" s="236">
        <v>4.0457561E7</v>
      </c>
      <c r="I733" s="16">
        <v>75.0</v>
      </c>
      <c r="J733" s="11">
        <v>0.0</v>
      </c>
      <c r="K733" s="11" t="str">
        <f t="shared" si="1"/>
        <v>01630040457561750</v>
      </c>
      <c r="L733" s="238">
        <v>57563.28</v>
      </c>
      <c r="M733" s="254">
        <v>42320.0</v>
      </c>
      <c r="N733" s="16">
        <v>95.0</v>
      </c>
      <c r="O733" s="17">
        <v>40.0</v>
      </c>
      <c r="P733" s="17">
        <v>14.0</v>
      </c>
      <c r="Q733" s="11">
        <v>3.9640168E7</v>
      </c>
      <c r="R733" s="11">
        <v>8.0</v>
      </c>
      <c r="S733" s="24" t="s">
        <v>48</v>
      </c>
      <c r="T733" s="249" t="s">
        <v>6022</v>
      </c>
      <c r="U733" s="17">
        <v>63.0</v>
      </c>
      <c r="V733" s="16">
        <v>28.0</v>
      </c>
      <c r="W733" s="16">
        <v>97.0</v>
      </c>
      <c r="X733" s="50">
        <v>123022.0</v>
      </c>
      <c r="Y733" s="250">
        <v>9946.0</v>
      </c>
    </row>
    <row r="734">
      <c r="A734" s="11">
        <v>19.0</v>
      </c>
      <c r="B734" s="11">
        <v>96.0</v>
      </c>
      <c r="C734" s="253">
        <v>51.0</v>
      </c>
      <c r="D734" s="235">
        <v>31.0</v>
      </c>
      <c r="E734" s="235">
        <v>31.0</v>
      </c>
      <c r="F734" s="253">
        <v>51.0</v>
      </c>
      <c r="G734" s="235">
        <v>31.0</v>
      </c>
      <c r="H734" s="236">
        <v>1.2218461E7</v>
      </c>
      <c r="I734" s="16">
        <v>1.0</v>
      </c>
      <c r="J734" s="11">
        <v>8.0</v>
      </c>
      <c r="K734" s="11" t="str">
        <f t="shared" si="1"/>
        <v>00310012218461018</v>
      </c>
      <c r="L734" s="238">
        <v>67386.27</v>
      </c>
      <c r="M734" s="254">
        <v>11922.0</v>
      </c>
      <c r="N734" s="16">
        <v>3.0</v>
      </c>
      <c r="O734" s="17">
        <v>53.0</v>
      </c>
      <c r="P734" s="17">
        <v>14.0</v>
      </c>
      <c r="Q734" s="11">
        <v>2.5126905E7</v>
      </c>
      <c r="R734" s="11">
        <v>4.0</v>
      </c>
      <c r="S734" s="24" t="s">
        <v>48</v>
      </c>
      <c r="T734" s="249" t="s">
        <v>6023</v>
      </c>
      <c r="U734" s="17">
        <v>59.0</v>
      </c>
      <c r="V734" s="16">
        <v>48.0</v>
      </c>
      <c r="W734" s="16">
        <v>61.0</v>
      </c>
      <c r="X734" s="50">
        <v>30722.0</v>
      </c>
      <c r="Y734" s="250">
        <v>9759.0</v>
      </c>
    </row>
    <row r="735">
      <c r="A735" s="11">
        <v>16.0</v>
      </c>
      <c r="B735" s="11">
        <v>55.0</v>
      </c>
      <c r="C735" s="253">
        <v>26.0</v>
      </c>
      <c r="D735" s="235">
        <v>113.0</v>
      </c>
      <c r="E735" s="235">
        <v>113.0</v>
      </c>
      <c r="F735" s="253">
        <v>26.0</v>
      </c>
      <c r="G735" s="235">
        <v>113.0</v>
      </c>
      <c r="H735" s="236">
        <v>5.6618755E7</v>
      </c>
      <c r="I735" s="16">
        <v>91.0</v>
      </c>
      <c r="J735" s="11">
        <v>7.0</v>
      </c>
      <c r="K735" s="11" t="str">
        <f t="shared" si="1"/>
        <v>01130056618755917</v>
      </c>
      <c r="L735" s="238">
        <v>19045.69</v>
      </c>
      <c r="M735" s="254">
        <v>31721.0</v>
      </c>
      <c r="N735" s="16">
        <v>74.0</v>
      </c>
      <c r="O735" s="17">
        <v>19.0</v>
      </c>
      <c r="P735" s="17">
        <v>76.0</v>
      </c>
      <c r="Q735" s="11">
        <v>3.0695843E7</v>
      </c>
      <c r="R735" s="11">
        <v>4.0</v>
      </c>
      <c r="S735" s="24" t="s">
        <v>5292</v>
      </c>
      <c r="T735" s="249" t="s">
        <v>6024</v>
      </c>
      <c r="U735" s="17">
        <v>10.0</v>
      </c>
      <c r="V735" s="16">
        <v>90.0</v>
      </c>
      <c r="W735" s="16">
        <v>12.0</v>
      </c>
      <c r="X735" s="50">
        <v>103013.0</v>
      </c>
      <c r="Y735" s="250">
        <v>3191.0</v>
      </c>
    </row>
    <row r="736">
      <c r="A736" s="11">
        <v>15.0</v>
      </c>
      <c r="B736" s="11">
        <v>55.0</v>
      </c>
      <c r="C736" s="253">
        <v>21.0</v>
      </c>
      <c r="D736" s="235">
        <v>69.0</v>
      </c>
      <c r="E736" s="235">
        <v>69.0</v>
      </c>
      <c r="F736" s="253">
        <v>21.0</v>
      </c>
      <c r="G736" s="235">
        <v>69.0</v>
      </c>
      <c r="H736" s="236">
        <v>5.4688997E7</v>
      </c>
      <c r="I736" s="16">
        <v>16.0</v>
      </c>
      <c r="J736" s="11">
        <v>2.0</v>
      </c>
      <c r="K736" s="11" t="str">
        <f t="shared" si="1"/>
        <v>00690054688997162</v>
      </c>
      <c r="L736" s="238">
        <v>4882.25</v>
      </c>
      <c r="M736" s="254">
        <v>22417.0</v>
      </c>
      <c r="N736" s="16">
        <v>86.0</v>
      </c>
      <c r="O736" s="17">
        <v>39.0</v>
      </c>
      <c r="P736" s="17">
        <v>96.0</v>
      </c>
      <c r="Q736" s="11">
        <v>3.8657397E7</v>
      </c>
      <c r="R736" s="11">
        <v>9.0</v>
      </c>
      <c r="S736" s="24" t="s">
        <v>5292</v>
      </c>
      <c r="T736" s="249" t="s">
        <v>6025</v>
      </c>
      <c r="U736" s="17">
        <v>54.0</v>
      </c>
      <c r="V736" s="16">
        <v>66.0</v>
      </c>
      <c r="W736" s="16">
        <v>82.0</v>
      </c>
      <c r="X736" s="50">
        <v>40313.0</v>
      </c>
      <c r="Y736" s="250">
        <v>1472.0</v>
      </c>
    </row>
    <row r="737">
      <c r="A737" s="11">
        <v>13.0</v>
      </c>
      <c r="B737" s="11">
        <v>35.0</v>
      </c>
      <c r="C737" s="253">
        <v>28.0</v>
      </c>
      <c r="D737" s="235">
        <v>27.0</v>
      </c>
      <c r="E737" s="235">
        <v>27.0</v>
      </c>
      <c r="F737" s="253">
        <v>28.0</v>
      </c>
      <c r="G737" s="235">
        <v>27.0</v>
      </c>
      <c r="H737" s="236">
        <v>4.882389E7</v>
      </c>
      <c r="I737" s="16">
        <v>96.0</v>
      </c>
      <c r="J737" s="11">
        <v>5.0</v>
      </c>
      <c r="K737" s="11" t="str">
        <f t="shared" si="1"/>
        <v>00270048823890965</v>
      </c>
      <c r="L737" s="238">
        <v>936313.46</v>
      </c>
      <c r="M737" s="254">
        <v>32920.0</v>
      </c>
      <c r="N737" s="16">
        <v>33.0</v>
      </c>
      <c r="O737" s="17">
        <v>45.0</v>
      </c>
      <c r="P737" s="17">
        <v>14.0</v>
      </c>
      <c r="Q737" s="11">
        <v>6.4328439E7</v>
      </c>
      <c r="R737" s="11">
        <v>1.0</v>
      </c>
      <c r="S737" s="24" t="s">
        <v>48</v>
      </c>
      <c r="T737" s="249" t="s">
        <v>6026</v>
      </c>
      <c r="U737" s="17">
        <v>67.0</v>
      </c>
      <c r="V737" s="16">
        <v>27.0</v>
      </c>
      <c r="W737" s="16">
        <v>3.0</v>
      </c>
      <c r="X737" s="50">
        <v>31122.0</v>
      </c>
      <c r="Y737" s="250">
        <v>9.0</v>
      </c>
    </row>
    <row r="738">
      <c r="A738" s="11">
        <v>11.0</v>
      </c>
      <c r="B738" s="11">
        <v>35.0</v>
      </c>
      <c r="C738" s="253">
        <v>34.0</v>
      </c>
      <c r="D738" s="235">
        <v>23.0</v>
      </c>
      <c r="E738" s="235">
        <v>23.0</v>
      </c>
      <c r="F738" s="253">
        <v>34.0</v>
      </c>
      <c r="G738" s="235">
        <v>23.0</v>
      </c>
      <c r="H738" s="236">
        <v>7.2312159E7</v>
      </c>
      <c r="I738" s="16">
        <v>86.0</v>
      </c>
      <c r="J738" s="11">
        <v>8.0</v>
      </c>
      <c r="K738" s="11" t="str">
        <f t="shared" si="1"/>
        <v>00230072312159868</v>
      </c>
      <c r="L738" s="238">
        <v>609.89</v>
      </c>
      <c r="M738" s="254">
        <v>60821.0</v>
      </c>
      <c r="N738" s="16">
        <v>67.0</v>
      </c>
      <c r="O738" s="17">
        <v>51.0</v>
      </c>
      <c r="P738" s="17">
        <v>76.0</v>
      </c>
      <c r="Q738" s="11">
        <v>6.0214422E7</v>
      </c>
      <c r="R738" s="11">
        <v>1.0</v>
      </c>
      <c r="S738" s="24" t="s">
        <v>29</v>
      </c>
      <c r="T738" s="249" t="s">
        <v>6027</v>
      </c>
      <c r="U738" s="17">
        <v>14.0</v>
      </c>
      <c r="V738" s="16">
        <v>54.0</v>
      </c>
      <c r="W738" s="16">
        <v>41.0</v>
      </c>
      <c r="X738" s="50">
        <v>92919.0</v>
      </c>
      <c r="Y738" s="250">
        <v>6456.0</v>
      </c>
    </row>
    <row r="739">
      <c r="A739" s="11">
        <v>19.0</v>
      </c>
      <c r="B739" s="11">
        <v>76.0</v>
      </c>
      <c r="C739" s="253">
        <v>18.0</v>
      </c>
      <c r="D739" s="235">
        <v>105.0</v>
      </c>
      <c r="E739" s="235">
        <v>105.0</v>
      </c>
      <c r="F739" s="253">
        <v>18.0</v>
      </c>
      <c r="G739" s="235">
        <v>105.0</v>
      </c>
      <c r="H739" s="236">
        <v>4.1897458E7</v>
      </c>
      <c r="I739" s="16">
        <v>72.0</v>
      </c>
      <c r="J739" s="11">
        <v>3.0</v>
      </c>
      <c r="K739" s="11" t="str">
        <f t="shared" si="1"/>
        <v>01050041897458723</v>
      </c>
      <c r="L739" s="238">
        <v>748.2</v>
      </c>
      <c r="M739" s="254">
        <v>50322.0</v>
      </c>
      <c r="N739" s="16">
        <v>42.0</v>
      </c>
      <c r="O739" s="17">
        <v>54.0</v>
      </c>
      <c r="P739" s="17">
        <v>35.0</v>
      </c>
      <c r="Q739" s="11">
        <v>6.5851914E7</v>
      </c>
      <c r="R739" s="11">
        <v>3.0</v>
      </c>
      <c r="S739" s="24" t="s">
        <v>5292</v>
      </c>
      <c r="T739" s="249" t="s">
        <v>6028</v>
      </c>
      <c r="U739" s="17">
        <v>23.0</v>
      </c>
      <c r="V739" s="16">
        <v>8.0</v>
      </c>
      <c r="W739" s="16">
        <v>59.0</v>
      </c>
      <c r="X739" s="50">
        <v>122514.0</v>
      </c>
      <c r="Y739" s="250">
        <v>1367.0</v>
      </c>
    </row>
    <row r="740">
      <c r="A740" s="11">
        <v>18.0</v>
      </c>
      <c r="B740" s="11">
        <v>35.0</v>
      </c>
      <c r="C740" s="253">
        <v>13.0</v>
      </c>
      <c r="D740" s="235">
        <v>191.0</v>
      </c>
      <c r="E740" s="235">
        <v>191.0</v>
      </c>
      <c r="F740" s="253">
        <v>13.0</v>
      </c>
      <c r="G740" s="235">
        <v>191.0</v>
      </c>
      <c r="H740" s="236">
        <v>6.4941812E7</v>
      </c>
      <c r="I740" s="16">
        <v>78.0</v>
      </c>
      <c r="J740" s="11">
        <v>6.0</v>
      </c>
      <c r="K740" s="11" t="str">
        <f t="shared" si="1"/>
        <v>01910064941812786</v>
      </c>
      <c r="L740" s="238">
        <v>5805.64</v>
      </c>
      <c r="M740" s="254">
        <v>42415.0</v>
      </c>
      <c r="N740" s="16">
        <v>52.0</v>
      </c>
      <c r="O740" s="17">
        <v>50.0</v>
      </c>
      <c r="P740" s="17">
        <v>14.0</v>
      </c>
      <c r="Q740" s="11">
        <v>1.6712852E7</v>
      </c>
      <c r="R740" s="11">
        <v>7.0</v>
      </c>
      <c r="S740" s="24" t="s">
        <v>39</v>
      </c>
      <c r="T740" s="249" t="s">
        <v>6029</v>
      </c>
      <c r="U740" s="17">
        <v>79.0</v>
      </c>
      <c r="V740" s="16">
        <v>58.0</v>
      </c>
      <c r="W740" s="16">
        <v>51.0</v>
      </c>
      <c r="X740" s="50">
        <v>33014.0</v>
      </c>
      <c r="Y740" s="250">
        <v>9837.0</v>
      </c>
    </row>
    <row r="741">
      <c r="A741" s="11">
        <v>15.0</v>
      </c>
      <c r="B741" s="11">
        <v>14.0</v>
      </c>
      <c r="C741" s="253">
        <v>18.0</v>
      </c>
      <c r="D741" s="235">
        <v>141.0</v>
      </c>
      <c r="E741" s="235">
        <v>141.0</v>
      </c>
      <c r="F741" s="253">
        <v>18.0</v>
      </c>
      <c r="G741" s="235">
        <v>141.0</v>
      </c>
      <c r="H741" s="236">
        <v>5.9665777E7</v>
      </c>
      <c r="I741" s="16">
        <v>26.0</v>
      </c>
      <c r="J741" s="11">
        <v>0.0</v>
      </c>
      <c r="K741" s="11" t="str">
        <f t="shared" si="1"/>
        <v>01410059665777260</v>
      </c>
      <c r="L741" s="238">
        <v>632432.95</v>
      </c>
      <c r="M741" s="254">
        <v>111516.0</v>
      </c>
      <c r="N741" s="16">
        <v>42.0</v>
      </c>
      <c r="O741" s="17">
        <v>5.0</v>
      </c>
      <c r="P741" s="17">
        <v>96.0</v>
      </c>
      <c r="Q741" s="11">
        <v>2.4364592E7</v>
      </c>
      <c r="R741" s="11">
        <v>7.0</v>
      </c>
      <c r="S741" s="24" t="s">
        <v>5292</v>
      </c>
      <c r="T741" s="249" t="s">
        <v>6030</v>
      </c>
      <c r="U741" s="17">
        <v>72.0</v>
      </c>
      <c r="V741" s="16">
        <v>52.0</v>
      </c>
      <c r="W741" s="16">
        <v>63.0</v>
      </c>
      <c r="X741" s="50">
        <v>72215.0</v>
      </c>
      <c r="Y741" s="250">
        <v>2338.0</v>
      </c>
    </row>
    <row r="742">
      <c r="A742" s="11">
        <v>15.0</v>
      </c>
      <c r="B742" s="11">
        <v>55.0</v>
      </c>
      <c r="C742" s="253">
        <v>1.0</v>
      </c>
      <c r="D742" s="235">
        <v>35.0</v>
      </c>
      <c r="E742" s="235">
        <v>35.0</v>
      </c>
      <c r="F742" s="253">
        <v>1.0</v>
      </c>
      <c r="G742" s="235">
        <v>35.0</v>
      </c>
      <c r="H742" s="236">
        <v>6.3394952E7</v>
      </c>
      <c r="I742" s="16">
        <v>89.0</v>
      </c>
      <c r="J742" s="11">
        <v>3.0</v>
      </c>
      <c r="K742" s="11" t="str">
        <f t="shared" si="1"/>
        <v>00350063394952893</v>
      </c>
      <c r="L742" s="238">
        <v>597.98</v>
      </c>
      <c r="M742" s="254">
        <v>40313.0</v>
      </c>
      <c r="N742" s="16">
        <v>20.0</v>
      </c>
      <c r="O742" s="17">
        <v>21.0</v>
      </c>
      <c r="P742" s="17">
        <v>35.0</v>
      </c>
      <c r="Q742" s="11">
        <v>3.2669875E7</v>
      </c>
      <c r="R742" s="11">
        <v>0.0</v>
      </c>
      <c r="S742" s="24" t="s">
        <v>39</v>
      </c>
      <c r="T742" s="249" t="s">
        <v>6031</v>
      </c>
      <c r="U742" s="17">
        <v>30.0</v>
      </c>
      <c r="V742" s="16">
        <v>41.0</v>
      </c>
      <c r="W742" s="16">
        <v>63.0</v>
      </c>
      <c r="X742" s="50">
        <v>101622.0</v>
      </c>
      <c r="Y742" s="250">
        <v>4984.0</v>
      </c>
    </row>
    <row r="743">
      <c r="A743" s="11">
        <v>15.0</v>
      </c>
      <c r="B743" s="11">
        <v>76.0</v>
      </c>
      <c r="C743" s="253">
        <v>37.0</v>
      </c>
      <c r="D743" s="235">
        <v>145.0</v>
      </c>
      <c r="E743" s="235">
        <v>145.0</v>
      </c>
      <c r="F743" s="253">
        <v>37.0</v>
      </c>
      <c r="G743" s="235">
        <v>145.0</v>
      </c>
      <c r="H743" s="236">
        <v>1.3747808E7</v>
      </c>
      <c r="I743" s="16">
        <v>85.0</v>
      </c>
      <c r="J743" s="11">
        <v>9.0</v>
      </c>
      <c r="K743" s="11" t="str">
        <f t="shared" si="1"/>
        <v>01450013747808859</v>
      </c>
      <c r="L743" s="238">
        <v>-426199.39</v>
      </c>
      <c r="M743" s="254">
        <v>42115.0</v>
      </c>
      <c r="N743" s="16">
        <v>68.0</v>
      </c>
      <c r="O743" s="17">
        <v>38.0</v>
      </c>
      <c r="P743" s="17">
        <v>55.0</v>
      </c>
      <c r="Q743" s="11">
        <v>4.3716439E7</v>
      </c>
      <c r="R743" s="11">
        <v>4.0</v>
      </c>
      <c r="S743" s="24" t="s">
        <v>39</v>
      </c>
      <c r="T743" s="249" t="s">
        <v>6032</v>
      </c>
      <c r="U743" s="17">
        <v>79.0</v>
      </c>
      <c r="V743" s="16">
        <v>3.0</v>
      </c>
      <c r="W743" s="16">
        <v>67.0</v>
      </c>
      <c r="X743" s="50">
        <v>21314.0</v>
      </c>
      <c r="Y743" s="250">
        <v>4382.0</v>
      </c>
    </row>
    <row r="744">
      <c r="A744" s="11">
        <v>18.0</v>
      </c>
      <c r="B744" s="11">
        <v>35.0</v>
      </c>
      <c r="C744" s="253">
        <v>13.0</v>
      </c>
      <c r="D744" s="235">
        <v>5.0</v>
      </c>
      <c r="E744" s="235">
        <v>5.0</v>
      </c>
      <c r="F744" s="253">
        <v>13.0</v>
      </c>
      <c r="G744" s="235">
        <v>5.0</v>
      </c>
      <c r="H744" s="236">
        <v>2.8069411E7</v>
      </c>
      <c r="I744" s="16">
        <v>72.0</v>
      </c>
      <c r="J744" s="11">
        <v>7.0</v>
      </c>
      <c r="K744" s="11" t="str">
        <f t="shared" si="1"/>
        <v>00050028069411727</v>
      </c>
      <c r="L744" s="238">
        <v>53800.1</v>
      </c>
      <c r="M744" s="254">
        <v>12014.0</v>
      </c>
      <c r="N744" s="16">
        <v>19.0</v>
      </c>
      <c r="O744" s="17">
        <v>41.0</v>
      </c>
      <c r="P744" s="17">
        <v>35.0</v>
      </c>
      <c r="Q744" s="11">
        <v>9.2073351E7</v>
      </c>
      <c r="R744" s="11">
        <v>2.0</v>
      </c>
      <c r="S744" s="24" t="s">
        <v>48</v>
      </c>
      <c r="T744" s="249" t="s">
        <v>6033</v>
      </c>
      <c r="U744" s="17">
        <v>32.0</v>
      </c>
      <c r="V744" s="16">
        <v>60.0</v>
      </c>
      <c r="W744" s="16">
        <v>83.0</v>
      </c>
      <c r="X744" s="50">
        <v>60322.0</v>
      </c>
      <c r="Y744" s="250">
        <v>1964.0</v>
      </c>
    </row>
    <row r="745">
      <c r="A745" s="11">
        <v>16.0</v>
      </c>
      <c r="B745" s="11">
        <v>76.0</v>
      </c>
      <c r="C745" s="253">
        <v>27.0</v>
      </c>
      <c r="D745" s="235">
        <v>141.0</v>
      </c>
      <c r="E745" s="235">
        <v>141.0</v>
      </c>
      <c r="F745" s="253">
        <v>27.0</v>
      </c>
      <c r="G745" s="235">
        <v>141.0</v>
      </c>
      <c r="H745" s="236">
        <v>5.9918271E7</v>
      </c>
      <c r="I745" s="16">
        <v>69.0</v>
      </c>
      <c r="J745" s="11">
        <v>4.0</v>
      </c>
      <c r="K745" s="11" t="str">
        <f t="shared" si="1"/>
        <v>01410059918271694</v>
      </c>
      <c r="L745" s="238">
        <v>-218844.94</v>
      </c>
      <c r="M745" s="254">
        <v>32221.0</v>
      </c>
      <c r="N745" s="16">
        <v>33.0</v>
      </c>
      <c r="O745" s="17">
        <v>53.0</v>
      </c>
      <c r="P745" s="17">
        <v>35.0</v>
      </c>
      <c r="Q745" s="11">
        <v>5.3131135E7</v>
      </c>
      <c r="R745" s="11">
        <v>8.0</v>
      </c>
      <c r="S745" s="24" t="s">
        <v>39</v>
      </c>
      <c r="T745" s="249" t="s">
        <v>6034</v>
      </c>
      <c r="U745" s="17">
        <v>33.0</v>
      </c>
      <c r="V745" s="16">
        <v>43.0</v>
      </c>
      <c r="W745" s="16">
        <v>33.0</v>
      </c>
      <c r="X745" s="50">
        <v>90219.0</v>
      </c>
      <c r="Y745" s="250">
        <v>4443.0</v>
      </c>
    </row>
    <row r="746">
      <c r="A746" s="11">
        <v>13.0</v>
      </c>
      <c r="B746" s="11">
        <v>35.0</v>
      </c>
      <c r="C746" s="253">
        <v>54.0</v>
      </c>
      <c r="D746" s="235">
        <v>25.0</v>
      </c>
      <c r="E746" s="235">
        <v>25.0</v>
      </c>
      <c r="F746" s="253">
        <v>54.0</v>
      </c>
      <c r="G746" s="235">
        <v>25.0</v>
      </c>
      <c r="H746" s="236">
        <v>3.9404755E7</v>
      </c>
      <c r="I746" s="16">
        <v>91.0</v>
      </c>
      <c r="J746" s="11">
        <v>9.0</v>
      </c>
      <c r="K746" s="11" t="str">
        <f t="shared" si="1"/>
        <v>00250039404755919</v>
      </c>
      <c r="L746" s="238">
        <v>812566.92</v>
      </c>
      <c r="M746" s="254">
        <v>101819.0</v>
      </c>
      <c r="N746" s="16">
        <v>13.0</v>
      </c>
      <c r="O746" s="17">
        <v>41.0</v>
      </c>
      <c r="P746" s="17">
        <v>14.0</v>
      </c>
      <c r="Q746" s="11">
        <v>3.1086825E7</v>
      </c>
      <c r="R746" s="11">
        <v>6.0</v>
      </c>
      <c r="S746" s="24" t="s">
        <v>39</v>
      </c>
      <c r="T746" s="249" t="s">
        <v>6035</v>
      </c>
      <c r="U746" s="17">
        <v>85.0</v>
      </c>
      <c r="V746" s="16">
        <v>40.0</v>
      </c>
      <c r="W746" s="16">
        <v>50.0</v>
      </c>
      <c r="X746" s="50">
        <v>90517.0</v>
      </c>
      <c r="Y746" s="250">
        <v>1628.0</v>
      </c>
    </row>
    <row r="747">
      <c r="A747" s="11">
        <v>14.0</v>
      </c>
      <c r="B747" s="11">
        <v>55.0</v>
      </c>
      <c r="C747" s="253">
        <v>20.0</v>
      </c>
      <c r="D747" s="235">
        <v>75.0</v>
      </c>
      <c r="E747" s="235">
        <v>75.0</v>
      </c>
      <c r="F747" s="253">
        <v>20.0</v>
      </c>
      <c r="G747" s="235">
        <v>75.0</v>
      </c>
      <c r="H747" s="236">
        <v>5.1165908E7</v>
      </c>
      <c r="I747" s="16">
        <v>73.0</v>
      </c>
      <c r="J747" s="11">
        <v>0.0</v>
      </c>
      <c r="K747" s="11" t="str">
        <f t="shared" si="1"/>
        <v>00750051165908730</v>
      </c>
      <c r="L747" s="238">
        <v>-782470.21</v>
      </c>
      <c r="M747" s="254">
        <v>60816.0</v>
      </c>
      <c r="N747" s="16">
        <v>93.0</v>
      </c>
      <c r="O747" s="17">
        <v>27.0</v>
      </c>
      <c r="P747" s="17">
        <v>55.0</v>
      </c>
      <c r="Q747" s="11">
        <v>4.7175742E7</v>
      </c>
      <c r="R747" s="11">
        <v>2.0</v>
      </c>
      <c r="S747" s="24" t="s">
        <v>5292</v>
      </c>
      <c r="T747" s="249" t="s">
        <v>6036</v>
      </c>
      <c r="U747" s="17">
        <v>83.0</v>
      </c>
      <c r="V747" s="16">
        <v>33.0</v>
      </c>
      <c r="W747" s="16">
        <v>12.0</v>
      </c>
      <c r="X747" s="50">
        <v>110817.0</v>
      </c>
      <c r="Y747" s="250">
        <v>766.0</v>
      </c>
    </row>
    <row r="748">
      <c r="A748" s="11">
        <v>17.0</v>
      </c>
      <c r="B748" s="11">
        <v>76.0</v>
      </c>
      <c r="C748" s="253">
        <v>21.0</v>
      </c>
      <c r="D748" s="235">
        <v>103.0</v>
      </c>
      <c r="E748" s="235">
        <v>103.0</v>
      </c>
      <c r="F748" s="253">
        <v>21.0</v>
      </c>
      <c r="G748" s="235">
        <v>103.0</v>
      </c>
      <c r="H748" s="236">
        <v>6.4659856E7</v>
      </c>
      <c r="I748" s="16">
        <v>75.0</v>
      </c>
      <c r="J748" s="11">
        <v>5.0</v>
      </c>
      <c r="K748" s="11" t="str">
        <f t="shared" si="1"/>
        <v>01030064659856755</v>
      </c>
      <c r="L748" s="238">
        <v>924.3</v>
      </c>
      <c r="M748" s="254">
        <v>82922.0</v>
      </c>
      <c r="N748" s="16">
        <v>94.0</v>
      </c>
      <c r="O748" s="17">
        <v>24.0</v>
      </c>
      <c r="P748" s="17">
        <v>35.0</v>
      </c>
      <c r="Q748" s="11">
        <v>6.508613E7</v>
      </c>
      <c r="R748" s="11">
        <v>5.0</v>
      </c>
      <c r="S748" s="24" t="s">
        <v>48</v>
      </c>
      <c r="T748" s="249" t="s">
        <v>6037</v>
      </c>
      <c r="U748" s="17">
        <v>36.0</v>
      </c>
      <c r="V748" s="16">
        <v>33.0</v>
      </c>
      <c r="W748" s="16">
        <v>26.0</v>
      </c>
      <c r="X748" s="50">
        <v>11717.0</v>
      </c>
      <c r="Y748" s="250">
        <v>6696.0</v>
      </c>
    </row>
    <row r="749">
      <c r="A749" s="11">
        <v>11.0</v>
      </c>
      <c r="B749" s="11">
        <v>14.0</v>
      </c>
      <c r="C749" s="253">
        <v>39.0</v>
      </c>
      <c r="D749" s="235">
        <v>161.0</v>
      </c>
      <c r="E749" s="235">
        <v>161.0</v>
      </c>
      <c r="F749" s="253">
        <v>39.0</v>
      </c>
      <c r="G749" s="235">
        <v>161.0</v>
      </c>
      <c r="H749" s="236">
        <v>4.9579507E7</v>
      </c>
      <c r="I749" s="16">
        <v>30.0</v>
      </c>
      <c r="J749" s="11">
        <v>4.0</v>
      </c>
      <c r="K749" s="11" t="str">
        <f t="shared" si="1"/>
        <v>01610049579507304</v>
      </c>
      <c r="L749" s="238">
        <v>556471.2</v>
      </c>
      <c r="M749" s="254">
        <v>12017.0</v>
      </c>
      <c r="N749" s="16">
        <v>42.0</v>
      </c>
      <c r="O749" s="17">
        <v>17.0</v>
      </c>
      <c r="P749" s="17">
        <v>14.0</v>
      </c>
      <c r="Q749" s="11">
        <v>1.0267997E7</v>
      </c>
      <c r="R749" s="11">
        <v>1.0</v>
      </c>
      <c r="S749" s="24" t="s">
        <v>39</v>
      </c>
      <c r="T749" s="249" t="s">
        <v>6038</v>
      </c>
      <c r="U749" s="17">
        <v>84.0</v>
      </c>
      <c r="V749" s="16">
        <v>40.0</v>
      </c>
      <c r="W749" s="16">
        <v>7.0</v>
      </c>
      <c r="X749" s="50">
        <v>70217.0</v>
      </c>
      <c r="Y749" s="250">
        <v>2376.0</v>
      </c>
    </row>
    <row r="750">
      <c r="A750" s="11">
        <v>10.0</v>
      </c>
      <c r="B750" s="11">
        <v>14.0</v>
      </c>
      <c r="C750" s="253">
        <v>41.0</v>
      </c>
      <c r="D750" s="235">
        <v>31.0</v>
      </c>
      <c r="E750" s="235">
        <v>31.0</v>
      </c>
      <c r="F750" s="253">
        <v>41.0</v>
      </c>
      <c r="G750" s="235">
        <v>31.0</v>
      </c>
      <c r="H750" s="236">
        <v>5.5796615E7</v>
      </c>
      <c r="I750" s="16">
        <v>61.0</v>
      </c>
      <c r="J750" s="11">
        <v>6.0</v>
      </c>
      <c r="K750" s="11" t="str">
        <f t="shared" si="1"/>
        <v>00310055796615616</v>
      </c>
      <c r="L750" s="238">
        <v>362708.59</v>
      </c>
      <c r="M750" s="254">
        <v>71114.0</v>
      </c>
      <c r="N750" s="16">
        <v>75.0</v>
      </c>
      <c r="O750" s="17">
        <v>26.0</v>
      </c>
      <c r="P750" s="17">
        <v>35.0</v>
      </c>
      <c r="Q750" s="11">
        <v>6.6652613E7</v>
      </c>
      <c r="R750" s="11">
        <v>1.0</v>
      </c>
      <c r="S750" s="24" t="s">
        <v>5292</v>
      </c>
      <c r="T750" s="249" t="s">
        <v>6039</v>
      </c>
      <c r="U750" s="17">
        <v>39.0</v>
      </c>
      <c r="V750" s="16">
        <v>52.0</v>
      </c>
      <c r="W750" s="16">
        <v>64.0</v>
      </c>
      <c r="X750" s="50">
        <v>81813.0</v>
      </c>
      <c r="Y750" s="250">
        <v>4162.0</v>
      </c>
    </row>
    <row r="751">
      <c r="A751" s="11">
        <v>16.0</v>
      </c>
      <c r="B751" s="11">
        <v>55.0</v>
      </c>
      <c r="C751" s="253">
        <v>51.0</v>
      </c>
      <c r="D751" s="235">
        <v>159.0</v>
      </c>
      <c r="E751" s="235">
        <v>159.0</v>
      </c>
      <c r="F751" s="253">
        <v>51.0</v>
      </c>
      <c r="G751" s="235">
        <v>159.0</v>
      </c>
      <c r="H751" s="236">
        <v>7.9554903E7</v>
      </c>
      <c r="I751" s="16">
        <v>75.0</v>
      </c>
      <c r="J751" s="11">
        <v>3.0</v>
      </c>
      <c r="K751" s="11" t="str">
        <f t="shared" si="1"/>
        <v>01590079554903753</v>
      </c>
      <c r="L751" s="238">
        <v>58192.36</v>
      </c>
      <c r="M751" s="254">
        <v>102922.0</v>
      </c>
      <c r="N751" s="16">
        <v>20.0</v>
      </c>
      <c r="O751" s="17">
        <v>23.0</v>
      </c>
      <c r="P751" s="17">
        <v>96.0</v>
      </c>
      <c r="Q751" s="11">
        <v>6.8937907E7</v>
      </c>
      <c r="R751" s="11">
        <v>2.0</v>
      </c>
      <c r="S751" s="24" t="s">
        <v>29</v>
      </c>
      <c r="T751" s="249" t="s">
        <v>6040</v>
      </c>
      <c r="U751" s="17">
        <v>84.0</v>
      </c>
      <c r="V751" s="16">
        <v>44.0</v>
      </c>
      <c r="W751" s="16">
        <v>57.0</v>
      </c>
      <c r="X751" s="50">
        <v>101220.0</v>
      </c>
      <c r="Y751" s="250">
        <v>246.0</v>
      </c>
    </row>
    <row r="752">
      <c r="A752" s="11">
        <v>14.0</v>
      </c>
      <c r="B752" s="11">
        <v>76.0</v>
      </c>
      <c r="C752" s="253">
        <v>53.0</v>
      </c>
      <c r="D752" s="235">
        <v>3.0</v>
      </c>
      <c r="E752" s="235">
        <v>3.0</v>
      </c>
      <c r="F752" s="253">
        <v>53.0</v>
      </c>
      <c r="G752" s="235">
        <v>3.0</v>
      </c>
      <c r="H752" s="236">
        <v>9.687687E7</v>
      </c>
      <c r="I752" s="16">
        <v>60.0</v>
      </c>
      <c r="J752" s="11">
        <v>1.0</v>
      </c>
      <c r="K752" s="11" t="str">
        <f t="shared" si="1"/>
        <v>00030096876870601</v>
      </c>
      <c r="L752" s="238">
        <v>620372.99</v>
      </c>
      <c r="M752" s="254">
        <v>31214.0</v>
      </c>
      <c r="N752" s="16">
        <v>75.0</v>
      </c>
      <c r="O752" s="17">
        <v>5.0</v>
      </c>
      <c r="P752" s="17">
        <v>96.0</v>
      </c>
      <c r="Q752" s="11">
        <v>2.1264619E7</v>
      </c>
      <c r="R752" s="11">
        <v>7.0</v>
      </c>
      <c r="S752" s="24" t="s">
        <v>39</v>
      </c>
      <c r="T752" s="249" t="s">
        <v>6041</v>
      </c>
      <c r="U752" s="17">
        <v>88.0</v>
      </c>
      <c r="V752" s="16">
        <v>15.0</v>
      </c>
      <c r="W752" s="16">
        <v>3.0</v>
      </c>
      <c r="X752" s="50">
        <v>20317.0</v>
      </c>
      <c r="Y752" s="250">
        <v>223.0</v>
      </c>
    </row>
    <row r="753">
      <c r="A753" s="11">
        <v>17.0</v>
      </c>
      <c r="B753" s="11">
        <v>96.0</v>
      </c>
      <c r="C753" s="253">
        <v>49.0</v>
      </c>
      <c r="D753" s="235">
        <v>13.0</v>
      </c>
      <c r="E753" s="235">
        <v>13.0</v>
      </c>
      <c r="F753" s="253">
        <v>49.0</v>
      </c>
      <c r="G753" s="235">
        <v>13.0</v>
      </c>
      <c r="H753" s="236">
        <v>2.815277E7</v>
      </c>
      <c r="I753" s="16">
        <v>70.0</v>
      </c>
      <c r="J753" s="11">
        <v>8.0</v>
      </c>
      <c r="K753" s="11" t="str">
        <f t="shared" si="1"/>
        <v>00130028152770708</v>
      </c>
      <c r="L753" s="238">
        <v>73865.5</v>
      </c>
      <c r="M753" s="254">
        <v>63017.0</v>
      </c>
      <c r="N753" s="16">
        <v>29.0</v>
      </c>
      <c r="O753" s="17">
        <v>5.0</v>
      </c>
      <c r="P753" s="17">
        <v>96.0</v>
      </c>
      <c r="Q753" s="11">
        <v>2.5217607E7</v>
      </c>
      <c r="R753" s="11">
        <v>3.0</v>
      </c>
      <c r="S753" s="24" t="s">
        <v>39</v>
      </c>
      <c r="T753" s="249" t="s">
        <v>6042</v>
      </c>
      <c r="U753" s="17">
        <v>89.0</v>
      </c>
      <c r="V753" s="16">
        <v>90.0</v>
      </c>
      <c r="W753" s="16">
        <v>63.0</v>
      </c>
      <c r="X753" s="50">
        <v>80122.0</v>
      </c>
      <c r="Y753" s="250">
        <v>1150.0</v>
      </c>
    </row>
    <row r="754">
      <c r="A754" s="11">
        <v>15.0</v>
      </c>
      <c r="B754" s="11">
        <v>76.0</v>
      </c>
      <c r="C754" s="253">
        <v>39.0</v>
      </c>
      <c r="D754" s="235">
        <v>117.0</v>
      </c>
      <c r="E754" s="235">
        <v>117.0</v>
      </c>
      <c r="F754" s="253">
        <v>39.0</v>
      </c>
      <c r="G754" s="235">
        <v>117.0</v>
      </c>
      <c r="H754" s="236">
        <v>2.022558E7</v>
      </c>
      <c r="I754" s="16">
        <v>65.0</v>
      </c>
      <c r="J754" s="11">
        <v>5.0</v>
      </c>
      <c r="K754" s="11" t="str">
        <f t="shared" si="1"/>
        <v>01170020225580655</v>
      </c>
      <c r="L754" s="238">
        <v>57423.34</v>
      </c>
      <c r="M754" s="254">
        <v>12319.0</v>
      </c>
      <c r="N754" s="16">
        <v>93.0</v>
      </c>
      <c r="O754" s="17">
        <v>21.0</v>
      </c>
      <c r="P754" s="17">
        <v>96.0</v>
      </c>
      <c r="Q754" s="11">
        <v>3.1090278E7</v>
      </c>
      <c r="R754" s="11">
        <v>3.0</v>
      </c>
      <c r="S754" s="24" t="s">
        <v>5292</v>
      </c>
      <c r="T754" s="249" t="s">
        <v>6043</v>
      </c>
      <c r="U754" s="17">
        <v>91.0</v>
      </c>
      <c r="V754" s="16">
        <v>33.0</v>
      </c>
      <c r="W754" s="16">
        <v>64.0</v>
      </c>
      <c r="X754" s="50">
        <v>42514.0</v>
      </c>
      <c r="Y754" s="250">
        <v>8095.0</v>
      </c>
    </row>
    <row r="755">
      <c r="A755" s="11">
        <v>10.0</v>
      </c>
      <c r="B755" s="11">
        <v>76.0</v>
      </c>
      <c r="C755" s="253">
        <v>48.0</v>
      </c>
      <c r="D755" s="235">
        <v>341.0</v>
      </c>
      <c r="E755" s="235">
        <v>341.0</v>
      </c>
      <c r="F755" s="253">
        <v>48.0</v>
      </c>
      <c r="G755" s="235">
        <v>341.0</v>
      </c>
      <c r="H755" s="236">
        <v>5.3790658E7</v>
      </c>
      <c r="I755" s="16">
        <v>3.0</v>
      </c>
      <c r="J755" s="11">
        <v>8.0</v>
      </c>
      <c r="K755" s="11" t="str">
        <f t="shared" si="1"/>
        <v>03410053790658038</v>
      </c>
      <c r="L755" s="238">
        <v>926886.77</v>
      </c>
      <c r="M755" s="254">
        <v>60323.0</v>
      </c>
      <c r="N755" s="16">
        <v>43.0</v>
      </c>
      <c r="O755" s="17">
        <v>31.0</v>
      </c>
      <c r="P755" s="17">
        <v>55.0</v>
      </c>
      <c r="Q755" s="11">
        <v>8.3555762E7</v>
      </c>
      <c r="R755" s="11">
        <v>9.0</v>
      </c>
      <c r="S755" s="24" t="s">
        <v>39</v>
      </c>
      <c r="T755" s="249" t="s">
        <v>6044</v>
      </c>
      <c r="U755" s="17">
        <v>96.0</v>
      </c>
      <c r="V755" s="16">
        <v>17.0</v>
      </c>
      <c r="W755" s="16">
        <v>50.0</v>
      </c>
      <c r="X755" s="50">
        <v>52319.0</v>
      </c>
      <c r="Y755" s="250">
        <v>5171.0</v>
      </c>
    </row>
    <row r="756">
      <c r="A756" s="11">
        <v>14.0</v>
      </c>
      <c r="B756" s="11">
        <v>76.0</v>
      </c>
      <c r="C756" s="253">
        <v>54.0</v>
      </c>
      <c r="D756" s="235">
        <v>59.0</v>
      </c>
      <c r="E756" s="235">
        <v>59.0</v>
      </c>
      <c r="F756" s="253">
        <v>54.0</v>
      </c>
      <c r="G756" s="235">
        <v>59.0</v>
      </c>
      <c r="H756" s="236">
        <v>6.6847732E7</v>
      </c>
      <c r="I756" s="16">
        <v>21.0</v>
      </c>
      <c r="J756" s="11">
        <v>8.0</v>
      </c>
      <c r="K756" s="11" t="str">
        <f t="shared" si="1"/>
        <v>00590066847732218</v>
      </c>
      <c r="L756" s="238">
        <v>244489.4</v>
      </c>
      <c r="M756" s="254">
        <v>82619.0</v>
      </c>
      <c r="N756" s="16">
        <v>93.0</v>
      </c>
      <c r="O756" s="17">
        <v>53.0</v>
      </c>
      <c r="P756" s="17">
        <v>15.0</v>
      </c>
      <c r="Q756" s="11">
        <v>9.8141234E7</v>
      </c>
      <c r="R756" s="11">
        <v>1.0</v>
      </c>
      <c r="S756" s="24" t="s">
        <v>48</v>
      </c>
      <c r="T756" s="249" t="s">
        <v>6045</v>
      </c>
      <c r="U756" s="17">
        <v>2.0</v>
      </c>
      <c r="V756" s="16">
        <v>75.0</v>
      </c>
      <c r="W756" s="16">
        <v>99.0</v>
      </c>
      <c r="X756" s="50">
        <v>111116.0</v>
      </c>
      <c r="Y756" s="250">
        <v>9370.0</v>
      </c>
    </row>
    <row r="757">
      <c r="A757" s="11">
        <v>14.0</v>
      </c>
      <c r="B757" s="11">
        <v>35.0</v>
      </c>
      <c r="C757" s="253">
        <v>20.0</v>
      </c>
      <c r="D757" s="235">
        <v>109.0</v>
      </c>
      <c r="E757" s="235">
        <v>109.0</v>
      </c>
      <c r="F757" s="253">
        <v>20.0</v>
      </c>
      <c r="G757" s="235">
        <v>109.0</v>
      </c>
      <c r="H757" s="236">
        <v>4.0285502E7</v>
      </c>
      <c r="I757" s="16">
        <v>38.0</v>
      </c>
      <c r="J757" s="11">
        <v>6.0</v>
      </c>
      <c r="K757" s="11" t="str">
        <f t="shared" si="1"/>
        <v>01090040285502386</v>
      </c>
      <c r="L757" s="238">
        <v>90113.12</v>
      </c>
      <c r="M757" s="254">
        <v>60516.0</v>
      </c>
      <c r="N757" s="16">
        <v>19.0</v>
      </c>
      <c r="O757" s="17">
        <v>55.0</v>
      </c>
      <c r="P757" s="17">
        <v>96.0</v>
      </c>
      <c r="Q757" s="11">
        <v>2.1207255E7</v>
      </c>
      <c r="R757" s="11">
        <v>8.0</v>
      </c>
      <c r="S757" s="24" t="s">
        <v>39</v>
      </c>
      <c r="T757" s="249" t="s">
        <v>6046</v>
      </c>
      <c r="U757" s="17">
        <v>94.0</v>
      </c>
      <c r="V757" s="16">
        <v>28.0</v>
      </c>
      <c r="W757" s="16">
        <v>59.0</v>
      </c>
      <c r="X757" s="50">
        <v>42819.0</v>
      </c>
      <c r="Y757" s="250">
        <v>8634.0</v>
      </c>
    </row>
    <row r="758">
      <c r="A758" s="11">
        <v>19.0</v>
      </c>
      <c r="B758" s="11">
        <v>15.0</v>
      </c>
      <c r="C758" s="253">
        <v>48.0</v>
      </c>
      <c r="D758" s="235">
        <v>215.0</v>
      </c>
      <c r="E758" s="235">
        <v>215.0</v>
      </c>
      <c r="F758" s="253">
        <v>48.0</v>
      </c>
      <c r="G758" s="235">
        <v>215.0</v>
      </c>
      <c r="H758" s="236">
        <v>1.2604516E7</v>
      </c>
      <c r="I758" s="16">
        <v>16.0</v>
      </c>
      <c r="J758" s="11">
        <v>1.0</v>
      </c>
      <c r="K758" s="11" t="str">
        <f t="shared" si="1"/>
        <v>02150012604516161</v>
      </c>
      <c r="L758" s="238">
        <v>80220.12</v>
      </c>
      <c r="M758" s="254">
        <v>91716.0</v>
      </c>
      <c r="N758" s="16">
        <v>89.0</v>
      </c>
      <c r="O758" s="17">
        <v>40.0</v>
      </c>
      <c r="P758" s="17">
        <v>96.0</v>
      </c>
      <c r="Q758" s="11">
        <v>5.5756885E7</v>
      </c>
      <c r="R758" s="11">
        <v>1.0</v>
      </c>
      <c r="S758" s="24" t="s">
        <v>29</v>
      </c>
      <c r="T758" s="249" t="s">
        <v>6047</v>
      </c>
      <c r="U758" s="17">
        <v>96.0</v>
      </c>
      <c r="V758" s="16">
        <v>34.0</v>
      </c>
      <c r="W758" s="16">
        <v>76.0</v>
      </c>
      <c r="X758" s="50">
        <v>122816.0</v>
      </c>
      <c r="Y758" s="250">
        <v>2840.0</v>
      </c>
    </row>
    <row r="759">
      <c r="A759" s="11">
        <v>14.0</v>
      </c>
      <c r="B759" s="11">
        <v>56.0</v>
      </c>
      <c r="C759" s="253">
        <v>42.0</v>
      </c>
      <c r="D759" s="235">
        <v>131.0</v>
      </c>
      <c r="E759" s="235">
        <v>131.0</v>
      </c>
      <c r="F759" s="253">
        <v>42.0</v>
      </c>
      <c r="G759" s="235">
        <v>131.0</v>
      </c>
      <c r="H759" s="236">
        <v>5.4494075E7</v>
      </c>
      <c r="I759" s="16">
        <v>6.0</v>
      </c>
      <c r="J759" s="11">
        <v>4.0</v>
      </c>
      <c r="K759" s="11" t="str">
        <f t="shared" si="1"/>
        <v>01310054494075064</v>
      </c>
      <c r="L759" s="238">
        <v>8693.17</v>
      </c>
      <c r="M759" s="254">
        <v>90523.0</v>
      </c>
      <c r="N759" s="16">
        <v>41.0</v>
      </c>
      <c r="O759" s="17">
        <v>54.0</v>
      </c>
      <c r="P759" s="17">
        <v>56.0</v>
      </c>
      <c r="Q759" s="11">
        <v>3.2726612E7</v>
      </c>
      <c r="R759" s="11">
        <v>8.0</v>
      </c>
      <c r="S759" s="24" t="s">
        <v>5292</v>
      </c>
      <c r="T759" s="249" t="s">
        <v>6048</v>
      </c>
      <c r="U759" s="17">
        <v>0.0</v>
      </c>
      <c r="V759" s="16">
        <v>67.0</v>
      </c>
      <c r="W759" s="16">
        <v>25.0</v>
      </c>
      <c r="X759" s="50">
        <v>30219.0</v>
      </c>
      <c r="Y759" s="250">
        <v>2773.0</v>
      </c>
    </row>
    <row r="760">
      <c r="A760" s="11">
        <v>14.0</v>
      </c>
      <c r="B760" s="11">
        <v>76.0</v>
      </c>
      <c r="C760" s="253">
        <v>47.0</v>
      </c>
      <c r="D760" s="235">
        <v>35.0</v>
      </c>
      <c r="E760" s="235">
        <v>35.0</v>
      </c>
      <c r="F760" s="253">
        <v>47.0</v>
      </c>
      <c r="G760" s="235">
        <v>35.0</v>
      </c>
      <c r="H760" s="236">
        <v>5.0025031E7</v>
      </c>
      <c r="I760" s="16">
        <v>39.0</v>
      </c>
      <c r="J760" s="11">
        <v>0.0</v>
      </c>
      <c r="K760" s="11" t="str">
        <f t="shared" si="1"/>
        <v>00350050025031390</v>
      </c>
      <c r="L760" s="238">
        <v>-4344.78</v>
      </c>
      <c r="M760" s="254">
        <v>32119.0</v>
      </c>
      <c r="N760" s="16">
        <v>24.0</v>
      </c>
      <c r="O760" s="17">
        <v>36.0</v>
      </c>
      <c r="P760" s="17">
        <v>76.0</v>
      </c>
      <c r="Q760" s="11">
        <v>5.2601578E7</v>
      </c>
      <c r="R760" s="11">
        <v>7.0</v>
      </c>
      <c r="S760" s="24" t="s">
        <v>29</v>
      </c>
      <c r="T760" s="249" t="s">
        <v>6049</v>
      </c>
      <c r="U760" s="17">
        <v>47.0</v>
      </c>
      <c r="V760" s="16">
        <v>47.0</v>
      </c>
      <c r="W760" s="16">
        <v>45.0</v>
      </c>
      <c r="X760" s="50">
        <v>51919.0</v>
      </c>
      <c r="Y760" s="250">
        <v>5492.0</v>
      </c>
    </row>
    <row r="761">
      <c r="A761" s="11">
        <v>16.0</v>
      </c>
      <c r="B761" s="11">
        <v>35.0</v>
      </c>
      <c r="C761" s="253">
        <v>32.0</v>
      </c>
      <c r="D761" s="235">
        <v>17.0</v>
      </c>
      <c r="E761" s="235">
        <v>17.0</v>
      </c>
      <c r="F761" s="253">
        <v>32.0</v>
      </c>
      <c r="G761" s="235">
        <v>17.0</v>
      </c>
      <c r="H761" s="236">
        <v>2.4595697E7</v>
      </c>
      <c r="I761" s="16">
        <v>45.0</v>
      </c>
      <c r="J761" s="11">
        <v>4.0</v>
      </c>
      <c r="K761" s="11" t="str">
        <f t="shared" si="1"/>
        <v>00170024595697454</v>
      </c>
      <c r="L761" s="238">
        <v>-9516.2</v>
      </c>
      <c r="M761" s="254">
        <v>91315.0</v>
      </c>
      <c r="N761" s="16">
        <v>51.0</v>
      </c>
      <c r="O761" s="17">
        <v>21.0</v>
      </c>
      <c r="P761" s="17">
        <v>15.0</v>
      </c>
      <c r="Q761" s="11">
        <v>9.8174419E7</v>
      </c>
      <c r="R761" s="11">
        <v>6.0</v>
      </c>
      <c r="S761" s="24" t="s">
        <v>48</v>
      </c>
      <c r="T761" s="249" t="s">
        <v>6050</v>
      </c>
      <c r="U761" s="17">
        <v>3.0</v>
      </c>
      <c r="V761" s="16">
        <v>90.0</v>
      </c>
      <c r="W761" s="16">
        <v>78.0</v>
      </c>
      <c r="X761" s="50">
        <v>52019.0</v>
      </c>
      <c r="Y761" s="250">
        <v>2402.0</v>
      </c>
    </row>
    <row r="762">
      <c r="A762" s="11">
        <v>18.0</v>
      </c>
      <c r="B762" s="11">
        <v>35.0</v>
      </c>
      <c r="C762" s="253">
        <v>46.0</v>
      </c>
      <c r="D762" s="235">
        <v>31.0</v>
      </c>
      <c r="E762" s="235">
        <v>31.0</v>
      </c>
      <c r="F762" s="253">
        <v>46.0</v>
      </c>
      <c r="G762" s="235">
        <v>31.0</v>
      </c>
      <c r="H762" s="236">
        <v>8.1926045E7</v>
      </c>
      <c r="I762" s="16">
        <v>94.0</v>
      </c>
      <c r="J762" s="11">
        <v>7.0</v>
      </c>
      <c r="K762" s="11" t="str">
        <f t="shared" si="1"/>
        <v>00310081926045947</v>
      </c>
      <c r="L762" s="238">
        <v>78348.85</v>
      </c>
      <c r="M762" s="254">
        <v>90422.0</v>
      </c>
      <c r="N762" s="16">
        <v>36.0</v>
      </c>
      <c r="O762" s="17">
        <v>24.0</v>
      </c>
      <c r="P762" s="17">
        <v>56.0</v>
      </c>
      <c r="Q762" s="11">
        <v>9.4829001E7</v>
      </c>
      <c r="R762" s="11">
        <v>8.0</v>
      </c>
      <c r="S762" s="24" t="s">
        <v>5292</v>
      </c>
      <c r="T762" s="249" t="s">
        <v>6051</v>
      </c>
      <c r="U762" s="17">
        <v>4.0</v>
      </c>
      <c r="V762" s="16">
        <v>75.0</v>
      </c>
      <c r="W762" s="16">
        <v>73.0</v>
      </c>
      <c r="X762" s="50">
        <v>113021.0</v>
      </c>
      <c r="Y762" s="250">
        <v>206.0</v>
      </c>
    </row>
    <row r="763">
      <c r="A763" s="11">
        <v>14.0</v>
      </c>
      <c r="B763" s="11">
        <v>15.0</v>
      </c>
      <c r="C763" s="253">
        <v>21.0</v>
      </c>
      <c r="D763" s="235">
        <v>15.0</v>
      </c>
      <c r="E763" s="235">
        <v>15.0</v>
      </c>
      <c r="F763" s="253">
        <v>21.0</v>
      </c>
      <c r="G763" s="235">
        <v>15.0</v>
      </c>
      <c r="H763" s="236">
        <v>7.2331957E7</v>
      </c>
      <c r="I763" s="16">
        <v>57.0</v>
      </c>
      <c r="J763" s="11">
        <v>4.0</v>
      </c>
      <c r="K763" s="11" t="str">
        <f t="shared" si="1"/>
        <v>00150072331957574</v>
      </c>
      <c r="L763" s="238">
        <v>87528.46</v>
      </c>
      <c r="M763" s="254">
        <v>11015.0</v>
      </c>
      <c r="N763" s="16">
        <v>16.0</v>
      </c>
      <c r="O763" s="17">
        <v>49.0</v>
      </c>
      <c r="P763" s="17">
        <v>15.0</v>
      </c>
      <c r="Q763" s="11">
        <v>5.8643912E7</v>
      </c>
      <c r="R763" s="11">
        <v>3.0</v>
      </c>
      <c r="S763" s="24" t="s">
        <v>29</v>
      </c>
      <c r="T763" s="249" t="s">
        <v>6052</v>
      </c>
      <c r="U763" s="17">
        <v>11.0</v>
      </c>
      <c r="V763" s="16">
        <v>47.0</v>
      </c>
      <c r="W763" s="16">
        <v>94.0</v>
      </c>
      <c r="X763" s="50">
        <v>42619.0</v>
      </c>
      <c r="Y763" s="250">
        <v>8250.0</v>
      </c>
    </row>
    <row r="764">
      <c r="A764" s="11">
        <v>15.0</v>
      </c>
      <c r="B764" s="11">
        <v>56.0</v>
      </c>
      <c r="C764" s="253">
        <v>1.0</v>
      </c>
      <c r="D764" s="235">
        <v>25.0</v>
      </c>
      <c r="E764" s="235">
        <v>25.0</v>
      </c>
      <c r="F764" s="253">
        <v>1.0</v>
      </c>
      <c r="G764" s="235">
        <v>25.0</v>
      </c>
      <c r="H764" s="236">
        <v>4.6575368E7</v>
      </c>
      <c r="I764" s="16">
        <v>58.0</v>
      </c>
      <c r="J764" s="11">
        <v>0.0</v>
      </c>
      <c r="K764" s="11" t="str">
        <f t="shared" si="1"/>
        <v>00250046575368580</v>
      </c>
      <c r="L764" s="238">
        <v>-297.83</v>
      </c>
      <c r="M764" s="254">
        <v>32420.0</v>
      </c>
      <c r="N764" s="16">
        <v>43.0</v>
      </c>
      <c r="O764" s="17">
        <v>6.0</v>
      </c>
      <c r="P764" s="17">
        <v>35.0</v>
      </c>
      <c r="Q764" s="11">
        <v>2.7050378E7</v>
      </c>
      <c r="R764" s="11">
        <v>9.0</v>
      </c>
      <c r="S764" s="24" t="s">
        <v>39</v>
      </c>
      <c r="T764" s="249" t="s">
        <v>6053</v>
      </c>
      <c r="U764" s="17">
        <v>61.0</v>
      </c>
      <c r="V764" s="16">
        <v>13.0</v>
      </c>
      <c r="W764" s="16">
        <v>89.0</v>
      </c>
      <c r="X764" s="50">
        <v>71814.0</v>
      </c>
      <c r="Y764" s="250">
        <v>5898.0</v>
      </c>
    </row>
    <row r="765">
      <c r="A765" s="11">
        <v>19.0</v>
      </c>
      <c r="B765" s="11">
        <v>15.0</v>
      </c>
      <c r="C765" s="253">
        <v>10.0</v>
      </c>
      <c r="D765" s="235">
        <v>5.0</v>
      </c>
      <c r="E765" s="235">
        <v>5.0</v>
      </c>
      <c r="F765" s="253">
        <v>10.0</v>
      </c>
      <c r="G765" s="235">
        <v>5.0</v>
      </c>
      <c r="H765" s="236">
        <v>7.3324617E7</v>
      </c>
      <c r="I765" s="16">
        <v>23.0</v>
      </c>
      <c r="J765" s="11">
        <v>3.0</v>
      </c>
      <c r="K765" s="11" t="str">
        <f t="shared" si="1"/>
        <v>00050073324617233</v>
      </c>
      <c r="L765" s="238">
        <v>322.99</v>
      </c>
      <c r="M765" s="254">
        <v>40714.0</v>
      </c>
      <c r="N765" s="16">
        <v>72.0</v>
      </c>
      <c r="O765" s="17">
        <v>10.0</v>
      </c>
      <c r="P765" s="17">
        <v>97.0</v>
      </c>
      <c r="Q765" s="11">
        <v>9.6146453E7</v>
      </c>
      <c r="R765" s="11">
        <v>0.0</v>
      </c>
      <c r="S765" s="24" t="s">
        <v>29</v>
      </c>
      <c r="T765" s="249" t="s">
        <v>6054</v>
      </c>
      <c r="U765" s="17">
        <v>11.0</v>
      </c>
      <c r="V765" s="16">
        <v>39.0</v>
      </c>
      <c r="W765" s="16">
        <v>34.0</v>
      </c>
      <c r="X765" s="50">
        <v>40618.0</v>
      </c>
      <c r="Y765" s="250">
        <v>1028.0</v>
      </c>
    </row>
    <row r="766">
      <c r="A766" s="11">
        <v>13.0</v>
      </c>
      <c r="B766" s="11">
        <v>56.0</v>
      </c>
      <c r="C766" s="253">
        <v>45.0</v>
      </c>
      <c r="D766" s="235">
        <v>41.0</v>
      </c>
      <c r="E766" s="235">
        <v>41.0</v>
      </c>
      <c r="F766" s="253">
        <v>45.0</v>
      </c>
      <c r="G766" s="235">
        <v>41.0</v>
      </c>
      <c r="H766" s="236">
        <v>9.8228227E7</v>
      </c>
      <c r="I766" s="16">
        <v>59.0</v>
      </c>
      <c r="J766" s="11">
        <v>9.0</v>
      </c>
      <c r="K766" s="11" t="str">
        <f t="shared" si="1"/>
        <v>00410098228227599</v>
      </c>
      <c r="L766" s="238">
        <v>-1634.81</v>
      </c>
      <c r="M766" s="254">
        <v>61317.0</v>
      </c>
      <c r="N766" s="16">
        <v>26.0</v>
      </c>
      <c r="O766" s="17">
        <v>12.0</v>
      </c>
      <c r="P766" s="17">
        <v>35.0</v>
      </c>
      <c r="Q766" s="11">
        <v>9.2164871E7</v>
      </c>
      <c r="R766" s="11">
        <v>0.0</v>
      </c>
      <c r="S766" s="24" t="s">
        <v>39</v>
      </c>
      <c r="T766" s="249" t="s">
        <v>6055</v>
      </c>
      <c r="U766" s="17">
        <v>67.0</v>
      </c>
      <c r="V766" s="16">
        <v>43.0</v>
      </c>
      <c r="W766" s="16">
        <v>40.0</v>
      </c>
      <c r="X766" s="50">
        <v>12713.0</v>
      </c>
      <c r="Y766" s="250">
        <v>999.0</v>
      </c>
    </row>
    <row r="767">
      <c r="A767" s="11">
        <v>15.0</v>
      </c>
      <c r="B767" s="11">
        <v>15.0</v>
      </c>
      <c r="C767" s="253">
        <v>46.0</v>
      </c>
      <c r="D767" s="235">
        <v>83.0</v>
      </c>
      <c r="E767" s="235">
        <v>83.0</v>
      </c>
      <c r="F767" s="253">
        <v>46.0</v>
      </c>
      <c r="G767" s="235">
        <v>83.0</v>
      </c>
      <c r="H767" s="236">
        <v>8.4566993E7</v>
      </c>
      <c r="I767" s="16">
        <v>12.0</v>
      </c>
      <c r="J767" s="11">
        <v>2.0</v>
      </c>
      <c r="K767" s="11" t="str">
        <f t="shared" si="1"/>
        <v>00830084566993122</v>
      </c>
      <c r="L767" s="238">
        <v>5713.88</v>
      </c>
      <c r="M767" s="254">
        <v>72820.0</v>
      </c>
      <c r="N767" s="16">
        <v>43.0</v>
      </c>
      <c r="O767" s="17">
        <v>50.0</v>
      </c>
      <c r="P767" s="17">
        <v>15.0</v>
      </c>
      <c r="Q767" s="11">
        <v>7.715112E7</v>
      </c>
      <c r="R767" s="11">
        <v>2.0</v>
      </c>
      <c r="S767" s="24" t="s">
        <v>48</v>
      </c>
      <c r="T767" s="249" t="s">
        <v>6056</v>
      </c>
      <c r="U767" s="17">
        <v>22.0</v>
      </c>
      <c r="V767" s="16">
        <v>87.0</v>
      </c>
      <c r="W767" s="16">
        <v>8.0</v>
      </c>
      <c r="X767" s="50">
        <v>100515.0</v>
      </c>
      <c r="Y767" s="250">
        <v>3599.0</v>
      </c>
    </row>
    <row r="768">
      <c r="A768" s="11">
        <v>13.0</v>
      </c>
      <c r="B768" s="11">
        <v>35.0</v>
      </c>
      <c r="C768" s="253">
        <v>24.0</v>
      </c>
      <c r="D768" s="235">
        <v>19.0</v>
      </c>
      <c r="E768" s="235">
        <v>19.0</v>
      </c>
      <c r="F768" s="253">
        <v>24.0</v>
      </c>
      <c r="G768" s="235">
        <v>19.0</v>
      </c>
      <c r="H768" s="236">
        <v>5.7613558E7</v>
      </c>
      <c r="I768" s="16">
        <v>30.0</v>
      </c>
      <c r="J768" s="11">
        <v>8.0</v>
      </c>
      <c r="K768" s="11" t="str">
        <f t="shared" si="1"/>
        <v>00190057613558308</v>
      </c>
      <c r="L768" s="238">
        <v>-33664.59</v>
      </c>
      <c r="M768" s="254">
        <v>122015.0</v>
      </c>
      <c r="N768" s="16">
        <v>89.0</v>
      </c>
      <c r="O768" s="17">
        <v>55.0</v>
      </c>
      <c r="P768" s="17">
        <v>56.0</v>
      </c>
      <c r="Q768" s="11">
        <v>8.1286912E7</v>
      </c>
      <c r="R768" s="11">
        <v>4.0</v>
      </c>
      <c r="S768" s="24" t="s">
        <v>29</v>
      </c>
      <c r="T768" s="249" t="s">
        <v>6057</v>
      </c>
      <c r="U768" s="17">
        <v>20.0</v>
      </c>
      <c r="V768" s="16">
        <v>90.0</v>
      </c>
      <c r="W768" s="16">
        <v>34.0</v>
      </c>
      <c r="X768" s="50">
        <v>31415.0</v>
      </c>
      <c r="Y768" s="250">
        <v>2740.0</v>
      </c>
    </row>
    <row r="769">
      <c r="A769" s="11">
        <v>14.0</v>
      </c>
      <c r="B769" s="11">
        <v>56.0</v>
      </c>
      <c r="C769" s="253">
        <v>45.0</v>
      </c>
      <c r="D769" s="235">
        <v>71.0</v>
      </c>
      <c r="E769" s="235">
        <v>71.0</v>
      </c>
      <c r="F769" s="253">
        <v>45.0</v>
      </c>
      <c r="G769" s="235">
        <v>71.0</v>
      </c>
      <c r="H769" s="236">
        <v>5.3656503E7</v>
      </c>
      <c r="I769" s="16">
        <v>43.0</v>
      </c>
      <c r="J769" s="11">
        <v>2.0</v>
      </c>
      <c r="K769" s="11" t="str">
        <f t="shared" si="1"/>
        <v>00710053656503432</v>
      </c>
      <c r="L769" s="238">
        <v>280925.19</v>
      </c>
      <c r="M769" s="254">
        <v>41015.0</v>
      </c>
      <c r="N769" s="16">
        <v>38.0</v>
      </c>
      <c r="O769" s="17">
        <v>48.0</v>
      </c>
      <c r="P769" s="17">
        <v>35.0</v>
      </c>
      <c r="Q769" s="11">
        <v>6.9717454E7</v>
      </c>
      <c r="R769" s="11">
        <v>3.0</v>
      </c>
      <c r="S769" s="24" t="s">
        <v>5292</v>
      </c>
      <c r="T769" s="249" t="s">
        <v>6058</v>
      </c>
      <c r="U769" s="17">
        <v>72.0</v>
      </c>
      <c r="V769" s="16">
        <v>14.0</v>
      </c>
      <c r="W769" s="16">
        <v>1.0</v>
      </c>
      <c r="X769" s="50">
        <v>111120.0</v>
      </c>
      <c r="Y769" s="250">
        <v>4170.0</v>
      </c>
    </row>
    <row r="770">
      <c r="A770" s="11">
        <v>12.0</v>
      </c>
      <c r="B770" s="11">
        <v>97.0</v>
      </c>
      <c r="C770" s="253">
        <v>1.0</v>
      </c>
      <c r="D770" s="235">
        <v>49.0</v>
      </c>
      <c r="E770" s="235">
        <v>49.0</v>
      </c>
      <c r="F770" s="253">
        <v>1.0</v>
      </c>
      <c r="G770" s="235">
        <v>49.0</v>
      </c>
      <c r="H770" s="236">
        <v>4.4400393E7</v>
      </c>
      <c r="I770" s="16">
        <v>30.0</v>
      </c>
      <c r="J770" s="11">
        <v>6.0</v>
      </c>
      <c r="K770" s="11" t="str">
        <f t="shared" si="1"/>
        <v>00490044400393306</v>
      </c>
      <c r="L770" s="238">
        <v>671.51</v>
      </c>
      <c r="M770" s="254">
        <v>122114.0</v>
      </c>
      <c r="N770" s="16">
        <v>70.0</v>
      </c>
      <c r="O770" s="17">
        <v>5.0</v>
      </c>
      <c r="P770" s="17">
        <v>97.0</v>
      </c>
      <c r="Q770" s="11">
        <v>6.1483928E7</v>
      </c>
      <c r="R770" s="11">
        <v>9.0</v>
      </c>
      <c r="S770" s="24" t="s">
        <v>29</v>
      </c>
      <c r="T770" s="249" t="s">
        <v>6059</v>
      </c>
      <c r="U770" s="17">
        <v>18.0</v>
      </c>
      <c r="V770" s="16">
        <v>62.0</v>
      </c>
      <c r="W770" s="16">
        <v>92.0</v>
      </c>
      <c r="X770" s="50">
        <v>22822.0</v>
      </c>
      <c r="Y770" s="250">
        <v>1739.0</v>
      </c>
    </row>
    <row r="771">
      <c r="A771" s="11">
        <v>18.0</v>
      </c>
      <c r="B771" s="11">
        <v>56.0</v>
      </c>
      <c r="C771" s="253">
        <v>31.0</v>
      </c>
      <c r="D771" s="235">
        <v>101.0</v>
      </c>
      <c r="E771" s="235">
        <v>101.0</v>
      </c>
      <c r="F771" s="253">
        <v>31.0</v>
      </c>
      <c r="G771" s="235">
        <v>101.0</v>
      </c>
      <c r="H771" s="236">
        <v>2.3169478E7</v>
      </c>
      <c r="I771" s="16">
        <v>49.0</v>
      </c>
      <c r="J771" s="11">
        <v>2.0</v>
      </c>
      <c r="K771" s="11" t="str">
        <f t="shared" si="1"/>
        <v>01010023169478492</v>
      </c>
      <c r="L771" s="238">
        <v>520606.65</v>
      </c>
      <c r="M771" s="254">
        <v>72420.0</v>
      </c>
      <c r="N771" s="16">
        <v>47.0</v>
      </c>
      <c r="O771" s="17">
        <v>21.0</v>
      </c>
      <c r="P771" s="17">
        <v>76.0</v>
      </c>
      <c r="Q771" s="11">
        <v>9.3392002E7</v>
      </c>
      <c r="R771" s="11">
        <v>5.0</v>
      </c>
      <c r="S771" s="24" t="s">
        <v>29</v>
      </c>
      <c r="T771" s="249" t="s">
        <v>6060</v>
      </c>
      <c r="U771" s="17">
        <v>71.0</v>
      </c>
      <c r="V771" s="16">
        <v>78.0</v>
      </c>
      <c r="W771" s="16">
        <v>7.0</v>
      </c>
      <c r="X771" s="50">
        <v>30318.0</v>
      </c>
      <c r="Y771" s="250">
        <v>2614.0</v>
      </c>
    </row>
    <row r="772">
      <c r="A772" s="11">
        <v>20.0</v>
      </c>
      <c r="B772" s="11">
        <v>76.0</v>
      </c>
      <c r="C772" s="253">
        <v>39.0</v>
      </c>
      <c r="D772" s="235">
        <v>97.0</v>
      </c>
      <c r="E772" s="235">
        <v>97.0</v>
      </c>
      <c r="F772" s="253">
        <v>39.0</v>
      </c>
      <c r="G772" s="235">
        <v>97.0</v>
      </c>
      <c r="H772" s="236">
        <v>3.5630709E7</v>
      </c>
      <c r="I772" s="16">
        <v>85.0</v>
      </c>
      <c r="J772" s="11">
        <v>5.0</v>
      </c>
      <c r="K772" s="11" t="str">
        <f t="shared" si="1"/>
        <v>00970035630709855</v>
      </c>
      <c r="L772" s="238">
        <v>-272858.19</v>
      </c>
      <c r="M772" s="254">
        <v>21013.0</v>
      </c>
      <c r="N772" s="16">
        <v>68.0</v>
      </c>
      <c r="O772" s="17">
        <v>45.0</v>
      </c>
      <c r="P772" s="17">
        <v>76.0</v>
      </c>
      <c r="Q772" s="11">
        <v>5.5244299E7</v>
      </c>
      <c r="R772" s="11">
        <v>8.0</v>
      </c>
      <c r="S772" s="24" t="s">
        <v>48</v>
      </c>
      <c r="T772" s="249" t="s">
        <v>6061</v>
      </c>
      <c r="U772" s="17">
        <v>75.0</v>
      </c>
      <c r="V772" s="16">
        <v>63.0</v>
      </c>
      <c r="W772" s="16">
        <v>60.0</v>
      </c>
      <c r="X772" s="50">
        <v>103019.0</v>
      </c>
      <c r="Y772" s="250">
        <v>68.0</v>
      </c>
    </row>
    <row r="773">
      <c r="A773" s="11">
        <v>14.0</v>
      </c>
      <c r="B773" s="11">
        <v>76.0</v>
      </c>
      <c r="C773" s="253">
        <v>53.0</v>
      </c>
      <c r="D773" s="235">
        <v>7.0</v>
      </c>
      <c r="E773" s="235">
        <v>7.0</v>
      </c>
      <c r="F773" s="253">
        <v>53.0</v>
      </c>
      <c r="G773" s="235">
        <v>7.0</v>
      </c>
      <c r="H773" s="236">
        <v>8.8633442E7</v>
      </c>
      <c r="I773" s="16">
        <v>88.0</v>
      </c>
      <c r="J773" s="11">
        <v>2.0</v>
      </c>
      <c r="K773" s="11" t="str">
        <f t="shared" si="1"/>
        <v>00070088633442882</v>
      </c>
      <c r="L773" s="238">
        <v>84077.25</v>
      </c>
      <c r="M773" s="254">
        <v>81315.0</v>
      </c>
      <c r="N773" s="16">
        <v>53.0</v>
      </c>
      <c r="O773" s="17">
        <v>29.0</v>
      </c>
      <c r="P773" s="17">
        <v>97.0</v>
      </c>
      <c r="Q773" s="11">
        <v>9.823879E7</v>
      </c>
      <c r="R773" s="11">
        <v>9.0</v>
      </c>
      <c r="S773" s="24" t="s">
        <v>5292</v>
      </c>
      <c r="T773" s="249" t="s">
        <v>6062</v>
      </c>
      <c r="U773" s="17">
        <v>23.0</v>
      </c>
      <c r="V773" s="16">
        <v>17.0</v>
      </c>
      <c r="W773" s="16">
        <v>26.0</v>
      </c>
      <c r="X773" s="50">
        <v>51318.0</v>
      </c>
      <c r="Y773" s="250">
        <v>728.0</v>
      </c>
    </row>
    <row r="774">
      <c r="A774" s="11">
        <v>18.0</v>
      </c>
      <c r="B774" s="11">
        <v>35.0</v>
      </c>
      <c r="C774" s="253">
        <v>46.0</v>
      </c>
      <c r="D774" s="235">
        <v>95.0</v>
      </c>
      <c r="E774" s="235">
        <v>95.0</v>
      </c>
      <c r="F774" s="253">
        <v>46.0</v>
      </c>
      <c r="G774" s="235">
        <v>95.0</v>
      </c>
      <c r="H774" s="236">
        <v>2.6062823E7</v>
      </c>
      <c r="I774" s="16">
        <v>59.0</v>
      </c>
      <c r="J774" s="11">
        <v>5.0</v>
      </c>
      <c r="K774" s="11" t="str">
        <f t="shared" si="1"/>
        <v>00950026062823595</v>
      </c>
      <c r="L774" s="238">
        <v>882662.17</v>
      </c>
      <c r="M774" s="254">
        <v>20915.0</v>
      </c>
      <c r="N774" s="16">
        <v>67.0</v>
      </c>
      <c r="O774" s="17">
        <v>34.0</v>
      </c>
      <c r="P774" s="17">
        <v>15.0</v>
      </c>
      <c r="Q774" s="11">
        <v>4.3687049E7</v>
      </c>
      <c r="R774" s="11">
        <v>5.0</v>
      </c>
      <c r="S774" s="24" t="s">
        <v>29</v>
      </c>
      <c r="T774" s="249" t="s">
        <v>6063</v>
      </c>
      <c r="U774" s="17">
        <v>33.0</v>
      </c>
      <c r="V774" s="16">
        <v>25.0</v>
      </c>
      <c r="W774" s="16">
        <v>92.0</v>
      </c>
      <c r="X774" s="50">
        <v>101520.0</v>
      </c>
      <c r="Y774" s="250">
        <v>5809.0</v>
      </c>
    </row>
    <row r="775">
      <c r="A775" s="11">
        <v>13.0</v>
      </c>
      <c r="B775" s="11">
        <v>15.0</v>
      </c>
      <c r="C775" s="253">
        <v>27.0</v>
      </c>
      <c r="D775" s="235">
        <v>115.0</v>
      </c>
      <c r="E775" s="235">
        <v>115.0</v>
      </c>
      <c r="F775" s="253">
        <v>27.0</v>
      </c>
      <c r="G775" s="235">
        <v>115.0</v>
      </c>
      <c r="H775" s="236">
        <v>3.7139114E7</v>
      </c>
      <c r="I775" s="16">
        <v>29.0</v>
      </c>
      <c r="J775" s="11">
        <v>2.0</v>
      </c>
      <c r="K775" s="11" t="str">
        <f t="shared" si="1"/>
        <v>01150037139114292</v>
      </c>
      <c r="L775" s="238">
        <v>840.22</v>
      </c>
      <c r="M775" s="254">
        <v>102622.0</v>
      </c>
      <c r="N775" s="16">
        <v>23.0</v>
      </c>
      <c r="O775" s="17">
        <v>31.0</v>
      </c>
      <c r="P775" s="17">
        <v>76.0</v>
      </c>
      <c r="Q775" s="11">
        <v>2.0209305E7</v>
      </c>
      <c r="R775" s="11">
        <v>1.0</v>
      </c>
      <c r="S775" s="24" t="s">
        <v>48</v>
      </c>
      <c r="T775" s="249" t="s">
        <v>6064</v>
      </c>
      <c r="U775" s="17">
        <v>77.0</v>
      </c>
      <c r="V775" s="16">
        <v>95.0</v>
      </c>
      <c r="W775" s="16">
        <v>64.0</v>
      </c>
      <c r="X775" s="50">
        <v>21022.0</v>
      </c>
      <c r="Y775" s="250">
        <v>5529.0</v>
      </c>
    </row>
    <row r="776">
      <c r="A776" s="11">
        <v>18.0</v>
      </c>
      <c r="B776" s="11">
        <v>35.0</v>
      </c>
      <c r="C776" s="253">
        <v>19.0</v>
      </c>
      <c r="D776" s="235">
        <v>1.0</v>
      </c>
      <c r="E776" s="235">
        <v>1.0</v>
      </c>
      <c r="F776" s="253">
        <v>19.0</v>
      </c>
      <c r="G776" s="235">
        <v>1.0</v>
      </c>
      <c r="H776" s="236">
        <v>8.1977914E7</v>
      </c>
      <c r="I776" s="16">
        <v>80.0</v>
      </c>
      <c r="J776" s="11">
        <v>4.0</v>
      </c>
      <c r="K776" s="11" t="str">
        <f t="shared" si="1"/>
        <v>00010081977914804</v>
      </c>
      <c r="L776" s="238">
        <v>8924.93</v>
      </c>
      <c r="M776" s="254">
        <v>11718.0</v>
      </c>
      <c r="N776" s="16">
        <v>55.0</v>
      </c>
      <c r="O776" s="17">
        <v>29.0</v>
      </c>
      <c r="P776" s="17">
        <v>35.0</v>
      </c>
      <c r="Q776" s="11">
        <v>7.3256085E7</v>
      </c>
      <c r="R776" s="11">
        <v>5.0</v>
      </c>
      <c r="S776" s="24" t="s">
        <v>5292</v>
      </c>
      <c r="T776" s="249" t="s">
        <v>6065</v>
      </c>
      <c r="U776" s="17">
        <v>82.0</v>
      </c>
      <c r="V776" s="16">
        <v>99.0</v>
      </c>
      <c r="W776" s="16">
        <v>80.0</v>
      </c>
      <c r="X776" s="50">
        <v>103122.0</v>
      </c>
      <c r="Y776" s="250">
        <v>3905.0</v>
      </c>
    </row>
    <row r="777">
      <c r="A777" s="11">
        <v>11.0</v>
      </c>
      <c r="B777" s="11">
        <v>15.0</v>
      </c>
      <c r="C777" s="253">
        <v>42.0</v>
      </c>
      <c r="D777" s="235">
        <v>29.0</v>
      </c>
      <c r="E777" s="235">
        <v>29.0</v>
      </c>
      <c r="F777" s="253">
        <v>42.0</v>
      </c>
      <c r="G777" s="235">
        <v>29.0</v>
      </c>
      <c r="H777" s="236">
        <v>3.81173E7</v>
      </c>
      <c r="I777" s="16">
        <v>11.0</v>
      </c>
      <c r="J777" s="11">
        <v>9.0</v>
      </c>
      <c r="K777" s="11" t="str">
        <f t="shared" si="1"/>
        <v>00290038117300119</v>
      </c>
      <c r="L777" s="238">
        <v>68901.62</v>
      </c>
      <c r="M777" s="254">
        <v>12416.0</v>
      </c>
      <c r="N777" s="16">
        <v>62.0</v>
      </c>
      <c r="O777" s="17">
        <v>29.0</v>
      </c>
      <c r="P777" s="17">
        <v>56.0</v>
      </c>
      <c r="Q777" s="11">
        <v>7.1971616E7</v>
      </c>
      <c r="R777" s="11">
        <v>1.0</v>
      </c>
      <c r="S777" s="24" t="s">
        <v>48</v>
      </c>
      <c r="T777" s="249" t="s">
        <v>6066</v>
      </c>
      <c r="U777" s="17">
        <v>31.0</v>
      </c>
      <c r="V777" s="16">
        <v>47.0</v>
      </c>
      <c r="W777" s="16">
        <v>44.0</v>
      </c>
      <c r="X777" s="50">
        <v>100520.0</v>
      </c>
      <c r="Y777" s="250">
        <v>5102.0</v>
      </c>
    </row>
    <row r="778">
      <c r="A778" s="11">
        <v>12.0</v>
      </c>
      <c r="B778" s="11">
        <v>56.0</v>
      </c>
      <c r="C778" s="253">
        <v>12.0</v>
      </c>
      <c r="D778" s="235">
        <v>77.0</v>
      </c>
      <c r="E778" s="235">
        <v>77.0</v>
      </c>
      <c r="F778" s="253">
        <v>12.0</v>
      </c>
      <c r="G778" s="235">
        <v>77.0</v>
      </c>
      <c r="H778" s="236">
        <v>5.0094739E7</v>
      </c>
      <c r="I778" s="16">
        <v>11.0</v>
      </c>
      <c r="J778" s="11">
        <v>2.0</v>
      </c>
      <c r="K778" s="11" t="str">
        <f t="shared" si="1"/>
        <v>00770050094739112</v>
      </c>
      <c r="L778" s="238">
        <v>-55261.77</v>
      </c>
      <c r="M778" s="254">
        <v>41415.0</v>
      </c>
      <c r="N778" s="16">
        <v>98.0</v>
      </c>
      <c r="O778" s="17">
        <v>17.0</v>
      </c>
      <c r="P778" s="17">
        <v>97.0</v>
      </c>
      <c r="Q778" s="11">
        <v>2.8646497E7</v>
      </c>
      <c r="R778" s="11">
        <v>5.0</v>
      </c>
      <c r="S778" s="24" t="s">
        <v>39</v>
      </c>
      <c r="T778" s="249" t="s">
        <v>6067</v>
      </c>
      <c r="U778" s="17">
        <v>29.0</v>
      </c>
      <c r="V778" s="16">
        <v>83.0</v>
      </c>
      <c r="W778" s="16">
        <v>63.0</v>
      </c>
      <c r="X778" s="50">
        <v>91913.0</v>
      </c>
      <c r="Y778" s="250">
        <v>3714.0</v>
      </c>
    </row>
    <row r="779">
      <c r="A779" s="11">
        <v>13.0</v>
      </c>
      <c r="B779" s="11">
        <v>56.0</v>
      </c>
      <c r="C779" s="253">
        <v>20.0</v>
      </c>
      <c r="D779" s="235">
        <v>155.0</v>
      </c>
      <c r="E779" s="235">
        <v>155.0</v>
      </c>
      <c r="F779" s="253">
        <v>20.0</v>
      </c>
      <c r="G779" s="235">
        <v>155.0</v>
      </c>
      <c r="H779" s="236">
        <v>7.0110388E7</v>
      </c>
      <c r="I779" s="16">
        <v>43.0</v>
      </c>
      <c r="J779" s="11">
        <v>9.0</v>
      </c>
      <c r="K779" s="11" t="str">
        <f t="shared" si="1"/>
        <v>01550070110388439</v>
      </c>
      <c r="L779" s="238">
        <v>212434.94</v>
      </c>
      <c r="M779" s="254">
        <v>90223.0</v>
      </c>
      <c r="N779" s="16">
        <v>47.0</v>
      </c>
      <c r="O779" s="17">
        <v>1.0</v>
      </c>
      <c r="P779" s="17">
        <v>76.0</v>
      </c>
      <c r="Q779" s="11">
        <v>7.7447894E7</v>
      </c>
      <c r="R779" s="11">
        <v>5.0</v>
      </c>
      <c r="S779" s="24" t="s">
        <v>29</v>
      </c>
      <c r="T779" s="249" t="s">
        <v>6068</v>
      </c>
      <c r="U779" s="17">
        <v>76.0</v>
      </c>
      <c r="V779" s="16">
        <v>99.0</v>
      </c>
      <c r="W779" s="16">
        <v>64.0</v>
      </c>
      <c r="X779" s="50">
        <v>81920.0</v>
      </c>
      <c r="Y779" s="250">
        <v>8065.0</v>
      </c>
    </row>
    <row r="780">
      <c r="A780" s="11">
        <v>16.0</v>
      </c>
      <c r="B780" s="11">
        <v>97.0</v>
      </c>
      <c r="C780" s="253">
        <v>38.0</v>
      </c>
      <c r="D780" s="235">
        <v>61.0</v>
      </c>
      <c r="E780" s="235">
        <v>61.0</v>
      </c>
      <c r="F780" s="253">
        <v>38.0</v>
      </c>
      <c r="G780" s="235">
        <v>61.0</v>
      </c>
      <c r="H780" s="236">
        <v>6.5010306E7</v>
      </c>
      <c r="I780" s="16">
        <v>66.0</v>
      </c>
      <c r="J780" s="11">
        <v>9.0</v>
      </c>
      <c r="K780" s="11" t="str">
        <f t="shared" si="1"/>
        <v>00610065010306669</v>
      </c>
      <c r="L780" s="238">
        <v>-66192.17</v>
      </c>
      <c r="M780" s="254">
        <v>61615.0</v>
      </c>
      <c r="N780" s="16">
        <v>89.0</v>
      </c>
      <c r="O780" s="17">
        <v>39.0</v>
      </c>
      <c r="P780" s="17">
        <v>15.0</v>
      </c>
      <c r="Q780" s="11">
        <v>9.6684356E7</v>
      </c>
      <c r="R780" s="11">
        <v>5.0</v>
      </c>
      <c r="S780" s="24" t="s">
        <v>5292</v>
      </c>
      <c r="T780" s="249" t="s">
        <v>6069</v>
      </c>
      <c r="U780" s="17">
        <v>40.0</v>
      </c>
      <c r="V780" s="16">
        <v>2.0</v>
      </c>
      <c r="W780" s="16">
        <v>66.0</v>
      </c>
      <c r="X780" s="50">
        <v>110814.0</v>
      </c>
      <c r="Y780" s="250">
        <v>9104.0</v>
      </c>
    </row>
    <row r="781">
      <c r="A781" s="11">
        <v>16.0</v>
      </c>
      <c r="B781" s="11">
        <v>15.0</v>
      </c>
      <c r="C781" s="253">
        <v>21.0</v>
      </c>
      <c r="D781" s="235">
        <v>199.0</v>
      </c>
      <c r="E781" s="235">
        <v>199.0</v>
      </c>
      <c r="F781" s="253">
        <v>21.0</v>
      </c>
      <c r="G781" s="235">
        <v>199.0</v>
      </c>
      <c r="H781" s="236">
        <v>8.733906E7</v>
      </c>
      <c r="I781" s="16">
        <v>29.0</v>
      </c>
      <c r="J781" s="11">
        <v>0.0</v>
      </c>
      <c r="K781" s="11" t="str">
        <f t="shared" si="1"/>
        <v>01990087339060290</v>
      </c>
      <c r="L781" s="238">
        <v>-612697.83</v>
      </c>
      <c r="M781" s="254">
        <v>10717.0</v>
      </c>
      <c r="N781" s="16">
        <v>90.0</v>
      </c>
      <c r="O781" s="17">
        <v>23.0</v>
      </c>
      <c r="P781" s="17">
        <v>35.0</v>
      </c>
      <c r="Q781" s="11">
        <v>7.8568403E7</v>
      </c>
      <c r="R781" s="11">
        <v>0.0</v>
      </c>
      <c r="S781" s="24" t="s">
        <v>39</v>
      </c>
      <c r="T781" s="249" t="s">
        <v>6070</v>
      </c>
      <c r="U781" s="17">
        <v>91.0</v>
      </c>
      <c r="V781" s="16">
        <v>47.0</v>
      </c>
      <c r="W781" s="16">
        <v>67.0</v>
      </c>
      <c r="X781" s="50">
        <v>92317.0</v>
      </c>
      <c r="Y781" s="250">
        <v>6435.0</v>
      </c>
    </row>
    <row r="782">
      <c r="A782" s="11">
        <v>12.0</v>
      </c>
      <c r="B782" s="11">
        <v>56.0</v>
      </c>
      <c r="C782" s="253">
        <v>51.0</v>
      </c>
      <c r="D782" s="235">
        <v>660.0</v>
      </c>
      <c r="E782" s="235">
        <v>660.0</v>
      </c>
      <c r="F782" s="253">
        <v>51.0</v>
      </c>
      <c r="G782" s="235">
        <v>660.0</v>
      </c>
      <c r="H782" s="236">
        <v>2.6994136E7</v>
      </c>
      <c r="I782" s="16">
        <v>26.0</v>
      </c>
      <c r="J782" s="11">
        <v>5.0</v>
      </c>
      <c r="K782" s="11" t="str">
        <f t="shared" si="1"/>
        <v>06600026994136265</v>
      </c>
      <c r="L782" s="238">
        <v>690.83</v>
      </c>
      <c r="M782" s="254">
        <v>50720.0</v>
      </c>
      <c r="N782" s="16">
        <v>18.0</v>
      </c>
      <c r="O782" s="17">
        <v>41.0</v>
      </c>
      <c r="P782" s="17">
        <v>15.0</v>
      </c>
      <c r="Q782" s="11">
        <v>7.6641191E7</v>
      </c>
      <c r="R782" s="11">
        <v>5.0</v>
      </c>
      <c r="S782" s="24" t="s">
        <v>39</v>
      </c>
      <c r="T782" s="249" t="s">
        <v>6071</v>
      </c>
      <c r="U782" s="17">
        <v>44.0</v>
      </c>
      <c r="V782" s="16">
        <v>80.0</v>
      </c>
      <c r="W782" s="16">
        <v>60.0</v>
      </c>
      <c r="X782" s="50">
        <v>62018.0</v>
      </c>
      <c r="Y782" s="250">
        <v>1823.0</v>
      </c>
    </row>
    <row r="783">
      <c r="A783" s="11">
        <v>15.0</v>
      </c>
      <c r="B783" s="11">
        <v>97.0</v>
      </c>
      <c r="C783" s="253">
        <v>51.0</v>
      </c>
      <c r="D783" s="235">
        <v>187.0</v>
      </c>
      <c r="E783" s="235">
        <v>187.0</v>
      </c>
      <c r="F783" s="253">
        <v>51.0</v>
      </c>
      <c r="G783" s="235">
        <v>187.0</v>
      </c>
      <c r="H783" s="236">
        <v>4.7100873E7</v>
      </c>
      <c r="I783" s="16">
        <v>7.0</v>
      </c>
      <c r="J783" s="11">
        <v>4.0</v>
      </c>
      <c r="K783" s="11" t="str">
        <f t="shared" si="1"/>
        <v>01870047100873074</v>
      </c>
      <c r="L783" s="238">
        <v>8113.45</v>
      </c>
      <c r="M783" s="254">
        <v>111418.0</v>
      </c>
      <c r="N783" s="16">
        <v>77.0</v>
      </c>
      <c r="O783" s="17">
        <v>34.0</v>
      </c>
      <c r="P783" s="17">
        <v>35.0</v>
      </c>
      <c r="Q783" s="11">
        <v>2.2979848E7</v>
      </c>
      <c r="R783" s="11">
        <v>5.0</v>
      </c>
      <c r="S783" s="24" t="s">
        <v>29</v>
      </c>
      <c r="T783" s="249" t="s">
        <v>6072</v>
      </c>
      <c r="U783" s="17">
        <v>96.0</v>
      </c>
      <c r="V783" s="16">
        <v>43.0</v>
      </c>
      <c r="W783" s="16">
        <v>27.0</v>
      </c>
      <c r="X783" s="50">
        <v>101120.0</v>
      </c>
      <c r="Y783" s="250">
        <v>6772.0</v>
      </c>
    </row>
    <row r="784">
      <c r="A784" s="11">
        <v>11.0</v>
      </c>
      <c r="B784" s="11">
        <v>56.0</v>
      </c>
      <c r="C784" s="253">
        <v>51.0</v>
      </c>
      <c r="D784" s="235">
        <v>191.0</v>
      </c>
      <c r="E784" s="235">
        <v>191.0</v>
      </c>
      <c r="F784" s="253">
        <v>51.0</v>
      </c>
      <c r="G784" s="235">
        <v>191.0</v>
      </c>
      <c r="H784" s="236">
        <v>9.4634584E7</v>
      </c>
      <c r="I784" s="16">
        <v>9.0</v>
      </c>
      <c r="J784" s="11">
        <v>4.0</v>
      </c>
      <c r="K784" s="11" t="str">
        <f t="shared" si="1"/>
        <v>01910094634584094</v>
      </c>
      <c r="L784" s="238">
        <v>281626.83</v>
      </c>
      <c r="M784" s="254">
        <v>62822.0</v>
      </c>
      <c r="N784" s="16">
        <v>82.0</v>
      </c>
      <c r="O784" s="17">
        <v>20.0</v>
      </c>
      <c r="P784" s="17">
        <v>97.0</v>
      </c>
      <c r="Q784" s="11">
        <v>7.1917689E7</v>
      </c>
      <c r="R784" s="11">
        <v>6.0</v>
      </c>
      <c r="S784" s="24" t="s">
        <v>39</v>
      </c>
      <c r="T784" s="249" t="s">
        <v>6073</v>
      </c>
      <c r="U784" s="17">
        <v>42.0</v>
      </c>
      <c r="V784" s="16">
        <v>2.0</v>
      </c>
      <c r="W784" s="16">
        <v>50.0</v>
      </c>
      <c r="X784" s="50">
        <v>112021.0</v>
      </c>
      <c r="Y784" s="250">
        <v>5593.0</v>
      </c>
    </row>
    <row r="785">
      <c r="A785" s="11">
        <v>16.0</v>
      </c>
      <c r="B785" s="11">
        <v>97.0</v>
      </c>
      <c r="C785" s="253">
        <v>47.0</v>
      </c>
      <c r="D785" s="235">
        <v>123.0</v>
      </c>
      <c r="E785" s="235">
        <v>123.0</v>
      </c>
      <c r="F785" s="253">
        <v>47.0</v>
      </c>
      <c r="G785" s="235">
        <v>123.0</v>
      </c>
      <c r="H785" s="236">
        <v>2.3120751E7</v>
      </c>
      <c r="I785" s="16">
        <v>7.0</v>
      </c>
      <c r="J785" s="11">
        <v>2.0</v>
      </c>
      <c r="K785" s="11" t="str">
        <f t="shared" si="1"/>
        <v>01230023120751072</v>
      </c>
      <c r="L785" s="238">
        <v>-207283.8</v>
      </c>
      <c r="M785" s="254">
        <v>42219.0</v>
      </c>
      <c r="N785" s="16">
        <v>71.0</v>
      </c>
      <c r="O785" s="17">
        <v>40.0</v>
      </c>
      <c r="P785" s="17">
        <v>76.0</v>
      </c>
      <c r="Q785" s="11">
        <v>1.5638583E7</v>
      </c>
      <c r="R785" s="11">
        <v>8.0</v>
      </c>
      <c r="S785" s="24" t="s">
        <v>29</v>
      </c>
      <c r="T785" s="249" t="s">
        <v>6074</v>
      </c>
      <c r="U785" s="17">
        <v>98.0</v>
      </c>
      <c r="V785" s="16">
        <v>18.0</v>
      </c>
      <c r="W785" s="16">
        <v>27.0</v>
      </c>
      <c r="X785" s="50">
        <v>22413.0</v>
      </c>
      <c r="Y785" s="250">
        <v>9419.0</v>
      </c>
    </row>
    <row r="786">
      <c r="A786" s="11">
        <v>19.0</v>
      </c>
      <c r="B786" s="11">
        <v>97.0</v>
      </c>
      <c r="C786" s="253">
        <v>28.0</v>
      </c>
      <c r="D786" s="235">
        <v>99.0</v>
      </c>
      <c r="E786" s="235">
        <v>99.0</v>
      </c>
      <c r="F786" s="253">
        <v>28.0</v>
      </c>
      <c r="G786" s="235">
        <v>99.0</v>
      </c>
      <c r="H786" s="236">
        <v>3.163368E7</v>
      </c>
      <c r="I786" s="16">
        <v>95.0</v>
      </c>
      <c r="J786" s="11">
        <v>6.0</v>
      </c>
      <c r="K786" s="11" t="str">
        <f t="shared" si="1"/>
        <v>00990031633680956</v>
      </c>
      <c r="L786" s="238">
        <v>837426.8</v>
      </c>
      <c r="M786" s="254">
        <v>40518.0</v>
      </c>
      <c r="N786" s="16">
        <v>29.0</v>
      </c>
      <c r="O786" s="17">
        <v>23.0</v>
      </c>
      <c r="P786" s="17">
        <v>77.0</v>
      </c>
      <c r="Q786" s="11">
        <v>8.558258E7</v>
      </c>
      <c r="R786" s="11">
        <v>2.0</v>
      </c>
      <c r="S786" s="24" t="s">
        <v>48</v>
      </c>
      <c r="T786" s="249" t="s">
        <v>6075</v>
      </c>
      <c r="U786" s="17">
        <v>1.0</v>
      </c>
      <c r="V786" s="16">
        <v>61.0</v>
      </c>
      <c r="W786" s="16">
        <v>59.0</v>
      </c>
      <c r="X786" s="50">
        <v>30319.0</v>
      </c>
      <c r="Y786" s="250">
        <v>3743.0</v>
      </c>
    </row>
    <row r="787">
      <c r="A787" s="11">
        <v>16.0</v>
      </c>
      <c r="B787" s="11">
        <v>56.0</v>
      </c>
      <c r="C787" s="253">
        <v>12.0</v>
      </c>
      <c r="D787" s="235">
        <v>3.0</v>
      </c>
      <c r="E787" s="235">
        <v>3.0</v>
      </c>
      <c r="F787" s="253">
        <v>12.0</v>
      </c>
      <c r="G787" s="235">
        <v>3.0</v>
      </c>
      <c r="H787" s="236">
        <v>8.5455549E7</v>
      </c>
      <c r="I787" s="16">
        <v>5.0</v>
      </c>
      <c r="J787" s="11">
        <v>5.0</v>
      </c>
      <c r="K787" s="11" t="str">
        <f t="shared" si="1"/>
        <v>00030085455549055</v>
      </c>
      <c r="L787" s="238">
        <v>5118.85</v>
      </c>
      <c r="M787" s="254">
        <v>42523.0</v>
      </c>
      <c r="N787" s="16">
        <v>7.0</v>
      </c>
      <c r="O787" s="17">
        <v>36.0</v>
      </c>
      <c r="P787" s="17">
        <v>77.0</v>
      </c>
      <c r="Q787" s="11">
        <v>4.3067098E7</v>
      </c>
      <c r="R787" s="11">
        <v>9.0</v>
      </c>
      <c r="S787" s="24" t="s">
        <v>29</v>
      </c>
      <c r="T787" s="249" t="s">
        <v>6076</v>
      </c>
      <c r="U787" s="17">
        <v>2.0</v>
      </c>
      <c r="V787" s="16">
        <v>26.0</v>
      </c>
      <c r="W787" s="16">
        <v>47.0</v>
      </c>
      <c r="X787" s="50">
        <v>50416.0</v>
      </c>
      <c r="Y787" s="250">
        <v>6391.0</v>
      </c>
    </row>
    <row r="788">
      <c r="A788" s="11">
        <v>15.0</v>
      </c>
      <c r="B788" s="11">
        <v>15.0</v>
      </c>
      <c r="C788" s="253">
        <v>46.0</v>
      </c>
      <c r="D788" s="235">
        <v>29.0</v>
      </c>
      <c r="E788" s="235">
        <v>29.0</v>
      </c>
      <c r="F788" s="253">
        <v>46.0</v>
      </c>
      <c r="G788" s="235">
        <v>29.0</v>
      </c>
      <c r="H788" s="236">
        <v>9.8116874E7</v>
      </c>
      <c r="I788" s="16">
        <v>47.0</v>
      </c>
      <c r="J788" s="11">
        <v>3.0</v>
      </c>
      <c r="K788" s="11" t="str">
        <f t="shared" si="1"/>
        <v>00290098116874473</v>
      </c>
      <c r="L788" s="238">
        <v>-913.5</v>
      </c>
      <c r="M788" s="254">
        <v>12821.0</v>
      </c>
      <c r="N788" s="16">
        <v>77.0</v>
      </c>
      <c r="O788" s="17">
        <v>41.0</v>
      </c>
      <c r="P788" s="17">
        <v>56.0</v>
      </c>
      <c r="Q788" s="11">
        <v>6.3505655E7</v>
      </c>
      <c r="R788" s="11">
        <v>8.0</v>
      </c>
      <c r="S788" s="24" t="s">
        <v>48</v>
      </c>
      <c r="T788" s="249" t="s">
        <v>6077</v>
      </c>
      <c r="U788" s="17">
        <v>53.0</v>
      </c>
      <c r="V788" s="16">
        <v>76.0</v>
      </c>
      <c r="W788" s="16">
        <v>89.0</v>
      </c>
      <c r="X788" s="50">
        <v>21521.0</v>
      </c>
      <c r="Y788" s="250">
        <v>3126.0</v>
      </c>
    </row>
    <row r="789">
      <c r="A789" s="11">
        <v>13.0</v>
      </c>
      <c r="B789" s="11">
        <v>56.0</v>
      </c>
      <c r="C789" s="253">
        <v>22.0</v>
      </c>
      <c r="D789" s="235">
        <v>21.0</v>
      </c>
      <c r="E789" s="235">
        <v>21.0</v>
      </c>
      <c r="F789" s="253">
        <v>22.0</v>
      </c>
      <c r="G789" s="235">
        <v>21.0</v>
      </c>
      <c r="H789" s="236">
        <v>2.1714432E7</v>
      </c>
      <c r="I789" s="16">
        <v>71.0</v>
      </c>
      <c r="J789" s="11">
        <v>8.0</v>
      </c>
      <c r="K789" s="11" t="str">
        <f t="shared" si="1"/>
        <v>00210021714432718</v>
      </c>
      <c r="L789" s="238">
        <v>963.85</v>
      </c>
      <c r="M789" s="254">
        <v>32419.0</v>
      </c>
      <c r="N789" s="16">
        <v>81.0</v>
      </c>
      <c r="O789" s="17">
        <v>9.0</v>
      </c>
      <c r="P789" s="17">
        <v>51.0</v>
      </c>
      <c r="Q789" s="11">
        <v>1.3862747E7</v>
      </c>
      <c r="R789" s="11">
        <v>8.0</v>
      </c>
      <c r="S789" s="24" t="s">
        <v>5292</v>
      </c>
      <c r="T789" s="249" t="s">
        <v>6078</v>
      </c>
      <c r="U789" s="17">
        <v>94.0</v>
      </c>
      <c r="V789" s="16">
        <v>61.0</v>
      </c>
      <c r="W789" s="16">
        <v>40.0</v>
      </c>
      <c r="X789" s="50">
        <v>120119.0</v>
      </c>
      <c r="Y789" s="250">
        <v>5463.0</v>
      </c>
    </row>
    <row r="790">
      <c r="A790" s="11">
        <v>16.0</v>
      </c>
      <c r="B790" s="11">
        <v>36.0</v>
      </c>
      <c r="C790" s="253">
        <v>36.0</v>
      </c>
      <c r="D790" s="235">
        <v>47.0</v>
      </c>
      <c r="E790" s="235">
        <v>47.0</v>
      </c>
      <c r="F790" s="253">
        <v>36.0</v>
      </c>
      <c r="G790" s="235">
        <v>47.0</v>
      </c>
      <c r="H790" s="236">
        <v>4.3902556E7</v>
      </c>
      <c r="I790" s="16">
        <v>49.0</v>
      </c>
      <c r="J790" s="11">
        <v>0.0</v>
      </c>
      <c r="K790" s="11" t="str">
        <f t="shared" si="1"/>
        <v>00470043902556490</v>
      </c>
      <c r="L790" s="238">
        <v>28233.1</v>
      </c>
      <c r="M790" s="254">
        <v>71817.0</v>
      </c>
      <c r="N790" s="16">
        <v>24.0</v>
      </c>
      <c r="O790" s="17">
        <v>50.0</v>
      </c>
      <c r="P790" s="17">
        <v>15.0</v>
      </c>
      <c r="Q790" s="11">
        <v>4.7755147E7</v>
      </c>
      <c r="R790" s="11">
        <v>5.0</v>
      </c>
      <c r="S790" s="24" t="s">
        <v>39</v>
      </c>
      <c r="T790" s="249" t="s">
        <v>6079</v>
      </c>
      <c r="U790" s="17">
        <v>66.0</v>
      </c>
      <c r="V790" s="16">
        <v>43.0</v>
      </c>
      <c r="W790" s="16">
        <v>42.0</v>
      </c>
      <c r="X790" s="50">
        <v>41315.0</v>
      </c>
      <c r="Y790" s="250">
        <v>2117.0</v>
      </c>
    </row>
    <row r="791">
      <c r="A791" s="11">
        <v>16.0</v>
      </c>
      <c r="B791" s="11">
        <v>77.0</v>
      </c>
      <c r="C791" s="253">
        <v>29.0</v>
      </c>
      <c r="D791" s="235">
        <v>83.0</v>
      </c>
      <c r="E791" s="235">
        <v>83.0</v>
      </c>
      <c r="F791" s="253">
        <v>29.0</v>
      </c>
      <c r="G791" s="235">
        <v>83.0</v>
      </c>
      <c r="H791" s="236">
        <v>1.3909418E7</v>
      </c>
      <c r="I791" s="16">
        <v>63.0</v>
      </c>
      <c r="J791" s="11">
        <v>8.0</v>
      </c>
      <c r="K791" s="11" t="str">
        <f t="shared" si="1"/>
        <v>00830013909418638</v>
      </c>
      <c r="L791" s="238">
        <v>184977.39</v>
      </c>
      <c r="M791" s="254">
        <v>11218.0</v>
      </c>
      <c r="N791" s="16">
        <v>60.0</v>
      </c>
      <c r="O791" s="17">
        <v>23.0</v>
      </c>
      <c r="P791" s="17">
        <v>97.0</v>
      </c>
      <c r="Q791" s="11">
        <v>9.8834335E7</v>
      </c>
      <c r="R791" s="11">
        <v>2.0</v>
      </c>
      <c r="S791" s="24" t="s">
        <v>39</v>
      </c>
      <c r="T791" s="249" t="s">
        <v>6080</v>
      </c>
      <c r="U791" s="17">
        <v>59.0</v>
      </c>
      <c r="V791" s="16">
        <v>67.0</v>
      </c>
      <c r="W791" s="16">
        <v>61.0</v>
      </c>
      <c r="X791" s="50">
        <v>92722.0</v>
      </c>
      <c r="Y791" s="250">
        <v>7498.0</v>
      </c>
    </row>
    <row r="792">
      <c r="A792" s="11">
        <v>20.0</v>
      </c>
      <c r="B792" s="11">
        <v>36.0</v>
      </c>
      <c r="C792" s="253">
        <v>21.0</v>
      </c>
      <c r="D792" s="235">
        <v>135.0</v>
      </c>
      <c r="E792" s="235">
        <v>135.0</v>
      </c>
      <c r="F792" s="253">
        <v>21.0</v>
      </c>
      <c r="G792" s="235">
        <v>135.0</v>
      </c>
      <c r="H792" s="236">
        <v>8.2292342E7</v>
      </c>
      <c r="I792" s="16">
        <v>74.0</v>
      </c>
      <c r="J792" s="11">
        <v>0.0</v>
      </c>
      <c r="K792" s="11" t="str">
        <f t="shared" si="1"/>
        <v>01350082292342740</v>
      </c>
      <c r="L792" s="238">
        <v>86483.41</v>
      </c>
      <c r="M792" s="254">
        <v>100922.0</v>
      </c>
      <c r="N792" s="16">
        <v>82.0</v>
      </c>
      <c r="O792" s="17">
        <v>29.0</v>
      </c>
      <c r="P792" s="17">
        <v>97.0</v>
      </c>
      <c r="Q792" s="11">
        <v>4.7758336E7</v>
      </c>
      <c r="R792" s="11">
        <v>8.0</v>
      </c>
      <c r="S792" s="24" t="s">
        <v>48</v>
      </c>
      <c r="T792" s="249" t="s">
        <v>6081</v>
      </c>
      <c r="U792" s="17">
        <v>64.0</v>
      </c>
      <c r="V792" s="16">
        <v>90.0</v>
      </c>
      <c r="W792" s="16">
        <v>41.0</v>
      </c>
      <c r="X792" s="50">
        <v>91918.0</v>
      </c>
      <c r="Y792" s="250">
        <v>4122.0</v>
      </c>
    </row>
    <row r="793">
      <c r="A793" s="11">
        <v>11.0</v>
      </c>
      <c r="B793" s="11">
        <v>97.0</v>
      </c>
      <c r="C793" s="253">
        <v>19.0</v>
      </c>
      <c r="D793" s="235">
        <v>21.0</v>
      </c>
      <c r="E793" s="235">
        <v>21.0</v>
      </c>
      <c r="F793" s="253">
        <v>19.0</v>
      </c>
      <c r="G793" s="235">
        <v>21.0</v>
      </c>
      <c r="H793" s="236">
        <v>9.1286729E7</v>
      </c>
      <c r="I793" s="16">
        <v>39.0</v>
      </c>
      <c r="J793" s="11">
        <v>1.0</v>
      </c>
      <c r="K793" s="11" t="str">
        <f t="shared" si="1"/>
        <v>00210091286729391</v>
      </c>
      <c r="L793" s="238">
        <v>2679.65</v>
      </c>
      <c r="M793" s="254">
        <v>122918.0</v>
      </c>
      <c r="N793" s="16">
        <v>21.0</v>
      </c>
      <c r="O793" s="17">
        <v>36.0</v>
      </c>
      <c r="P793" s="17">
        <v>36.0</v>
      </c>
      <c r="Q793" s="11">
        <v>6.1127902E7</v>
      </c>
      <c r="R793" s="11">
        <v>0.0</v>
      </c>
      <c r="S793" s="24" t="s">
        <v>48</v>
      </c>
      <c r="T793" s="249" t="s">
        <v>6082</v>
      </c>
      <c r="U793" s="17">
        <v>20.0</v>
      </c>
      <c r="V793" s="16">
        <v>81.0</v>
      </c>
      <c r="W793" s="16">
        <v>70.0</v>
      </c>
      <c r="X793" s="50">
        <v>41917.0</v>
      </c>
      <c r="Y793" s="250">
        <v>8294.0</v>
      </c>
    </row>
    <row r="794">
      <c r="A794" s="11">
        <v>10.0</v>
      </c>
      <c r="B794" s="11">
        <v>97.0</v>
      </c>
      <c r="C794" s="253">
        <v>22.0</v>
      </c>
      <c r="D794" s="235">
        <v>99.0</v>
      </c>
      <c r="E794" s="235">
        <v>99.0</v>
      </c>
      <c r="F794" s="253">
        <v>22.0</v>
      </c>
      <c r="G794" s="235">
        <v>99.0</v>
      </c>
      <c r="H794" s="236">
        <v>8.6315183E7</v>
      </c>
      <c r="I794" s="16">
        <v>64.0</v>
      </c>
      <c r="J794" s="11">
        <v>2.0</v>
      </c>
      <c r="K794" s="11" t="str">
        <f t="shared" si="1"/>
        <v>00990086315183642</v>
      </c>
      <c r="L794" s="238">
        <v>88271.35</v>
      </c>
      <c r="M794" s="254">
        <v>12415.0</v>
      </c>
      <c r="N794" s="16">
        <v>14.0</v>
      </c>
      <c r="O794" s="17">
        <v>32.0</v>
      </c>
      <c r="P794" s="17">
        <v>56.0</v>
      </c>
      <c r="Q794" s="11">
        <v>6.8385925E7</v>
      </c>
      <c r="R794" s="11">
        <v>1.0</v>
      </c>
      <c r="S794" s="24" t="s">
        <v>48</v>
      </c>
      <c r="T794" s="249" t="s">
        <v>6083</v>
      </c>
      <c r="U794" s="17">
        <v>70.0</v>
      </c>
      <c r="V794" s="16">
        <v>55.0</v>
      </c>
      <c r="W794" s="16">
        <v>80.0</v>
      </c>
      <c r="X794" s="50">
        <v>22214.0</v>
      </c>
      <c r="Y794" s="250">
        <v>2532.0</v>
      </c>
    </row>
    <row r="795">
      <c r="A795" s="11">
        <v>14.0</v>
      </c>
      <c r="B795" s="11">
        <v>56.0</v>
      </c>
      <c r="C795" s="253">
        <v>37.0</v>
      </c>
      <c r="D795" s="235">
        <v>23.0</v>
      </c>
      <c r="E795" s="235">
        <v>23.0</v>
      </c>
      <c r="F795" s="253">
        <v>37.0</v>
      </c>
      <c r="G795" s="235">
        <v>23.0</v>
      </c>
      <c r="H795" s="236">
        <v>4.2100314E7</v>
      </c>
      <c r="I795" s="16">
        <v>89.0</v>
      </c>
      <c r="J795" s="11">
        <v>7.0</v>
      </c>
      <c r="K795" s="11" t="str">
        <f t="shared" si="1"/>
        <v>00230042100314897</v>
      </c>
      <c r="L795" s="238">
        <v>4237.17</v>
      </c>
      <c r="M795" s="254">
        <v>22216.0</v>
      </c>
      <c r="N795" s="16">
        <v>50.0</v>
      </c>
      <c r="O795" s="17">
        <v>17.0</v>
      </c>
      <c r="P795" s="17">
        <v>97.0</v>
      </c>
      <c r="Q795" s="11">
        <v>8.6500127E7</v>
      </c>
      <c r="R795" s="11">
        <v>6.0</v>
      </c>
      <c r="S795" s="24" t="s">
        <v>39</v>
      </c>
      <c r="T795" s="249" t="s">
        <v>6084</v>
      </c>
      <c r="U795" s="17">
        <v>66.0</v>
      </c>
      <c r="V795" s="16">
        <v>91.0</v>
      </c>
      <c r="W795" s="16">
        <v>30.0</v>
      </c>
      <c r="X795" s="50">
        <v>100620.0</v>
      </c>
      <c r="Y795" s="250">
        <v>3130.0</v>
      </c>
    </row>
    <row r="796">
      <c r="A796" s="11">
        <v>17.0</v>
      </c>
      <c r="B796" s="11">
        <v>15.0</v>
      </c>
      <c r="C796" s="253">
        <v>17.0</v>
      </c>
      <c r="D796" s="235">
        <v>19.0</v>
      </c>
      <c r="E796" s="235">
        <v>19.0</v>
      </c>
      <c r="F796" s="253">
        <v>17.0</v>
      </c>
      <c r="G796" s="235">
        <v>19.0</v>
      </c>
      <c r="H796" s="236">
        <v>5.9938884E7</v>
      </c>
      <c r="I796" s="16">
        <v>78.0</v>
      </c>
      <c r="J796" s="11">
        <v>2.0</v>
      </c>
      <c r="K796" s="11" t="str">
        <f t="shared" si="1"/>
        <v>00190059938884782</v>
      </c>
      <c r="L796" s="238">
        <v>837.65</v>
      </c>
      <c r="M796" s="254">
        <v>122518.0</v>
      </c>
      <c r="N796" s="16">
        <v>6.0</v>
      </c>
      <c r="O796" s="17">
        <v>53.0</v>
      </c>
      <c r="P796" s="17">
        <v>97.0</v>
      </c>
      <c r="Q796" s="11">
        <v>5.1418681E7</v>
      </c>
      <c r="R796" s="11">
        <v>9.0</v>
      </c>
      <c r="S796" s="24" t="s">
        <v>48</v>
      </c>
      <c r="T796" s="249" t="s">
        <v>6085</v>
      </c>
      <c r="U796" s="17">
        <v>69.0</v>
      </c>
      <c r="V796" s="16">
        <v>80.0</v>
      </c>
      <c r="W796" s="16">
        <v>4.0</v>
      </c>
      <c r="X796" s="50">
        <v>50919.0</v>
      </c>
      <c r="Y796" s="250">
        <v>8806.0</v>
      </c>
    </row>
    <row r="797">
      <c r="A797" s="11">
        <v>10.0</v>
      </c>
      <c r="B797" s="11">
        <v>97.0</v>
      </c>
      <c r="C797" s="253">
        <v>46.0</v>
      </c>
      <c r="D797" s="235">
        <v>57.0</v>
      </c>
      <c r="E797" s="235">
        <v>57.0</v>
      </c>
      <c r="F797" s="253">
        <v>46.0</v>
      </c>
      <c r="G797" s="235">
        <v>57.0</v>
      </c>
      <c r="H797" s="236">
        <v>7.670167E7</v>
      </c>
      <c r="I797" s="16">
        <v>1.0</v>
      </c>
      <c r="J797" s="11">
        <v>6.0</v>
      </c>
      <c r="K797" s="11" t="str">
        <f t="shared" si="1"/>
        <v>00570076701670016</v>
      </c>
      <c r="L797" s="238">
        <v>-5734.69</v>
      </c>
      <c r="M797" s="254">
        <v>13114.0</v>
      </c>
      <c r="N797" s="16">
        <v>72.0</v>
      </c>
      <c r="O797" s="17">
        <v>38.0</v>
      </c>
      <c r="P797" s="17">
        <v>77.0</v>
      </c>
      <c r="Q797" s="11">
        <v>1.4208784E7</v>
      </c>
      <c r="R797" s="11">
        <v>5.0</v>
      </c>
      <c r="S797" s="24" t="s">
        <v>48</v>
      </c>
      <c r="T797" s="249" t="s">
        <v>6086</v>
      </c>
      <c r="U797" s="17">
        <v>24.0</v>
      </c>
      <c r="V797" s="16">
        <v>44.0</v>
      </c>
      <c r="W797" s="16">
        <v>62.0</v>
      </c>
      <c r="X797" s="50">
        <v>70718.0</v>
      </c>
      <c r="Y797" s="250">
        <v>6621.0</v>
      </c>
    </row>
    <row r="798">
      <c r="A798" s="11">
        <v>18.0</v>
      </c>
      <c r="B798" s="11">
        <v>56.0</v>
      </c>
      <c r="C798" s="253">
        <v>11.0</v>
      </c>
      <c r="D798" s="235">
        <v>1.0</v>
      </c>
      <c r="E798" s="235">
        <v>1.0</v>
      </c>
      <c r="F798" s="253">
        <v>11.0</v>
      </c>
      <c r="G798" s="235">
        <v>1.0</v>
      </c>
      <c r="H798" s="236">
        <v>6.2395661E7</v>
      </c>
      <c r="I798" s="16">
        <v>96.0</v>
      </c>
      <c r="J798" s="11">
        <v>5.0</v>
      </c>
      <c r="K798" s="11" t="str">
        <f t="shared" si="1"/>
        <v>00010062395661965</v>
      </c>
      <c r="L798" s="238">
        <v>318.55</v>
      </c>
      <c r="M798" s="254">
        <v>51513.0</v>
      </c>
      <c r="N798" s="16">
        <v>38.0</v>
      </c>
      <c r="O798" s="17">
        <v>18.0</v>
      </c>
      <c r="P798" s="17">
        <v>77.0</v>
      </c>
      <c r="Q798" s="11">
        <v>3.8425364E7</v>
      </c>
      <c r="R798" s="11">
        <v>1.0</v>
      </c>
      <c r="S798" s="24" t="s">
        <v>39</v>
      </c>
      <c r="T798" s="249" t="s">
        <v>6087</v>
      </c>
      <c r="U798" s="17">
        <v>25.0</v>
      </c>
      <c r="V798" s="16">
        <v>34.0</v>
      </c>
      <c r="W798" s="16">
        <v>46.0</v>
      </c>
      <c r="X798" s="50">
        <v>112320.0</v>
      </c>
      <c r="Y798" s="250">
        <v>5983.0</v>
      </c>
    </row>
    <row r="799">
      <c r="A799" s="11">
        <v>14.0</v>
      </c>
      <c r="B799" s="11">
        <v>97.0</v>
      </c>
      <c r="C799" s="253">
        <v>40.0</v>
      </c>
      <c r="D799" s="235">
        <v>57.0</v>
      </c>
      <c r="E799" s="235">
        <v>57.0</v>
      </c>
      <c r="F799" s="253">
        <v>40.0</v>
      </c>
      <c r="G799" s="235">
        <v>57.0</v>
      </c>
      <c r="H799" s="236">
        <v>3.8085951E7</v>
      </c>
      <c r="I799" s="16">
        <v>41.0</v>
      </c>
      <c r="J799" s="11">
        <v>0.0</v>
      </c>
      <c r="K799" s="11" t="str">
        <f t="shared" si="1"/>
        <v>00570038085951410</v>
      </c>
      <c r="L799" s="238">
        <v>413342.95</v>
      </c>
      <c r="M799" s="254">
        <v>80113.0</v>
      </c>
      <c r="N799" s="16">
        <v>45.0</v>
      </c>
      <c r="O799" s="17">
        <v>6.0</v>
      </c>
      <c r="P799" s="17">
        <v>77.0</v>
      </c>
      <c r="Q799" s="11">
        <v>5.620905E7</v>
      </c>
      <c r="R799" s="11">
        <v>3.0</v>
      </c>
      <c r="S799" s="24" t="s">
        <v>29</v>
      </c>
      <c r="T799" s="249" t="s">
        <v>6088</v>
      </c>
      <c r="U799" s="17">
        <v>26.0</v>
      </c>
      <c r="V799" s="16">
        <v>86.0</v>
      </c>
      <c r="W799" s="16">
        <v>71.0</v>
      </c>
      <c r="X799" s="50">
        <v>41115.0</v>
      </c>
      <c r="Y799" s="250">
        <v>471.0</v>
      </c>
    </row>
    <row r="800">
      <c r="A800" s="11">
        <v>11.0</v>
      </c>
      <c r="B800" s="11">
        <v>15.0</v>
      </c>
      <c r="C800" s="253">
        <v>16.0</v>
      </c>
      <c r="D800" s="235">
        <v>77.0</v>
      </c>
      <c r="E800" s="235">
        <v>77.0</v>
      </c>
      <c r="F800" s="253">
        <v>16.0</v>
      </c>
      <c r="G800" s="235">
        <v>77.0</v>
      </c>
      <c r="H800" s="236">
        <v>5.4020543E7</v>
      </c>
      <c r="I800" s="16">
        <v>56.0</v>
      </c>
      <c r="J800" s="11">
        <v>7.0</v>
      </c>
      <c r="K800" s="11" t="str">
        <f t="shared" si="1"/>
        <v>00770054020543567</v>
      </c>
      <c r="L800" s="238">
        <v>-1800.85</v>
      </c>
      <c r="M800" s="254">
        <v>70118.0</v>
      </c>
      <c r="N800" s="16">
        <v>71.0</v>
      </c>
      <c r="O800" s="17">
        <v>5.0</v>
      </c>
      <c r="P800" s="17">
        <v>36.0</v>
      </c>
      <c r="Q800" s="11">
        <v>2.5091988E7</v>
      </c>
      <c r="R800" s="11">
        <v>6.0</v>
      </c>
      <c r="S800" s="24" t="s">
        <v>29</v>
      </c>
      <c r="T800" s="249" t="s">
        <v>6089</v>
      </c>
      <c r="U800" s="17">
        <v>34.0</v>
      </c>
      <c r="V800" s="16">
        <v>58.0</v>
      </c>
      <c r="W800" s="16">
        <v>3.0</v>
      </c>
      <c r="X800" s="50">
        <v>11819.0</v>
      </c>
      <c r="Y800" s="250">
        <v>273.0</v>
      </c>
    </row>
    <row r="801">
      <c r="A801" s="11">
        <v>19.0</v>
      </c>
      <c r="B801" s="11">
        <v>77.0</v>
      </c>
      <c r="C801" s="253">
        <v>36.0</v>
      </c>
      <c r="D801" s="235">
        <v>79.0</v>
      </c>
      <c r="E801" s="235">
        <v>79.0</v>
      </c>
      <c r="F801" s="253">
        <v>36.0</v>
      </c>
      <c r="G801" s="235">
        <v>79.0</v>
      </c>
      <c r="H801" s="236">
        <v>8.496831E7</v>
      </c>
      <c r="I801" s="16">
        <v>67.0</v>
      </c>
      <c r="J801" s="11">
        <v>8.0</v>
      </c>
      <c r="K801" s="11" t="str">
        <f t="shared" si="1"/>
        <v>00790084968310678</v>
      </c>
      <c r="L801" s="238">
        <v>922332.3</v>
      </c>
      <c r="M801" s="254">
        <v>62423.0</v>
      </c>
      <c r="N801" s="16">
        <v>11.0</v>
      </c>
      <c r="O801" s="17">
        <v>20.0</v>
      </c>
      <c r="P801" s="17">
        <v>56.0</v>
      </c>
      <c r="Q801" s="11">
        <v>7.5663661E7</v>
      </c>
      <c r="R801" s="11">
        <v>1.0</v>
      </c>
      <c r="S801" s="24" t="s">
        <v>48</v>
      </c>
      <c r="T801" s="249" t="s">
        <v>6090</v>
      </c>
      <c r="U801" s="17">
        <v>82.0</v>
      </c>
      <c r="V801" s="16">
        <v>40.0</v>
      </c>
      <c r="W801" s="16">
        <v>54.0</v>
      </c>
      <c r="X801" s="50">
        <v>120118.0</v>
      </c>
      <c r="Y801" s="250">
        <v>6389.0</v>
      </c>
    </row>
    <row r="802">
      <c r="A802" s="11">
        <v>13.0</v>
      </c>
      <c r="B802" s="11">
        <v>97.0</v>
      </c>
      <c r="C802" s="253">
        <v>28.0</v>
      </c>
      <c r="D802" s="235">
        <v>87.0</v>
      </c>
      <c r="E802" s="235">
        <v>87.0</v>
      </c>
      <c r="F802" s="253">
        <v>28.0</v>
      </c>
      <c r="G802" s="235">
        <v>87.0</v>
      </c>
      <c r="H802" s="236">
        <v>1.7529855E7</v>
      </c>
      <c r="I802" s="16">
        <v>48.0</v>
      </c>
      <c r="J802" s="11">
        <v>2.0</v>
      </c>
      <c r="K802" s="11" t="str">
        <f t="shared" si="1"/>
        <v>00870017529855482</v>
      </c>
      <c r="L802" s="238">
        <v>683.79</v>
      </c>
      <c r="M802" s="254">
        <v>52719.0</v>
      </c>
      <c r="N802" s="16">
        <v>6.0</v>
      </c>
      <c r="O802" s="17">
        <v>10.0</v>
      </c>
      <c r="P802" s="17">
        <v>36.0</v>
      </c>
      <c r="Q802" s="11">
        <v>6.9900741E7</v>
      </c>
      <c r="R802" s="11">
        <v>6.0</v>
      </c>
      <c r="S802" s="24" t="s">
        <v>5292</v>
      </c>
      <c r="T802" s="249" t="s">
        <v>6091</v>
      </c>
      <c r="U802" s="17">
        <v>37.0</v>
      </c>
      <c r="V802" s="16">
        <v>82.0</v>
      </c>
      <c r="W802" s="16">
        <v>88.0</v>
      </c>
      <c r="X802" s="50">
        <v>12620.0</v>
      </c>
      <c r="Y802" s="250">
        <v>1080.0</v>
      </c>
    </row>
    <row r="803">
      <c r="A803" s="11">
        <v>15.0</v>
      </c>
      <c r="B803" s="11">
        <v>97.0</v>
      </c>
      <c r="C803" s="253">
        <v>39.0</v>
      </c>
      <c r="D803" s="235">
        <v>31.0</v>
      </c>
      <c r="E803" s="235">
        <v>31.0</v>
      </c>
      <c r="F803" s="253">
        <v>39.0</v>
      </c>
      <c r="G803" s="235">
        <v>31.0</v>
      </c>
      <c r="H803" s="236">
        <v>8.9444699E7</v>
      </c>
      <c r="I803" s="16">
        <v>15.0</v>
      </c>
      <c r="J803" s="11">
        <v>3.0</v>
      </c>
      <c r="K803" s="11" t="str">
        <f t="shared" si="1"/>
        <v>00310089444699153</v>
      </c>
      <c r="L803" s="238">
        <v>71034.6</v>
      </c>
      <c r="M803" s="254">
        <v>82817.0</v>
      </c>
      <c r="N803" s="16">
        <v>61.0</v>
      </c>
      <c r="O803" s="17">
        <v>55.0</v>
      </c>
      <c r="P803" s="17">
        <v>36.0</v>
      </c>
      <c r="Q803" s="11">
        <v>6.837451E7</v>
      </c>
      <c r="R803" s="11">
        <v>1.0</v>
      </c>
      <c r="S803" s="24" t="s">
        <v>39</v>
      </c>
      <c r="T803" s="249" t="s">
        <v>6092</v>
      </c>
      <c r="U803" s="17">
        <v>39.0</v>
      </c>
      <c r="V803" s="16">
        <v>8.0</v>
      </c>
      <c r="W803" s="16">
        <v>4.0</v>
      </c>
      <c r="X803" s="50">
        <v>101422.0</v>
      </c>
      <c r="Y803" s="250">
        <v>3303.0</v>
      </c>
    </row>
    <row r="804">
      <c r="A804" s="11">
        <v>11.0</v>
      </c>
      <c r="B804" s="11">
        <v>77.0</v>
      </c>
      <c r="C804" s="253">
        <v>29.0</v>
      </c>
      <c r="D804" s="235">
        <v>107.0</v>
      </c>
      <c r="E804" s="235">
        <v>107.0</v>
      </c>
      <c r="F804" s="253">
        <v>29.0</v>
      </c>
      <c r="G804" s="235">
        <v>107.0</v>
      </c>
      <c r="H804" s="236">
        <v>3.038312E7</v>
      </c>
      <c r="I804" s="16">
        <v>49.0</v>
      </c>
      <c r="J804" s="11">
        <v>4.0</v>
      </c>
      <c r="K804" s="11" t="str">
        <f t="shared" si="1"/>
        <v>01070030383120494</v>
      </c>
      <c r="L804" s="238">
        <v>31990.23</v>
      </c>
      <c r="M804" s="254">
        <v>81816.0</v>
      </c>
      <c r="N804" s="16">
        <v>53.0</v>
      </c>
      <c r="O804" s="17">
        <v>35.0</v>
      </c>
      <c r="P804" s="17">
        <v>97.0</v>
      </c>
      <c r="Q804" s="11">
        <v>2.654724E7</v>
      </c>
      <c r="R804" s="11">
        <v>7.0</v>
      </c>
      <c r="S804" s="24" t="s">
        <v>39</v>
      </c>
      <c r="T804" s="249" t="s">
        <v>6093</v>
      </c>
      <c r="U804" s="17">
        <v>83.0</v>
      </c>
      <c r="V804" s="16">
        <v>28.0</v>
      </c>
      <c r="W804" s="16">
        <v>60.0</v>
      </c>
      <c r="X804" s="50">
        <v>63018.0</v>
      </c>
      <c r="Y804" s="250">
        <v>6859.0</v>
      </c>
    </row>
    <row r="805">
      <c r="A805" s="11">
        <v>16.0</v>
      </c>
      <c r="B805" s="11">
        <v>97.0</v>
      </c>
      <c r="C805" s="253">
        <v>12.0</v>
      </c>
      <c r="D805" s="235">
        <v>133.0</v>
      </c>
      <c r="E805" s="235">
        <v>133.0</v>
      </c>
      <c r="F805" s="253">
        <v>12.0</v>
      </c>
      <c r="G805" s="235">
        <v>133.0</v>
      </c>
      <c r="H805" s="236">
        <v>1.0869711E7</v>
      </c>
      <c r="I805" s="16">
        <v>18.0</v>
      </c>
      <c r="J805" s="11">
        <v>4.0</v>
      </c>
      <c r="K805" s="11" t="str">
        <f t="shared" si="1"/>
        <v>01330010869711184</v>
      </c>
      <c r="L805" s="238">
        <v>-5003.11</v>
      </c>
      <c r="M805" s="254">
        <v>41121.0</v>
      </c>
      <c r="N805" s="16">
        <v>50.0</v>
      </c>
      <c r="O805" s="17">
        <v>28.0</v>
      </c>
      <c r="P805" s="17">
        <v>77.0</v>
      </c>
      <c r="Q805" s="11">
        <v>2.7318665E7</v>
      </c>
      <c r="R805" s="11">
        <v>1.0</v>
      </c>
      <c r="S805" s="24" t="s">
        <v>5292</v>
      </c>
      <c r="T805" s="249" t="s">
        <v>6094</v>
      </c>
      <c r="U805" s="17">
        <v>36.0</v>
      </c>
      <c r="V805" s="16">
        <v>12.0</v>
      </c>
      <c r="W805" s="16">
        <v>80.0</v>
      </c>
      <c r="X805" s="50">
        <v>52114.0</v>
      </c>
      <c r="Y805" s="250">
        <v>4918.0</v>
      </c>
    </row>
    <row r="806">
      <c r="A806" s="11">
        <v>15.0</v>
      </c>
      <c r="B806" s="11">
        <v>77.0</v>
      </c>
      <c r="C806" s="253">
        <v>29.0</v>
      </c>
      <c r="D806" s="235">
        <v>29.0</v>
      </c>
      <c r="E806" s="235">
        <v>29.0</v>
      </c>
      <c r="F806" s="253">
        <v>29.0</v>
      </c>
      <c r="G806" s="235">
        <v>29.0</v>
      </c>
      <c r="H806" s="236">
        <v>8.8362325E7</v>
      </c>
      <c r="I806" s="16">
        <v>47.0</v>
      </c>
      <c r="J806" s="11">
        <v>9.0</v>
      </c>
      <c r="K806" s="11" t="str">
        <f t="shared" si="1"/>
        <v>00290088362325479</v>
      </c>
      <c r="L806" s="238">
        <v>710.46</v>
      </c>
      <c r="M806" s="254">
        <v>51019.0</v>
      </c>
      <c r="N806" s="16">
        <v>30.0</v>
      </c>
      <c r="O806" s="17">
        <v>37.0</v>
      </c>
      <c r="P806" s="17">
        <v>56.0</v>
      </c>
      <c r="Q806" s="11">
        <v>2.5411195E7</v>
      </c>
      <c r="R806" s="11">
        <v>6.0</v>
      </c>
      <c r="S806" s="24" t="s">
        <v>48</v>
      </c>
      <c r="T806" s="249" t="s">
        <v>6095</v>
      </c>
      <c r="U806" s="17">
        <v>92.0</v>
      </c>
      <c r="V806" s="16">
        <v>20.0</v>
      </c>
      <c r="W806" s="16">
        <v>66.0</v>
      </c>
      <c r="X806" s="50">
        <v>122622.0</v>
      </c>
      <c r="Y806" s="250">
        <v>1762.0</v>
      </c>
    </row>
    <row r="807">
      <c r="A807" s="11">
        <v>10.0</v>
      </c>
      <c r="B807" s="11">
        <v>97.0</v>
      </c>
      <c r="C807" s="253">
        <v>29.0</v>
      </c>
      <c r="D807" s="235">
        <v>95.0</v>
      </c>
      <c r="E807" s="235">
        <v>95.0</v>
      </c>
      <c r="F807" s="253">
        <v>29.0</v>
      </c>
      <c r="G807" s="235">
        <v>95.0</v>
      </c>
      <c r="H807" s="236">
        <v>3.3419412E7</v>
      </c>
      <c r="I807" s="16">
        <v>61.0</v>
      </c>
      <c r="J807" s="11">
        <v>0.0</v>
      </c>
      <c r="K807" s="11" t="str">
        <f t="shared" si="1"/>
        <v>00950033419412610</v>
      </c>
      <c r="L807" s="238">
        <v>7902.34</v>
      </c>
      <c r="M807" s="254">
        <v>102019.0</v>
      </c>
      <c r="N807" s="16">
        <v>26.0</v>
      </c>
      <c r="O807" s="17">
        <v>34.0</v>
      </c>
      <c r="P807" s="17">
        <v>77.0</v>
      </c>
      <c r="Q807" s="11">
        <v>2.1139235E7</v>
      </c>
      <c r="R807" s="11">
        <v>6.0</v>
      </c>
      <c r="S807" s="24" t="s">
        <v>48</v>
      </c>
      <c r="T807" s="249" t="s">
        <v>6096</v>
      </c>
      <c r="U807" s="17">
        <v>43.0</v>
      </c>
      <c r="V807" s="16">
        <v>60.0</v>
      </c>
      <c r="W807" s="16">
        <v>43.0</v>
      </c>
      <c r="X807" s="50">
        <v>52813.0</v>
      </c>
      <c r="Y807" s="250">
        <v>9211.0</v>
      </c>
    </row>
    <row r="808">
      <c r="A808" s="11">
        <v>20.0</v>
      </c>
      <c r="B808" s="11">
        <v>15.0</v>
      </c>
      <c r="C808" s="253">
        <v>1.0</v>
      </c>
      <c r="D808" s="235">
        <v>55.0</v>
      </c>
      <c r="E808" s="235">
        <v>55.0</v>
      </c>
      <c r="F808" s="253">
        <v>1.0</v>
      </c>
      <c r="G808" s="235">
        <v>55.0</v>
      </c>
      <c r="H808" s="236">
        <v>3.6440372E7</v>
      </c>
      <c r="I808" s="16">
        <v>11.0</v>
      </c>
      <c r="J808" s="11">
        <v>0.0</v>
      </c>
      <c r="K808" s="11" t="str">
        <f t="shared" si="1"/>
        <v>00550036440372110</v>
      </c>
      <c r="L808" s="238">
        <v>-20577.21</v>
      </c>
      <c r="M808" s="254">
        <v>30513.0</v>
      </c>
      <c r="N808" s="16">
        <v>78.0</v>
      </c>
      <c r="O808" s="17">
        <v>48.0</v>
      </c>
      <c r="P808" s="17">
        <v>36.0</v>
      </c>
      <c r="Q808" s="11">
        <v>4.0353422E7</v>
      </c>
      <c r="R808" s="11">
        <v>9.0</v>
      </c>
      <c r="S808" s="24" t="s">
        <v>29</v>
      </c>
      <c r="T808" s="249" t="s">
        <v>6097</v>
      </c>
      <c r="U808" s="17">
        <v>47.0</v>
      </c>
      <c r="V808" s="16">
        <v>66.0</v>
      </c>
      <c r="W808" s="16">
        <v>93.0</v>
      </c>
      <c r="X808" s="50">
        <v>20513.0</v>
      </c>
      <c r="Y808" s="250">
        <v>8189.0</v>
      </c>
    </row>
    <row r="809">
      <c r="A809" s="11">
        <v>13.0</v>
      </c>
      <c r="B809" s="11">
        <v>97.0</v>
      </c>
      <c r="C809" s="253">
        <v>6.0</v>
      </c>
      <c r="D809" s="235">
        <v>91.0</v>
      </c>
      <c r="E809" s="235">
        <v>91.0</v>
      </c>
      <c r="F809" s="253">
        <v>6.0</v>
      </c>
      <c r="G809" s="235">
        <v>91.0</v>
      </c>
      <c r="H809" s="236">
        <v>1.7997511E7</v>
      </c>
      <c r="I809" s="16">
        <v>82.0</v>
      </c>
      <c r="J809" s="11">
        <v>4.0</v>
      </c>
      <c r="K809" s="11" t="str">
        <f t="shared" si="1"/>
        <v>00910017997511824</v>
      </c>
      <c r="L809" s="238">
        <v>7325.75</v>
      </c>
      <c r="M809" s="254">
        <v>51918.0</v>
      </c>
      <c r="N809" s="16">
        <v>31.0</v>
      </c>
      <c r="O809" s="17">
        <v>28.0</v>
      </c>
      <c r="P809" s="17">
        <v>56.0</v>
      </c>
      <c r="Q809" s="11">
        <v>9.1201887E7</v>
      </c>
      <c r="R809" s="11">
        <v>3.0</v>
      </c>
      <c r="S809" s="24" t="s">
        <v>29</v>
      </c>
      <c r="T809" s="249" t="s">
        <v>6098</v>
      </c>
      <c r="U809" s="17">
        <v>98.0</v>
      </c>
      <c r="V809" s="16">
        <v>17.0</v>
      </c>
      <c r="W809" s="16">
        <v>1.0</v>
      </c>
      <c r="X809" s="50">
        <v>80413.0</v>
      </c>
      <c r="Y809" s="250">
        <v>2520.0</v>
      </c>
    </row>
    <row r="810">
      <c r="A810" s="11">
        <v>18.0</v>
      </c>
      <c r="B810" s="11">
        <v>15.0</v>
      </c>
      <c r="C810" s="253">
        <v>17.0</v>
      </c>
      <c r="D810" s="235">
        <v>91.0</v>
      </c>
      <c r="E810" s="235">
        <v>91.0</v>
      </c>
      <c r="F810" s="253">
        <v>17.0</v>
      </c>
      <c r="G810" s="235">
        <v>91.0</v>
      </c>
      <c r="H810" s="236">
        <v>1.4414037E7</v>
      </c>
      <c r="I810" s="16">
        <v>1.0</v>
      </c>
      <c r="J810" s="11">
        <v>9.0</v>
      </c>
      <c r="K810" s="11" t="str">
        <f t="shared" si="1"/>
        <v>00910014414037019</v>
      </c>
      <c r="L810" s="238">
        <v>-219.46</v>
      </c>
      <c r="M810" s="254">
        <v>21123.0</v>
      </c>
      <c r="N810" s="16">
        <v>25.0</v>
      </c>
      <c r="O810" s="17">
        <v>10.0</v>
      </c>
      <c r="P810" s="17">
        <v>16.0</v>
      </c>
      <c r="Q810" s="11">
        <v>2.366332E7</v>
      </c>
      <c r="R810" s="11">
        <v>8.0</v>
      </c>
      <c r="S810" s="24" t="s">
        <v>39</v>
      </c>
      <c r="T810" s="249" t="s">
        <v>6099</v>
      </c>
      <c r="U810" s="17">
        <v>3.0</v>
      </c>
      <c r="V810" s="16">
        <v>94.0</v>
      </c>
      <c r="W810" s="16">
        <v>85.0</v>
      </c>
      <c r="X810" s="50">
        <v>82918.0</v>
      </c>
      <c r="Y810" s="250">
        <v>1674.0</v>
      </c>
    </row>
    <row r="811">
      <c r="A811" s="11">
        <v>18.0</v>
      </c>
      <c r="B811" s="11">
        <v>36.0</v>
      </c>
      <c r="C811" s="253">
        <v>44.0</v>
      </c>
      <c r="D811" s="235">
        <v>9.0</v>
      </c>
      <c r="E811" s="235">
        <v>9.0</v>
      </c>
      <c r="F811" s="253">
        <v>44.0</v>
      </c>
      <c r="G811" s="235">
        <v>9.0</v>
      </c>
      <c r="H811" s="236">
        <v>9.9328189E7</v>
      </c>
      <c r="I811" s="16">
        <v>73.0</v>
      </c>
      <c r="J811" s="11">
        <v>8.0</v>
      </c>
      <c r="K811" s="11" t="str">
        <f t="shared" si="1"/>
        <v>00090099328189738</v>
      </c>
      <c r="L811" s="238">
        <v>33647.9</v>
      </c>
      <c r="M811" s="254">
        <v>70714.0</v>
      </c>
      <c r="N811" s="16">
        <v>86.0</v>
      </c>
      <c r="O811" s="17">
        <v>2.0</v>
      </c>
      <c r="P811" s="17">
        <v>16.0</v>
      </c>
      <c r="Q811" s="11">
        <v>2.5339267E7</v>
      </c>
      <c r="R811" s="11">
        <v>8.0</v>
      </c>
      <c r="S811" s="24" t="s">
        <v>5292</v>
      </c>
      <c r="T811" s="249" t="s">
        <v>6100</v>
      </c>
      <c r="U811" s="17">
        <v>5.0</v>
      </c>
      <c r="V811" s="16">
        <v>27.0</v>
      </c>
      <c r="W811" s="16">
        <v>56.0</v>
      </c>
      <c r="X811" s="50">
        <v>90621.0</v>
      </c>
      <c r="Y811" s="250">
        <v>3582.0</v>
      </c>
    </row>
    <row r="812">
      <c r="A812" s="11">
        <v>17.0</v>
      </c>
      <c r="B812" s="11">
        <v>77.0</v>
      </c>
      <c r="C812" s="253">
        <v>13.0</v>
      </c>
      <c r="D812" s="235">
        <v>51.0</v>
      </c>
      <c r="E812" s="235">
        <v>51.0</v>
      </c>
      <c r="F812" s="253">
        <v>13.0</v>
      </c>
      <c r="G812" s="235">
        <v>51.0</v>
      </c>
      <c r="H812" s="236">
        <v>8.1359003E7</v>
      </c>
      <c r="I812" s="16">
        <v>11.0</v>
      </c>
      <c r="J812" s="11">
        <v>8.0</v>
      </c>
      <c r="K812" s="11" t="str">
        <f t="shared" si="1"/>
        <v>00510081359003118</v>
      </c>
      <c r="L812" s="238">
        <v>38863.23</v>
      </c>
      <c r="M812" s="254">
        <v>51616.0</v>
      </c>
      <c r="N812" s="16">
        <v>27.0</v>
      </c>
      <c r="O812" s="17">
        <v>35.0</v>
      </c>
      <c r="P812" s="17">
        <v>77.0</v>
      </c>
      <c r="Q812" s="11">
        <v>1.4892095E7</v>
      </c>
      <c r="R812" s="11">
        <v>0.0</v>
      </c>
      <c r="S812" s="24" t="s">
        <v>39</v>
      </c>
      <c r="T812" s="249" t="s">
        <v>6101</v>
      </c>
      <c r="U812" s="17">
        <v>55.0</v>
      </c>
      <c r="V812" s="16">
        <v>34.0</v>
      </c>
      <c r="W812" s="16">
        <v>36.0</v>
      </c>
      <c r="X812" s="50">
        <v>102522.0</v>
      </c>
      <c r="Y812" s="250">
        <v>3818.0</v>
      </c>
    </row>
    <row r="813">
      <c r="A813" s="11">
        <v>13.0</v>
      </c>
      <c r="B813" s="11">
        <v>56.0</v>
      </c>
      <c r="C813" s="253">
        <v>26.0</v>
      </c>
      <c r="D813" s="235">
        <v>55.0</v>
      </c>
      <c r="E813" s="235">
        <v>55.0</v>
      </c>
      <c r="F813" s="253">
        <v>26.0</v>
      </c>
      <c r="G813" s="235">
        <v>55.0</v>
      </c>
      <c r="H813" s="236">
        <v>7.6322421E7</v>
      </c>
      <c r="I813" s="16">
        <v>30.0</v>
      </c>
      <c r="J813" s="11">
        <v>3.0</v>
      </c>
      <c r="K813" s="11" t="str">
        <f t="shared" si="1"/>
        <v>00550076322421303</v>
      </c>
      <c r="L813" s="238">
        <v>7285.28</v>
      </c>
      <c r="M813" s="254">
        <v>91721.0</v>
      </c>
      <c r="N813" s="16">
        <v>60.0</v>
      </c>
      <c r="O813" s="17">
        <v>32.0</v>
      </c>
      <c r="P813" s="17">
        <v>77.0</v>
      </c>
      <c r="Q813" s="11">
        <v>5.6850572E7</v>
      </c>
      <c r="R813" s="11">
        <v>9.0</v>
      </c>
      <c r="S813" s="24" t="s">
        <v>39</v>
      </c>
      <c r="T813" s="249" t="s">
        <v>6102</v>
      </c>
      <c r="U813" s="17">
        <v>61.0</v>
      </c>
      <c r="V813" s="16">
        <v>79.0</v>
      </c>
      <c r="W813" s="16">
        <v>6.0</v>
      </c>
      <c r="X813" s="50">
        <v>32917.0</v>
      </c>
      <c r="Y813" s="250">
        <v>780.0</v>
      </c>
    </row>
    <row r="814">
      <c r="A814" s="11">
        <v>13.0</v>
      </c>
      <c r="B814" s="11">
        <v>97.0</v>
      </c>
      <c r="C814" s="253">
        <v>51.0</v>
      </c>
      <c r="D814" s="235">
        <v>105.0</v>
      </c>
      <c r="E814" s="235">
        <v>105.0</v>
      </c>
      <c r="F814" s="253">
        <v>51.0</v>
      </c>
      <c r="G814" s="235">
        <v>105.0</v>
      </c>
      <c r="H814" s="236">
        <v>8.4087292E7</v>
      </c>
      <c r="I814" s="16">
        <v>68.0</v>
      </c>
      <c r="J814" s="11">
        <v>7.0</v>
      </c>
      <c r="K814" s="11" t="str">
        <f t="shared" si="1"/>
        <v>01050084087292687</v>
      </c>
      <c r="L814" s="238">
        <v>2352.32</v>
      </c>
      <c r="M814" s="254">
        <v>121420.0</v>
      </c>
      <c r="N814" s="16">
        <v>39.0</v>
      </c>
      <c r="O814" s="17">
        <v>24.0</v>
      </c>
      <c r="P814" s="17">
        <v>16.0</v>
      </c>
      <c r="Q814" s="11">
        <v>5.6819881E7</v>
      </c>
      <c r="R814" s="11">
        <v>1.0</v>
      </c>
      <c r="S814" s="24" t="s">
        <v>29</v>
      </c>
      <c r="T814" s="249" t="s">
        <v>6103</v>
      </c>
      <c r="U814" s="17">
        <v>17.0</v>
      </c>
      <c r="V814" s="16">
        <v>8.0</v>
      </c>
      <c r="W814" s="16">
        <v>2.0</v>
      </c>
      <c r="X814" s="50">
        <v>102819.0</v>
      </c>
      <c r="Y814" s="250">
        <v>3346.0</v>
      </c>
    </row>
    <row r="815">
      <c r="A815" s="11">
        <v>20.0</v>
      </c>
      <c r="B815" s="11">
        <v>77.0</v>
      </c>
      <c r="C815" s="253">
        <v>26.0</v>
      </c>
      <c r="D815" s="235">
        <v>5.0</v>
      </c>
      <c r="E815" s="235">
        <v>5.0</v>
      </c>
      <c r="F815" s="253">
        <v>26.0</v>
      </c>
      <c r="G815" s="235">
        <v>5.0</v>
      </c>
      <c r="H815" s="236">
        <v>2.1993909E7</v>
      </c>
      <c r="I815" s="16">
        <v>15.0</v>
      </c>
      <c r="J815" s="11">
        <v>7.0</v>
      </c>
      <c r="K815" s="11" t="str">
        <f t="shared" si="1"/>
        <v>00050021993909157</v>
      </c>
      <c r="L815" s="238">
        <v>532.57</v>
      </c>
      <c r="M815" s="254">
        <v>40922.0</v>
      </c>
      <c r="N815" s="16">
        <v>24.0</v>
      </c>
      <c r="O815" s="17">
        <v>51.0</v>
      </c>
      <c r="P815" s="17">
        <v>16.0</v>
      </c>
      <c r="Q815" s="11">
        <v>6.7644059E7</v>
      </c>
      <c r="R815" s="11">
        <v>6.0</v>
      </c>
      <c r="S815" s="24" t="s">
        <v>39</v>
      </c>
      <c r="T815" s="249" t="s">
        <v>6104</v>
      </c>
      <c r="U815" s="17">
        <v>19.0</v>
      </c>
      <c r="V815" s="16">
        <v>8.0</v>
      </c>
      <c r="W815" s="16">
        <v>89.0</v>
      </c>
      <c r="X815" s="50">
        <v>72913.0</v>
      </c>
      <c r="Y815" s="250">
        <v>8618.0</v>
      </c>
    </row>
    <row r="816">
      <c r="A816" s="11">
        <v>11.0</v>
      </c>
      <c r="B816" s="11">
        <v>36.0</v>
      </c>
      <c r="C816" s="253">
        <v>8.0</v>
      </c>
      <c r="D816" s="235">
        <v>91.0</v>
      </c>
      <c r="E816" s="235">
        <v>91.0</v>
      </c>
      <c r="F816" s="253">
        <v>8.0</v>
      </c>
      <c r="G816" s="235">
        <v>91.0</v>
      </c>
      <c r="H816" s="236">
        <v>9.2988575E7</v>
      </c>
      <c r="I816" s="16">
        <v>39.0</v>
      </c>
      <c r="J816" s="11">
        <v>8.0</v>
      </c>
      <c r="K816" s="11" t="str">
        <f t="shared" si="1"/>
        <v>00910092988575398</v>
      </c>
      <c r="L816" s="238">
        <v>496.88</v>
      </c>
      <c r="M816" s="254">
        <v>102217.0</v>
      </c>
      <c r="N816" s="16">
        <v>78.0</v>
      </c>
      <c r="O816" s="17">
        <v>4.0</v>
      </c>
      <c r="P816" s="17">
        <v>77.0</v>
      </c>
      <c r="Q816" s="11">
        <v>8.9564317E7</v>
      </c>
      <c r="R816" s="11">
        <v>0.0</v>
      </c>
      <c r="S816" s="24" t="s">
        <v>29</v>
      </c>
      <c r="T816" s="249" t="s">
        <v>6105</v>
      </c>
      <c r="U816" s="17">
        <v>64.0</v>
      </c>
      <c r="V816" s="16">
        <v>11.0</v>
      </c>
      <c r="W816" s="16">
        <v>94.0</v>
      </c>
      <c r="X816" s="50">
        <v>21015.0</v>
      </c>
      <c r="Y816" s="250">
        <v>2388.0</v>
      </c>
    </row>
    <row r="817">
      <c r="A817" s="11">
        <v>10.0</v>
      </c>
      <c r="B817" s="11">
        <v>77.0</v>
      </c>
      <c r="C817" s="253">
        <v>28.0</v>
      </c>
      <c r="D817" s="235">
        <v>155.0</v>
      </c>
      <c r="E817" s="235">
        <v>155.0</v>
      </c>
      <c r="F817" s="253">
        <v>28.0</v>
      </c>
      <c r="G817" s="235">
        <v>155.0</v>
      </c>
      <c r="H817" s="236">
        <v>7.0505237E7</v>
      </c>
      <c r="I817" s="16">
        <v>85.0</v>
      </c>
      <c r="J817" s="11">
        <v>4.0</v>
      </c>
      <c r="K817" s="11" t="str">
        <f t="shared" si="1"/>
        <v>01550070505237854</v>
      </c>
      <c r="L817" s="238">
        <v>900039.12</v>
      </c>
      <c r="M817" s="254">
        <v>11622.0</v>
      </c>
      <c r="N817" s="16">
        <v>42.0</v>
      </c>
      <c r="O817" s="17">
        <v>35.0</v>
      </c>
      <c r="P817" s="17">
        <v>57.0</v>
      </c>
      <c r="Q817" s="11">
        <v>6.1622148E7</v>
      </c>
      <c r="R817" s="11">
        <v>7.0</v>
      </c>
      <c r="S817" s="24" t="s">
        <v>29</v>
      </c>
      <c r="T817" s="249" t="s">
        <v>6106</v>
      </c>
      <c r="U817" s="17">
        <v>19.0</v>
      </c>
      <c r="V817" s="16">
        <v>30.0</v>
      </c>
      <c r="W817" s="16">
        <v>8.0</v>
      </c>
      <c r="X817" s="50">
        <v>33022.0</v>
      </c>
      <c r="Y817" s="250">
        <v>4358.0</v>
      </c>
    </row>
    <row r="818">
      <c r="A818" s="11">
        <v>16.0</v>
      </c>
      <c r="B818" s="11">
        <v>77.0</v>
      </c>
      <c r="C818" s="253">
        <v>28.0</v>
      </c>
      <c r="D818" s="235">
        <v>109.0</v>
      </c>
      <c r="E818" s="235">
        <v>109.0</v>
      </c>
      <c r="F818" s="253">
        <v>28.0</v>
      </c>
      <c r="G818" s="235">
        <v>109.0</v>
      </c>
      <c r="H818" s="236">
        <v>4.2694027E7</v>
      </c>
      <c r="I818" s="16">
        <v>54.0</v>
      </c>
      <c r="J818" s="11">
        <v>2.0</v>
      </c>
      <c r="K818" s="11" t="str">
        <f t="shared" si="1"/>
        <v>01090042694027542</v>
      </c>
      <c r="L818" s="238">
        <v>76414.74</v>
      </c>
      <c r="M818" s="254">
        <v>31914.0</v>
      </c>
      <c r="N818" s="16">
        <v>54.0</v>
      </c>
      <c r="O818" s="17">
        <v>42.0</v>
      </c>
      <c r="P818" s="17">
        <v>16.0</v>
      </c>
      <c r="Q818" s="11">
        <v>4.461255E7</v>
      </c>
      <c r="R818" s="11">
        <v>6.0</v>
      </c>
      <c r="S818" s="24" t="s">
        <v>39</v>
      </c>
      <c r="T818" s="249" t="s">
        <v>6107</v>
      </c>
      <c r="U818" s="17">
        <v>23.0</v>
      </c>
      <c r="V818" s="16">
        <v>92.0</v>
      </c>
      <c r="W818" s="16">
        <v>7.0</v>
      </c>
      <c r="X818" s="50">
        <v>80820.0</v>
      </c>
      <c r="Y818" s="250">
        <v>7132.0</v>
      </c>
    </row>
    <row r="819">
      <c r="A819" s="11">
        <v>12.0</v>
      </c>
      <c r="B819" s="11">
        <v>77.0</v>
      </c>
      <c r="C819" s="253">
        <v>48.0</v>
      </c>
      <c r="D819" s="235">
        <v>35.0</v>
      </c>
      <c r="E819" s="235">
        <v>35.0</v>
      </c>
      <c r="F819" s="253">
        <v>48.0</v>
      </c>
      <c r="G819" s="235">
        <v>35.0</v>
      </c>
      <c r="H819" s="236">
        <v>1.0784217E7</v>
      </c>
      <c r="I819" s="16">
        <v>30.0</v>
      </c>
      <c r="J819" s="11">
        <v>3.0</v>
      </c>
      <c r="K819" s="11" t="str">
        <f t="shared" si="1"/>
        <v>00350010784217303</v>
      </c>
      <c r="L819" s="238">
        <v>4154.25</v>
      </c>
      <c r="M819" s="254">
        <v>41917.0</v>
      </c>
      <c r="N819" s="16">
        <v>97.0</v>
      </c>
      <c r="O819" s="17">
        <v>27.0</v>
      </c>
      <c r="P819" s="17">
        <v>16.0</v>
      </c>
      <c r="Q819" s="11">
        <v>3.0898196E7</v>
      </c>
      <c r="R819" s="11">
        <v>5.0</v>
      </c>
      <c r="S819" s="24" t="s">
        <v>39</v>
      </c>
      <c r="T819" s="249" t="s">
        <v>6108</v>
      </c>
      <c r="U819" s="17">
        <v>29.0</v>
      </c>
      <c r="V819" s="16">
        <v>44.0</v>
      </c>
      <c r="W819" s="16">
        <v>88.0</v>
      </c>
      <c r="X819" s="50">
        <v>121819.0</v>
      </c>
      <c r="Y819" s="250">
        <v>7788.0</v>
      </c>
    </row>
    <row r="820">
      <c r="A820" s="11">
        <v>12.0</v>
      </c>
      <c r="B820" s="11">
        <v>77.0</v>
      </c>
      <c r="C820" s="253">
        <v>21.0</v>
      </c>
      <c r="D820" s="235">
        <v>93.0</v>
      </c>
      <c r="E820" s="235">
        <v>93.0</v>
      </c>
      <c r="F820" s="253">
        <v>21.0</v>
      </c>
      <c r="G820" s="235">
        <v>93.0</v>
      </c>
      <c r="H820" s="236">
        <v>6.5377493E7</v>
      </c>
      <c r="I820" s="16">
        <v>39.0</v>
      </c>
      <c r="J820" s="11">
        <v>5.0</v>
      </c>
      <c r="K820" s="11" t="str">
        <f t="shared" si="1"/>
        <v>00930065377493395</v>
      </c>
      <c r="L820" s="238">
        <v>735391.38</v>
      </c>
      <c r="M820" s="254">
        <v>20215.0</v>
      </c>
      <c r="N820" s="16">
        <v>44.0</v>
      </c>
      <c r="O820" s="17">
        <v>42.0</v>
      </c>
      <c r="P820" s="17">
        <v>36.0</v>
      </c>
      <c r="Q820" s="11">
        <v>3.7727002E7</v>
      </c>
      <c r="R820" s="11">
        <v>0.0</v>
      </c>
      <c r="S820" s="24" t="s">
        <v>29</v>
      </c>
      <c r="T820" s="249" t="s">
        <v>6109</v>
      </c>
      <c r="U820" s="17">
        <v>78.0</v>
      </c>
      <c r="V820" s="16">
        <v>33.0</v>
      </c>
      <c r="W820" s="16">
        <v>31.0</v>
      </c>
      <c r="X820" s="50">
        <v>71619.0</v>
      </c>
      <c r="Y820" s="250">
        <v>1495.0</v>
      </c>
    </row>
    <row r="821">
      <c r="A821" s="11">
        <v>15.0</v>
      </c>
      <c r="B821" s="11">
        <v>98.0</v>
      </c>
      <c r="C821" s="253">
        <v>29.0</v>
      </c>
      <c r="D821" s="235">
        <v>41.0</v>
      </c>
      <c r="E821" s="235">
        <v>41.0</v>
      </c>
      <c r="F821" s="253">
        <v>29.0</v>
      </c>
      <c r="G821" s="235">
        <v>41.0</v>
      </c>
      <c r="H821" s="236">
        <v>5.9587654E7</v>
      </c>
      <c r="I821" s="16">
        <v>73.0</v>
      </c>
      <c r="J821" s="11">
        <v>4.0</v>
      </c>
      <c r="K821" s="11" t="str">
        <f t="shared" si="1"/>
        <v>00410059587654734</v>
      </c>
      <c r="L821" s="238">
        <v>1317.11</v>
      </c>
      <c r="M821" s="254">
        <v>111623.0</v>
      </c>
      <c r="N821" s="16">
        <v>94.0</v>
      </c>
      <c r="O821" s="17">
        <v>24.0</v>
      </c>
      <c r="P821" s="17">
        <v>98.0</v>
      </c>
      <c r="Q821" s="11">
        <v>3.7669627E7</v>
      </c>
      <c r="R821" s="11">
        <v>0.0</v>
      </c>
      <c r="S821" s="24" t="s">
        <v>5292</v>
      </c>
      <c r="T821" s="249" t="s">
        <v>6110</v>
      </c>
      <c r="U821" s="17">
        <v>22.0</v>
      </c>
      <c r="V821" s="16">
        <v>86.0</v>
      </c>
      <c r="W821" s="16">
        <v>58.0</v>
      </c>
      <c r="X821" s="50">
        <v>120720.0</v>
      </c>
      <c r="Y821" s="250">
        <v>1306.0</v>
      </c>
    </row>
    <row r="822">
      <c r="A822" s="11">
        <v>16.0</v>
      </c>
      <c r="B822" s="11">
        <v>77.0</v>
      </c>
      <c r="C822" s="253">
        <v>12.0</v>
      </c>
      <c r="D822" s="235">
        <v>61.0</v>
      </c>
      <c r="E822" s="235">
        <v>61.0</v>
      </c>
      <c r="F822" s="253">
        <v>12.0</v>
      </c>
      <c r="G822" s="235">
        <v>61.0</v>
      </c>
      <c r="H822" s="236">
        <v>3.5743801E7</v>
      </c>
      <c r="I822" s="16">
        <v>83.0</v>
      </c>
      <c r="J822" s="11">
        <v>1.0</v>
      </c>
      <c r="K822" s="11" t="str">
        <f t="shared" si="1"/>
        <v>00610035743801831</v>
      </c>
      <c r="L822" s="238">
        <v>6179.52</v>
      </c>
      <c r="M822" s="254">
        <v>10119.0</v>
      </c>
      <c r="N822" s="16">
        <v>36.0</v>
      </c>
      <c r="O822" s="17">
        <v>28.0</v>
      </c>
      <c r="P822" s="17">
        <v>36.0</v>
      </c>
      <c r="Q822" s="11">
        <v>6.5163992E7</v>
      </c>
      <c r="R822" s="11">
        <v>7.0</v>
      </c>
      <c r="S822" s="24" t="s">
        <v>29</v>
      </c>
      <c r="T822" s="249" t="s">
        <v>6111</v>
      </c>
      <c r="U822" s="17">
        <v>80.0</v>
      </c>
      <c r="V822" s="16">
        <v>82.0</v>
      </c>
      <c r="W822" s="16">
        <v>7.0</v>
      </c>
      <c r="X822" s="50">
        <v>112813.0</v>
      </c>
      <c r="Y822" s="250">
        <v>7462.0</v>
      </c>
    </row>
    <row r="823">
      <c r="A823" s="11">
        <v>12.0</v>
      </c>
      <c r="B823" s="11">
        <v>98.0</v>
      </c>
      <c r="C823" s="253">
        <v>26.0</v>
      </c>
      <c r="D823" s="235">
        <v>141.0</v>
      </c>
      <c r="E823" s="235">
        <v>141.0</v>
      </c>
      <c r="F823" s="253">
        <v>26.0</v>
      </c>
      <c r="G823" s="235">
        <v>141.0</v>
      </c>
      <c r="H823" s="236">
        <v>9.2684751E7</v>
      </c>
      <c r="I823" s="16">
        <v>47.0</v>
      </c>
      <c r="J823" s="11">
        <v>7.0</v>
      </c>
      <c r="K823" s="11" t="str">
        <f t="shared" si="1"/>
        <v>01410092684751477</v>
      </c>
      <c r="L823" s="238">
        <v>5928.24</v>
      </c>
      <c r="M823" s="254">
        <v>81814.0</v>
      </c>
      <c r="N823" s="16">
        <v>25.0</v>
      </c>
      <c r="O823" s="17">
        <v>40.0</v>
      </c>
      <c r="P823" s="17">
        <v>57.0</v>
      </c>
      <c r="Q823" s="11">
        <v>6.7023709E7</v>
      </c>
      <c r="R823" s="11">
        <v>4.0</v>
      </c>
      <c r="S823" s="24" t="s">
        <v>29</v>
      </c>
      <c r="T823" s="249" t="s">
        <v>6112</v>
      </c>
      <c r="U823" s="17">
        <v>29.0</v>
      </c>
      <c r="V823" s="16">
        <v>97.0</v>
      </c>
      <c r="W823" s="16">
        <v>83.0</v>
      </c>
      <c r="X823" s="50">
        <v>50317.0</v>
      </c>
      <c r="Y823" s="250">
        <v>2932.0</v>
      </c>
    </row>
    <row r="824">
      <c r="A824" s="11">
        <v>19.0</v>
      </c>
      <c r="B824" s="11">
        <v>57.0</v>
      </c>
      <c r="C824" s="253">
        <v>48.0</v>
      </c>
      <c r="D824" s="235">
        <v>393.0</v>
      </c>
      <c r="E824" s="235">
        <v>393.0</v>
      </c>
      <c r="F824" s="253">
        <v>48.0</v>
      </c>
      <c r="G824" s="235">
        <v>393.0</v>
      </c>
      <c r="H824" s="236">
        <v>2.9463157E7</v>
      </c>
      <c r="I824" s="16">
        <v>82.0</v>
      </c>
      <c r="J824" s="11">
        <v>7.0</v>
      </c>
      <c r="K824" s="11" t="str">
        <f t="shared" si="1"/>
        <v>03930029463157827</v>
      </c>
      <c r="L824" s="238">
        <v>-41559.41</v>
      </c>
      <c r="M824" s="254">
        <v>100814.0</v>
      </c>
      <c r="N824" s="16">
        <v>62.0</v>
      </c>
      <c r="O824" s="17">
        <v>53.0</v>
      </c>
      <c r="P824" s="17">
        <v>16.0</v>
      </c>
      <c r="Q824" s="11">
        <v>7.068922E7</v>
      </c>
      <c r="R824" s="11">
        <v>1.0</v>
      </c>
      <c r="S824" s="24" t="s">
        <v>5292</v>
      </c>
      <c r="T824" s="249" t="s">
        <v>6113</v>
      </c>
      <c r="U824" s="17">
        <v>34.0</v>
      </c>
      <c r="V824" s="16">
        <v>46.0</v>
      </c>
      <c r="W824" s="16">
        <v>39.0</v>
      </c>
      <c r="X824" s="50">
        <v>91019.0</v>
      </c>
      <c r="Y824" s="250">
        <v>5518.0</v>
      </c>
    </row>
    <row r="825">
      <c r="A825" s="11">
        <v>20.0</v>
      </c>
      <c r="B825" s="11">
        <v>77.0</v>
      </c>
      <c r="C825" s="253">
        <v>45.0</v>
      </c>
      <c r="D825" s="235">
        <v>73.0</v>
      </c>
      <c r="E825" s="235">
        <v>73.0</v>
      </c>
      <c r="F825" s="253">
        <v>45.0</v>
      </c>
      <c r="G825" s="235">
        <v>73.0</v>
      </c>
      <c r="H825" s="236">
        <v>6.7608238E7</v>
      </c>
      <c r="I825" s="16">
        <v>61.0</v>
      </c>
      <c r="J825" s="11">
        <v>3.0</v>
      </c>
      <c r="K825" s="11" t="str">
        <f t="shared" si="1"/>
        <v>00730067608238613</v>
      </c>
      <c r="L825" s="238">
        <v>8095.99</v>
      </c>
      <c r="M825" s="254">
        <v>102920.0</v>
      </c>
      <c r="N825" s="16">
        <v>93.0</v>
      </c>
      <c r="O825" s="17">
        <v>37.0</v>
      </c>
      <c r="P825" s="17">
        <v>98.0</v>
      </c>
      <c r="Q825" s="11">
        <v>8.458572E7</v>
      </c>
      <c r="R825" s="11">
        <v>6.0</v>
      </c>
      <c r="S825" s="24" t="s">
        <v>29</v>
      </c>
      <c r="T825" s="249" t="s">
        <v>6114</v>
      </c>
      <c r="U825" s="17">
        <v>23.0</v>
      </c>
      <c r="V825" s="16">
        <v>25.0</v>
      </c>
      <c r="W825" s="16">
        <v>44.0</v>
      </c>
      <c r="X825" s="50">
        <v>30814.0</v>
      </c>
      <c r="Y825" s="250">
        <v>8705.0</v>
      </c>
    </row>
    <row r="826">
      <c r="A826" s="11">
        <v>13.0</v>
      </c>
      <c r="B826" s="11">
        <v>77.0</v>
      </c>
      <c r="C826" s="253">
        <v>27.0</v>
      </c>
      <c r="D826" s="235">
        <v>119.0</v>
      </c>
      <c r="E826" s="235">
        <v>119.0</v>
      </c>
      <c r="F826" s="253">
        <v>27.0</v>
      </c>
      <c r="G826" s="235">
        <v>119.0</v>
      </c>
      <c r="H826" s="236">
        <v>1.5662955E7</v>
      </c>
      <c r="I826" s="16">
        <v>87.0</v>
      </c>
      <c r="J826" s="11">
        <v>8.0</v>
      </c>
      <c r="K826" s="11" t="str">
        <f t="shared" si="1"/>
        <v>01190015662955878</v>
      </c>
      <c r="L826" s="238">
        <v>-622.1</v>
      </c>
      <c r="M826" s="254">
        <v>41116.0</v>
      </c>
      <c r="N826" s="16">
        <v>14.0</v>
      </c>
      <c r="O826" s="17">
        <v>46.0</v>
      </c>
      <c r="P826" s="17">
        <v>16.0</v>
      </c>
      <c r="Q826" s="11">
        <v>8.8109824E7</v>
      </c>
      <c r="R826" s="11">
        <v>8.0</v>
      </c>
      <c r="S826" s="24" t="s">
        <v>29</v>
      </c>
      <c r="T826" s="249" t="s">
        <v>6115</v>
      </c>
      <c r="U826" s="17">
        <v>38.0</v>
      </c>
      <c r="V826" s="16">
        <v>71.0</v>
      </c>
      <c r="W826" s="16">
        <v>47.0</v>
      </c>
      <c r="X826" s="50">
        <v>62113.0</v>
      </c>
      <c r="Y826" s="250">
        <v>2961.0</v>
      </c>
    </row>
    <row r="827">
      <c r="A827" s="11">
        <v>16.0</v>
      </c>
      <c r="B827" s="11">
        <v>16.0</v>
      </c>
      <c r="C827" s="253">
        <v>47.0</v>
      </c>
      <c r="D827" s="235">
        <v>77.0</v>
      </c>
      <c r="E827" s="235">
        <v>77.0</v>
      </c>
      <c r="F827" s="253">
        <v>47.0</v>
      </c>
      <c r="G827" s="235">
        <v>77.0</v>
      </c>
      <c r="H827" s="236">
        <v>9.2941236E7</v>
      </c>
      <c r="I827" s="16">
        <v>14.0</v>
      </c>
      <c r="J827" s="11">
        <v>5.0</v>
      </c>
      <c r="K827" s="11" t="str">
        <f t="shared" si="1"/>
        <v>00770092941236145</v>
      </c>
      <c r="L827" s="238">
        <v>-9869.79</v>
      </c>
      <c r="M827" s="254">
        <v>22816.0</v>
      </c>
      <c r="N827" s="16">
        <v>97.0</v>
      </c>
      <c r="O827" s="17">
        <v>10.0</v>
      </c>
      <c r="P827" s="17">
        <v>16.0</v>
      </c>
      <c r="Q827" s="11">
        <v>1.4668691E7</v>
      </c>
      <c r="R827" s="11">
        <v>5.0</v>
      </c>
      <c r="S827" s="24" t="s">
        <v>48</v>
      </c>
      <c r="T827" s="249" t="s">
        <v>6116</v>
      </c>
      <c r="U827" s="17">
        <v>42.0</v>
      </c>
      <c r="V827" s="16">
        <v>94.0</v>
      </c>
      <c r="W827" s="16">
        <v>22.0</v>
      </c>
      <c r="X827" s="50">
        <v>61113.0</v>
      </c>
      <c r="Y827" s="250">
        <v>9944.0</v>
      </c>
    </row>
    <row r="828">
      <c r="A828" s="11">
        <v>15.0</v>
      </c>
      <c r="B828" s="11">
        <v>77.0</v>
      </c>
      <c r="C828" s="253">
        <v>28.0</v>
      </c>
      <c r="D828" s="235">
        <v>101.0</v>
      </c>
      <c r="E828" s="235">
        <v>101.0</v>
      </c>
      <c r="F828" s="253">
        <v>28.0</v>
      </c>
      <c r="G828" s="235">
        <v>101.0</v>
      </c>
      <c r="H828" s="236">
        <v>6.5797542E7</v>
      </c>
      <c r="I828" s="16">
        <v>56.0</v>
      </c>
      <c r="J828" s="11">
        <v>0.0</v>
      </c>
      <c r="K828" s="11" t="str">
        <f t="shared" si="1"/>
        <v>01010065797542560</v>
      </c>
      <c r="L828" s="238">
        <v>297132.22</v>
      </c>
      <c r="M828" s="254">
        <v>90723.0</v>
      </c>
      <c r="N828" s="16">
        <v>57.0</v>
      </c>
      <c r="O828" s="17">
        <v>32.0</v>
      </c>
      <c r="P828" s="17">
        <v>36.0</v>
      </c>
      <c r="Q828" s="11">
        <v>7.6330165E7</v>
      </c>
      <c r="R828" s="11">
        <v>9.0</v>
      </c>
      <c r="S828" s="24" t="s">
        <v>39</v>
      </c>
      <c r="T828" s="249" t="s">
        <v>6117</v>
      </c>
      <c r="U828" s="17">
        <v>96.0</v>
      </c>
      <c r="V828" s="16">
        <v>65.0</v>
      </c>
      <c r="W828" s="16">
        <v>6.0</v>
      </c>
      <c r="X828" s="50">
        <v>82721.0</v>
      </c>
      <c r="Y828" s="250">
        <v>830.0</v>
      </c>
    </row>
    <row r="829">
      <c r="A829" s="11">
        <v>14.0</v>
      </c>
      <c r="B829" s="11">
        <v>98.0</v>
      </c>
      <c r="C829" s="253">
        <v>21.0</v>
      </c>
      <c r="D829" s="235">
        <v>7.0</v>
      </c>
      <c r="E829" s="235">
        <v>7.0</v>
      </c>
      <c r="F829" s="253">
        <v>21.0</v>
      </c>
      <c r="G829" s="235">
        <v>7.0</v>
      </c>
      <c r="H829" s="236">
        <v>5.0817858E7</v>
      </c>
      <c r="I829" s="16">
        <v>23.0</v>
      </c>
      <c r="J829" s="11">
        <v>5.0</v>
      </c>
      <c r="K829" s="11" t="str">
        <f t="shared" si="1"/>
        <v>00070050817858235</v>
      </c>
      <c r="L829" s="238">
        <v>395.92</v>
      </c>
      <c r="M829" s="254">
        <v>31115.0</v>
      </c>
      <c r="N829" s="16">
        <v>17.0</v>
      </c>
      <c r="O829" s="17">
        <v>25.0</v>
      </c>
      <c r="P829" s="17">
        <v>16.0</v>
      </c>
      <c r="Q829" s="11">
        <v>9.1314934E7</v>
      </c>
      <c r="R829" s="11">
        <v>0.0</v>
      </c>
      <c r="S829" s="24" t="s">
        <v>48</v>
      </c>
      <c r="T829" s="249" t="s">
        <v>6118</v>
      </c>
      <c r="U829" s="17">
        <v>51.0</v>
      </c>
      <c r="V829" s="16">
        <v>7.0</v>
      </c>
      <c r="W829" s="16">
        <v>63.0</v>
      </c>
      <c r="X829" s="50">
        <v>70318.0</v>
      </c>
      <c r="Y829" s="250">
        <v>235.0</v>
      </c>
    </row>
    <row r="830">
      <c r="A830" s="11">
        <v>18.0</v>
      </c>
      <c r="B830" s="11">
        <v>36.0</v>
      </c>
      <c r="C830" s="253">
        <v>48.0</v>
      </c>
      <c r="D830" s="235">
        <v>437.0</v>
      </c>
      <c r="E830" s="235">
        <v>437.0</v>
      </c>
      <c r="F830" s="253">
        <v>48.0</v>
      </c>
      <c r="G830" s="235">
        <v>437.0</v>
      </c>
      <c r="H830" s="236">
        <v>7.0436214E7</v>
      </c>
      <c r="I830" s="16">
        <v>93.0</v>
      </c>
      <c r="J830" s="11">
        <v>7.0</v>
      </c>
      <c r="K830" s="11" t="str">
        <f t="shared" si="1"/>
        <v>04370070436214937</v>
      </c>
      <c r="L830" s="238">
        <v>197.19</v>
      </c>
      <c r="M830" s="254">
        <v>121814.0</v>
      </c>
      <c r="N830" s="16">
        <v>49.0</v>
      </c>
      <c r="O830" s="17">
        <v>56.0</v>
      </c>
      <c r="P830" s="17">
        <v>37.0</v>
      </c>
      <c r="Q830" s="11">
        <v>2.9959848E7</v>
      </c>
      <c r="R830" s="11">
        <v>6.0</v>
      </c>
      <c r="S830" s="24" t="s">
        <v>29</v>
      </c>
      <c r="T830" s="249" t="s">
        <v>6119</v>
      </c>
      <c r="U830" s="17">
        <v>0.0</v>
      </c>
      <c r="V830" s="16">
        <v>68.0</v>
      </c>
      <c r="W830" s="16">
        <v>60.0</v>
      </c>
      <c r="X830" s="50">
        <v>110119.0</v>
      </c>
      <c r="Y830" s="250">
        <v>2766.0</v>
      </c>
    </row>
    <row r="831">
      <c r="A831" s="11">
        <v>19.0</v>
      </c>
      <c r="B831" s="11">
        <v>77.0</v>
      </c>
      <c r="C831" s="253">
        <v>48.0</v>
      </c>
      <c r="D831" s="235">
        <v>447.0</v>
      </c>
      <c r="E831" s="235">
        <v>447.0</v>
      </c>
      <c r="F831" s="253">
        <v>48.0</v>
      </c>
      <c r="G831" s="235">
        <v>447.0</v>
      </c>
      <c r="H831" s="236">
        <v>8.4904487E7</v>
      </c>
      <c r="I831" s="16">
        <v>22.0</v>
      </c>
      <c r="J831" s="11">
        <v>0.0</v>
      </c>
      <c r="K831" s="11" t="str">
        <f t="shared" si="1"/>
        <v>04470084904487220</v>
      </c>
      <c r="L831" s="238">
        <v>757649.5</v>
      </c>
      <c r="M831" s="254">
        <v>30916.0</v>
      </c>
      <c r="N831" s="16">
        <v>89.0</v>
      </c>
      <c r="O831" s="17">
        <v>12.0</v>
      </c>
      <c r="P831" s="17">
        <v>57.0</v>
      </c>
      <c r="Q831" s="11">
        <v>6.5981228E7</v>
      </c>
      <c r="R831" s="11">
        <v>2.0</v>
      </c>
      <c r="S831" s="24" t="s">
        <v>48</v>
      </c>
      <c r="T831" s="249" t="s">
        <v>6120</v>
      </c>
      <c r="U831" s="17">
        <v>48.0</v>
      </c>
      <c r="V831" s="16">
        <v>58.0</v>
      </c>
      <c r="W831" s="16">
        <v>92.0</v>
      </c>
      <c r="X831" s="50">
        <v>121617.0</v>
      </c>
      <c r="Y831" s="250">
        <v>1903.0</v>
      </c>
    </row>
    <row r="832">
      <c r="A832" s="11">
        <v>15.0</v>
      </c>
      <c r="B832" s="11">
        <v>36.0</v>
      </c>
      <c r="C832" s="253">
        <v>26.0</v>
      </c>
      <c r="D832" s="235">
        <v>67.0</v>
      </c>
      <c r="E832" s="235">
        <v>67.0</v>
      </c>
      <c r="F832" s="253">
        <v>26.0</v>
      </c>
      <c r="G832" s="235">
        <v>67.0</v>
      </c>
      <c r="H832" s="236">
        <v>8.6186984E7</v>
      </c>
      <c r="I832" s="16">
        <v>55.0</v>
      </c>
      <c r="J832" s="11">
        <v>9.0</v>
      </c>
      <c r="K832" s="11" t="str">
        <f t="shared" si="1"/>
        <v>00670086186984559</v>
      </c>
      <c r="L832" s="238">
        <v>193.46</v>
      </c>
      <c r="M832" s="254">
        <v>101414.0</v>
      </c>
      <c r="N832" s="16">
        <v>94.0</v>
      </c>
      <c r="O832" s="17">
        <v>44.0</v>
      </c>
      <c r="P832" s="17">
        <v>98.0</v>
      </c>
      <c r="Q832" s="11">
        <v>9.5801132E7</v>
      </c>
      <c r="R832" s="11">
        <v>3.0</v>
      </c>
      <c r="S832" s="24" t="s">
        <v>29</v>
      </c>
      <c r="T832" s="249" t="s">
        <v>6121</v>
      </c>
      <c r="U832" s="17">
        <v>46.0</v>
      </c>
      <c r="V832" s="16">
        <v>91.0</v>
      </c>
      <c r="W832" s="16">
        <v>38.0</v>
      </c>
      <c r="X832" s="50">
        <v>12414.0</v>
      </c>
      <c r="Y832" s="250">
        <v>5002.0</v>
      </c>
    </row>
    <row r="833">
      <c r="A833" s="11">
        <v>19.0</v>
      </c>
      <c r="B833" s="11">
        <v>36.0</v>
      </c>
      <c r="C833" s="253">
        <v>30.0</v>
      </c>
      <c r="D833" s="235">
        <v>95.0</v>
      </c>
      <c r="E833" s="235">
        <v>95.0</v>
      </c>
      <c r="F833" s="253">
        <v>30.0</v>
      </c>
      <c r="G833" s="235">
        <v>95.0</v>
      </c>
      <c r="H833" s="236">
        <v>7.355264E7</v>
      </c>
      <c r="I833" s="16">
        <v>39.0</v>
      </c>
      <c r="J833" s="11">
        <v>2.0</v>
      </c>
      <c r="K833" s="11" t="str">
        <f t="shared" si="1"/>
        <v>00950073552640392</v>
      </c>
      <c r="L833" s="238">
        <v>-75080.14</v>
      </c>
      <c r="M833" s="254">
        <v>22523.0</v>
      </c>
      <c r="N833" s="16">
        <v>74.0</v>
      </c>
      <c r="O833" s="17">
        <v>29.0</v>
      </c>
      <c r="P833" s="17">
        <v>37.0</v>
      </c>
      <c r="Q833" s="11">
        <v>2.4968887E7</v>
      </c>
      <c r="R833" s="11">
        <v>0.0</v>
      </c>
      <c r="S833" s="24" t="s">
        <v>48</v>
      </c>
      <c r="T833" s="249" t="s">
        <v>6122</v>
      </c>
      <c r="U833" s="17">
        <v>5.0</v>
      </c>
      <c r="V833" s="16">
        <v>48.0</v>
      </c>
      <c r="W833" s="16">
        <v>62.0</v>
      </c>
      <c r="X833" s="50">
        <v>12515.0</v>
      </c>
      <c r="Y833" s="250">
        <v>2430.0</v>
      </c>
    </row>
    <row r="834">
      <c r="A834" s="11">
        <v>18.0</v>
      </c>
      <c r="B834" s="11">
        <v>57.0</v>
      </c>
      <c r="C834" s="253">
        <v>29.0</v>
      </c>
      <c r="D834" s="235">
        <v>153.0</v>
      </c>
      <c r="E834" s="235">
        <v>153.0</v>
      </c>
      <c r="F834" s="253">
        <v>29.0</v>
      </c>
      <c r="G834" s="235">
        <v>153.0</v>
      </c>
      <c r="H834" s="236">
        <v>4.3461555E7</v>
      </c>
      <c r="I834" s="16">
        <v>12.0</v>
      </c>
      <c r="J834" s="11">
        <v>4.0</v>
      </c>
      <c r="K834" s="11" t="str">
        <f t="shared" si="1"/>
        <v>01530043461555124</v>
      </c>
      <c r="L834" s="238">
        <v>-4829.4</v>
      </c>
      <c r="M834" s="254">
        <v>121014.0</v>
      </c>
      <c r="N834" s="16">
        <v>13.0</v>
      </c>
      <c r="O834" s="17">
        <v>49.0</v>
      </c>
      <c r="P834" s="17">
        <v>57.0</v>
      </c>
      <c r="Q834" s="11">
        <v>3.8422929E7</v>
      </c>
      <c r="R834" s="11">
        <v>4.0</v>
      </c>
      <c r="S834" s="24" t="s">
        <v>39</v>
      </c>
      <c r="T834" s="249" t="s">
        <v>6123</v>
      </c>
      <c r="U834" s="17">
        <v>55.0</v>
      </c>
      <c r="V834" s="16">
        <v>63.0</v>
      </c>
      <c r="W834" s="16">
        <v>64.0</v>
      </c>
      <c r="X834" s="50">
        <v>80813.0</v>
      </c>
      <c r="Y834" s="250">
        <v>1442.0</v>
      </c>
    </row>
    <row r="835">
      <c r="A835" s="11">
        <v>20.0</v>
      </c>
      <c r="B835" s="11">
        <v>57.0</v>
      </c>
      <c r="C835" s="253">
        <v>21.0</v>
      </c>
      <c r="D835" s="235">
        <v>193.0</v>
      </c>
      <c r="E835" s="235">
        <v>193.0</v>
      </c>
      <c r="F835" s="253">
        <v>21.0</v>
      </c>
      <c r="G835" s="235">
        <v>193.0</v>
      </c>
      <c r="H835" s="236">
        <v>5.735453E7</v>
      </c>
      <c r="I835" s="16">
        <v>82.0</v>
      </c>
      <c r="J835" s="11">
        <v>4.0</v>
      </c>
      <c r="K835" s="11" t="str">
        <f t="shared" si="1"/>
        <v>01930057354530824</v>
      </c>
      <c r="L835" s="238">
        <v>32062.31</v>
      </c>
      <c r="M835" s="254">
        <v>62823.0</v>
      </c>
      <c r="N835" s="16">
        <v>14.0</v>
      </c>
      <c r="O835" s="17">
        <v>6.0</v>
      </c>
      <c r="P835" s="17">
        <v>16.0</v>
      </c>
      <c r="Q835" s="11">
        <v>5.5693216E7</v>
      </c>
      <c r="R835" s="11">
        <v>1.0</v>
      </c>
      <c r="S835" s="24" t="s">
        <v>39</v>
      </c>
      <c r="T835" s="249" t="s">
        <v>6124</v>
      </c>
      <c r="U835" s="17">
        <v>59.0</v>
      </c>
      <c r="V835" s="16">
        <v>97.0</v>
      </c>
      <c r="W835" s="16">
        <v>96.0</v>
      </c>
      <c r="X835" s="50">
        <v>92813.0</v>
      </c>
      <c r="Y835" s="250">
        <v>4480.0</v>
      </c>
    </row>
    <row r="836">
      <c r="A836" s="11">
        <v>15.0</v>
      </c>
      <c r="B836" s="11">
        <v>36.0</v>
      </c>
      <c r="C836" s="253">
        <v>20.0</v>
      </c>
      <c r="D836" s="235">
        <v>27.0</v>
      </c>
      <c r="E836" s="235">
        <v>27.0</v>
      </c>
      <c r="F836" s="253">
        <v>20.0</v>
      </c>
      <c r="G836" s="235">
        <v>27.0</v>
      </c>
      <c r="H836" s="236">
        <v>3.7802471E7</v>
      </c>
      <c r="I836" s="16">
        <v>32.0</v>
      </c>
      <c r="J836" s="11">
        <v>3.0</v>
      </c>
      <c r="K836" s="11" t="str">
        <f t="shared" si="1"/>
        <v>00270037802471323</v>
      </c>
      <c r="L836" s="238">
        <v>98275.57</v>
      </c>
      <c r="M836" s="254">
        <v>61520.0</v>
      </c>
      <c r="N836" s="16">
        <v>54.0</v>
      </c>
      <c r="O836" s="17">
        <v>4.0</v>
      </c>
      <c r="P836" s="17">
        <v>57.0</v>
      </c>
      <c r="Q836" s="11">
        <v>2.564313E7</v>
      </c>
      <c r="R836" s="11">
        <v>9.0</v>
      </c>
      <c r="S836" s="24" t="s">
        <v>39</v>
      </c>
      <c r="T836" s="249" t="s">
        <v>6125</v>
      </c>
      <c r="U836" s="17">
        <v>59.0</v>
      </c>
      <c r="V836" s="16">
        <v>55.0</v>
      </c>
      <c r="W836" s="16">
        <v>71.0</v>
      </c>
      <c r="X836" s="50">
        <v>42320.0</v>
      </c>
      <c r="Y836" s="250">
        <v>1389.0</v>
      </c>
    </row>
    <row r="837">
      <c r="A837" s="11">
        <v>14.0</v>
      </c>
      <c r="B837" s="11">
        <v>16.0</v>
      </c>
      <c r="C837" s="253">
        <v>48.0</v>
      </c>
      <c r="D837" s="235">
        <v>303.0</v>
      </c>
      <c r="E837" s="235">
        <v>303.0</v>
      </c>
      <c r="F837" s="253">
        <v>48.0</v>
      </c>
      <c r="G837" s="235">
        <v>303.0</v>
      </c>
      <c r="H837" s="236">
        <v>5.556051E7</v>
      </c>
      <c r="I837" s="16">
        <v>9.0</v>
      </c>
      <c r="J837" s="11">
        <v>6.0</v>
      </c>
      <c r="K837" s="11" t="str">
        <f t="shared" si="1"/>
        <v>03030055560510096</v>
      </c>
      <c r="L837" s="238">
        <v>-546664.65</v>
      </c>
      <c r="M837" s="254">
        <v>60115.0</v>
      </c>
      <c r="N837" s="16">
        <v>71.0</v>
      </c>
      <c r="O837" s="17">
        <v>31.0</v>
      </c>
      <c r="P837" s="17">
        <v>78.0</v>
      </c>
      <c r="Q837" s="11">
        <v>2.868187E7</v>
      </c>
      <c r="R837" s="11">
        <v>4.0</v>
      </c>
      <c r="S837" s="24" t="s">
        <v>39</v>
      </c>
      <c r="T837" s="249" t="s">
        <v>6126</v>
      </c>
      <c r="U837" s="17">
        <v>7.0</v>
      </c>
      <c r="V837" s="16">
        <v>19.0</v>
      </c>
      <c r="W837" s="16">
        <v>2.0</v>
      </c>
      <c r="X837" s="50">
        <v>13114.0</v>
      </c>
      <c r="Y837" s="250">
        <v>3947.0</v>
      </c>
    </row>
    <row r="838">
      <c r="A838" s="11">
        <v>13.0</v>
      </c>
      <c r="B838" s="11">
        <v>57.0</v>
      </c>
      <c r="C838" s="253">
        <v>22.0</v>
      </c>
      <c r="D838" s="235">
        <v>5.0</v>
      </c>
      <c r="E838" s="235">
        <v>5.0</v>
      </c>
      <c r="F838" s="253">
        <v>22.0</v>
      </c>
      <c r="G838" s="235">
        <v>5.0</v>
      </c>
      <c r="H838" s="236">
        <v>9.7944624E7</v>
      </c>
      <c r="I838" s="16">
        <v>30.0</v>
      </c>
      <c r="J838" s="11">
        <v>6.0</v>
      </c>
      <c r="K838" s="11" t="str">
        <f t="shared" si="1"/>
        <v>00050097944624306</v>
      </c>
      <c r="L838" s="238">
        <v>-4240.43</v>
      </c>
      <c r="M838" s="254">
        <v>70813.0</v>
      </c>
      <c r="N838" s="16">
        <v>39.0</v>
      </c>
      <c r="O838" s="17">
        <v>12.0</v>
      </c>
      <c r="P838" s="17">
        <v>37.0</v>
      </c>
      <c r="Q838" s="11">
        <v>4.783233E7</v>
      </c>
      <c r="R838" s="11">
        <v>0.0</v>
      </c>
      <c r="S838" s="24" t="s">
        <v>5292</v>
      </c>
      <c r="T838" s="249" t="s">
        <v>6127</v>
      </c>
      <c r="U838" s="17">
        <v>13.0</v>
      </c>
      <c r="V838" s="16">
        <v>46.0</v>
      </c>
      <c r="W838" s="16">
        <v>32.0</v>
      </c>
      <c r="X838" s="50">
        <v>82319.0</v>
      </c>
      <c r="Y838" s="250">
        <v>2691.0</v>
      </c>
    </row>
    <row r="839">
      <c r="A839" s="11">
        <v>15.0</v>
      </c>
      <c r="B839" s="11">
        <v>16.0</v>
      </c>
      <c r="C839" s="253">
        <v>29.0</v>
      </c>
      <c r="D839" s="235">
        <v>167.0</v>
      </c>
      <c r="E839" s="235">
        <v>167.0</v>
      </c>
      <c r="F839" s="253">
        <v>29.0</v>
      </c>
      <c r="G839" s="235">
        <v>167.0</v>
      </c>
      <c r="H839" s="236">
        <v>2.0936264E7</v>
      </c>
      <c r="I839" s="16">
        <v>71.0</v>
      </c>
      <c r="J839" s="11">
        <v>2.0</v>
      </c>
      <c r="K839" s="11" t="str">
        <f t="shared" si="1"/>
        <v>01670020936264712</v>
      </c>
      <c r="L839" s="238">
        <v>98856.55</v>
      </c>
      <c r="M839" s="254">
        <v>81123.0</v>
      </c>
      <c r="N839" s="16">
        <v>70.0</v>
      </c>
      <c r="O839" s="17">
        <v>45.0</v>
      </c>
      <c r="P839" s="17">
        <v>98.0</v>
      </c>
      <c r="Q839" s="11">
        <v>9.646816E7</v>
      </c>
      <c r="R839" s="11">
        <v>3.0</v>
      </c>
      <c r="S839" s="24" t="s">
        <v>29</v>
      </c>
      <c r="T839" s="249" t="s">
        <v>6128</v>
      </c>
      <c r="U839" s="17">
        <v>58.0</v>
      </c>
      <c r="V839" s="16">
        <v>62.0</v>
      </c>
      <c r="W839" s="16">
        <v>46.0</v>
      </c>
      <c r="X839" s="50">
        <v>51220.0</v>
      </c>
      <c r="Y839" s="250">
        <v>6066.0</v>
      </c>
    </row>
    <row r="840">
      <c r="A840" s="11">
        <v>20.0</v>
      </c>
      <c r="B840" s="11">
        <v>98.0</v>
      </c>
      <c r="C840" s="253">
        <v>48.0</v>
      </c>
      <c r="D840" s="235">
        <v>115.0</v>
      </c>
      <c r="E840" s="235">
        <v>115.0</v>
      </c>
      <c r="F840" s="253">
        <v>48.0</v>
      </c>
      <c r="G840" s="235">
        <v>115.0</v>
      </c>
      <c r="H840" s="236">
        <v>1.4905133E7</v>
      </c>
      <c r="I840" s="16">
        <v>92.0</v>
      </c>
      <c r="J840" s="11">
        <v>0.0</v>
      </c>
      <c r="K840" s="11" t="str">
        <f t="shared" si="1"/>
        <v>01150014905133920</v>
      </c>
      <c r="L840" s="238">
        <v>849.88</v>
      </c>
      <c r="M840" s="254">
        <v>73021.0</v>
      </c>
      <c r="N840" s="16">
        <v>18.0</v>
      </c>
      <c r="O840" s="17">
        <v>48.0</v>
      </c>
      <c r="P840" s="17">
        <v>57.0</v>
      </c>
      <c r="Q840" s="11">
        <v>7.8502423E7</v>
      </c>
      <c r="R840" s="11">
        <v>9.0</v>
      </c>
      <c r="S840" s="24" t="s">
        <v>48</v>
      </c>
      <c r="T840" s="249" t="s">
        <v>6129</v>
      </c>
      <c r="U840" s="17">
        <v>69.0</v>
      </c>
      <c r="V840" s="16">
        <v>74.0</v>
      </c>
      <c r="W840" s="16">
        <v>35.0</v>
      </c>
      <c r="X840" s="50">
        <v>20917.0</v>
      </c>
      <c r="Y840" s="250">
        <v>1473.0</v>
      </c>
    </row>
    <row r="841">
      <c r="A841" s="11">
        <v>10.0</v>
      </c>
      <c r="B841" s="11">
        <v>16.0</v>
      </c>
      <c r="C841" s="253">
        <v>46.0</v>
      </c>
      <c r="D841" s="235">
        <v>7.0</v>
      </c>
      <c r="E841" s="235">
        <v>7.0</v>
      </c>
      <c r="F841" s="253">
        <v>46.0</v>
      </c>
      <c r="G841" s="235">
        <v>7.0</v>
      </c>
      <c r="H841" s="236">
        <v>7.880231E7</v>
      </c>
      <c r="I841" s="16">
        <v>93.0</v>
      </c>
      <c r="J841" s="11">
        <v>9.0</v>
      </c>
      <c r="K841" s="11" t="str">
        <f t="shared" si="1"/>
        <v>00070078802310939</v>
      </c>
      <c r="L841" s="238">
        <v>9249.24</v>
      </c>
      <c r="M841" s="254">
        <v>82516.0</v>
      </c>
      <c r="N841" s="16">
        <v>35.0</v>
      </c>
      <c r="O841" s="17">
        <v>21.0</v>
      </c>
      <c r="P841" s="17">
        <v>98.0</v>
      </c>
      <c r="Q841" s="11">
        <v>7.927996E7</v>
      </c>
      <c r="R841" s="11">
        <v>7.0</v>
      </c>
      <c r="S841" s="24" t="s">
        <v>29</v>
      </c>
      <c r="T841" s="249" t="s">
        <v>6130</v>
      </c>
      <c r="U841" s="17">
        <v>68.0</v>
      </c>
      <c r="V841" s="16">
        <v>28.0</v>
      </c>
      <c r="W841" s="16">
        <v>78.0</v>
      </c>
      <c r="X841" s="50">
        <v>52220.0</v>
      </c>
      <c r="Y841" s="250">
        <v>1586.0</v>
      </c>
    </row>
    <row r="842">
      <c r="A842" s="11">
        <v>12.0</v>
      </c>
      <c r="B842" s="11">
        <v>77.0</v>
      </c>
      <c r="C842" s="253">
        <v>26.0</v>
      </c>
      <c r="D842" s="235">
        <v>145.0</v>
      </c>
      <c r="E842" s="235">
        <v>145.0</v>
      </c>
      <c r="F842" s="253">
        <v>26.0</v>
      </c>
      <c r="G842" s="235">
        <v>145.0</v>
      </c>
      <c r="H842" s="236">
        <v>2.697633E7</v>
      </c>
      <c r="I842" s="16">
        <v>59.0</v>
      </c>
      <c r="J842" s="11">
        <v>4.0</v>
      </c>
      <c r="K842" s="11" t="str">
        <f t="shared" si="1"/>
        <v>01450026976330594</v>
      </c>
      <c r="L842" s="238">
        <v>7246.96</v>
      </c>
      <c r="M842" s="254">
        <v>81223.0</v>
      </c>
      <c r="N842" s="16">
        <v>23.0</v>
      </c>
      <c r="O842" s="17">
        <v>2.0</v>
      </c>
      <c r="P842" s="17">
        <v>16.0</v>
      </c>
      <c r="Q842" s="11">
        <v>6.010285E7</v>
      </c>
      <c r="R842" s="11">
        <v>5.0</v>
      </c>
      <c r="S842" s="24" t="s">
        <v>29</v>
      </c>
      <c r="T842" s="249" t="s">
        <v>6131</v>
      </c>
      <c r="U842" s="17">
        <v>77.0</v>
      </c>
      <c r="V842" s="16">
        <v>56.0</v>
      </c>
      <c r="W842" s="16">
        <v>24.0</v>
      </c>
      <c r="X842" s="50">
        <v>100822.0</v>
      </c>
      <c r="Y842" s="250">
        <v>5878.0</v>
      </c>
    </row>
    <row r="843">
      <c r="A843" s="11">
        <v>14.0</v>
      </c>
      <c r="B843" s="11">
        <v>16.0</v>
      </c>
      <c r="C843" s="253">
        <v>19.0</v>
      </c>
      <c r="D843" s="235">
        <v>69.0</v>
      </c>
      <c r="E843" s="235">
        <v>69.0</v>
      </c>
      <c r="F843" s="253">
        <v>19.0</v>
      </c>
      <c r="G843" s="235">
        <v>69.0</v>
      </c>
      <c r="H843" s="236">
        <v>8.0186248E7</v>
      </c>
      <c r="I843" s="16">
        <v>25.0</v>
      </c>
      <c r="J843" s="11">
        <v>1.0</v>
      </c>
      <c r="K843" s="11" t="str">
        <f t="shared" si="1"/>
        <v>00690080186248251</v>
      </c>
      <c r="L843" s="238">
        <v>959530.19</v>
      </c>
      <c r="M843" s="254">
        <v>12522.0</v>
      </c>
      <c r="N843" s="16">
        <v>38.0</v>
      </c>
      <c r="O843" s="17">
        <v>23.0</v>
      </c>
      <c r="P843" s="17">
        <v>98.0</v>
      </c>
      <c r="Q843" s="11">
        <v>5.6606654E7</v>
      </c>
      <c r="R843" s="11">
        <v>2.0</v>
      </c>
      <c r="S843" s="24" t="s">
        <v>29</v>
      </c>
      <c r="T843" s="249" t="s">
        <v>6132</v>
      </c>
      <c r="U843" s="17">
        <v>69.0</v>
      </c>
      <c r="V843" s="16">
        <v>58.0</v>
      </c>
      <c r="W843" s="16">
        <v>7.0</v>
      </c>
      <c r="X843" s="50">
        <v>42121.0</v>
      </c>
      <c r="Y843" s="250">
        <v>476.0</v>
      </c>
    </row>
    <row r="844">
      <c r="A844" s="11">
        <v>12.0</v>
      </c>
      <c r="B844" s="11">
        <v>57.0</v>
      </c>
      <c r="C844" s="253">
        <v>6.0</v>
      </c>
      <c r="D844" s="235">
        <v>53.0</v>
      </c>
      <c r="E844" s="235">
        <v>53.0</v>
      </c>
      <c r="F844" s="253">
        <v>6.0</v>
      </c>
      <c r="G844" s="235">
        <v>53.0</v>
      </c>
      <c r="H844" s="236">
        <v>6.5584641E7</v>
      </c>
      <c r="I844" s="16">
        <v>56.0</v>
      </c>
      <c r="J844" s="11">
        <v>5.0</v>
      </c>
      <c r="K844" s="11" t="str">
        <f t="shared" si="1"/>
        <v>00530065584641565</v>
      </c>
      <c r="L844" s="238">
        <v>-20063.73</v>
      </c>
      <c r="M844" s="254">
        <v>21223.0</v>
      </c>
      <c r="N844" s="16">
        <v>87.0</v>
      </c>
      <c r="O844" s="17">
        <v>24.0</v>
      </c>
      <c r="P844" s="17">
        <v>78.0</v>
      </c>
      <c r="Q844" s="11">
        <v>4.0365368E7</v>
      </c>
      <c r="R844" s="11">
        <v>1.0</v>
      </c>
      <c r="S844" s="24" t="s">
        <v>29</v>
      </c>
      <c r="T844" s="249" t="s">
        <v>6133</v>
      </c>
      <c r="U844" s="17">
        <v>23.0</v>
      </c>
      <c r="V844" s="16">
        <v>66.0</v>
      </c>
      <c r="W844" s="16">
        <v>18.0</v>
      </c>
      <c r="X844" s="50">
        <v>30316.0</v>
      </c>
      <c r="Y844" s="250">
        <v>9463.0</v>
      </c>
    </row>
    <row r="845">
      <c r="A845" s="11">
        <v>17.0</v>
      </c>
      <c r="B845" s="11">
        <v>57.0</v>
      </c>
      <c r="C845" s="253">
        <v>54.0</v>
      </c>
      <c r="D845" s="235">
        <v>33.0</v>
      </c>
      <c r="E845" s="235">
        <v>33.0</v>
      </c>
      <c r="F845" s="253">
        <v>54.0</v>
      </c>
      <c r="G845" s="235">
        <v>33.0</v>
      </c>
      <c r="H845" s="236">
        <v>3.3326678E7</v>
      </c>
      <c r="I845" s="16">
        <v>18.0</v>
      </c>
      <c r="J845" s="11">
        <v>5.0</v>
      </c>
      <c r="K845" s="11" t="str">
        <f t="shared" si="1"/>
        <v>00330033326678185</v>
      </c>
      <c r="L845" s="238">
        <v>94370.28</v>
      </c>
      <c r="M845" s="254">
        <v>71517.0</v>
      </c>
      <c r="N845" s="16">
        <v>90.0</v>
      </c>
      <c r="O845" s="17">
        <v>13.0</v>
      </c>
      <c r="P845" s="17">
        <v>37.0</v>
      </c>
      <c r="Q845" s="11">
        <v>2.7311969E7</v>
      </c>
      <c r="R845" s="11">
        <v>0.0</v>
      </c>
      <c r="S845" s="24" t="s">
        <v>5292</v>
      </c>
      <c r="T845" s="249" t="s">
        <v>6134</v>
      </c>
      <c r="U845" s="17">
        <v>26.0</v>
      </c>
      <c r="V845" s="16">
        <v>59.0</v>
      </c>
      <c r="W845" s="16">
        <v>28.0</v>
      </c>
      <c r="X845" s="50">
        <v>31820.0</v>
      </c>
      <c r="Y845" s="250">
        <v>7741.0</v>
      </c>
    </row>
    <row r="846">
      <c r="A846" s="11">
        <v>19.0</v>
      </c>
      <c r="B846" s="11">
        <v>16.0</v>
      </c>
      <c r="C846" s="253">
        <v>31.0</v>
      </c>
      <c r="D846" s="235">
        <v>37.0</v>
      </c>
      <c r="E846" s="235">
        <v>37.0</v>
      </c>
      <c r="F846" s="253">
        <v>31.0</v>
      </c>
      <c r="G846" s="235">
        <v>37.0</v>
      </c>
      <c r="H846" s="236">
        <v>6.5504331E7</v>
      </c>
      <c r="I846" s="16">
        <v>23.0</v>
      </c>
      <c r="J846" s="11">
        <v>9.0</v>
      </c>
      <c r="K846" s="11" t="str">
        <f t="shared" si="1"/>
        <v>00370065504331239</v>
      </c>
      <c r="L846" s="238">
        <v>456029.79</v>
      </c>
      <c r="M846" s="254">
        <v>21414.0</v>
      </c>
      <c r="N846" s="16">
        <v>89.0</v>
      </c>
      <c r="O846" s="17">
        <v>44.0</v>
      </c>
      <c r="P846" s="17">
        <v>98.0</v>
      </c>
      <c r="Q846" s="11">
        <v>3.6611518E7</v>
      </c>
      <c r="R846" s="11">
        <v>7.0</v>
      </c>
      <c r="S846" s="24" t="s">
        <v>29</v>
      </c>
      <c r="T846" s="249" t="s">
        <v>6135</v>
      </c>
      <c r="U846" s="17">
        <v>77.0</v>
      </c>
      <c r="V846" s="16">
        <v>71.0</v>
      </c>
      <c r="W846" s="16">
        <v>22.0</v>
      </c>
      <c r="X846" s="50">
        <v>11219.0</v>
      </c>
      <c r="Y846" s="250">
        <v>5381.0</v>
      </c>
    </row>
    <row r="847">
      <c r="A847" s="11">
        <v>13.0</v>
      </c>
      <c r="B847" s="11">
        <v>37.0</v>
      </c>
      <c r="C847" s="253">
        <v>37.0</v>
      </c>
      <c r="D847" s="235">
        <v>15.0</v>
      </c>
      <c r="E847" s="235">
        <v>15.0</v>
      </c>
      <c r="F847" s="253">
        <v>37.0</v>
      </c>
      <c r="G847" s="235">
        <v>15.0</v>
      </c>
      <c r="H847" s="236">
        <v>6.1327947E7</v>
      </c>
      <c r="I847" s="16">
        <v>92.0</v>
      </c>
      <c r="J847" s="11">
        <v>1.0</v>
      </c>
      <c r="K847" s="11" t="str">
        <f t="shared" si="1"/>
        <v>00150061327947921</v>
      </c>
      <c r="L847" s="238">
        <v>-77622.82</v>
      </c>
      <c r="M847" s="254">
        <v>100523.0</v>
      </c>
      <c r="N847" s="16">
        <v>73.0</v>
      </c>
      <c r="O847" s="17">
        <v>34.0</v>
      </c>
      <c r="P847" s="17">
        <v>78.0</v>
      </c>
      <c r="Q847" s="11">
        <v>7.6797222E7</v>
      </c>
      <c r="R847" s="11">
        <v>8.0</v>
      </c>
      <c r="S847" s="24" t="s">
        <v>29</v>
      </c>
      <c r="T847" s="249" t="s">
        <v>6136</v>
      </c>
      <c r="U847" s="17">
        <v>37.0</v>
      </c>
      <c r="V847" s="16">
        <v>43.0</v>
      </c>
      <c r="W847" s="16">
        <v>72.0</v>
      </c>
      <c r="X847" s="50">
        <v>71314.0</v>
      </c>
      <c r="Y847" s="250">
        <v>6559.0</v>
      </c>
    </row>
    <row r="848">
      <c r="A848" s="11">
        <v>10.0</v>
      </c>
      <c r="B848" s="11">
        <v>16.0</v>
      </c>
      <c r="C848" s="253">
        <v>36.0</v>
      </c>
      <c r="D848" s="235">
        <v>105.0</v>
      </c>
      <c r="E848" s="235">
        <v>105.0</v>
      </c>
      <c r="F848" s="253">
        <v>36.0</v>
      </c>
      <c r="G848" s="235">
        <v>105.0</v>
      </c>
      <c r="H848" s="236">
        <v>4.9768053E7</v>
      </c>
      <c r="I848" s="16">
        <v>48.0</v>
      </c>
      <c r="J848" s="11">
        <v>5.0</v>
      </c>
      <c r="K848" s="11" t="str">
        <f t="shared" si="1"/>
        <v>01050049768053485</v>
      </c>
      <c r="L848" s="238">
        <v>33795.43</v>
      </c>
      <c r="M848" s="254">
        <v>12817.0</v>
      </c>
      <c r="N848" s="16">
        <v>10.0</v>
      </c>
      <c r="O848" s="17">
        <v>40.0</v>
      </c>
      <c r="P848" s="17">
        <v>78.0</v>
      </c>
      <c r="Q848" s="11">
        <v>4.0765389E7</v>
      </c>
      <c r="R848" s="11">
        <v>0.0</v>
      </c>
      <c r="S848" s="24" t="s">
        <v>5292</v>
      </c>
      <c r="T848" s="249" t="s">
        <v>6137</v>
      </c>
      <c r="U848" s="17">
        <v>38.0</v>
      </c>
      <c r="V848" s="16">
        <v>29.0</v>
      </c>
      <c r="W848" s="16">
        <v>21.0</v>
      </c>
      <c r="X848" s="50">
        <v>53022.0</v>
      </c>
      <c r="Y848" s="250">
        <v>2361.0</v>
      </c>
    </row>
    <row r="849">
      <c r="A849" s="11">
        <v>16.0</v>
      </c>
      <c r="B849" s="11">
        <v>98.0</v>
      </c>
      <c r="C849" s="253">
        <v>48.0</v>
      </c>
      <c r="D849" s="235">
        <v>373.0</v>
      </c>
      <c r="E849" s="235">
        <v>373.0</v>
      </c>
      <c r="F849" s="253">
        <v>48.0</v>
      </c>
      <c r="G849" s="235">
        <v>373.0</v>
      </c>
      <c r="H849" s="236">
        <v>1.8789165E7</v>
      </c>
      <c r="I849" s="16">
        <v>81.0</v>
      </c>
      <c r="J849" s="11">
        <v>2.0</v>
      </c>
      <c r="K849" s="11" t="str">
        <f t="shared" si="1"/>
        <v>03730018789165812</v>
      </c>
      <c r="L849" s="238">
        <v>5695.23</v>
      </c>
      <c r="M849" s="254">
        <v>92623.0</v>
      </c>
      <c r="N849" s="16">
        <v>18.0</v>
      </c>
      <c r="O849" s="17">
        <v>13.0</v>
      </c>
      <c r="P849" s="17">
        <v>98.0</v>
      </c>
      <c r="Q849" s="11">
        <v>3.4881456E7</v>
      </c>
      <c r="R849" s="11">
        <v>5.0</v>
      </c>
      <c r="S849" s="24" t="s">
        <v>5292</v>
      </c>
      <c r="T849" s="249" t="s">
        <v>6138</v>
      </c>
      <c r="U849" s="17">
        <v>88.0</v>
      </c>
      <c r="V849" s="16">
        <v>71.0</v>
      </c>
      <c r="W849" s="16">
        <v>80.0</v>
      </c>
      <c r="X849" s="50">
        <v>111919.0</v>
      </c>
      <c r="Y849" s="250">
        <v>1594.0</v>
      </c>
    </row>
    <row r="850">
      <c r="A850" s="11">
        <v>10.0</v>
      </c>
      <c r="B850" s="11">
        <v>57.0</v>
      </c>
      <c r="C850" s="253">
        <v>19.0</v>
      </c>
      <c r="D850" s="235">
        <v>119.0</v>
      </c>
      <c r="E850" s="235">
        <v>119.0</v>
      </c>
      <c r="F850" s="253">
        <v>19.0</v>
      </c>
      <c r="G850" s="235">
        <v>119.0</v>
      </c>
      <c r="H850" s="236">
        <v>3.5405461E7</v>
      </c>
      <c r="I850" s="16">
        <v>47.0</v>
      </c>
      <c r="J850" s="11">
        <v>0.0</v>
      </c>
      <c r="K850" s="11" t="str">
        <f t="shared" si="1"/>
        <v>01190035405461470</v>
      </c>
      <c r="L850" s="238">
        <v>6927.28</v>
      </c>
      <c r="M850" s="254">
        <v>123015.0</v>
      </c>
      <c r="N850" s="16">
        <v>76.0</v>
      </c>
      <c r="O850" s="17">
        <v>10.0</v>
      </c>
      <c r="P850" s="17">
        <v>16.0</v>
      </c>
      <c r="Q850" s="11">
        <v>4.9127144E7</v>
      </c>
      <c r="R850" s="11">
        <v>1.0</v>
      </c>
      <c r="S850" s="24" t="s">
        <v>29</v>
      </c>
      <c r="T850" s="249" t="s">
        <v>6139</v>
      </c>
      <c r="U850" s="17">
        <v>96.0</v>
      </c>
      <c r="V850" s="16">
        <v>9.0</v>
      </c>
      <c r="W850" s="16">
        <v>24.0</v>
      </c>
      <c r="X850" s="50">
        <v>103118.0</v>
      </c>
      <c r="Y850" s="250">
        <v>4907.0</v>
      </c>
    </row>
    <row r="851">
      <c r="A851" s="11">
        <v>15.0</v>
      </c>
      <c r="B851" s="11">
        <v>98.0</v>
      </c>
      <c r="C851" s="253">
        <v>17.0</v>
      </c>
      <c r="D851" s="235">
        <v>115.0</v>
      </c>
      <c r="E851" s="235">
        <v>115.0</v>
      </c>
      <c r="F851" s="253">
        <v>17.0</v>
      </c>
      <c r="G851" s="235">
        <v>115.0</v>
      </c>
      <c r="H851" s="236">
        <v>1.0220119E7</v>
      </c>
      <c r="I851" s="16">
        <v>65.0</v>
      </c>
      <c r="J851" s="11">
        <v>8.0</v>
      </c>
      <c r="K851" s="11" t="str">
        <f t="shared" si="1"/>
        <v>01150010220119658</v>
      </c>
      <c r="L851" s="238">
        <v>95398.83</v>
      </c>
      <c r="M851" s="254">
        <v>40623.0</v>
      </c>
      <c r="N851" s="16">
        <v>32.0</v>
      </c>
      <c r="O851" s="17">
        <v>5.0</v>
      </c>
      <c r="P851" s="17">
        <v>78.0</v>
      </c>
      <c r="Q851" s="11">
        <v>1.0741404E7</v>
      </c>
      <c r="R851" s="11">
        <v>8.0</v>
      </c>
      <c r="S851" s="24" t="s">
        <v>29</v>
      </c>
      <c r="T851" s="249" t="s">
        <v>6140</v>
      </c>
      <c r="U851" s="17">
        <v>40.0</v>
      </c>
      <c r="V851" s="16">
        <v>52.0</v>
      </c>
      <c r="W851" s="16">
        <v>64.0</v>
      </c>
      <c r="X851" s="50">
        <v>30618.0</v>
      </c>
      <c r="Y851" s="250">
        <v>9845.0</v>
      </c>
    </row>
    <row r="852">
      <c r="A852" s="11">
        <v>14.0</v>
      </c>
      <c r="B852" s="11">
        <v>16.0</v>
      </c>
      <c r="C852" s="253">
        <v>17.0</v>
      </c>
      <c r="D852" s="235">
        <v>183.0</v>
      </c>
      <c r="E852" s="235">
        <v>183.0</v>
      </c>
      <c r="F852" s="253">
        <v>17.0</v>
      </c>
      <c r="G852" s="235">
        <v>183.0</v>
      </c>
      <c r="H852" s="236">
        <v>5.5056025E7</v>
      </c>
      <c r="I852" s="16">
        <v>64.0</v>
      </c>
      <c r="J852" s="11">
        <v>7.0</v>
      </c>
      <c r="K852" s="11" t="str">
        <f t="shared" si="1"/>
        <v>01830055056025647</v>
      </c>
      <c r="L852" s="238">
        <v>931826.98</v>
      </c>
      <c r="M852" s="254">
        <v>120318.0</v>
      </c>
      <c r="N852" s="16">
        <v>40.0</v>
      </c>
      <c r="O852" s="17">
        <v>18.0</v>
      </c>
      <c r="P852" s="17">
        <v>57.0</v>
      </c>
      <c r="Q852" s="11">
        <v>8.9186942E7</v>
      </c>
      <c r="R852" s="11">
        <v>4.0</v>
      </c>
      <c r="S852" s="24" t="s">
        <v>5292</v>
      </c>
      <c r="T852" s="249" t="s">
        <v>6141</v>
      </c>
      <c r="U852" s="17">
        <v>96.0</v>
      </c>
      <c r="V852" s="16">
        <v>70.0</v>
      </c>
      <c r="W852" s="16">
        <v>53.0</v>
      </c>
      <c r="X852" s="50">
        <v>90922.0</v>
      </c>
      <c r="Y852" s="250">
        <v>1617.0</v>
      </c>
    </row>
    <row r="853">
      <c r="A853" s="11">
        <v>11.0</v>
      </c>
      <c r="B853" s="11">
        <v>78.0</v>
      </c>
      <c r="C853" s="253">
        <v>20.0</v>
      </c>
      <c r="D853" s="235">
        <v>181.0</v>
      </c>
      <c r="E853" s="235">
        <v>181.0</v>
      </c>
      <c r="F853" s="253">
        <v>20.0</v>
      </c>
      <c r="G853" s="235">
        <v>181.0</v>
      </c>
      <c r="H853" s="236">
        <v>1.6584684E7</v>
      </c>
      <c r="I853" s="16">
        <v>19.0</v>
      </c>
      <c r="J853" s="11">
        <v>2.0</v>
      </c>
      <c r="K853" s="11" t="str">
        <f t="shared" si="1"/>
        <v>01810016584684192</v>
      </c>
      <c r="L853" s="238">
        <v>-817881.2</v>
      </c>
      <c r="M853" s="254">
        <v>123115.0</v>
      </c>
      <c r="N853" s="16">
        <v>49.0</v>
      </c>
      <c r="O853" s="17">
        <v>4.0</v>
      </c>
      <c r="P853" s="17">
        <v>17.0</v>
      </c>
      <c r="Q853" s="11">
        <v>9.9490137E7</v>
      </c>
      <c r="R853" s="11">
        <v>6.0</v>
      </c>
      <c r="S853" s="24" t="s">
        <v>5292</v>
      </c>
      <c r="T853" s="249" t="s">
        <v>6142</v>
      </c>
      <c r="U853" s="17">
        <v>4.0</v>
      </c>
      <c r="V853" s="16">
        <v>92.0</v>
      </c>
      <c r="W853" s="16">
        <v>32.0</v>
      </c>
      <c r="X853" s="50">
        <v>111620.0</v>
      </c>
      <c r="Y853" s="250">
        <v>2069.0</v>
      </c>
    </row>
    <row r="854">
      <c r="A854" s="11">
        <v>18.0</v>
      </c>
      <c r="B854" s="11">
        <v>37.0</v>
      </c>
      <c r="C854" s="253">
        <v>13.0</v>
      </c>
      <c r="D854" s="235">
        <v>315.0</v>
      </c>
      <c r="E854" s="235">
        <v>315.0</v>
      </c>
      <c r="F854" s="253">
        <v>13.0</v>
      </c>
      <c r="G854" s="235">
        <v>315.0</v>
      </c>
      <c r="H854" s="236">
        <v>6.2830521E7</v>
      </c>
      <c r="I854" s="16">
        <v>78.0</v>
      </c>
      <c r="J854" s="11">
        <v>8.0</v>
      </c>
      <c r="K854" s="11" t="str">
        <f t="shared" si="1"/>
        <v>03150062830521788</v>
      </c>
      <c r="L854" s="238">
        <v>2723.22</v>
      </c>
      <c r="M854" s="254">
        <v>92223.0</v>
      </c>
      <c r="N854" s="16">
        <v>18.0</v>
      </c>
      <c r="O854" s="17">
        <v>51.0</v>
      </c>
      <c r="P854" s="17">
        <v>58.0</v>
      </c>
      <c r="Q854" s="11">
        <v>3.0752137E7</v>
      </c>
      <c r="R854" s="11">
        <v>4.0</v>
      </c>
      <c r="S854" s="24" t="s">
        <v>29</v>
      </c>
      <c r="T854" s="249" t="s">
        <v>6143</v>
      </c>
      <c r="U854" s="17">
        <v>3.0</v>
      </c>
      <c r="V854" s="16">
        <v>56.0</v>
      </c>
      <c r="W854" s="16">
        <v>12.0</v>
      </c>
      <c r="X854" s="50">
        <v>60417.0</v>
      </c>
      <c r="Y854" s="250">
        <v>6411.0</v>
      </c>
    </row>
    <row r="855">
      <c r="A855" s="11">
        <v>16.0</v>
      </c>
      <c r="B855" s="11">
        <v>37.0</v>
      </c>
      <c r="C855" s="253">
        <v>40.0</v>
      </c>
      <c r="D855" s="235">
        <v>41.0</v>
      </c>
      <c r="E855" s="235">
        <v>41.0</v>
      </c>
      <c r="F855" s="253">
        <v>40.0</v>
      </c>
      <c r="G855" s="235">
        <v>41.0</v>
      </c>
      <c r="H855" s="236">
        <v>4.1324388E7</v>
      </c>
      <c r="I855" s="16">
        <v>30.0</v>
      </c>
      <c r="J855" s="11">
        <v>5.0</v>
      </c>
      <c r="K855" s="11" t="str">
        <f t="shared" si="1"/>
        <v>00410041324388305</v>
      </c>
      <c r="L855" s="238">
        <v>277.49</v>
      </c>
      <c r="M855" s="254">
        <v>121617.0</v>
      </c>
      <c r="N855" s="16">
        <v>85.0</v>
      </c>
      <c r="O855" s="17">
        <v>51.0</v>
      </c>
      <c r="P855" s="17">
        <v>99.0</v>
      </c>
      <c r="Q855" s="11">
        <v>6.8980778E7</v>
      </c>
      <c r="R855" s="11">
        <v>5.0</v>
      </c>
      <c r="S855" s="24" t="s">
        <v>39</v>
      </c>
      <c r="T855" s="249" t="s">
        <v>6144</v>
      </c>
      <c r="U855" s="17">
        <v>5.0</v>
      </c>
      <c r="V855" s="16">
        <v>99.0</v>
      </c>
      <c r="W855" s="16">
        <v>1.0</v>
      </c>
      <c r="X855" s="50">
        <v>80915.0</v>
      </c>
      <c r="Y855" s="250">
        <v>958.0</v>
      </c>
    </row>
    <row r="856">
      <c r="A856" s="11">
        <v>13.0</v>
      </c>
      <c r="B856" s="11">
        <v>57.0</v>
      </c>
      <c r="C856" s="253">
        <v>30.0</v>
      </c>
      <c r="D856" s="235">
        <v>19.0</v>
      </c>
      <c r="E856" s="235">
        <v>19.0</v>
      </c>
      <c r="F856" s="253">
        <v>30.0</v>
      </c>
      <c r="G856" s="235">
        <v>19.0</v>
      </c>
      <c r="H856" s="236">
        <v>8.9222032E7</v>
      </c>
      <c r="I856" s="16">
        <v>76.0</v>
      </c>
      <c r="J856" s="11">
        <v>7.0</v>
      </c>
      <c r="K856" s="11" t="str">
        <f t="shared" si="1"/>
        <v>00190089222032767</v>
      </c>
      <c r="L856" s="238">
        <v>-5910.48</v>
      </c>
      <c r="M856" s="254">
        <v>42618.0</v>
      </c>
      <c r="N856" s="16">
        <v>80.0</v>
      </c>
      <c r="O856" s="17">
        <v>47.0</v>
      </c>
      <c r="P856" s="17">
        <v>58.0</v>
      </c>
      <c r="Q856" s="11">
        <v>1.7932219E7</v>
      </c>
      <c r="R856" s="11">
        <v>4.0</v>
      </c>
      <c r="S856" s="24" t="s">
        <v>29</v>
      </c>
      <c r="T856" s="249" t="s">
        <v>6145</v>
      </c>
      <c r="U856" s="17">
        <v>10.0</v>
      </c>
      <c r="V856" s="16">
        <v>69.0</v>
      </c>
      <c r="W856" s="16">
        <v>97.0</v>
      </c>
      <c r="X856" s="50">
        <v>30720.0</v>
      </c>
      <c r="Y856" s="250">
        <v>3740.0</v>
      </c>
    </row>
    <row r="857">
      <c r="A857" s="11">
        <v>11.0</v>
      </c>
      <c r="B857" s="11">
        <v>78.0</v>
      </c>
      <c r="C857" s="253">
        <v>40.0</v>
      </c>
      <c r="D857" s="235">
        <v>89.0</v>
      </c>
      <c r="E857" s="235">
        <v>89.0</v>
      </c>
      <c r="F857" s="253">
        <v>40.0</v>
      </c>
      <c r="G857" s="235">
        <v>89.0</v>
      </c>
      <c r="H857" s="236">
        <v>5.0342729E7</v>
      </c>
      <c r="I857" s="16">
        <v>68.0</v>
      </c>
      <c r="J857" s="11">
        <v>6.0</v>
      </c>
      <c r="K857" s="11" t="str">
        <f t="shared" si="1"/>
        <v>00890050342729686</v>
      </c>
      <c r="L857" s="238">
        <v>30177.73</v>
      </c>
      <c r="M857" s="254">
        <v>70921.0</v>
      </c>
      <c r="N857" s="16">
        <v>83.0</v>
      </c>
      <c r="O857" s="17">
        <v>5.0</v>
      </c>
      <c r="P857" s="17">
        <v>78.0</v>
      </c>
      <c r="Q857" s="11">
        <v>2.6482799E7</v>
      </c>
      <c r="R857" s="11">
        <v>3.0</v>
      </c>
      <c r="S857" s="24" t="s">
        <v>39</v>
      </c>
      <c r="T857" s="249" t="s">
        <v>6146</v>
      </c>
      <c r="U857" s="17">
        <v>59.0</v>
      </c>
      <c r="V857" s="16">
        <v>30.0</v>
      </c>
      <c r="W857" s="16">
        <v>52.0</v>
      </c>
      <c r="X857" s="50">
        <v>82113.0</v>
      </c>
      <c r="Y857" s="250">
        <v>3831.0</v>
      </c>
    </row>
    <row r="858">
      <c r="A858" s="11">
        <v>13.0</v>
      </c>
      <c r="B858" s="11">
        <v>78.0</v>
      </c>
      <c r="C858" s="253">
        <v>46.0</v>
      </c>
      <c r="D858" s="235">
        <v>129.0</v>
      </c>
      <c r="E858" s="235">
        <v>129.0</v>
      </c>
      <c r="F858" s="253">
        <v>46.0</v>
      </c>
      <c r="G858" s="235">
        <v>129.0</v>
      </c>
      <c r="H858" s="236">
        <v>1.9431018E7</v>
      </c>
      <c r="I858" s="16">
        <v>34.0</v>
      </c>
      <c r="J858" s="11">
        <v>1.0</v>
      </c>
      <c r="K858" s="11" t="str">
        <f t="shared" si="1"/>
        <v>01290019431018341</v>
      </c>
      <c r="L858" s="238">
        <v>21690.88</v>
      </c>
      <c r="M858" s="254">
        <v>101319.0</v>
      </c>
      <c r="N858" s="16">
        <v>21.0</v>
      </c>
      <c r="O858" s="17">
        <v>28.0</v>
      </c>
      <c r="P858" s="17">
        <v>99.0</v>
      </c>
      <c r="Q858" s="11">
        <v>1.2529579E7</v>
      </c>
      <c r="R858" s="11">
        <v>2.0</v>
      </c>
      <c r="S858" s="24" t="s">
        <v>5292</v>
      </c>
      <c r="T858" s="249" t="s">
        <v>6147</v>
      </c>
      <c r="U858" s="17">
        <v>13.0</v>
      </c>
      <c r="V858" s="16">
        <v>14.0</v>
      </c>
      <c r="W858" s="16">
        <v>9.0</v>
      </c>
      <c r="X858" s="50">
        <v>53119.0</v>
      </c>
      <c r="Y858" s="250">
        <v>9518.0</v>
      </c>
    </row>
    <row r="859">
      <c r="A859" s="11">
        <v>20.0</v>
      </c>
      <c r="B859" s="11">
        <v>37.0</v>
      </c>
      <c r="C859" s="253">
        <v>37.0</v>
      </c>
      <c r="D859" s="235">
        <v>79.0</v>
      </c>
      <c r="E859" s="235">
        <v>79.0</v>
      </c>
      <c r="F859" s="253">
        <v>37.0</v>
      </c>
      <c r="G859" s="235">
        <v>79.0</v>
      </c>
      <c r="H859" s="236">
        <v>2.2126752E7</v>
      </c>
      <c r="I859" s="16">
        <v>9.0</v>
      </c>
      <c r="J859" s="11">
        <v>8.0</v>
      </c>
      <c r="K859" s="11" t="str">
        <f t="shared" si="1"/>
        <v>00790022126752098</v>
      </c>
      <c r="L859" s="238">
        <v>162.3</v>
      </c>
      <c r="M859" s="254">
        <v>91618.0</v>
      </c>
      <c r="N859" s="16">
        <v>78.0</v>
      </c>
      <c r="O859" s="17">
        <v>22.0</v>
      </c>
      <c r="P859" s="17">
        <v>78.0</v>
      </c>
      <c r="Q859" s="11">
        <v>6.6753534E7</v>
      </c>
      <c r="R859" s="11">
        <v>9.0</v>
      </c>
      <c r="S859" s="24" t="s">
        <v>5292</v>
      </c>
      <c r="T859" s="249" t="s">
        <v>6148</v>
      </c>
      <c r="U859" s="17">
        <v>68.0</v>
      </c>
      <c r="V859" s="16">
        <v>30.0</v>
      </c>
      <c r="W859" s="16">
        <v>56.0</v>
      </c>
      <c r="X859" s="50">
        <v>71815.0</v>
      </c>
      <c r="Y859" s="250">
        <v>3452.0</v>
      </c>
    </row>
    <row r="860">
      <c r="A860" s="11">
        <v>16.0</v>
      </c>
      <c r="B860" s="11">
        <v>98.0</v>
      </c>
      <c r="C860" s="253">
        <v>19.0</v>
      </c>
      <c r="D860" s="235">
        <v>61.0</v>
      </c>
      <c r="E860" s="235">
        <v>61.0</v>
      </c>
      <c r="F860" s="253">
        <v>19.0</v>
      </c>
      <c r="G860" s="235">
        <v>61.0</v>
      </c>
      <c r="H860" s="236">
        <v>4.2485435E7</v>
      </c>
      <c r="I860" s="16">
        <v>47.0</v>
      </c>
      <c r="J860" s="11">
        <v>8.0</v>
      </c>
      <c r="K860" s="11" t="str">
        <f t="shared" si="1"/>
        <v>00610042485435478</v>
      </c>
      <c r="L860" s="238">
        <v>-656.69</v>
      </c>
      <c r="M860" s="254">
        <v>52416.0</v>
      </c>
      <c r="N860" s="16">
        <v>83.0</v>
      </c>
      <c r="O860" s="17">
        <v>40.0</v>
      </c>
      <c r="P860" s="17">
        <v>17.0</v>
      </c>
      <c r="Q860" s="11">
        <v>5.5239355E7</v>
      </c>
      <c r="R860" s="11">
        <v>1.0</v>
      </c>
      <c r="S860" s="24" t="s">
        <v>39</v>
      </c>
      <c r="T860" s="249" t="s">
        <v>6149</v>
      </c>
      <c r="U860" s="17">
        <v>25.0</v>
      </c>
      <c r="V860" s="16">
        <v>36.0</v>
      </c>
      <c r="W860" s="16">
        <v>3.0</v>
      </c>
      <c r="X860" s="50">
        <v>51717.0</v>
      </c>
      <c r="Y860" s="250">
        <v>8550.0</v>
      </c>
    </row>
    <row r="861">
      <c r="A861" s="11">
        <v>16.0</v>
      </c>
      <c r="B861" s="11">
        <v>16.0</v>
      </c>
      <c r="C861" s="253">
        <v>20.0</v>
      </c>
      <c r="D861" s="235">
        <v>97.0</v>
      </c>
      <c r="E861" s="235">
        <v>97.0</v>
      </c>
      <c r="F861" s="253">
        <v>20.0</v>
      </c>
      <c r="G861" s="235">
        <v>97.0</v>
      </c>
      <c r="H861" s="236">
        <v>7.3634616E7</v>
      </c>
      <c r="I861" s="16">
        <v>58.0</v>
      </c>
      <c r="J861" s="11">
        <v>9.0</v>
      </c>
      <c r="K861" s="11" t="str">
        <f t="shared" si="1"/>
        <v>00970073634616589</v>
      </c>
      <c r="L861" s="238">
        <v>479011.1</v>
      </c>
      <c r="M861" s="254">
        <v>71121.0</v>
      </c>
      <c r="N861" s="16">
        <v>15.0</v>
      </c>
      <c r="O861" s="17">
        <v>24.0</v>
      </c>
      <c r="P861" s="17">
        <v>17.0</v>
      </c>
      <c r="Q861" s="11">
        <v>2.7068775E7</v>
      </c>
      <c r="R861" s="11">
        <v>1.0</v>
      </c>
      <c r="S861" s="24" t="s">
        <v>5292</v>
      </c>
      <c r="T861" s="249" t="s">
        <v>6150</v>
      </c>
      <c r="U861" s="17">
        <v>26.0</v>
      </c>
      <c r="V861" s="16">
        <v>95.0</v>
      </c>
      <c r="W861" s="16">
        <v>28.0</v>
      </c>
      <c r="X861" s="50">
        <v>72713.0</v>
      </c>
      <c r="Y861" s="250">
        <v>8577.0</v>
      </c>
    </row>
    <row r="862">
      <c r="A862" s="11">
        <v>20.0</v>
      </c>
      <c r="B862" s="11">
        <v>16.0</v>
      </c>
      <c r="C862" s="253">
        <v>31.0</v>
      </c>
      <c r="D862" s="235">
        <v>109.0</v>
      </c>
      <c r="E862" s="235">
        <v>109.0</v>
      </c>
      <c r="F862" s="253">
        <v>31.0</v>
      </c>
      <c r="G862" s="235">
        <v>109.0</v>
      </c>
      <c r="H862" s="236">
        <v>6.3262985E7</v>
      </c>
      <c r="I862" s="16">
        <v>25.0</v>
      </c>
      <c r="J862" s="11">
        <v>6.0</v>
      </c>
      <c r="K862" s="11" t="str">
        <f t="shared" si="1"/>
        <v>01090063262985256</v>
      </c>
      <c r="L862" s="238">
        <v>696.5</v>
      </c>
      <c r="M862" s="254">
        <v>81921.0</v>
      </c>
      <c r="N862" s="16">
        <v>59.0</v>
      </c>
      <c r="O862" s="17">
        <v>35.0</v>
      </c>
      <c r="P862" s="17">
        <v>58.0</v>
      </c>
      <c r="Q862" s="11">
        <v>1.9520888E7</v>
      </c>
      <c r="R862" s="11">
        <v>5.0</v>
      </c>
      <c r="S862" s="24" t="s">
        <v>48</v>
      </c>
      <c r="T862" s="249" t="s">
        <v>6151</v>
      </c>
      <c r="U862" s="17">
        <v>22.0</v>
      </c>
      <c r="V862" s="16">
        <v>52.0</v>
      </c>
      <c r="W862" s="16">
        <v>88.0</v>
      </c>
      <c r="X862" s="50">
        <v>82015.0</v>
      </c>
      <c r="Y862" s="250">
        <v>2591.0</v>
      </c>
    </row>
    <row r="863">
      <c r="A863" s="11">
        <v>12.0</v>
      </c>
      <c r="B863" s="11">
        <v>57.0</v>
      </c>
      <c r="C863" s="253">
        <v>5.0</v>
      </c>
      <c r="D863" s="235">
        <v>73.0</v>
      </c>
      <c r="E863" s="235">
        <v>73.0</v>
      </c>
      <c r="F863" s="253">
        <v>5.0</v>
      </c>
      <c r="G863" s="235">
        <v>73.0</v>
      </c>
      <c r="H863" s="236">
        <v>5.1796477E7</v>
      </c>
      <c r="I863" s="16">
        <v>14.0</v>
      </c>
      <c r="J863" s="11">
        <v>7.0</v>
      </c>
      <c r="K863" s="11" t="str">
        <f t="shared" si="1"/>
        <v>00730051796477147</v>
      </c>
      <c r="L863" s="238">
        <v>64149.3</v>
      </c>
      <c r="M863" s="254">
        <v>22513.0</v>
      </c>
      <c r="N863" s="16">
        <v>29.0</v>
      </c>
      <c r="O863" s="17">
        <v>33.0</v>
      </c>
      <c r="P863" s="17">
        <v>78.0</v>
      </c>
      <c r="Q863" s="11">
        <v>4.2967127E7</v>
      </c>
      <c r="R863" s="11">
        <v>0.0</v>
      </c>
      <c r="S863" s="24" t="s">
        <v>39</v>
      </c>
      <c r="T863" s="249" t="s">
        <v>6152</v>
      </c>
      <c r="U863" s="17">
        <v>73.0</v>
      </c>
      <c r="V863" s="16">
        <v>45.0</v>
      </c>
      <c r="W863" s="16">
        <v>13.0</v>
      </c>
      <c r="X863" s="50">
        <v>120917.0</v>
      </c>
      <c r="Y863" s="250">
        <v>9778.0</v>
      </c>
    </row>
    <row r="864">
      <c r="A864" s="11">
        <v>11.0</v>
      </c>
      <c r="B864" s="11">
        <v>37.0</v>
      </c>
      <c r="C864" s="253">
        <v>26.0</v>
      </c>
      <c r="D864" s="235">
        <v>71.0</v>
      </c>
      <c r="E864" s="235">
        <v>71.0</v>
      </c>
      <c r="F864" s="253">
        <v>26.0</v>
      </c>
      <c r="G864" s="235">
        <v>71.0</v>
      </c>
      <c r="H864" s="236">
        <v>6.2589981E7</v>
      </c>
      <c r="I864" s="16">
        <v>2.0</v>
      </c>
      <c r="J864" s="11">
        <v>2.0</v>
      </c>
      <c r="K864" s="11" t="str">
        <f t="shared" si="1"/>
        <v>00710062589981022</v>
      </c>
      <c r="L864" s="238">
        <v>41747.96</v>
      </c>
      <c r="M864" s="254">
        <v>80923.0</v>
      </c>
      <c r="N864" s="16">
        <v>22.0</v>
      </c>
      <c r="O864" s="17">
        <v>50.0</v>
      </c>
      <c r="P864" s="17">
        <v>58.0</v>
      </c>
      <c r="Q864" s="11">
        <v>5.2788039E7</v>
      </c>
      <c r="R864" s="11">
        <v>6.0</v>
      </c>
      <c r="S864" s="24" t="s">
        <v>29</v>
      </c>
      <c r="T864" s="249" t="s">
        <v>6153</v>
      </c>
      <c r="U864" s="17">
        <v>27.0</v>
      </c>
      <c r="V864" s="16">
        <v>66.0</v>
      </c>
      <c r="W864" s="16">
        <v>36.0</v>
      </c>
      <c r="X864" s="50">
        <v>12322.0</v>
      </c>
      <c r="Y864" s="250">
        <v>1621.0</v>
      </c>
    </row>
    <row r="865">
      <c r="A865" s="11">
        <v>16.0</v>
      </c>
      <c r="B865" s="11">
        <v>98.0</v>
      </c>
      <c r="C865" s="253">
        <v>26.0</v>
      </c>
      <c r="D865" s="235">
        <v>3.0</v>
      </c>
      <c r="E865" s="235">
        <v>3.0</v>
      </c>
      <c r="F865" s="253">
        <v>26.0</v>
      </c>
      <c r="G865" s="235">
        <v>3.0</v>
      </c>
      <c r="H865" s="236">
        <v>7.7120309E7</v>
      </c>
      <c r="I865" s="16">
        <v>61.0</v>
      </c>
      <c r="J865" s="11">
        <v>0.0</v>
      </c>
      <c r="K865" s="11" t="str">
        <f t="shared" si="1"/>
        <v>00030077120309610</v>
      </c>
      <c r="L865" s="238">
        <v>559.64</v>
      </c>
      <c r="M865" s="254">
        <v>82416.0</v>
      </c>
      <c r="N865" s="16">
        <v>83.0</v>
      </c>
      <c r="O865" s="17">
        <v>28.0</v>
      </c>
      <c r="P865" s="17">
        <v>99.0</v>
      </c>
      <c r="Q865" s="11">
        <v>4.8815064E7</v>
      </c>
      <c r="R865" s="11">
        <v>8.0</v>
      </c>
      <c r="S865" s="24" t="s">
        <v>39</v>
      </c>
      <c r="T865" s="249" t="s">
        <v>6154</v>
      </c>
      <c r="U865" s="17">
        <v>26.0</v>
      </c>
      <c r="V865" s="16">
        <v>74.0</v>
      </c>
      <c r="W865" s="16">
        <v>35.0</v>
      </c>
      <c r="X865" s="50">
        <v>90819.0</v>
      </c>
      <c r="Y865" s="250">
        <v>7200.0</v>
      </c>
    </row>
    <row r="866">
      <c r="A866" s="11">
        <v>18.0</v>
      </c>
      <c r="B866" s="11">
        <v>16.0</v>
      </c>
      <c r="C866" s="253">
        <v>40.0</v>
      </c>
      <c r="D866" s="235">
        <v>135.0</v>
      </c>
      <c r="E866" s="235">
        <v>135.0</v>
      </c>
      <c r="F866" s="253">
        <v>40.0</v>
      </c>
      <c r="G866" s="235">
        <v>135.0</v>
      </c>
      <c r="H866" s="236">
        <v>4.2805615E7</v>
      </c>
      <c r="I866" s="16">
        <v>80.0</v>
      </c>
      <c r="J866" s="11">
        <v>1.0</v>
      </c>
      <c r="K866" s="11" t="str">
        <f t="shared" si="1"/>
        <v>01350042805615801</v>
      </c>
      <c r="L866" s="238">
        <v>492.52</v>
      </c>
      <c r="M866" s="254">
        <v>83014.0</v>
      </c>
      <c r="N866" s="16">
        <v>30.0</v>
      </c>
      <c r="O866" s="17">
        <v>1.0</v>
      </c>
      <c r="P866" s="17">
        <v>17.0</v>
      </c>
      <c r="Q866" s="11">
        <v>1.5338938E7</v>
      </c>
      <c r="R866" s="11">
        <v>9.0</v>
      </c>
      <c r="S866" s="24" t="s">
        <v>48</v>
      </c>
      <c r="T866" s="249" t="s">
        <v>6155</v>
      </c>
      <c r="U866" s="17">
        <v>36.0</v>
      </c>
      <c r="V866" s="16">
        <v>32.0</v>
      </c>
      <c r="W866" s="16">
        <v>32.0</v>
      </c>
      <c r="X866" s="50">
        <v>33120.0</v>
      </c>
      <c r="Y866" s="250">
        <v>3206.0</v>
      </c>
    </row>
    <row r="867">
      <c r="A867" s="11">
        <v>13.0</v>
      </c>
      <c r="B867" s="11">
        <v>98.0</v>
      </c>
      <c r="C867" s="253">
        <v>28.0</v>
      </c>
      <c r="D867" s="235">
        <v>33.0</v>
      </c>
      <c r="E867" s="235">
        <v>33.0</v>
      </c>
      <c r="F867" s="253">
        <v>28.0</v>
      </c>
      <c r="G867" s="235">
        <v>33.0</v>
      </c>
      <c r="H867" s="236">
        <v>6.8557736E7</v>
      </c>
      <c r="I867" s="16">
        <v>12.0</v>
      </c>
      <c r="J867" s="11">
        <v>8.0</v>
      </c>
      <c r="K867" s="11" t="str">
        <f t="shared" si="1"/>
        <v>00330068557736128</v>
      </c>
      <c r="L867" s="238">
        <v>424692.45</v>
      </c>
      <c r="M867" s="254">
        <v>121022.0</v>
      </c>
      <c r="N867" s="16">
        <v>47.0</v>
      </c>
      <c r="O867" s="17">
        <v>56.0</v>
      </c>
      <c r="P867" s="17">
        <v>58.0</v>
      </c>
      <c r="Q867" s="11">
        <v>3.6821632E7</v>
      </c>
      <c r="R867" s="11">
        <v>2.0</v>
      </c>
      <c r="S867" s="24" t="s">
        <v>48</v>
      </c>
      <c r="T867" s="249" t="s">
        <v>6156</v>
      </c>
      <c r="U867" s="17">
        <v>33.0</v>
      </c>
      <c r="V867" s="16">
        <v>10.0</v>
      </c>
      <c r="W867" s="16">
        <v>77.0</v>
      </c>
      <c r="X867" s="50">
        <v>31719.0</v>
      </c>
      <c r="Y867" s="250">
        <v>3750.0</v>
      </c>
    </row>
    <row r="868">
      <c r="A868" s="11">
        <v>18.0</v>
      </c>
      <c r="B868" s="11">
        <v>78.0</v>
      </c>
      <c r="C868" s="253">
        <v>54.0</v>
      </c>
      <c r="D868" s="235">
        <v>9.0</v>
      </c>
      <c r="E868" s="235">
        <v>9.0</v>
      </c>
      <c r="F868" s="253">
        <v>54.0</v>
      </c>
      <c r="G868" s="235">
        <v>9.0</v>
      </c>
      <c r="H868" s="236">
        <v>6.857085E7</v>
      </c>
      <c r="I868" s="16">
        <v>81.0</v>
      </c>
      <c r="J868" s="11">
        <v>0.0</v>
      </c>
      <c r="K868" s="11" t="str">
        <f t="shared" si="1"/>
        <v>00090068570850810</v>
      </c>
      <c r="L868" s="238">
        <v>-79957.98</v>
      </c>
      <c r="M868" s="254">
        <v>32920.0</v>
      </c>
      <c r="N868" s="16">
        <v>75.0</v>
      </c>
      <c r="O868" s="17">
        <v>34.0</v>
      </c>
      <c r="P868" s="17">
        <v>78.0</v>
      </c>
      <c r="Q868" s="11">
        <v>6.9675986E7</v>
      </c>
      <c r="R868" s="11">
        <v>4.0</v>
      </c>
      <c r="S868" s="24" t="s">
        <v>5292</v>
      </c>
      <c r="T868" s="249" t="s">
        <v>6157</v>
      </c>
      <c r="U868" s="17">
        <v>82.0</v>
      </c>
      <c r="V868" s="16">
        <v>18.0</v>
      </c>
      <c r="W868" s="16">
        <v>22.0</v>
      </c>
      <c r="X868" s="50">
        <v>10815.0</v>
      </c>
      <c r="Y868" s="250">
        <v>3018.0</v>
      </c>
    </row>
    <row r="869">
      <c r="A869" s="11">
        <v>15.0</v>
      </c>
      <c r="B869" s="11">
        <v>57.0</v>
      </c>
      <c r="C869" s="253">
        <v>13.0</v>
      </c>
      <c r="D869" s="235">
        <v>163.0</v>
      </c>
      <c r="E869" s="235">
        <v>163.0</v>
      </c>
      <c r="F869" s="253">
        <v>13.0</v>
      </c>
      <c r="G869" s="235">
        <v>163.0</v>
      </c>
      <c r="H869" s="236">
        <v>8.1591763E7</v>
      </c>
      <c r="I869" s="16">
        <v>36.0</v>
      </c>
      <c r="J869" s="11">
        <v>9.0</v>
      </c>
      <c r="K869" s="11" t="str">
        <f t="shared" si="1"/>
        <v>01630081591763369</v>
      </c>
      <c r="L869" s="238">
        <v>3689.15</v>
      </c>
      <c r="M869" s="254">
        <v>102722.0</v>
      </c>
      <c r="N869" s="16">
        <v>91.0</v>
      </c>
      <c r="O869" s="17">
        <v>56.0</v>
      </c>
      <c r="P869" s="17">
        <v>58.0</v>
      </c>
      <c r="Q869" s="11">
        <v>4.3082499E7</v>
      </c>
      <c r="R869" s="11">
        <v>6.0</v>
      </c>
      <c r="S869" s="24" t="s">
        <v>48</v>
      </c>
      <c r="T869" s="249" t="s">
        <v>6158</v>
      </c>
      <c r="U869" s="17">
        <v>37.0</v>
      </c>
      <c r="V869" s="16">
        <v>42.0</v>
      </c>
      <c r="W869" s="16">
        <v>31.0</v>
      </c>
      <c r="X869" s="50">
        <v>71921.0</v>
      </c>
      <c r="Y869" s="250">
        <v>9758.0</v>
      </c>
    </row>
    <row r="870">
      <c r="A870" s="11">
        <v>19.0</v>
      </c>
      <c r="B870" s="11">
        <v>57.0</v>
      </c>
      <c r="C870" s="253">
        <v>19.0</v>
      </c>
      <c r="D870" s="235">
        <v>103.0</v>
      </c>
      <c r="E870" s="235">
        <v>103.0</v>
      </c>
      <c r="F870" s="253">
        <v>19.0</v>
      </c>
      <c r="G870" s="235">
        <v>103.0</v>
      </c>
      <c r="H870" s="236">
        <v>7.000133E7</v>
      </c>
      <c r="I870" s="16">
        <v>96.0</v>
      </c>
      <c r="J870" s="11">
        <v>9.0</v>
      </c>
      <c r="K870" s="11" t="str">
        <f t="shared" si="1"/>
        <v>01030070001330969</v>
      </c>
      <c r="L870" s="238">
        <v>49848.27</v>
      </c>
      <c r="M870" s="254">
        <v>50722.0</v>
      </c>
      <c r="N870" s="16">
        <v>41.0</v>
      </c>
      <c r="O870" s="17">
        <v>37.0</v>
      </c>
      <c r="P870" s="17">
        <v>37.0</v>
      </c>
      <c r="Q870" s="11">
        <v>8.4361193E7</v>
      </c>
      <c r="R870" s="11">
        <v>3.0</v>
      </c>
      <c r="S870" s="24" t="s">
        <v>29</v>
      </c>
      <c r="T870" s="249" t="s">
        <v>6159</v>
      </c>
      <c r="U870" s="17">
        <v>90.0</v>
      </c>
      <c r="V870" s="16">
        <v>79.0</v>
      </c>
      <c r="W870" s="16">
        <v>72.0</v>
      </c>
      <c r="X870" s="50">
        <v>71620.0</v>
      </c>
      <c r="Y870" s="250">
        <v>9525.0</v>
      </c>
    </row>
    <row r="871">
      <c r="A871" s="11">
        <v>15.0</v>
      </c>
      <c r="B871" s="11">
        <v>37.0</v>
      </c>
      <c r="C871" s="253">
        <v>54.0</v>
      </c>
      <c r="D871" s="235">
        <v>37.0</v>
      </c>
      <c r="E871" s="235">
        <v>37.0</v>
      </c>
      <c r="F871" s="253">
        <v>54.0</v>
      </c>
      <c r="G871" s="235">
        <v>37.0</v>
      </c>
      <c r="H871" s="236">
        <v>8.8247533E7</v>
      </c>
      <c r="I871" s="16">
        <v>15.0</v>
      </c>
      <c r="J871" s="11">
        <v>0.0</v>
      </c>
      <c r="K871" s="11" t="str">
        <f t="shared" si="1"/>
        <v>00370088247533150</v>
      </c>
      <c r="L871" s="238">
        <v>711.21</v>
      </c>
      <c r="M871" s="254">
        <v>51722.0</v>
      </c>
      <c r="N871" s="16">
        <v>35.0</v>
      </c>
      <c r="O871" s="17">
        <v>42.0</v>
      </c>
      <c r="P871" s="17">
        <v>37.0</v>
      </c>
      <c r="Q871" s="11">
        <v>8.90184E7</v>
      </c>
      <c r="R871" s="11">
        <v>0.0</v>
      </c>
      <c r="S871" s="24" t="s">
        <v>48</v>
      </c>
      <c r="T871" s="249" t="s">
        <v>6160</v>
      </c>
      <c r="U871" s="17">
        <v>91.0</v>
      </c>
      <c r="V871" s="16">
        <v>84.0</v>
      </c>
      <c r="W871" s="16">
        <v>82.0</v>
      </c>
      <c r="X871" s="50">
        <v>62816.0</v>
      </c>
      <c r="Y871" s="250">
        <v>5682.0</v>
      </c>
    </row>
    <row r="872">
      <c r="A872" s="11">
        <v>16.0</v>
      </c>
      <c r="B872" s="11">
        <v>37.0</v>
      </c>
      <c r="C872" s="253">
        <v>41.0</v>
      </c>
      <c r="D872" s="235">
        <v>53.0</v>
      </c>
      <c r="E872" s="235">
        <v>53.0</v>
      </c>
      <c r="F872" s="253">
        <v>41.0</v>
      </c>
      <c r="G872" s="235">
        <v>53.0</v>
      </c>
      <c r="H872" s="236">
        <v>7.8933799E7</v>
      </c>
      <c r="I872" s="16">
        <v>45.0</v>
      </c>
      <c r="J872" s="11">
        <v>9.0</v>
      </c>
      <c r="K872" s="11" t="str">
        <f t="shared" si="1"/>
        <v>00530078933799459</v>
      </c>
      <c r="L872" s="238">
        <v>-478369.4</v>
      </c>
      <c r="M872" s="254">
        <v>113019.0</v>
      </c>
      <c r="N872" s="16">
        <v>31.0</v>
      </c>
      <c r="O872" s="17">
        <v>10.0</v>
      </c>
      <c r="P872" s="17">
        <v>78.0</v>
      </c>
      <c r="Q872" s="11">
        <v>1.4753485E7</v>
      </c>
      <c r="R872" s="11">
        <v>9.0</v>
      </c>
      <c r="S872" s="24" t="s">
        <v>29</v>
      </c>
      <c r="T872" s="249" t="s">
        <v>6161</v>
      </c>
      <c r="U872" s="17">
        <v>87.0</v>
      </c>
      <c r="V872" s="16">
        <v>1.0</v>
      </c>
      <c r="W872" s="16">
        <v>29.0</v>
      </c>
      <c r="X872" s="50">
        <v>82622.0</v>
      </c>
      <c r="Y872" s="250">
        <v>1928.0</v>
      </c>
    </row>
    <row r="873">
      <c r="A873" s="11">
        <v>14.0</v>
      </c>
      <c r="B873" s="11">
        <v>78.0</v>
      </c>
      <c r="C873" s="253">
        <v>18.0</v>
      </c>
      <c r="D873" s="235">
        <v>73.0</v>
      </c>
      <c r="E873" s="235">
        <v>73.0</v>
      </c>
      <c r="F873" s="253">
        <v>18.0</v>
      </c>
      <c r="G873" s="235">
        <v>73.0</v>
      </c>
      <c r="H873" s="236">
        <v>7.8251784E7</v>
      </c>
      <c r="I873" s="16">
        <v>21.0</v>
      </c>
      <c r="J873" s="11">
        <v>5.0</v>
      </c>
      <c r="K873" s="11" t="str">
        <f t="shared" si="1"/>
        <v>00730078251784215</v>
      </c>
      <c r="L873" s="238">
        <v>-5224.35</v>
      </c>
      <c r="M873" s="254">
        <v>30119.0</v>
      </c>
      <c r="N873" s="16">
        <v>24.0</v>
      </c>
      <c r="O873" s="17">
        <v>18.0</v>
      </c>
      <c r="P873" s="17">
        <v>78.0</v>
      </c>
      <c r="Q873" s="11">
        <v>2.3602896E7</v>
      </c>
      <c r="R873" s="11">
        <v>5.0</v>
      </c>
      <c r="S873" s="24" t="s">
        <v>29</v>
      </c>
      <c r="T873" s="249" t="s">
        <v>6162</v>
      </c>
      <c r="U873" s="17">
        <v>88.0</v>
      </c>
      <c r="V873" s="16">
        <v>84.0</v>
      </c>
      <c r="W873" s="16">
        <v>41.0</v>
      </c>
      <c r="X873" s="50">
        <v>53116.0</v>
      </c>
      <c r="Y873" s="250">
        <v>6771.0</v>
      </c>
    </row>
    <row r="874">
      <c r="A874" s="11">
        <v>12.0</v>
      </c>
      <c r="B874" s="11">
        <v>78.0</v>
      </c>
      <c r="C874" s="253">
        <v>4.0</v>
      </c>
      <c r="D874" s="235">
        <v>23.0</v>
      </c>
      <c r="E874" s="235">
        <v>23.0</v>
      </c>
      <c r="F874" s="253">
        <v>4.0</v>
      </c>
      <c r="G874" s="235">
        <v>23.0</v>
      </c>
      <c r="H874" s="236">
        <v>6.6938378E7</v>
      </c>
      <c r="I874" s="16">
        <v>3.0</v>
      </c>
      <c r="J874" s="11">
        <v>6.0</v>
      </c>
      <c r="K874" s="11" t="str">
        <f t="shared" si="1"/>
        <v>00230066938378036</v>
      </c>
      <c r="L874" s="238">
        <v>-481515.96</v>
      </c>
      <c r="M874" s="254">
        <v>101920.0</v>
      </c>
      <c r="N874" s="16">
        <v>99.0</v>
      </c>
      <c r="O874" s="17">
        <v>17.0</v>
      </c>
      <c r="P874" s="17">
        <v>17.0</v>
      </c>
      <c r="Q874" s="11">
        <v>1.1467476E7</v>
      </c>
      <c r="R874" s="11">
        <v>9.0</v>
      </c>
      <c r="S874" s="24" t="s">
        <v>5292</v>
      </c>
      <c r="T874" s="249" t="s">
        <v>6163</v>
      </c>
      <c r="U874" s="17">
        <v>45.0</v>
      </c>
      <c r="V874" s="16">
        <v>64.0</v>
      </c>
      <c r="W874" s="16">
        <v>50.0</v>
      </c>
      <c r="X874" s="50">
        <v>60316.0</v>
      </c>
      <c r="Y874" s="250">
        <v>489.0</v>
      </c>
    </row>
    <row r="875">
      <c r="A875" s="11">
        <v>16.0</v>
      </c>
      <c r="B875" s="11">
        <v>37.0</v>
      </c>
      <c r="C875" s="253">
        <v>22.0</v>
      </c>
      <c r="D875" s="235">
        <v>123.0</v>
      </c>
      <c r="E875" s="235">
        <v>123.0</v>
      </c>
      <c r="F875" s="253">
        <v>22.0</v>
      </c>
      <c r="G875" s="235">
        <v>123.0</v>
      </c>
      <c r="H875" s="236">
        <v>8.1241136E7</v>
      </c>
      <c r="I875" s="16">
        <v>66.0</v>
      </c>
      <c r="J875" s="11">
        <v>2.0</v>
      </c>
      <c r="K875" s="11" t="str">
        <f t="shared" si="1"/>
        <v>01230081241136662</v>
      </c>
      <c r="L875" s="238">
        <v>26633.38</v>
      </c>
      <c r="M875" s="254">
        <v>80923.0</v>
      </c>
      <c r="N875" s="16">
        <v>33.0</v>
      </c>
      <c r="O875" s="17">
        <v>6.0</v>
      </c>
      <c r="P875" s="17">
        <v>99.0</v>
      </c>
      <c r="Q875" s="11">
        <v>3.4860516E7</v>
      </c>
      <c r="R875" s="11">
        <v>4.0</v>
      </c>
      <c r="S875" s="24" t="s">
        <v>48</v>
      </c>
      <c r="T875" s="249" t="s">
        <v>6164</v>
      </c>
      <c r="U875" s="17">
        <v>40.0</v>
      </c>
      <c r="V875" s="16">
        <v>70.0</v>
      </c>
      <c r="W875" s="16">
        <v>23.0</v>
      </c>
      <c r="X875" s="50">
        <v>51622.0</v>
      </c>
      <c r="Y875" s="250">
        <v>4537.0</v>
      </c>
    </row>
    <row r="876">
      <c r="A876" s="11">
        <v>12.0</v>
      </c>
      <c r="B876" s="11">
        <v>78.0</v>
      </c>
      <c r="C876" s="253">
        <v>19.0</v>
      </c>
      <c r="D876" s="235">
        <v>131.0</v>
      </c>
      <c r="E876" s="235">
        <v>131.0</v>
      </c>
      <c r="F876" s="253">
        <v>19.0</v>
      </c>
      <c r="G876" s="235">
        <v>131.0</v>
      </c>
      <c r="H876" s="236">
        <v>6.6792247E7</v>
      </c>
      <c r="I876" s="16">
        <v>7.0</v>
      </c>
      <c r="J876" s="11">
        <v>3.0</v>
      </c>
      <c r="K876" s="11" t="str">
        <f t="shared" si="1"/>
        <v>01310066792247073</v>
      </c>
      <c r="L876" s="238">
        <v>460.12</v>
      </c>
      <c r="M876" s="254">
        <v>50114.0</v>
      </c>
      <c r="N876" s="16">
        <v>33.0</v>
      </c>
      <c r="O876" s="17">
        <v>44.0</v>
      </c>
      <c r="P876" s="17">
        <v>58.0</v>
      </c>
      <c r="Q876" s="11">
        <v>5.3644424E7</v>
      </c>
      <c r="R876" s="11">
        <v>6.0</v>
      </c>
      <c r="S876" s="24" t="s">
        <v>5292</v>
      </c>
      <c r="T876" s="249" t="s">
        <v>6165</v>
      </c>
      <c r="U876" s="17">
        <v>45.0</v>
      </c>
      <c r="V876" s="16">
        <v>74.0</v>
      </c>
      <c r="W876" s="16">
        <v>73.0</v>
      </c>
      <c r="X876" s="50">
        <v>92219.0</v>
      </c>
      <c r="Y876" s="250">
        <v>5978.0</v>
      </c>
    </row>
    <row r="877">
      <c r="A877" s="11">
        <v>17.0</v>
      </c>
      <c r="B877" s="11">
        <v>37.0</v>
      </c>
      <c r="C877" s="253">
        <v>16.0</v>
      </c>
      <c r="D877" s="235">
        <v>13.0</v>
      </c>
      <c r="E877" s="235">
        <v>13.0</v>
      </c>
      <c r="F877" s="253">
        <v>16.0</v>
      </c>
      <c r="G877" s="235">
        <v>13.0</v>
      </c>
      <c r="H877" s="236">
        <v>4.9222785E7</v>
      </c>
      <c r="I877" s="16">
        <v>98.0</v>
      </c>
      <c r="J877" s="11">
        <v>3.0</v>
      </c>
      <c r="K877" s="11" t="str">
        <f t="shared" si="1"/>
        <v>00130049222785983</v>
      </c>
      <c r="L877" s="238">
        <v>267024.7</v>
      </c>
      <c r="M877" s="254">
        <v>53115.0</v>
      </c>
      <c r="N877" s="16">
        <v>54.0</v>
      </c>
      <c r="O877" s="17">
        <v>15.0</v>
      </c>
      <c r="P877" s="17">
        <v>17.0</v>
      </c>
      <c r="Q877" s="11">
        <v>9.5756038E7</v>
      </c>
      <c r="R877" s="11">
        <v>5.0</v>
      </c>
      <c r="S877" s="24" t="s">
        <v>5292</v>
      </c>
      <c r="T877" s="249" t="s">
        <v>6166</v>
      </c>
      <c r="U877" s="17">
        <v>49.0</v>
      </c>
      <c r="V877" s="16">
        <v>53.0</v>
      </c>
      <c r="W877" s="16">
        <v>99.0</v>
      </c>
      <c r="X877" s="50">
        <v>101314.0</v>
      </c>
      <c r="Y877" s="250">
        <v>781.0</v>
      </c>
    </row>
    <row r="878">
      <c r="A878" s="11">
        <v>18.0</v>
      </c>
      <c r="B878" s="11">
        <v>17.0</v>
      </c>
      <c r="C878" s="253">
        <v>8.0</v>
      </c>
      <c r="D878" s="235">
        <v>5.0</v>
      </c>
      <c r="E878" s="235">
        <v>5.0</v>
      </c>
      <c r="F878" s="253">
        <v>8.0</v>
      </c>
      <c r="G878" s="235">
        <v>5.0</v>
      </c>
      <c r="H878" s="236">
        <v>9.5361065E7</v>
      </c>
      <c r="I878" s="16">
        <v>44.0</v>
      </c>
      <c r="J878" s="11">
        <v>6.0</v>
      </c>
      <c r="K878" s="11" t="str">
        <f t="shared" si="1"/>
        <v>00050095361065446</v>
      </c>
      <c r="L878" s="238">
        <v>8208.89</v>
      </c>
      <c r="M878" s="254">
        <v>30517.0</v>
      </c>
      <c r="N878" s="16">
        <v>24.0</v>
      </c>
      <c r="O878" s="17">
        <v>41.0</v>
      </c>
      <c r="P878" s="17">
        <v>99.0</v>
      </c>
      <c r="Q878" s="11">
        <v>8.771659E7</v>
      </c>
      <c r="R878" s="11">
        <v>2.0</v>
      </c>
      <c r="S878" s="24" t="s">
        <v>5292</v>
      </c>
      <c r="T878" s="249" t="s">
        <v>6167</v>
      </c>
      <c r="U878" s="17">
        <v>41.0</v>
      </c>
      <c r="V878" s="16">
        <v>57.0</v>
      </c>
      <c r="W878" s="16">
        <v>71.0</v>
      </c>
      <c r="X878" s="50">
        <v>31216.0</v>
      </c>
      <c r="Y878" s="250">
        <v>7663.0</v>
      </c>
    </row>
    <row r="879">
      <c r="A879" s="11">
        <v>18.0</v>
      </c>
      <c r="B879" s="11">
        <v>17.0</v>
      </c>
      <c r="C879" s="253">
        <v>21.0</v>
      </c>
      <c r="D879" s="235">
        <v>109.0</v>
      </c>
      <c r="E879" s="235">
        <v>109.0</v>
      </c>
      <c r="F879" s="253">
        <v>21.0</v>
      </c>
      <c r="G879" s="235">
        <v>109.0</v>
      </c>
      <c r="H879" s="236">
        <v>1.6247604E7</v>
      </c>
      <c r="I879" s="16">
        <v>37.0</v>
      </c>
      <c r="J879" s="11">
        <v>4.0</v>
      </c>
      <c r="K879" s="11" t="str">
        <f t="shared" si="1"/>
        <v>01090016247604374</v>
      </c>
      <c r="L879" s="238">
        <v>83222.32</v>
      </c>
      <c r="M879" s="254">
        <v>13120.0</v>
      </c>
      <c r="N879" s="16">
        <v>40.0</v>
      </c>
      <c r="O879" s="17">
        <v>4.0</v>
      </c>
      <c r="P879" s="17">
        <v>58.0</v>
      </c>
      <c r="Q879" s="11">
        <v>1.1660418E7</v>
      </c>
      <c r="R879" s="11">
        <v>3.0</v>
      </c>
      <c r="S879" s="24" t="s">
        <v>29</v>
      </c>
      <c r="T879" s="249" t="s">
        <v>6168</v>
      </c>
      <c r="U879" s="17">
        <v>48.0</v>
      </c>
      <c r="V879" s="16">
        <v>29.0</v>
      </c>
      <c r="W879" s="16">
        <v>26.0</v>
      </c>
      <c r="X879" s="50">
        <v>30417.0</v>
      </c>
      <c r="Y879" s="250">
        <v>3209.0</v>
      </c>
    </row>
    <row r="880">
      <c r="A880" s="11">
        <v>15.0</v>
      </c>
      <c r="B880" s="11">
        <v>78.0</v>
      </c>
      <c r="C880" s="253">
        <v>54.0</v>
      </c>
      <c r="D880" s="235">
        <v>69.0</v>
      </c>
      <c r="E880" s="235">
        <v>69.0</v>
      </c>
      <c r="F880" s="253">
        <v>54.0</v>
      </c>
      <c r="G880" s="235">
        <v>69.0</v>
      </c>
      <c r="H880" s="236">
        <v>2.3488097E7</v>
      </c>
      <c r="I880" s="16">
        <v>26.0</v>
      </c>
      <c r="J880" s="11">
        <v>8.0</v>
      </c>
      <c r="K880" s="11" t="str">
        <f t="shared" si="1"/>
        <v>00690023488097268</v>
      </c>
      <c r="L880" s="238">
        <v>-209.51</v>
      </c>
      <c r="M880" s="254">
        <v>52213.0</v>
      </c>
      <c r="N880" s="16">
        <v>55.0</v>
      </c>
      <c r="O880" s="17">
        <v>29.0</v>
      </c>
      <c r="P880" s="17">
        <v>78.0</v>
      </c>
      <c r="Q880" s="11">
        <v>6.9772003E7</v>
      </c>
      <c r="R880" s="11">
        <v>5.0</v>
      </c>
      <c r="S880" s="24" t="s">
        <v>48</v>
      </c>
      <c r="T880" s="249" t="s">
        <v>6169</v>
      </c>
      <c r="U880" s="17">
        <v>97.0</v>
      </c>
      <c r="V880" s="16">
        <v>68.0</v>
      </c>
      <c r="W880" s="16">
        <v>65.0</v>
      </c>
      <c r="X880" s="50">
        <v>70418.0</v>
      </c>
      <c r="Y880" s="250">
        <v>1116.0</v>
      </c>
    </row>
    <row r="881">
      <c r="A881" s="11">
        <v>20.0</v>
      </c>
      <c r="B881" s="11">
        <v>99.0</v>
      </c>
      <c r="C881" s="253">
        <v>39.0</v>
      </c>
      <c r="D881" s="235">
        <v>95.0</v>
      </c>
      <c r="E881" s="235">
        <v>95.0</v>
      </c>
      <c r="F881" s="253">
        <v>39.0</v>
      </c>
      <c r="G881" s="235">
        <v>95.0</v>
      </c>
      <c r="H881" s="236">
        <v>3.4966351E7</v>
      </c>
      <c r="I881" s="16">
        <v>76.0</v>
      </c>
      <c r="J881" s="11">
        <v>8.0</v>
      </c>
      <c r="K881" s="11" t="str">
        <f t="shared" si="1"/>
        <v>00950034966351768</v>
      </c>
      <c r="L881" s="238">
        <v>-2719.51</v>
      </c>
      <c r="M881" s="254">
        <v>30917.0</v>
      </c>
      <c r="N881" s="16">
        <v>7.0</v>
      </c>
      <c r="O881" s="17">
        <v>23.0</v>
      </c>
      <c r="P881" s="17">
        <v>99.0</v>
      </c>
      <c r="Q881" s="11">
        <v>5.0574263E7</v>
      </c>
      <c r="R881" s="11">
        <v>2.0</v>
      </c>
      <c r="S881" s="24" t="s">
        <v>5292</v>
      </c>
      <c r="T881" s="249" t="s">
        <v>6170</v>
      </c>
      <c r="U881" s="17">
        <v>46.0</v>
      </c>
      <c r="V881" s="16">
        <v>70.0</v>
      </c>
      <c r="W881" s="16">
        <v>32.0</v>
      </c>
      <c r="X881" s="50">
        <v>31617.0</v>
      </c>
      <c r="Y881" s="250">
        <v>9298.0</v>
      </c>
    </row>
    <row r="882">
      <c r="A882" s="11">
        <v>10.0</v>
      </c>
      <c r="B882" s="11">
        <v>78.0</v>
      </c>
      <c r="C882" s="253">
        <v>53.0</v>
      </c>
      <c r="D882" s="235">
        <v>43.0</v>
      </c>
      <c r="E882" s="235">
        <v>43.0</v>
      </c>
      <c r="F882" s="253">
        <v>53.0</v>
      </c>
      <c r="G882" s="235">
        <v>43.0</v>
      </c>
      <c r="H882" s="236">
        <v>9.6435878E7</v>
      </c>
      <c r="I882" s="16">
        <v>90.0</v>
      </c>
      <c r="J882" s="11">
        <v>8.0</v>
      </c>
      <c r="K882" s="11" t="str">
        <f t="shared" si="1"/>
        <v>00430096435878908</v>
      </c>
      <c r="L882" s="238">
        <v>-2156.96</v>
      </c>
      <c r="M882" s="254">
        <v>61023.0</v>
      </c>
      <c r="N882" s="16">
        <v>19.0</v>
      </c>
      <c r="O882" s="17">
        <v>37.0</v>
      </c>
      <c r="P882" s="17">
        <v>99.0</v>
      </c>
      <c r="Q882" s="11">
        <v>3.4778572E7</v>
      </c>
      <c r="R882" s="11">
        <v>8.0</v>
      </c>
      <c r="S882" s="24" t="s">
        <v>5292</v>
      </c>
      <c r="T882" s="249" t="s">
        <v>6171</v>
      </c>
      <c r="U882" s="17">
        <v>47.0</v>
      </c>
      <c r="V882" s="16">
        <v>71.0</v>
      </c>
      <c r="W882" s="16">
        <v>68.0</v>
      </c>
      <c r="X882" s="50">
        <v>60520.0</v>
      </c>
      <c r="Y882" s="250">
        <v>1816.0</v>
      </c>
    </row>
    <row r="883">
      <c r="A883" s="11">
        <v>14.0</v>
      </c>
      <c r="B883" s="11">
        <v>58.0</v>
      </c>
      <c r="C883" s="253">
        <v>18.0</v>
      </c>
      <c r="D883" s="235">
        <v>123.0</v>
      </c>
      <c r="E883" s="235">
        <v>123.0</v>
      </c>
      <c r="F883" s="253">
        <v>18.0</v>
      </c>
      <c r="G883" s="235">
        <v>123.0</v>
      </c>
      <c r="H883" s="236">
        <v>4.1090401E7</v>
      </c>
      <c r="I883" s="16">
        <v>4.0</v>
      </c>
      <c r="J883" s="11">
        <v>9.0</v>
      </c>
      <c r="K883" s="11" t="str">
        <f t="shared" si="1"/>
        <v>01230041090401049</v>
      </c>
      <c r="L883" s="238">
        <v>984.57</v>
      </c>
      <c r="M883" s="254">
        <v>51718.0</v>
      </c>
      <c r="N883" s="16">
        <v>67.0</v>
      </c>
      <c r="O883" s="17">
        <v>6.0</v>
      </c>
      <c r="P883" s="17">
        <v>17.0</v>
      </c>
      <c r="Q883" s="11">
        <v>7.0921227E7</v>
      </c>
      <c r="R883" s="11">
        <v>3.0</v>
      </c>
      <c r="S883" s="24" t="s">
        <v>48</v>
      </c>
      <c r="T883" s="249" t="s">
        <v>6172</v>
      </c>
      <c r="U883" s="17">
        <v>55.0</v>
      </c>
      <c r="V883" s="16">
        <v>5.0</v>
      </c>
      <c r="W883" s="16">
        <v>35.0</v>
      </c>
      <c r="X883" s="50">
        <v>73119.0</v>
      </c>
      <c r="Y883" s="250">
        <v>3544.0</v>
      </c>
    </row>
    <row r="884">
      <c r="A884" s="11">
        <v>10.0</v>
      </c>
      <c r="B884" s="11">
        <v>17.0</v>
      </c>
      <c r="C884" s="253">
        <v>6.0</v>
      </c>
      <c r="D884" s="235">
        <v>43.0</v>
      </c>
      <c r="E884" s="235">
        <v>43.0</v>
      </c>
      <c r="F884" s="253">
        <v>6.0</v>
      </c>
      <c r="G884" s="235">
        <v>43.0</v>
      </c>
      <c r="H884" s="236">
        <v>7.7900246E7</v>
      </c>
      <c r="I884" s="16">
        <v>48.0</v>
      </c>
      <c r="J884" s="11">
        <v>1.0</v>
      </c>
      <c r="K884" s="11" t="str">
        <f t="shared" si="1"/>
        <v>00430077900246481</v>
      </c>
      <c r="L884" s="238">
        <v>-602150.6</v>
      </c>
      <c r="M884" s="254">
        <v>121317.0</v>
      </c>
      <c r="N884" s="16">
        <v>57.0</v>
      </c>
      <c r="O884" s="17">
        <v>22.0</v>
      </c>
      <c r="P884" s="17">
        <v>99.0</v>
      </c>
      <c r="Q884" s="11">
        <v>6.9903558E7</v>
      </c>
      <c r="R884" s="11">
        <v>9.0</v>
      </c>
      <c r="S884" s="24" t="s">
        <v>29</v>
      </c>
      <c r="T884" s="249" t="s">
        <v>6173</v>
      </c>
      <c r="U884" s="17">
        <v>49.0</v>
      </c>
      <c r="V884" s="16">
        <v>89.0</v>
      </c>
      <c r="W884" s="16">
        <v>62.0</v>
      </c>
      <c r="X884" s="50">
        <v>111813.0</v>
      </c>
      <c r="Y884" s="250">
        <v>356.0</v>
      </c>
    </row>
    <row r="885">
      <c r="A885" s="11">
        <v>17.0</v>
      </c>
      <c r="B885" s="11">
        <v>17.0</v>
      </c>
      <c r="C885" s="253">
        <v>48.0</v>
      </c>
      <c r="D885" s="235">
        <v>131.0</v>
      </c>
      <c r="E885" s="235">
        <v>131.0</v>
      </c>
      <c r="F885" s="253">
        <v>48.0</v>
      </c>
      <c r="G885" s="235">
        <v>131.0</v>
      </c>
      <c r="H885" s="236">
        <v>2.1208028E7</v>
      </c>
      <c r="I885" s="16">
        <v>62.0</v>
      </c>
      <c r="J885" s="11">
        <v>6.0</v>
      </c>
      <c r="K885" s="11" t="str">
        <f t="shared" si="1"/>
        <v>01310021208028626</v>
      </c>
      <c r="L885" s="238">
        <v>656.13</v>
      </c>
      <c r="M885" s="254">
        <v>42016.0</v>
      </c>
      <c r="N885" s="16">
        <v>82.0</v>
      </c>
      <c r="O885" s="17">
        <v>44.0</v>
      </c>
      <c r="P885" s="17">
        <v>38.0</v>
      </c>
      <c r="Q885" s="11">
        <v>9.174321E7</v>
      </c>
      <c r="R885" s="11">
        <v>4.0</v>
      </c>
      <c r="S885" s="24" t="s">
        <v>48</v>
      </c>
      <c r="T885" s="249" t="s">
        <v>6174</v>
      </c>
      <c r="U885" s="17">
        <v>5.0</v>
      </c>
      <c r="V885" s="16">
        <v>4.0</v>
      </c>
      <c r="W885" s="16">
        <v>32.0</v>
      </c>
      <c r="X885" s="50">
        <v>121318.0</v>
      </c>
      <c r="Y885" s="250">
        <v>1840.0</v>
      </c>
    </row>
    <row r="886">
      <c r="A886" s="11">
        <v>12.0</v>
      </c>
      <c r="B886" s="11">
        <v>78.0</v>
      </c>
      <c r="C886" s="253">
        <v>29.0</v>
      </c>
      <c r="D886" s="235">
        <v>91.0</v>
      </c>
      <c r="E886" s="235">
        <v>91.0</v>
      </c>
      <c r="F886" s="253">
        <v>29.0</v>
      </c>
      <c r="G886" s="235">
        <v>91.0</v>
      </c>
      <c r="H886" s="236">
        <v>9.1468688E7</v>
      </c>
      <c r="I886" s="16">
        <v>70.0</v>
      </c>
      <c r="J886" s="11">
        <v>7.0</v>
      </c>
      <c r="K886" s="11" t="str">
        <f t="shared" si="1"/>
        <v>00910091468688707</v>
      </c>
      <c r="L886" s="238">
        <v>43858.84</v>
      </c>
      <c r="M886" s="254">
        <v>22518.0</v>
      </c>
      <c r="N886" s="16">
        <v>87.0</v>
      </c>
      <c r="O886" s="17">
        <v>22.0</v>
      </c>
      <c r="P886" s="17">
        <v>17.0</v>
      </c>
      <c r="Q886" s="11">
        <v>4.9464735E7</v>
      </c>
      <c r="R886" s="11">
        <v>9.0</v>
      </c>
      <c r="S886" s="24" t="s">
        <v>39</v>
      </c>
      <c r="T886" s="249" t="s">
        <v>6175</v>
      </c>
      <c r="U886" s="17">
        <v>56.0</v>
      </c>
      <c r="V886" s="16">
        <v>89.0</v>
      </c>
      <c r="W886" s="16">
        <v>72.0</v>
      </c>
      <c r="X886" s="50">
        <v>52120.0</v>
      </c>
      <c r="Y886" s="250">
        <v>6387.0</v>
      </c>
    </row>
    <row r="887">
      <c r="A887" s="11">
        <v>13.0</v>
      </c>
      <c r="B887" s="11">
        <v>99.0</v>
      </c>
      <c r="C887" s="253">
        <v>39.0</v>
      </c>
      <c r="D887" s="235">
        <v>159.0</v>
      </c>
      <c r="E887" s="235">
        <v>159.0</v>
      </c>
      <c r="F887" s="253">
        <v>39.0</v>
      </c>
      <c r="G887" s="235">
        <v>159.0</v>
      </c>
      <c r="H887" s="236">
        <v>1.6763169E7</v>
      </c>
      <c r="I887" s="16">
        <v>76.0</v>
      </c>
      <c r="J887" s="11">
        <v>4.0</v>
      </c>
      <c r="K887" s="11" t="str">
        <f t="shared" si="1"/>
        <v>01590016763169764</v>
      </c>
      <c r="L887" s="238">
        <v>-310.35</v>
      </c>
      <c r="M887" s="254">
        <v>91515.0</v>
      </c>
      <c r="N887" s="16">
        <v>26.0</v>
      </c>
      <c r="O887" s="17">
        <v>13.0</v>
      </c>
      <c r="P887" s="17">
        <v>38.0</v>
      </c>
      <c r="Q887" s="11">
        <v>1.9095358E7</v>
      </c>
      <c r="R887" s="11">
        <v>0.0</v>
      </c>
      <c r="S887" s="24" t="s">
        <v>29</v>
      </c>
      <c r="T887" s="249" t="s">
        <v>6176</v>
      </c>
      <c r="U887" s="17">
        <v>10.0</v>
      </c>
      <c r="V887" s="16">
        <v>2.0</v>
      </c>
      <c r="W887" s="16">
        <v>17.0</v>
      </c>
      <c r="X887" s="50">
        <v>101316.0</v>
      </c>
      <c r="Y887" s="250">
        <v>622.0</v>
      </c>
    </row>
    <row r="888">
      <c r="A888" s="11">
        <v>11.0</v>
      </c>
      <c r="B888" s="11">
        <v>99.0</v>
      </c>
      <c r="C888" s="253">
        <v>39.0</v>
      </c>
      <c r="D888" s="235">
        <v>41.0</v>
      </c>
      <c r="E888" s="235">
        <v>41.0</v>
      </c>
      <c r="F888" s="253">
        <v>39.0</v>
      </c>
      <c r="G888" s="235">
        <v>41.0</v>
      </c>
      <c r="H888" s="236">
        <v>9.0592063E7</v>
      </c>
      <c r="I888" s="16">
        <v>13.0</v>
      </c>
      <c r="J888" s="11">
        <v>9.0</v>
      </c>
      <c r="K888" s="11" t="str">
        <f t="shared" si="1"/>
        <v>00410090592063139</v>
      </c>
      <c r="L888" s="238">
        <v>538.8</v>
      </c>
      <c r="M888" s="254">
        <v>52618.0</v>
      </c>
      <c r="N888" s="16">
        <v>92.0</v>
      </c>
      <c r="O888" s="17">
        <v>46.0</v>
      </c>
      <c r="P888" s="17">
        <v>58.0</v>
      </c>
      <c r="Q888" s="11">
        <v>3.714137E7</v>
      </c>
      <c r="R888" s="11">
        <v>4.0</v>
      </c>
      <c r="S888" s="24" t="s">
        <v>48</v>
      </c>
      <c r="T888" s="249" t="s">
        <v>6177</v>
      </c>
      <c r="U888" s="17">
        <v>59.0</v>
      </c>
      <c r="V888" s="16">
        <v>57.0</v>
      </c>
      <c r="W888" s="16">
        <v>82.0</v>
      </c>
      <c r="X888" s="50">
        <v>10414.0</v>
      </c>
      <c r="Y888" s="250">
        <v>4350.0</v>
      </c>
    </row>
    <row r="889">
      <c r="A889" s="11">
        <v>20.0</v>
      </c>
      <c r="B889" s="11">
        <v>99.0</v>
      </c>
      <c r="C889" s="253">
        <v>48.0</v>
      </c>
      <c r="D889" s="235">
        <v>443.0</v>
      </c>
      <c r="E889" s="235">
        <v>443.0</v>
      </c>
      <c r="F889" s="253">
        <v>48.0</v>
      </c>
      <c r="G889" s="235">
        <v>443.0</v>
      </c>
      <c r="H889" s="236">
        <v>4.6331544E7</v>
      </c>
      <c r="I889" s="16">
        <v>43.0</v>
      </c>
      <c r="J889" s="11">
        <v>3.0</v>
      </c>
      <c r="K889" s="11" t="str">
        <f t="shared" si="1"/>
        <v>04430046331544433</v>
      </c>
      <c r="L889" s="238">
        <v>762.54</v>
      </c>
      <c r="M889" s="254">
        <v>31123.0</v>
      </c>
      <c r="N889" s="16">
        <v>57.0</v>
      </c>
      <c r="O889" s="17">
        <v>34.0</v>
      </c>
      <c r="P889" s="17">
        <v>38.0</v>
      </c>
      <c r="Q889" s="11">
        <v>1.7731509E7</v>
      </c>
      <c r="R889" s="11">
        <v>9.0</v>
      </c>
      <c r="S889" s="24" t="s">
        <v>5292</v>
      </c>
      <c r="T889" s="249" t="s">
        <v>6178</v>
      </c>
      <c r="U889" s="17">
        <v>11.0</v>
      </c>
      <c r="V889" s="16">
        <v>4.0</v>
      </c>
      <c r="W889" s="16">
        <v>32.0</v>
      </c>
      <c r="X889" s="50">
        <v>122014.0</v>
      </c>
      <c r="Y889" s="250">
        <v>150.0</v>
      </c>
    </row>
    <row r="890">
      <c r="A890" s="11">
        <v>14.0</v>
      </c>
      <c r="B890" s="11">
        <v>99.0</v>
      </c>
      <c r="C890" s="253">
        <v>6.0</v>
      </c>
      <c r="D890" s="235">
        <v>79.0</v>
      </c>
      <c r="E890" s="235">
        <v>79.0</v>
      </c>
      <c r="F890" s="253">
        <v>6.0</v>
      </c>
      <c r="G890" s="235">
        <v>79.0</v>
      </c>
      <c r="H890" s="236">
        <v>5.1778314E7</v>
      </c>
      <c r="I890" s="16">
        <v>42.0</v>
      </c>
      <c r="J890" s="11">
        <v>6.0</v>
      </c>
      <c r="K890" s="11" t="str">
        <f t="shared" si="1"/>
        <v>00790051778314426</v>
      </c>
      <c r="L890" s="238">
        <v>572.12</v>
      </c>
      <c r="M890" s="254">
        <v>90917.0</v>
      </c>
      <c r="N890" s="16">
        <v>78.0</v>
      </c>
      <c r="O890" s="17">
        <v>29.0</v>
      </c>
      <c r="P890" s="17">
        <v>58.0</v>
      </c>
      <c r="Q890" s="11">
        <v>1.7668237E7</v>
      </c>
      <c r="R890" s="11">
        <v>8.0</v>
      </c>
      <c r="S890" s="24" t="s">
        <v>29</v>
      </c>
      <c r="T890" s="249" t="s">
        <v>6179</v>
      </c>
      <c r="U890" s="17">
        <v>60.0</v>
      </c>
      <c r="V890" s="16">
        <v>78.0</v>
      </c>
      <c r="W890" s="16">
        <v>8.0</v>
      </c>
      <c r="X890" s="50">
        <v>82520.0</v>
      </c>
      <c r="Y890" s="250">
        <v>9758.0</v>
      </c>
    </row>
    <row r="891">
      <c r="A891" s="11">
        <v>17.0</v>
      </c>
      <c r="B891" s="11">
        <v>37.0</v>
      </c>
      <c r="C891" s="253">
        <v>36.0</v>
      </c>
      <c r="D891" s="235">
        <v>97.0</v>
      </c>
      <c r="E891" s="235">
        <v>97.0</v>
      </c>
      <c r="F891" s="253">
        <v>36.0</v>
      </c>
      <c r="G891" s="235">
        <v>97.0</v>
      </c>
      <c r="H891" s="236">
        <v>6.1267202E7</v>
      </c>
      <c r="I891" s="16">
        <v>75.0</v>
      </c>
      <c r="J891" s="11">
        <v>7.0</v>
      </c>
      <c r="K891" s="11" t="str">
        <f t="shared" si="1"/>
        <v>00970061267202757</v>
      </c>
      <c r="L891" s="238">
        <v>2672.17</v>
      </c>
      <c r="M891" s="254">
        <v>20914.0</v>
      </c>
      <c r="N891" s="16">
        <v>28.0</v>
      </c>
      <c r="O891" s="17">
        <v>48.0</v>
      </c>
      <c r="P891" s="17">
        <v>17.0</v>
      </c>
      <c r="Q891" s="11">
        <v>2.7698168E7</v>
      </c>
      <c r="R891" s="11">
        <v>6.0</v>
      </c>
      <c r="S891" s="24" t="s">
        <v>5292</v>
      </c>
      <c r="T891" s="249" t="s">
        <v>6180</v>
      </c>
      <c r="U891" s="17">
        <v>66.0</v>
      </c>
      <c r="V891" s="16">
        <v>8.0</v>
      </c>
      <c r="W891" s="16">
        <v>32.0</v>
      </c>
      <c r="X891" s="50">
        <v>70518.0</v>
      </c>
      <c r="Y891" s="250">
        <v>834.0</v>
      </c>
    </row>
    <row r="892">
      <c r="A892" s="11">
        <v>10.0</v>
      </c>
      <c r="B892" s="11">
        <v>78.0</v>
      </c>
      <c r="C892" s="253">
        <v>47.0</v>
      </c>
      <c r="D892" s="235">
        <v>177.0</v>
      </c>
      <c r="E892" s="235">
        <v>177.0</v>
      </c>
      <c r="F892" s="253">
        <v>47.0</v>
      </c>
      <c r="G892" s="235">
        <v>177.0</v>
      </c>
      <c r="H892" s="236">
        <v>5.730072E7</v>
      </c>
      <c r="I892" s="16">
        <v>60.0</v>
      </c>
      <c r="J892" s="11">
        <v>2.0</v>
      </c>
      <c r="K892" s="11" t="str">
        <f t="shared" si="1"/>
        <v>01770057300720602</v>
      </c>
      <c r="L892" s="238">
        <v>203.8</v>
      </c>
      <c r="M892" s="254">
        <v>103116.0</v>
      </c>
      <c r="N892" s="16">
        <v>64.0</v>
      </c>
      <c r="O892" s="17">
        <v>25.0</v>
      </c>
      <c r="P892" s="17">
        <v>38.0</v>
      </c>
      <c r="Q892" s="11">
        <v>5.9478513E7</v>
      </c>
      <c r="R892" s="11">
        <v>5.0</v>
      </c>
      <c r="S892" s="24" t="s">
        <v>48</v>
      </c>
      <c r="T892" s="249" t="s">
        <v>6181</v>
      </c>
      <c r="U892" s="17">
        <v>14.0</v>
      </c>
      <c r="V892" s="16">
        <v>76.0</v>
      </c>
      <c r="W892" s="16">
        <v>85.0</v>
      </c>
      <c r="X892" s="50">
        <v>62514.0</v>
      </c>
      <c r="Y892" s="250">
        <v>8833.0</v>
      </c>
    </row>
    <row r="893">
      <c r="A893" s="11">
        <v>14.0</v>
      </c>
      <c r="B893" s="11">
        <v>17.0</v>
      </c>
      <c r="C893" s="253">
        <v>29.0</v>
      </c>
      <c r="D893" s="235">
        <v>35.0</v>
      </c>
      <c r="E893" s="235">
        <v>35.0</v>
      </c>
      <c r="F893" s="253">
        <v>29.0</v>
      </c>
      <c r="G893" s="235">
        <v>35.0</v>
      </c>
      <c r="H893" s="236">
        <v>5.8177707E7</v>
      </c>
      <c r="I893" s="16">
        <v>12.0</v>
      </c>
      <c r="J893" s="11">
        <v>5.0</v>
      </c>
      <c r="K893" s="11" t="str">
        <f t="shared" si="1"/>
        <v>00350058177707125</v>
      </c>
      <c r="L893" s="238">
        <v>3947.66</v>
      </c>
      <c r="M893" s="254">
        <v>50120.0</v>
      </c>
      <c r="N893" s="16">
        <v>12.0</v>
      </c>
      <c r="O893" s="17">
        <v>53.0</v>
      </c>
      <c r="P893" s="17">
        <v>79.0</v>
      </c>
      <c r="Q893" s="11">
        <v>9.1233069E7</v>
      </c>
      <c r="R893" s="11">
        <v>3.0</v>
      </c>
      <c r="S893" s="24" t="s">
        <v>5292</v>
      </c>
      <c r="T893" s="249" t="s">
        <v>6182</v>
      </c>
      <c r="U893" s="17">
        <v>11.0</v>
      </c>
      <c r="V893" s="16">
        <v>67.0</v>
      </c>
      <c r="W893" s="16">
        <v>25.0</v>
      </c>
      <c r="X893" s="50">
        <v>110718.0</v>
      </c>
      <c r="Y893" s="250">
        <v>4839.0</v>
      </c>
    </row>
    <row r="894">
      <c r="A894" s="11">
        <v>11.0</v>
      </c>
      <c r="B894" s="11">
        <v>37.0</v>
      </c>
      <c r="C894" s="253">
        <v>55.0</v>
      </c>
      <c r="D894" s="235">
        <v>133.0</v>
      </c>
      <c r="E894" s="235">
        <v>133.0</v>
      </c>
      <c r="F894" s="253">
        <v>55.0</v>
      </c>
      <c r="G894" s="235">
        <v>133.0</v>
      </c>
      <c r="H894" s="236">
        <v>5.6946953E7</v>
      </c>
      <c r="I894" s="16">
        <v>40.0</v>
      </c>
      <c r="J894" s="11">
        <v>0.0</v>
      </c>
      <c r="K894" s="11" t="str">
        <f t="shared" si="1"/>
        <v>01330056946953400</v>
      </c>
      <c r="L894" s="238">
        <v>-1365.3</v>
      </c>
      <c r="M894" s="254">
        <v>31714.0</v>
      </c>
      <c r="N894" s="16">
        <v>52.0</v>
      </c>
      <c r="O894" s="17">
        <v>23.0</v>
      </c>
      <c r="P894" s="17">
        <v>38.0</v>
      </c>
      <c r="Q894" s="11">
        <v>1.9925063E7</v>
      </c>
      <c r="R894" s="11">
        <v>8.0</v>
      </c>
      <c r="S894" s="24" t="s">
        <v>5292</v>
      </c>
      <c r="T894" s="249" t="s">
        <v>6183</v>
      </c>
      <c r="U894" s="17">
        <v>17.0</v>
      </c>
      <c r="V894" s="16">
        <v>31.0</v>
      </c>
      <c r="W894" s="16">
        <v>51.0</v>
      </c>
      <c r="X894" s="50">
        <v>41620.0</v>
      </c>
      <c r="Y894" s="250">
        <v>9528.0</v>
      </c>
    </row>
    <row r="895">
      <c r="A895" s="11">
        <v>11.0</v>
      </c>
      <c r="B895" s="11">
        <v>58.0</v>
      </c>
      <c r="C895" s="253">
        <v>40.0</v>
      </c>
      <c r="D895" s="235">
        <v>75.0</v>
      </c>
      <c r="E895" s="235">
        <v>75.0</v>
      </c>
      <c r="F895" s="253">
        <v>40.0</v>
      </c>
      <c r="G895" s="235">
        <v>75.0</v>
      </c>
      <c r="H895" s="236">
        <v>6.7794611E7</v>
      </c>
      <c r="I895" s="16">
        <v>37.0</v>
      </c>
      <c r="J895" s="11">
        <v>0.0</v>
      </c>
      <c r="K895" s="11" t="str">
        <f t="shared" si="1"/>
        <v>00750067794611370</v>
      </c>
      <c r="L895" s="238">
        <v>6470.5</v>
      </c>
      <c r="M895" s="254">
        <v>12115.0</v>
      </c>
      <c r="N895" s="16">
        <v>23.0</v>
      </c>
      <c r="O895" s="17">
        <v>10.0</v>
      </c>
      <c r="P895" s="17">
        <v>79.0</v>
      </c>
      <c r="Q895" s="11">
        <v>5.3298015E7</v>
      </c>
      <c r="R895" s="11">
        <v>6.0</v>
      </c>
      <c r="S895" s="24" t="s">
        <v>29</v>
      </c>
      <c r="T895" s="249" t="s">
        <v>6184</v>
      </c>
      <c r="U895" s="17">
        <v>14.0</v>
      </c>
      <c r="V895" s="16">
        <v>89.0</v>
      </c>
      <c r="W895" s="16">
        <v>40.0</v>
      </c>
      <c r="X895" s="50">
        <v>52417.0</v>
      </c>
      <c r="Y895" s="250">
        <v>3970.0</v>
      </c>
    </row>
    <row r="896">
      <c r="A896" s="11">
        <v>10.0</v>
      </c>
      <c r="B896" s="11">
        <v>17.0</v>
      </c>
      <c r="C896" s="253">
        <v>20.0</v>
      </c>
      <c r="D896" s="235">
        <v>23.0</v>
      </c>
      <c r="E896" s="235">
        <v>23.0</v>
      </c>
      <c r="F896" s="253">
        <v>20.0</v>
      </c>
      <c r="G896" s="235">
        <v>23.0</v>
      </c>
      <c r="H896" s="236">
        <v>9.0250252E7</v>
      </c>
      <c r="I896" s="16">
        <v>5.0</v>
      </c>
      <c r="J896" s="11">
        <v>2.0</v>
      </c>
      <c r="K896" s="11" t="str">
        <f t="shared" si="1"/>
        <v>00230090250252052</v>
      </c>
      <c r="L896" s="238">
        <v>780.95</v>
      </c>
      <c r="M896" s="254">
        <v>81320.0</v>
      </c>
      <c r="N896" s="16">
        <v>82.0</v>
      </c>
      <c r="O896" s="17">
        <v>8.0</v>
      </c>
      <c r="P896" s="17">
        <v>38.0</v>
      </c>
      <c r="Q896" s="11">
        <v>2.3691543E7</v>
      </c>
      <c r="R896" s="11">
        <v>3.0</v>
      </c>
      <c r="S896" s="24" t="s">
        <v>39</v>
      </c>
      <c r="T896" s="249" t="s">
        <v>6185</v>
      </c>
      <c r="U896" s="17">
        <v>18.0</v>
      </c>
      <c r="V896" s="16">
        <v>47.0</v>
      </c>
      <c r="W896" s="16">
        <v>66.0</v>
      </c>
      <c r="X896" s="50">
        <v>12722.0</v>
      </c>
      <c r="Y896" s="250">
        <v>4163.0</v>
      </c>
    </row>
    <row r="897">
      <c r="A897" s="11">
        <v>18.0</v>
      </c>
      <c r="B897" s="11">
        <v>37.0</v>
      </c>
      <c r="C897" s="253">
        <v>8.0</v>
      </c>
      <c r="D897" s="235">
        <v>23.0</v>
      </c>
      <c r="E897" s="235">
        <v>23.0</v>
      </c>
      <c r="F897" s="253">
        <v>8.0</v>
      </c>
      <c r="G897" s="235">
        <v>23.0</v>
      </c>
      <c r="H897" s="236">
        <v>8.5963316E7</v>
      </c>
      <c r="I897" s="16">
        <v>5.0</v>
      </c>
      <c r="J897" s="11">
        <v>0.0</v>
      </c>
      <c r="K897" s="11" t="str">
        <f t="shared" si="1"/>
        <v>00230085963316050</v>
      </c>
      <c r="L897" s="238">
        <v>-835638.62</v>
      </c>
      <c r="M897" s="254">
        <v>22813.0</v>
      </c>
      <c r="N897" s="16">
        <v>1.0</v>
      </c>
      <c r="O897" s="17">
        <v>42.0</v>
      </c>
      <c r="P897" s="17">
        <v>99.0</v>
      </c>
      <c r="Q897" s="11">
        <v>9.8891417E7</v>
      </c>
      <c r="R897" s="11">
        <v>7.0</v>
      </c>
      <c r="S897" s="24" t="s">
        <v>29</v>
      </c>
      <c r="T897" s="249" t="s">
        <v>6186</v>
      </c>
      <c r="U897" s="17">
        <v>64.0</v>
      </c>
      <c r="V897" s="16">
        <v>94.0</v>
      </c>
      <c r="W897" s="16">
        <v>12.0</v>
      </c>
      <c r="X897" s="50">
        <v>92515.0</v>
      </c>
      <c r="Y897" s="250">
        <v>1730.0</v>
      </c>
    </row>
    <row r="898">
      <c r="A898" s="11">
        <v>18.0</v>
      </c>
      <c r="B898" s="11">
        <v>78.0</v>
      </c>
      <c r="C898" s="253">
        <v>13.0</v>
      </c>
      <c r="D898" s="235">
        <v>79.0</v>
      </c>
      <c r="E898" s="235">
        <v>79.0</v>
      </c>
      <c r="F898" s="253">
        <v>13.0</v>
      </c>
      <c r="G898" s="235">
        <v>79.0</v>
      </c>
      <c r="H898" s="236">
        <v>9.0261826E7</v>
      </c>
      <c r="I898" s="16">
        <v>39.0</v>
      </c>
      <c r="J898" s="11">
        <v>8.0</v>
      </c>
      <c r="K898" s="11" t="str">
        <f t="shared" si="1"/>
        <v>00790090261826398</v>
      </c>
      <c r="L898" s="238">
        <v>504508.39</v>
      </c>
      <c r="M898" s="254">
        <v>51815.0</v>
      </c>
      <c r="N898" s="16">
        <v>68.0</v>
      </c>
      <c r="O898" s="17">
        <v>16.0</v>
      </c>
      <c r="P898" s="17">
        <v>38.0</v>
      </c>
      <c r="Q898" s="11">
        <v>2.666614E7</v>
      </c>
      <c r="R898" s="11">
        <v>4.0</v>
      </c>
      <c r="S898" s="24" t="s">
        <v>39</v>
      </c>
      <c r="T898" s="249" t="s">
        <v>6187</v>
      </c>
      <c r="U898" s="17">
        <v>21.0</v>
      </c>
      <c r="V898" s="16">
        <v>48.0</v>
      </c>
      <c r="W898" s="16">
        <v>47.0</v>
      </c>
      <c r="X898" s="50">
        <v>62314.0</v>
      </c>
      <c r="Y898" s="250">
        <v>2766.0</v>
      </c>
    </row>
    <row r="899">
      <c r="A899" s="11">
        <v>12.0</v>
      </c>
      <c r="B899" s="11">
        <v>17.0</v>
      </c>
      <c r="C899" s="253">
        <v>48.0</v>
      </c>
      <c r="D899" s="235">
        <v>69.0</v>
      </c>
      <c r="E899" s="235">
        <v>69.0</v>
      </c>
      <c r="F899" s="253">
        <v>48.0</v>
      </c>
      <c r="G899" s="235">
        <v>69.0</v>
      </c>
      <c r="H899" s="236">
        <v>1.4059737E7</v>
      </c>
      <c r="I899" s="16">
        <v>9.0</v>
      </c>
      <c r="J899" s="11">
        <v>2.0</v>
      </c>
      <c r="K899" s="11" t="str">
        <f t="shared" si="1"/>
        <v>00690014059737092</v>
      </c>
      <c r="L899" s="238">
        <v>-117293.91</v>
      </c>
      <c r="M899" s="254">
        <v>101917.0</v>
      </c>
      <c r="N899" s="16">
        <v>24.0</v>
      </c>
      <c r="O899" s="17">
        <v>22.0</v>
      </c>
      <c r="P899" s="17">
        <v>99.0</v>
      </c>
      <c r="Q899" s="11">
        <v>9.9426996E7</v>
      </c>
      <c r="R899" s="11">
        <v>3.0</v>
      </c>
      <c r="S899" s="24" t="s">
        <v>39</v>
      </c>
      <c r="T899" s="249" t="s">
        <v>6188</v>
      </c>
      <c r="U899" s="17">
        <v>72.0</v>
      </c>
      <c r="V899" s="16">
        <v>64.0</v>
      </c>
      <c r="W899" s="16">
        <v>83.0</v>
      </c>
      <c r="X899" s="50">
        <v>61322.0</v>
      </c>
      <c r="Y899" s="250">
        <v>9942.0</v>
      </c>
    </row>
    <row r="900">
      <c r="A900" s="11">
        <v>12.0</v>
      </c>
      <c r="B900" s="11">
        <v>78.0</v>
      </c>
      <c r="C900" s="253">
        <v>1.0</v>
      </c>
      <c r="D900" s="235">
        <v>27.0</v>
      </c>
      <c r="E900" s="235">
        <v>27.0</v>
      </c>
      <c r="F900" s="253">
        <v>1.0</v>
      </c>
      <c r="G900" s="235">
        <v>27.0</v>
      </c>
      <c r="H900" s="236">
        <v>6.2071386E7</v>
      </c>
      <c r="I900" s="16">
        <v>23.0</v>
      </c>
      <c r="J900" s="11">
        <v>6.0</v>
      </c>
      <c r="K900" s="11" t="str">
        <f t="shared" si="1"/>
        <v>00270062071386236</v>
      </c>
      <c r="L900" s="238">
        <v>5468.1</v>
      </c>
      <c r="M900" s="254">
        <v>100418.0</v>
      </c>
      <c r="N900" s="16">
        <v>3.0</v>
      </c>
      <c r="O900" s="17">
        <v>22.0</v>
      </c>
      <c r="P900" s="17">
        <v>99.0</v>
      </c>
      <c r="Q900" s="11">
        <v>3.1319588E7</v>
      </c>
      <c r="R900" s="11">
        <v>7.0</v>
      </c>
      <c r="S900" s="24" t="s">
        <v>39</v>
      </c>
      <c r="T900" s="249" t="s">
        <v>6189</v>
      </c>
      <c r="U900" s="17">
        <v>74.0</v>
      </c>
      <c r="V900" s="16">
        <v>94.0</v>
      </c>
      <c r="W900" s="16">
        <v>79.0</v>
      </c>
      <c r="X900" s="50">
        <v>10215.0</v>
      </c>
      <c r="Y900" s="250">
        <v>2961.0</v>
      </c>
    </row>
    <row r="901">
      <c r="A901" s="11">
        <v>16.0</v>
      </c>
      <c r="B901" s="11">
        <v>17.0</v>
      </c>
      <c r="C901" s="253">
        <v>27.0</v>
      </c>
      <c r="D901" s="235">
        <v>57.0</v>
      </c>
      <c r="E901" s="235">
        <v>57.0</v>
      </c>
      <c r="F901" s="253">
        <v>27.0</v>
      </c>
      <c r="G901" s="235">
        <v>57.0</v>
      </c>
      <c r="H901" s="236">
        <v>5.2744607E7</v>
      </c>
      <c r="I901" s="16">
        <v>92.0</v>
      </c>
      <c r="J901" s="11">
        <v>9.0</v>
      </c>
      <c r="K901" s="11" t="str">
        <f t="shared" si="1"/>
        <v>00570052744607929</v>
      </c>
      <c r="L901" s="238">
        <v>327.6</v>
      </c>
      <c r="M901" s="254">
        <v>41513.0</v>
      </c>
      <c r="N901" s="16">
        <v>29.0</v>
      </c>
      <c r="O901" s="17">
        <v>37.0</v>
      </c>
      <c r="P901" s="17">
        <v>58.0</v>
      </c>
      <c r="Q901" s="11">
        <v>9.7826585E7</v>
      </c>
      <c r="R901" s="11">
        <v>0.0</v>
      </c>
      <c r="S901" s="24" t="s">
        <v>5292</v>
      </c>
      <c r="T901" s="249" t="s">
        <v>6190</v>
      </c>
      <c r="U901" s="17">
        <v>79.0</v>
      </c>
      <c r="V901" s="16">
        <v>15.0</v>
      </c>
      <c r="W901" s="16">
        <v>87.0</v>
      </c>
      <c r="X901" s="50">
        <v>52017.0</v>
      </c>
      <c r="Y901" s="250">
        <v>3183.0</v>
      </c>
    </row>
    <row r="902">
      <c r="A902" s="11">
        <v>15.0</v>
      </c>
      <c r="B902" s="11">
        <v>17.0</v>
      </c>
      <c r="C902" s="253">
        <v>53.0</v>
      </c>
      <c r="D902" s="235">
        <v>41.0</v>
      </c>
      <c r="E902" s="235">
        <v>41.0</v>
      </c>
      <c r="F902" s="253">
        <v>53.0</v>
      </c>
      <c r="G902" s="235">
        <v>41.0</v>
      </c>
      <c r="H902" s="236">
        <v>1.505054E7</v>
      </c>
      <c r="I902" s="16">
        <v>44.0</v>
      </c>
      <c r="J902" s="11">
        <v>1.0</v>
      </c>
      <c r="K902" s="11" t="str">
        <f t="shared" si="1"/>
        <v>00410015050540441</v>
      </c>
      <c r="L902" s="238">
        <v>258.62</v>
      </c>
      <c r="M902" s="254">
        <v>90218.0</v>
      </c>
      <c r="N902" s="16">
        <v>51.0</v>
      </c>
      <c r="O902" s="17">
        <v>2.0</v>
      </c>
      <c r="P902" s="17">
        <v>58.0</v>
      </c>
      <c r="Q902" s="11">
        <v>4.841057E7</v>
      </c>
      <c r="R902" s="11">
        <v>3.0</v>
      </c>
      <c r="S902" s="24" t="s">
        <v>29</v>
      </c>
      <c r="T902" s="249" t="s">
        <v>6191</v>
      </c>
      <c r="U902" s="17">
        <v>80.0</v>
      </c>
      <c r="V902" s="16">
        <v>83.0</v>
      </c>
      <c r="W902" s="16">
        <v>58.0</v>
      </c>
      <c r="X902" s="50">
        <v>30820.0</v>
      </c>
      <c r="Y902" s="250">
        <v>3492.0</v>
      </c>
    </row>
    <row r="903">
      <c r="A903" s="11">
        <v>12.0</v>
      </c>
      <c r="B903" s="11">
        <v>78.0</v>
      </c>
      <c r="C903" s="253">
        <v>29.0</v>
      </c>
      <c r="D903" s="235">
        <v>119.0</v>
      </c>
      <c r="E903" s="235">
        <v>119.0</v>
      </c>
      <c r="F903" s="253">
        <v>29.0</v>
      </c>
      <c r="G903" s="235">
        <v>119.0</v>
      </c>
      <c r="H903" s="236">
        <v>1.9961826E7</v>
      </c>
      <c r="I903" s="16">
        <v>68.0</v>
      </c>
      <c r="J903" s="11">
        <v>1.0</v>
      </c>
      <c r="K903" s="11" t="str">
        <f t="shared" si="1"/>
        <v>01190019961826681</v>
      </c>
      <c r="L903" s="238">
        <v>-62513.29</v>
      </c>
      <c r="M903" s="254">
        <v>50213.0</v>
      </c>
      <c r="N903" s="16">
        <v>98.0</v>
      </c>
      <c r="O903" s="17">
        <v>49.0</v>
      </c>
      <c r="P903" s="17">
        <v>99.0</v>
      </c>
      <c r="Q903" s="11">
        <v>4.0135973E7</v>
      </c>
      <c r="R903" s="11">
        <v>6.0</v>
      </c>
      <c r="S903" s="24" t="s">
        <v>39</v>
      </c>
      <c r="T903" s="249" t="s">
        <v>6192</v>
      </c>
      <c r="U903" s="17">
        <v>75.0</v>
      </c>
      <c r="V903" s="16">
        <v>62.0</v>
      </c>
      <c r="W903" s="16">
        <v>70.0</v>
      </c>
      <c r="X903" s="50">
        <v>32616.0</v>
      </c>
      <c r="Y903" s="250">
        <v>252.0</v>
      </c>
    </row>
    <row r="904">
      <c r="A904" s="11">
        <v>12.0</v>
      </c>
      <c r="B904" s="11">
        <v>37.0</v>
      </c>
      <c r="C904" s="253">
        <v>18.0</v>
      </c>
      <c r="D904" s="235">
        <v>59.0</v>
      </c>
      <c r="E904" s="235">
        <v>59.0</v>
      </c>
      <c r="F904" s="253">
        <v>18.0</v>
      </c>
      <c r="G904" s="235">
        <v>59.0</v>
      </c>
      <c r="H904" s="236">
        <v>4.7116531E7</v>
      </c>
      <c r="I904" s="16">
        <v>5.0</v>
      </c>
      <c r="J904" s="11">
        <v>6.0</v>
      </c>
      <c r="K904" s="11" t="str">
        <f t="shared" si="1"/>
        <v>00590047116531056</v>
      </c>
      <c r="L904" s="238">
        <v>24211.69</v>
      </c>
      <c r="M904" s="254">
        <v>122819.0</v>
      </c>
      <c r="N904" s="16">
        <v>61.0</v>
      </c>
      <c r="O904" s="17">
        <v>27.0</v>
      </c>
      <c r="P904" s="17">
        <v>58.0</v>
      </c>
      <c r="Q904" s="11">
        <v>2.6068549E7</v>
      </c>
      <c r="R904" s="11">
        <v>1.0</v>
      </c>
      <c r="S904" s="24" t="s">
        <v>39</v>
      </c>
      <c r="T904" s="249" t="s">
        <v>6193</v>
      </c>
      <c r="U904" s="17">
        <v>82.0</v>
      </c>
      <c r="V904" s="16">
        <v>28.0</v>
      </c>
      <c r="W904" s="16">
        <v>52.0</v>
      </c>
      <c r="X904" s="50">
        <v>83021.0</v>
      </c>
      <c r="Y904" s="250">
        <v>2842.0</v>
      </c>
    </row>
    <row r="905">
      <c r="A905" s="11">
        <v>12.0</v>
      </c>
      <c r="B905" s="11">
        <v>37.0</v>
      </c>
      <c r="C905" s="253">
        <v>25.0</v>
      </c>
      <c r="D905" s="235">
        <v>17.0</v>
      </c>
      <c r="E905" s="235">
        <v>17.0</v>
      </c>
      <c r="F905" s="253">
        <v>25.0</v>
      </c>
      <c r="G905" s="235">
        <v>17.0</v>
      </c>
      <c r="H905" s="236">
        <v>1.8710258E7</v>
      </c>
      <c r="I905" s="16">
        <v>79.0</v>
      </c>
      <c r="J905" s="11">
        <v>8.0</v>
      </c>
      <c r="K905" s="11" t="str">
        <f t="shared" si="1"/>
        <v>00170018710258798</v>
      </c>
      <c r="L905" s="238">
        <v>66143.51</v>
      </c>
      <c r="M905" s="254">
        <v>70818.0</v>
      </c>
      <c r="N905" s="16">
        <v>58.0</v>
      </c>
      <c r="O905" s="17">
        <v>53.0</v>
      </c>
      <c r="P905" s="17">
        <v>58.0</v>
      </c>
      <c r="Q905" s="11">
        <v>1.7663925E7</v>
      </c>
      <c r="R905" s="11">
        <v>8.0</v>
      </c>
      <c r="S905" s="24" t="s">
        <v>48</v>
      </c>
      <c r="T905" s="249" t="s">
        <v>6194</v>
      </c>
      <c r="U905" s="17">
        <v>83.0</v>
      </c>
      <c r="V905" s="16">
        <v>64.0</v>
      </c>
      <c r="W905" s="16">
        <v>72.0</v>
      </c>
      <c r="X905" s="50">
        <v>41514.0</v>
      </c>
      <c r="Y905" s="250">
        <v>5109.0</v>
      </c>
    </row>
    <row r="906">
      <c r="A906" s="11">
        <v>19.0</v>
      </c>
      <c r="B906" s="11">
        <v>17.0</v>
      </c>
      <c r="C906" s="253">
        <v>13.0</v>
      </c>
      <c r="D906" s="235">
        <v>11.0</v>
      </c>
      <c r="E906" s="235">
        <v>11.0</v>
      </c>
      <c r="F906" s="253">
        <v>13.0</v>
      </c>
      <c r="G906" s="235">
        <v>11.0</v>
      </c>
      <c r="H906" s="236">
        <v>6.4633346E7</v>
      </c>
      <c r="I906" s="16">
        <v>38.0</v>
      </c>
      <c r="J906" s="11">
        <v>6.0</v>
      </c>
      <c r="K906" s="11" t="str">
        <f t="shared" si="1"/>
        <v>00110064633346386</v>
      </c>
      <c r="L906" s="238">
        <v>808799.8</v>
      </c>
      <c r="M906" s="254">
        <v>50113.0</v>
      </c>
      <c r="N906" s="16">
        <v>3.0</v>
      </c>
      <c r="O906" s="17">
        <v>12.0</v>
      </c>
      <c r="P906" s="17">
        <v>99.0</v>
      </c>
      <c r="Q906" s="11">
        <v>3.2193004E7</v>
      </c>
      <c r="R906" s="11">
        <v>8.0</v>
      </c>
      <c r="S906" s="24" t="s">
        <v>48</v>
      </c>
      <c r="T906" s="249" t="s">
        <v>6195</v>
      </c>
      <c r="U906" s="17">
        <v>82.0</v>
      </c>
      <c r="V906" s="16">
        <v>42.0</v>
      </c>
      <c r="W906" s="16">
        <v>43.0</v>
      </c>
      <c r="X906" s="50">
        <v>72919.0</v>
      </c>
      <c r="Y906" s="250">
        <v>9147.0</v>
      </c>
    </row>
    <row r="907">
      <c r="A907" s="11">
        <v>10.0</v>
      </c>
      <c r="B907" s="11">
        <v>17.0</v>
      </c>
      <c r="C907" s="253">
        <v>50.0</v>
      </c>
      <c r="D907" s="235">
        <v>11.0</v>
      </c>
      <c r="E907" s="235">
        <v>11.0</v>
      </c>
      <c r="F907" s="253">
        <v>50.0</v>
      </c>
      <c r="G907" s="235">
        <v>11.0</v>
      </c>
      <c r="H907" s="236">
        <v>4.8946882E7</v>
      </c>
      <c r="I907" s="16">
        <v>79.0</v>
      </c>
      <c r="J907" s="11">
        <v>1.0</v>
      </c>
      <c r="K907" s="11" t="str">
        <f t="shared" si="1"/>
        <v>00110048946882791</v>
      </c>
      <c r="L907" s="238">
        <v>1211.82</v>
      </c>
      <c r="M907" s="254">
        <v>12722.0</v>
      </c>
      <c r="N907" s="16">
        <v>52.0</v>
      </c>
      <c r="O907" s="17">
        <v>28.0</v>
      </c>
      <c r="P907" s="17">
        <v>38.0</v>
      </c>
      <c r="Q907" s="11">
        <v>7.9986398E7</v>
      </c>
      <c r="R907" s="11">
        <v>9.0</v>
      </c>
      <c r="S907" s="24" t="s">
        <v>5292</v>
      </c>
      <c r="T907" s="249" t="s">
        <v>6196</v>
      </c>
      <c r="U907" s="17">
        <v>40.0</v>
      </c>
      <c r="V907" s="16">
        <v>26.0</v>
      </c>
      <c r="W907" s="16">
        <v>90.0</v>
      </c>
      <c r="X907" s="50">
        <v>71715.0</v>
      </c>
      <c r="Y907" s="250">
        <v>5096.0</v>
      </c>
    </row>
    <row r="908">
      <c r="A908" s="11">
        <v>15.0</v>
      </c>
      <c r="B908" s="11">
        <v>99.0</v>
      </c>
      <c r="C908" s="253">
        <v>46.0</v>
      </c>
      <c r="D908" s="235">
        <v>67.0</v>
      </c>
      <c r="E908" s="235">
        <v>67.0</v>
      </c>
      <c r="F908" s="253">
        <v>46.0</v>
      </c>
      <c r="G908" s="235">
        <v>67.0</v>
      </c>
      <c r="H908" s="236">
        <v>7.2085748E7</v>
      </c>
      <c r="I908" s="16">
        <v>4.0</v>
      </c>
      <c r="J908" s="11">
        <v>8.0</v>
      </c>
      <c r="K908" s="11" t="str">
        <f t="shared" si="1"/>
        <v>00670072085748048</v>
      </c>
      <c r="L908" s="238">
        <v>5646.52</v>
      </c>
      <c r="M908" s="254">
        <v>92519.0</v>
      </c>
      <c r="N908" s="16">
        <v>52.0</v>
      </c>
      <c r="O908" s="17">
        <v>28.0</v>
      </c>
      <c r="P908" s="17">
        <v>38.0</v>
      </c>
      <c r="Q908" s="11">
        <v>1.5160858E7</v>
      </c>
      <c r="R908" s="11">
        <v>1.0</v>
      </c>
      <c r="S908" s="24" t="s">
        <v>5292</v>
      </c>
      <c r="T908" s="249" t="s">
        <v>6197</v>
      </c>
      <c r="U908" s="17">
        <v>41.0</v>
      </c>
      <c r="V908" s="16">
        <v>1.0</v>
      </c>
      <c r="W908" s="16">
        <v>83.0</v>
      </c>
      <c r="X908" s="50">
        <v>71721.0</v>
      </c>
      <c r="Y908" s="250">
        <v>7275.0</v>
      </c>
    </row>
    <row r="909">
      <c r="A909" s="11">
        <v>16.0</v>
      </c>
      <c r="B909" s="11">
        <v>58.0</v>
      </c>
      <c r="C909" s="253">
        <v>22.0</v>
      </c>
      <c r="D909" s="235">
        <v>107.0</v>
      </c>
      <c r="E909" s="235">
        <v>107.0</v>
      </c>
      <c r="F909" s="253">
        <v>22.0</v>
      </c>
      <c r="G909" s="235">
        <v>107.0</v>
      </c>
      <c r="H909" s="236">
        <v>4.8394891E7</v>
      </c>
      <c r="I909" s="16">
        <v>49.0</v>
      </c>
      <c r="J909" s="11">
        <v>8.0</v>
      </c>
      <c r="K909" s="11" t="str">
        <f t="shared" si="1"/>
        <v>01070048394891498</v>
      </c>
      <c r="L909" s="238">
        <v>14379.91</v>
      </c>
      <c r="M909" s="254">
        <v>93018.0</v>
      </c>
      <c r="N909" s="16">
        <v>84.0</v>
      </c>
      <c r="O909" s="17">
        <v>15.0</v>
      </c>
      <c r="P909" s="17">
        <v>58.0</v>
      </c>
      <c r="Q909" s="11">
        <v>4.717723E7</v>
      </c>
      <c r="R909" s="11">
        <v>4.0</v>
      </c>
      <c r="S909" s="24" t="s">
        <v>48</v>
      </c>
      <c r="T909" s="249" t="s">
        <v>6198</v>
      </c>
      <c r="U909" s="17">
        <v>94.0</v>
      </c>
      <c r="V909" s="16">
        <v>97.0</v>
      </c>
      <c r="W909" s="16">
        <v>65.0</v>
      </c>
      <c r="X909" s="50">
        <v>90915.0</v>
      </c>
      <c r="Y909" s="250">
        <v>2260.0</v>
      </c>
    </row>
    <row r="910">
      <c r="A910" s="11">
        <v>11.0</v>
      </c>
      <c r="B910" s="11">
        <v>58.0</v>
      </c>
      <c r="C910" s="253">
        <v>12.0</v>
      </c>
      <c r="D910" s="235">
        <v>83.0</v>
      </c>
      <c r="E910" s="235">
        <v>83.0</v>
      </c>
      <c r="F910" s="253">
        <v>12.0</v>
      </c>
      <c r="G910" s="235">
        <v>83.0</v>
      </c>
      <c r="H910" s="236">
        <v>8.9184217E7</v>
      </c>
      <c r="I910" s="16">
        <v>52.0</v>
      </c>
      <c r="J910" s="11">
        <v>4.0</v>
      </c>
      <c r="K910" s="11" t="str">
        <f t="shared" si="1"/>
        <v>00830089184217524</v>
      </c>
      <c r="L910" s="238">
        <v>34565.13</v>
      </c>
      <c r="M910" s="254">
        <v>102817.0</v>
      </c>
      <c r="N910" s="16">
        <v>31.0</v>
      </c>
      <c r="O910" s="17">
        <v>39.0</v>
      </c>
      <c r="P910" s="17">
        <v>99.0</v>
      </c>
      <c r="Q910" s="11">
        <v>2.5679379E7</v>
      </c>
      <c r="R910" s="11">
        <v>4.0</v>
      </c>
      <c r="S910" s="24" t="s">
        <v>48</v>
      </c>
      <c r="T910" s="249" t="s">
        <v>6199</v>
      </c>
      <c r="U910" s="17">
        <v>90.0</v>
      </c>
      <c r="V910" s="16">
        <v>70.0</v>
      </c>
      <c r="W910" s="16">
        <v>62.0</v>
      </c>
      <c r="X910" s="50">
        <v>111519.0</v>
      </c>
      <c r="Y910" s="250">
        <v>6903.0</v>
      </c>
    </row>
    <row r="911">
      <c r="A911" s="11">
        <v>18.0</v>
      </c>
      <c r="B911" s="11">
        <v>38.0</v>
      </c>
      <c r="C911" s="253">
        <v>19.0</v>
      </c>
      <c r="D911" s="235">
        <v>25.0</v>
      </c>
      <c r="E911" s="235">
        <v>25.0</v>
      </c>
      <c r="F911" s="253">
        <v>19.0</v>
      </c>
      <c r="G911" s="235">
        <v>25.0</v>
      </c>
      <c r="H911" s="236">
        <v>1.8150132E7</v>
      </c>
      <c r="I911" s="16">
        <v>61.0</v>
      </c>
      <c r="J911" s="11">
        <v>6.0</v>
      </c>
      <c r="K911" s="11" t="str">
        <f t="shared" si="1"/>
        <v>00250018150132616</v>
      </c>
      <c r="L911" s="238">
        <v>-93949.64</v>
      </c>
      <c r="M911" s="254">
        <v>111723.0</v>
      </c>
      <c r="N911" s="16">
        <v>84.0</v>
      </c>
      <c r="O911" s="17">
        <v>1.0</v>
      </c>
      <c r="P911" s="17">
        <v>38.0</v>
      </c>
      <c r="Q911" s="11">
        <v>7.086733E7</v>
      </c>
      <c r="R911" s="11">
        <v>2.0</v>
      </c>
      <c r="S911" s="24" t="s">
        <v>29</v>
      </c>
      <c r="T911" s="249" t="s">
        <v>6200</v>
      </c>
      <c r="U911" s="17">
        <v>46.0</v>
      </c>
      <c r="V911" s="16">
        <v>48.0</v>
      </c>
      <c r="W911" s="16">
        <v>44.0</v>
      </c>
      <c r="X911" s="50">
        <v>10617.0</v>
      </c>
      <c r="Y911" s="250">
        <v>4583.0</v>
      </c>
    </row>
    <row r="912">
      <c r="A912" s="11">
        <v>12.0</v>
      </c>
      <c r="B912" s="11">
        <v>99.0</v>
      </c>
      <c r="C912" s="253">
        <v>48.0</v>
      </c>
      <c r="D912" s="235">
        <v>385.0</v>
      </c>
      <c r="E912" s="235">
        <v>385.0</v>
      </c>
      <c r="F912" s="253">
        <v>48.0</v>
      </c>
      <c r="G912" s="235">
        <v>385.0</v>
      </c>
      <c r="H912" s="236">
        <v>8.1231359E7</v>
      </c>
      <c r="I912" s="16">
        <v>29.0</v>
      </c>
      <c r="J912" s="11">
        <v>5.0</v>
      </c>
      <c r="K912" s="11" t="str">
        <f t="shared" si="1"/>
        <v>03850081231359295</v>
      </c>
      <c r="L912" s="238">
        <v>546.44</v>
      </c>
      <c r="M912" s="254">
        <v>103019.0</v>
      </c>
      <c r="N912" s="16">
        <v>38.0</v>
      </c>
      <c r="O912" s="17">
        <v>18.0</v>
      </c>
      <c r="P912" s="17">
        <v>58.0</v>
      </c>
      <c r="Q912" s="11">
        <v>9.8757268E7</v>
      </c>
      <c r="R912" s="11">
        <v>3.0</v>
      </c>
      <c r="S912" s="24" t="s">
        <v>39</v>
      </c>
      <c r="T912" s="249" t="s">
        <v>6201</v>
      </c>
      <c r="U912" s="17">
        <v>97.0</v>
      </c>
      <c r="V912" s="16">
        <v>55.0</v>
      </c>
      <c r="W912" s="16">
        <v>2.0</v>
      </c>
      <c r="X912" s="50">
        <v>111018.0</v>
      </c>
      <c r="Y912" s="250">
        <v>3484.0</v>
      </c>
    </row>
    <row r="913">
      <c r="A913" s="11">
        <v>15.0</v>
      </c>
      <c r="B913" s="11">
        <v>38.0</v>
      </c>
      <c r="C913" s="253">
        <v>21.0</v>
      </c>
      <c r="D913" s="235">
        <v>207.0</v>
      </c>
      <c r="E913" s="235">
        <v>207.0</v>
      </c>
      <c r="F913" s="253">
        <v>21.0</v>
      </c>
      <c r="G913" s="235">
        <v>207.0</v>
      </c>
      <c r="H913" s="236">
        <v>7.4871754E7</v>
      </c>
      <c r="I913" s="16">
        <v>46.0</v>
      </c>
      <c r="J913" s="11">
        <v>5.0</v>
      </c>
      <c r="K913" s="11" t="str">
        <f t="shared" si="1"/>
        <v>02070074871754465</v>
      </c>
      <c r="L913" s="238">
        <v>-227379.12</v>
      </c>
      <c r="M913" s="254">
        <v>110822.0</v>
      </c>
      <c r="N913" s="16">
        <v>87.0</v>
      </c>
      <c r="O913" s="17">
        <v>53.0</v>
      </c>
      <c r="P913" s="17">
        <v>38.0</v>
      </c>
      <c r="Q913" s="11">
        <v>6.5792173E7</v>
      </c>
      <c r="R913" s="11">
        <v>9.0</v>
      </c>
      <c r="S913" s="24" t="s">
        <v>5292</v>
      </c>
      <c r="T913" s="249" t="s">
        <v>6202</v>
      </c>
      <c r="U913" s="17">
        <v>51.0</v>
      </c>
      <c r="V913" s="16">
        <v>9.0</v>
      </c>
      <c r="W913" s="16">
        <v>34.0</v>
      </c>
      <c r="X913" s="50">
        <v>11417.0</v>
      </c>
      <c r="Y913" s="250">
        <v>584.0</v>
      </c>
    </row>
    <row r="914">
      <c r="A914" s="11">
        <v>15.0</v>
      </c>
      <c r="B914" s="11">
        <v>58.0</v>
      </c>
      <c r="C914" s="253">
        <v>48.0</v>
      </c>
      <c r="D914" s="235">
        <v>21.0</v>
      </c>
      <c r="E914" s="235">
        <v>21.0</v>
      </c>
      <c r="F914" s="253">
        <v>48.0</v>
      </c>
      <c r="G914" s="235">
        <v>21.0</v>
      </c>
      <c r="H914" s="236">
        <v>4.1099337E7</v>
      </c>
      <c r="I914" s="16">
        <v>82.0</v>
      </c>
      <c r="J914" s="11">
        <v>3.0</v>
      </c>
      <c r="K914" s="11" t="str">
        <f t="shared" si="1"/>
        <v>00210041099337823</v>
      </c>
      <c r="L914" s="238">
        <v>562.72</v>
      </c>
      <c r="M914" s="254">
        <v>60115.0</v>
      </c>
      <c r="N914" s="16">
        <v>72.0</v>
      </c>
      <c r="O914" s="17">
        <v>4.0</v>
      </c>
      <c r="P914" s="17">
        <v>59.0</v>
      </c>
      <c r="Q914" s="11">
        <v>9.9665271E7</v>
      </c>
      <c r="R914" s="11">
        <v>1.0</v>
      </c>
      <c r="S914" s="24" t="s">
        <v>29</v>
      </c>
      <c r="T914" s="249" t="s">
        <v>6203</v>
      </c>
      <c r="U914" s="17">
        <v>0.0</v>
      </c>
      <c r="V914" s="16">
        <v>37.0</v>
      </c>
      <c r="W914" s="16">
        <v>87.0</v>
      </c>
      <c r="X914" s="50">
        <v>81615.0</v>
      </c>
      <c r="Y914" s="250">
        <v>9290.0</v>
      </c>
    </row>
    <row r="915">
      <c r="A915" s="11">
        <v>19.0</v>
      </c>
      <c r="B915" s="11">
        <v>38.0</v>
      </c>
      <c r="C915" s="253">
        <v>13.0</v>
      </c>
      <c r="D915" s="235">
        <v>13.0</v>
      </c>
      <c r="E915" s="235">
        <v>13.0</v>
      </c>
      <c r="F915" s="253">
        <v>13.0</v>
      </c>
      <c r="G915" s="235">
        <v>13.0</v>
      </c>
      <c r="H915" s="236">
        <v>2.5242124E7</v>
      </c>
      <c r="I915" s="16">
        <v>68.0</v>
      </c>
      <c r="J915" s="11">
        <v>5.0</v>
      </c>
      <c r="K915" s="11" t="str">
        <f t="shared" si="1"/>
        <v>00130025242124685</v>
      </c>
      <c r="L915" s="238">
        <v>-20788.2</v>
      </c>
      <c r="M915" s="254">
        <v>122213.0</v>
      </c>
      <c r="N915" s="16">
        <v>75.0</v>
      </c>
      <c r="O915" s="17">
        <v>55.0</v>
      </c>
      <c r="P915" s="17">
        <v>18.0</v>
      </c>
      <c r="Q915" s="11">
        <v>3.7660623E7</v>
      </c>
      <c r="R915" s="11">
        <v>4.0</v>
      </c>
      <c r="S915" s="24" t="s">
        <v>39</v>
      </c>
      <c r="T915" s="249" t="s">
        <v>6204</v>
      </c>
      <c r="U915" s="17">
        <v>9.0</v>
      </c>
      <c r="V915" s="16">
        <v>32.0</v>
      </c>
      <c r="W915" s="16">
        <v>51.0</v>
      </c>
      <c r="X915" s="50">
        <v>91720.0</v>
      </c>
      <c r="Y915" s="250">
        <v>4362.0</v>
      </c>
    </row>
    <row r="916">
      <c r="A916" s="11">
        <v>17.0</v>
      </c>
      <c r="B916" s="11">
        <v>99.0</v>
      </c>
      <c r="C916" s="253">
        <v>27.0</v>
      </c>
      <c r="D916" s="235">
        <v>1.0</v>
      </c>
      <c r="E916" s="235">
        <v>1.0</v>
      </c>
      <c r="F916" s="253">
        <v>27.0</v>
      </c>
      <c r="G916" s="235">
        <v>1.0</v>
      </c>
      <c r="H916" s="236">
        <v>5.3666656E7</v>
      </c>
      <c r="I916" s="16">
        <v>70.0</v>
      </c>
      <c r="J916" s="11">
        <v>6.0</v>
      </c>
      <c r="K916" s="11" t="str">
        <f t="shared" si="1"/>
        <v>00010053666656706</v>
      </c>
      <c r="L916" s="238">
        <v>71531.15</v>
      </c>
      <c r="M916" s="254">
        <v>60420.0</v>
      </c>
      <c r="N916" s="16">
        <v>26.0</v>
      </c>
      <c r="O916" s="17">
        <v>41.0</v>
      </c>
      <c r="P916" s="17">
        <v>79.0</v>
      </c>
      <c r="Q916" s="11">
        <v>8.0532762E7</v>
      </c>
      <c r="R916" s="11">
        <v>2.0</v>
      </c>
      <c r="S916" s="24" t="s">
        <v>5292</v>
      </c>
      <c r="T916" s="249" t="s">
        <v>6205</v>
      </c>
      <c r="U916" s="17">
        <v>54.0</v>
      </c>
      <c r="V916" s="16">
        <v>54.0</v>
      </c>
      <c r="W916" s="16">
        <v>47.0</v>
      </c>
      <c r="X916" s="50">
        <v>71415.0</v>
      </c>
      <c r="Y916" s="250">
        <v>110.0</v>
      </c>
    </row>
    <row r="917">
      <c r="A917" s="11">
        <v>18.0</v>
      </c>
      <c r="B917" s="11">
        <v>99.0</v>
      </c>
      <c r="C917" s="253">
        <v>12.0</v>
      </c>
      <c r="D917" s="235">
        <v>129.0</v>
      </c>
      <c r="E917" s="235">
        <v>129.0</v>
      </c>
      <c r="F917" s="253">
        <v>12.0</v>
      </c>
      <c r="G917" s="235">
        <v>129.0</v>
      </c>
      <c r="H917" s="236">
        <v>6.4917449E7</v>
      </c>
      <c r="I917" s="16">
        <v>13.0</v>
      </c>
      <c r="J917" s="11">
        <v>3.0</v>
      </c>
      <c r="K917" s="11" t="str">
        <f t="shared" si="1"/>
        <v>01290064917449133</v>
      </c>
      <c r="L917" s="238">
        <v>-177.96</v>
      </c>
      <c r="M917" s="254">
        <v>62913.0</v>
      </c>
      <c r="N917" s="16">
        <v>18.0</v>
      </c>
      <c r="O917" s="17">
        <v>46.0</v>
      </c>
      <c r="P917" s="17">
        <v>59.0</v>
      </c>
      <c r="Q917" s="11">
        <v>4.2594241E7</v>
      </c>
      <c r="R917" s="11">
        <v>0.0</v>
      </c>
      <c r="S917" s="24" t="s">
        <v>39</v>
      </c>
      <c r="T917" s="249" t="s">
        <v>6206</v>
      </c>
      <c r="U917" s="17">
        <v>11.0</v>
      </c>
      <c r="V917" s="16">
        <v>97.0</v>
      </c>
      <c r="W917" s="16">
        <v>47.0</v>
      </c>
      <c r="X917" s="50">
        <v>30714.0</v>
      </c>
      <c r="Y917" s="250">
        <v>8389.0</v>
      </c>
    </row>
    <row r="918">
      <c r="A918" s="11">
        <v>11.0</v>
      </c>
      <c r="B918" s="11">
        <v>58.0</v>
      </c>
      <c r="C918" s="253">
        <v>1.0</v>
      </c>
      <c r="D918" s="235">
        <v>105.0</v>
      </c>
      <c r="E918" s="235">
        <v>105.0</v>
      </c>
      <c r="F918" s="253">
        <v>1.0</v>
      </c>
      <c r="G918" s="235">
        <v>105.0</v>
      </c>
      <c r="H918" s="236">
        <v>7.7705181E7</v>
      </c>
      <c r="I918" s="16">
        <v>51.0</v>
      </c>
      <c r="J918" s="11">
        <v>6.0</v>
      </c>
      <c r="K918" s="11" t="str">
        <f t="shared" si="1"/>
        <v>01050077705181516</v>
      </c>
      <c r="L918" s="238">
        <v>722.98</v>
      </c>
      <c r="M918" s="254">
        <v>50919.0</v>
      </c>
      <c r="N918" s="16">
        <v>93.0</v>
      </c>
      <c r="O918" s="17">
        <v>36.0</v>
      </c>
      <c r="P918" s="17">
        <v>38.0</v>
      </c>
      <c r="Q918" s="11">
        <v>4.7487054E7</v>
      </c>
      <c r="R918" s="11">
        <v>0.0</v>
      </c>
      <c r="S918" s="24" t="s">
        <v>29</v>
      </c>
      <c r="T918" s="249" t="s">
        <v>6207</v>
      </c>
      <c r="U918" s="17">
        <v>64.0</v>
      </c>
      <c r="V918" s="16">
        <v>71.0</v>
      </c>
      <c r="W918" s="16">
        <v>77.0</v>
      </c>
      <c r="X918" s="50">
        <v>71416.0</v>
      </c>
      <c r="Y918" s="250">
        <v>1447.0</v>
      </c>
    </row>
    <row r="919">
      <c r="A919" s="11">
        <v>18.0</v>
      </c>
      <c r="B919" s="11">
        <v>17.0</v>
      </c>
      <c r="C919" s="253">
        <v>26.0</v>
      </c>
      <c r="D919" s="235">
        <v>115.0</v>
      </c>
      <c r="E919" s="235">
        <v>115.0</v>
      </c>
      <c r="F919" s="253">
        <v>26.0</v>
      </c>
      <c r="G919" s="235">
        <v>115.0</v>
      </c>
      <c r="H919" s="236">
        <v>5.8172716E7</v>
      </c>
      <c r="I919" s="16">
        <v>43.0</v>
      </c>
      <c r="J919" s="11">
        <v>5.0</v>
      </c>
      <c r="K919" s="11" t="str">
        <f t="shared" si="1"/>
        <v>01150058172716435</v>
      </c>
      <c r="L919" s="238">
        <v>-45610.92</v>
      </c>
      <c r="M919" s="254">
        <v>50818.0</v>
      </c>
      <c r="N919" s="16">
        <v>37.0</v>
      </c>
      <c r="O919" s="17">
        <v>47.0</v>
      </c>
      <c r="P919" s="17">
        <v>79.0</v>
      </c>
      <c r="Q919" s="11">
        <v>8.2730513E7</v>
      </c>
      <c r="R919" s="11">
        <v>3.0</v>
      </c>
      <c r="S919" s="24" t="s">
        <v>5292</v>
      </c>
      <c r="T919" s="249" t="s">
        <v>6208</v>
      </c>
      <c r="U919" s="17">
        <v>60.0</v>
      </c>
      <c r="V919" s="16">
        <v>94.0</v>
      </c>
      <c r="W919" s="16">
        <v>18.0</v>
      </c>
      <c r="X919" s="50">
        <v>91315.0</v>
      </c>
      <c r="Y919" s="250">
        <v>5707.0</v>
      </c>
    </row>
    <row r="920">
      <c r="A920" s="11">
        <v>13.0</v>
      </c>
      <c r="B920" s="11">
        <v>58.0</v>
      </c>
      <c r="C920" s="253">
        <v>8.0</v>
      </c>
      <c r="D920" s="235">
        <v>21.0</v>
      </c>
      <c r="E920" s="235">
        <v>21.0</v>
      </c>
      <c r="F920" s="253">
        <v>8.0</v>
      </c>
      <c r="G920" s="235">
        <v>21.0</v>
      </c>
      <c r="H920" s="236">
        <v>8.9066195E7</v>
      </c>
      <c r="I920" s="16">
        <v>53.0</v>
      </c>
      <c r="J920" s="11">
        <v>4.0</v>
      </c>
      <c r="K920" s="11" t="str">
        <f t="shared" si="1"/>
        <v>00210089066195534</v>
      </c>
      <c r="L920" s="238">
        <v>93578.58</v>
      </c>
      <c r="M920" s="254">
        <v>110918.0</v>
      </c>
      <c r="N920" s="16">
        <v>81.0</v>
      </c>
      <c r="O920" s="17">
        <v>35.0</v>
      </c>
      <c r="P920" s="17">
        <v>18.0</v>
      </c>
      <c r="Q920" s="11">
        <v>7.4550085E7</v>
      </c>
      <c r="R920" s="11">
        <v>9.0</v>
      </c>
      <c r="S920" s="24" t="s">
        <v>29</v>
      </c>
      <c r="T920" s="249" t="s">
        <v>6209</v>
      </c>
      <c r="U920" s="17">
        <v>15.0</v>
      </c>
      <c r="V920" s="16">
        <v>90.0</v>
      </c>
      <c r="W920" s="16">
        <v>79.0</v>
      </c>
      <c r="X920" s="50">
        <v>112022.0</v>
      </c>
      <c r="Y920" s="250">
        <v>2099.0</v>
      </c>
    </row>
    <row r="921">
      <c r="A921" s="11">
        <v>16.0</v>
      </c>
      <c r="B921" s="11">
        <v>58.0</v>
      </c>
      <c r="C921" s="253">
        <v>47.0</v>
      </c>
      <c r="D921" s="235">
        <v>21.0</v>
      </c>
      <c r="E921" s="235">
        <v>21.0</v>
      </c>
      <c r="F921" s="253">
        <v>47.0</v>
      </c>
      <c r="G921" s="235">
        <v>21.0</v>
      </c>
      <c r="H921" s="236">
        <v>3.5166518E7</v>
      </c>
      <c r="I921" s="16">
        <v>38.0</v>
      </c>
      <c r="J921" s="11">
        <v>7.0</v>
      </c>
      <c r="K921" s="11" t="str">
        <f t="shared" si="1"/>
        <v>00210035166518387</v>
      </c>
      <c r="L921" s="238">
        <v>912.79</v>
      </c>
      <c r="M921" s="254">
        <v>52622.0</v>
      </c>
      <c r="N921" s="16">
        <v>62.0</v>
      </c>
      <c r="O921" s="17">
        <v>51.0</v>
      </c>
      <c r="P921" s="17">
        <v>79.0</v>
      </c>
      <c r="Q921" s="11">
        <v>5.6122873E7</v>
      </c>
      <c r="R921" s="11">
        <v>5.0</v>
      </c>
      <c r="S921" s="24" t="s">
        <v>39</v>
      </c>
      <c r="T921" s="249" t="s">
        <v>6210</v>
      </c>
      <c r="U921" s="17">
        <v>63.0</v>
      </c>
      <c r="V921" s="16">
        <v>61.0</v>
      </c>
      <c r="W921" s="16">
        <v>48.0</v>
      </c>
      <c r="X921" s="50">
        <v>122221.0</v>
      </c>
      <c r="Y921" s="250">
        <v>9673.0</v>
      </c>
    </row>
    <row r="922">
      <c r="A922" s="11">
        <v>16.0</v>
      </c>
      <c r="B922" s="11">
        <v>79.0</v>
      </c>
      <c r="C922" s="253">
        <v>48.0</v>
      </c>
      <c r="D922" s="235">
        <v>377.0</v>
      </c>
      <c r="E922" s="235">
        <v>377.0</v>
      </c>
      <c r="F922" s="253">
        <v>48.0</v>
      </c>
      <c r="G922" s="235">
        <v>377.0</v>
      </c>
      <c r="H922" s="236">
        <v>7.6548519E7</v>
      </c>
      <c r="I922" s="16">
        <v>43.0</v>
      </c>
      <c r="J922" s="11">
        <v>2.0</v>
      </c>
      <c r="K922" s="11" t="str">
        <f t="shared" si="1"/>
        <v>03770076548519432</v>
      </c>
      <c r="L922" s="238">
        <v>-264.93</v>
      </c>
      <c r="M922" s="254">
        <v>101422.0</v>
      </c>
      <c r="N922" s="16">
        <v>27.0</v>
      </c>
      <c r="O922" s="17">
        <v>13.0</v>
      </c>
      <c r="P922" s="17">
        <v>38.0</v>
      </c>
      <c r="Q922" s="11">
        <v>2.0825763E7</v>
      </c>
      <c r="R922" s="11">
        <v>9.0</v>
      </c>
      <c r="S922" s="24" t="s">
        <v>39</v>
      </c>
      <c r="T922" s="249" t="s">
        <v>6211</v>
      </c>
      <c r="U922" s="17">
        <v>68.0</v>
      </c>
      <c r="V922" s="16">
        <v>84.0</v>
      </c>
      <c r="W922" s="16">
        <v>42.0</v>
      </c>
      <c r="X922" s="50">
        <v>62717.0</v>
      </c>
      <c r="Y922" s="250">
        <v>3789.0</v>
      </c>
    </row>
    <row r="923">
      <c r="A923" s="11">
        <v>19.0</v>
      </c>
      <c r="B923" s="11">
        <v>17.0</v>
      </c>
      <c r="C923" s="253">
        <v>20.0</v>
      </c>
      <c r="D923" s="235">
        <v>167.0</v>
      </c>
      <c r="E923" s="235">
        <v>167.0</v>
      </c>
      <c r="F923" s="253">
        <v>20.0</v>
      </c>
      <c r="G923" s="235">
        <v>167.0</v>
      </c>
      <c r="H923" s="236">
        <v>5.1767901E7</v>
      </c>
      <c r="I923" s="16">
        <v>17.0</v>
      </c>
      <c r="J923" s="11">
        <v>8.0</v>
      </c>
      <c r="K923" s="11" t="str">
        <f t="shared" si="1"/>
        <v>01670051767901178</v>
      </c>
      <c r="L923" s="238">
        <v>66489.39</v>
      </c>
      <c r="M923" s="254">
        <v>40818.0</v>
      </c>
      <c r="N923" s="16">
        <v>21.0</v>
      </c>
      <c r="O923" s="17">
        <v>55.0</v>
      </c>
      <c r="P923" s="17">
        <v>18.0</v>
      </c>
      <c r="Q923" s="11">
        <v>3.4472114E7</v>
      </c>
      <c r="R923" s="11">
        <v>8.0</v>
      </c>
      <c r="S923" s="24" t="s">
        <v>29</v>
      </c>
      <c r="T923" s="249" t="s">
        <v>6212</v>
      </c>
      <c r="U923" s="17">
        <v>23.0</v>
      </c>
      <c r="V923" s="16">
        <v>97.0</v>
      </c>
      <c r="W923" s="16">
        <v>45.0</v>
      </c>
      <c r="X923" s="50">
        <v>61713.0</v>
      </c>
      <c r="Y923" s="250">
        <v>2788.0</v>
      </c>
    </row>
    <row r="924">
      <c r="A924" s="11">
        <v>18.0</v>
      </c>
      <c r="B924" s="11">
        <v>38.0</v>
      </c>
      <c r="C924" s="253">
        <v>42.0</v>
      </c>
      <c r="D924" s="235">
        <v>41.0</v>
      </c>
      <c r="E924" s="235">
        <v>41.0</v>
      </c>
      <c r="F924" s="253">
        <v>42.0</v>
      </c>
      <c r="G924" s="235">
        <v>41.0</v>
      </c>
      <c r="H924" s="236">
        <v>7.9050589E7</v>
      </c>
      <c r="I924" s="16">
        <v>54.0</v>
      </c>
      <c r="J924" s="11">
        <v>3.0</v>
      </c>
      <c r="K924" s="11" t="str">
        <f t="shared" si="1"/>
        <v>00410079050589543</v>
      </c>
      <c r="L924" s="238">
        <v>-79955.35</v>
      </c>
      <c r="M924" s="254">
        <v>80313.0</v>
      </c>
      <c r="N924" s="16">
        <v>28.0</v>
      </c>
      <c r="O924" s="17">
        <v>8.0</v>
      </c>
      <c r="P924" s="17">
        <v>38.0</v>
      </c>
      <c r="Q924" s="11">
        <v>4.7115365E7</v>
      </c>
      <c r="R924" s="11">
        <v>3.0</v>
      </c>
      <c r="S924" s="24" t="s">
        <v>5292</v>
      </c>
      <c r="T924" s="249" t="s">
        <v>6213</v>
      </c>
      <c r="U924" s="17">
        <v>73.0</v>
      </c>
      <c r="V924" s="16">
        <v>42.0</v>
      </c>
      <c r="W924" s="16">
        <v>44.0</v>
      </c>
      <c r="X924" s="50">
        <v>41118.0</v>
      </c>
      <c r="Y924" s="250">
        <v>8407.0</v>
      </c>
    </row>
    <row r="925">
      <c r="A925" s="11">
        <v>17.0</v>
      </c>
      <c r="B925" s="11">
        <v>79.0</v>
      </c>
      <c r="C925" s="253">
        <v>38.0</v>
      </c>
      <c r="D925" s="235">
        <v>25.0</v>
      </c>
      <c r="E925" s="235">
        <v>25.0</v>
      </c>
      <c r="F925" s="253">
        <v>38.0</v>
      </c>
      <c r="G925" s="235">
        <v>25.0</v>
      </c>
      <c r="H925" s="236">
        <v>2.1661973E7</v>
      </c>
      <c r="I925" s="16">
        <v>16.0</v>
      </c>
      <c r="J925" s="11">
        <v>0.0</v>
      </c>
      <c r="K925" s="11" t="str">
        <f t="shared" si="1"/>
        <v>00250021661973160</v>
      </c>
      <c r="L925" s="238">
        <v>691485.22</v>
      </c>
      <c r="M925" s="254">
        <v>60120.0</v>
      </c>
      <c r="N925" s="16">
        <v>65.0</v>
      </c>
      <c r="O925" s="17">
        <v>30.0</v>
      </c>
      <c r="P925" s="17">
        <v>18.0</v>
      </c>
      <c r="Q925" s="11">
        <v>4.7980093E7</v>
      </c>
      <c r="R925" s="11">
        <v>9.0</v>
      </c>
      <c r="S925" s="24" t="s">
        <v>48</v>
      </c>
      <c r="T925" s="249" t="s">
        <v>6214</v>
      </c>
      <c r="U925" s="17">
        <v>31.0</v>
      </c>
      <c r="V925" s="16">
        <v>76.0</v>
      </c>
      <c r="W925" s="16">
        <v>85.0</v>
      </c>
      <c r="X925" s="50">
        <v>52917.0</v>
      </c>
      <c r="Y925" s="250">
        <v>7653.0</v>
      </c>
    </row>
    <row r="926">
      <c r="A926" s="11">
        <v>14.0</v>
      </c>
      <c r="B926" s="11">
        <v>58.0</v>
      </c>
      <c r="C926" s="253">
        <v>35.0</v>
      </c>
      <c r="D926" s="235">
        <v>19.0</v>
      </c>
      <c r="E926" s="235">
        <v>19.0</v>
      </c>
      <c r="F926" s="253">
        <v>35.0</v>
      </c>
      <c r="G926" s="235">
        <v>19.0</v>
      </c>
      <c r="H926" s="236">
        <v>3.4275745E7</v>
      </c>
      <c r="I926" s="16">
        <v>66.0</v>
      </c>
      <c r="J926" s="11">
        <v>5.0</v>
      </c>
      <c r="K926" s="11" t="str">
        <f t="shared" si="1"/>
        <v>00190034275745665</v>
      </c>
      <c r="L926" s="238">
        <v>541.79</v>
      </c>
      <c r="M926" s="254">
        <v>122623.0</v>
      </c>
      <c r="N926" s="16">
        <v>94.0</v>
      </c>
      <c r="O926" s="17">
        <v>2.0</v>
      </c>
      <c r="P926" s="17">
        <v>38.0</v>
      </c>
      <c r="Q926" s="11">
        <v>7.1022098E7</v>
      </c>
      <c r="R926" s="11">
        <v>7.0</v>
      </c>
      <c r="S926" s="24" t="s">
        <v>5292</v>
      </c>
      <c r="T926" s="249" t="s">
        <v>6215</v>
      </c>
      <c r="U926" s="17">
        <v>80.0</v>
      </c>
      <c r="V926" s="16">
        <v>18.0</v>
      </c>
      <c r="W926" s="16">
        <v>86.0</v>
      </c>
      <c r="X926" s="50">
        <v>70320.0</v>
      </c>
      <c r="Y926" s="250">
        <v>9420.0</v>
      </c>
    </row>
    <row r="927">
      <c r="A927" s="11">
        <v>13.0</v>
      </c>
      <c r="B927" s="11">
        <v>38.0</v>
      </c>
      <c r="C927" s="253">
        <v>51.0</v>
      </c>
      <c r="D927" s="235">
        <v>735.0</v>
      </c>
      <c r="E927" s="235">
        <v>735.0</v>
      </c>
      <c r="F927" s="253">
        <v>51.0</v>
      </c>
      <c r="G927" s="235">
        <v>735.0</v>
      </c>
      <c r="H927" s="236">
        <v>8.2793018E7</v>
      </c>
      <c r="I927" s="16">
        <v>50.0</v>
      </c>
      <c r="J927" s="11">
        <v>2.0</v>
      </c>
      <c r="K927" s="11" t="str">
        <f t="shared" si="1"/>
        <v>07350082793018502</v>
      </c>
      <c r="L927" s="238">
        <v>44382.48</v>
      </c>
      <c r="M927" s="254">
        <v>112613.0</v>
      </c>
      <c r="N927" s="16">
        <v>69.0</v>
      </c>
      <c r="O927" s="17">
        <v>16.0</v>
      </c>
      <c r="P927" s="17">
        <v>79.0</v>
      </c>
      <c r="Q927" s="11">
        <v>9.3929693E7</v>
      </c>
      <c r="R927" s="11">
        <v>4.0</v>
      </c>
      <c r="S927" s="24" t="s">
        <v>29</v>
      </c>
      <c r="T927" s="249" t="s">
        <v>6216</v>
      </c>
      <c r="U927" s="17">
        <v>77.0</v>
      </c>
      <c r="V927" s="16">
        <v>40.0</v>
      </c>
      <c r="W927" s="16">
        <v>25.0</v>
      </c>
      <c r="X927" s="50">
        <v>82822.0</v>
      </c>
      <c r="Y927" s="250">
        <v>6430.0</v>
      </c>
    </row>
    <row r="928">
      <c r="A928" s="11">
        <v>18.0</v>
      </c>
      <c r="B928" s="11">
        <v>79.0</v>
      </c>
      <c r="C928" s="253">
        <v>27.0</v>
      </c>
      <c r="D928" s="235">
        <v>67.0</v>
      </c>
      <c r="E928" s="235">
        <v>67.0</v>
      </c>
      <c r="F928" s="253">
        <v>27.0</v>
      </c>
      <c r="G928" s="235">
        <v>67.0</v>
      </c>
      <c r="H928" s="236">
        <v>2.7968041E7</v>
      </c>
      <c r="I928" s="16">
        <v>70.0</v>
      </c>
      <c r="J928" s="11">
        <v>8.0</v>
      </c>
      <c r="K928" s="11" t="str">
        <f t="shared" si="1"/>
        <v>00670027968041708</v>
      </c>
      <c r="L928" s="238">
        <v>588551.11</v>
      </c>
      <c r="M928" s="254">
        <v>62615.0</v>
      </c>
      <c r="N928" s="16">
        <v>72.0</v>
      </c>
      <c r="O928" s="17">
        <v>53.0</v>
      </c>
      <c r="P928" s="17">
        <v>38.0</v>
      </c>
      <c r="Q928" s="11">
        <v>5.9784147E7</v>
      </c>
      <c r="R928" s="11">
        <v>9.0</v>
      </c>
      <c r="S928" s="24" t="s">
        <v>48</v>
      </c>
      <c r="T928" s="249" t="s">
        <v>6217</v>
      </c>
      <c r="U928" s="17">
        <v>81.0</v>
      </c>
      <c r="V928" s="16">
        <v>29.0</v>
      </c>
      <c r="W928" s="16">
        <v>87.0</v>
      </c>
      <c r="X928" s="50">
        <v>82121.0</v>
      </c>
      <c r="Y928" s="250">
        <v>1907.0</v>
      </c>
    </row>
    <row r="929">
      <c r="A929" s="11">
        <v>10.0</v>
      </c>
      <c r="B929" s="11">
        <v>58.0</v>
      </c>
      <c r="C929" s="253">
        <v>5.0</v>
      </c>
      <c r="D929" s="235">
        <v>15.0</v>
      </c>
      <c r="E929" s="235">
        <v>15.0</v>
      </c>
      <c r="F929" s="253">
        <v>5.0</v>
      </c>
      <c r="G929" s="235">
        <v>15.0</v>
      </c>
      <c r="H929" s="236">
        <v>5.8061213E7</v>
      </c>
      <c r="I929" s="16">
        <v>74.0</v>
      </c>
      <c r="J929" s="11">
        <v>1.0</v>
      </c>
      <c r="K929" s="11" t="str">
        <f t="shared" si="1"/>
        <v>00150058061213741</v>
      </c>
      <c r="L929" s="238">
        <v>131.3</v>
      </c>
      <c r="M929" s="254">
        <v>122813.0</v>
      </c>
      <c r="N929" s="16">
        <v>19.0</v>
      </c>
      <c r="O929" s="17">
        <v>31.0</v>
      </c>
      <c r="P929" s="17">
        <v>18.0</v>
      </c>
      <c r="Q929" s="11">
        <v>3.6530273E7</v>
      </c>
      <c r="R929" s="11">
        <v>1.0</v>
      </c>
      <c r="S929" s="24" t="s">
        <v>48</v>
      </c>
      <c r="T929" s="249" t="s">
        <v>6218</v>
      </c>
      <c r="U929" s="17">
        <v>33.0</v>
      </c>
      <c r="V929" s="16">
        <v>14.0</v>
      </c>
      <c r="W929" s="16">
        <v>17.0</v>
      </c>
      <c r="X929" s="50">
        <v>122621.0</v>
      </c>
      <c r="Y929" s="250">
        <v>9242.0</v>
      </c>
    </row>
    <row r="930">
      <c r="A930" s="11">
        <v>19.0</v>
      </c>
      <c r="B930" s="11">
        <v>99.0</v>
      </c>
      <c r="C930" s="253">
        <v>47.0</v>
      </c>
      <c r="D930" s="235">
        <v>95.0</v>
      </c>
      <c r="E930" s="235">
        <v>95.0</v>
      </c>
      <c r="F930" s="253">
        <v>47.0</v>
      </c>
      <c r="G930" s="235">
        <v>95.0</v>
      </c>
      <c r="H930" s="236">
        <v>3.7653122E7</v>
      </c>
      <c r="I930" s="16">
        <v>73.0</v>
      </c>
      <c r="J930" s="11">
        <v>4.0</v>
      </c>
      <c r="K930" s="11" t="str">
        <f t="shared" si="1"/>
        <v>00950037653122734</v>
      </c>
      <c r="L930" s="238">
        <v>731.91</v>
      </c>
      <c r="M930" s="254">
        <v>51516.0</v>
      </c>
      <c r="N930" s="16">
        <v>74.0</v>
      </c>
      <c r="O930" s="17">
        <v>47.0</v>
      </c>
      <c r="P930" s="17">
        <v>38.0</v>
      </c>
      <c r="Q930" s="11">
        <v>1.6761378E7</v>
      </c>
      <c r="R930" s="11">
        <v>6.0</v>
      </c>
      <c r="S930" s="24" t="s">
        <v>39</v>
      </c>
      <c r="T930" s="249" t="s">
        <v>6219</v>
      </c>
      <c r="U930" s="17">
        <v>84.0</v>
      </c>
      <c r="V930" s="16">
        <v>35.0</v>
      </c>
      <c r="W930" s="16">
        <v>20.0</v>
      </c>
      <c r="X930" s="50">
        <v>41713.0</v>
      </c>
      <c r="Y930" s="250">
        <v>1269.0</v>
      </c>
    </row>
    <row r="931">
      <c r="A931" s="11">
        <v>14.0</v>
      </c>
      <c r="B931" s="11">
        <v>58.0</v>
      </c>
      <c r="C931" s="253">
        <v>55.0</v>
      </c>
      <c r="D931" s="235">
        <v>11.0</v>
      </c>
      <c r="E931" s="235">
        <v>11.0</v>
      </c>
      <c r="F931" s="253">
        <v>55.0</v>
      </c>
      <c r="G931" s="235">
        <v>11.0</v>
      </c>
      <c r="H931" s="236">
        <v>7.5723783E7</v>
      </c>
      <c r="I931" s="16">
        <v>50.0</v>
      </c>
      <c r="J931" s="11">
        <v>1.0</v>
      </c>
      <c r="K931" s="11" t="str">
        <f t="shared" si="1"/>
        <v>00110075723783501</v>
      </c>
      <c r="L931" s="238">
        <v>41095.27</v>
      </c>
      <c r="M931" s="254">
        <v>71114.0</v>
      </c>
      <c r="N931" s="16">
        <v>69.0</v>
      </c>
      <c r="O931" s="17">
        <v>34.0</v>
      </c>
      <c r="P931" s="17">
        <v>18.0</v>
      </c>
      <c r="Q931" s="11">
        <v>8.211892E7</v>
      </c>
      <c r="R931" s="11">
        <v>3.0</v>
      </c>
      <c r="S931" s="24" t="s">
        <v>48</v>
      </c>
      <c r="T931" s="249" t="s">
        <v>6220</v>
      </c>
      <c r="U931" s="17">
        <v>35.0</v>
      </c>
      <c r="V931" s="16">
        <v>57.0</v>
      </c>
      <c r="W931" s="16">
        <v>48.0</v>
      </c>
      <c r="X931" s="50">
        <v>31917.0</v>
      </c>
      <c r="Y931" s="250">
        <v>9747.0</v>
      </c>
    </row>
    <row r="932">
      <c r="A932" s="11">
        <v>15.0</v>
      </c>
      <c r="B932" s="11">
        <v>99.0</v>
      </c>
      <c r="C932" s="253">
        <v>37.0</v>
      </c>
      <c r="D932" s="235">
        <v>19.0</v>
      </c>
      <c r="E932" s="235">
        <v>19.0</v>
      </c>
      <c r="F932" s="253">
        <v>37.0</v>
      </c>
      <c r="G932" s="235">
        <v>19.0</v>
      </c>
      <c r="H932" s="236">
        <v>8.1153896E7</v>
      </c>
      <c r="I932" s="16">
        <v>47.0</v>
      </c>
      <c r="J932" s="11">
        <v>9.0</v>
      </c>
      <c r="K932" s="11" t="str">
        <f t="shared" si="1"/>
        <v>00190081153896479</v>
      </c>
      <c r="L932" s="238">
        <v>223.35</v>
      </c>
      <c r="M932" s="254">
        <v>11118.0</v>
      </c>
      <c r="N932" s="16">
        <v>14.0</v>
      </c>
      <c r="O932" s="17">
        <v>50.0</v>
      </c>
      <c r="P932" s="17">
        <v>79.0</v>
      </c>
      <c r="Q932" s="11">
        <v>7.3638108E7</v>
      </c>
      <c r="R932" s="11">
        <v>3.0</v>
      </c>
      <c r="S932" s="24" t="s">
        <v>5292</v>
      </c>
      <c r="T932" s="249" t="s">
        <v>6221</v>
      </c>
      <c r="U932" s="17">
        <v>88.0</v>
      </c>
      <c r="V932" s="16">
        <v>94.0</v>
      </c>
      <c r="W932" s="16">
        <v>6.0</v>
      </c>
      <c r="X932" s="50">
        <v>102218.0</v>
      </c>
      <c r="Y932" s="250">
        <v>7650.0</v>
      </c>
    </row>
    <row r="933">
      <c r="A933" s="11">
        <v>15.0</v>
      </c>
      <c r="B933" s="11">
        <v>38.0</v>
      </c>
      <c r="C933" s="253">
        <v>51.0</v>
      </c>
      <c r="D933" s="235">
        <v>197.0</v>
      </c>
      <c r="E933" s="235">
        <v>197.0</v>
      </c>
      <c r="F933" s="253">
        <v>51.0</v>
      </c>
      <c r="G933" s="235">
        <v>197.0</v>
      </c>
      <c r="H933" s="236">
        <v>7.4743377E7</v>
      </c>
      <c r="I933" s="16">
        <v>57.0</v>
      </c>
      <c r="J933" s="11">
        <v>3.0</v>
      </c>
      <c r="K933" s="11" t="str">
        <f t="shared" si="1"/>
        <v>01970074743377573</v>
      </c>
      <c r="L933" s="238">
        <v>64714.12</v>
      </c>
      <c r="M933" s="254">
        <v>10816.0</v>
      </c>
      <c r="N933" s="16">
        <v>50.0</v>
      </c>
      <c r="O933" s="17">
        <v>22.0</v>
      </c>
      <c r="P933" s="17">
        <v>18.0</v>
      </c>
      <c r="Q933" s="11">
        <v>9.1344612E7</v>
      </c>
      <c r="R933" s="11">
        <v>2.0</v>
      </c>
      <c r="S933" s="24" t="s">
        <v>29</v>
      </c>
      <c r="T933" s="249" t="s">
        <v>6222</v>
      </c>
      <c r="U933" s="17">
        <v>52.0</v>
      </c>
      <c r="V933" s="16">
        <v>18.0</v>
      </c>
      <c r="W933" s="16">
        <v>35.0</v>
      </c>
      <c r="X933" s="50">
        <v>122315.0</v>
      </c>
      <c r="Y933" s="250">
        <v>5110.0</v>
      </c>
    </row>
    <row r="934">
      <c r="A934" s="11">
        <v>10.0</v>
      </c>
      <c r="B934" s="11">
        <v>38.0</v>
      </c>
      <c r="C934" s="253">
        <v>22.0</v>
      </c>
      <c r="D934" s="235">
        <v>49.0</v>
      </c>
      <c r="E934" s="235">
        <v>49.0</v>
      </c>
      <c r="F934" s="253">
        <v>22.0</v>
      </c>
      <c r="G934" s="235">
        <v>49.0</v>
      </c>
      <c r="H934" s="236">
        <v>2.7103068E7</v>
      </c>
      <c r="I934" s="16">
        <v>51.0</v>
      </c>
      <c r="J934" s="11">
        <v>7.0</v>
      </c>
      <c r="K934" s="11" t="str">
        <f t="shared" si="1"/>
        <v>00490027103068517</v>
      </c>
      <c r="L934" s="238">
        <v>5324.7</v>
      </c>
      <c r="M934" s="254">
        <v>50517.0</v>
      </c>
      <c r="N934" s="16">
        <v>97.0</v>
      </c>
      <c r="O934" s="17">
        <v>12.0</v>
      </c>
      <c r="P934" s="17">
        <v>59.0</v>
      </c>
      <c r="Q934" s="11">
        <v>8.1228695E7</v>
      </c>
      <c r="R934" s="11">
        <v>3.0</v>
      </c>
      <c r="S934" s="24" t="s">
        <v>48</v>
      </c>
      <c r="T934" s="249" t="s">
        <v>6223</v>
      </c>
      <c r="U934" s="17">
        <v>58.0</v>
      </c>
      <c r="V934" s="16">
        <v>83.0</v>
      </c>
      <c r="W934" s="16">
        <v>81.0</v>
      </c>
      <c r="X934" s="50">
        <v>120814.0</v>
      </c>
      <c r="Y934" s="250">
        <v>4127.0</v>
      </c>
    </row>
    <row r="935">
      <c r="A935" s="11">
        <v>15.0</v>
      </c>
      <c r="B935" s="11">
        <v>18.0</v>
      </c>
      <c r="C935" s="253">
        <v>17.0</v>
      </c>
      <c r="D935" s="235">
        <v>125.0</v>
      </c>
      <c r="E935" s="235">
        <v>125.0</v>
      </c>
      <c r="F935" s="253">
        <v>17.0</v>
      </c>
      <c r="G935" s="235">
        <v>125.0</v>
      </c>
      <c r="H935" s="236">
        <v>8.8347631E7</v>
      </c>
      <c r="I935" s="16">
        <v>73.0</v>
      </c>
      <c r="J935" s="11">
        <v>0.0</v>
      </c>
      <c r="K935" s="11" t="str">
        <f t="shared" si="1"/>
        <v>01250088347631730</v>
      </c>
      <c r="L935" s="238">
        <v>114.2</v>
      </c>
      <c r="M935" s="254">
        <v>80922.0</v>
      </c>
      <c r="N935" s="16">
        <v>63.0</v>
      </c>
      <c r="O935" s="17">
        <v>49.0</v>
      </c>
      <c r="P935" s="17">
        <v>39.0</v>
      </c>
      <c r="Q935" s="11">
        <v>4.5266934E7</v>
      </c>
      <c r="R935" s="11">
        <v>6.0</v>
      </c>
      <c r="S935" s="24" t="s">
        <v>29</v>
      </c>
      <c r="T935" s="249" t="s">
        <v>6224</v>
      </c>
      <c r="U935" s="17">
        <v>11.0</v>
      </c>
      <c r="V935" s="16">
        <v>81.0</v>
      </c>
      <c r="W935" s="16">
        <v>10.0</v>
      </c>
      <c r="X935" s="50">
        <v>20817.0</v>
      </c>
      <c r="Y935" s="250">
        <v>7626.0</v>
      </c>
    </row>
    <row r="936">
      <c r="A936" s="11">
        <v>11.0</v>
      </c>
      <c r="B936" s="11">
        <v>18.0</v>
      </c>
      <c r="C936" s="253">
        <v>39.0</v>
      </c>
      <c r="D936" s="235">
        <v>9.0</v>
      </c>
      <c r="E936" s="235">
        <v>9.0</v>
      </c>
      <c r="F936" s="253">
        <v>39.0</v>
      </c>
      <c r="G936" s="235">
        <v>9.0</v>
      </c>
      <c r="H936" s="236">
        <v>7.4229098E7</v>
      </c>
      <c r="I936" s="16">
        <v>40.0</v>
      </c>
      <c r="J936" s="11">
        <v>1.0</v>
      </c>
      <c r="K936" s="11" t="str">
        <f t="shared" si="1"/>
        <v>00090074229098401</v>
      </c>
      <c r="L936" s="238">
        <v>9150.41</v>
      </c>
      <c r="M936" s="254">
        <v>22816.0</v>
      </c>
      <c r="N936" s="16">
        <v>88.0</v>
      </c>
      <c r="O936" s="17">
        <v>29.0</v>
      </c>
      <c r="P936" s="17">
        <v>39.0</v>
      </c>
      <c r="Q936" s="11">
        <v>4.6387513E7</v>
      </c>
      <c r="R936" s="11">
        <v>9.0</v>
      </c>
      <c r="S936" s="24" t="s">
        <v>39</v>
      </c>
      <c r="T936" s="249" t="s">
        <v>6225</v>
      </c>
      <c r="U936" s="17">
        <v>12.0</v>
      </c>
      <c r="V936" s="16">
        <v>1.0</v>
      </c>
      <c r="W936" s="16">
        <v>35.0</v>
      </c>
      <c r="X936" s="50">
        <v>31315.0</v>
      </c>
      <c r="Y936" s="250">
        <v>5778.0</v>
      </c>
    </row>
    <row r="937">
      <c r="A937" s="11">
        <v>10.0</v>
      </c>
      <c r="B937" s="11">
        <v>79.0</v>
      </c>
      <c r="C937" s="253">
        <v>47.0</v>
      </c>
      <c r="D937" s="235">
        <v>167.0</v>
      </c>
      <c r="E937" s="235">
        <v>167.0</v>
      </c>
      <c r="F937" s="253">
        <v>47.0</v>
      </c>
      <c r="G937" s="235">
        <v>167.0</v>
      </c>
      <c r="H937" s="236">
        <v>7.6265288E7</v>
      </c>
      <c r="I937" s="16">
        <v>49.0</v>
      </c>
      <c r="J937" s="11">
        <v>8.0</v>
      </c>
      <c r="K937" s="11" t="str">
        <f t="shared" si="1"/>
        <v>01670076265288498</v>
      </c>
      <c r="L937" s="238">
        <v>64881.33</v>
      </c>
      <c r="M937" s="254">
        <v>11017.0</v>
      </c>
      <c r="N937" s="16">
        <v>15.0</v>
      </c>
      <c r="O937" s="17">
        <v>50.0</v>
      </c>
      <c r="P937" s="17">
        <v>39.0</v>
      </c>
      <c r="Q937" s="11">
        <v>5.8711667E7</v>
      </c>
      <c r="R937" s="11">
        <v>6.0</v>
      </c>
      <c r="S937" s="24" t="s">
        <v>48</v>
      </c>
      <c r="T937" s="249" t="s">
        <v>6226</v>
      </c>
      <c r="U937" s="17">
        <v>10.0</v>
      </c>
      <c r="V937" s="16">
        <v>86.0</v>
      </c>
      <c r="W937" s="16">
        <v>99.0</v>
      </c>
      <c r="X937" s="50">
        <v>111014.0</v>
      </c>
      <c r="Y937" s="250">
        <v>9255.0</v>
      </c>
    </row>
    <row r="938">
      <c r="A938" s="11">
        <v>19.0</v>
      </c>
      <c r="B938" s="11">
        <v>59.0</v>
      </c>
      <c r="C938" s="253">
        <v>19.0</v>
      </c>
      <c r="D938" s="235">
        <v>19.0</v>
      </c>
      <c r="E938" s="235">
        <v>19.0</v>
      </c>
      <c r="F938" s="253">
        <v>19.0</v>
      </c>
      <c r="G938" s="235">
        <v>19.0</v>
      </c>
      <c r="H938" s="236">
        <v>2.1507315E7</v>
      </c>
      <c r="I938" s="16">
        <v>31.0</v>
      </c>
      <c r="J938" s="11">
        <v>0.0</v>
      </c>
      <c r="K938" s="11" t="str">
        <f t="shared" si="1"/>
        <v>00190021507315310</v>
      </c>
      <c r="L938" s="238">
        <v>450227.61</v>
      </c>
      <c r="M938" s="254">
        <v>22820.0</v>
      </c>
      <c r="N938" s="16">
        <v>82.0</v>
      </c>
      <c r="O938" s="17">
        <v>24.0</v>
      </c>
      <c r="P938" s="17">
        <v>18.0</v>
      </c>
      <c r="Q938" s="11">
        <v>9.9785115E7</v>
      </c>
      <c r="R938" s="11">
        <v>5.0</v>
      </c>
      <c r="S938" s="24" t="s">
        <v>39</v>
      </c>
      <c r="T938" s="249" t="s">
        <v>6227</v>
      </c>
      <c r="U938" s="17">
        <v>66.0</v>
      </c>
      <c r="V938" s="16">
        <v>83.0</v>
      </c>
      <c r="W938" s="16">
        <v>28.0</v>
      </c>
      <c r="X938" s="50">
        <v>32017.0</v>
      </c>
      <c r="Y938" s="250">
        <v>439.0</v>
      </c>
    </row>
    <row r="939">
      <c r="A939" s="11">
        <v>16.0</v>
      </c>
      <c r="B939" s="11">
        <v>38.0</v>
      </c>
      <c r="C939" s="253">
        <v>55.0</v>
      </c>
      <c r="D939" s="235">
        <v>65.0</v>
      </c>
      <c r="E939" s="235">
        <v>65.0</v>
      </c>
      <c r="F939" s="253">
        <v>55.0</v>
      </c>
      <c r="G939" s="235">
        <v>65.0</v>
      </c>
      <c r="H939" s="236">
        <v>7.1597906E7</v>
      </c>
      <c r="I939" s="16">
        <v>41.0</v>
      </c>
      <c r="J939" s="11">
        <v>6.0</v>
      </c>
      <c r="K939" s="11" t="str">
        <f t="shared" si="1"/>
        <v>00650071597906416</v>
      </c>
      <c r="L939" s="238">
        <v>162.7</v>
      </c>
      <c r="M939" s="254">
        <v>22420.0</v>
      </c>
      <c r="N939" s="16">
        <v>14.0</v>
      </c>
      <c r="O939" s="17">
        <v>17.0</v>
      </c>
      <c r="P939" s="17">
        <v>39.0</v>
      </c>
      <c r="Q939" s="11">
        <v>2.9486045E7</v>
      </c>
      <c r="R939" s="11">
        <v>4.0</v>
      </c>
      <c r="S939" s="24" t="s">
        <v>29</v>
      </c>
      <c r="T939" s="249" t="s">
        <v>6228</v>
      </c>
      <c r="U939" s="17">
        <v>17.0</v>
      </c>
      <c r="V939" s="16">
        <v>8.0</v>
      </c>
      <c r="W939" s="16">
        <v>77.0</v>
      </c>
      <c r="X939" s="50">
        <v>121520.0</v>
      </c>
      <c r="Y939" s="250">
        <v>906.0</v>
      </c>
    </row>
    <row r="940">
      <c r="A940" s="11">
        <v>13.0</v>
      </c>
      <c r="B940" s="11">
        <v>38.0</v>
      </c>
      <c r="C940" s="253">
        <v>16.0</v>
      </c>
      <c r="D940" s="235">
        <v>1.0</v>
      </c>
      <c r="E940" s="235">
        <v>1.0</v>
      </c>
      <c r="F940" s="253">
        <v>16.0</v>
      </c>
      <c r="G940" s="235">
        <v>1.0</v>
      </c>
      <c r="H940" s="236">
        <v>6.0282055E7</v>
      </c>
      <c r="I940" s="16">
        <v>64.0</v>
      </c>
      <c r="J940" s="11">
        <v>0.0</v>
      </c>
      <c r="K940" s="11" t="str">
        <f t="shared" si="1"/>
        <v>00010060282055640</v>
      </c>
      <c r="L940" s="238">
        <v>-29426.8</v>
      </c>
      <c r="M940" s="254">
        <v>102018.0</v>
      </c>
      <c r="N940" s="16">
        <v>31.0</v>
      </c>
      <c r="O940" s="17">
        <v>16.0</v>
      </c>
      <c r="P940" s="17">
        <v>80.0</v>
      </c>
      <c r="Q940" s="11">
        <v>1.1575991E7</v>
      </c>
      <c r="R940" s="11">
        <v>0.0</v>
      </c>
      <c r="S940" s="24" t="s">
        <v>39</v>
      </c>
      <c r="T940" s="249" t="s">
        <v>6229</v>
      </c>
      <c r="U940" s="17">
        <v>15.0</v>
      </c>
      <c r="V940" s="16">
        <v>61.0</v>
      </c>
      <c r="W940" s="16">
        <v>41.0</v>
      </c>
      <c r="X940" s="50">
        <v>121013.0</v>
      </c>
      <c r="Y940" s="250">
        <v>6317.0</v>
      </c>
    </row>
    <row r="941">
      <c r="A941" s="11">
        <v>14.0</v>
      </c>
      <c r="B941" s="11">
        <v>79.0</v>
      </c>
      <c r="C941" s="253">
        <v>13.0</v>
      </c>
      <c r="D941" s="235">
        <v>77.0</v>
      </c>
      <c r="E941" s="235">
        <v>77.0</v>
      </c>
      <c r="F941" s="253">
        <v>13.0</v>
      </c>
      <c r="G941" s="235">
        <v>77.0</v>
      </c>
      <c r="H941" s="236">
        <v>8.2282125E7</v>
      </c>
      <c r="I941" s="16">
        <v>53.0</v>
      </c>
      <c r="J941" s="11">
        <v>9.0</v>
      </c>
      <c r="K941" s="11" t="str">
        <f t="shared" si="1"/>
        <v>00770082282125539</v>
      </c>
      <c r="L941" s="238">
        <v>8356.96</v>
      </c>
      <c r="M941" s="254">
        <v>21219.0</v>
      </c>
      <c r="N941" s="16">
        <v>54.0</v>
      </c>
      <c r="O941" s="17">
        <v>54.0</v>
      </c>
      <c r="P941" s="17">
        <v>80.0</v>
      </c>
      <c r="Q941" s="11">
        <v>6.1278067E7</v>
      </c>
      <c r="R941" s="11">
        <v>9.0</v>
      </c>
      <c r="S941" s="24" t="s">
        <v>39</v>
      </c>
      <c r="T941" s="249" t="s">
        <v>6230</v>
      </c>
      <c r="U941" s="17">
        <v>20.0</v>
      </c>
      <c r="V941" s="16">
        <v>15.0</v>
      </c>
      <c r="W941" s="16">
        <v>22.0</v>
      </c>
      <c r="X941" s="50">
        <v>12013.0</v>
      </c>
      <c r="Y941" s="250">
        <v>987.0</v>
      </c>
    </row>
    <row r="942">
      <c r="A942" s="11">
        <v>14.0</v>
      </c>
      <c r="B942" s="11">
        <v>59.0</v>
      </c>
      <c r="C942" s="253">
        <v>22.0</v>
      </c>
      <c r="D942" s="235">
        <v>19.0</v>
      </c>
      <c r="E942" s="235">
        <v>19.0</v>
      </c>
      <c r="F942" s="253">
        <v>22.0</v>
      </c>
      <c r="G942" s="235">
        <v>19.0</v>
      </c>
      <c r="H942" s="236">
        <v>8.7011774E7</v>
      </c>
      <c r="I942" s="16">
        <v>72.0</v>
      </c>
      <c r="J942" s="11">
        <v>1.0</v>
      </c>
      <c r="K942" s="11" t="str">
        <f t="shared" si="1"/>
        <v>00190087011774721</v>
      </c>
      <c r="L942" s="238">
        <v>567.57</v>
      </c>
      <c r="M942" s="254">
        <v>71913.0</v>
      </c>
      <c r="N942" s="16">
        <v>49.0</v>
      </c>
      <c r="O942" s="17">
        <v>51.0</v>
      </c>
      <c r="P942" s="17">
        <v>18.0</v>
      </c>
      <c r="Q942" s="11">
        <v>4.0900576E7</v>
      </c>
      <c r="R942" s="11">
        <v>5.0</v>
      </c>
      <c r="S942" s="24" t="s">
        <v>29</v>
      </c>
      <c r="T942" s="249" t="s">
        <v>6231</v>
      </c>
      <c r="U942" s="17">
        <v>80.0</v>
      </c>
      <c r="V942" s="16">
        <v>44.0</v>
      </c>
      <c r="W942" s="16">
        <v>69.0</v>
      </c>
      <c r="X942" s="50">
        <v>71217.0</v>
      </c>
      <c r="Y942" s="250">
        <v>3097.0</v>
      </c>
    </row>
    <row r="943">
      <c r="A943" s="11">
        <v>19.0</v>
      </c>
      <c r="B943" s="11">
        <v>59.0</v>
      </c>
      <c r="C943" s="253">
        <v>46.0</v>
      </c>
      <c r="D943" s="235">
        <v>117.0</v>
      </c>
      <c r="E943" s="235">
        <v>117.0</v>
      </c>
      <c r="F943" s="253">
        <v>46.0</v>
      </c>
      <c r="G943" s="235">
        <v>117.0</v>
      </c>
      <c r="H943" s="236">
        <v>7.5911949E7</v>
      </c>
      <c r="I943" s="16">
        <v>99.0</v>
      </c>
      <c r="J943" s="11">
        <v>1.0</v>
      </c>
      <c r="K943" s="11" t="str">
        <f t="shared" si="1"/>
        <v>01170075911949991</v>
      </c>
      <c r="L943" s="238">
        <v>67914.26</v>
      </c>
      <c r="M943" s="254">
        <v>112623.0</v>
      </c>
      <c r="N943" s="16">
        <v>32.0</v>
      </c>
      <c r="O943" s="17">
        <v>20.0</v>
      </c>
      <c r="P943" s="17">
        <v>59.0</v>
      </c>
      <c r="Q943" s="11">
        <v>7.064928E7</v>
      </c>
      <c r="R943" s="11">
        <v>1.0</v>
      </c>
      <c r="S943" s="24" t="s">
        <v>48</v>
      </c>
      <c r="T943" s="249" t="s">
        <v>6232</v>
      </c>
      <c r="U943" s="17">
        <v>76.0</v>
      </c>
      <c r="V943" s="16">
        <v>16.0</v>
      </c>
      <c r="W943" s="16">
        <v>76.0</v>
      </c>
      <c r="X943" s="50">
        <v>110516.0</v>
      </c>
      <c r="Y943" s="250">
        <v>2055.0</v>
      </c>
    </row>
    <row r="944">
      <c r="A944" s="11">
        <v>16.0</v>
      </c>
      <c r="B944" s="11">
        <v>38.0</v>
      </c>
      <c r="C944" s="253">
        <v>13.0</v>
      </c>
      <c r="D944" s="235">
        <v>199.0</v>
      </c>
      <c r="E944" s="235">
        <v>199.0</v>
      </c>
      <c r="F944" s="253">
        <v>13.0</v>
      </c>
      <c r="G944" s="235">
        <v>199.0</v>
      </c>
      <c r="H944" s="236">
        <v>9.4271502E7</v>
      </c>
      <c r="I944" s="16">
        <v>74.0</v>
      </c>
      <c r="J944" s="11">
        <v>7.0</v>
      </c>
      <c r="K944" s="11" t="str">
        <f t="shared" si="1"/>
        <v>01990094271502747</v>
      </c>
      <c r="L944" s="238">
        <v>31369.71</v>
      </c>
      <c r="M944" s="254">
        <v>51616.0</v>
      </c>
      <c r="N944" s="16">
        <v>8.0</v>
      </c>
      <c r="O944" s="17">
        <v>5.0</v>
      </c>
      <c r="P944" s="17">
        <v>59.0</v>
      </c>
      <c r="Q944" s="11">
        <v>4.722027E7</v>
      </c>
      <c r="R944" s="11">
        <v>7.0</v>
      </c>
      <c r="S944" s="24" t="s">
        <v>29</v>
      </c>
      <c r="T944" s="249" t="s">
        <v>6233</v>
      </c>
      <c r="U944" s="17">
        <v>78.0</v>
      </c>
      <c r="V944" s="16">
        <v>42.0</v>
      </c>
      <c r="W944" s="16">
        <v>15.0</v>
      </c>
      <c r="X944" s="50">
        <v>110922.0</v>
      </c>
      <c r="Y944" s="250">
        <v>5142.0</v>
      </c>
    </row>
    <row r="945">
      <c r="A945" s="11">
        <v>13.0</v>
      </c>
      <c r="B945" s="11">
        <v>79.0</v>
      </c>
      <c r="C945" s="253">
        <v>31.0</v>
      </c>
      <c r="D945" s="235">
        <v>39.0</v>
      </c>
      <c r="E945" s="235">
        <v>39.0</v>
      </c>
      <c r="F945" s="253">
        <v>31.0</v>
      </c>
      <c r="G945" s="235">
        <v>39.0</v>
      </c>
      <c r="H945" s="236">
        <v>6.1738848E7</v>
      </c>
      <c r="I945" s="16">
        <v>31.0</v>
      </c>
      <c r="J945" s="11">
        <v>2.0</v>
      </c>
      <c r="K945" s="11" t="str">
        <f t="shared" si="1"/>
        <v>00390061738848312</v>
      </c>
      <c r="L945" s="238">
        <v>7196.29</v>
      </c>
      <c r="M945" s="254">
        <v>40614.0</v>
      </c>
      <c r="N945" s="16">
        <v>88.0</v>
      </c>
      <c r="O945" s="17">
        <v>31.0</v>
      </c>
      <c r="P945" s="17">
        <v>18.0</v>
      </c>
      <c r="Q945" s="11">
        <v>3.3863756E7</v>
      </c>
      <c r="R945" s="11">
        <v>6.0</v>
      </c>
      <c r="S945" s="24" t="s">
        <v>29</v>
      </c>
      <c r="T945" s="249" t="s">
        <v>6234</v>
      </c>
      <c r="U945" s="17">
        <v>83.0</v>
      </c>
      <c r="V945" s="16">
        <v>70.0</v>
      </c>
      <c r="W945" s="16">
        <v>94.0</v>
      </c>
      <c r="X945" s="50">
        <v>20819.0</v>
      </c>
      <c r="Y945" s="250">
        <v>754.0</v>
      </c>
    </row>
    <row r="946">
      <c r="A946" s="11">
        <v>20.0</v>
      </c>
      <c r="B946" s="11">
        <v>59.0</v>
      </c>
      <c r="C946" s="253">
        <v>29.0</v>
      </c>
      <c r="D946" s="235">
        <v>131.0</v>
      </c>
      <c r="E946" s="235">
        <v>131.0</v>
      </c>
      <c r="F946" s="253">
        <v>29.0</v>
      </c>
      <c r="G946" s="235">
        <v>131.0</v>
      </c>
      <c r="H946" s="236">
        <v>1.8091316E7</v>
      </c>
      <c r="I946" s="16">
        <v>53.0</v>
      </c>
      <c r="J946" s="11">
        <v>8.0</v>
      </c>
      <c r="K946" s="11" t="str">
        <f t="shared" si="1"/>
        <v>01310018091316538</v>
      </c>
      <c r="L946" s="238">
        <v>422312.8</v>
      </c>
      <c r="M946" s="254">
        <v>62814.0</v>
      </c>
      <c r="N946" s="16">
        <v>55.0</v>
      </c>
      <c r="O946" s="17">
        <v>19.0</v>
      </c>
      <c r="P946" s="17">
        <v>59.0</v>
      </c>
      <c r="Q946" s="11">
        <v>6.1788432E7</v>
      </c>
      <c r="R946" s="11">
        <v>9.0</v>
      </c>
      <c r="S946" s="24" t="s">
        <v>48</v>
      </c>
      <c r="T946" s="249" t="s">
        <v>6235</v>
      </c>
      <c r="U946" s="17">
        <v>82.0</v>
      </c>
      <c r="V946" s="16">
        <v>32.0</v>
      </c>
      <c r="W946" s="16">
        <v>73.0</v>
      </c>
      <c r="X946" s="50">
        <v>62213.0</v>
      </c>
      <c r="Y946" s="250">
        <v>2807.0</v>
      </c>
    </row>
    <row r="947">
      <c r="A947" s="11">
        <v>11.0</v>
      </c>
      <c r="B947" s="11">
        <v>18.0</v>
      </c>
      <c r="C947" s="253">
        <v>8.0</v>
      </c>
      <c r="D947" s="235">
        <v>67.0</v>
      </c>
      <c r="E947" s="235">
        <v>67.0</v>
      </c>
      <c r="F947" s="253">
        <v>8.0</v>
      </c>
      <c r="G947" s="235">
        <v>67.0</v>
      </c>
      <c r="H947" s="236">
        <v>9.0566343E7</v>
      </c>
      <c r="I947" s="16">
        <v>9.0</v>
      </c>
      <c r="J947" s="11">
        <v>9.0</v>
      </c>
      <c r="K947" s="11" t="str">
        <f t="shared" si="1"/>
        <v>00670090566343099</v>
      </c>
      <c r="L947" s="238">
        <v>987279.82</v>
      </c>
      <c r="M947" s="254">
        <v>10117.0</v>
      </c>
      <c r="N947" s="16">
        <v>15.0</v>
      </c>
      <c r="O947" s="17">
        <v>29.0</v>
      </c>
      <c r="P947" s="17">
        <v>59.0</v>
      </c>
      <c r="Q947" s="11">
        <v>9.6383672E7</v>
      </c>
      <c r="R947" s="11">
        <v>6.0</v>
      </c>
      <c r="S947" s="24" t="s">
        <v>5292</v>
      </c>
      <c r="T947" s="249" t="s">
        <v>6236</v>
      </c>
      <c r="U947" s="17">
        <v>92.0</v>
      </c>
      <c r="V947" s="16">
        <v>21.0</v>
      </c>
      <c r="W947" s="16">
        <v>38.0</v>
      </c>
      <c r="X947" s="50">
        <v>22920.0</v>
      </c>
      <c r="Y947" s="250">
        <v>8846.0</v>
      </c>
    </row>
    <row r="948">
      <c r="A948" s="11">
        <v>18.0</v>
      </c>
      <c r="B948" s="11">
        <v>38.0</v>
      </c>
      <c r="C948" s="253">
        <v>13.0</v>
      </c>
      <c r="D948" s="235">
        <v>229.0</v>
      </c>
      <c r="E948" s="235">
        <v>229.0</v>
      </c>
      <c r="F948" s="253">
        <v>13.0</v>
      </c>
      <c r="G948" s="235">
        <v>229.0</v>
      </c>
      <c r="H948" s="236">
        <v>4.8661586E7</v>
      </c>
      <c r="I948" s="16">
        <v>92.0</v>
      </c>
      <c r="J948" s="11">
        <v>2.0</v>
      </c>
      <c r="K948" s="11" t="str">
        <f t="shared" si="1"/>
        <v>02290048661586922</v>
      </c>
      <c r="L948" s="238">
        <v>505686.38</v>
      </c>
      <c r="M948" s="254">
        <v>112716.0</v>
      </c>
      <c r="N948" s="16">
        <v>16.0</v>
      </c>
      <c r="O948" s="17">
        <v>22.0</v>
      </c>
      <c r="P948" s="17">
        <v>59.0</v>
      </c>
      <c r="Q948" s="11">
        <v>2.5108966E7</v>
      </c>
      <c r="R948" s="11">
        <v>4.0</v>
      </c>
      <c r="S948" s="24" t="s">
        <v>48</v>
      </c>
      <c r="T948" s="249" t="s">
        <v>6237</v>
      </c>
      <c r="U948" s="17">
        <v>93.0</v>
      </c>
      <c r="V948" s="16">
        <v>27.0</v>
      </c>
      <c r="W948" s="16">
        <v>32.0</v>
      </c>
      <c r="X948" s="50">
        <v>110918.0</v>
      </c>
      <c r="Y948" s="250">
        <v>7784.0</v>
      </c>
    </row>
    <row r="949">
      <c r="A949" s="11">
        <v>15.0</v>
      </c>
      <c r="B949" s="11">
        <v>59.0</v>
      </c>
      <c r="C949" s="253">
        <v>31.0</v>
      </c>
      <c r="D949" s="235">
        <v>27.0</v>
      </c>
      <c r="E949" s="235">
        <v>27.0</v>
      </c>
      <c r="F949" s="253">
        <v>31.0</v>
      </c>
      <c r="G949" s="235">
        <v>27.0</v>
      </c>
      <c r="H949" s="236">
        <v>3.5684224E7</v>
      </c>
      <c r="I949" s="16">
        <v>44.0</v>
      </c>
      <c r="J949" s="11">
        <v>5.0</v>
      </c>
      <c r="K949" s="11" t="str">
        <f t="shared" si="1"/>
        <v>00270035684224445</v>
      </c>
      <c r="L949" s="238">
        <v>677161.37</v>
      </c>
      <c r="M949" s="254">
        <v>81813.0</v>
      </c>
      <c r="N949" s="16">
        <v>15.0</v>
      </c>
      <c r="O949" s="17">
        <v>15.0</v>
      </c>
      <c r="P949" s="17">
        <v>80.0</v>
      </c>
      <c r="Q949" s="11">
        <v>1.4287155E7</v>
      </c>
      <c r="R949" s="11">
        <v>0.0</v>
      </c>
      <c r="S949" s="24" t="s">
        <v>5292</v>
      </c>
      <c r="T949" s="249" t="s">
        <v>6238</v>
      </c>
      <c r="U949" s="17">
        <v>42.0</v>
      </c>
      <c r="V949" s="16">
        <v>16.0</v>
      </c>
      <c r="W949" s="16">
        <v>59.0</v>
      </c>
      <c r="X949" s="50">
        <v>101022.0</v>
      </c>
      <c r="Y949" s="250">
        <v>9167.0</v>
      </c>
    </row>
    <row r="950">
      <c r="A950" s="11">
        <v>13.0</v>
      </c>
      <c r="B950" s="11">
        <v>59.0</v>
      </c>
      <c r="C950" s="253">
        <v>54.0</v>
      </c>
      <c r="D950" s="235">
        <v>31.0</v>
      </c>
      <c r="E950" s="235">
        <v>31.0</v>
      </c>
      <c r="F950" s="253">
        <v>54.0</v>
      </c>
      <c r="G950" s="235">
        <v>31.0</v>
      </c>
      <c r="H950" s="236">
        <v>2.4349299E7</v>
      </c>
      <c r="I950" s="16">
        <v>34.0</v>
      </c>
      <c r="J950" s="11">
        <v>0.0</v>
      </c>
      <c r="K950" s="11" t="str">
        <f t="shared" si="1"/>
        <v>00310024349299340</v>
      </c>
      <c r="L950" s="238">
        <v>9835.69</v>
      </c>
      <c r="M950" s="254">
        <v>91618.0</v>
      </c>
      <c r="N950" s="16">
        <v>12.0</v>
      </c>
      <c r="O950" s="17">
        <v>46.0</v>
      </c>
      <c r="P950" s="17">
        <v>59.0</v>
      </c>
      <c r="Q950" s="11">
        <v>5.6407474E7</v>
      </c>
      <c r="R950" s="11">
        <v>9.0</v>
      </c>
      <c r="S950" s="24" t="s">
        <v>48</v>
      </c>
      <c r="T950" s="249" t="s">
        <v>6239</v>
      </c>
      <c r="U950" s="17">
        <v>95.0</v>
      </c>
      <c r="V950" s="16">
        <v>7.0</v>
      </c>
      <c r="W950" s="16">
        <v>28.0</v>
      </c>
      <c r="X950" s="50">
        <v>60218.0</v>
      </c>
      <c r="Y950" s="250">
        <v>3091.0</v>
      </c>
    </row>
    <row r="951">
      <c r="A951" s="11">
        <v>18.0</v>
      </c>
      <c r="B951" s="11">
        <v>59.0</v>
      </c>
      <c r="C951" s="253">
        <v>6.0</v>
      </c>
      <c r="D951" s="235">
        <v>61.0</v>
      </c>
      <c r="E951" s="235">
        <v>61.0</v>
      </c>
      <c r="F951" s="253">
        <v>6.0</v>
      </c>
      <c r="G951" s="235">
        <v>61.0</v>
      </c>
      <c r="H951" s="236">
        <v>7.1460698E7</v>
      </c>
      <c r="I951" s="16">
        <v>81.0</v>
      </c>
      <c r="J951" s="11">
        <v>2.0</v>
      </c>
      <c r="K951" s="11" t="str">
        <f t="shared" si="1"/>
        <v>00610071460698812</v>
      </c>
      <c r="L951" s="238">
        <v>7764.98</v>
      </c>
      <c r="M951" s="254">
        <v>32818.0</v>
      </c>
      <c r="N951" s="16">
        <v>50.0</v>
      </c>
      <c r="O951" s="17">
        <v>40.0</v>
      </c>
      <c r="P951" s="17">
        <v>39.0</v>
      </c>
      <c r="Q951" s="11">
        <v>1.9792209E7</v>
      </c>
      <c r="R951" s="11">
        <v>3.0</v>
      </c>
      <c r="S951" s="24" t="s">
        <v>5292</v>
      </c>
      <c r="T951" s="249" t="s">
        <v>6240</v>
      </c>
      <c r="U951" s="17">
        <v>60.0</v>
      </c>
      <c r="V951" s="16">
        <v>6.0</v>
      </c>
      <c r="W951" s="16">
        <v>72.0</v>
      </c>
      <c r="X951" s="50">
        <v>42419.0</v>
      </c>
      <c r="Y951" s="250">
        <v>1571.0</v>
      </c>
    </row>
    <row r="952">
      <c r="A952" s="11">
        <v>11.0</v>
      </c>
      <c r="B952" s="11">
        <v>79.0</v>
      </c>
      <c r="C952" s="253">
        <v>29.0</v>
      </c>
      <c r="D952" s="235">
        <v>87.0</v>
      </c>
      <c r="E952" s="235">
        <v>87.0</v>
      </c>
      <c r="F952" s="253">
        <v>29.0</v>
      </c>
      <c r="G952" s="235">
        <v>87.0</v>
      </c>
      <c r="H952" s="236">
        <v>1.5608877E7</v>
      </c>
      <c r="I952" s="16">
        <v>9.0</v>
      </c>
      <c r="J952" s="11">
        <v>4.0</v>
      </c>
      <c r="K952" s="11" t="str">
        <f t="shared" si="1"/>
        <v>00870015608877094</v>
      </c>
      <c r="L952" s="238">
        <v>65617.77</v>
      </c>
      <c r="M952" s="254">
        <v>81321.0</v>
      </c>
      <c r="N952" s="16">
        <v>38.0</v>
      </c>
      <c r="O952" s="17">
        <v>5.0</v>
      </c>
      <c r="P952" s="17">
        <v>19.0</v>
      </c>
      <c r="Q952" s="11">
        <v>9.5698799E7</v>
      </c>
      <c r="R952" s="11">
        <v>8.0</v>
      </c>
      <c r="S952" s="24" t="s">
        <v>5292</v>
      </c>
      <c r="T952" s="249" t="s">
        <v>6241</v>
      </c>
      <c r="U952" s="17">
        <v>13.0</v>
      </c>
      <c r="V952" s="16">
        <v>64.0</v>
      </c>
      <c r="W952" s="16">
        <v>68.0</v>
      </c>
      <c r="X952" s="50">
        <v>51822.0</v>
      </c>
      <c r="Y952" s="250">
        <v>6882.0</v>
      </c>
    </row>
    <row r="953">
      <c r="A953" s="11">
        <v>14.0</v>
      </c>
      <c r="B953" s="11">
        <v>38.0</v>
      </c>
      <c r="C953" s="253">
        <v>39.0</v>
      </c>
      <c r="D953" s="235">
        <v>101.0</v>
      </c>
      <c r="E953" s="235">
        <v>101.0</v>
      </c>
      <c r="F953" s="253">
        <v>39.0</v>
      </c>
      <c r="G953" s="235">
        <v>101.0</v>
      </c>
      <c r="H953" s="236">
        <v>1.6762035E7</v>
      </c>
      <c r="I953" s="16">
        <v>58.0</v>
      </c>
      <c r="J953" s="11">
        <v>2.0</v>
      </c>
      <c r="K953" s="11" t="str">
        <f t="shared" si="1"/>
        <v>01010016762035582</v>
      </c>
      <c r="L953" s="238">
        <v>461.3</v>
      </c>
      <c r="M953" s="254">
        <v>81121.0</v>
      </c>
      <c r="N953" s="16">
        <v>56.0</v>
      </c>
      <c r="O953" s="17">
        <v>9.0</v>
      </c>
      <c r="P953" s="17">
        <v>19.0</v>
      </c>
      <c r="Q953" s="11">
        <v>8.3358106E7</v>
      </c>
      <c r="R953" s="11">
        <v>1.0</v>
      </c>
      <c r="S953" s="24" t="s">
        <v>5292</v>
      </c>
      <c r="T953" s="249" t="s">
        <v>6242</v>
      </c>
      <c r="U953" s="17">
        <v>19.0</v>
      </c>
      <c r="V953" s="16">
        <v>37.0</v>
      </c>
      <c r="W953" s="16">
        <v>69.0</v>
      </c>
      <c r="X953" s="50">
        <v>72217.0</v>
      </c>
      <c r="Y953" s="250">
        <v>6438.0</v>
      </c>
    </row>
    <row r="954">
      <c r="A954" s="11">
        <v>19.0</v>
      </c>
      <c r="B954" s="11">
        <v>18.0</v>
      </c>
      <c r="C954" s="253">
        <v>49.0</v>
      </c>
      <c r="D954" s="235">
        <v>23.0</v>
      </c>
      <c r="E954" s="235">
        <v>23.0</v>
      </c>
      <c r="F954" s="253">
        <v>49.0</v>
      </c>
      <c r="G954" s="235">
        <v>23.0</v>
      </c>
      <c r="H954" s="236">
        <v>6.9199541E7</v>
      </c>
      <c r="I954" s="16">
        <v>97.0</v>
      </c>
      <c r="J954" s="11">
        <v>7.0</v>
      </c>
      <c r="K954" s="11" t="str">
        <f t="shared" si="1"/>
        <v>00230069199541977</v>
      </c>
      <c r="L954" s="238">
        <v>-1293.2</v>
      </c>
      <c r="M954" s="254">
        <v>51222.0</v>
      </c>
      <c r="N954" s="16">
        <v>22.0</v>
      </c>
      <c r="O954" s="17">
        <v>55.0</v>
      </c>
      <c r="P954" s="17">
        <v>19.0</v>
      </c>
      <c r="Q954" s="11">
        <v>1.700314E7</v>
      </c>
      <c r="R954" s="11">
        <v>3.0</v>
      </c>
      <c r="S954" s="24" t="s">
        <v>39</v>
      </c>
      <c r="T954" s="249" t="s">
        <v>6243</v>
      </c>
      <c r="U954" s="17">
        <v>22.0</v>
      </c>
      <c r="V954" s="16">
        <v>75.0</v>
      </c>
      <c r="W954" s="16">
        <v>72.0</v>
      </c>
      <c r="X954" s="50">
        <v>62021.0</v>
      </c>
      <c r="Y954" s="250">
        <v>6392.0</v>
      </c>
    </row>
    <row r="955">
      <c r="A955" s="11">
        <v>13.0</v>
      </c>
      <c r="B955" s="11">
        <v>79.0</v>
      </c>
      <c r="C955" s="253">
        <v>51.0</v>
      </c>
      <c r="D955" s="235">
        <v>147.0</v>
      </c>
      <c r="E955" s="235">
        <v>147.0</v>
      </c>
      <c r="F955" s="253">
        <v>51.0</v>
      </c>
      <c r="G955" s="235">
        <v>147.0</v>
      </c>
      <c r="H955" s="236">
        <v>9.35185E7</v>
      </c>
      <c r="I955" s="16">
        <v>83.0</v>
      </c>
      <c r="J955" s="11">
        <v>7.0</v>
      </c>
      <c r="K955" s="11" t="str">
        <f t="shared" si="1"/>
        <v>01470093518500837</v>
      </c>
      <c r="L955" s="238">
        <v>103520.79</v>
      </c>
      <c r="M955" s="254">
        <v>20222.0</v>
      </c>
      <c r="N955" s="16">
        <v>7.0</v>
      </c>
      <c r="O955" s="17">
        <v>18.0</v>
      </c>
      <c r="P955" s="17">
        <v>19.0</v>
      </c>
      <c r="Q955" s="11">
        <v>5.6677822E7</v>
      </c>
      <c r="R955" s="11">
        <v>0.0</v>
      </c>
      <c r="S955" s="24" t="s">
        <v>39</v>
      </c>
      <c r="T955" s="249" t="s">
        <v>6244</v>
      </c>
      <c r="U955" s="17">
        <v>23.0</v>
      </c>
      <c r="V955" s="16">
        <v>46.0</v>
      </c>
      <c r="W955" s="16">
        <v>76.0</v>
      </c>
      <c r="X955" s="50">
        <v>11321.0</v>
      </c>
      <c r="Y955" s="250">
        <v>7938.0</v>
      </c>
    </row>
    <row r="956">
      <c r="A956" s="11">
        <v>13.0</v>
      </c>
      <c r="B956" s="11">
        <v>59.0</v>
      </c>
      <c r="C956" s="253">
        <v>48.0</v>
      </c>
      <c r="D956" s="235">
        <v>77.0</v>
      </c>
      <c r="E956" s="235">
        <v>77.0</v>
      </c>
      <c r="F956" s="253">
        <v>48.0</v>
      </c>
      <c r="G956" s="235">
        <v>77.0</v>
      </c>
      <c r="H956" s="236">
        <v>5.8064844E7</v>
      </c>
      <c r="I956" s="16">
        <v>56.0</v>
      </c>
      <c r="J956" s="11">
        <v>8.0</v>
      </c>
      <c r="K956" s="11" t="str">
        <f t="shared" si="1"/>
        <v>00770058064844568</v>
      </c>
      <c r="L956" s="238">
        <v>981.99</v>
      </c>
      <c r="M956" s="254">
        <v>101416.0</v>
      </c>
      <c r="N956" s="16">
        <v>41.0</v>
      </c>
      <c r="O956" s="17">
        <v>41.0</v>
      </c>
      <c r="P956" s="17">
        <v>39.0</v>
      </c>
      <c r="Q956" s="11">
        <v>6.6528936E7</v>
      </c>
      <c r="R956" s="11">
        <v>8.0</v>
      </c>
      <c r="S956" s="24" t="s">
        <v>39</v>
      </c>
      <c r="T956" s="249" t="s">
        <v>6245</v>
      </c>
      <c r="U956" s="17">
        <v>77.0</v>
      </c>
      <c r="V956" s="16">
        <v>50.0</v>
      </c>
      <c r="W956" s="16">
        <v>53.0</v>
      </c>
      <c r="X956" s="50">
        <v>42117.0</v>
      </c>
      <c r="Y956" s="250">
        <v>3973.0</v>
      </c>
    </row>
    <row r="957">
      <c r="A957" s="11">
        <v>11.0</v>
      </c>
      <c r="B957" s="11">
        <v>18.0</v>
      </c>
      <c r="C957" s="253">
        <v>29.0</v>
      </c>
      <c r="D957" s="235">
        <v>49.0</v>
      </c>
      <c r="E957" s="235">
        <v>49.0</v>
      </c>
      <c r="F957" s="253">
        <v>29.0</v>
      </c>
      <c r="G957" s="235">
        <v>49.0</v>
      </c>
      <c r="H957" s="236">
        <v>1.8465866E7</v>
      </c>
      <c r="I957" s="16">
        <v>10.0</v>
      </c>
      <c r="J957" s="11">
        <v>0.0</v>
      </c>
      <c r="K957" s="11" t="str">
        <f t="shared" si="1"/>
        <v>00490018465866100</v>
      </c>
      <c r="L957" s="238">
        <v>51887.88</v>
      </c>
      <c r="M957" s="254">
        <v>62713.0</v>
      </c>
      <c r="N957" s="16">
        <v>66.0</v>
      </c>
      <c r="O957" s="17">
        <v>23.0</v>
      </c>
      <c r="P957" s="17">
        <v>60.0</v>
      </c>
      <c r="Q957" s="11">
        <v>7.4441702E7</v>
      </c>
      <c r="R957" s="11">
        <v>3.0</v>
      </c>
      <c r="S957" s="24" t="s">
        <v>39</v>
      </c>
      <c r="T957" s="249" t="s">
        <v>6246</v>
      </c>
      <c r="U957" s="17">
        <v>26.0</v>
      </c>
      <c r="V957" s="16">
        <v>79.0</v>
      </c>
      <c r="W957" s="16">
        <v>94.0</v>
      </c>
      <c r="X957" s="50">
        <v>100616.0</v>
      </c>
      <c r="Y957" s="250">
        <v>960.0</v>
      </c>
    </row>
    <row r="958">
      <c r="A958" s="11">
        <v>17.0</v>
      </c>
      <c r="B958" s="11">
        <v>18.0</v>
      </c>
      <c r="C958" s="253">
        <v>39.0</v>
      </c>
      <c r="D958" s="235">
        <v>55.0</v>
      </c>
      <c r="E958" s="235">
        <v>55.0</v>
      </c>
      <c r="F958" s="253">
        <v>39.0</v>
      </c>
      <c r="G958" s="235">
        <v>55.0</v>
      </c>
      <c r="H958" s="236">
        <v>1.3829928E7</v>
      </c>
      <c r="I958" s="16">
        <v>30.0</v>
      </c>
      <c r="J958" s="11">
        <v>0.0</v>
      </c>
      <c r="K958" s="11" t="str">
        <f t="shared" si="1"/>
        <v>00550013829928300</v>
      </c>
      <c r="L958" s="238">
        <v>-554.11</v>
      </c>
      <c r="M958" s="254">
        <v>102321.0</v>
      </c>
      <c r="N958" s="16">
        <v>95.0</v>
      </c>
      <c r="O958" s="17">
        <v>23.0</v>
      </c>
      <c r="P958" s="17">
        <v>80.0</v>
      </c>
      <c r="Q958" s="11">
        <v>6.8731439E7</v>
      </c>
      <c r="R958" s="11">
        <v>3.0</v>
      </c>
      <c r="S958" s="24" t="s">
        <v>39</v>
      </c>
      <c r="T958" s="249" t="s">
        <v>6247</v>
      </c>
      <c r="U958" s="17">
        <v>77.0</v>
      </c>
      <c r="V958" s="16">
        <v>59.0</v>
      </c>
      <c r="W958" s="16">
        <v>61.0</v>
      </c>
      <c r="X958" s="50">
        <v>112114.0</v>
      </c>
      <c r="Y958" s="250">
        <v>2110.0</v>
      </c>
    </row>
    <row r="959">
      <c r="A959" s="11">
        <v>18.0</v>
      </c>
      <c r="B959" s="11">
        <v>39.0</v>
      </c>
      <c r="C959" s="253">
        <v>39.0</v>
      </c>
      <c r="D959" s="235">
        <v>173.0</v>
      </c>
      <c r="E959" s="235">
        <v>173.0</v>
      </c>
      <c r="F959" s="253">
        <v>39.0</v>
      </c>
      <c r="G959" s="235">
        <v>173.0</v>
      </c>
      <c r="H959" s="236">
        <v>9.1592454E7</v>
      </c>
      <c r="I959" s="16">
        <v>58.0</v>
      </c>
      <c r="J959" s="11">
        <v>9.0</v>
      </c>
      <c r="K959" s="11" t="str">
        <f t="shared" si="1"/>
        <v>01730091592454589</v>
      </c>
      <c r="L959" s="238">
        <v>5416.48</v>
      </c>
      <c r="M959" s="254">
        <v>62720.0</v>
      </c>
      <c r="N959" s="16">
        <v>56.0</v>
      </c>
      <c r="O959" s="17">
        <v>13.0</v>
      </c>
      <c r="P959" s="17">
        <v>39.0</v>
      </c>
      <c r="Q959" s="11">
        <v>8.8194452E7</v>
      </c>
      <c r="R959" s="11">
        <v>5.0</v>
      </c>
      <c r="S959" s="24" t="s">
        <v>29</v>
      </c>
      <c r="T959" s="249" t="s">
        <v>6248</v>
      </c>
      <c r="U959" s="17">
        <v>81.0</v>
      </c>
      <c r="V959" s="16">
        <v>41.0</v>
      </c>
      <c r="W959" s="16">
        <v>64.0</v>
      </c>
      <c r="X959" s="50">
        <v>90322.0</v>
      </c>
      <c r="Y959" s="250">
        <v>3008.0</v>
      </c>
    </row>
    <row r="960">
      <c r="A960" s="11">
        <v>18.0</v>
      </c>
      <c r="B960" s="11">
        <v>18.0</v>
      </c>
      <c r="C960" s="253">
        <v>9.0</v>
      </c>
      <c r="D960" s="235">
        <v>5.0</v>
      </c>
      <c r="E960" s="235">
        <v>5.0</v>
      </c>
      <c r="F960" s="253">
        <v>9.0</v>
      </c>
      <c r="G960" s="235">
        <v>5.0</v>
      </c>
      <c r="H960" s="236">
        <v>2.5840308E7</v>
      </c>
      <c r="I960" s="16">
        <v>13.0</v>
      </c>
      <c r="J960" s="11">
        <v>2.0</v>
      </c>
      <c r="K960" s="11" t="str">
        <f t="shared" si="1"/>
        <v>00050025840308132</v>
      </c>
      <c r="L960" s="238">
        <v>5710.33</v>
      </c>
      <c r="M960" s="254">
        <v>120323.0</v>
      </c>
      <c r="N960" s="16">
        <v>48.0</v>
      </c>
      <c r="O960" s="17">
        <v>27.0</v>
      </c>
      <c r="P960" s="17">
        <v>80.0</v>
      </c>
      <c r="Q960" s="11">
        <v>3.5866825E7</v>
      </c>
      <c r="R960" s="11">
        <v>5.0</v>
      </c>
      <c r="S960" s="24" t="s">
        <v>39</v>
      </c>
      <c r="T960" s="249" t="s">
        <v>6249</v>
      </c>
      <c r="U960" s="17">
        <v>79.0</v>
      </c>
      <c r="V960" s="16">
        <v>92.0</v>
      </c>
      <c r="W960" s="16">
        <v>93.0</v>
      </c>
      <c r="X960" s="50">
        <v>51417.0</v>
      </c>
      <c r="Y960" s="250">
        <v>2997.0</v>
      </c>
    </row>
    <row r="961">
      <c r="A961" s="11">
        <v>15.0</v>
      </c>
      <c r="B961" s="11">
        <v>59.0</v>
      </c>
      <c r="C961" s="253">
        <v>13.0</v>
      </c>
      <c r="D961" s="235">
        <v>19.0</v>
      </c>
      <c r="E961" s="235">
        <v>19.0</v>
      </c>
      <c r="F961" s="253">
        <v>13.0</v>
      </c>
      <c r="G961" s="235">
        <v>19.0</v>
      </c>
      <c r="H961" s="236">
        <v>9.6050019E7</v>
      </c>
      <c r="I961" s="16">
        <v>8.0</v>
      </c>
      <c r="J961" s="11">
        <v>7.0</v>
      </c>
      <c r="K961" s="11" t="str">
        <f t="shared" si="1"/>
        <v>00190096050019087</v>
      </c>
      <c r="L961" s="238">
        <v>853012.43</v>
      </c>
      <c r="M961" s="254">
        <v>60220.0</v>
      </c>
      <c r="N961" s="16">
        <v>13.0</v>
      </c>
      <c r="O961" s="17">
        <v>39.0</v>
      </c>
      <c r="P961" s="17">
        <v>39.0</v>
      </c>
      <c r="Q961" s="11">
        <v>2.7524391E7</v>
      </c>
      <c r="R961" s="11">
        <v>5.0</v>
      </c>
      <c r="S961" s="24" t="s">
        <v>39</v>
      </c>
      <c r="T961" s="249" t="s">
        <v>6250</v>
      </c>
      <c r="U961" s="17">
        <v>84.0</v>
      </c>
      <c r="V961" s="16">
        <v>47.0</v>
      </c>
      <c r="W961" s="16">
        <v>10.0</v>
      </c>
      <c r="X961" s="50">
        <v>80218.0</v>
      </c>
      <c r="Y961" s="250">
        <v>5990.0</v>
      </c>
    </row>
    <row r="962">
      <c r="A962" s="11">
        <v>17.0</v>
      </c>
      <c r="B962" s="11">
        <v>18.0</v>
      </c>
      <c r="C962" s="253">
        <v>28.0</v>
      </c>
      <c r="D962" s="235">
        <v>103.0</v>
      </c>
      <c r="E962" s="235">
        <v>103.0</v>
      </c>
      <c r="F962" s="253">
        <v>28.0</v>
      </c>
      <c r="G962" s="235">
        <v>103.0</v>
      </c>
      <c r="H962" s="236">
        <v>1.1144927E7</v>
      </c>
      <c r="I962" s="16">
        <v>60.0</v>
      </c>
      <c r="J962" s="11">
        <v>1.0</v>
      </c>
      <c r="K962" s="11" t="str">
        <f t="shared" si="1"/>
        <v>01030011144927601</v>
      </c>
      <c r="L962" s="238">
        <v>725963.94</v>
      </c>
      <c r="M962" s="254">
        <v>82820.0</v>
      </c>
      <c r="N962" s="16">
        <v>86.0</v>
      </c>
      <c r="O962" s="17">
        <v>29.0</v>
      </c>
      <c r="P962" s="17">
        <v>60.0</v>
      </c>
      <c r="Q962" s="11">
        <v>4.2309608E7</v>
      </c>
      <c r="R962" s="11">
        <v>0.0</v>
      </c>
      <c r="S962" s="24" t="s">
        <v>5292</v>
      </c>
      <c r="T962" s="249" t="s">
        <v>6251</v>
      </c>
      <c r="U962" s="17">
        <v>44.0</v>
      </c>
      <c r="V962" s="16">
        <v>68.0</v>
      </c>
      <c r="W962" s="16">
        <v>14.0</v>
      </c>
      <c r="X962" s="50">
        <v>22517.0</v>
      </c>
      <c r="Y962" s="250">
        <v>8579.0</v>
      </c>
    </row>
    <row r="963">
      <c r="A963" s="11">
        <v>10.0</v>
      </c>
      <c r="B963" s="11">
        <v>18.0</v>
      </c>
      <c r="C963" s="253">
        <v>19.0</v>
      </c>
      <c r="D963" s="235">
        <v>173.0</v>
      </c>
      <c r="E963" s="235">
        <v>173.0</v>
      </c>
      <c r="F963" s="253">
        <v>19.0</v>
      </c>
      <c r="G963" s="235">
        <v>173.0</v>
      </c>
      <c r="H963" s="236">
        <v>1.6452286E7</v>
      </c>
      <c r="I963" s="16">
        <v>46.0</v>
      </c>
      <c r="J963" s="11">
        <v>3.0</v>
      </c>
      <c r="K963" s="11" t="str">
        <f t="shared" si="1"/>
        <v>01730016452286463</v>
      </c>
      <c r="L963" s="238">
        <v>651813.56</v>
      </c>
      <c r="M963" s="254">
        <v>20222.0</v>
      </c>
      <c r="N963" s="16">
        <v>74.0</v>
      </c>
      <c r="O963" s="17">
        <v>2.0</v>
      </c>
      <c r="P963" s="17">
        <v>19.0</v>
      </c>
      <c r="Q963" s="11">
        <v>3.4337511E7</v>
      </c>
      <c r="R963" s="11">
        <v>1.0</v>
      </c>
      <c r="S963" s="24" t="s">
        <v>39</v>
      </c>
      <c r="T963" s="249" t="s">
        <v>6252</v>
      </c>
      <c r="U963" s="17">
        <v>51.0</v>
      </c>
      <c r="V963" s="16">
        <v>73.0</v>
      </c>
      <c r="W963" s="16">
        <v>77.0</v>
      </c>
      <c r="X963" s="50">
        <v>110721.0</v>
      </c>
      <c r="Y963" s="250">
        <v>9776.0</v>
      </c>
    </row>
    <row r="964">
      <c r="A964" s="11">
        <v>15.0</v>
      </c>
      <c r="B964" s="11">
        <v>18.0</v>
      </c>
      <c r="C964" s="253">
        <v>47.0</v>
      </c>
      <c r="D964" s="235">
        <v>147.0</v>
      </c>
      <c r="E964" s="235">
        <v>147.0</v>
      </c>
      <c r="F964" s="253">
        <v>47.0</v>
      </c>
      <c r="G964" s="235">
        <v>147.0</v>
      </c>
      <c r="H964" s="236">
        <v>4.3676298E7</v>
      </c>
      <c r="I964" s="16">
        <v>58.0</v>
      </c>
      <c r="J964" s="11">
        <v>8.0</v>
      </c>
      <c r="K964" s="11" t="str">
        <f t="shared" si="1"/>
        <v>01470043676298588</v>
      </c>
      <c r="L964" s="238">
        <v>-663745.39</v>
      </c>
      <c r="M964" s="254">
        <v>72620.0</v>
      </c>
      <c r="N964" s="16">
        <v>63.0</v>
      </c>
      <c r="O964" s="17">
        <v>27.0</v>
      </c>
      <c r="P964" s="17">
        <v>40.0</v>
      </c>
      <c r="Q964" s="11">
        <v>1.477523E7</v>
      </c>
      <c r="R964" s="11">
        <v>6.0</v>
      </c>
      <c r="S964" s="24" t="s">
        <v>48</v>
      </c>
      <c r="T964" s="249" t="s">
        <v>6253</v>
      </c>
      <c r="U964" s="17">
        <v>0.0</v>
      </c>
      <c r="V964" s="16">
        <v>50.0</v>
      </c>
      <c r="W964" s="16">
        <v>94.0</v>
      </c>
      <c r="X964" s="50">
        <v>71616.0</v>
      </c>
      <c r="Y964" s="250">
        <v>207.0</v>
      </c>
    </row>
    <row r="965">
      <c r="A965" s="11">
        <v>13.0</v>
      </c>
      <c r="B965" s="11">
        <v>39.0</v>
      </c>
      <c r="C965" s="253">
        <v>35.0</v>
      </c>
      <c r="D965" s="235">
        <v>5.0</v>
      </c>
      <c r="E965" s="235">
        <v>5.0</v>
      </c>
      <c r="F965" s="253">
        <v>35.0</v>
      </c>
      <c r="G965" s="235">
        <v>5.0</v>
      </c>
      <c r="H965" s="236">
        <v>6.8587417E7</v>
      </c>
      <c r="I965" s="16">
        <v>77.0</v>
      </c>
      <c r="J965" s="11">
        <v>0.0</v>
      </c>
      <c r="K965" s="11" t="str">
        <f t="shared" si="1"/>
        <v>00050068587417770</v>
      </c>
      <c r="L965" s="238">
        <v>427147.48</v>
      </c>
      <c r="M965" s="254">
        <v>111920.0</v>
      </c>
      <c r="N965" s="16">
        <v>34.0</v>
      </c>
      <c r="O965" s="17">
        <v>28.0</v>
      </c>
      <c r="P965" s="17">
        <v>80.0</v>
      </c>
      <c r="Q965" s="11">
        <v>7.6577403E7</v>
      </c>
      <c r="R965" s="11">
        <v>7.0</v>
      </c>
      <c r="S965" s="24" t="s">
        <v>29</v>
      </c>
      <c r="T965" s="249" t="s">
        <v>6254</v>
      </c>
      <c r="U965" s="17">
        <v>96.0</v>
      </c>
      <c r="V965" s="16">
        <v>43.0</v>
      </c>
      <c r="W965" s="16">
        <v>94.0</v>
      </c>
      <c r="X965" s="50">
        <v>92120.0</v>
      </c>
      <c r="Y965" s="250">
        <v>9105.0</v>
      </c>
    </row>
    <row r="966">
      <c r="A966" s="11">
        <v>11.0</v>
      </c>
      <c r="B966" s="11">
        <v>18.0</v>
      </c>
      <c r="C966" s="253">
        <v>46.0</v>
      </c>
      <c r="D966" s="235">
        <v>105.0</v>
      </c>
      <c r="E966" s="235">
        <v>105.0</v>
      </c>
      <c r="F966" s="253">
        <v>46.0</v>
      </c>
      <c r="G966" s="235">
        <v>105.0</v>
      </c>
      <c r="H966" s="236">
        <v>9.5326169E7</v>
      </c>
      <c r="I966" s="16">
        <v>28.0</v>
      </c>
      <c r="J966" s="11">
        <v>4.0</v>
      </c>
      <c r="K966" s="11" t="str">
        <f t="shared" si="1"/>
        <v>01050095326169284</v>
      </c>
      <c r="L966" s="238">
        <v>377852.52</v>
      </c>
      <c r="M966" s="254">
        <v>81722.0</v>
      </c>
      <c r="N966" s="16">
        <v>89.0</v>
      </c>
      <c r="O966" s="17">
        <v>27.0</v>
      </c>
      <c r="P966" s="17">
        <v>19.0</v>
      </c>
      <c r="Q966" s="11">
        <v>9.9254573E7</v>
      </c>
      <c r="R966" s="11">
        <v>6.0</v>
      </c>
      <c r="S966" s="24" t="s">
        <v>29</v>
      </c>
      <c r="T966" s="249" t="s">
        <v>6255</v>
      </c>
      <c r="U966" s="17">
        <v>56.0</v>
      </c>
      <c r="V966" s="16">
        <v>87.0</v>
      </c>
      <c r="W966" s="16">
        <v>69.0</v>
      </c>
      <c r="X966" s="50">
        <v>41414.0</v>
      </c>
      <c r="Y966" s="250">
        <v>6174.0</v>
      </c>
    </row>
    <row r="967">
      <c r="A967" s="11">
        <v>12.0</v>
      </c>
      <c r="B967" s="11">
        <v>39.0</v>
      </c>
      <c r="C967" s="253">
        <v>27.0</v>
      </c>
      <c r="D967" s="235">
        <v>163.0</v>
      </c>
      <c r="E967" s="235">
        <v>163.0</v>
      </c>
      <c r="F967" s="253">
        <v>27.0</v>
      </c>
      <c r="G967" s="235">
        <v>163.0</v>
      </c>
      <c r="H967" s="236">
        <v>2.814707E7</v>
      </c>
      <c r="I967" s="16">
        <v>25.0</v>
      </c>
      <c r="J967" s="11">
        <v>1.0</v>
      </c>
      <c r="K967" s="11" t="str">
        <f t="shared" si="1"/>
        <v>01630028147070251</v>
      </c>
      <c r="L967" s="238">
        <v>56649.57</v>
      </c>
      <c r="M967" s="254">
        <v>20720.0</v>
      </c>
      <c r="N967" s="16">
        <v>95.0</v>
      </c>
      <c r="O967" s="17">
        <v>50.0</v>
      </c>
      <c r="P967" s="17">
        <v>81.0</v>
      </c>
      <c r="Q967" s="11">
        <v>5.2835975E7</v>
      </c>
      <c r="R967" s="11">
        <v>1.0</v>
      </c>
      <c r="S967" s="24" t="s">
        <v>5292</v>
      </c>
      <c r="T967" s="249" t="s">
        <v>6256</v>
      </c>
      <c r="U967" s="17">
        <v>1.0</v>
      </c>
      <c r="V967" s="16">
        <v>10.0</v>
      </c>
      <c r="W967" s="16">
        <v>36.0</v>
      </c>
      <c r="X967" s="50">
        <v>50921.0</v>
      </c>
      <c r="Y967" s="250">
        <v>3671.0</v>
      </c>
    </row>
    <row r="968">
      <c r="A968" s="11">
        <v>18.0</v>
      </c>
      <c r="B968" s="11">
        <v>59.0</v>
      </c>
      <c r="C968" s="253">
        <v>47.0</v>
      </c>
      <c r="D968" s="235">
        <v>71.0</v>
      </c>
      <c r="E968" s="235">
        <v>71.0</v>
      </c>
      <c r="F968" s="253">
        <v>47.0</v>
      </c>
      <c r="G968" s="235">
        <v>71.0</v>
      </c>
      <c r="H968" s="236">
        <v>6.9749848E7</v>
      </c>
      <c r="I968" s="16">
        <v>12.0</v>
      </c>
      <c r="J968" s="11">
        <v>1.0</v>
      </c>
      <c r="K968" s="11" t="str">
        <f t="shared" si="1"/>
        <v>00710069749848121</v>
      </c>
      <c r="L968" s="238">
        <v>4725.59</v>
      </c>
      <c r="M968" s="254">
        <v>53017.0</v>
      </c>
      <c r="N968" s="16">
        <v>11.0</v>
      </c>
      <c r="O968" s="17">
        <v>21.0</v>
      </c>
      <c r="P968" s="17">
        <v>81.0</v>
      </c>
      <c r="Q968" s="11">
        <v>4.370866E7</v>
      </c>
      <c r="R968" s="11">
        <v>5.0</v>
      </c>
      <c r="S968" s="24" t="s">
        <v>39</v>
      </c>
      <c r="T968" s="249" t="s">
        <v>6257</v>
      </c>
      <c r="U968" s="17">
        <v>2.0</v>
      </c>
      <c r="V968" s="16">
        <v>34.0</v>
      </c>
      <c r="W968" s="16">
        <v>32.0</v>
      </c>
      <c r="X968" s="50">
        <v>22221.0</v>
      </c>
      <c r="Y968" s="250">
        <v>1132.0</v>
      </c>
    </row>
    <row r="969">
      <c r="A969" s="11">
        <v>14.0</v>
      </c>
      <c r="B969" s="11">
        <v>39.0</v>
      </c>
      <c r="C969" s="253">
        <v>1.0</v>
      </c>
      <c r="D969" s="235">
        <v>65.0</v>
      </c>
      <c r="E969" s="235">
        <v>65.0</v>
      </c>
      <c r="F969" s="253">
        <v>1.0</v>
      </c>
      <c r="G969" s="235">
        <v>65.0</v>
      </c>
      <c r="H969" s="236">
        <v>3.6763865E7</v>
      </c>
      <c r="I969" s="16">
        <v>96.0</v>
      </c>
      <c r="J969" s="11">
        <v>6.0</v>
      </c>
      <c r="K969" s="11" t="str">
        <f t="shared" si="1"/>
        <v>00650036763865966</v>
      </c>
      <c r="L969" s="238">
        <v>426200.97</v>
      </c>
      <c r="M969" s="254">
        <v>42320.0</v>
      </c>
      <c r="N969" s="16">
        <v>7.0</v>
      </c>
      <c r="O969" s="17">
        <v>41.0</v>
      </c>
      <c r="P969" s="17">
        <v>60.0</v>
      </c>
      <c r="Q969" s="11">
        <v>2.5660353E7</v>
      </c>
      <c r="R969" s="11">
        <v>5.0</v>
      </c>
      <c r="S969" s="24" t="s">
        <v>48</v>
      </c>
      <c r="T969" s="249" t="s">
        <v>6258</v>
      </c>
      <c r="U969" s="17">
        <v>59.0</v>
      </c>
      <c r="V969" s="16">
        <v>76.0</v>
      </c>
      <c r="W969" s="16">
        <v>88.0</v>
      </c>
      <c r="X969" s="50">
        <v>40717.0</v>
      </c>
      <c r="Y969" s="250">
        <v>7778.0</v>
      </c>
    </row>
    <row r="970">
      <c r="A970" s="11">
        <v>10.0</v>
      </c>
      <c r="B970" s="11">
        <v>19.0</v>
      </c>
      <c r="C970" s="253">
        <v>47.0</v>
      </c>
      <c r="D970" s="235">
        <v>105.0</v>
      </c>
      <c r="E970" s="235">
        <v>105.0</v>
      </c>
      <c r="F970" s="253">
        <v>47.0</v>
      </c>
      <c r="G970" s="235">
        <v>105.0</v>
      </c>
      <c r="H970" s="236">
        <v>5.0381601E7</v>
      </c>
      <c r="I970" s="16">
        <v>74.0</v>
      </c>
      <c r="J970" s="11">
        <v>0.0</v>
      </c>
      <c r="K970" s="11" t="str">
        <f t="shared" si="1"/>
        <v>01050050381601740</v>
      </c>
      <c r="L970" s="238">
        <v>509.57</v>
      </c>
      <c r="M970" s="254">
        <v>61913.0</v>
      </c>
      <c r="N970" s="16">
        <v>7.0</v>
      </c>
      <c r="O970" s="17">
        <v>33.0</v>
      </c>
      <c r="P970" s="17">
        <v>19.0</v>
      </c>
      <c r="Q970" s="11">
        <v>1.6576853E7</v>
      </c>
      <c r="R970" s="11">
        <v>9.0</v>
      </c>
      <c r="S970" s="24" t="s">
        <v>39</v>
      </c>
      <c r="T970" s="249" t="s">
        <v>6259</v>
      </c>
      <c r="U970" s="17">
        <v>69.0</v>
      </c>
      <c r="V970" s="16">
        <v>52.0</v>
      </c>
      <c r="W970" s="16">
        <v>18.0</v>
      </c>
      <c r="X970" s="50">
        <v>60820.0</v>
      </c>
      <c r="Y970" s="250">
        <v>3243.0</v>
      </c>
    </row>
    <row r="971">
      <c r="A971" s="11">
        <v>20.0</v>
      </c>
      <c r="B971" s="11">
        <v>39.0</v>
      </c>
      <c r="C971" s="253">
        <v>27.0</v>
      </c>
      <c r="D971" s="235">
        <v>5.0</v>
      </c>
      <c r="E971" s="235">
        <v>5.0</v>
      </c>
      <c r="F971" s="253">
        <v>27.0</v>
      </c>
      <c r="G971" s="235">
        <v>5.0</v>
      </c>
      <c r="H971" s="236">
        <v>3.5252675E7</v>
      </c>
      <c r="I971" s="16">
        <v>23.0</v>
      </c>
      <c r="J971" s="11">
        <v>0.0</v>
      </c>
      <c r="K971" s="11" t="str">
        <f t="shared" si="1"/>
        <v>00050035252675230</v>
      </c>
      <c r="L971" s="238">
        <v>-7578.87</v>
      </c>
      <c r="M971" s="254">
        <v>110917.0</v>
      </c>
      <c r="N971" s="16">
        <v>66.0</v>
      </c>
      <c r="O971" s="17">
        <v>29.0</v>
      </c>
      <c r="P971" s="17">
        <v>40.0</v>
      </c>
      <c r="Q971" s="11">
        <v>6.8517986E7</v>
      </c>
      <c r="R971" s="11">
        <v>6.0</v>
      </c>
      <c r="S971" s="24" t="s">
        <v>48</v>
      </c>
      <c r="T971" s="249" t="s">
        <v>6260</v>
      </c>
      <c r="U971" s="17">
        <v>20.0</v>
      </c>
      <c r="V971" s="16">
        <v>62.0</v>
      </c>
      <c r="W971" s="16">
        <v>60.0</v>
      </c>
      <c r="X971" s="50">
        <v>30718.0</v>
      </c>
      <c r="Y971" s="250">
        <v>8896.0</v>
      </c>
    </row>
    <row r="972">
      <c r="A972" s="11">
        <v>17.0</v>
      </c>
      <c r="B972" s="11">
        <v>19.0</v>
      </c>
      <c r="C972" s="253">
        <v>31.0</v>
      </c>
      <c r="D972" s="235">
        <v>49.0</v>
      </c>
      <c r="E972" s="235">
        <v>49.0</v>
      </c>
      <c r="F972" s="253">
        <v>31.0</v>
      </c>
      <c r="G972" s="235">
        <v>49.0</v>
      </c>
      <c r="H972" s="236">
        <v>7.768789E7</v>
      </c>
      <c r="I972" s="16">
        <v>33.0</v>
      </c>
      <c r="J972" s="11">
        <v>8.0</v>
      </c>
      <c r="K972" s="11" t="str">
        <f t="shared" si="1"/>
        <v>00490077687890338</v>
      </c>
      <c r="L972" s="238">
        <v>789030.0</v>
      </c>
      <c r="M972" s="254">
        <v>100721.0</v>
      </c>
      <c r="N972" s="16">
        <v>87.0</v>
      </c>
      <c r="O972" s="17">
        <v>38.0</v>
      </c>
      <c r="P972" s="17">
        <v>19.0</v>
      </c>
      <c r="Q972" s="11">
        <v>1.854473E7</v>
      </c>
      <c r="R972" s="11">
        <v>1.0</v>
      </c>
      <c r="S972" s="24" t="s">
        <v>5292</v>
      </c>
      <c r="T972" s="249" t="s">
        <v>6261</v>
      </c>
      <c r="U972" s="17">
        <v>74.0</v>
      </c>
      <c r="V972" s="16">
        <v>62.0</v>
      </c>
      <c r="W972" s="16">
        <v>59.0</v>
      </c>
      <c r="X972" s="50">
        <v>101716.0</v>
      </c>
      <c r="Y972" s="250">
        <v>4558.0</v>
      </c>
    </row>
    <row r="973">
      <c r="A973" s="11">
        <v>18.0</v>
      </c>
      <c r="B973" s="11">
        <v>56.0</v>
      </c>
      <c r="C973" s="253">
        <v>13.0</v>
      </c>
      <c r="D973" s="235">
        <v>45.0</v>
      </c>
      <c r="E973" s="235">
        <v>45.0</v>
      </c>
      <c r="F973" s="253">
        <v>13.0</v>
      </c>
      <c r="G973" s="235">
        <v>45.0</v>
      </c>
      <c r="H973" s="236">
        <v>4.3709054E7</v>
      </c>
      <c r="I973" s="16">
        <v>53.0</v>
      </c>
      <c r="J973" s="11">
        <v>6.0</v>
      </c>
      <c r="K973" s="11" t="str">
        <f t="shared" si="1"/>
        <v>00450043709054536</v>
      </c>
      <c r="L973" s="238">
        <v>15192.81</v>
      </c>
      <c r="M973" s="254">
        <v>21522.0</v>
      </c>
      <c r="N973" s="16">
        <v>93.0</v>
      </c>
      <c r="O973" s="17">
        <v>2.0</v>
      </c>
      <c r="P973" s="17">
        <v>19.0</v>
      </c>
      <c r="Q973" s="11">
        <v>1.759859E7</v>
      </c>
      <c r="R973" s="11">
        <v>6.0</v>
      </c>
      <c r="S973" s="24" t="s">
        <v>29</v>
      </c>
      <c r="T973" s="249" t="s">
        <v>6262</v>
      </c>
      <c r="U973" s="17">
        <v>78.0</v>
      </c>
      <c r="V973" s="16">
        <v>18.0</v>
      </c>
      <c r="W973" s="16">
        <v>73.0</v>
      </c>
      <c r="X973" s="50">
        <v>63015.0</v>
      </c>
      <c r="Y973" s="250">
        <v>1140.0</v>
      </c>
    </row>
    <row r="974">
      <c r="A974" s="11">
        <v>16.0</v>
      </c>
      <c r="B974" s="11">
        <v>39.0</v>
      </c>
      <c r="C974" s="253">
        <v>55.0</v>
      </c>
      <c r="D974" s="235">
        <v>123.0</v>
      </c>
      <c r="E974" s="235">
        <v>123.0</v>
      </c>
      <c r="F974" s="253">
        <v>55.0</v>
      </c>
      <c r="G974" s="235">
        <v>123.0</v>
      </c>
      <c r="H974" s="236">
        <v>6.9435815E7</v>
      </c>
      <c r="I974" s="16">
        <v>3.0</v>
      </c>
      <c r="J974" s="11">
        <v>0.0</v>
      </c>
      <c r="K974" s="11" t="str">
        <f t="shared" si="1"/>
        <v>01230069435815030</v>
      </c>
      <c r="L974" s="238">
        <v>95621.15</v>
      </c>
      <c r="M974" s="254">
        <v>102413.0</v>
      </c>
      <c r="N974" s="16">
        <v>69.0</v>
      </c>
      <c r="O974" s="17">
        <v>1.0</v>
      </c>
      <c r="P974" s="17">
        <v>40.0</v>
      </c>
      <c r="Q974" s="11">
        <v>7.5128627E7</v>
      </c>
      <c r="R974" s="11">
        <v>0.0</v>
      </c>
      <c r="S974" s="24" t="s">
        <v>29</v>
      </c>
      <c r="T974" s="249" t="s">
        <v>6263</v>
      </c>
      <c r="U974" s="17">
        <v>27.0</v>
      </c>
      <c r="V974" s="16">
        <v>10.0</v>
      </c>
      <c r="W974" s="16">
        <v>67.0</v>
      </c>
      <c r="X974" s="50">
        <v>100313.0</v>
      </c>
      <c r="Y974" s="250">
        <v>4645.0</v>
      </c>
    </row>
    <row r="975">
      <c r="A975" s="11">
        <v>11.0</v>
      </c>
      <c r="B975" s="11">
        <v>39.0</v>
      </c>
      <c r="C975" s="253">
        <v>48.0</v>
      </c>
      <c r="D975" s="235">
        <v>65.0</v>
      </c>
      <c r="E975" s="235">
        <v>65.0</v>
      </c>
      <c r="F975" s="253">
        <v>48.0</v>
      </c>
      <c r="G975" s="235">
        <v>65.0</v>
      </c>
      <c r="H975" s="236">
        <v>9.0145651E7</v>
      </c>
      <c r="I975" s="16">
        <v>34.0</v>
      </c>
      <c r="J975" s="11">
        <v>7.0</v>
      </c>
      <c r="K975" s="11" t="str">
        <f t="shared" si="1"/>
        <v>00650090145651347</v>
      </c>
      <c r="L975" s="238">
        <v>-32720.63</v>
      </c>
      <c r="M975" s="254">
        <v>123013.0</v>
      </c>
      <c r="N975" s="16">
        <v>97.0</v>
      </c>
      <c r="O975" s="17">
        <v>31.0</v>
      </c>
      <c r="P975" s="17">
        <v>40.0</v>
      </c>
      <c r="Q975" s="11">
        <v>9.2076083E7</v>
      </c>
      <c r="R975" s="11">
        <v>1.0</v>
      </c>
      <c r="S975" s="24" t="s">
        <v>48</v>
      </c>
      <c r="T975" s="249" t="s">
        <v>6264</v>
      </c>
      <c r="U975" s="17">
        <v>30.0</v>
      </c>
      <c r="V975" s="16">
        <v>42.0</v>
      </c>
      <c r="W975" s="16">
        <v>85.0</v>
      </c>
      <c r="X975" s="50">
        <v>12222.0</v>
      </c>
      <c r="Y975" s="250">
        <v>2460.0</v>
      </c>
    </row>
    <row r="976">
      <c r="A976" s="11">
        <v>19.0</v>
      </c>
      <c r="B976" s="11">
        <v>39.0</v>
      </c>
      <c r="C976" s="253">
        <v>1.0</v>
      </c>
      <c r="D976" s="235">
        <v>89.0</v>
      </c>
      <c r="E976" s="235">
        <v>89.0</v>
      </c>
      <c r="F976" s="253">
        <v>1.0</v>
      </c>
      <c r="G976" s="235">
        <v>89.0</v>
      </c>
      <c r="H976" s="236">
        <v>2.7942092E7</v>
      </c>
      <c r="I976" s="16">
        <v>15.0</v>
      </c>
      <c r="J976" s="11">
        <v>8.0</v>
      </c>
      <c r="K976" s="11" t="str">
        <f t="shared" si="1"/>
        <v>00890027942092158</v>
      </c>
      <c r="L976" s="238">
        <v>917816.22</v>
      </c>
      <c r="M976" s="254">
        <v>12919.0</v>
      </c>
      <c r="N976" s="16">
        <v>76.0</v>
      </c>
      <c r="O976" s="17">
        <v>17.0</v>
      </c>
      <c r="P976" s="17">
        <v>60.0</v>
      </c>
      <c r="Q976" s="11">
        <v>1.3084929E7</v>
      </c>
      <c r="R976" s="11">
        <v>3.0</v>
      </c>
      <c r="S976" s="24" t="s">
        <v>39</v>
      </c>
      <c r="T976" s="249" t="s">
        <v>6265</v>
      </c>
      <c r="U976" s="17">
        <v>78.0</v>
      </c>
      <c r="V976" s="16">
        <v>47.0</v>
      </c>
      <c r="W976" s="16">
        <v>58.0</v>
      </c>
      <c r="X976" s="50">
        <v>112118.0</v>
      </c>
      <c r="Y976" s="250">
        <v>3697.0</v>
      </c>
    </row>
    <row r="977">
      <c r="A977" s="11">
        <v>15.0</v>
      </c>
      <c r="B977" s="11">
        <v>19.0</v>
      </c>
      <c r="C977" s="253">
        <v>13.0</v>
      </c>
      <c r="D977" s="235">
        <v>277.0</v>
      </c>
      <c r="E977" s="235">
        <v>277.0</v>
      </c>
      <c r="F977" s="253">
        <v>13.0</v>
      </c>
      <c r="G977" s="235">
        <v>277.0</v>
      </c>
      <c r="H977" s="236">
        <v>7.4520621E7</v>
      </c>
      <c r="I977" s="16">
        <v>20.0</v>
      </c>
      <c r="J977" s="11">
        <v>0.0</v>
      </c>
      <c r="K977" s="11" t="str">
        <f t="shared" si="1"/>
        <v>02770074520621200</v>
      </c>
      <c r="L977" s="238">
        <v>-2198.86</v>
      </c>
      <c r="M977" s="254">
        <v>110515.0</v>
      </c>
      <c r="N977" s="16">
        <v>77.0</v>
      </c>
      <c r="O977" s="17">
        <v>48.0</v>
      </c>
      <c r="P977" s="17">
        <v>19.0</v>
      </c>
      <c r="Q977" s="11">
        <v>1.9168725E7</v>
      </c>
      <c r="R977" s="11">
        <v>0.0</v>
      </c>
      <c r="S977" s="24" t="s">
        <v>5292</v>
      </c>
      <c r="T977" s="249" t="s">
        <v>6266</v>
      </c>
      <c r="U977" s="17">
        <v>83.0</v>
      </c>
      <c r="V977" s="16">
        <v>67.0</v>
      </c>
      <c r="W977" s="16">
        <v>8.0</v>
      </c>
      <c r="X977" s="50">
        <v>50613.0</v>
      </c>
      <c r="Y977" s="250">
        <v>7529.0</v>
      </c>
    </row>
    <row r="978">
      <c r="A978" s="11">
        <v>16.0</v>
      </c>
      <c r="B978" s="11">
        <v>19.0</v>
      </c>
      <c r="C978" s="253">
        <v>34.0</v>
      </c>
      <c r="D978" s="235">
        <v>13.0</v>
      </c>
      <c r="E978" s="235">
        <v>13.0</v>
      </c>
      <c r="F978" s="253">
        <v>34.0</v>
      </c>
      <c r="G978" s="235">
        <v>13.0</v>
      </c>
      <c r="H978" s="236">
        <v>5.7458996E7</v>
      </c>
      <c r="I978" s="16">
        <v>54.0</v>
      </c>
      <c r="J978" s="11">
        <v>4.0</v>
      </c>
      <c r="K978" s="11" t="str">
        <f t="shared" si="1"/>
        <v>00130057458996544</v>
      </c>
      <c r="L978" s="238">
        <v>3064.67</v>
      </c>
      <c r="M978" s="254">
        <v>121317.0</v>
      </c>
      <c r="N978" s="16">
        <v>77.0</v>
      </c>
      <c r="O978" s="17">
        <v>1.0</v>
      </c>
      <c r="P978" s="17">
        <v>19.0</v>
      </c>
      <c r="Q978" s="11">
        <v>3.8054832E7</v>
      </c>
      <c r="R978" s="11">
        <v>5.0</v>
      </c>
      <c r="S978" s="24" t="s">
        <v>39</v>
      </c>
      <c r="T978" s="249" t="s">
        <v>6267</v>
      </c>
      <c r="U978" s="17">
        <v>89.0</v>
      </c>
      <c r="V978" s="16">
        <v>76.0</v>
      </c>
      <c r="W978" s="16">
        <v>29.0</v>
      </c>
      <c r="X978" s="50">
        <v>50120.0</v>
      </c>
      <c r="Y978" s="250">
        <v>3706.0</v>
      </c>
    </row>
    <row r="979">
      <c r="A979" s="11">
        <v>18.0</v>
      </c>
      <c r="B979" s="11">
        <v>19.0</v>
      </c>
      <c r="C979" s="253">
        <v>18.0</v>
      </c>
      <c r="D979" s="235">
        <v>79.0</v>
      </c>
      <c r="E979" s="235">
        <v>79.0</v>
      </c>
      <c r="F979" s="253">
        <v>18.0</v>
      </c>
      <c r="G979" s="235">
        <v>79.0</v>
      </c>
      <c r="H979" s="236">
        <v>1.4998093E7</v>
      </c>
      <c r="I979" s="16">
        <v>74.0</v>
      </c>
      <c r="J979" s="11">
        <v>1.0</v>
      </c>
      <c r="K979" s="11" t="str">
        <f t="shared" si="1"/>
        <v>00790014998093741</v>
      </c>
      <c r="L979" s="238">
        <v>8586.5</v>
      </c>
      <c r="M979" s="254">
        <v>11820.0</v>
      </c>
      <c r="N979" s="16">
        <v>87.0</v>
      </c>
      <c r="O979" s="17">
        <v>10.0</v>
      </c>
      <c r="P979" s="17">
        <v>60.0</v>
      </c>
      <c r="Q979" s="11">
        <v>4.0413056E7</v>
      </c>
      <c r="R979" s="11">
        <v>6.0</v>
      </c>
      <c r="S979" s="24" t="s">
        <v>29</v>
      </c>
      <c r="T979" s="249" t="s">
        <v>6268</v>
      </c>
      <c r="U979" s="17">
        <v>87.0</v>
      </c>
      <c r="V979" s="16">
        <v>40.0</v>
      </c>
      <c r="W979" s="16">
        <v>34.0</v>
      </c>
      <c r="X979" s="50">
        <v>92415.0</v>
      </c>
      <c r="Y979" s="250">
        <v>3959.0</v>
      </c>
    </row>
    <row r="980">
      <c r="A980" s="11">
        <v>14.0</v>
      </c>
      <c r="B980" s="11">
        <v>39.0</v>
      </c>
      <c r="C980" s="253">
        <v>51.0</v>
      </c>
      <c r="D980" s="235">
        <v>45.0</v>
      </c>
      <c r="E980" s="235">
        <v>45.0</v>
      </c>
      <c r="F980" s="253">
        <v>51.0</v>
      </c>
      <c r="G980" s="235">
        <v>45.0</v>
      </c>
      <c r="H980" s="236">
        <v>6.2445069E7</v>
      </c>
      <c r="I980" s="16">
        <v>17.0</v>
      </c>
      <c r="J980" s="11">
        <v>5.0</v>
      </c>
      <c r="K980" s="11" t="str">
        <f t="shared" si="1"/>
        <v>00450062445069175</v>
      </c>
      <c r="L980" s="238">
        <v>599.5</v>
      </c>
      <c r="M980" s="254">
        <v>102516.0</v>
      </c>
      <c r="N980" s="16">
        <v>25.0</v>
      </c>
      <c r="O980" s="17">
        <v>36.0</v>
      </c>
      <c r="P980" s="17">
        <v>40.0</v>
      </c>
      <c r="Q980" s="11">
        <v>4.5662406E7</v>
      </c>
      <c r="R980" s="11">
        <v>9.0</v>
      </c>
      <c r="S980" s="24" t="s">
        <v>5292</v>
      </c>
      <c r="T980" s="249" t="s">
        <v>6269</v>
      </c>
      <c r="U980" s="17">
        <v>39.0</v>
      </c>
      <c r="V980" s="16">
        <v>1.0</v>
      </c>
      <c r="W980" s="16">
        <v>61.0</v>
      </c>
      <c r="X980" s="50">
        <v>21213.0</v>
      </c>
      <c r="Y980" s="250">
        <v>7683.0</v>
      </c>
    </row>
    <row r="981">
      <c r="A981" s="11">
        <v>15.0</v>
      </c>
      <c r="B981" s="11">
        <v>19.0</v>
      </c>
      <c r="C981" s="253">
        <v>1.0</v>
      </c>
      <c r="D981" s="235">
        <v>69.0</v>
      </c>
      <c r="E981" s="235">
        <v>69.0</v>
      </c>
      <c r="F981" s="253">
        <v>1.0</v>
      </c>
      <c r="G981" s="235">
        <v>69.0</v>
      </c>
      <c r="H981" s="236">
        <v>8.8842821E7</v>
      </c>
      <c r="I981" s="16">
        <v>64.0</v>
      </c>
      <c r="J981" s="11">
        <v>6.0</v>
      </c>
      <c r="K981" s="11" t="str">
        <f t="shared" si="1"/>
        <v>00690088842821646</v>
      </c>
      <c r="L981" s="238">
        <v>-420440.25</v>
      </c>
      <c r="M981" s="254">
        <v>31413.0</v>
      </c>
      <c r="N981" s="16">
        <v>77.0</v>
      </c>
      <c r="O981" s="17">
        <v>35.0</v>
      </c>
      <c r="P981" s="17">
        <v>40.0</v>
      </c>
      <c r="Q981" s="11">
        <v>1.4158766E7</v>
      </c>
      <c r="R981" s="11">
        <v>1.0</v>
      </c>
      <c r="S981" s="24" t="s">
        <v>5292</v>
      </c>
      <c r="T981" s="249" t="s">
        <v>6270</v>
      </c>
      <c r="U981" s="17">
        <v>40.0</v>
      </c>
      <c r="V981" s="16">
        <v>24.0</v>
      </c>
      <c r="W981" s="16">
        <v>25.0</v>
      </c>
      <c r="X981" s="50">
        <v>111921.0</v>
      </c>
      <c r="Y981" s="250">
        <v>3593.0</v>
      </c>
    </row>
    <row r="982">
      <c r="A982" s="11">
        <v>16.0</v>
      </c>
      <c r="B982" s="11">
        <v>19.0</v>
      </c>
      <c r="C982" s="253">
        <v>42.0</v>
      </c>
      <c r="D982" s="235">
        <v>81.0</v>
      </c>
      <c r="E982" s="235">
        <v>81.0</v>
      </c>
      <c r="F982" s="253">
        <v>42.0</v>
      </c>
      <c r="G982" s="235">
        <v>81.0</v>
      </c>
      <c r="H982" s="236">
        <v>9.1788548E7</v>
      </c>
      <c r="I982" s="16">
        <v>79.0</v>
      </c>
      <c r="J982" s="11">
        <v>3.0</v>
      </c>
      <c r="K982" s="11" t="str">
        <f t="shared" si="1"/>
        <v>00810091788548793</v>
      </c>
      <c r="L982" s="238">
        <v>38719.54</v>
      </c>
      <c r="M982" s="254">
        <v>52421.0</v>
      </c>
      <c r="N982" s="16">
        <v>84.0</v>
      </c>
      <c r="O982" s="17">
        <v>19.0</v>
      </c>
      <c r="P982" s="17">
        <v>40.0</v>
      </c>
      <c r="Q982" s="11">
        <v>4.5572533E7</v>
      </c>
      <c r="R982" s="11">
        <v>7.0</v>
      </c>
      <c r="S982" s="24" t="s">
        <v>29</v>
      </c>
      <c r="T982" s="249" t="s">
        <v>6271</v>
      </c>
      <c r="U982" s="17">
        <v>42.0</v>
      </c>
      <c r="V982" s="16">
        <v>58.0</v>
      </c>
      <c r="W982" s="16">
        <v>76.0</v>
      </c>
      <c r="X982" s="50">
        <v>120315.0</v>
      </c>
      <c r="Y982" s="250">
        <v>5377.0</v>
      </c>
    </row>
    <row r="983">
      <c r="A983" s="11">
        <v>16.0</v>
      </c>
      <c r="B983" s="11">
        <v>19.0</v>
      </c>
      <c r="C983" s="253">
        <v>28.0</v>
      </c>
      <c r="D983" s="235">
        <v>63.0</v>
      </c>
      <c r="E983" s="235">
        <v>63.0</v>
      </c>
      <c r="F983" s="253">
        <v>28.0</v>
      </c>
      <c r="G983" s="235">
        <v>63.0</v>
      </c>
      <c r="H983" s="236">
        <v>2.1925082E7</v>
      </c>
      <c r="I983" s="16">
        <v>17.0</v>
      </c>
      <c r="J983" s="11">
        <v>2.0</v>
      </c>
      <c r="K983" s="11" t="str">
        <f t="shared" si="1"/>
        <v>00630021925082172</v>
      </c>
      <c r="L983" s="238">
        <v>593682.25</v>
      </c>
      <c r="M983" s="254">
        <v>72616.0</v>
      </c>
      <c r="N983" s="16">
        <v>83.0</v>
      </c>
      <c r="O983" s="17">
        <v>42.0</v>
      </c>
      <c r="P983" s="17">
        <v>81.0</v>
      </c>
      <c r="Q983" s="11">
        <v>2.7625744E7</v>
      </c>
      <c r="R983" s="11">
        <v>2.0</v>
      </c>
      <c r="S983" s="24" t="s">
        <v>29</v>
      </c>
      <c r="T983" s="249" t="s">
        <v>6272</v>
      </c>
      <c r="U983" s="17">
        <v>39.0</v>
      </c>
      <c r="V983" s="16">
        <v>68.0</v>
      </c>
      <c r="W983" s="16">
        <v>72.0</v>
      </c>
      <c r="X983" s="50">
        <v>70314.0</v>
      </c>
      <c r="Y983" s="250">
        <v>6050.0</v>
      </c>
    </row>
    <row r="984">
      <c r="A984" s="11">
        <v>16.0</v>
      </c>
      <c r="B984" s="11">
        <v>19.0</v>
      </c>
      <c r="C984" s="253">
        <v>37.0</v>
      </c>
      <c r="D984" s="235">
        <v>81.0</v>
      </c>
      <c r="E984" s="235">
        <v>81.0</v>
      </c>
      <c r="F984" s="253">
        <v>37.0</v>
      </c>
      <c r="G984" s="235">
        <v>81.0</v>
      </c>
      <c r="H984" s="236">
        <v>4.5200751E7</v>
      </c>
      <c r="I984" s="16">
        <v>75.0</v>
      </c>
      <c r="J984" s="11">
        <v>8.0</v>
      </c>
      <c r="K984" s="11" t="str">
        <f t="shared" si="1"/>
        <v>00810045200751758</v>
      </c>
      <c r="L984" s="238">
        <v>441.37</v>
      </c>
      <c r="M984" s="254">
        <v>92014.0</v>
      </c>
      <c r="N984" s="16">
        <v>53.0</v>
      </c>
      <c r="O984" s="17">
        <v>31.0</v>
      </c>
      <c r="P984" s="17">
        <v>81.0</v>
      </c>
      <c r="Q984" s="11">
        <v>8.2942628E7</v>
      </c>
      <c r="R984" s="11">
        <v>3.0</v>
      </c>
      <c r="S984" s="24" t="s">
        <v>5292</v>
      </c>
      <c r="T984" s="249" t="s">
        <v>6273</v>
      </c>
      <c r="U984" s="17">
        <v>40.0</v>
      </c>
      <c r="V984" s="16">
        <v>72.0</v>
      </c>
      <c r="W984" s="16">
        <v>49.0</v>
      </c>
      <c r="X984" s="50">
        <v>62319.0</v>
      </c>
      <c r="Y984" s="250">
        <v>2521.0</v>
      </c>
    </row>
    <row r="985">
      <c r="A985" s="11">
        <v>16.0</v>
      </c>
      <c r="B985" s="11">
        <v>19.0</v>
      </c>
      <c r="C985" s="253">
        <v>26.0</v>
      </c>
      <c r="D985" s="235">
        <v>89.0</v>
      </c>
      <c r="E985" s="235">
        <v>89.0</v>
      </c>
      <c r="F985" s="253">
        <v>26.0</v>
      </c>
      <c r="G985" s="235">
        <v>89.0</v>
      </c>
      <c r="H985" s="236">
        <v>2.8274146E7</v>
      </c>
      <c r="I985" s="16">
        <v>8.0</v>
      </c>
      <c r="J985" s="11">
        <v>3.0</v>
      </c>
      <c r="K985" s="11" t="str">
        <f t="shared" si="1"/>
        <v>00890028274146083</v>
      </c>
      <c r="L985" s="238">
        <v>868160.84</v>
      </c>
      <c r="M985" s="254">
        <v>52919.0</v>
      </c>
      <c r="N985" s="16">
        <v>92.0</v>
      </c>
      <c r="O985" s="17">
        <v>38.0</v>
      </c>
      <c r="P985" s="17">
        <v>81.0</v>
      </c>
      <c r="Q985" s="11">
        <v>6.8772764E7</v>
      </c>
      <c r="R985" s="11">
        <v>6.0</v>
      </c>
      <c r="S985" s="24" t="s">
        <v>48</v>
      </c>
      <c r="T985" s="249" t="s">
        <v>6274</v>
      </c>
      <c r="U985" s="17">
        <v>41.0</v>
      </c>
      <c r="V985" s="16">
        <v>63.0</v>
      </c>
      <c r="W985" s="16">
        <v>65.0</v>
      </c>
      <c r="X985" s="50">
        <v>103018.0</v>
      </c>
      <c r="Y985" s="250">
        <v>119.0</v>
      </c>
    </row>
    <row r="986">
      <c r="A986" s="11">
        <v>12.0</v>
      </c>
      <c r="B986" s="11">
        <v>81.0</v>
      </c>
      <c r="C986" s="253">
        <v>27.0</v>
      </c>
      <c r="D986" s="235">
        <v>41.0</v>
      </c>
      <c r="E986" s="235">
        <v>41.0</v>
      </c>
      <c r="F986" s="253">
        <v>27.0</v>
      </c>
      <c r="G986" s="235">
        <v>41.0</v>
      </c>
      <c r="H986" s="236">
        <v>7.3375822E7</v>
      </c>
      <c r="I986" s="16">
        <v>92.0</v>
      </c>
      <c r="J986" s="11">
        <v>2.0</v>
      </c>
      <c r="K986" s="11" t="str">
        <f t="shared" si="1"/>
        <v>00410073375822922</v>
      </c>
      <c r="L986" s="238">
        <v>-3237.76</v>
      </c>
      <c r="M986" s="254">
        <v>51414.0</v>
      </c>
      <c r="N986" s="16">
        <v>37.0</v>
      </c>
      <c r="O986" s="17">
        <v>4.0</v>
      </c>
      <c r="P986" s="17">
        <v>81.0</v>
      </c>
      <c r="Q986" s="11">
        <v>5.827509E7</v>
      </c>
      <c r="R986" s="11">
        <v>7.0</v>
      </c>
      <c r="S986" s="24" t="s">
        <v>5292</v>
      </c>
      <c r="T986" s="249" t="s">
        <v>6275</v>
      </c>
      <c r="U986" s="17">
        <v>44.0</v>
      </c>
      <c r="V986" s="16">
        <v>84.0</v>
      </c>
      <c r="W986" s="16">
        <v>81.0</v>
      </c>
      <c r="X986" s="50">
        <v>122521.0</v>
      </c>
      <c r="Y986" s="250">
        <v>5564.0</v>
      </c>
    </row>
    <row r="987">
      <c r="A987" s="11">
        <v>12.0</v>
      </c>
      <c r="B987" s="11">
        <v>81.0</v>
      </c>
      <c r="C987" s="253">
        <v>19.0</v>
      </c>
      <c r="D987" s="235">
        <v>141.0</v>
      </c>
      <c r="E987" s="235">
        <v>141.0</v>
      </c>
      <c r="F987" s="253">
        <v>19.0</v>
      </c>
      <c r="G987" s="235">
        <v>141.0</v>
      </c>
      <c r="H987" s="236">
        <v>5.6795797E7</v>
      </c>
      <c r="I987" s="16">
        <v>10.0</v>
      </c>
      <c r="J987" s="11">
        <v>1.0</v>
      </c>
      <c r="K987" s="11" t="str">
        <f t="shared" si="1"/>
        <v>01410056795797101</v>
      </c>
      <c r="L987" s="238">
        <v>-632956.21</v>
      </c>
      <c r="M987" s="254">
        <v>50620.0</v>
      </c>
      <c r="N987" s="16">
        <v>41.0</v>
      </c>
      <c r="O987" s="17">
        <v>50.0</v>
      </c>
      <c r="P987" s="17">
        <v>81.0</v>
      </c>
      <c r="Q987" s="11">
        <v>8.2778362E7</v>
      </c>
      <c r="R987" s="11">
        <v>1.0</v>
      </c>
      <c r="S987" s="24" t="s">
        <v>29</v>
      </c>
      <c r="T987" s="249" t="s">
        <v>6276</v>
      </c>
      <c r="U987" s="17">
        <v>45.0</v>
      </c>
      <c r="V987" s="16">
        <v>41.0</v>
      </c>
      <c r="W987" s="16">
        <v>23.0</v>
      </c>
      <c r="X987" s="50">
        <v>62220.0</v>
      </c>
      <c r="Y987" s="250">
        <v>9815.0</v>
      </c>
    </row>
    <row r="988">
      <c r="A988" s="11">
        <v>17.0</v>
      </c>
      <c r="B988" s="11">
        <v>19.0</v>
      </c>
      <c r="C988" s="253">
        <v>40.0</v>
      </c>
      <c r="D988" s="235">
        <v>153.0</v>
      </c>
      <c r="E988" s="235">
        <v>153.0</v>
      </c>
      <c r="F988" s="253">
        <v>40.0</v>
      </c>
      <c r="G988" s="235">
        <v>153.0</v>
      </c>
      <c r="H988" s="236">
        <v>2.2621499E7</v>
      </c>
      <c r="I988" s="16">
        <v>25.0</v>
      </c>
      <c r="J988" s="11">
        <v>2.0</v>
      </c>
      <c r="K988" s="11" t="str">
        <f t="shared" si="1"/>
        <v>01530022621499252</v>
      </c>
      <c r="L988" s="238">
        <v>403327.66</v>
      </c>
      <c r="M988" s="254">
        <v>70815.0</v>
      </c>
      <c r="N988" s="16">
        <v>17.0</v>
      </c>
      <c r="O988" s="17">
        <v>41.0</v>
      </c>
      <c r="P988" s="17">
        <v>40.0</v>
      </c>
      <c r="Q988" s="11">
        <v>7.341234E7</v>
      </c>
      <c r="R988" s="11">
        <v>5.0</v>
      </c>
      <c r="S988" s="24" t="s">
        <v>48</v>
      </c>
      <c r="T988" s="249" t="s">
        <v>6277</v>
      </c>
      <c r="U988" s="17">
        <v>48.0</v>
      </c>
      <c r="V988" s="16">
        <v>40.0</v>
      </c>
      <c r="W988" s="16">
        <v>73.0</v>
      </c>
      <c r="X988" s="50">
        <v>40518.0</v>
      </c>
      <c r="Y988" s="250">
        <v>6551.0</v>
      </c>
    </row>
    <row r="989">
      <c r="A989" s="11">
        <v>14.0</v>
      </c>
      <c r="B989" s="11">
        <v>19.0</v>
      </c>
      <c r="C989" s="253">
        <v>48.0</v>
      </c>
      <c r="D989" s="235">
        <v>143.0</v>
      </c>
      <c r="E989" s="235">
        <v>143.0</v>
      </c>
      <c r="F989" s="253">
        <v>48.0</v>
      </c>
      <c r="G989" s="235">
        <v>143.0</v>
      </c>
      <c r="H989" s="236">
        <v>7.2785735E7</v>
      </c>
      <c r="I989" s="16">
        <v>37.0</v>
      </c>
      <c r="J989" s="11">
        <v>9.0</v>
      </c>
      <c r="K989" s="11" t="str">
        <f t="shared" si="1"/>
        <v>01430072785735379</v>
      </c>
      <c r="L989" s="238">
        <v>98862.75</v>
      </c>
      <c r="M989" s="254">
        <v>31013.0</v>
      </c>
      <c r="N989" s="16">
        <v>84.0</v>
      </c>
      <c r="O989" s="17">
        <v>4.0</v>
      </c>
      <c r="P989" s="17">
        <v>40.0</v>
      </c>
      <c r="Q989" s="11">
        <v>2.1338064E7</v>
      </c>
      <c r="R989" s="11">
        <v>6.0</v>
      </c>
      <c r="S989" s="24" t="s">
        <v>39</v>
      </c>
      <c r="T989" s="249" t="s">
        <v>6278</v>
      </c>
      <c r="U989" s="17">
        <v>54.0</v>
      </c>
      <c r="V989" s="16">
        <v>40.0</v>
      </c>
      <c r="W989" s="16">
        <v>55.0</v>
      </c>
      <c r="X989" s="50">
        <v>62316.0</v>
      </c>
      <c r="Y989" s="250">
        <v>6563.0</v>
      </c>
    </row>
    <row r="990">
      <c r="A990" s="11">
        <v>15.0</v>
      </c>
      <c r="B990" s="11">
        <v>81.0</v>
      </c>
      <c r="C990" s="253">
        <v>20.0</v>
      </c>
      <c r="D990" s="235">
        <v>57.0</v>
      </c>
      <c r="E990" s="235">
        <v>57.0</v>
      </c>
      <c r="F990" s="253">
        <v>20.0</v>
      </c>
      <c r="G990" s="235">
        <v>57.0</v>
      </c>
      <c r="H990" s="236">
        <v>7.3633746E7</v>
      </c>
      <c r="I990" s="16">
        <v>29.0</v>
      </c>
      <c r="J990" s="11">
        <v>0.0</v>
      </c>
      <c r="K990" s="11" t="str">
        <f t="shared" si="1"/>
        <v>00570073633746290</v>
      </c>
      <c r="L990" s="238">
        <v>73964.13</v>
      </c>
      <c r="M990" s="254">
        <v>51819.0</v>
      </c>
      <c r="N990" s="16">
        <v>94.0</v>
      </c>
      <c r="O990" s="17">
        <v>17.0</v>
      </c>
      <c r="P990" s="17">
        <v>20.0</v>
      </c>
      <c r="Q990" s="11">
        <v>6.3851358E7</v>
      </c>
      <c r="R990" s="11">
        <v>7.0</v>
      </c>
      <c r="S990" s="24" t="s">
        <v>48</v>
      </c>
      <c r="T990" s="249" t="s">
        <v>6279</v>
      </c>
      <c r="U990" s="17">
        <v>7.0</v>
      </c>
      <c r="V990" s="16">
        <v>93.0</v>
      </c>
      <c r="W990" s="16">
        <v>16.0</v>
      </c>
      <c r="X990" s="50">
        <v>121219.0</v>
      </c>
      <c r="Y990" s="250">
        <v>7538.0</v>
      </c>
    </row>
    <row r="991">
      <c r="A991" s="11">
        <v>17.0</v>
      </c>
      <c r="B991" s="11">
        <v>81.0</v>
      </c>
      <c r="C991" s="253">
        <v>26.0</v>
      </c>
      <c r="D991" s="235">
        <v>137.0</v>
      </c>
      <c r="E991" s="235">
        <v>137.0</v>
      </c>
      <c r="F991" s="253">
        <v>26.0</v>
      </c>
      <c r="G991" s="235">
        <v>137.0</v>
      </c>
      <c r="H991" s="236">
        <v>9.4649261E7</v>
      </c>
      <c r="I991" s="16">
        <v>14.0</v>
      </c>
      <c r="J991" s="11">
        <v>7.0</v>
      </c>
      <c r="K991" s="11" t="str">
        <f t="shared" si="1"/>
        <v>01370094649261147</v>
      </c>
      <c r="L991" s="238">
        <v>6270.96</v>
      </c>
      <c r="M991" s="254">
        <v>22716.0</v>
      </c>
      <c r="N991" s="16">
        <v>42.0</v>
      </c>
      <c r="O991" s="17">
        <v>22.0</v>
      </c>
      <c r="P991" s="17">
        <v>40.0</v>
      </c>
      <c r="Q991" s="11">
        <v>9.865554E7</v>
      </c>
      <c r="R991" s="11">
        <v>1.0</v>
      </c>
      <c r="S991" s="24" t="s">
        <v>5292</v>
      </c>
      <c r="T991" s="249" t="s">
        <v>6280</v>
      </c>
      <c r="U991" s="17">
        <v>58.0</v>
      </c>
      <c r="V991" s="16">
        <v>93.0</v>
      </c>
      <c r="W991" s="16">
        <v>1.0</v>
      </c>
      <c r="X991" s="50">
        <v>40814.0</v>
      </c>
      <c r="Y991" s="250">
        <v>1606.0</v>
      </c>
    </row>
    <row r="992">
      <c r="A992" s="11">
        <v>15.0</v>
      </c>
      <c r="B992" s="11">
        <v>19.0</v>
      </c>
      <c r="C992" s="253">
        <v>36.0</v>
      </c>
      <c r="D992" s="235">
        <v>69.0</v>
      </c>
      <c r="E992" s="235">
        <v>69.0</v>
      </c>
      <c r="F992" s="253">
        <v>36.0</v>
      </c>
      <c r="G992" s="235">
        <v>69.0</v>
      </c>
      <c r="H992" s="236">
        <v>5.0836378E7</v>
      </c>
      <c r="I992" s="16">
        <v>94.0</v>
      </c>
      <c r="J992" s="11">
        <v>1.0</v>
      </c>
      <c r="K992" s="11" t="str">
        <f t="shared" si="1"/>
        <v>00690050836378941</v>
      </c>
      <c r="L992" s="238">
        <v>375.77</v>
      </c>
      <c r="M992" s="254">
        <v>91619.0</v>
      </c>
      <c r="N992" s="16">
        <v>9.0</v>
      </c>
      <c r="O992" s="17">
        <v>27.0</v>
      </c>
      <c r="P992" s="17">
        <v>40.0</v>
      </c>
      <c r="Q992" s="11">
        <v>7.2124603E7</v>
      </c>
      <c r="R992" s="11">
        <v>1.0</v>
      </c>
      <c r="S992" s="24" t="s">
        <v>5292</v>
      </c>
      <c r="T992" s="249" t="s">
        <v>6281</v>
      </c>
      <c r="U992" s="17">
        <v>61.0</v>
      </c>
      <c r="V992" s="16">
        <v>56.0</v>
      </c>
      <c r="W992" s="16">
        <v>32.0</v>
      </c>
      <c r="X992" s="50">
        <v>72414.0</v>
      </c>
      <c r="Y992" s="250">
        <v>114.0</v>
      </c>
    </row>
    <row r="993">
      <c r="A993" s="11">
        <v>19.0</v>
      </c>
      <c r="B993" s="11">
        <v>81.0</v>
      </c>
      <c r="C993" s="253">
        <v>51.0</v>
      </c>
      <c r="D993" s="235">
        <v>650.0</v>
      </c>
      <c r="E993" s="235">
        <v>650.0</v>
      </c>
      <c r="F993" s="253">
        <v>51.0</v>
      </c>
      <c r="G993" s="235">
        <v>650.0</v>
      </c>
      <c r="H993" s="236">
        <v>7.5023492E7</v>
      </c>
      <c r="I993" s="16">
        <v>36.0</v>
      </c>
      <c r="J993" s="11">
        <v>7.0</v>
      </c>
      <c r="K993" s="11" t="str">
        <f t="shared" si="1"/>
        <v>06500075023492367</v>
      </c>
      <c r="L993" s="238">
        <v>114035.79</v>
      </c>
      <c r="M993" s="254">
        <v>81520.0</v>
      </c>
      <c r="N993" s="16">
        <v>88.0</v>
      </c>
      <c r="O993" s="17">
        <v>8.0</v>
      </c>
      <c r="P993" s="17">
        <v>81.0</v>
      </c>
      <c r="Q993" s="11">
        <v>1.4496317E7</v>
      </c>
      <c r="R993" s="11">
        <v>2.0</v>
      </c>
      <c r="S993" s="24" t="s">
        <v>29</v>
      </c>
      <c r="T993" s="249" t="s">
        <v>6282</v>
      </c>
      <c r="U993" s="17">
        <v>58.0</v>
      </c>
      <c r="V993" s="16">
        <v>48.0</v>
      </c>
      <c r="W993" s="16">
        <v>42.0</v>
      </c>
      <c r="X993" s="50">
        <v>51517.0</v>
      </c>
      <c r="Y993" s="250">
        <v>182.0</v>
      </c>
    </row>
    <row r="994">
      <c r="A994" s="11">
        <v>13.0</v>
      </c>
      <c r="B994" s="11">
        <v>81.0</v>
      </c>
      <c r="C994" s="253">
        <v>53.0</v>
      </c>
      <c r="D994" s="235">
        <v>17.0</v>
      </c>
      <c r="E994" s="235">
        <v>17.0</v>
      </c>
      <c r="F994" s="253">
        <v>53.0</v>
      </c>
      <c r="G994" s="235">
        <v>17.0</v>
      </c>
      <c r="H994" s="236">
        <v>8.2793731E7</v>
      </c>
      <c r="I994" s="16">
        <v>58.0</v>
      </c>
      <c r="J994" s="11">
        <v>1.0</v>
      </c>
      <c r="K994" s="11" t="str">
        <f t="shared" si="1"/>
        <v>00170082793731581</v>
      </c>
      <c r="L994" s="238">
        <v>3365.1</v>
      </c>
      <c r="M994" s="254">
        <v>73021.0</v>
      </c>
      <c r="N994" s="16">
        <v>51.0</v>
      </c>
      <c r="O994" s="17">
        <v>34.0</v>
      </c>
      <c r="P994" s="17">
        <v>20.0</v>
      </c>
      <c r="Q994" s="11">
        <v>6.5216981E7</v>
      </c>
      <c r="R994" s="11">
        <v>6.0</v>
      </c>
      <c r="S994" s="24" t="s">
        <v>39</v>
      </c>
      <c r="T994" s="249" t="s">
        <v>6283</v>
      </c>
      <c r="U994" s="17">
        <v>20.0</v>
      </c>
      <c r="V994" s="16">
        <v>4.0</v>
      </c>
      <c r="W994" s="16">
        <v>25.0</v>
      </c>
      <c r="X994" s="50">
        <v>81721.0</v>
      </c>
      <c r="Y994" s="250">
        <v>7939.0</v>
      </c>
    </row>
    <row r="995">
      <c r="A995" s="11">
        <v>10.0</v>
      </c>
      <c r="B995" s="11">
        <v>61.0</v>
      </c>
      <c r="C995" s="253">
        <v>50.0</v>
      </c>
      <c r="D995" s="235">
        <v>17.0</v>
      </c>
      <c r="E995" s="235">
        <v>17.0</v>
      </c>
      <c r="F995" s="253">
        <v>50.0</v>
      </c>
      <c r="G995" s="235">
        <v>17.0</v>
      </c>
      <c r="H995" s="236">
        <v>3.9083199E7</v>
      </c>
      <c r="I995" s="16">
        <v>91.0</v>
      </c>
      <c r="J995" s="11">
        <v>3.0</v>
      </c>
      <c r="K995" s="11" t="str">
        <f t="shared" si="1"/>
        <v>00170039083199913</v>
      </c>
      <c r="L995" s="238">
        <v>461041.37</v>
      </c>
      <c r="M995" s="254">
        <v>90816.0</v>
      </c>
      <c r="N995" s="16">
        <v>88.0</v>
      </c>
      <c r="O995" s="17">
        <v>9.0</v>
      </c>
      <c r="P995" s="17">
        <v>20.0</v>
      </c>
      <c r="Q995" s="11">
        <v>8.1613769E7</v>
      </c>
      <c r="R995" s="11">
        <v>8.0</v>
      </c>
      <c r="S995" s="24" t="s">
        <v>48</v>
      </c>
      <c r="T995" s="249" t="s">
        <v>6284</v>
      </c>
      <c r="U995" s="17">
        <v>21.0</v>
      </c>
      <c r="V995" s="16">
        <v>42.0</v>
      </c>
      <c r="W995" s="16">
        <v>95.0</v>
      </c>
      <c r="X995" s="50">
        <v>81913.0</v>
      </c>
      <c r="Y995" s="250">
        <v>6933.0</v>
      </c>
    </row>
    <row r="996">
      <c r="A996" s="11">
        <v>18.0</v>
      </c>
      <c r="B996" s="11">
        <v>61.0</v>
      </c>
      <c r="C996" s="253">
        <v>30.0</v>
      </c>
      <c r="D996" s="235">
        <v>77.0</v>
      </c>
      <c r="E996" s="235">
        <v>77.0</v>
      </c>
      <c r="F996" s="253">
        <v>30.0</v>
      </c>
      <c r="G996" s="235">
        <v>77.0</v>
      </c>
      <c r="H996" s="236">
        <v>4.8007622E7</v>
      </c>
      <c r="I996" s="16">
        <v>72.0</v>
      </c>
      <c r="J996" s="11">
        <v>4.0</v>
      </c>
      <c r="K996" s="11" t="str">
        <f t="shared" si="1"/>
        <v>00770048007622724</v>
      </c>
      <c r="L996" s="238">
        <v>64846.37</v>
      </c>
      <c r="M996" s="254">
        <v>92516.0</v>
      </c>
      <c r="N996" s="16">
        <v>8.0</v>
      </c>
      <c r="O996" s="17">
        <v>17.0</v>
      </c>
      <c r="P996" s="17">
        <v>81.0</v>
      </c>
      <c r="Q996" s="11">
        <v>1.6752355E7</v>
      </c>
      <c r="R996" s="11">
        <v>8.0</v>
      </c>
      <c r="S996" s="24" t="s">
        <v>5292</v>
      </c>
      <c r="T996" s="249" t="s">
        <v>6285</v>
      </c>
      <c r="U996" s="17">
        <v>68.0</v>
      </c>
      <c r="V996" s="16">
        <v>71.0</v>
      </c>
      <c r="W996" s="16">
        <v>84.0</v>
      </c>
      <c r="X996" s="50">
        <v>101019.0</v>
      </c>
      <c r="Y996" s="250">
        <v>7653.0</v>
      </c>
    </row>
    <row r="997">
      <c r="A997" s="11">
        <v>13.0</v>
      </c>
      <c r="B997" s="11">
        <v>81.0</v>
      </c>
      <c r="C997" s="253">
        <v>21.0</v>
      </c>
      <c r="D997" s="235">
        <v>119.0</v>
      </c>
      <c r="E997" s="235">
        <v>119.0</v>
      </c>
      <c r="F997" s="253">
        <v>21.0</v>
      </c>
      <c r="G997" s="235">
        <v>119.0</v>
      </c>
      <c r="H997" s="236">
        <v>9.2542511E7</v>
      </c>
      <c r="I997" s="16">
        <v>86.0</v>
      </c>
      <c r="J997" s="11">
        <v>0.0</v>
      </c>
      <c r="K997" s="11" t="str">
        <f t="shared" si="1"/>
        <v>01190092542511860</v>
      </c>
      <c r="L997" s="238">
        <v>799.6</v>
      </c>
      <c r="M997" s="254">
        <v>81623.0</v>
      </c>
      <c r="N997" s="16">
        <v>29.0</v>
      </c>
      <c r="O997" s="17">
        <v>39.0</v>
      </c>
      <c r="P997" s="17">
        <v>40.0</v>
      </c>
      <c r="Q997" s="11">
        <v>3.190367E7</v>
      </c>
      <c r="R997" s="11">
        <v>0.0</v>
      </c>
      <c r="S997" s="24" t="s">
        <v>39</v>
      </c>
      <c r="T997" s="249" t="s">
        <v>6286</v>
      </c>
      <c r="U997" s="17">
        <v>74.0</v>
      </c>
      <c r="V997" s="16">
        <v>87.0</v>
      </c>
      <c r="W997" s="16">
        <v>55.0</v>
      </c>
      <c r="X997" s="50">
        <v>50414.0</v>
      </c>
      <c r="Y997" s="250">
        <v>102.0</v>
      </c>
    </row>
    <row r="998">
      <c r="A998" s="11">
        <v>17.0</v>
      </c>
      <c r="B998" s="11">
        <v>61.0</v>
      </c>
      <c r="C998" s="253">
        <v>54.0</v>
      </c>
      <c r="D998" s="235">
        <v>71.0</v>
      </c>
      <c r="E998" s="235">
        <v>71.0</v>
      </c>
      <c r="F998" s="253">
        <v>54.0</v>
      </c>
      <c r="G998" s="235">
        <v>71.0</v>
      </c>
      <c r="H998" s="236">
        <v>6.0140475E7</v>
      </c>
      <c r="I998" s="16">
        <v>42.0</v>
      </c>
      <c r="J998" s="11">
        <v>7.0</v>
      </c>
      <c r="K998" s="11" t="str">
        <f t="shared" si="1"/>
        <v>00710060140475427</v>
      </c>
      <c r="L998" s="238">
        <v>938765.53</v>
      </c>
      <c r="M998" s="254">
        <v>102715.0</v>
      </c>
      <c r="N998" s="16">
        <v>71.0</v>
      </c>
      <c r="O998" s="17">
        <v>42.0</v>
      </c>
      <c r="P998" s="17">
        <v>81.0</v>
      </c>
      <c r="Q998" s="11">
        <v>1.1910034E7</v>
      </c>
      <c r="R998" s="11">
        <v>3.0</v>
      </c>
      <c r="S998" s="24" t="s">
        <v>5292</v>
      </c>
      <c r="T998" s="249" t="s">
        <v>6287</v>
      </c>
      <c r="U998" s="17">
        <v>77.0</v>
      </c>
      <c r="V998" s="16">
        <v>73.0</v>
      </c>
      <c r="W998" s="16">
        <v>48.0</v>
      </c>
      <c r="X998" s="50">
        <v>92318.0</v>
      </c>
      <c r="Y998" s="250">
        <v>4054.0</v>
      </c>
    </row>
    <row r="999">
      <c r="A999" s="11">
        <v>20.0</v>
      </c>
      <c r="B999" s="11">
        <v>61.0</v>
      </c>
      <c r="C999" s="253">
        <v>56.0</v>
      </c>
      <c r="D999" s="235">
        <v>1.0</v>
      </c>
      <c r="E999" s="235">
        <v>1.0</v>
      </c>
      <c r="F999" s="253">
        <v>56.0</v>
      </c>
      <c r="G999" s="235">
        <v>1.0</v>
      </c>
      <c r="H999" s="236">
        <v>9.0467689E7</v>
      </c>
      <c r="I999" s="16">
        <v>90.0</v>
      </c>
      <c r="J999" s="11">
        <v>2.0</v>
      </c>
      <c r="K999" s="11" t="str">
        <f t="shared" si="1"/>
        <v>00010090467689902</v>
      </c>
      <c r="L999" s="238">
        <v>-172.22</v>
      </c>
      <c r="M999" s="254">
        <v>51713.0</v>
      </c>
      <c r="N999" s="16">
        <v>14.0</v>
      </c>
      <c r="O999" s="17">
        <v>33.0</v>
      </c>
      <c r="P999" s="17">
        <v>40.0</v>
      </c>
      <c r="Q999" s="11">
        <v>3.0784313E7</v>
      </c>
      <c r="R999" s="11">
        <v>4.0</v>
      </c>
      <c r="S999" s="24" t="s">
        <v>5292</v>
      </c>
      <c r="T999" s="249" t="s">
        <v>6288</v>
      </c>
      <c r="U999" s="17">
        <v>83.0</v>
      </c>
      <c r="V999" s="16">
        <v>72.0</v>
      </c>
      <c r="W999" s="16">
        <v>25.0</v>
      </c>
      <c r="X999" s="50">
        <v>21115.0</v>
      </c>
      <c r="Y999" s="250">
        <v>6620.0</v>
      </c>
    </row>
    <row r="1000">
      <c r="A1000" s="11">
        <v>17.0</v>
      </c>
      <c r="B1000" s="11">
        <v>81.0</v>
      </c>
      <c r="C1000" s="253">
        <v>38.0</v>
      </c>
      <c r="D1000" s="235">
        <v>101.0</v>
      </c>
      <c r="E1000" s="235">
        <v>101.0</v>
      </c>
      <c r="F1000" s="253">
        <v>38.0</v>
      </c>
      <c r="G1000" s="235">
        <v>101.0</v>
      </c>
      <c r="H1000" s="236">
        <v>7.9956177E7</v>
      </c>
      <c r="I1000" s="16">
        <v>34.0</v>
      </c>
      <c r="J1000" s="11">
        <v>4.0</v>
      </c>
      <c r="K1000" s="11" t="str">
        <f t="shared" si="1"/>
        <v>01010079956177344</v>
      </c>
      <c r="L1000" s="238">
        <v>2241.73</v>
      </c>
      <c r="M1000" s="254">
        <v>91621.0</v>
      </c>
      <c r="N1000" s="16">
        <v>64.0</v>
      </c>
      <c r="O1000" s="17">
        <v>41.0</v>
      </c>
      <c r="P1000" s="17">
        <v>40.0</v>
      </c>
      <c r="Q1000" s="11">
        <v>1.002343E7</v>
      </c>
      <c r="R1000" s="11">
        <v>0.0</v>
      </c>
      <c r="S1000" s="24" t="s">
        <v>5292</v>
      </c>
      <c r="T1000" s="249" t="s">
        <v>6289</v>
      </c>
      <c r="U1000" s="17">
        <v>84.0</v>
      </c>
      <c r="V1000" s="16">
        <v>54.0</v>
      </c>
      <c r="W1000" s="16">
        <v>61.0</v>
      </c>
      <c r="X1000" s="50">
        <v>11019.0</v>
      </c>
      <c r="Y1000" s="250">
        <v>3052.0</v>
      </c>
    </row>
    <row r="1001">
      <c r="A1001" s="11">
        <v>20.0</v>
      </c>
      <c r="B1001" s="11">
        <v>81.0</v>
      </c>
      <c r="C1001" s="253">
        <v>26.0</v>
      </c>
      <c r="D1001" s="235">
        <v>129.0</v>
      </c>
      <c r="E1001" s="235">
        <v>129.0</v>
      </c>
      <c r="F1001" s="253">
        <v>26.0</v>
      </c>
      <c r="G1001" s="235">
        <v>129.0</v>
      </c>
      <c r="H1001" s="236">
        <v>5.4842807E7</v>
      </c>
      <c r="I1001" s="16">
        <v>45.0</v>
      </c>
      <c r="J1001" s="11">
        <v>0.0</v>
      </c>
      <c r="K1001" s="11" t="str">
        <f t="shared" si="1"/>
        <v>01290054842807450</v>
      </c>
      <c r="L1001" s="238">
        <v>95721.91</v>
      </c>
      <c r="M1001" s="254">
        <v>62317.0</v>
      </c>
      <c r="N1001" s="16">
        <v>37.0</v>
      </c>
      <c r="O1001" s="17">
        <v>17.0</v>
      </c>
      <c r="P1001" s="17">
        <v>61.0</v>
      </c>
      <c r="Q1001" s="11">
        <v>2.9088097E7</v>
      </c>
      <c r="R1001" s="11">
        <v>4.0</v>
      </c>
      <c r="S1001" s="24" t="s">
        <v>29</v>
      </c>
      <c r="T1001" s="249" t="s">
        <v>6290</v>
      </c>
      <c r="U1001" s="17">
        <v>32.0</v>
      </c>
      <c r="V1001" s="16">
        <v>24.0</v>
      </c>
      <c r="W1001" s="16">
        <v>67.0</v>
      </c>
      <c r="X1001" s="50">
        <v>42715.0</v>
      </c>
      <c r="Y1001" s="250">
        <v>2375.0</v>
      </c>
    </row>
    <row r="1002">
      <c r="A1002" s="11">
        <v>12.0</v>
      </c>
      <c r="B1002" s="11">
        <v>61.0</v>
      </c>
      <c r="C1002" s="253">
        <v>41.0</v>
      </c>
      <c r="D1002" s="235">
        <v>47.0</v>
      </c>
      <c r="E1002" s="235">
        <v>47.0</v>
      </c>
      <c r="F1002" s="253">
        <v>41.0</v>
      </c>
      <c r="G1002" s="235">
        <v>47.0</v>
      </c>
      <c r="H1002" s="236">
        <v>9.5259511E7</v>
      </c>
      <c r="I1002" s="16">
        <v>57.0</v>
      </c>
      <c r="J1002" s="11">
        <v>6.0</v>
      </c>
      <c r="K1002" s="11" t="str">
        <f t="shared" si="1"/>
        <v>00470095259511576</v>
      </c>
      <c r="L1002" s="238">
        <v>41602.4</v>
      </c>
      <c r="M1002" s="254">
        <v>82319.0</v>
      </c>
      <c r="N1002" s="16">
        <v>94.0</v>
      </c>
      <c r="O1002" s="17">
        <v>17.0</v>
      </c>
      <c r="P1002" s="17">
        <v>40.0</v>
      </c>
      <c r="Q1002" s="11">
        <v>9.794364E7</v>
      </c>
      <c r="R1002" s="11">
        <v>9.0</v>
      </c>
      <c r="S1002" s="24" t="s">
        <v>29</v>
      </c>
      <c r="T1002" s="249" t="s">
        <v>6291</v>
      </c>
      <c r="U1002" s="17">
        <v>87.0</v>
      </c>
      <c r="V1002" s="16">
        <v>32.0</v>
      </c>
      <c r="W1002" s="16">
        <v>17.0</v>
      </c>
      <c r="X1002" s="50">
        <v>90914.0</v>
      </c>
      <c r="Y1002" s="250">
        <v>2227.0</v>
      </c>
    </row>
    <row r="1003">
      <c r="A1003" s="11">
        <v>13.0</v>
      </c>
      <c r="B1003" s="11">
        <v>81.0</v>
      </c>
      <c r="C1003" s="253">
        <v>20.0</v>
      </c>
      <c r="D1003" s="235">
        <v>37.0</v>
      </c>
      <c r="E1003" s="235">
        <v>37.0</v>
      </c>
      <c r="F1003" s="253">
        <v>20.0</v>
      </c>
      <c r="G1003" s="235">
        <v>37.0</v>
      </c>
      <c r="H1003" s="236">
        <v>4.7216491E7</v>
      </c>
      <c r="I1003" s="16">
        <v>40.0</v>
      </c>
      <c r="J1003" s="11">
        <v>0.0</v>
      </c>
      <c r="K1003" s="11" t="str">
        <f t="shared" si="1"/>
        <v>00370047216491400</v>
      </c>
      <c r="L1003" s="238">
        <v>7776.49</v>
      </c>
      <c r="M1003" s="254">
        <v>91623.0</v>
      </c>
      <c r="N1003" s="16">
        <v>42.0</v>
      </c>
      <c r="O1003" s="17">
        <v>27.0</v>
      </c>
      <c r="P1003" s="17">
        <v>81.0</v>
      </c>
      <c r="Q1003" s="11">
        <v>6.2095126E7</v>
      </c>
      <c r="R1003" s="11">
        <v>4.0</v>
      </c>
      <c r="S1003" s="24" t="s">
        <v>5292</v>
      </c>
      <c r="T1003" s="249" t="s">
        <v>6292</v>
      </c>
      <c r="U1003" s="17">
        <v>85.0</v>
      </c>
      <c r="V1003" s="16">
        <v>14.0</v>
      </c>
      <c r="W1003" s="16">
        <v>24.0</v>
      </c>
      <c r="X1003" s="50">
        <v>51722.0</v>
      </c>
      <c r="Y1003" s="250">
        <v>3562.0</v>
      </c>
    </row>
    <row r="1004">
      <c r="A1004" s="32"/>
      <c r="B1004" s="32"/>
      <c r="C1004" s="255"/>
      <c r="D1004" s="241"/>
      <c r="E1004" s="242"/>
      <c r="F1004" s="255"/>
      <c r="G1004" s="241"/>
      <c r="H1004" s="256"/>
      <c r="I1004" s="257"/>
      <c r="J1004" s="32"/>
      <c r="K1004" s="32"/>
      <c r="L1004" s="32"/>
      <c r="M1004" s="32"/>
      <c r="N1004" s="257"/>
      <c r="O1004" s="32"/>
      <c r="P1004" s="32"/>
      <c r="Q1004" s="32"/>
      <c r="R1004" s="32"/>
      <c r="S1004" s="258"/>
      <c r="T1004" s="259"/>
      <c r="U1004" s="260"/>
      <c r="V1004" s="260"/>
      <c r="W1004" s="260"/>
      <c r="X1004" s="261"/>
      <c r="Y1004" s="262"/>
    </row>
    <row r="1005">
      <c r="A1005" s="32"/>
      <c r="B1005" s="32"/>
      <c r="C1005" s="25"/>
      <c r="D1005" s="242"/>
      <c r="E1005" s="242"/>
      <c r="F1005" s="25"/>
      <c r="G1005" s="242"/>
      <c r="H1005" s="256"/>
      <c r="I1005" s="257"/>
      <c r="J1005" s="32"/>
      <c r="K1005" s="32"/>
      <c r="L1005" s="32"/>
      <c r="M1005" s="32"/>
      <c r="N1005" s="257"/>
      <c r="O1005" s="32"/>
      <c r="P1005" s="32"/>
      <c r="Q1005" s="32"/>
      <c r="R1005" s="32"/>
      <c r="S1005" s="263"/>
      <c r="T1005" s="259"/>
      <c r="U1005" s="260"/>
      <c r="V1005" s="260"/>
      <c r="W1005" s="260"/>
      <c r="X1005" s="261"/>
      <c r="Y1005" s="262"/>
    </row>
    <row r="1006">
      <c r="A1006" s="32"/>
      <c r="B1006" s="32"/>
      <c r="C1006" s="25"/>
      <c r="D1006" s="242"/>
      <c r="E1006" s="242"/>
      <c r="F1006" s="25"/>
      <c r="G1006" s="242"/>
      <c r="H1006" s="256"/>
      <c r="I1006" s="257"/>
      <c r="J1006" s="32"/>
      <c r="K1006" s="32"/>
      <c r="L1006" s="32"/>
      <c r="M1006" s="32"/>
      <c r="N1006" s="257"/>
      <c r="O1006" s="32"/>
      <c r="P1006" s="32"/>
      <c r="Q1006" s="32"/>
      <c r="R1006" s="32"/>
      <c r="S1006" s="263"/>
      <c r="T1006" s="259"/>
      <c r="U1006" s="260"/>
      <c r="V1006" s="260"/>
      <c r="W1006" s="260"/>
      <c r="X1006" s="261"/>
      <c r="Y1006" s="262"/>
    </row>
    <row r="1007">
      <c r="A1007" s="32"/>
      <c r="B1007" s="32"/>
      <c r="C1007" s="25"/>
      <c r="D1007" s="242"/>
      <c r="E1007" s="242"/>
      <c r="F1007" s="25"/>
      <c r="G1007" s="242"/>
      <c r="H1007" s="256"/>
      <c r="I1007" s="257"/>
      <c r="J1007" s="32"/>
      <c r="K1007" s="32"/>
      <c r="L1007" s="32"/>
      <c r="M1007" s="32"/>
      <c r="N1007" s="257"/>
      <c r="O1007" s="32"/>
      <c r="P1007" s="32"/>
      <c r="Q1007" s="32"/>
      <c r="R1007" s="32"/>
      <c r="S1007" s="261"/>
      <c r="T1007" s="259"/>
      <c r="U1007" s="260"/>
      <c r="V1007" s="260"/>
      <c r="W1007" s="260"/>
      <c r="X1007" s="261"/>
      <c r="Y1007" s="262"/>
    </row>
    <row r="1008">
      <c r="A1008" s="32"/>
      <c r="B1008" s="32"/>
      <c r="C1008" s="25"/>
      <c r="D1008" s="242"/>
      <c r="E1008" s="242"/>
      <c r="F1008" s="25"/>
      <c r="G1008" s="242"/>
      <c r="H1008" s="256"/>
      <c r="I1008" s="257"/>
      <c r="J1008" s="32"/>
      <c r="K1008" s="32"/>
      <c r="L1008" s="32"/>
      <c r="M1008" s="32"/>
      <c r="N1008" s="257"/>
      <c r="O1008" s="32"/>
      <c r="P1008" s="32"/>
      <c r="Q1008" s="32"/>
      <c r="R1008" s="32"/>
      <c r="S1008" s="32"/>
      <c r="T1008" s="264"/>
      <c r="U1008" s="16"/>
      <c r="V1008" s="16"/>
      <c r="W1008" s="16"/>
      <c r="X1008" s="32"/>
      <c r="Y1008" s="250"/>
    </row>
    <row r="1009">
      <c r="A1009" s="32"/>
      <c r="B1009" s="32"/>
      <c r="C1009" s="25"/>
      <c r="D1009" s="242"/>
      <c r="E1009" s="242"/>
      <c r="F1009" s="25"/>
      <c r="G1009" s="242"/>
      <c r="H1009" s="256"/>
      <c r="I1009" s="257"/>
      <c r="J1009" s="32"/>
      <c r="K1009" s="32"/>
      <c r="L1009" s="32"/>
      <c r="M1009" s="32"/>
      <c r="N1009" s="257"/>
      <c r="O1009" s="32"/>
      <c r="P1009" s="32"/>
      <c r="Q1009" s="32"/>
      <c r="R1009" s="32"/>
      <c r="S1009" s="32"/>
      <c r="T1009" s="264"/>
      <c r="U1009" s="16"/>
      <c r="V1009" s="16"/>
      <c r="W1009" s="16"/>
      <c r="X1009" s="32"/>
      <c r="Y1009" s="250"/>
    </row>
    <row r="1010">
      <c r="A1010" s="32"/>
      <c r="B1010" s="32"/>
      <c r="C1010" s="25"/>
      <c r="D1010" s="242"/>
      <c r="E1010" s="242"/>
      <c r="F1010" s="25"/>
      <c r="G1010" s="242"/>
      <c r="H1010" s="256"/>
      <c r="I1010" s="257"/>
      <c r="J1010" s="32"/>
      <c r="K1010" s="32"/>
      <c r="L1010" s="32"/>
      <c r="M1010" s="32"/>
      <c r="N1010" s="257"/>
      <c r="O1010" s="32"/>
      <c r="P1010" s="32"/>
      <c r="Q1010" s="32"/>
      <c r="R1010" s="32"/>
      <c r="S1010" s="32"/>
      <c r="T1010" s="264"/>
      <c r="U1010" s="16"/>
      <c r="V1010" s="16"/>
      <c r="W1010" s="16"/>
      <c r="X1010" s="32"/>
      <c r="Y1010" s="250"/>
    </row>
    <row r="1011">
      <c r="A1011" s="32"/>
      <c r="B1011" s="32"/>
      <c r="C1011" s="25"/>
      <c r="D1011" s="242"/>
      <c r="E1011" s="242"/>
      <c r="F1011" s="25"/>
      <c r="G1011" s="242"/>
      <c r="H1011" s="256"/>
      <c r="I1011" s="257"/>
      <c r="J1011" s="32"/>
      <c r="K1011" s="32"/>
      <c r="L1011" s="32"/>
      <c r="M1011" s="32"/>
      <c r="N1011" s="257"/>
      <c r="O1011" s="32"/>
      <c r="P1011" s="32"/>
      <c r="Q1011" s="32"/>
      <c r="R1011" s="32"/>
      <c r="S1011" s="32"/>
      <c r="T1011" s="264"/>
      <c r="U1011" s="16"/>
      <c r="V1011" s="16"/>
      <c r="W1011" s="16"/>
      <c r="X1011" s="32"/>
      <c r="Y1011" s="250"/>
    </row>
    <row r="1012">
      <c r="A1012" s="32"/>
      <c r="B1012" s="32"/>
      <c r="C1012" s="25"/>
      <c r="D1012" s="242"/>
      <c r="E1012" s="242"/>
      <c r="F1012" s="25"/>
      <c r="G1012" s="242"/>
      <c r="H1012" s="256"/>
      <c r="I1012" s="257"/>
      <c r="J1012" s="32"/>
      <c r="K1012" s="32"/>
      <c r="L1012" s="32"/>
      <c r="M1012" s="32"/>
      <c r="N1012" s="257"/>
      <c r="O1012" s="32"/>
      <c r="P1012" s="32"/>
      <c r="Q1012" s="32"/>
      <c r="R1012" s="32"/>
      <c r="S1012" s="32"/>
      <c r="T1012" s="264"/>
      <c r="U1012" s="16"/>
      <c r="V1012" s="16"/>
      <c r="W1012" s="16"/>
      <c r="X1012" s="32"/>
      <c r="Y1012" s="250"/>
    </row>
    <row r="1013">
      <c r="A1013" s="32"/>
      <c r="B1013" s="32"/>
      <c r="C1013" s="25"/>
      <c r="D1013" s="242"/>
      <c r="E1013" s="242"/>
      <c r="F1013" s="25"/>
      <c r="G1013" s="242"/>
      <c r="H1013" s="256"/>
      <c r="I1013" s="257"/>
      <c r="J1013" s="32"/>
      <c r="K1013" s="32"/>
      <c r="L1013" s="32"/>
      <c r="M1013" s="32"/>
      <c r="N1013" s="257"/>
      <c r="O1013" s="32"/>
      <c r="P1013" s="32"/>
      <c r="Q1013" s="32"/>
      <c r="R1013" s="32"/>
      <c r="S1013" s="32"/>
      <c r="T1013" s="264"/>
      <c r="U1013" s="16"/>
      <c r="V1013" s="16"/>
      <c r="W1013" s="16"/>
      <c r="X1013" s="32"/>
      <c r="Y1013" s="250"/>
    </row>
    <row r="1014">
      <c r="A1014" s="32"/>
      <c r="B1014" s="32"/>
      <c r="C1014" s="25"/>
      <c r="D1014" s="242"/>
      <c r="E1014" s="242"/>
      <c r="F1014" s="25"/>
      <c r="G1014" s="242"/>
      <c r="H1014" s="256"/>
      <c r="I1014" s="257"/>
      <c r="J1014" s="32"/>
      <c r="K1014" s="32"/>
      <c r="L1014" s="32"/>
      <c r="M1014" s="32"/>
      <c r="N1014" s="257"/>
      <c r="O1014" s="32"/>
      <c r="P1014" s="32"/>
      <c r="Q1014" s="32"/>
      <c r="R1014" s="32"/>
      <c r="S1014" s="32"/>
      <c r="T1014" s="264"/>
      <c r="U1014" s="16"/>
      <c r="V1014" s="16"/>
      <c r="W1014" s="16"/>
      <c r="X1014" s="32"/>
      <c r="Y1014" s="250"/>
    </row>
    <row r="1015">
      <c r="A1015" s="32"/>
      <c r="B1015" s="32"/>
      <c r="C1015" s="25"/>
      <c r="D1015" s="242"/>
      <c r="E1015" s="242"/>
      <c r="F1015" s="25"/>
      <c r="G1015" s="242"/>
      <c r="H1015" s="256"/>
      <c r="I1015" s="257"/>
      <c r="J1015" s="32"/>
      <c r="K1015" s="32"/>
      <c r="L1015" s="32"/>
      <c r="M1015" s="32"/>
      <c r="N1015" s="257"/>
      <c r="O1015" s="32"/>
      <c r="P1015" s="32"/>
      <c r="Q1015" s="32"/>
      <c r="R1015" s="32"/>
      <c r="S1015" s="32"/>
      <c r="T1015" s="264"/>
      <c r="U1015" s="16"/>
      <c r="V1015" s="16"/>
      <c r="W1015" s="16"/>
      <c r="X1015" s="32"/>
      <c r="Y1015" s="250"/>
    </row>
    <row r="1016">
      <c r="A1016" s="32"/>
      <c r="B1016" s="32"/>
      <c r="C1016" s="25"/>
      <c r="D1016" s="242"/>
      <c r="E1016" s="242"/>
      <c r="F1016" s="25"/>
      <c r="G1016" s="242"/>
      <c r="H1016" s="256"/>
      <c r="I1016" s="257"/>
      <c r="J1016" s="32"/>
      <c r="K1016" s="32"/>
      <c r="L1016" s="32"/>
      <c r="M1016" s="32"/>
      <c r="N1016" s="257"/>
      <c r="O1016" s="32"/>
      <c r="P1016" s="32"/>
      <c r="Q1016" s="32"/>
      <c r="R1016" s="32"/>
      <c r="S1016" s="32"/>
      <c r="T1016" s="264"/>
      <c r="U1016" s="16"/>
      <c r="V1016" s="16"/>
      <c r="W1016" s="16"/>
      <c r="X1016" s="32"/>
      <c r="Y1016" s="250"/>
    </row>
    <row r="1017">
      <c r="A1017" s="32"/>
      <c r="B1017" s="32"/>
      <c r="C1017" s="25"/>
      <c r="D1017" s="242"/>
      <c r="E1017" s="242"/>
      <c r="F1017" s="25"/>
      <c r="G1017" s="242"/>
      <c r="H1017" s="256"/>
      <c r="I1017" s="257"/>
      <c r="J1017" s="32"/>
      <c r="K1017" s="32"/>
      <c r="L1017" s="32"/>
      <c r="M1017" s="32"/>
      <c r="N1017" s="257"/>
      <c r="O1017" s="32"/>
      <c r="P1017" s="32"/>
      <c r="Q1017" s="32"/>
      <c r="R1017" s="32"/>
      <c r="S1017" s="32"/>
      <c r="T1017" s="264"/>
      <c r="U1017" s="16"/>
      <c r="V1017" s="16"/>
      <c r="W1017" s="16"/>
      <c r="X1017" s="32"/>
      <c r="Y1017" s="250"/>
    </row>
    <row r="1018">
      <c r="A1018" s="32"/>
      <c r="B1018" s="32"/>
      <c r="C1018" s="25"/>
      <c r="D1018" s="242"/>
      <c r="E1018" s="242"/>
      <c r="F1018" s="25"/>
      <c r="G1018" s="242"/>
      <c r="H1018" s="256"/>
      <c r="I1018" s="257"/>
      <c r="J1018" s="32"/>
      <c r="K1018" s="32"/>
      <c r="L1018" s="32"/>
      <c r="M1018" s="32"/>
      <c r="N1018" s="257"/>
      <c r="O1018" s="32"/>
      <c r="P1018" s="32"/>
      <c r="Q1018" s="32"/>
      <c r="R1018" s="32"/>
      <c r="S1018" s="32"/>
      <c r="T1018" s="264"/>
      <c r="U1018" s="16"/>
      <c r="V1018" s="16"/>
      <c r="W1018" s="16"/>
      <c r="X1018" s="32"/>
      <c r="Y1018" s="250"/>
    </row>
    <row r="1019">
      <c r="A1019" s="32"/>
      <c r="B1019" s="32"/>
      <c r="C1019" s="25"/>
      <c r="D1019" s="242"/>
      <c r="E1019" s="242"/>
      <c r="F1019" s="25"/>
      <c r="G1019" s="242"/>
      <c r="H1019" s="256"/>
      <c r="I1019" s="257"/>
      <c r="J1019" s="32"/>
      <c r="K1019" s="32"/>
      <c r="L1019" s="32"/>
      <c r="M1019" s="32"/>
      <c r="N1019" s="257"/>
      <c r="O1019" s="32"/>
      <c r="P1019" s="32"/>
      <c r="Q1019" s="32"/>
      <c r="R1019" s="32"/>
      <c r="S1019" s="32"/>
      <c r="T1019" s="264"/>
      <c r="U1019" s="16"/>
      <c r="V1019" s="16"/>
      <c r="W1019" s="16"/>
      <c r="X1019" s="32"/>
      <c r="Y1019" s="250"/>
    </row>
    <row r="1020">
      <c r="A1020" s="32"/>
      <c r="B1020" s="32"/>
      <c r="C1020" s="25"/>
      <c r="D1020" s="242"/>
      <c r="E1020" s="242"/>
      <c r="F1020" s="25"/>
      <c r="G1020" s="242"/>
      <c r="H1020" s="256"/>
      <c r="I1020" s="257"/>
      <c r="J1020" s="32"/>
      <c r="K1020" s="32"/>
      <c r="L1020" s="32"/>
      <c r="M1020" s="32"/>
      <c r="N1020" s="257"/>
      <c r="O1020" s="32"/>
      <c r="P1020" s="32"/>
      <c r="Q1020" s="32"/>
      <c r="R1020" s="32"/>
      <c r="S1020" s="32"/>
      <c r="T1020" s="264"/>
      <c r="U1020" s="16"/>
      <c r="V1020" s="16"/>
      <c r="W1020" s="16"/>
      <c r="X1020" s="32"/>
      <c r="Y1020" s="250"/>
    </row>
    <row r="1021">
      <c r="A1021" s="32"/>
      <c r="B1021" s="32"/>
      <c r="C1021" s="25"/>
      <c r="D1021" s="242"/>
      <c r="E1021" s="242"/>
      <c r="F1021" s="25"/>
      <c r="G1021" s="242"/>
      <c r="H1021" s="256"/>
      <c r="I1021" s="257"/>
      <c r="J1021" s="32"/>
      <c r="K1021" s="32"/>
      <c r="L1021" s="32"/>
      <c r="M1021" s="32"/>
      <c r="N1021" s="257"/>
      <c r="O1021" s="32"/>
      <c r="P1021" s="32"/>
      <c r="Q1021" s="32"/>
      <c r="R1021" s="32"/>
      <c r="S1021" s="32"/>
      <c r="T1021" s="264"/>
      <c r="U1021" s="16"/>
      <c r="V1021" s="16"/>
      <c r="W1021" s="16"/>
      <c r="X1021" s="32"/>
      <c r="Y1021" s="250"/>
    </row>
    <row r="1022">
      <c r="A1022" s="32"/>
      <c r="B1022" s="32"/>
      <c r="C1022" s="25"/>
      <c r="D1022" s="242"/>
      <c r="E1022" s="242"/>
      <c r="F1022" s="25"/>
      <c r="G1022" s="242"/>
      <c r="H1022" s="256"/>
      <c r="I1022" s="257"/>
      <c r="J1022" s="32"/>
      <c r="K1022" s="32"/>
      <c r="L1022" s="32"/>
      <c r="M1022" s="32"/>
      <c r="N1022" s="257"/>
      <c r="O1022" s="32"/>
      <c r="P1022" s="32"/>
      <c r="Q1022" s="32"/>
      <c r="R1022" s="32"/>
      <c r="S1022" s="32"/>
      <c r="T1022" s="264"/>
      <c r="U1022" s="16"/>
      <c r="V1022" s="16"/>
      <c r="W1022" s="16"/>
      <c r="X1022" s="32"/>
      <c r="Y1022" s="250"/>
    </row>
    <row r="1023">
      <c r="A1023" s="32"/>
      <c r="B1023" s="32"/>
      <c r="C1023" s="25"/>
      <c r="D1023" s="242"/>
      <c r="E1023" s="242"/>
      <c r="F1023" s="25"/>
      <c r="G1023" s="242"/>
      <c r="H1023" s="256"/>
      <c r="I1023" s="257"/>
      <c r="J1023" s="32"/>
      <c r="K1023" s="32"/>
      <c r="L1023" s="32"/>
      <c r="M1023" s="32"/>
      <c r="N1023" s="257"/>
      <c r="O1023" s="32"/>
      <c r="P1023" s="32"/>
      <c r="Q1023" s="32"/>
      <c r="R1023" s="32"/>
      <c r="S1023" s="32"/>
      <c r="T1023" s="264"/>
      <c r="U1023" s="16"/>
      <c r="V1023" s="16"/>
      <c r="W1023" s="16"/>
      <c r="X1023" s="32"/>
      <c r="Y1023" s="250"/>
    </row>
    <row r="1024">
      <c r="A1024" s="32"/>
      <c r="B1024" s="32"/>
      <c r="C1024" s="25"/>
      <c r="D1024" s="242"/>
      <c r="E1024" s="242"/>
      <c r="F1024" s="25"/>
      <c r="G1024" s="242"/>
      <c r="H1024" s="256"/>
      <c r="I1024" s="257"/>
      <c r="J1024" s="32"/>
      <c r="K1024" s="32"/>
      <c r="L1024" s="32"/>
      <c r="M1024" s="32"/>
      <c r="N1024" s="257"/>
      <c r="O1024" s="32"/>
      <c r="P1024" s="32"/>
      <c r="Q1024" s="32"/>
      <c r="R1024" s="32"/>
      <c r="S1024" s="32"/>
      <c r="T1024" s="264"/>
      <c r="U1024" s="16"/>
      <c r="V1024" s="16"/>
      <c r="W1024" s="16"/>
      <c r="X1024" s="32"/>
      <c r="Y1024" s="250"/>
    </row>
    <row r="1025">
      <c r="A1025" s="32"/>
      <c r="B1025" s="32"/>
      <c r="C1025" s="25"/>
      <c r="D1025" s="242"/>
      <c r="E1025" s="242"/>
      <c r="F1025" s="25"/>
      <c r="G1025" s="242"/>
      <c r="H1025" s="256"/>
      <c r="I1025" s="257"/>
      <c r="J1025" s="32"/>
      <c r="K1025" s="32"/>
      <c r="L1025" s="32"/>
      <c r="M1025" s="32"/>
      <c r="N1025" s="257"/>
      <c r="O1025" s="32"/>
      <c r="P1025" s="32"/>
      <c r="Q1025" s="32"/>
      <c r="R1025" s="32"/>
      <c r="S1025" s="32"/>
      <c r="T1025" s="264"/>
      <c r="U1025" s="16"/>
      <c r="V1025" s="16"/>
      <c r="W1025" s="16"/>
      <c r="X1025" s="32"/>
      <c r="Y1025" s="250"/>
    </row>
    <row r="1026">
      <c r="A1026" s="32"/>
      <c r="B1026" s="32"/>
      <c r="C1026" s="25"/>
      <c r="D1026" s="242"/>
      <c r="E1026" s="242"/>
      <c r="F1026" s="25"/>
      <c r="G1026" s="242"/>
      <c r="H1026" s="256"/>
      <c r="I1026" s="257"/>
      <c r="J1026" s="32"/>
      <c r="K1026" s="32"/>
      <c r="L1026" s="32"/>
      <c r="M1026" s="32"/>
      <c r="N1026" s="257"/>
      <c r="O1026" s="32"/>
      <c r="P1026" s="32"/>
      <c r="Q1026" s="32"/>
      <c r="R1026" s="32"/>
      <c r="S1026" s="32"/>
      <c r="T1026" s="264"/>
      <c r="U1026" s="16"/>
      <c r="V1026" s="16"/>
      <c r="W1026" s="16"/>
      <c r="X1026" s="32"/>
      <c r="Y1026" s="250"/>
    </row>
    <row r="1027">
      <c r="A1027" s="32"/>
      <c r="B1027" s="32"/>
      <c r="C1027" s="25"/>
      <c r="D1027" s="242"/>
      <c r="E1027" s="242"/>
      <c r="F1027" s="25"/>
      <c r="G1027" s="242"/>
      <c r="H1027" s="256"/>
      <c r="I1027" s="257"/>
      <c r="J1027" s="32"/>
      <c r="K1027" s="32"/>
      <c r="L1027" s="32"/>
      <c r="M1027" s="32"/>
      <c r="N1027" s="257"/>
      <c r="O1027" s="32"/>
      <c r="P1027" s="32"/>
      <c r="Q1027" s="32"/>
      <c r="R1027" s="32"/>
      <c r="S1027" s="32"/>
      <c r="T1027" s="264"/>
      <c r="U1027" s="16"/>
      <c r="V1027" s="16"/>
      <c r="W1027" s="16"/>
      <c r="X1027" s="32"/>
      <c r="Y1027" s="250"/>
    </row>
    <row r="1028">
      <c r="A1028" s="32"/>
      <c r="B1028" s="32"/>
      <c r="C1028" s="25"/>
      <c r="D1028" s="242"/>
      <c r="E1028" s="242"/>
      <c r="F1028" s="25"/>
      <c r="G1028" s="242"/>
      <c r="H1028" s="256"/>
      <c r="I1028" s="257"/>
      <c r="J1028" s="32"/>
      <c r="K1028" s="32"/>
      <c r="L1028" s="32"/>
      <c r="M1028" s="32"/>
      <c r="N1028" s="257"/>
      <c r="O1028" s="32"/>
      <c r="P1028" s="32"/>
      <c r="Q1028" s="32"/>
      <c r="R1028" s="32"/>
      <c r="S1028" s="32"/>
      <c r="T1028" s="264"/>
      <c r="U1028" s="16"/>
      <c r="V1028" s="16"/>
      <c r="W1028" s="16"/>
      <c r="X1028" s="32"/>
      <c r="Y1028" s="250"/>
    </row>
    <row r="1029">
      <c r="A1029" s="32"/>
      <c r="B1029" s="32"/>
      <c r="C1029" s="25"/>
      <c r="D1029" s="242"/>
      <c r="E1029" s="242"/>
      <c r="F1029" s="25"/>
      <c r="G1029" s="242"/>
      <c r="H1029" s="256"/>
      <c r="I1029" s="257"/>
      <c r="J1029" s="32"/>
      <c r="K1029" s="32"/>
      <c r="L1029" s="32"/>
      <c r="M1029" s="32"/>
      <c r="N1029" s="257"/>
      <c r="O1029" s="32"/>
      <c r="P1029" s="32"/>
      <c r="Q1029" s="32"/>
      <c r="R1029" s="32"/>
      <c r="S1029" s="32"/>
      <c r="T1029" s="264"/>
      <c r="U1029" s="16"/>
      <c r="V1029" s="16"/>
      <c r="W1029" s="16"/>
      <c r="X1029" s="32"/>
      <c r="Y1029" s="250"/>
    </row>
    <row r="1030">
      <c r="A1030" s="32"/>
      <c r="B1030" s="32"/>
      <c r="C1030" s="25"/>
      <c r="D1030" s="242"/>
      <c r="E1030" s="242"/>
      <c r="F1030" s="25"/>
      <c r="G1030" s="242"/>
      <c r="H1030" s="256"/>
      <c r="I1030" s="257"/>
      <c r="J1030" s="32"/>
      <c r="K1030" s="32"/>
      <c r="L1030" s="32"/>
      <c r="M1030" s="32"/>
      <c r="N1030" s="257"/>
      <c r="O1030" s="32"/>
      <c r="P1030" s="32"/>
      <c r="Q1030" s="32"/>
      <c r="R1030" s="32"/>
      <c r="S1030" s="32"/>
      <c r="T1030" s="264"/>
      <c r="U1030" s="16"/>
      <c r="V1030" s="16"/>
      <c r="W1030" s="16"/>
      <c r="X1030" s="32"/>
      <c r="Y1030" s="250"/>
    </row>
    <row r="1031">
      <c r="A1031" s="32"/>
      <c r="B1031" s="32"/>
      <c r="C1031" s="25"/>
      <c r="D1031" s="242"/>
      <c r="E1031" s="242"/>
      <c r="F1031" s="25"/>
      <c r="G1031" s="242"/>
      <c r="H1031" s="256"/>
      <c r="I1031" s="257"/>
      <c r="J1031" s="32"/>
      <c r="K1031" s="32"/>
      <c r="L1031" s="32"/>
      <c r="M1031" s="32"/>
      <c r="N1031" s="257"/>
      <c r="O1031" s="32"/>
      <c r="P1031" s="32"/>
      <c r="Q1031" s="32"/>
      <c r="R1031" s="32"/>
      <c r="S1031" s="32"/>
      <c r="T1031" s="264"/>
      <c r="U1031" s="16"/>
      <c r="V1031" s="16"/>
      <c r="W1031" s="16"/>
      <c r="X1031" s="32"/>
      <c r="Y1031" s="250"/>
    </row>
    <row r="1032">
      <c r="A1032" s="32"/>
      <c r="B1032" s="32"/>
      <c r="C1032" s="25"/>
      <c r="D1032" s="242"/>
      <c r="E1032" s="242"/>
      <c r="F1032" s="25"/>
      <c r="G1032" s="242"/>
      <c r="H1032" s="256"/>
      <c r="I1032" s="257"/>
      <c r="J1032" s="32"/>
      <c r="K1032" s="32"/>
      <c r="L1032" s="32"/>
      <c r="M1032" s="32"/>
      <c r="N1032" s="257"/>
      <c r="O1032" s="32"/>
      <c r="P1032" s="32"/>
      <c r="Q1032" s="32"/>
      <c r="R1032" s="32"/>
      <c r="S1032" s="32"/>
      <c r="T1032" s="264"/>
      <c r="U1032" s="16"/>
      <c r="V1032" s="16"/>
      <c r="W1032" s="16"/>
      <c r="X1032" s="32"/>
      <c r="Y1032" s="250"/>
    </row>
    <row r="1033">
      <c r="A1033" s="32"/>
      <c r="B1033" s="32"/>
      <c r="C1033" s="25"/>
      <c r="D1033" s="242"/>
      <c r="E1033" s="242"/>
      <c r="F1033" s="25"/>
      <c r="G1033" s="242"/>
      <c r="H1033" s="256"/>
      <c r="I1033" s="257"/>
      <c r="J1033" s="32"/>
      <c r="K1033" s="32"/>
      <c r="L1033" s="32"/>
      <c r="M1033" s="32"/>
      <c r="N1033" s="257"/>
      <c r="O1033" s="32"/>
      <c r="P1033" s="32"/>
      <c r="Q1033" s="32"/>
      <c r="R1033" s="32"/>
      <c r="S1033" s="32"/>
      <c r="T1033" s="264"/>
      <c r="U1033" s="16"/>
      <c r="V1033" s="16"/>
      <c r="W1033" s="16"/>
      <c r="X1033" s="32"/>
      <c r="Y1033" s="250"/>
    </row>
    <row r="1034">
      <c r="A1034" s="32"/>
      <c r="B1034" s="32"/>
      <c r="C1034" s="25"/>
      <c r="D1034" s="242"/>
      <c r="E1034" s="242"/>
      <c r="F1034" s="25"/>
      <c r="G1034" s="242"/>
      <c r="H1034" s="256"/>
      <c r="I1034" s="257"/>
      <c r="J1034" s="32"/>
      <c r="K1034" s="32"/>
      <c r="L1034" s="32"/>
      <c r="M1034" s="32"/>
      <c r="N1034" s="257"/>
      <c r="O1034" s="32"/>
      <c r="P1034" s="32"/>
      <c r="Q1034" s="32"/>
      <c r="R1034" s="32"/>
      <c r="S1034" s="32"/>
      <c r="T1034" s="264"/>
      <c r="U1034" s="16"/>
      <c r="V1034" s="16"/>
      <c r="W1034" s="16"/>
      <c r="X1034" s="32"/>
      <c r="Y1034" s="250"/>
    </row>
    <row r="1035">
      <c r="A1035" s="32"/>
      <c r="B1035" s="32"/>
      <c r="C1035" s="25"/>
      <c r="D1035" s="242"/>
      <c r="E1035" s="242"/>
      <c r="F1035" s="25"/>
      <c r="G1035" s="242"/>
      <c r="H1035" s="256"/>
      <c r="I1035" s="257"/>
      <c r="J1035" s="32"/>
      <c r="K1035" s="32"/>
      <c r="L1035" s="32"/>
      <c r="M1035" s="32"/>
      <c r="N1035" s="257"/>
      <c r="O1035" s="32"/>
      <c r="P1035" s="32"/>
      <c r="Q1035" s="32"/>
      <c r="R1035" s="32"/>
      <c r="S1035" s="32"/>
      <c r="T1035" s="264"/>
      <c r="U1035" s="16"/>
      <c r="V1035" s="16"/>
      <c r="W1035" s="16"/>
      <c r="X1035" s="32"/>
      <c r="Y1035" s="250"/>
    </row>
    <row r="1036">
      <c r="A1036" s="32"/>
      <c r="B1036" s="32"/>
      <c r="C1036" s="25"/>
      <c r="D1036" s="242"/>
      <c r="E1036" s="242"/>
      <c r="F1036" s="25"/>
      <c r="G1036" s="242"/>
      <c r="H1036" s="256"/>
      <c r="I1036" s="257"/>
      <c r="J1036" s="32"/>
      <c r="K1036" s="32"/>
      <c r="L1036" s="32"/>
      <c r="M1036" s="32"/>
      <c r="N1036" s="257"/>
      <c r="O1036" s="32"/>
      <c r="P1036" s="32"/>
      <c r="Q1036" s="32"/>
      <c r="R1036" s="32"/>
      <c r="S1036" s="32"/>
      <c r="T1036" s="264"/>
      <c r="U1036" s="16"/>
      <c r="V1036" s="16"/>
      <c r="W1036" s="16"/>
      <c r="X1036" s="32"/>
      <c r="Y1036" s="250"/>
    </row>
    <row r="1037">
      <c r="A1037" s="32"/>
      <c r="B1037" s="32"/>
      <c r="C1037" s="25"/>
      <c r="D1037" s="242"/>
      <c r="E1037" s="242"/>
      <c r="F1037" s="25"/>
      <c r="G1037" s="242"/>
      <c r="H1037" s="256"/>
      <c r="I1037" s="257"/>
      <c r="J1037" s="32"/>
      <c r="K1037" s="32"/>
      <c r="L1037" s="32"/>
      <c r="M1037" s="32"/>
      <c r="N1037" s="257"/>
      <c r="O1037" s="32"/>
      <c r="P1037" s="32"/>
      <c r="Q1037" s="32"/>
      <c r="R1037" s="32"/>
      <c r="S1037" s="32"/>
      <c r="T1037" s="264"/>
      <c r="U1037" s="16"/>
      <c r="V1037" s="16"/>
      <c r="W1037" s="16"/>
      <c r="X1037" s="32"/>
      <c r="Y1037" s="250"/>
    </row>
    <row r="1038">
      <c r="A1038" s="32"/>
      <c r="B1038" s="32"/>
      <c r="C1038" s="25"/>
      <c r="D1038" s="242"/>
      <c r="E1038" s="242"/>
      <c r="F1038" s="25"/>
      <c r="G1038" s="242"/>
      <c r="H1038" s="256"/>
      <c r="I1038" s="257"/>
      <c r="J1038" s="32"/>
      <c r="K1038" s="32"/>
      <c r="L1038" s="32"/>
      <c r="M1038" s="32"/>
      <c r="N1038" s="257"/>
      <c r="O1038" s="32"/>
      <c r="P1038" s="32"/>
      <c r="Q1038" s="32"/>
      <c r="R1038" s="32"/>
      <c r="S1038" s="32"/>
      <c r="T1038" s="264"/>
      <c r="U1038" s="16"/>
      <c r="V1038" s="16"/>
      <c r="W1038" s="16"/>
      <c r="X1038" s="32"/>
      <c r="Y1038" s="250"/>
    </row>
    <row r="1039">
      <c r="A1039" s="32"/>
      <c r="B1039" s="32"/>
      <c r="C1039" s="25"/>
      <c r="D1039" s="242"/>
      <c r="E1039" s="242"/>
      <c r="F1039" s="25"/>
      <c r="G1039" s="242"/>
      <c r="H1039" s="256"/>
      <c r="I1039" s="257"/>
      <c r="J1039" s="32"/>
      <c r="K1039" s="32"/>
      <c r="L1039" s="32"/>
      <c r="M1039" s="32"/>
      <c r="N1039" s="257"/>
      <c r="O1039" s="32"/>
      <c r="P1039" s="32"/>
      <c r="Q1039" s="32"/>
      <c r="R1039" s="32"/>
      <c r="S1039" s="32"/>
      <c r="T1039" s="264"/>
      <c r="U1039" s="16"/>
      <c r="V1039" s="16"/>
      <c r="W1039" s="16"/>
      <c r="X1039" s="32"/>
      <c r="Y1039" s="250"/>
    </row>
    <row r="1040">
      <c r="A1040" s="32"/>
      <c r="B1040" s="32"/>
      <c r="C1040" s="25"/>
      <c r="D1040" s="242"/>
      <c r="E1040" s="242"/>
      <c r="F1040" s="25"/>
      <c r="G1040" s="242"/>
      <c r="H1040" s="256"/>
      <c r="I1040" s="257"/>
      <c r="J1040" s="32"/>
      <c r="K1040" s="32"/>
      <c r="L1040" s="32"/>
      <c r="M1040" s="32"/>
      <c r="N1040" s="257"/>
      <c r="O1040" s="32"/>
      <c r="P1040" s="32"/>
      <c r="Q1040" s="32"/>
      <c r="R1040" s="32"/>
      <c r="S1040" s="32"/>
      <c r="T1040" s="264"/>
      <c r="U1040" s="16"/>
      <c r="V1040" s="16"/>
      <c r="W1040" s="16"/>
      <c r="X1040" s="32"/>
      <c r="Y1040" s="250"/>
    </row>
    <row r="1041">
      <c r="A1041" s="32"/>
      <c r="B1041" s="32"/>
      <c r="C1041" s="25"/>
      <c r="D1041" s="242"/>
      <c r="E1041" s="242"/>
      <c r="F1041" s="25"/>
      <c r="G1041" s="242"/>
      <c r="H1041" s="256"/>
      <c r="I1041" s="257"/>
      <c r="J1041" s="32"/>
      <c r="K1041" s="32"/>
      <c r="L1041" s="32"/>
      <c r="M1041" s="32"/>
      <c r="N1041" s="257"/>
      <c r="O1041" s="32"/>
      <c r="P1041" s="32"/>
      <c r="Q1041" s="32"/>
      <c r="R1041" s="32"/>
      <c r="S1041" s="32"/>
      <c r="T1041" s="264"/>
      <c r="U1041" s="16"/>
      <c r="V1041" s="16"/>
      <c r="W1041" s="16"/>
      <c r="X1041" s="32"/>
      <c r="Y1041" s="250"/>
    </row>
    <row r="1042">
      <c r="A1042" s="32"/>
      <c r="B1042" s="32"/>
      <c r="C1042" s="25"/>
      <c r="D1042" s="242"/>
      <c r="E1042" s="242"/>
      <c r="F1042" s="25"/>
      <c r="G1042" s="242"/>
      <c r="H1042" s="256"/>
      <c r="I1042" s="257"/>
      <c r="J1042" s="32"/>
      <c r="K1042" s="32"/>
      <c r="L1042" s="32"/>
      <c r="M1042" s="32"/>
      <c r="N1042" s="257"/>
      <c r="O1042" s="32"/>
      <c r="P1042" s="32"/>
      <c r="Q1042" s="32"/>
      <c r="R1042" s="32"/>
      <c r="S1042" s="32"/>
      <c r="T1042" s="264"/>
      <c r="U1042" s="16"/>
      <c r="V1042" s="16"/>
      <c r="W1042" s="16"/>
      <c r="X1042" s="32"/>
      <c r="Y1042" s="250"/>
    </row>
    <row r="1043">
      <c r="A1043" s="32"/>
      <c r="B1043" s="32"/>
      <c r="C1043" s="25"/>
      <c r="D1043" s="242"/>
      <c r="E1043" s="242"/>
      <c r="F1043" s="25"/>
      <c r="G1043" s="242"/>
      <c r="H1043" s="256"/>
      <c r="I1043" s="257"/>
      <c r="J1043" s="32"/>
      <c r="K1043" s="32"/>
      <c r="L1043" s="32"/>
      <c r="M1043" s="32"/>
      <c r="N1043" s="257"/>
      <c r="O1043" s="32"/>
      <c r="P1043" s="32"/>
      <c r="Q1043" s="32"/>
      <c r="R1043" s="32"/>
      <c r="S1043" s="32"/>
      <c r="T1043" s="264"/>
      <c r="U1043" s="16"/>
      <c r="V1043" s="16"/>
      <c r="W1043" s="16"/>
      <c r="X1043" s="32"/>
      <c r="Y1043" s="250"/>
    </row>
    <row r="1044">
      <c r="A1044" s="32"/>
      <c r="B1044" s="32"/>
      <c r="C1044" s="25"/>
      <c r="D1044" s="242"/>
      <c r="E1044" s="242"/>
      <c r="F1044" s="25"/>
      <c r="G1044" s="242"/>
      <c r="H1044" s="256"/>
      <c r="I1044" s="257"/>
      <c r="J1044" s="32"/>
      <c r="K1044" s="32"/>
      <c r="L1044" s="32"/>
      <c r="M1044" s="32"/>
      <c r="N1044" s="257"/>
      <c r="O1044" s="32"/>
      <c r="P1044" s="32"/>
      <c r="Q1044" s="32"/>
      <c r="R1044" s="32"/>
      <c r="S1044" s="32"/>
      <c r="T1044" s="264"/>
      <c r="U1044" s="16"/>
      <c r="V1044" s="16"/>
      <c r="W1044" s="16"/>
      <c r="X1044" s="32"/>
      <c r="Y1044" s="250"/>
    </row>
    <row r="1045">
      <c r="A1045" s="32"/>
      <c r="B1045" s="32"/>
      <c r="C1045" s="25"/>
      <c r="D1045" s="242"/>
      <c r="E1045" s="242"/>
      <c r="F1045" s="25"/>
      <c r="G1045" s="242"/>
      <c r="H1045" s="256"/>
      <c r="I1045" s="257"/>
      <c r="J1045" s="32"/>
      <c r="K1045" s="32"/>
      <c r="L1045" s="32"/>
      <c r="M1045" s="32"/>
      <c r="N1045" s="257"/>
      <c r="O1045" s="32"/>
      <c r="P1045" s="32"/>
      <c r="Q1045" s="32"/>
      <c r="R1045" s="32"/>
      <c r="S1045" s="32"/>
      <c r="T1045" s="264"/>
      <c r="U1045" s="16"/>
      <c r="V1045" s="16"/>
      <c r="W1045" s="16"/>
      <c r="X1045" s="32"/>
      <c r="Y1045" s="250"/>
    </row>
    <row r="1046">
      <c r="A1046" s="32"/>
      <c r="B1046" s="32"/>
      <c r="C1046" s="25"/>
      <c r="D1046" s="242"/>
      <c r="E1046" s="242"/>
      <c r="F1046" s="25"/>
      <c r="G1046" s="242"/>
      <c r="H1046" s="256"/>
      <c r="I1046" s="257"/>
      <c r="J1046" s="32"/>
      <c r="K1046" s="32"/>
      <c r="L1046" s="32"/>
      <c r="M1046" s="32"/>
      <c r="N1046" s="257"/>
      <c r="O1046" s="32"/>
      <c r="P1046" s="32"/>
      <c r="Q1046" s="32"/>
      <c r="R1046" s="32"/>
      <c r="S1046" s="32"/>
      <c r="T1046" s="264"/>
      <c r="U1046" s="16"/>
      <c r="V1046" s="16"/>
      <c r="W1046" s="16"/>
      <c r="X1046" s="32"/>
      <c r="Y1046" s="250"/>
    </row>
    <row r="1047">
      <c r="A1047" s="32"/>
      <c r="B1047" s="32"/>
      <c r="C1047" s="25"/>
      <c r="D1047" s="242"/>
      <c r="E1047" s="242"/>
      <c r="F1047" s="25"/>
      <c r="G1047" s="242"/>
      <c r="H1047" s="256"/>
      <c r="I1047" s="257"/>
      <c r="J1047" s="32"/>
      <c r="K1047" s="32"/>
      <c r="L1047" s="32"/>
      <c r="M1047" s="32"/>
      <c r="N1047" s="257"/>
      <c r="O1047" s="32"/>
      <c r="P1047" s="32"/>
      <c r="Q1047" s="32"/>
      <c r="R1047" s="32"/>
      <c r="S1047" s="32"/>
      <c r="T1047" s="264"/>
      <c r="U1047" s="16"/>
      <c r="V1047" s="16"/>
      <c r="W1047" s="16"/>
      <c r="X1047" s="32"/>
      <c r="Y1047" s="250"/>
    </row>
    <row r="1048">
      <c r="A1048" s="32"/>
      <c r="B1048" s="32"/>
      <c r="C1048" s="25"/>
      <c r="D1048" s="242"/>
      <c r="E1048" s="242"/>
      <c r="F1048" s="25"/>
      <c r="G1048" s="242"/>
      <c r="H1048" s="256"/>
      <c r="I1048" s="257"/>
      <c r="J1048" s="32"/>
      <c r="K1048" s="32"/>
      <c r="L1048" s="32"/>
      <c r="M1048" s="32"/>
      <c r="N1048" s="257"/>
      <c r="O1048" s="32"/>
      <c r="P1048" s="32"/>
      <c r="Q1048" s="32"/>
      <c r="R1048" s="32"/>
      <c r="S1048" s="32"/>
      <c r="T1048" s="264"/>
      <c r="U1048" s="16"/>
      <c r="V1048" s="16"/>
      <c r="W1048" s="16"/>
      <c r="X1048" s="32"/>
      <c r="Y1048" s="250"/>
    </row>
    <row r="1049">
      <c r="A1049" s="32"/>
      <c r="B1049" s="32"/>
      <c r="C1049" s="25"/>
      <c r="D1049" s="242"/>
      <c r="E1049" s="242"/>
      <c r="F1049" s="25"/>
      <c r="G1049" s="242"/>
      <c r="H1049" s="256"/>
      <c r="I1049" s="257"/>
      <c r="J1049" s="32"/>
      <c r="K1049" s="32"/>
      <c r="L1049" s="32"/>
      <c r="M1049" s="32"/>
      <c r="N1049" s="257"/>
      <c r="O1049" s="32"/>
      <c r="P1049" s="32"/>
      <c r="Q1049" s="32"/>
      <c r="R1049" s="32"/>
      <c r="S1049" s="32"/>
      <c r="T1049" s="264"/>
      <c r="U1049" s="16"/>
      <c r="V1049" s="16"/>
      <c r="W1049" s="16"/>
      <c r="X1049" s="32"/>
      <c r="Y1049" s="250"/>
    </row>
    <row r="1050">
      <c r="A1050" s="32"/>
      <c r="B1050" s="32"/>
      <c r="C1050" s="25"/>
      <c r="D1050" s="242"/>
      <c r="E1050" s="242"/>
      <c r="F1050" s="25"/>
      <c r="G1050" s="242"/>
      <c r="H1050" s="256"/>
      <c r="I1050" s="257"/>
      <c r="J1050" s="32"/>
      <c r="K1050" s="32"/>
      <c r="L1050" s="32"/>
      <c r="M1050" s="32"/>
      <c r="N1050" s="257"/>
      <c r="O1050" s="32"/>
      <c r="P1050" s="32"/>
      <c r="Q1050" s="32"/>
      <c r="R1050" s="32"/>
      <c r="S1050" s="32"/>
      <c r="T1050" s="264"/>
      <c r="U1050" s="16"/>
      <c r="V1050" s="16"/>
      <c r="W1050" s="16"/>
      <c r="X1050" s="32"/>
      <c r="Y1050" s="250"/>
    </row>
    <row r="1051">
      <c r="A1051" s="32"/>
      <c r="B1051" s="32"/>
      <c r="C1051" s="25"/>
      <c r="D1051" s="242"/>
      <c r="E1051" s="242"/>
      <c r="F1051" s="25"/>
      <c r="G1051" s="242"/>
      <c r="H1051" s="256"/>
      <c r="I1051" s="257"/>
      <c r="J1051" s="32"/>
      <c r="K1051" s="32"/>
      <c r="L1051" s="32"/>
      <c r="M1051" s="32"/>
      <c r="N1051" s="257"/>
      <c r="O1051" s="32"/>
      <c r="P1051" s="32"/>
      <c r="Q1051" s="32"/>
      <c r="R1051" s="32"/>
      <c r="S1051" s="32"/>
      <c r="T1051" s="264"/>
      <c r="U1051" s="16"/>
      <c r="V1051" s="16"/>
      <c r="W1051" s="16"/>
      <c r="X1051" s="32"/>
      <c r="Y1051" s="250"/>
    </row>
    <row r="1052">
      <c r="A1052" s="32"/>
      <c r="B1052" s="32"/>
      <c r="C1052" s="25"/>
      <c r="D1052" s="242"/>
      <c r="E1052" s="242"/>
      <c r="F1052" s="25"/>
      <c r="G1052" s="242"/>
      <c r="H1052" s="256"/>
      <c r="I1052" s="257"/>
      <c r="J1052" s="32"/>
      <c r="K1052" s="32"/>
      <c r="L1052" s="32"/>
      <c r="M1052" s="32"/>
      <c r="N1052" s="257"/>
      <c r="O1052" s="32"/>
      <c r="P1052" s="32"/>
      <c r="Q1052" s="32"/>
      <c r="R1052" s="32"/>
      <c r="S1052" s="32"/>
      <c r="T1052" s="264"/>
      <c r="U1052" s="16"/>
      <c r="V1052" s="16"/>
      <c r="W1052" s="16"/>
      <c r="X1052" s="32"/>
      <c r="Y1052" s="250"/>
    </row>
    <row r="1053">
      <c r="A1053" s="32"/>
      <c r="B1053" s="32"/>
      <c r="C1053" s="25"/>
      <c r="D1053" s="242"/>
      <c r="E1053" s="242"/>
      <c r="F1053" s="25"/>
      <c r="G1053" s="242"/>
      <c r="H1053" s="256"/>
      <c r="I1053" s="257"/>
      <c r="J1053" s="32"/>
      <c r="K1053" s="32"/>
      <c r="L1053" s="32"/>
      <c r="M1053" s="32"/>
      <c r="N1053" s="257"/>
      <c r="O1053" s="32"/>
      <c r="P1053" s="32"/>
      <c r="Q1053" s="32"/>
      <c r="R1053" s="32"/>
      <c r="S1053" s="32"/>
      <c r="T1053" s="264"/>
      <c r="U1053" s="16"/>
      <c r="V1053" s="16"/>
      <c r="W1053" s="16"/>
      <c r="X1053" s="32"/>
      <c r="Y1053" s="250"/>
    </row>
    <row r="1054">
      <c r="A1054" s="32"/>
      <c r="B1054" s="32"/>
      <c r="C1054" s="25"/>
      <c r="D1054" s="242"/>
      <c r="E1054" s="242"/>
      <c r="F1054" s="25"/>
      <c r="G1054" s="242"/>
      <c r="H1054" s="256"/>
      <c r="I1054" s="257"/>
      <c r="J1054" s="32"/>
      <c r="K1054" s="32"/>
      <c r="L1054" s="32"/>
      <c r="M1054" s="32"/>
      <c r="N1054" s="257"/>
      <c r="O1054" s="32"/>
      <c r="P1054" s="32"/>
      <c r="Q1054" s="32"/>
      <c r="R1054" s="32"/>
      <c r="S1054" s="32"/>
      <c r="T1054" s="264"/>
      <c r="U1054" s="16"/>
      <c r="V1054" s="16"/>
      <c r="W1054" s="16"/>
      <c r="X1054" s="32"/>
      <c r="Y1054" s="250"/>
    </row>
    <row r="1055">
      <c r="A1055" s="32"/>
      <c r="B1055" s="32"/>
      <c r="C1055" s="25"/>
      <c r="D1055" s="242"/>
      <c r="E1055" s="242"/>
      <c r="F1055" s="25"/>
      <c r="G1055" s="242"/>
      <c r="H1055" s="256"/>
      <c r="I1055" s="257"/>
      <c r="J1055" s="32"/>
      <c r="K1055" s="32"/>
      <c r="L1055" s="32"/>
      <c r="M1055" s="32"/>
      <c r="N1055" s="257"/>
      <c r="O1055" s="32"/>
      <c r="P1055" s="32"/>
      <c r="Q1055" s="32"/>
      <c r="R1055" s="32"/>
      <c r="S1055" s="32"/>
      <c r="T1055" s="264"/>
      <c r="U1055" s="16"/>
      <c r="V1055" s="16"/>
      <c r="W1055" s="16"/>
      <c r="X1055" s="32"/>
      <c r="Y1055" s="250"/>
    </row>
    <row r="1056">
      <c r="A1056" s="32"/>
      <c r="B1056" s="32"/>
      <c r="C1056" s="25"/>
      <c r="D1056" s="242"/>
      <c r="E1056" s="242"/>
      <c r="F1056" s="25"/>
      <c r="G1056" s="242"/>
      <c r="H1056" s="256"/>
      <c r="I1056" s="257"/>
      <c r="J1056" s="32"/>
      <c r="K1056" s="32"/>
      <c r="L1056" s="32"/>
      <c r="M1056" s="32"/>
      <c r="N1056" s="257"/>
      <c r="O1056" s="32"/>
      <c r="P1056" s="32"/>
      <c r="Q1056" s="32"/>
      <c r="R1056" s="32"/>
      <c r="S1056" s="32"/>
      <c r="T1056" s="264"/>
      <c r="U1056" s="16"/>
      <c r="V1056" s="16"/>
      <c r="W1056" s="16"/>
      <c r="X1056" s="32"/>
      <c r="Y1056" s="250"/>
    </row>
    <row r="1057">
      <c r="A1057" s="32"/>
      <c r="B1057" s="32"/>
      <c r="C1057" s="25"/>
      <c r="D1057" s="242"/>
      <c r="E1057" s="242"/>
      <c r="F1057" s="25"/>
      <c r="G1057" s="242"/>
      <c r="H1057" s="256"/>
      <c r="I1057" s="257"/>
      <c r="J1057" s="32"/>
      <c r="K1057" s="32"/>
      <c r="L1057" s="32"/>
      <c r="M1057" s="32"/>
      <c r="N1057" s="257"/>
      <c r="O1057" s="32"/>
      <c r="P1057" s="32"/>
      <c r="Q1057" s="32"/>
      <c r="R1057" s="32"/>
      <c r="S1057" s="32"/>
      <c r="T1057" s="264"/>
      <c r="U1057" s="16"/>
      <c r="V1057" s="16"/>
      <c r="W1057" s="16"/>
      <c r="X1057" s="32"/>
      <c r="Y1057" s="250"/>
    </row>
    <row r="1058">
      <c r="A1058" s="32"/>
      <c r="B1058" s="32"/>
      <c r="C1058" s="25"/>
      <c r="D1058" s="242"/>
      <c r="E1058" s="242"/>
      <c r="F1058" s="25"/>
      <c r="G1058" s="242"/>
      <c r="H1058" s="256"/>
      <c r="I1058" s="257"/>
      <c r="J1058" s="32"/>
      <c r="K1058" s="32"/>
      <c r="L1058" s="32"/>
      <c r="M1058" s="32"/>
      <c r="N1058" s="257"/>
      <c r="O1058" s="32"/>
      <c r="P1058" s="32"/>
      <c r="Q1058" s="32"/>
      <c r="R1058" s="32"/>
      <c r="S1058" s="32"/>
      <c r="T1058" s="264"/>
      <c r="U1058" s="16"/>
      <c r="V1058" s="16"/>
      <c r="W1058" s="16"/>
      <c r="X1058" s="32"/>
      <c r="Y1058" s="250"/>
    </row>
    <row r="1059">
      <c r="A1059" s="32"/>
      <c r="B1059" s="32"/>
      <c r="C1059" s="25"/>
      <c r="D1059" s="242"/>
      <c r="E1059" s="242"/>
      <c r="F1059" s="25"/>
      <c r="G1059" s="242"/>
      <c r="H1059" s="256"/>
      <c r="I1059" s="257"/>
      <c r="J1059" s="32"/>
      <c r="K1059" s="32"/>
      <c r="L1059" s="32"/>
      <c r="M1059" s="32"/>
      <c r="N1059" s="257"/>
      <c r="O1059" s="32"/>
      <c r="P1059" s="32"/>
      <c r="Q1059" s="32"/>
      <c r="R1059" s="32"/>
      <c r="S1059" s="32"/>
      <c r="T1059" s="264"/>
      <c r="U1059" s="16"/>
      <c r="V1059" s="16"/>
      <c r="W1059" s="16"/>
      <c r="X1059" s="32"/>
      <c r="Y1059" s="250"/>
    </row>
    <row r="1060">
      <c r="A1060" s="32"/>
      <c r="B1060" s="32"/>
      <c r="C1060" s="25"/>
      <c r="D1060" s="242"/>
      <c r="E1060" s="242"/>
      <c r="F1060" s="25"/>
      <c r="G1060" s="242"/>
      <c r="H1060" s="256"/>
      <c r="I1060" s="257"/>
      <c r="J1060" s="32"/>
      <c r="K1060" s="32"/>
      <c r="L1060" s="32"/>
      <c r="M1060" s="32"/>
      <c r="N1060" s="257"/>
      <c r="O1060" s="32"/>
      <c r="P1060" s="32"/>
      <c r="Q1060" s="32"/>
      <c r="R1060" s="32"/>
      <c r="S1060" s="32"/>
      <c r="T1060" s="264"/>
      <c r="U1060" s="16"/>
      <c r="V1060" s="16"/>
      <c r="W1060" s="16"/>
      <c r="X1060" s="32"/>
      <c r="Y1060" s="250"/>
    </row>
    <row r="1061">
      <c r="A1061" s="32"/>
      <c r="B1061" s="32"/>
      <c r="C1061" s="25"/>
      <c r="D1061" s="242"/>
      <c r="E1061" s="242"/>
      <c r="F1061" s="25"/>
      <c r="G1061" s="242"/>
      <c r="H1061" s="256"/>
      <c r="I1061" s="257"/>
      <c r="J1061" s="32"/>
      <c r="K1061" s="32"/>
      <c r="L1061" s="32"/>
      <c r="M1061" s="32"/>
      <c r="N1061" s="257"/>
      <c r="O1061" s="32"/>
      <c r="P1061" s="32"/>
      <c r="Q1061" s="32"/>
      <c r="R1061" s="32"/>
      <c r="S1061" s="32"/>
      <c r="T1061" s="264"/>
      <c r="U1061" s="16"/>
      <c r="V1061" s="16"/>
      <c r="W1061" s="16"/>
      <c r="X1061" s="32"/>
      <c r="Y1061" s="250"/>
    </row>
    <row r="1062">
      <c r="A1062" s="32"/>
      <c r="B1062" s="32"/>
      <c r="C1062" s="25"/>
      <c r="D1062" s="242"/>
      <c r="E1062" s="242"/>
      <c r="F1062" s="25"/>
      <c r="G1062" s="242"/>
      <c r="H1062" s="256"/>
      <c r="I1062" s="257"/>
      <c r="J1062" s="32"/>
      <c r="K1062" s="32"/>
      <c r="L1062" s="32"/>
      <c r="M1062" s="32"/>
      <c r="N1062" s="257"/>
      <c r="O1062" s="32"/>
      <c r="P1062" s="32"/>
      <c r="Q1062" s="32"/>
      <c r="R1062" s="32"/>
      <c r="S1062" s="32"/>
      <c r="T1062" s="264"/>
      <c r="U1062" s="16"/>
      <c r="V1062" s="16"/>
      <c r="W1062" s="16"/>
      <c r="X1062" s="32"/>
      <c r="Y1062" s="250"/>
    </row>
    <row r="1063">
      <c r="A1063" s="32"/>
      <c r="B1063" s="32"/>
      <c r="C1063" s="25"/>
      <c r="D1063" s="242"/>
      <c r="E1063" s="242"/>
      <c r="F1063" s="25"/>
      <c r="G1063" s="242"/>
      <c r="H1063" s="256"/>
      <c r="I1063" s="257"/>
      <c r="J1063" s="32"/>
      <c r="K1063" s="32"/>
      <c r="L1063" s="32"/>
      <c r="M1063" s="32"/>
      <c r="N1063" s="257"/>
      <c r="O1063" s="32"/>
      <c r="P1063" s="32"/>
      <c r="Q1063" s="32"/>
      <c r="R1063" s="32"/>
      <c r="S1063" s="32"/>
      <c r="T1063" s="264"/>
      <c r="U1063" s="16"/>
      <c r="V1063" s="16"/>
      <c r="W1063" s="16"/>
      <c r="X1063" s="32"/>
      <c r="Y1063" s="250"/>
    </row>
    <row r="1064">
      <c r="A1064" s="32"/>
      <c r="B1064" s="32"/>
      <c r="C1064" s="25"/>
      <c r="D1064" s="242"/>
      <c r="E1064" s="242"/>
      <c r="F1064" s="25"/>
      <c r="G1064" s="242"/>
      <c r="H1064" s="256"/>
      <c r="I1064" s="257"/>
      <c r="J1064" s="32"/>
      <c r="K1064" s="32"/>
      <c r="L1064" s="32"/>
      <c r="M1064" s="32"/>
      <c r="N1064" s="257"/>
      <c r="O1064" s="32"/>
      <c r="P1064" s="32"/>
      <c r="Q1064" s="32"/>
      <c r="R1064" s="32"/>
      <c r="S1064" s="32"/>
      <c r="T1064" s="264"/>
      <c r="U1064" s="16"/>
      <c r="V1064" s="16"/>
      <c r="W1064" s="16"/>
      <c r="X1064" s="32"/>
      <c r="Y1064" s="250"/>
    </row>
    <row r="1065">
      <c r="A1065" s="32"/>
      <c r="B1065" s="32"/>
      <c r="C1065" s="25"/>
      <c r="D1065" s="242"/>
      <c r="E1065" s="242"/>
      <c r="F1065" s="25"/>
      <c r="G1065" s="242"/>
      <c r="H1065" s="256"/>
      <c r="I1065" s="257"/>
      <c r="J1065" s="32"/>
      <c r="K1065" s="32"/>
      <c r="L1065" s="32"/>
      <c r="M1065" s="32"/>
      <c r="N1065" s="257"/>
      <c r="O1065" s="32"/>
      <c r="P1065" s="32"/>
      <c r="Q1065" s="32"/>
      <c r="R1065" s="32"/>
      <c r="S1065" s="32"/>
      <c r="T1065" s="264"/>
      <c r="U1065" s="16"/>
      <c r="V1065" s="16"/>
      <c r="W1065" s="16"/>
      <c r="X1065" s="32"/>
      <c r="Y1065" s="250"/>
    </row>
    <row r="1066">
      <c r="A1066" s="32"/>
      <c r="B1066" s="32"/>
      <c r="C1066" s="25"/>
      <c r="D1066" s="242"/>
      <c r="E1066" s="242"/>
      <c r="F1066" s="25"/>
      <c r="G1066" s="242"/>
      <c r="H1066" s="256"/>
      <c r="I1066" s="257"/>
      <c r="J1066" s="32"/>
      <c r="K1066" s="32"/>
      <c r="L1066" s="32"/>
      <c r="M1066" s="32"/>
      <c r="N1066" s="257"/>
      <c r="O1066" s="32"/>
      <c r="P1066" s="32"/>
      <c r="Q1066" s="32"/>
      <c r="R1066" s="32"/>
      <c r="S1066" s="32"/>
      <c r="T1066" s="264"/>
      <c r="U1066" s="16"/>
      <c r="V1066" s="16"/>
      <c r="W1066" s="16"/>
      <c r="X1066" s="32"/>
      <c r="Y1066" s="250"/>
    </row>
    <row r="1067">
      <c r="A1067" s="32"/>
      <c r="B1067" s="32"/>
      <c r="C1067" s="25"/>
      <c r="D1067" s="242"/>
      <c r="E1067" s="242"/>
      <c r="F1067" s="25"/>
      <c r="G1067" s="242"/>
      <c r="H1067" s="256"/>
      <c r="I1067" s="257"/>
      <c r="J1067" s="32"/>
      <c r="K1067" s="32"/>
      <c r="L1067" s="32"/>
      <c r="M1067" s="32"/>
      <c r="N1067" s="257"/>
      <c r="O1067" s="32"/>
      <c r="P1067" s="32"/>
      <c r="Q1067" s="32"/>
      <c r="R1067" s="32"/>
      <c r="S1067" s="32"/>
      <c r="T1067" s="264"/>
      <c r="U1067" s="16"/>
      <c r="V1067" s="16"/>
      <c r="W1067" s="16"/>
      <c r="X1067" s="32"/>
      <c r="Y1067" s="250"/>
    </row>
    <row r="1068">
      <c r="A1068" s="32"/>
      <c r="B1068" s="32"/>
      <c r="C1068" s="25"/>
      <c r="D1068" s="242"/>
      <c r="E1068" s="242"/>
      <c r="F1068" s="25"/>
      <c r="G1068" s="242"/>
      <c r="H1068" s="256"/>
      <c r="I1068" s="257"/>
      <c r="J1068" s="32"/>
      <c r="K1068" s="32"/>
      <c r="L1068" s="32"/>
      <c r="M1068" s="32"/>
      <c r="N1068" s="257"/>
      <c r="O1068" s="32"/>
      <c r="P1068" s="32"/>
      <c r="Q1068" s="32"/>
      <c r="R1068" s="32"/>
      <c r="S1068" s="32"/>
      <c r="T1068" s="264"/>
      <c r="U1068" s="16"/>
      <c r="V1068" s="16"/>
      <c r="W1068" s="16"/>
      <c r="X1068" s="32"/>
      <c r="Y1068" s="250"/>
    </row>
    <row r="1069">
      <c r="A1069" s="32"/>
      <c r="B1069" s="32"/>
      <c r="C1069" s="25"/>
      <c r="D1069" s="242"/>
      <c r="E1069" s="242"/>
      <c r="F1069" s="25"/>
      <c r="G1069" s="242"/>
      <c r="H1069" s="256"/>
      <c r="I1069" s="257"/>
      <c r="J1069" s="32"/>
      <c r="K1069" s="32"/>
      <c r="L1069" s="32"/>
      <c r="M1069" s="32"/>
      <c r="N1069" s="257"/>
      <c r="O1069" s="32"/>
      <c r="P1069" s="32"/>
      <c r="Q1069" s="32"/>
      <c r="R1069" s="32"/>
      <c r="S1069" s="32"/>
      <c r="T1069" s="264"/>
      <c r="U1069" s="16"/>
      <c r="V1069" s="16"/>
      <c r="W1069" s="16"/>
      <c r="X1069" s="32"/>
      <c r="Y1069" s="250"/>
    </row>
    <row r="1070">
      <c r="A1070" s="32"/>
      <c r="B1070" s="32"/>
      <c r="C1070" s="25"/>
      <c r="D1070" s="242"/>
      <c r="E1070" s="242"/>
      <c r="F1070" s="25"/>
      <c r="G1070" s="242"/>
      <c r="H1070" s="256"/>
      <c r="I1070" s="257"/>
      <c r="J1070" s="32"/>
      <c r="K1070" s="32"/>
      <c r="L1070" s="32"/>
      <c r="M1070" s="32"/>
      <c r="N1070" s="257"/>
      <c r="O1070" s="32"/>
      <c r="P1070" s="32"/>
      <c r="Q1070" s="32"/>
      <c r="R1070" s="32"/>
      <c r="S1070" s="32"/>
      <c r="T1070" s="264"/>
      <c r="U1070" s="16"/>
      <c r="V1070" s="16"/>
      <c r="W1070" s="16"/>
      <c r="X1070" s="32"/>
      <c r="Y1070" s="250"/>
    </row>
    <row r="1071">
      <c r="A1071" s="32"/>
      <c r="B1071" s="32"/>
      <c r="C1071" s="25"/>
      <c r="D1071" s="242"/>
      <c r="E1071" s="242"/>
      <c r="F1071" s="25"/>
      <c r="G1071" s="242"/>
      <c r="H1071" s="256"/>
      <c r="I1071" s="257"/>
      <c r="J1071" s="32"/>
      <c r="K1071" s="32"/>
      <c r="L1071" s="32"/>
      <c r="M1071" s="32"/>
      <c r="N1071" s="257"/>
      <c r="O1071" s="32"/>
      <c r="P1071" s="32"/>
      <c r="Q1071" s="32"/>
      <c r="R1071" s="32"/>
      <c r="S1071" s="32"/>
      <c r="T1071" s="264"/>
      <c r="U1071" s="16"/>
      <c r="V1071" s="16"/>
      <c r="W1071" s="16"/>
      <c r="X1071" s="32"/>
      <c r="Y1071" s="250"/>
    </row>
    <row r="1072">
      <c r="A1072" s="32"/>
      <c r="B1072" s="32"/>
      <c r="C1072" s="25"/>
      <c r="D1072" s="242"/>
      <c r="E1072" s="242"/>
      <c r="F1072" s="25"/>
      <c r="G1072" s="242"/>
      <c r="H1072" s="256"/>
      <c r="I1072" s="257"/>
      <c r="J1072" s="32"/>
      <c r="K1072" s="32"/>
      <c r="L1072" s="32"/>
      <c r="M1072" s="32"/>
      <c r="N1072" s="257"/>
      <c r="O1072" s="32"/>
      <c r="P1072" s="32"/>
      <c r="Q1072" s="32"/>
      <c r="R1072" s="32"/>
      <c r="S1072" s="32"/>
      <c r="T1072" s="264"/>
      <c r="U1072" s="16"/>
      <c r="V1072" s="16"/>
      <c r="W1072" s="16"/>
      <c r="X1072" s="32"/>
      <c r="Y1072" s="250"/>
    </row>
    <row r="1073">
      <c r="A1073" s="32"/>
      <c r="B1073" s="32"/>
      <c r="C1073" s="25"/>
      <c r="D1073" s="242"/>
      <c r="E1073" s="242"/>
      <c r="F1073" s="25"/>
      <c r="G1073" s="242"/>
      <c r="H1073" s="256"/>
      <c r="I1073" s="257"/>
      <c r="J1073" s="32"/>
      <c r="K1073" s="32"/>
      <c r="L1073" s="32"/>
      <c r="M1073" s="32"/>
      <c r="N1073" s="257"/>
      <c r="O1073" s="32"/>
      <c r="P1073" s="32"/>
      <c r="Q1073" s="32"/>
      <c r="R1073" s="32"/>
      <c r="S1073" s="32"/>
      <c r="T1073" s="264"/>
      <c r="U1073" s="16"/>
      <c r="V1073" s="16"/>
      <c r="W1073" s="16"/>
      <c r="X1073" s="32"/>
      <c r="Y1073" s="250"/>
    </row>
    <row r="1074">
      <c r="A1074" s="32"/>
      <c r="B1074" s="32"/>
      <c r="C1074" s="25"/>
      <c r="D1074" s="242"/>
      <c r="E1074" s="242"/>
      <c r="F1074" s="25"/>
      <c r="G1074" s="242"/>
      <c r="H1074" s="256"/>
      <c r="I1074" s="257"/>
      <c r="J1074" s="32"/>
      <c r="K1074" s="32"/>
      <c r="L1074" s="32"/>
      <c r="M1074" s="32"/>
      <c r="N1074" s="257"/>
      <c r="O1074" s="32"/>
      <c r="P1074" s="32"/>
      <c r="Q1074" s="32"/>
      <c r="R1074" s="32"/>
      <c r="S1074" s="32"/>
      <c r="T1074" s="264"/>
      <c r="U1074" s="16"/>
      <c r="V1074" s="16"/>
      <c r="W1074" s="16"/>
      <c r="X1074" s="32"/>
      <c r="Y1074" s="250"/>
    </row>
    <row r="1075">
      <c r="A1075" s="32"/>
      <c r="B1075" s="32"/>
      <c r="C1075" s="25"/>
      <c r="D1075" s="242"/>
      <c r="E1075" s="242"/>
      <c r="F1075" s="25"/>
      <c r="G1075" s="242"/>
      <c r="H1075" s="256"/>
      <c r="I1075" s="257"/>
      <c r="J1075" s="32"/>
      <c r="K1075" s="32"/>
      <c r="L1075" s="32"/>
      <c r="M1075" s="32"/>
      <c r="N1075" s="257"/>
      <c r="O1075" s="32"/>
      <c r="P1075" s="32"/>
      <c r="Q1075" s="32"/>
      <c r="R1075" s="32"/>
      <c r="S1075" s="32"/>
      <c r="T1075" s="264"/>
      <c r="U1075" s="16"/>
      <c r="V1075" s="16"/>
      <c r="W1075" s="16"/>
      <c r="X1075" s="32"/>
      <c r="Y1075" s="250"/>
    </row>
    <row r="1076">
      <c r="A1076" s="32"/>
      <c r="B1076" s="32"/>
      <c r="C1076" s="25"/>
      <c r="D1076" s="242"/>
      <c r="E1076" s="242"/>
      <c r="F1076" s="25"/>
      <c r="G1076" s="242"/>
      <c r="H1076" s="256"/>
      <c r="I1076" s="257"/>
      <c r="J1076" s="32"/>
      <c r="K1076" s="32"/>
      <c r="L1076" s="32"/>
      <c r="M1076" s="32"/>
      <c r="N1076" s="257"/>
      <c r="O1076" s="32"/>
      <c r="P1076" s="32"/>
      <c r="Q1076" s="32"/>
      <c r="R1076" s="32"/>
      <c r="S1076" s="32"/>
      <c r="T1076" s="264"/>
      <c r="U1076" s="16"/>
      <c r="V1076" s="16"/>
      <c r="W1076" s="16"/>
      <c r="X1076" s="32"/>
      <c r="Y1076" s="250"/>
    </row>
    <row r="1077">
      <c r="A1077" s="32"/>
      <c r="B1077" s="32"/>
      <c r="C1077" s="25"/>
      <c r="D1077" s="242"/>
      <c r="E1077" s="242"/>
      <c r="F1077" s="25"/>
      <c r="G1077" s="242"/>
      <c r="H1077" s="256"/>
      <c r="I1077" s="257"/>
      <c r="J1077" s="32"/>
      <c r="K1077" s="32"/>
      <c r="L1077" s="32"/>
      <c r="M1077" s="32"/>
      <c r="N1077" s="257"/>
      <c r="O1077" s="32"/>
      <c r="P1077" s="32"/>
      <c r="Q1077" s="32"/>
      <c r="R1077" s="32"/>
      <c r="S1077" s="32"/>
      <c r="T1077" s="264"/>
      <c r="U1077" s="16"/>
      <c r="V1077" s="16"/>
      <c r="W1077" s="16"/>
      <c r="X1077" s="32"/>
      <c r="Y1077" s="250"/>
    </row>
    <row r="1078">
      <c r="A1078" s="32"/>
      <c r="B1078" s="32"/>
      <c r="C1078" s="25"/>
      <c r="D1078" s="242"/>
      <c r="E1078" s="242"/>
      <c r="F1078" s="25"/>
      <c r="G1078" s="242"/>
      <c r="H1078" s="256"/>
      <c r="I1078" s="257"/>
      <c r="J1078" s="32"/>
      <c r="K1078" s="32"/>
      <c r="L1078" s="32"/>
      <c r="M1078" s="32"/>
      <c r="N1078" s="257"/>
      <c r="O1078" s="32"/>
      <c r="P1078" s="32"/>
      <c r="Q1078" s="32"/>
      <c r="R1078" s="32"/>
      <c r="S1078" s="32"/>
      <c r="T1078" s="264"/>
      <c r="U1078" s="16"/>
      <c r="V1078" s="16"/>
      <c r="W1078" s="16"/>
      <c r="X1078" s="32"/>
      <c r="Y1078" s="250"/>
    </row>
    <row r="1079">
      <c r="A1079" s="32"/>
      <c r="B1079" s="32"/>
      <c r="C1079" s="25"/>
      <c r="D1079" s="242"/>
      <c r="E1079" s="242"/>
      <c r="F1079" s="25"/>
      <c r="G1079" s="242"/>
      <c r="H1079" s="256"/>
      <c r="I1079" s="257"/>
      <c r="J1079" s="32"/>
      <c r="K1079" s="32"/>
      <c r="L1079" s="32"/>
      <c r="M1079" s="32"/>
      <c r="N1079" s="257"/>
      <c r="O1079" s="32"/>
      <c r="P1079" s="32"/>
      <c r="Q1079" s="32"/>
      <c r="R1079" s="32"/>
      <c r="S1079" s="32"/>
      <c r="T1079" s="264"/>
      <c r="U1079" s="16"/>
      <c r="V1079" s="16"/>
      <c r="W1079" s="16"/>
      <c r="X1079" s="32"/>
      <c r="Y1079" s="250"/>
    </row>
    <row r="1080">
      <c r="A1080" s="32"/>
      <c r="B1080" s="32"/>
      <c r="C1080" s="25"/>
      <c r="D1080" s="242"/>
      <c r="E1080" s="242"/>
      <c r="F1080" s="25"/>
      <c r="G1080" s="242"/>
      <c r="H1080" s="256"/>
      <c r="I1080" s="257"/>
      <c r="J1080" s="32"/>
      <c r="K1080" s="32"/>
      <c r="L1080" s="32"/>
      <c r="M1080" s="32"/>
      <c r="N1080" s="257"/>
      <c r="O1080" s="32"/>
      <c r="P1080" s="32"/>
      <c r="Q1080" s="32"/>
      <c r="R1080" s="32"/>
      <c r="S1080" s="32"/>
      <c r="T1080" s="264"/>
      <c r="U1080" s="16"/>
      <c r="V1080" s="16"/>
      <c r="W1080" s="16"/>
      <c r="X1080" s="32"/>
      <c r="Y1080" s="250"/>
    </row>
    <row r="1081">
      <c r="A1081" s="32"/>
      <c r="B1081" s="32"/>
      <c r="C1081" s="25"/>
      <c r="D1081" s="242"/>
      <c r="E1081" s="242"/>
      <c r="F1081" s="25"/>
      <c r="G1081" s="242"/>
      <c r="H1081" s="256"/>
      <c r="I1081" s="257"/>
      <c r="J1081" s="32"/>
      <c r="K1081" s="32"/>
      <c r="L1081" s="32"/>
      <c r="M1081" s="32"/>
      <c r="N1081" s="257"/>
      <c r="O1081" s="32"/>
      <c r="P1081" s="32"/>
      <c r="Q1081" s="32"/>
      <c r="R1081" s="32"/>
      <c r="S1081" s="32"/>
      <c r="T1081" s="264"/>
      <c r="U1081" s="16"/>
      <c r="V1081" s="16"/>
      <c r="W1081" s="16"/>
      <c r="X1081" s="32"/>
      <c r="Y1081" s="250"/>
    </row>
    <row r="1082">
      <c r="A1082" s="32"/>
      <c r="B1082" s="32"/>
      <c r="C1082" s="25"/>
      <c r="D1082" s="242"/>
      <c r="E1082" s="242"/>
      <c r="F1082" s="25"/>
      <c r="G1082" s="242"/>
      <c r="H1082" s="256"/>
      <c r="I1082" s="257"/>
      <c r="J1082" s="32"/>
      <c r="K1082" s="32"/>
      <c r="L1082" s="32"/>
      <c r="M1082" s="32"/>
      <c r="N1082" s="257"/>
      <c r="O1082" s="32"/>
      <c r="P1082" s="32"/>
      <c r="Q1082" s="32"/>
      <c r="R1082" s="32"/>
      <c r="S1082" s="32"/>
      <c r="T1082" s="264"/>
      <c r="U1082" s="16"/>
      <c r="V1082" s="16"/>
      <c r="W1082" s="16"/>
      <c r="X1082" s="32"/>
      <c r="Y1082" s="250"/>
    </row>
    <row r="1083">
      <c r="A1083" s="32"/>
      <c r="B1083" s="32"/>
      <c r="C1083" s="25"/>
      <c r="D1083" s="242"/>
      <c r="E1083" s="242"/>
      <c r="F1083" s="25"/>
      <c r="G1083" s="242"/>
      <c r="H1083" s="256"/>
      <c r="I1083" s="257"/>
      <c r="J1083" s="32"/>
      <c r="K1083" s="32"/>
      <c r="L1083" s="32"/>
      <c r="M1083" s="32"/>
      <c r="N1083" s="257"/>
      <c r="O1083" s="32"/>
      <c r="P1083" s="32"/>
      <c r="Q1083" s="32"/>
      <c r="R1083" s="32"/>
      <c r="S1083" s="32"/>
      <c r="T1083" s="264"/>
      <c r="U1083" s="16"/>
      <c r="V1083" s="16"/>
      <c r="W1083" s="16"/>
      <c r="X1083" s="32"/>
      <c r="Y1083" s="250"/>
    </row>
    <row r="1084">
      <c r="A1084" s="32"/>
      <c r="B1084" s="32"/>
      <c r="C1084" s="25"/>
      <c r="D1084" s="242"/>
      <c r="E1084" s="242"/>
      <c r="F1084" s="25"/>
      <c r="G1084" s="242"/>
      <c r="H1084" s="256"/>
      <c r="I1084" s="257"/>
      <c r="J1084" s="32"/>
      <c r="K1084" s="32"/>
      <c r="L1084" s="32"/>
      <c r="M1084" s="32"/>
      <c r="N1084" s="257"/>
      <c r="O1084" s="32"/>
      <c r="P1084" s="32"/>
      <c r="Q1084" s="32"/>
      <c r="R1084" s="32"/>
      <c r="S1084" s="32"/>
      <c r="T1084" s="264"/>
      <c r="U1084" s="16"/>
      <c r="V1084" s="16"/>
      <c r="W1084" s="16"/>
      <c r="X1084" s="32"/>
      <c r="Y1084" s="250"/>
    </row>
    <row r="1085">
      <c r="A1085" s="32"/>
      <c r="B1085" s="32"/>
      <c r="C1085" s="25"/>
      <c r="D1085" s="242"/>
      <c r="E1085" s="242"/>
      <c r="F1085" s="25"/>
      <c r="G1085" s="242"/>
      <c r="H1085" s="256"/>
      <c r="I1085" s="257"/>
      <c r="J1085" s="32"/>
      <c r="K1085" s="32"/>
      <c r="L1085" s="32"/>
      <c r="M1085" s="32"/>
      <c r="N1085" s="257"/>
      <c r="O1085" s="32"/>
      <c r="P1085" s="32"/>
      <c r="Q1085" s="32"/>
      <c r="R1085" s="32"/>
      <c r="S1085" s="32"/>
      <c r="T1085" s="264"/>
      <c r="U1085" s="16"/>
      <c r="V1085" s="16"/>
      <c r="W1085" s="16"/>
      <c r="X1085" s="32"/>
      <c r="Y1085" s="250"/>
    </row>
    <row r="1086">
      <c r="A1086" s="32"/>
      <c r="B1086" s="32"/>
      <c r="C1086" s="25"/>
      <c r="D1086" s="242"/>
      <c r="E1086" s="242"/>
      <c r="F1086" s="25"/>
      <c r="G1086" s="242"/>
      <c r="H1086" s="256"/>
      <c r="I1086" s="257"/>
      <c r="J1086" s="32"/>
      <c r="K1086" s="32"/>
      <c r="L1086" s="32"/>
      <c r="M1086" s="32"/>
      <c r="N1086" s="257"/>
      <c r="O1086" s="32"/>
      <c r="P1086" s="32"/>
      <c r="Q1086" s="32"/>
      <c r="R1086" s="32"/>
      <c r="S1086" s="32"/>
      <c r="T1086" s="264"/>
      <c r="U1086" s="16"/>
      <c r="V1086" s="16"/>
      <c r="W1086" s="16"/>
      <c r="X1086" s="32"/>
      <c r="Y1086" s="250"/>
    </row>
    <row r="1087">
      <c r="A1087" s="32"/>
      <c r="B1087" s="32"/>
      <c r="C1087" s="25"/>
      <c r="D1087" s="242"/>
      <c r="E1087" s="242"/>
      <c r="F1087" s="25"/>
      <c r="G1087" s="242"/>
      <c r="H1087" s="256"/>
      <c r="I1087" s="257"/>
      <c r="J1087" s="32"/>
      <c r="K1087" s="32"/>
      <c r="L1087" s="32"/>
      <c r="M1087" s="32"/>
      <c r="N1087" s="257"/>
      <c r="O1087" s="32"/>
      <c r="P1087" s="32"/>
      <c r="Q1087" s="32"/>
      <c r="R1087" s="32"/>
      <c r="S1087" s="32"/>
      <c r="T1087" s="264"/>
      <c r="U1087" s="16"/>
      <c r="V1087" s="16"/>
      <c r="W1087" s="16"/>
      <c r="X1087" s="32"/>
      <c r="Y1087" s="250"/>
    </row>
    <row r="1088">
      <c r="A1088" s="32"/>
      <c r="B1088" s="32"/>
      <c r="C1088" s="25"/>
      <c r="D1088" s="242"/>
      <c r="E1088" s="242"/>
      <c r="F1088" s="25"/>
      <c r="G1088" s="242"/>
      <c r="H1088" s="256"/>
      <c r="I1088" s="257"/>
      <c r="J1088" s="32"/>
      <c r="K1088" s="32"/>
      <c r="L1088" s="32"/>
      <c r="M1088" s="32"/>
      <c r="N1088" s="257"/>
      <c r="O1088" s="32"/>
      <c r="P1088" s="32"/>
      <c r="Q1088" s="32"/>
      <c r="R1088" s="32"/>
      <c r="S1088" s="32"/>
      <c r="T1088" s="264"/>
      <c r="U1088" s="16"/>
      <c r="V1088" s="16"/>
      <c r="W1088" s="16"/>
      <c r="X1088" s="32"/>
      <c r="Y1088" s="250"/>
    </row>
    <row r="1089">
      <c r="A1089" s="32"/>
      <c r="B1089" s="32"/>
      <c r="C1089" s="25"/>
      <c r="D1089" s="242"/>
      <c r="E1089" s="242"/>
      <c r="F1089" s="25"/>
      <c r="G1089" s="242"/>
      <c r="H1089" s="256"/>
      <c r="I1089" s="257"/>
      <c r="J1089" s="32"/>
      <c r="K1089" s="32"/>
      <c r="L1089" s="32"/>
      <c r="M1089" s="32"/>
      <c r="N1089" s="257"/>
      <c r="O1089" s="32"/>
      <c r="P1089" s="32"/>
      <c r="Q1089" s="32"/>
      <c r="R1089" s="32"/>
      <c r="S1089" s="32"/>
      <c r="T1089" s="264"/>
      <c r="U1089" s="16"/>
      <c r="V1089" s="16"/>
      <c r="W1089" s="16"/>
      <c r="X1089" s="32"/>
      <c r="Y1089" s="250"/>
    </row>
    <row r="1090">
      <c r="A1090" s="32"/>
      <c r="B1090" s="32"/>
      <c r="C1090" s="25"/>
      <c r="D1090" s="242"/>
      <c r="E1090" s="242"/>
      <c r="F1090" s="25"/>
      <c r="G1090" s="242"/>
      <c r="H1090" s="256"/>
      <c r="I1090" s="257"/>
      <c r="J1090" s="32"/>
      <c r="K1090" s="32"/>
      <c r="L1090" s="32"/>
      <c r="M1090" s="32"/>
      <c r="N1090" s="257"/>
      <c r="O1090" s="32"/>
      <c r="P1090" s="32"/>
      <c r="Q1090" s="32"/>
      <c r="R1090" s="32"/>
      <c r="S1090" s="32"/>
      <c r="T1090" s="264"/>
      <c r="U1090" s="16"/>
      <c r="V1090" s="16"/>
      <c r="W1090" s="16"/>
      <c r="X1090" s="32"/>
      <c r="Y1090" s="250"/>
    </row>
    <row r="1091">
      <c r="A1091" s="32"/>
      <c r="B1091" s="32"/>
      <c r="C1091" s="25"/>
      <c r="D1091" s="242"/>
      <c r="E1091" s="242"/>
      <c r="F1091" s="25"/>
      <c r="G1091" s="242"/>
      <c r="H1091" s="256"/>
      <c r="I1091" s="257"/>
      <c r="J1091" s="32"/>
      <c r="K1091" s="32"/>
      <c r="L1091" s="32"/>
      <c r="M1091" s="32"/>
      <c r="N1091" s="257"/>
      <c r="O1091" s="32"/>
      <c r="P1091" s="32"/>
      <c r="Q1091" s="32"/>
      <c r="R1091" s="32"/>
      <c r="S1091" s="32"/>
      <c r="T1091" s="264"/>
      <c r="U1091" s="16"/>
      <c r="V1091" s="16"/>
      <c r="W1091" s="16"/>
      <c r="X1091" s="32"/>
      <c r="Y1091" s="250"/>
    </row>
    <row r="1092">
      <c r="A1092" s="32"/>
      <c r="B1092" s="32"/>
      <c r="C1092" s="25"/>
      <c r="D1092" s="242"/>
      <c r="E1092" s="242"/>
      <c r="F1092" s="25"/>
      <c r="G1092" s="242"/>
      <c r="H1092" s="256"/>
      <c r="I1092" s="257"/>
      <c r="J1092" s="32"/>
      <c r="K1092" s="32"/>
      <c r="L1092" s="32"/>
      <c r="M1092" s="32"/>
      <c r="N1092" s="257"/>
      <c r="O1092" s="32"/>
      <c r="P1092" s="32"/>
      <c r="Q1092" s="32"/>
      <c r="R1092" s="32"/>
      <c r="S1092" s="32"/>
      <c r="T1092" s="264"/>
      <c r="U1092" s="16"/>
      <c r="V1092" s="16"/>
      <c r="W1092" s="16"/>
      <c r="X1092" s="32"/>
      <c r="Y1092" s="250"/>
    </row>
    <row r="1093">
      <c r="A1093" s="32"/>
      <c r="B1093" s="32"/>
      <c r="C1093" s="25"/>
      <c r="D1093" s="242"/>
      <c r="E1093" s="242"/>
      <c r="F1093" s="25"/>
      <c r="G1093" s="242"/>
      <c r="H1093" s="256"/>
      <c r="I1093" s="257"/>
      <c r="J1093" s="32"/>
      <c r="K1093" s="32"/>
      <c r="L1093" s="32"/>
      <c r="M1093" s="32"/>
      <c r="N1093" s="257"/>
      <c r="O1093" s="32"/>
      <c r="P1093" s="32"/>
      <c r="Q1093" s="32"/>
      <c r="R1093" s="32"/>
      <c r="S1093" s="32"/>
      <c r="T1093" s="264"/>
      <c r="U1093" s="16"/>
      <c r="V1093" s="16"/>
      <c r="W1093" s="16"/>
      <c r="X1093" s="32"/>
      <c r="Y1093" s="250"/>
    </row>
    <row r="1094">
      <c r="A1094" s="32"/>
      <c r="B1094" s="32"/>
      <c r="C1094" s="25"/>
      <c r="D1094" s="242"/>
      <c r="E1094" s="242"/>
      <c r="F1094" s="25"/>
      <c r="G1094" s="242"/>
      <c r="H1094" s="256"/>
      <c r="I1094" s="257"/>
      <c r="J1094" s="32"/>
      <c r="K1094" s="32"/>
      <c r="L1094" s="32"/>
      <c r="M1094" s="32"/>
      <c r="N1094" s="257"/>
      <c r="O1094" s="32"/>
      <c r="P1094" s="32"/>
      <c r="Q1094" s="32"/>
      <c r="R1094" s="32"/>
      <c r="S1094" s="32"/>
      <c r="T1094" s="264"/>
      <c r="U1094" s="16"/>
      <c r="V1094" s="16"/>
      <c r="W1094" s="16"/>
      <c r="X1094" s="32"/>
      <c r="Y1094" s="250"/>
    </row>
    <row r="1095">
      <c r="A1095" s="32"/>
      <c r="B1095" s="32"/>
      <c r="C1095" s="25"/>
      <c r="D1095" s="242"/>
      <c r="E1095" s="242"/>
      <c r="F1095" s="25"/>
      <c r="G1095" s="242"/>
      <c r="H1095" s="256"/>
      <c r="I1095" s="257"/>
      <c r="J1095" s="32"/>
      <c r="K1095" s="32"/>
      <c r="L1095" s="32"/>
      <c r="M1095" s="32"/>
      <c r="N1095" s="257"/>
      <c r="O1095" s="32"/>
      <c r="P1095" s="32"/>
      <c r="Q1095" s="32"/>
      <c r="R1095" s="32"/>
      <c r="S1095" s="32"/>
      <c r="T1095" s="264"/>
      <c r="U1095" s="16"/>
      <c r="V1095" s="16"/>
      <c r="W1095" s="16"/>
      <c r="X1095" s="32"/>
      <c r="Y1095" s="250"/>
    </row>
    <row r="1096">
      <c r="A1096" s="32"/>
      <c r="B1096" s="32"/>
      <c r="C1096" s="25"/>
      <c r="D1096" s="242"/>
      <c r="E1096" s="242"/>
      <c r="F1096" s="25"/>
      <c r="G1096" s="242"/>
      <c r="H1096" s="256"/>
      <c r="I1096" s="257"/>
      <c r="J1096" s="32"/>
      <c r="K1096" s="32"/>
      <c r="L1096" s="32"/>
      <c r="M1096" s="32"/>
      <c r="N1096" s="257"/>
      <c r="O1096" s="32"/>
      <c r="P1096" s="32"/>
      <c r="Q1096" s="32"/>
      <c r="R1096" s="32"/>
      <c r="S1096" s="32"/>
      <c r="T1096" s="264"/>
      <c r="U1096" s="16"/>
      <c r="V1096" s="16"/>
      <c r="W1096" s="16"/>
      <c r="X1096" s="32"/>
      <c r="Y1096" s="250"/>
    </row>
    <row r="1097">
      <c r="A1097" s="32"/>
      <c r="B1097" s="32"/>
      <c r="C1097" s="25"/>
      <c r="D1097" s="242"/>
      <c r="E1097" s="242"/>
      <c r="F1097" s="25"/>
      <c r="G1097" s="242"/>
      <c r="H1097" s="256"/>
      <c r="I1097" s="257"/>
      <c r="J1097" s="32"/>
      <c r="K1097" s="32"/>
      <c r="L1097" s="32"/>
      <c r="M1097" s="32"/>
      <c r="N1097" s="257"/>
      <c r="O1097" s="32"/>
      <c r="P1097" s="32"/>
      <c r="Q1097" s="32"/>
      <c r="R1097" s="32"/>
      <c r="S1097" s="32"/>
      <c r="T1097" s="264"/>
      <c r="U1097" s="16"/>
      <c r="V1097" s="16"/>
      <c r="W1097" s="16"/>
      <c r="X1097" s="32"/>
      <c r="Y1097" s="250"/>
    </row>
    <row r="1098">
      <c r="A1098" s="32"/>
      <c r="B1098" s="32"/>
      <c r="C1098" s="25"/>
      <c r="D1098" s="242"/>
      <c r="E1098" s="242"/>
      <c r="F1098" s="25"/>
      <c r="G1098" s="242"/>
      <c r="H1098" s="256"/>
      <c r="I1098" s="257"/>
      <c r="J1098" s="32"/>
      <c r="K1098" s="32"/>
      <c r="L1098" s="32"/>
      <c r="M1098" s="32"/>
      <c r="N1098" s="257"/>
      <c r="O1098" s="32"/>
      <c r="P1098" s="32"/>
      <c r="Q1098" s="32"/>
      <c r="R1098" s="32"/>
      <c r="S1098" s="32"/>
      <c r="T1098" s="264"/>
      <c r="U1098" s="16"/>
      <c r="V1098" s="16"/>
      <c r="W1098" s="16"/>
      <c r="X1098" s="32"/>
      <c r="Y1098" s="250"/>
    </row>
    <row r="1099">
      <c r="A1099" s="32"/>
      <c r="B1099" s="32"/>
      <c r="C1099" s="25"/>
      <c r="D1099" s="242"/>
      <c r="E1099" s="242"/>
      <c r="F1099" s="25"/>
      <c r="G1099" s="242"/>
      <c r="H1099" s="256"/>
      <c r="I1099" s="257"/>
      <c r="J1099" s="32"/>
      <c r="K1099" s="32"/>
      <c r="L1099" s="32"/>
      <c r="M1099" s="32"/>
      <c r="N1099" s="257"/>
      <c r="O1099" s="32"/>
      <c r="P1099" s="32"/>
      <c r="Q1099" s="32"/>
      <c r="R1099" s="32"/>
      <c r="S1099" s="32"/>
      <c r="T1099" s="264"/>
      <c r="U1099" s="16"/>
      <c r="V1099" s="16"/>
      <c r="W1099" s="16"/>
      <c r="X1099" s="32"/>
      <c r="Y1099" s="250"/>
    </row>
    <row r="1100">
      <c r="A1100" s="32"/>
      <c r="B1100" s="32"/>
      <c r="C1100" s="25"/>
      <c r="D1100" s="242"/>
      <c r="E1100" s="242"/>
      <c r="F1100" s="25"/>
      <c r="G1100" s="242"/>
      <c r="H1100" s="256"/>
      <c r="I1100" s="257"/>
      <c r="J1100" s="32"/>
      <c r="K1100" s="32"/>
      <c r="L1100" s="32"/>
      <c r="M1100" s="32"/>
      <c r="N1100" s="257"/>
      <c r="O1100" s="32"/>
      <c r="P1100" s="32"/>
      <c r="Q1100" s="32"/>
      <c r="R1100" s="32"/>
      <c r="S1100" s="32"/>
      <c r="T1100" s="264"/>
      <c r="U1100" s="16"/>
      <c r="V1100" s="16"/>
      <c r="W1100" s="16"/>
      <c r="X1100" s="32"/>
      <c r="Y1100" s="250"/>
    </row>
    <row r="1101">
      <c r="A1101" s="32"/>
      <c r="B1101" s="32"/>
      <c r="C1101" s="25"/>
      <c r="D1101" s="242"/>
      <c r="E1101" s="242"/>
      <c r="F1101" s="25"/>
      <c r="G1101" s="242"/>
      <c r="H1101" s="256"/>
      <c r="I1101" s="257"/>
      <c r="J1101" s="32"/>
      <c r="K1101" s="32"/>
      <c r="L1101" s="32"/>
      <c r="M1101" s="32"/>
      <c r="N1101" s="257"/>
      <c r="O1101" s="32"/>
      <c r="P1101" s="32"/>
      <c r="Q1101" s="32"/>
      <c r="R1101" s="32"/>
      <c r="S1101" s="32"/>
      <c r="T1101" s="264"/>
      <c r="U1101" s="16"/>
      <c r="V1101" s="16"/>
      <c r="W1101" s="16"/>
      <c r="X1101" s="32"/>
      <c r="Y1101" s="250"/>
    </row>
    <row r="1102">
      <c r="A1102" s="32"/>
      <c r="B1102" s="32"/>
      <c r="C1102" s="25"/>
      <c r="D1102" s="242"/>
      <c r="E1102" s="242"/>
      <c r="F1102" s="25"/>
      <c r="G1102" s="242"/>
      <c r="H1102" s="256"/>
      <c r="I1102" s="257"/>
      <c r="J1102" s="32"/>
      <c r="K1102" s="32"/>
      <c r="L1102" s="32"/>
      <c r="M1102" s="32"/>
      <c r="N1102" s="257"/>
      <c r="O1102" s="32"/>
      <c r="P1102" s="32"/>
      <c r="Q1102" s="32"/>
      <c r="R1102" s="32"/>
      <c r="S1102" s="32"/>
      <c r="T1102" s="264"/>
      <c r="U1102" s="16"/>
      <c r="V1102" s="16"/>
      <c r="W1102" s="16"/>
      <c r="X1102" s="32"/>
      <c r="Y1102" s="250"/>
    </row>
    <row r="1103">
      <c r="A1103" s="32"/>
      <c r="B1103" s="32"/>
      <c r="C1103" s="25"/>
      <c r="D1103" s="242"/>
      <c r="E1103" s="242"/>
      <c r="F1103" s="25"/>
      <c r="G1103" s="242"/>
      <c r="H1103" s="256"/>
      <c r="I1103" s="257"/>
      <c r="J1103" s="32"/>
      <c r="K1103" s="32"/>
      <c r="L1103" s="32"/>
      <c r="M1103" s="32"/>
      <c r="N1103" s="257"/>
      <c r="O1103" s="32"/>
      <c r="P1103" s="32"/>
      <c r="Q1103" s="32"/>
      <c r="R1103" s="32"/>
      <c r="S1103" s="32"/>
      <c r="T1103" s="264"/>
      <c r="U1103" s="16"/>
      <c r="V1103" s="16"/>
      <c r="W1103" s="16"/>
      <c r="X1103" s="32"/>
      <c r="Y1103" s="250"/>
    </row>
    <row r="1104">
      <c r="A1104" s="32"/>
      <c r="B1104" s="32"/>
      <c r="C1104" s="25"/>
      <c r="D1104" s="242"/>
      <c r="E1104" s="242"/>
      <c r="F1104" s="25"/>
      <c r="G1104" s="242"/>
      <c r="H1104" s="256"/>
      <c r="I1104" s="257"/>
      <c r="J1104" s="32"/>
      <c r="K1104" s="32"/>
      <c r="L1104" s="32"/>
      <c r="M1104" s="32"/>
      <c r="N1104" s="257"/>
      <c r="O1104" s="32"/>
      <c r="P1104" s="32"/>
      <c r="Q1104" s="32"/>
      <c r="R1104" s="32"/>
      <c r="S1104" s="32"/>
      <c r="T1104" s="264"/>
      <c r="U1104" s="16"/>
      <c r="V1104" s="16"/>
      <c r="W1104" s="16"/>
      <c r="X1104" s="32"/>
      <c r="Y1104" s="250"/>
    </row>
    <row r="1105">
      <c r="A1105" s="32"/>
      <c r="B1105" s="32"/>
      <c r="C1105" s="25"/>
      <c r="D1105" s="242"/>
      <c r="E1105" s="242"/>
      <c r="F1105" s="25"/>
      <c r="G1105" s="242"/>
      <c r="H1105" s="256"/>
      <c r="I1105" s="257"/>
      <c r="J1105" s="32"/>
      <c r="K1105" s="32"/>
      <c r="L1105" s="32"/>
      <c r="M1105" s="32"/>
      <c r="N1105" s="257"/>
      <c r="O1105" s="32"/>
      <c r="P1105" s="32"/>
      <c r="Q1105" s="32"/>
      <c r="R1105" s="32"/>
      <c r="S1105" s="32"/>
      <c r="T1105" s="264"/>
      <c r="U1105" s="16"/>
      <c r="V1105" s="16"/>
      <c r="W1105" s="16"/>
      <c r="X1105" s="32"/>
      <c r="Y1105" s="250"/>
    </row>
    <row r="1106">
      <c r="A1106" s="32"/>
      <c r="B1106" s="32"/>
      <c r="C1106" s="25"/>
      <c r="D1106" s="242"/>
      <c r="E1106" s="242"/>
      <c r="F1106" s="25"/>
      <c r="G1106" s="242"/>
      <c r="H1106" s="256"/>
      <c r="I1106" s="257"/>
      <c r="J1106" s="32"/>
      <c r="K1106" s="32"/>
      <c r="L1106" s="32"/>
      <c r="M1106" s="32"/>
      <c r="N1106" s="257"/>
      <c r="O1106" s="32"/>
      <c r="P1106" s="32"/>
      <c r="Q1106" s="32"/>
      <c r="R1106" s="32"/>
      <c r="S1106" s="32"/>
      <c r="T1106" s="264"/>
      <c r="U1106" s="16"/>
      <c r="V1106" s="16"/>
      <c r="W1106" s="16"/>
      <c r="X1106" s="32"/>
      <c r="Y1106" s="250"/>
    </row>
    <row r="1107">
      <c r="A1107" s="32"/>
      <c r="B1107" s="32"/>
      <c r="C1107" s="25"/>
      <c r="D1107" s="242"/>
      <c r="E1107" s="242"/>
      <c r="F1107" s="25"/>
      <c r="G1107" s="242"/>
      <c r="H1107" s="256"/>
      <c r="I1107" s="257"/>
      <c r="J1107" s="32"/>
      <c r="K1107" s="32"/>
      <c r="L1107" s="32"/>
      <c r="M1107" s="32"/>
      <c r="N1107" s="257"/>
      <c r="O1107" s="32"/>
      <c r="P1107" s="32"/>
      <c r="Q1107" s="32"/>
      <c r="R1107" s="32"/>
      <c r="S1107" s="32"/>
      <c r="T1107" s="264"/>
      <c r="U1107" s="16"/>
      <c r="V1107" s="16"/>
      <c r="W1107" s="16"/>
      <c r="X1107" s="32"/>
      <c r="Y1107" s="250"/>
    </row>
    <row r="1108">
      <c r="A1108" s="32"/>
      <c r="B1108" s="32"/>
      <c r="C1108" s="25"/>
      <c r="D1108" s="242"/>
      <c r="E1108" s="242"/>
      <c r="F1108" s="25"/>
      <c r="G1108" s="242"/>
      <c r="H1108" s="256"/>
      <c r="I1108" s="257"/>
      <c r="J1108" s="32"/>
      <c r="K1108" s="32"/>
      <c r="L1108" s="32"/>
      <c r="M1108" s="32"/>
      <c r="N1108" s="257"/>
      <c r="O1108" s="32"/>
      <c r="P1108" s="32"/>
      <c r="Q1108" s="32"/>
      <c r="R1108" s="32"/>
      <c r="S1108" s="32"/>
      <c r="T1108" s="264"/>
      <c r="U1108" s="16"/>
      <c r="V1108" s="16"/>
      <c r="W1108" s="16"/>
      <c r="X1108" s="32"/>
      <c r="Y1108" s="250"/>
    </row>
    <row r="1109">
      <c r="A1109" s="32"/>
      <c r="B1109" s="32"/>
      <c r="C1109" s="25"/>
      <c r="D1109" s="242"/>
      <c r="E1109" s="242"/>
      <c r="F1109" s="25"/>
      <c r="G1109" s="242"/>
      <c r="H1109" s="256"/>
      <c r="I1109" s="257"/>
      <c r="J1109" s="32"/>
      <c r="K1109" s="32"/>
      <c r="L1109" s="32"/>
      <c r="M1109" s="32"/>
      <c r="N1109" s="257"/>
      <c r="O1109" s="32"/>
      <c r="P1109" s="32"/>
      <c r="Q1109" s="32"/>
      <c r="R1109" s="32"/>
      <c r="S1109" s="32"/>
      <c r="T1109" s="264"/>
      <c r="U1109" s="16"/>
      <c r="V1109" s="16"/>
      <c r="W1109" s="16"/>
      <c r="X1109" s="32"/>
      <c r="Y1109" s="250"/>
    </row>
    <row r="1110">
      <c r="A1110" s="32"/>
      <c r="B1110" s="32"/>
      <c r="C1110" s="25"/>
      <c r="D1110" s="242"/>
      <c r="E1110" s="242"/>
      <c r="F1110" s="25"/>
      <c r="G1110" s="242"/>
      <c r="H1110" s="256"/>
      <c r="I1110" s="257"/>
      <c r="J1110" s="32"/>
      <c r="K1110" s="32"/>
      <c r="L1110" s="32"/>
      <c r="M1110" s="32"/>
      <c r="N1110" s="257"/>
      <c r="O1110" s="32"/>
      <c r="P1110" s="32"/>
      <c r="Q1110" s="32"/>
      <c r="R1110" s="32"/>
      <c r="S1110" s="32"/>
      <c r="T1110" s="264"/>
      <c r="U1110" s="16"/>
      <c r="V1110" s="16"/>
      <c r="W1110" s="16"/>
      <c r="X1110" s="32"/>
      <c r="Y1110" s="250"/>
    </row>
    <row r="1111">
      <c r="A1111" s="32"/>
      <c r="B1111" s="32"/>
      <c r="C1111" s="25"/>
      <c r="D1111" s="242"/>
      <c r="E1111" s="242"/>
      <c r="F1111" s="25"/>
      <c r="G1111" s="242"/>
      <c r="H1111" s="256"/>
      <c r="I1111" s="257"/>
      <c r="J1111" s="32"/>
      <c r="K1111" s="32"/>
      <c r="L1111" s="32"/>
      <c r="M1111" s="32"/>
      <c r="N1111" s="257"/>
      <c r="O1111" s="32"/>
      <c r="P1111" s="32"/>
      <c r="Q1111" s="32"/>
      <c r="R1111" s="32"/>
      <c r="S1111" s="32"/>
      <c r="T1111" s="264"/>
      <c r="U1111" s="16"/>
      <c r="V1111" s="16"/>
      <c r="W1111" s="16"/>
      <c r="X1111" s="32"/>
      <c r="Y1111" s="250"/>
    </row>
    <row r="1112">
      <c r="A1112" s="32"/>
      <c r="B1112" s="32"/>
      <c r="C1112" s="25"/>
      <c r="D1112" s="242"/>
      <c r="E1112" s="242"/>
      <c r="F1112" s="25"/>
      <c r="G1112" s="242"/>
      <c r="H1112" s="256"/>
      <c r="I1112" s="257"/>
      <c r="J1112" s="32"/>
      <c r="K1112" s="32"/>
      <c r="L1112" s="32"/>
      <c r="M1112" s="32"/>
      <c r="N1112" s="257"/>
      <c r="O1112" s="32"/>
      <c r="P1112" s="32"/>
      <c r="Q1112" s="32"/>
      <c r="R1112" s="32"/>
      <c r="S1112" s="32"/>
      <c r="T1112" s="264"/>
      <c r="U1112" s="16"/>
      <c r="V1112" s="16"/>
      <c r="W1112" s="16"/>
      <c r="X1112" s="32"/>
      <c r="Y1112" s="250"/>
    </row>
    <row r="1113">
      <c r="A1113" s="32"/>
      <c r="B1113" s="32"/>
      <c r="C1113" s="25"/>
      <c r="D1113" s="242"/>
      <c r="E1113" s="242"/>
      <c r="F1113" s="25"/>
      <c r="G1113" s="242"/>
      <c r="H1113" s="256"/>
      <c r="I1113" s="257"/>
      <c r="J1113" s="32"/>
      <c r="K1113" s="32"/>
      <c r="L1113" s="32"/>
      <c r="M1113" s="32"/>
      <c r="N1113" s="257"/>
      <c r="O1113" s="32"/>
      <c r="P1113" s="32"/>
      <c r="Q1113" s="32"/>
      <c r="R1113" s="32"/>
      <c r="S1113" s="32"/>
      <c r="T1113" s="264"/>
      <c r="U1113" s="16"/>
      <c r="V1113" s="16"/>
      <c r="W1113" s="16"/>
      <c r="X1113" s="32"/>
      <c r="Y1113" s="250"/>
    </row>
    <row r="1114">
      <c r="A1114" s="32"/>
      <c r="B1114" s="32"/>
      <c r="C1114" s="25"/>
      <c r="D1114" s="242"/>
      <c r="E1114" s="242"/>
      <c r="F1114" s="25"/>
      <c r="G1114" s="242"/>
      <c r="H1114" s="256"/>
      <c r="I1114" s="257"/>
      <c r="J1114" s="32"/>
      <c r="K1114" s="32"/>
      <c r="L1114" s="32"/>
      <c r="M1114" s="32"/>
      <c r="N1114" s="257"/>
      <c r="O1114" s="32"/>
      <c r="P1114" s="32"/>
      <c r="Q1114" s="32"/>
      <c r="R1114" s="32"/>
      <c r="S1114" s="32"/>
      <c r="T1114" s="264"/>
      <c r="U1114" s="16"/>
      <c r="V1114" s="16"/>
      <c r="W1114" s="16"/>
      <c r="X1114" s="32"/>
      <c r="Y1114" s="250"/>
    </row>
    <row r="1115">
      <c r="A1115" s="32"/>
      <c r="B1115" s="32"/>
      <c r="C1115" s="25"/>
      <c r="D1115" s="242"/>
      <c r="E1115" s="242"/>
      <c r="F1115" s="25"/>
      <c r="G1115" s="242"/>
      <c r="H1115" s="256"/>
      <c r="I1115" s="257"/>
      <c r="J1115" s="32"/>
      <c r="K1115" s="32"/>
      <c r="L1115" s="32"/>
      <c r="M1115" s="32"/>
      <c r="N1115" s="257"/>
      <c r="O1115" s="32"/>
      <c r="P1115" s="32"/>
      <c r="Q1115" s="32"/>
      <c r="R1115" s="32"/>
      <c r="S1115" s="32"/>
      <c r="T1115" s="264"/>
      <c r="U1115" s="16"/>
      <c r="V1115" s="16"/>
      <c r="W1115" s="16"/>
      <c r="X1115" s="32"/>
      <c r="Y1115" s="250"/>
    </row>
    <row r="1116">
      <c r="A1116" s="32"/>
      <c r="B1116" s="32"/>
      <c r="C1116" s="25"/>
      <c r="D1116" s="242"/>
      <c r="E1116" s="242"/>
      <c r="F1116" s="25"/>
      <c r="G1116" s="242"/>
      <c r="H1116" s="256"/>
      <c r="I1116" s="257"/>
      <c r="J1116" s="32"/>
      <c r="K1116" s="32"/>
      <c r="L1116" s="32"/>
      <c r="M1116" s="32"/>
      <c r="N1116" s="257"/>
      <c r="O1116" s="32"/>
      <c r="P1116" s="32"/>
      <c r="Q1116" s="32"/>
      <c r="R1116" s="32"/>
      <c r="S1116" s="32"/>
      <c r="T1116" s="264"/>
      <c r="U1116" s="16"/>
      <c r="V1116" s="16"/>
      <c r="W1116" s="16"/>
      <c r="X1116" s="32"/>
      <c r="Y1116" s="250"/>
    </row>
    <row r="1117">
      <c r="A1117" s="32"/>
      <c r="B1117" s="32"/>
      <c r="C1117" s="25"/>
      <c r="D1117" s="242"/>
      <c r="E1117" s="242"/>
      <c r="F1117" s="25"/>
      <c r="G1117" s="242"/>
      <c r="H1117" s="256"/>
      <c r="I1117" s="257"/>
      <c r="J1117" s="32"/>
      <c r="K1117" s="32"/>
      <c r="L1117" s="32"/>
      <c r="M1117" s="32"/>
      <c r="N1117" s="257"/>
      <c r="O1117" s="32"/>
      <c r="P1117" s="32"/>
      <c r="Q1117" s="32"/>
      <c r="R1117" s="32"/>
      <c r="S1117" s="32"/>
      <c r="T1117" s="264"/>
      <c r="U1117" s="16"/>
      <c r="V1117" s="16"/>
      <c r="W1117" s="16"/>
      <c r="X1117" s="32"/>
      <c r="Y1117" s="250"/>
    </row>
    <row r="1118">
      <c r="A1118" s="32"/>
      <c r="B1118" s="32"/>
      <c r="C1118" s="25"/>
      <c r="D1118" s="242"/>
      <c r="E1118" s="242"/>
      <c r="F1118" s="25"/>
      <c r="G1118" s="242"/>
      <c r="H1118" s="256"/>
      <c r="I1118" s="257"/>
      <c r="J1118" s="32"/>
      <c r="K1118" s="32"/>
      <c r="L1118" s="32"/>
      <c r="M1118" s="32"/>
      <c r="N1118" s="257"/>
      <c r="O1118" s="32"/>
      <c r="P1118" s="32"/>
      <c r="Q1118" s="32"/>
      <c r="R1118" s="32"/>
      <c r="S1118" s="32"/>
      <c r="T1118" s="264"/>
      <c r="U1118" s="16"/>
      <c r="V1118" s="16"/>
      <c r="W1118" s="16"/>
      <c r="X1118" s="32"/>
      <c r="Y1118" s="250"/>
    </row>
    <row r="1119">
      <c r="A1119" s="32"/>
      <c r="B1119" s="32"/>
      <c r="C1119" s="25"/>
      <c r="D1119" s="242"/>
      <c r="E1119" s="242"/>
      <c r="F1119" s="25"/>
      <c r="G1119" s="242"/>
      <c r="H1119" s="256"/>
      <c r="I1119" s="257"/>
      <c r="J1119" s="32"/>
      <c r="K1119" s="32"/>
      <c r="L1119" s="32"/>
      <c r="M1119" s="32"/>
      <c r="N1119" s="257"/>
      <c r="O1119" s="32"/>
      <c r="P1119" s="32"/>
      <c r="Q1119" s="32"/>
      <c r="R1119" s="32"/>
      <c r="S1119" s="32"/>
      <c r="T1119" s="264"/>
      <c r="U1119" s="16"/>
      <c r="V1119" s="16"/>
      <c r="W1119" s="16"/>
      <c r="X1119" s="32"/>
      <c r="Y1119" s="250"/>
    </row>
    <row r="1120">
      <c r="A1120" s="32"/>
      <c r="B1120" s="32"/>
      <c r="C1120" s="25"/>
      <c r="D1120" s="242"/>
      <c r="E1120" s="242"/>
      <c r="F1120" s="25"/>
      <c r="G1120" s="242"/>
      <c r="H1120" s="256"/>
      <c r="I1120" s="257"/>
      <c r="J1120" s="32"/>
      <c r="K1120" s="32"/>
      <c r="L1120" s="32"/>
      <c r="M1120" s="32"/>
      <c r="N1120" s="257"/>
      <c r="O1120" s="32"/>
      <c r="P1120" s="32"/>
      <c r="Q1120" s="32"/>
      <c r="R1120" s="32"/>
      <c r="S1120" s="32"/>
      <c r="T1120" s="264"/>
      <c r="U1120" s="16"/>
      <c r="V1120" s="16"/>
      <c r="W1120" s="16"/>
      <c r="X1120" s="32"/>
      <c r="Y1120" s="250"/>
    </row>
    <row r="1121">
      <c r="A1121" s="32"/>
      <c r="B1121" s="32"/>
      <c r="C1121" s="25"/>
      <c r="D1121" s="242"/>
      <c r="E1121" s="242"/>
      <c r="F1121" s="25"/>
      <c r="G1121" s="242"/>
      <c r="H1121" s="256"/>
      <c r="I1121" s="257"/>
      <c r="J1121" s="32"/>
      <c r="K1121" s="32"/>
      <c r="L1121" s="32"/>
      <c r="M1121" s="32"/>
      <c r="N1121" s="257"/>
      <c r="O1121" s="32"/>
      <c r="P1121" s="32"/>
      <c r="Q1121" s="32"/>
      <c r="R1121" s="32"/>
      <c r="S1121" s="32"/>
      <c r="T1121" s="264"/>
      <c r="U1121" s="16"/>
      <c r="V1121" s="16"/>
      <c r="W1121" s="16"/>
      <c r="X1121" s="32"/>
      <c r="Y1121" s="250"/>
    </row>
    <row r="1122">
      <c r="A1122" s="32"/>
      <c r="B1122" s="32"/>
      <c r="C1122" s="25"/>
      <c r="D1122" s="242"/>
      <c r="E1122" s="242"/>
      <c r="F1122" s="25"/>
      <c r="G1122" s="242"/>
      <c r="H1122" s="256"/>
      <c r="I1122" s="257"/>
      <c r="J1122" s="32"/>
      <c r="K1122" s="32"/>
      <c r="L1122" s="32"/>
      <c r="M1122" s="32"/>
      <c r="N1122" s="257"/>
      <c r="O1122" s="32"/>
      <c r="P1122" s="32"/>
      <c r="Q1122" s="32"/>
      <c r="R1122" s="32"/>
      <c r="S1122" s="32"/>
      <c r="T1122" s="264"/>
      <c r="U1122" s="16"/>
      <c r="V1122" s="16"/>
      <c r="W1122" s="16"/>
      <c r="X1122" s="32"/>
      <c r="Y1122" s="250"/>
    </row>
    <row r="1123">
      <c r="A1123" s="32"/>
      <c r="B1123" s="32"/>
      <c r="C1123" s="25"/>
      <c r="D1123" s="242"/>
      <c r="E1123" s="242"/>
      <c r="F1123" s="25"/>
      <c r="G1123" s="242"/>
      <c r="H1123" s="256"/>
      <c r="I1123" s="257"/>
      <c r="J1123" s="32"/>
      <c r="K1123" s="32"/>
      <c r="L1123" s="32"/>
      <c r="M1123" s="32"/>
      <c r="N1123" s="257"/>
      <c r="O1123" s="32"/>
      <c r="P1123" s="32"/>
      <c r="Q1123" s="32"/>
      <c r="R1123" s="32"/>
      <c r="S1123" s="32"/>
      <c r="T1123" s="264"/>
      <c r="U1123" s="16"/>
      <c r="V1123" s="16"/>
      <c r="W1123" s="16"/>
      <c r="X1123" s="32"/>
      <c r="Y1123" s="250"/>
    </row>
    <row r="1124">
      <c r="A1124" s="32"/>
      <c r="B1124" s="32"/>
      <c r="C1124" s="25"/>
      <c r="D1124" s="242"/>
      <c r="E1124" s="242"/>
      <c r="F1124" s="25"/>
      <c r="G1124" s="242"/>
      <c r="H1124" s="256"/>
      <c r="I1124" s="257"/>
      <c r="J1124" s="32"/>
      <c r="K1124" s="32"/>
      <c r="L1124" s="32"/>
      <c r="M1124" s="32"/>
      <c r="N1124" s="257"/>
      <c r="O1124" s="32"/>
      <c r="P1124" s="32"/>
      <c r="Q1124" s="32"/>
      <c r="R1124" s="32"/>
      <c r="S1124" s="32"/>
      <c r="T1124" s="264"/>
      <c r="U1124" s="16"/>
      <c r="V1124" s="16"/>
      <c r="W1124" s="16"/>
      <c r="X1124" s="32"/>
      <c r="Y1124" s="250"/>
    </row>
    <row r="1125">
      <c r="A1125" s="32"/>
      <c r="B1125" s="32"/>
      <c r="C1125" s="257"/>
      <c r="D1125" s="265"/>
      <c r="E1125" s="265"/>
      <c r="F1125" s="257"/>
      <c r="G1125" s="265"/>
      <c r="H1125" s="256"/>
      <c r="I1125" s="257"/>
      <c r="J1125" s="32"/>
      <c r="K1125" s="32"/>
      <c r="L1125" s="32"/>
      <c r="M1125" s="32"/>
      <c r="N1125" s="257"/>
      <c r="O1125" s="32"/>
      <c r="P1125" s="32"/>
      <c r="Q1125" s="32"/>
      <c r="R1125" s="32"/>
      <c r="S1125" s="32"/>
      <c r="T1125" s="264"/>
      <c r="U1125" s="16"/>
      <c r="V1125" s="16"/>
      <c r="W1125" s="16"/>
      <c r="X1125" s="32"/>
      <c r="Y1125" s="250"/>
    </row>
    <row r="1126">
      <c r="A1126" s="32"/>
      <c r="B1126" s="32"/>
      <c r="C1126" s="257"/>
      <c r="D1126" s="265"/>
      <c r="E1126" s="265"/>
      <c r="F1126" s="257"/>
      <c r="G1126" s="265"/>
      <c r="H1126" s="256"/>
      <c r="I1126" s="257"/>
      <c r="J1126" s="32"/>
      <c r="K1126" s="32"/>
      <c r="L1126" s="32"/>
      <c r="M1126" s="32"/>
      <c r="N1126" s="257"/>
      <c r="O1126" s="32"/>
      <c r="P1126" s="32"/>
      <c r="Q1126" s="32"/>
      <c r="R1126" s="32"/>
      <c r="S1126" s="32"/>
      <c r="T1126" s="264"/>
      <c r="U1126" s="16"/>
      <c r="V1126" s="16"/>
      <c r="W1126" s="16"/>
      <c r="X1126" s="32"/>
      <c r="Y1126" s="250"/>
    </row>
    <row r="1127">
      <c r="A1127" s="32"/>
      <c r="B1127" s="32"/>
      <c r="C1127" s="257"/>
      <c r="D1127" s="265"/>
      <c r="E1127" s="265"/>
      <c r="F1127" s="257"/>
      <c r="G1127" s="265"/>
      <c r="H1127" s="256"/>
      <c r="I1127" s="257"/>
      <c r="J1127" s="32"/>
      <c r="K1127" s="32"/>
      <c r="L1127" s="32"/>
      <c r="M1127" s="32"/>
      <c r="N1127" s="257"/>
      <c r="O1127" s="32"/>
      <c r="P1127" s="32"/>
      <c r="Q1127" s="32"/>
      <c r="R1127" s="32"/>
      <c r="S1127" s="32"/>
      <c r="T1127" s="264"/>
      <c r="U1127" s="16"/>
      <c r="V1127" s="16"/>
      <c r="W1127" s="16"/>
      <c r="X1127" s="32"/>
      <c r="Y1127" s="250"/>
    </row>
    <row r="1128">
      <c r="A1128" s="32"/>
      <c r="B1128" s="32"/>
      <c r="C1128" s="257"/>
      <c r="D1128" s="265"/>
      <c r="E1128" s="265"/>
      <c r="F1128" s="257"/>
      <c r="G1128" s="265"/>
      <c r="H1128" s="256"/>
      <c r="I1128" s="257"/>
      <c r="J1128" s="32"/>
      <c r="K1128" s="32"/>
      <c r="L1128" s="32"/>
      <c r="M1128" s="32"/>
      <c r="N1128" s="257"/>
      <c r="O1128" s="32"/>
      <c r="P1128" s="32"/>
      <c r="Q1128" s="32"/>
      <c r="R1128" s="32"/>
      <c r="S1128" s="32"/>
      <c r="T1128" s="264"/>
      <c r="U1128" s="16"/>
      <c r="V1128" s="16"/>
      <c r="W1128" s="16"/>
      <c r="X1128" s="32"/>
      <c r="Y1128" s="250"/>
    </row>
    <row r="1129">
      <c r="A1129" s="32"/>
      <c r="B1129" s="32"/>
      <c r="C1129" s="257"/>
      <c r="D1129" s="265"/>
      <c r="E1129" s="265"/>
      <c r="F1129" s="257"/>
      <c r="G1129" s="265"/>
      <c r="H1129" s="256"/>
      <c r="I1129" s="257"/>
      <c r="J1129" s="32"/>
      <c r="K1129" s="32"/>
      <c r="L1129" s="32"/>
      <c r="M1129" s="32"/>
      <c r="N1129" s="257"/>
      <c r="O1129" s="32"/>
      <c r="P1129" s="32"/>
      <c r="Q1129" s="32"/>
      <c r="R1129" s="32"/>
      <c r="S1129" s="32"/>
      <c r="T1129" s="264"/>
      <c r="U1129" s="16"/>
      <c r="V1129" s="16"/>
      <c r="W1129" s="16"/>
      <c r="X1129" s="32"/>
      <c r="Y1129" s="250"/>
    </row>
    <row r="1130">
      <c r="A1130" s="32"/>
      <c r="B1130" s="32"/>
      <c r="C1130" s="257"/>
      <c r="D1130" s="265"/>
      <c r="E1130" s="265"/>
      <c r="F1130" s="257"/>
      <c r="G1130" s="265"/>
      <c r="H1130" s="256"/>
      <c r="I1130" s="257"/>
      <c r="J1130" s="32"/>
      <c r="K1130" s="32"/>
      <c r="L1130" s="32"/>
      <c r="M1130" s="32"/>
      <c r="N1130" s="257"/>
      <c r="O1130" s="32"/>
      <c r="P1130" s="32"/>
      <c r="Q1130" s="32"/>
      <c r="R1130" s="32"/>
      <c r="S1130" s="32"/>
      <c r="T1130" s="264"/>
      <c r="U1130" s="16"/>
      <c r="V1130" s="16"/>
      <c r="W1130" s="16"/>
      <c r="X1130" s="32"/>
      <c r="Y1130" s="250"/>
    </row>
    <row r="1131">
      <c r="A1131" s="32"/>
      <c r="B1131" s="32"/>
      <c r="C1131" s="257"/>
      <c r="D1131" s="265"/>
      <c r="E1131" s="265"/>
      <c r="F1131" s="257"/>
      <c r="G1131" s="265"/>
      <c r="H1131" s="256"/>
      <c r="I1131" s="257"/>
      <c r="J1131" s="32"/>
      <c r="K1131" s="32"/>
      <c r="L1131" s="32"/>
      <c r="M1131" s="32"/>
      <c r="N1131" s="257"/>
      <c r="O1131" s="32"/>
      <c r="P1131" s="32"/>
      <c r="Q1131" s="32"/>
      <c r="R1131" s="32"/>
      <c r="S1131" s="32"/>
      <c r="T1131" s="264"/>
      <c r="U1131" s="16"/>
      <c r="V1131" s="16"/>
      <c r="W1131" s="16"/>
      <c r="X1131" s="32"/>
      <c r="Y1131" s="250"/>
    </row>
    <row r="1132">
      <c r="A1132" s="32"/>
      <c r="B1132" s="32"/>
      <c r="C1132" s="257"/>
      <c r="D1132" s="265"/>
      <c r="E1132" s="265"/>
      <c r="F1132" s="257"/>
      <c r="G1132" s="265"/>
      <c r="H1132" s="256"/>
      <c r="I1132" s="257"/>
      <c r="J1132" s="32"/>
      <c r="K1132" s="32"/>
      <c r="L1132" s="32"/>
      <c r="M1132" s="32"/>
      <c r="N1132" s="257"/>
      <c r="O1132" s="32"/>
      <c r="P1132" s="32"/>
      <c r="Q1132" s="32"/>
      <c r="R1132" s="32"/>
      <c r="S1132" s="32"/>
      <c r="T1132" s="264"/>
      <c r="U1132" s="16"/>
      <c r="V1132" s="16"/>
      <c r="W1132" s="16"/>
      <c r="X1132" s="32"/>
      <c r="Y1132" s="250"/>
    </row>
    <row r="1133">
      <c r="A1133" s="32"/>
      <c r="B1133" s="32"/>
      <c r="C1133" s="257"/>
      <c r="D1133" s="265"/>
      <c r="E1133" s="265"/>
      <c r="F1133" s="257"/>
      <c r="G1133" s="265"/>
      <c r="H1133" s="256"/>
      <c r="I1133" s="257"/>
      <c r="J1133" s="32"/>
      <c r="K1133" s="32"/>
      <c r="L1133" s="32"/>
      <c r="M1133" s="32"/>
      <c r="N1133" s="257"/>
      <c r="O1133" s="32"/>
      <c r="P1133" s="32"/>
      <c r="Q1133" s="32"/>
      <c r="R1133" s="32"/>
      <c r="S1133" s="32"/>
      <c r="T1133" s="264"/>
      <c r="U1133" s="16"/>
      <c r="V1133" s="16"/>
      <c r="W1133" s="16"/>
      <c r="X1133" s="32"/>
      <c r="Y1133" s="250"/>
    </row>
    <row r="1134">
      <c r="A1134" s="32"/>
      <c r="B1134" s="32"/>
      <c r="C1134" s="257"/>
      <c r="D1134" s="265"/>
      <c r="E1134" s="265"/>
      <c r="F1134" s="257"/>
      <c r="G1134" s="265"/>
      <c r="H1134" s="256"/>
      <c r="I1134" s="257"/>
      <c r="J1134" s="32"/>
      <c r="K1134" s="32"/>
      <c r="L1134" s="32"/>
      <c r="M1134" s="32"/>
      <c r="N1134" s="257"/>
      <c r="O1134" s="32"/>
      <c r="P1134" s="32"/>
      <c r="Q1134" s="32"/>
      <c r="R1134" s="32"/>
      <c r="S1134" s="32"/>
      <c r="T1134" s="264"/>
      <c r="U1134" s="16"/>
      <c r="V1134" s="16"/>
      <c r="W1134" s="16"/>
      <c r="X1134" s="32"/>
      <c r="Y1134" s="250"/>
    </row>
    <row r="1135">
      <c r="A1135" s="32"/>
      <c r="B1135" s="32"/>
      <c r="C1135" s="257"/>
      <c r="D1135" s="265"/>
      <c r="E1135" s="265"/>
      <c r="F1135" s="257"/>
      <c r="G1135" s="265"/>
      <c r="H1135" s="256"/>
      <c r="I1135" s="257"/>
      <c r="J1135" s="32"/>
      <c r="K1135" s="32"/>
      <c r="L1135" s="32"/>
      <c r="M1135" s="32"/>
      <c r="N1135" s="257"/>
      <c r="O1135" s="32"/>
      <c r="P1135" s="32"/>
      <c r="Q1135" s="32"/>
      <c r="R1135" s="32"/>
      <c r="S1135" s="32"/>
      <c r="T1135" s="264"/>
      <c r="U1135" s="16"/>
      <c r="V1135" s="16"/>
      <c r="W1135" s="16"/>
      <c r="X1135" s="32"/>
      <c r="Y1135" s="250"/>
    </row>
    <row r="1136">
      <c r="A1136" s="32"/>
      <c r="B1136" s="32"/>
      <c r="C1136" s="257"/>
      <c r="D1136" s="265"/>
      <c r="E1136" s="265"/>
      <c r="F1136" s="257"/>
      <c r="G1136" s="265"/>
      <c r="H1136" s="256"/>
      <c r="I1136" s="257"/>
      <c r="J1136" s="32"/>
      <c r="K1136" s="32"/>
      <c r="L1136" s="32"/>
      <c r="M1136" s="32"/>
      <c r="N1136" s="257"/>
      <c r="O1136" s="32"/>
      <c r="P1136" s="32"/>
      <c r="Q1136" s="32"/>
      <c r="R1136" s="32"/>
      <c r="S1136" s="32"/>
      <c r="T1136" s="264"/>
      <c r="U1136" s="16"/>
      <c r="V1136" s="16"/>
      <c r="W1136" s="16"/>
      <c r="X1136" s="32"/>
      <c r="Y1136" s="250"/>
    </row>
    <row r="1137">
      <c r="A1137" s="32"/>
      <c r="B1137" s="32"/>
      <c r="C1137" s="257"/>
      <c r="D1137" s="265"/>
      <c r="E1137" s="265"/>
      <c r="F1137" s="257"/>
      <c r="G1137" s="265"/>
      <c r="H1137" s="256"/>
      <c r="I1137" s="257"/>
      <c r="J1137" s="32"/>
      <c r="K1137" s="32"/>
      <c r="L1137" s="32"/>
      <c r="M1137" s="32"/>
      <c r="N1137" s="257"/>
      <c r="O1137" s="32"/>
      <c r="P1137" s="32"/>
      <c r="Q1137" s="32"/>
      <c r="R1137" s="32"/>
      <c r="S1137" s="32"/>
      <c r="T1137" s="264"/>
      <c r="U1137" s="16"/>
      <c r="V1137" s="16"/>
      <c r="W1137" s="16"/>
      <c r="X1137" s="32"/>
      <c r="Y1137" s="250"/>
    </row>
    <row r="1138">
      <c r="A1138" s="32"/>
      <c r="B1138" s="32"/>
      <c r="C1138" s="257"/>
      <c r="D1138" s="265"/>
      <c r="E1138" s="265"/>
      <c r="F1138" s="257"/>
      <c r="G1138" s="265"/>
      <c r="H1138" s="256"/>
      <c r="I1138" s="257"/>
      <c r="J1138" s="32"/>
      <c r="K1138" s="32"/>
      <c r="L1138" s="32"/>
      <c r="M1138" s="32"/>
      <c r="N1138" s="257"/>
      <c r="O1138" s="32"/>
      <c r="P1138" s="32"/>
      <c r="Q1138" s="32"/>
      <c r="R1138" s="32"/>
      <c r="S1138" s="32"/>
      <c r="T1138" s="264"/>
      <c r="U1138" s="16"/>
      <c r="V1138" s="16"/>
      <c r="W1138" s="16"/>
      <c r="X1138" s="32"/>
      <c r="Y1138" s="250"/>
    </row>
    <row r="1139">
      <c r="A1139" s="32"/>
      <c r="B1139" s="32"/>
      <c r="C1139" s="257"/>
      <c r="D1139" s="265"/>
      <c r="E1139" s="265"/>
      <c r="F1139" s="257"/>
      <c r="G1139" s="265"/>
      <c r="H1139" s="256"/>
      <c r="I1139" s="257"/>
      <c r="J1139" s="32"/>
      <c r="K1139" s="32"/>
      <c r="L1139" s="32"/>
      <c r="M1139" s="32"/>
      <c r="N1139" s="257"/>
      <c r="O1139" s="32"/>
      <c r="P1139" s="32"/>
      <c r="Q1139" s="32"/>
      <c r="R1139" s="32"/>
      <c r="S1139" s="32"/>
      <c r="T1139" s="264"/>
      <c r="U1139" s="16"/>
      <c r="V1139" s="16"/>
      <c r="W1139" s="16"/>
      <c r="X1139" s="32"/>
      <c r="Y1139" s="250"/>
    </row>
    <row r="1140">
      <c r="A1140" s="32"/>
      <c r="B1140" s="32"/>
      <c r="C1140" s="257"/>
      <c r="D1140" s="265"/>
      <c r="E1140" s="265"/>
      <c r="F1140" s="257"/>
      <c r="G1140" s="265"/>
      <c r="H1140" s="256"/>
      <c r="I1140" s="257"/>
      <c r="J1140" s="32"/>
      <c r="K1140" s="32"/>
      <c r="L1140" s="32"/>
      <c r="M1140" s="32"/>
      <c r="N1140" s="257"/>
      <c r="O1140" s="32"/>
      <c r="P1140" s="32"/>
      <c r="Q1140" s="32"/>
      <c r="R1140" s="32"/>
      <c r="S1140" s="32"/>
      <c r="T1140" s="264"/>
      <c r="U1140" s="16"/>
      <c r="V1140" s="16"/>
      <c r="W1140" s="16"/>
      <c r="X1140" s="32"/>
      <c r="Y1140" s="250"/>
    </row>
    <row r="1141">
      <c r="A1141" s="32"/>
      <c r="B1141" s="32"/>
      <c r="C1141" s="257"/>
      <c r="D1141" s="265"/>
      <c r="E1141" s="265"/>
      <c r="F1141" s="257"/>
      <c r="G1141" s="265"/>
      <c r="H1141" s="256"/>
      <c r="I1141" s="257"/>
      <c r="J1141" s="32"/>
      <c r="K1141" s="32"/>
      <c r="L1141" s="32"/>
      <c r="M1141" s="32"/>
      <c r="N1141" s="257"/>
      <c r="O1141" s="32"/>
      <c r="P1141" s="32"/>
      <c r="Q1141" s="32"/>
      <c r="R1141" s="32"/>
      <c r="S1141" s="32"/>
      <c r="T1141" s="264"/>
      <c r="U1141" s="16"/>
      <c r="V1141" s="16"/>
      <c r="W1141" s="16"/>
      <c r="X1141" s="32"/>
      <c r="Y1141" s="250"/>
    </row>
    <row r="1142">
      <c r="A1142" s="32"/>
      <c r="B1142" s="32"/>
      <c r="C1142" s="257"/>
      <c r="D1142" s="265"/>
      <c r="E1142" s="265"/>
      <c r="F1142" s="257"/>
      <c r="G1142" s="265"/>
      <c r="H1142" s="256"/>
      <c r="I1142" s="257"/>
      <c r="J1142" s="32"/>
      <c r="K1142" s="32"/>
      <c r="L1142" s="32"/>
      <c r="M1142" s="32"/>
      <c r="N1142" s="257"/>
      <c r="O1142" s="32"/>
      <c r="P1142" s="32"/>
      <c r="Q1142" s="32"/>
      <c r="R1142" s="32"/>
      <c r="S1142" s="32"/>
      <c r="T1142" s="264"/>
      <c r="U1142" s="16"/>
      <c r="V1142" s="16"/>
      <c r="W1142" s="16"/>
      <c r="X1142" s="32"/>
      <c r="Y1142" s="250"/>
    </row>
    <row r="1143">
      <c r="A1143" s="32"/>
      <c r="B1143" s="32"/>
      <c r="C1143" s="257"/>
      <c r="D1143" s="265"/>
      <c r="E1143" s="265"/>
      <c r="F1143" s="257"/>
      <c r="G1143" s="265"/>
      <c r="H1143" s="256"/>
      <c r="I1143" s="257"/>
      <c r="J1143" s="32"/>
      <c r="K1143" s="32"/>
      <c r="L1143" s="32"/>
      <c r="M1143" s="32"/>
      <c r="N1143" s="257"/>
      <c r="O1143" s="32"/>
      <c r="P1143" s="32"/>
      <c r="Q1143" s="32"/>
      <c r="R1143" s="32"/>
      <c r="S1143" s="32"/>
      <c r="T1143" s="264"/>
      <c r="U1143" s="16"/>
      <c r="V1143" s="16"/>
      <c r="W1143" s="16"/>
      <c r="X1143" s="32"/>
      <c r="Y1143" s="250"/>
    </row>
    <row r="1144">
      <c r="A1144" s="32"/>
      <c r="B1144" s="32"/>
      <c r="C1144" s="257"/>
      <c r="D1144" s="265"/>
      <c r="E1144" s="265"/>
      <c r="F1144" s="257"/>
      <c r="G1144" s="265"/>
      <c r="H1144" s="256"/>
      <c r="I1144" s="257"/>
      <c r="J1144" s="32"/>
      <c r="K1144" s="32"/>
      <c r="L1144" s="32"/>
      <c r="M1144" s="32"/>
      <c r="N1144" s="257"/>
      <c r="O1144" s="32"/>
      <c r="P1144" s="32"/>
      <c r="Q1144" s="32"/>
      <c r="R1144" s="32"/>
      <c r="S1144" s="32"/>
      <c r="T1144" s="264"/>
      <c r="U1144" s="16"/>
      <c r="V1144" s="16"/>
      <c r="W1144" s="16"/>
      <c r="X1144" s="32"/>
      <c r="Y1144" s="250"/>
    </row>
    <row r="1145">
      <c r="A1145" s="32"/>
      <c r="B1145" s="32"/>
      <c r="C1145" s="257"/>
      <c r="D1145" s="265"/>
      <c r="E1145" s="265"/>
      <c r="F1145" s="257"/>
      <c r="G1145" s="265"/>
      <c r="H1145" s="256"/>
      <c r="I1145" s="257"/>
      <c r="J1145" s="32"/>
      <c r="K1145" s="32"/>
      <c r="L1145" s="32"/>
      <c r="M1145" s="32"/>
      <c r="N1145" s="257"/>
      <c r="O1145" s="32"/>
      <c r="P1145" s="32"/>
      <c r="Q1145" s="32"/>
      <c r="R1145" s="32"/>
      <c r="S1145" s="32"/>
      <c r="T1145" s="264"/>
      <c r="U1145" s="16"/>
      <c r="V1145" s="16"/>
      <c r="W1145" s="16"/>
      <c r="X1145" s="32"/>
      <c r="Y1145" s="250"/>
    </row>
    <row r="1146">
      <c r="A1146" s="32"/>
      <c r="B1146" s="32"/>
      <c r="C1146" s="257"/>
      <c r="D1146" s="265"/>
      <c r="E1146" s="265"/>
      <c r="F1146" s="257"/>
      <c r="G1146" s="265"/>
      <c r="H1146" s="256"/>
      <c r="I1146" s="257"/>
      <c r="J1146" s="32"/>
      <c r="K1146" s="32"/>
      <c r="L1146" s="32"/>
      <c r="M1146" s="32"/>
      <c r="N1146" s="257"/>
      <c r="O1146" s="32"/>
      <c r="P1146" s="32"/>
      <c r="Q1146" s="32"/>
      <c r="R1146" s="32"/>
      <c r="S1146" s="32"/>
      <c r="T1146" s="264"/>
      <c r="U1146" s="16"/>
      <c r="V1146" s="16"/>
      <c r="W1146" s="16"/>
      <c r="X1146" s="32"/>
      <c r="Y1146" s="250"/>
    </row>
    <row r="1147">
      <c r="A1147" s="32"/>
      <c r="B1147" s="32"/>
      <c r="C1147" s="257"/>
      <c r="D1147" s="265"/>
      <c r="E1147" s="265"/>
      <c r="F1147" s="257"/>
      <c r="G1147" s="265"/>
      <c r="H1147" s="256"/>
      <c r="I1147" s="257"/>
      <c r="J1147" s="32"/>
      <c r="K1147" s="32"/>
      <c r="L1147" s="32"/>
      <c r="M1147" s="32"/>
      <c r="N1147" s="257"/>
      <c r="O1147" s="32"/>
      <c r="P1147" s="32"/>
      <c r="Q1147" s="32"/>
      <c r="R1147" s="32"/>
      <c r="S1147" s="32"/>
      <c r="T1147" s="264"/>
      <c r="U1147" s="16"/>
      <c r="V1147" s="16"/>
      <c r="W1147" s="16"/>
      <c r="X1147" s="32"/>
      <c r="Y1147" s="250"/>
    </row>
    <row r="1148">
      <c r="A1148" s="32"/>
      <c r="B1148" s="32"/>
      <c r="C1148" s="257"/>
      <c r="D1148" s="265"/>
      <c r="E1148" s="265"/>
      <c r="F1148" s="257"/>
      <c r="G1148" s="265"/>
      <c r="H1148" s="256"/>
      <c r="I1148" s="257"/>
      <c r="J1148" s="32"/>
      <c r="K1148" s="32"/>
      <c r="L1148" s="32"/>
      <c r="M1148" s="32"/>
      <c r="N1148" s="257"/>
      <c r="O1148" s="32"/>
      <c r="P1148" s="32"/>
      <c r="Q1148" s="32"/>
      <c r="R1148" s="32"/>
      <c r="S1148" s="32"/>
      <c r="T1148" s="264"/>
      <c r="U1148" s="16"/>
      <c r="V1148" s="16"/>
      <c r="W1148" s="16"/>
      <c r="X1148" s="32"/>
      <c r="Y1148" s="250"/>
    </row>
    <row r="1149">
      <c r="A1149" s="32"/>
      <c r="B1149" s="32"/>
      <c r="C1149" s="257"/>
      <c r="D1149" s="265"/>
      <c r="E1149" s="265"/>
      <c r="F1149" s="257"/>
      <c r="G1149" s="265"/>
      <c r="H1149" s="256"/>
      <c r="I1149" s="257"/>
      <c r="J1149" s="32"/>
      <c r="K1149" s="32"/>
      <c r="L1149" s="32"/>
      <c r="M1149" s="32"/>
      <c r="N1149" s="257"/>
      <c r="O1149" s="32"/>
      <c r="P1149" s="32"/>
      <c r="Q1149" s="32"/>
      <c r="R1149" s="32"/>
      <c r="S1149" s="32"/>
      <c r="T1149" s="264"/>
      <c r="U1149" s="16"/>
      <c r="V1149" s="16"/>
      <c r="W1149" s="16"/>
      <c r="X1149" s="32"/>
      <c r="Y1149" s="250"/>
    </row>
    <row r="1150">
      <c r="A1150" s="32"/>
      <c r="B1150" s="32"/>
      <c r="C1150" s="257"/>
      <c r="D1150" s="265"/>
      <c r="E1150" s="265"/>
      <c r="F1150" s="257"/>
      <c r="G1150" s="265"/>
      <c r="H1150" s="256"/>
      <c r="I1150" s="257"/>
      <c r="J1150" s="32"/>
      <c r="K1150" s="32"/>
      <c r="L1150" s="32"/>
      <c r="M1150" s="32"/>
      <c r="N1150" s="257"/>
      <c r="O1150" s="32"/>
      <c r="P1150" s="32"/>
      <c r="Q1150" s="32"/>
      <c r="R1150" s="32"/>
      <c r="S1150" s="32"/>
      <c r="T1150" s="264"/>
      <c r="U1150" s="16"/>
      <c r="V1150" s="16"/>
      <c r="W1150" s="16"/>
      <c r="X1150" s="32"/>
      <c r="Y1150" s="250"/>
    </row>
    <row r="1151">
      <c r="A1151" s="32"/>
      <c r="B1151" s="32"/>
      <c r="C1151" s="257"/>
      <c r="D1151" s="265"/>
      <c r="E1151" s="265"/>
      <c r="F1151" s="257"/>
      <c r="G1151" s="265"/>
      <c r="H1151" s="256"/>
      <c r="I1151" s="257"/>
      <c r="J1151" s="32"/>
      <c r="K1151" s="32"/>
      <c r="L1151" s="32"/>
      <c r="M1151" s="32"/>
      <c r="N1151" s="257"/>
      <c r="O1151" s="32"/>
      <c r="P1151" s="32"/>
      <c r="Q1151" s="32"/>
      <c r="R1151" s="32"/>
      <c r="S1151" s="32"/>
      <c r="T1151" s="264"/>
      <c r="U1151" s="16"/>
      <c r="V1151" s="16"/>
      <c r="W1151" s="16"/>
      <c r="X1151" s="32"/>
      <c r="Y1151" s="250"/>
    </row>
    <row r="1152">
      <c r="A1152" s="32"/>
      <c r="B1152" s="32"/>
      <c r="C1152" s="257"/>
      <c r="D1152" s="265"/>
      <c r="E1152" s="265"/>
      <c r="F1152" s="257"/>
      <c r="G1152" s="265"/>
      <c r="H1152" s="256"/>
      <c r="I1152" s="257"/>
      <c r="J1152" s="32"/>
      <c r="K1152" s="32"/>
      <c r="L1152" s="32"/>
      <c r="M1152" s="32"/>
      <c r="N1152" s="257"/>
      <c r="O1152" s="32"/>
      <c r="P1152" s="32"/>
      <c r="Q1152" s="32"/>
      <c r="R1152" s="32"/>
      <c r="S1152" s="32"/>
      <c r="T1152" s="264"/>
      <c r="U1152" s="16"/>
      <c r="V1152" s="16"/>
      <c r="W1152" s="16"/>
      <c r="X1152" s="32"/>
      <c r="Y1152" s="250"/>
    </row>
    <row r="1153">
      <c r="A1153" s="32"/>
      <c r="B1153" s="32"/>
      <c r="C1153" s="257"/>
      <c r="D1153" s="265"/>
      <c r="E1153" s="265"/>
      <c r="F1153" s="257"/>
      <c r="G1153" s="265"/>
      <c r="H1153" s="256"/>
      <c r="I1153" s="257"/>
      <c r="J1153" s="32"/>
      <c r="K1153" s="32"/>
      <c r="L1153" s="32"/>
      <c r="M1153" s="32"/>
      <c r="N1153" s="257"/>
      <c r="O1153" s="32"/>
      <c r="P1153" s="32"/>
      <c r="Q1153" s="32"/>
      <c r="R1153" s="32"/>
      <c r="S1153" s="32"/>
      <c r="T1153" s="264"/>
      <c r="U1153" s="16"/>
      <c r="V1153" s="16"/>
      <c r="W1153" s="16"/>
      <c r="X1153" s="32"/>
      <c r="Y1153" s="250"/>
    </row>
    <row r="1154">
      <c r="A1154" s="32"/>
      <c r="B1154" s="32"/>
      <c r="C1154" s="257"/>
      <c r="D1154" s="265"/>
      <c r="E1154" s="265"/>
      <c r="F1154" s="257"/>
      <c r="G1154" s="265"/>
      <c r="H1154" s="256"/>
      <c r="I1154" s="257"/>
      <c r="J1154" s="32"/>
      <c r="K1154" s="32"/>
      <c r="L1154" s="32"/>
      <c r="M1154" s="32"/>
      <c r="N1154" s="257"/>
      <c r="O1154" s="32"/>
      <c r="P1154" s="32"/>
      <c r="Q1154" s="32"/>
      <c r="R1154" s="32"/>
      <c r="S1154" s="32"/>
      <c r="T1154" s="264"/>
      <c r="U1154" s="16"/>
      <c r="V1154" s="16"/>
      <c r="W1154" s="16"/>
      <c r="X1154" s="32"/>
      <c r="Y1154" s="250"/>
    </row>
    <row r="1155">
      <c r="A1155" s="32"/>
      <c r="B1155" s="32"/>
      <c r="C1155" s="257"/>
      <c r="D1155" s="265"/>
      <c r="E1155" s="265"/>
      <c r="F1155" s="257"/>
      <c r="G1155" s="265"/>
      <c r="H1155" s="256"/>
      <c r="I1155" s="257"/>
      <c r="J1155" s="32"/>
      <c r="K1155" s="32"/>
      <c r="L1155" s="32"/>
      <c r="M1155" s="32"/>
      <c r="N1155" s="257"/>
      <c r="O1155" s="32"/>
      <c r="P1155" s="32"/>
      <c r="Q1155" s="32"/>
      <c r="R1155" s="32"/>
      <c r="S1155" s="32"/>
      <c r="T1155" s="264"/>
      <c r="U1155" s="16"/>
      <c r="V1155" s="16"/>
      <c r="W1155" s="16"/>
      <c r="X1155" s="32"/>
      <c r="Y1155" s="250"/>
    </row>
    <row r="1156">
      <c r="A1156" s="32"/>
      <c r="B1156" s="32"/>
      <c r="C1156" s="257"/>
      <c r="D1156" s="265"/>
      <c r="E1156" s="265"/>
      <c r="F1156" s="257"/>
      <c r="G1156" s="265"/>
      <c r="H1156" s="256"/>
      <c r="I1156" s="257"/>
      <c r="J1156" s="32"/>
      <c r="K1156" s="32"/>
      <c r="L1156" s="32"/>
      <c r="M1156" s="32"/>
      <c r="N1156" s="257"/>
      <c r="O1156" s="32"/>
      <c r="P1156" s="32"/>
      <c r="Q1156" s="32"/>
      <c r="R1156" s="32"/>
      <c r="S1156" s="32"/>
      <c r="T1156" s="264"/>
      <c r="U1156" s="16"/>
      <c r="V1156" s="16"/>
      <c r="W1156" s="16"/>
      <c r="X1156" s="32"/>
      <c r="Y1156" s="250"/>
    </row>
    <row r="1157">
      <c r="A1157" s="32"/>
      <c r="B1157" s="32"/>
      <c r="C1157" s="257"/>
      <c r="D1157" s="265"/>
      <c r="E1157" s="265"/>
      <c r="F1157" s="257"/>
      <c r="G1157" s="265"/>
      <c r="H1157" s="256"/>
      <c r="I1157" s="257"/>
      <c r="J1157" s="32"/>
      <c r="K1157" s="32"/>
      <c r="L1157" s="32"/>
      <c r="M1157" s="32"/>
      <c r="N1157" s="257"/>
      <c r="O1157" s="32"/>
      <c r="P1157" s="32"/>
      <c r="Q1157" s="32"/>
      <c r="R1157" s="32"/>
      <c r="S1157" s="32"/>
      <c r="T1157" s="264"/>
      <c r="U1157" s="16"/>
      <c r="V1157" s="16"/>
      <c r="W1157" s="16"/>
      <c r="X1157" s="32"/>
      <c r="Y1157" s="250"/>
    </row>
    <row r="1158">
      <c r="A1158" s="32"/>
      <c r="B1158" s="32"/>
      <c r="C1158" s="257"/>
      <c r="D1158" s="265"/>
      <c r="E1158" s="265"/>
      <c r="F1158" s="257"/>
      <c r="G1158" s="265"/>
      <c r="H1158" s="256"/>
      <c r="I1158" s="257"/>
      <c r="J1158" s="32"/>
      <c r="K1158" s="32"/>
      <c r="L1158" s="32"/>
      <c r="M1158" s="32"/>
      <c r="N1158" s="257"/>
      <c r="O1158" s="32"/>
      <c r="P1158" s="32"/>
      <c r="Q1158" s="32"/>
      <c r="R1158" s="32"/>
      <c r="S1158" s="32"/>
      <c r="T1158" s="264"/>
      <c r="U1158" s="16"/>
      <c r="V1158" s="16"/>
      <c r="W1158" s="16"/>
      <c r="X1158" s="32"/>
      <c r="Y1158" s="250"/>
    </row>
    <row r="1159">
      <c r="A1159" s="32"/>
      <c r="B1159" s="32"/>
      <c r="C1159" s="257"/>
      <c r="D1159" s="265"/>
      <c r="E1159" s="265"/>
      <c r="F1159" s="257"/>
      <c r="G1159" s="265"/>
      <c r="H1159" s="256"/>
      <c r="I1159" s="257"/>
      <c r="J1159" s="32"/>
      <c r="K1159" s="32"/>
      <c r="L1159" s="32"/>
      <c r="M1159" s="32"/>
      <c r="N1159" s="257"/>
      <c r="O1159" s="32"/>
      <c r="P1159" s="32"/>
      <c r="Q1159" s="32"/>
      <c r="R1159" s="32"/>
      <c r="S1159" s="32"/>
      <c r="T1159" s="264"/>
      <c r="U1159" s="16"/>
      <c r="V1159" s="16"/>
      <c r="W1159" s="16"/>
      <c r="X1159" s="32"/>
      <c r="Y1159" s="250"/>
    </row>
    <row r="1160">
      <c r="A1160" s="32"/>
      <c r="B1160" s="32"/>
      <c r="C1160" s="257"/>
      <c r="D1160" s="265"/>
      <c r="E1160" s="265"/>
      <c r="F1160" s="257"/>
      <c r="G1160" s="265"/>
      <c r="H1160" s="256"/>
      <c r="I1160" s="257"/>
      <c r="J1160" s="32"/>
      <c r="K1160" s="32"/>
      <c r="L1160" s="32"/>
      <c r="M1160" s="32"/>
      <c r="N1160" s="257"/>
      <c r="O1160" s="32"/>
      <c r="P1160" s="32"/>
      <c r="Q1160" s="32"/>
      <c r="R1160" s="32"/>
      <c r="S1160" s="32"/>
      <c r="T1160" s="264"/>
      <c r="U1160" s="16"/>
      <c r="V1160" s="16"/>
      <c r="W1160" s="16"/>
      <c r="X1160" s="32"/>
      <c r="Y1160" s="250"/>
    </row>
    <row r="1161">
      <c r="A1161" s="32"/>
      <c r="B1161" s="32"/>
      <c r="C1161" s="257"/>
      <c r="D1161" s="265"/>
      <c r="E1161" s="265"/>
      <c r="F1161" s="257"/>
      <c r="G1161" s="265"/>
      <c r="H1161" s="256"/>
      <c r="I1161" s="257"/>
      <c r="J1161" s="32"/>
      <c r="K1161" s="32"/>
      <c r="L1161" s="32"/>
      <c r="M1161" s="32"/>
      <c r="N1161" s="257"/>
      <c r="O1161" s="32"/>
      <c r="P1161" s="32"/>
      <c r="Q1161" s="32"/>
      <c r="R1161" s="32"/>
      <c r="S1161" s="32"/>
      <c r="T1161" s="264"/>
      <c r="U1161" s="16"/>
      <c r="V1161" s="16"/>
      <c r="W1161" s="16"/>
      <c r="X1161" s="32"/>
      <c r="Y1161" s="250"/>
    </row>
    <row r="1162">
      <c r="A1162" s="32"/>
      <c r="B1162" s="32"/>
      <c r="C1162" s="257"/>
      <c r="D1162" s="265"/>
      <c r="E1162" s="265"/>
      <c r="F1162" s="257"/>
      <c r="G1162" s="265"/>
      <c r="H1162" s="256"/>
      <c r="I1162" s="257"/>
      <c r="J1162" s="32"/>
      <c r="K1162" s="32"/>
      <c r="L1162" s="32"/>
      <c r="M1162" s="32"/>
      <c r="N1162" s="257"/>
      <c r="O1162" s="32"/>
      <c r="P1162" s="32"/>
      <c r="Q1162" s="32"/>
      <c r="R1162" s="32"/>
      <c r="S1162" s="32"/>
      <c r="T1162" s="264"/>
      <c r="U1162" s="16"/>
      <c r="V1162" s="16"/>
      <c r="W1162" s="16"/>
      <c r="X1162" s="32"/>
      <c r="Y1162" s="250"/>
    </row>
    <row r="1163">
      <c r="A1163" s="32"/>
      <c r="B1163" s="32"/>
      <c r="C1163" s="257"/>
      <c r="D1163" s="265"/>
      <c r="E1163" s="265"/>
      <c r="F1163" s="257"/>
      <c r="G1163" s="265"/>
      <c r="H1163" s="256"/>
      <c r="I1163" s="257"/>
      <c r="J1163" s="32"/>
      <c r="K1163" s="32"/>
      <c r="L1163" s="32"/>
      <c r="M1163" s="32"/>
      <c r="N1163" s="257"/>
      <c r="O1163" s="32"/>
      <c r="P1163" s="32"/>
      <c r="Q1163" s="32"/>
      <c r="R1163" s="32"/>
      <c r="S1163" s="32"/>
      <c r="T1163" s="264"/>
      <c r="U1163" s="16"/>
      <c r="V1163" s="16"/>
      <c r="W1163" s="16"/>
      <c r="X1163" s="32"/>
      <c r="Y1163" s="250"/>
    </row>
    <row r="1164">
      <c r="A1164" s="32"/>
      <c r="B1164" s="32"/>
      <c r="C1164" s="257"/>
      <c r="D1164" s="265"/>
      <c r="E1164" s="265"/>
      <c r="F1164" s="257"/>
      <c r="G1164" s="265"/>
      <c r="H1164" s="256"/>
      <c r="I1164" s="257"/>
      <c r="J1164" s="32"/>
      <c r="K1164" s="32"/>
      <c r="L1164" s="32"/>
      <c r="M1164" s="32"/>
      <c r="N1164" s="257"/>
      <c r="O1164" s="32"/>
      <c r="P1164" s="32"/>
      <c r="Q1164" s="32"/>
      <c r="R1164" s="32"/>
      <c r="S1164" s="32"/>
      <c r="T1164" s="264"/>
      <c r="U1164" s="16"/>
      <c r="V1164" s="16"/>
      <c r="W1164" s="16"/>
      <c r="X1164" s="32"/>
      <c r="Y1164" s="250"/>
    </row>
    <row r="1165">
      <c r="A1165" s="32"/>
      <c r="B1165" s="32"/>
      <c r="C1165" s="257"/>
      <c r="D1165" s="265"/>
      <c r="E1165" s="265"/>
      <c r="F1165" s="257"/>
      <c r="G1165" s="265"/>
      <c r="H1165" s="256"/>
      <c r="I1165" s="257"/>
      <c r="J1165" s="32"/>
      <c r="K1165" s="32"/>
      <c r="L1165" s="32"/>
      <c r="M1165" s="32"/>
      <c r="N1165" s="257"/>
      <c r="O1165" s="32"/>
      <c r="P1165" s="32"/>
      <c r="Q1165" s="32"/>
      <c r="R1165" s="32"/>
      <c r="S1165" s="32"/>
      <c r="T1165" s="264"/>
      <c r="U1165" s="16"/>
      <c r="V1165" s="16"/>
      <c r="W1165" s="16"/>
      <c r="X1165" s="32"/>
      <c r="Y1165" s="250"/>
    </row>
    <row r="1166">
      <c r="A1166" s="32"/>
      <c r="B1166" s="32"/>
      <c r="C1166" s="257"/>
      <c r="D1166" s="265"/>
      <c r="E1166" s="265"/>
      <c r="F1166" s="257"/>
      <c r="G1166" s="265"/>
      <c r="H1166" s="256"/>
      <c r="I1166" s="257"/>
      <c r="J1166" s="32"/>
      <c r="K1166" s="32"/>
      <c r="L1166" s="32"/>
      <c r="M1166" s="32"/>
      <c r="N1166" s="257"/>
      <c r="O1166" s="32"/>
      <c r="P1166" s="32"/>
      <c r="Q1166" s="32"/>
      <c r="R1166" s="32"/>
      <c r="S1166" s="32"/>
      <c r="T1166" s="264"/>
      <c r="U1166" s="16"/>
      <c r="V1166" s="16"/>
      <c r="W1166" s="16"/>
      <c r="X1166" s="32"/>
      <c r="Y1166" s="250"/>
    </row>
    <row r="1167">
      <c r="A1167" s="32"/>
      <c r="B1167" s="32"/>
      <c r="C1167" s="257"/>
      <c r="D1167" s="265"/>
      <c r="E1167" s="265"/>
      <c r="F1167" s="257"/>
      <c r="G1167" s="265"/>
      <c r="H1167" s="256"/>
      <c r="I1167" s="257"/>
      <c r="J1167" s="32"/>
      <c r="K1167" s="32"/>
      <c r="L1167" s="32"/>
      <c r="M1167" s="32"/>
      <c r="N1167" s="257"/>
      <c r="O1167" s="32"/>
      <c r="P1167" s="32"/>
      <c r="Q1167" s="32"/>
      <c r="R1167" s="32"/>
      <c r="S1167" s="32"/>
      <c r="T1167" s="264"/>
      <c r="U1167" s="16"/>
      <c r="V1167" s="16"/>
      <c r="W1167" s="16"/>
      <c r="X1167" s="32"/>
      <c r="Y1167" s="250"/>
    </row>
    <row r="1168">
      <c r="A1168" s="32"/>
      <c r="B1168" s="32"/>
      <c r="C1168" s="257"/>
      <c r="D1168" s="265"/>
      <c r="E1168" s="265"/>
      <c r="F1168" s="257"/>
      <c r="G1168" s="265"/>
      <c r="H1168" s="256"/>
      <c r="I1168" s="257"/>
      <c r="J1168" s="32"/>
      <c r="K1168" s="32"/>
      <c r="L1168" s="32"/>
      <c r="M1168" s="32"/>
      <c r="N1168" s="257"/>
      <c r="O1168" s="32"/>
      <c r="P1168" s="32"/>
      <c r="Q1168" s="32"/>
      <c r="R1168" s="32"/>
      <c r="S1168" s="32"/>
      <c r="T1168" s="264"/>
      <c r="U1168" s="16"/>
      <c r="V1168" s="16"/>
      <c r="W1168" s="16"/>
      <c r="X1168" s="32"/>
      <c r="Y1168" s="250"/>
    </row>
    <row r="1169">
      <c r="A1169" s="32"/>
      <c r="B1169" s="32"/>
      <c r="C1169" s="257"/>
      <c r="D1169" s="265"/>
      <c r="E1169" s="265"/>
      <c r="F1169" s="257"/>
      <c r="G1169" s="265"/>
      <c r="H1169" s="256"/>
      <c r="I1169" s="257"/>
      <c r="J1169" s="32"/>
      <c r="K1169" s="32"/>
      <c r="L1169" s="32"/>
      <c r="M1169" s="32"/>
      <c r="N1169" s="257"/>
      <c r="O1169" s="32"/>
      <c r="P1169" s="32"/>
      <c r="Q1169" s="32"/>
      <c r="R1169" s="32"/>
      <c r="S1169" s="32"/>
      <c r="T1169" s="264"/>
      <c r="U1169" s="16"/>
      <c r="V1169" s="16"/>
      <c r="W1169" s="16"/>
      <c r="X1169" s="32"/>
      <c r="Y1169" s="250"/>
    </row>
    <row r="1170">
      <c r="A1170" s="32"/>
      <c r="B1170" s="32"/>
      <c r="C1170" s="257"/>
      <c r="D1170" s="265"/>
      <c r="E1170" s="265"/>
      <c r="F1170" s="257"/>
      <c r="G1170" s="265"/>
      <c r="H1170" s="256"/>
      <c r="I1170" s="257"/>
      <c r="J1170" s="32"/>
      <c r="K1170" s="32"/>
      <c r="L1170" s="32"/>
      <c r="M1170" s="32"/>
      <c r="N1170" s="257"/>
      <c r="O1170" s="32"/>
      <c r="P1170" s="32"/>
      <c r="Q1170" s="32"/>
      <c r="R1170" s="32"/>
      <c r="S1170" s="32"/>
      <c r="T1170" s="264"/>
      <c r="U1170" s="16"/>
      <c r="V1170" s="16"/>
      <c r="W1170" s="16"/>
      <c r="X1170" s="32"/>
      <c r="Y1170" s="250"/>
    </row>
    <row r="1171">
      <c r="A1171" s="32"/>
      <c r="B1171" s="32"/>
      <c r="C1171" s="257"/>
      <c r="D1171" s="265"/>
      <c r="E1171" s="265"/>
      <c r="F1171" s="257"/>
      <c r="G1171" s="265"/>
      <c r="H1171" s="256"/>
      <c r="I1171" s="257"/>
      <c r="J1171" s="32"/>
      <c r="K1171" s="32"/>
      <c r="L1171" s="32"/>
      <c r="M1171" s="32"/>
      <c r="N1171" s="257"/>
      <c r="O1171" s="32"/>
      <c r="P1171" s="32"/>
      <c r="Q1171" s="32"/>
      <c r="R1171" s="32"/>
      <c r="S1171" s="32"/>
      <c r="T1171" s="264"/>
      <c r="U1171" s="16"/>
      <c r="V1171" s="16"/>
      <c r="W1171" s="16"/>
      <c r="X1171" s="32"/>
      <c r="Y1171" s="250"/>
    </row>
    <row r="1172">
      <c r="A1172" s="32"/>
      <c r="B1172" s="32"/>
      <c r="C1172" s="257"/>
      <c r="D1172" s="265"/>
      <c r="E1172" s="265"/>
      <c r="F1172" s="257"/>
      <c r="G1172" s="265"/>
      <c r="H1172" s="256"/>
      <c r="I1172" s="257"/>
      <c r="J1172" s="32"/>
      <c r="K1172" s="32"/>
      <c r="L1172" s="32"/>
      <c r="M1172" s="32"/>
      <c r="N1172" s="257"/>
      <c r="O1172" s="32"/>
      <c r="P1172" s="32"/>
      <c r="Q1172" s="32"/>
      <c r="R1172" s="32"/>
      <c r="S1172" s="32"/>
      <c r="T1172" s="264"/>
      <c r="U1172" s="16"/>
      <c r="V1172" s="16"/>
      <c r="W1172" s="16"/>
      <c r="X1172" s="32"/>
      <c r="Y1172" s="250"/>
    </row>
    <row r="1173">
      <c r="A1173" s="32"/>
      <c r="B1173" s="32"/>
      <c r="C1173" s="257"/>
      <c r="D1173" s="265"/>
      <c r="E1173" s="265"/>
      <c r="F1173" s="257"/>
      <c r="G1173" s="265"/>
      <c r="H1173" s="256"/>
      <c r="I1173" s="257"/>
      <c r="J1173" s="32"/>
      <c r="K1173" s="32"/>
      <c r="L1173" s="32"/>
      <c r="M1173" s="32"/>
      <c r="N1173" s="257"/>
      <c r="O1173" s="32"/>
      <c r="P1173" s="32"/>
      <c r="Q1173" s="32"/>
      <c r="R1173" s="32"/>
      <c r="S1173" s="32"/>
      <c r="T1173" s="264"/>
      <c r="U1173" s="16"/>
      <c r="V1173" s="16"/>
      <c r="W1173" s="16"/>
      <c r="X1173" s="32"/>
      <c r="Y1173" s="250"/>
    </row>
    <row r="1174">
      <c r="A1174" s="32"/>
      <c r="B1174" s="32"/>
      <c r="C1174" s="257"/>
      <c r="D1174" s="265"/>
      <c r="E1174" s="265"/>
      <c r="F1174" s="257"/>
      <c r="G1174" s="265"/>
      <c r="H1174" s="256"/>
      <c r="I1174" s="257"/>
      <c r="J1174" s="32"/>
      <c r="K1174" s="32"/>
      <c r="L1174" s="32"/>
      <c r="M1174" s="32"/>
      <c r="N1174" s="257"/>
      <c r="O1174" s="32"/>
      <c r="P1174" s="32"/>
      <c r="Q1174" s="32"/>
      <c r="R1174" s="32"/>
      <c r="S1174" s="32"/>
      <c r="T1174" s="264"/>
      <c r="U1174" s="16"/>
      <c r="V1174" s="16"/>
      <c r="W1174" s="16"/>
      <c r="X1174" s="32"/>
      <c r="Y1174" s="250"/>
    </row>
    <row r="1175">
      <c r="A1175" s="32"/>
      <c r="B1175" s="32"/>
      <c r="C1175" s="257"/>
      <c r="D1175" s="265"/>
      <c r="E1175" s="265"/>
      <c r="F1175" s="257"/>
      <c r="G1175" s="265"/>
      <c r="H1175" s="256"/>
      <c r="I1175" s="257"/>
      <c r="J1175" s="32"/>
      <c r="K1175" s="32"/>
      <c r="L1175" s="32"/>
      <c r="M1175" s="32"/>
      <c r="N1175" s="257"/>
      <c r="O1175" s="32"/>
      <c r="P1175" s="32"/>
      <c r="Q1175" s="32"/>
      <c r="R1175" s="32"/>
      <c r="S1175" s="32"/>
      <c r="T1175" s="264"/>
      <c r="U1175" s="16"/>
      <c r="V1175" s="16"/>
      <c r="W1175" s="16"/>
      <c r="X1175" s="32"/>
      <c r="Y1175" s="250"/>
    </row>
    <row r="1176">
      <c r="A1176" s="32"/>
      <c r="B1176" s="32"/>
      <c r="C1176" s="257"/>
      <c r="D1176" s="265"/>
      <c r="E1176" s="265"/>
      <c r="F1176" s="257"/>
      <c r="G1176" s="265"/>
      <c r="H1176" s="256"/>
      <c r="I1176" s="257"/>
      <c r="J1176" s="32"/>
      <c r="K1176" s="32"/>
      <c r="L1176" s="32"/>
      <c r="M1176" s="32"/>
      <c r="N1176" s="257"/>
      <c r="O1176" s="32"/>
      <c r="P1176" s="32"/>
      <c r="Q1176" s="32"/>
      <c r="R1176" s="32"/>
      <c r="S1176" s="32"/>
      <c r="T1176" s="264"/>
      <c r="U1176" s="16"/>
      <c r="V1176" s="16"/>
      <c r="W1176" s="16"/>
      <c r="X1176" s="32"/>
      <c r="Y1176" s="250"/>
    </row>
    <row r="1177">
      <c r="A1177" s="32"/>
      <c r="B1177" s="32"/>
      <c r="C1177" s="257"/>
      <c r="D1177" s="265"/>
      <c r="E1177" s="265"/>
      <c r="F1177" s="257"/>
      <c r="G1177" s="265"/>
      <c r="H1177" s="256"/>
      <c r="I1177" s="257"/>
      <c r="J1177" s="32"/>
      <c r="K1177" s="32"/>
      <c r="L1177" s="32"/>
      <c r="M1177" s="32"/>
      <c r="N1177" s="257"/>
      <c r="O1177" s="32"/>
      <c r="P1177" s="32"/>
      <c r="Q1177" s="32"/>
      <c r="R1177" s="32"/>
      <c r="S1177" s="32"/>
      <c r="T1177" s="264"/>
      <c r="U1177" s="16"/>
      <c r="V1177" s="16"/>
      <c r="W1177" s="16"/>
      <c r="X1177" s="32"/>
      <c r="Y1177" s="250"/>
    </row>
    <row r="1178">
      <c r="A1178" s="32"/>
      <c r="B1178" s="32"/>
      <c r="C1178" s="257"/>
      <c r="D1178" s="265"/>
      <c r="E1178" s="265"/>
      <c r="F1178" s="257"/>
      <c r="G1178" s="265"/>
      <c r="H1178" s="256"/>
      <c r="I1178" s="257"/>
      <c r="J1178" s="32"/>
      <c r="K1178" s="32"/>
      <c r="L1178" s="32"/>
      <c r="M1178" s="32"/>
      <c r="N1178" s="257"/>
      <c r="O1178" s="32"/>
      <c r="P1178" s="32"/>
      <c r="Q1178" s="32"/>
      <c r="R1178" s="32"/>
      <c r="S1178" s="32"/>
      <c r="T1178" s="264"/>
      <c r="U1178" s="16"/>
      <c r="V1178" s="16"/>
      <c r="W1178" s="16"/>
      <c r="X1178" s="32"/>
      <c r="Y1178" s="250"/>
    </row>
    <row r="1179">
      <c r="A1179" s="32"/>
      <c r="B1179" s="32"/>
      <c r="C1179" s="257"/>
      <c r="D1179" s="265"/>
      <c r="E1179" s="265"/>
      <c r="F1179" s="257"/>
      <c r="G1179" s="265"/>
      <c r="H1179" s="256"/>
      <c r="I1179" s="257"/>
      <c r="J1179" s="32"/>
      <c r="K1179" s="32"/>
      <c r="L1179" s="32"/>
      <c r="M1179" s="32"/>
      <c r="N1179" s="257"/>
      <c r="O1179" s="32"/>
      <c r="P1179" s="32"/>
      <c r="Q1179" s="32"/>
      <c r="R1179" s="32"/>
      <c r="S1179" s="32"/>
      <c r="T1179" s="264"/>
      <c r="U1179" s="16"/>
      <c r="V1179" s="16"/>
      <c r="W1179" s="16"/>
      <c r="X1179" s="32"/>
      <c r="Y1179" s="250"/>
    </row>
    <row r="1180">
      <c r="A1180" s="32"/>
      <c r="B1180" s="32"/>
      <c r="C1180" s="257"/>
      <c r="D1180" s="265"/>
      <c r="E1180" s="265"/>
      <c r="F1180" s="257"/>
      <c r="G1180" s="265"/>
      <c r="H1180" s="256"/>
      <c r="I1180" s="257"/>
      <c r="J1180" s="32"/>
      <c r="K1180" s="32"/>
      <c r="L1180" s="32"/>
      <c r="M1180" s="32"/>
      <c r="N1180" s="257"/>
      <c r="O1180" s="32"/>
      <c r="P1180" s="32"/>
      <c r="Q1180" s="32"/>
      <c r="R1180" s="32"/>
      <c r="S1180" s="32"/>
      <c r="T1180" s="264"/>
      <c r="U1180" s="16"/>
      <c r="V1180" s="16"/>
      <c r="W1180" s="16"/>
      <c r="X1180" s="32"/>
      <c r="Y1180" s="250"/>
    </row>
    <row r="1181">
      <c r="A1181" s="32"/>
      <c r="B1181" s="32"/>
      <c r="C1181" s="257"/>
      <c r="D1181" s="265"/>
      <c r="E1181" s="265"/>
      <c r="F1181" s="257"/>
      <c r="G1181" s="265"/>
      <c r="H1181" s="256"/>
      <c r="I1181" s="257"/>
      <c r="J1181" s="32"/>
      <c r="K1181" s="32"/>
      <c r="L1181" s="32"/>
      <c r="M1181" s="32"/>
      <c r="N1181" s="257"/>
      <c r="O1181" s="32"/>
      <c r="P1181" s="32"/>
      <c r="Q1181" s="32"/>
      <c r="R1181" s="32"/>
      <c r="S1181" s="32"/>
      <c r="T1181" s="264"/>
      <c r="U1181" s="16"/>
      <c r="V1181" s="16"/>
      <c r="W1181" s="16"/>
      <c r="X1181" s="32"/>
      <c r="Y1181" s="250"/>
    </row>
    <row r="1182">
      <c r="A1182" s="32"/>
      <c r="B1182" s="32"/>
      <c r="C1182" s="257"/>
      <c r="D1182" s="265"/>
      <c r="E1182" s="265"/>
      <c r="F1182" s="257"/>
      <c r="G1182" s="265"/>
      <c r="H1182" s="256"/>
      <c r="I1182" s="257"/>
      <c r="J1182" s="32"/>
      <c r="K1182" s="32"/>
      <c r="L1182" s="32"/>
      <c r="M1182" s="32"/>
      <c r="N1182" s="257"/>
      <c r="O1182" s="32"/>
      <c r="P1182" s="32"/>
      <c r="Q1182" s="32"/>
      <c r="R1182" s="32"/>
      <c r="S1182" s="32"/>
      <c r="T1182" s="264"/>
      <c r="U1182" s="16"/>
      <c r="V1182" s="16"/>
      <c r="W1182" s="16"/>
      <c r="X1182" s="32"/>
      <c r="Y1182" s="250"/>
    </row>
    <row r="1183">
      <c r="A1183" s="32"/>
      <c r="B1183" s="32"/>
      <c r="C1183" s="257"/>
      <c r="D1183" s="265"/>
      <c r="E1183" s="265"/>
      <c r="F1183" s="257"/>
      <c r="G1183" s="265"/>
      <c r="H1183" s="256"/>
      <c r="I1183" s="257"/>
      <c r="J1183" s="32"/>
      <c r="K1183" s="32"/>
      <c r="L1183" s="32"/>
      <c r="M1183" s="32"/>
      <c r="N1183" s="257"/>
      <c r="O1183" s="32"/>
      <c r="P1183" s="32"/>
      <c r="Q1183" s="32"/>
      <c r="R1183" s="32"/>
      <c r="S1183" s="32"/>
      <c r="T1183" s="264"/>
      <c r="U1183" s="16"/>
      <c r="V1183" s="16"/>
      <c r="W1183" s="16"/>
      <c r="X1183" s="32"/>
      <c r="Y1183" s="250"/>
    </row>
    <row r="1184">
      <c r="A1184" s="32"/>
      <c r="B1184" s="32"/>
      <c r="C1184" s="257"/>
      <c r="D1184" s="265"/>
      <c r="E1184" s="265"/>
      <c r="F1184" s="257"/>
      <c r="G1184" s="265"/>
      <c r="H1184" s="256"/>
      <c r="I1184" s="257"/>
      <c r="J1184" s="32"/>
      <c r="K1184" s="32"/>
      <c r="L1184" s="32"/>
      <c r="M1184" s="32"/>
      <c r="N1184" s="257"/>
      <c r="O1184" s="32"/>
      <c r="P1184" s="32"/>
      <c r="Q1184" s="32"/>
      <c r="R1184" s="32"/>
      <c r="S1184" s="32"/>
      <c r="T1184" s="264"/>
      <c r="U1184" s="16"/>
      <c r="V1184" s="16"/>
      <c r="W1184" s="16"/>
      <c r="X1184" s="32"/>
      <c r="Y1184" s="250"/>
    </row>
    <row r="1185">
      <c r="A1185" s="32"/>
      <c r="B1185" s="32"/>
      <c r="C1185" s="257"/>
      <c r="D1185" s="265"/>
      <c r="E1185" s="265"/>
      <c r="F1185" s="257"/>
      <c r="G1185" s="265"/>
      <c r="H1185" s="256"/>
      <c r="I1185" s="257"/>
      <c r="J1185" s="32"/>
      <c r="K1185" s="32"/>
      <c r="L1185" s="32"/>
      <c r="M1185" s="32"/>
      <c r="N1185" s="257"/>
      <c r="O1185" s="32"/>
      <c r="P1185" s="32"/>
      <c r="Q1185" s="32"/>
      <c r="R1185" s="32"/>
      <c r="S1185" s="32"/>
      <c r="T1185" s="264"/>
      <c r="U1185" s="16"/>
      <c r="V1185" s="16"/>
      <c r="W1185" s="16"/>
      <c r="X1185" s="32"/>
      <c r="Y1185" s="250"/>
    </row>
    <row r="1186">
      <c r="A1186" s="32"/>
      <c r="B1186" s="32"/>
      <c r="C1186" s="257"/>
      <c r="D1186" s="265"/>
      <c r="E1186" s="265"/>
      <c r="F1186" s="257"/>
      <c r="G1186" s="265"/>
      <c r="H1186" s="256"/>
      <c r="I1186" s="257"/>
      <c r="J1186" s="32"/>
      <c r="K1186" s="32"/>
      <c r="L1186" s="32"/>
      <c r="M1186" s="32"/>
      <c r="N1186" s="257"/>
      <c r="O1186" s="32"/>
      <c r="P1186" s="32"/>
      <c r="Q1186" s="32"/>
      <c r="R1186" s="32"/>
      <c r="S1186" s="32"/>
      <c r="T1186" s="264"/>
      <c r="U1186" s="16"/>
      <c r="V1186" s="16"/>
      <c r="W1186" s="16"/>
      <c r="X1186" s="32"/>
      <c r="Y1186" s="250"/>
    </row>
    <row r="1187">
      <c r="A1187" s="32"/>
      <c r="B1187" s="32"/>
      <c r="C1187" s="257"/>
      <c r="D1187" s="265"/>
      <c r="E1187" s="265"/>
      <c r="F1187" s="257"/>
      <c r="G1187" s="265"/>
      <c r="H1187" s="256"/>
      <c r="I1187" s="257"/>
      <c r="J1187" s="32"/>
      <c r="K1187" s="32"/>
      <c r="L1187" s="32"/>
      <c r="M1187" s="32"/>
      <c r="N1187" s="257"/>
      <c r="O1187" s="32"/>
      <c r="P1187" s="32"/>
      <c r="Q1187" s="32"/>
      <c r="R1187" s="32"/>
      <c r="S1187" s="32"/>
      <c r="T1187" s="264"/>
      <c r="U1187" s="16"/>
      <c r="V1187" s="16"/>
      <c r="W1187" s="16"/>
      <c r="X1187" s="32"/>
      <c r="Y1187" s="250"/>
    </row>
    <row r="1188">
      <c r="A1188" s="32"/>
      <c r="B1188" s="32"/>
      <c r="C1188" s="257"/>
      <c r="D1188" s="265"/>
      <c r="E1188" s="265"/>
      <c r="F1188" s="257"/>
      <c r="G1188" s="265"/>
      <c r="H1188" s="256"/>
      <c r="I1188" s="257"/>
      <c r="J1188" s="32"/>
      <c r="K1188" s="32"/>
      <c r="L1188" s="32"/>
      <c r="M1188" s="32"/>
      <c r="N1188" s="257"/>
      <c r="O1188" s="32"/>
      <c r="P1188" s="32"/>
      <c r="Q1188" s="32"/>
      <c r="R1188" s="32"/>
      <c r="S1188" s="32"/>
      <c r="T1188" s="264"/>
      <c r="U1188" s="16"/>
      <c r="V1188" s="16"/>
      <c r="W1188" s="16"/>
      <c r="X1188" s="32"/>
      <c r="Y1188" s="250"/>
    </row>
    <row r="1189">
      <c r="A1189" s="32"/>
      <c r="B1189" s="32"/>
      <c r="C1189" s="257"/>
      <c r="D1189" s="265"/>
      <c r="E1189" s="265"/>
      <c r="F1189" s="257"/>
      <c r="G1189" s="265"/>
      <c r="H1189" s="256"/>
      <c r="I1189" s="257"/>
      <c r="J1189" s="32"/>
      <c r="K1189" s="32"/>
      <c r="L1189" s="32"/>
      <c r="M1189" s="32"/>
      <c r="N1189" s="257"/>
      <c r="O1189" s="32"/>
      <c r="P1189" s="32"/>
      <c r="Q1189" s="32"/>
      <c r="R1189" s="32"/>
      <c r="S1189" s="32"/>
      <c r="T1189" s="264"/>
      <c r="U1189" s="16"/>
      <c r="V1189" s="16"/>
      <c r="W1189" s="16"/>
      <c r="X1189" s="32"/>
      <c r="Y1189" s="250"/>
    </row>
    <row r="1190">
      <c r="A1190" s="32"/>
      <c r="B1190" s="32"/>
      <c r="C1190" s="257"/>
      <c r="D1190" s="265"/>
      <c r="E1190" s="265"/>
      <c r="F1190" s="257"/>
      <c r="G1190" s="265"/>
      <c r="H1190" s="256"/>
      <c r="I1190" s="257"/>
      <c r="J1190" s="32"/>
      <c r="K1190" s="32"/>
      <c r="L1190" s="32"/>
      <c r="M1190" s="32"/>
      <c r="N1190" s="257"/>
      <c r="O1190" s="32"/>
      <c r="P1190" s="32"/>
      <c r="Q1190" s="32"/>
      <c r="R1190" s="32"/>
      <c r="S1190" s="32"/>
      <c r="T1190" s="264"/>
      <c r="U1190" s="16"/>
      <c r="V1190" s="16"/>
      <c r="W1190" s="16"/>
      <c r="X1190" s="32"/>
      <c r="Y1190" s="250"/>
    </row>
    <row r="1191">
      <c r="A1191" s="32"/>
      <c r="B1191" s="32"/>
      <c r="C1191" s="257"/>
      <c r="D1191" s="265"/>
      <c r="E1191" s="265"/>
      <c r="F1191" s="257"/>
      <c r="G1191" s="265"/>
      <c r="H1191" s="256"/>
      <c r="I1191" s="257"/>
      <c r="J1191" s="32"/>
      <c r="K1191" s="32"/>
      <c r="L1191" s="32"/>
      <c r="M1191" s="32"/>
      <c r="N1191" s="257"/>
      <c r="O1191" s="32"/>
      <c r="P1191" s="32"/>
      <c r="Q1191" s="32"/>
      <c r="R1191" s="32"/>
      <c r="S1191" s="32"/>
      <c r="T1191" s="264"/>
      <c r="U1191" s="16"/>
      <c r="V1191" s="16"/>
      <c r="W1191" s="16"/>
      <c r="X1191" s="32"/>
      <c r="Y1191" s="250"/>
    </row>
    <row r="1192">
      <c r="A1192" s="32"/>
      <c r="B1192" s="32"/>
      <c r="C1192" s="257"/>
      <c r="D1192" s="265"/>
      <c r="E1192" s="265"/>
      <c r="F1192" s="257"/>
      <c r="G1192" s="265"/>
      <c r="H1192" s="256"/>
      <c r="I1192" s="257"/>
      <c r="J1192" s="32"/>
      <c r="K1192" s="32"/>
      <c r="L1192" s="32"/>
      <c r="M1192" s="32"/>
      <c r="N1192" s="257"/>
      <c r="O1192" s="32"/>
      <c r="P1192" s="32"/>
      <c r="Q1192" s="32"/>
      <c r="R1192" s="32"/>
      <c r="S1192" s="32"/>
      <c r="T1192" s="264"/>
      <c r="U1192" s="16"/>
      <c r="V1192" s="16"/>
      <c r="W1192" s="16"/>
      <c r="X1192" s="32"/>
      <c r="Y1192" s="250"/>
    </row>
    <row r="1193">
      <c r="A1193" s="32"/>
      <c r="B1193" s="32"/>
      <c r="C1193" s="257"/>
      <c r="D1193" s="265"/>
      <c r="E1193" s="265"/>
      <c r="F1193" s="257"/>
      <c r="G1193" s="265"/>
      <c r="H1193" s="256"/>
      <c r="I1193" s="257"/>
      <c r="J1193" s="32"/>
      <c r="K1193" s="32"/>
      <c r="L1193" s="32"/>
      <c r="M1193" s="32"/>
      <c r="N1193" s="257"/>
      <c r="O1193" s="32"/>
      <c r="P1193" s="32"/>
      <c r="Q1193" s="32"/>
      <c r="R1193" s="32"/>
      <c r="S1193" s="32"/>
      <c r="T1193" s="264"/>
      <c r="U1193" s="16"/>
      <c r="V1193" s="16"/>
      <c r="W1193" s="16"/>
      <c r="X1193" s="32"/>
      <c r="Y1193" s="250"/>
    </row>
    <row r="1194">
      <c r="A1194" s="32"/>
      <c r="B1194" s="32"/>
      <c r="C1194" s="257"/>
      <c r="D1194" s="265"/>
      <c r="E1194" s="265"/>
      <c r="F1194" s="257"/>
      <c r="G1194" s="265"/>
      <c r="H1194" s="256"/>
      <c r="I1194" s="257"/>
      <c r="J1194" s="32"/>
      <c r="K1194" s="32"/>
      <c r="L1194" s="32"/>
      <c r="M1194" s="32"/>
      <c r="N1194" s="257"/>
      <c r="O1194" s="32"/>
      <c r="P1194" s="32"/>
      <c r="Q1194" s="32"/>
      <c r="R1194" s="32"/>
      <c r="S1194" s="32"/>
      <c r="T1194" s="264"/>
      <c r="U1194" s="16"/>
      <c r="V1194" s="16"/>
      <c r="W1194" s="16"/>
      <c r="X1194" s="32"/>
      <c r="Y1194" s="250"/>
    </row>
    <row r="1195">
      <c r="A1195" s="32"/>
      <c r="B1195" s="32"/>
      <c r="C1195" s="257"/>
      <c r="D1195" s="265"/>
      <c r="E1195" s="265"/>
      <c r="F1195" s="257"/>
      <c r="G1195" s="265"/>
      <c r="H1195" s="256"/>
      <c r="I1195" s="257"/>
      <c r="J1195" s="32"/>
      <c r="K1195" s="32"/>
      <c r="L1195" s="32"/>
      <c r="M1195" s="32"/>
      <c r="N1195" s="257"/>
      <c r="O1195" s="32"/>
      <c r="P1195" s="32"/>
      <c r="Q1195" s="32"/>
      <c r="R1195" s="32"/>
      <c r="S1195" s="32"/>
      <c r="T1195" s="264"/>
      <c r="U1195" s="16"/>
      <c r="V1195" s="16"/>
      <c r="W1195" s="16"/>
      <c r="X1195" s="32"/>
      <c r="Y1195" s="250"/>
    </row>
    <row r="1196">
      <c r="A1196" s="32"/>
      <c r="B1196" s="32"/>
      <c r="C1196" s="257"/>
      <c r="D1196" s="265"/>
      <c r="E1196" s="265"/>
      <c r="F1196" s="257"/>
      <c r="G1196" s="265"/>
      <c r="H1196" s="256"/>
      <c r="I1196" s="257"/>
      <c r="J1196" s="32"/>
      <c r="K1196" s="32"/>
      <c r="L1196" s="32"/>
      <c r="M1196" s="32"/>
      <c r="N1196" s="257"/>
      <c r="O1196" s="32"/>
      <c r="P1196" s="32"/>
      <c r="Q1196" s="32"/>
      <c r="R1196" s="32"/>
      <c r="S1196" s="32"/>
      <c r="T1196" s="264"/>
      <c r="U1196" s="16"/>
      <c r="V1196" s="16"/>
      <c r="W1196" s="16"/>
      <c r="X1196" s="32"/>
      <c r="Y1196" s="250"/>
    </row>
    <row r="1197">
      <c r="A1197" s="32"/>
      <c r="B1197" s="32"/>
      <c r="C1197" s="257"/>
      <c r="D1197" s="265"/>
      <c r="E1197" s="265"/>
      <c r="F1197" s="257"/>
      <c r="G1197" s="265"/>
      <c r="H1197" s="256"/>
      <c r="I1197" s="257"/>
      <c r="J1197" s="32"/>
      <c r="K1197" s="32"/>
      <c r="L1197" s="32"/>
      <c r="M1197" s="32"/>
      <c r="N1197" s="257"/>
      <c r="O1197" s="32"/>
      <c r="P1197" s="32"/>
      <c r="Q1197" s="32"/>
      <c r="R1197" s="32"/>
      <c r="S1197" s="32"/>
      <c r="T1197" s="264"/>
      <c r="U1197" s="16"/>
      <c r="V1197" s="16"/>
      <c r="W1197" s="16"/>
      <c r="X1197" s="32"/>
      <c r="Y1197" s="250"/>
    </row>
    <row r="1198">
      <c r="A1198" s="32"/>
      <c r="B1198" s="32"/>
      <c r="C1198" s="257"/>
      <c r="D1198" s="265"/>
      <c r="E1198" s="265"/>
      <c r="F1198" s="257"/>
      <c r="G1198" s="265"/>
      <c r="H1198" s="256"/>
      <c r="I1198" s="257"/>
      <c r="J1198" s="32"/>
      <c r="K1198" s="32"/>
      <c r="L1198" s="32"/>
      <c r="M1198" s="32"/>
      <c r="N1198" s="257"/>
      <c r="O1198" s="32"/>
      <c r="P1198" s="32"/>
      <c r="Q1198" s="32"/>
      <c r="R1198" s="32"/>
      <c r="S1198" s="32"/>
      <c r="T1198" s="264"/>
      <c r="U1198" s="16"/>
      <c r="V1198" s="16"/>
      <c r="W1198" s="16"/>
      <c r="X1198" s="32"/>
      <c r="Y1198" s="250"/>
    </row>
    <row r="1199">
      <c r="A1199" s="32"/>
      <c r="B1199" s="32"/>
      <c r="C1199" s="257"/>
      <c r="D1199" s="265"/>
      <c r="E1199" s="265"/>
      <c r="F1199" s="257"/>
      <c r="G1199" s="265"/>
      <c r="H1199" s="256"/>
      <c r="I1199" s="257"/>
      <c r="J1199" s="32"/>
      <c r="K1199" s="32"/>
      <c r="L1199" s="32"/>
      <c r="M1199" s="32"/>
      <c r="N1199" s="257"/>
      <c r="O1199" s="32"/>
      <c r="P1199" s="32"/>
      <c r="Q1199" s="32"/>
      <c r="R1199" s="32"/>
      <c r="S1199" s="32"/>
      <c r="T1199" s="264"/>
      <c r="U1199" s="16"/>
      <c r="V1199" s="16"/>
      <c r="W1199" s="16"/>
      <c r="X1199" s="32"/>
      <c r="Y1199" s="250"/>
    </row>
    <row r="1200">
      <c r="A1200" s="32"/>
      <c r="B1200" s="32"/>
      <c r="C1200" s="257"/>
      <c r="D1200" s="265"/>
      <c r="E1200" s="265"/>
      <c r="F1200" s="257"/>
      <c r="G1200" s="265"/>
      <c r="H1200" s="256"/>
      <c r="I1200" s="257"/>
      <c r="J1200" s="32"/>
      <c r="K1200" s="32"/>
      <c r="L1200" s="32"/>
      <c r="M1200" s="32"/>
      <c r="N1200" s="257"/>
      <c r="O1200" s="32"/>
      <c r="P1200" s="32"/>
      <c r="Q1200" s="32"/>
      <c r="R1200" s="32"/>
      <c r="S1200" s="32"/>
      <c r="T1200" s="264"/>
      <c r="U1200" s="16"/>
      <c r="V1200" s="16"/>
      <c r="W1200" s="16"/>
      <c r="X1200" s="32"/>
      <c r="Y1200" s="250"/>
    </row>
    <row r="1201">
      <c r="A1201" s="32"/>
      <c r="B1201" s="32"/>
      <c r="C1201" s="257"/>
      <c r="D1201" s="265"/>
      <c r="E1201" s="265"/>
      <c r="F1201" s="257"/>
      <c r="G1201" s="265"/>
      <c r="H1201" s="256"/>
      <c r="I1201" s="257"/>
      <c r="J1201" s="32"/>
      <c r="K1201" s="32"/>
      <c r="L1201" s="32"/>
      <c r="M1201" s="32"/>
      <c r="N1201" s="257"/>
      <c r="O1201" s="32"/>
      <c r="P1201" s="32"/>
      <c r="Q1201" s="32"/>
      <c r="R1201" s="32"/>
      <c r="S1201" s="32"/>
      <c r="T1201" s="264"/>
      <c r="U1201" s="16"/>
      <c r="V1201" s="16"/>
      <c r="W1201" s="16"/>
      <c r="X1201" s="32"/>
      <c r="Y1201" s="250"/>
    </row>
    <row r="1202">
      <c r="A1202" s="32"/>
      <c r="B1202" s="32"/>
      <c r="C1202" s="257"/>
      <c r="D1202" s="265"/>
      <c r="E1202" s="265"/>
      <c r="F1202" s="257"/>
      <c r="G1202" s="265"/>
      <c r="H1202" s="256"/>
      <c r="I1202" s="257"/>
      <c r="J1202" s="32"/>
      <c r="K1202" s="32"/>
      <c r="L1202" s="32"/>
      <c r="M1202" s="32"/>
      <c r="N1202" s="257"/>
      <c r="O1202" s="32"/>
      <c r="P1202" s="32"/>
      <c r="Q1202" s="32"/>
      <c r="R1202" s="32"/>
      <c r="S1202" s="32"/>
      <c r="T1202" s="264"/>
      <c r="U1202" s="16"/>
      <c r="V1202" s="16"/>
      <c r="W1202" s="16"/>
      <c r="X1202" s="32"/>
      <c r="Y1202" s="250"/>
    </row>
    <row r="1203">
      <c r="A1203" s="32"/>
      <c r="B1203" s="32"/>
      <c r="C1203" s="257"/>
      <c r="D1203" s="265"/>
      <c r="E1203" s="265"/>
      <c r="F1203" s="257"/>
      <c r="G1203" s="265"/>
      <c r="H1203" s="256"/>
      <c r="I1203" s="257"/>
      <c r="J1203" s="32"/>
      <c r="K1203" s="32"/>
      <c r="L1203" s="32"/>
      <c r="M1203" s="32"/>
      <c r="N1203" s="257"/>
      <c r="O1203" s="32"/>
      <c r="P1203" s="32"/>
      <c r="Q1203" s="32"/>
      <c r="R1203" s="32"/>
      <c r="S1203" s="32"/>
      <c r="T1203" s="264"/>
      <c r="U1203" s="16"/>
      <c r="V1203" s="16"/>
      <c r="W1203" s="16"/>
      <c r="X1203" s="32"/>
      <c r="Y1203" s="250"/>
    </row>
    <row r="1204">
      <c r="A1204" s="32"/>
      <c r="B1204" s="32"/>
      <c r="C1204" s="257"/>
      <c r="D1204" s="265"/>
      <c r="E1204" s="265"/>
      <c r="F1204" s="257"/>
      <c r="G1204" s="265"/>
      <c r="H1204" s="256"/>
      <c r="I1204" s="257"/>
      <c r="J1204" s="32"/>
      <c r="K1204" s="32"/>
      <c r="L1204" s="32"/>
      <c r="M1204" s="32"/>
      <c r="N1204" s="257"/>
      <c r="O1204" s="32"/>
      <c r="P1204" s="32"/>
      <c r="Q1204" s="32"/>
      <c r="R1204" s="32"/>
      <c r="S1204" s="32"/>
      <c r="T1204" s="264"/>
      <c r="U1204" s="16"/>
      <c r="V1204" s="16"/>
      <c r="W1204" s="16"/>
      <c r="X1204" s="32"/>
      <c r="Y1204" s="250"/>
    </row>
    <row r="1205">
      <c r="A1205" s="32"/>
      <c r="B1205" s="32"/>
      <c r="C1205" s="257"/>
      <c r="D1205" s="265"/>
      <c r="E1205" s="265"/>
      <c r="F1205" s="257"/>
      <c r="G1205" s="265"/>
      <c r="H1205" s="256"/>
      <c r="I1205" s="257"/>
      <c r="J1205" s="32"/>
      <c r="K1205" s="32"/>
      <c r="L1205" s="32"/>
      <c r="M1205" s="32"/>
      <c r="N1205" s="257"/>
      <c r="O1205" s="32"/>
      <c r="P1205" s="32"/>
      <c r="Q1205" s="32"/>
      <c r="R1205" s="32"/>
      <c r="S1205" s="32"/>
      <c r="T1205" s="264"/>
      <c r="U1205" s="16"/>
      <c r="V1205" s="16"/>
      <c r="W1205" s="16"/>
      <c r="X1205" s="32"/>
      <c r="Y1205" s="250"/>
    </row>
    <row r="1206">
      <c r="A1206" s="32"/>
      <c r="B1206" s="32"/>
      <c r="C1206" s="257"/>
      <c r="D1206" s="265"/>
      <c r="E1206" s="265"/>
      <c r="F1206" s="257"/>
      <c r="G1206" s="265"/>
      <c r="H1206" s="256"/>
      <c r="I1206" s="257"/>
      <c r="J1206" s="32"/>
      <c r="K1206" s="32"/>
      <c r="L1206" s="32"/>
      <c r="M1206" s="32"/>
      <c r="N1206" s="257"/>
      <c r="O1206" s="32"/>
      <c r="P1206" s="32"/>
      <c r="Q1206" s="32"/>
      <c r="R1206" s="32"/>
      <c r="S1206" s="32"/>
      <c r="T1206" s="264"/>
      <c r="U1206" s="16"/>
      <c r="V1206" s="16"/>
      <c r="W1206" s="16"/>
      <c r="X1206" s="32"/>
      <c r="Y1206" s="250"/>
    </row>
    <row r="1207">
      <c r="A1207" s="32"/>
      <c r="B1207" s="32"/>
      <c r="C1207" s="257"/>
      <c r="D1207" s="265"/>
      <c r="E1207" s="265"/>
      <c r="F1207" s="257"/>
      <c r="G1207" s="265"/>
      <c r="H1207" s="256"/>
      <c r="I1207" s="257"/>
      <c r="J1207" s="32"/>
      <c r="K1207" s="32"/>
      <c r="L1207" s="32"/>
      <c r="M1207" s="32"/>
      <c r="N1207" s="257"/>
      <c r="O1207" s="32"/>
      <c r="P1207" s="32"/>
      <c r="Q1207" s="32"/>
      <c r="R1207" s="32"/>
      <c r="S1207" s="32"/>
      <c r="T1207" s="264"/>
      <c r="U1207" s="16"/>
      <c r="V1207" s="16"/>
      <c r="W1207" s="16"/>
      <c r="X1207" s="32"/>
      <c r="Y1207" s="250"/>
    </row>
    <row r="1208">
      <c r="A1208" s="32"/>
      <c r="B1208" s="32"/>
      <c r="C1208" s="257"/>
      <c r="D1208" s="265"/>
      <c r="E1208" s="265"/>
      <c r="F1208" s="257"/>
      <c r="G1208" s="265"/>
      <c r="H1208" s="256"/>
      <c r="I1208" s="257"/>
      <c r="J1208" s="32"/>
      <c r="K1208" s="32"/>
      <c r="L1208" s="32"/>
      <c r="M1208" s="32"/>
      <c r="N1208" s="257"/>
      <c r="O1208" s="32"/>
      <c r="P1208" s="32"/>
      <c r="Q1208" s="32"/>
      <c r="R1208" s="32"/>
      <c r="S1208" s="32"/>
      <c r="T1208" s="264"/>
      <c r="U1208" s="16"/>
      <c r="V1208" s="16"/>
      <c r="W1208" s="16"/>
      <c r="X1208" s="32"/>
      <c r="Y1208" s="250"/>
    </row>
    <row r="1209">
      <c r="A1209" s="32"/>
      <c r="B1209" s="32"/>
      <c r="C1209" s="257"/>
      <c r="D1209" s="265"/>
      <c r="E1209" s="265"/>
      <c r="F1209" s="257"/>
      <c r="G1209" s="265"/>
      <c r="H1209" s="256"/>
      <c r="I1209" s="257"/>
      <c r="J1209" s="32"/>
      <c r="K1209" s="32"/>
      <c r="L1209" s="32"/>
      <c r="M1209" s="32"/>
      <c r="N1209" s="257"/>
      <c r="O1209" s="32"/>
      <c r="P1209" s="32"/>
      <c r="Q1209" s="32"/>
      <c r="R1209" s="32"/>
      <c r="S1209" s="32"/>
      <c r="T1209" s="264"/>
      <c r="U1209" s="16"/>
      <c r="V1209" s="16"/>
      <c r="W1209" s="16"/>
      <c r="X1209" s="32"/>
      <c r="Y1209" s="250"/>
    </row>
    <row r="1210">
      <c r="A1210" s="32"/>
      <c r="B1210" s="32"/>
      <c r="C1210" s="257"/>
      <c r="D1210" s="265"/>
      <c r="E1210" s="265"/>
      <c r="F1210" s="257"/>
      <c r="G1210" s="265"/>
      <c r="H1210" s="256"/>
      <c r="I1210" s="257"/>
      <c r="J1210" s="32"/>
      <c r="K1210" s="32"/>
      <c r="L1210" s="32"/>
      <c r="M1210" s="32"/>
      <c r="N1210" s="257"/>
      <c r="O1210" s="32"/>
      <c r="P1210" s="32"/>
      <c r="Q1210" s="32"/>
      <c r="R1210" s="32"/>
      <c r="S1210" s="32"/>
      <c r="T1210" s="264"/>
      <c r="U1210" s="16"/>
      <c r="V1210" s="16"/>
      <c r="W1210" s="16"/>
      <c r="X1210" s="32"/>
      <c r="Y1210" s="250"/>
    </row>
    <row r="1211">
      <c r="A1211" s="32"/>
      <c r="B1211" s="32"/>
      <c r="C1211" s="257"/>
      <c r="D1211" s="265"/>
      <c r="E1211" s="265"/>
      <c r="F1211" s="257"/>
      <c r="G1211" s="265"/>
      <c r="H1211" s="256"/>
      <c r="I1211" s="257"/>
      <c r="J1211" s="32"/>
      <c r="K1211" s="32"/>
      <c r="L1211" s="32"/>
      <c r="M1211" s="32"/>
      <c r="N1211" s="257"/>
      <c r="O1211" s="32"/>
      <c r="P1211" s="32"/>
      <c r="Q1211" s="32"/>
      <c r="R1211" s="32"/>
      <c r="S1211" s="32"/>
      <c r="T1211" s="264"/>
      <c r="U1211" s="16"/>
      <c r="V1211" s="16"/>
      <c r="W1211" s="16"/>
      <c r="X1211" s="32"/>
      <c r="Y1211" s="250"/>
    </row>
    <row r="1212">
      <c r="A1212" s="32"/>
      <c r="B1212" s="32"/>
      <c r="C1212" s="257"/>
      <c r="D1212" s="265"/>
      <c r="E1212" s="265"/>
      <c r="F1212" s="257"/>
      <c r="G1212" s="265"/>
      <c r="H1212" s="256"/>
      <c r="I1212" s="257"/>
      <c r="J1212" s="32"/>
      <c r="K1212" s="32"/>
      <c r="L1212" s="32"/>
      <c r="M1212" s="32"/>
      <c r="N1212" s="257"/>
      <c r="O1212" s="32"/>
      <c r="P1212" s="32"/>
      <c r="Q1212" s="32"/>
      <c r="R1212" s="32"/>
      <c r="S1212" s="32"/>
      <c r="T1212" s="264"/>
      <c r="U1212" s="16"/>
      <c r="V1212" s="16"/>
      <c r="W1212" s="16"/>
      <c r="X1212" s="32"/>
      <c r="Y1212" s="250"/>
    </row>
    <row r="1213">
      <c r="A1213" s="32"/>
      <c r="B1213" s="32"/>
      <c r="C1213" s="257"/>
      <c r="D1213" s="265"/>
      <c r="E1213" s="265"/>
      <c r="F1213" s="257"/>
      <c r="G1213" s="265"/>
      <c r="H1213" s="256"/>
      <c r="I1213" s="257"/>
      <c r="J1213" s="32"/>
      <c r="K1213" s="32"/>
      <c r="L1213" s="32"/>
      <c r="M1213" s="32"/>
      <c r="N1213" s="257"/>
      <c r="O1213" s="32"/>
      <c r="P1213" s="32"/>
      <c r="Q1213" s="32"/>
      <c r="R1213" s="32"/>
      <c r="S1213" s="32"/>
      <c r="T1213" s="264"/>
      <c r="U1213" s="16"/>
      <c r="V1213" s="16"/>
      <c r="W1213" s="16"/>
      <c r="X1213" s="32"/>
      <c r="Y1213" s="250"/>
    </row>
    <row r="1214">
      <c r="A1214" s="32"/>
      <c r="B1214" s="32"/>
      <c r="C1214" s="257"/>
      <c r="D1214" s="265"/>
      <c r="E1214" s="265"/>
      <c r="F1214" s="257"/>
      <c r="G1214" s="265"/>
      <c r="H1214" s="256"/>
      <c r="I1214" s="257"/>
      <c r="J1214" s="32"/>
      <c r="K1214" s="32"/>
      <c r="L1214" s="32"/>
      <c r="M1214" s="32"/>
      <c r="N1214" s="257"/>
      <c r="O1214" s="32"/>
      <c r="P1214" s="32"/>
      <c r="Q1214" s="32"/>
      <c r="R1214" s="32"/>
      <c r="S1214" s="32"/>
      <c r="T1214" s="264"/>
      <c r="U1214" s="16"/>
      <c r="V1214" s="16"/>
      <c r="W1214" s="16"/>
      <c r="X1214" s="32"/>
      <c r="Y1214" s="250"/>
    </row>
    <row r="1215">
      <c r="A1215" s="32"/>
      <c r="B1215" s="32"/>
      <c r="C1215" s="257"/>
      <c r="D1215" s="265"/>
      <c r="E1215" s="265"/>
      <c r="F1215" s="257"/>
      <c r="G1215" s="265"/>
      <c r="H1215" s="256"/>
      <c r="I1215" s="257"/>
      <c r="J1215" s="32"/>
      <c r="K1215" s="32"/>
      <c r="L1215" s="32"/>
      <c r="M1215" s="32"/>
      <c r="N1215" s="257"/>
      <c r="O1215" s="32"/>
      <c r="P1215" s="32"/>
      <c r="Q1215" s="32"/>
      <c r="R1215" s="32"/>
      <c r="S1215" s="32"/>
      <c r="T1215" s="264"/>
      <c r="U1215" s="16"/>
      <c r="V1215" s="16"/>
      <c r="W1215" s="16"/>
      <c r="X1215" s="32"/>
      <c r="Y1215" s="250"/>
    </row>
    <row r="1216">
      <c r="A1216" s="32"/>
      <c r="B1216" s="32"/>
      <c r="C1216" s="257"/>
      <c r="D1216" s="265"/>
      <c r="E1216" s="265"/>
      <c r="F1216" s="257"/>
      <c r="G1216" s="265"/>
      <c r="H1216" s="256"/>
      <c r="I1216" s="257"/>
      <c r="J1216" s="32"/>
      <c r="K1216" s="32"/>
      <c r="L1216" s="32"/>
      <c r="M1216" s="32"/>
      <c r="N1216" s="257"/>
      <c r="O1216" s="32"/>
      <c r="P1216" s="32"/>
      <c r="Q1216" s="32"/>
      <c r="R1216" s="32"/>
      <c r="S1216" s="32"/>
      <c r="T1216" s="264"/>
      <c r="U1216" s="16"/>
      <c r="V1216" s="16"/>
      <c r="W1216" s="16"/>
      <c r="X1216" s="32"/>
      <c r="Y1216" s="250"/>
    </row>
    <row r="1217">
      <c r="A1217" s="32"/>
      <c r="B1217" s="32"/>
      <c r="C1217" s="257"/>
      <c r="D1217" s="265"/>
      <c r="E1217" s="265"/>
      <c r="F1217" s="257"/>
      <c r="G1217" s="265"/>
      <c r="H1217" s="256"/>
      <c r="I1217" s="257"/>
      <c r="J1217" s="32"/>
      <c r="K1217" s="32"/>
      <c r="L1217" s="32"/>
      <c r="M1217" s="32"/>
      <c r="N1217" s="257"/>
      <c r="O1217" s="32"/>
      <c r="P1217" s="32"/>
      <c r="Q1217" s="32"/>
      <c r="R1217" s="32"/>
      <c r="S1217" s="32"/>
      <c r="T1217" s="264"/>
      <c r="U1217" s="16"/>
      <c r="V1217" s="16"/>
      <c r="W1217" s="16"/>
      <c r="X1217" s="32"/>
      <c r="Y1217" s="250"/>
    </row>
    <row r="1218">
      <c r="A1218" s="32"/>
      <c r="B1218" s="32"/>
      <c r="C1218" s="257"/>
      <c r="D1218" s="265"/>
      <c r="E1218" s="265"/>
      <c r="F1218" s="257"/>
      <c r="G1218" s="265"/>
      <c r="H1218" s="256"/>
      <c r="I1218" s="257"/>
      <c r="J1218" s="32"/>
      <c r="K1218" s="32"/>
      <c r="L1218" s="32"/>
      <c r="M1218" s="32"/>
      <c r="N1218" s="257"/>
      <c r="O1218" s="32"/>
      <c r="P1218" s="32"/>
      <c r="Q1218" s="32"/>
      <c r="R1218" s="32"/>
      <c r="S1218" s="32"/>
      <c r="T1218" s="264"/>
      <c r="U1218" s="16"/>
      <c r="V1218" s="16"/>
      <c r="W1218" s="16"/>
      <c r="X1218" s="32"/>
      <c r="Y1218" s="250"/>
    </row>
    <row r="1219">
      <c r="A1219" s="32"/>
      <c r="B1219" s="32"/>
      <c r="C1219" s="257"/>
      <c r="D1219" s="265"/>
      <c r="E1219" s="265"/>
      <c r="F1219" s="257"/>
      <c r="G1219" s="265"/>
      <c r="H1219" s="256"/>
      <c r="I1219" s="257"/>
      <c r="J1219" s="32"/>
      <c r="K1219" s="32"/>
      <c r="L1219" s="32"/>
      <c r="M1219" s="32"/>
      <c r="N1219" s="257"/>
      <c r="O1219" s="32"/>
      <c r="P1219" s="32"/>
      <c r="Q1219" s="32"/>
      <c r="R1219" s="32"/>
      <c r="S1219" s="32"/>
      <c r="T1219" s="264"/>
      <c r="U1219" s="16"/>
      <c r="V1219" s="16"/>
      <c r="W1219" s="16"/>
      <c r="X1219" s="32"/>
      <c r="Y1219" s="250"/>
    </row>
    <row r="1220">
      <c r="A1220" s="32"/>
      <c r="B1220" s="32"/>
      <c r="C1220" s="257"/>
      <c r="D1220" s="265"/>
      <c r="E1220" s="265"/>
      <c r="F1220" s="257"/>
      <c r="G1220" s="265"/>
      <c r="H1220" s="256"/>
      <c r="I1220" s="257"/>
      <c r="J1220" s="32"/>
      <c r="K1220" s="32"/>
      <c r="L1220" s="32"/>
      <c r="M1220" s="32"/>
      <c r="N1220" s="257"/>
      <c r="O1220" s="32"/>
      <c r="P1220" s="32"/>
      <c r="Q1220" s="32"/>
      <c r="R1220" s="32"/>
      <c r="S1220" s="32"/>
      <c r="T1220" s="264"/>
      <c r="U1220" s="16"/>
      <c r="V1220" s="16"/>
      <c r="W1220" s="16"/>
      <c r="X1220" s="32"/>
      <c r="Y1220" s="250"/>
    </row>
    <row r="1221">
      <c r="A1221" s="32"/>
      <c r="B1221" s="32"/>
      <c r="C1221" s="257"/>
      <c r="D1221" s="265"/>
      <c r="E1221" s="265"/>
      <c r="F1221" s="257"/>
      <c r="G1221" s="265"/>
      <c r="H1221" s="256"/>
      <c r="I1221" s="257"/>
      <c r="J1221" s="32"/>
      <c r="K1221" s="32"/>
      <c r="L1221" s="32"/>
      <c r="M1221" s="32"/>
      <c r="N1221" s="257"/>
      <c r="O1221" s="32"/>
      <c r="P1221" s="32"/>
      <c r="Q1221" s="32"/>
      <c r="R1221" s="32"/>
      <c r="S1221" s="32"/>
      <c r="T1221" s="264"/>
      <c r="U1221" s="16"/>
      <c r="V1221" s="16"/>
      <c r="W1221" s="16"/>
      <c r="X1221" s="32"/>
      <c r="Y1221" s="250"/>
    </row>
    <row r="1222">
      <c r="A1222" s="32"/>
      <c r="B1222" s="32"/>
      <c r="C1222" s="257"/>
      <c r="D1222" s="265"/>
      <c r="E1222" s="265"/>
      <c r="F1222" s="257"/>
      <c r="G1222" s="265"/>
      <c r="H1222" s="256"/>
      <c r="I1222" s="257"/>
      <c r="J1222" s="32"/>
      <c r="K1222" s="32"/>
      <c r="L1222" s="32"/>
      <c r="M1222" s="32"/>
      <c r="N1222" s="257"/>
      <c r="O1222" s="32"/>
      <c r="P1222" s="32"/>
      <c r="Q1222" s="32"/>
      <c r="R1222" s="32"/>
      <c r="S1222" s="32"/>
      <c r="T1222" s="264"/>
      <c r="U1222" s="16"/>
      <c r="V1222" s="16"/>
      <c r="W1222" s="16"/>
      <c r="X1222" s="32"/>
      <c r="Y1222" s="250"/>
    </row>
    <row r="1223">
      <c r="A1223" s="32"/>
      <c r="B1223" s="32"/>
      <c r="C1223" s="257"/>
      <c r="D1223" s="265"/>
      <c r="E1223" s="265"/>
      <c r="F1223" s="257"/>
      <c r="G1223" s="265"/>
      <c r="H1223" s="256"/>
      <c r="I1223" s="257"/>
      <c r="J1223" s="32"/>
      <c r="K1223" s="32"/>
      <c r="L1223" s="32"/>
      <c r="M1223" s="32"/>
      <c r="N1223" s="257"/>
      <c r="O1223" s="32"/>
      <c r="P1223" s="32"/>
      <c r="Q1223" s="32"/>
      <c r="R1223" s="32"/>
      <c r="S1223" s="32"/>
      <c r="T1223" s="264"/>
      <c r="U1223" s="16"/>
      <c r="V1223" s="16"/>
      <c r="W1223" s="16"/>
      <c r="X1223" s="32"/>
      <c r="Y1223" s="250"/>
    </row>
    <row r="1224">
      <c r="A1224" s="32"/>
      <c r="B1224" s="32"/>
      <c r="C1224" s="257"/>
      <c r="D1224" s="265"/>
      <c r="E1224" s="265"/>
      <c r="F1224" s="257"/>
      <c r="G1224" s="265"/>
      <c r="H1224" s="256"/>
      <c r="I1224" s="257"/>
      <c r="J1224" s="32"/>
      <c r="K1224" s="32"/>
      <c r="L1224" s="32"/>
      <c r="M1224" s="32"/>
      <c r="N1224" s="257"/>
      <c r="O1224" s="32"/>
      <c r="P1224" s="32"/>
      <c r="Q1224" s="32"/>
      <c r="R1224" s="32"/>
      <c r="S1224" s="32"/>
      <c r="T1224" s="264"/>
      <c r="U1224" s="16"/>
      <c r="V1224" s="16"/>
      <c r="W1224" s="16"/>
      <c r="X1224" s="32"/>
      <c r="Y1224" s="250"/>
    </row>
    <row r="1225">
      <c r="A1225" s="32"/>
      <c r="B1225" s="32"/>
      <c r="C1225" s="257"/>
      <c r="D1225" s="265"/>
      <c r="E1225" s="265"/>
      <c r="F1225" s="257"/>
      <c r="G1225" s="265"/>
      <c r="H1225" s="256"/>
      <c r="I1225" s="257"/>
      <c r="J1225" s="32"/>
      <c r="K1225" s="32"/>
      <c r="L1225" s="32"/>
      <c r="M1225" s="32"/>
      <c r="N1225" s="257"/>
      <c r="O1225" s="32"/>
      <c r="P1225" s="32"/>
      <c r="Q1225" s="32"/>
      <c r="R1225" s="32"/>
      <c r="S1225" s="32"/>
      <c r="T1225" s="264"/>
      <c r="U1225" s="16"/>
      <c r="V1225" s="16"/>
      <c r="W1225" s="16"/>
      <c r="X1225" s="32"/>
      <c r="Y1225" s="250"/>
    </row>
    <row r="1226">
      <c r="A1226" s="32"/>
      <c r="B1226" s="32"/>
      <c r="C1226" s="257"/>
      <c r="D1226" s="265"/>
      <c r="E1226" s="265"/>
      <c r="F1226" s="257"/>
      <c r="G1226" s="265"/>
      <c r="H1226" s="256"/>
      <c r="I1226" s="257"/>
      <c r="J1226" s="32"/>
      <c r="K1226" s="32"/>
      <c r="L1226" s="32"/>
      <c r="M1226" s="32"/>
      <c r="N1226" s="257"/>
      <c r="O1226" s="32"/>
      <c r="P1226" s="32"/>
      <c r="Q1226" s="32"/>
      <c r="R1226" s="32"/>
      <c r="S1226" s="32"/>
      <c r="T1226" s="264"/>
      <c r="U1226" s="16"/>
      <c r="V1226" s="16"/>
      <c r="W1226" s="16"/>
      <c r="X1226" s="32"/>
      <c r="Y1226" s="250"/>
    </row>
    <row r="1227">
      <c r="A1227" s="32"/>
      <c r="B1227" s="32"/>
      <c r="C1227" s="257"/>
      <c r="D1227" s="265"/>
      <c r="E1227" s="265"/>
      <c r="F1227" s="257"/>
      <c r="G1227" s="265"/>
      <c r="H1227" s="256"/>
      <c r="I1227" s="257"/>
      <c r="J1227" s="32"/>
      <c r="K1227" s="32"/>
      <c r="L1227" s="32"/>
      <c r="M1227" s="32"/>
      <c r="N1227" s="257"/>
      <c r="O1227" s="32"/>
      <c r="P1227" s="32"/>
      <c r="Q1227" s="32"/>
      <c r="R1227" s="32"/>
      <c r="S1227" s="32"/>
      <c r="T1227" s="264"/>
      <c r="U1227" s="16"/>
      <c r="V1227" s="16"/>
      <c r="W1227" s="16"/>
      <c r="X1227" s="32"/>
      <c r="Y1227" s="250"/>
    </row>
    <row r="1228">
      <c r="A1228" s="32"/>
      <c r="B1228" s="32"/>
      <c r="C1228" s="257"/>
      <c r="D1228" s="265"/>
      <c r="E1228" s="265"/>
      <c r="F1228" s="257"/>
      <c r="G1228" s="265"/>
      <c r="H1228" s="256"/>
      <c r="I1228" s="257"/>
      <c r="J1228" s="32"/>
      <c r="K1228" s="32"/>
      <c r="L1228" s="32"/>
      <c r="M1228" s="32"/>
      <c r="N1228" s="257"/>
      <c r="O1228" s="32"/>
      <c r="P1228" s="32"/>
      <c r="Q1228" s="32"/>
      <c r="R1228" s="32"/>
      <c r="S1228" s="32"/>
      <c r="T1228" s="264"/>
      <c r="U1228" s="16"/>
      <c r="V1228" s="16"/>
      <c r="W1228" s="16"/>
      <c r="X1228" s="32"/>
      <c r="Y1228" s="250"/>
    </row>
    <row r="1229">
      <c r="A1229" s="32"/>
      <c r="B1229" s="32"/>
      <c r="C1229" s="257"/>
      <c r="D1229" s="265"/>
      <c r="E1229" s="265"/>
      <c r="F1229" s="257"/>
      <c r="G1229" s="265"/>
      <c r="H1229" s="256"/>
      <c r="I1229" s="257"/>
      <c r="J1229" s="32"/>
      <c r="K1229" s="32"/>
      <c r="L1229" s="32"/>
      <c r="M1229" s="32"/>
      <c r="N1229" s="257"/>
      <c r="O1229" s="32"/>
      <c r="P1229" s="32"/>
      <c r="Q1229" s="32"/>
      <c r="R1229" s="32"/>
      <c r="S1229" s="32"/>
      <c r="T1229" s="264"/>
      <c r="U1229" s="16"/>
      <c r="V1229" s="16"/>
      <c r="W1229" s="16"/>
      <c r="X1229" s="32"/>
      <c r="Y1229" s="250"/>
    </row>
    <row r="1230">
      <c r="A1230" s="32"/>
      <c r="B1230" s="32"/>
      <c r="C1230" s="257"/>
      <c r="D1230" s="265"/>
      <c r="E1230" s="265"/>
      <c r="F1230" s="257"/>
      <c r="G1230" s="265"/>
      <c r="H1230" s="256"/>
      <c r="I1230" s="257"/>
      <c r="J1230" s="32"/>
      <c r="K1230" s="32"/>
      <c r="L1230" s="32"/>
      <c r="M1230" s="32"/>
      <c r="N1230" s="257"/>
      <c r="O1230" s="32"/>
      <c r="P1230" s="32"/>
      <c r="Q1230" s="32"/>
      <c r="R1230" s="32"/>
      <c r="S1230" s="32"/>
      <c r="T1230" s="264"/>
      <c r="U1230" s="16"/>
      <c r="V1230" s="16"/>
      <c r="W1230" s="16"/>
      <c r="X1230" s="32"/>
      <c r="Y1230" s="250"/>
    </row>
    <row r="1231">
      <c r="A1231" s="32"/>
      <c r="B1231" s="32"/>
      <c r="C1231" s="257"/>
      <c r="D1231" s="265"/>
      <c r="E1231" s="265"/>
      <c r="F1231" s="257"/>
      <c r="G1231" s="265"/>
      <c r="H1231" s="256"/>
      <c r="I1231" s="257"/>
      <c r="J1231" s="32"/>
      <c r="K1231" s="32"/>
      <c r="L1231" s="32"/>
      <c r="M1231" s="32"/>
      <c r="N1231" s="257"/>
      <c r="O1231" s="32"/>
      <c r="P1231" s="32"/>
      <c r="Q1231" s="32"/>
      <c r="R1231" s="32"/>
      <c r="S1231" s="32"/>
      <c r="T1231" s="264"/>
      <c r="U1231" s="16"/>
      <c r="V1231" s="16"/>
      <c r="W1231" s="16"/>
      <c r="X1231" s="32"/>
      <c r="Y1231" s="250"/>
    </row>
    <row r="1232">
      <c r="A1232" s="32"/>
      <c r="B1232" s="32"/>
      <c r="C1232" s="257"/>
      <c r="D1232" s="265"/>
      <c r="E1232" s="265"/>
      <c r="F1232" s="257"/>
      <c r="G1232" s="265"/>
      <c r="H1232" s="256"/>
      <c r="I1232" s="257"/>
      <c r="J1232" s="32"/>
      <c r="K1232" s="32"/>
      <c r="L1232" s="32"/>
      <c r="M1232" s="32"/>
      <c r="N1232" s="257"/>
      <c r="O1232" s="32"/>
      <c r="P1232" s="32"/>
      <c r="Q1232" s="32"/>
      <c r="R1232" s="32"/>
      <c r="S1232" s="32"/>
      <c r="T1232" s="264"/>
      <c r="U1232" s="16"/>
      <c r="V1232" s="16"/>
      <c r="W1232" s="16"/>
      <c r="X1232" s="32"/>
      <c r="Y1232" s="250"/>
    </row>
    <row r="1233">
      <c r="A1233" s="32"/>
      <c r="B1233" s="32"/>
      <c r="C1233" s="257"/>
      <c r="D1233" s="265"/>
      <c r="E1233" s="265"/>
      <c r="F1233" s="257"/>
      <c r="G1233" s="265"/>
      <c r="H1233" s="256"/>
      <c r="I1233" s="257"/>
      <c r="J1233" s="32"/>
      <c r="K1233" s="32"/>
      <c r="L1233" s="32"/>
      <c r="M1233" s="32"/>
      <c r="N1233" s="257"/>
      <c r="O1233" s="32"/>
      <c r="P1233" s="32"/>
      <c r="Q1233" s="32"/>
      <c r="R1233" s="32"/>
      <c r="S1233" s="32"/>
      <c r="T1233" s="264"/>
      <c r="U1233" s="16"/>
      <c r="V1233" s="16"/>
      <c r="W1233" s="16"/>
      <c r="X1233" s="32"/>
      <c r="Y1233" s="250"/>
    </row>
    <row r="1234">
      <c r="A1234" s="32"/>
      <c r="B1234" s="32"/>
      <c r="C1234" s="257"/>
      <c r="D1234" s="265"/>
      <c r="E1234" s="265"/>
      <c r="F1234" s="257"/>
      <c r="G1234" s="265"/>
      <c r="H1234" s="256"/>
      <c r="I1234" s="257"/>
      <c r="J1234" s="32"/>
      <c r="K1234" s="32"/>
      <c r="L1234" s="32"/>
      <c r="M1234" s="32"/>
      <c r="N1234" s="257"/>
      <c r="O1234" s="32"/>
      <c r="P1234" s="32"/>
      <c r="Q1234" s="32"/>
      <c r="R1234" s="32"/>
      <c r="S1234" s="32"/>
      <c r="T1234" s="264"/>
      <c r="U1234" s="16"/>
      <c r="V1234" s="16"/>
      <c r="W1234" s="16"/>
      <c r="X1234" s="32"/>
      <c r="Y1234" s="250"/>
    </row>
    <row r="1235">
      <c r="A1235" s="32"/>
      <c r="B1235" s="32"/>
      <c r="C1235" s="257"/>
      <c r="D1235" s="265"/>
      <c r="E1235" s="265"/>
      <c r="F1235" s="257"/>
      <c r="G1235" s="265"/>
      <c r="H1235" s="256"/>
      <c r="I1235" s="257"/>
      <c r="J1235" s="32"/>
      <c r="K1235" s="32"/>
      <c r="L1235" s="32"/>
      <c r="M1235" s="32"/>
      <c r="N1235" s="257"/>
      <c r="O1235" s="32"/>
      <c r="P1235" s="32"/>
      <c r="Q1235" s="32"/>
      <c r="R1235" s="32"/>
      <c r="S1235" s="32"/>
      <c r="T1235" s="264"/>
      <c r="U1235" s="16"/>
      <c r="V1235" s="16"/>
      <c r="W1235" s="16"/>
      <c r="X1235" s="32"/>
      <c r="Y1235" s="250"/>
    </row>
    <row r="1236">
      <c r="A1236" s="32"/>
      <c r="B1236" s="32"/>
      <c r="C1236" s="257"/>
      <c r="D1236" s="265"/>
      <c r="E1236" s="265"/>
      <c r="F1236" s="257"/>
      <c r="G1236" s="265"/>
      <c r="H1236" s="256"/>
      <c r="I1236" s="257"/>
      <c r="J1236" s="32"/>
      <c r="K1236" s="32"/>
      <c r="L1236" s="32"/>
      <c r="M1236" s="32"/>
      <c r="N1236" s="257"/>
      <c r="O1236" s="32"/>
      <c r="P1236" s="32"/>
      <c r="Q1236" s="32"/>
      <c r="R1236" s="32"/>
      <c r="S1236" s="32"/>
      <c r="T1236" s="264"/>
      <c r="U1236" s="16"/>
      <c r="V1236" s="16"/>
      <c r="W1236" s="16"/>
      <c r="X1236" s="32"/>
      <c r="Y1236" s="250"/>
    </row>
    <row r="1237">
      <c r="A1237" s="32"/>
      <c r="B1237" s="32"/>
      <c r="C1237" s="257"/>
      <c r="D1237" s="265"/>
      <c r="E1237" s="265"/>
      <c r="F1237" s="257"/>
      <c r="G1237" s="265"/>
      <c r="H1237" s="256"/>
      <c r="I1237" s="257"/>
      <c r="J1237" s="32"/>
      <c r="K1237" s="32"/>
      <c r="L1237" s="32"/>
      <c r="M1237" s="32"/>
      <c r="N1237" s="257"/>
      <c r="O1237" s="32"/>
      <c r="P1237" s="32"/>
      <c r="Q1237" s="32"/>
      <c r="R1237" s="32"/>
      <c r="S1237" s="32"/>
      <c r="T1237" s="264"/>
      <c r="U1237" s="16"/>
      <c r="V1237" s="16"/>
      <c r="W1237" s="16"/>
      <c r="X1237" s="32"/>
      <c r="Y1237" s="250"/>
    </row>
    <row r="1238">
      <c r="A1238" s="32"/>
      <c r="B1238" s="32"/>
      <c r="C1238" s="257"/>
      <c r="D1238" s="265"/>
      <c r="E1238" s="265"/>
      <c r="F1238" s="257"/>
      <c r="G1238" s="265"/>
      <c r="H1238" s="256"/>
      <c r="I1238" s="257"/>
      <c r="J1238" s="32"/>
      <c r="K1238" s="32"/>
      <c r="L1238" s="32"/>
      <c r="M1238" s="32"/>
      <c r="N1238" s="257"/>
      <c r="O1238" s="32"/>
      <c r="P1238" s="32"/>
      <c r="Q1238" s="32"/>
      <c r="R1238" s="32"/>
      <c r="S1238" s="32"/>
      <c r="T1238" s="264"/>
      <c r="U1238" s="16"/>
      <c r="V1238" s="16"/>
      <c r="W1238" s="16"/>
      <c r="X1238" s="32"/>
      <c r="Y1238" s="250"/>
    </row>
    <row r="1239">
      <c r="A1239" s="32"/>
      <c r="B1239" s="32"/>
      <c r="C1239" s="257"/>
      <c r="D1239" s="265"/>
      <c r="E1239" s="265"/>
      <c r="F1239" s="257"/>
      <c r="G1239" s="265"/>
      <c r="H1239" s="256"/>
      <c r="I1239" s="257"/>
      <c r="J1239" s="32"/>
      <c r="K1239" s="32"/>
      <c r="L1239" s="32"/>
      <c r="M1239" s="32"/>
      <c r="N1239" s="257"/>
      <c r="O1239" s="32"/>
      <c r="P1239" s="32"/>
      <c r="Q1239" s="32"/>
      <c r="R1239" s="32"/>
      <c r="S1239" s="32"/>
      <c r="T1239" s="264"/>
      <c r="U1239" s="16"/>
      <c r="V1239" s="16"/>
      <c r="W1239" s="16"/>
      <c r="X1239" s="32"/>
      <c r="Y1239" s="250"/>
    </row>
    <row r="1240">
      <c r="A1240" s="32"/>
      <c r="B1240" s="32"/>
      <c r="C1240" s="257"/>
      <c r="D1240" s="265"/>
      <c r="E1240" s="265"/>
      <c r="F1240" s="257"/>
      <c r="G1240" s="265"/>
      <c r="H1240" s="256"/>
      <c r="I1240" s="257"/>
      <c r="J1240" s="32"/>
      <c r="K1240" s="32"/>
      <c r="L1240" s="32"/>
      <c r="M1240" s="32"/>
      <c r="N1240" s="257"/>
      <c r="O1240" s="32"/>
      <c r="P1240" s="32"/>
      <c r="Q1240" s="32"/>
      <c r="R1240" s="32"/>
      <c r="S1240" s="32"/>
      <c r="T1240" s="264"/>
      <c r="U1240" s="16"/>
      <c r="V1240" s="16"/>
      <c r="W1240" s="16"/>
      <c r="X1240" s="32"/>
      <c r="Y1240" s="250"/>
    </row>
    <row r="1241">
      <c r="A1241" s="32"/>
      <c r="B1241" s="32"/>
      <c r="C1241" s="257"/>
      <c r="D1241" s="265"/>
      <c r="E1241" s="265"/>
      <c r="F1241" s="257"/>
      <c r="G1241" s="265"/>
      <c r="H1241" s="256"/>
      <c r="I1241" s="257"/>
      <c r="J1241" s="32"/>
      <c r="K1241" s="32"/>
      <c r="L1241" s="32"/>
      <c r="M1241" s="32"/>
      <c r="N1241" s="257"/>
      <c r="O1241" s="32"/>
      <c r="P1241" s="32"/>
      <c r="Q1241" s="32"/>
      <c r="R1241" s="32"/>
      <c r="S1241" s="32"/>
      <c r="T1241" s="264"/>
      <c r="U1241" s="16"/>
      <c r="V1241" s="16"/>
      <c r="W1241" s="16"/>
      <c r="X1241" s="32"/>
      <c r="Y1241" s="250"/>
    </row>
    <row r="1242">
      <c r="A1242" s="32"/>
      <c r="B1242" s="32"/>
      <c r="C1242" s="257"/>
      <c r="D1242" s="265"/>
      <c r="E1242" s="265"/>
      <c r="F1242" s="257"/>
      <c r="G1242" s="265"/>
      <c r="H1242" s="256"/>
      <c r="I1242" s="257"/>
      <c r="J1242" s="32"/>
      <c r="K1242" s="32"/>
      <c r="L1242" s="32"/>
      <c r="M1242" s="32"/>
      <c r="N1242" s="257"/>
      <c r="O1242" s="32"/>
      <c r="P1242" s="32"/>
      <c r="Q1242" s="32"/>
      <c r="R1242" s="32"/>
      <c r="S1242" s="32"/>
      <c r="T1242" s="264"/>
      <c r="U1242" s="16"/>
      <c r="V1242" s="16"/>
      <c r="W1242" s="16"/>
      <c r="X1242" s="32"/>
      <c r="Y1242" s="250"/>
    </row>
    <row r="1243">
      <c r="A1243" s="32"/>
      <c r="B1243" s="32"/>
      <c r="C1243" s="257"/>
      <c r="D1243" s="265"/>
      <c r="E1243" s="265"/>
      <c r="F1243" s="257"/>
      <c r="G1243" s="265"/>
      <c r="H1243" s="256"/>
      <c r="I1243" s="257"/>
      <c r="J1243" s="32"/>
      <c r="K1243" s="32"/>
      <c r="L1243" s="32"/>
      <c r="M1243" s="32"/>
      <c r="N1243" s="257"/>
      <c r="O1243" s="32"/>
      <c r="P1243" s="32"/>
      <c r="Q1243" s="32"/>
      <c r="R1243" s="32"/>
      <c r="S1243" s="32"/>
      <c r="T1243" s="264"/>
      <c r="U1243" s="16"/>
      <c r="V1243" s="16"/>
      <c r="W1243" s="16"/>
      <c r="X1243" s="32"/>
      <c r="Y1243" s="250"/>
    </row>
    <row r="1244">
      <c r="A1244" s="32"/>
      <c r="B1244" s="32"/>
      <c r="C1244" s="257"/>
      <c r="D1244" s="265"/>
      <c r="E1244" s="265"/>
      <c r="F1244" s="257"/>
      <c r="G1244" s="265"/>
      <c r="H1244" s="256"/>
      <c r="I1244" s="257"/>
      <c r="J1244" s="32"/>
      <c r="K1244" s="32"/>
      <c r="L1244" s="32"/>
      <c r="M1244" s="32"/>
      <c r="N1244" s="257"/>
      <c r="O1244" s="32"/>
      <c r="P1244" s="32"/>
      <c r="Q1244" s="32"/>
      <c r="R1244" s="32"/>
      <c r="S1244" s="32"/>
      <c r="T1244" s="264"/>
      <c r="U1244" s="16"/>
      <c r="V1244" s="16"/>
      <c r="W1244" s="16"/>
      <c r="X1244" s="32"/>
      <c r="Y1244" s="250"/>
    </row>
    <row r="1245">
      <c r="A1245" s="32"/>
      <c r="B1245" s="32"/>
      <c r="C1245" s="257"/>
      <c r="D1245" s="265"/>
      <c r="E1245" s="265"/>
      <c r="F1245" s="257"/>
      <c r="G1245" s="265"/>
      <c r="H1245" s="256"/>
      <c r="I1245" s="257"/>
      <c r="J1245" s="32"/>
      <c r="K1245" s="32"/>
      <c r="L1245" s="32"/>
      <c r="M1245" s="32"/>
      <c r="N1245" s="257"/>
      <c r="O1245" s="32"/>
      <c r="P1245" s="32"/>
      <c r="Q1245" s="32"/>
      <c r="R1245" s="32"/>
      <c r="S1245" s="32"/>
      <c r="T1245" s="264"/>
      <c r="U1245" s="16"/>
      <c r="V1245" s="16"/>
      <c r="W1245" s="16"/>
      <c r="X1245" s="32"/>
      <c r="Y1245" s="250"/>
    </row>
    <row r="1246">
      <c r="A1246" s="32"/>
      <c r="B1246" s="32"/>
      <c r="C1246" s="257"/>
      <c r="D1246" s="265"/>
      <c r="E1246" s="265"/>
      <c r="F1246" s="257"/>
      <c r="G1246" s="265"/>
      <c r="H1246" s="256"/>
      <c r="I1246" s="257"/>
      <c r="J1246" s="32"/>
      <c r="K1246" s="32"/>
      <c r="L1246" s="32"/>
      <c r="M1246" s="32"/>
      <c r="N1246" s="257"/>
      <c r="O1246" s="32"/>
      <c r="P1246" s="32"/>
      <c r="Q1246" s="32"/>
      <c r="R1246" s="32"/>
      <c r="S1246" s="32"/>
      <c r="T1246" s="264"/>
      <c r="U1246" s="16"/>
      <c r="V1246" s="16"/>
      <c r="W1246" s="16"/>
      <c r="X1246" s="32"/>
      <c r="Y1246" s="250"/>
    </row>
    <row r="1247">
      <c r="A1247" s="32"/>
      <c r="B1247" s="32"/>
      <c r="C1247" s="257"/>
      <c r="D1247" s="265"/>
      <c r="E1247" s="265"/>
      <c r="F1247" s="257"/>
      <c r="G1247" s="265"/>
      <c r="H1247" s="256"/>
      <c r="I1247" s="257"/>
      <c r="J1247" s="32"/>
      <c r="K1247" s="32"/>
      <c r="L1247" s="32"/>
      <c r="M1247" s="32"/>
      <c r="N1247" s="257"/>
      <c r="O1247" s="32"/>
      <c r="P1247" s="32"/>
      <c r="Q1247" s="32"/>
      <c r="R1247" s="32"/>
      <c r="S1247" s="32"/>
      <c r="T1247" s="264"/>
      <c r="U1247" s="16"/>
      <c r="V1247" s="16"/>
      <c r="W1247" s="16"/>
      <c r="X1247" s="32"/>
      <c r="Y1247" s="250"/>
    </row>
    <row r="1248">
      <c r="A1248" s="32"/>
      <c r="B1248" s="32"/>
      <c r="C1248" s="257"/>
      <c r="D1248" s="265"/>
      <c r="E1248" s="265"/>
      <c r="F1248" s="257"/>
      <c r="G1248" s="265"/>
      <c r="H1248" s="256"/>
      <c r="I1248" s="257"/>
      <c r="J1248" s="32"/>
      <c r="K1248" s="32"/>
      <c r="L1248" s="32"/>
      <c r="M1248" s="32"/>
      <c r="N1248" s="257"/>
      <c r="O1248" s="32"/>
      <c r="P1248" s="32"/>
      <c r="Q1248" s="32"/>
      <c r="R1248" s="32"/>
      <c r="S1248" s="32"/>
      <c r="T1248" s="264"/>
      <c r="U1248" s="16"/>
      <c r="V1248" s="16"/>
      <c r="W1248" s="16"/>
      <c r="X1248" s="32"/>
      <c r="Y1248" s="250"/>
    </row>
    <row r="1249">
      <c r="A1249" s="32"/>
      <c r="B1249" s="32"/>
      <c r="C1249" s="257"/>
      <c r="D1249" s="265"/>
      <c r="E1249" s="265"/>
      <c r="F1249" s="257"/>
      <c r="G1249" s="265"/>
      <c r="H1249" s="256"/>
      <c r="I1249" s="257"/>
      <c r="J1249" s="32"/>
      <c r="K1249" s="32"/>
      <c r="L1249" s="32"/>
      <c r="M1249" s="32"/>
      <c r="N1249" s="257"/>
      <c r="O1249" s="32"/>
      <c r="P1249" s="32"/>
      <c r="Q1249" s="32"/>
      <c r="R1249" s="32"/>
      <c r="S1249" s="32"/>
      <c r="T1249" s="264"/>
      <c r="U1249" s="16"/>
      <c r="V1249" s="16"/>
      <c r="W1249" s="16"/>
      <c r="X1249" s="32"/>
      <c r="Y1249" s="250"/>
    </row>
    <row r="1250">
      <c r="A1250" s="32"/>
      <c r="B1250" s="32"/>
      <c r="C1250" s="257"/>
      <c r="D1250" s="265"/>
      <c r="E1250" s="265"/>
      <c r="F1250" s="257"/>
      <c r="G1250" s="265"/>
      <c r="H1250" s="256"/>
      <c r="I1250" s="257"/>
      <c r="J1250" s="32"/>
      <c r="K1250" s="32"/>
      <c r="L1250" s="32"/>
      <c r="M1250" s="32"/>
      <c r="N1250" s="257"/>
      <c r="O1250" s="32"/>
      <c r="P1250" s="32"/>
      <c r="Q1250" s="32"/>
      <c r="R1250" s="32"/>
      <c r="S1250" s="32"/>
      <c r="T1250" s="264"/>
      <c r="U1250" s="16"/>
      <c r="V1250" s="16"/>
      <c r="W1250" s="16"/>
      <c r="X1250" s="32"/>
      <c r="Y1250" s="250"/>
    </row>
    <row r="1251">
      <c r="A1251" s="32"/>
      <c r="B1251" s="32"/>
      <c r="C1251" s="257"/>
      <c r="D1251" s="265"/>
      <c r="E1251" s="265"/>
      <c r="F1251" s="257"/>
      <c r="G1251" s="265"/>
      <c r="H1251" s="256"/>
      <c r="I1251" s="257"/>
      <c r="J1251" s="32"/>
      <c r="K1251" s="32"/>
      <c r="L1251" s="32"/>
      <c r="M1251" s="32"/>
      <c r="N1251" s="257"/>
      <c r="O1251" s="32"/>
      <c r="P1251" s="32"/>
      <c r="Q1251" s="32"/>
      <c r="R1251" s="32"/>
      <c r="S1251" s="32"/>
      <c r="T1251" s="264"/>
      <c r="U1251" s="16"/>
      <c r="V1251" s="16"/>
      <c r="W1251" s="16"/>
      <c r="X1251" s="32"/>
      <c r="Y1251" s="250"/>
    </row>
    <row r="1252">
      <c r="A1252" s="32"/>
      <c r="B1252" s="32"/>
      <c r="C1252" s="257"/>
      <c r="D1252" s="265"/>
      <c r="E1252" s="265"/>
      <c r="F1252" s="257"/>
      <c r="G1252" s="265"/>
      <c r="H1252" s="256"/>
      <c r="I1252" s="257"/>
      <c r="J1252" s="32"/>
      <c r="K1252" s="32"/>
      <c r="L1252" s="32"/>
      <c r="M1252" s="32"/>
      <c r="N1252" s="257"/>
      <c r="O1252" s="32"/>
      <c r="P1252" s="32"/>
      <c r="Q1252" s="32"/>
      <c r="R1252" s="32"/>
      <c r="S1252" s="32"/>
      <c r="T1252" s="264"/>
      <c r="U1252" s="16"/>
      <c r="V1252" s="16"/>
      <c r="W1252" s="16"/>
      <c r="X1252" s="32"/>
      <c r="Y1252" s="250"/>
    </row>
    <row r="1253">
      <c r="A1253" s="32"/>
      <c r="B1253" s="32"/>
      <c r="C1253" s="257"/>
      <c r="D1253" s="265"/>
      <c r="E1253" s="265"/>
      <c r="F1253" s="257"/>
      <c r="G1253" s="265"/>
      <c r="H1253" s="256"/>
      <c r="I1253" s="257"/>
      <c r="J1253" s="32"/>
      <c r="K1253" s="32"/>
      <c r="L1253" s="32"/>
      <c r="M1253" s="32"/>
      <c r="N1253" s="257"/>
      <c r="O1253" s="32"/>
      <c r="P1253" s="32"/>
      <c r="Q1253" s="32"/>
      <c r="R1253" s="32"/>
      <c r="S1253" s="32"/>
      <c r="T1253" s="264"/>
      <c r="U1253" s="16"/>
      <c r="V1253" s="16"/>
      <c r="W1253" s="16"/>
      <c r="X1253" s="32"/>
      <c r="Y1253" s="250"/>
    </row>
    <row r="1254">
      <c r="A1254" s="32"/>
      <c r="B1254" s="32"/>
      <c r="C1254" s="257"/>
      <c r="D1254" s="265"/>
      <c r="E1254" s="265"/>
      <c r="F1254" s="257"/>
      <c r="G1254" s="265"/>
      <c r="H1254" s="256"/>
      <c r="I1254" s="257"/>
      <c r="J1254" s="32"/>
      <c r="K1254" s="32"/>
      <c r="L1254" s="32"/>
      <c r="M1254" s="32"/>
      <c r="N1254" s="257"/>
      <c r="O1254" s="32"/>
      <c r="P1254" s="32"/>
      <c r="Q1254" s="32"/>
      <c r="R1254" s="32"/>
      <c r="S1254" s="32"/>
      <c r="T1254" s="264"/>
      <c r="U1254" s="16"/>
      <c r="V1254" s="16"/>
      <c r="W1254" s="16"/>
      <c r="X1254" s="32"/>
      <c r="Y1254" s="250"/>
    </row>
    <row r="1255">
      <c r="A1255" s="32"/>
      <c r="B1255" s="32"/>
      <c r="C1255" s="257"/>
      <c r="D1255" s="265"/>
      <c r="E1255" s="265"/>
      <c r="F1255" s="257"/>
      <c r="G1255" s="265"/>
      <c r="H1255" s="256"/>
      <c r="I1255" s="257"/>
      <c r="J1255" s="32"/>
      <c r="K1255" s="32"/>
      <c r="L1255" s="32"/>
      <c r="M1255" s="32"/>
      <c r="N1255" s="257"/>
      <c r="O1255" s="32"/>
      <c r="P1255" s="32"/>
      <c r="Q1255" s="32"/>
      <c r="R1255" s="32"/>
      <c r="S1255" s="32"/>
      <c r="T1255" s="264"/>
      <c r="U1255" s="16"/>
      <c r="V1255" s="16"/>
      <c r="W1255" s="16"/>
      <c r="X1255" s="32"/>
      <c r="Y1255" s="250"/>
    </row>
    <row r="1256">
      <c r="A1256" s="32"/>
      <c r="B1256" s="32"/>
      <c r="C1256" s="257"/>
      <c r="D1256" s="265"/>
      <c r="E1256" s="265"/>
      <c r="F1256" s="257"/>
      <c r="G1256" s="265"/>
      <c r="H1256" s="256"/>
      <c r="I1256" s="257"/>
      <c r="J1256" s="32"/>
      <c r="K1256" s="32"/>
      <c r="L1256" s="32"/>
      <c r="M1256" s="32"/>
      <c r="N1256" s="257"/>
      <c r="O1256" s="32"/>
      <c r="P1256" s="32"/>
      <c r="Q1256" s="32"/>
      <c r="R1256" s="32"/>
      <c r="S1256" s="32"/>
      <c r="T1256" s="264"/>
      <c r="U1256" s="16"/>
      <c r="V1256" s="16"/>
      <c r="W1256" s="16"/>
      <c r="X1256" s="32"/>
      <c r="Y1256" s="250"/>
    </row>
    <row r="1257">
      <c r="A1257" s="32"/>
      <c r="B1257" s="32"/>
      <c r="C1257" s="257"/>
      <c r="D1257" s="265"/>
      <c r="E1257" s="265"/>
      <c r="F1257" s="257"/>
      <c r="G1257" s="265"/>
      <c r="H1257" s="256"/>
      <c r="I1257" s="257"/>
      <c r="J1257" s="32"/>
      <c r="K1257" s="32"/>
      <c r="L1257" s="32"/>
      <c r="M1257" s="32"/>
      <c r="N1257" s="257"/>
      <c r="O1257" s="32"/>
      <c r="P1257" s="32"/>
      <c r="Q1257" s="32"/>
      <c r="R1257" s="32"/>
      <c r="S1257" s="32"/>
      <c r="T1257" s="264"/>
      <c r="U1257" s="16"/>
      <c r="V1257" s="16"/>
      <c r="W1257" s="16"/>
      <c r="X1257" s="32"/>
      <c r="Y1257" s="250"/>
    </row>
    <row r="1258">
      <c r="A1258" s="32"/>
      <c r="B1258" s="32"/>
      <c r="C1258" s="257"/>
      <c r="D1258" s="265"/>
      <c r="E1258" s="265"/>
      <c r="F1258" s="257"/>
      <c r="G1258" s="265"/>
      <c r="H1258" s="256"/>
      <c r="I1258" s="257"/>
      <c r="J1258" s="32"/>
      <c r="K1258" s="32"/>
      <c r="L1258" s="32"/>
      <c r="M1258" s="32"/>
      <c r="N1258" s="257"/>
      <c r="O1258" s="32"/>
      <c r="P1258" s="32"/>
      <c r="Q1258" s="32"/>
      <c r="R1258" s="32"/>
      <c r="S1258" s="32"/>
      <c r="T1258" s="264"/>
      <c r="U1258" s="16"/>
      <c r="V1258" s="16"/>
      <c r="W1258" s="16"/>
      <c r="X1258" s="32"/>
      <c r="Y1258" s="250"/>
    </row>
    <row r="1259">
      <c r="A1259" s="32"/>
      <c r="B1259" s="32"/>
      <c r="C1259" s="257"/>
      <c r="D1259" s="265"/>
      <c r="E1259" s="265"/>
      <c r="F1259" s="257"/>
      <c r="G1259" s="265"/>
      <c r="H1259" s="256"/>
      <c r="I1259" s="257"/>
      <c r="J1259" s="32"/>
      <c r="K1259" s="32"/>
      <c r="L1259" s="32"/>
      <c r="M1259" s="32"/>
      <c r="N1259" s="257"/>
      <c r="O1259" s="32"/>
      <c r="P1259" s="32"/>
      <c r="Q1259" s="32"/>
      <c r="R1259" s="32"/>
      <c r="S1259" s="32"/>
      <c r="T1259" s="264"/>
      <c r="U1259" s="16"/>
      <c r="V1259" s="16"/>
      <c r="W1259" s="16"/>
      <c r="X1259" s="32"/>
      <c r="Y1259" s="250"/>
    </row>
    <row r="1260">
      <c r="A1260" s="32"/>
      <c r="B1260" s="32"/>
      <c r="C1260" s="257"/>
      <c r="D1260" s="265"/>
      <c r="E1260" s="265"/>
      <c r="F1260" s="257"/>
      <c r="G1260" s="265"/>
      <c r="H1260" s="256"/>
      <c r="I1260" s="257"/>
      <c r="J1260" s="32"/>
      <c r="K1260" s="32"/>
      <c r="L1260" s="32"/>
      <c r="M1260" s="32"/>
      <c r="N1260" s="257"/>
      <c r="O1260" s="32"/>
      <c r="P1260" s="32"/>
      <c r="Q1260" s="32"/>
      <c r="R1260" s="32"/>
      <c r="S1260" s="32"/>
      <c r="T1260" s="264"/>
      <c r="U1260" s="16"/>
      <c r="V1260" s="16"/>
      <c r="W1260" s="16"/>
      <c r="X1260" s="32"/>
      <c r="Y1260" s="250"/>
    </row>
    <row r="1261">
      <c r="A1261" s="32"/>
      <c r="B1261" s="32"/>
      <c r="C1261" s="257"/>
      <c r="D1261" s="265"/>
      <c r="E1261" s="265"/>
      <c r="F1261" s="257"/>
      <c r="G1261" s="265"/>
      <c r="H1261" s="256"/>
      <c r="I1261" s="257"/>
      <c r="J1261" s="32"/>
      <c r="K1261" s="32"/>
      <c r="L1261" s="32"/>
      <c r="M1261" s="32"/>
      <c r="N1261" s="257"/>
      <c r="O1261" s="32"/>
      <c r="P1261" s="32"/>
      <c r="Q1261" s="32"/>
      <c r="R1261" s="32"/>
      <c r="S1261" s="32"/>
      <c r="T1261" s="264"/>
      <c r="U1261" s="16"/>
      <c r="V1261" s="16"/>
      <c r="W1261" s="16"/>
      <c r="X1261" s="32"/>
      <c r="Y1261" s="250"/>
    </row>
    <row r="1262">
      <c r="A1262" s="32"/>
      <c r="B1262" s="32"/>
      <c r="C1262" s="257"/>
      <c r="D1262" s="265"/>
      <c r="E1262" s="265"/>
      <c r="F1262" s="257"/>
      <c r="G1262" s="265"/>
      <c r="H1262" s="256"/>
      <c r="I1262" s="257"/>
      <c r="J1262" s="32"/>
      <c r="K1262" s="32"/>
      <c r="L1262" s="32"/>
      <c r="M1262" s="32"/>
      <c r="N1262" s="257"/>
      <c r="O1262" s="32"/>
      <c r="P1262" s="32"/>
      <c r="Q1262" s="32"/>
      <c r="R1262" s="32"/>
      <c r="S1262" s="32"/>
      <c r="T1262" s="264"/>
      <c r="U1262" s="16"/>
      <c r="V1262" s="16"/>
      <c r="W1262" s="16"/>
      <c r="X1262" s="32"/>
      <c r="Y1262" s="250"/>
    </row>
    <row r="1263">
      <c r="A1263" s="32"/>
      <c r="B1263" s="32"/>
      <c r="C1263" s="257"/>
      <c r="D1263" s="265"/>
      <c r="E1263" s="265"/>
      <c r="F1263" s="257"/>
      <c r="G1263" s="265"/>
      <c r="H1263" s="256"/>
      <c r="I1263" s="257"/>
      <c r="J1263" s="32"/>
      <c r="K1263" s="32"/>
      <c r="L1263" s="32"/>
      <c r="M1263" s="32"/>
      <c r="N1263" s="257"/>
      <c r="O1263" s="32"/>
      <c r="P1263" s="32"/>
      <c r="Q1263" s="32"/>
      <c r="R1263" s="32"/>
      <c r="S1263" s="32"/>
      <c r="T1263" s="264"/>
      <c r="U1263" s="16"/>
      <c r="V1263" s="16"/>
      <c r="W1263" s="16"/>
      <c r="X1263" s="32"/>
      <c r="Y1263" s="250"/>
    </row>
    <row r="1264">
      <c r="A1264" s="32"/>
      <c r="B1264" s="32"/>
      <c r="C1264" s="257"/>
      <c r="D1264" s="265"/>
      <c r="E1264" s="265"/>
      <c r="F1264" s="257"/>
      <c r="G1264" s="265"/>
      <c r="H1264" s="256"/>
      <c r="I1264" s="257"/>
      <c r="J1264" s="32"/>
      <c r="K1264" s="32"/>
      <c r="L1264" s="32"/>
      <c r="M1264" s="32"/>
      <c r="N1264" s="257"/>
      <c r="O1264" s="32"/>
      <c r="P1264" s="32"/>
      <c r="Q1264" s="32"/>
      <c r="R1264" s="32"/>
      <c r="S1264" s="32"/>
      <c r="T1264" s="264"/>
      <c r="U1264" s="16"/>
      <c r="V1264" s="16"/>
      <c r="W1264" s="16"/>
      <c r="X1264" s="32"/>
      <c r="Y1264" s="250"/>
    </row>
    <row r="1265">
      <c r="A1265" s="32"/>
      <c r="B1265" s="32"/>
      <c r="C1265" s="257"/>
      <c r="D1265" s="265"/>
      <c r="E1265" s="265"/>
      <c r="F1265" s="257"/>
      <c r="G1265" s="265"/>
      <c r="H1265" s="256"/>
      <c r="I1265" s="257"/>
      <c r="J1265" s="32"/>
      <c r="K1265" s="32"/>
      <c r="L1265" s="32"/>
      <c r="M1265" s="32"/>
      <c r="N1265" s="257"/>
      <c r="O1265" s="32"/>
      <c r="P1265" s="32"/>
      <c r="Q1265" s="32"/>
      <c r="R1265" s="32"/>
      <c r="S1265" s="32"/>
      <c r="T1265" s="264"/>
      <c r="U1265" s="16"/>
      <c r="V1265" s="16"/>
      <c r="W1265" s="16"/>
      <c r="X1265" s="32"/>
      <c r="Y1265" s="250"/>
    </row>
    <row r="1266">
      <c r="A1266" s="32"/>
      <c r="B1266" s="32"/>
      <c r="C1266" s="257"/>
      <c r="D1266" s="265"/>
      <c r="E1266" s="265"/>
      <c r="F1266" s="257"/>
      <c r="G1266" s="265"/>
      <c r="H1266" s="256"/>
      <c r="I1266" s="257"/>
      <c r="J1266" s="32"/>
      <c r="K1266" s="32"/>
      <c r="L1266" s="32"/>
      <c r="M1266" s="32"/>
      <c r="N1266" s="257"/>
      <c r="O1266" s="32"/>
      <c r="P1266" s="32"/>
      <c r="Q1266" s="32"/>
      <c r="R1266" s="32"/>
      <c r="S1266" s="32"/>
      <c r="T1266" s="264"/>
      <c r="U1266" s="16"/>
      <c r="V1266" s="16"/>
      <c r="W1266" s="16"/>
      <c r="X1266" s="32"/>
      <c r="Y1266" s="250"/>
    </row>
    <row r="1267">
      <c r="A1267" s="32"/>
      <c r="B1267" s="32"/>
      <c r="C1267" s="257"/>
      <c r="D1267" s="265"/>
      <c r="E1267" s="265"/>
      <c r="F1267" s="257"/>
      <c r="G1267" s="265"/>
      <c r="H1267" s="256"/>
      <c r="I1267" s="257"/>
      <c r="J1267" s="32"/>
      <c r="K1267" s="32"/>
      <c r="L1267" s="32"/>
      <c r="M1267" s="32"/>
      <c r="N1267" s="257"/>
      <c r="O1267" s="32"/>
      <c r="P1267" s="32"/>
      <c r="Q1267" s="32"/>
      <c r="R1267" s="32"/>
      <c r="S1267" s="32"/>
      <c r="T1267" s="264"/>
      <c r="U1267" s="16"/>
      <c r="V1267" s="16"/>
      <c r="W1267" s="16"/>
      <c r="X1267" s="32"/>
      <c r="Y1267" s="250"/>
    </row>
    <row r="1268">
      <c r="A1268" s="32"/>
      <c r="B1268" s="32"/>
      <c r="C1268" s="257"/>
      <c r="D1268" s="265"/>
      <c r="E1268" s="265"/>
      <c r="F1268" s="257"/>
      <c r="G1268" s="265"/>
      <c r="H1268" s="256"/>
      <c r="I1268" s="257"/>
      <c r="J1268" s="32"/>
      <c r="K1268" s="32"/>
      <c r="L1268" s="32"/>
      <c r="M1268" s="32"/>
      <c r="N1268" s="257"/>
      <c r="O1268" s="32"/>
      <c r="P1268" s="32"/>
      <c r="Q1268" s="32"/>
      <c r="R1268" s="32"/>
      <c r="S1268" s="32"/>
      <c r="T1268" s="264"/>
      <c r="U1268" s="16"/>
      <c r="V1268" s="16"/>
      <c r="W1268" s="16"/>
      <c r="X1268" s="32"/>
      <c r="Y1268" s="250"/>
    </row>
    <row r="1269">
      <c r="A1269" s="32"/>
      <c r="B1269" s="32"/>
      <c r="C1269" s="257"/>
      <c r="D1269" s="265"/>
      <c r="E1269" s="265"/>
      <c r="F1269" s="257"/>
      <c r="G1269" s="265"/>
      <c r="H1269" s="256"/>
      <c r="I1269" s="257"/>
      <c r="J1269" s="32"/>
      <c r="K1269" s="32"/>
      <c r="L1269" s="32"/>
      <c r="M1269" s="32"/>
      <c r="N1269" s="257"/>
      <c r="O1269" s="32"/>
      <c r="P1269" s="32"/>
      <c r="Q1269" s="32"/>
      <c r="R1269" s="32"/>
      <c r="S1269" s="32"/>
      <c r="T1269" s="264"/>
      <c r="U1269" s="16"/>
      <c r="V1269" s="16"/>
      <c r="W1269" s="16"/>
      <c r="X1269" s="32"/>
      <c r="Y1269" s="250"/>
    </row>
    <row r="1270">
      <c r="A1270" s="32"/>
      <c r="B1270" s="32"/>
      <c r="C1270" s="257"/>
      <c r="D1270" s="265"/>
      <c r="E1270" s="265"/>
      <c r="F1270" s="257"/>
      <c r="G1270" s="265"/>
      <c r="H1270" s="256"/>
      <c r="I1270" s="257"/>
      <c r="J1270" s="32"/>
      <c r="K1270" s="32"/>
      <c r="L1270" s="32"/>
      <c r="M1270" s="32"/>
      <c r="N1270" s="257"/>
      <c r="O1270" s="32"/>
      <c r="P1270" s="32"/>
      <c r="Q1270" s="32"/>
      <c r="R1270" s="32"/>
      <c r="S1270" s="32"/>
      <c r="T1270" s="264"/>
      <c r="U1270" s="16"/>
      <c r="V1270" s="16"/>
      <c r="W1270" s="16"/>
      <c r="X1270" s="32"/>
      <c r="Y1270" s="250"/>
    </row>
    <row r="1271">
      <c r="A1271" s="32"/>
      <c r="B1271" s="32"/>
      <c r="C1271" s="257"/>
      <c r="D1271" s="265"/>
      <c r="E1271" s="265"/>
      <c r="F1271" s="257"/>
      <c r="G1271" s="265"/>
      <c r="H1271" s="256"/>
      <c r="I1271" s="257"/>
      <c r="J1271" s="32"/>
      <c r="K1271" s="32"/>
      <c r="L1271" s="32"/>
      <c r="M1271" s="32"/>
      <c r="N1271" s="257"/>
      <c r="O1271" s="32"/>
      <c r="P1271" s="32"/>
      <c r="Q1271" s="32"/>
      <c r="R1271" s="32"/>
      <c r="S1271" s="32"/>
      <c r="T1271" s="264"/>
      <c r="U1271" s="16"/>
      <c r="V1271" s="16"/>
      <c r="W1271" s="16"/>
      <c r="X1271" s="32"/>
      <c r="Y1271" s="250"/>
    </row>
    <row r="1272">
      <c r="A1272" s="32"/>
      <c r="B1272" s="32"/>
      <c r="C1272" s="257"/>
      <c r="D1272" s="265"/>
      <c r="E1272" s="265"/>
      <c r="F1272" s="257"/>
      <c r="G1272" s="265"/>
      <c r="H1272" s="256"/>
      <c r="I1272" s="257"/>
      <c r="J1272" s="32"/>
      <c r="K1272" s="32"/>
      <c r="L1272" s="32"/>
      <c r="M1272" s="32"/>
      <c r="N1272" s="257"/>
      <c r="O1272" s="32"/>
      <c r="P1272" s="32"/>
      <c r="Q1272" s="32"/>
      <c r="R1272" s="32"/>
      <c r="S1272" s="32"/>
      <c r="T1272" s="264"/>
      <c r="U1272" s="16"/>
      <c r="V1272" s="16"/>
      <c r="W1272" s="16"/>
      <c r="X1272" s="32"/>
      <c r="Y1272" s="250"/>
    </row>
    <row r="1273">
      <c r="A1273" s="32"/>
      <c r="B1273" s="32"/>
      <c r="C1273" s="257"/>
      <c r="D1273" s="265"/>
      <c r="E1273" s="265"/>
      <c r="F1273" s="257"/>
      <c r="G1273" s="265"/>
      <c r="H1273" s="256"/>
      <c r="I1273" s="257"/>
      <c r="J1273" s="32"/>
      <c r="K1273" s="32"/>
      <c r="L1273" s="32"/>
      <c r="M1273" s="32"/>
      <c r="N1273" s="257"/>
      <c r="O1273" s="32"/>
      <c r="P1273" s="32"/>
      <c r="Q1273" s="32"/>
      <c r="R1273" s="32"/>
      <c r="S1273" s="32"/>
      <c r="T1273" s="264"/>
      <c r="U1273" s="16"/>
      <c r="V1273" s="16"/>
      <c r="W1273" s="16"/>
      <c r="X1273" s="32"/>
      <c r="Y1273" s="250"/>
    </row>
    <row r="1274">
      <c r="A1274" s="32"/>
      <c r="B1274" s="32"/>
      <c r="C1274" s="257"/>
      <c r="D1274" s="265"/>
      <c r="E1274" s="265"/>
      <c r="F1274" s="257"/>
      <c r="G1274" s="265"/>
      <c r="H1274" s="256"/>
      <c r="I1274" s="257"/>
      <c r="J1274" s="32"/>
      <c r="K1274" s="32"/>
      <c r="L1274" s="32"/>
      <c r="M1274" s="32"/>
      <c r="N1274" s="257"/>
      <c r="O1274" s="32"/>
      <c r="P1274" s="32"/>
      <c r="Q1274" s="32"/>
      <c r="R1274" s="32"/>
      <c r="S1274" s="32"/>
      <c r="T1274" s="264"/>
      <c r="U1274" s="16"/>
      <c r="V1274" s="16"/>
      <c r="W1274" s="16"/>
      <c r="X1274" s="32"/>
      <c r="Y1274" s="250"/>
    </row>
    <row r="1275">
      <c r="A1275" s="32"/>
      <c r="B1275" s="32"/>
      <c r="C1275" s="257"/>
      <c r="D1275" s="265"/>
      <c r="E1275" s="265"/>
      <c r="F1275" s="257"/>
      <c r="G1275" s="265"/>
      <c r="H1275" s="256"/>
      <c r="I1275" s="257"/>
      <c r="J1275" s="32"/>
      <c r="K1275" s="32"/>
      <c r="L1275" s="32"/>
      <c r="M1275" s="32"/>
      <c r="N1275" s="257"/>
      <c r="O1275" s="32"/>
      <c r="P1275" s="32"/>
      <c r="Q1275" s="32"/>
      <c r="R1275" s="32"/>
      <c r="S1275" s="32"/>
      <c r="T1275" s="264"/>
      <c r="U1275" s="16"/>
      <c r="V1275" s="16"/>
      <c r="W1275" s="16"/>
      <c r="X1275" s="32"/>
      <c r="Y1275" s="250"/>
    </row>
    <row r="1276">
      <c r="A1276" s="32"/>
      <c r="B1276" s="32"/>
      <c r="C1276" s="257"/>
      <c r="D1276" s="265"/>
      <c r="E1276" s="265"/>
      <c r="F1276" s="257"/>
      <c r="G1276" s="265"/>
      <c r="H1276" s="256"/>
      <c r="I1276" s="257"/>
      <c r="J1276" s="32"/>
      <c r="K1276" s="32"/>
      <c r="L1276" s="32"/>
      <c r="M1276" s="32"/>
      <c r="N1276" s="257"/>
      <c r="O1276" s="32"/>
      <c r="P1276" s="32"/>
      <c r="Q1276" s="32"/>
      <c r="R1276" s="32"/>
      <c r="S1276" s="32"/>
      <c r="T1276" s="264"/>
      <c r="U1276" s="16"/>
      <c r="V1276" s="16"/>
      <c r="W1276" s="16"/>
      <c r="X1276" s="32"/>
      <c r="Y1276" s="250"/>
    </row>
    <row r="1277">
      <c r="A1277" s="32"/>
      <c r="B1277" s="32"/>
      <c r="C1277" s="257"/>
      <c r="D1277" s="265"/>
      <c r="E1277" s="265"/>
      <c r="F1277" s="257"/>
      <c r="G1277" s="265"/>
      <c r="H1277" s="256"/>
      <c r="I1277" s="257"/>
      <c r="J1277" s="32"/>
      <c r="K1277" s="32"/>
      <c r="L1277" s="32"/>
      <c r="M1277" s="32"/>
      <c r="N1277" s="257"/>
      <c r="O1277" s="32"/>
      <c r="P1277" s="32"/>
      <c r="Q1277" s="32"/>
      <c r="R1277" s="32"/>
      <c r="S1277" s="32"/>
      <c r="T1277" s="264"/>
      <c r="U1277" s="16"/>
      <c r="V1277" s="16"/>
      <c r="W1277" s="16"/>
      <c r="X1277" s="32"/>
      <c r="Y1277" s="250"/>
    </row>
    <row r="1278">
      <c r="A1278" s="32"/>
      <c r="B1278" s="32"/>
      <c r="C1278" s="257"/>
      <c r="D1278" s="265"/>
      <c r="E1278" s="265"/>
      <c r="F1278" s="257"/>
      <c r="G1278" s="265"/>
      <c r="H1278" s="256"/>
      <c r="I1278" s="257"/>
      <c r="J1278" s="32"/>
      <c r="K1278" s="32"/>
      <c r="L1278" s="32"/>
      <c r="M1278" s="32"/>
      <c r="N1278" s="257"/>
      <c r="O1278" s="32"/>
      <c r="P1278" s="32"/>
      <c r="Q1278" s="32"/>
      <c r="R1278" s="32"/>
      <c r="S1278" s="32"/>
      <c r="T1278" s="264"/>
      <c r="U1278" s="16"/>
      <c r="V1278" s="16"/>
      <c r="W1278" s="16"/>
      <c r="X1278" s="32"/>
      <c r="Y1278" s="250"/>
    </row>
    <row r="1279">
      <c r="A1279" s="32"/>
      <c r="B1279" s="32"/>
      <c r="C1279" s="257"/>
      <c r="D1279" s="265"/>
      <c r="E1279" s="265"/>
      <c r="F1279" s="257"/>
      <c r="G1279" s="265"/>
      <c r="H1279" s="256"/>
      <c r="I1279" s="257"/>
      <c r="J1279" s="32"/>
      <c r="K1279" s="32"/>
      <c r="L1279" s="32"/>
      <c r="M1279" s="32"/>
      <c r="N1279" s="257"/>
      <c r="O1279" s="32"/>
      <c r="P1279" s="32"/>
      <c r="Q1279" s="32"/>
      <c r="R1279" s="32"/>
      <c r="S1279" s="32"/>
      <c r="T1279" s="264"/>
      <c r="U1279" s="16"/>
      <c r="V1279" s="16"/>
      <c r="W1279" s="16"/>
      <c r="X1279" s="32"/>
      <c r="Y1279" s="250"/>
    </row>
    <row r="1280">
      <c r="A1280" s="32"/>
      <c r="B1280" s="32"/>
      <c r="C1280" s="257"/>
      <c r="D1280" s="265"/>
      <c r="E1280" s="265"/>
      <c r="F1280" s="257"/>
      <c r="G1280" s="265"/>
      <c r="H1280" s="256"/>
      <c r="I1280" s="257"/>
      <c r="J1280" s="32"/>
      <c r="K1280" s="32"/>
      <c r="L1280" s="32"/>
      <c r="M1280" s="32"/>
      <c r="N1280" s="257"/>
      <c r="O1280" s="32"/>
      <c r="P1280" s="32"/>
      <c r="Q1280" s="32"/>
      <c r="R1280" s="32"/>
      <c r="S1280" s="32"/>
      <c r="T1280" s="264"/>
      <c r="U1280" s="16"/>
      <c r="V1280" s="16"/>
      <c r="W1280" s="16"/>
      <c r="X1280" s="32"/>
      <c r="Y1280" s="250"/>
    </row>
    <row r="1281">
      <c r="A1281" s="32"/>
      <c r="B1281" s="32"/>
      <c r="C1281" s="257"/>
      <c r="D1281" s="265"/>
      <c r="E1281" s="265"/>
      <c r="F1281" s="257"/>
      <c r="G1281" s="265"/>
      <c r="H1281" s="256"/>
      <c r="I1281" s="257"/>
      <c r="J1281" s="32"/>
      <c r="K1281" s="32"/>
      <c r="L1281" s="32"/>
      <c r="M1281" s="32"/>
      <c r="N1281" s="257"/>
      <c r="O1281" s="32"/>
      <c r="P1281" s="32"/>
      <c r="Q1281" s="32"/>
      <c r="R1281" s="32"/>
      <c r="S1281" s="32"/>
      <c r="T1281" s="264"/>
      <c r="U1281" s="16"/>
      <c r="V1281" s="16"/>
      <c r="W1281" s="16"/>
      <c r="X1281" s="32"/>
      <c r="Y1281" s="250"/>
    </row>
    <row r="1282">
      <c r="A1282" s="32"/>
      <c r="B1282" s="32"/>
      <c r="C1282" s="257"/>
      <c r="D1282" s="265"/>
      <c r="E1282" s="265"/>
      <c r="F1282" s="257"/>
      <c r="G1282" s="265"/>
      <c r="H1282" s="256"/>
      <c r="I1282" s="257"/>
      <c r="J1282" s="32"/>
      <c r="K1282" s="32"/>
      <c r="L1282" s="32"/>
      <c r="M1282" s="32"/>
      <c r="N1282" s="257"/>
      <c r="O1282" s="32"/>
      <c r="P1282" s="32"/>
      <c r="Q1282" s="32"/>
      <c r="R1282" s="32"/>
      <c r="S1282" s="32"/>
      <c r="T1282" s="264"/>
      <c r="U1282" s="16"/>
      <c r="V1282" s="16"/>
      <c r="W1282" s="16"/>
      <c r="X1282" s="32"/>
      <c r="Y1282" s="250"/>
    </row>
    <row r="1283">
      <c r="A1283" s="32"/>
      <c r="B1283" s="32"/>
      <c r="C1283" s="257"/>
      <c r="D1283" s="265"/>
      <c r="E1283" s="265"/>
      <c r="F1283" s="257"/>
      <c r="G1283" s="265"/>
      <c r="H1283" s="256"/>
      <c r="I1283" s="257"/>
      <c r="J1283" s="32"/>
      <c r="K1283" s="32"/>
      <c r="L1283" s="32"/>
      <c r="M1283" s="32"/>
      <c r="N1283" s="257"/>
      <c r="O1283" s="32"/>
      <c r="P1283" s="32"/>
      <c r="Q1283" s="32"/>
      <c r="R1283" s="32"/>
      <c r="S1283" s="32"/>
      <c r="T1283" s="264"/>
      <c r="U1283" s="16"/>
      <c r="V1283" s="16"/>
      <c r="W1283" s="16"/>
      <c r="X1283" s="32"/>
      <c r="Y1283" s="250"/>
    </row>
    <row r="1284">
      <c r="A1284" s="32"/>
      <c r="B1284" s="32"/>
      <c r="C1284" s="257"/>
      <c r="D1284" s="265"/>
      <c r="E1284" s="265"/>
      <c r="F1284" s="257"/>
      <c r="G1284" s="265"/>
      <c r="H1284" s="256"/>
      <c r="I1284" s="257"/>
      <c r="J1284" s="32"/>
      <c r="K1284" s="32"/>
      <c r="L1284" s="32"/>
      <c r="M1284" s="32"/>
      <c r="N1284" s="257"/>
      <c r="O1284" s="32"/>
      <c r="P1284" s="32"/>
      <c r="Q1284" s="32"/>
      <c r="R1284" s="32"/>
      <c r="S1284" s="32"/>
      <c r="T1284" s="264"/>
      <c r="U1284" s="16"/>
      <c r="V1284" s="16"/>
      <c r="W1284" s="16"/>
      <c r="X1284" s="32"/>
      <c r="Y1284" s="250"/>
    </row>
    <row r="1285">
      <c r="A1285" s="32"/>
      <c r="B1285" s="32"/>
      <c r="C1285" s="257"/>
      <c r="D1285" s="265"/>
      <c r="E1285" s="265"/>
      <c r="F1285" s="257"/>
      <c r="G1285" s="265"/>
      <c r="H1285" s="256"/>
      <c r="I1285" s="257"/>
      <c r="J1285" s="32"/>
      <c r="K1285" s="32"/>
      <c r="L1285" s="32"/>
      <c r="M1285" s="32"/>
      <c r="N1285" s="257"/>
      <c r="O1285" s="32"/>
      <c r="P1285" s="32"/>
      <c r="Q1285" s="32"/>
      <c r="R1285" s="32"/>
      <c r="S1285" s="32"/>
      <c r="T1285" s="264"/>
      <c r="U1285" s="16"/>
      <c r="V1285" s="16"/>
      <c r="W1285" s="16"/>
      <c r="X1285" s="32"/>
      <c r="Y1285" s="250"/>
    </row>
    <row r="1286">
      <c r="A1286" s="32"/>
      <c r="B1286" s="32"/>
      <c r="C1286" s="257"/>
      <c r="D1286" s="265"/>
      <c r="E1286" s="265"/>
      <c r="F1286" s="257"/>
      <c r="G1286" s="265"/>
      <c r="H1286" s="256"/>
      <c r="I1286" s="257"/>
      <c r="J1286" s="32"/>
      <c r="K1286" s="32"/>
      <c r="L1286" s="32"/>
      <c r="M1286" s="32"/>
      <c r="N1286" s="257"/>
      <c r="O1286" s="32"/>
      <c r="P1286" s="32"/>
      <c r="Q1286" s="32"/>
      <c r="R1286" s="32"/>
      <c r="S1286" s="32"/>
      <c r="T1286" s="264"/>
      <c r="U1286" s="16"/>
      <c r="V1286" s="16"/>
      <c r="W1286" s="16"/>
      <c r="X1286" s="32"/>
      <c r="Y1286" s="250"/>
    </row>
    <row r="1287">
      <c r="A1287" s="32"/>
      <c r="B1287" s="32"/>
      <c r="C1287" s="257"/>
      <c r="D1287" s="265"/>
      <c r="E1287" s="265"/>
      <c r="F1287" s="257"/>
      <c r="G1287" s="265"/>
      <c r="H1287" s="256"/>
      <c r="I1287" s="257"/>
      <c r="J1287" s="32"/>
      <c r="K1287" s="32"/>
      <c r="L1287" s="32"/>
      <c r="M1287" s="32"/>
      <c r="N1287" s="257"/>
      <c r="O1287" s="32"/>
      <c r="P1287" s="32"/>
      <c r="Q1287" s="32"/>
      <c r="R1287" s="32"/>
      <c r="S1287" s="32"/>
      <c r="T1287" s="264"/>
      <c r="U1287" s="16"/>
      <c r="V1287" s="16"/>
      <c r="W1287" s="16"/>
      <c r="X1287" s="32"/>
      <c r="Y1287" s="250"/>
    </row>
    <row r="1288">
      <c r="A1288" s="32"/>
      <c r="B1288" s="32"/>
      <c r="C1288" s="257"/>
      <c r="D1288" s="265"/>
      <c r="E1288" s="265"/>
      <c r="F1288" s="257"/>
      <c r="G1288" s="265"/>
      <c r="H1288" s="256"/>
      <c r="I1288" s="257"/>
      <c r="J1288" s="32"/>
      <c r="K1288" s="32"/>
      <c r="L1288" s="32"/>
      <c r="M1288" s="32"/>
      <c r="N1288" s="257"/>
      <c r="O1288" s="32"/>
      <c r="P1288" s="32"/>
      <c r="Q1288" s="32"/>
      <c r="R1288" s="32"/>
      <c r="S1288" s="32"/>
      <c r="T1288" s="264"/>
      <c r="U1288" s="16"/>
      <c r="V1288" s="16"/>
      <c r="W1288" s="16"/>
      <c r="X1288" s="32"/>
      <c r="Y1288" s="250"/>
    </row>
    <row r="1289">
      <c r="A1289" s="32"/>
      <c r="B1289" s="32"/>
      <c r="C1289" s="257"/>
      <c r="D1289" s="265"/>
      <c r="E1289" s="265"/>
      <c r="F1289" s="257"/>
      <c r="G1289" s="265"/>
      <c r="H1289" s="256"/>
      <c r="I1289" s="257"/>
      <c r="J1289" s="32"/>
      <c r="K1289" s="32"/>
      <c r="L1289" s="32"/>
      <c r="M1289" s="32"/>
      <c r="N1289" s="257"/>
      <c r="O1289" s="32"/>
      <c r="P1289" s="32"/>
      <c r="Q1289" s="32"/>
      <c r="R1289" s="32"/>
      <c r="S1289" s="32"/>
      <c r="T1289" s="264"/>
      <c r="U1289" s="16"/>
      <c r="V1289" s="16"/>
      <c r="W1289" s="16"/>
      <c r="X1289" s="32"/>
      <c r="Y1289" s="250"/>
    </row>
    <row r="1290">
      <c r="A1290" s="32"/>
      <c r="B1290" s="32"/>
      <c r="C1290" s="257"/>
      <c r="D1290" s="265"/>
      <c r="E1290" s="265"/>
      <c r="F1290" s="257"/>
      <c r="G1290" s="265"/>
      <c r="H1290" s="256"/>
      <c r="I1290" s="257"/>
      <c r="J1290" s="32"/>
      <c r="K1290" s="32"/>
      <c r="L1290" s="32"/>
      <c r="M1290" s="32"/>
      <c r="N1290" s="257"/>
      <c r="O1290" s="32"/>
      <c r="P1290" s="32"/>
      <c r="Q1290" s="32"/>
      <c r="R1290" s="32"/>
      <c r="S1290" s="32"/>
      <c r="T1290" s="264"/>
      <c r="U1290" s="16"/>
      <c r="V1290" s="16"/>
      <c r="W1290" s="16"/>
      <c r="X1290" s="32"/>
      <c r="Y1290" s="250"/>
    </row>
    <row r="1291">
      <c r="A1291" s="32"/>
      <c r="B1291" s="32"/>
      <c r="C1291" s="257"/>
      <c r="D1291" s="265"/>
      <c r="E1291" s="265"/>
      <c r="F1291" s="257"/>
      <c r="G1291" s="265"/>
      <c r="H1291" s="256"/>
      <c r="I1291" s="257"/>
      <c r="J1291" s="32"/>
      <c r="K1291" s="32"/>
      <c r="L1291" s="32"/>
      <c r="M1291" s="32"/>
      <c r="N1291" s="257"/>
      <c r="O1291" s="32"/>
      <c r="P1291" s="32"/>
      <c r="Q1291" s="32"/>
      <c r="R1291" s="32"/>
      <c r="S1291" s="32"/>
      <c r="T1291" s="264"/>
      <c r="U1291" s="16"/>
      <c r="V1291" s="16"/>
      <c r="W1291" s="16"/>
      <c r="X1291" s="32"/>
      <c r="Y1291" s="250"/>
    </row>
    <row r="1292">
      <c r="A1292" s="32"/>
      <c r="B1292" s="32"/>
      <c r="C1292" s="257"/>
      <c r="D1292" s="265"/>
      <c r="E1292" s="265"/>
      <c r="F1292" s="257"/>
      <c r="G1292" s="265"/>
      <c r="H1292" s="256"/>
      <c r="I1292" s="257"/>
      <c r="J1292" s="32"/>
      <c r="K1292" s="32"/>
      <c r="L1292" s="32"/>
      <c r="M1292" s="32"/>
      <c r="N1292" s="257"/>
      <c r="O1292" s="32"/>
      <c r="P1292" s="32"/>
      <c r="Q1292" s="32"/>
      <c r="R1292" s="32"/>
      <c r="S1292" s="32"/>
      <c r="T1292" s="264"/>
      <c r="U1292" s="16"/>
      <c r="V1292" s="16"/>
      <c r="W1292" s="16"/>
      <c r="X1292" s="32"/>
      <c r="Y1292" s="250"/>
    </row>
    <row r="1293">
      <c r="A1293" s="32"/>
      <c r="B1293" s="32"/>
      <c r="C1293" s="257"/>
      <c r="D1293" s="265"/>
      <c r="E1293" s="265"/>
      <c r="F1293" s="257"/>
      <c r="G1293" s="265"/>
      <c r="H1293" s="256"/>
      <c r="I1293" s="257"/>
      <c r="J1293" s="32"/>
      <c r="K1293" s="32"/>
      <c r="L1293" s="32"/>
      <c r="M1293" s="32"/>
      <c r="N1293" s="257"/>
      <c r="O1293" s="32"/>
      <c r="P1293" s="32"/>
      <c r="Q1293" s="32"/>
      <c r="R1293" s="32"/>
      <c r="S1293" s="32"/>
      <c r="T1293" s="264"/>
      <c r="U1293" s="16"/>
      <c r="V1293" s="16"/>
      <c r="W1293" s="16"/>
      <c r="X1293" s="32"/>
      <c r="Y1293" s="250"/>
    </row>
    <row r="1294">
      <c r="A1294" s="32"/>
      <c r="B1294" s="32"/>
      <c r="C1294" s="257"/>
      <c r="D1294" s="265"/>
      <c r="E1294" s="265"/>
      <c r="F1294" s="257"/>
      <c r="G1294" s="265"/>
      <c r="H1294" s="256"/>
      <c r="I1294" s="257"/>
      <c r="J1294" s="32"/>
      <c r="K1294" s="32"/>
      <c r="L1294" s="32"/>
      <c r="M1294" s="32"/>
      <c r="N1294" s="257"/>
      <c r="O1294" s="32"/>
      <c r="P1294" s="32"/>
      <c r="Q1294" s="32"/>
      <c r="R1294" s="32"/>
      <c r="S1294" s="32"/>
      <c r="T1294" s="264"/>
      <c r="U1294" s="16"/>
      <c r="V1294" s="16"/>
      <c r="W1294" s="16"/>
      <c r="X1294" s="32"/>
      <c r="Y1294" s="250"/>
    </row>
    <row r="1295">
      <c r="A1295" s="32"/>
      <c r="B1295" s="32"/>
      <c r="C1295" s="257"/>
      <c r="D1295" s="265"/>
      <c r="E1295" s="265"/>
      <c r="F1295" s="257"/>
      <c r="G1295" s="265"/>
      <c r="H1295" s="256"/>
      <c r="I1295" s="257"/>
      <c r="J1295" s="32"/>
      <c r="K1295" s="32"/>
      <c r="L1295" s="32"/>
      <c r="M1295" s="32"/>
      <c r="N1295" s="257"/>
      <c r="O1295" s="32"/>
      <c r="P1295" s="32"/>
      <c r="Q1295" s="32"/>
      <c r="R1295" s="32"/>
      <c r="S1295" s="32"/>
      <c r="T1295" s="264"/>
      <c r="U1295" s="16"/>
      <c r="V1295" s="16"/>
      <c r="W1295" s="16"/>
      <c r="X1295" s="32"/>
      <c r="Y1295" s="250"/>
    </row>
    <row r="1296">
      <c r="A1296" s="32"/>
      <c r="B1296" s="32"/>
      <c r="C1296" s="257"/>
      <c r="D1296" s="265"/>
      <c r="E1296" s="265"/>
      <c r="F1296" s="257"/>
      <c r="G1296" s="265"/>
      <c r="H1296" s="256"/>
      <c r="I1296" s="257"/>
      <c r="J1296" s="32"/>
      <c r="K1296" s="32"/>
      <c r="L1296" s="32"/>
      <c r="M1296" s="32"/>
      <c r="N1296" s="257"/>
      <c r="O1296" s="32"/>
      <c r="P1296" s="32"/>
      <c r="Q1296" s="32"/>
      <c r="R1296" s="32"/>
      <c r="S1296" s="32"/>
      <c r="T1296" s="264"/>
      <c r="U1296" s="16"/>
      <c r="V1296" s="16"/>
      <c r="W1296" s="16"/>
      <c r="X1296" s="32"/>
      <c r="Y1296" s="250"/>
    </row>
    <row r="1297">
      <c r="A1297" s="32"/>
      <c r="B1297" s="32"/>
      <c r="C1297" s="257"/>
      <c r="D1297" s="265"/>
      <c r="E1297" s="265"/>
      <c r="F1297" s="257"/>
      <c r="G1297" s="265"/>
      <c r="H1297" s="256"/>
      <c r="I1297" s="257"/>
      <c r="J1297" s="32"/>
      <c r="K1297" s="32"/>
      <c r="L1297" s="32"/>
      <c r="M1297" s="32"/>
      <c r="N1297" s="257"/>
      <c r="O1297" s="32"/>
      <c r="P1297" s="32"/>
      <c r="Q1297" s="32"/>
      <c r="R1297" s="32"/>
      <c r="S1297" s="32"/>
      <c r="T1297" s="264"/>
      <c r="U1297" s="16"/>
      <c r="V1297" s="16"/>
      <c r="W1297" s="16"/>
      <c r="X1297" s="32"/>
      <c r="Y1297" s="250"/>
    </row>
    <row r="1298">
      <c r="A1298" s="32"/>
      <c r="B1298" s="32"/>
      <c r="C1298" s="257"/>
      <c r="D1298" s="265"/>
      <c r="E1298" s="265"/>
      <c r="F1298" s="257"/>
      <c r="G1298" s="265"/>
      <c r="H1298" s="256"/>
      <c r="I1298" s="257"/>
      <c r="J1298" s="32"/>
      <c r="K1298" s="32"/>
      <c r="L1298" s="32"/>
      <c r="M1298" s="32"/>
      <c r="N1298" s="257"/>
      <c r="O1298" s="32"/>
      <c r="P1298" s="32"/>
      <c r="Q1298" s="32"/>
      <c r="R1298" s="32"/>
      <c r="S1298" s="32"/>
      <c r="T1298" s="264"/>
      <c r="U1298" s="16"/>
      <c r="V1298" s="16"/>
      <c r="W1298" s="16"/>
      <c r="X1298" s="32"/>
      <c r="Y1298" s="250"/>
    </row>
    <row r="1299">
      <c r="A1299" s="32"/>
      <c r="B1299" s="32"/>
      <c r="C1299" s="257"/>
      <c r="D1299" s="265"/>
      <c r="E1299" s="265"/>
      <c r="F1299" s="257"/>
      <c r="G1299" s="265"/>
      <c r="H1299" s="256"/>
      <c r="I1299" s="257"/>
      <c r="J1299" s="32"/>
      <c r="K1299" s="32"/>
      <c r="L1299" s="32"/>
      <c r="M1299" s="32"/>
      <c r="N1299" s="257"/>
      <c r="O1299" s="32"/>
      <c r="P1299" s="32"/>
      <c r="Q1299" s="32"/>
      <c r="R1299" s="32"/>
      <c r="S1299" s="32"/>
      <c r="T1299" s="264"/>
      <c r="U1299" s="16"/>
      <c r="V1299" s="16"/>
      <c r="W1299" s="16"/>
      <c r="X1299" s="32"/>
      <c r="Y1299" s="250"/>
    </row>
    <row r="1300">
      <c r="A1300" s="32"/>
      <c r="B1300" s="32"/>
      <c r="C1300" s="257"/>
      <c r="D1300" s="265"/>
      <c r="E1300" s="265"/>
      <c r="F1300" s="257"/>
      <c r="G1300" s="265"/>
      <c r="H1300" s="256"/>
      <c r="I1300" s="257"/>
      <c r="J1300" s="32"/>
      <c r="K1300" s="32"/>
      <c r="L1300" s="32"/>
      <c r="M1300" s="32"/>
      <c r="N1300" s="257"/>
      <c r="O1300" s="32"/>
      <c r="P1300" s="32"/>
      <c r="Q1300" s="32"/>
      <c r="R1300" s="32"/>
      <c r="S1300" s="32"/>
      <c r="T1300" s="264"/>
      <c r="U1300" s="16"/>
      <c r="V1300" s="16"/>
      <c r="W1300" s="16"/>
      <c r="X1300" s="32"/>
      <c r="Y1300" s="250"/>
    </row>
    <row r="1301">
      <c r="A1301" s="32"/>
      <c r="B1301" s="32"/>
      <c r="C1301" s="257"/>
      <c r="D1301" s="265"/>
      <c r="E1301" s="265"/>
      <c r="F1301" s="257"/>
      <c r="G1301" s="265"/>
      <c r="H1301" s="256"/>
      <c r="I1301" s="257"/>
      <c r="J1301" s="32"/>
      <c r="K1301" s="32"/>
      <c r="L1301" s="32"/>
      <c r="M1301" s="32"/>
      <c r="N1301" s="257"/>
      <c r="O1301" s="32"/>
      <c r="P1301" s="32"/>
      <c r="Q1301" s="32"/>
      <c r="R1301" s="32"/>
      <c r="S1301" s="32"/>
      <c r="T1301" s="264"/>
      <c r="U1301" s="16"/>
      <c r="V1301" s="16"/>
      <c r="W1301" s="16"/>
      <c r="X1301" s="32"/>
      <c r="Y1301" s="250"/>
    </row>
    <row r="1302">
      <c r="A1302" s="32"/>
      <c r="B1302" s="32"/>
      <c r="C1302" s="257"/>
      <c r="D1302" s="265"/>
      <c r="E1302" s="265"/>
      <c r="F1302" s="257"/>
      <c r="G1302" s="265"/>
      <c r="H1302" s="256"/>
      <c r="I1302" s="257"/>
      <c r="J1302" s="32"/>
      <c r="K1302" s="32"/>
      <c r="L1302" s="32"/>
      <c r="M1302" s="32"/>
      <c r="N1302" s="257"/>
      <c r="O1302" s="32"/>
      <c r="P1302" s="32"/>
      <c r="Q1302" s="32"/>
      <c r="R1302" s="32"/>
      <c r="S1302" s="32"/>
      <c r="T1302" s="264"/>
      <c r="U1302" s="16"/>
      <c r="V1302" s="16"/>
      <c r="W1302" s="16"/>
      <c r="X1302" s="32"/>
      <c r="Y1302" s="250"/>
    </row>
    <row r="1303">
      <c r="A1303" s="32"/>
      <c r="B1303" s="32"/>
      <c r="C1303" s="257"/>
      <c r="D1303" s="265"/>
      <c r="E1303" s="265"/>
      <c r="F1303" s="257"/>
      <c r="G1303" s="265"/>
      <c r="H1303" s="256"/>
      <c r="I1303" s="257"/>
      <c r="J1303" s="32"/>
      <c r="K1303" s="32"/>
      <c r="L1303" s="32"/>
      <c r="M1303" s="32"/>
      <c r="N1303" s="257"/>
      <c r="O1303" s="32"/>
      <c r="P1303" s="32"/>
      <c r="Q1303" s="32"/>
      <c r="R1303" s="32"/>
      <c r="S1303" s="32"/>
      <c r="T1303" s="264"/>
      <c r="U1303" s="16"/>
      <c r="V1303" s="16"/>
      <c r="W1303" s="16"/>
      <c r="X1303" s="32"/>
      <c r="Y1303" s="250"/>
    </row>
    <row r="1304">
      <c r="A1304" s="32"/>
      <c r="B1304" s="32"/>
      <c r="C1304" s="257"/>
      <c r="D1304" s="265"/>
      <c r="E1304" s="265"/>
      <c r="F1304" s="257"/>
      <c r="G1304" s="265"/>
      <c r="H1304" s="256"/>
      <c r="I1304" s="257"/>
      <c r="J1304" s="32"/>
      <c r="K1304" s="32"/>
      <c r="L1304" s="32"/>
      <c r="M1304" s="32"/>
      <c r="N1304" s="257"/>
      <c r="O1304" s="32"/>
      <c r="P1304" s="32"/>
      <c r="Q1304" s="32"/>
      <c r="R1304" s="32"/>
      <c r="S1304" s="32"/>
      <c r="T1304" s="264"/>
      <c r="U1304" s="16"/>
      <c r="V1304" s="16"/>
      <c r="W1304" s="16"/>
      <c r="X1304" s="32"/>
      <c r="Y1304" s="250"/>
    </row>
    <row r="1305">
      <c r="A1305" s="32"/>
      <c r="B1305" s="32"/>
      <c r="C1305" s="257"/>
      <c r="D1305" s="265"/>
      <c r="E1305" s="265"/>
      <c r="F1305" s="257"/>
      <c r="G1305" s="265"/>
      <c r="H1305" s="256"/>
      <c r="I1305" s="257"/>
      <c r="J1305" s="32"/>
      <c r="K1305" s="32"/>
      <c r="L1305" s="32"/>
      <c r="M1305" s="32"/>
      <c r="N1305" s="257"/>
      <c r="O1305" s="32"/>
      <c r="P1305" s="32"/>
      <c r="Q1305" s="32"/>
      <c r="R1305" s="32"/>
      <c r="S1305" s="32"/>
      <c r="T1305" s="264"/>
      <c r="U1305" s="16"/>
      <c r="V1305" s="16"/>
      <c r="W1305" s="16"/>
      <c r="X1305" s="32"/>
      <c r="Y1305" s="250"/>
    </row>
    <row r="1306">
      <c r="A1306" s="32"/>
      <c r="B1306" s="32"/>
      <c r="C1306" s="257"/>
      <c r="D1306" s="265"/>
      <c r="E1306" s="265"/>
      <c r="F1306" s="257"/>
      <c r="G1306" s="265"/>
      <c r="H1306" s="256"/>
      <c r="I1306" s="257"/>
      <c r="J1306" s="32"/>
      <c r="K1306" s="32"/>
      <c r="L1306" s="32"/>
      <c r="M1306" s="32"/>
      <c r="N1306" s="257"/>
      <c r="O1306" s="32"/>
      <c r="P1306" s="32"/>
      <c r="Q1306" s="32"/>
      <c r="R1306" s="32"/>
      <c r="S1306" s="32"/>
      <c r="T1306" s="264"/>
      <c r="U1306" s="16"/>
      <c r="V1306" s="16"/>
      <c r="W1306" s="16"/>
      <c r="X1306" s="32"/>
      <c r="Y1306" s="250"/>
    </row>
    <row r="1307">
      <c r="A1307" s="32"/>
      <c r="B1307" s="32"/>
      <c r="C1307" s="257"/>
      <c r="D1307" s="265"/>
      <c r="E1307" s="265"/>
      <c r="F1307" s="257"/>
      <c r="G1307" s="265"/>
      <c r="H1307" s="256"/>
      <c r="I1307" s="257"/>
      <c r="J1307" s="32"/>
      <c r="K1307" s="32"/>
      <c r="L1307" s="32"/>
      <c r="M1307" s="32"/>
      <c r="N1307" s="257"/>
      <c r="O1307" s="32"/>
      <c r="P1307" s="32"/>
      <c r="Q1307" s="32"/>
      <c r="R1307" s="32"/>
      <c r="S1307" s="32"/>
      <c r="T1307" s="264"/>
      <c r="U1307" s="16"/>
      <c r="V1307" s="16"/>
      <c r="W1307" s="16"/>
      <c r="X1307" s="32"/>
      <c r="Y1307" s="250"/>
    </row>
    <row r="1308">
      <c r="A1308" s="32"/>
      <c r="B1308" s="32"/>
      <c r="C1308" s="257"/>
      <c r="D1308" s="265"/>
      <c r="E1308" s="265"/>
      <c r="F1308" s="257"/>
      <c r="G1308" s="265"/>
      <c r="H1308" s="256"/>
      <c r="I1308" s="257"/>
      <c r="J1308" s="32"/>
      <c r="K1308" s="32"/>
      <c r="L1308" s="32"/>
      <c r="M1308" s="32"/>
      <c r="N1308" s="257"/>
      <c r="O1308" s="32"/>
      <c r="P1308" s="32"/>
      <c r="Q1308" s="32"/>
      <c r="R1308" s="32"/>
      <c r="S1308" s="32"/>
      <c r="T1308" s="264"/>
      <c r="U1308" s="16"/>
      <c r="V1308" s="16"/>
      <c r="W1308" s="16"/>
      <c r="X1308" s="32"/>
      <c r="Y1308" s="250"/>
    </row>
    <row r="1309">
      <c r="A1309" s="32"/>
      <c r="B1309" s="32"/>
      <c r="C1309" s="257"/>
      <c r="D1309" s="265"/>
      <c r="E1309" s="265"/>
      <c r="F1309" s="257"/>
      <c r="G1309" s="265"/>
      <c r="H1309" s="256"/>
      <c r="I1309" s="257"/>
      <c r="J1309" s="32"/>
      <c r="K1309" s="32"/>
      <c r="L1309" s="32"/>
      <c r="M1309" s="32"/>
      <c r="N1309" s="257"/>
      <c r="O1309" s="32"/>
      <c r="P1309" s="32"/>
      <c r="Q1309" s="32"/>
      <c r="R1309" s="32"/>
      <c r="S1309" s="32"/>
      <c r="T1309" s="264"/>
      <c r="U1309" s="16"/>
      <c r="V1309" s="16"/>
      <c r="W1309" s="16"/>
      <c r="X1309" s="32"/>
      <c r="Y1309" s="250"/>
    </row>
    <row r="1310">
      <c r="A1310" s="32"/>
      <c r="B1310" s="32"/>
      <c r="C1310" s="257"/>
      <c r="D1310" s="265"/>
      <c r="E1310" s="265"/>
      <c r="F1310" s="257"/>
      <c r="G1310" s="265"/>
      <c r="H1310" s="256"/>
      <c r="I1310" s="257"/>
      <c r="J1310" s="32"/>
      <c r="K1310" s="32"/>
      <c r="L1310" s="32"/>
      <c r="M1310" s="32"/>
      <c r="N1310" s="257"/>
      <c r="O1310" s="32"/>
      <c r="P1310" s="32"/>
      <c r="Q1310" s="32"/>
      <c r="R1310" s="32"/>
      <c r="S1310" s="32"/>
      <c r="T1310" s="264"/>
      <c r="U1310" s="16"/>
      <c r="V1310" s="16"/>
      <c r="W1310" s="16"/>
      <c r="X1310" s="32"/>
      <c r="Y1310" s="250"/>
    </row>
    <row r="1311">
      <c r="A1311" s="32"/>
      <c r="B1311" s="32"/>
      <c r="C1311" s="257"/>
      <c r="D1311" s="265"/>
      <c r="E1311" s="265"/>
      <c r="F1311" s="257"/>
      <c r="G1311" s="265"/>
      <c r="H1311" s="256"/>
      <c r="I1311" s="257"/>
      <c r="J1311" s="32"/>
      <c r="K1311" s="32"/>
      <c r="L1311" s="32"/>
      <c r="M1311" s="32"/>
      <c r="N1311" s="257"/>
      <c r="O1311" s="32"/>
      <c r="P1311" s="32"/>
      <c r="Q1311" s="32"/>
      <c r="R1311" s="32"/>
      <c r="S1311" s="32"/>
      <c r="T1311" s="264"/>
      <c r="U1311" s="16"/>
      <c r="V1311" s="16"/>
      <c r="W1311" s="16"/>
      <c r="X1311" s="32"/>
      <c r="Y1311" s="250"/>
    </row>
    <row r="1312">
      <c r="A1312" s="32"/>
      <c r="B1312" s="32"/>
      <c r="C1312" s="257"/>
      <c r="D1312" s="265"/>
      <c r="E1312" s="265"/>
      <c r="F1312" s="257"/>
      <c r="G1312" s="265"/>
      <c r="H1312" s="256"/>
      <c r="I1312" s="257"/>
      <c r="J1312" s="32"/>
      <c r="K1312" s="32"/>
      <c r="L1312" s="32"/>
      <c r="M1312" s="32"/>
      <c r="N1312" s="257"/>
      <c r="O1312" s="32"/>
      <c r="P1312" s="32"/>
      <c r="Q1312" s="32"/>
      <c r="R1312" s="32"/>
      <c r="S1312" s="32"/>
      <c r="T1312" s="264"/>
      <c r="U1312" s="16"/>
      <c r="V1312" s="16"/>
      <c r="W1312" s="16"/>
      <c r="X1312" s="32"/>
      <c r="Y1312" s="250"/>
    </row>
    <row r="1313">
      <c r="A1313" s="32"/>
      <c r="B1313" s="32"/>
      <c r="C1313" s="257"/>
      <c r="D1313" s="265"/>
      <c r="E1313" s="265"/>
      <c r="F1313" s="257"/>
      <c r="G1313" s="265"/>
      <c r="H1313" s="256"/>
      <c r="I1313" s="257"/>
      <c r="J1313" s="32"/>
      <c r="K1313" s="32"/>
      <c r="L1313" s="32"/>
      <c r="M1313" s="32"/>
      <c r="N1313" s="257"/>
      <c r="O1313" s="32"/>
      <c r="P1313" s="32"/>
      <c r="Q1313" s="32"/>
      <c r="R1313" s="32"/>
      <c r="S1313" s="32"/>
      <c r="T1313" s="264"/>
      <c r="U1313" s="16"/>
      <c r="V1313" s="16"/>
      <c r="W1313" s="16"/>
      <c r="X1313" s="32"/>
      <c r="Y1313" s="250"/>
    </row>
    <row r="1314">
      <c r="A1314" s="32"/>
      <c r="B1314" s="32"/>
      <c r="C1314" s="257"/>
      <c r="D1314" s="265"/>
      <c r="E1314" s="265"/>
      <c r="F1314" s="257"/>
      <c r="G1314" s="265"/>
      <c r="H1314" s="256"/>
      <c r="I1314" s="257"/>
      <c r="J1314" s="32"/>
      <c r="K1314" s="32"/>
      <c r="L1314" s="32"/>
      <c r="M1314" s="32"/>
      <c r="N1314" s="257"/>
      <c r="O1314" s="32"/>
      <c r="P1314" s="32"/>
      <c r="Q1314" s="32"/>
      <c r="R1314" s="32"/>
      <c r="S1314" s="32"/>
      <c r="T1314" s="264"/>
      <c r="U1314" s="16"/>
      <c r="V1314" s="16"/>
      <c r="W1314" s="16"/>
      <c r="X1314" s="32"/>
      <c r="Y1314" s="250"/>
    </row>
    <row r="1315">
      <c r="A1315" s="32"/>
      <c r="B1315" s="32"/>
      <c r="C1315" s="257"/>
      <c r="D1315" s="265"/>
      <c r="E1315" s="265"/>
      <c r="F1315" s="257"/>
      <c r="G1315" s="265"/>
      <c r="H1315" s="256"/>
      <c r="I1315" s="257"/>
      <c r="J1315" s="32"/>
      <c r="K1315" s="32"/>
      <c r="L1315" s="32"/>
      <c r="M1315" s="32"/>
      <c r="N1315" s="257"/>
      <c r="O1315" s="32"/>
      <c r="P1315" s="32"/>
      <c r="Q1315" s="32"/>
      <c r="R1315" s="32"/>
      <c r="S1315" s="32"/>
      <c r="T1315" s="264"/>
      <c r="U1315" s="16"/>
      <c r="V1315" s="16"/>
      <c r="W1315" s="16"/>
      <c r="X1315" s="32"/>
      <c r="Y1315" s="250"/>
    </row>
    <row r="1316">
      <c r="A1316" s="32"/>
      <c r="B1316" s="32"/>
      <c r="C1316" s="257"/>
      <c r="D1316" s="265"/>
      <c r="E1316" s="265"/>
      <c r="F1316" s="257"/>
      <c r="G1316" s="265"/>
      <c r="H1316" s="256"/>
      <c r="I1316" s="257"/>
      <c r="J1316" s="32"/>
      <c r="K1316" s="32"/>
      <c r="L1316" s="32"/>
      <c r="M1316" s="32"/>
      <c r="N1316" s="257"/>
      <c r="O1316" s="32"/>
      <c r="P1316" s="32"/>
      <c r="Q1316" s="32"/>
      <c r="R1316" s="32"/>
      <c r="S1316" s="32"/>
      <c r="T1316" s="264"/>
      <c r="U1316" s="16"/>
      <c r="V1316" s="16"/>
      <c r="W1316" s="16"/>
      <c r="X1316" s="32"/>
      <c r="Y1316" s="250"/>
    </row>
    <row r="1317">
      <c r="A1317" s="32"/>
      <c r="B1317" s="32"/>
      <c r="C1317" s="257"/>
      <c r="D1317" s="265"/>
      <c r="E1317" s="265"/>
      <c r="F1317" s="257"/>
      <c r="G1317" s="265"/>
      <c r="H1317" s="256"/>
      <c r="I1317" s="257"/>
      <c r="J1317" s="32"/>
      <c r="K1317" s="32"/>
      <c r="L1317" s="32"/>
      <c r="M1317" s="32"/>
      <c r="N1317" s="257"/>
      <c r="O1317" s="32"/>
      <c r="P1317" s="32"/>
      <c r="Q1317" s="32"/>
      <c r="R1317" s="32"/>
      <c r="S1317" s="32"/>
      <c r="T1317" s="264"/>
      <c r="U1317" s="16"/>
      <c r="V1317" s="16"/>
      <c r="W1317" s="16"/>
      <c r="X1317" s="32"/>
      <c r="Y1317" s="250"/>
    </row>
    <row r="1318">
      <c r="A1318" s="32"/>
      <c r="B1318" s="32"/>
      <c r="C1318" s="257"/>
      <c r="D1318" s="265"/>
      <c r="E1318" s="265"/>
      <c r="F1318" s="257"/>
      <c r="G1318" s="265"/>
      <c r="H1318" s="256"/>
      <c r="I1318" s="257"/>
      <c r="J1318" s="32"/>
      <c r="K1318" s="32"/>
      <c r="L1318" s="32"/>
      <c r="M1318" s="32"/>
      <c r="N1318" s="257"/>
      <c r="O1318" s="32"/>
      <c r="P1318" s="32"/>
      <c r="Q1318" s="32"/>
      <c r="R1318" s="32"/>
      <c r="S1318" s="32"/>
      <c r="T1318" s="264"/>
      <c r="U1318" s="16"/>
      <c r="V1318" s="16"/>
      <c r="W1318" s="16"/>
      <c r="X1318" s="32"/>
      <c r="Y1318" s="250"/>
    </row>
    <row r="1319">
      <c r="A1319" s="32"/>
      <c r="B1319" s="32"/>
      <c r="C1319" s="257"/>
      <c r="D1319" s="265"/>
      <c r="E1319" s="265"/>
      <c r="F1319" s="257"/>
      <c r="G1319" s="265"/>
      <c r="H1319" s="256"/>
      <c r="I1319" s="257"/>
      <c r="J1319" s="32"/>
      <c r="K1319" s="32"/>
      <c r="L1319" s="32"/>
      <c r="M1319" s="32"/>
      <c r="N1319" s="257"/>
      <c r="O1319" s="32"/>
      <c r="P1319" s="32"/>
      <c r="Q1319" s="32"/>
      <c r="R1319" s="32"/>
      <c r="S1319" s="32"/>
      <c r="T1319" s="264"/>
      <c r="U1319" s="16"/>
      <c r="V1319" s="16"/>
      <c r="W1319" s="16"/>
      <c r="X1319" s="32"/>
      <c r="Y1319" s="250"/>
    </row>
    <row r="1320">
      <c r="A1320" s="32"/>
      <c r="B1320" s="32"/>
      <c r="C1320" s="257"/>
      <c r="D1320" s="265"/>
      <c r="E1320" s="265"/>
      <c r="F1320" s="257"/>
      <c r="G1320" s="265"/>
      <c r="H1320" s="256"/>
      <c r="I1320" s="257"/>
      <c r="J1320" s="32"/>
      <c r="K1320" s="32"/>
      <c r="L1320" s="32"/>
      <c r="M1320" s="32"/>
      <c r="N1320" s="257"/>
      <c r="O1320" s="32"/>
      <c r="P1320" s="32"/>
      <c r="Q1320" s="32"/>
      <c r="R1320" s="32"/>
      <c r="S1320" s="32"/>
      <c r="T1320" s="264"/>
      <c r="U1320" s="16"/>
      <c r="V1320" s="16"/>
      <c r="W1320" s="16"/>
      <c r="X1320" s="32"/>
      <c r="Y1320" s="250"/>
    </row>
    <row r="1321">
      <c r="A1321" s="32"/>
      <c r="B1321" s="32"/>
      <c r="C1321" s="257"/>
      <c r="D1321" s="265"/>
      <c r="E1321" s="265"/>
      <c r="F1321" s="257"/>
      <c r="G1321" s="265"/>
      <c r="H1321" s="256"/>
      <c r="I1321" s="257"/>
      <c r="J1321" s="32"/>
      <c r="K1321" s="32"/>
      <c r="L1321" s="32"/>
      <c r="M1321" s="32"/>
      <c r="N1321" s="257"/>
      <c r="O1321" s="32"/>
      <c r="P1321" s="32"/>
      <c r="Q1321" s="32"/>
      <c r="R1321" s="32"/>
      <c r="S1321" s="32"/>
      <c r="T1321" s="264"/>
      <c r="U1321" s="16"/>
      <c r="V1321" s="16"/>
      <c r="W1321" s="16"/>
      <c r="X1321" s="32"/>
      <c r="Y1321" s="250"/>
    </row>
    <row r="1322">
      <c r="A1322" s="32"/>
      <c r="B1322" s="32"/>
      <c r="C1322" s="257"/>
      <c r="D1322" s="265"/>
      <c r="E1322" s="265"/>
      <c r="F1322" s="257"/>
      <c r="G1322" s="265"/>
      <c r="H1322" s="256"/>
      <c r="I1322" s="257"/>
      <c r="J1322" s="32"/>
      <c r="K1322" s="32"/>
      <c r="L1322" s="32"/>
      <c r="M1322" s="32"/>
      <c r="N1322" s="257"/>
      <c r="O1322" s="32"/>
      <c r="P1322" s="32"/>
      <c r="Q1322" s="32"/>
      <c r="R1322" s="32"/>
      <c r="S1322" s="32"/>
      <c r="T1322" s="264"/>
      <c r="U1322" s="16"/>
      <c r="V1322" s="16"/>
      <c r="W1322" s="16"/>
      <c r="X1322" s="32"/>
      <c r="Y1322" s="250"/>
    </row>
    <row r="1323">
      <c r="A1323" s="32"/>
      <c r="B1323" s="32"/>
      <c r="C1323" s="257"/>
      <c r="D1323" s="265"/>
      <c r="E1323" s="265"/>
      <c r="F1323" s="257"/>
      <c r="G1323" s="265"/>
      <c r="H1323" s="256"/>
      <c r="I1323" s="257"/>
      <c r="J1323" s="32"/>
      <c r="K1323" s="32"/>
      <c r="L1323" s="32"/>
      <c r="M1323" s="32"/>
      <c r="N1323" s="257"/>
      <c r="O1323" s="32"/>
      <c r="P1323" s="32"/>
      <c r="Q1323" s="32"/>
      <c r="R1323" s="32"/>
      <c r="S1323" s="32"/>
      <c r="T1323" s="264"/>
      <c r="U1323" s="16"/>
      <c r="V1323" s="16"/>
      <c r="W1323" s="16"/>
      <c r="X1323" s="32"/>
      <c r="Y1323" s="250"/>
    </row>
    <row r="1324">
      <c r="A1324" s="32"/>
      <c r="B1324" s="32"/>
      <c r="C1324" s="257"/>
      <c r="D1324" s="265"/>
      <c r="E1324" s="265"/>
      <c r="F1324" s="257"/>
      <c r="G1324" s="265"/>
      <c r="H1324" s="256"/>
      <c r="I1324" s="257"/>
      <c r="J1324" s="32"/>
      <c r="K1324" s="32"/>
      <c r="L1324" s="32"/>
      <c r="M1324" s="32"/>
      <c r="N1324" s="257"/>
      <c r="O1324" s="32"/>
      <c r="P1324" s="32"/>
      <c r="Q1324" s="32"/>
      <c r="R1324" s="32"/>
      <c r="S1324" s="32"/>
      <c r="T1324" s="264"/>
      <c r="U1324" s="16"/>
      <c r="V1324" s="16"/>
      <c r="W1324" s="16"/>
      <c r="X1324" s="32"/>
      <c r="Y1324" s="250"/>
    </row>
    <row r="1325">
      <c r="A1325" s="32"/>
      <c r="B1325" s="32"/>
      <c r="C1325" s="257"/>
      <c r="D1325" s="265"/>
      <c r="E1325" s="265"/>
      <c r="F1325" s="257"/>
      <c r="G1325" s="265"/>
      <c r="H1325" s="256"/>
      <c r="I1325" s="257"/>
      <c r="J1325" s="32"/>
      <c r="K1325" s="32"/>
      <c r="L1325" s="32"/>
      <c r="M1325" s="32"/>
      <c r="N1325" s="257"/>
      <c r="O1325" s="32"/>
      <c r="P1325" s="32"/>
      <c r="Q1325" s="32"/>
      <c r="R1325" s="32"/>
      <c r="S1325" s="32"/>
      <c r="T1325" s="264"/>
      <c r="U1325" s="16"/>
      <c r="V1325" s="16"/>
      <c r="W1325" s="16"/>
      <c r="X1325" s="32"/>
      <c r="Y1325" s="250"/>
    </row>
    <row r="1326">
      <c r="A1326" s="32"/>
      <c r="B1326" s="32"/>
      <c r="C1326" s="257"/>
      <c r="D1326" s="265"/>
      <c r="E1326" s="265"/>
      <c r="F1326" s="257"/>
      <c r="G1326" s="265"/>
      <c r="H1326" s="256"/>
      <c r="I1326" s="257"/>
      <c r="J1326" s="32"/>
      <c r="K1326" s="32"/>
      <c r="L1326" s="32"/>
      <c r="M1326" s="32"/>
      <c r="N1326" s="257"/>
      <c r="O1326" s="32"/>
      <c r="P1326" s="32"/>
      <c r="Q1326" s="32"/>
      <c r="R1326" s="32"/>
      <c r="S1326" s="32"/>
      <c r="T1326" s="264"/>
      <c r="U1326" s="16"/>
      <c r="V1326" s="16"/>
      <c r="W1326" s="16"/>
      <c r="X1326" s="32"/>
      <c r="Y1326" s="250"/>
    </row>
    <row r="1327">
      <c r="A1327" s="32"/>
      <c r="B1327" s="32"/>
      <c r="C1327" s="257"/>
      <c r="D1327" s="265"/>
      <c r="E1327" s="265"/>
      <c r="F1327" s="257"/>
      <c r="G1327" s="265"/>
      <c r="H1327" s="256"/>
      <c r="I1327" s="257"/>
      <c r="J1327" s="32"/>
      <c r="K1327" s="32"/>
      <c r="L1327" s="32"/>
      <c r="M1327" s="32"/>
      <c r="N1327" s="257"/>
      <c r="O1327" s="32"/>
      <c r="P1327" s="32"/>
      <c r="Q1327" s="32"/>
      <c r="R1327" s="32"/>
      <c r="S1327" s="32"/>
      <c r="T1327" s="264"/>
      <c r="U1327" s="16"/>
      <c r="V1327" s="16"/>
      <c r="W1327" s="16"/>
      <c r="X1327" s="32"/>
      <c r="Y1327" s="250"/>
    </row>
    <row r="1328">
      <c r="A1328" s="32"/>
      <c r="B1328" s="32"/>
      <c r="C1328" s="257"/>
      <c r="D1328" s="265"/>
      <c r="E1328" s="265"/>
      <c r="F1328" s="257"/>
      <c r="G1328" s="265"/>
      <c r="H1328" s="256"/>
      <c r="I1328" s="257"/>
      <c r="J1328" s="32"/>
      <c r="K1328" s="32"/>
      <c r="L1328" s="32"/>
      <c r="M1328" s="32"/>
      <c r="N1328" s="257"/>
      <c r="O1328" s="32"/>
      <c r="P1328" s="32"/>
      <c r="Q1328" s="32"/>
      <c r="R1328" s="32"/>
      <c r="S1328" s="32"/>
      <c r="T1328" s="264"/>
      <c r="U1328" s="16"/>
      <c r="V1328" s="16"/>
      <c r="W1328" s="16"/>
      <c r="X1328" s="32"/>
      <c r="Y1328" s="250"/>
    </row>
    <row r="1329">
      <c r="A1329" s="32"/>
      <c r="B1329" s="32"/>
      <c r="C1329" s="257"/>
      <c r="D1329" s="265"/>
      <c r="E1329" s="265"/>
      <c r="F1329" s="257"/>
      <c r="G1329" s="265"/>
      <c r="H1329" s="256"/>
      <c r="I1329" s="257"/>
      <c r="J1329" s="32"/>
      <c r="K1329" s="32"/>
      <c r="L1329" s="32"/>
      <c r="M1329" s="32"/>
      <c r="N1329" s="257"/>
      <c r="O1329" s="32"/>
      <c r="P1329" s="32"/>
      <c r="Q1329" s="32"/>
      <c r="R1329" s="32"/>
      <c r="S1329" s="32"/>
      <c r="T1329" s="264"/>
      <c r="U1329" s="16"/>
      <c r="V1329" s="16"/>
      <c r="W1329" s="16"/>
      <c r="X1329" s="32"/>
      <c r="Y1329" s="250"/>
    </row>
    <row r="1330">
      <c r="A1330" s="32"/>
      <c r="B1330" s="32"/>
      <c r="C1330" s="257"/>
      <c r="D1330" s="265"/>
      <c r="E1330" s="265"/>
      <c r="F1330" s="257"/>
      <c r="G1330" s="265"/>
      <c r="H1330" s="256"/>
      <c r="I1330" s="257"/>
      <c r="J1330" s="32"/>
      <c r="K1330" s="32"/>
      <c r="L1330" s="32"/>
      <c r="M1330" s="32"/>
      <c r="N1330" s="257"/>
      <c r="O1330" s="32"/>
      <c r="P1330" s="32"/>
      <c r="Q1330" s="32"/>
      <c r="R1330" s="32"/>
      <c r="S1330" s="32"/>
      <c r="T1330" s="264"/>
      <c r="U1330" s="16"/>
      <c r="V1330" s="16"/>
      <c r="W1330" s="16"/>
      <c r="X1330" s="32"/>
      <c r="Y1330" s="250"/>
    </row>
    <row r="1331">
      <c r="A1331" s="32"/>
      <c r="B1331" s="32"/>
      <c r="C1331" s="257"/>
      <c r="D1331" s="265"/>
      <c r="E1331" s="265"/>
      <c r="F1331" s="257"/>
      <c r="G1331" s="265"/>
      <c r="H1331" s="256"/>
      <c r="I1331" s="257"/>
      <c r="J1331" s="32"/>
      <c r="K1331" s="32"/>
      <c r="L1331" s="32"/>
      <c r="M1331" s="32"/>
      <c r="N1331" s="257"/>
      <c r="O1331" s="32"/>
      <c r="P1331" s="32"/>
      <c r="Q1331" s="32"/>
      <c r="R1331" s="32"/>
      <c r="S1331" s="32"/>
      <c r="T1331" s="264"/>
      <c r="U1331" s="16"/>
      <c r="V1331" s="16"/>
      <c r="W1331" s="16"/>
      <c r="X1331" s="32"/>
      <c r="Y1331" s="250"/>
    </row>
    <row r="1332">
      <c r="A1332" s="32"/>
      <c r="B1332" s="32"/>
      <c r="C1332" s="257"/>
      <c r="D1332" s="265"/>
      <c r="E1332" s="265"/>
      <c r="F1332" s="257"/>
      <c r="G1332" s="265"/>
      <c r="H1332" s="256"/>
      <c r="I1332" s="257"/>
      <c r="J1332" s="32"/>
      <c r="K1332" s="32"/>
      <c r="L1332" s="32"/>
      <c r="M1332" s="32"/>
      <c r="N1332" s="257"/>
      <c r="O1332" s="32"/>
      <c r="P1332" s="32"/>
      <c r="Q1332" s="32"/>
      <c r="R1332" s="32"/>
      <c r="S1332" s="32"/>
      <c r="T1332" s="264"/>
      <c r="U1332" s="16"/>
      <c r="V1332" s="16"/>
      <c r="W1332" s="16"/>
      <c r="X1332" s="32"/>
      <c r="Y1332" s="250"/>
    </row>
    <row r="1333">
      <c r="A1333" s="32"/>
      <c r="B1333" s="32"/>
      <c r="C1333" s="257"/>
      <c r="D1333" s="265"/>
      <c r="E1333" s="265"/>
      <c r="F1333" s="257"/>
      <c r="G1333" s="265"/>
      <c r="H1333" s="256"/>
      <c r="I1333" s="257"/>
      <c r="J1333" s="32"/>
      <c r="K1333" s="32"/>
      <c r="L1333" s="32"/>
      <c r="M1333" s="32"/>
      <c r="N1333" s="257"/>
      <c r="O1333" s="32"/>
      <c r="P1333" s="32"/>
      <c r="Q1333" s="32"/>
      <c r="R1333" s="32"/>
      <c r="S1333" s="32"/>
      <c r="T1333" s="264"/>
      <c r="U1333" s="16"/>
      <c r="V1333" s="16"/>
      <c r="W1333" s="16"/>
      <c r="X1333" s="32"/>
      <c r="Y1333" s="250"/>
    </row>
    <row r="1334">
      <c r="A1334" s="32"/>
      <c r="B1334" s="32"/>
      <c r="C1334" s="257"/>
      <c r="D1334" s="265"/>
      <c r="E1334" s="265"/>
      <c r="F1334" s="257"/>
      <c r="G1334" s="265"/>
      <c r="H1334" s="256"/>
      <c r="I1334" s="257"/>
      <c r="J1334" s="32"/>
      <c r="K1334" s="32"/>
      <c r="L1334" s="32"/>
      <c r="M1334" s="32"/>
      <c r="N1334" s="257"/>
      <c r="O1334" s="32"/>
      <c r="P1334" s="32"/>
      <c r="Q1334" s="32"/>
      <c r="R1334" s="32"/>
      <c r="S1334" s="32"/>
      <c r="T1334" s="264"/>
      <c r="U1334" s="16"/>
      <c r="V1334" s="16"/>
      <c r="W1334" s="16"/>
      <c r="X1334" s="32"/>
      <c r="Y1334" s="250"/>
    </row>
    <row r="1335">
      <c r="A1335" s="32"/>
      <c r="B1335" s="32"/>
      <c r="C1335" s="257"/>
      <c r="D1335" s="265"/>
      <c r="E1335" s="265"/>
      <c r="F1335" s="257"/>
      <c r="G1335" s="265"/>
      <c r="H1335" s="256"/>
      <c r="I1335" s="257"/>
      <c r="J1335" s="32"/>
      <c r="K1335" s="32"/>
      <c r="L1335" s="32"/>
      <c r="M1335" s="32"/>
      <c r="N1335" s="257"/>
      <c r="O1335" s="32"/>
      <c r="P1335" s="32"/>
      <c r="Q1335" s="32"/>
      <c r="R1335" s="32"/>
      <c r="S1335" s="32"/>
      <c r="T1335" s="264"/>
      <c r="U1335" s="16"/>
      <c r="V1335" s="16"/>
      <c r="W1335" s="16"/>
      <c r="X1335" s="32"/>
      <c r="Y1335" s="250"/>
    </row>
    <row r="1336">
      <c r="A1336" s="32"/>
      <c r="B1336" s="32"/>
      <c r="C1336" s="257"/>
      <c r="D1336" s="265"/>
      <c r="E1336" s="265"/>
      <c r="F1336" s="257"/>
      <c r="G1336" s="265"/>
      <c r="H1336" s="256"/>
      <c r="I1336" s="257"/>
      <c r="J1336" s="32"/>
      <c r="K1336" s="32"/>
      <c r="L1336" s="32"/>
      <c r="M1336" s="32"/>
      <c r="N1336" s="257"/>
      <c r="O1336" s="32"/>
      <c r="P1336" s="32"/>
      <c r="Q1336" s="32"/>
      <c r="R1336" s="32"/>
      <c r="S1336" s="32"/>
      <c r="T1336" s="264"/>
      <c r="U1336" s="16"/>
      <c r="V1336" s="16"/>
      <c r="W1336" s="16"/>
      <c r="X1336" s="32"/>
      <c r="Y1336" s="250"/>
    </row>
    <row r="1337">
      <c r="A1337" s="32"/>
      <c r="B1337" s="32"/>
      <c r="C1337" s="257"/>
      <c r="D1337" s="265"/>
      <c r="E1337" s="265"/>
      <c r="F1337" s="257"/>
      <c r="G1337" s="265"/>
      <c r="H1337" s="256"/>
      <c r="I1337" s="257"/>
      <c r="J1337" s="32"/>
      <c r="K1337" s="32"/>
      <c r="L1337" s="32"/>
      <c r="M1337" s="32"/>
      <c r="N1337" s="257"/>
      <c r="O1337" s="32"/>
      <c r="P1337" s="32"/>
      <c r="Q1337" s="32"/>
      <c r="R1337" s="32"/>
      <c r="S1337" s="32"/>
      <c r="T1337" s="264"/>
      <c r="U1337" s="16"/>
      <c r="V1337" s="16"/>
      <c r="W1337" s="16"/>
      <c r="X1337" s="32"/>
      <c r="Y1337" s="250"/>
    </row>
    <row r="1338">
      <c r="A1338" s="32"/>
      <c r="B1338" s="32"/>
      <c r="C1338" s="257"/>
      <c r="D1338" s="265"/>
      <c r="E1338" s="265"/>
      <c r="F1338" s="257"/>
      <c r="G1338" s="265"/>
      <c r="H1338" s="256"/>
      <c r="I1338" s="257"/>
      <c r="J1338" s="32"/>
      <c r="K1338" s="32"/>
      <c r="L1338" s="32"/>
      <c r="M1338" s="32"/>
      <c r="N1338" s="257"/>
      <c r="O1338" s="32"/>
      <c r="P1338" s="32"/>
      <c r="Q1338" s="32"/>
      <c r="R1338" s="32"/>
      <c r="S1338" s="32"/>
      <c r="T1338" s="264"/>
      <c r="U1338" s="16"/>
      <c r="V1338" s="16"/>
      <c r="W1338" s="16"/>
      <c r="X1338" s="32"/>
      <c r="Y1338" s="250"/>
    </row>
    <row r="1339">
      <c r="A1339" s="32"/>
      <c r="B1339" s="32"/>
      <c r="C1339" s="257"/>
      <c r="D1339" s="265"/>
      <c r="E1339" s="265"/>
      <c r="F1339" s="257"/>
      <c r="G1339" s="265"/>
      <c r="H1339" s="256"/>
      <c r="I1339" s="257"/>
      <c r="J1339" s="32"/>
      <c r="K1339" s="32"/>
      <c r="L1339" s="32"/>
      <c r="M1339" s="32"/>
      <c r="N1339" s="257"/>
      <c r="O1339" s="32"/>
      <c r="P1339" s="32"/>
      <c r="Q1339" s="32"/>
      <c r="R1339" s="32"/>
      <c r="S1339" s="32"/>
      <c r="T1339" s="264"/>
      <c r="U1339" s="16"/>
      <c r="V1339" s="16"/>
      <c r="W1339" s="16"/>
      <c r="X1339" s="32"/>
      <c r="Y1339" s="250"/>
    </row>
    <row r="1340">
      <c r="A1340" s="32"/>
      <c r="B1340" s="32"/>
      <c r="C1340" s="257"/>
      <c r="D1340" s="265"/>
      <c r="E1340" s="265"/>
      <c r="F1340" s="257"/>
      <c r="G1340" s="265"/>
      <c r="H1340" s="256"/>
      <c r="I1340" s="257"/>
      <c r="J1340" s="32"/>
      <c r="K1340" s="32"/>
      <c r="L1340" s="32"/>
      <c r="M1340" s="32"/>
      <c r="N1340" s="257"/>
      <c r="O1340" s="32"/>
      <c r="P1340" s="32"/>
      <c r="Q1340" s="32"/>
      <c r="R1340" s="32"/>
      <c r="S1340" s="32"/>
      <c r="T1340" s="264"/>
      <c r="U1340" s="16"/>
      <c r="V1340" s="16"/>
      <c r="W1340" s="16"/>
      <c r="X1340" s="32"/>
      <c r="Y1340" s="250"/>
    </row>
    <row r="1341">
      <c r="A1341" s="32"/>
      <c r="B1341" s="32"/>
      <c r="C1341" s="257"/>
      <c r="D1341" s="265"/>
      <c r="E1341" s="265"/>
      <c r="F1341" s="257"/>
      <c r="G1341" s="265"/>
      <c r="H1341" s="256"/>
      <c r="I1341" s="257"/>
      <c r="J1341" s="32"/>
      <c r="K1341" s="32"/>
      <c r="L1341" s="32"/>
      <c r="M1341" s="32"/>
      <c r="N1341" s="257"/>
      <c r="O1341" s="32"/>
      <c r="P1341" s="32"/>
      <c r="Q1341" s="32"/>
      <c r="R1341" s="32"/>
      <c r="S1341" s="32"/>
      <c r="T1341" s="264"/>
      <c r="U1341" s="16"/>
      <c r="V1341" s="16"/>
      <c r="W1341" s="16"/>
      <c r="X1341" s="32"/>
      <c r="Y1341" s="250"/>
    </row>
    <row r="1342">
      <c r="A1342" s="32"/>
      <c r="B1342" s="32"/>
      <c r="C1342" s="257"/>
      <c r="D1342" s="265"/>
      <c r="E1342" s="265"/>
      <c r="F1342" s="257"/>
      <c r="G1342" s="265"/>
      <c r="H1342" s="256"/>
      <c r="I1342" s="257"/>
      <c r="J1342" s="32"/>
      <c r="K1342" s="32"/>
      <c r="L1342" s="32"/>
      <c r="M1342" s="32"/>
      <c r="N1342" s="257"/>
      <c r="O1342" s="32"/>
      <c r="P1342" s="32"/>
      <c r="Q1342" s="32"/>
      <c r="R1342" s="32"/>
      <c r="S1342" s="32"/>
      <c r="T1342" s="264"/>
      <c r="U1342" s="16"/>
      <c r="V1342" s="16"/>
      <c r="W1342" s="16"/>
      <c r="X1342" s="32"/>
      <c r="Y1342" s="250"/>
    </row>
    <row r="1343">
      <c r="A1343" s="32"/>
      <c r="B1343" s="32"/>
      <c r="C1343" s="257"/>
      <c r="D1343" s="265"/>
      <c r="E1343" s="265"/>
      <c r="F1343" s="257"/>
      <c r="G1343" s="265"/>
      <c r="H1343" s="256"/>
      <c r="I1343" s="257"/>
      <c r="J1343" s="32"/>
      <c r="K1343" s="32"/>
      <c r="L1343" s="32"/>
      <c r="M1343" s="32"/>
      <c r="N1343" s="257"/>
      <c r="O1343" s="32"/>
      <c r="P1343" s="32"/>
      <c r="Q1343" s="32"/>
      <c r="R1343" s="32"/>
      <c r="S1343" s="32"/>
      <c r="T1343" s="264"/>
      <c r="U1343" s="16"/>
      <c r="V1343" s="16"/>
      <c r="W1343" s="16"/>
      <c r="X1343" s="32"/>
      <c r="Y1343" s="250"/>
    </row>
    <row r="1344">
      <c r="A1344" s="32"/>
      <c r="B1344" s="32"/>
      <c r="C1344" s="257"/>
      <c r="D1344" s="265"/>
      <c r="E1344" s="265"/>
      <c r="F1344" s="257"/>
      <c r="G1344" s="265"/>
      <c r="H1344" s="256"/>
      <c r="I1344" s="257"/>
      <c r="J1344" s="32"/>
      <c r="K1344" s="32"/>
      <c r="L1344" s="32"/>
      <c r="M1344" s="32"/>
      <c r="N1344" s="257"/>
      <c r="O1344" s="32"/>
      <c r="P1344" s="32"/>
      <c r="Q1344" s="32"/>
      <c r="R1344" s="32"/>
      <c r="S1344" s="32"/>
      <c r="T1344" s="264"/>
      <c r="U1344" s="16"/>
      <c r="V1344" s="16"/>
      <c r="W1344" s="16"/>
      <c r="X1344" s="32"/>
      <c r="Y1344" s="250"/>
    </row>
    <row r="1345">
      <c r="A1345" s="32"/>
      <c r="B1345" s="32"/>
      <c r="C1345" s="257"/>
      <c r="D1345" s="265"/>
      <c r="E1345" s="265"/>
      <c r="F1345" s="257"/>
      <c r="G1345" s="265"/>
      <c r="H1345" s="256"/>
      <c r="I1345" s="257"/>
      <c r="J1345" s="32"/>
      <c r="K1345" s="32"/>
      <c r="L1345" s="32"/>
      <c r="M1345" s="32"/>
      <c r="N1345" s="257"/>
      <c r="O1345" s="32"/>
      <c r="P1345" s="32"/>
      <c r="Q1345" s="32"/>
      <c r="R1345" s="32"/>
      <c r="S1345" s="32"/>
      <c r="T1345" s="264"/>
      <c r="U1345" s="16"/>
      <c r="V1345" s="16"/>
      <c r="W1345" s="16"/>
      <c r="X1345" s="32"/>
      <c r="Y1345" s="250"/>
    </row>
    <row r="1346">
      <c r="A1346" s="32"/>
      <c r="B1346" s="32"/>
      <c r="C1346" s="257"/>
      <c r="D1346" s="265"/>
      <c r="E1346" s="265"/>
      <c r="F1346" s="257"/>
      <c r="G1346" s="265"/>
      <c r="H1346" s="256"/>
      <c r="I1346" s="257"/>
      <c r="J1346" s="32"/>
      <c r="K1346" s="32"/>
      <c r="L1346" s="32"/>
      <c r="M1346" s="32"/>
      <c r="N1346" s="257"/>
      <c r="O1346" s="32"/>
      <c r="P1346" s="32"/>
      <c r="Q1346" s="32"/>
      <c r="R1346" s="32"/>
      <c r="S1346" s="32"/>
      <c r="T1346" s="264"/>
      <c r="U1346" s="16"/>
      <c r="V1346" s="16"/>
      <c r="W1346" s="16"/>
      <c r="X1346" s="32"/>
      <c r="Y1346" s="250"/>
    </row>
    <row r="1347">
      <c r="A1347" s="32"/>
      <c r="B1347" s="32"/>
      <c r="C1347" s="257"/>
      <c r="D1347" s="265"/>
      <c r="E1347" s="265"/>
      <c r="F1347" s="257"/>
      <c r="G1347" s="265"/>
      <c r="H1347" s="256"/>
      <c r="I1347" s="257"/>
      <c r="J1347" s="32"/>
      <c r="K1347" s="32"/>
      <c r="L1347" s="32"/>
      <c r="M1347" s="32"/>
      <c r="N1347" s="257"/>
      <c r="O1347" s="32"/>
      <c r="P1347" s="32"/>
      <c r="Q1347" s="32"/>
      <c r="R1347" s="32"/>
      <c r="S1347" s="32"/>
      <c r="T1347" s="264"/>
      <c r="U1347" s="16"/>
      <c r="V1347" s="16"/>
      <c r="W1347" s="16"/>
      <c r="X1347" s="32"/>
      <c r="Y1347" s="250"/>
    </row>
    <row r="1348">
      <c r="A1348" s="32"/>
      <c r="B1348" s="32"/>
      <c r="C1348" s="257"/>
      <c r="D1348" s="265"/>
      <c r="E1348" s="265"/>
      <c r="F1348" s="257"/>
      <c r="G1348" s="265"/>
      <c r="H1348" s="256"/>
      <c r="I1348" s="257"/>
      <c r="J1348" s="32"/>
      <c r="K1348" s="32"/>
      <c r="L1348" s="32"/>
      <c r="M1348" s="32"/>
      <c r="N1348" s="257"/>
      <c r="O1348" s="32"/>
      <c r="P1348" s="32"/>
      <c r="Q1348" s="32"/>
      <c r="R1348" s="32"/>
      <c r="S1348" s="32"/>
      <c r="T1348" s="264"/>
      <c r="U1348" s="16"/>
      <c r="V1348" s="16"/>
      <c r="W1348" s="16"/>
      <c r="X1348" s="32"/>
      <c r="Y1348" s="250"/>
    </row>
    <row r="1349">
      <c r="A1349" s="32"/>
      <c r="B1349" s="32"/>
      <c r="C1349" s="257"/>
      <c r="D1349" s="265"/>
      <c r="E1349" s="265"/>
      <c r="F1349" s="257"/>
      <c r="G1349" s="265"/>
      <c r="H1349" s="256"/>
      <c r="I1349" s="257"/>
      <c r="J1349" s="32"/>
      <c r="K1349" s="32"/>
      <c r="L1349" s="32"/>
      <c r="M1349" s="32"/>
      <c r="N1349" s="257"/>
      <c r="O1349" s="32"/>
      <c r="P1349" s="32"/>
      <c r="Q1349" s="32"/>
      <c r="R1349" s="32"/>
      <c r="S1349" s="32"/>
      <c r="T1349" s="264"/>
      <c r="U1349" s="16"/>
      <c r="V1349" s="16"/>
      <c r="W1349" s="16"/>
      <c r="X1349" s="32"/>
      <c r="Y1349" s="250"/>
    </row>
    <row r="1350">
      <c r="A1350" s="32"/>
      <c r="B1350" s="32"/>
      <c r="C1350" s="257"/>
      <c r="D1350" s="265"/>
      <c r="E1350" s="265"/>
      <c r="F1350" s="257"/>
      <c r="G1350" s="265"/>
      <c r="H1350" s="256"/>
      <c r="I1350" s="257"/>
      <c r="J1350" s="32"/>
      <c r="K1350" s="32"/>
      <c r="L1350" s="32"/>
      <c r="M1350" s="32"/>
      <c r="N1350" s="257"/>
      <c r="O1350" s="32"/>
      <c r="P1350" s="32"/>
      <c r="Q1350" s="32"/>
      <c r="R1350" s="32"/>
      <c r="S1350" s="32"/>
      <c r="T1350" s="264"/>
      <c r="U1350" s="16"/>
      <c r="V1350" s="16"/>
      <c r="W1350" s="16"/>
      <c r="X1350" s="32"/>
      <c r="Y1350" s="250"/>
    </row>
    <row r="1351">
      <c r="A1351" s="32"/>
      <c r="B1351" s="32"/>
      <c r="C1351" s="257"/>
      <c r="D1351" s="265"/>
      <c r="E1351" s="265"/>
      <c r="F1351" s="257"/>
      <c r="G1351" s="265"/>
      <c r="H1351" s="256"/>
      <c r="I1351" s="257"/>
      <c r="J1351" s="32"/>
      <c r="K1351" s="32"/>
      <c r="L1351" s="32"/>
      <c r="M1351" s="32"/>
      <c r="N1351" s="257"/>
      <c r="O1351" s="32"/>
      <c r="P1351" s="32"/>
      <c r="Q1351" s="32"/>
      <c r="R1351" s="32"/>
      <c r="S1351" s="32"/>
      <c r="T1351" s="264"/>
      <c r="U1351" s="16"/>
      <c r="V1351" s="16"/>
      <c r="W1351" s="16"/>
      <c r="X1351" s="32"/>
      <c r="Y1351" s="250"/>
    </row>
    <row r="1352">
      <c r="A1352" s="32"/>
      <c r="B1352" s="32"/>
      <c r="C1352" s="257"/>
      <c r="D1352" s="265"/>
      <c r="E1352" s="265"/>
      <c r="F1352" s="257"/>
      <c r="G1352" s="265"/>
      <c r="H1352" s="256"/>
      <c r="I1352" s="257"/>
      <c r="J1352" s="32"/>
      <c r="K1352" s="32"/>
      <c r="L1352" s="32"/>
      <c r="M1352" s="32"/>
      <c r="N1352" s="257"/>
      <c r="O1352" s="32"/>
      <c r="P1352" s="32"/>
      <c r="Q1352" s="32"/>
      <c r="R1352" s="32"/>
      <c r="S1352" s="32"/>
      <c r="T1352" s="264"/>
      <c r="U1352" s="16"/>
      <c r="V1352" s="16"/>
      <c r="W1352" s="16"/>
      <c r="X1352" s="32"/>
      <c r="Y1352" s="250"/>
    </row>
    <row r="1353">
      <c r="A1353" s="32"/>
      <c r="B1353" s="32"/>
      <c r="C1353" s="257"/>
      <c r="D1353" s="265"/>
      <c r="E1353" s="265"/>
      <c r="F1353" s="257"/>
      <c r="G1353" s="265"/>
      <c r="H1353" s="256"/>
      <c r="I1353" s="257"/>
      <c r="J1353" s="32"/>
      <c r="K1353" s="32"/>
      <c r="L1353" s="32"/>
      <c r="M1353" s="32"/>
      <c r="N1353" s="257"/>
      <c r="O1353" s="32"/>
      <c r="P1353" s="32"/>
      <c r="Q1353" s="32"/>
      <c r="R1353" s="32"/>
      <c r="S1353" s="32"/>
      <c r="T1353" s="264"/>
      <c r="U1353" s="16"/>
      <c r="V1353" s="16"/>
      <c r="W1353" s="16"/>
      <c r="X1353" s="32"/>
      <c r="Y1353" s="250"/>
    </row>
    <row r="1354">
      <c r="A1354" s="32"/>
      <c r="B1354" s="32"/>
      <c r="C1354" s="257"/>
      <c r="D1354" s="265"/>
      <c r="E1354" s="265"/>
      <c r="F1354" s="257"/>
      <c r="G1354" s="265"/>
      <c r="H1354" s="256"/>
      <c r="I1354" s="257"/>
      <c r="J1354" s="32"/>
      <c r="K1354" s="32"/>
      <c r="L1354" s="32"/>
      <c r="M1354" s="32"/>
      <c r="N1354" s="257"/>
      <c r="O1354" s="32"/>
      <c r="P1354" s="32"/>
      <c r="Q1354" s="32"/>
      <c r="R1354" s="32"/>
      <c r="S1354" s="32"/>
      <c r="T1354" s="264"/>
      <c r="U1354" s="16"/>
      <c r="V1354" s="16"/>
      <c r="W1354" s="16"/>
      <c r="X1354" s="32"/>
      <c r="Y1354" s="250"/>
    </row>
    <row r="1355">
      <c r="A1355" s="32"/>
      <c r="B1355" s="32"/>
      <c r="C1355" s="257"/>
      <c r="D1355" s="265"/>
      <c r="E1355" s="265"/>
      <c r="F1355" s="257"/>
      <c r="G1355" s="265"/>
      <c r="H1355" s="256"/>
      <c r="I1355" s="257"/>
      <c r="J1355" s="32"/>
      <c r="K1355" s="32"/>
      <c r="L1355" s="32"/>
      <c r="M1355" s="32"/>
      <c r="N1355" s="257"/>
      <c r="O1355" s="32"/>
      <c r="P1355" s="32"/>
      <c r="Q1355" s="32"/>
      <c r="R1355" s="32"/>
      <c r="S1355" s="32"/>
      <c r="T1355" s="264"/>
      <c r="U1355" s="16"/>
      <c r="V1355" s="16"/>
      <c r="W1355" s="16"/>
      <c r="X1355" s="32"/>
      <c r="Y1355" s="250"/>
    </row>
    <row r="1356">
      <c r="A1356" s="32"/>
      <c r="B1356" s="32"/>
      <c r="C1356" s="257"/>
      <c r="D1356" s="265"/>
      <c r="E1356" s="265"/>
      <c r="F1356" s="257"/>
      <c r="G1356" s="265"/>
      <c r="H1356" s="256"/>
      <c r="I1356" s="257"/>
      <c r="J1356" s="32"/>
      <c r="K1356" s="32"/>
      <c r="L1356" s="32"/>
      <c r="M1356" s="32"/>
      <c r="N1356" s="257"/>
      <c r="O1356" s="32"/>
      <c r="P1356" s="32"/>
      <c r="Q1356" s="32"/>
      <c r="R1356" s="32"/>
      <c r="S1356" s="32"/>
      <c r="T1356" s="264"/>
      <c r="U1356" s="16"/>
      <c r="V1356" s="16"/>
      <c r="W1356" s="16"/>
      <c r="X1356" s="32"/>
      <c r="Y1356" s="250"/>
    </row>
    <row r="1357">
      <c r="A1357" s="32"/>
      <c r="B1357" s="32"/>
      <c r="C1357" s="257"/>
      <c r="D1357" s="265"/>
      <c r="E1357" s="265"/>
      <c r="F1357" s="257"/>
      <c r="G1357" s="265"/>
      <c r="H1357" s="256"/>
      <c r="I1357" s="257"/>
      <c r="J1357" s="32"/>
      <c r="K1357" s="32"/>
      <c r="L1357" s="32"/>
      <c r="M1357" s="32"/>
      <c r="N1357" s="257"/>
      <c r="O1357" s="32"/>
      <c r="P1357" s="32"/>
      <c r="Q1357" s="32"/>
      <c r="R1357" s="32"/>
      <c r="S1357" s="32"/>
      <c r="T1357" s="264"/>
      <c r="U1357" s="16"/>
      <c r="V1357" s="16"/>
      <c r="W1357" s="16"/>
      <c r="X1357" s="32"/>
      <c r="Y1357" s="250"/>
    </row>
    <row r="1358">
      <c r="A1358" s="32"/>
      <c r="B1358" s="32"/>
      <c r="C1358" s="257"/>
      <c r="D1358" s="265"/>
      <c r="E1358" s="265"/>
      <c r="F1358" s="257"/>
      <c r="G1358" s="265"/>
      <c r="H1358" s="256"/>
      <c r="I1358" s="257"/>
      <c r="J1358" s="32"/>
      <c r="K1358" s="32"/>
      <c r="L1358" s="32"/>
      <c r="M1358" s="32"/>
      <c r="N1358" s="257"/>
      <c r="O1358" s="32"/>
      <c r="P1358" s="32"/>
      <c r="Q1358" s="32"/>
      <c r="R1358" s="32"/>
      <c r="S1358" s="32"/>
      <c r="T1358" s="264"/>
      <c r="U1358" s="16"/>
      <c r="V1358" s="16"/>
      <c r="W1358" s="16"/>
      <c r="X1358" s="32"/>
      <c r="Y1358" s="250"/>
    </row>
    <row r="1359">
      <c r="A1359" s="32"/>
      <c r="B1359" s="32"/>
      <c r="C1359" s="257"/>
      <c r="D1359" s="265"/>
      <c r="E1359" s="265"/>
      <c r="F1359" s="257"/>
      <c r="G1359" s="265"/>
      <c r="H1359" s="256"/>
      <c r="I1359" s="257"/>
      <c r="J1359" s="32"/>
      <c r="K1359" s="32"/>
      <c r="L1359" s="32"/>
      <c r="M1359" s="32"/>
      <c r="N1359" s="257"/>
      <c r="O1359" s="32"/>
      <c r="P1359" s="32"/>
      <c r="Q1359" s="32"/>
      <c r="R1359" s="32"/>
      <c r="S1359" s="32"/>
      <c r="T1359" s="264"/>
      <c r="U1359" s="16"/>
      <c r="V1359" s="16"/>
      <c r="W1359" s="16"/>
      <c r="X1359" s="32"/>
      <c r="Y1359" s="250"/>
    </row>
    <row r="1360">
      <c r="A1360" s="32"/>
      <c r="B1360" s="32"/>
      <c r="C1360" s="257"/>
      <c r="D1360" s="265"/>
      <c r="E1360" s="265"/>
      <c r="F1360" s="257"/>
      <c r="G1360" s="265"/>
      <c r="H1360" s="256"/>
      <c r="I1360" s="257"/>
      <c r="J1360" s="32"/>
      <c r="K1360" s="32"/>
      <c r="L1360" s="32"/>
      <c r="M1360" s="32"/>
      <c r="N1360" s="257"/>
      <c r="O1360" s="32"/>
      <c r="P1360" s="32"/>
      <c r="Q1360" s="32"/>
      <c r="R1360" s="32"/>
      <c r="S1360" s="32"/>
      <c r="T1360" s="264"/>
      <c r="U1360" s="16"/>
      <c r="V1360" s="16"/>
      <c r="W1360" s="16"/>
      <c r="X1360" s="32"/>
      <c r="Y1360" s="250"/>
    </row>
    <row r="1361">
      <c r="A1361" s="32"/>
      <c r="B1361" s="32"/>
      <c r="C1361" s="257"/>
      <c r="D1361" s="265"/>
      <c r="E1361" s="265"/>
      <c r="F1361" s="257"/>
      <c r="G1361" s="265"/>
      <c r="H1361" s="256"/>
      <c r="I1361" s="257"/>
      <c r="J1361" s="32"/>
      <c r="K1361" s="32"/>
      <c r="L1361" s="32"/>
      <c r="M1361" s="32"/>
      <c r="N1361" s="257"/>
      <c r="O1361" s="32"/>
      <c r="P1361" s="32"/>
      <c r="Q1361" s="32"/>
      <c r="R1361" s="32"/>
      <c r="S1361" s="32"/>
      <c r="T1361" s="264"/>
      <c r="U1361" s="16"/>
      <c r="V1361" s="16"/>
      <c r="W1361" s="16"/>
      <c r="X1361" s="32"/>
      <c r="Y1361" s="250"/>
    </row>
    <row r="1362">
      <c r="A1362" s="32"/>
      <c r="B1362" s="32"/>
      <c r="C1362" s="257"/>
      <c r="D1362" s="265"/>
      <c r="E1362" s="265"/>
      <c r="F1362" s="257"/>
      <c r="G1362" s="265"/>
      <c r="H1362" s="256"/>
      <c r="I1362" s="257"/>
      <c r="J1362" s="32"/>
      <c r="K1362" s="32"/>
      <c r="L1362" s="32"/>
      <c r="M1362" s="32"/>
      <c r="N1362" s="257"/>
      <c r="O1362" s="32"/>
      <c r="P1362" s="32"/>
      <c r="Q1362" s="32"/>
      <c r="R1362" s="32"/>
      <c r="S1362" s="32"/>
      <c r="T1362" s="264"/>
      <c r="U1362" s="16"/>
      <c r="V1362" s="16"/>
      <c r="W1362" s="16"/>
      <c r="X1362" s="32"/>
      <c r="Y1362" s="250"/>
    </row>
    <row r="1363">
      <c r="A1363" s="32"/>
      <c r="B1363" s="32"/>
      <c r="C1363" s="257"/>
      <c r="D1363" s="265"/>
      <c r="E1363" s="265"/>
      <c r="F1363" s="257"/>
      <c r="G1363" s="265"/>
      <c r="H1363" s="256"/>
      <c r="I1363" s="257"/>
      <c r="J1363" s="32"/>
      <c r="K1363" s="32"/>
      <c r="L1363" s="32"/>
      <c r="M1363" s="32"/>
      <c r="N1363" s="257"/>
      <c r="O1363" s="32"/>
      <c r="P1363" s="32"/>
      <c r="Q1363" s="32"/>
      <c r="R1363" s="32"/>
      <c r="S1363" s="32"/>
      <c r="T1363" s="264"/>
      <c r="U1363" s="16"/>
      <c r="V1363" s="16"/>
      <c r="W1363" s="16"/>
      <c r="X1363" s="32"/>
      <c r="Y1363" s="250"/>
    </row>
    <row r="1364">
      <c r="A1364" s="32"/>
      <c r="B1364" s="32"/>
      <c r="C1364" s="257"/>
      <c r="D1364" s="265"/>
      <c r="E1364" s="265"/>
      <c r="F1364" s="257"/>
      <c r="G1364" s="265"/>
      <c r="H1364" s="256"/>
      <c r="I1364" s="257"/>
      <c r="J1364" s="32"/>
      <c r="K1364" s="32"/>
      <c r="L1364" s="32"/>
      <c r="M1364" s="32"/>
      <c r="N1364" s="257"/>
      <c r="O1364" s="32"/>
      <c r="P1364" s="32"/>
      <c r="Q1364" s="32"/>
      <c r="R1364" s="32"/>
      <c r="S1364" s="32"/>
      <c r="T1364" s="264"/>
      <c r="U1364" s="16"/>
      <c r="V1364" s="16"/>
      <c r="W1364" s="16"/>
      <c r="X1364" s="32"/>
      <c r="Y1364" s="250"/>
    </row>
    <row r="1365">
      <c r="A1365" s="32"/>
      <c r="B1365" s="32"/>
      <c r="C1365" s="257"/>
      <c r="D1365" s="265"/>
      <c r="E1365" s="265"/>
      <c r="F1365" s="257"/>
      <c r="G1365" s="265"/>
      <c r="H1365" s="256"/>
      <c r="I1365" s="257"/>
      <c r="J1365" s="32"/>
      <c r="K1365" s="32"/>
      <c r="L1365" s="32"/>
      <c r="M1365" s="32"/>
      <c r="N1365" s="257"/>
      <c r="O1365" s="32"/>
      <c r="P1365" s="32"/>
      <c r="Q1365" s="32"/>
      <c r="R1365" s="32"/>
      <c r="S1365" s="32"/>
      <c r="T1365" s="264"/>
      <c r="U1365" s="16"/>
      <c r="V1365" s="16"/>
      <c r="W1365" s="16"/>
      <c r="X1365" s="32"/>
      <c r="Y1365" s="250"/>
    </row>
    <row r="1366">
      <c r="A1366" s="32"/>
      <c r="B1366" s="32"/>
      <c r="C1366" s="257"/>
      <c r="D1366" s="265"/>
      <c r="E1366" s="265"/>
      <c r="F1366" s="257"/>
      <c r="G1366" s="265"/>
      <c r="H1366" s="256"/>
      <c r="I1366" s="257"/>
      <c r="J1366" s="32"/>
      <c r="K1366" s="32"/>
      <c r="L1366" s="32"/>
      <c r="M1366" s="32"/>
      <c r="N1366" s="257"/>
      <c r="O1366" s="32"/>
      <c r="P1366" s="32"/>
      <c r="Q1366" s="32"/>
      <c r="R1366" s="32"/>
      <c r="S1366" s="32"/>
      <c r="T1366" s="264"/>
      <c r="U1366" s="16"/>
      <c r="V1366" s="16"/>
      <c r="W1366" s="16"/>
      <c r="X1366" s="32"/>
      <c r="Y1366" s="250"/>
    </row>
    <row r="1367">
      <c r="A1367" s="32"/>
      <c r="B1367" s="32"/>
      <c r="C1367" s="257"/>
      <c r="D1367" s="265"/>
      <c r="E1367" s="265"/>
      <c r="F1367" s="257"/>
      <c r="G1367" s="265"/>
      <c r="H1367" s="256"/>
      <c r="I1367" s="257"/>
      <c r="J1367" s="32"/>
      <c r="K1367" s="32"/>
      <c r="L1367" s="32"/>
      <c r="M1367" s="32"/>
      <c r="N1367" s="257"/>
      <c r="O1367" s="32"/>
      <c r="P1367" s="32"/>
      <c r="Q1367" s="32"/>
      <c r="R1367" s="32"/>
      <c r="S1367" s="32"/>
      <c r="T1367" s="264"/>
      <c r="U1367" s="16"/>
      <c r="V1367" s="16"/>
      <c r="W1367" s="16"/>
      <c r="X1367" s="32"/>
      <c r="Y1367" s="250"/>
    </row>
    <row r="1368">
      <c r="A1368" s="32"/>
      <c r="B1368" s="32"/>
      <c r="C1368" s="257"/>
      <c r="D1368" s="265"/>
      <c r="E1368" s="265"/>
      <c r="F1368" s="257"/>
      <c r="G1368" s="265"/>
      <c r="H1368" s="256"/>
      <c r="I1368" s="257"/>
      <c r="J1368" s="32"/>
      <c r="K1368" s="32"/>
      <c r="L1368" s="32"/>
      <c r="M1368" s="32"/>
      <c r="N1368" s="257"/>
      <c r="O1368" s="32"/>
      <c r="P1368" s="32"/>
      <c r="Q1368" s="32"/>
      <c r="R1368" s="32"/>
      <c r="S1368" s="32"/>
      <c r="T1368" s="264"/>
      <c r="U1368" s="16"/>
      <c r="V1368" s="16"/>
      <c r="W1368" s="16"/>
      <c r="X1368" s="32"/>
      <c r="Y1368" s="250"/>
    </row>
    <row r="1369">
      <c r="A1369" s="32"/>
      <c r="B1369" s="32"/>
      <c r="C1369" s="257"/>
      <c r="D1369" s="265"/>
      <c r="E1369" s="265"/>
      <c r="F1369" s="257"/>
      <c r="G1369" s="265"/>
      <c r="H1369" s="256"/>
      <c r="I1369" s="257"/>
      <c r="J1369" s="32"/>
      <c r="K1369" s="32"/>
      <c r="L1369" s="32"/>
      <c r="M1369" s="32"/>
      <c r="N1369" s="257"/>
      <c r="O1369" s="32"/>
      <c r="P1369" s="32"/>
      <c r="Q1369" s="32"/>
      <c r="R1369" s="32"/>
      <c r="S1369" s="32"/>
      <c r="T1369" s="264"/>
      <c r="U1369" s="16"/>
      <c r="V1369" s="16"/>
      <c r="W1369" s="16"/>
      <c r="X1369" s="32"/>
      <c r="Y1369" s="250"/>
    </row>
    <row r="1370">
      <c r="A1370" s="32"/>
      <c r="B1370" s="32"/>
      <c r="C1370" s="257"/>
      <c r="D1370" s="265"/>
      <c r="E1370" s="265"/>
      <c r="F1370" s="257"/>
      <c r="G1370" s="265"/>
      <c r="H1370" s="256"/>
      <c r="I1370" s="257"/>
      <c r="J1370" s="32"/>
      <c r="K1370" s="32"/>
      <c r="L1370" s="32"/>
      <c r="M1370" s="32"/>
      <c r="N1370" s="257"/>
      <c r="O1370" s="32"/>
      <c r="P1370" s="32"/>
      <c r="Q1370" s="32"/>
      <c r="R1370" s="32"/>
      <c r="S1370" s="32"/>
      <c r="T1370" s="264"/>
      <c r="U1370" s="16"/>
      <c r="V1370" s="16"/>
      <c r="W1370" s="16"/>
      <c r="X1370" s="32"/>
      <c r="Y1370" s="250"/>
    </row>
    <row r="1371">
      <c r="A1371" s="32"/>
      <c r="B1371" s="32"/>
      <c r="C1371" s="257"/>
      <c r="D1371" s="265"/>
      <c r="E1371" s="265"/>
      <c r="F1371" s="257"/>
      <c r="G1371" s="265"/>
      <c r="H1371" s="256"/>
      <c r="I1371" s="257"/>
      <c r="J1371" s="32"/>
      <c r="K1371" s="32"/>
      <c r="L1371" s="32"/>
      <c r="M1371" s="32"/>
      <c r="N1371" s="257"/>
      <c r="O1371" s="32"/>
      <c r="P1371" s="32"/>
      <c r="Q1371" s="32"/>
      <c r="R1371" s="32"/>
      <c r="S1371" s="32"/>
      <c r="T1371" s="264"/>
      <c r="U1371" s="16"/>
      <c r="V1371" s="16"/>
      <c r="W1371" s="16"/>
      <c r="X1371" s="32"/>
      <c r="Y1371" s="250"/>
    </row>
    <row r="1372">
      <c r="A1372" s="32"/>
      <c r="B1372" s="32"/>
      <c r="C1372" s="257"/>
      <c r="D1372" s="265"/>
      <c r="E1372" s="265"/>
      <c r="F1372" s="257"/>
      <c r="G1372" s="265"/>
      <c r="H1372" s="256"/>
      <c r="I1372" s="257"/>
      <c r="J1372" s="32"/>
      <c r="K1372" s="32"/>
      <c r="L1372" s="32"/>
      <c r="M1372" s="32"/>
      <c r="N1372" s="257"/>
      <c r="O1372" s="32"/>
      <c r="P1372" s="32"/>
      <c r="Q1372" s="32"/>
      <c r="R1372" s="32"/>
      <c r="S1372" s="32"/>
      <c r="T1372" s="264"/>
      <c r="U1372" s="16"/>
      <c r="V1372" s="16"/>
      <c r="W1372" s="16"/>
      <c r="X1372" s="32"/>
      <c r="Y1372" s="250"/>
    </row>
    <row r="1373">
      <c r="A1373" s="32"/>
      <c r="B1373" s="32"/>
      <c r="C1373" s="257"/>
      <c r="D1373" s="265"/>
      <c r="E1373" s="265"/>
      <c r="F1373" s="257"/>
      <c r="G1373" s="265"/>
      <c r="H1373" s="256"/>
      <c r="I1373" s="257"/>
      <c r="J1373" s="32"/>
      <c r="K1373" s="32"/>
      <c r="L1373" s="32"/>
      <c r="M1373" s="32"/>
      <c r="N1373" s="257"/>
      <c r="O1373" s="32"/>
      <c r="P1373" s="32"/>
      <c r="Q1373" s="32"/>
      <c r="R1373" s="32"/>
      <c r="S1373" s="32"/>
      <c r="T1373" s="264"/>
      <c r="U1373" s="16"/>
      <c r="V1373" s="16"/>
      <c r="W1373" s="16"/>
      <c r="X1373" s="32"/>
      <c r="Y1373" s="250"/>
    </row>
    <row r="1374">
      <c r="A1374" s="32"/>
      <c r="B1374" s="32"/>
      <c r="C1374" s="257"/>
      <c r="D1374" s="265"/>
      <c r="E1374" s="265"/>
      <c r="F1374" s="257"/>
      <c r="G1374" s="265"/>
      <c r="H1374" s="256"/>
      <c r="I1374" s="257"/>
      <c r="J1374" s="32"/>
      <c r="K1374" s="32"/>
      <c r="L1374" s="32"/>
      <c r="M1374" s="32"/>
      <c r="N1374" s="257"/>
      <c r="O1374" s="32"/>
      <c r="P1374" s="32"/>
      <c r="Q1374" s="32"/>
      <c r="R1374" s="32"/>
      <c r="S1374" s="32"/>
      <c r="T1374" s="264"/>
      <c r="U1374" s="16"/>
      <c r="V1374" s="16"/>
      <c r="W1374" s="16"/>
      <c r="X1374" s="32"/>
      <c r="Y1374" s="250"/>
    </row>
    <row r="1375">
      <c r="A1375" s="32"/>
      <c r="B1375" s="32"/>
      <c r="C1375" s="257"/>
      <c r="D1375" s="265"/>
      <c r="E1375" s="265"/>
      <c r="F1375" s="257"/>
      <c r="G1375" s="265"/>
      <c r="H1375" s="256"/>
      <c r="I1375" s="257"/>
      <c r="J1375" s="32"/>
      <c r="K1375" s="32"/>
      <c r="L1375" s="32"/>
      <c r="M1375" s="32"/>
      <c r="N1375" s="257"/>
      <c r="O1375" s="32"/>
      <c r="P1375" s="32"/>
      <c r="Q1375" s="32"/>
      <c r="R1375" s="32"/>
      <c r="S1375" s="32"/>
      <c r="T1375" s="264"/>
      <c r="U1375" s="16"/>
      <c r="V1375" s="16"/>
      <c r="W1375" s="16"/>
      <c r="X1375" s="32"/>
      <c r="Y1375" s="250"/>
    </row>
    <row r="1376">
      <c r="A1376" s="32"/>
      <c r="B1376" s="32"/>
      <c r="C1376" s="257"/>
      <c r="D1376" s="265"/>
      <c r="E1376" s="265"/>
      <c r="F1376" s="257"/>
      <c r="G1376" s="265"/>
      <c r="H1376" s="256"/>
      <c r="I1376" s="257"/>
      <c r="J1376" s="32"/>
      <c r="K1376" s="32"/>
      <c r="L1376" s="32"/>
      <c r="M1376" s="32"/>
      <c r="N1376" s="257"/>
      <c r="O1376" s="32"/>
      <c r="P1376" s="32"/>
      <c r="Q1376" s="32"/>
      <c r="R1376" s="32"/>
      <c r="S1376" s="32"/>
      <c r="T1376" s="264"/>
      <c r="U1376" s="16"/>
      <c r="V1376" s="16"/>
      <c r="W1376" s="16"/>
      <c r="X1376" s="32"/>
      <c r="Y1376" s="250"/>
    </row>
    <row r="1377">
      <c r="A1377" s="32"/>
      <c r="B1377" s="32"/>
      <c r="C1377" s="257"/>
      <c r="D1377" s="265"/>
      <c r="E1377" s="265"/>
      <c r="F1377" s="257"/>
      <c r="G1377" s="265"/>
      <c r="H1377" s="256"/>
      <c r="I1377" s="257"/>
      <c r="J1377" s="32"/>
      <c r="K1377" s="32"/>
      <c r="L1377" s="32"/>
      <c r="M1377" s="32"/>
      <c r="N1377" s="257"/>
      <c r="O1377" s="32"/>
      <c r="P1377" s="32"/>
      <c r="Q1377" s="32"/>
      <c r="R1377" s="32"/>
      <c r="S1377" s="32"/>
      <c r="T1377" s="264"/>
      <c r="U1377" s="16"/>
      <c r="V1377" s="16"/>
      <c r="W1377" s="16"/>
      <c r="X1377" s="32"/>
      <c r="Y1377" s="250"/>
    </row>
    <row r="1378">
      <c r="A1378" s="32"/>
      <c r="B1378" s="32"/>
      <c r="C1378" s="257"/>
      <c r="D1378" s="265"/>
      <c r="E1378" s="265"/>
      <c r="F1378" s="257"/>
      <c r="G1378" s="265"/>
      <c r="H1378" s="256"/>
      <c r="I1378" s="257"/>
      <c r="J1378" s="32"/>
      <c r="K1378" s="32"/>
      <c r="L1378" s="32"/>
      <c r="M1378" s="32"/>
      <c r="N1378" s="257"/>
      <c r="O1378" s="32"/>
      <c r="P1378" s="32"/>
      <c r="Q1378" s="32"/>
      <c r="R1378" s="32"/>
      <c r="S1378" s="32"/>
      <c r="T1378" s="264"/>
      <c r="U1378" s="16"/>
      <c r="V1378" s="16"/>
      <c r="W1378" s="16"/>
      <c r="X1378" s="32"/>
      <c r="Y1378" s="250"/>
    </row>
    <row r="1379">
      <c r="A1379" s="32"/>
      <c r="B1379" s="32"/>
      <c r="C1379" s="257"/>
      <c r="D1379" s="265"/>
      <c r="E1379" s="265"/>
      <c r="F1379" s="257"/>
      <c r="G1379" s="265"/>
      <c r="H1379" s="256"/>
      <c r="I1379" s="257"/>
      <c r="J1379" s="32"/>
      <c r="K1379" s="32"/>
      <c r="L1379" s="32"/>
      <c r="M1379" s="32"/>
      <c r="N1379" s="257"/>
      <c r="O1379" s="32"/>
      <c r="P1379" s="32"/>
      <c r="Q1379" s="32"/>
      <c r="R1379" s="32"/>
      <c r="S1379" s="32"/>
      <c r="T1379" s="264"/>
      <c r="U1379" s="16"/>
      <c r="V1379" s="16"/>
      <c r="W1379" s="16"/>
      <c r="X1379" s="32"/>
      <c r="Y1379" s="250"/>
    </row>
    <row r="1380">
      <c r="A1380" s="32"/>
      <c r="B1380" s="32"/>
      <c r="C1380" s="257"/>
      <c r="D1380" s="265"/>
      <c r="E1380" s="265"/>
      <c r="F1380" s="257"/>
      <c r="G1380" s="265"/>
      <c r="H1380" s="256"/>
      <c r="I1380" s="257"/>
      <c r="J1380" s="32"/>
      <c r="K1380" s="32"/>
      <c r="L1380" s="32"/>
      <c r="M1380" s="32"/>
      <c r="N1380" s="257"/>
      <c r="O1380" s="32"/>
      <c r="P1380" s="32"/>
      <c r="Q1380" s="32"/>
      <c r="R1380" s="32"/>
      <c r="S1380" s="32"/>
      <c r="T1380" s="264"/>
      <c r="U1380" s="16"/>
      <c r="V1380" s="16"/>
      <c r="W1380" s="16"/>
      <c r="X1380" s="32"/>
      <c r="Y1380" s="250"/>
    </row>
    <row r="1381">
      <c r="A1381" s="32"/>
      <c r="B1381" s="32"/>
      <c r="C1381" s="257"/>
      <c r="D1381" s="265"/>
      <c r="E1381" s="265"/>
      <c r="F1381" s="257"/>
      <c r="G1381" s="265"/>
      <c r="H1381" s="256"/>
      <c r="I1381" s="257"/>
      <c r="J1381" s="32"/>
      <c r="K1381" s="32"/>
      <c r="L1381" s="32"/>
      <c r="M1381" s="32"/>
      <c r="N1381" s="257"/>
      <c r="O1381" s="32"/>
      <c r="P1381" s="32"/>
      <c r="Q1381" s="32"/>
      <c r="R1381" s="32"/>
      <c r="S1381" s="32"/>
      <c r="T1381" s="264"/>
      <c r="U1381" s="16"/>
      <c r="V1381" s="16"/>
      <c r="W1381" s="16"/>
      <c r="X1381" s="32"/>
      <c r="Y1381" s="250"/>
    </row>
    <row r="1382">
      <c r="A1382" s="32"/>
      <c r="B1382" s="32"/>
      <c r="C1382" s="257"/>
      <c r="D1382" s="265"/>
      <c r="E1382" s="265"/>
      <c r="F1382" s="257"/>
      <c r="G1382" s="265"/>
      <c r="H1382" s="256"/>
      <c r="I1382" s="257"/>
      <c r="J1382" s="32"/>
      <c r="K1382" s="32"/>
      <c r="L1382" s="32"/>
      <c r="M1382" s="32"/>
      <c r="N1382" s="257"/>
      <c r="O1382" s="32"/>
      <c r="P1382" s="32"/>
      <c r="Q1382" s="32"/>
      <c r="R1382" s="32"/>
      <c r="S1382" s="32"/>
      <c r="T1382" s="264"/>
      <c r="U1382" s="16"/>
      <c r="V1382" s="16"/>
      <c r="W1382" s="16"/>
      <c r="X1382" s="32"/>
      <c r="Y1382" s="250"/>
    </row>
    <row r="1383">
      <c r="A1383" s="32"/>
      <c r="B1383" s="32"/>
      <c r="C1383" s="257"/>
      <c r="D1383" s="265"/>
      <c r="E1383" s="265"/>
      <c r="F1383" s="257"/>
      <c r="G1383" s="265"/>
      <c r="H1383" s="256"/>
      <c r="I1383" s="257"/>
      <c r="J1383" s="32"/>
      <c r="K1383" s="32"/>
      <c r="L1383" s="32"/>
      <c r="M1383" s="32"/>
      <c r="N1383" s="257"/>
      <c r="O1383" s="32"/>
      <c r="P1383" s="32"/>
      <c r="Q1383" s="32"/>
      <c r="R1383" s="32"/>
      <c r="S1383" s="32"/>
      <c r="T1383" s="264"/>
      <c r="U1383" s="16"/>
      <c r="V1383" s="16"/>
      <c r="W1383" s="16"/>
      <c r="X1383" s="32"/>
      <c r="Y1383" s="250"/>
    </row>
    <row r="1384">
      <c r="A1384" s="32"/>
      <c r="B1384" s="32"/>
      <c r="C1384" s="257"/>
      <c r="D1384" s="265"/>
      <c r="E1384" s="265"/>
      <c r="F1384" s="257"/>
      <c r="G1384" s="265"/>
      <c r="H1384" s="256"/>
      <c r="I1384" s="257"/>
      <c r="J1384" s="32"/>
      <c r="K1384" s="32"/>
      <c r="L1384" s="32"/>
      <c r="M1384" s="32"/>
      <c r="N1384" s="257"/>
      <c r="O1384" s="32"/>
      <c r="P1384" s="32"/>
      <c r="Q1384" s="32"/>
      <c r="R1384" s="32"/>
      <c r="S1384" s="32"/>
      <c r="T1384" s="264"/>
      <c r="U1384" s="16"/>
      <c r="V1384" s="16"/>
      <c r="W1384" s="16"/>
      <c r="X1384" s="32"/>
      <c r="Y1384" s="250"/>
    </row>
    <row r="1385">
      <c r="A1385" s="32"/>
      <c r="B1385" s="32"/>
      <c r="C1385" s="257"/>
      <c r="D1385" s="265"/>
      <c r="E1385" s="265"/>
      <c r="F1385" s="257"/>
      <c r="G1385" s="265"/>
      <c r="H1385" s="256"/>
      <c r="I1385" s="257"/>
      <c r="J1385" s="32"/>
      <c r="K1385" s="32"/>
      <c r="L1385" s="32"/>
      <c r="M1385" s="32"/>
      <c r="N1385" s="257"/>
      <c r="O1385" s="32"/>
      <c r="P1385" s="32"/>
      <c r="Q1385" s="32"/>
      <c r="R1385" s="32"/>
      <c r="S1385" s="32"/>
      <c r="T1385" s="264"/>
      <c r="U1385" s="16"/>
      <c r="V1385" s="16"/>
      <c r="W1385" s="16"/>
      <c r="X1385" s="32"/>
      <c r="Y1385" s="250"/>
    </row>
    <row r="1386">
      <c r="A1386" s="32"/>
      <c r="B1386" s="32"/>
      <c r="C1386" s="257"/>
      <c r="D1386" s="265"/>
      <c r="E1386" s="265"/>
      <c r="F1386" s="257"/>
      <c r="G1386" s="265"/>
      <c r="H1386" s="256"/>
      <c r="I1386" s="257"/>
      <c r="J1386" s="32"/>
      <c r="K1386" s="32"/>
      <c r="L1386" s="32"/>
      <c r="M1386" s="32"/>
      <c r="N1386" s="257"/>
      <c r="O1386" s="32"/>
      <c r="P1386" s="32"/>
      <c r="Q1386" s="32"/>
      <c r="R1386" s="32"/>
      <c r="S1386" s="32"/>
      <c r="T1386" s="264"/>
      <c r="U1386" s="16"/>
      <c r="V1386" s="16"/>
      <c r="W1386" s="16"/>
      <c r="X1386" s="32"/>
      <c r="Y1386" s="250"/>
    </row>
    <row r="1387">
      <c r="A1387" s="32"/>
      <c r="B1387" s="32"/>
      <c r="C1387" s="257"/>
      <c r="D1387" s="265"/>
      <c r="E1387" s="265"/>
      <c r="F1387" s="257"/>
      <c r="G1387" s="265"/>
      <c r="H1387" s="256"/>
      <c r="I1387" s="257"/>
      <c r="J1387" s="32"/>
      <c r="K1387" s="32"/>
      <c r="L1387" s="32"/>
      <c r="M1387" s="32"/>
      <c r="N1387" s="257"/>
      <c r="O1387" s="32"/>
      <c r="P1387" s="32"/>
      <c r="Q1387" s="32"/>
      <c r="R1387" s="32"/>
      <c r="S1387" s="32"/>
      <c r="T1387" s="264"/>
      <c r="U1387" s="16"/>
      <c r="V1387" s="16"/>
      <c r="W1387" s="16"/>
      <c r="X1387" s="32"/>
      <c r="Y1387" s="250"/>
    </row>
    <row r="1388">
      <c r="A1388" s="32"/>
      <c r="B1388" s="32"/>
      <c r="C1388" s="257"/>
      <c r="D1388" s="265"/>
      <c r="E1388" s="265"/>
      <c r="F1388" s="257"/>
      <c r="G1388" s="265"/>
      <c r="H1388" s="256"/>
      <c r="I1388" s="257"/>
      <c r="J1388" s="32"/>
      <c r="K1388" s="32"/>
      <c r="L1388" s="32"/>
      <c r="M1388" s="32"/>
      <c r="N1388" s="257"/>
      <c r="O1388" s="32"/>
      <c r="P1388" s="32"/>
      <c r="Q1388" s="32"/>
      <c r="R1388" s="32"/>
      <c r="S1388" s="32"/>
      <c r="T1388" s="264"/>
      <c r="U1388" s="16"/>
      <c r="V1388" s="16"/>
      <c r="W1388" s="16"/>
      <c r="X1388" s="32"/>
      <c r="Y1388" s="250"/>
    </row>
    <row r="1389">
      <c r="A1389" s="32"/>
      <c r="B1389" s="32"/>
      <c r="C1389" s="257"/>
      <c r="D1389" s="265"/>
      <c r="E1389" s="265"/>
      <c r="F1389" s="257"/>
      <c r="G1389" s="265"/>
      <c r="H1389" s="256"/>
      <c r="I1389" s="257"/>
      <c r="J1389" s="32"/>
      <c r="K1389" s="32"/>
      <c r="L1389" s="32"/>
      <c r="M1389" s="32"/>
      <c r="N1389" s="257"/>
      <c r="O1389" s="32"/>
      <c r="P1389" s="32"/>
      <c r="Q1389" s="32"/>
      <c r="R1389" s="32"/>
      <c r="S1389" s="32"/>
      <c r="T1389" s="264"/>
      <c r="U1389" s="16"/>
      <c r="V1389" s="16"/>
      <c r="W1389" s="16"/>
      <c r="X1389" s="32"/>
      <c r="Y1389" s="250"/>
    </row>
    <row r="1390">
      <c r="A1390" s="32"/>
      <c r="B1390" s="32"/>
      <c r="C1390" s="257"/>
      <c r="D1390" s="265"/>
      <c r="E1390" s="265"/>
      <c r="F1390" s="257"/>
      <c r="G1390" s="265"/>
      <c r="H1390" s="256"/>
      <c r="I1390" s="257"/>
      <c r="J1390" s="32"/>
      <c r="K1390" s="32"/>
      <c r="L1390" s="32"/>
      <c r="M1390" s="32"/>
      <c r="N1390" s="257"/>
      <c r="O1390" s="32"/>
      <c r="P1390" s="32"/>
      <c r="Q1390" s="32"/>
      <c r="R1390" s="32"/>
      <c r="S1390" s="32"/>
      <c r="T1390" s="264"/>
      <c r="U1390" s="16"/>
      <c r="V1390" s="16"/>
      <c r="W1390" s="16"/>
      <c r="X1390" s="32"/>
      <c r="Y1390" s="250"/>
    </row>
    <row r="1391">
      <c r="A1391" s="32"/>
      <c r="B1391" s="32"/>
      <c r="C1391" s="257"/>
      <c r="D1391" s="265"/>
      <c r="E1391" s="265"/>
      <c r="F1391" s="257"/>
      <c r="G1391" s="265"/>
      <c r="H1391" s="256"/>
      <c r="I1391" s="257"/>
      <c r="J1391" s="32"/>
      <c r="K1391" s="32"/>
      <c r="L1391" s="32"/>
      <c r="M1391" s="32"/>
      <c r="N1391" s="257"/>
      <c r="O1391" s="32"/>
      <c r="P1391" s="32"/>
      <c r="Q1391" s="32"/>
      <c r="R1391" s="32"/>
      <c r="S1391" s="32"/>
      <c r="T1391" s="264"/>
      <c r="U1391" s="16"/>
      <c r="V1391" s="16"/>
      <c r="W1391" s="16"/>
      <c r="X1391" s="32"/>
      <c r="Y1391" s="250"/>
    </row>
    <row r="1392">
      <c r="A1392" s="32"/>
      <c r="B1392" s="32"/>
      <c r="C1392" s="257"/>
      <c r="D1392" s="265"/>
      <c r="E1392" s="265"/>
      <c r="F1392" s="257"/>
      <c r="G1392" s="265"/>
      <c r="H1392" s="256"/>
      <c r="I1392" s="257"/>
      <c r="J1392" s="32"/>
      <c r="K1392" s="32"/>
      <c r="L1392" s="32"/>
      <c r="M1392" s="32"/>
      <c r="N1392" s="257"/>
      <c r="O1392" s="32"/>
      <c r="P1392" s="32"/>
      <c r="Q1392" s="32"/>
      <c r="R1392" s="32"/>
      <c r="S1392" s="32"/>
      <c r="T1392" s="264"/>
      <c r="U1392" s="16"/>
      <c r="V1392" s="16"/>
      <c r="W1392" s="16"/>
      <c r="X1392" s="32"/>
      <c r="Y1392" s="250"/>
    </row>
    <row r="1393">
      <c r="A1393" s="32"/>
      <c r="B1393" s="32"/>
      <c r="C1393" s="257"/>
      <c r="D1393" s="265"/>
      <c r="E1393" s="265"/>
      <c r="F1393" s="257"/>
      <c r="G1393" s="265"/>
      <c r="H1393" s="256"/>
      <c r="I1393" s="257"/>
      <c r="J1393" s="32"/>
      <c r="K1393" s="32"/>
      <c r="L1393" s="32"/>
      <c r="M1393" s="32"/>
      <c r="N1393" s="257"/>
      <c r="O1393" s="32"/>
      <c r="P1393" s="32"/>
      <c r="Q1393" s="32"/>
      <c r="R1393" s="32"/>
      <c r="S1393" s="32"/>
      <c r="T1393" s="264"/>
      <c r="U1393" s="16"/>
      <c r="V1393" s="16"/>
      <c r="W1393" s="16"/>
      <c r="X1393" s="32"/>
      <c r="Y1393" s="250"/>
    </row>
    <row r="1394">
      <c r="A1394" s="32"/>
      <c r="B1394" s="32"/>
      <c r="C1394" s="257"/>
      <c r="D1394" s="265"/>
      <c r="E1394" s="265"/>
      <c r="F1394" s="257"/>
      <c r="G1394" s="265"/>
      <c r="H1394" s="256"/>
      <c r="I1394" s="257"/>
      <c r="J1394" s="32"/>
      <c r="K1394" s="32"/>
      <c r="L1394" s="32"/>
      <c r="M1394" s="32"/>
      <c r="N1394" s="257"/>
      <c r="O1394" s="32"/>
      <c r="P1394" s="32"/>
      <c r="Q1394" s="32"/>
      <c r="R1394" s="32"/>
      <c r="S1394" s="32"/>
      <c r="T1394" s="264"/>
      <c r="U1394" s="16"/>
      <c r="V1394" s="16"/>
      <c r="W1394" s="16"/>
      <c r="X1394" s="32"/>
      <c r="Y1394" s="250"/>
    </row>
    <row r="1395">
      <c r="A1395" s="32"/>
      <c r="B1395" s="32"/>
      <c r="C1395" s="257"/>
      <c r="D1395" s="265"/>
      <c r="E1395" s="265"/>
      <c r="F1395" s="257"/>
      <c r="G1395" s="265"/>
      <c r="H1395" s="256"/>
      <c r="I1395" s="257"/>
      <c r="J1395" s="32"/>
      <c r="K1395" s="32"/>
      <c r="L1395" s="32"/>
      <c r="M1395" s="32"/>
      <c r="N1395" s="257"/>
      <c r="O1395" s="32"/>
      <c r="P1395" s="32"/>
      <c r="Q1395" s="32"/>
      <c r="R1395" s="32"/>
      <c r="S1395" s="32"/>
      <c r="T1395" s="264"/>
      <c r="U1395" s="16"/>
      <c r="V1395" s="16"/>
      <c r="W1395" s="16"/>
      <c r="X1395" s="32"/>
      <c r="Y1395" s="250"/>
    </row>
    <row r="1396">
      <c r="A1396" s="32"/>
      <c r="B1396" s="32"/>
      <c r="C1396" s="257"/>
      <c r="D1396" s="265"/>
      <c r="E1396" s="265"/>
      <c r="F1396" s="257"/>
      <c r="G1396" s="265"/>
      <c r="H1396" s="256"/>
      <c r="I1396" s="257"/>
      <c r="J1396" s="32"/>
      <c r="K1396" s="32"/>
      <c r="L1396" s="32"/>
      <c r="M1396" s="32"/>
      <c r="N1396" s="257"/>
      <c r="O1396" s="32"/>
      <c r="P1396" s="32"/>
      <c r="Q1396" s="32"/>
      <c r="R1396" s="32"/>
      <c r="S1396" s="32"/>
      <c r="T1396" s="264"/>
      <c r="U1396" s="16"/>
      <c r="V1396" s="16"/>
      <c r="W1396" s="16"/>
      <c r="X1396" s="32"/>
      <c r="Y1396" s="250"/>
    </row>
    <row r="1397">
      <c r="A1397" s="32"/>
      <c r="B1397" s="32"/>
      <c r="C1397" s="257"/>
      <c r="D1397" s="265"/>
      <c r="E1397" s="265"/>
      <c r="F1397" s="257"/>
      <c r="G1397" s="265"/>
      <c r="H1397" s="256"/>
      <c r="I1397" s="257"/>
      <c r="J1397" s="32"/>
      <c r="K1397" s="32"/>
      <c r="L1397" s="32"/>
      <c r="M1397" s="32"/>
      <c r="N1397" s="257"/>
      <c r="O1397" s="32"/>
      <c r="P1397" s="32"/>
      <c r="Q1397" s="32"/>
      <c r="R1397" s="32"/>
      <c r="S1397" s="32"/>
      <c r="T1397" s="264"/>
      <c r="U1397" s="16"/>
      <c r="V1397" s="16"/>
      <c r="W1397" s="16"/>
      <c r="X1397" s="32"/>
      <c r="Y1397" s="250"/>
    </row>
    <row r="1398">
      <c r="A1398" s="32"/>
      <c r="B1398" s="32"/>
      <c r="C1398" s="257"/>
      <c r="D1398" s="265"/>
      <c r="E1398" s="265"/>
      <c r="F1398" s="257"/>
      <c r="G1398" s="265"/>
      <c r="H1398" s="256"/>
      <c r="I1398" s="257"/>
      <c r="J1398" s="32"/>
      <c r="K1398" s="32"/>
      <c r="L1398" s="32"/>
      <c r="M1398" s="32"/>
      <c r="N1398" s="257"/>
      <c r="O1398" s="32"/>
      <c r="P1398" s="32"/>
      <c r="Q1398" s="32"/>
      <c r="R1398" s="32"/>
      <c r="S1398" s="32"/>
      <c r="T1398" s="264"/>
      <c r="U1398" s="16"/>
      <c r="V1398" s="16"/>
      <c r="W1398" s="16"/>
      <c r="X1398" s="32"/>
      <c r="Y1398" s="250"/>
    </row>
    <row r="1399">
      <c r="A1399" s="32"/>
      <c r="B1399" s="32"/>
      <c r="C1399" s="257"/>
      <c r="D1399" s="265"/>
      <c r="E1399" s="265"/>
      <c r="F1399" s="257"/>
      <c r="G1399" s="265"/>
      <c r="H1399" s="256"/>
      <c r="I1399" s="257"/>
      <c r="J1399" s="32"/>
      <c r="K1399" s="32"/>
      <c r="L1399" s="32"/>
      <c r="M1399" s="32"/>
      <c r="N1399" s="257"/>
      <c r="O1399" s="32"/>
      <c r="P1399" s="32"/>
      <c r="Q1399" s="32"/>
      <c r="R1399" s="32"/>
      <c r="S1399" s="32"/>
      <c r="T1399" s="264"/>
      <c r="U1399" s="16"/>
      <c r="V1399" s="16"/>
      <c r="W1399" s="16"/>
      <c r="X1399" s="32"/>
      <c r="Y1399" s="250"/>
    </row>
    <row r="1400">
      <c r="A1400" s="32"/>
      <c r="B1400" s="32"/>
      <c r="C1400" s="257"/>
      <c r="D1400" s="265"/>
      <c r="E1400" s="265"/>
      <c r="F1400" s="257"/>
      <c r="G1400" s="265"/>
      <c r="H1400" s="256"/>
      <c r="I1400" s="257"/>
      <c r="J1400" s="32"/>
      <c r="K1400" s="32"/>
      <c r="L1400" s="32"/>
      <c r="M1400" s="32"/>
      <c r="N1400" s="257"/>
      <c r="O1400" s="32"/>
      <c r="P1400" s="32"/>
      <c r="Q1400" s="32"/>
      <c r="R1400" s="32"/>
      <c r="S1400" s="32"/>
      <c r="T1400" s="264"/>
      <c r="U1400" s="16"/>
      <c r="V1400" s="16"/>
      <c r="W1400" s="16"/>
      <c r="X1400" s="32"/>
      <c r="Y1400" s="250"/>
    </row>
    <row r="1401">
      <c r="A1401" s="32"/>
      <c r="B1401" s="32"/>
      <c r="C1401" s="257"/>
      <c r="D1401" s="265"/>
      <c r="E1401" s="265"/>
      <c r="F1401" s="257"/>
      <c r="G1401" s="265"/>
      <c r="H1401" s="256"/>
      <c r="I1401" s="257"/>
      <c r="J1401" s="32"/>
      <c r="K1401" s="32"/>
      <c r="L1401" s="32"/>
      <c r="M1401" s="32"/>
      <c r="N1401" s="257"/>
      <c r="O1401" s="32"/>
      <c r="P1401" s="32"/>
      <c r="Q1401" s="32"/>
      <c r="R1401" s="32"/>
      <c r="S1401" s="32"/>
      <c r="T1401" s="264"/>
      <c r="U1401" s="16"/>
      <c r="V1401" s="16"/>
      <c r="W1401" s="16"/>
      <c r="X1401" s="32"/>
      <c r="Y1401" s="250"/>
    </row>
    <row r="1402">
      <c r="A1402" s="32"/>
      <c r="B1402" s="32"/>
      <c r="C1402" s="257"/>
      <c r="D1402" s="265"/>
      <c r="E1402" s="265"/>
      <c r="F1402" s="257"/>
      <c r="G1402" s="265"/>
      <c r="H1402" s="256"/>
      <c r="I1402" s="257"/>
      <c r="J1402" s="32"/>
      <c r="K1402" s="32"/>
      <c r="L1402" s="32"/>
      <c r="M1402" s="32"/>
      <c r="N1402" s="257"/>
      <c r="O1402" s="32"/>
      <c r="P1402" s="32"/>
      <c r="Q1402" s="32"/>
      <c r="R1402" s="32"/>
      <c r="S1402" s="32"/>
      <c r="T1402" s="264"/>
      <c r="U1402" s="16"/>
      <c r="V1402" s="16"/>
      <c r="W1402" s="16"/>
      <c r="X1402" s="32"/>
      <c r="Y1402" s="250"/>
    </row>
    <row r="1403">
      <c r="A1403" s="32"/>
      <c r="B1403" s="32"/>
      <c r="C1403" s="257"/>
      <c r="D1403" s="265"/>
      <c r="E1403" s="265"/>
      <c r="F1403" s="257"/>
      <c r="G1403" s="265"/>
      <c r="H1403" s="256"/>
      <c r="I1403" s="257"/>
      <c r="J1403" s="32"/>
      <c r="K1403" s="32"/>
      <c r="L1403" s="32"/>
      <c r="M1403" s="32"/>
      <c r="N1403" s="257"/>
      <c r="O1403" s="32"/>
      <c r="P1403" s="32"/>
      <c r="Q1403" s="32"/>
      <c r="R1403" s="32"/>
      <c r="S1403" s="32"/>
      <c r="T1403" s="264"/>
      <c r="U1403" s="16"/>
      <c r="V1403" s="16"/>
      <c r="W1403" s="16"/>
      <c r="X1403" s="32"/>
      <c r="Y1403" s="250"/>
    </row>
    <row r="1404">
      <c r="A1404" s="32"/>
      <c r="B1404" s="32"/>
      <c r="C1404" s="257"/>
      <c r="D1404" s="265"/>
      <c r="E1404" s="265"/>
      <c r="F1404" s="257"/>
      <c r="G1404" s="265"/>
      <c r="H1404" s="256"/>
      <c r="I1404" s="257"/>
      <c r="J1404" s="32"/>
      <c r="K1404" s="32"/>
      <c r="L1404" s="32"/>
      <c r="M1404" s="32"/>
      <c r="N1404" s="257"/>
      <c r="O1404" s="32"/>
      <c r="P1404" s="32"/>
      <c r="Q1404" s="32"/>
      <c r="R1404" s="32"/>
      <c r="S1404" s="32"/>
      <c r="T1404" s="264"/>
      <c r="U1404" s="16"/>
      <c r="V1404" s="16"/>
      <c r="W1404" s="16"/>
      <c r="X1404" s="32"/>
      <c r="Y1404" s="250"/>
    </row>
    <row r="1405">
      <c r="A1405" s="32"/>
      <c r="B1405" s="32"/>
      <c r="C1405" s="257"/>
      <c r="D1405" s="265"/>
      <c r="E1405" s="265"/>
      <c r="F1405" s="257"/>
      <c r="G1405" s="265"/>
      <c r="H1405" s="256"/>
      <c r="I1405" s="257"/>
      <c r="J1405" s="32"/>
      <c r="K1405" s="32"/>
      <c r="L1405" s="32"/>
      <c r="M1405" s="32"/>
      <c r="N1405" s="257"/>
      <c r="O1405" s="32"/>
      <c r="P1405" s="32"/>
      <c r="Q1405" s="32"/>
      <c r="R1405" s="32"/>
      <c r="S1405" s="32"/>
      <c r="T1405" s="264"/>
      <c r="U1405" s="16"/>
      <c r="V1405" s="16"/>
      <c r="W1405" s="16"/>
      <c r="X1405" s="32"/>
      <c r="Y1405" s="250"/>
    </row>
    <row r="1406">
      <c r="A1406" s="32"/>
      <c r="B1406" s="32"/>
      <c r="C1406" s="257"/>
      <c r="D1406" s="265"/>
      <c r="E1406" s="265"/>
      <c r="F1406" s="257"/>
      <c r="G1406" s="265"/>
      <c r="H1406" s="256"/>
      <c r="I1406" s="257"/>
      <c r="J1406" s="32"/>
      <c r="K1406" s="32"/>
      <c r="L1406" s="32"/>
      <c r="M1406" s="32"/>
      <c r="N1406" s="257"/>
      <c r="O1406" s="32"/>
      <c r="P1406" s="32"/>
      <c r="Q1406" s="32"/>
      <c r="R1406" s="32"/>
      <c r="S1406" s="32"/>
      <c r="T1406" s="264"/>
      <c r="U1406" s="16"/>
      <c r="V1406" s="16"/>
      <c r="W1406" s="16"/>
      <c r="X1406" s="32"/>
      <c r="Y1406" s="250"/>
    </row>
    <row r="1407">
      <c r="A1407" s="32"/>
      <c r="B1407" s="32"/>
      <c r="C1407" s="257"/>
      <c r="D1407" s="265"/>
      <c r="E1407" s="265"/>
      <c r="F1407" s="257"/>
      <c r="G1407" s="265"/>
      <c r="H1407" s="256"/>
      <c r="I1407" s="257"/>
      <c r="J1407" s="32"/>
      <c r="K1407" s="32"/>
      <c r="L1407" s="32"/>
      <c r="M1407" s="32"/>
      <c r="N1407" s="257"/>
      <c r="O1407" s="32"/>
      <c r="P1407" s="32"/>
      <c r="Q1407" s="32"/>
      <c r="R1407" s="32"/>
      <c r="S1407" s="32"/>
      <c r="T1407" s="264"/>
      <c r="U1407" s="16"/>
      <c r="V1407" s="16"/>
      <c r="W1407" s="16"/>
      <c r="X1407" s="32"/>
      <c r="Y1407" s="250"/>
    </row>
    <row r="1408">
      <c r="A1408" s="32"/>
      <c r="B1408" s="32"/>
      <c r="C1408" s="257"/>
      <c r="D1408" s="265"/>
      <c r="E1408" s="265"/>
      <c r="F1408" s="257"/>
      <c r="G1408" s="265"/>
      <c r="H1408" s="256"/>
      <c r="I1408" s="257"/>
      <c r="J1408" s="32"/>
      <c r="K1408" s="32"/>
      <c r="L1408" s="32"/>
      <c r="M1408" s="32"/>
      <c r="N1408" s="257"/>
      <c r="O1408" s="32"/>
      <c r="P1408" s="32"/>
      <c r="Q1408" s="32"/>
      <c r="R1408" s="32"/>
      <c r="S1408" s="32"/>
      <c r="T1408" s="264"/>
      <c r="U1408" s="16"/>
      <c r="V1408" s="16"/>
      <c r="W1408" s="16"/>
      <c r="X1408" s="32"/>
      <c r="Y1408" s="250"/>
    </row>
    <row r="1409">
      <c r="A1409" s="32"/>
      <c r="B1409" s="32"/>
      <c r="C1409" s="257"/>
      <c r="D1409" s="265"/>
      <c r="E1409" s="265"/>
      <c r="F1409" s="257"/>
      <c r="G1409" s="265"/>
      <c r="H1409" s="256"/>
      <c r="I1409" s="257"/>
      <c r="J1409" s="32"/>
      <c r="K1409" s="32"/>
      <c r="L1409" s="32"/>
      <c r="M1409" s="32"/>
      <c r="N1409" s="257"/>
      <c r="O1409" s="32"/>
      <c r="P1409" s="32"/>
      <c r="Q1409" s="32"/>
      <c r="R1409" s="32"/>
      <c r="S1409" s="32"/>
      <c r="T1409" s="264"/>
      <c r="U1409" s="16"/>
      <c r="V1409" s="16"/>
      <c r="W1409" s="16"/>
      <c r="X1409" s="32"/>
      <c r="Y1409" s="250"/>
    </row>
    <row r="1410">
      <c r="A1410" s="32"/>
      <c r="B1410" s="32"/>
      <c r="C1410" s="257"/>
      <c r="D1410" s="265"/>
      <c r="E1410" s="265"/>
      <c r="F1410" s="257"/>
      <c r="G1410" s="265"/>
      <c r="H1410" s="256"/>
      <c r="I1410" s="257"/>
      <c r="J1410" s="32"/>
      <c r="K1410" s="32"/>
      <c r="L1410" s="32"/>
      <c r="M1410" s="32"/>
      <c r="N1410" s="257"/>
      <c r="O1410" s="32"/>
      <c r="P1410" s="32"/>
      <c r="Q1410" s="32"/>
      <c r="R1410" s="32"/>
      <c r="S1410" s="32"/>
      <c r="T1410" s="264"/>
      <c r="U1410" s="16"/>
      <c r="V1410" s="16"/>
      <c r="W1410" s="16"/>
      <c r="X1410" s="32"/>
      <c r="Y1410" s="250"/>
    </row>
    <row r="1411">
      <c r="A1411" s="32"/>
      <c r="B1411" s="32"/>
      <c r="C1411" s="257"/>
      <c r="D1411" s="265"/>
      <c r="E1411" s="265"/>
      <c r="F1411" s="257"/>
      <c r="G1411" s="265"/>
      <c r="H1411" s="256"/>
      <c r="I1411" s="257"/>
      <c r="J1411" s="32"/>
      <c r="K1411" s="32"/>
      <c r="L1411" s="32"/>
      <c r="M1411" s="32"/>
      <c r="N1411" s="257"/>
      <c r="O1411" s="32"/>
      <c r="P1411" s="32"/>
      <c r="Q1411" s="32"/>
      <c r="R1411" s="32"/>
      <c r="S1411" s="32"/>
      <c r="T1411" s="264"/>
      <c r="U1411" s="16"/>
      <c r="V1411" s="16"/>
      <c r="W1411" s="16"/>
      <c r="X1411" s="32"/>
      <c r="Y1411" s="250"/>
    </row>
    <row r="1412">
      <c r="A1412" s="32"/>
      <c r="B1412" s="32"/>
      <c r="C1412" s="257"/>
      <c r="D1412" s="265"/>
      <c r="E1412" s="265"/>
      <c r="F1412" s="257"/>
      <c r="G1412" s="265"/>
      <c r="H1412" s="256"/>
      <c r="I1412" s="257"/>
      <c r="J1412" s="32"/>
      <c r="K1412" s="32"/>
      <c r="L1412" s="32"/>
      <c r="M1412" s="32"/>
      <c r="N1412" s="257"/>
      <c r="O1412" s="32"/>
      <c r="P1412" s="32"/>
      <c r="Q1412" s="32"/>
      <c r="R1412" s="32"/>
      <c r="S1412" s="32"/>
      <c r="T1412" s="264"/>
      <c r="U1412" s="16"/>
      <c r="V1412" s="16"/>
      <c r="W1412" s="16"/>
      <c r="X1412" s="32"/>
      <c r="Y1412" s="250"/>
    </row>
    <row r="1413">
      <c r="A1413" s="32"/>
      <c r="B1413" s="32"/>
      <c r="C1413" s="257"/>
      <c r="D1413" s="265"/>
      <c r="E1413" s="265"/>
      <c r="F1413" s="257"/>
      <c r="G1413" s="265"/>
      <c r="H1413" s="256"/>
      <c r="I1413" s="257"/>
      <c r="J1413" s="32"/>
      <c r="K1413" s="32"/>
      <c r="L1413" s="32"/>
      <c r="M1413" s="32"/>
      <c r="N1413" s="257"/>
      <c r="O1413" s="32"/>
      <c r="P1413" s="32"/>
      <c r="Q1413" s="32"/>
      <c r="R1413" s="32"/>
      <c r="S1413" s="32"/>
      <c r="T1413" s="264"/>
      <c r="U1413" s="16"/>
      <c r="V1413" s="16"/>
      <c r="W1413" s="16"/>
      <c r="X1413" s="32"/>
      <c r="Y1413" s="250"/>
    </row>
    <row r="1414">
      <c r="A1414" s="32"/>
      <c r="B1414" s="32"/>
      <c r="C1414" s="257"/>
      <c r="D1414" s="265"/>
      <c r="E1414" s="265"/>
      <c r="F1414" s="257"/>
      <c r="G1414" s="265"/>
      <c r="H1414" s="256"/>
      <c r="I1414" s="257"/>
      <c r="J1414" s="32"/>
      <c r="K1414" s="32"/>
      <c r="L1414" s="32"/>
      <c r="M1414" s="32"/>
      <c r="N1414" s="257"/>
      <c r="O1414" s="32"/>
      <c r="P1414" s="32"/>
      <c r="Q1414" s="32"/>
      <c r="R1414" s="32"/>
      <c r="S1414" s="32"/>
      <c r="T1414" s="264"/>
      <c r="U1414" s="16"/>
      <c r="V1414" s="16"/>
      <c r="W1414" s="16"/>
      <c r="X1414" s="32"/>
      <c r="Y1414" s="250"/>
    </row>
    <row r="1415">
      <c r="A1415" s="32"/>
      <c r="B1415" s="32"/>
      <c r="C1415" s="257"/>
      <c r="D1415" s="265"/>
      <c r="E1415" s="265"/>
      <c r="F1415" s="257"/>
      <c r="G1415" s="265"/>
      <c r="H1415" s="256"/>
      <c r="I1415" s="257"/>
      <c r="J1415" s="32"/>
      <c r="K1415" s="32"/>
      <c r="L1415" s="32"/>
      <c r="M1415" s="32"/>
      <c r="N1415" s="257"/>
      <c r="O1415" s="32"/>
      <c r="P1415" s="32"/>
      <c r="Q1415" s="32"/>
      <c r="R1415" s="32"/>
      <c r="S1415" s="32"/>
      <c r="T1415" s="264"/>
      <c r="U1415" s="16"/>
      <c r="V1415" s="16"/>
      <c r="W1415" s="16"/>
      <c r="X1415" s="32"/>
      <c r="Y1415" s="250"/>
    </row>
    <row r="1416">
      <c r="A1416" s="32"/>
      <c r="B1416" s="32"/>
      <c r="C1416" s="257"/>
      <c r="D1416" s="265"/>
      <c r="E1416" s="265"/>
      <c r="F1416" s="257"/>
      <c r="G1416" s="265"/>
      <c r="H1416" s="256"/>
      <c r="I1416" s="257"/>
      <c r="J1416" s="32"/>
      <c r="K1416" s="32"/>
      <c r="L1416" s="32"/>
      <c r="M1416" s="32"/>
      <c r="N1416" s="257"/>
      <c r="O1416" s="32"/>
      <c r="P1416" s="32"/>
      <c r="Q1416" s="32"/>
      <c r="R1416" s="32"/>
      <c r="S1416" s="32"/>
      <c r="T1416" s="264"/>
      <c r="U1416" s="16"/>
      <c r="V1416" s="16"/>
      <c r="W1416" s="16"/>
      <c r="X1416" s="32"/>
      <c r="Y1416" s="250"/>
    </row>
    <row r="1417">
      <c r="A1417" s="32"/>
      <c r="B1417" s="32"/>
      <c r="C1417" s="257"/>
      <c r="D1417" s="265"/>
      <c r="E1417" s="265"/>
      <c r="F1417" s="257"/>
      <c r="G1417" s="265"/>
      <c r="H1417" s="256"/>
      <c r="I1417" s="257"/>
      <c r="J1417" s="32"/>
      <c r="K1417" s="32"/>
      <c r="L1417" s="32"/>
      <c r="M1417" s="32"/>
      <c r="N1417" s="257"/>
      <c r="O1417" s="32"/>
      <c r="P1417" s="32"/>
      <c r="Q1417" s="32"/>
      <c r="R1417" s="32"/>
      <c r="S1417" s="32"/>
      <c r="T1417" s="264"/>
      <c r="U1417" s="16"/>
      <c r="V1417" s="16"/>
      <c r="W1417" s="16"/>
      <c r="X1417" s="32"/>
      <c r="Y1417" s="250"/>
    </row>
    <row r="1418">
      <c r="A1418" s="32"/>
      <c r="B1418" s="32"/>
      <c r="C1418" s="257"/>
      <c r="D1418" s="265"/>
      <c r="E1418" s="265"/>
      <c r="F1418" s="257"/>
      <c r="G1418" s="265"/>
      <c r="H1418" s="256"/>
      <c r="I1418" s="257"/>
      <c r="J1418" s="32"/>
      <c r="K1418" s="32"/>
      <c r="L1418" s="32"/>
      <c r="M1418" s="32"/>
      <c r="N1418" s="257"/>
      <c r="O1418" s="32"/>
      <c r="P1418" s="32"/>
      <c r="Q1418" s="32"/>
      <c r="R1418" s="32"/>
      <c r="S1418" s="32"/>
      <c r="T1418" s="264"/>
      <c r="U1418" s="16"/>
      <c r="V1418" s="16"/>
      <c r="W1418" s="16"/>
      <c r="X1418" s="32"/>
      <c r="Y1418" s="250"/>
    </row>
    <row r="1419">
      <c r="A1419" s="32"/>
      <c r="B1419" s="32"/>
      <c r="C1419" s="257"/>
      <c r="D1419" s="265"/>
      <c r="E1419" s="265"/>
      <c r="F1419" s="257"/>
      <c r="G1419" s="265"/>
      <c r="H1419" s="256"/>
      <c r="I1419" s="257"/>
      <c r="J1419" s="32"/>
      <c r="K1419" s="32"/>
      <c r="L1419" s="32"/>
      <c r="M1419" s="32"/>
      <c r="N1419" s="257"/>
      <c r="O1419" s="32"/>
      <c r="P1419" s="32"/>
      <c r="Q1419" s="32"/>
      <c r="R1419" s="32"/>
      <c r="S1419" s="32"/>
      <c r="T1419" s="264"/>
      <c r="U1419" s="16"/>
      <c r="V1419" s="16"/>
      <c r="W1419" s="16"/>
      <c r="X1419" s="32"/>
      <c r="Y1419" s="250"/>
    </row>
    <row r="1420">
      <c r="A1420" s="32"/>
      <c r="B1420" s="32"/>
      <c r="C1420" s="257"/>
      <c r="D1420" s="265"/>
      <c r="E1420" s="265"/>
      <c r="F1420" s="257"/>
      <c r="G1420" s="265"/>
      <c r="H1420" s="256"/>
      <c r="I1420" s="257"/>
      <c r="J1420" s="32"/>
      <c r="K1420" s="32"/>
      <c r="L1420" s="32"/>
      <c r="M1420" s="32"/>
      <c r="N1420" s="257"/>
      <c r="O1420" s="32"/>
      <c r="P1420" s="32"/>
      <c r="Q1420" s="32"/>
      <c r="R1420" s="32"/>
      <c r="S1420" s="32"/>
      <c r="T1420" s="264"/>
      <c r="U1420" s="16"/>
      <c r="V1420" s="16"/>
      <c r="W1420" s="16"/>
      <c r="X1420" s="32"/>
      <c r="Y1420" s="250"/>
    </row>
    <row r="1421">
      <c r="A1421" s="32"/>
      <c r="B1421" s="32"/>
      <c r="C1421" s="257"/>
      <c r="D1421" s="265"/>
      <c r="E1421" s="265"/>
      <c r="F1421" s="257"/>
      <c r="G1421" s="265"/>
      <c r="H1421" s="256"/>
      <c r="I1421" s="257"/>
      <c r="J1421" s="32"/>
      <c r="K1421" s="32"/>
      <c r="L1421" s="32"/>
      <c r="M1421" s="32"/>
      <c r="N1421" s="257"/>
      <c r="O1421" s="32"/>
      <c r="P1421" s="32"/>
      <c r="Q1421" s="32"/>
      <c r="R1421" s="32"/>
      <c r="S1421" s="32"/>
      <c r="T1421" s="264"/>
      <c r="U1421" s="16"/>
      <c r="V1421" s="16"/>
      <c r="W1421" s="16"/>
      <c r="X1421" s="32"/>
      <c r="Y1421" s="250"/>
    </row>
    <row r="1422">
      <c r="A1422" s="32"/>
      <c r="B1422" s="32"/>
      <c r="C1422" s="257"/>
      <c r="D1422" s="265"/>
      <c r="E1422" s="265"/>
      <c r="F1422" s="257"/>
      <c r="G1422" s="265"/>
      <c r="H1422" s="256"/>
      <c r="I1422" s="257"/>
      <c r="J1422" s="32"/>
      <c r="K1422" s="32"/>
      <c r="L1422" s="32"/>
      <c r="M1422" s="32"/>
      <c r="N1422" s="257"/>
      <c r="O1422" s="32"/>
      <c r="P1422" s="32"/>
      <c r="Q1422" s="32"/>
      <c r="R1422" s="32"/>
      <c r="S1422" s="32"/>
      <c r="T1422" s="264"/>
      <c r="U1422" s="16"/>
      <c r="V1422" s="16"/>
      <c r="W1422" s="16"/>
      <c r="X1422" s="32"/>
      <c r="Y1422" s="250"/>
    </row>
    <row r="1423">
      <c r="A1423" s="32"/>
      <c r="B1423" s="32"/>
      <c r="C1423" s="257"/>
      <c r="D1423" s="265"/>
      <c r="E1423" s="265"/>
      <c r="F1423" s="257"/>
      <c r="G1423" s="265"/>
      <c r="H1423" s="256"/>
      <c r="I1423" s="257"/>
      <c r="J1423" s="32"/>
      <c r="K1423" s="32"/>
      <c r="L1423" s="32"/>
      <c r="M1423" s="32"/>
      <c r="N1423" s="257"/>
      <c r="O1423" s="32"/>
      <c r="P1423" s="32"/>
      <c r="Q1423" s="32"/>
      <c r="R1423" s="32"/>
      <c r="S1423" s="32"/>
      <c r="T1423" s="264"/>
      <c r="U1423" s="16"/>
      <c r="V1423" s="16"/>
      <c r="W1423" s="16"/>
      <c r="X1423" s="32"/>
      <c r="Y1423" s="250"/>
    </row>
    <row r="1424">
      <c r="A1424" s="32"/>
      <c r="B1424" s="32"/>
      <c r="C1424" s="257"/>
      <c r="D1424" s="265"/>
      <c r="E1424" s="265"/>
      <c r="F1424" s="257"/>
      <c r="G1424" s="265"/>
      <c r="H1424" s="256"/>
      <c r="I1424" s="257"/>
      <c r="J1424" s="32"/>
      <c r="K1424" s="32"/>
      <c r="L1424" s="32"/>
      <c r="M1424" s="32"/>
      <c r="N1424" s="257"/>
      <c r="O1424" s="32"/>
      <c r="P1424" s="32"/>
      <c r="Q1424" s="32"/>
      <c r="R1424" s="32"/>
      <c r="S1424" s="32"/>
      <c r="T1424" s="264"/>
      <c r="U1424" s="16"/>
      <c r="V1424" s="16"/>
      <c r="W1424" s="16"/>
      <c r="X1424" s="32"/>
      <c r="Y1424" s="250"/>
    </row>
    <row r="1425">
      <c r="A1425" s="32"/>
      <c r="B1425" s="32"/>
      <c r="C1425" s="257"/>
      <c r="D1425" s="265"/>
      <c r="E1425" s="265"/>
      <c r="F1425" s="257"/>
      <c r="G1425" s="265"/>
      <c r="H1425" s="256"/>
      <c r="I1425" s="257"/>
      <c r="J1425" s="32"/>
      <c r="K1425" s="32"/>
      <c r="L1425" s="32"/>
      <c r="M1425" s="32"/>
      <c r="N1425" s="257"/>
      <c r="O1425" s="32"/>
      <c r="P1425" s="32"/>
      <c r="Q1425" s="32"/>
      <c r="R1425" s="32"/>
      <c r="S1425" s="32"/>
      <c r="T1425" s="264"/>
      <c r="U1425" s="16"/>
      <c r="V1425" s="16"/>
      <c r="W1425" s="16"/>
      <c r="X1425" s="32"/>
      <c r="Y1425" s="250"/>
    </row>
    <row r="1426">
      <c r="A1426" s="32"/>
      <c r="B1426" s="32"/>
      <c r="C1426" s="257"/>
      <c r="D1426" s="265"/>
      <c r="E1426" s="265"/>
      <c r="F1426" s="257"/>
      <c r="G1426" s="265"/>
      <c r="H1426" s="256"/>
      <c r="I1426" s="257"/>
      <c r="J1426" s="32"/>
      <c r="K1426" s="32"/>
      <c r="L1426" s="32"/>
      <c r="M1426" s="32"/>
      <c r="N1426" s="257"/>
      <c r="O1426" s="32"/>
      <c r="P1426" s="32"/>
      <c r="Q1426" s="32"/>
      <c r="R1426" s="32"/>
      <c r="S1426" s="32"/>
      <c r="T1426" s="264"/>
      <c r="U1426" s="16"/>
      <c r="V1426" s="16"/>
      <c r="W1426" s="16"/>
      <c r="X1426" s="32"/>
      <c r="Y1426" s="250"/>
    </row>
    <row r="1427">
      <c r="A1427" s="32"/>
      <c r="B1427" s="32"/>
      <c r="C1427" s="257"/>
      <c r="D1427" s="265"/>
      <c r="E1427" s="265"/>
      <c r="F1427" s="257"/>
      <c r="G1427" s="265"/>
      <c r="H1427" s="256"/>
      <c r="I1427" s="257"/>
      <c r="J1427" s="32"/>
      <c r="K1427" s="32"/>
      <c r="L1427" s="32"/>
      <c r="M1427" s="32"/>
      <c r="N1427" s="257"/>
      <c r="O1427" s="32"/>
      <c r="P1427" s="32"/>
      <c r="Q1427" s="32"/>
      <c r="R1427" s="32"/>
      <c r="S1427" s="32"/>
      <c r="T1427" s="264"/>
      <c r="U1427" s="16"/>
      <c r="V1427" s="16"/>
      <c r="W1427" s="16"/>
      <c r="X1427" s="32"/>
      <c r="Y1427" s="250"/>
    </row>
    <row r="1428">
      <c r="A1428" s="32"/>
      <c r="B1428" s="32"/>
      <c r="C1428" s="257"/>
      <c r="D1428" s="265"/>
      <c r="E1428" s="265"/>
      <c r="F1428" s="257"/>
      <c r="G1428" s="265"/>
      <c r="H1428" s="256"/>
      <c r="I1428" s="257"/>
      <c r="J1428" s="32"/>
      <c r="K1428" s="32"/>
      <c r="L1428" s="32"/>
      <c r="M1428" s="32"/>
      <c r="N1428" s="257"/>
      <c r="O1428" s="32"/>
      <c r="P1428" s="32"/>
      <c r="Q1428" s="32"/>
      <c r="R1428" s="32"/>
      <c r="S1428" s="32"/>
      <c r="T1428" s="264"/>
      <c r="U1428" s="16"/>
      <c r="V1428" s="16"/>
      <c r="W1428" s="16"/>
      <c r="X1428" s="32"/>
      <c r="Y1428" s="250"/>
    </row>
    <row r="1429">
      <c r="A1429" s="32"/>
      <c r="B1429" s="32"/>
      <c r="C1429" s="257"/>
      <c r="D1429" s="265"/>
      <c r="E1429" s="265"/>
      <c r="F1429" s="257"/>
      <c r="G1429" s="265"/>
      <c r="H1429" s="256"/>
      <c r="I1429" s="257"/>
      <c r="J1429" s="32"/>
      <c r="K1429" s="32"/>
      <c r="L1429" s="32"/>
      <c r="M1429" s="32"/>
      <c r="N1429" s="257"/>
      <c r="O1429" s="32"/>
      <c r="P1429" s="32"/>
      <c r="Q1429" s="32"/>
      <c r="R1429" s="32"/>
      <c r="S1429" s="32"/>
      <c r="T1429" s="264"/>
      <c r="U1429" s="16"/>
      <c r="V1429" s="16"/>
      <c r="W1429" s="16"/>
      <c r="X1429" s="32"/>
      <c r="Y1429" s="250"/>
    </row>
    <row r="1430">
      <c r="A1430" s="32"/>
      <c r="B1430" s="32"/>
      <c r="C1430" s="257"/>
      <c r="D1430" s="265"/>
      <c r="E1430" s="265"/>
      <c r="F1430" s="257"/>
      <c r="G1430" s="265"/>
      <c r="H1430" s="256"/>
      <c r="I1430" s="257"/>
      <c r="J1430" s="32"/>
      <c r="K1430" s="32"/>
      <c r="L1430" s="32"/>
      <c r="M1430" s="32"/>
      <c r="N1430" s="257"/>
      <c r="O1430" s="32"/>
      <c r="P1430" s="32"/>
      <c r="Q1430" s="32"/>
      <c r="R1430" s="32"/>
      <c r="S1430" s="32"/>
      <c r="T1430" s="264"/>
      <c r="U1430" s="16"/>
      <c r="V1430" s="16"/>
      <c r="W1430" s="16"/>
      <c r="X1430" s="32"/>
      <c r="Y1430" s="250"/>
    </row>
    <row r="1431">
      <c r="A1431" s="32"/>
      <c r="B1431" s="32"/>
      <c r="C1431" s="257"/>
      <c r="D1431" s="265"/>
      <c r="E1431" s="265"/>
      <c r="F1431" s="257"/>
      <c r="G1431" s="265"/>
      <c r="H1431" s="256"/>
      <c r="I1431" s="257"/>
      <c r="J1431" s="32"/>
      <c r="K1431" s="32"/>
      <c r="L1431" s="32"/>
      <c r="M1431" s="32"/>
      <c r="N1431" s="257"/>
      <c r="O1431" s="32"/>
      <c r="P1431" s="32"/>
      <c r="Q1431" s="32"/>
      <c r="R1431" s="32"/>
      <c r="S1431" s="32"/>
      <c r="T1431" s="264"/>
      <c r="U1431" s="16"/>
      <c r="V1431" s="16"/>
      <c r="W1431" s="16"/>
      <c r="X1431" s="32"/>
      <c r="Y1431" s="250"/>
    </row>
    <row r="1432">
      <c r="A1432" s="32"/>
      <c r="B1432" s="32"/>
      <c r="C1432" s="257"/>
      <c r="D1432" s="265"/>
      <c r="E1432" s="265"/>
      <c r="F1432" s="257"/>
      <c r="G1432" s="265"/>
      <c r="H1432" s="256"/>
      <c r="I1432" s="257"/>
      <c r="J1432" s="32"/>
      <c r="K1432" s="32"/>
      <c r="L1432" s="32"/>
      <c r="M1432" s="32"/>
      <c r="N1432" s="257"/>
      <c r="O1432" s="32"/>
      <c r="P1432" s="32"/>
      <c r="Q1432" s="32"/>
      <c r="R1432" s="32"/>
      <c r="S1432" s="32"/>
      <c r="T1432" s="264"/>
      <c r="U1432" s="16"/>
      <c r="V1432" s="16"/>
      <c r="W1432" s="16"/>
      <c r="X1432" s="32"/>
      <c r="Y1432" s="250"/>
    </row>
    <row r="1433">
      <c r="A1433" s="32"/>
      <c r="B1433" s="32"/>
      <c r="C1433" s="257"/>
      <c r="D1433" s="265"/>
      <c r="E1433" s="265"/>
      <c r="F1433" s="257"/>
      <c r="G1433" s="265"/>
      <c r="H1433" s="256"/>
      <c r="I1433" s="257"/>
      <c r="J1433" s="32"/>
      <c r="K1433" s="32"/>
      <c r="L1433" s="32"/>
      <c r="M1433" s="32"/>
      <c r="N1433" s="257"/>
      <c r="O1433" s="32"/>
      <c r="P1433" s="32"/>
      <c r="Q1433" s="32"/>
      <c r="R1433" s="32"/>
      <c r="S1433" s="32"/>
      <c r="T1433" s="264"/>
      <c r="U1433" s="16"/>
      <c r="V1433" s="16"/>
      <c r="W1433" s="16"/>
      <c r="X1433" s="32"/>
      <c r="Y1433" s="250"/>
    </row>
    <row r="1434">
      <c r="A1434" s="32"/>
      <c r="B1434" s="32"/>
      <c r="C1434" s="257"/>
      <c r="D1434" s="265"/>
      <c r="E1434" s="265"/>
      <c r="F1434" s="257"/>
      <c r="G1434" s="265"/>
      <c r="H1434" s="256"/>
      <c r="I1434" s="257"/>
      <c r="J1434" s="32"/>
      <c r="K1434" s="32"/>
      <c r="L1434" s="32"/>
      <c r="M1434" s="32"/>
      <c r="N1434" s="257"/>
      <c r="O1434" s="32"/>
      <c r="P1434" s="32"/>
      <c r="Q1434" s="32"/>
      <c r="R1434" s="32"/>
      <c r="S1434" s="32"/>
      <c r="T1434" s="264"/>
      <c r="U1434" s="16"/>
      <c r="V1434" s="16"/>
      <c r="W1434" s="16"/>
      <c r="X1434" s="32"/>
      <c r="Y1434" s="250"/>
    </row>
    <row r="1435">
      <c r="A1435" s="32"/>
      <c r="B1435" s="32"/>
      <c r="C1435" s="257"/>
      <c r="D1435" s="265"/>
      <c r="E1435" s="265"/>
      <c r="F1435" s="257"/>
      <c r="G1435" s="265"/>
      <c r="H1435" s="256"/>
      <c r="I1435" s="257"/>
      <c r="J1435" s="32"/>
      <c r="K1435" s="32"/>
      <c r="L1435" s="32"/>
      <c r="M1435" s="32"/>
      <c r="N1435" s="257"/>
      <c r="O1435" s="32"/>
      <c r="P1435" s="32"/>
      <c r="Q1435" s="32"/>
      <c r="R1435" s="32"/>
      <c r="S1435" s="32"/>
      <c r="T1435" s="264"/>
      <c r="U1435" s="16"/>
      <c r="V1435" s="16"/>
      <c r="W1435" s="16"/>
      <c r="X1435" s="32"/>
      <c r="Y1435" s="250"/>
    </row>
    <row r="1436">
      <c r="A1436" s="32"/>
      <c r="B1436" s="32"/>
      <c r="C1436" s="257"/>
      <c r="D1436" s="265"/>
      <c r="E1436" s="265"/>
      <c r="F1436" s="257"/>
      <c r="G1436" s="265"/>
      <c r="H1436" s="256"/>
      <c r="I1436" s="257"/>
      <c r="J1436" s="32"/>
      <c r="K1436" s="32"/>
      <c r="L1436" s="32"/>
      <c r="M1436" s="32"/>
      <c r="N1436" s="257"/>
      <c r="O1436" s="32"/>
      <c r="P1436" s="32"/>
      <c r="Q1436" s="32"/>
      <c r="R1436" s="32"/>
      <c r="S1436" s="32"/>
      <c r="T1436" s="264"/>
      <c r="U1436" s="16"/>
      <c r="V1436" s="16"/>
      <c r="W1436" s="16"/>
      <c r="X1436" s="32"/>
      <c r="Y1436" s="250"/>
    </row>
    <row r="1437">
      <c r="A1437" s="32"/>
      <c r="B1437" s="32"/>
      <c r="C1437" s="257"/>
      <c r="D1437" s="265"/>
      <c r="E1437" s="265"/>
      <c r="F1437" s="257"/>
      <c r="G1437" s="265"/>
      <c r="H1437" s="256"/>
      <c r="I1437" s="257"/>
      <c r="J1437" s="32"/>
      <c r="K1437" s="32"/>
      <c r="L1437" s="32"/>
      <c r="M1437" s="32"/>
      <c r="N1437" s="257"/>
      <c r="O1437" s="32"/>
      <c r="P1437" s="32"/>
      <c r="Q1437" s="32"/>
      <c r="R1437" s="32"/>
      <c r="S1437" s="32"/>
      <c r="T1437" s="264"/>
      <c r="U1437" s="16"/>
      <c r="V1437" s="16"/>
      <c r="W1437" s="16"/>
      <c r="X1437" s="32"/>
      <c r="Y1437" s="250"/>
    </row>
    <row r="1438">
      <c r="A1438" s="32"/>
      <c r="B1438" s="32"/>
      <c r="C1438" s="257"/>
      <c r="D1438" s="265"/>
      <c r="E1438" s="265"/>
      <c r="F1438" s="257"/>
      <c r="G1438" s="265"/>
      <c r="H1438" s="256"/>
      <c r="I1438" s="257"/>
      <c r="J1438" s="32"/>
      <c r="K1438" s="32"/>
      <c r="L1438" s="32"/>
      <c r="M1438" s="32"/>
      <c r="N1438" s="257"/>
      <c r="O1438" s="32"/>
      <c r="P1438" s="32"/>
      <c r="Q1438" s="32"/>
      <c r="R1438" s="32"/>
      <c r="S1438" s="32"/>
      <c r="T1438" s="264"/>
      <c r="U1438" s="16"/>
      <c r="V1438" s="16"/>
      <c r="W1438" s="16"/>
      <c r="X1438" s="32"/>
      <c r="Y1438" s="250"/>
    </row>
    <row r="1439">
      <c r="A1439" s="32"/>
      <c r="B1439" s="32"/>
      <c r="C1439" s="257"/>
      <c r="D1439" s="265"/>
      <c r="E1439" s="265"/>
      <c r="F1439" s="257"/>
      <c r="G1439" s="265"/>
      <c r="H1439" s="256"/>
      <c r="I1439" s="257"/>
      <c r="J1439" s="32"/>
      <c r="K1439" s="32"/>
      <c r="L1439" s="32"/>
      <c r="M1439" s="32"/>
      <c r="N1439" s="257"/>
      <c r="O1439" s="32"/>
      <c r="P1439" s="32"/>
      <c r="Q1439" s="32"/>
      <c r="R1439" s="32"/>
      <c r="S1439" s="32"/>
      <c r="T1439" s="264"/>
      <c r="U1439" s="16"/>
      <c r="V1439" s="16"/>
      <c r="W1439" s="16"/>
      <c r="X1439" s="32"/>
      <c r="Y1439" s="250"/>
    </row>
    <row r="1440">
      <c r="A1440" s="32"/>
      <c r="B1440" s="32"/>
      <c r="C1440" s="257"/>
      <c r="D1440" s="265"/>
      <c r="E1440" s="265"/>
      <c r="F1440" s="257"/>
      <c r="G1440" s="265"/>
      <c r="H1440" s="256"/>
      <c r="I1440" s="257"/>
      <c r="J1440" s="32"/>
      <c r="K1440" s="32"/>
      <c r="L1440" s="32"/>
      <c r="M1440" s="32"/>
      <c r="N1440" s="257"/>
      <c r="O1440" s="32"/>
      <c r="P1440" s="32"/>
      <c r="Q1440" s="32"/>
      <c r="R1440" s="32"/>
      <c r="S1440" s="32"/>
      <c r="T1440" s="264"/>
      <c r="U1440" s="16"/>
      <c r="V1440" s="16"/>
      <c r="W1440" s="16"/>
      <c r="X1440" s="32"/>
      <c r="Y1440" s="250"/>
    </row>
    <row r="1441">
      <c r="A1441" s="32"/>
      <c r="B1441" s="32"/>
      <c r="C1441" s="257"/>
      <c r="D1441" s="265"/>
      <c r="E1441" s="265"/>
      <c r="F1441" s="257"/>
      <c r="G1441" s="265"/>
      <c r="H1441" s="256"/>
      <c r="I1441" s="257"/>
      <c r="J1441" s="32"/>
      <c r="K1441" s="32"/>
      <c r="L1441" s="32"/>
      <c r="M1441" s="32"/>
      <c r="N1441" s="257"/>
      <c r="O1441" s="32"/>
      <c r="P1441" s="32"/>
      <c r="Q1441" s="32"/>
      <c r="R1441" s="32"/>
      <c r="S1441" s="32"/>
      <c r="T1441" s="264"/>
      <c r="U1441" s="16"/>
      <c r="V1441" s="16"/>
      <c r="W1441" s="16"/>
      <c r="X1441" s="32"/>
      <c r="Y1441" s="250"/>
    </row>
    <row r="1442">
      <c r="A1442" s="32"/>
      <c r="B1442" s="32"/>
      <c r="C1442" s="257"/>
      <c r="D1442" s="265"/>
      <c r="E1442" s="265"/>
      <c r="F1442" s="257"/>
      <c r="G1442" s="265"/>
      <c r="H1442" s="256"/>
      <c r="I1442" s="257"/>
      <c r="J1442" s="32"/>
      <c r="K1442" s="32"/>
      <c r="L1442" s="32"/>
      <c r="M1442" s="32"/>
      <c r="N1442" s="257"/>
      <c r="O1442" s="32"/>
      <c r="P1442" s="32"/>
      <c r="Q1442" s="32"/>
      <c r="R1442" s="32"/>
      <c r="S1442" s="32"/>
      <c r="T1442" s="264"/>
      <c r="U1442" s="16"/>
      <c r="V1442" s="16"/>
      <c r="W1442" s="16"/>
      <c r="X1442" s="32"/>
      <c r="Y1442" s="250"/>
    </row>
    <row r="1443">
      <c r="A1443" s="32"/>
      <c r="B1443" s="32"/>
      <c r="C1443" s="257"/>
      <c r="D1443" s="265"/>
      <c r="E1443" s="265"/>
      <c r="F1443" s="257"/>
      <c r="G1443" s="265"/>
      <c r="H1443" s="256"/>
      <c r="I1443" s="257"/>
      <c r="J1443" s="32"/>
      <c r="K1443" s="32"/>
      <c r="L1443" s="32"/>
      <c r="M1443" s="32"/>
      <c r="N1443" s="257"/>
      <c r="O1443" s="32"/>
      <c r="P1443" s="32"/>
      <c r="Q1443" s="32"/>
      <c r="R1443" s="32"/>
      <c r="S1443" s="32"/>
      <c r="T1443" s="264"/>
      <c r="U1443" s="16"/>
      <c r="V1443" s="16"/>
      <c r="W1443" s="16"/>
      <c r="X1443" s="32"/>
      <c r="Y1443" s="250"/>
    </row>
    <row r="1444">
      <c r="A1444" s="32"/>
      <c r="B1444" s="32"/>
      <c r="C1444" s="257"/>
      <c r="D1444" s="265"/>
      <c r="E1444" s="265"/>
      <c r="F1444" s="257"/>
      <c r="G1444" s="265"/>
      <c r="H1444" s="256"/>
      <c r="I1444" s="257"/>
      <c r="J1444" s="32"/>
      <c r="K1444" s="32"/>
      <c r="L1444" s="32"/>
      <c r="M1444" s="32"/>
      <c r="N1444" s="257"/>
      <c r="O1444" s="32"/>
      <c r="P1444" s="32"/>
      <c r="Q1444" s="32"/>
      <c r="R1444" s="32"/>
      <c r="S1444" s="32"/>
      <c r="T1444" s="264"/>
      <c r="U1444" s="16"/>
      <c r="V1444" s="16"/>
      <c r="W1444" s="16"/>
      <c r="X1444" s="32"/>
      <c r="Y1444" s="250"/>
    </row>
    <row r="1445">
      <c r="A1445" s="32"/>
      <c r="B1445" s="32"/>
      <c r="C1445" s="257"/>
      <c r="D1445" s="265"/>
      <c r="E1445" s="265"/>
      <c r="F1445" s="257"/>
      <c r="G1445" s="265"/>
      <c r="H1445" s="256"/>
      <c r="I1445" s="257"/>
      <c r="J1445" s="32"/>
      <c r="K1445" s="32"/>
      <c r="L1445" s="32"/>
      <c r="M1445" s="32"/>
      <c r="N1445" s="257"/>
      <c r="O1445" s="32"/>
      <c r="P1445" s="32"/>
      <c r="Q1445" s="32"/>
      <c r="R1445" s="32"/>
      <c r="S1445" s="32"/>
      <c r="T1445" s="264"/>
      <c r="U1445" s="16"/>
      <c r="V1445" s="16"/>
      <c r="W1445" s="16"/>
      <c r="X1445" s="32"/>
      <c r="Y1445" s="250"/>
    </row>
    <row r="1446">
      <c r="A1446" s="32"/>
      <c r="B1446" s="32"/>
      <c r="C1446" s="257"/>
      <c r="D1446" s="265"/>
      <c r="E1446" s="265"/>
      <c r="F1446" s="257"/>
      <c r="G1446" s="265"/>
      <c r="H1446" s="256"/>
      <c r="I1446" s="257"/>
      <c r="J1446" s="32"/>
      <c r="K1446" s="32"/>
      <c r="L1446" s="32"/>
      <c r="M1446" s="32"/>
      <c r="N1446" s="257"/>
      <c r="O1446" s="32"/>
      <c r="P1446" s="32"/>
      <c r="Q1446" s="32"/>
      <c r="R1446" s="32"/>
      <c r="S1446" s="32"/>
      <c r="T1446" s="264"/>
      <c r="U1446" s="16"/>
      <c r="V1446" s="16"/>
      <c r="W1446" s="16"/>
      <c r="X1446" s="32"/>
      <c r="Y1446" s="250"/>
    </row>
    <row r="1447">
      <c r="A1447" s="32"/>
      <c r="B1447" s="32"/>
      <c r="C1447" s="257"/>
      <c r="D1447" s="265"/>
      <c r="E1447" s="265"/>
      <c r="F1447" s="257"/>
      <c r="G1447" s="265"/>
      <c r="H1447" s="256"/>
      <c r="I1447" s="257"/>
      <c r="J1447" s="32"/>
      <c r="K1447" s="32"/>
      <c r="L1447" s="32"/>
      <c r="M1447" s="32"/>
      <c r="N1447" s="257"/>
      <c r="O1447" s="32"/>
      <c r="P1447" s="32"/>
      <c r="Q1447" s="32"/>
      <c r="R1447" s="32"/>
      <c r="S1447" s="32"/>
      <c r="T1447" s="264"/>
      <c r="U1447" s="16"/>
      <c r="V1447" s="16"/>
      <c r="W1447" s="16"/>
      <c r="X1447" s="32"/>
      <c r="Y1447" s="250"/>
    </row>
    <row r="1448">
      <c r="A1448" s="32"/>
      <c r="B1448" s="32"/>
      <c r="C1448" s="257"/>
      <c r="D1448" s="265"/>
      <c r="E1448" s="265"/>
      <c r="F1448" s="257"/>
      <c r="G1448" s="265"/>
      <c r="H1448" s="256"/>
      <c r="I1448" s="257"/>
      <c r="J1448" s="32"/>
      <c r="K1448" s="32"/>
      <c r="L1448" s="32"/>
      <c r="M1448" s="32"/>
      <c r="N1448" s="257"/>
      <c r="O1448" s="32"/>
      <c r="P1448" s="32"/>
      <c r="Q1448" s="32"/>
      <c r="R1448" s="32"/>
      <c r="S1448" s="32"/>
      <c r="T1448" s="264"/>
      <c r="U1448" s="16"/>
      <c r="V1448" s="16"/>
      <c r="W1448" s="16"/>
      <c r="X1448" s="32"/>
      <c r="Y1448" s="250"/>
    </row>
    <row r="1449">
      <c r="A1449" s="32"/>
      <c r="B1449" s="32"/>
      <c r="C1449" s="257"/>
      <c r="D1449" s="265"/>
      <c r="E1449" s="265"/>
      <c r="F1449" s="257"/>
      <c r="G1449" s="265"/>
      <c r="H1449" s="256"/>
      <c r="I1449" s="257"/>
      <c r="J1449" s="32"/>
      <c r="K1449" s="32"/>
      <c r="L1449" s="32"/>
      <c r="M1449" s="32"/>
      <c r="N1449" s="257"/>
      <c r="O1449" s="32"/>
      <c r="P1449" s="32"/>
      <c r="Q1449" s="32"/>
      <c r="R1449" s="32"/>
      <c r="S1449" s="32"/>
      <c r="T1449" s="264"/>
      <c r="U1449" s="16"/>
      <c r="V1449" s="16"/>
      <c r="W1449" s="16"/>
      <c r="X1449" s="32"/>
      <c r="Y1449" s="250"/>
    </row>
    <row r="1450">
      <c r="A1450" s="32"/>
      <c r="B1450" s="32"/>
      <c r="C1450" s="257"/>
      <c r="D1450" s="265"/>
      <c r="E1450" s="265"/>
      <c r="F1450" s="257"/>
      <c r="G1450" s="265"/>
      <c r="H1450" s="256"/>
      <c r="I1450" s="257"/>
      <c r="J1450" s="32"/>
      <c r="K1450" s="32"/>
      <c r="L1450" s="32"/>
      <c r="M1450" s="32"/>
      <c r="N1450" s="257"/>
      <c r="O1450" s="32"/>
      <c r="P1450" s="32"/>
      <c r="Q1450" s="32"/>
      <c r="R1450" s="32"/>
      <c r="S1450" s="32"/>
      <c r="T1450" s="264"/>
      <c r="U1450" s="16"/>
      <c r="V1450" s="16"/>
      <c r="W1450" s="16"/>
      <c r="X1450" s="32"/>
      <c r="Y1450" s="250"/>
    </row>
    <row r="1451">
      <c r="A1451" s="32"/>
      <c r="B1451" s="32"/>
      <c r="C1451" s="257"/>
      <c r="D1451" s="265"/>
      <c r="E1451" s="265"/>
      <c r="F1451" s="257"/>
      <c r="G1451" s="265"/>
      <c r="H1451" s="256"/>
      <c r="I1451" s="257"/>
      <c r="J1451" s="32"/>
      <c r="K1451" s="32"/>
      <c r="L1451" s="32"/>
      <c r="M1451" s="32"/>
      <c r="N1451" s="257"/>
      <c r="O1451" s="32"/>
      <c r="P1451" s="32"/>
      <c r="Q1451" s="32"/>
      <c r="R1451" s="32"/>
      <c r="S1451" s="32"/>
      <c r="T1451" s="264"/>
      <c r="U1451" s="16"/>
      <c r="V1451" s="16"/>
      <c r="W1451" s="16"/>
      <c r="X1451" s="32"/>
      <c r="Y1451" s="250"/>
    </row>
    <row r="1452">
      <c r="A1452" s="32"/>
      <c r="B1452" s="32"/>
      <c r="C1452" s="257"/>
      <c r="D1452" s="265"/>
      <c r="E1452" s="265"/>
      <c r="F1452" s="257"/>
      <c r="G1452" s="265"/>
      <c r="H1452" s="256"/>
      <c r="I1452" s="257"/>
      <c r="J1452" s="32"/>
      <c r="K1452" s="32"/>
      <c r="L1452" s="32"/>
      <c r="M1452" s="32"/>
      <c r="N1452" s="257"/>
      <c r="O1452" s="32"/>
      <c r="P1452" s="32"/>
      <c r="Q1452" s="32"/>
      <c r="R1452" s="32"/>
      <c r="S1452" s="32"/>
      <c r="T1452" s="264"/>
      <c r="U1452" s="16"/>
      <c r="V1452" s="16"/>
      <c r="W1452" s="16"/>
      <c r="X1452" s="32"/>
      <c r="Y1452" s="250"/>
    </row>
    <row r="1453">
      <c r="A1453" s="32"/>
      <c r="B1453" s="32"/>
      <c r="C1453" s="257"/>
      <c r="D1453" s="265"/>
      <c r="E1453" s="265"/>
      <c r="F1453" s="257"/>
      <c r="G1453" s="265"/>
      <c r="H1453" s="256"/>
      <c r="I1453" s="257"/>
      <c r="J1453" s="32"/>
      <c r="K1453" s="32"/>
      <c r="L1453" s="32"/>
      <c r="M1453" s="32"/>
      <c r="N1453" s="257"/>
      <c r="O1453" s="32"/>
      <c r="P1453" s="32"/>
      <c r="Q1453" s="32"/>
      <c r="R1453" s="32"/>
      <c r="S1453" s="32"/>
      <c r="T1453" s="264"/>
      <c r="U1453" s="16"/>
      <c r="V1453" s="16"/>
      <c r="W1453" s="16"/>
      <c r="X1453" s="32"/>
      <c r="Y1453" s="250"/>
    </row>
    <row r="1454">
      <c r="A1454" s="32"/>
      <c r="B1454" s="32"/>
      <c r="C1454" s="257"/>
      <c r="D1454" s="265"/>
      <c r="E1454" s="265"/>
      <c r="F1454" s="257"/>
      <c r="G1454" s="265"/>
      <c r="H1454" s="256"/>
      <c r="I1454" s="257"/>
      <c r="J1454" s="32"/>
      <c r="K1454" s="32"/>
      <c r="L1454" s="32"/>
      <c r="M1454" s="32"/>
      <c r="N1454" s="257"/>
      <c r="O1454" s="32"/>
      <c r="P1454" s="32"/>
      <c r="Q1454" s="32"/>
      <c r="R1454" s="32"/>
      <c r="S1454" s="32"/>
      <c r="T1454" s="264"/>
      <c r="U1454" s="16"/>
      <c r="V1454" s="16"/>
      <c r="W1454" s="16"/>
      <c r="X1454" s="32"/>
      <c r="Y1454" s="250"/>
    </row>
    <row r="1455">
      <c r="A1455" s="32"/>
      <c r="B1455" s="32"/>
      <c r="C1455" s="257"/>
      <c r="D1455" s="265"/>
      <c r="E1455" s="265"/>
      <c r="F1455" s="257"/>
      <c r="G1455" s="265"/>
      <c r="H1455" s="256"/>
      <c r="I1455" s="257"/>
      <c r="J1455" s="32"/>
      <c r="K1455" s="32"/>
      <c r="L1455" s="32"/>
      <c r="M1455" s="32"/>
      <c r="N1455" s="257"/>
      <c r="O1455" s="32"/>
      <c r="P1455" s="32"/>
      <c r="Q1455" s="32"/>
      <c r="R1455" s="32"/>
      <c r="S1455" s="32"/>
      <c r="T1455" s="264"/>
      <c r="U1455" s="16"/>
      <c r="V1455" s="16"/>
      <c r="W1455" s="16"/>
      <c r="X1455" s="32"/>
      <c r="Y1455" s="250"/>
    </row>
    <row r="1456">
      <c r="A1456" s="32"/>
      <c r="B1456" s="32"/>
      <c r="C1456" s="257"/>
      <c r="D1456" s="265"/>
      <c r="E1456" s="265"/>
      <c r="F1456" s="257"/>
      <c r="G1456" s="265"/>
      <c r="H1456" s="256"/>
      <c r="I1456" s="257"/>
      <c r="J1456" s="32"/>
      <c r="K1456" s="32"/>
      <c r="L1456" s="32"/>
      <c r="M1456" s="32"/>
      <c r="N1456" s="257"/>
      <c r="O1456" s="32"/>
      <c r="P1456" s="32"/>
      <c r="Q1456" s="32"/>
      <c r="R1456" s="32"/>
      <c r="S1456" s="32"/>
      <c r="T1456" s="264"/>
      <c r="U1456" s="16"/>
      <c r="V1456" s="16"/>
      <c r="W1456" s="16"/>
      <c r="X1456" s="32"/>
      <c r="Y1456" s="250"/>
    </row>
    <row r="1457">
      <c r="A1457" s="32"/>
      <c r="B1457" s="32"/>
      <c r="C1457" s="257"/>
      <c r="D1457" s="265"/>
      <c r="E1457" s="265"/>
      <c r="F1457" s="257"/>
      <c r="G1457" s="265"/>
      <c r="H1457" s="256"/>
      <c r="I1457" s="257"/>
      <c r="J1457" s="32"/>
      <c r="K1457" s="32"/>
      <c r="L1457" s="32"/>
      <c r="M1457" s="32"/>
      <c r="N1457" s="257"/>
      <c r="O1457" s="32"/>
      <c r="P1457" s="32"/>
      <c r="Q1457" s="32"/>
      <c r="R1457" s="32"/>
      <c r="S1457" s="32"/>
      <c r="T1457" s="264"/>
      <c r="U1457" s="16"/>
      <c r="V1457" s="16"/>
      <c r="W1457" s="16"/>
      <c r="X1457" s="32"/>
      <c r="Y1457" s="250"/>
    </row>
    <row r="1458">
      <c r="A1458" s="32"/>
      <c r="B1458" s="32"/>
      <c r="C1458" s="257"/>
      <c r="D1458" s="265"/>
      <c r="E1458" s="265"/>
      <c r="F1458" s="257"/>
      <c r="G1458" s="265"/>
      <c r="H1458" s="256"/>
      <c r="I1458" s="257"/>
      <c r="J1458" s="32"/>
      <c r="K1458" s="32"/>
      <c r="L1458" s="32"/>
      <c r="M1458" s="32"/>
      <c r="N1458" s="257"/>
      <c r="O1458" s="32"/>
      <c r="P1458" s="32"/>
      <c r="Q1458" s="32"/>
      <c r="R1458" s="32"/>
      <c r="S1458" s="32"/>
      <c r="T1458" s="264"/>
      <c r="U1458" s="16"/>
      <c r="V1458" s="16"/>
      <c r="W1458" s="16"/>
      <c r="X1458" s="32"/>
      <c r="Y1458" s="250"/>
    </row>
    <row r="1459">
      <c r="A1459" s="32"/>
      <c r="B1459" s="32"/>
      <c r="C1459" s="257"/>
      <c r="D1459" s="265"/>
      <c r="E1459" s="265"/>
      <c r="F1459" s="257"/>
      <c r="G1459" s="265"/>
      <c r="H1459" s="256"/>
      <c r="I1459" s="257"/>
      <c r="J1459" s="32"/>
      <c r="K1459" s="32"/>
      <c r="L1459" s="32"/>
      <c r="M1459" s="32"/>
      <c r="N1459" s="257"/>
      <c r="O1459" s="32"/>
      <c r="P1459" s="32"/>
      <c r="Q1459" s="32"/>
      <c r="R1459" s="32"/>
      <c r="S1459" s="32"/>
      <c r="T1459" s="264"/>
      <c r="U1459" s="16"/>
      <c r="V1459" s="16"/>
      <c r="W1459" s="16"/>
      <c r="X1459" s="32"/>
      <c r="Y1459" s="250"/>
    </row>
    <row r="1460">
      <c r="A1460" s="32"/>
      <c r="B1460" s="32"/>
      <c r="C1460" s="257"/>
      <c r="D1460" s="265"/>
      <c r="E1460" s="265"/>
      <c r="F1460" s="257"/>
      <c r="G1460" s="265"/>
      <c r="H1460" s="256"/>
      <c r="I1460" s="257"/>
      <c r="J1460" s="32"/>
      <c r="K1460" s="32"/>
      <c r="L1460" s="32"/>
      <c r="M1460" s="32"/>
      <c r="N1460" s="257"/>
      <c r="O1460" s="32"/>
      <c r="P1460" s="32"/>
      <c r="Q1460" s="32"/>
      <c r="R1460" s="32"/>
      <c r="S1460" s="32"/>
      <c r="T1460" s="264"/>
      <c r="U1460" s="16"/>
      <c r="V1460" s="16"/>
      <c r="W1460" s="16"/>
      <c r="X1460" s="32"/>
      <c r="Y1460" s="250"/>
    </row>
    <row r="1461">
      <c r="A1461" s="32"/>
      <c r="B1461" s="32"/>
      <c r="C1461" s="257"/>
      <c r="D1461" s="265"/>
      <c r="E1461" s="265"/>
      <c r="F1461" s="257"/>
      <c r="G1461" s="265"/>
      <c r="H1461" s="256"/>
      <c r="I1461" s="257"/>
      <c r="J1461" s="32"/>
      <c r="K1461" s="32"/>
      <c r="L1461" s="32"/>
      <c r="M1461" s="32"/>
      <c r="N1461" s="257"/>
      <c r="O1461" s="32"/>
      <c r="P1461" s="32"/>
      <c r="Q1461" s="32"/>
      <c r="R1461" s="32"/>
      <c r="S1461" s="32"/>
      <c r="T1461" s="264"/>
      <c r="U1461" s="16"/>
      <c r="V1461" s="16"/>
      <c r="W1461" s="16"/>
      <c r="X1461" s="32"/>
      <c r="Y1461" s="250"/>
    </row>
    <row r="1462">
      <c r="A1462" s="32"/>
      <c r="B1462" s="32"/>
      <c r="C1462" s="257"/>
      <c r="D1462" s="265"/>
      <c r="E1462" s="265"/>
      <c r="F1462" s="257"/>
      <c r="G1462" s="265"/>
      <c r="H1462" s="256"/>
      <c r="I1462" s="257"/>
      <c r="J1462" s="32"/>
      <c r="K1462" s="32"/>
      <c r="L1462" s="32"/>
      <c r="M1462" s="32"/>
      <c r="N1462" s="257"/>
      <c r="O1462" s="32"/>
      <c r="P1462" s="32"/>
      <c r="Q1462" s="32"/>
      <c r="R1462" s="32"/>
      <c r="S1462" s="32"/>
      <c r="T1462" s="264"/>
      <c r="U1462" s="16"/>
      <c r="V1462" s="16"/>
      <c r="W1462" s="16"/>
      <c r="X1462" s="32"/>
      <c r="Y1462" s="250"/>
    </row>
    <row r="1463">
      <c r="A1463" s="32"/>
      <c r="B1463" s="32"/>
      <c r="C1463" s="257"/>
      <c r="D1463" s="265"/>
      <c r="E1463" s="265"/>
      <c r="F1463" s="257"/>
      <c r="G1463" s="265"/>
      <c r="H1463" s="256"/>
      <c r="I1463" s="257"/>
      <c r="J1463" s="32"/>
      <c r="K1463" s="32"/>
      <c r="L1463" s="32"/>
      <c r="M1463" s="32"/>
      <c r="N1463" s="257"/>
      <c r="O1463" s="32"/>
      <c r="P1463" s="32"/>
      <c r="Q1463" s="32"/>
      <c r="R1463" s="32"/>
      <c r="S1463" s="32"/>
      <c r="T1463" s="264"/>
      <c r="U1463" s="16"/>
      <c r="V1463" s="16"/>
      <c r="W1463" s="16"/>
      <c r="X1463" s="32"/>
      <c r="Y1463" s="250"/>
    </row>
    <row r="1464">
      <c r="A1464" s="32"/>
      <c r="B1464" s="32"/>
      <c r="C1464" s="257"/>
      <c r="D1464" s="265"/>
      <c r="E1464" s="265"/>
      <c r="F1464" s="257"/>
      <c r="G1464" s="265"/>
      <c r="H1464" s="256"/>
      <c r="I1464" s="257"/>
      <c r="J1464" s="32"/>
      <c r="K1464" s="32"/>
      <c r="L1464" s="32"/>
      <c r="M1464" s="32"/>
      <c r="N1464" s="257"/>
      <c r="O1464" s="32"/>
      <c r="P1464" s="32"/>
      <c r="Q1464" s="32"/>
      <c r="R1464" s="32"/>
      <c r="S1464" s="32"/>
      <c r="T1464" s="264"/>
      <c r="U1464" s="16"/>
      <c r="V1464" s="16"/>
      <c r="W1464" s="16"/>
      <c r="X1464" s="32"/>
      <c r="Y1464" s="250"/>
    </row>
    <row r="1465">
      <c r="A1465" s="32"/>
      <c r="B1465" s="32"/>
      <c r="C1465" s="257"/>
      <c r="D1465" s="265"/>
      <c r="E1465" s="265"/>
      <c r="F1465" s="257"/>
      <c r="G1465" s="265"/>
      <c r="H1465" s="256"/>
      <c r="I1465" s="257"/>
      <c r="J1465" s="32"/>
      <c r="K1465" s="32"/>
      <c r="L1465" s="32"/>
      <c r="M1465" s="32"/>
      <c r="N1465" s="257"/>
      <c r="O1465" s="32"/>
      <c r="P1465" s="32"/>
      <c r="Q1465" s="32"/>
      <c r="R1465" s="32"/>
      <c r="S1465" s="32"/>
      <c r="T1465" s="264"/>
      <c r="U1465" s="16"/>
      <c r="V1465" s="16"/>
      <c r="W1465" s="16"/>
      <c r="X1465" s="32"/>
      <c r="Y1465" s="250"/>
    </row>
    <row r="1466">
      <c r="A1466" s="32"/>
      <c r="B1466" s="32"/>
      <c r="C1466" s="257"/>
      <c r="D1466" s="265"/>
      <c r="E1466" s="265"/>
      <c r="F1466" s="257"/>
      <c r="G1466" s="265"/>
      <c r="H1466" s="256"/>
      <c r="I1466" s="257"/>
      <c r="J1466" s="32"/>
      <c r="K1466" s="32"/>
      <c r="L1466" s="32"/>
      <c r="M1466" s="32"/>
      <c r="N1466" s="257"/>
      <c r="O1466" s="32"/>
      <c r="P1466" s="32"/>
      <c r="Q1466" s="32"/>
      <c r="R1466" s="32"/>
      <c r="S1466" s="32"/>
      <c r="T1466" s="264"/>
      <c r="U1466" s="16"/>
      <c r="V1466" s="16"/>
      <c r="W1466" s="16"/>
      <c r="X1466" s="32"/>
      <c r="Y1466" s="250"/>
    </row>
    <row r="1467">
      <c r="A1467" s="32"/>
      <c r="B1467" s="32"/>
      <c r="C1467" s="257"/>
      <c r="D1467" s="265"/>
      <c r="E1467" s="265"/>
      <c r="F1467" s="257"/>
      <c r="G1467" s="265"/>
      <c r="H1467" s="256"/>
      <c r="I1467" s="257"/>
      <c r="J1467" s="32"/>
      <c r="K1467" s="32"/>
      <c r="L1467" s="32"/>
      <c r="M1467" s="32"/>
      <c r="N1467" s="257"/>
      <c r="O1467" s="32"/>
      <c r="P1467" s="32"/>
      <c r="Q1467" s="32"/>
      <c r="R1467" s="32"/>
      <c r="S1467" s="32"/>
      <c r="T1467" s="264"/>
      <c r="U1467" s="16"/>
      <c r="V1467" s="16"/>
      <c r="W1467" s="16"/>
      <c r="X1467" s="32"/>
      <c r="Y1467" s="250"/>
    </row>
    <row r="1468">
      <c r="A1468" s="32"/>
      <c r="B1468" s="32"/>
      <c r="C1468" s="257"/>
      <c r="D1468" s="265"/>
      <c r="E1468" s="265"/>
      <c r="F1468" s="257"/>
      <c r="G1468" s="265"/>
      <c r="H1468" s="256"/>
      <c r="I1468" s="257"/>
      <c r="J1468" s="32"/>
      <c r="K1468" s="32"/>
      <c r="L1468" s="32"/>
      <c r="M1468" s="32"/>
      <c r="N1468" s="257"/>
      <c r="O1468" s="32"/>
      <c r="P1468" s="32"/>
      <c r="Q1468" s="32"/>
      <c r="R1468" s="32"/>
      <c r="S1468" s="32"/>
      <c r="T1468" s="264"/>
      <c r="U1468" s="16"/>
      <c r="V1468" s="16"/>
      <c r="W1468" s="16"/>
      <c r="X1468" s="32"/>
      <c r="Y1468" s="250"/>
    </row>
    <row r="1469">
      <c r="A1469" s="32"/>
      <c r="B1469" s="32"/>
      <c r="C1469" s="257"/>
      <c r="D1469" s="265"/>
      <c r="E1469" s="265"/>
      <c r="F1469" s="257"/>
      <c r="G1469" s="265"/>
      <c r="H1469" s="256"/>
      <c r="I1469" s="257"/>
      <c r="J1469" s="32"/>
      <c r="K1469" s="32"/>
      <c r="L1469" s="32"/>
      <c r="M1469" s="32"/>
      <c r="N1469" s="257"/>
      <c r="O1469" s="32"/>
      <c r="P1469" s="32"/>
      <c r="Q1469" s="32"/>
      <c r="R1469" s="32"/>
      <c r="S1469" s="32"/>
      <c r="T1469" s="264"/>
      <c r="U1469" s="16"/>
      <c r="V1469" s="16"/>
      <c r="W1469" s="16"/>
      <c r="X1469" s="32"/>
      <c r="Y1469" s="250"/>
    </row>
    <row r="1470">
      <c r="A1470" s="32"/>
      <c r="B1470" s="32"/>
      <c r="C1470" s="257"/>
      <c r="D1470" s="265"/>
      <c r="E1470" s="265"/>
      <c r="F1470" s="257"/>
      <c r="G1470" s="265"/>
      <c r="H1470" s="256"/>
      <c r="I1470" s="257"/>
      <c r="J1470" s="32"/>
      <c r="K1470" s="32"/>
      <c r="L1470" s="32"/>
      <c r="M1470" s="32"/>
      <c r="N1470" s="257"/>
      <c r="O1470" s="32"/>
      <c r="P1470" s="32"/>
      <c r="Q1470" s="32"/>
      <c r="R1470" s="32"/>
      <c r="S1470" s="32"/>
      <c r="T1470" s="264"/>
      <c r="U1470" s="16"/>
      <c r="V1470" s="16"/>
      <c r="W1470" s="16"/>
      <c r="X1470" s="32"/>
      <c r="Y1470" s="250"/>
    </row>
    <row r="1471">
      <c r="A1471" s="32"/>
      <c r="B1471" s="32"/>
      <c r="C1471" s="257"/>
      <c r="D1471" s="265"/>
      <c r="E1471" s="265"/>
      <c r="F1471" s="257"/>
      <c r="G1471" s="265"/>
      <c r="H1471" s="256"/>
      <c r="I1471" s="257"/>
      <c r="J1471" s="32"/>
      <c r="K1471" s="32"/>
      <c r="L1471" s="32"/>
      <c r="M1471" s="32"/>
      <c r="N1471" s="257"/>
      <c r="O1471" s="32"/>
      <c r="P1471" s="32"/>
      <c r="Q1471" s="32"/>
      <c r="R1471" s="32"/>
      <c r="S1471" s="32"/>
      <c r="T1471" s="264"/>
      <c r="U1471" s="16"/>
      <c r="V1471" s="16"/>
      <c r="W1471" s="16"/>
      <c r="X1471" s="32"/>
      <c r="Y1471" s="250"/>
    </row>
    <row r="1472">
      <c r="A1472" s="32"/>
      <c r="B1472" s="32"/>
      <c r="C1472" s="257"/>
      <c r="D1472" s="265"/>
      <c r="E1472" s="265"/>
      <c r="F1472" s="257"/>
      <c r="G1472" s="265"/>
      <c r="H1472" s="256"/>
      <c r="I1472" s="257"/>
      <c r="J1472" s="32"/>
      <c r="K1472" s="32"/>
      <c r="L1472" s="32"/>
      <c r="M1472" s="32"/>
      <c r="N1472" s="257"/>
      <c r="O1472" s="32"/>
      <c r="P1472" s="32"/>
      <c r="Q1472" s="32"/>
      <c r="R1472" s="32"/>
      <c r="S1472" s="32"/>
      <c r="T1472" s="264"/>
      <c r="U1472" s="16"/>
      <c r="V1472" s="16"/>
      <c r="W1472" s="16"/>
      <c r="X1472" s="32"/>
      <c r="Y1472" s="250"/>
    </row>
    <row r="1473">
      <c r="A1473" s="32"/>
      <c r="B1473" s="32"/>
      <c r="C1473" s="257"/>
      <c r="D1473" s="265"/>
      <c r="E1473" s="265"/>
      <c r="F1473" s="257"/>
      <c r="G1473" s="265"/>
      <c r="H1473" s="256"/>
      <c r="I1473" s="257"/>
      <c r="J1473" s="32"/>
      <c r="K1473" s="32"/>
      <c r="L1473" s="32"/>
      <c r="M1473" s="32"/>
      <c r="N1473" s="257"/>
      <c r="O1473" s="32"/>
      <c r="P1473" s="32"/>
      <c r="Q1473" s="32"/>
      <c r="R1473" s="32"/>
      <c r="S1473" s="32"/>
      <c r="T1473" s="264"/>
      <c r="U1473" s="16"/>
      <c r="V1473" s="16"/>
      <c r="W1473" s="16"/>
      <c r="X1473" s="32"/>
      <c r="Y1473" s="250"/>
    </row>
    <row r="1474">
      <c r="A1474" s="32"/>
      <c r="B1474" s="32"/>
      <c r="C1474" s="257"/>
      <c r="D1474" s="265"/>
      <c r="E1474" s="265"/>
      <c r="F1474" s="257"/>
      <c r="G1474" s="265"/>
      <c r="H1474" s="256"/>
      <c r="I1474" s="257"/>
      <c r="J1474" s="32"/>
      <c r="K1474" s="32"/>
      <c r="L1474" s="32"/>
      <c r="M1474" s="32"/>
      <c r="N1474" s="257"/>
      <c r="O1474" s="32"/>
      <c r="P1474" s="32"/>
      <c r="Q1474" s="32"/>
      <c r="R1474" s="32"/>
      <c r="S1474" s="32"/>
      <c r="T1474" s="264"/>
      <c r="U1474" s="16"/>
      <c r="V1474" s="16"/>
      <c r="W1474" s="16"/>
      <c r="X1474" s="32"/>
      <c r="Y1474" s="250"/>
    </row>
    <row r="1475">
      <c r="A1475" s="32"/>
      <c r="B1475" s="32"/>
      <c r="C1475" s="257"/>
      <c r="D1475" s="265"/>
      <c r="E1475" s="265"/>
      <c r="F1475" s="257"/>
      <c r="G1475" s="265"/>
      <c r="H1475" s="256"/>
      <c r="I1475" s="257"/>
      <c r="J1475" s="32"/>
      <c r="K1475" s="32"/>
      <c r="L1475" s="32"/>
      <c r="M1475" s="32"/>
      <c r="N1475" s="257"/>
      <c r="O1475" s="32"/>
      <c r="P1475" s="32"/>
      <c r="Q1475" s="32"/>
      <c r="R1475" s="32"/>
      <c r="S1475" s="32"/>
      <c r="T1475" s="264"/>
      <c r="U1475" s="16"/>
      <c r="V1475" s="16"/>
      <c r="W1475" s="16"/>
      <c r="X1475" s="32"/>
      <c r="Y1475" s="250"/>
    </row>
    <row r="1476">
      <c r="A1476" s="32"/>
      <c r="B1476" s="32"/>
      <c r="C1476" s="257"/>
      <c r="D1476" s="265"/>
      <c r="E1476" s="265"/>
      <c r="F1476" s="257"/>
      <c r="G1476" s="265"/>
      <c r="H1476" s="256"/>
      <c r="I1476" s="257"/>
      <c r="J1476" s="32"/>
      <c r="K1476" s="32"/>
      <c r="L1476" s="32"/>
      <c r="M1476" s="32"/>
      <c r="N1476" s="257"/>
      <c r="O1476" s="32"/>
      <c r="P1476" s="32"/>
      <c r="Q1476" s="32"/>
      <c r="R1476" s="32"/>
      <c r="S1476" s="32"/>
      <c r="T1476" s="264"/>
      <c r="U1476" s="16"/>
      <c r="V1476" s="16"/>
      <c r="W1476" s="16"/>
      <c r="X1476" s="32"/>
      <c r="Y1476" s="250"/>
    </row>
    <row r="1477">
      <c r="A1477" s="32"/>
      <c r="B1477" s="32"/>
      <c r="C1477" s="257"/>
      <c r="D1477" s="265"/>
      <c r="E1477" s="265"/>
      <c r="F1477" s="257"/>
      <c r="G1477" s="265"/>
      <c r="H1477" s="256"/>
      <c r="I1477" s="257"/>
      <c r="J1477" s="32"/>
      <c r="K1477" s="32"/>
      <c r="L1477" s="32"/>
      <c r="M1477" s="32"/>
      <c r="N1477" s="257"/>
      <c r="O1477" s="32"/>
      <c r="P1477" s="32"/>
      <c r="Q1477" s="32"/>
      <c r="R1477" s="32"/>
      <c r="S1477" s="32"/>
      <c r="T1477" s="264"/>
      <c r="U1477" s="16"/>
      <c r="V1477" s="16"/>
      <c r="W1477" s="16"/>
      <c r="X1477" s="32"/>
      <c r="Y1477" s="250"/>
    </row>
    <row r="1478">
      <c r="A1478" s="32"/>
      <c r="B1478" s="32"/>
      <c r="C1478" s="257"/>
      <c r="D1478" s="265"/>
      <c r="E1478" s="265"/>
      <c r="F1478" s="257"/>
      <c r="G1478" s="265"/>
      <c r="H1478" s="256"/>
      <c r="I1478" s="257"/>
      <c r="J1478" s="32"/>
      <c r="K1478" s="32"/>
      <c r="L1478" s="32"/>
      <c r="M1478" s="32"/>
      <c r="N1478" s="257"/>
      <c r="O1478" s="32"/>
      <c r="P1478" s="32"/>
      <c r="Q1478" s="32"/>
      <c r="R1478" s="32"/>
      <c r="S1478" s="32"/>
      <c r="T1478" s="264"/>
      <c r="U1478" s="16"/>
      <c r="V1478" s="16"/>
      <c r="W1478" s="16"/>
      <c r="X1478" s="32"/>
      <c r="Y1478" s="250"/>
    </row>
    <row r="1479">
      <c r="A1479" s="32"/>
      <c r="B1479" s="32"/>
      <c r="C1479" s="257"/>
      <c r="D1479" s="265"/>
      <c r="E1479" s="265"/>
      <c r="F1479" s="257"/>
      <c r="G1479" s="265"/>
      <c r="H1479" s="256"/>
      <c r="I1479" s="257"/>
      <c r="J1479" s="32"/>
      <c r="K1479" s="32"/>
      <c r="L1479" s="32"/>
      <c r="M1479" s="32"/>
      <c r="N1479" s="257"/>
      <c r="O1479" s="32"/>
      <c r="P1479" s="32"/>
      <c r="Q1479" s="32"/>
      <c r="R1479" s="32"/>
      <c r="S1479" s="32"/>
      <c r="T1479" s="264"/>
      <c r="U1479" s="16"/>
      <c r="V1479" s="16"/>
      <c r="W1479" s="16"/>
      <c r="X1479" s="32"/>
      <c r="Y1479" s="250"/>
    </row>
    <row r="1480">
      <c r="A1480" s="32"/>
      <c r="B1480" s="32"/>
      <c r="C1480" s="257"/>
      <c r="D1480" s="265"/>
      <c r="E1480" s="265"/>
      <c r="F1480" s="257"/>
      <c r="G1480" s="265"/>
      <c r="H1480" s="256"/>
      <c r="I1480" s="257"/>
      <c r="J1480" s="32"/>
      <c r="K1480" s="32"/>
      <c r="L1480" s="32"/>
      <c r="M1480" s="32"/>
      <c r="N1480" s="257"/>
      <c r="O1480" s="32"/>
      <c r="P1480" s="32"/>
      <c r="Q1480" s="32"/>
      <c r="R1480" s="32"/>
      <c r="S1480" s="32"/>
      <c r="T1480" s="264"/>
      <c r="U1480" s="16"/>
      <c r="V1480" s="16"/>
      <c r="W1480" s="16"/>
      <c r="X1480" s="32"/>
      <c r="Y1480" s="250"/>
    </row>
    <row r="1481">
      <c r="A1481" s="32"/>
      <c r="B1481" s="32"/>
      <c r="C1481" s="257"/>
      <c r="D1481" s="265"/>
      <c r="E1481" s="265"/>
      <c r="F1481" s="257"/>
      <c r="G1481" s="265"/>
      <c r="H1481" s="256"/>
      <c r="I1481" s="257"/>
      <c r="J1481" s="32"/>
      <c r="K1481" s="32"/>
      <c r="L1481" s="32"/>
      <c r="M1481" s="32"/>
      <c r="N1481" s="257"/>
      <c r="O1481" s="32"/>
      <c r="P1481" s="32"/>
      <c r="Q1481" s="32"/>
      <c r="R1481" s="32"/>
      <c r="S1481" s="32"/>
      <c r="T1481" s="264"/>
      <c r="U1481" s="16"/>
      <c r="V1481" s="16"/>
      <c r="W1481" s="16"/>
      <c r="X1481" s="32"/>
      <c r="Y1481" s="250"/>
    </row>
    <row r="1482">
      <c r="A1482" s="32"/>
      <c r="B1482" s="32"/>
      <c r="C1482" s="257"/>
      <c r="D1482" s="265"/>
      <c r="E1482" s="265"/>
      <c r="F1482" s="257"/>
      <c r="G1482" s="265"/>
      <c r="H1482" s="256"/>
      <c r="I1482" s="257"/>
      <c r="J1482" s="32"/>
      <c r="K1482" s="32"/>
      <c r="L1482" s="32"/>
      <c r="M1482" s="32"/>
      <c r="N1482" s="257"/>
      <c r="O1482" s="32"/>
      <c r="P1482" s="32"/>
      <c r="Q1482" s="32"/>
      <c r="R1482" s="32"/>
      <c r="S1482" s="32"/>
      <c r="T1482" s="264"/>
      <c r="U1482" s="16"/>
      <c r="V1482" s="16"/>
      <c r="W1482" s="16"/>
      <c r="X1482" s="32"/>
      <c r="Y1482" s="250"/>
    </row>
    <row r="1483">
      <c r="A1483" s="32"/>
      <c r="B1483" s="32"/>
      <c r="C1483" s="257"/>
      <c r="D1483" s="265"/>
      <c r="E1483" s="265"/>
      <c r="F1483" s="257"/>
      <c r="G1483" s="265"/>
      <c r="H1483" s="256"/>
      <c r="I1483" s="257"/>
      <c r="J1483" s="32"/>
      <c r="K1483" s="32"/>
      <c r="L1483" s="32"/>
      <c r="M1483" s="32"/>
      <c r="N1483" s="257"/>
      <c r="O1483" s="32"/>
      <c r="P1483" s="32"/>
      <c r="Q1483" s="32"/>
      <c r="R1483" s="32"/>
      <c r="S1483" s="32"/>
      <c r="T1483" s="264"/>
      <c r="U1483" s="16"/>
      <c r="V1483" s="16"/>
      <c r="W1483" s="16"/>
      <c r="X1483" s="32"/>
      <c r="Y1483" s="250"/>
    </row>
    <row r="1484">
      <c r="A1484" s="32"/>
      <c r="B1484" s="32"/>
      <c r="C1484" s="257"/>
      <c r="D1484" s="265"/>
      <c r="E1484" s="265"/>
      <c r="F1484" s="257"/>
      <c r="G1484" s="265"/>
      <c r="H1484" s="256"/>
      <c r="I1484" s="257"/>
      <c r="J1484" s="32"/>
      <c r="K1484" s="32"/>
      <c r="L1484" s="32"/>
      <c r="M1484" s="32"/>
      <c r="N1484" s="257"/>
      <c r="O1484" s="32"/>
      <c r="P1484" s="32"/>
      <c r="Q1484" s="32"/>
      <c r="R1484" s="32"/>
      <c r="S1484" s="32"/>
      <c r="T1484" s="264"/>
      <c r="U1484" s="16"/>
      <c r="V1484" s="16"/>
      <c r="W1484" s="16"/>
      <c r="X1484" s="32"/>
      <c r="Y1484" s="250"/>
    </row>
    <row r="1485">
      <c r="A1485" s="32"/>
      <c r="B1485" s="32"/>
      <c r="C1485" s="257"/>
      <c r="D1485" s="265"/>
      <c r="E1485" s="265"/>
      <c r="F1485" s="257"/>
      <c r="G1485" s="265"/>
      <c r="H1485" s="256"/>
      <c r="I1485" s="257"/>
      <c r="J1485" s="32"/>
      <c r="K1485" s="32"/>
      <c r="L1485" s="32"/>
      <c r="M1485" s="32"/>
      <c r="N1485" s="257"/>
      <c r="O1485" s="32"/>
      <c r="P1485" s="32"/>
      <c r="Q1485" s="32"/>
      <c r="R1485" s="32"/>
      <c r="S1485" s="32"/>
      <c r="T1485" s="264"/>
      <c r="U1485" s="16"/>
      <c r="V1485" s="16"/>
      <c r="W1485" s="16"/>
      <c r="X1485" s="32"/>
      <c r="Y1485" s="250"/>
    </row>
    <row r="1486">
      <c r="A1486" s="32"/>
      <c r="B1486" s="32"/>
      <c r="C1486" s="257"/>
      <c r="D1486" s="265"/>
      <c r="E1486" s="265"/>
      <c r="F1486" s="257"/>
      <c r="G1486" s="265"/>
      <c r="H1486" s="256"/>
      <c r="I1486" s="257"/>
      <c r="J1486" s="32"/>
      <c r="K1486" s="32"/>
      <c r="L1486" s="32"/>
      <c r="M1486" s="32"/>
      <c r="N1486" s="257"/>
      <c r="O1486" s="32"/>
      <c r="P1486" s="32"/>
      <c r="Q1486" s="32"/>
      <c r="R1486" s="32"/>
      <c r="S1486" s="32"/>
      <c r="T1486" s="264"/>
      <c r="U1486" s="16"/>
      <c r="V1486" s="16"/>
      <c r="W1486" s="16"/>
      <c r="X1486" s="32"/>
      <c r="Y1486" s="250"/>
    </row>
    <row r="1487">
      <c r="A1487" s="32"/>
      <c r="B1487" s="32"/>
      <c r="C1487" s="257"/>
      <c r="D1487" s="265"/>
      <c r="E1487" s="265"/>
      <c r="F1487" s="257"/>
      <c r="G1487" s="265"/>
      <c r="H1487" s="256"/>
      <c r="I1487" s="257"/>
      <c r="J1487" s="32"/>
      <c r="K1487" s="32"/>
      <c r="L1487" s="32"/>
      <c r="M1487" s="32"/>
      <c r="N1487" s="257"/>
      <c r="O1487" s="32"/>
      <c r="P1487" s="32"/>
      <c r="Q1487" s="32"/>
      <c r="R1487" s="32"/>
      <c r="S1487" s="32"/>
      <c r="T1487" s="264"/>
      <c r="U1487" s="16"/>
      <c r="V1487" s="16"/>
      <c r="W1487" s="16"/>
      <c r="X1487" s="32"/>
      <c r="Y1487" s="250"/>
    </row>
    <row r="1488">
      <c r="A1488" s="32"/>
      <c r="B1488" s="32"/>
      <c r="C1488" s="257"/>
      <c r="D1488" s="265"/>
      <c r="E1488" s="265"/>
      <c r="F1488" s="257"/>
      <c r="G1488" s="265"/>
      <c r="H1488" s="256"/>
      <c r="I1488" s="257"/>
      <c r="J1488" s="32"/>
      <c r="K1488" s="32"/>
      <c r="L1488" s="32"/>
      <c r="M1488" s="32"/>
      <c r="N1488" s="257"/>
      <c r="O1488" s="32"/>
      <c r="P1488" s="32"/>
      <c r="Q1488" s="32"/>
      <c r="R1488" s="32"/>
      <c r="S1488" s="32"/>
      <c r="T1488" s="264"/>
      <c r="U1488" s="16"/>
      <c r="V1488" s="16"/>
      <c r="W1488" s="16"/>
      <c r="X1488" s="32"/>
      <c r="Y1488" s="250"/>
    </row>
    <row r="1489">
      <c r="A1489" s="32"/>
      <c r="B1489" s="32"/>
      <c r="C1489" s="257"/>
      <c r="D1489" s="265"/>
      <c r="E1489" s="265"/>
      <c r="F1489" s="257"/>
      <c r="G1489" s="265"/>
      <c r="H1489" s="256"/>
      <c r="I1489" s="257"/>
      <c r="J1489" s="32"/>
      <c r="K1489" s="32"/>
      <c r="L1489" s="32"/>
      <c r="M1489" s="32"/>
      <c r="N1489" s="257"/>
      <c r="O1489" s="32"/>
      <c r="P1489" s="32"/>
      <c r="Q1489" s="32"/>
      <c r="R1489" s="32"/>
      <c r="S1489" s="32"/>
      <c r="T1489" s="264"/>
      <c r="U1489" s="16"/>
      <c r="V1489" s="16"/>
      <c r="W1489" s="16"/>
      <c r="X1489" s="32"/>
      <c r="Y1489" s="250"/>
    </row>
    <row r="1490">
      <c r="A1490" s="32"/>
      <c r="B1490" s="32"/>
      <c r="C1490" s="257"/>
      <c r="D1490" s="265"/>
      <c r="E1490" s="265"/>
      <c r="F1490" s="257"/>
      <c r="G1490" s="265"/>
      <c r="H1490" s="256"/>
      <c r="I1490" s="257"/>
      <c r="J1490" s="32"/>
      <c r="K1490" s="32"/>
      <c r="L1490" s="32"/>
      <c r="M1490" s="32"/>
      <c r="N1490" s="257"/>
      <c r="O1490" s="32"/>
      <c r="P1490" s="32"/>
      <c r="Q1490" s="32"/>
      <c r="R1490" s="32"/>
      <c r="S1490" s="32"/>
      <c r="T1490" s="264"/>
      <c r="U1490" s="16"/>
      <c r="V1490" s="16"/>
      <c r="W1490" s="16"/>
      <c r="X1490" s="32"/>
      <c r="Y1490" s="250"/>
    </row>
    <row r="1491">
      <c r="A1491" s="32"/>
      <c r="B1491" s="32"/>
      <c r="C1491" s="257"/>
      <c r="D1491" s="265"/>
      <c r="E1491" s="265"/>
      <c r="F1491" s="257"/>
      <c r="G1491" s="265"/>
      <c r="H1491" s="256"/>
      <c r="I1491" s="257"/>
      <c r="J1491" s="32"/>
      <c r="K1491" s="32"/>
      <c r="L1491" s="32"/>
      <c r="M1491" s="32"/>
      <c r="N1491" s="257"/>
      <c r="O1491" s="32"/>
      <c r="P1491" s="32"/>
      <c r="Q1491" s="32"/>
      <c r="R1491" s="32"/>
      <c r="S1491" s="32"/>
      <c r="T1491" s="264"/>
      <c r="U1491" s="16"/>
      <c r="V1491" s="16"/>
      <c r="W1491" s="16"/>
      <c r="X1491" s="32"/>
      <c r="Y1491" s="250"/>
    </row>
    <row r="1492">
      <c r="A1492" s="32"/>
      <c r="B1492" s="32"/>
      <c r="C1492" s="257"/>
      <c r="D1492" s="265"/>
      <c r="E1492" s="265"/>
      <c r="F1492" s="257"/>
      <c r="G1492" s="265"/>
      <c r="H1492" s="256"/>
      <c r="I1492" s="257"/>
      <c r="J1492" s="32"/>
      <c r="K1492" s="32"/>
      <c r="L1492" s="32"/>
      <c r="M1492" s="32"/>
      <c r="N1492" s="257"/>
      <c r="O1492" s="32"/>
      <c r="P1492" s="32"/>
      <c r="Q1492" s="32"/>
      <c r="R1492" s="32"/>
      <c r="S1492" s="32"/>
      <c r="T1492" s="264"/>
      <c r="U1492" s="16"/>
      <c r="V1492" s="16"/>
      <c r="W1492" s="16"/>
      <c r="X1492" s="32"/>
      <c r="Y1492" s="250"/>
    </row>
    <row r="1493">
      <c r="A1493" s="32"/>
      <c r="B1493" s="32"/>
      <c r="C1493" s="257"/>
      <c r="D1493" s="265"/>
      <c r="E1493" s="265"/>
      <c r="F1493" s="257"/>
      <c r="G1493" s="265"/>
      <c r="H1493" s="256"/>
      <c r="I1493" s="257"/>
      <c r="J1493" s="32"/>
      <c r="K1493" s="32"/>
      <c r="L1493" s="32"/>
      <c r="M1493" s="32"/>
      <c r="N1493" s="257"/>
      <c r="O1493" s="32"/>
      <c r="P1493" s="32"/>
      <c r="Q1493" s="32"/>
      <c r="R1493" s="32"/>
      <c r="S1493" s="32"/>
      <c r="T1493" s="264"/>
      <c r="U1493" s="16"/>
      <c r="V1493" s="16"/>
      <c r="W1493" s="16"/>
      <c r="X1493" s="32"/>
      <c r="Y1493" s="250"/>
    </row>
    <row r="1494">
      <c r="A1494" s="32"/>
      <c r="B1494" s="32"/>
      <c r="C1494" s="257"/>
      <c r="D1494" s="265"/>
      <c r="E1494" s="265"/>
      <c r="F1494" s="257"/>
      <c r="G1494" s="265"/>
      <c r="H1494" s="256"/>
      <c r="I1494" s="257"/>
      <c r="J1494" s="32"/>
      <c r="K1494" s="32"/>
      <c r="L1494" s="32"/>
      <c r="M1494" s="32"/>
      <c r="N1494" s="257"/>
      <c r="O1494" s="32"/>
      <c r="P1494" s="32"/>
      <c r="Q1494" s="32"/>
      <c r="R1494" s="32"/>
      <c r="S1494" s="32"/>
      <c r="T1494" s="264"/>
      <c r="U1494" s="16"/>
      <c r="V1494" s="16"/>
      <c r="W1494" s="16"/>
      <c r="X1494" s="32"/>
      <c r="Y1494" s="250"/>
    </row>
    <row r="1495">
      <c r="A1495" s="32"/>
      <c r="B1495" s="32"/>
      <c r="C1495" s="257"/>
      <c r="D1495" s="265"/>
      <c r="E1495" s="265"/>
      <c r="F1495" s="257"/>
      <c r="G1495" s="265"/>
      <c r="H1495" s="256"/>
      <c r="I1495" s="257"/>
      <c r="J1495" s="32"/>
      <c r="K1495" s="32"/>
      <c r="L1495" s="32"/>
      <c r="M1495" s="32"/>
      <c r="N1495" s="257"/>
      <c r="O1495" s="32"/>
      <c r="P1495" s="32"/>
      <c r="Q1495" s="32"/>
      <c r="R1495" s="32"/>
      <c r="S1495" s="32"/>
      <c r="T1495" s="264"/>
      <c r="U1495" s="16"/>
      <c r="V1495" s="16"/>
      <c r="W1495" s="16"/>
      <c r="X1495" s="32"/>
      <c r="Y1495" s="250"/>
    </row>
    <row r="1496">
      <c r="A1496" s="32"/>
      <c r="B1496" s="32"/>
      <c r="C1496" s="257"/>
      <c r="D1496" s="265"/>
      <c r="E1496" s="265"/>
      <c r="F1496" s="257"/>
      <c r="G1496" s="265"/>
      <c r="H1496" s="256"/>
      <c r="I1496" s="257"/>
      <c r="J1496" s="32"/>
      <c r="K1496" s="32"/>
      <c r="L1496" s="32"/>
      <c r="M1496" s="32"/>
      <c r="N1496" s="257"/>
      <c r="O1496" s="32"/>
      <c r="P1496" s="32"/>
      <c r="Q1496" s="32"/>
      <c r="R1496" s="32"/>
      <c r="S1496" s="32"/>
      <c r="T1496" s="264"/>
      <c r="U1496" s="16"/>
      <c r="V1496" s="16"/>
      <c r="W1496" s="16"/>
      <c r="X1496" s="32"/>
      <c r="Y1496" s="250"/>
    </row>
    <row r="1497">
      <c r="A1497" s="32"/>
      <c r="B1497" s="32"/>
      <c r="C1497" s="257"/>
      <c r="D1497" s="265"/>
      <c r="E1497" s="265"/>
      <c r="F1497" s="257"/>
      <c r="G1497" s="265"/>
      <c r="H1497" s="256"/>
      <c r="I1497" s="257"/>
      <c r="J1497" s="32"/>
      <c r="K1497" s="32"/>
      <c r="L1497" s="32"/>
      <c r="M1497" s="32"/>
      <c r="N1497" s="257"/>
      <c r="O1497" s="32"/>
      <c r="P1497" s="32"/>
      <c r="Q1497" s="32"/>
      <c r="R1497" s="32"/>
      <c r="S1497" s="32"/>
      <c r="T1497" s="264"/>
      <c r="U1497" s="16"/>
      <c r="V1497" s="16"/>
      <c r="W1497" s="16"/>
      <c r="X1497" s="32"/>
      <c r="Y1497" s="250"/>
    </row>
    <row r="1498">
      <c r="A1498" s="32"/>
      <c r="B1498" s="32"/>
      <c r="C1498" s="257"/>
      <c r="D1498" s="265"/>
      <c r="E1498" s="265"/>
      <c r="F1498" s="257"/>
      <c r="G1498" s="265"/>
      <c r="H1498" s="256"/>
      <c r="I1498" s="257"/>
      <c r="J1498" s="32"/>
      <c r="K1498" s="32"/>
      <c r="L1498" s="32"/>
      <c r="M1498" s="32"/>
      <c r="N1498" s="257"/>
      <c r="O1498" s="32"/>
      <c r="P1498" s="32"/>
      <c r="Q1498" s="32"/>
      <c r="R1498" s="32"/>
      <c r="S1498" s="32"/>
      <c r="T1498" s="264"/>
      <c r="U1498" s="16"/>
      <c r="V1498" s="16"/>
      <c r="W1498" s="16"/>
      <c r="X1498" s="32"/>
      <c r="Y1498" s="250"/>
    </row>
    <row r="1499">
      <c r="A1499" s="32"/>
      <c r="B1499" s="32"/>
      <c r="C1499" s="257"/>
      <c r="D1499" s="265"/>
      <c r="E1499" s="265"/>
      <c r="F1499" s="257"/>
      <c r="G1499" s="265"/>
      <c r="H1499" s="256"/>
      <c r="I1499" s="257"/>
      <c r="J1499" s="32"/>
      <c r="K1499" s="32"/>
      <c r="L1499" s="32"/>
      <c r="M1499" s="32"/>
      <c r="N1499" s="257"/>
      <c r="O1499" s="32"/>
      <c r="P1499" s="32"/>
      <c r="Q1499" s="32"/>
      <c r="R1499" s="32"/>
      <c r="S1499" s="32"/>
      <c r="T1499" s="264"/>
      <c r="U1499" s="16"/>
      <c r="V1499" s="16"/>
      <c r="W1499" s="16"/>
      <c r="X1499" s="32"/>
      <c r="Y1499" s="250"/>
    </row>
    <row r="1500">
      <c r="A1500" s="32"/>
      <c r="B1500" s="32"/>
      <c r="C1500" s="257"/>
      <c r="D1500" s="265"/>
      <c r="E1500" s="265"/>
      <c r="F1500" s="257"/>
      <c r="G1500" s="265"/>
      <c r="H1500" s="256"/>
      <c r="I1500" s="257"/>
      <c r="J1500" s="32"/>
      <c r="K1500" s="32"/>
      <c r="L1500" s="32"/>
      <c r="M1500" s="32"/>
      <c r="N1500" s="257"/>
      <c r="O1500" s="32"/>
      <c r="P1500" s="32"/>
      <c r="Q1500" s="32"/>
      <c r="R1500" s="32"/>
      <c r="S1500" s="32"/>
      <c r="T1500" s="264"/>
      <c r="U1500" s="16"/>
      <c r="V1500" s="16"/>
      <c r="W1500" s="16"/>
      <c r="X1500" s="32"/>
      <c r="Y1500" s="250"/>
    </row>
    <row r="1501">
      <c r="A1501" s="32"/>
      <c r="B1501" s="32"/>
      <c r="C1501" s="257"/>
      <c r="D1501" s="265"/>
      <c r="E1501" s="265"/>
      <c r="F1501" s="257"/>
      <c r="G1501" s="265"/>
      <c r="H1501" s="256"/>
      <c r="I1501" s="257"/>
      <c r="J1501" s="32"/>
      <c r="K1501" s="32"/>
      <c r="L1501" s="32"/>
      <c r="M1501" s="32"/>
      <c r="N1501" s="257"/>
      <c r="O1501" s="32"/>
      <c r="P1501" s="32"/>
      <c r="Q1501" s="32"/>
      <c r="R1501" s="32"/>
      <c r="S1501" s="32"/>
      <c r="T1501" s="264"/>
      <c r="U1501" s="16"/>
      <c r="V1501" s="16"/>
      <c r="W1501" s="16"/>
      <c r="X1501" s="32"/>
      <c r="Y1501" s="250"/>
    </row>
    <row r="1502">
      <c r="A1502" s="32"/>
      <c r="B1502" s="32"/>
      <c r="C1502" s="257"/>
      <c r="D1502" s="265"/>
      <c r="E1502" s="265"/>
      <c r="F1502" s="257"/>
      <c r="G1502" s="265"/>
      <c r="H1502" s="256"/>
      <c r="I1502" s="257"/>
      <c r="J1502" s="32"/>
      <c r="K1502" s="32"/>
      <c r="L1502" s="32"/>
      <c r="M1502" s="32"/>
      <c r="N1502" s="257"/>
      <c r="O1502" s="32"/>
      <c r="P1502" s="32"/>
      <c r="Q1502" s="32"/>
      <c r="R1502" s="32"/>
      <c r="S1502" s="32"/>
      <c r="T1502" s="264"/>
      <c r="U1502" s="16"/>
      <c r="V1502" s="16"/>
      <c r="W1502" s="16"/>
      <c r="X1502" s="32"/>
      <c r="Y1502" s="250"/>
    </row>
    <row r="1503">
      <c r="A1503" s="32"/>
      <c r="B1503" s="32"/>
      <c r="C1503" s="257"/>
      <c r="D1503" s="265"/>
      <c r="E1503" s="265"/>
      <c r="F1503" s="257"/>
      <c r="G1503" s="265"/>
      <c r="H1503" s="256"/>
      <c r="I1503" s="257"/>
      <c r="J1503" s="32"/>
      <c r="K1503" s="32"/>
      <c r="L1503" s="32"/>
      <c r="M1503" s="32"/>
      <c r="N1503" s="257"/>
      <c r="O1503" s="32"/>
      <c r="P1503" s="32"/>
      <c r="Q1503" s="32"/>
      <c r="R1503" s="32"/>
      <c r="S1503" s="32"/>
      <c r="T1503" s="264"/>
      <c r="U1503" s="16"/>
      <c r="V1503" s="16"/>
      <c r="W1503" s="16"/>
      <c r="X1503" s="32"/>
      <c r="Y1503" s="250"/>
    </row>
    <row r="1504">
      <c r="A1504" s="32"/>
      <c r="B1504" s="32"/>
      <c r="C1504" s="257"/>
      <c r="D1504" s="265"/>
      <c r="E1504" s="265"/>
      <c r="F1504" s="257"/>
      <c r="G1504" s="265"/>
      <c r="H1504" s="256"/>
      <c r="I1504" s="257"/>
      <c r="J1504" s="32"/>
      <c r="K1504" s="32"/>
      <c r="L1504" s="32"/>
      <c r="M1504" s="32"/>
      <c r="N1504" s="257"/>
      <c r="O1504" s="32"/>
      <c r="P1504" s="32"/>
      <c r="Q1504" s="32"/>
      <c r="R1504" s="32"/>
      <c r="S1504" s="32"/>
      <c r="T1504" s="264"/>
      <c r="U1504" s="16"/>
      <c r="V1504" s="16"/>
      <c r="W1504" s="16"/>
      <c r="X1504" s="32"/>
      <c r="Y1504" s="250"/>
    </row>
    <row r="1505">
      <c r="A1505" s="32"/>
      <c r="B1505" s="32"/>
      <c r="C1505" s="257"/>
      <c r="D1505" s="265"/>
      <c r="E1505" s="265"/>
      <c r="F1505" s="257"/>
      <c r="G1505" s="265"/>
      <c r="H1505" s="256"/>
      <c r="I1505" s="257"/>
      <c r="J1505" s="32"/>
      <c r="K1505" s="32"/>
      <c r="L1505" s="32"/>
      <c r="M1505" s="32"/>
      <c r="N1505" s="257"/>
      <c r="O1505" s="32"/>
      <c r="P1505" s="32"/>
      <c r="Q1505" s="32"/>
      <c r="R1505" s="32"/>
      <c r="S1505" s="32"/>
      <c r="T1505" s="264"/>
      <c r="U1505" s="16"/>
      <c r="V1505" s="16"/>
      <c r="W1505" s="16"/>
      <c r="X1505" s="32"/>
      <c r="Y1505" s="250"/>
    </row>
    <row r="1506">
      <c r="A1506" s="32"/>
      <c r="B1506" s="32"/>
      <c r="C1506" s="257"/>
      <c r="D1506" s="265"/>
      <c r="E1506" s="265"/>
      <c r="F1506" s="257"/>
      <c r="G1506" s="265"/>
      <c r="H1506" s="256"/>
      <c r="I1506" s="257"/>
      <c r="J1506" s="32"/>
      <c r="K1506" s="32"/>
      <c r="L1506" s="32"/>
      <c r="M1506" s="32"/>
      <c r="N1506" s="257"/>
      <c r="O1506" s="32"/>
      <c r="P1506" s="32"/>
      <c r="Q1506" s="32"/>
      <c r="R1506" s="32"/>
      <c r="S1506" s="32"/>
      <c r="T1506" s="264"/>
      <c r="U1506" s="16"/>
      <c r="V1506" s="16"/>
      <c r="W1506" s="16"/>
      <c r="X1506" s="32"/>
      <c r="Y1506" s="250"/>
    </row>
    <row r="1507">
      <c r="A1507" s="32"/>
      <c r="B1507" s="32"/>
      <c r="C1507" s="257"/>
      <c r="D1507" s="265"/>
      <c r="E1507" s="265"/>
      <c r="F1507" s="257"/>
      <c r="G1507" s="265"/>
      <c r="H1507" s="256"/>
      <c r="I1507" s="257"/>
      <c r="J1507" s="32"/>
      <c r="K1507" s="32"/>
      <c r="L1507" s="32"/>
      <c r="M1507" s="32"/>
      <c r="N1507" s="257"/>
      <c r="O1507" s="32"/>
      <c r="P1507" s="32"/>
      <c r="Q1507" s="32"/>
      <c r="R1507" s="32"/>
      <c r="S1507" s="32"/>
      <c r="T1507" s="264"/>
      <c r="U1507" s="16"/>
      <c r="V1507" s="16"/>
      <c r="W1507" s="16"/>
      <c r="X1507" s="32"/>
      <c r="Y1507" s="250"/>
    </row>
    <row r="1508">
      <c r="A1508" s="32"/>
      <c r="B1508" s="32"/>
      <c r="C1508" s="257"/>
      <c r="D1508" s="265"/>
      <c r="E1508" s="265"/>
      <c r="F1508" s="257"/>
      <c r="G1508" s="265"/>
      <c r="H1508" s="256"/>
      <c r="I1508" s="257"/>
      <c r="J1508" s="32"/>
      <c r="K1508" s="32"/>
      <c r="L1508" s="32"/>
      <c r="M1508" s="32"/>
      <c r="N1508" s="257"/>
      <c r="O1508" s="32"/>
      <c r="P1508" s="32"/>
      <c r="Q1508" s="32"/>
      <c r="R1508" s="32"/>
      <c r="S1508" s="32"/>
      <c r="T1508" s="264"/>
      <c r="U1508" s="16"/>
      <c r="V1508" s="16"/>
      <c r="W1508" s="16"/>
      <c r="X1508" s="32"/>
      <c r="Y1508" s="250"/>
    </row>
    <row r="1509">
      <c r="A1509" s="32"/>
      <c r="B1509" s="32"/>
      <c r="C1509" s="257"/>
      <c r="D1509" s="265"/>
      <c r="E1509" s="265"/>
      <c r="F1509" s="257"/>
      <c r="G1509" s="265"/>
      <c r="H1509" s="256"/>
      <c r="I1509" s="257"/>
      <c r="J1509" s="32"/>
      <c r="K1509" s="32"/>
      <c r="L1509" s="32"/>
      <c r="M1509" s="32"/>
      <c r="N1509" s="257"/>
      <c r="O1509" s="32"/>
      <c r="P1509" s="32"/>
      <c r="Q1509" s="32"/>
      <c r="R1509" s="32"/>
      <c r="S1509" s="32"/>
      <c r="T1509" s="264"/>
      <c r="U1509" s="16"/>
      <c r="V1509" s="16"/>
      <c r="W1509" s="16"/>
      <c r="X1509" s="32"/>
      <c r="Y1509" s="250"/>
    </row>
    <row r="1510">
      <c r="A1510" s="32"/>
      <c r="B1510" s="32"/>
      <c r="C1510" s="257"/>
      <c r="D1510" s="265"/>
      <c r="E1510" s="265"/>
      <c r="F1510" s="257"/>
      <c r="G1510" s="265"/>
      <c r="H1510" s="256"/>
      <c r="I1510" s="257"/>
      <c r="J1510" s="32"/>
      <c r="K1510" s="32"/>
      <c r="L1510" s="32"/>
      <c r="M1510" s="32"/>
      <c r="N1510" s="257"/>
      <c r="O1510" s="32"/>
      <c r="P1510" s="32"/>
      <c r="Q1510" s="32"/>
      <c r="R1510" s="32"/>
      <c r="S1510" s="32"/>
      <c r="T1510" s="264"/>
      <c r="U1510" s="16"/>
      <c r="V1510" s="16"/>
      <c r="W1510" s="16"/>
      <c r="X1510" s="32"/>
      <c r="Y1510" s="250"/>
    </row>
    <row r="1511">
      <c r="A1511" s="32"/>
      <c r="B1511" s="32"/>
      <c r="C1511" s="257"/>
      <c r="D1511" s="265"/>
      <c r="E1511" s="265"/>
      <c r="F1511" s="257"/>
      <c r="G1511" s="265"/>
      <c r="H1511" s="256"/>
      <c r="I1511" s="257"/>
      <c r="J1511" s="32"/>
      <c r="K1511" s="32"/>
      <c r="L1511" s="32"/>
      <c r="M1511" s="32"/>
      <c r="N1511" s="257"/>
      <c r="O1511" s="32"/>
      <c r="P1511" s="32"/>
      <c r="Q1511" s="32"/>
      <c r="R1511" s="32"/>
      <c r="S1511" s="32"/>
      <c r="T1511" s="264"/>
      <c r="U1511" s="16"/>
      <c r="V1511" s="16"/>
      <c r="W1511" s="16"/>
      <c r="X1511" s="32"/>
      <c r="Y1511" s="250"/>
    </row>
    <row r="1512">
      <c r="A1512" s="32"/>
      <c r="B1512" s="32"/>
      <c r="C1512" s="257"/>
      <c r="D1512" s="265"/>
      <c r="E1512" s="265"/>
      <c r="F1512" s="257"/>
      <c r="G1512" s="265"/>
      <c r="H1512" s="256"/>
      <c r="I1512" s="257"/>
      <c r="J1512" s="32"/>
      <c r="K1512" s="32"/>
      <c r="L1512" s="32"/>
      <c r="M1512" s="32"/>
      <c r="N1512" s="257"/>
      <c r="O1512" s="32"/>
      <c r="P1512" s="32"/>
      <c r="Q1512" s="32"/>
      <c r="R1512" s="32"/>
      <c r="S1512" s="32"/>
      <c r="T1512" s="264"/>
      <c r="U1512" s="16"/>
      <c r="V1512" s="16"/>
      <c r="W1512" s="16"/>
      <c r="X1512" s="32"/>
      <c r="Y1512" s="250"/>
    </row>
    <row r="1513">
      <c r="A1513" s="32"/>
      <c r="B1513" s="32"/>
      <c r="C1513" s="257"/>
      <c r="D1513" s="265"/>
      <c r="E1513" s="265"/>
      <c r="F1513" s="257"/>
      <c r="G1513" s="265"/>
      <c r="H1513" s="256"/>
      <c r="I1513" s="257"/>
      <c r="J1513" s="32"/>
      <c r="K1513" s="32"/>
      <c r="L1513" s="32"/>
      <c r="M1513" s="32"/>
      <c r="N1513" s="257"/>
      <c r="O1513" s="32"/>
      <c r="P1513" s="32"/>
      <c r="Q1513" s="32"/>
      <c r="R1513" s="32"/>
      <c r="S1513" s="32"/>
      <c r="T1513" s="264"/>
      <c r="U1513" s="16"/>
      <c r="V1513" s="16"/>
      <c r="W1513" s="16"/>
      <c r="X1513" s="32"/>
      <c r="Y1513" s="250"/>
    </row>
    <row r="1514">
      <c r="A1514" s="32"/>
      <c r="B1514" s="32"/>
      <c r="C1514" s="257"/>
      <c r="D1514" s="265"/>
      <c r="E1514" s="265"/>
      <c r="F1514" s="257"/>
      <c r="G1514" s="265"/>
      <c r="H1514" s="256"/>
      <c r="I1514" s="257"/>
      <c r="J1514" s="32"/>
      <c r="K1514" s="32"/>
      <c r="L1514" s="32"/>
      <c r="M1514" s="32"/>
      <c r="N1514" s="257"/>
      <c r="O1514" s="32"/>
      <c r="P1514" s="32"/>
      <c r="Q1514" s="32"/>
      <c r="R1514" s="32"/>
      <c r="S1514" s="32"/>
      <c r="T1514" s="264"/>
      <c r="U1514" s="16"/>
      <c r="V1514" s="16"/>
      <c r="W1514" s="16"/>
      <c r="X1514" s="32"/>
      <c r="Y1514" s="250"/>
    </row>
    <row r="1515">
      <c r="A1515" s="32"/>
      <c r="B1515" s="32"/>
      <c r="C1515" s="257"/>
      <c r="D1515" s="265"/>
      <c r="E1515" s="265"/>
      <c r="F1515" s="257"/>
      <c r="G1515" s="265"/>
      <c r="H1515" s="256"/>
      <c r="I1515" s="257"/>
      <c r="J1515" s="32"/>
      <c r="K1515" s="32"/>
      <c r="L1515" s="32"/>
      <c r="M1515" s="32"/>
      <c r="N1515" s="257"/>
      <c r="O1515" s="32"/>
      <c r="P1515" s="32"/>
      <c r="Q1515" s="32"/>
      <c r="R1515" s="32"/>
      <c r="S1515" s="32"/>
      <c r="T1515" s="264"/>
      <c r="U1515" s="16"/>
      <c r="V1515" s="16"/>
      <c r="W1515" s="16"/>
      <c r="X1515" s="32"/>
      <c r="Y1515" s="250"/>
    </row>
    <row r="1516">
      <c r="A1516" s="32"/>
      <c r="B1516" s="32"/>
      <c r="C1516" s="257"/>
      <c r="D1516" s="265"/>
      <c r="E1516" s="265"/>
      <c r="F1516" s="257"/>
      <c r="G1516" s="265"/>
      <c r="H1516" s="256"/>
      <c r="I1516" s="257"/>
      <c r="J1516" s="32"/>
      <c r="K1516" s="32"/>
      <c r="L1516" s="32"/>
      <c r="M1516" s="32"/>
      <c r="N1516" s="257"/>
      <c r="O1516" s="32"/>
      <c r="P1516" s="32"/>
      <c r="Q1516" s="32"/>
      <c r="R1516" s="32"/>
      <c r="S1516" s="32"/>
      <c r="T1516" s="264"/>
      <c r="U1516" s="16"/>
      <c r="V1516" s="16"/>
      <c r="W1516" s="16"/>
      <c r="X1516" s="32"/>
      <c r="Y1516" s="250"/>
    </row>
    <row r="1517">
      <c r="A1517" s="32"/>
      <c r="B1517" s="32"/>
      <c r="C1517" s="257"/>
      <c r="D1517" s="265"/>
      <c r="E1517" s="265"/>
      <c r="F1517" s="257"/>
      <c r="G1517" s="265"/>
      <c r="H1517" s="256"/>
      <c r="I1517" s="257"/>
      <c r="J1517" s="32"/>
      <c r="K1517" s="32"/>
      <c r="L1517" s="32"/>
      <c r="M1517" s="32"/>
      <c r="N1517" s="257"/>
      <c r="O1517" s="32"/>
      <c r="P1517" s="32"/>
      <c r="Q1517" s="32"/>
      <c r="R1517" s="32"/>
      <c r="S1517" s="32"/>
      <c r="T1517" s="264"/>
      <c r="U1517" s="16"/>
      <c r="V1517" s="16"/>
      <c r="W1517" s="16"/>
      <c r="X1517" s="32"/>
      <c r="Y1517" s="250"/>
    </row>
    <row r="1518">
      <c r="A1518" s="32"/>
      <c r="B1518" s="32"/>
      <c r="C1518" s="257"/>
      <c r="D1518" s="265"/>
      <c r="E1518" s="265"/>
      <c r="F1518" s="257"/>
      <c r="G1518" s="265"/>
      <c r="H1518" s="256"/>
      <c r="I1518" s="257"/>
      <c r="J1518" s="32"/>
      <c r="K1518" s="32"/>
      <c r="L1518" s="32"/>
      <c r="M1518" s="32"/>
      <c r="N1518" s="257"/>
      <c r="O1518" s="32"/>
      <c r="P1518" s="32"/>
      <c r="Q1518" s="32"/>
      <c r="R1518" s="32"/>
      <c r="S1518" s="32"/>
      <c r="T1518" s="264"/>
      <c r="U1518" s="16"/>
      <c r="V1518" s="16"/>
      <c r="W1518" s="16"/>
      <c r="X1518" s="32"/>
      <c r="Y1518" s="250"/>
    </row>
    <row r="1519">
      <c r="A1519" s="32"/>
      <c r="B1519" s="32"/>
      <c r="C1519" s="257"/>
      <c r="D1519" s="265"/>
      <c r="E1519" s="265"/>
      <c r="F1519" s="257"/>
      <c r="G1519" s="265"/>
      <c r="H1519" s="256"/>
      <c r="I1519" s="257"/>
      <c r="J1519" s="32"/>
      <c r="K1519" s="32"/>
      <c r="L1519" s="32"/>
      <c r="M1519" s="32"/>
      <c r="N1519" s="257"/>
      <c r="O1519" s="32"/>
      <c r="P1519" s="32"/>
      <c r="Q1519" s="32"/>
      <c r="R1519" s="32"/>
      <c r="S1519" s="32"/>
      <c r="T1519" s="264"/>
      <c r="U1519" s="16"/>
      <c r="V1519" s="16"/>
      <c r="W1519" s="16"/>
      <c r="X1519" s="32"/>
      <c r="Y1519" s="250"/>
    </row>
    <row r="1520">
      <c r="A1520" s="32"/>
      <c r="B1520" s="32"/>
      <c r="C1520" s="257"/>
      <c r="D1520" s="265"/>
      <c r="E1520" s="265"/>
      <c r="F1520" s="257"/>
      <c r="G1520" s="265"/>
      <c r="H1520" s="256"/>
      <c r="I1520" s="257"/>
      <c r="J1520" s="32"/>
      <c r="K1520" s="32"/>
      <c r="L1520" s="32"/>
      <c r="M1520" s="32"/>
      <c r="N1520" s="257"/>
      <c r="O1520" s="32"/>
      <c r="P1520" s="32"/>
      <c r="Q1520" s="32"/>
      <c r="R1520" s="32"/>
      <c r="S1520" s="32"/>
      <c r="T1520" s="264"/>
      <c r="U1520" s="16"/>
      <c r="V1520" s="16"/>
      <c r="W1520" s="16"/>
      <c r="X1520" s="32"/>
      <c r="Y1520" s="250"/>
    </row>
    <row r="1521">
      <c r="A1521" s="32"/>
      <c r="B1521" s="32"/>
      <c r="C1521" s="257"/>
      <c r="D1521" s="265"/>
      <c r="E1521" s="265"/>
      <c r="F1521" s="257"/>
      <c r="G1521" s="265"/>
      <c r="H1521" s="256"/>
      <c r="I1521" s="257"/>
      <c r="J1521" s="32"/>
      <c r="K1521" s="32"/>
      <c r="L1521" s="32"/>
      <c r="M1521" s="32"/>
      <c r="N1521" s="257"/>
      <c r="O1521" s="32"/>
      <c r="P1521" s="32"/>
      <c r="Q1521" s="32"/>
      <c r="R1521" s="32"/>
      <c r="S1521" s="32"/>
      <c r="T1521" s="264"/>
      <c r="U1521" s="16"/>
      <c r="V1521" s="16"/>
      <c r="W1521" s="16"/>
      <c r="X1521" s="32"/>
      <c r="Y1521" s="250"/>
    </row>
    <row r="1522">
      <c r="A1522" s="32"/>
      <c r="B1522" s="32"/>
      <c r="C1522" s="257"/>
      <c r="D1522" s="265"/>
      <c r="E1522" s="265"/>
      <c r="F1522" s="257"/>
      <c r="G1522" s="265"/>
      <c r="H1522" s="256"/>
      <c r="I1522" s="257"/>
      <c r="J1522" s="32"/>
      <c r="K1522" s="32"/>
      <c r="L1522" s="32"/>
      <c r="M1522" s="32"/>
      <c r="N1522" s="257"/>
      <c r="O1522" s="32"/>
      <c r="P1522" s="32"/>
      <c r="Q1522" s="32"/>
      <c r="R1522" s="32"/>
      <c r="S1522" s="32"/>
      <c r="T1522" s="264"/>
      <c r="U1522" s="16"/>
      <c r="V1522" s="16"/>
      <c r="W1522" s="16"/>
      <c r="X1522" s="32"/>
      <c r="Y1522" s="250"/>
    </row>
    <row r="1523">
      <c r="A1523" s="32"/>
      <c r="B1523" s="32"/>
      <c r="C1523" s="257"/>
      <c r="D1523" s="265"/>
      <c r="E1523" s="265"/>
      <c r="F1523" s="257"/>
      <c r="G1523" s="265"/>
      <c r="H1523" s="256"/>
      <c r="I1523" s="257"/>
      <c r="J1523" s="32"/>
      <c r="K1523" s="32"/>
      <c r="L1523" s="32"/>
      <c r="M1523" s="32"/>
      <c r="N1523" s="257"/>
      <c r="O1523" s="32"/>
      <c r="P1523" s="32"/>
      <c r="Q1523" s="32"/>
      <c r="R1523" s="32"/>
      <c r="S1523" s="32"/>
      <c r="T1523" s="264"/>
      <c r="U1523" s="16"/>
      <c r="V1523" s="16"/>
      <c r="W1523" s="16"/>
      <c r="X1523" s="32"/>
      <c r="Y1523" s="250"/>
    </row>
    <row r="1524">
      <c r="A1524" s="32"/>
      <c r="B1524" s="32"/>
      <c r="C1524" s="257"/>
      <c r="D1524" s="265"/>
      <c r="E1524" s="265"/>
      <c r="F1524" s="257"/>
      <c r="G1524" s="265"/>
      <c r="H1524" s="256"/>
      <c r="I1524" s="257"/>
      <c r="J1524" s="32"/>
      <c r="K1524" s="32"/>
      <c r="L1524" s="32"/>
      <c r="M1524" s="32"/>
      <c r="N1524" s="257"/>
      <c r="O1524" s="32"/>
      <c r="P1524" s="32"/>
      <c r="Q1524" s="32"/>
      <c r="R1524" s="32"/>
      <c r="S1524" s="32"/>
      <c r="T1524" s="264"/>
      <c r="U1524" s="16"/>
      <c r="V1524" s="16"/>
      <c r="W1524" s="16"/>
      <c r="X1524" s="32"/>
      <c r="Y1524" s="250"/>
    </row>
    <row r="1525">
      <c r="A1525" s="32"/>
      <c r="B1525" s="32"/>
      <c r="C1525" s="257"/>
      <c r="D1525" s="265"/>
      <c r="E1525" s="265"/>
      <c r="F1525" s="257"/>
      <c r="G1525" s="265"/>
      <c r="H1525" s="256"/>
      <c r="I1525" s="257"/>
      <c r="J1525" s="32"/>
      <c r="K1525" s="32"/>
      <c r="L1525" s="32"/>
      <c r="M1525" s="32"/>
      <c r="N1525" s="257"/>
      <c r="O1525" s="32"/>
      <c r="P1525" s="32"/>
      <c r="Q1525" s="32"/>
      <c r="R1525" s="32"/>
      <c r="S1525" s="32"/>
      <c r="T1525" s="264"/>
      <c r="U1525" s="16"/>
      <c r="V1525" s="16"/>
      <c r="W1525" s="16"/>
      <c r="X1525" s="32"/>
      <c r="Y1525" s="250"/>
    </row>
    <row r="1526">
      <c r="A1526" s="32"/>
      <c r="B1526" s="32"/>
      <c r="C1526" s="257"/>
      <c r="D1526" s="265"/>
      <c r="E1526" s="265"/>
      <c r="F1526" s="257"/>
      <c r="G1526" s="265"/>
      <c r="H1526" s="256"/>
      <c r="I1526" s="257"/>
      <c r="J1526" s="32"/>
      <c r="K1526" s="32"/>
      <c r="L1526" s="32"/>
      <c r="M1526" s="32"/>
      <c r="N1526" s="257"/>
      <c r="O1526" s="32"/>
      <c r="P1526" s="32"/>
      <c r="Q1526" s="32"/>
      <c r="R1526" s="32"/>
      <c r="S1526" s="32"/>
      <c r="T1526" s="264"/>
      <c r="U1526" s="16"/>
      <c r="V1526" s="16"/>
      <c r="W1526" s="16"/>
      <c r="X1526" s="32"/>
      <c r="Y1526" s="250"/>
    </row>
    <row r="1527">
      <c r="A1527" s="32"/>
      <c r="B1527" s="32"/>
      <c r="C1527" s="257"/>
      <c r="D1527" s="265"/>
      <c r="E1527" s="265"/>
      <c r="F1527" s="257"/>
      <c r="G1527" s="265"/>
      <c r="H1527" s="256"/>
      <c r="I1527" s="257"/>
      <c r="J1527" s="32"/>
      <c r="K1527" s="32"/>
      <c r="L1527" s="32"/>
      <c r="M1527" s="32"/>
      <c r="N1527" s="257"/>
      <c r="O1527" s="32"/>
      <c r="P1527" s="32"/>
      <c r="Q1527" s="32"/>
      <c r="R1527" s="32"/>
      <c r="S1527" s="32"/>
      <c r="T1527" s="264"/>
      <c r="U1527" s="16"/>
      <c r="V1527" s="16"/>
      <c r="W1527" s="16"/>
      <c r="X1527" s="32"/>
      <c r="Y1527" s="250"/>
    </row>
    <row r="1528">
      <c r="A1528" s="32"/>
      <c r="B1528" s="32"/>
      <c r="C1528" s="257"/>
      <c r="D1528" s="265"/>
      <c r="E1528" s="265"/>
      <c r="F1528" s="257"/>
      <c r="G1528" s="265"/>
      <c r="H1528" s="256"/>
      <c r="I1528" s="257"/>
      <c r="J1528" s="32"/>
      <c r="K1528" s="32"/>
      <c r="L1528" s="32"/>
      <c r="M1528" s="32"/>
      <c r="N1528" s="257"/>
      <c r="O1528" s="32"/>
      <c r="P1528" s="32"/>
      <c r="Q1528" s="32"/>
      <c r="R1528" s="32"/>
      <c r="S1528" s="32"/>
      <c r="T1528" s="264"/>
      <c r="U1528" s="16"/>
      <c r="V1528" s="16"/>
      <c r="W1528" s="16"/>
      <c r="X1528" s="32"/>
      <c r="Y1528" s="250"/>
    </row>
    <row r="1529">
      <c r="A1529" s="32"/>
      <c r="B1529" s="32"/>
      <c r="C1529" s="257"/>
      <c r="D1529" s="265"/>
      <c r="E1529" s="265"/>
      <c r="F1529" s="257"/>
      <c r="G1529" s="265"/>
      <c r="H1529" s="256"/>
      <c r="I1529" s="257"/>
      <c r="J1529" s="32"/>
      <c r="K1529" s="32"/>
      <c r="L1529" s="32"/>
      <c r="M1529" s="32"/>
      <c r="N1529" s="257"/>
      <c r="O1529" s="32"/>
      <c r="P1529" s="32"/>
      <c r="Q1529" s="32"/>
      <c r="R1529" s="32"/>
      <c r="S1529" s="32"/>
      <c r="T1529" s="264"/>
      <c r="U1529" s="16"/>
      <c r="V1529" s="16"/>
      <c r="W1529" s="16"/>
      <c r="X1529" s="32"/>
      <c r="Y1529" s="250"/>
    </row>
    <row r="1530">
      <c r="A1530" s="32"/>
      <c r="B1530" s="32"/>
      <c r="C1530" s="257"/>
      <c r="D1530" s="265"/>
      <c r="E1530" s="265"/>
      <c r="F1530" s="257"/>
      <c r="G1530" s="265"/>
      <c r="H1530" s="256"/>
      <c r="I1530" s="257"/>
      <c r="J1530" s="32"/>
      <c r="K1530" s="32"/>
      <c r="L1530" s="32"/>
      <c r="M1530" s="32"/>
      <c r="N1530" s="257"/>
      <c r="O1530" s="32"/>
      <c r="P1530" s="32"/>
      <c r="Q1530" s="32"/>
      <c r="R1530" s="32"/>
      <c r="S1530" s="32"/>
      <c r="T1530" s="264"/>
      <c r="U1530" s="16"/>
      <c r="V1530" s="16"/>
      <c r="W1530" s="16"/>
      <c r="X1530" s="32"/>
      <c r="Y1530" s="250"/>
    </row>
    <row r="1531">
      <c r="A1531" s="32"/>
      <c r="B1531" s="32"/>
      <c r="C1531" s="257"/>
      <c r="D1531" s="265"/>
      <c r="E1531" s="265"/>
      <c r="F1531" s="257"/>
      <c r="G1531" s="265"/>
      <c r="H1531" s="256"/>
      <c r="I1531" s="257"/>
      <c r="J1531" s="32"/>
      <c r="K1531" s="32"/>
      <c r="L1531" s="32"/>
      <c r="M1531" s="32"/>
      <c r="N1531" s="257"/>
      <c r="O1531" s="32"/>
      <c r="P1531" s="32"/>
      <c r="Q1531" s="32"/>
      <c r="R1531" s="32"/>
      <c r="S1531" s="32"/>
      <c r="T1531" s="264"/>
      <c r="U1531" s="16"/>
      <c r="V1531" s="16"/>
      <c r="W1531" s="16"/>
      <c r="X1531" s="32"/>
      <c r="Y1531" s="250"/>
    </row>
    <row r="1532">
      <c r="A1532" s="32"/>
      <c r="B1532" s="32"/>
      <c r="C1532" s="257"/>
      <c r="D1532" s="265"/>
      <c r="E1532" s="265"/>
      <c r="F1532" s="257"/>
      <c r="G1532" s="265"/>
      <c r="H1532" s="256"/>
      <c r="I1532" s="257"/>
      <c r="J1532" s="32"/>
      <c r="K1532" s="32"/>
      <c r="L1532" s="32"/>
      <c r="M1532" s="32"/>
      <c r="N1532" s="257"/>
      <c r="O1532" s="32"/>
      <c r="P1532" s="32"/>
      <c r="Q1532" s="32"/>
      <c r="R1532" s="32"/>
      <c r="S1532" s="32"/>
      <c r="T1532" s="264"/>
      <c r="U1532" s="16"/>
      <c r="V1532" s="16"/>
      <c r="W1532" s="16"/>
      <c r="X1532" s="32"/>
      <c r="Y1532" s="250"/>
    </row>
    <row r="1533">
      <c r="A1533" s="32"/>
      <c r="B1533" s="32"/>
      <c r="C1533" s="257"/>
      <c r="D1533" s="265"/>
      <c r="E1533" s="265"/>
      <c r="F1533" s="257"/>
      <c r="G1533" s="265"/>
      <c r="H1533" s="256"/>
      <c r="I1533" s="257"/>
      <c r="J1533" s="32"/>
      <c r="K1533" s="32"/>
      <c r="L1533" s="32"/>
      <c r="M1533" s="32"/>
      <c r="N1533" s="257"/>
      <c r="O1533" s="32"/>
      <c r="P1533" s="32"/>
      <c r="Q1533" s="32"/>
      <c r="R1533" s="32"/>
      <c r="S1533" s="32"/>
      <c r="T1533" s="264"/>
      <c r="U1533" s="16"/>
      <c r="V1533" s="16"/>
      <c r="W1533" s="16"/>
      <c r="X1533" s="32"/>
      <c r="Y1533" s="250"/>
    </row>
    <row r="1534">
      <c r="A1534" s="32"/>
      <c r="B1534" s="32"/>
      <c r="C1534" s="257"/>
      <c r="D1534" s="265"/>
      <c r="E1534" s="265"/>
      <c r="F1534" s="257"/>
      <c r="G1534" s="265"/>
      <c r="H1534" s="256"/>
      <c r="I1534" s="257"/>
      <c r="J1534" s="32"/>
      <c r="K1534" s="32"/>
      <c r="L1534" s="32"/>
      <c r="M1534" s="32"/>
      <c r="N1534" s="257"/>
      <c r="O1534" s="32"/>
      <c r="P1534" s="32"/>
      <c r="Q1534" s="32"/>
      <c r="R1534" s="32"/>
      <c r="S1534" s="32"/>
      <c r="T1534" s="264"/>
      <c r="U1534" s="16"/>
      <c r="V1534" s="16"/>
      <c r="W1534" s="16"/>
      <c r="X1534" s="32"/>
      <c r="Y1534" s="250"/>
    </row>
    <row r="1535">
      <c r="A1535" s="32"/>
      <c r="B1535" s="32"/>
      <c r="C1535" s="257"/>
      <c r="D1535" s="265"/>
      <c r="E1535" s="265"/>
      <c r="F1535" s="257"/>
      <c r="G1535" s="265"/>
      <c r="H1535" s="256"/>
      <c r="I1535" s="257"/>
      <c r="J1535" s="32"/>
      <c r="K1535" s="32"/>
      <c r="L1535" s="32"/>
      <c r="M1535" s="32"/>
      <c r="N1535" s="257"/>
      <c r="O1535" s="32"/>
      <c r="P1535" s="32"/>
      <c r="Q1535" s="32"/>
      <c r="R1535" s="32"/>
      <c r="S1535" s="32"/>
      <c r="T1535" s="264"/>
      <c r="U1535" s="16"/>
      <c r="V1535" s="16"/>
      <c r="W1535" s="16"/>
      <c r="X1535" s="32"/>
      <c r="Y1535" s="250"/>
    </row>
    <row r="1536">
      <c r="A1536" s="32"/>
      <c r="B1536" s="32"/>
      <c r="C1536" s="257"/>
      <c r="D1536" s="265"/>
      <c r="E1536" s="265"/>
      <c r="F1536" s="257"/>
      <c r="G1536" s="265"/>
      <c r="H1536" s="256"/>
      <c r="I1536" s="257"/>
      <c r="J1536" s="32"/>
      <c r="K1536" s="32"/>
      <c r="L1536" s="32"/>
      <c r="M1536" s="32"/>
      <c r="N1536" s="257"/>
      <c r="O1536" s="32"/>
      <c r="P1536" s="32"/>
      <c r="Q1536" s="32"/>
      <c r="R1536" s="32"/>
      <c r="S1536" s="32"/>
      <c r="T1536" s="264"/>
      <c r="U1536" s="16"/>
      <c r="V1536" s="16"/>
      <c r="W1536" s="16"/>
      <c r="X1536" s="32"/>
      <c r="Y1536" s="250"/>
    </row>
    <row r="1537">
      <c r="A1537" s="32"/>
      <c r="B1537" s="32"/>
      <c r="C1537" s="257"/>
      <c r="D1537" s="265"/>
      <c r="E1537" s="265"/>
      <c r="F1537" s="257"/>
      <c r="G1537" s="265"/>
      <c r="H1537" s="256"/>
      <c r="I1537" s="257"/>
      <c r="J1537" s="32"/>
      <c r="K1537" s="32"/>
      <c r="L1537" s="32"/>
      <c r="M1537" s="32"/>
      <c r="N1537" s="257"/>
      <c r="O1537" s="32"/>
      <c r="P1537" s="32"/>
      <c r="Q1537" s="32"/>
      <c r="R1537" s="32"/>
      <c r="S1537" s="32"/>
      <c r="T1537" s="264"/>
      <c r="U1537" s="16"/>
      <c r="V1537" s="16"/>
      <c r="W1537" s="16"/>
      <c r="X1537" s="32"/>
      <c r="Y1537" s="250"/>
    </row>
    <row r="1538">
      <c r="A1538" s="32"/>
      <c r="B1538" s="32"/>
      <c r="C1538" s="257"/>
      <c r="D1538" s="265"/>
      <c r="E1538" s="265"/>
      <c r="F1538" s="257"/>
      <c r="G1538" s="265"/>
      <c r="H1538" s="256"/>
      <c r="I1538" s="257"/>
      <c r="J1538" s="32"/>
      <c r="K1538" s="32"/>
      <c r="L1538" s="32"/>
      <c r="M1538" s="32"/>
      <c r="N1538" s="257"/>
      <c r="O1538" s="32"/>
      <c r="P1538" s="32"/>
      <c r="Q1538" s="32"/>
      <c r="R1538" s="32"/>
      <c r="S1538" s="32"/>
      <c r="T1538" s="264"/>
      <c r="U1538" s="16"/>
      <c r="V1538" s="16"/>
      <c r="W1538" s="16"/>
      <c r="X1538" s="32"/>
      <c r="Y1538" s="250"/>
    </row>
    <row r="1539">
      <c r="A1539" s="32"/>
      <c r="B1539" s="32"/>
      <c r="C1539" s="257"/>
      <c r="D1539" s="265"/>
      <c r="E1539" s="265"/>
      <c r="F1539" s="257"/>
      <c r="G1539" s="265"/>
      <c r="H1539" s="256"/>
      <c r="I1539" s="257"/>
      <c r="J1539" s="32"/>
      <c r="K1539" s="32"/>
      <c r="L1539" s="32"/>
      <c r="M1539" s="32"/>
      <c r="N1539" s="257"/>
      <c r="O1539" s="32"/>
      <c r="P1539" s="32"/>
      <c r="Q1539" s="32"/>
      <c r="R1539" s="32"/>
      <c r="S1539" s="32"/>
      <c r="T1539" s="264"/>
      <c r="U1539" s="16"/>
      <c r="V1539" s="16"/>
      <c r="W1539" s="16"/>
      <c r="X1539" s="32"/>
      <c r="Y1539" s="250"/>
    </row>
    <row r="1540">
      <c r="A1540" s="32"/>
      <c r="B1540" s="32"/>
      <c r="C1540" s="257"/>
      <c r="D1540" s="265"/>
      <c r="E1540" s="265"/>
      <c r="F1540" s="257"/>
      <c r="G1540" s="265"/>
      <c r="H1540" s="256"/>
      <c r="I1540" s="257"/>
      <c r="J1540" s="32"/>
      <c r="K1540" s="32"/>
      <c r="L1540" s="32"/>
      <c r="M1540" s="32"/>
      <c r="N1540" s="257"/>
      <c r="O1540" s="32"/>
      <c r="P1540" s="32"/>
      <c r="Q1540" s="32"/>
      <c r="R1540" s="32"/>
      <c r="S1540" s="32"/>
      <c r="T1540" s="264"/>
      <c r="U1540" s="16"/>
      <c r="V1540" s="16"/>
      <c r="W1540" s="16"/>
      <c r="X1540" s="32"/>
      <c r="Y1540" s="250"/>
    </row>
    <row r="1541">
      <c r="A1541" s="32"/>
      <c r="B1541" s="32"/>
      <c r="C1541" s="257"/>
      <c r="D1541" s="265"/>
      <c r="E1541" s="265"/>
      <c r="F1541" s="257"/>
      <c r="G1541" s="265"/>
      <c r="H1541" s="256"/>
      <c r="I1541" s="257"/>
      <c r="J1541" s="32"/>
      <c r="K1541" s="32"/>
      <c r="L1541" s="32"/>
      <c r="M1541" s="32"/>
      <c r="N1541" s="257"/>
      <c r="O1541" s="32"/>
      <c r="P1541" s="32"/>
      <c r="Q1541" s="32"/>
      <c r="R1541" s="32"/>
      <c r="S1541" s="32"/>
      <c r="T1541" s="264"/>
      <c r="U1541" s="16"/>
      <c r="V1541" s="16"/>
      <c r="W1541" s="16"/>
      <c r="X1541" s="32"/>
      <c r="Y1541" s="250"/>
    </row>
    <row r="1542">
      <c r="A1542" s="32"/>
      <c r="B1542" s="32"/>
      <c r="C1542" s="257"/>
      <c r="D1542" s="265"/>
      <c r="E1542" s="265"/>
      <c r="F1542" s="257"/>
      <c r="G1542" s="265"/>
      <c r="H1542" s="256"/>
      <c r="I1542" s="257"/>
      <c r="J1542" s="32"/>
      <c r="K1542" s="32"/>
      <c r="L1542" s="32"/>
      <c r="M1542" s="32"/>
      <c r="N1542" s="257"/>
      <c r="O1542" s="32"/>
      <c r="P1542" s="32"/>
      <c r="Q1542" s="32"/>
      <c r="R1542" s="32"/>
      <c r="S1542" s="32"/>
      <c r="T1542" s="264"/>
      <c r="U1542" s="16"/>
      <c r="V1542" s="16"/>
      <c r="W1542" s="16"/>
      <c r="X1542" s="32"/>
      <c r="Y1542" s="250"/>
    </row>
    <row r="1543">
      <c r="A1543" s="32"/>
      <c r="B1543" s="32"/>
      <c r="C1543" s="257"/>
      <c r="D1543" s="265"/>
      <c r="E1543" s="265"/>
      <c r="F1543" s="257"/>
      <c r="G1543" s="265"/>
      <c r="H1543" s="256"/>
      <c r="I1543" s="257"/>
      <c r="J1543" s="32"/>
      <c r="K1543" s="32"/>
      <c r="L1543" s="32"/>
      <c r="M1543" s="32"/>
      <c r="N1543" s="257"/>
      <c r="O1543" s="32"/>
      <c r="P1543" s="32"/>
      <c r="Q1543" s="32"/>
      <c r="R1543" s="32"/>
      <c r="S1543" s="32"/>
      <c r="T1543" s="264"/>
      <c r="U1543" s="16"/>
      <c r="V1543" s="16"/>
      <c r="W1543" s="16"/>
      <c r="X1543" s="32"/>
      <c r="Y1543" s="250"/>
    </row>
    <row r="1544">
      <c r="A1544" s="32"/>
      <c r="B1544" s="32"/>
      <c r="C1544" s="257"/>
      <c r="D1544" s="265"/>
      <c r="E1544" s="265"/>
      <c r="F1544" s="257"/>
      <c r="G1544" s="265"/>
      <c r="H1544" s="256"/>
      <c r="I1544" s="257"/>
      <c r="J1544" s="32"/>
      <c r="K1544" s="32"/>
      <c r="L1544" s="32"/>
      <c r="M1544" s="32"/>
      <c r="N1544" s="257"/>
      <c r="O1544" s="32"/>
      <c r="P1544" s="32"/>
      <c r="Q1544" s="32"/>
      <c r="R1544" s="32"/>
      <c r="S1544" s="32"/>
      <c r="T1544" s="264"/>
      <c r="U1544" s="16"/>
      <c r="V1544" s="16"/>
      <c r="W1544" s="16"/>
      <c r="X1544" s="32"/>
      <c r="Y1544" s="250"/>
    </row>
    <row r="1545">
      <c r="A1545" s="32"/>
      <c r="B1545" s="32"/>
      <c r="C1545" s="257"/>
      <c r="D1545" s="265"/>
      <c r="E1545" s="265"/>
      <c r="F1545" s="257"/>
      <c r="G1545" s="265"/>
      <c r="H1545" s="256"/>
      <c r="I1545" s="257"/>
      <c r="J1545" s="32"/>
      <c r="K1545" s="32"/>
      <c r="L1545" s="32"/>
      <c r="M1545" s="32"/>
      <c r="N1545" s="257"/>
      <c r="O1545" s="32"/>
      <c r="P1545" s="32"/>
      <c r="Q1545" s="32"/>
      <c r="R1545" s="32"/>
      <c r="S1545" s="32"/>
      <c r="T1545" s="264"/>
      <c r="U1545" s="16"/>
      <c r="V1545" s="16"/>
      <c r="W1545" s="16"/>
      <c r="X1545" s="32"/>
      <c r="Y1545" s="250"/>
    </row>
    <row r="1546">
      <c r="A1546" s="32"/>
      <c r="B1546" s="32"/>
      <c r="C1546" s="257"/>
      <c r="D1546" s="265"/>
      <c r="E1546" s="265"/>
      <c r="F1546" s="257"/>
      <c r="G1546" s="265"/>
      <c r="H1546" s="256"/>
      <c r="I1546" s="257"/>
      <c r="J1546" s="32"/>
      <c r="K1546" s="32"/>
      <c r="L1546" s="32"/>
      <c r="M1546" s="32"/>
      <c r="N1546" s="257"/>
      <c r="O1546" s="32"/>
      <c r="P1546" s="32"/>
      <c r="Q1546" s="32"/>
      <c r="R1546" s="32"/>
      <c r="S1546" s="32"/>
      <c r="T1546" s="264"/>
      <c r="U1546" s="16"/>
      <c r="V1546" s="16"/>
      <c r="W1546" s="16"/>
      <c r="X1546" s="32"/>
      <c r="Y1546" s="250"/>
    </row>
    <row r="1547">
      <c r="A1547" s="32"/>
      <c r="B1547" s="32"/>
      <c r="C1547" s="257"/>
      <c r="D1547" s="265"/>
      <c r="E1547" s="265"/>
      <c r="F1547" s="257"/>
      <c r="G1547" s="265"/>
      <c r="H1547" s="256"/>
      <c r="I1547" s="257"/>
      <c r="J1547" s="32"/>
      <c r="K1547" s="32"/>
      <c r="L1547" s="32"/>
      <c r="M1547" s="32"/>
      <c r="N1547" s="257"/>
      <c r="O1547" s="32"/>
      <c r="P1547" s="32"/>
      <c r="Q1547" s="32"/>
      <c r="R1547" s="32"/>
      <c r="S1547" s="32"/>
      <c r="T1547" s="264"/>
      <c r="U1547" s="16"/>
      <c r="V1547" s="16"/>
      <c r="W1547" s="16"/>
      <c r="X1547" s="32"/>
      <c r="Y1547" s="250"/>
    </row>
    <row r="1548">
      <c r="A1548" s="32"/>
      <c r="B1548" s="32"/>
      <c r="C1548" s="257"/>
      <c r="D1548" s="265"/>
      <c r="E1548" s="265"/>
      <c r="F1548" s="257"/>
      <c r="G1548" s="265"/>
      <c r="H1548" s="256"/>
      <c r="I1548" s="257"/>
      <c r="J1548" s="32"/>
      <c r="K1548" s="32"/>
      <c r="L1548" s="32"/>
      <c r="M1548" s="32"/>
      <c r="N1548" s="257"/>
      <c r="O1548" s="32"/>
      <c r="P1548" s="32"/>
      <c r="Q1548" s="32"/>
      <c r="R1548" s="32"/>
      <c r="S1548" s="32"/>
      <c r="T1548" s="264"/>
      <c r="U1548" s="16"/>
      <c r="V1548" s="16"/>
      <c r="W1548" s="16"/>
      <c r="X1548" s="32"/>
      <c r="Y1548" s="250"/>
    </row>
    <row r="1549">
      <c r="A1549" s="32"/>
      <c r="B1549" s="32"/>
      <c r="C1549" s="257"/>
      <c r="D1549" s="265"/>
      <c r="E1549" s="265"/>
      <c r="F1549" s="257"/>
      <c r="G1549" s="265"/>
      <c r="H1549" s="256"/>
      <c r="I1549" s="257"/>
      <c r="J1549" s="32"/>
      <c r="K1549" s="32"/>
      <c r="L1549" s="32"/>
      <c r="M1549" s="32"/>
      <c r="N1549" s="257"/>
      <c r="O1549" s="32"/>
      <c r="P1549" s="32"/>
      <c r="Q1549" s="32"/>
      <c r="R1549" s="32"/>
      <c r="S1549" s="32"/>
      <c r="T1549" s="264"/>
      <c r="U1549" s="16"/>
      <c r="V1549" s="16"/>
      <c r="W1549" s="16"/>
      <c r="X1549" s="32"/>
      <c r="Y1549" s="250"/>
    </row>
    <row r="1550">
      <c r="A1550" s="32"/>
      <c r="B1550" s="32"/>
      <c r="C1550" s="257"/>
      <c r="D1550" s="265"/>
      <c r="E1550" s="265"/>
      <c r="F1550" s="257"/>
      <c r="G1550" s="265"/>
      <c r="H1550" s="256"/>
      <c r="I1550" s="257"/>
      <c r="J1550" s="32"/>
      <c r="K1550" s="32"/>
      <c r="L1550" s="32"/>
      <c r="M1550" s="32"/>
      <c r="N1550" s="257"/>
      <c r="O1550" s="32"/>
      <c r="P1550" s="32"/>
      <c r="Q1550" s="32"/>
      <c r="R1550" s="32"/>
      <c r="S1550" s="32"/>
      <c r="T1550" s="264"/>
      <c r="U1550" s="16"/>
      <c r="V1550" s="16"/>
      <c r="W1550" s="16"/>
      <c r="X1550" s="32"/>
      <c r="Y1550" s="250"/>
    </row>
    <row r="1551">
      <c r="A1551" s="32"/>
      <c r="B1551" s="32"/>
      <c r="C1551" s="257"/>
      <c r="D1551" s="265"/>
      <c r="E1551" s="265"/>
      <c r="F1551" s="257"/>
      <c r="G1551" s="265"/>
      <c r="H1551" s="256"/>
      <c r="I1551" s="257"/>
      <c r="J1551" s="32"/>
      <c r="K1551" s="32"/>
      <c r="L1551" s="32"/>
      <c r="M1551" s="32"/>
      <c r="N1551" s="257"/>
      <c r="O1551" s="32"/>
      <c r="P1551" s="32"/>
      <c r="Q1551" s="32"/>
      <c r="R1551" s="32"/>
      <c r="S1551" s="32"/>
      <c r="T1551" s="264"/>
      <c r="U1551" s="16"/>
      <c r="V1551" s="16"/>
      <c r="W1551" s="16"/>
      <c r="X1551" s="32"/>
      <c r="Y1551" s="250"/>
    </row>
    <row r="1552">
      <c r="A1552" s="32"/>
      <c r="B1552" s="32"/>
      <c r="C1552" s="257"/>
      <c r="D1552" s="265"/>
      <c r="E1552" s="265"/>
      <c r="F1552" s="257"/>
      <c r="G1552" s="265"/>
      <c r="H1552" s="256"/>
      <c r="I1552" s="257"/>
      <c r="J1552" s="32"/>
      <c r="K1552" s="32"/>
      <c r="L1552" s="32"/>
      <c r="M1552" s="32"/>
      <c r="N1552" s="257"/>
      <c r="O1552" s="32"/>
      <c r="P1552" s="32"/>
      <c r="Q1552" s="32"/>
      <c r="R1552" s="32"/>
      <c r="S1552" s="32"/>
      <c r="T1552" s="264"/>
      <c r="U1552" s="16"/>
      <c r="V1552" s="16"/>
      <c r="W1552" s="16"/>
      <c r="X1552" s="32"/>
      <c r="Y1552" s="250"/>
    </row>
    <row r="1553">
      <c r="A1553" s="32"/>
      <c r="B1553" s="32"/>
      <c r="C1553" s="257"/>
      <c r="D1553" s="265"/>
      <c r="E1553" s="265"/>
      <c r="F1553" s="257"/>
      <c r="G1553" s="265"/>
      <c r="H1553" s="256"/>
      <c r="I1553" s="257"/>
      <c r="J1553" s="32"/>
      <c r="K1553" s="32"/>
      <c r="L1553" s="32"/>
      <c r="M1553" s="32"/>
      <c r="N1553" s="257"/>
      <c r="O1553" s="32"/>
      <c r="P1553" s="32"/>
      <c r="Q1553" s="32"/>
      <c r="R1553" s="32"/>
      <c r="S1553" s="32"/>
      <c r="T1553" s="264"/>
      <c r="U1553" s="16"/>
      <c r="V1553" s="16"/>
      <c r="W1553" s="16"/>
      <c r="X1553" s="32"/>
      <c r="Y1553" s="250"/>
    </row>
    <row r="1554">
      <c r="A1554" s="32"/>
      <c r="B1554" s="32"/>
      <c r="C1554" s="257"/>
      <c r="D1554" s="265"/>
      <c r="E1554" s="265"/>
      <c r="F1554" s="257"/>
      <c r="G1554" s="265"/>
      <c r="H1554" s="256"/>
      <c r="I1554" s="257"/>
      <c r="J1554" s="32"/>
      <c r="K1554" s="32"/>
      <c r="L1554" s="32"/>
      <c r="M1554" s="32"/>
      <c r="N1554" s="257"/>
      <c r="O1554" s="32"/>
      <c r="P1554" s="32"/>
      <c r="Q1554" s="32"/>
      <c r="R1554" s="32"/>
      <c r="S1554" s="32"/>
      <c r="T1554" s="264"/>
      <c r="U1554" s="16"/>
      <c r="V1554" s="16"/>
      <c r="W1554" s="16"/>
      <c r="X1554" s="32"/>
      <c r="Y1554" s="250"/>
    </row>
    <row r="1555">
      <c r="A1555" s="32"/>
      <c r="B1555" s="32"/>
      <c r="C1555" s="257"/>
      <c r="D1555" s="265"/>
      <c r="E1555" s="265"/>
      <c r="F1555" s="257"/>
      <c r="G1555" s="265"/>
      <c r="H1555" s="256"/>
      <c r="I1555" s="257"/>
      <c r="J1555" s="32"/>
      <c r="K1555" s="32"/>
      <c r="L1555" s="32"/>
      <c r="M1555" s="32"/>
      <c r="N1555" s="257"/>
      <c r="O1555" s="32"/>
      <c r="P1555" s="32"/>
      <c r="Q1555" s="32"/>
      <c r="R1555" s="32"/>
      <c r="S1555" s="32"/>
      <c r="T1555" s="264"/>
      <c r="U1555" s="16"/>
      <c r="V1555" s="16"/>
      <c r="W1555" s="16"/>
      <c r="X1555" s="32"/>
      <c r="Y1555" s="250"/>
    </row>
    <row r="1556">
      <c r="A1556" s="32"/>
      <c r="B1556" s="32"/>
      <c r="C1556" s="257"/>
      <c r="D1556" s="265"/>
      <c r="E1556" s="265"/>
      <c r="F1556" s="257"/>
      <c r="G1556" s="265"/>
      <c r="H1556" s="256"/>
      <c r="I1556" s="257"/>
      <c r="J1556" s="32"/>
      <c r="K1556" s="32"/>
      <c r="L1556" s="32"/>
      <c r="M1556" s="32"/>
      <c r="N1556" s="257"/>
      <c r="O1556" s="32"/>
      <c r="P1556" s="32"/>
      <c r="Q1556" s="32"/>
      <c r="R1556" s="32"/>
      <c r="S1556" s="32"/>
      <c r="T1556" s="264"/>
      <c r="U1556" s="16"/>
      <c r="V1556" s="16"/>
      <c r="W1556" s="16"/>
      <c r="X1556" s="32"/>
      <c r="Y1556" s="250"/>
    </row>
    <row r="1557">
      <c r="A1557" s="32"/>
      <c r="B1557" s="32"/>
      <c r="C1557" s="257"/>
      <c r="D1557" s="265"/>
      <c r="E1557" s="265"/>
      <c r="F1557" s="257"/>
      <c r="G1557" s="265"/>
      <c r="H1557" s="256"/>
      <c r="I1557" s="257"/>
      <c r="J1557" s="32"/>
      <c r="K1557" s="32"/>
      <c r="L1557" s="32"/>
      <c r="M1557" s="32"/>
      <c r="N1557" s="257"/>
      <c r="O1557" s="32"/>
      <c r="P1557" s="32"/>
      <c r="Q1557" s="32"/>
      <c r="R1557" s="32"/>
      <c r="S1557" s="32"/>
      <c r="T1557" s="264"/>
      <c r="U1557" s="16"/>
      <c r="V1557" s="16"/>
      <c r="W1557" s="16"/>
      <c r="X1557" s="32"/>
      <c r="Y1557" s="250"/>
    </row>
    <row r="1558">
      <c r="A1558" s="32"/>
      <c r="B1558" s="32"/>
      <c r="C1558" s="257"/>
      <c r="D1558" s="265"/>
      <c r="E1558" s="265"/>
      <c r="F1558" s="257"/>
      <c r="G1558" s="265"/>
      <c r="H1558" s="256"/>
      <c r="I1558" s="257"/>
      <c r="J1558" s="32"/>
      <c r="K1558" s="32"/>
      <c r="L1558" s="32"/>
      <c r="M1558" s="32"/>
      <c r="N1558" s="257"/>
      <c r="O1558" s="32"/>
      <c r="P1558" s="32"/>
      <c r="Q1558" s="32"/>
      <c r="R1558" s="32"/>
      <c r="S1558" s="32"/>
      <c r="T1558" s="264"/>
      <c r="U1558" s="16"/>
      <c r="V1558" s="16"/>
      <c r="W1558" s="16"/>
      <c r="X1558" s="32"/>
      <c r="Y1558" s="250"/>
    </row>
    <row r="1559">
      <c r="A1559" s="32"/>
      <c r="B1559" s="32"/>
      <c r="C1559" s="257"/>
      <c r="D1559" s="265"/>
      <c r="E1559" s="265"/>
      <c r="F1559" s="257"/>
      <c r="G1559" s="265"/>
      <c r="H1559" s="256"/>
      <c r="I1559" s="257"/>
      <c r="J1559" s="32"/>
      <c r="K1559" s="32"/>
      <c r="L1559" s="32"/>
      <c r="M1559" s="32"/>
      <c r="N1559" s="257"/>
      <c r="O1559" s="32"/>
      <c r="P1559" s="32"/>
      <c r="Q1559" s="32"/>
      <c r="R1559" s="32"/>
      <c r="S1559" s="32"/>
      <c r="T1559" s="264"/>
      <c r="U1559" s="16"/>
      <c r="V1559" s="16"/>
      <c r="W1559" s="16"/>
      <c r="X1559" s="32"/>
      <c r="Y1559" s="250"/>
    </row>
    <row r="1560">
      <c r="A1560" s="32"/>
      <c r="B1560" s="32"/>
      <c r="C1560" s="257"/>
      <c r="D1560" s="265"/>
      <c r="E1560" s="265"/>
      <c r="F1560" s="257"/>
      <c r="G1560" s="265"/>
      <c r="H1560" s="256"/>
      <c r="I1560" s="257"/>
      <c r="J1560" s="32"/>
      <c r="K1560" s="32"/>
      <c r="L1560" s="32"/>
      <c r="M1560" s="32"/>
      <c r="N1560" s="257"/>
      <c r="O1560" s="32"/>
      <c r="P1560" s="32"/>
      <c r="Q1560" s="32"/>
      <c r="R1560" s="32"/>
      <c r="S1560" s="32"/>
      <c r="T1560" s="264"/>
      <c r="U1560" s="16"/>
      <c r="V1560" s="16"/>
      <c r="W1560" s="16"/>
      <c r="X1560" s="32"/>
      <c r="Y1560" s="250"/>
    </row>
    <row r="1561">
      <c r="A1561" s="32"/>
      <c r="B1561" s="32"/>
      <c r="C1561" s="257"/>
      <c r="D1561" s="265"/>
      <c r="E1561" s="265"/>
      <c r="F1561" s="257"/>
      <c r="G1561" s="265"/>
      <c r="H1561" s="256"/>
      <c r="I1561" s="257"/>
      <c r="J1561" s="32"/>
      <c r="K1561" s="32"/>
      <c r="L1561" s="32"/>
      <c r="M1561" s="32"/>
      <c r="N1561" s="257"/>
      <c r="O1561" s="32"/>
      <c r="P1561" s="32"/>
      <c r="Q1561" s="32"/>
      <c r="R1561" s="32"/>
      <c r="S1561" s="32"/>
      <c r="T1561" s="264"/>
      <c r="U1561" s="16"/>
      <c r="V1561" s="16"/>
      <c r="W1561" s="16"/>
      <c r="X1561" s="32"/>
      <c r="Y1561" s="250"/>
    </row>
    <row r="1562">
      <c r="A1562" s="32"/>
      <c r="B1562" s="32"/>
      <c r="C1562" s="257"/>
      <c r="D1562" s="265"/>
      <c r="E1562" s="265"/>
      <c r="F1562" s="257"/>
      <c r="G1562" s="265"/>
      <c r="H1562" s="256"/>
      <c r="I1562" s="257"/>
      <c r="J1562" s="32"/>
      <c r="K1562" s="32"/>
      <c r="L1562" s="32"/>
      <c r="M1562" s="32"/>
      <c r="N1562" s="257"/>
      <c r="O1562" s="32"/>
      <c r="P1562" s="32"/>
      <c r="Q1562" s="32"/>
      <c r="R1562" s="32"/>
      <c r="S1562" s="32"/>
      <c r="T1562" s="264"/>
      <c r="U1562" s="16"/>
      <c r="V1562" s="16"/>
      <c r="W1562" s="16"/>
      <c r="X1562" s="32"/>
      <c r="Y1562" s="250"/>
    </row>
    <row r="1563">
      <c r="A1563" s="32"/>
      <c r="B1563" s="32"/>
      <c r="C1563" s="257"/>
      <c r="D1563" s="265"/>
      <c r="E1563" s="265"/>
      <c r="F1563" s="257"/>
      <c r="G1563" s="265"/>
      <c r="H1563" s="256"/>
      <c r="I1563" s="257"/>
      <c r="J1563" s="32"/>
      <c r="K1563" s="32"/>
      <c r="L1563" s="32"/>
      <c r="M1563" s="32"/>
      <c r="N1563" s="257"/>
      <c r="O1563" s="32"/>
      <c r="P1563" s="32"/>
      <c r="Q1563" s="32"/>
      <c r="R1563" s="32"/>
      <c r="S1563" s="32"/>
      <c r="T1563" s="264"/>
      <c r="U1563" s="16"/>
      <c r="V1563" s="16"/>
      <c r="W1563" s="16"/>
      <c r="X1563" s="32"/>
      <c r="Y1563" s="250"/>
    </row>
    <row r="1564">
      <c r="A1564" s="32"/>
      <c r="B1564" s="32"/>
      <c r="C1564" s="257"/>
      <c r="D1564" s="265"/>
      <c r="E1564" s="265"/>
      <c r="F1564" s="257"/>
      <c r="G1564" s="265"/>
      <c r="H1564" s="256"/>
      <c r="I1564" s="257"/>
      <c r="J1564" s="32"/>
      <c r="K1564" s="32"/>
      <c r="L1564" s="32"/>
      <c r="M1564" s="32"/>
      <c r="N1564" s="257"/>
      <c r="O1564" s="32"/>
      <c r="P1564" s="32"/>
      <c r="Q1564" s="32"/>
      <c r="R1564" s="32"/>
      <c r="S1564" s="32"/>
      <c r="T1564" s="264"/>
      <c r="U1564" s="16"/>
      <c r="V1564" s="16"/>
      <c r="W1564" s="16"/>
      <c r="X1564" s="32"/>
      <c r="Y1564" s="250"/>
    </row>
    <row r="1565">
      <c r="A1565" s="32"/>
      <c r="B1565" s="32"/>
      <c r="C1565" s="257"/>
      <c r="D1565" s="265"/>
      <c r="E1565" s="265"/>
      <c r="F1565" s="257"/>
      <c r="G1565" s="265"/>
      <c r="H1565" s="256"/>
      <c r="I1565" s="257"/>
      <c r="J1565" s="32"/>
      <c r="K1565" s="32"/>
      <c r="L1565" s="32"/>
      <c r="M1565" s="32"/>
      <c r="N1565" s="257"/>
      <c r="O1565" s="32"/>
      <c r="P1565" s="32"/>
      <c r="Q1565" s="32"/>
      <c r="R1565" s="32"/>
      <c r="S1565" s="32"/>
      <c r="T1565" s="264"/>
      <c r="U1565" s="16"/>
      <c r="V1565" s="16"/>
      <c r="W1565" s="16"/>
      <c r="X1565" s="32"/>
      <c r="Y1565" s="250"/>
    </row>
    <row r="1566">
      <c r="A1566" s="32"/>
      <c r="B1566" s="32"/>
      <c r="C1566" s="257"/>
      <c r="D1566" s="265"/>
      <c r="E1566" s="265"/>
      <c r="F1566" s="257"/>
      <c r="G1566" s="265"/>
      <c r="H1566" s="256"/>
      <c r="I1566" s="257"/>
      <c r="J1566" s="32"/>
      <c r="K1566" s="32"/>
      <c r="L1566" s="32"/>
      <c r="M1566" s="32"/>
      <c r="N1566" s="257"/>
      <c r="O1566" s="32"/>
      <c r="P1566" s="32"/>
      <c r="Q1566" s="32"/>
      <c r="R1566" s="32"/>
      <c r="S1566" s="32"/>
      <c r="T1566" s="264"/>
      <c r="U1566" s="16"/>
      <c r="V1566" s="16"/>
      <c r="W1566" s="16"/>
      <c r="X1566" s="32"/>
      <c r="Y1566" s="250"/>
    </row>
    <row r="1567">
      <c r="A1567" s="32"/>
      <c r="B1567" s="32"/>
      <c r="C1567" s="257"/>
      <c r="D1567" s="265"/>
      <c r="E1567" s="265"/>
      <c r="F1567" s="257"/>
      <c r="G1567" s="265"/>
      <c r="H1567" s="256"/>
      <c r="I1567" s="257"/>
      <c r="J1567" s="32"/>
      <c r="K1567" s="32"/>
      <c r="L1567" s="32"/>
      <c r="M1567" s="32"/>
      <c r="N1567" s="257"/>
      <c r="O1567" s="32"/>
      <c r="P1567" s="32"/>
      <c r="Q1567" s="32"/>
      <c r="R1567" s="32"/>
      <c r="S1567" s="32"/>
      <c r="T1567" s="264"/>
      <c r="U1567" s="16"/>
      <c r="V1567" s="16"/>
      <c r="W1567" s="16"/>
      <c r="X1567" s="32"/>
      <c r="Y1567" s="250"/>
    </row>
    <row r="1568">
      <c r="A1568" s="32"/>
      <c r="B1568" s="32"/>
      <c r="C1568" s="257"/>
      <c r="D1568" s="265"/>
      <c r="E1568" s="265"/>
      <c r="F1568" s="257"/>
      <c r="G1568" s="265"/>
      <c r="H1568" s="256"/>
      <c r="I1568" s="257"/>
      <c r="J1568" s="32"/>
      <c r="K1568" s="32"/>
      <c r="L1568" s="32"/>
      <c r="M1568" s="32"/>
      <c r="N1568" s="257"/>
      <c r="O1568" s="32"/>
      <c r="P1568" s="32"/>
      <c r="Q1568" s="32"/>
      <c r="R1568" s="32"/>
      <c r="S1568" s="32"/>
      <c r="T1568" s="264"/>
      <c r="U1568" s="16"/>
      <c r="V1568" s="16"/>
      <c r="W1568" s="16"/>
      <c r="X1568" s="32"/>
      <c r="Y1568" s="250"/>
    </row>
    <row r="1569">
      <c r="A1569" s="32"/>
      <c r="B1569" s="32"/>
      <c r="C1569" s="257"/>
      <c r="D1569" s="265"/>
      <c r="E1569" s="265"/>
      <c r="F1569" s="257"/>
      <c r="G1569" s="265"/>
      <c r="H1569" s="256"/>
      <c r="I1569" s="257"/>
      <c r="J1569" s="32"/>
      <c r="K1569" s="32"/>
      <c r="L1569" s="32"/>
      <c r="M1569" s="32"/>
      <c r="N1569" s="257"/>
      <c r="O1569" s="32"/>
      <c r="P1569" s="32"/>
      <c r="Q1569" s="32"/>
      <c r="R1569" s="32"/>
      <c r="S1569" s="32"/>
      <c r="T1569" s="264"/>
      <c r="U1569" s="16"/>
      <c r="V1569" s="16"/>
      <c r="W1569" s="16"/>
      <c r="X1569" s="32"/>
      <c r="Y1569" s="250"/>
    </row>
    <row r="1570">
      <c r="A1570" s="32"/>
      <c r="B1570" s="32"/>
      <c r="C1570" s="257"/>
      <c r="D1570" s="265"/>
      <c r="E1570" s="265"/>
      <c r="F1570" s="257"/>
      <c r="G1570" s="265"/>
      <c r="H1570" s="256"/>
      <c r="I1570" s="257"/>
      <c r="J1570" s="32"/>
      <c r="K1570" s="32"/>
      <c r="L1570" s="32"/>
      <c r="M1570" s="32"/>
      <c r="N1570" s="257"/>
      <c r="O1570" s="32"/>
      <c r="P1570" s="32"/>
      <c r="Q1570" s="32"/>
      <c r="R1570" s="32"/>
      <c r="S1570" s="32"/>
      <c r="T1570" s="264"/>
      <c r="U1570" s="16"/>
      <c r="V1570" s="16"/>
      <c r="W1570" s="16"/>
      <c r="X1570" s="32"/>
      <c r="Y1570" s="250"/>
    </row>
    <row r="1571">
      <c r="A1571" s="32"/>
      <c r="B1571" s="32"/>
      <c r="C1571" s="257"/>
      <c r="D1571" s="265"/>
      <c r="E1571" s="265"/>
      <c r="F1571" s="257"/>
      <c r="G1571" s="265"/>
      <c r="H1571" s="256"/>
      <c r="I1571" s="257"/>
      <c r="J1571" s="32"/>
      <c r="K1571" s="32"/>
      <c r="L1571" s="32"/>
      <c r="M1571" s="32"/>
      <c r="N1571" s="257"/>
      <c r="O1571" s="32"/>
      <c r="P1571" s="32"/>
      <c r="Q1571" s="32"/>
      <c r="R1571" s="32"/>
      <c r="S1571" s="32"/>
      <c r="T1571" s="264"/>
      <c r="U1571" s="16"/>
      <c r="V1571" s="16"/>
      <c r="W1571" s="16"/>
      <c r="X1571" s="32"/>
      <c r="Y1571" s="250"/>
    </row>
    <row r="1572">
      <c r="A1572" s="32"/>
      <c r="B1572" s="32"/>
      <c r="C1572" s="257"/>
      <c r="D1572" s="265"/>
      <c r="E1572" s="265"/>
      <c r="F1572" s="257"/>
      <c r="G1572" s="265"/>
      <c r="H1572" s="256"/>
      <c r="I1572" s="257"/>
      <c r="J1572" s="32"/>
      <c r="K1572" s="32"/>
      <c r="L1572" s="32"/>
      <c r="M1572" s="32"/>
      <c r="N1572" s="257"/>
      <c r="O1572" s="32"/>
      <c r="P1572" s="32"/>
      <c r="Q1572" s="32"/>
      <c r="R1572" s="32"/>
      <c r="S1572" s="32"/>
      <c r="T1572" s="264"/>
      <c r="U1572" s="16"/>
      <c r="V1572" s="16"/>
      <c r="W1572" s="16"/>
      <c r="X1572" s="32"/>
      <c r="Y1572" s="250"/>
    </row>
    <row r="1573">
      <c r="A1573" s="32"/>
      <c r="B1573" s="32"/>
      <c r="C1573" s="257"/>
      <c r="D1573" s="265"/>
      <c r="E1573" s="265"/>
      <c r="F1573" s="257"/>
      <c r="G1573" s="265"/>
      <c r="H1573" s="256"/>
      <c r="I1573" s="257"/>
      <c r="J1573" s="32"/>
      <c r="K1573" s="32"/>
      <c r="L1573" s="32"/>
      <c r="M1573" s="32"/>
      <c r="N1573" s="257"/>
      <c r="O1573" s="32"/>
      <c r="P1573" s="32"/>
      <c r="Q1573" s="32"/>
      <c r="R1573" s="32"/>
      <c r="S1573" s="32"/>
      <c r="T1573" s="264"/>
      <c r="U1573" s="16"/>
      <c r="V1573" s="16"/>
      <c r="W1573" s="16"/>
      <c r="X1573" s="32"/>
      <c r="Y1573" s="250"/>
    </row>
    <row r="1574">
      <c r="A1574" s="32"/>
      <c r="B1574" s="32"/>
      <c r="C1574" s="257"/>
      <c r="D1574" s="265"/>
      <c r="E1574" s="265"/>
      <c r="F1574" s="257"/>
      <c r="G1574" s="265"/>
      <c r="H1574" s="256"/>
      <c r="I1574" s="257"/>
      <c r="J1574" s="32"/>
      <c r="K1574" s="32"/>
      <c r="L1574" s="32"/>
      <c r="M1574" s="32"/>
      <c r="N1574" s="257"/>
      <c r="O1574" s="32"/>
      <c r="P1574" s="32"/>
      <c r="Q1574" s="32"/>
      <c r="R1574" s="32"/>
      <c r="S1574" s="32"/>
      <c r="T1574" s="264"/>
      <c r="U1574" s="16"/>
      <c r="V1574" s="16"/>
      <c r="W1574" s="16"/>
      <c r="X1574" s="32"/>
      <c r="Y1574" s="250"/>
    </row>
    <row r="1575">
      <c r="A1575" s="32"/>
      <c r="B1575" s="32"/>
      <c r="C1575" s="257"/>
      <c r="D1575" s="265"/>
      <c r="E1575" s="265"/>
      <c r="F1575" s="257"/>
      <c r="G1575" s="265"/>
      <c r="H1575" s="256"/>
      <c r="I1575" s="257"/>
      <c r="J1575" s="32"/>
      <c r="K1575" s="32"/>
      <c r="L1575" s="32"/>
      <c r="M1575" s="32"/>
      <c r="N1575" s="257"/>
      <c r="O1575" s="32"/>
      <c r="P1575" s="32"/>
      <c r="Q1575" s="32"/>
      <c r="R1575" s="32"/>
      <c r="S1575" s="32"/>
      <c r="T1575" s="264"/>
      <c r="U1575" s="16"/>
      <c r="V1575" s="16"/>
      <c r="W1575" s="16"/>
      <c r="X1575" s="32"/>
      <c r="Y1575" s="250"/>
    </row>
    <row r="1576">
      <c r="A1576" s="32"/>
      <c r="B1576" s="32"/>
      <c r="C1576" s="257"/>
      <c r="D1576" s="265"/>
      <c r="E1576" s="265"/>
      <c r="F1576" s="257"/>
      <c r="G1576" s="265"/>
      <c r="H1576" s="256"/>
      <c r="I1576" s="257"/>
      <c r="J1576" s="32"/>
      <c r="K1576" s="32"/>
      <c r="L1576" s="32"/>
      <c r="M1576" s="32"/>
      <c r="N1576" s="257"/>
      <c r="O1576" s="32"/>
      <c r="P1576" s="32"/>
      <c r="Q1576" s="32"/>
      <c r="R1576" s="32"/>
      <c r="S1576" s="32"/>
      <c r="T1576" s="264"/>
      <c r="U1576" s="16"/>
      <c r="V1576" s="16"/>
      <c r="W1576" s="16"/>
      <c r="X1576" s="32"/>
      <c r="Y1576" s="250"/>
    </row>
    <row r="1577">
      <c r="A1577" s="32"/>
      <c r="B1577" s="32"/>
      <c r="C1577" s="257"/>
      <c r="D1577" s="265"/>
      <c r="E1577" s="265"/>
      <c r="F1577" s="257"/>
      <c r="G1577" s="265"/>
      <c r="H1577" s="256"/>
      <c r="I1577" s="257"/>
      <c r="J1577" s="32"/>
      <c r="K1577" s="32"/>
      <c r="L1577" s="32"/>
      <c r="M1577" s="32"/>
      <c r="N1577" s="257"/>
      <c r="O1577" s="32"/>
      <c r="P1577" s="32"/>
      <c r="Q1577" s="32"/>
      <c r="R1577" s="32"/>
      <c r="S1577" s="32"/>
      <c r="T1577" s="264"/>
      <c r="U1577" s="16"/>
      <c r="V1577" s="16"/>
      <c r="W1577" s="16"/>
      <c r="X1577" s="32"/>
      <c r="Y1577" s="250"/>
    </row>
    <row r="1578">
      <c r="A1578" s="32"/>
      <c r="B1578" s="32"/>
      <c r="C1578" s="257"/>
      <c r="D1578" s="265"/>
      <c r="E1578" s="265"/>
      <c r="F1578" s="257"/>
      <c r="G1578" s="265"/>
      <c r="H1578" s="256"/>
      <c r="I1578" s="257"/>
      <c r="J1578" s="32"/>
      <c r="K1578" s="32"/>
      <c r="L1578" s="32"/>
      <c r="M1578" s="32"/>
      <c r="N1578" s="257"/>
      <c r="O1578" s="32"/>
      <c r="P1578" s="32"/>
      <c r="Q1578" s="32"/>
      <c r="R1578" s="32"/>
      <c r="S1578" s="32"/>
      <c r="T1578" s="264"/>
      <c r="U1578" s="16"/>
      <c r="V1578" s="16"/>
      <c r="W1578" s="16"/>
      <c r="X1578" s="32"/>
      <c r="Y1578" s="250"/>
    </row>
    <row r="1579">
      <c r="A1579" s="32"/>
      <c r="B1579" s="32"/>
      <c r="C1579" s="257"/>
      <c r="D1579" s="265"/>
      <c r="E1579" s="265"/>
      <c r="F1579" s="257"/>
      <c r="G1579" s="265"/>
      <c r="H1579" s="256"/>
      <c r="I1579" s="257"/>
      <c r="J1579" s="32"/>
      <c r="K1579" s="32"/>
      <c r="L1579" s="32"/>
      <c r="M1579" s="32"/>
      <c r="N1579" s="257"/>
      <c r="O1579" s="32"/>
      <c r="P1579" s="32"/>
      <c r="Q1579" s="32"/>
      <c r="R1579" s="32"/>
      <c r="S1579" s="32"/>
      <c r="T1579" s="264"/>
      <c r="U1579" s="16"/>
      <c r="V1579" s="16"/>
      <c r="W1579" s="16"/>
      <c r="X1579" s="32"/>
      <c r="Y1579" s="250"/>
    </row>
    <row r="1580">
      <c r="A1580" s="32"/>
      <c r="B1580" s="32"/>
      <c r="C1580" s="257"/>
      <c r="D1580" s="265"/>
      <c r="E1580" s="265"/>
      <c r="F1580" s="257"/>
      <c r="G1580" s="265"/>
      <c r="H1580" s="256"/>
      <c r="I1580" s="257"/>
      <c r="J1580" s="32"/>
      <c r="K1580" s="32"/>
      <c r="L1580" s="32"/>
      <c r="M1580" s="32"/>
      <c r="N1580" s="257"/>
      <c r="O1580" s="32"/>
      <c r="P1580" s="32"/>
      <c r="Q1580" s="32"/>
      <c r="R1580" s="32"/>
      <c r="S1580" s="32"/>
      <c r="T1580" s="264"/>
      <c r="U1580" s="16"/>
      <c r="V1580" s="16"/>
      <c r="W1580" s="16"/>
      <c r="X1580" s="32"/>
      <c r="Y1580" s="250"/>
    </row>
    <row r="1581">
      <c r="A1581" s="32"/>
      <c r="B1581" s="32"/>
      <c r="C1581" s="257"/>
      <c r="D1581" s="265"/>
      <c r="E1581" s="265"/>
      <c r="F1581" s="257"/>
      <c r="G1581" s="265"/>
      <c r="H1581" s="256"/>
      <c r="I1581" s="257"/>
      <c r="J1581" s="32"/>
      <c r="K1581" s="32"/>
      <c r="L1581" s="32"/>
      <c r="M1581" s="32"/>
      <c r="N1581" s="257"/>
      <c r="O1581" s="32"/>
      <c r="P1581" s="32"/>
      <c r="Q1581" s="32"/>
      <c r="R1581" s="32"/>
      <c r="S1581" s="32"/>
      <c r="T1581" s="264"/>
      <c r="U1581" s="16"/>
      <c r="V1581" s="16"/>
      <c r="W1581" s="16"/>
      <c r="X1581" s="32"/>
      <c r="Y1581" s="250"/>
    </row>
    <row r="1582">
      <c r="A1582" s="32"/>
      <c r="B1582" s="32"/>
      <c r="C1582" s="257"/>
      <c r="D1582" s="265"/>
      <c r="E1582" s="265"/>
      <c r="F1582" s="257"/>
      <c r="G1582" s="265"/>
      <c r="H1582" s="256"/>
      <c r="I1582" s="257"/>
      <c r="J1582" s="32"/>
      <c r="K1582" s="32"/>
      <c r="L1582" s="32"/>
      <c r="M1582" s="32"/>
      <c r="N1582" s="257"/>
      <c r="O1582" s="32"/>
      <c r="P1582" s="32"/>
      <c r="Q1582" s="32"/>
      <c r="R1582" s="32"/>
      <c r="S1582" s="32"/>
      <c r="T1582" s="264"/>
      <c r="U1582" s="16"/>
      <c r="V1582" s="16"/>
      <c r="W1582" s="16"/>
      <c r="X1582" s="32"/>
      <c r="Y1582" s="250"/>
    </row>
    <row r="1583">
      <c r="A1583" s="32"/>
      <c r="B1583" s="32"/>
      <c r="C1583" s="257"/>
      <c r="D1583" s="265"/>
      <c r="E1583" s="265"/>
      <c r="F1583" s="257"/>
      <c r="G1583" s="265"/>
      <c r="H1583" s="256"/>
      <c r="I1583" s="257"/>
      <c r="J1583" s="32"/>
      <c r="K1583" s="32"/>
      <c r="L1583" s="32"/>
      <c r="M1583" s="32"/>
      <c r="N1583" s="257"/>
      <c r="O1583" s="32"/>
      <c r="P1583" s="32"/>
      <c r="Q1583" s="32"/>
      <c r="R1583" s="32"/>
      <c r="S1583" s="32"/>
      <c r="T1583" s="264"/>
      <c r="U1583" s="16"/>
      <c r="V1583" s="16"/>
      <c r="W1583" s="16"/>
      <c r="X1583" s="32"/>
      <c r="Y1583" s="250"/>
    </row>
    <row r="1584">
      <c r="A1584" s="32"/>
      <c r="B1584" s="32"/>
      <c r="C1584" s="257"/>
      <c r="D1584" s="265"/>
      <c r="E1584" s="265"/>
      <c r="F1584" s="257"/>
      <c r="G1584" s="265"/>
      <c r="H1584" s="256"/>
      <c r="I1584" s="257"/>
      <c r="J1584" s="32"/>
      <c r="K1584" s="32"/>
      <c r="L1584" s="32"/>
      <c r="M1584" s="32"/>
      <c r="N1584" s="257"/>
      <c r="O1584" s="32"/>
      <c r="P1584" s="32"/>
      <c r="Q1584" s="32"/>
      <c r="R1584" s="32"/>
      <c r="S1584" s="32"/>
      <c r="T1584" s="264"/>
      <c r="U1584" s="16"/>
      <c r="V1584" s="16"/>
      <c r="W1584" s="16"/>
      <c r="X1584" s="32"/>
      <c r="Y1584" s="250"/>
    </row>
    <row r="1585">
      <c r="A1585" s="32"/>
      <c r="B1585" s="32"/>
      <c r="C1585" s="257"/>
      <c r="D1585" s="265"/>
      <c r="E1585" s="265"/>
      <c r="F1585" s="257"/>
      <c r="G1585" s="265"/>
      <c r="H1585" s="256"/>
      <c r="I1585" s="257"/>
      <c r="J1585" s="32"/>
      <c r="K1585" s="32"/>
      <c r="L1585" s="32"/>
      <c r="M1585" s="32"/>
      <c r="N1585" s="257"/>
      <c r="O1585" s="32"/>
      <c r="P1585" s="32"/>
      <c r="Q1585" s="32"/>
      <c r="R1585" s="32"/>
      <c r="S1585" s="32"/>
      <c r="T1585" s="264"/>
      <c r="U1585" s="16"/>
      <c r="V1585" s="16"/>
      <c r="W1585" s="16"/>
      <c r="X1585" s="32"/>
      <c r="Y1585" s="250"/>
    </row>
    <row r="1586">
      <c r="A1586" s="32"/>
      <c r="B1586" s="32"/>
      <c r="C1586" s="257"/>
      <c r="D1586" s="265"/>
      <c r="E1586" s="265"/>
      <c r="F1586" s="257"/>
      <c r="G1586" s="265"/>
      <c r="H1586" s="256"/>
      <c r="I1586" s="257"/>
      <c r="J1586" s="32"/>
      <c r="K1586" s="32"/>
      <c r="L1586" s="32"/>
      <c r="M1586" s="32"/>
      <c r="N1586" s="257"/>
      <c r="O1586" s="32"/>
      <c r="P1586" s="32"/>
      <c r="Q1586" s="32"/>
      <c r="R1586" s="32"/>
      <c r="S1586" s="32"/>
      <c r="T1586" s="264"/>
      <c r="U1586" s="16"/>
      <c r="V1586" s="16"/>
      <c r="W1586" s="16"/>
      <c r="X1586" s="32"/>
      <c r="Y1586" s="250"/>
    </row>
    <row r="1587">
      <c r="A1587" s="32"/>
      <c r="B1587" s="32"/>
      <c r="C1587" s="257"/>
      <c r="D1587" s="265"/>
      <c r="E1587" s="265"/>
      <c r="F1587" s="257"/>
      <c r="G1587" s="265"/>
      <c r="H1587" s="256"/>
      <c r="I1587" s="257"/>
      <c r="J1587" s="32"/>
      <c r="K1587" s="32"/>
      <c r="L1587" s="32"/>
      <c r="M1587" s="32"/>
      <c r="N1587" s="257"/>
      <c r="O1587" s="32"/>
      <c r="P1587" s="32"/>
      <c r="Q1587" s="32"/>
      <c r="R1587" s="32"/>
      <c r="S1587" s="32"/>
      <c r="T1587" s="264"/>
      <c r="U1587" s="16"/>
      <c r="V1587" s="16"/>
      <c r="W1587" s="16"/>
      <c r="X1587" s="32"/>
      <c r="Y1587" s="250"/>
    </row>
    <row r="1588">
      <c r="A1588" s="32"/>
      <c r="B1588" s="32"/>
      <c r="C1588" s="257"/>
      <c r="D1588" s="265"/>
      <c r="E1588" s="265"/>
      <c r="F1588" s="257"/>
      <c r="G1588" s="265"/>
      <c r="H1588" s="256"/>
      <c r="I1588" s="257"/>
      <c r="J1588" s="32"/>
      <c r="K1588" s="32"/>
      <c r="L1588" s="32"/>
      <c r="M1588" s="32"/>
      <c r="N1588" s="257"/>
      <c r="O1588" s="32"/>
      <c r="P1588" s="32"/>
      <c r="Q1588" s="32"/>
      <c r="R1588" s="32"/>
      <c r="S1588" s="32"/>
      <c r="T1588" s="264"/>
      <c r="U1588" s="16"/>
      <c r="V1588" s="16"/>
      <c r="W1588" s="16"/>
      <c r="X1588" s="32"/>
      <c r="Y1588" s="250"/>
    </row>
    <row r="1589">
      <c r="A1589" s="32"/>
      <c r="B1589" s="32"/>
      <c r="C1589" s="257"/>
      <c r="D1589" s="265"/>
      <c r="E1589" s="265"/>
      <c r="F1589" s="257"/>
      <c r="G1589" s="265"/>
      <c r="H1589" s="256"/>
      <c r="I1589" s="257"/>
      <c r="J1589" s="32"/>
      <c r="K1589" s="32"/>
      <c r="L1589" s="32"/>
      <c r="M1589" s="32"/>
      <c r="N1589" s="257"/>
      <c r="O1589" s="32"/>
      <c r="P1589" s="32"/>
      <c r="Q1589" s="32"/>
      <c r="R1589" s="32"/>
      <c r="S1589" s="32"/>
      <c r="T1589" s="264"/>
      <c r="U1589" s="16"/>
      <c r="V1589" s="16"/>
      <c r="W1589" s="16"/>
      <c r="X1589" s="32"/>
      <c r="Y1589" s="250"/>
    </row>
    <row r="1590">
      <c r="A1590" s="32"/>
      <c r="B1590" s="32"/>
      <c r="C1590" s="257"/>
      <c r="D1590" s="265"/>
      <c r="E1590" s="265"/>
      <c r="F1590" s="257"/>
      <c r="G1590" s="265"/>
      <c r="H1590" s="256"/>
      <c r="I1590" s="257"/>
      <c r="J1590" s="32"/>
      <c r="K1590" s="32"/>
      <c r="L1590" s="32"/>
      <c r="M1590" s="32"/>
      <c r="N1590" s="257"/>
      <c r="O1590" s="32"/>
      <c r="P1590" s="32"/>
      <c r="Q1590" s="32"/>
      <c r="R1590" s="32"/>
      <c r="S1590" s="32"/>
      <c r="T1590" s="264"/>
      <c r="U1590" s="16"/>
      <c r="V1590" s="16"/>
      <c r="W1590" s="16"/>
      <c r="X1590" s="32"/>
      <c r="Y1590" s="250"/>
    </row>
    <row r="1591">
      <c r="A1591" s="32"/>
      <c r="B1591" s="32"/>
      <c r="C1591" s="257"/>
      <c r="D1591" s="265"/>
      <c r="E1591" s="265"/>
      <c r="F1591" s="257"/>
      <c r="G1591" s="265"/>
      <c r="H1591" s="256"/>
      <c r="I1591" s="257"/>
      <c r="J1591" s="32"/>
      <c r="K1591" s="32"/>
      <c r="L1591" s="32"/>
      <c r="M1591" s="32"/>
      <c r="N1591" s="257"/>
      <c r="O1591" s="32"/>
      <c r="P1591" s="32"/>
      <c r="Q1591" s="32"/>
      <c r="R1591" s="32"/>
      <c r="S1591" s="32"/>
      <c r="T1591" s="264"/>
      <c r="U1591" s="16"/>
      <c r="V1591" s="16"/>
      <c r="W1591" s="16"/>
      <c r="X1591" s="32"/>
      <c r="Y1591" s="250"/>
    </row>
    <row r="1592">
      <c r="A1592" s="32"/>
      <c r="B1592" s="32"/>
      <c r="C1592" s="257"/>
      <c r="D1592" s="265"/>
      <c r="E1592" s="265"/>
      <c r="F1592" s="257"/>
      <c r="G1592" s="265"/>
      <c r="H1592" s="256"/>
      <c r="I1592" s="257"/>
      <c r="J1592" s="32"/>
      <c r="K1592" s="32"/>
      <c r="L1592" s="32"/>
      <c r="M1592" s="32"/>
      <c r="N1592" s="257"/>
      <c r="O1592" s="32"/>
      <c r="P1592" s="32"/>
      <c r="Q1592" s="32"/>
      <c r="R1592" s="32"/>
      <c r="S1592" s="32"/>
      <c r="T1592" s="264"/>
      <c r="U1592" s="16"/>
      <c r="V1592" s="16"/>
      <c r="W1592" s="16"/>
      <c r="X1592" s="32"/>
      <c r="Y1592" s="250"/>
    </row>
    <row r="1593">
      <c r="A1593" s="32"/>
      <c r="B1593" s="32"/>
      <c r="C1593" s="257"/>
      <c r="D1593" s="265"/>
      <c r="E1593" s="265"/>
      <c r="F1593" s="257"/>
      <c r="G1593" s="265"/>
      <c r="H1593" s="256"/>
      <c r="I1593" s="257"/>
      <c r="J1593" s="32"/>
      <c r="K1593" s="32"/>
      <c r="L1593" s="32"/>
      <c r="M1593" s="32"/>
      <c r="N1593" s="257"/>
      <c r="O1593" s="32"/>
      <c r="P1593" s="32"/>
      <c r="Q1593" s="32"/>
      <c r="R1593" s="32"/>
      <c r="S1593" s="32"/>
      <c r="T1593" s="264"/>
      <c r="U1593" s="16"/>
      <c r="V1593" s="16"/>
      <c r="W1593" s="16"/>
      <c r="X1593" s="32"/>
      <c r="Y1593" s="250"/>
    </row>
    <row r="1594">
      <c r="A1594" s="32"/>
      <c r="B1594" s="32"/>
      <c r="C1594" s="257"/>
      <c r="D1594" s="265"/>
      <c r="E1594" s="265"/>
      <c r="F1594" s="257"/>
      <c r="G1594" s="265"/>
      <c r="H1594" s="256"/>
      <c r="I1594" s="257"/>
      <c r="J1594" s="32"/>
      <c r="K1594" s="32"/>
      <c r="L1594" s="32"/>
      <c r="M1594" s="32"/>
      <c r="N1594" s="257"/>
      <c r="O1594" s="32"/>
      <c r="P1594" s="32"/>
      <c r="Q1594" s="32"/>
      <c r="R1594" s="32"/>
      <c r="S1594" s="32"/>
      <c r="T1594" s="264"/>
      <c r="U1594" s="16"/>
      <c r="V1594" s="16"/>
      <c r="W1594" s="16"/>
      <c r="X1594" s="32"/>
      <c r="Y1594" s="250"/>
    </row>
    <row r="1595">
      <c r="A1595" s="32"/>
      <c r="B1595" s="32"/>
      <c r="C1595" s="257"/>
      <c r="D1595" s="265"/>
      <c r="E1595" s="265"/>
      <c r="F1595" s="257"/>
      <c r="G1595" s="265"/>
      <c r="H1595" s="256"/>
      <c r="I1595" s="257"/>
      <c r="J1595" s="32"/>
      <c r="K1595" s="32"/>
      <c r="L1595" s="32"/>
      <c r="M1595" s="32"/>
      <c r="N1595" s="257"/>
      <c r="O1595" s="32"/>
      <c r="P1595" s="32"/>
      <c r="Q1595" s="32"/>
      <c r="R1595" s="32"/>
      <c r="S1595" s="32"/>
      <c r="T1595" s="264"/>
      <c r="U1595" s="16"/>
      <c r="V1595" s="16"/>
      <c r="W1595" s="16"/>
      <c r="X1595" s="32"/>
      <c r="Y1595" s="250"/>
    </row>
    <row r="1596">
      <c r="A1596" s="32"/>
      <c r="B1596" s="32"/>
      <c r="C1596" s="257"/>
      <c r="D1596" s="265"/>
      <c r="E1596" s="265"/>
      <c r="F1596" s="257"/>
      <c r="G1596" s="265"/>
      <c r="H1596" s="256"/>
      <c r="I1596" s="257"/>
      <c r="J1596" s="32"/>
      <c r="K1596" s="32"/>
      <c r="L1596" s="32"/>
      <c r="M1596" s="32"/>
      <c r="N1596" s="257"/>
      <c r="O1596" s="32"/>
      <c r="P1596" s="32"/>
      <c r="Q1596" s="32"/>
      <c r="R1596" s="32"/>
      <c r="S1596" s="32"/>
      <c r="T1596" s="264"/>
      <c r="U1596" s="16"/>
      <c r="V1596" s="16"/>
      <c r="W1596" s="16"/>
      <c r="X1596" s="32"/>
      <c r="Y1596" s="250"/>
    </row>
    <row r="1597">
      <c r="A1597" s="32"/>
      <c r="B1597" s="32"/>
      <c r="C1597" s="257"/>
      <c r="D1597" s="265"/>
      <c r="E1597" s="265"/>
      <c r="F1597" s="257"/>
      <c r="G1597" s="265"/>
      <c r="H1597" s="256"/>
      <c r="I1597" s="257"/>
      <c r="J1597" s="32"/>
      <c r="K1597" s="32"/>
      <c r="L1597" s="32"/>
      <c r="M1597" s="32"/>
      <c r="N1597" s="257"/>
      <c r="O1597" s="32"/>
      <c r="P1597" s="32"/>
      <c r="Q1597" s="32"/>
      <c r="R1597" s="32"/>
      <c r="S1597" s="32"/>
      <c r="T1597" s="264"/>
      <c r="U1597" s="16"/>
      <c r="V1597" s="16"/>
      <c r="W1597" s="16"/>
      <c r="X1597" s="32"/>
      <c r="Y1597" s="250"/>
    </row>
    <row r="1598">
      <c r="A1598" s="32"/>
      <c r="B1598" s="32"/>
      <c r="C1598" s="257"/>
      <c r="D1598" s="265"/>
      <c r="E1598" s="265"/>
      <c r="F1598" s="257"/>
      <c r="G1598" s="265"/>
      <c r="H1598" s="256"/>
      <c r="I1598" s="257"/>
      <c r="J1598" s="32"/>
      <c r="K1598" s="32"/>
      <c r="L1598" s="32"/>
      <c r="M1598" s="32"/>
      <c r="N1598" s="257"/>
      <c r="O1598" s="32"/>
      <c r="P1598" s="32"/>
      <c r="Q1598" s="32"/>
      <c r="R1598" s="32"/>
      <c r="S1598" s="32"/>
      <c r="T1598" s="264"/>
      <c r="U1598" s="16"/>
      <c r="V1598" s="16"/>
      <c r="W1598" s="16"/>
      <c r="X1598" s="32"/>
      <c r="Y1598" s="250"/>
    </row>
    <row r="1599">
      <c r="A1599" s="32"/>
      <c r="B1599" s="32"/>
      <c r="C1599" s="257"/>
      <c r="D1599" s="265"/>
      <c r="E1599" s="265"/>
      <c r="F1599" s="257"/>
      <c r="G1599" s="265"/>
      <c r="H1599" s="256"/>
      <c r="I1599" s="257"/>
      <c r="J1599" s="32"/>
      <c r="K1599" s="32"/>
      <c r="L1599" s="32"/>
      <c r="M1599" s="32"/>
      <c r="N1599" s="257"/>
      <c r="O1599" s="32"/>
      <c r="P1599" s="32"/>
      <c r="Q1599" s="32"/>
      <c r="R1599" s="32"/>
      <c r="S1599" s="32"/>
      <c r="T1599" s="264"/>
      <c r="U1599" s="16"/>
      <c r="V1599" s="16"/>
      <c r="W1599" s="16"/>
      <c r="X1599" s="32"/>
      <c r="Y1599" s="250"/>
    </row>
    <row r="1600">
      <c r="A1600" s="32"/>
      <c r="B1600" s="32"/>
      <c r="C1600" s="257"/>
      <c r="D1600" s="265"/>
      <c r="E1600" s="265"/>
      <c r="F1600" s="257"/>
      <c r="G1600" s="265"/>
      <c r="H1600" s="256"/>
      <c r="I1600" s="257"/>
      <c r="J1600" s="32"/>
      <c r="K1600" s="32"/>
      <c r="L1600" s="32"/>
      <c r="M1600" s="32"/>
      <c r="N1600" s="257"/>
      <c r="O1600" s="32"/>
      <c r="P1600" s="32"/>
      <c r="Q1600" s="32"/>
      <c r="R1600" s="32"/>
      <c r="S1600" s="32"/>
      <c r="T1600" s="264"/>
      <c r="U1600" s="16"/>
      <c r="V1600" s="16"/>
      <c r="W1600" s="16"/>
      <c r="X1600" s="32"/>
      <c r="Y1600" s="250"/>
    </row>
    <row r="1601">
      <c r="A1601" s="32"/>
      <c r="B1601" s="32"/>
      <c r="C1601" s="257"/>
      <c r="D1601" s="265"/>
      <c r="E1601" s="265"/>
      <c r="F1601" s="257"/>
      <c r="G1601" s="265"/>
      <c r="H1601" s="256"/>
      <c r="I1601" s="257"/>
      <c r="J1601" s="32"/>
      <c r="K1601" s="32"/>
      <c r="L1601" s="32"/>
      <c r="M1601" s="32"/>
      <c r="N1601" s="257"/>
      <c r="O1601" s="32"/>
      <c r="P1601" s="32"/>
      <c r="Q1601" s="32"/>
      <c r="R1601" s="32"/>
      <c r="S1601" s="32"/>
      <c r="T1601" s="264"/>
      <c r="U1601" s="16"/>
      <c r="V1601" s="16"/>
      <c r="W1601" s="16"/>
      <c r="X1601" s="32"/>
      <c r="Y1601" s="250"/>
    </row>
    <row r="1602">
      <c r="A1602" s="32"/>
      <c r="B1602" s="32"/>
      <c r="C1602" s="257"/>
      <c r="D1602" s="265"/>
      <c r="E1602" s="265"/>
      <c r="F1602" s="257"/>
      <c r="G1602" s="265"/>
      <c r="H1602" s="256"/>
      <c r="I1602" s="257"/>
      <c r="J1602" s="32"/>
      <c r="K1602" s="32"/>
      <c r="L1602" s="32"/>
      <c r="M1602" s="32"/>
      <c r="N1602" s="257"/>
      <c r="O1602" s="32"/>
      <c r="P1602" s="32"/>
      <c r="Q1602" s="32"/>
      <c r="R1602" s="32"/>
      <c r="S1602" s="32"/>
      <c r="T1602" s="264"/>
      <c r="U1602" s="16"/>
      <c r="V1602" s="16"/>
      <c r="W1602" s="16"/>
      <c r="X1602" s="32"/>
      <c r="Y1602" s="250"/>
    </row>
    <row r="1603">
      <c r="A1603" s="32"/>
      <c r="B1603" s="32"/>
      <c r="C1603" s="257"/>
      <c r="D1603" s="265"/>
      <c r="E1603" s="265"/>
      <c r="F1603" s="257"/>
      <c r="G1603" s="265"/>
      <c r="H1603" s="256"/>
      <c r="I1603" s="257"/>
      <c r="J1603" s="32"/>
      <c r="K1603" s="32"/>
      <c r="L1603" s="32"/>
      <c r="M1603" s="32"/>
      <c r="N1603" s="257"/>
      <c r="O1603" s="32"/>
      <c r="P1603" s="32"/>
      <c r="Q1603" s="32"/>
      <c r="R1603" s="32"/>
      <c r="S1603" s="32"/>
      <c r="T1603" s="264"/>
      <c r="U1603" s="16"/>
      <c r="V1603" s="16"/>
      <c r="W1603" s="16"/>
      <c r="X1603" s="32"/>
      <c r="Y1603" s="250"/>
    </row>
    <row r="1604">
      <c r="A1604" s="32"/>
      <c r="B1604" s="32"/>
      <c r="C1604" s="257"/>
      <c r="D1604" s="265"/>
      <c r="E1604" s="265"/>
      <c r="F1604" s="257"/>
      <c r="G1604" s="265"/>
      <c r="H1604" s="256"/>
      <c r="I1604" s="257"/>
      <c r="J1604" s="32"/>
      <c r="K1604" s="32"/>
      <c r="L1604" s="32"/>
      <c r="M1604" s="32"/>
      <c r="N1604" s="257"/>
      <c r="O1604" s="32"/>
      <c r="P1604" s="32"/>
      <c r="Q1604" s="32"/>
      <c r="R1604" s="32"/>
      <c r="S1604" s="32"/>
      <c r="T1604" s="264"/>
      <c r="U1604" s="16"/>
      <c r="V1604" s="16"/>
      <c r="W1604" s="16"/>
      <c r="X1604" s="32"/>
      <c r="Y1604" s="250"/>
    </row>
    <row r="1605">
      <c r="A1605" s="32"/>
      <c r="B1605" s="32"/>
      <c r="C1605" s="257"/>
      <c r="D1605" s="265"/>
      <c r="E1605" s="265"/>
      <c r="F1605" s="257"/>
      <c r="G1605" s="265"/>
      <c r="H1605" s="256"/>
      <c r="I1605" s="257"/>
      <c r="J1605" s="32"/>
      <c r="K1605" s="32"/>
      <c r="L1605" s="32"/>
      <c r="M1605" s="32"/>
      <c r="N1605" s="257"/>
      <c r="O1605" s="32"/>
      <c r="P1605" s="32"/>
      <c r="Q1605" s="32"/>
      <c r="R1605" s="32"/>
      <c r="S1605" s="32"/>
      <c r="T1605" s="264"/>
      <c r="U1605" s="16"/>
      <c r="V1605" s="16"/>
      <c r="W1605" s="16"/>
      <c r="X1605" s="32"/>
      <c r="Y1605" s="250"/>
    </row>
    <row r="1606">
      <c r="A1606" s="32"/>
      <c r="B1606" s="32"/>
      <c r="C1606" s="257"/>
      <c r="D1606" s="265"/>
      <c r="E1606" s="265"/>
      <c r="F1606" s="257"/>
      <c r="G1606" s="265"/>
      <c r="H1606" s="256"/>
      <c r="I1606" s="257"/>
      <c r="J1606" s="32"/>
      <c r="K1606" s="32"/>
      <c r="L1606" s="32"/>
      <c r="M1606" s="32"/>
      <c r="N1606" s="257"/>
      <c r="O1606" s="32"/>
      <c r="P1606" s="32"/>
      <c r="Q1606" s="32"/>
      <c r="R1606" s="32"/>
      <c r="S1606" s="32"/>
      <c r="T1606" s="264"/>
      <c r="U1606" s="16"/>
      <c r="V1606" s="16"/>
      <c r="W1606" s="16"/>
      <c r="X1606" s="32"/>
      <c r="Y1606" s="250"/>
    </row>
    <row r="1607">
      <c r="A1607" s="32"/>
      <c r="B1607" s="32"/>
      <c r="C1607" s="257"/>
      <c r="D1607" s="265"/>
      <c r="E1607" s="265"/>
      <c r="F1607" s="257"/>
      <c r="G1607" s="265"/>
      <c r="H1607" s="256"/>
      <c r="I1607" s="257"/>
      <c r="J1607" s="32"/>
      <c r="K1607" s="32"/>
      <c r="L1607" s="32"/>
      <c r="M1607" s="32"/>
      <c r="N1607" s="257"/>
      <c r="O1607" s="32"/>
      <c r="P1607" s="32"/>
      <c r="Q1607" s="32"/>
      <c r="R1607" s="32"/>
      <c r="S1607" s="32"/>
      <c r="T1607" s="264"/>
      <c r="U1607" s="16"/>
      <c r="V1607" s="16"/>
      <c r="W1607" s="16"/>
      <c r="X1607" s="32"/>
      <c r="Y1607" s="250"/>
    </row>
    <row r="1608">
      <c r="A1608" s="32"/>
      <c r="B1608" s="32"/>
      <c r="C1608" s="257"/>
      <c r="D1608" s="265"/>
      <c r="E1608" s="265"/>
      <c r="F1608" s="257"/>
      <c r="G1608" s="265"/>
      <c r="H1608" s="256"/>
      <c r="I1608" s="257"/>
      <c r="J1608" s="32"/>
      <c r="K1608" s="32"/>
      <c r="L1608" s="32"/>
      <c r="M1608" s="32"/>
      <c r="N1608" s="257"/>
      <c r="O1608" s="32"/>
      <c r="P1608" s="32"/>
      <c r="Q1608" s="32"/>
      <c r="R1608" s="32"/>
      <c r="S1608" s="32"/>
      <c r="T1608" s="264"/>
      <c r="U1608" s="16"/>
      <c r="V1608" s="16"/>
      <c r="W1608" s="16"/>
      <c r="X1608" s="32"/>
      <c r="Y1608" s="250"/>
    </row>
    <row r="1609">
      <c r="A1609" s="32"/>
      <c r="B1609" s="32"/>
      <c r="C1609" s="257"/>
      <c r="D1609" s="265"/>
      <c r="E1609" s="265"/>
      <c r="F1609" s="257"/>
      <c r="G1609" s="265"/>
      <c r="H1609" s="256"/>
      <c r="I1609" s="257"/>
      <c r="J1609" s="32"/>
      <c r="K1609" s="32"/>
      <c r="L1609" s="32"/>
      <c r="M1609" s="32"/>
      <c r="N1609" s="257"/>
      <c r="O1609" s="32"/>
      <c r="P1609" s="32"/>
      <c r="Q1609" s="32"/>
      <c r="R1609" s="32"/>
      <c r="S1609" s="32"/>
      <c r="T1609" s="264"/>
      <c r="U1609" s="16"/>
      <c r="V1609" s="16"/>
      <c r="W1609" s="16"/>
      <c r="X1609" s="32"/>
      <c r="Y1609" s="250"/>
    </row>
    <row r="1610">
      <c r="A1610" s="32"/>
      <c r="B1610" s="32"/>
      <c r="C1610" s="257"/>
      <c r="D1610" s="265"/>
      <c r="E1610" s="265"/>
      <c r="F1610" s="257"/>
      <c r="G1610" s="265"/>
      <c r="H1610" s="256"/>
      <c r="I1610" s="257"/>
      <c r="J1610" s="32"/>
      <c r="K1610" s="32"/>
      <c r="L1610" s="32"/>
      <c r="M1610" s="32"/>
      <c r="N1610" s="257"/>
      <c r="O1610" s="32"/>
      <c r="P1610" s="32"/>
      <c r="Q1610" s="32"/>
      <c r="R1610" s="32"/>
      <c r="S1610" s="32"/>
      <c r="T1610" s="264"/>
      <c r="U1610" s="16"/>
      <c r="V1610" s="16"/>
      <c r="W1610" s="16"/>
      <c r="X1610" s="32"/>
      <c r="Y1610" s="250"/>
    </row>
    <row r="1611">
      <c r="A1611" s="32"/>
      <c r="B1611" s="32"/>
      <c r="C1611" s="257"/>
      <c r="D1611" s="265"/>
      <c r="E1611" s="265"/>
      <c r="F1611" s="257"/>
      <c r="G1611" s="265"/>
      <c r="H1611" s="256"/>
      <c r="I1611" s="257"/>
      <c r="J1611" s="32"/>
      <c r="K1611" s="32"/>
      <c r="L1611" s="32"/>
      <c r="M1611" s="32"/>
      <c r="N1611" s="257"/>
      <c r="O1611" s="32"/>
      <c r="P1611" s="32"/>
      <c r="Q1611" s="32"/>
      <c r="R1611" s="32"/>
      <c r="S1611" s="32"/>
      <c r="T1611" s="264"/>
      <c r="U1611" s="16"/>
      <c r="V1611" s="16"/>
      <c r="W1611" s="16"/>
      <c r="X1611" s="32"/>
      <c r="Y1611" s="250"/>
    </row>
    <row r="1612">
      <c r="A1612" s="32"/>
      <c r="B1612" s="32"/>
      <c r="C1612" s="257"/>
      <c r="D1612" s="265"/>
      <c r="E1612" s="265"/>
      <c r="F1612" s="257"/>
      <c r="G1612" s="265"/>
      <c r="H1612" s="256"/>
      <c r="I1612" s="257"/>
      <c r="J1612" s="32"/>
      <c r="K1612" s="32"/>
      <c r="L1612" s="32"/>
      <c r="M1612" s="32"/>
      <c r="N1612" s="257"/>
      <c r="O1612" s="32"/>
      <c r="P1612" s="32"/>
      <c r="Q1612" s="32"/>
      <c r="R1612" s="32"/>
      <c r="S1612" s="32"/>
      <c r="T1612" s="264"/>
      <c r="U1612" s="16"/>
      <c r="V1612" s="16"/>
      <c r="W1612" s="16"/>
      <c r="X1612" s="32"/>
      <c r="Y1612" s="250"/>
    </row>
    <row r="1613">
      <c r="A1613" s="32"/>
      <c r="B1613" s="32"/>
      <c r="C1613" s="257"/>
      <c r="D1613" s="265"/>
      <c r="E1613" s="265"/>
      <c r="F1613" s="257"/>
      <c r="G1613" s="265"/>
      <c r="H1613" s="256"/>
      <c r="I1613" s="257"/>
      <c r="J1613" s="32"/>
      <c r="K1613" s="32"/>
      <c r="L1613" s="32"/>
      <c r="M1613" s="32"/>
      <c r="N1613" s="257"/>
      <c r="O1613" s="32"/>
      <c r="P1613" s="32"/>
      <c r="Q1613" s="32"/>
      <c r="R1613" s="32"/>
      <c r="S1613" s="32"/>
      <c r="T1613" s="264"/>
      <c r="U1613" s="16"/>
      <c r="V1613" s="16"/>
      <c r="W1613" s="16"/>
      <c r="X1613" s="32"/>
      <c r="Y1613" s="250"/>
    </row>
    <row r="1614">
      <c r="A1614" s="32"/>
      <c r="B1614" s="32"/>
      <c r="C1614" s="257"/>
      <c r="D1614" s="265"/>
      <c r="E1614" s="265"/>
      <c r="F1614" s="257"/>
      <c r="G1614" s="265"/>
      <c r="H1614" s="256"/>
      <c r="I1614" s="257"/>
      <c r="J1614" s="32"/>
      <c r="K1614" s="32"/>
      <c r="L1614" s="32"/>
      <c r="M1614" s="32"/>
      <c r="N1614" s="257"/>
      <c r="O1614" s="32"/>
      <c r="P1614" s="32"/>
      <c r="Q1614" s="32"/>
      <c r="R1614" s="32"/>
      <c r="S1614" s="32"/>
      <c r="T1614" s="264"/>
      <c r="U1614" s="16"/>
      <c r="V1614" s="16"/>
      <c r="W1614" s="16"/>
      <c r="X1614" s="32"/>
      <c r="Y1614" s="250"/>
    </row>
    <row r="1615">
      <c r="A1615" s="32"/>
      <c r="B1615" s="32"/>
      <c r="C1615" s="257"/>
      <c r="D1615" s="265"/>
      <c r="E1615" s="265"/>
      <c r="F1615" s="257"/>
      <c r="G1615" s="265"/>
      <c r="H1615" s="256"/>
      <c r="I1615" s="257"/>
      <c r="J1615" s="32"/>
      <c r="K1615" s="32"/>
      <c r="L1615" s="32"/>
      <c r="M1615" s="32"/>
      <c r="N1615" s="257"/>
      <c r="O1615" s="32"/>
      <c r="P1615" s="32"/>
      <c r="Q1615" s="32"/>
      <c r="R1615" s="32"/>
      <c r="S1615" s="32"/>
      <c r="T1615" s="264"/>
      <c r="U1615" s="16"/>
      <c r="V1615" s="16"/>
      <c r="W1615" s="16"/>
      <c r="X1615" s="32"/>
      <c r="Y1615" s="250"/>
    </row>
    <row r="1616">
      <c r="A1616" s="32"/>
      <c r="B1616" s="32"/>
      <c r="C1616" s="257"/>
      <c r="D1616" s="265"/>
      <c r="E1616" s="265"/>
      <c r="F1616" s="257"/>
      <c r="G1616" s="265"/>
      <c r="H1616" s="256"/>
      <c r="I1616" s="257"/>
      <c r="J1616" s="32"/>
      <c r="K1616" s="32"/>
      <c r="L1616" s="32"/>
      <c r="M1616" s="32"/>
      <c r="N1616" s="257"/>
      <c r="O1616" s="32"/>
      <c r="P1616" s="32"/>
      <c r="Q1616" s="32"/>
      <c r="R1616" s="32"/>
      <c r="S1616" s="32"/>
      <c r="T1616" s="264"/>
      <c r="U1616" s="16"/>
      <c r="V1616" s="16"/>
      <c r="W1616" s="16"/>
      <c r="X1616" s="32"/>
      <c r="Y1616" s="250"/>
    </row>
    <row r="1617">
      <c r="A1617" s="32"/>
      <c r="B1617" s="32"/>
      <c r="C1617" s="257"/>
      <c r="D1617" s="265"/>
      <c r="E1617" s="265"/>
      <c r="F1617" s="257"/>
      <c r="G1617" s="265"/>
      <c r="H1617" s="256"/>
      <c r="I1617" s="257"/>
      <c r="J1617" s="32"/>
      <c r="K1617" s="32"/>
      <c r="L1617" s="32"/>
      <c r="M1617" s="32"/>
      <c r="N1617" s="257"/>
      <c r="O1617" s="32"/>
      <c r="P1617" s="32"/>
      <c r="Q1617" s="32"/>
      <c r="R1617" s="32"/>
      <c r="S1617" s="32"/>
      <c r="T1617" s="264"/>
      <c r="U1617" s="16"/>
      <c r="V1617" s="16"/>
      <c r="W1617" s="16"/>
      <c r="X1617" s="32"/>
      <c r="Y1617" s="250"/>
    </row>
    <row r="1618">
      <c r="A1618" s="32"/>
      <c r="B1618" s="32"/>
      <c r="C1618" s="257"/>
      <c r="D1618" s="265"/>
      <c r="E1618" s="265"/>
      <c r="F1618" s="257"/>
      <c r="G1618" s="265"/>
      <c r="H1618" s="256"/>
      <c r="I1618" s="257"/>
      <c r="J1618" s="32"/>
      <c r="K1618" s="32"/>
      <c r="L1618" s="32"/>
      <c r="M1618" s="32"/>
      <c r="N1618" s="257"/>
      <c r="O1618" s="32"/>
      <c r="P1618" s="32"/>
      <c r="Q1618" s="32"/>
      <c r="R1618" s="32"/>
      <c r="S1618" s="32"/>
      <c r="T1618" s="264"/>
      <c r="U1618" s="16"/>
      <c r="V1618" s="16"/>
      <c r="W1618" s="16"/>
      <c r="X1618" s="32"/>
      <c r="Y1618" s="250"/>
    </row>
    <row r="1619">
      <c r="A1619" s="32"/>
      <c r="B1619" s="32"/>
      <c r="C1619" s="257"/>
      <c r="D1619" s="265"/>
      <c r="E1619" s="265"/>
      <c r="F1619" s="257"/>
      <c r="G1619" s="265"/>
      <c r="H1619" s="256"/>
      <c r="I1619" s="257"/>
      <c r="J1619" s="32"/>
      <c r="K1619" s="32"/>
      <c r="L1619" s="32"/>
      <c r="M1619" s="32"/>
      <c r="N1619" s="257"/>
      <c r="O1619" s="32"/>
      <c r="P1619" s="32"/>
      <c r="Q1619" s="32"/>
      <c r="R1619" s="32"/>
      <c r="S1619" s="32"/>
      <c r="T1619" s="264"/>
      <c r="U1619" s="16"/>
      <c r="V1619" s="16"/>
      <c r="W1619" s="16"/>
      <c r="X1619" s="32"/>
      <c r="Y1619" s="250"/>
    </row>
    <row r="1620">
      <c r="A1620" s="32"/>
      <c r="B1620" s="32"/>
      <c r="C1620" s="257"/>
      <c r="D1620" s="265"/>
      <c r="E1620" s="265"/>
      <c r="F1620" s="257"/>
      <c r="G1620" s="265"/>
      <c r="H1620" s="256"/>
      <c r="I1620" s="257"/>
      <c r="J1620" s="32"/>
      <c r="K1620" s="32"/>
      <c r="L1620" s="32"/>
      <c r="M1620" s="32"/>
      <c r="N1620" s="257"/>
      <c r="O1620" s="32"/>
      <c r="P1620" s="32"/>
      <c r="Q1620" s="32"/>
      <c r="R1620" s="32"/>
      <c r="S1620" s="32"/>
      <c r="T1620" s="264"/>
      <c r="U1620" s="16"/>
      <c r="V1620" s="16"/>
      <c r="W1620" s="16"/>
      <c r="X1620" s="32"/>
      <c r="Y1620" s="250"/>
    </row>
    <row r="1621">
      <c r="A1621" s="32"/>
      <c r="B1621" s="32"/>
      <c r="C1621" s="257"/>
      <c r="D1621" s="265"/>
      <c r="E1621" s="265"/>
      <c r="F1621" s="257"/>
      <c r="G1621" s="265"/>
      <c r="H1621" s="256"/>
      <c r="I1621" s="257"/>
      <c r="J1621" s="32"/>
      <c r="K1621" s="32"/>
      <c r="L1621" s="32"/>
      <c r="M1621" s="32"/>
      <c r="N1621" s="257"/>
      <c r="O1621" s="32"/>
      <c r="P1621" s="32"/>
      <c r="Q1621" s="32"/>
      <c r="R1621" s="32"/>
      <c r="S1621" s="32"/>
      <c r="T1621" s="264"/>
      <c r="U1621" s="16"/>
      <c r="V1621" s="16"/>
      <c r="W1621" s="16"/>
      <c r="X1621" s="32"/>
      <c r="Y1621" s="250"/>
    </row>
    <row r="1622">
      <c r="A1622" s="32"/>
      <c r="B1622" s="32"/>
      <c r="C1622" s="257"/>
      <c r="D1622" s="265"/>
      <c r="E1622" s="265"/>
      <c r="F1622" s="257"/>
      <c r="G1622" s="265"/>
      <c r="H1622" s="256"/>
      <c r="I1622" s="257"/>
      <c r="J1622" s="32"/>
      <c r="K1622" s="32"/>
      <c r="L1622" s="32"/>
      <c r="M1622" s="32"/>
      <c r="N1622" s="257"/>
      <c r="O1622" s="32"/>
      <c r="P1622" s="32"/>
      <c r="Q1622" s="32"/>
      <c r="R1622" s="32"/>
      <c r="S1622" s="32"/>
      <c r="T1622" s="264"/>
      <c r="U1622" s="16"/>
      <c r="V1622" s="16"/>
      <c r="W1622" s="16"/>
      <c r="X1622" s="32"/>
      <c r="Y1622" s="250"/>
    </row>
    <row r="1623">
      <c r="A1623" s="32"/>
      <c r="B1623" s="32"/>
      <c r="C1623" s="257"/>
      <c r="D1623" s="265"/>
      <c r="E1623" s="265"/>
      <c r="F1623" s="257"/>
      <c r="G1623" s="265"/>
      <c r="H1623" s="256"/>
      <c r="I1623" s="257"/>
      <c r="J1623" s="32"/>
      <c r="K1623" s="32"/>
      <c r="L1623" s="32"/>
      <c r="M1623" s="32"/>
      <c r="N1623" s="257"/>
      <c r="O1623" s="32"/>
      <c r="P1623" s="32"/>
      <c r="Q1623" s="32"/>
      <c r="R1623" s="32"/>
      <c r="S1623" s="32"/>
      <c r="T1623" s="264"/>
      <c r="U1623" s="16"/>
      <c r="V1623" s="16"/>
      <c r="W1623" s="16"/>
      <c r="X1623" s="32"/>
      <c r="Y1623" s="250"/>
    </row>
    <row r="1624">
      <c r="A1624" s="32"/>
      <c r="B1624" s="32"/>
      <c r="C1624" s="257"/>
      <c r="D1624" s="265"/>
      <c r="E1624" s="265"/>
      <c r="F1624" s="257"/>
      <c r="G1624" s="265"/>
      <c r="H1624" s="256"/>
      <c r="I1624" s="257"/>
      <c r="J1624" s="32"/>
      <c r="K1624" s="32"/>
      <c r="L1624" s="32"/>
      <c r="M1624" s="32"/>
      <c r="N1624" s="257"/>
      <c r="O1624" s="32"/>
      <c r="P1624" s="32"/>
      <c r="Q1624" s="32"/>
      <c r="R1624" s="32"/>
      <c r="S1624" s="32"/>
      <c r="T1624" s="264"/>
      <c r="U1624" s="16"/>
      <c r="V1624" s="16"/>
      <c r="W1624" s="16"/>
      <c r="X1624" s="32"/>
      <c r="Y1624" s="250"/>
    </row>
    <row r="1625">
      <c r="A1625" s="32"/>
      <c r="B1625" s="32"/>
      <c r="C1625" s="257"/>
      <c r="D1625" s="265"/>
      <c r="E1625" s="265"/>
      <c r="F1625" s="257"/>
      <c r="G1625" s="265"/>
      <c r="H1625" s="256"/>
      <c r="I1625" s="257"/>
      <c r="J1625" s="32"/>
      <c r="K1625" s="32"/>
      <c r="L1625" s="32"/>
      <c r="M1625" s="32"/>
      <c r="N1625" s="257"/>
      <c r="O1625" s="32"/>
      <c r="P1625" s="32"/>
      <c r="Q1625" s="32"/>
      <c r="R1625" s="32"/>
      <c r="S1625" s="32"/>
      <c r="T1625" s="264"/>
      <c r="U1625" s="16"/>
      <c r="V1625" s="16"/>
      <c r="W1625" s="16"/>
      <c r="X1625" s="32"/>
      <c r="Y1625" s="250"/>
    </row>
    <row r="1626">
      <c r="A1626" s="32"/>
      <c r="B1626" s="32"/>
      <c r="C1626" s="257"/>
      <c r="D1626" s="265"/>
      <c r="E1626" s="265"/>
      <c r="F1626" s="257"/>
      <c r="G1626" s="265"/>
      <c r="H1626" s="256"/>
      <c r="I1626" s="257"/>
      <c r="J1626" s="32"/>
      <c r="K1626" s="32"/>
      <c r="L1626" s="32"/>
      <c r="M1626" s="32"/>
      <c r="N1626" s="257"/>
      <c r="O1626" s="32"/>
      <c r="P1626" s="32"/>
      <c r="Q1626" s="32"/>
      <c r="R1626" s="32"/>
      <c r="S1626" s="32"/>
      <c r="T1626" s="264"/>
      <c r="U1626" s="16"/>
      <c r="V1626" s="16"/>
      <c r="W1626" s="16"/>
      <c r="X1626" s="32"/>
      <c r="Y1626" s="250"/>
    </row>
    <row r="1627">
      <c r="A1627" s="32"/>
      <c r="B1627" s="32"/>
      <c r="C1627" s="257"/>
      <c r="D1627" s="265"/>
      <c r="E1627" s="265"/>
      <c r="F1627" s="257"/>
      <c r="G1627" s="265"/>
      <c r="H1627" s="256"/>
      <c r="I1627" s="257"/>
      <c r="J1627" s="32"/>
      <c r="K1627" s="32"/>
      <c r="L1627" s="32"/>
      <c r="M1627" s="32"/>
      <c r="N1627" s="257"/>
      <c r="O1627" s="32"/>
      <c r="P1627" s="32"/>
      <c r="Q1627" s="32"/>
      <c r="R1627" s="32"/>
      <c r="S1627" s="32"/>
      <c r="T1627" s="264"/>
      <c r="U1627" s="16"/>
      <c r="V1627" s="16"/>
      <c r="W1627" s="16"/>
      <c r="X1627" s="32"/>
      <c r="Y1627" s="250"/>
    </row>
    <row r="1628">
      <c r="A1628" s="32"/>
      <c r="B1628" s="32"/>
      <c r="C1628" s="257"/>
      <c r="D1628" s="265"/>
      <c r="E1628" s="265"/>
      <c r="F1628" s="257"/>
      <c r="G1628" s="265"/>
      <c r="H1628" s="256"/>
      <c r="I1628" s="257"/>
      <c r="J1628" s="32"/>
      <c r="K1628" s="32"/>
      <c r="L1628" s="32"/>
      <c r="M1628" s="32"/>
      <c r="N1628" s="257"/>
      <c r="O1628" s="32"/>
      <c r="P1628" s="32"/>
      <c r="Q1628" s="32"/>
      <c r="R1628" s="32"/>
      <c r="S1628" s="32"/>
      <c r="T1628" s="264"/>
      <c r="U1628" s="16"/>
      <c r="V1628" s="16"/>
      <c r="W1628" s="16"/>
      <c r="X1628" s="32"/>
      <c r="Y1628" s="250"/>
    </row>
    <row r="1629">
      <c r="A1629" s="32"/>
      <c r="B1629" s="32"/>
      <c r="C1629" s="257"/>
      <c r="D1629" s="265"/>
      <c r="E1629" s="265"/>
      <c r="F1629" s="257"/>
      <c r="G1629" s="265"/>
      <c r="H1629" s="256"/>
      <c r="I1629" s="257"/>
      <c r="J1629" s="32"/>
      <c r="K1629" s="32"/>
      <c r="L1629" s="32"/>
      <c r="M1629" s="32"/>
      <c r="N1629" s="257"/>
      <c r="O1629" s="32"/>
      <c r="P1629" s="32"/>
      <c r="Q1629" s="32"/>
      <c r="R1629" s="32"/>
      <c r="S1629" s="32"/>
      <c r="T1629" s="264"/>
      <c r="U1629" s="16"/>
      <c r="V1629" s="16"/>
      <c r="W1629" s="16"/>
      <c r="X1629" s="32"/>
      <c r="Y1629" s="250"/>
    </row>
    <row r="1630">
      <c r="A1630" s="32"/>
      <c r="B1630" s="32"/>
      <c r="C1630" s="257"/>
      <c r="D1630" s="265"/>
      <c r="E1630" s="265"/>
      <c r="F1630" s="257"/>
      <c r="G1630" s="265"/>
      <c r="H1630" s="256"/>
      <c r="I1630" s="257"/>
      <c r="J1630" s="32"/>
      <c r="K1630" s="32"/>
      <c r="L1630" s="32"/>
      <c r="M1630" s="32"/>
      <c r="N1630" s="257"/>
      <c r="O1630" s="32"/>
      <c r="P1630" s="32"/>
      <c r="Q1630" s="32"/>
      <c r="R1630" s="32"/>
      <c r="S1630" s="32"/>
      <c r="T1630" s="264"/>
      <c r="U1630" s="16"/>
      <c r="V1630" s="16"/>
      <c r="W1630" s="16"/>
      <c r="X1630" s="32"/>
      <c r="Y1630" s="250"/>
    </row>
    <row r="1631">
      <c r="A1631" s="32"/>
      <c r="B1631" s="32"/>
      <c r="C1631" s="257"/>
      <c r="D1631" s="265"/>
      <c r="E1631" s="265"/>
      <c r="F1631" s="257"/>
      <c r="G1631" s="265"/>
      <c r="H1631" s="256"/>
      <c r="I1631" s="257"/>
      <c r="J1631" s="32"/>
      <c r="K1631" s="32"/>
      <c r="L1631" s="32"/>
      <c r="M1631" s="32"/>
      <c r="N1631" s="257"/>
      <c r="O1631" s="32"/>
      <c r="P1631" s="32"/>
      <c r="Q1631" s="32"/>
      <c r="R1631" s="32"/>
      <c r="S1631" s="32"/>
      <c r="T1631" s="264"/>
      <c r="U1631" s="16"/>
      <c r="V1631" s="16"/>
      <c r="W1631" s="16"/>
      <c r="X1631" s="32"/>
      <c r="Y1631" s="250"/>
    </row>
    <row r="1632">
      <c r="A1632" s="32"/>
      <c r="B1632" s="32"/>
      <c r="C1632" s="257"/>
      <c r="D1632" s="265"/>
      <c r="E1632" s="265"/>
      <c r="F1632" s="257"/>
      <c r="G1632" s="265"/>
      <c r="H1632" s="256"/>
      <c r="I1632" s="257"/>
      <c r="J1632" s="32"/>
      <c r="K1632" s="32"/>
      <c r="L1632" s="32"/>
      <c r="M1632" s="32"/>
      <c r="N1632" s="257"/>
      <c r="O1632" s="32"/>
      <c r="P1632" s="32"/>
      <c r="Q1632" s="32"/>
      <c r="R1632" s="32"/>
      <c r="S1632" s="32"/>
      <c r="T1632" s="264"/>
      <c r="U1632" s="16"/>
      <c r="V1632" s="16"/>
      <c r="W1632" s="16"/>
      <c r="X1632" s="32"/>
      <c r="Y1632" s="250"/>
    </row>
    <row r="1633">
      <c r="A1633" s="32"/>
      <c r="B1633" s="32"/>
      <c r="C1633" s="257"/>
      <c r="D1633" s="265"/>
      <c r="E1633" s="265"/>
      <c r="F1633" s="257"/>
      <c r="G1633" s="265"/>
      <c r="H1633" s="256"/>
      <c r="I1633" s="257"/>
      <c r="J1633" s="32"/>
      <c r="K1633" s="32"/>
      <c r="L1633" s="32"/>
      <c r="M1633" s="32"/>
      <c r="N1633" s="257"/>
      <c r="O1633" s="32"/>
      <c r="P1633" s="32"/>
      <c r="Q1633" s="32"/>
      <c r="R1633" s="32"/>
      <c r="S1633" s="32"/>
      <c r="T1633" s="264"/>
      <c r="U1633" s="16"/>
      <c r="V1633" s="16"/>
      <c r="W1633" s="16"/>
      <c r="X1633" s="32"/>
      <c r="Y1633" s="250"/>
    </row>
    <row r="1634">
      <c r="A1634" s="32"/>
      <c r="B1634" s="32"/>
      <c r="C1634" s="257"/>
      <c r="D1634" s="265"/>
      <c r="E1634" s="265"/>
      <c r="F1634" s="257"/>
      <c r="G1634" s="265"/>
      <c r="H1634" s="256"/>
      <c r="I1634" s="257"/>
      <c r="J1634" s="32"/>
      <c r="K1634" s="32"/>
      <c r="L1634" s="32"/>
      <c r="M1634" s="32"/>
      <c r="N1634" s="257"/>
      <c r="O1634" s="32"/>
      <c r="P1634" s="32"/>
      <c r="Q1634" s="32"/>
      <c r="R1634" s="32"/>
      <c r="S1634" s="32"/>
      <c r="T1634" s="264"/>
      <c r="U1634" s="16"/>
      <c r="V1634" s="16"/>
      <c r="W1634" s="16"/>
      <c r="X1634" s="32"/>
      <c r="Y1634" s="250"/>
    </row>
    <row r="1635">
      <c r="A1635" s="32"/>
      <c r="B1635" s="32"/>
      <c r="C1635" s="257"/>
      <c r="D1635" s="265"/>
      <c r="E1635" s="265"/>
      <c r="F1635" s="257"/>
      <c r="G1635" s="265"/>
      <c r="H1635" s="256"/>
      <c r="I1635" s="257"/>
      <c r="J1635" s="32"/>
      <c r="K1635" s="32"/>
      <c r="L1635" s="32"/>
      <c r="M1635" s="32"/>
      <c r="N1635" s="257"/>
      <c r="O1635" s="32"/>
      <c r="P1635" s="32"/>
      <c r="Q1635" s="32"/>
      <c r="R1635" s="32"/>
      <c r="S1635" s="32"/>
      <c r="T1635" s="264"/>
      <c r="U1635" s="16"/>
      <c r="V1635" s="16"/>
      <c r="W1635" s="16"/>
      <c r="X1635" s="32"/>
      <c r="Y1635" s="250"/>
    </row>
    <row r="1636">
      <c r="A1636" s="32"/>
      <c r="B1636" s="32"/>
      <c r="C1636" s="257"/>
      <c r="D1636" s="265"/>
      <c r="E1636" s="265"/>
      <c r="F1636" s="257"/>
      <c r="G1636" s="265"/>
      <c r="H1636" s="256"/>
      <c r="I1636" s="257"/>
      <c r="J1636" s="32"/>
      <c r="K1636" s="32"/>
      <c r="L1636" s="32"/>
      <c r="M1636" s="32"/>
      <c r="N1636" s="257"/>
      <c r="O1636" s="32"/>
      <c r="P1636" s="32"/>
      <c r="Q1636" s="32"/>
      <c r="R1636" s="32"/>
      <c r="S1636" s="32"/>
      <c r="T1636" s="264"/>
      <c r="U1636" s="16"/>
      <c r="V1636" s="16"/>
      <c r="W1636" s="16"/>
      <c r="X1636" s="32"/>
      <c r="Y1636" s="250"/>
    </row>
    <row r="1637">
      <c r="A1637" s="32"/>
      <c r="B1637" s="32"/>
      <c r="C1637" s="257"/>
      <c r="D1637" s="265"/>
      <c r="E1637" s="265"/>
      <c r="F1637" s="257"/>
      <c r="G1637" s="265"/>
      <c r="H1637" s="256"/>
      <c r="I1637" s="257"/>
      <c r="J1637" s="32"/>
      <c r="K1637" s="32"/>
      <c r="L1637" s="32"/>
      <c r="M1637" s="32"/>
      <c r="N1637" s="257"/>
      <c r="O1637" s="32"/>
      <c r="P1637" s="32"/>
      <c r="Q1637" s="32"/>
      <c r="R1637" s="32"/>
      <c r="S1637" s="32"/>
      <c r="T1637" s="264"/>
      <c r="U1637" s="16"/>
      <c r="V1637" s="16"/>
      <c r="W1637" s="16"/>
      <c r="X1637" s="32"/>
      <c r="Y1637" s="250"/>
    </row>
    <row r="1638">
      <c r="A1638" s="32"/>
      <c r="B1638" s="32"/>
      <c r="C1638" s="257"/>
      <c r="D1638" s="265"/>
      <c r="E1638" s="265"/>
      <c r="F1638" s="257"/>
      <c r="G1638" s="265"/>
      <c r="H1638" s="256"/>
      <c r="I1638" s="257"/>
      <c r="J1638" s="32"/>
      <c r="K1638" s="32"/>
      <c r="L1638" s="32"/>
      <c r="M1638" s="32"/>
      <c r="N1638" s="257"/>
      <c r="O1638" s="32"/>
      <c r="P1638" s="32"/>
      <c r="Q1638" s="32"/>
      <c r="R1638" s="32"/>
      <c r="S1638" s="32"/>
      <c r="T1638" s="264"/>
      <c r="U1638" s="16"/>
      <c r="V1638" s="16"/>
      <c r="W1638" s="16"/>
      <c r="X1638" s="32"/>
      <c r="Y1638" s="250"/>
    </row>
    <row r="1639">
      <c r="A1639" s="32"/>
      <c r="B1639" s="32"/>
      <c r="C1639" s="257"/>
      <c r="D1639" s="265"/>
      <c r="E1639" s="265"/>
      <c r="F1639" s="257"/>
      <c r="G1639" s="265"/>
      <c r="H1639" s="256"/>
      <c r="I1639" s="257"/>
      <c r="J1639" s="32"/>
      <c r="K1639" s="32"/>
      <c r="L1639" s="32"/>
      <c r="M1639" s="32"/>
      <c r="N1639" s="257"/>
      <c r="O1639" s="32"/>
      <c r="P1639" s="32"/>
      <c r="Q1639" s="32"/>
      <c r="R1639" s="32"/>
      <c r="S1639" s="32"/>
      <c r="T1639" s="264"/>
      <c r="U1639" s="16"/>
      <c r="V1639" s="16"/>
      <c r="W1639" s="16"/>
      <c r="X1639" s="32"/>
      <c r="Y1639" s="250"/>
    </row>
    <row r="1640">
      <c r="A1640" s="32"/>
      <c r="B1640" s="32"/>
      <c r="C1640" s="257"/>
      <c r="D1640" s="265"/>
      <c r="E1640" s="265"/>
      <c r="F1640" s="257"/>
      <c r="G1640" s="265"/>
      <c r="H1640" s="256"/>
      <c r="I1640" s="257"/>
      <c r="J1640" s="32"/>
      <c r="K1640" s="32"/>
      <c r="L1640" s="32"/>
      <c r="M1640" s="32"/>
      <c r="N1640" s="257"/>
      <c r="O1640" s="32"/>
      <c r="P1640" s="32"/>
      <c r="Q1640" s="32"/>
      <c r="R1640" s="32"/>
      <c r="S1640" s="32"/>
      <c r="T1640" s="264"/>
      <c r="U1640" s="16"/>
      <c r="V1640" s="16"/>
      <c r="W1640" s="16"/>
      <c r="X1640" s="32"/>
      <c r="Y1640" s="250"/>
    </row>
    <row r="1641">
      <c r="A1641" s="32"/>
      <c r="B1641" s="32"/>
      <c r="C1641" s="257"/>
      <c r="D1641" s="265"/>
      <c r="E1641" s="265"/>
      <c r="F1641" s="257"/>
      <c r="G1641" s="265"/>
      <c r="H1641" s="256"/>
      <c r="I1641" s="257"/>
      <c r="J1641" s="32"/>
      <c r="K1641" s="32"/>
      <c r="L1641" s="32"/>
      <c r="M1641" s="32"/>
      <c r="N1641" s="257"/>
      <c r="O1641" s="32"/>
      <c r="P1641" s="32"/>
      <c r="Q1641" s="32"/>
      <c r="R1641" s="32"/>
      <c r="S1641" s="32"/>
      <c r="T1641" s="264"/>
      <c r="U1641" s="16"/>
      <c r="V1641" s="16"/>
      <c r="W1641" s="16"/>
      <c r="X1641" s="32"/>
      <c r="Y1641" s="250"/>
    </row>
    <row r="1642">
      <c r="A1642" s="32"/>
      <c r="B1642" s="32"/>
      <c r="C1642" s="257"/>
      <c r="D1642" s="265"/>
      <c r="E1642" s="265"/>
      <c r="F1642" s="257"/>
      <c r="G1642" s="265"/>
      <c r="H1642" s="256"/>
      <c r="I1642" s="257"/>
      <c r="J1642" s="32"/>
      <c r="K1642" s="32"/>
      <c r="L1642" s="32"/>
      <c r="M1642" s="32"/>
      <c r="N1642" s="257"/>
      <c r="O1642" s="32"/>
      <c r="P1642" s="32"/>
      <c r="Q1642" s="32"/>
      <c r="R1642" s="32"/>
      <c r="S1642" s="32"/>
      <c r="T1642" s="264"/>
      <c r="U1642" s="16"/>
      <c r="V1642" s="16"/>
      <c r="W1642" s="16"/>
      <c r="X1642" s="32"/>
      <c r="Y1642" s="250"/>
    </row>
    <row r="1643">
      <c r="A1643" s="32"/>
      <c r="B1643" s="32"/>
      <c r="C1643" s="257"/>
      <c r="D1643" s="265"/>
      <c r="E1643" s="265"/>
      <c r="F1643" s="257"/>
      <c r="G1643" s="265"/>
      <c r="H1643" s="256"/>
      <c r="I1643" s="257"/>
      <c r="J1643" s="32"/>
      <c r="K1643" s="32"/>
      <c r="L1643" s="32"/>
      <c r="M1643" s="32"/>
      <c r="N1643" s="257"/>
      <c r="O1643" s="32"/>
      <c r="P1643" s="32"/>
      <c r="Q1643" s="32"/>
      <c r="R1643" s="32"/>
      <c r="S1643" s="32"/>
      <c r="T1643" s="264"/>
      <c r="U1643" s="16"/>
      <c r="V1643" s="16"/>
      <c r="W1643" s="16"/>
      <c r="X1643" s="32"/>
      <c r="Y1643" s="250"/>
    </row>
    <row r="1644">
      <c r="A1644" s="32"/>
      <c r="B1644" s="32"/>
      <c r="C1644" s="257"/>
      <c r="D1644" s="265"/>
      <c r="E1644" s="265"/>
      <c r="F1644" s="257"/>
      <c r="G1644" s="265"/>
      <c r="H1644" s="256"/>
      <c r="I1644" s="257"/>
      <c r="J1644" s="32"/>
      <c r="K1644" s="32"/>
      <c r="L1644" s="32"/>
      <c r="M1644" s="32"/>
      <c r="N1644" s="257"/>
      <c r="O1644" s="32"/>
      <c r="P1644" s="32"/>
      <c r="Q1644" s="32"/>
      <c r="R1644" s="32"/>
      <c r="S1644" s="32"/>
      <c r="T1644" s="264"/>
      <c r="U1644" s="16"/>
      <c r="V1644" s="16"/>
      <c r="W1644" s="16"/>
      <c r="X1644" s="32"/>
      <c r="Y1644" s="250"/>
    </row>
    <row r="1645">
      <c r="A1645" s="32"/>
      <c r="B1645" s="32"/>
      <c r="C1645" s="257"/>
      <c r="D1645" s="265"/>
      <c r="E1645" s="265"/>
      <c r="F1645" s="257"/>
      <c r="G1645" s="265"/>
      <c r="H1645" s="256"/>
      <c r="I1645" s="257"/>
      <c r="J1645" s="32"/>
      <c r="K1645" s="32"/>
      <c r="L1645" s="32"/>
      <c r="M1645" s="32"/>
      <c r="N1645" s="257"/>
      <c r="O1645" s="32"/>
      <c r="P1645" s="32"/>
      <c r="Q1645" s="32"/>
      <c r="R1645" s="32"/>
      <c r="S1645" s="32"/>
      <c r="T1645" s="264"/>
      <c r="U1645" s="16"/>
      <c r="V1645" s="16"/>
      <c r="W1645" s="16"/>
      <c r="X1645" s="32"/>
      <c r="Y1645" s="250"/>
    </row>
    <row r="1646">
      <c r="A1646" s="32"/>
      <c r="B1646" s="32"/>
      <c r="C1646" s="257"/>
      <c r="D1646" s="265"/>
      <c r="E1646" s="265"/>
      <c r="F1646" s="257"/>
      <c r="G1646" s="265"/>
      <c r="H1646" s="256"/>
      <c r="I1646" s="257"/>
      <c r="J1646" s="32"/>
      <c r="K1646" s="32"/>
      <c r="L1646" s="32"/>
      <c r="M1646" s="32"/>
      <c r="N1646" s="257"/>
      <c r="O1646" s="32"/>
      <c r="P1646" s="32"/>
      <c r="Q1646" s="32"/>
      <c r="R1646" s="32"/>
      <c r="S1646" s="32"/>
      <c r="T1646" s="264"/>
      <c r="U1646" s="16"/>
      <c r="V1646" s="16"/>
      <c r="W1646" s="16"/>
      <c r="X1646" s="32"/>
      <c r="Y1646" s="250"/>
    </row>
    <row r="1647">
      <c r="A1647" s="32"/>
      <c r="B1647" s="32"/>
      <c r="C1647" s="257"/>
      <c r="D1647" s="265"/>
      <c r="E1647" s="265"/>
      <c r="F1647" s="257"/>
      <c r="G1647" s="265"/>
      <c r="H1647" s="256"/>
      <c r="I1647" s="257"/>
      <c r="J1647" s="32"/>
      <c r="K1647" s="32"/>
      <c r="L1647" s="32"/>
      <c r="M1647" s="32"/>
      <c r="N1647" s="257"/>
      <c r="O1647" s="32"/>
      <c r="P1647" s="32"/>
      <c r="Q1647" s="32"/>
      <c r="R1647" s="32"/>
      <c r="S1647" s="32"/>
      <c r="T1647" s="264"/>
      <c r="U1647" s="16"/>
      <c r="V1647" s="16"/>
      <c r="W1647" s="16"/>
      <c r="X1647" s="32"/>
      <c r="Y1647" s="250"/>
    </row>
    <row r="1648">
      <c r="A1648" s="32"/>
      <c r="B1648" s="32"/>
      <c r="C1648" s="257"/>
      <c r="D1648" s="265"/>
      <c r="E1648" s="265"/>
      <c r="F1648" s="257"/>
      <c r="G1648" s="265"/>
      <c r="H1648" s="256"/>
      <c r="I1648" s="257"/>
      <c r="J1648" s="32"/>
      <c r="K1648" s="32"/>
      <c r="L1648" s="32"/>
      <c r="M1648" s="32"/>
      <c r="N1648" s="257"/>
      <c r="O1648" s="32"/>
      <c r="P1648" s="32"/>
      <c r="Q1648" s="32"/>
      <c r="R1648" s="32"/>
      <c r="S1648" s="32"/>
      <c r="T1648" s="264"/>
      <c r="U1648" s="16"/>
      <c r="V1648" s="16"/>
      <c r="W1648" s="16"/>
      <c r="X1648" s="32"/>
      <c r="Y1648" s="250"/>
    </row>
    <row r="1649">
      <c r="A1649" s="32"/>
      <c r="B1649" s="32"/>
      <c r="C1649" s="257"/>
      <c r="D1649" s="265"/>
      <c r="E1649" s="265"/>
      <c r="F1649" s="257"/>
      <c r="G1649" s="265"/>
      <c r="H1649" s="256"/>
      <c r="I1649" s="257"/>
      <c r="J1649" s="32"/>
      <c r="K1649" s="32"/>
      <c r="L1649" s="32"/>
      <c r="M1649" s="32"/>
      <c r="N1649" s="257"/>
      <c r="O1649" s="32"/>
      <c r="P1649" s="32"/>
      <c r="Q1649" s="32"/>
      <c r="R1649" s="32"/>
      <c r="S1649" s="32"/>
      <c r="T1649" s="264"/>
      <c r="U1649" s="16"/>
      <c r="V1649" s="16"/>
      <c r="W1649" s="16"/>
      <c r="X1649" s="32"/>
      <c r="Y1649" s="250"/>
    </row>
    <row r="1650">
      <c r="A1650" s="32"/>
      <c r="B1650" s="32"/>
      <c r="C1650" s="257"/>
      <c r="D1650" s="265"/>
      <c r="E1650" s="265"/>
      <c r="F1650" s="257"/>
      <c r="G1650" s="265"/>
      <c r="H1650" s="256"/>
      <c r="I1650" s="257"/>
      <c r="J1650" s="32"/>
      <c r="K1650" s="32"/>
      <c r="L1650" s="32"/>
      <c r="M1650" s="32"/>
      <c r="N1650" s="257"/>
      <c r="O1650" s="32"/>
      <c r="P1650" s="32"/>
      <c r="Q1650" s="32"/>
      <c r="R1650" s="32"/>
      <c r="S1650" s="32"/>
      <c r="T1650" s="264"/>
      <c r="U1650" s="16"/>
      <c r="V1650" s="16"/>
      <c r="W1650" s="16"/>
      <c r="X1650" s="32"/>
      <c r="Y1650" s="250"/>
    </row>
    <row r="1651">
      <c r="A1651" s="32"/>
      <c r="B1651" s="32"/>
      <c r="C1651" s="257"/>
      <c r="D1651" s="265"/>
      <c r="E1651" s="265"/>
      <c r="F1651" s="257"/>
      <c r="G1651" s="265"/>
      <c r="H1651" s="256"/>
      <c r="I1651" s="257"/>
      <c r="J1651" s="32"/>
      <c r="K1651" s="32"/>
      <c r="L1651" s="32"/>
      <c r="M1651" s="32"/>
      <c r="N1651" s="257"/>
      <c r="O1651" s="32"/>
      <c r="P1651" s="32"/>
      <c r="Q1651" s="32"/>
      <c r="R1651" s="32"/>
      <c r="S1651" s="32"/>
      <c r="T1651" s="264"/>
      <c r="U1651" s="16"/>
      <c r="V1651" s="16"/>
      <c r="W1651" s="16"/>
      <c r="X1651" s="32"/>
      <c r="Y1651" s="250"/>
    </row>
    <row r="1652">
      <c r="A1652" s="32"/>
      <c r="B1652" s="32"/>
      <c r="C1652" s="257"/>
      <c r="D1652" s="265"/>
      <c r="E1652" s="265"/>
      <c r="F1652" s="257"/>
      <c r="G1652" s="265"/>
      <c r="H1652" s="256"/>
      <c r="I1652" s="257"/>
      <c r="J1652" s="32"/>
      <c r="K1652" s="32"/>
      <c r="L1652" s="32"/>
      <c r="M1652" s="32"/>
      <c r="N1652" s="257"/>
      <c r="O1652" s="32"/>
      <c r="P1652" s="32"/>
      <c r="Q1652" s="32"/>
      <c r="R1652" s="32"/>
      <c r="S1652" s="32"/>
      <c r="T1652" s="264"/>
      <c r="U1652" s="16"/>
      <c r="V1652" s="16"/>
      <c r="W1652" s="16"/>
      <c r="X1652" s="32"/>
      <c r="Y1652" s="250"/>
    </row>
    <row r="1653">
      <c r="A1653" s="32"/>
      <c r="B1653" s="32"/>
      <c r="C1653" s="257"/>
      <c r="D1653" s="265"/>
      <c r="E1653" s="265"/>
      <c r="F1653" s="257"/>
      <c r="G1653" s="265"/>
      <c r="H1653" s="256"/>
      <c r="I1653" s="257"/>
      <c r="J1653" s="32"/>
      <c r="K1653" s="32"/>
      <c r="L1653" s="32"/>
      <c r="M1653" s="32"/>
      <c r="N1653" s="257"/>
      <c r="O1653" s="32"/>
      <c r="P1653" s="32"/>
      <c r="Q1653" s="32"/>
      <c r="R1653" s="32"/>
      <c r="S1653" s="32"/>
      <c r="T1653" s="264"/>
      <c r="U1653" s="16"/>
      <c r="V1653" s="16"/>
      <c r="W1653" s="16"/>
      <c r="X1653" s="32"/>
      <c r="Y1653" s="250"/>
    </row>
    <row r="1654">
      <c r="A1654" s="32"/>
      <c r="B1654" s="32"/>
      <c r="C1654" s="257"/>
      <c r="D1654" s="265"/>
      <c r="E1654" s="265"/>
      <c r="F1654" s="257"/>
      <c r="G1654" s="265"/>
      <c r="H1654" s="256"/>
      <c r="I1654" s="257"/>
      <c r="J1654" s="32"/>
      <c r="K1654" s="32"/>
      <c r="L1654" s="32"/>
      <c r="M1654" s="32"/>
      <c r="N1654" s="257"/>
      <c r="O1654" s="32"/>
      <c r="P1654" s="32"/>
      <c r="Q1654" s="32"/>
      <c r="R1654" s="32"/>
      <c r="S1654" s="32"/>
      <c r="T1654" s="264"/>
      <c r="U1654" s="16"/>
      <c r="V1654" s="16"/>
      <c r="W1654" s="16"/>
      <c r="X1654" s="32"/>
      <c r="Y1654" s="250"/>
    </row>
    <row r="1655">
      <c r="A1655" s="32"/>
      <c r="B1655" s="32"/>
      <c r="C1655" s="257"/>
      <c r="D1655" s="265"/>
      <c r="E1655" s="265"/>
      <c r="F1655" s="257"/>
      <c r="G1655" s="265"/>
      <c r="H1655" s="256"/>
      <c r="I1655" s="257"/>
      <c r="J1655" s="32"/>
      <c r="K1655" s="32"/>
      <c r="L1655" s="32"/>
      <c r="M1655" s="32"/>
      <c r="N1655" s="257"/>
      <c r="O1655" s="32"/>
      <c r="P1655" s="32"/>
      <c r="Q1655" s="32"/>
      <c r="R1655" s="32"/>
      <c r="S1655" s="32"/>
      <c r="T1655" s="264"/>
      <c r="U1655" s="16"/>
      <c r="V1655" s="16"/>
      <c r="W1655" s="16"/>
      <c r="X1655" s="32"/>
      <c r="Y1655" s="250"/>
    </row>
    <row r="1656">
      <c r="A1656" s="32"/>
      <c r="B1656" s="32"/>
      <c r="C1656" s="257"/>
      <c r="D1656" s="265"/>
      <c r="E1656" s="265"/>
      <c r="F1656" s="257"/>
      <c r="G1656" s="265"/>
      <c r="H1656" s="256"/>
      <c r="I1656" s="257"/>
      <c r="J1656" s="32"/>
      <c r="K1656" s="32"/>
      <c r="L1656" s="32"/>
      <c r="M1656" s="32"/>
      <c r="N1656" s="257"/>
      <c r="O1656" s="32"/>
      <c r="P1656" s="32"/>
      <c r="Q1656" s="32"/>
      <c r="R1656" s="32"/>
      <c r="S1656" s="32"/>
      <c r="T1656" s="264"/>
      <c r="U1656" s="16"/>
      <c r="V1656" s="16"/>
      <c r="W1656" s="16"/>
      <c r="X1656" s="32"/>
      <c r="Y1656" s="250"/>
    </row>
    <row r="1657">
      <c r="A1657" s="32"/>
      <c r="B1657" s="32"/>
      <c r="C1657" s="257"/>
      <c r="D1657" s="265"/>
      <c r="E1657" s="265"/>
      <c r="F1657" s="257"/>
      <c r="G1657" s="265"/>
      <c r="H1657" s="256"/>
      <c r="I1657" s="257"/>
      <c r="J1657" s="32"/>
      <c r="K1657" s="32"/>
      <c r="L1657" s="32"/>
      <c r="M1657" s="32"/>
      <c r="N1657" s="257"/>
      <c r="O1657" s="32"/>
      <c r="P1657" s="32"/>
      <c r="Q1657" s="32"/>
      <c r="R1657" s="32"/>
      <c r="S1657" s="32"/>
      <c r="T1657" s="264"/>
      <c r="U1657" s="16"/>
      <c r="V1657" s="16"/>
      <c r="W1657" s="16"/>
      <c r="X1657" s="32"/>
      <c r="Y1657" s="250"/>
    </row>
    <row r="1658">
      <c r="A1658" s="32"/>
      <c r="B1658" s="32"/>
      <c r="C1658" s="257"/>
      <c r="D1658" s="265"/>
      <c r="E1658" s="265"/>
      <c r="F1658" s="257"/>
      <c r="G1658" s="265"/>
      <c r="H1658" s="256"/>
      <c r="I1658" s="257"/>
      <c r="J1658" s="32"/>
      <c r="K1658" s="32"/>
      <c r="L1658" s="32"/>
      <c r="M1658" s="32"/>
      <c r="N1658" s="257"/>
      <c r="O1658" s="32"/>
      <c r="P1658" s="32"/>
      <c r="Q1658" s="32"/>
      <c r="R1658" s="32"/>
      <c r="S1658" s="32"/>
      <c r="T1658" s="264"/>
      <c r="U1658" s="16"/>
      <c r="V1658" s="16"/>
      <c r="W1658" s="16"/>
      <c r="X1658" s="32"/>
      <c r="Y1658" s="250"/>
    </row>
    <row r="1659">
      <c r="A1659" s="32"/>
      <c r="B1659" s="32"/>
      <c r="C1659" s="257"/>
      <c r="D1659" s="265"/>
      <c r="E1659" s="265"/>
      <c r="F1659" s="257"/>
      <c r="G1659" s="265"/>
      <c r="H1659" s="256"/>
      <c r="I1659" s="257"/>
      <c r="J1659" s="32"/>
      <c r="K1659" s="32"/>
      <c r="L1659" s="32"/>
      <c r="M1659" s="32"/>
      <c r="N1659" s="257"/>
      <c r="O1659" s="32"/>
      <c r="P1659" s="32"/>
      <c r="Q1659" s="32"/>
      <c r="R1659" s="32"/>
      <c r="S1659" s="32"/>
      <c r="T1659" s="264"/>
      <c r="U1659" s="16"/>
      <c r="V1659" s="16"/>
      <c r="W1659" s="16"/>
      <c r="X1659" s="32"/>
      <c r="Y1659" s="250"/>
    </row>
    <row r="1660">
      <c r="A1660" s="32"/>
      <c r="B1660" s="32"/>
      <c r="C1660" s="257"/>
      <c r="D1660" s="265"/>
      <c r="E1660" s="265"/>
      <c r="F1660" s="257"/>
      <c r="G1660" s="265"/>
      <c r="H1660" s="256"/>
      <c r="I1660" s="257"/>
      <c r="J1660" s="32"/>
      <c r="K1660" s="32"/>
      <c r="L1660" s="32"/>
      <c r="M1660" s="32"/>
      <c r="N1660" s="257"/>
      <c r="O1660" s="32"/>
      <c r="P1660" s="32"/>
      <c r="Q1660" s="32"/>
      <c r="R1660" s="32"/>
      <c r="S1660" s="32"/>
      <c r="T1660" s="264"/>
      <c r="U1660" s="16"/>
      <c r="V1660" s="16"/>
      <c r="W1660" s="16"/>
      <c r="X1660" s="32"/>
      <c r="Y1660" s="250"/>
    </row>
    <row r="1661">
      <c r="A1661" s="32"/>
      <c r="B1661" s="32"/>
      <c r="C1661" s="257"/>
      <c r="D1661" s="265"/>
      <c r="E1661" s="265"/>
      <c r="F1661" s="257"/>
      <c r="G1661" s="265"/>
      <c r="H1661" s="256"/>
      <c r="I1661" s="257"/>
      <c r="J1661" s="32"/>
      <c r="K1661" s="32"/>
      <c r="L1661" s="32"/>
      <c r="M1661" s="32"/>
      <c r="N1661" s="257"/>
      <c r="O1661" s="32"/>
      <c r="P1661" s="32"/>
      <c r="Q1661" s="32"/>
      <c r="R1661" s="32"/>
      <c r="S1661" s="32"/>
      <c r="T1661" s="264"/>
      <c r="U1661" s="16"/>
      <c r="V1661" s="16"/>
      <c r="W1661" s="16"/>
      <c r="X1661" s="32"/>
      <c r="Y1661" s="250"/>
    </row>
    <row r="1662">
      <c r="A1662" s="32"/>
      <c r="B1662" s="32"/>
      <c r="C1662" s="257"/>
      <c r="D1662" s="265"/>
      <c r="E1662" s="265"/>
      <c r="F1662" s="257"/>
      <c r="G1662" s="265"/>
      <c r="H1662" s="256"/>
      <c r="I1662" s="257"/>
      <c r="J1662" s="32"/>
      <c r="K1662" s="32"/>
      <c r="L1662" s="32"/>
      <c r="M1662" s="32"/>
      <c r="N1662" s="257"/>
      <c r="O1662" s="32"/>
      <c r="P1662" s="32"/>
      <c r="Q1662" s="32"/>
      <c r="R1662" s="32"/>
      <c r="S1662" s="32"/>
      <c r="T1662" s="264"/>
      <c r="U1662" s="16"/>
      <c r="V1662" s="16"/>
      <c r="W1662" s="16"/>
      <c r="X1662" s="32"/>
      <c r="Y1662" s="250"/>
    </row>
    <row r="1663">
      <c r="A1663" s="32"/>
      <c r="B1663" s="32"/>
      <c r="C1663" s="257"/>
      <c r="D1663" s="265"/>
      <c r="E1663" s="265"/>
      <c r="F1663" s="257"/>
      <c r="G1663" s="265"/>
      <c r="H1663" s="256"/>
      <c r="I1663" s="257"/>
      <c r="J1663" s="32"/>
      <c r="K1663" s="32"/>
      <c r="L1663" s="32"/>
      <c r="M1663" s="32"/>
      <c r="N1663" s="257"/>
      <c r="O1663" s="32"/>
      <c r="P1663" s="32"/>
      <c r="Q1663" s="32"/>
      <c r="R1663" s="32"/>
      <c r="S1663" s="32"/>
      <c r="T1663" s="264"/>
      <c r="U1663" s="16"/>
      <c r="V1663" s="16"/>
      <c r="W1663" s="16"/>
      <c r="X1663" s="32"/>
      <c r="Y1663" s="250"/>
    </row>
    <row r="1664">
      <c r="A1664" s="32"/>
      <c r="B1664" s="32"/>
      <c r="C1664" s="257"/>
      <c r="D1664" s="265"/>
      <c r="E1664" s="265"/>
      <c r="F1664" s="257"/>
      <c r="G1664" s="265"/>
      <c r="H1664" s="256"/>
      <c r="I1664" s="257"/>
      <c r="J1664" s="32"/>
      <c r="K1664" s="32"/>
      <c r="L1664" s="32"/>
      <c r="M1664" s="32"/>
      <c r="N1664" s="257"/>
      <c r="O1664" s="32"/>
      <c r="P1664" s="32"/>
      <c r="Q1664" s="32"/>
      <c r="R1664" s="32"/>
      <c r="S1664" s="32"/>
      <c r="T1664" s="264"/>
      <c r="U1664" s="16"/>
      <c r="V1664" s="16"/>
      <c r="W1664" s="16"/>
      <c r="X1664" s="32"/>
      <c r="Y1664" s="250"/>
    </row>
    <row r="1665">
      <c r="A1665" s="32"/>
      <c r="B1665" s="32"/>
      <c r="C1665" s="257"/>
      <c r="D1665" s="265"/>
      <c r="E1665" s="265"/>
      <c r="F1665" s="257"/>
      <c r="G1665" s="265"/>
      <c r="H1665" s="256"/>
      <c r="I1665" s="257"/>
      <c r="J1665" s="32"/>
      <c r="K1665" s="32"/>
      <c r="L1665" s="32"/>
      <c r="M1665" s="32"/>
      <c r="N1665" s="257"/>
      <c r="O1665" s="32"/>
      <c r="P1665" s="32"/>
      <c r="Q1665" s="32"/>
      <c r="R1665" s="32"/>
      <c r="S1665" s="32"/>
      <c r="T1665" s="264"/>
      <c r="U1665" s="16"/>
      <c r="V1665" s="16"/>
      <c r="W1665" s="16"/>
      <c r="X1665" s="32"/>
      <c r="Y1665" s="250"/>
    </row>
    <row r="1666">
      <c r="A1666" s="32"/>
      <c r="B1666" s="32"/>
      <c r="C1666" s="257"/>
      <c r="D1666" s="265"/>
      <c r="E1666" s="265"/>
      <c r="F1666" s="257"/>
      <c r="G1666" s="265"/>
      <c r="H1666" s="256"/>
      <c r="I1666" s="257"/>
      <c r="J1666" s="32"/>
      <c r="K1666" s="32"/>
      <c r="L1666" s="32"/>
      <c r="M1666" s="32"/>
      <c r="N1666" s="257"/>
      <c r="O1666" s="32"/>
      <c r="P1666" s="32"/>
      <c r="Q1666" s="32"/>
      <c r="R1666" s="32"/>
      <c r="S1666" s="32"/>
      <c r="T1666" s="264"/>
      <c r="U1666" s="16"/>
      <c r="V1666" s="16"/>
      <c r="W1666" s="16"/>
      <c r="X1666" s="32"/>
      <c r="Y1666" s="250"/>
    </row>
    <row r="1667">
      <c r="A1667" s="32"/>
      <c r="B1667" s="32"/>
      <c r="C1667" s="257"/>
      <c r="D1667" s="265"/>
      <c r="E1667" s="265"/>
      <c r="F1667" s="257"/>
      <c r="G1667" s="265"/>
      <c r="H1667" s="256"/>
      <c r="I1667" s="257"/>
      <c r="J1667" s="32"/>
      <c r="K1667" s="32"/>
      <c r="L1667" s="32"/>
      <c r="M1667" s="32"/>
      <c r="N1667" s="257"/>
      <c r="O1667" s="32"/>
      <c r="P1667" s="32"/>
      <c r="Q1667" s="32"/>
      <c r="R1667" s="32"/>
      <c r="S1667" s="32"/>
      <c r="T1667" s="264"/>
      <c r="U1667" s="16"/>
      <c r="V1667" s="16"/>
      <c r="W1667" s="16"/>
      <c r="X1667" s="32"/>
      <c r="Y1667" s="250"/>
    </row>
    <row r="1668">
      <c r="A1668" s="32"/>
      <c r="B1668" s="32"/>
      <c r="C1668" s="257"/>
      <c r="D1668" s="265"/>
      <c r="E1668" s="265"/>
      <c r="F1668" s="257"/>
      <c r="G1668" s="265"/>
      <c r="H1668" s="256"/>
      <c r="I1668" s="257"/>
      <c r="J1668" s="32"/>
      <c r="K1668" s="32"/>
      <c r="L1668" s="32"/>
      <c r="M1668" s="32"/>
      <c r="N1668" s="257"/>
      <c r="O1668" s="32"/>
      <c r="P1668" s="32"/>
      <c r="Q1668" s="32"/>
      <c r="R1668" s="32"/>
      <c r="S1668" s="32"/>
      <c r="T1668" s="264"/>
      <c r="U1668" s="16"/>
      <c r="V1668" s="16"/>
      <c r="W1668" s="16"/>
      <c r="X1668" s="32"/>
      <c r="Y1668" s="250"/>
    </row>
    <row r="1669">
      <c r="A1669" s="32"/>
      <c r="B1669" s="32"/>
      <c r="C1669" s="257"/>
      <c r="D1669" s="265"/>
      <c r="E1669" s="265"/>
      <c r="F1669" s="257"/>
      <c r="G1669" s="265"/>
      <c r="H1669" s="256"/>
      <c r="I1669" s="257"/>
      <c r="J1669" s="32"/>
      <c r="K1669" s="32"/>
      <c r="L1669" s="32"/>
      <c r="M1669" s="32"/>
      <c r="N1669" s="257"/>
      <c r="O1669" s="32"/>
      <c r="P1669" s="32"/>
      <c r="Q1669" s="32"/>
      <c r="R1669" s="32"/>
      <c r="S1669" s="32"/>
      <c r="T1669" s="264"/>
      <c r="U1669" s="16"/>
      <c r="V1669" s="16"/>
      <c r="W1669" s="16"/>
      <c r="X1669" s="32"/>
      <c r="Y1669" s="250"/>
    </row>
    <row r="1670">
      <c r="A1670" s="32"/>
      <c r="B1670" s="32"/>
      <c r="C1670" s="257"/>
      <c r="D1670" s="265"/>
      <c r="E1670" s="265"/>
      <c r="F1670" s="257"/>
      <c r="G1670" s="265"/>
      <c r="H1670" s="256"/>
      <c r="I1670" s="257"/>
      <c r="J1670" s="32"/>
      <c r="K1670" s="32"/>
      <c r="L1670" s="32"/>
      <c r="M1670" s="32"/>
      <c r="N1670" s="257"/>
      <c r="O1670" s="32"/>
      <c r="P1670" s="32"/>
      <c r="Q1670" s="32"/>
      <c r="R1670" s="32"/>
      <c r="S1670" s="32"/>
      <c r="T1670" s="264"/>
      <c r="U1670" s="16"/>
      <c r="V1670" s="16"/>
      <c r="W1670" s="16"/>
      <c r="X1670" s="32"/>
      <c r="Y1670" s="250"/>
    </row>
    <row r="1671">
      <c r="A1671" s="32"/>
      <c r="B1671" s="32"/>
      <c r="C1671" s="257"/>
      <c r="D1671" s="265"/>
      <c r="E1671" s="265"/>
      <c r="F1671" s="257"/>
      <c r="G1671" s="265"/>
      <c r="H1671" s="256"/>
      <c r="I1671" s="257"/>
      <c r="J1671" s="32"/>
      <c r="K1671" s="32"/>
      <c r="L1671" s="32"/>
      <c r="M1671" s="32"/>
      <c r="N1671" s="257"/>
      <c r="O1671" s="32"/>
      <c r="P1671" s="32"/>
      <c r="Q1671" s="32"/>
      <c r="R1671" s="32"/>
      <c r="S1671" s="32"/>
      <c r="T1671" s="264"/>
      <c r="U1671" s="16"/>
      <c r="V1671" s="16"/>
      <c r="W1671" s="16"/>
      <c r="X1671" s="32"/>
      <c r="Y1671" s="250"/>
    </row>
    <row r="1672">
      <c r="A1672" s="32"/>
      <c r="B1672" s="32"/>
      <c r="C1672" s="257"/>
      <c r="D1672" s="265"/>
      <c r="E1672" s="265"/>
      <c r="F1672" s="257"/>
      <c r="G1672" s="265"/>
      <c r="H1672" s="256"/>
      <c r="I1672" s="257"/>
      <c r="J1672" s="32"/>
      <c r="K1672" s="32"/>
      <c r="L1672" s="32"/>
      <c r="M1672" s="32"/>
      <c r="N1672" s="257"/>
      <c r="O1672" s="32"/>
      <c r="P1672" s="32"/>
      <c r="Q1672" s="32"/>
      <c r="R1672" s="32"/>
      <c r="S1672" s="32"/>
      <c r="T1672" s="264"/>
      <c r="U1672" s="16"/>
      <c r="V1672" s="16"/>
      <c r="W1672" s="16"/>
      <c r="X1672" s="32"/>
      <c r="Y1672" s="250"/>
    </row>
    <row r="1673">
      <c r="A1673" s="32"/>
      <c r="B1673" s="32"/>
      <c r="C1673" s="257"/>
      <c r="D1673" s="265"/>
      <c r="E1673" s="265"/>
      <c r="F1673" s="257"/>
      <c r="G1673" s="265"/>
      <c r="H1673" s="256"/>
      <c r="I1673" s="257"/>
      <c r="J1673" s="32"/>
      <c r="K1673" s="32"/>
      <c r="L1673" s="32"/>
      <c r="M1673" s="32"/>
      <c r="N1673" s="257"/>
      <c r="O1673" s="32"/>
      <c r="P1673" s="32"/>
      <c r="Q1673" s="32"/>
      <c r="R1673" s="32"/>
      <c r="S1673" s="32"/>
      <c r="T1673" s="264"/>
      <c r="U1673" s="16"/>
      <c r="V1673" s="16"/>
      <c r="W1673" s="16"/>
      <c r="X1673" s="32"/>
      <c r="Y1673" s="250"/>
    </row>
    <row r="1674">
      <c r="A1674" s="32"/>
      <c r="B1674" s="32"/>
      <c r="C1674" s="257"/>
      <c r="D1674" s="265"/>
      <c r="E1674" s="265"/>
      <c r="F1674" s="257"/>
      <c r="G1674" s="265"/>
      <c r="H1674" s="256"/>
      <c r="I1674" s="257"/>
      <c r="J1674" s="32"/>
      <c r="K1674" s="32"/>
      <c r="L1674" s="32"/>
      <c r="M1674" s="32"/>
      <c r="N1674" s="257"/>
      <c r="O1674" s="32"/>
      <c r="P1674" s="32"/>
      <c r="Q1674" s="32"/>
      <c r="R1674" s="32"/>
      <c r="S1674" s="32"/>
      <c r="T1674" s="264"/>
      <c r="U1674" s="16"/>
      <c r="V1674" s="16"/>
      <c r="W1674" s="16"/>
      <c r="X1674" s="32"/>
      <c r="Y1674" s="250"/>
    </row>
    <row r="1675">
      <c r="A1675" s="32"/>
      <c r="B1675" s="32"/>
      <c r="C1675" s="257"/>
      <c r="D1675" s="265"/>
      <c r="E1675" s="265"/>
      <c r="F1675" s="257"/>
      <c r="G1675" s="265"/>
      <c r="H1675" s="256"/>
      <c r="I1675" s="257"/>
      <c r="J1675" s="32"/>
      <c r="K1675" s="32"/>
      <c r="L1675" s="32"/>
      <c r="M1675" s="32"/>
      <c r="N1675" s="257"/>
      <c r="O1675" s="32"/>
      <c r="P1675" s="32"/>
      <c r="Q1675" s="32"/>
      <c r="R1675" s="32"/>
      <c r="S1675" s="32"/>
      <c r="T1675" s="264"/>
      <c r="U1675" s="16"/>
      <c r="V1675" s="16"/>
      <c r="W1675" s="16"/>
      <c r="X1675" s="32"/>
      <c r="Y1675" s="250"/>
    </row>
    <row r="1676">
      <c r="A1676" s="32"/>
      <c r="B1676" s="32"/>
      <c r="C1676" s="257"/>
      <c r="D1676" s="265"/>
      <c r="E1676" s="265"/>
      <c r="F1676" s="257"/>
      <c r="G1676" s="265"/>
      <c r="H1676" s="256"/>
      <c r="I1676" s="257"/>
      <c r="J1676" s="32"/>
      <c r="K1676" s="32"/>
      <c r="L1676" s="32"/>
      <c r="M1676" s="32"/>
      <c r="N1676" s="257"/>
      <c r="O1676" s="32"/>
      <c r="P1676" s="32"/>
      <c r="Q1676" s="32"/>
      <c r="R1676" s="32"/>
      <c r="S1676" s="32"/>
      <c r="T1676" s="264"/>
      <c r="U1676" s="16"/>
      <c r="V1676" s="16"/>
      <c r="W1676" s="16"/>
      <c r="X1676" s="32"/>
      <c r="Y1676" s="250"/>
    </row>
    <row r="1677">
      <c r="A1677" s="32"/>
      <c r="B1677" s="32"/>
      <c r="C1677" s="257"/>
      <c r="D1677" s="265"/>
      <c r="E1677" s="265"/>
      <c r="F1677" s="257"/>
      <c r="G1677" s="265"/>
      <c r="H1677" s="256"/>
      <c r="I1677" s="257"/>
      <c r="J1677" s="32"/>
      <c r="K1677" s="32"/>
      <c r="L1677" s="32"/>
      <c r="M1677" s="32"/>
      <c r="N1677" s="257"/>
      <c r="O1677" s="32"/>
      <c r="P1677" s="32"/>
      <c r="Q1677" s="32"/>
      <c r="R1677" s="32"/>
      <c r="S1677" s="32"/>
      <c r="T1677" s="264"/>
      <c r="U1677" s="16"/>
      <c r="V1677" s="16"/>
      <c r="W1677" s="16"/>
      <c r="X1677" s="32"/>
      <c r="Y1677" s="250"/>
    </row>
    <row r="1678">
      <c r="A1678" s="32"/>
      <c r="B1678" s="32"/>
      <c r="C1678" s="257"/>
      <c r="D1678" s="265"/>
      <c r="E1678" s="265"/>
      <c r="F1678" s="257"/>
      <c r="G1678" s="265"/>
      <c r="H1678" s="256"/>
      <c r="I1678" s="257"/>
      <c r="J1678" s="32"/>
      <c r="K1678" s="32"/>
      <c r="L1678" s="32"/>
      <c r="M1678" s="32"/>
      <c r="N1678" s="257"/>
      <c r="O1678" s="32"/>
      <c r="P1678" s="32"/>
      <c r="Q1678" s="32"/>
      <c r="R1678" s="32"/>
      <c r="S1678" s="32"/>
      <c r="T1678" s="264"/>
      <c r="U1678" s="16"/>
      <c r="V1678" s="16"/>
      <c r="W1678" s="16"/>
      <c r="X1678" s="32"/>
      <c r="Y1678" s="250"/>
    </row>
    <row r="1679">
      <c r="A1679" s="32"/>
      <c r="B1679" s="32"/>
      <c r="C1679" s="257"/>
      <c r="D1679" s="265"/>
      <c r="E1679" s="265"/>
      <c r="F1679" s="257"/>
      <c r="G1679" s="265"/>
      <c r="H1679" s="256"/>
      <c r="I1679" s="257"/>
      <c r="J1679" s="32"/>
      <c r="K1679" s="32"/>
      <c r="L1679" s="32"/>
      <c r="M1679" s="32"/>
      <c r="N1679" s="257"/>
      <c r="O1679" s="32"/>
      <c r="P1679" s="32"/>
      <c r="Q1679" s="32"/>
      <c r="R1679" s="32"/>
      <c r="S1679" s="32"/>
      <c r="T1679" s="264"/>
      <c r="U1679" s="16"/>
      <c r="V1679" s="16"/>
      <c r="W1679" s="16"/>
      <c r="X1679" s="32"/>
      <c r="Y1679" s="250"/>
    </row>
    <row r="1680">
      <c r="A1680" s="32"/>
      <c r="B1680" s="32"/>
      <c r="C1680" s="257"/>
      <c r="D1680" s="265"/>
      <c r="E1680" s="265"/>
      <c r="F1680" s="257"/>
      <c r="G1680" s="265"/>
      <c r="H1680" s="256"/>
      <c r="I1680" s="257"/>
      <c r="J1680" s="32"/>
      <c r="K1680" s="32"/>
      <c r="L1680" s="32"/>
      <c r="M1680" s="32"/>
      <c r="N1680" s="257"/>
      <c r="O1680" s="32"/>
      <c r="P1680" s="32"/>
      <c r="Q1680" s="32"/>
      <c r="R1680" s="32"/>
      <c r="S1680" s="32"/>
      <c r="T1680" s="264"/>
      <c r="U1680" s="16"/>
      <c r="V1680" s="16"/>
      <c r="W1680" s="16"/>
      <c r="X1680" s="32"/>
      <c r="Y1680" s="250"/>
    </row>
    <row r="1681">
      <c r="A1681" s="32"/>
      <c r="B1681" s="32"/>
      <c r="C1681" s="257"/>
      <c r="D1681" s="265"/>
      <c r="E1681" s="265"/>
      <c r="F1681" s="257"/>
      <c r="G1681" s="265"/>
      <c r="H1681" s="256"/>
      <c r="I1681" s="257"/>
      <c r="J1681" s="32"/>
      <c r="K1681" s="32"/>
      <c r="L1681" s="32"/>
      <c r="M1681" s="32"/>
      <c r="N1681" s="257"/>
      <c r="O1681" s="32"/>
      <c r="P1681" s="32"/>
      <c r="Q1681" s="32"/>
      <c r="R1681" s="32"/>
      <c r="S1681" s="32"/>
      <c r="T1681" s="264"/>
      <c r="U1681" s="16"/>
      <c r="V1681" s="16"/>
      <c r="W1681" s="16"/>
      <c r="X1681" s="32"/>
      <c r="Y1681" s="250"/>
    </row>
    <row r="1682">
      <c r="A1682" s="32"/>
      <c r="B1682" s="32"/>
      <c r="C1682" s="257"/>
      <c r="D1682" s="265"/>
      <c r="E1682" s="265"/>
      <c r="F1682" s="257"/>
      <c r="G1682" s="265"/>
      <c r="H1682" s="256"/>
      <c r="I1682" s="257"/>
      <c r="J1682" s="32"/>
      <c r="K1682" s="32"/>
      <c r="L1682" s="32"/>
      <c r="M1682" s="32"/>
      <c r="N1682" s="257"/>
      <c r="O1682" s="32"/>
      <c r="P1682" s="32"/>
      <c r="Q1682" s="32"/>
      <c r="R1682" s="32"/>
      <c r="S1682" s="32"/>
      <c r="T1682" s="264"/>
      <c r="U1682" s="16"/>
      <c r="V1682" s="16"/>
      <c r="W1682" s="16"/>
      <c r="X1682" s="32"/>
      <c r="Y1682" s="250"/>
    </row>
    <row r="1683">
      <c r="A1683" s="32"/>
      <c r="B1683" s="32"/>
      <c r="C1683" s="257"/>
      <c r="D1683" s="265"/>
      <c r="E1683" s="265"/>
      <c r="F1683" s="257"/>
      <c r="G1683" s="265"/>
      <c r="H1683" s="256"/>
      <c r="I1683" s="257"/>
      <c r="J1683" s="32"/>
      <c r="K1683" s="32"/>
      <c r="L1683" s="32"/>
      <c r="M1683" s="32"/>
      <c r="N1683" s="257"/>
      <c r="O1683" s="32"/>
      <c r="P1683" s="32"/>
      <c r="Q1683" s="32"/>
      <c r="R1683" s="32"/>
      <c r="S1683" s="32"/>
      <c r="T1683" s="264"/>
      <c r="U1683" s="16"/>
      <c r="V1683" s="16"/>
      <c r="W1683" s="16"/>
      <c r="X1683" s="32"/>
      <c r="Y1683" s="250"/>
    </row>
    <row r="1684">
      <c r="A1684" s="32"/>
      <c r="B1684" s="32"/>
      <c r="C1684" s="257"/>
      <c r="D1684" s="265"/>
      <c r="E1684" s="265"/>
      <c r="F1684" s="257"/>
      <c r="G1684" s="265"/>
      <c r="H1684" s="256"/>
      <c r="I1684" s="257"/>
      <c r="J1684" s="32"/>
      <c r="K1684" s="32"/>
      <c r="L1684" s="32"/>
      <c r="M1684" s="32"/>
      <c r="N1684" s="257"/>
      <c r="O1684" s="32"/>
      <c r="P1684" s="32"/>
      <c r="Q1684" s="32"/>
      <c r="R1684" s="32"/>
      <c r="S1684" s="32"/>
      <c r="T1684" s="264"/>
      <c r="U1684" s="16"/>
      <c r="V1684" s="16"/>
      <c r="W1684" s="16"/>
      <c r="X1684" s="32"/>
      <c r="Y1684" s="250"/>
    </row>
    <row r="1685">
      <c r="A1685" s="32"/>
      <c r="B1685" s="32"/>
      <c r="C1685" s="257"/>
      <c r="D1685" s="265"/>
      <c r="E1685" s="265"/>
      <c r="F1685" s="257"/>
      <c r="G1685" s="265"/>
      <c r="H1685" s="256"/>
      <c r="I1685" s="257"/>
      <c r="J1685" s="32"/>
      <c r="K1685" s="32"/>
      <c r="L1685" s="32"/>
      <c r="M1685" s="32"/>
      <c r="N1685" s="257"/>
      <c r="O1685" s="32"/>
      <c r="P1685" s="32"/>
      <c r="Q1685" s="32"/>
      <c r="R1685" s="32"/>
      <c r="S1685" s="32"/>
      <c r="T1685" s="264"/>
      <c r="U1685" s="16"/>
      <c r="V1685" s="16"/>
      <c r="W1685" s="16"/>
      <c r="X1685" s="32"/>
      <c r="Y1685" s="250"/>
    </row>
    <row r="1686">
      <c r="A1686" s="32"/>
      <c r="B1686" s="32"/>
      <c r="C1686" s="257"/>
      <c r="D1686" s="265"/>
      <c r="E1686" s="265"/>
      <c r="F1686" s="257"/>
      <c r="G1686" s="265"/>
      <c r="H1686" s="256"/>
      <c r="I1686" s="257"/>
      <c r="J1686" s="32"/>
      <c r="K1686" s="32"/>
      <c r="L1686" s="32"/>
      <c r="M1686" s="32"/>
      <c r="N1686" s="257"/>
      <c r="O1686" s="32"/>
      <c r="P1686" s="32"/>
      <c r="Q1686" s="32"/>
      <c r="R1686" s="32"/>
      <c r="S1686" s="32"/>
      <c r="T1686" s="264"/>
      <c r="U1686" s="16"/>
      <c r="V1686" s="16"/>
      <c r="W1686" s="16"/>
      <c r="X1686" s="32"/>
      <c r="Y1686" s="250"/>
    </row>
    <row r="1687">
      <c r="A1687" s="32"/>
      <c r="B1687" s="32"/>
      <c r="C1687" s="257"/>
      <c r="D1687" s="265"/>
      <c r="E1687" s="265"/>
      <c r="F1687" s="257"/>
      <c r="G1687" s="265"/>
      <c r="H1687" s="256"/>
      <c r="I1687" s="257"/>
      <c r="J1687" s="32"/>
      <c r="K1687" s="32"/>
      <c r="L1687" s="32"/>
      <c r="M1687" s="32"/>
      <c r="N1687" s="257"/>
      <c r="O1687" s="32"/>
      <c r="P1687" s="32"/>
      <c r="Q1687" s="32"/>
      <c r="R1687" s="32"/>
      <c r="S1687" s="32"/>
      <c r="T1687" s="264"/>
      <c r="U1687" s="16"/>
      <c r="V1687" s="16"/>
      <c r="W1687" s="16"/>
      <c r="X1687" s="32"/>
      <c r="Y1687" s="250"/>
    </row>
    <row r="1688">
      <c r="A1688" s="32"/>
      <c r="B1688" s="32"/>
      <c r="C1688" s="257"/>
      <c r="D1688" s="265"/>
      <c r="E1688" s="265"/>
      <c r="F1688" s="257"/>
      <c r="G1688" s="265"/>
      <c r="H1688" s="256"/>
      <c r="I1688" s="257"/>
      <c r="J1688" s="32"/>
      <c r="K1688" s="32"/>
      <c r="L1688" s="32"/>
      <c r="M1688" s="32"/>
      <c r="N1688" s="257"/>
      <c r="O1688" s="32"/>
      <c r="P1688" s="32"/>
      <c r="Q1688" s="32"/>
      <c r="R1688" s="32"/>
      <c r="S1688" s="32"/>
      <c r="T1688" s="264"/>
      <c r="U1688" s="16"/>
      <c r="V1688" s="16"/>
      <c r="W1688" s="16"/>
      <c r="X1688" s="32"/>
      <c r="Y1688" s="250"/>
    </row>
    <row r="1689">
      <c r="A1689" s="32"/>
      <c r="B1689" s="32"/>
      <c r="C1689" s="257"/>
      <c r="D1689" s="265"/>
      <c r="E1689" s="265"/>
      <c r="F1689" s="257"/>
      <c r="G1689" s="265"/>
      <c r="H1689" s="256"/>
      <c r="I1689" s="257"/>
      <c r="J1689" s="32"/>
      <c r="K1689" s="32"/>
      <c r="L1689" s="32"/>
      <c r="M1689" s="32"/>
      <c r="N1689" s="257"/>
      <c r="O1689" s="32"/>
      <c r="P1689" s="32"/>
      <c r="Q1689" s="32"/>
      <c r="R1689" s="32"/>
      <c r="S1689" s="32"/>
      <c r="T1689" s="264"/>
      <c r="U1689" s="16"/>
      <c r="V1689" s="16"/>
      <c r="W1689" s="16"/>
      <c r="X1689" s="32"/>
      <c r="Y1689" s="250"/>
    </row>
    <row r="1690">
      <c r="A1690" s="32"/>
      <c r="B1690" s="32"/>
      <c r="C1690" s="257"/>
      <c r="D1690" s="265"/>
      <c r="E1690" s="265"/>
      <c r="F1690" s="257"/>
      <c r="G1690" s="265"/>
      <c r="H1690" s="256"/>
      <c r="I1690" s="257"/>
      <c r="J1690" s="32"/>
      <c r="K1690" s="32"/>
      <c r="L1690" s="32"/>
      <c r="M1690" s="32"/>
      <c r="N1690" s="257"/>
      <c r="O1690" s="32"/>
      <c r="P1690" s="32"/>
      <c r="Q1690" s="32"/>
      <c r="R1690" s="32"/>
      <c r="S1690" s="32"/>
      <c r="T1690" s="264"/>
      <c r="U1690" s="16"/>
      <c r="V1690" s="16"/>
      <c r="W1690" s="16"/>
      <c r="X1690" s="32"/>
      <c r="Y1690" s="250"/>
    </row>
    <row r="1691">
      <c r="A1691" s="32"/>
      <c r="B1691" s="32"/>
      <c r="C1691" s="257"/>
      <c r="D1691" s="265"/>
      <c r="E1691" s="265"/>
      <c r="F1691" s="257"/>
      <c r="G1691" s="265"/>
      <c r="H1691" s="256"/>
      <c r="I1691" s="257"/>
      <c r="J1691" s="32"/>
      <c r="K1691" s="32"/>
      <c r="L1691" s="32"/>
      <c r="M1691" s="32"/>
      <c r="N1691" s="257"/>
      <c r="O1691" s="32"/>
      <c r="P1691" s="32"/>
      <c r="Q1691" s="32"/>
      <c r="R1691" s="32"/>
      <c r="S1691" s="32"/>
      <c r="T1691" s="264"/>
      <c r="U1691" s="16"/>
      <c r="V1691" s="16"/>
      <c r="W1691" s="16"/>
      <c r="X1691" s="32"/>
      <c r="Y1691" s="250"/>
    </row>
    <row r="1692">
      <c r="A1692" s="32"/>
      <c r="B1692" s="32"/>
      <c r="C1692" s="257"/>
      <c r="D1692" s="265"/>
      <c r="E1692" s="265"/>
      <c r="F1692" s="257"/>
      <c r="G1692" s="265"/>
      <c r="H1692" s="256"/>
      <c r="I1692" s="257"/>
      <c r="J1692" s="32"/>
      <c r="K1692" s="32"/>
      <c r="L1692" s="32"/>
      <c r="M1692" s="32"/>
      <c r="N1692" s="257"/>
      <c r="O1692" s="32"/>
      <c r="P1692" s="32"/>
      <c r="Q1692" s="32"/>
      <c r="R1692" s="32"/>
      <c r="S1692" s="32"/>
      <c r="T1692" s="264"/>
      <c r="U1692" s="16"/>
      <c r="V1692" s="16"/>
      <c r="W1692" s="16"/>
      <c r="X1692" s="32"/>
      <c r="Y1692" s="250"/>
    </row>
    <row r="1693">
      <c r="A1693" s="32"/>
      <c r="B1693" s="32"/>
      <c r="C1693" s="257"/>
      <c r="D1693" s="265"/>
      <c r="E1693" s="265"/>
      <c r="F1693" s="257"/>
      <c r="G1693" s="265"/>
      <c r="H1693" s="256"/>
      <c r="I1693" s="257"/>
      <c r="J1693" s="32"/>
      <c r="K1693" s="32"/>
      <c r="L1693" s="32"/>
      <c r="M1693" s="32"/>
      <c r="N1693" s="257"/>
      <c r="O1693" s="32"/>
      <c r="P1693" s="32"/>
      <c r="Q1693" s="32"/>
      <c r="R1693" s="32"/>
      <c r="S1693" s="32"/>
      <c r="T1693" s="264"/>
      <c r="U1693" s="16"/>
      <c r="V1693" s="16"/>
      <c r="W1693" s="16"/>
      <c r="X1693" s="32"/>
      <c r="Y1693" s="250"/>
    </row>
    <row r="1694">
      <c r="A1694" s="32"/>
      <c r="B1694" s="32"/>
      <c r="C1694" s="257"/>
      <c r="D1694" s="265"/>
      <c r="E1694" s="265"/>
      <c r="F1694" s="257"/>
      <c r="G1694" s="265"/>
      <c r="H1694" s="256"/>
      <c r="I1694" s="257"/>
      <c r="J1694" s="32"/>
      <c r="K1694" s="32"/>
      <c r="L1694" s="32"/>
      <c r="M1694" s="32"/>
      <c r="N1694" s="257"/>
      <c r="O1694" s="32"/>
      <c r="P1694" s="32"/>
      <c r="Q1694" s="32"/>
      <c r="R1694" s="32"/>
      <c r="S1694" s="32"/>
      <c r="T1694" s="264"/>
      <c r="U1694" s="16"/>
      <c r="V1694" s="16"/>
      <c r="W1694" s="16"/>
      <c r="X1694" s="32"/>
      <c r="Y1694" s="250"/>
    </row>
    <row r="1695">
      <c r="A1695" s="32"/>
      <c r="B1695" s="32"/>
      <c r="C1695" s="257"/>
      <c r="D1695" s="265"/>
      <c r="E1695" s="265"/>
      <c r="F1695" s="257"/>
      <c r="G1695" s="265"/>
      <c r="H1695" s="256"/>
      <c r="I1695" s="257"/>
      <c r="J1695" s="32"/>
      <c r="K1695" s="32"/>
      <c r="L1695" s="32"/>
      <c r="M1695" s="32"/>
      <c r="N1695" s="257"/>
      <c r="O1695" s="32"/>
      <c r="P1695" s="32"/>
      <c r="Q1695" s="32"/>
      <c r="R1695" s="32"/>
      <c r="S1695" s="32"/>
      <c r="T1695" s="264"/>
      <c r="U1695" s="16"/>
      <c r="V1695" s="16"/>
      <c r="W1695" s="16"/>
      <c r="X1695" s="32"/>
      <c r="Y1695" s="250"/>
    </row>
    <row r="1696">
      <c r="A1696" s="32"/>
      <c r="B1696" s="32"/>
      <c r="C1696" s="257"/>
      <c r="D1696" s="265"/>
      <c r="E1696" s="265"/>
      <c r="F1696" s="257"/>
      <c r="G1696" s="265"/>
      <c r="H1696" s="256"/>
      <c r="I1696" s="257"/>
      <c r="J1696" s="32"/>
      <c r="K1696" s="32"/>
      <c r="L1696" s="32"/>
      <c r="M1696" s="32"/>
      <c r="N1696" s="257"/>
      <c r="O1696" s="32"/>
      <c r="P1696" s="32"/>
      <c r="Q1696" s="32"/>
      <c r="R1696" s="32"/>
      <c r="S1696" s="32"/>
      <c r="T1696" s="264"/>
      <c r="U1696" s="16"/>
      <c r="V1696" s="16"/>
      <c r="W1696" s="16"/>
      <c r="X1696" s="32"/>
      <c r="Y1696" s="250"/>
    </row>
    <row r="1697">
      <c r="A1697" s="32"/>
      <c r="B1697" s="32"/>
      <c r="C1697" s="257"/>
      <c r="D1697" s="265"/>
      <c r="E1697" s="265"/>
      <c r="F1697" s="257"/>
      <c r="G1697" s="265"/>
      <c r="H1697" s="256"/>
      <c r="I1697" s="257"/>
      <c r="J1697" s="32"/>
      <c r="K1697" s="32"/>
      <c r="L1697" s="32"/>
      <c r="M1697" s="32"/>
      <c r="N1697" s="257"/>
      <c r="O1697" s="32"/>
      <c r="P1697" s="32"/>
      <c r="Q1697" s="32"/>
      <c r="R1697" s="32"/>
      <c r="S1697" s="32"/>
      <c r="T1697" s="264"/>
      <c r="U1697" s="16"/>
      <c r="V1697" s="16"/>
      <c r="W1697" s="16"/>
      <c r="X1697" s="32"/>
      <c r="Y1697" s="250"/>
    </row>
    <row r="1698">
      <c r="A1698" s="32"/>
      <c r="B1698" s="32"/>
      <c r="C1698" s="257"/>
      <c r="D1698" s="265"/>
      <c r="E1698" s="265"/>
      <c r="F1698" s="257"/>
      <c r="G1698" s="265"/>
      <c r="H1698" s="256"/>
      <c r="I1698" s="257"/>
      <c r="J1698" s="32"/>
      <c r="K1698" s="32"/>
      <c r="L1698" s="32"/>
      <c r="M1698" s="32"/>
      <c r="N1698" s="257"/>
      <c r="O1698" s="32"/>
      <c r="P1698" s="32"/>
      <c r="Q1698" s="32"/>
      <c r="R1698" s="32"/>
      <c r="S1698" s="32"/>
      <c r="T1698" s="264"/>
      <c r="U1698" s="16"/>
      <c r="V1698" s="16"/>
      <c r="W1698" s="16"/>
      <c r="X1698" s="32"/>
      <c r="Y1698" s="250"/>
    </row>
    <row r="1699">
      <c r="A1699" s="32"/>
      <c r="B1699" s="32"/>
      <c r="C1699" s="257"/>
      <c r="D1699" s="265"/>
      <c r="E1699" s="265"/>
      <c r="F1699" s="257"/>
      <c r="G1699" s="265"/>
      <c r="H1699" s="256"/>
      <c r="I1699" s="257"/>
      <c r="J1699" s="32"/>
      <c r="K1699" s="32"/>
      <c r="L1699" s="32"/>
      <c r="M1699" s="32"/>
      <c r="N1699" s="257"/>
      <c r="O1699" s="32"/>
      <c r="P1699" s="32"/>
      <c r="Q1699" s="32"/>
      <c r="R1699" s="32"/>
      <c r="S1699" s="32"/>
      <c r="T1699" s="264"/>
      <c r="U1699" s="16"/>
      <c r="V1699" s="16"/>
      <c r="W1699" s="16"/>
      <c r="X1699" s="32"/>
      <c r="Y1699" s="250"/>
    </row>
    <row r="1700">
      <c r="A1700" s="32"/>
      <c r="B1700" s="32"/>
      <c r="C1700" s="257"/>
      <c r="D1700" s="265"/>
      <c r="E1700" s="265"/>
      <c r="F1700" s="257"/>
      <c r="G1700" s="265"/>
      <c r="H1700" s="256"/>
      <c r="I1700" s="257"/>
      <c r="J1700" s="32"/>
      <c r="K1700" s="32"/>
      <c r="L1700" s="32"/>
      <c r="M1700" s="32"/>
      <c r="N1700" s="257"/>
      <c r="O1700" s="32"/>
      <c r="P1700" s="32"/>
      <c r="Q1700" s="32"/>
      <c r="R1700" s="32"/>
      <c r="S1700" s="32"/>
      <c r="T1700" s="264"/>
      <c r="U1700" s="16"/>
      <c r="V1700" s="16"/>
      <c r="W1700" s="16"/>
      <c r="X1700" s="32"/>
      <c r="Y1700" s="250"/>
    </row>
    <row r="1701">
      <c r="A1701" s="32"/>
      <c r="B1701" s="32"/>
      <c r="C1701" s="257"/>
      <c r="D1701" s="265"/>
      <c r="E1701" s="265"/>
      <c r="F1701" s="257"/>
      <c r="G1701" s="265"/>
      <c r="H1701" s="256"/>
      <c r="I1701" s="257"/>
      <c r="J1701" s="32"/>
      <c r="K1701" s="32"/>
      <c r="L1701" s="32"/>
      <c r="M1701" s="32"/>
      <c r="N1701" s="257"/>
      <c r="O1701" s="32"/>
      <c r="P1701" s="32"/>
      <c r="Q1701" s="32"/>
      <c r="R1701" s="32"/>
      <c r="S1701" s="32"/>
      <c r="T1701" s="264"/>
      <c r="U1701" s="16"/>
      <c r="V1701" s="16"/>
      <c r="W1701" s="16"/>
      <c r="X1701" s="32"/>
      <c r="Y1701" s="250"/>
    </row>
    <row r="1702">
      <c r="A1702" s="32"/>
      <c r="B1702" s="32"/>
      <c r="C1702" s="257"/>
      <c r="D1702" s="265"/>
      <c r="E1702" s="265"/>
      <c r="F1702" s="257"/>
      <c r="G1702" s="265"/>
      <c r="H1702" s="256"/>
      <c r="I1702" s="257"/>
      <c r="J1702" s="32"/>
      <c r="K1702" s="32"/>
      <c r="L1702" s="32"/>
      <c r="M1702" s="32"/>
      <c r="N1702" s="257"/>
      <c r="O1702" s="32"/>
      <c r="P1702" s="32"/>
      <c r="Q1702" s="32"/>
      <c r="R1702" s="32"/>
      <c r="S1702" s="32"/>
      <c r="T1702" s="264"/>
      <c r="U1702" s="16"/>
      <c r="V1702" s="16"/>
      <c r="W1702" s="16"/>
      <c r="X1702" s="32"/>
      <c r="Y1702" s="250"/>
    </row>
    <row r="1703">
      <c r="A1703" s="32"/>
      <c r="B1703" s="32"/>
      <c r="C1703" s="257"/>
      <c r="D1703" s="265"/>
      <c r="E1703" s="265"/>
      <c r="F1703" s="257"/>
      <c r="G1703" s="265"/>
      <c r="H1703" s="256"/>
      <c r="I1703" s="257"/>
      <c r="J1703" s="32"/>
      <c r="K1703" s="32"/>
      <c r="L1703" s="32"/>
      <c r="M1703" s="32"/>
      <c r="N1703" s="257"/>
      <c r="O1703" s="32"/>
      <c r="P1703" s="32"/>
      <c r="Q1703" s="32"/>
      <c r="R1703" s="32"/>
      <c r="S1703" s="32"/>
      <c r="T1703" s="264"/>
      <c r="U1703" s="16"/>
      <c r="V1703" s="16"/>
      <c r="W1703" s="16"/>
      <c r="X1703" s="32"/>
      <c r="Y1703" s="250"/>
    </row>
    <row r="1704">
      <c r="A1704" s="32"/>
      <c r="B1704" s="32"/>
      <c r="C1704" s="257"/>
      <c r="D1704" s="265"/>
      <c r="E1704" s="265"/>
      <c r="F1704" s="257"/>
      <c r="G1704" s="265"/>
      <c r="H1704" s="256"/>
      <c r="I1704" s="257"/>
      <c r="J1704" s="32"/>
      <c r="K1704" s="32"/>
      <c r="L1704" s="32"/>
      <c r="M1704" s="32"/>
      <c r="N1704" s="257"/>
      <c r="O1704" s="32"/>
      <c r="P1704" s="32"/>
      <c r="Q1704" s="32"/>
      <c r="R1704" s="32"/>
      <c r="S1704" s="32"/>
      <c r="T1704" s="264"/>
      <c r="U1704" s="16"/>
      <c r="V1704" s="16"/>
      <c r="W1704" s="16"/>
      <c r="X1704" s="32"/>
      <c r="Y1704" s="250"/>
    </row>
    <row r="1705">
      <c r="A1705" s="32"/>
      <c r="B1705" s="32"/>
      <c r="C1705" s="257"/>
      <c r="D1705" s="265"/>
      <c r="E1705" s="265"/>
      <c r="F1705" s="257"/>
      <c r="G1705" s="265"/>
      <c r="H1705" s="256"/>
      <c r="I1705" s="257"/>
      <c r="J1705" s="32"/>
      <c r="K1705" s="32"/>
      <c r="L1705" s="32"/>
      <c r="M1705" s="32"/>
      <c r="N1705" s="257"/>
      <c r="O1705" s="32"/>
      <c r="P1705" s="32"/>
      <c r="Q1705" s="32"/>
      <c r="R1705" s="32"/>
      <c r="S1705" s="32"/>
      <c r="T1705" s="264"/>
      <c r="U1705" s="16"/>
      <c r="V1705" s="16"/>
      <c r="W1705" s="16"/>
      <c r="X1705" s="32"/>
      <c r="Y1705" s="250"/>
    </row>
    <row r="1706">
      <c r="A1706" s="32"/>
      <c r="B1706" s="32"/>
      <c r="C1706" s="257"/>
      <c r="D1706" s="265"/>
      <c r="E1706" s="265"/>
      <c r="F1706" s="257"/>
      <c r="G1706" s="265"/>
      <c r="H1706" s="256"/>
      <c r="I1706" s="257"/>
      <c r="J1706" s="32"/>
      <c r="K1706" s="32"/>
      <c r="L1706" s="32"/>
      <c r="M1706" s="32"/>
      <c r="N1706" s="257"/>
      <c r="O1706" s="32"/>
      <c r="P1706" s="32"/>
      <c r="Q1706" s="32"/>
      <c r="R1706" s="32"/>
      <c r="S1706" s="32"/>
      <c r="T1706" s="264"/>
      <c r="U1706" s="16"/>
      <c r="V1706" s="16"/>
      <c r="W1706" s="16"/>
      <c r="X1706" s="32"/>
      <c r="Y1706" s="250"/>
    </row>
    <row r="1707">
      <c r="A1707" s="32"/>
      <c r="B1707" s="32"/>
      <c r="C1707" s="257"/>
      <c r="D1707" s="265"/>
      <c r="E1707" s="265"/>
      <c r="F1707" s="257"/>
      <c r="G1707" s="265"/>
      <c r="H1707" s="256"/>
      <c r="I1707" s="257"/>
      <c r="J1707" s="32"/>
      <c r="K1707" s="32"/>
      <c r="L1707" s="32"/>
      <c r="M1707" s="32"/>
      <c r="N1707" s="257"/>
      <c r="O1707" s="32"/>
      <c r="P1707" s="32"/>
      <c r="Q1707" s="32"/>
      <c r="R1707" s="32"/>
      <c r="S1707" s="32"/>
      <c r="T1707" s="264"/>
      <c r="U1707" s="16"/>
      <c r="V1707" s="16"/>
      <c r="W1707" s="16"/>
      <c r="X1707" s="32"/>
      <c r="Y1707" s="250"/>
    </row>
    <row r="1708">
      <c r="A1708" s="32"/>
      <c r="B1708" s="32"/>
      <c r="C1708" s="257"/>
      <c r="D1708" s="265"/>
      <c r="E1708" s="265"/>
      <c r="F1708" s="257"/>
      <c r="G1708" s="265"/>
      <c r="H1708" s="256"/>
      <c r="I1708" s="257"/>
      <c r="J1708" s="32"/>
      <c r="K1708" s="32"/>
      <c r="L1708" s="32"/>
      <c r="M1708" s="32"/>
      <c r="N1708" s="257"/>
      <c r="O1708" s="32"/>
      <c r="P1708" s="32"/>
      <c r="Q1708" s="32"/>
      <c r="R1708" s="32"/>
      <c r="S1708" s="32"/>
      <c r="T1708" s="264"/>
      <c r="U1708" s="16"/>
      <c r="V1708" s="16"/>
      <c r="W1708" s="16"/>
      <c r="X1708" s="32"/>
      <c r="Y1708" s="250"/>
    </row>
    <row r="1709">
      <c r="A1709" s="32"/>
      <c r="B1709" s="32"/>
      <c r="C1709" s="257"/>
      <c r="D1709" s="265"/>
      <c r="E1709" s="265"/>
      <c r="F1709" s="257"/>
      <c r="G1709" s="265"/>
      <c r="H1709" s="256"/>
      <c r="I1709" s="257"/>
      <c r="J1709" s="32"/>
      <c r="K1709" s="32"/>
      <c r="L1709" s="32"/>
      <c r="M1709" s="32"/>
      <c r="N1709" s="257"/>
      <c r="O1709" s="32"/>
      <c r="P1709" s="32"/>
      <c r="Q1709" s="32"/>
      <c r="R1709" s="32"/>
      <c r="S1709" s="32"/>
      <c r="T1709" s="264"/>
      <c r="U1709" s="16"/>
      <c r="V1709" s="16"/>
      <c r="W1709" s="16"/>
      <c r="X1709" s="32"/>
      <c r="Y1709" s="250"/>
    </row>
    <row r="1710">
      <c r="A1710" s="32"/>
      <c r="B1710" s="32"/>
      <c r="C1710" s="257"/>
      <c r="D1710" s="265"/>
      <c r="E1710" s="265"/>
      <c r="F1710" s="257"/>
      <c r="G1710" s="265"/>
      <c r="H1710" s="256"/>
      <c r="I1710" s="257"/>
      <c r="J1710" s="32"/>
      <c r="K1710" s="32"/>
      <c r="L1710" s="32"/>
      <c r="M1710" s="32"/>
      <c r="N1710" s="257"/>
      <c r="O1710" s="32"/>
      <c r="P1710" s="32"/>
      <c r="Q1710" s="32"/>
      <c r="R1710" s="32"/>
      <c r="S1710" s="32"/>
      <c r="T1710" s="264"/>
      <c r="U1710" s="16"/>
      <c r="V1710" s="16"/>
      <c r="W1710" s="16"/>
      <c r="X1710" s="32"/>
      <c r="Y1710" s="250"/>
    </row>
    <row r="1711">
      <c r="A1711" s="32"/>
      <c r="B1711" s="32"/>
      <c r="C1711" s="257"/>
      <c r="D1711" s="265"/>
      <c r="E1711" s="265"/>
      <c r="F1711" s="257"/>
      <c r="G1711" s="265"/>
      <c r="H1711" s="256"/>
      <c r="I1711" s="257"/>
      <c r="J1711" s="32"/>
      <c r="K1711" s="32"/>
      <c r="L1711" s="32"/>
      <c r="M1711" s="32"/>
      <c r="N1711" s="257"/>
      <c r="O1711" s="32"/>
      <c r="P1711" s="32"/>
      <c r="Q1711" s="32"/>
      <c r="R1711" s="32"/>
      <c r="S1711" s="32"/>
      <c r="T1711" s="264"/>
      <c r="U1711" s="16"/>
      <c r="V1711" s="16"/>
      <c r="W1711" s="16"/>
      <c r="X1711" s="32"/>
      <c r="Y1711" s="250"/>
    </row>
    <row r="1712">
      <c r="A1712" s="32"/>
      <c r="B1712" s="32"/>
      <c r="C1712" s="257"/>
      <c r="D1712" s="265"/>
      <c r="E1712" s="265"/>
      <c r="F1712" s="257"/>
      <c r="G1712" s="265"/>
      <c r="H1712" s="256"/>
      <c r="I1712" s="257"/>
      <c r="J1712" s="32"/>
      <c r="K1712" s="32"/>
      <c r="L1712" s="32"/>
      <c r="M1712" s="32"/>
      <c r="N1712" s="257"/>
      <c r="O1712" s="32"/>
      <c r="P1712" s="32"/>
      <c r="Q1712" s="32"/>
      <c r="R1712" s="32"/>
      <c r="S1712" s="32"/>
      <c r="T1712" s="264"/>
      <c r="U1712" s="16"/>
      <c r="V1712" s="16"/>
      <c r="W1712" s="16"/>
      <c r="X1712" s="32"/>
      <c r="Y1712" s="250"/>
    </row>
    <row r="1713">
      <c r="A1713" s="32"/>
      <c r="B1713" s="32"/>
      <c r="C1713" s="257"/>
      <c r="D1713" s="265"/>
      <c r="E1713" s="265"/>
      <c r="F1713" s="257"/>
      <c r="G1713" s="265"/>
      <c r="H1713" s="256"/>
      <c r="I1713" s="257"/>
      <c r="J1713" s="32"/>
      <c r="K1713" s="32"/>
      <c r="L1713" s="32"/>
      <c r="M1713" s="32"/>
      <c r="N1713" s="257"/>
      <c r="O1713" s="32"/>
      <c r="P1713" s="32"/>
      <c r="Q1713" s="32"/>
      <c r="R1713" s="32"/>
      <c r="S1713" s="32"/>
      <c r="T1713" s="264"/>
      <c r="U1713" s="16"/>
      <c r="V1713" s="16"/>
      <c r="W1713" s="16"/>
      <c r="X1713" s="32"/>
      <c r="Y1713" s="250"/>
    </row>
    <row r="1714">
      <c r="A1714" s="32"/>
      <c r="B1714" s="32"/>
      <c r="C1714" s="257"/>
      <c r="D1714" s="265"/>
      <c r="E1714" s="265"/>
      <c r="F1714" s="257"/>
      <c r="G1714" s="265"/>
      <c r="H1714" s="256"/>
      <c r="I1714" s="257"/>
      <c r="J1714" s="32"/>
      <c r="K1714" s="32"/>
      <c r="L1714" s="32"/>
      <c r="M1714" s="32"/>
      <c r="N1714" s="257"/>
      <c r="O1714" s="32"/>
      <c r="P1714" s="32"/>
      <c r="Q1714" s="32"/>
      <c r="R1714" s="32"/>
      <c r="S1714" s="32"/>
      <c r="T1714" s="264"/>
      <c r="U1714" s="16"/>
      <c r="V1714" s="16"/>
      <c r="W1714" s="16"/>
      <c r="X1714" s="32"/>
      <c r="Y1714" s="250"/>
    </row>
    <row r="1715">
      <c r="A1715" s="32"/>
      <c r="B1715" s="32"/>
      <c r="C1715" s="257"/>
      <c r="D1715" s="265"/>
      <c r="E1715" s="265"/>
      <c r="F1715" s="257"/>
      <c r="G1715" s="265"/>
      <c r="H1715" s="256"/>
      <c r="I1715" s="257"/>
      <c r="J1715" s="32"/>
      <c r="K1715" s="32"/>
      <c r="L1715" s="32"/>
      <c r="M1715" s="32"/>
      <c r="N1715" s="257"/>
      <c r="O1715" s="32"/>
      <c r="P1715" s="32"/>
      <c r="Q1715" s="32"/>
      <c r="R1715" s="32"/>
      <c r="S1715" s="32"/>
      <c r="T1715" s="264"/>
      <c r="U1715" s="16"/>
      <c r="V1715" s="16"/>
      <c r="W1715" s="16"/>
      <c r="X1715" s="32"/>
      <c r="Y1715" s="250"/>
    </row>
    <row r="1716">
      <c r="A1716" s="32"/>
      <c r="B1716" s="32"/>
      <c r="C1716" s="257"/>
      <c r="D1716" s="265"/>
      <c r="E1716" s="265"/>
      <c r="F1716" s="257"/>
      <c r="G1716" s="265"/>
      <c r="H1716" s="256"/>
      <c r="I1716" s="257"/>
      <c r="J1716" s="32"/>
      <c r="K1716" s="32"/>
      <c r="L1716" s="32"/>
      <c r="M1716" s="32"/>
      <c r="N1716" s="257"/>
      <c r="O1716" s="32"/>
      <c r="P1716" s="32"/>
      <c r="Q1716" s="32"/>
      <c r="R1716" s="32"/>
      <c r="S1716" s="32"/>
      <c r="T1716" s="264"/>
      <c r="U1716" s="16"/>
      <c r="V1716" s="16"/>
      <c r="W1716" s="16"/>
      <c r="X1716" s="32"/>
      <c r="Y1716" s="250"/>
    </row>
    <row r="1717">
      <c r="A1717" s="32"/>
      <c r="B1717" s="32"/>
      <c r="C1717" s="257"/>
      <c r="D1717" s="265"/>
      <c r="E1717" s="265"/>
      <c r="F1717" s="257"/>
      <c r="G1717" s="265"/>
      <c r="H1717" s="256"/>
      <c r="I1717" s="257"/>
      <c r="J1717" s="32"/>
      <c r="K1717" s="32"/>
      <c r="L1717" s="32"/>
      <c r="M1717" s="32"/>
      <c r="N1717" s="257"/>
      <c r="O1717" s="32"/>
      <c r="P1717" s="32"/>
      <c r="Q1717" s="32"/>
      <c r="R1717" s="32"/>
      <c r="S1717" s="32"/>
      <c r="T1717" s="264"/>
      <c r="U1717" s="16"/>
      <c r="V1717" s="16"/>
      <c r="W1717" s="16"/>
      <c r="X1717" s="32"/>
      <c r="Y1717" s="250"/>
    </row>
    <row r="1718">
      <c r="A1718" s="32"/>
      <c r="B1718" s="32"/>
      <c r="C1718" s="257"/>
      <c r="D1718" s="265"/>
      <c r="E1718" s="265"/>
      <c r="F1718" s="257"/>
      <c r="G1718" s="265"/>
      <c r="H1718" s="256"/>
      <c r="I1718" s="257"/>
      <c r="J1718" s="32"/>
      <c r="K1718" s="32"/>
      <c r="L1718" s="32"/>
      <c r="M1718" s="32"/>
      <c r="N1718" s="257"/>
      <c r="O1718" s="32"/>
      <c r="P1718" s="32"/>
      <c r="Q1718" s="32"/>
      <c r="R1718" s="32"/>
      <c r="S1718" s="32"/>
      <c r="T1718" s="264"/>
      <c r="U1718" s="16"/>
      <c r="V1718" s="16"/>
      <c r="W1718" s="16"/>
      <c r="X1718" s="32"/>
      <c r="Y1718" s="250"/>
    </row>
    <row r="1719">
      <c r="A1719" s="32"/>
      <c r="B1719" s="32"/>
      <c r="C1719" s="257"/>
      <c r="D1719" s="265"/>
      <c r="E1719" s="265"/>
      <c r="F1719" s="257"/>
      <c r="G1719" s="265"/>
      <c r="H1719" s="256"/>
      <c r="I1719" s="257"/>
      <c r="J1719" s="32"/>
      <c r="K1719" s="32"/>
      <c r="L1719" s="32"/>
      <c r="M1719" s="32"/>
      <c r="N1719" s="257"/>
      <c r="O1719" s="32"/>
      <c r="P1719" s="32"/>
      <c r="Q1719" s="32"/>
      <c r="R1719" s="32"/>
      <c r="S1719" s="32"/>
      <c r="T1719" s="264"/>
      <c r="U1719" s="16"/>
      <c r="V1719" s="16"/>
      <c r="W1719" s="16"/>
      <c r="X1719" s="32"/>
      <c r="Y1719" s="250"/>
    </row>
    <row r="1720">
      <c r="A1720" s="32"/>
      <c r="B1720" s="32"/>
      <c r="C1720" s="257"/>
      <c r="D1720" s="265"/>
      <c r="E1720" s="265"/>
      <c r="F1720" s="257"/>
      <c r="G1720" s="265"/>
      <c r="H1720" s="256"/>
      <c r="I1720" s="257"/>
      <c r="J1720" s="32"/>
      <c r="K1720" s="32"/>
      <c r="L1720" s="32"/>
      <c r="M1720" s="32"/>
      <c r="N1720" s="257"/>
      <c r="O1720" s="32"/>
      <c r="P1720" s="32"/>
      <c r="Q1720" s="32"/>
      <c r="R1720" s="32"/>
      <c r="S1720" s="32"/>
      <c r="T1720" s="264"/>
      <c r="U1720" s="16"/>
      <c r="V1720" s="16"/>
      <c r="W1720" s="16"/>
      <c r="X1720" s="32"/>
      <c r="Y1720" s="250"/>
    </row>
    <row r="1721">
      <c r="A1721" s="32"/>
      <c r="B1721" s="32"/>
      <c r="C1721" s="257"/>
      <c r="D1721" s="265"/>
      <c r="E1721" s="265"/>
      <c r="F1721" s="257"/>
      <c r="G1721" s="265"/>
      <c r="H1721" s="256"/>
      <c r="I1721" s="257"/>
      <c r="J1721" s="32"/>
      <c r="K1721" s="32"/>
      <c r="L1721" s="32"/>
      <c r="M1721" s="32"/>
      <c r="N1721" s="257"/>
      <c r="O1721" s="32"/>
      <c r="P1721" s="32"/>
      <c r="Q1721" s="32"/>
      <c r="R1721" s="32"/>
      <c r="S1721" s="32"/>
      <c r="T1721" s="264"/>
      <c r="U1721" s="16"/>
      <c r="V1721" s="16"/>
      <c r="W1721" s="16"/>
      <c r="X1721" s="32"/>
      <c r="Y1721" s="250"/>
    </row>
    <row r="1722">
      <c r="A1722" s="32"/>
      <c r="B1722" s="32"/>
      <c r="C1722" s="257"/>
      <c r="D1722" s="265"/>
      <c r="E1722" s="265"/>
      <c r="F1722" s="257"/>
      <c r="G1722" s="265"/>
      <c r="H1722" s="256"/>
      <c r="I1722" s="257"/>
      <c r="J1722" s="32"/>
      <c r="K1722" s="32"/>
      <c r="L1722" s="32"/>
      <c r="M1722" s="32"/>
      <c r="N1722" s="257"/>
      <c r="O1722" s="32"/>
      <c r="P1722" s="32"/>
      <c r="Q1722" s="32"/>
      <c r="R1722" s="32"/>
      <c r="S1722" s="32"/>
      <c r="T1722" s="264"/>
      <c r="U1722" s="16"/>
      <c r="V1722" s="16"/>
      <c r="W1722" s="16"/>
      <c r="X1722" s="32"/>
      <c r="Y1722" s="250"/>
    </row>
    <row r="1723">
      <c r="A1723" s="32"/>
      <c r="B1723" s="32"/>
      <c r="C1723" s="257"/>
      <c r="D1723" s="265"/>
      <c r="E1723" s="265"/>
      <c r="F1723" s="257"/>
      <c r="G1723" s="265"/>
      <c r="H1723" s="256"/>
      <c r="I1723" s="257"/>
      <c r="J1723" s="32"/>
      <c r="K1723" s="32"/>
      <c r="L1723" s="32"/>
      <c r="M1723" s="32"/>
      <c r="N1723" s="257"/>
      <c r="O1723" s="32"/>
      <c r="P1723" s="32"/>
      <c r="Q1723" s="32"/>
      <c r="R1723" s="32"/>
      <c r="S1723" s="32"/>
      <c r="T1723" s="264"/>
      <c r="U1723" s="16"/>
      <c r="V1723" s="16"/>
      <c r="W1723" s="16"/>
      <c r="X1723" s="32"/>
      <c r="Y1723" s="250"/>
    </row>
    <row r="1724">
      <c r="A1724" s="32"/>
      <c r="B1724" s="32"/>
      <c r="C1724" s="257"/>
      <c r="D1724" s="265"/>
      <c r="E1724" s="265"/>
      <c r="F1724" s="257"/>
      <c r="G1724" s="265"/>
      <c r="H1724" s="256"/>
      <c r="I1724" s="257"/>
      <c r="J1724" s="32"/>
      <c r="K1724" s="32"/>
      <c r="L1724" s="32"/>
      <c r="M1724" s="32"/>
      <c r="N1724" s="257"/>
      <c r="O1724" s="32"/>
      <c r="P1724" s="32"/>
      <c r="Q1724" s="32"/>
      <c r="R1724" s="32"/>
      <c r="S1724" s="32"/>
      <c r="T1724" s="264"/>
      <c r="U1724" s="16"/>
      <c r="V1724" s="16"/>
      <c r="W1724" s="16"/>
      <c r="X1724" s="32"/>
      <c r="Y1724" s="250"/>
    </row>
    <row r="1725">
      <c r="A1725" s="32"/>
      <c r="B1725" s="32"/>
      <c r="C1725" s="257"/>
      <c r="D1725" s="265"/>
      <c r="E1725" s="265"/>
      <c r="F1725" s="257"/>
      <c r="G1725" s="265"/>
      <c r="H1725" s="256"/>
      <c r="I1725" s="257"/>
      <c r="J1725" s="32"/>
      <c r="K1725" s="32"/>
      <c r="L1725" s="32"/>
      <c r="M1725" s="32"/>
      <c r="N1725" s="257"/>
      <c r="O1725" s="32"/>
      <c r="P1725" s="32"/>
      <c r="Q1725" s="32"/>
      <c r="R1725" s="32"/>
      <c r="S1725" s="32"/>
      <c r="T1725" s="264"/>
      <c r="U1725" s="16"/>
      <c r="V1725" s="16"/>
      <c r="W1725" s="16"/>
      <c r="X1725" s="32"/>
      <c r="Y1725" s="250"/>
    </row>
    <row r="1726">
      <c r="A1726" s="32"/>
      <c r="B1726" s="32"/>
      <c r="C1726" s="257"/>
      <c r="D1726" s="265"/>
      <c r="E1726" s="265"/>
      <c r="F1726" s="257"/>
      <c r="G1726" s="265"/>
      <c r="H1726" s="256"/>
      <c r="I1726" s="257"/>
      <c r="J1726" s="32"/>
      <c r="K1726" s="32"/>
      <c r="L1726" s="32"/>
      <c r="M1726" s="32"/>
      <c r="N1726" s="257"/>
      <c r="O1726" s="32"/>
      <c r="P1726" s="32"/>
      <c r="Q1726" s="32"/>
      <c r="R1726" s="32"/>
      <c r="S1726" s="32"/>
      <c r="T1726" s="264"/>
      <c r="U1726" s="16"/>
      <c r="V1726" s="16"/>
      <c r="W1726" s="16"/>
      <c r="X1726" s="32"/>
      <c r="Y1726" s="250"/>
    </row>
    <row r="1727">
      <c r="A1727" s="32"/>
      <c r="B1727" s="32"/>
      <c r="C1727" s="257"/>
      <c r="D1727" s="265"/>
      <c r="E1727" s="265"/>
      <c r="F1727" s="257"/>
      <c r="G1727" s="265"/>
      <c r="H1727" s="256"/>
      <c r="I1727" s="257"/>
      <c r="J1727" s="32"/>
      <c r="K1727" s="32"/>
      <c r="L1727" s="32"/>
      <c r="M1727" s="32"/>
      <c r="N1727" s="257"/>
      <c r="O1727" s="32"/>
      <c r="P1727" s="32"/>
      <c r="Q1727" s="32"/>
      <c r="R1727" s="32"/>
      <c r="S1727" s="32"/>
      <c r="T1727" s="264"/>
      <c r="U1727" s="16"/>
      <c r="V1727" s="16"/>
      <c r="W1727" s="16"/>
      <c r="X1727" s="32"/>
      <c r="Y1727" s="250"/>
    </row>
    <row r="1728">
      <c r="A1728" s="32"/>
      <c r="B1728" s="32"/>
      <c r="C1728" s="257"/>
      <c r="D1728" s="265"/>
      <c r="E1728" s="265"/>
      <c r="F1728" s="257"/>
      <c r="G1728" s="265"/>
      <c r="H1728" s="256"/>
      <c r="I1728" s="257"/>
      <c r="J1728" s="32"/>
      <c r="K1728" s="32"/>
      <c r="L1728" s="32"/>
      <c r="M1728" s="32"/>
      <c r="N1728" s="257"/>
      <c r="O1728" s="32"/>
      <c r="P1728" s="32"/>
      <c r="Q1728" s="32"/>
      <c r="R1728" s="32"/>
      <c r="S1728" s="32"/>
      <c r="T1728" s="264"/>
      <c r="U1728" s="16"/>
      <c r="V1728" s="16"/>
      <c r="W1728" s="16"/>
      <c r="X1728" s="32"/>
      <c r="Y1728" s="250"/>
    </row>
    <row r="1729">
      <c r="A1729" s="32"/>
      <c r="B1729" s="32"/>
      <c r="C1729" s="257"/>
      <c r="D1729" s="265"/>
      <c r="E1729" s="265"/>
      <c r="F1729" s="257"/>
      <c r="G1729" s="265"/>
      <c r="H1729" s="256"/>
      <c r="I1729" s="257"/>
      <c r="J1729" s="32"/>
      <c r="K1729" s="32"/>
      <c r="L1729" s="32"/>
      <c r="M1729" s="32"/>
      <c r="N1729" s="257"/>
      <c r="O1729" s="32"/>
      <c r="P1729" s="32"/>
      <c r="Q1729" s="32"/>
      <c r="R1729" s="32"/>
      <c r="S1729" s="32"/>
      <c r="T1729" s="264"/>
      <c r="U1729" s="16"/>
      <c r="V1729" s="16"/>
      <c r="W1729" s="16"/>
      <c r="X1729" s="32"/>
      <c r="Y1729" s="250"/>
    </row>
    <row r="1730">
      <c r="A1730" s="32"/>
      <c r="B1730" s="32"/>
      <c r="C1730" s="257"/>
      <c r="D1730" s="265"/>
      <c r="E1730" s="265"/>
      <c r="F1730" s="257"/>
      <c r="G1730" s="265"/>
      <c r="H1730" s="256"/>
      <c r="I1730" s="257"/>
      <c r="J1730" s="32"/>
      <c r="K1730" s="32"/>
      <c r="L1730" s="32"/>
      <c r="M1730" s="32"/>
      <c r="N1730" s="257"/>
      <c r="O1730" s="32"/>
      <c r="P1730" s="32"/>
      <c r="Q1730" s="32"/>
      <c r="R1730" s="32"/>
      <c r="S1730" s="32"/>
      <c r="T1730" s="264"/>
      <c r="U1730" s="16"/>
      <c r="V1730" s="16"/>
      <c r="W1730" s="16"/>
      <c r="X1730" s="32"/>
      <c r="Y1730" s="250"/>
    </row>
    <row r="1731">
      <c r="A1731" s="32"/>
      <c r="B1731" s="32"/>
      <c r="C1731" s="257"/>
      <c r="D1731" s="265"/>
      <c r="E1731" s="265"/>
      <c r="F1731" s="257"/>
      <c r="G1731" s="265"/>
      <c r="H1731" s="256"/>
      <c r="I1731" s="257"/>
      <c r="J1731" s="32"/>
      <c r="K1731" s="32"/>
      <c r="L1731" s="32"/>
      <c r="M1731" s="32"/>
      <c r="N1731" s="257"/>
      <c r="O1731" s="32"/>
      <c r="P1731" s="32"/>
      <c r="Q1731" s="32"/>
      <c r="R1731" s="32"/>
      <c r="S1731" s="32"/>
      <c r="T1731" s="264"/>
      <c r="U1731" s="16"/>
      <c r="V1731" s="16"/>
      <c r="W1731" s="16"/>
      <c r="X1731" s="32"/>
      <c r="Y1731" s="250"/>
    </row>
    <row r="1732">
      <c r="A1732" s="32"/>
      <c r="B1732" s="32"/>
      <c r="C1732" s="257"/>
      <c r="D1732" s="265"/>
      <c r="E1732" s="265"/>
      <c r="F1732" s="257"/>
      <c r="G1732" s="265"/>
      <c r="H1732" s="256"/>
      <c r="I1732" s="257"/>
      <c r="J1732" s="32"/>
      <c r="K1732" s="32"/>
      <c r="L1732" s="32"/>
      <c r="M1732" s="32"/>
      <c r="N1732" s="257"/>
      <c r="O1732" s="32"/>
      <c r="P1732" s="32"/>
      <c r="Q1732" s="32"/>
      <c r="R1732" s="32"/>
      <c r="S1732" s="32"/>
      <c r="T1732" s="264"/>
      <c r="U1732" s="16"/>
      <c r="V1732" s="16"/>
      <c r="W1732" s="16"/>
      <c r="X1732" s="32"/>
      <c r="Y1732" s="250"/>
    </row>
    <row r="1733">
      <c r="A1733" s="32"/>
      <c r="B1733" s="32"/>
      <c r="C1733" s="257"/>
      <c r="D1733" s="265"/>
      <c r="E1733" s="265"/>
      <c r="F1733" s="257"/>
      <c r="G1733" s="265"/>
      <c r="H1733" s="256"/>
      <c r="I1733" s="257"/>
      <c r="J1733" s="32"/>
      <c r="K1733" s="32"/>
      <c r="L1733" s="32"/>
      <c r="M1733" s="32"/>
      <c r="N1733" s="257"/>
      <c r="O1733" s="32"/>
      <c r="P1733" s="32"/>
      <c r="Q1733" s="32"/>
      <c r="R1733" s="32"/>
      <c r="S1733" s="32"/>
      <c r="T1733" s="264"/>
      <c r="U1733" s="16"/>
      <c r="V1733" s="16"/>
      <c r="W1733" s="16"/>
      <c r="X1733" s="32"/>
      <c r="Y1733" s="250"/>
    </row>
    <row r="1734">
      <c r="A1734" s="32"/>
      <c r="B1734" s="32"/>
      <c r="C1734" s="257"/>
      <c r="D1734" s="265"/>
      <c r="E1734" s="265"/>
      <c r="F1734" s="257"/>
      <c r="G1734" s="265"/>
      <c r="H1734" s="256"/>
      <c r="I1734" s="257"/>
      <c r="J1734" s="32"/>
      <c r="K1734" s="32"/>
      <c r="L1734" s="32"/>
      <c r="M1734" s="32"/>
      <c r="N1734" s="257"/>
      <c r="O1734" s="32"/>
      <c r="P1734" s="32"/>
      <c r="Q1734" s="32"/>
      <c r="R1734" s="32"/>
      <c r="S1734" s="32"/>
      <c r="T1734" s="264"/>
      <c r="U1734" s="16"/>
      <c r="V1734" s="16"/>
      <c r="W1734" s="16"/>
      <c r="X1734" s="32"/>
      <c r="Y1734" s="250"/>
    </row>
    <row r="1735">
      <c r="A1735" s="32"/>
      <c r="B1735" s="32"/>
      <c r="C1735" s="257"/>
      <c r="D1735" s="265"/>
      <c r="E1735" s="265"/>
      <c r="F1735" s="257"/>
      <c r="G1735" s="265"/>
      <c r="H1735" s="256"/>
      <c r="I1735" s="257"/>
      <c r="J1735" s="32"/>
      <c r="K1735" s="32"/>
      <c r="L1735" s="32"/>
      <c r="M1735" s="32"/>
      <c r="N1735" s="257"/>
      <c r="O1735" s="32"/>
      <c r="P1735" s="32"/>
      <c r="Q1735" s="32"/>
      <c r="R1735" s="32"/>
      <c r="S1735" s="32"/>
      <c r="T1735" s="264"/>
      <c r="U1735" s="16"/>
      <c r="V1735" s="16"/>
      <c r="W1735" s="16"/>
      <c r="X1735" s="32"/>
      <c r="Y1735" s="250"/>
    </row>
    <row r="1736">
      <c r="A1736" s="32"/>
      <c r="B1736" s="32"/>
      <c r="C1736" s="257"/>
      <c r="D1736" s="265"/>
      <c r="E1736" s="265"/>
      <c r="F1736" s="257"/>
      <c r="G1736" s="265"/>
      <c r="H1736" s="256"/>
      <c r="I1736" s="257"/>
      <c r="J1736" s="32"/>
      <c r="K1736" s="32"/>
      <c r="L1736" s="32"/>
      <c r="M1736" s="32"/>
      <c r="N1736" s="257"/>
      <c r="O1736" s="32"/>
      <c r="P1736" s="32"/>
      <c r="Q1736" s="32"/>
      <c r="R1736" s="32"/>
      <c r="S1736" s="32"/>
      <c r="T1736" s="264"/>
      <c r="U1736" s="16"/>
      <c r="V1736" s="16"/>
      <c r="W1736" s="16"/>
      <c r="X1736" s="32"/>
      <c r="Y1736" s="250"/>
    </row>
    <row r="1737">
      <c r="A1737" s="32"/>
      <c r="B1737" s="32"/>
      <c r="C1737" s="257"/>
      <c r="D1737" s="265"/>
      <c r="E1737" s="265"/>
      <c r="F1737" s="257"/>
      <c r="G1737" s="265"/>
      <c r="H1737" s="256"/>
      <c r="I1737" s="257"/>
      <c r="J1737" s="32"/>
      <c r="K1737" s="32"/>
      <c r="L1737" s="32"/>
      <c r="M1737" s="32"/>
      <c r="N1737" s="257"/>
      <c r="O1737" s="32"/>
      <c r="P1737" s="32"/>
      <c r="Q1737" s="32"/>
      <c r="R1737" s="32"/>
      <c r="S1737" s="32"/>
      <c r="T1737" s="264"/>
      <c r="U1737" s="16"/>
      <c r="V1737" s="16"/>
      <c r="W1737" s="16"/>
      <c r="X1737" s="32"/>
      <c r="Y1737" s="250"/>
    </row>
    <row r="1738">
      <c r="A1738" s="32"/>
      <c r="B1738" s="32"/>
      <c r="C1738" s="257"/>
      <c r="D1738" s="265"/>
      <c r="E1738" s="265"/>
      <c r="F1738" s="257"/>
      <c r="G1738" s="265"/>
      <c r="H1738" s="256"/>
      <c r="I1738" s="257"/>
      <c r="J1738" s="32"/>
      <c r="K1738" s="32"/>
      <c r="L1738" s="32"/>
      <c r="M1738" s="32"/>
      <c r="N1738" s="257"/>
      <c r="O1738" s="32"/>
      <c r="P1738" s="32"/>
      <c r="Q1738" s="32"/>
      <c r="R1738" s="32"/>
      <c r="S1738" s="32"/>
      <c r="T1738" s="264"/>
      <c r="U1738" s="16"/>
      <c r="V1738" s="16"/>
      <c r="W1738" s="16"/>
      <c r="X1738" s="32"/>
      <c r="Y1738" s="250"/>
    </row>
    <row r="1739">
      <c r="A1739" s="32"/>
      <c r="B1739" s="32"/>
      <c r="C1739" s="257"/>
      <c r="D1739" s="265"/>
      <c r="E1739" s="265"/>
      <c r="F1739" s="257"/>
      <c r="G1739" s="265"/>
      <c r="H1739" s="256"/>
      <c r="I1739" s="257"/>
      <c r="J1739" s="32"/>
      <c r="K1739" s="32"/>
      <c r="L1739" s="32"/>
      <c r="M1739" s="32"/>
      <c r="N1739" s="257"/>
      <c r="O1739" s="32"/>
      <c r="P1739" s="32"/>
      <c r="Q1739" s="32"/>
      <c r="R1739" s="32"/>
      <c r="S1739" s="32"/>
      <c r="T1739" s="264"/>
      <c r="U1739" s="16"/>
      <c r="V1739" s="16"/>
      <c r="W1739" s="16"/>
      <c r="X1739" s="32"/>
      <c r="Y1739" s="250"/>
    </row>
    <row r="1740">
      <c r="A1740" s="32"/>
      <c r="B1740" s="32"/>
      <c r="C1740" s="257"/>
      <c r="D1740" s="265"/>
      <c r="E1740" s="265"/>
      <c r="F1740" s="257"/>
      <c r="G1740" s="265"/>
      <c r="H1740" s="256"/>
      <c r="I1740" s="257"/>
      <c r="J1740" s="32"/>
      <c r="K1740" s="32"/>
      <c r="L1740" s="32"/>
      <c r="M1740" s="32"/>
      <c r="N1740" s="257"/>
      <c r="O1740" s="32"/>
      <c r="P1740" s="32"/>
      <c r="Q1740" s="32"/>
      <c r="R1740" s="32"/>
      <c r="S1740" s="32"/>
      <c r="T1740" s="264"/>
      <c r="U1740" s="16"/>
      <c r="V1740" s="16"/>
      <c r="W1740" s="16"/>
      <c r="X1740" s="32"/>
      <c r="Y1740" s="250"/>
    </row>
    <row r="1741">
      <c r="A1741" s="32"/>
      <c r="B1741" s="32"/>
      <c r="C1741" s="257"/>
      <c r="D1741" s="265"/>
      <c r="E1741" s="265"/>
      <c r="F1741" s="257"/>
      <c r="G1741" s="265"/>
      <c r="H1741" s="256"/>
      <c r="I1741" s="257"/>
      <c r="J1741" s="32"/>
      <c r="K1741" s="32"/>
      <c r="L1741" s="32"/>
      <c r="M1741" s="32"/>
      <c r="N1741" s="257"/>
      <c r="O1741" s="32"/>
      <c r="P1741" s="32"/>
      <c r="Q1741" s="32"/>
      <c r="R1741" s="32"/>
      <c r="S1741" s="32"/>
      <c r="T1741" s="264"/>
      <c r="U1741" s="16"/>
      <c r="V1741" s="16"/>
      <c r="W1741" s="16"/>
      <c r="X1741" s="32"/>
      <c r="Y1741" s="250"/>
    </row>
    <row r="1742">
      <c r="A1742" s="32"/>
      <c r="B1742" s="32"/>
      <c r="C1742" s="257"/>
      <c r="D1742" s="265"/>
      <c r="E1742" s="265"/>
      <c r="F1742" s="257"/>
      <c r="G1742" s="265"/>
      <c r="H1742" s="256"/>
      <c r="I1742" s="257"/>
      <c r="J1742" s="32"/>
      <c r="K1742" s="32"/>
      <c r="L1742" s="32"/>
      <c r="M1742" s="32"/>
      <c r="N1742" s="257"/>
      <c r="O1742" s="32"/>
      <c r="P1742" s="32"/>
      <c r="Q1742" s="32"/>
      <c r="R1742" s="32"/>
      <c r="S1742" s="32"/>
      <c r="T1742" s="264"/>
      <c r="U1742" s="16"/>
      <c r="V1742" s="16"/>
      <c r="W1742" s="16"/>
      <c r="X1742" s="32"/>
      <c r="Y1742" s="250"/>
    </row>
    <row r="1743">
      <c r="A1743" s="32"/>
      <c r="B1743" s="32"/>
      <c r="C1743" s="257"/>
      <c r="D1743" s="265"/>
      <c r="E1743" s="265"/>
      <c r="F1743" s="257"/>
      <c r="G1743" s="265"/>
      <c r="H1743" s="256"/>
      <c r="I1743" s="257"/>
      <c r="J1743" s="32"/>
      <c r="K1743" s="32"/>
      <c r="L1743" s="32"/>
      <c r="M1743" s="32"/>
      <c r="N1743" s="257"/>
      <c r="O1743" s="32"/>
      <c r="P1743" s="32"/>
      <c r="Q1743" s="32"/>
      <c r="R1743" s="32"/>
      <c r="S1743" s="32"/>
      <c r="T1743" s="264"/>
      <c r="U1743" s="16"/>
      <c r="V1743" s="16"/>
      <c r="W1743" s="16"/>
      <c r="X1743" s="32"/>
      <c r="Y1743" s="250"/>
    </row>
    <row r="1744">
      <c r="A1744" s="32"/>
      <c r="B1744" s="32"/>
      <c r="C1744" s="257"/>
      <c r="D1744" s="265"/>
      <c r="E1744" s="265"/>
      <c r="F1744" s="257"/>
      <c r="G1744" s="265"/>
      <c r="H1744" s="256"/>
      <c r="I1744" s="257"/>
      <c r="J1744" s="32"/>
      <c r="K1744" s="32"/>
      <c r="L1744" s="32"/>
      <c r="M1744" s="32"/>
      <c r="N1744" s="257"/>
      <c r="O1744" s="32"/>
      <c r="P1744" s="32"/>
      <c r="Q1744" s="32"/>
      <c r="R1744" s="32"/>
      <c r="S1744" s="32"/>
      <c r="T1744" s="264"/>
      <c r="U1744" s="16"/>
      <c r="V1744" s="16"/>
      <c r="W1744" s="16"/>
      <c r="X1744" s="32"/>
      <c r="Y1744" s="250"/>
    </row>
    <row r="1745">
      <c r="A1745" s="32"/>
      <c r="B1745" s="32"/>
      <c r="C1745" s="257"/>
      <c r="D1745" s="265"/>
      <c r="E1745" s="265"/>
      <c r="F1745" s="257"/>
      <c r="G1745" s="265"/>
      <c r="H1745" s="256"/>
      <c r="I1745" s="257"/>
      <c r="J1745" s="32"/>
      <c r="K1745" s="32"/>
      <c r="L1745" s="32"/>
      <c r="M1745" s="32"/>
      <c r="N1745" s="257"/>
      <c r="O1745" s="32"/>
      <c r="P1745" s="32"/>
      <c r="Q1745" s="32"/>
      <c r="R1745" s="32"/>
      <c r="S1745" s="32"/>
      <c r="T1745" s="264"/>
      <c r="U1745" s="16"/>
      <c r="V1745" s="16"/>
      <c r="W1745" s="16"/>
      <c r="X1745" s="32"/>
      <c r="Y1745" s="250"/>
    </row>
    <row r="1746">
      <c r="A1746" s="32"/>
      <c r="B1746" s="32"/>
      <c r="C1746" s="257"/>
      <c r="D1746" s="265"/>
      <c r="E1746" s="265"/>
      <c r="F1746" s="257"/>
      <c r="G1746" s="265"/>
      <c r="H1746" s="256"/>
      <c r="I1746" s="257"/>
      <c r="J1746" s="32"/>
      <c r="K1746" s="32"/>
      <c r="L1746" s="32"/>
      <c r="M1746" s="32"/>
      <c r="N1746" s="257"/>
      <c r="O1746" s="32"/>
      <c r="P1746" s="32"/>
      <c r="Q1746" s="32"/>
      <c r="R1746" s="32"/>
      <c r="S1746" s="32"/>
      <c r="T1746" s="264"/>
      <c r="U1746" s="16"/>
      <c r="V1746" s="16"/>
      <c r="W1746" s="16"/>
      <c r="X1746" s="32"/>
      <c r="Y1746" s="250"/>
    </row>
    <row r="1747">
      <c r="A1747" s="32"/>
      <c r="B1747" s="32"/>
      <c r="C1747" s="257"/>
      <c r="D1747" s="265"/>
      <c r="E1747" s="265"/>
      <c r="F1747" s="257"/>
      <c r="G1747" s="265"/>
      <c r="H1747" s="256"/>
      <c r="I1747" s="257"/>
      <c r="J1747" s="32"/>
      <c r="K1747" s="32"/>
      <c r="L1747" s="32"/>
      <c r="M1747" s="32"/>
      <c r="N1747" s="257"/>
      <c r="O1747" s="32"/>
      <c r="P1747" s="32"/>
      <c r="Q1747" s="32"/>
      <c r="R1747" s="32"/>
      <c r="S1747" s="32"/>
      <c r="T1747" s="264"/>
      <c r="U1747" s="16"/>
      <c r="V1747" s="16"/>
      <c r="W1747" s="16"/>
      <c r="X1747" s="32"/>
      <c r="Y1747" s="250"/>
    </row>
    <row r="1748">
      <c r="A1748" s="32"/>
      <c r="B1748" s="32"/>
      <c r="C1748" s="257"/>
      <c r="D1748" s="265"/>
      <c r="E1748" s="265"/>
      <c r="F1748" s="257"/>
      <c r="G1748" s="265"/>
      <c r="H1748" s="256"/>
      <c r="I1748" s="257"/>
      <c r="J1748" s="32"/>
      <c r="K1748" s="32"/>
      <c r="L1748" s="32"/>
      <c r="M1748" s="32"/>
      <c r="N1748" s="257"/>
      <c r="O1748" s="32"/>
      <c r="P1748" s="32"/>
      <c r="Q1748" s="32"/>
      <c r="R1748" s="32"/>
      <c r="S1748" s="32"/>
      <c r="T1748" s="264"/>
      <c r="U1748" s="16"/>
      <c r="V1748" s="16"/>
      <c r="W1748" s="16"/>
      <c r="X1748" s="32"/>
      <c r="Y1748" s="250"/>
    </row>
    <row r="1749">
      <c r="A1749" s="32"/>
      <c r="B1749" s="32"/>
      <c r="C1749" s="257"/>
      <c r="D1749" s="265"/>
      <c r="E1749" s="265"/>
      <c r="F1749" s="257"/>
      <c r="G1749" s="265"/>
      <c r="H1749" s="256"/>
      <c r="I1749" s="257"/>
      <c r="J1749" s="32"/>
      <c r="K1749" s="32"/>
      <c r="L1749" s="32"/>
      <c r="M1749" s="32"/>
      <c r="N1749" s="257"/>
      <c r="O1749" s="32"/>
      <c r="P1749" s="32"/>
      <c r="Q1749" s="32"/>
      <c r="R1749" s="32"/>
      <c r="S1749" s="32"/>
      <c r="T1749" s="264"/>
      <c r="U1749" s="16"/>
      <c r="V1749" s="16"/>
      <c r="W1749" s="16"/>
      <c r="X1749" s="32"/>
      <c r="Y1749" s="250"/>
    </row>
    <row r="1750">
      <c r="A1750" s="32"/>
      <c r="B1750" s="32"/>
      <c r="C1750" s="257"/>
      <c r="D1750" s="265"/>
      <c r="E1750" s="265"/>
      <c r="F1750" s="257"/>
      <c r="G1750" s="265"/>
      <c r="H1750" s="256"/>
      <c r="I1750" s="257"/>
      <c r="J1750" s="32"/>
      <c r="K1750" s="32"/>
      <c r="L1750" s="32"/>
      <c r="M1750" s="32"/>
      <c r="N1750" s="257"/>
      <c r="O1750" s="32"/>
      <c r="P1750" s="32"/>
      <c r="Q1750" s="32"/>
      <c r="R1750" s="32"/>
      <c r="S1750" s="32"/>
      <c r="T1750" s="264"/>
      <c r="U1750" s="16"/>
      <c r="V1750" s="16"/>
      <c r="W1750" s="16"/>
      <c r="X1750" s="32"/>
      <c r="Y1750" s="250"/>
    </row>
    <row r="1751">
      <c r="A1751" s="32"/>
      <c r="B1751" s="32"/>
      <c r="C1751" s="257"/>
      <c r="D1751" s="265"/>
      <c r="E1751" s="265"/>
      <c r="F1751" s="257"/>
      <c r="G1751" s="265"/>
      <c r="H1751" s="256"/>
      <c r="I1751" s="257"/>
      <c r="J1751" s="32"/>
      <c r="K1751" s="32"/>
      <c r="L1751" s="32"/>
      <c r="M1751" s="32"/>
      <c r="N1751" s="257"/>
      <c r="O1751" s="32"/>
      <c r="P1751" s="32"/>
      <c r="Q1751" s="32"/>
      <c r="R1751" s="32"/>
      <c r="S1751" s="32"/>
      <c r="T1751" s="264"/>
      <c r="U1751" s="16"/>
      <c r="V1751" s="16"/>
      <c r="W1751" s="16"/>
      <c r="X1751" s="32"/>
      <c r="Y1751" s="250"/>
    </row>
    <row r="1752">
      <c r="A1752" s="32"/>
      <c r="B1752" s="32"/>
      <c r="C1752" s="257"/>
      <c r="D1752" s="265"/>
      <c r="E1752" s="265"/>
      <c r="F1752" s="257"/>
      <c r="G1752" s="265"/>
      <c r="H1752" s="256"/>
      <c r="I1752" s="257"/>
      <c r="J1752" s="32"/>
      <c r="K1752" s="32"/>
      <c r="L1752" s="32"/>
      <c r="M1752" s="32"/>
      <c r="N1752" s="257"/>
      <c r="O1752" s="32"/>
      <c r="P1752" s="32"/>
      <c r="Q1752" s="32"/>
      <c r="R1752" s="32"/>
      <c r="S1752" s="32"/>
      <c r="T1752" s="264"/>
      <c r="U1752" s="16"/>
      <c r="V1752" s="16"/>
      <c r="W1752" s="16"/>
      <c r="X1752" s="32"/>
      <c r="Y1752" s="250"/>
    </row>
    <row r="1753">
      <c r="A1753" s="32"/>
      <c r="B1753" s="32"/>
      <c r="C1753" s="257"/>
      <c r="D1753" s="265"/>
      <c r="E1753" s="265"/>
      <c r="F1753" s="257"/>
      <c r="G1753" s="265"/>
      <c r="H1753" s="256"/>
      <c r="I1753" s="257"/>
      <c r="J1753" s="32"/>
      <c r="K1753" s="32"/>
      <c r="L1753" s="32"/>
      <c r="M1753" s="32"/>
      <c r="N1753" s="257"/>
      <c r="O1753" s="32"/>
      <c r="P1753" s="32"/>
      <c r="Q1753" s="32"/>
      <c r="R1753" s="32"/>
      <c r="S1753" s="32"/>
      <c r="T1753" s="264"/>
      <c r="U1753" s="16"/>
      <c r="V1753" s="16"/>
      <c r="W1753" s="16"/>
      <c r="X1753" s="32"/>
      <c r="Y1753" s="250"/>
    </row>
    <row r="1754">
      <c r="A1754" s="32"/>
      <c r="B1754" s="32"/>
      <c r="C1754" s="257"/>
      <c r="D1754" s="265"/>
      <c r="E1754" s="265"/>
      <c r="F1754" s="257"/>
      <c r="G1754" s="265"/>
      <c r="H1754" s="256"/>
      <c r="I1754" s="257"/>
      <c r="J1754" s="32"/>
      <c r="K1754" s="32"/>
      <c r="L1754" s="32"/>
      <c r="M1754" s="32"/>
      <c r="N1754" s="257"/>
      <c r="O1754" s="32"/>
      <c r="P1754" s="32"/>
      <c r="Q1754" s="32"/>
      <c r="R1754" s="32"/>
      <c r="S1754" s="32"/>
      <c r="T1754" s="264"/>
      <c r="U1754" s="16"/>
      <c r="V1754" s="16"/>
      <c r="W1754" s="16"/>
      <c r="X1754" s="32"/>
      <c r="Y1754" s="250"/>
    </row>
    <row r="1755">
      <c r="A1755" s="32"/>
      <c r="B1755" s="32"/>
      <c r="C1755" s="257"/>
      <c r="D1755" s="265"/>
      <c r="E1755" s="265"/>
      <c r="F1755" s="257"/>
      <c r="G1755" s="265"/>
      <c r="H1755" s="256"/>
      <c r="I1755" s="257"/>
      <c r="J1755" s="32"/>
      <c r="K1755" s="32"/>
      <c r="L1755" s="32"/>
      <c r="M1755" s="32"/>
      <c r="N1755" s="257"/>
      <c r="O1755" s="32"/>
      <c r="P1755" s="32"/>
      <c r="Q1755" s="32"/>
      <c r="R1755" s="32"/>
      <c r="S1755" s="32"/>
      <c r="T1755" s="264"/>
      <c r="U1755" s="16"/>
      <c r="V1755" s="16"/>
      <c r="W1755" s="16"/>
      <c r="X1755" s="32"/>
      <c r="Y1755" s="250"/>
    </row>
    <row r="1756">
      <c r="A1756" s="32"/>
      <c r="B1756" s="32"/>
      <c r="C1756" s="257"/>
      <c r="D1756" s="265"/>
      <c r="E1756" s="265"/>
      <c r="F1756" s="257"/>
      <c r="G1756" s="265"/>
      <c r="H1756" s="256"/>
      <c r="I1756" s="257"/>
      <c r="J1756" s="32"/>
      <c r="K1756" s="32"/>
      <c r="L1756" s="32"/>
      <c r="M1756" s="32"/>
      <c r="N1756" s="257"/>
      <c r="O1756" s="32"/>
      <c r="P1756" s="32"/>
      <c r="Q1756" s="32"/>
      <c r="R1756" s="32"/>
      <c r="S1756" s="32"/>
      <c r="T1756" s="264"/>
      <c r="U1756" s="16"/>
      <c r="V1756" s="16"/>
      <c r="W1756" s="16"/>
      <c r="X1756" s="32"/>
      <c r="Y1756" s="250"/>
    </row>
    <row r="1757">
      <c r="A1757" s="32"/>
      <c r="B1757" s="32"/>
      <c r="C1757" s="257"/>
      <c r="D1757" s="265"/>
      <c r="E1757" s="265"/>
      <c r="F1757" s="257"/>
      <c r="G1757" s="265"/>
      <c r="H1757" s="256"/>
      <c r="I1757" s="257"/>
      <c r="J1757" s="32"/>
      <c r="K1757" s="32"/>
      <c r="L1757" s="32"/>
      <c r="M1757" s="32"/>
      <c r="N1757" s="257"/>
      <c r="O1757" s="32"/>
      <c r="P1757" s="32"/>
      <c r="Q1757" s="32"/>
      <c r="R1757" s="32"/>
      <c r="S1757" s="32"/>
      <c r="T1757" s="264"/>
      <c r="U1757" s="16"/>
      <c r="V1757" s="16"/>
      <c r="W1757" s="16"/>
      <c r="X1757" s="32"/>
      <c r="Y1757" s="250"/>
    </row>
    <row r="1758">
      <c r="A1758" s="32"/>
      <c r="B1758" s="32"/>
      <c r="C1758" s="257"/>
      <c r="D1758" s="265"/>
      <c r="E1758" s="265"/>
      <c r="F1758" s="257"/>
      <c r="G1758" s="265"/>
      <c r="H1758" s="256"/>
      <c r="I1758" s="257"/>
      <c r="J1758" s="32"/>
      <c r="K1758" s="32"/>
      <c r="L1758" s="32"/>
      <c r="M1758" s="32"/>
      <c r="N1758" s="257"/>
      <c r="O1758" s="32"/>
      <c r="P1758" s="32"/>
      <c r="Q1758" s="32"/>
      <c r="R1758" s="32"/>
      <c r="S1758" s="32"/>
      <c r="T1758" s="264"/>
      <c r="U1758" s="16"/>
      <c r="V1758" s="16"/>
      <c r="W1758" s="16"/>
      <c r="X1758" s="32"/>
      <c r="Y1758" s="250"/>
    </row>
    <row r="1759">
      <c r="A1759" s="32"/>
      <c r="B1759" s="32"/>
      <c r="C1759" s="257"/>
      <c r="D1759" s="265"/>
      <c r="E1759" s="265"/>
      <c r="F1759" s="257"/>
      <c r="G1759" s="265"/>
      <c r="H1759" s="256"/>
      <c r="I1759" s="257"/>
      <c r="J1759" s="32"/>
      <c r="K1759" s="32"/>
      <c r="L1759" s="32"/>
      <c r="M1759" s="32"/>
      <c r="N1759" s="257"/>
      <c r="O1759" s="32"/>
      <c r="P1759" s="32"/>
      <c r="Q1759" s="32"/>
      <c r="R1759" s="32"/>
      <c r="S1759" s="32"/>
      <c r="T1759" s="264"/>
      <c r="U1759" s="16"/>
      <c r="V1759" s="16"/>
      <c r="W1759" s="16"/>
      <c r="X1759" s="32"/>
      <c r="Y1759" s="250"/>
    </row>
    <row r="1760">
      <c r="A1760" s="32"/>
      <c r="B1760" s="32"/>
      <c r="C1760" s="257"/>
      <c r="D1760" s="265"/>
      <c r="E1760" s="265"/>
      <c r="F1760" s="257"/>
      <c r="G1760" s="265"/>
      <c r="H1760" s="256"/>
      <c r="I1760" s="257"/>
      <c r="J1760" s="32"/>
      <c r="K1760" s="32"/>
      <c r="L1760" s="32"/>
      <c r="M1760" s="32"/>
      <c r="N1760" s="257"/>
      <c r="O1760" s="32"/>
      <c r="P1760" s="32"/>
      <c r="Q1760" s="32"/>
      <c r="R1760" s="32"/>
      <c r="S1760" s="32"/>
      <c r="T1760" s="264"/>
      <c r="U1760" s="16"/>
      <c r="V1760" s="16"/>
      <c r="W1760" s="16"/>
      <c r="X1760" s="32"/>
      <c r="Y1760" s="250"/>
    </row>
    <row r="1761">
      <c r="A1761" s="32"/>
      <c r="B1761" s="32"/>
      <c r="C1761" s="257"/>
      <c r="D1761" s="265"/>
      <c r="E1761" s="265"/>
      <c r="F1761" s="257"/>
      <c r="G1761" s="265"/>
      <c r="H1761" s="256"/>
      <c r="I1761" s="257"/>
      <c r="J1761" s="32"/>
      <c r="K1761" s="32"/>
      <c r="L1761" s="32"/>
      <c r="M1761" s="32"/>
      <c r="N1761" s="257"/>
      <c r="O1761" s="32"/>
      <c r="P1761" s="32"/>
      <c r="Q1761" s="32"/>
      <c r="R1761" s="32"/>
      <c r="S1761" s="32"/>
      <c r="T1761" s="264"/>
      <c r="U1761" s="16"/>
      <c r="V1761" s="16"/>
      <c r="W1761" s="16"/>
      <c r="X1761" s="32"/>
      <c r="Y1761" s="250"/>
    </row>
    <row r="1762">
      <c r="A1762" s="32"/>
      <c r="B1762" s="32"/>
      <c r="C1762" s="257"/>
      <c r="D1762" s="265"/>
      <c r="E1762" s="265"/>
      <c r="F1762" s="257"/>
      <c r="G1762" s="265"/>
      <c r="H1762" s="256"/>
      <c r="I1762" s="257"/>
      <c r="J1762" s="32"/>
      <c r="K1762" s="32"/>
      <c r="L1762" s="32"/>
      <c r="M1762" s="32"/>
      <c r="N1762" s="257"/>
      <c r="O1762" s="32"/>
      <c r="P1762" s="32"/>
      <c r="Q1762" s="32"/>
      <c r="R1762" s="32"/>
      <c r="S1762" s="32"/>
      <c r="T1762" s="264"/>
      <c r="U1762" s="16"/>
      <c r="V1762" s="16"/>
      <c r="W1762" s="16"/>
      <c r="X1762" s="32"/>
      <c r="Y1762" s="250"/>
    </row>
    <row r="1763">
      <c r="A1763" s="32"/>
      <c r="B1763" s="32"/>
      <c r="C1763" s="257"/>
      <c r="D1763" s="265"/>
      <c r="E1763" s="265"/>
      <c r="F1763" s="257"/>
      <c r="G1763" s="265"/>
      <c r="H1763" s="256"/>
      <c r="I1763" s="257"/>
      <c r="J1763" s="32"/>
      <c r="K1763" s="32"/>
      <c r="L1763" s="32"/>
      <c r="M1763" s="32"/>
      <c r="N1763" s="257"/>
      <c r="O1763" s="32"/>
      <c r="P1763" s="32"/>
      <c r="Q1763" s="32"/>
      <c r="R1763" s="32"/>
      <c r="S1763" s="32"/>
      <c r="T1763" s="264"/>
      <c r="U1763" s="16"/>
      <c r="V1763" s="16"/>
      <c r="W1763" s="16"/>
      <c r="X1763" s="32"/>
      <c r="Y1763" s="250"/>
    </row>
    <row r="1764">
      <c r="A1764" s="32"/>
      <c r="B1764" s="32"/>
      <c r="C1764" s="257"/>
      <c r="D1764" s="265"/>
      <c r="E1764" s="265"/>
      <c r="F1764" s="257"/>
      <c r="G1764" s="265"/>
      <c r="H1764" s="256"/>
      <c r="I1764" s="257"/>
      <c r="J1764" s="32"/>
      <c r="K1764" s="32"/>
      <c r="L1764" s="32"/>
      <c r="M1764" s="32"/>
      <c r="N1764" s="257"/>
      <c r="O1764" s="32"/>
      <c r="P1764" s="32"/>
      <c r="Q1764" s="32"/>
      <c r="R1764" s="32"/>
      <c r="S1764" s="32"/>
      <c r="T1764" s="264"/>
      <c r="U1764" s="16"/>
      <c r="V1764" s="16"/>
      <c r="W1764" s="16"/>
      <c r="X1764" s="32"/>
      <c r="Y1764" s="250"/>
    </row>
    <row r="1765">
      <c r="A1765" s="32"/>
      <c r="B1765" s="32"/>
      <c r="C1765" s="257"/>
      <c r="D1765" s="265"/>
      <c r="E1765" s="265"/>
      <c r="F1765" s="257"/>
      <c r="G1765" s="265"/>
      <c r="H1765" s="256"/>
      <c r="I1765" s="257"/>
      <c r="J1765" s="32"/>
      <c r="K1765" s="32"/>
      <c r="L1765" s="32"/>
      <c r="M1765" s="32"/>
      <c r="N1765" s="257"/>
      <c r="O1765" s="32"/>
      <c r="P1765" s="32"/>
      <c r="Q1765" s="32"/>
      <c r="R1765" s="32"/>
      <c r="S1765" s="32"/>
      <c r="T1765" s="264"/>
      <c r="U1765" s="16"/>
      <c r="V1765" s="16"/>
      <c r="W1765" s="16"/>
      <c r="X1765" s="32"/>
      <c r="Y1765" s="250"/>
    </row>
    <row r="1766">
      <c r="A1766" s="32"/>
      <c r="B1766" s="32"/>
      <c r="C1766" s="257"/>
      <c r="D1766" s="265"/>
      <c r="E1766" s="265"/>
      <c r="F1766" s="257"/>
      <c r="G1766" s="265"/>
      <c r="H1766" s="256"/>
      <c r="I1766" s="257"/>
      <c r="J1766" s="32"/>
      <c r="K1766" s="32"/>
      <c r="L1766" s="32"/>
      <c r="M1766" s="32"/>
      <c r="N1766" s="257"/>
      <c r="O1766" s="32"/>
      <c r="P1766" s="32"/>
      <c r="Q1766" s="32"/>
      <c r="R1766" s="32"/>
      <c r="S1766" s="32"/>
      <c r="T1766" s="264"/>
      <c r="U1766" s="16"/>
      <c r="V1766" s="16"/>
      <c r="W1766" s="16"/>
      <c r="X1766" s="32"/>
      <c r="Y1766" s="250"/>
    </row>
    <row r="1767">
      <c r="A1767" s="32"/>
      <c r="B1767" s="32"/>
      <c r="C1767" s="257"/>
      <c r="D1767" s="265"/>
      <c r="E1767" s="265"/>
      <c r="F1767" s="257"/>
      <c r="G1767" s="265"/>
      <c r="H1767" s="256"/>
      <c r="I1767" s="257"/>
      <c r="J1767" s="32"/>
      <c r="K1767" s="32"/>
      <c r="L1767" s="32"/>
      <c r="M1767" s="32"/>
      <c r="N1767" s="257"/>
      <c r="O1767" s="32"/>
      <c r="P1767" s="32"/>
      <c r="Q1767" s="32"/>
      <c r="R1767" s="32"/>
      <c r="S1767" s="32"/>
      <c r="T1767" s="264"/>
      <c r="U1767" s="16"/>
      <c r="V1767" s="16"/>
      <c r="W1767" s="16"/>
      <c r="X1767" s="32"/>
      <c r="Y1767" s="250"/>
    </row>
    <row r="1768">
      <c r="A1768" s="32"/>
      <c r="B1768" s="32"/>
      <c r="C1768" s="257"/>
      <c r="D1768" s="265"/>
      <c r="E1768" s="265"/>
      <c r="F1768" s="257"/>
      <c r="G1768" s="265"/>
      <c r="H1768" s="256"/>
      <c r="I1768" s="257"/>
      <c r="J1768" s="32"/>
      <c r="K1768" s="32"/>
      <c r="L1768" s="32"/>
      <c r="M1768" s="32"/>
      <c r="N1768" s="257"/>
      <c r="O1768" s="32"/>
      <c r="P1768" s="32"/>
      <c r="Q1768" s="32"/>
      <c r="R1768" s="32"/>
      <c r="S1768" s="32"/>
      <c r="T1768" s="264"/>
      <c r="U1768" s="16"/>
      <c r="V1768" s="16"/>
      <c r="W1768" s="16"/>
      <c r="X1768" s="32"/>
      <c r="Y1768" s="250"/>
    </row>
    <row r="1769">
      <c r="A1769" s="32"/>
      <c r="B1769" s="32"/>
      <c r="C1769" s="257"/>
      <c r="D1769" s="265"/>
      <c r="E1769" s="265"/>
      <c r="F1769" s="257"/>
      <c r="G1769" s="265"/>
      <c r="H1769" s="256"/>
      <c r="I1769" s="257"/>
      <c r="J1769" s="32"/>
      <c r="K1769" s="32"/>
      <c r="L1769" s="32"/>
      <c r="M1769" s="32"/>
      <c r="N1769" s="257"/>
      <c r="O1769" s="32"/>
      <c r="P1769" s="32"/>
      <c r="Q1769" s="32"/>
      <c r="R1769" s="32"/>
      <c r="S1769" s="32"/>
      <c r="T1769" s="264"/>
      <c r="U1769" s="16"/>
      <c r="V1769" s="16"/>
      <c r="W1769" s="16"/>
      <c r="X1769" s="32"/>
      <c r="Y1769" s="250"/>
    </row>
    <row r="1770">
      <c r="A1770" s="32"/>
      <c r="B1770" s="32"/>
      <c r="C1770" s="257"/>
      <c r="D1770" s="265"/>
      <c r="E1770" s="265"/>
      <c r="F1770" s="257"/>
      <c r="G1770" s="265"/>
      <c r="H1770" s="256"/>
      <c r="I1770" s="257"/>
      <c r="J1770" s="32"/>
      <c r="K1770" s="32"/>
      <c r="L1770" s="32"/>
      <c r="M1770" s="32"/>
      <c r="N1770" s="257"/>
      <c r="O1770" s="32"/>
      <c r="P1770" s="32"/>
      <c r="Q1770" s="32"/>
      <c r="R1770" s="32"/>
      <c r="S1770" s="32"/>
      <c r="T1770" s="264"/>
      <c r="U1770" s="16"/>
      <c r="V1770" s="16"/>
      <c r="W1770" s="16"/>
      <c r="X1770" s="32"/>
      <c r="Y1770" s="250"/>
    </row>
    <row r="1771">
      <c r="A1771" s="32"/>
      <c r="B1771" s="32"/>
      <c r="C1771" s="257"/>
      <c r="D1771" s="265"/>
      <c r="E1771" s="265"/>
      <c r="F1771" s="257"/>
      <c r="G1771" s="265"/>
      <c r="H1771" s="256"/>
      <c r="I1771" s="257"/>
      <c r="J1771" s="32"/>
      <c r="K1771" s="32"/>
      <c r="L1771" s="32"/>
      <c r="M1771" s="32"/>
      <c r="N1771" s="257"/>
      <c r="O1771" s="32"/>
      <c r="P1771" s="32"/>
      <c r="Q1771" s="32"/>
      <c r="R1771" s="32"/>
      <c r="S1771" s="32"/>
      <c r="T1771" s="264"/>
      <c r="U1771" s="16"/>
      <c r="V1771" s="16"/>
      <c r="W1771" s="16"/>
      <c r="X1771" s="32"/>
      <c r="Y1771" s="250"/>
    </row>
    <row r="1772">
      <c r="A1772" s="32"/>
      <c r="B1772" s="32"/>
      <c r="C1772" s="257"/>
      <c r="D1772" s="265"/>
      <c r="E1772" s="265"/>
      <c r="F1772" s="257"/>
      <c r="G1772" s="265"/>
      <c r="H1772" s="256"/>
      <c r="I1772" s="257"/>
      <c r="J1772" s="32"/>
      <c r="K1772" s="32"/>
      <c r="L1772" s="32"/>
      <c r="M1772" s="32"/>
      <c r="N1772" s="257"/>
      <c r="O1772" s="32"/>
      <c r="P1772" s="32"/>
      <c r="Q1772" s="32"/>
      <c r="R1772" s="32"/>
      <c r="S1772" s="32"/>
      <c r="T1772" s="264"/>
      <c r="U1772" s="16"/>
      <c r="V1772" s="16"/>
      <c r="W1772" s="16"/>
      <c r="X1772" s="32"/>
      <c r="Y1772" s="250"/>
    </row>
    <row r="1773">
      <c r="A1773" s="32"/>
      <c r="B1773" s="32"/>
      <c r="C1773" s="257"/>
      <c r="D1773" s="265"/>
      <c r="E1773" s="265"/>
      <c r="F1773" s="257"/>
      <c r="G1773" s="265"/>
      <c r="H1773" s="256"/>
      <c r="I1773" s="257"/>
      <c r="J1773" s="32"/>
      <c r="K1773" s="32"/>
      <c r="L1773" s="32"/>
      <c r="M1773" s="32"/>
      <c r="N1773" s="257"/>
      <c r="O1773" s="32"/>
      <c r="P1773" s="32"/>
      <c r="Q1773" s="32"/>
      <c r="R1773" s="32"/>
      <c r="S1773" s="32"/>
      <c r="T1773" s="264"/>
      <c r="U1773" s="16"/>
      <c r="V1773" s="16"/>
      <c r="W1773" s="16"/>
      <c r="X1773" s="32"/>
      <c r="Y1773" s="250"/>
    </row>
    <row r="1774">
      <c r="A1774" s="32"/>
      <c r="B1774" s="32"/>
      <c r="C1774" s="257"/>
      <c r="D1774" s="265"/>
      <c r="E1774" s="265"/>
      <c r="F1774" s="257"/>
      <c r="G1774" s="265"/>
      <c r="H1774" s="256"/>
      <c r="I1774" s="257"/>
      <c r="J1774" s="32"/>
      <c r="K1774" s="32"/>
      <c r="L1774" s="32"/>
      <c r="M1774" s="32"/>
      <c r="N1774" s="257"/>
      <c r="O1774" s="32"/>
      <c r="P1774" s="32"/>
      <c r="Q1774" s="32"/>
      <c r="R1774" s="32"/>
      <c r="S1774" s="32"/>
      <c r="T1774" s="264"/>
      <c r="U1774" s="16"/>
      <c r="V1774" s="16"/>
      <c r="W1774" s="16"/>
      <c r="X1774" s="32"/>
      <c r="Y1774" s="250"/>
    </row>
    <row r="1775">
      <c r="A1775" s="32"/>
      <c r="B1775" s="32"/>
      <c r="C1775" s="257"/>
      <c r="D1775" s="265"/>
      <c r="E1775" s="265"/>
      <c r="F1775" s="257"/>
      <c r="G1775" s="265"/>
      <c r="H1775" s="256"/>
      <c r="I1775" s="257"/>
      <c r="J1775" s="32"/>
      <c r="K1775" s="32"/>
      <c r="L1775" s="32"/>
      <c r="M1775" s="32"/>
      <c r="N1775" s="257"/>
      <c r="O1775" s="32"/>
      <c r="P1775" s="32"/>
      <c r="Q1775" s="32"/>
      <c r="R1775" s="32"/>
      <c r="S1775" s="32"/>
      <c r="T1775" s="264"/>
      <c r="U1775" s="16"/>
      <c r="V1775" s="16"/>
      <c r="W1775" s="16"/>
      <c r="X1775" s="32"/>
      <c r="Y1775" s="250"/>
    </row>
    <row r="1776">
      <c r="A1776" s="32"/>
      <c r="B1776" s="32"/>
      <c r="C1776" s="257"/>
      <c r="D1776" s="265"/>
      <c r="E1776" s="265"/>
      <c r="F1776" s="257"/>
      <c r="G1776" s="265"/>
      <c r="H1776" s="256"/>
      <c r="I1776" s="257"/>
      <c r="J1776" s="32"/>
      <c r="K1776" s="32"/>
      <c r="L1776" s="32"/>
      <c r="M1776" s="32"/>
      <c r="N1776" s="257"/>
      <c r="O1776" s="32"/>
      <c r="P1776" s="32"/>
      <c r="Q1776" s="32"/>
      <c r="R1776" s="32"/>
      <c r="S1776" s="32"/>
      <c r="T1776" s="264"/>
      <c r="U1776" s="16"/>
      <c r="V1776" s="16"/>
      <c r="W1776" s="16"/>
      <c r="X1776" s="32"/>
      <c r="Y1776" s="250"/>
    </row>
    <row r="1777">
      <c r="A1777" s="32"/>
      <c r="B1777" s="32"/>
      <c r="C1777" s="257"/>
      <c r="D1777" s="265"/>
      <c r="E1777" s="265"/>
      <c r="F1777" s="257"/>
      <c r="G1777" s="265"/>
      <c r="H1777" s="256"/>
      <c r="I1777" s="257"/>
      <c r="J1777" s="32"/>
      <c r="K1777" s="32"/>
      <c r="L1777" s="32"/>
      <c r="M1777" s="32"/>
      <c r="N1777" s="257"/>
      <c r="O1777" s="32"/>
      <c r="P1777" s="32"/>
      <c r="Q1777" s="32"/>
      <c r="R1777" s="32"/>
      <c r="S1777" s="32"/>
      <c r="T1777" s="264"/>
      <c r="U1777" s="16"/>
      <c r="V1777" s="16"/>
      <c r="W1777" s="16"/>
      <c r="X1777" s="32"/>
      <c r="Y1777" s="250"/>
    </row>
    <row r="1778">
      <c r="A1778" s="32"/>
      <c r="B1778" s="32"/>
      <c r="C1778" s="257"/>
      <c r="D1778" s="265"/>
      <c r="E1778" s="265"/>
      <c r="F1778" s="257"/>
      <c r="G1778" s="265"/>
      <c r="H1778" s="256"/>
      <c r="I1778" s="257"/>
      <c r="J1778" s="32"/>
      <c r="K1778" s="32"/>
      <c r="L1778" s="32"/>
      <c r="M1778" s="32"/>
      <c r="N1778" s="257"/>
      <c r="O1778" s="32"/>
      <c r="P1778" s="32"/>
      <c r="Q1778" s="32"/>
      <c r="R1778" s="32"/>
      <c r="S1778" s="32"/>
      <c r="T1778" s="264"/>
      <c r="U1778" s="16"/>
      <c r="V1778" s="16"/>
      <c r="W1778" s="16"/>
      <c r="X1778" s="32"/>
      <c r="Y1778" s="250"/>
    </row>
    <row r="1779">
      <c r="A1779" s="32"/>
      <c r="B1779" s="32"/>
      <c r="C1779" s="257"/>
      <c r="D1779" s="265"/>
      <c r="E1779" s="265"/>
      <c r="F1779" s="257"/>
      <c r="G1779" s="265"/>
      <c r="H1779" s="256"/>
      <c r="I1779" s="257"/>
      <c r="J1779" s="32"/>
      <c r="K1779" s="32"/>
      <c r="L1779" s="32"/>
      <c r="M1779" s="32"/>
      <c r="N1779" s="257"/>
      <c r="O1779" s="32"/>
      <c r="P1779" s="32"/>
      <c r="Q1779" s="32"/>
      <c r="R1779" s="32"/>
      <c r="S1779" s="32"/>
      <c r="T1779" s="264"/>
      <c r="U1779" s="16"/>
      <c r="V1779" s="16"/>
      <c r="W1779" s="16"/>
      <c r="X1779" s="32"/>
      <c r="Y1779" s="250"/>
    </row>
    <row r="1780">
      <c r="A1780" s="32"/>
      <c r="B1780" s="32"/>
      <c r="C1780" s="257"/>
      <c r="D1780" s="265"/>
      <c r="E1780" s="265"/>
      <c r="F1780" s="257"/>
      <c r="G1780" s="265"/>
      <c r="H1780" s="256"/>
      <c r="I1780" s="257"/>
      <c r="J1780" s="32"/>
      <c r="K1780" s="32"/>
      <c r="L1780" s="32"/>
      <c r="M1780" s="32"/>
      <c r="N1780" s="257"/>
      <c r="O1780" s="32"/>
      <c r="P1780" s="32"/>
      <c r="Q1780" s="32"/>
      <c r="R1780" s="32"/>
      <c r="S1780" s="32"/>
      <c r="T1780" s="264"/>
      <c r="U1780" s="16"/>
      <c r="V1780" s="16"/>
      <c r="W1780" s="16"/>
      <c r="X1780" s="32"/>
      <c r="Y1780" s="250"/>
    </row>
    <row r="1781">
      <c r="A1781" s="32"/>
      <c r="B1781" s="32"/>
      <c r="C1781" s="257"/>
      <c r="D1781" s="265"/>
      <c r="E1781" s="265"/>
      <c r="F1781" s="257"/>
      <c r="G1781" s="265"/>
      <c r="H1781" s="256"/>
      <c r="I1781" s="257"/>
      <c r="J1781" s="32"/>
      <c r="K1781" s="32"/>
      <c r="L1781" s="32"/>
      <c r="M1781" s="32"/>
      <c r="N1781" s="257"/>
      <c r="O1781" s="32"/>
      <c r="P1781" s="32"/>
      <c r="Q1781" s="32"/>
      <c r="R1781" s="32"/>
      <c r="S1781" s="32"/>
      <c r="T1781" s="264"/>
      <c r="U1781" s="16"/>
      <c r="V1781" s="16"/>
      <c r="W1781" s="16"/>
      <c r="X1781" s="32"/>
      <c r="Y1781" s="250"/>
    </row>
    <row r="1782">
      <c r="A1782" s="32"/>
      <c r="B1782" s="32"/>
      <c r="C1782" s="257"/>
      <c r="D1782" s="265"/>
      <c r="E1782" s="265"/>
      <c r="F1782" s="257"/>
      <c r="G1782" s="265"/>
      <c r="H1782" s="256"/>
      <c r="I1782" s="257"/>
      <c r="J1782" s="32"/>
      <c r="K1782" s="32"/>
      <c r="L1782" s="32"/>
      <c r="M1782" s="32"/>
      <c r="N1782" s="257"/>
      <c r="O1782" s="32"/>
      <c r="P1782" s="32"/>
      <c r="Q1782" s="32"/>
      <c r="R1782" s="32"/>
      <c r="S1782" s="32"/>
      <c r="T1782" s="264"/>
      <c r="U1782" s="16"/>
      <c r="V1782" s="16"/>
      <c r="W1782" s="16"/>
      <c r="X1782" s="32"/>
      <c r="Y1782" s="250"/>
    </row>
    <row r="1783">
      <c r="A1783" s="32"/>
      <c r="B1783" s="32"/>
      <c r="C1783" s="257"/>
      <c r="D1783" s="265"/>
      <c r="E1783" s="265"/>
      <c r="F1783" s="257"/>
      <c r="G1783" s="265"/>
      <c r="H1783" s="256"/>
      <c r="I1783" s="257"/>
      <c r="J1783" s="32"/>
      <c r="K1783" s="32"/>
      <c r="L1783" s="32"/>
      <c r="M1783" s="32"/>
      <c r="N1783" s="257"/>
      <c r="O1783" s="32"/>
      <c r="P1783" s="32"/>
      <c r="Q1783" s="32"/>
      <c r="R1783" s="32"/>
      <c r="S1783" s="32"/>
      <c r="T1783" s="264"/>
      <c r="U1783" s="16"/>
      <c r="V1783" s="16"/>
      <c r="W1783" s="16"/>
      <c r="X1783" s="32"/>
      <c r="Y1783" s="250"/>
    </row>
    <row r="1784">
      <c r="A1784" s="32"/>
      <c r="B1784" s="32"/>
      <c r="C1784" s="257"/>
      <c r="D1784" s="265"/>
      <c r="E1784" s="265"/>
      <c r="F1784" s="257"/>
      <c r="G1784" s="265"/>
      <c r="H1784" s="256"/>
      <c r="I1784" s="257"/>
      <c r="J1784" s="32"/>
      <c r="K1784" s="32"/>
      <c r="L1784" s="32"/>
      <c r="M1784" s="32"/>
      <c r="N1784" s="257"/>
      <c r="O1784" s="32"/>
      <c r="P1784" s="32"/>
      <c r="Q1784" s="32"/>
      <c r="R1784" s="32"/>
      <c r="S1784" s="32"/>
      <c r="T1784" s="264"/>
      <c r="U1784" s="16"/>
      <c r="V1784" s="16"/>
      <c r="W1784" s="16"/>
      <c r="X1784" s="32"/>
      <c r="Y1784" s="250"/>
    </row>
    <row r="1785">
      <c r="A1785" s="32"/>
      <c r="B1785" s="32"/>
      <c r="C1785" s="257"/>
      <c r="D1785" s="265"/>
      <c r="E1785" s="265"/>
      <c r="F1785" s="257"/>
      <c r="G1785" s="265"/>
      <c r="H1785" s="256"/>
      <c r="I1785" s="257"/>
      <c r="J1785" s="32"/>
      <c r="K1785" s="32"/>
      <c r="L1785" s="32"/>
      <c r="M1785" s="32"/>
      <c r="N1785" s="257"/>
      <c r="O1785" s="32"/>
      <c r="P1785" s="32"/>
      <c r="Q1785" s="32"/>
      <c r="R1785" s="32"/>
      <c r="S1785" s="32"/>
      <c r="T1785" s="264"/>
      <c r="U1785" s="16"/>
      <c r="V1785" s="16"/>
      <c r="W1785" s="16"/>
      <c r="X1785" s="32"/>
      <c r="Y1785" s="250"/>
    </row>
    <row r="1786">
      <c r="A1786" s="32"/>
      <c r="B1786" s="32"/>
      <c r="C1786" s="257"/>
      <c r="D1786" s="265"/>
      <c r="E1786" s="265"/>
      <c r="F1786" s="257"/>
      <c r="G1786" s="265"/>
      <c r="H1786" s="256"/>
      <c r="I1786" s="257"/>
      <c r="J1786" s="32"/>
      <c r="K1786" s="32"/>
      <c r="L1786" s="32"/>
      <c r="M1786" s="32"/>
      <c r="N1786" s="257"/>
      <c r="O1786" s="32"/>
      <c r="P1786" s="32"/>
      <c r="Q1786" s="32"/>
      <c r="R1786" s="32"/>
      <c r="S1786" s="32"/>
      <c r="T1786" s="264"/>
      <c r="U1786" s="16"/>
      <c r="V1786" s="16"/>
      <c r="W1786" s="16"/>
      <c r="X1786" s="32"/>
      <c r="Y1786" s="250"/>
    </row>
    <row r="1787">
      <c r="A1787" s="32"/>
      <c r="B1787" s="32"/>
      <c r="C1787" s="257"/>
      <c r="D1787" s="265"/>
      <c r="E1787" s="265"/>
      <c r="F1787" s="257"/>
      <c r="G1787" s="265"/>
      <c r="H1787" s="256"/>
      <c r="I1787" s="257"/>
      <c r="J1787" s="32"/>
      <c r="K1787" s="32"/>
      <c r="L1787" s="32"/>
      <c r="M1787" s="32"/>
      <c r="N1787" s="257"/>
      <c r="O1787" s="32"/>
      <c r="P1787" s="32"/>
      <c r="Q1787" s="32"/>
      <c r="R1787" s="32"/>
      <c r="S1787" s="32"/>
      <c r="T1787" s="264"/>
      <c r="U1787" s="16"/>
      <c r="V1787" s="16"/>
      <c r="W1787" s="16"/>
      <c r="X1787" s="32"/>
      <c r="Y1787" s="250"/>
    </row>
    <row r="1788">
      <c r="A1788" s="32"/>
      <c r="B1788" s="32"/>
      <c r="C1788" s="257"/>
      <c r="D1788" s="265"/>
      <c r="E1788" s="265"/>
      <c r="F1788" s="257"/>
      <c r="G1788" s="265"/>
      <c r="H1788" s="256"/>
      <c r="I1788" s="257"/>
      <c r="J1788" s="32"/>
      <c r="K1788" s="32"/>
      <c r="L1788" s="32"/>
      <c r="M1788" s="32"/>
      <c r="N1788" s="257"/>
      <c r="O1788" s="32"/>
      <c r="P1788" s="32"/>
      <c r="Q1788" s="32"/>
      <c r="R1788" s="32"/>
      <c r="S1788" s="32"/>
      <c r="T1788" s="264"/>
      <c r="U1788" s="16"/>
      <c r="V1788" s="16"/>
      <c r="W1788" s="16"/>
      <c r="X1788" s="32"/>
      <c r="Y1788" s="250"/>
    </row>
    <row r="1789">
      <c r="A1789" s="32"/>
      <c r="B1789" s="32"/>
      <c r="C1789" s="257"/>
      <c r="D1789" s="265"/>
      <c r="E1789" s="265"/>
      <c r="F1789" s="257"/>
      <c r="G1789" s="265"/>
      <c r="H1789" s="256"/>
      <c r="I1789" s="257"/>
      <c r="J1789" s="32"/>
      <c r="K1789" s="32"/>
      <c r="L1789" s="32"/>
      <c r="M1789" s="32"/>
      <c r="N1789" s="257"/>
      <c r="O1789" s="32"/>
      <c r="P1789" s="32"/>
      <c r="Q1789" s="32"/>
      <c r="R1789" s="32"/>
      <c r="S1789" s="32"/>
      <c r="T1789" s="264"/>
      <c r="U1789" s="16"/>
      <c r="V1789" s="16"/>
      <c r="W1789" s="16"/>
      <c r="X1789" s="32"/>
      <c r="Y1789" s="250"/>
    </row>
    <row r="1790">
      <c r="A1790" s="32"/>
      <c r="B1790" s="32"/>
      <c r="C1790" s="257"/>
      <c r="D1790" s="265"/>
      <c r="E1790" s="265"/>
      <c r="F1790" s="257"/>
      <c r="G1790" s="265"/>
      <c r="H1790" s="256"/>
      <c r="I1790" s="257"/>
      <c r="J1790" s="32"/>
      <c r="K1790" s="32"/>
      <c r="L1790" s="32"/>
      <c r="M1790" s="32"/>
      <c r="N1790" s="257"/>
      <c r="O1790" s="32"/>
      <c r="P1790" s="32"/>
      <c r="Q1790" s="32"/>
      <c r="R1790" s="32"/>
      <c r="S1790" s="32"/>
      <c r="T1790" s="264"/>
      <c r="U1790" s="16"/>
      <c r="V1790" s="16"/>
      <c r="W1790" s="16"/>
      <c r="X1790" s="32"/>
      <c r="Y1790" s="250"/>
    </row>
    <row r="1791">
      <c r="A1791" s="32"/>
      <c r="B1791" s="32"/>
      <c r="C1791" s="257"/>
      <c r="D1791" s="265"/>
      <c r="E1791" s="265"/>
      <c r="F1791" s="257"/>
      <c r="G1791" s="265"/>
      <c r="H1791" s="256"/>
      <c r="I1791" s="257"/>
      <c r="J1791" s="32"/>
      <c r="K1791" s="32"/>
      <c r="L1791" s="32"/>
      <c r="M1791" s="32"/>
      <c r="N1791" s="257"/>
      <c r="O1791" s="32"/>
      <c r="P1791" s="32"/>
      <c r="Q1791" s="32"/>
      <c r="R1791" s="32"/>
      <c r="S1791" s="32"/>
      <c r="T1791" s="264"/>
      <c r="U1791" s="16"/>
      <c r="V1791" s="16"/>
      <c r="W1791" s="16"/>
      <c r="X1791" s="32"/>
      <c r="Y1791" s="250"/>
    </row>
    <row r="1792">
      <c r="A1792" s="32"/>
      <c r="B1792" s="32"/>
      <c r="C1792" s="257"/>
      <c r="D1792" s="265"/>
      <c r="E1792" s="265"/>
      <c r="F1792" s="257"/>
      <c r="G1792" s="265"/>
      <c r="H1792" s="256"/>
      <c r="I1792" s="257"/>
      <c r="J1792" s="32"/>
      <c r="K1792" s="32"/>
      <c r="L1792" s="32"/>
      <c r="M1792" s="32"/>
      <c r="N1792" s="257"/>
      <c r="O1792" s="32"/>
      <c r="P1792" s="32"/>
      <c r="Q1792" s="32"/>
      <c r="R1792" s="32"/>
      <c r="S1792" s="32"/>
      <c r="T1792" s="264"/>
      <c r="U1792" s="16"/>
      <c r="V1792" s="16"/>
      <c r="W1792" s="16"/>
      <c r="X1792" s="32"/>
      <c r="Y1792" s="250"/>
    </row>
    <row r="1793">
      <c r="A1793" s="32"/>
      <c r="B1793" s="32"/>
      <c r="C1793" s="257"/>
      <c r="D1793" s="265"/>
      <c r="E1793" s="265"/>
      <c r="F1793" s="257"/>
      <c r="G1793" s="265"/>
      <c r="H1793" s="256"/>
      <c r="I1793" s="257"/>
      <c r="J1793" s="32"/>
      <c r="K1793" s="32"/>
      <c r="L1793" s="32"/>
      <c r="M1793" s="32"/>
      <c r="N1793" s="257"/>
      <c r="O1793" s="32"/>
      <c r="P1793" s="32"/>
      <c r="Q1793" s="32"/>
      <c r="R1793" s="32"/>
      <c r="S1793" s="32"/>
      <c r="T1793" s="264"/>
      <c r="U1793" s="16"/>
      <c r="V1793" s="16"/>
      <c r="W1793" s="16"/>
      <c r="X1793" s="32"/>
      <c r="Y1793" s="250"/>
    </row>
    <row r="1794">
      <c r="A1794" s="32"/>
      <c r="B1794" s="32"/>
      <c r="C1794" s="257"/>
      <c r="D1794" s="265"/>
      <c r="E1794" s="265"/>
      <c r="F1794" s="257"/>
      <c r="G1794" s="265"/>
      <c r="H1794" s="256"/>
      <c r="I1794" s="257"/>
      <c r="J1794" s="32"/>
      <c r="K1794" s="32"/>
      <c r="L1794" s="32"/>
      <c r="M1794" s="32"/>
      <c r="N1794" s="257"/>
      <c r="O1794" s="32"/>
      <c r="P1794" s="32"/>
      <c r="Q1794" s="32"/>
      <c r="R1794" s="32"/>
      <c r="S1794" s="32"/>
      <c r="T1794" s="264"/>
      <c r="U1794" s="16"/>
      <c r="V1794" s="16"/>
      <c r="W1794" s="16"/>
      <c r="X1794" s="32"/>
      <c r="Y1794" s="250"/>
    </row>
    <row r="1795">
      <c r="A1795" s="32"/>
      <c r="B1795" s="32"/>
      <c r="C1795" s="257"/>
      <c r="D1795" s="265"/>
      <c r="E1795" s="265"/>
      <c r="F1795" s="257"/>
      <c r="G1795" s="265"/>
      <c r="H1795" s="256"/>
      <c r="I1795" s="257"/>
      <c r="J1795" s="32"/>
      <c r="K1795" s="32"/>
      <c r="L1795" s="32"/>
      <c r="M1795" s="32"/>
      <c r="N1795" s="257"/>
      <c r="O1795" s="32"/>
      <c r="P1795" s="32"/>
      <c r="Q1795" s="32"/>
      <c r="R1795" s="32"/>
      <c r="S1795" s="32"/>
      <c r="T1795" s="264"/>
      <c r="U1795" s="16"/>
      <c r="V1795" s="16"/>
      <c r="W1795" s="16"/>
      <c r="X1795" s="32"/>
      <c r="Y1795" s="250"/>
    </row>
    <row r="1796">
      <c r="A1796" s="32"/>
      <c r="B1796" s="32"/>
      <c r="C1796" s="257"/>
      <c r="D1796" s="265"/>
      <c r="E1796" s="265"/>
      <c r="F1796" s="257"/>
      <c r="G1796" s="265"/>
      <c r="H1796" s="256"/>
      <c r="I1796" s="257"/>
      <c r="J1796" s="32"/>
      <c r="K1796" s="32"/>
      <c r="L1796" s="32"/>
      <c r="M1796" s="32"/>
      <c r="N1796" s="257"/>
      <c r="O1796" s="32"/>
      <c r="P1796" s="32"/>
      <c r="Q1796" s="32"/>
      <c r="R1796" s="32"/>
      <c r="S1796" s="32"/>
      <c r="T1796" s="264"/>
      <c r="U1796" s="16"/>
      <c r="V1796" s="16"/>
      <c r="W1796" s="16"/>
      <c r="X1796" s="32"/>
      <c r="Y1796" s="250"/>
    </row>
    <row r="1797">
      <c r="A1797" s="32"/>
      <c r="B1797" s="32"/>
      <c r="C1797" s="257"/>
      <c r="D1797" s="265"/>
      <c r="E1797" s="265"/>
      <c r="F1797" s="257"/>
      <c r="G1797" s="265"/>
      <c r="H1797" s="256"/>
      <c r="I1797" s="257"/>
      <c r="J1797" s="32"/>
      <c r="K1797" s="32"/>
      <c r="L1797" s="32"/>
      <c r="M1797" s="32"/>
      <c r="N1797" s="257"/>
      <c r="O1797" s="32"/>
      <c r="P1797" s="32"/>
      <c r="Q1797" s="32"/>
      <c r="R1797" s="32"/>
      <c r="S1797" s="32"/>
      <c r="T1797" s="264"/>
      <c r="U1797" s="16"/>
      <c r="V1797" s="16"/>
      <c r="W1797" s="16"/>
      <c r="X1797" s="32"/>
      <c r="Y1797" s="250"/>
    </row>
    <row r="1798">
      <c r="A1798" s="32"/>
      <c r="B1798" s="32"/>
      <c r="C1798" s="257"/>
      <c r="D1798" s="265"/>
      <c r="E1798" s="265"/>
      <c r="F1798" s="257"/>
      <c r="G1798" s="265"/>
      <c r="H1798" s="256"/>
      <c r="I1798" s="257"/>
      <c r="J1798" s="32"/>
      <c r="K1798" s="32"/>
      <c r="L1798" s="32"/>
      <c r="M1798" s="32"/>
      <c r="N1798" s="257"/>
      <c r="O1798" s="32"/>
      <c r="P1798" s="32"/>
      <c r="Q1798" s="32"/>
      <c r="R1798" s="32"/>
      <c r="S1798" s="32"/>
      <c r="T1798" s="264"/>
      <c r="U1798" s="16"/>
      <c r="V1798" s="16"/>
      <c r="W1798" s="16"/>
      <c r="X1798" s="32"/>
      <c r="Y1798" s="250"/>
    </row>
    <row r="1799">
      <c r="A1799" s="32"/>
      <c r="B1799" s="32"/>
      <c r="C1799" s="257"/>
      <c r="D1799" s="265"/>
      <c r="E1799" s="265"/>
      <c r="F1799" s="257"/>
      <c r="G1799" s="265"/>
      <c r="H1799" s="256"/>
      <c r="I1799" s="257"/>
      <c r="J1799" s="32"/>
      <c r="K1799" s="32"/>
      <c r="L1799" s="32"/>
      <c r="M1799" s="32"/>
      <c r="N1799" s="257"/>
      <c r="O1799" s="32"/>
      <c r="P1799" s="32"/>
      <c r="Q1799" s="32"/>
      <c r="R1799" s="32"/>
      <c r="S1799" s="32"/>
      <c r="T1799" s="264"/>
      <c r="U1799" s="16"/>
      <c r="V1799" s="16"/>
      <c r="W1799" s="16"/>
      <c r="X1799" s="32"/>
      <c r="Y1799" s="250"/>
    </row>
    <row r="1800">
      <c r="A1800" s="32"/>
      <c r="B1800" s="32"/>
      <c r="C1800" s="257"/>
      <c r="D1800" s="265"/>
      <c r="E1800" s="265"/>
      <c r="F1800" s="257"/>
      <c r="G1800" s="265"/>
      <c r="H1800" s="256"/>
      <c r="I1800" s="257"/>
      <c r="J1800" s="32"/>
      <c r="K1800" s="32"/>
      <c r="L1800" s="32"/>
      <c r="M1800" s="32"/>
      <c r="N1800" s="257"/>
      <c r="O1800" s="32"/>
      <c r="P1800" s="32"/>
      <c r="Q1800" s="32"/>
      <c r="R1800" s="32"/>
      <c r="S1800" s="32"/>
      <c r="T1800" s="264"/>
      <c r="U1800" s="16"/>
      <c r="V1800" s="16"/>
      <c r="W1800" s="16"/>
      <c r="X1800" s="32"/>
      <c r="Y1800" s="250"/>
    </row>
    <row r="1801">
      <c r="A1801" s="32"/>
      <c r="B1801" s="32"/>
      <c r="C1801" s="257"/>
      <c r="D1801" s="265"/>
      <c r="E1801" s="265"/>
      <c r="F1801" s="257"/>
      <c r="G1801" s="265"/>
      <c r="H1801" s="256"/>
      <c r="I1801" s="257"/>
      <c r="J1801" s="32"/>
      <c r="K1801" s="32"/>
      <c r="L1801" s="32"/>
      <c r="M1801" s="32"/>
      <c r="N1801" s="257"/>
      <c r="O1801" s="32"/>
      <c r="P1801" s="32"/>
      <c r="Q1801" s="32"/>
      <c r="R1801" s="32"/>
      <c r="S1801" s="32"/>
      <c r="T1801" s="264"/>
      <c r="U1801" s="16"/>
      <c r="V1801" s="16"/>
      <c r="W1801" s="16"/>
      <c r="X1801" s="32"/>
      <c r="Y1801" s="250"/>
    </row>
    <row r="1802">
      <c r="A1802" s="32"/>
      <c r="B1802" s="32"/>
      <c r="C1802" s="257"/>
      <c r="D1802" s="265"/>
      <c r="E1802" s="265"/>
      <c r="F1802" s="257"/>
      <c r="G1802" s="265"/>
      <c r="H1802" s="256"/>
      <c r="I1802" s="257"/>
      <c r="J1802" s="32"/>
      <c r="K1802" s="32"/>
      <c r="L1802" s="32"/>
      <c r="M1802" s="32"/>
      <c r="N1802" s="257"/>
      <c r="O1802" s="32"/>
      <c r="P1802" s="32"/>
      <c r="Q1802" s="32"/>
      <c r="R1802" s="32"/>
      <c r="S1802" s="32"/>
      <c r="T1802" s="264"/>
      <c r="U1802" s="16"/>
      <c r="V1802" s="16"/>
      <c r="W1802" s="16"/>
      <c r="X1802" s="32"/>
      <c r="Y1802" s="250"/>
    </row>
    <row r="1803">
      <c r="A1803" s="32"/>
      <c r="B1803" s="32"/>
      <c r="C1803" s="257"/>
      <c r="D1803" s="265"/>
      <c r="E1803" s="265"/>
      <c r="F1803" s="257"/>
      <c r="G1803" s="265"/>
      <c r="H1803" s="256"/>
      <c r="I1803" s="257"/>
      <c r="J1803" s="32"/>
      <c r="K1803" s="32"/>
      <c r="L1803" s="32"/>
      <c r="M1803" s="32"/>
      <c r="N1803" s="257"/>
      <c r="O1803" s="32"/>
      <c r="P1803" s="32"/>
      <c r="Q1803" s="32"/>
      <c r="R1803" s="32"/>
      <c r="S1803" s="32"/>
      <c r="T1803" s="264"/>
      <c r="U1803" s="16"/>
      <c r="V1803" s="16"/>
      <c r="W1803" s="16"/>
      <c r="X1803" s="32"/>
      <c r="Y1803" s="250"/>
    </row>
    <row r="1804">
      <c r="A1804" s="32"/>
      <c r="B1804" s="32"/>
      <c r="C1804" s="257"/>
      <c r="D1804" s="265"/>
      <c r="E1804" s="265"/>
      <c r="F1804" s="257"/>
      <c r="G1804" s="265"/>
      <c r="H1804" s="256"/>
      <c r="I1804" s="257"/>
      <c r="J1804" s="32"/>
      <c r="K1804" s="32"/>
      <c r="L1804" s="32"/>
      <c r="M1804" s="32"/>
      <c r="N1804" s="257"/>
      <c r="O1804" s="32"/>
      <c r="P1804" s="32"/>
      <c r="Q1804" s="32"/>
      <c r="R1804" s="32"/>
      <c r="S1804" s="32"/>
      <c r="T1804" s="264"/>
      <c r="U1804" s="16"/>
      <c r="V1804" s="16"/>
      <c r="W1804" s="16"/>
      <c r="X1804" s="32"/>
      <c r="Y1804" s="250"/>
    </row>
    <row r="1805">
      <c r="A1805" s="32"/>
      <c r="B1805" s="32"/>
      <c r="C1805" s="257"/>
      <c r="D1805" s="265"/>
      <c r="E1805" s="265"/>
      <c r="F1805" s="257"/>
      <c r="G1805" s="265"/>
      <c r="H1805" s="256"/>
      <c r="I1805" s="257"/>
      <c r="J1805" s="32"/>
      <c r="K1805" s="32"/>
      <c r="L1805" s="32"/>
      <c r="M1805" s="32"/>
      <c r="N1805" s="257"/>
      <c r="O1805" s="32"/>
      <c r="P1805" s="32"/>
      <c r="Q1805" s="32"/>
      <c r="R1805" s="32"/>
      <c r="S1805" s="32"/>
      <c r="T1805" s="264"/>
      <c r="U1805" s="16"/>
      <c r="V1805" s="16"/>
      <c r="W1805" s="16"/>
      <c r="X1805" s="32"/>
      <c r="Y1805" s="250"/>
    </row>
    <row r="1806">
      <c r="A1806" s="32"/>
      <c r="B1806" s="32"/>
      <c r="C1806" s="257"/>
      <c r="D1806" s="265"/>
      <c r="E1806" s="265"/>
      <c r="F1806" s="257"/>
      <c r="G1806" s="265"/>
      <c r="H1806" s="256"/>
      <c r="I1806" s="257"/>
      <c r="J1806" s="32"/>
      <c r="K1806" s="32"/>
      <c r="L1806" s="32"/>
      <c r="M1806" s="32"/>
      <c r="N1806" s="257"/>
      <c r="O1806" s="32"/>
      <c r="P1806" s="32"/>
      <c r="Q1806" s="32"/>
      <c r="R1806" s="32"/>
      <c r="S1806" s="32"/>
      <c r="T1806" s="264"/>
      <c r="U1806" s="16"/>
      <c r="V1806" s="16"/>
      <c r="W1806" s="16"/>
      <c r="X1806" s="32"/>
      <c r="Y1806" s="250"/>
    </row>
    <row r="1807">
      <c r="A1807" s="32"/>
      <c r="B1807" s="32"/>
      <c r="C1807" s="257"/>
      <c r="D1807" s="265"/>
      <c r="E1807" s="265"/>
      <c r="F1807" s="257"/>
      <c r="G1807" s="265"/>
      <c r="H1807" s="256"/>
      <c r="I1807" s="257"/>
      <c r="J1807" s="32"/>
      <c r="K1807" s="32"/>
      <c r="L1807" s="32"/>
      <c r="M1807" s="32"/>
      <c r="N1807" s="257"/>
      <c r="O1807" s="32"/>
      <c r="P1807" s="32"/>
      <c r="Q1807" s="32"/>
      <c r="R1807" s="32"/>
      <c r="S1807" s="32"/>
      <c r="T1807" s="264"/>
      <c r="U1807" s="16"/>
      <c r="V1807" s="16"/>
      <c r="W1807" s="16"/>
      <c r="X1807" s="32"/>
      <c r="Y1807" s="250"/>
    </row>
    <row r="1808">
      <c r="A1808" s="32"/>
      <c r="B1808" s="32"/>
      <c r="C1808" s="257"/>
      <c r="D1808" s="265"/>
      <c r="E1808" s="265"/>
      <c r="F1808" s="257"/>
      <c r="G1808" s="265"/>
      <c r="H1808" s="256"/>
      <c r="I1808" s="257"/>
      <c r="J1808" s="32"/>
      <c r="K1808" s="32"/>
      <c r="L1808" s="32"/>
      <c r="M1808" s="32"/>
      <c r="N1808" s="257"/>
      <c r="O1808" s="32"/>
      <c r="P1808" s="32"/>
      <c r="Q1808" s="32"/>
      <c r="R1808" s="32"/>
      <c r="S1808" s="32"/>
      <c r="T1808" s="264"/>
      <c r="U1808" s="16"/>
      <c r="V1808" s="16"/>
      <c r="W1808" s="16"/>
      <c r="X1808" s="32"/>
      <c r="Y1808" s="250"/>
    </row>
    <row r="1809">
      <c r="A1809" s="32"/>
      <c r="B1809" s="32"/>
      <c r="C1809" s="257"/>
      <c r="D1809" s="265"/>
      <c r="E1809" s="265"/>
      <c r="F1809" s="257"/>
      <c r="G1809" s="265"/>
      <c r="H1809" s="256"/>
      <c r="I1809" s="257"/>
      <c r="J1809" s="32"/>
      <c r="K1809" s="32"/>
      <c r="L1809" s="32"/>
      <c r="M1809" s="32"/>
      <c r="N1809" s="257"/>
      <c r="O1809" s="32"/>
      <c r="P1809" s="32"/>
      <c r="Q1809" s="32"/>
      <c r="R1809" s="32"/>
      <c r="S1809" s="32"/>
      <c r="T1809" s="264"/>
      <c r="U1809" s="16"/>
      <c r="V1809" s="16"/>
      <c r="W1809" s="16"/>
      <c r="X1809" s="32"/>
      <c r="Y1809" s="250"/>
    </row>
    <row r="1810">
      <c r="A1810" s="32"/>
      <c r="B1810" s="32"/>
      <c r="C1810" s="257"/>
      <c r="D1810" s="265"/>
      <c r="E1810" s="265"/>
      <c r="F1810" s="257"/>
      <c r="G1810" s="265"/>
      <c r="H1810" s="256"/>
      <c r="I1810" s="257"/>
      <c r="J1810" s="32"/>
      <c r="K1810" s="32"/>
      <c r="L1810" s="32"/>
      <c r="M1810" s="32"/>
      <c r="N1810" s="257"/>
      <c r="O1810" s="32"/>
      <c r="P1810" s="32"/>
      <c r="Q1810" s="32"/>
      <c r="R1810" s="32"/>
      <c r="S1810" s="32"/>
      <c r="T1810" s="264"/>
      <c r="U1810" s="16"/>
      <c r="V1810" s="16"/>
      <c r="W1810" s="16"/>
      <c r="X1810" s="32"/>
      <c r="Y1810" s="250"/>
    </row>
    <row r="1811">
      <c r="A1811" s="32"/>
      <c r="B1811" s="32"/>
      <c r="C1811" s="257"/>
      <c r="D1811" s="265"/>
      <c r="E1811" s="265"/>
      <c r="F1811" s="257"/>
      <c r="G1811" s="265"/>
      <c r="H1811" s="256"/>
      <c r="I1811" s="257"/>
      <c r="J1811" s="32"/>
      <c r="K1811" s="32"/>
      <c r="L1811" s="32"/>
      <c r="M1811" s="32"/>
      <c r="N1811" s="257"/>
      <c r="O1811" s="32"/>
      <c r="P1811" s="32"/>
      <c r="Q1811" s="32"/>
      <c r="R1811" s="32"/>
      <c r="S1811" s="32"/>
      <c r="T1811" s="264"/>
      <c r="U1811" s="16"/>
      <c r="V1811" s="16"/>
      <c r="W1811" s="16"/>
      <c r="X1811" s="32"/>
      <c r="Y1811" s="250"/>
    </row>
    <row r="1812">
      <c r="A1812" s="32"/>
      <c r="B1812" s="32"/>
      <c r="C1812" s="257"/>
      <c r="D1812" s="265"/>
      <c r="E1812" s="265"/>
      <c r="F1812" s="257"/>
      <c r="G1812" s="265"/>
      <c r="H1812" s="256"/>
      <c r="I1812" s="257"/>
      <c r="J1812" s="32"/>
      <c r="K1812" s="32"/>
      <c r="L1812" s="32"/>
      <c r="M1812" s="32"/>
      <c r="N1812" s="257"/>
      <c r="O1812" s="32"/>
      <c r="P1812" s="32"/>
      <c r="Q1812" s="32"/>
      <c r="R1812" s="32"/>
      <c r="S1812" s="32"/>
      <c r="T1812" s="264"/>
      <c r="U1812" s="16"/>
      <c r="V1812" s="16"/>
      <c r="W1812" s="16"/>
      <c r="X1812" s="32"/>
      <c r="Y1812" s="250"/>
    </row>
    <row r="1813">
      <c r="A1813" s="32"/>
      <c r="B1813" s="32"/>
      <c r="C1813" s="257"/>
      <c r="D1813" s="265"/>
      <c r="E1813" s="265"/>
      <c r="F1813" s="257"/>
      <c r="G1813" s="265"/>
      <c r="H1813" s="256"/>
      <c r="I1813" s="257"/>
      <c r="J1813" s="32"/>
      <c r="K1813" s="32"/>
      <c r="L1813" s="32"/>
      <c r="M1813" s="32"/>
      <c r="N1813" s="257"/>
      <c r="O1813" s="32"/>
      <c r="P1813" s="32"/>
      <c r="Q1813" s="32"/>
      <c r="R1813" s="32"/>
      <c r="S1813" s="32"/>
      <c r="T1813" s="264"/>
      <c r="U1813" s="16"/>
      <c r="V1813" s="16"/>
      <c r="W1813" s="16"/>
      <c r="X1813" s="32"/>
      <c r="Y1813" s="250"/>
    </row>
    <row r="1814">
      <c r="A1814" s="32"/>
      <c r="B1814" s="32"/>
      <c r="C1814" s="257"/>
      <c r="D1814" s="265"/>
      <c r="E1814" s="265"/>
      <c r="F1814" s="257"/>
      <c r="G1814" s="265"/>
      <c r="H1814" s="256"/>
      <c r="I1814" s="257"/>
      <c r="J1814" s="32"/>
      <c r="K1814" s="32"/>
      <c r="L1814" s="32"/>
      <c r="M1814" s="32"/>
      <c r="N1814" s="257"/>
      <c r="O1814" s="32"/>
      <c r="P1814" s="32"/>
      <c r="Q1814" s="32"/>
      <c r="R1814" s="32"/>
      <c r="S1814" s="32"/>
      <c r="T1814" s="264"/>
      <c r="U1814" s="16"/>
      <c r="V1814" s="16"/>
      <c r="W1814" s="16"/>
      <c r="X1814" s="32"/>
      <c r="Y1814" s="250"/>
    </row>
    <row r="1815">
      <c r="A1815" s="32"/>
      <c r="B1815" s="32"/>
      <c r="C1815" s="257"/>
      <c r="D1815" s="265"/>
      <c r="E1815" s="265"/>
      <c r="F1815" s="257"/>
      <c r="G1815" s="265"/>
      <c r="H1815" s="256"/>
      <c r="I1815" s="257"/>
      <c r="J1815" s="32"/>
      <c r="K1815" s="32"/>
      <c r="L1815" s="32"/>
      <c r="M1815" s="32"/>
      <c r="N1815" s="257"/>
      <c r="O1815" s="32"/>
      <c r="P1815" s="32"/>
      <c r="Q1815" s="32"/>
      <c r="R1815" s="32"/>
      <c r="S1815" s="32"/>
      <c r="T1815" s="264"/>
      <c r="U1815" s="16"/>
      <c r="V1815" s="16"/>
      <c r="W1815" s="16"/>
      <c r="X1815" s="32"/>
      <c r="Y1815" s="250"/>
    </row>
    <row r="1816">
      <c r="A1816" s="32"/>
      <c r="B1816" s="32"/>
      <c r="C1816" s="257"/>
      <c r="D1816" s="265"/>
      <c r="E1816" s="265"/>
      <c r="F1816" s="257"/>
      <c r="G1816" s="265"/>
      <c r="H1816" s="256"/>
      <c r="I1816" s="257"/>
      <c r="J1816" s="32"/>
      <c r="K1816" s="32"/>
      <c r="L1816" s="32"/>
      <c r="M1816" s="32"/>
      <c r="N1816" s="257"/>
      <c r="O1816" s="32"/>
      <c r="P1816" s="32"/>
      <c r="Q1816" s="32"/>
      <c r="R1816" s="32"/>
      <c r="S1816" s="32"/>
      <c r="T1816" s="264"/>
      <c r="U1816" s="16"/>
      <c r="V1816" s="16"/>
      <c r="W1816" s="16"/>
      <c r="X1816" s="32"/>
      <c r="Y1816" s="250"/>
    </row>
    <row r="1817">
      <c r="A1817" s="32"/>
      <c r="B1817" s="32"/>
      <c r="C1817" s="257"/>
      <c r="D1817" s="265"/>
      <c r="E1817" s="265"/>
      <c r="F1817" s="257"/>
      <c r="G1817" s="265"/>
      <c r="H1817" s="256"/>
      <c r="I1817" s="257"/>
      <c r="J1817" s="32"/>
      <c r="K1817" s="32"/>
      <c r="L1817" s="32"/>
      <c r="M1817" s="32"/>
      <c r="N1817" s="257"/>
      <c r="O1817" s="32"/>
      <c r="P1817" s="32"/>
      <c r="Q1817" s="32"/>
      <c r="R1817" s="32"/>
      <c r="S1817" s="32"/>
      <c r="T1817" s="264"/>
      <c r="U1817" s="16"/>
      <c r="V1817" s="16"/>
      <c r="W1817" s="16"/>
      <c r="X1817" s="32"/>
      <c r="Y1817" s="250"/>
    </row>
    <row r="1818">
      <c r="A1818" s="32"/>
      <c r="B1818" s="32"/>
      <c r="C1818" s="257"/>
      <c r="D1818" s="265"/>
      <c r="E1818" s="265"/>
      <c r="F1818" s="257"/>
      <c r="G1818" s="265"/>
      <c r="H1818" s="256"/>
      <c r="I1818" s="257"/>
      <c r="J1818" s="32"/>
      <c r="K1818" s="32"/>
      <c r="L1818" s="32"/>
      <c r="M1818" s="32"/>
      <c r="N1818" s="257"/>
      <c r="O1818" s="32"/>
      <c r="P1818" s="32"/>
      <c r="Q1818" s="32"/>
      <c r="R1818" s="32"/>
      <c r="S1818" s="32"/>
      <c r="T1818" s="264"/>
      <c r="U1818" s="16"/>
      <c r="V1818" s="16"/>
      <c r="W1818" s="16"/>
      <c r="X1818" s="32"/>
      <c r="Y1818" s="250"/>
    </row>
    <row r="1819">
      <c r="A1819" s="32"/>
      <c r="B1819" s="32"/>
      <c r="C1819" s="257"/>
      <c r="D1819" s="265"/>
      <c r="E1819" s="265"/>
      <c r="F1819" s="257"/>
      <c r="G1819" s="265"/>
      <c r="H1819" s="256"/>
      <c r="I1819" s="257"/>
      <c r="J1819" s="32"/>
      <c r="K1819" s="32"/>
      <c r="L1819" s="32"/>
      <c r="M1819" s="32"/>
      <c r="N1819" s="257"/>
      <c r="O1819" s="32"/>
      <c r="P1819" s="32"/>
      <c r="Q1819" s="32"/>
      <c r="R1819" s="32"/>
      <c r="S1819" s="32"/>
      <c r="T1819" s="264"/>
      <c r="U1819" s="16"/>
      <c r="V1819" s="16"/>
      <c r="W1819" s="16"/>
      <c r="X1819" s="32"/>
      <c r="Y1819" s="250"/>
    </row>
    <row r="1820">
      <c r="A1820" s="32"/>
      <c r="B1820" s="32"/>
      <c r="C1820" s="257"/>
      <c r="D1820" s="265"/>
      <c r="E1820" s="265"/>
      <c r="F1820" s="257"/>
      <c r="G1820" s="265"/>
      <c r="H1820" s="256"/>
      <c r="I1820" s="257"/>
      <c r="J1820" s="32"/>
      <c r="K1820" s="32"/>
      <c r="L1820" s="32"/>
      <c r="M1820" s="32"/>
      <c r="N1820" s="257"/>
      <c r="O1820" s="32"/>
      <c r="P1820" s="32"/>
      <c r="Q1820" s="32"/>
      <c r="R1820" s="32"/>
      <c r="S1820" s="32"/>
      <c r="T1820" s="264"/>
      <c r="U1820" s="16"/>
      <c r="V1820" s="16"/>
      <c r="W1820" s="16"/>
      <c r="X1820" s="32"/>
      <c r="Y1820" s="250"/>
    </row>
    <row r="1821">
      <c r="A1821" s="32"/>
      <c r="B1821" s="32"/>
      <c r="C1821" s="257"/>
      <c r="D1821" s="265"/>
      <c r="E1821" s="265"/>
      <c r="F1821" s="257"/>
      <c r="G1821" s="265"/>
      <c r="H1821" s="256"/>
      <c r="I1821" s="257"/>
      <c r="J1821" s="32"/>
      <c r="K1821" s="32"/>
      <c r="L1821" s="32"/>
      <c r="M1821" s="32"/>
      <c r="N1821" s="257"/>
      <c r="O1821" s="32"/>
      <c r="P1821" s="32"/>
      <c r="Q1821" s="32"/>
      <c r="R1821" s="32"/>
      <c r="S1821" s="32"/>
      <c r="T1821" s="264"/>
      <c r="U1821" s="16"/>
      <c r="V1821" s="16"/>
      <c r="W1821" s="16"/>
      <c r="X1821" s="32"/>
      <c r="Y1821" s="250"/>
    </row>
    <row r="1822">
      <c r="A1822" s="32"/>
      <c r="B1822" s="32"/>
      <c r="C1822" s="257"/>
      <c r="D1822" s="265"/>
      <c r="E1822" s="265"/>
      <c r="F1822" s="257"/>
      <c r="G1822" s="265"/>
      <c r="H1822" s="256"/>
      <c r="I1822" s="257"/>
      <c r="J1822" s="32"/>
      <c r="K1822" s="32"/>
      <c r="L1822" s="32"/>
      <c r="M1822" s="32"/>
      <c r="N1822" s="257"/>
      <c r="O1822" s="32"/>
      <c r="P1822" s="32"/>
      <c r="Q1822" s="32"/>
      <c r="R1822" s="32"/>
      <c r="S1822" s="32"/>
      <c r="T1822" s="264"/>
      <c r="U1822" s="16"/>
      <c r="V1822" s="16"/>
      <c r="W1822" s="16"/>
      <c r="X1822" s="32"/>
      <c r="Y1822" s="250"/>
    </row>
    <row r="1823">
      <c r="A1823" s="32"/>
      <c r="B1823" s="32"/>
      <c r="C1823" s="257"/>
      <c r="D1823" s="265"/>
      <c r="E1823" s="265"/>
      <c r="F1823" s="257"/>
      <c r="G1823" s="265"/>
      <c r="H1823" s="256"/>
      <c r="I1823" s="257"/>
      <c r="J1823" s="32"/>
      <c r="K1823" s="32"/>
      <c r="L1823" s="32"/>
      <c r="M1823" s="32"/>
      <c r="N1823" s="257"/>
      <c r="O1823" s="32"/>
      <c r="P1823" s="32"/>
      <c r="Q1823" s="32"/>
      <c r="R1823" s="32"/>
      <c r="S1823" s="32"/>
      <c r="T1823" s="264"/>
      <c r="U1823" s="16"/>
      <c r="V1823" s="16"/>
      <c r="W1823" s="16"/>
      <c r="X1823" s="32"/>
      <c r="Y1823" s="250"/>
    </row>
    <row r="1824">
      <c r="A1824" s="32"/>
      <c r="B1824" s="32"/>
      <c r="C1824" s="257"/>
      <c r="D1824" s="265"/>
      <c r="E1824" s="265"/>
      <c r="F1824" s="257"/>
      <c r="G1824" s="265"/>
      <c r="H1824" s="256"/>
      <c r="I1824" s="257"/>
      <c r="J1824" s="32"/>
      <c r="K1824" s="32"/>
      <c r="L1824" s="32"/>
      <c r="M1824" s="32"/>
      <c r="N1824" s="257"/>
      <c r="O1824" s="32"/>
      <c r="P1824" s="32"/>
      <c r="Q1824" s="32"/>
      <c r="R1824" s="32"/>
      <c r="S1824" s="32"/>
      <c r="T1824" s="264"/>
      <c r="U1824" s="16"/>
      <c r="V1824" s="16"/>
      <c r="W1824" s="16"/>
      <c r="X1824" s="32"/>
      <c r="Y1824" s="250"/>
    </row>
    <row r="1825">
      <c r="A1825" s="32"/>
      <c r="B1825" s="32"/>
      <c r="C1825" s="257"/>
      <c r="D1825" s="265"/>
      <c r="E1825" s="265"/>
      <c r="F1825" s="257"/>
      <c r="G1825" s="265"/>
      <c r="H1825" s="256"/>
      <c r="I1825" s="257"/>
      <c r="J1825" s="32"/>
      <c r="K1825" s="32"/>
      <c r="L1825" s="32"/>
      <c r="M1825" s="32"/>
      <c r="N1825" s="257"/>
      <c r="O1825" s="32"/>
      <c r="P1825" s="32"/>
      <c r="Q1825" s="32"/>
      <c r="R1825" s="32"/>
      <c r="S1825" s="32"/>
      <c r="T1825" s="264"/>
      <c r="U1825" s="16"/>
      <c r="V1825" s="16"/>
      <c r="W1825" s="16"/>
      <c r="X1825" s="32"/>
      <c r="Y1825" s="250"/>
    </row>
    <row r="1826">
      <c r="A1826" s="32"/>
      <c r="B1826" s="32"/>
      <c r="C1826" s="257"/>
      <c r="D1826" s="265"/>
      <c r="E1826" s="265"/>
      <c r="F1826" s="257"/>
      <c r="G1826" s="265"/>
      <c r="H1826" s="256"/>
      <c r="I1826" s="257"/>
      <c r="J1826" s="32"/>
      <c r="K1826" s="32"/>
      <c r="L1826" s="32"/>
      <c r="M1826" s="32"/>
      <c r="N1826" s="257"/>
      <c r="O1826" s="32"/>
      <c r="P1826" s="32"/>
      <c r="Q1826" s="32"/>
      <c r="R1826" s="32"/>
      <c r="S1826" s="32"/>
      <c r="T1826" s="264"/>
      <c r="U1826" s="16"/>
      <c r="V1826" s="16"/>
      <c r="W1826" s="16"/>
      <c r="X1826" s="32"/>
      <c r="Y1826" s="250"/>
    </row>
    <row r="1827">
      <c r="A1827" s="32"/>
      <c r="B1827" s="32"/>
      <c r="C1827" s="257"/>
      <c r="D1827" s="265"/>
      <c r="E1827" s="265"/>
      <c r="F1827" s="257"/>
      <c r="G1827" s="265"/>
      <c r="H1827" s="256"/>
      <c r="I1827" s="257"/>
      <c r="J1827" s="32"/>
      <c r="K1827" s="32"/>
      <c r="L1827" s="32"/>
      <c r="M1827" s="32"/>
      <c r="N1827" s="257"/>
      <c r="O1827" s="32"/>
      <c r="P1827" s="32"/>
      <c r="Q1827" s="32"/>
      <c r="R1827" s="32"/>
      <c r="S1827" s="32"/>
      <c r="T1827" s="264"/>
      <c r="U1827" s="16"/>
      <c r="V1827" s="16"/>
      <c r="W1827" s="16"/>
      <c r="X1827" s="32"/>
      <c r="Y1827" s="250"/>
    </row>
    <row r="1828">
      <c r="A1828" s="32"/>
      <c r="B1828" s="32"/>
      <c r="C1828" s="257"/>
      <c r="D1828" s="265"/>
      <c r="E1828" s="265"/>
      <c r="F1828" s="257"/>
      <c r="G1828" s="265"/>
      <c r="H1828" s="256"/>
      <c r="I1828" s="257"/>
      <c r="J1828" s="32"/>
      <c r="K1828" s="32"/>
      <c r="L1828" s="32"/>
      <c r="M1828" s="32"/>
      <c r="N1828" s="257"/>
      <c r="O1828" s="32"/>
      <c r="P1828" s="32"/>
      <c r="Q1828" s="32"/>
      <c r="R1828" s="32"/>
      <c r="S1828" s="32"/>
      <c r="T1828" s="264"/>
      <c r="U1828" s="16"/>
      <c r="V1828" s="16"/>
      <c r="W1828" s="16"/>
      <c r="X1828" s="32"/>
      <c r="Y1828" s="250"/>
    </row>
    <row r="1829">
      <c r="A1829" s="32"/>
      <c r="B1829" s="32"/>
      <c r="C1829" s="257"/>
      <c r="D1829" s="265"/>
      <c r="E1829" s="265"/>
      <c r="F1829" s="257"/>
      <c r="G1829" s="265"/>
      <c r="H1829" s="256"/>
      <c r="I1829" s="257"/>
      <c r="J1829" s="32"/>
      <c r="K1829" s="32"/>
      <c r="L1829" s="32"/>
      <c r="M1829" s="32"/>
      <c r="N1829" s="257"/>
      <c r="O1829" s="32"/>
      <c r="P1829" s="32"/>
      <c r="Q1829" s="32"/>
      <c r="R1829" s="32"/>
      <c r="S1829" s="32"/>
      <c r="T1829" s="264"/>
      <c r="U1829" s="16"/>
      <c r="V1829" s="16"/>
      <c r="W1829" s="16"/>
      <c r="X1829" s="32"/>
      <c r="Y1829" s="250"/>
    </row>
    <row r="1830">
      <c r="A1830" s="32"/>
      <c r="B1830" s="32"/>
      <c r="C1830" s="257"/>
      <c r="D1830" s="265"/>
      <c r="E1830" s="265"/>
      <c r="F1830" s="257"/>
      <c r="G1830" s="265"/>
      <c r="H1830" s="256"/>
      <c r="I1830" s="257"/>
      <c r="J1830" s="32"/>
      <c r="K1830" s="32"/>
      <c r="L1830" s="32"/>
      <c r="M1830" s="32"/>
      <c r="N1830" s="257"/>
      <c r="O1830" s="32"/>
      <c r="P1830" s="32"/>
      <c r="Q1830" s="32"/>
      <c r="R1830" s="32"/>
      <c r="S1830" s="32"/>
      <c r="T1830" s="264"/>
      <c r="U1830" s="16"/>
      <c r="V1830" s="16"/>
      <c r="W1830" s="16"/>
      <c r="X1830" s="32"/>
      <c r="Y1830" s="250"/>
    </row>
    <row r="1831">
      <c r="A1831" s="32"/>
      <c r="B1831" s="32"/>
      <c r="C1831" s="257"/>
      <c r="D1831" s="265"/>
      <c r="E1831" s="265"/>
      <c r="F1831" s="257"/>
      <c r="G1831" s="265"/>
      <c r="H1831" s="256"/>
      <c r="I1831" s="257"/>
      <c r="J1831" s="32"/>
      <c r="K1831" s="32"/>
      <c r="L1831" s="32"/>
      <c r="M1831" s="32"/>
      <c r="N1831" s="257"/>
      <c r="O1831" s="32"/>
      <c r="P1831" s="32"/>
      <c r="Q1831" s="32"/>
      <c r="R1831" s="32"/>
      <c r="S1831" s="32"/>
      <c r="T1831" s="264"/>
      <c r="U1831" s="16"/>
      <c r="V1831" s="16"/>
      <c r="W1831" s="16"/>
      <c r="X1831" s="32"/>
      <c r="Y1831" s="250"/>
    </row>
    <row r="1832">
      <c r="A1832" s="32"/>
      <c r="B1832" s="32"/>
      <c r="C1832" s="257"/>
      <c r="D1832" s="265"/>
      <c r="E1832" s="265"/>
      <c r="F1832" s="257"/>
      <c r="G1832" s="265"/>
      <c r="H1832" s="256"/>
      <c r="I1832" s="257"/>
      <c r="J1832" s="32"/>
      <c r="K1832" s="32"/>
      <c r="L1832" s="32"/>
      <c r="M1832" s="32"/>
      <c r="N1832" s="257"/>
      <c r="O1832" s="32"/>
      <c r="P1832" s="32"/>
      <c r="Q1832" s="32"/>
      <c r="R1832" s="32"/>
      <c r="S1832" s="32"/>
      <c r="T1832" s="264"/>
      <c r="U1832" s="16"/>
      <c r="V1832" s="16"/>
      <c r="W1832" s="16"/>
      <c r="X1832" s="32"/>
      <c r="Y1832" s="250"/>
    </row>
    <row r="1833">
      <c r="A1833" s="32"/>
      <c r="B1833" s="32"/>
      <c r="C1833" s="257"/>
      <c r="D1833" s="265"/>
      <c r="E1833" s="265"/>
      <c r="F1833" s="257"/>
      <c r="G1833" s="265"/>
      <c r="H1833" s="256"/>
      <c r="I1833" s="257"/>
      <c r="J1833" s="32"/>
      <c r="K1833" s="32"/>
      <c r="L1833" s="32"/>
      <c r="M1833" s="32"/>
      <c r="N1833" s="257"/>
      <c r="O1833" s="32"/>
      <c r="P1833" s="32"/>
      <c r="Q1833" s="32"/>
      <c r="R1833" s="32"/>
      <c r="S1833" s="32"/>
      <c r="T1833" s="264"/>
      <c r="U1833" s="16"/>
      <c r="V1833" s="16"/>
      <c r="W1833" s="16"/>
      <c r="X1833" s="32"/>
      <c r="Y1833" s="250"/>
    </row>
    <row r="1834">
      <c r="A1834" s="32"/>
      <c r="B1834" s="32"/>
      <c r="C1834" s="257"/>
      <c r="D1834" s="265"/>
      <c r="E1834" s="265"/>
      <c r="F1834" s="257"/>
      <c r="G1834" s="265"/>
      <c r="H1834" s="256"/>
      <c r="I1834" s="257"/>
      <c r="J1834" s="32"/>
      <c r="K1834" s="32"/>
      <c r="L1834" s="32"/>
      <c r="M1834" s="32"/>
      <c r="N1834" s="257"/>
      <c r="O1834" s="32"/>
      <c r="P1834" s="32"/>
      <c r="Q1834" s="32"/>
      <c r="R1834" s="32"/>
      <c r="S1834" s="32"/>
      <c r="T1834" s="264"/>
      <c r="U1834" s="16"/>
      <c r="V1834" s="16"/>
      <c r="W1834" s="16"/>
      <c r="X1834" s="32"/>
      <c r="Y1834" s="250"/>
    </row>
    <row r="1835">
      <c r="A1835" s="32"/>
      <c r="B1835" s="32"/>
      <c r="C1835" s="257"/>
      <c r="D1835" s="265"/>
      <c r="E1835" s="265"/>
      <c r="F1835" s="257"/>
      <c r="G1835" s="265"/>
      <c r="H1835" s="256"/>
      <c r="I1835" s="257"/>
      <c r="J1835" s="32"/>
      <c r="K1835" s="32"/>
      <c r="L1835" s="32"/>
      <c r="M1835" s="32"/>
      <c r="N1835" s="257"/>
      <c r="O1835" s="32"/>
      <c r="P1835" s="32"/>
      <c r="Q1835" s="32"/>
      <c r="R1835" s="32"/>
      <c r="S1835" s="32"/>
      <c r="T1835" s="264"/>
      <c r="U1835" s="16"/>
      <c r="V1835" s="16"/>
      <c r="W1835" s="16"/>
      <c r="X1835" s="32"/>
      <c r="Y1835" s="250"/>
    </row>
    <row r="1836">
      <c r="A1836" s="32"/>
      <c r="B1836" s="32"/>
      <c r="C1836" s="257"/>
      <c r="D1836" s="265"/>
      <c r="E1836" s="265"/>
      <c r="F1836" s="257"/>
      <c r="G1836" s="265"/>
      <c r="H1836" s="256"/>
      <c r="I1836" s="257"/>
      <c r="J1836" s="32"/>
      <c r="K1836" s="32"/>
      <c r="L1836" s="32"/>
      <c r="M1836" s="32"/>
      <c r="N1836" s="257"/>
      <c r="O1836" s="32"/>
      <c r="P1836" s="32"/>
      <c r="Q1836" s="32"/>
      <c r="R1836" s="32"/>
      <c r="S1836" s="32"/>
      <c r="T1836" s="264"/>
      <c r="U1836" s="16"/>
      <c r="V1836" s="16"/>
      <c r="W1836" s="16"/>
      <c r="X1836" s="32"/>
      <c r="Y1836" s="250"/>
    </row>
    <row r="1837">
      <c r="A1837" s="32"/>
      <c r="B1837" s="32"/>
      <c r="C1837" s="257"/>
      <c r="D1837" s="265"/>
      <c r="E1837" s="265"/>
      <c r="F1837" s="257"/>
      <c r="G1837" s="265"/>
      <c r="H1837" s="256"/>
      <c r="I1837" s="257"/>
      <c r="J1837" s="32"/>
      <c r="K1837" s="32"/>
      <c r="L1837" s="32"/>
      <c r="M1837" s="32"/>
      <c r="N1837" s="257"/>
      <c r="O1837" s="32"/>
      <c r="P1837" s="32"/>
      <c r="Q1837" s="32"/>
      <c r="R1837" s="32"/>
      <c r="S1837" s="32"/>
      <c r="T1837" s="264"/>
      <c r="U1837" s="16"/>
      <c r="V1837" s="16"/>
      <c r="W1837" s="16"/>
      <c r="X1837" s="32"/>
      <c r="Y1837" s="250"/>
    </row>
    <row r="1838">
      <c r="A1838" s="32"/>
      <c r="B1838" s="32"/>
      <c r="C1838" s="257"/>
      <c r="D1838" s="265"/>
      <c r="E1838" s="265"/>
      <c r="F1838" s="257"/>
      <c r="G1838" s="265"/>
      <c r="H1838" s="256"/>
      <c r="I1838" s="257"/>
      <c r="J1838" s="32"/>
      <c r="K1838" s="32"/>
      <c r="L1838" s="32"/>
      <c r="M1838" s="32"/>
      <c r="N1838" s="257"/>
      <c r="O1838" s="32"/>
      <c r="P1838" s="32"/>
      <c r="Q1838" s="32"/>
      <c r="R1838" s="32"/>
      <c r="S1838" s="32"/>
      <c r="T1838" s="264"/>
      <c r="U1838" s="16"/>
      <c r="V1838" s="16"/>
      <c r="W1838" s="16"/>
      <c r="X1838" s="32"/>
      <c r="Y1838" s="250"/>
    </row>
    <row r="1839">
      <c r="A1839" s="32"/>
      <c r="B1839" s="32"/>
      <c r="C1839" s="257"/>
      <c r="D1839" s="265"/>
      <c r="E1839" s="265"/>
      <c r="F1839" s="257"/>
      <c r="G1839" s="265"/>
      <c r="H1839" s="256"/>
      <c r="I1839" s="257"/>
      <c r="J1839" s="32"/>
      <c r="K1839" s="32"/>
      <c r="L1839" s="32"/>
      <c r="M1839" s="32"/>
      <c r="N1839" s="257"/>
      <c r="O1839" s="32"/>
      <c r="P1839" s="32"/>
      <c r="Q1839" s="32"/>
      <c r="R1839" s="32"/>
      <c r="S1839" s="32"/>
      <c r="T1839" s="264"/>
      <c r="U1839" s="16"/>
      <c r="V1839" s="16"/>
      <c r="W1839" s="16"/>
      <c r="X1839" s="32"/>
      <c r="Y1839" s="250"/>
    </row>
    <row r="1840">
      <c r="A1840" s="32"/>
      <c r="B1840" s="32"/>
      <c r="C1840" s="257"/>
      <c r="D1840" s="265"/>
      <c r="E1840" s="265"/>
      <c r="F1840" s="257"/>
      <c r="G1840" s="265"/>
      <c r="H1840" s="256"/>
      <c r="I1840" s="257"/>
      <c r="J1840" s="32"/>
      <c r="K1840" s="32"/>
      <c r="L1840" s="32"/>
      <c r="M1840" s="32"/>
      <c r="N1840" s="257"/>
      <c r="O1840" s="32"/>
      <c r="P1840" s="32"/>
      <c r="Q1840" s="32"/>
      <c r="R1840" s="32"/>
      <c r="S1840" s="32"/>
      <c r="T1840" s="264"/>
      <c r="U1840" s="16"/>
      <c r="V1840" s="16"/>
      <c r="W1840" s="16"/>
      <c r="X1840" s="32"/>
      <c r="Y1840" s="250"/>
    </row>
    <row r="1841">
      <c r="A1841" s="32"/>
      <c r="B1841" s="32"/>
      <c r="C1841" s="257"/>
      <c r="D1841" s="265"/>
      <c r="E1841" s="265"/>
      <c r="F1841" s="257"/>
      <c r="G1841" s="265"/>
      <c r="H1841" s="256"/>
      <c r="I1841" s="257"/>
      <c r="J1841" s="32"/>
      <c r="K1841" s="32"/>
      <c r="L1841" s="32"/>
      <c r="M1841" s="32"/>
      <c r="N1841" s="257"/>
      <c r="O1841" s="32"/>
      <c r="P1841" s="32"/>
      <c r="Q1841" s="32"/>
      <c r="R1841" s="32"/>
      <c r="S1841" s="32"/>
      <c r="T1841" s="264"/>
      <c r="U1841" s="16"/>
      <c r="V1841" s="16"/>
      <c r="W1841" s="16"/>
      <c r="X1841" s="32"/>
      <c r="Y1841" s="250"/>
    </row>
    <row r="1842">
      <c r="A1842" s="32"/>
      <c r="B1842" s="32"/>
      <c r="C1842" s="257"/>
      <c r="D1842" s="265"/>
      <c r="E1842" s="265"/>
      <c r="F1842" s="257"/>
      <c r="G1842" s="265"/>
      <c r="H1842" s="256"/>
      <c r="I1842" s="257"/>
      <c r="J1842" s="32"/>
      <c r="K1842" s="32"/>
      <c r="L1842" s="32"/>
      <c r="M1842" s="32"/>
      <c r="N1842" s="257"/>
      <c r="O1842" s="32"/>
      <c r="P1842" s="32"/>
      <c r="Q1842" s="32"/>
      <c r="R1842" s="32"/>
      <c r="S1842" s="32"/>
      <c r="T1842" s="264"/>
      <c r="U1842" s="16"/>
      <c r="V1842" s="16"/>
      <c r="W1842" s="16"/>
      <c r="X1842" s="32"/>
      <c r="Y1842" s="250"/>
    </row>
    <row r="1843">
      <c r="A1843" s="32"/>
      <c r="B1843" s="32"/>
      <c r="C1843" s="257"/>
      <c r="D1843" s="265"/>
      <c r="E1843" s="265"/>
      <c r="F1843" s="257"/>
      <c r="G1843" s="265"/>
      <c r="H1843" s="256"/>
      <c r="I1843" s="257"/>
      <c r="J1843" s="32"/>
      <c r="K1843" s="32"/>
      <c r="L1843" s="32"/>
      <c r="M1843" s="32"/>
      <c r="N1843" s="257"/>
      <c r="O1843" s="32"/>
      <c r="P1843" s="32"/>
      <c r="Q1843" s="32"/>
      <c r="R1843" s="32"/>
      <c r="S1843" s="32"/>
      <c r="T1843" s="264"/>
      <c r="U1843" s="16"/>
      <c r="V1843" s="16"/>
      <c r="W1843" s="16"/>
      <c r="X1843" s="32"/>
      <c r="Y1843" s="250"/>
    </row>
    <row r="1844">
      <c r="A1844" s="32"/>
      <c r="B1844" s="32"/>
      <c r="C1844" s="257"/>
      <c r="D1844" s="265"/>
      <c r="E1844" s="265"/>
      <c r="F1844" s="257"/>
      <c r="G1844" s="265"/>
      <c r="H1844" s="256"/>
      <c r="I1844" s="257"/>
      <c r="J1844" s="32"/>
      <c r="K1844" s="32"/>
      <c r="L1844" s="32"/>
      <c r="M1844" s="32"/>
      <c r="N1844" s="257"/>
      <c r="O1844" s="32"/>
      <c r="P1844" s="32"/>
      <c r="Q1844" s="32"/>
      <c r="R1844" s="32"/>
      <c r="S1844" s="32"/>
      <c r="T1844" s="264"/>
      <c r="U1844" s="16"/>
      <c r="V1844" s="16"/>
      <c r="W1844" s="16"/>
      <c r="X1844" s="32"/>
      <c r="Y1844" s="250"/>
    </row>
    <row r="1845">
      <c r="A1845" s="32"/>
      <c r="B1845" s="32"/>
      <c r="C1845" s="257"/>
      <c r="D1845" s="265"/>
      <c r="E1845" s="265"/>
      <c r="F1845" s="257"/>
      <c r="G1845" s="265"/>
      <c r="H1845" s="256"/>
      <c r="I1845" s="257"/>
      <c r="J1845" s="32"/>
      <c r="K1845" s="32"/>
      <c r="L1845" s="32"/>
      <c r="M1845" s="32"/>
      <c r="N1845" s="257"/>
      <c r="O1845" s="32"/>
      <c r="P1845" s="32"/>
      <c r="Q1845" s="32"/>
      <c r="R1845" s="32"/>
      <c r="S1845" s="32"/>
      <c r="T1845" s="264"/>
      <c r="U1845" s="16"/>
      <c r="V1845" s="16"/>
      <c r="W1845" s="16"/>
      <c r="X1845" s="32"/>
      <c r="Y1845" s="250"/>
    </row>
    <row r="1846">
      <c r="A1846" s="32"/>
      <c r="B1846" s="32"/>
      <c r="C1846" s="257"/>
      <c r="D1846" s="265"/>
      <c r="E1846" s="265"/>
      <c r="F1846" s="257"/>
      <c r="G1846" s="265"/>
      <c r="H1846" s="256"/>
      <c r="I1846" s="257"/>
      <c r="J1846" s="32"/>
      <c r="K1846" s="32"/>
      <c r="L1846" s="32"/>
      <c r="M1846" s="32"/>
      <c r="N1846" s="257"/>
      <c r="O1846" s="32"/>
      <c r="P1846" s="32"/>
      <c r="Q1846" s="32"/>
      <c r="R1846" s="32"/>
      <c r="S1846" s="32"/>
      <c r="T1846" s="264"/>
      <c r="U1846" s="16"/>
      <c r="V1846" s="16"/>
      <c r="W1846" s="16"/>
      <c r="X1846" s="32"/>
      <c r="Y1846" s="250"/>
    </row>
    <row r="1847">
      <c r="A1847" s="32"/>
      <c r="B1847" s="32"/>
      <c r="C1847" s="257"/>
      <c r="D1847" s="265"/>
      <c r="E1847" s="265"/>
      <c r="F1847" s="257"/>
      <c r="G1847" s="265"/>
      <c r="H1847" s="256"/>
      <c r="I1847" s="257"/>
      <c r="J1847" s="32"/>
      <c r="K1847" s="32"/>
      <c r="L1847" s="32"/>
      <c r="M1847" s="32"/>
      <c r="N1847" s="257"/>
      <c r="O1847" s="32"/>
      <c r="P1847" s="32"/>
      <c r="Q1847" s="32"/>
      <c r="R1847" s="32"/>
      <c r="S1847" s="32"/>
      <c r="T1847" s="264"/>
      <c r="U1847" s="16"/>
      <c r="V1847" s="16"/>
      <c r="W1847" s="16"/>
      <c r="X1847" s="32"/>
      <c r="Y1847" s="250"/>
    </row>
    <row r="1848">
      <c r="A1848" s="32"/>
      <c r="B1848" s="32"/>
      <c r="C1848" s="257"/>
      <c r="D1848" s="265"/>
      <c r="E1848" s="265"/>
      <c r="F1848" s="257"/>
      <c r="G1848" s="265"/>
      <c r="H1848" s="256"/>
      <c r="I1848" s="257"/>
      <c r="J1848" s="32"/>
      <c r="K1848" s="32"/>
      <c r="L1848" s="32"/>
      <c r="M1848" s="32"/>
      <c r="N1848" s="257"/>
      <c r="O1848" s="32"/>
      <c r="P1848" s="32"/>
      <c r="Q1848" s="32"/>
      <c r="R1848" s="32"/>
      <c r="S1848" s="32"/>
      <c r="T1848" s="264"/>
      <c r="U1848" s="16"/>
      <c r="V1848" s="16"/>
      <c r="W1848" s="16"/>
      <c r="X1848" s="32"/>
      <c r="Y1848" s="250"/>
    </row>
    <row r="1849">
      <c r="A1849" s="32"/>
      <c r="B1849" s="32"/>
      <c r="C1849" s="257"/>
      <c r="D1849" s="265"/>
      <c r="E1849" s="265"/>
      <c r="F1849" s="257"/>
      <c r="G1849" s="265"/>
      <c r="H1849" s="256"/>
      <c r="I1849" s="257"/>
      <c r="J1849" s="32"/>
      <c r="K1849" s="32"/>
      <c r="L1849" s="32"/>
      <c r="M1849" s="32"/>
      <c r="N1849" s="257"/>
      <c r="O1849" s="32"/>
      <c r="P1849" s="32"/>
      <c r="Q1849" s="32"/>
      <c r="R1849" s="32"/>
      <c r="S1849" s="32"/>
      <c r="T1849" s="264"/>
      <c r="U1849" s="16"/>
      <c r="V1849" s="16"/>
      <c r="W1849" s="16"/>
      <c r="X1849" s="32"/>
      <c r="Y1849" s="250"/>
    </row>
    <row r="1850">
      <c r="A1850" s="32"/>
      <c r="B1850" s="32"/>
      <c r="C1850" s="257"/>
      <c r="D1850" s="265"/>
      <c r="E1850" s="265"/>
      <c r="F1850" s="257"/>
      <c r="G1850" s="265"/>
      <c r="H1850" s="256"/>
      <c r="I1850" s="257"/>
      <c r="J1850" s="32"/>
      <c r="K1850" s="32"/>
      <c r="L1850" s="32"/>
      <c r="M1850" s="32"/>
      <c r="N1850" s="257"/>
      <c r="O1850" s="32"/>
      <c r="P1850" s="32"/>
      <c r="Q1850" s="32"/>
      <c r="R1850" s="32"/>
      <c r="S1850" s="32"/>
      <c r="T1850" s="264"/>
      <c r="U1850" s="16"/>
      <c r="V1850" s="16"/>
      <c r="W1850" s="16"/>
      <c r="X1850" s="32"/>
      <c r="Y1850" s="250"/>
    </row>
    <row r="1851">
      <c r="A1851" s="32"/>
      <c r="B1851" s="32"/>
      <c r="C1851" s="257"/>
      <c r="D1851" s="265"/>
      <c r="E1851" s="265"/>
      <c r="F1851" s="257"/>
      <c r="G1851" s="265"/>
      <c r="H1851" s="256"/>
      <c r="I1851" s="257"/>
      <c r="J1851" s="32"/>
      <c r="K1851" s="32"/>
      <c r="L1851" s="32"/>
      <c r="M1851" s="32"/>
      <c r="N1851" s="257"/>
      <c r="O1851" s="32"/>
      <c r="P1851" s="32"/>
      <c r="Q1851" s="32"/>
      <c r="R1851" s="32"/>
      <c r="S1851" s="32"/>
      <c r="T1851" s="264"/>
      <c r="U1851" s="16"/>
      <c r="V1851" s="16"/>
      <c r="W1851" s="16"/>
      <c r="X1851" s="32"/>
      <c r="Y1851" s="250"/>
    </row>
    <row r="1852">
      <c r="A1852" s="32"/>
      <c r="B1852" s="32"/>
      <c r="C1852" s="257"/>
      <c r="D1852" s="265"/>
      <c r="E1852" s="265"/>
      <c r="F1852" s="257"/>
      <c r="G1852" s="265"/>
      <c r="H1852" s="256"/>
      <c r="I1852" s="257"/>
      <c r="J1852" s="32"/>
      <c r="K1852" s="32"/>
      <c r="L1852" s="32"/>
      <c r="M1852" s="32"/>
      <c r="N1852" s="257"/>
      <c r="O1852" s="32"/>
      <c r="P1852" s="32"/>
      <c r="Q1852" s="32"/>
      <c r="R1852" s="32"/>
      <c r="S1852" s="32"/>
      <c r="T1852" s="264"/>
      <c r="U1852" s="16"/>
      <c r="V1852" s="16"/>
      <c r="W1852" s="16"/>
      <c r="X1852" s="32"/>
      <c r="Y1852" s="250"/>
    </row>
    <row r="1853">
      <c r="A1853" s="32"/>
      <c r="B1853" s="32"/>
      <c r="C1853" s="257"/>
      <c r="D1853" s="265"/>
      <c r="E1853" s="265"/>
      <c r="F1853" s="257"/>
      <c r="G1853" s="265"/>
      <c r="H1853" s="256"/>
      <c r="I1853" s="257"/>
      <c r="J1853" s="32"/>
      <c r="K1853" s="32"/>
      <c r="L1853" s="32"/>
      <c r="M1853" s="32"/>
      <c r="N1853" s="257"/>
      <c r="O1853" s="32"/>
      <c r="P1853" s="32"/>
      <c r="Q1853" s="32"/>
      <c r="R1853" s="32"/>
      <c r="S1853" s="32"/>
      <c r="T1853" s="264"/>
      <c r="U1853" s="16"/>
      <c r="V1853" s="16"/>
      <c r="W1853" s="16"/>
      <c r="X1853" s="32"/>
      <c r="Y1853" s="250"/>
    </row>
    <row r="1854">
      <c r="A1854" s="32"/>
      <c r="B1854" s="32"/>
      <c r="C1854" s="257"/>
      <c r="D1854" s="265"/>
      <c r="E1854" s="265"/>
      <c r="F1854" s="257"/>
      <c r="G1854" s="265"/>
      <c r="H1854" s="256"/>
      <c r="I1854" s="257"/>
      <c r="J1854" s="32"/>
      <c r="K1854" s="32"/>
      <c r="L1854" s="32"/>
      <c r="M1854" s="32"/>
      <c r="N1854" s="257"/>
      <c r="O1854" s="32"/>
      <c r="P1854" s="32"/>
      <c r="Q1854" s="32"/>
      <c r="R1854" s="32"/>
      <c r="S1854" s="32"/>
      <c r="T1854" s="264"/>
      <c r="U1854" s="16"/>
      <c r="V1854" s="16"/>
      <c r="W1854" s="16"/>
      <c r="X1854" s="32"/>
      <c r="Y1854" s="250"/>
    </row>
    <row r="1855">
      <c r="A1855" s="32"/>
      <c r="B1855" s="32"/>
      <c r="C1855" s="257"/>
      <c r="D1855" s="265"/>
      <c r="E1855" s="265"/>
      <c r="F1855" s="257"/>
      <c r="G1855" s="265"/>
      <c r="H1855" s="256"/>
      <c r="I1855" s="257"/>
      <c r="J1855" s="32"/>
      <c r="K1855" s="32"/>
      <c r="L1855" s="32"/>
      <c r="M1855" s="32"/>
      <c r="N1855" s="257"/>
      <c r="O1855" s="32"/>
      <c r="P1855" s="32"/>
      <c r="Q1855" s="32"/>
      <c r="R1855" s="32"/>
      <c r="S1855" s="32"/>
      <c r="T1855" s="264"/>
      <c r="U1855" s="16"/>
      <c r="V1855" s="16"/>
      <c r="W1855" s="16"/>
      <c r="X1855" s="32"/>
      <c r="Y1855" s="250"/>
    </row>
    <row r="1856">
      <c r="A1856" s="32"/>
      <c r="B1856" s="32"/>
      <c r="C1856" s="257"/>
      <c r="D1856" s="265"/>
      <c r="E1856" s="265"/>
      <c r="F1856" s="257"/>
      <c r="G1856" s="265"/>
      <c r="H1856" s="256"/>
      <c r="I1856" s="257"/>
      <c r="J1856" s="32"/>
      <c r="K1856" s="32"/>
      <c r="L1856" s="32"/>
      <c r="M1856" s="32"/>
      <c r="N1856" s="257"/>
      <c r="O1856" s="32"/>
      <c r="P1856" s="32"/>
      <c r="Q1856" s="32"/>
      <c r="R1856" s="32"/>
      <c r="S1856" s="32"/>
      <c r="T1856" s="264"/>
      <c r="U1856" s="16"/>
      <c r="V1856" s="16"/>
      <c r="W1856" s="16"/>
      <c r="X1856" s="32"/>
      <c r="Y1856" s="250"/>
    </row>
    <row r="1857">
      <c r="A1857" s="32"/>
      <c r="B1857" s="32"/>
      <c r="C1857" s="257"/>
      <c r="D1857" s="265"/>
      <c r="E1857" s="265"/>
      <c r="F1857" s="257"/>
      <c r="G1857" s="265"/>
      <c r="H1857" s="256"/>
      <c r="I1857" s="257"/>
      <c r="J1857" s="32"/>
      <c r="K1857" s="32"/>
      <c r="L1857" s="32"/>
      <c r="M1857" s="32"/>
      <c r="N1857" s="257"/>
      <c r="O1857" s="32"/>
      <c r="P1857" s="32"/>
      <c r="Q1857" s="32"/>
      <c r="R1857" s="32"/>
      <c r="S1857" s="32"/>
      <c r="T1857" s="264"/>
      <c r="U1857" s="16"/>
      <c r="V1857" s="16"/>
      <c r="W1857" s="16"/>
      <c r="X1857" s="32"/>
      <c r="Y1857" s="250"/>
    </row>
    <row r="1858">
      <c r="A1858" s="32"/>
      <c r="B1858" s="32"/>
      <c r="C1858" s="257"/>
      <c r="D1858" s="265"/>
      <c r="E1858" s="265"/>
      <c r="F1858" s="257"/>
      <c r="G1858" s="265"/>
      <c r="H1858" s="256"/>
      <c r="I1858" s="257"/>
      <c r="J1858" s="32"/>
      <c r="K1858" s="32"/>
      <c r="L1858" s="32"/>
      <c r="M1858" s="32"/>
      <c r="N1858" s="257"/>
      <c r="O1858" s="32"/>
      <c r="P1858" s="32"/>
      <c r="Q1858" s="32"/>
      <c r="R1858" s="32"/>
      <c r="S1858" s="32"/>
      <c r="T1858" s="264"/>
      <c r="U1858" s="16"/>
      <c r="V1858" s="16"/>
      <c r="W1858" s="16"/>
      <c r="X1858" s="32"/>
      <c r="Y1858" s="250"/>
    </row>
    <row r="1859">
      <c r="A1859" s="32"/>
      <c r="B1859" s="32"/>
      <c r="C1859" s="257"/>
      <c r="D1859" s="265"/>
      <c r="E1859" s="265"/>
      <c r="F1859" s="257"/>
      <c r="G1859" s="265"/>
      <c r="H1859" s="256"/>
      <c r="I1859" s="257"/>
      <c r="J1859" s="32"/>
      <c r="K1859" s="32"/>
      <c r="L1859" s="32"/>
      <c r="M1859" s="32"/>
      <c r="N1859" s="257"/>
      <c r="O1859" s="32"/>
      <c r="P1859" s="32"/>
      <c r="Q1859" s="32"/>
      <c r="R1859" s="32"/>
      <c r="S1859" s="32"/>
      <c r="T1859" s="264"/>
      <c r="U1859" s="16"/>
      <c r="V1859" s="16"/>
      <c r="W1859" s="16"/>
      <c r="X1859" s="32"/>
      <c r="Y1859" s="250"/>
    </row>
    <row r="1860">
      <c r="A1860" s="32"/>
      <c r="B1860" s="32"/>
      <c r="C1860" s="257"/>
      <c r="D1860" s="265"/>
      <c r="E1860" s="265"/>
      <c r="F1860" s="257"/>
      <c r="G1860" s="265"/>
      <c r="H1860" s="256"/>
      <c r="I1860" s="257"/>
      <c r="J1860" s="32"/>
      <c r="K1860" s="32"/>
      <c r="L1860" s="32"/>
      <c r="M1860" s="32"/>
      <c r="N1860" s="257"/>
      <c r="O1860" s="32"/>
      <c r="P1860" s="32"/>
      <c r="Q1860" s="32"/>
      <c r="R1860" s="32"/>
      <c r="S1860" s="32"/>
      <c r="T1860" s="264"/>
      <c r="U1860" s="16"/>
      <c r="V1860" s="16"/>
      <c r="W1860" s="16"/>
      <c r="X1860" s="32"/>
      <c r="Y1860" s="250"/>
    </row>
    <row r="1861">
      <c r="A1861" s="32"/>
      <c r="B1861" s="32"/>
      <c r="C1861" s="257"/>
      <c r="D1861" s="265"/>
      <c r="E1861" s="265"/>
      <c r="F1861" s="257"/>
      <c r="G1861" s="265"/>
      <c r="H1861" s="256"/>
      <c r="I1861" s="257"/>
      <c r="J1861" s="32"/>
      <c r="K1861" s="32"/>
      <c r="L1861" s="32"/>
      <c r="M1861" s="32"/>
      <c r="N1861" s="257"/>
      <c r="O1861" s="32"/>
      <c r="P1861" s="32"/>
      <c r="Q1861" s="32"/>
      <c r="R1861" s="32"/>
      <c r="S1861" s="32"/>
      <c r="T1861" s="264"/>
      <c r="U1861" s="16"/>
      <c r="V1861" s="16"/>
      <c r="W1861" s="16"/>
      <c r="X1861" s="32"/>
      <c r="Y1861" s="250"/>
    </row>
    <row r="1862">
      <c r="A1862" s="32"/>
      <c r="B1862" s="32"/>
      <c r="C1862" s="257"/>
      <c r="D1862" s="265"/>
      <c r="E1862" s="265"/>
      <c r="F1862" s="257"/>
      <c r="G1862" s="265"/>
      <c r="H1862" s="256"/>
      <c r="I1862" s="257"/>
      <c r="J1862" s="32"/>
      <c r="K1862" s="32"/>
      <c r="L1862" s="32"/>
      <c r="M1862" s="32"/>
      <c r="N1862" s="257"/>
      <c r="O1862" s="32"/>
      <c r="P1862" s="32"/>
      <c r="Q1862" s="32"/>
      <c r="R1862" s="32"/>
      <c r="S1862" s="32"/>
      <c r="T1862" s="264"/>
      <c r="U1862" s="16"/>
      <c r="V1862" s="16"/>
      <c r="W1862" s="16"/>
      <c r="X1862" s="32"/>
      <c r="Y1862" s="250"/>
    </row>
    <row r="1863">
      <c r="A1863" s="32"/>
      <c r="B1863" s="32"/>
      <c r="C1863" s="257"/>
      <c r="D1863" s="265"/>
      <c r="E1863" s="265"/>
      <c r="F1863" s="257"/>
      <c r="G1863" s="265"/>
      <c r="H1863" s="256"/>
      <c r="I1863" s="257"/>
      <c r="J1863" s="32"/>
      <c r="K1863" s="32"/>
      <c r="L1863" s="32"/>
      <c r="M1863" s="32"/>
      <c r="N1863" s="257"/>
      <c r="O1863" s="32"/>
      <c r="P1863" s="32"/>
      <c r="Q1863" s="32"/>
      <c r="R1863" s="32"/>
      <c r="S1863" s="32"/>
      <c r="T1863" s="264"/>
      <c r="U1863" s="16"/>
      <c r="V1863" s="16"/>
      <c r="W1863" s="16"/>
      <c r="X1863" s="32"/>
      <c r="Y1863" s="250"/>
    </row>
    <row r="1864">
      <c r="A1864" s="32"/>
      <c r="B1864" s="32"/>
      <c r="C1864" s="257"/>
      <c r="D1864" s="265"/>
      <c r="E1864" s="265"/>
      <c r="F1864" s="257"/>
      <c r="G1864" s="265"/>
      <c r="H1864" s="256"/>
      <c r="I1864" s="257"/>
      <c r="J1864" s="32"/>
      <c r="K1864" s="32"/>
      <c r="L1864" s="32"/>
      <c r="M1864" s="32"/>
      <c r="N1864" s="257"/>
      <c r="O1864" s="32"/>
      <c r="P1864" s="32"/>
      <c r="Q1864" s="32"/>
      <c r="R1864" s="32"/>
      <c r="S1864" s="32"/>
      <c r="T1864" s="264"/>
      <c r="U1864" s="16"/>
      <c r="V1864" s="16"/>
      <c r="W1864" s="16"/>
      <c r="X1864" s="32"/>
      <c r="Y1864" s="250"/>
    </row>
    <row r="1865">
      <c r="A1865" s="32"/>
      <c r="B1865" s="32"/>
      <c r="C1865" s="257"/>
      <c r="D1865" s="265"/>
      <c r="E1865" s="265"/>
      <c r="F1865" s="257"/>
      <c r="G1865" s="265"/>
      <c r="H1865" s="256"/>
      <c r="I1865" s="257"/>
      <c r="J1865" s="32"/>
      <c r="K1865" s="32"/>
      <c r="L1865" s="32"/>
      <c r="M1865" s="32"/>
      <c r="N1865" s="257"/>
      <c r="O1865" s="32"/>
      <c r="P1865" s="32"/>
      <c r="Q1865" s="32"/>
      <c r="R1865" s="32"/>
      <c r="S1865" s="32"/>
      <c r="T1865" s="264"/>
      <c r="U1865" s="16"/>
      <c r="V1865" s="16"/>
      <c r="W1865" s="16"/>
      <c r="X1865" s="32"/>
      <c r="Y1865" s="250"/>
    </row>
    <row r="1866">
      <c r="A1866" s="32"/>
      <c r="B1866" s="32"/>
      <c r="C1866" s="257"/>
      <c r="D1866" s="265"/>
      <c r="E1866" s="265"/>
      <c r="F1866" s="257"/>
      <c r="G1866" s="265"/>
      <c r="H1866" s="256"/>
      <c r="I1866" s="257"/>
      <c r="J1866" s="32"/>
      <c r="K1866" s="32"/>
      <c r="L1866" s="32"/>
      <c r="M1866" s="32"/>
      <c r="N1866" s="257"/>
      <c r="O1866" s="32"/>
      <c r="P1866" s="32"/>
      <c r="Q1866" s="32"/>
      <c r="R1866" s="32"/>
      <c r="S1866" s="32"/>
      <c r="T1866" s="264"/>
      <c r="U1866" s="16"/>
      <c r="V1866" s="16"/>
      <c r="W1866" s="16"/>
      <c r="X1866" s="32"/>
      <c r="Y1866" s="250"/>
    </row>
    <row r="1867">
      <c r="A1867" s="32"/>
      <c r="B1867" s="32"/>
      <c r="C1867" s="257"/>
      <c r="D1867" s="265"/>
      <c r="E1867" s="265"/>
      <c r="F1867" s="257"/>
      <c r="G1867" s="265"/>
      <c r="H1867" s="256"/>
      <c r="I1867" s="257"/>
      <c r="J1867" s="32"/>
      <c r="K1867" s="32"/>
      <c r="L1867" s="32"/>
      <c r="M1867" s="32"/>
      <c r="N1867" s="257"/>
      <c r="O1867" s="32"/>
      <c r="P1867" s="32"/>
      <c r="Q1867" s="32"/>
      <c r="R1867" s="32"/>
      <c r="S1867" s="32"/>
      <c r="T1867" s="264"/>
      <c r="U1867" s="16"/>
      <c r="V1867" s="16"/>
      <c r="W1867" s="16"/>
      <c r="X1867" s="32"/>
      <c r="Y1867" s="250"/>
    </row>
    <row r="1868">
      <c r="A1868" s="32"/>
      <c r="B1868" s="32"/>
      <c r="C1868" s="257"/>
      <c r="D1868" s="265"/>
      <c r="E1868" s="265"/>
      <c r="F1868" s="257"/>
      <c r="G1868" s="265"/>
      <c r="H1868" s="256"/>
      <c r="I1868" s="257"/>
      <c r="J1868" s="32"/>
      <c r="K1868" s="32"/>
      <c r="L1868" s="32"/>
      <c r="M1868" s="32"/>
      <c r="N1868" s="257"/>
      <c r="O1868" s="32"/>
      <c r="P1868" s="32"/>
      <c r="Q1868" s="32"/>
      <c r="R1868" s="32"/>
      <c r="S1868" s="32"/>
      <c r="T1868" s="264"/>
      <c r="U1868" s="16"/>
      <c r="V1868" s="16"/>
      <c r="W1868" s="16"/>
      <c r="X1868" s="32"/>
      <c r="Y1868" s="250"/>
    </row>
    <row r="1869">
      <c r="A1869" s="32"/>
      <c r="B1869" s="32"/>
      <c r="C1869" s="257"/>
      <c r="D1869" s="265"/>
      <c r="E1869" s="265"/>
      <c r="F1869" s="257"/>
      <c r="G1869" s="265"/>
      <c r="H1869" s="256"/>
      <c r="I1869" s="257"/>
      <c r="J1869" s="32"/>
      <c r="K1869" s="32"/>
      <c r="L1869" s="32"/>
      <c r="M1869" s="32"/>
      <c r="N1869" s="257"/>
      <c r="O1869" s="32"/>
      <c r="P1869" s="32"/>
      <c r="Q1869" s="32"/>
      <c r="R1869" s="32"/>
      <c r="S1869" s="32"/>
      <c r="T1869" s="264"/>
      <c r="U1869" s="16"/>
      <c r="V1869" s="16"/>
      <c r="W1869" s="16"/>
      <c r="X1869" s="32"/>
      <c r="Y1869" s="250"/>
    </row>
    <row r="1870">
      <c r="A1870" s="32"/>
      <c r="B1870" s="32"/>
      <c r="C1870" s="257"/>
      <c r="D1870" s="265"/>
      <c r="E1870" s="265"/>
      <c r="F1870" s="257"/>
      <c r="G1870" s="265"/>
      <c r="H1870" s="256"/>
      <c r="I1870" s="257"/>
      <c r="J1870" s="32"/>
      <c r="K1870" s="32"/>
      <c r="L1870" s="32"/>
      <c r="M1870" s="32"/>
      <c r="N1870" s="257"/>
      <c r="O1870" s="32"/>
      <c r="P1870" s="32"/>
      <c r="Q1870" s="32"/>
      <c r="R1870" s="32"/>
      <c r="S1870" s="32"/>
      <c r="T1870" s="264"/>
      <c r="U1870" s="16"/>
      <c r="V1870" s="16"/>
      <c r="W1870" s="16"/>
      <c r="X1870" s="32"/>
      <c r="Y1870" s="250"/>
    </row>
    <row r="1871">
      <c r="A1871" s="32"/>
      <c r="B1871" s="32"/>
      <c r="C1871" s="257"/>
      <c r="D1871" s="265"/>
      <c r="E1871" s="265"/>
      <c r="F1871" s="257"/>
      <c r="G1871" s="265"/>
      <c r="H1871" s="256"/>
      <c r="I1871" s="257"/>
      <c r="J1871" s="32"/>
      <c r="K1871" s="32"/>
      <c r="L1871" s="32"/>
      <c r="M1871" s="32"/>
      <c r="N1871" s="257"/>
      <c r="O1871" s="32"/>
      <c r="P1871" s="32"/>
      <c r="Q1871" s="32"/>
      <c r="R1871" s="32"/>
      <c r="S1871" s="32"/>
      <c r="T1871" s="264"/>
      <c r="U1871" s="16"/>
      <c r="V1871" s="16"/>
      <c r="W1871" s="16"/>
      <c r="X1871" s="32"/>
      <c r="Y1871" s="250"/>
    </row>
    <row r="1872">
      <c r="A1872" s="32"/>
      <c r="B1872" s="32"/>
      <c r="C1872" s="257"/>
      <c r="D1872" s="265"/>
      <c r="E1872" s="265"/>
      <c r="F1872" s="257"/>
      <c r="G1872" s="265"/>
      <c r="H1872" s="256"/>
      <c r="I1872" s="257"/>
      <c r="J1872" s="32"/>
      <c r="K1872" s="32"/>
      <c r="L1872" s="32"/>
      <c r="M1872" s="32"/>
      <c r="N1872" s="257"/>
      <c r="O1872" s="32"/>
      <c r="P1872" s="32"/>
      <c r="Q1872" s="32"/>
      <c r="R1872" s="32"/>
      <c r="S1872" s="32"/>
      <c r="T1872" s="264"/>
      <c r="U1872" s="16"/>
      <c r="V1872" s="16"/>
      <c r="W1872" s="16"/>
      <c r="X1872" s="32"/>
      <c r="Y1872" s="250"/>
    </row>
    <row r="1873">
      <c r="A1873" s="32"/>
      <c r="B1873" s="32"/>
      <c r="C1873" s="257"/>
      <c r="D1873" s="265"/>
      <c r="E1873" s="265"/>
      <c r="F1873" s="257"/>
      <c r="G1873" s="265"/>
      <c r="H1873" s="256"/>
      <c r="I1873" s="257"/>
      <c r="J1873" s="32"/>
      <c r="K1873" s="32"/>
      <c r="L1873" s="32"/>
      <c r="M1873" s="32"/>
      <c r="N1873" s="257"/>
      <c r="O1873" s="32"/>
      <c r="P1873" s="32"/>
      <c r="Q1873" s="32"/>
      <c r="R1873" s="32"/>
      <c r="S1873" s="32"/>
      <c r="T1873" s="264"/>
      <c r="U1873" s="16"/>
      <c r="V1873" s="16"/>
      <c r="W1873" s="16"/>
      <c r="X1873" s="32"/>
      <c r="Y1873" s="250"/>
    </row>
    <row r="1874">
      <c r="A1874" s="32"/>
      <c r="B1874" s="32"/>
      <c r="C1874" s="257"/>
      <c r="D1874" s="265"/>
      <c r="E1874" s="265"/>
      <c r="F1874" s="257"/>
      <c r="G1874" s="265"/>
      <c r="H1874" s="256"/>
      <c r="I1874" s="257"/>
      <c r="J1874" s="32"/>
      <c r="K1874" s="32"/>
      <c r="L1874" s="32"/>
      <c r="M1874" s="32"/>
      <c r="N1874" s="257"/>
      <c r="O1874" s="32"/>
      <c r="P1874" s="32"/>
      <c r="Q1874" s="32"/>
      <c r="R1874" s="32"/>
      <c r="S1874" s="32"/>
      <c r="T1874" s="264"/>
      <c r="U1874" s="16"/>
      <c r="V1874" s="16"/>
      <c r="W1874" s="16"/>
      <c r="X1874" s="32"/>
      <c r="Y1874" s="250"/>
    </row>
    <row r="1875">
      <c r="A1875" s="32"/>
      <c r="B1875" s="32"/>
      <c r="C1875" s="257"/>
      <c r="D1875" s="265"/>
      <c r="E1875" s="265"/>
      <c r="F1875" s="257"/>
      <c r="G1875" s="265"/>
      <c r="H1875" s="256"/>
      <c r="I1875" s="257"/>
      <c r="J1875" s="32"/>
      <c r="K1875" s="32"/>
      <c r="L1875" s="32"/>
      <c r="M1875" s="32"/>
      <c r="N1875" s="257"/>
      <c r="O1875" s="32"/>
      <c r="P1875" s="32"/>
      <c r="Q1875" s="32"/>
      <c r="R1875" s="32"/>
      <c r="S1875" s="32"/>
      <c r="T1875" s="264"/>
      <c r="U1875" s="16"/>
      <c r="V1875" s="16"/>
      <c r="W1875" s="16"/>
      <c r="X1875" s="32"/>
      <c r="Y1875" s="250"/>
    </row>
    <row r="1876">
      <c r="A1876" s="32"/>
      <c r="B1876" s="32"/>
      <c r="C1876" s="257"/>
      <c r="D1876" s="265"/>
      <c r="E1876" s="265"/>
      <c r="F1876" s="257"/>
      <c r="G1876" s="265"/>
      <c r="H1876" s="256"/>
      <c r="I1876" s="257"/>
      <c r="J1876" s="32"/>
      <c r="K1876" s="32"/>
      <c r="L1876" s="32"/>
      <c r="M1876" s="32"/>
      <c r="N1876" s="257"/>
      <c r="O1876" s="32"/>
      <c r="P1876" s="32"/>
      <c r="Q1876" s="32"/>
      <c r="R1876" s="32"/>
      <c r="S1876" s="32"/>
      <c r="T1876" s="264"/>
      <c r="U1876" s="16"/>
      <c r="V1876" s="16"/>
      <c r="W1876" s="16"/>
      <c r="X1876" s="32"/>
      <c r="Y1876" s="250"/>
    </row>
    <row r="1877">
      <c r="A1877" s="32"/>
      <c r="B1877" s="32"/>
      <c r="C1877" s="257"/>
      <c r="D1877" s="265"/>
      <c r="E1877" s="265"/>
      <c r="F1877" s="257"/>
      <c r="G1877" s="265"/>
      <c r="H1877" s="256"/>
      <c r="I1877" s="257"/>
      <c r="J1877" s="32"/>
      <c r="K1877" s="32"/>
      <c r="L1877" s="32"/>
      <c r="M1877" s="32"/>
      <c r="N1877" s="257"/>
      <c r="O1877" s="32"/>
      <c r="P1877" s="32"/>
      <c r="Q1877" s="32"/>
      <c r="R1877" s="32"/>
      <c r="S1877" s="32"/>
      <c r="T1877" s="264"/>
      <c r="U1877" s="16"/>
      <c r="V1877" s="16"/>
      <c r="W1877" s="16"/>
      <c r="X1877" s="32"/>
      <c r="Y1877" s="250"/>
    </row>
    <row r="1878">
      <c r="A1878" s="32"/>
      <c r="B1878" s="32"/>
      <c r="C1878" s="257"/>
      <c r="D1878" s="265"/>
      <c r="E1878" s="265"/>
      <c r="F1878" s="257"/>
      <c r="G1878" s="265"/>
      <c r="H1878" s="256"/>
      <c r="I1878" s="257"/>
      <c r="J1878" s="32"/>
      <c r="K1878" s="32"/>
      <c r="L1878" s="32"/>
      <c r="M1878" s="32"/>
      <c r="N1878" s="257"/>
      <c r="O1878" s="32"/>
      <c r="P1878" s="32"/>
      <c r="Q1878" s="32"/>
      <c r="R1878" s="32"/>
      <c r="S1878" s="32"/>
      <c r="T1878" s="264"/>
      <c r="U1878" s="16"/>
      <c r="V1878" s="16"/>
      <c r="W1878" s="16"/>
      <c r="X1878" s="32"/>
      <c r="Y1878" s="250"/>
    </row>
    <row r="1879">
      <c r="A1879" s="32"/>
      <c r="B1879" s="32"/>
      <c r="C1879" s="257"/>
      <c r="D1879" s="265"/>
      <c r="E1879" s="265"/>
      <c r="F1879" s="257"/>
      <c r="G1879" s="265"/>
      <c r="H1879" s="256"/>
      <c r="I1879" s="257"/>
      <c r="J1879" s="32"/>
      <c r="K1879" s="32"/>
      <c r="L1879" s="32"/>
      <c r="M1879" s="32"/>
      <c r="N1879" s="257"/>
      <c r="O1879" s="32"/>
      <c r="P1879" s="32"/>
      <c r="Q1879" s="32"/>
      <c r="R1879" s="32"/>
      <c r="S1879" s="32"/>
      <c r="T1879" s="264"/>
      <c r="U1879" s="16"/>
      <c r="V1879" s="16"/>
      <c r="W1879" s="16"/>
      <c r="X1879" s="32"/>
      <c r="Y1879" s="250"/>
    </row>
    <row r="1880">
      <c r="A1880" s="32"/>
      <c r="B1880" s="32"/>
      <c r="C1880" s="257"/>
      <c r="D1880" s="265"/>
      <c r="E1880" s="265"/>
      <c r="F1880" s="257"/>
      <c r="G1880" s="265"/>
      <c r="H1880" s="256"/>
      <c r="I1880" s="257"/>
      <c r="J1880" s="32"/>
      <c r="K1880" s="32"/>
      <c r="L1880" s="32"/>
      <c r="M1880" s="32"/>
      <c r="N1880" s="257"/>
      <c r="O1880" s="32"/>
      <c r="P1880" s="32"/>
      <c r="Q1880" s="32"/>
      <c r="R1880" s="32"/>
      <c r="S1880" s="32"/>
      <c r="T1880" s="264"/>
      <c r="U1880" s="16"/>
      <c r="V1880" s="16"/>
      <c r="W1880" s="16"/>
      <c r="X1880" s="32"/>
      <c r="Y1880" s="250"/>
    </row>
    <row r="1881">
      <c r="A1881" s="32"/>
      <c r="B1881" s="32"/>
      <c r="C1881" s="257"/>
      <c r="D1881" s="265"/>
      <c r="E1881" s="265"/>
      <c r="F1881" s="257"/>
      <c r="G1881" s="265"/>
      <c r="H1881" s="256"/>
      <c r="I1881" s="257"/>
      <c r="J1881" s="32"/>
      <c r="K1881" s="32"/>
      <c r="L1881" s="32"/>
      <c r="M1881" s="32"/>
      <c r="N1881" s="257"/>
      <c r="O1881" s="32"/>
      <c r="P1881" s="32"/>
      <c r="Q1881" s="32"/>
      <c r="R1881" s="32"/>
      <c r="S1881" s="32"/>
      <c r="T1881" s="264"/>
      <c r="U1881" s="16"/>
      <c r="V1881" s="16"/>
      <c r="W1881" s="16"/>
      <c r="X1881" s="32"/>
      <c r="Y1881" s="250"/>
    </row>
    <row r="1882">
      <c r="A1882" s="32"/>
      <c r="B1882" s="32"/>
      <c r="C1882" s="257"/>
      <c r="D1882" s="265"/>
      <c r="E1882" s="265"/>
      <c r="F1882" s="257"/>
      <c r="G1882" s="265"/>
      <c r="H1882" s="256"/>
      <c r="I1882" s="257"/>
      <c r="J1882" s="32"/>
      <c r="K1882" s="32"/>
      <c r="L1882" s="32"/>
      <c r="M1882" s="32"/>
      <c r="N1882" s="257"/>
      <c r="O1882" s="32"/>
      <c r="P1882" s="32"/>
      <c r="Q1882" s="32"/>
      <c r="R1882" s="32"/>
      <c r="S1882" s="32"/>
      <c r="T1882" s="264"/>
      <c r="U1882" s="16"/>
      <c r="V1882" s="16"/>
      <c r="W1882" s="16"/>
      <c r="X1882" s="32"/>
      <c r="Y1882" s="250"/>
    </row>
    <row r="1883">
      <c r="A1883" s="32"/>
      <c r="B1883" s="32"/>
      <c r="C1883" s="257"/>
      <c r="D1883" s="265"/>
      <c r="E1883" s="265"/>
      <c r="F1883" s="257"/>
      <c r="G1883" s="265"/>
      <c r="H1883" s="256"/>
      <c r="I1883" s="257"/>
      <c r="J1883" s="32"/>
      <c r="K1883" s="32"/>
      <c r="L1883" s="32"/>
      <c r="M1883" s="32"/>
      <c r="N1883" s="257"/>
      <c r="O1883" s="32"/>
      <c r="P1883" s="32"/>
      <c r="Q1883" s="32"/>
      <c r="R1883" s="32"/>
      <c r="S1883" s="32"/>
      <c r="T1883" s="264"/>
      <c r="U1883" s="16"/>
      <c r="V1883" s="16"/>
      <c r="W1883" s="16"/>
      <c r="X1883" s="32"/>
      <c r="Y1883" s="250"/>
    </row>
    <row r="1884">
      <c r="A1884" s="32"/>
      <c r="B1884" s="32"/>
      <c r="C1884" s="257"/>
      <c r="D1884" s="265"/>
      <c r="E1884" s="265"/>
      <c r="F1884" s="257"/>
      <c r="G1884" s="265"/>
      <c r="H1884" s="256"/>
      <c r="I1884" s="257"/>
      <c r="J1884" s="32"/>
      <c r="K1884" s="32"/>
      <c r="L1884" s="32"/>
      <c r="M1884" s="32"/>
      <c r="N1884" s="257"/>
      <c r="O1884" s="32"/>
      <c r="P1884" s="32"/>
      <c r="Q1884" s="32"/>
      <c r="R1884" s="32"/>
      <c r="S1884" s="32"/>
      <c r="T1884" s="264"/>
      <c r="U1884" s="16"/>
      <c r="V1884" s="16"/>
      <c r="W1884" s="16"/>
      <c r="X1884" s="32"/>
      <c r="Y1884" s="250"/>
    </row>
    <row r="1885">
      <c r="A1885" s="32"/>
      <c r="B1885" s="32"/>
      <c r="C1885" s="257"/>
      <c r="D1885" s="265"/>
      <c r="E1885" s="265"/>
      <c r="F1885" s="257"/>
      <c r="G1885" s="265"/>
      <c r="H1885" s="256"/>
      <c r="I1885" s="257"/>
      <c r="J1885" s="32"/>
      <c r="K1885" s="32"/>
      <c r="L1885" s="32"/>
      <c r="M1885" s="32"/>
      <c r="N1885" s="257"/>
      <c r="O1885" s="32"/>
      <c r="P1885" s="32"/>
      <c r="Q1885" s="32"/>
      <c r="R1885" s="32"/>
      <c r="S1885" s="32"/>
      <c r="T1885" s="264"/>
      <c r="U1885" s="16"/>
      <c r="V1885" s="16"/>
      <c r="W1885" s="16"/>
      <c r="X1885" s="32"/>
      <c r="Y1885" s="250"/>
    </row>
    <row r="1886">
      <c r="A1886" s="32"/>
      <c r="B1886" s="32"/>
      <c r="C1886" s="257"/>
      <c r="D1886" s="265"/>
      <c r="E1886" s="265"/>
      <c r="F1886" s="257"/>
      <c r="G1886" s="265"/>
      <c r="H1886" s="256"/>
      <c r="I1886" s="257"/>
      <c r="J1886" s="32"/>
      <c r="K1886" s="32"/>
      <c r="L1886" s="32"/>
      <c r="M1886" s="32"/>
      <c r="N1886" s="257"/>
      <c r="O1886" s="32"/>
      <c r="P1886" s="32"/>
      <c r="Q1886" s="32"/>
      <c r="R1886" s="32"/>
      <c r="S1886" s="32"/>
      <c r="T1886" s="264"/>
      <c r="U1886" s="16"/>
      <c r="V1886" s="16"/>
      <c r="W1886" s="16"/>
      <c r="X1886" s="32"/>
      <c r="Y1886" s="250"/>
    </row>
    <row r="1887">
      <c r="A1887" s="32"/>
      <c r="B1887" s="32"/>
      <c r="C1887" s="257"/>
      <c r="D1887" s="265"/>
      <c r="E1887" s="265"/>
      <c r="F1887" s="257"/>
      <c r="G1887" s="265"/>
      <c r="H1887" s="256"/>
      <c r="I1887" s="257"/>
      <c r="J1887" s="32"/>
      <c r="K1887" s="32"/>
      <c r="L1887" s="32"/>
      <c r="M1887" s="32"/>
      <c r="N1887" s="257"/>
      <c r="O1887" s="32"/>
      <c r="P1887" s="32"/>
      <c r="Q1887" s="32"/>
      <c r="R1887" s="32"/>
      <c r="S1887" s="32"/>
      <c r="T1887" s="264"/>
      <c r="U1887" s="16"/>
      <c r="V1887" s="16"/>
      <c r="W1887" s="16"/>
      <c r="X1887" s="32"/>
      <c r="Y1887" s="250"/>
    </row>
    <row r="1888">
      <c r="A1888" s="32"/>
      <c r="B1888" s="32"/>
      <c r="C1888" s="257"/>
      <c r="D1888" s="265"/>
      <c r="E1888" s="265"/>
      <c r="F1888" s="257"/>
      <c r="G1888" s="265"/>
      <c r="H1888" s="256"/>
      <c r="I1888" s="257"/>
      <c r="J1888" s="32"/>
      <c r="K1888" s="32"/>
      <c r="L1888" s="32"/>
      <c r="M1888" s="32"/>
      <c r="N1888" s="257"/>
      <c r="O1888" s="32"/>
      <c r="P1888" s="32"/>
      <c r="Q1888" s="32"/>
      <c r="R1888" s="32"/>
      <c r="S1888" s="32"/>
      <c r="T1888" s="264"/>
      <c r="U1888" s="16"/>
      <c r="V1888" s="16"/>
      <c r="W1888" s="16"/>
      <c r="X1888" s="32"/>
      <c r="Y1888" s="250"/>
    </row>
    <row r="1889">
      <c r="A1889" s="32"/>
      <c r="B1889" s="32"/>
      <c r="C1889" s="257"/>
      <c r="D1889" s="265"/>
      <c r="E1889" s="265"/>
      <c r="F1889" s="257"/>
      <c r="G1889" s="265"/>
      <c r="H1889" s="256"/>
      <c r="I1889" s="257"/>
      <c r="J1889" s="32"/>
      <c r="K1889" s="32"/>
      <c r="L1889" s="32"/>
      <c r="M1889" s="32"/>
      <c r="N1889" s="257"/>
      <c r="O1889" s="32"/>
      <c r="P1889" s="32"/>
      <c r="Q1889" s="32"/>
      <c r="R1889" s="32"/>
      <c r="S1889" s="32"/>
      <c r="T1889" s="264"/>
      <c r="U1889" s="16"/>
      <c r="V1889" s="16"/>
      <c r="W1889" s="16"/>
      <c r="X1889" s="32"/>
      <c r="Y1889" s="250"/>
    </row>
    <row r="1890">
      <c r="A1890" s="32"/>
      <c r="B1890" s="32"/>
      <c r="C1890" s="257"/>
      <c r="D1890" s="265"/>
      <c r="E1890" s="265"/>
      <c r="F1890" s="257"/>
      <c r="G1890" s="265"/>
      <c r="H1890" s="256"/>
      <c r="I1890" s="257"/>
      <c r="J1890" s="32"/>
      <c r="K1890" s="32"/>
      <c r="L1890" s="32"/>
      <c r="M1890" s="32"/>
      <c r="N1890" s="257"/>
      <c r="O1890" s="32"/>
      <c r="P1890" s="32"/>
      <c r="Q1890" s="32"/>
      <c r="R1890" s="32"/>
      <c r="S1890" s="32"/>
      <c r="T1890" s="264"/>
      <c r="U1890" s="16"/>
      <c r="V1890" s="16"/>
      <c r="W1890" s="16"/>
      <c r="X1890" s="32"/>
      <c r="Y1890" s="250"/>
    </row>
    <row r="1891">
      <c r="A1891" s="32"/>
      <c r="B1891" s="32"/>
      <c r="C1891" s="257"/>
      <c r="D1891" s="265"/>
      <c r="E1891" s="265"/>
      <c r="F1891" s="257"/>
      <c r="G1891" s="265"/>
      <c r="H1891" s="256"/>
      <c r="I1891" s="257"/>
      <c r="J1891" s="32"/>
      <c r="K1891" s="32"/>
      <c r="L1891" s="32"/>
      <c r="M1891" s="32"/>
      <c r="N1891" s="257"/>
      <c r="O1891" s="32"/>
      <c r="P1891" s="32"/>
      <c r="Q1891" s="32"/>
      <c r="R1891" s="32"/>
      <c r="S1891" s="32"/>
      <c r="T1891" s="264"/>
      <c r="U1891" s="16"/>
      <c r="V1891" s="16"/>
      <c r="W1891" s="16"/>
      <c r="X1891" s="32"/>
      <c r="Y1891" s="250"/>
    </row>
    <row r="1892">
      <c r="A1892" s="32"/>
      <c r="B1892" s="32"/>
      <c r="C1892" s="257"/>
      <c r="D1892" s="265"/>
      <c r="E1892" s="265"/>
      <c r="F1892" s="257"/>
      <c r="G1892" s="265"/>
      <c r="H1892" s="256"/>
      <c r="I1892" s="257"/>
      <c r="J1892" s="32"/>
      <c r="K1892" s="32"/>
      <c r="L1892" s="32"/>
      <c r="M1892" s="32"/>
      <c r="N1892" s="257"/>
      <c r="O1892" s="32"/>
      <c r="P1892" s="32"/>
      <c r="Q1892" s="32"/>
      <c r="R1892" s="32"/>
      <c r="S1892" s="32"/>
      <c r="T1892" s="264"/>
      <c r="U1892" s="16"/>
      <c r="V1892" s="16"/>
      <c r="W1892" s="16"/>
      <c r="X1892" s="32"/>
      <c r="Y1892" s="250"/>
    </row>
    <row r="1893">
      <c r="A1893" s="32"/>
      <c r="B1893" s="32"/>
      <c r="C1893" s="257"/>
      <c r="D1893" s="265"/>
      <c r="E1893" s="265"/>
      <c r="F1893" s="257"/>
      <c r="G1893" s="265"/>
      <c r="H1893" s="256"/>
      <c r="I1893" s="257"/>
      <c r="J1893" s="32"/>
      <c r="K1893" s="32"/>
      <c r="L1893" s="32"/>
      <c r="M1893" s="32"/>
      <c r="N1893" s="257"/>
      <c r="O1893" s="32"/>
      <c r="P1893" s="32"/>
      <c r="Q1893" s="32"/>
      <c r="R1893" s="32"/>
      <c r="S1893" s="32"/>
      <c r="T1893" s="264"/>
      <c r="U1893" s="16"/>
      <c r="V1893" s="16"/>
      <c r="W1893" s="16"/>
      <c r="X1893" s="32"/>
      <c r="Y1893" s="250"/>
    </row>
    <row r="1894">
      <c r="A1894" s="32"/>
      <c r="B1894" s="32"/>
      <c r="C1894" s="257"/>
      <c r="D1894" s="265"/>
      <c r="E1894" s="265"/>
      <c r="F1894" s="257"/>
      <c r="G1894" s="265"/>
      <c r="H1894" s="256"/>
      <c r="I1894" s="257"/>
      <c r="J1894" s="32"/>
      <c r="K1894" s="32"/>
      <c r="L1894" s="32"/>
      <c r="M1894" s="32"/>
      <c r="N1894" s="257"/>
      <c r="O1894" s="32"/>
      <c r="P1894" s="32"/>
      <c r="Q1894" s="32"/>
      <c r="R1894" s="32"/>
      <c r="S1894" s="32"/>
      <c r="T1894" s="264"/>
      <c r="U1894" s="16"/>
      <c r="V1894" s="16"/>
      <c r="W1894" s="16"/>
      <c r="X1894" s="32"/>
      <c r="Y1894" s="250"/>
    </row>
    <row r="1895">
      <c r="A1895" s="32"/>
      <c r="B1895" s="32"/>
      <c r="C1895" s="257"/>
      <c r="D1895" s="265"/>
      <c r="E1895" s="265"/>
      <c r="F1895" s="257"/>
      <c r="G1895" s="265"/>
      <c r="H1895" s="256"/>
      <c r="I1895" s="257"/>
      <c r="J1895" s="32"/>
      <c r="K1895" s="32"/>
      <c r="L1895" s="32"/>
      <c r="M1895" s="32"/>
      <c r="N1895" s="257"/>
      <c r="O1895" s="32"/>
      <c r="P1895" s="32"/>
      <c r="Q1895" s="32"/>
      <c r="R1895" s="32"/>
      <c r="S1895" s="32"/>
      <c r="T1895" s="264"/>
      <c r="U1895" s="16"/>
      <c r="V1895" s="16"/>
      <c r="W1895" s="16"/>
      <c r="X1895" s="32"/>
      <c r="Y1895" s="250"/>
    </row>
    <row r="1896">
      <c r="A1896" s="32"/>
      <c r="B1896" s="32"/>
      <c r="C1896" s="257"/>
      <c r="D1896" s="265"/>
      <c r="E1896" s="265"/>
      <c r="F1896" s="257"/>
      <c r="G1896" s="265"/>
      <c r="H1896" s="256"/>
      <c r="I1896" s="257"/>
      <c r="J1896" s="32"/>
      <c r="K1896" s="32"/>
      <c r="L1896" s="32"/>
      <c r="M1896" s="32"/>
      <c r="N1896" s="257"/>
      <c r="O1896" s="32"/>
      <c r="P1896" s="32"/>
      <c r="Q1896" s="32"/>
      <c r="R1896" s="32"/>
      <c r="S1896" s="32"/>
      <c r="T1896" s="264"/>
      <c r="U1896" s="16"/>
      <c r="V1896" s="16"/>
      <c r="W1896" s="16"/>
      <c r="X1896" s="32"/>
      <c r="Y1896" s="250"/>
    </row>
    <row r="1897">
      <c r="A1897" s="32"/>
      <c r="B1897" s="32"/>
      <c r="C1897" s="257"/>
      <c r="D1897" s="265"/>
      <c r="E1897" s="265"/>
      <c r="F1897" s="257"/>
      <c r="G1897" s="265"/>
      <c r="H1897" s="256"/>
      <c r="I1897" s="257"/>
      <c r="J1897" s="32"/>
      <c r="K1897" s="32"/>
      <c r="L1897" s="32"/>
      <c r="M1897" s="32"/>
      <c r="N1897" s="257"/>
      <c r="O1897" s="32"/>
      <c r="P1897" s="32"/>
      <c r="Q1897" s="32"/>
      <c r="R1897" s="32"/>
      <c r="S1897" s="32"/>
      <c r="T1897" s="264"/>
      <c r="U1897" s="16"/>
      <c r="V1897" s="16"/>
      <c r="W1897" s="16"/>
      <c r="X1897" s="32"/>
      <c r="Y1897" s="250"/>
    </row>
    <row r="1898">
      <c r="A1898" s="32"/>
      <c r="B1898" s="32"/>
      <c r="C1898" s="257"/>
      <c r="D1898" s="265"/>
      <c r="E1898" s="265"/>
      <c r="F1898" s="257"/>
      <c r="G1898" s="265"/>
      <c r="H1898" s="256"/>
      <c r="I1898" s="257"/>
      <c r="J1898" s="32"/>
      <c r="K1898" s="32"/>
      <c r="L1898" s="32"/>
      <c r="M1898" s="32"/>
      <c r="N1898" s="257"/>
      <c r="O1898" s="32"/>
      <c r="P1898" s="32"/>
      <c r="Q1898" s="32"/>
      <c r="R1898" s="32"/>
      <c r="S1898" s="32"/>
      <c r="T1898" s="264"/>
      <c r="U1898" s="16"/>
      <c r="V1898" s="16"/>
      <c r="W1898" s="16"/>
      <c r="X1898" s="32"/>
      <c r="Y1898" s="250"/>
    </row>
    <row r="1899">
      <c r="A1899" s="32"/>
      <c r="B1899" s="32"/>
      <c r="C1899" s="257"/>
      <c r="D1899" s="265"/>
      <c r="E1899" s="265"/>
      <c r="F1899" s="257"/>
      <c r="G1899" s="265"/>
      <c r="H1899" s="256"/>
      <c r="I1899" s="257"/>
      <c r="J1899" s="32"/>
      <c r="K1899" s="32"/>
      <c r="L1899" s="32"/>
      <c r="M1899" s="32"/>
      <c r="N1899" s="257"/>
      <c r="O1899" s="32"/>
      <c r="P1899" s="32"/>
      <c r="Q1899" s="32"/>
      <c r="R1899" s="32"/>
      <c r="S1899" s="32"/>
      <c r="T1899" s="264"/>
      <c r="U1899" s="16"/>
      <c r="V1899" s="16"/>
      <c r="W1899" s="16"/>
      <c r="X1899" s="32"/>
      <c r="Y1899" s="250"/>
    </row>
    <row r="1900">
      <c r="A1900" s="32"/>
      <c r="B1900" s="32"/>
      <c r="C1900" s="257"/>
      <c r="D1900" s="265"/>
      <c r="E1900" s="265"/>
      <c r="F1900" s="257"/>
      <c r="G1900" s="265"/>
      <c r="H1900" s="256"/>
      <c r="I1900" s="257"/>
      <c r="J1900" s="32"/>
      <c r="K1900" s="32"/>
      <c r="L1900" s="32"/>
      <c r="M1900" s="32"/>
      <c r="N1900" s="257"/>
      <c r="O1900" s="32"/>
      <c r="P1900" s="32"/>
      <c r="Q1900" s="32"/>
      <c r="R1900" s="32"/>
      <c r="S1900" s="32"/>
      <c r="T1900" s="264"/>
      <c r="U1900" s="16"/>
      <c r="V1900" s="16"/>
      <c r="W1900" s="16"/>
      <c r="X1900" s="32"/>
      <c r="Y1900" s="250"/>
    </row>
    <row r="1901">
      <c r="A1901" s="32"/>
      <c r="B1901" s="32"/>
      <c r="C1901" s="257"/>
      <c r="D1901" s="265"/>
      <c r="E1901" s="265"/>
      <c r="F1901" s="257"/>
      <c r="G1901" s="265"/>
      <c r="H1901" s="256"/>
      <c r="I1901" s="257"/>
      <c r="J1901" s="32"/>
      <c r="K1901" s="32"/>
      <c r="L1901" s="32"/>
      <c r="M1901" s="32"/>
      <c r="N1901" s="257"/>
      <c r="O1901" s="32"/>
      <c r="P1901" s="32"/>
      <c r="Q1901" s="32"/>
      <c r="R1901" s="32"/>
      <c r="S1901" s="32"/>
      <c r="T1901" s="264"/>
      <c r="U1901" s="16"/>
      <c r="V1901" s="16"/>
      <c r="W1901" s="16"/>
      <c r="X1901" s="32"/>
      <c r="Y1901" s="250"/>
    </row>
    <row r="1902">
      <c r="A1902" s="32"/>
      <c r="B1902" s="32"/>
      <c r="C1902" s="257"/>
      <c r="D1902" s="265"/>
      <c r="E1902" s="265"/>
      <c r="F1902" s="257"/>
      <c r="G1902" s="265"/>
      <c r="H1902" s="256"/>
      <c r="I1902" s="257"/>
      <c r="J1902" s="32"/>
      <c r="K1902" s="32"/>
      <c r="L1902" s="32"/>
      <c r="M1902" s="32"/>
      <c r="N1902" s="257"/>
      <c r="O1902" s="32"/>
      <c r="P1902" s="32"/>
      <c r="Q1902" s="32"/>
      <c r="R1902" s="32"/>
      <c r="S1902" s="32"/>
      <c r="T1902" s="264"/>
      <c r="U1902" s="16"/>
      <c r="V1902" s="16"/>
      <c r="W1902" s="16"/>
      <c r="X1902" s="32"/>
      <c r="Y1902" s="250"/>
    </row>
    <row r="1903">
      <c r="A1903" s="32"/>
      <c r="B1903" s="32"/>
      <c r="C1903" s="257"/>
      <c r="D1903" s="265"/>
      <c r="E1903" s="265"/>
      <c r="F1903" s="257"/>
      <c r="G1903" s="265"/>
      <c r="H1903" s="256"/>
      <c r="I1903" s="257"/>
      <c r="J1903" s="32"/>
      <c r="K1903" s="32"/>
      <c r="L1903" s="32"/>
      <c r="M1903" s="32"/>
      <c r="N1903" s="257"/>
      <c r="O1903" s="32"/>
      <c r="P1903" s="32"/>
      <c r="Q1903" s="32"/>
      <c r="R1903" s="32"/>
      <c r="S1903" s="32"/>
      <c r="T1903" s="264"/>
      <c r="U1903" s="16"/>
      <c r="V1903" s="16"/>
      <c r="W1903" s="16"/>
      <c r="X1903" s="32"/>
      <c r="Y1903" s="250"/>
    </row>
    <row r="1904">
      <c r="A1904" s="32"/>
      <c r="B1904" s="32"/>
      <c r="C1904" s="257"/>
      <c r="D1904" s="265"/>
      <c r="E1904" s="265"/>
      <c r="F1904" s="257"/>
      <c r="G1904" s="265"/>
      <c r="H1904" s="256"/>
      <c r="I1904" s="257"/>
      <c r="J1904" s="32"/>
      <c r="K1904" s="32"/>
      <c r="L1904" s="32"/>
      <c r="M1904" s="32"/>
      <c r="N1904" s="257"/>
      <c r="O1904" s="32"/>
      <c r="P1904" s="32"/>
      <c r="Q1904" s="32"/>
      <c r="R1904" s="32"/>
      <c r="S1904" s="32"/>
      <c r="T1904" s="264"/>
      <c r="U1904" s="16"/>
      <c r="V1904" s="16"/>
      <c r="W1904" s="16"/>
      <c r="X1904" s="32"/>
      <c r="Y1904" s="250"/>
    </row>
    <row r="1905">
      <c r="A1905" s="32"/>
      <c r="B1905" s="32"/>
      <c r="C1905" s="257"/>
      <c r="D1905" s="265"/>
      <c r="E1905" s="265"/>
      <c r="F1905" s="257"/>
      <c r="G1905" s="265"/>
      <c r="H1905" s="256"/>
      <c r="I1905" s="257"/>
      <c r="J1905" s="32"/>
      <c r="K1905" s="32"/>
      <c r="L1905" s="32"/>
      <c r="M1905" s="32"/>
      <c r="N1905" s="257"/>
      <c r="O1905" s="32"/>
      <c r="P1905" s="32"/>
      <c r="Q1905" s="32"/>
      <c r="R1905" s="32"/>
      <c r="S1905" s="32"/>
      <c r="T1905" s="264"/>
      <c r="U1905" s="16"/>
      <c r="V1905" s="16"/>
      <c r="W1905" s="16"/>
      <c r="X1905" s="32"/>
      <c r="Y1905" s="250"/>
    </row>
    <row r="1906">
      <c r="A1906" s="32"/>
      <c r="B1906" s="32"/>
      <c r="C1906" s="257"/>
      <c r="D1906" s="265"/>
      <c r="E1906" s="265"/>
      <c r="F1906" s="257"/>
      <c r="G1906" s="265"/>
      <c r="H1906" s="256"/>
      <c r="I1906" s="257"/>
      <c r="J1906" s="32"/>
      <c r="K1906" s="32"/>
      <c r="L1906" s="32"/>
      <c r="M1906" s="32"/>
      <c r="N1906" s="257"/>
      <c r="O1906" s="32"/>
      <c r="P1906" s="32"/>
      <c r="Q1906" s="32"/>
      <c r="R1906" s="32"/>
      <c r="S1906" s="32"/>
      <c r="T1906" s="264"/>
      <c r="U1906" s="16"/>
      <c r="V1906" s="16"/>
      <c r="W1906" s="16"/>
      <c r="X1906" s="32"/>
      <c r="Y1906" s="250"/>
    </row>
    <row r="1907">
      <c r="A1907" s="32"/>
      <c r="B1907" s="32"/>
      <c r="C1907" s="257"/>
      <c r="D1907" s="265"/>
      <c r="E1907" s="265"/>
      <c r="F1907" s="257"/>
      <c r="G1907" s="265"/>
      <c r="H1907" s="256"/>
      <c r="I1907" s="257"/>
      <c r="J1907" s="32"/>
      <c r="K1907" s="32"/>
      <c r="L1907" s="32"/>
      <c r="M1907" s="32"/>
      <c r="N1907" s="257"/>
      <c r="O1907" s="32"/>
      <c r="P1907" s="32"/>
      <c r="Q1907" s="32"/>
      <c r="R1907" s="32"/>
      <c r="S1907" s="32"/>
      <c r="T1907" s="264"/>
      <c r="U1907" s="16"/>
      <c r="V1907" s="16"/>
      <c r="W1907" s="16"/>
      <c r="X1907" s="32"/>
      <c r="Y1907" s="250"/>
    </row>
    <row r="1908">
      <c r="A1908" s="32"/>
      <c r="B1908" s="32"/>
      <c r="C1908" s="257"/>
      <c r="D1908" s="265"/>
      <c r="E1908" s="265"/>
      <c r="F1908" s="257"/>
      <c r="G1908" s="265"/>
      <c r="H1908" s="256"/>
      <c r="I1908" s="257"/>
      <c r="J1908" s="32"/>
      <c r="K1908" s="32"/>
      <c r="L1908" s="32"/>
      <c r="M1908" s="32"/>
      <c r="N1908" s="257"/>
      <c r="O1908" s="32"/>
      <c r="P1908" s="32"/>
      <c r="Q1908" s="32"/>
      <c r="R1908" s="32"/>
      <c r="S1908" s="32"/>
      <c r="T1908" s="264"/>
      <c r="U1908" s="16"/>
      <c r="V1908" s="16"/>
      <c r="W1908" s="16"/>
      <c r="X1908" s="32"/>
      <c r="Y1908" s="250"/>
    </row>
    <row r="1909">
      <c r="A1909" s="32"/>
      <c r="B1909" s="32"/>
      <c r="C1909" s="257"/>
      <c r="D1909" s="265"/>
      <c r="E1909" s="265"/>
      <c r="F1909" s="257"/>
      <c r="G1909" s="265"/>
      <c r="H1909" s="256"/>
      <c r="I1909" s="257"/>
      <c r="J1909" s="32"/>
      <c r="K1909" s="32"/>
      <c r="L1909" s="32"/>
      <c r="M1909" s="32"/>
      <c r="N1909" s="257"/>
      <c r="O1909" s="32"/>
      <c r="P1909" s="32"/>
      <c r="Q1909" s="32"/>
      <c r="R1909" s="32"/>
      <c r="S1909" s="32"/>
      <c r="T1909" s="264"/>
      <c r="U1909" s="16"/>
      <c r="V1909" s="16"/>
      <c r="W1909" s="16"/>
      <c r="X1909" s="32"/>
      <c r="Y1909" s="250"/>
    </row>
    <row r="1910">
      <c r="A1910" s="32"/>
      <c r="B1910" s="32"/>
      <c r="C1910" s="257"/>
      <c r="D1910" s="265"/>
      <c r="E1910" s="265"/>
      <c r="F1910" s="257"/>
      <c r="G1910" s="265"/>
      <c r="H1910" s="256"/>
      <c r="I1910" s="257"/>
      <c r="J1910" s="32"/>
      <c r="K1910" s="32"/>
      <c r="L1910" s="32"/>
      <c r="M1910" s="32"/>
      <c r="N1910" s="257"/>
      <c r="O1910" s="32"/>
      <c r="P1910" s="32"/>
      <c r="Q1910" s="32"/>
      <c r="R1910" s="32"/>
      <c r="S1910" s="32"/>
      <c r="T1910" s="264"/>
      <c r="U1910" s="16"/>
      <c r="V1910" s="16"/>
      <c r="W1910" s="16"/>
      <c r="X1910" s="32"/>
      <c r="Y1910" s="250"/>
    </row>
    <row r="1911">
      <c r="A1911" s="32"/>
      <c r="B1911" s="32"/>
      <c r="C1911" s="257"/>
      <c r="D1911" s="265"/>
      <c r="E1911" s="265"/>
      <c r="F1911" s="257"/>
      <c r="G1911" s="265"/>
      <c r="H1911" s="256"/>
      <c r="I1911" s="257"/>
      <c r="J1911" s="32"/>
      <c r="K1911" s="32"/>
      <c r="L1911" s="32"/>
      <c r="M1911" s="32"/>
      <c r="N1911" s="257"/>
      <c r="O1911" s="32"/>
      <c r="P1911" s="32"/>
      <c r="Q1911" s="32"/>
      <c r="R1911" s="32"/>
      <c r="S1911" s="32"/>
      <c r="T1911" s="264"/>
      <c r="U1911" s="16"/>
      <c r="V1911" s="16"/>
      <c r="W1911" s="16"/>
      <c r="X1911" s="32"/>
      <c r="Y1911" s="250"/>
    </row>
    <row r="1912">
      <c r="A1912" s="32"/>
      <c r="B1912" s="32"/>
      <c r="C1912" s="257"/>
      <c r="D1912" s="265"/>
      <c r="E1912" s="265"/>
      <c r="F1912" s="257"/>
      <c r="G1912" s="265"/>
      <c r="H1912" s="256"/>
      <c r="I1912" s="257"/>
      <c r="J1912" s="32"/>
      <c r="K1912" s="32"/>
      <c r="L1912" s="32"/>
      <c r="M1912" s="32"/>
      <c r="N1912" s="257"/>
      <c r="O1912" s="32"/>
      <c r="P1912" s="32"/>
      <c r="Q1912" s="32"/>
      <c r="R1912" s="32"/>
      <c r="S1912" s="32"/>
      <c r="T1912" s="264"/>
      <c r="U1912" s="16"/>
      <c r="V1912" s="16"/>
      <c r="W1912" s="16"/>
      <c r="X1912" s="32"/>
      <c r="Y1912" s="250"/>
    </row>
    <row r="1913">
      <c r="A1913" s="32"/>
      <c r="B1913" s="32"/>
      <c r="C1913" s="257"/>
      <c r="D1913" s="265"/>
      <c r="E1913" s="265"/>
      <c r="F1913" s="257"/>
      <c r="G1913" s="265"/>
      <c r="H1913" s="256"/>
      <c r="I1913" s="257"/>
      <c r="J1913" s="32"/>
      <c r="K1913" s="32"/>
      <c r="L1913" s="32"/>
      <c r="M1913" s="32"/>
      <c r="N1913" s="257"/>
      <c r="O1913" s="32"/>
      <c r="P1913" s="32"/>
      <c r="Q1913" s="32"/>
      <c r="R1913" s="32"/>
      <c r="S1913" s="32"/>
      <c r="T1913" s="264"/>
      <c r="U1913" s="16"/>
      <c r="V1913" s="16"/>
      <c r="W1913" s="16"/>
      <c r="X1913" s="32"/>
      <c r="Y1913" s="250"/>
    </row>
    <row r="1914">
      <c r="A1914" s="32"/>
      <c r="B1914" s="32"/>
      <c r="C1914" s="257"/>
      <c r="D1914" s="265"/>
      <c r="E1914" s="265"/>
      <c r="F1914" s="257"/>
      <c r="G1914" s="265"/>
      <c r="H1914" s="256"/>
      <c r="I1914" s="257"/>
      <c r="J1914" s="32"/>
      <c r="K1914" s="32"/>
      <c r="L1914" s="32"/>
      <c r="M1914" s="32"/>
      <c r="N1914" s="257"/>
      <c r="O1914" s="32"/>
      <c r="P1914" s="32"/>
      <c r="Q1914" s="32"/>
      <c r="R1914" s="32"/>
      <c r="S1914" s="32"/>
      <c r="T1914" s="264"/>
      <c r="U1914" s="16"/>
      <c r="V1914" s="16"/>
      <c r="W1914" s="16"/>
      <c r="X1914" s="32"/>
      <c r="Y1914" s="250"/>
    </row>
    <row r="1915">
      <c r="A1915" s="32"/>
      <c r="B1915" s="32"/>
      <c r="C1915" s="257"/>
      <c r="D1915" s="265"/>
      <c r="E1915" s="265"/>
      <c r="F1915" s="257"/>
      <c r="G1915" s="265"/>
      <c r="H1915" s="256"/>
      <c r="I1915" s="257"/>
      <c r="J1915" s="32"/>
      <c r="K1915" s="32"/>
      <c r="L1915" s="32"/>
      <c r="M1915" s="32"/>
      <c r="N1915" s="257"/>
      <c r="O1915" s="32"/>
      <c r="P1915" s="32"/>
      <c r="Q1915" s="32"/>
      <c r="R1915" s="32"/>
      <c r="S1915" s="32"/>
      <c r="T1915" s="264"/>
      <c r="U1915" s="16"/>
      <c r="V1915" s="16"/>
      <c r="W1915" s="16"/>
      <c r="X1915" s="32"/>
      <c r="Y1915" s="250"/>
    </row>
    <row r="1916">
      <c r="A1916" s="32"/>
      <c r="B1916" s="32"/>
      <c r="C1916" s="257"/>
      <c r="D1916" s="265"/>
      <c r="E1916" s="265"/>
      <c r="F1916" s="257"/>
      <c r="G1916" s="265"/>
      <c r="H1916" s="256"/>
      <c r="I1916" s="257"/>
      <c r="J1916" s="32"/>
      <c r="K1916" s="32"/>
      <c r="L1916" s="32"/>
      <c r="M1916" s="32"/>
      <c r="N1916" s="257"/>
      <c r="O1916" s="32"/>
      <c r="P1916" s="32"/>
      <c r="Q1916" s="32"/>
      <c r="R1916" s="32"/>
      <c r="S1916" s="32"/>
      <c r="T1916" s="264"/>
      <c r="U1916" s="16"/>
      <c r="V1916" s="16"/>
      <c r="W1916" s="16"/>
      <c r="X1916" s="32"/>
      <c r="Y1916" s="250"/>
    </row>
    <row r="1917">
      <c r="A1917" s="32"/>
      <c r="B1917" s="32"/>
      <c r="C1917" s="257"/>
      <c r="D1917" s="265"/>
      <c r="E1917" s="265"/>
      <c r="F1917" s="257"/>
      <c r="G1917" s="265"/>
      <c r="H1917" s="256"/>
      <c r="I1917" s="257"/>
      <c r="J1917" s="32"/>
      <c r="K1917" s="32"/>
      <c r="L1917" s="32"/>
      <c r="M1917" s="32"/>
      <c r="N1917" s="257"/>
      <c r="O1917" s="32"/>
      <c r="P1917" s="32"/>
      <c r="Q1917" s="32"/>
      <c r="R1917" s="32"/>
      <c r="S1917" s="32"/>
      <c r="T1917" s="264"/>
      <c r="U1917" s="16"/>
      <c r="V1917" s="16"/>
      <c r="W1917" s="16"/>
      <c r="X1917" s="32"/>
      <c r="Y1917" s="250"/>
    </row>
    <row r="1918">
      <c r="A1918" s="32"/>
      <c r="B1918" s="32"/>
      <c r="C1918" s="257"/>
      <c r="D1918" s="265"/>
      <c r="E1918" s="265"/>
      <c r="F1918" s="257"/>
      <c r="G1918" s="265"/>
      <c r="H1918" s="256"/>
      <c r="I1918" s="257"/>
      <c r="J1918" s="32"/>
      <c r="K1918" s="32"/>
      <c r="L1918" s="32"/>
      <c r="M1918" s="32"/>
      <c r="N1918" s="257"/>
      <c r="O1918" s="32"/>
      <c r="P1918" s="32"/>
      <c r="Q1918" s="32"/>
      <c r="R1918" s="32"/>
      <c r="S1918" s="32"/>
      <c r="T1918" s="264"/>
      <c r="U1918" s="16"/>
      <c r="V1918" s="16"/>
      <c r="W1918" s="16"/>
      <c r="X1918" s="32"/>
      <c r="Y1918" s="250"/>
    </row>
    <row r="1919">
      <c r="A1919" s="32"/>
      <c r="B1919" s="32"/>
      <c r="C1919" s="257"/>
      <c r="D1919" s="265"/>
      <c r="E1919" s="265"/>
      <c r="F1919" s="257"/>
      <c r="G1919" s="265"/>
      <c r="H1919" s="256"/>
      <c r="I1919" s="257"/>
      <c r="J1919" s="32"/>
      <c r="K1919" s="32"/>
      <c r="L1919" s="32"/>
      <c r="M1919" s="32"/>
      <c r="N1919" s="257"/>
      <c r="O1919" s="32"/>
      <c r="P1919" s="32"/>
      <c r="Q1919" s="32"/>
      <c r="R1919" s="32"/>
      <c r="S1919" s="32"/>
      <c r="T1919" s="264"/>
      <c r="U1919" s="16"/>
      <c r="V1919" s="16"/>
      <c r="W1919" s="16"/>
      <c r="X1919" s="32"/>
      <c r="Y1919" s="250"/>
    </row>
    <row r="1920">
      <c r="A1920" s="32"/>
      <c r="B1920" s="32"/>
      <c r="C1920" s="257"/>
      <c r="D1920" s="265"/>
      <c r="E1920" s="265"/>
      <c r="F1920" s="257"/>
      <c r="G1920" s="265"/>
      <c r="H1920" s="256"/>
      <c r="I1920" s="257"/>
      <c r="J1920" s="32"/>
      <c r="K1920" s="32"/>
      <c r="L1920" s="32"/>
      <c r="M1920" s="32"/>
      <c r="N1920" s="257"/>
      <c r="O1920" s="32"/>
      <c r="P1920" s="32"/>
      <c r="Q1920" s="32"/>
      <c r="R1920" s="32"/>
      <c r="S1920" s="32"/>
      <c r="T1920" s="264"/>
      <c r="U1920" s="16"/>
      <c r="V1920" s="16"/>
      <c r="W1920" s="16"/>
      <c r="X1920" s="32"/>
      <c r="Y1920" s="250"/>
    </row>
    <row r="1921">
      <c r="A1921" s="32"/>
      <c r="B1921" s="32"/>
      <c r="C1921" s="257"/>
      <c r="D1921" s="265"/>
      <c r="E1921" s="265"/>
      <c r="F1921" s="257"/>
      <c r="G1921" s="265"/>
      <c r="H1921" s="256"/>
      <c r="I1921" s="257"/>
      <c r="J1921" s="32"/>
      <c r="K1921" s="32"/>
      <c r="L1921" s="32"/>
      <c r="M1921" s="32"/>
      <c r="N1921" s="257"/>
      <c r="O1921" s="32"/>
      <c r="P1921" s="32"/>
      <c r="Q1921" s="32"/>
      <c r="R1921" s="32"/>
      <c r="S1921" s="32"/>
      <c r="T1921" s="264"/>
      <c r="U1921" s="16"/>
      <c r="V1921" s="16"/>
      <c r="W1921" s="16"/>
      <c r="X1921" s="32"/>
      <c r="Y1921" s="250"/>
    </row>
    <row r="1922">
      <c r="A1922" s="32"/>
      <c r="B1922" s="32"/>
      <c r="C1922" s="257"/>
      <c r="D1922" s="265"/>
      <c r="E1922" s="265"/>
      <c r="F1922" s="257"/>
      <c r="G1922" s="265"/>
      <c r="H1922" s="256"/>
      <c r="I1922" s="257"/>
      <c r="J1922" s="32"/>
      <c r="K1922" s="32"/>
      <c r="L1922" s="32"/>
      <c r="M1922" s="32"/>
      <c r="N1922" s="257"/>
      <c r="O1922" s="32"/>
      <c r="P1922" s="32"/>
      <c r="Q1922" s="32"/>
      <c r="R1922" s="32"/>
      <c r="S1922" s="32"/>
      <c r="T1922" s="264"/>
      <c r="U1922" s="16"/>
      <c r="V1922" s="16"/>
      <c r="W1922" s="16"/>
      <c r="X1922" s="32"/>
      <c r="Y1922" s="250"/>
    </row>
    <row r="1923">
      <c r="A1923" s="32"/>
      <c r="B1923" s="32"/>
      <c r="C1923" s="257"/>
      <c r="D1923" s="265"/>
      <c r="E1923" s="265"/>
      <c r="F1923" s="257"/>
      <c r="G1923" s="265"/>
      <c r="H1923" s="256"/>
      <c r="I1923" s="257"/>
      <c r="J1923" s="32"/>
      <c r="K1923" s="32"/>
      <c r="L1923" s="32"/>
      <c r="M1923" s="32"/>
      <c r="N1923" s="257"/>
      <c r="O1923" s="32"/>
      <c r="P1923" s="32"/>
      <c r="Q1923" s="32"/>
      <c r="R1923" s="32"/>
      <c r="S1923" s="32"/>
      <c r="T1923" s="264"/>
      <c r="U1923" s="16"/>
      <c r="V1923" s="16"/>
      <c r="W1923" s="16"/>
      <c r="X1923" s="32"/>
      <c r="Y1923" s="250"/>
    </row>
    <row r="1924">
      <c r="A1924" s="32"/>
      <c r="B1924" s="32"/>
      <c r="C1924" s="257"/>
      <c r="D1924" s="265"/>
      <c r="E1924" s="265"/>
      <c r="F1924" s="257"/>
      <c r="G1924" s="265"/>
      <c r="H1924" s="256"/>
      <c r="I1924" s="257"/>
      <c r="J1924" s="32"/>
      <c r="K1924" s="32"/>
      <c r="L1924" s="32"/>
      <c r="M1924" s="32"/>
      <c r="N1924" s="257"/>
      <c r="O1924" s="32"/>
      <c r="P1924" s="32"/>
      <c r="Q1924" s="32"/>
      <c r="R1924" s="32"/>
      <c r="S1924" s="32"/>
      <c r="T1924" s="264"/>
      <c r="U1924" s="16"/>
      <c r="V1924" s="16"/>
      <c r="W1924" s="16"/>
      <c r="X1924" s="32"/>
      <c r="Y1924" s="250"/>
    </row>
    <row r="1925">
      <c r="A1925" s="32"/>
      <c r="B1925" s="32"/>
      <c r="C1925" s="257"/>
      <c r="D1925" s="265"/>
      <c r="E1925" s="265"/>
      <c r="F1925" s="257"/>
      <c r="G1925" s="265"/>
      <c r="H1925" s="256"/>
      <c r="I1925" s="257"/>
      <c r="J1925" s="32"/>
      <c r="K1925" s="32"/>
      <c r="L1925" s="32"/>
      <c r="M1925" s="32"/>
      <c r="N1925" s="257"/>
      <c r="O1925" s="32"/>
      <c r="P1925" s="32"/>
      <c r="Q1925" s="32"/>
      <c r="R1925" s="32"/>
      <c r="S1925" s="32"/>
      <c r="T1925" s="264"/>
      <c r="U1925" s="16"/>
      <c r="V1925" s="16"/>
      <c r="W1925" s="16"/>
      <c r="X1925" s="32"/>
      <c r="Y1925" s="250"/>
    </row>
    <row r="1926">
      <c r="A1926" s="32"/>
      <c r="B1926" s="32"/>
      <c r="C1926" s="257"/>
      <c r="D1926" s="265"/>
      <c r="E1926" s="265"/>
      <c r="F1926" s="257"/>
      <c r="G1926" s="265"/>
      <c r="H1926" s="256"/>
      <c r="I1926" s="257"/>
      <c r="J1926" s="32"/>
      <c r="K1926" s="32"/>
      <c r="L1926" s="32"/>
      <c r="M1926" s="32"/>
      <c r="N1926" s="257"/>
      <c r="O1926" s="32"/>
      <c r="P1926" s="32"/>
      <c r="Q1926" s="32"/>
      <c r="R1926" s="32"/>
      <c r="S1926" s="32"/>
      <c r="T1926" s="264"/>
      <c r="U1926" s="16"/>
      <c r="V1926" s="16"/>
      <c r="W1926" s="16"/>
      <c r="X1926" s="32"/>
      <c r="Y1926" s="250"/>
    </row>
    <row r="1927">
      <c r="A1927" s="32"/>
      <c r="B1927" s="32"/>
      <c r="C1927" s="257"/>
      <c r="D1927" s="265"/>
      <c r="E1927" s="265"/>
      <c r="F1927" s="257"/>
      <c r="G1927" s="265"/>
      <c r="H1927" s="256"/>
      <c r="I1927" s="257"/>
      <c r="J1927" s="32"/>
      <c r="K1927" s="32"/>
      <c r="L1927" s="32"/>
      <c r="M1927" s="32"/>
      <c r="N1927" s="257"/>
      <c r="O1927" s="32"/>
      <c r="P1927" s="32"/>
      <c r="Q1927" s="32"/>
      <c r="R1927" s="32"/>
      <c r="S1927" s="32"/>
      <c r="T1927" s="264"/>
      <c r="U1927" s="16"/>
      <c r="V1927" s="16"/>
      <c r="W1927" s="16"/>
      <c r="X1927" s="32"/>
      <c r="Y1927" s="250"/>
    </row>
    <row r="1928">
      <c r="A1928" s="32"/>
      <c r="B1928" s="32"/>
      <c r="C1928" s="257"/>
      <c r="D1928" s="265"/>
      <c r="E1928" s="265"/>
      <c r="F1928" s="257"/>
      <c r="G1928" s="265"/>
      <c r="H1928" s="256"/>
      <c r="I1928" s="257"/>
      <c r="J1928" s="32"/>
      <c r="K1928" s="32"/>
      <c r="L1928" s="32"/>
      <c r="M1928" s="32"/>
      <c r="N1928" s="257"/>
      <c r="O1928" s="32"/>
      <c r="P1928" s="32"/>
      <c r="Q1928" s="32"/>
      <c r="R1928" s="32"/>
      <c r="S1928" s="32"/>
      <c r="T1928" s="264"/>
      <c r="U1928" s="16"/>
      <c r="V1928" s="16"/>
      <c r="W1928" s="16"/>
      <c r="X1928" s="32"/>
      <c r="Y1928" s="250"/>
    </row>
    <row r="1929">
      <c r="A1929" s="32"/>
      <c r="B1929" s="32"/>
      <c r="C1929" s="257"/>
      <c r="D1929" s="265"/>
      <c r="E1929" s="265"/>
      <c r="F1929" s="257"/>
      <c r="G1929" s="265"/>
      <c r="H1929" s="256"/>
      <c r="I1929" s="257"/>
      <c r="J1929" s="32"/>
      <c r="K1929" s="32"/>
      <c r="L1929" s="32"/>
      <c r="M1929" s="32"/>
      <c r="N1929" s="257"/>
      <c r="O1929" s="32"/>
      <c r="P1929" s="32"/>
      <c r="Q1929" s="32"/>
      <c r="R1929" s="32"/>
      <c r="S1929" s="32"/>
      <c r="T1929" s="264"/>
      <c r="U1929" s="16"/>
      <c r="V1929" s="16"/>
      <c r="W1929" s="16"/>
      <c r="X1929" s="32"/>
      <c r="Y1929" s="250"/>
    </row>
    <row r="1930">
      <c r="A1930" s="32"/>
      <c r="B1930" s="32"/>
      <c r="C1930" s="257"/>
      <c r="D1930" s="265"/>
      <c r="E1930" s="265"/>
      <c r="F1930" s="257"/>
      <c r="G1930" s="265"/>
      <c r="H1930" s="256"/>
      <c r="I1930" s="257"/>
      <c r="J1930" s="32"/>
      <c r="K1930" s="32"/>
      <c r="L1930" s="32"/>
      <c r="M1930" s="32"/>
      <c r="N1930" s="257"/>
      <c r="O1930" s="32"/>
      <c r="P1930" s="32"/>
      <c r="Q1930" s="32"/>
      <c r="R1930" s="32"/>
      <c r="S1930" s="32"/>
      <c r="T1930" s="264"/>
      <c r="U1930" s="16"/>
      <c r="V1930" s="16"/>
      <c r="W1930" s="16"/>
      <c r="X1930" s="32"/>
      <c r="Y1930" s="250"/>
    </row>
    <row r="1931">
      <c r="A1931" s="32"/>
      <c r="B1931" s="32"/>
      <c r="C1931" s="257"/>
      <c r="D1931" s="265"/>
      <c r="E1931" s="265"/>
      <c r="F1931" s="257"/>
      <c r="G1931" s="265"/>
      <c r="H1931" s="256"/>
      <c r="I1931" s="257"/>
      <c r="J1931" s="32"/>
      <c r="K1931" s="32"/>
      <c r="L1931" s="32"/>
      <c r="M1931" s="32"/>
      <c r="N1931" s="257"/>
      <c r="O1931" s="32"/>
      <c r="P1931" s="32"/>
      <c r="Q1931" s="32"/>
      <c r="R1931" s="32"/>
      <c r="S1931" s="32"/>
      <c r="T1931" s="264"/>
      <c r="U1931" s="16"/>
      <c r="V1931" s="16"/>
      <c r="W1931" s="16"/>
      <c r="X1931" s="32"/>
      <c r="Y1931" s="250"/>
    </row>
    <row r="1932">
      <c r="A1932" s="32"/>
      <c r="B1932" s="32"/>
      <c r="C1932" s="257"/>
      <c r="D1932" s="265"/>
      <c r="E1932" s="265"/>
      <c r="F1932" s="257"/>
      <c r="G1932" s="265"/>
      <c r="H1932" s="256"/>
      <c r="I1932" s="257"/>
      <c r="J1932" s="32"/>
      <c r="K1932" s="32"/>
      <c r="L1932" s="32"/>
      <c r="M1932" s="32"/>
      <c r="N1932" s="257"/>
      <c r="O1932" s="32"/>
      <c r="P1932" s="32"/>
      <c r="Q1932" s="32"/>
      <c r="R1932" s="32"/>
      <c r="S1932" s="32"/>
      <c r="T1932" s="264"/>
      <c r="U1932" s="16"/>
      <c r="V1932" s="16"/>
      <c r="W1932" s="16"/>
      <c r="X1932" s="32"/>
      <c r="Y1932" s="250"/>
    </row>
    <row r="1933">
      <c r="A1933" s="32"/>
      <c r="B1933" s="32"/>
      <c r="C1933" s="257"/>
      <c r="D1933" s="265"/>
      <c r="E1933" s="265"/>
      <c r="F1933" s="257"/>
      <c r="G1933" s="265"/>
      <c r="H1933" s="256"/>
      <c r="I1933" s="257"/>
      <c r="J1933" s="32"/>
      <c r="K1933" s="32"/>
      <c r="L1933" s="32"/>
      <c r="M1933" s="32"/>
      <c r="N1933" s="257"/>
      <c r="O1933" s="32"/>
      <c r="P1933" s="32"/>
      <c r="Q1933" s="32"/>
      <c r="R1933" s="32"/>
      <c r="S1933" s="32"/>
      <c r="T1933" s="264"/>
      <c r="U1933" s="16"/>
      <c r="V1933" s="16"/>
      <c r="W1933" s="16"/>
      <c r="X1933" s="32"/>
      <c r="Y1933" s="250"/>
    </row>
    <row r="1934">
      <c r="A1934" s="32"/>
      <c r="B1934" s="32"/>
      <c r="C1934" s="257"/>
      <c r="D1934" s="265"/>
      <c r="E1934" s="265"/>
      <c r="F1934" s="257"/>
      <c r="G1934" s="265"/>
      <c r="H1934" s="256"/>
      <c r="I1934" s="257"/>
      <c r="J1934" s="32"/>
      <c r="K1934" s="32"/>
      <c r="L1934" s="32"/>
      <c r="M1934" s="32"/>
      <c r="N1934" s="257"/>
      <c r="O1934" s="32"/>
      <c r="P1934" s="32"/>
      <c r="Q1934" s="32"/>
      <c r="R1934" s="32"/>
      <c r="S1934" s="32"/>
      <c r="T1934" s="264"/>
      <c r="U1934" s="16"/>
      <c r="V1934" s="16"/>
      <c r="W1934" s="16"/>
      <c r="X1934" s="32"/>
      <c r="Y1934" s="250"/>
    </row>
    <row r="1935">
      <c r="A1935" s="32"/>
      <c r="B1935" s="32"/>
      <c r="C1935" s="257"/>
      <c r="D1935" s="265"/>
      <c r="E1935" s="265"/>
      <c r="F1935" s="257"/>
      <c r="G1935" s="265"/>
      <c r="H1935" s="256"/>
      <c r="I1935" s="257"/>
      <c r="J1935" s="32"/>
      <c r="K1935" s="32"/>
      <c r="L1935" s="32"/>
      <c r="M1935" s="32"/>
      <c r="N1935" s="257"/>
      <c r="O1935" s="32"/>
      <c r="P1935" s="32"/>
      <c r="Q1935" s="32"/>
      <c r="R1935" s="32"/>
      <c r="S1935" s="32"/>
      <c r="T1935" s="264"/>
      <c r="U1935" s="16"/>
      <c r="V1935" s="16"/>
      <c r="W1935" s="16"/>
      <c r="X1935" s="32"/>
      <c r="Y1935" s="250"/>
    </row>
    <row r="1936">
      <c r="A1936" s="32"/>
      <c r="B1936" s="32"/>
      <c r="C1936" s="257"/>
      <c r="D1936" s="265"/>
      <c r="E1936" s="265"/>
      <c r="F1936" s="257"/>
      <c r="G1936" s="265"/>
      <c r="H1936" s="256"/>
      <c r="I1936" s="257"/>
      <c r="J1936" s="32"/>
      <c r="K1936" s="32"/>
      <c r="L1936" s="32"/>
      <c r="M1936" s="32"/>
      <c r="N1936" s="257"/>
      <c r="O1936" s="32"/>
      <c r="P1936" s="32"/>
      <c r="Q1936" s="32"/>
      <c r="R1936" s="32"/>
      <c r="S1936" s="32"/>
      <c r="T1936" s="264"/>
      <c r="U1936" s="16"/>
      <c r="V1936" s="16"/>
      <c r="W1936" s="16"/>
      <c r="X1936" s="32"/>
      <c r="Y1936" s="250"/>
    </row>
    <row r="1937">
      <c r="A1937" s="32"/>
      <c r="B1937" s="32"/>
      <c r="C1937" s="257"/>
      <c r="D1937" s="265"/>
      <c r="E1937" s="265"/>
      <c r="F1937" s="257"/>
      <c r="G1937" s="265"/>
      <c r="H1937" s="256"/>
      <c r="I1937" s="257"/>
      <c r="J1937" s="32"/>
      <c r="K1937" s="32"/>
      <c r="L1937" s="32"/>
      <c r="M1937" s="32"/>
      <c r="N1937" s="257"/>
      <c r="O1937" s="32"/>
      <c r="P1937" s="32"/>
      <c r="Q1937" s="32"/>
      <c r="R1937" s="32"/>
      <c r="S1937" s="32"/>
      <c r="T1937" s="264"/>
      <c r="U1937" s="16"/>
      <c r="V1937" s="16"/>
      <c r="W1937" s="16"/>
      <c r="X1937" s="32"/>
      <c r="Y1937" s="250"/>
    </row>
    <row r="1938">
      <c r="A1938" s="32"/>
      <c r="B1938" s="32"/>
      <c r="C1938" s="257"/>
      <c r="D1938" s="265"/>
      <c r="E1938" s="265"/>
      <c r="F1938" s="257"/>
      <c r="G1938" s="265"/>
      <c r="H1938" s="256"/>
      <c r="I1938" s="257"/>
      <c r="J1938" s="32"/>
      <c r="K1938" s="32"/>
      <c r="L1938" s="32"/>
      <c r="M1938" s="32"/>
      <c r="N1938" s="257"/>
      <c r="O1938" s="32"/>
      <c r="P1938" s="32"/>
      <c r="Q1938" s="32"/>
      <c r="R1938" s="32"/>
      <c r="S1938" s="32"/>
      <c r="T1938" s="264"/>
      <c r="U1938" s="16"/>
      <c r="V1938" s="16"/>
      <c r="W1938" s="16"/>
      <c r="X1938" s="32"/>
      <c r="Y1938" s="250"/>
    </row>
    <row r="1939">
      <c r="A1939" s="32"/>
      <c r="B1939" s="32"/>
      <c r="C1939" s="257"/>
      <c r="D1939" s="265"/>
      <c r="E1939" s="265"/>
      <c r="F1939" s="257"/>
      <c r="G1939" s="265"/>
      <c r="H1939" s="256"/>
      <c r="I1939" s="257"/>
      <c r="J1939" s="32"/>
      <c r="K1939" s="32"/>
      <c r="L1939" s="32"/>
      <c r="M1939" s="32"/>
      <c r="N1939" s="257"/>
      <c r="O1939" s="32"/>
      <c r="P1939" s="32"/>
      <c r="Q1939" s="32"/>
      <c r="R1939" s="32"/>
      <c r="S1939" s="32"/>
      <c r="T1939" s="264"/>
      <c r="U1939" s="16"/>
      <c r="V1939" s="16"/>
      <c r="W1939" s="16"/>
      <c r="X1939" s="32"/>
      <c r="Y1939" s="250"/>
    </row>
    <row r="1940">
      <c r="A1940" s="32"/>
      <c r="B1940" s="32"/>
      <c r="C1940" s="257"/>
      <c r="D1940" s="265"/>
      <c r="E1940" s="265"/>
      <c r="F1940" s="257"/>
      <c r="G1940" s="265"/>
      <c r="H1940" s="256"/>
      <c r="I1940" s="257"/>
      <c r="J1940" s="32"/>
      <c r="K1940" s="32"/>
      <c r="L1940" s="32"/>
      <c r="M1940" s="32"/>
      <c r="N1940" s="257"/>
      <c r="O1940" s="32"/>
      <c r="P1940" s="32"/>
      <c r="Q1940" s="32"/>
      <c r="R1940" s="32"/>
      <c r="S1940" s="32"/>
      <c r="T1940" s="264"/>
      <c r="U1940" s="16"/>
      <c r="V1940" s="16"/>
      <c r="W1940" s="16"/>
      <c r="X1940" s="32"/>
      <c r="Y1940" s="250"/>
    </row>
    <row r="1941">
      <c r="A1941" s="32"/>
      <c r="B1941" s="32"/>
      <c r="C1941" s="257"/>
      <c r="D1941" s="265"/>
      <c r="E1941" s="265"/>
      <c r="F1941" s="257"/>
      <c r="G1941" s="265"/>
      <c r="H1941" s="256"/>
      <c r="I1941" s="257"/>
      <c r="J1941" s="32"/>
      <c r="K1941" s="32"/>
      <c r="L1941" s="32"/>
      <c r="M1941" s="32"/>
      <c r="N1941" s="257"/>
      <c r="O1941" s="32"/>
      <c r="P1941" s="32"/>
      <c r="Q1941" s="32"/>
      <c r="R1941" s="32"/>
      <c r="S1941" s="32"/>
      <c r="T1941" s="264"/>
      <c r="U1941" s="16"/>
      <c r="V1941" s="16"/>
      <c r="W1941" s="16"/>
      <c r="X1941" s="32"/>
      <c r="Y1941" s="250"/>
    </row>
    <row r="1942">
      <c r="A1942" s="32"/>
      <c r="B1942" s="32"/>
      <c r="C1942" s="257"/>
      <c r="D1942" s="265"/>
      <c r="E1942" s="265"/>
      <c r="F1942" s="257"/>
      <c r="G1942" s="265"/>
      <c r="H1942" s="256"/>
      <c r="I1942" s="257"/>
      <c r="J1942" s="32"/>
      <c r="K1942" s="32"/>
      <c r="L1942" s="32"/>
      <c r="M1942" s="32"/>
      <c r="N1942" s="257"/>
      <c r="O1942" s="32"/>
      <c r="P1942" s="32"/>
      <c r="Q1942" s="32"/>
      <c r="R1942" s="32"/>
      <c r="S1942" s="32"/>
      <c r="T1942" s="264"/>
      <c r="U1942" s="16"/>
      <c r="V1942" s="16"/>
      <c r="W1942" s="16"/>
      <c r="X1942" s="32"/>
      <c r="Y1942" s="250"/>
    </row>
    <row r="1943">
      <c r="A1943" s="32"/>
      <c r="B1943" s="32"/>
      <c r="C1943" s="257"/>
      <c r="D1943" s="265"/>
      <c r="E1943" s="265"/>
      <c r="F1943" s="257"/>
      <c r="G1943" s="265"/>
      <c r="H1943" s="256"/>
      <c r="I1943" s="257"/>
      <c r="J1943" s="32"/>
      <c r="K1943" s="32"/>
      <c r="L1943" s="32"/>
      <c r="M1943" s="32"/>
      <c r="N1943" s="257"/>
      <c r="O1943" s="32"/>
      <c r="P1943" s="32"/>
      <c r="Q1943" s="32"/>
      <c r="R1943" s="32"/>
      <c r="S1943" s="32"/>
      <c r="T1943" s="264"/>
      <c r="U1943" s="16"/>
      <c r="V1943" s="16"/>
      <c r="W1943" s="16"/>
      <c r="X1943" s="32"/>
      <c r="Y1943" s="250"/>
    </row>
    <row r="1944">
      <c r="A1944" s="32"/>
      <c r="B1944" s="32"/>
      <c r="C1944" s="257"/>
      <c r="D1944" s="265"/>
      <c r="E1944" s="265"/>
      <c r="F1944" s="257"/>
      <c r="G1944" s="265"/>
      <c r="H1944" s="256"/>
      <c r="I1944" s="257"/>
      <c r="J1944" s="32"/>
      <c r="K1944" s="32"/>
      <c r="L1944" s="32"/>
      <c r="M1944" s="32"/>
      <c r="N1944" s="257"/>
      <c r="O1944" s="32"/>
      <c r="P1944" s="32"/>
      <c r="Q1944" s="32"/>
      <c r="R1944" s="32"/>
      <c r="S1944" s="32"/>
      <c r="T1944" s="264"/>
      <c r="U1944" s="16"/>
      <c r="V1944" s="16"/>
      <c r="W1944" s="16"/>
      <c r="X1944" s="32"/>
      <c r="Y1944" s="250"/>
    </row>
    <row r="1945">
      <c r="A1945" s="32"/>
      <c r="B1945" s="32"/>
      <c r="C1945" s="257"/>
      <c r="D1945" s="265"/>
      <c r="E1945" s="265"/>
      <c r="F1945" s="257"/>
      <c r="G1945" s="265"/>
      <c r="H1945" s="256"/>
      <c r="I1945" s="257"/>
      <c r="J1945" s="32"/>
      <c r="K1945" s="32"/>
      <c r="L1945" s="32"/>
      <c r="M1945" s="32"/>
      <c r="N1945" s="257"/>
      <c r="O1945" s="32"/>
      <c r="P1945" s="32"/>
      <c r="Q1945" s="32"/>
      <c r="R1945" s="32"/>
      <c r="S1945" s="32"/>
      <c r="T1945" s="264"/>
      <c r="U1945" s="16"/>
      <c r="V1945" s="16"/>
      <c r="W1945" s="16"/>
      <c r="X1945" s="32"/>
      <c r="Y1945" s="250"/>
    </row>
    <row r="1946">
      <c r="A1946" s="32"/>
      <c r="B1946" s="32"/>
      <c r="C1946" s="257"/>
      <c r="D1946" s="265"/>
      <c r="E1946" s="265"/>
      <c r="F1946" s="257"/>
      <c r="G1946" s="265"/>
      <c r="H1946" s="256"/>
      <c r="I1946" s="257"/>
      <c r="J1946" s="32"/>
      <c r="K1946" s="32"/>
      <c r="L1946" s="32"/>
      <c r="M1946" s="32"/>
      <c r="N1946" s="257"/>
      <c r="O1946" s="32"/>
      <c r="P1946" s="32"/>
      <c r="Q1946" s="32"/>
      <c r="R1946" s="32"/>
      <c r="S1946" s="32"/>
      <c r="T1946" s="264"/>
      <c r="U1946" s="16"/>
      <c r="V1946" s="16"/>
      <c r="W1946" s="16"/>
      <c r="X1946" s="32"/>
      <c r="Y1946" s="250"/>
    </row>
    <row r="1947">
      <c r="A1947" s="32"/>
      <c r="B1947" s="32"/>
      <c r="C1947" s="257"/>
      <c r="D1947" s="265"/>
      <c r="E1947" s="265"/>
      <c r="F1947" s="257"/>
      <c r="G1947" s="265"/>
      <c r="H1947" s="256"/>
      <c r="I1947" s="257"/>
      <c r="J1947" s="32"/>
      <c r="K1947" s="32"/>
      <c r="L1947" s="32"/>
      <c r="M1947" s="32"/>
      <c r="N1947" s="257"/>
      <c r="O1947" s="32"/>
      <c r="P1947" s="32"/>
      <c r="Q1947" s="32"/>
      <c r="R1947" s="32"/>
      <c r="S1947" s="32"/>
      <c r="T1947" s="264"/>
      <c r="U1947" s="16"/>
      <c r="V1947" s="16"/>
      <c r="W1947" s="16"/>
      <c r="X1947" s="32"/>
      <c r="Y1947" s="250"/>
    </row>
    <row r="1948">
      <c r="A1948" s="32"/>
      <c r="B1948" s="32"/>
      <c r="C1948" s="257"/>
      <c r="D1948" s="265"/>
      <c r="E1948" s="265"/>
      <c r="F1948" s="257"/>
      <c r="G1948" s="265"/>
      <c r="H1948" s="256"/>
      <c r="I1948" s="257"/>
      <c r="J1948" s="32"/>
      <c r="K1948" s="32"/>
      <c r="L1948" s="32"/>
      <c r="M1948" s="32"/>
      <c r="N1948" s="257"/>
      <c r="O1948" s="32"/>
      <c r="P1948" s="32"/>
      <c r="Q1948" s="32"/>
      <c r="R1948" s="32"/>
      <c r="S1948" s="32"/>
      <c r="T1948" s="264"/>
      <c r="U1948" s="16"/>
      <c r="V1948" s="16"/>
      <c r="W1948" s="16"/>
      <c r="X1948" s="32"/>
      <c r="Y1948" s="250"/>
    </row>
    <row r="1949">
      <c r="A1949" s="32"/>
      <c r="B1949" s="32"/>
      <c r="C1949" s="257"/>
      <c r="D1949" s="265"/>
      <c r="E1949" s="265"/>
      <c r="F1949" s="257"/>
      <c r="G1949" s="265"/>
      <c r="H1949" s="256"/>
      <c r="I1949" s="257"/>
      <c r="J1949" s="32"/>
      <c r="K1949" s="32"/>
      <c r="L1949" s="32"/>
      <c r="M1949" s="32"/>
      <c r="N1949" s="257"/>
      <c r="O1949" s="32"/>
      <c r="P1949" s="32"/>
      <c r="Q1949" s="32"/>
      <c r="R1949" s="32"/>
      <c r="S1949" s="32"/>
      <c r="T1949" s="264"/>
      <c r="U1949" s="16"/>
      <c r="V1949" s="16"/>
      <c r="W1949" s="16"/>
      <c r="X1949" s="32"/>
      <c r="Y1949" s="250"/>
    </row>
    <row r="1950">
      <c r="A1950" s="32"/>
      <c r="B1950" s="32"/>
      <c r="C1950" s="257"/>
      <c r="D1950" s="265"/>
      <c r="E1950" s="265"/>
      <c r="F1950" s="257"/>
      <c r="G1950" s="265"/>
      <c r="H1950" s="256"/>
      <c r="I1950" s="257"/>
      <c r="J1950" s="32"/>
      <c r="K1950" s="32"/>
      <c r="L1950" s="32"/>
      <c r="M1950" s="32"/>
      <c r="N1950" s="257"/>
      <c r="O1950" s="32"/>
      <c r="P1950" s="32"/>
      <c r="Q1950" s="32"/>
      <c r="R1950" s="32"/>
      <c r="S1950" s="32"/>
      <c r="T1950" s="264"/>
      <c r="U1950" s="16"/>
      <c r="V1950" s="16"/>
      <c r="W1950" s="16"/>
      <c r="X1950" s="32"/>
      <c r="Y1950" s="250"/>
    </row>
    <row r="1951">
      <c r="A1951" s="32"/>
      <c r="B1951" s="32"/>
      <c r="C1951" s="257"/>
      <c r="D1951" s="265"/>
      <c r="E1951" s="265"/>
      <c r="F1951" s="257"/>
      <c r="G1951" s="265"/>
      <c r="H1951" s="256"/>
      <c r="I1951" s="257"/>
      <c r="J1951" s="32"/>
      <c r="K1951" s="32"/>
      <c r="L1951" s="32"/>
      <c r="M1951" s="32"/>
      <c r="N1951" s="257"/>
      <c r="O1951" s="32"/>
      <c r="P1951" s="32"/>
      <c r="Q1951" s="32"/>
      <c r="R1951" s="32"/>
      <c r="S1951" s="32"/>
      <c r="T1951" s="264"/>
      <c r="U1951" s="16"/>
      <c r="V1951" s="16"/>
      <c r="W1951" s="16"/>
      <c r="X1951" s="32"/>
      <c r="Y1951" s="250"/>
    </row>
    <row r="1952">
      <c r="A1952" s="32"/>
      <c r="B1952" s="32"/>
      <c r="C1952" s="257"/>
      <c r="D1952" s="265"/>
      <c r="E1952" s="265"/>
      <c r="F1952" s="257"/>
      <c r="G1952" s="265"/>
      <c r="H1952" s="256"/>
      <c r="I1952" s="257"/>
      <c r="J1952" s="32"/>
      <c r="K1952" s="32"/>
      <c r="L1952" s="32"/>
      <c r="M1952" s="32"/>
      <c r="N1952" s="257"/>
      <c r="O1952" s="32"/>
      <c r="P1952" s="32"/>
      <c r="Q1952" s="32"/>
      <c r="R1952" s="32"/>
      <c r="S1952" s="32"/>
      <c r="T1952" s="264"/>
      <c r="U1952" s="16"/>
      <c r="V1952" s="16"/>
      <c r="W1952" s="16"/>
      <c r="X1952" s="32"/>
      <c r="Y1952" s="250"/>
    </row>
    <row r="1953">
      <c r="A1953" s="32"/>
      <c r="B1953" s="32"/>
      <c r="C1953" s="257"/>
      <c r="D1953" s="265"/>
      <c r="E1953" s="265"/>
      <c r="F1953" s="257"/>
      <c r="G1953" s="265"/>
      <c r="H1953" s="256"/>
      <c r="I1953" s="257"/>
      <c r="J1953" s="32"/>
      <c r="K1953" s="32"/>
      <c r="L1953" s="32"/>
      <c r="M1953" s="32"/>
      <c r="N1953" s="257"/>
      <c r="O1953" s="32"/>
      <c r="P1953" s="32"/>
      <c r="Q1953" s="32"/>
      <c r="R1953" s="32"/>
      <c r="S1953" s="32"/>
      <c r="T1953" s="264"/>
      <c r="U1953" s="16"/>
      <c r="V1953" s="16"/>
      <c r="W1953" s="16"/>
      <c r="X1953" s="32"/>
      <c r="Y1953" s="250"/>
    </row>
    <row r="1954">
      <c r="A1954" s="32"/>
      <c r="B1954" s="32"/>
      <c r="C1954" s="257"/>
      <c r="D1954" s="265"/>
      <c r="E1954" s="265"/>
      <c r="F1954" s="257"/>
      <c r="G1954" s="265"/>
      <c r="H1954" s="256"/>
      <c r="I1954" s="257"/>
      <c r="J1954" s="32"/>
      <c r="K1954" s="32"/>
      <c r="L1954" s="32"/>
      <c r="M1954" s="32"/>
      <c r="N1954" s="257"/>
      <c r="O1954" s="32"/>
      <c r="P1954" s="32"/>
      <c r="Q1954" s="32"/>
      <c r="R1954" s="32"/>
      <c r="S1954" s="32"/>
      <c r="T1954" s="264"/>
      <c r="U1954" s="16"/>
      <c r="V1954" s="16"/>
      <c r="W1954" s="16"/>
      <c r="X1954" s="32"/>
      <c r="Y1954" s="250"/>
    </row>
    <row r="1955">
      <c r="A1955" s="32"/>
      <c r="B1955" s="32"/>
      <c r="C1955" s="257"/>
      <c r="D1955" s="265"/>
      <c r="E1955" s="265"/>
      <c r="F1955" s="257"/>
      <c r="G1955" s="265"/>
      <c r="H1955" s="256"/>
      <c r="I1955" s="257"/>
      <c r="J1955" s="32"/>
      <c r="K1955" s="32"/>
      <c r="L1955" s="32"/>
      <c r="M1955" s="32"/>
      <c r="N1955" s="257"/>
      <c r="O1955" s="32"/>
      <c r="P1955" s="32"/>
      <c r="Q1955" s="32"/>
      <c r="R1955" s="32"/>
      <c r="S1955" s="32"/>
      <c r="T1955" s="264"/>
      <c r="U1955" s="16"/>
      <c r="V1955" s="16"/>
      <c r="W1955" s="16"/>
      <c r="X1955" s="32"/>
      <c r="Y1955" s="250"/>
    </row>
    <row r="1956">
      <c r="A1956" s="32"/>
      <c r="B1956" s="32"/>
      <c r="C1956" s="257"/>
      <c r="D1956" s="265"/>
      <c r="E1956" s="265"/>
      <c r="F1956" s="257"/>
      <c r="G1956" s="265"/>
      <c r="H1956" s="256"/>
      <c r="I1956" s="257"/>
      <c r="J1956" s="32"/>
      <c r="K1956" s="32"/>
      <c r="L1956" s="32"/>
      <c r="M1956" s="32"/>
      <c r="N1956" s="257"/>
      <c r="O1956" s="32"/>
      <c r="P1956" s="32"/>
      <c r="Q1956" s="32"/>
      <c r="R1956" s="32"/>
      <c r="S1956" s="32"/>
      <c r="T1956" s="264"/>
      <c r="U1956" s="16"/>
      <c r="V1956" s="16"/>
      <c r="W1956" s="16"/>
      <c r="X1956" s="32"/>
      <c r="Y1956" s="250"/>
    </row>
    <row r="1957">
      <c r="A1957" s="32"/>
      <c r="B1957" s="32"/>
      <c r="C1957" s="257"/>
      <c r="D1957" s="265"/>
      <c r="E1957" s="265"/>
      <c r="F1957" s="257"/>
      <c r="G1957" s="265"/>
      <c r="H1957" s="256"/>
      <c r="I1957" s="257"/>
      <c r="J1957" s="32"/>
      <c r="K1957" s="32"/>
      <c r="L1957" s="32"/>
      <c r="M1957" s="32"/>
      <c r="N1957" s="257"/>
      <c r="O1957" s="32"/>
      <c r="P1957" s="32"/>
      <c r="Q1957" s="32"/>
      <c r="R1957" s="32"/>
      <c r="S1957" s="32"/>
      <c r="T1957" s="264"/>
      <c r="U1957" s="16"/>
      <c r="V1957" s="16"/>
      <c r="W1957" s="16"/>
      <c r="X1957" s="32"/>
      <c r="Y1957" s="250"/>
    </row>
    <row r="1958">
      <c r="A1958" s="32"/>
      <c r="B1958" s="32"/>
      <c r="C1958" s="257"/>
      <c r="D1958" s="265"/>
      <c r="E1958" s="265"/>
      <c r="F1958" s="257"/>
      <c r="G1958" s="265"/>
      <c r="H1958" s="256"/>
      <c r="I1958" s="257"/>
      <c r="J1958" s="32"/>
      <c r="K1958" s="32"/>
      <c r="L1958" s="32"/>
      <c r="M1958" s="32"/>
      <c r="N1958" s="257"/>
      <c r="O1958" s="32"/>
      <c r="P1958" s="32"/>
      <c r="Q1958" s="32"/>
      <c r="R1958" s="32"/>
      <c r="S1958" s="32"/>
      <c r="T1958" s="264"/>
      <c r="U1958" s="16"/>
      <c r="V1958" s="16"/>
      <c r="W1958" s="16"/>
      <c r="X1958" s="32"/>
      <c r="Y1958" s="250"/>
    </row>
    <row r="1959">
      <c r="A1959" s="32"/>
      <c r="B1959" s="32"/>
      <c r="C1959" s="257"/>
      <c r="D1959" s="265"/>
      <c r="E1959" s="265"/>
      <c r="F1959" s="257"/>
      <c r="G1959" s="265"/>
      <c r="H1959" s="256"/>
      <c r="I1959" s="257"/>
      <c r="J1959" s="32"/>
      <c r="K1959" s="32"/>
      <c r="L1959" s="32"/>
      <c r="M1959" s="32"/>
      <c r="N1959" s="257"/>
      <c r="O1959" s="32"/>
      <c r="P1959" s="32"/>
      <c r="Q1959" s="32"/>
      <c r="R1959" s="32"/>
      <c r="S1959" s="32"/>
      <c r="T1959" s="264"/>
      <c r="U1959" s="16"/>
      <c r="V1959" s="16"/>
      <c r="W1959" s="16"/>
      <c r="X1959" s="32"/>
      <c r="Y1959" s="250"/>
    </row>
    <row r="1960">
      <c r="A1960" s="32"/>
      <c r="B1960" s="32"/>
      <c r="C1960" s="257"/>
      <c r="D1960" s="265"/>
      <c r="E1960" s="265"/>
      <c r="F1960" s="257"/>
      <c r="G1960" s="265"/>
      <c r="H1960" s="256"/>
      <c r="I1960" s="257"/>
      <c r="J1960" s="32"/>
      <c r="K1960" s="32"/>
      <c r="L1960" s="32"/>
      <c r="M1960" s="32"/>
      <c r="N1960" s="257"/>
      <c r="O1960" s="32"/>
      <c r="P1960" s="32"/>
      <c r="Q1960" s="32"/>
      <c r="R1960" s="32"/>
      <c r="S1960" s="32"/>
      <c r="T1960" s="264"/>
      <c r="U1960" s="16"/>
      <c r="V1960" s="16"/>
      <c r="W1960" s="16"/>
      <c r="X1960" s="32"/>
      <c r="Y1960" s="250"/>
    </row>
    <row r="1961">
      <c r="A1961" s="32"/>
      <c r="B1961" s="32"/>
      <c r="C1961" s="257"/>
      <c r="D1961" s="265"/>
      <c r="E1961" s="265"/>
      <c r="F1961" s="257"/>
      <c r="G1961" s="265"/>
      <c r="H1961" s="256"/>
      <c r="I1961" s="257"/>
      <c r="J1961" s="32"/>
      <c r="K1961" s="32"/>
      <c r="L1961" s="32"/>
      <c r="M1961" s="32"/>
      <c r="N1961" s="257"/>
      <c r="O1961" s="32"/>
      <c r="P1961" s="32"/>
      <c r="Q1961" s="32"/>
      <c r="R1961" s="32"/>
      <c r="S1961" s="32"/>
      <c r="T1961" s="264"/>
      <c r="U1961" s="16"/>
      <c r="V1961" s="16"/>
      <c r="W1961" s="16"/>
      <c r="X1961" s="32"/>
      <c r="Y1961" s="250"/>
    </row>
    <row r="1962">
      <c r="A1962" s="32"/>
      <c r="B1962" s="32"/>
      <c r="C1962" s="257"/>
      <c r="D1962" s="265"/>
      <c r="E1962" s="265"/>
      <c r="F1962" s="257"/>
      <c r="G1962" s="265"/>
      <c r="H1962" s="256"/>
      <c r="I1962" s="257"/>
      <c r="J1962" s="32"/>
      <c r="K1962" s="32"/>
      <c r="L1962" s="32"/>
      <c r="M1962" s="32"/>
      <c r="N1962" s="257"/>
      <c r="O1962" s="32"/>
      <c r="P1962" s="32"/>
      <c r="Q1962" s="32"/>
      <c r="R1962" s="32"/>
      <c r="S1962" s="32"/>
      <c r="T1962" s="264"/>
      <c r="U1962" s="16"/>
      <c r="V1962" s="16"/>
      <c r="W1962" s="16"/>
      <c r="X1962" s="32"/>
      <c r="Y1962" s="250"/>
    </row>
    <row r="1963">
      <c r="A1963" s="32"/>
      <c r="B1963" s="32"/>
      <c r="C1963" s="257"/>
      <c r="D1963" s="265"/>
      <c r="E1963" s="265"/>
      <c r="F1963" s="257"/>
      <c r="G1963" s="265"/>
      <c r="H1963" s="256"/>
      <c r="I1963" s="257"/>
      <c r="J1963" s="32"/>
      <c r="K1963" s="32"/>
      <c r="L1963" s="32"/>
      <c r="M1963" s="32"/>
      <c r="N1963" s="257"/>
      <c r="O1963" s="32"/>
      <c r="P1963" s="32"/>
      <c r="Q1963" s="32"/>
      <c r="R1963" s="32"/>
      <c r="S1963" s="32"/>
      <c r="T1963" s="264"/>
      <c r="U1963" s="16"/>
      <c r="V1963" s="16"/>
      <c r="W1963" s="16"/>
      <c r="X1963" s="32"/>
      <c r="Y1963" s="250"/>
    </row>
    <row r="1964">
      <c r="A1964" s="32"/>
      <c r="B1964" s="32"/>
      <c r="C1964" s="257"/>
      <c r="D1964" s="265"/>
      <c r="E1964" s="265"/>
      <c r="F1964" s="257"/>
      <c r="G1964" s="265"/>
      <c r="H1964" s="256"/>
      <c r="I1964" s="257"/>
      <c r="J1964" s="32"/>
      <c r="K1964" s="32"/>
      <c r="L1964" s="32"/>
      <c r="M1964" s="32"/>
      <c r="N1964" s="257"/>
      <c r="O1964" s="32"/>
      <c r="P1964" s="32"/>
      <c r="Q1964" s="32"/>
      <c r="R1964" s="32"/>
      <c r="S1964" s="32"/>
      <c r="T1964" s="264"/>
      <c r="U1964" s="16"/>
      <c r="V1964" s="16"/>
      <c r="W1964" s="16"/>
      <c r="X1964" s="32"/>
      <c r="Y1964" s="250"/>
    </row>
    <row r="1965">
      <c r="A1965" s="32"/>
      <c r="B1965" s="32"/>
      <c r="C1965" s="257"/>
      <c r="D1965" s="265"/>
      <c r="E1965" s="265"/>
      <c r="F1965" s="257"/>
      <c r="G1965" s="265"/>
      <c r="H1965" s="256"/>
      <c r="I1965" s="257"/>
      <c r="J1965" s="32"/>
      <c r="K1965" s="32"/>
      <c r="L1965" s="32"/>
      <c r="M1965" s="32"/>
      <c r="N1965" s="257"/>
      <c r="O1965" s="32"/>
      <c r="P1965" s="32"/>
      <c r="Q1965" s="32"/>
      <c r="R1965" s="32"/>
      <c r="S1965" s="32"/>
      <c r="T1965" s="264"/>
      <c r="U1965" s="16"/>
      <c r="V1965" s="16"/>
      <c r="W1965" s="16"/>
      <c r="X1965" s="32"/>
      <c r="Y1965" s="250"/>
    </row>
    <row r="1966">
      <c r="A1966" s="32"/>
      <c r="B1966" s="32"/>
      <c r="C1966" s="257"/>
      <c r="D1966" s="265"/>
      <c r="E1966" s="265"/>
      <c r="F1966" s="257"/>
      <c r="G1966" s="265"/>
      <c r="H1966" s="256"/>
      <c r="I1966" s="257"/>
      <c r="J1966" s="32"/>
      <c r="K1966" s="32"/>
      <c r="L1966" s="32"/>
      <c r="M1966" s="32"/>
      <c r="N1966" s="257"/>
      <c r="O1966" s="32"/>
      <c r="P1966" s="32"/>
      <c r="Q1966" s="32"/>
      <c r="R1966" s="32"/>
      <c r="S1966" s="32"/>
      <c r="T1966" s="264"/>
      <c r="U1966" s="16"/>
      <c r="V1966" s="16"/>
      <c r="W1966" s="16"/>
      <c r="X1966" s="32"/>
      <c r="Y1966" s="250"/>
    </row>
    <row r="1967">
      <c r="A1967" s="32"/>
      <c r="B1967" s="32"/>
      <c r="C1967" s="257"/>
      <c r="D1967" s="265"/>
      <c r="E1967" s="265"/>
      <c r="F1967" s="257"/>
      <c r="G1967" s="265"/>
      <c r="H1967" s="256"/>
      <c r="I1967" s="257"/>
      <c r="J1967" s="32"/>
      <c r="K1967" s="32"/>
      <c r="L1967" s="32"/>
      <c r="M1967" s="32"/>
      <c r="N1967" s="257"/>
      <c r="O1967" s="32"/>
      <c r="P1967" s="32"/>
      <c r="Q1967" s="32"/>
      <c r="R1967" s="32"/>
      <c r="S1967" s="32"/>
      <c r="T1967" s="264"/>
      <c r="U1967" s="16"/>
      <c r="V1967" s="16"/>
      <c r="W1967" s="16"/>
      <c r="X1967" s="32"/>
      <c r="Y1967" s="250"/>
    </row>
    <row r="1968">
      <c r="A1968" s="32"/>
      <c r="B1968" s="32"/>
      <c r="C1968" s="257"/>
      <c r="D1968" s="265"/>
      <c r="E1968" s="265"/>
      <c r="F1968" s="257"/>
      <c r="G1968" s="265"/>
      <c r="H1968" s="256"/>
      <c r="I1968" s="257"/>
      <c r="J1968" s="32"/>
      <c r="K1968" s="32"/>
      <c r="L1968" s="32"/>
      <c r="M1968" s="32"/>
      <c r="N1968" s="257"/>
      <c r="O1968" s="32"/>
      <c r="P1968" s="32"/>
      <c r="Q1968" s="32"/>
      <c r="R1968" s="32"/>
      <c r="S1968" s="32"/>
      <c r="T1968" s="264"/>
      <c r="U1968" s="16"/>
      <c r="V1968" s="16"/>
      <c r="W1968" s="16"/>
      <c r="X1968" s="32"/>
      <c r="Y1968" s="250"/>
    </row>
    <row r="1969">
      <c r="A1969" s="32"/>
      <c r="B1969" s="32"/>
      <c r="C1969" s="257"/>
      <c r="D1969" s="265"/>
      <c r="E1969" s="265"/>
      <c r="F1969" s="257"/>
      <c r="G1969" s="265"/>
      <c r="H1969" s="256"/>
      <c r="I1969" s="257"/>
      <c r="J1969" s="32"/>
      <c r="K1969" s="32"/>
      <c r="L1969" s="32"/>
      <c r="M1969" s="32"/>
      <c r="N1969" s="257"/>
      <c r="O1969" s="32"/>
      <c r="P1969" s="32"/>
      <c r="Q1969" s="32"/>
      <c r="R1969" s="32"/>
      <c r="S1969" s="32"/>
      <c r="T1969" s="264"/>
      <c r="U1969" s="16"/>
      <c r="V1969" s="16"/>
      <c r="W1969" s="16"/>
      <c r="X1969" s="32"/>
      <c r="Y1969" s="250"/>
    </row>
    <row r="1970">
      <c r="A1970" s="32"/>
      <c r="B1970" s="32"/>
      <c r="C1970" s="257"/>
      <c r="D1970" s="265"/>
      <c r="E1970" s="265"/>
      <c r="F1970" s="257"/>
      <c r="G1970" s="265"/>
      <c r="H1970" s="256"/>
      <c r="I1970" s="257"/>
      <c r="J1970" s="32"/>
      <c r="K1970" s="32"/>
      <c r="L1970" s="32"/>
      <c r="M1970" s="32"/>
      <c r="N1970" s="257"/>
      <c r="O1970" s="32"/>
      <c r="P1970" s="32"/>
      <c r="Q1970" s="32"/>
      <c r="R1970" s="32"/>
      <c r="S1970" s="32"/>
      <c r="T1970" s="264"/>
      <c r="U1970" s="16"/>
      <c r="V1970" s="16"/>
      <c r="W1970" s="16"/>
      <c r="X1970" s="32"/>
      <c r="Y1970" s="250"/>
    </row>
    <row r="1971">
      <c r="A1971" s="32"/>
      <c r="B1971" s="32"/>
      <c r="C1971" s="257"/>
      <c r="D1971" s="265"/>
      <c r="E1971" s="265"/>
      <c r="F1971" s="257"/>
      <c r="G1971" s="265"/>
      <c r="H1971" s="256"/>
      <c r="I1971" s="257"/>
      <c r="J1971" s="32"/>
      <c r="K1971" s="32"/>
      <c r="L1971" s="32"/>
      <c r="M1971" s="32"/>
      <c r="N1971" s="257"/>
      <c r="O1971" s="32"/>
      <c r="P1971" s="32"/>
      <c r="Q1971" s="32"/>
      <c r="R1971" s="32"/>
      <c r="S1971" s="32"/>
      <c r="T1971" s="264"/>
      <c r="U1971" s="16"/>
      <c r="V1971" s="16"/>
      <c r="W1971" s="16"/>
      <c r="X1971" s="32"/>
      <c r="Y1971" s="250"/>
    </row>
    <row r="1972">
      <c r="A1972" s="32"/>
      <c r="B1972" s="32"/>
      <c r="C1972" s="257"/>
      <c r="D1972" s="265"/>
      <c r="E1972" s="265"/>
      <c r="F1972" s="257"/>
      <c r="G1972" s="265"/>
      <c r="H1972" s="256"/>
      <c r="I1972" s="257"/>
      <c r="J1972" s="32"/>
      <c r="K1972" s="32"/>
      <c r="L1972" s="32"/>
      <c r="M1972" s="32"/>
      <c r="N1972" s="257"/>
      <c r="O1972" s="32"/>
      <c r="P1972" s="32"/>
      <c r="Q1972" s="32"/>
      <c r="R1972" s="32"/>
      <c r="S1972" s="32"/>
      <c r="T1972" s="264"/>
      <c r="U1972" s="16"/>
      <c r="V1972" s="16"/>
      <c r="W1972" s="16"/>
      <c r="X1972" s="32"/>
      <c r="Y1972" s="250"/>
    </row>
    <row r="1973">
      <c r="A1973" s="32"/>
      <c r="B1973" s="32"/>
      <c r="C1973" s="257"/>
      <c r="D1973" s="265"/>
      <c r="E1973" s="265"/>
      <c r="F1973" s="257"/>
      <c r="G1973" s="265"/>
      <c r="H1973" s="256"/>
      <c r="I1973" s="257"/>
      <c r="J1973" s="32"/>
      <c r="K1973" s="32"/>
      <c r="L1973" s="32"/>
      <c r="M1973" s="32"/>
      <c r="N1973" s="257"/>
      <c r="O1973" s="32"/>
      <c r="P1973" s="32"/>
      <c r="Q1973" s="32"/>
      <c r="R1973" s="32"/>
      <c r="S1973" s="32"/>
      <c r="T1973" s="264"/>
      <c r="U1973" s="16"/>
      <c r="V1973" s="16"/>
      <c r="W1973" s="16"/>
      <c r="X1973" s="32"/>
      <c r="Y1973" s="250"/>
    </row>
    <row r="1974">
      <c r="A1974" s="32"/>
      <c r="B1974" s="32"/>
      <c r="C1974" s="257"/>
      <c r="D1974" s="265"/>
      <c r="E1974" s="265"/>
      <c r="F1974" s="257"/>
      <c r="G1974" s="265"/>
      <c r="H1974" s="256"/>
      <c r="I1974" s="257"/>
      <c r="J1974" s="32"/>
      <c r="K1974" s="32"/>
      <c r="L1974" s="32"/>
      <c r="M1974" s="32"/>
      <c r="N1974" s="257"/>
      <c r="O1974" s="32"/>
      <c r="P1974" s="32"/>
      <c r="Q1974" s="32"/>
      <c r="R1974" s="32"/>
      <c r="S1974" s="32"/>
      <c r="T1974" s="264"/>
      <c r="U1974" s="16"/>
      <c r="V1974" s="16"/>
      <c r="W1974" s="16"/>
      <c r="X1974" s="32"/>
      <c r="Y1974" s="250"/>
    </row>
    <row r="1975">
      <c r="A1975" s="32"/>
      <c r="B1975" s="32"/>
      <c r="C1975" s="257"/>
      <c r="D1975" s="265"/>
      <c r="E1975" s="265"/>
      <c r="F1975" s="257"/>
      <c r="G1975" s="265"/>
      <c r="H1975" s="256"/>
      <c r="I1975" s="257"/>
      <c r="J1975" s="32"/>
      <c r="K1975" s="32"/>
      <c r="L1975" s="32"/>
      <c r="M1975" s="32"/>
      <c r="N1975" s="257"/>
      <c r="O1975" s="32"/>
      <c r="P1975" s="32"/>
      <c r="Q1975" s="32"/>
      <c r="R1975" s="32"/>
      <c r="S1975" s="32"/>
      <c r="T1975" s="264"/>
      <c r="U1975" s="16"/>
      <c r="V1975" s="16"/>
      <c r="W1975" s="16"/>
      <c r="X1975" s="32"/>
      <c r="Y1975" s="250"/>
    </row>
    <row r="1976">
      <c r="A1976" s="32"/>
      <c r="B1976" s="32"/>
      <c r="C1976" s="257"/>
      <c r="D1976" s="265"/>
      <c r="E1976" s="265"/>
      <c r="F1976" s="257"/>
      <c r="G1976" s="265"/>
      <c r="H1976" s="256"/>
      <c r="I1976" s="257"/>
      <c r="J1976" s="32"/>
      <c r="K1976" s="32"/>
      <c r="L1976" s="32"/>
      <c r="M1976" s="32"/>
      <c r="N1976" s="257"/>
      <c r="O1976" s="32"/>
      <c r="P1976" s="32"/>
      <c r="Q1976" s="32"/>
      <c r="R1976" s="32"/>
      <c r="S1976" s="32"/>
      <c r="T1976" s="264"/>
      <c r="U1976" s="16"/>
      <c r="V1976" s="16"/>
      <c r="W1976" s="16"/>
      <c r="X1976" s="32"/>
      <c r="Y1976" s="250"/>
    </row>
    <row r="1977">
      <c r="A1977" s="32"/>
      <c r="B1977" s="32"/>
      <c r="C1977" s="257"/>
      <c r="D1977" s="265"/>
      <c r="E1977" s="265"/>
      <c r="F1977" s="257"/>
      <c r="G1977" s="265"/>
      <c r="H1977" s="256"/>
      <c r="I1977" s="257"/>
      <c r="J1977" s="32"/>
      <c r="K1977" s="32"/>
      <c r="L1977" s="32"/>
      <c r="M1977" s="32"/>
      <c r="N1977" s="257"/>
      <c r="O1977" s="32"/>
      <c r="P1977" s="32"/>
      <c r="Q1977" s="32"/>
      <c r="R1977" s="32"/>
      <c r="S1977" s="32"/>
      <c r="T1977" s="264"/>
      <c r="U1977" s="16"/>
      <c r="V1977" s="16"/>
      <c r="W1977" s="16"/>
      <c r="X1977" s="32"/>
      <c r="Y1977" s="250"/>
    </row>
    <row r="1978">
      <c r="A1978" s="32"/>
      <c r="B1978" s="32"/>
      <c r="C1978" s="257"/>
      <c r="D1978" s="265"/>
      <c r="E1978" s="265"/>
      <c r="F1978" s="257"/>
      <c r="G1978" s="265"/>
      <c r="H1978" s="256"/>
      <c r="I1978" s="257"/>
      <c r="J1978" s="32"/>
      <c r="K1978" s="32"/>
      <c r="L1978" s="32"/>
      <c r="M1978" s="32"/>
      <c r="N1978" s="257"/>
      <c r="O1978" s="32"/>
      <c r="P1978" s="32"/>
      <c r="Q1978" s="32"/>
      <c r="R1978" s="32"/>
      <c r="S1978" s="32"/>
      <c r="T1978" s="264"/>
      <c r="U1978" s="16"/>
      <c r="V1978" s="16"/>
      <c r="W1978" s="16"/>
      <c r="X1978" s="32"/>
      <c r="Y1978" s="250"/>
    </row>
    <row r="1979">
      <c r="A1979" s="32"/>
      <c r="B1979" s="32"/>
      <c r="C1979" s="257"/>
      <c r="D1979" s="265"/>
      <c r="E1979" s="265"/>
      <c r="F1979" s="257"/>
      <c r="G1979" s="265"/>
      <c r="H1979" s="256"/>
      <c r="I1979" s="257"/>
      <c r="J1979" s="32"/>
      <c r="K1979" s="32"/>
      <c r="L1979" s="32"/>
      <c r="M1979" s="32"/>
      <c r="N1979" s="257"/>
      <c r="O1979" s="32"/>
      <c r="P1979" s="32"/>
      <c r="Q1979" s="32"/>
      <c r="R1979" s="32"/>
      <c r="S1979" s="32"/>
      <c r="T1979" s="264"/>
      <c r="U1979" s="16"/>
      <c r="V1979" s="16"/>
      <c r="W1979" s="16"/>
      <c r="X1979" s="32"/>
      <c r="Y1979" s="250"/>
    </row>
    <row r="1980">
      <c r="A1980" s="32"/>
      <c r="B1980" s="32"/>
      <c r="C1980" s="257"/>
      <c r="D1980" s="265"/>
      <c r="E1980" s="265"/>
      <c r="F1980" s="257"/>
      <c r="G1980" s="265"/>
      <c r="H1980" s="256"/>
      <c r="I1980" s="257"/>
      <c r="J1980" s="32"/>
      <c r="K1980" s="32"/>
      <c r="L1980" s="32"/>
      <c r="M1980" s="32"/>
      <c r="N1980" s="257"/>
      <c r="O1980" s="32"/>
      <c r="P1980" s="32"/>
      <c r="Q1980" s="32"/>
      <c r="R1980" s="32"/>
      <c r="S1980" s="32"/>
      <c r="T1980" s="264"/>
      <c r="U1980" s="16"/>
      <c r="V1980" s="16"/>
      <c r="W1980" s="16"/>
      <c r="X1980" s="32"/>
      <c r="Y1980" s="250"/>
    </row>
    <row r="1981">
      <c r="A1981" s="32"/>
      <c r="B1981" s="32"/>
      <c r="C1981" s="257"/>
      <c r="D1981" s="265"/>
      <c r="E1981" s="265"/>
      <c r="F1981" s="257"/>
      <c r="G1981" s="265"/>
      <c r="H1981" s="256"/>
      <c r="I1981" s="257"/>
      <c r="J1981" s="32"/>
      <c r="K1981" s="32"/>
      <c r="L1981" s="32"/>
      <c r="M1981" s="32"/>
      <c r="N1981" s="257"/>
      <c r="O1981" s="32"/>
      <c r="P1981" s="32"/>
      <c r="Q1981" s="32"/>
      <c r="R1981" s="32"/>
      <c r="S1981" s="32"/>
      <c r="T1981" s="264"/>
      <c r="U1981" s="16"/>
      <c r="V1981" s="16"/>
      <c r="W1981" s="16"/>
      <c r="X1981" s="32"/>
      <c r="Y1981" s="250"/>
    </row>
    <row r="1982">
      <c r="A1982" s="32"/>
      <c r="B1982" s="32"/>
      <c r="C1982" s="257"/>
      <c r="D1982" s="265"/>
      <c r="E1982" s="265"/>
      <c r="F1982" s="257"/>
      <c r="G1982" s="265"/>
      <c r="H1982" s="256"/>
      <c r="I1982" s="257"/>
      <c r="J1982" s="32"/>
      <c r="K1982" s="32"/>
      <c r="L1982" s="32"/>
      <c r="M1982" s="32"/>
      <c r="N1982" s="257"/>
      <c r="O1982" s="32"/>
      <c r="P1982" s="32"/>
      <c r="Q1982" s="32"/>
      <c r="R1982" s="32"/>
      <c r="S1982" s="32"/>
      <c r="T1982" s="264"/>
      <c r="U1982" s="16"/>
      <c r="V1982" s="16"/>
      <c r="W1982" s="16"/>
      <c r="X1982" s="32"/>
      <c r="Y1982" s="250"/>
    </row>
    <row r="1983">
      <c r="A1983" s="32"/>
      <c r="B1983" s="32"/>
      <c r="C1983" s="257"/>
      <c r="D1983" s="265"/>
      <c r="E1983" s="265"/>
      <c r="F1983" s="257"/>
      <c r="G1983" s="265"/>
      <c r="H1983" s="256"/>
      <c r="I1983" s="257"/>
      <c r="J1983" s="32"/>
      <c r="K1983" s="32"/>
      <c r="L1983" s="32"/>
      <c r="M1983" s="32"/>
      <c r="N1983" s="257"/>
      <c r="O1983" s="32"/>
      <c r="P1983" s="32"/>
      <c r="Q1983" s="32"/>
      <c r="R1983" s="32"/>
      <c r="S1983" s="32"/>
      <c r="T1983" s="264"/>
      <c r="U1983" s="16"/>
      <c r="V1983" s="16"/>
      <c r="W1983" s="16"/>
      <c r="X1983" s="32"/>
      <c r="Y1983" s="250"/>
    </row>
    <row r="1984">
      <c r="A1984" s="32"/>
      <c r="B1984" s="32"/>
      <c r="C1984" s="257"/>
      <c r="D1984" s="265"/>
      <c r="E1984" s="265"/>
      <c r="F1984" s="257"/>
      <c r="G1984" s="265"/>
      <c r="H1984" s="256"/>
      <c r="I1984" s="257"/>
      <c r="J1984" s="32"/>
      <c r="K1984" s="32"/>
      <c r="L1984" s="32"/>
      <c r="M1984" s="32"/>
      <c r="N1984" s="257"/>
      <c r="O1984" s="32"/>
      <c r="P1984" s="32"/>
      <c r="Q1984" s="32"/>
      <c r="R1984" s="32"/>
      <c r="S1984" s="32"/>
      <c r="T1984" s="264"/>
      <c r="U1984" s="16"/>
      <c r="V1984" s="16"/>
      <c r="W1984" s="16"/>
      <c r="X1984" s="32"/>
      <c r="Y1984" s="250"/>
    </row>
    <row r="1985">
      <c r="A1985" s="32"/>
      <c r="B1985" s="32"/>
      <c r="C1985" s="257"/>
      <c r="D1985" s="265"/>
      <c r="E1985" s="265"/>
      <c r="F1985" s="257"/>
      <c r="G1985" s="265"/>
      <c r="H1985" s="256"/>
      <c r="I1985" s="257"/>
      <c r="J1985" s="32"/>
      <c r="K1985" s="32"/>
      <c r="L1985" s="32"/>
      <c r="M1985" s="32"/>
      <c r="N1985" s="257"/>
      <c r="O1985" s="32"/>
      <c r="P1985" s="32"/>
      <c r="Q1985" s="32"/>
      <c r="R1985" s="32"/>
      <c r="S1985" s="32"/>
      <c r="T1985" s="264"/>
      <c r="U1985" s="16"/>
      <c r="V1985" s="16"/>
      <c r="W1985" s="16"/>
      <c r="X1985" s="32"/>
      <c r="Y1985" s="250"/>
    </row>
    <row r="1986">
      <c r="A1986" s="32"/>
      <c r="B1986" s="32"/>
      <c r="C1986" s="257"/>
      <c r="D1986" s="265"/>
      <c r="E1986" s="265"/>
      <c r="F1986" s="257"/>
      <c r="G1986" s="265"/>
      <c r="H1986" s="256"/>
      <c r="I1986" s="257"/>
      <c r="J1986" s="32"/>
      <c r="K1986" s="32"/>
      <c r="L1986" s="32"/>
      <c r="M1986" s="32"/>
      <c r="N1986" s="257"/>
      <c r="O1986" s="32"/>
      <c r="P1986" s="32"/>
      <c r="Q1986" s="32"/>
      <c r="R1986" s="32"/>
      <c r="S1986" s="32"/>
      <c r="T1986" s="264"/>
      <c r="U1986" s="16"/>
      <c r="V1986" s="16"/>
      <c r="W1986" s="16"/>
      <c r="X1986" s="32"/>
      <c r="Y1986" s="250"/>
    </row>
    <row r="1987">
      <c r="A1987" s="32"/>
      <c r="B1987" s="32"/>
      <c r="C1987" s="257"/>
      <c r="D1987" s="265"/>
      <c r="E1987" s="265"/>
      <c r="F1987" s="257"/>
      <c r="G1987" s="265"/>
      <c r="H1987" s="256"/>
      <c r="I1987" s="257"/>
      <c r="J1987" s="32"/>
      <c r="K1987" s="32"/>
      <c r="L1987" s="32"/>
      <c r="M1987" s="32"/>
      <c r="N1987" s="257"/>
      <c r="O1987" s="32"/>
      <c r="P1987" s="32"/>
      <c r="Q1987" s="32"/>
      <c r="R1987" s="32"/>
      <c r="S1987" s="32"/>
      <c r="T1987" s="264"/>
      <c r="U1987" s="16"/>
      <c r="V1987" s="16"/>
      <c r="W1987" s="16"/>
      <c r="X1987" s="32"/>
      <c r="Y1987" s="250"/>
    </row>
    <row r="1988">
      <c r="A1988" s="32"/>
      <c r="B1988" s="32"/>
      <c r="C1988" s="257"/>
      <c r="D1988" s="265"/>
      <c r="E1988" s="265"/>
      <c r="F1988" s="257"/>
      <c r="G1988" s="265"/>
      <c r="H1988" s="256"/>
      <c r="I1988" s="257"/>
      <c r="J1988" s="32"/>
      <c r="K1988" s="32"/>
      <c r="L1988" s="32"/>
      <c r="M1988" s="32"/>
      <c r="N1988" s="257"/>
      <c r="O1988" s="32"/>
      <c r="P1988" s="32"/>
      <c r="Q1988" s="32"/>
      <c r="R1988" s="32"/>
      <c r="S1988" s="32"/>
      <c r="T1988" s="264"/>
      <c r="U1988" s="16"/>
      <c r="V1988" s="16"/>
      <c r="W1988" s="16"/>
      <c r="X1988" s="32"/>
      <c r="Y1988" s="250"/>
    </row>
    <row r="1989">
      <c r="A1989" s="32"/>
      <c r="B1989" s="32"/>
      <c r="C1989" s="257"/>
      <c r="D1989" s="265"/>
      <c r="E1989" s="265"/>
      <c r="F1989" s="257"/>
      <c r="G1989" s="265"/>
      <c r="H1989" s="256"/>
      <c r="I1989" s="257"/>
      <c r="J1989" s="32"/>
      <c r="K1989" s="32"/>
      <c r="L1989" s="32"/>
      <c r="M1989" s="32"/>
      <c r="N1989" s="257"/>
      <c r="O1989" s="32"/>
      <c r="P1989" s="32"/>
      <c r="Q1989" s="32"/>
      <c r="R1989" s="32"/>
      <c r="S1989" s="32"/>
      <c r="T1989" s="264"/>
      <c r="U1989" s="16"/>
      <c r="V1989" s="16"/>
      <c r="W1989" s="16"/>
      <c r="X1989" s="32"/>
      <c r="Y1989" s="250"/>
    </row>
    <row r="1990">
      <c r="A1990" s="32"/>
      <c r="B1990" s="32"/>
      <c r="C1990" s="257"/>
      <c r="D1990" s="265"/>
      <c r="E1990" s="265"/>
      <c r="F1990" s="257"/>
      <c r="G1990" s="265"/>
      <c r="H1990" s="256"/>
      <c r="I1990" s="257"/>
      <c r="J1990" s="32"/>
      <c r="K1990" s="32"/>
      <c r="L1990" s="32"/>
      <c r="M1990" s="32"/>
      <c r="N1990" s="257"/>
      <c r="O1990" s="32"/>
      <c r="P1990" s="32"/>
      <c r="Q1990" s="32"/>
      <c r="R1990" s="32"/>
      <c r="S1990" s="32"/>
      <c r="T1990" s="264"/>
      <c r="U1990" s="16"/>
      <c r="V1990" s="16"/>
      <c r="W1990" s="16"/>
      <c r="X1990" s="32"/>
      <c r="Y1990" s="250"/>
    </row>
    <row r="1991">
      <c r="A1991" s="32"/>
      <c r="B1991" s="32"/>
      <c r="C1991" s="257"/>
      <c r="D1991" s="265"/>
      <c r="E1991" s="265"/>
      <c r="F1991" s="257"/>
      <c r="G1991" s="265"/>
      <c r="H1991" s="256"/>
      <c r="I1991" s="257"/>
      <c r="J1991" s="32"/>
      <c r="K1991" s="32"/>
      <c r="L1991" s="32"/>
      <c r="M1991" s="32"/>
      <c r="N1991" s="257"/>
      <c r="O1991" s="32"/>
      <c r="P1991" s="32"/>
      <c r="Q1991" s="32"/>
      <c r="R1991" s="32"/>
      <c r="S1991" s="32"/>
      <c r="T1991" s="264"/>
      <c r="U1991" s="16"/>
      <c r="V1991" s="16"/>
      <c r="W1991" s="16"/>
      <c r="X1991" s="32"/>
      <c r="Y1991" s="250"/>
    </row>
    <row r="1992">
      <c r="A1992" s="32"/>
      <c r="B1992" s="32"/>
      <c r="C1992" s="257"/>
      <c r="D1992" s="265"/>
      <c r="E1992" s="265"/>
      <c r="F1992" s="257"/>
      <c r="G1992" s="265"/>
      <c r="H1992" s="256"/>
      <c r="I1992" s="257"/>
      <c r="J1992" s="32"/>
      <c r="K1992" s="32"/>
      <c r="L1992" s="32"/>
      <c r="M1992" s="32"/>
      <c r="N1992" s="257"/>
      <c r="O1992" s="32"/>
      <c r="P1992" s="32"/>
      <c r="Q1992" s="32"/>
      <c r="R1992" s="32"/>
      <c r="S1992" s="32"/>
      <c r="T1992" s="264"/>
      <c r="U1992" s="16"/>
      <c r="V1992" s="16"/>
      <c r="W1992" s="16"/>
      <c r="X1992" s="32"/>
      <c r="Y1992" s="250"/>
    </row>
    <row r="1993">
      <c r="A1993" s="32"/>
      <c r="B1993" s="32"/>
      <c r="C1993" s="257"/>
      <c r="D1993" s="265"/>
      <c r="E1993" s="265"/>
      <c r="F1993" s="257"/>
      <c r="G1993" s="265"/>
      <c r="H1993" s="256"/>
      <c r="I1993" s="257"/>
      <c r="J1993" s="32"/>
      <c r="K1993" s="32"/>
      <c r="L1993" s="32"/>
      <c r="M1993" s="32"/>
      <c r="N1993" s="257"/>
      <c r="O1993" s="32"/>
      <c r="P1993" s="32"/>
      <c r="Q1993" s="32"/>
      <c r="R1993" s="32"/>
      <c r="S1993" s="32"/>
      <c r="T1993" s="264"/>
      <c r="U1993" s="16"/>
      <c r="V1993" s="16"/>
      <c r="W1993" s="16"/>
      <c r="X1993" s="32"/>
      <c r="Y1993" s="250"/>
    </row>
    <row r="1994">
      <c r="A1994" s="32"/>
      <c r="B1994" s="32"/>
      <c r="C1994" s="257"/>
      <c r="D1994" s="265"/>
      <c r="E1994" s="265"/>
      <c r="F1994" s="257"/>
      <c r="G1994" s="265"/>
      <c r="H1994" s="256"/>
      <c r="I1994" s="257"/>
      <c r="J1994" s="32"/>
      <c r="K1994" s="32"/>
      <c r="L1994" s="32"/>
      <c r="M1994" s="32"/>
      <c r="N1994" s="257"/>
      <c r="O1994" s="32"/>
      <c r="P1994" s="32"/>
      <c r="Q1994" s="32"/>
      <c r="R1994" s="32"/>
      <c r="S1994" s="32"/>
      <c r="T1994" s="264"/>
      <c r="U1994" s="16"/>
      <c r="V1994" s="16"/>
      <c r="W1994" s="16"/>
      <c r="X1994" s="32"/>
      <c r="Y1994" s="250"/>
    </row>
    <row r="1995">
      <c r="A1995" s="32"/>
      <c r="B1995" s="32"/>
      <c r="C1995" s="257"/>
      <c r="D1995" s="265"/>
      <c r="E1995" s="265"/>
      <c r="F1995" s="257"/>
      <c r="G1995" s="265"/>
      <c r="H1995" s="256"/>
      <c r="I1995" s="257"/>
      <c r="J1995" s="32"/>
      <c r="K1995" s="32"/>
      <c r="L1995" s="32"/>
      <c r="M1995" s="32"/>
      <c r="N1995" s="257"/>
      <c r="O1995" s="32"/>
      <c r="P1995" s="32"/>
      <c r="Q1995" s="32"/>
      <c r="R1995" s="32"/>
      <c r="S1995" s="32"/>
      <c r="T1995" s="264"/>
      <c r="U1995" s="16"/>
      <c r="V1995" s="16"/>
      <c r="W1995" s="16"/>
      <c r="X1995" s="32"/>
      <c r="Y1995" s="250"/>
    </row>
    <row r="1996">
      <c r="A1996" s="32"/>
      <c r="B1996" s="32"/>
      <c r="C1996" s="257"/>
      <c r="D1996" s="265"/>
      <c r="E1996" s="265"/>
      <c r="F1996" s="257"/>
      <c r="G1996" s="265"/>
      <c r="H1996" s="256"/>
      <c r="I1996" s="257"/>
      <c r="J1996" s="32"/>
      <c r="K1996" s="32"/>
      <c r="L1996" s="32"/>
      <c r="M1996" s="32"/>
      <c r="N1996" s="257"/>
      <c r="O1996" s="32"/>
      <c r="P1996" s="32"/>
      <c r="Q1996" s="32"/>
      <c r="R1996" s="32"/>
      <c r="S1996" s="32"/>
      <c r="T1996" s="264"/>
      <c r="U1996" s="16"/>
      <c r="V1996" s="16"/>
      <c r="W1996" s="16"/>
      <c r="X1996" s="32"/>
      <c r="Y1996" s="250"/>
    </row>
    <row r="1997">
      <c r="A1997" s="32"/>
      <c r="B1997" s="32"/>
      <c r="C1997" s="257"/>
      <c r="D1997" s="265"/>
      <c r="E1997" s="265"/>
      <c r="F1997" s="257"/>
      <c r="G1997" s="265"/>
      <c r="H1997" s="256"/>
      <c r="I1997" s="257"/>
      <c r="J1997" s="32"/>
      <c r="K1997" s="32"/>
      <c r="L1997" s="32"/>
      <c r="M1997" s="32"/>
      <c r="N1997" s="257"/>
      <c r="O1997" s="32"/>
      <c r="P1997" s="32"/>
      <c r="Q1997" s="32"/>
      <c r="R1997" s="32"/>
      <c r="S1997" s="32"/>
      <c r="T1997" s="264"/>
      <c r="U1997" s="16"/>
      <c r="V1997" s="16"/>
      <c r="W1997" s="16"/>
      <c r="X1997" s="32"/>
      <c r="Y1997" s="250"/>
    </row>
    <row r="1998">
      <c r="A1998" s="32"/>
      <c r="B1998" s="32"/>
      <c r="C1998" s="257"/>
      <c r="D1998" s="265"/>
      <c r="E1998" s="265"/>
      <c r="F1998" s="257"/>
      <c r="G1998" s="265"/>
      <c r="H1998" s="256"/>
      <c r="I1998" s="257"/>
      <c r="J1998" s="32"/>
      <c r="K1998" s="32"/>
      <c r="L1998" s="32"/>
      <c r="M1998" s="32"/>
      <c r="N1998" s="257"/>
      <c r="O1998" s="32"/>
      <c r="P1998" s="32"/>
      <c r="Q1998" s="32"/>
      <c r="R1998" s="32"/>
      <c r="S1998" s="32"/>
      <c r="T1998" s="264"/>
      <c r="U1998" s="16"/>
      <c r="V1998" s="16"/>
      <c r="W1998" s="16"/>
      <c r="X1998" s="32"/>
      <c r="Y1998" s="250"/>
    </row>
    <row r="1999">
      <c r="A1999" s="32"/>
      <c r="B1999" s="32"/>
      <c r="C1999" s="257"/>
      <c r="D1999" s="265"/>
      <c r="E1999" s="265"/>
      <c r="F1999" s="257"/>
      <c r="G1999" s="265"/>
      <c r="H1999" s="256"/>
      <c r="I1999" s="257"/>
      <c r="J1999" s="32"/>
      <c r="K1999" s="32"/>
      <c r="L1999" s="32"/>
      <c r="M1999" s="32"/>
      <c r="N1999" s="257"/>
      <c r="O1999" s="32"/>
      <c r="P1999" s="32"/>
      <c r="Q1999" s="32"/>
      <c r="R1999" s="32"/>
      <c r="S1999" s="32"/>
      <c r="T1999" s="264"/>
      <c r="U1999" s="16"/>
      <c r="V1999" s="16"/>
      <c r="W1999" s="16"/>
      <c r="X1999" s="32"/>
      <c r="Y1999" s="250"/>
    </row>
    <row r="2000">
      <c r="A2000" s="32"/>
      <c r="B2000" s="32"/>
      <c r="C2000" s="257"/>
      <c r="D2000" s="265"/>
      <c r="E2000" s="265"/>
      <c r="F2000" s="257"/>
      <c r="G2000" s="265"/>
      <c r="H2000" s="256"/>
      <c r="I2000" s="257"/>
      <c r="J2000" s="32"/>
      <c r="K2000" s="32"/>
      <c r="L2000" s="32"/>
      <c r="M2000" s="32"/>
      <c r="N2000" s="257"/>
      <c r="O2000" s="32"/>
      <c r="P2000" s="32"/>
      <c r="Q2000" s="32"/>
      <c r="R2000" s="32"/>
      <c r="S2000" s="32"/>
      <c r="T2000" s="264"/>
      <c r="U2000" s="16"/>
      <c r="V2000" s="16"/>
      <c r="W2000" s="16"/>
      <c r="X2000" s="32"/>
      <c r="Y2000" s="250"/>
    </row>
    <row r="2001">
      <c r="A2001" s="32"/>
      <c r="B2001" s="32"/>
      <c r="C2001" s="257"/>
      <c r="D2001" s="265"/>
      <c r="E2001" s="265"/>
      <c r="F2001" s="257"/>
      <c r="G2001" s="265"/>
      <c r="H2001" s="256"/>
      <c r="I2001" s="257"/>
      <c r="J2001" s="32"/>
      <c r="K2001" s="32"/>
      <c r="L2001" s="32"/>
      <c r="M2001" s="32"/>
      <c r="N2001" s="257"/>
      <c r="O2001" s="32"/>
      <c r="P2001" s="32"/>
      <c r="Q2001" s="32"/>
      <c r="R2001" s="32"/>
      <c r="S2001" s="32"/>
      <c r="T2001" s="264"/>
      <c r="U2001" s="16"/>
      <c r="V2001" s="16"/>
      <c r="W2001" s="16"/>
      <c r="X2001" s="32"/>
      <c r="Y2001" s="250"/>
    </row>
    <row r="2002">
      <c r="A2002" s="32"/>
      <c r="B2002" s="32"/>
      <c r="C2002" s="257"/>
      <c r="D2002" s="265"/>
      <c r="E2002" s="265"/>
      <c r="F2002" s="257"/>
      <c r="G2002" s="265"/>
      <c r="H2002" s="256"/>
      <c r="I2002" s="257"/>
      <c r="J2002" s="32"/>
      <c r="K2002" s="32"/>
      <c r="L2002" s="32"/>
      <c r="M2002" s="32"/>
      <c r="N2002" s="257"/>
      <c r="O2002" s="32"/>
      <c r="P2002" s="32"/>
      <c r="Q2002" s="32"/>
      <c r="R2002" s="32"/>
      <c r="S2002" s="32"/>
      <c r="T2002" s="264"/>
      <c r="U2002" s="16"/>
      <c r="V2002" s="16"/>
      <c r="W2002" s="16"/>
      <c r="X2002" s="32"/>
      <c r="Y2002" s="250"/>
    </row>
    <row r="2003">
      <c r="A2003" s="32"/>
      <c r="B2003" s="32"/>
      <c r="C2003" s="257"/>
      <c r="D2003" s="265"/>
      <c r="E2003" s="265"/>
      <c r="F2003" s="257"/>
      <c r="G2003" s="265"/>
      <c r="H2003" s="256"/>
      <c r="I2003" s="257"/>
      <c r="J2003" s="32"/>
      <c r="K2003" s="32"/>
      <c r="L2003" s="32"/>
      <c r="M2003" s="32"/>
      <c r="N2003" s="257"/>
      <c r="O2003" s="32"/>
      <c r="P2003" s="32"/>
      <c r="Q2003" s="32"/>
      <c r="R2003" s="32"/>
      <c r="S2003" s="32"/>
      <c r="T2003" s="264"/>
      <c r="U2003" s="16"/>
      <c r="V2003" s="16"/>
      <c r="W2003" s="16"/>
      <c r="X2003" s="32"/>
      <c r="Y2003" s="250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9.63"/>
  </cols>
  <sheetData>
    <row r="1">
      <c r="A1" s="266" t="s">
        <v>6293</v>
      </c>
      <c r="B1" s="266" t="s">
        <v>6294</v>
      </c>
      <c r="C1" s="266" t="s">
        <v>6295</v>
      </c>
      <c r="D1" s="266" t="s">
        <v>6296</v>
      </c>
      <c r="E1" s="266" t="s">
        <v>6297</v>
      </c>
      <c r="F1" s="266" t="s">
        <v>6298</v>
      </c>
      <c r="G1" s="266" t="s">
        <v>6299</v>
      </c>
      <c r="H1" s="266" t="s">
        <v>6300</v>
      </c>
      <c r="I1" s="266" t="s">
        <v>6301</v>
      </c>
      <c r="J1" s="266"/>
      <c r="K1" s="1"/>
      <c r="L1" s="1"/>
    </row>
    <row r="2">
      <c r="A2" s="266">
        <v>50.0</v>
      </c>
      <c r="B2" s="266">
        <v>1.0</v>
      </c>
      <c r="C2" s="266"/>
      <c r="D2" s="266" t="s">
        <v>6302</v>
      </c>
      <c r="E2" s="266"/>
      <c r="F2" s="266"/>
      <c r="G2" s="266"/>
      <c r="H2" s="266"/>
      <c r="I2" s="266"/>
      <c r="J2" s="266"/>
      <c r="K2" s="1"/>
      <c r="L2" s="1"/>
    </row>
    <row r="3">
      <c r="A3" s="266">
        <v>100.0</v>
      </c>
      <c r="B3" s="266"/>
      <c r="C3" s="266">
        <v>5.0</v>
      </c>
      <c r="D3" s="266" t="s">
        <v>6303</v>
      </c>
      <c r="E3" s="266"/>
      <c r="F3" s="266"/>
      <c r="G3" s="266"/>
      <c r="H3" s="266"/>
      <c r="I3" s="266"/>
      <c r="J3" s="267"/>
    </row>
    <row r="4">
      <c r="A4" s="266">
        <v>200.0</v>
      </c>
      <c r="B4" s="266"/>
      <c r="C4" s="266">
        <v>10.0</v>
      </c>
      <c r="D4" s="266" t="s">
        <v>23</v>
      </c>
      <c r="E4" s="268"/>
      <c r="F4" s="266"/>
      <c r="G4" s="268" t="s">
        <v>6304</v>
      </c>
      <c r="H4" s="266" t="s">
        <v>14</v>
      </c>
      <c r="I4" s="266"/>
      <c r="J4" s="266"/>
      <c r="K4" s="1"/>
      <c r="L4" s="1"/>
    </row>
    <row r="5">
      <c r="A5" s="266">
        <v>300.0</v>
      </c>
      <c r="B5" s="266"/>
      <c r="C5" s="266">
        <v>10.0</v>
      </c>
      <c r="D5" s="266" t="s">
        <v>24</v>
      </c>
      <c r="E5" s="266"/>
      <c r="F5" s="266"/>
      <c r="G5" s="266" t="s">
        <v>6304</v>
      </c>
      <c r="H5" s="266">
        <v>99.0</v>
      </c>
      <c r="I5" s="266"/>
      <c r="J5" s="266"/>
      <c r="K5" s="1"/>
      <c r="L5" s="1"/>
    </row>
    <row r="6">
      <c r="A6" s="266">
        <v>400.0</v>
      </c>
      <c r="B6" s="266"/>
      <c r="C6" s="266">
        <v>5.0</v>
      </c>
      <c r="D6" s="266" t="s">
        <v>25</v>
      </c>
      <c r="E6" s="266"/>
      <c r="F6" s="266"/>
      <c r="G6" s="266" t="s">
        <v>6304</v>
      </c>
      <c r="H6" s="266" t="s">
        <v>15</v>
      </c>
      <c r="I6" s="266"/>
      <c r="J6" s="266"/>
      <c r="K6" s="1"/>
      <c r="L6" s="1"/>
    </row>
    <row r="7">
      <c r="A7" s="266">
        <v>500.0</v>
      </c>
      <c r="B7" s="266"/>
      <c r="C7" s="266">
        <v>5.0</v>
      </c>
      <c r="D7" s="266" t="s">
        <v>26</v>
      </c>
      <c r="E7" s="266"/>
      <c r="F7" s="266"/>
      <c r="G7" s="266" t="s">
        <v>6304</v>
      </c>
      <c r="H7" s="266" t="s">
        <v>16</v>
      </c>
      <c r="I7" s="266" t="s">
        <v>6305</v>
      </c>
      <c r="J7" s="266"/>
      <c r="K7" s="1"/>
      <c r="L7" s="1"/>
    </row>
    <row r="8">
      <c r="A8" s="266">
        <v>600.0</v>
      </c>
      <c r="B8" s="266"/>
      <c r="C8" s="266">
        <v>5.0</v>
      </c>
      <c r="D8" s="266" t="s">
        <v>27</v>
      </c>
      <c r="E8" s="266"/>
      <c r="F8" s="266"/>
      <c r="G8" s="266" t="s">
        <v>6304</v>
      </c>
      <c r="H8" s="266" t="s">
        <v>17</v>
      </c>
      <c r="I8" s="266"/>
      <c r="J8" s="266"/>
      <c r="K8" s="1"/>
      <c r="L8" s="1"/>
    </row>
    <row r="9">
      <c r="A9" s="266">
        <v>700.0</v>
      </c>
      <c r="B9" s="266"/>
      <c r="C9" s="266">
        <v>5.0</v>
      </c>
      <c r="D9" s="266" t="s">
        <v>6306</v>
      </c>
      <c r="E9" s="266"/>
      <c r="F9" s="266"/>
      <c r="G9" s="266" t="s">
        <v>6304</v>
      </c>
      <c r="H9" s="266" t="s">
        <v>6307</v>
      </c>
      <c r="I9" s="266"/>
      <c r="J9" s="266"/>
      <c r="K9" s="1"/>
      <c r="L9" s="1"/>
    </row>
    <row r="10">
      <c r="A10" s="266">
        <v>50.0</v>
      </c>
      <c r="B10" s="266">
        <v>1.0</v>
      </c>
      <c r="C10" s="266"/>
      <c r="D10" s="266" t="s">
        <v>6308</v>
      </c>
      <c r="E10" s="266"/>
      <c r="F10" s="266"/>
      <c r="G10" s="266"/>
      <c r="H10" s="266"/>
      <c r="I10" s="266"/>
      <c r="J10" s="267"/>
    </row>
    <row r="11">
      <c r="A11" s="266">
        <v>100.0</v>
      </c>
      <c r="B11" s="266"/>
      <c r="C11" s="266">
        <v>5.0</v>
      </c>
      <c r="D11" s="266" t="s">
        <v>6309</v>
      </c>
      <c r="E11" s="266"/>
      <c r="F11" s="266"/>
      <c r="G11" s="266"/>
      <c r="H11" s="266"/>
      <c r="I11" s="266"/>
      <c r="J11" s="267"/>
    </row>
    <row r="12">
      <c r="A12" s="266">
        <v>200.0</v>
      </c>
      <c r="B12" s="266"/>
      <c r="C12" s="266">
        <v>10.0</v>
      </c>
      <c r="D12" s="266" t="s">
        <v>6310</v>
      </c>
      <c r="E12" s="266"/>
      <c r="F12" s="266"/>
      <c r="G12" s="266" t="s">
        <v>6304</v>
      </c>
      <c r="H12" s="266">
        <v>99.0</v>
      </c>
      <c r="I12" s="266"/>
      <c r="J12" s="266"/>
      <c r="K12" s="1"/>
      <c r="L12" s="1"/>
    </row>
    <row r="13">
      <c r="A13" s="266">
        <v>300.0</v>
      </c>
      <c r="B13" s="266"/>
      <c r="C13" s="266">
        <v>10.0</v>
      </c>
      <c r="D13" s="266" t="s">
        <v>6311</v>
      </c>
      <c r="E13" s="266"/>
      <c r="F13" s="266"/>
      <c r="G13" s="266" t="s">
        <v>6304</v>
      </c>
      <c r="H13" s="266" t="s">
        <v>555</v>
      </c>
      <c r="I13" s="266"/>
      <c r="J13" s="266"/>
      <c r="K13" s="1"/>
      <c r="L13" s="1"/>
    </row>
    <row r="14">
      <c r="A14" s="266">
        <v>400.0</v>
      </c>
      <c r="B14" s="266"/>
      <c r="C14" s="266">
        <v>10.0</v>
      </c>
      <c r="D14" s="266" t="s">
        <v>6312</v>
      </c>
      <c r="E14" s="266"/>
      <c r="F14" s="266"/>
      <c r="G14" s="266" t="s">
        <v>6304</v>
      </c>
      <c r="H14" s="266" t="s">
        <v>17</v>
      </c>
      <c r="I14" s="266"/>
      <c r="J14" s="266"/>
      <c r="K14" s="1"/>
      <c r="L14" s="1"/>
    </row>
    <row r="15">
      <c r="A15" s="266">
        <v>500.0</v>
      </c>
      <c r="B15" s="266"/>
      <c r="C15" s="266">
        <v>5.0</v>
      </c>
      <c r="D15" s="266" t="s">
        <v>6313</v>
      </c>
      <c r="E15" s="266"/>
      <c r="F15" s="266"/>
      <c r="G15" s="266"/>
      <c r="H15" s="266"/>
      <c r="I15" s="266"/>
      <c r="J15" s="267"/>
    </row>
    <row r="16">
      <c r="A16" s="266">
        <v>600.0</v>
      </c>
      <c r="B16" s="266"/>
      <c r="C16" s="266">
        <v>10.0</v>
      </c>
      <c r="D16" s="266" t="s">
        <v>6314</v>
      </c>
      <c r="E16" s="266"/>
      <c r="F16" s="266"/>
      <c r="G16" s="266" t="s">
        <v>6304</v>
      </c>
      <c r="H16" s="266" t="s">
        <v>6315</v>
      </c>
      <c r="I16" s="266"/>
      <c r="J16" s="266"/>
      <c r="K16" s="1"/>
      <c r="L16" s="1"/>
    </row>
    <row r="17">
      <c r="A17" s="266">
        <v>700.0</v>
      </c>
      <c r="B17" s="266"/>
      <c r="C17" s="266">
        <v>10.0</v>
      </c>
      <c r="D17" s="266" t="s">
        <v>6316</v>
      </c>
      <c r="E17" s="266"/>
      <c r="F17" s="266"/>
      <c r="G17" s="266" t="s">
        <v>6304</v>
      </c>
      <c r="H17" s="266" t="s">
        <v>6317</v>
      </c>
      <c r="I17" s="266"/>
      <c r="J17" s="266"/>
      <c r="K17" s="1"/>
      <c r="L17" s="1"/>
    </row>
    <row r="18">
      <c r="A18" s="266">
        <v>800.0</v>
      </c>
      <c r="B18" s="266"/>
      <c r="C18" s="266">
        <v>10.0</v>
      </c>
      <c r="D18" s="266" t="s">
        <v>6318</v>
      </c>
      <c r="E18" s="266"/>
      <c r="F18" s="266"/>
      <c r="G18" s="266" t="s">
        <v>6304</v>
      </c>
      <c r="H18" s="266" t="s">
        <v>3796</v>
      </c>
      <c r="I18" s="266"/>
      <c r="J18" s="266"/>
      <c r="K18" s="1"/>
      <c r="L18" s="1"/>
    </row>
    <row r="19">
      <c r="A19" s="266">
        <v>900.0</v>
      </c>
      <c r="B19" s="266"/>
      <c r="C19" s="266">
        <v>5.0</v>
      </c>
      <c r="D19" s="266" t="s">
        <v>6319</v>
      </c>
      <c r="E19" s="266"/>
      <c r="F19" s="266"/>
      <c r="G19" s="266"/>
      <c r="H19" s="266"/>
      <c r="I19" s="266"/>
      <c r="J19" s="267"/>
    </row>
    <row r="20">
      <c r="A20" s="266">
        <v>1000.0</v>
      </c>
      <c r="B20" s="266"/>
      <c r="C20" s="266">
        <v>10.0</v>
      </c>
      <c r="D20" s="266" t="s">
        <v>6320</v>
      </c>
      <c r="E20" s="266"/>
      <c r="F20" s="266"/>
      <c r="G20" s="266" t="s">
        <v>6304</v>
      </c>
      <c r="H20" s="266" t="s">
        <v>5275</v>
      </c>
      <c r="I20" s="266"/>
      <c r="J20" s="266"/>
      <c r="K20" s="1"/>
      <c r="L20" s="1"/>
    </row>
    <row r="21">
      <c r="A21" s="266">
        <v>1100.0</v>
      </c>
      <c r="B21" s="266"/>
      <c r="C21" s="266">
        <v>10.0</v>
      </c>
      <c r="D21" s="266" t="s">
        <v>6321</v>
      </c>
      <c r="E21" s="266"/>
      <c r="F21" s="266"/>
      <c r="G21" s="266" t="s">
        <v>6304</v>
      </c>
      <c r="H21" s="266" t="s">
        <v>6322</v>
      </c>
      <c r="I21" s="266"/>
      <c r="J21" s="266"/>
      <c r="K21" s="1"/>
      <c r="L21" s="1"/>
    </row>
    <row r="22">
      <c r="A22" s="266">
        <v>1200.0</v>
      </c>
      <c r="B22" s="266"/>
      <c r="C22" s="266">
        <v>10.0</v>
      </c>
      <c r="D22" s="266" t="s">
        <v>6323</v>
      </c>
      <c r="E22" s="266"/>
      <c r="F22" s="266"/>
      <c r="G22" s="266" t="s">
        <v>6304</v>
      </c>
      <c r="H22" s="266" t="s">
        <v>17</v>
      </c>
      <c r="I22" s="266"/>
      <c r="J22" s="266"/>
      <c r="K22" s="1"/>
      <c r="L22" s="1"/>
    </row>
    <row r="23">
      <c r="A23" s="266">
        <v>1300.0</v>
      </c>
      <c r="B23" s="266"/>
      <c r="C23" s="266">
        <v>5.0</v>
      </c>
      <c r="D23" s="266" t="s">
        <v>6324</v>
      </c>
      <c r="E23" s="266"/>
      <c r="F23" s="266"/>
      <c r="G23" s="266" t="s">
        <v>6304</v>
      </c>
      <c r="H23" s="266" t="s">
        <v>559</v>
      </c>
      <c r="I23" s="266"/>
      <c r="J23" s="266"/>
      <c r="K23" s="1"/>
      <c r="L23" s="1"/>
    </row>
    <row r="24">
      <c r="A24" s="266">
        <v>1400.0</v>
      </c>
      <c r="B24" s="266"/>
      <c r="C24" s="266">
        <v>5.0</v>
      </c>
      <c r="D24" s="266" t="s">
        <v>6325</v>
      </c>
      <c r="E24" s="266"/>
      <c r="F24" s="266"/>
      <c r="G24" s="266"/>
      <c r="H24" s="266"/>
      <c r="I24" s="266"/>
      <c r="J24" s="267"/>
    </row>
    <row r="25">
      <c r="A25" s="266">
        <v>1500.0</v>
      </c>
      <c r="B25" s="266"/>
      <c r="C25" s="266">
        <v>10.0</v>
      </c>
      <c r="D25" s="266" t="s">
        <v>6326</v>
      </c>
      <c r="E25" s="266"/>
      <c r="F25" s="266"/>
      <c r="G25" s="266" t="s">
        <v>6304</v>
      </c>
      <c r="H25" s="266" t="s">
        <v>5275</v>
      </c>
      <c r="I25" s="266"/>
      <c r="J25" s="266"/>
      <c r="K25" s="1"/>
      <c r="L25" s="1"/>
    </row>
    <row r="26">
      <c r="A26" s="266">
        <v>1600.0</v>
      </c>
      <c r="B26" s="266"/>
      <c r="C26" s="266">
        <v>10.0</v>
      </c>
      <c r="D26" s="266" t="s">
        <v>6327</v>
      </c>
      <c r="E26" s="266"/>
      <c r="F26" s="266"/>
      <c r="G26" s="266" t="s">
        <v>6304</v>
      </c>
      <c r="H26" s="266" t="s">
        <v>6322</v>
      </c>
      <c r="I26" s="266"/>
      <c r="J26" s="266"/>
      <c r="K26" s="1"/>
      <c r="L26" s="1"/>
    </row>
    <row r="27">
      <c r="A27" s="266">
        <v>1700.0</v>
      </c>
      <c r="B27" s="266"/>
      <c r="C27" s="266">
        <v>5.0</v>
      </c>
      <c r="D27" s="266" t="s">
        <v>6328</v>
      </c>
      <c r="E27" s="266"/>
      <c r="F27" s="266"/>
      <c r="G27" s="266"/>
      <c r="H27" s="266"/>
      <c r="I27" s="266"/>
      <c r="J27" s="267"/>
    </row>
    <row r="28">
      <c r="A28" s="266">
        <v>1800.0</v>
      </c>
      <c r="B28" s="266"/>
      <c r="C28" s="266">
        <v>10.0</v>
      </c>
      <c r="D28" s="266" t="s">
        <v>6329</v>
      </c>
      <c r="E28" s="266"/>
      <c r="F28" s="266"/>
      <c r="G28" s="266"/>
      <c r="H28" s="266"/>
      <c r="I28" s="266"/>
      <c r="J28" s="267"/>
    </row>
    <row r="29">
      <c r="A29" s="266">
        <v>1900.0</v>
      </c>
      <c r="B29" s="266"/>
      <c r="C29" s="266">
        <v>15.0</v>
      </c>
      <c r="D29" s="266" t="s">
        <v>6330</v>
      </c>
      <c r="E29" s="266"/>
      <c r="F29" s="266"/>
      <c r="G29" s="266" t="s">
        <v>6304</v>
      </c>
      <c r="H29" s="266" t="s">
        <v>6331</v>
      </c>
      <c r="I29" s="266"/>
      <c r="J29" s="266"/>
      <c r="K29" s="1"/>
      <c r="L29" s="1"/>
    </row>
    <row r="30">
      <c r="A30" s="266">
        <v>2000.0</v>
      </c>
      <c r="B30" s="266"/>
      <c r="C30" s="266">
        <v>15.0</v>
      </c>
      <c r="D30" s="266" t="s">
        <v>6332</v>
      </c>
      <c r="E30" s="266"/>
      <c r="F30" s="266"/>
      <c r="G30" s="266" t="s">
        <v>6304</v>
      </c>
      <c r="H30" s="266" t="s">
        <v>6331</v>
      </c>
      <c r="I30" s="266"/>
      <c r="J30" s="266"/>
      <c r="K30" s="1"/>
      <c r="L30" s="1"/>
    </row>
    <row r="31">
      <c r="A31" s="266">
        <v>2100.0</v>
      </c>
      <c r="B31" s="266"/>
      <c r="C31" s="266">
        <v>10.0</v>
      </c>
      <c r="D31" s="266" t="s">
        <v>6333</v>
      </c>
      <c r="E31" s="266"/>
      <c r="F31" s="266"/>
      <c r="G31" s="266" t="s">
        <v>6304</v>
      </c>
      <c r="H31" s="266" t="s">
        <v>6315</v>
      </c>
      <c r="I31" s="266"/>
      <c r="J31" s="266"/>
      <c r="K31" s="1"/>
      <c r="L31" s="1"/>
    </row>
    <row r="32">
      <c r="A32" s="266">
        <v>2200.0</v>
      </c>
      <c r="B32" s="266"/>
      <c r="C32" s="266">
        <v>10.0</v>
      </c>
      <c r="D32" s="266" t="s">
        <v>6334</v>
      </c>
      <c r="E32" s="266"/>
      <c r="F32" s="266"/>
      <c r="G32" s="266"/>
      <c r="H32" s="266"/>
      <c r="I32" s="266"/>
      <c r="J32" s="267"/>
    </row>
    <row r="33">
      <c r="A33" s="266">
        <v>2300.0</v>
      </c>
      <c r="B33" s="266"/>
      <c r="C33" s="266">
        <v>15.0</v>
      </c>
      <c r="D33" s="266" t="s">
        <v>6335</v>
      </c>
      <c r="E33" s="266"/>
      <c r="F33" s="266"/>
      <c r="G33" s="266" t="s">
        <v>6304</v>
      </c>
      <c r="H33" s="266" t="s">
        <v>6336</v>
      </c>
      <c r="I33" s="266"/>
      <c r="J33" s="266"/>
      <c r="K33" s="1"/>
      <c r="L33" s="1"/>
    </row>
    <row r="34">
      <c r="A34" s="266">
        <v>2400.0</v>
      </c>
      <c r="B34" s="266"/>
      <c r="C34" s="266">
        <v>15.0</v>
      </c>
      <c r="D34" s="266" t="s">
        <v>6337</v>
      </c>
      <c r="E34" s="266"/>
      <c r="F34" s="266"/>
      <c r="G34" s="266" t="s">
        <v>6304</v>
      </c>
      <c r="H34" s="266" t="s">
        <v>6338</v>
      </c>
      <c r="I34" s="266"/>
      <c r="J34" s="266"/>
      <c r="K34" s="1"/>
      <c r="L34" s="1"/>
    </row>
    <row r="35">
      <c r="A35" s="266">
        <v>2500.0</v>
      </c>
      <c r="B35" s="266"/>
      <c r="C35" s="266">
        <v>5.0</v>
      </c>
      <c r="D35" s="266" t="s">
        <v>6339</v>
      </c>
      <c r="E35" s="266"/>
      <c r="F35" s="266"/>
      <c r="G35" s="266"/>
      <c r="H35" s="266"/>
      <c r="I35" s="266"/>
      <c r="J35" s="267"/>
    </row>
    <row r="36">
      <c r="A36" s="266">
        <v>2600.0</v>
      </c>
      <c r="B36" s="266"/>
      <c r="C36" s="266">
        <v>10.0</v>
      </c>
      <c r="D36" s="266" t="s">
        <v>6340</v>
      </c>
      <c r="E36" s="266"/>
      <c r="F36" s="266"/>
      <c r="G36" s="266" t="s">
        <v>6304</v>
      </c>
      <c r="H36" s="266" t="s">
        <v>6317</v>
      </c>
      <c r="I36" s="266"/>
      <c r="J36" s="266"/>
      <c r="K36" s="1"/>
      <c r="L36" s="1"/>
    </row>
    <row r="37">
      <c r="A37" s="266">
        <v>2700.0</v>
      </c>
      <c r="B37" s="266"/>
      <c r="C37" s="266">
        <v>10.0</v>
      </c>
      <c r="D37" s="266" t="s">
        <v>6341</v>
      </c>
      <c r="E37" s="266"/>
      <c r="F37" s="266"/>
      <c r="G37" s="266" t="s">
        <v>6304</v>
      </c>
      <c r="H37" s="266" t="s">
        <v>6342</v>
      </c>
      <c r="I37" s="266"/>
      <c r="J37" s="266"/>
      <c r="K37" s="1"/>
      <c r="L37" s="1"/>
    </row>
    <row r="38">
      <c r="A38" s="266">
        <v>2800.0</v>
      </c>
      <c r="B38" s="266"/>
      <c r="C38" s="266">
        <v>10.0</v>
      </c>
      <c r="D38" s="266" t="s">
        <v>6343</v>
      </c>
      <c r="E38" s="266"/>
      <c r="F38" s="266"/>
      <c r="G38" s="266" t="s">
        <v>6304</v>
      </c>
      <c r="H38" s="266" t="s">
        <v>6338</v>
      </c>
      <c r="I38" s="266"/>
      <c r="J38" s="266"/>
      <c r="K38" s="1"/>
      <c r="L38" s="1"/>
    </row>
    <row r="39">
      <c r="A39" s="266">
        <v>2900.0</v>
      </c>
      <c r="B39" s="266"/>
      <c r="C39" s="266">
        <v>5.0</v>
      </c>
      <c r="D39" s="266" t="s">
        <v>6344</v>
      </c>
      <c r="E39" s="266"/>
      <c r="F39" s="266"/>
      <c r="G39" s="266"/>
      <c r="H39" s="266"/>
      <c r="I39" s="266"/>
      <c r="J39" s="267"/>
    </row>
    <row r="40">
      <c r="A40" s="266">
        <v>3000.0</v>
      </c>
      <c r="B40" s="266"/>
      <c r="C40" s="266">
        <v>10.0</v>
      </c>
      <c r="D40" s="266" t="s">
        <v>6345</v>
      </c>
      <c r="E40" s="266"/>
      <c r="F40" s="266"/>
      <c r="G40" s="266" t="s">
        <v>6304</v>
      </c>
      <c r="H40" s="266" t="s">
        <v>6317</v>
      </c>
      <c r="I40" s="266"/>
      <c r="J40" s="266"/>
      <c r="K40" s="1"/>
      <c r="L40" s="1"/>
    </row>
    <row r="41">
      <c r="A41" s="266">
        <v>3100.0</v>
      </c>
      <c r="B41" s="266"/>
      <c r="C41" s="266">
        <v>10.0</v>
      </c>
      <c r="D41" s="266" t="s">
        <v>6346</v>
      </c>
      <c r="E41" s="266"/>
      <c r="F41" s="266"/>
      <c r="G41" s="266" t="s">
        <v>6304</v>
      </c>
      <c r="H41" s="266" t="s">
        <v>6342</v>
      </c>
      <c r="I41" s="266"/>
      <c r="J41" s="266"/>
      <c r="K41" s="1"/>
      <c r="L41" s="1"/>
    </row>
    <row r="42">
      <c r="A42" s="266">
        <v>3200.0</v>
      </c>
      <c r="B42" s="266"/>
      <c r="C42" s="266">
        <v>5.0</v>
      </c>
      <c r="D42" s="266" t="s">
        <v>6347</v>
      </c>
      <c r="E42" s="266"/>
      <c r="F42" s="266"/>
      <c r="G42" s="266" t="s">
        <v>6304</v>
      </c>
      <c r="H42" s="266" t="s">
        <v>6348</v>
      </c>
      <c r="I42" s="266"/>
      <c r="J42" s="266"/>
      <c r="K42" s="1"/>
      <c r="L42" s="1"/>
    </row>
    <row r="43">
      <c r="A43" s="266">
        <v>3300.0</v>
      </c>
      <c r="B43" s="266"/>
      <c r="C43" s="266">
        <v>5.0</v>
      </c>
      <c r="D43" s="266" t="s">
        <v>6349</v>
      </c>
      <c r="E43" s="266"/>
      <c r="F43" s="266"/>
      <c r="G43" s="266"/>
      <c r="H43" s="266"/>
      <c r="I43" s="266"/>
      <c r="J43" s="267"/>
    </row>
    <row r="44">
      <c r="A44" s="266">
        <v>3400.0</v>
      </c>
      <c r="B44" s="266"/>
      <c r="C44" s="266">
        <v>10.0</v>
      </c>
      <c r="D44" s="266" t="s">
        <v>6350</v>
      </c>
      <c r="E44" s="266"/>
      <c r="F44" s="266"/>
      <c r="G44" s="266" t="s">
        <v>6304</v>
      </c>
      <c r="H44" s="266" t="s">
        <v>5275</v>
      </c>
      <c r="I44" s="266"/>
      <c r="J44" s="266"/>
      <c r="K44" s="1"/>
      <c r="L44" s="1"/>
    </row>
    <row r="45">
      <c r="A45" s="266">
        <v>3500.0</v>
      </c>
      <c r="B45" s="266"/>
      <c r="C45" s="266">
        <v>10.0</v>
      </c>
      <c r="D45" s="266" t="s">
        <v>6351</v>
      </c>
      <c r="E45" s="266"/>
      <c r="F45" s="266"/>
      <c r="G45" s="266" t="s">
        <v>6304</v>
      </c>
      <c r="H45" s="266" t="s">
        <v>6322</v>
      </c>
      <c r="I45" s="266"/>
      <c r="J45" s="266"/>
      <c r="K45" s="1"/>
      <c r="L45" s="1"/>
    </row>
    <row r="46">
      <c r="A46" s="266">
        <v>3600.0</v>
      </c>
      <c r="B46" s="266"/>
      <c r="C46" s="266">
        <v>5.0</v>
      </c>
      <c r="D46" s="266" t="s">
        <v>6352</v>
      </c>
      <c r="E46" s="266"/>
      <c r="F46" s="266"/>
      <c r="G46" s="266"/>
      <c r="H46" s="266"/>
      <c r="I46" s="266"/>
      <c r="J46" s="267"/>
    </row>
    <row r="47">
      <c r="A47" s="266">
        <v>3700.0</v>
      </c>
      <c r="B47" s="266"/>
      <c r="C47" s="266">
        <v>10.0</v>
      </c>
      <c r="D47" s="266" t="s">
        <v>6353</v>
      </c>
      <c r="E47" s="266"/>
      <c r="F47" s="266"/>
      <c r="G47" s="266"/>
      <c r="H47" s="266"/>
      <c r="I47" s="266"/>
      <c r="J47" s="267"/>
    </row>
    <row r="48">
      <c r="A48" s="266">
        <v>3800.0</v>
      </c>
      <c r="B48" s="266"/>
      <c r="C48" s="266">
        <v>15.0</v>
      </c>
      <c r="D48" s="266" t="s">
        <v>6354</v>
      </c>
      <c r="E48" s="266"/>
      <c r="F48" s="266"/>
      <c r="G48" s="266" t="s">
        <v>6304</v>
      </c>
      <c r="H48" s="266" t="s">
        <v>6331</v>
      </c>
      <c r="I48" s="266"/>
      <c r="J48" s="266"/>
      <c r="K48" s="1"/>
      <c r="L48" s="1"/>
    </row>
    <row r="49">
      <c r="A49" s="266">
        <v>3900.0</v>
      </c>
      <c r="B49" s="266"/>
      <c r="C49" s="266">
        <v>15.0</v>
      </c>
      <c r="D49" s="266" t="s">
        <v>6355</v>
      </c>
      <c r="E49" s="266"/>
      <c r="F49" s="266"/>
      <c r="G49" s="266" t="s">
        <v>6304</v>
      </c>
      <c r="H49" s="266" t="s">
        <v>6331</v>
      </c>
      <c r="I49" s="266"/>
      <c r="J49" s="266"/>
      <c r="K49" s="1"/>
      <c r="L49" s="1"/>
    </row>
    <row r="50">
      <c r="A50" s="266">
        <v>4000.0</v>
      </c>
      <c r="B50" s="266"/>
      <c r="C50" s="266">
        <v>10.0</v>
      </c>
      <c r="D50" s="266" t="s">
        <v>6356</v>
      </c>
      <c r="E50" s="266"/>
      <c r="F50" s="266"/>
      <c r="G50" s="266" t="s">
        <v>6304</v>
      </c>
      <c r="H50" s="266" t="s">
        <v>3794</v>
      </c>
      <c r="I50" s="266"/>
      <c r="J50" s="266"/>
      <c r="K50" s="1"/>
      <c r="L50" s="1"/>
    </row>
    <row r="51">
      <c r="A51" s="266">
        <v>4100.0</v>
      </c>
      <c r="B51" s="266"/>
      <c r="C51" s="266">
        <v>10.0</v>
      </c>
      <c r="D51" s="266" t="s">
        <v>6357</v>
      </c>
      <c r="E51" s="266"/>
      <c r="F51" s="266"/>
      <c r="G51" s="266"/>
      <c r="H51" s="266"/>
      <c r="I51" s="266"/>
      <c r="J51" s="267"/>
    </row>
    <row r="52">
      <c r="A52" s="266">
        <v>4200.0</v>
      </c>
      <c r="B52" s="266"/>
      <c r="C52" s="266">
        <v>15.0</v>
      </c>
      <c r="D52" s="266" t="s">
        <v>6358</v>
      </c>
      <c r="E52" s="266"/>
      <c r="F52" s="266"/>
      <c r="G52" s="266" t="s">
        <v>6304</v>
      </c>
      <c r="H52" s="266" t="s">
        <v>6336</v>
      </c>
      <c r="I52" s="266"/>
      <c r="J52" s="266"/>
      <c r="K52" s="1"/>
      <c r="L52" s="1"/>
    </row>
    <row r="53">
      <c r="A53" s="266">
        <v>4300.0</v>
      </c>
      <c r="B53" s="266"/>
      <c r="C53" s="266">
        <v>15.0</v>
      </c>
      <c r="D53" s="266" t="s">
        <v>6359</v>
      </c>
      <c r="E53" s="266"/>
      <c r="F53" s="266"/>
      <c r="G53" s="266" t="s">
        <v>6304</v>
      </c>
      <c r="H53" s="266" t="s">
        <v>6338</v>
      </c>
      <c r="I53" s="266"/>
      <c r="J53" s="266"/>
      <c r="K53" s="1"/>
      <c r="L53" s="1"/>
    </row>
    <row r="54">
      <c r="A54" s="266">
        <v>4400.0</v>
      </c>
      <c r="B54" s="266"/>
      <c r="C54" s="266">
        <v>5.0</v>
      </c>
      <c r="D54" s="266" t="s">
        <v>6360</v>
      </c>
      <c r="E54" s="266"/>
      <c r="F54" s="266"/>
      <c r="G54" s="266"/>
      <c r="H54" s="266"/>
      <c r="I54" s="266"/>
      <c r="J54" s="267"/>
    </row>
    <row r="55">
      <c r="A55" s="266">
        <v>4500.0</v>
      </c>
      <c r="B55" s="266"/>
      <c r="C55" s="266">
        <v>10.0</v>
      </c>
      <c r="D55" s="266" t="s">
        <v>6361</v>
      </c>
      <c r="E55" s="266"/>
      <c r="F55" s="266"/>
      <c r="G55" s="266" t="s">
        <v>6304</v>
      </c>
      <c r="H55" s="266" t="s">
        <v>6317</v>
      </c>
      <c r="I55" s="266"/>
      <c r="J55" s="266"/>
      <c r="K55" s="1"/>
      <c r="L55" s="1"/>
    </row>
    <row r="56">
      <c r="A56" s="266">
        <v>4600.0</v>
      </c>
      <c r="B56" s="266"/>
      <c r="C56" s="266">
        <v>10.0</v>
      </c>
      <c r="D56" s="266" t="s">
        <v>6362</v>
      </c>
      <c r="E56" s="266"/>
      <c r="F56" s="266"/>
      <c r="G56" s="266" t="s">
        <v>6304</v>
      </c>
      <c r="H56" s="266" t="s">
        <v>6342</v>
      </c>
      <c r="I56" s="266"/>
      <c r="J56" s="266"/>
      <c r="K56" s="1"/>
      <c r="L56" s="1"/>
    </row>
    <row r="57">
      <c r="A57" s="266">
        <v>4700.0</v>
      </c>
      <c r="B57" s="266"/>
      <c r="C57" s="266">
        <v>10.0</v>
      </c>
      <c r="D57" s="266" t="s">
        <v>6363</v>
      </c>
      <c r="E57" s="266"/>
      <c r="F57" s="266"/>
      <c r="G57" s="266" t="s">
        <v>6304</v>
      </c>
      <c r="H57" s="266" t="s">
        <v>6338</v>
      </c>
      <c r="I57" s="266"/>
      <c r="J57" s="266"/>
      <c r="K57" s="1"/>
      <c r="L57" s="1"/>
    </row>
    <row r="58">
      <c r="A58" s="266">
        <v>4800.0</v>
      </c>
      <c r="B58" s="266"/>
      <c r="C58" s="266">
        <v>5.0</v>
      </c>
      <c r="D58" s="266" t="s">
        <v>6364</v>
      </c>
      <c r="E58" s="266"/>
      <c r="F58" s="266"/>
      <c r="G58" s="266"/>
      <c r="H58" s="266"/>
      <c r="I58" s="266"/>
      <c r="J58" s="267"/>
    </row>
    <row r="59">
      <c r="A59" s="266">
        <v>4900.0</v>
      </c>
      <c r="B59" s="266"/>
      <c r="C59" s="266">
        <v>10.0</v>
      </c>
      <c r="D59" s="266" t="s">
        <v>6365</v>
      </c>
      <c r="E59" s="266"/>
      <c r="F59" s="266"/>
      <c r="G59" s="266" t="s">
        <v>6304</v>
      </c>
      <c r="H59" s="266" t="s">
        <v>17</v>
      </c>
      <c r="I59" s="266"/>
      <c r="J59" s="266"/>
      <c r="K59" s="1"/>
      <c r="L59" s="1"/>
    </row>
    <row r="60">
      <c r="A60" s="266">
        <v>5000.0</v>
      </c>
      <c r="B60" s="266"/>
      <c r="C60" s="266">
        <v>10.0</v>
      </c>
      <c r="D60" s="266" t="s">
        <v>6366</v>
      </c>
      <c r="E60" s="266"/>
      <c r="F60" s="266"/>
      <c r="G60" s="266" t="s">
        <v>6304</v>
      </c>
      <c r="H60" s="266" t="s">
        <v>17</v>
      </c>
      <c r="I60" s="266"/>
      <c r="J60" s="266"/>
      <c r="K60" s="1"/>
      <c r="L60" s="1"/>
    </row>
    <row r="61">
      <c r="A61" s="266">
        <v>5100.0</v>
      </c>
      <c r="B61" s="266"/>
      <c r="C61" s="266">
        <v>10.0</v>
      </c>
      <c r="D61" s="266" t="s">
        <v>6367</v>
      </c>
      <c r="E61" s="266"/>
      <c r="F61" s="266"/>
      <c r="G61" s="266" t="s">
        <v>6304</v>
      </c>
      <c r="H61" s="266" t="s">
        <v>17</v>
      </c>
      <c r="I61" s="266"/>
      <c r="J61" s="266"/>
      <c r="K61" s="1"/>
      <c r="L61" s="1"/>
    </row>
    <row r="62">
      <c r="A62" s="266">
        <v>5200.0</v>
      </c>
      <c r="B62" s="266"/>
      <c r="C62" s="266">
        <v>10.0</v>
      </c>
      <c r="D62" s="266" t="s">
        <v>6368</v>
      </c>
      <c r="E62" s="266"/>
      <c r="F62" s="266"/>
      <c r="G62" s="266" t="s">
        <v>6304</v>
      </c>
      <c r="H62" s="266" t="s">
        <v>17</v>
      </c>
      <c r="I62" s="266"/>
      <c r="J62" s="266"/>
      <c r="K62" s="1"/>
      <c r="L62" s="1"/>
    </row>
    <row r="63">
      <c r="A63" s="266">
        <v>5300.0</v>
      </c>
      <c r="B63" s="266"/>
      <c r="C63" s="266">
        <v>5.0</v>
      </c>
      <c r="D63" s="266" t="s">
        <v>6369</v>
      </c>
      <c r="E63" s="266"/>
      <c r="F63" s="266"/>
      <c r="G63" s="266"/>
      <c r="H63" s="266"/>
      <c r="I63" s="266"/>
      <c r="J63" s="267"/>
    </row>
    <row r="64">
      <c r="A64" s="266">
        <v>5400.0</v>
      </c>
      <c r="B64" s="266"/>
      <c r="C64" s="266">
        <v>10.0</v>
      </c>
      <c r="D64" s="266" t="s">
        <v>6370</v>
      </c>
      <c r="E64" s="266"/>
      <c r="F64" s="266"/>
      <c r="G64" s="266" t="s">
        <v>6304</v>
      </c>
      <c r="H64" s="266" t="s">
        <v>5275</v>
      </c>
      <c r="I64" s="266"/>
      <c r="J64" s="266"/>
      <c r="K64" s="1"/>
      <c r="L64" s="1"/>
    </row>
    <row r="65">
      <c r="A65" s="266">
        <v>5500.0</v>
      </c>
      <c r="B65" s="266"/>
      <c r="C65" s="266">
        <v>10.0</v>
      </c>
      <c r="D65" s="266" t="s">
        <v>6371</v>
      </c>
      <c r="E65" s="266"/>
      <c r="F65" s="266"/>
      <c r="G65" s="266" t="s">
        <v>6304</v>
      </c>
      <c r="H65" s="266" t="s">
        <v>6322</v>
      </c>
      <c r="I65" s="266"/>
      <c r="J65" s="266"/>
      <c r="K65" s="1"/>
      <c r="L65" s="1"/>
    </row>
    <row r="66">
      <c r="A66" s="266">
        <v>5600.0</v>
      </c>
      <c r="B66" s="266"/>
      <c r="C66" s="266">
        <v>10.0</v>
      </c>
      <c r="D66" s="266" t="s">
        <v>6372</v>
      </c>
      <c r="E66" s="266"/>
      <c r="F66" s="266"/>
      <c r="G66" s="266" t="s">
        <v>6304</v>
      </c>
      <c r="H66" s="266" t="s">
        <v>559</v>
      </c>
      <c r="I66" s="266"/>
      <c r="J66" s="266"/>
      <c r="K66" s="1"/>
      <c r="L66" s="1"/>
    </row>
    <row r="67">
      <c r="A67" s="266">
        <v>5700.0</v>
      </c>
      <c r="B67" s="266"/>
      <c r="C67" s="266">
        <v>5.0</v>
      </c>
      <c r="D67" s="266" t="s">
        <v>6373</v>
      </c>
      <c r="E67" s="266"/>
      <c r="F67" s="266"/>
      <c r="G67" s="266"/>
      <c r="H67" s="266"/>
      <c r="I67" s="266"/>
      <c r="J67" s="267"/>
    </row>
    <row r="68">
      <c r="A68" s="266">
        <v>5800.0</v>
      </c>
      <c r="B68" s="266"/>
      <c r="C68" s="266">
        <v>10.0</v>
      </c>
      <c r="D68" s="266" t="s">
        <v>6374</v>
      </c>
      <c r="E68" s="266"/>
      <c r="F68" s="266"/>
      <c r="G68" s="266"/>
      <c r="H68" s="266"/>
      <c r="I68" s="266"/>
      <c r="J68" s="267"/>
    </row>
    <row r="69">
      <c r="A69" s="266">
        <v>5900.0</v>
      </c>
      <c r="B69" s="266"/>
      <c r="C69" s="266">
        <v>15.0</v>
      </c>
      <c r="D69" s="266" t="s">
        <v>6375</v>
      </c>
      <c r="E69" s="266"/>
      <c r="F69" s="266"/>
      <c r="G69" s="266" t="s">
        <v>6304</v>
      </c>
      <c r="H69" s="266" t="s">
        <v>6331</v>
      </c>
      <c r="I69" s="266"/>
      <c r="J69" s="266"/>
      <c r="K69" s="1"/>
      <c r="L69" s="1"/>
    </row>
    <row r="70">
      <c r="A70" s="266">
        <v>6000.0</v>
      </c>
      <c r="B70" s="266"/>
      <c r="C70" s="266">
        <v>15.0</v>
      </c>
      <c r="D70" s="266" t="s">
        <v>6376</v>
      </c>
      <c r="E70" s="266"/>
      <c r="F70" s="266"/>
      <c r="G70" s="266" t="s">
        <v>6304</v>
      </c>
      <c r="H70" s="266" t="s">
        <v>6331</v>
      </c>
      <c r="I70" s="266"/>
      <c r="J70" s="266"/>
      <c r="K70" s="1"/>
      <c r="L70" s="1"/>
    </row>
    <row r="71">
      <c r="A71" s="266">
        <v>6100.0</v>
      </c>
      <c r="B71" s="266"/>
      <c r="C71" s="266">
        <v>10.0</v>
      </c>
      <c r="D71" s="266" t="s">
        <v>6377</v>
      </c>
      <c r="E71" s="266"/>
      <c r="F71" s="266"/>
      <c r="G71" s="266" t="s">
        <v>6304</v>
      </c>
      <c r="H71" s="266" t="s">
        <v>6315</v>
      </c>
      <c r="I71" s="266"/>
      <c r="J71" s="266"/>
      <c r="K71" s="1"/>
      <c r="L71" s="1"/>
    </row>
    <row r="72">
      <c r="A72" s="266">
        <v>6200.0</v>
      </c>
      <c r="B72" s="266"/>
      <c r="C72" s="266">
        <v>10.0</v>
      </c>
      <c r="D72" s="266" t="s">
        <v>6378</v>
      </c>
      <c r="E72" s="266"/>
      <c r="F72" s="266"/>
      <c r="G72" s="266"/>
      <c r="H72" s="266"/>
      <c r="I72" s="266"/>
      <c r="J72" s="267"/>
    </row>
    <row r="73">
      <c r="A73" s="266">
        <v>6300.0</v>
      </c>
      <c r="B73" s="266"/>
      <c r="C73" s="266">
        <v>15.0</v>
      </c>
      <c r="D73" s="266" t="s">
        <v>6379</v>
      </c>
      <c r="E73" s="266"/>
      <c r="F73" s="266"/>
      <c r="G73" s="266" t="s">
        <v>6304</v>
      </c>
      <c r="H73" s="266" t="s">
        <v>6336</v>
      </c>
      <c r="I73" s="266"/>
      <c r="J73" s="266"/>
      <c r="K73" s="1"/>
      <c r="L73" s="1"/>
    </row>
    <row r="74">
      <c r="A74" s="266">
        <v>6400.0</v>
      </c>
      <c r="B74" s="266"/>
      <c r="C74" s="266">
        <v>15.0</v>
      </c>
      <c r="D74" s="266" t="s">
        <v>6380</v>
      </c>
      <c r="E74" s="266"/>
      <c r="F74" s="266"/>
      <c r="G74" s="266" t="s">
        <v>6304</v>
      </c>
      <c r="H74" s="266" t="s">
        <v>6338</v>
      </c>
      <c r="I74" s="266"/>
      <c r="J74" s="266"/>
      <c r="K74" s="1"/>
      <c r="L74" s="1"/>
    </row>
    <row r="75">
      <c r="A75" s="266">
        <v>6500.0</v>
      </c>
      <c r="B75" s="266"/>
      <c r="C75" s="266">
        <v>5.0</v>
      </c>
      <c r="D75" s="266" t="s">
        <v>6381</v>
      </c>
      <c r="E75" s="266"/>
      <c r="F75" s="266"/>
      <c r="G75" s="266"/>
      <c r="H75" s="266"/>
      <c r="I75" s="266"/>
      <c r="J75" s="267"/>
    </row>
    <row r="76">
      <c r="A76" s="266">
        <v>6600.0</v>
      </c>
      <c r="B76" s="266"/>
      <c r="C76" s="266">
        <v>10.0</v>
      </c>
      <c r="D76" s="266" t="s">
        <v>6382</v>
      </c>
      <c r="E76" s="266"/>
      <c r="F76" s="266"/>
      <c r="G76" s="266" t="s">
        <v>6304</v>
      </c>
      <c r="H76" s="266" t="s">
        <v>6317</v>
      </c>
      <c r="I76" s="266"/>
      <c r="J76" s="266"/>
      <c r="K76" s="1"/>
      <c r="L76" s="1"/>
    </row>
    <row r="77">
      <c r="A77" s="266">
        <v>6700.0</v>
      </c>
      <c r="B77" s="266"/>
      <c r="C77" s="266">
        <v>10.0</v>
      </c>
      <c r="D77" s="266" t="s">
        <v>6383</v>
      </c>
      <c r="E77" s="266"/>
      <c r="F77" s="266"/>
      <c r="G77" s="266" t="s">
        <v>6304</v>
      </c>
      <c r="H77" s="266" t="s">
        <v>6342</v>
      </c>
      <c r="I77" s="266"/>
      <c r="J77" s="266"/>
      <c r="K77" s="1"/>
      <c r="L77" s="1"/>
    </row>
    <row r="78">
      <c r="A78" s="266">
        <v>6800.0</v>
      </c>
      <c r="B78" s="266"/>
      <c r="C78" s="266">
        <v>10.0</v>
      </c>
      <c r="D78" s="266" t="s">
        <v>6384</v>
      </c>
      <c r="E78" s="266"/>
      <c r="F78" s="266"/>
      <c r="G78" s="266" t="s">
        <v>6304</v>
      </c>
      <c r="H78" s="266" t="s">
        <v>6338</v>
      </c>
      <c r="I78" s="266"/>
      <c r="J78" s="266"/>
      <c r="K78" s="1"/>
      <c r="L78" s="1"/>
    </row>
    <row r="79">
      <c r="A79" s="266">
        <v>6900.0</v>
      </c>
      <c r="B79" s="266"/>
      <c r="C79" s="266">
        <v>5.0</v>
      </c>
      <c r="D79" s="266" t="s">
        <v>6385</v>
      </c>
      <c r="E79" s="266"/>
      <c r="F79" s="266"/>
      <c r="G79" s="266"/>
      <c r="H79" s="266"/>
      <c r="I79" s="266"/>
      <c r="J79" s="267"/>
    </row>
    <row r="80">
      <c r="A80" s="266">
        <v>7000.0</v>
      </c>
      <c r="B80" s="266"/>
      <c r="C80" s="266">
        <v>10.0</v>
      </c>
      <c r="D80" s="266" t="s">
        <v>6386</v>
      </c>
      <c r="E80" s="266"/>
      <c r="F80" s="266"/>
      <c r="G80" s="266" t="s">
        <v>6304</v>
      </c>
      <c r="H80" s="266" t="s">
        <v>5275</v>
      </c>
      <c r="I80" s="266"/>
      <c r="J80" s="266"/>
      <c r="K80" s="1"/>
      <c r="L80" s="1"/>
    </row>
    <row r="81">
      <c r="A81" s="266">
        <v>7100.0</v>
      </c>
      <c r="B81" s="266"/>
      <c r="C81" s="266">
        <v>10.0</v>
      </c>
      <c r="D81" s="266" t="s">
        <v>6387</v>
      </c>
      <c r="E81" s="266"/>
      <c r="F81" s="266"/>
      <c r="G81" s="266" t="s">
        <v>6304</v>
      </c>
      <c r="H81" s="266" t="s">
        <v>6322</v>
      </c>
      <c r="I81" s="266"/>
      <c r="J81" s="266"/>
      <c r="K81" s="1"/>
      <c r="L81" s="1"/>
    </row>
    <row r="82">
      <c r="A82" s="266">
        <v>7200.0</v>
      </c>
      <c r="B82" s="266"/>
      <c r="C82" s="266">
        <v>10.0</v>
      </c>
      <c r="D82" s="266" t="s">
        <v>6388</v>
      </c>
      <c r="E82" s="266"/>
      <c r="F82" s="266"/>
      <c r="G82" s="266" t="s">
        <v>6304</v>
      </c>
      <c r="H82" s="266" t="s">
        <v>559</v>
      </c>
      <c r="I82" s="266"/>
      <c r="J82" s="266"/>
      <c r="K82" s="1"/>
      <c r="L82" s="1"/>
    </row>
    <row r="83">
      <c r="A83" s="266">
        <v>7300.0</v>
      </c>
      <c r="B83" s="266"/>
      <c r="C83" s="266">
        <v>5.0</v>
      </c>
      <c r="D83" s="266" t="s">
        <v>6389</v>
      </c>
      <c r="E83" s="266"/>
      <c r="F83" s="266"/>
      <c r="G83" s="266" t="s">
        <v>6304</v>
      </c>
      <c r="H83" s="266" t="s">
        <v>6390</v>
      </c>
      <c r="I83" s="266"/>
      <c r="J83" s="266"/>
      <c r="K83" s="1"/>
      <c r="L83" s="1"/>
    </row>
    <row r="84">
      <c r="A84" s="266">
        <v>7400.0</v>
      </c>
      <c r="B84" s="266"/>
      <c r="C84" s="266">
        <v>5.0</v>
      </c>
      <c r="D84" s="266" t="s">
        <v>6391</v>
      </c>
      <c r="E84" s="266"/>
      <c r="F84" s="266"/>
      <c r="G84" s="266"/>
      <c r="H84" s="266"/>
      <c r="I84" s="266"/>
      <c r="J84" s="267"/>
    </row>
    <row r="85">
      <c r="A85" s="266">
        <v>7500.0</v>
      </c>
      <c r="B85" s="266"/>
      <c r="C85" s="266">
        <v>10.0</v>
      </c>
      <c r="D85" s="266" t="s">
        <v>6392</v>
      </c>
      <c r="E85" s="266"/>
      <c r="F85" s="266"/>
      <c r="G85" s="266"/>
      <c r="H85" s="266"/>
      <c r="I85" s="266"/>
      <c r="J85" s="267"/>
    </row>
    <row r="86">
      <c r="A86" s="266">
        <v>7600.0</v>
      </c>
      <c r="B86" s="266"/>
      <c r="C86" s="266">
        <v>15.0</v>
      </c>
      <c r="D86" s="266" t="s">
        <v>6393</v>
      </c>
      <c r="E86" s="266"/>
      <c r="F86" s="266"/>
      <c r="G86" s="266" t="s">
        <v>6304</v>
      </c>
      <c r="H86" s="266" t="s">
        <v>6331</v>
      </c>
      <c r="I86" s="266"/>
      <c r="J86" s="266"/>
      <c r="K86" s="1"/>
      <c r="L86" s="1"/>
    </row>
    <row r="87">
      <c r="A87" s="266">
        <v>7700.0</v>
      </c>
      <c r="B87" s="266"/>
      <c r="C87" s="266">
        <v>15.0</v>
      </c>
      <c r="D87" s="266" t="s">
        <v>6394</v>
      </c>
      <c r="E87" s="266"/>
      <c r="F87" s="266"/>
      <c r="G87" s="266" t="s">
        <v>6304</v>
      </c>
      <c r="H87" s="266" t="s">
        <v>6331</v>
      </c>
      <c r="I87" s="266"/>
      <c r="J87" s="266"/>
      <c r="K87" s="1"/>
      <c r="L87" s="1"/>
    </row>
    <row r="88">
      <c r="A88" s="266">
        <v>7800.0</v>
      </c>
      <c r="B88" s="266"/>
      <c r="C88" s="266">
        <v>10.0</v>
      </c>
      <c r="D88" s="266" t="s">
        <v>6395</v>
      </c>
      <c r="E88" s="266"/>
      <c r="F88" s="266"/>
      <c r="G88" s="266" t="s">
        <v>6304</v>
      </c>
      <c r="H88" s="266" t="s">
        <v>6315</v>
      </c>
      <c r="I88" s="266"/>
      <c r="J88" s="266"/>
      <c r="K88" s="1"/>
      <c r="L88" s="1"/>
    </row>
    <row r="89">
      <c r="A89" s="266">
        <v>7900.0</v>
      </c>
      <c r="B89" s="266"/>
      <c r="C89" s="266">
        <v>10.0</v>
      </c>
      <c r="D89" s="266" t="s">
        <v>6396</v>
      </c>
      <c r="E89" s="266"/>
      <c r="F89" s="266"/>
      <c r="G89" s="266"/>
      <c r="H89" s="266"/>
      <c r="I89" s="266"/>
      <c r="J89" s="267"/>
    </row>
    <row r="90">
      <c r="A90" s="266">
        <v>8000.0</v>
      </c>
      <c r="B90" s="266"/>
      <c r="C90" s="266">
        <v>15.0</v>
      </c>
      <c r="D90" s="266" t="s">
        <v>6397</v>
      </c>
      <c r="E90" s="266"/>
      <c r="F90" s="266"/>
      <c r="G90" s="266" t="s">
        <v>6304</v>
      </c>
      <c r="H90" s="266" t="s">
        <v>6336</v>
      </c>
      <c r="I90" s="266"/>
      <c r="J90" s="266"/>
      <c r="K90" s="1"/>
      <c r="L90" s="1"/>
    </row>
    <row r="91">
      <c r="A91" s="266">
        <v>8100.0</v>
      </c>
      <c r="B91" s="266"/>
      <c r="C91" s="266">
        <v>15.0</v>
      </c>
      <c r="D91" s="266" t="s">
        <v>6398</v>
      </c>
      <c r="E91" s="266"/>
      <c r="F91" s="266"/>
      <c r="G91" s="266" t="s">
        <v>6304</v>
      </c>
      <c r="H91" s="266" t="s">
        <v>6338</v>
      </c>
      <c r="I91" s="266"/>
      <c r="J91" s="266"/>
      <c r="K91" s="1"/>
      <c r="L91" s="1"/>
    </row>
    <row r="92">
      <c r="A92" s="266">
        <v>8200.0</v>
      </c>
      <c r="B92" s="266"/>
      <c r="C92" s="266">
        <v>5.0</v>
      </c>
      <c r="D92" s="266" t="s">
        <v>6399</v>
      </c>
      <c r="E92" s="266"/>
      <c r="F92" s="266"/>
      <c r="G92" s="266"/>
      <c r="H92" s="266"/>
      <c r="I92" s="266"/>
      <c r="J92" s="267"/>
    </row>
    <row r="93">
      <c r="A93" s="266">
        <v>8300.0</v>
      </c>
      <c r="B93" s="266"/>
      <c r="C93" s="266">
        <v>10.0</v>
      </c>
      <c r="D93" s="266" t="s">
        <v>6400</v>
      </c>
      <c r="E93" s="266"/>
      <c r="F93" s="266"/>
      <c r="G93" s="266" t="s">
        <v>6304</v>
      </c>
      <c r="H93" s="266" t="s">
        <v>6317</v>
      </c>
      <c r="I93" s="266"/>
      <c r="J93" s="266"/>
      <c r="K93" s="1"/>
      <c r="L93" s="1"/>
    </row>
    <row r="94">
      <c r="A94" s="266">
        <v>8400.0</v>
      </c>
      <c r="B94" s="266"/>
      <c r="C94" s="266">
        <v>10.0</v>
      </c>
      <c r="D94" s="266" t="s">
        <v>6401</v>
      </c>
      <c r="E94" s="266"/>
      <c r="F94" s="266"/>
      <c r="G94" s="266" t="s">
        <v>6304</v>
      </c>
      <c r="H94" s="266" t="s">
        <v>6342</v>
      </c>
      <c r="I94" s="266"/>
      <c r="J94" s="266"/>
      <c r="K94" s="1"/>
      <c r="L94" s="1"/>
    </row>
    <row r="95">
      <c r="A95" s="266">
        <v>8500.0</v>
      </c>
      <c r="B95" s="266"/>
      <c r="C95" s="266">
        <v>10.0</v>
      </c>
      <c r="D95" s="266" t="s">
        <v>6402</v>
      </c>
      <c r="E95" s="266"/>
      <c r="F95" s="266"/>
      <c r="G95" s="266" t="s">
        <v>6304</v>
      </c>
      <c r="H95" s="266" t="s">
        <v>6338</v>
      </c>
      <c r="I95" s="266"/>
      <c r="J95" s="266"/>
      <c r="K95" s="1"/>
      <c r="L95" s="1"/>
    </row>
    <row r="96">
      <c r="A96" s="266">
        <v>8600.0</v>
      </c>
      <c r="B96" s="266"/>
      <c r="C96" s="266">
        <v>5.0</v>
      </c>
      <c r="D96" s="266" t="s">
        <v>6403</v>
      </c>
      <c r="E96" s="266"/>
      <c r="F96" s="266"/>
      <c r="G96" s="266" t="s">
        <v>6304</v>
      </c>
      <c r="H96" s="266" t="s">
        <v>6390</v>
      </c>
      <c r="I96" s="266"/>
      <c r="J96" s="266"/>
      <c r="K96" s="1"/>
      <c r="L96" s="1"/>
    </row>
    <row r="97">
      <c r="A97" s="266">
        <v>8700.0</v>
      </c>
      <c r="B97" s="266"/>
      <c r="C97" s="266">
        <v>5.0</v>
      </c>
      <c r="D97" s="266" t="s">
        <v>6404</v>
      </c>
      <c r="E97" s="266"/>
      <c r="F97" s="266"/>
      <c r="G97" s="266" t="s">
        <v>6304</v>
      </c>
      <c r="H97" s="266" t="s">
        <v>6390</v>
      </c>
      <c r="I97" s="266"/>
      <c r="J97" s="266"/>
      <c r="K97" s="1"/>
      <c r="L97" s="1"/>
    </row>
    <row r="98">
      <c r="A98" s="266">
        <v>8800.0</v>
      </c>
      <c r="B98" s="266"/>
      <c r="C98" s="266">
        <v>5.0</v>
      </c>
      <c r="D98" s="266" t="s">
        <v>6405</v>
      </c>
      <c r="E98" s="266"/>
      <c r="F98" s="266"/>
      <c r="G98" s="266" t="s">
        <v>6304</v>
      </c>
      <c r="H98" s="266" t="s">
        <v>6390</v>
      </c>
      <c r="I98" s="266"/>
      <c r="J98" s="266"/>
      <c r="K98" s="1"/>
      <c r="L98" s="1"/>
    </row>
    <row r="99">
      <c r="A99" s="266">
        <v>8900.0</v>
      </c>
      <c r="B99" s="266"/>
      <c r="C99" s="266">
        <v>5.0</v>
      </c>
      <c r="D99" s="266" t="s">
        <v>6406</v>
      </c>
      <c r="E99" s="266"/>
      <c r="F99" s="266"/>
      <c r="G99" s="266" t="s">
        <v>6304</v>
      </c>
      <c r="H99" s="266" t="s">
        <v>6390</v>
      </c>
      <c r="I99" s="266"/>
      <c r="J99" s="266"/>
      <c r="K99" s="1"/>
      <c r="L99" s="1"/>
    </row>
    <row r="100">
      <c r="A100" s="266">
        <v>9000.0</v>
      </c>
      <c r="B100" s="266"/>
      <c r="C100" s="266">
        <v>5.0</v>
      </c>
      <c r="D100" s="266" t="s">
        <v>6407</v>
      </c>
      <c r="E100" s="266"/>
      <c r="F100" s="266"/>
      <c r="G100" s="266"/>
      <c r="H100" s="266"/>
      <c r="I100" s="266"/>
      <c r="J100" s="267"/>
    </row>
    <row r="101">
      <c r="A101" s="266">
        <v>9100.0</v>
      </c>
      <c r="B101" s="266"/>
      <c r="C101" s="266">
        <v>10.0</v>
      </c>
      <c r="D101" s="266" t="s">
        <v>6408</v>
      </c>
      <c r="E101" s="266"/>
      <c r="F101" s="266"/>
      <c r="G101" s="266" t="s">
        <v>6304</v>
      </c>
      <c r="H101" s="266" t="s">
        <v>552</v>
      </c>
      <c r="I101" s="266"/>
      <c r="J101" s="266"/>
      <c r="K101" s="1"/>
      <c r="L101" s="1"/>
    </row>
    <row r="102">
      <c r="A102" s="266">
        <v>9200.0</v>
      </c>
      <c r="B102" s="266"/>
      <c r="C102" s="266">
        <v>10.0</v>
      </c>
      <c r="D102" s="266" t="s">
        <v>6409</v>
      </c>
      <c r="E102" s="266"/>
      <c r="F102" s="266"/>
      <c r="G102" s="266" t="s">
        <v>6304</v>
      </c>
      <c r="H102" s="266" t="s">
        <v>552</v>
      </c>
      <c r="I102" s="266"/>
      <c r="J102" s="266"/>
      <c r="K102" s="1"/>
      <c r="L102" s="1"/>
    </row>
    <row r="103">
      <c r="A103" s="266">
        <v>9300.0</v>
      </c>
      <c r="B103" s="266"/>
      <c r="C103" s="266">
        <v>10.0</v>
      </c>
      <c r="D103" s="266" t="s">
        <v>6410</v>
      </c>
      <c r="E103" s="266"/>
      <c r="F103" s="266"/>
      <c r="G103" s="266" t="s">
        <v>6304</v>
      </c>
      <c r="H103" s="266" t="s">
        <v>561</v>
      </c>
      <c r="I103" s="266"/>
      <c r="J103" s="266"/>
      <c r="K103" s="1"/>
      <c r="L103" s="1"/>
    </row>
    <row r="104">
      <c r="A104" s="266">
        <v>9400.0</v>
      </c>
      <c r="B104" s="266"/>
      <c r="C104" s="266">
        <v>5.0</v>
      </c>
      <c r="D104" s="266" t="s">
        <v>6411</v>
      </c>
      <c r="E104" s="266"/>
      <c r="F104" s="266"/>
      <c r="G104" s="266" t="s">
        <v>6304</v>
      </c>
      <c r="H104" s="266" t="s">
        <v>555</v>
      </c>
      <c r="I104" s="266"/>
      <c r="J104" s="266"/>
      <c r="K104" s="1"/>
      <c r="L104" s="1"/>
    </row>
    <row r="105">
      <c r="A105" s="266">
        <v>9500.0</v>
      </c>
      <c r="B105" s="266"/>
      <c r="C105" s="266">
        <v>5.0</v>
      </c>
      <c r="D105" s="266" t="s">
        <v>6412</v>
      </c>
      <c r="E105" s="266"/>
      <c r="F105" s="266"/>
      <c r="G105" s="266" t="s">
        <v>6304</v>
      </c>
      <c r="H105" s="266" t="s">
        <v>555</v>
      </c>
      <c r="I105" s="266"/>
      <c r="J105" s="266"/>
      <c r="K105" s="1"/>
      <c r="L105" s="1"/>
    </row>
    <row r="106">
      <c r="A106" s="266">
        <v>9600.0</v>
      </c>
      <c r="B106" s="266"/>
      <c r="C106" s="266">
        <v>5.0</v>
      </c>
      <c r="D106" s="266" t="s">
        <v>6413</v>
      </c>
      <c r="E106" s="266"/>
      <c r="F106" s="266"/>
      <c r="G106" s="266" t="s">
        <v>6304</v>
      </c>
      <c r="H106" s="266" t="s">
        <v>555</v>
      </c>
      <c r="I106" s="266"/>
      <c r="J106" s="266"/>
      <c r="K106" s="1"/>
      <c r="L106" s="1"/>
    </row>
    <row r="107">
      <c r="A107" s="266">
        <v>9700.0</v>
      </c>
      <c r="B107" s="266"/>
      <c r="C107" s="266">
        <v>5.0</v>
      </c>
      <c r="D107" s="266" t="s">
        <v>6414</v>
      </c>
      <c r="E107" s="266"/>
      <c r="F107" s="266"/>
      <c r="G107" s="266" t="s">
        <v>6304</v>
      </c>
      <c r="H107" s="266" t="s">
        <v>555</v>
      </c>
      <c r="I107" s="266"/>
      <c r="J107" s="266"/>
      <c r="K107" s="1"/>
      <c r="L107" s="1"/>
    </row>
    <row r="108">
      <c r="A108" s="266">
        <v>9800.0</v>
      </c>
      <c r="B108" s="266"/>
      <c r="C108" s="266">
        <v>5.0</v>
      </c>
      <c r="D108" s="266" t="s">
        <v>6415</v>
      </c>
      <c r="E108" s="266"/>
      <c r="F108" s="266"/>
      <c r="G108" s="266" t="s">
        <v>6304</v>
      </c>
      <c r="H108" s="266" t="s">
        <v>555</v>
      </c>
      <c r="I108" s="266"/>
      <c r="J108" s="266"/>
      <c r="K108" s="1"/>
      <c r="L108" s="1"/>
    </row>
    <row r="109">
      <c r="A109" s="266">
        <v>9900.0</v>
      </c>
      <c r="B109" s="266"/>
      <c r="C109" s="266">
        <v>5.0</v>
      </c>
      <c r="D109" s="266" t="s">
        <v>6416</v>
      </c>
      <c r="E109" s="266"/>
      <c r="F109" s="266"/>
      <c r="G109" s="266" t="s">
        <v>6304</v>
      </c>
      <c r="H109" s="266" t="s">
        <v>17</v>
      </c>
      <c r="I109" s="266"/>
      <c r="J109" s="266"/>
      <c r="K109" s="1"/>
      <c r="L109" s="1"/>
    </row>
    <row r="110">
      <c r="A110" s="266">
        <v>10000.0</v>
      </c>
      <c r="B110" s="266"/>
      <c r="C110" s="266">
        <v>5.0</v>
      </c>
      <c r="D110" s="266" t="s">
        <v>6417</v>
      </c>
      <c r="E110" s="266"/>
      <c r="F110" s="266"/>
      <c r="G110" s="266" t="s">
        <v>6304</v>
      </c>
      <c r="H110" s="266" t="s">
        <v>6336</v>
      </c>
      <c r="I110" s="266"/>
      <c r="J110" s="266"/>
      <c r="K110" s="1"/>
      <c r="L110" s="1"/>
    </row>
    <row r="111">
      <c r="A111" s="266">
        <v>10100.0</v>
      </c>
      <c r="B111" s="266"/>
      <c r="C111" s="266">
        <v>5.0</v>
      </c>
      <c r="D111" s="266" t="s">
        <v>6418</v>
      </c>
      <c r="E111" s="266"/>
      <c r="F111" s="266"/>
      <c r="G111" s="266" t="s">
        <v>6304</v>
      </c>
      <c r="H111" s="266" t="s">
        <v>17</v>
      </c>
      <c r="I111" s="266"/>
      <c r="J111" s="266"/>
      <c r="K111" s="1"/>
      <c r="L111" s="1"/>
    </row>
    <row r="112">
      <c r="A112" s="266">
        <v>10200.0</v>
      </c>
      <c r="B112" s="266"/>
      <c r="C112" s="266">
        <v>5.0</v>
      </c>
      <c r="D112" s="266" t="s">
        <v>6419</v>
      </c>
      <c r="E112" s="266"/>
      <c r="F112" s="266"/>
      <c r="G112" s="266" t="s">
        <v>6304</v>
      </c>
      <c r="H112" s="266" t="s">
        <v>555</v>
      </c>
      <c r="I112" s="266"/>
      <c r="J112" s="266"/>
      <c r="K112" s="1"/>
      <c r="L112" s="1"/>
    </row>
    <row r="113">
      <c r="A113" s="266">
        <v>10300.0</v>
      </c>
      <c r="B113" s="266"/>
      <c r="C113" s="266">
        <v>5.0</v>
      </c>
      <c r="D113" s="266" t="s">
        <v>6420</v>
      </c>
      <c r="E113" s="266"/>
      <c r="F113" s="266"/>
      <c r="G113" s="266"/>
      <c r="H113" s="266"/>
      <c r="I113" s="266"/>
      <c r="J113" s="267"/>
    </row>
    <row r="114">
      <c r="A114" s="266">
        <v>10400.0</v>
      </c>
      <c r="B114" s="266"/>
      <c r="C114" s="266">
        <v>10.0</v>
      </c>
      <c r="D114" s="266" t="s">
        <v>6421</v>
      </c>
      <c r="E114" s="266"/>
      <c r="F114" s="266"/>
      <c r="G114" s="266" t="s">
        <v>6304</v>
      </c>
      <c r="H114" s="266" t="s">
        <v>17</v>
      </c>
      <c r="I114" s="266"/>
      <c r="J114" s="266"/>
      <c r="K114" s="1"/>
      <c r="L114" s="1"/>
    </row>
    <row r="115">
      <c r="A115" s="266">
        <v>10500.0</v>
      </c>
      <c r="B115" s="266"/>
      <c r="C115" s="266">
        <v>10.0</v>
      </c>
      <c r="D115" s="266" t="s">
        <v>6422</v>
      </c>
      <c r="E115" s="266"/>
      <c r="F115" s="266"/>
      <c r="G115" s="266" t="s">
        <v>6304</v>
      </c>
      <c r="H115" s="266" t="s">
        <v>17</v>
      </c>
      <c r="I115" s="266"/>
      <c r="J115" s="266"/>
      <c r="K115" s="1"/>
      <c r="L115" s="1"/>
    </row>
    <row r="116">
      <c r="A116" s="266">
        <v>10600.0</v>
      </c>
      <c r="B116" s="266"/>
      <c r="C116" s="266">
        <v>10.0</v>
      </c>
      <c r="D116" s="266" t="s">
        <v>6423</v>
      </c>
      <c r="E116" s="266"/>
      <c r="F116" s="266"/>
      <c r="G116" s="266" t="s">
        <v>6304</v>
      </c>
      <c r="H116" s="266" t="s">
        <v>17</v>
      </c>
      <c r="I116" s="266"/>
      <c r="J116" s="266"/>
      <c r="K116" s="1"/>
      <c r="L116" s="1"/>
    </row>
    <row r="117">
      <c r="A117" s="266">
        <v>10700.0</v>
      </c>
      <c r="B117" s="266"/>
      <c r="C117" s="266">
        <v>10.0</v>
      </c>
      <c r="D117" s="266" t="s">
        <v>6424</v>
      </c>
      <c r="E117" s="266"/>
      <c r="F117" s="266"/>
      <c r="G117" s="266" t="s">
        <v>6304</v>
      </c>
      <c r="H117" s="266" t="s">
        <v>17</v>
      </c>
      <c r="I117" s="266"/>
      <c r="J117" s="266"/>
      <c r="K117" s="1"/>
      <c r="L117" s="1"/>
    </row>
    <row r="118">
      <c r="A118" s="266">
        <v>10800.0</v>
      </c>
      <c r="B118" s="266"/>
      <c r="C118" s="266">
        <v>10.0</v>
      </c>
      <c r="D118" s="266" t="s">
        <v>6425</v>
      </c>
      <c r="E118" s="266"/>
      <c r="F118" s="266"/>
      <c r="G118" s="266" t="s">
        <v>6304</v>
      </c>
      <c r="H118" s="266" t="s">
        <v>555</v>
      </c>
      <c r="I118" s="266"/>
      <c r="J118" s="266"/>
      <c r="K118" s="1"/>
      <c r="L118" s="1"/>
    </row>
    <row r="119">
      <c r="A119" s="266">
        <v>10900.0</v>
      </c>
      <c r="B119" s="266"/>
      <c r="C119" s="266">
        <v>10.0</v>
      </c>
      <c r="D119" s="266" t="s">
        <v>6426</v>
      </c>
      <c r="E119" s="266"/>
      <c r="F119" s="266"/>
      <c r="G119" s="266" t="s">
        <v>6304</v>
      </c>
      <c r="H119" s="266" t="s">
        <v>555</v>
      </c>
      <c r="I119" s="266"/>
      <c r="J119" s="266"/>
      <c r="K119" s="1"/>
      <c r="L119" s="1"/>
    </row>
    <row r="120">
      <c r="A120" s="266">
        <v>11000.0</v>
      </c>
      <c r="B120" s="266"/>
      <c r="C120" s="266">
        <v>5.0</v>
      </c>
      <c r="D120" s="266" t="s">
        <v>6427</v>
      </c>
      <c r="E120" s="266"/>
      <c r="F120" s="266"/>
      <c r="G120" s="266" t="s">
        <v>6304</v>
      </c>
      <c r="H120" s="266" t="s">
        <v>6428</v>
      </c>
      <c r="I120" s="266" t="s">
        <v>6305</v>
      </c>
      <c r="J120" s="266"/>
      <c r="K120" s="1"/>
      <c r="L120" s="1"/>
    </row>
    <row r="121">
      <c r="A121" s="266">
        <v>11100.0</v>
      </c>
      <c r="B121" s="266"/>
      <c r="C121" s="266">
        <v>5.0</v>
      </c>
      <c r="D121" s="266" t="s">
        <v>6429</v>
      </c>
      <c r="E121" s="266"/>
      <c r="F121" s="266"/>
      <c r="G121" s="266" t="s">
        <v>6304</v>
      </c>
      <c r="H121" s="266" t="s">
        <v>17</v>
      </c>
      <c r="I121" s="266"/>
      <c r="J121" s="266"/>
      <c r="K121" s="1"/>
      <c r="L121" s="1"/>
    </row>
    <row r="122">
      <c r="A122" s="266">
        <v>11200.0</v>
      </c>
      <c r="B122" s="266"/>
      <c r="C122" s="266">
        <v>5.0</v>
      </c>
      <c r="D122" s="266" t="s">
        <v>6430</v>
      </c>
      <c r="E122" s="266"/>
      <c r="F122" s="266"/>
      <c r="G122" s="266" t="s">
        <v>6304</v>
      </c>
      <c r="H122" s="266" t="s">
        <v>6336</v>
      </c>
      <c r="I122" s="266"/>
      <c r="J122" s="266"/>
      <c r="K122" s="1"/>
      <c r="L122" s="1"/>
    </row>
    <row r="123">
      <c r="A123" s="266">
        <v>11300.0</v>
      </c>
      <c r="B123" s="266"/>
      <c r="C123" s="266">
        <v>5.0</v>
      </c>
      <c r="D123" s="266" t="s">
        <v>6431</v>
      </c>
      <c r="E123" s="266"/>
      <c r="F123" s="266"/>
      <c r="G123" s="266" t="s">
        <v>6304</v>
      </c>
      <c r="H123" s="266" t="s">
        <v>555</v>
      </c>
      <c r="I123" s="266"/>
      <c r="J123" s="266"/>
      <c r="K123" s="1"/>
      <c r="L123" s="1"/>
    </row>
    <row r="124">
      <c r="A124" s="266">
        <v>11400.0</v>
      </c>
      <c r="B124" s="266"/>
      <c r="C124" s="266">
        <v>5.0</v>
      </c>
      <c r="D124" s="266" t="s">
        <v>6432</v>
      </c>
      <c r="E124" s="266"/>
      <c r="F124" s="266"/>
      <c r="G124" s="266" t="s">
        <v>6304</v>
      </c>
      <c r="H124" s="266" t="s">
        <v>555</v>
      </c>
      <c r="I124" s="266"/>
      <c r="J124" s="266"/>
      <c r="K124" s="1"/>
      <c r="L124" s="1"/>
    </row>
    <row r="125">
      <c r="A125" s="266">
        <v>11500.0</v>
      </c>
      <c r="B125" s="266"/>
      <c r="C125" s="266">
        <v>5.0</v>
      </c>
      <c r="D125" s="266" t="s">
        <v>6433</v>
      </c>
      <c r="E125" s="266"/>
      <c r="F125" s="266"/>
      <c r="G125" s="266" t="s">
        <v>6304</v>
      </c>
      <c r="H125" s="266" t="s">
        <v>555</v>
      </c>
      <c r="I125" s="266"/>
      <c r="J125" s="266"/>
      <c r="K125" s="1"/>
      <c r="L125" s="1"/>
    </row>
    <row r="126">
      <c r="A126" s="266">
        <v>11600.0</v>
      </c>
      <c r="B126" s="266"/>
      <c r="C126" s="266">
        <v>5.0</v>
      </c>
      <c r="D126" s="266" t="s">
        <v>6434</v>
      </c>
      <c r="E126" s="266"/>
      <c r="F126" s="266"/>
      <c r="G126" s="266" t="s">
        <v>6304</v>
      </c>
      <c r="H126" s="266" t="s">
        <v>555</v>
      </c>
      <c r="I126" s="266"/>
      <c r="J126" s="266"/>
      <c r="K126" s="1"/>
      <c r="L126" s="1"/>
    </row>
    <row r="127">
      <c r="A127" s="266">
        <v>11700.0</v>
      </c>
      <c r="B127" s="266"/>
      <c r="C127" s="266">
        <v>5.0</v>
      </c>
      <c r="D127" s="266" t="s">
        <v>6435</v>
      </c>
      <c r="E127" s="266"/>
      <c r="F127" s="266"/>
      <c r="G127" s="266" t="s">
        <v>6304</v>
      </c>
      <c r="H127" s="266" t="s">
        <v>559</v>
      </c>
      <c r="I127" s="266"/>
      <c r="J127" s="266"/>
      <c r="K127" s="1"/>
      <c r="L127" s="1"/>
    </row>
    <row r="128">
      <c r="A128" s="266">
        <v>11800.0</v>
      </c>
      <c r="B128" s="266"/>
      <c r="C128" s="266">
        <v>5.0</v>
      </c>
      <c r="D128" s="266" t="s">
        <v>6436</v>
      </c>
      <c r="E128" s="266"/>
      <c r="F128" s="266"/>
      <c r="G128" s="266" t="s">
        <v>6304</v>
      </c>
      <c r="H128" s="266" t="s">
        <v>6336</v>
      </c>
      <c r="I128" s="266"/>
      <c r="J128" s="266"/>
      <c r="K128" s="1"/>
      <c r="L128" s="1"/>
    </row>
    <row r="129">
      <c r="A129" s="266">
        <v>11900.0</v>
      </c>
      <c r="B129" s="266"/>
      <c r="C129" s="266">
        <v>5.0</v>
      </c>
      <c r="D129" s="266" t="s">
        <v>6437</v>
      </c>
      <c r="E129" s="266"/>
      <c r="F129" s="266"/>
      <c r="G129" s="266" t="s">
        <v>6304</v>
      </c>
      <c r="H129" s="266" t="s">
        <v>555</v>
      </c>
      <c r="I129" s="266"/>
      <c r="J129" s="266"/>
      <c r="K129" s="1"/>
      <c r="L129" s="1"/>
    </row>
    <row r="130">
      <c r="A130" s="266">
        <v>12000.0</v>
      </c>
      <c r="B130" s="266"/>
      <c r="C130" s="266">
        <v>5.0</v>
      </c>
      <c r="D130" s="266" t="s">
        <v>6438</v>
      </c>
      <c r="E130" s="266"/>
      <c r="F130" s="266"/>
      <c r="G130" s="266" t="s">
        <v>6304</v>
      </c>
      <c r="H130" s="266" t="s">
        <v>555</v>
      </c>
      <c r="I130" s="266"/>
      <c r="J130" s="266"/>
      <c r="K130" s="1"/>
      <c r="L130" s="1"/>
    </row>
    <row r="131">
      <c r="A131" s="266">
        <v>12100.0</v>
      </c>
      <c r="B131" s="266"/>
      <c r="C131" s="266">
        <v>5.0</v>
      </c>
      <c r="D131" s="266" t="s">
        <v>6439</v>
      </c>
      <c r="E131" s="266"/>
      <c r="F131" s="266"/>
      <c r="G131" s="266" t="s">
        <v>6304</v>
      </c>
      <c r="H131" s="266" t="s">
        <v>555</v>
      </c>
      <c r="I131" s="266"/>
      <c r="J131" s="266"/>
      <c r="K131" s="1"/>
      <c r="L131" s="1"/>
    </row>
    <row r="132">
      <c r="A132" s="266">
        <v>12200.0</v>
      </c>
      <c r="B132" s="266"/>
      <c r="C132" s="266">
        <v>5.0</v>
      </c>
      <c r="D132" s="266" t="s">
        <v>6440</v>
      </c>
      <c r="E132" s="266"/>
      <c r="F132" s="266"/>
      <c r="G132" s="266" t="s">
        <v>6304</v>
      </c>
      <c r="H132" s="266" t="s">
        <v>555</v>
      </c>
      <c r="I132" s="266"/>
      <c r="J132" s="266"/>
      <c r="K132" s="1"/>
      <c r="L132" s="1"/>
    </row>
    <row r="133">
      <c r="A133" s="266">
        <v>12300.0</v>
      </c>
      <c r="B133" s="266"/>
      <c r="C133" s="266">
        <v>5.0</v>
      </c>
      <c r="D133" s="266" t="s">
        <v>6441</v>
      </c>
      <c r="E133" s="266"/>
      <c r="F133" s="266"/>
      <c r="G133" s="266" t="s">
        <v>6304</v>
      </c>
      <c r="H133" s="266" t="s">
        <v>555</v>
      </c>
      <c r="I133" s="266"/>
      <c r="J133" s="266"/>
      <c r="K133" s="1"/>
      <c r="L133" s="1"/>
    </row>
    <row r="134">
      <c r="A134" s="266">
        <v>12400.0</v>
      </c>
      <c r="B134" s="266"/>
      <c r="C134" s="266">
        <v>5.0</v>
      </c>
      <c r="D134" s="266" t="s">
        <v>6442</v>
      </c>
      <c r="E134" s="266"/>
      <c r="F134" s="266"/>
      <c r="G134" s="266" t="s">
        <v>6304</v>
      </c>
      <c r="H134" s="266" t="s">
        <v>555</v>
      </c>
      <c r="I134" s="266"/>
      <c r="J134" s="266"/>
      <c r="K134" s="1"/>
      <c r="L134" s="1"/>
    </row>
    <row r="135">
      <c r="A135" s="266">
        <v>12500.0</v>
      </c>
      <c r="B135" s="266"/>
      <c r="C135" s="266">
        <v>5.0</v>
      </c>
      <c r="D135" s="266" t="s">
        <v>6443</v>
      </c>
      <c r="E135" s="266"/>
      <c r="F135" s="266"/>
      <c r="G135" s="266" t="s">
        <v>6304</v>
      </c>
      <c r="H135" s="266" t="s">
        <v>559</v>
      </c>
      <c r="I135" s="266"/>
      <c r="J135" s="266"/>
      <c r="K135" s="1"/>
      <c r="L135" s="1"/>
    </row>
    <row r="136">
      <c r="A136" s="266">
        <v>12600.0</v>
      </c>
      <c r="B136" s="266"/>
      <c r="C136" s="266">
        <v>5.0</v>
      </c>
      <c r="D136" s="266" t="s">
        <v>6444</v>
      </c>
      <c r="E136" s="266"/>
      <c r="F136" s="266"/>
      <c r="G136" s="266" t="s">
        <v>6304</v>
      </c>
      <c r="H136" s="266" t="s">
        <v>559</v>
      </c>
      <c r="I136" s="266"/>
      <c r="J136" s="266"/>
      <c r="K136" s="1"/>
      <c r="L136" s="1"/>
    </row>
    <row r="137">
      <c r="A137" s="266">
        <v>12700.0</v>
      </c>
      <c r="B137" s="266"/>
      <c r="C137" s="266">
        <v>5.0</v>
      </c>
      <c r="D137" s="266" t="s">
        <v>6445</v>
      </c>
      <c r="E137" s="266"/>
      <c r="F137" s="266"/>
      <c r="G137" s="266" t="s">
        <v>6304</v>
      </c>
      <c r="H137" s="266" t="s">
        <v>559</v>
      </c>
      <c r="I137" s="266"/>
      <c r="J137" s="266"/>
      <c r="K137" s="1"/>
      <c r="L137" s="1"/>
    </row>
    <row r="138">
      <c r="A138" s="266">
        <v>12800.0</v>
      </c>
      <c r="B138" s="266"/>
      <c r="C138" s="266">
        <v>5.0</v>
      </c>
      <c r="D138" s="266" t="s">
        <v>6446</v>
      </c>
      <c r="E138" s="266"/>
      <c r="F138" s="266"/>
      <c r="G138" s="266" t="s">
        <v>6304</v>
      </c>
      <c r="H138" s="266" t="s">
        <v>559</v>
      </c>
      <c r="I138" s="266"/>
      <c r="J138" s="266"/>
      <c r="K138" s="1"/>
      <c r="L138" s="1"/>
    </row>
    <row r="139">
      <c r="A139" s="266">
        <v>12900.0</v>
      </c>
      <c r="B139" s="266"/>
      <c r="C139" s="266">
        <v>5.0</v>
      </c>
      <c r="D139" s="266" t="s">
        <v>6447</v>
      </c>
      <c r="E139" s="266"/>
      <c r="F139" s="266"/>
      <c r="G139" s="266" t="s">
        <v>6304</v>
      </c>
      <c r="H139" s="266" t="s">
        <v>6336</v>
      </c>
      <c r="I139" s="266"/>
      <c r="J139" s="266"/>
      <c r="K139" s="1"/>
      <c r="L139" s="1"/>
    </row>
    <row r="140">
      <c r="A140" s="266">
        <v>13000.0</v>
      </c>
      <c r="B140" s="266"/>
      <c r="C140" s="266">
        <v>5.0</v>
      </c>
      <c r="D140" s="266" t="s">
        <v>6448</v>
      </c>
      <c r="E140" s="266"/>
      <c r="F140" s="266"/>
      <c r="G140" s="266" t="s">
        <v>6304</v>
      </c>
      <c r="H140" s="266" t="s">
        <v>6336</v>
      </c>
      <c r="I140" s="266"/>
      <c r="J140" s="266"/>
      <c r="K140" s="1"/>
      <c r="L140" s="1"/>
    </row>
    <row r="141">
      <c r="A141" s="266">
        <v>13100.0</v>
      </c>
      <c r="B141" s="266"/>
      <c r="C141" s="266">
        <v>5.0</v>
      </c>
      <c r="D141" s="266" t="s">
        <v>6449</v>
      </c>
      <c r="E141" s="266"/>
      <c r="F141" s="266"/>
      <c r="G141" s="266" t="s">
        <v>6304</v>
      </c>
      <c r="H141" s="266" t="s">
        <v>6336</v>
      </c>
      <c r="I141" s="266"/>
      <c r="J141" s="266"/>
      <c r="K141" s="1"/>
      <c r="L141" s="1"/>
    </row>
    <row r="142">
      <c r="A142" s="266">
        <v>13200.0</v>
      </c>
      <c r="B142" s="266"/>
      <c r="C142" s="266">
        <v>5.0</v>
      </c>
      <c r="D142" s="266" t="s">
        <v>6450</v>
      </c>
      <c r="E142" s="266"/>
      <c r="F142" s="266"/>
      <c r="G142" s="266" t="s">
        <v>6304</v>
      </c>
      <c r="H142" s="266" t="s">
        <v>6336</v>
      </c>
      <c r="I142" s="266"/>
      <c r="J142" s="266"/>
      <c r="K142" s="1"/>
      <c r="L142" s="1"/>
    </row>
    <row r="143">
      <c r="A143" s="266">
        <v>13300.0</v>
      </c>
      <c r="B143" s="266"/>
      <c r="C143" s="266">
        <v>5.0</v>
      </c>
      <c r="D143" s="266" t="s">
        <v>6451</v>
      </c>
      <c r="E143" s="266"/>
      <c r="F143" s="266"/>
      <c r="G143" s="266" t="s">
        <v>6304</v>
      </c>
      <c r="H143" s="266" t="s">
        <v>555</v>
      </c>
      <c r="I143" s="266"/>
      <c r="J143" s="266"/>
      <c r="K143" s="1"/>
      <c r="L143" s="1"/>
    </row>
    <row r="144">
      <c r="A144" s="266">
        <v>13400.0</v>
      </c>
      <c r="B144" s="266"/>
      <c r="C144" s="266">
        <v>5.0</v>
      </c>
      <c r="D144" s="266" t="s">
        <v>6452</v>
      </c>
      <c r="E144" s="266"/>
      <c r="F144" s="266"/>
      <c r="G144" s="266" t="s">
        <v>6304</v>
      </c>
      <c r="H144" s="266" t="s">
        <v>6453</v>
      </c>
      <c r="I144" s="266"/>
      <c r="J144" s="266"/>
      <c r="K144" s="1"/>
      <c r="L144" s="1"/>
    </row>
    <row r="145">
      <c r="A145" s="266">
        <v>13500.0</v>
      </c>
      <c r="B145" s="266"/>
      <c r="C145" s="266">
        <v>5.0</v>
      </c>
      <c r="D145" s="266" t="s">
        <v>6454</v>
      </c>
      <c r="E145" s="266"/>
      <c r="F145" s="266"/>
      <c r="G145" s="266" t="s">
        <v>6304</v>
      </c>
      <c r="H145" s="266" t="s">
        <v>559</v>
      </c>
      <c r="I145" s="266"/>
      <c r="J145" s="266"/>
      <c r="K145" s="1"/>
      <c r="L145" s="1"/>
    </row>
    <row r="146">
      <c r="A146" s="266">
        <v>13600.0</v>
      </c>
      <c r="B146" s="266"/>
      <c r="C146" s="266">
        <v>5.0</v>
      </c>
      <c r="D146" s="266" t="s">
        <v>6455</v>
      </c>
      <c r="E146" s="266"/>
      <c r="F146" s="266"/>
      <c r="G146" s="266" t="s">
        <v>6304</v>
      </c>
      <c r="H146" s="266" t="s">
        <v>555</v>
      </c>
      <c r="I146" s="266"/>
      <c r="J146" s="266"/>
      <c r="K146" s="1"/>
      <c r="L146" s="1"/>
    </row>
    <row r="147">
      <c r="A147" s="266">
        <v>13700.0</v>
      </c>
      <c r="B147" s="266"/>
      <c r="C147" s="266">
        <v>5.0</v>
      </c>
      <c r="D147" s="266" t="s">
        <v>6456</v>
      </c>
      <c r="E147" s="266"/>
      <c r="F147" s="266"/>
      <c r="G147" s="266" t="s">
        <v>6304</v>
      </c>
      <c r="H147" s="266" t="s">
        <v>555</v>
      </c>
      <c r="I147" s="266"/>
      <c r="J147" s="266"/>
      <c r="K147" s="1"/>
      <c r="L147" s="1"/>
    </row>
    <row r="148">
      <c r="A148" s="266">
        <v>13800.0</v>
      </c>
      <c r="B148" s="266"/>
      <c r="C148" s="266">
        <v>5.0</v>
      </c>
      <c r="D148" s="266" t="s">
        <v>6457</v>
      </c>
      <c r="E148" s="266"/>
      <c r="F148" s="266"/>
      <c r="G148" s="266" t="s">
        <v>6304</v>
      </c>
      <c r="H148" s="266" t="s">
        <v>555</v>
      </c>
      <c r="I148" s="266"/>
      <c r="J148" s="266"/>
      <c r="K148" s="1"/>
      <c r="L148" s="1"/>
    </row>
    <row r="149">
      <c r="A149" s="266">
        <v>13900.0</v>
      </c>
      <c r="B149" s="266"/>
      <c r="C149" s="266">
        <v>5.0</v>
      </c>
      <c r="D149" s="266" t="s">
        <v>6458</v>
      </c>
      <c r="E149" s="266"/>
      <c r="F149" s="266"/>
      <c r="G149" s="266" t="s">
        <v>6304</v>
      </c>
      <c r="H149" s="266" t="s">
        <v>6459</v>
      </c>
      <c r="I149" s="266" t="s">
        <v>6305</v>
      </c>
      <c r="J149" s="266"/>
      <c r="K149" s="1"/>
      <c r="L149" s="1"/>
    </row>
    <row r="150">
      <c r="A150" s="266">
        <v>14000.0</v>
      </c>
      <c r="B150" s="266"/>
      <c r="C150" s="266">
        <v>5.0</v>
      </c>
      <c r="D150" s="266" t="s">
        <v>6460</v>
      </c>
      <c r="E150" s="266"/>
      <c r="F150" s="266"/>
      <c r="G150" s="266" t="s">
        <v>6304</v>
      </c>
      <c r="H150" s="266" t="s">
        <v>6459</v>
      </c>
      <c r="I150" s="266" t="s">
        <v>6305</v>
      </c>
      <c r="J150" s="266"/>
      <c r="K150" s="1"/>
      <c r="L150" s="1"/>
    </row>
    <row r="151">
      <c r="A151" s="266">
        <v>14100.0</v>
      </c>
      <c r="B151" s="266"/>
      <c r="C151" s="266">
        <v>5.0</v>
      </c>
      <c r="D151" s="266" t="s">
        <v>6461</v>
      </c>
      <c r="E151" s="266"/>
      <c r="F151" s="266"/>
      <c r="G151" s="266" t="s">
        <v>6304</v>
      </c>
      <c r="H151" s="266" t="s">
        <v>6459</v>
      </c>
      <c r="I151" s="266" t="s">
        <v>6305</v>
      </c>
      <c r="J151" s="266"/>
      <c r="K151" s="1"/>
      <c r="L151" s="1"/>
    </row>
    <row r="152">
      <c r="A152" s="266">
        <v>14200.0</v>
      </c>
      <c r="B152" s="266"/>
      <c r="C152" s="266">
        <v>5.0</v>
      </c>
      <c r="D152" s="266" t="s">
        <v>6306</v>
      </c>
      <c r="E152" s="266"/>
      <c r="F152" s="266"/>
      <c r="G152" s="266" t="s">
        <v>6304</v>
      </c>
      <c r="H152" s="266" t="s">
        <v>6462</v>
      </c>
      <c r="I152" s="266"/>
      <c r="J152" s="266"/>
      <c r="K152" s="1"/>
      <c r="L152" s="1"/>
    </row>
    <row r="153">
      <c r="A153" s="266">
        <v>50.0</v>
      </c>
      <c r="B153" s="266">
        <v>1.0</v>
      </c>
      <c r="C153" s="266"/>
      <c r="D153" s="266" t="s">
        <v>6463</v>
      </c>
      <c r="E153" s="266"/>
      <c r="F153" s="266"/>
      <c r="G153" s="266"/>
      <c r="H153" s="266"/>
      <c r="I153" s="266"/>
      <c r="J153" s="267"/>
    </row>
    <row r="154">
      <c r="A154" s="266">
        <v>100.0</v>
      </c>
      <c r="B154" s="266"/>
      <c r="C154" s="266">
        <v>5.0</v>
      </c>
      <c r="D154" s="266" t="s">
        <v>6464</v>
      </c>
      <c r="E154" s="266"/>
      <c r="F154" s="266"/>
      <c r="G154" s="266" t="s">
        <v>6304</v>
      </c>
      <c r="H154" s="266" t="s">
        <v>6315</v>
      </c>
      <c r="I154" s="266"/>
      <c r="J154" s="266"/>
      <c r="K154" s="1"/>
      <c r="L154" s="1"/>
    </row>
    <row r="155">
      <c r="A155" s="266">
        <v>200.0</v>
      </c>
      <c r="B155" s="266"/>
      <c r="C155" s="266">
        <v>5.0</v>
      </c>
      <c r="D155" s="266" t="s">
        <v>6465</v>
      </c>
      <c r="E155" s="266"/>
      <c r="F155" s="266"/>
      <c r="G155" s="266" t="s">
        <v>6304</v>
      </c>
      <c r="H155" s="266" t="s">
        <v>6466</v>
      </c>
      <c r="I155" s="266"/>
      <c r="J155" s="266"/>
      <c r="K155" s="1"/>
      <c r="L155" s="1"/>
    </row>
    <row r="156">
      <c r="A156" s="266">
        <v>300.0</v>
      </c>
      <c r="B156" s="266"/>
      <c r="C156" s="266">
        <v>5.0</v>
      </c>
      <c r="D156" s="266" t="s">
        <v>6306</v>
      </c>
      <c r="E156" s="266"/>
      <c r="F156" s="266"/>
      <c r="G156" s="266" t="s">
        <v>6304</v>
      </c>
      <c r="H156" s="266" t="s">
        <v>6467</v>
      </c>
      <c r="I156" s="266"/>
      <c r="J156" s="266"/>
      <c r="K156" s="1"/>
      <c r="L156" s="1"/>
    </row>
    <row r="157">
      <c r="A157" s="266">
        <v>50.0</v>
      </c>
      <c r="B157" s="266">
        <v>1.0</v>
      </c>
      <c r="C157" s="266"/>
      <c r="D157" s="266" t="s">
        <v>6468</v>
      </c>
      <c r="E157" s="266"/>
      <c r="F157" s="266"/>
      <c r="G157" s="266"/>
      <c r="H157" s="266"/>
      <c r="I157" s="266"/>
      <c r="J157" s="267"/>
    </row>
    <row r="158">
      <c r="A158" s="266">
        <v>100.0</v>
      </c>
      <c r="B158" s="266"/>
      <c r="C158" s="266">
        <v>5.0</v>
      </c>
      <c r="D158" s="266" t="s">
        <v>6469</v>
      </c>
      <c r="E158" s="266"/>
      <c r="F158" s="266"/>
      <c r="G158" s="266" t="s">
        <v>6304</v>
      </c>
      <c r="H158" s="266" t="s">
        <v>6315</v>
      </c>
      <c r="I158" s="266"/>
      <c r="J158" s="266"/>
      <c r="K158" s="1"/>
      <c r="L158" s="1"/>
    </row>
    <row r="159">
      <c r="A159" s="266">
        <v>200.0</v>
      </c>
      <c r="B159" s="266"/>
      <c r="C159" s="266">
        <v>5.0</v>
      </c>
      <c r="D159" s="266" t="s">
        <v>6470</v>
      </c>
      <c r="E159" s="266"/>
      <c r="F159" s="266"/>
      <c r="G159" s="266"/>
      <c r="H159" s="266"/>
      <c r="I159" s="266"/>
      <c r="J159" s="267"/>
    </row>
    <row r="160">
      <c r="A160" s="266">
        <v>300.0</v>
      </c>
      <c r="B160" s="266"/>
      <c r="C160" s="266">
        <v>10.0</v>
      </c>
      <c r="D160" s="266" t="s">
        <v>6471</v>
      </c>
      <c r="E160" s="266"/>
      <c r="F160" s="266"/>
      <c r="G160" s="266"/>
      <c r="H160" s="266"/>
      <c r="I160" s="266"/>
      <c r="J160" s="267"/>
    </row>
    <row r="161">
      <c r="A161" s="266">
        <v>400.0</v>
      </c>
      <c r="B161" s="266"/>
      <c r="C161" s="266">
        <v>15.0</v>
      </c>
      <c r="D161" s="266" t="s">
        <v>6472</v>
      </c>
      <c r="E161" s="266"/>
      <c r="F161" s="266"/>
      <c r="G161" s="266" t="s">
        <v>6304</v>
      </c>
      <c r="H161" s="266" t="s">
        <v>6331</v>
      </c>
      <c r="I161" s="266"/>
      <c r="J161" s="266"/>
      <c r="K161" s="1"/>
      <c r="L161" s="1"/>
    </row>
    <row r="162">
      <c r="A162" s="266">
        <v>500.0</v>
      </c>
      <c r="B162" s="266"/>
      <c r="C162" s="266">
        <v>15.0</v>
      </c>
      <c r="D162" s="266" t="s">
        <v>6473</v>
      </c>
      <c r="E162" s="266"/>
      <c r="F162" s="266"/>
      <c r="G162" s="266" t="s">
        <v>6304</v>
      </c>
      <c r="H162" s="266" t="s">
        <v>6331</v>
      </c>
      <c r="I162" s="266"/>
      <c r="J162" s="266"/>
      <c r="K162" s="1"/>
      <c r="L162" s="1"/>
    </row>
    <row r="163">
      <c r="A163" s="266">
        <v>600.0</v>
      </c>
      <c r="B163" s="266"/>
      <c r="C163" s="266">
        <v>10.0</v>
      </c>
      <c r="D163" s="266" t="s">
        <v>6474</v>
      </c>
      <c r="E163" s="266"/>
      <c r="F163" s="266"/>
      <c r="G163" s="266" t="s">
        <v>6304</v>
      </c>
      <c r="H163" s="266" t="s">
        <v>6315</v>
      </c>
      <c r="I163" s="266"/>
      <c r="J163" s="266"/>
      <c r="K163" s="1"/>
      <c r="L163" s="1"/>
    </row>
    <row r="164">
      <c r="A164" s="266">
        <v>700.0</v>
      </c>
      <c r="B164" s="266"/>
      <c r="C164" s="266">
        <v>10.0</v>
      </c>
      <c r="D164" s="266" t="s">
        <v>6475</v>
      </c>
      <c r="E164" s="266"/>
      <c r="F164" s="266"/>
      <c r="G164" s="266"/>
      <c r="H164" s="266"/>
      <c r="I164" s="266"/>
      <c r="J164" s="267"/>
    </row>
    <row r="165">
      <c r="A165" s="266">
        <v>800.0</v>
      </c>
      <c r="B165" s="266"/>
      <c r="C165" s="266">
        <v>15.0</v>
      </c>
      <c r="D165" s="266" t="s">
        <v>6476</v>
      </c>
      <c r="E165" s="266"/>
      <c r="F165" s="266"/>
      <c r="G165" s="266" t="s">
        <v>6304</v>
      </c>
      <c r="H165" s="266" t="s">
        <v>6336</v>
      </c>
      <c r="I165" s="266"/>
      <c r="J165" s="266"/>
      <c r="K165" s="1"/>
      <c r="L165" s="1"/>
    </row>
    <row r="166">
      <c r="A166" s="266">
        <v>900.0</v>
      </c>
      <c r="B166" s="266"/>
      <c r="C166" s="266">
        <v>15.0</v>
      </c>
      <c r="D166" s="266" t="s">
        <v>6477</v>
      </c>
      <c r="E166" s="266"/>
      <c r="F166" s="266"/>
      <c r="G166" s="266" t="s">
        <v>6304</v>
      </c>
      <c r="H166" s="266" t="s">
        <v>6338</v>
      </c>
      <c r="I166" s="266"/>
      <c r="J166" s="266"/>
      <c r="K166" s="1"/>
      <c r="L166" s="1"/>
    </row>
    <row r="167">
      <c r="A167" s="266">
        <v>1000.0</v>
      </c>
      <c r="B167" s="266"/>
      <c r="C167" s="266">
        <v>5.0</v>
      </c>
      <c r="D167" s="266" t="s">
        <v>6478</v>
      </c>
      <c r="E167" s="266" t="s">
        <v>6479</v>
      </c>
      <c r="F167" s="266">
        <v>35.0</v>
      </c>
      <c r="G167" s="266"/>
      <c r="H167" s="266"/>
      <c r="I167" s="266"/>
      <c r="J167" s="267"/>
    </row>
    <row r="168">
      <c r="A168" s="266">
        <v>1100.0</v>
      </c>
      <c r="B168" s="266"/>
      <c r="C168" s="266">
        <v>10.0</v>
      </c>
      <c r="D168" s="266" t="s">
        <v>6480</v>
      </c>
      <c r="E168" s="266"/>
      <c r="F168" s="266"/>
      <c r="G168" s="266" t="s">
        <v>6304</v>
      </c>
      <c r="H168" s="266" t="s">
        <v>3806</v>
      </c>
      <c r="I168" s="266"/>
      <c r="J168" s="266"/>
      <c r="K168" s="1"/>
      <c r="L168" s="1"/>
    </row>
    <row r="169">
      <c r="A169" s="266">
        <v>1200.0</v>
      </c>
      <c r="B169" s="266"/>
      <c r="C169" s="266">
        <v>10.0</v>
      </c>
      <c r="D169" s="266" t="s">
        <v>6481</v>
      </c>
      <c r="E169" s="266"/>
      <c r="F169" s="266"/>
      <c r="G169" s="266"/>
      <c r="H169" s="266"/>
      <c r="I169" s="266"/>
      <c r="J169" s="267"/>
    </row>
    <row r="170">
      <c r="A170" s="266">
        <v>1300.0</v>
      </c>
      <c r="B170" s="266"/>
      <c r="C170" s="266">
        <v>15.0</v>
      </c>
      <c r="D170" s="266" t="s">
        <v>6482</v>
      </c>
      <c r="E170" s="266"/>
      <c r="F170" s="266"/>
      <c r="G170" s="266" t="s">
        <v>6304</v>
      </c>
      <c r="H170" s="266" t="s">
        <v>6483</v>
      </c>
      <c r="I170" s="266"/>
      <c r="J170" s="266"/>
      <c r="K170" s="1"/>
      <c r="L170" s="1"/>
    </row>
    <row r="171">
      <c r="A171" s="266">
        <v>1400.0</v>
      </c>
      <c r="B171" s="266"/>
      <c r="C171" s="266">
        <v>15.0</v>
      </c>
      <c r="D171" s="266" t="s">
        <v>6484</v>
      </c>
      <c r="E171" s="266"/>
      <c r="F171" s="266"/>
      <c r="G171" s="266" t="s">
        <v>6304</v>
      </c>
      <c r="H171" s="266" t="s">
        <v>6483</v>
      </c>
      <c r="I171" s="266"/>
      <c r="J171" s="266"/>
      <c r="K171" s="1"/>
      <c r="L171" s="1"/>
    </row>
    <row r="172">
      <c r="A172" s="266">
        <v>1500.0</v>
      </c>
      <c r="B172" s="266"/>
      <c r="C172" s="266">
        <v>10.0</v>
      </c>
      <c r="D172" s="266" t="s">
        <v>6485</v>
      </c>
      <c r="E172" s="266"/>
      <c r="F172" s="266"/>
      <c r="G172" s="266" t="s">
        <v>6304</v>
      </c>
      <c r="H172" s="266" t="s">
        <v>3793</v>
      </c>
      <c r="I172" s="266"/>
      <c r="J172" s="266"/>
      <c r="K172" s="1"/>
      <c r="L172" s="1"/>
    </row>
    <row r="173">
      <c r="A173" s="266">
        <v>1600.0</v>
      </c>
      <c r="B173" s="266"/>
      <c r="C173" s="266">
        <v>5.0</v>
      </c>
      <c r="D173" s="266" t="s">
        <v>6486</v>
      </c>
      <c r="E173" s="266"/>
      <c r="F173" s="266"/>
      <c r="G173" s="266"/>
      <c r="H173" s="266"/>
      <c r="I173" s="266"/>
      <c r="J173" s="267"/>
    </row>
    <row r="174">
      <c r="A174" s="266">
        <v>1700.0</v>
      </c>
      <c r="B174" s="266"/>
      <c r="C174" s="266">
        <v>10.0</v>
      </c>
      <c r="D174" s="266" t="s">
        <v>6487</v>
      </c>
      <c r="E174" s="266"/>
      <c r="F174" s="266"/>
      <c r="G174" s="266" t="s">
        <v>6304</v>
      </c>
      <c r="H174" s="266" t="s">
        <v>3806</v>
      </c>
      <c r="I174" s="266"/>
      <c r="J174" s="266"/>
      <c r="K174" s="1"/>
      <c r="L174" s="1"/>
    </row>
    <row r="175">
      <c r="A175" s="266">
        <v>1800.0</v>
      </c>
      <c r="B175" s="266"/>
      <c r="C175" s="266">
        <v>10.0</v>
      </c>
      <c r="D175" s="266" t="s">
        <v>6488</v>
      </c>
      <c r="E175" s="266"/>
      <c r="F175" s="266"/>
      <c r="G175" s="266" t="s">
        <v>6304</v>
      </c>
      <c r="H175" s="266" t="s">
        <v>555</v>
      </c>
      <c r="I175" s="266"/>
      <c r="J175" s="266"/>
      <c r="K175" s="1"/>
      <c r="L175" s="1"/>
    </row>
    <row r="176">
      <c r="A176" s="266">
        <v>1900.0</v>
      </c>
      <c r="B176" s="266"/>
      <c r="C176" s="266">
        <v>5.0</v>
      </c>
      <c r="D176" s="266" t="s">
        <v>6306</v>
      </c>
      <c r="E176" s="266"/>
      <c r="F176" s="266"/>
      <c r="G176" s="266" t="s">
        <v>6304</v>
      </c>
      <c r="H176" s="266" t="s">
        <v>6489</v>
      </c>
      <c r="I176" s="266"/>
      <c r="J176" s="266"/>
      <c r="K176" s="1"/>
      <c r="L176" s="1"/>
    </row>
    <row r="177">
      <c r="A177" s="266">
        <v>50.0</v>
      </c>
      <c r="B177" s="266">
        <v>1.0</v>
      </c>
      <c r="C177" s="266"/>
      <c r="D177" s="266" t="s">
        <v>6490</v>
      </c>
      <c r="E177" s="266"/>
      <c r="F177" s="266"/>
      <c r="G177" s="266"/>
      <c r="H177" s="266"/>
      <c r="I177" s="266"/>
      <c r="J177" s="267"/>
    </row>
    <row r="178">
      <c r="A178" s="266">
        <v>100.0</v>
      </c>
      <c r="B178" s="266"/>
      <c r="C178" s="266">
        <v>5.0</v>
      </c>
      <c r="D178" s="266" t="s">
        <v>6491</v>
      </c>
      <c r="E178" s="266"/>
      <c r="F178" s="266"/>
      <c r="G178" s="266" t="s">
        <v>6304</v>
      </c>
      <c r="H178" s="266" t="s">
        <v>6348</v>
      </c>
      <c r="I178" s="266"/>
      <c r="J178" s="266"/>
      <c r="K178" s="1"/>
      <c r="L178" s="1"/>
    </row>
    <row r="179">
      <c r="A179" s="266">
        <v>200.0</v>
      </c>
      <c r="B179" s="266"/>
      <c r="C179" s="266">
        <v>5.0</v>
      </c>
      <c r="D179" s="266" t="s">
        <v>6492</v>
      </c>
      <c r="E179" s="266"/>
      <c r="F179" s="266"/>
      <c r="G179" s="266" t="s">
        <v>6304</v>
      </c>
      <c r="H179" s="266" t="s">
        <v>5170</v>
      </c>
      <c r="I179" s="266" t="s">
        <v>6305</v>
      </c>
      <c r="J179" s="266"/>
      <c r="K179" s="1"/>
      <c r="L179" s="1"/>
    </row>
    <row r="180">
      <c r="A180" s="266">
        <v>300.0</v>
      </c>
      <c r="B180" s="266"/>
      <c r="C180" s="266">
        <v>5.0</v>
      </c>
      <c r="D180" s="266" t="s">
        <v>6493</v>
      </c>
      <c r="E180" s="266"/>
      <c r="F180" s="266"/>
      <c r="G180" s="266" t="s">
        <v>6304</v>
      </c>
      <c r="H180" s="266" t="s">
        <v>556</v>
      </c>
      <c r="I180" s="266"/>
      <c r="J180" s="266"/>
      <c r="K180" s="1"/>
      <c r="L180" s="1"/>
    </row>
    <row r="181">
      <c r="A181" s="266">
        <v>400.0</v>
      </c>
      <c r="B181" s="266"/>
      <c r="C181" s="266">
        <v>5.0</v>
      </c>
      <c r="D181" s="266" t="s">
        <v>6306</v>
      </c>
      <c r="E181" s="266"/>
      <c r="F181" s="266"/>
      <c r="G181" s="266" t="s">
        <v>6304</v>
      </c>
      <c r="H181" s="266" t="s">
        <v>6494</v>
      </c>
      <c r="I181" s="266"/>
      <c r="J181" s="266"/>
      <c r="K181" s="1"/>
      <c r="L181" s="1"/>
    </row>
    <row r="182">
      <c r="A182" s="266">
        <v>50.0</v>
      </c>
      <c r="B182" s="266">
        <v>1.0</v>
      </c>
      <c r="C182" s="266"/>
      <c r="D182" s="266" t="s">
        <v>6495</v>
      </c>
      <c r="E182" s="266"/>
      <c r="F182" s="266"/>
      <c r="G182" s="266"/>
      <c r="H182" s="266"/>
      <c r="I182" s="266"/>
      <c r="J182" s="267"/>
    </row>
    <row r="183">
      <c r="A183" s="266">
        <v>100.0</v>
      </c>
      <c r="B183" s="266"/>
      <c r="C183" s="266">
        <v>5.0</v>
      </c>
      <c r="D183" s="266" t="s">
        <v>6496</v>
      </c>
      <c r="E183" s="266"/>
      <c r="F183" s="266"/>
      <c r="G183" s="266"/>
      <c r="H183" s="266"/>
      <c r="I183" s="266"/>
      <c r="J183" s="267"/>
    </row>
    <row r="184">
      <c r="A184" s="266">
        <v>200.0</v>
      </c>
      <c r="B184" s="266"/>
      <c r="C184" s="266">
        <v>10.0</v>
      </c>
      <c r="D184" s="266" t="s">
        <v>6497</v>
      </c>
      <c r="E184" s="266"/>
      <c r="F184" s="266"/>
      <c r="G184" s="266" t="s">
        <v>6304</v>
      </c>
      <c r="H184" s="266" t="s">
        <v>3806</v>
      </c>
      <c r="I184" s="266"/>
      <c r="J184" s="266"/>
      <c r="K184" s="1"/>
      <c r="L184" s="1"/>
    </row>
    <row r="185">
      <c r="A185" s="266">
        <v>300.0</v>
      </c>
      <c r="B185" s="266"/>
      <c r="C185" s="266">
        <v>10.0</v>
      </c>
      <c r="D185" s="266" t="s">
        <v>514</v>
      </c>
      <c r="E185" s="266"/>
      <c r="F185" s="266"/>
      <c r="G185" s="266" t="s">
        <v>6304</v>
      </c>
      <c r="H185" s="266" t="s">
        <v>551</v>
      </c>
      <c r="I185" s="266"/>
      <c r="J185" s="266"/>
      <c r="K185" s="1"/>
      <c r="L185" s="1"/>
    </row>
    <row r="186">
      <c r="A186" s="266">
        <v>400.0</v>
      </c>
      <c r="B186" s="266"/>
      <c r="C186" s="266">
        <v>5.0</v>
      </c>
      <c r="D186" s="266" t="s">
        <v>6498</v>
      </c>
      <c r="E186" s="266"/>
      <c r="F186" s="266"/>
      <c r="G186" s="266" t="s">
        <v>6304</v>
      </c>
      <c r="H186" s="266" t="s">
        <v>3806</v>
      </c>
      <c r="I186" s="266"/>
      <c r="J186" s="266"/>
      <c r="K186" s="1"/>
      <c r="L186" s="1"/>
    </row>
    <row r="187">
      <c r="A187" s="266">
        <v>500.0</v>
      </c>
      <c r="B187" s="266"/>
      <c r="C187" s="266">
        <v>5.0</v>
      </c>
      <c r="D187" s="266" t="s">
        <v>6451</v>
      </c>
      <c r="E187" s="266"/>
      <c r="F187" s="266"/>
      <c r="G187" s="266" t="s">
        <v>6304</v>
      </c>
      <c r="H187" s="266" t="s">
        <v>555</v>
      </c>
      <c r="I187" s="266"/>
      <c r="J187" s="266"/>
      <c r="K187" s="1"/>
      <c r="L187" s="1"/>
    </row>
    <row r="188">
      <c r="A188" s="266">
        <v>600.0</v>
      </c>
      <c r="B188" s="266"/>
      <c r="C188" s="266">
        <v>5.0</v>
      </c>
      <c r="D188" s="266" t="s">
        <v>6306</v>
      </c>
      <c r="E188" s="266"/>
      <c r="F188" s="266"/>
      <c r="G188" s="266" t="s">
        <v>6304</v>
      </c>
      <c r="H188" s="266" t="s">
        <v>6499</v>
      </c>
      <c r="I188" s="266"/>
      <c r="J188" s="266"/>
      <c r="K188" s="1"/>
      <c r="L188" s="1"/>
    </row>
    <row r="189">
      <c r="A189" s="266">
        <v>50.0</v>
      </c>
      <c r="B189" s="266">
        <v>1.0</v>
      </c>
      <c r="C189" s="266"/>
      <c r="D189" s="266" t="s">
        <v>6500</v>
      </c>
      <c r="E189" s="266"/>
      <c r="F189" s="266"/>
      <c r="G189" s="266"/>
      <c r="H189" s="266"/>
      <c r="I189" s="266"/>
      <c r="J189" s="267"/>
    </row>
    <row r="190">
      <c r="A190" s="266">
        <v>100.0</v>
      </c>
      <c r="B190" s="266"/>
      <c r="C190" s="266">
        <v>5.0</v>
      </c>
      <c r="D190" s="266" t="s">
        <v>6501</v>
      </c>
      <c r="E190" s="266" t="s">
        <v>6479</v>
      </c>
      <c r="F190" s="266">
        <v>3.0</v>
      </c>
      <c r="G190" s="266" t="s">
        <v>6304</v>
      </c>
      <c r="H190" s="266" t="s">
        <v>555</v>
      </c>
      <c r="I190" s="266"/>
      <c r="J190" s="267"/>
    </row>
    <row r="191">
      <c r="A191" s="266">
        <v>200.0</v>
      </c>
      <c r="B191" s="266"/>
      <c r="C191" s="266">
        <v>5.0</v>
      </c>
      <c r="D191" s="266" t="s">
        <v>6502</v>
      </c>
      <c r="E191" s="266" t="s">
        <v>6479</v>
      </c>
      <c r="F191" s="266">
        <v>3.0</v>
      </c>
      <c r="G191" s="266" t="s">
        <v>6304</v>
      </c>
      <c r="H191" s="266" t="s">
        <v>555</v>
      </c>
      <c r="I191" s="266"/>
      <c r="J191" s="267"/>
    </row>
    <row r="192">
      <c r="A192" s="266">
        <v>300.0</v>
      </c>
      <c r="B192" s="266"/>
      <c r="C192" s="266">
        <v>5.0</v>
      </c>
      <c r="D192" s="266" t="s">
        <v>6503</v>
      </c>
      <c r="E192" s="266" t="s">
        <v>6479</v>
      </c>
      <c r="F192" s="266">
        <v>3.0</v>
      </c>
      <c r="G192" s="266" t="s">
        <v>6304</v>
      </c>
      <c r="H192" s="266" t="s">
        <v>555</v>
      </c>
      <c r="I192" s="266"/>
      <c r="J192" s="267"/>
    </row>
    <row r="193">
      <c r="A193" s="266">
        <v>400.0</v>
      </c>
      <c r="B193" s="266"/>
      <c r="C193" s="266">
        <v>5.0</v>
      </c>
      <c r="D193" s="266" t="s">
        <v>6504</v>
      </c>
      <c r="E193" s="266" t="s">
        <v>6479</v>
      </c>
      <c r="F193" s="266">
        <v>3.0</v>
      </c>
      <c r="G193" s="266" t="s">
        <v>6304</v>
      </c>
      <c r="H193" s="266" t="s">
        <v>555</v>
      </c>
      <c r="I193" s="266"/>
      <c r="J193" s="267"/>
    </row>
    <row r="194">
      <c r="A194" s="266">
        <v>500.0</v>
      </c>
      <c r="B194" s="266"/>
      <c r="C194" s="266">
        <v>5.0</v>
      </c>
      <c r="D194" s="266" t="s">
        <v>6505</v>
      </c>
      <c r="E194" s="266" t="s">
        <v>6479</v>
      </c>
      <c r="F194" s="266">
        <v>3.0</v>
      </c>
      <c r="G194" s="266" t="s">
        <v>6304</v>
      </c>
      <c r="H194" s="266" t="s">
        <v>555</v>
      </c>
      <c r="I194" s="266"/>
      <c r="J194" s="267"/>
    </row>
    <row r="195">
      <c r="A195" s="266">
        <v>600.0</v>
      </c>
      <c r="B195" s="266"/>
      <c r="C195" s="266">
        <v>5.0</v>
      </c>
      <c r="D195" s="266" t="s">
        <v>6506</v>
      </c>
      <c r="E195" s="266" t="s">
        <v>6479</v>
      </c>
      <c r="F195" s="266">
        <v>3.0</v>
      </c>
      <c r="G195" s="266" t="s">
        <v>6304</v>
      </c>
      <c r="H195" s="266" t="s">
        <v>555</v>
      </c>
      <c r="I195" s="266"/>
      <c r="J195" s="267"/>
    </row>
    <row r="196">
      <c r="A196" s="266">
        <v>700.0</v>
      </c>
      <c r="B196" s="266"/>
      <c r="C196" s="266">
        <v>5.0</v>
      </c>
      <c r="D196" s="266" t="s">
        <v>6507</v>
      </c>
      <c r="E196" s="266" t="s">
        <v>6479</v>
      </c>
      <c r="F196" s="266">
        <v>3.0</v>
      </c>
      <c r="G196" s="266" t="s">
        <v>6304</v>
      </c>
      <c r="H196" s="266" t="s">
        <v>555</v>
      </c>
      <c r="I196" s="266"/>
      <c r="J196" s="267"/>
    </row>
    <row r="197">
      <c r="A197" s="266">
        <v>800.0</v>
      </c>
      <c r="B197" s="266"/>
      <c r="C197" s="266">
        <v>5.0</v>
      </c>
      <c r="D197" s="266" t="s">
        <v>6508</v>
      </c>
      <c r="E197" s="266" t="s">
        <v>6479</v>
      </c>
      <c r="F197" s="266">
        <v>3.0</v>
      </c>
      <c r="G197" s="266" t="s">
        <v>6304</v>
      </c>
      <c r="H197" s="266" t="s">
        <v>555</v>
      </c>
      <c r="I197" s="266"/>
      <c r="J197" s="267"/>
    </row>
    <row r="198">
      <c r="A198" s="266">
        <v>900.0</v>
      </c>
      <c r="B198" s="266"/>
      <c r="C198" s="266">
        <v>5.0</v>
      </c>
      <c r="D198" s="266" t="s">
        <v>6509</v>
      </c>
      <c r="E198" s="266" t="s">
        <v>6479</v>
      </c>
      <c r="F198" s="266">
        <v>2.0</v>
      </c>
      <c r="G198" s="266" t="s">
        <v>6304</v>
      </c>
      <c r="H198" s="266" t="s">
        <v>6510</v>
      </c>
      <c r="I198" s="266"/>
      <c r="J198" s="267"/>
    </row>
    <row r="199">
      <c r="A199" s="266">
        <v>1000.0</v>
      </c>
      <c r="B199" s="266"/>
      <c r="C199" s="266">
        <v>5.0</v>
      </c>
      <c r="D199" s="266" t="s">
        <v>6511</v>
      </c>
      <c r="E199" s="266" t="s">
        <v>6479</v>
      </c>
      <c r="F199" s="266">
        <v>4.0</v>
      </c>
      <c r="G199" s="266" t="s">
        <v>6304</v>
      </c>
      <c r="H199" s="266" t="s">
        <v>6510</v>
      </c>
      <c r="I199" s="266"/>
      <c r="J199" s="267"/>
    </row>
    <row r="200">
      <c r="A200" s="266">
        <v>1100.0</v>
      </c>
      <c r="B200" s="266"/>
      <c r="C200" s="266">
        <v>5.0</v>
      </c>
      <c r="D200" s="266" t="s">
        <v>6512</v>
      </c>
      <c r="E200" s="266" t="s">
        <v>6479</v>
      </c>
      <c r="F200" s="266">
        <v>4.0</v>
      </c>
      <c r="G200" s="266" t="s">
        <v>6304</v>
      </c>
      <c r="H200" s="266" t="s">
        <v>6510</v>
      </c>
      <c r="I200" s="266"/>
      <c r="J200" s="267"/>
    </row>
    <row r="201">
      <c r="A201" s="266">
        <v>1200.0</v>
      </c>
      <c r="B201" s="266"/>
      <c r="C201" s="266">
        <v>5.0</v>
      </c>
      <c r="D201" s="266" t="s">
        <v>6513</v>
      </c>
      <c r="E201" s="266" t="s">
        <v>6479</v>
      </c>
      <c r="F201" s="266">
        <v>5.0</v>
      </c>
      <c r="G201" s="266" t="s">
        <v>6304</v>
      </c>
      <c r="H201" s="266" t="s">
        <v>5243</v>
      </c>
      <c r="I201" s="266"/>
      <c r="J201" s="267"/>
    </row>
    <row r="202">
      <c r="A202" s="266">
        <v>1300.0</v>
      </c>
      <c r="B202" s="266"/>
      <c r="C202" s="266">
        <v>5.0</v>
      </c>
      <c r="D202" s="266" t="s">
        <v>6514</v>
      </c>
      <c r="E202" s="266" t="s">
        <v>6479</v>
      </c>
      <c r="F202" s="266">
        <v>5.0</v>
      </c>
      <c r="G202" s="266" t="s">
        <v>6304</v>
      </c>
      <c r="H202" s="266" t="s">
        <v>5170</v>
      </c>
      <c r="I202" s="266" t="s">
        <v>6305</v>
      </c>
      <c r="J202" s="267"/>
    </row>
    <row r="203">
      <c r="A203" s="266">
        <v>1400.0</v>
      </c>
      <c r="B203" s="266"/>
      <c r="C203" s="266">
        <v>5.0</v>
      </c>
      <c r="D203" s="266" t="s">
        <v>6515</v>
      </c>
      <c r="E203" s="266" t="s">
        <v>6479</v>
      </c>
      <c r="F203" s="266">
        <v>5.0</v>
      </c>
      <c r="G203" s="266" t="s">
        <v>6304</v>
      </c>
      <c r="H203" s="266" t="s">
        <v>5170</v>
      </c>
      <c r="I203" s="266" t="s">
        <v>6305</v>
      </c>
      <c r="J203" s="267"/>
    </row>
    <row r="204">
      <c r="A204" s="266">
        <v>1500.0</v>
      </c>
      <c r="B204" s="266"/>
      <c r="C204" s="266">
        <v>5.0</v>
      </c>
      <c r="D204" s="266" t="s">
        <v>6516</v>
      </c>
      <c r="E204" s="266" t="s">
        <v>6479</v>
      </c>
      <c r="F204" s="266">
        <v>5.0</v>
      </c>
      <c r="G204" s="266" t="s">
        <v>6304</v>
      </c>
      <c r="H204" s="266" t="s">
        <v>5170</v>
      </c>
      <c r="I204" s="266" t="s">
        <v>6305</v>
      </c>
      <c r="J204" s="267"/>
    </row>
    <row r="205">
      <c r="A205" s="266">
        <v>1600.0</v>
      </c>
      <c r="B205" s="266"/>
      <c r="C205" s="266">
        <v>5.0</v>
      </c>
      <c r="D205" s="266" t="s">
        <v>6517</v>
      </c>
      <c r="E205" s="266" t="s">
        <v>6479</v>
      </c>
      <c r="F205" s="266">
        <v>4.0</v>
      </c>
      <c r="G205" s="266" t="s">
        <v>6304</v>
      </c>
      <c r="H205" s="266" t="s">
        <v>6518</v>
      </c>
      <c r="I205" s="266"/>
      <c r="J205" s="267"/>
    </row>
    <row r="206">
      <c r="A206" s="266">
        <v>1700.0</v>
      </c>
      <c r="B206" s="266"/>
      <c r="C206" s="266">
        <v>5.0</v>
      </c>
      <c r="D206" s="266" t="s">
        <v>6519</v>
      </c>
      <c r="E206" s="266" t="s">
        <v>6479</v>
      </c>
      <c r="F206" s="266">
        <v>4.0</v>
      </c>
      <c r="G206" s="266" t="s">
        <v>6304</v>
      </c>
      <c r="H206" s="266" t="s">
        <v>555</v>
      </c>
      <c r="I206" s="266"/>
      <c r="J206" s="267"/>
    </row>
    <row r="207">
      <c r="A207" s="266">
        <v>1800.0</v>
      </c>
      <c r="B207" s="266"/>
      <c r="C207" s="266">
        <v>5.0</v>
      </c>
      <c r="D207" s="266" t="s">
        <v>6520</v>
      </c>
      <c r="E207" s="266" t="s">
        <v>6479</v>
      </c>
      <c r="F207" s="266">
        <v>4.0</v>
      </c>
      <c r="G207" s="266" t="s">
        <v>6304</v>
      </c>
      <c r="H207" s="266" t="s">
        <v>555</v>
      </c>
      <c r="I207" s="266"/>
      <c r="J207" s="267"/>
    </row>
    <row r="208">
      <c r="A208" s="266">
        <v>1900.0</v>
      </c>
      <c r="B208" s="266"/>
      <c r="C208" s="266">
        <v>5.0</v>
      </c>
      <c r="D208" s="266" t="s">
        <v>6451</v>
      </c>
      <c r="E208" s="266"/>
      <c r="F208" s="266"/>
      <c r="G208" s="266" t="s">
        <v>6304</v>
      </c>
      <c r="H208" s="266" t="s">
        <v>555</v>
      </c>
      <c r="I208" s="266"/>
      <c r="J208" s="266"/>
      <c r="K208" s="1"/>
      <c r="L208" s="1"/>
    </row>
    <row r="209">
      <c r="A209" s="266">
        <v>2000.0</v>
      </c>
      <c r="B209" s="266"/>
      <c r="C209" s="266">
        <v>5.0</v>
      </c>
      <c r="D209" s="266" t="s">
        <v>6306</v>
      </c>
      <c r="E209" s="266"/>
      <c r="F209" s="266"/>
      <c r="G209" s="266" t="s">
        <v>6304</v>
      </c>
      <c r="H209" s="266" t="s">
        <v>6521</v>
      </c>
      <c r="I209" s="266"/>
      <c r="J209" s="266"/>
      <c r="K209" s="1"/>
      <c r="L209" s="1"/>
    </row>
    <row r="210">
      <c r="A210" s="266">
        <v>50.0</v>
      </c>
      <c r="B210" s="266">
        <v>1.0</v>
      </c>
      <c r="C210" s="266"/>
      <c r="D210" s="266" t="s">
        <v>6522</v>
      </c>
      <c r="E210" s="266"/>
      <c r="F210" s="266"/>
      <c r="G210" s="266"/>
      <c r="H210" s="266"/>
      <c r="I210" s="266"/>
      <c r="J210" s="267"/>
    </row>
    <row r="211">
      <c r="A211" s="266">
        <v>100.0</v>
      </c>
      <c r="B211" s="266"/>
      <c r="C211" s="266">
        <v>5.0</v>
      </c>
      <c r="D211" s="266" t="s">
        <v>6523</v>
      </c>
      <c r="E211" s="266"/>
      <c r="F211" s="266"/>
      <c r="G211" s="266" t="s">
        <v>6304</v>
      </c>
      <c r="H211" s="266" t="s">
        <v>551</v>
      </c>
      <c r="I211" s="266"/>
      <c r="J211" s="266"/>
      <c r="K211" s="1"/>
      <c r="L211" s="1"/>
    </row>
    <row r="212">
      <c r="A212" s="266">
        <v>200.0</v>
      </c>
      <c r="B212" s="266"/>
      <c r="C212" s="266">
        <v>5.0</v>
      </c>
      <c r="D212" s="266" t="s">
        <v>6524</v>
      </c>
      <c r="E212" s="266"/>
      <c r="F212" s="266"/>
      <c r="G212" s="266" t="s">
        <v>6304</v>
      </c>
      <c r="H212" s="266" t="s">
        <v>6525</v>
      </c>
      <c r="I212" s="266"/>
      <c r="J212" s="266"/>
      <c r="K212" s="1"/>
      <c r="L212" s="1"/>
    </row>
    <row r="213">
      <c r="A213" s="266">
        <v>300.0</v>
      </c>
      <c r="B213" s="266"/>
      <c r="C213" s="266">
        <v>5.0</v>
      </c>
      <c r="D213" s="266" t="s">
        <v>6526</v>
      </c>
      <c r="E213" s="266"/>
      <c r="F213" s="266"/>
      <c r="G213" s="266" t="s">
        <v>6304</v>
      </c>
      <c r="H213" s="266" t="s">
        <v>556</v>
      </c>
      <c r="I213" s="266"/>
      <c r="J213" s="266"/>
      <c r="K213" s="1"/>
      <c r="L213" s="1"/>
    </row>
    <row r="214">
      <c r="A214" s="266">
        <v>400.0</v>
      </c>
      <c r="B214" s="266"/>
      <c r="C214" s="266">
        <v>5.0</v>
      </c>
      <c r="D214" s="266" t="s">
        <v>6306</v>
      </c>
      <c r="E214" s="266"/>
      <c r="F214" s="266"/>
      <c r="G214" s="266" t="s">
        <v>6304</v>
      </c>
      <c r="H214" s="266" t="s">
        <v>17</v>
      </c>
      <c r="I214" s="266"/>
      <c r="J214" s="266"/>
      <c r="K214" s="1"/>
      <c r="L214" s="1"/>
    </row>
    <row r="215">
      <c r="A215" s="266">
        <v>50.0</v>
      </c>
      <c r="B215" s="266">
        <v>1.0</v>
      </c>
      <c r="C215" s="266"/>
      <c r="D215" s="266" t="s">
        <v>6527</v>
      </c>
      <c r="E215" s="266"/>
      <c r="F215" s="266"/>
      <c r="G215" s="266"/>
      <c r="H215" s="266"/>
      <c r="I215" s="266"/>
      <c r="J215" s="267"/>
    </row>
    <row r="216">
      <c r="A216" s="266">
        <v>100.0</v>
      </c>
      <c r="B216" s="266"/>
      <c r="C216" s="266">
        <v>5.0</v>
      </c>
      <c r="D216" s="266" t="s">
        <v>6528</v>
      </c>
      <c r="E216" s="266"/>
      <c r="F216" s="266"/>
      <c r="G216" s="266"/>
      <c r="H216" s="266"/>
      <c r="I216" s="266"/>
      <c r="J216" s="267"/>
    </row>
    <row r="217">
      <c r="A217" s="266">
        <v>200.0</v>
      </c>
      <c r="B217" s="266"/>
      <c r="C217" s="266">
        <v>10.0</v>
      </c>
      <c r="D217" s="266" t="s">
        <v>6529</v>
      </c>
      <c r="E217" s="266"/>
      <c r="F217" s="266"/>
      <c r="G217" s="266" t="s">
        <v>6304</v>
      </c>
      <c r="H217" s="266" t="s">
        <v>6315</v>
      </c>
      <c r="I217" s="266"/>
      <c r="J217" s="266"/>
      <c r="K217" s="1"/>
      <c r="L217" s="1"/>
    </row>
    <row r="218">
      <c r="A218" s="266">
        <v>300.0</v>
      </c>
      <c r="B218" s="266"/>
      <c r="C218" s="266">
        <v>10.0</v>
      </c>
      <c r="D218" s="266" t="s">
        <v>6530</v>
      </c>
      <c r="E218" s="266"/>
      <c r="F218" s="266"/>
      <c r="G218" s="266" t="s">
        <v>6304</v>
      </c>
      <c r="H218" s="266" t="s">
        <v>6390</v>
      </c>
      <c r="I218" s="266"/>
      <c r="J218" s="266"/>
      <c r="K218" s="1"/>
      <c r="L218" s="1"/>
    </row>
    <row r="219">
      <c r="A219" s="266">
        <v>400.0</v>
      </c>
      <c r="B219" s="266"/>
      <c r="C219" s="266">
        <v>5.0</v>
      </c>
      <c r="D219" s="266" t="s">
        <v>6531</v>
      </c>
      <c r="E219" s="266"/>
      <c r="F219" s="266"/>
      <c r="G219" s="266" t="s">
        <v>6304</v>
      </c>
      <c r="H219" s="266" t="s">
        <v>6348</v>
      </c>
      <c r="I219" s="266"/>
      <c r="J219" s="266"/>
      <c r="K219" s="1"/>
      <c r="L219" s="1"/>
    </row>
    <row r="220">
      <c r="A220" s="266">
        <v>500.0</v>
      </c>
      <c r="B220" s="266"/>
      <c r="C220" s="266">
        <v>5.0</v>
      </c>
      <c r="D220" s="266" t="s">
        <v>6532</v>
      </c>
      <c r="E220" s="266"/>
      <c r="F220" s="266"/>
      <c r="G220" s="266" t="s">
        <v>6304</v>
      </c>
      <c r="H220" s="266" t="s">
        <v>17</v>
      </c>
      <c r="I220" s="266"/>
      <c r="J220" s="266"/>
      <c r="K220" s="1"/>
      <c r="L220" s="1"/>
    </row>
    <row r="221">
      <c r="A221" s="266">
        <v>600.0</v>
      </c>
      <c r="B221" s="266"/>
      <c r="C221" s="266">
        <v>5.0</v>
      </c>
      <c r="D221" s="266" t="s">
        <v>6533</v>
      </c>
      <c r="E221" s="266"/>
      <c r="F221" s="266"/>
      <c r="G221" s="266" t="s">
        <v>6304</v>
      </c>
      <c r="H221" s="266" t="s">
        <v>17</v>
      </c>
      <c r="I221" s="266"/>
      <c r="J221" s="266"/>
      <c r="K221" s="1"/>
      <c r="L221" s="1"/>
    </row>
    <row r="222">
      <c r="A222" s="266">
        <v>700.0</v>
      </c>
      <c r="B222" s="266"/>
      <c r="C222" s="266">
        <v>5.0</v>
      </c>
      <c r="D222" s="266" t="s">
        <v>6450</v>
      </c>
      <c r="E222" s="266"/>
      <c r="F222" s="266"/>
      <c r="G222" s="266" t="s">
        <v>6304</v>
      </c>
      <c r="H222" s="266" t="s">
        <v>6336</v>
      </c>
      <c r="I222" s="266"/>
      <c r="J222" s="266"/>
      <c r="K222" s="1"/>
      <c r="L222" s="1"/>
    </row>
    <row r="223">
      <c r="A223" s="266">
        <v>800.0</v>
      </c>
      <c r="B223" s="266"/>
      <c r="C223" s="266">
        <v>5.0</v>
      </c>
      <c r="D223" s="266" t="s">
        <v>6451</v>
      </c>
      <c r="E223" s="266"/>
      <c r="F223" s="266"/>
      <c r="G223" s="266" t="s">
        <v>6304</v>
      </c>
      <c r="H223" s="266" t="s">
        <v>555</v>
      </c>
      <c r="I223" s="266"/>
      <c r="J223" s="266"/>
      <c r="K223" s="1"/>
      <c r="L223" s="1"/>
    </row>
    <row r="224">
      <c r="A224" s="266">
        <v>900.0</v>
      </c>
      <c r="B224" s="266"/>
      <c r="C224" s="266">
        <v>5.0</v>
      </c>
      <c r="D224" s="266" t="s">
        <v>6306</v>
      </c>
      <c r="E224" s="266"/>
      <c r="F224" s="266"/>
      <c r="G224" s="266" t="s">
        <v>6304</v>
      </c>
      <c r="H224" s="266" t="s">
        <v>6534</v>
      </c>
      <c r="I224" s="266"/>
      <c r="J224" s="266"/>
      <c r="K224" s="1"/>
      <c r="L224" s="1"/>
    </row>
    <row r="225">
      <c r="A225" s="266">
        <v>50.0</v>
      </c>
      <c r="B225" s="266">
        <v>1.0</v>
      </c>
      <c r="C225" s="266"/>
      <c r="D225" s="266" t="s">
        <v>6535</v>
      </c>
      <c r="E225" s="266"/>
      <c r="F225" s="266"/>
      <c r="G225" s="266"/>
      <c r="H225" s="266"/>
      <c r="I225" s="266"/>
      <c r="J225" s="267"/>
    </row>
    <row r="226">
      <c r="A226" s="266">
        <v>100.0</v>
      </c>
      <c r="B226" s="266"/>
      <c r="C226" s="266">
        <v>5.0</v>
      </c>
      <c r="D226" s="266" t="s">
        <v>6536</v>
      </c>
      <c r="E226" s="266"/>
      <c r="F226" s="266"/>
      <c r="G226" s="266"/>
      <c r="H226" s="266"/>
      <c r="I226" s="266"/>
      <c r="J226" s="267"/>
    </row>
    <row r="227">
      <c r="A227" s="266">
        <v>200.0</v>
      </c>
      <c r="B227" s="266"/>
      <c r="C227" s="266">
        <v>10.0</v>
      </c>
      <c r="D227" s="266" t="s">
        <v>6537</v>
      </c>
      <c r="E227" s="266"/>
      <c r="F227" s="266"/>
      <c r="G227" s="266" t="s">
        <v>6304</v>
      </c>
      <c r="H227" s="266" t="s">
        <v>6390</v>
      </c>
      <c r="I227" s="266"/>
      <c r="J227" s="266"/>
      <c r="K227" s="1"/>
      <c r="L227" s="1"/>
    </row>
    <row r="228">
      <c r="A228" s="266">
        <v>300.0</v>
      </c>
      <c r="B228" s="266"/>
      <c r="C228" s="266">
        <v>10.0</v>
      </c>
      <c r="D228" s="266" t="s">
        <v>514</v>
      </c>
      <c r="E228" s="266"/>
      <c r="F228" s="266"/>
      <c r="G228" s="266" t="s">
        <v>6304</v>
      </c>
      <c r="H228" s="266" t="s">
        <v>551</v>
      </c>
      <c r="I228" s="266"/>
      <c r="J228" s="266"/>
      <c r="K228" s="1"/>
      <c r="L228" s="1"/>
    </row>
    <row r="229">
      <c r="A229" s="266">
        <v>400.0</v>
      </c>
      <c r="B229" s="266"/>
      <c r="C229" s="266">
        <v>10.0</v>
      </c>
      <c r="D229" s="266" t="s">
        <v>6538</v>
      </c>
      <c r="E229" s="266"/>
      <c r="F229" s="266"/>
      <c r="G229" s="266" t="s">
        <v>6304</v>
      </c>
      <c r="H229" s="266" t="s">
        <v>6317</v>
      </c>
      <c r="I229" s="266"/>
      <c r="J229" s="266"/>
      <c r="K229" s="1"/>
      <c r="L229" s="1"/>
    </row>
    <row r="230">
      <c r="A230" s="266">
        <v>500.0</v>
      </c>
      <c r="B230" s="266"/>
      <c r="C230" s="266">
        <v>5.0</v>
      </c>
      <c r="D230" s="266" t="s">
        <v>6539</v>
      </c>
      <c r="E230" s="266"/>
      <c r="F230" s="266"/>
      <c r="G230" s="266" t="s">
        <v>6304</v>
      </c>
      <c r="H230" s="266" t="s">
        <v>6315</v>
      </c>
      <c r="I230" s="266"/>
      <c r="J230" s="266"/>
      <c r="K230" s="1"/>
      <c r="L230" s="1"/>
    </row>
    <row r="231">
      <c r="A231" s="266">
        <v>600.0</v>
      </c>
      <c r="B231" s="266"/>
      <c r="C231" s="266">
        <v>5.0</v>
      </c>
      <c r="D231" s="266" t="s">
        <v>6540</v>
      </c>
      <c r="E231" s="266"/>
      <c r="F231" s="266"/>
      <c r="G231" s="266" t="s">
        <v>6304</v>
      </c>
      <c r="H231" s="266" t="s">
        <v>5168</v>
      </c>
      <c r="I231" s="266"/>
      <c r="J231" s="266"/>
      <c r="K231" s="1"/>
      <c r="L231" s="1"/>
    </row>
    <row r="232">
      <c r="A232" s="266">
        <v>700.0</v>
      </c>
      <c r="B232" s="266"/>
      <c r="C232" s="266">
        <v>5.0</v>
      </c>
      <c r="D232" s="266" t="s">
        <v>6541</v>
      </c>
      <c r="E232" s="266"/>
      <c r="F232" s="266"/>
      <c r="G232" s="266" t="s">
        <v>6304</v>
      </c>
      <c r="H232" s="266" t="s">
        <v>6542</v>
      </c>
      <c r="I232" s="266" t="s">
        <v>6305</v>
      </c>
      <c r="J232" s="266"/>
      <c r="K232" s="1"/>
      <c r="L232" s="1"/>
    </row>
    <row r="233">
      <c r="A233" s="266">
        <v>800.0</v>
      </c>
      <c r="B233" s="266"/>
      <c r="C233" s="266">
        <v>5.0</v>
      </c>
      <c r="D233" s="266" t="s">
        <v>6543</v>
      </c>
      <c r="E233" s="266"/>
      <c r="F233" s="266"/>
      <c r="G233" s="266" t="s">
        <v>6304</v>
      </c>
      <c r="H233" s="266" t="s">
        <v>17</v>
      </c>
      <c r="I233" s="266"/>
      <c r="J233" s="266"/>
      <c r="K233" s="1"/>
      <c r="L233" s="1"/>
    </row>
    <row r="234">
      <c r="A234" s="266">
        <v>900.0</v>
      </c>
      <c r="B234" s="266"/>
      <c r="C234" s="266">
        <v>5.0</v>
      </c>
      <c r="D234" s="266" t="s">
        <v>6544</v>
      </c>
      <c r="E234" s="266"/>
      <c r="F234" s="266"/>
      <c r="G234" s="266" t="s">
        <v>6304</v>
      </c>
      <c r="H234" s="266" t="s">
        <v>6348</v>
      </c>
      <c r="I234" s="266"/>
      <c r="J234" s="266"/>
      <c r="K234" s="1"/>
      <c r="L234" s="1"/>
    </row>
    <row r="235">
      <c r="A235" s="266">
        <v>1000.0</v>
      </c>
      <c r="B235" s="266"/>
      <c r="C235" s="266">
        <v>5.0</v>
      </c>
      <c r="D235" s="266" t="s">
        <v>6545</v>
      </c>
      <c r="E235" s="266"/>
      <c r="F235" s="266"/>
      <c r="G235" s="266" t="s">
        <v>6304</v>
      </c>
      <c r="H235" s="266" t="s">
        <v>17</v>
      </c>
      <c r="I235" s="266"/>
      <c r="J235" s="266"/>
      <c r="K235" s="1"/>
      <c r="L235" s="1"/>
    </row>
    <row r="236">
      <c r="A236" s="266">
        <v>1100.0</v>
      </c>
      <c r="B236" s="266"/>
      <c r="C236" s="266">
        <v>5.0</v>
      </c>
      <c r="D236" s="266" t="s">
        <v>6546</v>
      </c>
      <c r="E236" s="266"/>
      <c r="F236" s="266"/>
      <c r="G236" s="266" t="s">
        <v>6304</v>
      </c>
      <c r="H236" s="266" t="s">
        <v>5168</v>
      </c>
      <c r="I236" s="266"/>
      <c r="J236" s="266"/>
      <c r="K236" s="1"/>
      <c r="L236" s="1"/>
    </row>
    <row r="237">
      <c r="A237" s="266">
        <v>1200.0</v>
      </c>
      <c r="B237" s="266"/>
      <c r="C237" s="266">
        <v>5.0</v>
      </c>
      <c r="D237" s="266" t="s">
        <v>6547</v>
      </c>
      <c r="E237" s="266"/>
      <c r="F237" s="266"/>
      <c r="G237" s="266" t="s">
        <v>6304</v>
      </c>
      <c r="H237" s="266" t="s">
        <v>17</v>
      </c>
      <c r="I237" s="266"/>
      <c r="J237" s="266"/>
      <c r="K237" s="1"/>
      <c r="L237" s="1"/>
    </row>
    <row r="238">
      <c r="A238" s="266">
        <v>1300.0</v>
      </c>
      <c r="B238" s="266"/>
      <c r="C238" s="266">
        <v>5.0</v>
      </c>
      <c r="D238" s="266" t="s">
        <v>6548</v>
      </c>
      <c r="E238" s="266"/>
      <c r="F238" s="266"/>
      <c r="G238" s="266" t="s">
        <v>6304</v>
      </c>
      <c r="H238" s="266" t="s">
        <v>555</v>
      </c>
      <c r="I238" s="266"/>
      <c r="J238" s="266"/>
      <c r="K238" s="1"/>
      <c r="L238" s="1"/>
    </row>
    <row r="239">
      <c r="A239" s="266">
        <v>1400.0</v>
      </c>
      <c r="B239" s="266"/>
      <c r="C239" s="266">
        <v>5.0</v>
      </c>
      <c r="D239" s="266" t="s">
        <v>6549</v>
      </c>
      <c r="E239" s="266" t="s">
        <v>6479</v>
      </c>
      <c r="F239" s="266">
        <v>4.0</v>
      </c>
      <c r="G239" s="266" t="s">
        <v>6304</v>
      </c>
      <c r="H239" s="266" t="s">
        <v>6550</v>
      </c>
      <c r="I239" s="266"/>
      <c r="J239" s="267"/>
    </row>
    <row r="240">
      <c r="A240" s="266">
        <v>1500.0</v>
      </c>
      <c r="B240" s="266"/>
      <c r="C240" s="266">
        <v>5.0</v>
      </c>
      <c r="D240" s="266" t="s">
        <v>6551</v>
      </c>
      <c r="E240" s="266" t="s">
        <v>6479</v>
      </c>
      <c r="F240" s="266">
        <v>4.0</v>
      </c>
      <c r="G240" s="266" t="s">
        <v>6304</v>
      </c>
      <c r="H240" s="266" t="s">
        <v>5168</v>
      </c>
      <c r="I240" s="266"/>
      <c r="J240" s="267"/>
    </row>
    <row r="241">
      <c r="A241" s="266">
        <v>1600.0</v>
      </c>
      <c r="B241" s="266"/>
      <c r="C241" s="266">
        <v>5.0</v>
      </c>
      <c r="D241" s="266" t="s">
        <v>6552</v>
      </c>
      <c r="E241" s="266" t="s">
        <v>6479</v>
      </c>
      <c r="F241" s="266">
        <v>4.0</v>
      </c>
      <c r="G241" s="266" t="s">
        <v>6304</v>
      </c>
      <c r="H241" s="266" t="s">
        <v>3793</v>
      </c>
      <c r="I241" s="266"/>
      <c r="J241" s="267"/>
    </row>
    <row r="242">
      <c r="A242" s="266">
        <v>1700.0</v>
      </c>
      <c r="B242" s="266"/>
      <c r="C242" s="266">
        <v>5.0</v>
      </c>
      <c r="D242" s="266" t="s">
        <v>6553</v>
      </c>
      <c r="E242" s="266" t="s">
        <v>6479</v>
      </c>
      <c r="F242" s="266">
        <v>4.0</v>
      </c>
      <c r="G242" s="266" t="s">
        <v>6304</v>
      </c>
      <c r="H242" s="266" t="s">
        <v>6542</v>
      </c>
      <c r="I242" s="266" t="s">
        <v>6305</v>
      </c>
      <c r="J242" s="267"/>
    </row>
    <row r="243">
      <c r="A243" s="266">
        <v>1800.0</v>
      </c>
      <c r="B243" s="266"/>
      <c r="C243" s="266">
        <v>5.0</v>
      </c>
      <c r="D243" s="266" t="s">
        <v>6554</v>
      </c>
      <c r="E243" s="266" t="s">
        <v>6479</v>
      </c>
      <c r="F243" s="266">
        <v>3.0</v>
      </c>
      <c r="G243" s="266" t="s">
        <v>6304</v>
      </c>
      <c r="H243" s="266" t="s">
        <v>6510</v>
      </c>
      <c r="I243" s="266"/>
      <c r="J243" s="267"/>
    </row>
    <row r="244">
      <c r="A244" s="266">
        <v>1900.0</v>
      </c>
      <c r="B244" s="266"/>
      <c r="C244" s="266">
        <v>5.0</v>
      </c>
      <c r="D244" s="266" t="s">
        <v>6555</v>
      </c>
      <c r="E244" s="266"/>
      <c r="F244" s="266"/>
      <c r="G244" s="266" t="s">
        <v>6304</v>
      </c>
      <c r="H244" s="266" t="s">
        <v>17</v>
      </c>
      <c r="I244" s="266"/>
      <c r="J244" s="266"/>
      <c r="K244" s="1"/>
      <c r="L244" s="1"/>
    </row>
    <row r="245">
      <c r="A245" s="266">
        <v>2000.0</v>
      </c>
      <c r="B245" s="266"/>
      <c r="C245" s="266">
        <v>5.0</v>
      </c>
      <c r="D245" s="266" t="s">
        <v>6556</v>
      </c>
      <c r="E245" s="266"/>
      <c r="F245" s="266"/>
      <c r="G245" s="266" t="s">
        <v>6304</v>
      </c>
      <c r="H245" s="266" t="s">
        <v>6542</v>
      </c>
      <c r="I245" s="266" t="s">
        <v>6305</v>
      </c>
      <c r="J245" s="266"/>
      <c r="K245" s="1"/>
      <c r="L245" s="1"/>
    </row>
    <row r="246">
      <c r="A246" s="266">
        <v>2100.0</v>
      </c>
      <c r="B246" s="266"/>
      <c r="C246" s="266">
        <v>5.0</v>
      </c>
      <c r="D246" s="266" t="s">
        <v>6557</v>
      </c>
      <c r="E246" s="266"/>
      <c r="F246" s="266"/>
      <c r="G246" s="266" t="s">
        <v>6304</v>
      </c>
      <c r="H246" s="266" t="s">
        <v>6558</v>
      </c>
      <c r="I246" s="266"/>
      <c r="J246" s="266"/>
      <c r="K246" s="1"/>
      <c r="L246" s="1"/>
    </row>
    <row r="247">
      <c r="A247" s="266">
        <v>2200.0</v>
      </c>
      <c r="B247" s="266"/>
      <c r="C247" s="266">
        <v>5.0</v>
      </c>
      <c r="D247" s="266" t="s">
        <v>6559</v>
      </c>
      <c r="E247" s="266"/>
      <c r="F247" s="266"/>
      <c r="G247" s="266" t="s">
        <v>6304</v>
      </c>
      <c r="H247" s="266" t="s">
        <v>5168</v>
      </c>
      <c r="I247" s="266"/>
      <c r="J247" s="266"/>
      <c r="K247" s="1"/>
      <c r="L247" s="1"/>
    </row>
    <row r="248">
      <c r="A248" s="266">
        <v>2300.0</v>
      </c>
      <c r="B248" s="266"/>
      <c r="C248" s="266">
        <v>5.0</v>
      </c>
      <c r="D248" s="266" t="s">
        <v>6560</v>
      </c>
      <c r="E248" s="266"/>
      <c r="F248" s="266"/>
      <c r="G248" s="266" t="s">
        <v>6304</v>
      </c>
      <c r="H248" s="266" t="s">
        <v>5243</v>
      </c>
      <c r="I248" s="266"/>
      <c r="J248" s="266"/>
      <c r="K248" s="1"/>
      <c r="L248" s="1"/>
    </row>
    <row r="249">
      <c r="A249" s="266">
        <v>2400.0</v>
      </c>
      <c r="B249" s="266"/>
      <c r="C249" s="266">
        <v>5.0</v>
      </c>
      <c r="D249" s="266" t="s">
        <v>6561</v>
      </c>
      <c r="E249" s="266"/>
      <c r="F249" s="266"/>
      <c r="G249" s="266" t="s">
        <v>6304</v>
      </c>
      <c r="H249" s="266" t="s">
        <v>555</v>
      </c>
      <c r="I249" s="266"/>
      <c r="J249" s="266"/>
      <c r="K249" s="1"/>
      <c r="L249" s="1"/>
    </row>
    <row r="250">
      <c r="A250" s="266">
        <v>2500.0</v>
      </c>
      <c r="B250" s="266"/>
      <c r="C250" s="266">
        <v>5.0</v>
      </c>
      <c r="D250" s="266" t="s">
        <v>6562</v>
      </c>
      <c r="E250" s="266"/>
      <c r="F250" s="266"/>
      <c r="G250" s="266" t="s">
        <v>6304</v>
      </c>
      <c r="H250" s="266" t="s">
        <v>6336</v>
      </c>
      <c r="I250" s="266"/>
      <c r="J250" s="266"/>
      <c r="K250" s="1"/>
      <c r="L250" s="1"/>
    </row>
    <row r="251">
      <c r="A251" s="266">
        <v>2600.0</v>
      </c>
      <c r="B251" s="266"/>
      <c r="C251" s="266">
        <v>5.0</v>
      </c>
      <c r="D251" s="266" t="s">
        <v>6563</v>
      </c>
      <c r="E251" s="266"/>
      <c r="F251" s="266"/>
      <c r="G251" s="266" t="s">
        <v>6304</v>
      </c>
      <c r="H251" s="266" t="s">
        <v>5170</v>
      </c>
      <c r="I251" s="266" t="s">
        <v>6305</v>
      </c>
      <c r="J251" s="266"/>
      <c r="K251" s="1"/>
      <c r="L251" s="1"/>
    </row>
    <row r="252">
      <c r="A252" s="266">
        <v>2700.0</v>
      </c>
      <c r="B252" s="266"/>
      <c r="C252" s="266">
        <v>5.0</v>
      </c>
      <c r="D252" s="266" t="s">
        <v>6564</v>
      </c>
      <c r="E252" s="266"/>
      <c r="F252" s="266"/>
      <c r="G252" s="266" t="s">
        <v>6304</v>
      </c>
      <c r="H252" s="266" t="s">
        <v>5170</v>
      </c>
      <c r="I252" s="266" t="s">
        <v>6305</v>
      </c>
      <c r="J252" s="266"/>
      <c r="K252" s="1"/>
      <c r="L252" s="1"/>
    </row>
    <row r="253">
      <c r="A253" s="266">
        <v>2800.0</v>
      </c>
      <c r="B253" s="266"/>
      <c r="C253" s="266">
        <v>5.0</v>
      </c>
      <c r="D253" s="266" t="s">
        <v>6565</v>
      </c>
      <c r="E253" s="266" t="s">
        <v>6479</v>
      </c>
      <c r="F253" s="266">
        <v>2.0</v>
      </c>
      <c r="G253" s="266" t="s">
        <v>6304</v>
      </c>
      <c r="H253" s="266" t="s">
        <v>6466</v>
      </c>
      <c r="I253" s="266"/>
      <c r="J253" s="267"/>
    </row>
    <row r="254">
      <c r="A254" s="266">
        <v>2900.0</v>
      </c>
      <c r="B254" s="266"/>
      <c r="C254" s="266">
        <v>5.0</v>
      </c>
      <c r="D254" s="266" t="s">
        <v>6566</v>
      </c>
      <c r="E254" s="266" t="s">
        <v>6479</v>
      </c>
      <c r="F254" s="266">
        <v>2.0</v>
      </c>
      <c r="G254" s="266" t="s">
        <v>6304</v>
      </c>
      <c r="H254" s="266" t="s">
        <v>6466</v>
      </c>
      <c r="I254" s="266"/>
      <c r="J254" s="267"/>
    </row>
    <row r="255">
      <c r="A255" s="266">
        <v>3000.0</v>
      </c>
      <c r="B255" s="266"/>
      <c r="C255" s="266">
        <v>5.0</v>
      </c>
      <c r="D255" s="266" t="s">
        <v>6567</v>
      </c>
      <c r="E255" s="266" t="s">
        <v>6479</v>
      </c>
      <c r="F255" s="266">
        <v>10.0</v>
      </c>
      <c r="G255" s="266" t="s">
        <v>6304</v>
      </c>
      <c r="H255" s="266" t="s">
        <v>6466</v>
      </c>
      <c r="I255" s="266"/>
      <c r="J255" s="267"/>
    </row>
    <row r="256">
      <c r="A256" s="266">
        <v>3100.0</v>
      </c>
      <c r="B256" s="266"/>
      <c r="C256" s="266">
        <v>5.0</v>
      </c>
      <c r="D256" s="266" t="s">
        <v>6568</v>
      </c>
      <c r="E256" s="266"/>
      <c r="F256" s="266"/>
      <c r="G256" s="266" t="s">
        <v>6304</v>
      </c>
      <c r="H256" s="266" t="s">
        <v>6466</v>
      </c>
      <c r="I256" s="266"/>
      <c r="J256" s="266"/>
      <c r="K256" s="1"/>
      <c r="L256" s="1"/>
    </row>
    <row r="257">
      <c r="A257" s="266">
        <v>3200.0</v>
      </c>
      <c r="B257" s="266"/>
      <c r="C257" s="266">
        <v>5.0</v>
      </c>
      <c r="D257" s="266" t="s">
        <v>6451</v>
      </c>
      <c r="E257" s="266"/>
      <c r="F257" s="266"/>
      <c r="G257" s="266" t="s">
        <v>6304</v>
      </c>
      <c r="H257" s="266" t="s">
        <v>555</v>
      </c>
      <c r="I257" s="266"/>
      <c r="J257" s="266"/>
      <c r="K257" s="1"/>
      <c r="L257" s="1"/>
    </row>
    <row r="258">
      <c r="A258" s="266">
        <v>3300.0</v>
      </c>
      <c r="B258" s="266"/>
      <c r="C258" s="266">
        <v>5.0</v>
      </c>
      <c r="D258" s="266" t="s">
        <v>6306</v>
      </c>
      <c r="E258" s="266"/>
      <c r="F258" s="266"/>
      <c r="G258" s="266" t="s">
        <v>6304</v>
      </c>
      <c r="H258" s="266" t="s">
        <v>6569</v>
      </c>
      <c r="I258" s="266"/>
      <c r="J258" s="266"/>
      <c r="K258" s="1"/>
      <c r="L258" s="1"/>
    </row>
    <row r="259">
      <c r="A259" s="266">
        <v>50.0</v>
      </c>
      <c r="B259" s="266">
        <v>1.0</v>
      </c>
      <c r="C259" s="266"/>
      <c r="D259" s="266" t="s">
        <v>6570</v>
      </c>
      <c r="E259" s="266"/>
      <c r="F259" s="266"/>
      <c r="G259" s="266"/>
      <c r="H259" s="266"/>
      <c r="I259" s="266"/>
      <c r="J259" s="267"/>
    </row>
    <row r="260">
      <c r="A260" s="266">
        <v>100.0</v>
      </c>
      <c r="B260" s="266"/>
      <c r="C260" s="266">
        <v>5.0</v>
      </c>
      <c r="D260" s="266" t="s">
        <v>6571</v>
      </c>
      <c r="E260" s="266"/>
      <c r="F260" s="266"/>
      <c r="G260" s="266"/>
      <c r="H260" s="266"/>
      <c r="I260" s="266"/>
      <c r="J260" s="267"/>
    </row>
    <row r="261">
      <c r="A261" s="266">
        <v>200.0</v>
      </c>
      <c r="B261" s="266"/>
      <c r="C261" s="266">
        <v>10.0</v>
      </c>
      <c r="D261" s="266" t="s">
        <v>514</v>
      </c>
      <c r="E261" s="266"/>
      <c r="F261" s="266"/>
      <c r="G261" s="266" t="s">
        <v>6304</v>
      </c>
      <c r="H261" s="266" t="s">
        <v>551</v>
      </c>
      <c r="I261" s="266"/>
      <c r="J261" s="266"/>
      <c r="K261" s="1"/>
      <c r="L261" s="1"/>
    </row>
    <row r="262">
      <c r="A262" s="266">
        <v>300.0</v>
      </c>
      <c r="B262" s="266"/>
      <c r="C262" s="266">
        <v>10.0</v>
      </c>
      <c r="D262" s="266" t="s">
        <v>6572</v>
      </c>
      <c r="E262" s="266"/>
      <c r="F262" s="266"/>
      <c r="G262" s="266" t="s">
        <v>6304</v>
      </c>
      <c r="H262" s="266" t="s">
        <v>3806</v>
      </c>
      <c r="I262" s="266"/>
      <c r="J262" s="266"/>
      <c r="K262" s="1"/>
      <c r="L262" s="1"/>
    </row>
    <row r="263">
      <c r="A263" s="266">
        <v>400.0</v>
      </c>
      <c r="B263" s="266"/>
      <c r="C263" s="266">
        <v>5.0</v>
      </c>
      <c r="D263" s="266" t="s">
        <v>6537</v>
      </c>
      <c r="E263" s="266"/>
      <c r="F263" s="266"/>
      <c r="G263" s="266" t="s">
        <v>6304</v>
      </c>
      <c r="H263" s="266" t="s">
        <v>6390</v>
      </c>
      <c r="I263" s="266"/>
      <c r="J263" s="266"/>
      <c r="K263" s="1"/>
      <c r="L263" s="1"/>
    </row>
    <row r="264">
      <c r="A264" s="266">
        <v>500.0</v>
      </c>
      <c r="B264" s="266"/>
      <c r="C264" s="266">
        <v>5.0</v>
      </c>
      <c r="D264" s="266" t="s">
        <v>6540</v>
      </c>
      <c r="E264" s="266"/>
      <c r="F264" s="266"/>
      <c r="G264" s="266" t="s">
        <v>6304</v>
      </c>
      <c r="H264" s="266" t="s">
        <v>5168</v>
      </c>
      <c r="I264" s="266"/>
      <c r="J264" s="266"/>
      <c r="K264" s="1"/>
      <c r="L264" s="1"/>
    </row>
    <row r="265">
      <c r="A265" s="266">
        <v>600.0</v>
      </c>
      <c r="B265" s="266"/>
      <c r="C265" s="266">
        <v>5.0</v>
      </c>
      <c r="D265" s="266" t="s">
        <v>6517</v>
      </c>
      <c r="E265" s="266" t="s">
        <v>6479</v>
      </c>
      <c r="F265" s="266">
        <v>12.0</v>
      </c>
      <c r="G265" s="266" t="s">
        <v>6304</v>
      </c>
      <c r="H265" s="266" t="s">
        <v>6518</v>
      </c>
      <c r="I265" s="266"/>
      <c r="J265" s="267"/>
    </row>
    <row r="266">
      <c r="A266" s="266">
        <v>700.0</v>
      </c>
      <c r="B266" s="266"/>
      <c r="C266" s="266">
        <v>5.0</v>
      </c>
      <c r="D266" s="266" t="s">
        <v>6573</v>
      </c>
      <c r="E266" s="266" t="s">
        <v>6479</v>
      </c>
      <c r="F266" s="266">
        <v>12.0</v>
      </c>
      <c r="G266" s="266" t="s">
        <v>6304</v>
      </c>
      <c r="H266" s="266" t="s">
        <v>6518</v>
      </c>
      <c r="I266" s="266"/>
      <c r="J266" s="267"/>
    </row>
    <row r="267">
      <c r="A267" s="266">
        <v>800.0</v>
      </c>
      <c r="B267" s="266"/>
      <c r="C267" s="266">
        <v>5.0</v>
      </c>
      <c r="D267" s="266" t="s">
        <v>6306</v>
      </c>
      <c r="E267" s="266"/>
      <c r="F267" s="266"/>
      <c r="G267" s="266" t="s">
        <v>6304</v>
      </c>
      <c r="H267" s="266" t="s">
        <v>6574</v>
      </c>
      <c r="I267" s="266"/>
      <c r="J267" s="266"/>
      <c r="K267" s="1"/>
      <c r="L267" s="1"/>
    </row>
    <row r="268">
      <c r="A268" s="266">
        <v>50.0</v>
      </c>
      <c r="B268" s="266">
        <v>1.0</v>
      </c>
      <c r="C268" s="266"/>
      <c r="D268" s="266" t="s">
        <v>6575</v>
      </c>
      <c r="E268" s="266"/>
      <c r="F268" s="266"/>
      <c r="G268" s="266"/>
      <c r="H268" s="266"/>
      <c r="I268" s="266"/>
      <c r="J268" s="267"/>
    </row>
    <row r="269">
      <c r="A269" s="266">
        <v>100.0</v>
      </c>
      <c r="B269" s="266"/>
      <c r="C269" s="266">
        <v>5.0</v>
      </c>
      <c r="D269" s="266" t="s">
        <v>5176</v>
      </c>
      <c r="E269" s="266"/>
      <c r="F269" s="266"/>
      <c r="G269" s="266" t="s">
        <v>6304</v>
      </c>
      <c r="H269" s="266" t="s">
        <v>3807</v>
      </c>
      <c r="I269" s="266"/>
      <c r="J269" s="266"/>
      <c r="K269" s="1"/>
      <c r="L269" s="1"/>
    </row>
    <row r="270">
      <c r="A270" s="266">
        <v>200.0</v>
      </c>
      <c r="B270" s="266"/>
      <c r="C270" s="266">
        <v>5.0</v>
      </c>
      <c r="D270" s="266" t="s">
        <v>5177</v>
      </c>
      <c r="E270" s="266"/>
      <c r="F270" s="266"/>
      <c r="G270" s="266" t="s">
        <v>6304</v>
      </c>
      <c r="H270" s="266" t="s">
        <v>5167</v>
      </c>
      <c r="I270" s="266" t="s">
        <v>6305</v>
      </c>
      <c r="J270" s="266"/>
      <c r="K270" s="1"/>
      <c r="L270" s="1"/>
    </row>
    <row r="271">
      <c r="A271" s="266">
        <v>300.0</v>
      </c>
      <c r="B271" s="266"/>
      <c r="C271" s="266">
        <v>5.0</v>
      </c>
      <c r="D271" s="266" t="s">
        <v>5178</v>
      </c>
      <c r="E271" s="266"/>
      <c r="F271" s="266"/>
      <c r="G271" s="266" t="s">
        <v>6304</v>
      </c>
      <c r="H271" s="266" t="s">
        <v>5168</v>
      </c>
      <c r="I271" s="266"/>
      <c r="J271" s="266"/>
      <c r="K271" s="1"/>
      <c r="L271" s="1"/>
    </row>
    <row r="272">
      <c r="A272" s="266">
        <v>400.0</v>
      </c>
      <c r="B272" s="266"/>
      <c r="C272" s="266">
        <v>5.0</v>
      </c>
      <c r="D272" s="266" t="s">
        <v>5179</v>
      </c>
      <c r="E272" s="266"/>
      <c r="F272" s="266"/>
      <c r="G272" s="266" t="s">
        <v>6304</v>
      </c>
      <c r="H272" s="266" t="s">
        <v>5169</v>
      </c>
      <c r="I272" s="266" t="s">
        <v>6305</v>
      </c>
      <c r="J272" s="266"/>
      <c r="K272" s="1"/>
      <c r="L272" s="1"/>
    </row>
    <row r="273">
      <c r="A273" s="266">
        <v>500.0</v>
      </c>
      <c r="B273" s="266"/>
      <c r="C273" s="266">
        <v>5.0</v>
      </c>
      <c r="D273" s="266" t="s">
        <v>5180</v>
      </c>
      <c r="E273" s="266"/>
      <c r="F273" s="266"/>
      <c r="G273" s="266" t="s">
        <v>6304</v>
      </c>
      <c r="H273" s="266" t="s">
        <v>5170</v>
      </c>
      <c r="I273" s="266" t="s">
        <v>6305</v>
      </c>
      <c r="J273" s="266"/>
      <c r="K273" s="1"/>
      <c r="L273" s="1"/>
    </row>
    <row r="274">
      <c r="A274" s="266">
        <v>600.0</v>
      </c>
      <c r="B274" s="266"/>
      <c r="C274" s="266">
        <v>5.0</v>
      </c>
      <c r="D274" s="266" t="s">
        <v>5181</v>
      </c>
      <c r="E274" s="266"/>
      <c r="F274" s="266"/>
      <c r="G274" s="266" t="s">
        <v>6304</v>
      </c>
      <c r="H274" s="266" t="s">
        <v>555</v>
      </c>
      <c r="I274" s="266"/>
      <c r="J274" s="266"/>
      <c r="K274" s="1"/>
      <c r="L274" s="1"/>
    </row>
    <row r="275">
      <c r="A275" s="266">
        <v>700.0</v>
      </c>
      <c r="B275" s="266"/>
      <c r="C275" s="266">
        <v>5.0</v>
      </c>
      <c r="D275" s="266" t="s">
        <v>5182</v>
      </c>
      <c r="E275" s="266"/>
      <c r="F275" s="266"/>
      <c r="G275" s="266" t="s">
        <v>6304</v>
      </c>
      <c r="H275" s="266" t="s">
        <v>5170</v>
      </c>
      <c r="I275" s="266" t="s">
        <v>6305</v>
      </c>
      <c r="J275" s="266"/>
      <c r="K275" s="1"/>
      <c r="L275" s="1"/>
    </row>
    <row r="276">
      <c r="A276" s="266">
        <v>800.0</v>
      </c>
      <c r="B276" s="266"/>
      <c r="C276" s="266">
        <v>5.0</v>
      </c>
      <c r="D276" s="266" t="s">
        <v>5183</v>
      </c>
      <c r="E276" s="266"/>
      <c r="F276" s="266"/>
      <c r="G276" s="266" t="s">
        <v>6304</v>
      </c>
      <c r="H276" s="266" t="s">
        <v>555</v>
      </c>
      <c r="I276" s="266"/>
      <c r="J276" s="266"/>
      <c r="K276" s="1"/>
      <c r="L276" s="1"/>
    </row>
    <row r="277">
      <c r="A277" s="266">
        <v>900.0</v>
      </c>
      <c r="B277" s="266"/>
      <c r="C277" s="266">
        <v>5.0</v>
      </c>
      <c r="D277" s="266" t="s">
        <v>5184</v>
      </c>
      <c r="E277" s="266"/>
      <c r="F277" s="266"/>
      <c r="G277" s="266" t="s">
        <v>6304</v>
      </c>
      <c r="H277" s="266" t="s">
        <v>5170</v>
      </c>
      <c r="I277" s="266" t="s">
        <v>6305</v>
      </c>
      <c r="J277" s="266"/>
      <c r="K277" s="1"/>
      <c r="L277" s="1"/>
    </row>
    <row r="278">
      <c r="A278" s="266">
        <v>1000.0</v>
      </c>
      <c r="B278" s="266"/>
      <c r="C278" s="266">
        <v>5.0</v>
      </c>
      <c r="D278" s="266" t="s">
        <v>6306</v>
      </c>
      <c r="E278" s="266"/>
      <c r="F278" s="266"/>
      <c r="G278" s="266" t="s">
        <v>6304</v>
      </c>
      <c r="H278" s="266" t="s">
        <v>6576</v>
      </c>
      <c r="I278" s="266"/>
      <c r="J278" s="266"/>
      <c r="K278" s="1"/>
      <c r="L278" s="1"/>
    </row>
    <row r="279">
      <c r="A279" s="266">
        <v>50.0</v>
      </c>
      <c r="B279" s="266">
        <v>1.0</v>
      </c>
      <c r="C279" s="266"/>
      <c r="D279" s="266" t="s">
        <v>6577</v>
      </c>
      <c r="E279" s="266"/>
      <c r="F279" s="266"/>
      <c r="G279" s="266"/>
      <c r="H279" s="266"/>
      <c r="I279" s="266"/>
      <c r="J279" s="267"/>
    </row>
    <row r="280">
      <c r="A280" s="266">
        <v>100.0</v>
      </c>
      <c r="B280" s="266"/>
      <c r="C280" s="266">
        <v>5.0</v>
      </c>
      <c r="D280" s="266" t="s">
        <v>6578</v>
      </c>
      <c r="E280" s="266"/>
      <c r="F280" s="266"/>
      <c r="G280" s="266" t="s">
        <v>6304</v>
      </c>
      <c r="H280" s="266" t="s">
        <v>5168</v>
      </c>
      <c r="I280" s="266"/>
      <c r="J280" s="266"/>
      <c r="K280" s="1"/>
      <c r="L280" s="1"/>
    </row>
    <row r="281">
      <c r="A281" s="266">
        <v>200.0</v>
      </c>
      <c r="B281" s="266"/>
      <c r="C281" s="266">
        <v>5.0</v>
      </c>
      <c r="D281" s="266" t="s">
        <v>6579</v>
      </c>
      <c r="E281" s="266"/>
      <c r="F281" s="266"/>
      <c r="G281" s="266" t="s">
        <v>6304</v>
      </c>
      <c r="H281" s="266" t="s">
        <v>6580</v>
      </c>
      <c r="I281" s="266" t="s">
        <v>6305</v>
      </c>
      <c r="J281" s="266"/>
      <c r="K281" s="1"/>
      <c r="L281" s="1"/>
    </row>
    <row r="282">
      <c r="A282" s="266">
        <v>300.0</v>
      </c>
      <c r="B282" s="266"/>
      <c r="C282" s="266">
        <v>5.0</v>
      </c>
      <c r="D282" s="266" t="s">
        <v>6581</v>
      </c>
      <c r="E282" s="266"/>
      <c r="F282" s="266"/>
      <c r="G282" s="266" t="s">
        <v>6304</v>
      </c>
      <c r="H282" s="266" t="s">
        <v>559</v>
      </c>
      <c r="I282" s="266"/>
      <c r="J282" s="266"/>
      <c r="K282" s="1"/>
      <c r="L282" s="1"/>
    </row>
    <row r="283">
      <c r="A283" s="266">
        <v>400.0</v>
      </c>
      <c r="B283" s="266"/>
      <c r="C283" s="266">
        <v>5.0</v>
      </c>
      <c r="D283" s="266" t="s">
        <v>6306</v>
      </c>
      <c r="E283" s="266"/>
      <c r="F283" s="266"/>
      <c r="G283" s="266" t="s">
        <v>6304</v>
      </c>
      <c r="H283" s="266" t="s">
        <v>6582</v>
      </c>
      <c r="I283" s="266"/>
      <c r="J283" s="266"/>
      <c r="K283" s="1"/>
      <c r="L283" s="1"/>
    </row>
    <row r="284">
      <c r="A284" s="266">
        <v>50.0</v>
      </c>
      <c r="B284" s="266">
        <v>1.0</v>
      </c>
      <c r="C284" s="266"/>
      <c r="D284" s="266" t="s">
        <v>6583</v>
      </c>
      <c r="E284" s="266"/>
      <c r="F284" s="266"/>
      <c r="G284" s="266"/>
      <c r="H284" s="266"/>
      <c r="I284" s="266"/>
      <c r="J284" s="267"/>
    </row>
    <row r="285">
      <c r="A285" s="266">
        <v>100.0</v>
      </c>
      <c r="B285" s="266"/>
      <c r="C285" s="266">
        <v>5.0</v>
      </c>
      <c r="D285" s="266" t="s">
        <v>6584</v>
      </c>
      <c r="E285" s="266"/>
      <c r="F285" s="266"/>
      <c r="G285" s="266"/>
      <c r="H285" s="266"/>
      <c r="I285" s="266"/>
      <c r="J285" s="267"/>
    </row>
    <row r="286">
      <c r="A286" s="266">
        <v>200.0</v>
      </c>
      <c r="B286" s="266"/>
      <c r="C286" s="266">
        <v>10.0</v>
      </c>
      <c r="D286" s="266" t="s">
        <v>6585</v>
      </c>
      <c r="E286" s="266"/>
      <c r="F286" s="266"/>
      <c r="G286" s="266" t="s">
        <v>6304</v>
      </c>
      <c r="H286" s="266" t="s">
        <v>6586</v>
      </c>
      <c r="I286" s="266"/>
      <c r="J286" s="266"/>
      <c r="K286" s="1"/>
      <c r="L286" s="1"/>
    </row>
    <row r="287">
      <c r="A287" s="266">
        <v>300.0</v>
      </c>
      <c r="B287" s="266"/>
      <c r="C287" s="266">
        <v>10.0</v>
      </c>
      <c r="D287" s="266" t="s">
        <v>6587</v>
      </c>
      <c r="E287" s="266"/>
      <c r="F287" s="266"/>
      <c r="G287" s="266" t="s">
        <v>6304</v>
      </c>
      <c r="H287" s="266" t="s">
        <v>6588</v>
      </c>
      <c r="I287" s="266"/>
      <c r="J287" s="266"/>
      <c r="K287" s="1"/>
      <c r="L287" s="1"/>
    </row>
    <row r="288">
      <c r="A288" s="266">
        <v>400.0</v>
      </c>
      <c r="B288" s="266"/>
      <c r="C288" s="266">
        <v>10.0</v>
      </c>
      <c r="D288" s="266" t="s">
        <v>6589</v>
      </c>
      <c r="E288" s="266"/>
      <c r="F288" s="266"/>
      <c r="G288" s="266" t="s">
        <v>6304</v>
      </c>
      <c r="H288" s="266" t="s">
        <v>608</v>
      </c>
      <c r="I288" s="266"/>
      <c r="J288" s="266"/>
      <c r="K288" s="1"/>
      <c r="L288" s="1"/>
    </row>
    <row r="289">
      <c r="A289" s="266">
        <v>500.0</v>
      </c>
      <c r="B289" s="266"/>
      <c r="C289" s="266">
        <v>10.0</v>
      </c>
      <c r="D289" s="266" t="s">
        <v>6590</v>
      </c>
      <c r="E289" s="266"/>
      <c r="F289" s="266"/>
      <c r="G289" s="266" t="s">
        <v>6304</v>
      </c>
      <c r="H289" s="266" t="s">
        <v>6591</v>
      </c>
      <c r="I289" s="266" t="s">
        <v>6592</v>
      </c>
      <c r="J289" s="266"/>
      <c r="K289" s="1"/>
      <c r="L289" s="1"/>
    </row>
    <row r="290">
      <c r="A290" s="266">
        <v>600.0</v>
      </c>
      <c r="B290" s="266"/>
      <c r="C290" s="266">
        <v>5.0</v>
      </c>
      <c r="D290" s="266" t="s">
        <v>6593</v>
      </c>
      <c r="E290" s="266"/>
      <c r="F290" s="266"/>
      <c r="G290" s="266" t="s">
        <v>6304</v>
      </c>
      <c r="H290" s="266" t="s">
        <v>6594</v>
      </c>
      <c r="I290" s="266"/>
      <c r="J290" s="266"/>
      <c r="K290" s="1"/>
      <c r="L290" s="1"/>
    </row>
    <row r="291">
      <c r="A291" s="266">
        <v>700.0</v>
      </c>
      <c r="B291" s="266"/>
      <c r="C291" s="266">
        <v>5.0</v>
      </c>
      <c r="D291" s="266" t="s">
        <v>6595</v>
      </c>
      <c r="E291" s="266"/>
      <c r="F291" s="266"/>
      <c r="G291" s="266" t="s">
        <v>6304</v>
      </c>
      <c r="H291" s="266" t="s">
        <v>608</v>
      </c>
      <c r="I291" s="266"/>
      <c r="J291" s="266"/>
      <c r="K291" s="1"/>
      <c r="L291" s="1"/>
    </row>
    <row r="292">
      <c r="A292" s="266">
        <v>800.0</v>
      </c>
      <c r="B292" s="266"/>
      <c r="C292" s="266">
        <v>5.0</v>
      </c>
      <c r="D292" s="266" t="s">
        <v>6306</v>
      </c>
      <c r="E292" s="266"/>
      <c r="F292" s="266"/>
      <c r="G292" s="266" t="s">
        <v>6304</v>
      </c>
      <c r="H292" s="266" t="s">
        <v>607</v>
      </c>
      <c r="I292" s="266"/>
      <c r="J292" s="266"/>
      <c r="K292" s="1"/>
      <c r="L292" s="1"/>
    </row>
    <row r="293">
      <c r="A293" s="266">
        <v>50.0</v>
      </c>
      <c r="B293" s="266">
        <v>1.0</v>
      </c>
      <c r="C293" s="266"/>
      <c r="D293" s="266" t="s">
        <v>6596</v>
      </c>
      <c r="E293" s="266"/>
      <c r="F293" s="266"/>
      <c r="G293" s="266"/>
      <c r="H293" s="266"/>
      <c r="I293" s="266"/>
      <c r="J293" s="267"/>
    </row>
    <row r="294">
      <c r="A294" s="266">
        <v>100.0</v>
      </c>
      <c r="B294" s="266"/>
      <c r="C294" s="266">
        <v>5.0</v>
      </c>
      <c r="D294" s="266" t="s">
        <v>6497</v>
      </c>
      <c r="E294" s="266"/>
      <c r="F294" s="266"/>
      <c r="G294" s="266" t="s">
        <v>6304</v>
      </c>
      <c r="H294" s="266" t="s">
        <v>3806</v>
      </c>
      <c r="I294" s="266"/>
      <c r="J294" s="266"/>
      <c r="K294" s="1"/>
      <c r="L294" s="1"/>
    </row>
    <row r="295">
      <c r="A295" s="266">
        <v>200.0</v>
      </c>
      <c r="B295" s="266"/>
      <c r="C295" s="266">
        <v>5.0</v>
      </c>
      <c r="D295" s="266" t="s">
        <v>6597</v>
      </c>
      <c r="E295" s="266"/>
      <c r="F295" s="266"/>
      <c r="G295" s="266" t="s">
        <v>6304</v>
      </c>
      <c r="H295" s="266">
        <v>9.0</v>
      </c>
      <c r="I295" s="266"/>
      <c r="J295" s="266"/>
      <c r="K295" s="1"/>
      <c r="L295" s="1"/>
    </row>
    <row r="296">
      <c r="A296" s="266">
        <v>300.0</v>
      </c>
      <c r="B296" s="266"/>
      <c r="C296" s="266">
        <v>5.0</v>
      </c>
      <c r="D296" s="266" t="s">
        <v>6598</v>
      </c>
      <c r="E296" s="266"/>
      <c r="F296" s="266"/>
      <c r="G296" s="266" t="s">
        <v>6304</v>
      </c>
      <c r="H296" s="266" t="s">
        <v>5168</v>
      </c>
      <c r="I296" s="266"/>
      <c r="J296" s="266"/>
      <c r="K296" s="1"/>
      <c r="L296" s="1"/>
    </row>
    <row r="297">
      <c r="A297" s="266">
        <v>400.0</v>
      </c>
      <c r="B297" s="266"/>
      <c r="C297" s="266">
        <v>5.0</v>
      </c>
      <c r="D297" s="266" t="s">
        <v>6306</v>
      </c>
      <c r="E297" s="266"/>
      <c r="F297" s="266"/>
      <c r="G297" s="266" t="s">
        <v>6304</v>
      </c>
      <c r="H297" s="266" t="s">
        <v>6599</v>
      </c>
      <c r="I297" s="266"/>
      <c r="J297" s="266"/>
      <c r="K297" s="1"/>
      <c r="L297" s="1"/>
    </row>
    <row r="298">
      <c r="A298" s="266">
        <v>50.0</v>
      </c>
      <c r="B298" s="266">
        <v>1.0</v>
      </c>
      <c r="C298" s="266"/>
      <c r="D298" s="266" t="s">
        <v>6600</v>
      </c>
      <c r="E298" s="266"/>
      <c r="F298" s="266"/>
      <c r="G298" s="266"/>
      <c r="H298" s="266"/>
      <c r="I298" s="266"/>
      <c r="J298" s="267"/>
    </row>
    <row r="299">
      <c r="A299" s="266">
        <v>100.0</v>
      </c>
      <c r="B299" s="266"/>
      <c r="C299" s="266">
        <v>5.0</v>
      </c>
      <c r="D299" s="266" t="s">
        <v>575</v>
      </c>
      <c r="E299" s="266"/>
      <c r="F299" s="266"/>
      <c r="G299" s="266" t="s">
        <v>6304</v>
      </c>
      <c r="H299" s="266" t="s">
        <v>551</v>
      </c>
      <c r="I299" s="266"/>
      <c r="J299" s="266"/>
      <c r="K299" s="1"/>
      <c r="L299" s="1"/>
    </row>
    <row r="300">
      <c r="A300" s="266">
        <v>200.0</v>
      </c>
      <c r="B300" s="266"/>
      <c r="C300" s="266">
        <v>5.0</v>
      </c>
      <c r="D300" s="266" t="s">
        <v>6601</v>
      </c>
      <c r="E300" s="266"/>
      <c r="F300" s="266"/>
      <c r="G300" s="266"/>
      <c r="H300" s="266"/>
      <c r="I300" s="266"/>
      <c r="J300" s="267"/>
    </row>
    <row r="301">
      <c r="A301" s="266">
        <v>300.0</v>
      </c>
      <c r="B301" s="266"/>
      <c r="C301" s="266">
        <v>10.0</v>
      </c>
      <c r="D301" s="266" t="s">
        <v>6602</v>
      </c>
      <c r="E301" s="266"/>
      <c r="F301" s="266"/>
      <c r="G301" s="266"/>
      <c r="H301" s="266"/>
      <c r="I301" s="266"/>
      <c r="J301" s="267"/>
    </row>
    <row r="302">
      <c r="A302" s="266">
        <v>400.0</v>
      </c>
      <c r="B302" s="266"/>
      <c r="C302" s="266">
        <v>15.0</v>
      </c>
      <c r="D302" s="266" t="s">
        <v>576</v>
      </c>
      <c r="E302" s="266"/>
      <c r="F302" s="266"/>
      <c r="G302" s="266" t="s">
        <v>6304</v>
      </c>
      <c r="H302" s="266" t="s">
        <v>551</v>
      </c>
      <c r="I302" s="266"/>
      <c r="J302" s="266"/>
      <c r="K302" s="1"/>
      <c r="L302" s="1"/>
    </row>
    <row r="303">
      <c r="A303" s="266">
        <v>500.0</v>
      </c>
      <c r="B303" s="266"/>
      <c r="C303" s="266">
        <v>15.0</v>
      </c>
      <c r="D303" s="266" t="s">
        <v>577</v>
      </c>
      <c r="E303" s="266"/>
      <c r="F303" s="266"/>
      <c r="G303" s="266" t="s">
        <v>6304</v>
      </c>
      <c r="H303" s="266" t="s">
        <v>552</v>
      </c>
      <c r="I303" s="266"/>
      <c r="J303" s="266"/>
      <c r="K303" s="1"/>
      <c r="L303" s="1"/>
    </row>
    <row r="304">
      <c r="A304" s="266">
        <v>600.0</v>
      </c>
      <c r="B304" s="266"/>
      <c r="C304" s="266">
        <v>10.0</v>
      </c>
      <c r="D304" s="266" t="s">
        <v>578</v>
      </c>
      <c r="E304" s="266"/>
      <c r="F304" s="266"/>
      <c r="G304" s="266" t="s">
        <v>6304</v>
      </c>
      <c r="H304" s="266" t="s">
        <v>552</v>
      </c>
      <c r="I304" s="266"/>
      <c r="J304" s="266"/>
      <c r="K304" s="1"/>
      <c r="L304" s="1"/>
    </row>
    <row r="305">
      <c r="A305" s="266">
        <v>700.0</v>
      </c>
      <c r="B305" s="266"/>
      <c r="C305" s="266">
        <v>5.0</v>
      </c>
      <c r="D305" s="266" t="s">
        <v>579</v>
      </c>
      <c r="E305" s="266"/>
      <c r="F305" s="266"/>
      <c r="G305" s="266" t="s">
        <v>6304</v>
      </c>
      <c r="H305" s="266" t="s">
        <v>551</v>
      </c>
      <c r="I305" s="266"/>
      <c r="J305" s="266"/>
      <c r="K305" s="1"/>
      <c r="L305" s="1"/>
    </row>
    <row r="306">
      <c r="A306" s="266">
        <v>800.0</v>
      </c>
      <c r="B306" s="266"/>
      <c r="C306" s="266">
        <v>5.0</v>
      </c>
      <c r="D306" s="266" t="s">
        <v>580</v>
      </c>
      <c r="E306" s="266"/>
      <c r="F306" s="266"/>
      <c r="G306" s="266" t="s">
        <v>6304</v>
      </c>
      <c r="H306" s="266" t="s">
        <v>553</v>
      </c>
      <c r="I306" s="266"/>
      <c r="J306" s="266"/>
      <c r="K306" s="1"/>
      <c r="L306" s="1"/>
    </row>
    <row r="307">
      <c r="A307" s="266">
        <v>900.0</v>
      </c>
      <c r="B307" s="266"/>
      <c r="C307" s="266">
        <v>5.0</v>
      </c>
      <c r="D307" s="266" t="s">
        <v>581</v>
      </c>
      <c r="E307" s="266" t="s">
        <v>6603</v>
      </c>
      <c r="F307" s="266" t="s">
        <v>580</v>
      </c>
      <c r="G307" s="266" t="s">
        <v>6304</v>
      </c>
      <c r="H307" s="266" t="s">
        <v>554</v>
      </c>
      <c r="I307" s="266"/>
      <c r="J307" s="267"/>
    </row>
    <row r="308">
      <c r="A308" s="266">
        <v>1000.0</v>
      </c>
      <c r="B308" s="266"/>
      <c r="C308" s="266">
        <v>5.0</v>
      </c>
      <c r="D308" s="266" t="s">
        <v>582</v>
      </c>
      <c r="E308" s="266"/>
      <c r="F308" s="266"/>
      <c r="G308" s="266" t="s">
        <v>6304</v>
      </c>
      <c r="H308" s="266" t="s">
        <v>552</v>
      </c>
      <c r="I308" s="266"/>
      <c r="J308" s="266"/>
      <c r="K308" s="1"/>
      <c r="L308" s="1"/>
    </row>
    <row r="309">
      <c r="A309" s="266">
        <v>1100.0</v>
      </c>
      <c r="B309" s="266"/>
      <c r="C309" s="266">
        <v>5.0</v>
      </c>
      <c r="D309" s="266" t="s">
        <v>583</v>
      </c>
      <c r="E309" s="266"/>
      <c r="F309" s="266"/>
      <c r="G309" s="266" t="s">
        <v>6304</v>
      </c>
      <c r="H309" s="266" t="s">
        <v>552</v>
      </c>
      <c r="I309" s="266"/>
      <c r="J309" s="266"/>
      <c r="K309" s="1"/>
      <c r="L309" s="1"/>
    </row>
    <row r="310">
      <c r="A310" s="266">
        <v>1200.0</v>
      </c>
      <c r="B310" s="266"/>
      <c r="C310" s="266">
        <v>5.0</v>
      </c>
      <c r="D310" s="266" t="s">
        <v>584</v>
      </c>
      <c r="E310" s="266"/>
      <c r="F310" s="266"/>
      <c r="G310" s="266" t="s">
        <v>6304</v>
      </c>
      <c r="H310" s="266" t="s">
        <v>555</v>
      </c>
      <c r="I310" s="266"/>
      <c r="J310" s="266"/>
      <c r="K310" s="1"/>
      <c r="L310" s="1"/>
    </row>
    <row r="311">
      <c r="A311" s="266">
        <v>1300.0</v>
      </c>
      <c r="B311" s="266"/>
      <c r="C311" s="266">
        <v>5.0</v>
      </c>
      <c r="D311" s="266" t="s">
        <v>6604</v>
      </c>
      <c r="E311" s="266"/>
      <c r="F311" s="266"/>
      <c r="G311" s="266"/>
      <c r="H311" s="266"/>
      <c r="I311" s="266"/>
      <c r="J311" s="267"/>
    </row>
    <row r="312">
      <c r="A312" s="266">
        <v>1400.0</v>
      </c>
      <c r="B312" s="266"/>
      <c r="C312" s="266">
        <v>10.0</v>
      </c>
      <c r="D312" s="266" t="s">
        <v>585</v>
      </c>
      <c r="E312" s="266"/>
      <c r="F312" s="266"/>
      <c r="G312" s="266" t="s">
        <v>6304</v>
      </c>
      <c r="H312" s="266" t="s">
        <v>552</v>
      </c>
      <c r="I312" s="266"/>
      <c r="J312" s="266"/>
      <c r="K312" s="1"/>
      <c r="L312" s="1"/>
    </row>
    <row r="313">
      <c r="A313" s="266">
        <v>1500.0</v>
      </c>
      <c r="B313" s="266"/>
      <c r="C313" s="266">
        <v>10.0</v>
      </c>
      <c r="D313" s="266" t="s">
        <v>586</v>
      </c>
      <c r="E313" s="266"/>
      <c r="F313" s="266"/>
      <c r="G313" s="266" t="s">
        <v>6304</v>
      </c>
      <c r="H313" s="266" t="s">
        <v>552</v>
      </c>
      <c r="I313" s="266"/>
      <c r="J313" s="266"/>
      <c r="K313" s="1"/>
      <c r="L313" s="1"/>
    </row>
    <row r="314">
      <c r="A314" s="266">
        <v>1600.0</v>
      </c>
      <c r="B314" s="266"/>
      <c r="C314" s="266">
        <v>10.0</v>
      </c>
      <c r="D314" s="266" t="s">
        <v>587</v>
      </c>
      <c r="E314" s="266"/>
      <c r="F314" s="266"/>
      <c r="G314" s="266" t="s">
        <v>6304</v>
      </c>
      <c r="H314" s="266" t="s">
        <v>556</v>
      </c>
      <c r="I314" s="266"/>
      <c r="J314" s="266"/>
      <c r="K314" s="1"/>
      <c r="L314" s="1"/>
    </row>
    <row r="315">
      <c r="A315" s="266">
        <v>1700.0</v>
      </c>
      <c r="B315" s="266"/>
      <c r="C315" s="266">
        <v>5.0</v>
      </c>
      <c r="D315" s="266" t="s">
        <v>588</v>
      </c>
      <c r="E315" s="266"/>
      <c r="F315" s="266"/>
      <c r="G315" s="266" t="s">
        <v>6304</v>
      </c>
      <c r="H315" s="266" t="s">
        <v>551</v>
      </c>
      <c r="I315" s="266"/>
      <c r="J315" s="266"/>
      <c r="K315" s="1"/>
      <c r="L315" s="1"/>
    </row>
    <row r="316">
      <c r="A316" s="266">
        <v>1800.0</v>
      </c>
      <c r="B316" s="266"/>
      <c r="C316" s="266">
        <v>5.0</v>
      </c>
      <c r="D316" s="266" t="s">
        <v>589</v>
      </c>
      <c r="E316" s="266"/>
      <c r="F316" s="266"/>
      <c r="G316" s="266" t="s">
        <v>6304</v>
      </c>
      <c r="H316" s="266" t="s">
        <v>557</v>
      </c>
      <c r="I316" s="266"/>
      <c r="J316" s="266"/>
      <c r="K316" s="1"/>
      <c r="L316" s="1"/>
    </row>
    <row r="317">
      <c r="A317" s="266">
        <v>1900.0</v>
      </c>
      <c r="B317" s="266"/>
      <c r="C317" s="266">
        <v>5.0</v>
      </c>
      <c r="D317" s="266" t="s">
        <v>590</v>
      </c>
      <c r="E317" s="266"/>
      <c r="F317" s="266"/>
      <c r="G317" s="266" t="s">
        <v>6304</v>
      </c>
      <c r="H317" s="266" t="s">
        <v>555</v>
      </c>
      <c r="I317" s="266"/>
      <c r="J317" s="266"/>
      <c r="K317" s="1"/>
      <c r="L317" s="1"/>
    </row>
    <row r="318">
      <c r="A318" s="266">
        <v>2000.0</v>
      </c>
      <c r="B318" s="266"/>
      <c r="C318" s="266">
        <v>5.0</v>
      </c>
      <c r="D318" s="266" t="s">
        <v>591</v>
      </c>
      <c r="E318" s="266"/>
      <c r="F318" s="266"/>
      <c r="G318" s="266" t="s">
        <v>6304</v>
      </c>
      <c r="H318" s="266" t="s">
        <v>556</v>
      </c>
      <c r="I318" s="266"/>
      <c r="J318" s="266"/>
      <c r="K318" s="1"/>
      <c r="L318" s="1"/>
    </row>
    <row r="319">
      <c r="A319" s="266">
        <v>2100.0</v>
      </c>
      <c r="B319" s="266"/>
      <c r="C319" s="266">
        <v>5.0</v>
      </c>
      <c r="D319" s="266" t="s">
        <v>592</v>
      </c>
      <c r="E319" s="266"/>
      <c r="F319" s="266"/>
      <c r="G319" s="266" t="s">
        <v>6304</v>
      </c>
      <c r="H319" s="266" t="s">
        <v>558</v>
      </c>
      <c r="I319" s="266" t="s">
        <v>6305</v>
      </c>
      <c r="J319" s="266"/>
      <c r="K319" s="1"/>
      <c r="L319" s="1"/>
    </row>
    <row r="320">
      <c r="A320" s="266">
        <v>2200.0</v>
      </c>
      <c r="B320" s="266"/>
      <c r="C320" s="266">
        <v>5.0</v>
      </c>
      <c r="D320" s="266" t="s">
        <v>593</v>
      </c>
      <c r="E320" s="266"/>
      <c r="F320" s="266"/>
      <c r="G320" s="266" t="s">
        <v>6304</v>
      </c>
      <c r="H320" s="266" t="s">
        <v>559</v>
      </c>
      <c r="I320" s="266"/>
      <c r="J320" s="266"/>
      <c r="K320" s="1"/>
      <c r="L320" s="1"/>
    </row>
    <row r="321">
      <c r="A321" s="266">
        <v>2300.0</v>
      </c>
      <c r="B321" s="266"/>
      <c r="C321" s="266">
        <v>5.0</v>
      </c>
      <c r="D321" s="266" t="s">
        <v>594</v>
      </c>
      <c r="E321" s="266"/>
      <c r="F321" s="266"/>
      <c r="G321" s="266" t="s">
        <v>6304</v>
      </c>
      <c r="H321" s="266" t="s">
        <v>552</v>
      </c>
      <c r="I321" s="266"/>
      <c r="J321" s="266"/>
      <c r="K321" s="1"/>
      <c r="L321" s="1"/>
    </row>
    <row r="322">
      <c r="A322" s="266">
        <v>2400.0</v>
      </c>
      <c r="B322" s="266"/>
      <c r="C322" s="266">
        <v>5.0</v>
      </c>
      <c r="D322" s="266" t="s">
        <v>595</v>
      </c>
      <c r="E322" s="266"/>
      <c r="F322" s="266"/>
      <c r="G322" s="266" t="s">
        <v>6304</v>
      </c>
      <c r="H322" s="266" t="s">
        <v>560</v>
      </c>
      <c r="I322" s="266"/>
      <c r="J322" s="266"/>
      <c r="K322" s="1"/>
      <c r="L322" s="1"/>
    </row>
    <row r="323">
      <c r="A323" s="266">
        <v>2500.0</v>
      </c>
      <c r="B323" s="266"/>
      <c r="C323" s="266">
        <v>5.0</v>
      </c>
      <c r="D323" s="266" t="s">
        <v>596</v>
      </c>
      <c r="E323" s="266"/>
      <c r="F323" s="266"/>
      <c r="G323" s="266" t="s">
        <v>6304</v>
      </c>
      <c r="H323" s="266" t="s">
        <v>561</v>
      </c>
      <c r="I323" s="266"/>
      <c r="J323" s="266"/>
      <c r="K323" s="1"/>
      <c r="L323" s="1"/>
    </row>
    <row r="324">
      <c r="A324" s="266">
        <v>2600.0</v>
      </c>
      <c r="B324" s="266"/>
      <c r="C324" s="266">
        <v>5.0</v>
      </c>
      <c r="D324" s="266" t="s">
        <v>597</v>
      </c>
      <c r="E324" s="266"/>
      <c r="F324" s="266"/>
      <c r="G324" s="266" t="s">
        <v>6304</v>
      </c>
      <c r="H324" s="266" t="s">
        <v>552</v>
      </c>
      <c r="I324" s="266"/>
      <c r="J324" s="266"/>
      <c r="K324" s="1"/>
      <c r="L324" s="1"/>
    </row>
    <row r="325">
      <c r="A325" s="266">
        <v>2700.0</v>
      </c>
      <c r="B325" s="266"/>
      <c r="C325" s="266">
        <v>5.0</v>
      </c>
      <c r="D325" s="266" t="s">
        <v>598</v>
      </c>
      <c r="E325" s="266"/>
      <c r="F325" s="266"/>
      <c r="G325" s="266" t="s">
        <v>6304</v>
      </c>
      <c r="H325" s="266" t="s">
        <v>553</v>
      </c>
      <c r="I325" s="266"/>
      <c r="J325" s="266"/>
      <c r="K325" s="1"/>
      <c r="L325" s="1"/>
    </row>
    <row r="326">
      <c r="A326" s="266">
        <v>2800.0</v>
      </c>
      <c r="B326" s="266"/>
      <c r="C326" s="266">
        <v>5.0</v>
      </c>
      <c r="D326" s="266" t="s">
        <v>599</v>
      </c>
      <c r="E326" s="266" t="s">
        <v>6603</v>
      </c>
      <c r="F326" s="266" t="s">
        <v>598</v>
      </c>
      <c r="G326" s="266" t="s">
        <v>6304</v>
      </c>
      <c r="H326" s="266" t="s">
        <v>554</v>
      </c>
      <c r="I326" s="266"/>
      <c r="J326" s="267"/>
    </row>
    <row r="327">
      <c r="A327" s="266">
        <v>2900.0</v>
      </c>
      <c r="B327" s="266"/>
      <c r="C327" s="266">
        <v>5.0</v>
      </c>
      <c r="D327" s="266" t="s">
        <v>6306</v>
      </c>
      <c r="E327" s="266"/>
      <c r="F327" s="266"/>
      <c r="G327" s="266" t="s">
        <v>6304</v>
      </c>
      <c r="H327" s="266" t="s">
        <v>6605</v>
      </c>
      <c r="I327" s="266"/>
      <c r="J327" s="266"/>
      <c r="K327" s="1"/>
      <c r="L327" s="1"/>
    </row>
    <row r="328">
      <c r="A328" s="266">
        <v>50.0</v>
      </c>
      <c r="B328" s="266">
        <v>1.0</v>
      </c>
      <c r="C328" s="266"/>
      <c r="D328" s="266" t="s">
        <v>6606</v>
      </c>
      <c r="E328" s="266"/>
      <c r="F328" s="266"/>
      <c r="G328" s="266"/>
      <c r="H328" s="266"/>
      <c r="I328" s="266"/>
      <c r="J328" s="267"/>
    </row>
    <row r="329">
      <c r="A329" s="266">
        <v>100.0</v>
      </c>
      <c r="B329" s="266"/>
      <c r="C329" s="266">
        <v>5.0</v>
      </c>
      <c r="D329" s="266" t="s">
        <v>6607</v>
      </c>
      <c r="E329" s="266"/>
      <c r="F329" s="266"/>
      <c r="G329" s="266"/>
      <c r="H329" s="266"/>
      <c r="I329" s="266"/>
      <c r="J329" s="267"/>
    </row>
    <row r="330">
      <c r="A330" s="266">
        <v>200.0</v>
      </c>
      <c r="B330" s="266"/>
      <c r="C330" s="266">
        <v>10.0</v>
      </c>
      <c r="D330" s="266" t="s">
        <v>6608</v>
      </c>
      <c r="E330" s="266"/>
      <c r="F330" s="266"/>
      <c r="G330" s="266"/>
      <c r="H330" s="266"/>
      <c r="I330" s="266"/>
      <c r="J330" s="267"/>
    </row>
    <row r="331">
      <c r="A331" s="266">
        <v>300.0</v>
      </c>
      <c r="B331" s="266"/>
      <c r="C331" s="266">
        <v>15.0</v>
      </c>
      <c r="D331" s="266" t="s">
        <v>6609</v>
      </c>
      <c r="E331" s="266"/>
      <c r="F331" s="266"/>
      <c r="G331" s="266" t="s">
        <v>6304</v>
      </c>
      <c r="H331" s="266" t="s">
        <v>551</v>
      </c>
      <c r="I331" s="266"/>
      <c r="J331" s="266"/>
      <c r="K331" s="1"/>
      <c r="L331" s="1"/>
    </row>
    <row r="332">
      <c r="A332" s="266">
        <v>400.0</v>
      </c>
      <c r="B332" s="266"/>
      <c r="C332" s="266">
        <v>15.0</v>
      </c>
      <c r="D332" s="266" t="s">
        <v>6610</v>
      </c>
      <c r="E332" s="266"/>
      <c r="F332" s="266"/>
      <c r="G332" s="266" t="s">
        <v>6304</v>
      </c>
      <c r="H332" s="266" t="s">
        <v>552</v>
      </c>
      <c r="I332" s="266"/>
      <c r="J332" s="266"/>
      <c r="K332" s="1"/>
      <c r="L332" s="1"/>
    </row>
    <row r="333">
      <c r="A333" s="266">
        <v>500.0</v>
      </c>
      <c r="B333" s="266"/>
      <c r="C333" s="266">
        <v>10.0</v>
      </c>
      <c r="D333" s="266" t="s">
        <v>6611</v>
      </c>
      <c r="E333" s="266"/>
      <c r="F333" s="266"/>
      <c r="G333" s="266" t="s">
        <v>6304</v>
      </c>
      <c r="H333" s="266" t="s">
        <v>552</v>
      </c>
      <c r="I333" s="266"/>
      <c r="J333" s="266"/>
      <c r="K333" s="1"/>
      <c r="L333" s="1"/>
    </row>
    <row r="334">
      <c r="A334" s="266">
        <v>600.0</v>
      </c>
      <c r="B334" s="266"/>
      <c r="C334" s="266">
        <v>5.0</v>
      </c>
      <c r="D334" s="266" t="s">
        <v>6612</v>
      </c>
      <c r="E334" s="266"/>
      <c r="F334" s="266"/>
      <c r="G334" s="266" t="s">
        <v>6304</v>
      </c>
      <c r="H334" s="266" t="s">
        <v>6342</v>
      </c>
      <c r="I334" s="266"/>
      <c r="J334" s="266"/>
      <c r="K334" s="1"/>
      <c r="L334" s="1"/>
    </row>
    <row r="335">
      <c r="A335" s="266">
        <v>700.0</v>
      </c>
      <c r="B335" s="266"/>
      <c r="C335" s="266">
        <v>5.0</v>
      </c>
      <c r="D335" s="266" t="s">
        <v>6613</v>
      </c>
      <c r="E335" s="266"/>
      <c r="F335" s="266"/>
      <c r="G335" s="266" t="s">
        <v>6304</v>
      </c>
      <c r="H335" s="266" t="s">
        <v>6342</v>
      </c>
      <c r="I335" s="266"/>
      <c r="J335" s="266"/>
      <c r="K335" s="1"/>
      <c r="L335" s="1"/>
    </row>
    <row r="336">
      <c r="A336" s="266">
        <v>800.0</v>
      </c>
      <c r="B336" s="266"/>
      <c r="C336" s="266">
        <v>5.0</v>
      </c>
      <c r="D336" s="266" t="s">
        <v>6614</v>
      </c>
      <c r="E336" s="266"/>
      <c r="F336" s="266"/>
      <c r="G336" s="266"/>
      <c r="H336" s="266"/>
      <c r="I336" s="266"/>
      <c r="J336" s="267"/>
    </row>
    <row r="337">
      <c r="A337" s="266">
        <v>900.0</v>
      </c>
      <c r="B337" s="266"/>
      <c r="C337" s="266">
        <v>10.0</v>
      </c>
      <c r="D337" s="266" t="s">
        <v>6615</v>
      </c>
      <c r="E337" s="266"/>
      <c r="F337" s="266"/>
      <c r="G337" s="266" t="s">
        <v>6304</v>
      </c>
      <c r="H337" s="266" t="s">
        <v>551</v>
      </c>
      <c r="I337" s="266"/>
      <c r="J337" s="266"/>
      <c r="K337" s="1"/>
      <c r="L337" s="1"/>
    </row>
    <row r="338">
      <c r="A338" s="266">
        <v>1000.0</v>
      </c>
      <c r="B338" s="266"/>
      <c r="C338" s="266">
        <v>10.0</v>
      </c>
      <c r="D338" s="266" t="s">
        <v>6616</v>
      </c>
      <c r="E338" s="266"/>
      <c r="F338" s="266"/>
      <c r="G338" s="266" t="s">
        <v>6304</v>
      </c>
      <c r="H338" s="266" t="s">
        <v>556</v>
      </c>
      <c r="I338" s="266"/>
      <c r="J338" s="266"/>
      <c r="K338" s="1"/>
      <c r="L338" s="1"/>
    </row>
    <row r="339">
      <c r="A339" s="266">
        <v>1100.0</v>
      </c>
      <c r="B339" s="266"/>
      <c r="C339" s="266">
        <v>10.0</v>
      </c>
      <c r="D339" s="266" t="s">
        <v>6617</v>
      </c>
      <c r="E339" s="266"/>
      <c r="F339" s="266"/>
      <c r="G339" s="266" t="s">
        <v>6304</v>
      </c>
      <c r="H339" s="266" t="s">
        <v>4103</v>
      </c>
      <c r="I339" s="266"/>
      <c r="J339" s="266"/>
      <c r="K339" s="1"/>
      <c r="L339" s="1"/>
    </row>
    <row r="340">
      <c r="A340" s="266">
        <v>1200.0</v>
      </c>
      <c r="B340" s="266"/>
      <c r="C340" s="266">
        <v>5.0</v>
      </c>
      <c r="D340" s="266" t="s">
        <v>6618</v>
      </c>
      <c r="E340" s="266"/>
      <c r="F340" s="266"/>
      <c r="G340" s="266"/>
      <c r="H340" s="266"/>
      <c r="I340" s="266"/>
      <c r="J340" s="267"/>
    </row>
    <row r="341">
      <c r="A341" s="266">
        <v>1300.0</v>
      </c>
      <c r="B341" s="266"/>
      <c r="C341" s="266">
        <v>10.0</v>
      </c>
      <c r="D341" s="266" t="s">
        <v>6619</v>
      </c>
      <c r="E341" s="266"/>
      <c r="F341" s="266"/>
      <c r="G341" s="266" t="s">
        <v>6304</v>
      </c>
      <c r="H341" s="266" t="s">
        <v>557</v>
      </c>
      <c r="I341" s="266"/>
      <c r="J341" s="266"/>
      <c r="K341" s="1"/>
      <c r="L341" s="1"/>
    </row>
    <row r="342">
      <c r="A342" s="266">
        <v>1400.0</v>
      </c>
      <c r="B342" s="266"/>
      <c r="C342" s="266">
        <v>88.0</v>
      </c>
      <c r="D342" s="266" t="s">
        <v>6620</v>
      </c>
      <c r="E342" s="266" t="s">
        <v>6621</v>
      </c>
      <c r="F342" s="269" t="s">
        <v>6622</v>
      </c>
      <c r="G342" s="266"/>
      <c r="H342" s="266"/>
      <c r="I342" s="266"/>
      <c r="J342" s="267"/>
    </row>
    <row r="343">
      <c r="A343" s="266">
        <v>1500.0</v>
      </c>
      <c r="B343" s="266"/>
      <c r="C343" s="266">
        <v>88.0</v>
      </c>
      <c r="D343" s="266" t="s">
        <v>6623</v>
      </c>
      <c r="E343" s="266" t="s">
        <v>6621</v>
      </c>
      <c r="F343" s="269" t="s">
        <v>6624</v>
      </c>
      <c r="G343" s="266"/>
      <c r="H343" s="266"/>
      <c r="I343" s="266"/>
      <c r="J343" s="267"/>
    </row>
    <row r="344">
      <c r="A344" s="266">
        <v>1600.0</v>
      </c>
      <c r="B344" s="266"/>
      <c r="C344" s="266">
        <v>88.0</v>
      </c>
      <c r="D344" s="266" t="s">
        <v>6625</v>
      </c>
      <c r="E344" s="266" t="s">
        <v>6621</v>
      </c>
      <c r="F344" s="269" t="s">
        <v>6626</v>
      </c>
      <c r="G344" s="266"/>
      <c r="H344" s="266"/>
      <c r="I344" s="266"/>
      <c r="J344" s="267"/>
    </row>
    <row r="345">
      <c r="A345" s="266">
        <v>1700.0</v>
      </c>
      <c r="B345" s="266"/>
      <c r="C345" s="266">
        <v>88.0</v>
      </c>
      <c r="D345" s="266" t="s">
        <v>6627</v>
      </c>
      <c r="E345" s="266" t="s">
        <v>6621</v>
      </c>
      <c r="F345" s="269" t="s">
        <v>6628</v>
      </c>
      <c r="G345" s="266"/>
      <c r="H345" s="266"/>
      <c r="I345" s="266"/>
      <c r="J345" s="267"/>
    </row>
    <row r="346">
      <c r="A346" s="266">
        <v>1800.0</v>
      </c>
      <c r="B346" s="266"/>
      <c r="C346" s="266">
        <v>88.0</v>
      </c>
      <c r="D346" s="266" t="s">
        <v>6629</v>
      </c>
      <c r="E346" s="266" t="s">
        <v>6621</v>
      </c>
      <c r="F346" s="269" t="s">
        <v>6630</v>
      </c>
      <c r="G346" s="266"/>
      <c r="H346" s="266"/>
      <c r="I346" s="266"/>
      <c r="J346" s="267"/>
    </row>
    <row r="347">
      <c r="A347" s="266">
        <v>1900.0</v>
      </c>
      <c r="B347" s="266"/>
      <c r="C347" s="266">
        <v>88.0</v>
      </c>
      <c r="D347" s="266" t="s">
        <v>6631</v>
      </c>
      <c r="E347" s="266" t="s">
        <v>6621</v>
      </c>
      <c r="F347" s="269" t="s">
        <v>6632</v>
      </c>
      <c r="G347" s="266"/>
      <c r="H347" s="266"/>
      <c r="I347" s="266"/>
      <c r="J347" s="267"/>
    </row>
    <row r="348">
      <c r="A348" s="266">
        <v>2000.0</v>
      </c>
      <c r="B348" s="266"/>
      <c r="C348" s="266">
        <v>10.0</v>
      </c>
      <c r="D348" s="266" t="s">
        <v>6633</v>
      </c>
      <c r="E348" s="266"/>
      <c r="F348" s="266"/>
      <c r="G348" s="266"/>
      <c r="H348" s="266"/>
      <c r="I348" s="266"/>
      <c r="J348" s="267"/>
    </row>
    <row r="349">
      <c r="A349" s="266">
        <v>2100.0</v>
      </c>
      <c r="B349" s="266"/>
      <c r="C349" s="266">
        <v>15.0</v>
      </c>
      <c r="D349" s="266" t="s">
        <v>6634</v>
      </c>
      <c r="E349" s="266"/>
      <c r="F349" s="266"/>
      <c r="G349" s="266" t="s">
        <v>6304</v>
      </c>
      <c r="H349" s="266" t="s">
        <v>551</v>
      </c>
      <c r="I349" s="266"/>
      <c r="J349" s="266"/>
      <c r="K349" s="1"/>
      <c r="L349" s="1"/>
    </row>
    <row r="350">
      <c r="A350" s="266">
        <v>2200.0</v>
      </c>
      <c r="B350" s="266"/>
      <c r="C350" s="266">
        <v>15.0</v>
      </c>
      <c r="D350" s="266" t="s">
        <v>6635</v>
      </c>
      <c r="E350" s="266"/>
      <c r="F350" s="266"/>
      <c r="G350" s="266" t="s">
        <v>6304</v>
      </c>
      <c r="H350" s="266" t="s">
        <v>556</v>
      </c>
      <c r="I350" s="266"/>
      <c r="J350" s="266"/>
      <c r="K350" s="1"/>
      <c r="L350" s="1"/>
    </row>
    <row r="351">
      <c r="A351" s="266">
        <v>2300.0</v>
      </c>
      <c r="B351" s="266"/>
      <c r="C351" s="266">
        <v>15.0</v>
      </c>
      <c r="D351" s="266" t="s">
        <v>6636</v>
      </c>
      <c r="E351" s="266"/>
      <c r="F351" s="266"/>
      <c r="G351" s="266"/>
      <c r="H351" s="266"/>
      <c r="I351" s="266"/>
      <c r="J351" s="267"/>
    </row>
    <row r="352">
      <c r="A352" s="266">
        <v>2350.0</v>
      </c>
      <c r="B352" s="266" t="s">
        <v>6603</v>
      </c>
      <c r="C352" s="266" t="s">
        <v>6603</v>
      </c>
      <c r="D352" s="266" t="s">
        <v>6635</v>
      </c>
      <c r="E352" s="266"/>
      <c r="F352" s="266"/>
      <c r="G352" s="266" t="s">
        <v>6304</v>
      </c>
      <c r="H352" s="266" t="s">
        <v>556</v>
      </c>
      <c r="I352" s="266"/>
      <c r="J352" s="266"/>
      <c r="K352" s="1"/>
      <c r="L352" s="1"/>
    </row>
    <row r="353">
      <c r="A353" s="266">
        <v>2400.0</v>
      </c>
      <c r="B353" s="266"/>
      <c r="C353" s="266">
        <v>5.0</v>
      </c>
      <c r="D353" s="266" t="s">
        <v>6637</v>
      </c>
      <c r="E353" s="266"/>
      <c r="F353" s="266"/>
      <c r="G353" s="266" t="s">
        <v>6304</v>
      </c>
      <c r="H353" s="266" t="s">
        <v>560</v>
      </c>
      <c r="I353" s="266"/>
      <c r="J353" s="266"/>
      <c r="K353" s="1"/>
      <c r="L353" s="1"/>
    </row>
    <row r="354">
      <c r="A354" s="266">
        <v>2500.0</v>
      </c>
      <c r="B354" s="266"/>
      <c r="C354" s="266">
        <v>5.0</v>
      </c>
      <c r="D354" s="266" t="s">
        <v>6638</v>
      </c>
      <c r="E354" s="266"/>
      <c r="F354" s="266"/>
      <c r="G354" s="266" t="s">
        <v>6304</v>
      </c>
      <c r="H354" s="266" t="s">
        <v>555</v>
      </c>
      <c r="I354" s="266"/>
      <c r="J354" s="266"/>
      <c r="K354" s="1"/>
      <c r="L354" s="1"/>
    </row>
    <row r="355">
      <c r="A355" s="266">
        <v>2600.0</v>
      </c>
      <c r="B355" s="266"/>
      <c r="C355" s="266">
        <v>5.0</v>
      </c>
      <c r="D355" s="266" t="s">
        <v>6639</v>
      </c>
      <c r="E355" s="266"/>
      <c r="F355" s="266"/>
      <c r="G355" s="266" t="s">
        <v>6304</v>
      </c>
      <c r="H355" s="266" t="s">
        <v>552</v>
      </c>
      <c r="I355" s="266"/>
      <c r="J355" s="266"/>
      <c r="K355" s="1"/>
      <c r="L355" s="1"/>
    </row>
    <row r="356">
      <c r="A356" s="266">
        <v>2700.0</v>
      </c>
      <c r="B356" s="266"/>
      <c r="C356" s="266">
        <v>5.0</v>
      </c>
      <c r="D356" s="266" t="s">
        <v>6640</v>
      </c>
      <c r="E356" s="266"/>
      <c r="F356" s="266"/>
      <c r="G356" s="266" t="s">
        <v>6304</v>
      </c>
      <c r="H356" s="266" t="s">
        <v>5245</v>
      </c>
      <c r="I356" s="266" t="s">
        <v>6305</v>
      </c>
      <c r="J356" s="266"/>
      <c r="K356" s="1"/>
      <c r="L356" s="1"/>
    </row>
    <row r="357">
      <c r="A357" s="266">
        <v>2800.0</v>
      </c>
      <c r="B357" s="266"/>
      <c r="C357" s="266">
        <v>5.0</v>
      </c>
      <c r="D357" s="266" t="s">
        <v>6641</v>
      </c>
      <c r="E357" s="266"/>
      <c r="F357" s="266"/>
      <c r="G357" s="266" t="s">
        <v>6304</v>
      </c>
      <c r="H357" s="266" t="s">
        <v>6642</v>
      </c>
      <c r="I357" s="266"/>
      <c r="J357" s="266"/>
      <c r="K357" s="1"/>
      <c r="L357" s="1"/>
    </row>
    <row r="358">
      <c r="A358" s="266">
        <v>2900.0</v>
      </c>
      <c r="B358" s="266"/>
      <c r="C358" s="266">
        <v>5.0</v>
      </c>
      <c r="D358" s="266" t="s">
        <v>6643</v>
      </c>
      <c r="E358" s="266"/>
      <c r="F358" s="266"/>
      <c r="G358" s="266" t="s">
        <v>6304</v>
      </c>
      <c r="H358" s="266" t="s">
        <v>5245</v>
      </c>
      <c r="I358" s="266" t="s">
        <v>6305</v>
      </c>
      <c r="J358" s="266"/>
      <c r="K358" s="1"/>
      <c r="L358" s="1"/>
    </row>
    <row r="359">
      <c r="A359" s="266">
        <v>3000.0</v>
      </c>
      <c r="B359" s="266"/>
      <c r="C359" s="266">
        <v>5.0</v>
      </c>
      <c r="D359" s="266" t="s">
        <v>6644</v>
      </c>
      <c r="E359" s="266"/>
      <c r="F359" s="266"/>
      <c r="G359" s="266" t="s">
        <v>6304</v>
      </c>
      <c r="H359" s="266" t="s">
        <v>7</v>
      </c>
      <c r="I359" s="266" t="s">
        <v>6305</v>
      </c>
      <c r="J359" s="266"/>
      <c r="K359" s="1"/>
      <c r="L359" s="1"/>
    </row>
    <row r="360">
      <c r="A360" s="266">
        <v>3100.0</v>
      </c>
      <c r="B360" s="266"/>
      <c r="C360" s="266">
        <v>5.0</v>
      </c>
      <c r="D360" s="266" t="s">
        <v>6645</v>
      </c>
      <c r="E360" s="266"/>
      <c r="F360" s="266"/>
      <c r="G360" s="266" t="s">
        <v>6304</v>
      </c>
      <c r="H360" s="266" t="s">
        <v>5245</v>
      </c>
      <c r="I360" s="266" t="s">
        <v>6305</v>
      </c>
      <c r="J360" s="266"/>
      <c r="K360" s="1"/>
      <c r="L360" s="1"/>
    </row>
    <row r="361">
      <c r="A361" s="266">
        <v>3200.0</v>
      </c>
      <c r="B361" s="266"/>
      <c r="C361" s="266">
        <v>5.0</v>
      </c>
      <c r="D361" s="266" t="s">
        <v>6646</v>
      </c>
      <c r="E361" s="266"/>
      <c r="F361" s="266"/>
      <c r="G361" s="266" t="s">
        <v>6304</v>
      </c>
      <c r="H361" s="266" t="s">
        <v>7</v>
      </c>
      <c r="I361" s="266" t="s">
        <v>6305</v>
      </c>
      <c r="J361" s="266"/>
      <c r="K361" s="1"/>
      <c r="L361" s="1"/>
    </row>
    <row r="362">
      <c r="A362" s="266">
        <v>3300.0</v>
      </c>
      <c r="B362" s="266"/>
      <c r="C362" s="266">
        <v>5.0</v>
      </c>
      <c r="D362" s="266" t="s">
        <v>6647</v>
      </c>
      <c r="E362" s="266"/>
      <c r="F362" s="266"/>
      <c r="G362" s="266" t="s">
        <v>6304</v>
      </c>
      <c r="H362" s="266" t="s">
        <v>7</v>
      </c>
      <c r="I362" s="266" t="s">
        <v>6305</v>
      </c>
      <c r="J362" s="266"/>
      <c r="K362" s="1"/>
      <c r="L362" s="1"/>
    </row>
    <row r="363">
      <c r="A363" s="266">
        <v>3400.0</v>
      </c>
      <c r="B363" s="266"/>
      <c r="C363" s="266">
        <v>5.0</v>
      </c>
      <c r="D363" s="266" t="s">
        <v>6648</v>
      </c>
      <c r="E363" s="266"/>
      <c r="F363" s="266"/>
      <c r="G363" s="266" t="s">
        <v>6304</v>
      </c>
      <c r="H363" s="266" t="s">
        <v>555</v>
      </c>
      <c r="I363" s="266"/>
      <c r="J363" s="266"/>
      <c r="K363" s="1"/>
      <c r="L363" s="1"/>
    </row>
    <row r="364">
      <c r="A364" s="266">
        <v>3500.0</v>
      </c>
      <c r="B364" s="266"/>
      <c r="C364" s="266">
        <v>5.0</v>
      </c>
      <c r="D364" s="266" t="s">
        <v>6649</v>
      </c>
      <c r="E364" s="266"/>
      <c r="F364" s="266"/>
      <c r="G364" s="266" t="s">
        <v>6304</v>
      </c>
      <c r="H364" s="266" t="s">
        <v>6650</v>
      </c>
      <c r="I364" s="266" t="s">
        <v>6305</v>
      </c>
      <c r="J364" s="266"/>
      <c r="K364" s="1"/>
      <c r="L364" s="1"/>
    </row>
    <row r="365">
      <c r="A365" s="266">
        <v>3600.0</v>
      </c>
      <c r="B365" s="266"/>
      <c r="C365" s="266">
        <v>5.0</v>
      </c>
      <c r="D365" s="266" t="s">
        <v>6651</v>
      </c>
      <c r="E365" s="266"/>
      <c r="F365" s="266"/>
      <c r="G365" s="266" t="s">
        <v>6304</v>
      </c>
      <c r="H365" s="266" t="s">
        <v>7</v>
      </c>
      <c r="I365" s="266" t="s">
        <v>6305</v>
      </c>
      <c r="J365" s="266"/>
      <c r="K365" s="1"/>
      <c r="L365" s="1"/>
    </row>
    <row r="366">
      <c r="A366" s="266">
        <v>3700.0</v>
      </c>
      <c r="B366" s="266"/>
      <c r="C366" s="266">
        <v>5.0</v>
      </c>
      <c r="D366" s="266" t="s">
        <v>6652</v>
      </c>
      <c r="E366" s="266"/>
      <c r="F366" s="266"/>
      <c r="G366" s="266" t="s">
        <v>6304</v>
      </c>
      <c r="H366" s="266" t="s">
        <v>555</v>
      </c>
      <c r="I366" s="266"/>
      <c r="J366" s="266"/>
      <c r="K366" s="1"/>
      <c r="L366" s="1"/>
    </row>
    <row r="367">
      <c r="A367" s="266">
        <v>3800.0</v>
      </c>
      <c r="B367" s="266"/>
      <c r="C367" s="266">
        <v>5.0</v>
      </c>
      <c r="D367" s="266" t="s">
        <v>6653</v>
      </c>
      <c r="E367" s="266"/>
      <c r="F367" s="266"/>
      <c r="G367" s="266" t="s">
        <v>6304</v>
      </c>
      <c r="H367" s="266" t="s">
        <v>7</v>
      </c>
      <c r="I367" s="266" t="s">
        <v>6305</v>
      </c>
      <c r="J367" s="266"/>
      <c r="K367" s="1"/>
      <c r="L367" s="1"/>
    </row>
    <row r="368">
      <c r="A368" s="266">
        <v>3900.0</v>
      </c>
      <c r="B368" s="266"/>
      <c r="C368" s="266">
        <v>5.0</v>
      </c>
      <c r="D368" s="266" t="s">
        <v>6654</v>
      </c>
      <c r="E368" s="266"/>
      <c r="F368" s="266"/>
      <c r="G368" s="266" t="s">
        <v>6304</v>
      </c>
      <c r="H368" s="266" t="s">
        <v>555</v>
      </c>
      <c r="I368" s="266"/>
      <c r="J368" s="266"/>
      <c r="K368" s="1"/>
      <c r="L368" s="1"/>
    </row>
    <row r="369">
      <c r="A369" s="266">
        <v>4000.0</v>
      </c>
      <c r="B369" s="266"/>
      <c r="C369" s="266">
        <v>5.0</v>
      </c>
      <c r="D369" s="266" t="s">
        <v>6655</v>
      </c>
      <c r="E369" s="266"/>
      <c r="F369" s="266"/>
      <c r="G369" s="266" t="s">
        <v>6304</v>
      </c>
      <c r="H369" s="266" t="s">
        <v>7</v>
      </c>
      <c r="I369" s="266" t="s">
        <v>6305</v>
      </c>
      <c r="J369" s="266"/>
      <c r="K369" s="1"/>
      <c r="L369" s="1"/>
    </row>
    <row r="370">
      <c r="A370" s="266">
        <v>4100.0</v>
      </c>
      <c r="B370" s="266"/>
      <c r="C370" s="266">
        <v>5.0</v>
      </c>
      <c r="D370" s="266" t="s">
        <v>6656</v>
      </c>
      <c r="E370" s="266"/>
      <c r="F370" s="266"/>
      <c r="G370" s="266" t="s">
        <v>6304</v>
      </c>
      <c r="H370" s="266" t="s">
        <v>7</v>
      </c>
      <c r="I370" s="266" t="s">
        <v>6305</v>
      </c>
      <c r="J370" s="266"/>
      <c r="K370" s="1"/>
      <c r="L370" s="1"/>
    </row>
    <row r="371">
      <c r="A371" s="266">
        <v>4200.0</v>
      </c>
      <c r="B371" s="266"/>
      <c r="C371" s="266">
        <v>5.0</v>
      </c>
      <c r="D371" s="266" t="s">
        <v>3845</v>
      </c>
      <c r="E371" s="266"/>
      <c r="F371" s="266"/>
      <c r="G371" s="266" t="s">
        <v>6304</v>
      </c>
      <c r="H371" s="266" t="s">
        <v>555</v>
      </c>
      <c r="I371" s="266"/>
      <c r="J371" s="266"/>
      <c r="K371" s="1"/>
      <c r="L371" s="1"/>
    </row>
    <row r="372">
      <c r="A372" s="266">
        <v>4300.0</v>
      </c>
      <c r="B372" s="266"/>
      <c r="C372" s="266">
        <v>5.0</v>
      </c>
      <c r="D372" s="266" t="s">
        <v>6657</v>
      </c>
      <c r="E372" s="266"/>
      <c r="F372" s="266"/>
      <c r="G372" s="266" t="s">
        <v>6304</v>
      </c>
      <c r="H372" s="266" t="s">
        <v>5245</v>
      </c>
      <c r="I372" s="266" t="s">
        <v>6305</v>
      </c>
      <c r="J372" s="266"/>
      <c r="K372" s="1"/>
      <c r="L372" s="1"/>
    </row>
    <row r="373">
      <c r="A373" s="266">
        <v>4400.0</v>
      </c>
      <c r="B373" s="266"/>
      <c r="C373" s="266">
        <v>5.0</v>
      </c>
      <c r="D373" s="266" t="s">
        <v>6658</v>
      </c>
      <c r="E373" s="266"/>
      <c r="F373" s="266"/>
      <c r="G373" s="266" t="s">
        <v>6304</v>
      </c>
      <c r="H373" s="266" t="s">
        <v>552</v>
      </c>
      <c r="I373" s="266"/>
      <c r="J373" s="266"/>
      <c r="K373" s="1"/>
      <c r="L373" s="1"/>
    </row>
    <row r="374">
      <c r="A374" s="266">
        <v>4500.0</v>
      </c>
      <c r="B374" s="266"/>
      <c r="C374" s="266">
        <v>5.0</v>
      </c>
      <c r="D374" s="266" t="s">
        <v>6659</v>
      </c>
      <c r="E374" s="266"/>
      <c r="F374" s="266"/>
      <c r="G374" s="266" t="s">
        <v>6304</v>
      </c>
      <c r="H374" s="266" t="s">
        <v>5244</v>
      </c>
      <c r="I374" s="266"/>
      <c r="J374" s="266"/>
      <c r="K374" s="1"/>
      <c r="L374" s="1"/>
    </row>
    <row r="375">
      <c r="A375" s="266">
        <v>4600.0</v>
      </c>
      <c r="B375" s="266"/>
      <c r="C375" s="266">
        <v>5.0</v>
      </c>
      <c r="D375" s="266" t="s">
        <v>6660</v>
      </c>
      <c r="E375" s="266"/>
      <c r="F375" s="266"/>
      <c r="G375" s="266"/>
      <c r="H375" s="266"/>
      <c r="I375" s="266"/>
      <c r="J375" s="267"/>
    </row>
    <row r="376">
      <c r="A376" s="266">
        <v>4700.0</v>
      </c>
      <c r="B376" s="266"/>
      <c r="C376" s="266">
        <v>10.0</v>
      </c>
      <c r="D376" s="266" t="s">
        <v>6661</v>
      </c>
      <c r="E376" s="266"/>
      <c r="F376" s="266"/>
      <c r="G376" s="266" t="s">
        <v>6304</v>
      </c>
      <c r="H376" s="266" t="s">
        <v>551</v>
      </c>
      <c r="I376" s="266"/>
      <c r="J376" s="266"/>
      <c r="K376" s="1"/>
      <c r="L376" s="1"/>
    </row>
    <row r="377">
      <c r="A377" s="266">
        <v>4800.0</v>
      </c>
      <c r="B377" s="266"/>
      <c r="C377" s="266">
        <v>10.0</v>
      </c>
      <c r="D377" s="266" t="s">
        <v>6662</v>
      </c>
      <c r="E377" s="266"/>
      <c r="F377" s="266"/>
      <c r="G377" s="266" t="s">
        <v>6304</v>
      </c>
      <c r="H377" s="266" t="s">
        <v>556</v>
      </c>
      <c r="I377" s="266"/>
      <c r="J377" s="266"/>
      <c r="K377" s="1"/>
      <c r="L377" s="1"/>
    </row>
    <row r="378">
      <c r="A378" s="266">
        <v>4900.0</v>
      </c>
      <c r="B378" s="266"/>
      <c r="C378" s="266">
        <v>10.0</v>
      </c>
      <c r="D378" s="266" t="s">
        <v>6663</v>
      </c>
      <c r="E378" s="266"/>
      <c r="F378" s="266"/>
      <c r="G378" s="266" t="s">
        <v>6304</v>
      </c>
      <c r="H378" s="266" t="s">
        <v>5243</v>
      </c>
      <c r="I378" s="266"/>
      <c r="J378" s="266"/>
      <c r="K378" s="1"/>
      <c r="L378" s="1"/>
    </row>
    <row r="379">
      <c r="A379" s="266">
        <v>5000.0</v>
      </c>
      <c r="B379" s="266"/>
      <c r="C379" s="266">
        <v>5.0</v>
      </c>
      <c r="D379" s="266" t="s">
        <v>6664</v>
      </c>
      <c r="E379" s="266"/>
      <c r="F379" s="266"/>
      <c r="G379" s="266" t="s">
        <v>6304</v>
      </c>
      <c r="H379" s="266" t="s">
        <v>6550</v>
      </c>
      <c r="I379" s="266"/>
      <c r="J379" s="266"/>
      <c r="K379" s="1"/>
      <c r="L379" s="1"/>
    </row>
    <row r="380">
      <c r="A380" s="266">
        <v>5100.0</v>
      </c>
      <c r="B380" s="266"/>
      <c r="C380" s="266">
        <v>5.0</v>
      </c>
      <c r="D380" s="266" t="s">
        <v>6665</v>
      </c>
      <c r="E380" s="266"/>
      <c r="F380" s="266"/>
      <c r="G380" s="266" t="s">
        <v>6304</v>
      </c>
      <c r="H380" s="266" t="s">
        <v>6550</v>
      </c>
      <c r="I380" s="266"/>
      <c r="J380" s="266"/>
      <c r="K380" s="1"/>
      <c r="L380" s="1"/>
    </row>
    <row r="381">
      <c r="A381" s="266">
        <v>5200.0</v>
      </c>
      <c r="B381" s="266"/>
      <c r="C381" s="266">
        <v>5.0</v>
      </c>
      <c r="D381" s="266" t="s">
        <v>6666</v>
      </c>
      <c r="E381" s="266"/>
      <c r="F381" s="266"/>
      <c r="G381" s="266" t="s">
        <v>6304</v>
      </c>
      <c r="H381" s="266" t="s">
        <v>552</v>
      </c>
      <c r="I381" s="266"/>
      <c r="J381" s="266"/>
      <c r="K381" s="1"/>
      <c r="L381" s="1"/>
    </row>
    <row r="382">
      <c r="A382" s="266">
        <v>5300.0</v>
      </c>
      <c r="B382" s="266"/>
      <c r="C382" s="266">
        <v>5.0</v>
      </c>
      <c r="D382" s="266" t="s">
        <v>6667</v>
      </c>
      <c r="E382" s="266"/>
      <c r="F382" s="266"/>
      <c r="G382" s="266" t="s">
        <v>6304</v>
      </c>
      <c r="H382" s="266" t="s">
        <v>551</v>
      </c>
      <c r="I382" s="266"/>
      <c r="J382" s="266"/>
      <c r="K382" s="1"/>
      <c r="L382" s="1"/>
    </row>
    <row r="383">
      <c r="A383" s="266">
        <v>5400.0</v>
      </c>
      <c r="B383" s="266"/>
      <c r="C383" s="266">
        <v>5.0</v>
      </c>
      <c r="D383" s="266" t="s">
        <v>6668</v>
      </c>
      <c r="E383" s="266"/>
      <c r="F383" s="266"/>
      <c r="G383" s="266" t="s">
        <v>6304</v>
      </c>
      <c r="H383" s="266" t="s">
        <v>551</v>
      </c>
      <c r="I383" s="266"/>
      <c r="J383" s="266"/>
      <c r="K383" s="1"/>
      <c r="L383" s="1"/>
    </row>
    <row r="384">
      <c r="A384" s="266">
        <v>5500.0</v>
      </c>
      <c r="B384" s="266"/>
      <c r="C384" s="266">
        <v>5.0</v>
      </c>
      <c r="D384" s="266" t="s">
        <v>6669</v>
      </c>
      <c r="E384" s="266"/>
      <c r="F384" s="266"/>
      <c r="G384" s="266" t="s">
        <v>6304</v>
      </c>
      <c r="H384" s="266" t="s">
        <v>555</v>
      </c>
      <c r="I384" s="266"/>
      <c r="J384" s="266"/>
      <c r="K384" s="1"/>
      <c r="L384" s="1"/>
    </row>
    <row r="385">
      <c r="A385" s="266">
        <v>5600.0</v>
      </c>
      <c r="B385" s="266"/>
      <c r="C385" s="266">
        <v>5.0</v>
      </c>
      <c r="D385" s="266" t="s">
        <v>6670</v>
      </c>
      <c r="E385" s="266"/>
      <c r="F385" s="266"/>
      <c r="G385" s="266" t="s">
        <v>6304</v>
      </c>
      <c r="H385" s="266" t="s">
        <v>551</v>
      </c>
      <c r="I385" s="266"/>
      <c r="J385" s="266"/>
      <c r="K385" s="1"/>
      <c r="L385" s="1"/>
    </row>
    <row r="386">
      <c r="A386" s="266">
        <v>5700.0</v>
      </c>
      <c r="B386" s="266"/>
      <c r="C386" s="266">
        <v>5.0</v>
      </c>
      <c r="D386" s="266" t="s">
        <v>6671</v>
      </c>
      <c r="E386" s="266"/>
      <c r="F386" s="266"/>
      <c r="G386" s="266"/>
      <c r="H386" s="266"/>
      <c r="I386" s="266"/>
      <c r="J386" s="267"/>
    </row>
    <row r="387">
      <c r="A387" s="266">
        <v>5800.0</v>
      </c>
      <c r="B387" s="266"/>
      <c r="C387" s="266">
        <v>10.0</v>
      </c>
      <c r="D387" s="266" t="s">
        <v>6672</v>
      </c>
      <c r="E387" s="266"/>
      <c r="F387" s="266"/>
      <c r="G387" s="266" t="s">
        <v>6304</v>
      </c>
      <c r="H387" s="266">
        <v>99.0</v>
      </c>
      <c r="I387" s="266"/>
      <c r="J387" s="266"/>
      <c r="K387" s="1"/>
      <c r="L387" s="1"/>
    </row>
    <row r="388">
      <c r="A388" s="266">
        <v>5900.0</v>
      </c>
      <c r="B388" s="266"/>
      <c r="C388" s="266">
        <v>10.0</v>
      </c>
      <c r="D388" s="266" t="s">
        <v>6673</v>
      </c>
      <c r="E388" s="266"/>
      <c r="F388" s="266"/>
      <c r="G388" s="266" t="s">
        <v>6304</v>
      </c>
      <c r="H388" s="266">
        <v>99.0</v>
      </c>
      <c r="I388" s="266"/>
      <c r="J388" s="266"/>
      <c r="K388" s="1"/>
      <c r="L388" s="1"/>
    </row>
    <row r="389">
      <c r="A389" s="266">
        <v>6000.0</v>
      </c>
      <c r="B389" s="266"/>
      <c r="C389" s="266">
        <v>10.0</v>
      </c>
      <c r="D389" s="266" t="s">
        <v>6674</v>
      </c>
      <c r="E389" s="266"/>
      <c r="F389" s="266"/>
      <c r="G389" s="266" t="s">
        <v>6304</v>
      </c>
      <c r="H389" s="266">
        <v>99.0</v>
      </c>
      <c r="I389" s="266"/>
      <c r="J389" s="266"/>
      <c r="K389" s="1"/>
      <c r="L389" s="1"/>
    </row>
    <row r="390">
      <c r="A390" s="266">
        <v>6100.0</v>
      </c>
      <c r="B390" s="266"/>
      <c r="C390" s="266">
        <v>5.0</v>
      </c>
      <c r="D390" s="266" t="s">
        <v>6675</v>
      </c>
      <c r="E390" s="266"/>
      <c r="F390" s="266"/>
      <c r="G390" s="266" t="s">
        <v>6304</v>
      </c>
      <c r="H390" s="266" t="s">
        <v>6676</v>
      </c>
      <c r="I390" s="266"/>
      <c r="J390" s="266"/>
      <c r="K390" s="1"/>
      <c r="L390" s="1"/>
    </row>
    <row r="391">
      <c r="A391" s="266">
        <v>6200.0</v>
      </c>
      <c r="B391" s="266"/>
      <c r="C391" s="266">
        <v>5.0</v>
      </c>
      <c r="D391" s="266" t="s">
        <v>6677</v>
      </c>
      <c r="E391" s="266"/>
      <c r="F391" s="266"/>
      <c r="G391" s="266" t="s">
        <v>6304</v>
      </c>
      <c r="H391" s="266" t="s">
        <v>551</v>
      </c>
      <c r="I391" s="266"/>
      <c r="J391" s="266"/>
      <c r="K391" s="1"/>
      <c r="L391" s="1"/>
    </row>
    <row r="392">
      <c r="A392" s="266">
        <v>6300.0</v>
      </c>
      <c r="B392" s="266"/>
      <c r="C392" s="266">
        <v>5.0</v>
      </c>
      <c r="D392" s="266" t="s">
        <v>6678</v>
      </c>
      <c r="E392" s="266"/>
      <c r="F392" s="266"/>
      <c r="G392" s="266" t="s">
        <v>6304</v>
      </c>
      <c r="H392" s="266" t="s">
        <v>552</v>
      </c>
      <c r="I392" s="266"/>
      <c r="J392" s="266"/>
      <c r="K392" s="1"/>
      <c r="L392" s="1"/>
    </row>
    <row r="393">
      <c r="A393" s="266">
        <v>6400.0</v>
      </c>
      <c r="B393" s="266"/>
      <c r="C393" s="266">
        <v>5.0</v>
      </c>
      <c r="D393" s="266" t="s">
        <v>6679</v>
      </c>
      <c r="E393" s="266"/>
      <c r="F393" s="266"/>
      <c r="G393" s="266" t="s">
        <v>6304</v>
      </c>
      <c r="H393" s="266" t="s">
        <v>7</v>
      </c>
      <c r="I393" s="266" t="s">
        <v>6305</v>
      </c>
      <c r="J393" s="266"/>
      <c r="K393" s="1"/>
      <c r="L393" s="1"/>
    </row>
    <row r="394">
      <c r="A394" s="266">
        <v>6500.0</v>
      </c>
      <c r="B394" s="266"/>
      <c r="C394" s="266">
        <v>5.0</v>
      </c>
      <c r="D394" s="266" t="s">
        <v>6680</v>
      </c>
      <c r="E394" s="266"/>
      <c r="F394" s="266"/>
      <c r="G394" s="266" t="s">
        <v>6304</v>
      </c>
      <c r="H394" s="266" t="s">
        <v>14</v>
      </c>
      <c r="I394" s="266"/>
      <c r="J394" s="266"/>
      <c r="K394" s="1"/>
      <c r="L394" s="1"/>
    </row>
    <row r="395">
      <c r="A395" s="266">
        <v>6600.0</v>
      </c>
      <c r="B395" s="266"/>
      <c r="C395" s="266">
        <v>5.0</v>
      </c>
      <c r="D395" s="266" t="s">
        <v>6681</v>
      </c>
      <c r="E395" s="266"/>
      <c r="F395" s="266"/>
      <c r="G395" s="266" t="s">
        <v>6304</v>
      </c>
      <c r="H395" s="266" t="s">
        <v>7</v>
      </c>
      <c r="I395" s="266" t="s">
        <v>6305</v>
      </c>
      <c r="J395" s="266"/>
      <c r="K395" s="1"/>
      <c r="L395" s="1"/>
    </row>
    <row r="396">
      <c r="A396" s="266">
        <v>6700.0</v>
      </c>
      <c r="B396" s="266"/>
      <c r="C396" s="266">
        <v>5.0</v>
      </c>
      <c r="D396" s="266" t="s">
        <v>6682</v>
      </c>
      <c r="E396" s="266"/>
      <c r="F396" s="266"/>
      <c r="G396" s="266"/>
      <c r="H396" s="266"/>
      <c r="I396" s="266"/>
      <c r="J396" s="267"/>
    </row>
    <row r="397">
      <c r="A397" s="266">
        <v>6800.0</v>
      </c>
      <c r="B397" s="266"/>
      <c r="C397" s="266">
        <v>10.0</v>
      </c>
      <c r="D397" s="266" t="s">
        <v>6683</v>
      </c>
      <c r="E397" s="266"/>
      <c r="F397" s="266"/>
      <c r="G397" s="266" t="s">
        <v>6304</v>
      </c>
      <c r="H397" s="266">
        <v>99.0</v>
      </c>
      <c r="I397" s="266"/>
      <c r="J397" s="266"/>
      <c r="K397" s="1"/>
      <c r="L397" s="1"/>
    </row>
    <row r="398">
      <c r="A398" s="266">
        <v>6900.0</v>
      </c>
      <c r="B398" s="266"/>
      <c r="C398" s="266">
        <v>10.0</v>
      </c>
      <c r="D398" s="266" t="s">
        <v>6684</v>
      </c>
      <c r="E398" s="266"/>
      <c r="F398" s="266"/>
      <c r="G398" s="266" t="s">
        <v>6304</v>
      </c>
      <c r="H398" s="266">
        <v>99.0</v>
      </c>
      <c r="I398" s="266"/>
      <c r="J398" s="266"/>
      <c r="K398" s="1"/>
      <c r="L398" s="1"/>
    </row>
    <row r="399">
      <c r="A399" s="266">
        <v>7000.0</v>
      </c>
      <c r="B399" s="266"/>
      <c r="C399" s="266">
        <v>10.0</v>
      </c>
      <c r="D399" s="266" t="s">
        <v>6685</v>
      </c>
      <c r="E399" s="266"/>
      <c r="F399" s="266"/>
      <c r="G399" s="266" t="s">
        <v>6304</v>
      </c>
      <c r="H399" s="266">
        <v>99.0</v>
      </c>
      <c r="I399" s="266"/>
      <c r="J399" s="266"/>
      <c r="K399" s="1"/>
      <c r="L399" s="1"/>
    </row>
    <row r="400">
      <c r="A400" s="266">
        <v>7100.0</v>
      </c>
      <c r="B400" s="266"/>
      <c r="C400" s="266">
        <v>5.0</v>
      </c>
      <c r="D400" s="266" t="s">
        <v>6686</v>
      </c>
      <c r="E400" s="266"/>
      <c r="F400" s="266"/>
      <c r="G400" s="266" t="s">
        <v>6304</v>
      </c>
      <c r="H400" s="266" t="s">
        <v>6687</v>
      </c>
      <c r="I400" s="266" t="s">
        <v>6305</v>
      </c>
      <c r="J400" s="266"/>
      <c r="K400" s="1"/>
      <c r="L400" s="1"/>
    </row>
    <row r="401">
      <c r="A401" s="266">
        <v>7200.0</v>
      </c>
      <c r="B401" s="266"/>
      <c r="C401" s="266">
        <v>5.0</v>
      </c>
      <c r="D401" s="266" t="s">
        <v>6688</v>
      </c>
      <c r="E401" s="266"/>
      <c r="F401" s="266"/>
      <c r="G401" s="266" t="s">
        <v>6304</v>
      </c>
      <c r="H401" s="266" t="s">
        <v>6687</v>
      </c>
      <c r="I401" s="266" t="s">
        <v>6305</v>
      </c>
      <c r="J401" s="266"/>
      <c r="K401" s="1"/>
      <c r="L401" s="1"/>
    </row>
    <row r="402">
      <c r="A402" s="266">
        <v>7300.0</v>
      </c>
      <c r="B402" s="266"/>
      <c r="C402" s="266">
        <v>5.0</v>
      </c>
      <c r="D402" s="266" t="s">
        <v>6689</v>
      </c>
      <c r="E402" s="266"/>
      <c r="F402" s="266"/>
      <c r="G402" s="266" t="s">
        <v>6304</v>
      </c>
      <c r="H402" s="266" t="s">
        <v>6687</v>
      </c>
      <c r="I402" s="266" t="s">
        <v>6305</v>
      </c>
      <c r="J402" s="266"/>
      <c r="K402" s="1"/>
      <c r="L402" s="1"/>
    </row>
    <row r="403">
      <c r="A403" s="266">
        <v>7400.0</v>
      </c>
      <c r="B403" s="266"/>
      <c r="C403" s="266">
        <v>5.0</v>
      </c>
      <c r="D403" s="266" t="s">
        <v>6690</v>
      </c>
      <c r="E403" s="266"/>
      <c r="F403" s="266"/>
      <c r="G403" s="266" t="s">
        <v>6304</v>
      </c>
      <c r="H403" s="266" t="s">
        <v>6687</v>
      </c>
      <c r="I403" s="266" t="s">
        <v>6305</v>
      </c>
      <c r="J403" s="266"/>
      <c r="K403" s="1"/>
      <c r="L403" s="1"/>
    </row>
    <row r="404">
      <c r="A404" s="266">
        <v>7500.0</v>
      </c>
      <c r="B404" s="266"/>
      <c r="C404" s="266">
        <v>5.0</v>
      </c>
      <c r="D404" s="266" t="s">
        <v>6691</v>
      </c>
      <c r="E404" s="266"/>
      <c r="F404" s="266"/>
      <c r="G404" s="266"/>
      <c r="H404" s="266"/>
      <c r="I404" s="266"/>
      <c r="J404" s="267"/>
    </row>
    <row r="405">
      <c r="A405" s="266">
        <v>7600.0</v>
      </c>
      <c r="B405" s="266"/>
      <c r="C405" s="266">
        <v>10.0</v>
      </c>
      <c r="D405" s="266" t="s">
        <v>6692</v>
      </c>
      <c r="E405" s="266"/>
      <c r="F405" s="266"/>
      <c r="G405" s="266" t="s">
        <v>6304</v>
      </c>
      <c r="H405" s="266">
        <v>99.0</v>
      </c>
      <c r="I405" s="266"/>
      <c r="J405" s="266"/>
      <c r="K405" s="1"/>
      <c r="L405" s="1"/>
    </row>
    <row r="406">
      <c r="A406" s="266">
        <v>7700.0</v>
      </c>
      <c r="B406" s="266"/>
      <c r="C406" s="266">
        <v>10.0</v>
      </c>
      <c r="D406" s="266" t="s">
        <v>6693</v>
      </c>
      <c r="E406" s="266"/>
      <c r="F406" s="266"/>
      <c r="G406" s="266" t="s">
        <v>6304</v>
      </c>
      <c r="H406" s="266">
        <v>99.0</v>
      </c>
      <c r="I406" s="266"/>
      <c r="J406" s="266"/>
      <c r="K406" s="1"/>
      <c r="L406" s="1"/>
    </row>
    <row r="407">
      <c r="A407" s="266">
        <v>7800.0</v>
      </c>
      <c r="B407" s="266"/>
      <c r="C407" s="266">
        <v>10.0</v>
      </c>
      <c r="D407" s="266" t="s">
        <v>6694</v>
      </c>
      <c r="E407" s="266"/>
      <c r="F407" s="266"/>
      <c r="G407" s="266" t="s">
        <v>6304</v>
      </c>
      <c r="H407" s="266">
        <v>99.0</v>
      </c>
      <c r="I407" s="266"/>
      <c r="J407" s="266"/>
      <c r="K407" s="1"/>
      <c r="L407" s="1"/>
    </row>
    <row r="408">
      <c r="A408" s="266">
        <v>7900.0</v>
      </c>
      <c r="B408" s="266"/>
      <c r="C408" s="266">
        <v>5.0</v>
      </c>
      <c r="D408" s="266" t="s">
        <v>6695</v>
      </c>
      <c r="E408" s="266"/>
      <c r="F408" s="266"/>
      <c r="G408" s="266" t="s">
        <v>6304</v>
      </c>
      <c r="H408" s="266" t="s">
        <v>552</v>
      </c>
      <c r="I408" s="266"/>
      <c r="J408" s="266"/>
      <c r="K408" s="1"/>
      <c r="L408" s="1"/>
    </row>
    <row r="409">
      <c r="A409" s="266">
        <v>8000.0</v>
      </c>
      <c r="B409" s="266"/>
      <c r="C409" s="266">
        <v>5.0</v>
      </c>
      <c r="D409" s="266" t="s">
        <v>6696</v>
      </c>
      <c r="E409" s="266"/>
      <c r="F409" s="266"/>
      <c r="G409" s="266" t="s">
        <v>6304</v>
      </c>
      <c r="H409" s="266" t="s">
        <v>552</v>
      </c>
      <c r="I409" s="266"/>
      <c r="J409" s="266"/>
      <c r="K409" s="1"/>
      <c r="L409" s="1"/>
    </row>
    <row r="410">
      <c r="A410" s="266">
        <v>8100.0</v>
      </c>
      <c r="B410" s="266"/>
      <c r="C410" s="266">
        <v>5.0</v>
      </c>
      <c r="D410" s="266" t="s">
        <v>6697</v>
      </c>
      <c r="E410" s="266"/>
      <c r="F410" s="266"/>
      <c r="G410" s="266" t="s">
        <v>6304</v>
      </c>
      <c r="H410" s="266" t="s">
        <v>551</v>
      </c>
      <c r="I410" s="266"/>
      <c r="J410" s="266"/>
      <c r="K410" s="1"/>
      <c r="L410" s="1"/>
    </row>
    <row r="411">
      <c r="A411" s="266">
        <v>8200.0</v>
      </c>
      <c r="B411" s="266"/>
      <c r="C411" s="266">
        <v>5.0</v>
      </c>
      <c r="D411" s="266" t="s">
        <v>6698</v>
      </c>
      <c r="E411" s="266"/>
      <c r="F411" s="266"/>
      <c r="G411" s="266" t="s">
        <v>6304</v>
      </c>
      <c r="H411" s="266" t="s">
        <v>559</v>
      </c>
      <c r="I411" s="266"/>
      <c r="J411" s="266"/>
      <c r="K411" s="1"/>
      <c r="L411" s="1"/>
    </row>
    <row r="412">
      <c r="A412" s="266">
        <v>8300.0</v>
      </c>
      <c r="B412" s="266"/>
      <c r="C412" s="266">
        <v>5.0</v>
      </c>
      <c r="D412" s="266" t="s">
        <v>6699</v>
      </c>
      <c r="E412" s="266"/>
      <c r="F412" s="266"/>
      <c r="G412" s="266" t="s">
        <v>6304</v>
      </c>
      <c r="H412" s="266" t="s">
        <v>555</v>
      </c>
      <c r="I412" s="266"/>
      <c r="J412" s="266"/>
      <c r="K412" s="1"/>
      <c r="L412" s="1"/>
    </row>
    <row r="413">
      <c r="A413" s="266">
        <v>8400.0</v>
      </c>
      <c r="B413" s="266"/>
      <c r="C413" s="266">
        <v>5.0</v>
      </c>
      <c r="D413" s="266" t="s">
        <v>6700</v>
      </c>
      <c r="E413" s="266"/>
      <c r="F413" s="266"/>
      <c r="G413" s="266" t="s">
        <v>6304</v>
      </c>
      <c r="H413" s="266" t="s">
        <v>555</v>
      </c>
      <c r="I413" s="266"/>
      <c r="J413" s="266"/>
      <c r="K413" s="1"/>
      <c r="L413" s="1"/>
    </row>
    <row r="414">
      <c r="A414" s="266">
        <v>8500.0</v>
      </c>
      <c r="B414" s="266"/>
      <c r="C414" s="266">
        <v>5.0</v>
      </c>
      <c r="D414" s="266" t="s">
        <v>6701</v>
      </c>
      <c r="E414" s="266"/>
      <c r="F414" s="266"/>
      <c r="G414" s="266" t="s">
        <v>6304</v>
      </c>
      <c r="H414" s="266" t="s">
        <v>559</v>
      </c>
      <c r="I414" s="266"/>
      <c r="J414" s="266"/>
      <c r="K414" s="1"/>
      <c r="L414" s="1"/>
    </row>
    <row r="415">
      <c r="A415" s="266">
        <v>8600.0</v>
      </c>
      <c r="B415" s="266"/>
      <c r="C415" s="266">
        <v>5.0</v>
      </c>
      <c r="D415" s="266" t="s">
        <v>6702</v>
      </c>
      <c r="E415" s="266"/>
      <c r="F415" s="266"/>
      <c r="G415" s="266" t="s">
        <v>6304</v>
      </c>
      <c r="H415" s="266" t="s">
        <v>5244</v>
      </c>
      <c r="I415" s="266"/>
      <c r="J415" s="266"/>
      <c r="K415" s="1"/>
      <c r="L415" s="1"/>
    </row>
    <row r="416">
      <c r="A416" s="266">
        <v>8700.0</v>
      </c>
      <c r="B416" s="266"/>
      <c r="C416" s="266">
        <v>5.0</v>
      </c>
      <c r="D416" s="266" t="s">
        <v>6703</v>
      </c>
      <c r="E416" s="266"/>
      <c r="F416" s="266"/>
      <c r="G416" s="266" t="s">
        <v>6304</v>
      </c>
      <c r="H416" s="266" t="s">
        <v>555</v>
      </c>
      <c r="I416" s="266"/>
      <c r="J416" s="266"/>
      <c r="K416" s="1"/>
      <c r="L416" s="1"/>
    </row>
    <row r="417">
      <c r="A417" s="266">
        <v>8800.0</v>
      </c>
      <c r="B417" s="266"/>
      <c r="C417" s="266">
        <v>5.0</v>
      </c>
      <c r="D417" s="266" t="s">
        <v>6704</v>
      </c>
      <c r="E417" s="266"/>
      <c r="F417" s="266"/>
      <c r="G417" s="266" t="s">
        <v>6304</v>
      </c>
      <c r="H417" s="266" t="s">
        <v>555</v>
      </c>
      <c r="I417" s="266"/>
      <c r="J417" s="266"/>
      <c r="K417" s="1"/>
      <c r="L417" s="1"/>
    </row>
    <row r="418">
      <c r="A418" s="266">
        <v>8900.0</v>
      </c>
      <c r="B418" s="266"/>
      <c r="C418" s="266">
        <v>5.0</v>
      </c>
      <c r="D418" s="266" t="s">
        <v>6705</v>
      </c>
      <c r="E418" s="266"/>
      <c r="F418" s="266"/>
      <c r="G418" s="266" t="s">
        <v>6304</v>
      </c>
      <c r="H418" s="266" t="s">
        <v>555</v>
      </c>
      <c r="I418" s="266"/>
      <c r="J418" s="266"/>
      <c r="K418" s="1"/>
      <c r="L418" s="1"/>
    </row>
    <row r="419">
      <c r="A419" s="266">
        <v>9000.0</v>
      </c>
      <c r="B419" s="266"/>
      <c r="C419" s="266">
        <v>5.0</v>
      </c>
      <c r="D419" s="266" t="s">
        <v>6706</v>
      </c>
      <c r="E419" s="266"/>
      <c r="F419" s="266"/>
      <c r="G419" s="266" t="s">
        <v>6304</v>
      </c>
      <c r="H419" s="266" t="s">
        <v>6707</v>
      </c>
      <c r="I419" s="266" t="s">
        <v>6305</v>
      </c>
      <c r="J419" s="266"/>
      <c r="K419" s="1"/>
      <c r="L419" s="1"/>
    </row>
    <row r="420">
      <c r="A420" s="266">
        <v>9100.0</v>
      </c>
      <c r="B420" s="266"/>
      <c r="C420" s="266">
        <v>5.0</v>
      </c>
      <c r="D420" s="266" t="s">
        <v>6708</v>
      </c>
      <c r="E420" s="266"/>
      <c r="F420" s="266"/>
      <c r="G420" s="266" t="s">
        <v>6304</v>
      </c>
      <c r="H420" s="266" t="s">
        <v>6707</v>
      </c>
      <c r="I420" s="266" t="s">
        <v>6305</v>
      </c>
      <c r="J420" s="266"/>
      <c r="K420" s="1"/>
      <c r="L420" s="1"/>
    </row>
    <row r="421">
      <c r="A421" s="266">
        <v>9200.0</v>
      </c>
      <c r="B421" s="266"/>
      <c r="C421" s="266">
        <v>5.0</v>
      </c>
      <c r="D421" s="266" t="s">
        <v>6709</v>
      </c>
      <c r="E421" s="266"/>
      <c r="F421" s="266"/>
      <c r="G421" s="266" t="s">
        <v>6304</v>
      </c>
      <c r="H421" s="266" t="s">
        <v>6676</v>
      </c>
      <c r="I421" s="266"/>
      <c r="J421" s="266"/>
      <c r="K421" s="1"/>
      <c r="L421" s="1"/>
    </row>
    <row r="422">
      <c r="A422" s="266">
        <v>9300.0</v>
      </c>
      <c r="B422" s="266"/>
      <c r="C422" s="266">
        <v>5.0</v>
      </c>
      <c r="D422" s="266" t="s">
        <v>6710</v>
      </c>
      <c r="E422" s="266"/>
      <c r="F422" s="266"/>
      <c r="G422" s="266"/>
      <c r="H422" s="266"/>
      <c r="I422" s="266"/>
      <c r="J422" s="267"/>
    </row>
    <row r="423">
      <c r="A423" s="266">
        <v>9400.0</v>
      </c>
      <c r="B423" s="266"/>
      <c r="C423" s="266">
        <v>10.0</v>
      </c>
      <c r="D423" s="266" t="s">
        <v>6711</v>
      </c>
      <c r="E423" s="266"/>
      <c r="F423" s="266"/>
      <c r="G423" s="266" t="s">
        <v>6304</v>
      </c>
      <c r="H423" s="266" t="s">
        <v>3806</v>
      </c>
      <c r="I423" s="266"/>
      <c r="J423" s="266"/>
      <c r="K423" s="1"/>
      <c r="L423" s="1"/>
    </row>
    <row r="424">
      <c r="A424" s="266">
        <v>9500.0</v>
      </c>
      <c r="B424" s="266"/>
      <c r="C424" s="266">
        <v>10.0</v>
      </c>
      <c r="D424" s="266" t="s">
        <v>6712</v>
      </c>
      <c r="E424" s="266"/>
      <c r="F424" s="266"/>
      <c r="G424" s="266" t="s">
        <v>6304</v>
      </c>
      <c r="H424" s="266" t="s">
        <v>3806</v>
      </c>
      <c r="I424" s="266"/>
      <c r="J424" s="266"/>
      <c r="K424" s="1"/>
      <c r="L424" s="1"/>
    </row>
    <row r="425">
      <c r="A425" s="266">
        <v>9600.0</v>
      </c>
      <c r="B425" s="266"/>
      <c r="C425" s="266">
        <v>10.0</v>
      </c>
      <c r="D425" s="266" t="s">
        <v>6713</v>
      </c>
      <c r="E425" s="266"/>
      <c r="F425" s="266"/>
      <c r="G425" s="266" t="s">
        <v>6304</v>
      </c>
      <c r="H425" s="266" t="s">
        <v>3806</v>
      </c>
      <c r="I425" s="266"/>
      <c r="J425" s="266"/>
      <c r="K425" s="1"/>
      <c r="L425" s="1"/>
    </row>
    <row r="426">
      <c r="A426" s="266">
        <v>9700.0</v>
      </c>
      <c r="B426" s="266"/>
      <c r="C426" s="266">
        <v>5.0</v>
      </c>
      <c r="D426" s="266" t="s">
        <v>6714</v>
      </c>
      <c r="E426" s="266"/>
      <c r="F426" s="266"/>
      <c r="G426" s="266" t="s">
        <v>6304</v>
      </c>
      <c r="H426" s="266" t="s">
        <v>7</v>
      </c>
      <c r="I426" s="266" t="s">
        <v>6305</v>
      </c>
      <c r="J426" s="266"/>
      <c r="K426" s="1"/>
      <c r="L426" s="1"/>
    </row>
    <row r="427">
      <c r="A427" s="266">
        <v>9800.0</v>
      </c>
      <c r="B427" s="266"/>
      <c r="C427" s="266">
        <v>5.0</v>
      </c>
      <c r="D427" s="266" t="s">
        <v>6715</v>
      </c>
      <c r="E427" s="266"/>
      <c r="F427" s="266"/>
      <c r="G427" s="266" t="s">
        <v>6304</v>
      </c>
      <c r="H427" s="266" t="s">
        <v>558</v>
      </c>
      <c r="I427" s="266" t="s">
        <v>6305</v>
      </c>
      <c r="J427" s="266"/>
      <c r="K427" s="1"/>
      <c r="L427" s="1"/>
    </row>
    <row r="428">
      <c r="A428" s="266">
        <v>9900.0</v>
      </c>
      <c r="B428" s="266"/>
      <c r="C428" s="266">
        <v>5.0</v>
      </c>
      <c r="D428" s="266" t="s">
        <v>6716</v>
      </c>
      <c r="E428" s="266"/>
      <c r="F428" s="266"/>
      <c r="G428" s="266" t="s">
        <v>6304</v>
      </c>
      <c r="H428" s="266" t="s">
        <v>560</v>
      </c>
      <c r="I428" s="266"/>
      <c r="J428" s="266"/>
      <c r="K428" s="1"/>
      <c r="L428" s="1"/>
    </row>
    <row r="429">
      <c r="A429" s="266">
        <v>10000.0</v>
      </c>
      <c r="B429" s="266"/>
      <c r="C429" s="266">
        <v>5.0</v>
      </c>
      <c r="D429" s="266" t="s">
        <v>6717</v>
      </c>
      <c r="E429" s="266"/>
      <c r="F429" s="266"/>
      <c r="G429" s="266" t="s">
        <v>6304</v>
      </c>
      <c r="H429" s="266" t="s">
        <v>560</v>
      </c>
      <c r="I429" s="266"/>
      <c r="J429" s="266"/>
      <c r="K429" s="1"/>
      <c r="L429" s="1"/>
    </row>
    <row r="430">
      <c r="A430" s="266">
        <v>10100.0</v>
      </c>
      <c r="B430" s="266"/>
      <c r="C430" s="266">
        <v>5.0</v>
      </c>
      <c r="D430" s="266" t="s">
        <v>6718</v>
      </c>
      <c r="E430" s="266"/>
      <c r="F430" s="266"/>
      <c r="G430" s="266" t="s">
        <v>6304</v>
      </c>
      <c r="H430" s="266" t="s">
        <v>4103</v>
      </c>
      <c r="I430" s="266"/>
      <c r="J430" s="266"/>
      <c r="K430" s="1"/>
      <c r="L430" s="1"/>
    </row>
    <row r="431">
      <c r="A431" s="266">
        <v>10200.0</v>
      </c>
      <c r="B431" s="266"/>
      <c r="C431" s="266">
        <v>5.0</v>
      </c>
      <c r="D431" s="266" t="s">
        <v>6719</v>
      </c>
      <c r="E431" s="266"/>
      <c r="F431" s="266"/>
      <c r="G431" s="266" t="s">
        <v>6304</v>
      </c>
      <c r="H431" s="266" t="s">
        <v>552</v>
      </c>
      <c r="I431" s="266"/>
      <c r="J431" s="266"/>
      <c r="K431" s="1"/>
      <c r="L431" s="1"/>
    </row>
    <row r="432">
      <c r="A432" s="266">
        <v>10300.0</v>
      </c>
      <c r="B432" s="266"/>
      <c r="C432" s="266">
        <v>5.0</v>
      </c>
      <c r="D432" s="266" t="s">
        <v>6720</v>
      </c>
      <c r="E432" s="266"/>
      <c r="F432" s="266"/>
      <c r="G432" s="266" t="s">
        <v>6304</v>
      </c>
      <c r="H432" s="266" t="s">
        <v>551</v>
      </c>
      <c r="I432" s="266"/>
      <c r="J432" s="266"/>
      <c r="K432" s="1"/>
      <c r="L432" s="1"/>
    </row>
    <row r="433">
      <c r="A433" s="266">
        <v>10400.0</v>
      </c>
      <c r="B433" s="266"/>
      <c r="C433" s="266">
        <v>5.0</v>
      </c>
      <c r="D433" s="266" t="s">
        <v>6721</v>
      </c>
      <c r="E433" s="266"/>
      <c r="F433" s="266"/>
      <c r="G433" s="266" t="s">
        <v>6304</v>
      </c>
      <c r="H433" s="266" t="s">
        <v>551</v>
      </c>
      <c r="I433" s="266"/>
      <c r="J433" s="266"/>
      <c r="K433" s="1"/>
      <c r="L433" s="1"/>
    </row>
    <row r="434">
      <c r="A434" s="266">
        <v>10500.0</v>
      </c>
      <c r="B434" s="266"/>
      <c r="C434" s="266">
        <v>5.0</v>
      </c>
      <c r="D434" s="266" t="s">
        <v>6722</v>
      </c>
      <c r="E434" s="266"/>
      <c r="F434" s="266"/>
      <c r="G434" s="266" t="s">
        <v>6304</v>
      </c>
      <c r="H434" s="266" t="s">
        <v>7</v>
      </c>
      <c r="I434" s="266" t="s">
        <v>6305</v>
      </c>
      <c r="J434" s="266"/>
      <c r="K434" s="1"/>
      <c r="L434" s="1"/>
    </row>
    <row r="435">
      <c r="A435" s="266">
        <v>10600.0</v>
      </c>
      <c r="B435" s="266"/>
      <c r="C435" s="266">
        <v>5.0</v>
      </c>
      <c r="D435" s="266" t="s">
        <v>6723</v>
      </c>
      <c r="E435" s="266"/>
      <c r="F435" s="266"/>
      <c r="G435" s="266" t="s">
        <v>6304</v>
      </c>
      <c r="H435" s="266" t="s">
        <v>7</v>
      </c>
      <c r="I435" s="266" t="s">
        <v>6305</v>
      </c>
      <c r="J435" s="266"/>
      <c r="K435" s="1"/>
      <c r="L435" s="1"/>
    </row>
    <row r="436">
      <c r="A436" s="266">
        <v>10700.0</v>
      </c>
      <c r="B436" s="266"/>
      <c r="C436" s="266">
        <v>5.0</v>
      </c>
      <c r="D436" s="266" t="s">
        <v>6724</v>
      </c>
      <c r="E436" s="266"/>
      <c r="F436" s="266"/>
      <c r="G436" s="266" t="s">
        <v>6304</v>
      </c>
      <c r="H436" s="266" t="s">
        <v>558</v>
      </c>
      <c r="I436" s="266" t="s">
        <v>6305</v>
      </c>
      <c r="J436" s="266"/>
      <c r="K436" s="1"/>
      <c r="L436" s="1"/>
    </row>
    <row r="437">
      <c r="A437" s="266">
        <v>10800.0</v>
      </c>
      <c r="B437" s="266"/>
      <c r="C437" s="266">
        <v>5.0</v>
      </c>
      <c r="D437" s="266" t="s">
        <v>6725</v>
      </c>
      <c r="E437" s="266"/>
      <c r="F437" s="266"/>
      <c r="G437" s="266" t="s">
        <v>6304</v>
      </c>
      <c r="H437" s="266" t="s">
        <v>558</v>
      </c>
      <c r="I437" s="266" t="s">
        <v>6305</v>
      </c>
      <c r="J437" s="266"/>
      <c r="K437" s="1"/>
      <c r="L437" s="1"/>
    </row>
    <row r="438">
      <c r="A438" s="266">
        <v>10900.0</v>
      </c>
      <c r="B438" s="266"/>
      <c r="C438" s="266">
        <v>5.0</v>
      </c>
      <c r="D438" s="266" t="s">
        <v>6726</v>
      </c>
      <c r="E438" s="266"/>
      <c r="F438" s="266"/>
      <c r="G438" s="266" t="s">
        <v>6304</v>
      </c>
      <c r="H438" s="266" t="s">
        <v>7</v>
      </c>
      <c r="I438" s="266" t="s">
        <v>6305</v>
      </c>
      <c r="J438" s="266"/>
      <c r="K438" s="1"/>
      <c r="L438" s="1"/>
    </row>
    <row r="439">
      <c r="A439" s="266">
        <v>11000.0</v>
      </c>
      <c r="B439" s="266"/>
      <c r="C439" s="266">
        <v>5.0</v>
      </c>
      <c r="D439" s="266" t="s">
        <v>6727</v>
      </c>
      <c r="E439" s="266"/>
      <c r="F439" s="266"/>
      <c r="G439" s="266" t="s">
        <v>6304</v>
      </c>
      <c r="H439" s="266" t="s">
        <v>3807</v>
      </c>
      <c r="I439" s="266"/>
      <c r="J439" s="266"/>
      <c r="K439" s="1"/>
      <c r="L439" s="1"/>
    </row>
    <row r="440">
      <c r="A440" s="266">
        <v>11100.0</v>
      </c>
      <c r="B440" s="266"/>
      <c r="C440" s="266">
        <v>5.0</v>
      </c>
      <c r="D440" s="266" t="s">
        <v>6728</v>
      </c>
      <c r="E440" s="266"/>
      <c r="F440" s="266"/>
      <c r="G440" s="266" t="s">
        <v>6304</v>
      </c>
      <c r="H440" s="266" t="s">
        <v>555</v>
      </c>
      <c r="I440" s="266"/>
      <c r="J440" s="266"/>
      <c r="K440" s="1"/>
      <c r="L440" s="1"/>
    </row>
    <row r="441">
      <c r="A441" s="266">
        <v>11200.0</v>
      </c>
      <c r="B441" s="266"/>
      <c r="C441" s="266">
        <v>5.0</v>
      </c>
      <c r="D441" s="266" t="s">
        <v>6729</v>
      </c>
      <c r="E441" s="266"/>
      <c r="F441" s="266"/>
      <c r="G441" s="266" t="s">
        <v>6304</v>
      </c>
      <c r="H441" s="266" t="s">
        <v>3806</v>
      </c>
      <c r="I441" s="266"/>
      <c r="J441" s="266"/>
      <c r="K441" s="1"/>
      <c r="L441" s="1"/>
    </row>
    <row r="442">
      <c r="A442" s="266">
        <v>11300.0</v>
      </c>
      <c r="B442" s="266"/>
      <c r="C442" s="266">
        <v>5.0</v>
      </c>
      <c r="D442" s="266" t="s">
        <v>6730</v>
      </c>
      <c r="E442" s="266"/>
      <c r="F442" s="266"/>
      <c r="G442" s="266" t="s">
        <v>6304</v>
      </c>
      <c r="H442" s="266" t="s">
        <v>6731</v>
      </c>
      <c r="I442" s="266" t="s">
        <v>6305</v>
      </c>
      <c r="J442" s="266"/>
      <c r="K442" s="1"/>
      <c r="L442" s="1"/>
    </row>
    <row r="443">
      <c r="A443" s="266">
        <v>11400.0</v>
      </c>
      <c r="B443" s="266"/>
      <c r="C443" s="266">
        <v>5.0</v>
      </c>
      <c r="D443" s="266" t="s">
        <v>6306</v>
      </c>
      <c r="E443" s="266"/>
      <c r="F443" s="266"/>
      <c r="G443" s="266" t="s">
        <v>6304</v>
      </c>
      <c r="H443" s="266" t="s">
        <v>6499</v>
      </c>
      <c r="I443" s="266"/>
      <c r="J443" s="266"/>
      <c r="K443" s="1"/>
      <c r="L443" s="1"/>
    </row>
    <row r="444">
      <c r="A444" s="266">
        <v>50.0</v>
      </c>
      <c r="B444" s="266">
        <v>1.0</v>
      </c>
      <c r="C444" s="266"/>
      <c r="D444" s="266" t="s">
        <v>6732</v>
      </c>
      <c r="E444" s="266"/>
      <c r="F444" s="266"/>
      <c r="G444" s="266"/>
      <c r="H444" s="266"/>
      <c r="I444" s="266"/>
      <c r="J444" s="267"/>
    </row>
    <row r="445">
      <c r="A445" s="266">
        <v>100.0</v>
      </c>
      <c r="B445" s="266"/>
      <c r="C445" s="266">
        <v>5.0</v>
      </c>
      <c r="D445" s="266" t="s">
        <v>6733</v>
      </c>
      <c r="E445" s="266"/>
      <c r="F445" s="266"/>
      <c r="G445" s="266" t="s">
        <v>6304</v>
      </c>
      <c r="H445" s="266" t="s">
        <v>3794</v>
      </c>
      <c r="I445" s="266"/>
      <c r="J445" s="266"/>
      <c r="K445" s="1"/>
      <c r="L445" s="1"/>
    </row>
    <row r="446">
      <c r="A446" s="266">
        <v>200.0</v>
      </c>
      <c r="B446" s="266"/>
      <c r="C446" s="266">
        <v>5.0</v>
      </c>
      <c r="D446" s="266" t="s">
        <v>6734</v>
      </c>
      <c r="E446" s="266"/>
      <c r="F446" s="266"/>
      <c r="G446" s="266" t="s">
        <v>6304</v>
      </c>
      <c r="H446" s="266" t="s">
        <v>6735</v>
      </c>
      <c r="I446" s="266" t="s">
        <v>6305</v>
      </c>
      <c r="J446" s="266"/>
      <c r="K446" s="1"/>
      <c r="L446" s="1"/>
    </row>
    <row r="447">
      <c r="A447" s="266">
        <v>300.0</v>
      </c>
      <c r="B447" s="266"/>
      <c r="C447" s="266">
        <v>5.0</v>
      </c>
      <c r="D447" s="266" t="s">
        <v>6736</v>
      </c>
      <c r="E447" s="266"/>
      <c r="F447" s="266"/>
      <c r="G447" s="266" t="s">
        <v>6304</v>
      </c>
      <c r="H447" s="266" t="s">
        <v>4103</v>
      </c>
      <c r="I447" s="266"/>
      <c r="J447" s="266"/>
      <c r="K447" s="1"/>
      <c r="L447" s="1"/>
    </row>
    <row r="448">
      <c r="A448" s="266">
        <v>400.0</v>
      </c>
      <c r="B448" s="266"/>
      <c r="C448" s="266">
        <v>5.0</v>
      </c>
      <c r="D448" s="266" t="s">
        <v>6306</v>
      </c>
      <c r="E448" s="266"/>
      <c r="F448" s="266"/>
      <c r="G448" s="266" t="s">
        <v>6304</v>
      </c>
      <c r="H448" s="266" t="s">
        <v>6467</v>
      </c>
      <c r="I448" s="266"/>
      <c r="J448" s="266"/>
      <c r="K448" s="1"/>
      <c r="L448" s="1"/>
    </row>
    <row r="449">
      <c r="A449" s="266">
        <v>500.0</v>
      </c>
      <c r="B449" s="266"/>
      <c r="C449" s="266">
        <v>5.0</v>
      </c>
      <c r="D449" s="266" t="s">
        <v>6306</v>
      </c>
      <c r="E449" s="266"/>
      <c r="F449" s="266"/>
      <c r="G449" s="266" t="s">
        <v>6304</v>
      </c>
      <c r="H449" s="266" t="s">
        <v>15</v>
      </c>
      <c r="I449" s="266"/>
      <c r="J449" s="266"/>
      <c r="K449" s="1"/>
      <c r="L449" s="1"/>
    </row>
    <row r="450">
      <c r="A450" s="266">
        <v>50.0</v>
      </c>
      <c r="B450" s="266">
        <v>1.0</v>
      </c>
      <c r="C450" s="266"/>
      <c r="D450" s="266" t="s">
        <v>6737</v>
      </c>
      <c r="E450" s="266"/>
      <c r="F450" s="266"/>
      <c r="G450" s="266"/>
      <c r="H450" s="266"/>
      <c r="I450" s="266"/>
      <c r="J450" s="267"/>
    </row>
    <row r="451">
      <c r="A451" s="266">
        <v>100.0</v>
      </c>
      <c r="B451" s="266"/>
      <c r="C451" s="266">
        <v>5.0</v>
      </c>
      <c r="D451" s="266" t="s">
        <v>6738</v>
      </c>
      <c r="E451" s="266"/>
      <c r="F451" s="266"/>
      <c r="G451" s="266" t="s">
        <v>6304</v>
      </c>
      <c r="H451" s="266" t="s">
        <v>7</v>
      </c>
      <c r="I451" s="266" t="s">
        <v>6305</v>
      </c>
      <c r="J451" s="266"/>
      <c r="K451" s="1"/>
      <c r="L451" s="1"/>
    </row>
    <row r="452">
      <c r="A452" s="266">
        <v>200.0</v>
      </c>
      <c r="B452" s="266"/>
      <c r="C452" s="266">
        <v>5.0</v>
      </c>
      <c r="D452" s="266" t="s">
        <v>6739</v>
      </c>
      <c r="E452" s="266"/>
      <c r="F452" s="266"/>
      <c r="G452" s="266" t="s">
        <v>6304</v>
      </c>
      <c r="H452" s="266" t="s">
        <v>7</v>
      </c>
      <c r="I452" s="266" t="s">
        <v>6305</v>
      </c>
      <c r="J452" s="266"/>
      <c r="K452" s="1"/>
      <c r="L452" s="1"/>
    </row>
    <row r="453">
      <c r="A453" s="266">
        <v>300.0</v>
      </c>
      <c r="B453" s="266"/>
      <c r="C453" s="266">
        <v>5.0</v>
      </c>
      <c r="D453" s="266" t="s">
        <v>6740</v>
      </c>
      <c r="E453" s="266"/>
      <c r="F453" s="266"/>
      <c r="G453" s="266" t="s">
        <v>6304</v>
      </c>
      <c r="H453" s="266" t="s">
        <v>7</v>
      </c>
      <c r="I453" s="266" t="s">
        <v>6305</v>
      </c>
      <c r="J453" s="266"/>
      <c r="K453" s="1"/>
      <c r="L453" s="1"/>
    </row>
    <row r="454">
      <c r="A454" s="266">
        <v>400.0</v>
      </c>
      <c r="B454" s="266"/>
      <c r="C454" s="266">
        <v>5.0</v>
      </c>
      <c r="D454" s="266" t="s">
        <v>6741</v>
      </c>
      <c r="E454" s="266"/>
      <c r="F454" s="266"/>
      <c r="G454" s="266" t="s">
        <v>6304</v>
      </c>
      <c r="H454" s="266" t="s">
        <v>7</v>
      </c>
      <c r="I454" s="266" t="s">
        <v>6305</v>
      </c>
      <c r="J454" s="266"/>
      <c r="K454" s="1"/>
      <c r="L454" s="1"/>
    </row>
    <row r="455">
      <c r="A455" s="266">
        <v>500.0</v>
      </c>
      <c r="B455" s="266"/>
      <c r="C455" s="266">
        <v>5.0</v>
      </c>
      <c r="D455" s="266" t="s">
        <v>6742</v>
      </c>
      <c r="E455" s="266"/>
      <c r="F455" s="266"/>
      <c r="G455" s="266" t="s">
        <v>6304</v>
      </c>
      <c r="H455" s="266" t="s">
        <v>7</v>
      </c>
      <c r="I455" s="266" t="s">
        <v>6305</v>
      </c>
      <c r="J455" s="266"/>
      <c r="K455" s="1"/>
      <c r="L455" s="1"/>
    </row>
    <row r="456">
      <c r="A456" s="266">
        <v>600.0</v>
      </c>
      <c r="B456" s="266"/>
      <c r="C456" s="266">
        <v>5.0</v>
      </c>
      <c r="D456" s="266" t="s">
        <v>6306</v>
      </c>
      <c r="E456" s="266"/>
      <c r="F456" s="266"/>
      <c r="G456" s="266" t="s">
        <v>6304</v>
      </c>
      <c r="H456" s="266" t="s">
        <v>6743</v>
      </c>
      <c r="I456" s="266"/>
      <c r="J456" s="266"/>
      <c r="K456" s="1"/>
      <c r="L456" s="1"/>
    </row>
    <row r="457">
      <c r="A457" s="266">
        <v>50.0</v>
      </c>
      <c r="B457" s="266">
        <v>1.0</v>
      </c>
      <c r="C457" s="266"/>
      <c r="D457" s="266" t="s">
        <v>6744</v>
      </c>
      <c r="E457" s="266"/>
      <c r="F457" s="266"/>
      <c r="G457" s="266"/>
      <c r="H457" s="266"/>
      <c r="I457" s="266"/>
      <c r="J457" s="267"/>
    </row>
    <row r="458">
      <c r="A458" s="266">
        <v>100.0</v>
      </c>
      <c r="B458" s="266"/>
      <c r="C458" s="266">
        <v>5.0</v>
      </c>
      <c r="D458" s="266" t="s">
        <v>6745</v>
      </c>
      <c r="E458" s="266"/>
      <c r="F458" s="266"/>
      <c r="G458" s="266" t="s">
        <v>6304</v>
      </c>
      <c r="H458" s="266" t="s">
        <v>560</v>
      </c>
      <c r="I458" s="266"/>
      <c r="J458" s="266"/>
      <c r="K458" s="1"/>
      <c r="L458" s="1"/>
    </row>
    <row r="459">
      <c r="A459" s="266">
        <v>200.0</v>
      </c>
      <c r="B459" s="266"/>
      <c r="C459" s="266">
        <v>5.0</v>
      </c>
      <c r="D459" s="266" t="s">
        <v>6746</v>
      </c>
      <c r="E459" s="266"/>
      <c r="F459" s="266"/>
      <c r="G459" s="266" t="s">
        <v>6304</v>
      </c>
      <c r="H459" s="266" t="s">
        <v>560</v>
      </c>
      <c r="I459" s="266"/>
      <c r="J459" s="266"/>
      <c r="K459" s="1"/>
      <c r="L459" s="1"/>
    </row>
    <row r="460">
      <c r="A460" s="266">
        <v>300.0</v>
      </c>
      <c r="B460" s="266"/>
      <c r="C460" s="266">
        <v>5.0</v>
      </c>
      <c r="D460" s="266" t="s">
        <v>6747</v>
      </c>
      <c r="E460" s="266"/>
      <c r="F460" s="266"/>
      <c r="G460" s="266" t="s">
        <v>6304</v>
      </c>
      <c r="H460" s="266" t="s">
        <v>560</v>
      </c>
      <c r="I460" s="266"/>
      <c r="J460" s="266"/>
      <c r="K460" s="1"/>
      <c r="L460" s="1"/>
    </row>
    <row r="461">
      <c r="A461" s="266">
        <v>400.0</v>
      </c>
      <c r="B461" s="266"/>
      <c r="C461" s="266">
        <v>5.0</v>
      </c>
      <c r="D461" s="266" t="s">
        <v>6748</v>
      </c>
      <c r="E461" s="266"/>
      <c r="F461" s="266"/>
      <c r="G461" s="266" t="s">
        <v>6304</v>
      </c>
      <c r="H461" s="266" t="s">
        <v>552</v>
      </c>
      <c r="I461" s="266"/>
      <c r="J461" s="266"/>
      <c r="K461" s="1"/>
      <c r="L461" s="1"/>
    </row>
    <row r="462">
      <c r="A462" s="266">
        <v>500.0</v>
      </c>
      <c r="B462" s="266"/>
      <c r="C462" s="266">
        <v>5.0</v>
      </c>
      <c r="D462" s="266" t="s">
        <v>6749</v>
      </c>
      <c r="E462" s="266"/>
      <c r="F462" s="266"/>
      <c r="G462" s="266" t="s">
        <v>6304</v>
      </c>
      <c r="H462" s="266" t="s">
        <v>560</v>
      </c>
      <c r="I462" s="266"/>
      <c r="J462" s="266"/>
      <c r="K462" s="1"/>
      <c r="L462" s="1"/>
    </row>
    <row r="463">
      <c r="A463" s="266">
        <v>600.0</v>
      </c>
      <c r="B463" s="266"/>
      <c r="C463" s="266">
        <v>5.0</v>
      </c>
      <c r="D463" s="266" t="s">
        <v>6750</v>
      </c>
      <c r="E463" s="266"/>
      <c r="F463" s="266"/>
      <c r="G463" s="266" t="s">
        <v>6304</v>
      </c>
      <c r="H463" s="266" t="s">
        <v>560</v>
      </c>
      <c r="I463" s="266"/>
      <c r="J463" s="266"/>
      <c r="K463" s="1"/>
      <c r="L463" s="1"/>
    </row>
    <row r="464">
      <c r="A464" s="266">
        <v>700.0</v>
      </c>
      <c r="B464" s="266"/>
      <c r="C464" s="266">
        <v>5.0</v>
      </c>
      <c r="D464" s="266" t="s">
        <v>6751</v>
      </c>
      <c r="E464" s="266"/>
      <c r="F464" s="266"/>
      <c r="G464" s="266" t="s">
        <v>6304</v>
      </c>
      <c r="H464" s="266" t="s">
        <v>560</v>
      </c>
      <c r="I464" s="266"/>
      <c r="J464" s="266"/>
      <c r="K464" s="1"/>
      <c r="L464" s="1"/>
    </row>
    <row r="465">
      <c r="A465" s="266">
        <v>800.0</v>
      </c>
      <c r="B465" s="266"/>
      <c r="C465" s="266">
        <v>5.0</v>
      </c>
      <c r="D465" s="266" t="s">
        <v>6752</v>
      </c>
      <c r="E465" s="266"/>
      <c r="F465" s="266"/>
      <c r="G465" s="266" t="s">
        <v>6304</v>
      </c>
      <c r="H465" s="266" t="s">
        <v>6707</v>
      </c>
      <c r="I465" s="266" t="s">
        <v>6305</v>
      </c>
      <c r="J465" s="266"/>
      <c r="K465" s="1"/>
      <c r="L465" s="1"/>
    </row>
    <row r="466">
      <c r="A466" s="266">
        <v>900.0</v>
      </c>
      <c r="B466" s="266"/>
      <c r="C466" s="266">
        <v>5.0</v>
      </c>
      <c r="D466" s="266" t="s">
        <v>6753</v>
      </c>
      <c r="E466" s="266"/>
      <c r="F466" s="266"/>
      <c r="G466" s="266" t="s">
        <v>6304</v>
      </c>
      <c r="H466" s="266" t="s">
        <v>552</v>
      </c>
      <c r="I466" s="266"/>
      <c r="J466" s="266"/>
      <c r="K466" s="1"/>
      <c r="L466" s="1"/>
    </row>
    <row r="467">
      <c r="A467" s="266">
        <v>1000.0</v>
      </c>
      <c r="B467" s="266"/>
      <c r="C467" s="266">
        <v>5.0</v>
      </c>
      <c r="D467" s="266" t="s">
        <v>6754</v>
      </c>
      <c r="E467" s="266"/>
      <c r="F467" s="266"/>
      <c r="G467" s="266" t="s">
        <v>6304</v>
      </c>
      <c r="H467" s="266" t="s">
        <v>560</v>
      </c>
      <c r="I467" s="266"/>
      <c r="J467" s="266"/>
      <c r="K467" s="1"/>
      <c r="L467" s="1"/>
    </row>
    <row r="468">
      <c r="A468" s="266">
        <v>1100.0</v>
      </c>
      <c r="B468" s="266"/>
      <c r="C468" s="266">
        <v>5.0</v>
      </c>
      <c r="D468" s="266" t="s">
        <v>6755</v>
      </c>
      <c r="E468" s="266"/>
      <c r="F468" s="266"/>
      <c r="G468" s="266" t="s">
        <v>6304</v>
      </c>
      <c r="H468" s="266" t="s">
        <v>560</v>
      </c>
      <c r="I468" s="266"/>
      <c r="J468" s="266"/>
      <c r="K468" s="1"/>
      <c r="L468" s="1"/>
    </row>
    <row r="469">
      <c r="A469" s="266">
        <v>1200.0</v>
      </c>
      <c r="B469" s="266"/>
      <c r="C469" s="266">
        <v>5.0</v>
      </c>
      <c r="D469" s="266" t="s">
        <v>6756</v>
      </c>
      <c r="E469" s="266"/>
      <c r="F469" s="266"/>
      <c r="G469" s="266" t="s">
        <v>6304</v>
      </c>
      <c r="H469" s="266" t="s">
        <v>552</v>
      </c>
      <c r="I469" s="266"/>
      <c r="J469" s="266"/>
      <c r="K469" s="1"/>
      <c r="L469" s="1"/>
    </row>
    <row r="470">
      <c r="A470" s="266">
        <v>1300.0</v>
      </c>
      <c r="B470" s="266"/>
      <c r="C470" s="266">
        <v>5.0</v>
      </c>
      <c r="D470" s="266" t="s">
        <v>6757</v>
      </c>
      <c r="E470" s="266"/>
      <c r="F470" s="266"/>
      <c r="G470" s="266" t="s">
        <v>6304</v>
      </c>
      <c r="H470" s="266" t="s">
        <v>552</v>
      </c>
      <c r="I470" s="266"/>
      <c r="J470" s="266"/>
      <c r="K470" s="1"/>
      <c r="L470" s="1"/>
    </row>
    <row r="471">
      <c r="A471" s="266">
        <v>1400.0</v>
      </c>
      <c r="B471" s="266"/>
      <c r="C471" s="266">
        <v>5.0</v>
      </c>
      <c r="D471" s="266" t="s">
        <v>6758</v>
      </c>
      <c r="E471" s="266"/>
      <c r="F471" s="266"/>
      <c r="G471" s="266" t="s">
        <v>6304</v>
      </c>
      <c r="H471" s="266" t="s">
        <v>551</v>
      </c>
      <c r="I471" s="266"/>
      <c r="J471" s="266"/>
      <c r="K471" s="1"/>
      <c r="L471" s="1"/>
    </row>
    <row r="472">
      <c r="A472" s="266">
        <v>1500.0</v>
      </c>
      <c r="B472" s="266"/>
      <c r="C472" s="266">
        <v>5.0</v>
      </c>
      <c r="D472" s="266" t="s">
        <v>6759</v>
      </c>
      <c r="E472" s="266"/>
      <c r="F472" s="266"/>
      <c r="G472" s="266" t="s">
        <v>6304</v>
      </c>
      <c r="H472" s="266" t="s">
        <v>7</v>
      </c>
      <c r="I472" s="266" t="s">
        <v>6305</v>
      </c>
      <c r="J472" s="266"/>
      <c r="K472" s="1"/>
      <c r="L472" s="1"/>
    </row>
    <row r="473">
      <c r="A473" s="266">
        <v>1600.0</v>
      </c>
      <c r="B473" s="266"/>
      <c r="C473" s="266">
        <v>5.0</v>
      </c>
      <c r="D473" s="266" t="s">
        <v>6306</v>
      </c>
      <c r="E473" s="266"/>
      <c r="F473" s="266"/>
      <c r="G473" s="266" t="s">
        <v>6304</v>
      </c>
      <c r="H473" s="266" t="s">
        <v>6760</v>
      </c>
      <c r="I473" s="266"/>
      <c r="J473" s="266"/>
      <c r="K473" s="1"/>
      <c r="L473" s="1"/>
    </row>
    <row r="474">
      <c r="A474" s="266">
        <v>50.0</v>
      </c>
      <c r="B474" s="266">
        <v>1.0</v>
      </c>
      <c r="C474" s="266"/>
      <c r="D474" s="266" t="s">
        <v>6761</v>
      </c>
      <c r="E474" s="266"/>
      <c r="F474" s="266"/>
      <c r="G474" s="266"/>
      <c r="H474" s="266"/>
      <c r="I474" s="266"/>
      <c r="J474" s="267"/>
    </row>
    <row r="475">
      <c r="A475" s="266">
        <v>100.0</v>
      </c>
      <c r="B475" s="266"/>
      <c r="C475" s="266">
        <v>5.0</v>
      </c>
      <c r="D475" s="266" t="s">
        <v>6762</v>
      </c>
      <c r="E475" s="266"/>
      <c r="F475" s="266"/>
      <c r="G475" s="266"/>
      <c r="H475" s="266"/>
      <c r="I475" s="266"/>
      <c r="J475" s="267"/>
    </row>
    <row r="476">
      <c r="A476" s="266">
        <v>200.0</v>
      </c>
      <c r="B476" s="266"/>
      <c r="C476" s="266">
        <v>10.0</v>
      </c>
      <c r="D476" s="266" t="s">
        <v>6763</v>
      </c>
      <c r="E476" s="266"/>
      <c r="F476" s="266"/>
      <c r="G476" s="266"/>
      <c r="H476" s="266"/>
      <c r="I476" s="266"/>
      <c r="J476" s="267"/>
    </row>
    <row r="477">
      <c r="A477" s="266">
        <v>300.0</v>
      </c>
      <c r="B477" s="266"/>
      <c r="C477" s="266">
        <v>15.0</v>
      </c>
      <c r="D477" s="266" t="s">
        <v>6764</v>
      </c>
      <c r="E477" s="266"/>
      <c r="F477" s="266"/>
      <c r="G477" s="266" t="s">
        <v>6304</v>
      </c>
      <c r="H477" s="266" t="s">
        <v>14</v>
      </c>
      <c r="I477" s="266"/>
      <c r="J477" s="266"/>
      <c r="K477" s="1"/>
      <c r="L477" s="1"/>
    </row>
    <row r="478">
      <c r="A478" s="266">
        <v>400.0</v>
      </c>
      <c r="B478" s="266"/>
      <c r="C478" s="266">
        <v>15.0</v>
      </c>
      <c r="D478" s="266" t="s">
        <v>6765</v>
      </c>
      <c r="E478" s="266"/>
      <c r="F478" s="266"/>
      <c r="G478" s="266" t="s">
        <v>6304</v>
      </c>
      <c r="H478" s="266">
        <v>99.0</v>
      </c>
      <c r="I478" s="266"/>
      <c r="J478" s="266"/>
      <c r="K478" s="1"/>
      <c r="L478" s="1"/>
    </row>
    <row r="479">
      <c r="A479" s="266">
        <v>500.0</v>
      </c>
      <c r="B479" s="266"/>
      <c r="C479" s="266">
        <v>15.0</v>
      </c>
      <c r="D479" s="266" t="s">
        <v>6766</v>
      </c>
      <c r="E479" s="266"/>
      <c r="F479" s="266"/>
      <c r="G479" s="266" t="s">
        <v>6304</v>
      </c>
      <c r="H479" s="266">
        <v>99.0</v>
      </c>
      <c r="I479" s="266"/>
      <c r="J479" s="266"/>
      <c r="K479" s="1"/>
      <c r="L479" s="1"/>
    </row>
    <row r="480">
      <c r="A480" s="266">
        <v>600.0</v>
      </c>
      <c r="B480" s="266"/>
      <c r="C480" s="266">
        <v>10.0</v>
      </c>
      <c r="D480" s="266" t="s">
        <v>6767</v>
      </c>
      <c r="E480" s="266"/>
      <c r="F480" s="266"/>
      <c r="G480" s="266" t="s">
        <v>6304</v>
      </c>
      <c r="H480" s="266" t="s">
        <v>4103</v>
      </c>
      <c r="I480" s="266"/>
      <c r="J480" s="266"/>
      <c r="K480" s="1"/>
      <c r="L480" s="1"/>
    </row>
    <row r="481">
      <c r="A481" s="266">
        <v>700.0</v>
      </c>
      <c r="B481" s="266"/>
      <c r="C481" s="266">
        <v>5.0</v>
      </c>
      <c r="D481" s="266" t="s">
        <v>6768</v>
      </c>
      <c r="E481" s="266"/>
      <c r="F481" s="266"/>
      <c r="G481" s="266" t="s">
        <v>6304</v>
      </c>
      <c r="H481" s="266" t="s">
        <v>3794</v>
      </c>
      <c r="I481" s="266"/>
      <c r="J481" s="266"/>
      <c r="K481" s="1"/>
      <c r="L481" s="1"/>
    </row>
    <row r="482">
      <c r="A482" s="266">
        <v>800.0</v>
      </c>
      <c r="B482" s="266"/>
      <c r="C482" s="266">
        <v>5.0</v>
      </c>
      <c r="D482" s="266" t="s">
        <v>5291</v>
      </c>
      <c r="E482" s="266"/>
      <c r="F482" s="266"/>
      <c r="G482" s="266" t="s">
        <v>6304</v>
      </c>
      <c r="H482" s="266" t="s">
        <v>14</v>
      </c>
      <c r="I482" s="266"/>
      <c r="J482" s="266"/>
      <c r="K482" s="1"/>
      <c r="L482" s="1"/>
    </row>
    <row r="483">
      <c r="A483" s="266">
        <v>900.0</v>
      </c>
      <c r="B483" s="266"/>
      <c r="C483" s="266">
        <v>5.0</v>
      </c>
      <c r="D483" s="266" t="s">
        <v>6769</v>
      </c>
      <c r="E483" s="266"/>
      <c r="F483" s="266"/>
      <c r="G483" s="266" t="s">
        <v>6304</v>
      </c>
      <c r="H483" s="266" t="s">
        <v>5274</v>
      </c>
      <c r="I483" s="266"/>
      <c r="J483" s="266"/>
      <c r="K483" s="1"/>
      <c r="L483" s="1"/>
    </row>
    <row r="484">
      <c r="A484" s="266">
        <v>1000.0</v>
      </c>
      <c r="B484" s="266"/>
      <c r="C484" s="266">
        <v>5.0</v>
      </c>
      <c r="D484" s="266" t="s">
        <v>6770</v>
      </c>
      <c r="E484" s="266"/>
      <c r="F484" s="266"/>
      <c r="G484" s="266" t="s">
        <v>6304</v>
      </c>
      <c r="H484" s="266">
        <v>9.0</v>
      </c>
      <c r="I484" s="266"/>
      <c r="J484" s="266"/>
      <c r="K484" s="1"/>
      <c r="L484" s="1"/>
    </row>
    <row r="485">
      <c r="A485" s="266">
        <v>1100.0</v>
      </c>
      <c r="B485" s="266"/>
      <c r="C485" s="266">
        <v>5.0</v>
      </c>
      <c r="D485" s="266" t="s">
        <v>6771</v>
      </c>
      <c r="E485" s="266"/>
      <c r="F485" s="266"/>
      <c r="G485" s="266" t="s">
        <v>6304</v>
      </c>
      <c r="H485" s="266" t="s">
        <v>559</v>
      </c>
      <c r="I485" s="266"/>
      <c r="J485" s="266"/>
      <c r="K485" s="1"/>
      <c r="L485" s="1"/>
    </row>
    <row r="486">
      <c r="A486" s="266">
        <v>1200.0</v>
      </c>
      <c r="B486" s="266"/>
      <c r="C486" s="266">
        <v>5.0</v>
      </c>
      <c r="D486" s="266" t="s">
        <v>6772</v>
      </c>
      <c r="E486" s="266"/>
      <c r="F486" s="266"/>
      <c r="G486" s="266" t="s">
        <v>6304</v>
      </c>
      <c r="H486" s="266" t="s">
        <v>6338</v>
      </c>
      <c r="I486" s="266"/>
      <c r="J486" s="266"/>
      <c r="K486" s="1"/>
      <c r="L486" s="1"/>
    </row>
    <row r="487">
      <c r="A487" s="266">
        <v>1300.0</v>
      </c>
      <c r="B487" s="266"/>
      <c r="C487" s="266">
        <v>5.0</v>
      </c>
      <c r="D487" s="266" t="s">
        <v>6773</v>
      </c>
      <c r="E487" s="266"/>
      <c r="F487" s="266"/>
      <c r="G487" s="266" t="s">
        <v>6304</v>
      </c>
      <c r="H487" s="266" t="s">
        <v>6774</v>
      </c>
      <c r="I487" s="266"/>
      <c r="J487" s="266"/>
      <c r="K487" s="1"/>
      <c r="L487" s="1"/>
    </row>
    <row r="488">
      <c r="A488" s="266">
        <v>1400.0</v>
      </c>
      <c r="B488" s="266"/>
      <c r="C488" s="266">
        <v>5.0</v>
      </c>
      <c r="D488" s="266" t="s">
        <v>6775</v>
      </c>
      <c r="E488" s="266"/>
      <c r="F488" s="266"/>
      <c r="G488" s="266" t="s">
        <v>6304</v>
      </c>
      <c r="H488" s="266" t="s">
        <v>6390</v>
      </c>
      <c r="I488" s="266"/>
      <c r="J488" s="266"/>
      <c r="K488" s="1"/>
      <c r="L488" s="1"/>
    </row>
    <row r="489">
      <c r="A489" s="266">
        <v>1500.0</v>
      </c>
      <c r="B489" s="266"/>
      <c r="C489" s="266">
        <v>5.0</v>
      </c>
      <c r="D489" s="266" t="s">
        <v>6306</v>
      </c>
      <c r="E489" s="266"/>
      <c r="F489" s="266"/>
      <c r="G489" s="266" t="s">
        <v>6304</v>
      </c>
      <c r="H489" s="266" t="s">
        <v>6307</v>
      </c>
      <c r="I489" s="266"/>
      <c r="J489" s="266"/>
      <c r="K489" s="1"/>
      <c r="L489" s="1"/>
    </row>
    <row r="490">
      <c r="A490" s="266">
        <v>1600.0</v>
      </c>
      <c r="B490" s="266"/>
      <c r="C490" s="266">
        <v>5.0</v>
      </c>
      <c r="D490" s="266" t="s">
        <v>6776</v>
      </c>
      <c r="E490" s="266"/>
      <c r="F490" s="266"/>
      <c r="G490" s="266" t="s">
        <v>6304</v>
      </c>
      <c r="H490" s="266" t="s">
        <v>6777</v>
      </c>
      <c r="I490" s="266" t="s">
        <v>6592</v>
      </c>
      <c r="J490" s="266"/>
      <c r="K490" s="1"/>
      <c r="L490" s="1"/>
    </row>
    <row r="491">
      <c r="A491" s="266">
        <v>1700.0</v>
      </c>
      <c r="B491" s="266"/>
      <c r="C491" s="266">
        <v>5.0</v>
      </c>
      <c r="D491" s="266" t="s">
        <v>6778</v>
      </c>
      <c r="E491" s="266" t="s">
        <v>6479</v>
      </c>
      <c r="F491" s="266">
        <v>10.0</v>
      </c>
      <c r="G491" s="266" t="s">
        <v>6779</v>
      </c>
      <c r="H491" s="266" t="s">
        <v>444</v>
      </c>
      <c r="I491" s="266" t="s">
        <v>6780</v>
      </c>
      <c r="J491" s="267"/>
    </row>
    <row r="492">
      <c r="A492" s="266">
        <v>1800.0</v>
      </c>
      <c r="B492" s="266"/>
      <c r="C492" s="266">
        <v>10.0</v>
      </c>
      <c r="D492" s="266" t="s">
        <v>514</v>
      </c>
      <c r="E492" s="266"/>
      <c r="F492" s="266"/>
      <c r="G492" s="266" t="s">
        <v>6304</v>
      </c>
      <c r="H492" s="266" t="s">
        <v>551</v>
      </c>
      <c r="I492" s="266"/>
      <c r="J492" s="266"/>
      <c r="K492" s="1"/>
      <c r="L492" s="1"/>
    </row>
    <row r="493">
      <c r="A493" s="266">
        <v>1900.0</v>
      </c>
      <c r="B493" s="266"/>
      <c r="C493" s="266">
        <v>10.0</v>
      </c>
      <c r="D493" s="266" t="s">
        <v>6597</v>
      </c>
      <c r="E493" s="266"/>
      <c r="F493" s="266"/>
      <c r="G493" s="266" t="s">
        <v>6304</v>
      </c>
      <c r="H493" s="266">
        <v>9.0</v>
      </c>
      <c r="I493" s="266"/>
      <c r="J493" s="266"/>
      <c r="K493" s="1"/>
      <c r="L493" s="1"/>
    </row>
    <row r="494">
      <c r="A494" s="266">
        <v>2000.0</v>
      </c>
      <c r="B494" s="266"/>
      <c r="C494" s="266">
        <v>10.0</v>
      </c>
      <c r="D494" s="266" t="s">
        <v>6781</v>
      </c>
      <c r="E494" s="266"/>
      <c r="F494" s="266"/>
      <c r="G494" s="266"/>
      <c r="H494" s="266"/>
      <c r="I494" s="266"/>
      <c r="J494" s="267"/>
    </row>
    <row r="495">
      <c r="A495" s="266">
        <v>2100.0</v>
      </c>
      <c r="B495" s="266"/>
      <c r="C495" s="266">
        <v>15.0</v>
      </c>
      <c r="D495" s="266" t="s">
        <v>5139</v>
      </c>
      <c r="E495" s="266"/>
      <c r="F495" s="266"/>
      <c r="G495" s="266" t="s">
        <v>6304</v>
      </c>
      <c r="H495" s="266" t="s">
        <v>551</v>
      </c>
      <c r="I495" s="266"/>
      <c r="J495" s="266"/>
      <c r="K495" s="1"/>
      <c r="L495" s="1"/>
    </row>
    <row r="496">
      <c r="A496" s="266">
        <v>2200.0</v>
      </c>
      <c r="B496" s="266"/>
      <c r="C496" s="266">
        <v>15.0</v>
      </c>
      <c r="D496" s="266" t="s">
        <v>5140</v>
      </c>
      <c r="E496" s="266"/>
      <c r="F496" s="266"/>
      <c r="G496" s="266" t="s">
        <v>6304</v>
      </c>
      <c r="H496" s="266" t="s">
        <v>551</v>
      </c>
      <c r="I496" s="266"/>
      <c r="J496" s="266"/>
      <c r="K496" s="1"/>
      <c r="L496" s="1"/>
    </row>
    <row r="497">
      <c r="A497" s="266">
        <v>2300.0</v>
      </c>
      <c r="B497" s="266"/>
      <c r="C497" s="266">
        <v>15.0</v>
      </c>
      <c r="D497" s="266" t="s">
        <v>5141</v>
      </c>
      <c r="E497" s="266"/>
      <c r="F497" s="266"/>
      <c r="G497" s="266" t="s">
        <v>6304</v>
      </c>
      <c r="H497" s="266" t="s">
        <v>551</v>
      </c>
      <c r="I497" s="266"/>
      <c r="J497" s="266"/>
      <c r="K497" s="1"/>
      <c r="L497" s="1"/>
    </row>
    <row r="498">
      <c r="A498" s="266">
        <v>2400.0</v>
      </c>
      <c r="B498" s="266"/>
      <c r="C498" s="266">
        <v>10.0</v>
      </c>
      <c r="D498" s="266" t="s">
        <v>6782</v>
      </c>
      <c r="E498" s="266"/>
      <c r="F498" s="266"/>
      <c r="G498" s="266"/>
      <c r="H498" s="266"/>
      <c r="I498" s="266"/>
      <c r="J498" s="267"/>
    </row>
    <row r="499">
      <c r="A499" s="266">
        <v>2500.0</v>
      </c>
      <c r="B499" s="266"/>
      <c r="C499" s="266">
        <v>15.0</v>
      </c>
      <c r="D499" s="266" t="s">
        <v>6783</v>
      </c>
      <c r="E499" s="266"/>
      <c r="F499" s="266"/>
      <c r="G499" s="266"/>
      <c r="H499" s="266"/>
      <c r="I499" s="266"/>
      <c r="J499" s="267"/>
    </row>
    <row r="500">
      <c r="A500" s="266">
        <v>2600.0</v>
      </c>
      <c r="B500" s="266"/>
      <c r="C500" s="266">
        <v>20.0</v>
      </c>
      <c r="D500" s="266" t="s">
        <v>5165</v>
      </c>
      <c r="E500" s="266"/>
      <c r="F500" s="266"/>
      <c r="G500" s="266" t="s">
        <v>6304</v>
      </c>
      <c r="H500" s="266">
        <v>9.0</v>
      </c>
      <c r="I500" s="266"/>
      <c r="J500" s="266"/>
      <c r="K500" s="1"/>
      <c r="L500" s="1"/>
    </row>
    <row r="501">
      <c r="A501" s="266">
        <v>2700.0</v>
      </c>
      <c r="B501" s="266"/>
      <c r="C501" s="266">
        <v>20.0</v>
      </c>
      <c r="D501" s="266" t="s">
        <v>5166</v>
      </c>
      <c r="E501" s="266"/>
      <c r="F501" s="266"/>
      <c r="G501" s="266" t="s">
        <v>6304</v>
      </c>
      <c r="H501" s="266" t="s">
        <v>551</v>
      </c>
      <c r="I501" s="266"/>
      <c r="J501" s="266"/>
      <c r="K501" s="1"/>
      <c r="L501" s="1"/>
    </row>
    <row r="502">
      <c r="A502" s="266">
        <v>2800.0</v>
      </c>
      <c r="B502" s="266"/>
      <c r="C502" s="266">
        <v>15.0</v>
      </c>
      <c r="D502" s="266" t="s">
        <v>6784</v>
      </c>
      <c r="E502" s="266"/>
      <c r="F502" s="266"/>
      <c r="G502" s="266"/>
      <c r="H502" s="266"/>
      <c r="I502" s="266"/>
      <c r="J502" s="267"/>
    </row>
    <row r="503">
      <c r="A503" s="266">
        <v>2900.0</v>
      </c>
      <c r="B503" s="266"/>
      <c r="C503" s="266">
        <v>20.0</v>
      </c>
      <c r="D503" s="266" t="s">
        <v>5160</v>
      </c>
      <c r="E503" s="266"/>
      <c r="F503" s="266"/>
      <c r="G503" s="266" t="s">
        <v>6304</v>
      </c>
      <c r="H503" s="266" t="s">
        <v>552</v>
      </c>
      <c r="I503" s="266"/>
      <c r="J503" s="266"/>
      <c r="K503" s="1"/>
      <c r="L503" s="1"/>
    </row>
    <row r="504">
      <c r="A504" s="266">
        <v>3000.0</v>
      </c>
      <c r="B504" s="266"/>
      <c r="C504" s="266">
        <v>20.0</v>
      </c>
      <c r="D504" s="266" t="s">
        <v>5161</v>
      </c>
      <c r="E504" s="266"/>
      <c r="F504" s="266"/>
      <c r="G504" s="266" t="s">
        <v>6304</v>
      </c>
      <c r="H504" s="266" t="s">
        <v>551</v>
      </c>
      <c r="I504" s="266"/>
      <c r="J504" s="266"/>
      <c r="K504" s="1"/>
      <c r="L504" s="1"/>
    </row>
    <row r="505">
      <c r="A505" s="266">
        <v>3100.0</v>
      </c>
      <c r="B505" s="266"/>
      <c r="C505" s="266">
        <v>10.0</v>
      </c>
      <c r="D505" s="266" t="s">
        <v>6785</v>
      </c>
      <c r="E505" s="266"/>
      <c r="F505" s="266"/>
      <c r="G505" s="266" t="s">
        <v>6304</v>
      </c>
      <c r="H505" s="266" t="s">
        <v>6786</v>
      </c>
      <c r="I505" s="266" t="s">
        <v>6305</v>
      </c>
      <c r="J505" s="266"/>
      <c r="K505" s="1"/>
      <c r="L505" s="1"/>
    </row>
    <row r="506">
      <c r="A506" s="266">
        <v>3200.0</v>
      </c>
      <c r="B506" s="266"/>
      <c r="C506" s="266">
        <v>10.0</v>
      </c>
      <c r="D506" s="266" t="s">
        <v>6787</v>
      </c>
      <c r="E506" s="266"/>
      <c r="F506" s="266"/>
      <c r="G506" s="266" t="s">
        <v>6304</v>
      </c>
      <c r="H506" s="266" t="s">
        <v>3805</v>
      </c>
      <c r="I506" s="266" t="s">
        <v>6305</v>
      </c>
      <c r="J506" s="266"/>
      <c r="K506" s="1"/>
      <c r="L506" s="1"/>
    </row>
    <row r="507">
      <c r="A507" s="266">
        <v>3300.0</v>
      </c>
      <c r="B507" s="266"/>
      <c r="C507" s="266">
        <v>10.0</v>
      </c>
      <c r="D507" s="266" t="s">
        <v>6788</v>
      </c>
      <c r="E507" s="266"/>
      <c r="F507" s="266"/>
      <c r="G507" s="266" t="s">
        <v>6304</v>
      </c>
      <c r="H507" s="266" t="s">
        <v>3805</v>
      </c>
      <c r="I507" s="266" t="s">
        <v>6305</v>
      </c>
      <c r="J507" s="266"/>
      <c r="K507" s="1"/>
      <c r="L507" s="1"/>
    </row>
    <row r="508">
      <c r="A508" s="266">
        <v>3400.0</v>
      </c>
      <c r="B508" s="266"/>
      <c r="C508" s="266">
        <v>10.0</v>
      </c>
      <c r="D508" s="266" t="s">
        <v>546</v>
      </c>
      <c r="E508" s="266"/>
      <c r="F508" s="266"/>
      <c r="G508" s="266" t="s">
        <v>6304</v>
      </c>
      <c r="H508" s="266" t="s">
        <v>544</v>
      </c>
      <c r="I508" s="266" t="s">
        <v>6305</v>
      </c>
      <c r="J508" s="266"/>
      <c r="K508" s="1"/>
      <c r="L508" s="1"/>
    </row>
    <row r="509">
      <c r="A509" s="266">
        <v>3500.0</v>
      </c>
      <c r="B509" s="266"/>
      <c r="C509" s="266">
        <v>10.0</v>
      </c>
      <c r="D509" s="266" t="s">
        <v>6789</v>
      </c>
      <c r="E509" s="266"/>
      <c r="F509" s="266"/>
      <c r="G509" s="266" t="s">
        <v>6304</v>
      </c>
      <c r="H509" s="266" t="s">
        <v>3795</v>
      </c>
      <c r="I509" s="266"/>
      <c r="J509" s="266"/>
      <c r="K509" s="1"/>
      <c r="L509" s="1"/>
    </row>
    <row r="510">
      <c r="A510" s="266">
        <v>3600.0</v>
      </c>
      <c r="B510" s="266"/>
      <c r="C510" s="266">
        <v>10.0</v>
      </c>
      <c r="D510" s="266" t="s">
        <v>6306</v>
      </c>
      <c r="E510" s="266"/>
      <c r="F510" s="266"/>
      <c r="G510" s="266" t="s">
        <v>6304</v>
      </c>
      <c r="H510" s="266" t="s">
        <v>6790</v>
      </c>
      <c r="I510" s="266"/>
      <c r="J510" s="266"/>
      <c r="K510" s="1"/>
      <c r="L510" s="1"/>
    </row>
    <row r="511">
      <c r="A511" s="266">
        <v>50.0</v>
      </c>
      <c r="B511" s="266">
        <v>1.0</v>
      </c>
      <c r="C511" s="266"/>
      <c r="D511" s="266" t="s">
        <v>6791</v>
      </c>
      <c r="E511" s="266"/>
      <c r="F511" s="266"/>
      <c r="G511" s="266"/>
      <c r="H511" s="266"/>
      <c r="I511" s="266"/>
      <c r="J511" s="267"/>
    </row>
    <row r="512">
      <c r="A512" s="266">
        <v>100.0</v>
      </c>
      <c r="B512" s="266"/>
      <c r="C512" s="266">
        <v>5.0</v>
      </c>
      <c r="D512" s="266" t="s">
        <v>6792</v>
      </c>
      <c r="E512" s="266"/>
      <c r="F512" s="266"/>
      <c r="G512" s="266"/>
      <c r="H512" s="266"/>
      <c r="I512" s="266"/>
      <c r="J512" s="267"/>
    </row>
    <row r="513">
      <c r="A513" s="266">
        <v>200.0</v>
      </c>
      <c r="B513" s="266"/>
      <c r="C513" s="266">
        <v>10.0</v>
      </c>
      <c r="D513" s="266" t="s">
        <v>619</v>
      </c>
      <c r="E513" s="266"/>
      <c r="F513" s="266"/>
      <c r="G513" s="266" t="s">
        <v>6304</v>
      </c>
      <c r="H513" s="266" t="s">
        <v>15</v>
      </c>
      <c r="I513" s="266"/>
      <c r="J513" s="266"/>
      <c r="K513" s="1"/>
      <c r="L513" s="1"/>
    </row>
    <row r="514">
      <c r="A514" s="266">
        <v>300.0</v>
      </c>
      <c r="B514" s="266"/>
      <c r="C514" s="266">
        <v>10.0</v>
      </c>
      <c r="D514" s="266" t="s">
        <v>6767</v>
      </c>
      <c r="E514" s="266"/>
      <c r="F514" s="266"/>
      <c r="G514" s="266" t="s">
        <v>6304</v>
      </c>
      <c r="H514" s="266" t="s">
        <v>4103</v>
      </c>
      <c r="I514" s="266"/>
      <c r="J514" s="266"/>
      <c r="K514" s="1"/>
      <c r="L514" s="1"/>
    </row>
    <row r="515">
      <c r="A515" s="266">
        <v>400.0</v>
      </c>
      <c r="B515" s="266"/>
      <c r="C515" s="266">
        <v>5.0</v>
      </c>
      <c r="D515" s="266" t="s">
        <v>6763</v>
      </c>
      <c r="E515" s="266"/>
      <c r="F515" s="266"/>
      <c r="G515" s="266"/>
      <c r="H515" s="266"/>
      <c r="I515" s="266"/>
      <c r="J515" s="267"/>
    </row>
    <row r="516">
      <c r="A516" s="266">
        <v>500.0</v>
      </c>
      <c r="B516" s="266"/>
      <c r="C516" s="266">
        <v>10.0</v>
      </c>
      <c r="D516" s="266" t="s">
        <v>6764</v>
      </c>
      <c r="E516" s="266"/>
      <c r="F516" s="266"/>
      <c r="G516" s="266" t="s">
        <v>6304</v>
      </c>
      <c r="H516" s="266" t="s">
        <v>14</v>
      </c>
      <c r="I516" s="266"/>
      <c r="J516" s="266"/>
      <c r="K516" s="1"/>
      <c r="L516" s="1"/>
    </row>
    <row r="517">
      <c r="A517" s="266">
        <v>600.0</v>
      </c>
      <c r="B517" s="266"/>
      <c r="C517" s="266">
        <v>10.0</v>
      </c>
      <c r="D517" s="266" t="s">
        <v>6765</v>
      </c>
      <c r="E517" s="266"/>
      <c r="F517" s="266"/>
      <c r="G517" s="266" t="s">
        <v>6304</v>
      </c>
      <c r="H517" s="266">
        <v>99.0</v>
      </c>
      <c r="I517" s="266"/>
      <c r="J517" s="266"/>
      <c r="K517" s="1"/>
      <c r="L517" s="1"/>
    </row>
    <row r="518">
      <c r="A518" s="266">
        <v>700.0</v>
      </c>
      <c r="B518" s="266"/>
      <c r="C518" s="266">
        <v>10.0</v>
      </c>
      <c r="D518" s="266" t="s">
        <v>6766</v>
      </c>
      <c r="E518" s="266"/>
      <c r="F518" s="266"/>
      <c r="G518" s="266" t="s">
        <v>6304</v>
      </c>
      <c r="H518" s="266">
        <v>99.0</v>
      </c>
      <c r="I518" s="266"/>
      <c r="J518" s="266"/>
      <c r="K518" s="1"/>
      <c r="L518" s="1"/>
    </row>
    <row r="519">
      <c r="A519" s="266">
        <v>800.0</v>
      </c>
      <c r="B519" s="266"/>
      <c r="C519" s="266">
        <v>5.0</v>
      </c>
      <c r="D519" s="266" t="s">
        <v>6768</v>
      </c>
      <c r="E519" s="266"/>
      <c r="F519" s="266"/>
      <c r="G519" s="266" t="s">
        <v>6304</v>
      </c>
      <c r="H519" s="266" t="s">
        <v>3794</v>
      </c>
      <c r="I519" s="266"/>
      <c r="J519" s="266"/>
      <c r="K519" s="1"/>
      <c r="L519" s="1"/>
    </row>
    <row r="520">
      <c r="A520" s="266">
        <v>900.0</v>
      </c>
      <c r="B520" s="266"/>
      <c r="C520" s="266">
        <v>5.0</v>
      </c>
      <c r="D520" s="266" t="s">
        <v>5291</v>
      </c>
      <c r="E520" s="266"/>
      <c r="F520" s="266"/>
      <c r="G520" s="266" t="s">
        <v>6304</v>
      </c>
      <c r="H520" s="266" t="s">
        <v>14</v>
      </c>
      <c r="I520" s="266"/>
      <c r="J520" s="266"/>
      <c r="K520" s="1"/>
      <c r="L520" s="1"/>
    </row>
    <row r="521">
      <c r="A521" s="266">
        <v>1000.0</v>
      </c>
      <c r="B521" s="266"/>
      <c r="C521" s="266">
        <v>5.0</v>
      </c>
      <c r="D521" s="266" t="s">
        <v>6769</v>
      </c>
      <c r="E521" s="266"/>
      <c r="F521" s="266"/>
      <c r="G521" s="266" t="s">
        <v>6304</v>
      </c>
      <c r="H521" s="266" t="s">
        <v>5274</v>
      </c>
      <c r="I521" s="266"/>
      <c r="J521" s="266"/>
      <c r="K521" s="1"/>
      <c r="L521" s="1"/>
    </row>
    <row r="522">
      <c r="A522" s="266">
        <v>1100.0</v>
      </c>
      <c r="B522" s="266"/>
      <c r="C522" s="266">
        <v>5.0</v>
      </c>
      <c r="D522" s="266" t="s">
        <v>6770</v>
      </c>
      <c r="E522" s="266"/>
      <c r="F522" s="266"/>
      <c r="G522" s="266" t="s">
        <v>6304</v>
      </c>
      <c r="H522" s="266">
        <v>9.0</v>
      </c>
      <c r="I522" s="266"/>
      <c r="J522" s="266"/>
      <c r="K522" s="1"/>
      <c r="L522" s="1"/>
    </row>
    <row r="523">
      <c r="A523" s="266">
        <v>1200.0</v>
      </c>
      <c r="B523" s="266"/>
      <c r="C523" s="266">
        <v>5.0</v>
      </c>
      <c r="D523" s="266" t="s">
        <v>6772</v>
      </c>
      <c r="E523" s="266"/>
      <c r="F523" s="266"/>
      <c r="G523" s="266" t="s">
        <v>6304</v>
      </c>
      <c r="H523" s="266" t="s">
        <v>6338</v>
      </c>
      <c r="I523" s="266"/>
      <c r="J523" s="266"/>
      <c r="K523" s="1"/>
      <c r="L523" s="1"/>
    </row>
    <row r="524">
      <c r="A524" s="266">
        <v>1300.0</v>
      </c>
      <c r="B524" s="266"/>
      <c r="C524" s="266">
        <v>5.0</v>
      </c>
      <c r="D524" s="266" t="s">
        <v>6773</v>
      </c>
      <c r="E524" s="266"/>
      <c r="F524" s="266"/>
      <c r="G524" s="266" t="s">
        <v>6304</v>
      </c>
      <c r="H524" s="266" t="s">
        <v>6774</v>
      </c>
      <c r="I524" s="266"/>
      <c r="J524" s="266"/>
      <c r="K524" s="1"/>
      <c r="L524" s="1"/>
    </row>
    <row r="525">
      <c r="A525" s="266">
        <v>1400.0</v>
      </c>
      <c r="B525" s="266"/>
      <c r="C525" s="266">
        <v>5.0</v>
      </c>
      <c r="D525" s="266" t="s">
        <v>6775</v>
      </c>
      <c r="E525" s="266"/>
      <c r="F525" s="266"/>
      <c r="G525" s="266" t="s">
        <v>6304</v>
      </c>
      <c r="H525" s="266" t="s">
        <v>6390</v>
      </c>
      <c r="I525" s="266"/>
      <c r="J525" s="266"/>
      <c r="K525" s="1"/>
      <c r="L525" s="1"/>
    </row>
    <row r="526">
      <c r="A526" s="266">
        <v>1500.0</v>
      </c>
      <c r="B526" s="266"/>
      <c r="C526" s="266">
        <v>5.0</v>
      </c>
      <c r="D526" s="266" t="s">
        <v>6306</v>
      </c>
      <c r="E526" s="266"/>
      <c r="F526" s="266"/>
      <c r="G526" s="266" t="s">
        <v>6304</v>
      </c>
      <c r="H526" s="266" t="s">
        <v>6574</v>
      </c>
      <c r="I526" s="266"/>
      <c r="J526" s="266"/>
      <c r="K526" s="1"/>
      <c r="L526" s="1"/>
    </row>
    <row r="527">
      <c r="A527" s="266">
        <v>1600.0</v>
      </c>
      <c r="B527" s="266"/>
      <c r="C527" s="266">
        <v>5.0</v>
      </c>
      <c r="D527" s="266" t="s">
        <v>6776</v>
      </c>
      <c r="E527" s="266"/>
      <c r="F527" s="266"/>
      <c r="G527" s="266" t="s">
        <v>6304</v>
      </c>
      <c r="H527" s="266" t="s">
        <v>6777</v>
      </c>
      <c r="I527" s="266" t="s">
        <v>6592</v>
      </c>
      <c r="J527" s="266"/>
      <c r="K527" s="1"/>
      <c r="L527" s="1"/>
    </row>
    <row r="528">
      <c r="A528" s="266">
        <v>1700.0</v>
      </c>
      <c r="B528" s="266"/>
      <c r="C528" s="266">
        <v>5.0</v>
      </c>
      <c r="D528" s="266" t="s">
        <v>6793</v>
      </c>
      <c r="E528" s="266"/>
      <c r="F528" s="266"/>
      <c r="G528" s="266"/>
      <c r="H528" s="266"/>
      <c r="I528" s="266"/>
      <c r="J528" s="267"/>
    </row>
    <row r="529">
      <c r="A529" s="266">
        <v>1750.0</v>
      </c>
      <c r="B529" s="266" t="s">
        <v>6479</v>
      </c>
      <c r="C529" s="266" t="s">
        <v>6479</v>
      </c>
      <c r="D529" s="266">
        <v>10.0</v>
      </c>
      <c r="E529" s="266" t="s">
        <v>6779</v>
      </c>
      <c r="F529" s="266" t="s">
        <v>444</v>
      </c>
      <c r="G529" s="266" t="s">
        <v>6780</v>
      </c>
      <c r="H529" s="266"/>
      <c r="I529" s="266"/>
      <c r="J529" s="267"/>
    </row>
    <row r="530">
      <c r="A530" s="266">
        <v>1800.0</v>
      </c>
      <c r="B530" s="266"/>
      <c r="C530" s="266">
        <v>10.0</v>
      </c>
      <c r="D530" s="266" t="s">
        <v>514</v>
      </c>
      <c r="E530" s="266"/>
      <c r="F530" s="266"/>
      <c r="G530" s="266" t="s">
        <v>6304</v>
      </c>
      <c r="H530" s="266" t="s">
        <v>551</v>
      </c>
      <c r="I530" s="266"/>
      <c r="J530" s="266"/>
      <c r="K530" s="1"/>
      <c r="L530" s="1"/>
    </row>
    <row r="531">
      <c r="A531" s="266">
        <v>1900.0</v>
      </c>
      <c r="B531" s="266"/>
      <c r="C531" s="266">
        <v>10.0</v>
      </c>
      <c r="D531" s="266" t="s">
        <v>6597</v>
      </c>
      <c r="E531" s="266"/>
      <c r="F531" s="266"/>
      <c r="G531" s="266" t="s">
        <v>6304</v>
      </c>
      <c r="H531" s="266">
        <v>9.0</v>
      </c>
      <c r="I531" s="266"/>
      <c r="J531" s="266"/>
      <c r="K531" s="1"/>
      <c r="L531" s="1"/>
    </row>
    <row r="532">
      <c r="A532" s="266">
        <v>2000.0</v>
      </c>
      <c r="B532" s="266"/>
      <c r="C532" s="266">
        <v>10.0</v>
      </c>
      <c r="D532" s="266" t="s">
        <v>6794</v>
      </c>
      <c r="E532" s="266"/>
      <c r="F532" s="266"/>
      <c r="G532" s="266"/>
      <c r="H532" s="266"/>
      <c r="I532" s="266"/>
      <c r="J532" s="267"/>
    </row>
    <row r="533">
      <c r="A533" s="266">
        <v>2100.0</v>
      </c>
      <c r="B533" s="266"/>
      <c r="C533" s="266">
        <v>15.0</v>
      </c>
      <c r="D533" s="266" t="s">
        <v>6795</v>
      </c>
      <c r="E533" s="266"/>
      <c r="F533" s="266"/>
      <c r="G533" s="266" t="s">
        <v>6304</v>
      </c>
      <c r="H533" s="266" t="s">
        <v>556</v>
      </c>
      <c r="I533" s="266"/>
      <c r="J533" s="266"/>
      <c r="K533" s="1"/>
      <c r="L533" s="1"/>
    </row>
    <row r="534">
      <c r="A534" s="266">
        <v>2200.0</v>
      </c>
      <c r="B534" s="266"/>
      <c r="C534" s="266">
        <v>15.0</v>
      </c>
      <c r="D534" s="266" t="s">
        <v>6789</v>
      </c>
      <c r="E534" s="266"/>
      <c r="F534" s="266"/>
      <c r="G534" s="266" t="s">
        <v>6304</v>
      </c>
      <c r="H534" s="266" t="s">
        <v>3795</v>
      </c>
      <c r="I534" s="266"/>
      <c r="J534" s="266"/>
      <c r="K534" s="1"/>
      <c r="L534" s="1"/>
    </row>
    <row r="535">
      <c r="A535" s="266">
        <v>2300.0</v>
      </c>
      <c r="B535" s="266"/>
      <c r="C535" s="266">
        <v>15.0</v>
      </c>
      <c r="D535" s="266" t="s">
        <v>6796</v>
      </c>
      <c r="E535" s="266"/>
      <c r="F535" s="266"/>
      <c r="G535" s="266" t="s">
        <v>6304</v>
      </c>
      <c r="H535" s="266" t="s">
        <v>556</v>
      </c>
      <c r="I535" s="266"/>
      <c r="J535" s="266"/>
      <c r="K535" s="1"/>
      <c r="L535" s="1"/>
    </row>
    <row r="536">
      <c r="A536" s="266">
        <v>2400.0</v>
      </c>
      <c r="B536" s="266"/>
      <c r="C536" s="266">
        <v>15.0</v>
      </c>
      <c r="D536" s="266" t="s">
        <v>5141</v>
      </c>
      <c r="E536" s="266"/>
      <c r="F536" s="266"/>
      <c r="G536" s="266" t="s">
        <v>6304</v>
      </c>
      <c r="H536" s="266" t="s">
        <v>551</v>
      </c>
      <c r="I536" s="266"/>
      <c r="J536" s="266"/>
      <c r="K536" s="1"/>
      <c r="L536" s="1"/>
    </row>
    <row r="537">
      <c r="A537" s="266">
        <v>2500.0</v>
      </c>
      <c r="B537" s="266"/>
      <c r="C537" s="266">
        <v>10.0</v>
      </c>
      <c r="D537" s="266" t="s">
        <v>6782</v>
      </c>
      <c r="E537" s="266"/>
      <c r="F537" s="266"/>
      <c r="G537" s="266"/>
      <c r="H537" s="266"/>
      <c r="I537" s="266"/>
      <c r="J537" s="267"/>
    </row>
    <row r="538">
      <c r="A538" s="266">
        <v>2600.0</v>
      </c>
      <c r="B538" s="266"/>
      <c r="C538" s="266">
        <v>15.0</v>
      </c>
      <c r="D538" s="266" t="s">
        <v>6783</v>
      </c>
      <c r="E538" s="266"/>
      <c r="F538" s="266"/>
      <c r="G538" s="266"/>
      <c r="H538" s="266"/>
      <c r="I538" s="266"/>
      <c r="J538" s="267"/>
    </row>
    <row r="539">
      <c r="A539" s="266">
        <v>2700.0</v>
      </c>
      <c r="B539" s="266"/>
      <c r="C539" s="266">
        <v>20.0</v>
      </c>
      <c r="D539" s="266" t="s">
        <v>5165</v>
      </c>
      <c r="E539" s="266"/>
      <c r="F539" s="266"/>
      <c r="G539" s="266" t="s">
        <v>6304</v>
      </c>
      <c r="H539" s="266">
        <v>9.0</v>
      </c>
      <c r="I539" s="266"/>
      <c r="J539" s="266"/>
      <c r="K539" s="1"/>
      <c r="L539" s="1"/>
    </row>
    <row r="540">
      <c r="A540" s="266">
        <v>2800.0</v>
      </c>
      <c r="B540" s="266"/>
      <c r="C540" s="266">
        <v>20.0</v>
      </c>
      <c r="D540" s="266" t="s">
        <v>5166</v>
      </c>
      <c r="E540" s="266"/>
      <c r="F540" s="266"/>
      <c r="G540" s="266" t="s">
        <v>6304</v>
      </c>
      <c r="H540" s="266" t="s">
        <v>551</v>
      </c>
      <c r="I540" s="266"/>
      <c r="J540" s="266"/>
      <c r="K540" s="1"/>
      <c r="L540" s="1"/>
    </row>
    <row r="541">
      <c r="A541" s="266">
        <v>2900.0</v>
      </c>
      <c r="B541" s="266"/>
      <c r="C541" s="266">
        <v>15.0</v>
      </c>
      <c r="D541" s="266" t="s">
        <v>6784</v>
      </c>
      <c r="E541" s="266"/>
      <c r="F541" s="266"/>
      <c r="G541" s="266"/>
      <c r="H541" s="266"/>
      <c r="I541" s="266"/>
      <c r="J541" s="267"/>
    </row>
    <row r="542">
      <c r="A542" s="266">
        <v>3000.0</v>
      </c>
      <c r="B542" s="266"/>
      <c r="C542" s="266">
        <v>20.0</v>
      </c>
      <c r="D542" s="266" t="s">
        <v>5160</v>
      </c>
      <c r="E542" s="266"/>
      <c r="F542" s="266"/>
      <c r="G542" s="266" t="s">
        <v>6304</v>
      </c>
      <c r="H542" s="266" t="s">
        <v>552</v>
      </c>
      <c r="I542" s="266"/>
      <c r="J542" s="266"/>
      <c r="K542" s="1"/>
      <c r="L542" s="1"/>
    </row>
    <row r="543">
      <c r="A543" s="266">
        <v>3100.0</v>
      </c>
      <c r="B543" s="266"/>
      <c r="C543" s="266">
        <v>20.0</v>
      </c>
      <c r="D543" s="266" t="s">
        <v>5161</v>
      </c>
      <c r="E543" s="266"/>
      <c r="F543" s="266"/>
      <c r="G543" s="266" t="s">
        <v>6304</v>
      </c>
      <c r="H543" s="266" t="s">
        <v>551</v>
      </c>
      <c r="I543" s="266"/>
      <c r="J543" s="266"/>
      <c r="K543" s="1"/>
      <c r="L543" s="1"/>
    </row>
    <row r="544">
      <c r="A544" s="266">
        <v>3200.0</v>
      </c>
      <c r="B544" s="266"/>
      <c r="C544" s="266">
        <v>10.0</v>
      </c>
      <c r="D544" s="266" t="s">
        <v>6785</v>
      </c>
      <c r="E544" s="266"/>
      <c r="F544" s="266"/>
      <c r="G544" s="266" t="s">
        <v>6304</v>
      </c>
      <c r="H544" s="266" t="s">
        <v>6786</v>
      </c>
      <c r="I544" s="266" t="s">
        <v>6305</v>
      </c>
      <c r="J544" s="266"/>
      <c r="K544" s="1"/>
      <c r="L544" s="1"/>
    </row>
    <row r="545">
      <c r="A545" s="266">
        <v>3300.0</v>
      </c>
      <c r="B545" s="266"/>
      <c r="C545" s="266">
        <v>10.0</v>
      </c>
      <c r="D545" s="266" t="s">
        <v>6797</v>
      </c>
      <c r="E545" s="266"/>
      <c r="F545" s="266"/>
      <c r="G545" s="266" t="s">
        <v>6304</v>
      </c>
      <c r="H545" s="266" t="s">
        <v>6798</v>
      </c>
      <c r="I545" s="266" t="s">
        <v>6305</v>
      </c>
      <c r="J545" s="266"/>
      <c r="K545" s="1"/>
      <c r="L545" s="1"/>
    </row>
    <row r="546">
      <c r="A546" s="266">
        <v>3400.0</v>
      </c>
      <c r="B546" s="266"/>
      <c r="C546" s="266">
        <v>10.0</v>
      </c>
      <c r="D546" s="266" t="s">
        <v>6799</v>
      </c>
      <c r="E546" s="266"/>
      <c r="F546" s="266"/>
      <c r="G546" s="266" t="s">
        <v>6304</v>
      </c>
      <c r="H546" s="266" t="s">
        <v>6798</v>
      </c>
      <c r="I546" s="266" t="s">
        <v>6305</v>
      </c>
      <c r="J546" s="266"/>
      <c r="K546" s="1"/>
      <c r="L546" s="1"/>
    </row>
    <row r="547">
      <c r="A547" s="266">
        <v>3500.0</v>
      </c>
      <c r="B547" s="266"/>
      <c r="C547" s="266">
        <v>10.0</v>
      </c>
      <c r="D547" s="266" t="s">
        <v>6800</v>
      </c>
      <c r="E547" s="266"/>
      <c r="F547" s="266"/>
      <c r="G547" s="266" t="s">
        <v>6304</v>
      </c>
      <c r="H547" s="266" t="s">
        <v>6798</v>
      </c>
      <c r="I547" s="266" t="s">
        <v>6305</v>
      </c>
      <c r="J547" s="266"/>
      <c r="K547" s="1"/>
      <c r="L547" s="1"/>
    </row>
    <row r="548">
      <c r="A548" s="266">
        <v>3600.0</v>
      </c>
      <c r="B548" s="266"/>
      <c r="C548" s="266">
        <v>10.0</v>
      </c>
      <c r="D548" s="266" t="s">
        <v>6771</v>
      </c>
      <c r="E548" s="266"/>
      <c r="F548" s="266"/>
      <c r="G548" s="266" t="s">
        <v>6304</v>
      </c>
      <c r="H548" s="266" t="s">
        <v>559</v>
      </c>
      <c r="I548" s="266"/>
      <c r="J548" s="266"/>
      <c r="K548" s="1"/>
      <c r="L548" s="1"/>
    </row>
    <row r="549">
      <c r="A549" s="266">
        <v>3700.0</v>
      </c>
      <c r="B549" s="266"/>
      <c r="C549" s="266">
        <v>10.0</v>
      </c>
      <c r="D549" s="266" t="s">
        <v>6306</v>
      </c>
      <c r="E549" s="266"/>
      <c r="F549" s="266"/>
      <c r="G549" s="266" t="s">
        <v>6304</v>
      </c>
      <c r="H549" s="266" t="s">
        <v>6801</v>
      </c>
      <c r="I549" s="266"/>
      <c r="J549" s="266"/>
      <c r="K549" s="1"/>
      <c r="L549" s="1"/>
    </row>
    <row r="550">
      <c r="A550" s="266">
        <v>50.0</v>
      </c>
      <c r="B550" s="266">
        <v>1.0</v>
      </c>
      <c r="C550" s="266"/>
      <c r="D550" s="266" t="s">
        <v>6802</v>
      </c>
      <c r="E550" s="266"/>
      <c r="F550" s="266"/>
      <c r="G550" s="266"/>
      <c r="H550" s="266"/>
      <c r="I550" s="266"/>
      <c r="J550" s="267"/>
    </row>
    <row r="551">
      <c r="A551" s="266">
        <v>100.0</v>
      </c>
      <c r="B551" s="266"/>
      <c r="C551" s="266">
        <v>5.0</v>
      </c>
      <c r="D551" s="266" t="s">
        <v>6781</v>
      </c>
      <c r="E551" s="266"/>
      <c r="F551" s="266"/>
      <c r="G551" s="266"/>
      <c r="H551" s="266"/>
      <c r="I551" s="266"/>
      <c r="J551" s="267"/>
    </row>
    <row r="552">
      <c r="A552" s="266">
        <v>200.0</v>
      </c>
      <c r="B552" s="266"/>
      <c r="C552" s="266">
        <v>10.0</v>
      </c>
      <c r="D552" s="266" t="s">
        <v>5139</v>
      </c>
      <c r="E552" s="266"/>
      <c r="F552" s="266"/>
      <c r="G552" s="266" t="s">
        <v>6304</v>
      </c>
      <c r="H552" s="266" t="s">
        <v>551</v>
      </c>
      <c r="I552" s="266"/>
      <c r="J552" s="266"/>
      <c r="K552" s="1"/>
      <c r="L552" s="1"/>
    </row>
    <row r="553">
      <c r="A553" s="266">
        <v>300.0</v>
      </c>
      <c r="B553" s="266"/>
      <c r="C553" s="266">
        <v>10.0</v>
      </c>
      <c r="D553" s="266" t="s">
        <v>5140</v>
      </c>
      <c r="E553" s="266"/>
      <c r="F553" s="266"/>
      <c r="G553" s="266" t="s">
        <v>6304</v>
      </c>
      <c r="H553" s="266" t="s">
        <v>551</v>
      </c>
      <c r="I553" s="266"/>
      <c r="J553" s="266"/>
      <c r="K553" s="1"/>
      <c r="L553" s="1"/>
    </row>
    <row r="554">
      <c r="A554" s="266">
        <v>400.0</v>
      </c>
      <c r="B554" s="266"/>
      <c r="C554" s="266">
        <v>10.0</v>
      </c>
      <c r="D554" s="266" t="s">
        <v>5141</v>
      </c>
      <c r="E554" s="266"/>
      <c r="F554" s="266"/>
      <c r="G554" s="266" t="s">
        <v>6304</v>
      </c>
      <c r="H554" s="266" t="s">
        <v>551</v>
      </c>
      <c r="I554" s="266"/>
      <c r="J554" s="266"/>
      <c r="K554" s="1"/>
      <c r="L554" s="1"/>
    </row>
    <row r="555">
      <c r="A555" s="266">
        <v>500.0</v>
      </c>
      <c r="B555" s="266"/>
      <c r="C555" s="266">
        <v>5.0</v>
      </c>
      <c r="D555" s="266" t="s">
        <v>6306</v>
      </c>
      <c r="E555" s="266"/>
      <c r="F555" s="266"/>
      <c r="G555" s="266" t="s">
        <v>6304</v>
      </c>
      <c r="H555" s="266" t="s">
        <v>15</v>
      </c>
      <c r="I555" s="266"/>
      <c r="J555" s="266"/>
      <c r="K555" s="1"/>
      <c r="L555" s="1"/>
    </row>
    <row r="556">
      <c r="A556" s="266">
        <v>50.0</v>
      </c>
      <c r="B556" s="266">
        <v>1.0</v>
      </c>
      <c r="C556" s="266"/>
      <c r="D556" s="266" t="s">
        <v>6803</v>
      </c>
      <c r="E556" s="266"/>
      <c r="F556" s="266"/>
      <c r="G556" s="266"/>
      <c r="H556" s="266"/>
      <c r="I556" s="266"/>
      <c r="J556" s="267"/>
    </row>
    <row r="557">
      <c r="A557" s="266">
        <v>100.0</v>
      </c>
      <c r="B557" s="266"/>
      <c r="C557" s="266">
        <v>5.0</v>
      </c>
      <c r="D557" s="266" t="s">
        <v>6804</v>
      </c>
      <c r="E557" s="266"/>
      <c r="F557" s="266"/>
      <c r="G557" s="266" t="s">
        <v>6304</v>
      </c>
      <c r="H557" s="266" t="s">
        <v>555</v>
      </c>
      <c r="I557" s="266"/>
      <c r="J557" s="266"/>
      <c r="K557" s="1"/>
      <c r="L557" s="1"/>
    </row>
    <row r="558">
      <c r="A558" s="266">
        <v>200.0</v>
      </c>
      <c r="B558" s="266"/>
      <c r="C558" s="266">
        <v>5.0</v>
      </c>
      <c r="D558" s="266" t="s">
        <v>6805</v>
      </c>
      <c r="E558" s="266"/>
      <c r="F558" s="266"/>
      <c r="G558" s="266" t="s">
        <v>6304</v>
      </c>
      <c r="H558" s="266" t="s">
        <v>6580</v>
      </c>
      <c r="I558" s="266" t="s">
        <v>6305</v>
      </c>
      <c r="J558" s="266"/>
      <c r="K558" s="1"/>
      <c r="L558" s="1"/>
    </row>
    <row r="559">
      <c r="A559" s="266">
        <v>300.0</v>
      </c>
      <c r="B559" s="266"/>
      <c r="C559" s="266">
        <v>5.0</v>
      </c>
      <c r="D559" s="266" t="s">
        <v>6806</v>
      </c>
      <c r="E559" s="266"/>
      <c r="F559" s="266"/>
      <c r="G559" s="266" t="s">
        <v>6304</v>
      </c>
      <c r="H559" s="266" t="s">
        <v>6580</v>
      </c>
      <c r="I559" s="266" t="s">
        <v>6305</v>
      </c>
      <c r="J559" s="266"/>
      <c r="K559" s="1"/>
      <c r="L559" s="1"/>
    </row>
    <row r="560">
      <c r="A560" s="266">
        <v>400.0</v>
      </c>
      <c r="B560" s="266"/>
      <c r="C560" s="266">
        <v>5.0</v>
      </c>
      <c r="D560" s="266" t="s">
        <v>6807</v>
      </c>
      <c r="E560" s="266"/>
      <c r="F560" s="266"/>
      <c r="G560" s="266" t="s">
        <v>6304</v>
      </c>
      <c r="H560" s="266" t="s">
        <v>14</v>
      </c>
      <c r="I560" s="266"/>
      <c r="J560" s="266"/>
      <c r="K560" s="1"/>
      <c r="L560" s="1"/>
    </row>
    <row r="561">
      <c r="A561" s="266">
        <v>500.0</v>
      </c>
      <c r="B561" s="266"/>
      <c r="C561" s="266">
        <v>5.0</v>
      </c>
      <c r="D561" s="266" t="s">
        <v>6808</v>
      </c>
      <c r="E561" s="266"/>
      <c r="F561" s="266"/>
      <c r="G561" s="266" t="s">
        <v>6304</v>
      </c>
      <c r="H561" s="266" t="s">
        <v>551</v>
      </c>
      <c r="I561" s="266"/>
      <c r="J561" s="266"/>
      <c r="K561" s="1"/>
      <c r="L561" s="1"/>
    </row>
    <row r="562">
      <c r="A562" s="266">
        <v>600.0</v>
      </c>
      <c r="B562" s="266"/>
      <c r="C562" s="266">
        <v>5.0</v>
      </c>
      <c r="D562" s="266" t="s">
        <v>6809</v>
      </c>
      <c r="E562" s="266"/>
      <c r="F562" s="266"/>
      <c r="G562" s="266" t="s">
        <v>6304</v>
      </c>
      <c r="H562" s="266" t="s">
        <v>551</v>
      </c>
      <c r="I562" s="266"/>
      <c r="J562" s="266"/>
      <c r="K562" s="1"/>
      <c r="L562" s="1"/>
    </row>
    <row r="563">
      <c r="A563" s="266">
        <v>700.0</v>
      </c>
      <c r="B563" s="266"/>
      <c r="C563" s="266">
        <v>5.0</v>
      </c>
      <c r="D563" s="266" t="s">
        <v>6306</v>
      </c>
      <c r="E563" s="266"/>
      <c r="F563" s="266"/>
      <c r="G563" s="266" t="s">
        <v>6304</v>
      </c>
      <c r="H563" s="266" t="s">
        <v>15</v>
      </c>
      <c r="I563" s="266"/>
      <c r="J563" s="266"/>
      <c r="K563" s="1"/>
      <c r="L563" s="1"/>
    </row>
    <row r="564">
      <c r="A564" s="266">
        <v>50.0</v>
      </c>
      <c r="B564" s="266">
        <v>1.0</v>
      </c>
      <c r="C564" s="266"/>
      <c r="D564" s="266" t="s">
        <v>6810</v>
      </c>
      <c r="E564" s="266"/>
      <c r="F564" s="266"/>
      <c r="G564" s="266"/>
      <c r="H564" s="266"/>
      <c r="I564" s="266"/>
      <c r="J564" s="267"/>
    </row>
    <row r="565">
      <c r="A565" s="266">
        <v>100.0</v>
      </c>
      <c r="B565" s="266"/>
      <c r="C565" s="266">
        <v>5.0</v>
      </c>
      <c r="D565" s="266" t="s">
        <v>6811</v>
      </c>
      <c r="E565" s="266"/>
      <c r="F565" s="266"/>
      <c r="G565" s="266"/>
      <c r="H565" s="266"/>
      <c r="I565" s="266"/>
      <c r="J565" s="267"/>
    </row>
    <row r="566">
      <c r="A566" s="266">
        <v>200.0</v>
      </c>
      <c r="B566" s="266"/>
      <c r="C566" s="266">
        <v>10.0</v>
      </c>
      <c r="D566" s="266" t="s">
        <v>6812</v>
      </c>
      <c r="E566" s="266"/>
      <c r="F566" s="266"/>
      <c r="G566" s="266"/>
      <c r="H566" s="266"/>
      <c r="I566" s="266"/>
      <c r="J566" s="267"/>
    </row>
    <row r="567">
      <c r="A567" s="266">
        <v>300.0</v>
      </c>
      <c r="B567" s="266"/>
      <c r="C567" s="266">
        <v>15.0</v>
      </c>
      <c r="D567" s="266" t="s">
        <v>5139</v>
      </c>
      <c r="E567" s="266"/>
      <c r="F567" s="266"/>
      <c r="G567" s="266" t="s">
        <v>6304</v>
      </c>
      <c r="H567" s="266" t="s">
        <v>551</v>
      </c>
      <c r="I567" s="266"/>
      <c r="J567" s="266"/>
      <c r="K567" s="1"/>
      <c r="L567" s="1"/>
    </row>
    <row r="568">
      <c r="A568" s="266">
        <v>400.0</v>
      </c>
      <c r="B568" s="266"/>
      <c r="C568" s="266">
        <v>15.0</v>
      </c>
      <c r="D568" s="266" t="s">
        <v>5140</v>
      </c>
      <c r="E568" s="266"/>
      <c r="F568" s="266"/>
      <c r="G568" s="266" t="s">
        <v>6304</v>
      </c>
      <c r="H568" s="266" t="s">
        <v>551</v>
      </c>
      <c r="I568" s="266"/>
      <c r="J568" s="266"/>
      <c r="K568" s="1"/>
      <c r="L568" s="1"/>
    </row>
    <row r="569">
      <c r="A569" s="266">
        <v>500.0</v>
      </c>
      <c r="B569" s="266"/>
      <c r="C569" s="266">
        <v>10.0</v>
      </c>
      <c r="D569" s="266" t="s">
        <v>6783</v>
      </c>
      <c r="E569" s="266"/>
      <c r="F569" s="266"/>
      <c r="G569" s="266"/>
      <c r="H569" s="266"/>
      <c r="I569" s="266"/>
      <c r="J569" s="267"/>
    </row>
    <row r="570">
      <c r="A570" s="266">
        <v>600.0</v>
      </c>
      <c r="B570" s="266"/>
      <c r="C570" s="266">
        <v>15.0</v>
      </c>
      <c r="D570" s="266" t="s">
        <v>5165</v>
      </c>
      <c r="E570" s="266"/>
      <c r="F570" s="266"/>
      <c r="G570" s="266" t="s">
        <v>6304</v>
      </c>
      <c r="H570" s="266">
        <v>9.0</v>
      </c>
      <c r="I570" s="266"/>
      <c r="J570" s="266"/>
      <c r="K570" s="1"/>
      <c r="L570" s="1"/>
    </row>
    <row r="571">
      <c r="A571" s="266">
        <v>700.0</v>
      </c>
      <c r="B571" s="266"/>
      <c r="C571" s="266">
        <v>15.0</v>
      </c>
      <c r="D571" s="266" t="s">
        <v>5166</v>
      </c>
      <c r="E571" s="266"/>
      <c r="F571" s="266"/>
      <c r="G571" s="266" t="s">
        <v>6304</v>
      </c>
      <c r="H571" s="266" t="s">
        <v>551</v>
      </c>
      <c r="I571" s="266"/>
      <c r="J571" s="266"/>
      <c r="K571" s="1"/>
      <c r="L571" s="1"/>
    </row>
    <row r="572">
      <c r="A572" s="266">
        <v>800.0</v>
      </c>
      <c r="B572" s="266"/>
      <c r="C572" s="266">
        <v>5.0</v>
      </c>
      <c r="D572" s="266" t="s">
        <v>6813</v>
      </c>
      <c r="E572" s="266"/>
      <c r="F572" s="266"/>
      <c r="G572" s="266" t="s">
        <v>6304</v>
      </c>
      <c r="H572" s="266" t="s">
        <v>6814</v>
      </c>
      <c r="I572" s="266"/>
      <c r="J572" s="266"/>
      <c r="K572" s="1"/>
      <c r="L572" s="1"/>
    </row>
    <row r="573">
      <c r="A573" s="266">
        <v>900.0</v>
      </c>
      <c r="B573" s="266"/>
      <c r="C573" s="266">
        <v>5.0</v>
      </c>
      <c r="D573" s="266" t="s">
        <v>6815</v>
      </c>
      <c r="E573" s="266"/>
      <c r="F573" s="266"/>
      <c r="G573" s="266" t="s">
        <v>6304</v>
      </c>
      <c r="H573" s="266" t="s">
        <v>6816</v>
      </c>
      <c r="I573" s="266"/>
      <c r="J573" s="266"/>
      <c r="K573" s="1"/>
      <c r="L573" s="1"/>
    </row>
    <row r="574">
      <c r="A574" s="266">
        <v>1000.0</v>
      </c>
      <c r="B574" s="266"/>
      <c r="C574" s="266">
        <v>5.0</v>
      </c>
      <c r="D574" s="266" t="s">
        <v>6306</v>
      </c>
      <c r="E574" s="266"/>
      <c r="F574" s="266"/>
      <c r="G574" s="266" t="s">
        <v>6304</v>
      </c>
      <c r="H574" s="266" t="s">
        <v>17</v>
      </c>
      <c r="I574" s="266"/>
      <c r="J574" s="266"/>
      <c r="K574" s="1"/>
      <c r="L574" s="1"/>
    </row>
    <row r="575">
      <c r="A575" s="266">
        <v>50.0</v>
      </c>
      <c r="B575" s="266">
        <v>1.0</v>
      </c>
      <c r="C575" s="266"/>
      <c r="D575" s="266" t="s">
        <v>6817</v>
      </c>
      <c r="E575" s="266"/>
      <c r="F575" s="266"/>
      <c r="G575" s="266"/>
      <c r="H575" s="266"/>
      <c r="I575" s="266"/>
      <c r="J575" s="267"/>
    </row>
    <row r="576">
      <c r="A576" s="266">
        <v>100.0</v>
      </c>
      <c r="B576" s="266"/>
      <c r="C576" s="266">
        <v>5.0</v>
      </c>
      <c r="D576" s="266" t="s">
        <v>6818</v>
      </c>
      <c r="E576" s="266"/>
      <c r="F576" s="266"/>
      <c r="G576" s="266" t="s">
        <v>6304</v>
      </c>
      <c r="H576" s="266" t="s">
        <v>7</v>
      </c>
      <c r="I576" s="266" t="s">
        <v>6305</v>
      </c>
      <c r="J576" s="266"/>
      <c r="K576" s="1"/>
      <c r="L576" s="1"/>
    </row>
    <row r="577">
      <c r="A577" s="266">
        <v>200.0</v>
      </c>
      <c r="B577" s="266"/>
      <c r="C577" s="266">
        <v>5.0</v>
      </c>
      <c r="D577" s="266" t="s">
        <v>6819</v>
      </c>
      <c r="E577" s="266"/>
      <c r="F577" s="266"/>
      <c r="G577" s="266" t="s">
        <v>6304</v>
      </c>
      <c r="H577" s="266" t="s">
        <v>552</v>
      </c>
      <c r="I577" s="266"/>
      <c r="J577" s="266"/>
      <c r="K577" s="1"/>
      <c r="L577" s="1"/>
    </row>
    <row r="578">
      <c r="A578" s="266">
        <v>300.0</v>
      </c>
      <c r="B578" s="266"/>
      <c r="C578" s="266">
        <v>5.0</v>
      </c>
      <c r="D578" s="266" t="s">
        <v>6820</v>
      </c>
      <c r="E578" s="266"/>
      <c r="F578" s="266"/>
      <c r="G578" s="266" t="s">
        <v>6304</v>
      </c>
      <c r="H578" s="266" t="s">
        <v>551</v>
      </c>
      <c r="I578" s="266"/>
      <c r="J578" s="266"/>
      <c r="K578" s="1"/>
      <c r="L578" s="1"/>
    </row>
    <row r="579">
      <c r="A579" s="266">
        <v>400.0</v>
      </c>
      <c r="B579" s="266"/>
      <c r="C579" s="266">
        <v>5.0</v>
      </c>
      <c r="D579" s="266" t="s">
        <v>6306</v>
      </c>
      <c r="E579" s="266"/>
      <c r="F579" s="266"/>
      <c r="G579" s="266" t="s">
        <v>6304</v>
      </c>
      <c r="H579" s="266" t="s">
        <v>17</v>
      </c>
      <c r="I579" s="266"/>
      <c r="J579" s="266"/>
      <c r="K579" s="1"/>
      <c r="L579" s="1"/>
    </row>
    <row r="580">
      <c r="A580" s="266">
        <v>500.0</v>
      </c>
      <c r="B580" s="266"/>
      <c r="C580" s="266">
        <v>5.0</v>
      </c>
      <c r="D580" s="266" t="s">
        <v>6821</v>
      </c>
      <c r="E580" s="266"/>
      <c r="F580" s="266"/>
      <c r="G580" s="266" t="s">
        <v>6304</v>
      </c>
      <c r="H580" s="266" t="s">
        <v>552</v>
      </c>
      <c r="I580" s="266"/>
      <c r="J580" s="266"/>
      <c r="K580" s="1"/>
      <c r="L580" s="1"/>
    </row>
    <row r="581">
      <c r="A581" s="266">
        <v>600.0</v>
      </c>
      <c r="B581" s="266"/>
      <c r="C581" s="266">
        <v>5.0</v>
      </c>
      <c r="D581" s="266" t="s">
        <v>6822</v>
      </c>
      <c r="E581" s="266"/>
      <c r="F581" s="266"/>
      <c r="G581" s="266" t="s">
        <v>6304</v>
      </c>
      <c r="H581" s="266" t="s">
        <v>6580</v>
      </c>
      <c r="I581" s="266" t="s">
        <v>6305</v>
      </c>
      <c r="J581" s="266"/>
      <c r="K581" s="1"/>
      <c r="L581" s="1"/>
    </row>
    <row r="582">
      <c r="A582" s="266">
        <v>700.0</v>
      </c>
      <c r="B582" s="266"/>
      <c r="C582" s="266">
        <v>5.0</v>
      </c>
      <c r="D582" s="266" t="s">
        <v>6823</v>
      </c>
      <c r="E582" s="266"/>
      <c r="F582" s="266"/>
      <c r="G582" s="266" t="s">
        <v>6304</v>
      </c>
      <c r="H582" s="266" t="s">
        <v>551</v>
      </c>
      <c r="I582" s="266"/>
      <c r="J582" s="266"/>
      <c r="K582" s="1"/>
      <c r="L582" s="1"/>
    </row>
    <row r="583">
      <c r="A583" s="266">
        <v>800.0</v>
      </c>
      <c r="B583" s="266"/>
      <c r="C583" s="266">
        <v>5.0</v>
      </c>
      <c r="D583" s="266" t="s">
        <v>6306</v>
      </c>
      <c r="E583" s="266"/>
      <c r="F583" s="266"/>
      <c r="G583" s="266" t="s">
        <v>6304</v>
      </c>
      <c r="H583" s="266" t="s">
        <v>17</v>
      </c>
      <c r="I583" s="266"/>
      <c r="J583" s="266"/>
      <c r="K583" s="1"/>
      <c r="L583" s="1"/>
    </row>
    <row r="584">
      <c r="A584" s="266">
        <v>900.0</v>
      </c>
      <c r="B584" s="266"/>
      <c r="C584" s="266">
        <v>5.0</v>
      </c>
      <c r="D584" s="266" t="s">
        <v>6824</v>
      </c>
      <c r="E584" s="266" t="s">
        <v>6479</v>
      </c>
      <c r="F584" s="266">
        <v>2.0</v>
      </c>
      <c r="G584" s="266"/>
      <c r="H584" s="266"/>
      <c r="I584" s="266"/>
      <c r="J584" s="267"/>
    </row>
    <row r="585">
      <c r="A585" s="266">
        <v>1000.0</v>
      </c>
      <c r="B585" s="266"/>
      <c r="C585" s="266">
        <v>10.0</v>
      </c>
      <c r="D585" s="266" t="s">
        <v>6825</v>
      </c>
      <c r="E585" s="266"/>
      <c r="F585" s="266"/>
      <c r="G585" s="266" t="s">
        <v>6304</v>
      </c>
      <c r="H585" s="266" t="s">
        <v>551</v>
      </c>
      <c r="I585" s="266"/>
      <c r="J585" s="266"/>
      <c r="K585" s="1"/>
      <c r="L585" s="1"/>
    </row>
    <row r="586">
      <c r="A586" s="266">
        <v>1100.0</v>
      </c>
      <c r="B586" s="266"/>
      <c r="C586" s="266">
        <v>10.0</v>
      </c>
      <c r="D586" s="266" t="s">
        <v>6826</v>
      </c>
      <c r="E586" s="266"/>
      <c r="F586" s="266"/>
      <c r="G586" s="266" t="s">
        <v>6304</v>
      </c>
      <c r="H586" s="266" t="s">
        <v>6731</v>
      </c>
      <c r="I586" s="266" t="s">
        <v>6305</v>
      </c>
      <c r="J586" s="266"/>
      <c r="K586" s="1"/>
      <c r="L586" s="1"/>
    </row>
    <row r="587">
      <c r="A587" s="266">
        <v>1200.0</v>
      </c>
      <c r="B587" s="266"/>
      <c r="C587" s="266">
        <v>5.0</v>
      </c>
      <c r="D587" s="266" t="s">
        <v>6306</v>
      </c>
      <c r="E587" s="266"/>
      <c r="F587" s="266"/>
      <c r="G587" s="266" t="s">
        <v>6304</v>
      </c>
      <c r="H587" s="266" t="s">
        <v>17</v>
      </c>
      <c r="I587" s="266"/>
      <c r="J587" s="266"/>
      <c r="K587" s="1"/>
      <c r="L587" s="1"/>
    </row>
    <row r="588">
      <c r="A588" s="266">
        <v>50.0</v>
      </c>
      <c r="B588" s="266">
        <v>1.0</v>
      </c>
      <c r="C588" s="266"/>
      <c r="D588" s="266" t="s">
        <v>6827</v>
      </c>
      <c r="E588" s="266"/>
      <c r="F588" s="266"/>
      <c r="G588" s="266"/>
      <c r="H588" s="266"/>
      <c r="I588" s="266"/>
      <c r="J588" s="267"/>
    </row>
    <row r="589">
      <c r="A589" s="266">
        <v>100.0</v>
      </c>
      <c r="B589" s="266"/>
      <c r="C589" s="266">
        <v>5.0</v>
      </c>
      <c r="D589" s="266" t="s">
        <v>0</v>
      </c>
      <c r="E589" s="266"/>
      <c r="F589" s="266"/>
      <c r="G589" s="266" t="s">
        <v>6304</v>
      </c>
      <c r="H589" s="266" t="s">
        <v>552</v>
      </c>
      <c r="I589" s="266"/>
      <c r="J589" s="266"/>
      <c r="K589" s="1"/>
      <c r="L589" s="1"/>
    </row>
    <row r="590">
      <c r="A590" s="266">
        <v>200.0</v>
      </c>
      <c r="B590" s="266"/>
      <c r="C590" s="266">
        <v>5.0</v>
      </c>
      <c r="D590" s="266" t="s">
        <v>1</v>
      </c>
      <c r="E590" s="266"/>
      <c r="F590" s="266"/>
      <c r="G590" s="266" t="s">
        <v>6304</v>
      </c>
      <c r="H590" s="266" t="s">
        <v>7</v>
      </c>
      <c r="I590" s="266" t="s">
        <v>6305</v>
      </c>
      <c r="J590" s="266"/>
      <c r="K590" s="1"/>
      <c r="L590" s="1"/>
    </row>
    <row r="591">
      <c r="A591" s="266">
        <v>300.0</v>
      </c>
      <c r="B591" s="266"/>
      <c r="C591" s="266">
        <v>5.0</v>
      </c>
      <c r="D591" s="266" t="s">
        <v>2</v>
      </c>
      <c r="E591" s="266"/>
      <c r="F591" s="266"/>
      <c r="G591" s="266" t="s">
        <v>6304</v>
      </c>
      <c r="H591" s="266" t="s">
        <v>7</v>
      </c>
      <c r="I591" s="266" t="s">
        <v>6305</v>
      </c>
      <c r="J591" s="266"/>
      <c r="K591" s="1"/>
      <c r="L591" s="1"/>
    </row>
    <row r="592">
      <c r="A592" s="266">
        <v>400.0</v>
      </c>
      <c r="B592" s="266"/>
      <c r="C592" s="266">
        <v>5.0</v>
      </c>
      <c r="D592" s="266" t="s">
        <v>3</v>
      </c>
      <c r="E592" s="266"/>
      <c r="F592" s="266"/>
      <c r="G592" s="266" t="s">
        <v>6304</v>
      </c>
      <c r="H592" s="266" t="s">
        <v>7</v>
      </c>
      <c r="I592" s="266" t="s">
        <v>6305</v>
      </c>
      <c r="J592" s="266"/>
      <c r="K592" s="1"/>
      <c r="L592" s="1"/>
    </row>
    <row r="593">
      <c r="A593" s="266">
        <v>500.0</v>
      </c>
      <c r="B593" s="266"/>
      <c r="C593" s="266">
        <v>5.0</v>
      </c>
      <c r="D593" s="266" t="s">
        <v>4</v>
      </c>
      <c r="E593" s="266"/>
      <c r="F593" s="266"/>
      <c r="G593" s="266" t="s">
        <v>6304</v>
      </c>
      <c r="H593" s="266" t="s">
        <v>7</v>
      </c>
      <c r="I593" s="266" t="s">
        <v>6305</v>
      </c>
      <c r="J593" s="266"/>
      <c r="K593" s="1"/>
      <c r="L593" s="1"/>
    </row>
    <row r="594">
      <c r="A594" s="266">
        <v>600.0</v>
      </c>
      <c r="B594" s="266"/>
      <c r="C594" s="266">
        <v>5.0</v>
      </c>
      <c r="D594" s="266" t="s">
        <v>5</v>
      </c>
      <c r="E594" s="266"/>
      <c r="F594" s="266"/>
      <c r="G594" s="266" t="s">
        <v>6304</v>
      </c>
      <c r="H594" s="266" t="s">
        <v>7</v>
      </c>
      <c r="I594" s="266" t="s">
        <v>6305</v>
      </c>
      <c r="J594" s="266"/>
      <c r="K594" s="1"/>
      <c r="L594" s="1"/>
    </row>
    <row r="595">
      <c r="A595" s="266">
        <v>700.0</v>
      </c>
      <c r="B595" s="266"/>
      <c r="C595" s="266">
        <v>5.0</v>
      </c>
      <c r="D595" s="266" t="s">
        <v>6306</v>
      </c>
      <c r="E595" s="266"/>
      <c r="F595" s="266"/>
      <c r="G595" s="266" t="s">
        <v>6304</v>
      </c>
      <c r="H595" s="266" t="s">
        <v>15</v>
      </c>
      <c r="I595" s="266"/>
      <c r="J595" s="266"/>
      <c r="K595" s="1"/>
      <c r="L595" s="1"/>
    </row>
    <row r="596">
      <c r="A596" s="266">
        <v>50.0</v>
      </c>
      <c r="B596" s="266">
        <v>1.0</v>
      </c>
      <c r="C596" s="266"/>
      <c r="D596" s="266" t="s">
        <v>6828</v>
      </c>
      <c r="E596" s="266"/>
      <c r="F596" s="266"/>
      <c r="G596" s="266"/>
      <c r="H596" s="266"/>
      <c r="I596" s="266"/>
      <c r="J596" s="267"/>
    </row>
    <row r="597">
      <c r="A597" s="266">
        <v>100.0</v>
      </c>
      <c r="B597" s="266"/>
      <c r="C597" s="266">
        <v>5.0</v>
      </c>
      <c r="D597" s="266" t="s">
        <v>3801</v>
      </c>
      <c r="E597" s="266"/>
      <c r="F597" s="266"/>
      <c r="G597" s="266" t="s">
        <v>6304</v>
      </c>
      <c r="H597" s="266" t="s">
        <v>3793</v>
      </c>
      <c r="I597" s="266"/>
      <c r="J597" s="266"/>
      <c r="K597" s="1"/>
      <c r="L597" s="1"/>
    </row>
    <row r="598">
      <c r="A598" s="266">
        <v>200.0</v>
      </c>
      <c r="B598" s="266"/>
      <c r="C598" s="266">
        <v>5.0</v>
      </c>
      <c r="D598" s="266" t="s">
        <v>6829</v>
      </c>
      <c r="E598" s="266" t="s">
        <v>6603</v>
      </c>
      <c r="F598" s="266" t="s">
        <v>6830</v>
      </c>
      <c r="G598" s="266"/>
      <c r="H598" s="266"/>
      <c r="I598" s="266"/>
      <c r="J598" s="267"/>
    </row>
    <row r="599">
      <c r="A599" s="266">
        <v>300.0</v>
      </c>
      <c r="B599" s="266"/>
      <c r="C599" s="266">
        <v>10.0</v>
      </c>
      <c r="D599" s="266" t="s">
        <v>3802</v>
      </c>
      <c r="E599" s="266"/>
      <c r="F599" s="266"/>
      <c r="G599" s="266" t="s">
        <v>6304</v>
      </c>
      <c r="H599" s="266" t="s">
        <v>3794</v>
      </c>
      <c r="I599" s="266"/>
      <c r="J599" s="266"/>
      <c r="K599" s="1"/>
      <c r="L599" s="1"/>
    </row>
    <row r="600">
      <c r="A600" s="266">
        <v>400.0</v>
      </c>
      <c r="B600" s="266"/>
      <c r="C600" s="266">
        <v>10.0</v>
      </c>
      <c r="D600" s="266" t="s">
        <v>3803</v>
      </c>
      <c r="E600" s="266"/>
      <c r="F600" s="266"/>
      <c r="G600" s="266" t="s">
        <v>6304</v>
      </c>
      <c r="H600" s="266" t="s">
        <v>3795</v>
      </c>
      <c r="I600" s="266"/>
      <c r="J600" s="266"/>
      <c r="K600" s="1"/>
      <c r="L600" s="1"/>
    </row>
    <row r="601">
      <c r="A601" s="266">
        <v>500.0</v>
      </c>
      <c r="B601" s="266"/>
      <c r="C601" s="266">
        <v>10.0</v>
      </c>
      <c r="D601" s="266" t="s">
        <v>3804</v>
      </c>
      <c r="E601" s="266"/>
      <c r="F601" s="266"/>
      <c r="G601" s="266" t="s">
        <v>6304</v>
      </c>
      <c r="H601" s="266" t="s">
        <v>3796</v>
      </c>
      <c r="I601" s="266"/>
      <c r="J601" s="266"/>
      <c r="K601" s="1"/>
      <c r="L601" s="1"/>
    </row>
    <row r="602">
      <c r="A602" s="266">
        <v>600.0</v>
      </c>
      <c r="B602" s="266"/>
      <c r="C602" s="266">
        <v>5.0</v>
      </c>
      <c r="D602" s="266" t="s">
        <v>6306</v>
      </c>
      <c r="E602" s="266"/>
      <c r="F602" s="266"/>
      <c r="G602" s="266" t="s">
        <v>6304</v>
      </c>
      <c r="H602" s="266" t="s">
        <v>6831</v>
      </c>
      <c r="I602" s="266" t="s">
        <v>6621</v>
      </c>
      <c r="J602" s="266" t="s">
        <v>6832</v>
      </c>
      <c r="K602" s="1"/>
      <c r="L602" s="1" t="s">
        <v>6832</v>
      </c>
    </row>
    <row r="603">
      <c r="A603" s="266">
        <v>50.0</v>
      </c>
      <c r="B603" s="266">
        <v>1.0</v>
      </c>
      <c r="C603" s="266"/>
      <c r="D603" s="266" t="s">
        <v>6833</v>
      </c>
      <c r="E603" s="266"/>
      <c r="F603" s="266"/>
      <c r="G603" s="266"/>
      <c r="H603" s="266"/>
      <c r="I603" s="266"/>
      <c r="J603" s="267"/>
    </row>
    <row r="604">
      <c r="A604" s="266">
        <v>100.0</v>
      </c>
      <c r="B604" s="266"/>
      <c r="C604" s="266">
        <v>5.0</v>
      </c>
      <c r="D604" s="266" t="s">
        <v>6834</v>
      </c>
      <c r="E604" s="266"/>
      <c r="F604" s="266"/>
      <c r="G604" s="266"/>
      <c r="H604" s="266"/>
      <c r="I604" s="266"/>
      <c r="J604" s="267"/>
    </row>
    <row r="605">
      <c r="A605" s="266">
        <v>200.0</v>
      </c>
      <c r="B605" s="266"/>
      <c r="C605" s="266">
        <v>10.0</v>
      </c>
      <c r="D605" s="266" t="s">
        <v>576</v>
      </c>
      <c r="E605" s="266"/>
      <c r="F605" s="266"/>
      <c r="G605" s="266" t="s">
        <v>6304</v>
      </c>
      <c r="H605" s="266" t="s">
        <v>551</v>
      </c>
      <c r="I605" s="266"/>
      <c r="J605" s="266"/>
      <c r="K605" s="1"/>
      <c r="L605" s="1"/>
    </row>
    <row r="606">
      <c r="A606" s="266">
        <v>300.0</v>
      </c>
      <c r="B606" s="266"/>
      <c r="C606" s="266">
        <v>10.0</v>
      </c>
      <c r="D606" s="266" t="s">
        <v>6835</v>
      </c>
      <c r="E606" s="266"/>
      <c r="F606" s="266"/>
      <c r="G606" s="266" t="s">
        <v>6304</v>
      </c>
      <c r="H606" s="266" t="s">
        <v>551</v>
      </c>
      <c r="I606" s="266"/>
      <c r="J606" s="266"/>
      <c r="K606" s="1"/>
      <c r="L606" s="1"/>
    </row>
    <row r="607">
      <c r="A607" s="266">
        <v>400.0</v>
      </c>
      <c r="B607" s="266"/>
      <c r="C607" s="266">
        <v>5.0</v>
      </c>
      <c r="D607" s="266" t="s">
        <v>6306</v>
      </c>
      <c r="E607" s="266"/>
      <c r="F607" s="266"/>
      <c r="G607" s="266" t="s">
        <v>6304</v>
      </c>
      <c r="H607" s="266" t="s">
        <v>6499</v>
      </c>
      <c r="I607" s="266"/>
      <c r="J607" s="266"/>
      <c r="K607" s="1"/>
      <c r="L607" s="1"/>
    </row>
    <row r="608">
      <c r="A608" s="266">
        <v>50.0</v>
      </c>
      <c r="B608" s="266">
        <v>1.0</v>
      </c>
      <c r="C608" s="266"/>
      <c r="D608" s="266" t="s">
        <v>6836</v>
      </c>
      <c r="E608" s="266"/>
      <c r="F608" s="266"/>
      <c r="G608" s="266"/>
      <c r="H608" s="266"/>
      <c r="I608" s="266"/>
      <c r="J608" s="267"/>
    </row>
    <row r="609">
      <c r="A609" s="266">
        <v>100.0</v>
      </c>
      <c r="B609" s="266"/>
      <c r="C609" s="266">
        <v>5.0</v>
      </c>
      <c r="D609" s="266" t="s">
        <v>6837</v>
      </c>
      <c r="E609" s="266"/>
      <c r="F609" s="266"/>
      <c r="G609" s="266"/>
      <c r="H609" s="266"/>
      <c r="I609" s="266"/>
      <c r="J609" s="267"/>
    </row>
    <row r="610">
      <c r="A610" s="266">
        <v>200.0</v>
      </c>
      <c r="B610" s="266"/>
      <c r="C610" s="266">
        <v>10.0</v>
      </c>
      <c r="D610" s="266" t="s">
        <v>6838</v>
      </c>
      <c r="E610" s="266"/>
      <c r="F610" s="266"/>
      <c r="G610" s="266" t="s">
        <v>6304</v>
      </c>
      <c r="H610" s="266" t="s">
        <v>552</v>
      </c>
      <c r="I610" s="266"/>
      <c r="J610" s="266"/>
      <c r="K610" s="1"/>
      <c r="L610" s="1"/>
    </row>
    <row r="611">
      <c r="A611" s="266">
        <v>300.0</v>
      </c>
      <c r="B611" s="266"/>
      <c r="C611" s="266">
        <v>10.0</v>
      </c>
      <c r="D611" s="266" t="s">
        <v>591</v>
      </c>
      <c r="E611" s="266"/>
      <c r="F611" s="266"/>
      <c r="G611" s="266" t="s">
        <v>6304</v>
      </c>
      <c r="H611" s="266" t="s">
        <v>556</v>
      </c>
      <c r="I611" s="266"/>
      <c r="J611" s="266"/>
      <c r="K611" s="1"/>
      <c r="L611" s="1"/>
    </row>
    <row r="612">
      <c r="A612" s="266">
        <v>400.0</v>
      </c>
      <c r="B612" s="266"/>
      <c r="C612" s="266">
        <v>5.0</v>
      </c>
      <c r="D612" s="266" t="s">
        <v>6812</v>
      </c>
      <c r="E612" s="266"/>
      <c r="F612" s="266"/>
      <c r="G612" s="266"/>
      <c r="H612" s="266"/>
      <c r="I612" s="266"/>
      <c r="J612" s="267"/>
    </row>
    <row r="613">
      <c r="A613" s="266">
        <v>500.0</v>
      </c>
      <c r="B613" s="266"/>
      <c r="C613" s="266">
        <v>10.0</v>
      </c>
      <c r="D613" s="266" t="s">
        <v>5139</v>
      </c>
      <c r="E613" s="266"/>
      <c r="F613" s="266"/>
      <c r="G613" s="266" t="s">
        <v>6304</v>
      </c>
      <c r="H613" s="266" t="s">
        <v>551</v>
      </c>
      <c r="I613" s="266"/>
      <c r="J613" s="266"/>
      <c r="K613" s="1"/>
      <c r="L613" s="1"/>
    </row>
    <row r="614">
      <c r="A614" s="266">
        <v>600.0</v>
      </c>
      <c r="B614" s="266"/>
      <c r="C614" s="266">
        <v>10.0</v>
      </c>
      <c r="D614" s="266" t="s">
        <v>5140</v>
      </c>
      <c r="E614" s="266"/>
      <c r="F614" s="266"/>
      <c r="G614" s="266" t="s">
        <v>6304</v>
      </c>
      <c r="H614" s="266" t="s">
        <v>551</v>
      </c>
      <c r="I614" s="266"/>
      <c r="J614" s="266"/>
      <c r="K614" s="1"/>
      <c r="L614" s="1"/>
    </row>
    <row r="615">
      <c r="A615" s="266">
        <v>700.0</v>
      </c>
      <c r="B615" s="266"/>
      <c r="C615" s="266">
        <v>5.0</v>
      </c>
      <c r="D615" s="266" t="s">
        <v>5141</v>
      </c>
      <c r="E615" s="266"/>
      <c r="F615" s="266"/>
      <c r="G615" s="266" t="s">
        <v>6304</v>
      </c>
      <c r="H615" s="266" t="s">
        <v>551</v>
      </c>
      <c r="I615" s="266"/>
      <c r="J615" s="266"/>
      <c r="K615" s="1"/>
      <c r="L615" s="1"/>
    </row>
    <row r="616">
      <c r="A616" s="266">
        <v>800.0</v>
      </c>
      <c r="B616" s="266"/>
      <c r="C616" s="266">
        <v>5.0</v>
      </c>
      <c r="D616" s="266" t="s">
        <v>6783</v>
      </c>
      <c r="E616" s="266"/>
      <c r="F616" s="266"/>
      <c r="G616" s="266"/>
      <c r="H616" s="266"/>
      <c r="I616" s="266"/>
      <c r="J616" s="267"/>
    </row>
    <row r="617">
      <c r="A617" s="266">
        <v>900.0</v>
      </c>
      <c r="B617" s="266"/>
      <c r="C617" s="266">
        <v>10.0</v>
      </c>
      <c r="D617" s="266" t="s">
        <v>5165</v>
      </c>
      <c r="E617" s="266"/>
      <c r="F617" s="266"/>
      <c r="G617" s="266" t="s">
        <v>6304</v>
      </c>
      <c r="H617" s="266">
        <v>9.0</v>
      </c>
      <c r="I617" s="266"/>
      <c r="J617" s="266"/>
      <c r="K617" s="1"/>
      <c r="L617" s="1"/>
    </row>
    <row r="618">
      <c r="A618" s="266">
        <v>1000.0</v>
      </c>
      <c r="B618" s="266"/>
      <c r="C618" s="266">
        <v>10.0</v>
      </c>
      <c r="D618" s="266" t="s">
        <v>5166</v>
      </c>
      <c r="E618" s="266"/>
      <c r="F618" s="266"/>
      <c r="G618" s="266" t="s">
        <v>6304</v>
      </c>
      <c r="H618" s="266" t="s">
        <v>551</v>
      </c>
      <c r="I618" s="266"/>
      <c r="J618" s="266"/>
      <c r="K618" s="1"/>
      <c r="L618" s="1"/>
    </row>
    <row r="619">
      <c r="A619" s="266">
        <v>1100.0</v>
      </c>
      <c r="B619" s="266"/>
      <c r="C619" s="266">
        <v>5.0</v>
      </c>
      <c r="D619" s="266" t="s">
        <v>6839</v>
      </c>
      <c r="E619" s="266" t="s">
        <v>6479</v>
      </c>
      <c r="F619" s="266">
        <v>10.0</v>
      </c>
      <c r="G619" s="266"/>
      <c r="H619" s="266"/>
      <c r="I619" s="266"/>
      <c r="J619" s="267"/>
    </row>
    <row r="620">
      <c r="A620" s="266">
        <v>1200.0</v>
      </c>
      <c r="B620" s="266"/>
      <c r="C620" s="266">
        <v>10.0</v>
      </c>
      <c r="D620" s="266" t="s">
        <v>6840</v>
      </c>
      <c r="E620" s="266"/>
      <c r="F620" s="266"/>
      <c r="G620" s="266" t="s">
        <v>6304</v>
      </c>
      <c r="H620" s="266" t="s">
        <v>552</v>
      </c>
      <c r="I620" s="266"/>
      <c r="J620" s="266"/>
      <c r="K620" s="1"/>
      <c r="L620" s="1"/>
    </row>
    <row r="621">
      <c r="A621" s="266">
        <v>1300.0</v>
      </c>
      <c r="B621" s="266"/>
      <c r="C621" s="266">
        <v>10.0</v>
      </c>
      <c r="D621" s="266" t="s">
        <v>5161</v>
      </c>
      <c r="E621" s="266"/>
      <c r="F621" s="266"/>
      <c r="G621" s="266" t="s">
        <v>6304</v>
      </c>
      <c r="H621" s="266" t="s">
        <v>551</v>
      </c>
      <c r="I621" s="266"/>
      <c r="J621" s="266"/>
      <c r="K621" s="1"/>
      <c r="L621" s="1"/>
    </row>
    <row r="622">
      <c r="A622" s="266">
        <v>1400.0</v>
      </c>
      <c r="B622" s="266"/>
      <c r="C622" s="266">
        <v>5.0</v>
      </c>
      <c r="D622" s="266" t="s">
        <v>6841</v>
      </c>
      <c r="E622" s="266"/>
      <c r="F622" s="266"/>
      <c r="G622" s="266" t="s">
        <v>6304</v>
      </c>
      <c r="H622" s="266">
        <v>99.0</v>
      </c>
      <c r="I622" s="266"/>
      <c r="J622" s="266"/>
      <c r="K622" s="1"/>
      <c r="L622" s="1"/>
    </row>
    <row r="623">
      <c r="A623" s="266">
        <v>1500.0</v>
      </c>
      <c r="B623" s="266"/>
      <c r="C623" s="266">
        <v>5.0</v>
      </c>
      <c r="D623" s="266" t="s">
        <v>6842</v>
      </c>
      <c r="E623" s="266"/>
      <c r="F623" s="266"/>
      <c r="G623" s="266" t="s">
        <v>6304</v>
      </c>
      <c r="H623" s="266">
        <v>999.0</v>
      </c>
      <c r="I623" s="266"/>
      <c r="J623" s="266"/>
      <c r="K623" s="1"/>
      <c r="L623" s="1"/>
    </row>
    <row r="624">
      <c r="A624" s="266">
        <v>1600.0</v>
      </c>
      <c r="B624" s="266"/>
      <c r="C624" s="266">
        <v>5.0</v>
      </c>
      <c r="D624" s="266" t="s">
        <v>6843</v>
      </c>
      <c r="E624" s="266"/>
      <c r="F624" s="266"/>
      <c r="G624" s="266" t="s">
        <v>6304</v>
      </c>
      <c r="H624" s="266" t="s">
        <v>551</v>
      </c>
      <c r="I624" s="266"/>
      <c r="J624" s="266"/>
      <c r="K624" s="1"/>
      <c r="L624" s="1"/>
    </row>
    <row r="625">
      <c r="A625" s="266">
        <v>1700.0</v>
      </c>
      <c r="B625" s="266"/>
      <c r="C625" s="266">
        <v>5.0</v>
      </c>
      <c r="D625" s="266" t="s">
        <v>6844</v>
      </c>
      <c r="E625" s="266"/>
      <c r="F625" s="266"/>
      <c r="G625" s="266" t="s">
        <v>6304</v>
      </c>
      <c r="H625" s="266" t="s">
        <v>3806</v>
      </c>
      <c r="I625" s="266"/>
      <c r="J625" s="266"/>
      <c r="K625" s="1"/>
      <c r="L625" s="1"/>
    </row>
    <row r="626">
      <c r="A626" s="266">
        <v>1800.0</v>
      </c>
      <c r="B626" s="266"/>
      <c r="C626" s="266">
        <v>5.0</v>
      </c>
      <c r="D626" s="266" t="s">
        <v>6845</v>
      </c>
      <c r="E626" s="266"/>
      <c r="F626" s="266"/>
      <c r="G626" s="266" t="s">
        <v>6304</v>
      </c>
      <c r="H626" s="266" t="s">
        <v>3806</v>
      </c>
      <c r="I626" s="266"/>
      <c r="J626" s="266"/>
      <c r="K626" s="1"/>
      <c r="L626" s="1"/>
    </row>
    <row r="627">
      <c r="A627" s="266">
        <v>1900.0</v>
      </c>
      <c r="B627" s="266"/>
      <c r="C627" s="266">
        <v>5.0</v>
      </c>
      <c r="D627" s="266" t="s">
        <v>6846</v>
      </c>
      <c r="E627" s="266"/>
      <c r="F627" s="266"/>
      <c r="G627" s="266" t="s">
        <v>6304</v>
      </c>
      <c r="H627" s="266" t="s">
        <v>3806</v>
      </c>
      <c r="I627" s="266"/>
      <c r="J627" s="266"/>
      <c r="K627" s="1"/>
      <c r="L627" s="1"/>
    </row>
    <row r="628">
      <c r="A628" s="266">
        <v>2000.0</v>
      </c>
      <c r="B628" s="266"/>
      <c r="C628" s="266">
        <v>5.0</v>
      </c>
      <c r="D628" s="266" t="s">
        <v>6847</v>
      </c>
      <c r="E628" s="266"/>
      <c r="F628" s="266"/>
      <c r="G628" s="266" t="s">
        <v>6304</v>
      </c>
      <c r="H628" s="266" t="s">
        <v>3807</v>
      </c>
      <c r="I628" s="266"/>
      <c r="J628" s="266"/>
      <c r="K628" s="1"/>
      <c r="L628" s="1"/>
    </row>
    <row r="629">
      <c r="A629" s="266">
        <v>2100.0</v>
      </c>
      <c r="B629" s="266"/>
      <c r="C629" s="266">
        <v>5.0</v>
      </c>
      <c r="D629" s="266" t="s">
        <v>6848</v>
      </c>
      <c r="E629" s="266"/>
      <c r="F629" s="266"/>
      <c r="G629" s="266" t="s">
        <v>6304</v>
      </c>
      <c r="H629" s="266" t="s">
        <v>3806</v>
      </c>
      <c r="I629" s="266"/>
      <c r="J629" s="266"/>
      <c r="K629" s="1"/>
      <c r="L629" s="1"/>
    </row>
    <row r="630">
      <c r="A630" s="266">
        <v>2200.0</v>
      </c>
      <c r="B630" s="266"/>
      <c r="C630" s="266">
        <v>5.0</v>
      </c>
      <c r="D630" s="266" t="s">
        <v>6849</v>
      </c>
      <c r="E630" s="266"/>
      <c r="F630" s="266"/>
      <c r="G630" s="266" t="s">
        <v>6304</v>
      </c>
      <c r="H630" s="266" t="s">
        <v>3806</v>
      </c>
      <c r="I630" s="266"/>
      <c r="J630" s="266"/>
      <c r="K630" s="1"/>
      <c r="L630" s="1"/>
    </row>
    <row r="631">
      <c r="A631" s="266">
        <v>2300.0</v>
      </c>
      <c r="B631" s="266"/>
      <c r="C631" s="266">
        <v>5.0</v>
      </c>
      <c r="D631" s="266" t="s">
        <v>6850</v>
      </c>
      <c r="E631" s="266"/>
      <c r="F631" s="266"/>
      <c r="G631" s="266" t="s">
        <v>6304</v>
      </c>
      <c r="H631" s="266" t="s">
        <v>3806</v>
      </c>
      <c r="I631" s="266"/>
      <c r="J631" s="266"/>
      <c r="K631" s="1"/>
      <c r="L631" s="1"/>
    </row>
    <row r="632">
      <c r="A632" s="266">
        <v>2400.0</v>
      </c>
      <c r="B632" s="266"/>
      <c r="C632" s="266">
        <v>5.0</v>
      </c>
      <c r="D632" s="266" t="s">
        <v>6306</v>
      </c>
      <c r="E632" s="266"/>
      <c r="F632" s="266"/>
      <c r="G632" s="266" t="s">
        <v>6304</v>
      </c>
      <c r="H632" s="266" t="s">
        <v>6851</v>
      </c>
      <c r="I632" s="266"/>
      <c r="J632" s="266"/>
      <c r="K632" s="1"/>
      <c r="L632" s="1"/>
    </row>
    <row r="633">
      <c r="A633" s="266">
        <v>50.0</v>
      </c>
      <c r="B633" s="266">
        <v>1.0</v>
      </c>
      <c r="C633" s="266"/>
      <c r="D633" s="266" t="s">
        <v>6852</v>
      </c>
      <c r="E633" s="266"/>
      <c r="F633" s="266"/>
      <c r="G633" s="266"/>
      <c r="H633" s="266"/>
      <c r="I633" s="266"/>
      <c r="J633" s="267"/>
    </row>
    <row r="634">
      <c r="A634" s="266">
        <v>100.0</v>
      </c>
      <c r="B634" s="266"/>
      <c r="C634" s="266">
        <v>5.0</v>
      </c>
      <c r="D634" s="266" t="s">
        <v>6853</v>
      </c>
      <c r="E634" s="266"/>
      <c r="F634" s="266"/>
      <c r="G634" s="266" t="s">
        <v>6304</v>
      </c>
      <c r="H634" s="266" t="s">
        <v>552</v>
      </c>
      <c r="I634" s="266"/>
      <c r="J634" s="266"/>
      <c r="K634" s="1"/>
      <c r="L634" s="1"/>
    </row>
    <row r="635">
      <c r="A635" s="266">
        <v>200.0</v>
      </c>
      <c r="B635" s="266"/>
      <c r="C635" s="266">
        <v>5.0</v>
      </c>
      <c r="D635" s="266" t="s">
        <v>5268</v>
      </c>
      <c r="E635" s="266"/>
      <c r="F635" s="266"/>
      <c r="G635" s="266" t="s">
        <v>6304</v>
      </c>
      <c r="H635" s="266" t="s">
        <v>5245</v>
      </c>
      <c r="I635" s="266" t="s">
        <v>6305</v>
      </c>
      <c r="J635" s="266"/>
      <c r="K635" s="1"/>
      <c r="L635" s="1"/>
    </row>
    <row r="636">
      <c r="A636" s="266">
        <v>300.0</v>
      </c>
      <c r="B636" s="266"/>
      <c r="C636" s="266">
        <v>5.0</v>
      </c>
      <c r="D636" s="266" t="s">
        <v>5269</v>
      </c>
      <c r="E636" s="266"/>
      <c r="F636" s="266"/>
      <c r="G636" s="266" t="s">
        <v>6304</v>
      </c>
      <c r="H636" s="266" t="s">
        <v>560</v>
      </c>
      <c r="I636" s="266"/>
      <c r="J636" s="266"/>
      <c r="K636" s="1"/>
      <c r="L636" s="1"/>
    </row>
    <row r="637">
      <c r="A637" s="266">
        <v>400.0</v>
      </c>
      <c r="B637" s="266"/>
      <c r="C637" s="266">
        <v>5.0</v>
      </c>
      <c r="D637" s="266" t="s">
        <v>6854</v>
      </c>
      <c r="E637" s="266"/>
      <c r="F637" s="266"/>
      <c r="G637" s="266" t="s">
        <v>6304</v>
      </c>
      <c r="H637" s="266" t="s">
        <v>552</v>
      </c>
      <c r="I637" s="266"/>
      <c r="J637" s="266"/>
      <c r="K637" s="1"/>
      <c r="L637" s="1"/>
    </row>
    <row r="638">
      <c r="A638" s="266">
        <v>500.0</v>
      </c>
      <c r="B638" s="266"/>
      <c r="C638" s="266">
        <v>5.0</v>
      </c>
      <c r="D638" s="266" t="s">
        <v>6855</v>
      </c>
      <c r="E638" s="266"/>
      <c r="F638" s="266"/>
      <c r="G638" s="266" t="s">
        <v>6304</v>
      </c>
      <c r="H638" s="266" t="s">
        <v>560</v>
      </c>
      <c r="I638" s="266"/>
      <c r="J638" s="266"/>
      <c r="K638" s="1"/>
      <c r="L638" s="1"/>
    </row>
    <row r="639">
      <c r="A639" s="266">
        <v>600.0</v>
      </c>
      <c r="B639" s="266"/>
      <c r="C639" s="266">
        <v>5.0</v>
      </c>
      <c r="D639" s="266" t="s">
        <v>6856</v>
      </c>
      <c r="E639" s="266"/>
      <c r="F639" s="266"/>
      <c r="G639" s="266" t="s">
        <v>6304</v>
      </c>
      <c r="H639" s="266" t="s">
        <v>558</v>
      </c>
      <c r="I639" s="266" t="s">
        <v>6305</v>
      </c>
      <c r="J639" s="266"/>
      <c r="K639" s="1"/>
      <c r="L639" s="1"/>
    </row>
    <row r="640">
      <c r="A640" s="266">
        <v>700.0</v>
      </c>
      <c r="B640" s="266"/>
      <c r="C640" s="266">
        <v>5.0</v>
      </c>
      <c r="D640" s="266" t="s">
        <v>5136</v>
      </c>
      <c r="E640" s="266"/>
      <c r="F640" s="266"/>
      <c r="G640" s="266" t="s">
        <v>6304</v>
      </c>
      <c r="H640" s="266" t="s">
        <v>552</v>
      </c>
      <c r="I640" s="266"/>
      <c r="J640" s="266"/>
      <c r="K640" s="1"/>
      <c r="L640" s="1"/>
    </row>
    <row r="641">
      <c r="A641" s="266">
        <v>800.0</v>
      </c>
      <c r="B641" s="266"/>
      <c r="C641" s="266">
        <v>5.0</v>
      </c>
      <c r="D641" s="266" t="s">
        <v>6857</v>
      </c>
      <c r="E641" s="266"/>
      <c r="F641" s="266"/>
      <c r="G641" s="266" t="s">
        <v>6304</v>
      </c>
      <c r="H641" s="266" t="s">
        <v>552</v>
      </c>
      <c r="I641" s="266"/>
      <c r="J641" s="266"/>
      <c r="K641" s="1"/>
      <c r="L641" s="1"/>
    </row>
    <row r="642">
      <c r="A642" s="266">
        <v>900.0</v>
      </c>
      <c r="B642" s="266"/>
      <c r="C642" s="266">
        <v>5.0</v>
      </c>
      <c r="D642" s="266" t="s">
        <v>6306</v>
      </c>
      <c r="E642" s="266"/>
      <c r="F642" s="266"/>
      <c r="G642" s="266" t="s">
        <v>6304</v>
      </c>
      <c r="H642" s="266" t="s">
        <v>6760</v>
      </c>
      <c r="I642" s="266"/>
      <c r="J642" s="266"/>
      <c r="K642" s="1"/>
      <c r="L642" s="1"/>
    </row>
    <row r="643">
      <c r="A643" s="266">
        <v>50.0</v>
      </c>
      <c r="B643" s="266">
        <v>1.0</v>
      </c>
      <c r="C643" s="266"/>
      <c r="D643" s="266" t="s">
        <v>6858</v>
      </c>
      <c r="E643" s="266"/>
      <c r="F643" s="266"/>
      <c r="G643" s="266"/>
      <c r="H643" s="266"/>
      <c r="I643" s="266"/>
      <c r="J643" s="267"/>
    </row>
    <row r="644">
      <c r="A644" s="266">
        <v>100.0</v>
      </c>
      <c r="B644" s="266"/>
      <c r="C644" s="266">
        <v>5.0</v>
      </c>
      <c r="D644" s="266" t="s">
        <v>5260</v>
      </c>
      <c r="E644" s="266"/>
      <c r="F644" s="266"/>
      <c r="G644" s="266" t="s">
        <v>6304</v>
      </c>
      <c r="H644" s="266" t="s">
        <v>551</v>
      </c>
      <c r="I644" s="266"/>
      <c r="J644" s="266"/>
      <c r="K644" s="1"/>
      <c r="L644" s="1"/>
    </row>
    <row r="645">
      <c r="A645" s="266">
        <v>200.0</v>
      </c>
      <c r="B645" s="266"/>
      <c r="C645" s="266">
        <v>5.0</v>
      </c>
      <c r="D645" s="266" t="s">
        <v>6859</v>
      </c>
      <c r="E645" s="266"/>
      <c r="F645" s="266"/>
      <c r="G645" s="266" t="s">
        <v>6304</v>
      </c>
      <c r="H645" s="266" t="s">
        <v>544</v>
      </c>
      <c r="I645" s="266" t="s">
        <v>6305</v>
      </c>
      <c r="J645" s="266"/>
      <c r="K645" s="1"/>
      <c r="L645" s="1"/>
    </row>
    <row r="646">
      <c r="A646" s="266">
        <v>300.0</v>
      </c>
      <c r="B646" s="266"/>
      <c r="C646" s="266">
        <v>5.0</v>
      </c>
      <c r="D646" s="266" t="s">
        <v>6860</v>
      </c>
      <c r="E646" s="266"/>
      <c r="F646" s="266"/>
      <c r="G646" s="266" t="s">
        <v>6304</v>
      </c>
      <c r="H646" s="266" t="s">
        <v>4104</v>
      </c>
      <c r="I646" s="266" t="s">
        <v>6305</v>
      </c>
      <c r="J646" s="266"/>
      <c r="K646" s="1"/>
      <c r="L646" s="1"/>
    </row>
    <row r="647">
      <c r="A647" s="266">
        <v>400.0</v>
      </c>
      <c r="B647" s="266"/>
      <c r="C647" s="266">
        <v>5.0</v>
      </c>
      <c r="D647" s="266" t="s">
        <v>6861</v>
      </c>
      <c r="E647" s="266" t="s">
        <v>6479</v>
      </c>
      <c r="F647" s="266">
        <v>4.0</v>
      </c>
      <c r="G647" s="266" t="s">
        <v>6304</v>
      </c>
      <c r="H647" s="266" t="s">
        <v>4104</v>
      </c>
      <c r="I647" s="266" t="s">
        <v>6305</v>
      </c>
      <c r="J647" s="267"/>
    </row>
    <row r="648">
      <c r="A648" s="266">
        <v>500.0</v>
      </c>
      <c r="B648" s="266"/>
      <c r="C648" s="266">
        <v>5.0</v>
      </c>
      <c r="D648" s="266" t="s">
        <v>6862</v>
      </c>
      <c r="E648" s="266"/>
      <c r="F648" s="266"/>
      <c r="G648" s="266" t="s">
        <v>6304</v>
      </c>
      <c r="H648" s="266" t="s">
        <v>544</v>
      </c>
      <c r="I648" s="266" t="s">
        <v>6305</v>
      </c>
      <c r="J648" s="266"/>
      <c r="K648" s="1"/>
      <c r="L648" s="1"/>
    </row>
    <row r="649">
      <c r="A649" s="266">
        <v>600.0</v>
      </c>
      <c r="B649" s="266"/>
      <c r="C649" s="266">
        <v>5.0</v>
      </c>
      <c r="D649" s="266" t="s">
        <v>6863</v>
      </c>
      <c r="E649" s="266"/>
      <c r="F649" s="266"/>
      <c r="G649" s="266" t="s">
        <v>6304</v>
      </c>
      <c r="H649" s="266" t="s">
        <v>544</v>
      </c>
      <c r="I649" s="266" t="s">
        <v>6305</v>
      </c>
      <c r="J649" s="266"/>
      <c r="K649" s="1"/>
      <c r="L649" s="1"/>
    </row>
    <row r="650">
      <c r="A650" s="266">
        <v>700.0</v>
      </c>
      <c r="B650" s="266"/>
      <c r="C650" s="266">
        <v>5.0</v>
      </c>
      <c r="D650" s="266" t="s">
        <v>6864</v>
      </c>
      <c r="E650" s="266"/>
      <c r="F650" s="266"/>
      <c r="G650" s="266" t="s">
        <v>6304</v>
      </c>
      <c r="H650" s="266" t="s">
        <v>544</v>
      </c>
      <c r="I650" s="266" t="s">
        <v>6305</v>
      </c>
      <c r="J650" s="266"/>
      <c r="K650" s="1"/>
      <c r="L650" s="1"/>
    </row>
    <row r="651">
      <c r="A651" s="266">
        <v>800.0</v>
      </c>
      <c r="B651" s="266"/>
      <c r="C651" s="266">
        <v>5.0</v>
      </c>
      <c r="D651" s="266" t="s">
        <v>6865</v>
      </c>
      <c r="E651" s="266"/>
      <c r="F651" s="266"/>
      <c r="G651" s="266" t="s">
        <v>6304</v>
      </c>
      <c r="H651" s="266" t="s">
        <v>544</v>
      </c>
      <c r="I651" s="266" t="s">
        <v>6305</v>
      </c>
      <c r="J651" s="266"/>
      <c r="K651" s="1"/>
      <c r="L651" s="1"/>
    </row>
    <row r="652">
      <c r="A652" s="266">
        <v>50.0</v>
      </c>
      <c r="B652" s="266">
        <v>1.0</v>
      </c>
      <c r="C652" s="266"/>
      <c r="D652" s="266" t="s">
        <v>6866</v>
      </c>
      <c r="E652" s="266"/>
      <c r="F652" s="266"/>
      <c r="G652" s="266"/>
      <c r="H652" s="266"/>
      <c r="I652" s="266"/>
      <c r="J652" s="267"/>
    </row>
    <row r="653">
      <c r="A653" s="266">
        <v>100.0</v>
      </c>
      <c r="B653" s="266"/>
      <c r="C653" s="266">
        <v>5.0</v>
      </c>
      <c r="D653" s="266" t="s">
        <v>5260</v>
      </c>
      <c r="E653" s="266"/>
      <c r="F653" s="266"/>
      <c r="G653" s="266" t="s">
        <v>6304</v>
      </c>
      <c r="H653" s="266" t="s">
        <v>551</v>
      </c>
      <c r="I653" s="266"/>
      <c r="J653" s="266"/>
      <c r="K653" s="1"/>
      <c r="L653" s="1"/>
    </row>
    <row r="654">
      <c r="A654" s="266">
        <v>200.0</v>
      </c>
      <c r="B654" s="266"/>
      <c r="C654" s="266">
        <v>5.0</v>
      </c>
      <c r="D654" s="266" t="s">
        <v>576</v>
      </c>
      <c r="E654" s="266"/>
      <c r="F654" s="266"/>
      <c r="G654" s="266" t="s">
        <v>6304</v>
      </c>
      <c r="H654" s="266" t="s">
        <v>551</v>
      </c>
      <c r="I654" s="266"/>
      <c r="J654" s="266"/>
      <c r="K654" s="1"/>
      <c r="L654" s="1"/>
    </row>
    <row r="655">
      <c r="A655" s="266">
        <v>300.0</v>
      </c>
      <c r="B655" s="266"/>
      <c r="C655" s="266">
        <v>5.0</v>
      </c>
      <c r="D655" s="266" t="s">
        <v>5261</v>
      </c>
      <c r="E655" s="266"/>
      <c r="F655" s="266"/>
      <c r="G655" s="266" t="s">
        <v>6304</v>
      </c>
      <c r="H655" s="266" t="s">
        <v>552</v>
      </c>
      <c r="I655" s="266"/>
      <c r="J655" s="266"/>
      <c r="K655" s="1"/>
      <c r="L655" s="1"/>
    </row>
    <row r="656">
      <c r="A656" s="266">
        <v>400.0</v>
      </c>
      <c r="B656" s="266"/>
      <c r="C656" s="266">
        <v>5.0</v>
      </c>
      <c r="D656" s="266" t="s">
        <v>6867</v>
      </c>
      <c r="E656" s="266"/>
      <c r="F656" s="266"/>
      <c r="G656" s="266"/>
      <c r="H656" s="266"/>
      <c r="I656" s="266"/>
      <c r="J656" s="267"/>
    </row>
    <row r="657">
      <c r="A657" s="266">
        <v>500.0</v>
      </c>
      <c r="B657" s="266"/>
      <c r="C657" s="266">
        <v>10.0</v>
      </c>
      <c r="D657" s="266" t="s">
        <v>5262</v>
      </c>
      <c r="E657" s="266"/>
      <c r="F657" s="266"/>
      <c r="G657" s="266" t="s">
        <v>6304</v>
      </c>
      <c r="H657" s="266" t="s">
        <v>557</v>
      </c>
      <c r="I657" s="266"/>
      <c r="J657" s="266"/>
      <c r="K657" s="1"/>
      <c r="L657" s="1"/>
    </row>
    <row r="658">
      <c r="A658" s="266">
        <v>600.0</v>
      </c>
      <c r="B658" s="266"/>
      <c r="C658" s="266">
        <v>88.0</v>
      </c>
      <c r="D658" s="266" t="s">
        <v>6868</v>
      </c>
      <c r="E658" s="266" t="s">
        <v>6621</v>
      </c>
      <c r="F658" s="269" t="s">
        <v>6622</v>
      </c>
      <c r="G658" s="266"/>
      <c r="H658" s="266"/>
      <c r="I658" s="266"/>
      <c r="J658" s="267"/>
    </row>
    <row r="659">
      <c r="A659" s="266">
        <v>700.0</v>
      </c>
      <c r="B659" s="266"/>
      <c r="C659" s="266">
        <v>88.0</v>
      </c>
      <c r="D659" s="266" t="s">
        <v>6869</v>
      </c>
      <c r="E659" s="266" t="s">
        <v>6621</v>
      </c>
      <c r="F659" s="269" t="s">
        <v>6624</v>
      </c>
      <c r="G659" s="266"/>
      <c r="H659" s="266"/>
      <c r="I659" s="266"/>
      <c r="J659" s="267"/>
    </row>
    <row r="660">
      <c r="A660" s="266">
        <v>800.0</v>
      </c>
      <c r="B660" s="266"/>
      <c r="C660" s="266">
        <v>88.0</v>
      </c>
      <c r="D660" s="266" t="s">
        <v>6870</v>
      </c>
      <c r="E660" s="266" t="s">
        <v>6621</v>
      </c>
      <c r="F660" s="269" t="s">
        <v>6626</v>
      </c>
      <c r="G660" s="266"/>
      <c r="H660" s="266"/>
      <c r="I660" s="266"/>
      <c r="J660" s="267"/>
    </row>
    <row r="661">
      <c r="A661" s="266">
        <v>900.0</v>
      </c>
      <c r="B661" s="266"/>
      <c r="C661" s="266">
        <v>88.0</v>
      </c>
      <c r="D661" s="266" t="s">
        <v>6871</v>
      </c>
      <c r="E661" s="266" t="s">
        <v>6621</v>
      </c>
      <c r="F661" s="269" t="s">
        <v>6628</v>
      </c>
      <c r="G661" s="266"/>
      <c r="H661" s="266"/>
      <c r="I661" s="266"/>
      <c r="J661" s="267"/>
    </row>
    <row r="662">
      <c r="A662" s="266">
        <v>1000.0</v>
      </c>
      <c r="B662" s="266"/>
      <c r="C662" s="266">
        <v>88.0</v>
      </c>
      <c r="D662" s="266" t="s">
        <v>6872</v>
      </c>
      <c r="E662" s="266" t="s">
        <v>6621</v>
      </c>
      <c r="F662" s="269" t="s">
        <v>6630</v>
      </c>
      <c r="G662" s="266"/>
      <c r="H662" s="266"/>
      <c r="I662" s="266"/>
      <c r="J662" s="267"/>
    </row>
    <row r="663">
      <c r="A663" s="266">
        <v>1100.0</v>
      </c>
      <c r="B663" s="266"/>
      <c r="C663" s="266">
        <v>88.0</v>
      </c>
      <c r="D663" s="266" t="s">
        <v>6873</v>
      </c>
      <c r="E663" s="266" t="s">
        <v>6621</v>
      </c>
      <c r="F663" s="269" t="s">
        <v>6632</v>
      </c>
      <c r="G663" s="266"/>
      <c r="H663" s="266"/>
      <c r="I663" s="266"/>
      <c r="J663" s="267"/>
    </row>
    <row r="664">
      <c r="A664" s="266">
        <v>1200.0</v>
      </c>
      <c r="B664" s="266"/>
      <c r="C664" s="266">
        <v>10.0</v>
      </c>
      <c r="D664" s="266" t="s">
        <v>6874</v>
      </c>
      <c r="E664" s="266"/>
      <c r="F664" s="266"/>
      <c r="G664" s="266"/>
      <c r="H664" s="266"/>
      <c r="I664" s="266"/>
      <c r="J664" s="267"/>
    </row>
    <row r="665">
      <c r="A665" s="266">
        <v>1300.0</v>
      </c>
      <c r="B665" s="266"/>
      <c r="C665" s="266">
        <v>15.0</v>
      </c>
      <c r="D665" s="266" t="s">
        <v>5263</v>
      </c>
      <c r="E665" s="266"/>
      <c r="F665" s="266"/>
      <c r="G665" s="266" t="s">
        <v>6304</v>
      </c>
      <c r="H665" s="266" t="s">
        <v>551</v>
      </c>
      <c r="I665" s="266"/>
      <c r="J665" s="266"/>
      <c r="K665" s="1"/>
      <c r="L665" s="1"/>
    </row>
    <row r="666">
      <c r="A666" s="266">
        <v>1400.0</v>
      </c>
      <c r="B666" s="266"/>
      <c r="C666" s="266">
        <v>15.0</v>
      </c>
      <c r="D666" s="266" t="s">
        <v>5264</v>
      </c>
      <c r="E666" s="266"/>
      <c r="F666" s="266"/>
      <c r="G666" s="266" t="s">
        <v>6304</v>
      </c>
      <c r="H666" s="266" t="s">
        <v>556</v>
      </c>
      <c r="I666" s="266"/>
      <c r="J666" s="266"/>
      <c r="K666" s="1"/>
      <c r="L666" s="1"/>
    </row>
    <row r="667">
      <c r="A667" s="266">
        <v>1500.0</v>
      </c>
      <c r="B667" s="266"/>
      <c r="C667" s="266">
        <v>15.0</v>
      </c>
      <c r="D667" s="266" t="s">
        <v>5265</v>
      </c>
      <c r="E667" s="266" t="s">
        <v>6603</v>
      </c>
      <c r="F667" s="266" t="s">
        <v>5264</v>
      </c>
      <c r="G667" s="266" t="s">
        <v>6304</v>
      </c>
      <c r="H667" s="266" t="s">
        <v>556</v>
      </c>
      <c r="I667" s="266"/>
      <c r="J667" s="267"/>
    </row>
    <row r="668">
      <c r="A668" s="266">
        <v>1600.0</v>
      </c>
      <c r="B668" s="266"/>
      <c r="C668" s="266">
        <v>5.0</v>
      </c>
      <c r="D668" s="266" t="s">
        <v>6875</v>
      </c>
      <c r="E668" s="266"/>
      <c r="F668" s="266"/>
      <c r="G668" s="266"/>
      <c r="H668" s="266"/>
      <c r="I668" s="266"/>
      <c r="J668" s="267"/>
    </row>
    <row r="669">
      <c r="A669" s="266">
        <v>1700.0</v>
      </c>
      <c r="B669" s="266"/>
      <c r="C669" s="266">
        <v>10.0</v>
      </c>
      <c r="D669" s="266" t="s">
        <v>3802</v>
      </c>
      <c r="E669" s="266"/>
      <c r="F669" s="266"/>
      <c r="G669" s="266" t="s">
        <v>6304</v>
      </c>
      <c r="H669" s="266" t="s">
        <v>551</v>
      </c>
      <c r="I669" s="266"/>
      <c r="J669" s="266"/>
      <c r="K669" s="1"/>
      <c r="L669" s="1"/>
    </row>
    <row r="670">
      <c r="A670" s="266">
        <v>1800.0</v>
      </c>
      <c r="B670" s="266"/>
      <c r="C670" s="266">
        <v>10.0</v>
      </c>
      <c r="D670" s="266" t="s">
        <v>3803</v>
      </c>
      <c r="E670" s="266"/>
      <c r="F670" s="266"/>
      <c r="G670" s="266" t="s">
        <v>6304</v>
      </c>
      <c r="H670" s="266" t="s">
        <v>556</v>
      </c>
      <c r="I670" s="266"/>
      <c r="J670" s="266"/>
      <c r="K670" s="1"/>
      <c r="L670" s="1"/>
    </row>
    <row r="671">
      <c r="A671" s="266">
        <v>1900.0</v>
      </c>
      <c r="B671" s="266"/>
      <c r="C671" s="266">
        <v>10.0</v>
      </c>
      <c r="D671" s="266" t="s">
        <v>3804</v>
      </c>
      <c r="E671" s="266"/>
      <c r="F671" s="266"/>
      <c r="G671" s="266" t="s">
        <v>6304</v>
      </c>
      <c r="H671" s="266" t="s">
        <v>5243</v>
      </c>
      <c r="I671" s="266"/>
      <c r="J671" s="266"/>
      <c r="K671" s="1"/>
      <c r="L671" s="1"/>
    </row>
    <row r="672">
      <c r="A672" s="266">
        <v>2000.0</v>
      </c>
      <c r="B672" s="266"/>
      <c r="C672" s="266">
        <v>5.0</v>
      </c>
      <c r="D672" s="266" t="s">
        <v>575</v>
      </c>
      <c r="E672" s="266"/>
      <c r="F672" s="266"/>
      <c r="G672" s="266" t="s">
        <v>6304</v>
      </c>
      <c r="H672" s="266" t="s">
        <v>551</v>
      </c>
      <c r="I672" s="266"/>
      <c r="J672" s="266"/>
      <c r="K672" s="1"/>
      <c r="L672" s="1"/>
    </row>
    <row r="673">
      <c r="A673" s="266">
        <v>2100.0</v>
      </c>
      <c r="B673" s="266"/>
      <c r="C673" s="266">
        <v>5.0</v>
      </c>
      <c r="D673" s="266" t="s">
        <v>5266</v>
      </c>
      <c r="E673" s="266"/>
      <c r="F673" s="266"/>
      <c r="G673" s="266" t="s">
        <v>6304</v>
      </c>
      <c r="H673" s="266" t="s">
        <v>552</v>
      </c>
      <c r="I673" s="266"/>
      <c r="J673" s="266"/>
      <c r="K673" s="1"/>
      <c r="L673" s="1"/>
    </row>
    <row r="674">
      <c r="A674" s="266">
        <v>2200.0</v>
      </c>
      <c r="B674" s="266"/>
      <c r="C674" s="266">
        <v>5.0</v>
      </c>
      <c r="D674" s="266" t="s">
        <v>5267</v>
      </c>
      <c r="E674" s="266" t="s">
        <v>6479</v>
      </c>
      <c r="F674" s="266">
        <v>4.0</v>
      </c>
      <c r="G674" s="266" t="s">
        <v>6304</v>
      </c>
      <c r="H674" s="266" t="s">
        <v>5244</v>
      </c>
      <c r="I674" s="266"/>
      <c r="J674" s="267"/>
    </row>
    <row r="675">
      <c r="A675" s="266">
        <v>2300.0</v>
      </c>
      <c r="B675" s="266"/>
      <c r="C675" s="266">
        <v>5.0</v>
      </c>
      <c r="D675" s="266" t="s">
        <v>5268</v>
      </c>
      <c r="E675" s="266"/>
      <c r="F675" s="266"/>
      <c r="G675" s="266" t="s">
        <v>6304</v>
      </c>
      <c r="H675" s="266" t="s">
        <v>5245</v>
      </c>
      <c r="I675" s="266" t="s">
        <v>6305</v>
      </c>
      <c r="J675" s="266"/>
      <c r="K675" s="1"/>
      <c r="L675" s="1"/>
    </row>
    <row r="676">
      <c r="A676" s="266">
        <v>2400.0</v>
      </c>
      <c r="B676" s="266"/>
      <c r="C676" s="266">
        <v>5.0</v>
      </c>
      <c r="D676" s="266" t="s">
        <v>5269</v>
      </c>
      <c r="E676" s="266"/>
      <c r="F676" s="266"/>
      <c r="G676" s="266" t="s">
        <v>6304</v>
      </c>
      <c r="H676" s="266" t="s">
        <v>560</v>
      </c>
      <c r="I676" s="266"/>
      <c r="J676" s="266"/>
      <c r="K676" s="1"/>
      <c r="L676" s="1"/>
    </row>
    <row r="677">
      <c r="A677" s="266">
        <v>2500.0</v>
      </c>
      <c r="B677" s="266"/>
      <c r="C677" s="266">
        <v>5.0</v>
      </c>
      <c r="D677" s="266" t="s">
        <v>5139</v>
      </c>
      <c r="E677" s="266"/>
      <c r="F677" s="266"/>
      <c r="G677" s="266" t="s">
        <v>6304</v>
      </c>
      <c r="H677" s="266" t="s">
        <v>551</v>
      </c>
      <c r="I677" s="266"/>
      <c r="J677" s="266"/>
      <c r="K677" s="1"/>
      <c r="L677" s="1"/>
    </row>
    <row r="678">
      <c r="A678" s="266">
        <v>2600.0</v>
      </c>
      <c r="B678" s="266"/>
      <c r="C678" s="266">
        <v>5.0</v>
      </c>
      <c r="D678" s="266" t="s">
        <v>5270</v>
      </c>
      <c r="E678" s="266"/>
      <c r="F678" s="266"/>
      <c r="G678" s="266" t="s">
        <v>6304</v>
      </c>
      <c r="H678" s="266" t="s">
        <v>551</v>
      </c>
      <c r="I678" s="266"/>
      <c r="J678" s="266"/>
      <c r="K678" s="1"/>
      <c r="L678" s="1"/>
    </row>
    <row r="679">
      <c r="A679" s="266">
        <v>2700.0</v>
      </c>
      <c r="B679" s="266"/>
      <c r="C679" s="266">
        <v>5.0</v>
      </c>
      <c r="D679" s="266" t="s">
        <v>514</v>
      </c>
      <c r="E679" s="266"/>
      <c r="F679" s="266"/>
      <c r="G679" s="266" t="s">
        <v>6304</v>
      </c>
      <c r="H679" s="266" t="s">
        <v>551</v>
      </c>
      <c r="I679" s="266"/>
      <c r="J679" s="266"/>
      <c r="K679" s="1"/>
      <c r="L679" s="1"/>
    </row>
    <row r="680">
      <c r="A680" s="266">
        <v>2800.0</v>
      </c>
      <c r="B680" s="266"/>
      <c r="C680" s="266">
        <v>5.0</v>
      </c>
      <c r="D680" s="266" t="s">
        <v>6306</v>
      </c>
      <c r="E680" s="266"/>
      <c r="F680" s="266"/>
      <c r="G680" s="266" t="s">
        <v>6304</v>
      </c>
      <c r="H680" s="266" t="s">
        <v>6876</v>
      </c>
      <c r="I680" s="266"/>
      <c r="J680" s="266"/>
      <c r="K680" s="1"/>
      <c r="L680" s="1"/>
    </row>
    <row r="681">
      <c r="A681" s="266">
        <v>50.0</v>
      </c>
      <c r="B681" s="266">
        <v>1.0</v>
      </c>
      <c r="C681" s="266"/>
      <c r="D681" s="266" t="s">
        <v>6877</v>
      </c>
      <c r="E681" s="266"/>
      <c r="F681" s="266"/>
      <c r="G681" s="266"/>
      <c r="H681" s="266"/>
      <c r="I681" s="266"/>
      <c r="J681" s="267"/>
    </row>
    <row r="682">
      <c r="A682" s="266">
        <v>100.0</v>
      </c>
      <c r="B682" s="266"/>
      <c r="C682" s="266">
        <v>5.0</v>
      </c>
      <c r="D682" s="266" t="s">
        <v>5260</v>
      </c>
      <c r="E682" s="266"/>
      <c r="F682" s="266"/>
      <c r="G682" s="266" t="s">
        <v>6304</v>
      </c>
      <c r="H682" s="266" t="s">
        <v>551</v>
      </c>
      <c r="I682" s="266"/>
      <c r="J682" s="266"/>
      <c r="K682" s="1"/>
      <c r="L682" s="1"/>
    </row>
    <row r="683">
      <c r="A683" s="266">
        <v>200.0</v>
      </c>
      <c r="B683" s="266"/>
      <c r="C683" s="266">
        <v>5.0</v>
      </c>
      <c r="D683" s="266" t="s">
        <v>576</v>
      </c>
      <c r="E683" s="266"/>
      <c r="F683" s="266"/>
      <c r="G683" s="266" t="s">
        <v>6304</v>
      </c>
      <c r="H683" s="266" t="s">
        <v>551</v>
      </c>
      <c r="I683" s="266"/>
      <c r="J683" s="266"/>
      <c r="K683" s="1"/>
      <c r="L683" s="1"/>
    </row>
    <row r="684">
      <c r="A684" s="266">
        <v>300.0</v>
      </c>
      <c r="B684" s="266"/>
      <c r="C684" s="266">
        <v>5.0</v>
      </c>
      <c r="D684" s="266" t="s">
        <v>6874</v>
      </c>
      <c r="E684" s="266"/>
      <c r="F684" s="266"/>
      <c r="G684" s="266"/>
      <c r="H684" s="266"/>
      <c r="I684" s="266"/>
      <c r="J684" s="267"/>
    </row>
    <row r="685">
      <c r="A685" s="266">
        <v>400.0</v>
      </c>
      <c r="B685" s="266"/>
      <c r="C685" s="266">
        <v>10.0</v>
      </c>
      <c r="D685" s="266" t="s">
        <v>5263</v>
      </c>
      <c r="E685" s="266"/>
      <c r="F685" s="266"/>
      <c r="G685" s="266" t="s">
        <v>6304</v>
      </c>
      <c r="H685" s="266" t="s">
        <v>551</v>
      </c>
      <c r="I685" s="266"/>
      <c r="J685" s="266"/>
      <c r="K685" s="1"/>
      <c r="L685" s="1"/>
    </row>
    <row r="686">
      <c r="A686" s="266">
        <v>500.0</v>
      </c>
      <c r="B686" s="266"/>
      <c r="C686" s="266">
        <v>10.0</v>
      </c>
      <c r="D686" s="266" t="s">
        <v>5264</v>
      </c>
      <c r="E686" s="266"/>
      <c r="F686" s="266"/>
      <c r="G686" s="266" t="s">
        <v>6304</v>
      </c>
      <c r="H686" s="266" t="s">
        <v>556</v>
      </c>
      <c r="I686" s="266"/>
      <c r="J686" s="266"/>
      <c r="K686" s="1"/>
      <c r="L686" s="1"/>
    </row>
    <row r="687">
      <c r="A687" s="266">
        <v>600.0</v>
      </c>
      <c r="B687" s="266"/>
      <c r="C687" s="266">
        <v>10.0</v>
      </c>
      <c r="D687" s="266" t="s">
        <v>5265</v>
      </c>
      <c r="E687" s="266" t="s">
        <v>6603</v>
      </c>
      <c r="F687" s="266" t="s">
        <v>5264</v>
      </c>
      <c r="G687" s="266" t="s">
        <v>6304</v>
      </c>
      <c r="H687" s="266" t="s">
        <v>556</v>
      </c>
      <c r="I687" s="266"/>
      <c r="J687" s="267"/>
    </row>
    <row r="688">
      <c r="A688" s="266">
        <v>700.0</v>
      </c>
      <c r="B688" s="266"/>
      <c r="C688" s="266">
        <v>5.0</v>
      </c>
      <c r="D688" s="266" t="s">
        <v>6875</v>
      </c>
      <c r="E688" s="266"/>
      <c r="F688" s="266"/>
      <c r="G688" s="266"/>
      <c r="H688" s="266"/>
      <c r="I688" s="266"/>
      <c r="J688" s="267"/>
    </row>
    <row r="689">
      <c r="A689" s="266">
        <v>800.0</v>
      </c>
      <c r="B689" s="266"/>
      <c r="C689" s="266">
        <v>10.0</v>
      </c>
      <c r="D689" s="266" t="s">
        <v>3802</v>
      </c>
      <c r="E689" s="266"/>
      <c r="F689" s="266"/>
      <c r="G689" s="266" t="s">
        <v>6304</v>
      </c>
      <c r="H689" s="266" t="s">
        <v>551</v>
      </c>
      <c r="I689" s="266"/>
      <c r="J689" s="266"/>
      <c r="K689" s="1"/>
      <c r="L689" s="1"/>
    </row>
    <row r="690">
      <c r="A690" s="266">
        <v>900.0</v>
      </c>
      <c r="B690" s="266"/>
      <c r="C690" s="266">
        <v>10.0</v>
      </c>
      <c r="D690" s="266" t="s">
        <v>3803</v>
      </c>
      <c r="E690" s="266"/>
      <c r="F690" s="266"/>
      <c r="G690" s="266" t="s">
        <v>6304</v>
      </c>
      <c r="H690" s="266" t="s">
        <v>556</v>
      </c>
      <c r="I690" s="266"/>
      <c r="J690" s="266"/>
      <c r="K690" s="1"/>
      <c r="L690" s="1"/>
    </row>
    <row r="691">
      <c r="A691" s="266">
        <v>1000.0</v>
      </c>
      <c r="B691" s="266"/>
      <c r="C691" s="266">
        <v>10.0</v>
      </c>
      <c r="D691" s="266" t="s">
        <v>3804</v>
      </c>
      <c r="E691" s="266"/>
      <c r="F691" s="266"/>
      <c r="G691" s="266" t="s">
        <v>6304</v>
      </c>
      <c r="H691" s="266" t="s">
        <v>5243</v>
      </c>
      <c r="I691" s="266"/>
      <c r="J691" s="266"/>
      <c r="K691" s="1"/>
      <c r="L691" s="1"/>
    </row>
    <row r="692">
      <c r="A692" s="266">
        <v>1100.0</v>
      </c>
      <c r="B692" s="266"/>
      <c r="C692" s="266">
        <v>5.0</v>
      </c>
      <c r="D692" s="266" t="s">
        <v>575</v>
      </c>
      <c r="E692" s="266"/>
      <c r="F692" s="266"/>
      <c r="G692" s="266" t="s">
        <v>6304</v>
      </c>
      <c r="H692" s="266" t="s">
        <v>551</v>
      </c>
      <c r="I692" s="266"/>
      <c r="J692" s="266"/>
      <c r="K692" s="1"/>
      <c r="L692" s="1"/>
    </row>
    <row r="693">
      <c r="A693" s="266">
        <v>1200.0</v>
      </c>
      <c r="B693" s="266"/>
      <c r="C693" s="266">
        <v>5.0</v>
      </c>
      <c r="D693" s="266" t="s">
        <v>5266</v>
      </c>
      <c r="E693" s="266"/>
      <c r="F693" s="266"/>
      <c r="G693" s="266" t="s">
        <v>6304</v>
      </c>
      <c r="H693" s="266" t="s">
        <v>552</v>
      </c>
      <c r="I693" s="266"/>
      <c r="J693" s="266"/>
      <c r="K693" s="1"/>
      <c r="L693" s="1"/>
    </row>
    <row r="694">
      <c r="A694" s="266">
        <v>1300.0</v>
      </c>
      <c r="B694" s="266"/>
      <c r="C694" s="266">
        <v>5.0</v>
      </c>
      <c r="D694" s="266" t="s">
        <v>5267</v>
      </c>
      <c r="E694" s="266" t="s">
        <v>6479</v>
      </c>
      <c r="F694" s="266">
        <v>2.0</v>
      </c>
      <c r="G694" s="266" t="s">
        <v>6304</v>
      </c>
      <c r="H694" s="266" t="s">
        <v>5244</v>
      </c>
      <c r="I694" s="266"/>
      <c r="J694" s="267"/>
    </row>
    <row r="695">
      <c r="A695" s="266">
        <v>1400.0</v>
      </c>
      <c r="B695" s="266"/>
      <c r="C695" s="266">
        <v>5.0</v>
      </c>
      <c r="D695" s="266" t="s">
        <v>5268</v>
      </c>
      <c r="E695" s="266"/>
      <c r="F695" s="266"/>
      <c r="G695" s="266" t="s">
        <v>6304</v>
      </c>
      <c r="H695" s="266" t="s">
        <v>5245</v>
      </c>
      <c r="I695" s="266" t="s">
        <v>6305</v>
      </c>
      <c r="J695" s="266"/>
      <c r="K695" s="1"/>
      <c r="L695" s="1"/>
    </row>
    <row r="696">
      <c r="A696" s="266">
        <v>1500.0</v>
      </c>
      <c r="B696" s="266"/>
      <c r="C696" s="266">
        <v>5.0</v>
      </c>
      <c r="D696" s="266" t="s">
        <v>5269</v>
      </c>
      <c r="E696" s="266"/>
      <c r="F696" s="266"/>
      <c r="G696" s="266" t="s">
        <v>6304</v>
      </c>
      <c r="H696" s="266" t="s">
        <v>560</v>
      </c>
      <c r="I696" s="266"/>
      <c r="J696" s="266"/>
      <c r="K696" s="1"/>
      <c r="L696" s="1"/>
    </row>
    <row r="697">
      <c r="A697" s="266">
        <v>1600.0</v>
      </c>
      <c r="B697" s="266"/>
      <c r="C697" s="266">
        <v>5.0</v>
      </c>
      <c r="D697" s="266" t="s">
        <v>5139</v>
      </c>
      <c r="E697" s="266"/>
      <c r="F697" s="266"/>
      <c r="G697" s="266" t="s">
        <v>6304</v>
      </c>
      <c r="H697" s="266" t="s">
        <v>551</v>
      </c>
      <c r="I697" s="266"/>
      <c r="J697" s="266"/>
      <c r="K697" s="1"/>
      <c r="L697" s="1"/>
    </row>
    <row r="698">
      <c r="A698" s="266">
        <v>1700.0</v>
      </c>
      <c r="B698" s="266"/>
      <c r="C698" s="266">
        <v>5.0</v>
      </c>
      <c r="D698" s="266" t="s">
        <v>5270</v>
      </c>
      <c r="E698" s="266"/>
      <c r="F698" s="266"/>
      <c r="G698" s="266" t="s">
        <v>6304</v>
      </c>
      <c r="H698" s="266" t="s">
        <v>551</v>
      </c>
      <c r="I698" s="266"/>
      <c r="J698" s="266"/>
      <c r="K698" s="1"/>
      <c r="L698" s="1"/>
    </row>
    <row r="699">
      <c r="A699" s="266">
        <v>1800.0</v>
      </c>
      <c r="B699" s="266"/>
      <c r="C699" s="266">
        <v>5.0</v>
      </c>
      <c r="D699" s="266" t="s">
        <v>514</v>
      </c>
      <c r="E699" s="266"/>
      <c r="F699" s="266"/>
      <c r="G699" s="266" t="s">
        <v>6304</v>
      </c>
      <c r="H699" s="266" t="s">
        <v>551</v>
      </c>
      <c r="I699" s="266"/>
      <c r="J699" s="266"/>
      <c r="K699" s="1"/>
      <c r="L699" s="1"/>
    </row>
    <row r="700">
      <c r="A700" s="266">
        <v>1900.0</v>
      </c>
      <c r="B700" s="266"/>
      <c r="C700" s="266">
        <v>5.0</v>
      </c>
      <c r="D700" s="266" t="s">
        <v>5285</v>
      </c>
      <c r="E700" s="266"/>
      <c r="F700" s="266"/>
      <c r="G700" s="266" t="s">
        <v>6304</v>
      </c>
      <c r="H700" s="266" t="s">
        <v>5274</v>
      </c>
      <c r="I700" s="266"/>
      <c r="J700" s="266"/>
      <c r="K700" s="1"/>
      <c r="L700" s="1"/>
    </row>
    <row r="701">
      <c r="A701" s="266">
        <v>2000.0</v>
      </c>
      <c r="B701" s="266"/>
      <c r="C701" s="266">
        <v>5.0</v>
      </c>
      <c r="D701" s="266" t="s">
        <v>5286</v>
      </c>
      <c r="E701" s="266"/>
      <c r="F701" s="266"/>
      <c r="G701" s="266" t="s">
        <v>6304</v>
      </c>
      <c r="H701" s="266" t="s">
        <v>552</v>
      </c>
      <c r="I701" s="266"/>
      <c r="J701" s="266"/>
      <c r="K701" s="1"/>
      <c r="L701" s="1"/>
    </row>
    <row r="702">
      <c r="A702" s="266">
        <v>2100.0</v>
      </c>
      <c r="B702" s="266"/>
      <c r="C702" s="266">
        <v>5.0</v>
      </c>
      <c r="D702" s="266" t="s">
        <v>5287</v>
      </c>
      <c r="E702" s="266"/>
      <c r="F702" s="266"/>
      <c r="G702" s="266" t="s">
        <v>6304</v>
      </c>
      <c r="H702" s="266" t="s">
        <v>557</v>
      </c>
      <c r="I702" s="266"/>
      <c r="J702" s="266"/>
      <c r="K702" s="1"/>
      <c r="L702" s="1"/>
    </row>
    <row r="703">
      <c r="A703" s="266">
        <v>2200.0</v>
      </c>
      <c r="B703" s="266"/>
      <c r="C703" s="266">
        <v>5.0</v>
      </c>
      <c r="D703" s="266" t="s">
        <v>5288</v>
      </c>
      <c r="E703" s="266"/>
      <c r="F703" s="266"/>
      <c r="G703" s="266" t="s">
        <v>6304</v>
      </c>
      <c r="H703" s="266" t="s">
        <v>5275</v>
      </c>
      <c r="I703" s="266"/>
      <c r="J703" s="266"/>
      <c r="K703" s="1"/>
      <c r="L703" s="1"/>
    </row>
    <row r="704">
      <c r="A704" s="266">
        <v>2300.0</v>
      </c>
      <c r="B704" s="266"/>
      <c r="C704" s="266">
        <v>5.0</v>
      </c>
      <c r="D704" s="266" t="s">
        <v>4114</v>
      </c>
      <c r="E704" s="266"/>
      <c r="F704" s="266"/>
      <c r="G704" s="266" t="s">
        <v>6304</v>
      </c>
      <c r="H704" s="266" t="s">
        <v>551</v>
      </c>
      <c r="I704" s="266"/>
      <c r="J704" s="266"/>
      <c r="K704" s="1"/>
      <c r="L704" s="1"/>
    </row>
    <row r="705">
      <c r="A705" s="266">
        <v>2400.0</v>
      </c>
      <c r="B705" s="266"/>
      <c r="C705" s="266">
        <v>5.0</v>
      </c>
      <c r="D705" s="266" t="s">
        <v>5289</v>
      </c>
      <c r="E705" s="266"/>
      <c r="F705" s="266"/>
      <c r="G705" s="266" t="s">
        <v>6304</v>
      </c>
      <c r="H705" s="266" t="s">
        <v>551</v>
      </c>
      <c r="I705" s="266"/>
      <c r="J705" s="266"/>
      <c r="K705" s="1"/>
      <c r="L705" s="1"/>
    </row>
    <row r="706">
      <c r="A706" s="266">
        <v>2500.0</v>
      </c>
      <c r="B706" s="266"/>
      <c r="C706" s="266">
        <v>5.0</v>
      </c>
      <c r="D706" s="266" t="s">
        <v>5290</v>
      </c>
      <c r="E706" s="266"/>
      <c r="F706" s="266"/>
      <c r="G706" s="266" t="s">
        <v>6304</v>
      </c>
      <c r="H706" s="266" t="s">
        <v>551</v>
      </c>
      <c r="I706" s="266"/>
      <c r="J706" s="266"/>
      <c r="K706" s="1"/>
      <c r="L706" s="1"/>
    </row>
    <row r="707">
      <c r="A707" s="266">
        <v>2600.0</v>
      </c>
      <c r="B707" s="266"/>
      <c r="C707" s="266">
        <v>5.0</v>
      </c>
      <c r="D707" s="266" t="s">
        <v>3839</v>
      </c>
      <c r="E707" s="266"/>
      <c r="F707" s="266"/>
      <c r="G707" s="266" t="s">
        <v>6304</v>
      </c>
      <c r="H707" s="266" t="s">
        <v>555</v>
      </c>
      <c r="I707" s="266"/>
      <c r="J707" s="266"/>
      <c r="K707" s="1"/>
      <c r="L707" s="1"/>
    </row>
    <row r="708">
      <c r="A708" s="266">
        <v>2700.0</v>
      </c>
      <c r="B708" s="266"/>
      <c r="C708" s="266">
        <v>5.0</v>
      </c>
      <c r="D708" s="266" t="s">
        <v>5291</v>
      </c>
      <c r="E708" s="266"/>
      <c r="F708" s="266"/>
      <c r="G708" s="266" t="s">
        <v>6304</v>
      </c>
      <c r="H708" s="266" t="s">
        <v>14</v>
      </c>
      <c r="I708" s="266"/>
      <c r="J708" s="266"/>
      <c r="K708" s="1"/>
      <c r="L708" s="1"/>
    </row>
    <row r="709">
      <c r="A709" s="266">
        <v>2800.0</v>
      </c>
      <c r="B709" s="266"/>
      <c r="C709" s="266">
        <v>5.0</v>
      </c>
      <c r="D709" s="266" t="s">
        <v>6306</v>
      </c>
      <c r="E709" s="266"/>
      <c r="F709" s="266"/>
      <c r="G709" s="266" t="s">
        <v>6304</v>
      </c>
      <c r="H709" s="266" t="s">
        <v>15</v>
      </c>
      <c r="I709" s="266"/>
      <c r="J709" s="266"/>
      <c r="K709" s="1"/>
      <c r="L709" s="1"/>
    </row>
    <row r="710">
      <c r="A710" s="266">
        <v>50.0</v>
      </c>
      <c r="B710" s="266">
        <v>1.0</v>
      </c>
      <c r="C710" s="266"/>
      <c r="D710" s="266" t="s">
        <v>6878</v>
      </c>
      <c r="E710" s="266"/>
      <c r="F710" s="266"/>
      <c r="G710" s="266"/>
      <c r="H710" s="266"/>
      <c r="I710" s="266"/>
      <c r="J710" s="267"/>
    </row>
    <row r="711">
      <c r="A711" s="266">
        <v>100.0</v>
      </c>
      <c r="B711" s="266"/>
      <c r="C711" s="266">
        <v>5.0</v>
      </c>
      <c r="D711" s="266" t="s">
        <v>6875</v>
      </c>
      <c r="E711" s="266"/>
      <c r="F711" s="266"/>
      <c r="G711" s="266"/>
      <c r="H711" s="266"/>
      <c r="I711" s="266"/>
      <c r="J711" s="267"/>
    </row>
    <row r="712">
      <c r="A712" s="266">
        <v>200.0</v>
      </c>
      <c r="B712" s="266"/>
      <c r="C712" s="266">
        <v>10.0</v>
      </c>
      <c r="D712" s="266" t="s">
        <v>3802</v>
      </c>
      <c r="E712" s="266"/>
      <c r="F712" s="266"/>
      <c r="G712" s="266" t="s">
        <v>6304</v>
      </c>
      <c r="H712" s="266" t="s">
        <v>551</v>
      </c>
      <c r="I712" s="266"/>
      <c r="J712" s="266"/>
      <c r="K712" s="1"/>
      <c r="L712" s="1"/>
    </row>
    <row r="713">
      <c r="A713" s="266">
        <v>300.0</v>
      </c>
      <c r="B713" s="266"/>
      <c r="C713" s="266">
        <v>10.0</v>
      </c>
      <c r="D713" s="266" t="s">
        <v>3803</v>
      </c>
      <c r="E713" s="266"/>
      <c r="F713" s="266"/>
      <c r="G713" s="266" t="s">
        <v>6304</v>
      </c>
      <c r="H713" s="266" t="s">
        <v>556</v>
      </c>
      <c r="I713" s="266"/>
      <c r="J713" s="266"/>
      <c r="K713" s="1"/>
      <c r="L713" s="1"/>
    </row>
    <row r="714">
      <c r="A714" s="266">
        <v>400.0</v>
      </c>
      <c r="B714" s="266"/>
      <c r="C714" s="266">
        <v>10.0</v>
      </c>
      <c r="D714" s="266" t="s">
        <v>3804</v>
      </c>
      <c r="E714" s="266"/>
      <c r="F714" s="266"/>
      <c r="G714" s="266" t="s">
        <v>6304</v>
      </c>
      <c r="H714" s="266" t="s">
        <v>5243</v>
      </c>
      <c r="I714" s="266"/>
      <c r="J714" s="266"/>
      <c r="K714" s="1"/>
      <c r="L714" s="1"/>
    </row>
    <row r="715">
      <c r="A715" s="266">
        <v>500.0</v>
      </c>
      <c r="B715" s="266"/>
      <c r="C715" s="266">
        <v>5.0</v>
      </c>
      <c r="D715" s="266" t="s">
        <v>6879</v>
      </c>
      <c r="E715" s="266" t="s">
        <v>6603</v>
      </c>
      <c r="F715" s="266" t="s">
        <v>6875</v>
      </c>
      <c r="G715" s="266"/>
      <c r="H715" s="266"/>
      <c r="I715" s="266"/>
      <c r="J715" s="267"/>
    </row>
    <row r="716">
      <c r="A716" s="266">
        <v>600.0</v>
      </c>
      <c r="B716" s="266"/>
      <c r="C716" s="266">
        <v>10.0</v>
      </c>
      <c r="D716" s="266" t="s">
        <v>6880</v>
      </c>
      <c r="E716" s="266"/>
      <c r="F716" s="266"/>
      <c r="G716" s="266" t="s">
        <v>6304</v>
      </c>
      <c r="H716" s="266" t="s">
        <v>4103</v>
      </c>
      <c r="I716" s="266"/>
      <c r="J716" s="266"/>
      <c r="K716" s="1"/>
      <c r="L716" s="1"/>
    </row>
    <row r="717">
      <c r="A717" s="266">
        <v>700.0</v>
      </c>
      <c r="B717" s="266"/>
      <c r="C717" s="266">
        <v>10.0</v>
      </c>
      <c r="D717" s="266" t="s">
        <v>6306</v>
      </c>
      <c r="E717" s="266"/>
      <c r="F717" s="266"/>
      <c r="G717" s="266" t="s">
        <v>6304</v>
      </c>
      <c r="H717" s="266" t="s">
        <v>6801</v>
      </c>
      <c r="I717" s="266"/>
      <c r="J717" s="266"/>
      <c r="K717" s="1"/>
      <c r="L717" s="1"/>
    </row>
    <row r="718">
      <c r="A718" s="266">
        <v>800.0</v>
      </c>
      <c r="B718" s="266"/>
      <c r="C718" s="266">
        <v>5.0</v>
      </c>
      <c r="D718" s="266" t="s">
        <v>6881</v>
      </c>
      <c r="E718" s="266"/>
      <c r="F718" s="266"/>
      <c r="G718" s="266"/>
      <c r="H718" s="266"/>
      <c r="I718" s="266"/>
      <c r="J718" s="267"/>
    </row>
    <row r="719">
      <c r="A719" s="266">
        <v>900.0</v>
      </c>
      <c r="B719" s="266"/>
      <c r="C719" s="266">
        <v>10.0</v>
      </c>
      <c r="D719" s="266" t="s">
        <v>6882</v>
      </c>
      <c r="E719" s="266"/>
      <c r="F719" s="266"/>
      <c r="G719" s="266" t="s">
        <v>6304</v>
      </c>
      <c r="H719" s="266" t="s">
        <v>557</v>
      </c>
      <c r="I719" s="266"/>
      <c r="J719" s="266"/>
      <c r="K719" s="1"/>
      <c r="L719" s="1"/>
    </row>
    <row r="720">
      <c r="A720" s="266">
        <v>1000.0</v>
      </c>
      <c r="B720" s="266"/>
      <c r="C720" s="266">
        <v>88.0</v>
      </c>
      <c r="D720" s="266" t="s">
        <v>6883</v>
      </c>
      <c r="E720" s="266" t="s">
        <v>6621</v>
      </c>
      <c r="F720" s="269" t="s">
        <v>6622</v>
      </c>
      <c r="G720" s="266"/>
      <c r="H720" s="266"/>
      <c r="I720" s="266"/>
      <c r="J720" s="267"/>
    </row>
    <row r="721">
      <c r="A721" s="266">
        <v>1100.0</v>
      </c>
      <c r="B721" s="266"/>
      <c r="C721" s="266">
        <v>88.0</v>
      </c>
      <c r="D721" s="266" t="s">
        <v>6884</v>
      </c>
      <c r="E721" s="266" t="s">
        <v>6621</v>
      </c>
      <c r="F721" s="269" t="s">
        <v>6624</v>
      </c>
      <c r="G721" s="266"/>
      <c r="H721" s="266"/>
      <c r="I721" s="266"/>
      <c r="J721" s="267"/>
    </row>
    <row r="722">
      <c r="A722" s="266">
        <v>1200.0</v>
      </c>
      <c r="B722" s="266"/>
      <c r="C722" s="266">
        <v>88.0</v>
      </c>
      <c r="D722" s="266" t="s">
        <v>6885</v>
      </c>
      <c r="E722" s="266" t="s">
        <v>6621</v>
      </c>
      <c r="F722" s="269" t="s">
        <v>6626</v>
      </c>
      <c r="G722" s="266"/>
      <c r="H722" s="266"/>
      <c r="I722" s="266"/>
      <c r="J722" s="267"/>
    </row>
    <row r="723">
      <c r="A723" s="266">
        <v>1300.0</v>
      </c>
      <c r="B723" s="266"/>
      <c r="C723" s="266">
        <v>88.0</v>
      </c>
      <c r="D723" s="266" t="s">
        <v>6886</v>
      </c>
      <c r="E723" s="266" t="s">
        <v>6621</v>
      </c>
      <c r="F723" s="269" t="s">
        <v>6628</v>
      </c>
      <c r="G723" s="266"/>
      <c r="H723" s="266"/>
      <c r="I723" s="266"/>
      <c r="J723" s="267"/>
    </row>
    <row r="724">
      <c r="A724" s="266">
        <v>1400.0</v>
      </c>
      <c r="B724" s="266"/>
      <c r="C724" s="266">
        <v>88.0</v>
      </c>
      <c r="D724" s="266" t="s">
        <v>6887</v>
      </c>
      <c r="E724" s="266" t="s">
        <v>6621</v>
      </c>
      <c r="F724" s="269" t="s">
        <v>6630</v>
      </c>
      <c r="G724" s="266"/>
      <c r="H724" s="266"/>
      <c r="I724" s="266"/>
      <c r="J724" s="267"/>
    </row>
    <row r="725">
      <c r="A725" s="266">
        <v>1500.0</v>
      </c>
      <c r="B725" s="266"/>
      <c r="C725" s="266">
        <v>88.0</v>
      </c>
      <c r="D725" s="266" t="s">
        <v>6888</v>
      </c>
      <c r="E725" s="266" t="s">
        <v>6621</v>
      </c>
      <c r="F725" s="269" t="s">
        <v>6632</v>
      </c>
      <c r="G725" s="266"/>
      <c r="H725" s="266"/>
      <c r="I725" s="266"/>
      <c r="J725" s="267"/>
    </row>
    <row r="726">
      <c r="A726" s="266">
        <v>1600.0</v>
      </c>
      <c r="B726" s="266"/>
      <c r="C726" s="266">
        <v>10.0</v>
      </c>
      <c r="D726" s="266" t="s">
        <v>6889</v>
      </c>
      <c r="E726" s="266"/>
      <c r="F726" s="266"/>
      <c r="G726" s="266"/>
      <c r="H726" s="266"/>
      <c r="I726" s="266"/>
      <c r="J726" s="267"/>
    </row>
    <row r="727">
      <c r="A727" s="266">
        <v>1700.0</v>
      </c>
      <c r="B727" s="266"/>
      <c r="C727" s="266">
        <v>15.0</v>
      </c>
      <c r="D727" s="266" t="s">
        <v>6890</v>
      </c>
      <c r="E727" s="266"/>
      <c r="F727" s="266"/>
      <c r="G727" s="266" t="s">
        <v>6304</v>
      </c>
      <c r="H727" s="266" t="s">
        <v>551</v>
      </c>
      <c r="I727" s="266"/>
      <c r="J727" s="266"/>
      <c r="K727" s="1"/>
      <c r="L727" s="1"/>
    </row>
    <row r="728">
      <c r="A728" s="266">
        <v>1800.0</v>
      </c>
      <c r="B728" s="266"/>
      <c r="C728" s="266">
        <v>15.0</v>
      </c>
      <c r="D728" s="266" t="s">
        <v>6891</v>
      </c>
      <c r="E728" s="266"/>
      <c r="F728" s="266"/>
      <c r="G728" s="266" t="s">
        <v>6304</v>
      </c>
      <c r="H728" s="266" t="s">
        <v>556</v>
      </c>
      <c r="I728" s="266"/>
      <c r="J728" s="266"/>
      <c r="K728" s="1"/>
      <c r="L728" s="1"/>
    </row>
    <row r="729">
      <c r="A729" s="266">
        <v>1900.0</v>
      </c>
      <c r="B729" s="266"/>
      <c r="C729" s="266">
        <v>15.0</v>
      </c>
      <c r="D729" s="266" t="s">
        <v>6892</v>
      </c>
      <c r="E729" s="266"/>
      <c r="F729" s="266"/>
      <c r="G729" s="266"/>
      <c r="H729" s="266"/>
      <c r="I729" s="266"/>
      <c r="J729" s="267"/>
    </row>
    <row r="730">
      <c r="A730" s="266">
        <v>1950.0</v>
      </c>
      <c r="B730" s="266" t="s">
        <v>6603</v>
      </c>
      <c r="C730" s="266" t="s">
        <v>6603</v>
      </c>
      <c r="D730" s="266" t="s">
        <v>6891</v>
      </c>
      <c r="E730" s="266"/>
      <c r="F730" s="266"/>
      <c r="G730" s="266" t="s">
        <v>6304</v>
      </c>
      <c r="H730" s="266" t="s">
        <v>556</v>
      </c>
      <c r="I730" s="266"/>
      <c r="J730" s="266"/>
      <c r="K730" s="1"/>
      <c r="L730" s="1"/>
    </row>
    <row r="731">
      <c r="A731" s="266">
        <v>2000.0</v>
      </c>
      <c r="B731" s="266"/>
      <c r="C731" s="266">
        <v>5.0</v>
      </c>
      <c r="D731" s="266" t="s">
        <v>5261</v>
      </c>
      <c r="E731" s="266"/>
      <c r="F731" s="266"/>
      <c r="G731" s="266" t="s">
        <v>6304</v>
      </c>
      <c r="H731" s="266" t="s">
        <v>552</v>
      </c>
      <c r="I731" s="266"/>
      <c r="J731" s="266"/>
      <c r="K731" s="1"/>
      <c r="L731" s="1"/>
    </row>
    <row r="732">
      <c r="A732" s="266">
        <v>2100.0</v>
      </c>
      <c r="B732" s="266"/>
      <c r="C732" s="266">
        <v>5.0</v>
      </c>
      <c r="D732" s="266" t="s">
        <v>6893</v>
      </c>
      <c r="E732" s="266"/>
      <c r="F732" s="266"/>
      <c r="G732" s="266" t="s">
        <v>6304</v>
      </c>
      <c r="H732" s="266" t="s">
        <v>552</v>
      </c>
      <c r="I732" s="266"/>
      <c r="J732" s="266"/>
      <c r="K732" s="1"/>
      <c r="L732" s="1"/>
    </row>
    <row r="733">
      <c r="A733" s="266">
        <v>2200.0</v>
      </c>
      <c r="B733" s="266"/>
      <c r="C733" s="266">
        <v>5.0</v>
      </c>
      <c r="D733" s="266" t="s">
        <v>6894</v>
      </c>
      <c r="E733" s="266"/>
      <c r="F733" s="266"/>
      <c r="G733" s="266"/>
      <c r="H733" s="266"/>
      <c r="I733" s="266"/>
      <c r="J733" s="267"/>
    </row>
    <row r="734">
      <c r="A734" s="266">
        <v>2300.0</v>
      </c>
      <c r="B734" s="266"/>
      <c r="C734" s="266">
        <v>10.0</v>
      </c>
      <c r="D734" s="266" t="s">
        <v>5267</v>
      </c>
      <c r="E734" s="266"/>
      <c r="F734" s="266"/>
      <c r="G734" s="266" t="s">
        <v>6304</v>
      </c>
      <c r="H734" s="266" t="s">
        <v>5244</v>
      </c>
      <c r="I734" s="266"/>
      <c r="J734" s="266"/>
      <c r="K734" s="1"/>
      <c r="L734" s="1"/>
    </row>
    <row r="735">
      <c r="A735" s="266">
        <v>2400.0</v>
      </c>
      <c r="B735" s="266"/>
      <c r="C735" s="266">
        <v>10.0</v>
      </c>
      <c r="D735" s="266" t="s">
        <v>6895</v>
      </c>
      <c r="E735" s="266"/>
      <c r="F735" s="266"/>
      <c r="G735" s="266" t="s">
        <v>6304</v>
      </c>
      <c r="H735" s="266" t="s">
        <v>5244</v>
      </c>
      <c r="I735" s="266"/>
      <c r="J735" s="266"/>
      <c r="K735" s="1"/>
      <c r="L735" s="1"/>
    </row>
    <row r="736">
      <c r="A736" s="266">
        <v>2500.0</v>
      </c>
      <c r="B736" s="266"/>
      <c r="C736" s="266">
        <v>10.0</v>
      </c>
      <c r="D736" s="266" t="s">
        <v>6896</v>
      </c>
      <c r="E736" s="266"/>
      <c r="F736" s="266"/>
      <c r="G736" s="266" t="s">
        <v>6304</v>
      </c>
      <c r="H736" s="266" t="s">
        <v>5244</v>
      </c>
      <c r="I736" s="266"/>
      <c r="J736" s="266"/>
      <c r="K736" s="1"/>
      <c r="L736" s="1"/>
    </row>
    <row r="737">
      <c r="A737" s="266">
        <v>2600.0</v>
      </c>
      <c r="B737" s="266"/>
      <c r="C737" s="266">
        <v>5.0</v>
      </c>
      <c r="D737" s="266" t="s">
        <v>6897</v>
      </c>
      <c r="E737" s="266" t="s">
        <v>6603</v>
      </c>
      <c r="F737" s="266" t="s">
        <v>6894</v>
      </c>
      <c r="G737" s="266"/>
      <c r="H737" s="266"/>
      <c r="I737" s="266"/>
      <c r="J737" s="267"/>
    </row>
    <row r="738">
      <c r="A738" s="266">
        <v>2700.0</v>
      </c>
      <c r="B738" s="266"/>
      <c r="C738" s="266">
        <v>10.0</v>
      </c>
      <c r="D738" s="266" t="s">
        <v>6898</v>
      </c>
      <c r="E738" s="266"/>
      <c r="F738" s="266"/>
      <c r="G738" s="266" t="s">
        <v>6304</v>
      </c>
      <c r="H738" s="266" t="s">
        <v>607</v>
      </c>
      <c r="I738" s="266"/>
      <c r="J738" s="266"/>
      <c r="K738" s="1"/>
      <c r="L738" s="1"/>
    </row>
    <row r="739">
      <c r="A739" s="266">
        <v>2800.0</v>
      </c>
      <c r="B739" s="266"/>
      <c r="C739" s="266">
        <v>10.0</v>
      </c>
      <c r="D739" s="266" t="s">
        <v>6306</v>
      </c>
      <c r="E739" s="266"/>
      <c r="F739" s="266"/>
      <c r="G739" s="266" t="s">
        <v>6304</v>
      </c>
      <c r="H739" s="266" t="s">
        <v>6899</v>
      </c>
      <c r="I739" s="266"/>
      <c r="J739" s="266"/>
      <c r="K739" s="1"/>
      <c r="L739" s="1"/>
    </row>
    <row r="740">
      <c r="A740" s="266">
        <v>2900.0</v>
      </c>
      <c r="B740" s="266"/>
      <c r="C740" s="266">
        <v>5.0</v>
      </c>
      <c r="D740" s="266" t="s">
        <v>6900</v>
      </c>
      <c r="E740" s="266"/>
      <c r="F740" s="266"/>
      <c r="G740" s="266" t="s">
        <v>6304</v>
      </c>
      <c r="H740" s="266" t="s">
        <v>5244</v>
      </c>
      <c r="I740" s="266"/>
      <c r="J740" s="266"/>
      <c r="K740" s="1"/>
      <c r="L740" s="1"/>
    </row>
    <row r="741">
      <c r="A741" s="266">
        <v>3000.0</v>
      </c>
      <c r="B741" s="266"/>
      <c r="C741" s="266">
        <v>5.0</v>
      </c>
      <c r="D741" s="266" t="s">
        <v>6901</v>
      </c>
      <c r="E741" s="266"/>
      <c r="F741" s="266"/>
      <c r="G741" s="266" t="s">
        <v>6304</v>
      </c>
      <c r="H741" s="266" t="s">
        <v>5244</v>
      </c>
      <c r="I741" s="266"/>
      <c r="J741" s="266"/>
      <c r="K741" s="1"/>
      <c r="L741" s="1"/>
    </row>
    <row r="742">
      <c r="A742" s="266">
        <v>3100.0</v>
      </c>
      <c r="B742" s="266"/>
      <c r="C742" s="266">
        <v>5.0</v>
      </c>
      <c r="D742" s="266" t="s">
        <v>6902</v>
      </c>
      <c r="E742" s="266"/>
      <c r="F742" s="266"/>
      <c r="G742" s="266" t="s">
        <v>6304</v>
      </c>
      <c r="H742" s="266" t="s">
        <v>4103</v>
      </c>
      <c r="I742" s="266"/>
      <c r="J742" s="266"/>
      <c r="K742" s="1"/>
      <c r="L742" s="1"/>
    </row>
    <row r="743">
      <c r="A743" s="266">
        <v>3200.0</v>
      </c>
      <c r="B743" s="266"/>
      <c r="C743" s="266">
        <v>5.0</v>
      </c>
      <c r="D743" s="266" t="s">
        <v>6408</v>
      </c>
      <c r="E743" s="266"/>
      <c r="F743" s="266"/>
      <c r="G743" s="266" t="s">
        <v>6304</v>
      </c>
      <c r="H743" s="266" t="s">
        <v>552</v>
      </c>
      <c r="I743" s="266"/>
      <c r="J743" s="266"/>
      <c r="K743" s="1"/>
      <c r="L743" s="1"/>
    </row>
    <row r="744">
      <c r="A744" s="266">
        <v>3300.0</v>
      </c>
      <c r="B744" s="266"/>
      <c r="C744" s="266">
        <v>5.0</v>
      </c>
      <c r="D744" s="266" t="s">
        <v>6409</v>
      </c>
      <c r="E744" s="266"/>
      <c r="F744" s="266"/>
      <c r="G744" s="266" t="s">
        <v>6304</v>
      </c>
      <c r="H744" s="266" t="s">
        <v>552</v>
      </c>
      <c r="I744" s="266"/>
      <c r="J744" s="266"/>
      <c r="K744" s="1"/>
      <c r="L744" s="1"/>
    </row>
    <row r="745">
      <c r="A745" s="266">
        <v>3400.0</v>
      </c>
      <c r="B745" s="266"/>
      <c r="C745" s="266">
        <v>5.0</v>
      </c>
      <c r="D745" s="266" t="s">
        <v>6903</v>
      </c>
      <c r="E745" s="266"/>
      <c r="F745" s="266"/>
      <c r="G745" s="266" t="s">
        <v>6304</v>
      </c>
      <c r="H745" s="266" t="s">
        <v>552</v>
      </c>
      <c r="I745" s="266"/>
      <c r="J745" s="266"/>
      <c r="K745" s="1"/>
      <c r="L745" s="1"/>
    </row>
    <row r="746">
      <c r="A746" s="266">
        <v>3500.0</v>
      </c>
      <c r="B746" s="266"/>
      <c r="C746" s="266">
        <v>5.0</v>
      </c>
      <c r="D746" s="266" t="s">
        <v>6904</v>
      </c>
      <c r="E746" s="266"/>
      <c r="F746" s="266"/>
      <c r="G746" s="266" t="s">
        <v>6304</v>
      </c>
      <c r="H746" s="266" t="s">
        <v>552</v>
      </c>
      <c r="I746" s="266"/>
      <c r="J746" s="266"/>
      <c r="K746" s="1"/>
      <c r="L746" s="1"/>
    </row>
    <row r="747">
      <c r="A747" s="266">
        <v>3600.0</v>
      </c>
      <c r="B747" s="266"/>
      <c r="C747" s="266">
        <v>5.0</v>
      </c>
      <c r="D747" s="266" t="s">
        <v>6905</v>
      </c>
      <c r="E747" s="266"/>
      <c r="F747" s="266"/>
      <c r="G747" s="266" t="s">
        <v>6304</v>
      </c>
      <c r="H747" s="266" t="s">
        <v>552</v>
      </c>
      <c r="I747" s="266"/>
      <c r="J747" s="266"/>
      <c r="K747" s="1"/>
      <c r="L747" s="1"/>
    </row>
    <row r="748">
      <c r="A748" s="266">
        <v>3700.0</v>
      </c>
      <c r="B748" s="266"/>
      <c r="C748" s="266">
        <v>5.0</v>
      </c>
      <c r="D748" s="266" t="s">
        <v>6906</v>
      </c>
      <c r="E748" s="266"/>
      <c r="F748" s="266"/>
      <c r="G748" s="266" t="s">
        <v>6304</v>
      </c>
      <c r="H748" s="266" t="s">
        <v>551</v>
      </c>
      <c r="I748" s="266"/>
      <c r="J748" s="266"/>
      <c r="K748" s="1"/>
      <c r="L748" s="1"/>
    </row>
    <row r="749">
      <c r="A749" s="266">
        <v>3800.0</v>
      </c>
      <c r="B749" s="266"/>
      <c r="C749" s="266">
        <v>5.0</v>
      </c>
      <c r="D749" s="266" t="s">
        <v>6907</v>
      </c>
      <c r="E749" s="266"/>
      <c r="F749" s="266"/>
      <c r="G749" s="266" t="s">
        <v>6304</v>
      </c>
      <c r="H749" s="266" t="s">
        <v>552</v>
      </c>
      <c r="I749" s="266"/>
      <c r="J749" s="266"/>
      <c r="K749" s="1"/>
      <c r="L749" s="1"/>
    </row>
    <row r="750">
      <c r="A750" s="266">
        <v>3900.0</v>
      </c>
      <c r="B750" s="266"/>
      <c r="C750" s="266">
        <v>5.0</v>
      </c>
      <c r="D750" s="266" t="s">
        <v>6908</v>
      </c>
      <c r="E750" s="266"/>
      <c r="F750" s="266"/>
      <c r="G750" s="266" t="s">
        <v>6304</v>
      </c>
      <c r="H750" s="266" t="s">
        <v>6909</v>
      </c>
      <c r="I750" s="266" t="s">
        <v>6305</v>
      </c>
      <c r="J750" s="266"/>
      <c r="K750" s="1"/>
      <c r="L750" s="1"/>
    </row>
    <row r="751">
      <c r="A751" s="266">
        <v>4000.0</v>
      </c>
      <c r="B751" s="266"/>
      <c r="C751" s="266">
        <v>5.0</v>
      </c>
      <c r="D751" s="266" t="s">
        <v>6910</v>
      </c>
      <c r="E751" s="266"/>
      <c r="F751" s="266"/>
      <c r="G751" s="266" t="s">
        <v>6304</v>
      </c>
      <c r="H751" s="266" t="s">
        <v>551</v>
      </c>
      <c r="I751" s="266"/>
      <c r="J751" s="266"/>
      <c r="K751" s="1"/>
      <c r="L751" s="1"/>
    </row>
    <row r="752">
      <c r="A752" s="266">
        <v>4100.0</v>
      </c>
      <c r="B752" s="266"/>
      <c r="C752" s="266">
        <v>5.0</v>
      </c>
      <c r="D752" s="266" t="s">
        <v>6911</v>
      </c>
      <c r="E752" s="266"/>
      <c r="F752" s="266"/>
      <c r="G752" s="266" t="s">
        <v>6304</v>
      </c>
      <c r="H752" s="266" t="s">
        <v>551</v>
      </c>
      <c r="I752" s="266"/>
      <c r="J752" s="266"/>
      <c r="K752" s="1"/>
      <c r="L752" s="1"/>
    </row>
    <row r="753">
      <c r="A753" s="266">
        <v>4200.0</v>
      </c>
      <c r="B753" s="266"/>
      <c r="C753" s="266">
        <v>5.0</v>
      </c>
      <c r="D753" s="266" t="s">
        <v>6912</v>
      </c>
      <c r="E753" s="266"/>
      <c r="F753" s="266"/>
      <c r="G753" s="266" t="s">
        <v>6304</v>
      </c>
      <c r="H753" s="266" t="s">
        <v>552</v>
      </c>
      <c r="I753" s="266"/>
      <c r="J753" s="266"/>
      <c r="K753" s="1"/>
      <c r="L753" s="1"/>
    </row>
    <row r="754">
      <c r="A754" s="266">
        <v>4300.0</v>
      </c>
      <c r="B754" s="266"/>
      <c r="C754" s="266">
        <v>5.0</v>
      </c>
      <c r="D754" s="266" t="s">
        <v>6913</v>
      </c>
      <c r="E754" s="266"/>
      <c r="F754" s="266"/>
      <c r="G754" s="266" t="s">
        <v>6304</v>
      </c>
      <c r="H754" s="266" t="s">
        <v>551</v>
      </c>
      <c r="I754" s="266"/>
      <c r="J754" s="266"/>
      <c r="K754" s="1"/>
      <c r="L754" s="1"/>
    </row>
    <row r="755">
      <c r="A755" s="266">
        <v>4400.0</v>
      </c>
      <c r="B755" s="266"/>
      <c r="C755" s="266">
        <v>5.0</v>
      </c>
      <c r="D755" s="266" t="s">
        <v>6914</v>
      </c>
      <c r="E755" s="266"/>
      <c r="F755" s="266"/>
      <c r="G755" s="266" t="s">
        <v>6304</v>
      </c>
      <c r="H755" s="266" t="s">
        <v>552</v>
      </c>
      <c r="I755" s="266"/>
      <c r="J755" s="266"/>
      <c r="K755" s="1"/>
      <c r="L755" s="1"/>
    </row>
    <row r="756">
      <c r="A756" s="266">
        <v>4500.0</v>
      </c>
      <c r="B756" s="266"/>
      <c r="C756" s="266">
        <v>5.0</v>
      </c>
      <c r="D756" s="266" t="s">
        <v>6915</v>
      </c>
      <c r="E756" s="266"/>
      <c r="F756" s="266"/>
      <c r="G756" s="266" t="s">
        <v>6304</v>
      </c>
      <c r="H756" s="266" t="s">
        <v>552</v>
      </c>
      <c r="I756" s="266"/>
      <c r="J756" s="266"/>
      <c r="K756" s="1"/>
      <c r="L756" s="1"/>
    </row>
    <row r="757">
      <c r="A757" s="266">
        <v>4600.0</v>
      </c>
      <c r="B757" s="266"/>
      <c r="C757" s="266">
        <v>5.0</v>
      </c>
      <c r="D757" s="266" t="s">
        <v>6916</v>
      </c>
      <c r="E757" s="266"/>
      <c r="F757" s="266"/>
      <c r="G757" s="266" t="s">
        <v>6304</v>
      </c>
      <c r="H757" s="266" t="s">
        <v>552</v>
      </c>
      <c r="I757" s="266"/>
      <c r="J757" s="266"/>
      <c r="K757" s="1"/>
      <c r="L757" s="1"/>
    </row>
    <row r="758">
      <c r="A758" s="266">
        <v>4700.0</v>
      </c>
      <c r="B758" s="266"/>
      <c r="C758" s="266">
        <v>5.0</v>
      </c>
      <c r="D758" s="266" t="s">
        <v>6917</v>
      </c>
      <c r="E758" s="266"/>
      <c r="F758" s="266"/>
      <c r="G758" s="266" t="s">
        <v>6304</v>
      </c>
      <c r="H758" s="266" t="s">
        <v>552</v>
      </c>
      <c r="I758" s="266"/>
      <c r="J758" s="266"/>
      <c r="K758" s="1"/>
      <c r="L758" s="1"/>
    </row>
    <row r="759">
      <c r="A759" s="266">
        <v>4800.0</v>
      </c>
      <c r="B759" s="266"/>
      <c r="C759" s="266">
        <v>5.0</v>
      </c>
      <c r="D759" s="266" t="s">
        <v>6918</v>
      </c>
      <c r="E759" s="266"/>
      <c r="F759" s="266"/>
      <c r="G759" s="266" t="s">
        <v>6304</v>
      </c>
      <c r="H759" s="266" t="s">
        <v>552</v>
      </c>
      <c r="I759" s="266"/>
      <c r="J759" s="266"/>
      <c r="K759" s="1"/>
      <c r="L759" s="1"/>
    </row>
    <row r="760">
      <c r="A760" s="266">
        <v>4900.0</v>
      </c>
      <c r="B760" s="266"/>
      <c r="C760" s="266">
        <v>5.0</v>
      </c>
      <c r="D760" s="266" t="s">
        <v>6919</v>
      </c>
      <c r="E760" s="266"/>
      <c r="F760" s="266"/>
      <c r="G760" s="266" t="s">
        <v>6304</v>
      </c>
      <c r="H760" s="266" t="s">
        <v>552</v>
      </c>
      <c r="I760" s="266"/>
      <c r="J760" s="266"/>
      <c r="K760" s="1"/>
      <c r="L760" s="1"/>
    </row>
    <row r="761">
      <c r="A761" s="266">
        <v>5000.0</v>
      </c>
      <c r="B761" s="266"/>
      <c r="C761" s="266">
        <v>5.0</v>
      </c>
      <c r="D761" s="266" t="s">
        <v>6920</v>
      </c>
      <c r="E761" s="266"/>
      <c r="F761" s="266"/>
      <c r="G761" s="266" t="s">
        <v>6304</v>
      </c>
      <c r="H761" s="266" t="s">
        <v>552</v>
      </c>
      <c r="I761" s="266"/>
      <c r="J761" s="266"/>
      <c r="K761" s="1"/>
      <c r="L761" s="1"/>
    </row>
    <row r="762">
      <c r="A762" s="266">
        <v>5100.0</v>
      </c>
      <c r="B762" s="266"/>
      <c r="C762" s="266">
        <v>5.0</v>
      </c>
      <c r="D762" s="266" t="s">
        <v>6921</v>
      </c>
      <c r="E762" s="266"/>
      <c r="F762" s="266"/>
      <c r="G762" s="266" t="s">
        <v>6304</v>
      </c>
      <c r="H762" s="266" t="s">
        <v>552</v>
      </c>
      <c r="I762" s="266"/>
      <c r="J762" s="266"/>
      <c r="K762" s="1"/>
      <c r="L762" s="1"/>
    </row>
    <row r="763">
      <c r="A763" s="266">
        <v>5200.0</v>
      </c>
      <c r="B763" s="266"/>
      <c r="C763" s="266">
        <v>5.0</v>
      </c>
      <c r="D763" s="266" t="s">
        <v>6922</v>
      </c>
      <c r="E763" s="266"/>
      <c r="F763" s="266"/>
      <c r="G763" s="266" t="s">
        <v>6304</v>
      </c>
      <c r="H763" s="266" t="s">
        <v>552</v>
      </c>
      <c r="I763" s="266"/>
      <c r="J763" s="266"/>
      <c r="K763" s="1"/>
      <c r="L763" s="1"/>
    </row>
    <row r="764">
      <c r="A764" s="266">
        <v>5300.0</v>
      </c>
      <c r="B764" s="266"/>
      <c r="C764" s="266">
        <v>5.0</v>
      </c>
      <c r="D764" s="266" t="s">
        <v>2785</v>
      </c>
      <c r="E764" s="266"/>
      <c r="F764" s="266"/>
      <c r="G764" s="266" t="s">
        <v>6304</v>
      </c>
      <c r="H764" s="266" t="s">
        <v>555</v>
      </c>
      <c r="I764" s="266"/>
      <c r="J764" s="266"/>
      <c r="K764" s="1"/>
      <c r="L764" s="1"/>
    </row>
    <row r="765">
      <c r="A765" s="266">
        <v>5400.0</v>
      </c>
      <c r="B765" s="266"/>
      <c r="C765" s="266">
        <v>5.0</v>
      </c>
      <c r="D765" s="266" t="s">
        <v>3840</v>
      </c>
      <c r="E765" s="266"/>
      <c r="F765" s="266"/>
      <c r="G765" s="266" t="s">
        <v>6304</v>
      </c>
      <c r="H765" s="266" t="s">
        <v>551</v>
      </c>
      <c r="I765" s="266"/>
      <c r="J765" s="266"/>
      <c r="K765" s="1"/>
      <c r="L765" s="1"/>
    </row>
    <row r="766">
      <c r="A766" s="266">
        <v>5500.0</v>
      </c>
      <c r="B766" s="266"/>
      <c r="C766" s="266">
        <v>5.0</v>
      </c>
      <c r="D766" s="266" t="s">
        <v>6923</v>
      </c>
      <c r="E766" s="266"/>
      <c r="F766" s="266"/>
      <c r="G766" s="266" t="s">
        <v>6304</v>
      </c>
      <c r="H766" s="266" t="s">
        <v>557</v>
      </c>
      <c r="I766" s="266"/>
      <c r="J766" s="266"/>
      <c r="K766" s="1"/>
      <c r="L766" s="1"/>
    </row>
    <row r="767">
      <c r="A767" s="266">
        <v>5600.0</v>
      </c>
      <c r="B767" s="266"/>
      <c r="C767" s="266">
        <v>5.0</v>
      </c>
      <c r="D767" s="266" t="s">
        <v>6924</v>
      </c>
      <c r="E767" s="266"/>
      <c r="F767" s="266"/>
      <c r="G767" s="266" t="s">
        <v>6304</v>
      </c>
      <c r="H767" s="266" t="s">
        <v>559</v>
      </c>
      <c r="I767" s="266"/>
      <c r="J767" s="266"/>
      <c r="K767" s="1"/>
      <c r="L767" s="1"/>
    </row>
    <row r="768">
      <c r="A768" s="266">
        <v>5700.0</v>
      </c>
      <c r="B768" s="266"/>
      <c r="C768" s="266">
        <v>5.0</v>
      </c>
      <c r="D768" s="266" t="s">
        <v>6925</v>
      </c>
      <c r="E768" s="266"/>
      <c r="F768" s="266"/>
      <c r="G768" s="266" t="s">
        <v>6304</v>
      </c>
      <c r="H768" s="266">
        <v>9.0</v>
      </c>
      <c r="I768" s="266"/>
      <c r="J768" s="266"/>
      <c r="K768" s="1"/>
      <c r="L768" s="1"/>
    </row>
    <row r="769">
      <c r="A769" s="266">
        <v>5800.0</v>
      </c>
      <c r="B769" s="266"/>
      <c r="C769" s="266">
        <v>5.0</v>
      </c>
      <c r="D769" s="266" t="s">
        <v>6926</v>
      </c>
      <c r="E769" s="266"/>
      <c r="F769" s="266"/>
      <c r="G769" s="266"/>
      <c r="H769" s="266"/>
      <c r="I769" s="266"/>
      <c r="J769" s="267"/>
    </row>
    <row r="770">
      <c r="A770" s="266">
        <v>5900.0</v>
      </c>
      <c r="B770" s="266"/>
      <c r="C770" s="266">
        <v>10.0</v>
      </c>
      <c r="D770" s="266" t="s">
        <v>6927</v>
      </c>
      <c r="E770" s="266"/>
      <c r="F770" s="266"/>
      <c r="G770" s="266" t="s">
        <v>6304</v>
      </c>
      <c r="H770" s="266" t="s">
        <v>557</v>
      </c>
      <c r="I770" s="266"/>
      <c r="J770" s="266"/>
      <c r="K770" s="1"/>
      <c r="L770" s="1"/>
    </row>
    <row r="771">
      <c r="A771" s="266">
        <v>6000.0</v>
      </c>
      <c r="B771" s="266"/>
      <c r="C771" s="266">
        <v>88.0</v>
      </c>
      <c r="D771" s="266" t="s">
        <v>6928</v>
      </c>
      <c r="E771" s="266" t="s">
        <v>6621</v>
      </c>
      <c r="F771" s="269" t="s">
        <v>6622</v>
      </c>
      <c r="G771" s="266"/>
      <c r="H771" s="266"/>
      <c r="I771" s="266"/>
      <c r="J771" s="267"/>
    </row>
    <row r="772">
      <c r="A772" s="266">
        <v>6100.0</v>
      </c>
      <c r="B772" s="266"/>
      <c r="C772" s="266">
        <v>88.0</v>
      </c>
      <c r="D772" s="266" t="s">
        <v>6929</v>
      </c>
      <c r="E772" s="266" t="s">
        <v>6621</v>
      </c>
      <c r="F772" s="269" t="s">
        <v>6624</v>
      </c>
      <c r="G772" s="266"/>
      <c r="H772" s="266"/>
      <c r="I772" s="266"/>
      <c r="J772" s="267"/>
    </row>
    <row r="773">
      <c r="A773" s="266">
        <v>6200.0</v>
      </c>
      <c r="B773" s="266"/>
      <c r="C773" s="266">
        <v>88.0</v>
      </c>
      <c r="D773" s="266" t="s">
        <v>6930</v>
      </c>
      <c r="E773" s="266" t="s">
        <v>6621</v>
      </c>
      <c r="F773" s="269" t="s">
        <v>6626</v>
      </c>
      <c r="G773" s="266"/>
      <c r="H773" s="266"/>
      <c r="I773" s="266"/>
      <c r="J773" s="267"/>
    </row>
    <row r="774">
      <c r="A774" s="266">
        <v>6300.0</v>
      </c>
      <c r="B774" s="266"/>
      <c r="C774" s="266">
        <v>88.0</v>
      </c>
      <c r="D774" s="266" t="s">
        <v>6931</v>
      </c>
      <c r="E774" s="266" t="s">
        <v>6621</v>
      </c>
      <c r="F774" s="269" t="s">
        <v>6628</v>
      </c>
      <c r="G774" s="266"/>
      <c r="H774" s="266"/>
      <c r="I774" s="266"/>
      <c r="J774" s="267"/>
    </row>
    <row r="775">
      <c r="A775" s="266">
        <v>6400.0</v>
      </c>
      <c r="B775" s="266"/>
      <c r="C775" s="266">
        <v>88.0</v>
      </c>
      <c r="D775" s="266" t="s">
        <v>6932</v>
      </c>
      <c r="E775" s="266" t="s">
        <v>6621</v>
      </c>
      <c r="F775" s="269" t="s">
        <v>6630</v>
      </c>
      <c r="G775" s="266"/>
      <c r="H775" s="266"/>
      <c r="I775" s="266"/>
      <c r="J775" s="267"/>
    </row>
    <row r="776">
      <c r="A776" s="266">
        <v>6500.0</v>
      </c>
      <c r="B776" s="266"/>
      <c r="C776" s="266">
        <v>88.0</v>
      </c>
      <c r="D776" s="266" t="s">
        <v>6933</v>
      </c>
      <c r="E776" s="266" t="s">
        <v>6621</v>
      </c>
      <c r="F776" s="269" t="s">
        <v>6632</v>
      </c>
      <c r="G776" s="266"/>
      <c r="H776" s="266"/>
      <c r="I776" s="266"/>
      <c r="J776" s="267"/>
    </row>
    <row r="777">
      <c r="A777" s="266">
        <v>6600.0</v>
      </c>
      <c r="B777" s="266"/>
      <c r="C777" s="266">
        <v>10.0</v>
      </c>
      <c r="D777" s="266" t="s">
        <v>6934</v>
      </c>
      <c r="E777" s="266"/>
      <c r="F777" s="266"/>
      <c r="G777" s="266"/>
      <c r="H777" s="266"/>
      <c r="I777" s="266"/>
      <c r="J777" s="267"/>
    </row>
    <row r="778">
      <c r="A778" s="266">
        <v>6700.0</v>
      </c>
      <c r="B778" s="266"/>
      <c r="C778" s="266">
        <v>15.0</v>
      </c>
      <c r="D778" s="266" t="s">
        <v>6935</v>
      </c>
      <c r="E778" s="266"/>
      <c r="F778" s="266"/>
      <c r="G778" s="266" t="s">
        <v>6304</v>
      </c>
      <c r="H778" s="266" t="s">
        <v>551</v>
      </c>
      <c r="I778" s="266"/>
      <c r="J778" s="266"/>
      <c r="K778" s="1"/>
      <c r="L778" s="1"/>
    </row>
    <row r="779">
      <c r="A779" s="266">
        <v>6800.0</v>
      </c>
      <c r="B779" s="266"/>
      <c r="C779" s="266">
        <v>15.0</v>
      </c>
      <c r="D779" s="266" t="s">
        <v>6936</v>
      </c>
      <c r="E779" s="266"/>
      <c r="F779" s="266"/>
      <c r="G779" s="266" t="s">
        <v>6304</v>
      </c>
      <c r="H779" s="266" t="s">
        <v>556</v>
      </c>
      <c r="I779" s="266"/>
      <c r="J779" s="266"/>
      <c r="K779" s="1"/>
      <c r="L779" s="1"/>
    </row>
    <row r="780">
      <c r="A780" s="266">
        <v>6900.0</v>
      </c>
      <c r="B780" s="266"/>
      <c r="C780" s="266">
        <v>15.0</v>
      </c>
      <c r="D780" s="266" t="s">
        <v>6937</v>
      </c>
      <c r="E780" s="266"/>
      <c r="F780" s="266"/>
      <c r="G780" s="266"/>
      <c r="H780" s="266"/>
      <c r="I780" s="266"/>
      <c r="J780" s="267"/>
    </row>
    <row r="781">
      <c r="A781" s="266">
        <v>6950.0</v>
      </c>
      <c r="B781" s="266" t="s">
        <v>6603</v>
      </c>
      <c r="C781" s="266" t="s">
        <v>6603</v>
      </c>
      <c r="D781" s="266" t="s">
        <v>6936</v>
      </c>
      <c r="E781" s="266"/>
      <c r="F781" s="266"/>
      <c r="G781" s="266" t="s">
        <v>6304</v>
      </c>
      <c r="H781" s="266" t="s">
        <v>556</v>
      </c>
      <c r="I781" s="266"/>
      <c r="J781" s="266"/>
      <c r="K781" s="1"/>
      <c r="L781" s="1"/>
    </row>
    <row r="782">
      <c r="A782" s="266">
        <v>7000.0</v>
      </c>
      <c r="B782" s="266"/>
      <c r="C782" s="266">
        <v>5.0</v>
      </c>
      <c r="D782" s="266" t="s">
        <v>6938</v>
      </c>
      <c r="E782" s="266"/>
      <c r="F782" s="266"/>
      <c r="G782" s="266" t="s">
        <v>6304</v>
      </c>
      <c r="H782" s="266" t="s">
        <v>559</v>
      </c>
      <c r="I782" s="266"/>
      <c r="J782" s="266"/>
      <c r="K782" s="1"/>
      <c r="L782" s="1"/>
    </row>
    <row r="783">
      <c r="A783" s="266">
        <v>7100.0</v>
      </c>
      <c r="B783" s="266"/>
      <c r="C783" s="266">
        <v>5.0</v>
      </c>
      <c r="D783" s="266" t="s">
        <v>6939</v>
      </c>
      <c r="E783" s="266"/>
      <c r="F783" s="266"/>
      <c r="G783" s="266" t="s">
        <v>6304</v>
      </c>
      <c r="H783" s="266" t="s">
        <v>555</v>
      </c>
      <c r="I783" s="266"/>
      <c r="J783" s="266"/>
      <c r="K783" s="1"/>
      <c r="L783" s="1"/>
    </row>
    <row r="784">
      <c r="A784" s="266">
        <v>7200.0</v>
      </c>
      <c r="B784" s="266"/>
      <c r="C784" s="266">
        <v>5.0</v>
      </c>
      <c r="D784" s="266" t="s">
        <v>6940</v>
      </c>
      <c r="E784" s="266"/>
      <c r="F784" s="266"/>
      <c r="G784" s="266" t="s">
        <v>6304</v>
      </c>
      <c r="H784" s="266" t="s">
        <v>555</v>
      </c>
      <c r="I784" s="266"/>
      <c r="J784" s="266"/>
      <c r="K784" s="1"/>
      <c r="L784" s="1"/>
    </row>
    <row r="785">
      <c r="A785" s="266">
        <v>7300.0</v>
      </c>
      <c r="B785" s="266"/>
      <c r="C785" s="266">
        <v>5.0</v>
      </c>
      <c r="D785" s="266" t="s">
        <v>6941</v>
      </c>
      <c r="E785" s="266"/>
      <c r="F785" s="266"/>
      <c r="G785" s="266" t="s">
        <v>6304</v>
      </c>
      <c r="H785" s="266" t="s">
        <v>555</v>
      </c>
      <c r="I785" s="266"/>
      <c r="J785" s="266"/>
      <c r="K785" s="1"/>
      <c r="L785" s="1"/>
    </row>
    <row r="786">
      <c r="A786" s="266">
        <v>7400.0</v>
      </c>
      <c r="B786" s="266"/>
      <c r="C786" s="266">
        <v>5.0</v>
      </c>
      <c r="D786" s="266" t="s">
        <v>6942</v>
      </c>
      <c r="E786" s="266"/>
      <c r="F786" s="266"/>
      <c r="G786" s="266" t="s">
        <v>6304</v>
      </c>
      <c r="H786" s="266" t="s">
        <v>559</v>
      </c>
      <c r="I786" s="266"/>
      <c r="J786" s="266"/>
      <c r="K786" s="1"/>
      <c r="L786" s="1"/>
    </row>
    <row r="787">
      <c r="A787" s="266">
        <v>7500.0</v>
      </c>
      <c r="B787" s="266"/>
      <c r="C787" s="266">
        <v>5.0</v>
      </c>
      <c r="D787" s="266" t="s">
        <v>6943</v>
      </c>
      <c r="E787" s="266"/>
      <c r="F787" s="266"/>
      <c r="G787" s="266" t="s">
        <v>6304</v>
      </c>
      <c r="H787" s="266" t="s">
        <v>551</v>
      </c>
      <c r="I787" s="266"/>
      <c r="J787" s="266"/>
      <c r="K787" s="1"/>
      <c r="L787" s="1"/>
    </row>
    <row r="788">
      <c r="A788" s="266">
        <v>7600.0</v>
      </c>
      <c r="B788" s="266"/>
      <c r="C788" s="266">
        <v>5.0</v>
      </c>
      <c r="D788" s="266" t="s">
        <v>6306</v>
      </c>
      <c r="E788" s="266"/>
      <c r="F788" s="266"/>
      <c r="G788" s="266" t="s">
        <v>6304</v>
      </c>
      <c r="H788" s="266" t="s">
        <v>6944</v>
      </c>
      <c r="I788" s="266"/>
      <c r="J788" s="266"/>
      <c r="K788" s="1"/>
      <c r="L788" s="1"/>
    </row>
    <row r="789">
      <c r="A789" s="266">
        <v>50.0</v>
      </c>
      <c r="B789" s="266">
        <v>1.0</v>
      </c>
      <c r="C789" s="266"/>
      <c r="D789" s="266" t="s">
        <v>6945</v>
      </c>
      <c r="E789" s="266"/>
      <c r="F789" s="266"/>
      <c r="G789" s="266"/>
      <c r="H789" s="266"/>
      <c r="I789" s="266"/>
      <c r="J789" s="267"/>
    </row>
    <row r="790">
      <c r="A790" s="266">
        <v>100.0</v>
      </c>
      <c r="B790" s="266"/>
      <c r="C790" s="266">
        <v>5.0</v>
      </c>
      <c r="D790" s="266" t="s">
        <v>6946</v>
      </c>
      <c r="E790" s="266"/>
      <c r="F790" s="266"/>
      <c r="G790" s="266" t="s">
        <v>6304</v>
      </c>
      <c r="H790" s="266" t="s">
        <v>552</v>
      </c>
      <c r="I790" s="266"/>
      <c r="J790" s="266"/>
      <c r="K790" s="1"/>
      <c r="L790" s="1"/>
    </row>
    <row r="791">
      <c r="A791" s="266">
        <v>200.0</v>
      </c>
      <c r="B791" s="266"/>
      <c r="C791" s="266">
        <v>5.0</v>
      </c>
      <c r="D791" s="266" t="s">
        <v>6947</v>
      </c>
      <c r="E791" s="266"/>
      <c r="F791" s="266"/>
      <c r="G791" s="266" t="s">
        <v>6304</v>
      </c>
      <c r="H791" s="266" t="s">
        <v>6591</v>
      </c>
      <c r="I791" s="266" t="s">
        <v>6305</v>
      </c>
      <c r="J791" s="266"/>
      <c r="K791" s="1"/>
      <c r="L791" s="1"/>
    </row>
    <row r="792">
      <c r="A792" s="266">
        <v>300.0</v>
      </c>
      <c r="B792" s="266"/>
      <c r="C792" s="266">
        <v>5.0</v>
      </c>
      <c r="D792" s="266" t="s">
        <v>6948</v>
      </c>
      <c r="E792" s="266"/>
      <c r="F792" s="266"/>
      <c r="G792" s="266" t="s">
        <v>6304</v>
      </c>
      <c r="H792" s="266" t="s">
        <v>560</v>
      </c>
      <c r="I792" s="266"/>
      <c r="J792" s="266"/>
      <c r="K792" s="1"/>
      <c r="L792" s="1"/>
    </row>
    <row r="793">
      <c r="A793" s="266">
        <v>400.0</v>
      </c>
      <c r="B793" s="266"/>
      <c r="C793" s="266">
        <v>5.0</v>
      </c>
      <c r="D793" s="266" t="s">
        <v>6949</v>
      </c>
      <c r="E793" s="266"/>
      <c r="F793" s="266"/>
      <c r="G793" s="266" t="s">
        <v>6304</v>
      </c>
      <c r="H793" s="266" t="s">
        <v>552</v>
      </c>
      <c r="I793" s="266"/>
      <c r="J793" s="266"/>
      <c r="K793" s="1"/>
      <c r="L793" s="1"/>
    </row>
    <row r="794">
      <c r="A794" s="266">
        <v>500.0</v>
      </c>
      <c r="B794" s="266"/>
      <c r="C794" s="266">
        <v>5.0</v>
      </c>
      <c r="D794" s="266" t="s">
        <v>6950</v>
      </c>
      <c r="E794" s="266"/>
      <c r="F794" s="266"/>
      <c r="G794" s="266" t="s">
        <v>6304</v>
      </c>
      <c r="H794" s="266" t="s">
        <v>6591</v>
      </c>
      <c r="I794" s="266" t="s">
        <v>6305</v>
      </c>
      <c r="J794" s="266"/>
      <c r="K794" s="1"/>
      <c r="L794" s="1"/>
    </row>
    <row r="795">
      <c r="A795" s="266">
        <v>600.0</v>
      </c>
      <c r="B795" s="266"/>
      <c r="C795" s="266">
        <v>5.0</v>
      </c>
      <c r="D795" s="266" t="s">
        <v>6951</v>
      </c>
      <c r="E795" s="266"/>
      <c r="F795" s="266"/>
      <c r="G795" s="266" t="s">
        <v>6304</v>
      </c>
      <c r="H795" s="266" t="s">
        <v>560</v>
      </c>
      <c r="I795" s="266"/>
      <c r="J795" s="266"/>
      <c r="K795" s="1"/>
      <c r="L795" s="1"/>
    </row>
    <row r="796">
      <c r="A796" s="266">
        <v>700.0</v>
      </c>
      <c r="B796" s="266"/>
      <c r="C796" s="266">
        <v>5.0</v>
      </c>
      <c r="D796" s="266" t="s">
        <v>6952</v>
      </c>
      <c r="E796" s="266"/>
      <c r="F796" s="266"/>
      <c r="G796" s="266" t="s">
        <v>6304</v>
      </c>
      <c r="H796" s="266" t="s">
        <v>557</v>
      </c>
      <c r="I796" s="266"/>
      <c r="J796" s="266"/>
      <c r="K796" s="1"/>
      <c r="L796" s="1"/>
    </row>
    <row r="797">
      <c r="A797" s="266">
        <v>800.0</v>
      </c>
      <c r="B797" s="266"/>
      <c r="C797" s="266">
        <v>5.0</v>
      </c>
      <c r="D797" s="266" t="s">
        <v>6953</v>
      </c>
      <c r="E797" s="266"/>
      <c r="F797" s="266"/>
      <c r="G797" s="266" t="s">
        <v>6304</v>
      </c>
      <c r="H797" s="266" t="s">
        <v>6591</v>
      </c>
      <c r="I797" s="266" t="s">
        <v>6305</v>
      </c>
      <c r="J797" s="266"/>
      <c r="K797" s="1"/>
      <c r="L797" s="1"/>
    </row>
    <row r="798">
      <c r="A798" s="266">
        <v>900.0</v>
      </c>
      <c r="B798" s="266"/>
      <c r="C798" s="266">
        <v>5.0</v>
      </c>
      <c r="D798" s="266" t="s">
        <v>6954</v>
      </c>
      <c r="E798" s="266"/>
      <c r="F798" s="266"/>
      <c r="G798" s="266" t="s">
        <v>6304</v>
      </c>
      <c r="H798" s="266" t="s">
        <v>560</v>
      </c>
      <c r="I798" s="266"/>
      <c r="J798" s="266"/>
      <c r="K798" s="1"/>
      <c r="L798" s="1"/>
    </row>
    <row r="799">
      <c r="A799" s="266">
        <v>1000.0</v>
      </c>
      <c r="B799" s="266"/>
      <c r="C799" s="266">
        <v>5.0</v>
      </c>
      <c r="D799" s="266" t="s">
        <v>6955</v>
      </c>
      <c r="E799" s="266"/>
      <c r="F799" s="266"/>
      <c r="G799" s="266" t="s">
        <v>6304</v>
      </c>
      <c r="H799" s="266" t="s">
        <v>557</v>
      </c>
      <c r="I799" s="266"/>
      <c r="J799" s="266"/>
      <c r="K799" s="1"/>
      <c r="L799" s="1"/>
    </row>
    <row r="800">
      <c r="A800" s="266">
        <v>1100.0</v>
      </c>
      <c r="B800" s="266"/>
      <c r="C800" s="266">
        <v>5.0</v>
      </c>
      <c r="D800" s="266" t="s">
        <v>6956</v>
      </c>
      <c r="E800" s="266"/>
      <c r="F800" s="266"/>
      <c r="G800" s="266" t="s">
        <v>6304</v>
      </c>
      <c r="H800" s="266" t="s">
        <v>557</v>
      </c>
      <c r="I800" s="266"/>
      <c r="J800" s="266"/>
      <c r="K800" s="1"/>
      <c r="L800" s="1"/>
    </row>
    <row r="801">
      <c r="A801" s="266">
        <v>1200.0</v>
      </c>
      <c r="B801" s="266"/>
      <c r="C801" s="266">
        <v>5.0</v>
      </c>
      <c r="D801" s="266" t="s">
        <v>6957</v>
      </c>
      <c r="E801" s="266"/>
      <c r="F801" s="266"/>
      <c r="G801" s="266" t="s">
        <v>6304</v>
      </c>
      <c r="H801" s="266" t="s">
        <v>560</v>
      </c>
      <c r="I801" s="266"/>
      <c r="J801" s="266"/>
      <c r="K801" s="1"/>
      <c r="L801" s="1"/>
    </row>
    <row r="802">
      <c r="A802" s="266">
        <v>1300.0</v>
      </c>
      <c r="B802" s="266"/>
      <c r="C802" s="266">
        <v>5.0</v>
      </c>
      <c r="D802" s="266" t="s">
        <v>6958</v>
      </c>
      <c r="E802" s="266"/>
      <c r="F802" s="266"/>
      <c r="G802" s="266" t="s">
        <v>6304</v>
      </c>
      <c r="H802" s="266" t="s">
        <v>560</v>
      </c>
      <c r="I802" s="266"/>
      <c r="J802" s="266"/>
      <c r="K802" s="1"/>
      <c r="L802" s="1"/>
    </row>
    <row r="803">
      <c r="A803" s="266">
        <v>1400.0</v>
      </c>
      <c r="B803" s="266"/>
      <c r="C803" s="266">
        <v>5.0</v>
      </c>
      <c r="D803" s="266" t="s">
        <v>6959</v>
      </c>
      <c r="E803" s="266"/>
      <c r="F803" s="266"/>
      <c r="G803" s="266" t="s">
        <v>6304</v>
      </c>
      <c r="H803" s="266" t="s">
        <v>560</v>
      </c>
      <c r="I803" s="266"/>
      <c r="J803" s="266"/>
      <c r="K803" s="1"/>
      <c r="L803" s="1"/>
    </row>
    <row r="804">
      <c r="A804" s="266">
        <v>1500.0</v>
      </c>
      <c r="B804" s="266"/>
      <c r="C804" s="266">
        <v>5.0</v>
      </c>
      <c r="D804" s="266" t="s">
        <v>6960</v>
      </c>
      <c r="E804" s="266"/>
      <c r="F804" s="266"/>
      <c r="G804" s="266" t="s">
        <v>6304</v>
      </c>
      <c r="H804" s="266" t="s">
        <v>560</v>
      </c>
      <c r="I804" s="266"/>
      <c r="J804" s="266"/>
      <c r="K804" s="1"/>
      <c r="L804" s="1"/>
    </row>
    <row r="805">
      <c r="A805" s="266">
        <v>1600.0</v>
      </c>
      <c r="B805" s="266"/>
      <c r="C805" s="266">
        <v>5.0</v>
      </c>
      <c r="D805" s="266" t="s">
        <v>6961</v>
      </c>
      <c r="E805" s="266"/>
      <c r="F805" s="266"/>
      <c r="G805" s="266" t="s">
        <v>6304</v>
      </c>
      <c r="H805" s="266" t="s">
        <v>6962</v>
      </c>
      <c r="I805" s="266"/>
      <c r="J805" s="266"/>
      <c r="K805" s="1"/>
      <c r="L805" s="1"/>
    </row>
    <row r="806">
      <c r="A806" s="266">
        <v>50.0</v>
      </c>
      <c r="B806" s="266">
        <v>1.0</v>
      </c>
      <c r="C806" s="266"/>
      <c r="D806" s="266" t="s">
        <v>6963</v>
      </c>
      <c r="E806" s="266"/>
      <c r="F806" s="266"/>
      <c r="G806" s="266"/>
      <c r="H806" s="266"/>
      <c r="I806" s="266"/>
      <c r="J806" s="267"/>
    </row>
    <row r="807">
      <c r="A807" s="266">
        <v>100.0</v>
      </c>
      <c r="B807" s="266"/>
      <c r="C807" s="266">
        <v>5.0</v>
      </c>
      <c r="D807" s="266" t="s">
        <v>6964</v>
      </c>
      <c r="E807" s="266"/>
      <c r="F807" s="266"/>
      <c r="G807" s="266" t="s">
        <v>6304</v>
      </c>
      <c r="H807" s="266" t="s">
        <v>556</v>
      </c>
      <c r="I807" s="266"/>
      <c r="J807" s="266"/>
      <c r="K807" s="1"/>
      <c r="L807" s="1"/>
    </row>
    <row r="808">
      <c r="A808" s="266">
        <v>200.0</v>
      </c>
      <c r="B808" s="266"/>
      <c r="C808" s="266">
        <v>5.0</v>
      </c>
      <c r="D808" s="266" t="s">
        <v>6306</v>
      </c>
      <c r="E808" s="266"/>
      <c r="F808" s="266"/>
      <c r="G808" s="266" t="s">
        <v>6304</v>
      </c>
      <c r="H808" s="266" t="s">
        <v>6965</v>
      </c>
      <c r="I808" s="266"/>
      <c r="J808" s="266"/>
      <c r="K808" s="1"/>
      <c r="L808" s="1"/>
    </row>
    <row r="809">
      <c r="A809" s="266">
        <v>50.0</v>
      </c>
      <c r="B809" s="266">
        <v>1.0</v>
      </c>
      <c r="C809" s="266"/>
      <c r="D809" s="266" t="s">
        <v>6966</v>
      </c>
      <c r="E809" s="266"/>
      <c r="F809" s="266"/>
      <c r="G809" s="266"/>
      <c r="H809" s="266"/>
      <c r="I809" s="266"/>
      <c r="J809" s="267"/>
    </row>
    <row r="810">
      <c r="A810" s="266">
        <v>100.0</v>
      </c>
      <c r="B810" s="266"/>
      <c r="C810" s="266">
        <v>5.0</v>
      </c>
      <c r="D810" s="266" t="s">
        <v>6967</v>
      </c>
      <c r="E810" s="266"/>
      <c r="F810" s="266"/>
      <c r="G810" s="266" t="s">
        <v>6304</v>
      </c>
      <c r="H810" s="266" t="s">
        <v>6315</v>
      </c>
      <c r="I810" s="266"/>
      <c r="J810" s="266"/>
      <c r="K810" s="1"/>
      <c r="L810" s="1"/>
    </row>
    <row r="811">
      <c r="A811" s="266">
        <v>200.0</v>
      </c>
      <c r="B811" s="266"/>
      <c r="C811" s="266">
        <v>5.0</v>
      </c>
      <c r="D811" s="266" t="s">
        <v>6968</v>
      </c>
      <c r="E811" s="266"/>
      <c r="F811" s="266"/>
      <c r="G811" s="266" t="s">
        <v>6304</v>
      </c>
      <c r="H811" s="266" t="s">
        <v>555</v>
      </c>
      <c r="I811" s="266"/>
      <c r="J811" s="266"/>
      <c r="K811" s="1"/>
      <c r="L811" s="1"/>
    </row>
    <row r="812">
      <c r="A812" s="266">
        <v>300.0</v>
      </c>
      <c r="B812" s="266"/>
      <c r="C812" s="266">
        <v>5.0</v>
      </c>
      <c r="D812" s="266" t="s">
        <v>6969</v>
      </c>
      <c r="E812" s="266"/>
      <c r="F812" s="266"/>
      <c r="G812" s="266" t="s">
        <v>6304</v>
      </c>
      <c r="H812" s="266" t="s">
        <v>6315</v>
      </c>
      <c r="I812" s="266"/>
      <c r="J812" s="266"/>
      <c r="K812" s="1"/>
      <c r="L812" s="1"/>
    </row>
    <row r="813">
      <c r="A813" s="266">
        <v>400.0</v>
      </c>
      <c r="B813" s="266"/>
      <c r="C813" s="266">
        <v>5.0</v>
      </c>
      <c r="D813" s="266" t="s">
        <v>6970</v>
      </c>
      <c r="E813" s="266"/>
      <c r="F813" s="266"/>
      <c r="G813" s="266" t="s">
        <v>6304</v>
      </c>
      <c r="H813" s="266" t="s">
        <v>555</v>
      </c>
      <c r="I813" s="266"/>
      <c r="J813" s="266"/>
      <c r="K813" s="1"/>
      <c r="L813" s="1"/>
    </row>
    <row r="814">
      <c r="A814" s="266">
        <v>500.0</v>
      </c>
      <c r="B814" s="266"/>
      <c r="C814" s="266">
        <v>5.0</v>
      </c>
      <c r="D814" s="266" t="s">
        <v>6971</v>
      </c>
      <c r="E814" s="266"/>
      <c r="F814" s="266"/>
      <c r="G814" s="266" t="s">
        <v>6304</v>
      </c>
      <c r="H814" s="266" t="s">
        <v>555</v>
      </c>
      <c r="I814" s="266"/>
      <c r="J814" s="266"/>
      <c r="K814" s="1"/>
      <c r="L814" s="1"/>
    </row>
    <row r="815">
      <c r="A815" s="266">
        <v>600.0</v>
      </c>
      <c r="B815" s="266"/>
      <c r="C815" s="266">
        <v>5.0</v>
      </c>
      <c r="D815" s="266" t="s">
        <v>6972</v>
      </c>
      <c r="E815" s="266"/>
      <c r="F815" s="266"/>
      <c r="G815" s="266" t="s">
        <v>6304</v>
      </c>
      <c r="H815" s="266" t="s">
        <v>555</v>
      </c>
      <c r="I815" s="266"/>
      <c r="J815" s="266"/>
      <c r="K815" s="1"/>
      <c r="L815" s="1"/>
    </row>
    <row r="816">
      <c r="A816" s="266">
        <v>700.0</v>
      </c>
      <c r="B816" s="266"/>
      <c r="C816" s="266">
        <v>5.0</v>
      </c>
      <c r="D816" s="266" t="s">
        <v>6973</v>
      </c>
      <c r="E816" s="266"/>
      <c r="F816" s="266"/>
      <c r="G816" s="266" t="s">
        <v>6304</v>
      </c>
      <c r="H816" s="266" t="s">
        <v>555</v>
      </c>
      <c r="I816" s="266"/>
      <c r="J816" s="266"/>
      <c r="K816" s="1"/>
      <c r="L816" s="1"/>
    </row>
    <row r="817">
      <c r="A817" s="266">
        <v>800.0</v>
      </c>
      <c r="B817" s="266"/>
      <c r="C817" s="266">
        <v>5.0</v>
      </c>
      <c r="D817" s="266" t="s">
        <v>6974</v>
      </c>
      <c r="E817" s="266"/>
      <c r="F817" s="266"/>
      <c r="G817" s="266" t="s">
        <v>6304</v>
      </c>
      <c r="H817" s="266" t="s">
        <v>560</v>
      </c>
      <c r="I817" s="266"/>
      <c r="J817" s="266"/>
      <c r="K817" s="1"/>
      <c r="L817" s="1"/>
    </row>
    <row r="818">
      <c r="A818" s="266">
        <v>900.0</v>
      </c>
      <c r="B818" s="266"/>
      <c r="C818" s="266">
        <v>5.0</v>
      </c>
      <c r="D818" s="266" t="s">
        <v>6975</v>
      </c>
      <c r="E818" s="266"/>
      <c r="F818" s="266"/>
      <c r="G818" s="266" t="s">
        <v>6304</v>
      </c>
      <c r="H818" s="266" t="s">
        <v>6976</v>
      </c>
      <c r="I818" s="266" t="s">
        <v>6305</v>
      </c>
      <c r="J818" s="266"/>
      <c r="K818" s="1"/>
      <c r="L818" s="1"/>
    </row>
    <row r="819">
      <c r="A819" s="266">
        <v>1000.0</v>
      </c>
      <c r="B819" s="266"/>
      <c r="C819" s="266">
        <v>5.0</v>
      </c>
      <c r="D819" s="266" t="s">
        <v>6977</v>
      </c>
      <c r="E819" s="266"/>
      <c r="F819" s="266"/>
      <c r="G819" s="266" t="s">
        <v>6304</v>
      </c>
      <c r="H819" s="266" t="s">
        <v>6650</v>
      </c>
      <c r="I819" s="266" t="s">
        <v>6305</v>
      </c>
      <c r="J819" s="266"/>
      <c r="K819" s="1"/>
      <c r="L819" s="1"/>
    </row>
    <row r="820">
      <c r="A820" s="266">
        <v>1100.0</v>
      </c>
      <c r="B820" s="266"/>
      <c r="C820" s="266">
        <v>5.0</v>
      </c>
      <c r="D820" s="266" t="s">
        <v>6978</v>
      </c>
      <c r="E820" s="266"/>
      <c r="F820" s="266"/>
      <c r="G820" s="266" t="s">
        <v>6304</v>
      </c>
      <c r="H820" s="266" t="s">
        <v>6650</v>
      </c>
      <c r="I820" s="266" t="s">
        <v>6305</v>
      </c>
      <c r="J820" s="266"/>
      <c r="K820" s="1"/>
      <c r="L820" s="1"/>
    </row>
    <row r="821">
      <c r="A821" s="266">
        <v>1200.0</v>
      </c>
      <c r="B821" s="266"/>
      <c r="C821" s="266">
        <v>5.0</v>
      </c>
      <c r="D821" s="266" t="s">
        <v>6979</v>
      </c>
      <c r="E821" s="266"/>
      <c r="F821" s="266"/>
      <c r="G821" s="266" t="s">
        <v>6304</v>
      </c>
      <c r="H821" s="266" t="s">
        <v>561</v>
      </c>
      <c r="I821" s="266"/>
      <c r="J821" s="266"/>
      <c r="K821" s="1"/>
      <c r="L821" s="1"/>
    </row>
    <row r="822">
      <c r="A822" s="266">
        <v>1300.0</v>
      </c>
      <c r="B822" s="266"/>
      <c r="C822" s="266">
        <v>5.0</v>
      </c>
      <c r="D822" s="266" t="s">
        <v>6980</v>
      </c>
      <c r="E822" s="266"/>
      <c r="F822" s="266"/>
      <c r="G822" s="266" t="s">
        <v>6304</v>
      </c>
      <c r="H822" s="266" t="s">
        <v>555</v>
      </c>
      <c r="I822" s="266"/>
      <c r="J822" s="266"/>
      <c r="K822" s="1"/>
      <c r="L822" s="1"/>
    </row>
    <row r="823">
      <c r="A823" s="266">
        <v>1400.0</v>
      </c>
      <c r="B823" s="266"/>
      <c r="C823" s="266">
        <v>5.0</v>
      </c>
      <c r="D823" s="266" t="s">
        <v>6981</v>
      </c>
      <c r="E823" s="266"/>
      <c r="F823" s="266"/>
      <c r="G823" s="266" t="s">
        <v>6304</v>
      </c>
      <c r="H823" s="266" t="s">
        <v>3806</v>
      </c>
      <c r="I823" s="266"/>
      <c r="J823" s="266"/>
      <c r="K823" s="1"/>
      <c r="L823" s="1"/>
    </row>
    <row r="824">
      <c r="A824" s="266">
        <v>1500.0</v>
      </c>
      <c r="B824" s="266"/>
      <c r="C824" s="266">
        <v>5.0</v>
      </c>
      <c r="D824" s="266" t="s">
        <v>6982</v>
      </c>
      <c r="E824" s="266"/>
      <c r="F824" s="266"/>
      <c r="G824" s="266" t="s">
        <v>6304</v>
      </c>
      <c r="H824" s="266" t="s">
        <v>3806</v>
      </c>
      <c r="I824" s="266"/>
      <c r="J824" s="266"/>
      <c r="K824" s="1"/>
      <c r="L824" s="1"/>
    </row>
    <row r="825">
      <c r="A825" s="266">
        <v>1600.0</v>
      </c>
      <c r="B825" s="266"/>
      <c r="C825" s="266">
        <v>5.0</v>
      </c>
      <c r="D825" s="266" t="s">
        <v>6983</v>
      </c>
      <c r="E825" s="266"/>
      <c r="F825" s="266"/>
      <c r="G825" s="266" t="s">
        <v>6304</v>
      </c>
      <c r="H825" s="266" t="s">
        <v>555</v>
      </c>
      <c r="I825" s="266"/>
      <c r="J825" s="266"/>
      <c r="K825" s="1"/>
      <c r="L825" s="1"/>
    </row>
    <row r="826">
      <c r="A826" s="266">
        <v>1700.0</v>
      </c>
      <c r="B826" s="266"/>
      <c r="C826" s="266">
        <v>5.0</v>
      </c>
      <c r="D826" s="266" t="s">
        <v>6984</v>
      </c>
      <c r="E826" s="266"/>
      <c r="F826" s="266"/>
      <c r="G826" s="266" t="s">
        <v>6304</v>
      </c>
      <c r="H826" s="266" t="s">
        <v>561</v>
      </c>
      <c r="I826" s="266"/>
      <c r="J826" s="266"/>
      <c r="K826" s="1"/>
      <c r="L826" s="1"/>
    </row>
    <row r="827">
      <c r="A827" s="266">
        <v>1800.0</v>
      </c>
      <c r="B827" s="266"/>
      <c r="C827" s="266">
        <v>5.0</v>
      </c>
      <c r="D827" s="266" t="s">
        <v>6985</v>
      </c>
      <c r="E827" s="266"/>
      <c r="F827" s="266"/>
      <c r="G827" s="266" t="s">
        <v>6304</v>
      </c>
      <c r="H827" s="266" t="s">
        <v>561</v>
      </c>
      <c r="I827" s="266"/>
      <c r="J827" s="266"/>
      <c r="K827" s="1"/>
      <c r="L827" s="1"/>
    </row>
    <row r="828">
      <c r="A828" s="266">
        <v>1900.0</v>
      </c>
      <c r="B828" s="266"/>
      <c r="C828" s="266">
        <v>5.0</v>
      </c>
      <c r="D828" s="266" t="s">
        <v>6986</v>
      </c>
      <c r="E828" s="266"/>
      <c r="F828" s="266"/>
      <c r="G828" s="266" t="s">
        <v>6304</v>
      </c>
      <c r="H828" s="266" t="s">
        <v>559</v>
      </c>
      <c r="I828" s="266"/>
      <c r="J828" s="266"/>
      <c r="K828" s="1"/>
      <c r="L828" s="1"/>
    </row>
    <row r="829">
      <c r="A829" s="266">
        <v>2000.0</v>
      </c>
      <c r="B829" s="266"/>
      <c r="C829" s="266">
        <v>5.0</v>
      </c>
      <c r="D829" s="266" t="s">
        <v>6987</v>
      </c>
      <c r="E829" s="266"/>
      <c r="F829" s="266"/>
      <c r="G829" s="266" t="s">
        <v>6304</v>
      </c>
      <c r="H829" s="266" t="s">
        <v>3806</v>
      </c>
      <c r="I829" s="266"/>
      <c r="J829" s="266"/>
      <c r="K829" s="1"/>
      <c r="L829" s="1"/>
    </row>
    <row r="830">
      <c r="A830" s="266">
        <v>2100.0</v>
      </c>
      <c r="B830" s="266"/>
      <c r="C830" s="266">
        <v>5.0</v>
      </c>
      <c r="D830" s="266" t="s">
        <v>6988</v>
      </c>
      <c r="E830" s="266"/>
      <c r="F830" s="266"/>
      <c r="G830" s="266" t="s">
        <v>6304</v>
      </c>
      <c r="H830" s="266" t="s">
        <v>555</v>
      </c>
      <c r="I830" s="266"/>
      <c r="J830" s="266"/>
      <c r="K830" s="1"/>
      <c r="L830" s="1"/>
    </row>
    <row r="831">
      <c r="A831" s="266">
        <v>2200.0</v>
      </c>
      <c r="B831" s="266"/>
      <c r="C831" s="266">
        <v>5.0</v>
      </c>
      <c r="D831" s="266" t="s">
        <v>6989</v>
      </c>
      <c r="E831" s="266"/>
      <c r="F831" s="266"/>
      <c r="G831" s="266" t="s">
        <v>6304</v>
      </c>
      <c r="H831" s="266" t="s">
        <v>3806</v>
      </c>
      <c r="I831" s="266"/>
      <c r="J831" s="266"/>
      <c r="K831" s="1"/>
      <c r="L831" s="1"/>
    </row>
    <row r="832">
      <c r="A832" s="266">
        <v>2300.0</v>
      </c>
      <c r="B832" s="266"/>
      <c r="C832" s="266">
        <v>5.0</v>
      </c>
      <c r="D832" s="266" t="s">
        <v>6990</v>
      </c>
      <c r="E832" s="266"/>
      <c r="F832" s="266"/>
      <c r="G832" s="266" t="s">
        <v>6304</v>
      </c>
      <c r="H832" s="266" t="s">
        <v>555</v>
      </c>
      <c r="I832" s="266"/>
      <c r="J832" s="266"/>
      <c r="K832" s="1"/>
      <c r="L832" s="1"/>
    </row>
    <row r="833">
      <c r="A833" s="266">
        <v>2400.0</v>
      </c>
      <c r="B833" s="266"/>
      <c r="C833" s="266">
        <v>5.0</v>
      </c>
      <c r="D833" s="266" t="s">
        <v>6991</v>
      </c>
      <c r="E833" s="266"/>
      <c r="F833" s="266"/>
      <c r="G833" s="266" t="s">
        <v>6304</v>
      </c>
      <c r="H833" s="266" t="s">
        <v>559</v>
      </c>
      <c r="I833" s="266"/>
      <c r="J833" s="266"/>
      <c r="K833" s="1"/>
      <c r="L833" s="1"/>
    </row>
    <row r="834">
      <c r="A834" s="266">
        <v>2500.0</v>
      </c>
      <c r="B834" s="266"/>
      <c r="C834" s="266">
        <v>5.0</v>
      </c>
      <c r="D834" s="266" t="s">
        <v>6992</v>
      </c>
      <c r="E834" s="266"/>
      <c r="F834" s="266"/>
      <c r="G834" s="266" t="s">
        <v>6304</v>
      </c>
      <c r="H834" s="266" t="s">
        <v>561</v>
      </c>
      <c r="I834" s="266"/>
      <c r="J834" s="266"/>
      <c r="K834" s="1"/>
      <c r="L834" s="1"/>
    </row>
    <row r="835">
      <c r="A835" s="266">
        <v>2600.0</v>
      </c>
      <c r="B835" s="266"/>
      <c r="C835" s="266">
        <v>5.0</v>
      </c>
      <c r="D835" s="266" t="s">
        <v>6993</v>
      </c>
      <c r="E835" s="266"/>
      <c r="F835" s="266"/>
      <c r="G835" s="266" t="s">
        <v>6304</v>
      </c>
      <c r="H835" s="266" t="s">
        <v>555</v>
      </c>
      <c r="I835" s="266"/>
      <c r="J835" s="266"/>
      <c r="K835" s="1"/>
      <c r="L835" s="1"/>
    </row>
    <row r="836">
      <c r="A836" s="266">
        <v>2700.0</v>
      </c>
      <c r="B836" s="266"/>
      <c r="C836" s="266">
        <v>5.0</v>
      </c>
      <c r="D836" s="266" t="s">
        <v>6994</v>
      </c>
      <c r="E836" s="266"/>
      <c r="F836" s="266"/>
      <c r="G836" s="266" t="s">
        <v>6304</v>
      </c>
      <c r="H836" s="266" t="s">
        <v>3806</v>
      </c>
      <c r="I836" s="266"/>
      <c r="J836" s="266"/>
      <c r="K836" s="1"/>
      <c r="L836" s="1"/>
    </row>
    <row r="837">
      <c r="A837" s="266">
        <v>2800.0</v>
      </c>
      <c r="B837" s="266"/>
      <c r="C837" s="266">
        <v>5.0</v>
      </c>
      <c r="D837" s="266" t="s">
        <v>6995</v>
      </c>
      <c r="E837" s="266"/>
      <c r="F837" s="266"/>
      <c r="G837" s="266" t="s">
        <v>6304</v>
      </c>
      <c r="H837" s="266" t="s">
        <v>7</v>
      </c>
      <c r="I837" s="266" t="s">
        <v>6305</v>
      </c>
      <c r="J837" s="266"/>
      <c r="K837" s="1"/>
      <c r="L837" s="1"/>
    </row>
    <row r="838">
      <c r="A838" s="266">
        <v>2900.0</v>
      </c>
      <c r="B838" s="266"/>
      <c r="C838" s="266">
        <v>5.0</v>
      </c>
      <c r="D838" s="266" t="s">
        <v>6996</v>
      </c>
      <c r="E838" s="266"/>
      <c r="F838" s="266"/>
      <c r="G838" s="266" t="s">
        <v>6304</v>
      </c>
      <c r="H838" s="266" t="s">
        <v>555</v>
      </c>
      <c r="I838" s="266"/>
      <c r="J838" s="266"/>
      <c r="K838" s="1"/>
      <c r="L838" s="1"/>
    </row>
    <row r="839">
      <c r="A839" s="266">
        <v>3000.0</v>
      </c>
      <c r="B839" s="266"/>
      <c r="C839" s="266">
        <v>5.0</v>
      </c>
      <c r="D839" s="266" t="s">
        <v>6997</v>
      </c>
      <c r="E839" s="266"/>
      <c r="F839" s="266"/>
      <c r="G839" s="266" t="s">
        <v>6304</v>
      </c>
      <c r="H839" s="266" t="s">
        <v>555</v>
      </c>
      <c r="I839" s="266"/>
      <c r="J839" s="266"/>
      <c r="K839" s="1"/>
      <c r="L839" s="1"/>
    </row>
    <row r="840">
      <c r="A840" s="266">
        <v>3100.0</v>
      </c>
      <c r="B840" s="266"/>
      <c r="C840" s="266">
        <v>5.0</v>
      </c>
      <c r="D840" s="266" t="s">
        <v>6998</v>
      </c>
      <c r="E840" s="266"/>
      <c r="F840" s="266"/>
      <c r="G840" s="266" t="s">
        <v>6304</v>
      </c>
      <c r="H840" s="266" t="s">
        <v>559</v>
      </c>
      <c r="I840" s="266"/>
      <c r="J840" s="266"/>
      <c r="K840" s="1"/>
      <c r="L840" s="1"/>
    </row>
    <row r="841">
      <c r="A841" s="266">
        <v>3200.0</v>
      </c>
      <c r="B841" s="266"/>
      <c r="C841" s="266">
        <v>5.0</v>
      </c>
      <c r="D841" s="266" t="s">
        <v>6306</v>
      </c>
      <c r="E841" s="266"/>
      <c r="F841" s="266"/>
      <c r="G841" s="266" t="s">
        <v>6304</v>
      </c>
      <c r="H841" s="266" t="s">
        <v>6999</v>
      </c>
      <c r="I841" s="266"/>
      <c r="J841" s="266"/>
      <c r="K841" s="1"/>
      <c r="L841" s="1"/>
    </row>
    <row r="842">
      <c r="A842" s="266">
        <v>50.0</v>
      </c>
      <c r="B842" s="266">
        <v>1.0</v>
      </c>
      <c r="C842" s="266"/>
      <c r="D842" s="266" t="s">
        <v>7000</v>
      </c>
      <c r="E842" s="266"/>
      <c r="F842" s="266"/>
      <c r="G842" s="266"/>
      <c r="H842" s="266"/>
      <c r="I842" s="266"/>
      <c r="J842" s="267"/>
    </row>
    <row r="843">
      <c r="A843" s="266">
        <v>100.0</v>
      </c>
      <c r="B843" s="266"/>
      <c r="C843" s="266">
        <v>5.0</v>
      </c>
      <c r="D843" s="266" t="s">
        <v>7001</v>
      </c>
      <c r="E843" s="266"/>
      <c r="F843" s="266"/>
      <c r="G843" s="266" t="s">
        <v>6304</v>
      </c>
      <c r="H843" s="266" t="s">
        <v>6588</v>
      </c>
      <c r="I843" s="266"/>
      <c r="J843" s="266"/>
      <c r="K843" s="1"/>
      <c r="L843" s="1"/>
    </row>
    <row r="844">
      <c r="A844" s="266">
        <v>200.0</v>
      </c>
      <c r="B844" s="266"/>
      <c r="C844" s="266">
        <v>5.0</v>
      </c>
      <c r="D844" s="266" t="s">
        <v>3804</v>
      </c>
      <c r="E844" s="266"/>
      <c r="F844" s="266"/>
      <c r="G844" s="266" t="s">
        <v>6304</v>
      </c>
      <c r="H844" s="266" t="s">
        <v>5243</v>
      </c>
      <c r="I844" s="266"/>
      <c r="J844" s="266"/>
      <c r="K844" s="1"/>
      <c r="L844" s="1"/>
    </row>
    <row r="845">
      <c r="A845" s="266">
        <v>300.0</v>
      </c>
      <c r="B845" s="266"/>
      <c r="C845" s="266">
        <v>5.0</v>
      </c>
      <c r="D845" s="266" t="s">
        <v>5267</v>
      </c>
      <c r="E845" s="266"/>
      <c r="F845" s="266"/>
      <c r="G845" s="266" t="s">
        <v>6304</v>
      </c>
      <c r="H845" s="266" t="s">
        <v>5244</v>
      </c>
      <c r="I845" s="266"/>
      <c r="J845" s="266"/>
      <c r="K845" s="1"/>
      <c r="L845" s="1"/>
    </row>
    <row r="846">
      <c r="A846" s="266">
        <v>400.0</v>
      </c>
      <c r="B846" s="266"/>
      <c r="C846" s="266">
        <v>5.0</v>
      </c>
      <c r="D846" s="266" t="s">
        <v>6895</v>
      </c>
      <c r="E846" s="266"/>
      <c r="F846" s="266"/>
      <c r="G846" s="266" t="s">
        <v>6304</v>
      </c>
      <c r="H846" s="266" t="s">
        <v>5244</v>
      </c>
      <c r="I846" s="266"/>
      <c r="J846" s="266"/>
      <c r="K846" s="1"/>
      <c r="L846" s="1"/>
    </row>
    <row r="847">
      <c r="A847" s="266">
        <v>500.0</v>
      </c>
      <c r="B847" s="266"/>
      <c r="C847" s="266">
        <v>5.0</v>
      </c>
      <c r="D847" s="266" t="s">
        <v>6896</v>
      </c>
      <c r="E847" s="266"/>
      <c r="F847" s="266"/>
      <c r="G847" s="266" t="s">
        <v>6304</v>
      </c>
      <c r="H847" s="266" t="s">
        <v>5244</v>
      </c>
      <c r="I847" s="266"/>
      <c r="J847" s="266"/>
      <c r="K847" s="1"/>
      <c r="L847" s="1"/>
    </row>
    <row r="848">
      <c r="A848" s="266">
        <v>600.0</v>
      </c>
      <c r="B848" s="266"/>
      <c r="C848" s="266">
        <v>5.0</v>
      </c>
      <c r="D848" s="266" t="s">
        <v>7002</v>
      </c>
      <c r="E848" s="266"/>
      <c r="F848" s="266"/>
      <c r="G848" s="266" t="s">
        <v>6304</v>
      </c>
      <c r="H848" s="266" t="s">
        <v>6331</v>
      </c>
      <c r="I848" s="266"/>
      <c r="J848" s="266"/>
      <c r="K848" s="1"/>
      <c r="L848" s="1"/>
    </row>
    <row r="849">
      <c r="A849" s="266">
        <v>700.0</v>
      </c>
      <c r="B849" s="266"/>
      <c r="C849" s="266">
        <v>5.0</v>
      </c>
      <c r="D849" s="266" t="s">
        <v>6481</v>
      </c>
      <c r="E849" s="266"/>
      <c r="F849" s="266"/>
      <c r="G849" s="266"/>
      <c r="H849" s="266"/>
      <c r="I849" s="266"/>
      <c r="J849" s="267"/>
    </row>
    <row r="850">
      <c r="A850" s="266">
        <v>800.0</v>
      </c>
      <c r="B850" s="266"/>
      <c r="C850" s="266">
        <v>10.0</v>
      </c>
      <c r="D850" s="266" t="s">
        <v>6482</v>
      </c>
      <c r="E850" s="266"/>
      <c r="F850" s="266"/>
      <c r="G850" s="266" t="s">
        <v>6304</v>
      </c>
      <c r="H850" s="266" t="s">
        <v>6483</v>
      </c>
      <c r="I850" s="266"/>
      <c r="J850" s="266"/>
      <c r="K850" s="1"/>
      <c r="L850" s="1"/>
    </row>
    <row r="851">
      <c r="A851" s="266">
        <v>900.0</v>
      </c>
      <c r="B851" s="266"/>
      <c r="C851" s="266">
        <v>10.0</v>
      </c>
      <c r="D851" s="266" t="s">
        <v>6484</v>
      </c>
      <c r="E851" s="266"/>
      <c r="F851" s="266"/>
      <c r="G851" s="266" t="s">
        <v>6304</v>
      </c>
      <c r="H851" s="266" t="s">
        <v>6483</v>
      </c>
      <c r="I851" s="266"/>
      <c r="J851" s="266"/>
      <c r="K851" s="1"/>
      <c r="L851" s="1"/>
    </row>
    <row r="852">
      <c r="A852" s="266">
        <v>1000.0</v>
      </c>
      <c r="B852" s="266"/>
      <c r="C852" s="266">
        <v>5.0</v>
      </c>
      <c r="D852" s="266" t="s">
        <v>7003</v>
      </c>
      <c r="E852" s="266"/>
      <c r="F852" s="266"/>
      <c r="G852" s="266"/>
      <c r="H852" s="266"/>
      <c r="I852" s="266"/>
      <c r="J852" s="267"/>
    </row>
    <row r="853">
      <c r="A853" s="266">
        <v>1100.0</v>
      </c>
      <c r="B853" s="266"/>
      <c r="C853" s="266">
        <v>10.0</v>
      </c>
      <c r="D853" s="266" t="s">
        <v>6902</v>
      </c>
      <c r="E853" s="266"/>
      <c r="F853" s="266"/>
      <c r="G853" s="266" t="s">
        <v>6304</v>
      </c>
      <c r="H853" s="266" t="s">
        <v>4103</v>
      </c>
      <c r="I853" s="266"/>
      <c r="J853" s="266"/>
      <c r="K853" s="1"/>
      <c r="L853" s="1"/>
    </row>
    <row r="854">
      <c r="A854" s="266">
        <v>1200.0</v>
      </c>
      <c r="B854" s="266"/>
      <c r="C854" s="266">
        <v>10.0</v>
      </c>
      <c r="D854" s="266" t="s">
        <v>7004</v>
      </c>
      <c r="E854" s="266"/>
      <c r="F854" s="266"/>
      <c r="G854" s="266" t="s">
        <v>6304</v>
      </c>
      <c r="H854" s="266" t="s">
        <v>14</v>
      </c>
      <c r="I854" s="266"/>
      <c r="J854" s="266"/>
      <c r="K854" s="1"/>
      <c r="L854" s="1"/>
    </row>
    <row r="855">
      <c r="A855" s="266">
        <v>1300.0</v>
      </c>
      <c r="B855" s="266"/>
      <c r="C855" s="266">
        <v>5.0</v>
      </c>
      <c r="D855" s="266" t="s">
        <v>6408</v>
      </c>
      <c r="E855" s="266"/>
      <c r="F855" s="266"/>
      <c r="G855" s="266" t="s">
        <v>6304</v>
      </c>
      <c r="H855" s="266" t="s">
        <v>552</v>
      </c>
      <c r="I855" s="266"/>
      <c r="J855" s="266"/>
      <c r="K855" s="1"/>
      <c r="L855" s="1"/>
    </row>
    <row r="856">
      <c r="A856" s="266">
        <v>1400.0</v>
      </c>
      <c r="B856" s="266"/>
      <c r="C856" s="266">
        <v>5.0</v>
      </c>
      <c r="D856" s="266" t="s">
        <v>7005</v>
      </c>
      <c r="E856" s="266"/>
      <c r="F856" s="266"/>
      <c r="G856" s="266" t="s">
        <v>6304</v>
      </c>
      <c r="H856" s="266" t="s">
        <v>560</v>
      </c>
      <c r="I856" s="266"/>
      <c r="J856" s="266"/>
      <c r="K856" s="1"/>
      <c r="L856" s="1"/>
    </row>
    <row r="857">
      <c r="A857" s="266">
        <v>1500.0</v>
      </c>
      <c r="B857" s="266"/>
      <c r="C857" s="266">
        <v>5.0</v>
      </c>
      <c r="D857" s="266" t="s">
        <v>7006</v>
      </c>
      <c r="E857" s="266"/>
      <c r="F857" s="266"/>
      <c r="G857" s="266" t="s">
        <v>6304</v>
      </c>
      <c r="H857" s="266" t="s">
        <v>560</v>
      </c>
      <c r="I857" s="266"/>
      <c r="J857" s="266"/>
      <c r="K857" s="1"/>
      <c r="L857" s="1"/>
    </row>
    <row r="858">
      <c r="A858" s="266">
        <v>1600.0</v>
      </c>
      <c r="B858" s="266"/>
      <c r="C858" s="266">
        <v>5.0</v>
      </c>
      <c r="D858" s="266" t="s">
        <v>7007</v>
      </c>
      <c r="E858" s="266"/>
      <c r="F858" s="266"/>
      <c r="G858" s="266" t="s">
        <v>6304</v>
      </c>
      <c r="H858" s="266" t="s">
        <v>560</v>
      </c>
      <c r="I858" s="266"/>
      <c r="J858" s="266"/>
      <c r="K858" s="1"/>
      <c r="L858" s="1"/>
    </row>
    <row r="859">
      <c r="A859" s="266">
        <v>1700.0</v>
      </c>
      <c r="B859" s="266"/>
      <c r="C859" s="266">
        <v>5.0</v>
      </c>
      <c r="D859" s="266" t="s">
        <v>7008</v>
      </c>
      <c r="E859" s="266"/>
      <c r="F859" s="266"/>
      <c r="G859" s="266" t="s">
        <v>6304</v>
      </c>
      <c r="H859" s="266" t="s">
        <v>557</v>
      </c>
      <c r="I859" s="266"/>
      <c r="J859" s="266"/>
      <c r="K859" s="1"/>
      <c r="L859" s="1"/>
    </row>
    <row r="860">
      <c r="A860" s="266">
        <v>1800.0</v>
      </c>
      <c r="B860" s="266"/>
      <c r="C860" s="266">
        <v>5.0</v>
      </c>
      <c r="D860" s="266" t="s">
        <v>7009</v>
      </c>
      <c r="E860" s="266"/>
      <c r="F860" s="266"/>
      <c r="G860" s="266" t="s">
        <v>6304</v>
      </c>
      <c r="H860" s="266" t="s">
        <v>560</v>
      </c>
      <c r="I860" s="266"/>
      <c r="J860" s="266"/>
      <c r="K860" s="1"/>
      <c r="L860" s="1"/>
    </row>
    <row r="861">
      <c r="A861" s="266">
        <v>1900.0</v>
      </c>
      <c r="B861" s="266"/>
      <c r="C861" s="266">
        <v>5.0</v>
      </c>
      <c r="D861" s="266" t="s">
        <v>7010</v>
      </c>
      <c r="E861" s="266"/>
      <c r="F861" s="266"/>
      <c r="G861" s="266" t="s">
        <v>6304</v>
      </c>
      <c r="H861" s="266" t="s">
        <v>4103</v>
      </c>
      <c r="I861" s="266"/>
      <c r="J861" s="266"/>
      <c r="K861" s="1"/>
      <c r="L861" s="1"/>
    </row>
    <row r="862">
      <c r="A862" s="266">
        <v>2000.0</v>
      </c>
      <c r="B862" s="266"/>
      <c r="C862" s="266">
        <v>5.0</v>
      </c>
      <c r="D862" s="266" t="s">
        <v>7011</v>
      </c>
      <c r="E862" s="266"/>
      <c r="F862" s="266"/>
      <c r="G862" s="266" t="s">
        <v>6304</v>
      </c>
      <c r="H862" s="266" t="s">
        <v>560</v>
      </c>
      <c r="I862" s="266"/>
      <c r="J862" s="266"/>
      <c r="K862" s="1"/>
      <c r="L862" s="1"/>
    </row>
    <row r="863">
      <c r="A863" s="266">
        <v>2100.0</v>
      </c>
      <c r="B863" s="266"/>
      <c r="C863" s="266">
        <v>5.0</v>
      </c>
      <c r="D863" s="266" t="s">
        <v>7012</v>
      </c>
      <c r="E863" s="266"/>
      <c r="F863" s="266"/>
      <c r="G863" s="266" t="s">
        <v>6304</v>
      </c>
      <c r="H863" s="266" t="s">
        <v>560</v>
      </c>
      <c r="I863" s="266"/>
      <c r="J863" s="266"/>
      <c r="K863" s="1"/>
      <c r="L863" s="1"/>
    </row>
    <row r="864">
      <c r="A864" s="266">
        <v>2200.0</v>
      </c>
      <c r="B864" s="266"/>
      <c r="C864" s="266">
        <v>5.0</v>
      </c>
      <c r="D864" s="266" t="s">
        <v>7013</v>
      </c>
      <c r="E864" s="266"/>
      <c r="F864" s="266"/>
      <c r="G864" s="266" t="s">
        <v>6304</v>
      </c>
      <c r="H864" s="266" t="s">
        <v>560</v>
      </c>
      <c r="I864" s="266"/>
      <c r="J864" s="266"/>
      <c r="K864" s="1"/>
      <c r="L864" s="1"/>
    </row>
    <row r="865">
      <c r="A865" s="266">
        <v>2300.0</v>
      </c>
      <c r="B865" s="266"/>
      <c r="C865" s="266">
        <v>5.0</v>
      </c>
      <c r="D865" s="266" t="s">
        <v>7014</v>
      </c>
      <c r="E865" s="266"/>
      <c r="F865" s="266"/>
      <c r="G865" s="266" t="s">
        <v>6304</v>
      </c>
      <c r="H865" s="266" t="s">
        <v>557</v>
      </c>
      <c r="I865" s="266"/>
      <c r="J865" s="266"/>
      <c r="K865" s="1"/>
      <c r="L865" s="1"/>
    </row>
    <row r="866">
      <c r="A866" s="266">
        <v>2400.0</v>
      </c>
      <c r="B866" s="266"/>
      <c r="C866" s="266">
        <v>5.0</v>
      </c>
      <c r="D866" s="266" t="s">
        <v>7015</v>
      </c>
      <c r="E866" s="266"/>
      <c r="F866" s="266"/>
      <c r="G866" s="266" t="s">
        <v>6304</v>
      </c>
      <c r="H866" s="266" t="s">
        <v>560</v>
      </c>
      <c r="I866" s="266"/>
      <c r="J866" s="266"/>
      <c r="K866" s="1"/>
      <c r="L866" s="1"/>
    </row>
    <row r="867">
      <c r="A867" s="266">
        <v>2500.0</v>
      </c>
      <c r="B867" s="266"/>
      <c r="C867" s="266">
        <v>5.0</v>
      </c>
      <c r="D867" s="266" t="s">
        <v>7016</v>
      </c>
      <c r="E867" s="266"/>
      <c r="F867" s="266"/>
      <c r="G867" s="266" t="s">
        <v>6304</v>
      </c>
      <c r="H867" s="266" t="s">
        <v>3808</v>
      </c>
      <c r="I867" s="266" t="s">
        <v>6305</v>
      </c>
      <c r="J867" s="266"/>
      <c r="K867" s="1"/>
      <c r="L867" s="1"/>
    </row>
    <row r="868">
      <c r="A868" s="266">
        <v>2600.0</v>
      </c>
      <c r="B868" s="266"/>
      <c r="C868" s="266">
        <v>5.0</v>
      </c>
      <c r="D868" s="266" t="s">
        <v>7017</v>
      </c>
      <c r="E868" s="266"/>
      <c r="F868" s="266"/>
      <c r="G868" s="266" t="s">
        <v>6304</v>
      </c>
      <c r="H868" s="266" t="s">
        <v>560</v>
      </c>
      <c r="I868" s="266"/>
      <c r="J868" s="266"/>
      <c r="K868" s="1"/>
      <c r="L868" s="1"/>
    </row>
    <row r="869">
      <c r="A869" s="266">
        <v>2700.0</v>
      </c>
      <c r="B869" s="266"/>
      <c r="C869" s="266">
        <v>5.0</v>
      </c>
      <c r="D869" s="266" t="s">
        <v>7018</v>
      </c>
      <c r="E869" s="266"/>
      <c r="F869" s="266"/>
      <c r="G869" s="266" t="s">
        <v>6304</v>
      </c>
      <c r="H869" s="266" t="s">
        <v>4103</v>
      </c>
      <c r="I869" s="266"/>
      <c r="J869" s="266"/>
      <c r="K869" s="1"/>
      <c r="L869" s="1"/>
    </row>
    <row r="870">
      <c r="A870" s="266">
        <v>2800.0</v>
      </c>
      <c r="B870" s="266"/>
      <c r="C870" s="266">
        <v>5.0</v>
      </c>
      <c r="D870" s="266" t="s">
        <v>7019</v>
      </c>
      <c r="E870" s="266"/>
      <c r="F870" s="266"/>
      <c r="G870" s="266" t="s">
        <v>6304</v>
      </c>
      <c r="H870" s="266" t="s">
        <v>560</v>
      </c>
      <c r="I870" s="266"/>
      <c r="J870" s="266"/>
      <c r="K870" s="1"/>
      <c r="L870" s="1"/>
    </row>
    <row r="871">
      <c r="A871" s="266">
        <v>2900.0</v>
      </c>
      <c r="B871" s="266"/>
      <c r="C871" s="266">
        <v>5.0</v>
      </c>
      <c r="D871" s="266" t="s">
        <v>7020</v>
      </c>
      <c r="E871" s="266"/>
      <c r="F871" s="266"/>
      <c r="G871" s="266" t="s">
        <v>6304</v>
      </c>
      <c r="H871" s="266" t="s">
        <v>560</v>
      </c>
      <c r="I871" s="266"/>
      <c r="J871" s="266"/>
      <c r="K871" s="1"/>
      <c r="L871" s="1"/>
    </row>
    <row r="872">
      <c r="A872" s="266">
        <v>3000.0</v>
      </c>
      <c r="B872" s="266"/>
      <c r="C872" s="266">
        <v>5.0</v>
      </c>
      <c r="D872" s="266" t="s">
        <v>7021</v>
      </c>
      <c r="E872" s="266"/>
      <c r="F872" s="266"/>
      <c r="G872" s="266" t="s">
        <v>6304</v>
      </c>
      <c r="H872" s="266" t="s">
        <v>560</v>
      </c>
      <c r="I872" s="266"/>
      <c r="J872" s="266"/>
      <c r="K872" s="1"/>
      <c r="L872" s="1"/>
    </row>
    <row r="873">
      <c r="A873" s="266">
        <v>3100.0</v>
      </c>
      <c r="B873" s="266"/>
      <c r="C873" s="266">
        <v>5.0</v>
      </c>
      <c r="D873" s="266" t="s">
        <v>7022</v>
      </c>
      <c r="E873" s="266"/>
      <c r="F873" s="266"/>
      <c r="G873" s="266" t="s">
        <v>6304</v>
      </c>
      <c r="H873" s="266" t="s">
        <v>557</v>
      </c>
      <c r="I873" s="266"/>
      <c r="J873" s="266"/>
      <c r="K873" s="1"/>
      <c r="L873" s="1"/>
    </row>
    <row r="874">
      <c r="A874" s="266">
        <v>3200.0</v>
      </c>
      <c r="B874" s="266"/>
      <c r="C874" s="266">
        <v>5.0</v>
      </c>
      <c r="D874" s="266" t="s">
        <v>7023</v>
      </c>
      <c r="E874" s="266"/>
      <c r="F874" s="266"/>
      <c r="G874" s="266" t="s">
        <v>6304</v>
      </c>
      <c r="H874" s="266" t="s">
        <v>560</v>
      </c>
      <c r="I874" s="266"/>
      <c r="J874" s="266"/>
      <c r="K874" s="1"/>
      <c r="L874" s="1"/>
    </row>
    <row r="875">
      <c r="A875" s="266">
        <v>3300.0</v>
      </c>
      <c r="B875" s="266"/>
      <c r="C875" s="266">
        <v>5.0</v>
      </c>
      <c r="D875" s="266" t="s">
        <v>7024</v>
      </c>
      <c r="E875" s="266"/>
      <c r="F875" s="266"/>
      <c r="G875" s="266" t="s">
        <v>6304</v>
      </c>
      <c r="H875" s="266" t="s">
        <v>3808</v>
      </c>
      <c r="I875" s="266" t="s">
        <v>6305</v>
      </c>
      <c r="J875" s="266"/>
      <c r="K875" s="1"/>
      <c r="L875" s="1"/>
    </row>
    <row r="876">
      <c r="A876" s="266">
        <v>3400.0</v>
      </c>
      <c r="B876" s="266"/>
      <c r="C876" s="266">
        <v>5.0</v>
      </c>
      <c r="D876" s="266" t="s">
        <v>7025</v>
      </c>
      <c r="E876" s="266"/>
      <c r="F876" s="266"/>
      <c r="G876" s="266" t="s">
        <v>6304</v>
      </c>
      <c r="H876" s="266" t="s">
        <v>560</v>
      </c>
      <c r="I876" s="266"/>
      <c r="J876" s="266"/>
      <c r="K876" s="1"/>
      <c r="L876" s="1"/>
    </row>
    <row r="877">
      <c r="A877" s="266">
        <v>3500.0</v>
      </c>
      <c r="B877" s="266"/>
      <c r="C877" s="266">
        <v>5.0</v>
      </c>
      <c r="D877" s="266" t="s">
        <v>7026</v>
      </c>
      <c r="E877" s="266"/>
      <c r="F877" s="266"/>
      <c r="G877" s="266" t="s">
        <v>6304</v>
      </c>
      <c r="H877" s="266" t="s">
        <v>4103</v>
      </c>
      <c r="I877" s="266"/>
      <c r="J877" s="266"/>
      <c r="K877" s="1"/>
      <c r="L877" s="1"/>
    </row>
    <row r="878">
      <c r="A878" s="266">
        <v>3600.0</v>
      </c>
      <c r="B878" s="266"/>
      <c r="C878" s="266">
        <v>5.0</v>
      </c>
      <c r="D878" s="266" t="s">
        <v>7027</v>
      </c>
      <c r="E878" s="266"/>
      <c r="F878" s="266"/>
      <c r="G878" s="266" t="s">
        <v>6304</v>
      </c>
      <c r="H878" s="266" t="s">
        <v>560</v>
      </c>
      <c r="I878" s="266"/>
      <c r="J878" s="266"/>
      <c r="K878" s="1"/>
      <c r="L878" s="1"/>
    </row>
    <row r="879">
      <c r="A879" s="266">
        <v>3700.0</v>
      </c>
      <c r="B879" s="266"/>
      <c r="C879" s="266">
        <v>5.0</v>
      </c>
      <c r="D879" s="266" t="s">
        <v>7028</v>
      </c>
      <c r="E879" s="266"/>
      <c r="F879" s="266"/>
      <c r="G879" s="266" t="s">
        <v>6304</v>
      </c>
      <c r="H879" s="266" t="s">
        <v>560</v>
      </c>
      <c r="I879" s="266"/>
      <c r="J879" s="266"/>
      <c r="K879" s="1"/>
      <c r="L879" s="1"/>
    </row>
    <row r="880">
      <c r="A880" s="266">
        <v>3800.0</v>
      </c>
      <c r="B880" s="266"/>
      <c r="C880" s="266">
        <v>5.0</v>
      </c>
      <c r="D880" s="266" t="s">
        <v>7029</v>
      </c>
      <c r="E880" s="266"/>
      <c r="F880" s="266"/>
      <c r="G880" s="266" t="s">
        <v>6304</v>
      </c>
      <c r="H880" s="266" t="s">
        <v>560</v>
      </c>
      <c r="I880" s="266"/>
      <c r="J880" s="266"/>
      <c r="K880" s="1"/>
      <c r="L880" s="1"/>
    </row>
    <row r="881">
      <c r="A881" s="266">
        <v>3900.0</v>
      </c>
      <c r="B881" s="266"/>
      <c r="C881" s="266">
        <v>5.0</v>
      </c>
      <c r="D881" s="266" t="s">
        <v>7030</v>
      </c>
      <c r="E881" s="266"/>
      <c r="F881" s="266"/>
      <c r="G881" s="266" t="s">
        <v>6304</v>
      </c>
      <c r="H881" s="266" t="s">
        <v>557</v>
      </c>
      <c r="I881" s="266"/>
      <c r="J881" s="266"/>
      <c r="K881" s="1"/>
      <c r="L881" s="1"/>
    </row>
    <row r="882">
      <c r="A882" s="266">
        <v>4000.0</v>
      </c>
      <c r="B882" s="266"/>
      <c r="C882" s="266">
        <v>5.0</v>
      </c>
      <c r="D882" s="266" t="s">
        <v>7031</v>
      </c>
      <c r="E882" s="266"/>
      <c r="F882" s="266"/>
      <c r="G882" s="266" t="s">
        <v>6304</v>
      </c>
      <c r="H882" s="266" t="s">
        <v>560</v>
      </c>
      <c r="I882" s="266"/>
      <c r="J882" s="266"/>
      <c r="K882" s="1"/>
      <c r="L882" s="1"/>
    </row>
    <row r="883">
      <c r="A883" s="266">
        <v>4100.0</v>
      </c>
      <c r="B883" s="266"/>
      <c r="C883" s="266">
        <v>5.0</v>
      </c>
      <c r="D883" s="266" t="s">
        <v>7032</v>
      </c>
      <c r="E883" s="266"/>
      <c r="F883" s="266"/>
      <c r="G883" s="266" t="s">
        <v>6304</v>
      </c>
      <c r="H883" s="266" t="s">
        <v>3808</v>
      </c>
      <c r="I883" s="266" t="s">
        <v>6305</v>
      </c>
      <c r="J883" s="266"/>
      <c r="K883" s="1"/>
      <c r="L883" s="1"/>
    </row>
    <row r="884">
      <c r="A884" s="266">
        <v>4200.0</v>
      </c>
      <c r="B884" s="266"/>
      <c r="C884" s="266">
        <v>5.0</v>
      </c>
      <c r="D884" s="266" t="s">
        <v>7033</v>
      </c>
      <c r="E884" s="266"/>
      <c r="F884" s="266"/>
      <c r="G884" s="266" t="s">
        <v>6304</v>
      </c>
      <c r="H884" s="266" t="s">
        <v>7034</v>
      </c>
      <c r="I884" s="266" t="s">
        <v>6305</v>
      </c>
      <c r="J884" s="266"/>
      <c r="K884" s="1"/>
      <c r="L884" s="1"/>
    </row>
    <row r="885">
      <c r="A885" s="266">
        <v>4300.0</v>
      </c>
      <c r="B885" s="266"/>
      <c r="C885" s="266">
        <v>5.0</v>
      </c>
      <c r="D885" s="266" t="s">
        <v>7035</v>
      </c>
      <c r="E885" s="266"/>
      <c r="F885" s="266"/>
      <c r="G885" s="266" t="s">
        <v>6304</v>
      </c>
      <c r="H885" s="266" t="s">
        <v>560</v>
      </c>
      <c r="I885" s="266"/>
      <c r="J885" s="266"/>
      <c r="K885" s="1"/>
      <c r="L885" s="1"/>
    </row>
    <row r="886">
      <c r="A886" s="266">
        <v>4400.0</v>
      </c>
      <c r="B886" s="266"/>
      <c r="C886" s="266">
        <v>5.0</v>
      </c>
      <c r="D886" s="266" t="s">
        <v>7036</v>
      </c>
      <c r="E886" s="266"/>
      <c r="F886" s="266"/>
      <c r="G886" s="266"/>
      <c r="H886" s="266"/>
      <c r="I886" s="266"/>
      <c r="J886" s="267"/>
    </row>
    <row r="887">
      <c r="A887" s="266">
        <v>4500.0</v>
      </c>
      <c r="B887" s="266"/>
      <c r="C887" s="266">
        <v>10.0</v>
      </c>
      <c r="D887" s="266" t="s">
        <v>7037</v>
      </c>
      <c r="E887" s="266"/>
      <c r="F887" s="266"/>
      <c r="G887" s="266" t="s">
        <v>6304</v>
      </c>
      <c r="H887" s="266" t="s">
        <v>557</v>
      </c>
      <c r="I887" s="266"/>
      <c r="J887" s="266"/>
      <c r="K887" s="1"/>
      <c r="L887" s="1"/>
    </row>
    <row r="888">
      <c r="A888" s="266">
        <v>4600.0</v>
      </c>
      <c r="B888" s="266"/>
      <c r="C888" s="266">
        <v>10.0</v>
      </c>
      <c r="D888" s="266" t="s">
        <v>7038</v>
      </c>
      <c r="E888" s="266"/>
      <c r="F888" s="266"/>
      <c r="G888" s="266" t="s">
        <v>6304</v>
      </c>
      <c r="H888" s="266" t="s">
        <v>17</v>
      </c>
      <c r="I888" s="266"/>
      <c r="J888" s="266"/>
      <c r="K888" s="1"/>
      <c r="L888" s="1"/>
    </row>
    <row r="889">
      <c r="A889" s="266">
        <v>4700.0</v>
      </c>
      <c r="B889" s="266"/>
      <c r="C889" s="266">
        <v>88.0</v>
      </c>
      <c r="D889" s="266" t="s">
        <v>7039</v>
      </c>
      <c r="E889" s="266" t="s">
        <v>6621</v>
      </c>
      <c r="F889" s="269" t="s">
        <v>7040</v>
      </c>
      <c r="G889" s="266"/>
      <c r="H889" s="266"/>
      <c r="I889" s="266"/>
      <c r="J889" s="267"/>
    </row>
    <row r="890">
      <c r="A890" s="266">
        <v>4800.0</v>
      </c>
      <c r="B890" s="266"/>
      <c r="C890" s="266">
        <v>88.0</v>
      </c>
      <c r="D890" s="266" t="s">
        <v>7041</v>
      </c>
      <c r="E890" s="266" t="s">
        <v>6621</v>
      </c>
      <c r="F890" s="269" t="s">
        <v>7042</v>
      </c>
      <c r="G890" s="266"/>
      <c r="H890" s="266"/>
      <c r="I890" s="266"/>
      <c r="J890" s="267"/>
    </row>
    <row r="891">
      <c r="A891" s="266">
        <v>4900.0</v>
      </c>
      <c r="B891" s="266"/>
      <c r="C891" s="266">
        <v>10.0</v>
      </c>
      <c r="D891" s="266" t="s">
        <v>6306</v>
      </c>
      <c r="E891" s="266"/>
      <c r="F891" s="266"/>
      <c r="G891" s="266" t="s">
        <v>6304</v>
      </c>
      <c r="H891" s="266" t="s">
        <v>557</v>
      </c>
      <c r="I891" s="266"/>
      <c r="J891" s="266"/>
      <c r="K891" s="1"/>
      <c r="L891" s="1"/>
    </row>
    <row r="892">
      <c r="A892" s="266">
        <v>5000.0</v>
      </c>
      <c r="B892" s="266"/>
      <c r="C892" s="266">
        <v>10.0</v>
      </c>
      <c r="D892" s="266" t="s">
        <v>7043</v>
      </c>
      <c r="E892" s="266"/>
      <c r="F892" s="266"/>
      <c r="G892" s="266" t="s">
        <v>6304</v>
      </c>
      <c r="H892" s="266" t="s">
        <v>6317</v>
      </c>
      <c r="I892" s="266"/>
      <c r="J892" s="266"/>
      <c r="K892" s="1"/>
      <c r="L892" s="1"/>
    </row>
    <row r="893">
      <c r="A893" s="266">
        <v>5100.0</v>
      </c>
      <c r="B893" s="266"/>
      <c r="C893" s="266">
        <v>5.0</v>
      </c>
      <c r="D893" s="266" t="s">
        <v>7044</v>
      </c>
      <c r="E893" s="266"/>
      <c r="F893" s="266"/>
      <c r="G893" s="266" t="s">
        <v>6304</v>
      </c>
      <c r="H893" s="266" t="s">
        <v>559</v>
      </c>
      <c r="I893" s="266"/>
      <c r="J893" s="266"/>
      <c r="K893" s="1"/>
      <c r="L893" s="1"/>
    </row>
    <row r="894">
      <c r="A894" s="266">
        <v>5200.0</v>
      </c>
      <c r="B894" s="266"/>
      <c r="C894" s="266">
        <v>5.0</v>
      </c>
      <c r="D894" s="266" t="s">
        <v>7045</v>
      </c>
      <c r="E894" s="266" t="s">
        <v>6479</v>
      </c>
      <c r="F894" s="266">
        <v>16.0</v>
      </c>
      <c r="G894" s="266"/>
      <c r="H894" s="266"/>
      <c r="I894" s="266"/>
      <c r="J894" s="267"/>
    </row>
    <row r="895">
      <c r="A895" s="266">
        <v>5300.0</v>
      </c>
      <c r="B895" s="266"/>
      <c r="C895" s="266">
        <v>10.0</v>
      </c>
      <c r="D895" s="266" t="s">
        <v>7046</v>
      </c>
      <c r="E895" s="266"/>
      <c r="F895" s="266"/>
      <c r="G895" s="266" t="s">
        <v>6304</v>
      </c>
      <c r="H895" s="266" t="s">
        <v>3806</v>
      </c>
      <c r="I895" s="266"/>
      <c r="J895" s="266"/>
      <c r="K895" s="1"/>
      <c r="L895" s="1"/>
    </row>
    <row r="896">
      <c r="A896" s="266">
        <v>5400.0</v>
      </c>
      <c r="B896" s="266"/>
      <c r="C896" s="266">
        <v>10.0</v>
      </c>
      <c r="D896" s="266" t="s">
        <v>7047</v>
      </c>
      <c r="E896" s="266" t="s">
        <v>6479</v>
      </c>
      <c r="F896" s="266">
        <v>4.0</v>
      </c>
      <c r="G896" s="266" t="s">
        <v>6304</v>
      </c>
      <c r="H896" s="266" t="s">
        <v>7048</v>
      </c>
      <c r="I896" s="266"/>
      <c r="J896" s="267"/>
    </row>
    <row r="897">
      <c r="A897" s="266">
        <v>5500.0</v>
      </c>
      <c r="B897" s="266"/>
      <c r="C897" s="266">
        <v>5.0</v>
      </c>
      <c r="D897" s="266" t="s">
        <v>7049</v>
      </c>
      <c r="E897" s="266"/>
      <c r="F897" s="266"/>
      <c r="G897" s="266" t="s">
        <v>6304</v>
      </c>
      <c r="H897" s="266" t="s">
        <v>555</v>
      </c>
      <c r="I897" s="266"/>
      <c r="J897" s="266"/>
      <c r="K897" s="1"/>
      <c r="L897" s="1"/>
    </row>
    <row r="898">
      <c r="A898" s="266">
        <v>5600.0</v>
      </c>
      <c r="B898" s="266"/>
      <c r="C898" s="266">
        <v>5.0</v>
      </c>
      <c r="D898" s="266" t="s">
        <v>7050</v>
      </c>
      <c r="E898" s="266"/>
      <c r="F898" s="266"/>
      <c r="G898" s="266" t="s">
        <v>6304</v>
      </c>
      <c r="H898" s="266" t="s">
        <v>560</v>
      </c>
      <c r="I898" s="266"/>
      <c r="J898" s="266"/>
      <c r="K898" s="1"/>
      <c r="L898" s="1"/>
    </row>
    <row r="899">
      <c r="A899" s="266">
        <v>5700.0</v>
      </c>
      <c r="B899" s="266"/>
      <c r="C899" s="266">
        <v>5.0</v>
      </c>
      <c r="D899" s="266" t="s">
        <v>7051</v>
      </c>
      <c r="E899" s="266"/>
      <c r="F899" s="266"/>
      <c r="G899" s="266" t="s">
        <v>6304</v>
      </c>
      <c r="H899" s="266" t="s">
        <v>560</v>
      </c>
      <c r="I899" s="266"/>
      <c r="J899" s="266"/>
      <c r="K899" s="1"/>
      <c r="L899" s="1"/>
    </row>
    <row r="900">
      <c r="A900" s="266">
        <v>5800.0</v>
      </c>
      <c r="B900" s="266"/>
      <c r="C900" s="266">
        <v>5.0</v>
      </c>
      <c r="D900" s="266" t="s">
        <v>7052</v>
      </c>
      <c r="E900" s="266"/>
      <c r="F900" s="266"/>
      <c r="G900" s="266" t="s">
        <v>6304</v>
      </c>
      <c r="H900" s="266" t="s">
        <v>560</v>
      </c>
      <c r="I900" s="266"/>
      <c r="J900" s="266"/>
      <c r="K900" s="1"/>
      <c r="L900" s="1"/>
    </row>
    <row r="901">
      <c r="A901" s="266">
        <v>5900.0</v>
      </c>
      <c r="B901" s="266"/>
      <c r="C901" s="266">
        <v>5.0</v>
      </c>
      <c r="D901" s="266" t="s">
        <v>6306</v>
      </c>
      <c r="E901" s="266"/>
      <c r="F901" s="266"/>
      <c r="G901" s="266" t="s">
        <v>6304</v>
      </c>
      <c r="H901" s="266" t="s">
        <v>6576</v>
      </c>
      <c r="I901" s="266"/>
      <c r="J901" s="266"/>
      <c r="K901" s="1"/>
      <c r="L901" s="1"/>
    </row>
    <row r="902">
      <c r="A902" s="266">
        <v>50.0</v>
      </c>
      <c r="B902" s="266">
        <v>1.0</v>
      </c>
      <c r="C902" s="266"/>
      <c r="D902" s="266" t="s">
        <v>7053</v>
      </c>
      <c r="E902" s="266"/>
      <c r="F902" s="266"/>
      <c r="G902" s="266"/>
      <c r="H902" s="266"/>
      <c r="I902" s="266"/>
      <c r="J902" s="267"/>
    </row>
    <row r="903">
      <c r="A903" s="266">
        <v>100.0</v>
      </c>
      <c r="B903" s="266"/>
      <c r="C903" s="266">
        <v>5.0</v>
      </c>
      <c r="D903" s="266" t="s">
        <v>7054</v>
      </c>
      <c r="E903" s="266"/>
      <c r="F903" s="266"/>
      <c r="G903" s="266"/>
      <c r="H903" s="266"/>
      <c r="I903" s="266"/>
      <c r="J903" s="267"/>
    </row>
    <row r="904">
      <c r="A904" s="266">
        <v>200.0</v>
      </c>
      <c r="B904" s="266"/>
      <c r="C904" s="266">
        <v>10.0</v>
      </c>
      <c r="D904" s="266" t="s">
        <v>7055</v>
      </c>
      <c r="E904" s="266"/>
      <c r="F904" s="266"/>
      <c r="G904" s="266" t="s">
        <v>6304</v>
      </c>
      <c r="H904" s="266" t="s">
        <v>551</v>
      </c>
      <c r="I904" s="266"/>
      <c r="J904" s="266"/>
      <c r="K904" s="1"/>
      <c r="L904" s="1"/>
    </row>
    <row r="905">
      <c r="A905" s="266">
        <v>300.0</v>
      </c>
      <c r="B905" s="266"/>
      <c r="C905" s="266">
        <v>10.0</v>
      </c>
      <c r="D905" s="266" t="s">
        <v>7056</v>
      </c>
      <c r="E905" s="266"/>
      <c r="F905" s="266"/>
      <c r="G905" s="266" t="s">
        <v>6304</v>
      </c>
      <c r="H905" s="266" t="s">
        <v>551</v>
      </c>
      <c r="I905" s="266"/>
      <c r="J905" s="266"/>
      <c r="K905" s="1"/>
      <c r="L905" s="1"/>
    </row>
    <row r="906">
      <c r="A906" s="266">
        <v>400.0</v>
      </c>
      <c r="B906" s="266"/>
      <c r="C906" s="266">
        <v>10.0</v>
      </c>
      <c r="D906" s="266" t="s">
        <v>7057</v>
      </c>
      <c r="E906" s="266"/>
      <c r="F906" s="266"/>
      <c r="G906" s="266" t="s">
        <v>6304</v>
      </c>
      <c r="H906" s="266" t="s">
        <v>551</v>
      </c>
      <c r="I906" s="266"/>
      <c r="J906" s="266"/>
      <c r="K906" s="1"/>
      <c r="L906" s="1"/>
    </row>
    <row r="907">
      <c r="A907" s="266">
        <v>500.0</v>
      </c>
      <c r="B907" s="266"/>
      <c r="C907" s="266">
        <v>5.0</v>
      </c>
      <c r="D907" s="266" t="s">
        <v>7058</v>
      </c>
      <c r="E907" s="266"/>
      <c r="F907" s="266"/>
      <c r="G907" s="266" t="s">
        <v>6304</v>
      </c>
      <c r="H907" s="266" t="s">
        <v>554</v>
      </c>
      <c r="I907" s="266"/>
      <c r="J907" s="266"/>
      <c r="K907" s="1"/>
      <c r="L907" s="1"/>
    </row>
    <row r="908">
      <c r="A908" s="266">
        <v>600.0</v>
      </c>
      <c r="B908" s="266"/>
      <c r="C908" s="266">
        <v>5.0</v>
      </c>
      <c r="D908" s="266" t="s">
        <v>7059</v>
      </c>
      <c r="E908" s="266"/>
      <c r="F908" s="266"/>
      <c r="G908" s="266" t="s">
        <v>6304</v>
      </c>
      <c r="H908" s="266" t="s">
        <v>17</v>
      </c>
      <c r="I908" s="266"/>
      <c r="J908" s="266"/>
      <c r="K908" s="1"/>
      <c r="L908" s="1"/>
    </row>
    <row r="909">
      <c r="A909" s="266">
        <v>700.0</v>
      </c>
      <c r="B909" s="266"/>
      <c r="C909" s="266">
        <v>5.0</v>
      </c>
      <c r="D909" s="266" t="s">
        <v>5136</v>
      </c>
      <c r="E909" s="266"/>
      <c r="F909" s="266"/>
      <c r="G909" s="266" t="s">
        <v>6304</v>
      </c>
      <c r="H909" s="266" t="s">
        <v>552</v>
      </c>
      <c r="I909" s="266"/>
      <c r="J909" s="266"/>
      <c r="K909" s="1"/>
      <c r="L909" s="1"/>
    </row>
    <row r="910">
      <c r="A910" s="266">
        <v>800.0</v>
      </c>
      <c r="B910" s="266"/>
      <c r="C910" s="266">
        <v>5.0</v>
      </c>
      <c r="D910" s="266" t="s">
        <v>6306</v>
      </c>
      <c r="E910" s="266"/>
      <c r="F910" s="266"/>
      <c r="G910" s="266" t="s">
        <v>6304</v>
      </c>
      <c r="H910" s="266" t="s">
        <v>6801</v>
      </c>
      <c r="I910" s="266"/>
      <c r="J910" s="266"/>
      <c r="K910" s="1"/>
      <c r="L910" s="1"/>
    </row>
    <row r="911">
      <c r="A911" s="266">
        <v>50.0</v>
      </c>
      <c r="B911" s="266">
        <v>1.0</v>
      </c>
      <c r="C911" s="266"/>
      <c r="D911" s="266" t="s">
        <v>7060</v>
      </c>
      <c r="E911" s="266"/>
      <c r="F911" s="266"/>
      <c r="G911" s="266"/>
      <c r="H911" s="266"/>
      <c r="I911" s="266"/>
      <c r="J911" s="267"/>
    </row>
    <row r="912">
      <c r="A912" s="266">
        <v>100.0</v>
      </c>
      <c r="B912" s="266"/>
      <c r="C912" s="266">
        <v>5.0</v>
      </c>
      <c r="D912" s="266" t="s">
        <v>7061</v>
      </c>
      <c r="E912" s="266"/>
      <c r="F912" s="266"/>
      <c r="G912" s="266" t="s">
        <v>6304</v>
      </c>
      <c r="H912" s="266" t="s">
        <v>551</v>
      </c>
      <c r="I912" s="266"/>
      <c r="J912" s="266"/>
      <c r="K912" s="1"/>
      <c r="L912" s="1"/>
    </row>
    <row r="913">
      <c r="A913" s="266">
        <v>200.0</v>
      </c>
      <c r="B913" s="266"/>
      <c r="C913" s="266">
        <v>5.0</v>
      </c>
      <c r="D913" s="266" t="s">
        <v>7062</v>
      </c>
      <c r="E913" s="266"/>
      <c r="F913" s="266"/>
      <c r="G913" s="266" t="s">
        <v>6304</v>
      </c>
      <c r="H913" s="266" t="s">
        <v>556</v>
      </c>
      <c r="I913" s="266"/>
      <c r="J913" s="266"/>
      <c r="K913" s="1"/>
      <c r="L913" s="1"/>
    </row>
    <row r="914">
      <c r="A914" s="266">
        <v>300.0</v>
      </c>
      <c r="B914" s="266"/>
      <c r="C914" s="266">
        <v>5.0</v>
      </c>
      <c r="D914" s="266" t="s">
        <v>5264</v>
      </c>
      <c r="E914" s="266"/>
      <c r="F914" s="266"/>
      <c r="G914" s="266" t="s">
        <v>6304</v>
      </c>
      <c r="H914" s="266" t="s">
        <v>4103</v>
      </c>
      <c r="I914" s="266"/>
      <c r="J914" s="266"/>
      <c r="K914" s="1"/>
      <c r="L914" s="1"/>
    </row>
    <row r="915">
      <c r="A915" s="266">
        <v>400.0</v>
      </c>
      <c r="B915" s="266"/>
      <c r="C915" s="266">
        <v>5.0</v>
      </c>
      <c r="D915" s="266" t="s">
        <v>7063</v>
      </c>
      <c r="E915" s="266"/>
      <c r="F915" s="266"/>
      <c r="G915" s="266" t="s">
        <v>6304</v>
      </c>
      <c r="H915" s="266" t="s">
        <v>4103</v>
      </c>
      <c r="I915" s="266"/>
      <c r="J915" s="266"/>
      <c r="K915" s="1"/>
      <c r="L915" s="1"/>
    </row>
    <row r="916">
      <c r="A916" s="266">
        <v>500.0</v>
      </c>
      <c r="B916" s="266"/>
      <c r="C916" s="266">
        <v>5.0</v>
      </c>
      <c r="D916" s="266" t="s">
        <v>7064</v>
      </c>
      <c r="E916" s="266"/>
      <c r="F916" s="266"/>
      <c r="G916" s="266" t="s">
        <v>6304</v>
      </c>
      <c r="H916" s="266" t="s">
        <v>551</v>
      </c>
      <c r="I916" s="266"/>
      <c r="J916" s="266"/>
      <c r="K916" s="1"/>
      <c r="L916" s="1"/>
    </row>
    <row r="917">
      <c r="A917" s="266">
        <v>600.0</v>
      </c>
      <c r="B917" s="266"/>
      <c r="C917" s="266">
        <v>5.0</v>
      </c>
      <c r="D917" s="266" t="s">
        <v>7065</v>
      </c>
      <c r="E917" s="266"/>
      <c r="F917" s="266"/>
      <c r="G917" s="266" t="s">
        <v>6304</v>
      </c>
      <c r="H917" s="266" t="s">
        <v>556</v>
      </c>
      <c r="I917" s="266"/>
      <c r="J917" s="266"/>
      <c r="K917" s="1"/>
      <c r="L917" s="1"/>
    </row>
    <row r="918">
      <c r="A918" s="266">
        <v>700.0</v>
      </c>
      <c r="B918" s="266"/>
      <c r="C918" s="266">
        <v>5.0</v>
      </c>
      <c r="D918" s="266" t="s">
        <v>7066</v>
      </c>
      <c r="E918" s="266"/>
      <c r="F918" s="266"/>
      <c r="G918" s="266" t="s">
        <v>6304</v>
      </c>
      <c r="H918" s="266" t="s">
        <v>556</v>
      </c>
      <c r="I918" s="266"/>
      <c r="J918" s="266"/>
      <c r="K918" s="1"/>
      <c r="L918" s="1"/>
    </row>
    <row r="919">
      <c r="A919" s="266">
        <v>800.0</v>
      </c>
      <c r="B919" s="266"/>
      <c r="C919" s="266">
        <v>5.0</v>
      </c>
      <c r="D919" s="266" t="s">
        <v>5265</v>
      </c>
      <c r="E919" s="266"/>
      <c r="F919" s="266"/>
      <c r="G919" s="266" t="s">
        <v>6304</v>
      </c>
      <c r="H919" s="266" t="s">
        <v>556</v>
      </c>
      <c r="I919" s="266"/>
      <c r="J919" s="266"/>
      <c r="K919" s="1"/>
      <c r="L919" s="1"/>
    </row>
    <row r="920">
      <c r="A920" s="266">
        <v>900.0</v>
      </c>
      <c r="B920" s="266"/>
      <c r="C920" s="266">
        <v>5.0</v>
      </c>
      <c r="D920" s="266" t="s">
        <v>7067</v>
      </c>
      <c r="E920" s="266"/>
      <c r="F920" s="266"/>
      <c r="G920" s="266" t="s">
        <v>6304</v>
      </c>
      <c r="H920" s="266" t="s">
        <v>607</v>
      </c>
      <c r="I920" s="266"/>
      <c r="J920" s="266"/>
      <c r="K920" s="1"/>
      <c r="L920" s="1"/>
    </row>
    <row r="921">
      <c r="A921" s="266">
        <v>1000.0</v>
      </c>
      <c r="B921" s="266"/>
      <c r="C921" s="266">
        <v>5.0</v>
      </c>
      <c r="D921" s="266" t="s">
        <v>7068</v>
      </c>
      <c r="E921" s="266"/>
      <c r="F921" s="266"/>
      <c r="G921" s="266" t="s">
        <v>6304</v>
      </c>
      <c r="H921" s="266" t="s">
        <v>607</v>
      </c>
      <c r="I921" s="266"/>
      <c r="J921" s="266"/>
      <c r="K921" s="1"/>
      <c r="L921" s="1"/>
    </row>
    <row r="922">
      <c r="A922" s="266">
        <v>1100.0</v>
      </c>
      <c r="B922" s="266"/>
      <c r="C922" s="266">
        <v>5.0</v>
      </c>
      <c r="D922" s="266" t="s">
        <v>7069</v>
      </c>
      <c r="E922" s="266"/>
      <c r="F922" s="266"/>
      <c r="G922" s="266" t="s">
        <v>6304</v>
      </c>
      <c r="H922" s="266" t="s">
        <v>7048</v>
      </c>
      <c r="I922" s="266"/>
      <c r="J922" s="266"/>
      <c r="K922" s="1"/>
      <c r="L922" s="1"/>
    </row>
    <row r="923">
      <c r="A923" s="266">
        <v>1200.0</v>
      </c>
      <c r="B923" s="266"/>
      <c r="C923" s="266">
        <v>5.0</v>
      </c>
      <c r="D923" s="266" t="s">
        <v>7070</v>
      </c>
      <c r="E923" s="266"/>
      <c r="F923" s="266"/>
      <c r="G923" s="266" t="s">
        <v>6304</v>
      </c>
      <c r="H923" s="266" t="s">
        <v>552</v>
      </c>
      <c r="I923" s="266"/>
      <c r="J923" s="266"/>
      <c r="K923" s="1"/>
      <c r="L923" s="1"/>
    </row>
    <row r="924">
      <c r="A924" s="266">
        <v>1300.0</v>
      </c>
      <c r="B924" s="266"/>
      <c r="C924" s="266">
        <v>5.0</v>
      </c>
      <c r="D924" s="266" t="s">
        <v>7071</v>
      </c>
      <c r="E924" s="266"/>
      <c r="F924" s="266"/>
      <c r="G924" s="266" t="s">
        <v>6304</v>
      </c>
      <c r="H924" s="266" t="s">
        <v>7072</v>
      </c>
      <c r="I924" s="266"/>
      <c r="J924" s="266"/>
      <c r="K924" s="1"/>
      <c r="L924" s="1"/>
    </row>
    <row r="925">
      <c r="A925" s="266">
        <v>1400.0</v>
      </c>
      <c r="B925" s="266"/>
      <c r="C925" s="266">
        <v>5.0</v>
      </c>
      <c r="D925" s="266" t="s">
        <v>7073</v>
      </c>
      <c r="E925" s="266"/>
      <c r="F925" s="266"/>
      <c r="G925" s="266" t="s">
        <v>6304</v>
      </c>
      <c r="H925" s="266" t="s">
        <v>7074</v>
      </c>
      <c r="I925" s="266"/>
      <c r="J925" s="266"/>
      <c r="K925" s="1"/>
      <c r="L925" s="1"/>
    </row>
    <row r="926">
      <c r="A926" s="266">
        <v>1500.0</v>
      </c>
      <c r="B926" s="266"/>
      <c r="C926" s="266">
        <v>5.0</v>
      </c>
      <c r="D926" s="266" t="s">
        <v>7075</v>
      </c>
      <c r="E926" s="266"/>
      <c r="F926" s="266"/>
      <c r="G926" s="266" t="s">
        <v>6304</v>
      </c>
      <c r="H926" s="266" t="s">
        <v>4103</v>
      </c>
      <c r="I926" s="266"/>
      <c r="J926" s="266"/>
      <c r="K926" s="1"/>
      <c r="L926" s="1"/>
    </row>
    <row r="927">
      <c r="A927" s="266">
        <v>1600.0</v>
      </c>
      <c r="B927" s="266"/>
      <c r="C927" s="266">
        <v>5.0</v>
      </c>
      <c r="D927" s="266" t="s">
        <v>6306</v>
      </c>
      <c r="E927" s="266"/>
      <c r="F927" s="266"/>
      <c r="G927" s="266" t="s">
        <v>6304</v>
      </c>
      <c r="H927" s="266" t="s">
        <v>17</v>
      </c>
      <c r="I927" s="266"/>
      <c r="J927" s="266"/>
      <c r="K927" s="1"/>
      <c r="L927" s="1"/>
    </row>
    <row r="928">
      <c r="A928" s="266">
        <v>50.0</v>
      </c>
      <c r="B928" s="266">
        <v>1.0</v>
      </c>
      <c r="C928" s="266"/>
      <c r="D928" s="266" t="s">
        <v>7076</v>
      </c>
      <c r="E928" s="266"/>
      <c r="F928" s="266"/>
      <c r="G928" s="266"/>
      <c r="H928" s="266"/>
      <c r="I928" s="266"/>
      <c r="J928" s="267"/>
    </row>
    <row r="929">
      <c r="A929" s="266">
        <v>100.0</v>
      </c>
      <c r="B929" s="266"/>
      <c r="C929" s="266">
        <v>5.0</v>
      </c>
      <c r="D929" s="266" t="s">
        <v>7077</v>
      </c>
      <c r="E929" s="266"/>
      <c r="F929" s="266"/>
      <c r="G929" s="266" t="s">
        <v>6304</v>
      </c>
      <c r="H929" s="266" t="s">
        <v>544</v>
      </c>
      <c r="I929" s="266" t="s">
        <v>6305</v>
      </c>
      <c r="J929" s="266"/>
      <c r="K929" s="1"/>
      <c r="L929" s="1"/>
    </row>
    <row r="930">
      <c r="A930" s="266">
        <v>200.0</v>
      </c>
      <c r="B930" s="266"/>
      <c r="C930" s="266">
        <v>5.0</v>
      </c>
      <c r="D930" s="266" t="s">
        <v>7078</v>
      </c>
      <c r="E930" s="266"/>
      <c r="F930" s="266"/>
      <c r="G930" s="266" t="s">
        <v>6304</v>
      </c>
      <c r="H930" s="266" t="s">
        <v>544</v>
      </c>
      <c r="I930" s="266" t="s">
        <v>6305</v>
      </c>
      <c r="J930" s="266"/>
      <c r="K930" s="1"/>
      <c r="L930" s="1"/>
    </row>
    <row r="931">
      <c r="A931" s="266">
        <v>300.0</v>
      </c>
      <c r="B931" s="266"/>
      <c r="C931" s="266">
        <v>5.0</v>
      </c>
      <c r="D931" s="266" t="s">
        <v>7079</v>
      </c>
      <c r="E931" s="266"/>
      <c r="F931" s="266"/>
      <c r="G931" s="266" t="s">
        <v>6304</v>
      </c>
      <c r="H931" s="266" t="s">
        <v>544</v>
      </c>
      <c r="I931" s="266" t="s">
        <v>6305</v>
      </c>
      <c r="J931" s="266"/>
      <c r="K931" s="1"/>
      <c r="L931" s="1"/>
    </row>
    <row r="932">
      <c r="A932" s="266">
        <v>400.0</v>
      </c>
      <c r="B932" s="266"/>
      <c r="C932" s="266">
        <v>5.0</v>
      </c>
      <c r="D932" s="266" t="s">
        <v>7080</v>
      </c>
      <c r="E932" s="266"/>
      <c r="F932" s="266"/>
      <c r="G932" s="266" t="s">
        <v>6304</v>
      </c>
      <c r="H932" s="266" t="s">
        <v>544</v>
      </c>
      <c r="I932" s="266" t="s">
        <v>6305</v>
      </c>
      <c r="J932" s="266"/>
      <c r="K932" s="1"/>
      <c r="L932" s="1"/>
    </row>
    <row r="933">
      <c r="A933" s="266">
        <v>500.0</v>
      </c>
      <c r="B933" s="266"/>
      <c r="C933" s="266">
        <v>5.0</v>
      </c>
      <c r="D933" s="266" t="s">
        <v>5162</v>
      </c>
      <c r="E933" s="266"/>
      <c r="F933" s="266"/>
      <c r="G933" s="266" t="s">
        <v>6304</v>
      </c>
      <c r="H933" s="266" t="s">
        <v>544</v>
      </c>
      <c r="I933" s="266" t="s">
        <v>6305</v>
      </c>
      <c r="J933" s="266"/>
      <c r="K933" s="1"/>
      <c r="L933" s="1"/>
    </row>
    <row r="934">
      <c r="A934" s="266">
        <v>600.0</v>
      </c>
      <c r="B934" s="266"/>
      <c r="C934" s="266">
        <v>5.0</v>
      </c>
      <c r="D934" s="266" t="s">
        <v>5163</v>
      </c>
      <c r="E934" s="266"/>
      <c r="F934" s="266"/>
      <c r="G934" s="266" t="s">
        <v>6304</v>
      </c>
      <c r="H934" s="266" t="s">
        <v>5155</v>
      </c>
      <c r="I934" s="266" t="s">
        <v>6305</v>
      </c>
      <c r="J934" s="266"/>
      <c r="K934" s="1"/>
      <c r="L934" s="1"/>
    </row>
    <row r="935">
      <c r="A935" s="266">
        <v>700.0</v>
      </c>
      <c r="B935" s="266"/>
      <c r="C935" s="266">
        <v>5.0</v>
      </c>
      <c r="D935" s="266" t="s">
        <v>5164</v>
      </c>
      <c r="E935" s="266"/>
      <c r="F935" s="266"/>
      <c r="G935" s="266" t="s">
        <v>6304</v>
      </c>
      <c r="H935" s="266" t="s">
        <v>544</v>
      </c>
      <c r="I935" s="266" t="s">
        <v>6305</v>
      </c>
      <c r="J935" s="266"/>
      <c r="K935" s="1"/>
      <c r="L935" s="1"/>
    </row>
    <row r="936">
      <c r="A936" s="266">
        <v>800.0</v>
      </c>
      <c r="B936" s="266"/>
      <c r="C936" s="266">
        <v>5.0</v>
      </c>
      <c r="D936" s="266" t="s">
        <v>5142</v>
      </c>
      <c r="E936" s="266"/>
      <c r="F936" s="266"/>
      <c r="G936" s="266" t="s">
        <v>6304</v>
      </c>
      <c r="H936" s="266" t="s">
        <v>551</v>
      </c>
      <c r="I936" s="266"/>
      <c r="J936" s="266"/>
      <c r="K936" s="1"/>
      <c r="L936" s="1"/>
    </row>
    <row r="937">
      <c r="A937" s="266">
        <v>50.0</v>
      </c>
      <c r="B937" s="266">
        <v>1.0</v>
      </c>
      <c r="C937" s="266"/>
      <c r="D937" s="266" t="s">
        <v>7081</v>
      </c>
      <c r="E937" s="266"/>
      <c r="F937" s="266"/>
      <c r="G937" s="266"/>
      <c r="H937" s="266"/>
      <c r="I937" s="266"/>
      <c r="J937" s="267"/>
    </row>
    <row r="938">
      <c r="A938" s="266">
        <v>100.0</v>
      </c>
      <c r="B938" s="266"/>
      <c r="C938" s="266">
        <v>5.0</v>
      </c>
      <c r="D938" s="266" t="s">
        <v>7082</v>
      </c>
      <c r="E938" s="266"/>
      <c r="F938" s="266"/>
      <c r="G938" s="266"/>
      <c r="H938" s="266"/>
      <c r="I938" s="266"/>
      <c r="J938" s="267"/>
    </row>
    <row r="939">
      <c r="A939" s="266">
        <v>200.0</v>
      </c>
      <c r="B939" s="266"/>
      <c r="C939" s="266">
        <v>10.0</v>
      </c>
      <c r="D939" s="266" t="s">
        <v>5139</v>
      </c>
      <c r="E939" s="266"/>
      <c r="F939" s="266"/>
      <c r="G939" s="266" t="s">
        <v>6304</v>
      </c>
      <c r="H939" s="266" t="s">
        <v>551</v>
      </c>
      <c r="I939" s="266"/>
      <c r="J939" s="266"/>
      <c r="K939" s="1"/>
      <c r="L939" s="1"/>
    </row>
    <row r="940">
      <c r="A940" s="266">
        <v>300.0</v>
      </c>
      <c r="B940" s="266"/>
      <c r="C940" s="266">
        <v>10.0</v>
      </c>
      <c r="D940" s="266" t="s">
        <v>5140</v>
      </c>
      <c r="E940" s="266"/>
      <c r="F940" s="266"/>
      <c r="G940" s="266" t="s">
        <v>6304</v>
      </c>
      <c r="H940" s="266" t="s">
        <v>551</v>
      </c>
      <c r="I940" s="266"/>
      <c r="J940" s="266"/>
      <c r="K940" s="1"/>
      <c r="L940" s="1"/>
    </row>
    <row r="941">
      <c r="A941" s="266">
        <v>400.0</v>
      </c>
      <c r="B941" s="266"/>
      <c r="C941" s="266">
        <v>10.0</v>
      </c>
      <c r="D941" s="266" t="s">
        <v>5141</v>
      </c>
      <c r="E941" s="266"/>
      <c r="F941" s="266"/>
      <c r="G941" s="266" t="s">
        <v>6304</v>
      </c>
      <c r="H941" s="266" t="s">
        <v>551</v>
      </c>
      <c r="I941" s="266"/>
      <c r="J941" s="266"/>
      <c r="K941" s="1"/>
      <c r="L941" s="1"/>
    </row>
    <row r="942">
      <c r="A942" s="266">
        <v>500.0</v>
      </c>
      <c r="B942" s="266"/>
      <c r="C942" s="266">
        <v>10.0</v>
      </c>
      <c r="D942" s="266" t="s">
        <v>5270</v>
      </c>
      <c r="E942" s="266"/>
      <c r="F942" s="266"/>
      <c r="G942" s="266" t="s">
        <v>6304</v>
      </c>
      <c r="H942" s="266" t="s">
        <v>551</v>
      </c>
      <c r="I942" s="266"/>
      <c r="J942" s="266"/>
      <c r="K942" s="1"/>
      <c r="L942" s="1"/>
    </row>
    <row r="943">
      <c r="A943" s="266">
        <v>600.0</v>
      </c>
      <c r="B943" s="266"/>
      <c r="C943" s="266">
        <v>10.0</v>
      </c>
      <c r="D943" s="266" t="s">
        <v>7083</v>
      </c>
      <c r="E943" s="266"/>
      <c r="F943" s="266"/>
      <c r="G943" s="266" t="s">
        <v>6304</v>
      </c>
      <c r="H943" s="266" t="s">
        <v>552</v>
      </c>
      <c r="I943" s="266"/>
      <c r="J943" s="266"/>
      <c r="K943" s="1"/>
      <c r="L943" s="1"/>
    </row>
    <row r="944">
      <c r="A944" s="266">
        <v>700.0</v>
      </c>
      <c r="B944" s="266"/>
      <c r="C944" s="266">
        <v>10.0</v>
      </c>
      <c r="D944" s="266" t="s">
        <v>5142</v>
      </c>
      <c r="E944" s="266"/>
      <c r="F944" s="266"/>
      <c r="G944" s="266" t="s">
        <v>6304</v>
      </c>
      <c r="H944" s="266" t="s">
        <v>551</v>
      </c>
      <c r="I944" s="266"/>
      <c r="J944" s="266"/>
      <c r="K944" s="1"/>
      <c r="L944" s="1"/>
    </row>
    <row r="945">
      <c r="A945" s="266">
        <v>800.0</v>
      </c>
      <c r="B945" s="266"/>
      <c r="C945" s="266">
        <v>5.0</v>
      </c>
      <c r="D945" s="266" t="s">
        <v>5144</v>
      </c>
      <c r="E945" s="266"/>
      <c r="F945" s="266"/>
      <c r="G945" s="266" t="s">
        <v>6304</v>
      </c>
      <c r="H945" s="266" t="s">
        <v>552</v>
      </c>
      <c r="I945" s="266"/>
      <c r="J945" s="266"/>
      <c r="K945" s="1"/>
      <c r="L945" s="1"/>
    </row>
    <row r="946">
      <c r="A946" s="266">
        <v>900.0</v>
      </c>
      <c r="B946" s="266"/>
      <c r="C946" s="266">
        <v>5.0</v>
      </c>
      <c r="D946" s="266" t="s">
        <v>5145</v>
      </c>
      <c r="E946" s="266"/>
      <c r="F946" s="266"/>
      <c r="G946" s="266" t="s">
        <v>6304</v>
      </c>
      <c r="H946" s="266" t="s">
        <v>552</v>
      </c>
      <c r="I946" s="266"/>
      <c r="J946" s="266"/>
      <c r="K946" s="1"/>
      <c r="L946" s="1"/>
    </row>
    <row r="947">
      <c r="A947" s="266">
        <v>1000.0</v>
      </c>
      <c r="B947" s="266"/>
      <c r="C947" s="266">
        <v>5.0</v>
      </c>
      <c r="D947" s="266" t="s">
        <v>7084</v>
      </c>
      <c r="E947" s="266"/>
      <c r="F947" s="266"/>
      <c r="G947" s="266" t="s">
        <v>6304</v>
      </c>
      <c r="H947" s="266" t="s">
        <v>544</v>
      </c>
      <c r="I947" s="266" t="s">
        <v>6305</v>
      </c>
      <c r="J947" s="266"/>
      <c r="K947" s="1"/>
      <c r="L947" s="1"/>
    </row>
    <row r="948">
      <c r="A948" s="266">
        <v>1100.0</v>
      </c>
      <c r="B948" s="266"/>
      <c r="C948" s="266">
        <v>5.0</v>
      </c>
      <c r="D948" s="266" t="s">
        <v>7085</v>
      </c>
      <c r="E948" s="266"/>
      <c r="F948" s="266"/>
      <c r="G948" s="266" t="s">
        <v>6304</v>
      </c>
      <c r="H948" s="266" t="s">
        <v>552</v>
      </c>
      <c r="I948" s="266"/>
      <c r="J948" s="266"/>
      <c r="K948" s="1"/>
      <c r="L948" s="1"/>
    </row>
    <row r="949">
      <c r="A949" s="266">
        <v>1200.0</v>
      </c>
      <c r="B949" s="266"/>
      <c r="C949" s="266">
        <v>5.0</v>
      </c>
      <c r="D949" s="266" t="s">
        <v>5150</v>
      </c>
      <c r="E949" s="266"/>
      <c r="F949" s="266"/>
      <c r="G949" s="266" t="s">
        <v>6304</v>
      </c>
      <c r="H949" s="266" t="s">
        <v>552</v>
      </c>
      <c r="I949" s="266"/>
      <c r="J949" s="266"/>
      <c r="K949" s="1"/>
      <c r="L949" s="1"/>
    </row>
    <row r="950">
      <c r="A950" s="266">
        <v>1300.0</v>
      </c>
      <c r="B950" s="266"/>
      <c r="C950" s="266">
        <v>5.0</v>
      </c>
      <c r="D950" s="266" t="s">
        <v>7086</v>
      </c>
      <c r="E950" s="266"/>
      <c r="F950" s="266"/>
      <c r="G950" s="266" t="s">
        <v>6304</v>
      </c>
      <c r="H950" s="266" t="s">
        <v>544</v>
      </c>
      <c r="I950" s="266" t="s">
        <v>6305</v>
      </c>
      <c r="J950" s="266"/>
      <c r="K950" s="1"/>
      <c r="L950" s="1"/>
    </row>
    <row r="951">
      <c r="A951" s="266">
        <v>1400.0</v>
      </c>
      <c r="B951" s="266"/>
      <c r="C951" s="266">
        <v>5.0</v>
      </c>
      <c r="D951" s="266" t="s">
        <v>7087</v>
      </c>
      <c r="E951" s="266"/>
      <c r="F951" s="266"/>
      <c r="G951" s="266" t="s">
        <v>6304</v>
      </c>
      <c r="H951" s="266" t="s">
        <v>544</v>
      </c>
      <c r="I951" s="266" t="s">
        <v>6305</v>
      </c>
      <c r="J951" s="266"/>
      <c r="K951" s="1"/>
      <c r="L951" s="1"/>
    </row>
    <row r="952">
      <c r="A952" s="266">
        <v>1500.0</v>
      </c>
      <c r="B952" s="266"/>
      <c r="C952" s="266">
        <v>5.0</v>
      </c>
      <c r="D952" s="266" t="s">
        <v>7088</v>
      </c>
      <c r="E952" s="266"/>
      <c r="F952" s="266"/>
      <c r="G952" s="266" t="s">
        <v>6304</v>
      </c>
      <c r="H952" s="266" t="s">
        <v>544</v>
      </c>
      <c r="I952" s="266" t="s">
        <v>6305</v>
      </c>
      <c r="J952" s="266"/>
      <c r="K952" s="1"/>
      <c r="L952" s="1"/>
    </row>
    <row r="953">
      <c r="A953" s="266">
        <v>1600.0</v>
      </c>
      <c r="B953" s="266"/>
      <c r="C953" s="266">
        <v>5.0</v>
      </c>
      <c r="D953" s="266" t="s">
        <v>7089</v>
      </c>
      <c r="E953" s="266"/>
      <c r="F953" s="266"/>
      <c r="G953" s="266" t="s">
        <v>6304</v>
      </c>
      <c r="H953" s="266" t="s">
        <v>544</v>
      </c>
      <c r="I953" s="266" t="s">
        <v>6305</v>
      </c>
      <c r="J953" s="266"/>
      <c r="K953" s="1"/>
      <c r="L953" s="1"/>
    </row>
    <row r="954">
      <c r="A954" s="266">
        <v>1700.0</v>
      </c>
      <c r="B954" s="266"/>
      <c r="C954" s="266">
        <v>5.0</v>
      </c>
      <c r="D954" s="266" t="s">
        <v>7090</v>
      </c>
      <c r="E954" s="266"/>
      <c r="F954" s="266"/>
      <c r="G954" s="266" t="s">
        <v>6304</v>
      </c>
      <c r="H954" s="266" t="s">
        <v>544</v>
      </c>
      <c r="I954" s="266" t="s">
        <v>6305</v>
      </c>
      <c r="J954" s="266"/>
      <c r="K954" s="1"/>
      <c r="L954" s="1"/>
    </row>
    <row r="955">
      <c r="A955" s="266">
        <v>1800.0</v>
      </c>
      <c r="B955" s="266"/>
      <c r="C955" s="266">
        <v>5.0</v>
      </c>
      <c r="D955" s="266" t="s">
        <v>7091</v>
      </c>
      <c r="E955" s="266"/>
      <c r="F955" s="266"/>
      <c r="G955" s="266" t="s">
        <v>6304</v>
      </c>
      <c r="H955" s="266" t="s">
        <v>544</v>
      </c>
      <c r="I955" s="266" t="s">
        <v>6305</v>
      </c>
      <c r="J955" s="266"/>
      <c r="K955" s="1"/>
      <c r="L955" s="1"/>
    </row>
    <row r="956">
      <c r="A956" s="266">
        <v>1900.0</v>
      </c>
      <c r="B956" s="266"/>
      <c r="C956" s="266">
        <v>5.0</v>
      </c>
      <c r="D956" s="266" t="s">
        <v>7092</v>
      </c>
      <c r="E956" s="266"/>
      <c r="F956" s="266"/>
      <c r="G956" s="266" t="s">
        <v>6304</v>
      </c>
      <c r="H956" s="266" t="s">
        <v>544</v>
      </c>
      <c r="I956" s="266" t="s">
        <v>6305</v>
      </c>
      <c r="J956" s="266"/>
      <c r="K956" s="1"/>
      <c r="L956" s="1"/>
    </row>
    <row r="957">
      <c r="A957" s="266">
        <v>2000.0</v>
      </c>
      <c r="B957" s="266"/>
      <c r="C957" s="266">
        <v>5.0</v>
      </c>
      <c r="D957" s="266" t="s">
        <v>7093</v>
      </c>
      <c r="E957" s="266"/>
      <c r="F957" s="266"/>
      <c r="G957" s="266" t="s">
        <v>6304</v>
      </c>
      <c r="H957" s="266" t="s">
        <v>544</v>
      </c>
      <c r="I957" s="266" t="s">
        <v>6305</v>
      </c>
      <c r="J957" s="266"/>
      <c r="K957" s="1"/>
      <c r="L957" s="1"/>
    </row>
    <row r="958">
      <c r="A958" s="266">
        <v>2100.0</v>
      </c>
      <c r="B958" s="266"/>
      <c r="C958" s="266">
        <v>5.0</v>
      </c>
      <c r="D958" s="266" t="s">
        <v>7094</v>
      </c>
      <c r="E958" s="266"/>
      <c r="F958" s="266"/>
      <c r="G958" s="266" t="s">
        <v>6304</v>
      </c>
      <c r="H958" s="266" t="s">
        <v>544</v>
      </c>
      <c r="I958" s="266" t="s">
        <v>6305</v>
      </c>
      <c r="J958" s="266"/>
      <c r="K958" s="1"/>
      <c r="L958" s="1"/>
    </row>
    <row r="959">
      <c r="A959" s="266">
        <v>2200.0</v>
      </c>
      <c r="B959" s="266"/>
      <c r="C959" s="266">
        <v>5.0</v>
      </c>
      <c r="D959" s="266" t="s">
        <v>7095</v>
      </c>
      <c r="E959" s="266"/>
      <c r="F959" s="266"/>
      <c r="G959" s="266" t="s">
        <v>6304</v>
      </c>
      <c r="H959" s="266" t="s">
        <v>544</v>
      </c>
      <c r="I959" s="266" t="s">
        <v>6305</v>
      </c>
      <c r="J959" s="266"/>
      <c r="K959" s="1"/>
      <c r="L959" s="1"/>
    </row>
    <row r="960">
      <c r="A960" s="266">
        <v>2300.0</v>
      </c>
      <c r="B960" s="266"/>
      <c r="C960" s="266">
        <v>5.0</v>
      </c>
      <c r="D960" s="266" t="s">
        <v>7096</v>
      </c>
      <c r="E960" s="266"/>
      <c r="F960" s="266"/>
      <c r="G960" s="266" t="s">
        <v>6304</v>
      </c>
      <c r="H960" s="266" t="s">
        <v>544</v>
      </c>
      <c r="I960" s="266" t="s">
        <v>6305</v>
      </c>
      <c r="J960" s="266"/>
      <c r="K960" s="1"/>
      <c r="L960" s="1"/>
    </row>
    <row r="961">
      <c r="A961" s="266">
        <v>2400.0</v>
      </c>
      <c r="B961" s="266"/>
      <c r="C961" s="266">
        <v>5.0</v>
      </c>
      <c r="D961" s="266" t="s">
        <v>7097</v>
      </c>
      <c r="E961" s="266"/>
      <c r="F961" s="266"/>
      <c r="G961" s="266" t="s">
        <v>6304</v>
      </c>
      <c r="H961" s="266" t="s">
        <v>544</v>
      </c>
      <c r="I961" s="266" t="s">
        <v>6305</v>
      </c>
      <c r="J961" s="266"/>
      <c r="K961" s="1"/>
      <c r="L961" s="1"/>
    </row>
    <row r="962">
      <c r="A962" s="266">
        <v>2500.0</v>
      </c>
      <c r="B962" s="266"/>
      <c r="C962" s="266">
        <v>5.0</v>
      </c>
      <c r="D962" s="266" t="s">
        <v>7098</v>
      </c>
      <c r="E962" s="266"/>
      <c r="F962" s="266"/>
      <c r="G962" s="266" t="s">
        <v>6304</v>
      </c>
      <c r="H962" s="266" t="s">
        <v>544</v>
      </c>
      <c r="I962" s="266" t="s">
        <v>6305</v>
      </c>
      <c r="J962" s="266"/>
      <c r="K962" s="1"/>
      <c r="L962" s="1"/>
    </row>
    <row r="963">
      <c r="A963" s="266">
        <v>2600.0</v>
      </c>
      <c r="B963" s="266"/>
      <c r="C963" s="266">
        <v>5.0</v>
      </c>
      <c r="D963" s="266" t="s">
        <v>7099</v>
      </c>
      <c r="E963" s="266"/>
      <c r="F963" s="266"/>
      <c r="G963" s="266" t="s">
        <v>6304</v>
      </c>
      <c r="H963" s="266" t="s">
        <v>544</v>
      </c>
      <c r="I963" s="266" t="s">
        <v>6305</v>
      </c>
      <c r="J963" s="266"/>
      <c r="K963" s="1"/>
      <c r="L963" s="1"/>
    </row>
    <row r="964">
      <c r="A964" s="266">
        <v>2700.0</v>
      </c>
      <c r="B964" s="266"/>
      <c r="C964" s="266">
        <v>5.0</v>
      </c>
      <c r="D964" s="266" t="s">
        <v>7100</v>
      </c>
      <c r="E964" s="266" t="s">
        <v>6479</v>
      </c>
      <c r="F964" s="266">
        <v>10.0</v>
      </c>
      <c r="G964" s="266" t="s">
        <v>6304</v>
      </c>
      <c r="H964" s="266" t="s">
        <v>544</v>
      </c>
      <c r="I964" s="266" t="s">
        <v>6305</v>
      </c>
      <c r="J964" s="267"/>
    </row>
    <row r="965">
      <c r="A965" s="266">
        <v>2800.0</v>
      </c>
      <c r="B965" s="266"/>
      <c r="C965" s="266">
        <v>5.0</v>
      </c>
      <c r="D965" s="266" t="s">
        <v>6306</v>
      </c>
      <c r="E965" s="266"/>
      <c r="F965" s="266"/>
      <c r="G965" s="266" t="s">
        <v>6304</v>
      </c>
      <c r="H965" s="266" t="s">
        <v>7101</v>
      </c>
      <c r="I965" s="266"/>
      <c r="J965" s="266"/>
      <c r="K965" s="1"/>
      <c r="L965" s="1"/>
    </row>
    <row r="966">
      <c r="A966" s="266">
        <v>50.0</v>
      </c>
      <c r="B966" s="266">
        <v>1.0</v>
      </c>
      <c r="C966" s="266"/>
      <c r="D966" s="266" t="s">
        <v>7102</v>
      </c>
      <c r="E966" s="266"/>
      <c r="F966" s="266"/>
      <c r="G966" s="266"/>
      <c r="H966" s="266"/>
      <c r="I966" s="266"/>
      <c r="J966" s="267"/>
    </row>
    <row r="967">
      <c r="A967" s="266">
        <v>100.0</v>
      </c>
      <c r="B967" s="266"/>
      <c r="C967" s="266">
        <v>5.0</v>
      </c>
      <c r="D967" s="266" t="s">
        <v>6783</v>
      </c>
      <c r="E967" s="266"/>
      <c r="F967" s="266"/>
      <c r="G967" s="266"/>
      <c r="H967" s="266"/>
      <c r="I967" s="266"/>
      <c r="J967" s="267"/>
    </row>
    <row r="968">
      <c r="A968" s="266">
        <v>200.0</v>
      </c>
      <c r="B968" s="266"/>
      <c r="C968" s="266">
        <v>10.0</v>
      </c>
      <c r="D968" s="266" t="s">
        <v>5165</v>
      </c>
      <c r="E968" s="266"/>
      <c r="F968" s="266"/>
      <c r="G968" s="266" t="s">
        <v>6304</v>
      </c>
      <c r="H968" s="266">
        <v>9.0</v>
      </c>
      <c r="I968" s="266"/>
      <c r="J968" s="266"/>
      <c r="K968" s="1"/>
      <c r="L968" s="1"/>
    </row>
    <row r="969">
      <c r="A969" s="266">
        <v>300.0</v>
      </c>
      <c r="B969" s="266"/>
      <c r="C969" s="266">
        <v>10.0</v>
      </c>
      <c r="D969" s="266" t="s">
        <v>5166</v>
      </c>
      <c r="E969" s="266"/>
      <c r="F969" s="266"/>
      <c r="G969" s="266" t="s">
        <v>6304</v>
      </c>
      <c r="H969" s="266" t="s">
        <v>551</v>
      </c>
      <c r="I969" s="266"/>
      <c r="J969" s="266"/>
      <c r="K969" s="1"/>
      <c r="L969" s="1"/>
    </row>
    <row r="970">
      <c r="A970" s="266">
        <v>400.0</v>
      </c>
      <c r="B970" s="266"/>
      <c r="C970" s="266">
        <v>5.0</v>
      </c>
      <c r="D970" s="266" t="s">
        <v>6784</v>
      </c>
      <c r="E970" s="266"/>
      <c r="F970" s="266"/>
      <c r="G970" s="266"/>
      <c r="H970" s="266"/>
      <c r="I970" s="266"/>
      <c r="J970" s="267"/>
    </row>
    <row r="971">
      <c r="A971" s="266">
        <v>500.0</v>
      </c>
      <c r="B971" s="266"/>
      <c r="C971" s="266">
        <v>10.0</v>
      </c>
      <c r="D971" s="266" t="s">
        <v>5160</v>
      </c>
      <c r="E971" s="266"/>
      <c r="F971" s="266"/>
      <c r="G971" s="266" t="s">
        <v>6304</v>
      </c>
      <c r="H971" s="266" t="s">
        <v>552</v>
      </c>
      <c r="I971" s="266"/>
      <c r="J971" s="266"/>
      <c r="K971" s="1"/>
      <c r="L971" s="1"/>
    </row>
    <row r="972">
      <c r="A972" s="266">
        <v>600.0</v>
      </c>
      <c r="B972" s="266"/>
      <c r="C972" s="266">
        <v>10.0</v>
      </c>
      <c r="D972" s="266" t="s">
        <v>5161</v>
      </c>
      <c r="E972" s="266"/>
      <c r="F972" s="266"/>
      <c r="G972" s="266" t="s">
        <v>6304</v>
      </c>
      <c r="H972" s="266" t="s">
        <v>551</v>
      </c>
      <c r="I972" s="266"/>
      <c r="J972" s="266"/>
      <c r="K972" s="1"/>
      <c r="L972" s="1"/>
    </row>
    <row r="973">
      <c r="A973" s="266">
        <v>700.0</v>
      </c>
      <c r="B973" s="266"/>
      <c r="C973" s="266">
        <v>5.0</v>
      </c>
      <c r="D973" s="266" t="s">
        <v>5162</v>
      </c>
      <c r="E973" s="266"/>
      <c r="F973" s="266"/>
      <c r="G973" s="266" t="s">
        <v>6304</v>
      </c>
      <c r="H973" s="266" t="s">
        <v>544</v>
      </c>
      <c r="I973" s="266" t="s">
        <v>6305</v>
      </c>
      <c r="J973" s="266"/>
      <c r="K973" s="1"/>
      <c r="L973" s="1"/>
    </row>
    <row r="974">
      <c r="A974" s="266">
        <v>800.0</v>
      </c>
      <c r="B974" s="266"/>
      <c r="C974" s="266">
        <v>5.0</v>
      </c>
      <c r="D974" s="266" t="s">
        <v>5163</v>
      </c>
      <c r="E974" s="266"/>
      <c r="F974" s="266"/>
      <c r="G974" s="266" t="s">
        <v>6304</v>
      </c>
      <c r="H974" s="266" t="s">
        <v>5155</v>
      </c>
      <c r="I974" s="266" t="s">
        <v>6305</v>
      </c>
      <c r="J974" s="266"/>
      <c r="K974" s="1"/>
      <c r="L974" s="1"/>
    </row>
    <row r="975">
      <c r="A975" s="266">
        <v>900.0</v>
      </c>
      <c r="B975" s="266"/>
      <c r="C975" s="266">
        <v>5.0</v>
      </c>
      <c r="D975" s="266" t="s">
        <v>5164</v>
      </c>
      <c r="E975" s="266"/>
      <c r="F975" s="266"/>
      <c r="G975" s="266" t="s">
        <v>6304</v>
      </c>
      <c r="H975" s="266" t="s">
        <v>544</v>
      </c>
      <c r="I975" s="266" t="s">
        <v>6305</v>
      </c>
      <c r="J975" s="266"/>
      <c r="K975" s="1"/>
      <c r="L975" s="1"/>
    </row>
    <row r="976">
      <c r="A976" s="266">
        <v>50.0</v>
      </c>
      <c r="B976" s="266">
        <v>1.0</v>
      </c>
      <c r="C976" s="266"/>
      <c r="D976" s="266" t="s">
        <v>7103</v>
      </c>
      <c r="E976" s="266"/>
      <c r="F976" s="266"/>
      <c r="G976" s="266"/>
      <c r="H976" s="266"/>
      <c r="I976" s="266"/>
      <c r="J976" s="267"/>
    </row>
    <row r="977">
      <c r="A977" s="266">
        <v>100.0</v>
      </c>
      <c r="B977" s="266"/>
      <c r="C977" s="266">
        <v>5.0</v>
      </c>
      <c r="D977" s="266" t="s">
        <v>6306</v>
      </c>
      <c r="E977" s="266"/>
      <c r="F977" s="266"/>
      <c r="G977" s="266" t="s">
        <v>6304</v>
      </c>
      <c r="H977" s="266" t="s">
        <v>6760</v>
      </c>
      <c r="I977" s="266"/>
      <c r="J977" s="266"/>
      <c r="K977" s="1"/>
      <c r="L977" s="1"/>
    </row>
    <row r="978">
      <c r="A978" s="266">
        <v>50.0</v>
      </c>
      <c r="B978" s="266">
        <v>1.0</v>
      </c>
      <c r="C978" s="266"/>
      <c r="D978" s="266" t="s">
        <v>7104</v>
      </c>
      <c r="E978" s="266"/>
      <c r="F978" s="266"/>
      <c r="G978" s="266"/>
      <c r="H978" s="266"/>
      <c r="I978" s="266"/>
      <c r="J978" s="267"/>
    </row>
    <row r="979">
      <c r="A979" s="266">
        <v>100.0</v>
      </c>
      <c r="B979" s="266"/>
      <c r="C979" s="266">
        <v>5.0</v>
      </c>
      <c r="D979" s="266" t="s">
        <v>5260</v>
      </c>
      <c r="E979" s="266"/>
      <c r="F979" s="266"/>
      <c r="G979" s="266" t="s">
        <v>6304</v>
      </c>
      <c r="H979" s="266" t="s">
        <v>551</v>
      </c>
      <c r="I979" s="266"/>
      <c r="J979" s="266"/>
      <c r="K979" s="1"/>
      <c r="L979" s="1"/>
    </row>
    <row r="980">
      <c r="A980" s="266">
        <v>200.0</v>
      </c>
      <c r="B980" s="266"/>
      <c r="C980" s="266">
        <v>5.0</v>
      </c>
      <c r="D980" s="266" t="s">
        <v>5109</v>
      </c>
      <c r="E980" s="266"/>
      <c r="F980" s="266"/>
      <c r="G980" s="266" t="s">
        <v>6304</v>
      </c>
      <c r="H980" s="266" t="s">
        <v>551</v>
      </c>
      <c r="I980" s="266"/>
      <c r="J980" s="266"/>
      <c r="K980" s="1"/>
      <c r="L980" s="1"/>
    </row>
    <row r="981">
      <c r="A981" s="266">
        <v>300.0</v>
      </c>
      <c r="B981" s="266"/>
      <c r="C981" s="266">
        <v>5.0</v>
      </c>
      <c r="D981" s="266" t="s">
        <v>7105</v>
      </c>
      <c r="E981" s="266"/>
      <c r="F981" s="266"/>
      <c r="G981" s="266" t="s">
        <v>6304</v>
      </c>
      <c r="H981" s="266" t="s">
        <v>7106</v>
      </c>
      <c r="I981" s="266"/>
      <c r="J981" s="266"/>
      <c r="K981" s="1"/>
      <c r="L981" s="1"/>
    </row>
    <row r="982">
      <c r="A982" s="266">
        <v>50.0</v>
      </c>
      <c r="B982" s="266">
        <v>1.0</v>
      </c>
      <c r="C982" s="266"/>
      <c r="D982" s="266" t="s">
        <v>7107</v>
      </c>
      <c r="E982" s="266"/>
      <c r="F982" s="266"/>
      <c r="G982" s="266"/>
      <c r="H982" s="266"/>
      <c r="I982" s="266"/>
      <c r="J982" s="267"/>
    </row>
    <row r="983">
      <c r="A983" s="266">
        <v>100.0</v>
      </c>
      <c r="B983" s="266"/>
      <c r="C983" s="266">
        <v>5.0</v>
      </c>
      <c r="D983" s="266" t="s">
        <v>6768</v>
      </c>
      <c r="E983" s="266"/>
      <c r="F983" s="266"/>
      <c r="G983" s="266" t="s">
        <v>6304</v>
      </c>
      <c r="H983" s="266" t="s">
        <v>3794</v>
      </c>
      <c r="I983" s="266"/>
      <c r="J983" s="266"/>
      <c r="K983" s="1"/>
      <c r="L983" s="1"/>
    </row>
    <row r="984">
      <c r="A984" s="266">
        <v>200.0</v>
      </c>
      <c r="B984" s="266"/>
      <c r="C984" s="266">
        <v>5.0</v>
      </c>
      <c r="D984" s="266" t="s">
        <v>6875</v>
      </c>
      <c r="E984" s="266"/>
      <c r="F984" s="266"/>
      <c r="G984" s="266"/>
      <c r="H984" s="266"/>
      <c r="I984" s="266"/>
      <c r="J984" s="267"/>
    </row>
    <row r="985">
      <c r="A985" s="266">
        <v>300.0</v>
      </c>
      <c r="B985" s="266"/>
      <c r="C985" s="266">
        <v>10.0</v>
      </c>
      <c r="D985" s="266" t="s">
        <v>3802</v>
      </c>
      <c r="E985" s="266"/>
      <c r="F985" s="266"/>
      <c r="G985" s="266" t="s">
        <v>6304</v>
      </c>
      <c r="H985" s="266" t="s">
        <v>3794</v>
      </c>
      <c r="I985" s="266"/>
      <c r="J985" s="266"/>
      <c r="K985" s="1"/>
      <c r="L985" s="1"/>
    </row>
    <row r="986">
      <c r="A986" s="266">
        <v>400.0</v>
      </c>
      <c r="B986" s="266"/>
      <c r="C986" s="266">
        <v>10.0</v>
      </c>
      <c r="D986" s="266" t="s">
        <v>3803</v>
      </c>
      <c r="E986" s="266"/>
      <c r="F986" s="266"/>
      <c r="G986" s="266" t="s">
        <v>6304</v>
      </c>
      <c r="H986" s="266" t="s">
        <v>3795</v>
      </c>
      <c r="I986" s="266"/>
      <c r="J986" s="266"/>
      <c r="K986" s="1"/>
      <c r="L986" s="1"/>
    </row>
    <row r="987">
      <c r="A987" s="266">
        <v>500.0</v>
      </c>
      <c r="B987" s="266"/>
      <c r="C987" s="266">
        <v>10.0</v>
      </c>
      <c r="D987" s="266" t="s">
        <v>3804</v>
      </c>
      <c r="E987" s="266"/>
      <c r="F987" s="266"/>
      <c r="G987" s="266" t="s">
        <v>6304</v>
      </c>
      <c r="H987" s="266" t="s">
        <v>3796</v>
      </c>
      <c r="I987" s="266"/>
      <c r="J987" s="266"/>
      <c r="K987" s="1"/>
      <c r="L987" s="1"/>
    </row>
    <row r="988">
      <c r="A988" s="266">
        <v>600.0</v>
      </c>
      <c r="B988" s="266"/>
      <c r="C988" s="266">
        <v>5.0</v>
      </c>
      <c r="D988" s="266" t="s">
        <v>7108</v>
      </c>
      <c r="E988" s="266"/>
      <c r="F988" s="266"/>
      <c r="G988" s="266" t="s">
        <v>6304</v>
      </c>
      <c r="H988" s="266" t="s">
        <v>7109</v>
      </c>
      <c r="I988" s="266"/>
      <c r="J988" s="266"/>
      <c r="K988" s="1"/>
      <c r="L988" s="1"/>
    </row>
    <row r="989">
      <c r="A989" s="266">
        <v>700.0</v>
      </c>
      <c r="B989" s="266"/>
      <c r="C989" s="266">
        <v>5.0</v>
      </c>
      <c r="D989" s="266" t="s">
        <v>7110</v>
      </c>
      <c r="E989" s="266"/>
      <c r="F989" s="266"/>
      <c r="G989" s="266" t="s">
        <v>6304</v>
      </c>
      <c r="H989" s="266" t="s">
        <v>557</v>
      </c>
      <c r="I989" s="266"/>
      <c r="J989" s="266"/>
      <c r="K989" s="1"/>
      <c r="L989" s="1"/>
    </row>
    <row r="990">
      <c r="A990" s="266">
        <v>800.0</v>
      </c>
      <c r="B990" s="266"/>
      <c r="C990" s="266">
        <v>5.0</v>
      </c>
      <c r="D990" s="266" t="s">
        <v>7111</v>
      </c>
      <c r="E990" s="266"/>
      <c r="F990" s="266"/>
      <c r="G990" s="266" t="s">
        <v>6304</v>
      </c>
      <c r="H990" s="266" t="s">
        <v>559</v>
      </c>
      <c r="I990" s="266"/>
      <c r="J990" s="266"/>
      <c r="K990" s="1"/>
      <c r="L990" s="1"/>
    </row>
    <row r="991">
      <c r="A991" s="266">
        <v>900.0</v>
      </c>
      <c r="B991" s="266"/>
      <c r="C991" s="266">
        <v>5.0</v>
      </c>
      <c r="D991" s="266" t="s">
        <v>5291</v>
      </c>
      <c r="E991" s="266"/>
      <c r="F991" s="266"/>
      <c r="G991" s="266" t="s">
        <v>6304</v>
      </c>
      <c r="H991" s="266" t="s">
        <v>608</v>
      </c>
      <c r="I991" s="266"/>
      <c r="J991" s="266"/>
      <c r="K991" s="1"/>
      <c r="L991" s="1"/>
    </row>
    <row r="992">
      <c r="A992" s="266">
        <v>1000.0</v>
      </c>
      <c r="B992" s="266"/>
      <c r="C992" s="266">
        <v>5.0</v>
      </c>
      <c r="D992" s="266" t="s">
        <v>576</v>
      </c>
      <c r="E992" s="266"/>
      <c r="F992" s="266"/>
      <c r="G992" s="266" t="s">
        <v>6304</v>
      </c>
      <c r="H992" s="266" t="s">
        <v>3794</v>
      </c>
      <c r="I992" s="266"/>
      <c r="J992" s="266"/>
      <c r="K992" s="1"/>
      <c r="L992" s="1"/>
    </row>
    <row r="993">
      <c r="A993" s="266">
        <v>1100.0</v>
      </c>
      <c r="B993" s="266"/>
      <c r="C993" s="266">
        <v>5.0</v>
      </c>
      <c r="D993" s="266" t="s">
        <v>575</v>
      </c>
      <c r="E993" s="266"/>
      <c r="F993" s="266"/>
      <c r="G993" s="266" t="s">
        <v>6304</v>
      </c>
      <c r="H993" s="266" t="s">
        <v>3794</v>
      </c>
      <c r="I993" s="266"/>
      <c r="J993" s="266"/>
      <c r="K993" s="1"/>
      <c r="L993" s="1"/>
    </row>
    <row r="994">
      <c r="A994" s="266">
        <v>1200.0</v>
      </c>
      <c r="B994" s="266"/>
      <c r="C994" s="266">
        <v>5.0</v>
      </c>
      <c r="D994" s="266" t="s">
        <v>7112</v>
      </c>
      <c r="E994" s="266"/>
      <c r="F994" s="266"/>
      <c r="G994" s="266"/>
      <c r="H994" s="266"/>
      <c r="I994" s="266"/>
      <c r="J994" s="267"/>
    </row>
    <row r="995">
      <c r="A995" s="266">
        <v>1300.0</v>
      </c>
      <c r="B995" s="266"/>
      <c r="C995" s="266">
        <v>10.0</v>
      </c>
      <c r="D995" s="266" t="s">
        <v>7113</v>
      </c>
      <c r="E995" s="266"/>
      <c r="F995" s="266"/>
      <c r="G995" s="266" t="s">
        <v>6304</v>
      </c>
      <c r="H995" s="266" t="s">
        <v>3794</v>
      </c>
      <c r="I995" s="266"/>
      <c r="J995" s="266"/>
      <c r="K995" s="1"/>
      <c r="L995" s="1"/>
    </row>
    <row r="996">
      <c r="A996" s="266">
        <v>1400.0</v>
      </c>
      <c r="B996" s="266"/>
      <c r="C996" s="266">
        <v>10.0</v>
      </c>
      <c r="D996" s="266" t="s">
        <v>7114</v>
      </c>
      <c r="E996" s="266"/>
      <c r="F996" s="266"/>
      <c r="G996" s="266" t="s">
        <v>6304</v>
      </c>
      <c r="H996" s="266" t="s">
        <v>3794</v>
      </c>
      <c r="I996" s="266"/>
      <c r="J996" s="266"/>
      <c r="K996" s="1"/>
      <c r="L996" s="1"/>
    </row>
    <row r="997">
      <c r="A997" s="266">
        <v>1500.0</v>
      </c>
      <c r="B997" s="266"/>
      <c r="C997" s="266">
        <v>10.0</v>
      </c>
      <c r="D997" s="266" t="s">
        <v>417</v>
      </c>
      <c r="E997" s="266"/>
      <c r="F997" s="266"/>
      <c r="G997" s="266" t="s">
        <v>6304</v>
      </c>
      <c r="H997" s="266" t="s">
        <v>3794</v>
      </c>
      <c r="I997" s="266"/>
      <c r="J997" s="266"/>
      <c r="K997" s="1"/>
      <c r="L997" s="1"/>
    </row>
    <row r="998">
      <c r="A998" s="266">
        <v>1600.0</v>
      </c>
      <c r="B998" s="266"/>
      <c r="C998" s="266">
        <v>5.0</v>
      </c>
      <c r="D998" s="266" t="s">
        <v>7115</v>
      </c>
      <c r="E998" s="266" t="s">
        <v>6479</v>
      </c>
      <c r="F998" s="266">
        <v>4.0</v>
      </c>
      <c r="G998" s="266" t="s">
        <v>6304</v>
      </c>
      <c r="H998" s="266" t="s">
        <v>3794</v>
      </c>
      <c r="I998" s="266"/>
      <c r="J998" s="267"/>
    </row>
    <row r="999">
      <c r="A999" s="266">
        <v>1700.0</v>
      </c>
      <c r="B999" s="266"/>
      <c r="C999" s="266">
        <v>5.0</v>
      </c>
      <c r="D999" s="266" t="s">
        <v>7116</v>
      </c>
      <c r="E999" s="266"/>
      <c r="F999" s="266"/>
      <c r="G999" s="266" t="s">
        <v>6304</v>
      </c>
      <c r="H999" s="266" t="s">
        <v>3795</v>
      </c>
      <c r="I999" s="266"/>
      <c r="J999" s="266"/>
      <c r="K999" s="1"/>
      <c r="L999" s="1"/>
    </row>
    <row r="1000">
      <c r="A1000" s="266">
        <v>1800.0</v>
      </c>
      <c r="B1000" s="266"/>
      <c r="C1000" s="266">
        <v>5.0</v>
      </c>
      <c r="D1000" s="266" t="s">
        <v>7117</v>
      </c>
      <c r="E1000" s="266"/>
      <c r="F1000" s="266"/>
      <c r="G1000" s="266" t="s">
        <v>6304</v>
      </c>
      <c r="H1000" s="266" t="s">
        <v>3795</v>
      </c>
      <c r="I1000" s="266"/>
      <c r="J1000" s="266"/>
      <c r="K1000" s="1"/>
      <c r="L1000" s="1"/>
    </row>
    <row r="1001">
      <c r="A1001" s="266">
        <v>1900.0</v>
      </c>
      <c r="B1001" s="266"/>
      <c r="C1001" s="266">
        <v>5.0</v>
      </c>
      <c r="D1001" s="266" t="s">
        <v>7118</v>
      </c>
      <c r="E1001" s="266"/>
      <c r="F1001" s="266"/>
      <c r="G1001" s="266" t="s">
        <v>6304</v>
      </c>
      <c r="H1001" s="266" t="s">
        <v>557</v>
      </c>
      <c r="I1001" s="266"/>
      <c r="J1001" s="266"/>
      <c r="K1001" s="1"/>
      <c r="L1001" s="1"/>
    </row>
    <row r="1002">
      <c r="A1002" s="266">
        <v>2000.0</v>
      </c>
      <c r="B1002" s="266"/>
      <c r="C1002" s="266">
        <v>5.0</v>
      </c>
      <c r="D1002" s="266" t="s">
        <v>7119</v>
      </c>
      <c r="E1002" s="266"/>
      <c r="F1002" s="266"/>
      <c r="G1002" s="266" t="s">
        <v>6304</v>
      </c>
      <c r="H1002" s="266" t="s">
        <v>6315</v>
      </c>
      <c r="I1002" s="266"/>
      <c r="J1002" s="266"/>
      <c r="K1002" s="1"/>
      <c r="L1002" s="1"/>
    </row>
    <row r="1003">
      <c r="A1003" s="266">
        <v>2100.0</v>
      </c>
      <c r="B1003" s="266"/>
      <c r="C1003" s="266">
        <v>5.0</v>
      </c>
      <c r="D1003" s="266" t="s">
        <v>7120</v>
      </c>
      <c r="E1003" s="266"/>
      <c r="F1003" s="266"/>
      <c r="G1003" s="266" t="s">
        <v>6304</v>
      </c>
      <c r="H1003" s="266" t="s">
        <v>6315</v>
      </c>
      <c r="I1003" s="266"/>
      <c r="J1003" s="266"/>
      <c r="K1003" s="1"/>
      <c r="L1003" s="1"/>
    </row>
    <row r="1004">
      <c r="A1004" s="266">
        <v>2200.0</v>
      </c>
      <c r="B1004" s="266"/>
      <c r="C1004" s="266">
        <v>5.0</v>
      </c>
      <c r="D1004" s="266" t="s">
        <v>7121</v>
      </c>
      <c r="E1004" s="266"/>
      <c r="F1004" s="266"/>
      <c r="G1004" s="266" t="s">
        <v>6304</v>
      </c>
      <c r="H1004" s="266" t="s">
        <v>559</v>
      </c>
      <c r="I1004" s="266"/>
      <c r="J1004" s="266"/>
      <c r="K1004" s="1"/>
      <c r="L1004" s="1"/>
    </row>
    <row r="1005">
      <c r="A1005" s="266">
        <v>2300.0</v>
      </c>
      <c r="B1005" s="266"/>
      <c r="C1005" s="266">
        <v>5.0</v>
      </c>
      <c r="D1005" s="266" t="s">
        <v>7122</v>
      </c>
      <c r="E1005" s="266"/>
      <c r="F1005" s="266"/>
      <c r="G1005" s="266" t="s">
        <v>6304</v>
      </c>
      <c r="H1005" s="266" t="s">
        <v>6315</v>
      </c>
      <c r="I1005" s="266"/>
      <c r="J1005" s="266"/>
      <c r="K1005" s="1"/>
      <c r="L1005" s="1"/>
    </row>
    <row r="1006">
      <c r="A1006" s="266">
        <v>2400.0</v>
      </c>
      <c r="B1006" s="266"/>
      <c r="C1006" s="266">
        <v>5.0</v>
      </c>
      <c r="D1006" s="266" t="s">
        <v>7123</v>
      </c>
      <c r="E1006" s="266"/>
      <c r="F1006" s="266"/>
      <c r="G1006" s="266" t="s">
        <v>6304</v>
      </c>
      <c r="H1006" s="266" t="s">
        <v>7124</v>
      </c>
      <c r="I1006" s="266"/>
      <c r="J1006" s="266"/>
      <c r="K1006" s="1"/>
      <c r="L1006" s="1"/>
    </row>
    <row r="1007">
      <c r="A1007" s="266">
        <v>2500.0</v>
      </c>
      <c r="B1007" s="266"/>
      <c r="C1007" s="266">
        <v>5.0</v>
      </c>
      <c r="D1007" s="266" t="s">
        <v>7125</v>
      </c>
      <c r="E1007" s="266"/>
      <c r="F1007" s="266"/>
      <c r="G1007" s="266" t="s">
        <v>6304</v>
      </c>
      <c r="H1007" s="266" t="s">
        <v>6317</v>
      </c>
      <c r="I1007" s="266"/>
      <c r="J1007" s="266"/>
      <c r="K1007" s="1"/>
      <c r="L1007" s="1"/>
    </row>
    <row r="1008">
      <c r="A1008" s="266">
        <v>2600.0</v>
      </c>
      <c r="B1008" s="266"/>
      <c r="C1008" s="266">
        <v>5.0</v>
      </c>
      <c r="D1008" s="266" t="s">
        <v>7126</v>
      </c>
      <c r="E1008" s="266"/>
      <c r="F1008" s="266"/>
      <c r="G1008" s="266" t="s">
        <v>6304</v>
      </c>
      <c r="H1008" s="266" t="s">
        <v>6338</v>
      </c>
      <c r="I1008" s="266"/>
      <c r="J1008" s="266"/>
      <c r="K1008" s="1"/>
      <c r="L1008" s="1"/>
    </row>
    <row r="1009">
      <c r="A1009" s="266">
        <v>2700.0</v>
      </c>
      <c r="B1009" s="266"/>
      <c r="C1009" s="266">
        <v>5.0</v>
      </c>
      <c r="D1009" s="266" t="s">
        <v>7127</v>
      </c>
      <c r="E1009" s="266"/>
      <c r="F1009" s="266"/>
      <c r="G1009" s="266"/>
      <c r="H1009" s="266"/>
      <c r="I1009" s="266"/>
      <c r="J1009" s="267"/>
    </row>
    <row r="1010">
      <c r="A1010" s="266">
        <v>2800.0</v>
      </c>
      <c r="B1010" s="266"/>
      <c r="C1010" s="266">
        <v>10.0</v>
      </c>
      <c r="D1010" s="266" t="s">
        <v>7113</v>
      </c>
      <c r="E1010" s="266"/>
      <c r="F1010" s="266"/>
      <c r="G1010" s="266" t="s">
        <v>6304</v>
      </c>
      <c r="H1010" s="266" t="s">
        <v>3794</v>
      </c>
      <c r="I1010" s="266"/>
      <c r="J1010" s="266"/>
      <c r="K1010" s="1"/>
      <c r="L1010" s="1"/>
    </row>
    <row r="1011">
      <c r="A1011" s="266">
        <v>2900.0</v>
      </c>
      <c r="B1011" s="266"/>
      <c r="C1011" s="266">
        <v>10.0</v>
      </c>
      <c r="D1011" s="266" t="s">
        <v>7114</v>
      </c>
      <c r="E1011" s="266"/>
      <c r="F1011" s="266"/>
      <c r="G1011" s="266" t="s">
        <v>6304</v>
      </c>
      <c r="H1011" s="266" t="s">
        <v>3794</v>
      </c>
      <c r="I1011" s="266"/>
      <c r="J1011" s="266"/>
      <c r="K1011" s="1"/>
      <c r="L1011" s="1"/>
    </row>
    <row r="1012">
      <c r="A1012" s="266">
        <v>3000.0</v>
      </c>
      <c r="B1012" s="266"/>
      <c r="C1012" s="266">
        <v>10.0</v>
      </c>
      <c r="D1012" s="266" t="s">
        <v>417</v>
      </c>
      <c r="E1012" s="266"/>
      <c r="F1012" s="266"/>
      <c r="G1012" s="266" t="s">
        <v>6304</v>
      </c>
      <c r="H1012" s="266" t="s">
        <v>3794</v>
      </c>
      <c r="I1012" s="266"/>
      <c r="J1012" s="266"/>
      <c r="K1012" s="1"/>
      <c r="L1012" s="1"/>
    </row>
    <row r="1013">
      <c r="A1013" s="266">
        <v>3100.0</v>
      </c>
      <c r="B1013" s="266"/>
      <c r="C1013" s="266">
        <v>5.0</v>
      </c>
      <c r="D1013" s="266" t="s">
        <v>7128</v>
      </c>
      <c r="E1013" s="266"/>
      <c r="F1013" s="266"/>
      <c r="G1013" s="266" t="s">
        <v>6304</v>
      </c>
      <c r="H1013" s="266" t="s">
        <v>6390</v>
      </c>
      <c r="I1013" s="266"/>
      <c r="J1013" s="266"/>
      <c r="K1013" s="1"/>
      <c r="L1013" s="1"/>
    </row>
    <row r="1014">
      <c r="A1014" s="266">
        <v>3200.0</v>
      </c>
      <c r="B1014" s="266"/>
      <c r="C1014" s="266">
        <v>5.0</v>
      </c>
      <c r="D1014" s="266" t="s">
        <v>7129</v>
      </c>
      <c r="E1014" s="266"/>
      <c r="F1014" s="266"/>
      <c r="G1014" s="266" t="s">
        <v>6304</v>
      </c>
      <c r="H1014" s="266" t="s">
        <v>6336</v>
      </c>
      <c r="I1014" s="266"/>
      <c r="J1014" s="266"/>
      <c r="K1014" s="1"/>
      <c r="L1014" s="1"/>
    </row>
    <row r="1015">
      <c r="A1015" s="266">
        <v>3300.0</v>
      </c>
      <c r="B1015" s="266"/>
      <c r="C1015" s="266">
        <v>5.0</v>
      </c>
      <c r="D1015" s="266" t="s">
        <v>7130</v>
      </c>
      <c r="E1015" s="266"/>
      <c r="F1015" s="266"/>
      <c r="G1015" s="266" t="s">
        <v>6304</v>
      </c>
      <c r="H1015" s="266" t="s">
        <v>7131</v>
      </c>
      <c r="I1015" s="266"/>
      <c r="J1015" s="266"/>
      <c r="K1015" s="1"/>
      <c r="L1015" s="1"/>
    </row>
    <row r="1016">
      <c r="A1016" s="266">
        <v>3400.0</v>
      </c>
      <c r="B1016" s="266"/>
      <c r="C1016" s="266">
        <v>5.0</v>
      </c>
      <c r="D1016" s="266" t="s">
        <v>7036</v>
      </c>
      <c r="E1016" s="266"/>
      <c r="F1016" s="266"/>
      <c r="G1016" s="266"/>
      <c r="H1016" s="266"/>
      <c r="I1016" s="266"/>
      <c r="J1016" s="267"/>
    </row>
    <row r="1017">
      <c r="A1017" s="266">
        <v>3500.0</v>
      </c>
      <c r="B1017" s="266"/>
      <c r="C1017" s="266">
        <v>10.0</v>
      </c>
      <c r="D1017" s="266" t="s">
        <v>7037</v>
      </c>
      <c r="E1017" s="266"/>
      <c r="F1017" s="266"/>
      <c r="G1017" s="266" t="s">
        <v>6304</v>
      </c>
      <c r="H1017" s="266" t="s">
        <v>557</v>
      </c>
      <c r="I1017" s="266"/>
      <c r="J1017" s="266"/>
      <c r="K1017" s="1"/>
      <c r="L1017" s="1"/>
    </row>
    <row r="1018">
      <c r="A1018" s="266">
        <v>3600.0</v>
      </c>
      <c r="B1018" s="266"/>
      <c r="C1018" s="266">
        <v>10.0</v>
      </c>
      <c r="D1018" s="266" t="s">
        <v>7038</v>
      </c>
      <c r="E1018" s="266"/>
      <c r="F1018" s="266"/>
      <c r="G1018" s="266" t="s">
        <v>6304</v>
      </c>
      <c r="H1018" s="266" t="s">
        <v>559</v>
      </c>
      <c r="I1018" s="266"/>
      <c r="J1018" s="266"/>
      <c r="K1018" s="1"/>
      <c r="L1018" s="1"/>
    </row>
    <row r="1019">
      <c r="A1019" s="266">
        <v>3700.0</v>
      </c>
      <c r="B1019" s="266"/>
      <c r="C1019" s="266">
        <v>88.0</v>
      </c>
      <c r="D1019" s="266" t="s">
        <v>7039</v>
      </c>
      <c r="E1019" s="266" t="s">
        <v>6621</v>
      </c>
      <c r="F1019" s="269" t="s">
        <v>7040</v>
      </c>
      <c r="G1019" s="266"/>
      <c r="H1019" s="266"/>
      <c r="I1019" s="266"/>
      <c r="J1019" s="267"/>
    </row>
    <row r="1020">
      <c r="A1020" s="266">
        <v>3800.0</v>
      </c>
      <c r="B1020" s="266"/>
      <c r="C1020" s="266">
        <v>88.0</v>
      </c>
      <c r="D1020" s="266" t="s">
        <v>7041</v>
      </c>
      <c r="E1020" s="266" t="s">
        <v>6621</v>
      </c>
      <c r="F1020" s="269" t="s">
        <v>7042</v>
      </c>
      <c r="G1020" s="266"/>
      <c r="H1020" s="266"/>
      <c r="I1020" s="266"/>
      <c r="J1020" s="267"/>
    </row>
    <row r="1021">
      <c r="A1021" s="266">
        <v>3900.0</v>
      </c>
      <c r="B1021" s="266"/>
      <c r="C1021" s="266">
        <v>10.0</v>
      </c>
      <c r="D1021" s="266" t="s">
        <v>6306</v>
      </c>
      <c r="E1021" s="266"/>
      <c r="F1021" s="266"/>
      <c r="G1021" s="266" t="s">
        <v>6304</v>
      </c>
      <c r="H1021" s="266" t="s">
        <v>557</v>
      </c>
      <c r="I1021" s="266"/>
      <c r="J1021" s="266"/>
      <c r="K1021" s="1"/>
      <c r="L1021" s="1"/>
    </row>
    <row r="1022">
      <c r="A1022" s="266">
        <v>4000.0</v>
      </c>
      <c r="B1022" s="266"/>
      <c r="C1022" s="266">
        <v>10.0</v>
      </c>
      <c r="D1022" s="266" t="s">
        <v>7043</v>
      </c>
      <c r="E1022" s="266"/>
      <c r="F1022" s="266"/>
      <c r="G1022" s="266" t="s">
        <v>6304</v>
      </c>
      <c r="H1022" s="266" t="s">
        <v>6317</v>
      </c>
      <c r="I1022" s="266"/>
      <c r="J1022" s="266"/>
      <c r="K1022" s="1"/>
      <c r="L1022" s="1"/>
    </row>
    <row r="1023">
      <c r="A1023" s="266">
        <v>4100.0</v>
      </c>
      <c r="B1023" s="266"/>
      <c r="C1023" s="266">
        <v>5.0</v>
      </c>
      <c r="D1023" s="266" t="s">
        <v>7132</v>
      </c>
      <c r="E1023" s="266"/>
      <c r="F1023" s="266"/>
      <c r="G1023" s="266"/>
      <c r="H1023" s="266"/>
      <c r="I1023" s="266"/>
      <c r="J1023" s="267"/>
    </row>
    <row r="1024">
      <c r="A1024" s="266">
        <v>4200.0</v>
      </c>
      <c r="B1024" s="266"/>
      <c r="C1024" s="266">
        <v>10.0</v>
      </c>
      <c r="D1024" s="266" t="s">
        <v>7133</v>
      </c>
      <c r="E1024" s="266"/>
      <c r="F1024" s="266"/>
      <c r="G1024" s="266" t="s">
        <v>6304</v>
      </c>
      <c r="H1024" s="266" t="s">
        <v>3794</v>
      </c>
      <c r="I1024" s="266"/>
      <c r="J1024" s="266"/>
      <c r="K1024" s="1"/>
      <c r="L1024" s="1"/>
    </row>
    <row r="1025">
      <c r="A1025" s="266">
        <v>4300.0</v>
      </c>
      <c r="B1025" s="266"/>
      <c r="C1025" s="266">
        <v>10.0</v>
      </c>
      <c r="D1025" s="266" t="s">
        <v>7134</v>
      </c>
      <c r="E1025" s="266"/>
      <c r="F1025" s="266"/>
      <c r="G1025" s="266" t="s">
        <v>6304</v>
      </c>
      <c r="H1025" s="266" t="s">
        <v>3794</v>
      </c>
      <c r="I1025" s="266"/>
      <c r="J1025" s="266"/>
      <c r="K1025" s="1"/>
      <c r="L1025" s="1"/>
    </row>
    <row r="1026">
      <c r="A1026" s="266">
        <v>4400.0</v>
      </c>
      <c r="B1026" s="266"/>
      <c r="C1026" s="266">
        <v>5.0</v>
      </c>
      <c r="D1026" s="266" t="s">
        <v>7135</v>
      </c>
      <c r="E1026" s="266"/>
      <c r="F1026" s="266"/>
      <c r="G1026" s="266" t="s">
        <v>6304</v>
      </c>
      <c r="H1026" s="266" t="s">
        <v>559</v>
      </c>
      <c r="I1026" s="266"/>
      <c r="J1026" s="266"/>
      <c r="K1026" s="1"/>
      <c r="L1026" s="1"/>
    </row>
    <row r="1027">
      <c r="A1027" s="266">
        <v>4500.0</v>
      </c>
      <c r="B1027" s="266"/>
      <c r="C1027" s="266">
        <v>5.0</v>
      </c>
      <c r="D1027" s="266" t="s">
        <v>7136</v>
      </c>
      <c r="E1027" s="266"/>
      <c r="F1027" s="266"/>
      <c r="G1027" s="266" t="s">
        <v>6304</v>
      </c>
      <c r="H1027" s="266" t="s">
        <v>7124</v>
      </c>
      <c r="I1027" s="266"/>
      <c r="J1027" s="266"/>
      <c r="K1027" s="1"/>
      <c r="L1027" s="1"/>
    </row>
    <row r="1028">
      <c r="A1028" s="266">
        <v>4600.0</v>
      </c>
      <c r="B1028" s="266"/>
      <c r="C1028" s="266">
        <v>5.0</v>
      </c>
      <c r="D1028" s="266" t="s">
        <v>7137</v>
      </c>
      <c r="E1028" s="266"/>
      <c r="F1028" s="266"/>
      <c r="G1028" s="266" t="s">
        <v>6304</v>
      </c>
      <c r="H1028" s="266" t="s">
        <v>608</v>
      </c>
      <c r="I1028" s="266"/>
      <c r="J1028" s="266"/>
      <c r="K1028" s="1"/>
      <c r="L1028" s="1"/>
    </row>
    <row r="1029">
      <c r="A1029" s="266">
        <v>4700.0</v>
      </c>
      <c r="B1029" s="266"/>
      <c r="C1029" s="266">
        <v>5.0</v>
      </c>
      <c r="D1029" s="266" t="s">
        <v>7138</v>
      </c>
      <c r="E1029" s="266"/>
      <c r="F1029" s="266"/>
      <c r="G1029" s="266" t="s">
        <v>6304</v>
      </c>
      <c r="H1029" s="266" t="s">
        <v>560</v>
      </c>
      <c r="I1029" s="266"/>
      <c r="J1029" s="266"/>
      <c r="K1029" s="1"/>
      <c r="L1029" s="1"/>
    </row>
    <row r="1030">
      <c r="A1030" s="266">
        <v>4800.0</v>
      </c>
      <c r="B1030" s="266"/>
      <c r="C1030" s="266">
        <v>5.0</v>
      </c>
      <c r="D1030" s="266" t="s">
        <v>6306</v>
      </c>
      <c r="E1030" s="266"/>
      <c r="F1030" s="266"/>
      <c r="G1030" s="266" t="s">
        <v>6304</v>
      </c>
      <c r="H1030" s="266" t="s">
        <v>15</v>
      </c>
      <c r="I1030" s="266"/>
      <c r="J1030" s="266"/>
      <c r="K1030" s="1"/>
      <c r="L1030" s="1"/>
    </row>
    <row r="1031">
      <c r="A1031" s="266">
        <v>50.0</v>
      </c>
      <c r="B1031" s="266">
        <v>1.0</v>
      </c>
      <c r="C1031" s="266"/>
      <c r="D1031" s="266" t="s">
        <v>7139</v>
      </c>
      <c r="E1031" s="266"/>
      <c r="F1031" s="266"/>
      <c r="G1031" s="266"/>
      <c r="H1031" s="266"/>
      <c r="I1031" s="266"/>
      <c r="J1031" s="267"/>
    </row>
    <row r="1032">
      <c r="A1032" s="266">
        <v>100.0</v>
      </c>
      <c r="B1032" s="266"/>
      <c r="C1032" s="266">
        <v>5.0</v>
      </c>
      <c r="D1032" s="266" t="s">
        <v>7140</v>
      </c>
      <c r="E1032" s="266"/>
      <c r="F1032" s="266"/>
      <c r="G1032" s="266" t="s">
        <v>6304</v>
      </c>
      <c r="H1032" s="266" t="s">
        <v>608</v>
      </c>
      <c r="I1032" s="266"/>
      <c r="J1032" s="266"/>
      <c r="K1032" s="1"/>
      <c r="L1032" s="1"/>
    </row>
    <row r="1033">
      <c r="A1033" s="266">
        <v>200.0</v>
      </c>
      <c r="B1033" s="266"/>
      <c r="C1033" s="266">
        <v>5.0</v>
      </c>
      <c r="D1033" s="266" t="s">
        <v>7141</v>
      </c>
      <c r="E1033" s="266"/>
      <c r="F1033" s="266"/>
      <c r="G1033" s="266" t="s">
        <v>6304</v>
      </c>
      <c r="H1033" s="266" t="s">
        <v>557</v>
      </c>
      <c r="I1033" s="266"/>
      <c r="J1033" s="266"/>
      <c r="K1033" s="1"/>
      <c r="L1033" s="1"/>
    </row>
    <row r="1034">
      <c r="A1034" s="266">
        <v>300.0</v>
      </c>
      <c r="B1034" s="266"/>
      <c r="C1034" s="266">
        <v>5.0</v>
      </c>
      <c r="D1034" s="266" t="s">
        <v>7142</v>
      </c>
      <c r="E1034" s="266"/>
      <c r="F1034" s="266"/>
      <c r="G1034" s="266" t="s">
        <v>6304</v>
      </c>
      <c r="H1034" s="266" t="s">
        <v>7143</v>
      </c>
      <c r="I1034" s="266"/>
      <c r="J1034" s="266"/>
      <c r="K1034" s="1"/>
      <c r="L1034" s="1"/>
    </row>
    <row r="1035">
      <c r="A1035" s="266">
        <v>400.0</v>
      </c>
      <c r="B1035" s="266"/>
      <c r="C1035" s="266">
        <v>5.0</v>
      </c>
      <c r="D1035" s="266" t="s">
        <v>7144</v>
      </c>
      <c r="E1035" s="266"/>
      <c r="F1035" s="266"/>
      <c r="G1035" s="266" t="s">
        <v>6304</v>
      </c>
      <c r="H1035" s="266">
        <v>9.0</v>
      </c>
      <c r="I1035" s="266"/>
      <c r="J1035" s="266"/>
      <c r="K1035" s="1"/>
      <c r="L1035" s="1"/>
    </row>
    <row r="1036">
      <c r="A1036" s="266">
        <v>500.0</v>
      </c>
      <c r="B1036" s="266"/>
      <c r="C1036" s="266">
        <v>5.0</v>
      </c>
      <c r="D1036" s="266" t="s">
        <v>7145</v>
      </c>
      <c r="E1036" s="266"/>
      <c r="F1036" s="266"/>
      <c r="G1036" s="266" t="s">
        <v>6304</v>
      </c>
      <c r="H1036" s="266" t="s">
        <v>17</v>
      </c>
      <c r="I1036" s="266"/>
      <c r="J1036" s="266"/>
      <c r="K1036" s="1"/>
      <c r="L1036" s="1"/>
    </row>
    <row r="1037">
      <c r="A1037" s="266">
        <v>600.0</v>
      </c>
      <c r="B1037" s="266"/>
      <c r="C1037" s="266">
        <v>5.0</v>
      </c>
      <c r="D1037" s="266" t="s">
        <v>7146</v>
      </c>
      <c r="E1037" s="266"/>
      <c r="F1037" s="266"/>
      <c r="G1037" s="266" t="s">
        <v>6304</v>
      </c>
      <c r="H1037" s="266" t="s">
        <v>6588</v>
      </c>
      <c r="I1037" s="266"/>
      <c r="J1037" s="266"/>
      <c r="K1037" s="1"/>
      <c r="L1037" s="1"/>
    </row>
    <row r="1038">
      <c r="A1038" s="266">
        <v>50.0</v>
      </c>
      <c r="B1038" s="266">
        <v>1.0</v>
      </c>
      <c r="C1038" s="266"/>
      <c r="D1038" s="266" t="s">
        <v>7147</v>
      </c>
      <c r="E1038" s="266"/>
      <c r="F1038" s="266"/>
      <c r="G1038" s="266"/>
      <c r="H1038" s="266"/>
      <c r="I1038" s="266"/>
      <c r="J1038" s="267"/>
    </row>
    <row r="1039">
      <c r="A1039" s="266">
        <v>100.0</v>
      </c>
      <c r="B1039" s="266"/>
      <c r="C1039" s="266">
        <v>5.0</v>
      </c>
      <c r="D1039" s="266" t="s">
        <v>7148</v>
      </c>
      <c r="E1039" s="266"/>
      <c r="F1039" s="266"/>
      <c r="G1039" s="266" t="s">
        <v>6304</v>
      </c>
      <c r="H1039" s="266" t="s">
        <v>7131</v>
      </c>
      <c r="I1039" s="266"/>
      <c r="J1039" s="266"/>
      <c r="K1039" s="1"/>
      <c r="L1039" s="1"/>
    </row>
    <row r="1040">
      <c r="A1040" s="266">
        <v>200.0</v>
      </c>
      <c r="B1040" s="266"/>
      <c r="C1040" s="266">
        <v>5.0</v>
      </c>
      <c r="D1040" s="266" t="s">
        <v>6770</v>
      </c>
      <c r="E1040" s="266"/>
      <c r="F1040" s="266"/>
      <c r="G1040" s="266" t="s">
        <v>6304</v>
      </c>
      <c r="H1040" s="266">
        <v>9.0</v>
      </c>
      <c r="I1040" s="266"/>
      <c r="J1040" s="266"/>
      <c r="K1040" s="1"/>
      <c r="L1040" s="1"/>
    </row>
    <row r="1041">
      <c r="A1041" s="266">
        <v>300.0</v>
      </c>
      <c r="B1041" s="266"/>
      <c r="C1041" s="266">
        <v>5.0</v>
      </c>
      <c r="D1041" s="266" t="s">
        <v>3835</v>
      </c>
      <c r="E1041" s="266"/>
      <c r="F1041" s="266"/>
      <c r="G1041" s="266" t="s">
        <v>6304</v>
      </c>
      <c r="H1041" s="266" t="s">
        <v>560</v>
      </c>
      <c r="I1041" s="266"/>
      <c r="J1041" s="266"/>
      <c r="K1041" s="1"/>
      <c r="L1041" s="1"/>
    </row>
    <row r="1042">
      <c r="A1042" s="266">
        <v>400.0</v>
      </c>
      <c r="B1042" s="266"/>
      <c r="C1042" s="266">
        <v>5.0</v>
      </c>
      <c r="D1042" s="266" t="s">
        <v>7149</v>
      </c>
      <c r="E1042" s="266"/>
      <c r="F1042" s="266"/>
      <c r="G1042" s="266" t="s">
        <v>6304</v>
      </c>
      <c r="H1042" s="266" t="s">
        <v>560</v>
      </c>
      <c r="I1042" s="266"/>
      <c r="J1042" s="266"/>
      <c r="K1042" s="1"/>
      <c r="L1042" s="1"/>
    </row>
    <row r="1043">
      <c r="A1043" s="266">
        <v>500.0</v>
      </c>
      <c r="B1043" s="266"/>
      <c r="C1043" s="266">
        <v>5.0</v>
      </c>
      <c r="D1043" s="266" t="s">
        <v>7150</v>
      </c>
      <c r="E1043" s="266"/>
      <c r="F1043" s="266"/>
      <c r="G1043" s="266"/>
      <c r="H1043" s="266"/>
      <c r="I1043" s="266"/>
      <c r="J1043" s="267"/>
    </row>
    <row r="1044">
      <c r="A1044" s="266">
        <v>600.0</v>
      </c>
      <c r="B1044" s="266"/>
      <c r="C1044" s="266">
        <v>10.0</v>
      </c>
      <c r="D1044" s="266" t="s">
        <v>7151</v>
      </c>
      <c r="E1044" s="266"/>
      <c r="F1044" s="266"/>
      <c r="G1044" s="266" t="s">
        <v>6304</v>
      </c>
      <c r="H1044" s="266">
        <v>99.0</v>
      </c>
      <c r="I1044" s="266"/>
      <c r="J1044" s="266"/>
      <c r="K1044" s="1"/>
      <c r="L1044" s="1"/>
    </row>
    <row r="1045">
      <c r="A1045" s="266">
        <v>700.0</v>
      </c>
      <c r="B1045" s="266"/>
      <c r="C1045" s="266">
        <v>10.0</v>
      </c>
      <c r="D1045" s="266" t="s">
        <v>7152</v>
      </c>
      <c r="E1045" s="266"/>
      <c r="F1045" s="266"/>
      <c r="G1045" s="266" t="s">
        <v>6304</v>
      </c>
      <c r="H1045" s="266">
        <v>99.0</v>
      </c>
      <c r="I1045" s="266"/>
      <c r="J1045" s="266"/>
      <c r="K1045" s="1"/>
      <c r="L1045" s="1"/>
    </row>
    <row r="1046">
      <c r="A1046" s="266">
        <v>800.0</v>
      </c>
      <c r="B1046" s="266"/>
      <c r="C1046" s="266">
        <v>10.0</v>
      </c>
      <c r="D1046" s="266" t="s">
        <v>7153</v>
      </c>
      <c r="E1046" s="266"/>
      <c r="F1046" s="266"/>
      <c r="G1046" s="266" t="s">
        <v>6304</v>
      </c>
      <c r="H1046" s="266">
        <v>99.0</v>
      </c>
      <c r="I1046" s="266"/>
      <c r="J1046" s="266"/>
      <c r="K1046" s="1"/>
      <c r="L1046" s="1"/>
    </row>
    <row r="1047">
      <c r="A1047" s="266">
        <v>900.0</v>
      </c>
      <c r="B1047" s="266"/>
      <c r="C1047" s="266">
        <v>5.0</v>
      </c>
      <c r="D1047" s="266" t="s">
        <v>7154</v>
      </c>
      <c r="E1047" s="266"/>
      <c r="F1047" s="266"/>
      <c r="G1047" s="266" t="s">
        <v>6304</v>
      </c>
      <c r="H1047" s="266" t="s">
        <v>7</v>
      </c>
      <c r="I1047" s="266" t="s">
        <v>6305</v>
      </c>
      <c r="J1047" s="266"/>
      <c r="K1047" s="1"/>
      <c r="L1047" s="1"/>
    </row>
    <row r="1048">
      <c r="A1048" s="266">
        <v>1000.0</v>
      </c>
      <c r="B1048" s="266"/>
      <c r="C1048" s="266">
        <v>5.0</v>
      </c>
      <c r="D1048" s="266" t="s">
        <v>7155</v>
      </c>
      <c r="E1048" s="266"/>
      <c r="F1048" s="266"/>
      <c r="G1048" s="266" t="s">
        <v>6304</v>
      </c>
      <c r="H1048" s="266" t="s">
        <v>7</v>
      </c>
      <c r="I1048" s="266" t="s">
        <v>6305</v>
      </c>
      <c r="J1048" s="266"/>
      <c r="K1048" s="1"/>
      <c r="L1048" s="1"/>
    </row>
    <row r="1049">
      <c r="A1049" s="266">
        <v>1100.0</v>
      </c>
      <c r="B1049" s="266"/>
      <c r="C1049" s="266">
        <v>5.0</v>
      </c>
      <c r="D1049" s="266" t="s">
        <v>7156</v>
      </c>
      <c r="E1049" s="266"/>
      <c r="F1049" s="266"/>
      <c r="G1049" s="266" t="s">
        <v>6304</v>
      </c>
      <c r="H1049" s="266" t="s">
        <v>7</v>
      </c>
      <c r="I1049" s="266" t="s">
        <v>6305</v>
      </c>
      <c r="J1049" s="266"/>
      <c r="K1049" s="1"/>
      <c r="L1049" s="1"/>
    </row>
    <row r="1050">
      <c r="A1050" s="266">
        <v>1200.0</v>
      </c>
      <c r="B1050" s="266"/>
      <c r="C1050" s="266">
        <v>5.0</v>
      </c>
      <c r="D1050" s="266" t="s">
        <v>7157</v>
      </c>
      <c r="E1050" s="266"/>
      <c r="F1050" s="266"/>
      <c r="G1050" s="266" t="s">
        <v>6304</v>
      </c>
      <c r="H1050" s="266" t="s">
        <v>7</v>
      </c>
      <c r="I1050" s="266" t="s">
        <v>6305</v>
      </c>
      <c r="J1050" s="266"/>
      <c r="K1050" s="1"/>
      <c r="L1050" s="1"/>
    </row>
    <row r="1051">
      <c r="A1051" s="266">
        <v>1300.0</v>
      </c>
      <c r="B1051" s="266"/>
      <c r="C1051" s="266">
        <v>5.0</v>
      </c>
      <c r="D1051" s="266" t="s">
        <v>7158</v>
      </c>
      <c r="E1051" s="266"/>
      <c r="F1051" s="266"/>
      <c r="G1051" s="266" t="s">
        <v>6304</v>
      </c>
      <c r="H1051" s="266" t="s">
        <v>7</v>
      </c>
      <c r="I1051" s="266" t="s">
        <v>6305</v>
      </c>
      <c r="J1051" s="266"/>
      <c r="K1051" s="1"/>
      <c r="L1051" s="1"/>
    </row>
    <row r="1052">
      <c r="A1052" s="266">
        <v>1400.0</v>
      </c>
      <c r="B1052" s="266"/>
      <c r="C1052" s="266">
        <v>5.0</v>
      </c>
      <c r="D1052" s="266" t="s">
        <v>7159</v>
      </c>
      <c r="E1052" s="266"/>
      <c r="F1052" s="266"/>
      <c r="G1052" s="266" t="s">
        <v>6304</v>
      </c>
      <c r="H1052" s="266" t="s">
        <v>7</v>
      </c>
      <c r="I1052" s="266" t="s">
        <v>6305</v>
      </c>
      <c r="J1052" s="266"/>
      <c r="K1052" s="1"/>
      <c r="L1052" s="1"/>
    </row>
    <row r="1053">
      <c r="A1053" s="266">
        <v>1500.0</v>
      </c>
      <c r="B1053" s="266"/>
      <c r="C1053" s="266">
        <v>5.0</v>
      </c>
      <c r="D1053" s="266" t="s">
        <v>7160</v>
      </c>
      <c r="E1053" s="266"/>
      <c r="F1053" s="266"/>
      <c r="G1053" s="266" t="s">
        <v>6304</v>
      </c>
      <c r="H1053" s="266" t="s">
        <v>7</v>
      </c>
      <c r="I1053" s="266" t="s">
        <v>6305</v>
      </c>
      <c r="J1053" s="266"/>
      <c r="K1053" s="1"/>
      <c r="L1053" s="1"/>
    </row>
    <row r="1054">
      <c r="A1054" s="266">
        <v>1600.0</v>
      </c>
      <c r="B1054" s="266"/>
      <c r="C1054" s="266">
        <v>5.0</v>
      </c>
      <c r="D1054" s="266" t="s">
        <v>7161</v>
      </c>
      <c r="E1054" s="266"/>
      <c r="F1054" s="266"/>
      <c r="G1054" s="266" t="s">
        <v>6304</v>
      </c>
      <c r="H1054" s="266" t="s">
        <v>6650</v>
      </c>
      <c r="I1054" s="266" t="s">
        <v>6305</v>
      </c>
      <c r="J1054" s="266"/>
      <c r="K1054" s="1"/>
      <c r="L1054" s="1"/>
    </row>
    <row r="1055">
      <c r="A1055" s="266">
        <v>1700.0</v>
      </c>
      <c r="B1055" s="266"/>
      <c r="C1055" s="266">
        <v>5.0</v>
      </c>
      <c r="D1055" s="266" t="s">
        <v>7162</v>
      </c>
      <c r="E1055" s="266"/>
      <c r="F1055" s="266"/>
      <c r="G1055" s="266" t="s">
        <v>6304</v>
      </c>
      <c r="H1055" s="266" t="s">
        <v>6707</v>
      </c>
      <c r="I1055" s="266" t="s">
        <v>6305</v>
      </c>
      <c r="J1055" s="266"/>
      <c r="K1055" s="1"/>
      <c r="L1055" s="1"/>
    </row>
    <row r="1056">
      <c r="A1056" s="266">
        <v>1800.0</v>
      </c>
      <c r="B1056" s="266"/>
      <c r="C1056" s="266">
        <v>5.0</v>
      </c>
      <c r="D1056" s="266" t="s">
        <v>7163</v>
      </c>
      <c r="E1056" s="266"/>
      <c r="F1056" s="266"/>
      <c r="G1056" s="266" t="s">
        <v>6304</v>
      </c>
      <c r="H1056" s="266" t="s">
        <v>7</v>
      </c>
      <c r="I1056" s="266" t="s">
        <v>6305</v>
      </c>
      <c r="J1056" s="266"/>
      <c r="K1056" s="1"/>
      <c r="L1056" s="1"/>
    </row>
    <row r="1057">
      <c r="A1057" s="266">
        <v>1900.0</v>
      </c>
      <c r="B1057" s="266"/>
      <c r="C1057" s="266">
        <v>5.0</v>
      </c>
      <c r="D1057" s="266" t="s">
        <v>7164</v>
      </c>
      <c r="E1057" s="266"/>
      <c r="F1057" s="266"/>
      <c r="G1057" s="266" t="s">
        <v>6304</v>
      </c>
      <c r="H1057" s="266" t="s">
        <v>7</v>
      </c>
      <c r="I1057" s="266" t="s">
        <v>6305</v>
      </c>
      <c r="J1057" s="266"/>
      <c r="K1057" s="1"/>
      <c r="L1057" s="1"/>
    </row>
    <row r="1058">
      <c r="A1058" s="266">
        <v>2000.0</v>
      </c>
      <c r="B1058" s="266"/>
      <c r="C1058" s="266">
        <v>5.0</v>
      </c>
      <c r="D1058" s="266" t="s">
        <v>6739</v>
      </c>
      <c r="E1058" s="266"/>
      <c r="F1058" s="266"/>
      <c r="G1058" s="266" t="s">
        <v>6304</v>
      </c>
      <c r="H1058" s="266" t="s">
        <v>7</v>
      </c>
      <c r="I1058" s="266" t="s">
        <v>6305</v>
      </c>
      <c r="J1058" s="266"/>
      <c r="K1058" s="1"/>
      <c r="L1058" s="1"/>
    </row>
    <row r="1059">
      <c r="A1059" s="266">
        <v>2100.0</v>
      </c>
      <c r="B1059" s="266"/>
      <c r="C1059" s="266">
        <v>5.0</v>
      </c>
      <c r="D1059" s="266" t="s">
        <v>6740</v>
      </c>
      <c r="E1059" s="266"/>
      <c r="F1059" s="266"/>
      <c r="G1059" s="266" t="s">
        <v>6304</v>
      </c>
      <c r="H1059" s="266" t="s">
        <v>7</v>
      </c>
      <c r="I1059" s="266" t="s">
        <v>6305</v>
      </c>
      <c r="J1059" s="266"/>
      <c r="K1059" s="1"/>
      <c r="L1059" s="1"/>
    </row>
    <row r="1060">
      <c r="A1060" s="266">
        <v>2200.0</v>
      </c>
      <c r="B1060" s="266"/>
      <c r="C1060" s="266">
        <v>5.0</v>
      </c>
      <c r="D1060" s="266" t="s">
        <v>7165</v>
      </c>
      <c r="E1060" s="266"/>
      <c r="F1060" s="266"/>
      <c r="G1060" s="266" t="s">
        <v>6304</v>
      </c>
      <c r="H1060" s="266" t="s">
        <v>7</v>
      </c>
      <c r="I1060" s="266" t="s">
        <v>6305</v>
      </c>
      <c r="J1060" s="266"/>
      <c r="K1060" s="1"/>
      <c r="L1060" s="1"/>
    </row>
    <row r="1061">
      <c r="A1061" s="266">
        <v>2300.0</v>
      </c>
      <c r="B1061" s="266"/>
      <c r="C1061" s="266">
        <v>5.0</v>
      </c>
      <c r="D1061" s="266" t="s">
        <v>7166</v>
      </c>
      <c r="E1061" s="266"/>
      <c r="F1061" s="266"/>
      <c r="G1061" s="266" t="s">
        <v>6304</v>
      </c>
      <c r="H1061" s="266" t="s">
        <v>6650</v>
      </c>
      <c r="I1061" s="266" t="s">
        <v>6305</v>
      </c>
      <c r="J1061" s="266"/>
      <c r="K1061" s="1"/>
      <c r="L1061" s="1"/>
    </row>
    <row r="1062">
      <c r="A1062" s="266">
        <v>2400.0</v>
      </c>
      <c r="B1062" s="266"/>
      <c r="C1062" s="266">
        <v>5.0</v>
      </c>
      <c r="D1062" s="266" t="s">
        <v>7167</v>
      </c>
      <c r="E1062" s="266"/>
      <c r="F1062" s="266"/>
      <c r="G1062" s="266" t="s">
        <v>6304</v>
      </c>
      <c r="H1062" s="266" t="s">
        <v>6707</v>
      </c>
      <c r="I1062" s="266" t="s">
        <v>6305</v>
      </c>
      <c r="J1062" s="266"/>
      <c r="K1062" s="1"/>
      <c r="L1062" s="1"/>
    </row>
    <row r="1063">
      <c r="A1063" s="266">
        <v>2500.0</v>
      </c>
      <c r="B1063" s="266"/>
      <c r="C1063" s="266">
        <v>5.0</v>
      </c>
      <c r="D1063" s="266" t="s">
        <v>7168</v>
      </c>
      <c r="E1063" s="266"/>
      <c r="F1063" s="266"/>
      <c r="G1063" s="266" t="s">
        <v>6304</v>
      </c>
      <c r="H1063" s="266" t="s">
        <v>7</v>
      </c>
      <c r="I1063" s="266" t="s">
        <v>6305</v>
      </c>
      <c r="J1063" s="266"/>
      <c r="K1063" s="1"/>
      <c r="L1063" s="1"/>
    </row>
    <row r="1064">
      <c r="A1064" s="266">
        <v>2600.0</v>
      </c>
      <c r="B1064" s="266"/>
      <c r="C1064" s="266">
        <v>5.0</v>
      </c>
      <c r="D1064" s="266" t="s">
        <v>7169</v>
      </c>
      <c r="E1064" s="266"/>
      <c r="F1064" s="266"/>
      <c r="G1064" s="266" t="s">
        <v>6304</v>
      </c>
      <c r="H1064" s="266" t="s">
        <v>6580</v>
      </c>
      <c r="I1064" s="266" t="s">
        <v>6305</v>
      </c>
      <c r="J1064" s="266"/>
      <c r="K1064" s="1"/>
      <c r="L1064" s="1"/>
    </row>
    <row r="1065">
      <c r="A1065" s="266">
        <v>2700.0</v>
      </c>
      <c r="B1065" s="266"/>
      <c r="C1065" s="266">
        <v>5.0</v>
      </c>
      <c r="D1065" s="266" t="s">
        <v>6974</v>
      </c>
      <c r="E1065" s="266"/>
      <c r="F1065" s="266"/>
      <c r="G1065" s="266" t="s">
        <v>6304</v>
      </c>
      <c r="H1065" s="266" t="s">
        <v>560</v>
      </c>
      <c r="I1065" s="266"/>
      <c r="J1065" s="266"/>
      <c r="K1065" s="1"/>
      <c r="L1065" s="1"/>
    </row>
    <row r="1066">
      <c r="A1066" s="266">
        <v>2800.0</v>
      </c>
      <c r="B1066" s="266"/>
      <c r="C1066" s="266">
        <v>5.0</v>
      </c>
      <c r="D1066" s="266" t="s">
        <v>7170</v>
      </c>
      <c r="E1066" s="266"/>
      <c r="F1066" s="266"/>
      <c r="G1066" s="266" t="s">
        <v>6304</v>
      </c>
      <c r="H1066" s="266" t="s">
        <v>7</v>
      </c>
      <c r="I1066" s="266" t="s">
        <v>6305</v>
      </c>
      <c r="J1066" s="266"/>
      <c r="K1066" s="1"/>
      <c r="L1066" s="1"/>
    </row>
    <row r="1067">
      <c r="A1067" s="266">
        <v>2900.0</v>
      </c>
      <c r="B1067" s="266"/>
      <c r="C1067" s="266">
        <v>5.0</v>
      </c>
      <c r="D1067" s="266" t="s">
        <v>7171</v>
      </c>
      <c r="E1067" s="266"/>
      <c r="F1067" s="266"/>
      <c r="G1067" s="266" t="s">
        <v>6304</v>
      </c>
      <c r="H1067" s="266" t="s">
        <v>7</v>
      </c>
      <c r="I1067" s="266" t="s">
        <v>6305</v>
      </c>
      <c r="J1067" s="266"/>
      <c r="K1067" s="1"/>
      <c r="L1067" s="1"/>
    </row>
    <row r="1068">
      <c r="A1068" s="266">
        <v>3000.0</v>
      </c>
      <c r="B1068" s="266"/>
      <c r="C1068" s="266">
        <v>5.0</v>
      </c>
      <c r="D1068" s="266" t="s">
        <v>7172</v>
      </c>
      <c r="E1068" s="266"/>
      <c r="F1068" s="266"/>
      <c r="G1068" s="266" t="s">
        <v>6304</v>
      </c>
      <c r="H1068" s="266" t="s">
        <v>7</v>
      </c>
      <c r="I1068" s="266" t="s">
        <v>6305</v>
      </c>
      <c r="J1068" s="266"/>
      <c r="K1068" s="1"/>
      <c r="L1068" s="1"/>
    </row>
    <row r="1069">
      <c r="A1069" s="266">
        <v>3100.0</v>
      </c>
      <c r="B1069" s="266"/>
      <c r="C1069" s="266">
        <v>5.0</v>
      </c>
      <c r="D1069" s="266" t="s">
        <v>7173</v>
      </c>
      <c r="E1069" s="266"/>
      <c r="F1069" s="266"/>
      <c r="G1069" s="266" t="s">
        <v>6304</v>
      </c>
      <c r="H1069" s="266" t="s">
        <v>7</v>
      </c>
      <c r="I1069" s="266" t="s">
        <v>6305</v>
      </c>
      <c r="J1069" s="266"/>
      <c r="K1069" s="1"/>
      <c r="L1069" s="1"/>
    </row>
    <row r="1070">
      <c r="A1070" s="266">
        <v>3200.0</v>
      </c>
      <c r="B1070" s="266"/>
      <c r="C1070" s="266">
        <v>5.0</v>
      </c>
      <c r="D1070" s="266" t="s">
        <v>7174</v>
      </c>
      <c r="E1070" s="266"/>
      <c r="F1070" s="266"/>
      <c r="G1070" s="266" t="s">
        <v>6304</v>
      </c>
      <c r="H1070" s="266" t="s">
        <v>558</v>
      </c>
      <c r="I1070" s="266" t="s">
        <v>6305</v>
      </c>
      <c r="J1070" s="266"/>
      <c r="K1070" s="1"/>
      <c r="L1070" s="1"/>
    </row>
    <row r="1071">
      <c r="A1071" s="266">
        <v>3300.0</v>
      </c>
      <c r="B1071" s="266"/>
      <c r="C1071" s="266">
        <v>5.0</v>
      </c>
      <c r="D1071" s="266" t="s">
        <v>7175</v>
      </c>
      <c r="E1071" s="266"/>
      <c r="F1071" s="266"/>
      <c r="G1071" s="266" t="s">
        <v>6304</v>
      </c>
      <c r="H1071" s="266" t="s">
        <v>558</v>
      </c>
      <c r="I1071" s="266" t="s">
        <v>6305</v>
      </c>
      <c r="J1071" s="266"/>
      <c r="K1071" s="1"/>
      <c r="L1071" s="1"/>
    </row>
    <row r="1072">
      <c r="A1072" s="266">
        <v>3400.0</v>
      </c>
      <c r="B1072" s="266"/>
      <c r="C1072" s="266">
        <v>5.0</v>
      </c>
      <c r="D1072" s="266" t="s">
        <v>7176</v>
      </c>
      <c r="E1072" s="266"/>
      <c r="F1072" s="266"/>
      <c r="G1072" s="266" t="s">
        <v>6304</v>
      </c>
      <c r="H1072" s="266" t="s">
        <v>7</v>
      </c>
      <c r="I1072" s="266" t="s">
        <v>6305</v>
      </c>
      <c r="J1072" s="266"/>
      <c r="K1072" s="1"/>
      <c r="L1072" s="1"/>
    </row>
    <row r="1073">
      <c r="A1073" s="266">
        <v>3500.0</v>
      </c>
      <c r="B1073" s="266"/>
      <c r="C1073" s="266">
        <v>5.0</v>
      </c>
      <c r="D1073" s="266" t="s">
        <v>7177</v>
      </c>
      <c r="E1073" s="266"/>
      <c r="F1073" s="266"/>
      <c r="G1073" s="266" t="s">
        <v>6304</v>
      </c>
      <c r="H1073" s="266" t="s">
        <v>7</v>
      </c>
      <c r="I1073" s="266" t="s">
        <v>6305</v>
      </c>
      <c r="J1073" s="266"/>
      <c r="K1073" s="1"/>
      <c r="L1073" s="1"/>
    </row>
    <row r="1074">
      <c r="A1074" s="266">
        <v>3600.0</v>
      </c>
      <c r="B1074" s="266"/>
      <c r="C1074" s="266">
        <v>5.0</v>
      </c>
      <c r="D1074" s="266" t="s">
        <v>7178</v>
      </c>
      <c r="E1074" s="266"/>
      <c r="F1074" s="266"/>
      <c r="G1074" s="266" t="s">
        <v>6304</v>
      </c>
      <c r="H1074" s="266" t="s">
        <v>7</v>
      </c>
      <c r="I1074" s="266" t="s">
        <v>6305</v>
      </c>
      <c r="J1074" s="266"/>
      <c r="K1074" s="1"/>
      <c r="L1074" s="1"/>
    </row>
    <row r="1075">
      <c r="A1075" s="266">
        <v>3700.0</v>
      </c>
      <c r="B1075" s="266"/>
      <c r="C1075" s="266">
        <v>5.0</v>
      </c>
      <c r="D1075" s="266" t="s">
        <v>7179</v>
      </c>
      <c r="E1075" s="266"/>
      <c r="F1075" s="266"/>
      <c r="G1075" s="266" t="s">
        <v>6304</v>
      </c>
      <c r="H1075" s="266" t="s">
        <v>7</v>
      </c>
      <c r="I1075" s="266" t="s">
        <v>6305</v>
      </c>
      <c r="J1075" s="266"/>
      <c r="K1075" s="1"/>
      <c r="L1075" s="1"/>
    </row>
    <row r="1076">
      <c r="A1076" s="266">
        <v>3800.0</v>
      </c>
      <c r="B1076" s="266"/>
      <c r="C1076" s="266">
        <v>5.0</v>
      </c>
      <c r="D1076" s="266" t="s">
        <v>7180</v>
      </c>
      <c r="E1076" s="266"/>
      <c r="F1076" s="266"/>
      <c r="G1076" s="266" t="s">
        <v>6304</v>
      </c>
      <c r="H1076" s="266" t="s">
        <v>555</v>
      </c>
      <c r="I1076" s="266"/>
      <c r="J1076" s="266"/>
      <c r="K1076" s="1"/>
      <c r="L1076" s="1"/>
    </row>
    <row r="1077">
      <c r="A1077" s="266">
        <v>3900.0</v>
      </c>
      <c r="B1077" s="266"/>
      <c r="C1077" s="266">
        <v>5.0</v>
      </c>
      <c r="D1077" s="266" t="s">
        <v>6306</v>
      </c>
      <c r="E1077" s="266"/>
      <c r="F1077" s="266"/>
      <c r="G1077" s="266" t="s">
        <v>6304</v>
      </c>
      <c r="H1077" s="266" t="s">
        <v>7181</v>
      </c>
      <c r="I1077" s="266"/>
      <c r="J1077" s="266"/>
      <c r="K1077" s="1"/>
      <c r="L1077" s="1"/>
    </row>
    <row r="1078">
      <c r="A1078" s="266">
        <v>50.0</v>
      </c>
      <c r="B1078" s="266">
        <v>1.0</v>
      </c>
      <c r="C1078" s="266"/>
      <c r="D1078" s="266" t="s">
        <v>7182</v>
      </c>
      <c r="E1078" s="266"/>
      <c r="F1078" s="266"/>
      <c r="G1078" s="266"/>
      <c r="H1078" s="266"/>
      <c r="I1078" s="266"/>
      <c r="J1078" s="267"/>
    </row>
    <row r="1079">
      <c r="A1079" s="266">
        <v>100.0</v>
      </c>
      <c r="B1079" s="266"/>
      <c r="C1079" s="266">
        <v>5.0</v>
      </c>
      <c r="D1079" s="266" t="s">
        <v>7183</v>
      </c>
      <c r="E1079" s="266"/>
      <c r="F1079" s="266"/>
      <c r="G1079" s="266"/>
      <c r="H1079" s="266"/>
      <c r="I1079" s="266"/>
      <c r="J1079" s="267"/>
    </row>
    <row r="1080">
      <c r="A1080" s="266">
        <v>200.0</v>
      </c>
      <c r="B1080" s="266"/>
      <c r="C1080" s="266">
        <v>10.0</v>
      </c>
      <c r="D1080" s="266" t="s">
        <v>7184</v>
      </c>
      <c r="E1080" s="266"/>
      <c r="F1080" s="266"/>
      <c r="G1080" s="266"/>
      <c r="H1080" s="266"/>
      <c r="I1080" s="266"/>
      <c r="J1080" s="267"/>
    </row>
    <row r="1081">
      <c r="A1081" s="266">
        <v>300.0</v>
      </c>
      <c r="B1081" s="266"/>
      <c r="C1081" s="266">
        <v>15.0</v>
      </c>
      <c r="D1081" s="266" t="s">
        <v>7185</v>
      </c>
      <c r="E1081" s="266"/>
      <c r="F1081" s="266"/>
      <c r="G1081" s="266" t="s">
        <v>6304</v>
      </c>
      <c r="H1081" s="266" t="s">
        <v>3806</v>
      </c>
      <c r="I1081" s="266"/>
      <c r="J1081" s="266"/>
      <c r="K1081" s="1"/>
      <c r="L1081" s="1"/>
    </row>
    <row r="1082">
      <c r="A1082" s="266">
        <v>400.0</v>
      </c>
      <c r="B1082" s="266"/>
      <c r="C1082" s="266">
        <v>15.0</v>
      </c>
      <c r="D1082" s="266" t="s">
        <v>7186</v>
      </c>
      <c r="E1082" s="266"/>
      <c r="F1082" s="266"/>
      <c r="G1082" s="266" t="s">
        <v>6304</v>
      </c>
      <c r="H1082" s="266" t="s">
        <v>551</v>
      </c>
      <c r="I1082" s="266"/>
      <c r="J1082" s="266"/>
      <c r="K1082" s="1"/>
      <c r="L1082" s="1"/>
    </row>
    <row r="1083">
      <c r="A1083" s="266">
        <v>500.0</v>
      </c>
      <c r="B1083" s="266"/>
      <c r="C1083" s="266">
        <v>10.0</v>
      </c>
      <c r="D1083" s="266" t="s">
        <v>7113</v>
      </c>
      <c r="E1083" s="266"/>
      <c r="F1083" s="266"/>
      <c r="G1083" s="266" t="s">
        <v>6304</v>
      </c>
      <c r="H1083" s="266" t="s">
        <v>551</v>
      </c>
      <c r="I1083" s="266"/>
      <c r="J1083" s="266"/>
      <c r="K1083" s="1"/>
      <c r="L1083" s="1"/>
    </row>
    <row r="1084">
      <c r="A1084" s="266">
        <v>600.0</v>
      </c>
      <c r="B1084" s="266"/>
      <c r="C1084" s="266">
        <v>10.0</v>
      </c>
      <c r="D1084" s="266" t="s">
        <v>7114</v>
      </c>
      <c r="E1084" s="266"/>
      <c r="F1084" s="266"/>
      <c r="G1084" s="266" t="s">
        <v>6304</v>
      </c>
      <c r="H1084" s="266" t="s">
        <v>551</v>
      </c>
      <c r="I1084" s="266"/>
      <c r="J1084" s="266"/>
      <c r="K1084" s="1"/>
      <c r="L1084" s="1"/>
    </row>
    <row r="1085">
      <c r="A1085" s="266">
        <v>700.0</v>
      </c>
      <c r="B1085" s="266"/>
      <c r="C1085" s="266">
        <v>5.0</v>
      </c>
      <c r="D1085" s="266" t="s">
        <v>6306</v>
      </c>
      <c r="E1085" s="266"/>
      <c r="F1085" s="266"/>
      <c r="G1085" s="266" t="s">
        <v>6304</v>
      </c>
      <c r="H1085" s="266" t="s">
        <v>7187</v>
      </c>
      <c r="I1085" s="266"/>
      <c r="J1085" s="266"/>
      <c r="K1085" s="1"/>
      <c r="L1085" s="1"/>
    </row>
    <row r="1086">
      <c r="A1086" s="266">
        <v>50.0</v>
      </c>
      <c r="B1086" s="266">
        <v>1.0</v>
      </c>
      <c r="C1086" s="266"/>
      <c r="D1086" s="266" t="s">
        <v>7188</v>
      </c>
      <c r="E1086" s="266"/>
      <c r="F1086" s="266"/>
      <c r="G1086" s="266"/>
      <c r="H1086" s="266"/>
      <c r="I1086" s="266"/>
      <c r="J1086" s="267"/>
    </row>
    <row r="1087">
      <c r="A1087" s="266">
        <v>100.0</v>
      </c>
      <c r="B1087" s="266"/>
      <c r="C1087" s="266">
        <v>5.0</v>
      </c>
      <c r="D1087" s="266" t="s">
        <v>7189</v>
      </c>
      <c r="E1087" s="266"/>
      <c r="F1087" s="266"/>
      <c r="G1087" s="266"/>
      <c r="H1087" s="266"/>
      <c r="I1087" s="266"/>
      <c r="J1087" s="267"/>
    </row>
    <row r="1088">
      <c r="A1088" s="266">
        <v>200.0</v>
      </c>
      <c r="B1088" s="266"/>
      <c r="C1088" s="266">
        <v>10.0</v>
      </c>
      <c r="D1088" s="266" t="s">
        <v>7190</v>
      </c>
      <c r="E1088" s="266"/>
      <c r="F1088" s="266"/>
      <c r="G1088" s="266"/>
      <c r="H1088" s="266"/>
      <c r="I1088" s="266"/>
      <c r="J1088" s="267"/>
    </row>
    <row r="1089">
      <c r="A1089" s="266">
        <v>300.0</v>
      </c>
      <c r="B1089" s="266"/>
      <c r="C1089" s="266">
        <v>15.0</v>
      </c>
      <c r="D1089" s="266" t="s">
        <v>7191</v>
      </c>
      <c r="E1089" s="266"/>
      <c r="F1089" s="266"/>
      <c r="G1089" s="266" t="s">
        <v>6304</v>
      </c>
      <c r="H1089" s="266">
        <v>9.0</v>
      </c>
      <c r="I1089" s="266"/>
      <c r="J1089" s="266"/>
      <c r="K1089" s="1"/>
      <c r="L1089" s="1"/>
    </row>
    <row r="1090">
      <c r="A1090" s="266">
        <v>400.0</v>
      </c>
      <c r="B1090" s="266"/>
      <c r="C1090" s="266">
        <v>15.0</v>
      </c>
      <c r="D1090" s="266" t="s">
        <v>7192</v>
      </c>
      <c r="E1090" s="266"/>
      <c r="F1090" s="266"/>
      <c r="G1090" s="266" t="s">
        <v>6304</v>
      </c>
      <c r="H1090" s="266">
        <v>9.0</v>
      </c>
      <c r="I1090" s="266"/>
      <c r="J1090" s="266"/>
      <c r="K1090" s="1"/>
      <c r="L1090" s="1"/>
    </row>
    <row r="1091">
      <c r="A1091" s="266">
        <v>500.0</v>
      </c>
      <c r="B1091" s="266"/>
      <c r="C1091" s="266">
        <v>10.0</v>
      </c>
      <c r="D1091" s="266" t="s">
        <v>5139</v>
      </c>
      <c r="E1091" s="266"/>
      <c r="F1091" s="266"/>
      <c r="G1091" s="266" t="s">
        <v>6304</v>
      </c>
      <c r="H1091" s="266" t="s">
        <v>551</v>
      </c>
      <c r="I1091" s="266"/>
      <c r="J1091" s="266"/>
      <c r="K1091" s="1"/>
      <c r="L1091" s="1"/>
    </row>
    <row r="1092">
      <c r="A1092" s="266">
        <v>600.0</v>
      </c>
      <c r="B1092" s="266"/>
      <c r="C1092" s="266">
        <v>10.0</v>
      </c>
      <c r="D1092" s="266" t="s">
        <v>5140</v>
      </c>
      <c r="E1092" s="266"/>
      <c r="F1092" s="266"/>
      <c r="G1092" s="266" t="s">
        <v>6304</v>
      </c>
      <c r="H1092" s="266" t="s">
        <v>551</v>
      </c>
      <c r="I1092" s="266"/>
      <c r="J1092" s="266"/>
      <c r="K1092" s="1"/>
      <c r="L1092" s="1"/>
    </row>
    <row r="1093">
      <c r="A1093" s="266">
        <v>700.0</v>
      </c>
      <c r="B1093" s="266"/>
      <c r="C1093" s="266">
        <v>10.0</v>
      </c>
      <c r="D1093" s="266" t="s">
        <v>7193</v>
      </c>
      <c r="E1093" s="266"/>
      <c r="F1093" s="266"/>
      <c r="G1093" s="266" t="s">
        <v>6304</v>
      </c>
      <c r="H1093" s="266" t="s">
        <v>551</v>
      </c>
      <c r="I1093" s="266"/>
      <c r="J1093" s="266"/>
      <c r="K1093" s="1"/>
      <c r="L1093" s="1"/>
    </row>
    <row r="1094">
      <c r="A1094" s="266">
        <v>800.0</v>
      </c>
      <c r="B1094" s="266"/>
      <c r="C1094" s="266">
        <v>5.0</v>
      </c>
      <c r="D1094" s="266" t="s">
        <v>7194</v>
      </c>
      <c r="E1094" s="266"/>
      <c r="F1094" s="266"/>
      <c r="G1094" s="266" t="s">
        <v>6304</v>
      </c>
      <c r="H1094" s="266" t="s">
        <v>6591</v>
      </c>
      <c r="I1094" s="266" t="s">
        <v>6305</v>
      </c>
      <c r="J1094" s="266"/>
      <c r="K1094" s="1"/>
      <c r="L1094" s="1"/>
    </row>
    <row r="1095">
      <c r="A1095" s="266">
        <v>900.0</v>
      </c>
      <c r="B1095" s="266"/>
      <c r="C1095" s="266">
        <v>5.0</v>
      </c>
      <c r="D1095" s="266" t="s">
        <v>7195</v>
      </c>
      <c r="E1095" s="266"/>
      <c r="F1095" s="266"/>
      <c r="G1095" s="266" t="s">
        <v>6304</v>
      </c>
      <c r="H1095" s="266" t="s">
        <v>7196</v>
      </c>
      <c r="I1095" s="266" t="s">
        <v>6305</v>
      </c>
      <c r="J1095" s="266"/>
      <c r="K1095" s="1"/>
      <c r="L1095" s="1"/>
    </row>
    <row r="1096">
      <c r="A1096" s="266">
        <v>1000.0</v>
      </c>
      <c r="B1096" s="266"/>
      <c r="C1096" s="266">
        <v>5.0</v>
      </c>
      <c r="D1096" s="266" t="s">
        <v>7197</v>
      </c>
      <c r="E1096" s="266"/>
      <c r="F1096" s="266"/>
      <c r="G1096" s="266" t="s">
        <v>6304</v>
      </c>
      <c r="H1096" s="266" t="s">
        <v>7196</v>
      </c>
      <c r="I1096" s="266" t="s">
        <v>6305</v>
      </c>
      <c r="J1096" s="266"/>
      <c r="K1096" s="1"/>
      <c r="L1096" s="1"/>
    </row>
    <row r="1097">
      <c r="A1097" s="266">
        <v>1100.0</v>
      </c>
      <c r="B1097" s="266"/>
      <c r="C1097" s="266">
        <v>5.0</v>
      </c>
      <c r="D1097" s="266" t="s">
        <v>7198</v>
      </c>
      <c r="E1097" s="266"/>
      <c r="F1097" s="266"/>
      <c r="G1097" s="266" t="s">
        <v>6304</v>
      </c>
      <c r="H1097" s="266" t="s">
        <v>7199</v>
      </c>
      <c r="I1097" s="266" t="s">
        <v>6305</v>
      </c>
      <c r="J1097" s="266"/>
      <c r="K1097" s="1"/>
      <c r="L1097" s="1"/>
    </row>
    <row r="1098">
      <c r="A1098" s="266">
        <v>1200.0</v>
      </c>
      <c r="B1098" s="266"/>
      <c r="C1098" s="266">
        <v>5.0</v>
      </c>
      <c r="D1098" s="266" t="s">
        <v>6306</v>
      </c>
      <c r="E1098" s="266"/>
      <c r="F1098" s="266"/>
      <c r="G1098" s="266" t="s">
        <v>6304</v>
      </c>
      <c r="H1098" s="266" t="s">
        <v>7200</v>
      </c>
      <c r="I1098" s="266"/>
      <c r="J1098" s="266"/>
      <c r="K1098" s="1"/>
      <c r="L1098" s="1"/>
    </row>
    <row r="1099">
      <c r="A1099" s="266">
        <v>50.0</v>
      </c>
      <c r="B1099" s="266">
        <v>1.0</v>
      </c>
      <c r="C1099" s="266"/>
      <c r="D1099" s="266" t="s">
        <v>7201</v>
      </c>
      <c r="E1099" s="266"/>
      <c r="F1099" s="266"/>
      <c r="G1099" s="266"/>
      <c r="H1099" s="266"/>
      <c r="I1099" s="266"/>
      <c r="J1099" s="267"/>
    </row>
    <row r="1100">
      <c r="A1100" s="266">
        <v>100.0</v>
      </c>
      <c r="B1100" s="266"/>
      <c r="C1100" s="266">
        <v>5.0</v>
      </c>
      <c r="D1100" s="266" t="s">
        <v>7202</v>
      </c>
      <c r="E1100" s="266"/>
      <c r="F1100" s="266"/>
      <c r="G1100" s="266" t="s">
        <v>6304</v>
      </c>
      <c r="H1100" s="266" t="s">
        <v>7203</v>
      </c>
      <c r="I1100" s="266" t="s">
        <v>6305</v>
      </c>
      <c r="J1100" s="266"/>
      <c r="K1100" s="1"/>
      <c r="L1100" s="1"/>
    </row>
    <row r="1101">
      <c r="A1101" s="266">
        <v>200.0</v>
      </c>
      <c r="B1101" s="266"/>
      <c r="C1101" s="266">
        <v>5.0</v>
      </c>
      <c r="D1101" s="266" t="s">
        <v>7204</v>
      </c>
      <c r="E1101" s="266"/>
      <c r="F1101" s="266"/>
      <c r="G1101" s="266" t="s">
        <v>6304</v>
      </c>
      <c r="H1101" s="266" t="s">
        <v>7203</v>
      </c>
      <c r="I1101" s="266" t="s">
        <v>6305</v>
      </c>
      <c r="J1101" s="266"/>
      <c r="K1101" s="1"/>
      <c r="L1101" s="1"/>
    </row>
    <row r="1102">
      <c r="A1102" s="266">
        <v>300.0</v>
      </c>
      <c r="B1102" s="266"/>
      <c r="C1102" s="266">
        <v>5.0</v>
      </c>
      <c r="D1102" s="266" t="s">
        <v>7205</v>
      </c>
      <c r="E1102" s="266"/>
      <c r="F1102" s="266"/>
      <c r="G1102" s="266" t="s">
        <v>6304</v>
      </c>
      <c r="H1102" s="266" t="s">
        <v>7203</v>
      </c>
      <c r="I1102" s="266" t="s">
        <v>6305</v>
      </c>
      <c r="J1102" s="266"/>
      <c r="K1102" s="1"/>
      <c r="L1102" s="1"/>
    </row>
    <row r="1103">
      <c r="A1103" s="266">
        <v>400.0</v>
      </c>
      <c r="B1103" s="266"/>
      <c r="C1103" s="266">
        <v>5.0</v>
      </c>
      <c r="D1103" s="266" t="s">
        <v>7206</v>
      </c>
      <c r="E1103" s="266"/>
      <c r="F1103" s="266"/>
      <c r="G1103" s="266" t="s">
        <v>6304</v>
      </c>
      <c r="H1103" s="266" t="s">
        <v>7203</v>
      </c>
      <c r="I1103" s="266" t="s">
        <v>6305</v>
      </c>
      <c r="J1103" s="266"/>
      <c r="K1103" s="1"/>
      <c r="L1103" s="1"/>
    </row>
    <row r="1104">
      <c r="A1104" s="266">
        <v>500.0</v>
      </c>
      <c r="B1104" s="266"/>
      <c r="C1104" s="266">
        <v>5.0</v>
      </c>
      <c r="D1104" s="266" t="s">
        <v>7207</v>
      </c>
      <c r="E1104" s="266"/>
      <c r="F1104" s="266"/>
      <c r="G1104" s="266" t="s">
        <v>6304</v>
      </c>
      <c r="H1104" s="266" t="s">
        <v>3806</v>
      </c>
      <c r="I1104" s="266"/>
      <c r="J1104" s="266"/>
      <c r="K1104" s="1"/>
      <c r="L1104" s="1"/>
    </row>
    <row r="1105">
      <c r="A1105" s="266">
        <v>600.0</v>
      </c>
      <c r="B1105" s="266"/>
      <c r="C1105" s="266">
        <v>5.0</v>
      </c>
      <c r="D1105" s="266" t="s">
        <v>7208</v>
      </c>
      <c r="E1105" s="266"/>
      <c r="F1105" s="266"/>
      <c r="G1105" s="266" t="s">
        <v>6304</v>
      </c>
      <c r="H1105" s="266" t="s">
        <v>3806</v>
      </c>
      <c r="I1105" s="266"/>
      <c r="J1105" s="266"/>
      <c r="K1105" s="1"/>
      <c r="L1105" s="1"/>
    </row>
    <row r="1106">
      <c r="A1106" s="266">
        <v>700.0</v>
      </c>
      <c r="B1106" s="266"/>
      <c r="C1106" s="266">
        <v>5.0</v>
      </c>
      <c r="D1106" s="266" t="s">
        <v>7209</v>
      </c>
      <c r="E1106" s="266"/>
      <c r="F1106" s="266"/>
      <c r="G1106" s="266" t="s">
        <v>6304</v>
      </c>
      <c r="H1106" s="266" t="s">
        <v>555</v>
      </c>
      <c r="I1106" s="266"/>
      <c r="J1106" s="266"/>
      <c r="K1106" s="1"/>
      <c r="L1106" s="1"/>
    </row>
    <row r="1107">
      <c r="A1107" s="266">
        <v>800.0</v>
      </c>
      <c r="B1107" s="266"/>
      <c r="C1107" s="266">
        <v>5.0</v>
      </c>
      <c r="D1107" s="266" t="s">
        <v>7210</v>
      </c>
      <c r="E1107" s="266"/>
      <c r="F1107" s="266"/>
      <c r="G1107" s="266" t="s">
        <v>6304</v>
      </c>
      <c r="H1107" s="266" t="s">
        <v>6650</v>
      </c>
      <c r="I1107" s="266" t="s">
        <v>6305</v>
      </c>
      <c r="J1107" s="266"/>
      <c r="K1107" s="1"/>
      <c r="L1107" s="1"/>
    </row>
    <row r="1108">
      <c r="A1108" s="266">
        <v>900.0</v>
      </c>
      <c r="B1108" s="266"/>
      <c r="C1108" s="266">
        <v>5.0</v>
      </c>
      <c r="D1108" s="266" t="s">
        <v>7211</v>
      </c>
      <c r="E1108" s="266"/>
      <c r="F1108" s="266"/>
      <c r="G1108" s="266" t="s">
        <v>6304</v>
      </c>
      <c r="H1108" s="266" t="s">
        <v>6650</v>
      </c>
      <c r="I1108" s="266" t="s">
        <v>6305</v>
      </c>
      <c r="J1108" s="266"/>
      <c r="K1108" s="1"/>
      <c r="L1108" s="1"/>
    </row>
    <row r="1109">
      <c r="A1109" s="266">
        <v>1000.0</v>
      </c>
      <c r="B1109" s="266"/>
      <c r="C1109" s="266">
        <v>5.0</v>
      </c>
      <c r="D1109" s="266" t="s">
        <v>7212</v>
      </c>
      <c r="E1109" s="266"/>
      <c r="F1109" s="266"/>
      <c r="G1109" s="266" t="s">
        <v>6304</v>
      </c>
      <c r="H1109" s="266" t="s">
        <v>3806</v>
      </c>
      <c r="I1109" s="266"/>
      <c r="J1109" s="266"/>
      <c r="K1109" s="1"/>
      <c r="L1109" s="1"/>
    </row>
    <row r="1110">
      <c r="A1110" s="266">
        <v>1100.0</v>
      </c>
      <c r="B1110" s="266"/>
      <c r="C1110" s="266">
        <v>5.0</v>
      </c>
      <c r="D1110" s="266" t="s">
        <v>7213</v>
      </c>
      <c r="E1110" s="266"/>
      <c r="F1110" s="266"/>
      <c r="G1110" s="266" t="s">
        <v>6304</v>
      </c>
      <c r="H1110" s="266" t="s">
        <v>3806</v>
      </c>
      <c r="I1110" s="266"/>
      <c r="J1110" s="266"/>
      <c r="K1110" s="1"/>
      <c r="L1110" s="1"/>
    </row>
    <row r="1111">
      <c r="A1111" s="266">
        <v>1200.0</v>
      </c>
      <c r="B1111" s="266"/>
      <c r="C1111" s="266">
        <v>5.0</v>
      </c>
      <c r="D1111" s="266" t="s">
        <v>7214</v>
      </c>
      <c r="E1111" s="266"/>
      <c r="F1111" s="266"/>
      <c r="G1111" s="266" t="s">
        <v>6304</v>
      </c>
      <c r="H1111" s="266" t="s">
        <v>555</v>
      </c>
      <c r="I1111" s="266"/>
      <c r="J1111" s="266"/>
      <c r="K1111" s="1"/>
      <c r="L1111" s="1"/>
    </row>
    <row r="1112">
      <c r="A1112" s="266">
        <v>1300.0</v>
      </c>
      <c r="B1112" s="266"/>
      <c r="C1112" s="266">
        <v>5.0</v>
      </c>
      <c r="D1112" s="266" t="s">
        <v>7215</v>
      </c>
      <c r="E1112" s="266"/>
      <c r="F1112" s="266"/>
      <c r="G1112" s="266" t="s">
        <v>6304</v>
      </c>
      <c r="H1112" s="266" t="s">
        <v>6650</v>
      </c>
      <c r="I1112" s="266" t="s">
        <v>6305</v>
      </c>
      <c r="J1112" s="266"/>
      <c r="K1112" s="1"/>
      <c r="L1112" s="1"/>
    </row>
    <row r="1113">
      <c r="A1113" s="266">
        <v>1400.0</v>
      </c>
      <c r="B1113" s="266"/>
      <c r="C1113" s="266">
        <v>5.0</v>
      </c>
      <c r="D1113" s="266" t="s">
        <v>7216</v>
      </c>
      <c r="E1113" s="266"/>
      <c r="F1113" s="266"/>
      <c r="G1113" s="266" t="s">
        <v>6304</v>
      </c>
      <c r="H1113" s="266" t="s">
        <v>6650</v>
      </c>
      <c r="I1113" s="266" t="s">
        <v>6305</v>
      </c>
      <c r="J1113" s="266"/>
      <c r="K1113" s="1"/>
      <c r="L1113" s="1"/>
    </row>
    <row r="1114">
      <c r="A1114" s="266">
        <v>1500.0</v>
      </c>
      <c r="B1114" s="266"/>
      <c r="C1114" s="266">
        <v>5.0</v>
      </c>
      <c r="D1114" s="266" t="s">
        <v>7217</v>
      </c>
      <c r="E1114" s="266"/>
      <c r="F1114" s="266"/>
      <c r="G1114" s="266" t="s">
        <v>6304</v>
      </c>
      <c r="H1114" s="266" t="s">
        <v>3806</v>
      </c>
      <c r="I1114" s="266"/>
      <c r="J1114" s="266"/>
      <c r="K1114" s="1"/>
      <c r="L1114" s="1"/>
    </row>
    <row r="1115">
      <c r="A1115" s="266">
        <v>1600.0</v>
      </c>
      <c r="B1115" s="266"/>
      <c r="C1115" s="266">
        <v>5.0</v>
      </c>
      <c r="D1115" s="266" t="s">
        <v>7218</v>
      </c>
      <c r="E1115" s="266"/>
      <c r="F1115" s="266"/>
      <c r="G1115" s="266" t="s">
        <v>6304</v>
      </c>
      <c r="H1115" s="266" t="s">
        <v>3806</v>
      </c>
      <c r="I1115" s="266"/>
      <c r="J1115" s="266"/>
      <c r="K1115" s="1"/>
      <c r="L1115" s="1"/>
    </row>
    <row r="1116">
      <c r="A1116" s="266">
        <v>1700.0</v>
      </c>
      <c r="B1116" s="266"/>
      <c r="C1116" s="266">
        <v>5.0</v>
      </c>
      <c r="D1116" s="266" t="s">
        <v>7219</v>
      </c>
      <c r="E1116" s="266"/>
      <c r="F1116" s="266"/>
      <c r="G1116" s="266" t="s">
        <v>6304</v>
      </c>
      <c r="H1116" s="266" t="s">
        <v>555</v>
      </c>
      <c r="I1116" s="266"/>
      <c r="J1116" s="266"/>
      <c r="K1116" s="1"/>
      <c r="L1116" s="1"/>
    </row>
    <row r="1117">
      <c r="A1117" s="266">
        <v>1800.0</v>
      </c>
      <c r="B1117" s="266"/>
      <c r="C1117" s="266">
        <v>5.0</v>
      </c>
      <c r="D1117" s="266" t="s">
        <v>7220</v>
      </c>
      <c r="E1117" s="266"/>
      <c r="F1117" s="266"/>
      <c r="G1117" s="266" t="s">
        <v>6304</v>
      </c>
      <c r="H1117" s="266" t="s">
        <v>6650</v>
      </c>
      <c r="I1117" s="266" t="s">
        <v>6305</v>
      </c>
      <c r="J1117" s="266"/>
      <c r="K1117" s="1"/>
      <c r="L1117" s="1"/>
    </row>
    <row r="1118">
      <c r="A1118" s="266">
        <v>1900.0</v>
      </c>
      <c r="B1118" s="266"/>
      <c r="C1118" s="266">
        <v>5.0</v>
      </c>
      <c r="D1118" s="266" t="s">
        <v>7221</v>
      </c>
      <c r="E1118" s="266"/>
      <c r="F1118" s="266"/>
      <c r="G1118" s="266" t="s">
        <v>6304</v>
      </c>
      <c r="H1118" s="266" t="s">
        <v>6650</v>
      </c>
      <c r="I1118" s="266" t="s">
        <v>6305</v>
      </c>
      <c r="J1118" s="266"/>
      <c r="K1118" s="1"/>
      <c r="L1118" s="1"/>
    </row>
    <row r="1119">
      <c r="A1119" s="266">
        <v>2000.0</v>
      </c>
      <c r="B1119" s="266"/>
      <c r="C1119" s="266">
        <v>5.0</v>
      </c>
      <c r="D1119" s="266" t="s">
        <v>6306</v>
      </c>
      <c r="E1119" s="266"/>
      <c r="F1119" s="266"/>
      <c r="G1119" s="266" t="s">
        <v>6304</v>
      </c>
      <c r="H1119" s="266" t="s">
        <v>607</v>
      </c>
      <c r="I1119" s="266"/>
      <c r="J1119" s="266"/>
      <c r="K1119" s="1"/>
      <c r="L1119" s="1"/>
    </row>
    <row r="1120">
      <c r="A1120" s="266">
        <v>50.0</v>
      </c>
      <c r="B1120" s="266">
        <v>1.0</v>
      </c>
      <c r="C1120" s="266"/>
      <c r="D1120" s="266" t="s">
        <v>7222</v>
      </c>
      <c r="E1120" s="266"/>
      <c r="F1120" s="266"/>
      <c r="G1120" s="266"/>
      <c r="H1120" s="266"/>
      <c r="I1120" s="266"/>
      <c r="J1120" s="267"/>
    </row>
    <row r="1121">
      <c r="A1121" s="266">
        <v>100.0</v>
      </c>
      <c r="B1121" s="266"/>
      <c r="C1121" s="266">
        <v>5.0</v>
      </c>
      <c r="D1121" s="266" t="s">
        <v>5238</v>
      </c>
      <c r="E1121" s="266"/>
      <c r="F1121" s="266"/>
      <c r="G1121" s="266" t="s">
        <v>6304</v>
      </c>
      <c r="H1121" s="266" t="s">
        <v>555</v>
      </c>
      <c r="I1121" s="266"/>
      <c r="J1121" s="266"/>
      <c r="K1121" s="1"/>
      <c r="L1121" s="1"/>
    </row>
    <row r="1122">
      <c r="A1122" s="266">
        <v>200.0</v>
      </c>
      <c r="B1122" s="266"/>
      <c r="C1122" s="266">
        <v>5.0</v>
      </c>
      <c r="D1122" s="266" t="s">
        <v>575</v>
      </c>
      <c r="E1122" s="266"/>
      <c r="F1122" s="266"/>
      <c r="G1122" s="266" t="s">
        <v>6304</v>
      </c>
      <c r="H1122" s="266" t="s">
        <v>551</v>
      </c>
      <c r="I1122" s="266"/>
      <c r="J1122" s="266"/>
      <c r="K1122" s="1"/>
      <c r="L1122" s="1"/>
    </row>
    <row r="1123">
      <c r="A1123" s="266">
        <v>300.0</v>
      </c>
      <c r="B1123" s="266"/>
      <c r="C1123" s="266">
        <v>5.0</v>
      </c>
      <c r="D1123" s="266" t="s">
        <v>5239</v>
      </c>
      <c r="E1123" s="266"/>
      <c r="F1123" s="266"/>
      <c r="G1123" s="266" t="s">
        <v>6304</v>
      </c>
      <c r="H1123" s="266" t="s">
        <v>551</v>
      </c>
      <c r="I1123" s="266"/>
      <c r="J1123" s="266"/>
      <c r="K1123" s="1"/>
      <c r="L1123" s="1"/>
    </row>
    <row r="1124">
      <c r="A1124" s="266">
        <v>400.0</v>
      </c>
      <c r="B1124" s="266"/>
      <c r="C1124" s="266">
        <v>5.0</v>
      </c>
      <c r="D1124" s="266" t="s">
        <v>7223</v>
      </c>
      <c r="E1124" s="266"/>
      <c r="F1124" s="266"/>
      <c r="G1124" s="266"/>
      <c r="H1124" s="266"/>
      <c r="I1124" s="266"/>
      <c r="J1124" s="267"/>
    </row>
    <row r="1125">
      <c r="A1125" s="266">
        <v>500.0</v>
      </c>
      <c r="B1125" s="266"/>
      <c r="C1125" s="266">
        <v>10.0</v>
      </c>
      <c r="D1125" s="266" t="s">
        <v>6602</v>
      </c>
      <c r="E1125" s="266"/>
      <c r="F1125" s="266"/>
      <c r="G1125" s="266"/>
      <c r="H1125" s="266"/>
      <c r="I1125" s="266"/>
      <c r="J1125" s="267"/>
    </row>
    <row r="1126">
      <c r="A1126" s="266">
        <v>600.0</v>
      </c>
      <c r="B1126" s="266"/>
      <c r="C1126" s="266">
        <v>15.0</v>
      </c>
      <c r="D1126" s="266" t="s">
        <v>576</v>
      </c>
      <c r="E1126" s="266"/>
      <c r="F1126" s="266"/>
      <c r="G1126" s="266" t="s">
        <v>6304</v>
      </c>
      <c r="H1126" s="266" t="s">
        <v>551</v>
      </c>
      <c r="I1126" s="266"/>
      <c r="J1126" s="266"/>
      <c r="K1126" s="1"/>
      <c r="L1126" s="1"/>
    </row>
    <row r="1127">
      <c r="A1127" s="266">
        <v>700.0</v>
      </c>
      <c r="B1127" s="266"/>
      <c r="C1127" s="266">
        <v>15.0</v>
      </c>
      <c r="D1127" s="266" t="s">
        <v>577</v>
      </c>
      <c r="E1127" s="266"/>
      <c r="F1127" s="266"/>
      <c r="G1127" s="266" t="s">
        <v>6304</v>
      </c>
      <c r="H1127" s="266" t="s">
        <v>552</v>
      </c>
      <c r="I1127" s="266"/>
      <c r="J1127" s="266"/>
      <c r="K1127" s="1"/>
      <c r="L1127" s="1"/>
    </row>
    <row r="1128">
      <c r="A1128" s="266">
        <v>800.0</v>
      </c>
      <c r="B1128" s="266"/>
      <c r="C1128" s="266">
        <v>10.0</v>
      </c>
      <c r="D1128" s="266" t="s">
        <v>578</v>
      </c>
      <c r="E1128" s="266"/>
      <c r="F1128" s="266"/>
      <c r="G1128" s="266" t="s">
        <v>6304</v>
      </c>
      <c r="H1128" s="266" t="s">
        <v>552</v>
      </c>
      <c r="I1128" s="266"/>
      <c r="J1128" s="266"/>
      <c r="K1128" s="1"/>
      <c r="L1128" s="1"/>
    </row>
    <row r="1129">
      <c r="A1129" s="266">
        <v>900.0</v>
      </c>
      <c r="B1129" s="266"/>
      <c r="C1129" s="266">
        <v>5.0</v>
      </c>
      <c r="D1129" s="266" t="s">
        <v>5240</v>
      </c>
      <c r="E1129" s="266"/>
      <c r="F1129" s="266"/>
      <c r="G1129" s="266" t="s">
        <v>6304</v>
      </c>
      <c r="H1129" s="266" t="s">
        <v>3808</v>
      </c>
      <c r="I1129" s="266" t="s">
        <v>6305</v>
      </c>
      <c r="J1129" s="266"/>
      <c r="K1129" s="1"/>
      <c r="L1129" s="1"/>
    </row>
    <row r="1130">
      <c r="A1130" s="266">
        <v>1000.0</v>
      </c>
      <c r="B1130" s="266"/>
      <c r="C1130" s="266">
        <v>5.0</v>
      </c>
      <c r="D1130" s="266" t="s">
        <v>7224</v>
      </c>
      <c r="E1130" s="266"/>
      <c r="F1130" s="266"/>
      <c r="G1130" s="266"/>
      <c r="H1130" s="266"/>
      <c r="I1130" s="266"/>
      <c r="J1130" s="267"/>
    </row>
    <row r="1131">
      <c r="A1131" s="266">
        <v>1100.0</v>
      </c>
      <c r="B1131" s="266"/>
      <c r="C1131" s="266">
        <v>10.0</v>
      </c>
      <c r="D1131" s="266" t="s">
        <v>5241</v>
      </c>
      <c r="E1131" s="266" t="s">
        <v>6479</v>
      </c>
      <c r="F1131" s="266">
        <v>6.0</v>
      </c>
      <c r="G1131" s="266" t="s">
        <v>6304</v>
      </c>
      <c r="H1131" s="266" t="s">
        <v>3806</v>
      </c>
      <c r="I1131" s="266"/>
      <c r="J1131" s="267"/>
    </row>
    <row r="1132">
      <c r="A1132" s="266">
        <v>1200.0</v>
      </c>
      <c r="B1132" s="266"/>
      <c r="C1132" s="266">
        <v>10.0</v>
      </c>
      <c r="D1132" s="266" t="s">
        <v>5242</v>
      </c>
      <c r="E1132" s="266" t="s">
        <v>6479</v>
      </c>
      <c r="F1132" s="266">
        <v>6.0</v>
      </c>
      <c r="G1132" s="266" t="s">
        <v>6304</v>
      </c>
      <c r="H1132" s="266" t="s">
        <v>3808</v>
      </c>
      <c r="I1132" s="266" t="s">
        <v>6305</v>
      </c>
      <c r="J1132" s="267"/>
    </row>
    <row r="1133">
      <c r="A1133" s="266">
        <v>1300.0</v>
      </c>
      <c r="B1133" s="266"/>
      <c r="C1133" s="266">
        <v>5.0</v>
      </c>
      <c r="D1133" s="266" t="s">
        <v>6306</v>
      </c>
      <c r="E1133" s="266"/>
      <c r="F1133" s="266"/>
      <c r="G1133" s="266" t="s">
        <v>6304</v>
      </c>
      <c r="H1133" s="266" t="s">
        <v>6348</v>
      </c>
      <c r="I1133" s="266"/>
      <c r="J1133" s="266"/>
      <c r="K1133" s="1"/>
      <c r="L1133" s="1"/>
    </row>
    <row r="1134">
      <c r="A1134" s="266">
        <v>50.0</v>
      </c>
      <c r="B1134" s="266">
        <v>1.0</v>
      </c>
      <c r="C1134" s="266"/>
      <c r="D1134" s="266" t="s">
        <v>7225</v>
      </c>
      <c r="E1134" s="266"/>
      <c r="F1134" s="266"/>
      <c r="G1134" s="266"/>
      <c r="H1134" s="266"/>
      <c r="I1134" s="266"/>
      <c r="J1134" s="267"/>
    </row>
    <row r="1135">
      <c r="A1135" s="266">
        <v>100.0</v>
      </c>
      <c r="B1135" s="266"/>
      <c r="C1135" s="266">
        <v>5.0</v>
      </c>
      <c r="D1135" s="266" t="s">
        <v>6601</v>
      </c>
      <c r="E1135" s="266"/>
      <c r="F1135" s="266"/>
      <c r="G1135" s="266"/>
      <c r="H1135" s="266"/>
      <c r="I1135" s="266"/>
      <c r="J1135" s="267"/>
    </row>
    <row r="1136">
      <c r="A1136" s="266">
        <v>200.0</v>
      </c>
      <c r="B1136" s="266"/>
      <c r="C1136" s="266">
        <v>10.0</v>
      </c>
      <c r="D1136" s="266" t="s">
        <v>6602</v>
      </c>
      <c r="E1136" s="266"/>
      <c r="F1136" s="266"/>
      <c r="G1136" s="266"/>
      <c r="H1136" s="266"/>
      <c r="I1136" s="266"/>
      <c r="J1136" s="267"/>
    </row>
    <row r="1137">
      <c r="A1137" s="266">
        <v>300.0</v>
      </c>
      <c r="B1137" s="266"/>
      <c r="C1137" s="266">
        <v>15.0</v>
      </c>
      <c r="D1137" s="266" t="s">
        <v>576</v>
      </c>
      <c r="E1137" s="266"/>
      <c r="F1137" s="266"/>
      <c r="G1137" s="266" t="s">
        <v>6304</v>
      </c>
      <c r="H1137" s="266" t="s">
        <v>551</v>
      </c>
      <c r="I1137" s="266"/>
      <c r="J1137" s="266"/>
      <c r="K1137" s="1"/>
      <c r="L1137" s="1"/>
    </row>
    <row r="1138">
      <c r="A1138" s="266">
        <v>400.0</v>
      </c>
      <c r="B1138" s="266"/>
      <c r="C1138" s="266">
        <v>15.0</v>
      </c>
      <c r="D1138" s="266" t="s">
        <v>577</v>
      </c>
      <c r="E1138" s="266"/>
      <c r="F1138" s="266"/>
      <c r="G1138" s="266" t="s">
        <v>6304</v>
      </c>
      <c r="H1138" s="266" t="s">
        <v>552</v>
      </c>
      <c r="I1138" s="266"/>
      <c r="J1138" s="266"/>
      <c r="K1138" s="1"/>
      <c r="L1138" s="1"/>
    </row>
    <row r="1139">
      <c r="A1139" s="266">
        <v>500.0</v>
      </c>
      <c r="B1139" s="266"/>
      <c r="C1139" s="266">
        <v>10.0</v>
      </c>
      <c r="D1139" s="266" t="s">
        <v>578</v>
      </c>
      <c r="E1139" s="266"/>
      <c r="F1139" s="266"/>
      <c r="G1139" s="266" t="s">
        <v>6304</v>
      </c>
      <c r="H1139" s="266" t="s">
        <v>552</v>
      </c>
      <c r="I1139" s="266"/>
      <c r="J1139" s="266"/>
      <c r="K1139" s="1"/>
      <c r="L1139" s="1"/>
    </row>
    <row r="1140">
      <c r="A1140" s="266">
        <v>600.0</v>
      </c>
      <c r="B1140" s="266"/>
      <c r="C1140" s="266">
        <v>5.0</v>
      </c>
      <c r="D1140" s="266" t="s">
        <v>575</v>
      </c>
      <c r="E1140" s="266"/>
      <c r="F1140" s="266"/>
      <c r="G1140" s="266" t="s">
        <v>6304</v>
      </c>
      <c r="H1140" s="266" t="s">
        <v>551</v>
      </c>
      <c r="I1140" s="266"/>
      <c r="J1140" s="266"/>
      <c r="K1140" s="1"/>
      <c r="L1140" s="1"/>
    </row>
    <row r="1141">
      <c r="A1141" s="266">
        <v>700.0</v>
      </c>
      <c r="B1141" s="266"/>
      <c r="C1141" s="266">
        <v>5.0</v>
      </c>
      <c r="D1141" s="266" t="s">
        <v>3826</v>
      </c>
      <c r="E1141" s="266"/>
      <c r="F1141" s="266"/>
      <c r="G1141" s="266" t="s">
        <v>6304</v>
      </c>
      <c r="H1141" s="266" t="s">
        <v>561</v>
      </c>
      <c r="I1141" s="266"/>
      <c r="J1141" s="266"/>
      <c r="K1141" s="1"/>
      <c r="L1141" s="1"/>
    </row>
    <row r="1142">
      <c r="A1142" s="266">
        <v>800.0</v>
      </c>
      <c r="B1142" s="266"/>
      <c r="C1142" s="266">
        <v>5.0</v>
      </c>
      <c r="D1142" s="266" t="s">
        <v>3827</v>
      </c>
      <c r="E1142" s="266"/>
      <c r="F1142" s="266"/>
      <c r="G1142" s="266" t="s">
        <v>6304</v>
      </c>
      <c r="H1142" s="266" t="s">
        <v>3805</v>
      </c>
      <c r="I1142" s="266" t="s">
        <v>6305</v>
      </c>
      <c r="J1142" s="266"/>
      <c r="K1142" s="1"/>
      <c r="L1142" s="1"/>
    </row>
    <row r="1143">
      <c r="A1143" s="266">
        <v>900.0</v>
      </c>
      <c r="B1143" s="266"/>
      <c r="C1143" s="266">
        <v>5.0</v>
      </c>
      <c r="D1143" s="266" t="s">
        <v>3828</v>
      </c>
      <c r="E1143" s="266"/>
      <c r="F1143" s="266"/>
      <c r="G1143" s="266" t="s">
        <v>6304</v>
      </c>
      <c r="H1143" s="266" t="s">
        <v>3805</v>
      </c>
      <c r="I1143" s="266" t="s">
        <v>6305</v>
      </c>
      <c r="J1143" s="266"/>
      <c r="K1143" s="1"/>
      <c r="L1143" s="1"/>
    </row>
    <row r="1144">
      <c r="A1144" s="266">
        <v>1000.0</v>
      </c>
      <c r="B1144" s="266"/>
      <c r="C1144" s="266">
        <v>5.0</v>
      </c>
      <c r="D1144" s="266" t="s">
        <v>3829</v>
      </c>
      <c r="E1144" s="266"/>
      <c r="F1144" s="266"/>
      <c r="G1144" s="266" t="s">
        <v>6304</v>
      </c>
      <c r="H1144" s="266" t="s">
        <v>3805</v>
      </c>
      <c r="I1144" s="266" t="s">
        <v>6305</v>
      </c>
      <c r="J1144" s="266"/>
      <c r="K1144" s="1"/>
      <c r="L1144" s="1"/>
    </row>
    <row r="1145">
      <c r="A1145" s="266">
        <v>1100.0</v>
      </c>
      <c r="B1145" s="266"/>
      <c r="C1145" s="266">
        <v>5.0</v>
      </c>
      <c r="D1145" s="266" t="s">
        <v>3830</v>
      </c>
      <c r="E1145" s="266"/>
      <c r="F1145" s="266"/>
      <c r="G1145" s="266" t="s">
        <v>6304</v>
      </c>
      <c r="H1145" s="266" t="s">
        <v>3805</v>
      </c>
      <c r="I1145" s="266" t="s">
        <v>6305</v>
      </c>
      <c r="J1145" s="266"/>
      <c r="K1145" s="1"/>
      <c r="L1145" s="1"/>
    </row>
    <row r="1146">
      <c r="A1146" s="266">
        <v>1200.0</v>
      </c>
      <c r="B1146" s="266"/>
      <c r="C1146" s="266">
        <v>5.0</v>
      </c>
      <c r="D1146" s="266" t="s">
        <v>3831</v>
      </c>
      <c r="E1146" s="266"/>
      <c r="F1146" s="266"/>
      <c r="G1146" s="266" t="s">
        <v>6304</v>
      </c>
      <c r="H1146" s="266" t="s">
        <v>3805</v>
      </c>
      <c r="I1146" s="266" t="s">
        <v>6305</v>
      </c>
      <c r="J1146" s="266"/>
      <c r="K1146" s="1"/>
      <c r="L1146" s="1"/>
    </row>
    <row r="1147">
      <c r="A1147" s="266">
        <v>1300.0</v>
      </c>
      <c r="B1147" s="266"/>
      <c r="C1147" s="266">
        <v>5.0</v>
      </c>
      <c r="D1147" s="266" t="s">
        <v>3832</v>
      </c>
      <c r="E1147" s="266"/>
      <c r="F1147" s="266"/>
      <c r="G1147" s="266" t="s">
        <v>6304</v>
      </c>
      <c r="H1147" s="266" t="s">
        <v>3805</v>
      </c>
      <c r="I1147" s="266" t="s">
        <v>6305</v>
      </c>
      <c r="J1147" s="266"/>
      <c r="K1147" s="1"/>
      <c r="L1147" s="1"/>
    </row>
    <row r="1148">
      <c r="A1148" s="266">
        <v>1400.0</v>
      </c>
      <c r="B1148" s="266"/>
      <c r="C1148" s="266">
        <v>5.0</v>
      </c>
      <c r="D1148" s="266" t="s">
        <v>3833</v>
      </c>
      <c r="E1148" s="266"/>
      <c r="F1148" s="266"/>
      <c r="G1148" s="266" t="s">
        <v>6304</v>
      </c>
      <c r="H1148" s="266" t="s">
        <v>3805</v>
      </c>
      <c r="I1148" s="266" t="s">
        <v>6305</v>
      </c>
      <c r="J1148" s="266"/>
      <c r="K1148" s="1"/>
      <c r="L1148" s="1"/>
    </row>
    <row r="1149">
      <c r="A1149" s="266">
        <v>1500.0</v>
      </c>
      <c r="B1149" s="266"/>
      <c r="C1149" s="266">
        <v>5.0</v>
      </c>
      <c r="D1149" s="266" t="s">
        <v>3834</v>
      </c>
      <c r="E1149" s="266"/>
      <c r="F1149" s="266"/>
      <c r="G1149" s="266" t="s">
        <v>6304</v>
      </c>
      <c r="H1149" s="266" t="s">
        <v>3805</v>
      </c>
      <c r="I1149" s="266" t="s">
        <v>6305</v>
      </c>
      <c r="J1149" s="266"/>
      <c r="K1149" s="1"/>
      <c r="L1149" s="1"/>
    </row>
    <row r="1150">
      <c r="A1150" s="266">
        <v>1600.0</v>
      </c>
      <c r="B1150" s="266"/>
      <c r="C1150" s="266">
        <v>5.0</v>
      </c>
      <c r="D1150" s="266" t="s">
        <v>3835</v>
      </c>
      <c r="E1150" s="266"/>
      <c r="F1150" s="266"/>
      <c r="G1150" s="266" t="s">
        <v>6304</v>
      </c>
      <c r="H1150" s="266" t="s">
        <v>560</v>
      </c>
      <c r="I1150" s="266"/>
      <c r="J1150" s="266"/>
      <c r="K1150" s="1"/>
      <c r="L1150" s="1"/>
    </row>
    <row r="1151">
      <c r="A1151" s="266">
        <v>1700.0</v>
      </c>
      <c r="B1151" s="266"/>
      <c r="C1151" s="266">
        <v>5.0</v>
      </c>
      <c r="D1151" s="266" t="s">
        <v>3836</v>
      </c>
      <c r="E1151" s="266"/>
      <c r="F1151" s="266"/>
      <c r="G1151" s="266" t="s">
        <v>6304</v>
      </c>
      <c r="H1151" s="266" t="s">
        <v>555</v>
      </c>
      <c r="I1151" s="266"/>
      <c r="J1151" s="266"/>
      <c r="K1151" s="1"/>
      <c r="L1151" s="1"/>
    </row>
    <row r="1152">
      <c r="A1152" s="266">
        <v>1800.0</v>
      </c>
      <c r="B1152" s="266"/>
      <c r="C1152" s="266">
        <v>5.0</v>
      </c>
      <c r="D1152" s="266" t="s">
        <v>3837</v>
      </c>
      <c r="E1152" s="266"/>
      <c r="F1152" s="266"/>
      <c r="G1152" s="266" t="s">
        <v>6304</v>
      </c>
      <c r="H1152" s="266" t="s">
        <v>555</v>
      </c>
      <c r="I1152" s="266"/>
      <c r="J1152" s="266"/>
      <c r="K1152" s="1"/>
      <c r="L1152" s="1"/>
    </row>
    <row r="1153">
      <c r="A1153" s="266">
        <v>1900.0</v>
      </c>
      <c r="B1153" s="266"/>
      <c r="C1153" s="266">
        <v>5.0</v>
      </c>
      <c r="D1153" s="266" t="s">
        <v>3838</v>
      </c>
      <c r="E1153" s="266"/>
      <c r="F1153" s="266"/>
      <c r="G1153" s="266" t="s">
        <v>6304</v>
      </c>
      <c r="H1153" s="266" t="s">
        <v>555</v>
      </c>
      <c r="I1153" s="266"/>
      <c r="J1153" s="266"/>
      <c r="K1153" s="1"/>
      <c r="L1153" s="1"/>
    </row>
    <row r="1154">
      <c r="A1154" s="266">
        <v>2000.0</v>
      </c>
      <c r="B1154" s="266"/>
      <c r="C1154" s="266">
        <v>5.0</v>
      </c>
      <c r="D1154" s="266" t="s">
        <v>3839</v>
      </c>
      <c r="E1154" s="266"/>
      <c r="F1154" s="266"/>
      <c r="G1154" s="266" t="s">
        <v>6304</v>
      </c>
      <c r="H1154" s="266" t="s">
        <v>555</v>
      </c>
      <c r="I1154" s="266"/>
      <c r="J1154" s="266"/>
      <c r="K1154" s="1"/>
      <c r="L1154" s="1"/>
    </row>
    <row r="1155">
      <c r="A1155" s="266">
        <v>2100.0</v>
      </c>
      <c r="B1155" s="266"/>
      <c r="C1155" s="266">
        <v>5.0</v>
      </c>
      <c r="D1155" s="266" t="s">
        <v>3840</v>
      </c>
      <c r="E1155" s="266"/>
      <c r="F1155" s="266"/>
      <c r="G1155" s="266" t="s">
        <v>6304</v>
      </c>
      <c r="H1155" s="266" t="s">
        <v>551</v>
      </c>
      <c r="I1155" s="266"/>
      <c r="J1155" s="266"/>
      <c r="K1155" s="1"/>
      <c r="L1155" s="1"/>
    </row>
    <row r="1156">
      <c r="A1156" s="266">
        <v>2200.0</v>
      </c>
      <c r="B1156" s="266"/>
      <c r="C1156" s="266">
        <v>5.0</v>
      </c>
      <c r="D1156" s="266" t="s">
        <v>3841</v>
      </c>
      <c r="E1156" s="266"/>
      <c r="F1156" s="266"/>
      <c r="G1156" s="266" t="s">
        <v>6304</v>
      </c>
      <c r="H1156" s="266" t="s">
        <v>3806</v>
      </c>
      <c r="I1156" s="266"/>
      <c r="J1156" s="266"/>
      <c r="K1156" s="1"/>
      <c r="L1156" s="1"/>
    </row>
    <row r="1157">
      <c r="A1157" s="266">
        <v>2300.0</v>
      </c>
      <c r="B1157" s="266"/>
      <c r="C1157" s="266">
        <v>5.0</v>
      </c>
      <c r="D1157" s="266" t="s">
        <v>7226</v>
      </c>
      <c r="E1157" s="266"/>
      <c r="F1157" s="266"/>
      <c r="G1157" s="266"/>
      <c r="H1157" s="266"/>
      <c r="I1157" s="266"/>
      <c r="J1157" s="267"/>
    </row>
    <row r="1158">
      <c r="A1158" s="266">
        <v>2400.0</v>
      </c>
      <c r="B1158" s="266"/>
      <c r="C1158" s="266">
        <v>10.0</v>
      </c>
      <c r="D1158" s="266" t="s">
        <v>3842</v>
      </c>
      <c r="E1158" s="266"/>
      <c r="F1158" s="266"/>
      <c r="G1158" s="266" t="s">
        <v>6304</v>
      </c>
      <c r="H1158" s="266" t="s">
        <v>557</v>
      </c>
      <c r="I1158" s="266"/>
      <c r="J1158" s="266"/>
      <c r="K1158" s="1"/>
      <c r="L1158" s="1"/>
    </row>
    <row r="1159">
      <c r="A1159" s="266">
        <v>2500.0</v>
      </c>
      <c r="B1159" s="266"/>
      <c r="C1159" s="266">
        <v>10.0</v>
      </c>
      <c r="D1159" s="266" t="s">
        <v>3843</v>
      </c>
      <c r="E1159" s="266"/>
      <c r="F1159" s="266"/>
      <c r="G1159" s="266" t="s">
        <v>6304</v>
      </c>
      <c r="H1159" s="266" t="s">
        <v>3794</v>
      </c>
      <c r="I1159" s="266"/>
      <c r="J1159" s="266"/>
      <c r="K1159" s="1"/>
      <c r="L1159" s="1"/>
    </row>
    <row r="1160">
      <c r="A1160" s="266">
        <v>2600.0</v>
      </c>
      <c r="B1160" s="266"/>
      <c r="C1160" s="266">
        <v>5.0</v>
      </c>
      <c r="D1160" s="266" t="s">
        <v>3844</v>
      </c>
      <c r="E1160" s="266"/>
      <c r="F1160" s="266"/>
      <c r="G1160" s="266" t="s">
        <v>6304</v>
      </c>
      <c r="H1160" s="266" t="s">
        <v>561</v>
      </c>
      <c r="I1160" s="266"/>
      <c r="J1160" s="266"/>
      <c r="K1160" s="1"/>
      <c r="L1160" s="1"/>
    </row>
    <row r="1161">
      <c r="A1161" s="266">
        <v>2700.0</v>
      </c>
      <c r="B1161" s="266"/>
      <c r="C1161" s="266">
        <v>5.0</v>
      </c>
      <c r="D1161" s="266" t="s">
        <v>3845</v>
      </c>
      <c r="E1161" s="266"/>
      <c r="F1161" s="266"/>
      <c r="G1161" s="266" t="s">
        <v>6304</v>
      </c>
      <c r="H1161" s="266" t="s">
        <v>555</v>
      </c>
      <c r="I1161" s="266"/>
      <c r="J1161" s="266"/>
      <c r="K1161" s="1"/>
      <c r="L1161" s="1"/>
    </row>
    <row r="1162">
      <c r="A1162" s="266">
        <v>2800.0</v>
      </c>
      <c r="B1162" s="266"/>
      <c r="C1162" s="266">
        <v>5.0</v>
      </c>
      <c r="D1162" s="266" t="s">
        <v>3846</v>
      </c>
      <c r="E1162" s="266"/>
      <c r="F1162" s="266"/>
      <c r="G1162" s="266" t="s">
        <v>6304</v>
      </c>
      <c r="H1162" s="266" t="s">
        <v>560</v>
      </c>
      <c r="I1162" s="266"/>
      <c r="J1162" s="266"/>
      <c r="K1162" s="1"/>
      <c r="L1162" s="1"/>
    </row>
    <row r="1163">
      <c r="A1163" s="266">
        <v>2900.0</v>
      </c>
      <c r="B1163" s="266"/>
      <c r="C1163" s="266">
        <v>5.0</v>
      </c>
      <c r="D1163" s="266" t="s">
        <v>591</v>
      </c>
      <c r="E1163" s="266"/>
      <c r="F1163" s="266"/>
      <c r="G1163" s="266" t="s">
        <v>6304</v>
      </c>
      <c r="H1163" s="266" t="s">
        <v>3807</v>
      </c>
      <c r="I1163" s="266"/>
      <c r="J1163" s="266"/>
      <c r="K1163" s="1"/>
      <c r="L1163" s="1"/>
    </row>
    <row r="1164">
      <c r="A1164" s="266">
        <v>3000.0</v>
      </c>
      <c r="B1164" s="266"/>
      <c r="C1164" s="266">
        <v>5.0</v>
      </c>
      <c r="D1164" s="266" t="s">
        <v>3847</v>
      </c>
      <c r="E1164" s="266"/>
      <c r="F1164" s="266"/>
      <c r="G1164" s="266" t="s">
        <v>6304</v>
      </c>
      <c r="H1164" s="266" t="s">
        <v>560</v>
      </c>
      <c r="I1164" s="266"/>
      <c r="J1164" s="266"/>
      <c r="K1164" s="1"/>
      <c r="L1164" s="1"/>
    </row>
    <row r="1165">
      <c r="A1165" s="266">
        <v>3100.0</v>
      </c>
      <c r="B1165" s="266"/>
      <c r="C1165" s="266">
        <v>5.0</v>
      </c>
      <c r="D1165" s="266" t="s">
        <v>3848</v>
      </c>
      <c r="E1165" s="266"/>
      <c r="F1165" s="266"/>
      <c r="G1165" s="266" t="s">
        <v>6304</v>
      </c>
      <c r="H1165" s="266" t="s">
        <v>3808</v>
      </c>
      <c r="I1165" s="266" t="s">
        <v>6305</v>
      </c>
      <c r="J1165" s="266"/>
      <c r="K1165" s="1"/>
      <c r="L1165" s="1"/>
    </row>
    <row r="1166">
      <c r="A1166" s="266">
        <v>3200.0</v>
      </c>
      <c r="B1166" s="266"/>
      <c r="C1166" s="266">
        <v>5.0</v>
      </c>
      <c r="D1166" s="266" t="s">
        <v>3849</v>
      </c>
      <c r="E1166" s="266"/>
      <c r="F1166" s="266"/>
      <c r="G1166" s="266" t="s">
        <v>6304</v>
      </c>
      <c r="H1166" s="266" t="s">
        <v>560</v>
      </c>
      <c r="I1166" s="266"/>
      <c r="J1166" s="266"/>
      <c r="K1166" s="1"/>
      <c r="L1166" s="1"/>
    </row>
    <row r="1167">
      <c r="A1167" s="266">
        <v>3300.0</v>
      </c>
      <c r="B1167" s="266"/>
      <c r="C1167" s="266">
        <v>5.0</v>
      </c>
      <c r="D1167" s="266" t="s">
        <v>3850</v>
      </c>
      <c r="E1167" s="266"/>
      <c r="F1167" s="266"/>
      <c r="G1167" s="266" t="s">
        <v>6304</v>
      </c>
      <c r="H1167" s="266" t="s">
        <v>552</v>
      </c>
      <c r="I1167" s="266"/>
      <c r="J1167" s="266"/>
      <c r="K1167" s="1"/>
      <c r="L1167" s="1"/>
    </row>
    <row r="1168">
      <c r="A1168" s="266">
        <v>3400.0</v>
      </c>
      <c r="B1168" s="266"/>
      <c r="C1168" s="266">
        <v>5.0</v>
      </c>
      <c r="D1168" s="266" t="s">
        <v>6306</v>
      </c>
      <c r="E1168" s="266"/>
      <c r="F1168" s="266"/>
      <c r="G1168" s="266" t="s">
        <v>6304</v>
      </c>
      <c r="H1168" s="266" t="s">
        <v>7227</v>
      </c>
      <c r="I1168" s="266"/>
      <c r="J1168" s="266"/>
      <c r="K1168" s="1"/>
      <c r="L1168" s="1"/>
    </row>
    <row r="1169">
      <c r="A1169" s="266">
        <v>50.0</v>
      </c>
      <c r="B1169" s="266">
        <v>1.0</v>
      </c>
      <c r="C1169" s="266"/>
      <c r="D1169" s="266" t="s">
        <v>7228</v>
      </c>
      <c r="E1169" s="266"/>
      <c r="F1169" s="266"/>
      <c r="G1169" s="266"/>
      <c r="H1169" s="266"/>
      <c r="I1169" s="266"/>
      <c r="J1169" s="267"/>
    </row>
    <row r="1170">
      <c r="A1170" s="266">
        <v>100.0</v>
      </c>
      <c r="B1170" s="266"/>
      <c r="C1170" s="266">
        <v>5.0</v>
      </c>
      <c r="D1170" s="266" t="s">
        <v>546</v>
      </c>
      <c r="E1170" s="266"/>
      <c r="F1170" s="266"/>
      <c r="G1170" s="266" t="s">
        <v>6304</v>
      </c>
      <c r="H1170" s="266" t="s">
        <v>544</v>
      </c>
      <c r="I1170" s="266" t="s">
        <v>6305</v>
      </c>
      <c r="J1170" s="266"/>
      <c r="K1170" s="1"/>
      <c r="L1170" s="1"/>
    </row>
    <row r="1171">
      <c r="A1171" s="266">
        <v>200.0</v>
      </c>
      <c r="B1171" s="266"/>
      <c r="C1171" s="266">
        <v>5.0</v>
      </c>
      <c r="D1171" s="266" t="s">
        <v>547</v>
      </c>
      <c r="E1171" s="266"/>
      <c r="F1171" s="266"/>
      <c r="G1171" s="266" t="s">
        <v>6304</v>
      </c>
      <c r="H1171" s="266" t="s">
        <v>544</v>
      </c>
      <c r="I1171" s="266" t="s">
        <v>6305</v>
      </c>
      <c r="J1171" s="266"/>
      <c r="K1171" s="1"/>
      <c r="L1171" s="1"/>
    </row>
    <row r="1172">
      <c r="A1172" s="266">
        <v>300.0</v>
      </c>
      <c r="B1172" s="266"/>
      <c r="C1172" s="266">
        <v>5.0</v>
      </c>
      <c r="D1172" s="266" t="s">
        <v>548</v>
      </c>
      <c r="E1172" s="266"/>
      <c r="F1172" s="266"/>
      <c r="G1172" s="266" t="s">
        <v>6304</v>
      </c>
      <c r="H1172" s="266" t="s">
        <v>544</v>
      </c>
      <c r="I1172" s="266" t="s">
        <v>6305</v>
      </c>
      <c r="J1172" s="266"/>
      <c r="K1172" s="1"/>
      <c r="L1172" s="1"/>
    </row>
    <row r="1173">
      <c r="A1173" s="266">
        <v>400.0</v>
      </c>
      <c r="B1173" s="266"/>
      <c r="C1173" s="266">
        <v>5.0</v>
      </c>
      <c r="D1173" s="266" t="s">
        <v>549</v>
      </c>
      <c r="E1173" s="266"/>
      <c r="F1173" s="266"/>
      <c r="G1173" s="266" t="s">
        <v>6304</v>
      </c>
      <c r="H1173" s="266" t="s">
        <v>544</v>
      </c>
      <c r="I1173" s="266" t="s">
        <v>6305</v>
      </c>
      <c r="J1173" s="266"/>
      <c r="K1173" s="1"/>
      <c r="L1173" s="1"/>
    </row>
    <row r="1174">
      <c r="A1174" s="266">
        <v>500.0</v>
      </c>
      <c r="B1174" s="266"/>
      <c r="C1174" s="266">
        <v>5.0</v>
      </c>
      <c r="D1174" s="266" t="s">
        <v>550</v>
      </c>
      <c r="E1174" s="266"/>
      <c r="F1174" s="266"/>
      <c r="G1174" s="266" t="s">
        <v>6304</v>
      </c>
      <c r="H1174" s="266" t="s">
        <v>544</v>
      </c>
      <c r="I1174" s="266" t="s">
        <v>6305</v>
      </c>
      <c r="J1174" s="266"/>
      <c r="K1174" s="1"/>
      <c r="L1174" s="1"/>
    </row>
    <row r="1175">
      <c r="A1175" s="266">
        <v>600.0</v>
      </c>
      <c r="B1175" s="266"/>
      <c r="C1175" s="266">
        <v>5.0</v>
      </c>
      <c r="D1175" s="266" t="s">
        <v>6306</v>
      </c>
      <c r="E1175" s="266"/>
      <c r="F1175" s="266"/>
      <c r="G1175" s="266" t="s">
        <v>6304</v>
      </c>
      <c r="H1175" s="266" t="s">
        <v>17</v>
      </c>
      <c r="I1175" s="266"/>
      <c r="J1175" s="266"/>
      <c r="K1175" s="1"/>
      <c r="L1175" s="1"/>
    </row>
    <row r="1176">
      <c r="A1176" s="266">
        <v>50.0</v>
      </c>
      <c r="B1176" s="266">
        <v>1.0</v>
      </c>
      <c r="C1176" s="266"/>
      <c r="D1176" s="266" t="s">
        <v>7229</v>
      </c>
      <c r="E1176" s="266"/>
      <c r="F1176" s="266"/>
      <c r="G1176" s="266"/>
      <c r="H1176" s="266"/>
      <c r="I1176" s="266"/>
      <c r="J1176" s="267"/>
    </row>
    <row r="1177">
      <c r="A1177" s="266">
        <v>100.0</v>
      </c>
      <c r="B1177" s="266"/>
      <c r="C1177" s="266">
        <v>5.0</v>
      </c>
      <c r="D1177" s="266" t="s">
        <v>6834</v>
      </c>
      <c r="E1177" s="266"/>
      <c r="F1177" s="266"/>
      <c r="G1177" s="266"/>
      <c r="H1177" s="266"/>
      <c r="I1177" s="266"/>
      <c r="J1177" s="267"/>
    </row>
    <row r="1178">
      <c r="A1178" s="266">
        <v>200.0</v>
      </c>
      <c r="B1178" s="266"/>
      <c r="C1178" s="266">
        <v>10.0</v>
      </c>
      <c r="D1178" s="266" t="s">
        <v>576</v>
      </c>
      <c r="E1178" s="266"/>
      <c r="F1178" s="266"/>
      <c r="G1178" s="266" t="s">
        <v>6304</v>
      </c>
      <c r="H1178" s="266" t="s">
        <v>551</v>
      </c>
      <c r="I1178" s="266"/>
      <c r="J1178" s="266"/>
      <c r="K1178" s="1"/>
      <c r="L1178" s="1"/>
    </row>
    <row r="1179">
      <c r="A1179" s="266">
        <v>300.0</v>
      </c>
      <c r="B1179" s="266"/>
      <c r="C1179" s="266">
        <v>10.0</v>
      </c>
      <c r="D1179" s="266" t="s">
        <v>6835</v>
      </c>
      <c r="E1179" s="266"/>
      <c r="F1179" s="266"/>
      <c r="G1179" s="266" t="s">
        <v>6304</v>
      </c>
      <c r="H1179" s="266" t="s">
        <v>551</v>
      </c>
      <c r="I1179" s="266"/>
      <c r="J1179" s="266"/>
      <c r="K1179" s="1"/>
      <c r="L1179" s="1"/>
    </row>
    <row r="1180">
      <c r="A1180" s="266">
        <v>400.0</v>
      </c>
      <c r="B1180" s="266"/>
      <c r="C1180" s="266">
        <v>5.0</v>
      </c>
      <c r="D1180" s="266" t="s">
        <v>6306</v>
      </c>
      <c r="E1180" s="266"/>
      <c r="F1180" s="266"/>
      <c r="G1180" s="266" t="s">
        <v>6304</v>
      </c>
      <c r="H1180" s="266" t="s">
        <v>7230</v>
      </c>
      <c r="I1180" s="266"/>
      <c r="J1180" s="266"/>
      <c r="K1180" s="1"/>
      <c r="L1180" s="1"/>
    </row>
    <row r="1181">
      <c r="A1181" s="266">
        <v>50.0</v>
      </c>
      <c r="B1181" s="266">
        <v>1.0</v>
      </c>
      <c r="C1181" s="266"/>
      <c r="D1181" s="266" t="s">
        <v>7231</v>
      </c>
      <c r="E1181" s="266"/>
      <c r="F1181" s="266"/>
      <c r="G1181" s="266"/>
      <c r="H1181" s="266"/>
      <c r="I1181" s="266"/>
      <c r="J1181" s="267"/>
    </row>
    <row r="1182">
      <c r="A1182" s="266">
        <v>100.0</v>
      </c>
      <c r="B1182" s="266"/>
      <c r="C1182" s="266">
        <v>5.0</v>
      </c>
      <c r="D1182" s="266" t="s">
        <v>7232</v>
      </c>
      <c r="E1182" s="266"/>
      <c r="F1182" s="266"/>
      <c r="G1182" s="266"/>
      <c r="H1182" s="266"/>
      <c r="I1182" s="266"/>
      <c r="J1182" s="267"/>
    </row>
    <row r="1183">
      <c r="A1183" s="266">
        <v>200.0</v>
      </c>
      <c r="B1183" s="266"/>
      <c r="C1183" s="266">
        <v>10.0</v>
      </c>
      <c r="D1183" s="266" t="s">
        <v>6875</v>
      </c>
      <c r="E1183" s="266"/>
      <c r="F1183" s="266"/>
      <c r="G1183" s="266"/>
      <c r="H1183" s="266"/>
      <c r="I1183" s="266"/>
      <c r="J1183" s="267"/>
    </row>
    <row r="1184">
      <c r="A1184" s="266">
        <v>300.0</v>
      </c>
      <c r="B1184" s="266"/>
      <c r="C1184" s="266">
        <v>15.0</v>
      </c>
      <c r="D1184" s="266" t="s">
        <v>3802</v>
      </c>
      <c r="E1184" s="266"/>
      <c r="F1184" s="266"/>
      <c r="G1184" s="266" t="s">
        <v>6304</v>
      </c>
      <c r="H1184" s="266" t="s">
        <v>551</v>
      </c>
      <c r="I1184" s="266"/>
      <c r="J1184" s="266"/>
      <c r="K1184" s="1"/>
      <c r="L1184" s="1"/>
    </row>
    <row r="1185">
      <c r="A1185" s="266">
        <v>400.0</v>
      </c>
      <c r="B1185" s="266"/>
      <c r="C1185" s="266">
        <v>15.0</v>
      </c>
      <c r="D1185" s="266" t="s">
        <v>3803</v>
      </c>
      <c r="E1185" s="266"/>
      <c r="F1185" s="266"/>
      <c r="G1185" s="266" t="s">
        <v>6304</v>
      </c>
      <c r="H1185" s="266" t="s">
        <v>556</v>
      </c>
      <c r="I1185" s="266"/>
      <c r="J1185" s="266"/>
      <c r="K1185" s="1"/>
      <c r="L1185" s="1"/>
    </row>
    <row r="1186">
      <c r="A1186" s="266">
        <v>500.0</v>
      </c>
      <c r="B1186" s="266"/>
      <c r="C1186" s="266">
        <v>15.0</v>
      </c>
      <c r="D1186" s="266" t="s">
        <v>3804</v>
      </c>
      <c r="E1186" s="266"/>
      <c r="F1186" s="266"/>
      <c r="G1186" s="266" t="s">
        <v>6304</v>
      </c>
      <c r="H1186" s="266" t="s">
        <v>5243</v>
      </c>
      <c r="I1186" s="266"/>
      <c r="J1186" s="266"/>
      <c r="K1186" s="1"/>
      <c r="L1186" s="1"/>
    </row>
    <row r="1187">
      <c r="A1187" s="266">
        <v>600.0</v>
      </c>
      <c r="B1187" s="266"/>
      <c r="C1187" s="266">
        <v>10.0</v>
      </c>
      <c r="D1187" s="266" t="s">
        <v>575</v>
      </c>
      <c r="E1187" s="266"/>
      <c r="F1187" s="266"/>
      <c r="G1187" s="266" t="s">
        <v>6304</v>
      </c>
      <c r="H1187" s="266" t="s">
        <v>551</v>
      </c>
      <c r="I1187" s="266"/>
      <c r="J1187" s="266"/>
      <c r="K1187" s="1"/>
      <c r="L1187" s="1"/>
    </row>
    <row r="1188">
      <c r="A1188" s="266">
        <v>700.0</v>
      </c>
      <c r="B1188" s="266"/>
      <c r="C1188" s="266">
        <v>10.0</v>
      </c>
      <c r="D1188" s="266" t="s">
        <v>7233</v>
      </c>
      <c r="E1188" s="266"/>
      <c r="F1188" s="266"/>
      <c r="G1188" s="266" t="s">
        <v>6304</v>
      </c>
      <c r="H1188" s="266" t="s">
        <v>3806</v>
      </c>
      <c r="I1188" s="266"/>
      <c r="J1188" s="266"/>
      <c r="K1188" s="1"/>
      <c r="L1188" s="1"/>
    </row>
    <row r="1189">
      <c r="A1189" s="266">
        <v>800.0</v>
      </c>
      <c r="B1189" s="266"/>
      <c r="C1189" s="266">
        <v>10.0</v>
      </c>
      <c r="D1189" s="266" t="s">
        <v>5260</v>
      </c>
      <c r="E1189" s="266"/>
      <c r="F1189" s="266"/>
      <c r="G1189" s="266" t="s">
        <v>6304</v>
      </c>
      <c r="H1189" s="266" t="s">
        <v>551</v>
      </c>
      <c r="I1189" s="266"/>
      <c r="J1189" s="266"/>
      <c r="K1189" s="1"/>
      <c r="L1189" s="1"/>
    </row>
    <row r="1190">
      <c r="A1190" s="266">
        <v>900.0</v>
      </c>
      <c r="B1190" s="266"/>
      <c r="C1190" s="266">
        <v>5.0</v>
      </c>
      <c r="D1190" s="266" t="s">
        <v>7234</v>
      </c>
      <c r="E1190" s="266"/>
      <c r="F1190" s="266"/>
      <c r="G1190" s="266"/>
      <c r="H1190" s="266"/>
      <c r="I1190" s="266"/>
      <c r="J1190" s="267"/>
    </row>
    <row r="1191">
      <c r="A1191" s="266">
        <v>1000.0</v>
      </c>
      <c r="B1191" s="266"/>
      <c r="C1191" s="266">
        <v>10.0</v>
      </c>
      <c r="D1191" s="266" t="s">
        <v>5267</v>
      </c>
      <c r="E1191" s="266"/>
      <c r="F1191" s="266"/>
      <c r="G1191" s="266" t="s">
        <v>6304</v>
      </c>
      <c r="H1191" s="266" t="s">
        <v>5244</v>
      </c>
      <c r="I1191" s="266"/>
      <c r="J1191" s="266"/>
      <c r="K1191" s="1"/>
      <c r="L1191" s="1"/>
    </row>
    <row r="1192">
      <c r="A1192" s="266">
        <v>1100.0</v>
      </c>
      <c r="B1192" s="266"/>
      <c r="C1192" s="266">
        <v>10.0</v>
      </c>
      <c r="D1192" s="266" t="s">
        <v>6895</v>
      </c>
      <c r="E1192" s="266"/>
      <c r="F1192" s="266"/>
      <c r="G1192" s="266" t="s">
        <v>6304</v>
      </c>
      <c r="H1192" s="266" t="s">
        <v>5244</v>
      </c>
      <c r="I1192" s="266"/>
      <c r="J1192" s="266"/>
      <c r="K1192" s="1"/>
      <c r="L1192" s="1"/>
    </row>
    <row r="1193">
      <c r="A1193" s="266">
        <v>1200.0</v>
      </c>
      <c r="B1193" s="266"/>
      <c r="C1193" s="266">
        <v>10.0</v>
      </c>
      <c r="D1193" s="266" t="s">
        <v>6896</v>
      </c>
      <c r="E1193" s="266"/>
      <c r="F1193" s="266"/>
      <c r="G1193" s="266" t="s">
        <v>6304</v>
      </c>
      <c r="H1193" s="266" t="s">
        <v>5244</v>
      </c>
      <c r="I1193" s="266"/>
      <c r="J1193" s="266"/>
      <c r="K1193" s="1"/>
      <c r="L1193" s="1"/>
    </row>
    <row r="1194">
      <c r="A1194" s="266">
        <v>1300.0</v>
      </c>
      <c r="B1194" s="266"/>
      <c r="C1194" s="266">
        <v>10.0</v>
      </c>
      <c r="D1194" s="266" t="s">
        <v>6900</v>
      </c>
      <c r="E1194" s="266"/>
      <c r="F1194" s="266"/>
      <c r="G1194" s="266" t="s">
        <v>6304</v>
      </c>
      <c r="H1194" s="266" t="s">
        <v>5244</v>
      </c>
      <c r="I1194" s="266"/>
      <c r="J1194" s="266"/>
      <c r="K1194" s="1"/>
      <c r="L1194" s="1"/>
    </row>
    <row r="1195">
      <c r="A1195" s="266">
        <v>1400.0</v>
      </c>
      <c r="B1195" s="266"/>
      <c r="C1195" s="266">
        <v>10.0</v>
      </c>
      <c r="D1195" s="266" t="s">
        <v>6901</v>
      </c>
      <c r="E1195" s="266"/>
      <c r="F1195" s="266"/>
      <c r="G1195" s="266" t="s">
        <v>6304</v>
      </c>
      <c r="H1195" s="266" t="s">
        <v>5244</v>
      </c>
      <c r="I1195" s="266"/>
      <c r="J1195" s="266"/>
      <c r="K1195" s="1"/>
      <c r="L1195" s="1"/>
    </row>
    <row r="1196">
      <c r="A1196" s="266">
        <v>1500.0</v>
      </c>
      <c r="B1196" s="266"/>
      <c r="C1196" s="266">
        <v>10.0</v>
      </c>
      <c r="D1196" s="266" t="s">
        <v>6902</v>
      </c>
      <c r="E1196" s="266"/>
      <c r="F1196" s="266"/>
      <c r="G1196" s="266" t="s">
        <v>6304</v>
      </c>
      <c r="H1196" s="266" t="s">
        <v>4103</v>
      </c>
      <c r="I1196" s="266"/>
      <c r="J1196" s="266"/>
      <c r="K1196" s="1"/>
      <c r="L1196" s="1"/>
    </row>
    <row r="1197">
      <c r="A1197" s="266">
        <v>1600.0</v>
      </c>
      <c r="B1197" s="266"/>
      <c r="C1197" s="266">
        <v>10.0</v>
      </c>
      <c r="D1197" s="266" t="s">
        <v>6910</v>
      </c>
      <c r="E1197" s="266"/>
      <c r="F1197" s="266"/>
      <c r="G1197" s="266" t="s">
        <v>6304</v>
      </c>
      <c r="H1197" s="266" t="s">
        <v>551</v>
      </c>
      <c r="I1197" s="266"/>
      <c r="J1197" s="266"/>
      <c r="K1197" s="1"/>
      <c r="L1197" s="1"/>
    </row>
    <row r="1198">
      <c r="A1198" s="266">
        <v>1700.0</v>
      </c>
      <c r="B1198" s="266"/>
      <c r="C1198" s="266">
        <v>10.0</v>
      </c>
      <c r="D1198" s="266" t="s">
        <v>2785</v>
      </c>
      <c r="E1198" s="266"/>
      <c r="F1198" s="266"/>
      <c r="G1198" s="266" t="s">
        <v>6304</v>
      </c>
      <c r="H1198" s="266" t="s">
        <v>555</v>
      </c>
      <c r="I1198" s="266"/>
      <c r="J1198" s="266"/>
      <c r="K1198" s="1"/>
      <c r="L1198" s="1"/>
    </row>
    <row r="1199">
      <c r="A1199" s="266">
        <v>1800.0</v>
      </c>
      <c r="B1199" s="266"/>
      <c r="C1199" s="266">
        <v>10.0</v>
      </c>
      <c r="D1199" s="266" t="s">
        <v>7235</v>
      </c>
      <c r="E1199" s="266"/>
      <c r="F1199" s="266"/>
      <c r="G1199" s="266" t="s">
        <v>6304</v>
      </c>
      <c r="H1199" s="266" t="s">
        <v>3806</v>
      </c>
      <c r="I1199" s="266"/>
      <c r="J1199" s="266"/>
      <c r="K1199" s="1"/>
      <c r="L1199" s="1"/>
    </row>
    <row r="1200">
      <c r="A1200" s="266">
        <v>1900.0</v>
      </c>
      <c r="B1200" s="266"/>
      <c r="C1200" s="266">
        <v>10.0</v>
      </c>
      <c r="D1200" s="266" t="s">
        <v>6922</v>
      </c>
      <c r="E1200" s="266"/>
      <c r="F1200" s="266"/>
      <c r="G1200" s="266" t="s">
        <v>6304</v>
      </c>
      <c r="H1200" s="266" t="s">
        <v>552</v>
      </c>
      <c r="I1200" s="266"/>
      <c r="J1200" s="266"/>
      <c r="K1200" s="1"/>
      <c r="L1200" s="1"/>
    </row>
    <row r="1201">
      <c r="A1201" s="266">
        <v>2000.0</v>
      </c>
      <c r="B1201" s="266"/>
      <c r="C1201" s="266">
        <v>10.0</v>
      </c>
      <c r="D1201" s="266" t="s">
        <v>6923</v>
      </c>
      <c r="E1201" s="266"/>
      <c r="F1201" s="266"/>
      <c r="G1201" s="266" t="s">
        <v>6304</v>
      </c>
      <c r="H1201" s="266" t="s">
        <v>557</v>
      </c>
      <c r="I1201" s="266"/>
      <c r="J1201" s="266"/>
      <c r="K1201" s="1"/>
      <c r="L1201" s="1"/>
    </row>
    <row r="1202">
      <c r="A1202" s="266">
        <v>2100.0</v>
      </c>
      <c r="B1202" s="266"/>
      <c r="C1202" s="266">
        <v>10.0</v>
      </c>
      <c r="D1202" s="266" t="s">
        <v>6955</v>
      </c>
      <c r="E1202" s="266"/>
      <c r="F1202" s="266"/>
      <c r="G1202" s="266" t="s">
        <v>6304</v>
      </c>
      <c r="H1202" s="266" t="s">
        <v>557</v>
      </c>
      <c r="I1202" s="266"/>
      <c r="J1202" s="266"/>
      <c r="K1202" s="1"/>
      <c r="L1202" s="1"/>
    </row>
    <row r="1203">
      <c r="A1203" s="266">
        <v>2200.0</v>
      </c>
      <c r="B1203" s="266"/>
      <c r="C1203" s="266">
        <v>10.0</v>
      </c>
      <c r="D1203" s="266" t="s">
        <v>6954</v>
      </c>
      <c r="E1203" s="266"/>
      <c r="F1203" s="266"/>
      <c r="G1203" s="266" t="s">
        <v>6304</v>
      </c>
      <c r="H1203" s="266" t="s">
        <v>560</v>
      </c>
      <c r="I1203" s="266"/>
      <c r="J1203" s="266"/>
      <c r="K1203" s="1"/>
      <c r="L1203" s="1"/>
    </row>
    <row r="1204">
      <c r="A1204" s="266">
        <v>2300.0</v>
      </c>
      <c r="B1204" s="266"/>
      <c r="C1204" s="266">
        <v>10.0</v>
      </c>
      <c r="D1204" s="266" t="s">
        <v>6924</v>
      </c>
      <c r="E1204" s="266"/>
      <c r="F1204" s="266"/>
      <c r="G1204" s="266" t="s">
        <v>6304</v>
      </c>
      <c r="H1204" s="266" t="s">
        <v>559</v>
      </c>
      <c r="I1204" s="266"/>
      <c r="J1204" s="266"/>
      <c r="K1204" s="1"/>
      <c r="L1204" s="1"/>
    </row>
    <row r="1205">
      <c r="A1205" s="266">
        <v>2400.0</v>
      </c>
      <c r="B1205" s="266"/>
      <c r="C1205" s="266">
        <v>10.0</v>
      </c>
      <c r="D1205" s="266" t="s">
        <v>6306</v>
      </c>
      <c r="E1205" s="266"/>
      <c r="F1205" s="266"/>
      <c r="G1205" s="266" t="s">
        <v>6304</v>
      </c>
      <c r="H1205" s="266" t="s">
        <v>7236</v>
      </c>
      <c r="I1205" s="266"/>
      <c r="J1205" s="266"/>
      <c r="K1205" s="1"/>
      <c r="L1205" s="1"/>
    </row>
    <row r="1206">
      <c r="A1206" s="266">
        <v>2500.0</v>
      </c>
      <c r="B1206" s="266"/>
      <c r="C1206" s="266">
        <v>5.0</v>
      </c>
      <c r="D1206" s="266" t="s">
        <v>7237</v>
      </c>
      <c r="E1206" s="266" t="s">
        <v>6603</v>
      </c>
      <c r="F1206" s="266" t="s">
        <v>7234</v>
      </c>
      <c r="G1206" s="266"/>
      <c r="H1206" s="266"/>
      <c r="I1206" s="266"/>
      <c r="J1206" s="267"/>
    </row>
    <row r="1207">
      <c r="A1207" s="266">
        <v>2600.0</v>
      </c>
      <c r="B1207" s="266"/>
      <c r="C1207" s="266">
        <v>10.0</v>
      </c>
      <c r="D1207" s="266" t="s">
        <v>591</v>
      </c>
      <c r="E1207" s="266"/>
      <c r="F1207" s="266"/>
      <c r="G1207" s="266" t="s">
        <v>6304</v>
      </c>
      <c r="H1207" s="266" t="s">
        <v>556</v>
      </c>
      <c r="I1207" s="266"/>
      <c r="J1207" s="266"/>
      <c r="K1207" s="1"/>
      <c r="L1207" s="1"/>
    </row>
    <row r="1208">
      <c r="A1208" s="266">
        <v>2700.0</v>
      </c>
      <c r="B1208" s="266"/>
      <c r="C1208" s="266">
        <v>10.0</v>
      </c>
      <c r="D1208" s="266" t="s">
        <v>7238</v>
      </c>
      <c r="E1208" s="266"/>
      <c r="F1208" s="266"/>
      <c r="G1208" s="266" t="s">
        <v>6304</v>
      </c>
      <c r="H1208" s="266" t="s">
        <v>6338</v>
      </c>
      <c r="I1208" s="266"/>
      <c r="J1208" s="266"/>
      <c r="K1208" s="1"/>
      <c r="L1208" s="1"/>
    </row>
    <row r="1209">
      <c r="A1209" s="266">
        <v>2800.0</v>
      </c>
      <c r="B1209" s="266"/>
      <c r="C1209" s="266">
        <v>10.0</v>
      </c>
      <c r="D1209" s="266" t="s">
        <v>6601</v>
      </c>
      <c r="E1209" s="266"/>
      <c r="F1209" s="266"/>
      <c r="G1209" s="266"/>
      <c r="H1209" s="266"/>
      <c r="I1209" s="266"/>
      <c r="J1209" s="267"/>
    </row>
    <row r="1210">
      <c r="A1210" s="266">
        <v>2900.0</v>
      </c>
      <c r="B1210" s="266"/>
      <c r="C1210" s="266">
        <v>15.0</v>
      </c>
      <c r="D1210" s="266" t="s">
        <v>6602</v>
      </c>
      <c r="E1210" s="266"/>
      <c r="F1210" s="266"/>
      <c r="G1210" s="266"/>
      <c r="H1210" s="266"/>
      <c r="I1210" s="266"/>
      <c r="J1210" s="267"/>
    </row>
    <row r="1211">
      <c r="A1211" s="266">
        <v>3000.0</v>
      </c>
      <c r="B1211" s="266"/>
      <c r="C1211" s="266">
        <v>20.0</v>
      </c>
      <c r="D1211" s="266" t="s">
        <v>576</v>
      </c>
      <c r="E1211" s="266"/>
      <c r="F1211" s="266"/>
      <c r="G1211" s="266" t="s">
        <v>6304</v>
      </c>
      <c r="H1211" s="266" t="s">
        <v>551</v>
      </c>
      <c r="I1211" s="266"/>
      <c r="J1211" s="266"/>
      <c r="K1211" s="1"/>
      <c r="L1211" s="1"/>
    </row>
    <row r="1212">
      <c r="A1212" s="266">
        <v>3100.0</v>
      </c>
      <c r="B1212" s="266"/>
      <c r="C1212" s="266">
        <v>20.0</v>
      </c>
      <c r="D1212" s="266" t="s">
        <v>577</v>
      </c>
      <c r="E1212" s="266"/>
      <c r="F1212" s="266"/>
      <c r="G1212" s="266" t="s">
        <v>6304</v>
      </c>
      <c r="H1212" s="266" t="s">
        <v>552</v>
      </c>
      <c r="I1212" s="266"/>
      <c r="J1212" s="266"/>
      <c r="K1212" s="1"/>
      <c r="L1212" s="1"/>
    </row>
    <row r="1213">
      <c r="A1213" s="266">
        <v>3200.0</v>
      </c>
      <c r="B1213" s="266"/>
      <c r="C1213" s="266">
        <v>15.0</v>
      </c>
      <c r="D1213" s="266" t="s">
        <v>578</v>
      </c>
      <c r="E1213" s="266"/>
      <c r="F1213" s="266"/>
      <c r="G1213" s="266" t="s">
        <v>6304</v>
      </c>
      <c r="H1213" s="266" t="s">
        <v>552</v>
      </c>
      <c r="I1213" s="266"/>
      <c r="J1213" s="266"/>
      <c r="K1213" s="1"/>
      <c r="L1213" s="1"/>
    </row>
    <row r="1214">
      <c r="A1214" s="266">
        <v>3300.0</v>
      </c>
      <c r="B1214" s="266"/>
      <c r="C1214" s="266">
        <v>10.0</v>
      </c>
      <c r="D1214" s="266" t="s">
        <v>6835</v>
      </c>
      <c r="E1214" s="266"/>
      <c r="F1214" s="266"/>
      <c r="G1214" s="266" t="s">
        <v>6304</v>
      </c>
      <c r="H1214" s="266" t="s">
        <v>551</v>
      </c>
      <c r="I1214" s="266"/>
      <c r="J1214" s="266"/>
      <c r="K1214" s="1"/>
      <c r="L1214" s="1"/>
    </row>
    <row r="1215">
      <c r="A1215" s="266">
        <v>3400.0</v>
      </c>
      <c r="B1215" s="266"/>
      <c r="C1215" s="266">
        <v>10.0</v>
      </c>
      <c r="D1215" s="266" t="s">
        <v>3847</v>
      </c>
      <c r="E1215" s="266"/>
      <c r="F1215" s="266"/>
      <c r="G1215" s="266" t="s">
        <v>6304</v>
      </c>
      <c r="H1215" s="266" t="s">
        <v>555</v>
      </c>
      <c r="I1215" s="266"/>
      <c r="J1215" s="266"/>
      <c r="K1215" s="1"/>
      <c r="L1215" s="1"/>
    </row>
    <row r="1216">
      <c r="A1216" s="266">
        <v>3500.0</v>
      </c>
      <c r="B1216" s="266"/>
      <c r="C1216" s="266">
        <v>10.0</v>
      </c>
      <c r="D1216" s="266" t="s">
        <v>7190</v>
      </c>
      <c r="E1216" s="266"/>
      <c r="F1216" s="266"/>
      <c r="G1216" s="266"/>
      <c r="H1216" s="266"/>
      <c r="I1216" s="266"/>
      <c r="J1216" s="267"/>
    </row>
    <row r="1217">
      <c r="A1217" s="266">
        <v>3600.0</v>
      </c>
      <c r="B1217" s="266"/>
      <c r="C1217" s="266">
        <v>15.0</v>
      </c>
      <c r="D1217" s="266" t="s">
        <v>7191</v>
      </c>
      <c r="E1217" s="266"/>
      <c r="F1217" s="266"/>
      <c r="G1217" s="266" t="s">
        <v>6304</v>
      </c>
      <c r="H1217" s="266">
        <v>9.0</v>
      </c>
      <c r="I1217" s="266"/>
      <c r="J1217" s="266"/>
      <c r="K1217" s="1"/>
      <c r="L1217" s="1"/>
    </row>
    <row r="1218">
      <c r="A1218" s="266">
        <v>3700.0</v>
      </c>
      <c r="B1218" s="266"/>
      <c r="C1218" s="266">
        <v>15.0</v>
      </c>
      <c r="D1218" s="266" t="s">
        <v>7192</v>
      </c>
      <c r="E1218" s="266"/>
      <c r="F1218" s="266"/>
      <c r="G1218" s="266" t="s">
        <v>6304</v>
      </c>
      <c r="H1218" s="266">
        <v>9.0</v>
      </c>
      <c r="I1218" s="266"/>
      <c r="J1218" s="266"/>
      <c r="K1218" s="1"/>
      <c r="L1218" s="1"/>
    </row>
    <row r="1219">
      <c r="A1219" s="266">
        <v>3800.0</v>
      </c>
      <c r="B1219" s="266"/>
      <c r="C1219" s="266">
        <v>10.0</v>
      </c>
      <c r="D1219" s="266" t="s">
        <v>6788</v>
      </c>
      <c r="E1219" s="266"/>
      <c r="F1219" s="266"/>
      <c r="G1219" s="266" t="s">
        <v>6304</v>
      </c>
      <c r="H1219" s="266" t="s">
        <v>3805</v>
      </c>
      <c r="I1219" s="266" t="s">
        <v>6305</v>
      </c>
      <c r="J1219" s="266"/>
      <c r="K1219" s="1"/>
      <c r="L1219" s="1"/>
    </row>
    <row r="1220">
      <c r="A1220" s="266">
        <v>3900.0</v>
      </c>
      <c r="B1220" s="266"/>
      <c r="C1220" s="266">
        <v>10.0</v>
      </c>
      <c r="D1220" s="266" t="s">
        <v>7239</v>
      </c>
      <c r="E1220" s="266"/>
      <c r="F1220" s="266"/>
      <c r="G1220" s="266" t="s">
        <v>6304</v>
      </c>
      <c r="H1220" s="266" t="s">
        <v>3806</v>
      </c>
      <c r="I1220" s="266"/>
      <c r="J1220" s="266"/>
      <c r="K1220" s="1"/>
      <c r="L1220" s="1"/>
    </row>
    <row r="1221">
      <c r="A1221" s="266">
        <v>4000.0</v>
      </c>
      <c r="B1221" s="266"/>
      <c r="C1221" s="266">
        <v>10.0</v>
      </c>
      <c r="D1221" s="266" t="s">
        <v>5139</v>
      </c>
      <c r="E1221" s="266"/>
      <c r="F1221" s="266"/>
      <c r="G1221" s="266" t="s">
        <v>6304</v>
      </c>
      <c r="H1221" s="266" t="s">
        <v>551</v>
      </c>
      <c r="I1221" s="266"/>
      <c r="J1221" s="266"/>
      <c r="K1221" s="1"/>
      <c r="L1221" s="1"/>
    </row>
    <row r="1222">
      <c r="A1222" s="266">
        <v>4100.0</v>
      </c>
      <c r="B1222" s="266"/>
      <c r="C1222" s="266">
        <v>10.0</v>
      </c>
      <c r="D1222" s="266" t="s">
        <v>6838</v>
      </c>
      <c r="E1222" s="266"/>
      <c r="F1222" s="266"/>
      <c r="G1222" s="266" t="s">
        <v>6304</v>
      </c>
      <c r="H1222" s="266" t="s">
        <v>552</v>
      </c>
      <c r="I1222" s="266"/>
      <c r="J1222" s="266"/>
      <c r="K1222" s="1"/>
      <c r="L1222" s="1"/>
    </row>
    <row r="1223">
      <c r="A1223" s="266">
        <v>4200.0</v>
      </c>
      <c r="B1223" s="266"/>
      <c r="C1223" s="266">
        <v>10.0</v>
      </c>
      <c r="D1223" s="266" t="s">
        <v>7240</v>
      </c>
      <c r="E1223" s="266"/>
      <c r="F1223" s="266"/>
      <c r="G1223" s="266"/>
      <c r="H1223" s="266"/>
      <c r="I1223" s="266"/>
      <c r="J1223" s="267"/>
    </row>
    <row r="1224">
      <c r="A1224" s="266">
        <v>4300.0</v>
      </c>
      <c r="B1224" s="266"/>
      <c r="C1224" s="266">
        <v>15.0</v>
      </c>
      <c r="D1224" s="266" t="s">
        <v>586</v>
      </c>
      <c r="E1224" s="266"/>
      <c r="F1224" s="266"/>
      <c r="G1224" s="266" t="s">
        <v>6304</v>
      </c>
      <c r="H1224" s="266" t="s">
        <v>552</v>
      </c>
      <c r="I1224" s="266"/>
      <c r="J1224" s="266"/>
      <c r="K1224" s="1"/>
      <c r="L1224" s="1"/>
    </row>
    <row r="1225">
      <c r="A1225" s="266">
        <v>4400.0</v>
      </c>
      <c r="B1225" s="266"/>
      <c r="C1225" s="266">
        <v>15.0</v>
      </c>
      <c r="D1225" s="266" t="s">
        <v>585</v>
      </c>
      <c r="E1225" s="266"/>
      <c r="F1225" s="266"/>
      <c r="G1225" s="266" t="s">
        <v>6304</v>
      </c>
      <c r="H1225" s="266" t="s">
        <v>552</v>
      </c>
      <c r="I1225" s="266"/>
      <c r="J1225" s="266"/>
      <c r="K1225" s="1"/>
      <c r="L1225" s="1"/>
    </row>
    <row r="1226">
      <c r="A1226" s="266">
        <v>4500.0</v>
      </c>
      <c r="B1226" s="266"/>
      <c r="C1226" s="266">
        <v>15.0</v>
      </c>
      <c r="D1226" s="266" t="s">
        <v>587</v>
      </c>
      <c r="E1226" s="266"/>
      <c r="F1226" s="266"/>
      <c r="G1226" s="266" t="s">
        <v>6304</v>
      </c>
      <c r="H1226" s="266" t="s">
        <v>556</v>
      </c>
      <c r="I1226" s="266"/>
      <c r="J1226" s="266"/>
      <c r="K1226" s="1"/>
      <c r="L1226" s="1"/>
    </row>
    <row r="1227">
      <c r="A1227" s="266">
        <v>4600.0</v>
      </c>
      <c r="B1227" s="266"/>
      <c r="C1227" s="266">
        <v>10.0</v>
      </c>
      <c r="D1227" s="266" t="s">
        <v>7241</v>
      </c>
      <c r="E1227" s="266"/>
      <c r="F1227" s="266"/>
      <c r="G1227" s="266" t="s">
        <v>6304</v>
      </c>
      <c r="H1227" s="266" t="s">
        <v>561</v>
      </c>
      <c r="I1227" s="266"/>
      <c r="J1227" s="266"/>
      <c r="K1227" s="1"/>
      <c r="L1227" s="1"/>
    </row>
    <row r="1228">
      <c r="A1228" s="266">
        <v>4700.0</v>
      </c>
      <c r="B1228" s="266"/>
      <c r="C1228" s="266">
        <v>10.0</v>
      </c>
      <c r="D1228" s="266" t="s">
        <v>5160</v>
      </c>
      <c r="E1228" s="266"/>
      <c r="F1228" s="266"/>
      <c r="G1228" s="266" t="s">
        <v>6304</v>
      </c>
      <c r="H1228" s="266" t="s">
        <v>552</v>
      </c>
      <c r="I1228" s="266"/>
      <c r="J1228" s="266"/>
      <c r="K1228" s="1"/>
      <c r="L1228" s="1"/>
    </row>
    <row r="1229">
      <c r="A1229" s="266">
        <v>4800.0</v>
      </c>
      <c r="B1229" s="266"/>
      <c r="C1229" s="266">
        <v>10.0</v>
      </c>
      <c r="D1229" s="266" t="s">
        <v>7242</v>
      </c>
      <c r="E1229" s="266"/>
      <c r="F1229" s="266"/>
      <c r="G1229" s="266"/>
      <c r="H1229" s="266"/>
      <c r="I1229" s="266"/>
      <c r="J1229" s="267"/>
    </row>
    <row r="1230">
      <c r="A1230" s="266">
        <v>4900.0</v>
      </c>
      <c r="B1230" s="266"/>
      <c r="C1230" s="266">
        <v>15.0</v>
      </c>
      <c r="D1230" s="266" t="s">
        <v>7243</v>
      </c>
      <c r="E1230" s="266"/>
      <c r="F1230" s="266"/>
      <c r="G1230" s="266" t="s">
        <v>6304</v>
      </c>
      <c r="H1230" s="266" t="s">
        <v>5245</v>
      </c>
      <c r="I1230" s="266" t="s">
        <v>6305</v>
      </c>
      <c r="J1230" s="266"/>
      <c r="K1230" s="1"/>
      <c r="L1230" s="1"/>
    </row>
    <row r="1231">
      <c r="A1231" s="266">
        <v>5000.0</v>
      </c>
      <c r="B1231" s="266"/>
      <c r="C1231" s="266">
        <v>15.0</v>
      </c>
      <c r="D1231" s="266" t="s">
        <v>7244</v>
      </c>
      <c r="E1231" s="266"/>
      <c r="F1231" s="266"/>
      <c r="G1231" s="266" t="s">
        <v>6304</v>
      </c>
      <c r="H1231" s="266" t="s">
        <v>5245</v>
      </c>
      <c r="I1231" s="266" t="s">
        <v>6305</v>
      </c>
      <c r="J1231" s="266"/>
      <c r="K1231" s="1"/>
      <c r="L1231" s="1"/>
    </row>
    <row r="1232">
      <c r="A1232" s="266">
        <v>5100.0</v>
      </c>
      <c r="B1232" s="266"/>
      <c r="C1232" s="266">
        <v>15.0</v>
      </c>
      <c r="D1232" s="266" t="s">
        <v>7245</v>
      </c>
      <c r="E1232" s="266"/>
      <c r="F1232" s="266"/>
      <c r="G1232" s="266" t="s">
        <v>6304</v>
      </c>
      <c r="H1232" s="266" t="s">
        <v>5245</v>
      </c>
      <c r="I1232" s="266" t="s">
        <v>6305</v>
      </c>
      <c r="J1232" s="266"/>
      <c r="K1232" s="1"/>
      <c r="L1232" s="1"/>
    </row>
    <row r="1233">
      <c r="A1233" s="266">
        <v>5200.0</v>
      </c>
      <c r="B1233" s="266"/>
      <c r="C1233" s="266">
        <v>15.0</v>
      </c>
      <c r="D1233" s="266" t="s">
        <v>7246</v>
      </c>
      <c r="E1233" s="266"/>
      <c r="F1233" s="266"/>
      <c r="G1233" s="266" t="s">
        <v>6304</v>
      </c>
      <c r="H1233" s="266" t="s">
        <v>5245</v>
      </c>
      <c r="I1233" s="266" t="s">
        <v>6305</v>
      </c>
      <c r="J1233" s="266"/>
      <c r="K1233" s="1"/>
      <c r="L1233" s="1"/>
    </row>
    <row r="1234">
      <c r="A1234" s="266">
        <v>5300.0</v>
      </c>
      <c r="B1234" s="266"/>
      <c r="C1234" s="266">
        <v>15.0</v>
      </c>
      <c r="D1234" s="266" t="s">
        <v>7247</v>
      </c>
      <c r="E1234" s="266"/>
      <c r="F1234" s="266"/>
      <c r="G1234" s="266" t="s">
        <v>6304</v>
      </c>
      <c r="H1234" s="266" t="s">
        <v>5245</v>
      </c>
      <c r="I1234" s="266" t="s">
        <v>6305</v>
      </c>
      <c r="J1234" s="266"/>
      <c r="K1234" s="1"/>
      <c r="L1234" s="1"/>
    </row>
    <row r="1235">
      <c r="A1235" s="266">
        <v>5400.0</v>
      </c>
      <c r="B1235" s="266"/>
      <c r="C1235" s="266">
        <v>15.0</v>
      </c>
      <c r="D1235" s="266" t="s">
        <v>6996</v>
      </c>
      <c r="E1235" s="266"/>
      <c r="F1235" s="266"/>
      <c r="G1235" s="266" t="s">
        <v>6304</v>
      </c>
      <c r="H1235" s="266" t="s">
        <v>555</v>
      </c>
      <c r="I1235" s="266"/>
      <c r="J1235" s="266"/>
      <c r="K1235" s="1"/>
      <c r="L1235" s="1"/>
    </row>
    <row r="1236">
      <c r="A1236" s="266">
        <v>5500.0</v>
      </c>
      <c r="B1236" s="266"/>
      <c r="C1236" s="266">
        <v>15.0</v>
      </c>
      <c r="D1236" s="266" t="s">
        <v>3836</v>
      </c>
      <c r="E1236" s="266"/>
      <c r="F1236" s="266"/>
      <c r="G1236" s="266" t="s">
        <v>6304</v>
      </c>
      <c r="H1236" s="266" t="s">
        <v>555</v>
      </c>
      <c r="I1236" s="266"/>
      <c r="J1236" s="266"/>
      <c r="K1236" s="1"/>
      <c r="L1236" s="1"/>
    </row>
    <row r="1237">
      <c r="A1237" s="266">
        <v>5600.0</v>
      </c>
      <c r="B1237" s="266"/>
      <c r="C1237" s="266">
        <v>15.0</v>
      </c>
      <c r="D1237" s="266" t="s">
        <v>7248</v>
      </c>
      <c r="E1237" s="266"/>
      <c r="F1237" s="266"/>
      <c r="G1237" s="266" t="s">
        <v>6304</v>
      </c>
      <c r="H1237" s="266" t="s">
        <v>560</v>
      </c>
      <c r="I1237" s="266"/>
      <c r="J1237" s="266"/>
      <c r="K1237" s="1"/>
      <c r="L1237" s="1"/>
    </row>
    <row r="1238">
      <c r="A1238" s="266">
        <v>5700.0</v>
      </c>
      <c r="B1238" s="266"/>
      <c r="C1238" s="266">
        <v>15.0</v>
      </c>
      <c r="D1238" s="266" t="s">
        <v>7249</v>
      </c>
      <c r="E1238" s="266"/>
      <c r="F1238" s="266"/>
      <c r="G1238" s="266" t="s">
        <v>6304</v>
      </c>
      <c r="H1238" s="266" t="s">
        <v>560</v>
      </c>
      <c r="I1238" s="266"/>
      <c r="J1238" s="266"/>
      <c r="K1238" s="1"/>
      <c r="L1238" s="1"/>
    </row>
    <row r="1239">
      <c r="A1239" s="266">
        <v>5800.0</v>
      </c>
      <c r="B1239" s="266"/>
      <c r="C1239" s="266">
        <v>15.0</v>
      </c>
      <c r="D1239" s="266" t="s">
        <v>7250</v>
      </c>
      <c r="E1239" s="266"/>
      <c r="F1239" s="266"/>
      <c r="G1239" s="266" t="s">
        <v>6304</v>
      </c>
      <c r="H1239" s="266" t="s">
        <v>555</v>
      </c>
      <c r="I1239" s="266"/>
      <c r="J1239" s="266"/>
      <c r="K1239" s="1"/>
      <c r="L1239" s="1"/>
    </row>
    <row r="1240">
      <c r="A1240" s="266">
        <v>5900.0</v>
      </c>
      <c r="B1240" s="266"/>
      <c r="C1240" s="266">
        <v>15.0</v>
      </c>
      <c r="D1240" s="266" t="s">
        <v>7251</v>
      </c>
      <c r="E1240" s="266"/>
      <c r="F1240" s="266"/>
      <c r="G1240" s="266" t="s">
        <v>6304</v>
      </c>
      <c r="H1240" s="266" t="s">
        <v>7252</v>
      </c>
      <c r="I1240" s="266" t="s">
        <v>6305</v>
      </c>
      <c r="J1240" s="266"/>
      <c r="K1240" s="1"/>
      <c r="L1240" s="1"/>
    </row>
    <row r="1241">
      <c r="A1241" s="266">
        <v>6000.0</v>
      </c>
      <c r="B1241" s="266"/>
      <c r="C1241" s="266">
        <v>15.0</v>
      </c>
      <c r="D1241" s="266" t="s">
        <v>7253</v>
      </c>
      <c r="E1241" s="266"/>
      <c r="F1241" s="266"/>
      <c r="G1241" s="266" t="s">
        <v>6304</v>
      </c>
      <c r="H1241" s="266" t="s">
        <v>7252</v>
      </c>
      <c r="I1241" s="266" t="s">
        <v>6305</v>
      </c>
      <c r="J1241" s="266"/>
      <c r="K1241" s="1"/>
      <c r="L1241" s="1"/>
    </row>
    <row r="1242">
      <c r="A1242" s="266">
        <v>6100.0</v>
      </c>
      <c r="B1242" s="266"/>
      <c r="C1242" s="266">
        <v>15.0</v>
      </c>
      <c r="D1242" s="266" t="s">
        <v>7254</v>
      </c>
      <c r="E1242" s="266"/>
      <c r="F1242" s="266"/>
      <c r="G1242" s="266" t="s">
        <v>6304</v>
      </c>
      <c r="H1242" s="266" t="s">
        <v>561</v>
      </c>
      <c r="I1242" s="266"/>
      <c r="J1242" s="266"/>
      <c r="K1242" s="1"/>
      <c r="L1242" s="1"/>
    </row>
    <row r="1243">
      <c r="A1243" s="266">
        <v>6200.0</v>
      </c>
      <c r="B1243" s="266"/>
      <c r="C1243" s="266">
        <v>15.0</v>
      </c>
      <c r="D1243" s="266" t="s">
        <v>7255</v>
      </c>
      <c r="E1243" s="266"/>
      <c r="F1243" s="266"/>
      <c r="G1243" s="266" t="s">
        <v>6304</v>
      </c>
      <c r="H1243" s="266" t="s">
        <v>7256</v>
      </c>
      <c r="I1243" s="266" t="s">
        <v>6305</v>
      </c>
      <c r="J1243" s="266"/>
      <c r="K1243" s="1"/>
      <c r="L1243" s="1"/>
    </row>
    <row r="1244">
      <c r="A1244" s="266">
        <v>6300.0</v>
      </c>
      <c r="B1244" s="266"/>
      <c r="C1244" s="266">
        <v>15.0</v>
      </c>
      <c r="D1244" s="266" t="s">
        <v>7257</v>
      </c>
      <c r="E1244" s="266"/>
      <c r="F1244" s="266"/>
      <c r="G1244" s="266" t="s">
        <v>6304</v>
      </c>
      <c r="H1244" s="266" t="s">
        <v>7258</v>
      </c>
      <c r="I1244" s="266" t="s">
        <v>6305</v>
      </c>
      <c r="J1244" s="266"/>
      <c r="K1244" s="1"/>
      <c r="L1244" s="1"/>
    </row>
    <row r="1245">
      <c r="A1245" s="266">
        <v>6400.0</v>
      </c>
      <c r="B1245" s="266"/>
      <c r="C1245" s="266">
        <v>15.0</v>
      </c>
      <c r="D1245" s="266" t="s">
        <v>7259</v>
      </c>
      <c r="E1245" s="266"/>
      <c r="F1245" s="266"/>
      <c r="G1245" s="266" t="s">
        <v>6304</v>
      </c>
      <c r="H1245" s="266" t="s">
        <v>561</v>
      </c>
      <c r="I1245" s="266"/>
      <c r="J1245" s="266"/>
      <c r="K1245" s="1"/>
      <c r="L1245" s="1"/>
    </row>
    <row r="1246">
      <c r="A1246" s="266">
        <v>6500.0</v>
      </c>
      <c r="B1246" s="266"/>
      <c r="C1246" s="266">
        <v>15.0</v>
      </c>
      <c r="D1246" s="266" t="s">
        <v>7260</v>
      </c>
      <c r="E1246" s="266"/>
      <c r="F1246" s="266"/>
      <c r="G1246" s="266" t="s">
        <v>6304</v>
      </c>
      <c r="H1246" s="266" t="s">
        <v>561</v>
      </c>
      <c r="I1246" s="266"/>
      <c r="J1246" s="266"/>
      <c r="K1246" s="1"/>
      <c r="L1246" s="1"/>
    </row>
    <row r="1247">
      <c r="A1247" s="266">
        <v>6600.0</v>
      </c>
      <c r="B1247" s="266"/>
      <c r="C1247" s="266">
        <v>15.0</v>
      </c>
      <c r="D1247" s="266" t="s">
        <v>7261</v>
      </c>
      <c r="E1247" s="266"/>
      <c r="F1247" s="266"/>
      <c r="G1247" s="266" t="s">
        <v>6304</v>
      </c>
      <c r="H1247" s="266" t="s">
        <v>561</v>
      </c>
      <c r="I1247" s="266"/>
      <c r="J1247" s="266"/>
      <c r="K1247" s="1"/>
      <c r="L1247" s="1"/>
    </row>
    <row r="1248">
      <c r="A1248" s="266">
        <v>6700.0</v>
      </c>
      <c r="B1248" s="266"/>
      <c r="C1248" s="266">
        <v>15.0</v>
      </c>
      <c r="D1248" s="266" t="s">
        <v>7262</v>
      </c>
      <c r="E1248" s="266"/>
      <c r="F1248" s="266"/>
      <c r="G1248" s="266" t="s">
        <v>6304</v>
      </c>
      <c r="H1248" s="266" t="s">
        <v>5243</v>
      </c>
      <c r="I1248" s="266"/>
      <c r="J1248" s="266"/>
      <c r="K1248" s="1"/>
      <c r="L1248" s="1"/>
    </row>
    <row r="1249">
      <c r="A1249" s="266">
        <v>6800.0</v>
      </c>
      <c r="B1249" s="266"/>
      <c r="C1249" s="266">
        <v>15.0</v>
      </c>
      <c r="D1249" s="266" t="s">
        <v>7263</v>
      </c>
      <c r="E1249" s="266"/>
      <c r="F1249" s="266"/>
      <c r="G1249" s="266" t="s">
        <v>6304</v>
      </c>
      <c r="H1249" s="266">
        <v>99.0</v>
      </c>
      <c r="I1249" s="266"/>
      <c r="J1249" s="266"/>
      <c r="K1249" s="1"/>
      <c r="L1249" s="1"/>
    </row>
    <row r="1250">
      <c r="A1250" s="266">
        <v>6900.0</v>
      </c>
      <c r="B1250" s="266"/>
      <c r="C1250" s="266">
        <v>15.0</v>
      </c>
      <c r="D1250" s="266" t="s">
        <v>7264</v>
      </c>
      <c r="E1250" s="266"/>
      <c r="F1250" s="266"/>
      <c r="G1250" s="266" t="s">
        <v>6304</v>
      </c>
      <c r="H1250" s="266" t="s">
        <v>5243</v>
      </c>
      <c r="I1250" s="266"/>
      <c r="J1250" s="266"/>
      <c r="K1250" s="1"/>
      <c r="L1250" s="1"/>
    </row>
    <row r="1251">
      <c r="A1251" s="266">
        <v>7000.0</v>
      </c>
      <c r="B1251" s="266"/>
      <c r="C1251" s="266">
        <v>15.0</v>
      </c>
      <c r="D1251" s="266" t="s">
        <v>7265</v>
      </c>
      <c r="E1251" s="266"/>
      <c r="F1251" s="266"/>
      <c r="G1251" s="266" t="s">
        <v>6304</v>
      </c>
      <c r="H1251" s="266" t="s">
        <v>3806</v>
      </c>
      <c r="I1251" s="266"/>
      <c r="J1251" s="266"/>
      <c r="K1251" s="1"/>
      <c r="L1251" s="1"/>
    </row>
    <row r="1252">
      <c r="A1252" s="266">
        <v>7100.0</v>
      </c>
      <c r="B1252" s="266"/>
      <c r="C1252" s="266">
        <v>15.0</v>
      </c>
      <c r="D1252" s="266" t="s">
        <v>7266</v>
      </c>
      <c r="E1252" s="266"/>
      <c r="F1252" s="266"/>
      <c r="G1252" s="266" t="s">
        <v>6304</v>
      </c>
      <c r="H1252" s="266" t="s">
        <v>3806</v>
      </c>
      <c r="I1252" s="266"/>
      <c r="J1252" s="266"/>
      <c r="K1252" s="1"/>
      <c r="L1252" s="1"/>
    </row>
    <row r="1253">
      <c r="A1253" s="266">
        <v>7200.0</v>
      </c>
      <c r="B1253" s="266"/>
      <c r="C1253" s="266">
        <v>15.0</v>
      </c>
      <c r="D1253" s="266" t="s">
        <v>7267</v>
      </c>
      <c r="E1253" s="266"/>
      <c r="F1253" s="266"/>
      <c r="G1253" s="266" t="s">
        <v>6304</v>
      </c>
      <c r="H1253" s="266" t="s">
        <v>561</v>
      </c>
      <c r="I1253" s="266"/>
      <c r="J1253" s="266"/>
      <c r="K1253" s="1"/>
      <c r="L1253" s="1"/>
    </row>
    <row r="1254">
      <c r="A1254" s="266">
        <v>7300.0</v>
      </c>
      <c r="B1254" s="266"/>
      <c r="C1254" s="266">
        <v>15.0</v>
      </c>
      <c r="D1254" s="266" t="s">
        <v>7268</v>
      </c>
      <c r="E1254" s="266"/>
      <c r="F1254" s="266"/>
      <c r="G1254" s="266" t="s">
        <v>6304</v>
      </c>
      <c r="H1254" s="266" t="s">
        <v>561</v>
      </c>
      <c r="I1254" s="266"/>
      <c r="J1254" s="266"/>
      <c r="K1254" s="1"/>
      <c r="L1254" s="1"/>
    </row>
    <row r="1255">
      <c r="A1255" s="266">
        <v>7400.0</v>
      </c>
      <c r="B1255" s="266"/>
      <c r="C1255" s="266">
        <v>15.0</v>
      </c>
      <c r="D1255" s="266" t="s">
        <v>7269</v>
      </c>
      <c r="E1255" s="266" t="s">
        <v>6479</v>
      </c>
      <c r="F1255" s="266">
        <v>3.0</v>
      </c>
      <c r="G1255" s="266" t="s">
        <v>6304</v>
      </c>
      <c r="H1255" s="266" t="s">
        <v>561</v>
      </c>
      <c r="I1255" s="266"/>
      <c r="J1255" s="267"/>
    </row>
    <row r="1256">
      <c r="A1256" s="266">
        <v>7500.0</v>
      </c>
      <c r="B1256" s="266"/>
      <c r="C1256" s="266">
        <v>15.0</v>
      </c>
      <c r="D1256" s="266" t="s">
        <v>7270</v>
      </c>
      <c r="E1256" s="266"/>
      <c r="F1256" s="266"/>
      <c r="G1256" s="266" t="s">
        <v>6304</v>
      </c>
      <c r="H1256" s="266" t="s">
        <v>561</v>
      </c>
      <c r="I1256" s="266"/>
      <c r="J1256" s="266"/>
      <c r="K1256" s="1"/>
      <c r="L1256" s="1"/>
    </row>
    <row r="1257">
      <c r="A1257" s="266">
        <v>7600.0</v>
      </c>
      <c r="B1257" s="266"/>
      <c r="C1257" s="266">
        <v>15.0</v>
      </c>
      <c r="D1257" s="266" t="s">
        <v>7271</v>
      </c>
      <c r="E1257" s="266"/>
      <c r="F1257" s="266"/>
      <c r="G1257" s="266" t="s">
        <v>6304</v>
      </c>
      <c r="H1257" s="266" t="s">
        <v>561</v>
      </c>
      <c r="I1257" s="266"/>
      <c r="J1257" s="266"/>
      <c r="K1257" s="1"/>
      <c r="L1257" s="1"/>
    </row>
    <row r="1258">
      <c r="A1258" s="266">
        <v>7700.0</v>
      </c>
      <c r="B1258" s="266"/>
      <c r="C1258" s="266">
        <v>15.0</v>
      </c>
      <c r="D1258" s="266" t="s">
        <v>7272</v>
      </c>
      <c r="E1258" s="266"/>
      <c r="F1258" s="266"/>
      <c r="G1258" s="266" t="s">
        <v>6304</v>
      </c>
      <c r="H1258" s="266" t="s">
        <v>6731</v>
      </c>
      <c r="I1258" s="266" t="s">
        <v>6305</v>
      </c>
      <c r="J1258" s="266"/>
      <c r="K1258" s="1"/>
      <c r="L1258" s="1"/>
    </row>
    <row r="1259">
      <c r="A1259" s="266">
        <v>7800.0</v>
      </c>
      <c r="B1259" s="266"/>
      <c r="C1259" s="266">
        <v>15.0</v>
      </c>
      <c r="D1259" s="266" t="s">
        <v>7273</v>
      </c>
      <c r="E1259" s="266"/>
      <c r="F1259" s="266"/>
      <c r="G1259" s="266" t="s">
        <v>6304</v>
      </c>
      <c r="H1259" s="266" t="s">
        <v>6731</v>
      </c>
      <c r="I1259" s="266" t="s">
        <v>6305</v>
      </c>
      <c r="J1259" s="266"/>
      <c r="K1259" s="1"/>
      <c r="L1259" s="1"/>
    </row>
    <row r="1260">
      <c r="A1260" s="266">
        <v>7900.0</v>
      </c>
      <c r="B1260" s="266"/>
      <c r="C1260" s="266">
        <v>15.0</v>
      </c>
      <c r="D1260" s="266" t="s">
        <v>7274</v>
      </c>
      <c r="E1260" s="266"/>
      <c r="F1260" s="266"/>
      <c r="G1260" s="266" t="s">
        <v>6304</v>
      </c>
      <c r="H1260" s="266" t="s">
        <v>7252</v>
      </c>
      <c r="I1260" s="266" t="s">
        <v>6305</v>
      </c>
      <c r="J1260" s="266"/>
      <c r="K1260" s="1"/>
      <c r="L1260" s="1"/>
    </row>
    <row r="1261">
      <c r="A1261" s="266">
        <v>8000.0</v>
      </c>
      <c r="B1261" s="266"/>
      <c r="C1261" s="266">
        <v>15.0</v>
      </c>
      <c r="D1261" s="266" t="s">
        <v>7275</v>
      </c>
      <c r="E1261" s="266"/>
      <c r="F1261" s="266"/>
      <c r="G1261" s="266" t="s">
        <v>6304</v>
      </c>
      <c r="H1261" s="266" t="s">
        <v>555</v>
      </c>
      <c r="I1261" s="266"/>
      <c r="J1261" s="266"/>
      <c r="K1261" s="1"/>
      <c r="L1261" s="1"/>
    </row>
    <row r="1262">
      <c r="A1262" s="266">
        <v>8100.0</v>
      </c>
      <c r="B1262" s="266"/>
      <c r="C1262" s="266">
        <v>15.0</v>
      </c>
      <c r="D1262" s="266" t="s">
        <v>7276</v>
      </c>
      <c r="E1262" s="266"/>
      <c r="F1262" s="266"/>
      <c r="G1262" s="266" t="s">
        <v>6304</v>
      </c>
      <c r="H1262" s="266">
        <v>9.0</v>
      </c>
      <c r="I1262" s="266"/>
      <c r="J1262" s="266"/>
      <c r="K1262" s="1"/>
      <c r="L1262" s="1"/>
    </row>
    <row r="1263">
      <c r="A1263" s="266">
        <v>8200.0</v>
      </c>
      <c r="B1263" s="266"/>
      <c r="C1263" s="266">
        <v>15.0</v>
      </c>
      <c r="D1263" s="266" t="s">
        <v>7277</v>
      </c>
      <c r="E1263" s="266"/>
      <c r="F1263" s="266"/>
      <c r="G1263" s="266" t="s">
        <v>6304</v>
      </c>
      <c r="H1263" s="266" t="s">
        <v>5245</v>
      </c>
      <c r="I1263" s="266" t="s">
        <v>6305</v>
      </c>
      <c r="J1263" s="266"/>
      <c r="K1263" s="1"/>
      <c r="L1263" s="1"/>
    </row>
    <row r="1264">
      <c r="A1264" s="266">
        <v>8300.0</v>
      </c>
      <c r="B1264" s="266"/>
      <c r="C1264" s="266">
        <v>15.0</v>
      </c>
      <c r="D1264" s="266" t="s">
        <v>7278</v>
      </c>
      <c r="E1264" s="266"/>
      <c r="F1264" s="266"/>
      <c r="G1264" s="266" t="s">
        <v>6304</v>
      </c>
      <c r="H1264" s="266" t="s">
        <v>5245</v>
      </c>
      <c r="I1264" s="266" t="s">
        <v>6305</v>
      </c>
      <c r="J1264" s="266"/>
      <c r="K1264" s="1"/>
      <c r="L1264" s="1"/>
    </row>
    <row r="1265">
      <c r="A1265" s="266">
        <v>8400.0</v>
      </c>
      <c r="B1265" s="266"/>
      <c r="C1265" s="266">
        <v>15.0</v>
      </c>
      <c r="D1265" s="266" t="s">
        <v>7279</v>
      </c>
      <c r="E1265" s="266"/>
      <c r="F1265" s="266"/>
      <c r="G1265" s="266" t="s">
        <v>6304</v>
      </c>
      <c r="H1265" s="266" t="s">
        <v>555</v>
      </c>
      <c r="I1265" s="266"/>
      <c r="J1265" s="266"/>
      <c r="K1265" s="1"/>
      <c r="L1265" s="1"/>
    </row>
    <row r="1266">
      <c r="A1266" s="266">
        <v>8500.0</v>
      </c>
      <c r="B1266" s="266"/>
      <c r="C1266" s="266">
        <v>15.0</v>
      </c>
      <c r="D1266" s="266" t="s">
        <v>3839</v>
      </c>
      <c r="E1266" s="266"/>
      <c r="F1266" s="266"/>
      <c r="G1266" s="266" t="s">
        <v>6304</v>
      </c>
      <c r="H1266" s="266" t="s">
        <v>555</v>
      </c>
      <c r="I1266" s="266"/>
      <c r="J1266" s="266"/>
      <c r="K1266" s="1"/>
      <c r="L1266" s="1"/>
    </row>
    <row r="1267">
      <c r="A1267" s="266">
        <v>8600.0</v>
      </c>
      <c r="B1267" s="266"/>
      <c r="C1267" s="266">
        <v>15.0</v>
      </c>
      <c r="D1267" s="266" t="s">
        <v>7280</v>
      </c>
      <c r="E1267" s="266"/>
      <c r="F1267" s="266"/>
      <c r="G1267" s="266" t="s">
        <v>6304</v>
      </c>
      <c r="H1267" s="266" t="s">
        <v>555</v>
      </c>
      <c r="I1267" s="266"/>
      <c r="J1267" s="266"/>
      <c r="K1267" s="1"/>
      <c r="L1267" s="1"/>
    </row>
    <row r="1268">
      <c r="A1268" s="266">
        <v>8700.0</v>
      </c>
      <c r="B1268" s="266"/>
      <c r="C1268" s="266">
        <v>15.0</v>
      </c>
      <c r="D1268" s="266" t="s">
        <v>7281</v>
      </c>
      <c r="E1268" s="266"/>
      <c r="F1268" s="266"/>
      <c r="G1268" s="266"/>
      <c r="H1268" s="266"/>
      <c r="I1268" s="266"/>
      <c r="J1268" s="267"/>
    </row>
    <row r="1269">
      <c r="A1269" s="266">
        <v>8800.0</v>
      </c>
      <c r="B1269" s="266"/>
      <c r="C1269" s="266">
        <v>20.0</v>
      </c>
      <c r="D1269" s="266" t="s">
        <v>7282</v>
      </c>
      <c r="E1269" s="266"/>
      <c r="F1269" s="266"/>
      <c r="G1269" s="266" t="s">
        <v>6304</v>
      </c>
      <c r="H1269" s="266" t="s">
        <v>551</v>
      </c>
      <c r="I1269" s="266"/>
      <c r="J1269" s="266"/>
      <c r="K1269" s="1"/>
      <c r="L1269" s="1"/>
    </row>
    <row r="1270">
      <c r="A1270" s="266">
        <v>8900.0</v>
      </c>
      <c r="B1270" s="266"/>
      <c r="C1270" s="266">
        <v>20.0</v>
      </c>
      <c r="D1270" s="266" t="s">
        <v>7283</v>
      </c>
      <c r="E1270" s="266"/>
      <c r="F1270" s="266"/>
      <c r="G1270" s="266" t="s">
        <v>6304</v>
      </c>
      <c r="H1270" s="266" t="s">
        <v>556</v>
      </c>
      <c r="I1270" s="266"/>
      <c r="J1270" s="266"/>
      <c r="K1270" s="1"/>
      <c r="L1270" s="1"/>
    </row>
    <row r="1271">
      <c r="A1271" s="266">
        <v>9000.0</v>
      </c>
      <c r="B1271" s="266"/>
      <c r="C1271" s="266">
        <v>20.0</v>
      </c>
      <c r="D1271" s="266" t="s">
        <v>7284</v>
      </c>
      <c r="E1271" s="266"/>
      <c r="F1271" s="266"/>
      <c r="G1271" s="266" t="s">
        <v>6304</v>
      </c>
      <c r="H1271" s="266" t="s">
        <v>5243</v>
      </c>
      <c r="I1271" s="266"/>
      <c r="J1271" s="266"/>
      <c r="K1271" s="1"/>
      <c r="L1271" s="1"/>
    </row>
    <row r="1272">
      <c r="A1272" s="266">
        <v>9100.0</v>
      </c>
      <c r="B1272" s="266"/>
      <c r="C1272" s="266">
        <v>15.0</v>
      </c>
      <c r="D1272" s="266" t="s">
        <v>7285</v>
      </c>
      <c r="E1272" s="266"/>
      <c r="F1272" s="266"/>
      <c r="G1272" s="266" t="s">
        <v>6304</v>
      </c>
      <c r="H1272" s="266" t="s">
        <v>552</v>
      </c>
      <c r="I1272" s="266"/>
      <c r="J1272" s="266"/>
      <c r="K1272" s="1"/>
      <c r="L1272" s="1"/>
    </row>
    <row r="1273">
      <c r="A1273" s="266">
        <v>9200.0</v>
      </c>
      <c r="B1273" s="266"/>
      <c r="C1273" s="266">
        <v>15.0</v>
      </c>
      <c r="D1273" s="266" t="s">
        <v>7286</v>
      </c>
      <c r="E1273" s="266"/>
      <c r="F1273" s="266"/>
      <c r="G1273" s="266" t="s">
        <v>6304</v>
      </c>
      <c r="H1273" s="266">
        <v>9.0</v>
      </c>
      <c r="I1273" s="266"/>
      <c r="J1273" s="266"/>
      <c r="K1273" s="1"/>
      <c r="L1273" s="1"/>
    </row>
    <row r="1274">
      <c r="A1274" s="266">
        <v>9300.0</v>
      </c>
      <c r="B1274" s="266"/>
      <c r="C1274" s="266">
        <v>15.0</v>
      </c>
      <c r="D1274" s="266" t="s">
        <v>7287</v>
      </c>
      <c r="E1274" s="266"/>
      <c r="F1274" s="266"/>
      <c r="G1274" s="266" t="s">
        <v>6304</v>
      </c>
      <c r="H1274" s="266" t="s">
        <v>5245</v>
      </c>
      <c r="I1274" s="266" t="s">
        <v>6305</v>
      </c>
      <c r="J1274" s="266"/>
      <c r="K1274" s="1"/>
      <c r="L1274" s="1"/>
    </row>
    <row r="1275">
      <c r="A1275" s="266">
        <v>9400.0</v>
      </c>
      <c r="B1275" s="266"/>
      <c r="C1275" s="266">
        <v>15.0</v>
      </c>
      <c r="D1275" s="266" t="s">
        <v>7288</v>
      </c>
      <c r="E1275" s="266"/>
      <c r="F1275" s="266"/>
      <c r="G1275" s="266" t="s">
        <v>6304</v>
      </c>
      <c r="H1275" s="266" t="s">
        <v>555</v>
      </c>
      <c r="I1275" s="266"/>
      <c r="J1275" s="266"/>
      <c r="K1275" s="1"/>
      <c r="L1275" s="1"/>
    </row>
    <row r="1276">
      <c r="A1276" s="266">
        <v>9500.0</v>
      </c>
      <c r="B1276" s="266"/>
      <c r="C1276" s="266">
        <v>15.0</v>
      </c>
      <c r="D1276" s="266" t="s">
        <v>7289</v>
      </c>
      <c r="E1276" s="266"/>
      <c r="F1276" s="266"/>
      <c r="G1276" s="266" t="s">
        <v>6304</v>
      </c>
      <c r="H1276" s="266" t="s">
        <v>555</v>
      </c>
      <c r="I1276" s="266"/>
      <c r="J1276" s="266"/>
      <c r="K1276" s="1"/>
      <c r="L1276" s="1"/>
    </row>
    <row r="1277">
      <c r="A1277" s="266">
        <v>9600.0</v>
      </c>
      <c r="B1277" s="266"/>
      <c r="C1277" s="266">
        <v>15.0</v>
      </c>
      <c r="D1277" s="266" t="s">
        <v>7290</v>
      </c>
      <c r="E1277" s="266"/>
      <c r="F1277" s="266"/>
      <c r="G1277" s="266" t="s">
        <v>6304</v>
      </c>
      <c r="H1277" s="266" t="s">
        <v>3806</v>
      </c>
      <c r="I1277" s="266"/>
      <c r="J1277" s="266"/>
      <c r="K1277" s="1"/>
      <c r="L1277" s="1"/>
    </row>
    <row r="1278">
      <c r="A1278" s="266">
        <v>9700.0</v>
      </c>
      <c r="B1278" s="266"/>
      <c r="C1278" s="266">
        <v>15.0</v>
      </c>
      <c r="D1278" s="266" t="s">
        <v>7291</v>
      </c>
      <c r="E1278" s="266"/>
      <c r="F1278" s="266"/>
      <c r="G1278" s="266" t="s">
        <v>6304</v>
      </c>
      <c r="H1278" s="266" t="s">
        <v>552</v>
      </c>
      <c r="I1278" s="266"/>
      <c r="J1278" s="266"/>
      <c r="K1278" s="1"/>
      <c r="L1278" s="1"/>
    </row>
    <row r="1279">
      <c r="A1279" s="266">
        <v>9800.0</v>
      </c>
      <c r="B1279" s="266"/>
      <c r="C1279" s="266">
        <v>10.0</v>
      </c>
      <c r="D1279" s="266" t="s">
        <v>7292</v>
      </c>
      <c r="E1279" s="266" t="s">
        <v>6479</v>
      </c>
      <c r="F1279" s="266">
        <v>3.0</v>
      </c>
      <c r="G1279" s="266"/>
      <c r="H1279" s="266"/>
      <c r="I1279" s="266"/>
      <c r="J1279" s="267"/>
    </row>
    <row r="1280">
      <c r="A1280" s="266">
        <v>9900.0</v>
      </c>
      <c r="B1280" s="266"/>
      <c r="C1280" s="266">
        <v>15.0</v>
      </c>
      <c r="D1280" s="266" t="s">
        <v>7293</v>
      </c>
      <c r="E1280" s="266"/>
      <c r="F1280" s="266"/>
      <c r="G1280" s="266" t="s">
        <v>6304</v>
      </c>
      <c r="H1280" s="266" t="s">
        <v>561</v>
      </c>
      <c r="I1280" s="266"/>
      <c r="J1280" s="266"/>
      <c r="K1280" s="1"/>
      <c r="L1280" s="1"/>
    </row>
    <row r="1281">
      <c r="A1281" s="266">
        <v>10000.0</v>
      </c>
      <c r="B1281" s="266"/>
      <c r="C1281" s="266">
        <v>15.0</v>
      </c>
      <c r="D1281" s="266" t="s">
        <v>7294</v>
      </c>
      <c r="E1281" s="266"/>
      <c r="F1281" s="266"/>
      <c r="G1281" s="266" t="s">
        <v>6304</v>
      </c>
      <c r="H1281" s="266" t="s">
        <v>555</v>
      </c>
      <c r="I1281" s="266"/>
      <c r="J1281" s="266"/>
      <c r="K1281" s="1"/>
      <c r="L1281" s="1"/>
    </row>
    <row r="1282">
      <c r="A1282" s="266">
        <v>10100.0</v>
      </c>
      <c r="B1282" s="266"/>
      <c r="C1282" s="266">
        <v>15.0</v>
      </c>
      <c r="D1282" s="266" t="s">
        <v>7295</v>
      </c>
      <c r="E1282" s="266"/>
      <c r="F1282" s="266"/>
      <c r="G1282" s="266" t="s">
        <v>6304</v>
      </c>
      <c r="H1282" s="266" t="s">
        <v>555</v>
      </c>
      <c r="I1282" s="266"/>
      <c r="J1282" s="266"/>
      <c r="K1282" s="1"/>
      <c r="L1282" s="1"/>
    </row>
    <row r="1283">
      <c r="A1283" s="266">
        <v>10200.0</v>
      </c>
      <c r="B1283" s="266"/>
      <c r="C1283" s="266">
        <v>15.0</v>
      </c>
      <c r="D1283" s="266" t="s">
        <v>7296</v>
      </c>
      <c r="E1283" s="266"/>
      <c r="F1283" s="266"/>
      <c r="G1283" s="266" t="s">
        <v>6304</v>
      </c>
      <c r="H1283" s="266" t="s">
        <v>555</v>
      </c>
      <c r="I1283" s="266"/>
      <c r="J1283" s="266"/>
      <c r="K1283" s="1"/>
      <c r="L1283" s="1"/>
    </row>
    <row r="1284">
      <c r="A1284" s="266">
        <v>10300.0</v>
      </c>
      <c r="B1284" s="266"/>
      <c r="C1284" s="266">
        <v>15.0</v>
      </c>
      <c r="D1284" s="266" t="s">
        <v>7297</v>
      </c>
      <c r="E1284" s="266"/>
      <c r="F1284" s="266"/>
      <c r="G1284" s="266" t="s">
        <v>6304</v>
      </c>
      <c r="H1284" s="266" t="s">
        <v>5245</v>
      </c>
      <c r="I1284" s="266" t="s">
        <v>6305</v>
      </c>
      <c r="J1284" s="266"/>
      <c r="K1284" s="1"/>
      <c r="L1284" s="1"/>
    </row>
    <row r="1285">
      <c r="A1285" s="266">
        <v>10400.0</v>
      </c>
      <c r="B1285" s="266"/>
      <c r="C1285" s="266">
        <v>15.0</v>
      </c>
      <c r="D1285" s="266" t="s">
        <v>7298</v>
      </c>
      <c r="E1285" s="266"/>
      <c r="F1285" s="266"/>
      <c r="G1285" s="266" t="s">
        <v>6304</v>
      </c>
      <c r="H1285" s="266" t="s">
        <v>5245</v>
      </c>
      <c r="I1285" s="266" t="s">
        <v>6305</v>
      </c>
      <c r="J1285" s="266"/>
      <c r="K1285" s="1"/>
      <c r="L1285" s="1"/>
    </row>
    <row r="1286">
      <c r="A1286" s="266">
        <v>10500.0</v>
      </c>
      <c r="B1286" s="266"/>
      <c r="C1286" s="266">
        <v>15.0</v>
      </c>
      <c r="D1286" s="266" t="s">
        <v>7299</v>
      </c>
      <c r="E1286" s="266"/>
      <c r="F1286" s="266"/>
      <c r="G1286" s="266" t="s">
        <v>6304</v>
      </c>
      <c r="H1286" s="266" t="s">
        <v>5245</v>
      </c>
      <c r="I1286" s="266" t="s">
        <v>6305</v>
      </c>
      <c r="J1286" s="266"/>
      <c r="K1286" s="1"/>
      <c r="L1286" s="1"/>
    </row>
    <row r="1287">
      <c r="A1287" s="266">
        <v>10600.0</v>
      </c>
      <c r="B1287" s="266"/>
      <c r="C1287" s="266">
        <v>15.0</v>
      </c>
      <c r="D1287" s="266" t="s">
        <v>7300</v>
      </c>
      <c r="E1287" s="266"/>
      <c r="F1287" s="266"/>
      <c r="G1287" s="266" t="s">
        <v>6304</v>
      </c>
      <c r="H1287" s="266" t="s">
        <v>5245</v>
      </c>
      <c r="I1287" s="266" t="s">
        <v>6305</v>
      </c>
      <c r="J1287" s="266"/>
      <c r="K1287" s="1"/>
      <c r="L1287" s="1"/>
    </row>
    <row r="1288">
      <c r="A1288" s="266">
        <v>10700.0</v>
      </c>
      <c r="B1288" s="266"/>
      <c r="C1288" s="266">
        <v>15.0</v>
      </c>
      <c r="D1288" s="266" t="s">
        <v>7301</v>
      </c>
      <c r="E1288" s="266"/>
      <c r="F1288" s="266"/>
      <c r="G1288" s="266" t="s">
        <v>6304</v>
      </c>
      <c r="H1288" s="266" t="s">
        <v>6731</v>
      </c>
      <c r="I1288" s="266" t="s">
        <v>6305</v>
      </c>
      <c r="J1288" s="266"/>
      <c r="K1288" s="1"/>
      <c r="L1288" s="1"/>
    </row>
    <row r="1289">
      <c r="A1289" s="266">
        <v>10800.0</v>
      </c>
      <c r="B1289" s="266"/>
      <c r="C1289" s="266">
        <v>15.0</v>
      </c>
      <c r="D1289" s="266" t="s">
        <v>7302</v>
      </c>
      <c r="E1289" s="266"/>
      <c r="F1289" s="266"/>
      <c r="G1289" s="266" t="s">
        <v>6304</v>
      </c>
      <c r="H1289" s="266" t="s">
        <v>5245</v>
      </c>
      <c r="I1289" s="266" t="s">
        <v>6305</v>
      </c>
      <c r="J1289" s="266"/>
      <c r="K1289" s="1"/>
      <c r="L1289" s="1"/>
    </row>
    <row r="1290">
      <c r="A1290" s="266">
        <v>10900.0</v>
      </c>
      <c r="B1290" s="266"/>
      <c r="C1290" s="266">
        <v>15.0</v>
      </c>
      <c r="D1290" s="266" t="s">
        <v>7303</v>
      </c>
      <c r="E1290" s="266"/>
      <c r="F1290" s="266"/>
      <c r="G1290" s="266" t="s">
        <v>6304</v>
      </c>
      <c r="H1290" s="266" t="s">
        <v>6731</v>
      </c>
      <c r="I1290" s="266" t="s">
        <v>6305</v>
      </c>
      <c r="J1290" s="266"/>
      <c r="K1290" s="1"/>
      <c r="L1290" s="1"/>
    </row>
    <row r="1291">
      <c r="A1291" s="266">
        <v>11000.0</v>
      </c>
      <c r="B1291" s="266"/>
      <c r="C1291" s="266">
        <v>15.0</v>
      </c>
      <c r="D1291" s="266" t="s">
        <v>7304</v>
      </c>
      <c r="E1291" s="266"/>
      <c r="F1291" s="266"/>
      <c r="G1291" s="266" t="s">
        <v>6304</v>
      </c>
      <c r="H1291" s="266" t="s">
        <v>555</v>
      </c>
      <c r="I1291" s="266"/>
      <c r="J1291" s="266"/>
      <c r="K1291" s="1"/>
      <c r="L1291" s="1"/>
    </row>
    <row r="1292">
      <c r="A1292" s="266">
        <v>11100.0</v>
      </c>
      <c r="B1292" s="266"/>
      <c r="C1292" s="266">
        <v>15.0</v>
      </c>
      <c r="D1292" s="266" t="s">
        <v>7305</v>
      </c>
      <c r="E1292" s="266"/>
      <c r="F1292" s="266"/>
      <c r="G1292" s="266" t="s">
        <v>6304</v>
      </c>
      <c r="H1292" s="266" t="s">
        <v>6650</v>
      </c>
      <c r="I1292" s="266" t="s">
        <v>6305</v>
      </c>
      <c r="J1292" s="266"/>
      <c r="K1292" s="1"/>
      <c r="L1292" s="1"/>
    </row>
    <row r="1293">
      <c r="A1293" s="266">
        <v>11200.0</v>
      </c>
      <c r="B1293" s="266"/>
      <c r="C1293" s="266">
        <v>15.0</v>
      </c>
      <c r="D1293" s="266" t="s">
        <v>7306</v>
      </c>
      <c r="E1293" s="266"/>
      <c r="F1293" s="266"/>
      <c r="G1293" s="266" t="s">
        <v>6304</v>
      </c>
      <c r="H1293" s="266" t="s">
        <v>5245</v>
      </c>
      <c r="I1293" s="266" t="s">
        <v>6305</v>
      </c>
      <c r="J1293" s="266"/>
      <c r="K1293" s="1"/>
      <c r="L1293" s="1"/>
    </row>
    <row r="1294">
      <c r="A1294" s="266">
        <v>11300.0</v>
      </c>
      <c r="B1294" s="266"/>
      <c r="C1294" s="266">
        <v>10.0</v>
      </c>
      <c r="D1294" s="266" t="s">
        <v>7307</v>
      </c>
      <c r="E1294" s="266"/>
      <c r="F1294" s="266"/>
      <c r="G1294" s="266"/>
      <c r="H1294" s="266"/>
      <c r="I1294" s="266"/>
      <c r="J1294" s="267"/>
    </row>
    <row r="1295">
      <c r="A1295" s="266">
        <v>11400.0</v>
      </c>
      <c r="B1295" s="266"/>
      <c r="C1295" s="266">
        <v>15.0</v>
      </c>
      <c r="D1295" s="266" t="s">
        <v>7308</v>
      </c>
      <c r="E1295" s="266"/>
      <c r="F1295" s="266"/>
      <c r="G1295" s="266" t="s">
        <v>6304</v>
      </c>
      <c r="H1295" s="266" t="s">
        <v>555</v>
      </c>
      <c r="I1295" s="266"/>
      <c r="J1295" s="266"/>
      <c r="K1295" s="1"/>
      <c r="L1295" s="1"/>
    </row>
    <row r="1296">
      <c r="A1296" s="266">
        <v>11500.0</v>
      </c>
      <c r="B1296" s="266"/>
      <c r="C1296" s="266">
        <v>15.0</v>
      </c>
      <c r="D1296" s="266" t="s">
        <v>7309</v>
      </c>
      <c r="E1296" s="266"/>
      <c r="F1296" s="266"/>
      <c r="G1296" s="266" t="s">
        <v>6304</v>
      </c>
      <c r="H1296" s="266" t="s">
        <v>7310</v>
      </c>
      <c r="I1296" s="266" t="s">
        <v>6305</v>
      </c>
      <c r="J1296" s="266"/>
      <c r="K1296" s="1"/>
      <c r="L1296" s="1"/>
    </row>
    <row r="1297">
      <c r="A1297" s="266">
        <v>11600.0</v>
      </c>
      <c r="B1297" s="266"/>
      <c r="C1297" s="266">
        <v>15.0</v>
      </c>
      <c r="D1297" s="266" t="s">
        <v>7311</v>
      </c>
      <c r="E1297" s="266"/>
      <c r="F1297" s="266"/>
      <c r="G1297" s="266" t="s">
        <v>6304</v>
      </c>
      <c r="H1297" s="266" t="s">
        <v>7312</v>
      </c>
      <c r="I1297" s="266"/>
      <c r="J1297" s="266"/>
      <c r="K1297" s="1"/>
      <c r="L1297" s="1"/>
    </row>
    <row r="1298">
      <c r="A1298" s="266">
        <v>11700.0</v>
      </c>
      <c r="B1298" s="266"/>
      <c r="C1298" s="266">
        <v>15.0</v>
      </c>
      <c r="D1298" s="266" t="s">
        <v>7313</v>
      </c>
      <c r="E1298" s="266"/>
      <c r="F1298" s="266"/>
      <c r="G1298" s="266" t="s">
        <v>6304</v>
      </c>
      <c r="H1298" s="266" t="s">
        <v>555</v>
      </c>
      <c r="I1298" s="266"/>
      <c r="J1298" s="266"/>
      <c r="K1298" s="1"/>
      <c r="L1298" s="1"/>
    </row>
    <row r="1299">
      <c r="A1299" s="266">
        <v>11800.0</v>
      </c>
      <c r="B1299" s="266"/>
      <c r="C1299" s="266">
        <v>15.0</v>
      </c>
      <c r="D1299" s="266" t="s">
        <v>7314</v>
      </c>
      <c r="E1299" s="266"/>
      <c r="F1299" s="266"/>
      <c r="G1299" s="266" t="s">
        <v>6304</v>
      </c>
      <c r="H1299" s="266" t="s">
        <v>5245</v>
      </c>
      <c r="I1299" s="266" t="s">
        <v>6305</v>
      </c>
      <c r="J1299" s="266"/>
      <c r="K1299" s="1"/>
      <c r="L1299" s="1"/>
    </row>
    <row r="1300">
      <c r="A1300" s="266">
        <v>11900.0</v>
      </c>
      <c r="B1300" s="266"/>
      <c r="C1300" s="266">
        <v>15.0</v>
      </c>
      <c r="D1300" s="266" t="s">
        <v>7315</v>
      </c>
      <c r="E1300" s="266"/>
      <c r="F1300" s="266"/>
      <c r="G1300" s="266" t="s">
        <v>6304</v>
      </c>
      <c r="H1300" s="266" t="s">
        <v>5245</v>
      </c>
      <c r="I1300" s="266" t="s">
        <v>6305</v>
      </c>
      <c r="J1300" s="266"/>
      <c r="K1300" s="1"/>
      <c r="L1300" s="1"/>
    </row>
    <row r="1301">
      <c r="A1301" s="266">
        <v>12000.0</v>
      </c>
      <c r="B1301" s="266"/>
      <c r="C1301" s="266">
        <v>15.0</v>
      </c>
      <c r="D1301" s="266" t="s">
        <v>7316</v>
      </c>
      <c r="E1301" s="266"/>
      <c r="F1301" s="266"/>
      <c r="G1301" s="266" t="s">
        <v>6304</v>
      </c>
      <c r="H1301" s="266" t="s">
        <v>5245</v>
      </c>
      <c r="I1301" s="266" t="s">
        <v>6305</v>
      </c>
      <c r="J1301" s="266"/>
      <c r="K1301" s="1"/>
      <c r="L1301" s="1"/>
    </row>
    <row r="1302">
      <c r="A1302" s="266">
        <v>12100.0</v>
      </c>
      <c r="B1302" s="266"/>
      <c r="C1302" s="266">
        <v>15.0</v>
      </c>
      <c r="D1302" s="266" t="s">
        <v>7317</v>
      </c>
      <c r="E1302" s="266"/>
      <c r="F1302" s="266"/>
      <c r="G1302" s="266" t="s">
        <v>6304</v>
      </c>
      <c r="H1302" s="266" t="s">
        <v>5245</v>
      </c>
      <c r="I1302" s="266" t="s">
        <v>6305</v>
      </c>
      <c r="J1302" s="266"/>
      <c r="K1302" s="1"/>
      <c r="L1302" s="1"/>
    </row>
    <row r="1303">
      <c r="A1303" s="266">
        <v>12200.0</v>
      </c>
      <c r="B1303" s="266"/>
      <c r="C1303" s="266">
        <v>15.0</v>
      </c>
      <c r="D1303" s="266" t="s">
        <v>7318</v>
      </c>
      <c r="E1303" s="266"/>
      <c r="F1303" s="266"/>
      <c r="G1303" s="266" t="s">
        <v>6304</v>
      </c>
      <c r="H1303" s="266" t="s">
        <v>5245</v>
      </c>
      <c r="I1303" s="266" t="s">
        <v>6305</v>
      </c>
      <c r="J1303" s="266"/>
      <c r="K1303" s="1"/>
      <c r="L1303" s="1"/>
    </row>
    <row r="1304">
      <c r="A1304" s="266">
        <v>12300.0</v>
      </c>
      <c r="B1304" s="266"/>
      <c r="C1304" s="266">
        <v>15.0</v>
      </c>
      <c r="D1304" s="266" t="s">
        <v>7319</v>
      </c>
      <c r="E1304" s="266"/>
      <c r="F1304" s="266"/>
      <c r="G1304" s="266" t="s">
        <v>6304</v>
      </c>
      <c r="H1304" s="266" t="s">
        <v>555</v>
      </c>
      <c r="I1304" s="266"/>
      <c r="J1304" s="266"/>
      <c r="K1304" s="1"/>
      <c r="L1304" s="1"/>
    </row>
    <row r="1305">
      <c r="A1305" s="266">
        <v>12400.0</v>
      </c>
      <c r="B1305" s="266"/>
      <c r="C1305" s="266">
        <v>15.0</v>
      </c>
      <c r="D1305" s="266" t="s">
        <v>7320</v>
      </c>
      <c r="E1305" s="266"/>
      <c r="F1305" s="266"/>
      <c r="G1305" s="266" t="s">
        <v>6304</v>
      </c>
      <c r="H1305" s="266" t="s">
        <v>3806</v>
      </c>
      <c r="I1305" s="266"/>
      <c r="J1305" s="266"/>
      <c r="K1305" s="1"/>
      <c r="L1305" s="1"/>
    </row>
    <row r="1306">
      <c r="A1306" s="266">
        <v>12500.0</v>
      </c>
      <c r="B1306" s="266"/>
      <c r="C1306" s="266">
        <v>15.0</v>
      </c>
      <c r="D1306" s="266" t="s">
        <v>7321</v>
      </c>
      <c r="E1306" s="266"/>
      <c r="F1306" s="266"/>
      <c r="G1306" s="266" t="s">
        <v>6304</v>
      </c>
      <c r="H1306" s="266" t="s">
        <v>560</v>
      </c>
      <c r="I1306" s="266"/>
      <c r="J1306" s="266"/>
      <c r="K1306" s="1"/>
      <c r="L1306" s="1"/>
    </row>
    <row r="1307">
      <c r="A1307" s="266">
        <v>12600.0</v>
      </c>
      <c r="B1307" s="266"/>
      <c r="C1307" s="266">
        <v>15.0</v>
      </c>
      <c r="D1307" s="266" t="s">
        <v>7322</v>
      </c>
      <c r="E1307" s="266"/>
      <c r="F1307" s="266"/>
      <c r="G1307" s="266" t="s">
        <v>6304</v>
      </c>
      <c r="H1307" s="266" t="s">
        <v>560</v>
      </c>
      <c r="I1307" s="266"/>
      <c r="J1307" s="266"/>
      <c r="K1307" s="1"/>
      <c r="L1307" s="1"/>
    </row>
    <row r="1308">
      <c r="A1308" s="266">
        <v>12700.0</v>
      </c>
      <c r="B1308" s="266"/>
      <c r="C1308" s="266">
        <v>15.0</v>
      </c>
      <c r="D1308" s="266" t="s">
        <v>7323</v>
      </c>
      <c r="E1308" s="266"/>
      <c r="F1308" s="266"/>
      <c r="G1308" s="266" t="s">
        <v>6304</v>
      </c>
      <c r="H1308" s="266" t="s">
        <v>560</v>
      </c>
      <c r="I1308" s="266"/>
      <c r="J1308" s="266"/>
      <c r="K1308" s="1"/>
      <c r="L1308" s="1"/>
    </row>
    <row r="1309">
      <c r="A1309" s="266">
        <v>12800.0</v>
      </c>
      <c r="B1309" s="266"/>
      <c r="C1309" s="266">
        <v>15.0</v>
      </c>
      <c r="D1309" s="266" t="s">
        <v>7324</v>
      </c>
      <c r="E1309" s="266"/>
      <c r="F1309" s="266"/>
      <c r="G1309" s="266" t="s">
        <v>6304</v>
      </c>
      <c r="H1309" s="266" t="s">
        <v>5245</v>
      </c>
      <c r="I1309" s="266" t="s">
        <v>6305</v>
      </c>
      <c r="J1309" s="266"/>
      <c r="K1309" s="1"/>
      <c r="L1309" s="1"/>
    </row>
    <row r="1310">
      <c r="A1310" s="266">
        <v>12900.0</v>
      </c>
      <c r="B1310" s="266"/>
      <c r="C1310" s="266">
        <v>15.0</v>
      </c>
      <c r="D1310" s="266" t="s">
        <v>7325</v>
      </c>
      <c r="E1310" s="266"/>
      <c r="F1310" s="266"/>
      <c r="G1310" s="266" t="s">
        <v>6304</v>
      </c>
      <c r="H1310" s="266" t="s">
        <v>5245</v>
      </c>
      <c r="I1310" s="266" t="s">
        <v>6305</v>
      </c>
      <c r="J1310" s="266"/>
      <c r="K1310" s="1"/>
      <c r="L1310" s="1"/>
    </row>
    <row r="1311">
      <c r="A1311" s="266">
        <v>13000.0</v>
      </c>
      <c r="B1311" s="266"/>
      <c r="C1311" s="266">
        <v>15.0</v>
      </c>
      <c r="D1311" s="266" t="s">
        <v>7326</v>
      </c>
      <c r="E1311" s="266"/>
      <c r="F1311" s="266"/>
      <c r="G1311" s="266" t="s">
        <v>6304</v>
      </c>
      <c r="H1311" s="266" t="s">
        <v>5245</v>
      </c>
      <c r="I1311" s="266" t="s">
        <v>6305</v>
      </c>
      <c r="J1311" s="266"/>
      <c r="K1311" s="1"/>
      <c r="L1311" s="1"/>
    </row>
    <row r="1312">
      <c r="A1312" s="266">
        <v>13100.0</v>
      </c>
      <c r="B1312" s="266"/>
      <c r="C1312" s="266">
        <v>15.0</v>
      </c>
      <c r="D1312" s="266" t="s">
        <v>7327</v>
      </c>
      <c r="E1312" s="266"/>
      <c r="F1312" s="266"/>
      <c r="G1312" s="266" t="s">
        <v>6304</v>
      </c>
      <c r="H1312" s="266" t="s">
        <v>5245</v>
      </c>
      <c r="I1312" s="266" t="s">
        <v>6305</v>
      </c>
      <c r="J1312" s="266"/>
      <c r="K1312" s="1"/>
      <c r="L1312" s="1"/>
    </row>
    <row r="1313">
      <c r="A1313" s="266">
        <v>13200.0</v>
      </c>
      <c r="B1313" s="266"/>
      <c r="C1313" s="266">
        <v>15.0</v>
      </c>
      <c r="D1313" s="266" t="s">
        <v>7328</v>
      </c>
      <c r="E1313" s="266"/>
      <c r="F1313" s="266"/>
      <c r="G1313" s="266" t="s">
        <v>6304</v>
      </c>
      <c r="H1313" s="266" t="s">
        <v>6731</v>
      </c>
      <c r="I1313" s="266" t="s">
        <v>6305</v>
      </c>
      <c r="J1313" s="266"/>
      <c r="K1313" s="1"/>
      <c r="L1313" s="1"/>
    </row>
    <row r="1314">
      <c r="A1314" s="266">
        <v>13300.0</v>
      </c>
      <c r="B1314" s="266"/>
      <c r="C1314" s="266">
        <v>15.0</v>
      </c>
      <c r="D1314" s="266" t="s">
        <v>7329</v>
      </c>
      <c r="E1314" s="266"/>
      <c r="F1314" s="266"/>
      <c r="G1314" s="266" t="s">
        <v>6304</v>
      </c>
      <c r="H1314" s="266" t="s">
        <v>5245</v>
      </c>
      <c r="I1314" s="266" t="s">
        <v>6305</v>
      </c>
      <c r="J1314" s="266"/>
      <c r="K1314" s="1"/>
      <c r="L1314" s="1"/>
    </row>
    <row r="1315">
      <c r="A1315" s="266">
        <v>13400.0</v>
      </c>
      <c r="B1315" s="266"/>
      <c r="C1315" s="266">
        <v>15.0</v>
      </c>
      <c r="D1315" s="266" t="s">
        <v>7330</v>
      </c>
      <c r="E1315" s="266"/>
      <c r="F1315" s="266"/>
      <c r="G1315" s="266" t="s">
        <v>6304</v>
      </c>
      <c r="H1315" s="266" t="s">
        <v>6731</v>
      </c>
      <c r="I1315" s="266" t="s">
        <v>6305</v>
      </c>
      <c r="J1315" s="266"/>
      <c r="K1315" s="1"/>
      <c r="L1315" s="1"/>
    </row>
    <row r="1316">
      <c r="A1316" s="266">
        <v>13500.0</v>
      </c>
      <c r="B1316" s="266"/>
      <c r="C1316" s="266">
        <v>15.0</v>
      </c>
      <c r="D1316" s="266" t="s">
        <v>7331</v>
      </c>
      <c r="E1316" s="266"/>
      <c r="F1316" s="266"/>
      <c r="G1316" s="266" t="s">
        <v>6304</v>
      </c>
      <c r="H1316" s="266" t="s">
        <v>555</v>
      </c>
      <c r="I1316" s="266"/>
      <c r="J1316" s="266"/>
      <c r="K1316" s="1"/>
      <c r="L1316" s="1"/>
    </row>
    <row r="1317">
      <c r="A1317" s="266">
        <v>13600.0</v>
      </c>
      <c r="B1317" s="266"/>
      <c r="C1317" s="266">
        <v>15.0</v>
      </c>
      <c r="D1317" s="266" t="s">
        <v>7332</v>
      </c>
      <c r="E1317" s="266"/>
      <c r="F1317" s="266"/>
      <c r="G1317" s="266" t="s">
        <v>6304</v>
      </c>
      <c r="H1317" s="266" t="s">
        <v>555</v>
      </c>
      <c r="I1317" s="266"/>
      <c r="J1317" s="266"/>
      <c r="K1317" s="1"/>
      <c r="L1317" s="1"/>
    </row>
    <row r="1318">
      <c r="A1318" s="266">
        <v>13700.0</v>
      </c>
      <c r="B1318" s="266"/>
      <c r="C1318" s="266">
        <v>15.0</v>
      </c>
      <c r="D1318" s="266" t="s">
        <v>7333</v>
      </c>
      <c r="E1318" s="266"/>
      <c r="F1318" s="266"/>
      <c r="G1318" s="266" t="s">
        <v>6304</v>
      </c>
      <c r="H1318" s="266" t="s">
        <v>6731</v>
      </c>
      <c r="I1318" s="266" t="s">
        <v>6305</v>
      </c>
      <c r="J1318" s="266"/>
      <c r="K1318" s="1"/>
      <c r="L1318" s="1"/>
    </row>
    <row r="1319">
      <c r="A1319" s="266">
        <v>13800.0</v>
      </c>
      <c r="B1319" s="266"/>
      <c r="C1319" s="266">
        <v>15.0</v>
      </c>
      <c r="D1319" s="266" t="s">
        <v>7334</v>
      </c>
      <c r="E1319" s="266"/>
      <c r="F1319" s="266"/>
      <c r="G1319" s="266" t="s">
        <v>6304</v>
      </c>
      <c r="H1319" s="266" t="s">
        <v>6650</v>
      </c>
      <c r="I1319" s="266" t="s">
        <v>6305</v>
      </c>
      <c r="J1319" s="266"/>
      <c r="K1319" s="1"/>
      <c r="L1319" s="1"/>
    </row>
    <row r="1320">
      <c r="A1320" s="266">
        <v>13900.0</v>
      </c>
      <c r="B1320" s="266"/>
      <c r="C1320" s="266">
        <v>15.0</v>
      </c>
      <c r="D1320" s="266" t="s">
        <v>7335</v>
      </c>
      <c r="E1320" s="266"/>
      <c r="F1320" s="266"/>
      <c r="G1320" s="266" t="s">
        <v>6304</v>
      </c>
      <c r="H1320" s="266" t="s">
        <v>6650</v>
      </c>
      <c r="I1320" s="266" t="s">
        <v>6305</v>
      </c>
      <c r="J1320" s="266"/>
      <c r="K1320" s="1"/>
      <c r="L1320" s="1"/>
    </row>
    <row r="1321">
      <c r="A1321" s="266">
        <v>14000.0</v>
      </c>
      <c r="B1321" s="266"/>
      <c r="C1321" s="266">
        <v>15.0</v>
      </c>
      <c r="D1321" s="266" t="s">
        <v>7336</v>
      </c>
      <c r="E1321" s="266"/>
      <c r="F1321" s="266"/>
      <c r="G1321" s="266" t="s">
        <v>6304</v>
      </c>
      <c r="H1321" s="266" t="s">
        <v>6650</v>
      </c>
      <c r="I1321" s="266" t="s">
        <v>6305</v>
      </c>
      <c r="J1321" s="266"/>
      <c r="K1321" s="1"/>
      <c r="L1321" s="1"/>
    </row>
    <row r="1322">
      <c r="A1322" s="266">
        <v>14100.0</v>
      </c>
      <c r="B1322" s="266"/>
      <c r="C1322" s="266">
        <v>15.0</v>
      </c>
      <c r="D1322" s="266" t="s">
        <v>7337</v>
      </c>
      <c r="E1322" s="266"/>
      <c r="F1322" s="266"/>
      <c r="G1322" s="266" t="s">
        <v>6304</v>
      </c>
      <c r="H1322" s="266" t="s">
        <v>558</v>
      </c>
      <c r="I1322" s="266" t="s">
        <v>6305</v>
      </c>
      <c r="J1322" s="266"/>
      <c r="K1322" s="1"/>
      <c r="L1322" s="1"/>
    </row>
    <row r="1323">
      <c r="A1323" s="266">
        <v>14200.0</v>
      </c>
      <c r="B1323" s="266"/>
      <c r="C1323" s="266">
        <v>15.0</v>
      </c>
      <c r="D1323" s="266" t="s">
        <v>7338</v>
      </c>
      <c r="E1323" s="266"/>
      <c r="F1323" s="266"/>
      <c r="G1323" s="266" t="s">
        <v>6304</v>
      </c>
      <c r="H1323" s="266" t="s">
        <v>3806</v>
      </c>
      <c r="I1323" s="266"/>
      <c r="J1323" s="266"/>
      <c r="K1323" s="1"/>
      <c r="L1323" s="1"/>
    </row>
    <row r="1324">
      <c r="A1324" s="266">
        <v>14300.0</v>
      </c>
      <c r="B1324" s="266"/>
      <c r="C1324" s="266">
        <v>15.0</v>
      </c>
      <c r="D1324" s="266" t="s">
        <v>7339</v>
      </c>
      <c r="E1324" s="266"/>
      <c r="F1324" s="266"/>
      <c r="G1324" s="266" t="s">
        <v>6304</v>
      </c>
      <c r="H1324" s="266" t="s">
        <v>555</v>
      </c>
      <c r="I1324" s="266"/>
      <c r="J1324" s="266"/>
      <c r="K1324" s="1"/>
      <c r="L1324" s="1"/>
    </row>
    <row r="1325">
      <c r="A1325" s="266">
        <v>14400.0</v>
      </c>
      <c r="B1325" s="266"/>
      <c r="C1325" s="266">
        <v>10.0</v>
      </c>
      <c r="D1325" s="266" t="s">
        <v>7340</v>
      </c>
      <c r="E1325" s="266"/>
      <c r="F1325" s="266"/>
      <c r="G1325" s="266"/>
      <c r="H1325" s="266"/>
      <c r="I1325" s="266"/>
      <c r="J1325" s="267"/>
    </row>
    <row r="1326">
      <c r="A1326" s="266">
        <v>14500.0</v>
      </c>
      <c r="B1326" s="266"/>
      <c r="C1326" s="266">
        <v>15.0</v>
      </c>
      <c r="D1326" s="266" t="s">
        <v>7341</v>
      </c>
      <c r="E1326" s="266"/>
      <c r="F1326" s="266"/>
      <c r="G1326" s="266" t="s">
        <v>6304</v>
      </c>
      <c r="H1326" s="266" t="s">
        <v>555</v>
      </c>
      <c r="I1326" s="266"/>
      <c r="J1326" s="266"/>
      <c r="K1326" s="1"/>
      <c r="L1326" s="1"/>
    </row>
    <row r="1327">
      <c r="A1327" s="266">
        <v>14600.0</v>
      </c>
      <c r="B1327" s="266"/>
      <c r="C1327" s="266">
        <v>15.0</v>
      </c>
      <c r="D1327" s="266" t="s">
        <v>7342</v>
      </c>
      <c r="E1327" s="266"/>
      <c r="F1327" s="266"/>
      <c r="G1327" s="266" t="s">
        <v>6304</v>
      </c>
      <c r="H1327" s="266" t="s">
        <v>6650</v>
      </c>
      <c r="I1327" s="266" t="s">
        <v>6305</v>
      </c>
      <c r="J1327" s="266"/>
      <c r="K1327" s="1"/>
      <c r="L1327" s="1"/>
    </row>
    <row r="1328">
      <c r="A1328" s="266">
        <v>14700.0</v>
      </c>
      <c r="B1328" s="266"/>
      <c r="C1328" s="266">
        <v>15.0</v>
      </c>
      <c r="D1328" s="266" t="s">
        <v>7343</v>
      </c>
      <c r="E1328" s="266"/>
      <c r="F1328" s="266"/>
      <c r="G1328" s="266" t="s">
        <v>6304</v>
      </c>
      <c r="H1328" s="266" t="s">
        <v>6650</v>
      </c>
      <c r="I1328" s="266" t="s">
        <v>6305</v>
      </c>
      <c r="J1328" s="266"/>
      <c r="K1328" s="1"/>
      <c r="L1328" s="1"/>
    </row>
    <row r="1329">
      <c r="A1329" s="266">
        <v>14800.0</v>
      </c>
      <c r="B1329" s="266"/>
      <c r="C1329" s="266">
        <v>15.0</v>
      </c>
      <c r="D1329" s="266" t="s">
        <v>7344</v>
      </c>
      <c r="E1329" s="266"/>
      <c r="F1329" s="266"/>
      <c r="G1329" s="266" t="s">
        <v>6304</v>
      </c>
      <c r="H1329" s="266" t="s">
        <v>6650</v>
      </c>
      <c r="I1329" s="266" t="s">
        <v>6305</v>
      </c>
      <c r="J1329" s="266"/>
      <c r="K1329" s="1"/>
      <c r="L1329" s="1"/>
    </row>
    <row r="1330">
      <c r="A1330" s="266">
        <v>14900.0</v>
      </c>
      <c r="B1330" s="266"/>
      <c r="C1330" s="266">
        <v>15.0</v>
      </c>
      <c r="D1330" s="266" t="s">
        <v>7345</v>
      </c>
      <c r="E1330" s="266"/>
      <c r="F1330" s="266"/>
      <c r="G1330" s="266" t="s">
        <v>6304</v>
      </c>
      <c r="H1330" s="266" t="s">
        <v>555</v>
      </c>
      <c r="I1330" s="266"/>
      <c r="J1330" s="266"/>
      <c r="K1330" s="1"/>
      <c r="L1330" s="1"/>
    </row>
    <row r="1331">
      <c r="A1331" s="266">
        <v>15000.0</v>
      </c>
      <c r="B1331" s="266"/>
      <c r="C1331" s="266">
        <v>15.0</v>
      </c>
      <c r="D1331" s="266" t="s">
        <v>7346</v>
      </c>
      <c r="E1331" s="266"/>
      <c r="F1331" s="266"/>
      <c r="G1331" s="266" t="s">
        <v>6304</v>
      </c>
      <c r="H1331" s="266" t="s">
        <v>555</v>
      </c>
      <c r="I1331" s="266"/>
      <c r="J1331" s="266"/>
      <c r="K1331" s="1"/>
      <c r="L1331" s="1"/>
    </row>
    <row r="1332">
      <c r="A1332" s="266">
        <v>15100.0</v>
      </c>
      <c r="B1332" s="266"/>
      <c r="C1332" s="266">
        <v>15.0</v>
      </c>
      <c r="D1332" s="266" t="s">
        <v>7347</v>
      </c>
      <c r="E1332" s="266"/>
      <c r="F1332" s="266"/>
      <c r="G1332" s="266" t="s">
        <v>6304</v>
      </c>
      <c r="H1332" s="266" t="s">
        <v>555</v>
      </c>
      <c r="I1332" s="266"/>
      <c r="J1332" s="266"/>
      <c r="K1332" s="1"/>
      <c r="L1332" s="1"/>
    </row>
    <row r="1333">
      <c r="A1333" s="266">
        <v>15200.0</v>
      </c>
      <c r="B1333" s="266"/>
      <c r="C1333" s="266">
        <v>15.0</v>
      </c>
      <c r="D1333" s="266" t="s">
        <v>7348</v>
      </c>
      <c r="E1333" s="266"/>
      <c r="F1333" s="266"/>
      <c r="G1333" s="266" t="s">
        <v>6304</v>
      </c>
      <c r="H1333" s="266" t="s">
        <v>5245</v>
      </c>
      <c r="I1333" s="266" t="s">
        <v>6305</v>
      </c>
      <c r="J1333" s="266"/>
      <c r="K1333" s="1"/>
      <c r="L1333" s="1"/>
    </row>
    <row r="1334">
      <c r="A1334" s="266">
        <v>15300.0</v>
      </c>
      <c r="B1334" s="266"/>
      <c r="C1334" s="266">
        <v>10.0</v>
      </c>
      <c r="D1334" s="266" t="s">
        <v>7349</v>
      </c>
      <c r="E1334" s="266" t="s">
        <v>6479</v>
      </c>
      <c r="F1334" s="266">
        <v>3.0</v>
      </c>
      <c r="G1334" s="266"/>
      <c r="H1334" s="266"/>
      <c r="I1334" s="266"/>
      <c r="J1334" s="267"/>
    </row>
    <row r="1335">
      <c r="A1335" s="266">
        <v>15400.0</v>
      </c>
      <c r="B1335" s="266"/>
      <c r="C1335" s="266">
        <v>15.0</v>
      </c>
      <c r="D1335" s="266" t="s">
        <v>7350</v>
      </c>
      <c r="E1335" s="266"/>
      <c r="F1335" s="266"/>
      <c r="G1335" s="266" t="s">
        <v>6304</v>
      </c>
      <c r="H1335" s="266" t="s">
        <v>559</v>
      </c>
      <c r="I1335" s="266"/>
      <c r="J1335" s="266"/>
      <c r="K1335" s="1"/>
      <c r="L1335" s="1"/>
    </row>
    <row r="1336">
      <c r="A1336" s="266">
        <v>15500.0</v>
      </c>
      <c r="B1336" s="266"/>
      <c r="C1336" s="266">
        <v>15.0</v>
      </c>
      <c r="D1336" s="266" t="s">
        <v>7351</v>
      </c>
      <c r="E1336" s="266"/>
      <c r="F1336" s="266"/>
      <c r="G1336" s="266" t="s">
        <v>6304</v>
      </c>
      <c r="H1336" s="266" t="s">
        <v>561</v>
      </c>
      <c r="I1336" s="266"/>
      <c r="J1336" s="266"/>
      <c r="K1336" s="1"/>
      <c r="L1336" s="1"/>
    </row>
    <row r="1337">
      <c r="A1337" s="266">
        <v>15600.0</v>
      </c>
      <c r="B1337" s="266"/>
      <c r="C1337" s="266">
        <v>15.0</v>
      </c>
      <c r="D1337" s="266" t="s">
        <v>7352</v>
      </c>
      <c r="E1337" s="266"/>
      <c r="F1337" s="266"/>
      <c r="G1337" s="266" t="s">
        <v>6304</v>
      </c>
      <c r="H1337" s="266" t="s">
        <v>555</v>
      </c>
      <c r="I1337" s="266"/>
      <c r="J1337" s="266"/>
      <c r="K1337" s="1"/>
      <c r="L1337" s="1"/>
    </row>
    <row r="1338">
      <c r="A1338" s="266">
        <v>15700.0</v>
      </c>
      <c r="B1338" s="266"/>
      <c r="C1338" s="266">
        <v>15.0</v>
      </c>
      <c r="D1338" s="266" t="s">
        <v>7353</v>
      </c>
      <c r="E1338" s="266"/>
      <c r="F1338" s="266"/>
      <c r="G1338" s="266" t="s">
        <v>6304</v>
      </c>
      <c r="H1338" s="266" t="s">
        <v>5245</v>
      </c>
      <c r="I1338" s="266" t="s">
        <v>6305</v>
      </c>
      <c r="J1338" s="266"/>
      <c r="K1338" s="1"/>
      <c r="L1338" s="1"/>
    </row>
    <row r="1339">
      <c r="A1339" s="266">
        <v>15800.0</v>
      </c>
      <c r="B1339" s="266"/>
      <c r="C1339" s="266">
        <v>15.0</v>
      </c>
      <c r="D1339" s="266" t="s">
        <v>7354</v>
      </c>
      <c r="E1339" s="266"/>
      <c r="F1339" s="266"/>
      <c r="G1339" s="266" t="s">
        <v>6304</v>
      </c>
      <c r="H1339" s="266" t="s">
        <v>5245</v>
      </c>
      <c r="I1339" s="266" t="s">
        <v>6305</v>
      </c>
      <c r="J1339" s="266"/>
      <c r="K1339" s="1"/>
      <c r="L1339" s="1"/>
    </row>
    <row r="1340">
      <c r="A1340" s="266">
        <v>15900.0</v>
      </c>
      <c r="B1340" s="266"/>
      <c r="C1340" s="266">
        <v>15.0</v>
      </c>
      <c r="D1340" s="266" t="s">
        <v>7355</v>
      </c>
      <c r="E1340" s="266"/>
      <c r="F1340" s="266"/>
      <c r="G1340" s="266" t="s">
        <v>6304</v>
      </c>
      <c r="H1340" s="266" t="s">
        <v>6650</v>
      </c>
      <c r="I1340" s="266" t="s">
        <v>6305</v>
      </c>
      <c r="J1340" s="266"/>
      <c r="K1340" s="1"/>
      <c r="L1340" s="1"/>
    </row>
    <row r="1341">
      <c r="A1341" s="266">
        <v>16000.0</v>
      </c>
      <c r="B1341" s="266"/>
      <c r="C1341" s="266">
        <v>15.0</v>
      </c>
      <c r="D1341" s="266" t="s">
        <v>7356</v>
      </c>
      <c r="E1341" s="266"/>
      <c r="F1341" s="266"/>
      <c r="G1341" s="266" t="s">
        <v>6304</v>
      </c>
      <c r="H1341" s="266" t="s">
        <v>555</v>
      </c>
      <c r="I1341" s="266"/>
      <c r="J1341" s="266"/>
      <c r="K1341" s="1"/>
      <c r="L1341" s="1"/>
    </row>
    <row r="1342">
      <c r="A1342" s="266">
        <v>16100.0</v>
      </c>
      <c r="B1342" s="266"/>
      <c r="C1342" s="266">
        <v>15.0</v>
      </c>
      <c r="D1342" s="266" t="s">
        <v>7357</v>
      </c>
      <c r="E1342" s="266"/>
      <c r="F1342" s="266"/>
      <c r="G1342" s="266" t="s">
        <v>6304</v>
      </c>
      <c r="H1342" s="266" t="s">
        <v>5245</v>
      </c>
      <c r="I1342" s="266" t="s">
        <v>6305</v>
      </c>
      <c r="J1342" s="266"/>
      <c r="K1342" s="1"/>
      <c r="L1342" s="1"/>
    </row>
    <row r="1343">
      <c r="A1343" s="266">
        <v>16200.0</v>
      </c>
      <c r="B1343" s="266"/>
      <c r="C1343" s="266">
        <v>15.0</v>
      </c>
      <c r="D1343" s="266" t="s">
        <v>7358</v>
      </c>
      <c r="E1343" s="266"/>
      <c r="F1343" s="266"/>
      <c r="G1343" s="266" t="s">
        <v>6304</v>
      </c>
      <c r="H1343" s="266" t="s">
        <v>555</v>
      </c>
      <c r="I1343" s="266"/>
      <c r="J1343" s="266"/>
      <c r="K1343" s="1"/>
      <c r="L1343" s="1"/>
    </row>
    <row r="1344">
      <c r="A1344" s="266">
        <v>16300.0</v>
      </c>
      <c r="B1344" s="266"/>
      <c r="C1344" s="266">
        <v>15.0</v>
      </c>
      <c r="D1344" s="266" t="s">
        <v>7359</v>
      </c>
      <c r="E1344" s="266"/>
      <c r="F1344" s="266"/>
      <c r="G1344" s="266" t="s">
        <v>6304</v>
      </c>
      <c r="H1344" s="266" t="s">
        <v>5245</v>
      </c>
      <c r="I1344" s="266" t="s">
        <v>6305</v>
      </c>
      <c r="J1344" s="266"/>
      <c r="K1344" s="1"/>
      <c r="L1344" s="1"/>
    </row>
    <row r="1345">
      <c r="A1345" s="266">
        <v>16400.0</v>
      </c>
      <c r="B1345" s="266"/>
      <c r="C1345" s="266">
        <v>15.0</v>
      </c>
      <c r="D1345" s="266" t="s">
        <v>7360</v>
      </c>
      <c r="E1345" s="266"/>
      <c r="F1345" s="266"/>
      <c r="G1345" s="266" t="s">
        <v>6304</v>
      </c>
      <c r="H1345" s="266" t="s">
        <v>7258</v>
      </c>
      <c r="I1345" s="266" t="s">
        <v>6305</v>
      </c>
      <c r="J1345" s="266"/>
      <c r="K1345" s="1"/>
      <c r="L1345" s="1"/>
    </row>
    <row r="1346">
      <c r="A1346" s="266">
        <v>16500.0</v>
      </c>
      <c r="B1346" s="266"/>
      <c r="C1346" s="266">
        <v>10.0</v>
      </c>
      <c r="D1346" s="266" t="s">
        <v>7361</v>
      </c>
      <c r="E1346" s="266"/>
      <c r="F1346" s="266"/>
      <c r="G1346" s="266" t="s">
        <v>6304</v>
      </c>
      <c r="H1346" s="266" t="s">
        <v>559</v>
      </c>
      <c r="I1346" s="266"/>
      <c r="J1346" s="266"/>
      <c r="K1346" s="1"/>
      <c r="L1346" s="1"/>
    </row>
    <row r="1347">
      <c r="A1347" s="266">
        <v>16600.0</v>
      </c>
      <c r="B1347" s="266"/>
      <c r="C1347" s="266">
        <v>10.0</v>
      </c>
      <c r="D1347" s="266" t="s">
        <v>7362</v>
      </c>
      <c r="E1347" s="266"/>
      <c r="F1347" s="266"/>
      <c r="G1347" s="266" t="s">
        <v>6304</v>
      </c>
      <c r="H1347" s="266" t="s">
        <v>7363</v>
      </c>
      <c r="I1347" s="266" t="s">
        <v>6305</v>
      </c>
      <c r="J1347" s="266"/>
      <c r="K1347" s="1"/>
      <c r="L1347" s="1"/>
    </row>
    <row r="1348">
      <c r="A1348" s="266">
        <v>16700.0</v>
      </c>
      <c r="B1348" s="266"/>
      <c r="C1348" s="266">
        <v>10.0</v>
      </c>
      <c r="D1348" s="266" t="s">
        <v>7364</v>
      </c>
      <c r="E1348" s="266"/>
      <c r="F1348" s="266"/>
      <c r="G1348" s="266" t="s">
        <v>6304</v>
      </c>
      <c r="H1348" s="266" t="s">
        <v>6707</v>
      </c>
      <c r="I1348" s="266" t="s">
        <v>6305</v>
      </c>
      <c r="J1348" s="266"/>
      <c r="K1348" s="1"/>
      <c r="L1348" s="1"/>
    </row>
    <row r="1349">
      <c r="A1349" s="266">
        <v>16800.0</v>
      </c>
      <c r="B1349" s="266"/>
      <c r="C1349" s="266">
        <v>10.0</v>
      </c>
      <c r="D1349" s="266" t="s">
        <v>6306</v>
      </c>
      <c r="E1349" s="266"/>
      <c r="F1349" s="266"/>
      <c r="G1349" s="266" t="s">
        <v>6304</v>
      </c>
      <c r="H1349" s="266" t="s">
        <v>7365</v>
      </c>
      <c r="I1349" s="266"/>
      <c r="J1349" s="266"/>
      <c r="K1349" s="1"/>
      <c r="L1349" s="1"/>
    </row>
    <row r="1350">
      <c r="A1350" s="266">
        <v>16900.0</v>
      </c>
      <c r="B1350" s="266"/>
      <c r="C1350" s="266">
        <v>5.0</v>
      </c>
      <c r="D1350" s="266" t="s">
        <v>7366</v>
      </c>
      <c r="E1350" s="266" t="s">
        <v>6603</v>
      </c>
      <c r="F1350" s="266" t="s">
        <v>7234</v>
      </c>
      <c r="G1350" s="266"/>
      <c r="H1350" s="266"/>
      <c r="I1350" s="266"/>
      <c r="J1350" s="267"/>
    </row>
    <row r="1351">
      <c r="A1351" s="266">
        <v>17000.0</v>
      </c>
      <c r="B1351" s="266"/>
      <c r="C1351" s="266">
        <v>10.0</v>
      </c>
      <c r="D1351" s="266" t="s">
        <v>7367</v>
      </c>
      <c r="E1351" s="266"/>
      <c r="F1351" s="266"/>
      <c r="G1351" s="266" t="s">
        <v>6304</v>
      </c>
      <c r="H1351" s="266" t="s">
        <v>5243</v>
      </c>
      <c r="I1351" s="266"/>
      <c r="J1351" s="266"/>
      <c r="K1351" s="1"/>
      <c r="L1351" s="1"/>
    </row>
    <row r="1352">
      <c r="A1352" s="266">
        <v>17100.0</v>
      </c>
      <c r="B1352" s="266"/>
      <c r="C1352" s="266">
        <v>10.0</v>
      </c>
      <c r="D1352" s="266" t="s">
        <v>7368</v>
      </c>
      <c r="E1352" s="266"/>
      <c r="F1352" s="266"/>
      <c r="G1352" s="266" t="s">
        <v>6304</v>
      </c>
      <c r="H1352" s="266" t="s">
        <v>7369</v>
      </c>
      <c r="I1352" s="266"/>
      <c r="J1352" s="266"/>
      <c r="K1352" s="1"/>
      <c r="L1352" s="1"/>
    </row>
    <row r="1353">
      <c r="A1353" s="266">
        <v>17200.0</v>
      </c>
      <c r="B1353" s="266"/>
      <c r="C1353" s="266">
        <v>10.0</v>
      </c>
      <c r="D1353" s="266" t="s">
        <v>7370</v>
      </c>
      <c r="E1353" s="266"/>
      <c r="F1353" s="266"/>
      <c r="G1353" s="266" t="s">
        <v>6304</v>
      </c>
      <c r="H1353" s="266" t="s">
        <v>7369</v>
      </c>
      <c r="I1353" s="266"/>
      <c r="J1353" s="266"/>
      <c r="K1353" s="1"/>
      <c r="L1353" s="1"/>
    </row>
    <row r="1354">
      <c r="A1354" s="266">
        <v>17300.0</v>
      </c>
      <c r="B1354" s="266"/>
      <c r="C1354" s="266">
        <v>10.0</v>
      </c>
      <c r="D1354" s="266" t="s">
        <v>7371</v>
      </c>
      <c r="E1354" s="266"/>
      <c r="F1354" s="266"/>
      <c r="G1354" s="266" t="s">
        <v>6304</v>
      </c>
      <c r="H1354" s="266" t="s">
        <v>7369</v>
      </c>
      <c r="I1354" s="266"/>
      <c r="J1354" s="266"/>
      <c r="K1354" s="1"/>
      <c r="L1354" s="1"/>
    </row>
    <row r="1355">
      <c r="A1355" s="266">
        <v>17400.0</v>
      </c>
      <c r="B1355" s="266"/>
      <c r="C1355" s="266">
        <v>10.0</v>
      </c>
      <c r="D1355" s="266" t="s">
        <v>7372</v>
      </c>
      <c r="E1355" s="266"/>
      <c r="F1355" s="266"/>
      <c r="G1355" s="266" t="s">
        <v>6304</v>
      </c>
      <c r="H1355" s="266" t="s">
        <v>7369</v>
      </c>
      <c r="I1355" s="266"/>
      <c r="J1355" s="266"/>
      <c r="K1355" s="1"/>
      <c r="L1355" s="1"/>
    </row>
    <row r="1356">
      <c r="A1356" s="266">
        <v>17500.0</v>
      </c>
      <c r="B1356" s="266"/>
      <c r="C1356" s="266">
        <v>10.0</v>
      </c>
      <c r="D1356" s="266" t="s">
        <v>7373</v>
      </c>
      <c r="E1356" s="266"/>
      <c r="F1356" s="266"/>
      <c r="G1356" s="266" t="s">
        <v>6304</v>
      </c>
      <c r="H1356" s="266" t="s">
        <v>7369</v>
      </c>
      <c r="I1356" s="266"/>
      <c r="J1356" s="266"/>
      <c r="K1356" s="1"/>
      <c r="L1356" s="1"/>
    </row>
    <row r="1357">
      <c r="A1357" s="266">
        <v>17600.0</v>
      </c>
      <c r="B1357" s="266"/>
      <c r="C1357" s="266">
        <v>10.0</v>
      </c>
      <c r="D1357" s="266" t="s">
        <v>7374</v>
      </c>
      <c r="E1357" s="266"/>
      <c r="F1357" s="266"/>
      <c r="G1357" s="266" t="s">
        <v>6304</v>
      </c>
      <c r="H1357" s="266" t="s">
        <v>4103</v>
      </c>
      <c r="I1357" s="266"/>
      <c r="J1357" s="266"/>
      <c r="K1357" s="1"/>
      <c r="L1357" s="1"/>
    </row>
    <row r="1358">
      <c r="A1358" s="266">
        <v>17700.0</v>
      </c>
      <c r="B1358" s="266"/>
      <c r="C1358" s="266">
        <v>10.0</v>
      </c>
      <c r="D1358" s="266" t="s">
        <v>7375</v>
      </c>
      <c r="E1358" s="266"/>
      <c r="F1358" s="266"/>
      <c r="G1358" s="266" t="s">
        <v>6304</v>
      </c>
      <c r="H1358" s="266" t="s">
        <v>5245</v>
      </c>
      <c r="I1358" s="266" t="s">
        <v>6305</v>
      </c>
      <c r="J1358" s="266"/>
      <c r="K1358" s="1"/>
      <c r="L1358" s="1"/>
    </row>
    <row r="1359">
      <c r="A1359" s="266">
        <v>17800.0</v>
      </c>
      <c r="B1359" s="266"/>
      <c r="C1359" s="266">
        <v>10.0</v>
      </c>
      <c r="D1359" s="266" t="s">
        <v>7376</v>
      </c>
      <c r="E1359" s="266"/>
      <c r="F1359" s="266"/>
      <c r="G1359" s="266" t="s">
        <v>6304</v>
      </c>
      <c r="H1359" s="266" t="s">
        <v>555</v>
      </c>
      <c r="I1359" s="266"/>
      <c r="J1359" s="266"/>
      <c r="K1359" s="1"/>
      <c r="L1359" s="1"/>
    </row>
    <row r="1360">
      <c r="A1360" s="266">
        <v>17900.0</v>
      </c>
      <c r="B1360" s="266"/>
      <c r="C1360" s="266">
        <v>10.0</v>
      </c>
      <c r="D1360" s="266" t="s">
        <v>7377</v>
      </c>
      <c r="E1360" s="266"/>
      <c r="F1360" s="266"/>
      <c r="G1360" s="266" t="s">
        <v>6304</v>
      </c>
      <c r="H1360" s="266" t="s">
        <v>561</v>
      </c>
      <c r="I1360" s="266"/>
      <c r="J1360" s="266"/>
      <c r="K1360" s="1"/>
      <c r="L1360" s="1"/>
    </row>
    <row r="1361">
      <c r="A1361" s="266">
        <v>18000.0</v>
      </c>
      <c r="B1361" s="266"/>
      <c r="C1361" s="266">
        <v>10.0</v>
      </c>
      <c r="D1361" s="266" t="s">
        <v>7378</v>
      </c>
      <c r="E1361" s="266"/>
      <c r="F1361" s="266"/>
      <c r="G1361" s="266" t="s">
        <v>6304</v>
      </c>
      <c r="H1361" s="266" t="s">
        <v>5245</v>
      </c>
      <c r="I1361" s="266" t="s">
        <v>6305</v>
      </c>
      <c r="J1361" s="266"/>
      <c r="K1361" s="1"/>
      <c r="L1361" s="1"/>
    </row>
    <row r="1362">
      <c r="A1362" s="266">
        <v>18100.0</v>
      </c>
      <c r="B1362" s="266"/>
      <c r="C1362" s="266">
        <v>10.0</v>
      </c>
      <c r="D1362" s="266" t="s">
        <v>7379</v>
      </c>
      <c r="E1362" s="266"/>
      <c r="F1362" s="266"/>
      <c r="G1362" s="266" t="s">
        <v>6304</v>
      </c>
      <c r="H1362" s="266" t="s">
        <v>6650</v>
      </c>
      <c r="I1362" s="266" t="s">
        <v>6305</v>
      </c>
      <c r="J1362" s="266"/>
      <c r="K1362" s="1"/>
      <c r="L1362" s="1"/>
    </row>
    <row r="1363">
      <c r="A1363" s="266">
        <v>18200.0</v>
      </c>
      <c r="B1363" s="266"/>
      <c r="C1363" s="266">
        <v>10.0</v>
      </c>
      <c r="D1363" s="266" t="s">
        <v>7380</v>
      </c>
      <c r="E1363" s="266"/>
      <c r="F1363" s="266"/>
      <c r="G1363" s="266" t="s">
        <v>6304</v>
      </c>
      <c r="H1363" s="266" t="s">
        <v>555</v>
      </c>
      <c r="I1363" s="266"/>
      <c r="J1363" s="266"/>
      <c r="K1363" s="1"/>
      <c r="L1363" s="1"/>
    </row>
    <row r="1364">
      <c r="A1364" s="266">
        <v>18300.0</v>
      </c>
      <c r="B1364" s="266"/>
      <c r="C1364" s="266">
        <v>10.0</v>
      </c>
      <c r="D1364" s="266" t="s">
        <v>7381</v>
      </c>
      <c r="E1364" s="266"/>
      <c r="F1364" s="266"/>
      <c r="G1364" s="266" t="s">
        <v>6304</v>
      </c>
      <c r="H1364" s="266" t="s">
        <v>7252</v>
      </c>
      <c r="I1364" s="266" t="s">
        <v>6305</v>
      </c>
      <c r="J1364" s="266"/>
      <c r="K1364" s="1"/>
      <c r="L1364" s="1"/>
    </row>
    <row r="1365">
      <c r="A1365" s="266">
        <v>18400.0</v>
      </c>
      <c r="B1365" s="266"/>
      <c r="C1365" s="266">
        <v>10.0</v>
      </c>
      <c r="D1365" s="266" t="s">
        <v>7382</v>
      </c>
      <c r="E1365" s="266"/>
      <c r="F1365" s="266"/>
      <c r="G1365" s="266" t="s">
        <v>6304</v>
      </c>
      <c r="H1365" s="266" t="s">
        <v>5245</v>
      </c>
      <c r="I1365" s="266" t="s">
        <v>6305</v>
      </c>
      <c r="J1365" s="266"/>
      <c r="K1365" s="1"/>
      <c r="L1365" s="1"/>
    </row>
    <row r="1366">
      <c r="A1366" s="266">
        <v>18500.0</v>
      </c>
      <c r="B1366" s="266"/>
      <c r="C1366" s="266">
        <v>10.0</v>
      </c>
      <c r="D1366" s="266" t="s">
        <v>7383</v>
      </c>
      <c r="E1366" s="266"/>
      <c r="F1366" s="266"/>
      <c r="G1366" s="266" t="s">
        <v>6304</v>
      </c>
      <c r="H1366" s="266" t="s">
        <v>6650</v>
      </c>
      <c r="I1366" s="266" t="s">
        <v>6305</v>
      </c>
      <c r="J1366" s="266"/>
      <c r="K1366" s="1"/>
      <c r="L1366" s="1"/>
    </row>
    <row r="1367">
      <c r="A1367" s="266">
        <v>18600.0</v>
      </c>
      <c r="B1367" s="266"/>
      <c r="C1367" s="266">
        <v>10.0</v>
      </c>
      <c r="D1367" s="266" t="s">
        <v>7384</v>
      </c>
      <c r="E1367" s="266"/>
      <c r="F1367" s="266"/>
      <c r="G1367" s="266" t="s">
        <v>6304</v>
      </c>
      <c r="H1367" s="266" t="s">
        <v>555</v>
      </c>
      <c r="I1367" s="266"/>
      <c r="J1367" s="266"/>
      <c r="K1367" s="1"/>
      <c r="L1367" s="1"/>
    </row>
    <row r="1368">
      <c r="A1368" s="266">
        <v>18700.0</v>
      </c>
      <c r="B1368" s="266"/>
      <c r="C1368" s="266">
        <v>10.0</v>
      </c>
      <c r="D1368" s="266" t="s">
        <v>7385</v>
      </c>
      <c r="E1368" s="266"/>
      <c r="F1368" s="266"/>
      <c r="G1368" s="266" t="s">
        <v>6304</v>
      </c>
      <c r="H1368" s="266" t="s">
        <v>555</v>
      </c>
      <c r="I1368" s="266"/>
      <c r="J1368" s="266"/>
      <c r="K1368" s="1"/>
      <c r="L1368" s="1"/>
    </row>
    <row r="1369">
      <c r="A1369" s="266">
        <v>18800.0</v>
      </c>
      <c r="B1369" s="266"/>
      <c r="C1369" s="266">
        <v>10.0</v>
      </c>
      <c r="D1369" s="266" t="s">
        <v>7386</v>
      </c>
      <c r="E1369" s="266"/>
      <c r="F1369" s="266"/>
      <c r="G1369" s="266" t="s">
        <v>6304</v>
      </c>
      <c r="H1369" s="266" t="s">
        <v>5245</v>
      </c>
      <c r="I1369" s="266" t="s">
        <v>6305</v>
      </c>
      <c r="J1369" s="266"/>
      <c r="K1369" s="1"/>
      <c r="L1369" s="1"/>
    </row>
    <row r="1370">
      <c r="A1370" s="266">
        <v>18900.0</v>
      </c>
      <c r="B1370" s="266"/>
      <c r="C1370" s="266">
        <v>10.0</v>
      </c>
      <c r="D1370" s="266" t="s">
        <v>7387</v>
      </c>
      <c r="E1370" s="266"/>
      <c r="F1370" s="266"/>
      <c r="G1370" s="266" t="s">
        <v>6304</v>
      </c>
      <c r="H1370" s="266" t="s">
        <v>5245</v>
      </c>
      <c r="I1370" s="266" t="s">
        <v>6305</v>
      </c>
      <c r="J1370" s="266"/>
      <c r="K1370" s="1"/>
      <c r="L1370" s="1"/>
    </row>
    <row r="1371">
      <c r="A1371" s="266">
        <v>19000.0</v>
      </c>
      <c r="B1371" s="266"/>
      <c r="C1371" s="266">
        <v>10.0</v>
      </c>
      <c r="D1371" s="266" t="s">
        <v>7388</v>
      </c>
      <c r="E1371" s="266"/>
      <c r="F1371" s="266"/>
      <c r="G1371" s="266" t="s">
        <v>6304</v>
      </c>
      <c r="H1371" s="266" t="s">
        <v>5245</v>
      </c>
      <c r="I1371" s="266" t="s">
        <v>6305</v>
      </c>
      <c r="J1371" s="266"/>
      <c r="K1371" s="1"/>
      <c r="L1371" s="1"/>
    </row>
    <row r="1372">
      <c r="A1372" s="266">
        <v>19100.0</v>
      </c>
      <c r="B1372" s="266"/>
      <c r="C1372" s="266">
        <v>10.0</v>
      </c>
      <c r="D1372" s="266" t="s">
        <v>7389</v>
      </c>
      <c r="E1372" s="266"/>
      <c r="F1372" s="266"/>
      <c r="G1372" s="266" t="s">
        <v>6304</v>
      </c>
      <c r="H1372" s="266" t="s">
        <v>5245</v>
      </c>
      <c r="I1372" s="266" t="s">
        <v>6305</v>
      </c>
      <c r="J1372" s="266"/>
      <c r="K1372" s="1"/>
      <c r="L1372" s="1"/>
    </row>
    <row r="1373">
      <c r="A1373" s="266">
        <v>19200.0</v>
      </c>
      <c r="B1373" s="266"/>
      <c r="C1373" s="266">
        <v>10.0</v>
      </c>
      <c r="D1373" s="266" t="s">
        <v>7390</v>
      </c>
      <c r="E1373" s="266"/>
      <c r="F1373" s="266"/>
      <c r="G1373" s="266" t="s">
        <v>6304</v>
      </c>
      <c r="H1373" s="266" t="s">
        <v>5245</v>
      </c>
      <c r="I1373" s="266" t="s">
        <v>6305</v>
      </c>
      <c r="J1373" s="266"/>
      <c r="K1373" s="1"/>
      <c r="L1373" s="1"/>
    </row>
    <row r="1374">
      <c r="A1374" s="266">
        <v>19300.0</v>
      </c>
      <c r="B1374" s="266"/>
      <c r="C1374" s="266">
        <v>10.0</v>
      </c>
      <c r="D1374" s="266" t="s">
        <v>6745</v>
      </c>
      <c r="E1374" s="266"/>
      <c r="F1374" s="266"/>
      <c r="G1374" s="266" t="s">
        <v>6304</v>
      </c>
      <c r="H1374" s="266" t="s">
        <v>560</v>
      </c>
      <c r="I1374" s="266"/>
      <c r="J1374" s="266"/>
      <c r="K1374" s="1"/>
      <c r="L1374" s="1"/>
    </row>
    <row r="1375">
      <c r="A1375" s="266">
        <v>19400.0</v>
      </c>
      <c r="B1375" s="266"/>
      <c r="C1375" s="266">
        <v>10.0</v>
      </c>
      <c r="D1375" s="266" t="s">
        <v>6747</v>
      </c>
      <c r="E1375" s="266"/>
      <c r="F1375" s="266"/>
      <c r="G1375" s="266" t="s">
        <v>6304</v>
      </c>
      <c r="H1375" s="266" t="s">
        <v>560</v>
      </c>
      <c r="I1375" s="266"/>
      <c r="J1375" s="266"/>
      <c r="K1375" s="1"/>
      <c r="L1375" s="1"/>
    </row>
    <row r="1376">
      <c r="A1376" s="266">
        <v>19500.0</v>
      </c>
      <c r="B1376" s="266"/>
      <c r="C1376" s="266">
        <v>10.0</v>
      </c>
      <c r="D1376" s="266" t="s">
        <v>7391</v>
      </c>
      <c r="E1376" s="266"/>
      <c r="F1376" s="266"/>
      <c r="G1376" s="266" t="s">
        <v>6304</v>
      </c>
      <c r="H1376" s="266" t="s">
        <v>5245</v>
      </c>
      <c r="I1376" s="266" t="s">
        <v>6305</v>
      </c>
      <c r="J1376" s="266"/>
      <c r="K1376" s="1"/>
      <c r="L1376" s="1"/>
    </row>
    <row r="1377">
      <c r="A1377" s="266">
        <v>19600.0</v>
      </c>
      <c r="B1377" s="266"/>
      <c r="C1377" s="266">
        <v>10.0</v>
      </c>
      <c r="D1377" s="266" t="s">
        <v>7392</v>
      </c>
      <c r="E1377" s="266"/>
      <c r="F1377" s="266"/>
      <c r="G1377" s="266" t="s">
        <v>6304</v>
      </c>
      <c r="H1377" s="266" t="s">
        <v>559</v>
      </c>
      <c r="I1377" s="266"/>
      <c r="J1377" s="266"/>
      <c r="K1377" s="1"/>
      <c r="L1377" s="1"/>
    </row>
    <row r="1378">
      <c r="A1378" s="266">
        <v>19700.0</v>
      </c>
      <c r="B1378" s="266"/>
      <c r="C1378" s="266">
        <v>10.0</v>
      </c>
      <c r="D1378" s="266" t="s">
        <v>7393</v>
      </c>
      <c r="E1378" s="266"/>
      <c r="F1378" s="266"/>
      <c r="G1378" s="266" t="s">
        <v>6304</v>
      </c>
      <c r="H1378" s="266" t="s">
        <v>5245</v>
      </c>
      <c r="I1378" s="266" t="s">
        <v>6305</v>
      </c>
      <c r="J1378" s="266"/>
      <c r="K1378" s="1"/>
      <c r="L1378" s="1"/>
    </row>
    <row r="1379">
      <c r="A1379" s="266">
        <v>19800.0</v>
      </c>
      <c r="B1379" s="266"/>
      <c r="C1379" s="266">
        <v>10.0</v>
      </c>
      <c r="D1379" s="266" t="s">
        <v>7394</v>
      </c>
      <c r="E1379" s="266"/>
      <c r="F1379" s="266"/>
      <c r="G1379" s="266" t="s">
        <v>6304</v>
      </c>
      <c r="H1379" s="266" t="s">
        <v>555</v>
      </c>
      <c r="I1379" s="266"/>
      <c r="J1379" s="266"/>
      <c r="K1379" s="1"/>
      <c r="L1379" s="1"/>
    </row>
    <row r="1380">
      <c r="A1380" s="266">
        <v>19900.0</v>
      </c>
      <c r="B1380" s="266"/>
      <c r="C1380" s="266">
        <v>10.0</v>
      </c>
      <c r="D1380" s="266" t="s">
        <v>7395</v>
      </c>
      <c r="E1380" s="266"/>
      <c r="F1380" s="266"/>
      <c r="G1380" s="266" t="s">
        <v>6304</v>
      </c>
      <c r="H1380" s="266" t="s">
        <v>7252</v>
      </c>
      <c r="I1380" s="266" t="s">
        <v>6305</v>
      </c>
      <c r="J1380" s="266"/>
      <c r="K1380" s="1"/>
      <c r="L1380" s="1"/>
    </row>
    <row r="1381">
      <c r="A1381" s="266">
        <v>20000.0</v>
      </c>
      <c r="B1381" s="266"/>
      <c r="C1381" s="266">
        <v>10.0</v>
      </c>
      <c r="D1381" s="266" t="s">
        <v>7396</v>
      </c>
      <c r="E1381" s="266"/>
      <c r="F1381" s="266"/>
      <c r="G1381" s="266" t="s">
        <v>6304</v>
      </c>
      <c r="H1381" s="266" t="s">
        <v>555</v>
      </c>
      <c r="I1381" s="266"/>
      <c r="J1381" s="266"/>
      <c r="K1381" s="1"/>
      <c r="L1381" s="1"/>
    </row>
    <row r="1382">
      <c r="A1382" s="266">
        <v>20100.0</v>
      </c>
      <c r="B1382" s="266"/>
      <c r="C1382" s="266">
        <v>10.0</v>
      </c>
      <c r="D1382" s="266" t="s">
        <v>7397</v>
      </c>
      <c r="E1382" s="266"/>
      <c r="F1382" s="266"/>
      <c r="G1382" s="266" t="s">
        <v>6304</v>
      </c>
      <c r="H1382" s="266" t="s">
        <v>5245</v>
      </c>
      <c r="I1382" s="266" t="s">
        <v>6305</v>
      </c>
      <c r="J1382" s="266"/>
      <c r="K1382" s="1"/>
      <c r="L1382" s="1"/>
    </row>
    <row r="1383">
      <c r="A1383" s="266">
        <v>20200.0</v>
      </c>
      <c r="B1383" s="266"/>
      <c r="C1383" s="266">
        <v>10.0</v>
      </c>
      <c r="D1383" s="266" t="s">
        <v>7398</v>
      </c>
      <c r="E1383" s="266"/>
      <c r="F1383" s="266"/>
      <c r="G1383" s="266" t="s">
        <v>6304</v>
      </c>
      <c r="H1383" s="266" t="s">
        <v>5245</v>
      </c>
      <c r="I1383" s="266" t="s">
        <v>6305</v>
      </c>
      <c r="J1383" s="266"/>
      <c r="K1383" s="1"/>
      <c r="L1383" s="1"/>
    </row>
    <row r="1384">
      <c r="A1384" s="266">
        <v>20300.0</v>
      </c>
      <c r="B1384" s="266"/>
      <c r="C1384" s="266">
        <v>10.0</v>
      </c>
      <c r="D1384" s="266" t="s">
        <v>7399</v>
      </c>
      <c r="E1384" s="266"/>
      <c r="F1384" s="266"/>
      <c r="G1384" s="266" t="s">
        <v>6304</v>
      </c>
      <c r="H1384" s="266" t="s">
        <v>555</v>
      </c>
      <c r="I1384" s="266"/>
      <c r="J1384" s="266"/>
      <c r="K1384" s="1"/>
      <c r="L1384" s="1"/>
    </row>
    <row r="1385">
      <c r="A1385" s="266">
        <v>20400.0</v>
      </c>
      <c r="B1385" s="266"/>
      <c r="C1385" s="266">
        <v>10.0</v>
      </c>
      <c r="D1385" s="266" t="s">
        <v>7400</v>
      </c>
      <c r="E1385" s="266"/>
      <c r="F1385" s="266"/>
      <c r="G1385" s="266" t="s">
        <v>6304</v>
      </c>
      <c r="H1385" s="266" t="s">
        <v>555</v>
      </c>
      <c r="I1385" s="266"/>
      <c r="J1385" s="266"/>
      <c r="K1385" s="1"/>
      <c r="L1385" s="1"/>
    </row>
    <row r="1386">
      <c r="A1386" s="266">
        <v>20500.0</v>
      </c>
      <c r="B1386" s="266"/>
      <c r="C1386" s="266">
        <v>10.0</v>
      </c>
      <c r="D1386" s="266" t="s">
        <v>7401</v>
      </c>
      <c r="E1386" s="266"/>
      <c r="F1386" s="266"/>
      <c r="G1386" s="266" t="s">
        <v>6304</v>
      </c>
      <c r="H1386" s="266" t="s">
        <v>555</v>
      </c>
      <c r="I1386" s="266"/>
      <c r="J1386" s="266"/>
      <c r="K1386" s="1"/>
      <c r="L1386" s="1"/>
    </row>
    <row r="1387">
      <c r="A1387" s="266">
        <v>20600.0</v>
      </c>
      <c r="B1387" s="266"/>
      <c r="C1387" s="266">
        <v>10.0</v>
      </c>
      <c r="D1387" s="266" t="s">
        <v>7402</v>
      </c>
      <c r="E1387" s="266"/>
      <c r="F1387" s="266"/>
      <c r="G1387" s="266" t="s">
        <v>6304</v>
      </c>
      <c r="H1387" s="266" t="s">
        <v>6731</v>
      </c>
      <c r="I1387" s="266" t="s">
        <v>6305</v>
      </c>
      <c r="J1387" s="266"/>
      <c r="K1387" s="1"/>
      <c r="L1387" s="1"/>
    </row>
    <row r="1388">
      <c r="A1388" s="266">
        <v>20700.0</v>
      </c>
      <c r="B1388" s="266"/>
      <c r="C1388" s="266">
        <v>10.0</v>
      </c>
      <c r="D1388" s="266" t="s">
        <v>7403</v>
      </c>
      <c r="E1388" s="266"/>
      <c r="F1388" s="266"/>
      <c r="G1388" s="266" t="s">
        <v>6304</v>
      </c>
      <c r="H1388" s="266" t="s">
        <v>555</v>
      </c>
      <c r="I1388" s="266"/>
      <c r="J1388" s="266"/>
      <c r="K1388" s="1"/>
      <c r="L1388" s="1"/>
    </row>
    <row r="1389">
      <c r="A1389" s="266">
        <v>20800.0</v>
      </c>
      <c r="B1389" s="266"/>
      <c r="C1389" s="266">
        <v>10.0</v>
      </c>
      <c r="D1389" s="266" t="s">
        <v>7404</v>
      </c>
      <c r="E1389" s="266"/>
      <c r="F1389" s="266"/>
      <c r="G1389" s="266" t="s">
        <v>6304</v>
      </c>
      <c r="H1389" s="266" t="s">
        <v>559</v>
      </c>
      <c r="I1389" s="266"/>
      <c r="J1389" s="266"/>
      <c r="K1389" s="1"/>
      <c r="L1389" s="1"/>
    </row>
    <row r="1390">
      <c r="A1390" s="266">
        <v>20900.0</v>
      </c>
      <c r="B1390" s="266"/>
      <c r="C1390" s="266">
        <v>10.0</v>
      </c>
      <c r="D1390" s="266" t="s">
        <v>6306</v>
      </c>
      <c r="E1390" s="266"/>
      <c r="F1390" s="266"/>
      <c r="G1390" s="266" t="s">
        <v>6304</v>
      </c>
      <c r="H1390" s="266" t="s">
        <v>7405</v>
      </c>
      <c r="I1390" s="266"/>
      <c r="J1390" s="266"/>
      <c r="K1390" s="1"/>
      <c r="L1390" s="1"/>
    </row>
    <row r="1391">
      <c r="A1391" s="266">
        <v>21000.0</v>
      </c>
      <c r="B1391" s="266"/>
      <c r="C1391" s="266">
        <v>5.0</v>
      </c>
      <c r="D1391" s="266" t="s">
        <v>7406</v>
      </c>
      <c r="E1391" s="266" t="s">
        <v>6603</v>
      </c>
      <c r="F1391" s="266" t="s">
        <v>7234</v>
      </c>
      <c r="G1391" s="266"/>
      <c r="H1391" s="266"/>
      <c r="I1391" s="266"/>
      <c r="J1391" s="267"/>
    </row>
    <row r="1392">
      <c r="A1392" s="266">
        <v>21100.0</v>
      </c>
      <c r="B1392" s="266"/>
      <c r="C1392" s="266">
        <v>10.0</v>
      </c>
      <c r="D1392" s="266" t="s">
        <v>7407</v>
      </c>
      <c r="E1392" s="266"/>
      <c r="F1392" s="266"/>
      <c r="G1392" s="266"/>
      <c r="H1392" s="266"/>
      <c r="I1392" s="266"/>
      <c r="J1392" s="267"/>
    </row>
    <row r="1393">
      <c r="A1393" s="266">
        <v>21200.0</v>
      </c>
      <c r="B1393" s="266"/>
      <c r="C1393" s="266">
        <v>15.0</v>
      </c>
      <c r="D1393" s="266" t="s">
        <v>6306</v>
      </c>
      <c r="E1393" s="266"/>
      <c r="F1393" s="266"/>
      <c r="G1393" s="266" t="s">
        <v>6304</v>
      </c>
      <c r="H1393" s="266" t="s">
        <v>7230</v>
      </c>
      <c r="I1393" s="266"/>
      <c r="J1393" s="266"/>
      <c r="K1393" s="1"/>
      <c r="L1393" s="1"/>
    </row>
    <row r="1394">
      <c r="A1394" s="266">
        <v>21300.0</v>
      </c>
      <c r="B1394" s="266"/>
      <c r="C1394" s="266">
        <v>15.0</v>
      </c>
      <c r="D1394" s="266" t="s">
        <v>7408</v>
      </c>
      <c r="E1394" s="266"/>
      <c r="F1394" s="266"/>
      <c r="G1394" s="266" t="s">
        <v>6304</v>
      </c>
      <c r="H1394" s="266" t="s">
        <v>3806</v>
      </c>
      <c r="I1394" s="266"/>
      <c r="J1394" s="266"/>
      <c r="K1394" s="1"/>
      <c r="L1394" s="1"/>
    </row>
    <row r="1395">
      <c r="A1395" s="266">
        <v>21400.0</v>
      </c>
      <c r="B1395" s="266"/>
      <c r="C1395" s="266">
        <v>15.0</v>
      </c>
      <c r="D1395" s="266" t="s">
        <v>7409</v>
      </c>
      <c r="E1395" s="266"/>
      <c r="F1395" s="266"/>
      <c r="G1395" s="266" t="s">
        <v>6304</v>
      </c>
      <c r="H1395" s="266" t="s">
        <v>555</v>
      </c>
      <c r="I1395" s="266"/>
      <c r="J1395" s="266"/>
      <c r="K1395" s="1"/>
      <c r="L1395" s="1"/>
    </row>
    <row r="1396">
      <c r="A1396" s="266">
        <v>21500.0</v>
      </c>
      <c r="B1396" s="266"/>
      <c r="C1396" s="266">
        <v>15.0</v>
      </c>
      <c r="D1396" s="266" t="s">
        <v>7410</v>
      </c>
      <c r="E1396" s="266"/>
      <c r="F1396" s="266"/>
      <c r="G1396" s="266" t="s">
        <v>6304</v>
      </c>
      <c r="H1396" s="266" t="s">
        <v>555</v>
      </c>
      <c r="I1396" s="266"/>
      <c r="J1396" s="266"/>
      <c r="K1396" s="1"/>
      <c r="L1396" s="1"/>
    </row>
    <row r="1397">
      <c r="A1397" s="266">
        <v>21600.0</v>
      </c>
      <c r="B1397" s="266"/>
      <c r="C1397" s="266">
        <v>15.0</v>
      </c>
      <c r="D1397" s="266" t="s">
        <v>7411</v>
      </c>
      <c r="E1397" s="266"/>
      <c r="F1397" s="266"/>
      <c r="G1397" s="266" t="s">
        <v>6304</v>
      </c>
      <c r="H1397" s="266" t="s">
        <v>559</v>
      </c>
      <c r="I1397" s="266"/>
      <c r="J1397" s="266"/>
      <c r="K1397" s="1"/>
      <c r="L1397" s="1"/>
    </row>
    <row r="1398">
      <c r="A1398" s="266">
        <v>21700.0</v>
      </c>
      <c r="B1398" s="266"/>
      <c r="C1398" s="266">
        <v>10.0</v>
      </c>
      <c r="D1398" s="266" t="s">
        <v>7412</v>
      </c>
      <c r="E1398" s="266" t="s">
        <v>6603</v>
      </c>
      <c r="F1398" s="266" t="s">
        <v>7407</v>
      </c>
      <c r="G1398" s="266"/>
      <c r="H1398" s="266"/>
      <c r="I1398" s="266"/>
      <c r="J1398" s="267"/>
    </row>
    <row r="1399">
      <c r="A1399" s="266">
        <v>21800.0</v>
      </c>
      <c r="B1399" s="266"/>
      <c r="C1399" s="266">
        <v>15.0</v>
      </c>
      <c r="D1399" s="266" t="s">
        <v>6306</v>
      </c>
      <c r="E1399" s="266"/>
      <c r="F1399" s="266"/>
      <c r="G1399" s="266" t="s">
        <v>6304</v>
      </c>
      <c r="H1399" s="266" t="s">
        <v>7413</v>
      </c>
      <c r="I1399" s="266"/>
      <c r="J1399" s="266"/>
      <c r="K1399" s="1"/>
      <c r="L1399" s="1"/>
    </row>
    <row r="1400">
      <c r="A1400" s="266">
        <v>21900.0</v>
      </c>
      <c r="B1400" s="266"/>
      <c r="C1400" s="266">
        <v>10.0</v>
      </c>
      <c r="D1400" s="266" t="s">
        <v>7414</v>
      </c>
      <c r="E1400" s="266"/>
      <c r="F1400" s="266"/>
      <c r="G1400" s="266" t="s">
        <v>6304</v>
      </c>
      <c r="H1400" s="266" t="s">
        <v>6786</v>
      </c>
      <c r="I1400" s="266" t="s">
        <v>6305</v>
      </c>
      <c r="J1400" s="266"/>
      <c r="K1400" s="1"/>
      <c r="L1400" s="1"/>
    </row>
    <row r="1401">
      <c r="A1401" s="266">
        <v>22000.0</v>
      </c>
      <c r="B1401" s="266"/>
      <c r="C1401" s="266">
        <v>10.0</v>
      </c>
      <c r="D1401" s="266" t="s">
        <v>7415</v>
      </c>
      <c r="E1401" s="266"/>
      <c r="F1401" s="266"/>
      <c r="G1401" s="266" t="s">
        <v>6304</v>
      </c>
      <c r="H1401" s="266" t="s">
        <v>6798</v>
      </c>
      <c r="I1401" s="266" t="s">
        <v>6305</v>
      </c>
      <c r="J1401" s="266"/>
      <c r="K1401" s="1"/>
      <c r="L1401" s="1"/>
    </row>
    <row r="1402">
      <c r="A1402" s="266">
        <v>22100.0</v>
      </c>
      <c r="B1402" s="266"/>
      <c r="C1402" s="266">
        <v>10.0</v>
      </c>
      <c r="D1402" s="266" t="s">
        <v>7416</v>
      </c>
      <c r="E1402" s="266"/>
      <c r="F1402" s="266"/>
      <c r="G1402" s="266" t="s">
        <v>6304</v>
      </c>
      <c r="H1402" s="266" t="s">
        <v>6798</v>
      </c>
      <c r="I1402" s="266" t="s">
        <v>6305</v>
      </c>
      <c r="J1402" s="266"/>
      <c r="K1402" s="1"/>
      <c r="L1402" s="1"/>
    </row>
    <row r="1403">
      <c r="A1403" s="266">
        <v>22200.0</v>
      </c>
      <c r="B1403" s="266"/>
      <c r="C1403" s="266">
        <v>10.0</v>
      </c>
      <c r="D1403" s="266" t="s">
        <v>7417</v>
      </c>
      <c r="E1403" s="266"/>
      <c r="F1403" s="266"/>
      <c r="G1403" s="266" t="s">
        <v>6304</v>
      </c>
      <c r="H1403" s="266" t="s">
        <v>6798</v>
      </c>
      <c r="I1403" s="266" t="s">
        <v>6305</v>
      </c>
      <c r="J1403" s="266"/>
      <c r="K1403" s="1"/>
      <c r="L1403" s="1"/>
    </row>
    <row r="1404">
      <c r="A1404" s="266">
        <v>22300.0</v>
      </c>
      <c r="B1404" s="266"/>
      <c r="C1404" s="266">
        <v>10.0</v>
      </c>
      <c r="D1404" s="266" t="s">
        <v>7418</v>
      </c>
      <c r="E1404" s="266"/>
      <c r="F1404" s="266"/>
      <c r="G1404" s="266" t="s">
        <v>6304</v>
      </c>
      <c r="H1404" s="266" t="s">
        <v>544</v>
      </c>
      <c r="I1404" s="266" t="s">
        <v>6305</v>
      </c>
      <c r="J1404" s="266"/>
      <c r="K1404" s="1"/>
      <c r="L1404" s="1"/>
    </row>
    <row r="1405">
      <c r="A1405" s="266">
        <v>22400.0</v>
      </c>
      <c r="B1405" s="266"/>
      <c r="C1405" s="266">
        <v>10.0</v>
      </c>
      <c r="D1405" s="266" t="s">
        <v>7419</v>
      </c>
      <c r="E1405" s="266"/>
      <c r="F1405" s="266"/>
      <c r="G1405" s="266" t="s">
        <v>6304</v>
      </c>
      <c r="H1405" s="266" t="s">
        <v>544</v>
      </c>
      <c r="I1405" s="266" t="s">
        <v>6305</v>
      </c>
      <c r="J1405" s="266"/>
      <c r="K1405" s="1"/>
      <c r="L1405" s="1"/>
    </row>
    <row r="1406">
      <c r="A1406" s="266">
        <v>22500.0</v>
      </c>
      <c r="B1406" s="266"/>
      <c r="C1406" s="266">
        <v>10.0</v>
      </c>
      <c r="D1406" s="266" t="s">
        <v>7420</v>
      </c>
      <c r="E1406" s="266"/>
      <c r="F1406" s="266"/>
      <c r="G1406" s="266" t="s">
        <v>6304</v>
      </c>
      <c r="H1406" s="266" t="s">
        <v>544</v>
      </c>
      <c r="I1406" s="266" t="s">
        <v>6305</v>
      </c>
      <c r="J1406" s="266"/>
      <c r="K1406" s="1"/>
      <c r="L1406" s="1"/>
    </row>
    <row r="1407">
      <c r="A1407" s="266">
        <v>22600.0</v>
      </c>
      <c r="B1407" s="266"/>
      <c r="C1407" s="266">
        <v>10.0</v>
      </c>
      <c r="D1407" s="266" t="s">
        <v>7421</v>
      </c>
      <c r="E1407" s="266"/>
      <c r="F1407" s="266"/>
      <c r="G1407" s="266" t="s">
        <v>6304</v>
      </c>
      <c r="H1407" s="266" t="s">
        <v>5245</v>
      </c>
      <c r="I1407" s="266" t="s">
        <v>6305</v>
      </c>
      <c r="J1407" s="266"/>
      <c r="K1407" s="1"/>
      <c r="L1407" s="1"/>
    </row>
    <row r="1408">
      <c r="A1408" s="266">
        <v>22700.0</v>
      </c>
      <c r="B1408" s="266"/>
      <c r="C1408" s="266">
        <v>10.0</v>
      </c>
      <c r="D1408" s="266" t="s">
        <v>7422</v>
      </c>
      <c r="E1408" s="266"/>
      <c r="F1408" s="266"/>
      <c r="G1408" s="266" t="s">
        <v>6304</v>
      </c>
      <c r="H1408" s="266" t="s">
        <v>6798</v>
      </c>
      <c r="I1408" s="266" t="s">
        <v>6305</v>
      </c>
      <c r="J1408" s="266"/>
      <c r="K1408" s="1"/>
      <c r="L1408" s="1"/>
    </row>
    <row r="1409">
      <c r="A1409" s="266">
        <v>22800.0</v>
      </c>
      <c r="B1409" s="266"/>
      <c r="C1409" s="266">
        <v>10.0</v>
      </c>
      <c r="D1409" s="266" t="s">
        <v>7423</v>
      </c>
      <c r="E1409" s="266"/>
      <c r="F1409" s="266"/>
      <c r="G1409" s="266" t="s">
        <v>6304</v>
      </c>
      <c r="H1409" s="266" t="s">
        <v>544</v>
      </c>
      <c r="I1409" s="266" t="s">
        <v>6305</v>
      </c>
      <c r="J1409" s="266"/>
      <c r="K1409" s="1"/>
      <c r="L1409" s="1"/>
    </row>
    <row r="1410">
      <c r="A1410" s="266">
        <v>22900.0</v>
      </c>
      <c r="B1410" s="266"/>
      <c r="C1410" s="266">
        <v>10.0</v>
      </c>
      <c r="D1410" s="266" t="s">
        <v>7424</v>
      </c>
      <c r="E1410" s="266"/>
      <c r="F1410" s="266"/>
      <c r="G1410" s="266" t="s">
        <v>6304</v>
      </c>
      <c r="H1410" s="266" t="s">
        <v>544</v>
      </c>
      <c r="I1410" s="266" t="s">
        <v>6305</v>
      </c>
      <c r="J1410" s="266"/>
      <c r="K1410" s="1"/>
      <c r="L1410" s="1"/>
    </row>
    <row r="1411">
      <c r="A1411" s="266">
        <v>23000.0</v>
      </c>
      <c r="B1411" s="266"/>
      <c r="C1411" s="266">
        <v>10.0</v>
      </c>
      <c r="D1411" s="266" t="s">
        <v>7425</v>
      </c>
      <c r="E1411" s="266"/>
      <c r="F1411" s="266"/>
      <c r="G1411" s="266" t="s">
        <v>6304</v>
      </c>
      <c r="H1411" s="266" t="s">
        <v>544</v>
      </c>
      <c r="I1411" s="266" t="s">
        <v>6305</v>
      </c>
      <c r="J1411" s="266"/>
      <c r="K1411" s="1"/>
      <c r="L1411" s="1"/>
    </row>
    <row r="1412">
      <c r="A1412" s="266">
        <v>23100.0</v>
      </c>
      <c r="B1412" s="266"/>
      <c r="C1412" s="266">
        <v>10.0</v>
      </c>
      <c r="D1412" s="266" t="s">
        <v>7426</v>
      </c>
      <c r="E1412" s="266"/>
      <c r="F1412" s="266"/>
      <c r="G1412" s="266" t="s">
        <v>6304</v>
      </c>
      <c r="H1412" s="266" t="s">
        <v>544</v>
      </c>
      <c r="I1412" s="266" t="s">
        <v>6305</v>
      </c>
      <c r="J1412" s="266"/>
      <c r="K1412" s="1"/>
      <c r="L1412" s="1"/>
    </row>
    <row r="1413">
      <c r="A1413" s="266">
        <v>23200.0</v>
      </c>
      <c r="B1413" s="266"/>
      <c r="C1413" s="266">
        <v>10.0</v>
      </c>
      <c r="D1413" s="266" t="s">
        <v>7427</v>
      </c>
      <c r="E1413" s="266"/>
      <c r="F1413" s="266"/>
      <c r="G1413" s="266" t="s">
        <v>6304</v>
      </c>
      <c r="H1413" s="266" t="s">
        <v>544</v>
      </c>
      <c r="I1413" s="266" t="s">
        <v>6305</v>
      </c>
      <c r="J1413" s="266"/>
      <c r="K1413" s="1"/>
      <c r="L1413" s="1"/>
    </row>
    <row r="1414">
      <c r="A1414" s="266">
        <v>23300.0</v>
      </c>
      <c r="B1414" s="266"/>
      <c r="C1414" s="266">
        <v>10.0</v>
      </c>
      <c r="D1414" s="266" t="s">
        <v>6306</v>
      </c>
      <c r="E1414" s="266"/>
      <c r="F1414" s="266"/>
      <c r="G1414" s="266" t="s">
        <v>6304</v>
      </c>
      <c r="H1414" s="266" t="s">
        <v>7428</v>
      </c>
      <c r="I1414" s="266"/>
      <c r="J1414" s="266"/>
      <c r="K1414" s="1"/>
      <c r="L1414" s="1"/>
    </row>
    <row r="1415">
      <c r="A1415" s="266">
        <v>50.0</v>
      </c>
      <c r="B1415" s="266">
        <v>1.0</v>
      </c>
      <c r="C1415" s="266"/>
      <c r="D1415" s="266" t="s">
        <v>7429</v>
      </c>
      <c r="E1415" s="266"/>
      <c r="F1415" s="266"/>
      <c r="G1415" s="266"/>
      <c r="H1415" s="266"/>
      <c r="I1415" s="266"/>
      <c r="J1415" s="267"/>
    </row>
    <row r="1416">
      <c r="A1416" s="266">
        <v>100.0</v>
      </c>
      <c r="B1416" s="266"/>
      <c r="C1416" s="266">
        <v>5.0</v>
      </c>
      <c r="D1416" s="266" t="s">
        <v>7430</v>
      </c>
      <c r="E1416" s="266"/>
      <c r="F1416" s="266"/>
      <c r="G1416" s="266"/>
      <c r="H1416" s="266"/>
      <c r="I1416" s="266"/>
      <c r="J1416" s="267"/>
    </row>
    <row r="1417">
      <c r="A1417" s="266">
        <v>200.0</v>
      </c>
      <c r="B1417" s="266"/>
      <c r="C1417" s="266">
        <v>10.0</v>
      </c>
      <c r="D1417" s="266" t="s">
        <v>7262</v>
      </c>
      <c r="E1417" s="266"/>
      <c r="F1417" s="266"/>
      <c r="G1417" s="266" t="s">
        <v>6304</v>
      </c>
      <c r="H1417" s="266" t="s">
        <v>5243</v>
      </c>
      <c r="I1417" s="266"/>
      <c r="J1417" s="266"/>
      <c r="K1417" s="1"/>
      <c r="L1417" s="1"/>
    </row>
    <row r="1418">
      <c r="A1418" s="266">
        <v>300.0</v>
      </c>
      <c r="B1418" s="266"/>
      <c r="C1418" s="266">
        <v>10.0</v>
      </c>
      <c r="D1418" s="266" t="s">
        <v>7263</v>
      </c>
      <c r="E1418" s="266"/>
      <c r="F1418" s="266"/>
      <c r="G1418" s="266" t="s">
        <v>6304</v>
      </c>
      <c r="H1418" s="266">
        <v>99.0</v>
      </c>
      <c r="I1418" s="266"/>
      <c r="J1418" s="266"/>
      <c r="K1418" s="1"/>
      <c r="L1418" s="1"/>
    </row>
    <row r="1419">
      <c r="A1419" s="266">
        <v>400.0</v>
      </c>
      <c r="B1419" s="266"/>
      <c r="C1419" s="266">
        <v>10.0</v>
      </c>
      <c r="D1419" s="266" t="s">
        <v>5260</v>
      </c>
      <c r="E1419" s="266"/>
      <c r="F1419" s="266"/>
      <c r="G1419" s="266" t="s">
        <v>6304</v>
      </c>
      <c r="H1419" s="266" t="s">
        <v>551</v>
      </c>
      <c r="I1419" s="266"/>
      <c r="J1419" s="266"/>
      <c r="K1419" s="1"/>
      <c r="L1419" s="1"/>
    </row>
    <row r="1420">
      <c r="A1420" s="266">
        <v>500.0</v>
      </c>
      <c r="B1420" s="266"/>
      <c r="C1420" s="266">
        <v>5.0</v>
      </c>
      <c r="D1420" s="266" t="s">
        <v>7431</v>
      </c>
      <c r="E1420" s="266"/>
      <c r="F1420" s="266"/>
      <c r="G1420" s="266"/>
      <c r="H1420" s="266"/>
      <c r="I1420" s="266"/>
      <c r="J1420" s="267"/>
    </row>
    <row r="1421">
      <c r="A1421" s="266">
        <v>600.0</v>
      </c>
      <c r="B1421" s="266"/>
      <c r="C1421" s="266">
        <v>10.0</v>
      </c>
      <c r="D1421" s="266" t="s">
        <v>7432</v>
      </c>
      <c r="E1421" s="266"/>
      <c r="F1421" s="266"/>
      <c r="G1421" s="266" t="s">
        <v>6304</v>
      </c>
      <c r="H1421" s="266" t="s">
        <v>7369</v>
      </c>
      <c r="I1421" s="266"/>
      <c r="J1421" s="266"/>
      <c r="K1421" s="1"/>
      <c r="L1421" s="1"/>
    </row>
    <row r="1422">
      <c r="A1422" s="266">
        <v>700.0</v>
      </c>
      <c r="B1422" s="266"/>
      <c r="C1422" s="266">
        <v>10.0</v>
      </c>
      <c r="D1422" s="266" t="s">
        <v>7433</v>
      </c>
      <c r="E1422" s="266"/>
      <c r="F1422" s="266"/>
      <c r="G1422" s="266" t="s">
        <v>6304</v>
      </c>
      <c r="H1422" s="266" t="s">
        <v>7369</v>
      </c>
      <c r="I1422" s="266"/>
      <c r="J1422" s="266"/>
      <c r="K1422" s="1"/>
      <c r="L1422" s="1"/>
    </row>
    <row r="1423">
      <c r="A1423" s="266">
        <v>800.0</v>
      </c>
      <c r="B1423" s="266"/>
      <c r="C1423" s="266">
        <v>10.0</v>
      </c>
      <c r="D1423" s="266" t="s">
        <v>7434</v>
      </c>
      <c r="E1423" s="266"/>
      <c r="F1423" s="266"/>
      <c r="G1423" s="266" t="s">
        <v>6304</v>
      </c>
      <c r="H1423" s="266" t="s">
        <v>7369</v>
      </c>
      <c r="I1423" s="266"/>
      <c r="J1423" s="266"/>
      <c r="K1423" s="1"/>
      <c r="L1423" s="1"/>
    </row>
    <row r="1424">
      <c r="A1424" s="266">
        <v>900.0</v>
      </c>
      <c r="B1424" s="266"/>
      <c r="C1424" s="266">
        <v>10.0</v>
      </c>
      <c r="D1424" s="266" t="s">
        <v>7435</v>
      </c>
      <c r="E1424" s="266"/>
      <c r="F1424" s="266"/>
      <c r="G1424" s="266" t="s">
        <v>6304</v>
      </c>
      <c r="H1424" s="266" t="s">
        <v>7369</v>
      </c>
      <c r="I1424" s="266"/>
      <c r="J1424" s="266"/>
      <c r="K1424" s="1"/>
      <c r="L1424" s="1"/>
    </row>
    <row r="1425">
      <c r="A1425" s="266">
        <v>1000.0</v>
      </c>
      <c r="B1425" s="266"/>
      <c r="C1425" s="266">
        <v>10.0</v>
      </c>
      <c r="D1425" s="266" t="s">
        <v>7436</v>
      </c>
      <c r="E1425" s="266"/>
      <c r="F1425" s="266"/>
      <c r="G1425" s="266" t="s">
        <v>6304</v>
      </c>
      <c r="H1425" s="266" t="s">
        <v>7369</v>
      </c>
      <c r="I1425" s="266"/>
      <c r="J1425" s="266"/>
      <c r="K1425" s="1"/>
      <c r="L1425" s="1"/>
    </row>
    <row r="1426">
      <c r="A1426" s="266">
        <v>1100.0</v>
      </c>
      <c r="B1426" s="266"/>
      <c r="C1426" s="266">
        <v>10.0</v>
      </c>
      <c r="D1426" s="266" t="s">
        <v>6902</v>
      </c>
      <c r="E1426" s="266"/>
      <c r="F1426" s="266"/>
      <c r="G1426" s="266" t="s">
        <v>6304</v>
      </c>
      <c r="H1426" s="266" t="s">
        <v>4103</v>
      </c>
      <c r="I1426" s="266"/>
      <c r="J1426" s="266"/>
      <c r="K1426" s="1"/>
      <c r="L1426" s="1"/>
    </row>
    <row r="1427">
      <c r="A1427" s="266">
        <v>1200.0</v>
      </c>
      <c r="B1427" s="266"/>
      <c r="C1427" s="266">
        <v>10.0</v>
      </c>
      <c r="D1427" s="266" t="s">
        <v>7437</v>
      </c>
      <c r="E1427" s="266"/>
      <c r="F1427" s="266"/>
      <c r="G1427" s="266" t="s">
        <v>6304</v>
      </c>
      <c r="H1427" s="266" t="s">
        <v>15</v>
      </c>
      <c r="I1427" s="266"/>
      <c r="J1427" s="266"/>
      <c r="K1427" s="1"/>
      <c r="L1427" s="1"/>
    </row>
    <row r="1428">
      <c r="A1428" s="266">
        <v>1300.0</v>
      </c>
      <c r="B1428" s="266"/>
      <c r="C1428" s="266">
        <v>10.0</v>
      </c>
      <c r="D1428" s="266" t="s">
        <v>7063</v>
      </c>
      <c r="E1428" s="266"/>
      <c r="F1428" s="266"/>
      <c r="G1428" s="266" t="s">
        <v>6304</v>
      </c>
      <c r="H1428" s="266" t="s">
        <v>4103</v>
      </c>
      <c r="I1428" s="266"/>
      <c r="J1428" s="266"/>
      <c r="K1428" s="1"/>
      <c r="L1428" s="1"/>
    </row>
    <row r="1429">
      <c r="A1429" s="266">
        <v>1400.0</v>
      </c>
      <c r="B1429" s="266"/>
      <c r="C1429" s="266">
        <v>10.0</v>
      </c>
      <c r="D1429" s="266" t="s">
        <v>7267</v>
      </c>
      <c r="E1429" s="266"/>
      <c r="F1429" s="266"/>
      <c r="G1429" s="266" t="s">
        <v>6304</v>
      </c>
      <c r="H1429" s="266" t="s">
        <v>561</v>
      </c>
      <c r="I1429" s="266"/>
      <c r="J1429" s="266"/>
      <c r="K1429" s="1"/>
      <c r="L1429" s="1"/>
    </row>
    <row r="1430">
      <c r="A1430" s="266">
        <v>1500.0</v>
      </c>
      <c r="B1430" s="266"/>
      <c r="C1430" s="266">
        <v>10.0</v>
      </c>
      <c r="D1430" s="266" t="s">
        <v>7438</v>
      </c>
      <c r="E1430" s="266"/>
      <c r="F1430" s="266"/>
      <c r="G1430" s="266" t="s">
        <v>6304</v>
      </c>
      <c r="H1430" s="266" t="s">
        <v>561</v>
      </c>
      <c r="I1430" s="266"/>
      <c r="J1430" s="266"/>
      <c r="K1430" s="1"/>
      <c r="L1430" s="1"/>
    </row>
    <row r="1431">
      <c r="A1431" s="266">
        <v>1600.0</v>
      </c>
      <c r="B1431" s="266"/>
      <c r="C1431" s="266">
        <v>10.0</v>
      </c>
      <c r="D1431" s="266" t="s">
        <v>7439</v>
      </c>
      <c r="E1431" s="266"/>
      <c r="F1431" s="266"/>
      <c r="G1431" s="266" t="s">
        <v>6304</v>
      </c>
      <c r="H1431" s="266" t="s">
        <v>7440</v>
      </c>
      <c r="I1431" s="266" t="s">
        <v>6305</v>
      </c>
      <c r="J1431" s="266"/>
      <c r="K1431" s="1"/>
      <c r="L1431" s="1"/>
    </row>
    <row r="1432">
      <c r="A1432" s="266">
        <v>1700.0</v>
      </c>
      <c r="B1432" s="266"/>
      <c r="C1432" s="266">
        <v>10.0</v>
      </c>
      <c r="D1432" s="266" t="s">
        <v>7441</v>
      </c>
      <c r="E1432" s="266"/>
      <c r="F1432" s="266"/>
      <c r="G1432" s="266" t="s">
        <v>6304</v>
      </c>
      <c r="H1432" s="266" t="s">
        <v>7440</v>
      </c>
      <c r="I1432" s="266" t="s">
        <v>6305</v>
      </c>
      <c r="J1432" s="266"/>
      <c r="K1432" s="1"/>
      <c r="L1432" s="1"/>
    </row>
    <row r="1433">
      <c r="A1433" s="266">
        <v>1800.0</v>
      </c>
      <c r="B1433" s="266"/>
      <c r="C1433" s="266">
        <v>10.0</v>
      </c>
      <c r="D1433" s="266" t="s">
        <v>7442</v>
      </c>
      <c r="E1433" s="266"/>
      <c r="F1433" s="266"/>
      <c r="G1433" s="266" t="s">
        <v>6304</v>
      </c>
      <c r="H1433" s="266" t="s">
        <v>7440</v>
      </c>
      <c r="I1433" s="266" t="s">
        <v>6305</v>
      </c>
      <c r="J1433" s="266"/>
      <c r="K1433" s="1"/>
      <c r="L1433" s="1"/>
    </row>
    <row r="1434">
      <c r="A1434" s="266">
        <v>1900.0</v>
      </c>
      <c r="B1434" s="266"/>
      <c r="C1434" s="266">
        <v>10.0</v>
      </c>
      <c r="D1434" s="266" t="s">
        <v>7443</v>
      </c>
      <c r="E1434" s="266"/>
      <c r="F1434" s="266"/>
      <c r="G1434" s="266" t="s">
        <v>6304</v>
      </c>
      <c r="H1434" s="266" t="s">
        <v>7440</v>
      </c>
      <c r="I1434" s="266" t="s">
        <v>6305</v>
      </c>
      <c r="J1434" s="266"/>
      <c r="K1434" s="1"/>
      <c r="L1434" s="1"/>
    </row>
    <row r="1435">
      <c r="A1435" s="266">
        <v>2000.0</v>
      </c>
      <c r="B1435" s="266"/>
      <c r="C1435" s="266">
        <v>10.0</v>
      </c>
      <c r="D1435" s="266" t="s">
        <v>7444</v>
      </c>
      <c r="E1435" s="266"/>
      <c r="F1435" s="266"/>
      <c r="G1435" s="266" t="s">
        <v>6304</v>
      </c>
      <c r="H1435" s="266" t="s">
        <v>7440</v>
      </c>
      <c r="I1435" s="266" t="s">
        <v>6305</v>
      </c>
      <c r="J1435" s="266"/>
      <c r="K1435" s="1"/>
      <c r="L1435" s="1"/>
    </row>
    <row r="1436">
      <c r="A1436" s="266">
        <v>2100.0</v>
      </c>
      <c r="B1436" s="266"/>
      <c r="C1436" s="266">
        <v>10.0</v>
      </c>
      <c r="D1436" s="266" t="s">
        <v>7445</v>
      </c>
      <c r="E1436" s="266"/>
      <c r="F1436" s="266"/>
      <c r="G1436" s="266" t="s">
        <v>6304</v>
      </c>
      <c r="H1436" s="266" t="s">
        <v>7440</v>
      </c>
      <c r="I1436" s="266" t="s">
        <v>6305</v>
      </c>
      <c r="J1436" s="266"/>
      <c r="K1436" s="1"/>
      <c r="L1436" s="1"/>
    </row>
    <row r="1437">
      <c r="A1437" s="266">
        <v>2200.0</v>
      </c>
      <c r="B1437" s="266"/>
      <c r="C1437" s="266">
        <v>10.0</v>
      </c>
      <c r="D1437" s="266" t="s">
        <v>7446</v>
      </c>
      <c r="E1437" s="266"/>
      <c r="F1437" s="266"/>
      <c r="G1437" s="266" t="s">
        <v>6304</v>
      </c>
      <c r="H1437" s="266" t="s">
        <v>7440</v>
      </c>
      <c r="I1437" s="266" t="s">
        <v>6305</v>
      </c>
      <c r="J1437" s="266"/>
      <c r="K1437" s="1"/>
      <c r="L1437" s="1"/>
    </row>
    <row r="1438">
      <c r="A1438" s="266">
        <v>2300.0</v>
      </c>
      <c r="B1438" s="266"/>
      <c r="C1438" s="266">
        <v>10.0</v>
      </c>
      <c r="D1438" s="266" t="s">
        <v>7447</v>
      </c>
      <c r="E1438" s="266"/>
      <c r="F1438" s="266"/>
      <c r="G1438" s="266" t="s">
        <v>6304</v>
      </c>
      <c r="H1438" s="266" t="s">
        <v>7440</v>
      </c>
      <c r="I1438" s="266" t="s">
        <v>6305</v>
      </c>
      <c r="J1438" s="266"/>
      <c r="K1438" s="1"/>
      <c r="L1438" s="1"/>
    </row>
    <row r="1439">
      <c r="A1439" s="266">
        <v>2400.0</v>
      </c>
      <c r="B1439" s="266"/>
      <c r="C1439" s="266">
        <v>10.0</v>
      </c>
      <c r="D1439" s="266" t="s">
        <v>7448</v>
      </c>
      <c r="E1439" s="266"/>
      <c r="F1439" s="266"/>
      <c r="G1439" s="266" t="s">
        <v>6304</v>
      </c>
      <c r="H1439" s="266" t="s">
        <v>7440</v>
      </c>
      <c r="I1439" s="266" t="s">
        <v>6305</v>
      </c>
      <c r="J1439" s="266"/>
      <c r="K1439" s="1"/>
      <c r="L1439" s="1"/>
    </row>
    <row r="1440">
      <c r="A1440" s="266">
        <v>2500.0</v>
      </c>
      <c r="B1440" s="266"/>
      <c r="C1440" s="266">
        <v>10.0</v>
      </c>
      <c r="D1440" s="266" t="s">
        <v>7449</v>
      </c>
      <c r="E1440" s="266"/>
      <c r="F1440" s="266"/>
      <c r="G1440" s="266" t="s">
        <v>6304</v>
      </c>
      <c r="H1440" s="266" t="s">
        <v>544</v>
      </c>
      <c r="I1440" s="266" t="s">
        <v>6305</v>
      </c>
      <c r="J1440" s="266"/>
      <c r="K1440" s="1"/>
      <c r="L1440" s="1"/>
    </row>
    <row r="1441">
      <c r="A1441" s="266">
        <v>2600.0</v>
      </c>
      <c r="B1441" s="266"/>
      <c r="C1441" s="266">
        <v>10.0</v>
      </c>
      <c r="D1441" s="266" t="s">
        <v>7450</v>
      </c>
      <c r="E1441" s="266"/>
      <c r="F1441" s="266"/>
      <c r="G1441" s="266" t="s">
        <v>6304</v>
      </c>
      <c r="H1441" s="266" t="s">
        <v>544</v>
      </c>
      <c r="I1441" s="266" t="s">
        <v>6305</v>
      </c>
      <c r="J1441" s="266"/>
      <c r="K1441" s="1"/>
      <c r="L1441" s="1"/>
    </row>
    <row r="1442">
      <c r="A1442" s="266">
        <v>2700.0</v>
      </c>
      <c r="B1442" s="266"/>
      <c r="C1442" s="266">
        <v>10.0</v>
      </c>
      <c r="D1442" s="266" t="s">
        <v>7451</v>
      </c>
      <c r="E1442" s="266"/>
      <c r="F1442" s="266"/>
      <c r="G1442" s="266" t="s">
        <v>6304</v>
      </c>
      <c r="H1442" s="266" t="s">
        <v>544</v>
      </c>
      <c r="I1442" s="266" t="s">
        <v>6305</v>
      </c>
      <c r="J1442" s="266"/>
      <c r="K1442" s="1"/>
      <c r="L1442" s="1"/>
    </row>
    <row r="1443">
      <c r="A1443" s="266">
        <v>2800.0</v>
      </c>
      <c r="B1443" s="266"/>
      <c r="C1443" s="266">
        <v>10.0</v>
      </c>
      <c r="D1443" s="266" t="s">
        <v>7452</v>
      </c>
      <c r="E1443" s="266"/>
      <c r="F1443" s="266"/>
      <c r="G1443" s="266" t="s">
        <v>6304</v>
      </c>
      <c r="H1443" s="266" t="s">
        <v>544</v>
      </c>
      <c r="I1443" s="266" t="s">
        <v>6305</v>
      </c>
      <c r="J1443" s="266"/>
      <c r="K1443" s="1"/>
      <c r="L1443" s="1"/>
    </row>
    <row r="1444">
      <c r="A1444" s="266">
        <v>2900.0</v>
      </c>
      <c r="B1444" s="266"/>
      <c r="C1444" s="266">
        <v>10.0</v>
      </c>
      <c r="D1444" s="266" t="s">
        <v>7453</v>
      </c>
      <c r="E1444" s="266"/>
      <c r="F1444" s="266"/>
      <c r="G1444" s="266" t="s">
        <v>6304</v>
      </c>
      <c r="H1444" s="266" t="s">
        <v>544</v>
      </c>
      <c r="I1444" s="266" t="s">
        <v>6305</v>
      </c>
      <c r="J1444" s="266"/>
      <c r="K1444" s="1"/>
      <c r="L1444" s="1"/>
    </row>
    <row r="1445">
      <c r="A1445" s="266">
        <v>3000.0</v>
      </c>
      <c r="B1445" s="266"/>
      <c r="C1445" s="266">
        <v>10.0</v>
      </c>
      <c r="D1445" s="266" t="s">
        <v>7454</v>
      </c>
      <c r="E1445" s="266"/>
      <c r="F1445" s="266"/>
      <c r="G1445" s="266" t="s">
        <v>6304</v>
      </c>
      <c r="H1445" s="266" t="s">
        <v>544</v>
      </c>
      <c r="I1445" s="266" t="s">
        <v>6305</v>
      </c>
      <c r="J1445" s="266"/>
      <c r="K1445" s="1"/>
      <c r="L1445" s="1"/>
    </row>
    <row r="1446">
      <c r="A1446" s="266">
        <v>3100.0</v>
      </c>
      <c r="B1446" s="266"/>
      <c r="C1446" s="266">
        <v>10.0</v>
      </c>
      <c r="D1446" s="266" t="s">
        <v>7455</v>
      </c>
      <c r="E1446" s="266"/>
      <c r="F1446" s="266"/>
      <c r="G1446" s="266" t="s">
        <v>6304</v>
      </c>
      <c r="H1446" s="266" t="s">
        <v>544</v>
      </c>
      <c r="I1446" s="266" t="s">
        <v>6305</v>
      </c>
      <c r="J1446" s="266"/>
      <c r="K1446" s="1"/>
      <c r="L1446" s="1"/>
    </row>
    <row r="1447">
      <c r="A1447" s="266">
        <v>3200.0</v>
      </c>
      <c r="B1447" s="266"/>
      <c r="C1447" s="266">
        <v>10.0</v>
      </c>
      <c r="D1447" s="266" t="s">
        <v>7456</v>
      </c>
      <c r="E1447" s="266"/>
      <c r="F1447" s="266"/>
      <c r="G1447" s="266" t="s">
        <v>6304</v>
      </c>
      <c r="H1447" s="266" t="s">
        <v>544</v>
      </c>
      <c r="I1447" s="266" t="s">
        <v>6305</v>
      </c>
      <c r="J1447" s="266"/>
      <c r="K1447" s="1"/>
      <c r="L1447" s="1"/>
    </row>
    <row r="1448">
      <c r="A1448" s="266">
        <v>3300.0</v>
      </c>
      <c r="B1448" s="266"/>
      <c r="C1448" s="266">
        <v>10.0</v>
      </c>
      <c r="D1448" s="266" t="s">
        <v>7457</v>
      </c>
      <c r="E1448" s="266"/>
      <c r="F1448" s="266"/>
      <c r="G1448" s="266" t="s">
        <v>6304</v>
      </c>
      <c r="H1448" s="266" t="s">
        <v>544</v>
      </c>
      <c r="I1448" s="266" t="s">
        <v>6305</v>
      </c>
      <c r="J1448" s="266"/>
      <c r="K1448" s="1"/>
      <c r="L1448" s="1"/>
    </row>
    <row r="1449">
      <c r="A1449" s="266">
        <v>3400.0</v>
      </c>
      <c r="B1449" s="266"/>
      <c r="C1449" s="266">
        <v>10.0</v>
      </c>
      <c r="D1449" s="266" t="s">
        <v>7458</v>
      </c>
      <c r="E1449" s="266"/>
      <c r="F1449" s="266"/>
      <c r="G1449" s="266" t="s">
        <v>6304</v>
      </c>
      <c r="H1449" s="266" t="s">
        <v>544</v>
      </c>
      <c r="I1449" s="266" t="s">
        <v>6305</v>
      </c>
      <c r="J1449" s="266"/>
      <c r="K1449" s="1"/>
      <c r="L1449" s="1"/>
    </row>
    <row r="1450">
      <c r="A1450" s="266">
        <v>3500.0</v>
      </c>
      <c r="B1450" s="266"/>
      <c r="C1450" s="266">
        <v>10.0</v>
      </c>
      <c r="D1450" s="266" t="s">
        <v>7459</v>
      </c>
      <c r="E1450" s="266"/>
      <c r="F1450" s="266"/>
      <c r="G1450" s="266" t="s">
        <v>6304</v>
      </c>
      <c r="H1450" s="266" t="s">
        <v>544</v>
      </c>
      <c r="I1450" s="266" t="s">
        <v>6305</v>
      </c>
      <c r="J1450" s="266"/>
      <c r="K1450" s="1"/>
      <c r="L1450" s="1"/>
    </row>
    <row r="1451">
      <c r="A1451" s="266">
        <v>3600.0</v>
      </c>
      <c r="B1451" s="266"/>
      <c r="C1451" s="266">
        <v>10.0</v>
      </c>
      <c r="D1451" s="266" t="s">
        <v>7460</v>
      </c>
      <c r="E1451" s="266"/>
      <c r="F1451" s="266"/>
      <c r="G1451" s="266" t="s">
        <v>6304</v>
      </c>
      <c r="H1451" s="266" t="s">
        <v>544</v>
      </c>
      <c r="I1451" s="266" t="s">
        <v>6305</v>
      </c>
      <c r="J1451" s="266"/>
      <c r="K1451" s="1"/>
      <c r="L1451" s="1"/>
    </row>
    <row r="1452">
      <c r="A1452" s="266">
        <v>3700.0</v>
      </c>
      <c r="B1452" s="266"/>
      <c r="C1452" s="266">
        <v>10.0</v>
      </c>
      <c r="D1452" s="266" t="s">
        <v>7461</v>
      </c>
      <c r="E1452" s="266"/>
      <c r="F1452" s="266"/>
      <c r="G1452" s="266" t="s">
        <v>6304</v>
      </c>
      <c r="H1452" s="266" t="s">
        <v>544</v>
      </c>
      <c r="I1452" s="266" t="s">
        <v>6305</v>
      </c>
      <c r="J1452" s="266"/>
      <c r="K1452" s="1"/>
      <c r="L1452" s="1"/>
    </row>
    <row r="1453">
      <c r="A1453" s="266">
        <v>3800.0</v>
      </c>
      <c r="B1453" s="266"/>
      <c r="C1453" s="266">
        <v>10.0</v>
      </c>
      <c r="D1453" s="266" t="s">
        <v>7462</v>
      </c>
      <c r="E1453" s="266"/>
      <c r="F1453" s="266"/>
      <c r="G1453" s="266" t="s">
        <v>6304</v>
      </c>
      <c r="H1453" s="266" t="s">
        <v>544</v>
      </c>
      <c r="I1453" s="266" t="s">
        <v>6305</v>
      </c>
      <c r="J1453" s="266"/>
      <c r="K1453" s="1"/>
      <c r="L1453" s="1"/>
    </row>
    <row r="1454">
      <c r="A1454" s="266">
        <v>3900.0</v>
      </c>
      <c r="B1454" s="266"/>
      <c r="C1454" s="266">
        <v>10.0</v>
      </c>
      <c r="D1454" s="266" t="s">
        <v>7463</v>
      </c>
      <c r="E1454" s="266"/>
      <c r="F1454" s="266"/>
      <c r="G1454" s="266" t="s">
        <v>6304</v>
      </c>
      <c r="H1454" s="266" t="s">
        <v>544</v>
      </c>
      <c r="I1454" s="266" t="s">
        <v>6305</v>
      </c>
      <c r="J1454" s="266"/>
      <c r="K1454" s="1"/>
      <c r="L1454" s="1"/>
    </row>
    <row r="1455">
      <c r="A1455" s="266">
        <v>4000.0</v>
      </c>
      <c r="B1455" s="266"/>
      <c r="C1455" s="266">
        <v>10.0</v>
      </c>
      <c r="D1455" s="266" t="s">
        <v>7464</v>
      </c>
      <c r="E1455" s="266"/>
      <c r="F1455" s="266"/>
      <c r="G1455" s="266" t="s">
        <v>6304</v>
      </c>
      <c r="H1455" s="266" t="s">
        <v>544</v>
      </c>
      <c r="I1455" s="266" t="s">
        <v>6305</v>
      </c>
      <c r="J1455" s="266"/>
      <c r="K1455" s="1"/>
      <c r="L1455" s="1"/>
    </row>
    <row r="1456">
      <c r="A1456" s="266">
        <v>4100.0</v>
      </c>
      <c r="B1456" s="266"/>
      <c r="C1456" s="266">
        <v>10.0</v>
      </c>
      <c r="D1456" s="266" t="s">
        <v>7465</v>
      </c>
      <c r="E1456" s="266"/>
      <c r="F1456" s="266"/>
      <c r="G1456" s="266" t="s">
        <v>6304</v>
      </c>
      <c r="H1456" s="266" t="s">
        <v>544</v>
      </c>
      <c r="I1456" s="266" t="s">
        <v>6305</v>
      </c>
      <c r="J1456" s="266"/>
      <c r="K1456" s="1"/>
      <c r="L1456" s="1"/>
    </row>
    <row r="1457">
      <c r="A1457" s="266">
        <v>4200.0</v>
      </c>
      <c r="B1457" s="266"/>
      <c r="C1457" s="266">
        <v>10.0</v>
      </c>
      <c r="D1457" s="266" t="s">
        <v>7466</v>
      </c>
      <c r="E1457" s="266"/>
      <c r="F1457" s="266"/>
      <c r="G1457" s="266" t="s">
        <v>6304</v>
      </c>
      <c r="H1457" s="266" t="s">
        <v>544</v>
      </c>
      <c r="I1457" s="266" t="s">
        <v>6305</v>
      </c>
      <c r="J1457" s="266"/>
      <c r="K1457" s="1"/>
      <c r="L1457" s="1"/>
    </row>
    <row r="1458">
      <c r="A1458" s="266">
        <v>4300.0</v>
      </c>
      <c r="B1458" s="266"/>
      <c r="C1458" s="266">
        <v>10.0</v>
      </c>
      <c r="D1458" s="266" t="s">
        <v>7467</v>
      </c>
      <c r="E1458" s="266"/>
      <c r="F1458" s="266"/>
      <c r="G1458" s="266" t="s">
        <v>6304</v>
      </c>
      <c r="H1458" s="266" t="s">
        <v>7440</v>
      </c>
      <c r="I1458" s="266" t="s">
        <v>6305</v>
      </c>
      <c r="J1458" s="266"/>
      <c r="K1458" s="1"/>
      <c r="L1458" s="1"/>
    </row>
    <row r="1459">
      <c r="A1459" s="266">
        <v>4400.0</v>
      </c>
      <c r="B1459" s="266"/>
      <c r="C1459" s="266">
        <v>10.0</v>
      </c>
      <c r="D1459" s="266" t="s">
        <v>7468</v>
      </c>
      <c r="E1459" s="266"/>
      <c r="F1459" s="266"/>
      <c r="G1459" s="266" t="s">
        <v>6304</v>
      </c>
      <c r="H1459" s="266" t="s">
        <v>7440</v>
      </c>
      <c r="I1459" s="266" t="s">
        <v>6305</v>
      </c>
      <c r="J1459" s="266"/>
      <c r="K1459" s="1"/>
      <c r="L1459" s="1"/>
    </row>
    <row r="1460">
      <c r="A1460" s="266">
        <v>4500.0</v>
      </c>
      <c r="B1460" s="266"/>
      <c r="C1460" s="266">
        <v>10.0</v>
      </c>
      <c r="D1460" s="266" t="s">
        <v>7469</v>
      </c>
      <c r="E1460" s="266"/>
      <c r="F1460" s="266"/>
      <c r="G1460" s="266" t="s">
        <v>6304</v>
      </c>
      <c r="H1460" s="266" t="s">
        <v>7440</v>
      </c>
      <c r="I1460" s="266" t="s">
        <v>6305</v>
      </c>
      <c r="J1460" s="266"/>
      <c r="K1460" s="1"/>
      <c r="L1460" s="1"/>
    </row>
    <row r="1461">
      <c r="A1461" s="266">
        <v>4600.0</v>
      </c>
      <c r="B1461" s="266"/>
      <c r="C1461" s="266">
        <v>10.0</v>
      </c>
      <c r="D1461" s="266" t="s">
        <v>7470</v>
      </c>
      <c r="E1461" s="266"/>
      <c r="F1461" s="266"/>
      <c r="G1461" s="266" t="s">
        <v>6304</v>
      </c>
      <c r="H1461" s="266" t="s">
        <v>7440</v>
      </c>
      <c r="I1461" s="266" t="s">
        <v>6305</v>
      </c>
      <c r="J1461" s="266"/>
      <c r="K1461" s="1"/>
      <c r="L1461" s="1"/>
    </row>
    <row r="1462">
      <c r="A1462" s="266">
        <v>4700.0</v>
      </c>
      <c r="B1462" s="266"/>
      <c r="C1462" s="266">
        <v>10.0</v>
      </c>
      <c r="D1462" s="266" t="s">
        <v>7471</v>
      </c>
      <c r="E1462" s="266"/>
      <c r="F1462" s="266"/>
      <c r="G1462" s="266" t="s">
        <v>6304</v>
      </c>
      <c r="H1462" s="266" t="s">
        <v>7440</v>
      </c>
      <c r="I1462" s="266" t="s">
        <v>6305</v>
      </c>
      <c r="J1462" s="266"/>
      <c r="K1462" s="1"/>
      <c r="L1462" s="1"/>
    </row>
    <row r="1463">
      <c r="A1463" s="266">
        <v>4800.0</v>
      </c>
      <c r="B1463" s="266"/>
      <c r="C1463" s="266">
        <v>10.0</v>
      </c>
      <c r="D1463" s="266" t="s">
        <v>7472</v>
      </c>
      <c r="E1463" s="266"/>
      <c r="F1463" s="266"/>
      <c r="G1463" s="266" t="s">
        <v>6304</v>
      </c>
      <c r="H1463" s="266" t="s">
        <v>7440</v>
      </c>
      <c r="I1463" s="266" t="s">
        <v>6305</v>
      </c>
      <c r="J1463" s="266"/>
      <c r="K1463" s="1"/>
      <c r="L1463" s="1"/>
    </row>
    <row r="1464">
      <c r="A1464" s="266">
        <v>4900.0</v>
      </c>
      <c r="B1464" s="266"/>
      <c r="C1464" s="266">
        <v>10.0</v>
      </c>
      <c r="D1464" s="266" t="s">
        <v>7473</v>
      </c>
      <c r="E1464" s="266"/>
      <c r="F1464" s="266"/>
      <c r="G1464" s="266" t="s">
        <v>6304</v>
      </c>
      <c r="H1464" s="266" t="s">
        <v>7440</v>
      </c>
      <c r="I1464" s="266" t="s">
        <v>6305</v>
      </c>
      <c r="J1464" s="266"/>
      <c r="K1464" s="1"/>
      <c r="L1464" s="1"/>
    </row>
    <row r="1465">
      <c r="A1465" s="266">
        <v>5000.0</v>
      </c>
      <c r="B1465" s="266"/>
      <c r="C1465" s="266">
        <v>10.0</v>
      </c>
      <c r="D1465" s="266" t="s">
        <v>7474</v>
      </c>
      <c r="E1465" s="266"/>
      <c r="F1465" s="266"/>
      <c r="G1465" s="266" t="s">
        <v>6304</v>
      </c>
      <c r="H1465" s="266" t="s">
        <v>7440</v>
      </c>
      <c r="I1465" s="266" t="s">
        <v>6305</v>
      </c>
      <c r="J1465" s="266"/>
      <c r="K1465" s="1"/>
      <c r="L1465" s="1"/>
    </row>
    <row r="1466">
      <c r="A1466" s="266">
        <v>5100.0</v>
      </c>
      <c r="B1466" s="266"/>
      <c r="C1466" s="266">
        <v>10.0</v>
      </c>
      <c r="D1466" s="266" t="s">
        <v>7475</v>
      </c>
      <c r="E1466" s="266"/>
      <c r="F1466" s="266"/>
      <c r="G1466" s="266" t="s">
        <v>6304</v>
      </c>
      <c r="H1466" s="266" t="s">
        <v>7440</v>
      </c>
      <c r="I1466" s="266" t="s">
        <v>6305</v>
      </c>
      <c r="J1466" s="266"/>
      <c r="K1466" s="1"/>
      <c r="L1466" s="1"/>
    </row>
    <row r="1467">
      <c r="A1467" s="266">
        <v>5200.0</v>
      </c>
      <c r="B1467" s="266"/>
      <c r="C1467" s="266">
        <v>10.0</v>
      </c>
      <c r="D1467" s="266" t="s">
        <v>7476</v>
      </c>
      <c r="E1467" s="266"/>
      <c r="F1467" s="266"/>
      <c r="G1467" s="266" t="s">
        <v>6304</v>
      </c>
      <c r="H1467" s="266" t="s">
        <v>544</v>
      </c>
      <c r="I1467" s="266" t="s">
        <v>6305</v>
      </c>
      <c r="J1467" s="266"/>
      <c r="K1467" s="1"/>
      <c r="L1467" s="1"/>
    </row>
    <row r="1468">
      <c r="A1468" s="266">
        <v>5300.0</v>
      </c>
      <c r="B1468" s="266"/>
      <c r="C1468" s="266">
        <v>10.0</v>
      </c>
      <c r="D1468" s="266" t="s">
        <v>7477</v>
      </c>
      <c r="E1468" s="266"/>
      <c r="F1468" s="266"/>
      <c r="G1468" s="266" t="s">
        <v>6304</v>
      </c>
      <c r="H1468" s="266" t="s">
        <v>544</v>
      </c>
      <c r="I1468" s="266" t="s">
        <v>6305</v>
      </c>
      <c r="J1468" s="266"/>
      <c r="K1468" s="1"/>
      <c r="L1468" s="1"/>
    </row>
    <row r="1469">
      <c r="A1469" s="266">
        <v>5400.0</v>
      </c>
      <c r="B1469" s="266"/>
      <c r="C1469" s="266">
        <v>10.0</v>
      </c>
      <c r="D1469" s="266" t="s">
        <v>7478</v>
      </c>
      <c r="E1469" s="266"/>
      <c r="F1469" s="266"/>
      <c r="G1469" s="266" t="s">
        <v>6304</v>
      </c>
      <c r="H1469" s="266" t="s">
        <v>544</v>
      </c>
      <c r="I1469" s="266" t="s">
        <v>6305</v>
      </c>
      <c r="J1469" s="266"/>
      <c r="K1469" s="1"/>
      <c r="L1469" s="1"/>
    </row>
    <row r="1470">
      <c r="A1470" s="266">
        <v>5500.0</v>
      </c>
      <c r="B1470" s="266"/>
      <c r="C1470" s="266">
        <v>10.0</v>
      </c>
      <c r="D1470" s="266" t="s">
        <v>7479</v>
      </c>
      <c r="E1470" s="266"/>
      <c r="F1470" s="266"/>
      <c r="G1470" s="266" t="s">
        <v>6304</v>
      </c>
      <c r="H1470" s="266" t="s">
        <v>544</v>
      </c>
      <c r="I1470" s="266" t="s">
        <v>6305</v>
      </c>
      <c r="J1470" s="266"/>
      <c r="K1470" s="1"/>
      <c r="L1470" s="1"/>
    </row>
    <row r="1471">
      <c r="A1471" s="266">
        <v>5600.0</v>
      </c>
      <c r="B1471" s="266"/>
      <c r="C1471" s="266">
        <v>10.0</v>
      </c>
      <c r="D1471" s="266" t="s">
        <v>7480</v>
      </c>
      <c r="E1471" s="266"/>
      <c r="F1471" s="266"/>
      <c r="G1471" s="266" t="s">
        <v>6304</v>
      </c>
      <c r="H1471" s="266" t="s">
        <v>544</v>
      </c>
      <c r="I1471" s="266" t="s">
        <v>6305</v>
      </c>
      <c r="J1471" s="266"/>
      <c r="K1471" s="1"/>
      <c r="L1471" s="1"/>
    </row>
    <row r="1472">
      <c r="A1472" s="266">
        <v>5700.0</v>
      </c>
      <c r="B1472" s="266"/>
      <c r="C1472" s="266">
        <v>10.0</v>
      </c>
      <c r="D1472" s="266" t="s">
        <v>7481</v>
      </c>
      <c r="E1472" s="266"/>
      <c r="F1472" s="266"/>
      <c r="G1472" s="266" t="s">
        <v>6304</v>
      </c>
      <c r="H1472" s="266" t="s">
        <v>544</v>
      </c>
      <c r="I1472" s="266" t="s">
        <v>6305</v>
      </c>
      <c r="J1472" s="266"/>
      <c r="K1472" s="1"/>
      <c r="L1472" s="1"/>
    </row>
    <row r="1473">
      <c r="A1473" s="266">
        <v>5800.0</v>
      </c>
      <c r="B1473" s="266"/>
      <c r="C1473" s="266">
        <v>10.0</v>
      </c>
      <c r="D1473" s="266" t="s">
        <v>7482</v>
      </c>
      <c r="E1473" s="266"/>
      <c r="F1473" s="266"/>
      <c r="G1473" s="266" t="s">
        <v>6304</v>
      </c>
      <c r="H1473" s="266" t="s">
        <v>544</v>
      </c>
      <c r="I1473" s="266" t="s">
        <v>6305</v>
      </c>
      <c r="J1473" s="266"/>
      <c r="K1473" s="1"/>
      <c r="L1473" s="1"/>
    </row>
    <row r="1474">
      <c r="A1474" s="266">
        <v>5900.0</v>
      </c>
      <c r="B1474" s="266"/>
      <c r="C1474" s="266">
        <v>10.0</v>
      </c>
      <c r="D1474" s="266" t="s">
        <v>7483</v>
      </c>
      <c r="E1474" s="266"/>
      <c r="F1474" s="266"/>
      <c r="G1474" s="266" t="s">
        <v>6304</v>
      </c>
      <c r="H1474" s="266" t="s">
        <v>544</v>
      </c>
      <c r="I1474" s="266" t="s">
        <v>6305</v>
      </c>
      <c r="J1474" s="266"/>
      <c r="K1474" s="1"/>
      <c r="L1474" s="1"/>
    </row>
    <row r="1475">
      <c r="A1475" s="266">
        <v>6000.0</v>
      </c>
      <c r="B1475" s="266"/>
      <c r="C1475" s="266">
        <v>10.0</v>
      </c>
      <c r="D1475" s="266" t="s">
        <v>7484</v>
      </c>
      <c r="E1475" s="266"/>
      <c r="F1475" s="266"/>
      <c r="G1475" s="266" t="s">
        <v>6304</v>
      </c>
      <c r="H1475" s="266" t="s">
        <v>544</v>
      </c>
      <c r="I1475" s="266" t="s">
        <v>6305</v>
      </c>
      <c r="J1475" s="266"/>
      <c r="K1475" s="1"/>
      <c r="L1475" s="1"/>
    </row>
    <row r="1476">
      <c r="A1476" s="266">
        <v>6100.0</v>
      </c>
      <c r="B1476" s="266"/>
      <c r="C1476" s="266">
        <v>10.0</v>
      </c>
      <c r="D1476" s="266" t="s">
        <v>7485</v>
      </c>
      <c r="E1476" s="266"/>
      <c r="F1476" s="266"/>
      <c r="G1476" s="266" t="s">
        <v>6304</v>
      </c>
      <c r="H1476" s="266" t="s">
        <v>7440</v>
      </c>
      <c r="I1476" s="266" t="s">
        <v>6305</v>
      </c>
      <c r="J1476" s="266"/>
      <c r="K1476" s="1"/>
      <c r="L1476" s="1"/>
    </row>
    <row r="1477">
      <c r="A1477" s="266">
        <v>6200.0</v>
      </c>
      <c r="B1477" s="266"/>
      <c r="C1477" s="266">
        <v>10.0</v>
      </c>
      <c r="D1477" s="266" t="s">
        <v>7486</v>
      </c>
      <c r="E1477" s="266"/>
      <c r="F1477" s="266"/>
      <c r="G1477" s="266" t="s">
        <v>6304</v>
      </c>
      <c r="H1477" s="266" t="s">
        <v>7440</v>
      </c>
      <c r="I1477" s="266" t="s">
        <v>6305</v>
      </c>
      <c r="J1477" s="266"/>
      <c r="K1477" s="1"/>
      <c r="L1477" s="1"/>
    </row>
    <row r="1478">
      <c r="A1478" s="266">
        <v>6300.0</v>
      </c>
      <c r="B1478" s="266"/>
      <c r="C1478" s="266">
        <v>10.0</v>
      </c>
      <c r="D1478" s="266" t="s">
        <v>7487</v>
      </c>
      <c r="E1478" s="266"/>
      <c r="F1478" s="266"/>
      <c r="G1478" s="266" t="s">
        <v>6304</v>
      </c>
      <c r="H1478" s="266" t="s">
        <v>7440</v>
      </c>
      <c r="I1478" s="266" t="s">
        <v>6305</v>
      </c>
      <c r="J1478" s="266"/>
      <c r="K1478" s="1"/>
      <c r="L1478" s="1"/>
    </row>
    <row r="1479">
      <c r="A1479" s="266">
        <v>6400.0</v>
      </c>
      <c r="B1479" s="266"/>
      <c r="C1479" s="266">
        <v>10.0</v>
      </c>
      <c r="D1479" s="266" t="s">
        <v>7488</v>
      </c>
      <c r="E1479" s="266"/>
      <c r="F1479" s="266"/>
      <c r="G1479" s="266" t="s">
        <v>6304</v>
      </c>
      <c r="H1479" s="266" t="s">
        <v>7440</v>
      </c>
      <c r="I1479" s="266" t="s">
        <v>6305</v>
      </c>
      <c r="J1479" s="266"/>
      <c r="K1479" s="1"/>
      <c r="L1479" s="1"/>
    </row>
    <row r="1480">
      <c r="A1480" s="266">
        <v>6500.0</v>
      </c>
      <c r="B1480" s="266"/>
      <c r="C1480" s="266">
        <v>10.0</v>
      </c>
      <c r="D1480" s="266" t="s">
        <v>7489</v>
      </c>
      <c r="E1480" s="266"/>
      <c r="F1480" s="266"/>
      <c r="G1480" s="266" t="s">
        <v>6304</v>
      </c>
      <c r="H1480" s="266" t="s">
        <v>7440</v>
      </c>
      <c r="I1480" s="266" t="s">
        <v>6305</v>
      </c>
      <c r="J1480" s="266"/>
      <c r="K1480" s="1"/>
      <c r="L1480" s="1"/>
    </row>
    <row r="1481">
      <c r="A1481" s="266">
        <v>6600.0</v>
      </c>
      <c r="B1481" s="266"/>
      <c r="C1481" s="266">
        <v>10.0</v>
      </c>
      <c r="D1481" s="266" t="s">
        <v>7490</v>
      </c>
      <c r="E1481" s="266"/>
      <c r="F1481" s="266"/>
      <c r="G1481" s="266" t="s">
        <v>6304</v>
      </c>
      <c r="H1481" s="266" t="s">
        <v>7440</v>
      </c>
      <c r="I1481" s="266" t="s">
        <v>6305</v>
      </c>
      <c r="J1481" s="266"/>
      <c r="K1481" s="1"/>
      <c r="L1481" s="1"/>
    </row>
    <row r="1482">
      <c r="A1482" s="266">
        <v>6700.0</v>
      </c>
      <c r="B1482" s="266"/>
      <c r="C1482" s="266">
        <v>10.0</v>
      </c>
      <c r="D1482" s="266" t="s">
        <v>7491</v>
      </c>
      <c r="E1482" s="266"/>
      <c r="F1482" s="266"/>
      <c r="G1482" s="266" t="s">
        <v>6304</v>
      </c>
      <c r="H1482" s="266" t="s">
        <v>7440</v>
      </c>
      <c r="I1482" s="266" t="s">
        <v>6305</v>
      </c>
      <c r="J1482" s="266"/>
      <c r="K1482" s="1"/>
      <c r="L1482" s="1"/>
    </row>
    <row r="1483">
      <c r="A1483" s="266">
        <v>6800.0</v>
      </c>
      <c r="B1483" s="266"/>
      <c r="C1483" s="266">
        <v>10.0</v>
      </c>
      <c r="D1483" s="266" t="s">
        <v>7492</v>
      </c>
      <c r="E1483" s="266"/>
      <c r="F1483" s="266"/>
      <c r="G1483" s="266" t="s">
        <v>6304</v>
      </c>
      <c r="H1483" s="266" t="s">
        <v>7440</v>
      </c>
      <c r="I1483" s="266" t="s">
        <v>6305</v>
      </c>
      <c r="J1483" s="266"/>
      <c r="K1483" s="1"/>
      <c r="L1483" s="1"/>
    </row>
    <row r="1484">
      <c r="A1484" s="266">
        <v>6900.0</v>
      </c>
      <c r="B1484" s="266"/>
      <c r="C1484" s="266">
        <v>10.0</v>
      </c>
      <c r="D1484" s="266" t="s">
        <v>7493</v>
      </c>
      <c r="E1484" s="266"/>
      <c r="F1484" s="266"/>
      <c r="G1484" s="266" t="s">
        <v>6304</v>
      </c>
      <c r="H1484" s="266" t="s">
        <v>7440</v>
      </c>
      <c r="I1484" s="266" t="s">
        <v>6305</v>
      </c>
      <c r="J1484" s="266"/>
      <c r="K1484" s="1"/>
      <c r="L1484" s="1"/>
    </row>
    <row r="1485">
      <c r="A1485" s="266">
        <v>7000.0</v>
      </c>
      <c r="B1485" s="266"/>
      <c r="C1485" s="266">
        <v>10.0</v>
      </c>
      <c r="D1485" s="266" t="s">
        <v>7494</v>
      </c>
      <c r="E1485" s="266"/>
      <c r="F1485" s="266"/>
      <c r="G1485" s="266" t="s">
        <v>6304</v>
      </c>
      <c r="H1485" s="266" t="s">
        <v>544</v>
      </c>
      <c r="I1485" s="266" t="s">
        <v>6305</v>
      </c>
      <c r="J1485" s="266"/>
      <c r="K1485" s="1"/>
      <c r="L1485" s="1"/>
    </row>
    <row r="1486">
      <c r="A1486" s="266">
        <v>7100.0</v>
      </c>
      <c r="B1486" s="266"/>
      <c r="C1486" s="266">
        <v>10.0</v>
      </c>
      <c r="D1486" s="266" t="s">
        <v>7495</v>
      </c>
      <c r="E1486" s="266"/>
      <c r="F1486" s="266"/>
      <c r="G1486" s="266" t="s">
        <v>6304</v>
      </c>
      <c r="H1486" s="266" t="s">
        <v>544</v>
      </c>
      <c r="I1486" s="266" t="s">
        <v>6305</v>
      </c>
      <c r="J1486" s="266"/>
      <c r="K1486" s="1"/>
      <c r="L1486" s="1"/>
    </row>
    <row r="1487">
      <c r="A1487" s="266">
        <v>7200.0</v>
      </c>
      <c r="B1487" s="266"/>
      <c r="C1487" s="266">
        <v>10.0</v>
      </c>
      <c r="D1487" s="266" t="s">
        <v>7496</v>
      </c>
      <c r="E1487" s="266"/>
      <c r="F1487" s="266"/>
      <c r="G1487" s="266" t="s">
        <v>6304</v>
      </c>
      <c r="H1487" s="266" t="s">
        <v>544</v>
      </c>
      <c r="I1487" s="266" t="s">
        <v>6305</v>
      </c>
      <c r="J1487" s="266"/>
      <c r="K1487" s="1"/>
      <c r="L1487" s="1"/>
    </row>
    <row r="1488">
      <c r="A1488" s="266">
        <v>7300.0</v>
      </c>
      <c r="B1488" s="266"/>
      <c r="C1488" s="266">
        <v>10.0</v>
      </c>
      <c r="D1488" s="266" t="s">
        <v>7497</v>
      </c>
      <c r="E1488" s="266"/>
      <c r="F1488" s="266"/>
      <c r="G1488" s="266" t="s">
        <v>6304</v>
      </c>
      <c r="H1488" s="266" t="s">
        <v>544</v>
      </c>
      <c r="I1488" s="266" t="s">
        <v>6305</v>
      </c>
      <c r="J1488" s="266"/>
      <c r="K1488" s="1"/>
      <c r="L1488" s="1"/>
    </row>
    <row r="1489">
      <c r="A1489" s="266">
        <v>7400.0</v>
      </c>
      <c r="B1489" s="266"/>
      <c r="C1489" s="266">
        <v>10.0</v>
      </c>
      <c r="D1489" s="266" t="s">
        <v>7498</v>
      </c>
      <c r="E1489" s="266"/>
      <c r="F1489" s="266"/>
      <c r="G1489" s="266" t="s">
        <v>6304</v>
      </c>
      <c r="H1489" s="266" t="s">
        <v>544</v>
      </c>
      <c r="I1489" s="266" t="s">
        <v>6305</v>
      </c>
      <c r="J1489" s="266"/>
      <c r="K1489" s="1"/>
      <c r="L1489" s="1"/>
    </row>
    <row r="1490">
      <c r="A1490" s="266">
        <v>7500.0</v>
      </c>
      <c r="B1490" s="266"/>
      <c r="C1490" s="266">
        <v>10.0</v>
      </c>
      <c r="D1490" s="266" t="s">
        <v>7499</v>
      </c>
      <c r="E1490" s="266"/>
      <c r="F1490" s="266"/>
      <c r="G1490" s="266" t="s">
        <v>6304</v>
      </c>
      <c r="H1490" s="266" t="s">
        <v>544</v>
      </c>
      <c r="I1490" s="266" t="s">
        <v>6305</v>
      </c>
      <c r="J1490" s="266"/>
      <c r="K1490" s="1"/>
      <c r="L1490" s="1"/>
    </row>
    <row r="1491">
      <c r="A1491" s="266">
        <v>7600.0</v>
      </c>
      <c r="B1491" s="266"/>
      <c r="C1491" s="266">
        <v>10.0</v>
      </c>
      <c r="D1491" s="266" t="s">
        <v>7500</v>
      </c>
      <c r="E1491" s="266"/>
      <c r="F1491" s="266"/>
      <c r="G1491" s="266" t="s">
        <v>6304</v>
      </c>
      <c r="H1491" s="266" t="s">
        <v>544</v>
      </c>
      <c r="I1491" s="266" t="s">
        <v>6305</v>
      </c>
      <c r="J1491" s="266"/>
      <c r="K1491" s="1"/>
      <c r="L1491" s="1"/>
    </row>
    <row r="1492">
      <c r="A1492" s="266">
        <v>7700.0</v>
      </c>
      <c r="B1492" s="266"/>
      <c r="C1492" s="266">
        <v>10.0</v>
      </c>
      <c r="D1492" s="266" t="s">
        <v>7501</v>
      </c>
      <c r="E1492" s="266"/>
      <c r="F1492" s="266"/>
      <c r="G1492" s="266" t="s">
        <v>6304</v>
      </c>
      <c r="H1492" s="266" t="s">
        <v>544</v>
      </c>
      <c r="I1492" s="266" t="s">
        <v>6305</v>
      </c>
      <c r="J1492" s="266"/>
      <c r="K1492" s="1"/>
      <c r="L1492" s="1"/>
    </row>
    <row r="1493">
      <c r="A1493" s="266">
        <v>7800.0</v>
      </c>
      <c r="B1493" s="266"/>
      <c r="C1493" s="266">
        <v>10.0</v>
      </c>
      <c r="D1493" s="266" t="s">
        <v>7502</v>
      </c>
      <c r="E1493" s="266"/>
      <c r="F1493" s="266"/>
      <c r="G1493" s="266" t="s">
        <v>6304</v>
      </c>
      <c r="H1493" s="266" t="s">
        <v>544</v>
      </c>
      <c r="I1493" s="266" t="s">
        <v>6305</v>
      </c>
      <c r="J1493" s="266"/>
      <c r="K1493" s="1"/>
      <c r="L1493" s="1"/>
    </row>
    <row r="1494">
      <c r="A1494" s="266">
        <v>7900.0</v>
      </c>
      <c r="B1494" s="266"/>
      <c r="C1494" s="266">
        <v>10.0</v>
      </c>
      <c r="D1494" s="266" t="s">
        <v>7503</v>
      </c>
      <c r="E1494" s="266"/>
      <c r="F1494" s="266"/>
      <c r="G1494" s="266" t="s">
        <v>6304</v>
      </c>
      <c r="H1494" s="266" t="s">
        <v>544</v>
      </c>
      <c r="I1494" s="266" t="s">
        <v>6305</v>
      </c>
      <c r="J1494" s="266"/>
      <c r="K1494" s="1"/>
      <c r="L1494" s="1"/>
    </row>
    <row r="1495">
      <c r="A1495" s="266">
        <v>8000.0</v>
      </c>
      <c r="B1495" s="266"/>
      <c r="C1495" s="266">
        <v>10.0</v>
      </c>
      <c r="D1495" s="266" t="s">
        <v>7504</v>
      </c>
      <c r="E1495" s="266"/>
      <c r="F1495" s="266"/>
      <c r="G1495" s="266" t="s">
        <v>6304</v>
      </c>
      <c r="H1495" s="266" t="s">
        <v>544</v>
      </c>
      <c r="I1495" s="266" t="s">
        <v>6305</v>
      </c>
      <c r="J1495" s="266"/>
      <c r="K1495" s="1"/>
      <c r="L1495" s="1"/>
    </row>
    <row r="1496">
      <c r="A1496" s="266">
        <v>8100.0</v>
      </c>
      <c r="B1496" s="266"/>
      <c r="C1496" s="266">
        <v>10.0</v>
      </c>
      <c r="D1496" s="266" t="s">
        <v>7505</v>
      </c>
      <c r="E1496" s="266"/>
      <c r="F1496" s="266"/>
      <c r="G1496" s="266" t="s">
        <v>6304</v>
      </c>
      <c r="H1496" s="266" t="s">
        <v>544</v>
      </c>
      <c r="I1496" s="266" t="s">
        <v>6305</v>
      </c>
      <c r="J1496" s="266"/>
      <c r="K1496" s="1"/>
      <c r="L1496" s="1"/>
    </row>
    <row r="1497">
      <c r="A1497" s="266">
        <v>8200.0</v>
      </c>
      <c r="B1497" s="266"/>
      <c r="C1497" s="266">
        <v>10.0</v>
      </c>
      <c r="D1497" s="266" t="s">
        <v>7506</v>
      </c>
      <c r="E1497" s="266"/>
      <c r="F1497" s="266"/>
      <c r="G1497" s="266" t="s">
        <v>6304</v>
      </c>
      <c r="H1497" s="266" t="s">
        <v>544</v>
      </c>
      <c r="I1497" s="266" t="s">
        <v>6305</v>
      </c>
      <c r="J1497" s="266"/>
      <c r="K1497" s="1"/>
      <c r="L1497" s="1"/>
    </row>
    <row r="1498">
      <c r="A1498" s="266">
        <v>8300.0</v>
      </c>
      <c r="B1498" s="266"/>
      <c r="C1498" s="266">
        <v>10.0</v>
      </c>
      <c r="D1498" s="266" t="s">
        <v>7507</v>
      </c>
      <c r="E1498" s="266"/>
      <c r="F1498" s="266"/>
      <c r="G1498" s="266" t="s">
        <v>6304</v>
      </c>
      <c r="H1498" s="266" t="s">
        <v>544</v>
      </c>
      <c r="I1498" s="266" t="s">
        <v>6305</v>
      </c>
      <c r="J1498" s="266"/>
      <c r="K1498" s="1"/>
      <c r="L1498" s="1"/>
    </row>
    <row r="1499">
      <c r="A1499" s="266">
        <v>8400.0</v>
      </c>
      <c r="B1499" s="266"/>
      <c r="C1499" s="266">
        <v>10.0</v>
      </c>
      <c r="D1499" s="266" t="s">
        <v>7508</v>
      </c>
      <c r="E1499" s="266"/>
      <c r="F1499" s="266"/>
      <c r="G1499" s="266" t="s">
        <v>6304</v>
      </c>
      <c r="H1499" s="266" t="s">
        <v>544</v>
      </c>
      <c r="I1499" s="266" t="s">
        <v>6305</v>
      </c>
      <c r="J1499" s="266"/>
      <c r="K1499" s="1"/>
      <c r="L1499" s="1"/>
    </row>
    <row r="1500">
      <c r="A1500" s="266">
        <v>8500.0</v>
      </c>
      <c r="B1500" s="266"/>
      <c r="C1500" s="266">
        <v>10.0</v>
      </c>
      <c r="D1500" s="266" t="s">
        <v>7509</v>
      </c>
      <c r="E1500" s="266"/>
      <c r="F1500" s="266"/>
      <c r="G1500" s="266" t="s">
        <v>6304</v>
      </c>
      <c r="H1500" s="266" t="s">
        <v>544</v>
      </c>
      <c r="I1500" s="266" t="s">
        <v>6305</v>
      </c>
      <c r="J1500" s="266"/>
      <c r="K1500" s="1"/>
      <c r="L1500" s="1"/>
    </row>
    <row r="1501">
      <c r="A1501" s="266">
        <v>8600.0</v>
      </c>
      <c r="B1501" s="266"/>
      <c r="C1501" s="266">
        <v>10.0</v>
      </c>
      <c r="D1501" s="266" t="s">
        <v>7510</v>
      </c>
      <c r="E1501" s="266"/>
      <c r="F1501" s="266"/>
      <c r="G1501" s="266" t="s">
        <v>6304</v>
      </c>
      <c r="H1501" s="266" t="s">
        <v>544</v>
      </c>
      <c r="I1501" s="266" t="s">
        <v>6305</v>
      </c>
      <c r="J1501" s="266"/>
      <c r="K1501" s="1"/>
      <c r="L1501" s="1"/>
    </row>
    <row r="1502">
      <c r="A1502" s="266">
        <v>8700.0</v>
      </c>
      <c r="B1502" s="266"/>
      <c r="C1502" s="266">
        <v>10.0</v>
      </c>
      <c r="D1502" s="266" t="s">
        <v>7511</v>
      </c>
      <c r="E1502" s="266"/>
      <c r="F1502" s="266"/>
      <c r="G1502" s="266" t="s">
        <v>6304</v>
      </c>
      <c r="H1502" s="266" t="s">
        <v>544</v>
      </c>
      <c r="I1502" s="266" t="s">
        <v>6305</v>
      </c>
      <c r="J1502" s="266"/>
      <c r="K1502" s="1"/>
      <c r="L1502" s="1"/>
    </row>
    <row r="1503">
      <c r="A1503" s="266">
        <v>8800.0</v>
      </c>
      <c r="B1503" s="266"/>
      <c r="C1503" s="266">
        <v>10.0</v>
      </c>
      <c r="D1503" s="266" t="s">
        <v>7512</v>
      </c>
      <c r="E1503" s="266"/>
      <c r="F1503" s="266"/>
      <c r="G1503" s="266" t="s">
        <v>6304</v>
      </c>
      <c r="H1503" s="266" t="s">
        <v>7440</v>
      </c>
      <c r="I1503" s="266" t="s">
        <v>6305</v>
      </c>
      <c r="J1503" s="266"/>
      <c r="K1503" s="1"/>
      <c r="L1503" s="1"/>
    </row>
    <row r="1504">
      <c r="A1504" s="266">
        <v>8900.0</v>
      </c>
      <c r="B1504" s="266"/>
      <c r="C1504" s="266">
        <v>10.0</v>
      </c>
      <c r="D1504" s="266" t="s">
        <v>7513</v>
      </c>
      <c r="E1504" s="266"/>
      <c r="F1504" s="266"/>
      <c r="G1504" s="266" t="s">
        <v>6304</v>
      </c>
      <c r="H1504" s="266" t="s">
        <v>7440</v>
      </c>
      <c r="I1504" s="266" t="s">
        <v>6305</v>
      </c>
      <c r="J1504" s="266"/>
      <c r="K1504" s="1"/>
      <c r="L1504" s="1"/>
    </row>
    <row r="1505">
      <c r="A1505" s="266">
        <v>9000.0</v>
      </c>
      <c r="B1505" s="266"/>
      <c r="C1505" s="266">
        <v>10.0</v>
      </c>
      <c r="D1505" s="266" t="s">
        <v>7514</v>
      </c>
      <c r="E1505" s="266"/>
      <c r="F1505" s="266"/>
      <c r="G1505" s="266" t="s">
        <v>6304</v>
      </c>
      <c r="H1505" s="266" t="s">
        <v>7440</v>
      </c>
      <c r="I1505" s="266" t="s">
        <v>6305</v>
      </c>
      <c r="J1505" s="266"/>
      <c r="K1505" s="1"/>
      <c r="L1505" s="1"/>
    </row>
    <row r="1506">
      <c r="A1506" s="266">
        <v>9100.0</v>
      </c>
      <c r="B1506" s="266"/>
      <c r="C1506" s="266">
        <v>10.0</v>
      </c>
      <c r="D1506" s="266" t="s">
        <v>7515</v>
      </c>
      <c r="E1506" s="266"/>
      <c r="F1506" s="266"/>
      <c r="G1506" s="266" t="s">
        <v>6304</v>
      </c>
      <c r="H1506" s="266" t="s">
        <v>7440</v>
      </c>
      <c r="I1506" s="266" t="s">
        <v>6305</v>
      </c>
      <c r="J1506" s="266"/>
      <c r="K1506" s="1"/>
      <c r="L1506" s="1"/>
    </row>
    <row r="1507">
      <c r="A1507" s="266">
        <v>9200.0</v>
      </c>
      <c r="B1507" s="266"/>
      <c r="C1507" s="266">
        <v>10.0</v>
      </c>
      <c r="D1507" s="266" t="s">
        <v>7516</v>
      </c>
      <c r="E1507" s="266"/>
      <c r="F1507" s="266"/>
      <c r="G1507" s="266" t="s">
        <v>6304</v>
      </c>
      <c r="H1507" s="266" t="s">
        <v>7440</v>
      </c>
      <c r="I1507" s="266" t="s">
        <v>6305</v>
      </c>
      <c r="J1507" s="266"/>
      <c r="K1507" s="1"/>
      <c r="L1507" s="1"/>
    </row>
    <row r="1508">
      <c r="A1508" s="266">
        <v>9300.0</v>
      </c>
      <c r="B1508" s="266"/>
      <c r="C1508" s="266">
        <v>10.0</v>
      </c>
      <c r="D1508" s="266" t="s">
        <v>7517</v>
      </c>
      <c r="E1508" s="266"/>
      <c r="F1508" s="266"/>
      <c r="G1508" s="266" t="s">
        <v>6304</v>
      </c>
      <c r="H1508" s="266" t="s">
        <v>7440</v>
      </c>
      <c r="I1508" s="266" t="s">
        <v>6305</v>
      </c>
      <c r="J1508" s="266"/>
      <c r="K1508" s="1"/>
      <c r="L1508" s="1"/>
    </row>
    <row r="1509">
      <c r="A1509" s="266">
        <v>9400.0</v>
      </c>
      <c r="B1509" s="266"/>
      <c r="C1509" s="266">
        <v>10.0</v>
      </c>
      <c r="D1509" s="266" t="s">
        <v>7518</v>
      </c>
      <c r="E1509" s="266"/>
      <c r="F1509" s="266"/>
      <c r="G1509" s="266" t="s">
        <v>6304</v>
      </c>
      <c r="H1509" s="266" t="s">
        <v>7440</v>
      </c>
      <c r="I1509" s="266" t="s">
        <v>6305</v>
      </c>
      <c r="J1509" s="266"/>
      <c r="K1509" s="1"/>
      <c r="L1509" s="1"/>
    </row>
    <row r="1510">
      <c r="A1510" s="266">
        <v>9500.0</v>
      </c>
      <c r="B1510" s="266"/>
      <c r="C1510" s="266">
        <v>10.0</v>
      </c>
      <c r="D1510" s="266" t="s">
        <v>7519</v>
      </c>
      <c r="E1510" s="266"/>
      <c r="F1510" s="266"/>
      <c r="G1510" s="266" t="s">
        <v>6304</v>
      </c>
      <c r="H1510" s="266" t="s">
        <v>7440</v>
      </c>
      <c r="I1510" s="266" t="s">
        <v>6305</v>
      </c>
      <c r="J1510" s="266"/>
      <c r="K1510" s="1"/>
      <c r="L1510" s="1"/>
    </row>
    <row r="1511">
      <c r="A1511" s="266">
        <v>9600.0</v>
      </c>
      <c r="B1511" s="266"/>
      <c r="C1511" s="266">
        <v>10.0</v>
      </c>
      <c r="D1511" s="266" t="s">
        <v>7520</v>
      </c>
      <c r="E1511" s="266"/>
      <c r="F1511" s="266"/>
      <c r="G1511" s="266" t="s">
        <v>6304</v>
      </c>
      <c r="H1511" s="266" t="s">
        <v>7440</v>
      </c>
      <c r="I1511" s="266" t="s">
        <v>6305</v>
      </c>
      <c r="J1511" s="266"/>
      <c r="K1511" s="1"/>
      <c r="L1511" s="1"/>
    </row>
    <row r="1512">
      <c r="A1512" s="266">
        <v>9700.0</v>
      </c>
      <c r="B1512" s="266"/>
      <c r="C1512" s="266">
        <v>10.0</v>
      </c>
      <c r="D1512" s="266" t="s">
        <v>7521</v>
      </c>
      <c r="E1512" s="266"/>
      <c r="F1512" s="266"/>
      <c r="G1512" s="266" t="s">
        <v>6304</v>
      </c>
      <c r="H1512" s="266" t="s">
        <v>544</v>
      </c>
      <c r="I1512" s="266" t="s">
        <v>6305</v>
      </c>
      <c r="J1512" s="266"/>
      <c r="K1512" s="1"/>
      <c r="L1512" s="1"/>
    </row>
    <row r="1513">
      <c r="A1513" s="266">
        <v>9800.0</v>
      </c>
      <c r="B1513" s="266"/>
      <c r="C1513" s="266">
        <v>10.0</v>
      </c>
      <c r="D1513" s="266" t="s">
        <v>7522</v>
      </c>
      <c r="E1513" s="266"/>
      <c r="F1513" s="266"/>
      <c r="G1513" s="266" t="s">
        <v>6304</v>
      </c>
      <c r="H1513" s="266" t="s">
        <v>544</v>
      </c>
      <c r="I1513" s="266" t="s">
        <v>6305</v>
      </c>
      <c r="J1513" s="266"/>
      <c r="K1513" s="1"/>
      <c r="L1513" s="1"/>
    </row>
    <row r="1514">
      <c r="A1514" s="266">
        <v>9900.0</v>
      </c>
      <c r="B1514" s="266"/>
      <c r="C1514" s="266">
        <v>10.0</v>
      </c>
      <c r="D1514" s="266" t="s">
        <v>7523</v>
      </c>
      <c r="E1514" s="266"/>
      <c r="F1514" s="266"/>
      <c r="G1514" s="266" t="s">
        <v>6304</v>
      </c>
      <c r="H1514" s="266" t="s">
        <v>544</v>
      </c>
      <c r="I1514" s="266" t="s">
        <v>6305</v>
      </c>
      <c r="J1514" s="266"/>
      <c r="K1514" s="1"/>
      <c r="L1514" s="1"/>
    </row>
    <row r="1515">
      <c r="A1515" s="266">
        <v>10000.0</v>
      </c>
      <c r="B1515" s="266"/>
      <c r="C1515" s="266">
        <v>10.0</v>
      </c>
      <c r="D1515" s="266" t="s">
        <v>7524</v>
      </c>
      <c r="E1515" s="266"/>
      <c r="F1515" s="266"/>
      <c r="G1515" s="266" t="s">
        <v>6304</v>
      </c>
      <c r="H1515" s="266" t="s">
        <v>544</v>
      </c>
      <c r="I1515" s="266" t="s">
        <v>6305</v>
      </c>
      <c r="J1515" s="266"/>
      <c r="K1515" s="1"/>
      <c r="L1515" s="1"/>
    </row>
    <row r="1516">
      <c r="A1516" s="266">
        <v>10100.0</v>
      </c>
      <c r="B1516" s="266"/>
      <c r="C1516" s="266">
        <v>10.0</v>
      </c>
      <c r="D1516" s="266" t="s">
        <v>7525</v>
      </c>
      <c r="E1516" s="266"/>
      <c r="F1516" s="266"/>
      <c r="G1516" s="266" t="s">
        <v>6304</v>
      </c>
      <c r="H1516" s="266" t="s">
        <v>544</v>
      </c>
      <c r="I1516" s="266" t="s">
        <v>6305</v>
      </c>
      <c r="J1516" s="266"/>
      <c r="K1516" s="1"/>
      <c r="L1516" s="1"/>
    </row>
    <row r="1517">
      <c r="A1517" s="266">
        <v>10200.0</v>
      </c>
      <c r="B1517" s="266"/>
      <c r="C1517" s="266">
        <v>10.0</v>
      </c>
      <c r="D1517" s="266" t="s">
        <v>7526</v>
      </c>
      <c r="E1517" s="266"/>
      <c r="F1517" s="266"/>
      <c r="G1517" s="266" t="s">
        <v>6304</v>
      </c>
      <c r="H1517" s="266" t="s">
        <v>544</v>
      </c>
      <c r="I1517" s="266" t="s">
        <v>6305</v>
      </c>
      <c r="J1517" s="266"/>
      <c r="K1517" s="1"/>
      <c r="L1517" s="1"/>
    </row>
    <row r="1518">
      <c r="A1518" s="266">
        <v>10300.0</v>
      </c>
      <c r="B1518" s="266"/>
      <c r="C1518" s="266">
        <v>10.0</v>
      </c>
      <c r="D1518" s="266" t="s">
        <v>7527</v>
      </c>
      <c r="E1518" s="266"/>
      <c r="F1518" s="266"/>
      <c r="G1518" s="266" t="s">
        <v>6304</v>
      </c>
      <c r="H1518" s="266" t="s">
        <v>544</v>
      </c>
      <c r="I1518" s="266" t="s">
        <v>6305</v>
      </c>
      <c r="J1518" s="266"/>
      <c r="K1518" s="1"/>
      <c r="L1518" s="1"/>
    </row>
    <row r="1519">
      <c r="A1519" s="266">
        <v>10400.0</v>
      </c>
      <c r="B1519" s="266"/>
      <c r="C1519" s="266">
        <v>10.0</v>
      </c>
      <c r="D1519" s="266" t="s">
        <v>7528</v>
      </c>
      <c r="E1519" s="266"/>
      <c r="F1519" s="266"/>
      <c r="G1519" s="266" t="s">
        <v>6304</v>
      </c>
      <c r="H1519" s="266" t="s">
        <v>544</v>
      </c>
      <c r="I1519" s="266" t="s">
        <v>6305</v>
      </c>
      <c r="J1519" s="266"/>
      <c r="K1519" s="1"/>
      <c r="L1519" s="1"/>
    </row>
    <row r="1520">
      <c r="A1520" s="266">
        <v>10500.0</v>
      </c>
      <c r="B1520" s="266"/>
      <c r="C1520" s="266">
        <v>10.0</v>
      </c>
      <c r="D1520" s="266" t="s">
        <v>7529</v>
      </c>
      <c r="E1520" s="266"/>
      <c r="F1520" s="266"/>
      <c r="G1520" s="266" t="s">
        <v>6304</v>
      </c>
      <c r="H1520" s="266" t="s">
        <v>544</v>
      </c>
      <c r="I1520" s="266" t="s">
        <v>6305</v>
      </c>
      <c r="J1520" s="266"/>
      <c r="K1520" s="1"/>
      <c r="L1520" s="1"/>
    </row>
    <row r="1521">
      <c r="A1521" s="266">
        <v>10600.0</v>
      </c>
      <c r="B1521" s="266"/>
      <c r="C1521" s="266">
        <v>10.0</v>
      </c>
      <c r="D1521" s="266" t="s">
        <v>3839</v>
      </c>
      <c r="E1521" s="266"/>
      <c r="F1521" s="266"/>
      <c r="G1521" s="266" t="s">
        <v>6304</v>
      </c>
      <c r="H1521" s="266" t="s">
        <v>555</v>
      </c>
      <c r="I1521" s="266"/>
      <c r="J1521" s="266"/>
      <c r="K1521" s="1"/>
      <c r="L1521" s="1"/>
    </row>
    <row r="1522">
      <c r="A1522" s="266">
        <v>10700.0</v>
      </c>
      <c r="B1522" s="266"/>
      <c r="C1522" s="266">
        <v>10.0</v>
      </c>
      <c r="D1522" s="266" t="s">
        <v>7530</v>
      </c>
      <c r="E1522" s="266"/>
      <c r="F1522" s="266"/>
      <c r="G1522" s="266" t="s">
        <v>6304</v>
      </c>
      <c r="H1522" s="266" t="s">
        <v>555</v>
      </c>
      <c r="I1522" s="266"/>
      <c r="J1522" s="266"/>
      <c r="K1522" s="1"/>
      <c r="L1522" s="1"/>
    </row>
    <row r="1523">
      <c r="A1523" s="266">
        <v>10800.0</v>
      </c>
      <c r="B1523" s="266"/>
      <c r="C1523" s="266">
        <v>10.0</v>
      </c>
      <c r="D1523" s="266" t="s">
        <v>7531</v>
      </c>
      <c r="E1523" s="266"/>
      <c r="F1523" s="266"/>
      <c r="G1523" s="266" t="s">
        <v>6304</v>
      </c>
      <c r="H1523" s="266" t="s">
        <v>555</v>
      </c>
      <c r="I1523" s="266"/>
      <c r="J1523" s="266"/>
      <c r="K1523" s="1"/>
      <c r="L1523" s="1"/>
    </row>
    <row r="1524">
      <c r="A1524" s="266">
        <v>10900.0</v>
      </c>
      <c r="B1524" s="266"/>
      <c r="C1524" s="266">
        <v>10.0</v>
      </c>
      <c r="D1524" s="266" t="s">
        <v>7532</v>
      </c>
      <c r="E1524" s="266"/>
      <c r="F1524" s="266"/>
      <c r="G1524" s="266" t="s">
        <v>6304</v>
      </c>
      <c r="H1524" s="266" t="s">
        <v>561</v>
      </c>
      <c r="I1524" s="266"/>
      <c r="J1524" s="266"/>
      <c r="K1524" s="1"/>
      <c r="L1524" s="1"/>
    </row>
    <row r="1525">
      <c r="A1525" s="266">
        <v>11000.0</v>
      </c>
      <c r="B1525" s="266"/>
      <c r="C1525" s="266">
        <v>10.0</v>
      </c>
      <c r="D1525" s="266" t="s">
        <v>7533</v>
      </c>
      <c r="E1525" s="266"/>
      <c r="F1525" s="266"/>
      <c r="G1525" s="266" t="s">
        <v>6304</v>
      </c>
      <c r="H1525" s="266" t="s">
        <v>555</v>
      </c>
      <c r="I1525" s="266"/>
      <c r="J1525" s="266"/>
      <c r="K1525" s="1"/>
      <c r="L1525" s="1"/>
    </row>
    <row r="1526">
      <c r="A1526" s="266">
        <v>11100.0</v>
      </c>
      <c r="B1526" s="266"/>
      <c r="C1526" s="266">
        <v>10.0</v>
      </c>
      <c r="D1526" s="266" t="s">
        <v>7534</v>
      </c>
      <c r="E1526" s="266"/>
      <c r="F1526" s="266"/>
      <c r="G1526" s="266" t="s">
        <v>6304</v>
      </c>
      <c r="H1526" s="266" t="s">
        <v>6315</v>
      </c>
      <c r="I1526" s="266"/>
      <c r="J1526" s="266"/>
      <c r="K1526" s="1"/>
      <c r="L1526" s="1"/>
    </row>
    <row r="1527">
      <c r="A1527" s="266">
        <v>11200.0</v>
      </c>
      <c r="B1527" s="266"/>
      <c r="C1527" s="266">
        <v>10.0</v>
      </c>
      <c r="D1527" s="266" t="s">
        <v>7535</v>
      </c>
      <c r="E1527" s="266"/>
      <c r="F1527" s="266"/>
      <c r="G1527" s="266" t="s">
        <v>6304</v>
      </c>
      <c r="H1527" s="266" t="s">
        <v>561</v>
      </c>
      <c r="I1527" s="266"/>
      <c r="J1527" s="266"/>
      <c r="K1527" s="1"/>
      <c r="L1527" s="1"/>
    </row>
    <row r="1528">
      <c r="A1528" s="266">
        <v>11300.0</v>
      </c>
      <c r="B1528" s="266"/>
      <c r="C1528" s="266">
        <v>10.0</v>
      </c>
      <c r="D1528" s="266" t="s">
        <v>7536</v>
      </c>
      <c r="E1528" s="266"/>
      <c r="F1528" s="266"/>
      <c r="G1528" s="266" t="s">
        <v>6304</v>
      </c>
      <c r="H1528" s="266" t="s">
        <v>559</v>
      </c>
      <c r="I1528" s="266"/>
      <c r="J1528" s="266"/>
      <c r="K1528" s="1"/>
      <c r="L1528" s="1"/>
    </row>
    <row r="1529">
      <c r="A1529" s="266">
        <v>11400.0</v>
      </c>
      <c r="B1529" s="266"/>
      <c r="C1529" s="266">
        <v>10.0</v>
      </c>
      <c r="D1529" s="266" t="s">
        <v>6306</v>
      </c>
      <c r="E1529" s="266"/>
      <c r="F1529" s="266"/>
      <c r="G1529" s="266" t="s">
        <v>6304</v>
      </c>
      <c r="H1529" s="266" t="s">
        <v>7537</v>
      </c>
      <c r="I1529" s="266"/>
      <c r="J1529" s="266"/>
      <c r="K1529" s="1"/>
      <c r="L1529" s="1"/>
    </row>
    <row r="1530">
      <c r="A1530" s="266">
        <v>11500.0</v>
      </c>
      <c r="B1530" s="266"/>
      <c r="C1530" s="266">
        <v>5.0</v>
      </c>
      <c r="D1530" s="266" t="s">
        <v>7538</v>
      </c>
      <c r="E1530" s="266" t="s">
        <v>6603</v>
      </c>
      <c r="F1530" s="266" t="s">
        <v>7431</v>
      </c>
      <c r="G1530" s="266"/>
      <c r="H1530" s="266"/>
      <c r="I1530" s="266"/>
      <c r="J1530" s="267"/>
    </row>
    <row r="1531">
      <c r="A1531" s="266">
        <v>11600.0</v>
      </c>
      <c r="B1531" s="266"/>
      <c r="C1531" s="266">
        <v>10.0</v>
      </c>
      <c r="D1531" s="266" t="s">
        <v>7539</v>
      </c>
      <c r="E1531" s="266"/>
      <c r="F1531" s="266"/>
      <c r="G1531" s="266" t="s">
        <v>6304</v>
      </c>
      <c r="H1531" s="266" t="s">
        <v>6786</v>
      </c>
      <c r="I1531" s="266" t="s">
        <v>6305</v>
      </c>
      <c r="J1531" s="266"/>
      <c r="K1531" s="1"/>
      <c r="L1531" s="1"/>
    </row>
    <row r="1532">
      <c r="A1532" s="266">
        <v>11700.0</v>
      </c>
      <c r="B1532" s="266"/>
      <c r="C1532" s="266">
        <v>10.0</v>
      </c>
      <c r="D1532" s="266" t="s">
        <v>7408</v>
      </c>
      <c r="E1532" s="266"/>
      <c r="F1532" s="266"/>
      <c r="G1532" s="266" t="s">
        <v>6304</v>
      </c>
      <c r="H1532" s="266" t="s">
        <v>3806</v>
      </c>
      <c r="I1532" s="266"/>
      <c r="J1532" s="266"/>
      <c r="K1532" s="1"/>
      <c r="L1532" s="1"/>
    </row>
    <row r="1533">
      <c r="A1533" s="266">
        <v>11800.0</v>
      </c>
      <c r="B1533" s="266"/>
      <c r="C1533" s="266">
        <v>10.0</v>
      </c>
      <c r="D1533" s="266" t="s">
        <v>7409</v>
      </c>
      <c r="E1533" s="266"/>
      <c r="F1533" s="266"/>
      <c r="G1533" s="266" t="s">
        <v>6304</v>
      </c>
      <c r="H1533" s="266" t="s">
        <v>555</v>
      </c>
      <c r="I1533" s="266"/>
      <c r="J1533" s="266"/>
      <c r="K1533" s="1"/>
      <c r="L1533" s="1"/>
    </row>
    <row r="1534">
      <c r="A1534" s="266">
        <v>11900.0</v>
      </c>
      <c r="B1534" s="266"/>
      <c r="C1534" s="266">
        <v>10.0</v>
      </c>
      <c r="D1534" s="266" t="s">
        <v>7410</v>
      </c>
      <c r="E1534" s="266"/>
      <c r="F1534" s="266"/>
      <c r="G1534" s="266" t="s">
        <v>6304</v>
      </c>
      <c r="H1534" s="266" t="s">
        <v>555</v>
      </c>
      <c r="I1534" s="266"/>
      <c r="J1534" s="266"/>
      <c r="K1534" s="1"/>
      <c r="L1534" s="1"/>
    </row>
    <row r="1535">
      <c r="A1535" s="266">
        <v>12000.0</v>
      </c>
      <c r="B1535" s="266"/>
      <c r="C1535" s="266">
        <v>10.0</v>
      </c>
      <c r="D1535" s="266" t="s">
        <v>7411</v>
      </c>
      <c r="E1535" s="266"/>
      <c r="F1535" s="266"/>
      <c r="G1535" s="266" t="s">
        <v>6304</v>
      </c>
      <c r="H1535" s="266" t="s">
        <v>559</v>
      </c>
      <c r="I1535" s="266"/>
      <c r="J1535" s="266"/>
      <c r="K1535" s="1"/>
      <c r="L1535" s="1"/>
    </row>
    <row r="1536">
      <c r="A1536" s="266">
        <v>12100.0</v>
      </c>
      <c r="B1536" s="266"/>
      <c r="C1536" s="266">
        <v>10.0</v>
      </c>
      <c r="D1536" s="266" t="s">
        <v>6306</v>
      </c>
      <c r="E1536" s="266"/>
      <c r="F1536" s="266"/>
      <c r="G1536" s="266" t="s">
        <v>6304</v>
      </c>
      <c r="H1536" s="266" t="s">
        <v>7540</v>
      </c>
      <c r="I1536" s="266"/>
      <c r="J1536" s="266"/>
      <c r="K1536" s="1"/>
      <c r="L1536" s="1"/>
    </row>
    <row r="1537">
      <c r="A1537" s="266">
        <v>50.0</v>
      </c>
      <c r="B1537" s="266">
        <v>1.0</v>
      </c>
      <c r="C1537" s="266"/>
      <c r="D1537" s="266" t="s">
        <v>7541</v>
      </c>
      <c r="E1537" s="266"/>
      <c r="F1537" s="266"/>
      <c r="G1537" s="266"/>
      <c r="H1537" s="266"/>
      <c r="I1537" s="266"/>
      <c r="J1537" s="267"/>
    </row>
    <row r="1538">
      <c r="A1538" s="266">
        <v>100.0</v>
      </c>
      <c r="B1538" s="266"/>
      <c r="C1538" s="266">
        <v>5.0</v>
      </c>
      <c r="D1538" s="266" t="s">
        <v>3801</v>
      </c>
      <c r="E1538" s="266"/>
      <c r="F1538" s="266"/>
      <c r="G1538" s="266" t="s">
        <v>6304</v>
      </c>
      <c r="H1538" s="266" t="s">
        <v>3793</v>
      </c>
      <c r="I1538" s="266"/>
      <c r="J1538" s="266"/>
      <c r="K1538" s="1"/>
      <c r="L1538" s="1"/>
    </row>
    <row r="1539">
      <c r="A1539" s="266">
        <v>200.0</v>
      </c>
      <c r="B1539" s="266"/>
      <c r="C1539" s="266">
        <v>5.0</v>
      </c>
      <c r="D1539" s="266" t="s">
        <v>6829</v>
      </c>
      <c r="E1539" s="266" t="s">
        <v>6603</v>
      </c>
      <c r="F1539" s="266" t="s">
        <v>6830</v>
      </c>
      <c r="G1539" s="266"/>
      <c r="H1539" s="266"/>
      <c r="I1539" s="266"/>
      <c r="J1539" s="267"/>
    </row>
    <row r="1540">
      <c r="A1540" s="266">
        <v>300.0</v>
      </c>
      <c r="B1540" s="266"/>
      <c r="C1540" s="266">
        <v>10.0</v>
      </c>
      <c r="D1540" s="266" t="s">
        <v>3802</v>
      </c>
      <c r="E1540" s="266"/>
      <c r="F1540" s="266"/>
      <c r="G1540" s="266" t="s">
        <v>6304</v>
      </c>
      <c r="H1540" s="266" t="s">
        <v>551</v>
      </c>
      <c r="I1540" s="266"/>
      <c r="J1540" s="266"/>
      <c r="K1540" s="1"/>
      <c r="L1540" s="1"/>
    </row>
    <row r="1541">
      <c r="A1541" s="266">
        <v>400.0</v>
      </c>
      <c r="B1541" s="266"/>
      <c r="C1541" s="266">
        <v>10.0</v>
      </c>
      <c r="D1541" s="266" t="s">
        <v>3803</v>
      </c>
      <c r="E1541" s="266"/>
      <c r="F1541" s="266"/>
      <c r="G1541" s="266" t="s">
        <v>6304</v>
      </c>
      <c r="H1541" s="266" t="s">
        <v>556</v>
      </c>
      <c r="I1541" s="266"/>
      <c r="J1541" s="266"/>
      <c r="K1541" s="1"/>
      <c r="L1541" s="1"/>
    </row>
    <row r="1542">
      <c r="A1542" s="266">
        <v>500.0</v>
      </c>
      <c r="B1542" s="266"/>
      <c r="C1542" s="266">
        <v>10.0</v>
      </c>
      <c r="D1542" s="266" t="s">
        <v>3804</v>
      </c>
      <c r="E1542" s="266"/>
      <c r="F1542" s="266"/>
      <c r="G1542" s="266" t="s">
        <v>6304</v>
      </c>
      <c r="H1542" s="266" t="s">
        <v>5243</v>
      </c>
      <c r="I1542" s="266"/>
      <c r="J1542" s="266"/>
      <c r="K1542" s="1"/>
      <c r="L1542" s="1"/>
    </row>
    <row r="1543">
      <c r="A1543" s="266">
        <v>600.0</v>
      </c>
      <c r="B1543" s="266"/>
      <c r="C1543" s="266">
        <v>5.0</v>
      </c>
      <c r="D1543" s="266" t="s">
        <v>6306</v>
      </c>
      <c r="E1543" s="266"/>
      <c r="F1543" s="266"/>
      <c r="G1543" s="266" t="s">
        <v>6304</v>
      </c>
      <c r="H1543" s="266" t="s">
        <v>7542</v>
      </c>
      <c r="I1543" s="266" t="s">
        <v>6621</v>
      </c>
      <c r="J1543" s="266" t="s">
        <v>6832</v>
      </c>
      <c r="K1543" s="1"/>
      <c r="L1543" s="1" t="s">
        <v>6832</v>
      </c>
    </row>
    <row r="1544">
      <c r="A1544" s="266">
        <v>50.0</v>
      </c>
      <c r="B1544" s="266">
        <v>1.0</v>
      </c>
      <c r="C1544" s="266"/>
      <c r="D1544" s="266" t="s">
        <v>7543</v>
      </c>
      <c r="E1544" s="266"/>
      <c r="F1544" s="266"/>
      <c r="G1544" s="266"/>
      <c r="H1544" s="266"/>
      <c r="I1544" s="266"/>
      <c r="J1544" s="267"/>
    </row>
    <row r="1545">
      <c r="A1545" s="266">
        <v>100.0</v>
      </c>
      <c r="B1545" s="266"/>
      <c r="C1545" s="266">
        <v>5.0</v>
      </c>
      <c r="D1545" s="266" t="s">
        <v>7132</v>
      </c>
      <c r="E1545" s="266"/>
      <c r="F1545" s="266"/>
      <c r="G1545" s="266"/>
      <c r="H1545" s="266"/>
      <c r="I1545" s="266"/>
      <c r="J1545" s="267"/>
    </row>
    <row r="1546">
      <c r="A1546" s="266">
        <v>200.0</v>
      </c>
      <c r="B1546" s="266"/>
      <c r="C1546" s="266">
        <v>10.0</v>
      </c>
      <c r="D1546" s="266" t="s">
        <v>7133</v>
      </c>
      <c r="E1546" s="266"/>
      <c r="F1546" s="266"/>
      <c r="G1546" s="266" t="s">
        <v>6304</v>
      </c>
      <c r="H1546" s="266" t="s">
        <v>3794</v>
      </c>
      <c r="I1546" s="266"/>
      <c r="J1546" s="266"/>
      <c r="K1546" s="1"/>
      <c r="L1546" s="1"/>
    </row>
    <row r="1547">
      <c r="A1547" s="266">
        <v>300.0</v>
      </c>
      <c r="B1547" s="266"/>
      <c r="C1547" s="266">
        <v>10.0</v>
      </c>
      <c r="D1547" s="266" t="s">
        <v>7134</v>
      </c>
      <c r="E1547" s="266"/>
      <c r="F1547" s="266"/>
      <c r="G1547" s="266" t="s">
        <v>6304</v>
      </c>
      <c r="H1547" s="266" t="s">
        <v>3794</v>
      </c>
      <c r="I1547" s="266"/>
      <c r="J1547" s="266"/>
      <c r="K1547" s="1"/>
      <c r="L1547" s="1"/>
    </row>
    <row r="1548">
      <c r="A1548" s="266">
        <v>400.0</v>
      </c>
      <c r="B1548" s="266"/>
      <c r="C1548" s="266">
        <v>5.0</v>
      </c>
      <c r="D1548" s="266" t="s">
        <v>6517</v>
      </c>
      <c r="E1548" s="266"/>
      <c r="F1548" s="266"/>
      <c r="G1548" s="266" t="s">
        <v>6304</v>
      </c>
      <c r="H1548" s="266" t="s">
        <v>6518</v>
      </c>
      <c r="I1548" s="266"/>
      <c r="J1548" s="266"/>
      <c r="K1548" s="1"/>
      <c r="L1548" s="1"/>
    </row>
    <row r="1549">
      <c r="A1549" s="266">
        <v>500.0</v>
      </c>
      <c r="B1549" s="266"/>
      <c r="C1549" s="266">
        <v>5.0</v>
      </c>
      <c r="D1549" s="266" t="s">
        <v>7544</v>
      </c>
      <c r="E1549" s="266"/>
      <c r="F1549" s="266"/>
      <c r="G1549" s="266"/>
      <c r="H1549" s="266"/>
      <c r="I1549" s="266"/>
      <c r="J1549" s="267"/>
    </row>
    <row r="1550">
      <c r="A1550" s="266">
        <v>600.0</v>
      </c>
      <c r="B1550" s="266"/>
      <c r="C1550" s="266">
        <v>10.0</v>
      </c>
      <c r="D1550" s="266" t="s">
        <v>7545</v>
      </c>
      <c r="E1550" s="266"/>
      <c r="F1550" s="266"/>
      <c r="G1550" s="266" t="s">
        <v>6304</v>
      </c>
      <c r="H1550" s="266" t="s">
        <v>551</v>
      </c>
      <c r="I1550" s="266"/>
      <c r="J1550" s="266"/>
      <c r="K1550" s="1"/>
      <c r="L1550" s="1"/>
    </row>
    <row r="1551">
      <c r="A1551" s="266">
        <v>700.0</v>
      </c>
      <c r="B1551" s="266"/>
      <c r="C1551" s="266">
        <v>10.0</v>
      </c>
      <c r="D1551" s="266" t="s">
        <v>7546</v>
      </c>
      <c r="E1551" s="266"/>
      <c r="F1551" s="266"/>
      <c r="G1551" s="266" t="s">
        <v>6304</v>
      </c>
      <c r="H1551" s="266" t="s">
        <v>3806</v>
      </c>
      <c r="I1551" s="266"/>
      <c r="J1551" s="266"/>
      <c r="K1551" s="1"/>
      <c r="L1551" s="1"/>
    </row>
    <row r="1552">
      <c r="A1552" s="266">
        <v>800.0</v>
      </c>
      <c r="B1552" s="266"/>
      <c r="C1552" s="266">
        <v>5.0</v>
      </c>
      <c r="D1552" s="266" t="s">
        <v>7547</v>
      </c>
      <c r="E1552" s="266"/>
      <c r="F1552" s="266"/>
      <c r="G1552" s="266"/>
      <c r="H1552" s="266"/>
      <c r="I1552" s="266"/>
      <c r="J1552" s="267"/>
    </row>
    <row r="1553">
      <c r="A1553" s="266">
        <v>900.0</v>
      </c>
      <c r="B1553" s="266"/>
      <c r="C1553" s="266">
        <v>10.0</v>
      </c>
      <c r="D1553" s="266" t="s">
        <v>7185</v>
      </c>
      <c r="E1553" s="266"/>
      <c r="F1553" s="266"/>
      <c r="G1553" s="266" t="s">
        <v>6304</v>
      </c>
      <c r="H1553" s="266" t="s">
        <v>3806</v>
      </c>
      <c r="I1553" s="266"/>
      <c r="J1553" s="266"/>
      <c r="K1553" s="1"/>
      <c r="L1553" s="1"/>
    </row>
    <row r="1554">
      <c r="A1554" s="266">
        <v>1000.0</v>
      </c>
      <c r="B1554" s="266"/>
      <c r="C1554" s="266">
        <v>10.0</v>
      </c>
      <c r="D1554" s="266" t="s">
        <v>417</v>
      </c>
      <c r="E1554" s="266"/>
      <c r="F1554" s="266"/>
      <c r="G1554" s="266" t="s">
        <v>6304</v>
      </c>
      <c r="H1554" s="266" t="s">
        <v>551</v>
      </c>
      <c r="I1554" s="266"/>
      <c r="J1554" s="266"/>
      <c r="K1554" s="1"/>
      <c r="L1554" s="1"/>
    </row>
    <row r="1555">
      <c r="A1555" s="266">
        <v>1100.0</v>
      </c>
      <c r="B1555" s="266"/>
      <c r="C1555" s="266">
        <v>10.0</v>
      </c>
      <c r="D1555" s="266" t="s">
        <v>7548</v>
      </c>
      <c r="E1555" s="266"/>
      <c r="F1555" s="266"/>
      <c r="G1555" s="266" t="s">
        <v>6304</v>
      </c>
      <c r="H1555" s="266" t="s">
        <v>551</v>
      </c>
      <c r="I1555" s="266"/>
      <c r="J1555" s="266"/>
      <c r="K1555" s="1"/>
      <c r="L1555" s="1"/>
    </row>
    <row r="1556">
      <c r="A1556" s="266">
        <v>1200.0</v>
      </c>
      <c r="B1556" s="266"/>
      <c r="C1556" s="266">
        <v>10.0</v>
      </c>
      <c r="D1556" s="266" t="s">
        <v>7549</v>
      </c>
      <c r="E1556" s="266"/>
      <c r="F1556" s="266"/>
      <c r="G1556" s="266" t="s">
        <v>6304</v>
      </c>
      <c r="H1556" s="266" t="s">
        <v>551</v>
      </c>
      <c r="I1556" s="266"/>
      <c r="J1556" s="266"/>
      <c r="K1556" s="1"/>
      <c r="L1556" s="1"/>
    </row>
    <row r="1557">
      <c r="A1557" s="266">
        <v>1300.0</v>
      </c>
      <c r="B1557" s="266"/>
      <c r="C1557" s="266">
        <v>5.0</v>
      </c>
      <c r="D1557" s="266" t="s">
        <v>575</v>
      </c>
      <c r="E1557" s="266"/>
      <c r="F1557" s="266"/>
      <c r="G1557" s="266" t="s">
        <v>6304</v>
      </c>
      <c r="H1557" s="266" t="s">
        <v>551</v>
      </c>
      <c r="I1557" s="266"/>
      <c r="J1557" s="266"/>
      <c r="K1557" s="1"/>
      <c r="L1557" s="1"/>
    </row>
    <row r="1558">
      <c r="A1558" s="266">
        <v>1400.0</v>
      </c>
      <c r="B1558" s="266"/>
      <c r="C1558" s="266">
        <v>5.0</v>
      </c>
      <c r="D1558" s="266" t="s">
        <v>7550</v>
      </c>
      <c r="E1558" s="266"/>
      <c r="F1558" s="266"/>
      <c r="G1558" s="266" t="s">
        <v>6304</v>
      </c>
      <c r="H1558" s="266" t="s">
        <v>3808</v>
      </c>
      <c r="I1558" s="266" t="s">
        <v>6305</v>
      </c>
      <c r="J1558" s="266"/>
      <c r="K1558" s="1"/>
      <c r="L1558" s="1"/>
    </row>
    <row r="1559">
      <c r="A1559" s="266">
        <v>1500.0</v>
      </c>
      <c r="B1559" s="266"/>
      <c r="C1559" s="266">
        <v>5.0</v>
      </c>
      <c r="D1559" s="266" t="s">
        <v>7551</v>
      </c>
      <c r="E1559" s="266"/>
      <c r="F1559" s="266"/>
      <c r="G1559" s="266"/>
      <c r="H1559" s="266"/>
      <c r="I1559" s="266"/>
      <c r="J1559" s="267"/>
    </row>
    <row r="1560">
      <c r="A1560" s="266">
        <v>1600.0</v>
      </c>
      <c r="B1560" s="266"/>
      <c r="C1560" s="266">
        <v>10.0</v>
      </c>
      <c r="D1560" s="266" t="s">
        <v>7552</v>
      </c>
      <c r="E1560" s="266"/>
      <c r="F1560" s="266"/>
      <c r="G1560" s="266" t="s">
        <v>6304</v>
      </c>
      <c r="H1560" s="266" t="s">
        <v>3806</v>
      </c>
      <c r="I1560" s="266"/>
      <c r="J1560" s="266"/>
      <c r="K1560" s="1"/>
      <c r="L1560" s="1"/>
    </row>
    <row r="1561">
      <c r="A1561" s="266">
        <v>1700.0</v>
      </c>
      <c r="B1561" s="266"/>
      <c r="C1561" s="266">
        <v>10.0</v>
      </c>
      <c r="D1561" s="266" t="s">
        <v>7553</v>
      </c>
      <c r="E1561" s="266"/>
      <c r="F1561" s="266"/>
      <c r="G1561" s="266" t="s">
        <v>6304</v>
      </c>
      <c r="H1561" s="266" t="s">
        <v>551</v>
      </c>
      <c r="I1561" s="266"/>
      <c r="J1561" s="266"/>
      <c r="K1561" s="1"/>
      <c r="L1561" s="1"/>
    </row>
    <row r="1562">
      <c r="A1562" s="266">
        <v>1800.0</v>
      </c>
      <c r="B1562" s="266"/>
      <c r="C1562" s="266">
        <v>10.0</v>
      </c>
      <c r="D1562" s="266" t="s">
        <v>7554</v>
      </c>
      <c r="E1562" s="266"/>
      <c r="F1562" s="266"/>
      <c r="G1562" s="266" t="s">
        <v>6304</v>
      </c>
      <c r="H1562" s="266" t="s">
        <v>551</v>
      </c>
      <c r="I1562" s="266"/>
      <c r="J1562" s="266"/>
      <c r="K1562" s="1"/>
      <c r="L1562" s="1"/>
    </row>
    <row r="1563">
      <c r="A1563" s="266">
        <v>1900.0</v>
      </c>
      <c r="B1563" s="266"/>
      <c r="C1563" s="266">
        <v>10.0</v>
      </c>
      <c r="D1563" s="266" t="s">
        <v>7555</v>
      </c>
      <c r="E1563" s="266"/>
      <c r="F1563" s="266"/>
      <c r="G1563" s="266" t="s">
        <v>6304</v>
      </c>
      <c r="H1563" s="266" t="s">
        <v>551</v>
      </c>
      <c r="I1563" s="266"/>
      <c r="J1563" s="266"/>
      <c r="K1563" s="1"/>
      <c r="L1563" s="1"/>
    </row>
    <row r="1564">
      <c r="A1564" s="266">
        <v>2000.0</v>
      </c>
      <c r="B1564" s="266"/>
      <c r="C1564" s="266">
        <v>5.0</v>
      </c>
      <c r="D1564" s="266" t="s">
        <v>7556</v>
      </c>
      <c r="E1564" s="266"/>
      <c r="F1564" s="266"/>
      <c r="G1564" s="266"/>
      <c r="H1564" s="266"/>
      <c r="I1564" s="266"/>
      <c r="J1564" s="267"/>
    </row>
    <row r="1565">
      <c r="A1565" s="266">
        <v>2100.0</v>
      </c>
      <c r="B1565" s="266"/>
      <c r="C1565" s="266">
        <v>10.0</v>
      </c>
      <c r="D1565" s="266" t="s">
        <v>7557</v>
      </c>
      <c r="E1565" s="266"/>
      <c r="F1565" s="266"/>
      <c r="G1565" s="266" t="s">
        <v>6304</v>
      </c>
      <c r="H1565" s="266" t="s">
        <v>3806</v>
      </c>
      <c r="I1565" s="266"/>
      <c r="J1565" s="266"/>
      <c r="K1565" s="1"/>
      <c r="L1565" s="1"/>
    </row>
    <row r="1566">
      <c r="A1566" s="266">
        <v>2200.0</v>
      </c>
      <c r="B1566" s="266"/>
      <c r="C1566" s="266">
        <v>10.0</v>
      </c>
      <c r="D1566" s="266" t="s">
        <v>7558</v>
      </c>
      <c r="E1566" s="266"/>
      <c r="F1566" s="266"/>
      <c r="G1566" s="266" t="s">
        <v>6304</v>
      </c>
      <c r="H1566" s="266" t="s">
        <v>3806</v>
      </c>
      <c r="I1566" s="266"/>
      <c r="J1566" s="266"/>
      <c r="K1566" s="1"/>
      <c r="L1566" s="1"/>
    </row>
    <row r="1567">
      <c r="A1567" s="266">
        <v>2300.0</v>
      </c>
      <c r="B1567" s="266"/>
      <c r="C1567" s="266">
        <v>10.0</v>
      </c>
      <c r="D1567" s="266" t="s">
        <v>7559</v>
      </c>
      <c r="E1567" s="266"/>
      <c r="F1567" s="266"/>
      <c r="G1567" s="266" t="s">
        <v>6304</v>
      </c>
      <c r="H1567" s="266" t="s">
        <v>3806</v>
      </c>
      <c r="I1567" s="266"/>
      <c r="J1567" s="266"/>
      <c r="K1567" s="1"/>
      <c r="L1567" s="1"/>
    </row>
    <row r="1568">
      <c r="A1568" s="266">
        <v>2400.0</v>
      </c>
      <c r="B1568" s="266"/>
      <c r="C1568" s="266">
        <v>10.0</v>
      </c>
      <c r="D1568" s="266" t="s">
        <v>7560</v>
      </c>
      <c r="E1568" s="266"/>
      <c r="F1568" s="266"/>
      <c r="G1568" s="266" t="s">
        <v>6304</v>
      </c>
      <c r="H1568" s="266" t="s">
        <v>3806</v>
      </c>
      <c r="I1568" s="266"/>
      <c r="J1568" s="266"/>
      <c r="K1568" s="1"/>
      <c r="L1568" s="1"/>
    </row>
    <row r="1569">
      <c r="A1569" s="266">
        <v>2500.0</v>
      </c>
      <c r="B1569" s="266"/>
      <c r="C1569" s="266">
        <v>5.0</v>
      </c>
      <c r="D1569" s="266" t="s">
        <v>7036</v>
      </c>
      <c r="E1569" s="266"/>
      <c r="F1569" s="266"/>
      <c r="G1569" s="266"/>
      <c r="H1569" s="266"/>
      <c r="I1569" s="266"/>
      <c r="J1569" s="267"/>
    </row>
    <row r="1570">
      <c r="A1570" s="266">
        <v>2600.0</v>
      </c>
      <c r="B1570" s="266"/>
      <c r="C1570" s="266">
        <v>10.0</v>
      </c>
      <c r="D1570" s="266" t="s">
        <v>7037</v>
      </c>
      <c r="E1570" s="266"/>
      <c r="F1570" s="266"/>
      <c r="G1570" s="266" t="s">
        <v>6304</v>
      </c>
      <c r="H1570" s="266" t="s">
        <v>557</v>
      </c>
      <c r="I1570" s="266"/>
      <c r="J1570" s="266"/>
      <c r="K1570" s="1"/>
      <c r="L1570" s="1"/>
    </row>
    <row r="1571">
      <c r="A1571" s="266">
        <v>2700.0</v>
      </c>
      <c r="B1571" s="266"/>
      <c r="C1571" s="266">
        <v>10.0</v>
      </c>
      <c r="D1571" s="266" t="s">
        <v>7038</v>
      </c>
      <c r="E1571" s="266"/>
      <c r="F1571" s="266"/>
      <c r="G1571" s="266" t="s">
        <v>6304</v>
      </c>
      <c r="H1571" s="266" t="s">
        <v>17</v>
      </c>
      <c r="I1571" s="266"/>
      <c r="J1571" s="266"/>
      <c r="K1571" s="1"/>
      <c r="L1571" s="1"/>
    </row>
    <row r="1572">
      <c r="A1572" s="266">
        <v>2800.0</v>
      </c>
      <c r="B1572" s="266"/>
      <c r="C1572" s="266">
        <v>88.0</v>
      </c>
      <c r="D1572" s="266" t="s">
        <v>7039</v>
      </c>
      <c r="E1572" s="266" t="s">
        <v>6621</v>
      </c>
      <c r="F1572" s="269" t="s">
        <v>7040</v>
      </c>
      <c r="G1572" s="266"/>
      <c r="H1572" s="266"/>
      <c r="I1572" s="266"/>
      <c r="J1572" s="267"/>
    </row>
    <row r="1573">
      <c r="A1573" s="266">
        <v>2900.0</v>
      </c>
      <c r="B1573" s="266"/>
      <c r="C1573" s="266">
        <v>88.0</v>
      </c>
      <c r="D1573" s="266" t="s">
        <v>7041</v>
      </c>
      <c r="E1573" s="266" t="s">
        <v>6621</v>
      </c>
      <c r="F1573" s="269" t="s">
        <v>7042</v>
      </c>
      <c r="G1573" s="266"/>
      <c r="H1573" s="266"/>
      <c r="I1573" s="266"/>
      <c r="J1573" s="267"/>
    </row>
    <row r="1574">
      <c r="A1574" s="266">
        <v>3000.0</v>
      </c>
      <c r="B1574" s="266"/>
      <c r="C1574" s="266">
        <v>10.0</v>
      </c>
      <c r="D1574" s="266" t="s">
        <v>6306</v>
      </c>
      <c r="E1574" s="266"/>
      <c r="F1574" s="266"/>
      <c r="G1574" s="266" t="s">
        <v>6304</v>
      </c>
      <c r="H1574" s="266" t="s">
        <v>557</v>
      </c>
      <c r="I1574" s="266"/>
      <c r="J1574" s="266"/>
      <c r="K1574" s="1"/>
      <c r="L1574" s="1"/>
    </row>
    <row r="1575">
      <c r="A1575" s="266">
        <v>3100.0</v>
      </c>
      <c r="B1575" s="266"/>
      <c r="C1575" s="266">
        <v>10.0</v>
      </c>
      <c r="D1575" s="266" t="s">
        <v>7043</v>
      </c>
      <c r="E1575" s="266"/>
      <c r="F1575" s="266"/>
      <c r="G1575" s="266" t="s">
        <v>6304</v>
      </c>
      <c r="H1575" s="266" t="s">
        <v>6317</v>
      </c>
      <c r="I1575" s="266"/>
      <c r="J1575" s="266"/>
      <c r="K1575" s="1"/>
      <c r="L1575" s="1"/>
    </row>
    <row r="1576">
      <c r="A1576" s="266">
        <v>3200.0</v>
      </c>
      <c r="B1576" s="266"/>
      <c r="C1576" s="266">
        <v>5.0</v>
      </c>
      <c r="D1576" s="266" t="s">
        <v>7561</v>
      </c>
      <c r="E1576" s="266"/>
      <c r="F1576" s="266"/>
      <c r="G1576" s="266"/>
      <c r="H1576" s="266"/>
      <c r="I1576" s="266"/>
      <c r="J1576" s="267"/>
    </row>
    <row r="1577">
      <c r="A1577" s="266">
        <v>3300.0</v>
      </c>
      <c r="B1577" s="266"/>
      <c r="C1577" s="266">
        <v>10.0</v>
      </c>
      <c r="D1577" s="266" t="s">
        <v>7562</v>
      </c>
      <c r="E1577" s="266"/>
      <c r="F1577" s="266"/>
      <c r="G1577" s="266" t="s">
        <v>6304</v>
      </c>
      <c r="H1577" s="266" t="s">
        <v>559</v>
      </c>
      <c r="I1577" s="266"/>
      <c r="J1577" s="266"/>
      <c r="K1577" s="1"/>
      <c r="L1577" s="1"/>
    </row>
    <row r="1578">
      <c r="A1578" s="266">
        <v>3400.0</v>
      </c>
      <c r="B1578" s="266"/>
      <c r="C1578" s="266">
        <v>10.0</v>
      </c>
      <c r="D1578" s="266" t="s">
        <v>7563</v>
      </c>
      <c r="E1578" s="266"/>
      <c r="F1578" s="266"/>
      <c r="G1578" s="266" t="s">
        <v>6304</v>
      </c>
      <c r="H1578" s="266" t="s">
        <v>6336</v>
      </c>
      <c r="I1578" s="266"/>
      <c r="J1578" s="266"/>
      <c r="K1578" s="1"/>
      <c r="L1578" s="1"/>
    </row>
    <row r="1579">
      <c r="A1579" s="266">
        <v>3500.0</v>
      </c>
      <c r="B1579" s="266"/>
      <c r="C1579" s="266">
        <v>5.0</v>
      </c>
      <c r="D1579" s="266" t="s">
        <v>7564</v>
      </c>
      <c r="E1579" s="266"/>
      <c r="F1579" s="266"/>
      <c r="G1579" s="266" t="s">
        <v>6304</v>
      </c>
      <c r="H1579" s="266" t="s">
        <v>557</v>
      </c>
      <c r="I1579" s="266"/>
      <c r="J1579" s="266"/>
      <c r="K1579" s="1"/>
      <c r="L1579" s="1"/>
    </row>
    <row r="1580">
      <c r="A1580" s="266">
        <v>3600.0</v>
      </c>
      <c r="B1580" s="266"/>
      <c r="C1580" s="266">
        <v>5.0</v>
      </c>
      <c r="D1580" s="266" t="s">
        <v>6776</v>
      </c>
      <c r="E1580" s="266"/>
      <c r="F1580" s="266"/>
      <c r="G1580" s="266" t="s">
        <v>6304</v>
      </c>
      <c r="H1580" s="266" t="s">
        <v>6777</v>
      </c>
      <c r="I1580" s="266" t="s">
        <v>6592</v>
      </c>
      <c r="J1580" s="266"/>
      <c r="K1580" s="1"/>
      <c r="L1580" s="1"/>
    </row>
    <row r="1581">
      <c r="A1581" s="266">
        <v>3700.0</v>
      </c>
      <c r="B1581" s="266"/>
      <c r="C1581" s="266">
        <v>5.0</v>
      </c>
      <c r="D1581" s="266" t="s">
        <v>6306</v>
      </c>
      <c r="E1581" s="266"/>
      <c r="F1581" s="266"/>
      <c r="G1581" s="266" t="s">
        <v>6304</v>
      </c>
      <c r="H1581" s="266" t="s">
        <v>6494</v>
      </c>
      <c r="I1581" s="266"/>
      <c r="J1581" s="266"/>
      <c r="K1581" s="1"/>
      <c r="L1581" s="1"/>
    </row>
    <row r="1582">
      <c r="A1582" s="266">
        <v>3800.0</v>
      </c>
      <c r="B1582" s="266"/>
      <c r="C1582" s="266">
        <v>5.0</v>
      </c>
      <c r="D1582" s="266" t="s">
        <v>7565</v>
      </c>
      <c r="E1582" s="266"/>
      <c r="F1582" s="266"/>
      <c r="G1582" s="266"/>
      <c r="H1582" s="266"/>
      <c r="I1582" s="266"/>
      <c r="J1582" s="267"/>
    </row>
    <row r="1583">
      <c r="A1583" s="266">
        <v>3900.0</v>
      </c>
      <c r="B1583" s="266"/>
      <c r="C1583" s="266">
        <v>10.0</v>
      </c>
      <c r="D1583" s="266" t="s">
        <v>7566</v>
      </c>
      <c r="E1583" s="266" t="s">
        <v>6479</v>
      </c>
      <c r="F1583" s="266">
        <v>1800.0</v>
      </c>
      <c r="G1583" s="266"/>
      <c r="H1583" s="266"/>
      <c r="I1583" s="266"/>
      <c r="J1583" s="267"/>
    </row>
    <row r="1584">
      <c r="A1584" s="266">
        <v>3950.0</v>
      </c>
      <c r="B1584" s="266" t="s">
        <v>6779</v>
      </c>
      <c r="C1584" s="266" t="s">
        <v>6779</v>
      </c>
      <c r="D1584" s="266" t="s">
        <v>444</v>
      </c>
      <c r="E1584" s="266" t="s">
        <v>6776</v>
      </c>
      <c r="F1584" s="266" t="s">
        <v>6304</v>
      </c>
      <c r="G1584" s="266" t="s">
        <v>557</v>
      </c>
      <c r="H1584" s="266"/>
      <c r="I1584" s="266"/>
      <c r="J1584" s="267"/>
    </row>
    <row r="1585">
      <c r="A1585" s="266">
        <v>50.0</v>
      </c>
      <c r="B1585" s="266">
        <v>1.0</v>
      </c>
      <c r="C1585" s="266"/>
      <c r="D1585" s="266" t="s">
        <v>7567</v>
      </c>
      <c r="E1585" s="266"/>
      <c r="F1585" s="266"/>
      <c r="G1585" s="266"/>
      <c r="H1585" s="266"/>
      <c r="I1585" s="266"/>
      <c r="J1585" s="267"/>
    </row>
    <row r="1586">
      <c r="A1586" s="266">
        <v>100.0</v>
      </c>
      <c r="B1586" s="266"/>
      <c r="C1586" s="266">
        <v>5.0</v>
      </c>
      <c r="D1586" s="266" t="s">
        <v>6783</v>
      </c>
      <c r="E1586" s="266"/>
      <c r="F1586" s="266"/>
      <c r="G1586" s="266"/>
      <c r="H1586" s="266"/>
      <c r="I1586" s="266"/>
      <c r="J1586" s="267"/>
    </row>
    <row r="1587">
      <c r="A1587" s="266">
        <v>200.0</v>
      </c>
      <c r="B1587" s="266"/>
      <c r="C1587" s="266">
        <v>10.0</v>
      </c>
      <c r="D1587" s="266" t="s">
        <v>5165</v>
      </c>
      <c r="E1587" s="266"/>
      <c r="F1587" s="266"/>
      <c r="G1587" s="266" t="s">
        <v>6304</v>
      </c>
      <c r="H1587" s="266">
        <v>9.0</v>
      </c>
      <c r="I1587" s="266"/>
      <c r="J1587" s="266"/>
      <c r="K1587" s="1"/>
      <c r="L1587" s="1"/>
    </row>
    <row r="1588">
      <c r="A1588" s="266">
        <v>300.0</v>
      </c>
      <c r="B1588" s="266"/>
      <c r="C1588" s="266">
        <v>10.0</v>
      </c>
      <c r="D1588" s="266" t="s">
        <v>5166</v>
      </c>
      <c r="E1588" s="266"/>
      <c r="F1588" s="266"/>
      <c r="G1588" s="266" t="s">
        <v>6304</v>
      </c>
      <c r="H1588" s="266" t="s">
        <v>551</v>
      </c>
      <c r="I1588" s="266"/>
      <c r="J1588" s="266"/>
      <c r="K1588" s="1"/>
      <c r="L1588" s="1"/>
    </row>
    <row r="1589">
      <c r="A1589" s="266">
        <v>400.0</v>
      </c>
      <c r="B1589" s="266"/>
      <c r="C1589" s="266">
        <v>5.0</v>
      </c>
      <c r="D1589" s="266" t="s">
        <v>6784</v>
      </c>
      <c r="E1589" s="266"/>
      <c r="F1589" s="266"/>
      <c r="G1589" s="266"/>
      <c r="H1589" s="266"/>
      <c r="I1589" s="266"/>
      <c r="J1589" s="267"/>
    </row>
    <row r="1590">
      <c r="A1590" s="266">
        <v>500.0</v>
      </c>
      <c r="B1590" s="266"/>
      <c r="C1590" s="266">
        <v>10.0</v>
      </c>
      <c r="D1590" s="266" t="s">
        <v>5160</v>
      </c>
      <c r="E1590" s="266"/>
      <c r="F1590" s="266"/>
      <c r="G1590" s="266" t="s">
        <v>6304</v>
      </c>
      <c r="H1590" s="266" t="s">
        <v>552</v>
      </c>
      <c r="I1590" s="266"/>
      <c r="J1590" s="266"/>
      <c r="K1590" s="1"/>
      <c r="L1590" s="1"/>
    </row>
    <row r="1591">
      <c r="A1591" s="266">
        <v>600.0</v>
      </c>
      <c r="B1591" s="266"/>
      <c r="C1591" s="266">
        <v>10.0</v>
      </c>
      <c r="D1591" s="266" t="s">
        <v>5161</v>
      </c>
      <c r="E1591" s="266"/>
      <c r="F1591" s="266"/>
      <c r="G1591" s="266" t="s">
        <v>6304</v>
      </c>
      <c r="H1591" s="266" t="s">
        <v>551</v>
      </c>
      <c r="I1591" s="266"/>
      <c r="J1591" s="266"/>
      <c r="K1591" s="1"/>
      <c r="L1591" s="1"/>
    </row>
    <row r="1592">
      <c r="A1592" s="266">
        <v>700.0</v>
      </c>
      <c r="B1592" s="266"/>
      <c r="C1592" s="266">
        <v>5.0</v>
      </c>
      <c r="D1592" s="266" t="s">
        <v>546</v>
      </c>
      <c r="E1592" s="266"/>
      <c r="F1592" s="266"/>
      <c r="G1592" s="266" t="s">
        <v>6304</v>
      </c>
      <c r="H1592" s="266" t="s">
        <v>544</v>
      </c>
      <c r="I1592" s="266" t="s">
        <v>6305</v>
      </c>
      <c r="J1592" s="266"/>
      <c r="K1592" s="1"/>
      <c r="L1592" s="1"/>
    </row>
    <row r="1593">
      <c r="A1593" s="266">
        <v>800.0</v>
      </c>
      <c r="B1593" s="266"/>
      <c r="C1593" s="266">
        <v>5.0</v>
      </c>
      <c r="D1593" s="266" t="s">
        <v>5162</v>
      </c>
      <c r="E1593" s="266"/>
      <c r="F1593" s="266"/>
      <c r="G1593" s="266" t="s">
        <v>6304</v>
      </c>
      <c r="H1593" s="266" t="s">
        <v>544</v>
      </c>
      <c r="I1593" s="266" t="s">
        <v>6305</v>
      </c>
      <c r="J1593" s="266"/>
      <c r="K1593" s="1"/>
      <c r="L1593" s="1"/>
    </row>
    <row r="1594">
      <c r="A1594" s="266">
        <v>900.0</v>
      </c>
      <c r="B1594" s="266"/>
      <c r="C1594" s="266">
        <v>5.0</v>
      </c>
      <c r="D1594" s="266" t="s">
        <v>5163</v>
      </c>
      <c r="E1594" s="266"/>
      <c r="F1594" s="266"/>
      <c r="G1594" s="266" t="s">
        <v>6304</v>
      </c>
      <c r="H1594" s="266" t="s">
        <v>5155</v>
      </c>
      <c r="I1594" s="266" t="s">
        <v>6305</v>
      </c>
      <c r="J1594" s="266"/>
      <c r="K1594" s="1"/>
      <c r="L1594" s="1"/>
    </row>
    <row r="1595">
      <c r="A1595" s="266">
        <v>1000.0</v>
      </c>
      <c r="B1595" s="266"/>
      <c r="C1595" s="266">
        <v>5.0</v>
      </c>
      <c r="D1595" s="266" t="s">
        <v>5164</v>
      </c>
      <c r="E1595" s="266"/>
      <c r="F1595" s="266"/>
      <c r="G1595" s="266" t="s">
        <v>6304</v>
      </c>
      <c r="H1595" s="266" t="s">
        <v>544</v>
      </c>
      <c r="I1595" s="266" t="s">
        <v>6305</v>
      </c>
      <c r="J1595" s="266"/>
      <c r="K1595" s="1"/>
      <c r="L1595" s="1"/>
    </row>
    <row r="1596">
      <c r="A1596" s="266">
        <v>1100.0</v>
      </c>
      <c r="B1596" s="266"/>
      <c r="C1596" s="266">
        <v>5.0</v>
      </c>
      <c r="D1596" s="266" t="s">
        <v>547</v>
      </c>
      <c r="E1596" s="266"/>
      <c r="F1596" s="266"/>
      <c r="G1596" s="266" t="s">
        <v>6304</v>
      </c>
      <c r="H1596" s="266" t="s">
        <v>544</v>
      </c>
      <c r="I1596" s="266" t="s">
        <v>6305</v>
      </c>
      <c r="J1596" s="266"/>
      <c r="K1596" s="1"/>
      <c r="L1596" s="1"/>
    </row>
    <row r="1597">
      <c r="A1597" s="266">
        <v>1200.0</v>
      </c>
      <c r="B1597" s="266"/>
      <c r="C1597" s="266">
        <v>5.0</v>
      </c>
      <c r="D1597" s="266" t="s">
        <v>548</v>
      </c>
      <c r="E1597" s="266"/>
      <c r="F1597" s="266"/>
      <c r="G1597" s="266" t="s">
        <v>6304</v>
      </c>
      <c r="H1597" s="266" t="s">
        <v>544</v>
      </c>
      <c r="I1597" s="266" t="s">
        <v>6305</v>
      </c>
      <c r="J1597" s="266"/>
      <c r="K1597" s="1"/>
      <c r="L1597" s="1"/>
    </row>
    <row r="1598">
      <c r="A1598" s="266">
        <v>1300.0</v>
      </c>
      <c r="B1598" s="266"/>
      <c r="C1598" s="266">
        <v>5.0</v>
      </c>
      <c r="D1598" s="266" t="s">
        <v>549</v>
      </c>
      <c r="E1598" s="266"/>
      <c r="F1598" s="266"/>
      <c r="G1598" s="266" t="s">
        <v>6304</v>
      </c>
      <c r="H1598" s="266" t="s">
        <v>544</v>
      </c>
      <c r="I1598" s="266" t="s">
        <v>6305</v>
      </c>
      <c r="J1598" s="266"/>
      <c r="K1598" s="1"/>
      <c r="L1598" s="1"/>
    </row>
    <row r="1599">
      <c r="A1599" s="266">
        <v>1400.0</v>
      </c>
      <c r="B1599" s="266"/>
      <c r="C1599" s="266">
        <v>5.0</v>
      </c>
      <c r="D1599" s="266" t="s">
        <v>550</v>
      </c>
      <c r="E1599" s="266"/>
      <c r="F1599" s="266"/>
      <c r="G1599" s="266" t="s">
        <v>6304</v>
      </c>
      <c r="H1599" s="266" t="s">
        <v>544</v>
      </c>
      <c r="I1599" s="266" t="s">
        <v>6305</v>
      </c>
      <c r="J1599" s="266"/>
      <c r="K1599" s="1"/>
      <c r="L1599" s="1"/>
    </row>
    <row r="1600">
      <c r="A1600" s="266">
        <v>1500.0</v>
      </c>
      <c r="B1600" s="266"/>
      <c r="C1600" s="266">
        <v>5.0</v>
      </c>
      <c r="D1600" s="266" t="s">
        <v>6306</v>
      </c>
      <c r="E1600" s="266"/>
      <c r="F1600" s="266"/>
      <c r="G1600" s="266" t="s">
        <v>6304</v>
      </c>
      <c r="H1600" s="266" t="s">
        <v>17</v>
      </c>
      <c r="I1600" s="266"/>
      <c r="J1600" s="266"/>
      <c r="K1600" s="1"/>
      <c r="L1600" s="1"/>
    </row>
    <row r="1601">
      <c r="A1601" s="266">
        <v>50.0</v>
      </c>
      <c r="B1601" s="266">
        <v>1.0</v>
      </c>
      <c r="C1601" s="266"/>
      <c r="D1601" s="266" t="s">
        <v>7568</v>
      </c>
      <c r="E1601" s="266"/>
      <c r="F1601" s="266"/>
      <c r="G1601" s="266"/>
      <c r="H1601" s="266"/>
      <c r="I1601" s="266"/>
      <c r="J1601" s="267"/>
    </row>
    <row r="1602">
      <c r="A1602" s="266">
        <v>100.0</v>
      </c>
      <c r="B1602" s="266"/>
      <c r="C1602" s="266">
        <v>5.0</v>
      </c>
      <c r="D1602" s="266" t="s">
        <v>7569</v>
      </c>
      <c r="E1602" s="266" t="s">
        <v>6479</v>
      </c>
      <c r="F1602" s="266">
        <v>5.0</v>
      </c>
      <c r="G1602" s="266"/>
      <c r="H1602" s="266"/>
      <c r="I1602" s="266"/>
      <c r="J1602" s="267"/>
    </row>
    <row r="1603">
      <c r="A1603" s="266">
        <v>200.0</v>
      </c>
      <c r="B1603" s="266"/>
      <c r="C1603" s="266">
        <v>10.0</v>
      </c>
      <c r="D1603" s="266" t="s">
        <v>7149</v>
      </c>
      <c r="E1603" s="266"/>
      <c r="F1603" s="266"/>
      <c r="G1603" s="266" t="s">
        <v>6304</v>
      </c>
      <c r="H1603" s="266" t="s">
        <v>560</v>
      </c>
      <c r="I1603" s="266"/>
      <c r="J1603" s="266"/>
      <c r="K1603" s="1"/>
      <c r="L1603" s="1"/>
    </row>
    <row r="1604">
      <c r="A1604" s="266">
        <v>300.0</v>
      </c>
      <c r="B1604" s="266"/>
      <c r="C1604" s="266">
        <v>10.0</v>
      </c>
      <c r="D1604" s="266" t="s">
        <v>7570</v>
      </c>
      <c r="E1604" s="266"/>
      <c r="F1604" s="266"/>
      <c r="G1604" s="266" t="s">
        <v>6304</v>
      </c>
      <c r="H1604" s="266" t="s">
        <v>6731</v>
      </c>
      <c r="I1604" s="266" t="s">
        <v>6305</v>
      </c>
      <c r="J1604" s="266"/>
      <c r="K1604" s="1"/>
      <c r="L1604" s="1"/>
    </row>
    <row r="1605">
      <c r="A1605" s="266">
        <v>400.0</v>
      </c>
      <c r="B1605" s="266"/>
      <c r="C1605" s="266">
        <v>10.0</v>
      </c>
      <c r="D1605" s="266" t="s">
        <v>7571</v>
      </c>
      <c r="E1605" s="266"/>
      <c r="F1605" s="266"/>
      <c r="G1605" s="266" t="s">
        <v>6304</v>
      </c>
      <c r="H1605" s="266" t="s">
        <v>552</v>
      </c>
      <c r="I1605" s="266"/>
      <c r="J1605" s="266"/>
      <c r="K1605" s="1"/>
      <c r="L1605" s="1"/>
    </row>
    <row r="1606">
      <c r="A1606" s="266">
        <v>500.0</v>
      </c>
      <c r="B1606" s="266"/>
      <c r="C1606" s="266">
        <v>10.0</v>
      </c>
      <c r="D1606" s="266" t="s">
        <v>7572</v>
      </c>
      <c r="E1606" s="266"/>
      <c r="F1606" s="266"/>
      <c r="G1606" s="266" t="s">
        <v>6304</v>
      </c>
      <c r="H1606" s="266" t="s">
        <v>552</v>
      </c>
      <c r="I1606" s="266"/>
      <c r="J1606" s="266"/>
      <c r="K1606" s="1"/>
      <c r="L1606" s="1"/>
    </row>
    <row r="1607">
      <c r="A1607" s="266">
        <v>600.0</v>
      </c>
      <c r="B1607" s="266"/>
      <c r="C1607" s="266">
        <v>5.0</v>
      </c>
      <c r="D1607" s="266" t="s">
        <v>6306</v>
      </c>
      <c r="E1607" s="266"/>
      <c r="F1607" s="266"/>
      <c r="G1607" s="266" t="s">
        <v>6304</v>
      </c>
      <c r="H1607" s="266" t="s">
        <v>6743</v>
      </c>
      <c r="I1607" s="266"/>
      <c r="J1607" s="266"/>
      <c r="K1607" s="1"/>
      <c r="L1607" s="1"/>
    </row>
    <row r="1608">
      <c r="A1608" s="266">
        <v>50.0</v>
      </c>
      <c r="B1608" s="266">
        <v>1.0</v>
      </c>
      <c r="C1608" s="266"/>
      <c r="D1608" s="266" t="s">
        <v>7573</v>
      </c>
      <c r="E1608" s="266"/>
      <c r="F1608" s="266"/>
      <c r="G1608" s="266"/>
      <c r="H1608" s="266"/>
      <c r="I1608" s="266"/>
      <c r="J1608" s="267"/>
    </row>
    <row r="1609">
      <c r="A1609" s="266">
        <v>100.0</v>
      </c>
      <c r="B1609" s="266"/>
      <c r="C1609" s="266">
        <v>5.0</v>
      </c>
      <c r="D1609" s="266" t="s">
        <v>7574</v>
      </c>
      <c r="E1609" s="266"/>
      <c r="F1609" s="266"/>
      <c r="G1609" s="266" t="s">
        <v>6304</v>
      </c>
      <c r="H1609" s="266" t="s">
        <v>552</v>
      </c>
      <c r="I1609" s="266"/>
      <c r="J1609" s="266"/>
      <c r="K1609" s="1"/>
      <c r="L1609" s="1"/>
    </row>
    <row r="1610">
      <c r="A1610" s="266">
        <v>200.0</v>
      </c>
      <c r="B1610" s="266"/>
      <c r="C1610" s="266">
        <v>5.0</v>
      </c>
      <c r="D1610" s="266" t="s">
        <v>7575</v>
      </c>
      <c r="E1610" s="266"/>
      <c r="F1610" s="266"/>
      <c r="G1610" s="266" t="s">
        <v>6304</v>
      </c>
      <c r="H1610" s="266" t="s">
        <v>6580</v>
      </c>
      <c r="I1610" s="266" t="s">
        <v>6305</v>
      </c>
      <c r="J1610" s="266"/>
      <c r="K1610" s="1"/>
      <c r="L1610" s="1"/>
    </row>
    <row r="1611">
      <c r="A1611" s="266">
        <v>300.0</v>
      </c>
      <c r="B1611" s="266"/>
      <c r="C1611" s="266">
        <v>5.0</v>
      </c>
      <c r="D1611" s="266" t="s">
        <v>7169</v>
      </c>
      <c r="E1611" s="266"/>
      <c r="F1611" s="266"/>
      <c r="G1611" s="266" t="s">
        <v>6304</v>
      </c>
      <c r="H1611" s="266" t="s">
        <v>6580</v>
      </c>
      <c r="I1611" s="266" t="s">
        <v>6305</v>
      </c>
      <c r="J1611" s="266"/>
      <c r="K1611" s="1"/>
      <c r="L1611" s="1"/>
    </row>
    <row r="1612">
      <c r="A1612" s="266">
        <v>400.0</v>
      </c>
      <c r="B1612" s="266"/>
      <c r="C1612" s="266">
        <v>5.0</v>
      </c>
      <c r="D1612" s="266" t="s">
        <v>7576</v>
      </c>
      <c r="E1612" s="266"/>
      <c r="F1612" s="266"/>
      <c r="G1612" s="266" t="s">
        <v>6304</v>
      </c>
      <c r="H1612" s="266" t="s">
        <v>6580</v>
      </c>
      <c r="I1612" s="266" t="s">
        <v>6305</v>
      </c>
      <c r="J1612" s="266"/>
      <c r="K1612" s="1"/>
      <c r="L1612" s="1"/>
    </row>
    <row r="1613">
      <c r="A1613" s="266">
        <v>500.0</v>
      </c>
      <c r="B1613" s="266"/>
      <c r="C1613" s="266">
        <v>5.0</v>
      </c>
      <c r="D1613" s="266" t="s">
        <v>6306</v>
      </c>
      <c r="E1613" s="266"/>
      <c r="F1613" s="266"/>
      <c r="G1613" s="266" t="s">
        <v>6304</v>
      </c>
      <c r="H1613" s="266" t="s">
        <v>6743</v>
      </c>
      <c r="I1613" s="266"/>
      <c r="J1613" s="266"/>
      <c r="K1613" s="1"/>
      <c r="L1613" s="1"/>
    </row>
    <row r="1614">
      <c r="A1614" s="266">
        <v>50.0</v>
      </c>
      <c r="B1614" s="266">
        <v>1.0</v>
      </c>
      <c r="C1614" s="266"/>
      <c r="D1614" s="266" t="s">
        <v>7577</v>
      </c>
      <c r="E1614" s="266"/>
      <c r="F1614" s="266"/>
      <c r="G1614" s="266"/>
      <c r="H1614" s="266"/>
      <c r="I1614" s="266"/>
      <c r="J1614" s="267"/>
    </row>
    <row r="1615">
      <c r="A1615" s="266">
        <v>100.0</v>
      </c>
      <c r="B1615" s="266"/>
      <c r="C1615" s="266">
        <v>5.0</v>
      </c>
      <c r="D1615" s="266" t="s">
        <v>7578</v>
      </c>
      <c r="E1615" s="266"/>
      <c r="F1615" s="266"/>
      <c r="G1615" s="266" t="s">
        <v>6304</v>
      </c>
      <c r="H1615" s="266" t="s">
        <v>552</v>
      </c>
      <c r="I1615" s="266"/>
      <c r="J1615" s="266"/>
      <c r="K1615" s="1"/>
      <c r="L1615" s="1"/>
    </row>
    <row r="1616">
      <c r="A1616" s="266">
        <v>200.0</v>
      </c>
      <c r="B1616" s="266"/>
      <c r="C1616" s="266">
        <v>5.0</v>
      </c>
      <c r="D1616" s="266" t="s">
        <v>7579</v>
      </c>
      <c r="E1616" s="266"/>
      <c r="F1616" s="266"/>
      <c r="G1616" s="266" t="s">
        <v>6304</v>
      </c>
      <c r="H1616" s="266" t="s">
        <v>7440</v>
      </c>
      <c r="I1616" s="266" t="s">
        <v>6305</v>
      </c>
      <c r="J1616" s="266"/>
      <c r="K1616" s="1"/>
      <c r="L1616" s="1"/>
    </row>
    <row r="1617">
      <c r="A1617" s="266">
        <v>300.0</v>
      </c>
      <c r="B1617" s="266"/>
      <c r="C1617" s="266">
        <v>5.0</v>
      </c>
      <c r="D1617" s="266" t="s">
        <v>7580</v>
      </c>
      <c r="E1617" s="266"/>
      <c r="F1617" s="266"/>
      <c r="G1617" s="266" t="s">
        <v>6304</v>
      </c>
      <c r="H1617" s="266" t="s">
        <v>7440</v>
      </c>
      <c r="I1617" s="266" t="s">
        <v>6305</v>
      </c>
      <c r="J1617" s="266"/>
      <c r="K1617" s="1"/>
      <c r="L1617" s="1"/>
    </row>
    <row r="1618">
      <c r="A1618" s="266">
        <v>400.0</v>
      </c>
      <c r="B1618" s="266"/>
      <c r="C1618" s="266">
        <v>5.0</v>
      </c>
      <c r="D1618" s="266" t="s">
        <v>7581</v>
      </c>
      <c r="E1618" s="266"/>
      <c r="F1618" s="266"/>
      <c r="G1618" s="266" t="s">
        <v>6304</v>
      </c>
      <c r="H1618" s="266" t="s">
        <v>7440</v>
      </c>
      <c r="I1618" s="266" t="s">
        <v>6305</v>
      </c>
      <c r="J1618" s="266"/>
      <c r="K1618" s="1"/>
      <c r="L1618" s="1"/>
    </row>
    <row r="1619">
      <c r="A1619" s="266">
        <v>500.0</v>
      </c>
      <c r="B1619" s="266"/>
      <c r="C1619" s="266">
        <v>5.0</v>
      </c>
      <c r="D1619" s="266" t="s">
        <v>7582</v>
      </c>
      <c r="E1619" s="266"/>
      <c r="F1619" s="266"/>
      <c r="G1619" s="266" t="s">
        <v>6304</v>
      </c>
      <c r="H1619" s="266" t="s">
        <v>6786</v>
      </c>
      <c r="I1619" s="266" t="s">
        <v>6305</v>
      </c>
      <c r="J1619" s="266"/>
      <c r="K1619" s="1"/>
      <c r="L1619" s="1"/>
    </row>
    <row r="1620">
      <c r="A1620" s="266">
        <v>600.0</v>
      </c>
      <c r="B1620" s="266"/>
      <c r="C1620" s="266">
        <v>5.0</v>
      </c>
      <c r="D1620" s="266" t="s">
        <v>7583</v>
      </c>
      <c r="E1620" s="266"/>
      <c r="F1620" s="266"/>
      <c r="G1620" s="266" t="s">
        <v>6304</v>
      </c>
      <c r="H1620" s="266" t="s">
        <v>6786</v>
      </c>
      <c r="I1620" s="266" t="s">
        <v>6305</v>
      </c>
      <c r="J1620" s="266"/>
      <c r="K1620" s="1"/>
      <c r="L1620" s="1"/>
    </row>
    <row r="1621">
      <c r="A1621" s="266">
        <v>700.0</v>
      </c>
      <c r="B1621" s="266"/>
      <c r="C1621" s="266">
        <v>5.0</v>
      </c>
      <c r="D1621" s="266" t="s">
        <v>6306</v>
      </c>
      <c r="E1621" s="266"/>
      <c r="F1621" s="266"/>
      <c r="G1621" s="266" t="s">
        <v>6304</v>
      </c>
      <c r="H1621" s="266" t="s">
        <v>15</v>
      </c>
      <c r="I1621" s="266"/>
      <c r="J1621" s="266"/>
      <c r="K1621" s="1"/>
      <c r="L1621" s="1"/>
    </row>
    <row r="1622">
      <c r="A1622" s="266">
        <v>50.0</v>
      </c>
      <c r="B1622" s="266">
        <v>1.0</v>
      </c>
      <c r="C1622" s="266"/>
      <c r="D1622" s="266" t="s">
        <v>7584</v>
      </c>
      <c r="E1622" s="266"/>
      <c r="F1622" s="266"/>
      <c r="G1622" s="266"/>
      <c r="H1622" s="266"/>
      <c r="I1622" s="266"/>
      <c r="J1622" s="267"/>
    </row>
    <row r="1623">
      <c r="A1623" s="266">
        <v>100.0</v>
      </c>
      <c r="B1623" s="266"/>
      <c r="C1623" s="266">
        <v>5.0</v>
      </c>
      <c r="D1623" s="266" t="s">
        <v>7585</v>
      </c>
      <c r="E1623" s="266"/>
      <c r="F1623" s="266"/>
      <c r="G1623" s="266" t="s">
        <v>6304</v>
      </c>
      <c r="H1623" s="266" t="s">
        <v>558</v>
      </c>
      <c r="I1623" s="266" t="s">
        <v>6305</v>
      </c>
      <c r="J1623" s="266"/>
      <c r="K1623" s="1"/>
      <c r="L1623" s="1"/>
    </row>
    <row r="1624">
      <c r="A1624" s="266">
        <v>200.0</v>
      </c>
      <c r="B1624" s="266"/>
      <c r="C1624" s="266">
        <v>5.0</v>
      </c>
      <c r="D1624" s="266" t="s">
        <v>7586</v>
      </c>
      <c r="E1624" s="266"/>
      <c r="F1624" s="266"/>
      <c r="G1624" s="266" t="s">
        <v>6304</v>
      </c>
      <c r="H1624" s="266" t="s">
        <v>553</v>
      </c>
      <c r="I1624" s="266"/>
      <c r="J1624" s="266"/>
      <c r="K1624" s="1"/>
      <c r="L1624" s="1"/>
    </row>
    <row r="1625">
      <c r="A1625" s="266">
        <v>300.0</v>
      </c>
      <c r="B1625" s="266"/>
      <c r="C1625" s="266">
        <v>5.0</v>
      </c>
      <c r="D1625" s="266" t="s">
        <v>7587</v>
      </c>
      <c r="E1625" s="266"/>
      <c r="F1625" s="266"/>
      <c r="G1625" s="266" t="s">
        <v>6304</v>
      </c>
      <c r="H1625" s="266" t="s">
        <v>3806</v>
      </c>
      <c r="I1625" s="266"/>
      <c r="J1625" s="266"/>
      <c r="K1625" s="1"/>
      <c r="L1625" s="1"/>
    </row>
    <row r="1626">
      <c r="A1626" s="266">
        <v>400.0</v>
      </c>
      <c r="B1626" s="266"/>
      <c r="C1626" s="266">
        <v>5.0</v>
      </c>
      <c r="D1626" s="266" t="s">
        <v>7588</v>
      </c>
      <c r="E1626" s="266"/>
      <c r="F1626" s="266"/>
      <c r="G1626" s="266" t="s">
        <v>6304</v>
      </c>
      <c r="H1626" s="266" t="s">
        <v>558</v>
      </c>
      <c r="I1626" s="266" t="s">
        <v>6305</v>
      </c>
      <c r="J1626" s="266"/>
      <c r="K1626" s="1"/>
      <c r="L1626" s="1"/>
    </row>
    <row r="1627">
      <c r="A1627" s="266">
        <v>500.0</v>
      </c>
      <c r="B1627" s="266"/>
      <c r="C1627" s="266">
        <v>5.0</v>
      </c>
      <c r="D1627" s="266" t="s">
        <v>7589</v>
      </c>
      <c r="E1627" s="266"/>
      <c r="F1627" s="266"/>
      <c r="G1627" s="266" t="s">
        <v>6304</v>
      </c>
      <c r="H1627" s="266" t="s">
        <v>560</v>
      </c>
      <c r="I1627" s="266"/>
      <c r="J1627" s="266"/>
      <c r="K1627" s="1"/>
      <c r="L1627" s="1"/>
    </row>
    <row r="1628">
      <c r="A1628" s="266">
        <v>600.0</v>
      </c>
      <c r="B1628" s="266"/>
      <c r="C1628" s="266">
        <v>5.0</v>
      </c>
      <c r="D1628" s="266" t="s">
        <v>7590</v>
      </c>
      <c r="E1628" s="266"/>
      <c r="F1628" s="266"/>
      <c r="G1628" s="266" t="s">
        <v>6304</v>
      </c>
      <c r="H1628" s="266" t="s">
        <v>552</v>
      </c>
      <c r="I1628" s="266"/>
      <c r="J1628" s="266"/>
      <c r="K1628" s="1"/>
      <c r="L1628" s="1"/>
    </row>
    <row r="1629">
      <c r="A1629" s="266">
        <v>700.0</v>
      </c>
      <c r="B1629" s="266"/>
      <c r="C1629" s="266">
        <v>5.0</v>
      </c>
      <c r="D1629" s="266" t="s">
        <v>7591</v>
      </c>
      <c r="E1629" s="266"/>
      <c r="F1629" s="266"/>
      <c r="G1629" s="266" t="s">
        <v>6304</v>
      </c>
      <c r="H1629" s="266" t="s">
        <v>558</v>
      </c>
      <c r="I1629" s="266" t="s">
        <v>6305</v>
      </c>
      <c r="J1629" s="266"/>
      <c r="K1629" s="1"/>
      <c r="L1629" s="1"/>
    </row>
    <row r="1630">
      <c r="A1630" s="266">
        <v>800.0</v>
      </c>
      <c r="B1630" s="266"/>
      <c r="C1630" s="266">
        <v>5.0</v>
      </c>
      <c r="D1630" s="266" t="s">
        <v>7592</v>
      </c>
      <c r="E1630" s="266"/>
      <c r="F1630" s="266"/>
      <c r="G1630" s="266" t="s">
        <v>6304</v>
      </c>
      <c r="H1630" s="266" t="s">
        <v>560</v>
      </c>
      <c r="I1630" s="266"/>
      <c r="J1630" s="266"/>
      <c r="K1630" s="1"/>
      <c r="L1630" s="1"/>
    </row>
    <row r="1631">
      <c r="A1631" s="266">
        <v>900.0</v>
      </c>
      <c r="B1631" s="266"/>
      <c r="C1631" s="266">
        <v>5.0</v>
      </c>
      <c r="D1631" s="266" t="s">
        <v>7593</v>
      </c>
      <c r="E1631" s="266"/>
      <c r="F1631" s="266"/>
      <c r="G1631" s="266" t="s">
        <v>6304</v>
      </c>
      <c r="H1631" s="266" t="s">
        <v>7594</v>
      </c>
      <c r="I1631" s="266"/>
      <c r="J1631" s="266"/>
      <c r="K1631" s="1"/>
      <c r="L1631" s="1"/>
    </row>
    <row r="1632">
      <c r="A1632" s="266">
        <v>1000.0</v>
      </c>
      <c r="B1632" s="266"/>
      <c r="C1632" s="266">
        <v>5.0</v>
      </c>
      <c r="D1632" s="266" t="s">
        <v>7595</v>
      </c>
      <c r="E1632" s="266"/>
      <c r="F1632" s="266"/>
      <c r="G1632" s="266" t="s">
        <v>6304</v>
      </c>
      <c r="H1632" s="266" t="s">
        <v>3806</v>
      </c>
      <c r="I1632" s="266"/>
      <c r="J1632" s="266"/>
      <c r="K1632" s="1"/>
      <c r="L1632" s="1"/>
    </row>
    <row r="1633">
      <c r="A1633" s="266">
        <v>1100.0</v>
      </c>
      <c r="B1633" s="266"/>
      <c r="C1633" s="266">
        <v>5.0</v>
      </c>
      <c r="D1633" s="266" t="s">
        <v>7596</v>
      </c>
      <c r="E1633" s="266"/>
      <c r="F1633" s="266"/>
      <c r="G1633" s="266" t="s">
        <v>6304</v>
      </c>
      <c r="H1633" s="266" t="s">
        <v>6731</v>
      </c>
      <c r="I1633" s="266" t="s">
        <v>6305</v>
      </c>
      <c r="J1633" s="266"/>
      <c r="K1633" s="1"/>
      <c r="L1633" s="1"/>
    </row>
    <row r="1634">
      <c r="A1634" s="266">
        <v>1200.0</v>
      </c>
      <c r="B1634" s="266"/>
      <c r="C1634" s="266">
        <v>5.0</v>
      </c>
      <c r="D1634" s="266" t="s">
        <v>7597</v>
      </c>
      <c r="E1634" s="266"/>
      <c r="F1634" s="266"/>
      <c r="G1634" s="266" t="s">
        <v>6304</v>
      </c>
      <c r="H1634" s="266" t="s">
        <v>6731</v>
      </c>
      <c r="I1634" s="266" t="s">
        <v>6305</v>
      </c>
      <c r="J1634" s="266"/>
      <c r="K1634" s="1"/>
      <c r="L1634" s="1"/>
    </row>
    <row r="1635">
      <c r="A1635" s="266">
        <v>1300.0</v>
      </c>
      <c r="B1635" s="266"/>
      <c r="C1635" s="266">
        <v>5.0</v>
      </c>
      <c r="D1635" s="266" t="s">
        <v>7598</v>
      </c>
      <c r="E1635" s="266"/>
      <c r="F1635" s="266"/>
      <c r="G1635" s="266" t="s">
        <v>6304</v>
      </c>
      <c r="H1635" s="266" t="s">
        <v>3806</v>
      </c>
      <c r="I1635" s="266"/>
      <c r="J1635" s="266"/>
      <c r="K1635" s="1"/>
      <c r="L1635" s="1"/>
    </row>
    <row r="1636">
      <c r="A1636" s="266">
        <v>1400.0</v>
      </c>
      <c r="B1636" s="266"/>
      <c r="C1636" s="266">
        <v>5.0</v>
      </c>
      <c r="D1636" s="266" t="s">
        <v>7599</v>
      </c>
      <c r="E1636" s="266"/>
      <c r="F1636" s="266"/>
      <c r="G1636" s="266" t="s">
        <v>6304</v>
      </c>
      <c r="H1636" s="266" t="s">
        <v>561</v>
      </c>
      <c r="I1636" s="266"/>
      <c r="J1636" s="266"/>
      <c r="K1636" s="1"/>
      <c r="L1636" s="1"/>
    </row>
    <row r="1637">
      <c r="A1637" s="266">
        <v>1500.0</v>
      </c>
      <c r="B1637" s="266"/>
      <c r="C1637" s="266">
        <v>5.0</v>
      </c>
      <c r="D1637" s="266" t="s">
        <v>6838</v>
      </c>
      <c r="E1637" s="266"/>
      <c r="F1637" s="266"/>
      <c r="G1637" s="266" t="s">
        <v>6304</v>
      </c>
      <c r="H1637" s="266" t="s">
        <v>552</v>
      </c>
      <c r="I1637" s="266"/>
      <c r="J1637" s="266"/>
      <c r="K1637" s="1"/>
      <c r="L1637" s="1"/>
    </row>
    <row r="1638">
      <c r="A1638" s="266">
        <v>1600.0</v>
      </c>
      <c r="B1638" s="266"/>
      <c r="C1638" s="266">
        <v>5.0</v>
      </c>
      <c r="D1638" s="266" t="s">
        <v>6306</v>
      </c>
      <c r="E1638" s="266"/>
      <c r="F1638" s="266"/>
      <c r="G1638" s="266" t="s">
        <v>6304</v>
      </c>
      <c r="H1638" s="266" t="s">
        <v>6605</v>
      </c>
      <c r="I1638" s="266"/>
      <c r="J1638" s="266"/>
      <c r="K1638" s="1"/>
      <c r="L1638" s="1"/>
    </row>
    <row r="1639">
      <c r="A1639" s="266">
        <v>50.0</v>
      </c>
      <c r="B1639" s="266">
        <v>1.0</v>
      </c>
      <c r="C1639" s="266"/>
      <c r="D1639" s="266" t="s">
        <v>7600</v>
      </c>
      <c r="E1639" s="266"/>
      <c r="F1639" s="266"/>
      <c r="G1639" s="266"/>
      <c r="H1639" s="266"/>
      <c r="I1639" s="266"/>
      <c r="J1639" s="267"/>
    </row>
    <row r="1640">
      <c r="A1640" s="266">
        <v>100.0</v>
      </c>
      <c r="B1640" s="266"/>
      <c r="C1640" s="266">
        <v>5.0</v>
      </c>
      <c r="D1640" s="266" t="s">
        <v>7601</v>
      </c>
      <c r="E1640" s="266"/>
      <c r="F1640" s="266"/>
      <c r="G1640" s="266" t="s">
        <v>6304</v>
      </c>
      <c r="H1640" s="266" t="s">
        <v>553</v>
      </c>
      <c r="I1640" s="266"/>
      <c r="J1640" s="266"/>
      <c r="K1640" s="1"/>
      <c r="L1640" s="1"/>
    </row>
    <row r="1641">
      <c r="A1641" s="266">
        <v>200.0</v>
      </c>
      <c r="B1641" s="266"/>
      <c r="C1641" s="266">
        <v>5.0</v>
      </c>
      <c r="D1641" s="266" t="s">
        <v>7602</v>
      </c>
      <c r="E1641" s="266"/>
      <c r="F1641" s="266"/>
      <c r="G1641" s="266" t="s">
        <v>6304</v>
      </c>
      <c r="H1641" s="266" t="s">
        <v>551</v>
      </c>
      <c r="I1641" s="266"/>
      <c r="J1641" s="266"/>
      <c r="K1641" s="1"/>
      <c r="L1641" s="1"/>
    </row>
    <row r="1642">
      <c r="A1642" s="266">
        <v>300.0</v>
      </c>
      <c r="B1642" s="266"/>
      <c r="C1642" s="266">
        <v>5.0</v>
      </c>
      <c r="D1642" s="266" t="s">
        <v>7603</v>
      </c>
      <c r="E1642" s="266"/>
      <c r="F1642" s="266"/>
      <c r="G1642" s="266"/>
      <c r="H1642" s="266"/>
      <c r="I1642" s="266"/>
      <c r="J1642" s="267"/>
    </row>
    <row r="1643">
      <c r="A1643" s="266">
        <v>400.0</v>
      </c>
      <c r="B1643" s="266"/>
      <c r="C1643" s="266">
        <v>10.0</v>
      </c>
      <c r="D1643" s="266" t="s">
        <v>7604</v>
      </c>
      <c r="E1643" s="266"/>
      <c r="F1643" s="266"/>
      <c r="G1643" s="266"/>
      <c r="H1643" s="266"/>
      <c r="I1643" s="266"/>
      <c r="J1643" s="267"/>
    </row>
    <row r="1644">
      <c r="A1644" s="266">
        <v>500.0</v>
      </c>
      <c r="B1644" s="266"/>
      <c r="C1644" s="266">
        <v>15.0</v>
      </c>
      <c r="D1644" s="266" t="s">
        <v>7605</v>
      </c>
      <c r="E1644" s="266"/>
      <c r="F1644" s="266"/>
      <c r="G1644" s="266" t="s">
        <v>6304</v>
      </c>
      <c r="H1644" s="266" t="s">
        <v>551</v>
      </c>
      <c r="I1644" s="266"/>
      <c r="J1644" s="266"/>
      <c r="K1644" s="1"/>
      <c r="L1644" s="1"/>
    </row>
    <row r="1645">
      <c r="A1645" s="266">
        <v>600.0</v>
      </c>
      <c r="B1645" s="266"/>
      <c r="C1645" s="266">
        <v>15.0</v>
      </c>
      <c r="D1645" s="266" t="s">
        <v>7606</v>
      </c>
      <c r="E1645" s="266"/>
      <c r="F1645" s="266"/>
      <c r="G1645" s="266" t="s">
        <v>6304</v>
      </c>
      <c r="H1645" s="266" t="s">
        <v>552</v>
      </c>
      <c r="I1645" s="266"/>
      <c r="J1645" s="266"/>
      <c r="K1645" s="1"/>
      <c r="L1645" s="1"/>
    </row>
    <row r="1646">
      <c r="A1646" s="266">
        <v>700.0</v>
      </c>
      <c r="B1646" s="266"/>
      <c r="C1646" s="266">
        <v>10.0</v>
      </c>
      <c r="D1646" s="266" t="s">
        <v>7607</v>
      </c>
      <c r="E1646" s="266"/>
      <c r="F1646" s="266"/>
      <c r="G1646" s="266" t="s">
        <v>6304</v>
      </c>
      <c r="H1646" s="266" t="s">
        <v>552</v>
      </c>
      <c r="I1646" s="266"/>
      <c r="J1646" s="266"/>
      <c r="K1646" s="1"/>
      <c r="L1646" s="1"/>
    </row>
    <row r="1647">
      <c r="A1647" s="266">
        <v>800.0</v>
      </c>
      <c r="B1647" s="266"/>
      <c r="C1647" s="266">
        <v>5.0</v>
      </c>
      <c r="D1647" s="266" t="s">
        <v>7608</v>
      </c>
      <c r="E1647" s="266"/>
      <c r="F1647" s="266"/>
      <c r="G1647" s="266" t="s">
        <v>6304</v>
      </c>
      <c r="H1647" s="266" t="s">
        <v>6650</v>
      </c>
      <c r="I1647" s="266" t="s">
        <v>6305</v>
      </c>
      <c r="J1647" s="266"/>
      <c r="K1647" s="1"/>
      <c r="L1647" s="1"/>
    </row>
    <row r="1648">
      <c r="A1648" s="266">
        <v>900.0</v>
      </c>
      <c r="B1648" s="266"/>
      <c r="C1648" s="266">
        <v>5.0</v>
      </c>
      <c r="D1648" s="266" t="s">
        <v>7609</v>
      </c>
      <c r="E1648" s="266"/>
      <c r="F1648" s="266"/>
      <c r="G1648" s="266" t="s">
        <v>6304</v>
      </c>
      <c r="H1648" s="266" t="s">
        <v>6650</v>
      </c>
      <c r="I1648" s="266" t="s">
        <v>6305</v>
      </c>
      <c r="J1648" s="266"/>
      <c r="K1648" s="1"/>
      <c r="L1648" s="1"/>
    </row>
    <row r="1649">
      <c r="A1649" s="266">
        <v>1000.0</v>
      </c>
      <c r="B1649" s="266"/>
      <c r="C1649" s="266">
        <v>5.0</v>
      </c>
      <c r="D1649" s="266" t="s">
        <v>7610</v>
      </c>
      <c r="E1649" s="266"/>
      <c r="F1649" s="266"/>
      <c r="G1649" s="266" t="s">
        <v>6304</v>
      </c>
      <c r="H1649" s="266" t="s">
        <v>7</v>
      </c>
      <c r="I1649" s="266" t="s">
        <v>6305</v>
      </c>
      <c r="J1649" s="266"/>
      <c r="K1649" s="1"/>
      <c r="L1649" s="1"/>
    </row>
    <row r="1650">
      <c r="A1650" s="266">
        <v>1100.0</v>
      </c>
      <c r="B1650" s="266"/>
      <c r="C1650" s="266">
        <v>5.0</v>
      </c>
      <c r="D1650" s="266" t="s">
        <v>7611</v>
      </c>
      <c r="E1650" s="266"/>
      <c r="F1650" s="266"/>
      <c r="G1650" s="266" t="s">
        <v>6304</v>
      </c>
      <c r="H1650" s="266" t="s">
        <v>6650</v>
      </c>
      <c r="I1650" s="266" t="s">
        <v>6305</v>
      </c>
      <c r="J1650" s="266"/>
      <c r="K1650" s="1"/>
      <c r="L1650" s="1"/>
    </row>
    <row r="1651">
      <c r="A1651" s="266">
        <v>1200.0</v>
      </c>
      <c r="B1651" s="266"/>
      <c r="C1651" s="266">
        <v>5.0</v>
      </c>
      <c r="D1651" s="266" t="s">
        <v>7612</v>
      </c>
      <c r="E1651" s="266"/>
      <c r="F1651" s="266"/>
      <c r="G1651" s="266" t="s">
        <v>6304</v>
      </c>
      <c r="H1651" s="266" t="s">
        <v>6650</v>
      </c>
      <c r="I1651" s="266" t="s">
        <v>6305</v>
      </c>
      <c r="J1651" s="266"/>
      <c r="K1651" s="1"/>
      <c r="L1651" s="1"/>
    </row>
    <row r="1652">
      <c r="A1652" s="266">
        <v>1300.0</v>
      </c>
      <c r="B1652" s="266"/>
      <c r="C1652" s="266">
        <v>5.0</v>
      </c>
      <c r="D1652" s="266" t="s">
        <v>7613</v>
      </c>
      <c r="E1652" s="266"/>
      <c r="F1652" s="266"/>
      <c r="G1652" s="266" t="s">
        <v>6304</v>
      </c>
      <c r="H1652" s="266" t="s">
        <v>6650</v>
      </c>
      <c r="I1652" s="266" t="s">
        <v>6305</v>
      </c>
      <c r="J1652" s="266"/>
      <c r="K1652" s="1"/>
      <c r="L1652" s="1"/>
    </row>
    <row r="1653">
      <c r="A1653" s="266">
        <v>1400.0</v>
      </c>
      <c r="B1653" s="266"/>
      <c r="C1653" s="266">
        <v>5.0</v>
      </c>
      <c r="D1653" s="266" t="s">
        <v>7614</v>
      </c>
      <c r="E1653" s="266"/>
      <c r="F1653" s="266"/>
      <c r="G1653" s="266" t="s">
        <v>6304</v>
      </c>
      <c r="H1653" s="266" t="s">
        <v>6650</v>
      </c>
      <c r="I1653" s="266" t="s">
        <v>6305</v>
      </c>
      <c r="J1653" s="266"/>
      <c r="K1653" s="1"/>
      <c r="L1653" s="1"/>
    </row>
    <row r="1654">
      <c r="A1654" s="266">
        <v>1500.0</v>
      </c>
      <c r="B1654" s="266"/>
      <c r="C1654" s="266">
        <v>5.0</v>
      </c>
      <c r="D1654" s="266" t="s">
        <v>7615</v>
      </c>
      <c r="E1654" s="266"/>
      <c r="F1654" s="266"/>
      <c r="G1654" s="266" t="s">
        <v>6304</v>
      </c>
      <c r="H1654" s="266" t="s">
        <v>552</v>
      </c>
      <c r="I1654" s="266"/>
      <c r="J1654" s="266"/>
      <c r="K1654" s="1"/>
      <c r="L1654" s="1"/>
    </row>
    <row r="1655">
      <c r="A1655" s="266">
        <v>1600.0</v>
      </c>
      <c r="B1655" s="266"/>
      <c r="C1655" s="266">
        <v>5.0</v>
      </c>
      <c r="D1655" s="266" t="s">
        <v>7616</v>
      </c>
      <c r="E1655" s="266"/>
      <c r="F1655" s="266"/>
      <c r="G1655" s="266" t="s">
        <v>6304</v>
      </c>
      <c r="H1655" s="266" t="s">
        <v>555</v>
      </c>
      <c r="I1655" s="266"/>
      <c r="J1655" s="266"/>
      <c r="K1655" s="1"/>
      <c r="L1655" s="1"/>
    </row>
    <row r="1656">
      <c r="A1656" s="266">
        <v>1700.0</v>
      </c>
      <c r="B1656" s="266"/>
      <c r="C1656" s="266">
        <v>5.0</v>
      </c>
      <c r="D1656" s="266" t="s">
        <v>7617</v>
      </c>
      <c r="E1656" s="266"/>
      <c r="F1656" s="266"/>
      <c r="G1656" s="266" t="s">
        <v>6304</v>
      </c>
      <c r="H1656" s="266" t="s">
        <v>555</v>
      </c>
      <c r="I1656" s="266"/>
      <c r="J1656" s="266"/>
      <c r="K1656" s="1"/>
      <c r="L1656" s="1"/>
    </row>
    <row r="1657">
      <c r="A1657" s="266">
        <v>1800.0</v>
      </c>
      <c r="B1657" s="266"/>
      <c r="C1657" s="266">
        <v>5.0</v>
      </c>
      <c r="D1657" s="266" t="s">
        <v>7618</v>
      </c>
      <c r="E1657" s="266"/>
      <c r="F1657" s="266"/>
      <c r="G1657" s="266" t="s">
        <v>6304</v>
      </c>
      <c r="H1657" s="266" t="s">
        <v>552</v>
      </c>
      <c r="I1657" s="266"/>
      <c r="J1657" s="266"/>
      <c r="K1657" s="1"/>
      <c r="L1657" s="1"/>
    </row>
    <row r="1658">
      <c r="A1658" s="266">
        <v>1900.0</v>
      </c>
      <c r="B1658" s="266"/>
      <c r="C1658" s="266">
        <v>5.0</v>
      </c>
      <c r="D1658" s="266" t="s">
        <v>7619</v>
      </c>
      <c r="E1658" s="266"/>
      <c r="F1658" s="266"/>
      <c r="G1658" s="266" t="s">
        <v>6304</v>
      </c>
      <c r="H1658" s="266" t="s">
        <v>557</v>
      </c>
      <c r="I1658" s="266"/>
      <c r="J1658" s="266"/>
      <c r="K1658" s="1"/>
      <c r="L1658" s="1"/>
    </row>
    <row r="1659">
      <c r="A1659" s="266">
        <v>2000.0</v>
      </c>
      <c r="B1659" s="266"/>
      <c r="C1659" s="266">
        <v>5.0</v>
      </c>
      <c r="D1659" s="266" t="s">
        <v>7620</v>
      </c>
      <c r="E1659" s="266"/>
      <c r="F1659" s="266"/>
      <c r="G1659" s="266" t="s">
        <v>6304</v>
      </c>
      <c r="H1659" s="266" t="s">
        <v>555</v>
      </c>
      <c r="I1659" s="266"/>
      <c r="J1659" s="266"/>
      <c r="K1659" s="1"/>
      <c r="L1659" s="1"/>
    </row>
    <row r="1660">
      <c r="A1660" s="266">
        <v>2100.0</v>
      </c>
      <c r="B1660" s="266"/>
      <c r="C1660" s="266">
        <v>5.0</v>
      </c>
      <c r="D1660" s="266" t="s">
        <v>7621</v>
      </c>
      <c r="E1660" s="266"/>
      <c r="F1660" s="266"/>
      <c r="G1660" s="266" t="s">
        <v>6304</v>
      </c>
      <c r="H1660" s="266" t="s">
        <v>14</v>
      </c>
      <c r="I1660" s="266"/>
      <c r="J1660" s="266"/>
      <c r="K1660" s="1"/>
      <c r="L1660" s="1"/>
    </row>
    <row r="1661">
      <c r="A1661" s="266">
        <v>2200.0</v>
      </c>
      <c r="B1661" s="266"/>
      <c r="C1661" s="266">
        <v>5.0</v>
      </c>
      <c r="D1661" s="266" t="s">
        <v>7622</v>
      </c>
      <c r="E1661" s="266"/>
      <c r="F1661" s="266"/>
      <c r="G1661" s="266" t="s">
        <v>6304</v>
      </c>
      <c r="H1661" s="266" t="s">
        <v>14</v>
      </c>
      <c r="I1661" s="266"/>
      <c r="J1661" s="266"/>
      <c r="K1661" s="1"/>
      <c r="L1661" s="1"/>
    </row>
    <row r="1662">
      <c r="A1662" s="266">
        <v>2300.0</v>
      </c>
      <c r="B1662" s="266"/>
      <c r="C1662" s="266">
        <v>5.0</v>
      </c>
      <c r="D1662" s="266" t="s">
        <v>7623</v>
      </c>
      <c r="E1662" s="266"/>
      <c r="F1662" s="266"/>
      <c r="G1662" s="266" t="s">
        <v>6304</v>
      </c>
      <c r="H1662" s="266" t="s">
        <v>555</v>
      </c>
      <c r="I1662" s="266"/>
      <c r="J1662" s="266"/>
      <c r="K1662" s="1"/>
      <c r="L1662" s="1"/>
    </row>
    <row r="1663">
      <c r="A1663" s="266">
        <v>2400.0</v>
      </c>
      <c r="B1663" s="266"/>
      <c r="C1663" s="266">
        <v>5.0</v>
      </c>
      <c r="D1663" s="266" t="s">
        <v>7624</v>
      </c>
      <c r="E1663" s="266"/>
      <c r="F1663" s="266"/>
      <c r="G1663" s="266" t="s">
        <v>6304</v>
      </c>
      <c r="H1663" s="266" t="s">
        <v>7625</v>
      </c>
      <c r="I1663" s="266" t="s">
        <v>6305</v>
      </c>
      <c r="J1663" s="266"/>
      <c r="K1663" s="1"/>
      <c r="L1663" s="1"/>
    </row>
    <row r="1664">
      <c r="A1664" s="266">
        <v>2500.0</v>
      </c>
      <c r="B1664" s="266"/>
      <c r="C1664" s="266">
        <v>5.0</v>
      </c>
      <c r="D1664" s="266" t="s">
        <v>7626</v>
      </c>
      <c r="E1664" s="266"/>
      <c r="F1664" s="266"/>
      <c r="G1664" s="266" t="s">
        <v>6304</v>
      </c>
      <c r="H1664" s="266" t="s">
        <v>552</v>
      </c>
      <c r="I1664" s="266"/>
      <c r="J1664" s="266"/>
      <c r="K1664" s="1"/>
      <c r="L1664" s="1"/>
    </row>
    <row r="1665">
      <c r="A1665" s="266">
        <v>2600.0</v>
      </c>
      <c r="B1665" s="266"/>
      <c r="C1665" s="266">
        <v>5.0</v>
      </c>
      <c r="D1665" s="266" t="s">
        <v>7627</v>
      </c>
      <c r="E1665" s="266"/>
      <c r="F1665" s="266"/>
      <c r="G1665" s="266" t="s">
        <v>6304</v>
      </c>
      <c r="H1665" s="266" t="s">
        <v>555</v>
      </c>
      <c r="I1665" s="266"/>
      <c r="J1665" s="266"/>
      <c r="K1665" s="1"/>
      <c r="L1665" s="1"/>
    </row>
    <row r="1666">
      <c r="A1666" s="266">
        <v>2700.0</v>
      </c>
      <c r="B1666" s="266"/>
      <c r="C1666" s="266">
        <v>5.0</v>
      </c>
      <c r="D1666" s="266" t="s">
        <v>7628</v>
      </c>
      <c r="E1666" s="266"/>
      <c r="F1666" s="266"/>
      <c r="G1666" s="266" t="s">
        <v>6304</v>
      </c>
      <c r="H1666" s="266" t="s">
        <v>551</v>
      </c>
      <c r="I1666" s="266"/>
      <c r="J1666" s="266"/>
      <c r="K1666" s="1"/>
      <c r="L1666" s="1"/>
    </row>
    <row r="1667">
      <c r="A1667" s="266">
        <v>2800.0</v>
      </c>
      <c r="B1667" s="266"/>
      <c r="C1667" s="266">
        <v>5.0</v>
      </c>
      <c r="D1667" s="266" t="s">
        <v>7629</v>
      </c>
      <c r="E1667" s="266"/>
      <c r="F1667" s="266"/>
      <c r="G1667" s="266" t="s">
        <v>6304</v>
      </c>
      <c r="H1667" s="266" t="s">
        <v>7</v>
      </c>
      <c r="I1667" s="266" t="s">
        <v>6305</v>
      </c>
      <c r="J1667" s="266"/>
      <c r="K1667" s="1"/>
      <c r="L1667" s="1"/>
    </row>
    <row r="1668">
      <c r="A1668" s="266">
        <v>2900.0</v>
      </c>
      <c r="B1668" s="266"/>
      <c r="C1668" s="266">
        <v>5.0</v>
      </c>
      <c r="D1668" s="266" t="s">
        <v>7630</v>
      </c>
      <c r="E1668" s="266"/>
      <c r="F1668" s="266"/>
      <c r="G1668" s="266" t="s">
        <v>6304</v>
      </c>
      <c r="H1668" s="266" t="s">
        <v>6707</v>
      </c>
      <c r="I1668" s="266" t="s">
        <v>6305</v>
      </c>
      <c r="J1668" s="266"/>
      <c r="K1668" s="1"/>
      <c r="L1668" s="1"/>
    </row>
    <row r="1669">
      <c r="A1669" s="266">
        <v>50.0</v>
      </c>
      <c r="B1669" s="266">
        <v>1.0</v>
      </c>
      <c r="C1669" s="266"/>
      <c r="D1669" s="266" t="s">
        <v>7631</v>
      </c>
      <c r="E1669" s="266"/>
      <c r="F1669" s="266"/>
      <c r="G1669" s="266"/>
      <c r="H1669" s="266"/>
      <c r="I1669" s="266"/>
      <c r="J1669" s="267"/>
    </row>
    <row r="1670">
      <c r="A1670" s="266">
        <v>100.0</v>
      </c>
      <c r="B1670" s="266"/>
      <c r="C1670" s="266">
        <v>5.0</v>
      </c>
      <c r="D1670" s="266" t="s">
        <v>7632</v>
      </c>
      <c r="E1670" s="266"/>
      <c r="F1670" s="266"/>
      <c r="G1670" s="266" t="s">
        <v>6304</v>
      </c>
      <c r="H1670" s="266" t="s">
        <v>4103</v>
      </c>
      <c r="I1670" s="266"/>
      <c r="J1670" s="266"/>
      <c r="K1670" s="1"/>
      <c r="L1670" s="1"/>
    </row>
    <row r="1671">
      <c r="A1671" s="266">
        <v>200.0</v>
      </c>
      <c r="B1671" s="266"/>
      <c r="C1671" s="266">
        <v>5.0</v>
      </c>
      <c r="D1671" s="266" t="s">
        <v>7633</v>
      </c>
      <c r="E1671" s="266"/>
      <c r="F1671" s="266"/>
      <c r="G1671" s="266" t="s">
        <v>6304</v>
      </c>
      <c r="H1671" s="266" t="s">
        <v>551</v>
      </c>
      <c r="I1671" s="266"/>
      <c r="J1671" s="266"/>
      <c r="K1671" s="1"/>
      <c r="L1671" s="1"/>
    </row>
    <row r="1672">
      <c r="A1672" s="266">
        <v>300.0</v>
      </c>
      <c r="B1672" s="266"/>
      <c r="C1672" s="266">
        <v>5.0</v>
      </c>
      <c r="D1672" s="266" t="s">
        <v>7634</v>
      </c>
      <c r="E1672" s="266"/>
      <c r="F1672" s="266"/>
      <c r="G1672" s="266" t="s">
        <v>6304</v>
      </c>
      <c r="H1672" s="266" t="s">
        <v>556</v>
      </c>
      <c r="I1672" s="266"/>
      <c r="J1672" s="266"/>
      <c r="K1672" s="1"/>
      <c r="L1672" s="1"/>
    </row>
    <row r="1673">
      <c r="A1673" s="266">
        <v>400.0</v>
      </c>
      <c r="B1673" s="266"/>
      <c r="C1673" s="266">
        <v>5.0</v>
      </c>
      <c r="D1673" s="266" t="s">
        <v>7635</v>
      </c>
      <c r="E1673" s="266"/>
      <c r="F1673" s="266"/>
      <c r="G1673" s="266" t="s">
        <v>6304</v>
      </c>
      <c r="H1673" s="266" t="s">
        <v>7369</v>
      </c>
      <c r="I1673" s="266"/>
      <c r="J1673" s="266"/>
      <c r="K1673" s="1"/>
      <c r="L1673" s="1"/>
    </row>
    <row r="1674">
      <c r="A1674" s="266">
        <v>500.0</v>
      </c>
      <c r="B1674" s="266"/>
      <c r="C1674" s="266">
        <v>5.0</v>
      </c>
      <c r="D1674" s="266" t="s">
        <v>7636</v>
      </c>
      <c r="E1674" s="266"/>
      <c r="F1674" s="266"/>
      <c r="G1674" s="266" t="s">
        <v>6304</v>
      </c>
      <c r="H1674" s="266" t="s">
        <v>7369</v>
      </c>
      <c r="I1674" s="266"/>
      <c r="J1674" s="266"/>
      <c r="K1674" s="1"/>
      <c r="L1674" s="1"/>
    </row>
    <row r="1675">
      <c r="A1675" s="266">
        <v>600.0</v>
      </c>
      <c r="B1675" s="266"/>
      <c r="C1675" s="266">
        <v>5.0</v>
      </c>
      <c r="D1675" s="266" t="s">
        <v>7637</v>
      </c>
      <c r="E1675" s="266"/>
      <c r="F1675" s="266"/>
      <c r="G1675" s="266" t="s">
        <v>6304</v>
      </c>
      <c r="H1675" s="266" t="s">
        <v>7369</v>
      </c>
      <c r="I1675" s="266"/>
      <c r="J1675" s="266"/>
      <c r="K1675" s="1"/>
      <c r="L1675" s="1"/>
    </row>
    <row r="1676">
      <c r="A1676" s="266">
        <v>700.0</v>
      </c>
      <c r="B1676" s="266"/>
      <c r="C1676" s="266">
        <v>5.0</v>
      </c>
      <c r="D1676" s="266" t="s">
        <v>7638</v>
      </c>
      <c r="E1676" s="266"/>
      <c r="F1676" s="266"/>
      <c r="G1676" s="266" t="s">
        <v>6304</v>
      </c>
      <c r="H1676" s="266" t="s">
        <v>7369</v>
      </c>
      <c r="I1676" s="266"/>
      <c r="J1676" s="266"/>
      <c r="K1676" s="1"/>
      <c r="L1676" s="1"/>
    </row>
    <row r="1677">
      <c r="A1677" s="266">
        <v>800.0</v>
      </c>
      <c r="B1677" s="266"/>
      <c r="C1677" s="266">
        <v>5.0</v>
      </c>
      <c r="D1677" s="266" t="s">
        <v>7639</v>
      </c>
      <c r="E1677" s="266"/>
      <c r="F1677" s="266"/>
      <c r="G1677" s="266" t="s">
        <v>6304</v>
      </c>
      <c r="H1677" s="266" t="s">
        <v>7369</v>
      </c>
      <c r="I1677" s="266"/>
      <c r="J1677" s="266"/>
      <c r="K1677" s="1"/>
      <c r="L1677" s="1"/>
    </row>
    <row r="1678">
      <c r="A1678" s="266">
        <v>900.0</v>
      </c>
      <c r="B1678" s="266"/>
      <c r="C1678" s="266">
        <v>5.0</v>
      </c>
      <c r="D1678" s="266" t="s">
        <v>7640</v>
      </c>
      <c r="E1678" s="266"/>
      <c r="F1678" s="266"/>
      <c r="G1678" s="266" t="s">
        <v>6304</v>
      </c>
      <c r="H1678" s="266" t="s">
        <v>3793</v>
      </c>
      <c r="I1678" s="266"/>
      <c r="J1678" s="266"/>
      <c r="K1678" s="1"/>
      <c r="L1678" s="1"/>
    </row>
    <row r="1679">
      <c r="A1679" s="266">
        <v>1000.0</v>
      </c>
      <c r="B1679" s="266"/>
      <c r="C1679" s="266">
        <v>5.0</v>
      </c>
      <c r="D1679" s="266" t="s">
        <v>7641</v>
      </c>
      <c r="E1679" s="266"/>
      <c r="F1679" s="266"/>
      <c r="G1679" s="266" t="s">
        <v>6304</v>
      </c>
      <c r="H1679" s="266" t="s">
        <v>4103</v>
      </c>
      <c r="I1679" s="266"/>
      <c r="J1679" s="266"/>
      <c r="K1679" s="1"/>
      <c r="L1679" s="1"/>
    </row>
    <row r="1680">
      <c r="A1680" s="266">
        <v>1100.0</v>
      </c>
      <c r="B1680" s="266"/>
      <c r="C1680" s="266">
        <v>5.0</v>
      </c>
      <c r="D1680" s="266" t="s">
        <v>7642</v>
      </c>
      <c r="E1680" s="266"/>
      <c r="F1680" s="266"/>
      <c r="G1680" s="266" t="s">
        <v>6304</v>
      </c>
      <c r="H1680" s="266" t="s">
        <v>3805</v>
      </c>
      <c r="I1680" s="266" t="s">
        <v>6305</v>
      </c>
      <c r="J1680" s="266"/>
      <c r="K1680" s="1"/>
      <c r="L1680" s="1"/>
    </row>
    <row r="1681">
      <c r="A1681" s="266">
        <v>1200.0</v>
      </c>
      <c r="B1681" s="266"/>
      <c r="C1681" s="266">
        <v>5.0</v>
      </c>
      <c r="D1681" s="266" t="s">
        <v>7643</v>
      </c>
      <c r="E1681" s="266"/>
      <c r="F1681" s="266"/>
      <c r="G1681" s="266" t="s">
        <v>6304</v>
      </c>
      <c r="H1681" s="266" t="s">
        <v>3805</v>
      </c>
      <c r="I1681" s="266" t="s">
        <v>6305</v>
      </c>
      <c r="J1681" s="266"/>
      <c r="K1681" s="1"/>
      <c r="L1681" s="1"/>
    </row>
    <row r="1682">
      <c r="A1682" s="266">
        <v>1300.0</v>
      </c>
      <c r="B1682" s="266"/>
      <c r="C1682" s="266">
        <v>5.0</v>
      </c>
      <c r="D1682" s="266" t="s">
        <v>7644</v>
      </c>
      <c r="E1682" s="266"/>
      <c r="F1682" s="266"/>
      <c r="G1682" s="266" t="s">
        <v>6304</v>
      </c>
      <c r="H1682" s="266" t="s">
        <v>6650</v>
      </c>
      <c r="I1682" s="266" t="s">
        <v>6305</v>
      </c>
      <c r="J1682" s="266"/>
      <c r="K1682" s="1"/>
      <c r="L1682" s="1"/>
    </row>
    <row r="1683">
      <c r="A1683" s="266">
        <v>1400.0</v>
      </c>
      <c r="B1683" s="266"/>
      <c r="C1683" s="266">
        <v>5.0</v>
      </c>
      <c r="D1683" s="266" t="s">
        <v>7645</v>
      </c>
      <c r="E1683" s="266"/>
      <c r="F1683" s="266"/>
      <c r="G1683" s="266" t="s">
        <v>6304</v>
      </c>
      <c r="H1683" s="266" t="s">
        <v>7646</v>
      </c>
      <c r="I1683" s="266" t="s">
        <v>6305</v>
      </c>
      <c r="J1683" s="266"/>
      <c r="K1683" s="1"/>
      <c r="L1683" s="1"/>
    </row>
    <row r="1684">
      <c r="A1684" s="266">
        <v>1500.0</v>
      </c>
      <c r="B1684" s="266"/>
      <c r="C1684" s="266">
        <v>5.0</v>
      </c>
      <c r="D1684" s="266" t="s">
        <v>7647</v>
      </c>
      <c r="E1684" s="266"/>
      <c r="F1684" s="266"/>
      <c r="G1684" s="266" t="s">
        <v>6304</v>
      </c>
      <c r="H1684" s="266" t="s">
        <v>14</v>
      </c>
      <c r="I1684" s="266"/>
      <c r="J1684" s="266"/>
      <c r="K1684" s="1"/>
      <c r="L1684" s="1"/>
    </row>
    <row r="1685">
      <c r="A1685" s="266">
        <v>1600.0</v>
      </c>
      <c r="B1685" s="266"/>
      <c r="C1685" s="266">
        <v>5.0</v>
      </c>
      <c r="D1685" s="266" t="s">
        <v>7648</v>
      </c>
      <c r="E1685" s="266"/>
      <c r="F1685" s="266"/>
      <c r="G1685" s="266" t="s">
        <v>6304</v>
      </c>
      <c r="H1685" s="266" t="s">
        <v>557</v>
      </c>
      <c r="I1685" s="266"/>
      <c r="J1685" s="266"/>
      <c r="K1685" s="1"/>
      <c r="L1685" s="1"/>
    </row>
    <row r="1686">
      <c r="A1686" s="266">
        <v>1700.0</v>
      </c>
      <c r="B1686" s="266"/>
      <c r="C1686" s="266">
        <v>5.0</v>
      </c>
      <c r="D1686" s="266" t="s">
        <v>7649</v>
      </c>
      <c r="E1686" s="266"/>
      <c r="F1686" s="266"/>
      <c r="G1686" s="266" t="s">
        <v>6304</v>
      </c>
      <c r="H1686" s="266" t="s">
        <v>553</v>
      </c>
      <c r="I1686" s="266"/>
      <c r="J1686" s="266"/>
      <c r="K1686" s="1"/>
      <c r="L1686" s="1"/>
    </row>
    <row r="1687">
      <c r="A1687" s="266">
        <v>1800.0</v>
      </c>
      <c r="B1687" s="266"/>
      <c r="C1687" s="266">
        <v>5.0</v>
      </c>
      <c r="D1687" s="266" t="s">
        <v>7650</v>
      </c>
      <c r="E1687" s="266"/>
      <c r="F1687" s="266"/>
      <c r="G1687" s="266" t="s">
        <v>6304</v>
      </c>
      <c r="H1687" s="266" t="s">
        <v>555</v>
      </c>
      <c r="I1687" s="266"/>
      <c r="J1687" s="266"/>
      <c r="K1687" s="1"/>
      <c r="L1687" s="1"/>
    </row>
    <row r="1688">
      <c r="A1688" s="266">
        <v>1900.0</v>
      </c>
      <c r="B1688" s="266"/>
      <c r="C1688" s="266">
        <v>5.0</v>
      </c>
      <c r="D1688" s="266" t="s">
        <v>7651</v>
      </c>
      <c r="E1688" s="266"/>
      <c r="F1688" s="266"/>
      <c r="G1688" s="266" t="s">
        <v>6304</v>
      </c>
      <c r="H1688" s="266" t="s">
        <v>4104</v>
      </c>
      <c r="I1688" s="266" t="s">
        <v>6305</v>
      </c>
      <c r="J1688" s="266"/>
      <c r="K1688" s="1"/>
      <c r="L1688" s="1"/>
    </row>
    <row r="1689">
      <c r="A1689" s="266">
        <v>2000.0</v>
      </c>
      <c r="B1689" s="266"/>
      <c r="C1689" s="266">
        <v>5.0</v>
      </c>
      <c r="D1689" s="266" t="s">
        <v>7652</v>
      </c>
      <c r="E1689" s="266"/>
      <c r="F1689" s="266"/>
      <c r="G1689" s="266" t="s">
        <v>6304</v>
      </c>
      <c r="H1689" s="266" t="s">
        <v>552</v>
      </c>
      <c r="I1689" s="266"/>
      <c r="J1689" s="266"/>
      <c r="K1689" s="1"/>
      <c r="L1689" s="1"/>
    </row>
    <row r="1690">
      <c r="A1690" s="266">
        <v>2100.0</v>
      </c>
      <c r="B1690" s="266"/>
      <c r="C1690" s="266">
        <v>5.0</v>
      </c>
      <c r="D1690" s="266" t="s">
        <v>7653</v>
      </c>
      <c r="E1690" s="266"/>
      <c r="F1690" s="266"/>
      <c r="G1690" s="266" t="s">
        <v>6304</v>
      </c>
      <c r="H1690" s="266" t="s">
        <v>552</v>
      </c>
      <c r="I1690" s="266"/>
      <c r="J1690" s="266"/>
      <c r="K1690" s="1"/>
      <c r="L1690" s="1"/>
    </row>
    <row r="1691">
      <c r="A1691" s="266">
        <v>2200.0</v>
      </c>
      <c r="B1691" s="266"/>
      <c r="C1691" s="266">
        <v>5.0</v>
      </c>
      <c r="D1691" s="266" t="s">
        <v>7654</v>
      </c>
      <c r="E1691" s="266"/>
      <c r="F1691" s="266"/>
      <c r="G1691" s="266" t="s">
        <v>6304</v>
      </c>
      <c r="H1691" s="266" t="s">
        <v>552</v>
      </c>
      <c r="I1691" s="266"/>
      <c r="J1691" s="266"/>
      <c r="K1691" s="1"/>
      <c r="L1691" s="1"/>
    </row>
    <row r="1692">
      <c r="A1692" s="266">
        <v>2300.0</v>
      </c>
      <c r="B1692" s="266"/>
      <c r="C1692" s="266">
        <v>5.0</v>
      </c>
      <c r="D1692" s="266" t="s">
        <v>7655</v>
      </c>
      <c r="E1692" s="266"/>
      <c r="F1692" s="266"/>
      <c r="G1692" s="266" t="s">
        <v>6304</v>
      </c>
      <c r="H1692" s="266" t="s">
        <v>552</v>
      </c>
      <c r="I1692" s="266"/>
      <c r="J1692" s="266"/>
      <c r="K1692" s="1"/>
      <c r="L1692" s="1"/>
    </row>
    <row r="1693">
      <c r="A1693" s="266">
        <v>2400.0</v>
      </c>
      <c r="B1693" s="266"/>
      <c r="C1693" s="266">
        <v>5.0</v>
      </c>
      <c r="D1693" s="266" t="s">
        <v>6306</v>
      </c>
      <c r="E1693" s="266"/>
      <c r="F1693" s="266"/>
      <c r="G1693" s="266" t="s">
        <v>6304</v>
      </c>
      <c r="H1693" s="266" t="s">
        <v>6743</v>
      </c>
      <c r="I1693" s="266"/>
      <c r="J1693" s="266"/>
      <c r="K1693" s="1"/>
      <c r="L1693" s="1"/>
    </row>
    <row r="1694">
      <c r="A1694" s="266">
        <v>50.0</v>
      </c>
      <c r="B1694" s="266">
        <v>1.0</v>
      </c>
      <c r="C1694" s="266"/>
      <c r="D1694" s="266" t="s">
        <v>7656</v>
      </c>
      <c r="E1694" s="266"/>
      <c r="F1694" s="266"/>
      <c r="G1694" s="266"/>
      <c r="H1694" s="266"/>
      <c r="I1694" s="266"/>
      <c r="J1694" s="267"/>
    </row>
    <row r="1695">
      <c r="A1695" s="266">
        <v>100.0</v>
      </c>
      <c r="B1695" s="266"/>
      <c r="C1695" s="266">
        <v>5.0</v>
      </c>
      <c r="D1695" s="266" t="s">
        <v>7657</v>
      </c>
      <c r="E1695" s="266"/>
      <c r="F1695" s="266"/>
      <c r="G1695" s="266" t="s">
        <v>6304</v>
      </c>
      <c r="H1695" s="266" t="s">
        <v>552</v>
      </c>
      <c r="I1695" s="266"/>
      <c r="J1695" s="266"/>
      <c r="K1695" s="1"/>
      <c r="L1695" s="1"/>
    </row>
    <row r="1696">
      <c r="A1696" s="266">
        <v>200.0</v>
      </c>
      <c r="B1696" s="266"/>
      <c r="C1696" s="266">
        <v>5.0</v>
      </c>
      <c r="D1696" s="266" t="s">
        <v>7658</v>
      </c>
      <c r="E1696" s="266"/>
      <c r="F1696" s="266"/>
      <c r="G1696" s="266" t="s">
        <v>6304</v>
      </c>
      <c r="H1696" s="266" t="s">
        <v>7072</v>
      </c>
      <c r="I1696" s="266"/>
      <c r="J1696" s="266"/>
      <c r="K1696" s="1"/>
      <c r="L1696" s="1"/>
    </row>
    <row r="1697">
      <c r="A1697" s="266">
        <v>300.0</v>
      </c>
      <c r="B1697" s="266"/>
      <c r="C1697" s="266">
        <v>5.0</v>
      </c>
      <c r="D1697" s="266" t="s">
        <v>6306</v>
      </c>
      <c r="E1697" s="266"/>
      <c r="F1697" s="266"/>
      <c r="G1697" s="266" t="s">
        <v>6304</v>
      </c>
      <c r="H1697" s="266" t="s">
        <v>6521</v>
      </c>
      <c r="I1697" s="266"/>
      <c r="J1697" s="266"/>
      <c r="K1697" s="1"/>
      <c r="L1697" s="1"/>
    </row>
    <row r="1698">
      <c r="A1698" s="266">
        <v>50.0</v>
      </c>
      <c r="B1698" s="266">
        <v>1.0</v>
      </c>
      <c r="C1698" s="266"/>
      <c r="D1698" s="266" t="s">
        <v>7659</v>
      </c>
      <c r="E1698" s="266"/>
      <c r="F1698" s="266"/>
      <c r="G1698" s="266"/>
      <c r="H1698" s="266"/>
      <c r="I1698" s="266"/>
      <c r="J1698" s="267"/>
    </row>
    <row r="1699">
      <c r="A1699" s="266">
        <v>100.0</v>
      </c>
      <c r="B1699" s="266"/>
      <c r="C1699" s="266">
        <v>5.0</v>
      </c>
      <c r="D1699" s="266" t="s">
        <v>7660</v>
      </c>
      <c r="E1699" s="266"/>
      <c r="F1699" s="266"/>
      <c r="G1699" s="266" t="s">
        <v>6304</v>
      </c>
      <c r="H1699" s="266" t="s">
        <v>552</v>
      </c>
      <c r="I1699" s="266"/>
      <c r="J1699" s="266"/>
      <c r="K1699" s="1"/>
      <c r="L1699" s="1"/>
    </row>
    <row r="1700">
      <c r="A1700" s="266">
        <v>200.0</v>
      </c>
      <c r="B1700" s="266"/>
      <c r="C1700" s="266">
        <v>5.0</v>
      </c>
      <c r="D1700" s="266" t="s">
        <v>7661</v>
      </c>
      <c r="E1700" s="266"/>
      <c r="F1700" s="266"/>
      <c r="G1700" s="266" t="s">
        <v>6304</v>
      </c>
      <c r="H1700" s="266" t="s">
        <v>552</v>
      </c>
      <c r="I1700" s="266"/>
      <c r="J1700" s="266"/>
      <c r="K1700" s="1"/>
      <c r="L1700" s="1"/>
    </row>
    <row r="1701">
      <c r="A1701" s="266">
        <v>300.0</v>
      </c>
      <c r="B1701" s="266"/>
      <c r="C1701" s="266">
        <v>5.0</v>
      </c>
      <c r="D1701" s="266" t="s">
        <v>7662</v>
      </c>
      <c r="E1701" s="266"/>
      <c r="F1701" s="266"/>
      <c r="G1701" s="266" t="s">
        <v>6304</v>
      </c>
      <c r="H1701" s="266" t="s">
        <v>5244</v>
      </c>
      <c r="I1701" s="266"/>
      <c r="J1701" s="266"/>
      <c r="K1701" s="1"/>
      <c r="L1701" s="1"/>
    </row>
    <row r="1702">
      <c r="A1702" s="266">
        <v>400.0</v>
      </c>
      <c r="B1702" s="266"/>
      <c r="C1702" s="266">
        <v>5.0</v>
      </c>
      <c r="D1702" s="266" t="s">
        <v>7663</v>
      </c>
      <c r="E1702" s="266"/>
      <c r="F1702" s="266"/>
      <c r="G1702" s="266" t="s">
        <v>6304</v>
      </c>
      <c r="H1702" s="266" t="s">
        <v>5244</v>
      </c>
      <c r="I1702" s="266"/>
      <c r="J1702" s="266"/>
      <c r="K1702" s="1"/>
      <c r="L1702" s="1"/>
    </row>
    <row r="1703">
      <c r="A1703" s="266">
        <v>500.0</v>
      </c>
      <c r="B1703" s="266"/>
      <c r="C1703" s="266">
        <v>5.0</v>
      </c>
      <c r="D1703" s="266" t="s">
        <v>7664</v>
      </c>
      <c r="E1703" s="266"/>
      <c r="F1703" s="266"/>
      <c r="G1703" s="266" t="s">
        <v>6304</v>
      </c>
      <c r="H1703" s="266" t="s">
        <v>5244</v>
      </c>
      <c r="I1703" s="266"/>
      <c r="J1703" s="266"/>
      <c r="K1703" s="1"/>
      <c r="L1703" s="1"/>
    </row>
    <row r="1704">
      <c r="A1704" s="266">
        <v>600.0</v>
      </c>
      <c r="B1704" s="266"/>
      <c r="C1704" s="266">
        <v>5.0</v>
      </c>
      <c r="D1704" s="266" t="s">
        <v>7665</v>
      </c>
      <c r="E1704" s="266"/>
      <c r="F1704" s="266"/>
      <c r="G1704" s="266" t="s">
        <v>6304</v>
      </c>
      <c r="H1704" s="266" t="s">
        <v>5244</v>
      </c>
      <c r="I1704" s="266"/>
      <c r="J1704" s="266"/>
      <c r="K1704" s="1"/>
      <c r="L1704" s="1"/>
    </row>
    <row r="1705">
      <c r="A1705" s="266">
        <v>700.0</v>
      </c>
      <c r="B1705" s="266"/>
      <c r="C1705" s="266">
        <v>5.0</v>
      </c>
      <c r="D1705" s="266" t="s">
        <v>7666</v>
      </c>
      <c r="E1705" s="266"/>
      <c r="F1705" s="266"/>
      <c r="G1705" s="266" t="s">
        <v>6304</v>
      </c>
      <c r="H1705" s="266" t="s">
        <v>5244</v>
      </c>
      <c r="I1705" s="266"/>
      <c r="J1705" s="266"/>
      <c r="K1705" s="1"/>
      <c r="L1705" s="1"/>
    </row>
    <row r="1706">
      <c r="A1706" s="266">
        <v>800.0</v>
      </c>
      <c r="B1706" s="266"/>
      <c r="C1706" s="266">
        <v>5.0</v>
      </c>
      <c r="D1706" s="266" t="s">
        <v>7667</v>
      </c>
      <c r="E1706" s="266"/>
      <c r="F1706" s="266"/>
      <c r="G1706" s="266" t="s">
        <v>6304</v>
      </c>
      <c r="H1706" s="266" t="s">
        <v>4103</v>
      </c>
      <c r="I1706" s="266"/>
      <c r="J1706" s="266"/>
      <c r="K1706" s="1"/>
      <c r="L1706" s="1"/>
    </row>
    <row r="1707">
      <c r="A1707" s="266">
        <v>900.0</v>
      </c>
      <c r="B1707" s="266"/>
      <c r="C1707" s="266">
        <v>5.0</v>
      </c>
      <c r="D1707" s="266" t="s">
        <v>6306</v>
      </c>
      <c r="E1707" s="266"/>
      <c r="F1707" s="266"/>
      <c r="G1707" s="266" t="s">
        <v>6304</v>
      </c>
      <c r="H1707" s="266" t="s">
        <v>15</v>
      </c>
      <c r="I1707" s="266"/>
      <c r="J1707" s="266"/>
      <c r="K1707" s="1"/>
      <c r="L1707" s="1"/>
    </row>
    <row r="1708">
      <c r="A1708" s="266">
        <v>50.0</v>
      </c>
      <c r="B1708" s="266">
        <v>1.0</v>
      </c>
      <c r="C1708" s="266"/>
      <c r="D1708" s="266" t="s">
        <v>7668</v>
      </c>
      <c r="E1708" s="266"/>
      <c r="F1708" s="266"/>
      <c r="G1708" s="266"/>
      <c r="H1708" s="266"/>
      <c r="I1708" s="266"/>
      <c r="J1708" s="267"/>
    </row>
    <row r="1709">
      <c r="A1709" s="266">
        <v>100.0</v>
      </c>
      <c r="B1709" s="266"/>
      <c r="C1709" s="266">
        <v>5.0</v>
      </c>
      <c r="D1709" s="266" t="s">
        <v>7669</v>
      </c>
      <c r="E1709" s="266"/>
      <c r="F1709" s="266"/>
      <c r="G1709" s="266" t="s">
        <v>6304</v>
      </c>
      <c r="H1709" s="266" t="s">
        <v>6586</v>
      </c>
      <c r="I1709" s="266"/>
      <c r="J1709" s="266"/>
      <c r="K1709" s="1"/>
      <c r="L1709" s="1"/>
    </row>
    <row r="1710">
      <c r="A1710" s="266">
        <v>200.0</v>
      </c>
      <c r="B1710" s="266"/>
      <c r="C1710" s="266">
        <v>5.0</v>
      </c>
      <c r="D1710" s="266" t="s">
        <v>7670</v>
      </c>
      <c r="E1710" s="266"/>
      <c r="F1710" s="266"/>
      <c r="G1710" s="266" t="s">
        <v>6304</v>
      </c>
      <c r="H1710" s="266" t="s">
        <v>555</v>
      </c>
      <c r="I1710" s="266"/>
      <c r="J1710" s="266"/>
      <c r="K1710" s="1"/>
      <c r="L1710" s="1"/>
    </row>
    <row r="1711">
      <c r="A1711" s="266">
        <v>300.0</v>
      </c>
      <c r="B1711" s="266"/>
      <c r="C1711" s="266">
        <v>5.0</v>
      </c>
      <c r="D1711" s="266" t="s">
        <v>7671</v>
      </c>
      <c r="E1711" s="266"/>
      <c r="F1711" s="266"/>
      <c r="G1711" s="266" t="s">
        <v>6304</v>
      </c>
      <c r="H1711" s="266" t="s">
        <v>5274</v>
      </c>
      <c r="I1711" s="266"/>
      <c r="J1711" s="266"/>
      <c r="K1711" s="1"/>
      <c r="L1711" s="1"/>
    </row>
    <row r="1712">
      <c r="A1712" s="266">
        <v>400.0</v>
      </c>
      <c r="B1712" s="266"/>
      <c r="C1712" s="266">
        <v>5.0</v>
      </c>
      <c r="D1712" s="266" t="s">
        <v>6306</v>
      </c>
      <c r="E1712" s="266"/>
      <c r="F1712" s="266"/>
      <c r="G1712" s="266" t="s">
        <v>6304</v>
      </c>
      <c r="H1712" s="266" t="s">
        <v>15</v>
      </c>
      <c r="I1712" s="266"/>
      <c r="J1712" s="266"/>
      <c r="K1712" s="1"/>
      <c r="L1712" s="1"/>
    </row>
    <row r="1713">
      <c r="A1713" s="266">
        <v>50.0</v>
      </c>
      <c r="B1713" s="266">
        <v>1.0</v>
      </c>
      <c r="C1713" s="266"/>
      <c r="D1713" s="266" t="s">
        <v>7672</v>
      </c>
      <c r="E1713" s="266"/>
      <c r="F1713" s="266"/>
      <c r="G1713" s="266"/>
      <c r="H1713" s="266"/>
      <c r="I1713" s="266"/>
      <c r="J1713" s="267"/>
    </row>
    <row r="1714">
      <c r="A1714" s="266">
        <v>100.0</v>
      </c>
      <c r="B1714" s="266"/>
      <c r="C1714" s="266">
        <v>5.0</v>
      </c>
      <c r="D1714" s="266" t="s">
        <v>7132</v>
      </c>
      <c r="E1714" s="266"/>
      <c r="F1714" s="266"/>
      <c r="G1714" s="266"/>
      <c r="H1714" s="266"/>
      <c r="I1714" s="266"/>
      <c r="J1714" s="267"/>
    </row>
    <row r="1715">
      <c r="A1715" s="266">
        <v>200.0</v>
      </c>
      <c r="B1715" s="266"/>
      <c r="C1715" s="266">
        <v>10.0</v>
      </c>
      <c r="D1715" s="266" t="s">
        <v>7133</v>
      </c>
      <c r="E1715" s="266"/>
      <c r="F1715" s="266"/>
      <c r="G1715" s="266" t="s">
        <v>6304</v>
      </c>
      <c r="H1715" s="266" t="s">
        <v>3794</v>
      </c>
      <c r="I1715" s="266"/>
      <c r="J1715" s="266"/>
      <c r="K1715" s="1"/>
      <c r="L1715" s="1"/>
    </row>
    <row r="1716">
      <c r="A1716" s="266">
        <v>300.0</v>
      </c>
      <c r="B1716" s="266"/>
      <c r="C1716" s="266">
        <v>10.0</v>
      </c>
      <c r="D1716" s="266" t="s">
        <v>7134</v>
      </c>
      <c r="E1716" s="266"/>
      <c r="F1716" s="266"/>
      <c r="G1716" s="266" t="s">
        <v>6304</v>
      </c>
      <c r="H1716" s="266" t="s">
        <v>3794</v>
      </c>
      <c r="I1716" s="266"/>
      <c r="J1716" s="266"/>
      <c r="K1716" s="1"/>
      <c r="L1716" s="1"/>
    </row>
    <row r="1717">
      <c r="A1717" s="266">
        <v>400.0</v>
      </c>
      <c r="B1717" s="266"/>
      <c r="C1717" s="266">
        <v>5.0</v>
      </c>
      <c r="D1717" s="266" t="s">
        <v>7673</v>
      </c>
      <c r="E1717" s="266"/>
      <c r="F1717" s="266"/>
      <c r="G1717" s="266" t="s">
        <v>6304</v>
      </c>
      <c r="H1717" s="266" t="s">
        <v>6909</v>
      </c>
      <c r="I1717" s="266" t="s">
        <v>6592</v>
      </c>
      <c r="J1717" s="266"/>
      <c r="K1717" s="1"/>
      <c r="L1717" s="1"/>
    </row>
    <row r="1718">
      <c r="A1718" s="266">
        <v>50.0</v>
      </c>
      <c r="B1718" s="266">
        <v>1.0</v>
      </c>
      <c r="C1718" s="266"/>
      <c r="D1718" s="266" t="s">
        <v>7674</v>
      </c>
      <c r="E1718" s="266"/>
      <c r="F1718" s="266"/>
      <c r="G1718" s="266"/>
      <c r="H1718" s="266"/>
      <c r="I1718" s="266"/>
      <c r="J1718" s="267"/>
    </row>
    <row r="1719">
      <c r="A1719" s="266">
        <v>100.0</v>
      </c>
      <c r="B1719" s="266"/>
      <c r="C1719" s="266">
        <v>5.0</v>
      </c>
      <c r="D1719" s="266" t="s">
        <v>7675</v>
      </c>
      <c r="E1719" s="266"/>
      <c r="F1719" s="266"/>
      <c r="G1719" s="266"/>
      <c r="H1719" s="266"/>
      <c r="I1719" s="266"/>
      <c r="J1719" s="267"/>
    </row>
    <row r="1720">
      <c r="A1720" s="266">
        <v>200.0</v>
      </c>
      <c r="B1720" s="266"/>
      <c r="C1720" s="266">
        <v>10.0</v>
      </c>
      <c r="D1720" s="266" t="s">
        <v>7676</v>
      </c>
      <c r="E1720" s="266"/>
      <c r="F1720" s="266"/>
      <c r="G1720" s="266" t="s">
        <v>6304</v>
      </c>
      <c r="H1720" s="266" t="s">
        <v>551</v>
      </c>
      <c r="I1720" s="266"/>
      <c r="J1720" s="266"/>
      <c r="K1720" s="1"/>
      <c r="L1720" s="1"/>
    </row>
    <row r="1721">
      <c r="A1721" s="266">
        <v>300.0</v>
      </c>
      <c r="B1721" s="266"/>
      <c r="C1721" s="266">
        <v>10.0</v>
      </c>
      <c r="D1721" s="266" t="s">
        <v>7677</v>
      </c>
      <c r="E1721" s="266"/>
      <c r="F1721" s="266"/>
      <c r="G1721" s="266" t="s">
        <v>6304</v>
      </c>
      <c r="H1721" s="266" t="s">
        <v>556</v>
      </c>
      <c r="I1721" s="266"/>
      <c r="J1721" s="266"/>
      <c r="K1721" s="1"/>
      <c r="L1721" s="1"/>
    </row>
    <row r="1722">
      <c r="A1722" s="266">
        <v>400.0</v>
      </c>
      <c r="B1722" s="266"/>
      <c r="C1722" s="266">
        <v>10.0</v>
      </c>
      <c r="D1722" s="266" t="s">
        <v>7678</v>
      </c>
      <c r="E1722" s="266"/>
      <c r="F1722" s="266"/>
      <c r="G1722" s="266" t="s">
        <v>6304</v>
      </c>
      <c r="H1722" s="266" t="s">
        <v>5243</v>
      </c>
      <c r="I1722" s="266"/>
      <c r="J1722" s="266"/>
      <c r="K1722" s="1"/>
      <c r="L1722" s="1"/>
    </row>
    <row r="1723">
      <c r="A1723" s="266">
        <v>500.0</v>
      </c>
      <c r="B1723" s="266"/>
      <c r="C1723" s="266">
        <v>5.0</v>
      </c>
      <c r="D1723" s="266" t="s">
        <v>7679</v>
      </c>
      <c r="E1723" s="266"/>
      <c r="F1723" s="266"/>
      <c r="G1723" s="266" t="s">
        <v>6304</v>
      </c>
      <c r="H1723" s="266" t="s">
        <v>552</v>
      </c>
      <c r="I1723" s="266"/>
      <c r="J1723" s="266"/>
      <c r="K1723" s="1"/>
      <c r="L1723" s="1"/>
    </row>
    <row r="1724">
      <c r="A1724" s="266">
        <v>600.0</v>
      </c>
      <c r="B1724" s="266"/>
      <c r="C1724" s="266">
        <v>5.0</v>
      </c>
      <c r="D1724" s="266" t="s">
        <v>7680</v>
      </c>
      <c r="E1724" s="266"/>
      <c r="F1724" s="266"/>
      <c r="G1724" s="266" t="s">
        <v>6304</v>
      </c>
      <c r="H1724" s="266" t="s">
        <v>552</v>
      </c>
      <c r="I1724" s="266"/>
      <c r="J1724" s="266"/>
      <c r="K1724" s="1"/>
      <c r="L1724" s="1"/>
    </row>
    <row r="1725">
      <c r="A1725" s="266">
        <v>700.0</v>
      </c>
      <c r="B1725" s="266"/>
      <c r="C1725" s="266">
        <v>5.0</v>
      </c>
      <c r="D1725" s="266" t="s">
        <v>7681</v>
      </c>
      <c r="E1725" s="266"/>
      <c r="F1725" s="266"/>
      <c r="G1725" s="266" t="s">
        <v>6304</v>
      </c>
      <c r="H1725" s="266" t="s">
        <v>5244</v>
      </c>
      <c r="I1725" s="266"/>
      <c r="J1725" s="266"/>
      <c r="K1725" s="1"/>
      <c r="L1725" s="1"/>
    </row>
    <row r="1726">
      <c r="A1726" s="266">
        <v>800.0</v>
      </c>
      <c r="B1726" s="266"/>
      <c r="C1726" s="266">
        <v>5.0</v>
      </c>
      <c r="D1726" s="266" t="s">
        <v>7682</v>
      </c>
      <c r="E1726" s="266"/>
      <c r="F1726" s="266"/>
      <c r="G1726" s="266" t="s">
        <v>6304</v>
      </c>
      <c r="H1726" s="266" t="s">
        <v>5244</v>
      </c>
      <c r="I1726" s="266"/>
      <c r="J1726" s="266"/>
      <c r="K1726" s="1"/>
      <c r="L1726" s="1"/>
    </row>
    <row r="1727">
      <c r="A1727" s="266">
        <v>900.0</v>
      </c>
      <c r="B1727" s="266"/>
      <c r="C1727" s="266">
        <v>5.0</v>
      </c>
      <c r="D1727" s="266" t="s">
        <v>7683</v>
      </c>
      <c r="E1727" s="266"/>
      <c r="F1727" s="266"/>
      <c r="G1727" s="266" t="s">
        <v>6304</v>
      </c>
      <c r="H1727" s="266" t="s">
        <v>5244</v>
      </c>
      <c r="I1727" s="266"/>
      <c r="J1727" s="266"/>
      <c r="K1727" s="1"/>
      <c r="L1727" s="1"/>
    </row>
    <row r="1728">
      <c r="A1728" s="266">
        <v>1000.0</v>
      </c>
      <c r="B1728" s="266"/>
      <c r="C1728" s="266">
        <v>5.0</v>
      </c>
      <c r="D1728" s="266" t="s">
        <v>7684</v>
      </c>
      <c r="E1728" s="266"/>
      <c r="F1728" s="266"/>
      <c r="G1728" s="266" t="s">
        <v>6304</v>
      </c>
      <c r="H1728" s="266" t="s">
        <v>5244</v>
      </c>
      <c r="I1728" s="266"/>
      <c r="J1728" s="266"/>
      <c r="K1728" s="1"/>
      <c r="L1728" s="1"/>
    </row>
    <row r="1729">
      <c r="A1729" s="266">
        <v>1100.0</v>
      </c>
      <c r="B1729" s="266"/>
      <c r="C1729" s="266">
        <v>5.0</v>
      </c>
      <c r="D1729" s="266" t="s">
        <v>7685</v>
      </c>
      <c r="E1729" s="266"/>
      <c r="F1729" s="266"/>
      <c r="G1729" s="266" t="s">
        <v>6304</v>
      </c>
      <c r="H1729" s="266" t="s">
        <v>5244</v>
      </c>
      <c r="I1729" s="266"/>
      <c r="J1729" s="266"/>
      <c r="K1729" s="1"/>
      <c r="L1729" s="1"/>
    </row>
    <row r="1730">
      <c r="A1730" s="266">
        <v>1200.0</v>
      </c>
      <c r="B1730" s="266"/>
      <c r="C1730" s="266">
        <v>5.0</v>
      </c>
      <c r="D1730" s="266" t="s">
        <v>7686</v>
      </c>
      <c r="E1730" s="266"/>
      <c r="F1730" s="266"/>
      <c r="G1730" s="266" t="s">
        <v>6304</v>
      </c>
      <c r="H1730" s="266" t="s">
        <v>4103</v>
      </c>
      <c r="I1730" s="266"/>
      <c r="J1730" s="266"/>
      <c r="K1730" s="1"/>
      <c r="L1730" s="1"/>
    </row>
    <row r="1731">
      <c r="A1731" s="266">
        <v>1300.0</v>
      </c>
      <c r="B1731" s="266"/>
      <c r="C1731" s="266">
        <v>5.0</v>
      </c>
      <c r="D1731" s="266" t="s">
        <v>7687</v>
      </c>
      <c r="E1731" s="266"/>
      <c r="F1731" s="266"/>
      <c r="G1731" s="266" t="s">
        <v>6304</v>
      </c>
      <c r="H1731" s="266" t="s">
        <v>3806</v>
      </c>
      <c r="I1731" s="266"/>
      <c r="J1731" s="266"/>
      <c r="K1731" s="1"/>
      <c r="L1731" s="1"/>
    </row>
    <row r="1732">
      <c r="A1732" s="266">
        <v>1400.0</v>
      </c>
      <c r="B1732" s="266"/>
      <c r="C1732" s="266">
        <v>5.0</v>
      </c>
      <c r="D1732" s="266" t="s">
        <v>7688</v>
      </c>
      <c r="E1732" s="266"/>
      <c r="F1732" s="266"/>
      <c r="G1732" s="266" t="s">
        <v>6304</v>
      </c>
      <c r="H1732" s="266" t="s">
        <v>561</v>
      </c>
      <c r="I1732" s="266"/>
      <c r="J1732" s="266"/>
      <c r="K1732" s="1"/>
      <c r="L1732" s="1"/>
    </row>
    <row r="1733">
      <c r="A1733" s="266">
        <v>1500.0</v>
      </c>
      <c r="B1733" s="266"/>
      <c r="C1733" s="266">
        <v>5.0</v>
      </c>
      <c r="D1733" s="266" t="s">
        <v>6306</v>
      </c>
      <c r="E1733" s="266"/>
      <c r="F1733" s="266"/>
      <c r="G1733" s="266" t="s">
        <v>6304</v>
      </c>
      <c r="H1733" s="266" t="s">
        <v>607</v>
      </c>
      <c r="I1733" s="266"/>
      <c r="J1733" s="266"/>
      <c r="K1733" s="1"/>
      <c r="L1733" s="1"/>
    </row>
    <row r="1734">
      <c r="A1734" s="266">
        <v>50.0</v>
      </c>
      <c r="B1734" s="266">
        <v>1.0</v>
      </c>
      <c r="C1734" s="266"/>
      <c r="D1734" s="266" t="s">
        <v>7689</v>
      </c>
      <c r="E1734" s="266"/>
      <c r="F1734" s="266"/>
      <c r="G1734" s="266"/>
      <c r="H1734" s="266"/>
      <c r="I1734" s="266"/>
      <c r="J1734" s="267"/>
    </row>
    <row r="1735">
      <c r="A1735" s="266">
        <v>100.0</v>
      </c>
      <c r="B1735" s="266"/>
      <c r="C1735" s="266">
        <v>5.0</v>
      </c>
      <c r="D1735" s="266" t="s">
        <v>7690</v>
      </c>
      <c r="E1735" s="266"/>
      <c r="F1735" s="266"/>
      <c r="G1735" s="266" t="s">
        <v>6304</v>
      </c>
      <c r="H1735" s="266" t="s">
        <v>6707</v>
      </c>
      <c r="I1735" s="266" t="s">
        <v>6305</v>
      </c>
      <c r="J1735" s="266"/>
      <c r="K1735" s="1"/>
      <c r="L1735" s="1"/>
    </row>
    <row r="1736">
      <c r="A1736" s="266">
        <v>200.0</v>
      </c>
      <c r="B1736" s="266"/>
      <c r="C1736" s="266">
        <v>5.0</v>
      </c>
      <c r="D1736" s="266" t="s">
        <v>7691</v>
      </c>
      <c r="E1736" s="266"/>
      <c r="F1736" s="266"/>
      <c r="G1736" s="266" t="s">
        <v>6304</v>
      </c>
      <c r="H1736" s="266" t="s">
        <v>6707</v>
      </c>
      <c r="I1736" s="266" t="s">
        <v>6305</v>
      </c>
      <c r="J1736" s="266"/>
      <c r="K1736" s="1"/>
      <c r="L1736" s="1"/>
    </row>
    <row r="1737">
      <c r="A1737" s="266">
        <v>300.0</v>
      </c>
      <c r="B1737" s="266"/>
      <c r="C1737" s="266">
        <v>5.0</v>
      </c>
      <c r="D1737" s="266" t="s">
        <v>7692</v>
      </c>
      <c r="E1737" s="266"/>
      <c r="F1737" s="266"/>
      <c r="G1737" s="266" t="s">
        <v>6304</v>
      </c>
      <c r="H1737" s="266" t="s">
        <v>6707</v>
      </c>
      <c r="I1737" s="266" t="s">
        <v>6305</v>
      </c>
      <c r="J1737" s="266"/>
      <c r="K1737" s="1"/>
      <c r="L1737" s="1"/>
    </row>
    <row r="1738">
      <c r="A1738" s="266">
        <v>400.0</v>
      </c>
      <c r="B1738" s="266"/>
      <c r="C1738" s="266">
        <v>5.0</v>
      </c>
      <c r="D1738" s="266" t="s">
        <v>7693</v>
      </c>
      <c r="E1738" s="266"/>
      <c r="F1738" s="266"/>
      <c r="G1738" s="266" t="s">
        <v>6304</v>
      </c>
      <c r="H1738" s="266" t="s">
        <v>560</v>
      </c>
      <c r="I1738" s="266"/>
      <c r="J1738" s="266"/>
      <c r="K1738" s="1"/>
      <c r="L1738" s="1"/>
    </row>
    <row r="1739">
      <c r="A1739" s="266">
        <v>500.0</v>
      </c>
      <c r="B1739" s="266"/>
      <c r="C1739" s="266">
        <v>5.0</v>
      </c>
      <c r="D1739" s="266" t="s">
        <v>7694</v>
      </c>
      <c r="E1739" s="266"/>
      <c r="F1739" s="266"/>
      <c r="G1739" s="266" t="s">
        <v>6304</v>
      </c>
      <c r="H1739" s="266" t="s">
        <v>560</v>
      </c>
      <c r="I1739" s="266"/>
      <c r="J1739" s="266"/>
      <c r="K1739" s="1"/>
      <c r="L1739" s="1"/>
    </row>
    <row r="1740">
      <c r="A1740" s="266">
        <v>600.0</v>
      </c>
      <c r="B1740" s="266"/>
      <c r="C1740" s="266">
        <v>5.0</v>
      </c>
      <c r="D1740" s="266" t="s">
        <v>7167</v>
      </c>
      <c r="E1740" s="266"/>
      <c r="F1740" s="266"/>
      <c r="G1740" s="266" t="s">
        <v>6304</v>
      </c>
      <c r="H1740" s="266" t="s">
        <v>6707</v>
      </c>
      <c r="I1740" s="266" t="s">
        <v>6305</v>
      </c>
      <c r="J1740" s="266"/>
      <c r="K1740" s="1"/>
      <c r="L1740" s="1"/>
    </row>
    <row r="1741">
      <c r="A1741" s="266">
        <v>700.0</v>
      </c>
      <c r="B1741" s="266"/>
      <c r="C1741" s="266">
        <v>5.0</v>
      </c>
      <c r="D1741" s="266" t="s">
        <v>7162</v>
      </c>
      <c r="E1741" s="266"/>
      <c r="F1741" s="266"/>
      <c r="G1741" s="266" t="s">
        <v>6304</v>
      </c>
      <c r="H1741" s="266" t="s">
        <v>6707</v>
      </c>
      <c r="I1741" s="266" t="s">
        <v>6305</v>
      </c>
      <c r="J1741" s="266"/>
      <c r="K1741" s="1"/>
      <c r="L1741" s="1"/>
    </row>
    <row r="1742">
      <c r="A1742" s="266">
        <v>800.0</v>
      </c>
      <c r="B1742" s="266"/>
      <c r="C1742" s="266">
        <v>5.0</v>
      </c>
      <c r="D1742" s="266" t="s">
        <v>7695</v>
      </c>
      <c r="E1742" s="266"/>
      <c r="F1742" s="266"/>
      <c r="G1742" s="266" t="s">
        <v>6304</v>
      </c>
      <c r="H1742" s="266" t="s">
        <v>6707</v>
      </c>
      <c r="I1742" s="266" t="s">
        <v>6305</v>
      </c>
      <c r="J1742" s="266"/>
      <c r="K1742" s="1"/>
      <c r="L1742" s="1"/>
    </row>
    <row r="1743">
      <c r="A1743" s="266">
        <v>900.0</v>
      </c>
      <c r="B1743" s="266"/>
      <c r="C1743" s="266">
        <v>5.0</v>
      </c>
      <c r="D1743" s="266" t="s">
        <v>7696</v>
      </c>
      <c r="E1743" s="266"/>
      <c r="F1743" s="266"/>
      <c r="G1743" s="266" t="s">
        <v>6304</v>
      </c>
      <c r="H1743" s="266" t="s">
        <v>6650</v>
      </c>
      <c r="I1743" s="266" t="s">
        <v>6305</v>
      </c>
      <c r="J1743" s="266"/>
      <c r="K1743" s="1"/>
      <c r="L1743" s="1"/>
    </row>
    <row r="1744">
      <c r="A1744" s="266">
        <v>1000.0</v>
      </c>
      <c r="B1744" s="266"/>
      <c r="C1744" s="266">
        <v>5.0</v>
      </c>
      <c r="D1744" s="266" t="s">
        <v>7161</v>
      </c>
      <c r="E1744" s="266"/>
      <c r="F1744" s="266"/>
      <c r="G1744" s="266" t="s">
        <v>6304</v>
      </c>
      <c r="H1744" s="266" t="s">
        <v>6650</v>
      </c>
      <c r="I1744" s="266" t="s">
        <v>6305</v>
      </c>
      <c r="J1744" s="266"/>
      <c r="K1744" s="1"/>
      <c r="L1744" s="1"/>
    </row>
    <row r="1745">
      <c r="A1745" s="266">
        <v>1100.0</v>
      </c>
      <c r="B1745" s="266"/>
      <c r="C1745" s="266">
        <v>5.0</v>
      </c>
      <c r="D1745" s="266" t="s">
        <v>7166</v>
      </c>
      <c r="E1745" s="266"/>
      <c r="F1745" s="266"/>
      <c r="G1745" s="266" t="s">
        <v>6304</v>
      </c>
      <c r="H1745" s="266" t="s">
        <v>6650</v>
      </c>
      <c r="I1745" s="266" t="s">
        <v>6305</v>
      </c>
      <c r="J1745" s="266"/>
      <c r="K1745" s="1"/>
      <c r="L1745" s="1"/>
    </row>
    <row r="1746">
      <c r="A1746" s="266">
        <v>1200.0</v>
      </c>
      <c r="B1746" s="266"/>
      <c r="C1746" s="266">
        <v>5.0</v>
      </c>
      <c r="D1746" s="266" t="s">
        <v>7697</v>
      </c>
      <c r="E1746" s="266"/>
      <c r="F1746" s="266"/>
      <c r="G1746" s="266" t="s">
        <v>6304</v>
      </c>
      <c r="H1746" s="266" t="s">
        <v>6650</v>
      </c>
      <c r="I1746" s="266" t="s">
        <v>6305</v>
      </c>
      <c r="J1746" s="266"/>
      <c r="K1746" s="1"/>
      <c r="L1746" s="1"/>
    </row>
    <row r="1747">
      <c r="A1747" s="266">
        <v>1300.0</v>
      </c>
      <c r="B1747" s="266"/>
      <c r="C1747" s="266">
        <v>5.0</v>
      </c>
      <c r="D1747" s="266" t="s">
        <v>6306</v>
      </c>
      <c r="E1747" s="266"/>
      <c r="F1747" s="266"/>
      <c r="G1747" s="266" t="s">
        <v>6304</v>
      </c>
      <c r="H1747" s="266" t="s">
        <v>7698</v>
      </c>
      <c r="I1747" s="266"/>
      <c r="J1747" s="266"/>
      <c r="K1747" s="1"/>
      <c r="L1747" s="1"/>
    </row>
    <row r="1748">
      <c r="A1748" s="266">
        <v>50.0</v>
      </c>
      <c r="B1748" s="266">
        <v>1.0</v>
      </c>
      <c r="C1748" s="266"/>
      <c r="D1748" s="266" t="s">
        <v>7699</v>
      </c>
      <c r="E1748" s="266"/>
      <c r="F1748" s="266"/>
      <c r="G1748" s="266"/>
      <c r="H1748" s="266"/>
      <c r="I1748" s="266"/>
      <c r="J1748" s="267"/>
    </row>
    <row r="1749">
      <c r="A1749" s="266">
        <v>100.0</v>
      </c>
      <c r="B1749" s="266"/>
      <c r="C1749" s="266">
        <v>5.0</v>
      </c>
      <c r="D1749" s="266" t="s">
        <v>7700</v>
      </c>
      <c r="E1749" s="266"/>
      <c r="F1749" s="266"/>
      <c r="G1749" s="266" t="s">
        <v>6304</v>
      </c>
      <c r="H1749" s="266" t="s">
        <v>7</v>
      </c>
      <c r="I1749" s="266" t="s">
        <v>6305</v>
      </c>
      <c r="J1749" s="266"/>
      <c r="K1749" s="1"/>
      <c r="L1749" s="1"/>
    </row>
    <row r="1750">
      <c r="A1750" s="266">
        <v>200.0</v>
      </c>
      <c r="B1750" s="266"/>
      <c r="C1750" s="266">
        <v>5.0</v>
      </c>
      <c r="D1750" s="266" t="s">
        <v>7165</v>
      </c>
      <c r="E1750" s="266"/>
      <c r="F1750" s="266"/>
      <c r="G1750" s="266" t="s">
        <v>6304</v>
      </c>
      <c r="H1750" s="266" t="s">
        <v>7</v>
      </c>
      <c r="I1750" s="266" t="s">
        <v>6305</v>
      </c>
      <c r="J1750" s="266"/>
      <c r="K1750" s="1"/>
      <c r="L1750" s="1"/>
    </row>
    <row r="1751">
      <c r="A1751" s="266">
        <v>300.0</v>
      </c>
      <c r="B1751" s="266"/>
      <c r="C1751" s="266">
        <v>5.0</v>
      </c>
      <c r="D1751" s="266" t="s">
        <v>7160</v>
      </c>
      <c r="E1751" s="266"/>
      <c r="F1751" s="266"/>
      <c r="G1751" s="266" t="s">
        <v>6304</v>
      </c>
      <c r="H1751" s="266" t="s">
        <v>7</v>
      </c>
      <c r="I1751" s="266" t="s">
        <v>6305</v>
      </c>
      <c r="J1751" s="266"/>
      <c r="K1751" s="1"/>
      <c r="L1751" s="1"/>
    </row>
    <row r="1752">
      <c r="A1752" s="266">
        <v>400.0</v>
      </c>
      <c r="B1752" s="266"/>
      <c r="C1752" s="266">
        <v>5.0</v>
      </c>
      <c r="D1752" s="266" t="s">
        <v>6306</v>
      </c>
      <c r="E1752" s="266"/>
      <c r="F1752" s="266"/>
      <c r="G1752" s="266" t="s">
        <v>6304</v>
      </c>
      <c r="H1752" s="266" t="s">
        <v>6576</v>
      </c>
      <c r="I1752" s="266"/>
      <c r="J1752" s="266"/>
      <c r="K1752" s="1"/>
      <c r="L1752" s="1"/>
    </row>
    <row r="1753">
      <c r="A1753" s="266">
        <v>50.0</v>
      </c>
      <c r="B1753" s="266">
        <v>1.0</v>
      </c>
      <c r="C1753" s="266"/>
      <c r="D1753" s="266" t="s">
        <v>7701</v>
      </c>
      <c r="E1753" s="266"/>
      <c r="F1753" s="266"/>
      <c r="G1753" s="266"/>
      <c r="H1753" s="266"/>
      <c r="I1753" s="266"/>
      <c r="J1753" s="267"/>
    </row>
    <row r="1754">
      <c r="A1754" s="266">
        <v>100.0</v>
      </c>
      <c r="B1754" s="266"/>
      <c r="C1754" s="266">
        <v>5.0</v>
      </c>
      <c r="D1754" s="266" t="s">
        <v>3835</v>
      </c>
      <c r="E1754" s="266"/>
      <c r="F1754" s="266"/>
      <c r="G1754" s="266" t="s">
        <v>6304</v>
      </c>
      <c r="H1754" s="266" t="s">
        <v>560</v>
      </c>
      <c r="I1754" s="266"/>
      <c r="J1754" s="266"/>
      <c r="K1754" s="1"/>
      <c r="L1754" s="1"/>
    </row>
    <row r="1755">
      <c r="A1755" s="266">
        <v>200.0</v>
      </c>
      <c r="B1755" s="266"/>
      <c r="C1755" s="266">
        <v>5.0</v>
      </c>
      <c r="D1755" s="266" t="s">
        <v>7702</v>
      </c>
      <c r="E1755" s="266" t="s">
        <v>6479</v>
      </c>
      <c r="F1755" s="266">
        <v>6.0</v>
      </c>
      <c r="G1755" s="266" t="s">
        <v>6304</v>
      </c>
      <c r="H1755" s="266" t="s">
        <v>553</v>
      </c>
      <c r="I1755" s="266"/>
      <c r="J1755" s="267"/>
    </row>
    <row r="1756">
      <c r="A1756" s="266">
        <v>300.0</v>
      </c>
      <c r="B1756" s="266"/>
      <c r="C1756" s="266">
        <v>5.0</v>
      </c>
      <c r="D1756" s="266" t="s">
        <v>7703</v>
      </c>
      <c r="E1756" s="266" t="s">
        <v>6479</v>
      </c>
      <c r="F1756" s="266">
        <v>6.0</v>
      </c>
      <c r="G1756" s="266" t="s">
        <v>6304</v>
      </c>
      <c r="H1756" s="266" t="s">
        <v>553</v>
      </c>
      <c r="I1756" s="266"/>
      <c r="J1756" s="267"/>
    </row>
    <row r="1757">
      <c r="A1757" s="266">
        <v>400.0</v>
      </c>
      <c r="B1757" s="266"/>
      <c r="C1757" s="266">
        <v>5.0</v>
      </c>
      <c r="D1757" s="266" t="s">
        <v>5136</v>
      </c>
      <c r="E1757" s="266"/>
      <c r="F1757" s="266"/>
      <c r="G1757" s="266" t="s">
        <v>6304</v>
      </c>
      <c r="H1757" s="266" t="s">
        <v>552</v>
      </c>
      <c r="I1757" s="266"/>
      <c r="J1757" s="266"/>
      <c r="K1757" s="1"/>
      <c r="L1757" s="1"/>
    </row>
    <row r="1758">
      <c r="A1758" s="266">
        <v>500.0</v>
      </c>
      <c r="B1758" s="266"/>
      <c r="C1758" s="266">
        <v>5.0</v>
      </c>
      <c r="D1758" s="266" t="s">
        <v>6306</v>
      </c>
      <c r="E1758" s="266"/>
      <c r="F1758" s="266"/>
      <c r="G1758" s="266" t="s">
        <v>6304</v>
      </c>
      <c r="H1758" s="266" t="s">
        <v>6576</v>
      </c>
      <c r="I1758" s="266"/>
      <c r="J1758" s="266"/>
      <c r="K1758" s="1"/>
      <c r="L1758" s="1"/>
    </row>
    <row r="1759">
      <c r="A1759" s="266">
        <v>50.0</v>
      </c>
      <c r="B1759" s="266">
        <v>1.0</v>
      </c>
      <c r="C1759" s="266"/>
      <c r="D1759" s="266" t="s">
        <v>7704</v>
      </c>
      <c r="E1759" s="266"/>
      <c r="F1759" s="266"/>
      <c r="G1759" s="266"/>
      <c r="H1759" s="266"/>
      <c r="I1759" s="266"/>
      <c r="J1759" s="267"/>
    </row>
    <row r="1760">
      <c r="A1760" s="266">
        <v>100.0</v>
      </c>
      <c r="B1760" s="266"/>
      <c r="C1760" s="266">
        <v>5.0</v>
      </c>
      <c r="D1760" s="266" t="s">
        <v>7702</v>
      </c>
      <c r="E1760" s="266"/>
      <c r="F1760" s="266"/>
      <c r="G1760" s="266" t="s">
        <v>6304</v>
      </c>
      <c r="H1760" s="266" t="s">
        <v>553</v>
      </c>
      <c r="I1760" s="266"/>
      <c r="J1760" s="266"/>
      <c r="K1760" s="1"/>
      <c r="L1760" s="1"/>
    </row>
    <row r="1761">
      <c r="A1761" s="266">
        <v>200.0</v>
      </c>
      <c r="B1761" s="266"/>
      <c r="C1761" s="266">
        <v>5.0</v>
      </c>
      <c r="D1761" s="266" t="s">
        <v>7705</v>
      </c>
      <c r="E1761" s="266" t="s">
        <v>6603</v>
      </c>
      <c r="F1761" s="266" t="s">
        <v>7702</v>
      </c>
      <c r="G1761" s="266" t="s">
        <v>6304</v>
      </c>
      <c r="H1761" s="266" t="s">
        <v>554</v>
      </c>
      <c r="I1761" s="266"/>
      <c r="J1761" s="267"/>
    </row>
    <row r="1762">
      <c r="A1762" s="266">
        <v>300.0</v>
      </c>
      <c r="B1762" s="266"/>
      <c r="C1762" s="266">
        <v>5.0</v>
      </c>
      <c r="D1762" s="266" t="s">
        <v>7226</v>
      </c>
      <c r="E1762" s="266"/>
      <c r="F1762" s="266"/>
      <c r="G1762" s="266"/>
      <c r="H1762" s="266"/>
      <c r="I1762" s="266"/>
      <c r="J1762" s="267"/>
    </row>
    <row r="1763">
      <c r="A1763" s="266">
        <v>400.0</v>
      </c>
      <c r="B1763" s="266"/>
      <c r="C1763" s="266">
        <v>10.0</v>
      </c>
      <c r="D1763" s="266" t="s">
        <v>3842</v>
      </c>
      <c r="E1763" s="266"/>
      <c r="F1763" s="266"/>
      <c r="G1763" s="266" t="s">
        <v>6304</v>
      </c>
      <c r="H1763" s="266" t="s">
        <v>557</v>
      </c>
      <c r="I1763" s="266"/>
      <c r="J1763" s="266"/>
      <c r="K1763" s="1"/>
      <c r="L1763" s="1"/>
    </row>
    <row r="1764">
      <c r="A1764" s="266">
        <v>500.0</v>
      </c>
      <c r="B1764" s="266"/>
      <c r="C1764" s="266">
        <v>10.0</v>
      </c>
      <c r="D1764" s="266" t="s">
        <v>3843</v>
      </c>
      <c r="E1764" s="266"/>
      <c r="F1764" s="266"/>
      <c r="G1764" s="266" t="s">
        <v>6304</v>
      </c>
      <c r="H1764" s="266" t="s">
        <v>3794</v>
      </c>
      <c r="I1764" s="266"/>
      <c r="J1764" s="266"/>
      <c r="K1764" s="1"/>
      <c r="L1764" s="1"/>
    </row>
    <row r="1765">
      <c r="A1765" s="266">
        <v>600.0</v>
      </c>
      <c r="B1765" s="266"/>
      <c r="C1765" s="266">
        <v>5.0</v>
      </c>
      <c r="D1765" s="266" t="s">
        <v>7706</v>
      </c>
      <c r="E1765" s="266"/>
      <c r="F1765" s="266"/>
      <c r="G1765" s="266" t="s">
        <v>6304</v>
      </c>
      <c r="H1765" s="266" t="s">
        <v>552</v>
      </c>
      <c r="I1765" s="266"/>
      <c r="J1765" s="266"/>
      <c r="K1765" s="1"/>
      <c r="L1765" s="1"/>
    </row>
    <row r="1766">
      <c r="A1766" s="266">
        <v>700.0</v>
      </c>
      <c r="B1766" s="266"/>
      <c r="C1766" s="266">
        <v>5.0</v>
      </c>
      <c r="D1766" s="266" t="s">
        <v>7707</v>
      </c>
      <c r="E1766" s="266"/>
      <c r="F1766" s="266"/>
      <c r="G1766" s="266" t="s">
        <v>6304</v>
      </c>
      <c r="H1766" s="266" t="s">
        <v>552</v>
      </c>
      <c r="I1766" s="266"/>
      <c r="J1766" s="266"/>
      <c r="K1766" s="1"/>
      <c r="L1766" s="1"/>
    </row>
    <row r="1767">
      <c r="A1767" s="266">
        <v>800.0</v>
      </c>
      <c r="B1767" s="266"/>
      <c r="C1767" s="266">
        <v>5.0</v>
      </c>
      <c r="D1767" s="266" t="s">
        <v>7708</v>
      </c>
      <c r="E1767" s="266"/>
      <c r="F1767" s="266"/>
      <c r="G1767" s="266" t="s">
        <v>6304</v>
      </c>
      <c r="H1767" s="266" t="s">
        <v>552</v>
      </c>
      <c r="I1767" s="266"/>
      <c r="J1767" s="266"/>
      <c r="K1767" s="1"/>
      <c r="L1767" s="1"/>
    </row>
    <row r="1768">
      <c r="A1768" s="266">
        <v>900.0</v>
      </c>
      <c r="B1768" s="266"/>
      <c r="C1768" s="266">
        <v>5.0</v>
      </c>
      <c r="D1768" s="266" t="s">
        <v>7709</v>
      </c>
      <c r="E1768" s="266"/>
      <c r="F1768" s="266"/>
      <c r="G1768" s="266" t="s">
        <v>6304</v>
      </c>
      <c r="H1768" s="266" t="s">
        <v>552</v>
      </c>
      <c r="I1768" s="266"/>
      <c r="J1768" s="266"/>
      <c r="K1768" s="1"/>
      <c r="L1768" s="1"/>
    </row>
    <row r="1769">
      <c r="A1769" s="266">
        <v>1000.0</v>
      </c>
      <c r="B1769" s="266"/>
      <c r="C1769" s="266">
        <v>5.0</v>
      </c>
      <c r="D1769" s="266" t="s">
        <v>7710</v>
      </c>
      <c r="E1769" s="266"/>
      <c r="F1769" s="266"/>
      <c r="G1769" s="266" t="s">
        <v>6304</v>
      </c>
      <c r="H1769" s="266" t="s">
        <v>557</v>
      </c>
      <c r="I1769" s="266"/>
      <c r="J1769" s="266"/>
      <c r="K1769" s="1"/>
      <c r="L1769" s="1"/>
    </row>
    <row r="1770">
      <c r="A1770" s="266">
        <v>1100.0</v>
      </c>
      <c r="B1770" s="266"/>
      <c r="C1770" s="266">
        <v>5.0</v>
      </c>
      <c r="D1770" s="266" t="s">
        <v>7711</v>
      </c>
      <c r="E1770" s="266"/>
      <c r="F1770" s="266"/>
      <c r="G1770" s="266" t="s">
        <v>6304</v>
      </c>
      <c r="H1770" s="266" t="s">
        <v>556</v>
      </c>
      <c r="I1770" s="266"/>
      <c r="J1770" s="266"/>
      <c r="K1770" s="1"/>
      <c r="L1770" s="1"/>
    </row>
    <row r="1771">
      <c r="A1771" s="266">
        <v>1200.0</v>
      </c>
      <c r="B1771" s="266"/>
      <c r="C1771" s="266">
        <v>5.0</v>
      </c>
      <c r="D1771" s="266" t="s">
        <v>7712</v>
      </c>
      <c r="E1771" s="266"/>
      <c r="F1771" s="266"/>
      <c r="G1771" s="266" t="s">
        <v>6304</v>
      </c>
      <c r="H1771" s="266" t="s">
        <v>552</v>
      </c>
      <c r="I1771" s="266"/>
      <c r="J1771" s="266"/>
      <c r="K1771" s="1"/>
      <c r="L1771" s="1"/>
    </row>
    <row r="1772">
      <c r="A1772" s="266">
        <v>1300.0</v>
      </c>
      <c r="B1772" s="266"/>
      <c r="C1772" s="266">
        <v>5.0</v>
      </c>
      <c r="D1772" s="266" t="s">
        <v>7713</v>
      </c>
      <c r="E1772" s="266"/>
      <c r="F1772" s="266"/>
      <c r="G1772" s="266" t="s">
        <v>6304</v>
      </c>
      <c r="H1772" s="266" t="s">
        <v>552</v>
      </c>
      <c r="I1772" s="266"/>
      <c r="J1772" s="266"/>
      <c r="K1772" s="1"/>
      <c r="L1772" s="1"/>
    </row>
    <row r="1773">
      <c r="A1773" s="266">
        <v>1400.0</v>
      </c>
      <c r="B1773" s="266"/>
      <c r="C1773" s="266">
        <v>5.0</v>
      </c>
      <c r="D1773" s="266" t="s">
        <v>7714</v>
      </c>
      <c r="E1773" s="266"/>
      <c r="F1773" s="266"/>
      <c r="G1773" s="266" t="s">
        <v>6304</v>
      </c>
      <c r="H1773" s="266" t="s">
        <v>551</v>
      </c>
      <c r="I1773" s="266"/>
      <c r="J1773" s="266"/>
      <c r="K1773" s="1"/>
      <c r="L1773" s="1"/>
    </row>
    <row r="1774">
      <c r="A1774" s="266">
        <v>1500.0</v>
      </c>
      <c r="B1774" s="266"/>
      <c r="C1774" s="266">
        <v>5.0</v>
      </c>
      <c r="D1774" s="266" t="s">
        <v>7715</v>
      </c>
      <c r="E1774" s="266"/>
      <c r="F1774" s="266"/>
      <c r="G1774" s="266" t="s">
        <v>6304</v>
      </c>
      <c r="H1774" s="266" t="s">
        <v>551</v>
      </c>
      <c r="I1774" s="266"/>
      <c r="J1774" s="266"/>
      <c r="K1774" s="1"/>
      <c r="L1774" s="1"/>
    </row>
    <row r="1775">
      <c r="A1775" s="266">
        <v>1600.0</v>
      </c>
      <c r="B1775" s="266"/>
      <c r="C1775" s="266">
        <v>5.0</v>
      </c>
      <c r="D1775" s="266" t="s">
        <v>7716</v>
      </c>
      <c r="E1775" s="266"/>
      <c r="F1775" s="266"/>
      <c r="G1775" s="266" t="s">
        <v>6304</v>
      </c>
      <c r="H1775" s="266" t="s">
        <v>551</v>
      </c>
      <c r="I1775" s="266"/>
      <c r="J1775" s="266"/>
      <c r="K1775" s="1"/>
      <c r="L1775" s="1"/>
    </row>
    <row r="1776">
      <c r="A1776" s="266">
        <v>1700.0</v>
      </c>
      <c r="B1776" s="266"/>
      <c r="C1776" s="266">
        <v>5.0</v>
      </c>
      <c r="D1776" s="266" t="s">
        <v>7717</v>
      </c>
      <c r="E1776" s="266"/>
      <c r="F1776" s="266"/>
      <c r="G1776" s="266" t="s">
        <v>6304</v>
      </c>
      <c r="H1776" s="266" t="s">
        <v>555</v>
      </c>
      <c r="I1776" s="266"/>
      <c r="J1776" s="266"/>
      <c r="K1776" s="1"/>
      <c r="L1776" s="1"/>
    </row>
    <row r="1777">
      <c r="A1777" s="266">
        <v>1800.0</v>
      </c>
      <c r="B1777" s="266"/>
      <c r="C1777" s="266">
        <v>5.0</v>
      </c>
      <c r="D1777" s="266" t="s">
        <v>7718</v>
      </c>
      <c r="E1777" s="266"/>
      <c r="F1777" s="266"/>
      <c r="G1777" s="266" t="s">
        <v>6304</v>
      </c>
      <c r="H1777" s="266" t="s">
        <v>552</v>
      </c>
      <c r="I1777" s="266"/>
      <c r="J1777" s="266"/>
      <c r="K1777" s="1"/>
      <c r="L1777" s="1"/>
    </row>
    <row r="1778">
      <c r="A1778" s="266">
        <v>1900.0</v>
      </c>
      <c r="B1778" s="266"/>
      <c r="C1778" s="266">
        <v>5.0</v>
      </c>
      <c r="D1778" s="266" t="s">
        <v>6996</v>
      </c>
      <c r="E1778" s="266"/>
      <c r="F1778" s="266"/>
      <c r="G1778" s="266" t="s">
        <v>6304</v>
      </c>
      <c r="H1778" s="266" t="s">
        <v>555</v>
      </c>
      <c r="I1778" s="266"/>
      <c r="J1778" s="266"/>
      <c r="K1778" s="1"/>
      <c r="L1778" s="1"/>
    </row>
    <row r="1779">
      <c r="A1779" s="266">
        <v>2000.0</v>
      </c>
      <c r="B1779" s="266"/>
      <c r="C1779" s="266">
        <v>5.0</v>
      </c>
      <c r="D1779" s="266" t="s">
        <v>7719</v>
      </c>
      <c r="E1779" s="266"/>
      <c r="F1779" s="266"/>
      <c r="G1779" s="266" t="s">
        <v>6304</v>
      </c>
      <c r="H1779" s="266" t="s">
        <v>551</v>
      </c>
      <c r="I1779" s="266"/>
      <c r="J1779" s="266"/>
      <c r="K1779" s="1"/>
      <c r="L1779" s="1"/>
    </row>
    <row r="1780">
      <c r="A1780" s="266">
        <v>2100.0</v>
      </c>
      <c r="B1780" s="266"/>
      <c r="C1780" s="266">
        <v>5.0</v>
      </c>
      <c r="D1780" s="266" t="s">
        <v>6995</v>
      </c>
      <c r="E1780" s="266"/>
      <c r="F1780" s="266"/>
      <c r="G1780" s="266" t="s">
        <v>6304</v>
      </c>
      <c r="H1780" s="266" t="s">
        <v>7</v>
      </c>
      <c r="I1780" s="266" t="s">
        <v>6305</v>
      </c>
      <c r="J1780" s="266"/>
      <c r="K1780" s="1"/>
      <c r="L1780" s="1"/>
    </row>
    <row r="1781">
      <c r="A1781" s="266">
        <v>2200.0</v>
      </c>
      <c r="B1781" s="266"/>
      <c r="C1781" s="266">
        <v>5.0</v>
      </c>
      <c r="D1781" s="266" t="s">
        <v>7720</v>
      </c>
      <c r="E1781" s="266"/>
      <c r="F1781" s="266"/>
      <c r="G1781" s="266" t="s">
        <v>6304</v>
      </c>
      <c r="H1781" s="266" t="s">
        <v>7</v>
      </c>
      <c r="I1781" s="266" t="s">
        <v>6305</v>
      </c>
      <c r="J1781" s="266"/>
      <c r="K1781" s="1"/>
      <c r="L1781" s="1"/>
    </row>
    <row r="1782">
      <c r="A1782" s="266">
        <v>2300.0</v>
      </c>
      <c r="B1782" s="266"/>
      <c r="C1782" s="266">
        <v>5.0</v>
      </c>
      <c r="D1782" s="266" t="s">
        <v>7163</v>
      </c>
      <c r="E1782" s="266"/>
      <c r="F1782" s="266"/>
      <c r="G1782" s="266" t="s">
        <v>6304</v>
      </c>
      <c r="H1782" s="266" t="s">
        <v>7</v>
      </c>
      <c r="I1782" s="266" t="s">
        <v>6305</v>
      </c>
      <c r="J1782" s="266"/>
      <c r="K1782" s="1"/>
      <c r="L1782" s="1"/>
    </row>
    <row r="1783">
      <c r="A1783" s="266">
        <v>2400.0</v>
      </c>
      <c r="B1783" s="266"/>
      <c r="C1783" s="266">
        <v>5.0</v>
      </c>
      <c r="D1783" s="266" t="s">
        <v>7164</v>
      </c>
      <c r="E1783" s="266"/>
      <c r="F1783" s="266"/>
      <c r="G1783" s="266" t="s">
        <v>6304</v>
      </c>
      <c r="H1783" s="266" t="s">
        <v>7</v>
      </c>
      <c r="I1783" s="266" t="s">
        <v>6305</v>
      </c>
      <c r="J1783" s="266"/>
      <c r="K1783" s="1"/>
      <c r="L1783" s="1"/>
    </row>
    <row r="1784">
      <c r="A1784" s="266">
        <v>2500.0</v>
      </c>
      <c r="B1784" s="266"/>
      <c r="C1784" s="266">
        <v>5.0</v>
      </c>
      <c r="D1784" s="266" t="s">
        <v>7156</v>
      </c>
      <c r="E1784" s="266"/>
      <c r="F1784" s="266"/>
      <c r="G1784" s="266" t="s">
        <v>6304</v>
      </c>
      <c r="H1784" s="266" t="s">
        <v>7</v>
      </c>
      <c r="I1784" s="266" t="s">
        <v>6305</v>
      </c>
      <c r="J1784" s="266"/>
      <c r="K1784" s="1"/>
      <c r="L1784" s="1"/>
    </row>
    <row r="1785">
      <c r="A1785" s="266">
        <v>2600.0</v>
      </c>
      <c r="B1785" s="266"/>
      <c r="C1785" s="266">
        <v>5.0</v>
      </c>
      <c r="D1785" s="266" t="s">
        <v>7721</v>
      </c>
      <c r="E1785" s="266"/>
      <c r="F1785" s="266"/>
      <c r="G1785" s="266" t="s">
        <v>6304</v>
      </c>
      <c r="H1785" s="266" t="s">
        <v>7</v>
      </c>
      <c r="I1785" s="266" t="s">
        <v>6305</v>
      </c>
      <c r="J1785" s="266"/>
      <c r="K1785" s="1"/>
      <c r="L1785" s="1"/>
    </row>
    <row r="1786">
      <c r="A1786" s="266">
        <v>2700.0</v>
      </c>
      <c r="B1786" s="266"/>
      <c r="C1786" s="266">
        <v>5.0</v>
      </c>
      <c r="D1786" s="266" t="s">
        <v>7722</v>
      </c>
      <c r="E1786" s="266"/>
      <c r="F1786" s="266"/>
      <c r="G1786" s="266" t="s">
        <v>6304</v>
      </c>
      <c r="H1786" s="266" t="s">
        <v>7</v>
      </c>
      <c r="I1786" s="266" t="s">
        <v>6305</v>
      </c>
      <c r="J1786" s="266"/>
      <c r="K1786" s="1"/>
      <c r="L1786" s="1"/>
    </row>
    <row r="1787">
      <c r="A1787" s="266">
        <v>2800.0</v>
      </c>
      <c r="B1787" s="266"/>
      <c r="C1787" s="266">
        <v>5.0</v>
      </c>
      <c r="D1787" s="266" t="s">
        <v>7723</v>
      </c>
      <c r="E1787" s="266"/>
      <c r="F1787" s="266"/>
      <c r="G1787" s="266" t="s">
        <v>6304</v>
      </c>
      <c r="H1787" s="266" t="s">
        <v>557</v>
      </c>
      <c r="I1787" s="266"/>
      <c r="J1787" s="266"/>
      <c r="K1787" s="1"/>
      <c r="L1787" s="1"/>
    </row>
    <row r="1788">
      <c r="A1788" s="266">
        <v>2900.0</v>
      </c>
      <c r="B1788" s="266"/>
      <c r="C1788" s="266">
        <v>5.0</v>
      </c>
      <c r="D1788" s="266" t="s">
        <v>7724</v>
      </c>
      <c r="E1788" s="266"/>
      <c r="F1788" s="266"/>
      <c r="G1788" s="266" t="s">
        <v>6304</v>
      </c>
      <c r="H1788" s="266" t="s">
        <v>7</v>
      </c>
      <c r="I1788" s="266" t="s">
        <v>6305</v>
      </c>
      <c r="J1788" s="266"/>
      <c r="K1788" s="1"/>
      <c r="L1788" s="1"/>
    </row>
    <row r="1789">
      <c r="A1789" s="266">
        <v>3000.0</v>
      </c>
      <c r="B1789" s="266"/>
      <c r="C1789" s="266">
        <v>5.0</v>
      </c>
      <c r="D1789" s="266" t="s">
        <v>7180</v>
      </c>
      <c r="E1789" s="266"/>
      <c r="F1789" s="266"/>
      <c r="G1789" s="266" t="s">
        <v>6304</v>
      </c>
      <c r="H1789" s="266" t="s">
        <v>555</v>
      </c>
      <c r="I1789" s="266"/>
      <c r="J1789" s="266"/>
      <c r="K1789" s="1"/>
      <c r="L1789" s="1"/>
    </row>
    <row r="1790">
      <c r="A1790" s="266">
        <v>3100.0</v>
      </c>
      <c r="B1790" s="266"/>
      <c r="C1790" s="266">
        <v>5.0</v>
      </c>
      <c r="D1790" s="266" t="s">
        <v>7725</v>
      </c>
      <c r="E1790" s="266"/>
      <c r="F1790" s="266"/>
      <c r="G1790" s="266" t="s">
        <v>6304</v>
      </c>
      <c r="H1790" s="266" t="s">
        <v>560</v>
      </c>
      <c r="I1790" s="266"/>
      <c r="J1790" s="266"/>
      <c r="K1790" s="1"/>
      <c r="L1790" s="1"/>
    </row>
    <row r="1791">
      <c r="A1791" s="266">
        <v>3200.0</v>
      </c>
      <c r="B1791" s="266"/>
      <c r="C1791" s="266">
        <v>5.0</v>
      </c>
      <c r="D1791" s="266" t="s">
        <v>7726</v>
      </c>
      <c r="E1791" s="266"/>
      <c r="F1791" s="266"/>
      <c r="G1791" s="266" t="s">
        <v>6304</v>
      </c>
      <c r="H1791" s="266" t="s">
        <v>555</v>
      </c>
      <c r="I1791" s="266"/>
      <c r="J1791" s="266"/>
      <c r="K1791" s="1"/>
      <c r="L1791" s="1"/>
    </row>
    <row r="1792">
      <c r="A1792" s="266">
        <v>3300.0</v>
      </c>
      <c r="B1792" s="266"/>
      <c r="C1792" s="266">
        <v>5.0</v>
      </c>
      <c r="D1792" s="266" t="s">
        <v>7727</v>
      </c>
      <c r="E1792" s="266"/>
      <c r="F1792" s="266"/>
      <c r="G1792" s="266" t="s">
        <v>6304</v>
      </c>
      <c r="H1792" s="266" t="s">
        <v>6731</v>
      </c>
      <c r="I1792" s="266" t="s">
        <v>6305</v>
      </c>
      <c r="J1792" s="266"/>
      <c r="K1792" s="1"/>
      <c r="L1792" s="1"/>
    </row>
    <row r="1793">
      <c r="A1793" s="266">
        <v>3400.0</v>
      </c>
      <c r="B1793" s="266"/>
      <c r="C1793" s="266">
        <v>5.0</v>
      </c>
      <c r="D1793" s="266" t="s">
        <v>7728</v>
      </c>
      <c r="E1793" s="266"/>
      <c r="F1793" s="266"/>
      <c r="G1793" s="266" t="s">
        <v>6304</v>
      </c>
      <c r="H1793" s="266" t="s">
        <v>552</v>
      </c>
      <c r="I1793" s="266"/>
      <c r="J1793" s="266"/>
      <c r="K1793" s="1"/>
      <c r="L1793" s="1"/>
    </row>
    <row r="1794">
      <c r="A1794" s="266">
        <v>3500.0</v>
      </c>
      <c r="B1794" s="266"/>
      <c r="C1794" s="266">
        <v>5.0</v>
      </c>
      <c r="D1794" s="266" t="s">
        <v>7569</v>
      </c>
      <c r="E1794" s="266" t="s">
        <v>6479</v>
      </c>
      <c r="F1794" s="266">
        <v>2.0</v>
      </c>
      <c r="G1794" s="266"/>
      <c r="H1794" s="266"/>
      <c r="I1794" s="266"/>
      <c r="J1794" s="267"/>
    </row>
    <row r="1795">
      <c r="A1795" s="266">
        <v>3600.0</v>
      </c>
      <c r="B1795" s="266"/>
      <c r="C1795" s="266">
        <v>10.0</v>
      </c>
      <c r="D1795" s="266" t="s">
        <v>7149</v>
      </c>
      <c r="E1795" s="266"/>
      <c r="F1795" s="266"/>
      <c r="G1795" s="266" t="s">
        <v>6304</v>
      </c>
      <c r="H1795" s="266" t="s">
        <v>560</v>
      </c>
      <c r="I1795" s="266"/>
      <c r="J1795" s="266"/>
      <c r="K1795" s="1"/>
      <c r="L1795" s="1"/>
    </row>
    <row r="1796">
      <c r="A1796" s="266">
        <v>3700.0</v>
      </c>
      <c r="B1796" s="266"/>
      <c r="C1796" s="266">
        <v>10.0</v>
      </c>
      <c r="D1796" s="266" t="s">
        <v>7570</v>
      </c>
      <c r="E1796" s="266"/>
      <c r="F1796" s="266"/>
      <c r="G1796" s="266" t="s">
        <v>6304</v>
      </c>
      <c r="H1796" s="266" t="s">
        <v>6731</v>
      </c>
      <c r="I1796" s="266" t="s">
        <v>6305</v>
      </c>
      <c r="J1796" s="266"/>
      <c r="K1796" s="1"/>
      <c r="L1796" s="1"/>
    </row>
    <row r="1797">
      <c r="A1797" s="266">
        <v>3800.0</v>
      </c>
      <c r="B1797" s="266"/>
      <c r="C1797" s="266">
        <v>10.0</v>
      </c>
      <c r="D1797" s="266" t="s">
        <v>7571</v>
      </c>
      <c r="E1797" s="266"/>
      <c r="F1797" s="266"/>
      <c r="G1797" s="266" t="s">
        <v>6304</v>
      </c>
      <c r="H1797" s="266" t="s">
        <v>552</v>
      </c>
      <c r="I1797" s="266"/>
      <c r="J1797" s="266"/>
      <c r="K1797" s="1"/>
      <c r="L1797" s="1"/>
    </row>
    <row r="1798">
      <c r="A1798" s="266">
        <v>3900.0</v>
      </c>
      <c r="B1798" s="266"/>
      <c r="C1798" s="266">
        <v>10.0</v>
      </c>
      <c r="D1798" s="266" t="s">
        <v>7572</v>
      </c>
      <c r="E1798" s="266"/>
      <c r="F1798" s="266"/>
      <c r="G1798" s="266" t="s">
        <v>6304</v>
      </c>
      <c r="H1798" s="266" t="s">
        <v>552</v>
      </c>
      <c r="I1798" s="266"/>
      <c r="J1798" s="266"/>
      <c r="K1798" s="1"/>
      <c r="L1798" s="1"/>
    </row>
    <row r="1799">
      <c r="A1799" s="266">
        <v>4000.0</v>
      </c>
      <c r="B1799" s="266"/>
      <c r="C1799" s="266">
        <v>5.0</v>
      </c>
      <c r="D1799" s="266" t="s">
        <v>7729</v>
      </c>
      <c r="E1799" s="266"/>
      <c r="F1799" s="266"/>
      <c r="G1799" s="266" t="s">
        <v>6304</v>
      </c>
      <c r="H1799" s="266" t="s">
        <v>552</v>
      </c>
      <c r="I1799" s="266"/>
      <c r="J1799" s="266"/>
      <c r="K1799" s="1"/>
      <c r="L1799" s="1"/>
    </row>
    <row r="1800">
      <c r="A1800" s="266">
        <v>4100.0</v>
      </c>
      <c r="B1800" s="266"/>
      <c r="C1800" s="266">
        <v>5.0</v>
      </c>
      <c r="D1800" s="266" t="s">
        <v>3839</v>
      </c>
      <c r="E1800" s="266"/>
      <c r="F1800" s="266"/>
      <c r="G1800" s="266" t="s">
        <v>6304</v>
      </c>
      <c r="H1800" s="266" t="s">
        <v>555</v>
      </c>
      <c r="I1800" s="266"/>
      <c r="J1800" s="266"/>
      <c r="K1800" s="1"/>
      <c r="L1800" s="1"/>
    </row>
    <row r="1801">
      <c r="A1801" s="266">
        <v>4200.0</v>
      </c>
      <c r="B1801" s="266"/>
      <c r="C1801" s="266">
        <v>5.0</v>
      </c>
      <c r="D1801" s="266" t="s">
        <v>7730</v>
      </c>
      <c r="E1801" s="266"/>
      <c r="F1801" s="266"/>
      <c r="G1801" s="266" t="s">
        <v>6304</v>
      </c>
      <c r="H1801" s="266" t="s">
        <v>551</v>
      </c>
      <c r="I1801" s="266"/>
      <c r="J1801" s="266"/>
      <c r="K1801" s="1"/>
      <c r="L1801" s="1"/>
    </row>
    <row r="1802">
      <c r="A1802" s="266">
        <v>4300.0</v>
      </c>
      <c r="B1802" s="266"/>
      <c r="C1802" s="266">
        <v>5.0</v>
      </c>
      <c r="D1802" s="266" t="s">
        <v>7731</v>
      </c>
      <c r="E1802" s="266"/>
      <c r="F1802" s="266"/>
      <c r="G1802" s="266" t="s">
        <v>6304</v>
      </c>
      <c r="H1802" s="266" t="s">
        <v>551</v>
      </c>
      <c r="I1802" s="266"/>
      <c r="J1802" s="266"/>
      <c r="K1802" s="1"/>
      <c r="L1802" s="1"/>
    </row>
    <row r="1803">
      <c r="A1803" s="266">
        <v>4400.0</v>
      </c>
      <c r="B1803" s="266"/>
      <c r="C1803" s="266">
        <v>5.0</v>
      </c>
      <c r="D1803" s="266" t="s">
        <v>7291</v>
      </c>
      <c r="E1803" s="266"/>
      <c r="F1803" s="266"/>
      <c r="G1803" s="266" t="s">
        <v>6304</v>
      </c>
      <c r="H1803" s="266" t="s">
        <v>552</v>
      </c>
      <c r="I1803" s="266"/>
      <c r="J1803" s="266"/>
      <c r="K1803" s="1"/>
      <c r="L1803" s="1"/>
    </row>
    <row r="1804">
      <c r="A1804" s="266">
        <v>4500.0</v>
      </c>
      <c r="B1804" s="266"/>
      <c r="C1804" s="266">
        <v>5.0</v>
      </c>
      <c r="D1804" s="266" t="s">
        <v>7732</v>
      </c>
      <c r="E1804" s="266"/>
      <c r="F1804" s="266"/>
      <c r="G1804" s="266" t="s">
        <v>6304</v>
      </c>
      <c r="H1804" s="266" t="s">
        <v>559</v>
      </c>
      <c r="I1804" s="266"/>
      <c r="J1804" s="266"/>
      <c r="K1804" s="1"/>
      <c r="L1804" s="1"/>
    </row>
    <row r="1805">
      <c r="A1805" s="266">
        <v>50.0</v>
      </c>
      <c r="B1805" s="266">
        <v>1.0</v>
      </c>
      <c r="C1805" s="266"/>
      <c r="D1805" s="266" t="s">
        <v>7733</v>
      </c>
      <c r="E1805" s="266"/>
      <c r="F1805" s="266"/>
      <c r="G1805" s="266"/>
      <c r="H1805" s="266"/>
      <c r="I1805" s="266"/>
      <c r="J1805" s="267"/>
    </row>
    <row r="1806">
      <c r="A1806" s="266">
        <v>100.0</v>
      </c>
      <c r="B1806" s="266"/>
      <c r="C1806" s="266">
        <v>5.0</v>
      </c>
      <c r="D1806" s="266" t="s">
        <v>7734</v>
      </c>
      <c r="E1806" s="266"/>
      <c r="F1806" s="266"/>
      <c r="G1806" s="266" t="s">
        <v>6304</v>
      </c>
      <c r="H1806" s="266" t="s">
        <v>551</v>
      </c>
      <c r="I1806" s="266"/>
      <c r="J1806" s="266"/>
      <c r="K1806" s="1"/>
      <c r="L1806" s="1"/>
    </row>
    <row r="1807">
      <c r="A1807" s="266">
        <v>200.0</v>
      </c>
      <c r="B1807" s="266"/>
      <c r="C1807" s="266">
        <v>5.0</v>
      </c>
      <c r="D1807" s="266" t="s">
        <v>7735</v>
      </c>
      <c r="E1807" s="266"/>
      <c r="F1807" s="266"/>
      <c r="G1807" s="266" t="s">
        <v>6304</v>
      </c>
      <c r="H1807" s="266" t="s">
        <v>551</v>
      </c>
      <c r="I1807" s="266"/>
      <c r="J1807" s="266"/>
      <c r="K1807" s="1"/>
      <c r="L1807" s="1"/>
    </row>
    <row r="1808">
      <c r="A1808" s="266">
        <v>300.0</v>
      </c>
      <c r="B1808" s="266"/>
      <c r="C1808" s="266">
        <v>5.0</v>
      </c>
      <c r="D1808" s="266" t="s">
        <v>7736</v>
      </c>
      <c r="E1808" s="266"/>
      <c r="F1808" s="266"/>
      <c r="G1808" s="266" t="s">
        <v>6304</v>
      </c>
      <c r="H1808" s="266" t="s">
        <v>7737</v>
      </c>
      <c r="I1808" s="266" t="s">
        <v>6305</v>
      </c>
      <c r="J1808" s="266"/>
      <c r="K1808" s="1"/>
      <c r="L1808" s="1"/>
    </row>
    <row r="1809">
      <c r="A1809" s="266">
        <v>400.0</v>
      </c>
      <c r="B1809" s="266"/>
      <c r="C1809" s="266">
        <v>5.0</v>
      </c>
      <c r="D1809" s="266" t="s">
        <v>7738</v>
      </c>
      <c r="E1809" s="266"/>
      <c r="F1809" s="266"/>
      <c r="G1809" s="266" t="s">
        <v>6304</v>
      </c>
      <c r="H1809" s="266" t="s">
        <v>7737</v>
      </c>
      <c r="I1809" s="266" t="s">
        <v>6305</v>
      </c>
      <c r="J1809" s="266"/>
      <c r="K1809" s="1"/>
      <c r="L1809" s="1"/>
    </row>
    <row r="1810">
      <c r="A1810" s="266">
        <v>500.0</v>
      </c>
      <c r="B1810" s="266"/>
      <c r="C1810" s="266">
        <v>5.0</v>
      </c>
      <c r="D1810" s="266" t="s">
        <v>7739</v>
      </c>
      <c r="E1810" s="266"/>
      <c r="F1810" s="266"/>
      <c r="G1810" s="266" t="s">
        <v>6304</v>
      </c>
      <c r="H1810" s="266" t="s">
        <v>551</v>
      </c>
      <c r="I1810" s="266"/>
      <c r="J1810" s="266"/>
      <c r="K1810" s="1"/>
      <c r="L1810" s="1"/>
    </row>
    <row r="1811">
      <c r="A1811" s="266">
        <v>50.0</v>
      </c>
      <c r="B1811" s="266">
        <v>1.0</v>
      </c>
      <c r="C1811" s="266"/>
      <c r="D1811" s="266" t="s">
        <v>7740</v>
      </c>
      <c r="E1811" s="266"/>
      <c r="F1811" s="266"/>
      <c r="G1811" s="266"/>
      <c r="H1811" s="266"/>
      <c r="I1811" s="266"/>
      <c r="J1811" s="267"/>
    </row>
    <row r="1812">
      <c r="A1812" s="266">
        <v>100.0</v>
      </c>
      <c r="B1812" s="266"/>
      <c r="C1812" s="266">
        <v>5.0</v>
      </c>
      <c r="D1812" s="266" t="s">
        <v>7741</v>
      </c>
      <c r="E1812" s="266"/>
      <c r="F1812" s="266"/>
      <c r="G1812" s="266" t="s">
        <v>6304</v>
      </c>
      <c r="H1812" s="266" t="s">
        <v>551</v>
      </c>
      <c r="I1812" s="266"/>
      <c r="J1812" s="266"/>
      <c r="K1812" s="1"/>
      <c r="L1812" s="1"/>
    </row>
    <row r="1813">
      <c r="A1813" s="266">
        <v>200.0</v>
      </c>
      <c r="B1813" s="266"/>
      <c r="C1813" s="266">
        <v>5.0</v>
      </c>
      <c r="D1813" s="266" t="s">
        <v>7742</v>
      </c>
      <c r="E1813" s="266"/>
      <c r="F1813" s="266"/>
      <c r="G1813" s="266" t="s">
        <v>6304</v>
      </c>
      <c r="H1813" s="266" t="s">
        <v>551</v>
      </c>
      <c r="I1813" s="266"/>
      <c r="J1813" s="266"/>
      <c r="K1813" s="1"/>
      <c r="L1813" s="1"/>
    </row>
    <row r="1814">
      <c r="A1814" s="266">
        <v>300.0</v>
      </c>
      <c r="B1814" s="266"/>
      <c r="C1814" s="266">
        <v>5.0</v>
      </c>
      <c r="D1814" s="266" t="s">
        <v>7743</v>
      </c>
      <c r="E1814" s="266"/>
      <c r="F1814" s="266"/>
      <c r="G1814" s="266" t="s">
        <v>6304</v>
      </c>
      <c r="H1814" s="266" t="s">
        <v>552</v>
      </c>
      <c r="I1814" s="266"/>
      <c r="J1814" s="266"/>
      <c r="K1814" s="1"/>
      <c r="L1814" s="1"/>
    </row>
    <row r="1815">
      <c r="A1815" s="266">
        <v>400.0</v>
      </c>
      <c r="B1815" s="266"/>
      <c r="C1815" s="266">
        <v>5.0</v>
      </c>
      <c r="D1815" s="266" t="s">
        <v>7744</v>
      </c>
      <c r="E1815" s="266"/>
      <c r="F1815" s="266"/>
      <c r="G1815" s="266" t="s">
        <v>6304</v>
      </c>
      <c r="H1815" s="266" t="s">
        <v>551</v>
      </c>
      <c r="I1815" s="266"/>
      <c r="J1815" s="266"/>
      <c r="K1815" s="1"/>
      <c r="L1815" s="1"/>
    </row>
    <row r="1816">
      <c r="A1816" s="266">
        <v>500.0</v>
      </c>
      <c r="B1816" s="266"/>
      <c r="C1816" s="266">
        <v>5.0</v>
      </c>
      <c r="D1816" s="266" t="s">
        <v>7745</v>
      </c>
      <c r="E1816" s="266"/>
      <c r="F1816" s="266"/>
      <c r="G1816" s="266" t="s">
        <v>6304</v>
      </c>
      <c r="H1816" s="266" t="s">
        <v>551</v>
      </c>
      <c r="I1816" s="266"/>
      <c r="J1816" s="266"/>
      <c r="K1816" s="1"/>
      <c r="L1816" s="1"/>
    </row>
    <row r="1817">
      <c r="A1817" s="266">
        <v>600.0</v>
      </c>
      <c r="B1817" s="266"/>
      <c r="C1817" s="266">
        <v>5.0</v>
      </c>
      <c r="D1817" s="266" t="s">
        <v>7746</v>
      </c>
      <c r="E1817" s="266"/>
      <c r="F1817" s="266"/>
      <c r="G1817" s="266" t="s">
        <v>6304</v>
      </c>
      <c r="H1817" s="266" t="s">
        <v>552</v>
      </c>
      <c r="I1817" s="266"/>
      <c r="J1817" s="266"/>
      <c r="K1817" s="1"/>
      <c r="L1817" s="1"/>
    </row>
    <row r="1818">
      <c r="A1818" s="266">
        <v>700.0</v>
      </c>
      <c r="B1818" s="266"/>
      <c r="C1818" s="266">
        <v>5.0</v>
      </c>
      <c r="D1818" s="266" t="s">
        <v>7747</v>
      </c>
      <c r="E1818" s="266"/>
      <c r="F1818" s="266"/>
      <c r="G1818" s="266" t="s">
        <v>6304</v>
      </c>
      <c r="H1818" s="266" t="s">
        <v>7</v>
      </c>
      <c r="I1818" s="266" t="s">
        <v>6305</v>
      </c>
      <c r="J1818" s="266"/>
      <c r="K1818" s="1"/>
      <c r="L1818" s="1"/>
    </row>
    <row r="1819">
      <c r="A1819" s="266">
        <v>800.0</v>
      </c>
      <c r="B1819" s="266"/>
      <c r="C1819" s="266">
        <v>5.0</v>
      </c>
      <c r="D1819" s="266" t="s">
        <v>7748</v>
      </c>
      <c r="E1819" s="266"/>
      <c r="F1819" s="266"/>
      <c r="G1819" s="266" t="s">
        <v>6304</v>
      </c>
      <c r="H1819" s="266" t="s">
        <v>7</v>
      </c>
      <c r="I1819" s="266" t="s">
        <v>6305</v>
      </c>
      <c r="J1819" s="266"/>
      <c r="K1819" s="1"/>
      <c r="L1819" s="1"/>
    </row>
    <row r="1820">
      <c r="A1820" s="266">
        <v>900.0</v>
      </c>
      <c r="B1820" s="266"/>
      <c r="C1820" s="266">
        <v>5.0</v>
      </c>
      <c r="D1820" s="266" t="s">
        <v>7749</v>
      </c>
      <c r="E1820" s="266"/>
      <c r="F1820" s="266"/>
      <c r="G1820" s="266" t="s">
        <v>6304</v>
      </c>
      <c r="H1820" s="266" t="s">
        <v>7</v>
      </c>
      <c r="I1820" s="266" t="s">
        <v>6305</v>
      </c>
      <c r="J1820" s="266"/>
      <c r="K1820" s="1"/>
      <c r="L1820" s="1"/>
    </row>
    <row r="1821">
      <c r="A1821" s="266">
        <v>1000.0</v>
      </c>
      <c r="B1821" s="266"/>
      <c r="C1821" s="266">
        <v>5.0</v>
      </c>
      <c r="D1821" s="266" t="s">
        <v>7750</v>
      </c>
      <c r="E1821" s="266"/>
      <c r="F1821" s="266"/>
      <c r="G1821" s="266" t="s">
        <v>6304</v>
      </c>
      <c r="H1821" s="266" t="s">
        <v>7</v>
      </c>
      <c r="I1821" s="266" t="s">
        <v>6305</v>
      </c>
      <c r="J1821" s="266"/>
      <c r="K1821" s="1"/>
      <c r="L1821" s="1"/>
    </row>
    <row r="1822">
      <c r="A1822" s="266">
        <v>1100.0</v>
      </c>
      <c r="B1822" s="266"/>
      <c r="C1822" s="266">
        <v>5.0</v>
      </c>
      <c r="D1822" s="266" t="s">
        <v>7751</v>
      </c>
      <c r="E1822" s="266"/>
      <c r="F1822" s="266"/>
      <c r="G1822" s="266" t="s">
        <v>6304</v>
      </c>
      <c r="H1822" s="266" t="s">
        <v>7</v>
      </c>
      <c r="I1822" s="266" t="s">
        <v>6305</v>
      </c>
      <c r="J1822" s="266"/>
      <c r="K1822" s="1"/>
      <c r="L1822" s="1"/>
    </row>
    <row r="1823">
      <c r="A1823" s="266">
        <v>1200.0</v>
      </c>
      <c r="B1823" s="266"/>
      <c r="C1823" s="266">
        <v>5.0</v>
      </c>
      <c r="D1823" s="266" t="s">
        <v>6306</v>
      </c>
      <c r="E1823" s="266"/>
      <c r="F1823" s="266"/>
      <c r="G1823" s="266" t="s">
        <v>6304</v>
      </c>
      <c r="H1823" s="266" t="s">
        <v>17</v>
      </c>
      <c r="I1823" s="266"/>
      <c r="J1823" s="266"/>
      <c r="K1823" s="1"/>
      <c r="L1823" s="1"/>
    </row>
    <row r="1824">
      <c r="A1824" s="266">
        <v>50.0</v>
      </c>
      <c r="B1824" s="266">
        <v>1.0</v>
      </c>
      <c r="C1824" s="266"/>
      <c r="D1824" s="266" t="s">
        <v>7752</v>
      </c>
      <c r="E1824" s="266"/>
      <c r="F1824" s="266"/>
      <c r="G1824" s="266"/>
      <c r="H1824" s="266"/>
      <c r="I1824" s="266"/>
      <c r="J1824" s="267"/>
    </row>
    <row r="1825">
      <c r="A1825" s="266">
        <v>100.0</v>
      </c>
      <c r="B1825" s="266"/>
      <c r="C1825" s="266">
        <v>5.0</v>
      </c>
      <c r="D1825" s="266" t="s">
        <v>7753</v>
      </c>
      <c r="E1825" s="266"/>
      <c r="F1825" s="266"/>
      <c r="G1825" s="266"/>
      <c r="H1825" s="266"/>
      <c r="I1825" s="266"/>
      <c r="J1825" s="267"/>
    </row>
    <row r="1826">
      <c r="A1826" s="266">
        <v>200.0</v>
      </c>
      <c r="B1826" s="266"/>
      <c r="C1826" s="266">
        <v>10.0</v>
      </c>
      <c r="D1826" s="266" t="s">
        <v>7558</v>
      </c>
      <c r="E1826" s="266"/>
      <c r="F1826" s="266"/>
      <c r="G1826" s="266" t="s">
        <v>6304</v>
      </c>
      <c r="H1826" s="266" t="s">
        <v>3806</v>
      </c>
      <c r="I1826" s="266"/>
      <c r="J1826" s="266"/>
      <c r="K1826" s="1"/>
      <c r="L1826" s="1"/>
    </row>
    <row r="1827">
      <c r="A1827" s="266">
        <v>300.0</v>
      </c>
      <c r="B1827" s="266"/>
      <c r="C1827" s="266">
        <v>10.0</v>
      </c>
      <c r="D1827" s="266" t="s">
        <v>7559</v>
      </c>
      <c r="E1827" s="266"/>
      <c r="F1827" s="266"/>
      <c r="G1827" s="266" t="s">
        <v>6304</v>
      </c>
      <c r="H1827" s="266" t="s">
        <v>3806</v>
      </c>
      <c r="I1827" s="266"/>
      <c r="J1827" s="266"/>
      <c r="K1827" s="1"/>
      <c r="L1827" s="1"/>
    </row>
    <row r="1828">
      <c r="A1828" s="266">
        <v>400.0</v>
      </c>
      <c r="B1828" s="266"/>
      <c r="C1828" s="266">
        <v>10.0</v>
      </c>
      <c r="D1828" s="266" t="s">
        <v>7560</v>
      </c>
      <c r="E1828" s="266"/>
      <c r="F1828" s="266"/>
      <c r="G1828" s="266" t="s">
        <v>6304</v>
      </c>
      <c r="H1828" s="266" t="s">
        <v>3806</v>
      </c>
      <c r="I1828" s="266"/>
      <c r="J1828" s="266"/>
      <c r="K1828" s="1"/>
      <c r="L1828" s="1"/>
    </row>
    <row r="1829">
      <c r="A1829" s="266">
        <v>500.0</v>
      </c>
      <c r="B1829" s="266"/>
      <c r="C1829" s="266">
        <v>5.0</v>
      </c>
      <c r="D1829" s="266" t="s">
        <v>7754</v>
      </c>
      <c r="E1829" s="266"/>
      <c r="F1829" s="266"/>
      <c r="G1829" s="266" t="s">
        <v>6304</v>
      </c>
      <c r="H1829" s="266" t="s">
        <v>552</v>
      </c>
      <c r="I1829" s="266"/>
      <c r="J1829" s="266"/>
      <c r="K1829" s="1"/>
      <c r="L1829" s="1"/>
    </row>
    <row r="1830">
      <c r="A1830" s="266">
        <v>600.0</v>
      </c>
      <c r="B1830" s="266"/>
      <c r="C1830" s="266">
        <v>5.0</v>
      </c>
      <c r="D1830" s="266" t="s">
        <v>7755</v>
      </c>
      <c r="E1830" s="266"/>
      <c r="F1830" s="266"/>
      <c r="G1830" s="266" t="s">
        <v>6304</v>
      </c>
      <c r="H1830" s="266" t="s">
        <v>560</v>
      </c>
      <c r="I1830" s="266"/>
      <c r="J1830" s="266"/>
      <c r="K1830" s="1"/>
      <c r="L1830" s="1"/>
    </row>
    <row r="1831">
      <c r="A1831" s="266">
        <v>700.0</v>
      </c>
      <c r="B1831" s="266"/>
      <c r="C1831" s="266">
        <v>5.0</v>
      </c>
      <c r="D1831" s="266" t="s">
        <v>7756</v>
      </c>
      <c r="E1831" s="266"/>
      <c r="F1831" s="266"/>
      <c r="G1831" s="266" t="s">
        <v>6304</v>
      </c>
      <c r="H1831" s="266" t="s">
        <v>6591</v>
      </c>
      <c r="I1831" s="266" t="s">
        <v>6305</v>
      </c>
      <c r="J1831" s="266"/>
      <c r="K1831" s="1"/>
      <c r="L1831" s="1"/>
    </row>
    <row r="1832">
      <c r="A1832" s="266">
        <v>800.0</v>
      </c>
      <c r="B1832" s="266"/>
      <c r="C1832" s="266">
        <v>5.0</v>
      </c>
      <c r="D1832" s="266" t="s">
        <v>7757</v>
      </c>
      <c r="E1832" s="266"/>
      <c r="F1832" s="266"/>
      <c r="G1832" s="266" t="s">
        <v>6304</v>
      </c>
      <c r="H1832" s="266" t="s">
        <v>7369</v>
      </c>
      <c r="I1832" s="266"/>
      <c r="J1832" s="266"/>
      <c r="K1832" s="1"/>
      <c r="L1832" s="1"/>
    </row>
    <row r="1833">
      <c r="A1833" s="266">
        <v>50.0</v>
      </c>
      <c r="B1833" s="266">
        <v>1.0</v>
      </c>
      <c r="C1833" s="266"/>
      <c r="D1833" s="266" t="s">
        <v>7758</v>
      </c>
      <c r="E1833" s="266"/>
      <c r="F1833" s="266"/>
      <c r="G1833" s="266"/>
      <c r="H1833" s="266"/>
      <c r="I1833" s="266"/>
      <c r="J1833" s="267"/>
    </row>
    <row r="1834">
      <c r="A1834" s="266">
        <v>100.0</v>
      </c>
      <c r="B1834" s="266"/>
      <c r="C1834" s="266">
        <v>5.0</v>
      </c>
      <c r="D1834" s="266" t="s">
        <v>7759</v>
      </c>
      <c r="E1834" s="266"/>
      <c r="F1834" s="266"/>
      <c r="G1834" s="266" t="s">
        <v>6304</v>
      </c>
      <c r="H1834" s="266" t="s">
        <v>551</v>
      </c>
      <c r="I1834" s="266"/>
      <c r="J1834" s="266"/>
      <c r="K1834" s="1"/>
      <c r="L1834" s="1"/>
    </row>
    <row r="1835">
      <c r="A1835" s="266">
        <v>200.0</v>
      </c>
      <c r="B1835" s="266"/>
      <c r="C1835" s="266">
        <v>5.0</v>
      </c>
      <c r="D1835" s="266" t="s">
        <v>7760</v>
      </c>
      <c r="E1835" s="266"/>
      <c r="F1835" s="266"/>
      <c r="G1835" s="266"/>
      <c r="H1835" s="266"/>
      <c r="I1835" s="266"/>
      <c r="J1835" s="267"/>
    </row>
    <row r="1836">
      <c r="A1836" s="266">
        <v>300.0</v>
      </c>
      <c r="B1836" s="266"/>
      <c r="C1836" s="266">
        <v>10.0</v>
      </c>
      <c r="D1836" s="266" t="s">
        <v>7761</v>
      </c>
      <c r="E1836" s="266"/>
      <c r="F1836" s="266"/>
      <c r="G1836" s="266"/>
      <c r="H1836" s="266"/>
      <c r="I1836" s="266"/>
      <c r="J1836" s="267"/>
    </row>
    <row r="1837">
      <c r="A1837" s="266">
        <v>400.0</v>
      </c>
      <c r="B1837" s="266"/>
      <c r="C1837" s="266">
        <v>15.0</v>
      </c>
      <c r="D1837" s="266" t="s">
        <v>7762</v>
      </c>
      <c r="E1837" s="266"/>
      <c r="F1837" s="266"/>
      <c r="G1837" s="266" t="s">
        <v>6304</v>
      </c>
      <c r="H1837" s="266" t="s">
        <v>551</v>
      </c>
      <c r="I1837" s="266"/>
      <c r="J1837" s="266"/>
      <c r="K1837" s="1"/>
      <c r="L1837" s="1"/>
    </row>
    <row r="1838">
      <c r="A1838" s="266">
        <v>500.0</v>
      </c>
      <c r="B1838" s="266"/>
      <c r="C1838" s="266">
        <v>15.0</v>
      </c>
      <c r="D1838" s="266" t="s">
        <v>7763</v>
      </c>
      <c r="E1838" s="266"/>
      <c r="F1838" s="266"/>
      <c r="G1838" s="266" t="s">
        <v>6304</v>
      </c>
      <c r="H1838" s="266" t="s">
        <v>552</v>
      </c>
      <c r="I1838" s="266"/>
      <c r="J1838" s="266"/>
      <c r="K1838" s="1"/>
      <c r="L1838" s="1"/>
    </row>
    <row r="1839">
      <c r="A1839" s="266">
        <v>600.0</v>
      </c>
      <c r="B1839" s="266"/>
      <c r="C1839" s="266">
        <v>10.0</v>
      </c>
      <c r="D1839" s="266" t="s">
        <v>7764</v>
      </c>
      <c r="E1839" s="266"/>
      <c r="F1839" s="266"/>
      <c r="G1839" s="266" t="s">
        <v>6304</v>
      </c>
      <c r="H1839" s="266" t="s">
        <v>552</v>
      </c>
      <c r="I1839" s="266"/>
      <c r="J1839" s="266"/>
      <c r="K1839" s="1"/>
      <c r="L1839" s="1"/>
    </row>
    <row r="1840">
      <c r="A1840" s="266">
        <v>700.0</v>
      </c>
      <c r="B1840" s="266"/>
      <c r="C1840" s="266">
        <v>5.0</v>
      </c>
      <c r="D1840" s="266" t="s">
        <v>7765</v>
      </c>
      <c r="E1840" s="266"/>
      <c r="F1840" s="266"/>
      <c r="G1840" s="266" t="s">
        <v>6304</v>
      </c>
      <c r="H1840" s="266" t="s">
        <v>551</v>
      </c>
      <c r="I1840" s="266"/>
      <c r="J1840" s="266"/>
      <c r="K1840" s="1"/>
      <c r="L1840" s="1"/>
    </row>
    <row r="1841">
      <c r="A1841" s="266">
        <v>800.0</v>
      </c>
      <c r="B1841" s="266"/>
      <c r="C1841" s="266">
        <v>5.0</v>
      </c>
      <c r="D1841" s="266" t="s">
        <v>7766</v>
      </c>
      <c r="E1841" s="266"/>
      <c r="F1841" s="266"/>
      <c r="G1841" s="266" t="s">
        <v>6304</v>
      </c>
      <c r="H1841" s="266" t="s">
        <v>555</v>
      </c>
      <c r="I1841" s="266"/>
      <c r="J1841" s="266"/>
      <c r="K1841" s="1"/>
      <c r="L1841" s="1"/>
    </row>
    <row r="1842">
      <c r="A1842" s="266">
        <v>900.0</v>
      </c>
      <c r="B1842" s="266"/>
      <c r="C1842" s="266">
        <v>5.0</v>
      </c>
      <c r="D1842" s="266" t="s">
        <v>7767</v>
      </c>
      <c r="E1842" s="266"/>
      <c r="F1842" s="266"/>
      <c r="G1842" s="266" t="s">
        <v>6304</v>
      </c>
      <c r="H1842" s="266" t="s">
        <v>555</v>
      </c>
      <c r="I1842" s="266"/>
      <c r="J1842" s="266"/>
      <c r="K1842" s="1"/>
      <c r="L1842" s="1"/>
    </row>
    <row r="1843">
      <c r="A1843" s="266">
        <v>1000.0</v>
      </c>
      <c r="B1843" s="266"/>
      <c r="C1843" s="266">
        <v>5.0</v>
      </c>
      <c r="D1843" s="266" t="s">
        <v>7768</v>
      </c>
      <c r="E1843" s="266"/>
      <c r="F1843" s="266"/>
      <c r="G1843" s="266" t="s">
        <v>6304</v>
      </c>
      <c r="H1843" s="266" t="s">
        <v>5245</v>
      </c>
      <c r="I1843" s="266" t="s">
        <v>6305</v>
      </c>
      <c r="J1843" s="266"/>
      <c r="K1843" s="1"/>
      <c r="L1843" s="1"/>
    </row>
    <row r="1844">
      <c r="A1844" s="266">
        <v>1100.0</v>
      </c>
      <c r="B1844" s="266"/>
      <c r="C1844" s="266">
        <v>5.0</v>
      </c>
      <c r="D1844" s="266" t="s">
        <v>7769</v>
      </c>
      <c r="E1844" s="266"/>
      <c r="F1844" s="266"/>
      <c r="G1844" s="266" t="s">
        <v>6304</v>
      </c>
      <c r="H1844" s="266" t="s">
        <v>5245</v>
      </c>
      <c r="I1844" s="266" t="s">
        <v>6305</v>
      </c>
      <c r="J1844" s="266"/>
      <c r="K1844" s="1"/>
      <c r="L1844" s="1"/>
    </row>
    <row r="1845">
      <c r="A1845" s="266">
        <v>1200.0</v>
      </c>
      <c r="B1845" s="266"/>
      <c r="C1845" s="266">
        <v>5.0</v>
      </c>
      <c r="D1845" s="266" t="s">
        <v>7770</v>
      </c>
      <c r="E1845" s="266"/>
      <c r="F1845" s="266"/>
      <c r="G1845" s="266" t="s">
        <v>6304</v>
      </c>
      <c r="H1845" s="266" t="s">
        <v>560</v>
      </c>
      <c r="I1845" s="266"/>
      <c r="J1845" s="266"/>
      <c r="K1845" s="1"/>
      <c r="L1845" s="1"/>
    </row>
    <row r="1846">
      <c r="A1846" s="266">
        <v>1300.0</v>
      </c>
      <c r="B1846" s="266"/>
      <c r="C1846" s="266">
        <v>5.0</v>
      </c>
      <c r="D1846" s="266" t="s">
        <v>7771</v>
      </c>
      <c r="E1846" s="266"/>
      <c r="F1846" s="266"/>
      <c r="G1846" s="266" t="s">
        <v>6304</v>
      </c>
      <c r="H1846" s="266" t="s">
        <v>552</v>
      </c>
      <c r="I1846" s="266"/>
      <c r="J1846" s="266"/>
      <c r="K1846" s="1"/>
      <c r="L1846" s="1"/>
    </row>
    <row r="1847">
      <c r="A1847" s="266">
        <v>1400.0</v>
      </c>
      <c r="B1847" s="266"/>
      <c r="C1847" s="266">
        <v>5.0</v>
      </c>
      <c r="D1847" s="266" t="s">
        <v>7772</v>
      </c>
      <c r="E1847" s="266"/>
      <c r="F1847" s="266"/>
      <c r="G1847" s="266" t="s">
        <v>6304</v>
      </c>
      <c r="H1847" s="266" t="s">
        <v>5245</v>
      </c>
      <c r="I1847" s="266" t="s">
        <v>6305</v>
      </c>
      <c r="J1847" s="266"/>
      <c r="K1847" s="1"/>
      <c r="L1847" s="1"/>
    </row>
    <row r="1848">
      <c r="A1848" s="266">
        <v>1500.0</v>
      </c>
      <c r="B1848" s="266"/>
      <c r="C1848" s="266">
        <v>5.0</v>
      </c>
      <c r="D1848" s="266" t="s">
        <v>7773</v>
      </c>
      <c r="E1848" s="266"/>
      <c r="F1848" s="266"/>
      <c r="G1848" s="266" t="s">
        <v>6304</v>
      </c>
      <c r="H1848" s="266" t="s">
        <v>5245</v>
      </c>
      <c r="I1848" s="266" t="s">
        <v>6305</v>
      </c>
      <c r="J1848" s="266"/>
      <c r="K1848" s="1"/>
      <c r="L1848" s="1"/>
    </row>
    <row r="1849">
      <c r="A1849" s="266">
        <v>1600.0</v>
      </c>
      <c r="B1849" s="266"/>
      <c r="C1849" s="266">
        <v>5.0</v>
      </c>
      <c r="D1849" s="266" t="s">
        <v>7774</v>
      </c>
      <c r="E1849" s="266"/>
      <c r="F1849" s="266"/>
      <c r="G1849" s="266" t="s">
        <v>6304</v>
      </c>
      <c r="H1849" s="266" t="s">
        <v>552</v>
      </c>
      <c r="I1849" s="266"/>
      <c r="J1849" s="266"/>
      <c r="K1849" s="1"/>
      <c r="L1849" s="1"/>
    </row>
    <row r="1850">
      <c r="A1850" s="266">
        <v>1700.0</v>
      </c>
      <c r="B1850" s="266"/>
      <c r="C1850" s="266">
        <v>5.0</v>
      </c>
      <c r="D1850" s="266" t="s">
        <v>7775</v>
      </c>
      <c r="E1850" s="266"/>
      <c r="F1850" s="266"/>
      <c r="G1850" s="266" t="s">
        <v>6304</v>
      </c>
      <c r="H1850" s="266" t="s">
        <v>555</v>
      </c>
      <c r="I1850" s="266"/>
      <c r="J1850" s="266"/>
      <c r="K1850" s="1"/>
      <c r="L1850" s="1"/>
    </row>
    <row r="1851">
      <c r="A1851" s="266">
        <v>1800.0</v>
      </c>
      <c r="B1851" s="266"/>
      <c r="C1851" s="266">
        <v>5.0</v>
      </c>
      <c r="D1851" s="266" t="s">
        <v>7776</v>
      </c>
      <c r="E1851" s="266"/>
      <c r="F1851" s="266"/>
      <c r="G1851" s="266" t="s">
        <v>6304</v>
      </c>
      <c r="H1851" s="266" t="s">
        <v>551</v>
      </c>
      <c r="I1851" s="266"/>
      <c r="J1851" s="266"/>
      <c r="K1851" s="1"/>
      <c r="L1851" s="1"/>
    </row>
    <row r="1852">
      <c r="A1852" s="266">
        <v>1900.0</v>
      </c>
      <c r="B1852" s="266"/>
      <c r="C1852" s="266">
        <v>5.0</v>
      </c>
      <c r="D1852" s="266" t="s">
        <v>7777</v>
      </c>
      <c r="E1852" s="266"/>
      <c r="F1852" s="266"/>
      <c r="G1852" s="266" t="s">
        <v>6304</v>
      </c>
      <c r="H1852" s="266" t="s">
        <v>3806</v>
      </c>
      <c r="I1852" s="266"/>
      <c r="J1852" s="266"/>
      <c r="K1852" s="1"/>
      <c r="L1852" s="1"/>
    </row>
    <row r="1853">
      <c r="A1853" s="266">
        <v>2000.0</v>
      </c>
      <c r="B1853" s="266"/>
      <c r="C1853" s="266">
        <v>5.0</v>
      </c>
      <c r="D1853" s="266" t="s">
        <v>7778</v>
      </c>
      <c r="E1853" s="266"/>
      <c r="F1853" s="266"/>
      <c r="G1853" s="266" t="s">
        <v>6304</v>
      </c>
      <c r="H1853" s="266" t="s">
        <v>551</v>
      </c>
      <c r="I1853" s="266"/>
      <c r="J1853" s="266"/>
      <c r="K1853" s="1"/>
      <c r="L1853" s="1"/>
    </row>
    <row r="1854">
      <c r="A1854" s="266">
        <v>2100.0</v>
      </c>
      <c r="B1854" s="266"/>
      <c r="C1854" s="266">
        <v>5.0</v>
      </c>
      <c r="D1854" s="266" t="s">
        <v>7779</v>
      </c>
      <c r="E1854" s="266"/>
      <c r="F1854" s="266"/>
      <c r="G1854" s="266" t="s">
        <v>6304</v>
      </c>
      <c r="H1854" s="266" t="s">
        <v>6731</v>
      </c>
      <c r="I1854" s="266" t="s">
        <v>6305</v>
      </c>
      <c r="J1854" s="266"/>
      <c r="K1854" s="1"/>
      <c r="L1854" s="1"/>
    </row>
    <row r="1855">
      <c r="A1855" s="266">
        <v>2200.0</v>
      </c>
      <c r="B1855" s="266"/>
      <c r="C1855" s="266">
        <v>5.0</v>
      </c>
      <c r="D1855" s="266" t="s">
        <v>7780</v>
      </c>
      <c r="E1855" s="266"/>
      <c r="F1855" s="266"/>
      <c r="G1855" s="266" t="s">
        <v>6304</v>
      </c>
      <c r="H1855" s="266" t="s">
        <v>555</v>
      </c>
      <c r="I1855" s="266"/>
      <c r="J1855" s="266"/>
      <c r="K1855" s="1"/>
      <c r="L1855" s="1"/>
    </row>
    <row r="1856">
      <c r="A1856" s="266">
        <v>2300.0</v>
      </c>
      <c r="B1856" s="266"/>
      <c r="C1856" s="266">
        <v>5.0</v>
      </c>
      <c r="D1856" s="266" t="s">
        <v>7781</v>
      </c>
      <c r="E1856" s="266"/>
      <c r="F1856" s="266"/>
      <c r="G1856" s="266" t="s">
        <v>6304</v>
      </c>
      <c r="H1856" s="266" t="s">
        <v>6731</v>
      </c>
      <c r="I1856" s="266" t="s">
        <v>6305</v>
      </c>
      <c r="J1856" s="266"/>
      <c r="K1856" s="1"/>
      <c r="L1856" s="1"/>
    </row>
    <row r="1857">
      <c r="A1857" s="266">
        <v>2400.0</v>
      </c>
      <c r="B1857" s="266"/>
      <c r="C1857" s="266">
        <v>5.0</v>
      </c>
      <c r="D1857" s="266" t="s">
        <v>7782</v>
      </c>
      <c r="E1857" s="266"/>
      <c r="F1857" s="266"/>
      <c r="G1857" s="266" t="s">
        <v>6304</v>
      </c>
      <c r="H1857" s="266" t="s">
        <v>555</v>
      </c>
      <c r="I1857" s="266"/>
      <c r="J1857" s="266"/>
      <c r="K1857" s="1"/>
      <c r="L1857" s="1"/>
    </row>
    <row r="1858">
      <c r="A1858" s="266">
        <v>2500.0</v>
      </c>
      <c r="B1858" s="266"/>
      <c r="C1858" s="266">
        <v>5.0</v>
      </c>
      <c r="D1858" s="266" t="s">
        <v>7783</v>
      </c>
      <c r="E1858" s="266"/>
      <c r="F1858" s="266"/>
      <c r="G1858" s="266" t="s">
        <v>6304</v>
      </c>
      <c r="H1858" s="266" t="s">
        <v>6731</v>
      </c>
      <c r="I1858" s="266" t="s">
        <v>6305</v>
      </c>
      <c r="J1858" s="266"/>
      <c r="K1858" s="1"/>
      <c r="L1858" s="1"/>
    </row>
    <row r="1859">
      <c r="A1859" s="266">
        <v>2600.0</v>
      </c>
      <c r="B1859" s="266"/>
      <c r="C1859" s="266">
        <v>5.0</v>
      </c>
      <c r="D1859" s="266" t="s">
        <v>7784</v>
      </c>
      <c r="E1859" s="266"/>
      <c r="F1859" s="266"/>
      <c r="G1859" s="266" t="s">
        <v>6304</v>
      </c>
      <c r="H1859" s="266" t="s">
        <v>555</v>
      </c>
      <c r="I1859" s="266"/>
      <c r="J1859" s="266"/>
      <c r="K1859" s="1"/>
      <c r="L1859" s="1"/>
    </row>
    <row r="1860">
      <c r="A1860" s="266">
        <v>2700.0</v>
      </c>
      <c r="B1860" s="266"/>
      <c r="C1860" s="266">
        <v>5.0</v>
      </c>
      <c r="D1860" s="266" t="s">
        <v>7785</v>
      </c>
      <c r="E1860" s="266"/>
      <c r="F1860" s="266"/>
      <c r="G1860" s="266" t="s">
        <v>6304</v>
      </c>
      <c r="H1860" s="266" t="s">
        <v>6731</v>
      </c>
      <c r="I1860" s="266" t="s">
        <v>6305</v>
      </c>
      <c r="J1860" s="266"/>
      <c r="K1860" s="1"/>
      <c r="L1860" s="1"/>
    </row>
    <row r="1861">
      <c r="A1861" s="266">
        <v>2800.0</v>
      </c>
      <c r="B1861" s="266"/>
      <c r="C1861" s="266">
        <v>5.0</v>
      </c>
      <c r="D1861" s="266" t="s">
        <v>7786</v>
      </c>
      <c r="E1861" s="266"/>
      <c r="F1861" s="266"/>
      <c r="G1861" s="266" t="s">
        <v>6304</v>
      </c>
      <c r="H1861" s="266" t="s">
        <v>555</v>
      </c>
      <c r="I1861" s="266"/>
      <c r="J1861" s="266"/>
      <c r="K1861" s="1"/>
      <c r="L1861" s="1"/>
    </row>
    <row r="1862">
      <c r="A1862" s="266">
        <v>2900.0</v>
      </c>
      <c r="B1862" s="266"/>
      <c r="C1862" s="266">
        <v>5.0</v>
      </c>
      <c r="D1862" s="266" t="s">
        <v>7787</v>
      </c>
      <c r="E1862" s="266"/>
      <c r="F1862" s="266"/>
      <c r="G1862" s="266" t="s">
        <v>6304</v>
      </c>
      <c r="H1862" s="266" t="s">
        <v>6731</v>
      </c>
      <c r="I1862" s="266" t="s">
        <v>6305</v>
      </c>
      <c r="J1862" s="266"/>
      <c r="K1862" s="1"/>
      <c r="L1862" s="1"/>
    </row>
    <row r="1863">
      <c r="A1863" s="266">
        <v>3000.0</v>
      </c>
      <c r="B1863" s="266"/>
      <c r="C1863" s="266">
        <v>5.0</v>
      </c>
      <c r="D1863" s="266" t="s">
        <v>7788</v>
      </c>
      <c r="E1863" s="266"/>
      <c r="F1863" s="266"/>
      <c r="G1863" s="266" t="s">
        <v>6304</v>
      </c>
      <c r="H1863" s="266" t="s">
        <v>555</v>
      </c>
      <c r="I1863" s="266"/>
      <c r="J1863" s="266"/>
      <c r="K1863" s="1"/>
      <c r="L1863" s="1"/>
    </row>
    <row r="1864">
      <c r="A1864" s="266">
        <v>3100.0</v>
      </c>
      <c r="B1864" s="266"/>
      <c r="C1864" s="266">
        <v>5.0</v>
      </c>
      <c r="D1864" s="266" t="s">
        <v>7789</v>
      </c>
      <c r="E1864" s="266"/>
      <c r="F1864" s="266"/>
      <c r="G1864" s="266" t="s">
        <v>6304</v>
      </c>
      <c r="H1864" s="266" t="s">
        <v>6580</v>
      </c>
      <c r="I1864" s="266" t="s">
        <v>6305</v>
      </c>
      <c r="J1864" s="266"/>
      <c r="K1864" s="1"/>
      <c r="L1864" s="1"/>
    </row>
    <row r="1865">
      <c r="A1865" s="266">
        <v>3200.0</v>
      </c>
      <c r="B1865" s="266"/>
      <c r="C1865" s="266">
        <v>5.0</v>
      </c>
      <c r="D1865" s="266" t="s">
        <v>6306</v>
      </c>
      <c r="E1865" s="266"/>
      <c r="F1865" s="266"/>
      <c r="G1865" s="266" t="s">
        <v>6304</v>
      </c>
      <c r="H1865" s="266" t="s">
        <v>6899</v>
      </c>
      <c r="I1865" s="266"/>
      <c r="J1865" s="266"/>
      <c r="K1865" s="1"/>
      <c r="L1865" s="1"/>
    </row>
    <row r="1866">
      <c r="A1866" s="266">
        <v>50.0</v>
      </c>
      <c r="B1866" s="266">
        <v>1.0</v>
      </c>
      <c r="C1866" s="266"/>
      <c r="D1866" s="266" t="s">
        <v>7790</v>
      </c>
      <c r="E1866" s="266"/>
      <c r="F1866" s="266"/>
      <c r="G1866" s="266"/>
      <c r="H1866" s="266"/>
      <c r="I1866" s="266"/>
      <c r="J1866" s="267"/>
    </row>
    <row r="1867">
      <c r="A1867" s="266">
        <v>100.0</v>
      </c>
      <c r="B1867" s="266"/>
      <c r="C1867" s="266">
        <v>5.0</v>
      </c>
      <c r="D1867" s="266" t="s">
        <v>5139</v>
      </c>
      <c r="E1867" s="266"/>
      <c r="F1867" s="266"/>
      <c r="G1867" s="266" t="s">
        <v>6304</v>
      </c>
      <c r="H1867" s="266" t="s">
        <v>551</v>
      </c>
      <c r="I1867" s="266"/>
      <c r="J1867" s="266"/>
      <c r="K1867" s="1"/>
      <c r="L1867" s="1"/>
    </row>
    <row r="1868">
      <c r="A1868" s="266">
        <v>200.0</v>
      </c>
      <c r="B1868" s="266"/>
      <c r="C1868" s="266">
        <v>5.0</v>
      </c>
      <c r="D1868" s="266" t="s">
        <v>5140</v>
      </c>
      <c r="E1868" s="266"/>
      <c r="F1868" s="266"/>
      <c r="G1868" s="266" t="s">
        <v>6304</v>
      </c>
      <c r="H1868" s="266" t="s">
        <v>551</v>
      </c>
      <c r="I1868" s="266"/>
      <c r="J1868" s="266"/>
      <c r="K1868" s="1"/>
      <c r="L1868" s="1"/>
    </row>
    <row r="1869">
      <c r="A1869" s="266">
        <v>300.0</v>
      </c>
      <c r="B1869" s="266"/>
      <c r="C1869" s="266">
        <v>5.0</v>
      </c>
      <c r="D1869" s="266" t="s">
        <v>5141</v>
      </c>
      <c r="E1869" s="266"/>
      <c r="F1869" s="266"/>
      <c r="G1869" s="266" t="s">
        <v>6304</v>
      </c>
      <c r="H1869" s="266" t="s">
        <v>551</v>
      </c>
      <c r="I1869" s="266"/>
      <c r="J1869" s="266"/>
      <c r="K1869" s="1"/>
      <c r="L1869" s="1"/>
    </row>
    <row r="1870">
      <c r="A1870" s="266">
        <v>400.0</v>
      </c>
      <c r="B1870" s="266"/>
      <c r="C1870" s="266">
        <v>5.0</v>
      </c>
      <c r="D1870" s="266" t="s">
        <v>5142</v>
      </c>
      <c r="E1870" s="266"/>
      <c r="F1870" s="266"/>
      <c r="G1870" s="266" t="s">
        <v>6304</v>
      </c>
      <c r="H1870" s="266" t="s">
        <v>551</v>
      </c>
      <c r="I1870" s="266"/>
      <c r="J1870" s="266"/>
      <c r="K1870" s="1"/>
      <c r="L1870" s="1"/>
    </row>
    <row r="1871">
      <c r="A1871" s="266">
        <v>500.0</v>
      </c>
      <c r="B1871" s="266"/>
      <c r="C1871" s="266">
        <v>5.0</v>
      </c>
      <c r="D1871" s="266" t="s">
        <v>5143</v>
      </c>
      <c r="E1871" s="266"/>
      <c r="F1871" s="266"/>
      <c r="G1871" s="266" t="s">
        <v>6304</v>
      </c>
      <c r="H1871" s="266" t="s">
        <v>552</v>
      </c>
      <c r="I1871" s="266"/>
      <c r="J1871" s="266"/>
      <c r="K1871" s="1"/>
      <c r="L1871" s="1"/>
    </row>
    <row r="1872">
      <c r="A1872" s="266">
        <v>600.0</v>
      </c>
      <c r="B1872" s="266"/>
      <c r="C1872" s="266">
        <v>5.0</v>
      </c>
      <c r="D1872" s="266" t="s">
        <v>5144</v>
      </c>
      <c r="E1872" s="266"/>
      <c r="F1872" s="266"/>
      <c r="G1872" s="266" t="s">
        <v>6304</v>
      </c>
      <c r="H1872" s="266" t="s">
        <v>552</v>
      </c>
      <c r="I1872" s="266"/>
      <c r="J1872" s="266"/>
      <c r="K1872" s="1"/>
      <c r="L1872" s="1"/>
    </row>
    <row r="1873">
      <c r="A1873" s="266">
        <v>700.0</v>
      </c>
      <c r="B1873" s="266"/>
      <c r="C1873" s="266">
        <v>5.0</v>
      </c>
      <c r="D1873" s="266" t="s">
        <v>5145</v>
      </c>
      <c r="E1873" s="266"/>
      <c r="F1873" s="266"/>
      <c r="G1873" s="266" t="s">
        <v>6304</v>
      </c>
      <c r="H1873" s="266" t="s">
        <v>552</v>
      </c>
      <c r="I1873" s="266"/>
      <c r="J1873" s="266"/>
      <c r="K1873" s="1"/>
      <c r="L1873" s="1"/>
    </row>
    <row r="1874">
      <c r="A1874" s="266">
        <v>800.0</v>
      </c>
      <c r="B1874" s="266"/>
      <c r="C1874" s="266">
        <v>5.0</v>
      </c>
      <c r="D1874" s="266" t="s">
        <v>5146</v>
      </c>
      <c r="E1874" s="266"/>
      <c r="F1874" s="266"/>
      <c r="G1874" s="266" t="s">
        <v>6304</v>
      </c>
      <c r="H1874" s="266" t="s">
        <v>544</v>
      </c>
      <c r="I1874" s="266" t="s">
        <v>6305</v>
      </c>
      <c r="J1874" s="266"/>
      <c r="K1874" s="1"/>
      <c r="L1874" s="1"/>
    </row>
    <row r="1875">
      <c r="A1875" s="266">
        <v>900.0</v>
      </c>
      <c r="B1875" s="266"/>
      <c r="C1875" s="266">
        <v>5.0</v>
      </c>
      <c r="D1875" s="266" t="s">
        <v>5147</v>
      </c>
      <c r="E1875" s="266"/>
      <c r="F1875" s="266"/>
      <c r="G1875" s="266" t="s">
        <v>6304</v>
      </c>
      <c r="H1875" s="266" t="s">
        <v>544</v>
      </c>
      <c r="I1875" s="266" t="s">
        <v>6305</v>
      </c>
      <c r="J1875" s="266"/>
      <c r="K1875" s="1"/>
      <c r="L1875" s="1"/>
    </row>
    <row r="1876">
      <c r="A1876" s="266">
        <v>1000.0</v>
      </c>
      <c r="B1876" s="266"/>
      <c r="C1876" s="266">
        <v>5.0</v>
      </c>
      <c r="D1876" s="266" t="s">
        <v>5148</v>
      </c>
      <c r="E1876" s="266"/>
      <c r="F1876" s="266"/>
      <c r="G1876" s="266" t="s">
        <v>6304</v>
      </c>
      <c r="H1876" s="266" t="s">
        <v>552</v>
      </c>
      <c r="I1876" s="266"/>
      <c r="J1876" s="266"/>
      <c r="K1876" s="1"/>
      <c r="L1876" s="1"/>
    </row>
    <row r="1877">
      <c r="A1877" s="266">
        <v>1100.0</v>
      </c>
      <c r="B1877" s="266"/>
      <c r="C1877" s="266">
        <v>5.0</v>
      </c>
      <c r="D1877" s="266" t="s">
        <v>5149</v>
      </c>
      <c r="E1877" s="266"/>
      <c r="F1877" s="266"/>
      <c r="G1877" s="266" t="s">
        <v>6304</v>
      </c>
      <c r="H1877" s="266" t="s">
        <v>552</v>
      </c>
      <c r="I1877" s="266"/>
      <c r="J1877" s="266"/>
      <c r="K1877" s="1"/>
      <c r="L1877" s="1"/>
    </row>
    <row r="1878">
      <c r="A1878" s="266">
        <v>1200.0</v>
      </c>
      <c r="B1878" s="266"/>
      <c r="C1878" s="266">
        <v>5.0</v>
      </c>
      <c r="D1878" s="266" t="s">
        <v>5150</v>
      </c>
      <c r="E1878" s="266"/>
      <c r="F1878" s="266"/>
      <c r="G1878" s="266" t="s">
        <v>6304</v>
      </c>
      <c r="H1878" s="266" t="s">
        <v>552</v>
      </c>
      <c r="I1878" s="266"/>
      <c r="J1878" s="266"/>
      <c r="K1878" s="1"/>
      <c r="L1878" s="1"/>
    </row>
    <row r="1879">
      <c r="A1879" s="266">
        <v>1300.0</v>
      </c>
      <c r="B1879" s="266"/>
      <c r="C1879" s="266">
        <v>5.0</v>
      </c>
      <c r="D1879" s="266" t="s">
        <v>5151</v>
      </c>
      <c r="E1879" s="266"/>
      <c r="F1879" s="266"/>
      <c r="G1879" s="266" t="s">
        <v>6304</v>
      </c>
      <c r="H1879" s="266" t="s">
        <v>544</v>
      </c>
      <c r="I1879" s="266" t="s">
        <v>6305</v>
      </c>
      <c r="J1879" s="266"/>
      <c r="K1879" s="1"/>
      <c r="L1879" s="1"/>
    </row>
    <row r="1880">
      <c r="A1880" s="266">
        <v>1400.0</v>
      </c>
      <c r="B1880" s="266"/>
      <c r="C1880" s="266">
        <v>5.0</v>
      </c>
      <c r="D1880" s="266" t="s">
        <v>5152</v>
      </c>
      <c r="E1880" s="266"/>
      <c r="F1880" s="266"/>
      <c r="G1880" s="266" t="s">
        <v>6304</v>
      </c>
      <c r="H1880" s="266" t="s">
        <v>544</v>
      </c>
      <c r="I1880" s="266" t="s">
        <v>6305</v>
      </c>
      <c r="J1880" s="266"/>
      <c r="K1880" s="1"/>
      <c r="L1880" s="1"/>
    </row>
    <row r="1881">
      <c r="A1881" s="266">
        <v>1500.0</v>
      </c>
      <c r="B1881" s="266"/>
      <c r="C1881" s="266">
        <v>5.0</v>
      </c>
      <c r="D1881" s="266" t="s">
        <v>5153</v>
      </c>
      <c r="E1881" s="266"/>
      <c r="F1881" s="266"/>
      <c r="G1881" s="266" t="s">
        <v>6304</v>
      </c>
      <c r="H1881" s="266" t="s">
        <v>544</v>
      </c>
      <c r="I1881" s="266" t="s">
        <v>6305</v>
      </c>
      <c r="J1881" s="266"/>
      <c r="K1881" s="1"/>
      <c r="L1881" s="1"/>
    </row>
    <row r="1882">
      <c r="A1882" s="266">
        <v>1600.0</v>
      </c>
      <c r="B1882" s="266"/>
      <c r="C1882" s="266">
        <v>5.0</v>
      </c>
      <c r="D1882" s="266" t="s">
        <v>5154</v>
      </c>
      <c r="E1882" s="266"/>
      <c r="F1882" s="266"/>
      <c r="G1882" s="266" t="s">
        <v>6304</v>
      </c>
      <c r="H1882" s="266" t="s">
        <v>544</v>
      </c>
      <c r="I1882" s="266" t="s">
        <v>6305</v>
      </c>
      <c r="J1882" s="266"/>
      <c r="K1882" s="1"/>
      <c r="L1882" s="1"/>
    </row>
    <row r="1883">
      <c r="A1883" s="266">
        <v>50.0</v>
      </c>
      <c r="B1883" s="266">
        <v>1.0</v>
      </c>
      <c r="C1883" s="266"/>
      <c r="D1883" s="266" t="s">
        <v>7791</v>
      </c>
      <c r="E1883" s="266"/>
      <c r="F1883" s="266"/>
      <c r="G1883" s="266"/>
      <c r="H1883" s="266"/>
      <c r="I1883" s="266"/>
      <c r="J1883" s="267"/>
    </row>
    <row r="1884">
      <c r="A1884" s="266">
        <v>100.0</v>
      </c>
      <c r="B1884" s="266"/>
      <c r="C1884" s="266">
        <v>5.0</v>
      </c>
      <c r="D1884" s="266" t="s">
        <v>6784</v>
      </c>
      <c r="E1884" s="266"/>
      <c r="F1884" s="266"/>
      <c r="G1884" s="266"/>
      <c r="H1884" s="266"/>
      <c r="I1884" s="266"/>
      <c r="J1884" s="267"/>
    </row>
    <row r="1885">
      <c r="A1885" s="266">
        <v>200.0</v>
      </c>
      <c r="B1885" s="266"/>
      <c r="C1885" s="266">
        <v>10.0</v>
      </c>
      <c r="D1885" s="266" t="s">
        <v>5160</v>
      </c>
      <c r="E1885" s="266"/>
      <c r="F1885" s="266"/>
      <c r="G1885" s="266" t="s">
        <v>6304</v>
      </c>
      <c r="H1885" s="266" t="s">
        <v>552</v>
      </c>
      <c r="I1885" s="266"/>
      <c r="J1885" s="266"/>
      <c r="K1885" s="1"/>
      <c r="L1885" s="1"/>
    </row>
    <row r="1886">
      <c r="A1886" s="266">
        <v>300.0</v>
      </c>
      <c r="B1886" s="266"/>
      <c r="C1886" s="266">
        <v>10.0</v>
      </c>
      <c r="D1886" s="266" t="s">
        <v>5161</v>
      </c>
      <c r="E1886" s="266"/>
      <c r="F1886" s="266"/>
      <c r="G1886" s="266" t="s">
        <v>6304</v>
      </c>
      <c r="H1886" s="266" t="s">
        <v>551</v>
      </c>
      <c r="I1886" s="266"/>
      <c r="J1886" s="266"/>
      <c r="K1886" s="1"/>
      <c r="L1886" s="1"/>
    </row>
    <row r="1887">
      <c r="A1887" s="266">
        <v>400.0</v>
      </c>
      <c r="B1887" s="266"/>
      <c r="C1887" s="266">
        <v>5.0</v>
      </c>
      <c r="D1887" s="266" t="s">
        <v>5162</v>
      </c>
      <c r="E1887" s="266"/>
      <c r="F1887" s="266"/>
      <c r="G1887" s="266" t="s">
        <v>6304</v>
      </c>
      <c r="H1887" s="266" t="s">
        <v>544</v>
      </c>
      <c r="I1887" s="266" t="s">
        <v>6305</v>
      </c>
      <c r="J1887" s="266"/>
      <c r="K1887" s="1"/>
      <c r="L1887" s="1"/>
    </row>
    <row r="1888">
      <c r="A1888" s="266">
        <v>500.0</v>
      </c>
      <c r="B1888" s="266"/>
      <c r="C1888" s="266">
        <v>5.0</v>
      </c>
      <c r="D1888" s="266" t="s">
        <v>5163</v>
      </c>
      <c r="E1888" s="266"/>
      <c r="F1888" s="266"/>
      <c r="G1888" s="266" t="s">
        <v>6304</v>
      </c>
      <c r="H1888" s="266" t="s">
        <v>5155</v>
      </c>
      <c r="I1888" s="266" t="s">
        <v>6305</v>
      </c>
      <c r="J1888" s="266"/>
      <c r="K1888" s="1"/>
      <c r="L1888" s="1"/>
    </row>
    <row r="1889">
      <c r="A1889" s="266">
        <v>600.0</v>
      </c>
      <c r="B1889" s="266"/>
      <c r="C1889" s="266">
        <v>5.0</v>
      </c>
      <c r="D1889" s="266" t="s">
        <v>5164</v>
      </c>
      <c r="E1889" s="266"/>
      <c r="F1889" s="266"/>
      <c r="G1889" s="266" t="s">
        <v>6304</v>
      </c>
      <c r="H1889" s="266" t="s">
        <v>544</v>
      </c>
      <c r="I1889" s="266" t="s">
        <v>6305</v>
      </c>
      <c r="J1889" s="266"/>
      <c r="K1889" s="1"/>
      <c r="L1889" s="1"/>
    </row>
    <row r="1890">
      <c r="A1890" s="266">
        <v>700.0</v>
      </c>
      <c r="B1890" s="266"/>
      <c r="C1890" s="266">
        <v>5.0</v>
      </c>
      <c r="D1890" s="266" t="s">
        <v>6783</v>
      </c>
      <c r="E1890" s="266"/>
      <c r="F1890" s="266"/>
      <c r="G1890" s="266"/>
      <c r="H1890" s="266"/>
      <c r="I1890" s="266"/>
      <c r="J1890" s="267"/>
    </row>
    <row r="1891">
      <c r="A1891" s="266">
        <v>800.0</v>
      </c>
      <c r="B1891" s="266"/>
      <c r="C1891" s="266">
        <v>10.0</v>
      </c>
      <c r="D1891" s="266" t="s">
        <v>5165</v>
      </c>
      <c r="E1891" s="266"/>
      <c r="F1891" s="266"/>
      <c r="G1891" s="266" t="s">
        <v>6304</v>
      </c>
      <c r="H1891" s="266">
        <v>9.0</v>
      </c>
      <c r="I1891" s="266"/>
      <c r="J1891" s="266"/>
      <c r="K1891" s="1"/>
      <c r="L1891" s="1"/>
    </row>
    <row r="1892">
      <c r="A1892" s="266">
        <v>900.0</v>
      </c>
      <c r="B1892" s="266"/>
      <c r="C1892" s="266">
        <v>10.0</v>
      </c>
      <c r="D1892" s="266" t="s">
        <v>5166</v>
      </c>
      <c r="E1892" s="266"/>
      <c r="F1892" s="266"/>
      <c r="G1892" s="266" t="s">
        <v>6304</v>
      </c>
      <c r="H1892" s="266" t="s">
        <v>551</v>
      </c>
      <c r="I1892" s="266"/>
      <c r="J1892" s="266"/>
      <c r="K1892" s="1"/>
      <c r="L1892" s="1"/>
    </row>
    <row r="1893">
      <c r="A1893" s="266">
        <v>50.0</v>
      </c>
      <c r="B1893" s="266">
        <v>1.0</v>
      </c>
      <c r="C1893" s="266"/>
      <c r="D1893" s="266" t="s">
        <v>7792</v>
      </c>
      <c r="E1893" s="266"/>
      <c r="F1893" s="266"/>
      <c r="G1893" s="266"/>
      <c r="H1893" s="266"/>
      <c r="I1893" s="266"/>
      <c r="J1893" s="267"/>
    </row>
    <row r="1894">
      <c r="A1894" s="266">
        <v>100.0</v>
      </c>
      <c r="B1894" s="266"/>
      <c r="C1894" s="266">
        <v>5.0</v>
      </c>
      <c r="D1894" s="266" t="s">
        <v>6306</v>
      </c>
      <c r="E1894" s="266"/>
      <c r="F1894" s="266"/>
      <c r="G1894" s="266" t="s">
        <v>6304</v>
      </c>
      <c r="H1894" s="266" t="s">
        <v>6760</v>
      </c>
      <c r="I1894" s="266"/>
      <c r="J1894" s="266"/>
      <c r="K1894" s="1"/>
      <c r="L1894" s="1"/>
    </row>
    <row r="1895">
      <c r="A1895" s="266">
        <v>50.0</v>
      </c>
      <c r="B1895" s="266">
        <v>1.0</v>
      </c>
      <c r="C1895" s="266"/>
      <c r="D1895" s="266" t="s">
        <v>7793</v>
      </c>
      <c r="E1895" s="266"/>
      <c r="F1895" s="266"/>
      <c r="G1895" s="266"/>
      <c r="H1895" s="266"/>
      <c r="I1895" s="266"/>
      <c r="J1895" s="267"/>
    </row>
    <row r="1896">
      <c r="A1896" s="266">
        <v>100.0</v>
      </c>
      <c r="B1896" s="266"/>
      <c r="C1896" s="266">
        <v>5.0</v>
      </c>
      <c r="D1896" s="266" t="s">
        <v>7794</v>
      </c>
      <c r="E1896" s="266"/>
      <c r="F1896" s="266"/>
      <c r="G1896" s="266"/>
      <c r="H1896" s="266"/>
      <c r="I1896" s="266"/>
      <c r="J1896" s="267"/>
    </row>
    <row r="1897">
      <c r="A1897" s="266">
        <v>200.0</v>
      </c>
      <c r="B1897" s="266"/>
      <c r="C1897" s="266">
        <v>10.0</v>
      </c>
      <c r="D1897" s="266" t="s">
        <v>7190</v>
      </c>
      <c r="E1897" s="266"/>
      <c r="F1897" s="266"/>
      <c r="G1897" s="266"/>
      <c r="H1897" s="266"/>
      <c r="I1897" s="266"/>
      <c r="J1897" s="267"/>
    </row>
    <row r="1898">
      <c r="A1898" s="266">
        <v>300.0</v>
      </c>
      <c r="B1898" s="266"/>
      <c r="C1898" s="266">
        <v>15.0</v>
      </c>
      <c r="D1898" s="266" t="s">
        <v>7191</v>
      </c>
      <c r="E1898" s="266"/>
      <c r="F1898" s="266"/>
      <c r="G1898" s="266" t="s">
        <v>6304</v>
      </c>
      <c r="H1898" s="266">
        <v>9.0</v>
      </c>
      <c r="I1898" s="266"/>
      <c r="J1898" s="266"/>
      <c r="K1898" s="1"/>
      <c r="L1898" s="1"/>
    </row>
    <row r="1899">
      <c r="A1899" s="266">
        <v>400.0</v>
      </c>
      <c r="B1899" s="266"/>
      <c r="C1899" s="266">
        <v>15.0</v>
      </c>
      <c r="D1899" s="266" t="s">
        <v>7192</v>
      </c>
      <c r="E1899" s="266"/>
      <c r="F1899" s="266"/>
      <c r="G1899" s="266" t="s">
        <v>6304</v>
      </c>
      <c r="H1899" s="266">
        <v>9.0</v>
      </c>
      <c r="I1899" s="266"/>
      <c r="J1899" s="266"/>
      <c r="K1899" s="1"/>
      <c r="L1899" s="1"/>
    </row>
    <row r="1900">
      <c r="A1900" s="266">
        <v>500.0</v>
      </c>
      <c r="B1900" s="266"/>
      <c r="C1900" s="266">
        <v>10.0</v>
      </c>
      <c r="D1900" s="266" t="s">
        <v>5139</v>
      </c>
      <c r="E1900" s="266"/>
      <c r="F1900" s="266"/>
      <c r="G1900" s="266" t="s">
        <v>6304</v>
      </c>
      <c r="H1900" s="266" t="s">
        <v>551</v>
      </c>
      <c r="I1900" s="266"/>
      <c r="J1900" s="266"/>
      <c r="K1900" s="1"/>
      <c r="L1900" s="1"/>
    </row>
    <row r="1901">
      <c r="A1901" s="266">
        <v>600.0</v>
      </c>
      <c r="B1901" s="266"/>
      <c r="C1901" s="266">
        <v>10.0</v>
      </c>
      <c r="D1901" s="266" t="s">
        <v>5140</v>
      </c>
      <c r="E1901" s="266"/>
      <c r="F1901" s="266"/>
      <c r="G1901" s="266" t="s">
        <v>6304</v>
      </c>
      <c r="H1901" s="266" t="s">
        <v>551</v>
      </c>
      <c r="I1901" s="266"/>
      <c r="J1901" s="266"/>
      <c r="K1901" s="1"/>
      <c r="L1901" s="1"/>
    </row>
    <row r="1902">
      <c r="A1902" s="266">
        <v>700.0</v>
      </c>
      <c r="B1902" s="266"/>
      <c r="C1902" s="266">
        <v>5.0</v>
      </c>
      <c r="D1902" s="266" t="s">
        <v>7194</v>
      </c>
      <c r="E1902" s="266"/>
      <c r="F1902" s="266"/>
      <c r="G1902" s="266" t="s">
        <v>6304</v>
      </c>
      <c r="H1902" s="266" t="s">
        <v>6591</v>
      </c>
      <c r="I1902" s="266" t="s">
        <v>6305</v>
      </c>
      <c r="J1902" s="266"/>
      <c r="K1902" s="1"/>
      <c r="L1902" s="1"/>
    </row>
    <row r="1903">
      <c r="A1903" s="266">
        <v>800.0</v>
      </c>
      <c r="B1903" s="266"/>
      <c r="C1903" s="266">
        <v>5.0</v>
      </c>
      <c r="D1903" s="266" t="s">
        <v>7195</v>
      </c>
      <c r="E1903" s="266"/>
      <c r="F1903" s="266"/>
      <c r="G1903" s="266" t="s">
        <v>6304</v>
      </c>
      <c r="H1903" s="266" t="s">
        <v>7196</v>
      </c>
      <c r="I1903" s="266" t="s">
        <v>6305</v>
      </c>
      <c r="J1903" s="266"/>
      <c r="K1903" s="1"/>
      <c r="L1903" s="1"/>
    </row>
    <row r="1904">
      <c r="A1904" s="266">
        <v>900.0</v>
      </c>
      <c r="B1904" s="266"/>
      <c r="C1904" s="266">
        <v>5.0</v>
      </c>
      <c r="D1904" s="266" t="s">
        <v>7197</v>
      </c>
      <c r="E1904" s="266"/>
      <c r="F1904" s="266"/>
      <c r="G1904" s="266" t="s">
        <v>6304</v>
      </c>
      <c r="H1904" s="266" t="s">
        <v>7196</v>
      </c>
      <c r="I1904" s="266" t="s">
        <v>6305</v>
      </c>
      <c r="J1904" s="266"/>
      <c r="K1904" s="1"/>
      <c r="L1904" s="1"/>
    </row>
    <row r="1905">
      <c r="A1905" s="266">
        <v>1000.0</v>
      </c>
      <c r="B1905" s="266"/>
      <c r="C1905" s="266">
        <v>5.0</v>
      </c>
      <c r="D1905" s="266" t="s">
        <v>7198</v>
      </c>
      <c r="E1905" s="266"/>
      <c r="F1905" s="266"/>
      <c r="G1905" s="266" t="s">
        <v>6304</v>
      </c>
      <c r="H1905" s="266" t="s">
        <v>7199</v>
      </c>
      <c r="I1905" s="266" t="s">
        <v>6305</v>
      </c>
      <c r="J1905" s="266"/>
      <c r="K1905" s="1"/>
      <c r="L1905" s="1"/>
    </row>
    <row r="1906">
      <c r="A1906" s="266">
        <v>1100.0</v>
      </c>
      <c r="B1906" s="266"/>
      <c r="C1906" s="266">
        <v>5.0</v>
      </c>
      <c r="D1906" s="266" t="s">
        <v>6306</v>
      </c>
      <c r="E1906" s="266"/>
      <c r="F1906" s="266"/>
      <c r="G1906" s="266" t="s">
        <v>6304</v>
      </c>
      <c r="H1906" s="266" t="s">
        <v>6462</v>
      </c>
      <c r="I1906" s="266"/>
      <c r="J1906" s="266"/>
      <c r="K1906" s="1"/>
      <c r="L1906" s="1"/>
    </row>
    <row r="1907">
      <c r="A1907" s="266">
        <v>50.0</v>
      </c>
      <c r="B1907" s="266">
        <v>1.0</v>
      </c>
      <c r="C1907" s="266"/>
      <c r="D1907" s="266" t="s">
        <v>7795</v>
      </c>
      <c r="E1907" s="266"/>
      <c r="F1907" s="266"/>
      <c r="G1907" s="266"/>
      <c r="H1907" s="266"/>
      <c r="I1907" s="266"/>
      <c r="J1907" s="267"/>
    </row>
    <row r="1908">
      <c r="A1908" s="266">
        <v>100.0</v>
      </c>
      <c r="B1908" s="266"/>
      <c r="C1908" s="266">
        <v>5.0</v>
      </c>
      <c r="D1908" s="266" t="s">
        <v>5260</v>
      </c>
      <c r="E1908" s="266"/>
      <c r="F1908" s="266"/>
      <c r="G1908" s="266" t="s">
        <v>6304</v>
      </c>
      <c r="H1908" s="266" t="s">
        <v>551</v>
      </c>
      <c r="I1908" s="266"/>
      <c r="J1908" s="266"/>
      <c r="K1908" s="1"/>
      <c r="L1908" s="1"/>
    </row>
    <row r="1909">
      <c r="A1909" s="266">
        <v>200.0</v>
      </c>
      <c r="B1909" s="266"/>
      <c r="C1909" s="266">
        <v>5.0</v>
      </c>
      <c r="D1909" s="266" t="s">
        <v>7633</v>
      </c>
      <c r="E1909" s="266"/>
      <c r="F1909" s="266"/>
      <c r="G1909" s="266" t="s">
        <v>6304</v>
      </c>
      <c r="H1909" s="266" t="s">
        <v>551</v>
      </c>
      <c r="I1909" s="266"/>
      <c r="J1909" s="266"/>
      <c r="K1909" s="1"/>
      <c r="L1909" s="1"/>
    </row>
    <row r="1910">
      <c r="A1910" s="266">
        <v>300.0</v>
      </c>
      <c r="B1910" s="266"/>
      <c r="C1910" s="266">
        <v>5.0</v>
      </c>
      <c r="D1910" s="266" t="s">
        <v>7632</v>
      </c>
      <c r="E1910" s="266"/>
      <c r="F1910" s="266"/>
      <c r="G1910" s="266" t="s">
        <v>6304</v>
      </c>
      <c r="H1910" s="266" t="s">
        <v>4103</v>
      </c>
      <c r="I1910" s="266"/>
      <c r="J1910" s="266"/>
      <c r="K1910" s="1"/>
      <c r="L1910" s="1"/>
    </row>
    <row r="1911">
      <c r="A1911" s="266">
        <v>400.0</v>
      </c>
      <c r="B1911" s="266"/>
      <c r="C1911" s="266">
        <v>5.0</v>
      </c>
      <c r="D1911" s="266" t="s">
        <v>6875</v>
      </c>
      <c r="E1911" s="266"/>
      <c r="F1911" s="266"/>
      <c r="G1911" s="266"/>
      <c r="H1911" s="266"/>
      <c r="I1911" s="266"/>
      <c r="J1911" s="267"/>
    </row>
    <row r="1912">
      <c r="A1912" s="266">
        <v>500.0</v>
      </c>
      <c r="B1912" s="266"/>
      <c r="C1912" s="266">
        <v>10.0</v>
      </c>
      <c r="D1912" s="266" t="s">
        <v>3802</v>
      </c>
      <c r="E1912" s="266"/>
      <c r="F1912" s="266"/>
      <c r="G1912" s="266" t="s">
        <v>6304</v>
      </c>
      <c r="H1912" s="266" t="s">
        <v>551</v>
      </c>
      <c r="I1912" s="266"/>
      <c r="J1912" s="266"/>
      <c r="K1912" s="1"/>
      <c r="L1912" s="1"/>
    </row>
    <row r="1913">
      <c r="A1913" s="266">
        <v>600.0</v>
      </c>
      <c r="B1913" s="266"/>
      <c r="C1913" s="266">
        <v>10.0</v>
      </c>
      <c r="D1913" s="266" t="s">
        <v>3803</v>
      </c>
      <c r="E1913" s="266"/>
      <c r="F1913" s="266"/>
      <c r="G1913" s="266" t="s">
        <v>6304</v>
      </c>
      <c r="H1913" s="266" t="s">
        <v>556</v>
      </c>
      <c r="I1913" s="266"/>
      <c r="J1913" s="266"/>
      <c r="K1913" s="1"/>
      <c r="L1913" s="1"/>
    </row>
    <row r="1914">
      <c r="A1914" s="266">
        <v>700.0</v>
      </c>
      <c r="B1914" s="266"/>
      <c r="C1914" s="266">
        <v>10.0</v>
      </c>
      <c r="D1914" s="266" t="s">
        <v>3804</v>
      </c>
      <c r="E1914" s="266"/>
      <c r="F1914" s="266"/>
      <c r="G1914" s="266" t="s">
        <v>6304</v>
      </c>
      <c r="H1914" s="266" t="s">
        <v>5243</v>
      </c>
      <c r="I1914" s="266"/>
      <c r="J1914" s="266"/>
      <c r="K1914" s="1"/>
      <c r="L1914" s="1"/>
    </row>
    <row r="1915">
      <c r="A1915" s="266">
        <v>800.0</v>
      </c>
      <c r="B1915" s="266"/>
      <c r="C1915" s="266">
        <v>5.0</v>
      </c>
      <c r="D1915" s="266" t="s">
        <v>575</v>
      </c>
      <c r="E1915" s="266"/>
      <c r="F1915" s="266"/>
      <c r="G1915" s="266" t="s">
        <v>6304</v>
      </c>
      <c r="H1915" s="266" t="s">
        <v>551</v>
      </c>
      <c r="I1915" s="266"/>
      <c r="J1915" s="266"/>
      <c r="K1915" s="1"/>
      <c r="L1915" s="1"/>
    </row>
    <row r="1916">
      <c r="A1916" s="266">
        <v>900.0</v>
      </c>
      <c r="B1916" s="266"/>
      <c r="C1916" s="266">
        <v>5.0</v>
      </c>
      <c r="D1916" s="266" t="s">
        <v>5267</v>
      </c>
      <c r="E1916" s="266"/>
      <c r="F1916" s="266"/>
      <c r="G1916" s="266" t="s">
        <v>6304</v>
      </c>
      <c r="H1916" s="266" t="s">
        <v>5244</v>
      </c>
      <c r="I1916" s="266"/>
      <c r="J1916" s="266"/>
      <c r="K1916" s="1"/>
      <c r="L1916" s="1"/>
    </row>
    <row r="1917">
      <c r="A1917" s="266">
        <v>1000.0</v>
      </c>
      <c r="B1917" s="266"/>
      <c r="C1917" s="266">
        <v>5.0</v>
      </c>
      <c r="D1917" s="266" t="s">
        <v>6768</v>
      </c>
      <c r="E1917" s="266"/>
      <c r="F1917" s="266"/>
      <c r="G1917" s="266" t="s">
        <v>6304</v>
      </c>
      <c r="H1917" s="266" t="s">
        <v>3794</v>
      </c>
      <c r="I1917" s="266"/>
      <c r="J1917" s="266"/>
      <c r="K1917" s="1"/>
      <c r="L1917" s="1"/>
    </row>
    <row r="1918">
      <c r="A1918" s="266">
        <v>1100.0</v>
      </c>
      <c r="B1918" s="266"/>
      <c r="C1918" s="266">
        <v>5.0</v>
      </c>
      <c r="D1918" s="266" t="s">
        <v>6601</v>
      </c>
      <c r="E1918" s="266"/>
      <c r="F1918" s="266"/>
      <c r="G1918" s="266"/>
      <c r="H1918" s="266"/>
      <c r="I1918" s="266"/>
      <c r="J1918" s="267"/>
    </row>
    <row r="1919">
      <c r="A1919" s="266">
        <v>1200.0</v>
      </c>
      <c r="B1919" s="266"/>
      <c r="C1919" s="266">
        <v>10.0</v>
      </c>
      <c r="D1919" s="266" t="s">
        <v>6602</v>
      </c>
      <c r="E1919" s="266"/>
      <c r="F1919" s="266"/>
      <c r="G1919" s="266"/>
      <c r="H1919" s="266"/>
      <c r="I1919" s="266"/>
      <c r="J1919" s="267"/>
    </row>
    <row r="1920">
      <c r="A1920" s="266">
        <v>1300.0</v>
      </c>
      <c r="B1920" s="266"/>
      <c r="C1920" s="266">
        <v>15.0</v>
      </c>
      <c r="D1920" s="266" t="s">
        <v>576</v>
      </c>
      <c r="E1920" s="266"/>
      <c r="F1920" s="266"/>
      <c r="G1920" s="266" t="s">
        <v>6304</v>
      </c>
      <c r="H1920" s="266" t="s">
        <v>551</v>
      </c>
      <c r="I1920" s="266"/>
      <c r="J1920" s="266"/>
      <c r="K1920" s="1"/>
      <c r="L1920" s="1"/>
    </row>
    <row r="1921">
      <c r="A1921" s="266">
        <v>1400.0</v>
      </c>
      <c r="B1921" s="266"/>
      <c r="C1921" s="266">
        <v>15.0</v>
      </c>
      <c r="D1921" s="266" t="s">
        <v>577</v>
      </c>
      <c r="E1921" s="266"/>
      <c r="F1921" s="266"/>
      <c r="G1921" s="266" t="s">
        <v>6304</v>
      </c>
      <c r="H1921" s="266" t="s">
        <v>552</v>
      </c>
      <c r="I1921" s="266"/>
      <c r="J1921" s="266"/>
      <c r="K1921" s="1"/>
      <c r="L1921" s="1"/>
    </row>
    <row r="1922">
      <c r="A1922" s="266">
        <v>1500.0</v>
      </c>
      <c r="B1922" s="266"/>
      <c r="C1922" s="266">
        <v>10.0</v>
      </c>
      <c r="D1922" s="266" t="s">
        <v>578</v>
      </c>
      <c r="E1922" s="266"/>
      <c r="F1922" s="266"/>
      <c r="G1922" s="266" t="s">
        <v>6304</v>
      </c>
      <c r="H1922" s="266" t="s">
        <v>552</v>
      </c>
      <c r="I1922" s="266"/>
      <c r="J1922" s="266"/>
      <c r="K1922" s="1"/>
      <c r="L1922" s="1"/>
    </row>
    <row r="1923">
      <c r="A1923" s="266">
        <v>1600.0</v>
      </c>
      <c r="B1923" s="266"/>
      <c r="C1923" s="266">
        <v>5.0</v>
      </c>
      <c r="D1923" s="266" t="s">
        <v>7601</v>
      </c>
      <c r="E1923" s="266"/>
      <c r="F1923" s="266"/>
      <c r="G1923" s="266" t="s">
        <v>6304</v>
      </c>
      <c r="H1923" s="266" t="s">
        <v>553</v>
      </c>
      <c r="I1923" s="266"/>
      <c r="J1923" s="266"/>
      <c r="K1923" s="1"/>
      <c r="L1923" s="1"/>
    </row>
    <row r="1924">
      <c r="A1924" s="266">
        <v>1700.0</v>
      </c>
      <c r="B1924" s="266"/>
      <c r="C1924" s="266">
        <v>5.0</v>
      </c>
      <c r="D1924" s="266" t="s">
        <v>7702</v>
      </c>
      <c r="E1924" s="266"/>
      <c r="F1924" s="266"/>
      <c r="G1924" s="266" t="s">
        <v>6304</v>
      </c>
      <c r="H1924" s="266" t="s">
        <v>553</v>
      </c>
      <c r="I1924" s="266"/>
      <c r="J1924" s="266"/>
      <c r="K1924" s="1"/>
      <c r="L1924" s="1"/>
    </row>
    <row r="1925">
      <c r="A1925" s="266">
        <v>1800.0</v>
      </c>
      <c r="B1925" s="266"/>
      <c r="C1925" s="266">
        <v>5.0</v>
      </c>
      <c r="D1925" s="266" t="s">
        <v>7796</v>
      </c>
      <c r="E1925" s="266"/>
      <c r="F1925" s="266"/>
      <c r="G1925" s="266" t="s">
        <v>6304</v>
      </c>
      <c r="H1925" s="266" t="s">
        <v>552</v>
      </c>
      <c r="I1925" s="266"/>
      <c r="J1925" s="266"/>
      <c r="K1925" s="1"/>
      <c r="L1925" s="1"/>
    </row>
    <row r="1926">
      <c r="A1926" s="266">
        <v>1900.0</v>
      </c>
      <c r="B1926" s="266"/>
      <c r="C1926" s="266">
        <v>5.0</v>
      </c>
      <c r="D1926" s="266" t="s">
        <v>7611</v>
      </c>
      <c r="E1926" s="266"/>
      <c r="F1926" s="266"/>
      <c r="G1926" s="266" t="s">
        <v>6304</v>
      </c>
      <c r="H1926" s="266" t="s">
        <v>6650</v>
      </c>
      <c r="I1926" s="266" t="s">
        <v>6305</v>
      </c>
      <c r="J1926" s="266"/>
      <c r="K1926" s="1"/>
      <c r="L1926" s="1"/>
    </row>
    <row r="1927">
      <c r="A1927" s="266">
        <v>2000.0</v>
      </c>
      <c r="B1927" s="266"/>
      <c r="C1927" s="266">
        <v>5.0</v>
      </c>
      <c r="D1927" s="266" t="s">
        <v>7797</v>
      </c>
      <c r="E1927" s="266"/>
      <c r="F1927" s="266"/>
      <c r="G1927" s="266" t="s">
        <v>6304</v>
      </c>
      <c r="H1927" s="266" t="s">
        <v>6650</v>
      </c>
      <c r="I1927" s="266" t="s">
        <v>6305</v>
      </c>
      <c r="J1927" s="266"/>
      <c r="K1927" s="1"/>
      <c r="L1927" s="1"/>
    </row>
    <row r="1928">
      <c r="A1928" s="266">
        <v>2100.0</v>
      </c>
      <c r="B1928" s="266"/>
      <c r="C1928" s="266">
        <v>5.0</v>
      </c>
      <c r="D1928" s="266" t="s">
        <v>7798</v>
      </c>
      <c r="E1928" s="266"/>
      <c r="F1928" s="266"/>
      <c r="G1928" s="266" t="s">
        <v>6304</v>
      </c>
      <c r="H1928" s="266" t="s">
        <v>6650</v>
      </c>
      <c r="I1928" s="266" t="s">
        <v>6305</v>
      </c>
      <c r="J1928" s="266"/>
      <c r="K1928" s="1"/>
      <c r="L1928" s="1"/>
    </row>
    <row r="1929">
      <c r="A1929" s="266">
        <v>2200.0</v>
      </c>
      <c r="B1929" s="266"/>
      <c r="C1929" s="266">
        <v>5.0</v>
      </c>
      <c r="D1929" s="266" t="s">
        <v>7799</v>
      </c>
      <c r="E1929" s="266"/>
      <c r="F1929" s="266"/>
      <c r="G1929" s="266" t="s">
        <v>6304</v>
      </c>
      <c r="H1929" s="266" t="s">
        <v>6650</v>
      </c>
      <c r="I1929" s="266" t="s">
        <v>6305</v>
      </c>
      <c r="J1929" s="266"/>
      <c r="K1929" s="1"/>
      <c r="L1929" s="1"/>
    </row>
    <row r="1930">
      <c r="A1930" s="266">
        <v>2300.0</v>
      </c>
      <c r="B1930" s="266"/>
      <c r="C1930" s="266">
        <v>5.0</v>
      </c>
      <c r="D1930" s="266" t="s">
        <v>7800</v>
      </c>
      <c r="E1930" s="266"/>
      <c r="F1930" s="266"/>
      <c r="G1930" s="266" t="s">
        <v>6304</v>
      </c>
      <c r="H1930" s="266" t="s">
        <v>552</v>
      </c>
      <c r="I1930" s="266"/>
      <c r="J1930" s="266"/>
      <c r="K1930" s="1"/>
      <c r="L1930" s="1"/>
    </row>
    <row r="1931">
      <c r="A1931" s="266">
        <v>2400.0</v>
      </c>
      <c r="B1931" s="266"/>
      <c r="C1931" s="266">
        <v>5.0</v>
      </c>
      <c r="D1931" s="266" t="s">
        <v>7619</v>
      </c>
      <c r="E1931" s="266"/>
      <c r="F1931" s="266"/>
      <c r="G1931" s="266" t="s">
        <v>6304</v>
      </c>
      <c r="H1931" s="266" t="s">
        <v>557</v>
      </c>
      <c r="I1931" s="266"/>
      <c r="J1931" s="266"/>
      <c r="K1931" s="1"/>
      <c r="L1931" s="1"/>
    </row>
    <row r="1932">
      <c r="A1932" s="266">
        <v>2500.0</v>
      </c>
      <c r="B1932" s="266"/>
      <c r="C1932" s="266">
        <v>5.0</v>
      </c>
      <c r="D1932" s="266" t="s">
        <v>7620</v>
      </c>
      <c r="E1932" s="266"/>
      <c r="F1932" s="266"/>
      <c r="G1932" s="266" t="s">
        <v>6304</v>
      </c>
      <c r="H1932" s="266" t="s">
        <v>555</v>
      </c>
      <c r="I1932" s="266"/>
      <c r="J1932" s="266"/>
      <c r="K1932" s="1"/>
      <c r="L1932" s="1"/>
    </row>
    <row r="1933">
      <c r="A1933" s="266">
        <v>2600.0</v>
      </c>
      <c r="B1933" s="266"/>
      <c r="C1933" s="266">
        <v>5.0</v>
      </c>
      <c r="D1933" s="266" t="s">
        <v>5269</v>
      </c>
      <c r="E1933" s="266"/>
      <c r="F1933" s="266"/>
      <c r="G1933" s="266" t="s">
        <v>6304</v>
      </c>
      <c r="H1933" s="266" t="s">
        <v>560</v>
      </c>
      <c r="I1933" s="266"/>
      <c r="J1933" s="266"/>
      <c r="K1933" s="1"/>
      <c r="L1933" s="1"/>
    </row>
    <row r="1934">
      <c r="A1934" s="266">
        <v>2700.0</v>
      </c>
      <c r="B1934" s="266"/>
      <c r="C1934" s="266">
        <v>5.0</v>
      </c>
      <c r="D1934" s="266" t="s">
        <v>7715</v>
      </c>
      <c r="E1934" s="266"/>
      <c r="F1934" s="266"/>
      <c r="G1934" s="266" t="s">
        <v>6304</v>
      </c>
      <c r="H1934" s="266" t="s">
        <v>551</v>
      </c>
      <c r="I1934" s="266"/>
      <c r="J1934" s="266"/>
      <c r="K1934" s="1"/>
      <c r="L1934" s="1"/>
    </row>
    <row r="1935">
      <c r="A1935" s="266">
        <v>2800.0</v>
      </c>
      <c r="B1935" s="266"/>
      <c r="C1935" s="266">
        <v>5.0</v>
      </c>
      <c r="D1935" s="266" t="s">
        <v>7801</v>
      </c>
      <c r="E1935" s="266"/>
      <c r="F1935" s="266"/>
      <c r="G1935" s="266" t="s">
        <v>6304</v>
      </c>
      <c r="H1935" s="266" t="s">
        <v>6650</v>
      </c>
      <c r="I1935" s="266" t="s">
        <v>6305</v>
      </c>
      <c r="J1935" s="266"/>
      <c r="K1935" s="1"/>
      <c r="L1935" s="1"/>
    </row>
    <row r="1936">
      <c r="A1936" s="266">
        <v>2900.0</v>
      </c>
      <c r="B1936" s="266"/>
      <c r="C1936" s="266">
        <v>5.0</v>
      </c>
      <c r="D1936" s="266" t="s">
        <v>3835</v>
      </c>
      <c r="E1936" s="266"/>
      <c r="F1936" s="266"/>
      <c r="G1936" s="266" t="s">
        <v>6304</v>
      </c>
      <c r="H1936" s="266" t="s">
        <v>555</v>
      </c>
      <c r="I1936" s="266"/>
      <c r="J1936" s="266"/>
      <c r="K1936" s="1"/>
      <c r="L1936" s="1"/>
    </row>
    <row r="1937">
      <c r="A1937" s="266">
        <v>3000.0</v>
      </c>
      <c r="B1937" s="266"/>
      <c r="C1937" s="266">
        <v>5.0</v>
      </c>
      <c r="D1937" s="266" t="s">
        <v>6996</v>
      </c>
      <c r="E1937" s="266"/>
      <c r="F1937" s="266"/>
      <c r="G1937" s="266" t="s">
        <v>6304</v>
      </c>
      <c r="H1937" s="266" t="s">
        <v>555</v>
      </c>
      <c r="I1937" s="266"/>
      <c r="J1937" s="266"/>
      <c r="K1937" s="1"/>
      <c r="L1937" s="1"/>
    </row>
    <row r="1938">
      <c r="A1938" s="266">
        <v>3100.0</v>
      </c>
      <c r="B1938" s="266"/>
      <c r="C1938" s="266">
        <v>5.0</v>
      </c>
      <c r="D1938" s="266" t="s">
        <v>7615</v>
      </c>
      <c r="E1938" s="266"/>
      <c r="F1938" s="266"/>
      <c r="G1938" s="266" t="s">
        <v>6304</v>
      </c>
      <c r="H1938" s="266" t="s">
        <v>552</v>
      </c>
      <c r="I1938" s="266"/>
      <c r="J1938" s="266"/>
      <c r="K1938" s="1"/>
      <c r="L1938" s="1"/>
    </row>
    <row r="1939">
      <c r="A1939" s="266">
        <v>3200.0</v>
      </c>
      <c r="B1939" s="266"/>
      <c r="C1939" s="266">
        <v>5.0</v>
      </c>
      <c r="D1939" s="266" t="s">
        <v>5291</v>
      </c>
      <c r="E1939" s="266"/>
      <c r="F1939" s="266"/>
      <c r="G1939" s="266" t="s">
        <v>6304</v>
      </c>
      <c r="H1939" s="266" t="s">
        <v>14</v>
      </c>
      <c r="I1939" s="266"/>
      <c r="J1939" s="266"/>
      <c r="K1939" s="1"/>
      <c r="L1939" s="1"/>
    </row>
    <row r="1940">
      <c r="A1940" s="266">
        <v>3300.0</v>
      </c>
      <c r="B1940" s="266"/>
      <c r="C1940" s="266">
        <v>5.0</v>
      </c>
      <c r="D1940" s="266" t="s">
        <v>6306</v>
      </c>
      <c r="E1940" s="266"/>
      <c r="F1940" s="266"/>
      <c r="G1940" s="266" t="s">
        <v>6304</v>
      </c>
      <c r="H1940" s="266" t="s">
        <v>15</v>
      </c>
      <c r="I1940" s="266"/>
      <c r="J1940" s="266"/>
      <c r="K1940" s="1"/>
      <c r="L1940" s="1"/>
    </row>
    <row r="1941">
      <c r="A1941" s="266">
        <v>50.0</v>
      </c>
      <c r="B1941" s="266">
        <v>1.0</v>
      </c>
      <c r="C1941" s="266"/>
      <c r="D1941" s="266" t="s">
        <v>7802</v>
      </c>
      <c r="E1941" s="266"/>
      <c r="F1941" s="266"/>
      <c r="G1941" s="266"/>
      <c r="H1941" s="266"/>
      <c r="I1941" s="266"/>
      <c r="J1941" s="267"/>
    </row>
    <row r="1942">
      <c r="A1942" s="266">
        <v>100.0</v>
      </c>
      <c r="B1942" s="266"/>
      <c r="C1942" s="266">
        <v>5.0</v>
      </c>
      <c r="D1942" s="266" t="s">
        <v>5260</v>
      </c>
      <c r="E1942" s="266"/>
      <c r="F1942" s="266"/>
      <c r="G1942" s="266" t="s">
        <v>6304</v>
      </c>
      <c r="H1942" s="266" t="s">
        <v>551</v>
      </c>
      <c r="I1942" s="266"/>
      <c r="J1942" s="266"/>
      <c r="K1942" s="1"/>
      <c r="L1942" s="1"/>
    </row>
    <row r="1943">
      <c r="A1943" s="266">
        <v>200.0</v>
      </c>
      <c r="B1943" s="266"/>
      <c r="C1943" s="266">
        <v>5.0</v>
      </c>
      <c r="D1943" s="266" t="s">
        <v>7803</v>
      </c>
      <c r="E1943" s="266"/>
      <c r="F1943" s="266"/>
      <c r="G1943" s="266" t="s">
        <v>6304</v>
      </c>
      <c r="H1943" s="266" t="s">
        <v>544</v>
      </c>
      <c r="I1943" s="266" t="s">
        <v>6305</v>
      </c>
      <c r="J1943" s="266"/>
      <c r="K1943" s="1"/>
      <c r="L1943" s="1"/>
    </row>
    <row r="1944">
      <c r="A1944" s="266">
        <v>300.0</v>
      </c>
      <c r="B1944" s="266"/>
      <c r="C1944" s="266">
        <v>5.0</v>
      </c>
      <c r="D1944" s="266" t="s">
        <v>6306</v>
      </c>
      <c r="E1944" s="266"/>
      <c r="F1944" s="266"/>
      <c r="G1944" s="266" t="s">
        <v>6304</v>
      </c>
      <c r="H1944" s="266" t="s">
        <v>6743</v>
      </c>
      <c r="I1944" s="266"/>
      <c r="J1944" s="266"/>
      <c r="K1944" s="1"/>
      <c r="L1944" s="1"/>
    </row>
    <row r="1945">
      <c r="A1945" s="266">
        <v>50.0</v>
      </c>
      <c r="B1945" s="266">
        <v>1.0</v>
      </c>
      <c r="C1945" s="266"/>
      <c r="D1945" s="266" t="s">
        <v>7804</v>
      </c>
      <c r="E1945" s="266"/>
      <c r="F1945" s="266"/>
      <c r="G1945" s="266"/>
      <c r="H1945" s="266"/>
      <c r="I1945" s="266"/>
      <c r="J1945" s="267"/>
    </row>
    <row r="1946">
      <c r="A1946" s="266">
        <v>100.0</v>
      </c>
      <c r="B1946" s="266"/>
      <c r="C1946" s="266">
        <v>5.0</v>
      </c>
      <c r="D1946" s="266" t="s">
        <v>5260</v>
      </c>
      <c r="E1946" s="266"/>
      <c r="F1946" s="266"/>
      <c r="G1946" s="266" t="s">
        <v>6304</v>
      </c>
      <c r="H1946" s="266" t="s">
        <v>551</v>
      </c>
      <c r="I1946" s="266"/>
      <c r="J1946" s="266"/>
      <c r="K1946" s="1"/>
      <c r="L1946" s="1"/>
    </row>
    <row r="1947">
      <c r="A1947" s="266">
        <v>200.0</v>
      </c>
      <c r="B1947" s="266"/>
      <c r="C1947" s="266">
        <v>5.0</v>
      </c>
      <c r="D1947" s="266" t="s">
        <v>7805</v>
      </c>
      <c r="E1947" s="266"/>
      <c r="F1947" s="266"/>
      <c r="G1947" s="266" t="s">
        <v>6304</v>
      </c>
      <c r="H1947" s="266" t="s">
        <v>552</v>
      </c>
      <c r="I1947" s="266"/>
      <c r="J1947" s="266"/>
      <c r="K1947" s="1"/>
      <c r="L1947" s="1"/>
    </row>
    <row r="1948">
      <c r="A1948" s="266">
        <v>300.0</v>
      </c>
      <c r="B1948" s="266"/>
      <c r="C1948" s="266">
        <v>5.0</v>
      </c>
      <c r="D1948" s="266" t="s">
        <v>7806</v>
      </c>
      <c r="E1948" s="266"/>
      <c r="F1948" s="266"/>
      <c r="G1948" s="266" t="s">
        <v>6304</v>
      </c>
      <c r="H1948" s="266" t="s">
        <v>552</v>
      </c>
      <c r="I1948" s="266"/>
      <c r="J1948" s="266"/>
      <c r="K1948" s="1"/>
      <c r="L1948" s="1"/>
    </row>
    <row r="1949">
      <c r="A1949" s="266">
        <v>400.0</v>
      </c>
      <c r="B1949" s="266"/>
      <c r="C1949" s="266">
        <v>5.0</v>
      </c>
      <c r="D1949" s="266" t="s">
        <v>7807</v>
      </c>
      <c r="E1949" s="266"/>
      <c r="F1949" s="266"/>
      <c r="G1949" s="266" t="s">
        <v>6304</v>
      </c>
      <c r="H1949" s="266" t="s">
        <v>552</v>
      </c>
      <c r="I1949" s="266"/>
      <c r="J1949" s="266"/>
      <c r="K1949" s="1"/>
      <c r="L1949" s="1"/>
    </row>
    <row r="1950">
      <c r="A1950" s="266">
        <v>500.0</v>
      </c>
      <c r="B1950" s="266"/>
      <c r="C1950" s="266">
        <v>5.0</v>
      </c>
      <c r="D1950" s="266" t="s">
        <v>7190</v>
      </c>
      <c r="E1950" s="266"/>
      <c r="F1950" s="266"/>
      <c r="G1950" s="266"/>
      <c r="H1950" s="266"/>
      <c r="I1950" s="266"/>
      <c r="J1950" s="267"/>
    </row>
    <row r="1951">
      <c r="A1951" s="266">
        <v>600.0</v>
      </c>
      <c r="B1951" s="266"/>
      <c r="C1951" s="266">
        <v>10.0</v>
      </c>
      <c r="D1951" s="266" t="s">
        <v>7191</v>
      </c>
      <c r="E1951" s="266"/>
      <c r="F1951" s="266"/>
      <c r="G1951" s="266" t="s">
        <v>6304</v>
      </c>
      <c r="H1951" s="266">
        <v>9.0</v>
      </c>
      <c r="I1951" s="266"/>
      <c r="J1951" s="266"/>
      <c r="K1951" s="1"/>
      <c r="L1951" s="1"/>
    </row>
    <row r="1952">
      <c r="A1952" s="266">
        <v>700.0</v>
      </c>
      <c r="B1952" s="266"/>
      <c r="C1952" s="266">
        <v>10.0</v>
      </c>
      <c r="D1952" s="266" t="s">
        <v>7192</v>
      </c>
      <c r="E1952" s="266"/>
      <c r="F1952" s="266"/>
      <c r="G1952" s="266" t="s">
        <v>6304</v>
      </c>
      <c r="H1952" s="266">
        <v>9.0</v>
      </c>
      <c r="I1952" s="266"/>
      <c r="J1952" s="266"/>
      <c r="K1952" s="1"/>
      <c r="L1952" s="1"/>
    </row>
    <row r="1953">
      <c r="A1953" s="266">
        <v>800.0</v>
      </c>
      <c r="B1953" s="266"/>
      <c r="C1953" s="266">
        <v>5.0</v>
      </c>
      <c r="D1953" s="266" t="s">
        <v>6812</v>
      </c>
      <c r="E1953" s="266"/>
      <c r="F1953" s="266"/>
      <c r="G1953" s="266"/>
      <c r="H1953" s="266"/>
      <c r="I1953" s="266"/>
      <c r="J1953" s="267"/>
    </row>
    <row r="1954">
      <c r="A1954" s="266">
        <v>900.0</v>
      </c>
      <c r="B1954" s="266"/>
      <c r="C1954" s="266">
        <v>10.0</v>
      </c>
      <c r="D1954" s="266" t="s">
        <v>5139</v>
      </c>
      <c r="E1954" s="266"/>
      <c r="F1954" s="266"/>
      <c r="G1954" s="266" t="s">
        <v>6304</v>
      </c>
      <c r="H1954" s="266" t="s">
        <v>551</v>
      </c>
      <c r="I1954" s="266"/>
      <c r="J1954" s="266"/>
      <c r="K1954" s="1"/>
      <c r="L1954" s="1"/>
    </row>
    <row r="1955">
      <c r="A1955" s="266">
        <v>1000.0</v>
      </c>
      <c r="B1955" s="266"/>
      <c r="C1955" s="266">
        <v>10.0</v>
      </c>
      <c r="D1955" s="266" t="s">
        <v>5140</v>
      </c>
      <c r="E1955" s="266"/>
      <c r="F1955" s="266"/>
      <c r="G1955" s="266" t="s">
        <v>6304</v>
      </c>
      <c r="H1955" s="266" t="s">
        <v>551</v>
      </c>
      <c r="I1955" s="266"/>
      <c r="J1955" s="266"/>
      <c r="K1955" s="1"/>
      <c r="L1955" s="1"/>
    </row>
    <row r="1956">
      <c r="A1956" s="266">
        <v>1100.0</v>
      </c>
      <c r="B1956" s="266"/>
      <c r="C1956" s="266">
        <v>5.0</v>
      </c>
      <c r="D1956" s="266" t="s">
        <v>7808</v>
      </c>
      <c r="E1956" s="266"/>
      <c r="F1956" s="266"/>
      <c r="G1956" s="266" t="s">
        <v>6304</v>
      </c>
      <c r="H1956" s="266" t="s">
        <v>551</v>
      </c>
      <c r="I1956" s="266"/>
      <c r="J1956" s="266"/>
      <c r="K1956" s="1"/>
      <c r="L1956" s="1"/>
    </row>
    <row r="1957">
      <c r="A1957" s="266">
        <v>1200.0</v>
      </c>
      <c r="B1957" s="266"/>
      <c r="C1957" s="266">
        <v>5.0</v>
      </c>
      <c r="D1957" s="266" t="s">
        <v>6784</v>
      </c>
      <c r="E1957" s="266"/>
      <c r="F1957" s="266"/>
      <c r="G1957" s="266"/>
      <c r="H1957" s="266"/>
      <c r="I1957" s="266"/>
      <c r="J1957" s="267"/>
    </row>
    <row r="1958">
      <c r="A1958" s="266">
        <v>1300.0</v>
      </c>
      <c r="B1958" s="266"/>
      <c r="C1958" s="266">
        <v>10.0</v>
      </c>
      <c r="D1958" s="266" t="s">
        <v>5160</v>
      </c>
      <c r="E1958" s="266"/>
      <c r="F1958" s="266"/>
      <c r="G1958" s="266" t="s">
        <v>6304</v>
      </c>
      <c r="H1958" s="266" t="s">
        <v>552</v>
      </c>
      <c r="I1958" s="266"/>
      <c r="J1958" s="266"/>
      <c r="K1958" s="1"/>
      <c r="L1958" s="1"/>
    </row>
    <row r="1959">
      <c r="A1959" s="266">
        <v>1400.0</v>
      </c>
      <c r="B1959" s="266"/>
      <c r="C1959" s="266">
        <v>10.0</v>
      </c>
      <c r="D1959" s="266" t="s">
        <v>5161</v>
      </c>
      <c r="E1959" s="266"/>
      <c r="F1959" s="266"/>
      <c r="G1959" s="266" t="s">
        <v>6304</v>
      </c>
      <c r="H1959" s="266" t="s">
        <v>551</v>
      </c>
      <c r="I1959" s="266"/>
      <c r="J1959" s="266"/>
      <c r="K1959" s="1"/>
      <c r="L1959" s="1"/>
    </row>
    <row r="1960">
      <c r="A1960" s="266">
        <v>1500.0</v>
      </c>
      <c r="B1960" s="266"/>
      <c r="C1960" s="266">
        <v>5.0</v>
      </c>
      <c r="D1960" s="266" t="s">
        <v>7809</v>
      </c>
      <c r="E1960" s="266"/>
      <c r="F1960" s="266"/>
      <c r="G1960" s="266" t="s">
        <v>6304</v>
      </c>
      <c r="H1960" s="266" t="s">
        <v>5245</v>
      </c>
      <c r="I1960" s="266" t="s">
        <v>6305</v>
      </c>
      <c r="J1960" s="266"/>
      <c r="K1960" s="1"/>
      <c r="L1960" s="1"/>
    </row>
    <row r="1961">
      <c r="A1961" s="266">
        <v>1600.0</v>
      </c>
      <c r="B1961" s="266"/>
      <c r="C1961" s="266">
        <v>5.0</v>
      </c>
      <c r="D1961" s="266" t="s">
        <v>3847</v>
      </c>
      <c r="E1961" s="266"/>
      <c r="F1961" s="266"/>
      <c r="G1961" s="266" t="s">
        <v>6304</v>
      </c>
      <c r="H1961" s="266" t="s">
        <v>555</v>
      </c>
      <c r="I1961" s="266"/>
      <c r="J1961" s="266"/>
      <c r="K1961" s="1"/>
      <c r="L1961" s="1"/>
    </row>
    <row r="1962">
      <c r="A1962" s="266">
        <v>1700.0</v>
      </c>
      <c r="B1962" s="266"/>
      <c r="C1962" s="266">
        <v>5.0</v>
      </c>
      <c r="D1962" s="266" t="s">
        <v>7810</v>
      </c>
      <c r="E1962" s="266"/>
      <c r="F1962" s="266"/>
      <c r="G1962" s="266" t="s">
        <v>6304</v>
      </c>
      <c r="H1962" s="266" t="s">
        <v>5245</v>
      </c>
      <c r="I1962" s="266" t="s">
        <v>6305</v>
      </c>
      <c r="J1962" s="266"/>
      <c r="K1962" s="1"/>
      <c r="L1962" s="1"/>
    </row>
    <row r="1963">
      <c r="A1963" s="266">
        <v>1800.0</v>
      </c>
      <c r="B1963" s="266"/>
      <c r="C1963" s="266">
        <v>5.0</v>
      </c>
      <c r="D1963" s="266" t="s">
        <v>7811</v>
      </c>
      <c r="E1963" s="266"/>
      <c r="F1963" s="266"/>
      <c r="G1963" s="266" t="s">
        <v>6304</v>
      </c>
      <c r="H1963" s="266" t="s">
        <v>552</v>
      </c>
      <c r="I1963" s="266"/>
      <c r="J1963" s="266"/>
      <c r="K1963" s="1"/>
      <c r="L1963" s="1"/>
    </row>
    <row r="1964">
      <c r="A1964" s="266">
        <v>1900.0</v>
      </c>
      <c r="B1964" s="266"/>
      <c r="C1964" s="266">
        <v>5.0</v>
      </c>
      <c r="D1964" s="266" t="s">
        <v>7812</v>
      </c>
      <c r="E1964" s="266"/>
      <c r="F1964" s="266"/>
      <c r="G1964" s="266" t="s">
        <v>6304</v>
      </c>
      <c r="H1964" s="266" t="s">
        <v>552</v>
      </c>
      <c r="I1964" s="266"/>
      <c r="J1964" s="266"/>
      <c r="K1964" s="1"/>
      <c r="L1964" s="1"/>
    </row>
    <row r="1965">
      <c r="A1965" s="266">
        <v>2000.0</v>
      </c>
      <c r="B1965" s="266"/>
      <c r="C1965" s="266">
        <v>5.0</v>
      </c>
      <c r="D1965" s="266" t="s">
        <v>7813</v>
      </c>
      <c r="E1965" s="266"/>
      <c r="F1965" s="266"/>
      <c r="G1965" s="266" t="s">
        <v>6304</v>
      </c>
      <c r="H1965" s="266" t="s">
        <v>552</v>
      </c>
      <c r="I1965" s="266"/>
      <c r="J1965" s="266"/>
      <c r="K1965" s="1"/>
      <c r="L1965" s="1"/>
    </row>
    <row r="1966">
      <c r="A1966" s="266">
        <v>2100.0</v>
      </c>
      <c r="B1966" s="266"/>
      <c r="C1966" s="266">
        <v>5.0</v>
      </c>
      <c r="D1966" s="266" t="s">
        <v>7814</v>
      </c>
      <c r="E1966" s="266"/>
      <c r="F1966" s="266"/>
      <c r="G1966" s="266" t="s">
        <v>6304</v>
      </c>
      <c r="H1966" s="266" t="s">
        <v>6786</v>
      </c>
      <c r="I1966" s="266" t="s">
        <v>6305</v>
      </c>
      <c r="J1966" s="266"/>
      <c r="K1966" s="1"/>
      <c r="L1966" s="1"/>
    </row>
    <row r="1967">
      <c r="A1967" s="266">
        <v>2200.0</v>
      </c>
      <c r="B1967" s="266"/>
      <c r="C1967" s="266">
        <v>5.0</v>
      </c>
      <c r="D1967" s="266" t="s">
        <v>7815</v>
      </c>
      <c r="E1967" s="266"/>
      <c r="F1967" s="266"/>
      <c r="G1967" s="266" t="s">
        <v>6304</v>
      </c>
      <c r="H1967" s="266" t="s">
        <v>3806</v>
      </c>
      <c r="I1967" s="266"/>
      <c r="J1967" s="266"/>
      <c r="K1967" s="1"/>
      <c r="L1967" s="1"/>
    </row>
    <row r="1968">
      <c r="A1968" s="266">
        <v>2300.0</v>
      </c>
      <c r="B1968" s="266"/>
      <c r="C1968" s="266">
        <v>5.0</v>
      </c>
      <c r="D1968" s="266" t="s">
        <v>6767</v>
      </c>
      <c r="E1968" s="266"/>
      <c r="F1968" s="266"/>
      <c r="G1968" s="266" t="s">
        <v>6304</v>
      </c>
      <c r="H1968" s="266" t="s">
        <v>4103</v>
      </c>
      <c r="I1968" s="266"/>
      <c r="J1968" s="266"/>
      <c r="K1968" s="1"/>
      <c r="L1968" s="1"/>
    </row>
    <row r="1969">
      <c r="A1969" s="266">
        <v>2400.0</v>
      </c>
      <c r="B1969" s="266"/>
      <c r="C1969" s="266">
        <v>5.0</v>
      </c>
      <c r="D1969" s="266" t="s">
        <v>7816</v>
      </c>
      <c r="E1969" s="266"/>
      <c r="F1969" s="266"/>
      <c r="G1969" s="266" t="s">
        <v>6304</v>
      </c>
      <c r="H1969" s="266" t="s">
        <v>558</v>
      </c>
      <c r="I1969" s="266" t="s">
        <v>6305</v>
      </c>
      <c r="J1969" s="266"/>
      <c r="K1969" s="1"/>
      <c r="L1969" s="1"/>
    </row>
    <row r="1970">
      <c r="A1970" s="266">
        <v>2500.0</v>
      </c>
      <c r="B1970" s="266"/>
      <c r="C1970" s="266">
        <v>5.0</v>
      </c>
      <c r="D1970" s="266" t="s">
        <v>7817</v>
      </c>
      <c r="E1970" s="266"/>
      <c r="F1970" s="266"/>
      <c r="G1970" s="266" t="s">
        <v>6304</v>
      </c>
      <c r="H1970" s="266" t="s">
        <v>5245</v>
      </c>
      <c r="I1970" s="266" t="s">
        <v>6305</v>
      </c>
      <c r="J1970" s="266"/>
      <c r="K1970" s="1"/>
      <c r="L1970" s="1"/>
    </row>
    <row r="1971">
      <c r="A1971" s="266">
        <v>2600.0</v>
      </c>
      <c r="B1971" s="266"/>
      <c r="C1971" s="266">
        <v>5.0</v>
      </c>
      <c r="D1971" s="266" t="s">
        <v>7818</v>
      </c>
      <c r="E1971" s="266"/>
      <c r="F1971" s="266"/>
      <c r="G1971" s="266" t="s">
        <v>6304</v>
      </c>
      <c r="H1971" s="266" t="s">
        <v>552</v>
      </c>
      <c r="I1971" s="266"/>
      <c r="J1971" s="266"/>
      <c r="K1971" s="1"/>
      <c r="L1971" s="1"/>
    </row>
    <row r="1972">
      <c r="A1972" s="266">
        <v>2700.0</v>
      </c>
      <c r="B1972" s="266"/>
      <c r="C1972" s="266">
        <v>5.0</v>
      </c>
      <c r="D1972" s="266" t="s">
        <v>7819</v>
      </c>
      <c r="E1972" s="266"/>
      <c r="F1972" s="266"/>
      <c r="G1972" s="266" t="s">
        <v>6304</v>
      </c>
      <c r="H1972" s="266" t="s">
        <v>551</v>
      </c>
      <c r="I1972" s="266"/>
      <c r="J1972" s="266"/>
      <c r="K1972" s="1"/>
      <c r="L1972" s="1"/>
    </row>
    <row r="1973">
      <c r="A1973" s="266">
        <v>2800.0</v>
      </c>
      <c r="B1973" s="266"/>
      <c r="C1973" s="266">
        <v>5.0</v>
      </c>
      <c r="D1973" s="266" t="s">
        <v>6783</v>
      </c>
      <c r="E1973" s="266"/>
      <c r="F1973" s="266"/>
      <c r="G1973" s="266"/>
      <c r="H1973" s="266"/>
      <c r="I1973" s="266"/>
      <c r="J1973" s="267"/>
    </row>
    <row r="1974">
      <c r="A1974" s="266">
        <v>2900.0</v>
      </c>
      <c r="B1974" s="266"/>
      <c r="C1974" s="266">
        <v>10.0</v>
      </c>
      <c r="D1974" s="266" t="s">
        <v>5165</v>
      </c>
      <c r="E1974" s="266"/>
      <c r="F1974" s="266"/>
      <c r="G1974" s="266" t="s">
        <v>6304</v>
      </c>
      <c r="H1974" s="266">
        <v>9.0</v>
      </c>
      <c r="I1974" s="266"/>
      <c r="J1974" s="266"/>
      <c r="K1974" s="1"/>
      <c r="L1974" s="1"/>
    </row>
    <row r="1975">
      <c r="A1975" s="266">
        <v>3000.0</v>
      </c>
      <c r="B1975" s="266"/>
      <c r="C1975" s="266">
        <v>10.0</v>
      </c>
      <c r="D1975" s="266" t="s">
        <v>5166</v>
      </c>
      <c r="E1975" s="266"/>
      <c r="F1975" s="266"/>
      <c r="G1975" s="266" t="s">
        <v>6304</v>
      </c>
      <c r="H1975" s="266" t="s">
        <v>551</v>
      </c>
      <c r="I1975" s="266"/>
      <c r="J1975" s="266"/>
      <c r="K1975" s="1"/>
      <c r="L1975" s="1"/>
    </row>
    <row r="1976">
      <c r="A1976" s="266">
        <v>3100.0</v>
      </c>
      <c r="B1976" s="266"/>
      <c r="C1976" s="266">
        <v>5.0</v>
      </c>
      <c r="D1976" s="266" t="s">
        <v>7820</v>
      </c>
      <c r="E1976" s="266"/>
      <c r="F1976" s="266"/>
      <c r="G1976" s="266" t="s">
        <v>6304</v>
      </c>
      <c r="H1976" s="266" t="s">
        <v>552</v>
      </c>
      <c r="I1976" s="266"/>
      <c r="J1976" s="266"/>
      <c r="K1976" s="1"/>
      <c r="L1976" s="1"/>
    </row>
    <row r="1977">
      <c r="A1977" s="266">
        <v>3200.0</v>
      </c>
      <c r="B1977" s="266"/>
      <c r="C1977" s="266">
        <v>5.0</v>
      </c>
      <c r="D1977" s="266" t="s">
        <v>7821</v>
      </c>
      <c r="E1977" s="266"/>
      <c r="F1977" s="266"/>
      <c r="G1977" s="266" t="s">
        <v>6304</v>
      </c>
      <c r="H1977" s="266" t="s">
        <v>552</v>
      </c>
      <c r="I1977" s="266"/>
      <c r="J1977" s="266"/>
      <c r="K1977" s="1"/>
      <c r="L1977" s="1"/>
    </row>
    <row r="1978">
      <c r="A1978" s="266">
        <v>3300.0</v>
      </c>
      <c r="B1978" s="266"/>
      <c r="C1978" s="266">
        <v>5.0</v>
      </c>
      <c r="D1978" s="266" t="s">
        <v>7822</v>
      </c>
      <c r="E1978" s="266"/>
      <c r="F1978" s="266"/>
      <c r="G1978" s="266" t="s">
        <v>6304</v>
      </c>
      <c r="H1978" s="266" t="s">
        <v>552</v>
      </c>
      <c r="I1978" s="266"/>
      <c r="J1978" s="266"/>
      <c r="K1978" s="1"/>
      <c r="L1978" s="1"/>
    </row>
    <row r="1979">
      <c r="A1979" s="266">
        <v>3400.0</v>
      </c>
      <c r="B1979" s="266"/>
      <c r="C1979" s="266">
        <v>5.0</v>
      </c>
      <c r="D1979" s="266" t="s">
        <v>7823</v>
      </c>
      <c r="E1979" s="266"/>
      <c r="F1979" s="266"/>
      <c r="G1979" s="266" t="s">
        <v>6304</v>
      </c>
      <c r="H1979" s="266" t="s">
        <v>555</v>
      </c>
      <c r="I1979" s="266"/>
      <c r="J1979" s="266"/>
      <c r="K1979" s="1"/>
      <c r="L1979" s="1"/>
    </row>
    <row r="1980">
      <c r="A1980" s="266">
        <v>3500.0</v>
      </c>
      <c r="B1980" s="266"/>
      <c r="C1980" s="266">
        <v>5.0</v>
      </c>
      <c r="D1980" s="266" t="s">
        <v>7824</v>
      </c>
      <c r="E1980" s="266"/>
      <c r="F1980" s="266"/>
      <c r="G1980" s="266" t="s">
        <v>6304</v>
      </c>
      <c r="H1980" s="266" t="s">
        <v>552</v>
      </c>
      <c r="I1980" s="266"/>
      <c r="J1980" s="266"/>
      <c r="K1980" s="1"/>
      <c r="L1980" s="1"/>
    </row>
    <row r="1981">
      <c r="A1981" s="266">
        <v>3600.0</v>
      </c>
      <c r="B1981" s="266"/>
      <c r="C1981" s="266">
        <v>5.0</v>
      </c>
      <c r="D1981" s="266" t="s">
        <v>7825</v>
      </c>
      <c r="E1981" s="266"/>
      <c r="F1981" s="266"/>
      <c r="G1981" s="266" t="s">
        <v>6304</v>
      </c>
      <c r="H1981" s="266" t="s">
        <v>3807</v>
      </c>
      <c r="I1981" s="266"/>
      <c r="J1981" s="266"/>
      <c r="K1981" s="1"/>
      <c r="L1981" s="1"/>
    </row>
    <row r="1982">
      <c r="A1982" s="266">
        <v>3700.0</v>
      </c>
      <c r="B1982" s="266"/>
      <c r="C1982" s="266">
        <v>5.0</v>
      </c>
      <c r="D1982" s="266" t="s">
        <v>7826</v>
      </c>
      <c r="E1982" s="266"/>
      <c r="F1982" s="266"/>
      <c r="G1982" s="266" t="s">
        <v>6304</v>
      </c>
      <c r="H1982" s="266" t="s">
        <v>552</v>
      </c>
      <c r="I1982" s="266"/>
      <c r="J1982" s="266"/>
      <c r="K1982" s="1"/>
      <c r="L1982" s="1"/>
    </row>
    <row r="1983">
      <c r="A1983" s="266">
        <v>3800.0</v>
      </c>
      <c r="B1983" s="266"/>
      <c r="C1983" s="266">
        <v>5.0</v>
      </c>
      <c r="D1983" s="266" t="s">
        <v>6838</v>
      </c>
      <c r="E1983" s="266"/>
      <c r="F1983" s="266"/>
      <c r="G1983" s="266" t="s">
        <v>6304</v>
      </c>
      <c r="H1983" s="266" t="s">
        <v>552</v>
      </c>
      <c r="I1983" s="266"/>
      <c r="J1983" s="266"/>
      <c r="K1983" s="1"/>
      <c r="L1983" s="1"/>
    </row>
    <row r="1984">
      <c r="A1984" s="266">
        <v>3900.0</v>
      </c>
      <c r="B1984" s="266"/>
      <c r="C1984" s="266">
        <v>5.0</v>
      </c>
      <c r="D1984" s="266" t="s">
        <v>7827</v>
      </c>
      <c r="E1984" s="266"/>
      <c r="F1984" s="266"/>
      <c r="G1984" s="266" t="s">
        <v>6304</v>
      </c>
      <c r="H1984" s="266" t="s">
        <v>7828</v>
      </c>
      <c r="I1984" s="266" t="s">
        <v>6305</v>
      </c>
      <c r="J1984" s="266"/>
      <c r="K1984" s="1"/>
      <c r="L1984" s="1"/>
    </row>
    <row r="1985">
      <c r="A1985" s="266">
        <v>4000.0</v>
      </c>
      <c r="B1985" s="266"/>
      <c r="C1985" s="266">
        <v>5.0</v>
      </c>
      <c r="D1985" s="266" t="s">
        <v>7829</v>
      </c>
      <c r="E1985" s="266"/>
      <c r="F1985" s="266"/>
      <c r="G1985" s="266" t="s">
        <v>6304</v>
      </c>
      <c r="H1985" s="266" t="s">
        <v>559</v>
      </c>
      <c r="I1985" s="266"/>
      <c r="J1985" s="266"/>
      <c r="K1985" s="1"/>
      <c r="L1985" s="1"/>
    </row>
    <row r="1986">
      <c r="A1986" s="266">
        <v>4100.0</v>
      </c>
      <c r="B1986" s="266"/>
      <c r="C1986" s="266">
        <v>5.0</v>
      </c>
      <c r="D1986" s="266" t="s">
        <v>7830</v>
      </c>
      <c r="E1986" s="266"/>
      <c r="F1986" s="266"/>
      <c r="G1986" s="266" t="s">
        <v>6304</v>
      </c>
      <c r="H1986" s="266" t="s">
        <v>5245</v>
      </c>
      <c r="I1986" s="266" t="s">
        <v>6305</v>
      </c>
      <c r="J1986" s="266"/>
      <c r="K1986" s="1"/>
      <c r="L1986" s="1"/>
    </row>
    <row r="1987">
      <c r="A1987" s="266">
        <v>4200.0</v>
      </c>
      <c r="B1987" s="266"/>
      <c r="C1987" s="266">
        <v>5.0</v>
      </c>
      <c r="D1987" s="266" t="s">
        <v>7831</v>
      </c>
      <c r="E1987" s="266"/>
      <c r="F1987" s="266"/>
      <c r="G1987" s="266" t="s">
        <v>6304</v>
      </c>
      <c r="H1987" s="266" t="s">
        <v>3806</v>
      </c>
      <c r="I1987" s="266"/>
      <c r="J1987" s="266"/>
      <c r="K1987" s="1"/>
      <c r="L1987" s="1"/>
    </row>
    <row r="1988">
      <c r="A1988" s="266">
        <v>4300.0</v>
      </c>
      <c r="B1988" s="266"/>
      <c r="C1988" s="266">
        <v>5.0</v>
      </c>
      <c r="D1988" s="266" t="s">
        <v>7832</v>
      </c>
      <c r="E1988" s="266"/>
      <c r="F1988" s="266"/>
      <c r="G1988" s="266" t="s">
        <v>6304</v>
      </c>
      <c r="H1988" s="266" t="s">
        <v>555</v>
      </c>
      <c r="I1988" s="266"/>
      <c r="J1988" s="266"/>
      <c r="K1988" s="1"/>
      <c r="L1988" s="1"/>
    </row>
    <row r="1989">
      <c r="A1989" s="266">
        <v>4400.0</v>
      </c>
      <c r="B1989" s="266"/>
      <c r="C1989" s="266">
        <v>5.0</v>
      </c>
      <c r="D1989" s="266" t="s">
        <v>7833</v>
      </c>
      <c r="E1989" s="266"/>
      <c r="F1989" s="266"/>
      <c r="G1989" s="266" t="s">
        <v>6304</v>
      </c>
      <c r="H1989" s="266" t="s">
        <v>551</v>
      </c>
      <c r="I1989" s="266"/>
      <c r="J1989" s="266"/>
      <c r="K1989" s="1"/>
      <c r="L1989" s="1"/>
    </row>
    <row r="1990">
      <c r="A1990" s="266">
        <v>4500.0</v>
      </c>
      <c r="B1990" s="266"/>
      <c r="C1990" s="266">
        <v>5.0</v>
      </c>
      <c r="D1990" s="266" t="s">
        <v>7834</v>
      </c>
      <c r="E1990" s="266"/>
      <c r="F1990" s="266"/>
      <c r="G1990" s="266" t="s">
        <v>6304</v>
      </c>
      <c r="H1990" s="266" t="s">
        <v>558</v>
      </c>
      <c r="I1990" s="266" t="s">
        <v>6305</v>
      </c>
      <c r="J1990" s="266"/>
      <c r="K1990" s="1"/>
      <c r="L1990" s="1"/>
    </row>
    <row r="1991">
      <c r="A1991" s="266">
        <v>4600.0</v>
      </c>
      <c r="B1991" s="266"/>
      <c r="C1991" s="266">
        <v>5.0</v>
      </c>
      <c r="D1991" s="266" t="s">
        <v>6841</v>
      </c>
      <c r="E1991" s="266"/>
      <c r="F1991" s="266"/>
      <c r="G1991" s="266" t="s">
        <v>6304</v>
      </c>
      <c r="H1991" s="266">
        <v>99.0</v>
      </c>
      <c r="I1991" s="266"/>
      <c r="J1991" s="266"/>
      <c r="K1991" s="1"/>
      <c r="L1991" s="1"/>
    </row>
    <row r="1992">
      <c r="A1992" s="266">
        <v>4700.0</v>
      </c>
      <c r="B1992" s="266"/>
      <c r="C1992" s="266">
        <v>5.0</v>
      </c>
      <c r="D1992" s="266" t="s">
        <v>6842</v>
      </c>
      <c r="E1992" s="266"/>
      <c r="F1992" s="266"/>
      <c r="G1992" s="266" t="s">
        <v>6304</v>
      </c>
      <c r="H1992" s="266">
        <v>999.0</v>
      </c>
      <c r="I1992" s="266"/>
      <c r="J1992" s="266"/>
      <c r="K1992" s="1"/>
      <c r="L1992" s="1"/>
    </row>
    <row r="1993">
      <c r="A1993" s="266">
        <v>4800.0</v>
      </c>
      <c r="B1993" s="266"/>
      <c r="C1993" s="266">
        <v>5.0</v>
      </c>
      <c r="D1993" s="266" t="s">
        <v>6306</v>
      </c>
      <c r="E1993" s="266"/>
      <c r="F1993" s="266"/>
      <c r="G1993" s="266" t="s">
        <v>6304</v>
      </c>
      <c r="H1993" s="266" t="s">
        <v>6790</v>
      </c>
      <c r="I1993" s="266"/>
      <c r="J1993" s="266"/>
      <c r="K1993" s="1"/>
      <c r="L1993" s="1"/>
    </row>
    <row r="1994">
      <c r="A1994" s="266">
        <v>50.0</v>
      </c>
      <c r="B1994" s="266">
        <v>1.0</v>
      </c>
      <c r="C1994" s="266"/>
      <c r="D1994" s="266" t="s">
        <v>7835</v>
      </c>
      <c r="E1994" s="266"/>
      <c r="F1994" s="266"/>
      <c r="G1994" s="266"/>
      <c r="H1994" s="266"/>
      <c r="I1994" s="266"/>
      <c r="J1994" s="267"/>
    </row>
    <row r="1995">
      <c r="A1995" s="266">
        <v>100.0</v>
      </c>
      <c r="B1995" s="266"/>
      <c r="C1995" s="266">
        <v>5.0</v>
      </c>
      <c r="D1995" s="266" t="s">
        <v>3801</v>
      </c>
      <c r="E1995" s="266"/>
      <c r="F1995" s="266"/>
      <c r="G1995" s="266" t="s">
        <v>6304</v>
      </c>
      <c r="H1995" s="266" t="s">
        <v>3793</v>
      </c>
      <c r="I1995" s="266"/>
      <c r="J1995" s="266"/>
      <c r="K1995" s="1"/>
      <c r="L1995" s="1"/>
    </row>
    <row r="1996">
      <c r="A1996" s="266">
        <v>200.0</v>
      </c>
      <c r="B1996" s="266"/>
      <c r="C1996" s="266">
        <v>5.0</v>
      </c>
      <c r="D1996" s="266" t="s">
        <v>6829</v>
      </c>
      <c r="E1996" s="266" t="s">
        <v>6603</v>
      </c>
      <c r="F1996" s="266" t="s">
        <v>6830</v>
      </c>
      <c r="G1996" s="266"/>
      <c r="H1996" s="266"/>
      <c r="I1996" s="266"/>
      <c r="J1996" s="267"/>
    </row>
    <row r="1997">
      <c r="A1997" s="266">
        <v>300.0</v>
      </c>
      <c r="B1997" s="266"/>
      <c r="C1997" s="266">
        <v>10.0</v>
      </c>
      <c r="D1997" s="266" t="s">
        <v>3802</v>
      </c>
      <c r="E1997" s="266"/>
      <c r="F1997" s="266"/>
      <c r="G1997" s="266" t="s">
        <v>6304</v>
      </c>
      <c r="H1997" s="266" t="s">
        <v>3794</v>
      </c>
      <c r="I1997" s="266"/>
      <c r="J1997" s="266"/>
      <c r="K1997" s="1"/>
      <c r="L1997" s="1"/>
    </row>
    <row r="1998">
      <c r="A1998" s="266">
        <v>400.0</v>
      </c>
      <c r="B1998" s="266"/>
      <c r="C1998" s="266">
        <v>10.0</v>
      </c>
      <c r="D1998" s="266" t="s">
        <v>3803</v>
      </c>
      <c r="E1998" s="266"/>
      <c r="F1998" s="266"/>
      <c r="G1998" s="266" t="s">
        <v>6304</v>
      </c>
      <c r="H1998" s="266" t="s">
        <v>3795</v>
      </c>
      <c r="I1998" s="266"/>
      <c r="J1998" s="266"/>
      <c r="K1998" s="1"/>
      <c r="L1998" s="1"/>
    </row>
    <row r="1999">
      <c r="A1999" s="266">
        <v>500.0</v>
      </c>
      <c r="B1999" s="266"/>
      <c r="C1999" s="266">
        <v>10.0</v>
      </c>
      <c r="D1999" s="266" t="s">
        <v>3804</v>
      </c>
      <c r="E1999" s="266"/>
      <c r="F1999" s="266"/>
      <c r="G1999" s="266" t="s">
        <v>6304</v>
      </c>
      <c r="H1999" s="266" t="s">
        <v>3796</v>
      </c>
      <c r="I1999" s="266"/>
      <c r="J1999" s="266"/>
      <c r="K1999" s="1"/>
      <c r="L1999" s="1"/>
    </row>
    <row r="2000">
      <c r="A2000" s="266">
        <v>600.0</v>
      </c>
      <c r="B2000" s="266"/>
      <c r="C2000" s="266">
        <v>5.0</v>
      </c>
      <c r="D2000" s="266" t="s">
        <v>7836</v>
      </c>
      <c r="E2000" s="266"/>
      <c r="F2000" s="266"/>
      <c r="G2000" s="266" t="s">
        <v>6304</v>
      </c>
      <c r="H2000" s="266">
        <v>9.0</v>
      </c>
      <c r="I2000" s="266"/>
      <c r="J2000" s="266"/>
      <c r="K2000" s="1"/>
      <c r="L2000" s="1"/>
    </row>
    <row r="2001">
      <c r="A2001" s="266">
        <v>50.0</v>
      </c>
      <c r="B2001" s="266">
        <v>1.0</v>
      </c>
      <c r="C2001" s="266"/>
      <c r="D2001" s="266" t="s">
        <v>7837</v>
      </c>
      <c r="E2001" s="266"/>
      <c r="F2001" s="266"/>
      <c r="G2001" s="266"/>
      <c r="H2001" s="266"/>
      <c r="I2001" s="266"/>
      <c r="J2001" s="267"/>
    </row>
    <row r="2002">
      <c r="A2002" s="266">
        <v>100.0</v>
      </c>
      <c r="B2002" s="266"/>
      <c r="C2002" s="266">
        <v>5.0</v>
      </c>
      <c r="D2002" s="266" t="s">
        <v>7838</v>
      </c>
      <c r="E2002" s="266"/>
      <c r="F2002" s="266"/>
      <c r="G2002" s="266"/>
      <c r="H2002" s="266"/>
      <c r="I2002" s="266"/>
      <c r="J2002" s="267"/>
    </row>
    <row r="2003">
      <c r="A2003" s="266">
        <v>200.0</v>
      </c>
      <c r="B2003" s="266"/>
      <c r="C2003" s="266">
        <v>10.0</v>
      </c>
      <c r="D2003" s="266" t="s">
        <v>7839</v>
      </c>
      <c r="E2003" s="266"/>
      <c r="F2003" s="266"/>
      <c r="G2003" s="266" t="s">
        <v>6304</v>
      </c>
      <c r="H2003" s="266" t="s">
        <v>557</v>
      </c>
      <c r="I2003" s="266"/>
      <c r="J2003" s="266"/>
      <c r="K2003" s="1"/>
      <c r="L2003" s="1"/>
    </row>
    <row r="2004">
      <c r="A2004" s="266">
        <v>300.0</v>
      </c>
      <c r="B2004" s="266"/>
      <c r="C2004" s="266">
        <v>88.0</v>
      </c>
      <c r="D2004" s="266" t="s">
        <v>7840</v>
      </c>
      <c r="E2004" s="266" t="s">
        <v>6621</v>
      </c>
      <c r="F2004" s="269" t="s">
        <v>6622</v>
      </c>
      <c r="G2004" s="266"/>
      <c r="H2004" s="266"/>
      <c r="I2004" s="266"/>
      <c r="J2004" s="267"/>
    </row>
    <row r="2005">
      <c r="A2005" s="266">
        <v>400.0</v>
      </c>
      <c r="B2005" s="266"/>
      <c r="C2005" s="266">
        <v>88.0</v>
      </c>
      <c r="D2005" s="266" t="s">
        <v>7841</v>
      </c>
      <c r="E2005" s="266" t="s">
        <v>6621</v>
      </c>
      <c r="F2005" s="269" t="s">
        <v>6624</v>
      </c>
      <c r="G2005" s="266"/>
      <c r="H2005" s="266"/>
      <c r="I2005" s="266"/>
      <c r="J2005" s="267"/>
    </row>
    <row r="2006">
      <c r="A2006" s="266">
        <v>500.0</v>
      </c>
      <c r="B2006" s="266"/>
      <c r="C2006" s="266">
        <v>88.0</v>
      </c>
      <c r="D2006" s="266" t="s">
        <v>7842</v>
      </c>
      <c r="E2006" s="266" t="s">
        <v>6621</v>
      </c>
      <c r="F2006" s="269" t="s">
        <v>6626</v>
      </c>
      <c r="G2006" s="266"/>
      <c r="H2006" s="266"/>
      <c r="I2006" s="266"/>
      <c r="J2006" s="267"/>
    </row>
    <row r="2007">
      <c r="A2007" s="266">
        <v>600.0</v>
      </c>
      <c r="B2007" s="266"/>
      <c r="C2007" s="266">
        <v>88.0</v>
      </c>
      <c r="D2007" s="266" t="s">
        <v>7843</v>
      </c>
      <c r="E2007" s="266" t="s">
        <v>6621</v>
      </c>
      <c r="F2007" s="269" t="s">
        <v>6628</v>
      </c>
      <c r="G2007" s="266"/>
      <c r="H2007" s="266"/>
      <c r="I2007" s="266"/>
      <c r="J2007" s="267"/>
    </row>
    <row r="2008">
      <c r="A2008" s="266">
        <v>700.0</v>
      </c>
      <c r="B2008" s="266"/>
      <c r="C2008" s="266">
        <v>88.0</v>
      </c>
      <c r="D2008" s="266" t="s">
        <v>7844</v>
      </c>
      <c r="E2008" s="266" t="s">
        <v>6621</v>
      </c>
      <c r="F2008" s="269" t="s">
        <v>6630</v>
      </c>
      <c r="G2008" s="266"/>
      <c r="H2008" s="266"/>
      <c r="I2008" s="266"/>
      <c r="J2008" s="267"/>
    </row>
    <row r="2009">
      <c r="A2009" s="266">
        <v>800.0</v>
      </c>
      <c r="B2009" s="266"/>
      <c r="C2009" s="266">
        <v>88.0</v>
      </c>
      <c r="D2009" s="266" t="s">
        <v>7845</v>
      </c>
      <c r="E2009" s="266" t="s">
        <v>6621</v>
      </c>
      <c r="F2009" s="269" t="s">
        <v>6632</v>
      </c>
      <c r="G2009" s="266"/>
      <c r="H2009" s="266"/>
      <c r="I2009" s="266"/>
      <c r="J2009" s="267"/>
    </row>
    <row r="2010">
      <c r="A2010" s="266">
        <v>900.0</v>
      </c>
      <c r="B2010" s="266"/>
      <c r="C2010" s="266">
        <v>10.0</v>
      </c>
      <c r="D2010" s="266" t="s">
        <v>7846</v>
      </c>
      <c r="E2010" s="266"/>
      <c r="F2010" s="266"/>
      <c r="G2010" s="266" t="s">
        <v>6304</v>
      </c>
      <c r="H2010" s="266" t="s">
        <v>551</v>
      </c>
      <c r="I2010" s="266"/>
      <c r="J2010" s="266"/>
      <c r="K2010" s="1"/>
      <c r="L2010" s="1"/>
    </row>
    <row r="2011">
      <c r="A2011" s="266">
        <v>1000.0</v>
      </c>
      <c r="B2011" s="266"/>
      <c r="C2011" s="266">
        <v>10.0</v>
      </c>
      <c r="D2011" s="266" t="s">
        <v>7847</v>
      </c>
      <c r="E2011" s="266"/>
      <c r="F2011" s="266"/>
      <c r="G2011" s="266" t="s">
        <v>6304</v>
      </c>
      <c r="H2011" s="266" t="s">
        <v>556</v>
      </c>
      <c r="I2011" s="266"/>
      <c r="J2011" s="266"/>
      <c r="K2011" s="1"/>
      <c r="L2011" s="1"/>
    </row>
    <row r="2012">
      <c r="A2012" s="266">
        <v>1100.0</v>
      </c>
      <c r="B2012" s="266"/>
      <c r="C2012" s="266">
        <v>5.0</v>
      </c>
      <c r="D2012" s="266" t="s">
        <v>7848</v>
      </c>
      <c r="E2012" s="266"/>
      <c r="F2012" s="266"/>
      <c r="G2012" s="266"/>
      <c r="H2012" s="266"/>
      <c r="I2012" s="266"/>
      <c r="J2012" s="267"/>
    </row>
    <row r="2013">
      <c r="A2013" s="266">
        <v>1200.0</v>
      </c>
      <c r="B2013" s="266"/>
      <c r="C2013" s="266">
        <v>10.0</v>
      </c>
      <c r="D2013" s="266" t="s">
        <v>7849</v>
      </c>
      <c r="E2013" s="266"/>
      <c r="F2013" s="266"/>
      <c r="G2013" s="266" t="s">
        <v>6304</v>
      </c>
      <c r="H2013" s="266" t="s">
        <v>557</v>
      </c>
      <c r="I2013" s="266"/>
      <c r="J2013" s="266"/>
      <c r="K2013" s="1"/>
      <c r="L2013" s="1"/>
    </row>
    <row r="2014">
      <c r="A2014" s="266">
        <v>1300.0</v>
      </c>
      <c r="B2014" s="266"/>
      <c r="C2014" s="266">
        <v>88.0</v>
      </c>
      <c r="D2014" s="266" t="s">
        <v>7850</v>
      </c>
      <c r="E2014" s="266" t="s">
        <v>6621</v>
      </c>
      <c r="F2014" s="269" t="s">
        <v>6622</v>
      </c>
      <c r="G2014" s="266"/>
      <c r="H2014" s="266"/>
      <c r="I2014" s="266"/>
      <c r="J2014" s="267"/>
    </row>
    <row r="2015">
      <c r="A2015" s="266">
        <v>1400.0</v>
      </c>
      <c r="B2015" s="266"/>
      <c r="C2015" s="266">
        <v>88.0</v>
      </c>
      <c r="D2015" s="266" t="s">
        <v>7851</v>
      </c>
      <c r="E2015" s="266" t="s">
        <v>6621</v>
      </c>
      <c r="F2015" s="269" t="s">
        <v>6624</v>
      </c>
      <c r="G2015" s="266"/>
      <c r="H2015" s="266"/>
      <c r="I2015" s="266"/>
      <c r="J2015" s="267"/>
    </row>
    <row r="2016">
      <c r="A2016" s="266">
        <v>1500.0</v>
      </c>
      <c r="B2016" s="266"/>
      <c r="C2016" s="266">
        <v>88.0</v>
      </c>
      <c r="D2016" s="266" t="s">
        <v>7852</v>
      </c>
      <c r="E2016" s="266" t="s">
        <v>6621</v>
      </c>
      <c r="F2016" s="269" t="s">
        <v>6626</v>
      </c>
      <c r="G2016" s="266"/>
      <c r="H2016" s="266"/>
      <c r="I2016" s="266"/>
      <c r="J2016" s="267"/>
    </row>
    <row r="2017">
      <c r="A2017" s="266">
        <v>1600.0</v>
      </c>
      <c r="B2017" s="266"/>
      <c r="C2017" s="266">
        <v>88.0</v>
      </c>
      <c r="D2017" s="266" t="s">
        <v>7853</v>
      </c>
      <c r="E2017" s="266" t="s">
        <v>6621</v>
      </c>
      <c r="F2017" s="269" t="s">
        <v>6628</v>
      </c>
      <c r="G2017" s="266"/>
      <c r="H2017" s="266"/>
      <c r="I2017" s="266"/>
      <c r="J2017" s="267"/>
    </row>
    <row r="2018">
      <c r="A2018" s="266">
        <v>1700.0</v>
      </c>
      <c r="B2018" s="266"/>
      <c r="C2018" s="266">
        <v>88.0</v>
      </c>
      <c r="D2018" s="266" t="s">
        <v>7854</v>
      </c>
      <c r="E2018" s="266" t="s">
        <v>6621</v>
      </c>
      <c r="F2018" s="269" t="s">
        <v>6630</v>
      </c>
      <c r="G2018" s="266"/>
      <c r="H2018" s="266"/>
      <c r="I2018" s="266"/>
      <c r="J2018" s="267"/>
    </row>
    <row r="2019">
      <c r="A2019" s="266">
        <v>1800.0</v>
      </c>
      <c r="B2019" s="266"/>
      <c r="C2019" s="266">
        <v>88.0</v>
      </c>
      <c r="D2019" s="266" t="s">
        <v>7855</v>
      </c>
      <c r="E2019" s="266" t="s">
        <v>6621</v>
      </c>
      <c r="F2019" s="269" t="s">
        <v>6632</v>
      </c>
      <c r="G2019" s="266"/>
      <c r="H2019" s="266"/>
      <c r="I2019" s="266"/>
      <c r="J2019" s="267"/>
    </row>
    <row r="2020">
      <c r="A2020" s="266">
        <v>1900.0</v>
      </c>
      <c r="B2020" s="266"/>
      <c r="C2020" s="266">
        <v>10.0</v>
      </c>
      <c r="D2020" s="266" t="s">
        <v>7856</v>
      </c>
      <c r="E2020" s="266"/>
      <c r="F2020" s="266"/>
      <c r="G2020" s="266" t="s">
        <v>6304</v>
      </c>
      <c r="H2020" s="266" t="s">
        <v>551</v>
      </c>
      <c r="I2020" s="266"/>
      <c r="J2020" s="266"/>
      <c r="K2020" s="1"/>
      <c r="L2020" s="1"/>
    </row>
    <row r="2021">
      <c r="A2021" s="266">
        <v>2000.0</v>
      </c>
      <c r="B2021" s="266"/>
      <c r="C2021" s="266">
        <v>10.0</v>
      </c>
      <c r="D2021" s="266" t="s">
        <v>7857</v>
      </c>
      <c r="E2021" s="266"/>
      <c r="F2021" s="266"/>
      <c r="G2021" s="266" t="s">
        <v>6304</v>
      </c>
      <c r="H2021" s="266" t="s">
        <v>556</v>
      </c>
      <c r="I2021" s="266"/>
      <c r="J2021" s="266"/>
      <c r="K2021" s="1"/>
      <c r="L2021" s="1"/>
    </row>
    <row r="2022">
      <c r="A2022" s="266">
        <v>2100.0</v>
      </c>
      <c r="B2022" s="266"/>
      <c r="C2022" s="266">
        <v>5.0</v>
      </c>
      <c r="D2022" s="266" t="s">
        <v>6306</v>
      </c>
      <c r="E2022" s="266"/>
      <c r="F2022" s="266"/>
      <c r="G2022" s="266" t="s">
        <v>6304</v>
      </c>
      <c r="H2022" s="266" t="s">
        <v>6489</v>
      </c>
      <c r="I2022" s="266"/>
      <c r="J2022" s="266"/>
      <c r="K2022" s="1"/>
      <c r="L2022" s="1"/>
    </row>
    <row r="2023">
      <c r="A2023" s="266">
        <v>50.0</v>
      </c>
      <c r="B2023" s="266">
        <v>1.0</v>
      </c>
      <c r="C2023" s="266"/>
      <c r="D2023" s="266" t="s">
        <v>7858</v>
      </c>
      <c r="E2023" s="266"/>
      <c r="F2023" s="266"/>
      <c r="G2023" s="266"/>
      <c r="H2023" s="266"/>
      <c r="I2023" s="266"/>
      <c r="J2023" s="267"/>
    </row>
    <row r="2024">
      <c r="A2024" s="266">
        <v>100.0</v>
      </c>
      <c r="B2024" s="266"/>
      <c r="C2024" s="266">
        <v>5.0</v>
      </c>
      <c r="D2024" s="266" t="s">
        <v>6768</v>
      </c>
      <c r="E2024" s="266"/>
      <c r="F2024" s="266"/>
      <c r="G2024" s="266" t="s">
        <v>6304</v>
      </c>
      <c r="H2024" s="266" t="s">
        <v>3794</v>
      </c>
      <c r="I2024" s="266"/>
      <c r="J2024" s="266"/>
      <c r="K2024" s="1"/>
      <c r="L2024" s="1"/>
    </row>
    <row r="2025">
      <c r="A2025" s="266">
        <v>200.0</v>
      </c>
      <c r="B2025" s="266"/>
      <c r="C2025" s="266">
        <v>5.0</v>
      </c>
      <c r="D2025" s="266" t="s">
        <v>6875</v>
      </c>
      <c r="E2025" s="266"/>
      <c r="F2025" s="266"/>
      <c r="G2025" s="266"/>
      <c r="H2025" s="266"/>
      <c r="I2025" s="266"/>
      <c r="J2025" s="267"/>
    </row>
    <row r="2026">
      <c r="A2026" s="266">
        <v>300.0</v>
      </c>
      <c r="B2026" s="266"/>
      <c r="C2026" s="266">
        <v>10.0</v>
      </c>
      <c r="D2026" s="266" t="s">
        <v>3802</v>
      </c>
      <c r="E2026" s="266"/>
      <c r="F2026" s="266"/>
      <c r="G2026" s="266" t="s">
        <v>6304</v>
      </c>
      <c r="H2026" s="266" t="s">
        <v>3794</v>
      </c>
      <c r="I2026" s="266"/>
      <c r="J2026" s="266"/>
      <c r="K2026" s="1"/>
      <c r="L2026" s="1"/>
    </row>
    <row r="2027">
      <c r="A2027" s="266">
        <v>400.0</v>
      </c>
      <c r="B2027" s="266"/>
      <c r="C2027" s="266">
        <v>10.0</v>
      </c>
      <c r="D2027" s="266" t="s">
        <v>3803</v>
      </c>
      <c r="E2027" s="266"/>
      <c r="F2027" s="266"/>
      <c r="G2027" s="266" t="s">
        <v>6304</v>
      </c>
      <c r="H2027" s="266" t="s">
        <v>3795</v>
      </c>
      <c r="I2027" s="266"/>
      <c r="J2027" s="266"/>
      <c r="K2027" s="1"/>
      <c r="L2027" s="1"/>
    </row>
    <row r="2028">
      <c r="A2028" s="266">
        <v>500.0</v>
      </c>
      <c r="B2028" s="266"/>
      <c r="C2028" s="266">
        <v>10.0</v>
      </c>
      <c r="D2028" s="266" t="s">
        <v>3804</v>
      </c>
      <c r="E2028" s="266"/>
      <c r="F2028" s="266"/>
      <c r="G2028" s="266" t="s">
        <v>6304</v>
      </c>
      <c r="H2028" s="266" t="s">
        <v>3796</v>
      </c>
      <c r="I2028" s="266"/>
      <c r="J2028" s="266"/>
      <c r="K2028" s="1"/>
      <c r="L2028" s="1"/>
    </row>
    <row r="2029">
      <c r="A2029" s="266">
        <v>600.0</v>
      </c>
      <c r="B2029" s="266"/>
      <c r="C2029" s="266">
        <v>5.0</v>
      </c>
      <c r="D2029" s="266" t="s">
        <v>7108</v>
      </c>
      <c r="E2029" s="266"/>
      <c r="F2029" s="266"/>
      <c r="G2029" s="266" t="s">
        <v>6304</v>
      </c>
      <c r="H2029" s="266" t="s">
        <v>7109</v>
      </c>
      <c r="I2029" s="266"/>
      <c r="J2029" s="266"/>
      <c r="K2029" s="1"/>
      <c r="L2029" s="1"/>
    </row>
    <row r="2030">
      <c r="A2030" s="266">
        <v>700.0</v>
      </c>
      <c r="B2030" s="266"/>
      <c r="C2030" s="266">
        <v>5.0</v>
      </c>
      <c r="D2030" s="266" t="s">
        <v>7110</v>
      </c>
      <c r="E2030" s="266"/>
      <c r="F2030" s="266"/>
      <c r="G2030" s="266" t="s">
        <v>6304</v>
      </c>
      <c r="H2030" s="266" t="s">
        <v>557</v>
      </c>
      <c r="I2030" s="266"/>
      <c r="J2030" s="266"/>
      <c r="K2030" s="1"/>
      <c r="L2030" s="1"/>
    </row>
    <row r="2031">
      <c r="A2031" s="266">
        <v>800.0</v>
      </c>
      <c r="B2031" s="266"/>
      <c r="C2031" s="266">
        <v>5.0</v>
      </c>
      <c r="D2031" s="266" t="s">
        <v>7111</v>
      </c>
      <c r="E2031" s="266"/>
      <c r="F2031" s="266"/>
      <c r="G2031" s="266" t="s">
        <v>6304</v>
      </c>
      <c r="H2031" s="266" t="s">
        <v>559</v>
      </c>
      <c r="I2031" s="266"/>
      <c r="J2031" s="266"/>
      <c r="K2031" s="1"/>
      <c r="L2031" s="1"/>
    </row>
    <row r="2032">
      <c r="A2032" s="266">
        <v>900.0</v>
      </c>
      <c r="B2032" s="266"/>
      <c r="C2032" s="266">
        <v>5.0</v>
      </c>
      <c r="D2032" s="266" t="s">
        <v>5291</v>
      </c>
      <c r="E2032" s="266"/>
      <c r="F2032" s="266"/>
      <c r="G2032" s="266" t="s">
        <v>6304</v>
      </c>
      <c r="H2032" s="266" t="s">
        <v>608</v>
      </c>
      <c r="I2032" s="266"/>
      <c r="J2032" s="266"/>
      <c r="K2032" s="1"/>
      <c r="L2032" s="1"/>
    </row>
    <row r="2033">
      <c r="A2033" s="266">
        <v>50.0</v>
      </c>
      <c r="B2033" s="266">
        <v>1.0</v>
      </c>
      <c r="C2033" s="266"/>
      <c r="D2033" s="266" t="s">
        <v>7859</v>
      </c>
      <c r="E2033" s="266"/>
      <c r="F2033" s="266"/>
      <c r="G2033" s="266"/>
      <c r="H2033" s="266"/>
      <c r="I2033" s="266"/>
      <c r="J2033" s="267"/>
    </row>
    <row r="2034">
      <c r="A2034" s="266">
        <v>100.0</v>
      </c>
      <c r="B2034" s="266"/>
      <c r="C2034" s="266">
        <v>5.0</v>
      </c>
      <c r="D2034" s="266" t="s">
        <v>6768</v>
      </c>
      <c r="E2034" s="266"/>
      <c r="F2034" s="266"/>
      <c r="G2034" s="266" t="s">
        <v>6304</v>
      </c>
      <c r="H2034" s="266" t="s">
        <v>3794</v>
      </c>
      <c r="I2034" s="266"/>
      <c r="J2034" s="266"/>
      <c r="K2034" s="1"/>
      <c r="L2034" s="1"/>
    </row>
    <row r="2035">
      <c r="A2035" s="266">
        <v>200.0</v>
      </c>
      <c r="B2035" s="266"/>
      <c r="C2035" s="266">
        <v>5.0</v>
      </c>
      <c r="D2035" s="266" t="s">
        <v>6601</v>
      </c>
      <c r="E2035" s="266"/>
      <c r="F2035" s="266"/>
      <c r="G2035" s="266"/>
      <c r="H2035" s="266"/>
      <c r="I2035" s="266"/>
      <c r="J2035" s="267"/>
    </row>
    <row r="2036">
      <c r="A2036" s="266">
        <v>300.0</v>
      </c>
      <c r="B2036" s="266"/>
      <c r="C2036" s="266">
        <v>10.0</v>
      </c>
      <c r="D2036" s="266" t="s">
        <v>6602</v>
      </c>
      <c r="E2036" s="266"/>
      <c r="F2036" s="266"/>
      <c r="G2036" s="266"/>
      <c r="H2036" s="266"/>
      <c r="I2036" s="266"/>
      <c r="J2036" s="267"/>
    </row>
    <row r="2037">
      <c r="A2037" s="266">
        <v>400.0</v>
      </c>
      <c r="B2037" s="266"/>
      <c r="C2037" s="266">
        <v>15.0</v>
      </c>
      <c r="D2037" s="266" t="s">
        <v>576</v>
      </c>
      <c r="E2037" s="266"/>
      <c r="F2037" s="266"/>
      <c r="G2037" s="266" t="s">
        <v>6304</v>
      </c>
      <c r="H2037" s="266" t="s">
        <v>551</v>
      </c>
      <c r="I2037" s="266"/>
      <c r="J2037" s="266"/>
      <c r="K2037" s="1"/>
      <c r="L2037" s="1"/>
    </row>
    <row r="2038">
      <c r="A2038" s="266">
        <v>500.0</v>
      </c>
      <c r="B2038" s="266"/>
      <c r="C2038" s="266">
        <v>15.0</v>
      </c>
      <c r="D2038" s="266" t="s">
        <v>577</v>
      </c>
      <c r="E2038" s="266"/>
      <c r="F2038" s="266"/>
      <c r="G2038" s="266" t="s">
        <v>6304</v>
      </c>
      <c r="H2038" s="266" t="s">
        <v>552</v>
      </c>
      <c r="I2038" s="266"/>
      <c r="J2038" s="266"/>
      <c r="K2038" s="1"/>
      <c r="L2038" s="1"/>
    </row>
    <row r="2039">
      <c r="A2039" s="266">
        <v>600.0</v>
      </c>
      <c r="B2039" s="266"/>
      <c r="C2039" s="266">
        <v>10.0</v>
      </c>
      <c r="D2039" s="266" t="s">
        <v>578</v>
      </c>
      <c r="E2039" s="266"/>
      <c r="F2039" s="266"/>
      <c r="G2039" s="266" t="s">
        <v>6304</v>
      </c>
      <c r="H2039" s="266" t="s">
        <v>552</v>
      </c>
      <c r="I2039" s="266"/>
      <c r="J2039" s="266"/>
      <c r="K2039" s="1"/>
      <c r="L2039" s="1"/>
    </row>
    <row r="2040">
      <c r="A2040" s="266">
        <v>700.0</v>
      </c>
      <c r="B2040" s="266"/>
      <c r="C2040" s="266">
        <v>5.0</v>
      </c>
      <c r="D2040" s="266" t="s">
        <v>579</v>
      </c>
      <c r="E2040" s="266"/>
      <c r="F2040" s="266"/>
      <c r="G2040" s="266" t="s">
        <v>6304</v>
      </c>
      <c r="H2040" s="266" t="s">
        <v>551</v>
      </c>
      <c r="I2040" s="266"/>
      <c r="J2040" s="266"/>
      <c r="K2040" s="1"/>
      <c r="L2040" s="1"/>
    </row>
    <row r="2041">
      <c r="A2041" s="266">
        <v>800.0</v>
      </c>
      <c r="B2041" s="266"/>
      <c r="C2041" s="266">
        <v>5.0</v>
      </c>
      <c r="D2041" s="266" t="s">
        <v>0</v>
      </c>
      <c r="E2041" s="266"/>
      <c r="F2041" s="266"/>
      <c r="G2041" s="266" t="s">
        <v>6304</v>
      </c>
      <c r="H2041" s="266" t="s">
        <v>552</v>
      </c>
      <c r="I2041" s="266"/>
      <c r="J2041" s="266"/>
      <c r="K2041" s="1"/>
      <c r="L2041" s="1"/>
    </row>
    <row r="2042">
      <c r="A2042" s="266">
        <v>900.0</v>
      </c>
      <c r="B2042" s="266"/>
      <c r="C2042" s="266">
        <v>5.0</v>
      </c>
      <c r="D2042" s="266" t="s">
        <v>7709</v>
      </c>
      <c r="E2042" s="266"/>
      <c r="F2042" s="266"/>
      <c r="G2042" s="266" t="s">
        <v>6304</v>
      </c>
      <c r="H2042" s="266" t="s">
        <v>552</v>
      </c>
      <c r="I2042" s="266"/>
      <c r="J2042" s="266"/>
      <c r="K2042" s="1"/>
      <c r="L2042" s="1"/>
    </row>
    <row r="2043">
      <c r="A2043" s="266">
        <v>1000.0</v>
      </c>
      <c r="B2043" s="266"/>
      <c r="C2043" s="266">
        <v>5.0</v>
      </c>
      <c r="D2043" s="266" t="s">
        <v>7702</v>
      </c>
      <c r="E2043" s="266"/>
      <c r="F2043" s="266"/>
      <c r="G2043" s="266" t="s">
        <v>6304</v>
      </c>
      <c r="H2043" s="266" t="s">
        <v>553</v>
      </c>
      <c r="I2043" s="266"/>
      <c r="J2043" s="266"/>
      <c r="K2043" s="1"/>
      <c r="L2043" s="1"/>
    </row>
    <row r="2044">
      <c r="A2044" s="266">
        <v>1100.0</v>
      </c>
      <c r="B2044" s="266"/>
      <c r="C2044" s="266">
        <v>5.0</v>
      </c>
      <c r="D2044" s="266" t="s">
        <v>7705</v>
      </c>
      <c r="E2044" s="266" t="s">
        <v>6603</v>
      </c>
      <c r="F2044" s="266" t="s">
        <v>7702</v>
      </c>
      <c r="G2044" s="266" t="s">
        <v>6304</v>
      </c>
      <c r="H2044" s="266" t="s">
        <v>554</v>
      </c>
      <c r="I2044" s="266"/>
      <c r="J2044" s="267"/>
    </row>
    <row r="2045">
      <c r="A2045" s="266">
        <v>1200.0</v>
      </c>
      <c r="B2045" s="266"/>
      <c r="C2045" s="266">
        <v>5.0</v>
      </c>
      <c r="D2045" s="266" t="s">
        <v>6996</v>
      </c>
      <c r="E2045" s="266"/>
      <c r="F2045" s="266"/>
      <c r="G2045" s="266" t="s">
        <v>6304</v>
      </c>
      <c r="H2045" s="266" t="s">
        <v>555</v>
      </c>
      <c r="I2045" s="266"/>
      <c r="J2045" s="266"/>
      <c r="K2045" s="1"/>
      <c r="L2045" s="1"/>
    </row>
    <row r="2046">
      <c r="A2046" s="266">
        <v>1300.0</v>
      </c>
      <c r="B2046" s="266"/>
      <c r="C2046" s="266">
        <v>5.0</v>
      </c>
      <c r="D2046" s="266" t="s">
        <v>7708</v>
      </c>
      <c r="E2046" s="266"/>
      <c r="F2046" s="266"/>
      <c r="G2046" s="266" t="s">
        <v>6304</v>
      </c>
      <c r="H2046" s="266" t="s">
        <v>552</v>
      </c>
      <c r="I2046" s="266"/>
      <c r="J2046" s="266"/>
      <c r="K2046" s="1"/>
      <c r="L2046" s="1"/>
    </row>
    <row r="2047">
      <c r="A2047" s="266">
        <v>1400.0</v>
      </c>
      <c r="B2047" s="266"/>
      <c r="C2047" s="266">
        <v>5.0</v>
      </c>
      <c r="D2047" s="266" t="s">
        <v>7729</v>
      </c>
      <c r="E2047" s="266"/>
      <c r="F2047" s="266"/>
      <c r="G2047" s="266" t="s">
        <v>6304</v>
      </c>
      <c r="H2047" s="266" t="s">
        <v>552</v>
      </c>
      <c r="I2047" s="266"/>
      <c r="J2047" s="266"/>
      <c r="K2047" s="1"/>
      <c r="L2047" s="1"/>
    </row>
    <row r="2048">
      <c r="A2048" s="266">
        <v>1500.0</v>
      </c>
      <c r="B2048" s="266"/>
      <c r="C2048" s="266">
        <v>5.0</v>
      </c>
      <c r="D2048" s="266" t="s">
        <v>7706</v>
      </c>
      <c r="E2048" s="266"/>
      <c r="F2048" s="266"/>
      <c r="G2048" s="266" t="s">
        <v>6304</v>
      </c>
      <c r="H2048" s="266" t="s">
        <v>552</v>
      </c>
      <c r="I2048" s="266"/>
      <c r="J2048" s="266"/>
      <c r="K2048" s="1"/>
      <c r="L2048" s="1"/>
    </row>
    <row r="2049">
      <c r="A2049" s="266">
        <v>1600.0</v>
      </c>
      <c r="B2049" s="266"/>
      <c r="C2049" s="266">
        <v>5.0</v>
      </c>
      <c r="D2049" s="266" t="s">
        <v>7714</v>
      </c>
      <c r="E2049" s="266"/>
      <c r="F2049" s="266"/>
      <c r="G2049" s="266" t="s">
        <v>6304</v>
      </c>
      <c r="H2049" s="266" t="s">
        <v>551</v>
      </c>
      <c r="I2049" s="266"/>
      <c r="J2049" s="266"/>
      <c r="K2049" s="1"/>
      <c r="L2049" s="1"/>
    </row>
    <row r="2050">
      <c r="A2050" s="266">
        <v>1700.0</v>
      </c>
      <c r="B2050" s="266"/>
      <c r="C2050" s="266">
        <v>5.0</v>
      </c>
      <c r="D2050" s="266" t="s">
        <v>6995</v>
      </c>
      <c r="E2050" s="266"/>
      <c r="F2050" s="266"/>
      <c r="G2050" s="266" t="s">
        <v>6304</v>
      </c>
      <c r="H2050" s="266" t="s">
        <v>7</v>
      </c>
      <c r="I2050" s="266" t="s">
        <v>6305</v>
      </c>
      <c r="J2050" s="266"/>
      <c r="K2050" s="1"/>
      <c r="L2050" s="1"/>
    </row>
    <row r="2051">
      <c r="A2051" s="266">
        <v>1800.0</v>
      </c>
      <c r="B2051" s="266"/>
      <c r="C2051" s="266">
        <v>5.0</v>
      </c>
      <c r="D2051" s="266" t="s">
        <v>6818</v>
      </c>
      <c r="E2051" s="266"/>
      <c r="F2051" s="266"/>
      <c r="G2051" s="266" t="s">
        <v>6304</v>
      </c>
      <c r="H2051" s="266" t="s">
        <v>7</v>
      </c>
      <c r="I2051" s="266" t="s">
        <v>6305</v>
      </c>
      <c r="J2051" s="266"/>
      <c r="K2051" s="1"/>
      <c r="L2051" s="1"/>
    </row>
    <row r="2052">
      <c r="A2052" s="266">
        <v>1900.0</v>
      </c>
      <c r="B2052" s="266"/>
      <c r="C2052" s="266">
        <v>5.0</v>
      </c>
      <c r="D2052" s="266" t="s">
        <v>7720</v>
      </c>
      <c r="E2052" s="266"/>
      <c r="F2052" s="266"/>
      <c r="G2052" s="266" t="s">
        <v>6304</v>
      </c>
      <c r="H2052" s="266" t="s">
        <v>7</v>
      </c>
      <c r="I2052" s="266" t="s">
        <v>6305</v>
      </c>
      <c r="J2052" s="266"/>
      <c r="K2052" s="1"/>
      <c r="L2052" s="1"/>
    </row>
    <row r="2053">
      <c r="A2053" s="266">
        <v>2000.0</v>
      </c>
      <c r="B2053" s="266"/>
      <c r="C2053" s="266">
        <v>5.0</v>
      </c>
      <c r="D2053" s="266" t="s">
        <v>7163</v>
      </c>
      <c r="E2053" s="266"/>
      <c r="F2053" s="266"/>
      <c r="G2053" s="266" t="s">
        <v>6304</v>
      </c>
      <c r="H2053" s="266" t="s">
        <v>7</v>
      </c>
      <c r="I2053" s="266" t="s">
        <v>6305</v>
      </c>
      <c r="J2053" s="266"/>
      <c r="K2053" s="1"/>
      <c r="L2053" s="1"/>
    </row>
    <row r="2054">
      <c r="A2054" s="266">
        <v>2100.0</v>
      </c>
      <c r="B2054" s="266"/>
      <c r="C2054" s="266">
        <v>5.0</v>
      </c>
      <c r="D2054" s="266" t="s">
        <v>7164</v>
      </c>
      <c r="E2054" s="266"/>
      <c r="F2054" s="266"/>
      <c r="G2054" s="266" t="s">
        <v>6304</v>
      </c>
      <c r="H2054" s="266" t="s">
        <v>7</v>
      </c>
      <c r="I2054" s="266" t="s">
        <v>6305</v>
      </c>
      <c r="J2054" s="266"/>
      <c r="K2054" s="1"/>
      <c r="L2054" s="1"/>
    </row>
    <row r="2055">
      <c r="A2055" s="266">
        <v>2200.0</v>
      </c>
      <c r="B2055" s="266"/>
      <c r="C2055" s="266">
        <v>5.0</v>
      </c>
      <c r="D2055" s="266" t="s">
        <v>7156</v>
      </c>
      <c r="E2055" s="266"/>
      <c r="F2055" s="266"/>
      <c r="G2055" s="266" t="s">
        <v>6304</v>
      </c>
      <c r="H2055" s="266" t="s">
        <v>7</v>
      </c>
      <c r="I2055" s="266" t="s">
        <v>6305</v>
      </c>
      <c r="J2055" s="266"/>
      <c r="K2055" s="1"/>
      <c r="L2055" s="1"/>
    </row>
    <row r="2056">
      <c r="A2056" s="266">
        <v>2300.0</v>
      </c>
      <c r="B2056" s="266"/>
      <c r="C2056" s="266">
        <v>5.0</v>
      </c>
      <c r="D2056" s="266" t="s">
        <v>7722</v>
      </c>
      <c r="E2056" s="266"/>
      <c r="F2056" s="266"/>
      <c r="G2056" s="266" t="s">
        <v>6304</v>
      </c>
      <c r="H2056" s="266" t="s">
        <v>7</v>
      </c>
      <c r="I2056" s="266" t="s">
        <v>6305</v>
      </c>
      <c r="J2056" s="266"/>
      <c r="K2056" s="1"/>
      <c r="L2056" s="1"/>
    </row>
    <row r="2057">
      <c r="A2057" s="266">
        <v>2400.0</v>
      </c>
      <c r="B2057" s="266"/>
      <c r="C2057" s="266">
        <v>5.0</v>
      </c>
      <c r="D2057" s="266" t="s">
        <v>7721</v>
      </c>
      <c r="E2057" s="266"/>
      <c r="F2057" s="266"/>
      <c r="G2057" s="266" t="s">
        <v>6304</v>
      </c>
      <c r="H2057" s="266" t="s">
        <v>7</v>
      </c>
      <c r="I2057" s="266" t="s">
        <v>6305</v>
      </c>
      <c r="J2057" s="266"/>
      <c r="K2057" s="1"/>
      <c r="L2057" s="1"/>
    </row>
    <row r="2058">
      <c r="A2058" s="266">
        <v>2500.0</v>
      </c>
      <c r="B2058" s="266"/>
      <c r="C2058" s="266">
        <v>5.0</v>
      </c>
      <c r="D2058" s="266" t="s">
        <v>3839</v>
      </c>
      <c r="E2058" s="266"/>
      <c r="F2058" s="266"/>
      <c r="G2058" s="266" t="s">
        <v>6304</v>
      </c>
      <c r="H2058" s="266" t="s">
        <v>555</v>
      </c>
      <c r="I2058" s="266"/>
      <c r="J2058" s="266"/>
      <c r="K2058" s="1"/>
      <c r="L2058" s="1"/>
    </row>
    <row r="2059">
      <c r="A2059" s="266">
        <v>2600.0</v>
      </c>
      <c r="B2059" s="266"/>
      <c r="C2059" s="266">
        <v>5.0</v>
      </c>
      <c r="D2059" s="266" t="s">
        <v>7730</v>
      </c>
      <c r="E2059" s="266"/>
      <c r="F2059" s="266"/>
      <c r="G2059" s="266" t="s">
        <v>6304</v>
      </c>
      <c r="H2059" s="266" t="s">
        <v>551</v>
      </c>
      <c r="I2059" s="266"/>
      <c r="J2059" s="266"/>
      <c r="K2059" s="1"/>
      <c r="L2059" s="1"/>
    </row>
    <row r="2060">
      <c r="A2060" s="266">
        <v>2700.0</v>
      </c>
      <c r="B2060" s="266"/>
      <c r="C2060" s="266">
        <v>5.0</v>
      </c>
      <c r="D2060" s="266" t="s">
        <v>7180</v>
      </c>
      <c r="E2060" s="266"/>
      <c r="F2060" s="266"/>
      <c r="G2060" s="266" t="s">
        <v>6304</v>
      </c>
      <c r="H2060" s="266" t="s">
        <v>555</v>
      </c>
      <c r="I2060" s="266"/>
      <c r="J2060" s="266"/>
      <c r="K2060" s="1"/>
      <c r="L2060" s="1"/>
    </row>
    <row r="2061">
      <c r="A2061" s="266">
        <v>2800.0</v>
      </c>
      <c r="B2061" s="266"/>
      <c r="C2061" s="266">
        <v>5.0</v>
      </c>
      <c r="D2061" s="266" t="s">
        <v>7724</v>
      </c>
      <c r="E2061" s="266"/>
      <c r="F2061" s="266"/>
      <c r="G2061" s="266" t="s">
        <v>6304</v>
      </c>
      <c r="H2061" s="266" t="s">
        <v>7</v>
      </c>
      <c r="I2061" s="266" t="s">
        <v>6305</v>
      </c>
      <c r="J2061" s="266"/>
      <c r="K2061" s="1"/>
      <c r="L2061" s="1"/>
    </row>
    <row r="2062">
      <c r="A2062" s="266">
        <v>2900.0</v>
      </c>
      <c r="B2062" s="266"/>
      <c r="C2062" s="266">
        <v>5.0</v>
      </c>
      <c r="D2062" s="266" t="s">
        <v>7723</v>
      </c>
      <c r="E2062" s="266"/>
      <c r="F2062" s="266"/>
      <c r="G2062" s="266" t="s">
        <v>6304</v>
      </c>
      <c r="H2062" s="266" t="s">
        <v>557</v>
      </c>
      <c r="I2062" s="266"/>
      <c r="J2062" s="266"/>
      <c r="K2062" s="1"/>
      <c r="L2062" s="1"/>
    </row>
    <row r="2063">
      <c r="A2063" s="266">
        <v>3000.0</v>
      </c>
      <c r="B2063" s="266"/>
      <c r="C2063" s="266">
        <v>5.0</v>
      </c>
      <c r="D2063" s="266" t="s">
        <v>7226</v>
      </c>
      <c r="E2063" s="266"/>
      <c r="F2063" s="266"/>
      <c r="G2063" s="266"/>
      <c r="H2063" s="266"/>
      <c r="I2063" s="266"/>
      <c r="J2063" s="267"/>
    </row>
    <row r="2064">
      <c r="A2064" s="266">
        <v>3100.0</v>
      </c>
      <c r="B2064" s="266"/>
      <c r="C2064" s="266">
        <v>10.0</v>
      </c>
      <c r="D2064" s="266" t="s">
        <v>3842</v>
      </c>
      <c r="E2064" s="266"/>
      <c r="F2064" s="266"/>
      <c r="G2064" s="266" t="s">
        <v>6304</v>
      </c>
      <c r="H2064" s="266" t="s">
        <v>557</v>
      </c>
      <c r="I2064" s="266"/>
      <c r="J2064" s="266"/>
      <c r="K2064" s="1"/>
      <c r="L2064" s="1"/>
    </row>
    <row r="2065">
      <c r="A2065" s="266">
        <v>3200.0</v>
      </c>
      <c r="B2065" s="266"/>
      <c r="C2065" s="266">
        <v>10.0</v>
      </c>
      <c r="D2065" s="266" t="s">
        <v>3843</v>
      </c>
      <c r="E2065" s="266"/>
      <c r="F2065" s="266"/>
      <c r="G2065" s="266" t="s">
        <v>6304</v>
      </c>
      <c r="H2065" s="266" t="s">
        <v>3794</v>
      </c>
      <c r="I2065" s="266"/>
      <c r="J2065" s="266"/>
      <c r="K2065" s="1"/>
      <c r="L2065" s="1"/>
    </row>
    <row r="2066">
      <c r="A2066" s="266">
        <v>3300.0</v>
      </c>
      <c r="B2066" s="266"/>
      <c r="C2066" s="266">
        <v>5.0</v>
      </c>
      <c r="D2066" s="266" t="s">
        <v>5238</v>
      </c>
      <c r="E2066" s="266"/>
      <c r="F2066" s="266"/>
      <c r="G2066" s="266" t="s">
        <v>6304</v>
      </c>
      <c r="H2066" s="266" t="s">
        <v>555</v>
      </c>
      <c r="I2066" s="266"/>
      <c r="J2066" s="266"/>
      <c r="K2066" s="1"/>
      <c r="L2066" s="1"/>
    </row>
    <row r="2067">
      <c r="A2067" s="266">
        <v>3400.0</v>
      </c>
      <c r="B2067" s="266"/>
      <c r="C2067" s="266">
        <v>5.0</v>
      </c>
      <c r="D2067" s="266" t="s">
        <v>7715</v>
      </c>
      <c r="E2067" s="266"/>
      <c r="F2067" s="266"/>
      <c r="G2067" s="266" t="s">
        <v>6304</v>
      </c>
      <c r="H2067" s="266" t="s">
        <v>551</v>
      </c>
      <c r="I2067" s="266"/>
      <c r="J2067" s="266"/>
      <c r="K2067" s="1"/>
      <c r="L2067" s="1"/>
    </row>
    <row r="2068">
      <c r="A2068" s="266">
        <v>3500.0</v>
      </c>
      <c r="B2068" s="266"/>
      <c r="C2068" s="266">
        <v>5.0</v>
      </c>
      <c r="D2068" s="266" t="s">
        <v>7860</v>
      </c>
      <c r="E2068" s="266"/>
      <c r="F2068" s="266"/>
      <c r="G2068" s="266" t="s">
        <v>6304</v>
      </c>
      <c r="H2068" s="266" t="s">
        <v>552</v>
      </c>
      <c r="I2068" s="266"/>
      <c r="J2068" s="266"/>
      <c r="K2068" s="1"/>
      <c r="L2068" s="1"/>
    </row>
    <row r="2069">
      <c r="A2069" s="266">
        <v>3600.0</v>
      </c>
      <c r="B2069" s="266"/>
      <c r="C2069" s="266">
        <v>5.0</v>
      </c>
      <c r="D2069" s="266" t="s">
        <v>6875</v>
      </c>
      <c r="E2069" s="266"/>
      <c r="F2069" s="266"/>
      <c r="G2069" s="266"/>
      <c r="H2069" s="266"/>
      <c r="I2069" s="266"/>
      <c r="J2069" s="267"/>
    </row>
    <row r="2070">
      <c r="A2070" s="266">
        <v>3700.0</v>
      </c>
      <c r="B2070" s="266"/>
      <c r="C2070" s="266">
        <v>10.0</v>
      </c>
      <c r="D2070" s="266" t="s">
        <v>3802</v>
      </c>
      <c r="E2070" s="266"/>
      <c r="F2070" s="266"/>
      <c r="G2070" s="266" t="s">
        <v>6304</v>
      </c>
      <c r="H2070" s="266" t="s">
        <v>551</v>
      </c>
      <c r="I2070" s="266"/>
      <c r="J2070" s="266"/>
      <c r="K2070" s="1"/>
      <c r="L2070" s="1"/>
    </row>
    <row r="2071">
      <c r="A2071" s="266">
        <v>3800.0</v>
      </c>
      <c r="B2071" s="266"/>
      <c r="C2071" s="266">
        <v>10.0</v>
      </c>
      <c r="D2071" s="266" t="s">
        <v>3803</v>
      </c>
      <c r="E2071" s="266"/>
      <c r="F2071" s="266"/>
      <c r="G2071" s="266" t="s">
        <v>6304</v>
      </c>
      <c r="H2071" s="266" t="s">
        <v>556</v>
      </c>
      <c r="I2071" s="266"/>
      <c r="J2071" s="266"/>
      <c r="K2071" s="1"/>
      <c r="L2071" s="1"/>
    </row>
    <row r="2072">
      <c r="A2072" s="266">
        <v>3900.0</v>
      </c>
      <c r="B2072" s="266"/>
      <c r="C2072" s="266">
        <v>10.0</v>
      </c>
      <c r="D2072" s="266" t="s">
        <v>3804</v>
      </c>
      <c r="E2072" s="266"/>
      <c r="F2072" s="266"/>
      <c r="G2072" s="266" t="s">
        <v>6304</v>
      </c>
      <c r="H2072" s="266" t="s">
        <v>5243</v>
      </c>
      <c r="I2072" s="266"/>
      <c r="J2072" s="266"/>
      <c r="K2072" s="1"/>
      <c r="L2072" s="1"/>
    </row>
    <row r="2073">
      <c r="A2073" s="266">
        <v>4000.0</v>
      </c>
      <c r="B2073" s="266"/>
      <c r="C2073" s="266">
        <v>5.0</v>
      </c>
      <c r="D2073" s="266" t="s">
        <v>5291</v>
      </c>
      <c r="E2073" s="266"/>
      <c r="F2073" s="266"/>
      <c r="G2073" s="266" t="s">
        <v>6304</v>
      </c>
      <c r="H2073" s="266" t="s">
        <v>14</v>
      </c>
      <c r="I2073" s="266"/>
      <c r="J2073" s="266"/>
      <c r="K2073" s="1"/>
      <c r="L2073" s="1"/>
    </row>
    <row r="2074">
      <c r="A2074" s="266">
        <v>4100.0</v>
      </c>
      <c r="B2074" s="266"/>
      <c r="C2074" s="266">
        <v>5.0</v>
      </c>
      <c r="D2074" s="266" t="s">
        <v>6306</v>
      </c>
      <c r="E2074" s="266"/>
      <c r="F2074" s="266"/>
      <c r="G2074" s="266" t="s">
        <v>6304</v>
      </c>
      <c r="H2074" s="266" t="s">
        <v>15</v>
      </c>
      <c r="I2074" s="266"/>
      <c r="J2074" s="266"/>
      <c r="K2074" s="1"/>
      <c r="L2074" s="1"/>
    </row>
    <row r="2075">
      <c r="A2075" s="266">
        <v>50.0</v>
      </c>
      <c r="B2075" s="266">
        <v>1.0</v>
      </c>
      <c r="C2075" s="266"/>
      <c r="D2075" s="266" t="s">
        <v>7861</v>
      </c>
      <c r="E2075" s="266"/>
      <c r="F2075" s="266"/>
      <c r="G2075" s="266"/>
      <c r="H2075" s="266"/>
      <c r="I2075" s="266"/>
      <c r="J2075" s="267"/>
    </row>
    <row r="2076">
      <c r="A2076" s="266">
        <v>100.0</v>
      </c>
      <c r="B2076" s="266"/>
      <c r="C2076" s="266">
        <v>5.0</v>
      </c>
      <c r="D2076" s="266" t="s">
        <v>7862</v>
      </c>
      <c r="E2076" s="266" t="s">
        <v>6479</v>
      </c>
      <c r="F2076" s="266">
        <v>8.0</v>
      </c>
      <c r="G2076" s="266"/>
      <c r="H2076" s="266"/>
      <c r="I2076" s="266"/>
      <c r="J2076" s="267"/>
    </row>
    <row r="2077">
      <c r="A2077" s="266">
        <v>200.0</v>
      </c>
      <c r="B2077" s="266"/>
      <c r="C2077" s="266">
        <v>10.0</v>
      </c>
      <c r="D2077" s="266" t="s">
        <v>7863</v>
      </c>
      <c r="E2077" s="266"/>
      <c r="F2077" s="266"/>
      <c r="G2077" s="266" t="s">
        <v>6304</v>
      </c>
      <c r="H2077" s="266" t="s">
        <v>552</v>
      </c>
      <c r="I2077" s="266"/>
      <c r="J2077" s="266"/>
      <c r="K2077" s="1"/>
      <c r="L2077" s="1"/>
    </row>
    <row r="2078">
      <c r="A2078" s="266">
        <v>300.0</v>
      </c>
      <c r="B2078" s="266"/>
      <c r="C2078" s="266">
        <v>10.0</v>
      </c>
      <c r="D2078" s="266" t="s">
        <v>7864</v>
      </c>
      <c r="E2078" s="266"/>
      <c r="F2078" s="266"/>
      <c r="G2078" s="266" t="s">
        <v>6304</v>
      </c>
      <c r="H2078" s="266" t="s">
        <v>4105</v>
      </c>
      <c r="I2078" s="266" t="s">
        <v>6305</v>
      </c>
      <c r="J2078" s="266"/>
      <c r="K2078" s="1"/>
      <c r="L2078" s="1"/>
    </row>
    <row r="2079">
      <c r="A2079" s="266">
        <v>400.0</v>
      </c>
      <c r="B2079" s="266"/>
      <c r="C2079" s="266">
        <v>10.0</v>
      </c>
      <c r="D2079" s="266" t="s">
        <v>7865</v>
      </c>
      <c r="E2079" s="266"/>
      <c r="F2079" s="266"/>
      <c r="G2079" s="266" t="s">
        <v>6304</v>
      </c>
      <c r="H2079" s="266" t="s">
        <v>6798</v>
      </c>
      <c r="I2079" s="266" t="s">
        <v>6305</v>
      </c>
      <c r="J2079" s="266"/>
      <c r="K2079" s="1"/>
      <c r="L2079" s="1"/>
    </row>
    <row r="2080">
      <c r="A2080" s="266">
        <v>500.0</v>
      </c>
      <c r="B2080" s="266"/>
      <c r="C2080" s="266">
        <v>10.0</v>
      </c>
      <c r="D2080" s="266" t="s">
        <v>7866</v>
      </c>
      <c r="E2080" s="266"/>
      <c r="F2080" s="266"/>
      <c r="G2080" s="266" t="s">
        <v>6304</v>
      </c>
      <c r="H2080" s="266" t="s">
        <v>7625</v>
      </c>
      <c r="I2080" s="266" t="s">
        <v>6305</v>
      </c>
      <c r="J2080" s="266"/>
      <c r="K2080" s="1"/>
      <c r="L2080" s="1"/>
    </row>
    <row r="2081">
      <c r="A2081" s="266">
        <v>600.0</v>
      </c>
      <c r="B2081" s="266"/>
      <c r="C2081" s="266">
        <v>10.0</v>
      </c>
      <c r="D2081" s="266" t="s">
        <v>7867</v>
      </c>
      <c r="E2081" s="266"/>
      <c r="F2081" s="266"/>
      <c r="G2081" s="266" t="s">
        <v>6304</v>
      </c>
      <c r="H2081" s="266" t="s">
        <v>5245</v>
      </c>
      <c r="I2081" s="266" t="s">
        <v>6305</v>
      </c>
      <c r="J2081" s="266"/>
      <c r="K2081" s="1"/>
      <c r="L2081" s="1"/>
    </row>
    <row r="2082">
      <c r="A2082" s="266">
        <v>700.0</v>
      </c>
      <c r="B2082" s="266"/>
      <c r="C2082" s="266">
        <v>10.0</v>
      </c>
      <c r="D2082" s="266" t="s">
        <v>7868</v>
      </c>
      <c r="E2082" s="266"/>
      <c r="F2082" s="266"/>
      <c r="G2082" s="266" t="s">
        <v>6304</v>
      </c>
      <c r="H2082" s="266" t="s">
        <v>5245</v>
      </c>
      <c r="I2082" s="266" t="s">
        <v>6305</v>
      </c>
      <c r="J2082" s="266"/>
      <c r="K2082" s="1"/>
      <c r="L2082" s="1"/>
    </row>
    <row r="2083">
      <c r="A2083" s="266">
        <v>800.0</v>
      </c>
      <c r="B2083" s="266"/>
      <c r="C2083" s="266">
        <v>10.0</v>
      </c>
      <c r="D2083" s="266" t="s">
        <v>7869</v>
      </c>
      <c r="E2083" s="266"/>
      <c r="F2083" s="266"/>
      <c r="G2083" s="266" t="s">
        <v>6304</v>
      </c>
      <c r="H2083" s="266" t="s">
        <v>7625</v>
      </c>
      <c r="I2083" s="266" t="s">
        <v>6305</v>
      </c>
      <c r="J2083" s="266"/>
      <c r="K2083" s="1"/>
      <c r="L2083" s="1"/>
    </row>
    <row r="2084">
      <c r="A2084" s="266">
        <v>900.0</v>
      </c>
      <c r="B2084" s="266"/>
      <c r="C2084" s="266">
        <v>10.0</v>
      </c>
      <c r="D2084" s="266" t="s">
        <v>7870</v>
      </c>
      <c r="E2084" s="266"/>
      <c r="F2084" s="266"/>
      <c r="G2084" s="266" t="s">
        <v>6304</v>
      </c>
      <c r="H2084" s="266" t="s">
        <v>5245</v>
      </c>
      <c r="I2084" s="266" t="s">
        <v>6305</v>
      </c>
      <c r="J2084" s="266"/>
      <c r="K2084" s="1"/>
      <c r="L2084" s="1"/>
    </row>
    <row r="2085">
      <c r="A2085" s="266">
        <v>1000.0</v>
      </c>
      <c r="B2085" s="266"/>
      <c r="C2085" s="266">
        <v>10.0</v>
      </c>
      <c r="D2085" s="266" t="s">
        <v>7871</v>
      </c>
      <c r="E2085" s="266"/>
      <c r="F2085" s="266"/>
      <c r="G2085" s="266" t="s">
        <v>6304</v>
      </c>
      <c r="H2085" s="266" t="s">
        <v>5245</v>
      </c>
      <c r="I2085" s="266" t="s">
        <v>6305</v>
      </c>
      <c r="J2085" s="266"/>
      <c r="K2085" s="1"/>
      <c r="L2085" s="1"/>
    </row>
    <row r="2086">
      <c r="A2086" s="266">
        <v>1100.0</v>
      </c>
      <c r="B2086" s="266"/>
      <c r="C2086" s="266">
        <v>10.0</v>
      </c>
      <c r="D2086" s="266" t="s">
        <v>7872</v>
      </c>
      <c r="E2086" s="266"/>
      <c r="F2086" s="266"/>
      <c r="G2086" s="266" t="s">
        <v>6304</v>
      </c>
      <c r="H2086" s="266" t="s">
        <v>7625</v>
      </c>
      <c r="I2086" s="266" t="s">
        <v>6305</v>
      </c>
      <c r="J2086" s="266"/>
      <c r="K2086" s="1"/>
      <c r="L2086" s="1"/>
    </row>
    <row r="2087">
      <c r="A2087" s="266">
        <v>1200.0</v>
      </c>
      <c r="B2087" s="266"/>
      <c r="C2087" s="266">
        <v>10.0</v>
      </c>
      <c r="D2087" s="266" t="s">
        <v>7873</v>
      </c>
      <c r="E2087" s="266"/>
      <c r="F2087" s="266"/>
      <c r="G2087" s="266" t="s">
        <v>6304</v>
      </c>
      <c r="H2087" s="266" t="s">
        <v>5245</v>
      </c>
      <c r="I2087" s="266" t="s">
        <v>6305</v>
      </c>
      <c r="J2087" s="266"/>
      <c r="K2087" s="1"/>
      <c r="L2087" s="1"/>
    </row>
    <row r="2088">
      <c r="A2088" s="266">
        <v>1300.0</v>
      </c>
      <c r="B2088" s="266"/>
      <c r="C2088" s="266">
        <v>10.0</v>
      </c>
      <c r="D2088" s="266" t="s">
        <v>7874</v>
      </c>
      <c r="E2088" s="266"/>
      <c r="F2088" s="266"/>
      <c r="G2088" s="266" t="s">
        <v>6304</v>
      </c>
      <c r="H2088" s="266" t="s">
        <v>7440</v>
      </c>
      <c r="I2088" s="266" t="s">
        <v>6305</v>
      </c>
      <c r="J2088" s="266"/>
      <c r="K2088" s="1"/>
      <c r="L2088" s="1"/>
    </row>
    <row r="2089">
      <c r="A2089" s="266">
        <v>1400.0</v>
      </c>
      <c r="B2089" s="266"/>
      <c r="C2089" s="266">
        <v>10.0</v>
      </c>
      <c r="D2089" s="266" t="s">
        <v>7875</v>
      </c>
      <c r="E2089" s="266"/>
      <c r="F2089" s="266"/>
      <c r="G2089" s="266" t="s">
        <v>6304</v>
      </c>
      <c r="H2089" s="266" t="s">
        <v>7876</v>
      </c>
      <c r="I2089" s="266" t="s">
        <v>6305</v>
      </c>
      <c r="J2089" s="266"/>
      <c r="K2089" s="1"/>
      <c r="L2089" s="1"/>
    </row>
    <row r="2090">
      <c r="A2090" s="266">
        <v>1500.0</v>
      </c>
      <c r="B2090" s="266"/>
      <c r="C2090" s="266">
        <v>10.0</v>
      </c>
      <c r="D2090" s="266" t="s">
        <v>7877</v>
      </c>
      <c r="E2090" s="266"/>
      <c r="F2090" s="266"/>
      <c r="G2090" s="266" t="s">
        <v>6304</v>
      </c>
      <c r="H2090" s="266" t="s">
        <v>7440</v>
      </c>
      <c r="I2090" s="266" t="s">
        <v>6305</v>
      </c>
      <c r="J2090" s="266"/>
      <c r="K2090" s="1"/>
      <c r="L2090" s="1"/>
    </row>
    <row r="2091">
      <c r="A2091" s="266">
        <v>1600.0</v>
      </c>
      <c r="B2091" s="266"/>
      <c r="C2091" s="266">
        <v>10.0</v>
      </c>
      <c r="D2091" s="266" t="s">
        <v>7878</v>
      </c>
      <c r="E2091" s="266"/>
      <c r="F2091" s="266"/>
      <c r="G2091" s="266" t="s">
        <v>6304</v>
      </c>
      <c r="H2091" s="266" t="s">
        <v>7876</v>
      </c>
      <c r="I2091" s="266" t="s">
        <v>6305</v>
      </c>
      <c r="J2091" s="266"/>
      <c r="K2091" s="1"/>
      <c r="L2091" s="1"/>
    </row>
    <row r="2092">
      <c r="A2092" s="266">
        <v>1700.0</v>
      </c>
      <c r="B2092" s="266"/>
      <c r="C2092" s="266">
        <v>10.0</v>
      </c>
      <c r="D2092" s="266" t="s">
        <v>7879</v>
      </c>
      <c r="E2092" s="266"/>
      <c r="F2092" s="266"/>
      <c r="G2092" s="266" t="s">
        <v>6304</v>
      </c>
      <c r="H2092" s="266" t="s">
        <v>7440</v>
      </c>
      <c r="I2092" s="266" t="s">
        <v>6305</v>
      </c>
      <c r="J2092" s="266"/>
      <c r="K2092" s="1"/>
      <c r="L2092" s="1"/>
    </row>
    <row r="2093">
      <c r="A2093" s="266">
        <v>1800.0</v>
      </c>
      <c r="B2093" s="266"/>
      <c r="C2093" s="266">
        <v>10.0</v>
      </c>
      <c r="D2093" s="266" t="s">
        <v>7880</v>
      </c>
      <c r="E2093" s="266"/>
      <c r="F2093" s="266"/>
      <c r="G2093" s="266" t="s">
        <v>6304</v>
      </c>
      <c r="H2093" s="266" t="s">
        <v>7876</v>
      </c>
      <c r="I2093" s="266" t="s">
        <v>6305</v>
      </c>
      <c r="J2093" s="266"/>
      <c r="K2093" s="1"/>
      <c r="L2093" s="1"/>
    </row>
    <row r="2094">
      <c r="A2094" s="266">
        <v>1900.0</v>
      </c>
      <c r="B2094" s="266"/>
      <c r="C2094" s="266">
        <v>10.0</v>
      </c>
      <c r="D2094" s="266" t="s">
        <v>7881</v>
      </c>
      <c r="E2094" s="266"/>
      <c r="F2094" s="266"/>
      <c r="G2094" s="266" t="s">
        <v>6304</v>
      </c>
      <c r="H2094" s="266" t="s">
        <v>7440</v>
      </c>
      <c r="I2094" s="266" t="s">
        <v>6305</v>
      </c>
      <c r="J2094" s="266"/>
      <c r="K2094" s="1"/>
      <c r="L2094" s="1"/>
    </row>
    <row r="2095">
      <c r="A2095" s="266">
        <v>2000.0</v>
      </c>
      <c r="B2095" s="266"/>
      <c r="C2095" s="266">
        <v>10.0</v>
      </c>
      <c r="D2095" s="266" t="s">
        <v>7882</v>
      </c>
      <c r="E2095" s="266"/>
      <c r="F2095" s="266"/>
      <c r="G2095" s="266" t="s">
        <v>6304</v>
      </c>
      <c r="H2095" s="266" t="s">
        <v>7876</v>
      </c>
      <c r="I2095" s="266" t="s">
        <v>6305</v>
      </c>
      <c r="J2095" s="266"/>
      <c r="K2095" s="1"/>
      <c r="L2095" s="1"/>
    </row>
    <row r="2096">
      <c r="A2096" s="266">
        <v>2100.0</v>
      </c>
      <c r="B2096" s="266"/>
      <c r="C2096" s="266">
        <v>10.0</v>
      </c>
      <c r="D2096" s="266" t="s">
        <v>7883</v>
      </c>
      <c r="E2096" s="266"/>
      <c r="F2096" s="266"/>
      <c r="G2096" s="266" t="s">
        <v>6304</v>
      </c>
      <c r="H2096" s="266" t="s">
        <v>7440</v>
      </c>
      <c r="I2096" s="266" t="s">
        <v>6305</v>
      </c>
      <c r="J2096" s="266"/>
      <c r="K2096" s="1"/>
      <c r="L2096" s="1"/>
    </row>
    <row r="2097">
      <c r="A2097" s="266">
        <v>2200.0</v>
      </c>
      <c r="B2097" s="266"/>
      <c r="C2097" s="266">
        <v>10.0</v>
      </c>
      <c r="D2097" s="266" t="s">
        <v>7884</v>
      </c>
      <c r="E2097" s="266"/>
      <c r="F2097" s="266"/>
      <c r="G2097" s="266" t="s">
        <v>6304</v>
      </c>
      <c r="H2097" s="266" t="s">
        <v>7876</v>
      </c>
      <c r="I2097" s="266" t="s">
        <v>6305</v>
      </c>
      <c r="J2097" s="266"/>
      <c r="K2097" s="1"/>
      <c r="L2097" s="1"/>
    </row>
    <row r="2098">
      <c r="A2098" s="266">
        <v>2300.0</v>
      </c>
      <c r="B2098" s="266"/>
      <c r="C2098" s="266">
        <v>10.0</v>
      </c>
      <c r="D2098" s="266" t="s">
        <v>7885</v>
      </c>
      <c r="E2098" s="266"/>
      <c r="F2098" s="266"/>
      <c r="G2098" s="266" t="s">
        <v>6304</v>
      </c>
      <c r="H2098" s="266" t="s">
        <v>7876</v>
      </c>
      <c r="I2098" s="266" t="s">
        <v>6305</v>
      </c>
      <c r="J2098" s="266"/>
      <c r="K2098" s="1"/>
      <c r="L2098" s="1"/>
    </row>
    <row r="2099">
      <c r="A2099" s="266">
        <v>2400.0</v>
      </c>
      <c r="B2099" s="266"/>
      <c r="C2099" s="266">
        <v>10.0</v>
      </c>
      <c r="D2099" s="266" t="s">
        <v>7886</v>
      </c>
      <c r="E2099" s="266"/>
      <c r="F2099" s="266"/>
      <c r="G2099" s="266" t="s">
        <v>6304</v>
      </c>
      <c r="H2099" s="266" t="s">
        <v>7876</v>
      </c>
      <c r="I2099" s="266" t="s">
        <v>6305</v>
      </c>
      <c r="J2099" s="266"/>
      <c r="K2099" s="1"/>
      <c r="L2099" s="1"/>
    </row>
    <row r="2100">
      <c r="A2100" s="266">
        <v>2500.0</v>
      </c>
      <c r="B2100" s="266"/>
      <c r="C2100" s="266">
        <v>10.0</v>
      </c>
      <c r="D2100" s="266" t="s">
        <v>7887</v>
      </c>
      <c r="E2100" s="266"/>
      <c r="F2100" s="266"/>
      <c r="G2100" s="266" t="s">
        <v>6304</v>
      </c>
      <c r="H2100" s="266" t="s">
        <v>7876</v>
      </c>
      <c r="I2100" s="266" t="s">
        <v>6305</v>
      </c>
      <c r="J2100" s="266"/>
      <c r="K2100" s="1"/>
      <c r="L2100" s="1"/>
    </row>
    <row r="2101">
      <c r="A2101" s="266">
        <v>2600.0</v>
      </c>
      <c r="B2101" s="266"/>
      <c r="C2101" s="266">
        <v>10.0</v>
      </c>
      <c r="D2101" s="266" t="s">
        <v>7888</v>
      </c>
      <c r="E2101" s="266"/>
      <c r="F2101" s="266"/>
      <c r="G2101" s="266" t="s">
        <v>6304</v>
      </c>
      <c r="H2101" s="266" t="s">
        <v>7876</v>
      </c>
      <c r="I2101" s="266" t="s">
        <v>6305</v>
      </c>
      <c r="J2101" s="266"/>
      <c r="K2101" s="1"/>
      <c r="L2101" s="1"/>
    </row>
    <row r="2102">
      <c r="A2102" s="266">
        <v>2700.0</v>
      </c>
      <c r="B2102" s="266"/>
      <c r="C2102" s="266">
        <v>10.0</v>
      </c>
      <c r="D2102" s="266" t="s">
        <v>7889</v>
      </c>
      <c r="E2102" s="266"/>
      <c r="F2102" s="266"/>
      <c r="G2102" s="266" t="s">
        <v>6304</v>
      </c>
      <c r="H2102" s="266" t="s">
        <v>7876</v>
      </c>
      <c r="I2102" s="266" t="s">
        <v>6305</v>
      </c>
      <c r="J2102" s="266"/>
      <c r="K2102" s="1"/>
      <c r="L2102" s="1"/>
    </row>
    <row r="2103">
      <c r="A2103" s="266">
        <v>2800.0</v>
      </c>
      <c r="B2103" s="266"/>
      <c r="C2103" s="266">
        <v>10.0</v>
      </c>
      <c r="D2103" s="266" t="s">
        <v>7890</v>
      </c>
      <c r="E2103" s="266"/>
      <c r="F2103" s="266"/>
      <c r="G2103" s="266" t="s">
        <v>6304</v>
      </c>
      <c r="H2103" s="266" t="s">
        <v>7876</v>
      </c>
      <c r="I2103" s="266" t="s">
        <v>6305</v>
      </c>
      <c r="J2103" s="266"/>
      <c r="K2103" s="1"/>
      <c r="L2103" s="1"/>
    </row>
    <row r="2104">
      <c r="A2104" s="266">
        <v>2900.0</v>
      </c>
      <c r="B2104" s="266"/>
      <c r="C2104" s="266">
        <v>5.0</v>
      </c>
      <c r="D2104" s="266" t="s">
        <v>7891</v>
      </c>
      <c r="E2104" s="266" t="s">
        <v>6479</v>
      </c>
      <c r="F2104" s="266">
        <v>4.0</v>
      </c>
      <c r="G2104" s="266"/>
      <c r="H2104" s="266"/>
      <c r="I2104" s="266"/>
      <c r="J2104" s="267"/>
    </row>
    <row r="2105">
      <c r="A2105" s="266">
        <v>3000.0</v>
      </c>
      <c r="B2105" s="266"/>
      <c r="C2105" s="266">
        <v>10.0</v>
      </c>
      <c r="D2105" s="266" t="s">
        <v>7892</v>
      </c>
      <c r="E2105" s="266"/>
      <c r="F2105" s="266"/>
      <c r="G2105" s="266" t="s">
        <v>6304</v>
      </c>
      <c r="H2105" s="266" t="s">
        <v>551</v>
      </c>
      <c r="I2105" s="266"/>
      <c r="J2105" s="266"/>
      <c r="K2105" s="1"/>
      <c r="L2105" s="1"/>
    </row>
    <row r="2106">
      <c r="A2106" s="266">
        <v>3100.0</v>
      </c>
      <c r="B2106" s="266"/>
      <c r="C2106" s="266">
        <v>10.0</v>
      </c>
      <c r="D2106" s="266" t="s">
        <v>7893</v>
      </c>
      <c r="E2106" s="266"/>
      <c r="F2106" s="266"/>
      <c r="G2106" s="266" t="s">
        <v>6304</v>
      </c>
      <c r="H2106" s="266" t="s">
        <v>552</v>
      </c>
      <c r="I2106" s="266"/>
      <c r="J2106" s="266"/>
      <c r="K2106" s="1"/>
      <c r="L2106" s="1"/>
    </row>
    <row r="2107">
      <c r="A2107" s="266">
        <v>3200.0</v>
      </c>
      <c r="B2107" s="266"/>
      <c r="C2107" s="266">
        <v>10.0</v>
      </c>
      <c r="D2107" s="266" t="s">
        <v>7894</v>
      </c>
      <c r="E2107" s="266"/>
      <c r="F2107" s="266"/>
      <c r="G2107" s="266" t="s">
        <v>6304</v>
      </c>
      <c r="H2107" s="266" t="s">
        <v>7034</v>
      </c>
      <c r="I2107" s="266" t="s">
        <v>6305</v>
      </c>
      <c r="J2107" s="266"/>
      <c r="K2107" s="1"/>
      <c r="L2107" s="1"/>
    </row>
    <row r="2108">
      <c r="A2108" s="266">
        <v>3300.0</v>
      </c>
      <c r="B2108" s="266"/>
      <c r="C2108" s="266">
        <v>10.0</v>
      </c>
      <c r="D2108" s="266" t="s">
        <v>7895</v>
      </c>
      <c r="E2108" s="266"/>
      <c r="F2108" s="266"/>
      <c r="G2108" s="266" t="s">
        <v>6304</v>
      </c>
      <c r="H2108" s="266" t="s">
        <v>6909</v>
      </c>
      <c r="I2108" s="266" t="s">
        <v>6305</v>
      </c>
      <c r="J2108" s="266"/>
      <c r="K2108" s="1"/>
      <c r="L2108" s="1"/>
    </row>
    <row r="2109">
      <c r="A2109" s="266">
        <v>3400.0</v>
      </c>
      <c r="B2109" s="266"/>
      <c r="C2109" s="266">
        <v>10.0</v>
      </c>
      <c r="D2109" s="266" t="s">
        <v>7896</v>
      </c>
      <c r="E2109" s="266"/>
      <c r="F2109" s="266"/>
      <c r="G2109" s="266" t="s">
        <v>6304</v>
      </c>
      <c r="H2109" s="266" t="s">
        <v>7034</v>
      </c>
      <c r="I2109" s="266" t="s">
        <v>6305</v>
      </c>
      <c r="J2109" s="266"/>
      <c r="K2109" s="1"/>
      <c r="L2109" s="1"/>
    </row>
    <row r="2110">
      <c r="A2110" s="266">
        <v>3500.0</v>
      </c>
      <c r="B2110" s="266"/>
      <c r="C2110" s="266">
        <v>10.0</v>
      </c>
      <c r="D2110" s="266" t="s">
        <v>7897</v>
      </c>
      <c r="E2110" s="266"/>
      <c r="F2110" s="266"/>
      <c r="G2110" s="266" t="s">
        <v>6304</v>
      </c>
      <c r="H2110" s="266" t="s">
        <v>6909</v>
      </c>
      <c r="I2110" s="266" t="s">
        <v>6305</v>
      </c>
      <c r="J2110" s="266"/>
      <c r="K2110" s="1"/>
      <c r="L2110" s="1"/>
    </row>
    <row r="2111">
      <c r="A2111" s="266">
        <v>3600.0</v>
      </c>
      <c r="B2111" s="266"/>
      <c r="C2111" s="266">
        <v>10.0</v>
      </c>
      <c r="D2111" s="266" t="s">
        <v>7898</v>
      </c>
      <c r="E2111" s="266"/>
      <c r="F2111" s="266"/>
      <c r="G2111" s="266" t="s">
        <v>6304</v>
      </c>
      <c r="H2111" s="266" t="s">
        <v>7034</v>
      </c>
      <c r="I2111" s="266" t="s">
        <v>6305</v>
      </c>
      <c r="J2111" s="266"/>
      <c r="K2111" s="1"/>
      <c r="L2111" s="1"/>
    </row>
    <row r="2112">
      <c r="A2112" s="266">
        <v>3700.0</v>
      </c>
      <c r="B2112" s="266"/>
      <c r="C2112" s="266">
        <v>10.0</v>
      </c>
      <c r="D2112" s="266" t="s">
        <v>7899</v>
      </c>
      <c r="E2112" s="266"/>
      <c r="F2112" s="266"/>
      <c r="G2112" s="266" t="s">
        <v>6304</v>
      </c>
      <c r="H2112" s="266" t="s">
        <v>7034</v>
      </c>
      <c r="I2112" s="266" t="s">
        <v>6305</v>
      </c>
      <c r="J2112" s="266"/>
      <c r="K2112" s="1"/>
      <c r="L2112" s="1"/>
    </row>
    <row r="2113">
      <c r="A2113" s="266">
        <v>3800.0</v>
      </c>
      <c r="B2113" s="266"/>
      <c r="C2113" s="266">
        <v>10.0</v>
      </c>
      <c r="D2113" s="266" t="s">
        <v>7900</v>
      </c>
      <c r="E2113" s="266"/>
      <c r="F2113" s="266"/>
      <c r="G2113" s="266" t="s">
        <v>6304</v>
      </c>
      <c r="H2113" s="266" t="s">
        <v>6909</v>
      </c>
      <c r="I2113" s="266" t="s">
        <v>6305</v>
      </c>
      <c r="J2113" s="266"/>
      <c r="K2113" s="1"/>
      <c r="L2113" s="1"/>
    </row>
    <row r="2114">
      <c r="A2114" s="266">
        <v>3900.0</v>
      </c>
      <c r="B2114" s="266"/>
      <c r="C2114" s="266">
        <v>10.0</v>
      </c>
      <c r="D2114" s="266" t="s">
        <v>7901</v>
      </c>
      <c r="E2114" s="266"/>
      <c r="F2114" s="266"/>
      <c r="G2114" s="266" t="s">
        <v>6304</v>
      </c>
      <c r="H2114" s="266" t="s">
        <v>7034</v>
      </c>
      <c r="I2114" s="266" t="s">
        <v>6305</v>
      </c>
      <c r="J2114" s="266"/>
      <c r="K2114" s="1"/>
      <c r="L2114" s="1"/>
    </row>
    <row r="2115">
      <c r="A2115" s="266">
        <v>4000.0</v>
      </c>
      <c r="B2115" s="266"/>
      <c r="C2115" s="266">
        <v>10.0</v>
      </c>
      <c r="D2115" s="266" t="s">
        <v>7902</v>
      </c>
      <c r="E2115" s="266"/>
      <c r="F2115" s="266"/>
      <c r="G2115" s="266" t="s">
        <v>6304</v>
      </c>
      <c r="H2115" s="266" t="s">
        <v>7034</v>
      </c>
      <c r="I2115" s="266" t="s">
        <v>6305</v>
      </c>
      <c r="J2115" s="266"/>
      <c r="K2115" s="1"/>
      <c r="L2115" s="1"/>
    </row>
    <row r="2116">
      <c r="A2116" s="266">
        <v>4100.0</v>
      </c>
      <c r="B2116" s="266"/>
      <c r="C2116" s="266">
        <v>10.0</v>
      </c>
      <c r="D2116" s="266" t="s">
        <v>7903</v>
      </c>
      <c r="E2116" s="266"/>
      <c r="F2116" s="266"/>
      <c r="G2116" s="266" t="s">
        <v>6304</v>
      </c>
      <c r="H2116" s="266" t="s">
        <v>7034</v>
      </c>
      <c r="I2116" s="266" t="s">
        <v>6305</v>
      </c>
      <c r="J2116" s="266"/>
      <c r="K2116" s="1"/>
      <c r="L2116" s="1"/>
    </row>
    <row r="2117">
      <c r="A2117" s="266">
        <v>4200.0</v>
      </c>
      <c r="B2117" s="266"/>
      <c r="C2117" s="266">
        <v>10.0</v>
      </c>
      <c r="D2117" s="266" t="s">
        <v>7904</v>
      </c>
      <c r="E2117" s="266"/>
      <c r="F2117" s="266"/>
      <c r="G2117" s="266" t="s">
        <v>6304</v>
      </c>
      <c r="H2117" s="266" t="s">
        <v>7034</v>
      </c>
      <c r="I2117" s="266" t="s">
        <v>6305</v>
      </c>
      <c r="J2117" s="266"/>
      <c r="K2117" s="1"/>
      <c r="L2117" s="1"/>
    </row>
    <row r="2118">
      <c r="A2118" s="266">
        <v>4300.0</v>
      </c>
      <c r="B2118" s="266"/>
      <c r="C2118" s="266">
        <v>10.0</v>
      </c>
      <c r="D2118" s="266" t="s">
        <v>7905</v>
      </c>
      <c r="E2118" s="266"/>
      <c r="F2118" s="266"/>
      <c r="G2118" s="266" t="s">
        <v>6304</v>
      </c>
      <c r="H2118" s="266" t="s">
        <v>6909</v>
      </c>
      <c r="I2118" s="266" t="s">
        <v>6305</v>
      </c>
      <c r="J2118" s="266"/>
      <c r="K2118" s="1"/>
      <c r="L2118" s="1"/>
    </row>
    <row r="2119">
      <c r="A2119" s="266">
        <v>4400.0</v>
      </c>
      <c r="B2119" s="266"/>
      <c r="C2119" s="266">
        <v>10.0</v>
      </c>
      <c r="D2119" s="266" t="s">
        <v>7906</v>
      </c>
      <c r="E2119" s="266"/>
      <c r="F2119" s="266"/>
      <c r="G2119" s="266" t="s">
        <v>6304</v>
      </c>
      <c r="H2119" s="266" t="s">
        <v>7034</v>
      </c>
      <c r="I2119" s="266" t="s">
        <v>6305</v>
      </c>
      <c r="J2119" s="266"/>
      <c r="K2119" s="1"/>
      <c r="L2119" s="1"/>
    </row>
    <row r="2120">
      <c r="A2120" s="266">
        <v>4500.0</v>
      </c>
      <c r="B2120" s="266"/>
      <c r="C2120" s="266">
        <v>10.0</v>
      </c>
      <c r="D2120" s="266" t="s">
        <v>7907</v>
      </c>
      <c r="E2120" s="266"/>
      <c r="F2120" s="266"/>
      <c r="G2120" s="266" t="s">
        <v>6304</v>
      </c>
      <c r="H2120" s="266" t="s">
        <v>6909</v>
      </c>
      <c r="I2120" s="266" t="s">
        <v>6305</v>
      </c>
      <c r="J2120" s="266"/>
      <c r="K2120" s="1"/>
      <c r="L2120" s="1"/>
    </row>
    <row r="2121">
      <c r="A2121" s="266">
        <v>4600.0</v>
      </c>
      <c r="B2121" s="266"/>
      <c r="C2121" s="266">
        <v>10.0</v>
      </c>
      <c r="D2121" s="266" t="s">
        <v>7033</v>
      </c>
      <c r="E2121" s="266"/>
      <c r="F2121" s="266"/>
      <c r="G2121" s="266" t="s">
        <v>6304</v>
      </c>
      <c r="H2121" s="266" t="s">
        <v>7034</v>
      </c>
      <c r="I2121" s="266" t="s">
        <v>6305</v>
      </c>
      <c r="J2121" s="266"/>
      <c r="K2121" s="1"/>
      <c r="L2121" s="1"/>
    </row>
    <row r="2122">
      <c r="A2122" s="266">
        <v>4700.0</v>
      </c>
      <c r="B2122" s="266"/>
      <c r="C2122" s="266">
        <v>10.0</v>
      </c>
      <c r="D2122" s="266" t="s">
        <v>7908</v>
      </c>
      <c r="E2122" s="266"/>
      <c r="F2122" s="266"/>
      <c r="G2122" s="266" t="s">
        <v>6304</v>
      </c>
      <c r="H2122" s="266" t="s">
        <v>6909</v>
      </c>
      <c r="I2122" s="266" t="s">
        <v>6305</v>
      </c>
      <c r="J2122" s="266"/>
      <c r="K2122" s="1"/>
      <c r="L2122" s="1"/>
    </row>
    <row r="2123">
      <c r="A2123" s="266">
        <v>4800.0</v>
      </c>
      <c r="B2123" s="266"/>
      <c r="C2123" s="266">
        <v>10.0</v>
      </c>
      <c r="D2123" s="266" t="s">
        <v>7909</v>
      </c>
      <c r="E2123" s="266"/>
      <c r="F2123" s="266"/>
      <c r="G2123" s="266" t="s">
        <v>6304</v>
      </c>
      <c r="H2123" s="266" t="s">
        <v>5245</v>
      </c>
      <c r="I2123" s="266" t="s">
        <v>6305</v>
      </c>
      <c r="J2123" s="266"/>
      <c r="K2123" s="1"/>
      <c r="L2123" s="1"/>
    </row>
    <row r="2124">
      <c r="A2124" s="266">
        <v>4900.0</v>
      </c>
      <c r="B2124" s="266"/>
      <c r="C2124" s="266">
        <v>10.0</v>
      </c>
      <c r="D2124" s="266" t="s">
        <v>7910</v>
      </c>
      <c r="E2124" s="266"/>
      <c r="F2124" s="266"/>
      <c r="G2124" s="266" t="s">
        <v>6304</v>
      </c>
      <c r="H2124" s="266" t="s">
        <v>7625</v>
      </c>
      <c r="I2124" s="266" t="s">
        <v>6305</v>
      </c>
      <c r="J2124" s="266"/>
      <c r="K2124" s="1"/>
      <c r="L2124" s="1"/>
    </row>
    <row r="2125">
      <c r="A2125" s="266">
        <v>5000.0</v>
      </c>
      <c r="B2125" s="266"/>
      <c r="C2125" s="266">
        <v>10.0</v>
      </c>
      <c r="D2125" s="266" t="s">
        <v>7911</v>
      </c>
      <c r="E2125" s="266"/>
      <c r="F2125" s="266"/>
      <c r="G2125" s="266" t="s">
        <v>6304</v>
      </c>
      <c r="H2125" s="266" t="s">
        <v>5245</v>
      </c>
      <c r="I2125" s="266" t="s">
        <v>6305</v>
      </c>
      <c r="J2125" s="266"/>
      <c r="K2125" s="1"/>
      <c r="L2125" s="1"/>
    </row>
    <row r="2126">
      <c r="A2126" s="266">
        <v>5100.0</v>
      </c>
      <c r="B2126" s="266"/>
      <c r="C2126" s="266">
        <v>10.0</v>
      </c>
      <c r="D2126" s="266" t="s">
        <v>7912</v>
      </c>
      <c r="E2126" s="266"/>
      <c r="F2126" s="266"/>
      <c r="G2126" s="266" t="s">
        <v>6304</v>
      </c>
      <c r="H2126" s="266" t="s">
        <v>5245</v>
      </c>
      <c r="I2126" s="266" t="s">
        <v>6305</v>
      </c>
      <c r="J2126" s="266"/>
      <c r="K2126" s="1"/>
      <c r="L2126" s="1"/>
    </row>
    <row r="2127">
      <c r="A2127" s="266">
        <v>5200.0</v>
      </c>
      <c r="B2127" s="266"/>
      <c r="C2127" s="266">
        <v>10.0</v>
      </c>
      <c r="D2127" s="266" t="s">
        <v>7913</v>
      </c>
      <c r="E2127" s="266"/>
      <c r="F2127" s="266"/>
      <c r="G2127" s="266" t="s">
        <v>6304</v>
      </c>
      <c r="H2127" s="266" t="s">
        <v>7625</v>
      </c>
      <c r="I2127" s="266" t="s">
        <v>6305</v>
      </c>
      <c r="J2127" s="266"/>
      <c r="K2127" s="1"/>
      <c r="L2127" s="1"/>
    </row>
    <row r="2128">
      <c r="A2128" s="266">
        <v>5300.0</v>
      </c>
      <c r="B2128" s="266"/>
      <c r="C2128" s="266">
        <v>10.0</v>
      </c>
      <c r="D2128" s="266" t="s">
        <v>7914</v>
      </c>
      <c r="E2128" s="266"/>
      <c r="F2128" s="266"/>
      <c r="G2128" s="266" t="s">
        <v>6304</v>
      </c>
      <c r="H2128" s="266" t="s">
        <v>5245</v>
      </c>
      <c r="I2128" s="266" t="s">
        <v>6305</v>
      </c>
      <c r="J2128" s="266"/>
      <c r="K2128" s="1"/>
      <c r="L2128" s="1"/>
    </row>
    <row r="2129">
      <c r="A2129" s="266">
        <v>5400.0</v>
      </c>
      <c r="B2129" s="266"/>
      <c r="C2129" s="266">
        <v>10.0</v>
      </c>
      <c r="D2129" s="266" t="s">
        <v>7915</v>
      </c>
      <c r="E2129" s="266"/>
      <c r="F2129" s="266"/>
      <c r="G2129" s="266" t="s">
        <v>6304</v>
      </c>
      <c r="H2129" s="266" t="s">
        <v>5245</v>
      </c>
      <c r="I2129" s="266" t="s">
        <v>6305</v>
      </c>
      <c r="J2129" s="266"/>
      <c r="K2129" s="1"/>
      <c r="L2129" s="1"/>
    </row>
    <row r="2130">
      <c r="A2130" s="266">
        <v>5500.0</v>
      </c>
      <c r="B2130" s="266"/>
      <c r="C2130" s="266">
        <v>10.0</v>
      </c>
      <c r="D2130" s="266" t="s">
        <v>7916</v>
      </c>
      <c r="E2130" s="266"/>
      <c r="F2130" s="266"/>
      <c r="G2130" s="266" t="s">
        <v>6304</v>
      </c>
      <c r="H2130" s="266" t="s">
        <v>5245</v>
      </c>
      <c r="I2130" s="266" t="s">
        <v>6305</v>
      </c>
      <c r="J2130" s="266"/>
      <c r="K2130" s="1"/>
      <c r="L2130" s="1"/>
    </row>
    <row r="2131">
      <c r="A2131" s="266">
        <v>5600.0</v>
      </c>
      <c r="B2131" s="266"/>
      <c r="C2131" s="266">
        <v>10.0</v>
      </c>
      <c r="D2131" s="266" t="s">
        <v>7917</v>
      </c>
      <c r="E2131" s="266"/>
      <c r="F2131" s="266"/>
      <c r="G2131" s="266" t="s">
        <v>6304</v>
      </c>
      <c r="H2131" s="266" t="s">
        <v>5245</v>
      </c>
      <c r="I2131" s="266" t="s">
        <v>6305</v>
      </c>
      <c r="J2131" s="266"/>
      <c r="K2131" s="1"/>
      <c r="L2131" s="1"/>
    </row>
    <row r="2132">
      <c r="A2132" s="266">
        <v>5700.0</v>
      </c>
      <c r="B2132" s="266"/>
      <c r="C2132" s="266">
        <v>10.0</v>
      </c>
      <c r="D2132" s="266" t="s">
        <v>7918</v>
      </c>
      <c r="E2132" s="266"/>
      <c r="F2132" s="266"/>
      <c r="G2132" s="266" t="s">
        <v>6304</v>
      </c>
      <c r="H2132" s="266" t="s">
        <v>7625</v>
      </c>
      <c r="I2132" s="266" t="s">
        <v>6305</v>
      </c>
      <c r="J2132" s="266"/>
      <c r="K2132" s="1"/>
      <c r="L2132" s="1"/>
    </row>
    <row r="2133">
      <c r="A2133" s="266">
        <v>5800.0</v>
      </c>
      <c r="B2133" s="266"/>
      <c r="C2133" s="266">
        <v>10.0</v>
      </c>
      <c r="D2133" s="266" t="s">
        <v>7919</v>
      </c>
      <c r="E2133" s="266"/>
      <c r="F2133" s="266"/>
      <c r="G2133" s="266" t="s">
        <v>6304</v>
      </c>
      <c r="H2133" s="266" t="s">
        <v>5245</v>
      </c>
      <c r="I2133" s="266" t="s">
        <v>6305</v>
      </c>
      <c r="J2133" s="266"/>
      <c r="K2133" s="1"/>
      <c r="L2133" s="1"/>
    </row>
    <row r="2134">
      <c r="A2134" s="266">
        <v>5900.0</v>
      </c>
      <c r="B2134" s="266"/>
      <c r="C2134" s="266">
        <v>10.0</v>
      </c>
      <c r="D2134" s="266" t="s">
        <v>7920</v>
      </c>
      <c r="E2134" s="266"/>
      <c r="F2134" s="266"/>
      <c r="G2134" s="266" t="s">
        <v>6304</v>
      </c>
      <c r="H2134" s="266" t="s">
        <v>7625</v>
      </c>
      <c r="I2134" s="266" t="s">
        <v>6305</v>
      </c>
      <c r="J2134" s="266"/>
      <c r="K2134" s="1"/>
      <c r="L2134" s="1"/>
    </row>
    <row r="2135">
      <c r="A2135" s="266">
        <v>6000.0</v>
      </c>
      <c r="B2135" s="266"/>
      <c r="C2135" s="266">
        <v>10.0</v>
      </c>
      <c r="D2135" s="266" t="s">
        <v>7921</v>
      </c>
      <c r="E2135" s="266"/>
      <c r="F2135" s="266"/>
      <c r="G2135" s="266" t="s">
        <v>6304</v>
      </c>
      <c r="H2135" s="266" t="s">
        <v>5245</v>
      </c>
      <c r="I2135" s="266" t="s">
        <v>6305</v>
      </c>
      <c r="J2135" s="266"/>
      <c r="K2135" s="1"/>
      <c r="L2135" s="1"/>
    </row>
    <row r="2136">
      <c r="A2136" s="266">
        <v>6100.0</v>
      </c>
      <c r="B2136" s="266"/>
      <c r="C2136" s="266">
        <v>10.0</v>
      </c>
      <c r="D2136" s="266" t="s">
        <v>7922</v>
      </c>
      <c r="E2136" s="266"/>
      <c r="F2136" s="266"/>
      <c r="G2136" s="266" t="s">
        <v>6304</v>
      </c>
      <c r="H2136" s="266" t="s">
        <v>7625</v>
      </c>
      <c r="I2136" s="266" t="s">
        <v>6305</v>
      </c>
      <c r="J2136" s="266"/>
      <c r="K2136" s="1"/>
      <c r="L2136" s="1"/>
    </row>
    <row r="2137">
      <c r="A2137" s="266">
        <v>6200.0</v>
      </c>
      <c r="B2137" s="266"/>
      <c r="C2137" s="266">
        <v>10.0</v>
      </c>
      <c r="D2137" s="266" t="s">
        <v>7923</v>
      </c>
      <c r="E2137" s="266"/>
      <c r="F2137" s="266"/>
      <c r="G2137" s="266" t="s">
        <v>6304</v>
      </c>
      <c r="H2137" s="266" t="s">
        <v>7034</v>
      </c>
      <c r="I2137" s="266" t="s">
        <v>6305</v>
      </c>
      <c r="J2137" s="266"/>
      <c r="K2137" s="1"/>
      <c r="L2137" s="1"/>
    </row>
    <row r="2138">
      <c r="A2138" s="266">
        <v>6300.0</v>
      </c>
      <c r="B2138" s="266"/>
      <c r="C2138" s="266">
        <v>10.0</v>
      </c>
      <c r="D2138" s="266" t="s">
        <v>7924</v>
      </c>
      <c r="E2138" s="266"/>
      <c r="F2138" s="266"/>
      <c r="G2138" s="266" t="s">
        <v>6304</v>
      </c>
      <c r="H2138" s="266" t="s">
        <v>6909</v>
      </c>
      <c r="I2138" s="266" t="s">
        <v>6305</v>
      </c>
      <c r="J2138" s="266"/>
      <c r="K2138" s="1"/>
      <c r="L2138" s="1"/>
    </row>
    <row r="2139">
      <c r="A2139" s="266">
        <v>50.0</v>
      </c>
      <c r="B2139" s="266">
        <v>1.0</v>
      </c>
      <c r="C2139" s="266"/>
      <c r="D2139" s="266" t="s">
        <v>7925</v>
      </c>
      <c r="E2139" s="266"/>
      <c r="F2139" s="266"/>
      <c r="G2139" s="266"/>
      <c r="H2139" s="266"/>
      <c r="I2139" s="266"/>
      <c r="J2139" s="267"/>
    </row>
    <row r="2140">
      <c r="A2140" s="266">
        <v>100.0</v>
      </c>
      <c r="B2140" s="266"/>
      <c r="C2140" s="266">
        <v>5.0</v>
      </c>
      <c r="D2140" s="266" t="s">
        <v>7926</v>
      </c>
      <c r="E2140" s="266"/>
      <c r="F2140" s="266"/>
      <c r="G2140" s="266" t="s">
        <v>6304</v>
      </c>
      <c r="H2140" s="266" t="s">
        <v>7927</v>
      </c>
      <c r="I2140" s="266"/>
      <c r="J2140" s="266"/>
      <c r="K2140" s="1"/>
      <c r="L2140" s="1"/>
    </row>
    <row r="2141">
      <c r="A2141" s="266">
        <v>50.0</v>
      </c>
      <c r="B2141" s="266">
        <v>1.0</v>
      </c>
      <c r="C2141" s="266"/>
      <c r="D2141" s="266" t="s">
        <v>7928</v>
      </c>
      <c r="E2141" s="266"/>
      <c r="F2141" s="266"/>
      <c r="G2141" s="266"/>
      <c r="H2141" s="266"/>
      <c r="I2141" s="266"/>
      <c r="J2141" s="267"/>
    </row>
    <row r="2142">
      <c r="A2142" s="266">
        <v>100.0</v>
      </c>
      <c r="B2142" s="266"/>
      <c r="C2142" s="266">
        <v>5.0</v>
      </c>
      <c r="D2142" s="266" t="s">
        <v>5241</v>
      </c>
      <c r="E2142" s="266"/>
      <c r="F2142" s="266"/>
      <c r="G2142" s="266" t="s">
        <v>6304</v>
      </c>
      <c r="H2142" s="266" t="s">
        <v>3806</v>
      </c>
      <c r="I2142" s="266"/>
      <c r="J2142" s="266"/>
      <c r="K2142" s="1"/>
      <c r="L2142" s="1"/>
    </row>
    <row r="2143">
      <c r="A2143" s="266">
        <v>200.0</v>
      </c>
      <c r="B2143" s="266"/>
      <c r="C2143" s="266">
        <v>5.0</v>
      </c>
      <c r="D2143" s="266" t="s">
        <v>7929</v>
      </c>
      <c r="E2143" s="266"/>
      <c r="F2143" s="266"/>
      <c r="G2143" s="266" t="s">
        <v>6304</v>
      </c>
      <c r="H2143" s="266" t="s">
        <v>7930</v>
      </c>
      <c r="I2143" s="266" t="s">
        <v>6305</v>
      </c>
      <c r="J2143" s="266"/>
      <c r="K2143" s="1"/>
      <c r="L2143" s="1"/>
    </row>
    <row r="2144">
      <c r="A2144" s="266">
        <v>300.0</v>
      </c>
      <c r="B2144" s="266"/>
      <c r="C2144" s="266">
        <v>5.0</v>
      </c>
      <c r="D2144" s="266" t="s">
        <v>7931</v>
      </c>
      <c r="E2144" s="266"/>
      <c r="F2144" s="266"/>
      <c r="G2144" s="266" t="s">
        <v>6304</v>
      </c>
      <c r="H2144" s="266" t="s">
        <v>7930</v>
      </c>
      <c r="I2144" s="266" t="s">
        <v>6305</v>
      </c>
      <c r="J2144" s="266"/>
      <c r="K2144" s="1"/>
      <c r="L2144" s="1"/>
    </row>
    <row r="2145">
      <c r="A2145" s="266">
        <v>400.0</v>
      </c>
      <c r="B2145" s="266"/>
      <c r="C2145" s="266">
        <v>5.0</v>
      </c>
      <c r="D2145" s="266" t="s">
        <v>7932</v>
      </c>
      <c r="E2145" s="266"/>
      <c r="F2145" s="266"/>
      <c r="G2145" s="266" t="s">
        <v>6304</v>
      </c>
      <c r="H2145" s="266" t="s">
        <v>7930</v>
      </c>
      <c r="I2145" s="266" t="s">
        <v>6305</v>
      </c>
      <c r="J2145" s="266"/>
      <c r="K2145" s="1"/>
      <c r="L2145" s="1"/>
    </row>
    <row r="2146">
      <c r="A2146" s="266">
        <v>500.0</v>
      </c>
      <c r="B2146" s="266"/>
      <c r="C2146" s="266">
        <v>5.0</v>
      </c>
      <c r="D2146" s="266" t="s">
        <v>7933</v>
      </c>
      <c r="E2146" s="266"/>
      <c r="F2146" s="266"/>
      <c r="G2146" s="266" t="s">
        <v>6304</v>
      </c>
      <c r="H2146" s="266" t="s">
        <v>7930</v>
      </c>
      <c r="I2146" s="266" t="s">
        <v>6305</v>
      </c>
      <c r="J2146" s="266"/>
      <c r="K2146" s="1"/>
      <c r="L2146" s="1"/>
    </row>
    <row r="2147">
      <c r="A2147" s="266">
        <v>600.0</v>
      </c>
      <c r="B2147" s="266"/>
      <c r="C2147" s="266">
        <v>5.0</v>
      </c>
      <c r="D2147" s="266" t="s">
        <v>7934</v>
      </c>
      <c r="E2147" s="266"/>
      <c r="F2147" s="266"/>
      <c r="G2147" s="266" t="s">
        <v>6304</v>
      </c>
      <c r="H2147" s="266" t="s">
        <v>7930</v>
      </c>
      <c r="I2147" s="266" t="s">
        <v>6305</v>
      </c>
      <c r="J2147" s="266"/>
      <c r="K2147" s="1"/>
      <c r="L2147" s="1"/>
    </row>
    <row r="2148">
      <c r="A2148" s="266">
        <v>700.0</v>
      </c>
      <c r="B2148" s="266"/>
      <c r="C2148" s="266">
        <v>5.0</v>
      </c>
      <c r="D2148" s="266" t="s">
        <v>7935</v>
      </c>
      <c r="E2148" s="266"/>
      <c r="F2148" s="266"/>
      <c r="G2148" s="266" t="s">
        <v>6304</v>
      </c>
      <c r="H2148" s="266" t="s">
        <v>555</v>
      </c>
      <c r="I2148" s="266"/>
      <c r="J2148" s="266"/>
      <c r="K2148" s="1"/>
      <c r="L2148" s="1"/>
    </row>
    <row r="2149">
      <c r="A2149" s="266">
        <v>800.0</v>
      </c>
      <c r="B2149" s="266"/>
      <c r="C2149" s="266">
        <v>5.0</v>
      </c>
      <c r="D2149" s="266" t="s">
        <v>7936</v>
      </c>
      <c r="E2149" s="266"/>
      <c r="F2149" s="266"/>
      <c r="G2149" s="266" t="s">
        <v>6304</v>
      </c>
      <c r="H2149" s="266" t="s">
        <v>560</v>
      </c>
      <c r="I2149" s="266"/>
      <c r="J2149" s="266"/>
      <c r="K2149" s="1"/>
      <c r="L2149" s="1"/>
    </row>
    <row r="2150">
      <c r="A2150" s="266">
        <v>900.0</v>
      </c>
      <c r="B2150" s="266"/>
      <c r="C2150" s="266">
        <v>5.0</v>
      </c>
      <c r="D2150" s="266" t="s">
        <v>7937</v>
      </c>
      <c r="E2150" s="266"/>
      <c r="F2150" s="266"/>
      <c r="G2150" s="266"/>
      <c r="H2150" s="266"/>
      <c r="I2150" s="266"/>
      <c r="J2150" s="267"/>
    </row>
    <row r="2151">
      <c r="A2151" s="266">
        <v>1000.0</v>
      </c>
      <c r="B2151" s="266"/>
      <c r="C2151" s="266">
        <v>10.0</v>
      </c>
      <c r="D2151" s="266" t="s">
        <v>7938</v>
      </c>
      <c r="E2151" s="266"/>
      <c r="F2151" s="266"/>
      <c r="G2151" s="266" t="s">
        <v>6304</v>
      </c>
      <c r="H2151" s="266" t="s">
        <v>559</v>
      </c>
      <c r="I2151" s="266"/>
      <c r="J2151" s="266"/>
      <c r="K2151" s="1"/>
      <c r="L2151" s="1"/>
    </row>
    <row r="2152">
      <c r="A2152" s="266">
        <v>1100.0</v>
      </c>
      <c r="B2152" s="266"/>
      <c r="C2152" s="266">
        <v>10.0</v>
      </c>
      <c r="D2152" s="266" t="s">
        <v>7939</v>
      </c>
      <c r="E2152" s="266"/>
      <c r="F2152" s="266"/>
      <c r="G2152" s="266" t="s">
        <v>6304</v>
      </c>
      <c r="H2152" s="266" t="s">
        <v>6315</v>
      </c>
      <c r="I2152" s="266"/>
      <c r="J2152" s="266"/>
      <c r="K2152" s="1"/>
      <c r="L2152" s="1"/>
    </row>
    <row r="2153">
      <c r="A2153" s="266">
        <v>1200.0</v>
      </c>
      <c r="B2153" s="266"/>
      <c r="C2153" s="266">
        <v>5.0</v>
      </c>
      <c r="D2153" s="266" t="s">
        <v>7940</v>
      </c>
      <c r="E2153" s="266"/>
      <c r="F2153" s="266"/>
      <c r="G2153" s="266" t="s">
        <v>6304</v>
      </c>
      <c r="H2153" s="266" t="s">
        <v>3808</v>
      </c>
      <c r="I2153" s="266" t="s">
        <v>6305</v>
      </c>
      <c r="J2153" s="266"/>
      <c r="K2153" s="1"/>
      <c r="L2153" s="1"/>
    </row>
    <row r="2154">
      <c r="A2154" s="266">
        <v>1300.0</v>
      </c>
      <c r="B2154" s="266"/>
      <c r="C2154" s="266">
        <v>5.0</v>
      </c>
      <c r="D2154" s="266" t="s">
        <v>7941</v>
      </c>
      <c r="E2154" s="266"/>
      <c r="F2154" s="266"/>
      <c r="G2154" s="266" t="s">
        <v>6304</v>
      </c>
      <c r="H2154" s="266" t="s">
        <v>560</v>
      </c>
      <c r="I2154" s="266"/>
      <c r="J2154" s="266"/>
      <c r="K2154" s="1"/>
      <c r="L2154" s="1"/>
    </row>
    <row r="2155">
      <c r="A2155" s="266">
        <v>1400.0</v>
      </c>
      <c r="B2155" s="266"/>
      <c r="C2155" s="266">
        <v>5.0</v>
      </c>
      <c r="D2155" s="266" t="s">
        <v>6306</v>
      </c>
      <c r="E2155" s="266"/>
      <c r="F2155" s="266"/>
      <c r="G2155" s="266" t="s">
        <v>6304</v>
      </c>
      <c r="H2155" s="266" t="s">
        <v>7942</v>
      </c>
      <c r="I2155" s="266"/>
      <c r="J2155" s="266"/>
      <c r="K2155" s="1"/>
      <c r="L2155" s="1"/>
    </row>
    <row r="2156">
      <c r="A2156" s="266">
        <v>50.0</v>
      </c>
      <c r="B2156" s="266">
        <v>1.0</v>
      </c>
      <c r="C2156" s="266"/>
      <c r="D2156" s="266" t="s">
        <v>7943</v>
      </c>
      <c r="E2156" s="266"/>
      <c r="F2156" s="266"/>
      <c r="G2156" s="266"/>
      <c r="H2156" s="266"/>
      <c r="I2156" s="266"/>
      <c r="J2156" s="267"/>
    </row>
    <row r="2157">
      <c r="A2157" s="266">
        <v>100.0</v>
      </c>
      <c r="B2157" s="266"/>
      <c r="C2157" s="266">
        <v>5.0</v>
      </c>
      <c r="D2157" s="266" t="s">
        <v>6781</v>
      </c>
      <c r="E2157" s="266"/>
      <c r="F2157" s="266"/>
      <c r="G2157" s="266"/>
      <c r="H2157" s="266"/>
      <c r="I2157" s="266"/>
      <c r="J2157" s="267"/>
    </row>
    <row r="2158">
      <c r="A2158" s="266">
        <v>200.0</v>
      </c>
      <c r="B2158" s="266"/>
      <c r="C2158" s="266">
        <v>10.0</v>
      </c>
      <c r="D2158" s="266" t="s">
        <v>5139</v>
      </c>
      <c r="E2158" s="266"/>
      <c r="F2158" s="266"/>
      <c r="G2158" s="266" t="s">
        <v>6304</v>
      </c>
      <c r="H2158" s="266" t="s">
        <v>551</v>
      </c>
      <c r="I2158" s="266"/>
      <c r="J2158" s="266"/>
      <c r="K2158" s="1"/>
      <c r="L2158" s="1"/>
    </row>
    <row r="2159">
      <c r="A2159" s="266">
        <v>300.0</v>
      </c>
      <c r="B2159" s="266"/>
      <c r="C2159" s="266">
        <v>10.0</v>
      </c>
      <c r="D2159" s="266" t="s">
        <v>5140</v>
      </c>
      <c r="E2159" s="266"/>
      <c r="F2159" s="266"/>
      <c r="G2159" s="266" t="s">
        <v>6304</v>
      </c>
      <c r="H2159" s="266" t="s">
        <v>551</v>
      </c>
      <c r="I2159" s="266"/>
      <c r="J2159" s="266"/>
      <c r="K2159" s="1"/>
      <c r="L2159" s="1"/>
    </row>
    <row r="2160">
      <c r="A2160" s="266">
        <v>400.0</v>
      </c>
      <c r="B2160" s="266"/>
      <c r="C2160" s="266">
        <v>10.0</v>
      </c>
      <c r="D2160" s="266" t="s">
        <v>5141</v>
      </c>
      <c r="E2160" s="266"/>
      <c r="F2160" s="266"/>
      <c r="G2160" s="266" t="s">
        <v>6304</v>
      </c>
      <c r="H2160" s="266" t="s">
        <v>551</v>
      </c>
      <c r="I2160" s="266"/>
      <c r="J2160" s="266"/>
      <c r="K2160" s="1"/>
      <c r="L2160" s="1"/>
    </row>
    <row r="2161">
      <c r="A2161" s="266">
        <v>500.0</v>
      </c>
      <c r="B2161" s="266"/>
      <c r="C2161" s="266">
        <v>5.0</v>
      </c>
      <c r="D2161" s="266" t="s">
        <v>6306</v>
      </c>
      <c r="E2161" s="266"/>
      <c r="F2161" s="266"/>
      <c r="G2161" s="266" t="s">
        <v>6304</v>
      </c>
      <c r="H2161" s="266" t="s">
        <v>7944</v>
      </c>
      <c r="I2161" s="266"/>
      <c r="J2161" s="266"/>
      <c r="K2161" s="1"/>
      <c r="L2161" s="1"/>
    </row>
    <row r="2162">
      <c r="A2162" s="266">
        <v>50.0</v>
      </c>
      <c r="B2162" s="266">
        <v>1.0</v>
      </c>
      <c r="C2162" s="266"/>
      <c r="D2162" s="266" t="s">
        <v>7945</v>
      </c>
      <c r="E2162" s="266"/>
      <c r="F2162" s="266"/>
      <c r="G2162" s="266"/>
      <c r="H2162" s="266"/>
      <c r="I2162" s="266"/>
      <c r="J2162" s="267"/>
    </row>
    <row r="2163">
      <c r="A2163" s="266">
        <v>100.0</v>
      </c>
      <c r="B2163" s="266"/>
      <c r="C2163" s="266">
        <v>5.0</v>
      </c>
      <c r="D2163" s="266" t="s">
        <v>7946</v>
      </c>
      <c r="E2163" s="266"/>
      <c r="F2163" s="266"/>
      <c r="G2163" s="266"/>
      <c r="H2163" s="266"/>
      <c r="I2163" s="266"/>
      <c r="J2163" s="267"/>
    </row>
    <row r="2164">
      <c r="A2164" s="266">
        <v>200.0</v>
      </c>
      <c r="B2164" s="266"/>
      <c r="C2164" s="266">
        <v>10.0</v>
      </c>
      <c r="D2164" s="266" t="s">
        <v>514</v>
      </c>
      <c r="E2164" s="266"/>
      <c r="F2164" s="266"/>
      <c r="G2164" s="266" t="s">
        <v>6304</v>
      </c>
      <c r="H2164" s="266" t="s">
        <v>551</v>
      </c>
      <c r="I2164" s="266"/>
      <c r="J2164" s="266"/>
      <c r="K2164" s="1"/>
      <c r="L2164" s="1"/>
    </row>
    <row r="2165">
      <c r="A2165" s="266">
        <v>300.0</v>
      </c>
      <c r="B2165" s="266"/>
      <c r="C2165" s="266">
        <v>10.0</v>
      </c>
      <c r="D2165" s="266" t="s">
        <v>7947</v>
      </c>
      <c r="E2165" s="266"/>
      <c r="F2165" s="266"/>
      <c r="G2165" s="266" t="s">
        <v>6304</v>
      </c>
      <c r="H2165" s="266" t="s">
        <v>551</v>
      </c>
      <c r="I2165" s="266"/>
      <c r="J2165" s="266"/>
      <c r="K2165" s="1"/>
      <c r="L2165" s="1"/>
    </row>
    <row r="2166">
      <c r="A2166" s="266">
        <v>400.0</v>
      </c>
      <c r="B2166" s="266"/>
      <c r="C2166" s="266">
        <v>10.0</v>
      </c>
      <c r="D2166" s="266" t="s">
        <v>5270</v>
      </c>
      <c r="E2166" s="266"/>
      <c r="F2166" s="266"/>
      <c r="G2166" s="266" t="s">
        <v>6304</v>
      </c>
      <c r="H2166" s="266" t="s">
        <v>551</v>
      </c>
      <c r="I2166" s="266"/>
      <c r="J2166" s="266"/>
      <c r="K2166" s="1"/>
      <c r="L2166" s="1"/>
    </row>
    <row r="2167">
      <c r="A2167" s="266">
        <v>500.0</v>
      </c>
      <c r="B2167" s="266"/>
      <c r="C2167" s="266">
        <v>10.0</v>
      </c>
      <c r="D2167" s="266" t="s">
        <v>7948</v>
      </c>
      <c r="E2167" s="266"/>
      <c r="F2167" s="266"/>
      <c r="G2167" s="266" t="s">
        <v>6304</v>
      </c>
      <c r="H2167" s="266" t="s">
        <v>3807</v>
      </c>
      <c r="I2167" s="266"/>
      <c r="J2167" s="266"/>
      <c r="K2167" s="1"/>
      <c r="L2167" s="1"/>
    </row>
    <row r="2168">
      <c r="A2168" s="266">
        <v>600.0</v>
      </c>
      <c r="B2168" s="266"/>
      <c r="C2168" s="266">
        <v>10.0</v>
      </c>
      <c r="D2168" s="266" t="s">
        <v>6781</v>
      </c>
      <c r="E2168" s="266"/>
      <c r="F2168" s="266"/>
      <c r="G2168" s="266"/>
      <c r="H2168" s="266"/>
      <c r="I2168" s="266"/>
      <c r="J2168" s="267"/>
    </row>
    <row r="2169">
      <c r="A2169" s="266">
        <v>700.0</v>
      </c>
      <c r="B2169" s="266"/>
      <c r="C2169" s="266">
        <v>15.0</v>
      </c>
      <c r="D2169" s="266" t="s">
        <v>5139</v>
      </c>
      <c r="E2169" s="266"/>
      <c r="F2169" s="266"/>
      <c r="G2169" s="266" t="s">
        <v>6304</v>
      </c>
      <c r="H2169" s="266" t="s">
        <v>551</v>
      </c>
      <c r="I2169" s="266"/>
      <c r="J2169" s="266"/>
      <c r="K2169" s="1"/>
      <c r="L2169" s="1"/>
    </row>
    <row r="2170">
      <c r="A2170" s="266">
        <v>800.0</v>
      </c>
      <c r="B2170" s="266"/>
      <c r="C2170" s="266">
        <v>15.0</v>
      </c>
      <c r="D2170" s="266" t="s">
        <v>5140</v>
      </c>
      <c r="E2170" s="266"/>
      <c r="F2170" s="266"/>
      <c r="G2170" s="266" t="s">
        <v>6304</v>
      </c>
      <c r="H2170" s="266" t="s">
        <v>551</v>
      </c>
      <c r="I2170" s="266"/>
      <c r="J2170" s="266"/>
      <c r="K2170" s="1"/>
      <c r="L2170" s="1"/>
    </row>
    <row r="2171">
      <c r="A2171" s="266">
        <v>900.0</v>
      </c>
      <c r="B2171" s="266"/>
      <c r="C2171" s="266">
        <v>15.0</v>
      </c>
      <c r="D2171" s="266" t="s">
        <v>5141</v>
      </c>
      <c r="E2171" s="266"/>
      <c r="F2171" s="266"/>
      <c r="G2171" s="266" t="s">
        <v>6304</v>
      </c>
      <c r="H2171" s="266" t="s">
        <v>551</v>
      </c>
      <c r="I2171" s="266"/>
      <c r="J2171" s="266"/>
      <c r="K2171" s="1"/>
      <c r="L2171" s="1"/>
    </row>
    <row r="2172">
      <c r="A2172" s="266">
        <v>1000.0</v>
      </c>
      <c r="B2172" s="266"/>
      <c r="C2172" s="266">
        <v>5.0</v>
      </c>
      <c r="D2172" s="266" t="s">
        <v>5144</v>
      </c>
      <c r="E2172" s="266"/>
      <c r="F2172" s="266"/>
      <c r="G2172" s="266" t="s">
        <v>6304</v>
      </c>
      <c r="H2172" s="266" t="s">
        <v>552</v>
      </c>
      <c r="I2172" s="266"/>
      <c r="J2172" s="266"/>
      <c r="K2172" s="1"/>
      <c r="L2172" s="1"/>
    </row>
    <row r="2173">
      <c r="A2173" s="266">
        <v>1100.0</v>
      </c>
      <c r="B2173" s="266"/>
      <c r="C2173" s="266">
        <v>5.0</v>
      </c>
      <c r="D2173" s="266" t="s">
        <v>5145</v>
      </c>
      <c r="E2173" s="266"/>
      <c r="F2173" s="266"/>
      <c r="G2173" s="266" t="s">
        <v>6304</v>
      </c>
      <c r="H2173" s="266" t="s">
        <v>552</v>
      </c>
      <c r="I2173" s="266"/>
      <c r="J2173" s="266"/>
      <c r="K2173" s="1"/>
      <c r="L2173" s="1"/>
    </row>
    <row r="2174">
      <c r="A2174" s="266">
        <v>1200.0</v>
      </c>
      <c r="B2174" s="266"/>
      <c r="C2174" s="266">
        <v>5.0</v>
      </c>
      <c r="D2174" s="266" t="s">
        <v>7084</v>
      </c>
      <c r="E2174" s="266"/>
      <c r="F2174" s="266"/>
      <c r="G2174" s="266" t="s">
        <v>6304</v>
      </c>
      <c r="H2174" s="266" t="s">
        <v>544</v>
      </c>
      <c r="I2174" s="266" t="s">
        <v>6305</v>
      </c>
      <c r="J2174" s="266"/>
      <c r="K2174" s="1"/>
      <c r="L2174" s="1"/>
    </row>
    <row r="2175">
      <c r="A2175" s="266">
        <v>1300.0</v>
      </c>
      <c r="B2175" s="266"/>
      <c r="C2175" s="266">
        <v>5.0</v>
      </c>
      <c r="D2175" s="266" t="s">
        <v>7085</v>
      </c>
      <c r="E2175" s="266"/>
      <c r="F2175" s="266"/>
      <c r="G2175" s="266" t="s">
        <v>6304</v>
      </c>
      <c r="H2175" s="266" t="s">
        <v>552</v>
      </c>
      <c r="I2175" s="266"/>
      <c r="J2175" s="266"/>
      <c r="K2175" s="1"/>
      <c r="L2175" s="1"/>
    </row>
    <row r="2176">
      <c r="A2176" s="266">
        <v>1400.0</v>
      </c>
      <c r="B2176" s="266"/>
      <c r="C2176" s="266">
        <v>5.0</v>
      </c>
      <c r="D2176" s="266" t="s">
        <v>5150</v>
      </c>
      <c r="E2176" s="266"/>
      <c r="F2176" s="266"/>
      <c r="G2176" s="266" t="s">
        <v>6304</v>
      </c>
      <c r="H2176" s="266" t="s">
        <v>552</v>
      </c>
      <c r="I2176" s="266"/>
      <c r="J2176" s="266"/>
      <c r="K2176" s="1"/>
      <c r="L2176" s="1"/>
    </row>
    <row r="2177">
      <c r="A2177" s="266">
        <v>1500.0</v>
      </c>
      <c r="B2177" s="266"/>
      <c r="C2177" s="266">
        <v>5.0</v>
      </c>
      <c r="D2177" s="266" t="s">
        <v>7086</v>
      </c>
      <c r="E2177" s="266"/>
      <c r="F2177" s="266"/>
      <c r="G2177" s="266" t="s">
        <v>6304</v>
      </c>
      <c r="H2177" s="266" t="s">
        <v>544</v>
      </c>
      <c r="I2177" s="266" t="s">
        <v>6305</v>
      </c>
      <c r="J2177" s="266"/>
      <c r="K2177" s="1"/>
      <c r="L2177" s="1"/>
    </row>
    <row r="2178">
      <c r="A2178" s="266">
        <v>1600.0</v>
      </c>
      <c r="B2178" s="266"/>
      <c r="C2178" s="266">
        <v>5.0</v>
      </c>
      <c r="D2178" s="266" t="s">
        <v>7087</v>
      </c>
      <c r="E2178" s="266"/>
      <c r="F2178" s="266"/>
      <c r="G2178" s="266" t="s">
        <v>6304</v>
      </c>
      <c r="H2178" s="266" t="s">
        <v>544</v>
      </c>
      <c r="I2178" s="266" t="s">
        <v>6305</v>
      </c>
      <c r="J2178" s="266"/>
      <c r="K2178" s="1"/>
      <c r="L2178" s="1"/>
    </row>
    <row r="2179">
      <c r="A2179" s="266">
        <v>1700.0</v>
      </c>
      <c r="B2179" s="266"/>
      <c r="C2179" s="266">
        <v>5.0</v>
      </c>
      <c r="D2179" s="266" t="s">
        <v>7088</v>
      </c>
      <c r="E2179" s="266"/>
      <c r="F2179" s="266"/>
      <c r="G2179" s="266" t="s">
        <v>6304</v>
      </c>
      <c r="H2179" s="266" t="s">
        <v>544</v>
      </c>
      <c r="I2179" s="266" t="s">
        <v>6305</v>
      </c>
      <c r="J2179" s="266"/>
      <c r="K2179" s="1"/>
      <c r="L2179" s="1"/>
    </row>
    <row r="2180">
      <c r="A2180" s="266">
        <v>1800.0</v>
      </c>
      <c r="B2180" s="266"/>
      <c r="C2180" s="266">
        <v>5.0</v>
      </c>
      <c r="D2180" s="266" t="s">
        <v>7089</v>
      </c>
      <c r="E2180" s="266"/>
      <c r="F2180" s="266"/>
      <c r="G2180" s="266" t="s">
        <v>6304</v>
      </c>
      <c r="H2180" s="266" t="s">
        <v>544</v>
      </c>
      <c r="I2180" s="266" t="s">
        <v>6305</v>
      </c>
      <c r="J2180" s="266"/>
      <c r="K2180" s="1"/>
      <c r="L2180" s="1"/>
    </row>
    <row r="2181">
      <c r="A2181" s="266">
        <v>1900.0</v>
      </c>
      <c r="B2181" s="266"/>
      <c r="C2181" s="266">
        <v>5.0</v>
      </c>
      <c r="D2181" s="266" t="s">
        <v>7949</v>
      </c>
      <c r="E2181" s="266"/>
      <c r="F2181" s="266"/>
      <c r="G2181" s="266" t="s">
        <v>6304</v>
      </c>
      <c r="H2181" s="266" t="s">
        <v>544</v>
      </c>
      <c r="I2181" s="266" t="s">
        <v>6305</v>
      </c>
      <c r="J2181" s="266"/>
      <c r="K2181" s="1"/>
      <c r="L2181" s="1"/>
    </row>
    <row r="2182">
      <c r="A2182" s="266">
        <v>2000.0</v>
      </c>
      <c r="B2182" s="266"/>
      <c r="C2182" s="266">
        <v>5.0</v>
      </c>
      <c r="D2182" s="266" t="s">
        <v>7950</v>
      </c>
      <c r="E2182" s="266"/>
      <c r="F2182" s="266"/>
      <c r="G2182" s="266" t="s">
        <v>6304</v>
      </c>
      <c r="H2182" s="266" t="s">
        <v>544</v>
      </c>
      <c r="I2182" s="266" t="s">
        <v>6305</v>
      </c>
      <c r="J2182" s="266"/>
      <c r="K2182" s="1"/>
      <c r="L2182" s="1"/>
    </row>
    <row r="2183">
      <c r="A2183" s="266">
        <v>2100.0</v>
      </c>
      <c r="B2183" s="266"/>
      <c r="C2183" s="266">
        <v>5.0</v>
      </c>
      <c r="D2183" s="266" t="s">
        <v>7951</v>
      </c>
      <c r="E2183" s="266"/>
      <c r="F2183" s="266"/>
      <c r="G2183" s="266" t="s">
        <v>6304</v>
      </c>
      <c r="H2183" s="266" t="s">
        <v>544</v>
      </c>
      <c r="I2183" s="266" t="s">
        <v>6305</v>
      </c>
      <c r="J2183" s="266"/>
      <c r="K2183" s="1"/>
      <c r="L2183" s="1"/>
    </row>
    <row r="2184">
      <c r="A2184" s="266">
        <v>2200.0</v>
      </c>
      <c r="B2184" s="266"/>
      <c r="C2184" s="266">
        <v>5.0</v>
      </c>
      <c r="D2184" s="266" t="s">
        <v>7952</v>
      </c>
      <c r="E2184" s="266"/>
      <c r="F2184" s="266"/>
      <c r="G2184" s="266" t="s">
        <v>6304</v>
      </c>
      <c r="H2184" s="266" t="s">
        <v>544</v>
      </c>
      <c r="I2184" s="266" t="s">
        <v>6305</v>
      </c>
      <c r="J2184" s="266"/>
      <c r="K2184" s="1"/>
      <c r="L2184" s="1"/>
    </row>
    <row r="2185">
      <c r="A2185" s="266">
        <v>2300.0</v>
      </c>
      <c r="B2185" s="266"/>
      <c r="C2185" s="266">
        <v>5.0</v>
      </c>
      <c r="D2185" s="266" t="s">
        <v>7100</v>
      </c>
      <c r="E2185" s="266" t="s">
        <v>6479</v>
      </c>
      <c r="F2185" s="266">
        <v>10.0</v>
      </c>
      <c r="G2185" s="266" t="s">
        <v>6304</v>
      </c>
      <c r="H2185" s="266" t="s">
        <v>544</v>
      </c>
      <c r="I2185" s="266" t="s">
        <v>6305</v>
      </c>
      <c r="J2185" s="267"/>
    </row>
    <row r="2186">
      <c r="A2186" s="266">
        <v>2400.0</v>
      </c>
      <c r="B2186" s="266"/>
      <c r="C2186" s="266">
        <v>5.0</v>
      </c>
      <c r="D2186" s="266" t="s">
        <v>6306</v>
      </c>
      <c r="E2186" s="266"/>
      <c r="F2186" s="266"/>
      <c r="G2186" s="266" t="s">
        <v>6304</v>
      </c>
      <c r="H2186" s="266" t="s">
        <v>6676</v>
      </c>
      <c r="I2186" s="266"/>
      <c r="J2186" s="266"/>
      <c r="K2186" s="1"/>
      <c r="L2186" s="1"/>
    </row>
    <row r="2187">
      <c r="A2187" s="266">
        <v>50.0</v>
      </c>
      <c r="B2187" s="266">
        <v>1.0</v>
      </c>
      <c r="C2187" s="266"/>
      <c r="D2187" s="266" t="s">
        <v>7953</v>
      </c>
      <c r="E2187" s="266"/>
      <c r="F2187" s="266"/>
      <c r="G2187" s="266"/>
      <c r="H2187" s="266"/>
      <c r="I2187" s="266"/>
      <c r="J2187" s="267"/>
    </row>
    <row r="2188">
      <c r="A2188" s="266">
        <v>100.0</v>
      </c>
      <c r="B2188" s="266"/>
      <c r="C2188" s="266">
        <v>5.0</v>
      </c>
      <c r="D2188" s="266" t="s">
        <v>6782</v>
      </c>
      <c r="E2188" s="266"/>
      <c r="F2188" s="266"/>
      <c r="G2188" s="266"/>
      <c r="H2188" s="266"/>
      <c r="I2188" s="266"/>
      <c r="J2188" s="267"/>
    </row>
    <row r="2189">
      <c r="A2189" s="266">
        <v>200.0</v>
      </c>
      <c r="B2189" s="266"/>
      <c r="C2189" s="266">
        <v>10.0</v>
      </c>
      <c r="D2189" s="266" t="s">
        <v>6783</v>
      </c>
      <c r="E2189" s="266"/>
      <c r="F2189" s="266"/>
      <c r="G2189" s="266"/>
      <c r="H2189" s="266"/>
      <c r="I2189" s="266"/>
      <c r="J2189" s="267"/>
    </row>
    <row r="2190">
      <c r="A2190" s="266">
        <v>300.0</v>
      </c>
      <c r="B2190" s="266"/>
      <c r="C2190" s="266">
        <v>15.0</v>
      </c>
      <c r="D2190" s="266" t="s">
        <v>5165</v>
      </c>
      <c r="E2190" s="266"/>
      <c r="F2190" s="266"/>
      <c r="G2190" s="266" t="s">
        <v>6304</v>
      </c>
      <c r="H2190" s="266">
        <v>9.0</v>
      </c>
      <c r="I2190" s="266"/>
      <c r="J2190" s="266"/>
      <c r="K2190" s="1"/>
      <c r="L2190" s="1"/>
    </row>
    <row r="2191">
      <c r="A2191" s="266">
        <v>400.0</v>
      </c>
      <c r="B2191" s="266"/>
      <c r="C2191" s="266">
        <v>15.0</v>
      </c>
      <c r="D2191" s="266" t="s">
        <v>5166</v>
      </c>
      <c r="E2191" s="266"/>
      <c r="F2191" s="266"/>
      <c r="G2191" s="266" t="s">
        <v>6304</v>
      </c>
      <c r="H2191" s="266" t="s">
        <v>551</v>
      </c>
      <c r="I2191" s="266"/>
      <c r="J2191" s="266"/>
      <c r="K2191" s="1"/>
      <c r="L2191" s="1"/>
    </row>
    <row r="2192">
      <c r="A2192" s="266">
        <v>500.0</v>
      </c>
      <c r="B2192" s="266"/>
      <c r="C2192" s="266">
        <v>10.0</v>
      </c>
      <c r="D2192" s="266" t="s">
        <v>6784</v>
      </c>
      <c r="E2192" s="266"/>
      <c r="F2192" s="266"/>
      <c r="G2192" s="266"/>
      <c r="H2192" s="266"/>
      <c r="I2192" s="266"/>
      <c r="J2192" s="267"/>
    </row>
    <row r="2193">
      <c r="A2193" s="266">
        <v>600.0</v>
      </c>
      <c r="B2193" s="266"/>
      <c r="C2193" s="266">
        <v>15.0</v>
      </c>
      <c r="D2193" s="266" t="s">
        <v>5160</v>
      </c>
      <c r="E2193" s="266"/>
      <c r="F2193" s="266"/>
      <c r="G2193" s="266" t="s">
        <v>6304</v>
      </c>
      <c r="H2193" s="266" t="s">
        <v>552</v>
      </c>
      <c r="I2193" s="266"/>
      <c r="J2193" s="266"/>
      <c r="K2193" s="1"/>
      <c r="L2193" s="1"/>
    </row>
    <row r="2194">
      <c r="A2194" s="266">
        <v>700.0</v>
      </c>
      <c r="B2194" s="266"/>
      <c r="C2194" s="266">
        <v>15.0</v>
      </c>
      <c r="D2194" s="266" t="s">
        <v>5161</v>
      </c>
      <c r="E2194" s="266"/>
      <c r="F2194" s="266"/>
      <c r="G2194" s="266" t="s">
        <v>6304</v>
      </c>
      <c r="H2194" s="266" t="s">
        <v>551</v>
      </c>
      <c r="I2194" s="266"/>
      <c r="J2194" s="266"/>
      <c r="K2194" s="1"/>
      <c r="L2194" s="1"/>
    </row>
    <row r="2195">
      <c r="A2195" s="266">
        <v>800.0</v>
      </c>
      <c r="B2195" s="266"/>
      <c r="C2195" s="266">
        <v>5.0</v>
      </c>
      <c r="D2195" s="266" t="s">
        <v>5162</v>
      </c>
      <c r="E2195" s="266"/>
      <c r="F2195" s="266"/>
      <c r="G2195" s="266" t="s">
        <v>6304</v>
      </c>
      <c r="H2195" s="266" t="s">
        <v>544</v>
      </c>
      <c r="I2195" s="266" t="s">
        <v>6305</v>
      </c>
      <c r="J2195" s="266"/>
      <c r="K2195" s="1"/>
      <c r="L2195" s="1"/>
    </row>
    <row r="2196">
      <c r="A2196" s="266">
        <v>900.0</v>
      </c>
      <c r="B2196" s="266"/>
      <c r="C2196" s="266">
        <v>5.0</v>
      </c>
      <c r="D2196" s="266" t="s">
        <v>5163</v>
      </c>
      <c r="E2196" s="266"/>
      <c r="F2196" s="266"/>
      <c r="G2196" s="266" t="s">
        <v>6304</v>
      </c>
      <c r="H2196" s="266" t="s">
        <v>5155</v>
      </c>
      <c r="I2196" s="266" t="s">
        <v>6305</v>
      </c>
      <c r="J2196" s="266"/>
      <c r="K2196" s="1"/>
      <c r="L2196" s="1"/>
    </row>
    <row r="2197">
      <c r="A2197" s="266">
        <v>1000.0</v>
      </c>
      <c r="B2197" s="266"/>
      <c r="C2197" s="266">
        <v>5.0</v>
      </c>
      <c r="D2197" s="266" t="s">
        <v>5164</v>
      </c>
      <c r="E2197" s="266"/>
      <c r="F2197" s="266"/>
      <c r="G2197" s="266" t="s">
        <v>6304</v>
      </c>
      <c r="H2197" s="266" t="s">
        <v>544</v>
      </c>
      <c r="I2197" s="266" t="s">
        <v>6305</v>
      </c>
      <c r="J2197" s="266"/>
      <c r="K2197" s="1"/>
      <c r="L2197" s="1"/>
    </row>
    <row r="2198">
      <c r="A2198" s="266">
        <v>50.0</v>
      </c>
      <c r="B2198" s="266">
        <v>1.0</v>
      </c>
      <c r="C2198" s="266"/>
      <c r="D2198" s="266" t="s">
        <v>7954</v>
      </c>
      <c r="E2198" s="266"/>
      <c r="F2198" s="266"/>
      <c r="G2198" s="266"/>
      <c r="H2198" s="266"/>
      <c r="I2198" s="266"/>
      <c r="J2198" s="267"/>
    </row>
    <row r="2199">
      <c r="A2199" s="266">
        <v>100.0</v>
      </c>
      <c r="B2199" s="266"/>
      <c r="C2199" s="266">
        <v>5.0</v>
      </c>
      <c r="D2199" s="266" t="s">
        <v>7955</v>
      </c>
      <c r="E2199" s="266"/>
      <c r="F2199" s="266"/>
      <c r="G2199" s="266"/>
      <c r="H2199" s="266"/>
      <c r="I2199" s="266"/>
      <c r="J2199" s="267"/>
    </row>
    <row r="2200">
      <c r="A2200" s="266">
        <v>200.0</v>
      </c>
      <c r="B2200" s="266"/>
      <c r="C2200" s="266">
        <v>10.0</v>
      </c>
      <c r="D2200" s="266" t="s">
        <v>514</v>
      </c>
      <c r="E2200" s="266"/>
      <c r="F2200" s="266"/>
      <c r="G2200" s="266" t="s">
        <v>6304</v>
      </c>
      <c r="H2200" s="266" t="s">
        <v>551</v>
      </c>
      <c r="I2200" s="266"/>
      <c r="J2200" s="266"/>
      <c r="K2200" s="1"/>
      <c r="L2200" s="1"/>
    </row>
    <row r="2201">
      <c r="A2201" s="266">
        <v>300.0</v>
      </c>
      <c r="B2201" s="266"/>
      <c r="C2201" s="266">
        <v>10.0</v>
      </c>
      <c r="D2201" s="266" t="s">
        <v>7956</v>
      </c>
      <c r="E2201" s="266"/>
      <c r="F2201" s="266"/>
      <c r="G2201" s="266"/>
      <c r="H2201" s="266"/>
      <c r="I2201" s="266"/>
      <c r="J2201" s="267"/>
    </row>
    <row r="2202">
      <c r="A2202" s="266">
        <v>400.0</v>
      </c>
      <c r="B2202" s="266"/>
      <c r="C2202" s="266">
        <v>15.0</v>
      </c>
      <c r="D2202" s="266" t="s">
        <v>7947</v>
      </c>
      <c r="E2202" s="266"/>
      <c r="F2202" s="266"/>
      <c r="G2202" s="266" t="s">
        <v>6304</v>
      </c>
      <c r="H2202" s="266" t="s">
        <v>551</v>
      </c>
      <c r="I2202" s="266"/>
      <c r="J2202" s="266"/>
      <c r="K2202" s="1"/>
      <c r="L2202" s="1"/>
    </row>
    <row r="2203">
      <c r="A2203" s="266">
        <v>500.0</v>
      </c>
      <c r="B2203" s="266"/>
      <c r="C2203" s="266">
        <v>15.0</v>
      </c>
      <c r="D2203" s="266" t="s">
        <v>5270</v>
      </c>
      <c r="E2203" s="266"/>
      <c r="F2203" s="266"/>
      <c r="G2203" s="266" t="s">
        <v>6304</v>
      </c>
      <c r="H2203" s="266" t="s">
        <v>551</v>
      </c>
      <c r="I2203" s="266"/>
      <c r="J2203" s="266"/>
      <c r="K2203" s="1"/>
      <c r="L2203" s="1"/>
    </row>
    <row r="2204">
      <c r="A2204" s="266">
        <v>600.0</v>
      </c>
      <c r="B2204" s="266"/>
      <c r="C2204" s="266">
        <v>10.0</v>
      </c>
      <c r="D2204" s="266" t="s">
        <v>6781</v>
      </c>
      <c r="E2204" s="266"/>
      <c r="F2204" s="266"/>
      <c r="G2204" s="266"/>
      <c r="H2204" s="266"/>
      <c r="I2204" s="266"/>
      <c r="J2204" s="267"/>
    </row>
    <row r="2205">
      <c r="A2205" s="266">
        <v>700.0</v>
      </c>
      <c r="B2205" s="266"/>
      <c r="C2205" s="266">
        <v>15.0</v>
      </c>
      <c r="D2205" s="266" t="s">
        <v>5139</v>
      </c>
      <c r="E2205" s="266"/>
      <c r="F2205" s="266"/>
      <c r="G2205" s="266" t="s">
        <v>6304</v>
      </c>
      <c r="H2205" s="266" t="s">
        <v>551</v>
      </c>
      <c r="I2205" s="266"/>
      <c r="J2205" s="266"/>
      <c r="K2205" s="1"/>
      <c r="L2205" s="1"/>
    </row>
    <row r="2206">
      <c r="A2206" s="266">
        <v>800.0</v>
      </c>
      <c r="B2206" s="266"/>
      <c r="C2206" s="266">
        <v>15.0</v>
      </c>
      <c r="D2206" s="266" t="s">
        <v>5140</v>
      </c>
      <c r="E2206" s="266"/>
      <c r="F2206" s="266"/>
      <c r="G2206" s="266" t="s">
        <v>6304</v>
      </c>
      <c r="H2206" s="266" t="s">
        <v>551</v>
      </c>
      <c r="I2206" s="266"/>
      <c r="J2206" s="266"/>
      <c r="K2206" s="1"/>
      <c r="L2206" s="1"/>
    </row>
    <row r="2207">
      <c r="A2207" s="266">
        <v>900.0</v>
      </c>
      <c r="B2207" s="266"/>
      <c r="C2207" s="266">
        <v>15.0</v>
      </c>
      <c r="D2207" s="266" t="s">
        <v>5141</v>
      </c>
      <c r="E2207" s="266"/>
      <c r="F2207" s="266"/>
      <c r="G2207" s="266" t="s">
        <v>6304</v>
      </c>
      <c r="H2207" s="266" t="s">
        <v>551</v>
      </c>
      <c r="I2207" s="266"/>
      <c r="J2207" s="266"/>
      <c r="K2207" s="1"/>
      <c r="L2207" s="1"/>
    </row>
    <row r="2208">
      <c r="A2208" s="266">
        <v>1000.0</v>
      </c>
      <c r="B2208" s="266"/>
      <c r="C2208" s="266">
        <v>5.0</v>
      </c>
      <c r="D2208" s="266" t="s">
        <v>5144</v>
      </c>
      <c r="E2208" s="266"/>
      <c r="F2208" s="266"/>
      <c r="G2208" s="266" t="s">
        <v>6304</v>
      </c>
      <c r="H2208" s="266" t="s">
        <v>552</v>
      </c>
      <c r="I2208" s="266"/>
      <c r="J2208" s="266"/>
      <c r="K2208" s="1"/>
      <c r="L2208" s="1"/>
    </row>
    <row r="2209">
      <c r="A2209" s="266">
        <v>1100.0</v>
      </c>
      <c r="B2209" s="266"/>
      <c r="C2209" s="266">
        <v>5.0</v>
      </c>
      <c r="D2209" s="266" t="s">
        <v>5145</v>
      </c>
      <c r="E2209" s="266"/>
      <c r="F2209" s="266"/>
      <c r="G2209" s="266" t="s">
        <v>6304</v>
      </c>
      <c r="H2209" s="266" t="s">
        <v>552</v>
      </c>
      <c r="I2209" s="266"/>
      <c r="J2209" s="266"/>
      <c r="K2209" s="1"/>
      <c r="L2209" s="1"/>
    </row>
    <row r="2210">
      <c r="A2210" s="266">
        <v>1200.0</v>
      </c>
      <c r="B2210" s="266"/>
      <c r="C2210" s="266">
        <v>5.0</v>
      </c>
      <c r="D2210" s="266" t="s">
        <v>7084</v>
      </c>
      <c r="E2210" s="266"/>
      <c r="F2210" s="266"/>
      <c r="G2210" s="266" t="s">
        <v>6304</v>
      </c>
      <c r="H2210" s="266" t="s">
        <v>544</v>
      </c>
      <c r="I2210" s="266" t="s">
        <v>6305</v>
      </c>
      <c r="J2210" s="266"/>
      <c r="K2210" s="1"/>
      <c r="L2210" s="1"/>
    </row>
    <row r="2211">
      <c r="A2211" s="266">
        <v>1300.0</v>
      </c>
      <c r="B2211" s="266"/>
      <c r="C2211" s="266">
        <v>5.0</v>
      </c>
      <c r="D2211" s="266" t="s">
        <v>7085</v>
      </c>
      <c r="E2211" s="266"/>
      <c r="F2211" s="266"/>
      <c r="G2211" s="266" t="s">
        <v>6304</v>
      </c>
      <c r="H2211" s="266" t="s">
        <v>552</v>
      </c>
      <c r="I2211" s="266"/>
      <c r="J2211" s="266"/>
      <c r="K2211" s="1"/>
      <c r="L2211" s="1"/>
    </row>
    <row r="2212">
      <c r="A2212" s="266">
        <v>1400.0</v>
      </c>
      <c r="B2212" s="266"/>
      <c r="C2212" s="266">
        <v>5.0</v>
      </c>
      <c r="D2212" s="266" t="s">
        <v>5150</v>
      </c>
      <c r="E2212" s="266"/>
      <c r="F2212" s="266"/>
      <c r="G2212" s="266" t="s">
        <v>6304</v>
      </c>
      <c r="H2212" s="266" t="s">
        <v>552</v>
      </c>
      <c r="I2212" s="266"/>
      <c r="J2212" s="266"/>
      <c r="K2212" s="1"/>
      <c r="L2212" s="1"/>
    </row>
    <row r="2213">
      <c r="A2213" s="266">
        <v>1500.0</v>
      </c>
      <c r="B2213" s="266"/>
      <c r="C2213" s="266">
        <v>5.0</v>
      </c>
      <c r="D2213" s="266" t="s">
        <v>7086</v>
      </c>
      <c r="E2213" s="266"/>
      <c r="F2213" s="266"/>
      <c r="G2213" s="266" t="s">
        <v>6304</v>
      </c>
      <c r="H2213" s="266" t="s">
        <v>544</v>
      </c>
      <c r="I2213" s="266" t="s">
        <v>6305</v>
      </c>
      <c r="J2213" s="266"/>
      <c r="K2213" s="1"/>
      <c r="L2213" s="1"/>
    </row>
    <row r="2214">
      <c r="A2214" s="266">
        <v>1600.0</v>
      </c>
      <c r="B2214" s="266"/>
      <c r="C2214" s="266">
        <v>5.0</v>
      </c>
      <c r="D2214" s="266" t="s">
        <v>7087</v>
      </c>
      <c r="E2214" s="266"/>
      <c r="F2214" s="266"/>
      <c r="G2214" s="266" t="s">
        <v>6304</v>
      </c>
      <c r="H2214" s="266" t="s">
        <v>544</v>
      </c>
      <c r="I2214" s="266" t="s">
        <v>6305</v>
      </c>
      <c r="J2214" s="266"/>
      <c r="K2214" s="1"/>
      <c r="L2214" s="1"/>
    </row>
    <row r="2215">
      <c r="A2215" s="266">
        <v>1700.0</v>
      </c>
      <c r="B2215" s="266"/>
      <c r="C2215" s="266">
        <v>5.0</v>
      </c>
      <c r="D2215" s="266" t="s">
        <v>7088</v>
      </c>
      <c r="E2215" s="266"/>
      <c r="F2215" s="266"/>
      <c r="G2215" s="266" t="s">
        <v>6304</v>
      </c>
      <c r="H2215" s="266" t="s">
        <v>544</v>
      </c>
      <c r="I2215" s="266" t="s">
        <v>6305</v>
      </c>
      <c r="J2215" s="266"/>
      <c r="K2215" s="1"/>
      <c r="L2215" s="1"/>
    </row>
    <row r="2216">
      <c r="A2216" s="266">
        <v>1800.0</v>
      </c>
      <c r="B2216" s="266"/>
      <c r="C2216" s="266">
        <v>5.0</v>
      </c>
      <c r="D2216" s="266" t="s">
        <v>7089</v>
      </c>
      <c r="E2216" s="266"/>
      <c r="F2216" s="266"/>
      <c r="G2216" s="266" t="s">
        <v>6304</v>
      </c>
      <c r="H2216" s="266" t="s">
        <v>544</v>
      </c>
      <c r="I2216" s="266" t="s">
        <v>6305</v>
      </c>
      <c r="J2216" s="266"/>
      <c r="K2216" s="1"/>
      <c r="L2216" s="1"/>
    </row>
    <row r="2217">
      <c r="A2217" s="266">
        <v>1900.0</v>
      </c>
      <c r="B2217" s="266"/>
      <c r="C2217" s="266">
        <v>5.0</v>
      </c>
      <c r="D2217" s="266" t="s">
        <v>7949</v>
      </c>
      <c r="E2217" s="266"/>
      <c r="F2217" s="266"/>
      <c r="G2217" s="266" t="s">
        <v>6304</v>
      </c>
      <c r="H2217" s="266" t="s">
        <v>544</v>
      </c>
      <c r="I2217" s="266" t="s">
        <v>6305</v>
      </c>
      <c r="J2217" s="266"/>
      <c r="K2217" s="1"/>
      <c r="L2217" s="1"/>
    </row>
    <row r="2218">
      <c r="A2218" s="266">
        <v>2000.0</v>
      </c>
      <c r="B2218" s="266"/>
      <c r="C2218" s="266">
        <v>5.0</v>
      </c>
      <c r="D2218" s="266" t="s">
        <v>7950</v>
      </c>
      <c r="E2218" s="266"/>
      <c r="F2218" s="266"/>
      <c r="G2218" s="266" t="s">
        <v>6304</v>
      </c>
      <c r="H2218" s="266" t="s">
        <v>544</v>
      </c>
      <c r="I2218" s="266" t="s">
        <v>6305</v>
      </c>
      <c r="J2218" s="266"/>
      <c r="K2218" s="1"/>
      <c r="L2218" s="1"/>
    </row>
    <row r="2219">
      <c r="A2219" s="266">
        <v>2100.0</v>
      </c>
      <c r="B2219" s="266"/>
      <c r="C2219" s="266">
        <v>5.0</v>
      </c>
      <c r="D2219" s="266" t="s">
        <v>7951</v>
      </c>
      <c r="E2219" s="266"/>
      <c r="F2219" s="266"/>
      <c r="G2219" s="266" t="s">
        <v>6304</v>
      </c>
      <c r="H2219" s="266" t="s">
        <v>544</v>
      </c>
      <c r="I2219" s="266" t="s">
        <v>6305</v>
      </c>
      <c r="J2219" s="266"/>
      <c r="K2219" s="1"/>
      <c r="L2219" s="1"/>
    </row>
    <row r="2220">
      <c r="A2220" s="266">
        <v>2200.0</v>
      </c>
      <c r="B2220" s="266"/>
      <c r="C2220" s="266">
        <v>5.0</v>
      </c>
      <c r="D2220" s="266" t="s">
        <v>7952</v>
      </c>
      <c r="E2220" s="266"/>
      <c r="F2220" s="266"/>
      <c r="G2220" s="266" t="s">
        <v>6304</v>
      </c>
      <c r="H2220" s="266" t="s">
        <v>544</v>
      </c>
      <c r="I2220" s="266" t="s">
        <v>6305</v>
      </c>
      <c r="J2220" s="266"/>
      <c r="K2220" s="1"/>
      <c r="L2220" s="1"/>
    </row>
    <row r="2221">
      <c r="A2221" s="266">
        <v>2300.0</v>
      </c>
      <c r="B2221" s="266"/>
      <c r="C2221" s="266">
        <v>5.0</v>
      </c>
      <c r="D2221" s="266" t="s">
        <v>7100</v>
      </c>
      <c r="E2221" s="266" t="s">
        <v>6479</v>
      </c>
      <c r="F2221" s="266">
        <v>10.0</v>
      </c>
      <c r="G2221" s="266" t="s">
        <v>6304</v>
      </c>
      <c r="H2221" s="266" t="s">
        <v>544</v>
      </c>
      <c r="I2221" s="266" t="s">
        <v>6305</v>
      </c>
      <c r="J2221" s="267"/>
    </row>
    <row r="2222">
      <c r="A2222" s="266">
        <v>2400.0</v>
      </c>
      <c r="B2222" s="266"/>
      <c r="C2222" s="266">
        <v>5.0</v>
      </c>
      <c r="D2222" s="266" t="s">
        <v>6306</v>
      </c>
      <c r="E2222" s="266"/>
      <c r="F2222" s="266"/>
      <c r="G2222" s="266" t="s">
        <v>6304</v>
      </c>
      <c r="H2222" s="266" t="s">
        <v>6534</v>
      </c>
      <c r="I2222" s="266"/>
      <c r="J2222" s="266"/>
      <c r="K2222" s="1"/>
      <c r="L2222" s="1"/>
    </row>
    <row r="2223">
      <c r="A2223" s="266">
        <v>50.0</v>
      </c>
      <c r="B2223" s="266">
        <v>1.0</v>
      </c>
      <c r="C2223" s="266"/>
      <c r="D2223" s="266" t="s">
        <v>7957</v>
      </c>
      <c r="E2223" s="266"/>
      <c r="F2223" s="266"/>
      <c r="G2223" s="266"/>
      <c r="H2223" s="266"/>
      <c r="I2223" s="266"/>
      <c r="J2223" s="267"/>
    </row>
    <row r="2224">
      <c r="A2224" s="266">
        <v>100.0</v>
      </c>
      <c r="B2224" s="266"/>
      <c r="C2224" s="266">
        <v>5.0</v>
      </c>
      <c r="D2224" s="266" t="s">
        <v>6782</v>
      </c>
      <c r="E2224" s="266"/>
      <c r="F2224" s="266"/>
      <c r="G2224" s="266"/>
      <c r="H2224" s="266"/>
      <c r="I2224" s="266"/>
      <c r="J2224" s="267"/>
    </row>
    <row r="2225">
      <c r="A2225" s="266">
        <v>200.0</v>
      </c>
      <c r="B2225" s="266"/>
      <c r="C2225" s="266">
        <v>10.0</v>
      </c>
      <c r="D2225" s="266" t="s">
        <v>6783</v>
      </c>
      <c r="E2225" s="266"/>
      <c r="F2225" s="266"/>
      <c r="G2225" s="266"/>
      <c r="H2225" s="266"/>
      <c r="I2225" s="266"/>
      <c r="J2225" s="267"/>
    </row>
    <row r="2226">
      <c r="A2226" s="266">
        <v>300.0</v>
      </c>
      <c r="B2226" s="266"/>
      <c r="C2226" s="266">
        <v>15.0</v>
      </c>
      <c r="D2226" s="266" t="s">
        <v>5165</v>
      </c>
      <c r="E2226" s="266"/>
      <c r="F2226" s="266"/>
      <c r="G2226" s="266" t="s">
        <v>6304</v>
      </c>
      <c r="H2226" s="266">
        <v>9.0</v>
      </c>
      <c r="I2226" s="266"/>
      <c r="J2226" s="266"/>
      <c r="K2226" s="1"/>
      <c r="L2226" s="1"/>
    </row>
    <row r="2227">
      <c r="A2227" s="266">
        <v>400.0</v>
      </c>
      <c r="B2227" s="266"/>
      <c r="C2227" s="266">
        <v>15.0</v>
      </c>
      <c r="D2227" s="266" t="s">
        <v>5166</v>
      </c>
      <c r="E2227" s="266"/>
      <c r="F2227" s="266"/>
      <c r="G2227" s="266" t="s">
        <v>6304</v>
      </c>
      <c r="H2227" s="266" t="s">
        <v>551</v>
      </c>
      <c r="I2227" s="266"/>
      <c r="J2227" s="266"/>
      <c r="K2227" s="1"/>
      <c r="L2227" s="1"/>
    </row>
    <row r="2228">
      <c r="A2228" s="266">
        <v>500.0</v>
      </c>
      <c r="B2228" s="266"/>
      <c r="C2228" s="266">
        <v>10.0</v>
      </c>
      <c r="D2228" s="266" t="s">
        <v>6784</v>
      </c>
      <c r="E2228" s="266"/>
      <c r="F2228" s="266"/>
      <c r="G2228" s="266"/>
      <c r="H2228" s="266"/>
      <c r="I2228" s="266"/>
      <c r="J2228" s="267"/>
    </row>
    <row r="2229">
      <c r="A2229" s="266">
        <v>600.0</v>
      </c>
      <c r="B2229" s="266"/>
      <c r="C2229" s="266">
        <v>15.0</v>
      </c>
      <c r="D2229" s="266" t="s">
        <v>5160</v>
      </c>
      <c r="E2229" s="266"/>
      <c r="F2229" s="266"/>
      <c r="G2229" s="266" t="s">
        <v>6304</v>
      </c>
      <c r="H2229" s="266" t="s">
        <v>552</v>
      </c>
      <c r="I2229" s="266"/>
      <c r="J2229" s="266"/>
      <c r="K2229" s="1"/>
      <c r="L2229" s="1"/>
    </row>
    <row r="2230">
      <c r="A2230" s="266">
        <v>700.0</v>
      </c>
      <c r="B2230" s="266"/>
      <c r="C2230" s="266">
        <v>15.0</v>
      </c>
      <c r="D2230" s="266" t="s">
        <v>5161</v>
      </c>
      <c r="E2230" s="266"/>
      <c r="F2230" s="266"/>
      <c r="G2230" s="266" t="s">
        <v>6304</v>
      </c>
      <c r="H2230" s="266" t="s">
        <v>551</v>
      </c>
      <c r="I2230" s="266"/>
      <c r="J2230" s="266"/>
      <c r="K2230" s="1"/>
      <c r="L2230" s="1"/>
    </row>
    <row r="2231">
      <c r="A2231" s="266">
        <v>800.0</v>
      </c>
      <c r="B2231" s="266"/>
      <c r="C2231" s="266">
        <v>5.0</v>
      </c>
      <c r="D2231" s="266" t="s">
        <v>5162</v>
      </c>
      <c r="E2231" s="266"/>
      <c r="F2231" s="266"/>
      <c r="G2231" s="266" t="s">
        <v>6304</v>
      </c>
      <c r="H2231" s="266" t="s">
        <v>544</v>
      </c>
      <c r="I2231" s="266" t="s">
        <v>6305</v>
      </c>
      <c r="J2231" s="266"/>
      <c r="K2231" s="1"/>
      <c r="L2231" s="1"/>
    </row>
    <row r="2232">
      <c r="A2232" s="266">
        <v>900.0</v>
      </c>
      <c r="B2232" s="266"/>
      <c r="C2232" s="266">
        <v>5.0</v>
      </c>
      <c r="D2232" s="266" t="s">
        <v>5163</v>
      </c>
      <c r="E2232" s="266"/>
      <c r="F2232" s="266"/>
      <c r="G2232" s="266" t="s">
        <v>6304</v>
      </c>
      <c r="H2232" s="266" t="s">
        <v>5155</v>
      </c>
      <c r="I2232" s="266" t="s">
        <v>6305</v>
      </c>
      <c r="J2232" s="266"/>
      <c r="K2232" s="1"/>
      <c r="L2232" s="1"/>
    </row>
    <row r="2233">
      <c r="A2233" s="266">
        <v>1000.0</v>
      </c>
      <c r="B2233" s="266"/>
      <c r="C2233" s="266">
        <v>5.0</v>
      </c>
      <c r="D2233" s="266" t="s">
        <v>5164</v>
      </c>
      <c r="E2233" s="266"/>
      <c r="F2233" s="266"/>
      <c r="G2233" s="266" t="s">
        <v>6304</v>
      </c>
      <c r="H2233" s="266" t="s">
        <v>544</v>
      </c>
      <c r="I2233" s="266" t="s">
        <v>6305</v>
      </c>
      <c r="J2233" s="266"/>
      <c r="K2233" s="1"/>
      <c r="L2233" s="1"/>
    </row>
    <row r="2234">
      <c r="A2234" s="266">
        <v>50.0</v>
      </c>
      <c r="B2234" s="266">
        <v>1.0</v>
      </c>
      <c r="C2234" s="266"/>
      <c r="D2234" s="266" t="s">
        <v>7958</v>
      </c>
      <c r="E2234" s="266"/>
      <c r="F2234" s="266"/>
      <c r="G2234" s="266"/>
      <c r="H2234" s="266"/>
      <c r="I2234" s="266"/>
      <c r="J2234" s="267"/>
    </row>
    <row r="2235">
      <c r="A2235" s="266">
        <v>100.0</v>
      </c>
      <c r="B2235" s="266"/>
      <c r="C2235" s="266">
        <v>5.0</v>
      </c>
      <c r="D2235" s="266" t="s">
        <v>546</v>
      </c>
      <c r="E2235" s="266"/>
      <c r="F2235" s="266"/>
      <c r="G2235" s="266" t="s">
        <v>6304</v>
      </c>
      <c r="H2235" s="266" t="s">
        <v>544</v>
      </c>
      <c r="I2235" s="266" t="s">
        <v>6305</v>
      </c>
      <c r="J2235" s="266"/>
      <c r="K2235" s="1"/>
      <c r="L2235" s="1"/>
    </row>
    <row r="2236">
      <c r="A2236" s="266">
        <v>200.0</v>
      </c>
      <c r="B2236" s="266"/>
      <c r="C2236" s="266">
        <v>5.0</v>
      </c>
      <c r="D2236" s="266" t="s">
        <v>547</v>
      </c>
      <c r="E2236" s="266"/>
      <c r="F2236" s="266"/>
      <c r="G2236" s="266" t="s">
        <v>6304</v>
      </c>
      <c r="H2236" s="266" t="s">
        <v>544</v>
      </c>
      <c r="I2236" s="266" t="s">
        <v>6305</v>
      </c>
      <c r="J2236" s="266"/>
      <c r="K2236" s="1"/>
      <c r="L2236" s="1"/>
    </row>
    <row r="2237">
      <c r="A2237" s="266">
        <v>300.0</v>
      </c>
      <c r="B2237" s="266"/>
      <c r="C2237" s="266">
        <v>5.0</v>
      </c>
      <c r="D2237" s="266" t="s">
        <v>548</v>
      </c>
      <c r="E2237" s="266"/>
      <c r="F2237" s="266"/>
      <c r="G2237" s="266" t="s">
        <v>6304</v>
      </c>
      <c r="H2237" s="266" t="s">
        <v>544</v>
      </c>
      <c r="I2237" s="266" t="s">
        <v>6305</v>
      </c>
      <c r="J2237" s="266"/>
      <c r="K2237" s="1"/>
      <c r="L2237" s="1"/>
    </row>
    <row r="2238">
      <c r="A2238" s="266">
        <v>400.0</v>
      </c>
      <c r="B2238" s="266"/>
      <c r="C2238" s="266">
        <v>5.0</v>
      </c>
      <c r="D2238" s="266" t="s">
        <v>549</v>
      </c>
      <c r="E2238" s="266"/>
      <c r="F2238" s="266"/>
      <c r="G2238" s="266" t="s">
        <v>6304</v>
      </c>
      <c r="H2238" s="266" t="s">
        <v>544</v>
      </c>
      <c r="I2238" s="266" t="s">
        <v>6305</v>
      </c>
      <c r="J2238" s="266"/>
      <c r="K2238" s="1"/>
      <c r="L2238" s="1"/>
    </row>
    <row r="2239">
      <c r="A2239" s="266">
        <v>500.0</v>
      </c>
      <c r="B2239" s="266"/>
      <c r="C2239" s="266">
        <v>5.0</v>
      </c>
      <c r="D2239" s="266" t="s">
        <v>550</v>
      </c>
      <c r="E2239" s="266"/>
      <c r="F2239" s="266"/>
      <c r="G2239" s="266" t="s">
        <v>6304</v>
      </c>
      <c r="H2239" s="266" t="s">
        <v>544</v>
      </c>
      <c r="I2239" s="266" t="s">
        <v>6305</v>
      </c>
      <c r="J2239" s="266"/>
      <c r="K2239" s="1"/>
      <c r="L2239" s="1"/>
    </row>
    <row r="2240">
      <c r="A2240" s="266">
        <v>600.0</v>
      </c>
      <c r="B2240" s="266"/>
      <c r="C2240" s="266">
        <v>5.0</v>
      </c>
      <c r="D2240" s="266" t="s">
        <v>6306</v>
      </c>
      <c r="E2240" s="266"/>
      <c r="F2240" s="266"/>
      <c r="G2240" s="266" t="s">
        <v>6304</v>
      </c>
      <c r="H2240" s="266" t="s">
        <v>7959</v>
      </c>
      <c r="I2240" s="266"/>
      <c r="J2240" s="266"/>
      <c r="K2240" s="1"/>
      <c r="L2240" s="1"/>
    </row>
    <row r="2241">
      <c r="A2241" s="266">
        <v>50.0</v>
      </c>
      <c r="B2241" s="266">
        <v>1.0</v>
      </c>
      <c r="C2241" s="266"/>
      <c r="D2241" s="266" t="s">
        <v>7960</v>
      </c>
      <c r="E2241" s="266"/>
      <c r="F2241" s="266"/>
      <c r="G2241" s="266"/>
      <c r="H2241" s="266"/>
      <c r="I2241" s="266"/>
      <c r="J2241" s="267"/>
    </row>
    <row r="2242">
      <c r="A2242" s="266">
        <v>100.0</v>
      </c>
      <c r="B2242" s="266"/>
      <c r="C2242" s="266">
        <v>5.0</v>
      </c>
      <c r="D2242" s="266" t="s">
        <v>6782</v>
      </c>
      <c r="E2242" s="266"/>
      <c r="F2242" s="266"/>
      <c r="G2242" s="266"/>
      <c r="H2242" s="266"/>
      <c r="I2242" s="266"/>
      <c r="J2242" s="267"/>
    </row>
    <row r="2243">
      <c r="A2243" s="266">
        <v>200.0</v>
      </c>
      <c r="B2243" s="266"/>
      <c r="C2243" s="266">
        <v>10.0</v>
      </c>
      <c r="D2243" s="266" t="s">
        <v>6783</v>
      </c>
      <c r="E2243" s="266"/>
      <c r="F2243" s="266"/>
      <c r="G2243" s="266"/>
      <c r="H2243" s="266"/>
      <c r="I2243" s="266"/>
      <c r="J2243" s="267"/>
    </row>
    <row r="2244">
      <c r="A2244" s="266">
        <v>300.0</v>
      </c>
      <c r="B2244" s="266"/>
      <c r="C2244" s="266">
        <v>15.0</v>
      </c>
      <c r="D2244" s="266" t="s">
        <v>5165</v>
      </c>
      <c r="E2244" s="266"/>
      <c r="F2244" s="266"/>
      <c r="G2244" s="266" t="s">
        <v>6304</v>
      </c>
      <c r="H2244" s="266">
        <v>9.0</v>
      </c>
      <c r="I2244" s="266"/>
      <c r="J2244" s="266"/>
      <c r="K2244" s="1"/>
      <c r="L2244" s="1"/>
    </row>
    <row r="2245">
      <c r="A2245" s="266">
        <v>400.0</v>
      </c>
      <c r="B2245" s="266"/>
      <c r="C2245" s="266">
        <v>15.0</v>
      </c>
      <c r="D2245" s="266" t="s">
        <v>5166</v>
      </c>
      <c r="E2245" s="266"/>
      <c r="F2245" s="266"/>
      <c r="G2245" s="266" t="s">
        <v>6304</v>
      </c>
      <c r="H2245" s="266" t="s">
        <v>551</v>
      </c>
      <c r="I2245" s="266"/>
      <c r="J2245" s="266"/>
      <c r="K2245" s="1"/>
      <c r="L2245" s="1"/>
    </row>
    <row r="2246">
      <c r="A2246" s="266">
        <v>500.0</v>
      </c>
      <c r="B2246" s="266"/>
      <c r="C2246" s="266">
        <v>10.0</v>
      </c>
      <c r="D2246" s="266" t="s">
        <v>6784</v>
      </c>
      <c r="E2246" s="266"/>
      <c r="F2246" s="266"/>
      <c r="G2246" s="266"/>
      <c r="H2246" s="266"/>
      <c r="I2246" s="266"/>
      <c r="J2246" s="267"/>
    </row>
    <row r="2247">
      <c r="A2247" s="266">
        <v>600.0</v>
      </c>
      <c r="B2247" s="266"/>
      <c r="C2247" s="266">
        <v>15.0</v>
      </c>
      <c r="D2247" s="266" t="s">
        <v>5160</v>
      </c>
      <c r="E2247" s="266"/>
      <c r="F2247" s="266"/>
      <c r="G2247" s="266" t="s">
        <v>6304</v>
      </c>
      <c r="H2247" s="266" t="s">
        <v>552</v>
      </c>
      <c r="I2247" s="266"/>
      <c r="J2247" s="266"/>
      <c r="K2247" s="1"/>
      <c r="L2247" s="1"/>
    </row>
    <row r="2248">
      <c r="A2248" s="266">
        <v>700.0</v>
      </c>
      <c r="B2248" s="266"/>
      <c r="C2248" s="266">
        <v>15.0</v>
      </c>
      <c r="D2248" s="266" t="s">
        <v>5161</v>
      </c>
      <c r="E2248" s="266"/>
      <c r="F2248" s="266"/>
      <c r="G2248" s="266" t="s">
        <v>6304</v>
      </c>
      <c r="H2248" s="266" t="s">
        <v>551</v>
      </c>
      <c r="I2248" s="266"/>
      <c r="J2248" s="266"/>
      <c r="K2248" s="1"/>
      <c r="L2248" s="1"/>
    </row>
    <row r="2249">
      <c r="A2249" s="266">
        <v>800.0</v>
      </c>
      <c r="B2249" s="266"/>
      <c r="C2249" s="266">
        <v>5.0</v>
      </c>
      <c r="D2249" s="266" t="s">
        <v>546</v>
      </c>
      <c r="E2249" s="266"/>
      <c r="F2249" s="266"/>
      <c r="G2249" s="266" t="s">
        <v>6304</v>
      </c>
      <c r="H2249" s="266" t="s">
        <v>544</v>
      </c>
      <c r="I2249" s="266" t="s">
        <v>6305</v>
      </c>
      <c r="J2249" s="266"/>
      <c r="K2249" s="1"/>
      <c r="L2249" s="1"/>
    </row>
    <row r="2250">
      <c r="A2250" s="266">
        <v>900.0</v>
      </c>
      <c r="B2250" s="266"/>
      <c r="C2250" s="266">
        <v>5.0</v>
      </c>
      <c r="D2250" s="266" t="s">
        <v>5162</v>
      </c>
      <c r="E2250" s="266"/>
      <c r="F2250" s="266"/>
      <c r="G2250" s="266" t="s">
        <v>6304</v>
      </c>
      <c r="H2250" s="266" t="s">
        <v>544</v>
      </c>
      <c r="I2250" s="266" t="s">
        <v>6305</v>
      </c>
      <c r="J2250" s="266"/>
      <c r="K2250" s="1"/>
      <c r="L2250" s="1"/>
    </row>
    <row r="2251">
      <c r="A2251" s="266">
        <v>1000.0</v>
      </c>
      <c r="B2251" s="266"/>
      <c r="C2251" s="266">
        <v>5.0</v>
      </c>
      <c r="D2251" s="266" t="s">
        <v>5163</v>
      </c>
      <c r="E2251" s="266"/>
      <c r="F2251" s="266"/>
      <c r="G2251" s="266" t="s">
        <v>6304</v>
      </c>
      <c r="H2251" s="266" t="s">
        <v>5155</v>
      </c>
      <c r="I2251" s="266" t="s">
        <v>6305</v>
      </c>
      <c r="J2251" s="266"/>
      <c r="K2251" s="1"/>
      <c r="L2251" s="1"/>
    </row>
    <row r="2252">
      <c r="A2252" s="266">
        <v>1100.0</v>
      </c>
      <c r="B2252" s="266"/>
      <c r="C2252" s="266">
        <v>5.0</v>
      </c>
      <c r="D2252" s="266" t="s">
        <v>5164</v>
      </c>
      <c r="E2252" s="266"/>
      <c r="F2252" s="266"/>
      <c r="G2252" s="266" t="s">
        <v>6304</v>
      </c>
      <c r="H2252" s="266" t="s">
        <v>544</v>
      </c>
      <c r="I2252" s="266" t="s">
        <v>6305</v>
      </c>
      <c r="J2252" s="266"/>
      <c r="K2252" s="1"/>
      <c r="L2252" s="1"/>
    </row>
    <row r="2253">
      <c r="A2253" s="266">
        <v>1200.0</v>
      </c>
      <c r="B2253" s="266"/>
      <c r="C2253" s="266">
        <v>5.0</v>
      </c>
      <c r="D2253" s="266" t="s">
        <v>547</v>
      </c>
      <c r="E2253" s="266"/>
      <c r="F2253" s="266"/>
      <c r="G2253" s="266" t="s">
        <v>6304</v>
      </c>
      <c r="H2253" s="266" t="s">
        <v>544</v>
      </c>
      <c r="I2253" s="266" t="s">
        <v>6305</v>
      </c>
      <c r="J2253" s="266"/>
      <c r="K2253" s="1"/>
      <c r="L2253" s="1"/>
    </row>
    <row r="2254">
      <c r="A2254" s="266">
        <v>1300.0</v>
      </c>
      <c r="B2254" s="266"/>
      <c r="C2254" s="266">
        <v>5.0</v>
      </c>
      <c r="D2254" s="266" t="s">
        <v>548</v>
      </c>
      <c r="E2254" s="266"/>
      <c r="F2254" s="266"/>
      <c r="G2254" s="266" t="s">
        <v>6304</v>
      </c>
      <c r="H2254" s="266" t="s">
        <v>544</v>
      </c>
      <c r="I2254" s="266" t="s">
        <v>6305</v>
      </c>
      <c r="J2254" s="266"/>
      <c r="K2254" s="1"/>
      <c r="L2254" s="1"/>
    </row>
    <row r="2255">
      <c r="A2255" s="266">
        <v>1400.0</v>
      </c>
      <c r="B2255" s="266"/>
      <c r="C2255" s="266">
        <v>5.0</v>
      </c>
      <c r="D2255" s="266" t="s">
        <v>549</v>
      </c>
      <c r="E2255" s="266"/>
      <c r="F2255" s="266"/>
      <c r="G2255" s="266" t="s">
        <v>6304</v>
      </c>
      <c r="H2255" s="266" t="s">
        <v>544</v>
      </c>
      <c r="I2255" s="266" t="s">
        <v>6305</v>
      </c>
      <c r="J2255" s="266"/>
      <c r="K2255" s="1"/>
      <c r="L2255" s="1"/>
    </row>
    <row r="2256">
      <c r="A2256" s="266">
        <v>1500.0</v>
      </c>
      <c r="B2256" s="266"/>
      <c r="C2256" s="266">
        <v>5.0</v>
      </c>
      <c r="D2256" s="266" t="s">
        <v>550</v>
      </c>
      <c r="E2256" s="266"/>
      <c r="F2256" s="266"/>
      <c r="G2256" s="266" t="s">
        <v>6304</v>
      </c>
      <c r="H2256" s="266" t="s">
        <v>544</v>
      </c>
      <c r="I2256" s="266" t="s">
        <v>6305</v>
      </c>
      <c r="J2256" s="266"/>
      <c r="K2256" s="1"/>
      <c r="L2256" s="1"/>
    </row>
    <row r="2257">
      <c r="A2257" s="266">
        <v>1600.0</v>
      </c>
      <c r="B2257" s="266"/>
      <c r="C2257" s="266">
        <v>5.0</v>
      </c>
      <c r="D2257" s="266" t="s">
        <v>6306</v>
      </c>
      <c r="E2257" s="266"/>
      <c r="F2257" s="266"/>
      <c r="G2257" s="266" t="s">
        <v>6304</v>
      </c>
      <c r="H2257" s="266" t="s">
        <v>7959</v>
      </c>
      <c r="I2257" s="266"/>
      <c r="J2257" s="266"/>
      <c r="K2257" s="1"/>
      <c r="L2257" s="1"/>
    </row>
    <row r="2258">
      <c r="A2258" s="266">
        <v>50.0</v>
      </c>
      <c r="B2258" s="266">
        <v>1.0</v>
      </c>
      <c r="C2258" s="266"/>
      <c r="D2258" s="266" t="s">
        <v>7961</v>
      </c>
      <c r="E2258" s="266"/>
      <c r="F2258" s="266"/>
      <c r="G2258" s="266"/>
      <c r="H2258" s="266"/>
      <c r="I2258" s="266"/>
      <c r="J2258" s="267"/>
    </row>
    <row r="2259">
      <c r="A2259" s="266">
        <v>100.0</v>
      </c>
      <c r="B2259" s="266"/>
      <c r="C2259" s="266">
        <v>5.0</v>
      </c>
      <c r="D2259" s="266" t="s">
        <v>7962</v>
      </c>
      <c r="E2259" s="266"/>
      <c r="F2259" s="266"/>
      <c r="G2259" s="266"/>
      <c r="H2259" s="266"/>
      <c r="I2259" s="266"/>
      <c r="J2259" s="267"/>
    </row>
    <row r="2260">
      <c r="A2260" s="266">
        <v>200.0</v>
      </c>
      <c r="B2260" s="266"/>
      <c r="C2260" s="266">
        <v>10.0</v>
      </c>
      <c r="D2260" s="266" t="s">
        <v>514</v>
      </c>
      <c r="E2260" s="266"/>
      <c r="F2260" s="266"/>
      <c r="G2260" s="266" t="s">
        <v>6304</v>
      </c>
      <c r="H2260" s="266" t="s">
        <v>551</v>
      </c>
      <c r="I2260" s="266"/>
      <c r="J2260" s="266"/>
      <c r="K2260" s="1"/>
      <c r="L2260" s="1"/>
    </row>
    <row r="2261">
      <c r="A2261" s="266">
        <v>300.0</v>
      </c>
      <c r="B2261" s="266"/>
      <c r="C2261" s="266">
        <v>10.0</v>
      </c>
      <c r="D2261" s="266" t="s">
        <v>6781</v>
      </c>
      <c r="E2261" s="266"/>
      <c r="F2261" s="266"/>
      <c r="G2261" s="266"/>
      <c r="H2261" s="266"/>
      <c r="I2261" s="266"/>
      <c r="J2261" s="267"/>
    </row>
    <row r="2262">
      <c r="A2262" s="266">
        <v>400.0</v>
      </c>
      <c r="B2262" s="266"/>
      <c r="C2262" s="266">
        <v>15.0</v>
      </c>
      <c r="D2262" s="266" t="s">
        <v>5139</v>
      </c>
      <c r="E2262" s="266"/>
      <c r="F2262" s="266"/>
      <c r="G2262" s="266" t="s">
        <v>6304</v>
      </c>
      <c r="H2262" s="266" t="s">
        <v>551</v>
      </c>
      <c r="I2262" s="266"/>
      <c r="J2262" s="266"/>
      <c r="K2262" s="1"/>
      <c r="L2262" s="1"/>
    </row>
    <row r="2263">
      <c r="A2263" s="266">
        <v>500.0</v>
      </c>
      <c r="B2263" s="266"/>
      <c r="C2263" s="266">
        <v>15.0</v>
      </c>
      <c r="D2263" s="266" t="s">
        <v>5140</v>
      </c>
      <c r="E2263" s="266"/>
      <c r="F2263" s="266"/>
      <c r="G2263" s="266" t="s">
        <v>6304</v>
      </c>
      <c r="H2263" s="266" t="s">
        <v>551</v>
      </c>
      <c r="I2263" s="266"/>
      <c r="J2263" s="266"/>
      <c r="K2263" s="1"/>
      <c r="L2263" s="1"/>
    </row>
    <row r="2264">
      <c r="A2264" s="266">
        <v>600.0</v>
      </c>
      <c r="B2264" s="266"/>
      <c r="C2264" s="266">
        <v>15.0</v>
      </c>
      <c r="D2264" s="266" t="s">
        <v>5141</v>
      </c>
      <c r="E2264" s="266"/>
      <c r="F2264" s="266"/>
      <c r="G2264" s="266" t="s">
        <v>6304</v>
      </c>
      <c r="H2264" s="266" t="s">
        <v>551</v>
      </c>
      <c r="I2264" s="266"/>
      <c r="J2264" s="266"/>
      <c r="K2264" s="1"/>
      <c r="L2264" s="1"/>
    </row>
    <row r="2265">
      <c r="A2265" s="266">
        <v>700.0</v>
      </c>
      <c r="B2265" s="266"/>
      <c r="C2265" s="266">
        <v>5.0</v>
      </c>
      <c r="D2265" s="266" t="s">
        <v>5143</v>
      </c>
      <c r="E2265" s="266"/>
      <c r="F2265" s="266"/>
      <c r="G2265" s="266" t="s">
        <v>6304</v>
      </c>
      <c r="H2265" s="266" t="s">
        <v>552</v>
      </c>
      <c r="I2265" s="266"/>
      <c r="J2265" s="266"/>
      <c r="K2265" s="1"/>
      <c r="L2265" s="1"/>
    </row>
    <row r="2266">
      <c r="A2266" s="266">
        <v>800.0</v>
      </c>
      <c r="B2266" s="266"/>
      <c r="C2266" s="266">
        <v>5.0</v>
      </c>
      <c r="D2266" s="266" t="s">
        <v>5144</v>
      </c>
      <c r="E2266" s="266"/>
      <c r="F2266" s="266"/>
      <c r="G2266" s="266" t="s">
        <v>6304</v>
      </c>
      <c r="H2266" s="266" t="s">
        <v>552</v>
      </c>
      <c r="I2266" s="266"/>
      <c r="J2266" s="266"/>
      <c r="K2266" s="1"/>
      <c r="L2266" s="1"/>
    </row>
    <row r="2267">
      <c r="A2267" s="266">
        <v>900.0</v>
      </c>
      <c r="B2267" s="266"/>
      <c r="C2267" s="266">
        <v>5.0</v>
      </c>
      <c r="D2267" s="266" t="s">
        <v>5145</v>
      </c>
      <c r="E2267" s="266"/>
      <c r="F2267" s="266"/>
      <c r="G2267" s="266" t="s">
        <v>6304</v>
      </c>
      <c r="H2267" s="266" t="s">
        <v>552</v>
      </c>
      <c r="I2267" s="266"/>
      <c r="J2267" s="266"/>
      <c r="K2267" s="1"/>
      <c r="L2267" s="1"/>
    </row>
    <row r="2268">
      <c r="A2268" s="266">
        <v>1000.0</v>
      </c>
      <c r="B2268" s="266"/>
      <c r="C2268" s="266">
        <v>5.0</v>
      </c>
      <c r="D2268" s="266" t="s">
        <v>5146</v>
      </c>
      <c r="E2268" s="266"/>
      <c r="F2268" s="266"/>
      <c r="G2268" s="266" t="s">
        <v>6304</v>
      </c>
      <c r="H2268" s="266" t="s">
        <v>544</v>
      </c>
      <c r="I2268" s="266" t="s">
        <v>6305</v>
      </c>
      <c r="J2268" s="266"/>
      <c r="K2268" s="1"/>
      <c r="L2268" s="1"/>
    </row>
    <row r="2269">
      <c r="A2269" s="266">
        <v>1100.0</v>
      </c>
      <c r="B2269" s="266"/>
      <c r="C2269" s="266">
        <v>5.0</v>
      </c>
      <c r="D2269" s="266" t="s">
        <v>5147</v>
      </c>
      <c r="E2269" s="266"/>
      <c r="F2269" s="266"/>
      <c r="G2269" s="266" t="s">
        <v>6304</v>
      </c>
      <c r="H2269" s="266" t="s">
        <v>544</v>
      </c>
      <c r="I2269" s="266" t="s">
        <v>6305</v>
      </c>
      <c r="J2269" s="266"/>
      <c r="K2269" s="1"/>
      <c r="L2269" s="1"/>
    </row>
    <row r="2270">
      <c r="A2270" s="266">
        <v>1200.0</v>
      </c>
      <c r="B2270" s="266"/>
      <c r="C2270" s="266">
        <v>5.0</v>
      </c>
      <c r="D2270" s="266" t="s">
        <v>5148</v>
      </c>
      <c r="E2270" s="266"/>
      <c r="F2270" s="266"/>
      <c r="G2270" s="266" t="s">
        <v>6304</v>
      </c>
      <c r="H2270" s="266" t="s">
        <v>552</v>
      </c>
      <c r="I2270" s="266"/>
      <c r="J2270" s="266"/>
      <c r="K2270" s="1"/>
      <c r="L2270" s="1"/>
    </row>
    <row r="2271">
      <c r="A2271" s="266">
        <v>1300.0</v>
      </c>
      <c r="B2271" s="266"/>
      <c r="C2271" s="266">
        <v>5.0</v>
      </c>
      <c r="D2271" s="266" t="s">
        <v>5149</v>
      </c>
      <c r="E2271" s="266"/>
      <c r="F2271" s="266"/>
      <c r="G2271" s="266" t="s">
        <v>6304</v>
      </c>
      <c r="H2271" s="266" t="s">
        <v>552</v>
      </c>
      <c r="I2271" s="266"/>
      <c r="J2271" s="266"/>
      <c r="K2271" s="1"/>
      <c r="L2271" s="1"/>
    </row>
    <row r="2272">
      <c r="A2272" s="266">
        <v>1400.0</v>
      </c>
      <c r="B2272" s="266"/>
      <c r="C2272" s="266">
        <v>5.0</v>
      </c>
      <c r="D2272" s="266" t="s">
        <v>5150</v>
      </c>
      <c r="E2272" s="266"/>
      <c r="F2272" s="266"/>
      <c r="G2272" s="266" t="s">
        <v>6304</v>
      </c>
      <c r="H2272" s="266" t="s">
        <v>552</v>
      </c>
      <c r="I2272" s="266"/>
      <c r="J2272" s="266"/>
      <c r="K2272" s="1"/>
      <c r="L2272" s="1"/>
    </row>
    <row r="2273">
      <c r="A2273" s="266">
        <v>1500.0</v>
      </c>
      <c r="B2273" s="266"/>
      <c r="C2273" s="266">
        <v>5.0</v>
      </c>
      <c r="D2273" s="266" t="s">
        <v>5151</v>
      </c>
      <c r="E2273" s="266"/>
      <c r="F2273" s="266"/>
      <c r="G2273" s="266" t="s">
        <v>6304</v>
      </c>
      <c r="H2273" s="266" t="s">
        <v>544</v>
      </c>
      <c r="I2273" s="266" t="s">
        <v>6305</v>
      </c>
      <c r="J2273" s="266"/>
      <c r="K2273" s="1"/>
      <c r="L2273" s="1"/>
    </row>
    <row r="2274">
      <c r="A2274" s="266">
        <v>1600.0</v>
      </c>
      <c r="B2274" s="266"/>
      <c r="C2274" s="266">
        <v>5.0</v>
      </c>
      <c r="D2274" s="266" t="s">
        <v>5152</v>
      </c>
      <c r="E2274" s="266"/>
      <c r="F2274" s="266"/>
      <c r="G2274" s="266" t="s">
        <v>6304</v>
      </c>
      <c r="H2274" s="266" t="s">
        <v>544</v>
      </c>
      <c r="I2274" s="266" t="s">
        <v>6305</v>
      </c>
      <c r="J2274" s="266"/>
      <c r="K2274" s="1"/>
      <c r="L2274" s="1"/>
    </row>
    <row r="2275">
      <c r="A2275" s="266">
        <v>1700.0</v>
      </c>
      <c r="B2275" s="266"/>
      <c r="C2275" s="266">
        <v>5.0</v>
      </c>
      <c r="D2275" s="266" t="s">
        <v>5153</v>
      </c>
      <c r="E2275" s="266"/>
      <c r="F2275" s="266"/>
      <c r="G2275" s="266" t="s">
        <v>6304</v>
      </c>
      <c r="H2275" s="266" t="s">
        <v>544</v>
      </c>
      <c r="I2275" s="266" t="s">
        <v>6305</v>
      </c>
      <c r="J2275" s="266"/>
      <c r="K2275" s="1"/>
      <c r="L2275" s="1"/>
    </row>
    <row r="2276">
      <c r="A2276" s="266">
        <v>1800.0</v>
      </c>
      <c r="B2276" s="266"/>
      <c r="C2276" s="266">
        <v>5.0</v>
      </c>
      <c r="D2276" s="266" t="s">
        <v>5154</v>
      </c>
      <c r="E2276" s="266"/>
      <c r="F2276" s="266"/>
      <c r="G2276" s="266" t="s">
        <v>6304</v>
      </c>
      <c r="H2276" s="266" t="s">
        <v>544</v>
      </c>
      <c r="I2276" s="266" t="s">
        <v>6305</v>
      </c>
      <c r="J2276" s="266"/>
      <c r="K2276" s="1"/>
      <c r="L2276" s="1"/>
    </row>
    <row r="2277">
      <c r="A2277" s="266">
        <v>1900.0</v>
      </c>
      <c r="B2277" s="266"/>
      <c r="C2277" s="266">
        <v>5.0</v>
      </c>
      <c r="D2277" s="266" t="s">
        <v>6306</v>
      </c>
      <c r="E2277" s="266"/>
      <c r="F2277" s="266"/>
      <c r="G2277" s="266" t="s">
        <v>6304</v>
      </c>
      <c r="H2277" s="266" t="s">
        <v>6467</v>
      </c>
      <c r="I2277" s="266"/>
      <c r="J2277" s="266"/>
      <c r="K2277" s="1"/>
      <c r="L2277" s="1"/>
    </row>
    <row r="2278">
      <c r="A2278" s="266">
        <v>50.0</v>
      </c>
      <c r="B2278" s="266">
        <v>1.0</v>
      </c>
      <c r="C2278" s="266"/>
      <c r="D2278" s="266" t="s">
        <v>7963</v>
      </c>
      <c r="E2278" s="266"/>
      <c r="F2278" s="266"/>
      <c r="G2278" s="266"/>
      <c r="H2278" s="266"/>
      <c r="I2278" s="266"/>
      <c r="J2278" s="267"/>
    </row>
    <row r="2279">
      <c r="A2279" s="266">
        <v>100.0</v>
      </c>
      <c r="B2279" s="266"/>
      <c r="C2279" s="266">
        <v>5.0</v>
      </c>
      <c r="D2279" s="266" t="s">
        <v>6782</v>
      </c>
      <c r="E2279" s="266"/>
      <c r="F2279" s="266"/>
      <c r="G2279" s="266"/>
      <c r="H2279" s="266"/>
      <c r="I2279" s="266"/>
      <c r="J2279" s="267"/>
    </row>
    <row r="2280">
      <c r="A2280" s="266">
        <v>200.0</v>
      </c>
      <c r="B2280" s="266"/>
      <c r="C2280" s="266">
        <v>10.0</v>
      </c>
      <c r="D2280" s="266" t="s">
        <v>6783</v>
      </c>
      <c r="E2280" s="266"/>
      <c r="F2280" s="266"/>
      <c r="G2280" s="266"/>
      <c r="H2280" s="266"/>
      <c r="I2280" s="266"/>
      <c r="J2280" s="267"/>
    </row>
    <row r="2281">
      <c r="A2281" s="266">
        <v>300.0</v>
      </c>
      <c r="B2281" s="266"/>
      <c r="C2281" s="266">
        <v>15.0</v>
      </c>
      <c r="D2281" s="266" t="s">
        <v>5165</v>
      </c>
      <c r="E2281" s="266"/>
      <c r="F2281" s="266"/>
      <c r="G2281" s="266" t="s">
        <v>6304</v>
      </c>
      <c r="H2281" s="266">
        <v>9.0</v>
      </c>
      <c r="I2281" s="266"/>
      <c r="J2281" s="266"/>
      <c r="K2281" s="1"/>
      <c r="L2281" s="1"/>
    </row>
    <row r="2282">
      <c r="A2282" s="266">
        <v>400.0</v>
      </c>
      <c r="B2282" s="266"/>
      <c r="C2282" s="266">
        <v>15.0</v>
      </c>
      <c r="D2282" s="266" t="s">
        <v>5166</v>
      </c>
      <c r="E2282" s="266"/>
      <c r="F2282" s="266"/>
      <c r="G2282" s="266" t="s">
        <v>6304</v>
      </c>
      <c r="H2282" s="266" t="s">
        <v>551</v>
      </c>
      <c r="I2282" s="266"/>
      <c r="J2282" s="266"/>
      <c r="K2282" s="1"/>
      <c r="L2282" s="1"/>
    </row>
    <row r="2283">
      <c r="A2283" s="266">
        <v>500.0</v>
      </c>
      <c r="B2283" s="266"/>
      <c r="C2283" s="266">
        <v>10.0</v>
      </c>
      <c r="D2283" s="266" t="s">
        <v>6784</v>
      </c>
      <c r="E2283" s="266"/>
      <c r="F2283" s="266"/>
      <c r="G2283" s="266"/>
      <c r="H2283" s="266"/>
      <c r="I2283" s="266"/>
      <c r="J2283" s="267"/>
    </row>
    <row r="2284">
      <c r="A2284" s="266">
        <v>600.0</v>
      </c>
      <c r="B2284" s="266"/>
      <c r="C2284" s="266">
        <v>15.0</v>
      </c>
      <c r="D2284" s="266" t="s">
        <v>5160</v>
      </c>
      <c r="E2284" s="266"/>
      <c r="F2284" s="266"/>
      <c r="G2284" s="266" t="s">
        <v>6304</v>
      </c>
      <c r="H2284" s="266" t="s">
        <v>552</v>
      </c>
      <c r="I2284" s="266"/>
      <c r="J2284" s="266"/>
      <c r="K2284" s="1"/>
      <c r="L2284" s="1"/>
    </row>
    <row r="2285">
      <c r="A2285" s="266">
        <v>700.0</v>
      </c>
      <c r="B2285" s="266"/>
      <c r="C2285" s="266">
        <v>15.0</v>
      </c>
      <c r="D2285" s="266" t="s">
        <v>5161</v>
      </c>
      <c r="E2285" s="266"/>
      <c r="F2285" s="266"/>
      <c r="G2285" s="266" t="s">
        <v>6304</v>
      </c>
      <c r="H2285" s="266" t="s">
        <v>551</v>
      </c>
      <c r="I2285" s="266"/>
      <c r="J2285" s="266"/>
      <c r="K2285" s="1"/>
      <c r="L2285" s="1"/>
    </row>
    <row r="2286">
      <c r="A2286" s="266">
        <v>800.0</v>
      </c>
      <c r="B2286" s="266"/>
      <c r="C2286" s="266">
        <v>5.0</v>
      </c>
      <c r="D2286" s="266" t="s">
        <v>5162</v>
      </c>
      <c r="E2286" s="266"/>
      <c r="F2286" s="266"/>
      <c r="G2286" s="266" t="s">
        <v>6304</v>
      </c>
      <c r="H2286" s="266" t="s">
        <v>544</v>
      </c>
      <c r="I2286" s="266" t="s">
        <v>6305</v>
      </c>
      <c r="J2286" s="266"/>
      <c r="K2286" s="1"/>
      <c r="L2286" s="1"/>
    </row>
    <row r="2287">
      <c r="A2287" s="266">
        <v>900.0</v>
      </c>
      <c r="B2287" s="266"/>
      <c r="C2287" s="266">
        <v>5.0</v>
      </c>
      <c r="D2287" s="266" t="s">
        <v>5163</v>
      </c>
      <c r="E2287" s="266"/>
      <c r="F2287" s="266"/>
      <c r="G2287" s="266" t="s">
        <v>6304</v>
      </c>
      <c r="H2287" s="266" t="s">
        <v>5155</v>
      </c>
      <c r="I2287" s="266" t="s">
        <v>6305</v>
      </c>
      <c r="J2287" s="266"/>
      <c r="K2287" s="1"/>
      <c r="L2287" s="1"/>
    </row>
    <row r="2288">
      <c r="A2288" s="266">
        <v>1000.0</v>
      </c>
      <c r="B2288" s="266"/>
      <c r="C2288" s="266">
        <v>5.0</v>
      </c>
      <c r="D2288" s="266" t="s">
        <v>5164</v>
      </c>
      <c r="E2288" s="266"/>
      <c r="F2288" s="266"/>
      <c r="G2288" s="266" t="s">
        <v>6304</v>
      </c>
      <c r="H2288" s="266" t="s">
        <v>544</v>
      </c>
      <c r="I2288" s="266" t="s">
        <v>6305</v>
      </c>
      <c r="J2288" s="266"/>
      <c r="K2288" s="1"/>
      <c r="L2288" s="1"/>
    </row>
    <row r="2289">
      <c r="A2289" s="266">
        <v>50.0</v>
      </c>
      <c r="B2289" s="266">
        <v>1.0</v>
      </c>
      <c r="C2289" s="266"/>
      <c r="D2289" s="266" t="s">
        <v>7964</v>
      </c>
      <c r="E2289" s="266"/>
      <c r="F2289" s="266"/>
      <c r="G2289" s="266"/>
      <c r="H2289" s="266"/>
      <c r="I2289" s="266"/>
      <c r="J2289" s="267"/>
    </row>
    <row r="2290">
      <c r="A2290" s="266">
        <v>100.0</v>
      </c>
      <c r="B2290" s="266"/>
      <c r="C2290" s="266">
        <v>5.0</v>
      </c>
      <c r="D2290" s="266" t="s">
        <v>7965</v>
      </c>
      <c r="E2290" s="266"/>
      <c r="F2290" s="266"/>
      <c r="G2290" s="266"/>
      <c r="H2290" s="266"/>
      <c r="I2290" s="266"/>
      <c r="J2290" s="267"/>
    </row>
    <row r="2291">
      <c r="A2291" s="266">
        <v>200.0</v>
      </c>
      <c r="B2291" s="266"/>
      <c r="C2291" s="266">
        <v>10.0</v>
      </c>
      <c r="D2291" s="266" t="s">
        <v>514</v>
      </c>
      <c r="E2291" s="266"/>
      <c r="F2291" s="266"/>
      <c r="G2291" s="266" t="s">
        <v>6304</v>
      </c>
      <c r="H2291" s="266" t="s">
        <v>551</v>
      </c>
      <c r="I2291" s="266"/>
      <c r="J2291" s="266"/>
      <c r="K2291" s="1"/>
      <c r="L2291" s="1"/>
    </row>
    <row r="2292">
      <c r="A2292" s="266">
        <v>300.0</v>
      </c>
      <c r="B2292" s="266"/>
      <c r="C2292" s="266">
        <v>10.0</v>
      </c>
      <c r="D2292" s="266" t="s">
        <v>7947</v>
      </c>
      <c r="E2292" s="266"/>
      <c r="F2292" s="266"/>
      <c r="G2292" s="266" t="s">
        <v>6304</v>
      </c>
      <c r="H2292" s="266" t="s">
        <v>551</v>
      </c>
      <c r="I2292" s="266"/>
      <c r="J2292" s="266"/>
      <c r="K2292" s="1"/>
      <c r="L2292" s="1"/>
    </row>
    <row r="2293">
      <c r="A2293" s="266">
        <v>400.0</v>
      </c>
      <c r="B2293" s="266"/>
      <c r="C2293" s="266">
        <v>10.0</v>
      </c>
      <c r="D2293" s="266" t="s">
        <v>6781</v>
      </c>
      <c r="E2293" s="266"/>
      <c r="F2293" s="266"/>
      <c r="G2293" s="266"/>
      <c r="H2293" s="266"/>
      <c r="I2293" s="266"/>
      <c r="J2293" s="267"/>
    </row>
    <row r="2294">
      <c r="A2294" s="266">
        <v>500.0</v>
      </c>
      <c r="B2294" s="266"/>
      <c r="C2294" s="266">
        <v>15.0</v>
      </c>
      <c r="D2294" s="266" t="s">
        <v>5139</v>
      </c>
      <c r="E2294" s="266"/>
      <c r="F2294" s="266"/>
      <c r="G2294" s="266" t="s">
        <v>6304</v>
      </c>
      <c r="H2294" s="266" t="s">
        <v>551</v>
      </c>
      <c r="I2294" s="266"/>
      <c r="J2294" s="266"/>
      <c r="K2294" s="1"/>
      <c r="L2294" s="1"/>
    </row>
    <row r="2295">
      <c r="A2295" s="266">
        <v>600.0</v>
      </c>
      <c r="B2295" s="266"/>
      <c r="C2295" s="266">
        <v>15.0</v>
      </c>
      <c r="D2295" s="266" t="s">
        <v>5140</v>
      </c>
      <c r="E2295" s="266"/>
      <c r="F2295" s="266"/>
      <c r="G2295" s="266" t="s">
        <v>6304</v>
      </c>
      <c r="H2295" s="266" t="s">
        <v>551</v>
      </c>
      <c r="I2295" s="266"/>
      <c r="J2295" s="266"/>
      <c r="K2295" s="1"/>
      <c r="L2295" s="1"/>
    </row>
    <row r="2296">
      <c r="A2296" s="266">
        <v>700.0</v>
      </c>
      <c r="B2296" s="266"/>
      <c r="C2296" s="266">
        <v>15.0</v>
      </c>
      <c r="D2296" s="266" t="s">
        <v>5141</v>
      </c>
      <c r="E2296" s="266"/>
      <c r="F2296" s="266"/>
      <c r="G2296" s="266" t="s">
        <v>6304</v>
      </c>
      <c r="H2296" s="266" t="s">
        <v>551</v>
      </c>
      <c r="I2296" s="266"/>
      <c r="J2296" s="266"/>
      <c r="K2296" s="1"/>
      <c r="L2296" s="1"/>
    </row>
    <row r="2297">
      <c r="A2297" s="266">
        <v>800.0</v>
      </c>
      <c r="B2297" s="266"/>
      <c r="C2297" s="266">
        <v>5.0</v>
      </c>
      <c r="D2297" s="266" t="s">
        <v>5143</v>
      </c>
      <c r="E2297" s="266"/>
      <c r="F2297" s="266"/>
      <c r="G2297" s="266" t="s">
        <v>6304</v>
      </c>
      <c r="H2297" s="266" t="s">
        <v>552</v>
      </c>
      <c r="I2297" s="266"/>
      <c r="J2297" s="266"/>
      <c r="K2297" s="1"/>
      <c r="L2297" s="1"/>
    </row>
    <row r="2298">
      <c r="A2298" s="266">
        <v>900.0</v>
      </c>
      <c r="B2298" s="266"/>
      <c r="C2298" s="266">
        <v>5.0</v>
      </c>
      <c r="D2298" s="266" t="s">
        <v>5144</v>
      </c>
      <c r="E2298" s="266"/>
      <c r="F2298" s="266"/>
      <c r="G2298" s="266" t="s">
        <v>6304</v>
      </c>
      <c r="H2298" s="266" t="s">
        <v>552</v>
      </c>
      <c r="I2298" s="266"/>
      <c r="J2298" s="266"/>
      <c r="K2298" s="1"/>
      <c r="L2298" s="1"/>
    </row>
    <row r="2299">
      <c r="A2299" s="266">
        <v>1000.0</v>
      </c>
      <c r="B2299" s="266"/>
      <c r="C2299" s="266">
        <v>5.0</v>
      </c>
      <c r="D2299" s="266" t="s">
        <v>5145</v>
      </c>
      <c r="E2299" s="266"/>
      <c r="F2299" s="266"/>
      <c r="G2299" s="266" t="s">
        <v>6304</v>
      </c>
      <c r="H2299" s="266" t="s">
        <v>552</v>
      </c>
      <c r="I2299" s="266"/>
      <c r="J2299" s="266"/>
      <c r="K2299" s="1"/>
      <c r="L2299" s="1"/>
    </row>
    <row r="2300">
      <c r="A2300" s="266">
        <v>1100.0</v>
      </c>
      <c r="B2300" s="266"/>
      <c r="C2300" s="266">
        <v>5.0</v>
      </c>
      <c r="D2300" s="266" t="s">
        <v>7084</v>
      </c>
      <c r="E2300" s="266"/>
      <c r="F2300" s="266"/>
      <c r="G2300" s="266" t="s">
        <v>6304</v>
      </c>
      <c r="H2300" s="266" t="s">
        <v>544</v>
      </c>
      <c r="I2300" s="266" t="s">
        <v>6305</v>
      </c>
      <c r="J2300" s="266"/>
      <c r="K2300" s="1"/>
      <c r="L2300" s="1"/>
    </row>
    <row r="2301">
      <c r="A2301" s="266">
        <v>1200.0</v>
      </c>
      <c r="B2301" s="266"/>
      <c r="C2301" s="266">
        <v>5.0</v>
      </c>
      <c r="D2301" s="266" t="s">
        <v>7085</v>
      </c>
      <c r="E2301" s="266"/>
      <c r="F2301" s="266"/>
      <c r="G2301" s="266" t="s">
        <v>6304</v>
      </c>
      <c r="H2301" s="266" t="s">
        <v>552</v>
      </c>
      <c r="I2301" s="266"/>
      <c r="J2301" s="266"/>
      <c r="K2301" s="1"/>
      <c r="L2301" s="1"/>
    </row>
    <row r="2302">
      <c r="A2302" s="266">
        <v>1300.0</v>
      </c>
      <c r="B2302" s="266"/>
      <c r="C2302" s="266">
        <v>5.0</v>
      </c>
      <c r="D2302" s="266" t="s">
        <v>5150</v>
      </c>
      <c r="E2302" s="266"/>
      <c r="F2302" s="266"/>
      <c r="G2302" s="266" t="s">
        <v>6304</v>
      </c>
      <c r="H2302" s="266" t="s">
        <v>552</v>
      </c>
      <c r="I2302" s="266"/>
      <c r="J2302" s="266"/>
      <c r="K2302" s="1"/>
      <c r="L2302" s="1"/>
    </row>
    <row r="2303">
      <c r="A2303" s="266">
        <v>1400.0</v>
      </c>
      <c r="B2303" s="266"/>
      <c r="C2303" s="266">
        <v>5.0</v>
      </c>
      <c r="D2303" s="266" t="s">
        <v>6306</v>
      </c>
      <c r="E2303" s="266"/>
      <c r="F2303" s="266"/>
      <c r="G2303" s="266" t="s">
        <v>6304</v>
      </c>
      <c r="H2303" s="266" t="s">
        <v>6801</v>
      </c>
      <c r="I2303" s="266"/>
      <c r="J2303" s="266"/>
      <c r="K2303" s="1"/>
      <c r="L2303" s="1"/>
    </row>
    <row r="2304">
      <c r="A2304" s="266">
        <v>50.0</v>
      </c>
      <c r="B2304" s="266">
        <v>1.0</v>
      </c>
      <c r="C2304" s="266"/>
      <c r="D2304" s="266" t="s">
        <v>7966</v>
      </c>
      <c r="E2304" s="266"/>
      <c r="F2304" s="266"/>
      <c r="G2304" s="266"/>
      <c r="H2304" s="266"/>
      <c r="I2304" s="266"/>
      <c r="J2304" s="267"/>
    </row>
    <row r="2305">
      <c r="A2305" s="266">
        <v>100.0</v>
      </c>
      <c r="B2305" s="266"/>
      <c r="C2305" s="266">
        <v>5.0</v>
      </c>
      <c r="D2305" s="266" t="s">
        <v>6782</v>
      </c>
      <c r="E2305" s="266"/>
      <c r="F2305" s="266"/>
      <c r="G2305" s="266"/>
      <c r="H2305" s="266"/>
      <c r="I2305" s="266"/>
      <c r="J2305" s="267"/>
    </row>
    <row r="2306">
      <c r="A2306" s="266">
        <v>200.0</v>
      </c>
      <c r="B2306" s="266"/>
      <c r="C2306" s="266">
        <v>10.0</v>
      </c>
      <c r="D2306" s="266" t="s">
        <v>6783</v>
      </c>
      <c r="E2306" s="266"/>
      <c r="F2306" s="266"/>
      <c r="G2306" s="266"/>
      <c r="H2306" s="266"/>
      <c r="I2306" s="266"/>
      <c r="J2306" s="267"/>
    </row>
    <row r="2307">
      <c r="A2307" s="266">
        <v>300.0</v>
      </c>
      <c r="B2307" s="266"/>
      <c r="C2307" s="266">
        <v>15.0</v>
      </c>
      <c r="D2307" s="266" t="s">
        <v>5165</v>
      </c>
      <c r="E2307" s="266"/>
      <c r="F2307" s="266"/>
      <c r="G2307" s="266" t="s">
        <v>6304</v>
      </c>
      <c r="H2307" s="266">
        <v>9.0</v>
      </c>
      <c r="I2307" s="266"/>
      <c r="J2307" s="266"/>
      <c r="K2307" s="1"/>
      <c r="L2307" s="1"/>
    </row>
    <row r="2308">
      <c r="A2308" s="266">
        <v>400.0</v>
      </c>
      <c r="B2308" s="266"/>
      <c r="C2308" s="266">
        <v>15.0</v>
      </c>
      <c r="D2308" s="266" t="s">
        <v>5166</v>
      </c>
      <c r="E2308" s="266"/>
      <c r="F2308" s="266"/>
      <c r="G2308" s="266" t="s">
        <v>6304</v>
      </c>
      <c r="H2308" s="266" t="s">
        <v>551</v>
      </c>
      <c r="I2308" s="266"/>
      <c r="J2308" s="266"/>
      <c r="K2308" s="1"/>
      <c r="L2308" s="1"/>
    </row>
    <row r="2309">
      <c r="A2309" s="266">
        <v>500.0</v>
      </c>
      <c r="B2309" s="266"/>
      <c r="C2309" s="266">
        <v>10.0</v>
      </c>
      <c r="D2309" s="266" t="s">
        <v>6784</v>
      </c>
      <c r="E2309" s="266"/>
      <c r="F2309" s="266"/>
      <c r="G2309" s="266"/>
      <c r="H2309" s="266"/>
      <c r="I2309" s="266"/>
      <c r="J2309" s="267"/>
    </row>
    <row r="2310">
      <c r="A2310" s="266">
        <v>600.0</v>
      </c>
      <c r="B2310" s="266"/>
      <c r="C2310" s="266">
        <v>15.0</v>
      </c>
      <c r="D2310" s="266" t="s">
        <v>5160</v>
      </c>
      <c r="E2310" s="266"/>
      <c r="F2310" s="266"/>
      <c r="G2310" s="266" t="s">
        <v>6304</v>
      </c>
      <c r="H2310" s="266" t="s">
        <v>552</v>
      </c>
      <c r="I2310" s="266"/>
      <c r="J2310" s="266"/>
      <c r="K2310" s="1"/>
      <c r="L2310" s="1"/>
    </row>
    <row r="2311">
      <c r="A2311" s="266">
        <v>700.0</v>
      </c>
      <c r="B2311" s="266"/>
      <c r="C2311" s="266">
        <v>15.0</v>
      </c>
      <c r="D2311" s="266" t="s">
        <v>5161</v>
      </c>
      <c r="E2311" s="266"/>
      <c r="F2311" s="266"/>
      <c r="G2311" s="266" t="s">
        <v>6304</v>
      </c>
      <c r="H2311" s="266" t="s">
        <v>551</v>
      </c>
      <c r="I2311" s="266"/>
      <c r="J2311" s="266"/>
      <c r="K2311" s="1"/>
      <c r="L2311" s="1"/>
    </row>
    <row r="2312">
      <c r="A2312" s="266">
        <v>800.0</v>
      </c>
      <c r="B2312" s="266"/>
      <c r="C2312" s="266">
        <v>5.0</v>
      </c>
      <c r="D2312" s="266" t="s">
        <v>7084</v>
      </c>
      <c r="E2312" s="266"/>
      <c r="F2312" s="266"/>
      <c r="G2312" s="266" t="s">
        <v>6304</v>
      </c>
      <c r="H2312" s="266" t="s">
        <v>544</v>
      </c>
      <c r="I2312" s="266" t="s">
        <v>6305</v>
      </c>
      <c r="J2312" s="266"/>
      <c r="K2312" s="1"/>
      <c r="L2312" s="1"/>
    </row>
    <row r="2313">
      <c r="A2313" s="266">
        <v>900.0</v>
      </c>
      <c r="B2313" s="266"/>
      <c r="C2313" s="266">
        <v>5.0</v>
      </c>
      <c r="D2313" s="266" t="s">
        <v>5162</v>
      </c>
      <c r="E2313" s="266"/>
      <c r="F2313" s="266"/>
      <c r="G2313" s="266" t="s">
        <v>6304</v>
      </c>
      <c r="H2313" s="266" t="s">
        <v>544</v>
      </c>
      <c r="I2313" s="266" t="s">
        <v>6305</v>
      </c>
      <c r="J2313" s="266"/>
      <c r="K2313" s="1"/>
      <c r="L2313" s="1"/>
    </row>
    <row r="2314">
      <c r="A2314" s="266">
        <v>1000.0</v>
      </c>
      <c r="B2314" s="266"/>
      <c r="C2314" s="266">
        <v>5.0</v>
      </c>
      <c r="D2314" s="266" t="s">
        <v>5163</v>
      </c>
      <c r="E2314" s="266"/>
      <c r="F2314" s="266"/>
      <c r="G2314" s="266" t="s">
        <v>6304</v>
      </c>
      <c r="H2314" s="266" t="s">
        <v>5155</v>
      </c>
      <c r="I2314" s="266" t="s">
        <v>6305</v>
      </c>
      <c r="J2314" s="266"/>
      <c r="K2314" s="1"/>
      <c r="L2314" s="1"/>
    </row>
    <row r="2315">
      <c r="A2315" s="266">
        <v>1100.0</v>
      </c>
      <c r="B2315" s="266"/>
      <c r="C2315" s="266">
        <v>5.0</v>
      </c>
      <c r="D2315" s="266" t="s">
        <v>5164</v>
      </c>
      <c r="E2315" s="266"/>
      <c r="F2315" s="266"/>
      <c r="G2315" s="266" t="s">
        <v>6304</v>
      </c>
      <c r="H2315" s="266" t="s">
        <v>544</v>
      </c>
      <c r="I2315" s="266" t="s">
        <v>6305</v>
      </c>
      <c r="J2315" s="266"/>
      <c r="K2315" s="1"/>
      <c r="L2315" s="1"/>
    </row>
    <row r="2316">
      <c r="A2316" s="266">
        <v>1200.0</v>
      </c>
      <c r="B2316" s="266"/>
      <c r="C2316" s="266">
        <v>5.0</v>
      </c>
      <c r="D2316" s="266" t="s">
        <v>7086</v>
      </c>
      <c r="E2316" s="266"/>
      <c r="F2316" s="266"/>
      <c r="G2316" s="266" t="s">
        <v>6304</v>
      </c>
      <c r="H2316" s="266" t="s">
        <v>544</v>
      </c>
      <c r="I2316" s="266" t="s">
        <v>6305</v>
      </c>
      <c r="J2316" s="266"/>
      <c r="K2316" s="1"/>
      <c r="L2316" s="1"/>
    </row>
    <row r="2317">
      <c r="A2317" s="266">
        <v>1300.0</v>
      </c>
      <c r="B2317" s="266"/>
      <c r="C2317" s="266">
        <v>5.0</v>
      </c>
      <c r="D2317" s="266" t="s">
        <v>7087</v>
      </c>
      <c r="E2317" s="266"/>
      <c r="F2317" s="266"/>
      <c r="G2317" s="266" t="s">
        <v>6304</v>
      </c>
      <c r="H2317" s="266" t="s">
        <v>544</v>
      </c>
      <c r="I2317" s="266" t="s">
        <v>6305</v>
      </c>
      <c r="J2317" s="266"/>
      <c r="K2317" s="1"/>
      <c r="L2317" s="1"/>
    </row>
    <row r="2318">
      <c r="A2318" s="266">
        <v>1400.0</v>
      </c>
      <c r="B2318" s="266"/>
      <c r="C2318" s="266">
        <v>5.0</v>
      </c>
      <c r="D2318" s="266" t="s">
        <v>7088</v>
      </c>
      <c r="E2318" s="266"/>
      <c r="F2318" s="266"/>
      <c r="G2318" s="266" t="s">
        <v>6304</v>
      </c>
      <c r="H2318" s="266" t="s">
        <v>544</v>
      </c>
      <c r="I2318" s="266" t="s">
        <v>6305</v>
      </c>
      <c r="J2318" s="266"/>
      <c r="K2318" s="1"/>
      <c r="L2318" s="1"/>
    </row>
    <row r="2319">
      <c r="A2319" s="266">
        <v>1500.0</v>
      </c>
      <c r="B2319" s="266"/>
      <c r="C2319" s="266">
        <v>5.0</v>
      </c>
      <c r="D2319" s="266" t="s">
        <v>7089</v>
      </c>
      <c r="E2319" s="266"/>
      <c r="F2319" s="266"/>
      <c r="G2319" s="266" t="s">
        <v>6304</v>
      </c>
      <c r="H2319" s="266" t="s">
        <v>544</v>
      </c>
      <c r="I2319" s="266" t="s">
        <v>6305</v>
      </c>
      <c r="J2319" s="266"/>
      <c r="K2319" s="1"/>
      <c r="L2319" s="1"/>
    </row>
    <row r="2320">
      <c r="A2320" s="266">
        <v>1600.0</v>
      </c>
      <c r="B2320" s="266"/>
      <c r="C2320" s="266">
        <v>5.0</v>
      </c>
      <c r="D2320" s="266" t="s">
        <v>6306</v>
      </c>
      <c r="E2320" s="266"/>
      <c r="F2320" s="266"/>
      <c r="G2320" s="266" t="s">
        <v>6304</v>
      </c>
      <c r="H2320" s="266" t="s">
        <v>7959</v>
      </c>
      <c r="I2320" s="266"/>
      <c r="J2320" s="266"/>
      <c r="K2320" s="1"/>
      <c r="L2320" s="1"/>
    </row>
    <row r="2321">
      <c r="A2321" s="266">
        <v>50.0</v>
      </c>
      <c r="B2321" s="266">
        <v>1.0</v>
      </c>
      <c r="C2321" s="266"/>
      <c r="D2321" s="266" t="s">
        <v>7967</v>
      </c>
      <c r="E2321" s="266"/>
      <c r="F2321" s="266"/>
      <c r="G2321" s="266"/>
      <c r="H2321" s="266"/>
      <c r="I2321" s="266"/>
      <c r="J2321" s="267"/>
    </row>
    <row r="2322">
      <c r="A2322" s="266">
        <v>100.0</v>
      </c>
      <c r="B2322" s="266"/>
      <c r="C2322" s="266">
        <v>5.0</v>
      </c>
      <c r="D2322" s="266" t="s">
        <v>7968</v>
      </c>
      <c r="E2322" s="266"/>
      <c r="F2322" s="266"/>
      <c r="G2322" s="266" t="s">
        <v>6304</v>
      </c>
      <c r="H2322" s="266" t="s">
        <v>6777</v>
      </c>
      <c r="I2322" s="266" t="s">
        <v>6592</v>
      </c>
      <c r="J2322" s="266"/>
      <c r="K2322" s="1"/>
      <c r="L2322" s="1"/>
    </row>
    <row r="2323">
      <c r="A2323" s="266">
        <v>200.0</v>
      </c>
      <c r="B2323" s="266"/>
      <c r="C2323" s="266">
        <v>5.0</v>
      </c>
      <c r="D2323" s="266" t="s">
        <v>7969</v>
      </c>
      <c r="E2323" s="266"/>
      <c r="F2323" s="266"/>
      <c r="G2323" s="266"/>
      <c r="H2323" s="266"/>
      <c r="I2323" s="266"/>
      <c r="J2323" s="267"/>
    </row>
    <row r="2324">
      <c r="A2324" s="266">
        <v>300.0</v>
      </c>
      <c r="B2324" s="266"/>
      <c r="C2324" s="266">
        <v>10.0</v>
      </c>
      <c r="D2324" s="266" t="s">
        <v>7970</v>
      </c>
      <c r="E2324" s="266"/>
      <c r="F2324" s="266"/>
      <c r="G2324" s="266" t="s">
        <v>6304</v>
      </c>
      <c r="H2324" s="266" t="s">
        <v>7971</v>
      </c>
      <c r="I2324" s="266"/>
      <c r="J2324" s="266"/>
      <c r="K2324" s="1"/>
      <c r="L2324" s="1"/>
    </row>
    <row r="2325">
      <c r="A2325" s="266">
        <v>400.0</v>
      </c>
      <c r="B2325" s="266"/>
      <c r="C2325" s="266">
        <v>10.0</v>
      </c>
      <c r="D2325" s="266" t="s">
        <v>7972</v>
      </c>
      <c r="E2325" s="266" t="s">
        <v>6479</v>
      </c>
      <c r="F2325" s="266">
        <v>1850.0</v>
      </c>
      <c r="G2325" s="266"/>
      <c r="H2325" s="266"/>
      <c r="I2325" s="266"/>
      <c r="J2325" s="267"/>
    </row>
    <row r="2326">
      <c r="A2326" s="266">
        <v>450.0</v>
      </c>
      <c r="B2326" s="266" t="s">
        <v>6779</v>
      </c>
      <c r="C2326" s="266" t="s">
        <v>6779</v>
      </c>
      <c r="D2326" s="266" t="s">
        <v>444</v>
      </c>
      <c r="E2326" s="266" t="s">
        <v>7968</v>
      </c>
      <c r="F2326" s="266" t="s">
        <v>6304</v>
      </c>
      <c r="G2326" s="266" t="s">
        <v>557</v>
      </c>
      <c r="H2326" s="266"/>
      <c r="I2326" s="266"/>
      <c r="J2326" s="267"/>
    </row>
    <row r="2327">
      <c r="A2327" s="266">
        <v>50.0</v>
      </c>
      <c r="B2327" s="266">
        <v>1.0</v>
      </c>
      <c r="C2327" s="266"/>
      <c r="D2327" s="266" t="s">
        <v>7973</v>
      </c>
      <c r="E2327" s="266"/>
      <c r="F2327" s="266"/>
      <c r="G2327" s="266"/>
      <c r="H2327" s="266"/>
      <c r="I2327" s="266"/>
      <c r="J2327" s="267"/>
    </row>
    <row r="2328">
      <c r="A2328" s="266">
        <v>100.0</v>
      </c>
      <c r="B2328" s="266"/>
      <c r="C2328" s="266">
        <v>5.0</v>
      </c>
      <c r="D2328" s="266" t="s">
        <v>7974</v>
      </c>
      <c r="E2328" s="266"/>
      <c r="F2328" s="266"/>
      <c r="G2328" s="266" t="s">
        <v>6304</v>
      </c>
      <c r="H2328" s="266" t="s">
        <v>551</v>
      </c>
      <c r="I2328" s="266"/>
      <c r="J2328" s="266"/>
      <c r="K2328" s="1"/>
      <c r="L2328" s="1"/>
    </row>
    <row r="2329">
      <c r="A2329" s="266">
        <v>200.0</v>
      </c>
      <c r="B2329" s="266"/>
      <c r="C2329" s="266">
        <v>5.0</v>
      </c>
      <c r="D2329" s="266" t="s">
        <v>7975</v>
      </c>
      <c r="E2329" s="266"/>
      <c r="F2329" s="266"/>
      <c r="G2329" s="266" t="s">
        <v>6304</v>
      </c>
      <c r="H2329" s="266" t="s">
        <v>4103</v>
      </c>
      <c r="I2329" s="266"/>
      <c r="J2329" s="266"/>
      <c r="K2329" s="1"/>
      <c r="L2329" s="1"/>
    </row>
    <row r="2330">
      <c r="A2330" s="266">
        <v>300.0</v>
      </c>
      <c r="B2330" s="266"/>
      <c r="C2330" s="266">
        <v>5.0</v>
      </c>
      <c r="D2330" s="266" t="s">
        <v>7976</v>
      </c>
      <c r="E2330" s="266"/>
      <c r="F2330" s="266"/>
      <c r="G2330" s="266" t="s">
        <v>6304</v>
      </c>
      <c r="H2330" s="266" t="s">
        <v>5155</v>
      </c>
      <c r="I2330" s="266" t="s">
        <v>6305</v>
      </c>
      <c r="J2330" s="266"/>
      <c r="K2330" s="1"/>
      <c r="L2330" s="1"/>
    </row>
    <row r="2331">
      <c r="A2331" s="266">
        <v>400.0</v>
      </c>
      <c r="B2331" s="266"/>
      <c r="C2331" s="266">
        <v>5.0</v>
      </c>
      <c r="D2331" s="266" t="s">
        <v>7977</v>
      </c>
      <c r="E2331" s="266"/>
      <c r="F2331" s="266"/>
      <c r="G2331" s="266" t="s">
        <v>6304</v>
      </c>
      <c r="H2331" s="266" t="s">
        <v>5155</v>
      </c>
      <c r="I2331" s="266" t="s">
        <v>6305</v>
      </c>
      <c r="J2331" s="266"/>
      <c r="K2331" s="1"/>
      <c r="L2331" s="1"/>
    </row>
    <row r="2332">
      <c r="A2332" s="266">
        <v>500.0</v>
      </c>
      <c r="B2332" s="266"/>
      <c r="C2332" s="266">
        <v>5.0</v>
      </c>
      <c r="D2332" s="266" t="s">
        <v>7978</v>
      </c>
      <c r="E2332" s="266"/>
      <c r="F2332" s="266"/>
      <c r="G2332" s="266" t="s">
        <v>6304</v>
      </c>
      <c r="H2332" s="266" t="s">
        <v>5155</v>
      </c>
      <c r="I2332" s="266" t="s">
        <v>6305</v>
      </c>
      <c r="J2332" s="266"/>
      <c r="K2332" s="1"/>
      <c r="L2332" s="1"/>
    </row>
    <row r="2333">
      <c r="A2333" s="266">
        <v>600.0</v>
      </c>
      <c r="B2333" s="266"/>
      <c r="C2333" s="266">
        <v>5.0</v>
      </c>
      <c r="D2333" s="266" t="s">
        <v>7979</v>
      </c>
      <c r="E2333" s="266"/>
      <c r="F2333" s="266"/>
      <c r="G2333" s="266" t="s">
        <v>6304</v>
      </c>
      <c r="H2333" s="266" t="s">
        <v>5155</v>
      </c>
      <c r="I2333" s="266" t="s">
        <v>6305</v>
      </c>
      <c r="J2333" s="266"/>
      <c r="K2333" s="1"/>
      <c r="L2333" s="1"/>
    </row>
    <row r="2334">
      <c r="A2334" s="266">
        <v>700.0</v>
      </c>
      <c r="B2334" s="266"/>
      <c r="C2334" s="266">
        <v>5.0</v>
      </c>
      <c r="D2334" s="266" t="s">
        <v>7980</v>
      </c>
      <c r="E2334" s="266"/>
      <c r="F2334" s="266"/>
      <c r="G2334" s="266" t="s">
        <v>6304</v>
      </c>
      <c r="H2334" s="266" t="s">
        <v>5155</v>
      </c>
      <c r="I2334" s="266" t="s">
        <v>6305</v>
      </c>
      <c r="J2334" s="266"/>
      <c r="K2334" s="1"/>
      <c r="L2334" s="1"/>
    </row>
    <row r="2335">
      <c r="A2335" s="266">
        <v>800.0</v>
      </c>
      <c r="B2335" s="266"/>
      <c r="C2335" s="266">
        <v>5.0</v>
      </c>
      <c r="D2335" s="266" t="s">
        <v>7981</v>
      </c>
      <c r="E2335" s="266"/>
      <c r="F2335" s="266"/>
      <c r="G2335" s="266" t="s">
        <v>6304</v>
      </c>
      <c r="H2335" s="266" t="s">
        <v>5155</v>
      </c>
      <c r="I2335" s="266" t="s">
        <v>6305</v>
      </c>
      <c r="J2335" s="266"/>
      <c r="K2335" s="1"/>
      <c r="L2335" s="1"/>
    </row>
    <row r="2336">
      <c r="A2336" s="266">
        <v>900.0</v>
      </c>
      <c r="B2336" s="266"/>
      <c r="C2336" s="266">
        <v>5.0</v>
      </c>
      <c r="D2336" s="266" t="s">
        <v>7982</v>
      </c>
      <c r="E2336" s="266"/>
      <c r="F2336" s="266"/>
      <c r="G2336" s="266" t="s">
        <v>6304</v>
      </c>
      <c r="H2336" s="266" t="s">
        <v>6798</v>
      </c>
      <c r="I2336" s="266" t="s">
        <v>6305</v>
      </c>
      <c r="J2336" s="266"/>
      <c r="K2336" s="1"/>
      <c r="L2336" s="1"/>
    </row>
    <row r="2337">
      <c r="A2337" s="266">
        <v>1000.0</v>
      </c>
      <c r="B2337" s="266"/>
      <c r="C2337" s="266">
        <v>5.0</v>
      </c>
      <c r="D2337" s="266" t="s">
        <v>7983</v>
      </c>
      <c r="E2337" s="266"/>
      <c r="F2337" s="266"/>
      <c r="G2337" s="266" t="s">
        <v>6304</v>
      </c>
      <c r="H2337" s="266" t="s">
        <v>7034</v>
      </c>
      <c r="I2337" s="266" t="s">
        <v>6305</v>
      </c>
      <c r="J2337" s="266"/>
      <c r="K2337" s="1"/>
      <c r="L2337" s="1"/>
    </row>
    <row r="2338">
      <c r="A2338" s="266">
        <v>1100.0</v>
      </c>
      <c r="B2338" s="266"/>
      <c r="C2338" s="266">
        <v>5.0</v>
      </c>
      <c r="D2338" s="266" t="s">
        <v>7984</v>
      </c>
      <c r="E2338" s="266"/>
      <c r="F2338" s="266"/>
      <c r="G2338" s="266" t="s">
        <v>6304</v>
      </c>
      <c r="H2338" s="266" t="s">
        <v>7034</v>
      </c>
      <c r="I2338" s="266" t="s">
        <v>6305</v>
      </c>
      <c r="J2338" s="266"/>
      <c r="K2338" s="1"/>
      <c r="L2338" s="1"/>
    </row>
    <row r="2339">
      <c r="A2339" s="266">
        <v>1200.0</v>
      </c>
      <c r="B2339" s="266"/>
      <c r="C2339" s="266">
        <v>5.0</v>
      </c>
      <c r="D2339" s="266" t="s">
        <v>7985</v>
      </c>
      <c r="E2339" s="266"/>
      <c r="F2339" s="266"/>
      <c r="G2339" s="266" t="s">
        <v>6304</v>
      </c>
      <c r="H2339" s="266" t="s">
        <v>6591</v>
      </c>
      <c r="I2339" s="266" t="s">
        <v>6305</v>
      </c>
      <c r="J2339" s="266"/>
      <c r="K2339" s="1"/>
      <c r="L2339" s="1"/>
    </row>
    <row r="2340">
      <c r="A2340" s="266">
        <v>1300.0</v>
      </c>
      <c r="B2340" s="266"/>
      <c r="C2340" s="266">
        <v>5.0</v>
      </c>
      <c r="D2340" s="266" t="s">
        <v>7986</v>
      </c>
      <c r="E2340" s="266"/>
      <c r="F2340" s="266"/>
      <c r="G2340" s="266" t="s">
        <v>6304</v>
      </c>
      <c r="H2340" s="266" t="s">
        <v>6591</v>
      </c>
      <c r="I2340" s="266" t="s">
        <v>6305</v>
      </c>
      <c r="J2340" s="266"/>
      <c r="K2340" s="1"/>
      <c r="L2340" s="1"/>
    </row>
    <row r="2341">
      <c r="A2341" s="266">
        <v>1400.0</v>
      </c>
      <c r="B2341" s="266"/>
      <c r="C2341" s="266">
        <v>5.0</v>
      </c>
      <c r="D2341" s="266" t="s">
        <v>6306</v>
      </c>
      <c r="E2341" s="266"/>
      <c r="F2341" s="266"/>
      <c r="G2341" s="266" t="s">
        <v>6304</v>
      </c>
      <c r="H2341" s="266" t="s">
        <v>17</v>
      </c>
      <c r="I2341" s="266"/>
      <c r="J2341" s="266"/>
      <c r="K2341" s="1"/>
      <c r="L2341" s="1"/>
    </row>
    <row r="2342">
      <c r="A2342" s="266">
        <v>50.0</v>
      </c>
      <c r="B2342" s="266">
        <v>1.0</v>
      </c>
      <c r="C2342" s="266"/>
      <c r="D2342" s="266" t="s">
        <v>7987</v>
      </c>
      <c r="E2342" s="266"/>
      <c r="F2342" s="266"/>
      <c r="G2342" s="266"/>
      <c r="H2342" s="266"/>
      <c r="I2342" s="266"/>
      <c r="J2342" s="267"/>
    </row>
    <row r="2343">
      <c r="A2343" s="266">
        <v>100.0</v>
      </c>
      <c r="B2343" s="266"/>
      <c r="C2343" s="266">
        <v>5.0</v>
      </c>
      <c r="D2343" s="266" t="s">
        <v>7988</v>
      </c>
      <c r="E2343" s="266"/>
      <c r="F2343" s="266"/>
      <c r="G2343" s="266" t="s">
        <v>6304</v>
      </c>
      <c r="H2343" s="266" t="s">
        <v>560</v>
      </c>
      <c r="I2343" s="266"/>
      <c r="J2343" s="266"/>
      <c r="K2343" s="1"/>
      <c r="L2343" s="1"/>
    </row>
    <row r="2344">
      <c r="A2344" s="266">
        <v>200.0</v>
      </c>
      <c r="B2344" s="266"/>
      <c r="C2344" s="266">
        <v>5.0</v>
      </c>
      <c r="D2344" s="266" t="s">
        <v>7989</v>
      </c>
      <c r="E2344" s="266"/>
      <c r="F2344" s="266"/>
      <c r="G2344" s="266" t="s">
        <v>6304</v>
      </c>
      <c r="H2344" s="266" t="s">
        <v>552</v>
      </c>
      <c r="I2344" s="266"/>
      <c r="J2344" s="266"/>
      <c r="K2344" s="1"/>
      <c r="L2344" s="1"/>
    </row>
    <row r="2345">
      <c r="A2345" s="266">
        <v>300.0</v>
      </c>
      <c r="B2345" s="266"/>
      <c r="C2345" s="266">
        <v>5.0</v>
      </c>
      <c r="D2345" s="266" t="s">
        <v>7990</v>
      </c>
      <c r="E2345" s="266"/>
      <c r="F2345" s="266"/>
      <c r="G2345" s="266" t="s">
        <v>6304</v>
      </c>
      <c r="H2345" s="266" t="s">
        <v>551</v>
      </c>
      <c r="I2345" s="266"/>
      <c r="J2345" s="266"/>
      <c r="K2345" s="1"/>
      <c r="L2345" s="1"/>
    </row>
    <row r="2346">
      <c r="A2346" s="266">
        <v>400.0</v>
      </c>
      <c r="B2346" s="266"/>
      <c r="C2346" s="266">
        <v>5.0</v>
      </c>
      <c r="D2346" s="266" t="s">
        <v>7991</v>
      </c>
      <c r="E2346" s="266"/>
      <c r="F2346" s="266"/>
      <c r="G2346" s="266" t="s">
        <v>6304</v>
      </c>
      <c r="H2346" s="266">
        <v>99.0</v>
      </c>
      <c r="I2346" s="266"/>
      <c r="J2346" s="266"/>
      <c r="K2346" s="1"/>
      <c r="L2346" s="1"/>
    </row>
    <row r="2347">
      <c r="A2347" s="266">
        <v>500.0</v>
      </c>
      <c r="B2347" s="266"/>
      <c r="C2347" s="266">
        <v>5.0</v>
      </c>
      <c r="D2347" s="266" t="s">
        <v>7992</v>
      </c>
      <c r="E2347" s="266"/>
      <c r="F2347" s="266"/>
      <c r="G2347" s="266" t="s">
        <v>6304</v>
      </c>
      <c r="H2347" s="266" t="s">
        <v>6777</v>
      </c>
      <c r="I2347" s="266" t="s">
        <v>6305</v>
      </c>
      <c r="J2347" s="266"/>
      <c r="K2347" s="1"/>
      <c r="L2347" s="1"/>
    </row>
    <row r="2348">
      <c r="A2348" s="266">
        <v>600.0</v>
      </c>
      <c r="B2348" s="266"/>
      <c r="C2348" s="266">
        <v>5.0</v>
      </c>
      <c r="D2348" s="266" t="s">
        <v>7993</v>
      </c>
      <c r="E2348" s="266"/>
      <c r="F2348" s="266"/>
      <c r="G2348" s="266" t="s">
        <v>6304</v>
      </c>
      <c r="H2348" s="266" t="s">
        <v>6777</v>
      </c>
      <c r="I2348" s="266" t="s">
        <v>6305</v>
      </c>
      <c r="J2348" s="266"/>
      <c r="K2348" s="1"/>
      <c r="L2348" s="1"/>
    </row>
    <row r="2349">
      <c r="A2349" s="266">
        <v>700.0</v>
      </c>
      <c r="B2349" s="266"/>
      <c r="C2349" s="266">
        <v>5.0</v>
      </c>
      <c r="D2349" s="266" t="s">
        <v>7994</v>
      </c>
      <c r="E2349" s="266"/>
      <c r="F2349" s="266"/>
      <c r="G2349" s="266" t="s">
        <v>6304</v>
      </c>
      <c r="H2349" s="266" t="s">
        <v>6777</v>
      </c>
      <c r="I2349" s="266" t="s">
        <v>6305</v>
      </c>
      <c r="J2349" s="266"/>
      <c r="K2349" s="1"/>
      <c r="L2349" s="1"/>
    </row>
    <row r="2350">
      <c r="A2350" s="266">
        <v>800.0</v>
      </c>
      <c r="B2350" s="266"/>
      <c r="C2350" s="266">
        <v>5.0</v>
      </c>
      <c r="D2350" s="266" t="s">
        <v>7995</v>
      </c>
      <c r="E2350" s="266"/>
      <c r="F2350" s="266"/>
      <c r="G2350" s="266" t="s">
        <v>6304</v>
      </c>
      <c r="H2350" s="266" t="s">
        <v>6777</v>
      </c>
      <c r="I2350" s="266" t="s">
        <v>6305</v>
      </c>
      <c r="J2350" s="266"/>
      <c r="K2350" s="1"/>
      <c r="L2350" s="1"/>
    </row>
    <row r="2351">
      <c r="A2351" s="266">
        <v>900.0</v>
      </c>
      <c r="B2351" s="266"/>
      <c r="C2351" s="266">
        <v>5.0</v>
      </c>
      <c r="D2351" s="266" t="s">
        <v>7996</v>
      </c>
      <c r="E2351" s="266"/>
      <c r="F2351" s="266"/>
      <c r="G2351" s="266" t="s">
        <v>6304</v>
      </c>
      <c r="H2351" s="266" t="s">
        <v>6777</v>
      </c>
      <c r="I2351" s="266" t="s">
        <v>6305</v>
      </c>
      <c r="J2351" s="266"/>
      <c r="K2351" s="1"/>
      <c r="L2351" s="1"/>
    </row>
    <row r="2352">
      <c r="A2352" s="266">
        <v>1000.0</v>
      </c>
      <c r="B2352" s="266"/>
      <c r="C2352" s="266">
        <v>5.0</v>
      </c>
      <c r="D2352" s="266" t="s">
        <v>7997</v>
      </c>
      <c r="E2352" s="266"/>
      <c r="F2352" s="266"/>
      <c r="G2352" s="266" t="s">
        <v>6304</v>
      </c>
      <c r="H2352" s="266" t="s">
        <v>7</v>
      </c>
      <c r="I2352" s="266" t="s">
        <v>6305</v>
      </c>
      <c r="J2352" s="266"/>
      <c r="K2352" s="1"/>
      <c r="L2352" s="1"/>
    </row>
    <row r="2353">
      <c r="A2353" s="266">
        <v>1100.0</v>
      </c>
      <c r="B2353" s="266"/>
      <c r="C2353" s="266">
        <v>5.0</v>
      </c>
      <c r="D2353" s="266" t="s">
        <v>7998</v>
      </c>
      <c r="E2353" s="266"/>
      <c r="F2353" s="266"/>
      <c r="G2353" s="266" t="s">
        <v>6304</v>
      </c>
      <c r="H2353" s="266" t="s">
        <v>7</v>
      </c>
      <c r="I2353" s="266" t="s">
        <v>6305</v>
      </c>
      <c r="J2353" s="266"/>
      <c r="K2353" s="1"/>
      <c r="L2353" s="1"/>
    </row>
    <row r="2354">
      <c r="A2354" s="266">
        <v>1200.0</v>
      </c>
      <c r="B2354" s="266"/>
      <c r="C2354" s="266">
        <v>5.0</v>
      </c>
      <c r="D2354" s="266" t="s">
        <v>7999</v>
      </c>
      <c r="E2354" s="266"/>
      <c r="F2354" s="266"/>
      <c r="G2354" s="266" t="s">
        <v>6304</v>
      </c>
      <c r="H2354" s="266" t="s">
        <v>7</v>
      </c>
      <c r="I2354" s="266" t="s">
        <v>6305</v>
      </c>
      <c r="J2354" s="266"/>
      <c r="K2354" s="1"/>
      <c r="L2354" s="1"/>
    </row>
    <row r="2355">
      <c r="A2355" s="266">
        <v>1300.0</v>
      </c>
      <c r="B2355" s="266"/>
      <c r="C2355" s="266">
        <v>5.0</v>
      </c>
      <c r="D2355" s="266" t="s">
        <v>8000</v>
      </c>
      <c r="E2355" s="266"/>
      <c r="F2355" s="266"/>
      <c r="G2355" s="266" t="s">
        <v>6304</v>
      </c>
      <c r="H2355" s="266" t="s">
        <v>558</v>
      </c>
      <c r="I2355" s="266" t="s">
        <v>6305</v>
      </c>
      <c r="J2355" s="266"/>
      <c r="K2355" s="1"/>
      <c r="L2355" s="1"/>
    </row>
    <row r="2356">
      <c r="A2356" s="266">
        <v>1400.0</v>
      </c>
      <c r="B2356" s="266"/>
      <c r="C2356" s="266">
        <v>5.0</v>
      </c>
      <c r="D2356" s="266" t="s">
        <v>8001</v>
      </c>
      <c r="E2356" s="266"/>
      <c r="F2356" s="266"/>
      <c r="G2356" s="266" t="s">
        <v>6304</v>
      </c>
      <c r="H2356" s="266" t="s">
        <v>558</v>
      </c>
      <c r="I2356" s="266" t="s">
        <v>6305</v>
      </c>
      <c r="J2356" s="266"/>
      <c r="K2356" s="1"/>
      <c r="L2356" s="1"/>
    </row>
    <row r="2357">
      <c r="A2357" s="266">
        <v>1500.0</v>
      </c>
      <c r="B2357" s="266"/>
      <c r="C2357" s="266">
        <v>5.0</v>
      </c>
      <c r="D2357" s="266" t="s">
        <v>8002</v>
      </c>
      <c r="E2357" s="266"/>
      <c r="F2357" s="266"/>
      <c r="G2357" s="266" t="s">
        <v>6304</v>
      </c>
      <c r="H2357" s="266" t="s">
        <v>558</v>
      </c>
      <c r="I2357" s="266" t="s">
        <v>6305</v>
      </c>
      <c r="J2357" s="266"/>
      <c r="K2357" s="1"/>
      <c r="L2357" s="1"/>
    </row>
    <row r="2358">
      <c r="A2358" s="266">
        <v>1600.0</v>
      </c>
      <c r="B2358" s="266"/>
      <c r="C2358" s="266">
        <v>5.0</v>
      </c>
      <c r="D2358" s="266" t="s">
        <v>8003</v>
      </c>
      <c r="E2358" s="266"/>
      <c r="F2358" s="266"/>
      <c r="G2358" s="266" t="s">
        <v>6304</v>
      </c>
      <c r="H2358" s="266" t="s">
        <v>555</v>
      </c>
      <c r="I2358" s="266"/>
      <c r="J2358" s="266"/>
      <c r="K2358" s="1"/>
      <c r="L2358" s="1"/>
    </row>
    <row r="2359">
      <c r="A2359" s="266">
        <v>1700.0</v>
      </c>
      <c r="B2359" s="266"/>
      <c r="C2359" s="266">
        <v>5.0</v>
      </c>
      <c r="D2359" s="266" t="s">
        <v>8004</v>
      </c>
      <c r="E2359" s="266"/>
      <c r="F2359" s="266"/>
      <c r="G2359" s="266" t="s">
        <v>6304</v>
      </c>
      <c r="H2359" s="266" t="s">
        <v>555</v>
      </c>
      <c r="I2359" s="266"/>
      <c r="J2359" s="266"/>
      <c r="K2359" s="1"/>
      <c r="L2359" s="1"/>
    </row>
    <row r="2360">
      <c r="A2360" s="266">
        <v>1800.0</v>
      </c>
      <c r="B2360" s="266"/>
      <c r="C2360" s="266">
        <v>5.0</v>
      </c>
      <c r="D2360" s="266" t="s">
        <v>8005</v>
      </c>
      <c r="E2360" s="266"/>
      <c r="F2360" s="266"/>
      <c r="G2360" s="266" t="s">
        <v>6304</v>
      </c>
      <c r="H2360" s="266" t="s">
        <v>555</v>
      </c>
      <c r="I2360" s="266"/>
      <c r="J2360" s="266"/>
      <c r="K2360" s="1"/>
      <c r="L2360" s="1"/>
    </row>
    <row r="2361">
      <c r="A2361" s="266">
        <v>1900.0</v>
      </c>
      <c r="B2361" s="266"/>
      <c r="C2361" s="266">
        <v>5.0</v>
      </c>
      <c r="D2361" s="266" t="s">
        <v>8006</v>
      </c>
      <c r="E2361" s="266"/>
      <c r="F2361" s="266"/>
      <c r="G2361" s="266" t="s">
        <v>6304</v>
      </c>
      <c r="H2361" s="266" t="s">
        <v>555</v>
      </c>
      <c r="I2361" s="266"/>
      <c r="J2361" s="266"/>
      <c r="K2361" s="1"/>
      <c r="L2361" s="1"/>
    </row>
    <row r="2362">
      <c r="A2362" s="266">
        <v>2000.0</v>
      </c>
      <c r="B2362" s="266"/>
      <c r="C2362" s="266">
        <v>5.0</v>
      </c>
      <c r="D2362" s="266" t="s">
        <v>8007</v>
      </c>
      <c r="E2362" s="266"/>
      <c r="F2362" s="266"/>
      <c r="G2362" s="266" t="s">
        <v>6304</v>
      </c>
      <c r="H2362" s="266" t="s">
        <v>555</v>
      </c>
      <c r="I2362" s="266"/>
      <c r="J2362" s="266"/>
      <c r="K2362" s="1"/>
      <c r="L2362" s="1"/>
    </row>
    <row r="2363">
      <c r="A2363" s="266">
        <v>2100.0</v>
      </c>
      <c r="B2363" s="266"/>
      <c r="C2363" s="266">
        <v>5.0</v>
      </c>
      <c r="D2363" s="266" t="s">
        <v>8008</v>
      </c>
      <c r="E2363" s="266"/>
      <c r="F2363" s="266"/>
      <c r="G2363" s="266" t="s">
        <v>6304</v>
      </c>
      <c r="H2363" s="266" t="s">
        <v>551</v>
      </c>
      <c r="I2363" s="266"/>
      <c r="J2363" s="266"/>
      <c r="K2363" s="1"/>
      <c r="L2363" s="1"/>
    </row>
    <row r="2364">
      <c r="A2364" s="266">
        <v>2200.0</v>
      </c>
      <c r="B2364" s="266"/>
      <c r="C2364" s="266">
        <v>5.0</v>
      </c>
      <c r="D2364" s="266" t="s">
        <v>8009</v>
      </c>
      <c r="E2364" s="266"/>
      <c r="F2364" s="266"/>
      <c r="G2364" s="266" t="s">
        <v>6304</v>
      </c>
      <c r="H2364" s="266" t="s">
        <v>555</v>
      </c>
      <c r="I2364" s="266"/>
      <c r="J2364" s="266"/>
      <c r="K2364" s="1"/>
      <c r="L2364" s="1"/>
    </row>
    <row r="2365">
      <c r="A2365" s="266">
        <v>2300.0</v>
      </c>
      <c r="B2365" s="266"/>
      <c r="C2365" s="266">
        <v>5.0</v>
      </c>
      <c r="D2365" s="266" t="s">
        <v>8010</v>
      </c>
      <c r="E2365" s="266"/>
      <c r="F2365" s="266"/>
      <c r="G2365" s="266" t="s">
        <v>6304</v>
      </c>
      <c r="H2365" s="266" t="s">
        <v>3795</v>
      </c>
      <c r="I2365" s="266"/>
      <c r="J2365" s="266"/>
      <c r="K2365" s="1"/>
      <c r="L2365" s="1"/>
    </row>
    <row r="2366">
      <c r="A2366" s="266">
        <v>50.0</v>
      </c>
      <c r="B2366" s="266">
        <v>1.0</v>
      </c>
      <c r="C2366" s="266"/>
      <c r="D2366" s="266" t="s">
        <v>8011</v>
      </c>
      <c r="E2366" s="266"/>
      <c r="F2366" s="266"/>
      <c r="G2366" s="266"/>
      <c r="H2366" s="266"/>
      <c r="I2366" s="266"/>
      <c r="J2366" s="267"/>
    </row>
    <row r="2367">
      <c r="A2367" s="266">
        <v>100.0</v>
      </c>
      <c r="B2367" s="266"/>
      <c r="C2367" s="266">
        <v>5.0</v>
      </c>
      <c r="D2367" s="266" t="s">
        <v>8012</v>
      </c>
      <c r="E2367" s="266"/>
      <c r="F2367" s="266"/>
      <c r="G2367" s="266" t="s">
        <v>6304</v>
      </c>
      <c r="H2367" s="266" t="s">
        <v>551</v>
      </c>
      <c r="I2367" s="266"/>
      <c r="J2367" s="266"/>
      <c r="K2367" s="1"/>
      <c r="L2367" s="1"/>
    </row>
    <row r="2368">
      <c r="A2368" s="266">
        <v>200.0</v>
      </c>
      <c r="B2368" s="266"/>
      <c r="C2368" s="266">
        <v>5.0</v>
      </c>
      <c r="D2368" s="266" t="s">
        <v>8013</v>
      </c>
      <c r="E2368" s="266"/>
      <c r="F2368" s="266"/>
      <c r="G2368" s="266" t="s">
        <v>6304</v>
      </c>
      <c r="H2368" s="266" t="s">
        <v>6777</v>
      </c>
      <c r="I2368" s="266" t="s">
        <v>6305</v>
      </c>
      <c r="J2368" s="266"/>
      <c r="K2368" s="1"/>
      <c r="L2368" s="1"/>
    </row>
    <row r="2369">
      <c r="A2369" s="266">
        <v>300.0</v>
      </c>
      <c r="B2369" s="266"/>
      <c r="C2369" s="266">
        <v>5.0</v>
      </c>
      <c r="D2369" s="266" t="s">
        <v>8014</v>
      </c>
      <c r="E2369" s="266"/>
      <c r="F2369" s="266"/>
      <c r="G2369" s="266" t="s">
        <v>6304</v>
      </c>
      <c r="H2369" s="266" t="s">
        <v>6777</v>
      </c>
      <c r="I2369" s="266" t="s">
        <v>6305</v>
      </c>
      <c r="J2369" s="266"/>
      <c r="K2369" s="1"/>
      <c r="L2369" s="1"/>
    </row>
    <row r="2370">
      <c r="A2370" s="266">
        <v>50.0</v>
      </c>
      <c r="B2370" s="266">
        <v>1.0</v>
      </c>
      <c r="C2370" s="266"/>
      <c r="D2370" s="266" t="s">
        <v>8015</v>
      </c>
      <c r="E2370" s="266"/>
      <c r="F2370" s="266"/>
      <c r="G2370" s="266"/>
      <c r="H2370" s="266"/>
      <c r="I2370" s="266"/>
      <c r="J2370" s="267"/>
    </row>
    <row r="2371">
      <c r="A2371" s="266">
        <v>100.0</v>
      </c>
      <c r="B2371" s="266"/>
      <c r="C2371" s="266">
        <v>5.0</v>
      </c>
      <c r="D2371" s="266" t="s">
        <v>8016</v>
      </c>
      <c r="E2371" s="266"/>
      <c r="F2371" s="266"/>
      <c r="G2371" s="266" t="s">
        <v>6304</v>
      </c>
      <c r="H2371" s="266" t="s">
        <v>6317</v>
      </c>
      <c r="I2371" s="266"/>
      <c r="J2371" s="266"/>
      <c r="K2371" s="1"/>
      <c r="L2371" s="1"/>
    </row>
    <row r="2372">
      <c r="A2372" s="266">
        <v>200.0</v>
      </c>
      <c r="B2372" s="266"/>
      <c r="C2372" s="266">
        <v>5.0</v>
      </c>
      <c r="D2372" s="266" t="s">
        <v>8017</v>
      </c>
      <c r="E2372" s="266" t="s">
        <v>6479</v>
      </c>
      <c r="F2372" s="266">
        <v>3.0</v>
      </c>
      <c r="G2372" s="266"/>
      <c r="H2372" s="266"/>
      <c r="I2372" s="266"/>
      <c r="J2372" s="267"/>
    </row>
    <row r="2373">
      <c r="A2373" s="266">
        <v>300.0</v>
      </c>
      <c r="B2373" s="266"/>
      <c r="C2373" s="266">
        <v>10.0</v>
      </c>
      <c r="D2373" s="266" t="s">
        <v>8018</v>
      </c>
      <c r="E2373" s="266"/>
      <c r="F2373" s="266"/>
      <c r="G2373" s="266" t="s">
        <v>6304</v>
      </c>
      <c r="H2373" s="266" t="s">
        <v>544</v>
      </c>
      <c r="I2373" s="266" t="s">
        <v>6305</v>
      </c>
      <c r="J2373" s="266"/>
      <c r="K2373" s="1"/>
      <c r="L2373" s="1"/>
    </row>
    <row r="2374">
      <c r="A2374" s="266">
        <v>400.0</v>
      </c>
      <c r="B2374" s="266"/>
      <c r="C2374" s="266">
        <v>10.0</v>
      </c>
      <c r="D2374" s="266" t="s">
        <v>8019</v>
      </c>
      <c r="E2374" s="266"/>
      <c r="F2374" s="266"/>
      <c r="G2374" s="266" t="s">
        <v>6304</v>
      </c>
      <c r="H2374" s="266" t="s">
        <v>558</v>
      </c>
      <c r="I2374" s="266" t="s">
        <v>6305</v>
      </c>
      <c r="J2374" s="266"/>
      <c r="K2374" s="1"/>
      <c r="L2374" s="1"/>
    </row>
    <row r="2375">
      <c r="A2375" s="266">
        <v>500.0</v>
      </c>
      <c r="B2375" s="266"/>
      <c r="C2375" s="266">
        <v>10.0</v>
      </c>
      <c r="D2375" s="266" t="s">
        <v>8020</v>
      </c>
      <c r="E2375" s="266"/>
      <c r="F2375" s="266"/>
      <c r="G2375" s="266" t="s">
        <v>6304</v>
      </c>
      <c r="H2375" s="266" t="s">
        <v>544</v>
      </c>
      <c r="I2375" s="266" t="s">
        <v>6305</v>
      </c>
      <c r="J2375" s="266"/>
      <c r="K2375" s="1"/>
      <c r="L2375" s="1"/>
    </row>
    <row r="2376">
      <c r="A2376" s="266">
        <v>600.0</v>
      </c>
      <c r="B2376" s="266"/>
      <c r="C2376" s="266">
        <v>10.0</v>
      </c>
      <c r="D2376" s="266" t="s">
        <v>8021</v>
      </c>
      <c r="E2376" s="266"/>
      <c r="F2376" s="266"/>
      <c r="G2376" s="266" t="s">
        <v>6304</v>
      </c>
      <c r="H2376" s="266" t="s">
        <v>5155</v>
      </c>
      <c r="I2376" s="266" t="s">
        <v>6305</v>
      </c>
      <c r="J2376" s="266"/>
      <c r="K2376" s="1"/>
      <c r="L2376" s="1"/>
    </row>
    <row r="2377">
      <c r="A2377" s="266">
        <v>700.0</v>
      </c>
      <c r="B2377" s="266"/>
      <c r="C2377" s="266">
        <v>10.0</v>
      </c>
      <c r="D2377" s="266" t="s">
        <v>8022</v>
      </c>
      <c r="E2377" s="266"/>
      <c r="F2377" s="266"/>
      <c r="G2377" s="266" t="s">
        <v>6304</v>
      </c>
      <c r="H2377" s="266" t="s">
        <v>6777</v>
      </c>
      <c r="I2377" s="266" t="s">
        <v>6305</v>
      </c>
      <c r="J2377" s="266"/>
      <c r="K2377" s="1"/>
      <c r="L2377" s="1"/>
    </row>
    <row r="2378">
      <c r="A2378" s="266">
        <v>800.0</v>
      </c>
      <c r="B2378" s="266"/>
      <c r="C2378" s="266">
        <v>10.0</v>
      </c>
      <c r="D2378" s="266" t="s">
        <v>8023</v>
      </c>
      <c r="E2378" s="266"/>
      <c r="F2378" s="266"/>
      <c r="G2378" s="266" t="s">
        <v>6304</v>
      </c>
      <c r="H2378" s="266" t="s">
        <v>5155</v>
      </c>
      <c r="I2378" s="266" t="s">
        <v>6305</v>
      </c>
      <c r="J2378" s="266"/>
      <c r="K2378" s="1"/>
      <c r="L2378" s="1"/>
    </row>
    <row r="2379">
      <c r="A2379" s="266">
        <v>900.0</v>
      </c>
      <c r="B2379" s="266"/>
      <c r="C2379" s="266">
        <v>10.0</v>
      </c>
      <c r="D2379" s="266" t="s">
        <v>8024</v>
      </c>
      <c r="E2379" s="266"/>
      <c r="F2379" s="266"/>
      <c r="G2379" s="266" t="s">
        <v>6304</v>
      </c>
      <c r="H2379" s="266" t="s">
        <v>4104</v>
      </c>
      <c r="I2379" s="266" t="s">
        <v>6305</v>
      </c>
      <c r="J2379" s="266"/>
      <c r="K2379" s="1"/>
      <c r="L2379" s="1"/>
    </row>
    <row r="2380">
      <c r="A2380" s="266">
        <v>1000.0</v>
      </c>
      <c r="B2380" s="266"/>
      <c r="C2380" s="266">
        <v>5.0</v>
      </c>
      <c r="D2380" s="266" t="s">
        <v>6306</v>
      </c>
      <c r="E2380" s="266"/>
      <c r="F2380" s="266"/>
      <c r="G2380" s="266" t="s">
        <v>6304</v>
      </c>
      <c r="H2380" s="266" t="s">
        <v>6743</v>
      </c>
      <c r="I2380" s="266"/>
      <c r="J2380" s="266"/>
      <c r="K2380" s="1"/>
      <c r="L2380" s="1"/>
    </row>
    <row r="2381">
      <c r="A2381" s="266">
        <v>50.0</v>
      </c>
      <c r="B2381" s="266">
        <v>1.0</v>
      </c>
      <c r="C2381" s="266"/>
      <c r="D2381" s="266" t="s">
        <v>8025</v>
      </c>
      <c r="E2381" s="266"/>
      <c r="F2381" s="266"/>
      <c r="G2381" s="266"/>
      <c r="H2381" s="266"/>
      <c r="I2381" s="266"/>
      <c r="J2381" s="267"/>
    </row>
    <row r="2382">
      <c r="A2382" s="266">
        <v>100.0</v>
      </c>
      <c r="B2382" s="266"/>
      <c r="C2382" s="266">
        <v>5.0</v>
      </c>
      <c r="D2382" s="266" t="s">
        <v>8026</v>
      </c>
      <c r="E2382" s="266"/>
      <c r="F2382" s="266"/>
      <c r="G2382" s="266" t="s">
        <v>6304</v>
      </c>
      <c r="H2382" s="266" t="s">
        <v>555</v>
      </c>
      <c r="I2382" s="266"/>
      <c r="J2382" s="266"/>
      <c r="K2382" s="1"/>
      <c r="L2382" s="1"/>
    </row>
    <row r="2383">
      <c r="A2383" s="266">
        <v>200.0</v>
      </c>
      <c r="B2383" s="266"/>
      <c r="C2383" s="266">
        <v>5.0</v>
      </c>
      <c r="D2383" s="266" t="s">
        <v>8027</v>
      </c>
      <c r="E2383" s="266"/>
      <c r="F2383" s="266"/>
      <c r="G2383" s="266" t="s">
        <v>6304</v>
      </c>
      <c r="H2383" s="266" t="s">
        <v>7</v>
      </c>
      <c r="I2383" s="266" t="s">
        <v>6305</v>
      </c>
      <c r="J2383" s="266"/>
      <c r="K2383" s="1"/>
      <c r="L2383" s="1"/>
    </row>
    <row r="2384">
      <c r="A2384" s="266">
        <v>300.0</v>
      </c>
      <c r="B2384" s="266"/>
      <c r="C2384" s="266">
        <v>5.0</v>
      </c>
      <c r="D2384" s="266" t="s">
        <v>8028</v>
      </c>
      <c r="E2384" s="266"/>
      <c r="F2384" s="266"/>
      <c r="G2384" s="266" t="s">
        <v>6304</v>
      </c>
      <c r="H2384" s="266" t="s">
        <v>6580</v>
      </c>
      <c r="I2384" s="266" t="s">
        <v>6305</v>
      </c>
      <c r="J2384" s="266"/>
      <c r="K2384" s="1"/>
      <c r="L2384" s="1"/>
    </row>
    <row r="2385">
      <c r="A2385" s="266">
        <v>400.0</v>
      </c>
      <c r="B2385" s="266"/>
      <c r="C2385" s="266">
        <v>5.0</v>
      </c>
      <c r="D2385" s="266" t="s">
        <v>6306</v>
      </c>
      <c r="E2385" s="266"/>
      <c r="F2385" s="266"/>
      <c r="G2385" s="266" t="s">
        <v>6304</v>
      </c>
      <c r="H2385" s="266" t="s">
        <v>17</v>
      </c>
      <c r="I2385" s="266"/>
      <c r="J2385" s="266"/>
      <c r="K2385" s="1"/>
      <c r="L2385" s="1"/>
    </row>
    <row r="2386">
      <c r="A2386" s="266">
        <v>50.0</v>
      </c>
      <c r="B2386" s="266">
        <v>1.0</v>
      </c>
      <c r="C2386" s="266"/>
      <c r="D2386" s="266" t="s">
        <v>8029</v>
      </c>
      <c r="E2386" s="266"/>
      <c r="F2386" s="266"/>
      <c r="G2386" s="266"/>
      <c r="H2386" s="266"/>
      <c r="I2386" s="266"/>
      <c r="J2386" s="267"/>
    </row>
    <row r="2387">
      <c r="A2387" s="266">
        <v>100.0</v>
      </c>
      <c r="B2387" s="266"/>
      <c r="C2387" s="266">
        <v>5.0</v>
      </c>
      <c r="D2387" s="266" t="s">
        <v>8030</v>
      </c>
      <c r="E2387" s="266"/>
      <c r="F2387" s="266"/>
      <c r="G2387" s="266" t="s">
        <v>6304</v>
      </c>
      <c r="H2387" s="266" t="s">
        <v>552</v>
      </c>
      <c r="I2387" s="266"/>
      <c r="J2387" s="266"/>
      <c r="K2387" s="1"/>
      <c r="L2387" s="1"/>
    </row>
    <row r="2388">
      <c r="A2388" s="266">
        <v>200.0</v>
      </c>
      <c r="B2388" s="266"/>
      <c r="C2388" s="266">
        <v>5.0</v>
      </c>
      <c r="D2388" s="266" t="s">
        <v>8031</v>
      </c>
      <c r="E2388" s="266"/>
      <c r="F2388" s="266"/>
      <c r="G2388" s="266" t="s">
        <v>6304</v>
      </c>
      <c r="H2388" s="266" t="s">
        <v>6580</v>
      </c>
      <c r="I2388" s="266" t="s">
        <v>6305</v>
      </c>
      <c r="J2388" s="266"/>
      <c r="K2388" s="1"/>
      <c r="L2388" s="1"/>
    </row>
    <row r="2389">
      <c r="A2389" s="266">
        <v>300.0</v>
      </c>
      <c r="B2389" s="266"/>
      <c r="C2389" s="266">
        <v>5.0</v>
      </c>
      <c r="D2389" s="266" t="s">
        <v>8032</v>
      </c>
      <c r="E2389" s="266"/>
      <c r="F2389" s="266"/>
      <c r="G2389" s="266" t="s">
        <v>6304</v>
      </c>
      <c r="H2389" s="266" t="s">
        <v>6580</v>
      </c>
      <c r="I2389" s="266" t="s">
        <v>6305</v>
      </c>
      <c r="J2389" s="266"/>
      <c r="K2389" s="1"/>
      <c r="L2389" s="1"/>
    </row>
    <row r="2390">
      <c r="A2390" s="266">
        <v>400.0</v>
      </c>
      <c r="B2390" s="266"/>
      <c r="C2390" s="266">
        <v>5.0</v>
      </c>
      <c r="D2390" s="266" t="s">
        <v>8033</v>
      </c>
      <c r="E2390" s="266"/>
      <c r="F2390" s="266"/>
      <c r="G2390" s="266" t="s">
        <v>6304</v>
      </c>
      <c r="H2390" s="266" t="s">
        <v>6580</v>
      </c>
      <c r="I2390" s="266" t="s">
        <v>6305</v>
      </c>
      <c r="J2390" s="266"/>
      <c r="K2390" s="1"/>
      <c r="L2390" s="1"/>
    </row>
    <row r="2391">
      <c r="A2391" s="266">
        <v>500.0</v>
      </c>
      <c r="B2391" s="266"/>
      <c r="C2391" s="266">
        <v>5.0</v>
      </c>
      <c r="D2391" s="266" t="s">
        <v>8034</v>
      </c>
      <c r="E2391" s="266"/>
      <c r="F2391" s="266"/>
      <c r="G2391" s="266" t="s">
        <v>6304</v>
      </c>
      <c r="H2391" s="266" t="s">
        <v>560</v>
      </c>
      <c r="I2391" s="266"/>
      <c r="J2391" s="266"/>
      <c r="K2391" s="1"/>
      <c r="L2391" s="1"/>
    </row>
    <row r="2392">
      <c r="A2392" s="266">
        <v>600.0</v>
      </c>
      <c r="B2392" s="266"/>
      <c r="C2392" s="266">
        <v>5.0</v>
      </c>
      <c r="D2392" s="266" t="s">
        <v>8035</v>
      </c>
      <c r="E2392" s="266"/>
      <c r="F2392" s="266"/>
      <c r="G2392" s="266" t="s">
        <v>6304</v>
      </c>
      <c r="H2392" s="266" t="s">
        <v>560</v>
      </c>
      <c r="I2392" s="266"/>
      <c r="J2392" s="266"/>
      <c r="K2392" s="1"/>
      <c r="L2392" s="1"/>
    </row>
    <row r="2393">
      <c r="A2393" s="266">
        <v>700.0</v>
      </c>
      <c r="B2393" s="266"/>
      <c r="C2393" s="266">
        <v>5.0</v>
      </c>
      <c r="D2393" s="266" t="s">
        <v>8036</v>
      </c>
      <c r="E2393" s="266"/>
      <c r="F2393" s="266"/>
      <c r="G2393" s="266" t="s">
        <v>6304</v>
      </c>
      <c r="H2393" s="266" t="s">
        <v>560</v>
      </c>
      <c r="I2393" s="266"/>
      <c r="J2393" s="266"/>
      <c r="K2393" s="1"/>
      <c r="L2393" s="1"/>
    </row>
    <row r="2394">
      <c r="A2394" s="266">
        <v>800.0</v>
      </c>
      <c r="B2394" s="266"/>
      <c r="C2394" s="266">
        <v>5.0</v>
      </c>
      <c r="D2394" s="266" t="s">
        <v>8037</v>
      </c>
      <c r="E2394" s="266"/>
      <c r="F2394" s="266"/>
      <c r="G2394" s="266" t="s">
        <v>6304</v>
      </c>
      <c r="H2394" s="266" t="s">
        <v>560</v>
      </c>
      <c r="I2394" s="266"/>
      <c r="J2394" s="266"/>
      <c r="K2394" s="1"/>
      <c r="L2394" s="1"/>
    </row>
    <row r="2395">
      <c r="A2395" s="266">
        <v>900.0</v>
      </c>
      <c r="B2395" s="266"/>
      <c r="C2395" s="266">
        <v>5.0</v>
      </c>
      <c r="D2395" s="266" t="s">
        <v>8038</v>
      </c>
      <c r="E2395" s="266"/>
      <c r="F2395" s="266"/>
      <c r="G2395" s="266" t="s">
        <v>6304</v>
      </c>
      <c r="H2395" s="266" t="s">
        <v>6580</v>
      </c>
      <c r="I2395" s="266" t="s">
        <v>6305</v>
      </c>
      <c r="J2395" s="266"/>
      <c r="K2395" s="1"/>
      <c r="L2395" s="1"/>
    </row>
    <row r="2396">
      <c r="A2396" s="266">
        <v>1000.0</v>
      </c>
      <c r="B2396" s="266"/>
      <c r="C2396" s="266">
        <v>5.0</v>
      </c>
      <c r="D2396" s="266" t="s">
        <v>8039</v>
      </c>
      <c r="E2396" s="266"/>
      <c r="F2396" s="266"/>
      <c r="G2396" s="266" t="s">
        <v>6304</v>
      </c>
      <c r="H2396" s="266" t="s">
        <v>6580</v>
      </c>
      <c r="I2396" s="266" t="s">
        <v>6305</v>
      </c>
      <c r="J2396" s="266"/>
      <c r="K2396" s="1"/>
      <c r="L2396" s="1"/>
    </row>
    <row r="2397">
      <c r="A2397" s="266">
        <v>1100.0</v>
      </c>
      <c r="B2397" s="266"/>
      <c r="C2397" s="266">
        <v>5.0</v>
      </c>
      <c r="D2397" s="266" t="s">
        <v>8040</v>
      </c>
      <c r="E2397" s="266"/>
      <c r="F2397" s="266"/>
      <c r="G2397" s="266" t="s">
        <v>6304</v>
      </c>
      <c r="H2397" s="266" t="s">
        <v>6580</v>
      </c>
      <c r="I2397" s="266" t="s">
        <v>6305</v>
      </c>
      <c r="J2397" s="266"/>
      <c r="K2397" s="1"/>
      <c r="L2397" s="1"/>
    </row>
    <row r="2398">
      <c r="A2398" s="266">
        <v>1200.0</v>
      </c>
      <c r="B2398" s="266"/>
      <c r="C2398" s="266">
        <v>5.0</v>
      </c>
      <c r="D2398" s="266" t="s">
        <v>8041</v>
      </c>
      <c r="E2398" s="266"/>
      <c r="F2398" s="266"/>
      <c r="G2398" s="266" t="s">
        <v>6304</v>
      </c>
      <c r="H2398" s="266" t="s">
        <v>6580</v>
      </c>
      <c r="I2398" s="266" t="s">
        <v>6305</v>
      </c>
      <c r="J2398" s="266"/>
      <c r="K2398" s="1"/>
      <c r="L2398" s="1"/>
    </row>
    <row r="2399">
      <c r="A2399" s="266">
        <v>1300.0</v>
      </c>
      <c r="B2399" s="266"/>
      <c r="C2399" s="266">
        <v>5.0</v>
      </c>
      <c r="D2399" s="266" t="s">
        <v>8042</v>
      </c>
      <c r="E2399" s="266"/>
      <c r="F2399" s="266"/>
      <c r="G2399" s="266" t="s">
        <v>6304</v>
      </c>
      <c r="H2399" s="266" t="s">
        <v>6580</v>
      </c>
      <c r="I2399" s="266" t="s">
        <v>6305</v>
      </c>
      <c r="J2399" s="266"/>
      <c r="K2399" s="1"/>
      <c r="L2399" s="1"/>
    </row>
    <row r="2400">
      <c r="A2400" s="266">
        <v>1400.0</v>
      </c>
      <c r="B2400" s="266"/>
      <c r="C2400" s="266">
        <v>5.0</v>
      </c>
      <c r="D2400" s="266" t="s">
        <v>8043</v>
      </c>
      <c r="E2400" s="266"/>
      <c r="F2400" s="266"/>
      <c r="G2400" s="266" t="s">
        <v>6304</v>
      </c>
      <c r="H2400" s="266" t="s">
        <v>6580</v>
      </c>
      <c r="I2400" s="266" t="s">
        <v>6305</v>
      </c>
      <c r="J2400" s="266"/>
      <c r="K2400" s="1"/>
      <c r="L2400" s="1"/>
    </row>
    <row r="2401">
      <c r="A2401" s="266">
        <v>1500.0</v>
      </c>
      <c r="B2401" s="266"/>
      <c r="C2401" s="266">
        <v>5.0</v>
      </c>
      <c r="D2401" s="266" t="s">
        <v>8044</v>
      </c>
      <c r="E2401" s="266"/>
      <c r="F2401" s="266"/>
      <c r="G2401" s="266" t="s">
        <v>6304</v>
      </c>
      <c r="H2401" s="266" t="s">
        <v>6580</v>
      </c>
      <c r="I2401" s="266" t="s">
        <v>6305</v>
      </c>
      <c r="J2401" s="266"/>
      <c r="K2401" s="1"/>
      <c r="L2401" s="1"/>
    </row>
    <row r="2402">
      <c r="A2402" s="266">
        <v>1600.0</v>
      </c>
      <c r="B2402" s="266"/>
      <c r="C2402" s="266">
        <v>5.0</v>
      </c>
      <c r="D2402" s="266" t="s">
        <v>7725</v>
      </c>
      <c r="E2402" s="266"/>
      <c r="F2402" s="266"/>
      <c r="G2402" s="266" t="s">
        <v>6304</v>
      </c>
      <c r="H2402" s="266" t="s">
        <v>560</v>
      </c>
      <c r="I2402" s="266"/>
      <c r="J2402" s="266"/>
      <c r="K2402" s="1"/>
      <c r="L2402" s="1"/>
    </row>
    <row r="2403">
      <c r="A2403" s="266">
        <v>1700.0</v>
      </c>
      <c r="B2403" s="266"/>
      <c r="C2403" s="266">
        <v>5.0</v>
      </c>
      <c r="D2403" s="266" t="s">
        <v>8045</v>
      </c>
      <c r="E2403" s="266"/>
      <c r="F2403" s="266"/>
      <c r="G2403" s="266" t="s">
        <v>6304</v>
      </c>
      <c r="H2403" s="266" t="s">
        <v>6580</v>
      </c>
      <c r="I2403" s="266" t="s">
        <v>6305</v>
      </c>
      <c r="J2403" s="266"/>
      <c r="K2403" s="1"/>
      <c r="L2403" s="1"/>
    </row>
    <row r="2404">
      <c r="A2404" s="266">
        <v>1800.0</v>
      </c>
      <c r="B2404" s="266"/>
      <c r="C2404" s="266">
        <v>5.0</v>
      </c>
      <c r="D2404" s="266" t="s">
        <v>8046</v>
      </c>
      <c r="E2404" s="266"/>
      <c r="F2404" s="266"/>
      <c r="G2404" s="266" t="s">
        <v>6304</v>
      </c>
      <c r="H2404" s="266" t="s">
        <v>6580</v>
      </c>
      <c r="I2404" s="266" t="s">
        <v>6305</v>
      </c>
      <c r="J2404" s="266"/>
      <c r="K2404" s="1"/>
      <c r="L2404" s="1"/>
    </row>
    <row r="2405">
      <c r="A2405" s="266">
        <v>1900.0</v>
      </c>
      <c r="B2405" s="266"/>
      <c r="C2405" s="266">
        <v>5.0</v>
      </c>
      <c r="D2405" s="266" t="s">
        <v>7723</v>
      </c>
      <c r="E2405" s="266"/>
      <c r="F2405" s="266"/>
      <c r="G2405" s="266" t="s">
        <v>6304</v>
      </c>
      <c r="H2405" s="266" t="s">
        <v>557</v>
      </c>
      <c r="I2405" s="266"/>
      <c r="J2405" s="266"/>
      <c r="K2405" s="1"/>
      <c r="L2405" s="1"/>
    </row>
    <row r="2406">
      <c r="A2406" s="266">
        <v>2000.0</v>
      </c>
      <c r="B2406" s="266"/>
      <c r="C2406" s="266">
        <v>5.0</v>
      </c>
      <c r="D2406" s="266" t="s">
        <v>7180</v>
      </c>
      <c r="E2406" s="266"/>
      <c r="F2406" s="266"/>
      <c r="G2406" s="266" t="s">
        <v>6304</v>
      </c>
      <c r="H2406" s="266" t="s">
        <v>555</v>
      </c>
      <c r="I2406" s="266"/>
      <c r="J2406" s="266"/>
      <c r="K2406" s="1"/>
      <c r="L2406" s="1"/>
    </row>
    <row r="2407">
      <c r="A2407" s="266">
        <v>2100.0</v>
      </c>
      <c r="B2407" s="266"/>
      <c r="C2407" s="266">
        <v>5.0</v>
      </c>
      <c r="D2407" s="266" t="s">
        <v>8047</v>
      </c>
      <c r="E2407" s="266"/>
      <c r="F2407" s="266"/>
      <c r="G2407" s="266" t="s">
        <v>6304</v>
      </c>
      <c r="H2407" s="266" t="s">
        <v>6580</v>
      </c>
      <c r="I2407" s="266" t="s">
        <v>6305</v>
      </c>
      <c r="J2407" s="266"/>
      <c r="K2407" s="1"/>
      <c r="L2407" s="1"/>
    </row>
    <row r="2408">
      <c r="A2408" s="266">
        <v>2200.0</v>
      </c>
      <c r="B2408" s="266"/>
      <c r="C2408" s="266">
        <v>5.0</v>
      </c>
      <c r="D2408" s="266" t="s">
        <v>6306</v>
      </c>
      <c r="E2408" s="266"/>
      <c r="F2408" s="266"/>
      <c r="G2408" s="266" t="s">
        <v>6304</v>
      </c>
      <c r="H2408" s="266" t="s">
        <v>7101</v>
      </c>
      <c r="I2408" s="266"/>
      <c r="J2408" s="266"/>
      <c r="K2408" s="1"/>
      <c r="L2408" s="1"/>
    </row>
    <row r="2409">
      <c r="A2409" s="266">
        <v>50.0</v>
      </c>
      <c r="B2409" s="266">
        <v>1.0</v>
      </c>
      <c r="C2409" s="266"/>
      <c r="D2409" s="266" t="s">
        <v>8048</v>
      </c>
      <c r="E2409" s="266"/>
      <c r="F2409" s="266"/>
      <c r="G2409" s="266"/>
      <c r="H2409" s="266"/>
      <c r="I2409" s="266"/>
      <c r="J2409" s="267"/>
    </row>
    <row r="2410">
      <c r="A2410" s="266">
        <v>100.0</v>
      </c>
      <c r="B2410" s="266"/>
      <c r="C2410" s="266">
        <v>5.0</v>
      </c>
      <c r="D2410" s="266" t="s">
        <v>6838</v>
      </c>
      <c r="E2410" s="266"/>
      <c r="F2410" s="266"/>
      <c r="G2410" s="266" t="s">
        <v>6304</v>
      </c>
      <c r="H2410" s="266" t="s">
        <v>552</v>
      </c>
      <c r="I2410" s="266"/>
      <c r="J2410" s="266"/>
      <c r="K2410" s="1"/>
      <c r="L2410" s="1"/>
    </row>
    <row r="2411">
      <c r="A2411" s="266">
        <v>200.0</v>
      </c>
      <c r="B2411" s="266"/>
      <c r="C2411" s="266">
        <v>5.0</v>
      </c>
      <c r="D2411" s="266" t="s">
        <v>6306</v>
      </c>
      <c r="E2411" s="266"/>
      <c r="F2411" s="266"/>
      <c r="G2411" s="266" t="s">
        <v>6304</v>
      </c>
      <c r="H2411" s="266" t="s">
        <v>8049</v>
      </c>
      <c r="I2411" s="266"/>
      <c r="J2411" s="266"/>
      <c r="K2411" s="1"/>
      <c r="L2411" s="1"/>
    </row>
    <row r="2412">
      <c r="A2412" s="266">
        <v>50.0</v>
      </c>
      <c r="B2412" s="266">
        <v>1.0</v>
      </c>
      <c r="C2412" s="266"/>
      <c r="D2412" s="266" t="s">
        <v>8050</v>
      </c>
      <c r="E2412" s="266"/>
      <c r="F2412" s="266"/>
      <c r="G2412" s="266"/>
      <c r="H2412" s="266"/>
      <c r="I2412" s="266"/>
      <c r="J2412" s="267"/>
    </row>
    <row r="2413">
      <c r="A2413" s="266">
        <v>100.0</v>
      </c>
      <c r="B2413" s="266"/>
      <c r="C2413" s="266">
        <v>5.0</v>
      </c>
      <c r="D2413" s="266" t="s">
        <v>7061</v>
      </c>
      <c r="E2413" s="266"/>
      <c r="F2413" s="266"/>
      <c r="G2413" s="266" t="s">
        <v>6304</v>
      </c>
      <c r="H2413" s="266" t="s">
        <v>551</v>
      </c>
      <c r="I2413" s="266"/>
      <c r="J2413" s="266"/>
      <c r="K2413" s="1"/>
      <c r="L2413" s="1"/>
    </row>
    <row r="2414">
      <c r="A2414" s="266">
        <v>200.0</v>
      </c>
      <c r="B2414" s="266"/>
      <c r="C2414" s="266">
        <v>5.0</v>
      </c>
      <c r="D2414" s="266" t="s">
        <v>7808</v>
      </c>
      <c r="E2414" s="266"/>
      <c r="F2414" s="266"/>
      <c r="G2414" s="266" t="s">
        <v>6304</v>
      </c>
      <c r="H2414" s="266" t="s">
        <v>551</v>
      </c>
      <c r="I2414" s="266"/>
      <c r="J2414" s="266"/>
      <c r="K2414" s="1"/>
      <c r="L2414" s="1"/>
    </row>
    <row r="2415">
      <c r="A2415" s="266">
        <v>300.0</v>
      </c>
      <c r="B2415" s="266"/>
      <c r="C2415" s="266">
        <v>5.0</v>
      </c>
      <c r="D2415" s="266" t="s">
        <v>8051</v>
      </c>
      <c r="E2415" s="266"/>
      <c r="F2415" s="266"/>
      <c r="G2415" s="266" t="s">
        <v>6304</v>
      </c>
      <c r="H2415" s="266" t="s">
        <v>6814</v>
      </c>
      <c r="I2415" s="266"/>
      <c r="J2415" s="266"/>
      <c r="K2415" s="1"/>
      <c r="L2415" s="1"/>
    </row>
    <row r="2416">
      <c r="A2416" s="266">
        <v>400.0</v>
      </c>
      <c r="B2416" s="266"/>
      <c r="C2416" s="266">
        <v>5.0</v>
      </c>
      <c r="D2416" s="266" t="s">
        <v>7069</v>
      </c>
      <c r="E2416" s="266"/>
      <c r="F2416" s="266"/>
      <c r="G2416" s="266" t="s">
        <v>6304</v>
      </c>
      <c r="H2416" s="266" t="s">
        <v>7048</v>
      </c>
      <c r="I2416" s="266"/>
      <c r="J2416" s="266"/>
      <c r="K2416" s="1"/>
      <c r="L2416" s="1"/>
    </row>
    <row r="2417">
      <c r="A2417" s="266">
        <v>500.0</v>
      </c>
      <c r="B2417" s="266"/>
      <c r="C2417" s="266">
        <v>5.0</v>
      </c>
      <c r="D2417" s="266" t="s">
        <v>7068</v>
      </c>
      <c r="E2417" s="266"/>
      <c r="F2417" s="266"/>
      <c r="G2417" s="266" t="s">
        <v>6304</v>
      </c>
      <c r="H2417" s="266" t="s">
        <v>607</v>
      </c>
      <c r="I2417" s="266"/>
      <c r="J2417" s="266"/>
      <c r="K2417" s="1"/>
      <c r="L2417" s="1"/>
    </row>
    <row r="2418">
      <c r="A2418" s="266">
        <v>600.0</v>
      </c>
      <c r="B2418" s="266"/>
      <c r="C2418" s="266">
        <v>5.0</v>
      </c>
      <c r="D2418" s="266" t="s">
        <v>8052</v>
      </c>
      <c r="E2418" s="266"/>
      <c r="F2418" s="266"/>
      <c r="G2418" s="266" t="s">
        <v>6304</v>
      </c>
      <c r="H2418" s="266" t="s">
        <v>552</v>
      </c>
      <c r="I2418" s="266"/>
      <c r="J2418" s="266"/>
      <c r="K2418" s="1"/>
      <c r="L2418" s="1"/>
    </row>
    <row r="2419">
      <c r="A2419" s="266">
        <v>700.0</v>
      </c>
      <c r="B2419" s="266"/>
      <c r="C2419" s="266">
        <v>5.0</v>
      </c>
      <c r="D2419" s="266" t="s">
        <v>8053</v>
      </c>
      <c r="E2419" s="266"/>
      <c r="F2419" s="266"/>
      <c r="G2419" s="266" t="s">
        <v>6304</v>
      </c>
      <c r="H2419" s="266" t="s">
        <v>552</v>
      </c>
      <c r="I2419" s="266"/>
      <c r="J2419" s="266"/>
      <c r="K2419" s="1"/>
      <c r="L2419" s="1"/>
    </row>
    <row r="2420">
      <c r="A2420" s="266">
        <v>800.0</v>
      </c>
      <c r="B2420" s="266"/>
      <c r="C2420" s="266">
        <v>5.0</v>
      </c>
      <c r="D2420" s="266" t="s">
        <v>6306</v>
      </c>
      <c r="E2420" s="266"/>
      <c r="F2420" s="266"/>
      <c r="G2420" s="266" t="s">
        <v>6304</v>
      </c>
      <c r="H2420" s="266" t="s">
        <v>15</v>
      </c>
      <c r="I2420" s="266"/>
      <c r="J2420" s="266"/>
      <c r="K2420" s="1"/>
      <c r="L2420" s="1"/>
    </row>
    <row r="2421">
      <c r="A2421" s="266">
        <v>50.0</v>
      </c>
      <c r="B2421" s="266">
        <v>1.0</v>
      </c>
      <c r="C2421" s="266"/>
      <c r="D2421" s="266" t="s">
        <v>8054</v>
      </c>
      <c r="E2421" s="266"/>
      <c r="F2421" s="266"/>
      <c r="G2421" s="266"/>
      <c r="H2421" s="266"/>
      <c r="I2421" s="266"/>
      <c r="J2421" s="267"/>
    </row>
    <row r="2422">
      <c r="A2422" s="266">
        <v>100.0</v>
      </c>
      <c r="B2422" s="266"/>
      <c r="C2422" s="266">
        <v>5.0</v>
      </c>
      <c r="D2422" s="266" t="s">
        <v>8055</v>
      </c>
      <c r="E2422" s="266"/>
      <c r="F2422" s="266"/>
      <c r="G2422" s="266" t="s">
        <v>6304</v>
      </c>
      <c r="H2422" s="266" t="s">
        <v>552</v>
      </c>
      <c r="I2422" s="266"/>
      <c r="J2422" s="266"/>
      <c r="K2422" s="1"/>
      <c r="L2422" s="1"/>
    </row>
    <row r="2423">
      <c r="A2423" s="266">
        <v>200.0</v>
      </c>
      <c r="B2423" s="266"/>
      <c r="C2423" s="266">
        <v>5.0</v>
      </c>
      <c r="D2423" s="266" t="s">
        <v>8056</v>
      </c>
      <c r="E2423" s="266"/>
      <c r="F2423" s="266"/>
      <c r="G2423" s="266" t="s">
        <v>6304</v>
      </c>
      <c r="H2423" s="266" t="s">
        <v>552</v>
      </c>
      <c r="I2423" s="266"/>
      <c r="J2423" s="266"/>
      <c r="K2423" s="1"/>
      <c r="L2423" s="1"/>
    </row>
    <row r="2424">
      <c r="A2424" s="266">
        <v>300.0</v>
      </c>
      <c r="B2424" s="266"/>
      <c r="C2424" s="266">
        <v>5.0</v>
      </c>
      <c r="D2424" s="266" t="s">
        <v>8057</v>
      </c>
      <c r="E2424" s="266"/>
      <c r="F2424" s="266"/>
      <c r="G2424" s="266" t="s">
        <v>6304</v>
      </c>
      <c r="H2424" s="266" t="s">
        <v>552</v>
      </c>
      <c r="I2424" s="266"/>
      <c r="J2424" s="266"/>
      <c r="K2424" s="1"/>
      <c r="L2424" s="1"/>
    </row>
    <row r="2425">
      <c r="A2425" s="266">
        <v>400.0</v>
      </c>
      <c r="B2425" s="266"/>
      <c r="C2425" s="266">
        <v>5.0</v>
      </c>
      <c r="D2425" s="266" t="s">
        <v>8058</v>
      </c>
      <c r="E2425" s="266"/>
      <c r="F2425" s="266"/>
      <c r="G2425" s="266" t="s">
        <v>6304</v>
      </c>
      <c r="H2425" s="266" t="s">
        <v>552</v>
      </c>
      <c r="I2425" s="266"/>
      <c r="J2425" s="266"/>
      <c r="K2425" s="1"/>
      <c r="L2425" s="1"/>
    </row>
    <row r="2426">
      <c r="A2426" s="266">
        <v>500.0</v>
      </c>
      <c r="B2426" s="266"/>
      <c r="C2426" s="266">
        <v>5.0</v>
      </c>
      <c r="D2426" s="266" t="s">
        <v>8059</v>
      </c>
      <c r="E2426" s="266"/>
      <c r="F2426" s="266"/>
      <c r="G2426" s="266" t="s">
        <v>6304</v>
      </c>
      <c r="H2426" s="266" t="s">
        <v>552</v>
      </c>
      <c r="I2426" s="266"/>
      <c r="J2426" s="266"/>
      <c r="K2426" s="1"/>
      <c r="L2426" s="1"/>
    </row>
    <row r="2427">
      <c r="A2427" s="266">
        <v>600.0</v>
      </c>
      <c r="B2427" s="266"/>
      <c r="C2427" s="266">
        <v>5.0</v>
      </c>
      <c r="D2427" s="266" t="s">
        <v>8060</v>
      </c>
      <c r="E2427" s="266"/>
      <c r="F2427" s="266"/>
      <c r="G2427" s="266" t="s">
        <v>6304</v>
      </c>
      <c r="H2427" s="266" t="s">
        <v>552</v>
      </c>
      <c r="I2427" s="266"/>
      <c r="J2427" s="266"/>
      <c r="K2427" s="1"/>
      <c r="L2427" s="1"/>
    </row>
    <row r="2428">
      <c r="A2428" s="266">
        <v>700.0</v>
      </c>
      <c r="B2428" s="266"/>
      <c r="C2428" s="266">
        <v>5.0</v>
      </c>
      <c r="D2428" s="266" t="s">
        <v>8061</v>
      </c>
      <c r="E2428" s="266"/>
      <c r="F2428" s="266"/>
      <c r="G2428" s="266" t="s">
        <v>6304</v>
      </c>
      <c r="H2428" s="266" t="s">
        <v>552</v>
      </c>
      <c r="I2428" s="266"/>
      <c r="J2428" s="266"/>
      <c r="K2428" s="1"/>
      <c r="L2428" s="1"/>
    </row>
    <row r="2429">
      <c r="A2429" s="266">
        <v>800.0</v>
      </c>
      <c r="B2429" s="266"/>
      <c r="C2429" s="266">
        <v>5.0</v>
      </c>
      <c r="D2429" s="266" t="s">
        <v>8062</v>
      </c>
      <c r="E2429" s="266"/>
      <c r="F2429" s="266"/>
      <c r="G2429" s="266" t="s">
        <v>6304</v>
      </c>
      <c r="H2429" s="266" t="s">
        <v>14</v>
      </c>
      <c r="I2429" s="266"/>
      <c r="J2429" s="266"/>
      <c r="K2429" s="1"/>
      <c r="L2429" s="1"/>
    </row>
    <row r="2430">
      <c r="A2430" s="266">
        <v>900.0</v>
      </c>
      <c r="B2430" s="266"/>
      <c r="C2430" s="266">
        <v>5.0</v>
      </c>
      <c r="D2430" s="266" t="s">
        <v>8063</v>
      </c>
      <c r="E2430" s="266"/>
      <c r="F2430" s="266"/>
      <c r="G2430" s="266" t="s">
        <v>6304</v>
      </c>
      <c r="H2430" s="266" t="s">
        <v>557</v>
      </c>
      <c r="I2430" s="266"/>
      <c r="J2430" s="266"/>
      <c r="K2430" s="1"/>
      <c r="L2430" s="1"/>
    </row>
    <row r="2431">
      <c r="A2431" s="266">
        <v>50.0</v>
      </c>
      <c r="B2431" s="266">
        <v>1.0</v>
      </c>
      <c r="C2431" s="266"/>
      <c r="D2431" s="266" t="s">
        <v>8064</v>
      </c>
      <c r="E2431" s="266"/>
      <c r="F2431" s="266"/>
      <c r="G2431" s="266"/>
      <c r="H2431" s="266"/>
      <c r="I2431" s="266"/>
      <c r="J2431" s="267"/>
    </row>
    <row r="2432">
      <c r="A2432" s="266">
        <v>100.0</v>
      </c>
      <c r="B2432" s="266"/>
      <c r="C2432" s="266">
        <v>5.0</v>
      </c>
      <c r="D2432" s="266" t="s">
        <v>6306</v>
      </c>
      <c r="E2432" s="266"/>
      <c r="F2432" s="266"/>
      <c r="G2432" s="266" t="s">
        <v>6304</v>
      </c>
      <c r="H2432" s="266" t="s">
        <v>8065</v>
      </c>
      <c r="I2432" s="266"/>
      <c r="J2432" s="266"/>
      <c r="K2432" s="1"/>
      <c r="L2432" s="1"/>
    </row>
    <row r="2433">
      <c r="A2433" s="266">
        <v>50.0</v>
      </c>
      <c r="B2433" s="266">
        <v>1.0</v>
      </c>
      <c r="C2433" s="266"/>
      <c r="D2433" s="266" t="s">
        <v>8066</v>
      </c>
      <c r="E2433" s="266"/>
      <c r="F2433" s="266"/>
      <c r="G2433" s="266"/>
      <c r="H2433" s="266"/>
      <c r="I2433" s="266"/>
      <c r="J2433" s="267"/>
    </row>
    <row r="2434">
      <c r="A2434" s="266">
        <v>100.0</v>
      </c>
      <c r="B2434" s="266"/>
      <c r="C2434" s="266">
        <v>5.0</v>
      </c>
      <c r="D2434" s="266" t="s">
        <v>8067</v>
      </c>
      <c r="E2434" s="266"/>
      <c r="F2434" s="266"/>
      <c r="G2434" s="266" t="s">
        <v>6304</v>
      </c>
      <c r="H2434" s="266" t="s">
        <v>4104</v>
      </c>
      <c r="I2434" s="266" t="s">
        <v>6305</v>
      </c>
      <c r="J2434" s="266"/>
      <c r="K2434" s="1"/>
      <c r="L2434" s="1"/>
    </row>
    <row r="2435">
      <c r="A2435" s="266">
        <v>200.0</v>
      </c>
      <c r="B2435" s="266"/>
      <c r="C2435" s="266">
        <v>5.0</v>
      </c>
      <c r="D2435" s="266" t="s">
        <v>8068</v>
      </c>
      <c r="E2435" s="266"/>
      <c r="F2435" s="266"/>
      <c r="G2435" s="266" t="s">
        <v>6304</v>
      </c>
      <c r="H2435" s="266" t="s">
        <v>4104</v>
      </c>
      <c r="I2435" s="266" t="s">
        <v>6305</v>
      </c>
      <c r="J2435" s="266"/>
      <c r="K2435" s="1"/>
      <c r="L2435" s="1"/>
    </row>
    <row r="2436">
      <c r="A2436" s="266">
        <v>300.0</v>
      </c>
      <c r="B2436" s="266"/>
      <c r="C2436" s="266">
        <v>5.0</v>
      </c>
      <c r="D2436" s="266" t="s">
        <v>8069</v>
      </c>
      <c r="E2436" s="266"/>
      <c r="F2436" s="266"/>
      <c r="G2436" s="266" t="s">
        <v>6304</v>
      </c>
      <c r="H2436" s="266" t="s">
        <v>7</v>
      </c>
      <c r="I2436" s="266" t="s">
        <v>6305</v>
      </c>
      <c r="J2436" s="266"/>
      <c r="K2436" s="1"/>
      <c r="L2436" s="1"/>
    </row>
    <row r="2437">
      <c r="A2437" s="266">
        <v>400.0</v>
      </c>
      <c r="B2437" s="266"/>
      <c r="C2437" s="266">
        <v>5.0</v>
      </c>
      <c r="D2437" s="266" t="s">
        <v>8070</v>
      </c>
      <c r="E2437" s="266"/>
      <c r="F2437" s="266"/>
      <c r="G2437" s="266" t="s">
        <v>6304</v>
      </c>
      <c r="H2437" s="266" t="s">
        <v>7</v>
      </c>
      <c r="I2437" s="266" t="s">
        <v>6305</v>
      </c>
      <c r="J2437" s="266"/>
      <c r="K2437" s="1"/>
      <c r="L2437" s="1"/>
    </row>
    <row r="2438">
      <c r="A2438" s="266">
        <v>500.0</v>
      </c>
      <c r="B2438" s="266"/>
      <c r="C2438" s="266">
        <v>5.0</v>
      </c>
      <c r="D2438" s="266" t="s">
        <v>6818</v>
      </c>
      <c r="E2438" s="266"/>
      <c r="F2438" s="266"/>
      <c r="G2438" s="266" t="s">
        <v>6304</v>
      </c>
      <c r="H2438" s="266" t="s">
        <v>7</v>
      </c>
      <c r="I2438" s="266" t="s">
        <v>6305</v>
      </c>
      <c r="J2438" s="266"/>
      <c r="K2438" s="1"/>
      <c r="L2438" s="1"/>
    </row>
    <row r="2439">
      <c r="A2439" s="266">
        <v>600.0</v>
      </c>
      <c r="B2439" s="266"/>
      <c r="C2439" s="266">
        <v>5.0</v>
      </c>
      <c r="D2439" s="266" t="s">
        <v>8071</v>
      </c>
      <c r="E2439" s="266"/>
      <c r="F2439" s="266"/>
      <c r="G2439" s="266" t="s">
        <v>6304</v>
      </c>
      <c r="H2439" s="266">
        <v>9.0</v>
      </c>
      <c r="I2439" s="266"/>
      <c r="J2439" s="266"/>
      <c r="K2439" s="1"/>
      <c r="L2439" s="1"/>
    </row>
    <row r="2440">
      <c r="A2440" s="266">
        <v>700.0</v>
      </c>
      <c r="B2440" s="266"/>
      <c r="C2440" s="266">
        <v>5.0</v>
      </c>
      <c r="D2440" s="266" t="s">
        <v>8072</v>
      </c>
      <c r="E2440" s="266"/>
      <c r="F2440" s="266"/>
      <c r="G2440" s="266"/>
      <c r="H2440" s="266"/>
      <c r="I2440" s="266"/>
      <c r="J2440" s="267"/>
    </row>
    <row r="2441">
      <c r="A2441" s="266">
        <v>800.0</v>
      </c>
      <c r="B2441" s="266"/>
      <c r="C2441" s="266">
        <v>10.0</v>
      </c>
      <c r="D2441" s="266" t="s">
        <v>8073</v>
      </c>
      <c r="E2441" s="266"/>
      <c r="F2441" s="266"/>
      <c r="G2441" s="266" t="s">
        <v>6304</v>
      </c>
      <c r="H2441" s="266" t="s">
        <v>551</v>
      </c>
      <c r="I2441" s="266"/>
      <c r="J2441" s="266"/>
      <c r="K2441" s="1"/>
      <c r="L2441" s="1"/>
    </row>
    <row r="2442">
      <c r="A2442" s="266">
        <v>900.0</v>
      </c>
      <c r="B2442" s="266"/>
      <c r="C2442" s="266">
        <v>10.0</v>
      </c>
      <c r="D2442" s="266" t="s">
        <v>8074</v>
      </c>
      <c r="E2442" s="266"/>
      <c r="F2442" s="266"/>
      <c r="G2442" s="266" t="s">
        <v>6304</v>
      </c>
      <c r="H2442" s="266" t="s">
        <v>551</v>
      </c>
      <c r="I2442" s="266"/>
      <c r="J2442" s="266"/>
      <c r="K2442" s="1"/>
      <c r="L2442" s="1"/>
    </row>
    <row r="2443">
      <c r="A2443" s="266">
        <v>1000.0</v>
      </c>
      <c r="B2443" s="266"/>
      <c r="C2443" s="266">
        <v>10.0</v>
      </c>
      <c r="D2443" s="266" t="s">
        <v>8075</v>
      </c>
      <c r="E2443" s="266"/>
      <c r="F2443" s="266"/>
      <c r="G2443" s="266" t="s">
        <v>6304</v>
      </c>
      <c r="H2443" s="266" t="s">
        <v>551</v>
      </c>
      <c r="I2443" s="266"/>
      <c r="J2443" s="266"/>
      <c r="K2443" s="1"/>
      <c r="L2443" s="1"/>
    </row>
    <row r="2444">
      <c r="A2444" s="266">
        <v>1100.0</v>
      </c>
      <c r="B2444" s="266"/>
      <c r="C2444" s="266">
        <v>5.0</v>
      </c>
      <c r="D2444" s="266" t="s">
        <v>8076</v>
      </c>
      <c r="E2444" s="266"/>
      <c r="F2444" s="266"/>
      <c r="G2444" s="266"/>
      <c r="H2444" s="266"/>
      <c r="I2444" s="266"/>
      <c r="J2444" s="267"/>
    </row>
    <row r="2445">
      <c r="A2445" s="266">
        <v>1200.0</v>
      </c>
      <c r="B2445" s="266"/>
      <c r="C2445" s="266">
        <v>10.0</v>
      </c>
      <c r="D2445" s="266" t="s">
        <v>8077</v>
      </c>
      <c r="E2445" s="266"/>
      <c r="F2445" s="266"/>
      <c r="G2445" s="266" t="s">
        <v>6304</v>
      </c>
      <c r="H2445" s="266" t="s">
        <v>551</v>
      </c>
      <c r="I2445" s="266"/>
      <c r="J2445" s="266"/>
      <c r="K2445" s="1"/>
      <c r="L2445" s="1"/>
    </row>
    <row r="2446">
      <c r="A2446" s="266">
        <v>1300.0</v>
      </c>
      <c r="B2446" s="266"/>
      <c r="C2446" s="266">
        <v>10.0</v>
      </c>
      <c r="D2446" s="266" t="s">
        <v>8078</v>
      </c>
      <c r="E2446" s="266"/>
      <c r="F2446" s="266"/>
      <c r="G2446" s="266" t="s">
        <v>6304</v>
      </c>
      <c r="H2446" s="266" t="s">
        <v>551</v>
      </c>
      <c r="I2446" s="266"/>
      <c r="J2446" s="266"/>
      <c r="K2446" s="1"/>
      <c r="L2446" s="1"/>
    </row>
    <row r="2447">
      <c r="A2447" s="266">
        <v>1400.0</v>
      </c>
      <c r="B2447" s="266"/>
      <c r="C2447" s="266">
        <v>10.0</v>
      </c>
      <c r="D2447" s="266" t="s">
        <v>8079</v>
      </c>
      <c r="E2447" s="266"/>
      <c r="F2447" s="266"/>
      <c r="G2447" s="266" t="s">
        <v>6304</v>
      </c>
      <c r="H2447" s="266" t="s">
        <v>551</v>
      </c>
      <c r="I2447" s="266"/>
      <c r="J2447" s="266"/>
      <c r="K2447" s="1"/>
      <c r="L2447" s="1"/>
    </row>
    <row r="2448">
      <c r="A2448" s="266">
        <v>1500.0</v>
      </c>
      <c r="B2448" s="266"/>
      <c r="C2448" s="266">
        <v>5.0</v>
      </c>
      <c r="D2448" s="266" t="s">
        <v>8080</v>
      </c>
      <c r="E2448" s="266"/>
      <c r="F2448" s="266"/>
      <c r="G2448" s="266"/>
      <c r="H2448" s="266"/>
      <c r="I2448" s="266"/>
      <c r="J2448" s="267"/>
    </row>
    <row r="2449">
      <c r="A2449" s="266">
        <v>1600.0</v>
      </c>
      <c r="B2449" s="266"/>
      <c r="C2449" s="266">
        <v>10.0</v>
      </c>
      <c r="D2449" s="266" t="s">
        <v>8081</v>
      </c>
      <c r="E2449" s="266"/>
      <c r="F2449" s="266"/>
      <c r="G2449" s="266" t="s">
        <v>6304</v>
      </c>
      <c r="H2449" s="266" t="s">
        <v>551</v>
      </c>
      <c r="I2449" s="266"/>
      <c r="J2449" s="266"/>
      <c r="K2449" s="1"/>
      <c r="L2449" s="1"/>
    </row>
    <row r="2450">
      <c r="A2450" s="266">
        <v>1700.0</v>
      </c>
      <c r="B2450" s="266"/>
      <c r="C2450" s="266">
        <v>10.0</v>
      </c>
      <c r="D2450" s="266" t="s">
        <v>8082</v>
      </c>
      <c r="E2450" s="266"/>
      <c r="F2450" s="266"/>
      <c r="G2450" s="266" t="s">
        <v>6304</v>
      </c>
      <c r="H2450" s="266" t="s">
        <v>551</v>
      </c>
      <c r="I2450" s="266"/>
      <c r="J2450" s="266"/>
      <c r="K2450" s="1"/>
      <c r="L2450" s="1"/>
    </row>
    <row r="2451">
      <c r="A2451" s="266">
        <v>1800.0</v>
      </c>
      <c r="B2451" s="266"/>
      <c r="C2451" s="266">
        <v>10.0</v>
      </c>
      <c r="D2451" s="266" t="s">
        <v>8083</v>
      </c>
      <c r="E2451" s="266"/>
      <c r="F2451" s="266"/>
      <c r="G2451" s="266" t="s">
        <v>6304</v>
      </c>
      <c r="H2451" s="266" t="s">
        <v>551</v>
      </c>
      <c r="I2451" s="266"/>
      <c r="J2451" s="266"/>
      <c r="K2451" s="1"/>
      <c r="L2451" s="1"/>
    </row>
    <row r="2452">
      <c r="A2452" s="266">
        <v>1900.0</v>
      </c>
      <c r="B2452" s="266"/>
      <c r="C2452" s="266">
        <v>5.0</v>
      </c>
      <c r="D2452" s="266" t="s">
        <v>8084</v>
      </c>
      <c r="E2452" s="266"/>
      <c r="F2452" s="266"/>
      <c r="G2452" s="266" t="s">
        <v>6304</v>
      </c>
      <c r="H2452" s="266" t="s">
        <v>7</v>
      </c>
      <c r="I2452" s="266" t="s">
        <v>6305</v>
      </c>
      <c r="J2452" s="266"/>
      <c r="K2452" s="1"/>
      <c r="L2452" s="1"/>
    </row>
    <row r="2453">
      <c r="A2453" s="266">
        <v>2000.0</v>
      </c>
      <c r="B2453" s="266"/>
      <c r="C2453" s="266">
        <v>5.0</v>
      </c>
      <c r="D2453" s="266" t="s">
        <v>8085</v>
      </c>
      <c r="E2453" s="266"/>
      <c r="F2453" s="266"/>
      <c r="G2453" s="266" t="s">
        <v>6304</v>
      </c>
      <c r="H2453" s="266" t="s">
        <v>7</v>
      </c>
      <c r="I2453" s="266" t="s">
        <v>6305</v>
      </c>
      <c r="J2453" s="266"/>
      <c r="K2453" s="1"/>
      <c r="L2453" s="1"/>
    </row>
    <row r="2454">
      <c r="A2454" s="266">
        <v>2100.0</v>
      </c>
      <c r="B2454" s="266"/>
      <c r="C2454" s="266">
        <v>5.0</v>
      </c>
      <c r="D2454" s="266" t="s">
        <v>6306</v>
      </c>
      <c r="E2454" s="266"/>
      <c r="F2454" s="266"/>
      <c r="G2454" s="266" t="s">
        <v>6304</v>
      </c>
      <c r="H2454" s="266" t="s">
        <v>7698</v>
      </c>
      <c r="I2454" s="266"/>
      <c r="J2454" s="266"/>
      <c r="K2454" s="1"/>
      <c r="L2454" s="1"/>
    </row>
    <row r="2455">
      <c r="A2455" s="266">
        <v>50.0</v>
      </c>
      <c r="B2455" s="266">
        <v>1.0</v>
      </c>
      <c r="C2455" s="266"/>
      <c r="D2455" s="266" t="s">
        <v>8086</v>
      </c>
      <c r="E2455" s="266"/>
      <c r="F2455" s="266"/>
      <c r="G2455" s="266"/>
      <c r="H2455" s="266"/>
      <c r="I2455" s="266"/>
      <c r="J2455" s="267"/>
    </row>
    <row r="2456">
      <c r="A2456" s="266">
        <v>100.0</v>
      </c>
      <c r="B2456" s="266"/>
      <c r="C2456" s="266">
        <v>5.0</v>
      </c>
      <c r="D2456" s="266" t="s">
        <v>6964</v>
      </c>
      <c r="E2456" s="266"/>
      <c r="F2456" s="266"/>
      <c r="G2456" s="266" t="s">
        <v>6304</v>
      </c>
      <c r="H2456" s="266" t="s">
        <v>556</v>
      </c>
      <c r="I2456" s="266"/>
      <c r="J2456" s="266"/>
      <c r="K2456" s="1"/>
      <c r="L2456" s="1"/>
    </row>
    <row r="2457">
      <c r="A2457" s="266">
        <v>200.0</v>
      </c>
      <c r="B2457" s="266"/>
      <c r="C2457" s="266">
        <v>5.0</v>
      </c>
      <c r="D2457" s="266" t="s">
        <v>6838</v>
      </c>
      <c r="E2457" s="266"/>
      <c r="F2457" s="266"/>
      <c r="G2457" s="266" t="s">
        <v>6304</v>
      </c>
      <c r="H2457" s="266" t="s">
        <v>552</v>
      </c>
      <c r="I2457" s="266"/>
      <c r="J2457" s="266"/>
      <c r="K2457" s="1"/>
      <c r="L2457" s="1"/>
    </row>
    <row r="2458">
      <c r="A2458" s="266">
        <v>300.0</v>
      </c>
      <c r="B2458" s="266"/>
      <c r="C2458" s="266">
        <v>5.0</v>
      </c>
      <c r="D2458" s="266" t="s">
        <v>6306</v>
      </c>
      <c r="E2458" s="266"/>
      <c r="F2458" s="266"/>
      <c r="G2458" s="266" t="s">
        <v>6304</v>
      </c>
      <c r="H2458" s="266" t="s">
        <v>607</v>
      </c>
      <c r="I2458" s="266"/>
      <c r="J2458" s="266"/>
      <c r="K2458" s="1"/>
      <c r="L2458" s="1"/>
    </row>
    <row r="2459">
      <c r="A2459" s="266">
        <v>50.0</v>
      </c>
      <c r="B2459" s="266">
        <v>1.0</v>
      </c>
      <c r="C2459" s="266"/>
      <c r="D2459" s="266" t="s">
        <v>8087</v>
      </c>
      <c r="E2459" s="266"/>
      <c r="F2459" s="266"/>
      <c r="G2459" s="266"/>
      <c r="H2459" s="266"/>
      <c r="I2459" s="266"/>
      <c r="J2459" s="267"/>
    </row>
    <row r="2460">
      <c r="A2460" s="266">
        <v>100.0</v>
      </c>
      <c r="B2460" s="266"/>
      <c r="C2460" s="266">
        <v>5.0</v>
      </c>
      <c r="D2460" s="266" t="s">
        <v>8088</v>
      </c>
      <c r="E2460" s="266"/>
      <c r="F2460" s="266"/>
      <c r="G2460" s="266" t="s">
        <v>6304</v>
      </c>
      <c r="H2460" s="266" t="s">
        <v>3794</v>
      </c>
      <c r="I2460" s="266"/>
      <c r="J2460" s="266"/>
      <c r="K2460" s="1"/>
      <c r="L2460" s="1"/>
    </row>
    <row r="2461">
      <c r="A2461" s="266">
        <v>200.0</v>
      </c>
      <c r="B2461" s="266"/>
      <c r="C2461" s="266">
        <v>5.0</v>
      </c>
      <c r="D2461" s="266" t="s">
        <v>6306</v>
      </c>
      <c r="E2461" s="266"/>
      <c r="F2461" s="266"/>
      <c r="G2461" s="266" t="s">
        <v>6304</v>
      </c>
      <c r="H2461" s="266" t="s">
        <v>15</v>
      </c>
      <c r="I2461" s="266"/>
      <c r="J2461" s="266"/>
      <c r="K2461" s="1"/>
      <c r="L2461" s="1"/>
    </row>
    <row r="2462">
      <c r="A2462" s="266">
        <v>50.0</v>
      </c>
      <c r="B2462" s="266">
        <v>1.0</v>
      </c>
      <c r="C2462" s="266"/>
      <c r="D2462" s="266" t="s">
        <v>8089</v>
      </c>
      <c r="E2462" s="266"/>
      <c r="F2462" s="266"/>
      <c r="G2462" s="266"/>
      <c r="H2462" s="266"/>
      <c r="I2462" s="266"/>
      <c r="J2462" s="267"/>
    </row>
    <row r="2463">
      <c r="A2463" s="266">
        <v>100.0</v>
      </c>
      <c r="B2463" s="266"/>
      <c r="C2463" s="266">
        <v>5.0</v>
      </c>
      <c r="D2463" s="266" t="s">
        <v>6768</v>
      </c>
      <c r="E2463" s="266"/>
      <c r="F2463" s="266"/>
      <c r="G2463" s="266" t="s">
        <v>6304</v>
      </c>
      <c r="H2463" s="266" t="s">
        <v>3794</v>
      </c>
      <c r="I2463" s="266"/>
      <c r="J2463" s="266"/>
      <c r="K2463" s="1"/>
      <c r="L2463" s="1"/>
    </row>
    <row r="2464">
      <c r="A2464" s="266">
        <v>200.0</v>
      </c>
      <c r="B2464" s="266"/>
      <c r="C2464" s="266">
        <v>5.0</v>
      </c>
      <c r="D2464" s="266" t="s">
        <v>6995</v>
      </c>
      <c r="E2464" s="266"/>
      <c r="F2464" s="266"/>
      <c r="G2464" s="266" t="s">
        <v>6304</v>
      </c>
      <c r="H2464" s="266" t="s">
        <v>7</v>
      </c>
      <c r="I2464" s="266" t="s">
        <v>6305</v>
      </c>
      <c r="J2464" s="266"/>
      <c r="K2464" s="1"/>
      <c r="L2464" s="1"/>
    </row>
    <row r="2465">
      <c r="A2465" s="266">
        <v>300.0</v>
      </c>
      <c r="B2465" s="266"/>
      <c r="C2465" s="266">
        <v>5.0</v>
      </c>
      <c r="D2465" s="266" t="s">
        <v>7720</v>
      </c>
      <c r="E2465" s="266"/>
      <c r="F2465" s="266"/>
      <c r="G2465" s="266" t="s">
        <v>6304</v>
      </c>
      <c r="H2465" s="266" t="s">
        <v>7</v>
      </c>
      <c r="I2465" s="266" t="s">
        <v>6305</v>
      </c>
      <c r="J2465" s="266"/>
      <c r="K2465" s="1"/>
      <c r="L2465" s="1"/>
    </row>
    <row r="2466">
      <c r="A2466" s="266">
        <v>400.0</v>
      </c>
      <c r="B2466" s="266"/>
      <c r="C2466" s="266">
        <v>5.0</v>
      </c>
      <c r="D2466" s="266" t="s">
        <v>7163</v>
      </c>
      <c r="E2466" s="266"/>
      <c r="F2466" s="266"/>
      <c r="G2466" s="266" t="s">
        <v>6304</v>
      </c>
      <c r="H2466" s="266" t="s">
        <v>7</v>
      </c>
      <c r="I2466" s="266" t="s">
        <v>6305</v>
      </c>
      <c r="J2466" s="266"/>
      <c r="K2466" s="1"/>
      <c r="L2466" s="1"/>
    </row>
    <row r="2467">
      <c r="A2467" s="266">
        <v>500.0</v>
      </c>
      <c r="B2467" s="266"/>
      <c r="C2467" s="266">
        <v>5.0</v>
      </c>
      <c r="D2467" s="266" t="s">
        <v>7164</v>
      </c>
      <c r="E2467" s="266"/>
      <c r="F2467" s="266"/>
      <c r="G2467" s="266" t="s">
        <v>6304</v>
      </c>
      <c r="H2467" s="266" t="s">
        <v>7</v>
      </c>
      <c r="I2467" s="266" t="s">
        <v>6305</v>
      </c>
      <c r="J2467" s="266"/>
      <c r="K2467" s="1"/>
      <c r="L2467" s="1"/>
    </row>
    <row r="2468">
      <c r="A2468" s="266">
        <v>600.0</v>
      </c>
      <c r="B2468" s="266"/>
      <c r="C2468" s="266">
        <v>5.0</v>
      </c>
      <c r="D2468" s="266" t="s">
        <v>7156</v>
      </c>
      <c r="E2468" s="266"/>
      <c r="F2468" s="266"/>
      <c r="G2468" s="266" t="s">
        <v>6304</v>
      </c>
      <c r="H2468" s="266" t="s">
        <v>7</v>
      </c>
      <c r="I2468" s="266" t="s">
        <v>6305</v>
      </c>
      <c r="J2468" s="266"/>
      <c r="K2468" s="1"/>
      <c r="L2468" s="1"/>
    </row>
    <row r="2469">
      <c r="A2469" s="266">
        <v>700.0</v>
      </c>
      <c r="B2469" s="266"/>
      <c r="C2469" s="266">
        <v>5.0</v>
      </c>
      <c r="D2469" s="266" t="s">
        <v>6738</v>
      </c>
      <c r="E2469" s="266"/>
      <c r="F2469" s="266"/>
      <c r="G2469" s="266" t="s">
        <v>6304</v>
      </c>
      <c r="H2469" s="266" t="s">
        <v>7</v>
      </c>
      <c r="I2469" s="266" t="s">
        <v>6305</v>
      </c>
      <c r="J2469" s="266"/>
      <c r="K2469" s="1"/>
      <c r="L2469" s="1"/>
    </row>
    <row r="2470">
      <c r="A2470" s="266">
        <v>800.0</v>
      </c>
      <c r="B2470" s="266"/>
      <c r="C2470" s="266">
        <v>5.0</v>
      </c>
      <c r="D2470" s="266" t="s">
        <v>6739</v>
      </c>
      <c r="E2470" s="266"/>
      <c r="F2470" s="266"/>
      <c r="G2470" s="266" t="s">
        <v>6304</v>
      </c>
      <c r="H2470" s="266" t="s">
        <v>7</v>
      </c>
      <c r="I2470" s="266" t="s">
        <v>6305</v>
      </c>
      <c r="J2470" s="266"/>
      <c r="K2470" s="1"/>
      <c r="L2470" s="1"/>
    </row>
    <row r="2471">
      <c r="A2471" s="266">
        <v>900.0</v>
      </c>
      <c r="B2471" s="266"/>
      <c r="C2471" s="266">
        <v>5.0</v>
      </c>
      <c r="D2471" s="266" t="s">
        <v>6740</v>
      </c>
      <c r="E2471" s="266"/>
      <c r="F2471" s="266"/>
      <c r="G2471" s="266" t="s">
        <v>6304</v>
      </c>
      <c r="H2471" s="266" t="s">
        <v>7</v>
      </c>
      <c r="I2471" s="266" t="s">
        <v>6305</v>
      </c>
      <c r="J2471" s="266"/>
      <c r="K2471" s="1"/>
      <c r="L2471" s="1"/>
    </row>
    <row r="2472">
      <c r="A2472" s="266">
        <v>1000.0</v>
      </c>
      <c r="B2472" s="266"/>
      <c r="C2472" s="266">
        <v>5.0</v>
      </c>
      <c r="D2472" s="266" t="s">
        <v>6741</v>
      </c>
      <c r="E2472" s="266"/>
      <c r="F2472" s="266"/>
      <c r="G2472" s="266" t="s">
        <v>6304</v>
      </c>
      <c r="H2472" s="266" t="s">
        <v>7</v>
      </c>
      <c r="I2472" s="266" t="s">
        <v>6305</v>
      </c>
      <c r="J2472" s="266"/>
      <c r="K2472" s="1"/>
      <c r="L2472" s="1"/>
    </row>
    <row r="2473">
      <c r="A2473" s="266">
        <v>1100.0</v>
      </c>
      <c r="B2473" s="266"/>
      <c r="C2473" s="266">
        <v>5.0</v>
      </c>
      <c r="D2473" s="266" t="s">
        <v>7575</v>
      </c>
      <c r="E2473" s="266"/>
      <c r="F2473" s="266"/>
      <c r="G2473" s="266" t="s">
        <v>6304</v>
      </c>
      <c r="H2473" s="266" t="s">
        <v>6580</v>
      </c>
      <c r="I2473" s="266" t="s">
        <v>6305</v>
      </c>
      <c r="J2473" s="266"/>
      <c r="K2473" s="1"/>
      <c r="L2473" s="1"/>
    </row>
    <row r="2474">
      <c r="A2474" s="266">
        <v>1200.0</v>
      </c>
      <c r="B2474" s="266"/>
      <c r="C2474" s="266">
        <v>5.0</v>
      </c>
      <c r="D2474" s="266" t="s">
        <v>7169</v>
      </c>
      <c r="E2474" s="266"/>
      <c r="F2474" s="266"/>
      <c r="G2474" s="266" t="s">
        <v>6304</v>
      </c>
      <c r="H2474" s="266" t="s">
        <v>6580</v>
      </c>
      <c r="I2474" s="266" t="s">
        <v>6305</v>
      </c>
      <c r="J2474" s="266"/>
      <c r="K2474" s="1"/>
      <c r="L2474" s="1"/>
    </row>
    <row r="2475">
      <c r="A2475" s="266">
        <v>1300.0</v>
      </c>
      <c r="B2475" s="266"/>
      <c r="C2475" s="266">
        <v>5.0</v>
      </c>
      <c r="D2475" s="266" t="s">
        <v>8090</v>
      </c>
      <c r="E2475" s="266"/>
      <c r="F2475" s="266"/>
      <c r="G2475" s="266"/>
      <c r="H2475" s="266"/>
      <c r="I2475" s="266"/>
      <c r="J2475" s="267"/>
    </row>
    <row r="2476">
      <c r="A2476" s="266">
        <v>1400.0</v>
      </c>
      <c r="B2476" s="266"/>
      <c r="C2476" s="266">
        <v>10.0</v>
      </c>
      <c r="D2476" s="266" t="s">
        <v>8091</v>
      </c>
      <c r="E2476" s="266"/>
      <c r="F2476" s="266"/>
      <c r="G2476" s="266" t="s">
        <v>6304</v>
      </c>
      <c r="H2476" s="266" t="s">
        <v>551</v>
      </c>
      <c r="I2476" s="266"/>
      <c r="J2476" s="266"/>
      <c r="K2476" s="1"/>
      <c r="L2476" s="1"/>
    </row>
    <row r="2477">
      <c r="A2477" s="266">
        <v>1500.0</v>
      </c>
      <c r="B2477" s="266"/>
      <c r="C2477" s="266">
        <v>10.0</v>
      </c>
      <c r="D2477" s="266" t="s">
        <v>8092</v>
      </c>
      <c r="E2477" s="266"/>
      <c r="F2477" s="266"/>
      <c r="G2477" s="266" t="s">
        <v>6304</v>
      </c>
      <c r="H2477" s="266" t="s">
        <v>556</v>
      </c>
      <c r="I2477" s="266"/>
      <c r="J2477" s="266"/>
      <c r="K2477" s="1"/>
      <c r="L2477" s="1"/>
    </row>
    <row r="2478">
      <c r="A2478" s="266">
        <v>1600.0</v>
      </c>
      <c r="B2478" s="266"/>
      <c r="C2478" s="266">
        <v>10.0</v>
      </c>
      <c r="D2478" s="266" t="s">
        <v>8093</v>
      </c>
      <c r="E2478" s="266"/>
      <c r="F2478" s="266"/>
      <c r="G2478" s="266" t="s">
        <v>6304</v>
      </c>
      <c r="H2478" s="266" t="s">
        <v>5243</v>
      </c>
      <c r="I2478" s="266"/>
      <c r="J2478" s="266"/>
      <c r="K2478" s="1"/>
      <c r="L2478" s="1"/>
    </row>
    <row r="2479">
      <c r="A2479" s="266">
        <v>1700.0</v>
      </c>
      <c r="B2479" s="266"/>
      <c r="C2479" s="266">
        <v>5.0</v>
      </c>
      <c r="D2479" s="266" t="s">
        <v>6601</v>
      </c>
      <c r="E2479" s="266"/>
      <c r="F2479" s="266"/>
      <c r="G2479" s="266"/>
      <c r="H2479" s="266"/>
      <c r="I2479" s="266"/>
      <c r="J2479" s="267"/>
    </row>
    <row r="2480">
      <c r="A2480" s="266">
        <v>1800.0</v>
      </c>
      <c r="B2480" s="266"/>
      <c r="C2480" s="266">
        <v>10.0</v>
      </c>
      <c r="D2480" s="266" t="s">
        <v>6602</v>
      </c>
      <c r="E2480" s="266"/>
      <c r="F2480" s="266"/>
      <c r="G2480" s="266"/>
      <c r="H2480" s="266"/>
      <c r="I2480" s="266"/>
      <c r="J2480" s="267"/>
    </row>
    <row r="2481">
      <c r="A2481" s="266">
        <v>1900.0</v>
      </c>
      <c r="B2481" s="266"/>
      <c r="C2481" s="266">
        <v>15.0</v>
      </c>
      <c r="D2481" s="266" t="s">
        <v>576</v>
      </c>
      <c r="E2481" s="266"/>
      <c r="F2481" s="266"/>
      <c r="G2481" s="266" t="s">
        <v>6304</v>
      </c>
      <c r="H2481" s="266" t="s">
        <v>551</v>
      </c>
      <c r="I2481" s="266"/>
      <c r="J2481" s="266"/>
      <c r="K2481" s="1"/>
      <c r="L2481" s="1"/>
    </row>
    <row r="2482">
      <c r="A2482" s="266">
        <v>2000.0</v>
      </c>
      <c r="B2482" s="266"/>
      <c r="C2482" s="266">
        <v>15.0</v>
      </c>
      <c r="D2482" s="266" t="s">
        <v>577</v>
      </c>
      <c r="E2482" s="266"/>
      <c r="F2482" s="266"/>
      <c r="G2482" s="266" t="s">
        <v>6304</v>
      </c>
      <c r="H2482" s="266" t="s">
        <v>552</v>
      </c>
      <c r="I2482" s="266"/>
      <c r="J2482" s="266"/>
      <c r="K2482" s="1"/>
      <c r="L2482" s="1"/>
    </row>
    <row r="2483">
      <c r="A2483" s="266">
        <v>2100.0</v>
      </c>
      <c r="B2483" s="266"/>
      <c r="C2483" s="266">
        <v>10.0</v>
      </c>
      <c r="D2483" s="266" t="s">
        <v>578</v>
      </c>
      <c r="E2483" s="266"/>
      <c r="F2483" s="266"/>
      <c r="G2483" s="266" t="s">
        <v>6304</v>
      </c>
      <c r="H2483" s="266" t="s">
        <v>552</v>
      </c>
      <c r="I2483" s="266"/>
      <c r="J2483" s="266"/>
      <c r="K2483" s="1"/>
      <c r="L2483" s="1"/>
    </row>
    <row r="2484">
      <c r="A2484" s="266">
        <v>2200.0</v>
      </c>
      <c r="B2484" s="266"/>
      <c r="C2484" s="266">
        <v>5.0</v>
      </c>
      <c r="D2484" s="266" t="s">
        <v>575</v>
      </c>
      <c r="E2484" s="266"/>
      <c r="F2484" s="266"/>
      <c r="G2484" s="266" t="s">
        <v>6304</v>
      </c>
      <c r="H2484" s="266" t="s">
        <v>551</v>
      </c>
      <c r="I2484" s="266"/>
      <c r="J2484" s="266"/>
      <c r="K2484" s="1"/>
      <c r="L2484" s="1"/>
    </row>
    <row r="2485">
      <c r="A2485" s="266">
        <v>2300.0</v>
      </c>
      <c r="B2485" s="266"/>
      <c r="C2485" s="266">
        <v>5.0</v>
      </c>
      <c r="D2485" s="266" t="s">
        <v>7118</v>
      </c>
      <c r="E2485" s="266"/>
      <c r="F2485" s="266"/>
      <c r="G2485" s="266" t="s">
        <v>6304</v>
      </c>
      <c r="H2485" s="266" t="s">
        <v>557</v>
      </c>
      <c r="I2485" s="266"/>
      <c r="J2485" s="266"/>
      <c r="K2485" s="1"/>
      <c r="L2485" s="1"/>
    </row>
    <row r="2486">
      <c r="A2486" s="266">
        <v>2400.0</v>
      </c>
      <c r="B2486" s="266"/>
      <c r="C2486" s="266">
        <v>5.0</v>
      </c>
      <c r="D2486" s="266" t="s">
        <v>7695</v>
      </c>
      <c r="E2486" s="266"/>
      <c r="F2486" s="266"/>
      <c r="G2486" s="266" t="s">
        <v>6304</v>
      </c>
      <c r="H2486" s="266" t="s">
        <v>6707</v>
      </c>
      <c r="I2486" s="266" t="s">
        <v>6305</v>
      </c>
      <c r="J2486" s="266"/>
      <c r="K2486" s="1"/>
      <c r="L2486" s="1"/>
    </row>
    <row r="2487">
      <c r="A2487" s="266">
        <v>2500.0</v>
      </c>
      <c r="B2487" s="266"/>
      <c r="C2487" s="266">
        <v>5.0</v>
      </c>
      <c r="D2487" s="266" t="s">
        <v>7700</v>
      </c>
      <c r="E2487" s="266"/>
      <c r="F2487" s="266"/>
      <c r="G2487" s="266" t="s">
        <v>6304</v>
      </c>
      <c r="H2487" s="266" t="s">
        <v>7</v>
      </c>
      <c r="I2487" s="266" t="s">
        <v>6305</v>
      </c>
      <c r="J2487" s="266"/>
      <c r="K2487" s="1"/>
      <c r="L2487" s="1"/>
    </row>
    <row r="2488">
      <c r="A2488" s="266">
        <v>2600.0</v>
      </c>
      <c r="B2488" s="266"/>
      <c r="C2488" s="266">
        <v>5.0</v>
      </c>
      <c r="D2488" s="266" t="s">
        <v>7696</v>
      </c>
      <c r="E2488" s="266"/>
      <c r="F2488" s="266"/>
      <c r="G2488" s="266" t="s">
        <v>6304</v>
      </c>
      <c r="H2488" s="266" t="s">
        <v>6650</v>
      </c>
      <c r="I2488" s="266" t="s">
        <v>6305</v>
      </c>
      <c r="J2488" s="266"/>
      <c r="K2488" s="1"/>
      <c r="L2488" s="1"/>
    </row>
    <row r="2489">
      <c r="A2489" s="266">
        <v>2700.0</v>
      </c>
      <c r="B2489" s="266"/>
      <c r="C2489" s="266">
        <v>5.0</v>
      </c>
      <c r="D2489" s="266" t="s">
        <v>8094</v>
      </c>
      <c r="E2489" s="266"/>
      <c r="F2489" s="266"/>
      <c r="G2489" s="266" t="s">
        <v>6304</v>
      </c>
      <c r="H2489" s="266" t="s">
        <v>7</v>
      </c>
      <c r="I2489" s="266" t="s">
        <v>6305</v>
      </c>
      <c r="J2489" s="266"/>
      <c r="K2489" s="1"/>
      <c r="L2489" s="1"/>
    </row>
    <row r="2490">
      <c r="A2490" s="266">
        <v>2800.0</v>
      </c>
      <c r="B2490" s="266"/>
      <c r="C2490" s="266">
        <v>5.0</v>
      </c>
      <c r="D2490" s="266" t="s">
        <v>6306</v>
      </c>
      <c r="E2490" s="266"/>
      <c r="F2490" s="266"/>
      <c r="G2490" s="266" t="s">
        <v>6304</v>
      </c>
      <c r="H2490" s="266" t="s">
        <v>7181</v>
      </c>
      <c r="I2490" s="266"/>
      <c r="J2490" s="266"/>
      <c r="K2490" s="1"/>
      <c r="L2490" s="1"/>
    </row>
    <row r="2491">
      <c r="A2491" s="266">
        <v>50.0</v>
      </c>
      <c r="B2491" s="266">
        <v>1.0</v>
      </c>
      <c r="C2491" s="266"/>
      <c r="D2491" s="266" t="s">
        <v>8095</v>
      </c>
      <c r="E2491" s="266"/>
      <c r="F2491" s="266"/>
      <c r="G2491" s="266"/>
      <c r="H2491" s="266"/>
      <c r="I2491" s="266"/>
      <c r="J2491" s="267"/>
    </row>
    <row r="2492">
      <c r="A2492" s="266">
        <v>100.0</v>
      </c>
      <c r="B2492" s="266"/>
      <c r="C2492" s="266">
        <v>5.0</v>
      </c>
      <c r="D2492" s="266" t="s">
        <v>8096</v>
      </c>
      <c r="E2492" s="266"/>
      <c r="F2492" s="266"/>
      <c r="G2492" s="266"/>
      <c r="H2492" s="266"/>
      <c r="I2492" s="266"/>
      <c r="J2492" s="267"/>
    </row>
    <row r="2493">
      <c r="A2493" s="266">
        <v>200.0</v>
      </c>
      <c r="B2493" s="266"/>
      <c r="C2493" s="266">
        <v>10.0</v>
      </c>
      <c r="D2493" s="266" t="s">
        <v>8097</v>
      </c>
      <c r="E2493" s="266"/>
      <c r="F2493" s="266"/>
      <c r="G2493" s="266" t="s">
        <v>6304</v>
      </c>
      <c r="H2493" s="266" t="s">
        <v>6550</v>
      </c>
      <c r="I2493" s="266"/>
      <c r="J2493" s="266"/>
      <c r="K2493" s="1"/>
      <c r="L2493" s="1"/>
    </row>
    <row r="2494">
      <c r="A2494" s="266">
        <v>300.0</v>
      </c>
      <c r="B2494" s="266"/>
      <c r="C2494" s="266">
        <v>10.0</v>
      </c>
      <c r="D2494" s="266" t="s">
        <v>8098</v>
      </c>
      <c r="E2494" s="266"/>
      <c r="F2494" s="266"/>
      <c r="G2494" s="266" t="s">
        <v>6304</v>
      </c>
      <c r="H2494" s="266" t="s">
        <v>561</v>
      </c>
      <c r="I2494" s="266"/>
      <c r="J2494" s="266"/>
      <c r="K2494" s="1"/>
      <c r="L2494" s="1"/>
    </row>
    <row r="2495">
      <c r="A2495" s="266">
        <v>400.0</v>
      </c>
      <c r="B2495" s="266"/>
      <c r="C2495" s="266">
        <v>5.0</v>
      </c>
      <c r="D2495" s="266" t="s">
        <v>8099</v>
      </c>
      <c r="E2495" s="266" t="s">
        <v>6479</v>
      </c>
      <c r="F2495" s="266">
        <v>4.0</v>
      </c>
      <c r="G2495" s="266" t="s">
        <v>6304</v>
      </c>
      <c r="H2495" s="266" t="s">
        <v>8100</v>
      </c>
      <c r="I2495" s="266"/>
      <c r="J2495" s="267"/>
    </row>
    <row r="2496">
      <c r="A2496" s="266">
        <v>500.0</v>
      </c>
      <c r="B2496" s="266"/>
      <c r="C2496" s="266">
        <v>5.0</v>
      </c>
      <c r="D2496" s="266" t="s">
        <v>6306</v>
      </c>
      <c r="E2496" s="266"/>
      <c r="F2496" s="266"/>
      <c r="G2496" s="266" t="s">
        <v>6304</v>
      </c>
      <c r="H2496" s="266" t="s">
        <v>8101</v>
      </c>
      <c r="I2496" s="266"/>
      <c r="J2496" s="266"/>
      <c r="K2496" s="1"/>
      <c r="L2496" s="1"/>
    </row>
    <row r="2497">
      <c r="A2497" s="266">
        <v>50.0</v>
      </c>
      <c r="B2497" s="266">
        <v>1.0</v>
      </c>
      <c r="C2497" s="266"/>
      <c r="D2497" s="266" t="s">
        <v>8102</v>
      </c>
      <c r="E2497" s="266"/>
      <c r="F2497" s="266"/>
      <c r="G2497" s="266"/>
      <c r="H2497" s="266"/>
      <c r="I2497" s="266"/>
      <c r="J2497" s="267"/>
    </row>
    <row r="2498">
      <c r="A2498" s="266">
        <v>100.0</v>
      </c>
      <c r="B2498" s="266"/>
      <c r="C2498" s="266">
        <v>5.0</v>
      </c>
      <c r="D2498" s="266" t="s">
        <v>8103</v>
      </c>
      <c r="E2498" s="266"/>
      <c r="F2498" s="266"/>
      <c r="G2498" s="266"/>
      <c r="H2498" s="266"/>
      <c r="I2498" s="266"/>
      <c r="J2498" s="267"/>
    </row>
    <row r="2499">
      <c r="A2499" s="266">
        <v>200.0</v>
      </c>
      <c r="B2499" s="266"/>
      <c r="C2499" s="266">
        <v>10.0</v>
      </c>
      <c r="D2499" s="266" t="s">
        <v>8097</v>
      </c>
      <c r="E2499" s="266"/>
      <c r="F2499" s="266"/>
      <c r="G2499" s="266" t="s">
        <v>6304</v>
      </c>
      <c r="H2499" s="266" t="s">
        <v>6550</v>
      </c>
      <c r="I2499" s="266"/>
      <c r="J2499" s="266"/>
      <c r="K2499" s="1"/>
      <c r="L2499" s="1"/>
    </row>
    <row r="2500">
      <c r="A2500" s="266">
        <v>300.0</v>
      </c>
      <c r="B2500" s="266"/>
      <c r="C2500" s="266">
        <v>10.0</v>
      </c>
      <c r="D2500" s="266" t="s">
        <v>8098</v>
      </c>
      <c r="E2500" s="266"/>
      <c r="F2500" s="266"/>
      <c r="G2500" s="266" t="s">
        <v>6304</v>
      </c>
      <c r="H2500" s="266" t="s">
        <v>561</v>
      </c>
      <c r="I2500" s="266"/>
      <c r="J2500" s="266"/>
      <c r="K2500" s="1"/>
      <c r="L2500" s="1"/>
    </row>
    <row r="2501">
      <c r="A2501" s="266">
        <v>400.0</v>
      </c>
      <c r="B2501" s="266"/>
      <c r="C2501" s="266">
        <v>10.0</v>
      </c>
      <c r="D2501" s="266" t="s">
        <v>8104</v>
      </c>
      <c r="E2501" s="266"/>
      <c r="F2501" s="266"/>
      <c r="G2501" s="266" t="s">
        <v>6304</v>
      </c>
      <c r="H2501" s="266" t="s">
        <v>6342</v>
      </c>
      <c r="I2501" s="266"/>
      <c r="J2501" s="266"/>
      <c r="K2501" s="1"/>
      <c r="L2501" s="1"/>
    </row>
    <row r="2502">
      <c r="A2502" s="266">
        <v>500.0</v>
      </c>
      <c r="B2502" s="266"/>
      <c r="C2502" s="266">
        <v>10.0</v>
      </c>
      <c r="D2502" s="266" t="s">
        <v>6964</v>
      </c>
      <c r="E2502" s="266"/>
      <c r="F2502" s="266"/>
      <c r="G2502" s="266" t="s">
        <v>6304</v>
      </c>
      <c r="H2502" s="266" t="s">
        <v>556</v>
      </c>
      <c r="I2502" s="266"/>
      <c r="J2502" s="266"/>
      <c r="K2502" s="1"/>
      <c r="L2502" s="1"/>
    </row>
    <row r="2503">
      <c r="A2503" s="266">
        <v>600.0</v>
      </c>
      <c r="B2503" s="266"/>
      <c r="C2503" s="266">
        <v>5.0</v>
      </c>
      <c r="D2503" s="266" t="s">
        <v>6306</v>
      </c>
      <c r="E2503" s="266"/>
      <c r="F2503" s="266"/>
      <c r="G2503" s="266" t="s">
        <v>6304</v>
      </c>
      <c r="H2503" s="266" t="s">
        <v>7227</v>
      </c>
      <c r="I2503" s="266"/>
      <c r="J2503" s="266"/>
      <c r="K2503" s="1"/>
      <c r="L2503" s="1"/>
    </row>
    <row r="2504">
      <c r="A2504" s="266">
        <v>50.0</v>
      </c>
      <c r="B2504" s="266">
        <v>1.0</v>
      </c>
      <c r="C2504" s="266"/>
      <c r="D2504" s="266" t="s">
        <v>8105</v>
      </c>
      <c r="E2504" s="266"/>
      <c r="F2504" s="266"/>
      <c r="G2504" s="266"/>
      <c r="H2504" s="266"/>
      <c r="I2504" s="266"/>
      <c r="J2504" s="267"/>
    </row>
    <row r="2505">
      <c r="A2505" s="266">
        <v>100.0</v>
      </c>
      <c r="B2505" s="266"/>
      <c r="C2505" s="266">
        <v>5.0</v>
      </c>
      <c r="D2505" s="266" t="s">
        <v>8106</v>
      </c>
      <c r="E2505" s="266"/>
      <c r="F2505" s="266"/>
      <c r="G2505" s="266" t="s">
        <v>6304</v>
      </c>
      <c r="H2505" s="266" t="s">
        <v>15</v>
      </c>
      <c r="I2505" s="266"/>
      <c r="J2505" s="266"/>
      <c r="K2505" s="1"/>
      <c r="L2505" s="1"/>
    </row>
    <row r="2506">
      <c r="A2506" s="266">
        <v>200.0</v>
      </c>
      <c r="B2506" s="266"/>
      <c r="C2506" s="266">
        <v>5.0</v>
      </c>
      <c r="D2506" s="266" t="s">
        <v>8107</v>
      </c>
      <c r="E2506" s="266"/>
      <c r="F2506" s="266"/>
      <c r="G2506" s="266" t="s">
        <v>6304</v>
      </c>
      <c r="H2506" s="266" t="s">
        <v>3795</v>
      </c>
      <c r="I2506" s="266"/>
      <c r="J2506" s="266"/>
      <c r="K2506" s="1"/>
      <c r="L2506" s="1"/>
    </row>
    <row r="2507">
      <c r="A2507" s="266">
        <v>300.0</v>
      </c>
      <c r="B2507" s="266"/>
      <c r="C2507" s="266">
        <v>5.0</v>
      </c>
      <c r="D2507" s="266" t="s">
        <v>6768</v>
      </c>
      <c r="E2507" s="266" t="s">
        <v>6479</v>
      </c>
      <c r="F2507" s="266">
        <v>200.0</v>
      </c>
      <c r="G2507" s="266" t="s">
        <v>6304</v>
      </c>
      <c r="H2507" s="266" t="s">
        <v>3794</v>
      </c>
      <c r="I2507" s="266"/>
      <c r="J2507" s="267"/>
    </row>
    <row r="2508">
      <c r="A2508" s="266">
        <v>400.0</v>
      </c>
      <c r="B2508" s="266"/>
      <c r="C2508" s="266">
        <v>5.0</v>
      </c>
      <c r="D2508" s="266" t="s">
        <v>6306</v>
      </c>
      <c r="E2508" s="266"/>
      <c r="F2508" s="266"/>
      <c r="G2508" s="266" t="s">
        <v>6304</v>
      </c>
      <c r="H2508" s="266" t="s">
        <v>6534</v>
      </c>
      <c r="I2508" s="266"/>
      <c r="J2508" s="266"/>
      <c r="K2508" s="1"/>
      <c r="L2508" s="1"/>
    </row>
    <row r="2509">
      <c r="A2509" s="266">
        <v>50.0</v>
      </c>
      <c r="B2509" s="266">
        <v>1.0</v>
      </c>
      <c r="C2509" s="266"/>
      <c r="D2509" s="266" t="s">
        <v>8108</v>
      </c>
      <c r="E2509" s="266"/>
      <c r="F2509" s="266"/>
      <c r="G2509" s="266"/>
      <c r="H2509" s="266"/>
      <c r="I2509" s="266"/>
      <c r="J2509" s="267"/>
    </row>
    <row r="2510">
      <c r="A2510" s="266">
        <v>100.0</v>
      </c>
      <c r="B2510" s="266"/>
      <c r="C2510" s="266">
        <v>5.0</v>
      </c>
      <c r="D2510" s="266" t="s">
        <v>7035</v>
      </c>
      <c r="E2510" s="266"/>
      <c r="F2510" s="266"/>
      <c r="G2510" s="266" t="s">
        <v>6304</v>
      </c>
      <c r="H2510" s="266" t="s">
        <v>560</v>
      </c>
      <c r="I2510" s="266"/>
      <c r="J2510" s="266"/>
      <c r="K2510" s="1"/>
      <c r="L2510" s="1"/>
    </row>
    <row r="2511">
      <c r="A2511" s="266">
        <v>200.0</v>
      </c>
      <c r="B2511" s="266"/>
      <c r="C2511" s="266">
        <v>5.0</v>
      </c>
      <c r="D2511" s="266" t="s">
        <v>8109</v>
      </c>
      <c r="E2511" s="266"/>
      <c r="F2511" s="266"/>
      <c r="G2511" s="266"/>
      <c r="H2511" s="266"/>
      <c r="I2511" s="266"/>
      <c r="J2511" s="267"/>
    </row>
    <row r="2512">
      <c r="A2512" s="266">
        <v>300.0</v>
      </c>
      <c r="B2512" s="266"/>
      <c r="C2512" s="266">
        <v>10.0</v>
      </c>
      <c r="D2512" s="266" t="s">
        <v>7061</v>
      </c>
      <c r="E2512" s="266"/>
      <c r="F2512" s="266"/>
      <c r="G2512" s="266" t="s">
        <v>6304</v>
      </c>
      <c r="H2512" s="266" t="s">
        <v>551</v>
      </c>
      <c r="I2512" s="266"/>
      <c r="J2512" s="266"/>
      <c r="K2512" s="1"/>
      <c r="L2512" s="1"/>
    </row>
    <row r="2513">
      <c r="A2513" s="266">
        <v>400.0</v>
      </c>
      <c r="B2513" s="266"/>
      <c r="C2513" s="266">
        <v>10.0</v>
      </c>
      <c r="D2513" s="266" t="s">
        <v>7062</v>
      </c>
      <c r="E2513" s="266"/>
      <c r="F2513" s="266"/>
      <c r="G2513" s="266" t="s">
        <v>6304</v>
      </c>
      <c r="H2513" s="266" t="s">
        <v>556</v>
      </c>
      <c r="I2513" s="266"/>
      <c r="J2513" s="266"/>
      <c r="K2513" s="1"/>
      <c r="L2513" s="1"/>
    </row>
    <row r="2514">
      <c r="A2514" s="266">
        <v>500.0</v>
      </c>
      <c r="B2514" s="266"/>
      <c r="C2514" s="266">
        <v>5.0</v>
      </c>
      <c r="D2514" s="266" t="s">
        <v>7067</v>
      </c>
      <c r="E2514" s="266"/>
      <c r="F2514" s="266"/>
      <c r="G2514" s="266" t="s">
        <v>6304</v>
      </c>
      <c r="H2514" s="266" t="s">
        <v>607</v>
      </c>
      <c r="I2514" s="266"/>
      <c r="J2514" s="266"/>
      <c r="K2514" s="1"/>
      <c r="L2514" s="1"/>
    </row>
    <row r="2515">
      <c r="A2515" s="266">
        <v>600.0</v>
      </c>
      <c r="B2515" s="266"/>
      <c r="C2515" s="266">
        <v>5.0</v>
      </c>
      <c r="D2515" s="266" t="s">
        <v>6306</v>
      </c>
      <c r="E2515" s="266"/>
      <c r="F2515" s="266"/>
      <c r="G2515" s="266" t="s">
        <v>6304</v>
      </c>
      <c r="H2515" s="266" t="s">
        <v>17</v>
      </c>
      <c r="I2515" s="266"/>
      <c r="J2515" s="266"/>
      <c r="K2515" s="1"/>
      <c r="L2515" s="1"/>
    </row>
    <row r="2516">
      <c r="A2516" s="266">
        <v>50.0</v>
      </c>
      <c r="B2516" s="266">
        <v>1.0</v>
      </c>
      <c r="C2516" s="266"/>
      <c r="D2516" s="266" t="s">
        <v>8110</v>
      </c>
      <c r="E2516" s="266"/>
      <c r="F2516" s="266"/>
      <c r="G2516" s="266"/>
      <c r="H2516" s="266"/>
      <c r="I2516" s="266"/>
      <c r="J2516" s="267"/>
    </row>
    <row r="2517">
      <c r="A2517" s="266">
        <v>100.0</v>
      </c>
      <c r="B2517" s="266"/>
      <c r="C2517" s="266">
        <v>5.0</v>
      </c>
      <c r="D2517" s="266" t="s">
        <v>8111</v>
      </c>
      <c r="E2517" s="266"/>
      <c r="F2517" s="266"/>
      <c r="G2517" s="266" t="s">
        <v>6304</v>
      </c>
      <c r="H2517" s="266" t="s">
        <v>557</v>
      </c>
      <c r="I2517" s="266"/>
      <c r="J2517" s="266"/>
      <c r="K2517" s="1"/>
      <c r="L2517" s="1"/>
    </row>
    <row r="2518">
      <c r="A2518" s="266">
        <v>200.0</v>
      </c>
      <c r="B2518" s="266"/>
      <c r="C2518" s="266">
        <v>5.0</v>
      </c>
      <c r="D2518" s="266" t="s">
        <v>8112</v>
      </c>
      <c r="E2518" s="266"/>
      <c r="F2518" s="266"/>
      <c r="G2518" s="266" t="s">
        <v>6304</v>
      </c>
      <c r="H2518" s="266" t="s">
        <v>560</v>
      </c>
      <c r="I2518" s="266"/>
      <c r="J2518" s="266"/>
      <c r="K2518" s="1"/>
      <c r="L2518" s="1"/>
    </row>
    <row r="2519">
      <c r="A2519" s="266">
        <v>300.0</v>
      </c>
      <c r="B2519" s="266"/>
      <c r="C2519" s="266">
        <v>5.0</v>
      </c>
      <c r="D2519" s="266" t="s">
        <v>8113</v>
      </c>
      <c r="E2519" s="266"/>
      <c r="F2519" s="266"/>
      <c r="G2519" s="266" t="s">
        <v>6304</v>
      </c>
      <c r="H2519" s="266" t="s">
        <v>8114</v>
      </c>
      <c r="I2519" s="266" t="s">
        <v>6305</v>
      </c>
      <c r="J2519" s="266"/>
      <c r="K2519" s="1"/>
      <c r="L2519" s="1"/>
    </row>
    <row r="2520">
      <c r="A2520" s="266">
        <v>400.0</v>
      </c>
      <c r="B2520" s="266"/>
      <c r="C2520" s="266">
        <v>5.0</v>
      </c>
      <c r="D2520" s="266" t="s">
        <v>8115</v>
      </c>
      <c r="E2520" s="266"/>
      <c r="F2520" s="266"/>
      <c r="G2520" s="266"/>
      <c r="H2520" s="266"/>
      <c r="I2520" s="266"/>
      <c r="J2520" s="267"/>
    </row>
    <row r="2521">
      <c r="A2521" s="266">
        <v>500.0</v>
      </c>
      <c r="B2521" s="266"/>
      <c r="C2521" s="266">
        <v>10.0</v>
      </c>
      <c r="D2521" s="266" t="s">
        <v>8116</v>
      </c>
      <c r="E2521" s="266"/>
      <c r="F2521" s="266"/>
      <c r="G2521" s="266" t="s">
        <v>6304</v>
      </c>
      <c r="H2521" s="266">
        <v>99.0</v>
      </c>
      <c r="I2521" s="266"/>
      <c r="J2521" s="266"/>
      <c r="K2521" s="1"/>
      <c r="L2521" s="1"/>
    </row>
    <row r="2522">
      <c r="A2522" s="266">
        <v>600.0</v>
      </c>
      <c r="B2522" s="266"/>
      <c r="C2522" s="266">
        <v>10.0</v>
      </c>
      <c r="D2522" s="266" t="s">
        <v>8117</v>
      </c>
      <c r="E2522" s="266"/>
      <c r="F2522" s="266"/>
      <c r="G2522" s="266" t="s">
        <v>6304</v>
      </c>
      <c r="H2522" s="266">
        <v>99.0</v>
      </c>
      <c r="I2522" s="266"/>
      <c r="J2522" s="266"/>
      <c r="K2522" s="1"/>
      <c r="L2522" s="1"/>
    </row>
    <row r="2523">
      <c r="A2523" s="266">
        <v>700.0</v>
      </c>
      <c r="B2523" s="266"/>
      <c r="C2523" s="266">
        <v>5.0</v>
      </c>
      <c r="D2523" s="266" t="s">
        <v>8118</v>
      </c>
      <c r="E2523" s="266"/>
      <c r="F2523" s="266"/>
      <c r="G2523" s="266" t="s">
        <v>6304</v>
      </c>
      <c r="H2523" s="266" t="s">
        <v>557</v>
      </c>
      <c r="I2523" s="266"/>
      <c r="J2523" s="266"/>
      <c r="K2523" s="1"/>
      <c r="L2523" s="1"/>
    </row>
    <row r="2524">
      <c r="A2524" s="266">
        <v>800.0</v>
      </c>
      <c r="B2524" s="266"/>
      <c r="C2524" s="266">
        <v>5.0</v>
      </c>
      <c r="D2524" s="266" t="s">
        <v>8119</v>
      </c>
      <c r="E2524" s="266" t="s">
        <v>6479</v>
      </c>
      <c r="F2524" s="266">
        <v>2.0</v>
      </c>
      <c r="G2524" s="266"/>
      <c r="H2524" s="266"/>
      <c r="I2524" s="266"/>
      <c r="J2524" s="267"/>
    </row>
    <row r="2525">
      <c r="A2525" s="266">
        <v>900.0</v>
      </c>
      <c r="B2525" s="266"/>
      <c r="C2525" s="266">
        <v>10.0</v>
      </c>
      <c r="D2525" s="266" t="s">
        <v>8120</v>
      </c>
      <c r="E2525" s="266"/>
      <c r="F2525" s="266"/>
      <c r="G2525" s="266" t="s">
        <v>6304</v>
      </c>
      <c r="H2525" s="266" t="s">
        <v>8121</v>
      </c>
      <c r="I2525" s="266"/>
      <c r="J2525" s="266"/>
      <c r="K2525" s="1"/>
      <c r="L2525" s="1"/>
    </row>
    <row r="2526">
      <c r="A2526" s="266">
        <v>1000.0</v>
      </c>
      <c r="B2526" s="266"/>
      <c r="C2526" s="266">
        <v>10.0</v>
      </c>
      <c r="D2526" s="266" t="s">
        <v>8122</v>
      </c>
      <c r="E2526" s="266"/>
      <c r="F2526" s="266"/>
      <c r="G2526" s="266" t="s">
        <v>6304</v>
      </c>
      <c r="H2526" s="266" t="s">
        <v>8114</v>
      </c>
      <c r="I2526" s="266" t="s">
        <v>6305</v>
      </c>
      <c r="J2526" s="266"/>
      <c r="K2526" s="1"/>
      <c r="L2526" s="1"/>
    </row>
    <row r="2527">
      <c r="A2527" s="266">
        <v>1100.0</v>
      </c>
      <c r="B2527" s="266"/>
      <c r="C2527" s="266">
        <v>10.0</v>
      </c>
      <c r="D2527" s="266" t="s">
        <v>8123</v>
      </c>
      <c r="E2527" s="266"/>
      <c r="F2527" s="266"/>
      <c r="G2527" s="266" t="s">
        <v>6304</v>
      </c>
      <c r="H2527" s="266" t="s">
        <v>8121</v>
      </c>
      <c r="I2527" s="266"/>
      <c r="J2527" s="266"/>
      <c r="K2527" s="1"/>
      <c r="L2527" s="1"/>
    </row>
    <row r="2528">
      <c r="A2528" s="266">
        <v>1200.0</v>
      </c>
      <c r="B2528" s="266"/>
      <c r="C2528" s="266">
        <v>10.0</v>
      </c>
      <c r="D2528" s="266" t="s">
        <v>8124</v>
      </c>
      <c r="E2528" s="266"/>
      <c r="F2528" s="266"/>
      <c r="G2528" s="266" t="s">
        <v>6304</v>
      </c>
      <c r="H2528" s="266" t="s">
        <v>8114</v>
      </c>
      <c r="I2528" s="266" t="s">
        <v>6305</v>
      </c>
      <c r="J2528" s="266"/>
      <c r="K2528" s="1"/>
      <c r="L2528" s="1"/>
    </row>
    <row r="2529">
      <c r="A2529" s="266">
        <v>1300.0</v>
      </c>
      <c r="B2529" s="266"/>
      <c r="C2529" s="266">
        <v>10.0</v>
      </c>
      <c r="D2529" s="266" t="s">
        <v>8125</v>
      </c>
      <c r="E2529" s="266"/>
      <c r="F2529" s="266"/>
      <c r="G2529" s="266" t="s">
        <v>6304</v>
      </c>
      <c r="H2529" s="266" t="s">
        <v>8121</v>
      </c>
      <c r="I2529" s="266"/>
      <c r="J2529" s="266"/>
      <c r="K2529" s="1"/>
      <c r="L2529" s="1"/>
    </row>
    <row r="2530">
      <c r="A2530" s="266">
        <v>1400.0</v>
      </c>
      <c r="B2530" s="266"/>
      <c r="C2530" s="266">
        <v>10.0</v>
      </c>
      <c r="D2530" s="266" t="s">
        <v>8126</v>
      </c>
      <c r="E2530" s="266"/>
      <c r="F2530" s="266"/>
      <c r="G2530" s="266" t="s">
        <v>6304</v>
      </c>
      <c r="H2530" s="266" t="s">
        <v>8114</v>
      </c>
      <c r="I2530" s="266" t="s">
        <v>6305</v>
      </c>
      <c r="J2530" s="266"/>
      <c r="K2530" s="1"/>
      <c r="L2530" s="1"/>
    </row>
    <row r="2531">
      <c r="A2531" s="266">
        <v>50.0</v>
      </c>
      <c r="B2531" s="266">
        <v>1.0</v>
      </c>
      <c r="C2531" s="266"/>
      <c r="D2531" s="266" t="s">
        <v>8127</v>
      </c>
      <c r="E2531" s="266"/>
      <c r="F2531" s="266"/>
      <c r="G2531" s="266"/>
      <c r="H2531" s="266"/>
      <c r="I2531" s="266"/>
      <c r="J2531" s="267"/>
    </row>
    <row r="2532">
      <c r="A2532" s="266">
        <v>100.0</v>
      </c>
      <c r="B2532" s="266"/>
      <c r="C2532" s="266">
        <v>5.0</v>
      </c>
      <c r="D2532" s="266" t="s">
        <v>7036</v>
      </c>
      <c r="E2532" s="266"/>
      <c r="F2532" s="266"/>
      <c r="G2532" s="266"/>
      <c r="H2532" s="266"/>
      <c r="I2532" s="266"/>
      <c r="J2532" s="267"/>
    </row>
    <row r="2533">
      <c r="A2533" s="266">
        <v>200.0</v>
      </c>
      <c r="B2533" s="266"/>
      <c r="C2533" s="266">
        <v>10.0</v>
      </c>
      <c r="D2533" s="266" t="s">
        <v>7037</v>
      </c>
      <c r="E2533" s="266"/>
      <c r="F2533" s="266"/>
      <c r="G2533" s="266" t="s">
        <v>6304</v>
      </c>
      <c r="H2533" s="266" t="s">
        <v>557</v>
      </c>
      <c r="I2533" s="266"/>
      <c r="J2533" s="266"/>
      <c r="K2533" s="1"/>
      <c r="L2533" s="1"/>
    </row>
    <row r="2534">
      <c r="A2534" s="266">
        <v>300.0</v>
      </c>
      <c r="B2534" s="266"/>
      <c r="C2534" s="266">
        <v>10.0</v>
      </c>
      <c r="D2534" s="266" t="s">
        <v>7038</v>
      </c>
      <c r="E2534" s="266"/>
      <c r="F2534" s="266"/>
      <c r="G2534" s="266" t="s">
        <v>6304</v>
      </c>
      <c r="H2534" s="266" t="s">
        <v>17</v>
      </c>
      <c r="I2534" s="266"/>
      <c r="J2534" s="266"/>
      <c r="K2534" s="1"/>
      <c r="L2534" s="1"/>
    </row>
    <row r="2535">
      <c r="A2535" s="266">
        <v>400.0</v>
      </c>
      <c r="B2535" s="266"/>
      <c r="C2535" s="266">
        <v>88.0</v>
      </c>
      <c r="D2535" s="266" t="s">
        <v>7039</v>
      </c>
      <c r="E2535" s="266" t="s">
        <v>6621</v>
      </c>
      <c r="F2535" s="269" t="s">
        <v>7040</v>
      </c>
      <c r="G2535" s="266"/>
      <c r="H2535" s="266"/>
      <c r="I2535" s="266"/>
      <c r="J2535" s="267"/>
    </row>
    <row r="2536">
      <c r="A2536" s="266">
        <v>500.0</v>
      </c>
      <c r="B2536" s="266"/>
      <c r="C2536" s="266">
        <v>88.0</v>
      </c>
      <c r="D2536" s="266" t="s">
        <v>7041</v>
      </c>
      <c r="E2536" s="266" t="s">
        <v>6621</v>
      </c>
      <c r="F2536" s="269" t="s">
        <v>7042</v>
      </c>
      <c r="G2536" s="266"/>
      <c r="H2536" s="266"/>
      <c r="I2536" s="266"/>
      <c r="J2536" s="267"/>
    </row>
    <row r="2537">
      <c r="A2537" s="266">
        <v>600.0</v>
      </c>
      <c r="B2537" s="266"/>
      <c r="C2537" s="266">
        <v>10.0</v>
      </c>
      <c r="D2537" s="266" t="s">
        <v>6306</v>
      </c>
      <c r="E2537" s="266"/>
      <c r="F2537" s="266"/>
      <c r="G2537" s="266" t="s">
        <v>6304</v>
      </c>
      <c r="H2537" s="266" t="s">
        <v>557</v>
      </c>
      <c r="I2537" s="266"/>
      <c r="J2537" s="266"/>
      <c r="K2537" s="1"/>
      <c r="L2537" s="1"/>
    </row>
    <row r="2538">
      <c r="A2538" s="266">
        <v>700.0</v>
      </c>
      <c r="B2538" s="266"/>
      <c r="C2538" s="266">
        <v>10.0</v>
      </c>
      <c r="D2538" s="266" t="s">
        <v>7043</v>
      </c>
      <c r="E2538" s="266"/>
      <c r="F2538" s="266"/>
      <c r="G2538" s="266" t="s">
        <v>6304</v>
      </c>
      <c r="H2538" s="266" t="s">
        <v>6317</v>
      </c>
      <c r="I2538" s="266"/>
      <c r="J2538" s="266"/>
      <c r="K2538" s="1"/>
      <c r="L2538" s="1"/>
    </row>
    <row r="2539">
      <c r="A2539" s="266">
        <v>800.0</v>
      </c>
      <c r="B2539" s="266"/>
      <c r="C2539" s="266">
        <v>5.0</v>
      </c>
      <c r="D2539" s="266" t="s">
        <v>8128</v>
      </c>
      <c r="E2539" s="266" t="s">
        <v>6603</v>
      </c>
      <c r="F2539" s="266" t="s">
        <v>8129</v>
      </c>
      <c r="G2539" s="266" t="s">
        <v>6304</v>
      </c>
      <c r="H2539" s="266" t="s">
        <v>6588</v>
      </c>
      <c r="I2539" s="266"/>
      <c r="J2539" s="267"/>
    </row>
    <row r="2540">
      <c r="A2540" s="266">
        <v>900.0</v>
      </c>
      <c r="B2540" s="266"/>
      <c r="C2540" s="266">
        <v>5.0</v>
      </c>
      <c r="D2540" s="266" t="s">
        <v>7063</v>
      </c>
      <c r="E2540" s="266"/>
      <c r="F2540" s="266"/>
      <c r="G2540" s="266" t="s">
        <v>6304</v>
      </c>
      <c r="H2540" s="266" t="s">
        <v>4103</v>
      </c>
      <c r="I2540" s="266"/>
      <c r="J2540" s="266"/>
      <c r="K2540" s="1"/>
      <c r="L2540" s="1"/>
    </row>
    <row r="2541">
      <c r="A2541" s="266">
        <v>1000.0</v>
      </c>
      <c r="B2541" s="266"/>
      <c r="C2541" s="266">
        <v>5.0</v>
      </c>
      <c r="D2541" s="266" t="s">
        <v>7070</v>
      </c>
      <c r="E2541" s="266"/>
      <c r="F2541" s="266"/>
      <c r="G2541" s="266" t="s">
        <v>6304</v>
      </c>
      <c r="H2541" s="266" t="s">
        <v>552</v>
      </c>
      <c r="I2541" s="266"/>
      <c r="J2541" s="266"/>
      <c r="K2541" s="1"/>
      <c r="L2541" s="1"/>
    </row>
    <row r="2542">
      <c r="A2542" s="266">
        <v>1100.0</v>
      </c>
      <c r="B2542" s="266"/>
      <c r="C2542" s="266">
        <v>5.0</v>
      </c>
      <c r="D2542" s="266" t="s">
        <v>8130</v>
      </c>
      <c r="E2542" s="266"/>
      <c r="F2542" s="266"/>
      <c r="G2542" s="266" t="s">
        <v>6304</v>
      </c>
      <c r="H2542" s="266" t="s">
        <v>552</v>
      </c>
      <c r="I2542" s="266"/>
      <c r="J2542" s="266"/>
      <c r="K2542" s="1"/>
      <c r="L2542" s="1"/>
    </row>
    <row r="2543">
      <c r="A2543" s="266">
        <v>1200.0</v>
      </c>
      <c r="B2543" s="266"/>
      <c r="C2543" s="266">
        <v>5.0</v>
      </c>
      <c r="D2543" s="266" t="s">
        <v>8106</v>
      </c>
      <c r="E2543" s="266"/>
      <c r="F2543" s="266"/>
      <c r="G2543" s="266" t="s">
        <v>6304</v>
      </c>
      <c r="H2543" s="266" t="s">
        <v>15</v>
      </c>
      <c r="I2543" s="266"/>
      <c r="J2543" s="266"/>
      <c r="K2543" s="1"/>
      <c r="L2543" s="1"/>
    </row>
    <row r="2544">
      <c r="A2544" s="266">
        <v>1300.0</v>
      </c>
      <c r="B2544" s="266"/>
      <c r="C2544" s="266">
        <v>5.0</v>
      </c>
      <c r="D2544" s="266" t="s">
        <v>6306</v>
      </c>
      <c r="E2544" s="266"/>
      <c r="F2544" s="266"/>
      <c r="G2544" s="266" t="s">
        <v>6304</v>
      </c>
      <c r="H2544" s="266" t="s">
        <v>17</v>
      </c>
      <c r="I2544" s="266"/>
      <c r="J2544" s="266"/>
      <c r="K2544" s="1"/>
      <c r="L2544" s="1"/>
    </row>
    <row r="2545">
      <c r="A2545" s="266">
        <v>50.0</v>
      </c>
      <c r="B2545" s="266">
        <v>1.0</v>
      </c>
      <c r="C2545" s="266"/>
      <c r="D2545" s="266" t="s">
        <v>8131</v>
      </c>
      <c r="E2545" s="266"/>
      <c r="F2545" s="266"/>
      <c r="G2545" s="266"/>
      <c r="H2545" s="266"/>
      <c r="I2545" s="266"/>
      <c r="J2545" s="267"/>
    </row>
    <row r="2546">
      <c r="A2546" s="266">
        <v>100.0</v>
      </c>
      <c r="B2546" s="266"/>
      <c r="C2546" s="266">
        <v>5.0</v>
      </c>
      <c r="D2546" s="266" t="s">
        <v>8132</v>
      </c>
      <c r="E2546" s="266"/>
      <c r="F2546" s="266"/>
      <c r="G2546" s="266"/>
      <c r="H2546" s="266"/>
      <c r="I2546" s="266"/>
      <c r="J2546" s="267"/>
    </row>
    <row r="2547">
      <c r="A2547" s="266">
        <v>200.0</v>
      </c>
      <c r="B2547" s="266"/>
      <c r="C2547" s="266">
        <v>10.0</v>
      </c>
      <c r="D2547" s="266" t="s">
        <v>514</v>
      </c>
      <c r="E2547" s="266"/>
      <c r="F2547" s="266"/>
      <c r="G2547" s="266" t="s">
        <v>6304</v>
      </c>
      <c r="H2547" s="266" t="s">
        <v>551</v>
      </c>
      <c r="I2547" s="266"/>
      <c r="J2547" s="266"/>
      <c r="K2547" s="1"/>
      <c r="L2547" s="1"/>
    </row>
    <row r="2548">
      <c r="A2548" s="266">
        <v>300.0</v>
      </c>
      <c r="B2548" s="266"/>
      <c r="C2548" s="266">
        <v>10.0</v>
      </c>
      <c r="D2548" s="266" t="s">
        <v>8133</v>
      </c>
      <c r="E2548" s="266"/>
      <c r="F2548" s="266"/>
      <c r="G2548" s="266" t="s">
        <v>6304</v>
      </c>
      <c r="H2548" s="266" t="s">
        <v>3806</v>
      </c>
      <c r="I2548" s="266"/>
      <c r="J2548" s="266"/>
      <c r="K2548" s="1"/>
      <c r="L2548" s="1"/>
    </row>
    <row r="2549">
      <c r="A2549" s="266">
        <v>400.0</v>
      </c>
      <c r="B2549" s="266"/>
      <c r="C2549" s="266">
        <v>5.0</v>
      </c>
      <c r="D2549" s="266" t="s">
        <v>6306</v>
      </c>
      <c r="E2549" s="266"/>
      <c r="F2549" s="266"/>
      <c r="G2549" s="266" t="s">
        <v>6304</v>
      </c>
      <c r="H2549" s="266" t="s">
        <v>7230</v>
      </c>
      <c r="I2549" s="266"/>
      <c r="J2549" s="266"/>
      <c r="K2549" s="1"/>
      <c r="L2549" s="1"/>
    </row>
    <row r="2550">
      <c r="A2550" s="266">
        <v>50.0</v>
      </c>
      <c r="B2550" s="266">
        <v>1.0</v>
      </c>
      <c r="C2550" s="266"/>
      <c r="D2550" s="266" t="s">
        <v>8134</v>
      </c>
      <c r="E2550" s="266"/>
      <c r="F2550" s="266"/>
      <c r="G2550" s="266"/>
      <c r="H2550" s="266"/>
      <c r="I2550" s="266"/>
      <c r="J2550" s="267"/>
    </row>
    <row r="2551">
      <c r="A2551" s="266">
        <v>100.0</v>
      </c>
      <c r="B2551" s="266"/>
      <c r="C2551" s="266">
        <v>5.0</v>
      </c>
      <c r="D2551" s="266" t="s">
        <v>8135</v>
      </c>
      <c r="E2551" s="266"/>
      <c r="F2551" s="266"/>
      <c r="G2551" s="266"/>
      <c r="H2551" s="266"/>
      <c r="I2551" s="266"/>
      <c r="J2551" s="267"/>
    </row>
    <row r="2552">
      <c r="A2552" s="266">
        <v>200.0</v>
      </c>
      <c r="B2552" s="266"/>
      <c r="C2552" s="266">
        <v>10.0</v>
      </c>
      <c r="D2552" s="266" t="s">
        <v>8136</v>
      </c>
      <c r="E2552" s="266"/>
      <c r="F2552" s="266"/>
      <c r="G2552" s="266" t="s">
        <v>6304</v>
      </c>
      <c r="H2552" s="266" t="s">
        <v>557</v>
      </c>
      <c r="I2552" s="266"/>
      <c r="J2552" s="266"/>
      <c r="K2552" s="1"/>
      <c r="L2552" s="1"/>
    </row>
    <row r="2553">
      <c r="A2553" s="266">
        <v>300.0</v>
      </c>
      <c r="B2553" s="266"/>
      <c r="C2553" s="266">
        <v>88.0</v>
      </c>
      <c r="D2553" s="266" t="s">
        <v>8137</v>
      </c>
      <c r="E2553" s="266" t="s">
        <v>6621</v>
      </c>
      <c r="F2553" s="269" t="s">
        <v>6622</v>
      </c>
      <c r="G2553" s="266"/>
      <c r="H2553" s="266"/>
      <c r="I2553" s="266"/>
      <c r="J2553" s="267"/>
    </row>
    <row r="2554">
      <c r="A2554" s="266">
        <v>400.0</v>
      </c>
      <c r="B2554" s="266"/>
      <c r="C2554" s="266">
        <v>88.0</v>
      </c>
      <c r="D2554" s="266" t="s">
        <v>8138</v>
      </c>
      <c r="E2554" s="266" t="s">
        <v>6621</v>
      </c>
      <c r="F2554" s="269" t="s">
        <v>6624</v>
      </c>
      <c r="G2554" s="266"/>
      <c r="H2554" s="266"/>
      <c r="I2554" s="266"/>
      <c r="J2554" s="267"/>
    </row>
    <row r="2555">
      <c r="A2555" s="266">
        <v>500.0</v>
      </c>
      <c r="B2555" s="266"/>
      <c r="C2555" s="266">
        <v>88.0</v>
      </c>
      <c r="D2555" s="266" t="s">
        <v>8139</v>
      </c>
      <c r="E2555" s="266" t="s">
        <v>6621</v>
      </c>
      <c r="F2555" s="269" t="s">
        <v>6626</v>
      </c>
      <c r="G2555" s="266"/>
      <c r="H2555" s="266"/>
      <c r="I2555" s="266"/>
      <c r="J2555" s="267"/>
    </row>
    <row r="2556">
      <c r="A2556" s="266">
        <v>600.0</v>
      </c>
      <c r="B2556" s="266"/>
      <c r="C2556" s="266">
        <v>10.0</v>
      </c>
      <c r="D2556" s="266" t="s">
        <v>7061</v>
      </c>
      <c r="E2556" s="266"/>
      <c r="F2556" s="266"/>
      <c r="G2556" s="266" t="s">
        <v>6304</v>
      </c>
      <c r="H2556" s="266" t="s">
        <v>551</v>
      </c>
      <c r="I2556" s="266"/>
      <c r="J2556" s="266"/>
      <c r="K2556" s="1"/>
      <c r="L2556" s="1"/>
    </row>
    <row r="2557">
      <c r="A2557" s="266">
        <v>700.0</v>
      </c>
      <c r="B2557" s="266"/>
      <c r="C2557" s="266">
        <v>10.0</v>
      </c>
      <c r="D2557" s="266" t="s">
        <v>7062</v>
      </c>
      <c r="E2557" s="266"/>
      <c r="F2557" s="266"/>
      <c r="G2557" s="266" t="s">
        <v>6304</v>
      </c>
      <c r="H2557" s="266" t="s">
        <v>556</v>
      </c>
      <c r="I2557" s="266"/>
      <c r="J2557" s="266"/>
      <c r="K2557" s="1"/>
      <c r="L2557" s="1"/>
    </row>
    <row r="2558">
      <c r="A2558" s="266">
        <v>800.0</v>
      </c>
      <c r="B2558" s="266"/>
      <c r="C2558" s="266">
        <v>10.0</v>
      </c>
      <c r="D2558" s="266" t="s">
        <v>8140</v>
      </c>
      <c r="E2558" s="266"/>
      <c r="F2558" s="266"/>
      <c r="G2558" s="266" t="s">
        <v>6304</v>
      </c>
      <c r="H2558" s="266" t="s">
        <v>556</v>
      </c>
      <c r="I2558" s="266"/>
      <c r="J2558" s="266"/>
      <c r="K2558" s="1"/>
      <c r="L2558" s="1"/>
    </row>
    <row r="2559">
      <c r="A2559" s="266">
        <v>900.0</v>
      </c>
      <c r="B2559" s="266"/>
      <c r="C2559" s="266">
        <v>10.0</v>
      </c>
      <c r="D2559" s="266" t="s">
        <v>8141</v>
      </c>
      <c r="E2559" s="266"/>
      <c r="F2559" s="266"/>
      <c r="G2559" s="266"/>
      <c r="H2559" s="266"/>
      <c r="I2559" s="266"/>
      <c r="J2559" s="267"/>
    </row>
    <row r="2560">
      <c r="A2560" s="266">
        <v>1000.0</v>
      </c>
      <c r="B2560" s="266"/>
      <c r="C2560" s="266">
        <v>15.0</v>
      </c>
      <c r="D2560" s="266" t="s">
        <v>417</v>
      </c>
      <c r="E2560" s="266"/>
      <c r="F2560" s="266"/>
      <c r="G2560" s="266" t="s">
        <v>6304</v>
      </c>
      <c r="H2560" s="266" t="s">
        <v>551</v>
      </c>
      <c r="I2560" s="266"/>
      <c r="J2560" s="266"/>
      <c r="K2560" s="1"/>
      <c r="L2560" s="1"/>
    </row>
    <row r="2561">
      <c r="A2561" s="266">
        <v>1100.0</v>
      </c>
      <c r="B2561" s="266"/>
      <c r="C2561" s="266">
        <v>15.0</v>
      </c>
      <c r="D2561" s="266" t="s">
        <v>7113</v>
      </c>
      <c r="E2561" s="266"/>
      <c r="F2561" s="266"/>
      <c r="G2561" s="266" t="s">
        <v>6304</v>
      </c>
      <c r="H2561" s="266" t="s">
        <v>551</v>
      </c>
      <c r="I2561" s="266"/>
      <c r="J2561" s="266"/>
      <c r="K2561" s="1"/>
      <c r="L2561" s="1"/>
    </row>
    <row r="2562">
      <c r="A2562" s="266">
        <v>1200.0</v>
      </c>
      <c r="B2562" s="266"/>
      <c r="C2562" s="266">
        <v>5.0</v>
      </c>
      <c r="D2562" s="266" t="s">
        <v>7968</v>
      </c>
      <c r="E2562" s="266"/>
      <c r="F2562" s="266"/>
      <c r="G2562" s="266" t="s">
        <v>6304</v>
      </c>
      <c r="H2562" s="266" t="s">
        <v>6777</v>
      </c>
      <c r="I2562" s="266" t="s">
        <v>6592</v>
      </c>
      <c r="J2562" s="266"/>
      <c r="K2562" s="1"/>
      <c r="L2562" s="1"/>
    </row>
    <row r="2563">
      <c r="A2563" s="266">
        <v>1300.0</v>
      </c>
      <c r="B2563" s="266"/>
      <c r="C2563" s="266">
        <v>5.0</v>
      </c>
      <c r="D2563" s="266" t="s">
        <v>8142</v>
      </c>
      <c r="E2563" s="266" t="s">
        <v>6479</v>
      </c>
      <c r="F2563" s="266">
        <v>1500.0</v>
      </c>
      <c r="G2563" s="266"/>
      <c r="H2563" s="266"/>
      <c r="I2563" s="266"/>
      <c r="J2563" s="267"/>
    </row>
    <row r="2564">
      <c r="A2564" s="266">
        <v>1350.0</v>
      </c>
      <c r="B2564" s="266" t="s">
        <v>6779</v>
      </c>
      <c r="C2564" s="266" t="s">
        <v>6779</v>
      </c>
      <c r="D2564" s="266" t="s">
        <v>444</v>
      </c>
      <c r="E2564" s="266" t="s">
        <v>8143</v>
      </c>
      <c r="F2564" s="266"/>
      <c r="G2564" s="266"/>
      <c r="H2564" s="266"/>
      <c r="I2564" s="266"/>
      <c r="J2564" s="267"/>
    </row>
    <row r="2565">
      <c r="A2565" s="266">
        <v>1400.0</v>
      </c>
      <c r="B2565" s="266"/>
      <c r="C2565" s="266">
        <v>10.0</v>
      </c>
      <c r="D2565" s="266" t="s">
        <v>8144</v>
      </c>
      <c r="E2565" s="266"/>
      <c r="F2565" s="266"/>
      <c r="G2565" s="266" t="s">
        <v>6304</v>
      </c>
      <c r="H2565" s="266" t="s">
        <v>551</v>
      </c>
      <c r="I2565" s="266"/>
      <c r="J2565" s="266"/>
      <c r="K2565" s="1"/>
      <c r="L2565" s="1"/>
    </row>
    <row r="2566">
      <c r="A2566" s="266">
        <v>1500.0</v>
      </c>
      <c r="B2566" s="266"/>
      <c r="C2566" s="266">
        <v>10.0</v>
      </c>
      <c r="D2566" s="266" t="s">
        <v>8145</v>
      </c>
      <c r="E2566" s="266"/>
      <c r="F2566" s="266"/>
      <c r="G2566" s="266" t="s">
        <v>6304</v>
      </c>
      <c r="H2566" s="266" t="s">
        <v>561</v>
      </c>
      <c r="I2566" s="266"/>
      <c r="J2566" s="266"/>
      <c r="K2566" s="1"/>
      <c r="L2566" s="1"/>
    </row>
    <row r="2567">
      <c r="A2567" s="266">
        <v>1600.0</v>
      </c>
      <c r="B2567" s="266"/>
      <c r="C2567" s="266">
        <v>10.0</v>
      </c>
      <c r="D2567" s="266" t="s">
        <v>8146</v>
      </c>
      <c r="E2567" s="266"/>
      <c r="F2567" s="266"/>
      <c r="G2567" s="266" t="s">
        <v>6304</v>
      </c>
      <c r="H2567" s="266" t="s">
        <v>551</v>
      </c>
      <c r="I2567" s="266"/>
      <c r="J2567" s="266"/>
      <c r="K2567" s="1"/>
      <c r="L2567" s="1"/>
    </row>
    <row r="2568">
      <c r="A2568" s="266">
        <v>1700.0</v>
      </c>
      <c r="B2568" s="266"/>
      <c r="C2568" s="266">
        <v>10.0</v>
      </c>
      <c r="D2568" s="266" t="s">
        <v>8147</v>
      </c>
      <c r="E2568" s="266"/>
      <c r="F2568" s="266"/>
      <c r="G2568" s="266" t="s">
        <v>6304</v>
      </c>
      <c r="H2568" s="266" t="s">
        <v>8148</v>
      </c>
      <c r="I2568" s="266"/>
      <c r="J2568" s="266"/>
      <c r="K2568" s="1"/>
      <c r="L2568" s="1"/>
    </row>
    <row r="2569">
      <c r="A2569" s="266">
        <v>50.0</v>
      </c>
      <c r="B2569" s="266">
        <v>1.0</v>
      </c>
      <c r="C2569" s="266"/>
      <c r="D2569" s="266" t="s">
        <v>8149</v>
      </c>
      <c r="E2569" s="266"/>
      <c r="F2569" s="266"/>
      <c r="G2569" s="266"/>
      <c r="H2569" s="266"/>
      <c r="I2569" s="266"/>
      <c r="J2569" s="267"/>
    </row>
    <row r="2570">
      <c r="A2570" s="266">
        <v>100.0</v>
      </c>
      <c r="B2570" s="266"/>
      <c r="C2570" s="266">
        <v>5.0</v>
      </c>
      <c r="D2570" s="266" t="s">
        <v>8150</v>
      </c>
      <c r="E2570" s="266"/>
      <c r="F2570" s="266"/>
      <c r="G2570" s="266" t="s">
        <v>6304</v>
      </c>
      <c r="H2570" s="266" t="s">
        <v>607</v>
      </c>
      <c r="I2570" s="266"/>
      <c r="J2570" s="266"/>
      <c r="K2570" s="1"/>
      <c r="L2570" s="1"/>
    </row>
    <row r="2571">
      <c r="A2571" s="266">
        <v>200.0</v>
      </c>
      <c r="B2571" s="266"/>
      <c r="C2571" s="266">
        <v>5.0</v>
      </c>
      <c r="D2571" s="266" t="s">
        <v>8151</v>
      </c>
      <c r="E2571" s="266"/>
      <c r="F2571" s="266"/>
      <c r="G2571" s="266" t="s">
        <v>6304</v>
      </c>
      <c r="H2571" s="266" t="s">
        <v>8152</v>
      </c>
      <c r="I2571" s="266"/>
      <c r="J2571" s="266"/>
      <c r="K2571" s="1"/>
      <c r="L2571" s="1"/>
    </row>
    <row r="2572">
      <c r="A2572" s="266">
        <v>300.0</v>
      </c>
      <c r="B2572" s="266"/>
      <c r="C2572" s="266">
        <v>5.0</v>
      </c>
      <c r="D2572" s="266" t="s">
        <v>8153</v>
      </c>
      <c r="E2572" s="266"/>
      <c r="F2572" s="266"/>
      <c r="G2572" s="266" t="s">
        <v>6304</v>
      </c>
      <c r="H2572" s="266" t="s">
        <v>8152</v>
      </c>
      <c r="I2572" s="266"/>
      <c r="J2572" s="266"/>
      <c r="K2572" s="1"/>
      <c r="L2572" s="1"/>
    </row>
    <row r="2573">
      <c r="A2573" s="266">
        <v>400.0</v>
      </c>
      <c r="B2573" s="266"/>
      <c r="C2573" s="266">
        <v>5.0</v>
      </c>
      <c r="D2573" s="266" t="s">
        <v>6306</v>
      </c>
      <c r="E2573" s="266"/>
      <c r="F2573" s="266"/>
      <c r="G2573" s="266" t="s">
        <v>6304</v>
      </c>
      <c r="H2573" s="266" t="s">
        <v>8154</v>
      </c>
      <c r="I2573" s="266"/>
      <c r="J2573" s="266"/>
      <c r="K2573" s="1"/>
      <c r="L2573" s="1"/>
    </row>
    <row r="2574">
      <c r="A2574" s="266">
        <v>50.0</v>
      </c>
      <c r="B2574" s="266">
        <v>1.0</v>
      </c>
      <c r="C2574" s="266"/>
      <c r="D2574" s="266" t="s">
        <v>8155</v>
      </c>
      <c r="E2574" s="266"/>
      <c r="F2574" s="266"/>
      <c r="G2574" s="266"/>
      <c r="H2574" s="266"/>
      <c r="I2574" s="266"/>
      <c r="J2574" s="267"/>
    </row>
    <row r="2575">
      <c r="A2575" s="266">
        <v>100.0</v>
      </c>
      <c r="B2575" s="266"/>
      <c r="C2575" s="266">
        <v>5.0</v>
      </c>
      <c r="D2575" s="266" t="s">
        <v>5115</v>
      </c>
      <c r="E2575" s="266"/>
      <c r="F2575" s="266"/>
      <c r="G2575" s="266" t="s">
        <v>6304</v>
      </c>
      <c r="H2575" s="266" t="s">
        <v>5112</v>
      </c>
      <c r="I2575" s="266" t="s">
        <v>6592</v>
      </c>
      <c r="J2575" s="266"/>
      <c r="K2575" s="1"/>
      <c r="L2575" s="1"/>
    </row>
    <row r="2576">
      <c r="A2576" s="266">
        <v>200.0</v>
      </c>
      <c r="B2576" s="266"/>
      <c r="C2576" s="266">
        <v>5.0</v>
      </c>
      <c r="D2576" s="266" t="s">
        <v>5116</v>
      </c>
      <c r="E2576" s="266"/>
      <c r="F2576" s="266"/>
      <c r="G2576" s="266" t="s">
        <v>6304</v>
      </c>
      <c r="H2576" s="266" t="s">
        <v>5112</v>
      </c>
      <c r="I2576" s="266" t="s">
        <v>6592</v>
      </c>
      <c r="J2576" s="266"/>
      <c r="K2576" s="1"/>
      <c r="L2576" s="1"/>
    </row>
    <row r="2577">
      <c r="A2577" s="266">
        <v>50.0</v>
      </c>
      <c r="B2577" s="266">
        <v>1.0</v>
      </c>
      <c r="C2577" s="266"/>
      <c r="D2577" s="266" t="s">
        <v>8156</v>
      </c>
      <c r="E2577" s="266"/>
      <c r="F2577" s="266"/>
      <c r="G2577" s="266"/>
      <c r="H2577" s="266"/>
      <c r="I2577" s="266"/>
      <c r="J2577" s="267"/>
    </row>
    <row r="2578">
      <c r="A2578" s="266">
        <v>100.0</v>
      </c>
      <c r="B2578" s="266"/>
      <c r="C2578" s="266">
        <v>5.0</v>
      </c>
      <c r="D2578" s="266" t="s">
        <v>3790</v>
      </c>
      <c r="E2578" s="266"/>
      <c r="F2578" s="266"/>
      <c r="G2578" s="266" t="s">
        <v>6304</v>
      </c>
      <c r="H2578" s="266" t="s">
        <v>14</v>
      </c>
      <c r="I2578" s="266"/>
      <c r="J2578" s="266"/>
      <c r="K2578" s="1"/>
      <c r="L2578" s="1"/>
    </row>
    <row r="2579">
      <c r="A2579" s="266">
        <v>200.0</v>
      </c>
      <c r="B2579" s="266"/>
      <c r="C2579" s="266">
        <v>5.0</v>
      </c>
      <c r="D2579" s="266" t="s">
        <v>8157</v>
      </c>
      <c r="E2579" s="266"/>
      <c r="F2579" s="266"/>
      <c r="G2579" s="266"/>
      <c r="H2579" s="266"/>
      <c r="I2579" s="266"/>
      <c r="J2579" s="267"/>
    </row>
    <row r="2580">
      <c r="A2580" s="266">
        <v>300.0</v>
      </c>
      <c r="B2580" s="266"/>
      <c r="C2580" s="266">
        <v>10.0</v>
      </c>
      <c r="D2580" s="266" t="s">
        <v>2782</v>
      </c>
      <c r="E2580" s="266"/>
      <c r="F2580" s="266"/>
      <c r="G2580" s="266" t="s">
        <v>6304</v>
      </c>
      <c r="H2580" s="266">
        <v>99.0</v>
      </c>
      <c r="I2580" s="266"/>
      <c r="J2580" s="266"/>
      <c r="K2580" s="1"/>
      <c r="L2580" s="1"/>
    </row>
    <row r="2581">
      <c r="A2581" s="266">
        <v>400.0</v>
      </c>
      <c r="B2581" s="266"/>
      <c r="C2581" s="266">
        <v>10.0</v>
      </c>
      <c r="D2581" s="266" t="s">
        <v>2783</v>
      </c>
      <c r="E2581" s="266"/>
      <c r="F2581" s="266"/>
      <c r="G2581" s="266" t="s">
        <v>6304</v>
      </c>
      <c r="H2581" s="266" t="s">
        <v>17</v>
      </c>
      <c r="I2581" s="266"/>
      <c r="J2581" s="266"/>
      <c r="K2581" s="1"/>
      <c r="L2581" s="1"/>
    </row>
    <row r="2582">
      <c r="A2582" s="266">
        <v>500.0</v>
      </c>
      <c r="B2582" s="266"/>
      <c r="C2582" s="266">
        <v>10.0</v>
      </c>
      <c r="D2582" s="266" t="s">
        <v>2784</v>
      </c>
      <c r="E2582" s="266"/>
      <c r="F2582" s="266"/>
      <c r="G2582" s="266" t="s">
        <v>6304</v>
      </c>
      <c r="H2582" s="266">
        <v>9.0</v>
      </c>
      <c r="I2582" s="266"/>
      <c r="J2582" s="266"/>
      <c r="K2582" s="1"/>
      <c r="L2582" s="1"/>
    </row>
    <row r="2583">
      <c r="A2583" s="266">
        <v>600.0</v>
      </c>
      <c r="B2583" s="266"/>
      <c r="C2583" s="266">
        <v>5.0</v>
      </c>
      <c r="D2583" s="266" t="s">
        <v>3791</v>
      </c>
      <c r="E2583" s="266"/>
      <c r="F2583" s="266"/>
      <c r="G2583" s="266" t="s">
        <v>6304</v>
      </c>
      <c r="H2583" s="266">
        <v>9.0</v>
      </c>
      <c r="I2583" s="266"/>
      <c r="J2583" s="266"/>
      <c r="K2583" s="1"/>
      <c r="L2583" s="1"/>
    </row>
    <row r="2584">
      <c r="A2584" s="266">
        <v>700.0</v>
      </c>
      <c r="B2584" s="266"/>
      <c r="C2584" s="266">
        <v>5.0</v>
      </c>
      <c r="D2584" s="266" t="s">
        <v>2780</v>
      </c>
      <c r="E2584" s="266"/>
      <c r="F2584" s="266"/>
      <c r="G2584" s="266" t="s">
        <v>6304</v>
      </c>
      <c r="H2584" s="266" t="s">
        <v>2770</v>
      </c>
      <c r="I2584" s="266"/>
      <c r="J2584" s="266"/>
      <c r="K2584" s="1"/>
      <c r="L2584" s="1"/>
    </row>
    <row r="2585">
      <c r="A2585" s="266">
        <v>800.0</v>
      </c>
      <c r="B2585" s="266"/>
      <c r="C2585" s="266">
        <v>5.0</v>
      </c>
      <c r="D2585" s="266" t="s">
        <v>2781</v>
      </c>
      <c r="E2585" s="266"/>
      <c r="F2585" s="266"/>
      <c r="G2585" s="266" t="s">
        <v>6304</v>
      </c>
      <c r="H2585" s="266">
        <v>9.0</v>
      </c>
      <c r="I2585" s="266"/>
      <c r="J2585" s="266"/>
      <c r="K2585" s="1"/>
      <c r="L2585" s="1"/>
    </row>
    <row r="2586">
      <c r="A2586" s="266">
        <v>900.0</v>
      </c>
      <c r="B2586" s="266"/>
      <c r="C2586" s="266">
        <v>5.0</v>
      </c>
      <c r="D2586" s="266" t="s">
        <v>3792</v>
      </c>
      <c r="E2586" s="266" t="s">
        <v>6479</v>
      </c>
      <c r="F2586" s="266">
        <v>99.0</v>
      </c>
      <c r="G2586" s="266" t="s">
        <v>6304</v>
      </c>
      <c r="H2586" s="266">
        <v>9.0</v>
      </c>
      <c r="I2586" s="266"/>
      <c r="J2586" s="267"/>
    </row>
    <row r="2587">
      <c r="A2587" s="266">
        <v>1000.0</v>
      </c>
      <c r="B2587" s="266"/>
      <c r="C2587" s="266">
        <v>5.0</v>
      </c>
      <c r="D2587" s="266" t="s">
        <v>2785</v>
      </c>
      <c r="E2587" s="266"/>
      <c r="F2587" s="266"/>
      <c r="G2587" s="266" t="s">
        <v>6304</v>
      </c>
      <c r="H2587" s="266" t="s">
        <v>555</v>
      </c>
      <c r="I2587" s="266"/>
      <c r="J2587" s="266"/>
      <c r="K2587" s="1"/>
      <c r="L2587" s="1"/>
    </row>
    <row r="2588">
      <c r="A2588" s="266">
        <v>1100.0</v>
      </c>
      <c r="B2588" s="266"/>
      <c r="C2588" s="266">
        <v>5.0</v>
      </c>
      <c r="D2588" s="266" t="s">
        <v>6306</v>
      </c>
      <c r="E2588" s="266"/>
      <c r="F2588" s="266"/>
      <c r="G2588" s="266" t="s">
        <v>6304</v>
      </c>
      <c r="H2588" s="266" t="s">
        <v>6851</v>
      </c>
      <c r="I2588" s="266"/>
      <c r="J2588" s="266"/>
      <c r="K2588" s="1"/>
      <c r="L2588" s="1"/>
    </row>
    <row r="2589">
      <c r="A2589" s="266">
        <v>50.0</v>
      </c>
      <c r="B2589" s="266">
        <v>1.0</v>
      </c>
      <c r="C2589" s="266"/>
      <c r="D2589" s="266" t="s">
        <v>8158</v>
      </c>
      <c r="E2589" s="266"/>
      <c r="F2589" s="266"/>
      <c r="G2589" s="266"/>
      <c r="H2589" s="266"/>
      <c r="I2589" s="266"/>
      <c r="J2589" s="267"/>
    </row>
    <row r="2590">
      <c r="A2590" s="266">
        <v>100.0</v>
      </c>
      <c r="B2590" s="266"/>
      <c r="C2590" s="266">
        <v>5.0</v>
      </c>
      <c r="D2590" s="266" t="s">
        <v>5119</v>
      </c>
      <c r="E2590" s="266"/>
      <c r="F2590" s="266"/>
      <c r="G2590" s="266" t="s">
        <v>6304</v>
      </c>
      <c r="H2590" s="266">
        <v>99.0</v>
      </c>
      <c r="I2590" s="266" t="s">
        <v>6621</v>
      </c>
      <c r="J2590" s="266">
        <v>1.0</v>
      </c>
      <c r="K2590" s="1"/>
      <c r="L2590" s="1">
        <v>1.0</v>
      </c>
    </row>
    <row r="2591">
      <c r="A2591" s="266">
        <v>200.0</v>
      </c>
      <c r="B2591" s="266"/>
      <c r="C2591" s="266">
        <v>5.0</v>
      </c>
      <c r="D2591" s="266" t="s">
        <v>5120</v>
      </c>
      <c r="E2591" s="266"/>
      <c r="F2591" s="266"/>
      <c r="G2591" s="266" t="s">
        <v>6304</v>
      </c>
      <c r="H2591" s="266" t="s">
        <v>4103</v>
      </c>
      <c r="I2591" s="266"/>
      <c r="J2591" s="266"/>
      <c r="K2591" s="1"/>
      <c r="L2591" s="1"/>
    </row>
    <row r="2592">
      <c r="A2592" s="266">
        <v>300.0</v>
      </c>
      <c r="B2592" s="266"/>
      <c r="C2592" s="266">
        <v>5.0</v>
      </c>
      <c r="D2592" s="266" t="s">
        <v>5121</v>
      </c>
      <c r="E2592" s="266"/>
      <c r="F2592" s="266"/>
      <c r="G2592" s="266" t="s">
        <v>6304</v>
      </c>
      <c r="H2592" s="266" t="s">
        <v>555</v>
      </c>
      <c r="I2592" s="266"/>
      <c r="J2592" s="266"/>
      <c r="K2592" s="1"/>
      <c r="L2592" s="1"/>
    </row>
    <row r="2593">
      <c r="A2593" s="266">
        <v>400.0</v>
      </c>
      <c r="B2593" s="266"/>
      <c r="C2593" s="266">
        <v>5.0</v>
      </c>
      <c r="D2593" s="266" t="s">
        <v>6306</v>
      </c>
      <c r="E2593" s="266"/>
      <c r="F2593" s="266"/>
      <c r="G2593" s="266" t="s">
        <v>6304</v>
      </c>
      <c r="H2593" s="266" t="s">
        <v>6743</v>
      </c>
      <c r="I2593" s="266"/>
      <c r="J2593" s="266"/>
      <c r="K2593" s="1"/>
      <c r="L2593" s="1"/>
    </row>
    <row r="2594">
      <c r="A2594" s="266">
        <v>50.0</v>
      </c>
      <c r="B2594" s="266">
        <v>1.0</v>
      </c>
      <c r="C2594" s="266"/>
      <c r="D2594" s="266" t="s">
        <v>8159</v>
      </c>
      <c r="E2594" s="266"/>
      <c r="F2594" s="266"/>
      <c r="G2594" s="266"/>
      <c r="H2594" s="266"/>
      <c r="I2594" s="266"/>
      <c r="J2594" s="267"/>
    </row>
    <row r="2595">
      <c r="A2595" s="266">
        <v>100.0</v>
      </c>
      <c r="B2595" s="266"/>
      <c r="C2595" s="266">
        <v>5.0</v>
      </c>
      <c r="D2595" s="266" t="s">
        <v>8160</v>
      </c>
      <c r="E2595" s="266"/>
      <c r="F2595" s="266"/>
      <c r="G2595" s="266"/>
      <c r="H2595" s="266"/>
      <c r="I2595" s="266"/>
      <c r="J2595" s="267"/>
    </row>
    <row r="2596">
      <c r="A2596" s="266">
        <v>200.0</v>
      </c>
      <c r="B2596" s="266"/>
      <c r="C2596" s="266">
        <v>10.0</v>
      </c>
      <c r="D2596" s="266" t="s">
        <v>514</v>
      </c>
      <c r="E2596" s="266"/>
      <c r="F2596" s="266"/>
      <c r="G2596" s="266" t="s">
        <v>6304</v>
      </c>
      <c r="H2596" s="266" t="s">
        <v>551</v>
      </c>
      <c r="I2596" s="266"/>
      <c r="J2596" s="266"/>
      <c r="K2596" s="1"/>
      <c r="L2596" s="1"/>
    </row>
    <row r="2597">
      <c r="A2597" s="266">
        <v>300.0</v>
      </c>
      <c r="B2597" s="266"/>
      <c r="C2597" s="266">
        <v>10.0</v>
      </c>
      <c r="D2597" s="266" t="s">
        <v>4114</v>
      </c>
      <c r="E2597" s="266"/>
      <c r="F2597" s="266"/>
      <c r="G2597" s="266" t="s">
        <v>6304</v>
      </c>
      <c r="H2597" s="266" t="s">
        <v>551</v>
      </c>
      <c r="I2597" s="266"/>
      <c r="J2597" s="266"/>
      <c r="K2597" s="1"/>
      <c r="L2597" s="1"/>
    </row>
    <row r="2598">
      <c r="A2598" s="266">
        <v>400.0</v>
      </c>
      <c r="B2598" s="266"/>
      <c r="C2598" s="266">
        <v>10.0</v>
      </c>
      <c r="D2598" s="266" t="s">
        <v>4115</v>
      </c>
      <c r="E2598" s="266"/>
      <c r="F2598" s="266"/>
      <c r="G2598" s="266" t="s">
        <v>6304</v>
      </c>
      <c r="H2598" s="266" t="s">
        <v>4103</v>
      </c>
      <c r="I2598" s="266"/>
      <c r="J2598" s="266"/>
      <c r="K2598" s="1"/>
      <c r="L2598" s="1"/>
    </row>
    <row r="2599">
      <c r="A2599" s="266">
        <v>500.0</v>
      </c>
      <c r="B2599" s="266"/>
      <c r="C2599" s="266">
        <v>5.0</v>
      </c>
      <c r="D2599" s="266" t="s">
        <v>4116</v>
      </c>
      <c r="E2599" s="266"/>
      <c r="F2599" s="266"/>
      <c r="G2599" s="266" t="s">
        <v>6304</v>
      </c>
      <c r="H2599" s="266" t="s">
        <v>4104</v>
      </c>
      <c r="I2599" s="266" t="s">
        <v>6305</v>
      </c>
      <c r="J2599" s="266"/>
      <c r="K2599" s="1"/>
      <c r="L2599" s="1"/>
    </row>
    <row r="2600">
      <c r="A2600" s="266">
        <v>600.0</v>
      </c>
      <c r="B2600" s="266"/>
      <c r="C2600" s="266">
        <v>5.0</v>
      </c>
      <c r="D2600" s="266" t="s">
        <v>4117</v>
      </c>
      <c r="E2600" s="266"/>
      <c r="F2600" s="266"/>
      <c r="G2600" s="266" t="s">
        <v>6304</v>
      </c>
      <c r="H2600" s="266" t="s">
        <v>4105</v>
      </c>
      <c r="I2600" s="266" t="s">
        <v>6305</v>
      </c>
      <c r="J2600" s="266"/>
      <c r="K2600" s="1"/>
      <c r="L2600" s="1"/>
    </row>
    <row r="2601">
      <c r="A2601" s="266">
        <v>700.0</v>
      </c>
      <c r="B2601" s="266"/>
      <c r="C2601" s="266">
        <v>5.0</v>
      </c>
      <c r="D2601" s="266" t="s">
        <v>4118</v>
      </c>
      <c r="E2601" s="266"/>
      <c r="F2601" s="266"/>
      <c r="G2601" s="266" t="s">
        <v>6304</v>
      </c>
      <c r="H2601" s="266" t="s">
        <v>4104</v>
      </c>
      <c r="I2601" s="266" t="s">
        <v>6305</v>
      </c>
      <c r="J2601" s="266"/>
      <c r="K2601" s="1"/>
      <c r="L2601" s="1"/>
    </row>
    <row r="2602">
      <c r="A2602" s="266">
        <v>800.0</v>
      </c>
      <c r="B2602" s="266"/>
      <c r="C2602" s="266">
        <v>5.0</v>
      </c>
      <c r="D2602" s="266" t="s">
        <v>4119</v>
      </c>
      <c r="E2602" s="266"/>
      <c r="F2602" s="266"/>
      <c r="G2602" s="266" t="s">
        <v>6304</v>
      </c>
      <c r="H2602" s="266" t="s">
        <v>4106</v>
      </c>
      <c r="I2602" s="266" t="s">
        <v>6305</v>
      </c>
      <c r="J2602" s="266"/>
      <c r="K2602" s="1"/>
      <c r="L2602" s="1"/>
    </row>
    <row r="2603">
      <c r="A2603" s="266">
        <v>900.0</v>
      </c>
      <c r="B2603" s="266"/>
      <c r="C2603" s="266">
        <v>5.0</v>
      </c>
      <c r="D2603" s="266" t="s">
        <v>4120</v>
      </c>
      <c r="E2603" s="266"/>
      <c r="F2603" s="266"/>
      <c r="G2603" s="266" t="s">
        <v>6304</v>
      </c>
      <c r="H2603" s="266" t="s">
        <v>4106</v>
      </c>
      <c r="I2603" s="266" t="s">
        <v>6305</v>
      </c>
      <c r="J2603" s="266"/>
      <c r="K2603" s="1"/>
      <c r="L2603" s="1"/>
    </row>
    <row r="2604">
      <c r="A2604" s="266">
        <v>1000.0</v>
      </c>
      <c r="B2604" s="266"/>
      <c r="C2604" s="266">
        <v>5.0</v>
      </c>
      <c r="D2604" s="266" t="s">
        <v>4121</v>
      </c>
      <c r="E2604" s="266"/>
      <c r="F2604" s="266"/>
      <c r="G2604" s="266" t="s">
        <v>6304</v>
      </c>
      <c r="H2604" s="266" t="s">
        <v>3795</v>
      </c>
      <c r="I2604" s="266"/>
      <c r="J2604" s="266"/>
      <c r="K2604" s="1"/>
      <c r="L2604" s="1"/>
    </row>
    <row r="2605">
      <c r="A2605" s="266">
        <v>1100.0</v>
      </c>
      <c r="B2605" s="266"/>
      <c r="C2605" s="266">
        <v>5.0</v>
      </c>
      <c r="D2605" s="266" t="s">
        <v>6306</v>
      </c>
      <c r="E2605" s="266"/>
      <c r="F2605" s="266"/>
      <c r="G2605" s="266" t="s">
        <v>6304</v>
      </c>
      <c r="H2605" s="266" t="s">
        <v>7944</v>
      </c>
      <c r="I2605" s="266"/>
      <c r="J2605" s="266"/>
      <c r="K2605" s="1"/>
      <c r="L2605" s="1"/>
    </row>
    <row r="2606">
      <c r="A2606" s="266">
        <v>50.0</v>
      </c>
      <c r="B2606" s="266">
        <v>1.0</v>
      </c>
      <c r="C2606" s="266"/>
      <c r="D2606" s="266" t="s">
        <v>8161</v>
      </c>
      <c r="E2606" s="266"/>
      <c r="F2606" s="266"/>
      <c r="G2606" s="266"/>
      <c r="H2606" s="266"/>
      <c r="I2606" s="266"/>
      <c r="J2606" s="267"/>
    </row>
    <row r="2607">
      <c r="A2607" s="266">
        <v>100.0</v>
      </c>
      <c r="B2607" s="266"/>
      <c r="C2607" s="266">
        <v>5.0</v>
      </c>
      <c r="D2607" s="266" t="s">
        <v>3790</v>
      </c>
      <c r="E2607" s="266"/>
      <c r="F2607" s="266"/>
      <c r="G2607" s="266" t="s">
        <v>6304</v>
      </c>
      <c r="H2607" s="266" t="s">
        <v>14</v>
      </c>
      <c r="I2607" s="266"/>
      <c r="J2607" s="266"/>
      <c r="K2607" s="1"/>
      <c r="L2607" s="1"/>
    </row>
    <row r="2608">
      <c r="A2608" s="266">
        <v>200.0</v>
      </c>
      <c r="B2608" s="266"/>
      <c r="C2608" s="266">
        <v>5.0</v>
      </c>
      <c r="D2608" s="266" t="s">
        <v>5104</v>
      </c>
      <c r="E2608" s="266"/>
      <c r="F2608" s="266"/>
      <c r="G2608" s="266" t="s">
        <v>6304</v>
      </c>
      <c r="H2608" s="266" t="s">
        <v>556</v>
      </c>
      <c r="I2608" s="266"/>
      <c r="J2608" s="266"/>
      <c r="K2608" s="1"/>
      <c r="L2608" s="1"/>
    </row>
    <row r="2609">
      <c r="A2609" s="266">
        <v>300.0</v>
      </c>
      <c r="B2609" s="266"/>
      <c r="C2609" s="266">
        <v>5.0</v>
      </c>
      <c r="D2609" s="266" t="s">
        <v>6601</v>
      </c>
      <c r="E2609" s="266"/>
      <c r="F2609" s="266"/>
      <c r="G2609" s="266"/>
      <c r="H2609" s="266"/>
      <c r="I2609" s="266"/>
      <c r="J2609" s="267"/>
    </row>
    <row r="2610">
      <c r="A2610" s="266">
        <v>400.0</v>
      </c>
      <c r="B2610" s="266"/>
      <c r="C2610" s="266">
        <v>10.0</v>
      </c>
      <c r="D2610" s="266" t="s">
        <v>6602</v>
      </c>
      <c r="E2610" s="266"/>
      <c r="F2610" s="266"/>
      <c r="G2610" s="266"/>
      <c r="H2610" s="266"/>
      <c r="I2610" s="266"/>
      <c r="J2610" s="267"/>
    </row>
    <row r="2611">
      <c r="A2611" s="266">
        <v>500.0</v>
      </c>
      <c r="B2611" s="266"/>
      <c r="C2611" s="266">
        <v>15.0</v>
      </c>
      <c r="D2611" s="266" t="s">
        <v>576</v>
      </c>
      <c r="E2611" s="266"/>
      <c r="F2611" s="266"/>
      <c r="G2611" s="266" t="s">
        <v>6304</v>
      </c>
      <c r="H2611" s="266" t="s">
        <v>551</v>
      </c>
      <c r="I2611" s="266"/>
      <c r="J2611" s="266"/>
      <c r="K2611" s="1"/>
      <c r="L2611" s="1"/>
    </row>
    <row r="2612">
      <c r="A2612" s="266">
        <v>600.0</v>
      </c>
      <c r="B2612" s="266"/>
      <c r="C2612" s="266">
        <v>15.0</v>
      </c>
      <c r="D2612" s="266" t="s">
        <v>577</v>
      </c>
      <c r="E2612" s="266"/>
      <c r="F2612" s="266"/>
      <c r="G2612" s="266" t="s">
        <v>6304</v>
      </c>
      <c r="H2612" s="266" t="s">
        <v>552</v>
      </c>
      <c r="I2612" s="266"/>
      <c r="J2612" s="266"/>
      <c r="K2612" s="1"/>
      <c r="L2612" s="1"/>
    </row>
    <row r="2613">
      <c r="A2613" s="266">
        <v>700.0</v>
      </c>
      <c r="B2613" s="266"/>
      <c r="C2613" s="266">
        <v>10.0</v>
      </c>
      <c r="D2613" s="266" t="s">
        <v>578</v>
      </c>
      <c r="E2613" s="266"/>
      <c r="F2613" s="266"/>
      <c r="G2613" s="266" t="s">
        <v>6304</v>
      </c>
      <c r="H2613" s="266" t="s">
        <v>552</v>
      </c>
      <c r="I2613" s="266"/>
      <c r="J2613" s="266"/>
      <c r="K2613" s="1"/>
      <c r="L2613" s="1"/>
    </row>
    <row r="2614">
      <c r="A2614" s="266">
        <v>800.0</v>
      </c>
      <c r="B2614" s="266"/>
      <c r="C2614" s="266">
        <v>5.0</v>
      </c>
      <c r="D2614" s="266" t="s">
        <v>5105</v>
      </c>
      <c r="E2614" s="266"/>
      <c r="F2614" s="266"/>
      <c r="G2614" s="266" t="s">
        <v>6304</v>
      </c>
      <c r="H2614" s="266">
        <v>999.0</v>
      </c>
      <c r="I2614" s="266"/>
      <c r="J2614" s="266"/>
      <c r="K2614" s="1"/>
      <c r="L2614" s="1"/>
    </row>
    <row r="2615">
      <c r="A2615" s="266">
        <v>900.0</v>
      </c>
      <c r="B2615" s="266"/>
      <c r="C2615" s="266">
        <v>5.0</v>
      </c>
      <c r="D2615" s="266" t="s">
        <v>5106</v>
      </c>
      <c r="E2615" s="266"/>
      <c r="F2615" s="266"/>
      <c r="G2615" s="266" t="s">
        <v>6304</v>
      </c>
      <c r="H2615" s="266" t="s">
        <v>560</v>
      </c>
      <c r="I2615" s="266"/>
      <c r="J2615" s="266"/>
      <c r="K2615" s="1"/>
      <c r="L2615" s="1"/>
    </row>
    <row r="2616">
      <c r="A2616" s="266">
        <v>1000.0</v>
      </c>
      <c r="B2616" s="266"/>
      <c r="C2616" s="266">
        <v>5.0</v>
      </c>
      <c r="D2616" s="266" t="s">
        <v>5107</v>
      </c>
      <c r="E2616" s="266"/>
      <c r="F2616" s="266"/>
      <c r="G2616" s="266" t="s">
        <v>6304</v>
      </c>
      <c r="H2616" s="266">
        <v>9.0</v>
      </c>
      <c r="I2616" s="266"/>
      <c r="J2616" s="266"/>
      <c r="K2616" s="1"/>
      <c r="L2616" s="1"/>
    </row>
    <row r="2617">
      <c r="A2617" s="266">
        <v>1100.0</v>
      </c>
      <c r="B2617" s="266"/>
      <c r="C2617" s="266">
        <v>5.0</v>
      </c>
      <c r="D2617" s="266" t="s">
        <v>4119</v>
      </c>
      <c r="E2617" s="266"/>
      <c r="F2617" s="266"/>
      <c r="G2617" s="266" t="s">
        <v>6304</v>
      </c>
      <c r="H2617" s="266" t="s">
        <v>4106</v>
      </c>
      <c r="I2617" s="266" t="s">
        <v>6305</v>
      </c>
      <c r="J2617" s="266"/>
      <c r="K2617" s="1"/>
      <c r="L2617" s="1"/>
    </row>
    <row r="2618">
      <c r="A2618" s="266">
        <v>1200.0</v>
      </c>
      <c r="B2618" s="266"/>
      <c r="C2618" s="266">
        <v>5.0</v>
      </c>
      <c r="D2618" s="266" t="s">
        <v>4120</v>
      </c>
      <c r="E2618" s="266"/>
      <c r="F2618" s="266"/>
      <c r="G2618" s="266" t="s">
        <v>6304</v>
      </c>
      <c r="H2618" s="266" t="s">
        <v>4106</v>
      </c>
      <c r="I2618" s="266" t="s">
        <v>6305</v>
      </c>
      <c r="J2618" s="266"/>
      <c r="K2618" s="1"/>
      <c r="L2618" s="1"/>
    </row>
    <row r="2619">
      <c r="A2619" s="266">
        <v>1300.0</v>
      </c>
      <c r="B2619" s="266"/>
      <c r="C2619" s="266">
        <v>5.0</v>
      </c>
      <c r="D2619" s="266" t="s">
        <v>5108</v>
      </c>
      <c r="E2619" s="266"/>
      <c r="F2619" s="266"/>
      <c r="G2619" s="266" t="s">
        <v>6304</v>
      </c>
      <c r="H2619" s="266">
        <v>99.0</v>
      </c>
      <c r="I2619" s="266"/>
      <c r="J2619" s="266"/>
      <c r="K2619" s="1"/>
      <c r="L2619" s="1"/>
    </row>
    <row r="2620">
      <c r="A2620" s="266">
        <v>1400.0</v>
      </c>
      <c r="B2620" s="266"/>
      <c r="C2620" s="266">
        <v>5.0</v>
      </c>
      <c r="D2620" s="266" t="s">
        <v>5109</v>
      </c>
      <c r="E2620" s="266"/>
      <c r="F2620" s="266"/>
      <c r="G2620" s="266" t="s">
        <v>6304</v>
      </c>
      <c r="H2620" s="266">
        <v>99.0</v>
      </c>
      <c r="I2620" s="266"/>
      <c r="J2620" s="266"/>
      <c r="K2620" s="1"/>
      <c r="L2620" s="1"/>
    </row>
    <row r="2621">
      <c r="A2621" s="266">
        <v>1500.0</v>
      </c>
      <c r="B2621" s="266"/>
      <c r="C2621" s="266">
        <v>5.0</v>
      </c>
      <c r="D2621" s="266" t="s">
        <v>5110</v>
      </c>
      <c r="E2621" s="266"/>
      <c r="F2621" s="266"/>
      <c r="G2621" s="266" t="s">
        <v>6304</v>
      </c>
      <c r="H2621" s="266" t="s">
        <v>14</v>
      </c>
      <c r="I2621" s="266"/>
      <c r="J2621" s="266"/>
      <c r="K2621" s="1"/>
      <c r="L2621" s="1"/>
    </row>
    <row r="2622">
      <c r="A2622" s="266">
        <v>1600.0</v>
      </c>
      <c r="B2622" s="266"/>
      <c r="C2622" s="266">
        <v>5.0</v>
      </c>
      <c r="D2622" s="266" t="s">
        <v>4121</v>
      </c>
      <c r="E2622" s="266"/>
      <c r="F2622" s="266"/>
      <c r="G2622" s="266" t="s">
        <v>6304</v>
      </c>
      <c r="H2622" s="266" t="s">
        <v>3795</v>
      </c>
      <c r="I2622" s="266"/>
      <c r="J2622" s="266"/>
      <c r="K2622" s="1"/>
      <c r="L2622" s="1"/>
    </row>
    <row r="2623">
      <c r="A2623" s="266">
        <v>1700.0</v>
      </c>
      <c r="B2623" s="266"/>
      <c r="C2623" s="266">
        <v>5.0</v>
      </c>
      <c r="D2623" s="266" t="s">
        <v>6306</v>
      </c>
      <c r="E2623" s="266"/>
      <c r="F2623" s="266"/>
      <c r="G2623" s="266" t="s">
        <v>6304</v>
      </c>
      <c r="H2623" s="266" t="s">
        <v>6760</v>
      </c>
      <c r="I2623" s="266"/>
      <c r="J2623" s="266"/>
      <c r="K2623" s="1"/>
      <c r="L2623" s="1"/>
    </row>
    <row r="2624">
      <c r="A2624" s="266">
        <v>50.0</v>
      </c>
      <c r="B2624" s="266">
        <v>1.0</v>
      </c>
      <c r="C2624" s="266"/>
      <c r="D2624" s="266" t="s">
        <v>8162</v>
      </c>
      <c r="E2624" s="266"/>
      <c r="F2624" s="266"/>
      <c r="G2624" s="266"/>
      <c r="H2624" s="266"/>
      <c r="I2624" s="266"/>
      <c r="J2624" s="267"/>
    </row>
    <row r="2625">
      <c r="A2625" s="266">
        <v>100.0</v>
      </c>
      <c r="B2625" s="266"/>
      <c r="C2625" s="266">
        <v>5.0</v>
      </c>
      <c r="D2625" s="266" t="s">
        <v>5119</v>
      </c>
      <c r="E2625" s="266"/>
      <c r="F2625" s="266"/>
      <c r="G2625" s="266" t="s">
        <v>6304</v>
      </c>
      <c r="H2625" s="266">
        <v>99.0</v>
      </c>
      <c r="I2625" s="266" t="s">
        <v>6621</v>
      </c>
      <c r="J2625" s="266">
        <v>1.0</v>
      </c>
      <c r="K2625" s="1"/>
      <c r="L2625" s="1">
        <v>1.0</v>
      </c>
    </row>
    <row r="2626">
      <c r="A2626" s="266">
        <v>200.0</v>
      </c>
      <c r="B2626" s="266"/>
      <c r="C2626" s="266">
        <v>5.0</v>
      </c>
      <c r="D2626" s="266" t="s">
        <v>8163</v>
      </c>
      <c r="E2626" s="266"/>
      <c r="F2626" s="266"/>
      <c r="G2626" s="266" t="s">
        <v>6304</v>
      </c>
      <c r="H2626" s="266" t="s">
        <v>5170</v>
      </c>
      <c r="I2626" s="266" t="s">
        <v>6305</v>
      </c>
      <c r="J2626" s="266"/>
      <c r="K2626" s="1"/>
      <c r="L2626" s="1"/>
    </row>
    <row r="2627">
      <c r="A2627" s="266">
        <v>300.0</v>
      </c>
      <c r="B2627" s="266"/>
      <c r="C2627" s="266">
        <v>5.0</v>
      </c>
      <c r="D2627" s="266" t="s">
        <v>8164</v>
      </c>
      <c r="E2627" s="266"/>
      <c r="F2627" s="266"/>
      <c r="G2627" s="266" t="s">
        <v>6304</v>
      </c>
      <c r="H2627" s="266" t="s">
        <v>5170</v>
      </c>
      <c r="I2627" s="266" t="s">
        <v>6305</v>
      </c>
      <c r="J2627" s="266"/>
      <c r="K2627" s="1"/>
      <c r="L2627" s="1"/>
    </row>
    <row r="2628">
      <c r="A2628" s="266">
        <v>400.0</v>
      </c>
      <c r="B2628" s="266"/>
      <c r="C2628" s="266">
        <v>5.0</v>
      </c>
      <c r="D2628" s="266" t="s">
        <v>8165</v>
      </c>
      <c r="E2628" s="266"/>
      <c r="F2628" s="266"/>
      <c r="G2628" s="266" t="s">
        <v>6304</v>
      </c>
      <c r="H2628" s="266" t="s">
        <v>5170</v>
      </c>
      <c r="I2628" s="266" t="s">
        <v>6305</v>
      </c>
      <c r="J2628" s="266"/>
      <c r="K2628" s="1"/>
      <c r="L2628" s="1"/>
    </row>
    <row r="2629">
      <c r="A2629" s="266">
        <v>500.0</v>
      </c>
      <c r="B2629" s="266"/>
      <c r="C2629" s="266">
        <v>5.0</v>
      </c>
      <c r="D2629" s="266" t="s">
        <v>8166</v>
      </c>
      <c r="E2629" s="266"/>
      <c r="F2629" s="266"/>
      <c r="G2629" s="266" t="s">
        <v>6304</v>
      </c>
      <c r="H2629" s="266" t="s">
        <v>5170</v>
      </c>
      <c r="I2629" s="266" t="s">
        <v>6305</v>
      </c>
      <c r="J2629" s="266"/>
      <c r="K2629" s="1"/>
      <c r="L2629" s="1"/>
    </row>
    <row r="2630">
      <c r="A2630" s="266">
        <v>600.0</v>
      </c>
      <c r="B2630" s="266"/>
      <c r="C2630" s="266">
        <v>5.0</v>
      </c>
      <c r="D2630" s="266" t="s">
        <v>8167</v>
      </c>
      <c r="E2630" s="266"/>
      <c r="F2630" s="266"/>
      <c r="G2630" s="266" t="s">
        <v>6304</v>
      </c>
      <c r="H2630" s="266" t="s">
        <v>6798</v>
      </c>
      <c r="I2630" s="266" t="s">
        <v>6305</v>
      </c>
      <c r="J2630" s="266"/>
      <c r="K2630" s="1"/>
      <c r="L2630" s="1"/>
    </row>
    <row r="2631">
      <c r="A2631" s="266">
        <v>700.0</v>
      </c>
      <c r="B2631" s="266"/>
      <c r="C2631" s="266">
        <v>5.0</v>
      </c>
      <c r="D2631" s="266" t="s">
        <v>8168</v>
      </c>
      <c r="E2631" s="266"/>
      <c r="F2631" s="266"/>
      <c r="G2631" s="266" t="s">
        <v>6304</v>
      </c>
      <c r="H2631" s="266" t="s">
        <v>6798</v>
      </c>
      <c r="I2631" s="266" t="s">
        <v>6305</v>
      </c>
      <c r="J2631" s="266"/>
      <c r="K2631" s="1"/>
      <c r="L2631" s="1"/>
    </row>
    <row r="2632">
      <c r="A2632" s="266">
        <v>800.0</v>
      </c>
      <c r="B2632" s="266"/>
      <c r="C2632" s="266">
        <v>5.0</v>
      </c>
      <c r="D2632" s="266" t="s">
        <v>6306</v>
      </c>
      <c r="E2632" s="266"/>
      <c r="F2632" s="266"/>
      <c r="G2632" s="266" t="s">
        <v>6304</v>
      </c>
      <c r="H2632" s="266" t="s">
        <v>7698</v>
      </c>
      <c r="I2632" s="266"/>
      <c r="J2632" s="266"/>
      <c r="K2632" s="1"/>
      <c r="L2632" s="1"/>
    </row>
    <row r="2633">
      <c r="A2633" s="266">
        <v>50.0</v>
      </c>
      <c r="B2633" s="266">
        <v>1.0</v>
      </c>
      <c r="C2633" s="266"/>
      <c r="D2633" s="266" t="s">
        <v>8169</v>
      </c>
      <c r="E2633" s="266"/>
      <c r="F2633" s="266"/>
      <c r="G2633" s="266"/>
      <c r="H2633" s="266"/>
      <c r="I2633" s="266"/>
      <c r="J2633" s="267"/>
    </row>
    <row r="2634">
      <c r="A2634" s="266">
        <v>100.0</v>
      </c>
      <c r="B2634" s="266"/>
      <c r="C2634" s="266">
        <v>5.0</v>
      </c>
      <c r="D2634" s="266" t="s">
        <v>8170</v>
      </c>
      <c r="E2634" s="266"/>
      <c r="F2634" s="266"/>
      <c r="G2634" s="266"/>
      <c r="H2634" s="266"/>
      <c r="I2634" s="266"/>
      <c r="J2634" s="267"/>
    </row>
    <row r="2635">
      <c r="A2635" s="266">
        <v>200.0</v>
      </c>
      <c r="B2635" s="266"/>
      <c r="C2635" s="266">
        <v>10.0</v>
      </c>
      <c r="D2635" s="266" t="s">
        <v>8171</v>
      </c>
      <c r="E2635" s="266"/>
      <c r="F2635" s="266"/>
      <c r="G2635" s="266" t="s">
        <v>6304</v>
      </c>
      <c r="H2635" s="266">
        <v>9.0</v>
      </c>
      <c r="I2635" s="266"/>
      <c r="J2635" s="266"/>
      <c r="K2635" s="1"/>
      <c r="L2635" s="1"/>
    </row>
    <row r="2636">
      <c r="A2636" s="266">
        <v>300.0</v>
      </c>
      <c r="B2636" s="266"/>
      <c r="C2636" s="266">
        <v>10.0</v>
      </c>
      <c r="D2636" s="266" t="s">
        <v>5105</v>
      </c>
      <c r="E2636" s="266"/>
      <c r="F2636" s="266"/>
      <c r="G2636" s="266" t="s">
        <v>6304</v>
      </c>
      <c r="H2636" s="266">
        <v>999.0</v>
      </c>
      <c r="I2636" s="266"/>
      <c r="J2636" s="266"/>
      <c r="K2636" s="1"/>
      <c r="L2636" s="1"/>
    </row>
    <row r="2637">
      <c r="A2637" s="266">
        <v>400.0</v>
      </c>
      <c r="B2637" s="266"/>
      <c r="C2637" s="266">
        <v>10.0</v>
      </c>
      <c r="D2637" s="266" t="s">
        <v>576</v>
      </c>
      <c r="E2637" s="266"/>
      <c r="F2637" s="266"/>
      <c r="G2637" s="266" t="s">
        <v>6304</v>
      </c>
      <c r="H2637" s="266" t="s">
        <v>551</v>
      </c>
      <c r="I2637" s="266"/>
      <c r="J2637" s="266"/>
      <c r="K2637" s="1"/>
      <c r="L2637" s="1"/>
    </row>
    <row r="2638">
      <c r="A2638" s="266">
        <v>500.0</v>
      </c>
      <c r="B2638" s="266"/>
      <c r="C2638" s="266">
        <v>5.0</v>
      </c>
      <c r="D2638" s="266" t="s">
        <v>8172</v>
      </c>
      <c r="E2638" s="266"/>
      <c r="F2638" s="266"/>
      <c r="G2638" s="266" t="s">
        <v>6304</v>
      </c>
      <c r="H2638" s="266">
        <v>9.0</v>
      </c>
      <c r="I2638" s="266"/>
      <c r="J2638" s="266"/>
      <c r="K2638" s="1"/>
      <c r="L2638" s="1"/>
    </row>
    <row r="2639">
      <c r="A2639" s="266">
        <v>600.0</v>
      </c>
      <c r="B2639" s="266"/>
      <c r="C2639" s="266">
        <v>5.0</v>
      </c>
      <c r="D2639" s="266" t="s">
        <v>8173</v>
      </c>
      <c r="E2639" s="266" t="s">
        <v>6479</v>
      </c>
      <c r="F2639" s="266">
        <v>5.0</v>
      </c>
      <c r="G2639" s="266" t="s">
        <v>6304</v>
      </c>
      <c r="H2639" s="266" t="s">
        <v>8174</v>
      </c>
      <c r="I2639" s="266"/>
      <c r="J2639" s="267"/>
    </row>
    <row r="2640">
      <c r="A2640" s="266">
        <v>700.0</v>
      </c>
      <c r="B2640" s="266"/>
      <c r="C2640" s="266">
        <v>5.0</v>
      </c>
      <c r="D2640" s="266" t="s">
        <v>8175</v>
      </c>
      <c r="E2640" s="266" t="s">
        <v>6479</v>
      </c>
      <c r="F2640" s="266">
        <v>5.0</v>
      </c>
      <c r="G2640" s="266" t="s">
        <v>6304</v>
      </c>
      <c r="H2640" s="266" t="s">
        <v>8174</v>
      </c>
      <c r="I2640" s="266"/>
      <c r="J2640" s="267"/>
    </row>
    <row r="2641">
      <c r="A2641" s="266">
        <v>800.0</v>
      </c>
      <c r="B2641" s="266"/>
      <c r="C2641" s="266">
        <v>5.0</v>
      </c>
      <c r="D2641" s="266" t="s">
        <v>8176</v>
      </c>
      <c r="E2641" s="266" t="s">
        <v>6479</v>
      </c>
      <c r="F2641" s="266">
        <v>5.0</v>
      </c>
      <c r="G2641" s="266" t="s">
        <v>6304</v>
      </c>
      <c r="H2641" s="266" t="s">
        <v>8174</v>
      </c>
      <c r="I2641" s="266"/>
      <c r="J2641" s="267"/>
    </row>
    <row r="2642">
      <c r="A2642" s="266">
        <v>900.0</v>
      </c>
      <c r="B2642" s="266"/>
      <c r="C2642" s="266">
        <v>5.0</v>
      </c>
      <c r="D2642" s="266" t="s">
        <v>8177</v>
      </c>
      <c r="E2642" s="266" t="s">
        <v>6479</v>
      </c>
      <c r="F2642" s="266">
        <v>5.0</v>
      </c>
      <c r="G2642" s="266" t="s">
        <v>6304</v>
      </c>
      <c r="H2642" s="266" t="s">
        <v>8174</v>
      </c>
      <c r="I2642" s="266"/>
      <c r="J2642" s="267"/>
    </row>
    <row r="2643">
      <c r="A2643" s="266">
        <v>1000.0</v>
      </c>
      <c r="B2643" s="266"/>
      <c r="C2643" s="266">
        <v>5.0</v>
      </c>
      <c r="D2643" s="266" t="s">
        <v>8178</v>
      </c>
      <c r="E2643" s="266" t="s">
        <v>6479</v>
      </c>
      <c r="F2643" s="266">
        <v>2.0</v>
      </c>
      <c r="G2643" s="266" t="s">
        <v>6304</v>
      </c>
      <c r="H2643" s="266" t="s">
        <v>8174</v>
      </c>
      <c r="I2643" s="266"/>
      <c r="J2643" s="267"/>
    </row>
    <row r="2644">
      <c r="A2644" s="266">
        <v>1100.0</v>
      </c>
      <c r="B2644" s="266"/>
      <c r="C2644" s="266">
        <v>5.0</v>
      </c>
      <c r="D2644" s="266" t="s">
        <v>8179</v>
      </c>
      <c r="E2644" s="266" t="s">
        <v>6479</v>
      </c>
      <c r="F2644" s="266">
        <v>2.0</v>
      </c>
      <c r="G2644" s="266" t="s">
        <v>6304</v>
      </c>
      <c r="H2644" s="266" t="s">
        <v>8174</v>
      </c>
      <c r="I2644" s="266"/>
      <c r="J2644" s="267"/>
    </row>
    <row r="2645">
      <c r="A2645" s="266">
        <v>1200.0</v>
      </c>
      <c r="B2645" s="266"/>
      <c r="C2645" s="266">
        <v>5.0</v>
      </c>
      <c r="D2645" s="266" t="s">
        <v>2785</v>
      </c>
      <c r="E2645" s="266"/>
      <c r="F2645" s="266"/>
      <c r="G2645" s="266" t="s">
        <v>6304</v>
      </c>
      <c r="H2645" s="266" t="s">
        <v>555</v>
      </c>
      <c r="I2645" s="266"/>
      <c r="J2645" s="266"/>
      <c r="K2645" s="1"/>
      <c r="L2645" s="1"/>
    </row>
    <row r="2646">
      <c r="A2646" s="266">
        <v>1300.0</v>
      </c>
      <c r="B2646" s="266"/>
      <c r="C2646" s="266">
        <v>5.0</v>
      </c>
      <c r="D2646" s="266" t="s">
        <v>6306</v>
      </c>
      <c r="E2646" s="266"/>
      <c r="F2646" s="266"/>
      <c r="G2646" s="266" t="s">
        <v>6304</v>
      </c>
      <c r="H2646" s="266" t="s">
        <v>6605</v>
      </c>
      <c r="I2646" s="266"/>
      <c r="J2646" s="266"/>
      <c r="K2646" s="1"/>
      <c r="L2646" s="1"/>
    </row>
    <row r="2647">
      <c r="A2647" s="266">
        <v>50.0</v>
      </c>
      <c r="B2647" s="266">
        <v>1.0</v>
      </c>
      <c r="C2647" s="266"/>
      <c r="D2647" s="266" t="s">
        <v>8180</v>
      </c>
      <c r="E2647" s="266"/>
      <c r="F2647" s="266"/>
      <c r="G2647" s="266"/>
      <c r="H2647" s="266"/>
      <c r="I2647" s="266"/>
      <c r="J2647" s="267"/>
    </row>
    <row r="2648">
      <c r="A2648" s="266">
        <v>100.0</v>
      </c>
      <c r="B2648" s="266"/>
      <c r="C2648" s="266">
        <v>5.0</v>
      </c>
      <c r="D2648" s="266" t="s">
        <v>8181</v>
      </c>
      <c r="E2648" s="266"/>
      <c r="F2648" s="266"/>
      <c r="G2648" s="266"/>
      <c r="H2648" s="266"/>
      <c r="I2648" s="266"/>
      <c r="J2648" s="267"/>
    </row>
    <row r="2649">
      <c r="A2649" s="266">
        <v>200.0</v>
      </c>
      <c r="B2649" s="266"/>
      <c r="C2649" s="266">
        <v>10.0</v>
      </c>
      <c r="D2649" s="266" t="s">
        <v>514</v>
      </c>
      <c r="E2649" s="266"/>
      <c r="F2649" s="266"/>
      <c r="G2649" s="266" t="s">
        <v>6304</v>
      </c>
      <c r="H2649" s="266" t="s">
        <v>551</v>
      </c>
      <c r="I2649" s="266"/>
      <c r="J2649" s="266"/>
      <c r="K2649" s="1"/>
      <c r="L2649" s="1"/>
    </row>
    <row r="2650">
      <c r="A2650" s="266">
        <v>300.0</v>
      </c>
      <c r="B2650" s="266"/>
      <c r="C2650" s="266">
        <v>10.0</v>
      </c>
      <c r="D2650" s="266" t="s">
        <v>4114</v>
      </c>
      <c r="E2650" s="266"/>
      <c r="F2650" s="266"/>
      <c r="G2650" s="266" t="s">
        <v>6304</v>
      </c>
      <c r="H2650" s="266" t="s">
        <v>551</v>
      </c>
      <c r="I2650" s="266"/>
      <c r="J2650" s="266"/>
      <c r="K2650" s="1"/>
      <c r="L2650" s="1"/>
    </row>
    <row r="2651">
      <c r="A2651" s="266">
        <v>400.0</v>
      </c>
      <c r="B2651" s="266"/>
      <c r="C2651" s="266">
        <v>5.0</v>
      </c>
      <c r="D2651" s="266" t="s">
        <v>8182</v>
      </c>
      <c r="E2651" s="266"/>
      <c r="F2651" s="266"/>
      <c r="G2651" s="266" t="s">
        <v>6304</v>
      </c>
      <c r="H2651" s="266" t="s">
        <v>6591</v>
      </c>
      <c r="I2651" s="266" t="s">
        <v>6305</v>
      </c>
      <c r="J2651" s="266"/>
      <c r="K2651" s="1"/>
      <c r="L2651" s="1"/>
    </row>
    <row r="2652">
      <c r="A2652" s="266">
        <v>500.0</v>
      </c>
      <c r="B2652" s="266"/>
      <c r="C2652" s="266">
        <v>5.0</v>
      </c>
      <c r="D2652" s="266" t="s">
        <v>8183</v>
      </c>
      <c r="E2652" s="266"/>
      <c r="F2652" s="266"/>
      <c r="G2652" s="266" t="s">
        <v>6304</v>
      </c>
      <c r="H2652" s="266" t="s">
        <v>4105</v>
      </c>
      <c r="I2652" s="266" t="s">
        <v>6305</v>
      </c>
      <c r="J2652" s="266"/>
      <c r="K2652" s="1"/>
      <c r="L2652" s="1"/>
    </row>
    <row r="2653">
      <c r="A2653" s="266">
        <v>600.0</v>
      </c>
      <c r="B2653" s="266"/>
      <c r="C2653" s="266">
        <v>5.0</v>
      </c>
      <c r="D2653" s="266" t="s">
        <v>8184</v>
      </c>
      <c r="E2653" s="266"/>
      <c r="F2653" s="266"/>
      <c r="G2653" s="266" t="s">
        <v>6304</v>
      </c>
      <c r="H2653" s="266" t="s">
        <v>4106</v>
      </c>
      <c r="I2653" s="266" t="s">
        <v>6305</v>
      </c>
      <c r="J2653" s="266"/>
      <c r="K2653" s="1"/>
      <c r="L2653" s="1"/>
    </row>
    <row r="2654">
      <c r="A2654" s="266">
        <v>700.0</v>
      </c>
      <c r="B2654" s="266"/>
      <c r="C2654" s="266">
        <v>5.0</v>
      </c>
      <c r="D2654" s="266" t="s">
        <v>8185</v>
      </c>
      <c r="E2654" s="266"/>
      <c r="F2654" s="266"/>
      <c r="G2654" s="266" t="s">
        <v>6304</v>
      </c>
      <c r="H2654" s="266" t="s">
        <v>4106</v>
      </c>
      <c r="I2654" s="266" t="s">
        <v>6305</v>
      </c>
      <c r="J2654" s="266"/>
      <c r="K2654" s="1"/>
      <c r="L2654" s="1"/>
    </row>
    <row r="2655">
      <c r="A2655" s="266">
        <v>800.0</v>
      </c>
      <c r="B2655" s="266"/>
      <c r="C2655" s="266">
        <v>5.0</v>
      </c>
      <c r="D2655" s="266" t="s">
        <v>8186</v>
      </c>
      <c r="E2655" s="266"/>
      <c r="F2655" s="266"/>
      <c r="G2655" s="266" t="s">
        <v>6304</v>
      </c>
      <c r="H2655" s="266" t="s">
        <v>4106</v>
      </c>
      <c r="I2655" s="266" t="s">
        <v>6305</v>
      </c>
      <c r="J2655" s="266"/>
      <c r="K2655" s="1"/>
      <c r="L2655" s="1"/>
    </row>
    <row r="2656">
      <c r="A2656" s="266">
        <v>900.0</v>
      </c>
      <c r="B2656" s="266"/>
      <c r="C2656" s="266">
        <v>5.0</v>
      </c>
      <c r="D2656" s="266" t="s">
        <v>8187</v>
      </c>
      <c r="E2656" s="266"/>
      <c r="F2656" s="266"/>
      <c r="G2656" s="266" t="s">
        <v>6304</v>
      </c>
      <c r="H2656" s="266">
        <v>99.0</v>
      </c>
      <c r="I2656" s="266"/>
      <c r="J2656" s="266"/>
      <c r="K2656" s="1"/>
      <c r="L2656" s="1"/>
    </row>
    <row r="2657">
      <c r="A2657" s="266">
        <v>1000.0</v>
      </c>
      <c r="B2657" s="266"/>
      <c r="C2657" s="266">
        <v>5.0</v>
      </c>
      <c r="D2657" s="266" t="s">
        <v>2785</v>
      </c>
      <c r="E2657" s="266"/>
      <c r="F2657" s="266"/>
      <c r="G2657" s="266" t="s">
        <v>6304</v>
      </c>
      <c r="H2657" s="266" t="s">
        <v>555</v>
      </c>
      <c r="I2657" s="266"/>
      <c r="J2657" s="266"/>
      <c r="K2657" s="1"/>
      <c r="L2657" s="1"/>
    </row>
    <row r="2658">
      <c r="A2658" s="266">
        <v>1100.0</v>
      </c>
      <c r="B2658" s="266"/>
      <c r="C2658" s="266">
        <v>5.0</v>
      </c>
      <c r="D2658" s="266" t="s">
        <v>8188</v>
      </c>
      <c r="E2658" s="266"/>
      <c r="F2658" s="266"/>
      <c r="G2658" s="266" t="s">
        <v>6304</v>
      </c>
      <c r="H2658" s="266" t="s">
        <v>6510</v>
      </c>
      <c r="I2658" s="266"/>
      <c r="J2658" s="266"/>
      <c r="K2658" s="1"/>
      <c r="L2658" s="1"/>
    </row>
    <row r="2659">
      <c r="A2659" s="266">
        <v>1200.0</v>
      </c>
      <c r="B2659" s="266"/>
      <c r="C2659" s="266">
        <v>5.0</v>
      </c>
      <c r="D2659" s="266" t="s">
        <v>8189</v>
      </c>
      <c r="E2659" s="266"/>
      <c r="F2659" s="266"/>
      <c r="G2659" s="266" t="s">
        <v>6304</v>
      </c>
      <c r="H2659" s="266" t="s">
        <v>2770</v>
      </c>
      <c r="I2659" s="266"/>
      <c r="J2659" s="266"/>
      <c r="K2659" s="1"/>
      <c r="L2659" s="1"/>
    </row>
    <row r="2660">
      <c r="A2660" s="266">
        <v>1300.0</v>
      </c>
      <c r="B2660" s="266"/>
      <c r="C2660" s="266">
        <v>5.0</v>
      </c>
      <c r="D2660" s="266" t="s">
        <v>8190</v>
      </c>
      <c r="E2660" s="266"/>
      <c r="F2660" s="266"/>
      <c r="G2660" s="266" t="s">
        <v>6304</v>
      </c>
      <c r="H2660" s="266" t="s">
        <v>8191</v>
      </c>
      <c r="I2660" s="266"/>
      <c r="J2660" s="266"/>
      <c r="K2660" s="1"/>
      <c r="L2660" s="1"/>
    </row>
    <row r="2661">
      <c r="A2661" s="266">
        <v>1400.0</v>
      </c>
      <c r="B2661" s="266"/>
      <c r="C2661" s="266">
        <v>5.0</v>
      </c>
      <c r="D2661" s="266" t="s">
        <v>6306</v>
      </c>
      <c r="E2661" s="266"/>
      <c r="F2661" s="266"/>
      <c r="G2661" s="266" t="s">
        <v>6304</v>
      </c>
      <c r="H2661" s="266" t="s">
        <v>7101</v>
      </c>
      <c r="I2661" s="266"/>
      <c r="J2661" s="266"/>
      <c r="K2661" s="1"/>
      <c r="L2661" s="1"/>
    </row>
    <row r="2662">
      <c r="A2662" s="266">
        <v>50.0</v>
      </c>
      <c r="B2662" s="266">
        <v>1.0</v>
      </c>
      <c r="C2662" s="266"/>
      <c r="D2662" s="266" t="s">
        <v>8192</v>
      </c>
      <c r="E2662" s="266"/>
      <c r="F2662" s="266"/>
      <c r="G2662" s="266"/>
      <c r="H2662" s="266"/>
      <c r="I2662" s="266"/>
      <c r="J2662" s="267"/>
    </row>
    <row r="2663">
      <c r="A2663" s="266">
        <v>100.0</v>
      </c>
      <c r="B2663" s="266"/>
      <c r="C2663" s="266">
        <v>5.0</v>
      </c>
      <c r="D2663" s="266" t="s">
        <v>5104</v>
      </c>
      <c r="E2663" s="266"/>
      <c r="F2663" s="266"/>
      <c r="G2663" s="266" t="s">
        <v>6304</v>
      </c>
      <c r="H2663" s="266">
        <v>999.0</v>
      </c>
      <c r="I2663" s="266"/>
      <c r="J2663" s="266"/>
      <c r="K2663" s="1"/>
      <c r="L2663" s="1"/>
    </row>
    <row r="2664">
      <c r="A2664" s="266">
        <v>200.0</v>
      </c>
      <c r="B2664" s="266"/>
      <c r="C2664" s="266">
        <v>5.0</v>
      </c>
      <c r="D2664" s="266" t="s">
        <v>3792</v>
      </c>
      <c r="E2664" s="266" t="s">
        <v>6479</v>
      </c>
      <c r="F2664" s="266">
        <v>99.0</v>
      </c>
      <c r="G2664" s="266" t="s">
        <v>6304</v>
      </c>
      <c r="H2664" s="266">
        <v>9.0</v>
      </c>
      <c r="I2664" s="266"/>
      <c r="J2664" s="267"/>
    </row>
    <row r="2665">
      <c r="A2665" s="266">
        <v>300.0</v>
      </c>
      <c r="B2665" s="266"/>
      <c r="C2665" s="266">
        <v>5.0</v>
      </c>
      <c r="D2665" s="266" t="s">
        <v>8193</v>
      </c>
      <c r="E2665" s="266"/>
      <c r="F2665" s="266"/>
      <c r="G2665" s="266" t="s">
        <v>6304</v>
      </c>
      <c r="H2665" s="266" t="s">
        <v>2770</v>
      </c>
      <c r="I2665" s="266"/>
      <c r="J2665" s="266"/>
      <c r="K2665" s="1"/>
      <c r="L2665" s="1"/>
    </row>
    <row r="2666">
      <c r="A2666" s="266">
        <v>400.0</v>
      </c>
      <c r="B2666" s="266"/>
      <c r="C2666" s="266">
        <v>5.0</v>
      </c>
      <c r="D2666" s="266" t="s">
        <v>2785</v>
      </c>
      <c r="E2666" s="266"/>
      <c r="F2666" s="266"/>
      <c r="G2666" s="266" t="s">
        <v>6304</v>
      </c>
      <c r="H2666" s="266" t="s">
        <v>555</v>
      </c>
      <c r="I2666" s="266"/>
      <c r="J2666" s="266"/>
      <c r="K2666" s="1"/>
      <c r="L2666" s="1"/>
    </row>
    <row r="2667">
      <c r="A2667" s="266">
        <v>500.0</v>
      </c>
      <c r="B2667" s="266"/>
      <c r="C2667" s="266">
        <v>5.0</v>
      </c>
      <c r="D2667" s="266" t="s">
        <v>6306</v>
      </c>
      <c r="E2667" s="266"/>
      <c r="F2667" s="266"/>
      <c r="G2667" s="266" t="s">
        <v>6304</v>
      </c>
      <c r="H2667" s="266" t="s">
        <v>8194</v>
      </c>
      <c r="I2667" s="266"/>
      <c r="J2667" s="266"/>
      <c r="K2667" s="1"/>
      <c r="L2667" s="1"/>
    </row>
    <row r="2668">
      <c r="A2668" s="266">
        <v>50.0</v>
      </c>
      <c r="B2668" s="266">
        <v>1.0</v>
      </c>
      <c r="C2668" s="266"/>
      <c r="D2668" s="266" t="s">
        <v>8195</v>
      </c>
      <c r="E2668" s="266"/>
      <c r="F2668" s="266"/>
      <c r="G2668" s="266"/>
      <c r="H2668" s="266"/>
      <c r="I2668" s="266"/>
      <c r="J2668" s="267"/>
    </row>
    <row r="2669">
      <c r="A2669" s="266">
        <v>100.0</v>
      </c>
      <c r="B2669" s="266"/>
      <c r="C2669" s="266">
        <v>5.0</v>
      </c>
      <c r="D2669" s="266" t="s">
        <v>5119</v>
      </c>
      <c r="E2669" s="266"/>
      <c r="F2669" s="266"/>
      <c r="G2669" s="266" t="s">
        <v>6304</v>
      </c>
      <c r="H2669" s="266">
        <v>99.0</v>
      </c>
      <c r="I2669" s="266" t="s">
        <v>6621</v>
      </c>
      <c r="J2669" s="266">
        <v>1.0</v>
      </c>
      <c r="K2669" s="1"/>
      <c r="L2669" s="1">
        <v>1.0</v>
      </c>
    </row>
    <row r="2670">
      <c r="A2670" s="266">
        <v>200.0</v>
      </c>
      <c r="B2670" s="266"/>
      <c r="C2670" s="266">
        <v>5.0</v>
      </c>
      <c r="D2670" s="266" t="s">
        <v>5120</v>
      </c>
      <c r="E2670" s="266"/>
      <c r="F2670" s="266"/>
      <c r="G2670" s="266" t="s">
        <v>6304</v>
      </c>
      <c r="H2670" s="266" t="s">
        <v>4103</v>
      </c>
      <c r="I2670" s="266"/>
      <c r="J2670" s="266"/>
      <c r="K2670" s="1"/>
      <c r="L2670" s="1"/>
    </row>
    <row r="2671">
      <c r="A2671" s="266">
        <v>300.0</v>
      </c>
      <c r="B2671" s="266"/>
      <c r="C2671" s="266">
        <v>5.0</v>
      </c>
      <c r="D2671" s="266" t="s">
        <v>2785</v>
      </c>
      <c r="E2671" s="266"/>
      <c r="F2671" s="266"/>
      <c r="G2671" s="266" t="s">
        <v>6304</v>
      </c>
      <c r="H2671" s="266" t="s">
        <v>555</v>
      </c>
      <c r="I2671" s="266"/>
      <c r="J2671" s="266"/>
      <c r="K2671" s="1"/>
      <c r="L2671" s="1"/>
    </row>
    <row r="2672">
      <c r="A2672" s="266">
        <v>400.0</v>
      </c>
      <c r="B2672" s="266"/>
      <c r="C2672" s="266">
        <v>5.0</v>
      </c>
      <c r="D2672" s="266" t="s">
        <v>6306</v>
      </c>
      <c r="E2672" s="266"/>
      <c r="F2672" s="266"/>
      <c r="G2672" s="266" t="s">
        <v>6304</v>
      </c>
      <c r="H2672" s="266" t="s">
        <v>6743</v>
      </c>
      <c r="I2672" s="266"/>
      <c r="J2672" s="266"/>
      <c r="K2672" s="1"/>
      <c r="L2672" s="1"/>
    </row>
    <row r="2673">
      <c r="A2673" s="266">
        <v>50.0</v>
      </c>
      <c r="B2673" s="266">
        <v>1.0</v>
      </c>
      <c r="C2673" s="266"/>
      <c r="D2673" s="266" t="s">
        <v>8196</v>
      </c>
      <c r="E2673" s="266"/>
      <c r="F2673" s="266"/>
      <c r="G2673" s="266"/>
      <c r="H2673" s="266"/>
      <c r="I2673" s="266"/>
      <c r="J2673" s="267"/>
    </row>
    <row r="2674">
      <c r="A2674" s="266">
        <v>100.0</v>
      </c>
      <c r="B2674" s="266"/>
      <c r="C2674" s="266">
        <v>5.0</v>
      </c>
      <c r="D2674" s="266" t="s">
        <v>8197</v>
      </c>
      <c r="E2674" s="266"/>
      <c r="F2674" s="266"/>
      <c r="G2674" s="266"/>
      <c r="H2674" s="266"/>
      <c r="I2674" s="266"/>
      <c r="J2674" s="267"/>
    </row>
    <row r="2675">
      <c r="A2675" s="266">
        <v>200.0</v>
      </c>
      <c r="B2675" s="266"/>
      <c r="C2675" s="266">
        <v>10.0</v>
      </c>
      <c r="D2675" s="266" t="s">
        <v>514</v>
      </c>
      <c r="E2675" s="266"/>
      <c r="F2675" s="266"/>
      <c r="G2675" s="266" t="s">
        <v>6304</v>
      </c>
      <c r="H2675" s="266" t="s">
        <v>551</v>
      </c>
      <c r="I2675" s="266"/>
      <c r="J2675" s="266"/>
      <c r="K2675" s="1"/>
      <c r="L2675" s="1"/>
    </row>
    <row r="2676">
      <c r="A2676" s="266">
        <v>300.0</v>
      </c>
      <c r="B2676" s="266"/>
      <c r="C2676" s="266">
        <v>10.0</v>
      </c>
      <c r="D2676" s="266" t="s">
        <v>4114</v>
      </c>
      <c r="E2676" s="266"/>
      <c r="F2676" s="266"/>
      <c r="G2676" s="266" t="s">
        <v>6304</v>
      </c>
      <c r="H2676" s="266" t="s">
        <v>551</v>
      </c>
      <c r="I2676" s="266"/>
      <c r="J2676" s="266"/>
      <c r="K2676" s="1"/>
      <c r="L2676" s="1"/>
    </row>
    <row r="2677">
      <c r="A2677" s="266">
        <v>400.0</v>
      </c>
      <c r="B2677" s="266"/>
      <c r="C2677" s="266">
        <v>10.0</v>
      </c>
      <c r="D2677" s="266" t="s">
        <v>3790</v>
      </c>
      <c r="E2677" s="266"/>
      <c r="F2677" s="266"/>
      <c r="G2677" s="266" t="s">
        <v>6304</v>
      </c>
      <c r="H2677" s="266" t="s">
        <v>14</v>
      </c>
      <c r="I2677" s="266"/>
      <c r="J2677" s="266"/>
      <c r="K2677" s="1"/>
      <c r="L2677" s="1"/>
    </row>
    <row r="2678">
      <c r="A2678" s="266">
        <v>500.0</v>
      </c>
      <c r="B2678" s="266"/>
      <c r="C2678" s="266">
        <v>10.0</v>
      </c>
      <c r="D2678" s="266" t="s">
        <v>5104</v>
      </c>
      <c r="E2678" s="266"/>
      <c r="F2678" s="266"/>
      <c r="G2678" s="266" t="s">
        <v>6304</v>
      </c>
      <c r="H2678" s="266">
        <v>999.0</v>
      </c>
      <c r="I2678" s="266"/>
      <c r="J2678" s="266"/>
      <c r="K2678" s="1"/>
      <c r="L2678" s="1"/>
    </row>
    <row r="2679">
      <c r="A2679" s="266">
        <v>600.0</v>
      </c>
      <c r="B2679" s="266"/>
      <c r="C2679" s="266">
        <v>5.0</v>
      </c>
      <c r="D2679" s="266" t="s">
        <v>5127</v>
      </c>
      <c r="E2679" s="266"/>
      <c r="F2679" s="266"/>
      <c r="G2679" s="266" t="s">
        <v>6304</v>
      </c>
      <c r="H2679" s="266">
        <v>99.0</v>
      </c>
      <c r="I2679" s="266"/>
      <c r="J2679" s="266"/>
      <c r="K2679" s="1"/>
      <c r="L2679" s="1"/>
    </row>
    <row r="2680">
      <c r="A2680" s="266">
        <v>700.0</v>
      </c>
      <c r="B2680" s="266"/>
      <c r="C2680" s="266">
        <v>5.0</v>
      </c>
      <c r="D2680" s="266" t="s">
        <v>5128</v>
      </c>
      <c r="E2680" s="266"/>
      <c r="F2680" s="266"/>
      <c r="G2680" s="266" t="s">
        <v>6304</v>
      </c>
      <c r="H2680" s="266" t="s">
        <v>4106</v>
      </c>
      <c r="I2680" s="266" t="s">
        <v>6305</v>
      </c>
      <c r="J2680" s="266"/>
      <c r="K2680" s="1"/>
      <c r="L2680" s="1"/>
    </row>
    <row r="2681">
      <c r="A2681" s="266">
        <v>800.0</v>
      </c>
      <c r="B2681" s="266"/>
      <c r="C2681" s="266">
        <v>5.0</v>
      </c>
      <c r="D2681" s="266" t="s">
        <v>5129</v>
      </c>
      <c r="E2681" s="266"/>
      <c r="F2681" s="266"/>
      <c r="G2681" s="266" t="s">
        <v>6304</v>
      </c>
      <c r="H2681" s="266" t="s">
        <v>4106</v>
      </c>
      <c r="I2681" s="266" t="s">
        <v>6305</v>
      </c>
      <c r="J2681" s="266"/>
      <c r="K2681" s="1"/>
      <c r="L2681" s="1"/>
    </row>
    <row r="2682">
      <c r="A2682" s="266">
        <v>900.0</v>
      </c>
      <c r="B2682" s="266"/>
      <c r="C2682" s="266">
        <v>5.0</v>
      </c>
      <c r="D2682" s="266" t="s">
        <v>5130</v>
      </c>
      <c r="E2682" s="266" t="s">
        <v>6479</v>
      </c>
      <c r="F2682" s="266">
        <v>12.0</v>
      </c>
      <c r="G2682" s="266" t="s">
        <v>6304</v>
      </c>
      <c r="H2682" s="266" t="s">
        <v>4106</v>
      </c>
      <c r="I2682" s="266" t="s">
        <v>6305</v>
      </c>
      <c r="J2682" s="267"/>
    </row>
    <row r="2683">
      <c r="A2683" s="266">
        <v>1000.0</v>
      </c>
      <c r="B2683" s="266"/>
      <c r="C2683" s="266">
        <v>5.0</v>
      </c>
      <c r="D2683" s="266" t="s">
        <v>5131</v>
      </c>
      <c r="E2683" s="266"/>
      <c r="F2683" s="266"/>
      <c r="G2683" s="266" t="s">
        <v>6304</v>
      </c>
      <c r="H2683" s="266" t="s">
        <v>4106</v>
      </c>
      <c r="I2683" s="266" t="s">
        <v>6305</v>
      </c>
      <c r="J2683" s="266"/>
      <c r="K2683" s="1"/>
      <c r="L2683" s="1"/>
    </row>
    <row r="2684">
      <c r="A2684" s="266">
        <v>1100.0</v>
      </c>
      <c r="B2684" s="266"/>
      <c r="C2684" s="266">
        <v>5.0</v>
      </c>
      <c r="D2684" s="266" t="s">
        <v>5132</v>
      </c>
      <c r="E2684" s="266"/>
      <c r="F2684" s="266"/>
      <c r="G2684" s="266" t="s">
        <v>6304</v>
      </c>
      <c r="H2684" s="266" t="s">
        <v>4106</v>
      </c>
      <c r="I2684" s="266" t="s">
        <v>6305</v>
      </c>
      <c r="J2684" s="266"/>
      <c r="K2684" s="1"/>
      <c r="L2684" s="1"/>
    </row>
    <row r="2685">
      <c r="A2685" s="266">
        <v>1200.0</v>
      </c>
      <c r="B2685" s="266"/>
      <c r="C2685" s="266">
        <v>5.0</v>
      </c>
      <c r="D2685" s="266" t="s">
        <v>5133</v>
      </c>
      <c r="E2685" s="266" t="s">
        <v>6479</v>
      </c>
      <c r="F2685" s="266">
        <v>3.0</v>
      </c>
      <c r="G2685" s="266" t="s">
        <v>6304</v>
      </c>
      <c r="H2685" s="266" t="s">
        <v>4106</v>
      </c>
      <c r="I2685" s="266" t="s">
        <v>6305</v>
      </c>
      <c r="J2685" s="267"/>
    </row>
    <row r="2686">
      <c r="A2686" s="266">
        <v>1300.0</v>
      </c>
      <c r="B2686" s="266"/>
      <c r="C2686" s="266">
        <v>5.0</v>
      </c>
      <c r="D2686" s="266" t="s">
        <v>5134</v>
      </c>
      <c r="E2686" s="266"/>
      <c r="F2686" s="266"/>
      <c r="G2686" s="266" t="s">
        <v>6304</v>
      </c>
      <c r="H2686" s="266" t="s">
        <v>4106</v>
      </c>
      <c r="I2686" s="266" t="s">
        <v>6305</v>
      </c>
      <c r="J2686" s="266"/>
      <c r="K2686" s="1"/>
      <c r="L2686" s="1"/>
    </row>
    <row r="2687">
      <c r="A2687" s="266">
        <v>1400.0</v>
      </c>
      <c r="B2687" s="266"/>
      <c r="C2687" s="266">
        <v>5.0</v>
      </c>
      <c r="D2687" s="266" t="s">
        <v>5135</v>
      </c>
      <c r="E2687" s="266"/>
      <c r="F2687" s="266"/>
      <c r="G2687" s="266" t="s">
        <v>6304</v>
      </c>
      <c r="H2687" s="266" t="s">
        <v>4106</v>
      </c>
      <c r="I2687" s="266" t="s">
        <v>6305</v>
      </c>
      <c r="J2687" s="266"/>
      <c r="K2687" s="1"/>
      <c r="L2687" s="1"/>
    </row>
    <row r="2688">
      <c r="A2688" s="266">
        <v>1500.0</v>
      </c>
      <c r="B2688" s="266"/>
      <c r="C2688" s="266">
        <v>5.0</v>
      </c>
      <c r="D2688" s="266" t="s">
        <v>2785</v>
      </c>
      <c r="E2688" s="266"/>
      <c r="F2688" s="266"/>
      <c r="G2688" s="266" t="s">
        <v>6304</v>
      </c>
      <c r="H2688" s="266" t="s">
        <v>555</v>
      </c>
      <c r="I2688" s="266"/>
      <c r="J2688" s="266"/>
      <c r="K2688" s="1"/>
      <c r="L2688" s="1"/>
    </row>
    <row r="2689">
      <c r="A2689" s="266">
        <v>1600.0</v>
      </c>
      <c r="B2689" s="266"/>
      <c r="C2689" s="266">
        <v>5.0</v>
      </c>
      <c r="D2689" s="266" t="s">
        <v>5109</v>
      </c>
      <c r="E2689" s="266"/>
      <c r="F2689" s="266"/>
      <c r="G2689" s="266" t="s">
        <v>6304</v>
      </c>
      <c r="H2689" s="266" t="s">
        <v>551</v>
      </c>
      <c r="I2689" s="266"/>
      <c r="J2689" s="266"/>
      <c r="K2689" s="1"/>
      <c r="L2689" s="1"/>
    </row>
    <row r="2690">
      <c r="A2690" s="266">
        <v>1700.0</v>
      </c>
      <c r="B2690" s="266"/>
      <c r="C2690" s="266">
        <v>5.0</v>
      </c>
      <c r="D2690" s="266" t="s">
        <v>5136</v>
      </c>
      <c r="E2690" s="266"/>
      <c r="F2690" s="266"/>
      <c r="G2690" s="266" t="s">
        <v>6304</v>
      </c>
      <c r="H2690" s="266" t="s">
        <v>552</v>
      </c>
      <c r="I2690" s="266"/>
      <c r="J2690" s="266"/>
      <c r="K2690" s="1"/>
      <c r="L2690" s="1"/>
    </row>
    <row r="2691">
      <c r="A2691" s="266">
        <v>1800.0</v>
      </c>
      <c r="B2691" s="266"/>
      <c r="C2691" s="266">
        <v>5.0</v>
      </c>
      <c r="D2691" s="266" t="s">
        <v>6306</v>
      </c>
      <c r="E2691" s="266"/>
      <c r="F2691" s="266"/>
      <c r="G2691" s="266" t="s">
        <v>6304</v>
      </c>
      <c r="H2691" s="266" t="s">
        <v>6801</v>
      </c>
      <c r="I2691" s="266"/>
      <c r="J2691" s="266"/>
      <c r="K2691" s="1"/>
      <c r="L2691" s="1"/>
    </row>
    <row r="2692">
      <c r="A2692" s="266">
        <v>50.0</v>
      </c>
      <c r="B2692" s="266">
        <v>1.0</v>
      </c>
      <c r="C2692" s="266"/>
      <c r="D2692" s="266" t="s">
        <v>8198</v>
      </c>
      <c r="E2692" s="266"/>
      <c r="F2692" s="266"/>
      <c r="G2692" s="266"/>
      <c r="H2692" s="266"/>
      <c r="I2692" s="266"/>
      <c r="J2692" s="267"/>
    </row>
    <row r="2693">
      <c r="A2693" s="266">
        <v>100.0</v>
      </c>
      <c r="B2693" s="266"/>
      <c r="C2693" s="266">
        <v>5.0</v>
      </c>
      <c r="D2693" s="266" t="s">
        <v>4115</v>
      </c>
      <c r="E2693" s="266"/>
      <c r="F2693" s="266"/>
      <c r="G2693" s="266" t="s">
        <v>6304</v>
      </c>
      <c r="H2693" s="266" t="s">
        <v>4103</v>
      </c>
      <c r="I2693" s="266"/>
      <c r="J2693" s="266"/>
      <c r="K2693" s="1"/>
      <c r="L2693" s="1"/>
    </row>
    <row r="2694">
      <c r="A2694" s="266">
        <v>200.0</v>
      </c>
      <c r="B2694" s="266"/>
      <c r="C2694" s="266">
        <v>5.0</v>
      </c>
      <c r="D2694" s="266" t="s">
        <v>8199</v>
      </c>
      <c r="E2694" s="266"/>
      <c r="F2694" s="266"/>
      <c r="G2694" s="266" t="s">
        <v>6304</v>
      </c>
      <c r="H2694" s="266" t="s">
        <v>4104</v>
      </c>
      <c r="I2694" s="266" t="s">
        <v>6305</v>
      </c>
      <c r="J2694" s="266"/>
      <c r="K2694" s="1"/>
      <c r="L2694" s="1"/>
    </row>
    <row r="2695">
      <c r="A2695" s="266">
        <v>300.0</v>
      </c>
      <c r="B2695" s="266"/>
      <c r="C2695" s="266">
        <v>5.0</v>
      </c>
      <c r="D2695" s="266" t="s">
        <v>8200</v>
      </c>
      <c r="E2695" s="266"/>
      <c r="F2695" s="266"/>
      <c r="G2695" s="266" t="s">
        <v>6304</v>
      </c>
      <c r="H2695" s="266" t="s">
        <v>6777</v>
      </c>
      <c r="I2695" s="266" t="s">
        <v>6305</v>
      </c>
      <c r="J2695" s="266"/>
      <c r="K2695" s="1"/>
      <c r="L2695" s="1"/>
    </row>
    <row r="2696">
      <c r="A2696" s="266">
        <v>400.0</v>
      </c>
      <c r="B2696" s="266"/>
      <c r="C2696" s="266">
        <v>5.0</v>
      </c>
      <c r="D2696" s="266" t="s">
        <v>4121</v>
      </c>
      <c r="E2696" s="266"/>
      <c r="F2696" s="266"/>
      <c r="G2696" s="266" t="s">
        <v>6304</v>
      </c>
      <c r="H2696" s="266" t="s">
        <v>3795</v>
      </c>
      <c r="I2696" s="266"/>
      <c r="J2696" s="266"/>
      <c r="K2696" s="1"/>
      <c r="L2696" s="1"/>
    </row>
    <row r="2697">
      <c r="A2697" s="266">
        <v>500.0</v>
      </c>
      <c r="B2697" s="266"/>
      <c r="C2697" s="266">
        <v>5.0</v>
      </c>
      <c r="D2697" s="266" t="s">
        <v>8201</v>
      </c>
      <c r="E2697" s="266"/>
      <c r="F2697" s="266"/>
      <c r="G2697" s="266" t="s">
        <v>6304</v>
      </c>
      <c r="H2697" s="266" t="s">
        <v>3795</v>
      </c>
      <c r="I2697" s="266"/>
      <c r="J2697" s="266"/>
      <c r="K2697" s="1"/>
      <c r="L2697" s="1"/>
    </row>
    <row r="2698">
      <c r="A2698" s="266">
        <v>600.0</v>
      </c>
      <c r="B2698" s="266"/>
      <c r="C2698" s="266">
        <v>5.0</v>
      </c>
      <c r="D2698" s="266" t="s">
        <v>5110</v>
      </c>
      <c r="E2698" s="266"/>
      <c r="F2698" s="266"/>
      <c r="G2698" s="266" t="s">
        <v>6304</v>
      </c>
      <c r="H2698" s="266" t="s">
        <v>14</v>
      </c>
      <c r="I2698" s="266"/>
      <c r="J2698" s="266"/>
      <c r="K2698" s="1"/>
      <c r="L2698" s="1"/>
    </row>
    <row r="2699">
      <c r="A2699" s="266">
        <v>700.0</v>
      </c>
      <c r="B2699" s="266"/>
      <c r="C2699" s="266">
        <v>5.0</v>
      </c>
      <c r="D2699" s="266" t="s">
        <v>6306</v>
      </c>
      <c r="E2699" s="266"/>
      <c r="F2699" s="266"/>
      <c r="G2699" s="266" t="s">
        <v>6304</v>
      </c>
      <c r="H2699" s="266" t="s">
        <v>8202</v>
      </c>
      <c r="I2699" s="266"/>
      <c r="J2699" s="266"/>
      <c r="K2699" s="1"/>
      <c r="L2699" s="1"/>
    </row>
    <row r="2700">
      <c r="A2700" s="266">
        <v>50.0</v>
      </c>
      <c r="B2700" s="266">
        <v>1.0</v>
      </c>
      <c r="C2700" s="266"/>
      <c r="D2700" s="266" t="s">
        <v>8203</v>
      </c>
      <c r="E2700" s="266"/>
      <c r="F2700" s="266"/>
      <c r="G2700" s="266"/>
      <c r="H2700" s="266"/>
      <c r="I2700" s="266"/>
      <c r="J2700" s="267"/>
    </row>
    <row r="2701">
      <c r="A2701" s="266">
        <v>100.0</v>
      </c>
      <c r="B2701" s="266"/>
      <c r="C2701" s="266">
        <v>5.0</v>
      </c>
      <c r="D2701" s="266" t="s">
        <v>8171</v>
      </c>
      <c r="E2701" s="266"/>
      <c r="F2701" s="266"/>
      <c r="G2701" s="266" t="s">
        <v>6304</v>
      </c>
      <c r="H2701" s="266">
        <v>9.0</v>
      </c>
      <c r="I2701" s="266"/>
      <c r="J2701" s="266"/>
      <c r="K2701" s="1"/>
      <c r="L2701" s="1"/>
    </row>
    <row r="2702">
      <c r="A2702" s="266">
        <v>200.0</v>
      </c>
      <c r="B2702" s="266"/>
      <c r="C2702" s="266">
        <v>5.0</v>
      </c>
      <c r="D2702" s="266" t="s">
        <v>5105</v>
      </c>
      <c r="E2702" s="266"/>
      <c r="F2702" s="266"/>
      <c r="G2702" s="266" t="s">
        <v>6304</v>
      </c>
      <c r="H2702" s="266" t="s">
        <v>556</v>
      </c>
      <c r="I2702" s="266"/>
      <c r="J2702" s="266"/>
      <c r="K2702" s="1"/>
      <c r="L2702" s="1"/>
    </row>
    <row r="2703">
      <c r="A2703" s="266">
        <v>300.0</v>
      </c>
      <c r="B2703" s="266"/>
      <c r="C2703" s="266">
        <v>5.0</v>
      </c>
      <c r="D2703" s="266" t="s">
        <v>8204</v>
      </c>
      <c r="E2703" s="266"/>
      <c r="F2703" s="266"/>
      <c r="G2703" s="266" t="s">
        <v>6304</v>
      </c>
      <c r="H2703" s="266" t="s">
        <v>551</v>
      </c>
      <c r="I2703" s="266"/>
      <c r="J2703" s="266"/>
      <c r="K2703" s="1"/>
      <c r="L2703" s="1"/>
    </row>
    <row r="2704">
      <c r="A2704" s="266">
        <v>400.0</v>
      </c>
      <c r="B2704" s="266"/>
      <c r="C2704" s="266">
        <v>5.0</v>
      </c>
      <c r="D2704" s="266" t="s">
        <v>8205</v>
      </c>
      <c r="E2704" s="266"/>
      <c r="F2704" s="266"/>
      <c r="G2704" s="266" t="s">
        <v>6304</v>
      </c>
      <c r="H2704" s="266" t="s">
        <v>552</v>
      </c>
      <c r="I2704" s="266"/>
      <c r="J2704" s="266"/>
      <c r="K2704" s="1"/>
      <c r="L2704" s="1"/>
    </row>
    <row r="2705">
      <c r="A2705" s="266">
        <v>500.0</v>
      </c>
      <c r="B2705" s="266"/>
      <c r="C2705" s="266">
        <v>5.0</v>
      </c>
      <c r="D2705" s="266" t="s">
        <v>8206</v>
      </c>
      <c r="E2705" s="266"/>
      <c r="F2705" s="266"/>
      <c r="G2705" s="266" t="s">
        <v>6304</v>
      </c>
      <c r="H2705" s="266" t="s">
        <v>557</v>
      </c>
      <c r="I2705" s="266"/>
      <c r="J2705" s="266"/>
      <c r="K2705" s="1"/>
      <c r="L2705" s="1"/>
    </row>
    <row r="2706">
      <c r="A2706" s="266">
        <v>600.0</v>
      </c>
      <c r="B2706" s="266"/>
      <c r="C2706" s="266">
        <v>5.0</v>
      </c>
      <c r="D2706" s="266" t="s">
        <v>8207</v>
      </c>
      <c r="E2706" s="266"/>
      <c r="F2706" s="266"/>
      <c r="G2706" s="266" t="s">
        <v>6304</v>
      </c>
      <c r="H2706" s="266">
        <v>9.0</v>
      </c>
      <c r="I2706" s="266"/>
      <c r="J2706" s="266"/>
      <c r="K2706" s="1"/>
      <c r="L2706" s="1"/>
    </row>
    <row r="2707">
      <c r="A2707" s="266">
        <v>700.0</v>
      </c>
      <c r="B2707" s="266"/>
      <c r="C2707" s="266">
        <v>5.0</v>
      </c>
      <c r="D2707" s="266" t="s">
        <v>8208</v>
      </c>
      <c r="E2707" s="266" t="s">
        <v>6479</v>
      </c>
      <c r="F2707" s="266">
        <v>5.0</v>
      </c>
      <c r="G2707" s="266" t="s">
        <v>6304</v>
      </c>
      <c r="H2707" s="266" t="s">
        <v>4105</v>
      </c>
      <c r="I2707" s="266" t="s">
        <v>6305</v>
      </c>
      <c r="J2707" s="267"/>
    </row>
    <row r="2708">
      <c r="A2708" s="266">
        <v>800.0</v>
      </c>
      <c r="B2708" s="266"/>
      <c r="C2708" s="266">
        <v>5.0</v>
      </c>
      <c r="D2708" s="266" t="s">
        <v>8209</v>
      </c>
      <c r="E2708" s="266" t="s">
        <v>6479</v>
      </c>
      <c r="F2708" s="266">
        <v>5.0</v>
      </c>
      <c r="G2708" s="266" t="s">
        <v>6304</v>
      </c>
      <c r="H2708" s="266" t="s">
        <v>4105</v>
      </c>
      <c r="I2708" s="266" t="s">
        <v>6305</v>
      </c>
      <c r="J2708" s="267"/>
    </row>
    <row r="2709">
      <c r="A2709" s="266">
        <v>900.0</v>
      </c>
      <c r="B2709" s="266"/>
      <c r="C2709" s="266">
        <v>5.0</v>
      </c>
      <c r="D2709" s="266" t="s">
        <v>8210</v>
      </c>
      <c r="E2709" s="266"/>
      <c r="F2709" s="266"/>
      <c r="G2709" s="266" t="s">
        <v>6304</v>
      </c>
      <c r="H2709" s="266" t="s">
        <v>17</v>
      </c>
      <c r="I2709" s="266"/>
      <c r="J2709" s="266"/>
      <c r="K2709" s="1"/>
      <c r="L2709" s="1"/>
    </row>
    <row r="2710">
      <c r="A2710" s="266">
        <v>1000.0</v>
      </c>
      <c r="B2710" s="266"/>
      <c r="C2710" s="266">
        <v>5.0</v>
      </c>
      <c r="D2710" s="266" t="s">
        <v>8211</v>
      </c>
      <c r="E2710" s="266"/>
      <c r="F2710" s="266"/>
      <c r="G2710" s="266" t="s">
        <v>6304</v>
      </c>
      <c r="H2710" s="266" t="s">
        <v>17</v>
      </c>
      <c r="I2710" s="266"/>
      <c r="J2710" s="266"/>
      <c r="K2710" s="1"/>
      <c r="L2710" s="1"/>
    </row>
    <row r="2711">
      <c r="A2711" s="266">
        <v>1100.0</v>
      </c>
      <c r="B2711" s="266"/>
      <c r="C2711" s="266">
        <v>5.0</v>
      </c>
      <c r="D2711" s="266" t="s">
        <v>6306</v>
      </c>
      <c r="E2711" s="266"/>
      <c r="F2711" s="266"/>
      <c r="G2711" s="266" t="s">
        <v>6304</v>
      </c>
      <c r="H2711" s="266" t="s">
        <v>7959</v>
      </c>
      <c r="I2711" s="266"/>
      <c r="J2711" s="266"/>
      <c r="K2711" s="1"/>
      <c r="L2711" s="1"/>
    </row>
    <row r="2712">
      <c r="A2712" s="266">
        <v>50.0</v>
      </c>
      <c r="B2712" s="266">
        <v>1.0</v>
      </c>
      <c r="C2712" s="266"/>
      <c r="D2712" s="266" t="s">
        <v>8212</v>
      </c>
      <c r="E2712" s="266"/>
      <c r="F2712" s="266"/>
      <c r="G2712" s="266"/>
      <c r="H2712" s="266"/>
      <c r="I2712" s="266"/>
      <c r="J2712" s="267"/>
    </row>
    <row r="2713">
      <c r="A2713" s="266">
        <v>100.0</v>
      </c>
      <c r="B2713" s="266"/>
      <c r="C2713" s="266">
        <v>5.0</v>
      </c>
      <c r="D2713" s="266" t="s">
        <v>8213</v>
      </c>
      <c r="E2713" s="266"/>
      <c r="F2713" s="266"/>
      <c r="G2713" s="266"/>
      <c r="H2713" s="266"/>
      <c r="I2713" s="266"/>
      <c r="J2713" s="267"/>
    </row>
    <row r="2714">
      <c r="A2714" s="266">
        <v>200.0</v>
      </c>
      <c r="B2714" s="266"/>
      <c r="C2714" s="266">
        <v>10.0</v>
      </c>
      <c r="D2714" s="266" t="s">
        <v>514</v>
      </c>
      <c r="E2714" s="266"/>
      <c r="F2714" s="266"/>
      <c r="G2714" s="266" t="s">
        <v>6304</v>
      </c>
      <c r="H2714" s="266" t="s">
        <v>551</v>
      </c>
      <c r="I2714" s="266"/>
      <c r="J2714" s="266"/>
      <c r="K2714" s="1"/>
      <c r="L2714" s="1"/>
    </row>
    <row r="2715">
      <c r="A2715" s="266">
        <v>300.0</v>
      </c>
      <c r="B2715" s="266"/>
      <c r="C2715" s="266">
        <v>10.0</v>
      </c>
      <c r="D2715" s="266" t="s">
        <v>6795</v>
      </c>
      <c r="E2715" s="266"/>
      <c r="F2715" s="266"/>
      <c r="G2715" s="266" t="s">
        <v>6304</v>
      </c>
      <c r="H2715" s="266" t="s">
        <v>556</v>
      </c>
      <c r="I2715" s="266"/>
      <c r="J2715" s="266"/>
      <c r="K2715" s="1"/>
      <c r="L2715" s="1"/>
    </row>
    <row r="2716">
      <c r="A2716" s="266">
        <v>400.0</v>
      </c>
      <c r="B2716" s="266"/>
      <c r="C2716" s="266">
        <v>10.0</v>
      </c>
      <c r="D2716" s="266" t="s">
        <v>6783</v>
      </c>
      <c r="E2716" s="266"/>
      <c r="F2716" s="266"/>
      <c r="G2716" s="266"/>
      <c r="H2716" s="266"/>
      <c r="I2716" s="266"/>
      <c r="J2716" s="267"/>
    </row>
    <row r="2717">
      <c r="A2717" s="266">
        <v>500.0</v>
      </c>
      <c r="B2717" s="266"/>
      <c r="C2717" s="266">
        <v>15.0</v>
      </c>
      <c r="D2717" s="266" t="s">
        <v>5165</v>
      </c>
      <c r="E2717" s="266"/>
      <c r="F2717" s="266"/>
      <c r="G2717" s="266" t="s">
        <v>6304</v>
      </c>
      <c r="H2717" s="266">
        <v>9.0</v>
      </c>
      <c r="I2717" s="266"/>
      <c r="J2717" s="266"/>
      <c r="K2717" s="1"/>
      <c r="L2717" s="1"/>
    </row>
    <row r="2718">
      <c r="A2718" s="266">
        <v>600.0</v>
      </c>
      <c r="B2718" s="266"/>
      <c r="C2718" s="266">
        <v>15.0</v>
      </c>
      <c r="D2718" s="266" t="s">
        <v>5166</v>
      </c>
      <c r="E2718" s="266"/>
      <c r="F2718" s="266"/>
      <c r="G2718" s="266" t="s">
        <v>6304</v>
      </c>
      <c r="H2718" s="266" t="s">
        <v>551</v>
      </c>
      <c r="I2718" s="266"/>
      <c r="J2718" s="266"/>
      <c r="K2718" s="1"/>
      <c r="L2718" s="1"/>
    </row>
    <row r="2719">
      <c r="A2719" s="266">
        <v>700.0</v>
      </c>
      <c r="B2719" s="266"/>
      <c r="C2719" s="266">
        <v>10.0</v>
      </c>
      <c r="D2719" s="266" t="s">
        <v>6796</v>
      </c>
      <c r="E2719" s="266"/>
      <c r="F2719" s="266"/>
      <c r="G2719" s="266" t="s">
        <v>6304</v>
      </c>
      <c r="H2719" s="266" t="s">
        <v>556</v>
      </c>
      <c r="I2719" s="266"/>
      <c r="J2719" s="266"/>
      <c r="K2719" s="1"/>
      <c r="L2719" s="1"/>
    </row>
    <row r="2720">
      <c r="A2720" s="266">
        <v>800.0</v>
      </c>
      <c r="B2720" s="266"/>
      <c r="C2720" s="266">
        <v>10.0</v>
      </c>
      <c r="D2720" s="266" t="s">
        <v>6784</v>
      </c>
      <c r="E2720" s="266"/>
      <c r="F2720" s="266"/>
      <c r="G2720" s="266"/>
      <c r="H2720" s="266"/>
      <c r="I2720" s="266"/>
      <c r="J2720" s="267"/>
    </row>
    <row r="2721">
      <c r="A2721" s="266">
        <v>900.0</v>
      </c>
      <c r="B2721" s="266"/>
      <c r="C2721" s="266">
        <v>15.0</v>
      </c>
      <c r="D2721" s="266" t="s">
        <v>5160</v>
      </c>
      <c r="E2721" s="266"/>
      <c r="F2721" s="266"/>
      <c r="G2721" s="266" t="s">
        <v>6304</v>
      </c>
      <c r="H2721" s="266" t="s">
        <v>552</v>
      </c>
      <c r="I2721" s="266"/>
      <c r="J2721" s="266"/>
      <c r="K2721" s="1"/>
      <c r="L2721" s="1"/>
    </row>
    <row r="2722">
      <c r="A2722" s="266">
        <v>1000.0</v>
      </c>
      <c r="B2722" s="266"/>
      <c r="C2722" s="266">
        <v>15.0</v>
      </c>
      <c r="D2722" s="266" t="s">
        <v>5161</v>
      </c>
      <c r="E2722" s="266"/>
      <c r="F2722" s="266"/>
      <c r="G2722" s="266" t="s">
        <v>6304</v>
      </c>
      <c r="H2722" s="266" t="s">
        <v>551</v>
      </c>
      <c r="I2722" s="266"/>
      <c r="J2722" s="266"/>
      <c r="K2722" s="1"/>
      <c r="L2722" s="1"/>
    </row>
    <row r="2723">
      <c r="A2723" s="266">
        <v>1100.0</v>
      </c>
      <c r="B2723" s="266"/>
      <c r="C2723" s="266">
        <v>10.0</v>
      </c>
      <c r="D2723" s="266" t="s">
        <v>6768</v>
      </c>
      <c r="E2723" s="266"/>
      <c r="F2723" s="266"/>
      <c r="G2723" s="266" t="s">
        <v>6304</v>
      </c>
      <c r="H2723" s="266" t="s">
        <v>3794</v>
      </c>
      <c r="I2723" s="266"/>
      <c r="J2723" s="266"/>
      <c r="K2723" s="1"/>
      <c r="L2723" s="1"/>
    </row>
    <row r="2724">
      <c r="A2724" s="266">
        <v>1200.0</v>
      </c>
      <c r="B2724" s="266"/>
      <c r="C2724" s="266">
        <v>10.0</v>
      </c>
      <c r="D2724" s="266" t="s">
        <v>6789</v>
      </c>
      <c r="E2724" s="266"/>
      <c r="F2724" s="266"/>
      <c r="G2724" s="266" t="s">
        <v>6304</v>
      </c>
      <c r="H2724" s="266" t="s">
        <v>3795</v>
      </c>
      <c r="I2724" s="266"/>
      <c r="J2724" s="266"/>
      <c r="K2724" s="1"/>
      <c r="L2724" s="1"/>
    </row>
    <row r="2725">
      <c r="A2725" s="266">
        <v>1300.0</v>
      </c>
      <c r="B2725" s="266"/>
      <c r="C2725" s="266">
        <v>5.0</v>
      </c>
      <c r="D2725" s="266" t="s">
        <v>4114</v>
      </c>
      <c r="E2725" s="266"/>
      <c r="F2725" s="266"/>
      <c r="G2725" s="266" t="s">
        <v>6304</v>
      </c>
      <c r="H2725" s="266" t="s">
        <v>551</v>
      </c>
      <c r="I2725" s="266"/>
      <c r="J2725" s="266"/>
      <c r="K2725" s="1"/>
      <c r="L2725" s="1"/>
    </row>
    <row r="2726">
      <c r="A2726" s="266">
        <v>1400.0</v>
      </c>
      <c r="B2726" s="266"/>
      <c r="C2726" s="266">
        <v>5.0</v>
      </c>
      <c r="D2726" s="266" t="s">
        <v>8214</v>
      </c>
      <c r="E2726" s="266" t="s">
        <v>6479</v>
      </c>
      <c r="F2726" s="266">
        <v>5.0</v>
      </c>
      <c r="G2726" s="266"/>
      <c r="H2726" s="266"/>
      <c r="I2726" s="266"/>
      <c r="J2726" s="267"/>
    </row>
    <row r="2727">
      <c r="A2727" s="266">
        <v>1500.0</v>
      </c>
      <c r="B2727" s="266"/>
      <c r="C2727" s="266">
        <v>10.0</v>
      </c>
      <c r="D2727" s="266" t="s">
        <v>8215</v>
      </c>
      <c r="E2727" s="266"/>
      <c r="F2727" s="266"/>
      <c r="G2727" s="266" t="s">
        <v>6304</v>
      </c>
      <c r="H2727" s="266" t="s">
        <v>14</v>
      </c>
      <c r="I2727" s="266"/>
      <c r="J2727" s="266"/>
      <c r="K2727" s="1"/>
      <c r="L2727" s="1"/>
    </row>
    <row r="2728">
      <c r="A2728" s="266">
        <v>1600.0</v>
      </c>
      <c r="B2728" s="266"/>
      <c r="C2728" s="266">
        <v>10.0</v>
      </c>
      <c r="D2728" s="266" t="s">
        <v>8216</v>
      </c>
      <c r="E2728" s="266"/>
      <c r="F2728" s="266"/>
      <c r="G2728" s="266" t="s">
        <v>6304</v>
      </c>
      <c r="H2728" s="266">
        <v>999.0</v>
      </c>
      <c r="I2728" s="266"/>
      <c r="J2728" s="266"/>
      <c r="K2728" s="1"/>
      <c r="L2728" s="1"/>
    </row>
    <row r="2729">
      <c r="A2729" s="266">
        <v>1700.0</v>
      </c>
      <c r="B2729" s="266"/>
      <c r="C2729" s="266">
        <v>5.0</v>
      </c>
      <c r="D2729" s="266" t="s">
        <v>8217</v>
      </c>
      <c r="E2729" s="266" t="s">
        <v>6479</v>
      </c>
      <c r="F2729" s="266">
        <v>5.0</v>
      </c>
      <c r="G2729" s="266"/>
      <c r="H2729" s="266"/>
      <c r="I2729" s="266"/>
      <c r="J2729" s="267"/>
    </row>
    <row r="2730">
      <c r="A2730" s="266">
        <v>1800.0</v>
      </c>
      <c r="B2730" s="266"/>
      <c r="C2730" s="266">
        <v>10.0</v>
      </c>
      <c r="D2730" s="266" t="s">
        <v>8218</v>
      </c>
      <c r="E2730" s="266"/>
      <c r="F2730" s="266"/>
      <c r="G2730" s="266" t="s">
        <v>6304</v>
      </c>
      <c r="H2730" s="266" t="s">
        <v>14</v>
      </c>
      <c r="I2730" s="266"/>
      <c r="J2730" s="266"/>
      <c r="K2730" s="1"/>
      <c r="L2730" s="1"/>
    </row>
    <row r="2731">
      <c r="A2731" s="266">
        <v>1900.0</v>
      </c>
      <c r="B2731" s="266"/>
      <c r="C2731" s="266">
        <v>10.0</v>
      </c>
      <c r="D2731" s="266" t="s">
        <v>8219</v>
      </c>
      <c r="E2731" s="266"/>
      <c r="F2731" s="266"/>
      <c r="G2731" s="266" t="s">
        <v>6304</v>
      </c>
      <c r="H2731" s="266">
        <v>999.0</v>
      </c>
      <c r="I2731" s="266"/>
      <c r="J2731" s="266"/>
      <c r="K2731" s="1"/>
      <c r="L2731" s="1"/>
    </row>
    <row r="2732">
      <c r="A2732" s="266">
        <v>2000.0</v>
      </c>
      <c r="B2732" s="266"/>
      <c r="C2732" s="266">
        <v>5.0</v>
      </c>
      <c r="D2732" s="266" t="s">
        <v>8220</v>
      </c>
      <c r="E2732" s="266" t="s">
        <v>6479</v>
      </c>
      <c r="F2732" s="266">
        <v>5.0</v>
      </c>
      <c r="G2732" s="266"/>
      <c r="H2732" s="266"/>
      <c r="I2732" s="266"/>
      <c r="J2732" s="267"/>
    </row>
    <row r="2733">
      <c r="A2733" s="266">
        <v>2100.0</v>
      </c>
      <c r="B2733" s="266"/>
      <c r="C2733" s="266">
        <v>10.0</v>
      </c>
      <c r="D2733" s="266" t="s">
        <v>8221</v>
      </c>
      <c r="E2733" s="266"/>
      <c r="F2733" s="266"/>
      <c r="G2733" s="266" t="s">
        <v>6304</v>
      </c>
      <c r="H2733" s="266" t="s">
        <v>14</v>
      </c>
      <c r="I2733" s="266"/>
      <c r="J2733" s="266"/>
      <c r="K2733" s="1"/>
      <c r="L2733" s="1"/>
    </row>
    <row r="2734">
      <c r="A2734" s="266">
        <v>2200.0</v>
      </c>
      <c r="B2734" s="266"/>
      <c r="C2734" s="266">
        <v>10.0</v>
      </c>
      <c r="D2734" s="266" t="s">
        <v>8222</v>
      </c>
      <c r="E2734" s="266"/>
      <c r="F2734" s="266"/>
      <c r="G2734" s="266" t="s">
        <v>6304</v>
      </c>
      <c r="H2734" s="266">
        <v>999.0</v>
      </c>
      <c r="I2734" s="266"/>
      <c r="J2734" s="266"/>
      <c r="K2734" s="1"/>
      <c r="L2734" s="1"/>
    </row>
    <row r="2735">
      <c r="A2735" s="266">
        <v>2300.0</v>
      </c>
      <c r="B2735" s="266"/>
      <c r="C2735" s="266">
        <v>5.0</v>
      </c>
      <c r="D2735" s="266" t="s">
        <v>8223</v>
      </c>
      <c r="E2735" s="266" t="s">
        <v>6479</v>
      </c>
      <c r="F2735" s="266">
        <v>5.0</v>
      </c>
      <c r="G2735" s="266"/>
      <c r="H2735" s="266"/>
      <c r="I2735" s="266"/>
      <c r="J2735" s="267"/>
    </row>
    <row r="2736">
      <c r="A2736" s="266">
        <v>2400.0</v>
      </c>
      <c r="B2736" s="266"/>
      <c r="C2736" s="266">
        <v>10.0</v>
      </c>
      <c r="D2736" s="266" t="s">
        <v>8224</v>
      </c>
      <c r="E2736" s="266"/>
      <c r="F2736" s="266"/>
      <c r="G2736" s="266" t="s">
        <v>6304</v>
      </c>
      <c r="H2736" s="266" t="s">
        <v>14</v>
      </c>
      <c r="I2736" s="266"/>
      <c r="J2736" s="266"/>
      <c r="K2736" s="1"/>
      <c r="L2736" s="1"/>
    </row>
    <row r="2737">
      <c r="A2737" s="266">
        <v>2500.0</v>
      </c>
      <c r="B2737" s="266"/>
      <c r="C2737" s="266">
        <v>10.0</v>
      </c>
      <c r="D2737" s="266" t="s">
        <v>8225</v>
      </c>
      <c r="E2737" s="266"/>
      <c r="F2737" s="266"/>
      <c r="G2737" s="266" t="s">
        <v>6304</v>
      </c>
      <c r="H2737" s="266">
        <v>999.0</v>
      </c>
      <c r="I2737" s="266"/>
      <c r="J2737" s="266"/>
      <c r="K2737" s="1"/>
      <c r="L2737" s="1"/>
    </row>
    <row r="2738">
      <c r="A2738" s="266">
        <v>2600.0</v>
      </c>
      <c r="B2738" s="266"/>
      <c r="C2738" s="266">
        <v>5.0</v>
      </c>
      <c r="D2738" s="266" t="s">
        <v>8226</v>
      </c>
      <c r="E2738" s="266" t="s">
        <v>6479</v>
      </c>
      <c r="F2738" s="266">
        <v>5.0</v>
      </c>
      <c r="G2738" s="266"/>
      <c r="H2738" s="266"/>
      <c r="I2738" s="266"/>
      <c r="J2738" s="267"/>
    </row>
    <row r="2739">
      <c r="A2739" s="266">
        <v>2700.0</v>
      </c>
      <c r="B2739" s="266"/>
      <c r="C2739" s="266">
        <v>10.0</v>
      </c>
      <c r="D2739" s="266" t="s">
        <v>8227</v>
      </c>
      <c r="E2739" s="266"/>
      <c r="F2739" s="266"/>
      <c r="G2739" s="266" t="s">
        <v>6304</v>
      </c>
      <c r="H2739" s="266" t="s">
        <v>14</v>
      </c>
      <c r="I2739" s="266"/>
      <c r="J2739" s="266"/>
      <c r="K2739" s="1"/>
      <c r="L2739" s="1"/>
    </row>
    <row r="2740">
      <c r="A2740" s="266">
        <v>2800.0</v>
      </c>
      <c r="B2740" s="266"/>
      <c r="C2740" s="266">
        <v>10.0</v>
      </c>
      <c r="D2740" s="266" t="s">
        <v>8228</v>
      </c>
      <c r="E2740" s="266"/>
      <c r="F2740" s="266"/>
      <c r="G2740" s="266" t="s">
        <v>6304</v>
      </c>
      <c r="H2740" s="266">
        <v>999.0</v>
      </c>
      <c r="I2740" s="266"/>
      <c r="J2740" s="266"/>
      <c r="K2740" s="1"/>
      <c r="L2740" s="1"/>
    </row>
    <row r="2741">
      <c r="A2741" s="266">
        <v>2900.0</v>
      </c>
      <c r="B2741" s="266"/>
      <c r="C2741" s="266">
        <v>5.0</v>
      </c>
      <c r="D2741" s="266" t="s">
        <v>8229</v>
      </c>
      <c r="E2741" s="266" t="s">
        <v>6479</v>
      </c>
      <c r="F2741" s="266">
        <v>5.0</v>
      </c>
      <c r="G2741" s="266"/>
      <c r="H2741" s="266"/>
      <c r="I2741" s="266"/>
      <c r="J2741" s="267"/>
    </row>
    <row r="2742">
      <c r="A2742" s="266">
        <v>3000.0</v>
      </c>
      <c r="B2742" s="266"/>
      <c r="C2742" s="266">
        <v>10.0</v>
      </c>
      <c r="D2742" s="266" t="s">
        <v>8230</v>
      </c>
      <c r="E2742" s="266"/>
      <c r="F2742" s="266"/>
      <c r="G2742" s="266" t="s">
        <v>6304</v>
      </c>
      <c r="H2742" s="266" t="s">
        <v>14</v>
      </c>
      <c r="I2742" s="266"/>
      <c r="J2742" s="266"/>
      <c r="K2742" s="1"/>
      <c r="L2742" s="1"/>
    </row>
    <row r="2743">
      <c r="A2743" s="266">
        <v>3100.0</v>
      </c>
      <c r="B2743" s="266"/>
      <c r="C2743" s="266">
        <v>10.0</v>
      </c>
      <c r="D2743" s="266" t="s">
        <v>8231</v>
      </c>
      <c r="E2743" s="266"/>
      <c r="F2743" s="266"/>
      <c r="G2743" s="266" t="s">
        <v>6304</v>
      </c>
      <c r="H2743" s="266">
        <v>999.0</v>
      </c>
      <c r="I2743" s="266"/>
      <c r="J2743" s="266"/>
      <c r="K2743" s="1"/>
      <c r="L2743" s="1"/>
    </row>
    <row r="2744">
      <c r="A2744" s="266">
        <v>3200.0</v>
      </c>
      <c r="B2744" s="266"/>
      <c r="C2744" s="266">
        <v>5.0</v>
      </c>
      <c r="D2744" s="266" t="s">
        <v>7035</v>
      </c>
      <c r="E2744" s="266"/>
      <c r="F2744" s="266"/>
      <c r="G2744" s="266" t="s">
        <v>6304</v>
      </c>
      <c r="H2744" s="266" t="s">
        <v>560</v>
      </c>
      <c r="I2744" s="266"/>
      <c r="J2744" s="266"/>
      <c r="K2744" s="1"/>
      <c r="L2744" s="1"/>
    </row>
    <row r="2745">
      <c r="A2745" s="266">
        <v>3300.0</v>
      </c>
      <c r="B2745" s="266"/>
      <c r="C2745" s="266">
        <v>5.0</v>
      </c>
      <c r="D2745" s="266" t="s">
        <v>7036</v>
      </c>
      <c r="E2745" s="266"/>
      <c r="F2745" s="266"/>
      <c r="G2745" s="266"/>
      <c r="H2745" s="266"/>
      <c r="I2745" s="266"/>
      <c r="J2745" s="267"/>
    </row>
    <row r="2746">
      <c r="A2746" s="266">
        <v>3400.0</v>
      </c>
      <c r="B2746" s="266"/>
      <c r="C2746" s="266">
        <v>10.0</v>
      </c>
      <c r="D2746" s="266" t="s">
        <v>7037</v>
      </c>
      <c r="E2746" s="266"/>
      <c r="F2746" s="266"/>
      <c r="G2746" s="266" t="s">
        <v>6304</v>
      </c>
      <c r="H2746" s="266" t="s">
        <v>557</v>
      </c>
      <c r="I2746" s="266"/>
      <c r="J2746" s="266"/>
      <c r="K2746" s="1"/>
      <c r="L2746" s="1"/>
    </row>
    <row r="2747">
      <c r="A2747" s="266">
        <v>3500.0</v>
      </c>
      <c r="B2747" s="266"/>
      <c r="C2747" s="266">
        <v>10.0</v>
      </c>
      <c r="D2747" s="266" t="s">
        <v>7038</v>
      </c>
      <c r="E2747" s="266"/>
      <c r="F2747" s="266"/>
      <c r="G2747" s="266" t="s">
        <v>6304</v>
      </c>
      <c r="H2747" s="266" t="s">
        <v>17</v>
      </c>
      <c r="I2747" s="266"/>
      <c r="J2747" s="266"/>
      <c r="K2747" s="1"/>
      <c r="L2747" s="1"/>
    </row>
    <row r="2748">
      <c r="A2748" s="266">
        <v>3600.0</v>
      </c>
      <c r="B2748" s="266"/>
      <c r="C2748" s="266">
        <v>88.0</v>
      </c>
      <c r="D2748" s="266" t="s">
        <v>7039</v>
      </c>
      <c r="E2748" s="266" t="s">
        <v>6621</v>
      </c>
      <c r="F2748" s="269" t="s">
        <v>7040</v>
      </c>
      <c r="G2748" s="266"/>
      <c r="H2748" s="266"/>
      <c r="I2748" s="266"/>
      <c r="J2748" s="267"/>
    </row>
    <row r="2749">
      <c r="A2749" s="266">
        <v>3700.0</v>
      </c>
      <c r="B2749" s="266"/>
      <c r="C2749" s="266">
        <v>88.0</v>
      </c>
      <c r="D2749" s="266" t="s">
        <v>7041</v>
      </c>
      <c r="E2749" s="266" t="s">
        <v>6621</v>
      </c>
      <c r="F2749" s="269" t="s">
        <v>7042</v>
      </c>
      <c r="G2749" s="266"/>
      <c r="H2749" s="266"/>
      <c r="I2749" s="266"/>
      <c r="J2749" s="267"/>
    </row>
    <row r="2750">
      <c r="A2750" s="266">
        <v>3800.0</v>
      </c>
      <c r="B2750" s="266"/>
      <c r="C2750" s="266">
        <v>10.0</v>
      </c>
      <c r="D2750" s="266" t="s">
        <v>6306</v>
      </c>
      <c r="E2750" s="266"/>
      <c r="F2750" s="266"/>
      <c r="G2750" s="266" t="s">
        <v>6304</v>
      </c>
      <c r="H2750" s="266" t="s">
        <v>557</v>
      </c>
      <c r="I2750" s="266"/>
      <c r="J2750" s="266"/>
      <c r="K2750" s="1"/>
      <c r="L2750" s="1"/>
    </row>
    <row r="2751">
      <c r="A2751" s="266">
        <v>3900.0</v>
      </c>
      <c r="B2751" s="266"/>
      <c r="C2751" s="266">
        <v>10.0</v>
      </c>
      <c r="D2751" s="266" t="s">
        <v>7043</v>
      </c>
      <c r="E2751" s="266"/>
      <c r="F2751" s="266"/>
      <c r="G2751" s="266" t="s">
        <v>6304</v>
      </c>
      <c r="H2751" s="266" t="s">
        <v>6317</v>
      </c>
      <c r="I2751" s="266"/>
      <c r="J2751" s="266"/>
      <c r="K2751" s="1"/>
      <c r="L2751" s="1"/>
    </row>
    <row r="2752">
      <c r="A2752" s="266">
        <v>4000.0</v>
      </c>
      <c r="B2752" s="266"/>
      <c r="C2752" s="266">
        <v>5.0</v>
      </c>
      <c r="D2752" s="266" t="s">
        <v>6306</v>
      </c>
      <c r="E2752" s="266"/>
      <c r="F2752" s="266"/>
      <c r="G2752" s="266" t="s">
        <v>6304</v>
      </c>
      <c r="H2752" s="266" t="s">
        <v>8232</v>
      </c>
      <c r="I2752" s="266"/>
      <c r="J2752" s="266"/>
      <c r="K2752" s="1"/>
      <c r="L2752" s="1"/>
    </row>
    <row r="2753">
      <c r="A2753" s="266">
        <v>50.0</v>
      </c>
      <c r="B2753" s="266">
        <v>1.0</v>
      </c>
      <c r="C2753" s="266"/>
      <c r="D2753" s="266" t="s">
        <v>8233</v>
      </c>
      <c r="E2753" s="266"/>
      <c r="F2753" s="266"/>
      <c r="G2753" s="266"/>
      <c r="H2753" s="266"/>
      <c r="I2753" s="266"/>
      <c r="J2753" s="267"/>
    </row>
    <row r="2754">
      <c r="A2754" s="266">
        <v>100.0</v>
      </c>
      <c r="B2754" s="266"/>
      <c r="C2754" s="266">
        <v>5.0</v>
      </c>
      <c r="D2754" s="266" t="s">
        <v>8234</v>
      </c>
      <c r="E2754" s="266"/>
      <c r="F2754" s="266"/>
      <c r="G2754" s="266"/>
      <c r="H2754" s="266"/>
      <c r="I2754" s="266"/>
      <c r="J2754" s="267"/>
    </row>
    <row r="2755">
      <c r="A2755" s="266">
        <v>200.0</v>
      </c>
      <c r="B2755" s="266"/>
      <c r="C2755" s="266">
        <v>10.0</v>
      </c>
      <c r="D2755" s="266" t="s">
        <v>8235</v>
      </c>
      <c r="E2755" s="266"/>
      <c r="F2755" s="266"/>
      <c r="G2755" s="266" t="s">
        <v>6304</v>
      </c>
      <c r="H2755" s="266" t="s">
        <v>17</v>
      </c>
      <c r="I2755" s="266"/>
      <c r="J2755" s="266"/>
      <c r="K2755" s="1"/>
      <c r="L2755" s="1"/>
    </row>
    <row r="2756">
      <c r="A2756" s="266">
        <v>300.0</v>
      </c>
      <c r="B2756" s="266"/>
      <c r="C2756" s="266">
        <v>10.0</v>
      </c>
      <c r="D2756" s="266" t="s">
        <v>8236</v>
      </c>
      <c r="E2756" s="266"/>
      <c r="F2756" s="266"/>
      <c r="G2756" s="266" t="s">
        <v>6304</v>
      </c>
      <c r="H2756" s="266" t="s">
        <v>6336</v>
      </c>
      <c r="I2756" s="266"/>
      <c r="J2756" s="266"/>
      <c r="K2756" s="1"/>
      <c r="L2756" s="1"/>
    </row>
    <row r="2757">
      <c r="A2757" s="266">
        <v>400.0</v>
      </c>
      <c r="B2757" s="266"/>
      <c r="C2757" s="266">
        <v>5.0</v>
      </c>
      <c r="D2757" s="266" t="s">
        <v>6470</v>
      </c>
      <c r="E2757" s="266"/>
      <c r="F2757" s="266"/>
      <c r="G2757" s="266"/>
      <c r="H2757" s="266"/>
      <c r="I2757" s="266"/>
      <c r="J2757" s="267"/>
    </row>
    <row r="2758">
      <c r="A2758" s="266">
        <v>500.0</v>
      </c>
      <c r="B2758" s="266"/>
      <c r="C2758" s="266">
        <v>10.0</v>
      </c>
      <c r="D2758" s="266" t="s">
        <v>6471</v>
      </c>
      <c r="E2758" s="266"/>
      <c r="F2758" s="266"/>
      <c r="G2758" s="266"/>
      <c r="H2758" s="266"/>
      <c r="I2758" s="266"/>
      <c r="J2758" s="267"/>
    </row>
    <row r="2759">
      <c r="A2759" s="266">
        <v>600.0</v>
      </c>
      <c r="B2759" s="266"/>
      <c r="C2759" s="266">
        <v>15.0</v>
      </c>
      <c r="D2759" s="266" t="s">
        <v>6472</v>
      </c>
      <c r="E2759" s="266"/>
      <c r="F2759" s="266"/>
      <c r="G2759" s="266" t="s">
        <v>6304</v>
      </c>
      <c r="H2759" s="266" t="s">
        <v>6331</v>
      </c>
      <c r="I2759" s="266"/>
      <c r="J2759" s="266"/>
      <c r="K2759" s="1"/>
      <c r="L2759" s="1"/>
    </row>
    <row r="2760">
      <c r="A2760" s="266">
        <v>700.0</v>
      </c>
      <c r="B2760" s="266"/>
      <c r="C2760" s="266">
        <v>15.0</v>
      </c>
      <c r="D2760" s="266" t="s">
        <v>6473</v>
      </c>
      <c r="E2760" s="266"/>
      <c r="F2760" s="266"/>
      <c r="G2760" s="266" t="s">
        <v>6304</v>
      </c>
      <c r="H2760" s="266" t="s">
        <v>6331</v>
      </c>
      <c r="I2760" s="266"/>
      <c r="J2760" s="266"/>
      <c r="K2760" s="1"/>
      <c r="L2760" s="1"/>
    </row>
    <row r="2761">
      <c r="A2761" s="266">
        <v>800.0</v>
      </c>
      <c r="B2761" s="266"/>
      <c r="C2761" s="266">
        <v>10.0</v>
      </c>
      <c r="D2761" s="266" t="s">
        <v>6474</v>
      </c>
      <c r="E2761" s="266"/>
      <c r="F2761" s="266"/>
      <c r="G2761" s="266" t="s">
        <v>6304</v>
      </c>
      <c r="H2761" s="266" t="s">
        <v>6315</v>
      </c>
      <c r="I2761" s="266"/>
      <c r="J2761" s="266"/>
      <c r="K2761" s="1"/>
      <c r="L2761" s="1"/>
    </row>
    <row r="2762">
      <c r="A2762" s="266">
        <v>900.0</v>
      </c>
      <c r="B2762" s="266"/>
      <c r="C2762" s="266">
        <v>10.0</v>
      </c>
      <c r="D2762" s="266" t="s">
        <v>6475</v>
      </c>
      <c r="E2762" s="266"/>
      <c r="F2762" s="266"/>
      <c r="G2762" s="266"/>
      <c r="H2762" s="266"/>
      <c r="I2762" s="266"/>
      <c r="J2762" s="267"/>
    </row>
    <row r="2763">
      <c r="A2763" s="266">
        <v>1000.0</v>
      </c>
      <c r="B2763" s="266"/>
      <c r="C2763" s="266">
        <v>15.0</v>
      </c>
      <c r="D2763" s="266" t="s">
        <v>6476</v>
      </c>
      <c r="E2763" s="266"/>
      <c r="F2763" s="266"/>
      <c r="G2763" s="266" t="s">
        <v>6304</v>
      </c>
      <c r="H2763" s="266" t="s">
        <v>6336</v>
      </c>
      <c r="I2763" s="266"/>
      <c r="J2763" s="266"/>
      <c r="K2763" s="1"/>
      <c r="L2763" s="1"/>
    </row>
    <row r="2764">
      <c r="A2764" s="266">
        <v>1100.0</v>
      </c>
      <c r="B2764" s="266"/>
      <c r="C2764" s="266">
        <v>15.0</v>
      </c>
      <c r="D2764" s="266" t="s">
        <v>6477</v>
      </c>
      <c r="E2764" s="266"/>
      <c r="F2764" s="266"/>
      <c r="G2764" s="266" t="s">
        <v>6304</v>
      </c>
      <c r="H2764" s="266" t="s">
        <v>6338</v>
      </c>
      <c r="I2764" s="266"/>
      <c r="J2764" s="266"/>
      <c r="K2764" s="1"/>
      <c r="L2764" s="1"/>
    </row>
    <row r="2765">
      <c r="A2765" s="266">
        <v>1200.0</v>
      </c>
      <c r="B2765" s="266"/>
      <c r="C2765" s="266">
        <v>5.0</v>
      </c>
      <c r="D2765" s="266" t="s">
        <v>6306</v>
      </c>
      <c r="E2765" s="266"/>
      <c r="F2765" s="266"/>
      <c r="G2765" s="266" t="s">
        <v>6304</v>
      </c>
      <c r="H2765" s="266" t="s">
        <v>8237</v>
      </c>
      <c r="I2765" s="266"/>
      <c r="J2765" s="266"/>
      <c r="K2765" s="1"/>
      <c r="L2765" s="1"/>
    </row>
    <row r="2766">
      <c r="A2766" s="266">
        <v>50.0</v>
      </c>
      <c r="B2766" s="266">
        <v>1.0</v>
      </c>
      <c r="C2766" s="266"/>
      <c r="D2766" s="266" t="s">
        <v>8238</v>
      </c>
      <c r="E2766" s="266"/>
      <c r="F2766" s="266"/>
      <c r="G2766" s="266"/>
      <c r="H2766" s="266"/>
      <c r="I2766" s="266"/>
      <c r="J2766" s="267"/>
    </row>
    <row r="2767">
      <c r="A2767" s="266">
        <v>100.0</v>
      </c>
      <c r="B2767" s="266"/>
      <c r="C2767" s="266">
        <v>5.0</v>
      </c>
      <c r="D2767" s="266" t="s">
        <v>8239</v>
      </c>
      <c r="E2767" s="266"/>
      <c r="F2767" s="266"/>
      <c r="G2767" s="266"/>
      <c r="H2767" s="266"/>
      <c r="I2767" s="266"/>
      <c r="J2767" s="267"/>
    </row>
    <row r="2768">
      <c r="A2768" s="266">
        <v>200.0</v>
      </c>
      <c r="B2768" s="266"/>
      <c r="C2768" s="266">
        <v>10.0</v>
      </c>
      <c r="D2768" s="266" t="s">
        <v>8136</v>
      </c>
      <c r="E2768" s="266"/>
      <c r="F2768" s="266"/>
      <c r="G2768" s="266" t="s">
        <v>6304</v>
      </c>
      <c r="H2768" s="266" t="s">
        <v>557</v>
      </c>
      <c r="I2768" s="266"/>
      <c r="J2768" s="266"/>
      <c r="K2768" s="1"/>
      <c r="L2768" s="1"/>
    </row>
    <row r="2769">
      <c r="A2769" s="266">
        <v>300.0</v>
      </c>
      <c r="B2769" s="266"/>
      <c r="C2769" s="266">
        <v>88.0</v>
      </c>
      <c r="D2769" s="266" t="s">
        <v>8137</v>
      </c>
      <c r="E2769" s="266" t="s">
        <v>6621</v>
      </c>
      <c r="F2769" s="269" t="s">
        <v>6622</v>
      </c>
      <c r="G2769" s="266"/>
      <c r="H2769" s="266"/>
      <c r="I2769" s="266"/>
      <c r="J2769" s="267"/>
    </row>
    <row r="2770">
      <c r="A2770" s="266">
        <v>400.0</v>
      </c>
      <c r="B2770" s="266"/>
      <c r="C2770" s="266">
        <v>88.0</v>
      </c>
      <c r="D2770" s="266" t="s">
        <v>8138</v>
      </c>
      <c r="E2770" s="266" t="s">
        <v>6621</v>
      </c>
      <c r="F2770" s="269" t="s">
        <v>6624</v>
      </c>
      <c r="G2770" s="266"/>
      <c r="H2770" s="266"/>
      <c r="I2770" s="266"/>
      <c r="J2770" s="267"/>
    </row>
    <row r="2771">
      <c r="A2771" s="266">
        <v>500.0</v>
      </c>
      <c r="B2771" s="266"/>
      <c r="C2771" s="266">
        <v>88.0</v>
      </c>
      <c r="D2771" s="266" t="s">
        <v>8139</v>
      </c>
      <c r="E2771" s="266" t="s">
        <v>6621</v>
      </c>
      <c r="F2771" s="269" t="s">
        <v>6626</v>
      </c>
      <c r="G2771" s="266"/>
      <c r="H2771" s="266"/>
      <c r="I2771" s="266"/>
      <c r="J2771" s="267"/>
    </row>
    <row r="2772">
      <c r="A2772" s="266">
        <v>600.0</v>
      </c>
      <c r="B2772" s="266"/>
      <c r="C2772" s="266">
        <v>10.0</v>
      </c>
      <c r="D2772" s="266" t="s">
        <v>7061</v>
      </c>
      <c r="E2772" s="266"/>
      <c r="F2772" s="266"/>
      <c r="G2772" s="266" t="s">
        <v>6304</v>
      </c>
      <c r="H2772" s="266" t="s">
        <v>551</v>
      </c>
      <c r="I2772" s="266"/>
      <c r="J2772" s="266"/>
      <c r="K2772" s="1"/>
      <c r="L2772" s="1"/>
    </row>
    <row r="2773">
      <c r="A2773" s="266">
        <v>700.0</v>
      </c>
      <c r="B2773" s="266"/>
      <c r="C2773" s="266">
        <v>10.0</v>
      </c>
      <c r="D2773" s="266" t="s">
        <v>7062</v>
      </c>
      <c r="E2773" s="266"/>
      <c r="F2773" s="266"/>
      <c r="G2773" s="266" t="s">
        <v>6304</v>
      </c>
      <c r="H2773" s="266" t="s">
        <v>556</v>
      </c>
      <c r="I2773" s="266"/>
      <c r="J2773" s="266"/>
      <c r="K2773" s="1"/>
      <c r="L2773" s="1"/>
    </row>
    <row r="2774">
      <c r="A2774" s="266">
        <v>800.0</v>
      </c>
      <c r="B2774" s="266"/>
      <c r="C2774" s="266">
        <v>10.0</v>
      </c>
      <c r="D2774" s="266" t="s">
        <v>8140</v>
      </c>
      <c r="E2774" s="266" t="s">
        <v>6603</v>
      </c>
      <c r="F2774" s="266" t="s">
        <v>7062</v>
      </c>
      <c r="G2774" s="266" t="s">
        <v>6304</v>
      </c>
      <c r="H2774" s="266" t="s">
        <v>556</v>
      </c>
      <c r="I2774" s="266"/>
      <c r="J2774" s="267"/>
    </row>
    <row r="2775">
      <c r="A2775" s="266">
        <v>900.0</v>
      </c>
      <c r="B2775" s="266"/>
      <c r="C2775" s="266">
        <v>5.0</v>
      </c>
      <c r="D2775" s="266" t="s">
        <v>8240</v>
      </c>
      <c r="E2775" s="266"/>
      <c r="F2775" s="266"/>
      <c r="G2775" s="266"/>
      <c r="H2775" s="266"/>
      <c r="I2775" s="266"/>
      <c r="J2775" s="267"/>
    </row>
    <row r="2776">
      <c r="A2776" s="266">
        <v>1000.0</v>
      </c>
      <c r="B2776" s="266"/>
      <c r="C2776" s="266">
        <v>10.0</v>
      </c>
      <c r="D2776" s="266" t="s">
        <v>8241</v>
      </c>
      <c r="E2776" s="266"/>
      <c r="F2776" s="266"/>
      <c r="G2776" s="266" t="s">
        <v>6304</v>
      </c>
      <c r="H2776" s="266" t="s">
        <v>17</v>
      </c>
      <c r="I2776" s="266"/>
      <c r="J2776" s="266"/>
      <c r="K2776" s="1"/>
      <c r="L2776" s="1"/>
    </row>
    <row r="2777">
      <c r="A2777" s="266">
        <v>1100.0</v>
      </c>
      <c r="B2777" s="266"/>
      <c r="C2777" s="266">
        <v>88.0</v>
      </c>
      <c r="D2777" s="266" t="s">
        <v>8242</v>
      </c>
      <c r="E2777" s="266" t="s">
        <v>6621</v>
      </c>
      <c r="F2777" s="269" t="s">
        <v>6622</v>
      </c>
      <c r="G2777" s="266"/>
      <c r="H2777" s="266"/>
      <c r="I2777" s="266"/>
      <c r="J2777" s="267"/>
    </row>
    <row r="2778">
      <c r="A2778" s="266">
        <v>1200.0</v>
      </c>
      <c r="B2778" s="266"/>
      <c r="C2778" s="266">
        <v>88.0</v>
      </c>
      <c r="D2778" s="266" t="s">
        <v>8243</v>
      </c>
      <c r="E2778" s="266" t="s">
        <v>6621</v>
      </c>
      <c r="F2778" s="269" t="s">
        <v>6624</v>
      </c>
      <c r="G2778" s="266"/>
      <c r="H2778" s="266"/>
      <c r="I2778" s="266"/>
      <c r="J2778" s="267"/>
    </row>
    <row r="2779">
      <c r="A2779" s="266">
        <v>1300.0</v>
      </c>
      <c r="B2779" s="266"/>
      <c r="C2779" s="266">
        <v>88.0</v>
      </c>
      <c r="D2779" s="266" t="s">
        <v>8244</v>
      </c>
      <c r="E2779" s="266" t="s">
        <v>6621</v>
      </c>
      <c r="F2779" s="269" t="s">
        <v>6626</v>
      </c>
      <c r="G2779" s="266"/>
      <c r="H2779" s="266"/>
      <c r="I2779" s="266"/>
      <c r="J2779" s="267"/>
    </row>
    <row r="2780">
      <c r="A2780" s="266">
        <v>1400.0</v>
      </c>
      <c r="B2780" s="266"/>
      <c r="C2780" s="266">
        <v>88.0</v>
      </c>
      <c r="D2780" s="266" t="s">
        <v>8245</v>
      </c>
      <c r="E2780" s="266" t="s">
        <v>6621</v>
      </c>
      <c r="F2780" s="269" t="s">
        <v>8246</v>
      </c>
      <c r="G2780" s="266"/>
      <c r="H2780" s="266"/>
      <c r="I2780" s="266"/>
      <c r="J2780" s="267"/>
    </row>
    <row r="2781">
      <c r="A2781" s="266">
        <v>1500.0</v>
      </c>
      <c r="B2781" s="266"/>
      <c r="C2781" s="266">
        <v>88.0</v>
      </c>
      <c r="D2781" s="266" t="s">
        <v>8247</v>
      </c>
      <c r="E2781" s="266" t="s">
        <v>6621</v>
      </c>
      <c r="F2781" s="269" t="s">
        <v>8248</v>
      </c>
      <c r="G2781" s="266"/>
      <c r="H2781" s="266"/>
      <c r="I2781" s="266"/>
      <c r="J2781" s="267"/>
    </row>
    <row r="2782">
      <c r="A2782" s="266">
        <v>1600.0</v>
      </c>
      <c r="B2782" s="266"/>
      <c r="C2782" s="266">
        <v>10.0</v>
      </c>
      <c r="D2782" s="266" t="s">
        <v>8249</v>
      </c>
      <c r="E2782" s="266"/>
      <c r="F2782" s="266"/>
      <c r="G2782" s="266" t="s">
        <v>6304</v>
      </c>
      <c r="H2782" s="266" t="s">
        <v>551</v>
      </c>
      <c r="I2782" s="266"/>
      <c r="J2782" s="266"/>
      <c r="K2782" s="1"/>
      <c r="L2782" s="1"/>
    </row>
    <row r="2783">
      <c r="A2783" s="266">
        <v>1700.0</v>
      </c>
      <c r="B2783" s="266"/>
      <c r="C2783" s="266">
        <v>10.0</v>
      </c>
      <c r="D2783" s="266" t="s">
        <v>8250</v>
      </c>
      <c r="E2783" s="266"/>
      <c r="F2783" s="266"/>
      <c r="G2783" s="266" t="s">
        <v>6304</v>
      </c>
      <c r="H2783" s="266" t="s">
        <v>556</v>
      </c>
      <c r="I2783" s="266"/>
      <c r="J2783" s="266"/>
      <c r="K2783" s="1"/>
      <c r="L2783" s="1"/>
    </row>
    <row r="2784">
      <c r="A2784" s="266">
        <v>1800.0</v>
      </c>
      <c r="B2784" s="266"/>
      <c r="C2784" s="266">
        <v>10.0</v>
      </c>
      <c r="D2784" s="266" t="s">
        <v>8251</v>
      </c>
      <c r="E2784" s="266" t="s">
        <v>6603</v>
      </c>
      <c r="F2784" s="266" t="s">
        <v>8250</v>
      </c>
      <c r="G2784" s="266" t="s">
        <v>6304</v>
      </c>
      <c r="H2784" s="266" t="s">
        <v>556</v>
      </c>
      <c r="I2784" s="266"/>
      <c r="J2784" s="267"/>
    </row>
    <row r="2785">
      <c r="A2785" s="266">
        <v>1900.0</v>
      </c>
      <c r="B2785" s="266"/>
      <c r="C2785" s="266">
        <v>5.0</v>
      </c>
      <c r="D2785" s="266" t="s">
        <v>6867</v>
      </c>
      <c r="E2785" s="266"/>
      <c r="F2785" s="266"/>
      <c r="G2785" s="266"/>
      <c r="H2785" s="266"/>
      <c r="I2785" s="266"/>
      <c r="J2785" s="267"/>
    </row>
    <row r="2786">
      <c r="A2786" s="266">
        <v>2000.0</v>
      </c>
      <c r="B2786" s="266"/>
      <c r="C2786" s="266">
        <v>10.0</v>
      </c>
      <c r="D2786" s="266" t="s">
        <v>5262</v>
      </c>
      <c r="E2786" s="266"/>
      <c r="F2786" s="266"/>
      <c r="G2786" s="266" t="s">
        <v>6304</v>
      </c>
      <c r="H2786" s="266" t="s">
        <v>557</v>
      </c>
      <c r="I2786" s="266"/>
      <c r="J2786" s="266"/>
      <c r="K2786" s="1"/>
      <c r="L2786" s="1"/>
    </row>
    <row r="2787">
      <c r="A2787" s="266">
        <v>2100.0</v>
      </c>
      <c r="B2787" s="266"/>
      <c r="C2787" s="266">
        <v>88.0</v>
      </c>
      <c r="D2787" s="266" t="s">
        <v>6868</v>
      </c>
      <c r="E2787" s="266" t="s">
        <v>6621</v>
      </c>
      <c r="F2787" s="269" t="s">
        <v>6622</v>
      </c>
      <c r="G2787" s="266"/>
      <c r="H2787" s="266"/>
      <c r="I2787" s="266"/>
      <c r="J2787" s="267"/>
    </row>
    <row r="2788">
      <c r="A2788" s="266">
        <v>2200.0</v>
      </c>
      <c r="B2788" s="266"/>
      <c r="C2788" s="266">
        <v>88.0</v>
      </c>
      <c r="D2788" s="266" t="s">
        <v>6869</v>
      </c>
      <c r="E2788" s="266" t="s">
        <v>6621</v>
      </c>
      <c r="F2788" s="269" t="s">
        <v>6624</v>
      </c>
      <c r="G2788" s="266"/>
      <c r="H2788" s="266"/>
      <c r="I2788" s="266"/>
      <c r="J2788" s="267"/>
    </row>
    <row r="2789">
      <c r="A2789" s="266">
        <v>2300.0</v>
      </c>
      <c r="B2789" s="266"/>
      <c r="C2789" s="266">
        <v>88.0</v>
      </c>
      <c r="D2789" s="266" t="s">
        <v>6870</v>
      </c>
      <c r="E2789" s="266" t="s">
        <v>6621</v>
      </c>
      <c r="F2789" s="269" t="s">
        <v>6626</v>
      </c>
      <c r="G2789" s="266"/>
      <c r="H2789" s="266"/>
      <c r="I2789" s="266"/>
      <c r="J2789" s="267"/>
    </row>
    <row r="2790">
      <c r="A2790" s="266">
        <v>2400.0</v>
      </c>
      <c r="B2790" s="266"/>
      <c r="C2790" s="266">
        <v>88.0</v>
      </c>
      <c r="D2790" s="266" t="s">
        <v>6871</v>
      </c>
      <c r="E2790" s="266" t="s">
        <v>6621</v>
      </c>
      <c r="F2790" s="269" t="s">
        <v>6628</v>
      </c>
      <c r="G2790" s="266"/>
      <c r="H2790" s="266"/>
      <c r="I2790" s="266"/>
      <c r="J2790" s="267"/>
    </row>
    <row r="2791">
      <c r="A2791" s="266">
        <v>2500.0</v>
      </c>
      <c r="B2791" s="266"/>
      <c r="C2791" s="266">
        <v>88.0</v>
      </c>
      <c r="D2791" s="266" t="s">
        <v>6872</v>
      </c>
      <c r="E2791" s="266" t="s">
        <v>6621</v>
      </c>
      <c r="F2791" s="269" t="s">
        <v>6630</v>
      </c>
      <c r="G2791" s="266"/>
      <c r="H2791" s="266"/>
      <c r="I2791" s="266"/>
      <c r="J2791" s="267"/>
    </row>
    <row r="2792">
      <c r="A2792" s="266">
        <v>2600.0</v>
      </c>
      <c r="B2792" s="266"/>
      <c r="C2792" s="266">
        <v>88.0</v>
      </c>
      <c r="D2792" s="266" t="s">
        <v>6873</v>
      </c>
      <c r="E2792" s="266" t="s">
        <v>6621</v>
      </c>
      <c r="F2792" s="269" t="s">
        <v>6632</v>
      </c>
      <c r="G2792" s="266"/>
      <c r="H2792" s="266"/>
      <c r="I2792" s="266"/>
      <c r="J2792" s="267"/>
    </row>
    <row r="2793">
      <c r="A2793" s="266">
        <v>2700.0</v>
      </c>
      <c r="B2793" s="266"/>
      <c r="C2793" s="266">
        <v>10.0</v>
      </c>
      <c r="D2793" s="266" t="s">
        <v>6874</v>
      </c>
      <c r="E2793" s="266"/>
      <c r="F2793" s="266"/>
      <c r="G2793" s="266"/>
      <c r="H2793" s="266"/>
      <c r="I2793" s="266"/>
      <c r="J2793" s="267"/>
    </row>
    <row r="2794">
      <c r="A2794" s="266">
        <v>2800.0</v>
      </c>
      <c r="B2794" s="266"/>
      <c r="C2794" s="266">
        <v>15.0</v>
      </c>
      <c r="D2794" s="266" t="s">
        <v>5263</v>
      </c>
      <c r="E2794" s="266"/>
      <c r="F2794" s="266"/>
      <c r="G2794" s="266" t="s">
        <v>6304</v>
      </c>
      <c r="H2794" s="266" t="s">
        <v>551</v>
      </c>
      <c r="I2794" s="266"/>
      <c r="J2794" s="266"/>
      <c r="K2794" s="1"/>
      <c r="L2794" s="1"/>
    </row>
    <row r="2795">
      <c r="A2795" s="266">
        <v>2900.0</v>
      </c>
      <c r="B2795" s="266"/>
      <c r="C2795" s="266">
        <v>15.0</v>
      </c>
      <c r="D2795" s="266" t="s">
        <v>5264</v>
      </c>
      <c r="E2795" s="266"/>
      <c r="F2795" s="266"/>
      <c r="G2795" s="266" t="s">
        <v>6304</v>
      </c>
      <c r="H2795" s="266" t="s">
        <v>556</v>
      </c>
      <c r="I2795" s="266"/>
      <c r="J2795" s="266"/>
      <c r="K2795" s="1"/>
      <c r="L2795" s="1"/>
    </row>
    <row r="2796">
      <c r="A2796" s="266">
        <v>3000.0</v>
      </c>
      <c r="B2796" s="266"/>
      <c r="C2796" s="266">
        <v>15.0</v>
      </c>
      <c r="D2796" s="266" t="s">
        <v>5265</v>
      </c>
      <c r="E2796" s="266" t="s">
        <v>6603</v>
      </c>
      <c r="F2796" s="266" t="s">
        <v>5264</v>
      </c>
      <c r="G2796" s="266" t="s">
        <v>6304</v>
      </c>
      <c r="H2796" s="266" t="s">
        <v>556</v>
      </c>
      <c r="I2796" s="266"/>
      <c r="J2796" s="267"/>
    </row>
    <row r="2797">
      <c r="A2797" s="266">
        <v>3100.0</v>
      </c>
      <c r="B2797" s="266"/>
      <c r="C2797" s="266">
        <v>5.0</v>
      </c>
      <c r="D2797" s="266" t="s">
        <v>8252</v>
      </c>
      <c r="E2797" s="266"/>
      <c r="F2797" s="266"/>
      <c r="G2797" s="266"/>
      <c r="H2797" s="266"/>
      <c r="I2797" s="266"/>
      <c r="J2797" s="267"/>
    </row>
    <row r="2798">
      <c r="A2798" s="266">
        <v>3200.0</v>
      </c>
      <c r="B2798" s="266"/>
      <c r="C2798" s="266">
        <v>10.0</v>
      </c>
      <c r="D2798" s="266" t="s">
        <v>7064</v>
      </c>
      <c r="E2798" s="266"/>
      <c r="F2798" s="266"/>
      <c r="G2798" s="266" t="s">
        <v>6304</v>
      </c>
      <c r="H2798" s="266" t="s">
        <v>551</v>
      </c>
      <c r="I2798" s="266"/>
      <c r="J2798" s="266"/>
      <c r="K2798" s="1"/>
      <c r="L2798" s="1"/>
    </row>
    <row r="2799">
      <c r="A2799" s="266">
        <v>3300.0</v>
      </c>
      <c r="B2799" s="266"/>
      <c r="C2799" s="266">
        <v>10.0</v>
      </c>
      <c r="D2799" s="266" t="s">
        <v>7065</v>
      </c>
      <c r="E2799" s="266"/>
      <c r="F2799" s="266"/>
      <c r="G2799" s="266" t="s">
        <v>6304</v>
      </c>
      <c r="H2799" s="266" t="s">
        <v>556</v>
      </c>
      <c r="I2799" s="266"/>
      <c r="J2799" s="266"/>
      <c r="K2799" s="1"/>
      <c r="L2799" s="1"/>
    </row>
    <row r="2800">
      <c r="A2800" s="266">
        <v>3400.0</v>
      </c>
      <c r="B2800" s="266"/>
      <c r="C2800" s="266">
        <v>5.0</v>
      </c>
      <c r="D2800" s="266" t="s">
        <v>8253</v>
      </c>
      <c r="E2800" s="266"/>
      <c r="F2800" s="266"/>
      <c r="G2800" s="266" t="s">
        <v>6304</v>
      </c>
      <c r="H2800" s="266" t="s">
        <v>551</v>
      </c>
      <c r="I2800" s="266"/>
      <c r="J2800" s="266"/>
      <c r="K2800" s="1"/>
      <c r="L2800" s="1"/>
    </row>
    <row r="2801">
      <c r="A2801" s="266">
        <v>3500.0</v>
      </c>
      <c r="B2801" s="266"/>
      <c r="C2801" s="266">
        <v>5.0</v>
      </c>
      <c r="D2801" s="266" t="s">
        <v>8254</v>
      </c>
      <c r="E2801" s="266"/>
      <c r="F2801" s="266"/>
      <c r="G2801" s="266" t="s">
        <v>6304</v>
      </c>
      <c r="H2801" s="266" t="s">
        <v>607</v>
      </c>
      <c r="I2801" s="266"/>
      <c r="J2801" s="266"/>
      <c r="K2801" s="1"/>
      <c r="L2801" s="1"/>
    </row>
    <row r="2802">
      <c r="A2802" s="266">
        <v>3600.0</v>
      </c>
      <c r="B2802" s="266"/>
      <c r="C2802" s="266">
        <v>5.0</v>
      </c>
      <c r="D2802" s="266" t="s">
        <v>6481</v>
      </c>
      <c r="E2802" s="266"/>
      <c r="F2802" s="266"/>
      <c r="G2802" s="266"/>
      <c r="H2802" s="266"/>
      <c r="I2802" s="266"/>
      <c r="J2802" s="267"/>
    </row>
    <row r="2803">
      <c r="A2803" s="266">
        <v>3700.0</v>
      </c>
      <c r="B2803" s="266"/>
      <c r="C2803" s="266">
        <v>10.0</v>
      </c>
      <c r="D2803" s="266" t="s">
        <v>6482</v>
      </c>
      <c r="E2803" s="266"/>
      <c r="F2803" s="266"/>
      <c r="G2803" s="266" t="s">
        <v>6304</v>
      </c>
      <c r="H2803" s="266" t="s">
        <v>6483</v>
      </c>
      <c r="I2803" s="266"/>
      <c r="J2803" s="266"/>
      <c r="K2803" s="1"/>
      <c r="L2803" s="1"/>
    </row>
    <row r="2804">
      <c r="A2804" s="266">
        <v>3800.0</v>
      </c>
      <c r="B2804" s="266"/>
      <c r="C2804" s="266">
        <v>10.0</v>
      </c>
      <c r="D2804" s="266" t="s">
        <v>6484</v>
      </c>
      <c r="E2804" s="266"/>
      <c r="F2804" s="266"/>
      <c r="G2804" s="266" t="s">
        <v>6304</v>
      </c>
      <c r="H2804" s="266" t="s">
        <v>6483</v>
      </c>
      <c r="I2804" s="266"/>
      <c r="J2804" s="266"/>
      <c r="K2804" s="1"/>
      <c r="L2804" s="1"/>
    </row>
    <row r="2805">
      <c r="A2805" s="266">
        <v>3900.0</v>
      </c>
      <c r="B2805" s="266"/>
      <c r="C2805" s="266">
        <v>5.0</v>
      </c>
      <c r="D2805" s="266" t="s">
        <v>8052</v>
      </c>
      <c r="E2805" s="266"/>
      <c r="F2805" s="266"/>
      <c r="G2805" s="266" t="s">
        <v>6304</v>
      </c>
      <c r="H2805" s="266" t="s">
        <v>552</v>
      </c>
      <c r="I2805" s="266"/>
      <c r="J2805" s="266"/>
      <c r="K2805" s="1"/>
      <c r="L2805" s="1"/>
    </row>
    <row r="2806">
      <c r="A2806" s="266">
        <v>4000.0</v>
      </c>
      <c r="B2806" s="266"/>
      <c r="C2806" s="266">
        <v>5.0</v>
      </c>
      <c r="D2806" s="266" t="s">
        <v>8053</v>
      </c>
      <c r="E2806" s="266"/>
      <c r="F2806" s="266"/>
      <c r="G2806" s="266" t="s">
        <v>6304</v>
      </c>
      <c r="H2806" s="266" t="s">
        <v>552</v>
      </c>
      <c r="I2806" s="266"/>
      <c r="J2806" s="266"/>
      <c r="K2806" s="1"/>
      <c r="L2806" s="1"/>
    </row>
    <row r="2807">
      <c r="A2807" s="266">
        <v>4100.0</v>
      </c>
      <c r="B2807" s="266"/>
      <c r="C2807" s="266">
        <v>5.0</v>
      </c>
      <c r="D2807" s="266" t="s">
        <v>8255</v>
      </c>
      <c r="E2807" s="266"/>
      <c r="F2807" s="266"/>
      <c r="G2807" s="266"/>
      <c r="H2807" s="266"/>
      <c r="I2807" s="266"/>
      <c r="J2807" s="267"/>
    </row>
    <row r="2808">
      <c r="A2808" s="266">
        <v>4200.0</v>
      </c>
      <c r="B2808" s="266"/>
      <c r="C2808" s="266">
        <v>10.0</v>
      </c>
      <c r="D2808" s="266" t="s">
        <v>8256</v>
      </c>
      <c r="E2808" s="266"/>
      <c r="F2808" s="266"/>
      <c r="G2808" s="266" t="s">
        <v>6304</v>
      </c>
      <c r="H2808" s="266" t="s">
        <v>557</v>
      </c>
      <c r="I2808" s="266"/>
      <c r="J2808" s="266"/>
      <c r="K2808" s="1"/>
      <c r="L2808" s="1"/>
    </row>
    <row r="2809">
      <c r="A2809" s="266">
        <v>4300.0</v>
      </c>
      <c r="B2809" s="266"/>
      <c r="C2809" s="266">
        <v>10.0</v>
      </c>
      <c r="D2809" s="266" t="s">
        <v>8257</v>
      </c>
      <c r="E2809" s="266"/>
      <c r="F2809" s="266"/>
      <c r="G2809" s="266" t="s">
        <v>6304</v>
      </c>
      <c r="H2809" s="266" t="s">
        <v>551</v>
      </c>
      <c r="I2809" s="266"/>
      <c r="J2809" s="266"/>
      <c r="K2809" s="1"/>
      <c r="L2809" s="1"/>
    </row>
    <row r="2810">
      <c r="A2810" s="266">
        <v>4400.0</v>
      </c>
      <c r="B2810" s="266"/>
      <c r="C2810" s="266">
        <v>10.0</v>
      </c>
      <c r="D2810" s="266" t="s">
        <v>8258</v>
      </c>
      <c r="E2810" s="266"/>
      <c r="F2810" s="266"/>
      <c r="G2810" s="266"/>
      <c r="H2810" s="266"/>
      <c r="I2810" s="266"/>
      <c r="J2810" s="267"/>
    </row>
    <row r="2811">
      <c r="A2811" s="266">
        <v>4500.0</v>
      </c>
      <c r="B2811" s="266"/>
      <c r="C2811" s="266">
        <v>15.0</v>
      </c>
      <c r="D2811" s="266" t="s">
        <v>8259</v>
      </c>
      <c r="E2811" s="266"/>
      <c r="F2811" s="266"/>
      <c r="G2811" s="266" t="s">
        <v>6304</v>
      </c>
      <c r="H2811" s="266" t="s">
        <v>552</v>
      </c>
      <c r="I2811" s="266"/>
      <c r="J2811" s="266"/>
      <c r="K2811" s="1"/>
      <c r="L2811" s="1"/>
    </row>
    <row r="2812">
      <c r="A2812" s="266">
        <v>4600.0</v>
      </c>
      <c r="B2812" s="266"/>
      <c r="C2812" s="266">
        <v>15.0</v>
      </c>
      <c r="D2812" s="266" t="s">
        <v>7066</v>
      </c>
      <c r="E2812" s="266"/>
      <c r="F2812" s="266"/>
      <c r="G2812" s="266" t="s">
        <v>6304</v>
      </c>
      <c r="H2812" s="266" t="s">
        <v>551</v>
      </c>
      <c r="I2812" s="266"/>
      <c r="J2812" s="266"/>
      <c r="K2812" s="1"/>
      <c r="L2812" s="1"/>
    </row>
    <row r="2813">
      <c r="A2813" s="266">
        <v>4700.0</v>
      </c>
      <c r="B2813" s="266"/>
      <c r="C2813" s="266">
        <v>5.0</v>
      </c>
      <c r="D2813" s="266" t="s">
        <v>7071</v>
      </c>
      <c r="E2813" s="266" t="s">
        <v>6479</v>
      </c>
      <c r="F2813" s="266">
        <v>4.0</v>
      </c>
      <c r="G2813" s="266" t="s">
        <v>6304</v>
      </c>
      <c r="H2813" s="266" t="s">
        <v>551</v>
      </c>
      <c r="I2813" s="266"/>
      <c r="J2813" s="267"/>
    </row>
    <row r="2814">
      <c r="A2814" s="266">
        <v>4800.0</v>
      </c>
      <c r="B2814" s="266"/>
      <c r="C2814" s="266">
        <v>5.0</v>
      </c>
      <c r="D2814" s="266" t="s">
        <v>8260</v>
      </c>
      <c r="E2814" s="266"/>
      <c r="F2814" s="266"/>
      <c r="G2814" s="266" t="s">
        <v>6304</v>
      </c>
      <c r="H2814" s="266" t="s">
        <v>4103</v>
      </c>
      <c r="I2814" s="266"/>
      <c r="J2814" s="266"/>
      <c r="K2814" s="1"/>
      <c r="L2814" s="1"/>
    </row>
    <row r="2815">
      <c r="A2815" s="266">
        <v>4900.0</v>
      </c>
      <c r="B2815" s="266"/>
      <c r="C2815" s="266">
        <v>5.0</v>
      </c>
      <c r="D2815" s="266" t="s">
        <v>8261</v>
      </c>
      <c r="E2815" s="266"/>
      <c r="F2815" s="266"/>
      <c r="G2815" s="266" t="s">
        <v>6304</v>
      </c>
      <c r="H2815" s="266" t="s">
        <v>555</v>
      </c>
      <c r="I2815" s="266"/>
      <c r="J2815" s="266"/>
      <c r="K2815" s="1"/>
      <c r="L2815" s="1"/>
    </row>
    <row r="2816">
      <c r="A2816" s="266">
        <v>5000.0</v>
      </c>
      <c r="B2816" s="266"/>
      <c r="C2816" s="266">
        <v>5.0</v>
      </c>
      <c r="D2816" s="266" t="s">
        <v>8262</v>
      </c>
      <c r="E2816" s="266"/>
      <c r="F2816" s="266"/>
      <c r="G2816" s="266" t="s">
        <v>6304</v>
      </c>
      <c r="H2816" s="266" t="s">
        <v>557</v>
      </c>
      <c r="I2816" s="266"/>
      <c r="J2816" s="266"/>
      <c r="K2816" s="1"/>
      <c r="L2816" s="1"/>
    </row>
    <row r="2817">
      <c r="A2817" s="266">
        <v>5100.0</v>
      </c>
      <c r="B2817" s="266"/>
      <c r="C2817" s="266">
        <v>5.0</v>
      </c>
      <c r="D2817" s="266" t="s">
        <v>8263</v>
      </c>
      <c r="E2817" s="266"/>
      <c r="F2817" s="266"/>
      <c r="G2817" s="266"/>
      <c r="H2817" s="266"/>
      <c r="I2817" s="266"/>
      <c r="J2817" s="267"/>
    </row>
    <row r="2818">
      <c r="A2818" s="266">
        <v>5200.0</v>
      </c>
      <c r="B2818" s="266"/>
      <c r="C2818" s="266">
        <v>10.0</v>
      </c>
      <c r="D2818" s="266" t="s">
        <v>8264</v>
      </c>
      <c r="E2818" s="266"/>
      <c r="F2818" s="266"/>
      <c r="G2818" s="266" t="s">
        <v>6304</v>
      </c>
      <c r="H2818" s="266" t="s">
        <v>559</v>
      </c>
      <c r="I2818" s="266"/>
      <c r="J2818" s="266"/>
      <c r="K2818" s="1"/>
      <c r="L2818" s="1"/>
    </row>
    <row r="2819">
      <c r="A2819" s="266">
        <v>5300.0</v>
      </c>
      <c r="B2819" s="266"/>
      <c r="C2819" s="266">
        <v>10.0</v>
      </c>
      <c r="D2819" s="266" t="s">
        <v>8265</v>
      </c>
      <c r="E2819" s="266"/>
      <c r="F2819" s="266"/>
      <c r="G2819" s="266" t="s">
        <v>6304</v>
      </c>
      <c r="H2819" s="266" t="s">
        <v>3806</v>
      </c>
      <c r="I2819" s="266"/>
      <c r="J2819" s="266"/>
      <c r="K2819" s="1"/>
      <c r="L2819" s="1"/>
    </row>
    <row r="2820">
      <c r="A2820" s="266">
        <v>5400.0</v>
      </c>
      <c r="B2820" s="266"/>
      <c r="C2820" s="266">
        <v>10.0</v>
      </c>
      <c r="D2820" s="266" t="s">
        <v>8266</v>
      </c>
      <c r="E2820" s="266"/>
      <c r="F2820" s="266"/>
      <c r="G2820" s="266"/>
      <c r="H2820" s="266"/>
      <c r="I2820" s="266"/>
      <c r="J2820" s="267"/>
    </row>
    <row r="2821">
      <c r="A2821" s="266">
        <v>5500.0</v>
      </c>
      <c r="B2821" s="266"/>
      <c r="C2821" s="266">
        <v>15.0</v>
      </c>
      <c r="D2821" s="266" t="s">
        <v>8267</v>
      </c>
      <c r="E2821" s="266"/>
      <c r="F2821" s="266"/>
      <c r="G2821" s="266" t="s">
        <v>6304</v>
      </c>
      <c r="H2821" s="266" t="s">
        <v>561</v>
      </c>
      <c r="I2821" s="266"/>
      <c r="J2821" s="266"/>
      <c r="K2821" s="1"/>
      <c r="L2821" s="1"/>
    </row>
    <row r="2822">
      <c r="A2822" s="266">
        <v>5600.0</v>
      </c>
      <c r="B2822" s="266"/>
      <c r="C2822" s="266">
        <v>15.0</v>
      </c>
      <c r="D2822" s="266" t="s">
        <v>8268</v>
      </c>
      <c r="E2822" s="266"/>
      <c r="F2822" s="266"/>
      <c r="G2822" s="266" t="s">
        <v>6304</v>
      </c>
      <c r="H2822" s="266" t="s">
        <v>3806</v>
      </c>
      <c r="I2822" s="266"/>
      <c r="J2822" s="266"/>
      <c r="K2822" s="1"/>
      <c r="L2822" s="1"/>
    </row>
    <row r="2823">
      <c r="A2823" s="266">
        <v>5700.0</v>
      </c>
      <c r="B2823" s="266"/>
      <c r="C2823" s="266">
        <v>5.0</v>
      </c>
      <c r="D2823" s="266" t="s">
        <v>8269</v>
      </c>
      <c r="E2823" s="266"/>
      <c r="F2823" s="266"/>
      <c r="G2823" s="266"/>
      <c r="H2823" s="266"/>
      <c r="I2823" s="266"/>
      <c r="J2823" s="267"/>
    </row>
    <row r="2824">
      <c r="A2824" s="266">
        <v>5800.0</v>
      </c>
      <c r="B2824" s="266"/>
      <c r="C2824" s="266">
        <v>10.0</v>
      </c>
      <c r="D2824" s="266" t="s">
        <v>8270</v>
      </c>
      <c r="E2824" s="266"/>
      <c r="F2824" s="266"/>
      <c r="G2824" s="266" t="s">
        <v>6304</v>
      </c>
      <c r="H2824" s="266" t="s">
        <v>557</v>
      </c>
      <c r="I2824" s="266"/>
      <c r="J2824" s="266"/>
      <c r="K2824" s="1"/>
      <c r="L2824" s="1"/>
    </row>
    <row r="2825">
      <c r="A2825" s="266">
        <v>5900.0</v>
      </c>
      <c r="B2825" s="266"/>
      <c r="C2825" s="266">
        <v>88.0</v>
      </c>
      <c r="D2825" s="266" t="s">
        <v>8271</v>
      </c>
      <c r="E2825" s="266" t="s">
        <v>6621</v>
      </c>
      <c r="F2825" s="269" t="s">
        <v>6622</v>
      </c>
      <c r="G2825" s="266"/>
      <c r="H2825" s="266"/>
      <c r="I2825" s="266"/>
      <c r="J2825" s="267"/>
    </row>
    <row r="2826">
      <c r="A2826" s="266">
        <v>6000.0</v>
      </c>
      <c r="B2826" s="266"/>
      <c r="C2826" s="266">
        <v>88.0</v>
      </c>
      <c r="D2826" s="266" t="s">
        <v>8272</v>
      </c>
      <c r="E2826" s="266" t="s">
        <v>6621</v>
      </c>
      <c r="F2826" s="269" t="s">
        <v>6624</v>
      </c>
      <c r="G2826" s="266"/>
      <c r="H2826" s="266"/>
      <c r="I2826" s="266"/>
      <c r="J2826" s="267"/>
    </row>
    <row r="2827">
      <c r="A2827" s="266">
        <v>6100.0</v>
      </c>
      <c r="B2827" s="266"/>
      <c r="C2827" s="266">
        <v>88.0</v>
      </c>
      <c r="D2827" s="266" t="s">
        <v>8273</v>
      </c>
      <c r="E2827" s="266" t="s">
        <v>6621</v>
      </c>
      <c r="F2827" s="269" t="s">
        <v>6626</v>
      </c>
      <c r="G2827" s="266"/>
      <c r="H2827" s="266"/>
      <c r="I2827" s="266"/>
      <c r="J2827" s="267"/>
    </row>
    <row r="2828">
      <c r="A2828" s="266">
        <v>6200.0</v>
      </c>
      <c r="B2828" s="266"/>
      <c r="C2828" s="266">
        <v>88.0</v>
      </c>
      <c r="D2828" s="266" t="s">
        <v>8274</v>
      </c>
      <c r="E2828" s="266" t="s">
        <v>6621</v>
      </c>
      <c r="F2828" s="269" t="s">
        <v>6628</v>
      </c>
      <c r="G2828" s="266"/>
      <c r="H2828" s="266"/>
      <c r="I2828" s="266"/>
      <c r="J2828" s="267"/>
    </row>
    <row r="2829">
      <c r="A2829" s="266">
        <v>6300.0</v>
      </c>
      <c r="B2829" s="266"/>
      <c r="C2829" s="266">
        <v>88.0</v>
      </c>
      <c r="D2829" s="266" t="s">
        <v>8275</v>
      </c>
      <c r="E2829" s="266" t="s">
        <v>6621</v>
      </c>
      <c r="F2829" s="269" t="s">
        <v>6630</v>
      </c>
      <c r="G2829" s="266"/>
      <c r="H2829" s="266"/>
      <c r="I2829" s="266"/>
      <c r="J2829" s="267"/>
    </row>
    <row r="2830">
      <c r="A2830" s="266">
        <v>6400.0</v>
      </c>
      <c r="B2830" s="266"/>
      <c r="C2830" s="266">
        <v>88.0</v>
      </c>
      <c r="D2830" s="266" t="s">
        <v>8276</v>
      </c>
      <c r="E2830" s="266" t="s">
        <v>6621</v>
      </c>
      <c r="F2830" s="269" t="s">
        <v>6632</v>
      </c>
      <c r="G2830" s="266"/>
      <c r="H2830" s="266"/>
      <c r="I2830" s="266"/>
      <c r="J2830" s="267"/>
    </row>
    <row r="2831">
      <c r="A2831" s="266">
        <v>6500.0</v>
      </c>
      <c r="B2831" s="266"/>
      <c r="C2831" s="266">
        <v>10.0</v>
      </c>
      <c r="D2831" s="266" t="s">
        <v>8277</v>
      </c>
      <c r="E2831" s="266"/>
      <c r="F2831" s="266"/>
      <c r="G2831" s="266" t="s">
        <v>6304</v>
      </c>
      <c r="H2831" s="266" t="s">
        <v>551</v>
      </c>
      <c r="I2831" s="266"/>
      <c r="J2831" s="266"/>
      <c r="K2831" s="1"/>
      <c r="L2831" s="1"/>
    </row>
    <row r="2832">
      <c r="A2832" s="266">
        <v>6600.0</v>
      </c>
      <c r="B2832" s="266"/>
      <c r="C2832" s="266">
        <v>10.0</v>
      </c>
      <c r="D2832" s="266" t="s">
        <v>8278</v>
      </c>
      <c r="E2832" s="266"/>
      <c r="F2832" s="266"/>
      <c r="G2832" s="266" t="s">
        <v>6304</v>
      </c>
      <c r="H2832" s="266" t="s">
        <v>556</v>
      </c>
      <c r="I2832" s="266"/>
      <c r="J2832" s="266"/>
      <c r="K2832" s="1"/>
      <c r="L2832" s="1"/>
    </row>
    <row r="2833">
      <c r="A2833" s="266">
        <v>6700.0</v>
      </c>
      <c r="B2833" s="266"/>
      <c r="C2833" s="266">
        <v>5.0</v>
      </c>
      <c r="D2833" s="266" t="s">
        <v>6306</v>
      </c>
      <c r="E2833" s="266"/>
      <c r="F2833" s="266"/>
      <c r="G2833" s="266" t="s">
        <v>6304</v>
      </c>
      <c r="H2833" s="266" t="s">
        <v>6965</v>
      </c>
      <c r="I2833" s="266"/>
      <c r="J2833" s="266"/>
      <c r="K2833" s="1"/>
      <c r="L2833" s="1"/>
    </row>
    <row r="2834">
      <c r="A2834" s="266">
        <v>50.0</v>
      </c>
      <c r="B2834" s="266">
        <v>1.0</v>
      </c>
      <c r="C2834" s="266"/>
      <c r="D2834" s="266" t="s">
        <v>8279</v>
      </c>
      <c r="E2834" s="266"/>
      <c r="F2834" s="266"/>
      <c r="G2834" s="266"/>
      <c r="H2834" s="266"/>
      <c r="I2834" s="266"/>
      <c r="J2834" s="267"/>
    </row>
    <row r="2835">
      <c r="A2835" s="266">
        <v>100.0</v>
      </c>
      <c r="B2835" s="266"/>
      <c r="C2835" s="266">
        <v>5.0</v>
      </c>
      <c r="D2835" s="266" t="s">
        <v>8280</v>
      </c>
      <c r="E2835" s="266"/>
      <c r="F2835" s="266"/>
      <c r="G2835" s="266" t="s">
        <v>6304</v>
      </c>
      <c r="H2835" s="266" t="s">
        <v>6336</v>
      </c>
      <c r="I2835" s="266"/>
      <c r="J2835" s="266"/>
      <c r="K2835" s="1"/>
      <c r="L2835" s="1"/>
    </row>
    <row r="2836">
      <c r="A2836" s="266">
        <v>200.0</v>
      </c>
      <c r="B2836" s="266"/>
      <c r="C2836" s="266">
        <v>5.0</v>
      </c>
      <c r="D2836" s="266" t="s">
        <v>6470</v>
      </c>
      <c r="E2836" s="266"/>
      <c r="F2836" s="266"/>
      <c r="G2836" s="266"/>
      <c r="H2836" s="266"/>
      <c r="I2836" s="266"/>
      <c r="J2836" s="267"/>
    </row>
    <row r="2837">
      <c r="A2837" s="266">
        <v>300.0</v>
      </c>
      <c r="B2837" s="266"/>
      <c r="C2837" s="266">
        <v>10.0</v>
      </c>
      <c r="D2837" s="266" t="s">
        <v>6471</v>
      </c>
      <c r="E2837" s="266"/>
      <c r="F2837" s="266"/>
      <c r="G2837" s="266"/>
      <c r="H2837" s="266"/>
      <c r="I2837" s="266"/>
      <c r="J2837" s="267"/>
    </row>
    <row r="2838">
      <c r="A2838" s="266">
        <v>400.0</v>
      </c>
      <c r="B2838" s="266"/>
      <c r="C2838" s="266">
        <v>15.0</v>
      </c>
      <c r="D2838" s="266" t="s">
        <v>6472</v>
      </c>
      <c r="E2838" s="266"/>
      <c r="F2838" s="266"/>
      <c r="G2838" s="266" t="s">
        <v>6304</v>
      </c>
      <c r="H2838" s="266" t="s">
        <v>6331</v>
      </c>
      <c r="I2838" s="266"/>
      <c r="J2838" s="266"/>
      <c r="K2838" s="1"/>
      <c r="L2838" s="1"/>
    </row>
    <row r="2839">
      <c r="A2839" s="266">
        <v>500.0</v>
      </c>
      <c r="B2839" s="266"/>
      <c r="C2839" s="266">
        <v>15.0</v>
      </c>
      <c r="D2839" s="266" t="s">
        <v>6473</v>
      </c>
      <c r="E2839" s="266"/>
      <c r="F2839" s="266"/>
      <c r="G2839" s="266" t="s">
        <v>6304</v>
      </c>
      <c r="H2839" s="266" t="s">
        <v>6331</v>
      </c>
      <c r="I2839" s="266"/>
      <c r="J2839" s="266"/>
      <c r="K2839" s="1"/>
      <c r="L2839" s="1"/>
    </row>
    <row r="2840">
      <c r="A2840" s="266">
        <v>600.0</v>
      </c>
      <c r="B2840" s="266"/>
      <c r="C2840" s="266">
        <v>10.0</v>
      </c>
      <c r="D2840" s="266" t="s">
        <v>6474</v>
      </c>
      <c r="E2840" s="266"/>
      <c r="F2840" s="266"/>
      <c r="G2840" s="266" t="s">
        <v>6304</v>
      </c>
      <c r="H2840" s="266" t="s">
        <v>6315</v>
      </c>
      <c r="I2840" s="266"/>
      <c r="J2840" s="266"/>
      <c r="K2840" s="1"/>
      <c r="L2840" s="1"/>
    </row>
    <row r="2841">
      <c r="A2841" s="266">
        <v>700.0</v>
      </c>
      <c r="B2841" s="266"/>
      <c r="C2841" s="266">
        <v>10.0</v>
      </c>
      <c r="D2841" s="266" t="s">
        <v>6475</v>
      </c>
      <c r="E2841" s="266"/>
      <c r="F2841" s="266"/>
      <c r="G2841" s="266"/>
      <c r="H2841" s="266"/>
      <c r="I2841" s="266"/>
      <c r="J2841" s="267"/>
    </row>
    <row r="2842">
      <c r="A2842" s="266">
        <v>800.0</v>
      </c>
      <c r="B2842" s="266"/>
      <c r="C2842" s="266">
        <v>15.0</v>
      </c>
      <c r="D2842" s="266" t="s">
        <v>6476</v>
      </c>
      <c r="E2842" s="266"/>
      <c r="F2842" s="266"/>
      <c r="G2842" s="266" t="s">
        <v>6304</v>
      </c>
      <c r="H2842" s="266" t="s">
        <v>6336</v>
      </c>
      <c r="I2842" s="266"/>
      <c r="J2842" s="266"/>
      <c r="K2842" s="1"/>
      <c r="L2842" s="1"/>
    </row>
    <row r="2843">
      <c r="A2843" s="266">
        <v>900.0</v>
      </c>
      <c r="B2843" s="266"/>
      <c r="C2843" s="266">
        <v>15.0</v>
      </c>
      <c r="D2843" s="266" t="s">
        <v>6477</v>
      </c>
      <c r="E2843" s="266"/>
      <c r="F2843" s="266"/>
      <c r="G2843" s="266" t="s">
        <v>6304</v>
      </c>
      <c r="H2843" s="266" t="s">
        <v>6338</v>
      </c>
      <c r="I2843" s="266"/>
      <c r="J2843" s="266"/>
      <c r="K2843" s="1"/>
      <c r="L2843" s="1"/>
    </row>
    <row r="2844">
      <c r="A2844" s="266">
        <v>1000.0</v>
      </c>
      <c r="B2844" s="266"/>
      <c r="C2844" s="266">
        <v>5.0</v>
      </c>
      <c r="D2844" s="266" t="s">
        <v>6486</v>
      </c>
      <c r="E2844" s="266"/>
      <c r="F2844" s="266"/>
      <c r="G2844" s="266"/>
      <c r="H2844" s="266"/>
      <c r="I2844" s="266"/>
      <c r="J2844" s="267"/>
    </row>
    <row r="2845">
      <c r="A2845" s="266">
        <v>1100.0</v>
      </c>
      <c r="B2845" s="266"/>
      <c r="C2845" s="266">
        <v>10.0</v>
      </c>
      <c r="D2845" s="266" t="s">
        <v>6487</v>
      </c>
      <c r="E2845" s="266"/>
      <c r="F2845" s="266"/>
      <c r="G2845" s="266" t="s">
        <v>6304</v>
      </c>
      <c r="H2845" s="266" t="s">
        <v>3806</v>
      </c>
      <c r="I2845" s="266"/>
      <c r="J2845" s="266"/>
      <c r="K2845" s="1"/>
      <c r="L2845" s="1"/>
    </row>
    <row r="2846">
      <c r="A2846" s="266">
        <v>1200.0</v>
      </c>
      <c r="B2846" s="266"/>
      <c r="C2846" s="266">
        <v>10.0</v>
      </c>
      <c r="D2846" s="266" t="s">
        <v>6488</v>
      </c>
      <c r="E2846" s="266"/>
      <c r="F2846" s="266"/>
      <c r="G2846" s="266" t="s">
        <v>6304</v>
      </c>
      <c r="H2846" s="266" t="s">
        <v>555</v>
      </c>
      <c r="I2846" s="266"/>
      <c r="J2846" s="266"/>
      <c r="K2846" s="1"/>
      <c r="L2846" s="1"/>
    </row>
    <row r="2847">
      <c r="A2847" s="266">
        <v>1300.0</v>
      </c>
      <c r="B2847" s="266"/>
      <c r="C2847" s="266">
        <v>5.0</v>
      </c>
      <c r="D2847" s="266" t="s">
        <v>8281</v>
      </c>
      <c r="E2847" s="266"/>
      <c r="F2847" s="266"/>
      <c r="G2847" s="266" t="s">
        <v>6304</v>
      </c>
      <c r="H2847" s="266" t="s">
        <v>8282</v>
      </c>
      <c r="I2847" s="266"/>
      <c r="J2847" s="266"/>
      <c r="K2847" s="1"/>
      <c r="L2847" s="1"/>
    </row>
    <row r="2848">
      <c r="A2848" s="266">
        <v>1400.0</v>
      </c>
      <c r="B2848" s="266"/>
      <c r="C2848" s="266">
        <v>5.0</v>
      </c>
      <c r="D2848" s="266" t="s">
        <v>6306</v>
      </c>
      <c r="E2848" s="266"/>
      <c r="F2848" s="266"/>
      <c r="G2848" s="266" t="s">
        <v>6304</v>
      </c>
      <c r="H2848" s="266" t="s">
        <v>7227</v>
      </c>
      <c r="I2848" s="266"/>
      <c r="J2848" s="266"/>
      <c r="K2848" s="1"/>
      <c r="L2848" s="1"/>
    </row>
    <row r="2849">
      <c r="A2849" s="266">
        <v>50.0</v>
      </c>
      <c r="B2849" s="266">
        <v>1.0</v>
      </c>
      <c r="C2849" s="266"/>
      <c r="D2849" s="266" t="s">
        <v>8283</v>
      </c>
      <c r="E2849" s="266"/>
      <c r="F2849" s="266"/>
      <c r="G2849" s="266"/>
      <c r="H2849" s="266"/>
      <c r="I2849" s="266"/>
      <c r="J2849" s="267"/>
    </row>
    <row r="2850">
      <c r="A2850" s="266">
        <v>100.0</v>
      </c>
      <c r="B2850" s="266"/>
      <c r="C2850" s="266">
        <v>5.0</v>
      </c>
      <c r="D2850" s="266" t="s">
        <v>8284</v>
      </c>
      <c r="E2850" s="266"/>
      <c r="F2850" s="266"/>
      <c r="G2850" s="266" t="s">
        <v>6304</v>
      </c>
      <c r="H2850" s="266" t="s">
        <v>6336</v>
      </c>
      <c r="I2850" s="266"/>
      <c r="J2850" s="266"/>
      <c r="K2850" s="1"/>
      <c r="L2850" s="1"/>
    </row>
    <row r="2851">
      <c r="A2851" s="266">
        <v>200.0</v>
      </c>
      <c r="B2851" s="266"/>
      <c r="C2851" s="266">
        <v>5.0</v>
      </c>
      <c r="D2851" s="266" t="s">
        <v>6470</v>
      </c>
      <c r="E2851" s="266"/>
      <c r="F2851" s="266"/>
      <c r="G2851" s="266"/>
      <c r="H2851" s="266"/>
      <c r="I2851" s="266"/>
      <c r="J2851" s="267"/>
    </row>
    <row r="2852">
      <c r="A2852" s="266">
        <v>300.0</v>
      </c>
      <c r="B2852" s="266"/>
      <c r="C2852" s="266">
        <v>10.0</v>
      </c>
      <c r="D2852" s="266" t="s">
        <v>6471</v>
      </c>
      <c r="E2852" s="266"/>
      <c r="F2852" s="266"/>
      <c r="G2852" s="266"/>
      <c r="H2852" s="266"/>
      <c r="I2852" s="266"/>
      <c r="J2852" s="267"/>
    </row>
    <row r="2853">
      <c r="A2853" s="266">
        <v>400.0</v>
      </c>
      <c r="B2853" s="266"/>
      <c r="C2853" s="266">
        <v>15.0</v>
      </c>
      <c r="D2853" s="266" t="s">
        <v>6472</v>
      </c>
      <c r="E2853" s="266"/>
      <c r="F2853" s="266"/>
      <c r="G2853" s="266" t="s">
        <v>6304</v>
      </c>
      <c r="H2853" s="266" t="s">
        <v>6331</v>
      </c>
      <c r="I2853" s="266"/>
      <c r="J2853" s="266"/>
      <c r="K2853" s="1"/>
      <c r="L2853" s="1"/>
    </row>
    <row r="2854">
      <c r="A2854" s="266">
        <v>500.0</v>
      </c>
      <c r="B2854" s="266"/>
      <c r="C2854" s="266">
        <v>15.0</v>
      </c>
      <c r="D2854" s="266" t="s">
        <v>6473</v>
      </c>
      <c r="E2854" s="266"/>
      <c r="F2854" s="266"/>
      <c r="G2854" s="266" t="s">
        <v>6304</v>
      </c>
      <c r="H2854" s="266" t="s">
        <v>6331</v>
      </c>
      <c r="I2854" s="266"/>
      <c r="J2854" s="266"/>
      <c r="K2854" s="1"/>
      <c r="L2854" s="1"/>
    </row>
    <row r="2855">
      <c r="A2855" s="266">
        <v>600.0</v>
      </c>
      <c r="B2855" s="266"/>
      <c r="C2855" s="266">
        <v>10.0</v>
      </c>
      <c r="D2855" s="266" t="s">
        <v>6474</v>
      </c>
      <c r="E2855" s="266"/>
      <c r="F2855" s="266"/>
      <c r="G2855" s="266" t="s">
        <v>6304</v>
      </c>
      <c r="H2855" s="266" t="s">
        <v>6315</v>
      </c>
      <c r="I2855" s="266"/>
      <c r="J2855" s="266"/>
      <c r="K2855" s="1"/>
      <c r="L2855" s="1"/>
    </row>
    <row r="2856">
      <c r="A2856" s="266">
        <v>700.0</v>
      </c>
      <c r="B2856" s="266"/>
      <c r="C2856" s="266">
        <v>10.0</v>
      </c>
      <c r="D2856" s="266" t="s">
        <v>6475</v>
      </c>
      <c r="E2856" s="266"/>
      <c r="F2856" s="266"/>
      <c r="G2856" s="266"/>
      <c r="H2856" s="266"/>
      <c r="I2856" s="266"/>
      <c r="J2856" s="267"/>
    </row>
    <row r="2857">
      <c r="A2857" s="266">
        <v>800.0</v>
      </c>
      <c r="B2857" s="266"/>
      <c r="C2857" s="266">
        <v>15.0</v>
      </c>
      <c r="D2857" s="266" t="s">
        <v>6476</v>
      </c>
      <c r="E2857" s="266"/>
      <c r="F2857" s="266"/>
      <c r="G2857" s="266" t="s">
        <v>6304</v>
      </c>
      <c r="H2857" s="266" t="s">
        <v>6336</v>
      </c>
      <c r="I2857" s="266"/>
      <c r="J2857" s="266"/>
      <c r="K2857" s="1"/>
      <c r="L2857" s="1"/>
    </row>
    <row r="2858">
      <c r="A2858" s="266">
        <v>900.0</v>
      </c>
      <c r="B2858" s="266"/>
      <c r="C2858" s="266">
        <v>15.0</v>
      </c>
      <c r="D2858" s="266" t="s">
        <v>6477</v>
      </c>
      <c r="E2858" s="266"/>
      <c r="F2858" s="266"/>
      <c r="G2858" s="266" t="s">
        <v>6304</v>
      </c>
      <c r="H2858" s="266" t="s">
        <v>6338</v>
      </c>
      <c r="I2858" s="266"/>
      <c r="J2858" s="266"/>
      <c r="K2858" s="1"/>
      <c r="L2858" s="1"/>
    </row>
    <row r="2859">
      <c r="A2859" s="266">
        <v>1000.0</v>
      </c>
      <c r="B2859" s="266"/>
      <c r="C2859" s="266">
        <v>5.0</v>
      </c>
      <c r="D2859" s="266" t="s">
        <v>6306</v>
      </c>
      <c r="E2859" s="266"/>
      <c r="F2859" s="266"/>
      <c r="G2859" s="266" t="s">
        <v>6304</v>
      </c>
      <c r="H2859" s="266" t="s">
        <v>6521</v>
      </c>
      <c r="I2859" s="266"/>
      <c r="J2859" s="266"/>
      <c r="K2859" s="1"/>
      <c r="L2859" s="1"/>
    </row>
    <row r="2860">
      <c r="A2860" s="266">
        <v>50.0</v>
      </c>
      <c r="B2860" s="266">
        <v>1.0</v>
      </c>
      <c r="C2860" s="266"/>
      <c r="D2860" s="266" t="s">
        <v>8285</v>
      </c>
      <c r="E2860" s="266"/>
      <c r="F2860" s="266"/>
      <c r="G2860" s="266"/>
      <c r="H2860" s="266"/>
      <c r="I2860" s="266"/>
      <c r="J2860" s="267"/>
    </row>
    <row r="2861">
      <c r="A2861" s="266">
        <v>100.0</v>
      </c>
      <c r="B2861" s="266"/>
      <c r="C2861" s="266">
        <v>5.0</v>
      </c>
      <c r="D2861" s="266" t="s">
        <v>8286</v>
      </c>
      <c r="E2861" s="266"/>
      <c r="F2861" s="266"/>
      <c r="G2861" s="266"/>
      <c r="H2861" s="266"/>
      <c r="I2861" s="266"/>
      <c r="J2861" s="267"/>
    </row>
    <row r="2862">
      <c r="A2862" s="266">
        <v>200.0</v>
      </c>
      <c r="B2862" s="266"/>
      <c r="C2862" s="266">
        <v>10.0</v>
      </c>
      <c r="D2862" s="266" t="s">
        <v>6597</v>
      </c>
      <c r="E2862" s="266"/>
      <c r="F2862" s="266"/>
      <c r="G2862" s="266" t="s">
        <v>6304</v>
      </c>
      <c r="H2862" s="266">
        <v>9.0</v>
      </c>
      <c r="I2862" s="266"/>
      <c r="J2862" s="266"/>
      <c r="K2862" s="1"/>
      <c r="L2862" s="1"/>
    </row>
    <row r="2863">
      <c r="A2863" s="266">
        <v>300.0</v>
      </c>
      <c r="B2863" s="266"/>
      <c r="C2863" s="266">
        <v>10.0</v>
      </c>
      <c r="D2863" s="266" t="s">
        <v>514</v>
      </c>
      <c r="E2863" s="266"/>
      <c r="F2863" s="266"/>
      <c r="G2863" s="266" t="s">
        <v>6304</v>
      </c>
      <c r="H2863" s="266" t="s">
        <v>551</v>
      </c>
      <c r="I2863" s="266"/>
      <c r="J2863" s="266"/>
      <c r="K2863" s="1"/>
      <c r="L2863" s="1"/>
    </row>
    <row r="2864">
      <c r="A2864" s="266">
        <v>400.0</v>
      </c>
      <c r="B2864" s="266"/>
      <c r="C2864" s="266">
        <v>10.0</v>
      </c>
      <c r="D2864" s="266" t="s">
        <v>8133</v>
      </c>
      <c r="E2864" s="266"/>
      <c r="F2864" s="266"/>
      <c r="G2864" s="266" t="s">
        <v>6304</v>
      </c>
      <c r="H2864" s="266" t="s">
        <v>3806</v>
      </c>
      <c r="I2864" s="266"/>
      <c r="J2864" s="266"/>
      <c r="K2864" s="1"/>
      <c r="L2864" s="1"/>
    </row>
    <row r="2865">
      <c r="A2865" s="266">
        <v>500.0</v>
      </c>
      <c r="B2865" s="266"/>
      <c r="C2865" s="266">
        <v>5.0</v>
      </c>
      <c r="D2865" s="266" t="s">
        <v>6306</v>
      </c>
      <c r="E2865" s="266"/>
      <c r="F2865" s="266"/>
      <c r="G2865" s="266" t="s">
        <v>6304</v>
      </c>
      <c r="H2865" s="266" t="s">
        <v>6851</v>
      </c>
      <c r="I2865" s="266"/>
      <c r="J2865" s="266"/>
      <c r="K2865" s="1"/>
      <c r="L2865" s="1"/>
    </row>
    <row r="2866">
      <c r="A2866" s="266">
        <v>50.0</v>
      </c>
      <c r="B2866" s="266">
        <v>1.0</v>
      </c>
      <c r="C2866" s="266"/>
      <c r="D2866" s="266" t="s">
        <v>8287</v>
      </c>
      <c r="E2866" s="266"/>
      <c r="F2866" s="266"/>
      <c r="G2866" s="266"/>
      <c r="H2866" s="266"/>
      <c r="I2866" s="266"/>
      <c r="J2866" s="267"/>
    </row>
    <row r="2867">
      <c r="A2867" s="266">
        <v>100.0</v>
      </c>
      <c r="B2867" s="266"/>
      <c r="C2867" s="266">
        <v>5.0</v>
      </c>
      <c r="D2867" s="266" t="s">
        <v>8288</v>
      </c>
      <c r="E2867" s="266"/>
      <c r="F2867" s="266"/>
      <c r="G2867" s="266"/>
      <c r="H2867" s="266"/>
      <c r="I2867" s="266"/>
      <c r="J2867" s="267"/>
    </row>
    <row r="2868">
      <c r="A2868" s="266">
        <v>200.0</v>
      </c>
      <c r="B2868" s="266"/>
      <c r="C2868" s="266">
        <v>10.0</v>
      </c>
      <c r="D2868" s="266" t="s">
        <v>5140</v>
      </c>
      <c r="E2868" s="266"/>
      <c r="F2868" s="266"/>
      <c r="G2868" s="266" t="s">
        <v>6304</v>
      </c>
      <c r="H2868" s="266" t="s">
        <v>551</v>
      </c>
      <c r="I2868" s="266"/>
      <c r="J2868" s="266"/>
      <c r="K2868" s="1"/>
      <c r="L2868" s="1"/>
    </row>
    <row r="2869">
      <c r="A2869" s="266">
        <v>300.0</v>
      </c>
      <c r="B2869" s="266"/>
      <c r="C2869" s="266">
        <v>10.0</v>
      </c>
      <c r="D2869" s="266" t="s">
        <v>5141</v>
      </c>
      <c r="E2869" s="266"/>
      <c r="F2869" s="266"/>
      <c r="G2869" s="266" t="s">
        <v>6304</v>
      </c>
      <c r="H2869" s="266" t="s">
        <v>551</v>
      </c>
      <c r="I2869" s="266"/>
      <c r="J2869" s="266"/>
      <c r="K2869" s="1"/>
      <c r="L2869" s="1"/>
    </row>
    <row r="2870">
      <c r="A2870" s="266">
        <v>400.0</v>
      </c>
      <c r="B2870" s="266"/>
      <c r="C2870" s="266">
        <v>5.0</v>
      </c>
      <c r="D2870" s="266" t="s">
        <v>6497</v>
      </c>
      <c r="E2870" s="266"/>
      <c r="F2870" s="266"/>
      <c r="G2870" s="266" t="s">
        <v>6304</v>
      </c>
      <c r="H2870" s="266" t="s">
        <v>3806</v>
      </c>
      <c r="I2870" s="266"/>
      <c r="J2870" s="266"/>
      <c r="K2870" s="1"/>
      <c r="L2870" s="1"/>
    </row>
    <row r="2871">
      <c r="A2871" s="266">
        <v>500.0</v>
      </c>
      <c r="B2871" s="266"/>
      <c r="C2871" s="266">
        <v>5.0</v>
      </c>
      <c r="D2871" s="266" t="s">
        <v>5184</v>
      </c>
      <c r="E2871" s="266"/>
      <c r="F2871" s="266"/>
      <c r="G2871" s="266" t="s">
        <v>6304</v>
      </c>
      <c r="H2871" s="266" t="s">
        <v>5170</v>
      </c>
      <c r="I2871" s="266" t="s">
        <v>6305</v>
      </c>
      <c r="J2871" s="266"/>
      <c r="K2871" s="1"/>
      <c r="L2871" s="1"/>
    </row>
    <row r="2872">
      <c r="A2872" s="266">
        <v>600.0</v>
      </c>
      <c r="B2872" s="266"/>
      <c r="C2872" s="266">
        <v>5.0</v>
      </c>
      <c r="D2872" s="266" t="s">
        <v>8289</v>
      </c>
      <c r="E2872" s="266"/>
      <c r="F2872" s="266"/>
      <c r="G2872" s="266" t="s">
        <v>6304</v>
      </c>
      <c r="H2872" s="266" t="s">
        <v>5170</v>
      </c>
      <c r="I2872" s="266" t="s">
        <v>6305</v>
      </c>
      <c r="J2872" s="266"/>
      <c r="K2872" s="1"/>
      <c r="L2872" s="1"/>
    </row>
    <row r="2873">
      <c r="A2873" s="266">
        <v>700.0</v>
      </c>
      <c r="B2873" s="266"/>
      <c r="C2873" s="266">
        <v>5.0</v>
      </c>
      <c r="D2873" s="266" t="s">
        <v>8290</v>
      </c>
      <c r="E2873" s="266"/>
      <c r="F2873" s="266"/>
      <c r="G2873" s="266" t="s">
        <v>6304</v>
      </c>
      <c r="H2873" s="266" t="s">
        <v>5170</v>
      </c>
      <c r="I2873" s="266" t="s">
        <v>6305</v>
      </c>
      <c r="J2873" s="266"/>
      <c r="K2873" s="1"/>
      <c r="L2873" s="1"/>
    </row>
    <row r="2874">
      <c r="A2874" s="266">
        <v>800.0</v>
      </c>
      <c r="B2874" s="266"/>
      <c r="C2874" s="266">
        <v>5.0</v>
      </c>
      <c r="D2874" s="266" t="s">
        <v>8291</v>
      </c>
      <c r="E2874" s="266"/>
      <c r="F2874" s="266"/>
      <c r="G2874" s="266" t="s">
        <v>6304</v>
      </c>
      <c r="H2874" s="266" t="s">
        <v>5170</v>
      </c>
      <c r="I2874" s="266" t="s">
        <v>6305</v>
      </c>
      <c r="J2874" s="266"/>
      <c r="K2874" s="1"/>
      <c r="L2874" s="1"/>
    </row>
    <row r="2875">
      <c r="A2875" s="266">
        <v>900.0</v>
      </c>
      <c r="B2875" s="266"/>
      <c r="C2875" s="266">
        <v>5.0</v>
      </c>
      <c r="D2875" s="266" t="s">
        <v>6306</v>
      </c>
      <c r="E2875" s="266"/>
      <c r="F2875" s="266"/>
      <c r="G2875" s="266" t="s">
        <v>6304</v>
      </c>
      <c r="H2875" s="266" t="s">
        <v>8154</v>
      </c>
      <c r="I2875" s="266"/>
      <c r="J2875" s="266"/>
      <c r="K2875" s="1"/>
      <c r="L2875" s="1"/>
    </row>
    <row r="2876">
      <c r="A2876" s="266">
        <v>50.0</v>
      </c>
      <c r="B2876" s="266">
        <v>1.0</v>
      </c>
      <c r="C2876" s="266"/>
      <c r="D2876" s="266" t="s">
        <v>8292</v>
      </c>
      <c r="E2876" s="266"/>
      <c r="F2876" s="266"/>
      <c r="G2876" s="266"/>
      <c r="H2876" s="266"/>
      <c r="I2876" s="266"/>
      <c r="J2876" s="267"/>
    </row>
    <row r="2877">
      <c r="A2877" s="266">
        <v>100.0</v>
      </c>
      <c r="B2877" s="266"/>
      <c r="C2877" s="266">
        <v>5.0</v>
      </c>
      <c r="D2877" s="266" t="s">
        <v>8293</v>
      </c>
      <c r="E2877" s="266"/>
      <c r="F2877" s="266"/>
      <c r="G2877" s="266" t="s">
        <v>6304</v>
      </c>
      <c r="H2877" s="266" t="s">
        <v>17</v>
      </c>
      <c r="I2877" s="266"/>
      <c r="J2877" s="266"/>
      <c r="K2877" s="1"/>
      <c r="L2877" s="1"/>
    </row>
    <row r="2878">
      <c r="A2878" s="266">
        <v>200.0</v>
      </c>
      <c r="B2878" s="266"/>
      <c r="C2878" s="266">
        <v>5.0</v>
      </c>
      <c r="D2878" s="266" t="s">
        <v>8294</v>
      </c>
      <c r="E2878" s="266"/>
      <c r="F2878" s="266"/>
      <c r="G2878" s="266" t="s">
        <v>6304</v>
      </c>
      <c r="H2878" s="266" t="s">
        <v>8282</v>
      </c>
      <c r="I2878" s="266"/>
      <c r="J2878" s="266"/>
      <c r="K2878" s="1"/>
      <c r="L2878" s="1"/>
    </row>
    <row r="2879">
      <c r="A2879" s="266">
        <v>300.0</v>
      </c>
      <c r="B2879" s="266"/>
      <c r="C2879" s="266">
        <v>5.0</v>
      </c>
      <c r="D2879" s="266" t="s">
        <v>8295</v>
      </c>
      <c r="E2879" s="266"/>
      <c r="F2879" s="266"/>
      <c r="G2879" s="266" t="s">
        <v>6304</v>
      </c>
      <c r="H2879" s="266" t="s">
        <v>17</v>
      </c>
      <c r="I2879" s="266"/>
      <c r="J2879" s="266"/>
      <c r="K2879" s="1"/>
      <c r="L2879" s="1"/>
    </row>
    <row r="2880">
      <c r="A2880" s="266">
        <v>400.0</v>
      </c>
      <c r="B2880" s="266"/>
      <c r="C2880" s="266">
        <v>5.0</v>
      </c>
      <c r="D2880" s="266" t="s">
        <v>8296</v>
      </c>
      <c r="E2880" s="266"/>
      <c r="F2880" s="266"/>
      <c r="G2880" s="266" t="s">
        <v>6304</v>
      </c>
      <c r="H2880" s="266" t="s">
        <v>555</v>
      </c>
      <c r="I2880" s="266"/>
      <c r="J2880" s="266"/>
      <c r="K2880" s="1"/>
      <c r="L2880" s="1"/>
    </row>
    <row r="2881">
      <c r="A2881" s="266">
        <v>500.0</v>
      </c>
      <c r="B2881" s="266"/>
      <c r="C2881" s="266">
        <v>5.0</v>
      </c>
      <c r="D2881" s="266" t="s">
        <v>8297</v>
      </c>
      <c r="E2881" s="266" t="s">
        <v>6479</v>
      </c>
      <c r="F2881" s="266">
        <v>3.0</v>
      </c>
      <c r="G2881" s="266" t="s">
        <v>6304</v>
      </c>
      <c r="H2881" s="266" t="s">
        <v>555</v>
      </c>
      <c r="I2881" s="266"/>
      <c r="J2881" s="267"/>
    </row>
    <row r="2882">
      <c r="A2882" s="266">
        <v>600.0</v>
      </c>
      <c r="B2882" s="266"/>
      <c r="C2882" s="266">
        <v>5.0</v>
      </c>
      <c r="D2882" s="266" t="s">
        <v>8298</v>
      </c>
      <c r="E2882" s="266" t="s">
        <v>6479</v>
      </c>
      <c r="F2882" s="266">
        <v>3.0</v>
      </c>
      <c r="G2882" s="266" t="s">
        <v>6304</v>
      </c>
      <c r="H2882" s="266" t="s">
        <v>5170</v>
      </c>
      <c r="I2882" s="266" t="s">
        <v>6305</v>
      </c>
      <c r="J2882" s="267"/>
    </row>
    <row r="2883">
      <c r="A2883" s="266">
        <v>700.0</v>
      </c>
      <c r="B2883" s="266"/>
      <c r="C2883" s="266">
        <v>5.0</v>
      </c>
      <c r="D2883" s="266" t="s">
        <v>8299</v>
      </c>
      <c r="E2883" s="266"/>
      <c r="F2883" s="266"/>
      <c r="G2883" s="266" t="s">
        <v>6304</v>
      </c>
      <c r="H2883" s="266" t="s">
        <v>5168</v>
      </c>
      <c r="I2883" s="266"/>
      <c r="J2883" s="266"/>
      <c r="K2883" s="1"/>
      <c r="L2883" s="1"/>
    </row>
    <row r="2884">
      <c r="A2884" s="266">
        <v>800.0</v>
      </c>
      <c r="B2884" s="266"/>
      <c r="C2884" s="266">
        <v>5.0</v>
      </c>
      <c r="D2884" s="266" t="s">
        <v>8300</v>
      </c>
      <c r="E2884" s="266"/>
      <c r="F2884" s="266"/>
      <c r="G2884" s="266" t="s">
        <v>6304</v>
      </c>
      <c r="H2884" s="266" t="s">
        <v>5168</v>
      </c>
      <c r="I2884" s="266"/>
      <c r="J2884" s="266"/>
      <c r="K2884" s="1"/>
      <c r="L2884" s="1"/>
    </row>
    <row r="2885">
      <c r="A2885" s="266">
        <v>900.0</v>
      </c>
      <c r="B2885" s="266"/>
      <c r="C2885" s="266">
        <v>5.0</v>
      </c>
      <c r="D2885" s="266" t="s">
        <v>6306</v>
      </c>
      <c r="E2885" s="266"/>
      <c r="F2885" s="266"/>
      <c r="G2885" s="266" t="s">
        <v>6304</v>
      </c>
      <c r="H2885" s="266" t="s">
        <v>6851</v>
      </c>
      <c r="I2885" s="266"/>
      <c r="J2885" s="266"/>
      <c r="K2885" s="1"/>
      <c r="L2885" s="1"/>
    </row>
    <row r="2886">
      <c r="A2886" s="266">
        <v>50.0</v>
      </c>
      <c r="B2886" s="266">
        <v>1.0</v>
      </c>
      <c r="C2886" s="266"/>
      <c r="D2886" s="266" t="s">
        <v>8301</v>
      </c>
      <c r="E2886" s="266"/>
      <c r="F2886" s="266"/>
      <c r="G2886" s="266"/>
      <c r="H2886" s="266"/>
      <c r="I2886" s="266"/>
      <c r="J2886" s="267"/>
    </row>
    <row r="2887">
      <c r="A2887" s="266">
        <v>100.0</v>
      </c>
      <c r="B2887" s="266"/>
      <c r="C2887" s="266">
        <v>5.0</v>
      </c>
      <c r="D2887" s="266" t="s">
        <v>8302</v>
      </c>
      <c r="E2887" s="266"/>
      <c r="F2887" s="266"/>
      <c r="G2887" s="266" t="s">
        <v>6304</v>
      </c>
      <c r="H2887" s="266" t="s">
        <v>5170</v>
      </c>
      <c r="I2887" s="266" t="s">
        <v>6305</v>
      </c>
      <c r="J2887" s="266"/>
      <c r="K2887" s="1"/>
      <c r="L2887" s="1"/>
    </row>
    <row r="2888">
      <c r="A2888" s="266">
        <v>200.0</v>
      </c>
      <c r="B2888" s="266"/>
      <c r="C2888" s="266">
        <v>5.0</v>
      </c>
      <c r="D2888" s="266" t="s">
        <v>8303</v>
      </c>
      <c r="E2888" s="266"/>
      <c r="F2888" s="266"/>
      <c r="G2888" s="266" t="s">
        <v>6304</v>
      </c>
      <c r="H2888" s="266" t="s">
        <v>5170</v>
      </c>
      <c r="I2888" s="266" t="s">
        <v>6305</v>
      </c>
      <c r="J2888" s="266"/>
      <c r="K2888" s="1"/>
      <c r="L2888" s="1"/>
    </row>
    <row r="2889">
      <c r="A2889" s="266">
        <v>300.0</v>
      </c>
      <c r="B2889" s="266"/>
      <c r="C2889" s="266">
        <v>5.0</v>
      </c>
      <c r="D2889" s="266" t="s">
        <v>8304</v>
      </c>
      <c r="E2889" s="266"/>
      <c r="F2889" s="266"/>
      <c r="G2889" s="266" t="s">
        <v>6304</v>
      </c>
      <c r="H2889" s="266" t="s">
        <v>5170</v>
      </c>
      <c r="I2889" s="266" t="s">
        <v>6305</v>
      </c>
      <c r="J2889" s="266"/>
      <c r="K2889" s="1"/>
      <c r="L2889" s="1"/>
    </row>
    <row r="2890">
      <c r="A2890" s="266">
        <v>400.0</v>
      </c>
      <c r="B2890" s="266"/>
      <c r="C2890" s="266">
        <v>5.0</v>
      </c>
      <c r="D2890" s="266" t="s">
        <v>8305</v>
      </c>
      <c r="E2890" s="266"/>
      <c r="F2890" s="266"/>
      <c r="G2890" s="266" t="s">
        <v>6304</v>
      </c>
      <c r="H2890" s="266" t="s">
        <v>5170</v>
      </c>
      <c r="I2890" s="266" t="s">
        <v>6305</v>
      </c>
      <c r="J2890" s="266"/>
      <c r="K2890" s="1"/>
      <c r="L2890" s="1"/>
    </row>
    <row r="2891">
      <c r="A2891" s="266">
        <v>500.0</v>
      </c>
      <c r="B2891" s="266"/>
      <c r="C2891" s="266">
        <v>5.0</v>
      </c>
      <c r="D2891" s="266" t="s">
        <v>6306</v>
      </c>
      <c r="E2891" s="266"/>
      <c r="F2891" s="266"/>
      <c r="G2891" s="266" t="s">
        <v>6304</v>
      </c>
      <c r="H2891" s="266" t="s">
        <v>6676</v>
      </c>
      <c r="I2891" s="266"/>
      <c r="J2891" s="266"/>
      <c r="K2891" s="1"/>
      <c r="L2891" s="1"/>
    </row>
    <row r="2892">
      <c r="A2892" s="266">
        <v>50.0</v>
      </c>
      <c r="B2892" s="266">
        <v>1.0</v>
      </c>
      <c r="C2892" s="266"/>
      <c r="D2892" s="266" t="s">
        <v>8306</v>
      </c>
      <c r="E2892" s="266"/>
      <c r="F2892" s="266"/>
      <c r="G2892" s="266"/>
      <c r="H2892" s="266"/>
      <c r="I2892" s="266"/>
      <c r="J2892" s="267"/>
    </row>
    <row r="2893">
      <c r="A2893" s="266">
        <v>100.0</v>
      </c>
      <c r="B2893" s="266"/>
      <c r="C2893" s="266">
        <v>5.0</v>
      </c>
      <c r="D2893" s="266" t="s">
        <v>514</v>
      </c>
      <c r="E2893" s="266"/>
      <c r="F2893" s="266"/>
      <c r="G2893" s="266" t="s">
        <v>6304</v>
      </c>
      <c r="H2893" s="266" t="s">
        <v>551</v>
      </c>
      <c r="I2893" s="266"/>
      <c r="J2893" s="266"/>
      <c r="K2893" s="1"/>
      <c r="L2893" s="1"/>
    </row>
    <row r="2894">
      <c r="A2894" s="266">
        <v>200.0</v>
      </c>
      <c r="B2894" s="266"/>
      <c r="C2894" s="266">
        <v>5.0</v>
      </c>
      <c r="D2894" s="266" t="s">
        <v>8307</v>
      </c>
      <c r="E2894" s="266" t="s">
        <v>6479</v>
      </c>
      <c r="F2894" s="266">
        <v>14.0</v>
      </c>
      <c r="G2894" s="266" t="s">
        <v>6304</v>
      </c>
      <c r="H2894" s="266" t="s">
        <v>6322</v>
      </c>
      <c r="I2894" s="266"/>
      <c r="J2894" s="267"/>
    </row>
    <row r="2895">
      <c r="A2895" s="266">
        <v>300.0</v>
      </c>
      <c r="B2895" s="266"/>
      <c r="C2895" s="266">
        <v>5.0</v>
      </c>
      <c r="D2895" s="266" t="s">
        <v>8308</v>
      </c>
      <c r="E2895" s="266" t="s">
        <v>6479</v>
      </c>
      <c r="F2895" s="266">
        <v>14.0</v>
      </c>
      <c r="G2895" s="266" t="s">
        <v>6304</v>
      </c>
      <c r="H2895" s="266" t="s">
        <v>6322</v>
      </c>
      <c r="I2895" s="266"/>
      <c r="J2895" s="267"/>
    </row>
    <row r="2896">
      <c r="A2896" s="266">
        <v>400.0</v>
      </c>
      <c r="B2896" s="266"/>
      <c r="C2896" s="266">
        <v>5.0</v>
      </c>
      <c r="D2896" s="266" t="s">
        <v>6451</v>
      </c>
      <c r="E2896" s="266"/>
      <c r="F2896" s="266"/>
      <c r="G2896" s="266" t="s">
        <v>6304</v>
      </c>
      <c r="H2896" s="266" t="s">
        <v>555</v>
      </c>
      <c r="I2896" s="266"/>
      <c r="J2896" s="266"/>
      <c r="K2896" s="1"/>
      <c r="L2896" s="1"/>
    </row>
    <row r="2897">
      <c r="A2897" s="266">
        <v>500.0</v>
      </c>
      <c r="B2897" s="266"/>
      <c r="C2897" s="266">
        <v>5.0</v>
      </c>
      <c r="D2897" s="266" t="s">
        <v>6306</v>
      </c>
      <c r="E2897" s="266"/>
      <c r="F2897" s="266"/>
      <c r="G2897" s="266" t="s">
        <v>6304</v>
      </c>
      <c r="H2897" s="266" t="s">
        <v>8309</v>
      </c>
      <c r="I2897" s="266"/>
      <c r="J2897" s="266"/>
      <c r="K2897" s="1"/>
      <c r="L2897" s="1"/>
    </row>
    <row r="2898">
      <c r="A2898" s="266">
        <v>50.0</v>
      </c>
      <c r="B2898" s="266">
        <v>1.0</v>
      </c>
      <c r="C2898" s="266"/>
      <c r="D2898" s="266" t="s">
        <v>8310</v>
      </c>
      <c r="E2898" s="266"/>
      <c r="F2898" s="266"/>
      <c r="G2898" s="266"/>
      <c r="H2898" s="266"/>
      <c r="I2898" s="266"/>
      <c r="J2898" s="267"/>
    </row>
    <row r="2899">
      <c r="A2899" s="266">
        <v>100.0</v>
      </c>
      <c r="B2899" s="266"/>
      <c r="C2899" s="266">
        <v>5.0</v>
      </c>
      <c r="D2899" s="266" t="s">
        <v>8311</v>
      </c>
      <c r="E2899" s="266"/>
      <c r="F2899" s="266"/>
      <c r="G2899" s="266"/>
      <c r="H2899" s="266"/>
      <c r="I2899" s="266"/>
      <c r="J2899" s="267"/>
    </row>
    <row r="2900">
      <c r="A2900" s="266">
        <v>200.0</v>
      </c>
      <c r="B2900" s="266"/>
      <c r="C2900" s="266">
        <v>10.0</v>
      </c>
      <c r="D2900" s="266" t="s">
        <v>514</v>
      </c>
      <c r="E2900" s="266"/>
      <c r="F2900" s="266"/>
      <c r="G2900" s="266" t="s">
        <v>6304</v>
      </c>
      <c r="H2900" s="266" t="s">
        <v>551</v>
      </c>
      <c r="I2900" s="266"/>
      <c r="J2900" s="266"/>
      <c r="K2900" s="1"/>
      <c r="L2900" s="1"/>
    </row>
    <row r="2901">
      <c r="A2901" s="266">
        <v>300.0</v>
      </c>
      <c r="B2901" s="266"/>
      <c r="C2901" s="266">
        <v>10.0</v>
      </c>
      <c r="D2901" s="266" t="s">
        <v>8312</v>
      </c>
      <c r="E2901" s="266"/>
      <c r="F2901" s="266"/>
      <c r="G2901" s="266"/>
      <c r="H2901" s="266"/>
      <c r="I2901" s="266"/>
      <c r="J2901" s="267"/>
    </row>
    <row r="2902">
      <c r="A2902" s="266">
        <v>400.0</v>
      </c>
      <c r="B2902" s="266"/>
      <c r="C2902" s="266">
        <v>15.0</v>
      </c>
      <c r="D2902" s="266" t="s">
        <v>8288</v>
      </c>
      <c r="E2902" s="266"/>
      <c r="F2902" s="266"/>
      <c r="G2902" s="266"/>
      <c r="H2902" s="266"/>
      <c r="I2902" s="266"/>
      <c r="J2902" s="267"/>
    </row>
    <row r="2903">
      <c r="A2903" s="266">
        <v>500.0</v>
      </c>
      <c r="B2903" s="266"/>
      <c r="C2903" s="266">
        <v>20.0</v>
      </c>
      <c r="D2903" s="266" t="s">
        <v>5140</v>
      </c>
      <c r="E2903" s="266"/>
      <c r="F2903" s="266"/>
      <c r="G2903" s="266" t="s">
        <v>6304</v>
      </c>
      <c r="H2903" s="266" t="s">
        <v>551</v>
      </c>
      <c r="I2903" s="266"/>
      <c r="J2903" s="266"/>
      <c r="K2903" s="1"/>
      <c r="L2903" s="1"/>
    </row>
    <row r="2904">
      <c r="A2904" s="266">
        <v>600.0</v>
      </c>
      <c r="B2904" s="266"/>
      <c r="C2904" s="266">
        <v>20.0</v>
      </c>
      <c r="D2904" s="266" t="s">
        <v>5141</v>
      </c>
      <c r="E2904" s="266"/>
      <c r="F2904" s="266"/>
      <c r="G2904" s="266" t="s">
        <v>6304</v>
      </c>
      <c r="H2904" s="266" t="s">
        <v>551</v>
      </c>
      <c r="I2904" s="266"/>
      <c r="J2904" s="266"/>
      <c r="K2904" s="1"/>
      <c r="L2904" s="1"/>
    </row>
    <row r="2905">
      <c r="A2905" s="266">
        <v>700.0</v>
      </c>
      <c r="B2905" s="266"/>
      <c r="C2905" s="266">
        <v>15.0</v>
      </c>
      <c r="D2905" s="266" t="s">
        <v>6498</v>
      </c>
      <c r="E2905" s="266"/>
      <c r="F2905" s="266"/>
      <c r="G2905" s="266" t="s">
        <v>6304</v>
      </c>
      <c r="H2905" s="266" t="s">
        <v>3806</v>
      </c>
      <c r="I2905" s="266"/>
      <c r="J2905" s="266"/>
      <c r="K2905" s="1"/>
      <c r="L2905" s="1"/>
    </row>
    <row r="2906">
      <c r="A2906" s="266">
        <v>800.0</v>
      </c>
      <c r="B2906" s="266"/>
      <c r="C2906" s="266">
        <v>15.0</v>
      </c>
      <c r="D2906" s="266" t="s">
        <v>8313</v>
      </c>
      <c r="E2906" s="266"/>
      <c r="F2906" s="266"/>
      <c r="G2906" s="266" t="s">
        <v>6304</v>
      </c>
      <c r="H2906" s="266" t="s">
        <v>3806</v>
      </c>
      <c r="I2906" s="266"/>
      <c r="J2906" s="266"/>
      <c r="K2906" s="1"/>
      <c r="L2906" s="1"/>
    </row>
    <row r="2907">
      <c r="A2907" s="266">
        <v>900.0</v>
      </c>
      <c r="B2907" s="266"/>
      <c r="C2907" s="266">
        <v>5.0</v>
      </c>
      <c r="D2907" s="266" t="s">
        <v>8314</v>
      </c>
      <c r="E2907" s="266"/>
      <c r="F2907" s="266"/>
      <c r="G2907" s="266" t="s">
        <v>6304</v>
      </c>
      <c r="H2907" s="266" t="s">
        <v>6348</v>
      </c>
      <c r="I2907" s="266"/>
      <c r="J2907" s="266"/>
      <c r="K2907" s="1"/>
      <c r="L2907" s="1"/>
    </row>
    <row r="2908">
      <c r="A2908" s="266">
        <v>1000.0</v>
      </c>
      <c r="B2908" s="266"/>
      <c r="C2908" s="266">
        <v>5.0</v>
      </c>
      <c r="D2908" s="266" t="s">
        <v>5184</v>
      </c>
      <c r="E2908" s="266" t="s">
        <v>6479</v>
      </c>
      <c r="F2908" s="266">
        <v>14.0</v>
      </c>
      <c r="G2908" s="266" t="s">
        <v>6304</v>
      </c>
      <c r="H2908" s="266" t="s">
        <v>5170</v>
      </c>
      <c r="I2908" s="266" t="s">
        <v>6305</v>
      </c>
      <c r="J2908" s="267"/>
    </row>
    <row r="2909">
      <c r="A2909" s="266">
        <v>1100.0</v>
      </c>
      <c r="B2909" s="266"/>
      <c r="C2909" s="266">
        <v>5.0</v>
      </c>
      <c r="D2909" s="266" t="s">
        <v>8315</v>
      </c>
      <c r="E2909" s="266" t="s">
        <v>6479</v>
      </c>
      <c r="F2909" s="266">
        <v>14.0</v>
      </c>
      <c r="G2909" s="266" t="s">
        <v>6304</v>
      </c>
      <c r="H2909" s="266" t="s">
        <v>5170</v>
      </c>
      <c r="I2909" s="266" t="s">
        <v>6305</v>
      </c>
      <c r="J2909" s="267"/>
    </row>
    <row r="2910">
      <c r="A2910" s="266">
        <v>1200.0</v>
      </c>
      <c r="B2910" s="266"/>
      <c r="C2910" s="266">
        <v>5.0</v>
      </c>
      <c r="D2910" s="266" t="s">
        <v>8316</v>
      </c>
      <c r="E2910" s="266"/>
      <c r="F2910" s="266"/>
      <c r="G2910" s="266" t="s">
        <v>6304</v>
      </c>
      <c r="H2910" s="266" t="s">
        <v>5168</v>
      </c>
      <c r="I2910" s="266"/>
      <c r="J2910" s="266"/>
      <c r="K2910" s="1"/>
      <c r="L2910" s="1"/>
    </row>
    <row r="2911">
      <c r="A2911" s="266">
        <v>1300.0</v>
      </c>
      <c r="B2911" s="266"/>
      <c r="C2911" s="266">
        <v>5.0</v>
      </c>
      <c r="D2911" s="266" t="s">
        <v>6451</v>
      </c>
      <c r="E2911" s="266"/>
      <c r="F2911" s="266"/>
      <c r="G2911" s="266" t="s">
        <v>6304</v>
      </c>
      <c r="H2911" s="266" t="s">
        <v>555</v>
      </c>
      <c r="I2911" s="266"/>
      <c r="J2911" s="266"/>
      <c r="K2911" s="1"/>
      <c r="L2911" s="1"/>
    </row>
    <row r="2912">
      <c r="A2912" s="266">
        <v>1400.0</v>
      </c>
      <c r="B2912" s="266"/>
      <c r="C2912" s="266">
        <v>5.0</v>
      </c>
      <c r="D2912" s="266" t="s">
        <v>6306</v>
      </c>
      <c r="E2912" s="266"/>
      <c r="F2912" s="266"/>
      <c r="G2912" s="266" t="s">
        <v>6304</v>
      </c>
      <c r="H2912" s="266" t="s">
        <v>8154</v>
      </c>
      <c r="I2912" s="266"/>
      <c r="J2912" s="266"/>
      <c r="K2912" s="1"/>
      <c r="L2912" s="1"/>
    </row>
    <row r="2913">
      <c r="A2913" s="266">
        <v>50.0</v>
      </c>
      <c r="B2913" s="266">
        <v>1.0</v>
      </c>
      <c r="C2913" s="266"/>
      <c r="D2913" s="266" t="s">
        <v>8317</v>
      </c>
      <c r="E2913" s="266"/>
      <c r="F2913" s="266"/>
      <c r="G2913" s="266"/>
      <c r="H2913" s="266"/>
      <c r="I2913" s="266"/>
      <c r="J2913" s="267"/>
    </row>
    <row r="2914">
      <c r="A2914" s="266">
        <v>100.0</v>
      </c>
      <c r="B2914" s="266"/>
      <c r="C2914" s="266">
        <v>5.0</v>
      </c>
      <c r="D2914" s="266" t="s">
        <v>8318</v>
      </c>
      <c r="E2914" s="266"/>
      <c r="F2914" s="266"/>
      <c r="G2914" s="266" t="s">
        <v>6304</v>
      </c>
      <c r="H2914" s="266" t="s">
        <v>555</v>
      </c>
      <c r="I2914" s="266"/>
      <c r="J2914" s="266"/>
      <c r="K2914" s="1"/>
      <c r="L2914" s="1"/>
    </row>
    <row r="2915">
      <c r="A2915" s="266">
        <v>200.0</v>
      </c>
      <c r="B2915" s="266"/>
      <c r="C2915" s="266">
        <v>5.0</v>
      </c>
      <c r="D2915" s="266" t="s">
        <v>8319</v>
      </c>
      <c r="E2915" s="266" t="s">
        <v>6479</v>
      </c>
      <c r="F2915" s="266">
        <v>12.0</v>
      </c>
      <c r="G2915" s="266" t="s">
        <v>6304</v>
      </c>
      <c r="H2915" s="266" t="s">
        <v>7625</v>
      </c>
      <c r="I2915" s="266" t="s">
        <v>6305</v>
      </c>
      <c r="J2915" s="267"/>
    </row>
    <row r="2916">
      <c r="A2916" s="266">
        <v>300.0</v>
      </c>
      <c r="B2916" s="266"/>
      <c r="C2916" s="266">
        <v>5.0</v>
      </c>
      <c r="D2916" s="266" t="s">
        <v>8320</v>
      </c>
      <c r="E2916" s="266" t="s">
        <v>6479</v>
      </c>
      <c r="F2916" s="266">
        <v>12.0</v>
      </c>
      <c r="G2916" s="266" t="s">
        <v>6304</v>
      </c>
      <c r="H2916" s="266" t="s">
        <v>7625</v>
      </c>
      <c r="I2916" s="266" t="s">
        <v>6305</v>
      </c>
      <c r="J2916" s="267"/>
    </row>
    <row r="2917">
      <c r="A2917" s="266">
        <v>400.0</v>
      </c>
      <c r="B2917" s="266"/>
      <c r="C2917" s="266">
        <v>5.0</v>
      </c>
      <c r="D2917" s="266" t="s">
        <v>8321</v>
      </c>
      <c r="E2917" s="266" t="s">
        <v>6479</v>
      </c>
      <c r="F2917" s="266">
        <v>12.0</v>
      </c>
      <c r="G2917" s="266" t="s">
        <v>6304</v>
      </c>
      <c r="H2917" s="266" t="s">
        <v>7625</v>
      </c>
      <c r="I2917" s="266" t="s">
        <v>6305</v>
      </c>
      <c r="J2917" s="267"/>
    </row>
    <row r="2918">
      <c r="A2918" s="266">
        <v>500.0</v>
      </c>
      <c r="B2918" s="266"/>
      <c r="C2918" s="266">
        <v>5.0</v>
      </c>
      <c r="D2918" s="266" t="s">
        <v>8322</v>
      </c>
      <c r="E2918" s="266" t="s">
        <v>6479</v>
      </c>
      <c r="F2918" s="266">
        <v>12.0</v>
      </c>
      <c r="G2918" s="266" t="s">
        <v>6304</v>
      </c>
      <c r="H2918" s="266" t="s">
        <v>7625</v>
      </c>
      <c r="I2918" s="266" t="s">
        <v>6305</v>
      </c>
      <c r="J2918" s="267"/>
    </row>
    <row r="2919">
      <c r="A2919" s="266">
        <v>600.0</v>
      </c>
      <c r="B2919" s="266"/>
      <c r="C2919" s="266">
        <v>5.0</v>
      </c>
      <c r="D2919" s="266" t="s">
        <v>8323</v>
      </c>
      <c r="E2919" s="266" t="s">
        <v>6479</v>
      </c>
      <c r="F2919" s="266">
        <v>12.0</v>
      </c>
      <c r="G2919" s="266" t="s">
        <v>6304</v>
      </c>
      <c r="H2919" s="266" t="s">
        <v>7625</v>
      </c>
      <c r="I2919" s="266" t="s">
        <v>6305</v>
      </c>
      <c r="J2919" s="267"/>
    </row>
    <row r="2920">
      <c r="A2920" s="266">
        <v>700.0</v>
      </c>
      <c r="B2920" s="266"/>
      <c r="C2920" s="266">
        <v>5.0</v>
      </c>
      <c r="D2920" s="266" t="s">
        <v>8324</v>
      </c>
      <c r="E2920" s="266" t="s">
        <v>6479</v>
      </c>
      <c r="F2920" s="266">
        <v>12.0</v>
      </c>
      <c r="G2920" s="266" t="s">
        <v>6304</v>
      </c>
      <c r="H2920" s="266" t="s">
        <v>7625</v>
      </c>
      <c r="I2920" s="266" t="s">
        <v>6305</v>
      </c>
      <c r="J2920" s="267"/>
    </row>
    <row r="2921">
      <c r="A2921" s="266">
        <v>800.0</v>
      </c>
      <c r="B2921" s="266"/>
      <c r="C2921" s="266">
        <v>5.0</v>
      </c>
      <c r="D2921" s="266" t="s">
        <v>8325</v>
      </c>
      <c r="E2921" s="266" t="s">
        <v>6479</v>
      </c>
      <c r="F2921" s="266">
        <v>12.0</v>
      </c>
      <c r="G2921" s="266" t="s">
        <v>6304</v>
      </c>
      <c r="H2921" s="266" t="s">
        <v>7625</v>
      </c>
      <c r="I2921" s="266" t="s">
        <v>6305</v>
      </c>
      <c r="J2921" s="267"/>
    </row>
    <row r="2922">
      <c r="A2922" s="266">
        <v>900.0</v>
      </c>
      <c r="B2922" s="266"/>
      <c r="C2922" s="266">
        <v>5.0</v>
      </c>
      <c r="D2922" s="266" t="s">
        <v>8261</v>
      </c>
      <c r="E2922" s="266"/>
      <c r="F2922" s="266"/>
      <c r="G2922" s="266" t="s">
        <v>6304</v>
      </c>
      <c r="H2922" s="266" t="s">
        <v>555</v>
      </c>
      <c r="I2922" s="266"/>
      <c r="J2922" s="266"/>
      <c r="K2922" s="1"/>
      <c r="L2922" s="1"/>
    </row>
    <row r="2923">
      <c r="A2923" s="266">
        <v>1000.0</v>
      </c>
      <c r="B2923" s="266"/>
      <c r="C2923" s="266">
        <v>5.0</v>
      </c>
      <c r="D2923" s="266" t="s">
        <v>6306</v>
      </c>
      <c r="E2923" s="266"/>
      <c r="F2923" s="266"/>
      <c r="G2923" s="266" t="s">
        <v>6304</v>
      </c>
      <c r="H2923" s="266" t="s">
        <v>6348</v>
      </c>
      <c r="I2923" s="266"/>
      <c r="J2923" s="266"/>
      <c r="K2923" s="1"/>
      <c r="L2923" s="1"/>
    </row>
    <row r="2924">
      <c r="A2924" s="266">
        <v>50.0</v>
      </c>
      <c r="B2924" s="266">
        <v>1.0</v>
      </c>
      <c r="C2924" s="266"/>
      <c r="D2924" s="266" t="s">
        <v>8326</v>
      </c>
      <c r="E2924" s="266"/>
      <c r="F2924" s="266"/>
      <c r="G2924" s="266"/>
      <c r="H2924" s="266"/>
      <c r="I2924" s="266"/>
      <c r="J2924" s="267"/>
    </row>
    <row r="2925">
      <c r="A2925" s="266">
        <v>100.0</v>
      </c>
      <c r="B2925" s="266"/>
      <c r="C2925" s="266">
        <v>5.0</v>
      </c>
      <c r="D2925" s="266" t="s">
        <v>8327</v>
      </c>
      <c r="E2925" s="266"/>
      <c r="F2925" s="266"/>
      <c r="G2925" s="266"/>
      <c r="H2925" s="266"/>
      <c r="I2925" s="266"/>
      <c r="J2925" s="267"/>
    </row>
    <row r="2926">
      <c r="A2926" s="266">
        <v>200.0</v>
      </c>
      <c r="B2926" s="266"/>
      <c r="C2926" s="266">
        <v>10.0</v>
      </c>
      <c r="D2926" s="266" t="s">
        <v>7808</v>
      </c>
      <c r="E2926" s="266"/>
      <c r="F2926" s="266"/>
      <c r="G2926" s="266" t="s">
        <v>6304</v>
      </c>
      <c r="H2926" s="266" t="s">
        <v>551</v>
      </c>
      <c r="I2926" s="266"/>
      <c r="J2926" s="266"/>
      <c r="K2926" s="1"/>
      <c r="L2926" s="1"/>
    </row>
    <row r="2927">
      <c r="A2927" s="266">
        <v>300.0</v>
      </c>
      <c r="B2927" s="266"/>
      <c r="C2927" s="266">
        <v>10.0</v>
      </c>
      <c r="D2927" s="266" t="s">
        <v>8328</v>
      </c>
      <c r="E2927" s="266"/>
      <c r="F2927" s="266"/>
      <c r="G2927" s="266" t="s">
        <v>6304</v>
      </c>
      <c r="H2927" s="266" t="s">
        <v>3807</v>
      </c>
      <c r="I2927" s="266"/>
      <c r="J2927" s="266"/>
      <c r="K2927" s="1"/>
      <c r="L2927" s="1"/>
    </row>
    <row r="2928">
      <c r="A2928" s="266">
        <v>400.0</v>
      </c>
      <c r="B2928" s="266"/>
      <c r="C2928" s="266">
        <v>10.0</v>
      </c>
      <c r="D2928" s="266" t="s">
        <v>8329</v>
      </c>
      <c r="E2928" s="266" t="s">
        <v>6603</v>
      </c>
      <c r="F2928" s="266" t="s">
        <v>8328</v>
      </c>
      <c r="G2928" s="266" t="s">
        <v>6304</v>
      </c>
      <c r="H2928" s="266" t="s">
        <v>3807</v>
      </c>
      <c r="I2928" s="266"/>
      <c r="J2928" s="267"/>
    </row>
    <row r="2929">
      <c r="A2929" s="266">
        <v>500.0</v>
      </c>
      <c r="B2929" s="266"/>
      <c r="C2929" s="266">
        <v>10.0</v>
      </c>
      <c r="D2929" s="266" t="s">
        <v>8330</v>
      </c>
      <c r="E2929" s="266"/>
      <c r="F2929" s="266"/>
      <c r="G2929" s="266" t="s">
        <v>6304</v>
      </c>
      <c r="H2929" s="266">
        <v>99.0</v>
      </c>
      <c r="I2929" s="266"/>
      <c r="J2929" s="266"/>
      <c r="K2929" s="1"/>
      <c r="L2929" s="1"/>
    </row>
    <row r="2930">
      <c r="A2930" s="266">
        <v>600.0</v>
      </c>
      <c r="B2930" s="266"/>
      <c r="C2930" s="266">
        <v>10.0</v>
      </c>
      <c r="D2930" s="266" t="s">
        <v>8331</v>
      </c>
      <c r="E2930" s="266"/>
      <c r="F2930" s="266"/>
      <c r="G2930" s="266" t="s">
        <v>6304</v>
      </c>
      <c r="H2930" s="266">
        <v>99.0</v>
      </c>
      <c r="I2930" s="266"/>
      <c r="J2930" s="266"/>
      <c r="K2930" s="1"/>
      <c r="L2930" s="1"/>
    </row>
    <row r="2931">
      <c r="A2931" s="266">
        <v>700.0</v>
      </c>
      <c r="B2931" s="266"/>
      <c r="C2931" s="266">
        <v>5.0</v>
      </c>
      <c r="D2931" s="266" t="s">
        <v>8332</v>
      </c>
      <c r="E2931" s="266"/>
      <c r="F2931" s="266"/>
      <c r="G2931" s="266"/>
      <c r="H2931" s="266"/>
      <c r="I2931" s="266"/>
      <c r="J2931" s="267"/>
    </row>
    <row r="2932">
      <c r="A2932" s="266">
        <v>800.0</v>
      </c>
      <c r="B2932" s="266"/>
      <c r="C2932" s="266">
        <v>10.0</v>
      </c>
      <c r="D2932" s="266" t="s">
        <v>8333</v>
      </c>
      <c r="E2932" s="266"/>
      <c r="F2932" s="266"/>
      <c r="G2932" s="266" t="s">
        <v>6304</v>
      </c>
      <c r="H2932" s="266" t="s">
        <v>4104</v>
      </c>
      <c r="I2932" s="266" t="s">
        <v>6305</v>
      </c>
      <c r="J2932" s="266"/>
      <c r="K2932" s="1"/>
      <c r="L2932" s="1"/>
    </row>
    <row r="2933">
      <c r="A2933" s="266">
        <v>900.0</v>
      </c>
      <c r="B2933" s="266"/>
      <c r="C2933" s="266">
        <v>10.0</v>
      </c>
      <c r="D2933" s="266" t="s">
        <v>8334</v>
      </c>
      <c r="E2933" s="266"/>
      <c r="F2933" s="266"/>
      <c r="G2933" s="266" t="s">
        <v>6304</v>
      </c>
      <c r="H2933" s="266" t="s">
        <v>4104</v>
      </c>
      <c r="I2933" s="266" t="s">
        <v>6305</v>
      </c>
      <c r="J2933" s="266"/>
      <c r="K2933" s="1"/>
      <c r="L2933" s="1"/>
    </row>
    <row r="2934">
      <c r="A2934" s="266">
        <v>1000.0</v>
      </c>
      <c r="B2934" s="266"/>
      <c r="C2934" s="266">
        <v>10.0</v>
      </c>
      <c r="D2934" s="266" t="s">
        <v>8335</v>
      </c>
      <c r="E2934" s="266"/>
      <c r="F2934" s="266"/>
      <c r="G2934" s="266" t="s">
        <v>6304</v>
      </c>
      <c r="H2934" s="266" t="s">
        <v>4104</v>
      </c>
      <c r="I2934" s="266" t="s">
        <v>6305</v>
      </c>
      <c r="J2934" s="266"/>
      <c r="K2934" s="1"/>
      <c r="L2934" s="1"/>
    </row>
    <row r="2935">
      <c r="A2935" s="266">
        <v>1100.0</v>
      </c>
      <c r="B2935" s="266"/>
      <c r="C2935" s="266">
        <v>5.0</v>
      </c>
      <c r="D2935" s="266" t="s">
        <v>8336</v>
      </c>
      <c r="E2935" s="266"/>
      <c r="F2935" s="266"/>
      <c r="G2935" s="266"/>
      <c r="H2935" s="266"/>
      <c r="I2935" s="266"/>
      <c r="J2935" s="267"/>
    </row>
    <row r="2936">
      <c r="A2936" s="266">
        <v>1200.0</v>
      </c>
      <c r="B2936" s="266"/>
      <c r="C2936" s="266">
        <v>10.0</v>
      </c>
      <c r="D2936" s="266" t="s">
        <v>8337</v>
      </c>
      <c r="E2936" s="266"/>
      <c r="F2936" s="266"/>
      <c r="G2936" s="266" t="s">
        <v>6304</v>
      </c>
      <c r="H2936" s="266" t="s">
        <v>4104</v>
      </c>
      <c r="I2936" s="266" t="s">
        <v>6305</v>
      </c>
      <c r="J2936" s="266"/>
      <c r="K2936" s="1"/>
      <c r="L2936" s="1"/>
    </row>
    <row r="2937">
      <c r="A2937" s="266">
        <v>1300.0</v>
      </c>
      <c r="B2937" s="266"/>
      <c r="C2937" s="266">
        <v>10.0</v>
      </c>
      <c r="D2937" s="266" t="s">
        <v>8338</v>
      </c>
      <c r="E2937" s="266"/>
      <c r="F2937" s="266"/>
      <c r="G2937" s="266" t="s">
        <v>6304</v>
      </c>
      <c r="H2937" s="266" t="s">
        <v>4104</v>
      </c>
      <c r="I2937" s="266" t="s">
        <v>6305</v>
      </c>
      <c r="J2937" s="266"/>
      <c r="K2937" s="1"/>
      <c r="L2937" s="1"/>
    </row>
    <row r="2938">
      <c r="A2938" s="266">
        <v>1400.0</v>
      </c>
      <c r="B2938" s="266"/>
      <c r="C2938" s="266">
        <v>10.0</v>
      </c>
      <c r="D2938" s="266" t="s">
        <v>8339</v>
      </c>
      <c r="E2938" s="266"/>
      <c r="F2938" s="266"/>
      <c r="G2938" s="266" t="s">
        <v>6304</v>
      </c>
      <c r="H2938" s="266" t="s">
        <v>4104</v>
      </c>
      <c r="I2938" s="266" t="s">
        <v>6305</v>
      </c>
      <c r="J2938" s="266"/>
      <c r="K2938" s="1"/>
      <c r="L2938" s="1"/>
    </row>
    <row r="2939">
      <c r="A2939" s="266">
        <v>1500.0</v>
      </c>
      <c r="B2939" s="266"/>
      <c r="C2939" s="266">
        <v>5.0</v>
      </c>
      <c r="D2939" s="266" t="s">
        <v>8340</v>
      </c>
      <c r="E2939" s="266"/>
      <c r="F2939" s="266"/>
      <c r="G2939" s="266"/>
      <c r="H2939" s="266"/>
      <c r="I2939" s="266"/>
      <c r="J2939" s="267"/>
    </row>
    <row r="2940">
      <c r="A2940" s="266">
        <v>1600.0</v>
      </c>
      <c r="B2940" s="266"/>
      <c r="C2940" s="266">
        <v>10.0</v>
      </c>
      <c r="D2940" s="266" t="s">
        <v>8341</v>
      </c>
      <c r="E2940" s="266"/>
      <c r="F2940" s="266"/>
      <c r="G2940" s="266" t="s">
        <v>6304</v>
      </c>
      <c r="H2940" s="266" t="s">
        <v>4104</v>
      </c>
      <c r="I2940" s="266" t="s">
        <v>6305</v>
      </c>
      <c r="J2940" s="266"/>
      <c r="K2940" s="1"/>
      <c r="L2940" s="1"/>
    </row>
    <row r="2941">
      <c r="A2941" s="266">
        <v>1700.0</v>
      </c>
      <c r="B2941" s="266"/>
      <c r="C2941" s="266">
        <v>10.0</v>
      </c>
      <c r="D2941" s="266" t="s">
        <v>8342</v>
      </c>
      <c r="E2941" s="266"/>
      <c r="F2941" s="266"/>
      <c r="G2941" s="266" t="s">
        <v>6304</v>
      </c>
      <c r="H2941" s="266" t="s">
        <v>4104</v>
      </c>
      <c r="I2941" s="266" t="s">
        <v>6305</v>
      </c>
      <c r="J2941" s="266"/>
      <c r="K2941" s="1"/>
      <c r="L2941" s="1"/>
    </row>
    <row r="2942">
      <c r="A2942" s="266">
        <v>1800.0</v>
      </c>
      <c r="B2942" s="266"/>
      <c r="C2942" s="266">
        <v>10.0</v>
      </c>
      <c r="D2942" s="266" t="s">
        <v>8343</v>
      </c>
      <c r="E2942" s="266"/>
      <c r="F2942" s="266"/>
      <c r="G2942" s="266" t="s">
        <v>6304</v>
      </c>
      <c r="H2942" s="266" t="s">
        <v>4104</v>
      </c>
      <c r="I2942" s="266" t="s">
        <v>6305</v>
      </c>
      <c r="J2942" s="266"/>
      <c r="K2942" s="1"/>
      <c r="L2942" s="1"/>
    </row>
    <row r="2943">
      <c r="A2943" s="266">
        <v>1900.0</v>
      </c>
      <c r="B2943" s="266"/>
      <c r="C2943" s="266">
        <v>5.0</v>
      </c>
      <c r="D2943" s="266" t="s">
        <v>8344</v>
      </c>
      <c r="E2943" s="266"/>
      <c r="F2943" s="266"/>
      <c r="G2943" s="266"/>
      <c r="H2943" s="266"/>
      <c r="I2943" s="266"/>
      <c r="J2943" s="267"/>
    </row>
    <row r="2944">
      <c r="A2944" s="266">
        <v>2000.0</v>
      </c>
      <c r="B2944" s="266"/>
      <c r="C2944" s="266">
        <v>10.0</v>
      </c>
      <c r="D2944" s="266" t="s">
        <v>8345</v>
      </c>
      <c r="E2944" s="266"/>
      <c r="F2944" s="266"/>
      <c r="G2944" s="266" t="s">
        <v>6304</v>
      </c>
      <c r="H2944" s="266" t="s">
        <v>4104</v>
      </c>
      <c r="I2944" s="266" t="s">
        <v>6305</v>
      </c>
      <c r="J2944" s="266"/>
      <c r="K2944" s="1"/>
      <c r="L2944" s="1"/>
    </row>
    <row r="2945">
      <c r="A2945" s="266">
        <v>2100.0</v>
      </c>
      <c r="B2945" s="266"/>
      <c r="C2945" s="266">
        <v>10.0</v>
      </c>
      <c r="D2945" s="266" t="s">
        <v>8346</v>
      </c>
      <c r="E2945" s="266"/>
      <c r="F2945" s="266"/>
      <c r="G2945" s="266" t="s">
        <v>6304</v>
      </c>
      <c r="H2945" s="266" t="s">
        <v>4104</v>
      </c>
      <c r="I2945" s="266" t="s">
        <v>6305</v>
      </c>
      <c r="J2945" s="266"/>
      <c r="K2945" s="1"/>
      <c r="L2945" s="1"/>
    </row>
    <row r="2946">
      <c r="A2946" s="266">
        <v>2200.0</v>
      </c>
      <c r="B2946" s="266"/>
      <c r="C2946" s="266">
        <v>10.0</v>
      </c>
      <c r="D2946" s="266" t="s">
        <v>8347</v>
      </c>
      <c r="E2946" s="266"/>
      <c r="F2946" s="266"/>
      <c r="G2946" s="266" t="s">
        <v>6304</v>
      </c>
      <c r="H2946" s="266" t="s">
        <v>4104</v>
      </c>
      <c r="I2946" s="266" t="s">
        <v>6305</v>
      </c>
      <c r="J2946" s="266"/>
      <c r="K2946" s="1"/>
      <c r="L2946" s="1"/>
    </row>
    <row r="2947">
      <c r="A2947" s="266">
        <v>2300.0</v>
      </c>
      <c r="B2947" s="266"/>
      <c r="C2947" s="266">
        <v>5.0</v>
      </c>
      <c r="D2947" s="266" t="s">
        <v>8348</v>
      </c>
      <c r="E2947" s="266"/>
      <c r="F2947" s="266"/>
      <c r="G2947" s="266"/>
      <c r="H2947" s="266"/>
      <c r="I2947" s="266"/>
      <c r="J2947" s="267"/>
    </row>
    <row r="2948">
      <c r="A2948" s="266">
        <v>2400.0</v>
      </c>
      <c r="B2948" s="266"/>
      <c r="C2948" s="266">
        <v>10.0</v>
      </c>
      <c r="D2948" s="266" t="s">
        <v>8349</v>
      </c>
      <c r="E2948" s="266"/>
      <c r="F2948" s="266"/>
      <c r="G2948" s="266" t="s">
        <v>6304</v>
      </c>
      <c r="H2948" s="266" t="s">
        <v>4104</v>
      </c>
      <c r="I2948" s="266" t="s">
        <v>6305</v>
      </c>
      <c r="J2948" s="266"/>
      <c r="K2948" s="1"/>
      <c r="L2948" s="1"/>
    </row>
    <row r="2949">
      <c r="A2949" s="266">
        <v>2500.0</v>
      </c>
      <c r="B2949" s="266"/>
      <c r="C2949" s="266">
        <v>10.0</v>
      </c>
      <c r="D2949" s="266" t="s">
        <v>8350</v>
      </c>
      <c r="E2949" s="266"/>
      <c r="F2949" s="266"/>
      <c r="G2949" s="266" t="s">
        <v>6304</v>
      </c>
      <c r="H2949" s="266" t="s">
        <v>4104</v>
      </c>
      <c r="I2949" s="266" t="s">
        <v>6305</v>
      </c>
      <c r="J2949" s="266"/>
      <c r="K2949" s="1"/>
      <c r="L2949" s="1"/>
    </row>
    <row r="2950">
      <c r="A2950" s="266">
        <v>2600.0</v>
      </c>
      <c r="B2950" s="266"/>
      <c r="C2950" s="266">
        <v>10.0</v>
      </c>
      <c r="D2950" s="266" t="s">
        <v>8351</v>
      </c>
      <c r="E2950" s="266"/>
      <c r="F2950" s="266"/>
      <c r="G2950" s="266" t="s">
        <v>6304</v>
      </c>
      <c r="H2950" s="266" t="s">
        <v>4104</v>
      </c>
      <c r="I2950" s="266" t="s">
        <v>6305</v>
      </c>
      <c r="J2950" s="266"/>
      <c r="K2950" s="1"/>
      <c r="L2950" s="1"/>
    </row>
    <row r="2951">
      <c r="A2951" s="266">
        <v>2700.0</v>
      </c>
      <c r="B2951" s="266"/>
      <c r="C2951" s="266">
        <v>5.0</v>
      </c>
      <c r="D2951" s="266" t="s">
        <v>6306</v>
      </c>
      <c r="E2951" s="266"/>
      <c r="F2951" s="266"/>
      <c r="G2951" s="266" t="s">
        <v>6304</v>
      </c>
      <c r="H2951" s="266" t="s">
        <v>8154</v>
      </c>
      <c r="I2951" s="266"/>
      <c r="J2951" s="266"/>
      <c r="K2951" s="1"/>
      <c r="L2951" s="1"/>
    </row>
    <row r="2952">
      <c r="A2952" s="266">
        <v>50.0</v>
      </c>
      <c r="B2952" s="266">
        <v>1.0</v>
      </c>
      <c r="C2952" s="266"/>
      <c r="D2952" s="266" t="s">
        <v>8352</v>
      </c>
      <c r="E2952" s="266"/>
      <c r="F2952" s="266"/>
      <c r="G2952" s="266"/>
      <c r="H2952" s="266"/>
      <c r="I2952" s="266"/>
      <c r="J2952" s="267"/>
    </row>
    <row r="2953">
      <c r="A2953" s="266">
        <v>100.0</v>
      </c>
      <c r="B2953" s="266"/>
      <c r="C2953" s="266">
        <v>5.0</v>
      </c>
      <c r="D2953" s="266" t="s">
        <v>8353</v>
      </c>
      <c r="E2953" s="266"/>
      <c r="F2953" s="266"/>
      <c r="G2953" s="266" t="s">
        <v>6304</v>
      </c>
      <c r="H2953" s="266" t="s">
        <v>608</v>
      </c>
      <c r="I2953" s="266"/>
      <c r="J2953" s="266"/>
      <c r="K2953" s="1"/>
      <c r="L2953" s="1"/>
    </row>
    <row r="2954">
      <c r="A2954" s="266">
        <v>200.0</v>
      </c>
      <c r="B2954" s="266"/>
      <c r="C2954" s="266">
        <v>5.0</v>
      </c>
      <c r="D2954" s="266" t="s">
        <v>8354</v>
      </c>
      <c r="E2954" s="266"/>
      <c r="F2954" s="266"/>
      <c r="G2954" s="266" t="s">
        <v>6304</v>
      </c>
      <c r="H2954" s="266" t="s">
        <v>557</v>
      </c>
      <c r="I2954" s="266"/>
      <c r="J2954" s="266"/>
      <c r="K2954" s="1"/>
      <c r="L2954" s="1"/>
    </row>
    <row r="2955">
      <c r="A2955" s="266">
        <v>300.0</v>
      </c>
      <c r="B2955" s="266"/>
      <c r="C2955" s="266">
        <v>5.0</v>
      </c>
      <c r="D2955" s="266" t="s">
        <v>6306</v>
      </c>
      <c r="E2955" s="266"/>
      <c r="F2955" s="266"/>
      <c r="G2955" s="266" t="s">
        <v>6304</v>
      </c>
      <c r="H2955" s="266" t="s">
        <v>6534</v>
      </c>
      <c r="I2955" s="266"/>
      <c r="J2955" s="266"/>
      <c r="K2955" s="1"/>
      <c r="L2955" s="1"/>
    </row>
    <row r="2956">
      <c r="A2956" s="266">
        <v>50.0</v>
      </c>
      <c r="B2956" s="266">
        <v>1.0</v>
      </c>
      <c r="C2956" s="266"/>
      <c r="D2956" s="266" t="s">
        <v>8355</v>
      </c>
      <c r="E2956" s="266"/>
      <c r="F2956" s="266"/>
      <c r="G2956" s="266"/>
      <c r="H2956" s="266"/>
      <c r="I2956" s="266"/>
      <c r="J2956" s="267"/>
    </row>
    <row r="2957">
      <c r="A2957" s="266">
        <v>100.0</v>
      </c>
      <c r="B2957" s="266"/>
      <c r="C2957" s="266">
        <v>5.0</v>
      </c>
      <c r="D2957" s="266" t="s">
        <v>8356</v>
      </c>
      <c r="E2957" s="266"/>
      <c r="F2957" s="266"/>
      <c r="G2957" s="266"/>
      <c r="H2957" s="266"/>
      <c r="I2957" s="266"/>
      <c r="J2957" s="267"/>
    </row>
    <row r="2958">
      <c r="A2958" s="266">
        <v>200.0</v>
      </c>
      <c r="B2958" s="266"/>
      <c r="C2958" s="266">
        <v>10.0</v>
      </c>
      <c r="D2958" s="266" t="s">
        <v>8241</v>
      </c>
      <c r="E2958" s="266"/>
      <c r="F2958" s="266"/>
      <c r="G2958" s="266" t="s">
        <v>6304</v>
      </c>
      <c r="H2958" s="266" t="s">
        <v>17</v>
      </c>
      <c r="I2958" s="266"/>
      <c r="J2958" s="266"/>
      <c r="K2958" s="1"/>
      <c r="L2958" s="1"/>
    </row>
    <row r="2959">
      <c r="A2959" s="266">
        <v>300.0</v>
      </c>
      <c r="B2959" s="266"/>
      <c r="C2959" s="266">
        <v>88.0</v>
      </c>
      <c r="D2959" s="266" t="s">
        <v>8242</v>
      </c>
      <c r="E2959" s="266" t="s">
        <v>6621</v>
      </c>
      <c r="F2959" s="269" t="s">
        <v>6622</v>
      </c>
      <c r="G2959" s="266"/>
      <c r="H2959" s="266"/>
      <c r="I2959" s="266"/>
      <c r="J2959" s="267"/>
    </row>
    <row r="2960">
      <c r="A2960" s="266">
        <v>400.0</v>
      </c>
      <c r="B2960" s="266"/>
      <c r="C2960" s="266">
        <v>88.0</v>
      </c>
      <c r="D2960" s="266" t="s">
        <v>8243</v>
      </c>
      <c r="E2960" s="266" t="s">
        <v>6621</v>
      </c>
      <c r="F2960" s="269" t="s">
        <v>6624</v>
      </c>
      <c r="G2960" s="266"/>
      <c r="H2960" s="266"/>
      <c r="I2960" s="266"/>
      <c r="J2960" s="267"/>
    </row>
    <row r="2961">
      <c r="A2961" s="266">
        <v>500.0</v>
      </c>
      <c r="B2961" s="266"/>
      <c r="C2961" s="266">
        <v>88.0</v>
      </c>
      <c r="D2961" s="266" t="s">
        <v>8244</v>
      </c>
      <c r="E2961" s="266" t="s">
        <v>6621</v>
      </c>
      <c r="F2961" s="269" t="s">
        <v>6626</v>
      </c>
      <c r="G2961" s="266"/>
      <c r="H2961" s="266"/>
      <c r="I2961" s="266"/>
      <c r="J2961" s="267"/>
    </row>
    <row r="2962">
      <c r="A2962" s="266">
        <v>600.0</v>
      </c>
      <c r="B2962" s="266"/>
      <c r="C2962" s="266">
        <v>88.0</v>
      </c>
      <c r="D2962" s="266" t="s">
        <v>8245</v>
      </c>
      <c r="E2962" s="266" t="s">
        <v>6621</v>
      </c>
      <c r="F2962" s="269" t="s">
        <v>8246</v>
      </c>
      <c r="G2962" s="266"/>
      <c r="H2962" s="266"/>
      <c r="I2962" s="266"/>
      <c r="J2962" s="267"/>
    </row>
    <row r="2963">
      <c r="A2963" s="266">
        <v>700.0</v>
      </c>
      <c r="B2963" s="266"/>
      <c r="C2963" s="266">
        <v>88.0</v>
      </c>
      <c r="D2963" s="266" t="s">
        <v>8247</v>
      </c>
      <c r="E2963" s="266" t="s">
        <v>6621</v>
      </c>
      <c r="F2963" s="269" t="s">
        <v>8248</v>
      </c>
      <c r="G2963" s="266"/>
      <c r="H2963" s="266"/>
      <c r="I2963" s="266"/>
      <c r="J2963" s="267"/>
    </row>
    <row r="2964">
      <c r="A2964" s="266">
        <v>800.0</v>
      </c>
      <c r="B2964" s="266"/>
      <c r="C2964" s="266">
        <v>10.0</v>
      </c>
      <c r="D2964" s="266" t="s">
        <v>7808</v>
      </c>
      <c r="E2964" s="266"/>
      <c r="F2964" s="266"/>
      <c r="G2964" s="266" t="s">
        <v>6304</v>
      </c>
      <c r="H2964" s="266" t="s">
        <v>551</v>
      </c>
      <c r="I2964" s="266"/>
      <c r="J2964" s="266"/>
      <c r="K2964" s="1"/>
      <c r="L2964" s="1"/>
    </row>
    <row r="2965">
      <c r="A2965" s="266">
        <v>900.0</v>
      </c>
      <c r="B2965" s="266"/>
      <c r="C2965" s="266">
        <v>10.0</v>
      </c>
      <c r="D2965" s="266" t="s">
        <v>8357</v>
      </c>
      <c r="E2965" s="266"/>
      <c r="F2965" s="266"/>
      <c r="G2965" s="266" t="s">
        <v>6304</v>
      </c>
      <c r="H2965" s="266" t="s">
        <v>551</v>
      </c>
      <c r="I2965" s="266"/>
      <c r="J2965" s="266"/>
      <c r="K2965" s="1"/>
      <c r="L2965" s="1"/>
    </row>
    <row r="2966">
      <c r="A2966" s="266">
        <v>1000.0</v>
      </c>
      <c r="B2966" s="266"/>
      <c r="C2966" s="266">
        <v>10.0</v>
      </c>
      <c r="D2966" s="266" t="s">
        <v>8358</v>
      </c>
      <c r="E2966" s="266"/>
      <c r="F2966" s="266"/>
      <c r="G2966" s="266" t="s">
        <v>6304</v>
      </c>
      <c r="H2966" s="266" t="s">
        <v>551</v>
      </c>
      <c r="I2966" s="266"/>
      <c r="J2966" s="266"/>
      <c r="K2966" s="1"/>
      <c r="L2966" s="1"/>
    </row>
    <row r="2967">
      <c r="A2967" s="266">
        <v>1100.0</v>
      </c>
      <c r="B2967" s="266"/>
      <c r="C2967" s="266">
        <v>5.0</v>
      </c>
      <c r="D2967" s="266" t="s">
        <v>7061</v>
      </c>
      <c r="E2967" s="266"/>
      <c r="F2967" s="266"/>
      <c r="G2967" s="266" t="s">
        <v>6304</v>
      </c>
      <c r="H2967" s="266" t="s">
        <v>551</v>
      </c>
      <c r="I2967" s="266"/>
      <c r="J2967" s="266"/>
      <c r="K2967" s="1"/>
      <c r="L2967" s="1"/>
    </row>
    <row r="2968">
      <c r="A2968" s="266">
        <v>1200.0</v>
      </c>
      <c r="B2968" s="266"/>
      <c r="C2968" s="266">
        <v>5.0</v>
      </c>
      <c r="D2968" s="266" t="s">
        <v>6598</v>
      </c>
      <c r="E2968" s="266"/>
      <c r="F2968" s="266"/>
      <c r="G2968" s="266" t="s">
        <v>6304</v>
      </c>
      <c r="H2968" s="266" t="s">
        <v>5168</v>
      </c>
      <c r="I2968" s="266"/>
      <c r="J2968" s="266"/>
      <c r="K2968" s="1"/>
      <c r="L2968" s="1"/>
    </row>
    <row r="2969">
      <c r="A2969" s="266">
        <v>1300.0</v>
      </c>
      <c r="B2969" s="266"/>
      <c r="C2969" s="266">
        <v>5.0</v>
      </c>
      <c r="D2969" s="266" t="s">
        <v>8051</v>
      </c>
      <c r="E2969" s="266"/>
      <c r="F2969" s="266"/>
      <c r="G2969" s="266" t="s">
        <v>6304</v>
      </c>
      <c r="H2969" s="266" t="s">
        <v>6814</v>
      </c>
      <c r="I2969" s="266"/>
      <c r="J2969" s="266"/>
      <c r="K2969" s="1"/>
      <c r="L2969" s="1"/>
    </row>
    <row r="2970">
      <c r="A2970" s="266">
        <v>1400.0</v>
      </c>
      <c r="B2970" s="266"/>
      <c r="C2970" s="266">
        <v>5.0</v>
      </c>
      <c r="D2970" s="266" t="s">
        <v>8359</v>
      </c>
      <c r="E2970" s="266"/>
      <c r="F2970" s="266"/>
      <c r="G2970" s="266"/>
      <c r="H2970" s="266"/>
      <c r="I2970" s="266"/>
      <c r="J2970" s="267"/>
    </row>
    <row r="2971">
      <c r="A2971" s="266">
        <v>1500.0</v>
      </c>
      <c r="B2971" s="266"/>
      <c r="C2971" s="266">
        <v>10.0</v>
      </c>
      <c r="D2971" s="266" t="s">
        <v>8360</v>
      </c>
      <c r="E2971" s="266" t="s">
        <v>6479</v>
      </c>
      <c r="F2971" s="266">
        <v>2.0</v>
      </c>
      <c r="G2971" s="266" t="s">
        <v>6304</v>
      </c>
      <c r="H2971" s="266" t="s">
        <v>5168</v>
      </c>
      <c r="I2971" s="266"/>
      <c r="J2971" s="267"/>
    </row>
    <row r="2972">
      <c r="A2972" s="266">
        <v>1600.0</v>
      </c>
      <c r="B2972" s="266"/>
      <c r="C2972" s="266">
        <v>10.0</v>
      </c>
      <c r="D2972" s="266" t="s">
        <v>8361</v>
      </c>
      <c r="E2972" s="266"/>
      <c r="F2972" s="266"/>
      <c r="G2972" s="266" t="s">
        <v>6304</v>
      </c>
      <c r="H2972" s="266" t="s">
        <v>6499</v>
      </c>
      <c r="I2972" s="266"/>
      <c r="J2972" s="266"/>
      <c r="K2972" s="1"/>
      <c r="L2972" s="1"/>
    </row>
    <row r="2973">
      <c r="A2973" s="266">
        <v>1700.0</v>
      </c>
      <c r="B2973" s="266"/>
      <c r="C2973" s="266">
        <v>10.0</v>
      </c>
      <c r="D2973" s="266" t="s">
        <v>6481</v>
      </c>
      <c r="E2973" s="266"/>
      <c r="F2973" s="266"/>
      <c r="G2973" s="266"/>
      <c r="H2973" s="266"/>
      <c r="I2973" s="266"/>
      <c r="J2973" s="267"/>
    </row>
    <row r="2974">
      <c r="A2974" s="266">
        <v>1800.0</v>
      </c>
      <c r="B2974" s="266"/>
      <c r="C2974" s="266">
        <v>15.0</v>
      </c>
      <c r="D2974" s="266" t="s">
        <v>6482</v>
      </c>
      <c r="E2974" s="266"/>
      <c r="F2974" s="266"/>
      <c r="G2974" s="266" t="s">
        <v>6304</v>
      </c>
      <c r="H2974" s="266" t="s">
        <v>6483</v>
      </c>
      <c r="I2974" s="266"/>
      <c r="J2974" s="266"/>
      <c r="K2974" s="1"/>
      <c r="L2974" s="1"/>
    </row>
    <row r="2975">
      <c r="A2975" s="266">
        <v>1900.0</v>
      </c>
      <c r="B2975" s="266"/>
      <c r="C2975" s="266">
        <v>15.0</v>
      </c>
      <c r="D2975" s="266" t="s">
        <v>6484</v>
      </c>
      <c r="E2975" s="266"/>
      <c r="F2975" s="266"/>
      <c r="G2975" s="266" t="s">
        <v>6304</v>
      </c>
      <c r="H2975" s="266" t="s">
        <v>6483</v>
      </c>
      <c r="I2975" s="266"/>
      <c r="J2975" s="266"/>
      <c r="K2975" s="1"/>
      <c r="L2975" s="1"/>
    </row>
    <row r="2976">
      <c r="A2976" s="266">
        <v>2000.0</v>
      </c>
      <c r="B2976" s="266"/>
      <c r="C2976" s="266">
        <v>10.0</v>
      </c>
      <c r="D2976" s="266" t="s">
        <v>6902</v>
      </c>
      <c r="E2976" s="266"/>
      <c r="F2976" s="266"/>
      <c r="G2976" s="266" t="s">
        <v>6304</v>
      </c>
      <c r="H2976" s="266" t="s">
        <v>4103</v>
      </c>
      <c r="I2976" s="266"/>
      <c r="J2976" s="266"/>
      <c r="K2976" s="1"/>
      <c r="L2976" s="1"/>
    </row>
    <row r="2977">
      <c r="A2977" s="266">
        <v>2100.0</v>
      </c>
      <c r="B2977" s="266"/>
      <c r="C2977" s="266">
        <v>5.0</v>
      </c>
      <c r="D2977" s="266" t="s">
        <v>8362</v>
      </c>
      <c r="E2977" s="266"/>
      <c r="F2977" s="266"/>
      <c r="G2977" s="266"/>
      <c r="H2977" s="266"/>
      <c r="I2977" s="266"/>
      <c r="J2977" s="267"/>
    </row>
    <row r="2978">
      <c r="A2978" s="266">
        <v>2200.0</v>
      </c>
      <c r="B2978" s="266"/>
      <c r="C2978" s="266">
        <v>10.0</v>
      </c>
      <c r="D2978" s="266" t="s">
        <v>8363</v>
      </c>
      <c r="E2978" s="266"/>
      <c r="F2978" s="266"/>
      <c r="G2978" s="266" t="s">
        <v>6304</v>
      </c>
      <c r="H2978" s="266" t="s">
        <v>6322</v>
      </c>
      <c r="I2978" s="266"/>
      <c r="J2978" s="266"/>
      <c r="K2978" s="1"/>
      <c r="L2978" s="1"/>
    </row>
    <row r="2979">
      <c r="A2979" s="266">
        <v>2300.0</v>
      </c>
      <c r="B2979" s="266"/>
      <c r="C2979" s="266">
        <v>10.0</v>
      </c>
      <c r="D2979" s="266" t="s">
        <v>8364</v>
      </c>
      <c r="E2979" s="266"/>
      <c r="F2979" s="266"/>
      <c r="G2979" s="266" t="s">
        <v>6304</v>
      </c>
      <c r="H2979" s="266" t="s">
        <v>608</v>
      </c>
      <c r="I2979" s="266"/>
      <c r="J2979" s="266"/>
      <c r="K2979" s="1"/>
      <c r="L2979" s="1"/>
    </row>
    <row r="2980">
      <c r="A2980" s="266">
        <v>2400.0</v>
      </c>
      <c r="B2980" s="266"/>
      <c r="C2980" s="266">
        <v>10.0</v>
      </c>
      <c r="D2980" s="266" t="s">
        <v>8365</v>
      </c>
      <c r="E2980" s="266"/>
      <c r="F2980" s="266"/>
      <c r="G2980" s="266" t="s">
        <v>6304</v>
      </c>
      <c r="H2980" s="266" t="s">
        <v>6322</v>
      </c>
      <c r="I2980" s="266"/>
      <c r="J2980" s="266"/>
      <c r="K2980" s="1"/>
      <c r="L2980" s="1"/>
    </row>
    <row r="2981">
      <c r="A2981" s="266">
        <v>2500.0</v>
      </c>
      <c r="B2981" s="266"/>
      <c r="C2981" s="266">
        <v>5.0</v>
      </c>
      <c r="D2981" s="266" t="s">
        <v>8366</v>
      </c>
      <c r="E2981" s="266"/>
      <c r="F2981" s="266"/>
      <c r="G2981" s="266" t="s">
        <v>6304</v>
      </c>
      <c r="H2981" s="266" t="s">
        <v>557</v>
      </c>
      <c r="I2981" s="266"/>
      <c r="J2981" s="266"/>
      <c r="K2981" s="1"/>
      <c r="L2981" s="1"/>
    </row>
    <row r="2982">
      <c r="A2982" s="266">
        <v>2600.0</v>
      </c>
      <c r="B2982" s="266"/>
      <c r="C2982" s="266">
        <v>5.0</v>
      </c>
      <c r="D2982" s="266" t="s">
        <v>8367</v>
      </c>
      <c r="E2982" s="266"/>
      <c r="F2982" s="266"/>
      <c r="G2982" s="266" t="s">
        <v>6304</v>
      </c>
      <c r="H2982" s="266" t="s">
        <v>557</v>
      </c>
      <c r="I2982" s="266"/>
      <c r="J2982" s="266"/>
      <c r="K2982" s="1"/>
      <c r="L2982" s="1"/>
    </row>
    <row r="2983">
      <c r="A2983" s="266">
        <v>2700.0</v>
      </c>
      <c r="B2983" s="266"/>
      <c r="C2983" s="266">
        <v>5.0</v>
      </c>
      <c r="D2983" s="266" t="s">
        <v>8368</v>
      </c>
      <c r="E2983" s="266"/>
      <c r="F2983" s="266"/>
      <c r="G2983" s="266" t="s">
        <v>6304</v>
      </c>
      <c r="H2983" s="266" t="s">
        <v>8369</v>
      </c>
      <c r="I2983" s="266" t="s">
        <v>6305</v>
      </c>
      <c r="J2983" s="266"/>
      <c r="K2983" s="1"/>
      <c r="L2983" s="1"/>
    </row>
    <row r="2984">
      <c r="A2984" s="266">
        <v>2800.0</v>
      </c>
      <c r="B2984" s="266"/>
      <c r="C2984" s="266">
        <v>5.0</v>
      </c>
      <c r="D2984" s="266" t="s">
        <v>8370</v>
      </c>
      <c r="E2984" s="266"/>
      <c r="F2984" s="266"/>
      <c r="G2984" s="266" t="s">
        <v>6304</v>
      </c>
      <c r="H2984" s="266" t="s">
        <v>6774</v>
      </c>
      <c r="I2984" s="266"/>
      <c r="J2984" s="266"/>
      <c r="K2984" s="1"/>
      <c r="L2984" s="1"/>
    </row>
    <row r="2985">
      <c r="A2985" s="266">
        <v>2900.0</v>
      </c>
      <c r="B2985" s="266"/>
      <c r="C2985" s="266">
        <v>5.0</v>
      </c>
      <c r="D2985" s="266" t="s">
        <v>8371</v>
      </c>
      <c r="E2985" s="266"/>
      <c r="F2985" s="266"/>
      <c r="G2985" s="266"/>
      <c r="H2985" s="266"/>
      <c r="I2985" s="266"/>
      <c r="J2985" s="267"/>
    </row>
    <row r="2986">
      <c r="A2986" s="266">
        <v>2950.0</v>
      </c>
      <c r="B2986" s="266" t="s">
        <v>6603</v>
      </c>
      <c r="C2986" s="266" t="s">
        <v>6603</v>
      </c>
      <c r="D2986" s="266" t="s">
        <v>8370</v>
      </c>
      <c r="E2986" s="266" t="s">
        <v>6479</v>
      </c>
      <c r="F2986" s="266">
        <v>48.0</v>
      </c>
      <c r="G2986" s="266" t="s">
        <v>6304</v>
      </c>
      <c r="H2986" s="266" t="s">
        <v>17</v>
      </c>
      <c r="I2986" s="266"/>
      <c r="J2986" s="267"/>
    </row>
    <row r="2987">
      <c r="A2987" s="266">
        <v>3000.0</v>
      </c>
      <c r="B2987" s="266"/>
      <c r="C2987" s="266">
        <v>5.0</v>
      </c>
      <c r="D2987" s="266" t="s">
        <v>8372</v>
      </c>
      <c r="E2987" s="266"/>
      <c r="F2987" s="266"/>
      <c r="G2987" s="266"/>
      <c r="H2987" s="266"/>
      <c r="I2987" s="266"/>
      <c r="J2987" s="267"/>
    </row>
    <row r="2988">
      <c r="A2988" s="266">
        <v>3050.0</v>
      </c>
      <c r="B2988" s="266" t="s">
        <v>6603</v>
      </c>
      <c r="C2988" s="266" t="s">
        <v>6603</v>
      </c>
      <c r="D2988" s="266" t="s">
        <v>8370</v>
      </c>
      <c r="E2988" s="266" t="s">
        <v>6479</v>
      </c>
      <c r="F2988" s="266">
        <v>4.0</v>
      </c>
      <c r="G2988" s="266" t="s">
        <v>6304</v>
      </c>
      <c r="H2988" s="266" t="s">
        <v>6322</v>
      </c>
      <c r="I2988" s="266"/>
      <c r="J2988" s="267"/>
    </row>
    <row r="2989">
      <c r="A2989" s="266">
        <v>3100.0</v>
      </c>
      <c r="B2989" s="266"/>
      <c r="C2989" s="266">
        <v>5.0</v>
      </c>
      <c r="D2989" s="266" t="s">
        <v>8373</v>
      </c>
      <c r="E2989" s="266"/>
      <c r="F2989" s="266"/>
      <c r="G2989" s="266"/>
      <c r="H2989" s="266"/>
      <c r="I2989" s="266"/>
      <c r="J2989" s="267"/>
    </row>
    <row r="2990">
      <c r="A2990" s="266">
        <v>3150.0</v>
      </c>
      <c r="B2990" s="266" t="s">
        <v>6603</v>
      </c>
      <c r="C2990" s="266" t="s">
        <v>6603</v>
      </c>
      <c r="D2990" s="266" t="s">
        <v>8370</v>
      </c>
      <c r="E2990" s="266" t="s">
        <v>6479</v>
      </c>
      <c r="F2990" s="266">
        <v>12.0</v>
      </c>
      <c r="G2990" s="266" t="s">
        <v>6304</v>
      </c>
      <c r="H2990" s="266" t="s">
        <v>608</v>
      </c>
      <c r="I2990" s="266"/>
      <c r="J2990" s="267"/>
    </row>
    <row r="2991">
      <c r="A2991" s="266">
        <v>3200.0</v>
      </c>
      <c r="B2991" s="266"/>
      <c r="C2991" s="266">
        <v>5.0</v>
      </c>
      <c r="D2991" s="266" t="s">
        <v>8374</v>
      </c>
      <c r="E2991" s="266"/>
      <c r="F2991" s="266"/>
      <c r="G2991" s="266" t="s">
        <v>6304</v>
      </c>
      <c r="H2991" s="266" t="s">
        <v>6322</v>
      </c>
      <c r="I2991" s="266"/>
      <c r="J2991" s="266"/>
      <c r="K2991" s="1"/>
      <c r="L2991" s="1"/>
    </row>
    <row r="2992">
      <c r="A2992" s="266">
        <v>3300.0</v>
      </c>
      <c r="B2992" s="266"/>
      <c r="C2992" s="266">
        <v>5.0</v>
      </c>
      <c r="D2992" s="266" t="s">
        <v>8375</v>
      </c>
      <c r="E2992" s="266"/>
      <c r="F2992" s="266"/>
      <c r="G2992" s="266"/>
      <c r="H2992" s="266"/>
      <c r="I2992" s="266"/>
      <c r="J2992" s="267"/>
    </row>
    <row r="2993">
      <c r="A2993" s="266">
        <v>3350.0</v>
      </c>
      <c r="B2993" s="266" t="s">
        <v>6603</v>
      </c>
      <c r="C2993" s="266" t="s">
        <v>6603</v>
      </c>
      <c r="D2993" s="266" t="s">
        <v>8374</v>
      </c>
      <c r="E2993" s="266" t="s">
        <v>6479</v>
      </c>
      <c r="F2993" s="266">
        <v>12.0</v>
      </c>
      <c r="G2993" s="266" t="s">
        <v>6304</v>
      </c>
      <c r="H2993" s="266" t="s">
        <v>17</v>
      </c>
      <c r="I2993" s="266"/>
      <c r="J2993" s="267"/>
    </row>
    <row r="2994">
      <c r="A2994" s="266">
        <v>3400.0</v>
      </c>
      <c r="B2994" s="266"/>
      <c r="C2994" s="266">
        <v>5.0</v>
      </c>
      <c r="D2994" s="266" t="s">
        <v>8376</v>
      </c>
      <c r="E2994" s="266"/>
      <c r="F2994" s="266"/>
      <c r="G2994" s="266"/>
      <c r="H2994" s="266"/>
      <c r="I2994" s="266"/>
      <c r="J2994" s="267"/>
    </row>
    <row r="2995">
      <c r="A2995" s="266">
        <v>3450.0</v>
      </c>
      <c r="B2995" s="266" t="s">
        <v>6603</v>
      </c>
      <c r="C2995" s="266" t="s">
        <v>6603</v>
      </c>
      <c r="D2995" s="266" t="s">
        <v>8374</v>
      </c>
      <c r="E2995" s="266" t="s">
        <v>6479</v>
      </c>
      <c r="F2995" s="266">
        <v>4.0</v>
      </c>
      <c r="G2995" s="266" t="s">
        <v>6304</v>
      </c>
      <c r="H2995" s="266" t="s">
        <v>3795</v>
      </c>
      <c r="I2995" s="266"/>
      <c r="J2995" s="267"/>
    </row>
    <row r="2996">
      <c r="A2996" s="266">
        <v>3500.0</v>
      </c>
      <c r="B2996" s="266"/>
      <c r="C2996" s="266">
        <v>5.0</v>
      </c>
      <c r="D2996" s="266" t="s">
        <v>8377</v>
      </c>
      <c r="E2996" s="266"/>
      <c r="F2996" s="266"/>
      <c r="G2996" s="266" t="s">
        <v>6304</v>
      </c>
      <c r="H2996" s="266" t="s">
        <v>8378</v>
      </c>
      <c r="I2996" s="266"/>
      <c r="J2996" s="266"/>
      <c r="K2996" s="1"/>
      <c r="L2996" s="1"/>
    </row>
    <row r="2997">
      <c r="A2997" s="266">
        <v>3600.0</v>
      </c>
      <c r="B2997" s="266"/>
      <c r="C2997" s="266">
        <v>5.0</v>
      </c>
      <c r="D2997" s="266" t="s">
        <v>8379</v>
      </c>
      <c r="E2997" s="266"/>
      <c r="F2997" s="266"/>
      <c r="G2997" s="266" t="s">
        <v>6304</v>
      </c>
      <c r="H2997" s="266" t="s">
        <v>4105</v>
      </c>
      <c r="I2997" s="266" t="s">
        <v>6305</v>
      </c>
      <c r="J2997" s="266"/>
      <c r="K2997" s="1"/>
      <c r="L2997" s="1"/>
    </row>
    <row r="2998">
      <c r="A2998" s="266">
        <v>3700.0</v>
      </c>
      <c r="B2998" s="266"/>
      <c r="C2998" s="266">
        <v>5.0</v>
      </c>
      <c r="D2998" s="266" t="s">
        <v>8380</v>
      </c>
      <c r="E2998" s="266"/>
      <c r="F2998" s="266"/>
      <c r="G2998" s="266" t="s">
        <v>6304</v>
      </c>
      <c r="H2998" s="266" t="s">
        <v>4105</v>
      </c>
      <c r="I2998" s="266" t="s">
        <v>6305</v>
      </c>
      <c r="J2998" s="266"/>
      <c r="K2998" s="1"/>
      <c r="L2998" s="1"/>
    </row>
    <row r="2999">
      <c r="A2999" s="266">
        <v>3800.0</v>
      </c>
      <c r="B2999" s="266"/>
      <c r="C2999" s="266">
        <v>5.0</v>
      </c>
      <c r="D2999" s="266" t="s">
        <v>6306</v>
      </c>
      <c r="E2999" s="266"/>
      <c r="F2999" s="266"/>
      <c r="G2999" s="266" t="s">
        <v>6304</v>
      </c>
      <c r="H2999" s="266" t="s">
        <v>6467</v>
      </c>
      <c r="I2999" s="266"/>
      <c r="J2999" s="266"/>
      <c r="K2999" s="1"/>
      <c r="L2999" s="1"/>
    </row>
    <row r="3000">
      <c r="A3000" s="266">
        <v>50.0</v>
      </c>
      <c r="B3000" s="266">
        <v>1.0</v>
      </c>
      <c r="C3000" s="266"/>
      <c r="D3000" s="266" t="s">
        <v>8381</v>
      </c>
      <c r="E3000" s="266"/>
      <c r="F3000" s="266"/>
      <c r="G3000" s="266"/>
      <c r="H3000" s="266"/>
      <c r="I3000" s="266"/>
      <c r="J3000" s="267"/>
    </row>
    <row r="3001">
      <c r="A3001" s="266">
        <v>100.0</v>
      </c>
      <c r="B3001" s="266"/>
      <c r="C3001" s="266">
        <v>5.0</v>
      </c>
      <c r="D3001" s="266" t="s">
        <v>8141</v>
      </c>
      <c r="E3001" s="266"/>
      <c r="F3001" s="266"/>
      <c r="G3001" s="266"/>
      <c r="H3001" s="266"/>
      <c r="I3001" s="266"/>
      <c r="J3001" s="267"/>
    </row>
    <row r="3002">
      <c r="A3002" s="266">
        <v>200.0</v>
      </c>
      <c r="B3002" s="266"/>
      <c r="C3002" s="266">
        <v>10.0</v>
      </c>
      <c r="D3002" s="266" t="s">
        <v>417</v>
      </c>
      <c r="E3002" s="266"/>
      <c r="F3002" s="266"/>
      <c r="G3002" s="266" t="s">
        <v>6304</v>
      </c>
      <c r="H3002" s="266" t="s">
        <v>551</v>
      </c>
      <c r="I3002" s="266"/>
      <c r="J3002" s="266"/>
      <c r="K3002" s="1"/>
      <c r="L3002" s="1"/>
    </row>
    <row r="3003">
      <c r="A3003" s="266">
        <v>300.0</v>
      </c>
      <c r="B3003" s="266"/>
      <c r="C3003" s="266">
        <v>10.0</v>
      </c>
      <c r="D3003" s="266" t="s">
        <v>7113</v>
      </c>
      <c r="E3003" s="266"/>
      <c r="F3003" s="266"/>
      <c r="G3003" s="266" t="s">
        <v>6304</v>
      </c>
      <c r="H3003" s="266" t="s">
        <v>551</v>
      </c>
      <c r="I3003" s="266"/>
      <c r="J3003" s="266"/>
      <c r="K3003" s="1"/>
      <c r="L3003" s="1"/>
    </row>
    <row r="3004">
      <c r="A3004" s="266">
        <v>400.0</v>
      </c>
      <c r="B3004" s="266"/>
      <c r="C3004" s="266">
        <v>5.0</v>
      </c>
      <c r="D3004" s="266" t="s">
        <v>8382</v>
      </c>
      <c r="E3004" s="266"/>
      <c r="F3004" s="266"/>
      <c r="G3004" s="266" t="s">
        <v>6304</v>
      </c>
      <c r="H3004" s="266" t="s">
        <v>4104</v>
      </c>
      <c r="I3004" s="266" t="s">
        <v>6305</v>
      </c>
      <c r="J3004" s="266"/>
      <c r="K3004" s="1"/>
      <c r="L3004" s="1"/>
    </row>
    <row r="3005">
      <c r="A3005" s="266">
        <v>500.0</v>
      </c>
      <c r="B3005" s="266"/>
      <c r="C3005" s="266">
        <v>5.0</v>
      </c>
      <c r="D3005" s="266" t="s">
        <v>8383</v>
      </c>
      <c r="E3005" s="266"/>
      <c r="F3005" s="266"/>
      <c r="G3005" s="266" t="s">
        <v>6304</v>
      </c>
      <c r="H3005" s="266" t="s">
        <v>4104</v>
      </c>
      <c r="I3005" s="266" t="s">
        <v>6305</v>
      </c>
      <c r="J3005" s="266"/>
      <c r="K3005" s="1"/>
      <c r="L3005" s="1"/>
    </row>
    <row r="3006">
      <c r="A3006" s="266">
        <v>600.0</v>
      </c>
      <c r="B3006" s="266"/>
      <c r="C3006" s="266">
        <v>5.0</v>
      </c>
      <c r="D3006" s="266" t="s">
        <v>8384</v>
      </c>
      <c r="E3006" s="266"/>
      <c r="F3006" s="266"/>
      <c r="G3006" s="266"/>
      <c r="H3006" s="266"/>
      <c r="I3006" s="266"/>
      <c r="J3006" s="267"/>
    </row>
    <row r="3007">
      <c r="A3007" s="266">
        <v>700.0</v>
      </c>
      <c r="B3007" s="266"/>
      <c r="C3007" s="266">
        <v>10.0</v>
      </c>
      <c r="D3007" s="266" t="s">
        <v>8385</v>
      </c>
      <c r="E3007" s="266" t="s">
        <v>6479</v>
      </c>
      <c r="F3007" s="266">
        <v>7.0</v>
      </c>
      <c r="G3007" s="266"/>
      <c r="H3007" s="266"/>
      <c r="I3007" s="266"/>
      <c r="J3007" s="267"/>
    </row>
    <row r="3008">
      <c r="A3008" s="266">
        <v>800.0</v>
      </c>
      <c r="B3008" s="266"/>
      <c r="C3008" s="266">
        <v>15.0</v>
      </c>
      <c r="D3008" s="266" t="s">
        <v>8386</v>
      </c>
      <c r="E3008" s="266" t="s">
        <v>6479</v>
      </c>
      <c r="F3008" s="266">
        <v>9.0</v>
      </c>
      <c r="G3008" s="266" t="s">
        <v>6304</v>
      </c>
      <c r="H3008" s="266" t="s">
        <v>4104</v>
      </c>
      <c r="I3008" s="266" t="s">
        <v>6305</v>
      </c>
      <c r="J3008" s="267"/>
    </row>
    <row r="3009">
      <c r="A3009" s="266">
        <v>900.0</v>
      </c>
      <c r="B3009" s="266"/>
      <c r="C3009" s="266">
        <v>5.0</v>
      </c>
      <c r="D3009" s="266" t="s">
        <v>8387</v>
      </c>
      <c r="E3009" s="266"/>
      <c r="F3009" s="266"/>
      <c r="G3009" s="266" t="s">
        <v>6304</v>
      </c>
      <c r="H3009" s="266" t="s">
        <v>4104</v>
      </c>
      <c r="I3009" s="266" t="s">
        <v>6305</v>
      </c>
      <c r="J3009" s="266"/>
      <c r="K3009" s="1"/>
      <c r="L3009" s="1"/>
    </row>
    <row r="3010">
      <c r="A3010" s="266">
        <v>1000.0</v>
      </c>
      <c r="B3010" s="266"/>
      <c r="C3010" s="266">
        <v>5.0</v>
      </c>
      <c r="D3010" s="266" t="s">
        <v>8388</v>
      </c>
      <c r="E3010" s="266"/>
      <c r="F3010" s="266"/>
      <c r="G3010" s="266" t="s">
        <v>6304</v>
      </c>
      <c r="H3010" s="266" t="s">
        <v>4104</v>
      </c>
      <c r="I3010" s="266" t="s">
        <v>6305</v>
      </c>
      <c r="J3010" s="266"/>
      <c r="K3010" s="1"/>
      <c r="L3010" s="1"/>
    </row>
    <row r="3011">
      <c r="A3011" s="266">
        <v>1100.0</v>
      </c>
      <c r="B3011" s="266"/>
      <c r="C3011" s="266">
        <v>5.0</v>
      </c>
      <c r="D3011" s="266" t="s">
        <v>8389</v>
      </c>
      <c r="E3011" s="266"/>
      <c r="F3011" s="266"/>
      <c r="G3011" s="266" t="s">
        <v>6304</v>
      </c>
      <c r="H3011" s="266" t="s">
        <v>17</v>
      </c>
      <c r="I3011" s="266"/>
      <c r="J3011" s="266"/>
      <c r="K3011" s="1"/>
      <c r="L3011" s="1"/>
    </row>
    <row r="3012">
      <c r="A3012" s="266">
        <v>1200.0</v>
      </c>
      <c r="B3012" s="266"/>
      <c r="C3012" s="266">
        <v>5.0</v>
      </c>
      <c r="D3012" s="266" t="s">
        <v>8390</v>
      </c>
      <c r="E3012" s="266"/>
      <c r="F3012" s="266"/>
      <c r="G3012" s="266"/>
      <c r="H3012" s="266"/>
      <c r="I3012" s="266"/>
      <c r="J3012" s="267"/>
    </row>
    <row r="3013">
      <c r="A3013" s="266">
        <v>1300.0</v>
      </c>
      <c r="B3013" s="266"/>
      <c r="C3013" s="266">
        <v>10.0</v>
      </c>
      <c r="D3013" s="266" t="s">
        <v>8391</v>
      </c>
      <c r="E3013" s="266" t="s">
        <v>6479</v>
      </c>
      <c r="F3013" s="266">
        <v>7.0</v>
      </c>
      <c r="G3013" s="266"/>
      <c r="H3013" s="266"/>
      <c r="I3013" s="266"/>
      <c r="J3013" s="267"/>
    </row>
    <row r="3014">
      <c r="A3014" s="266">
        <v>1400.0</v>
      </c>
      <c r="B3014" s="266"/>
      <c r="C3014" s="266">
        <v>15.0</v>
      </c>
      <c r="D3014" s="266" t="s">
        <v>8392</v>
      </c>
      <c r="E3014" s="266" t="s">
        <v>6479</v>
      </c>
      <c r="F3014" s="266">
        <v>9.0</v>
      </c>
      <c r="G3014" s="266" t="s">
        <v>6304</v>
      </c>
      <c r="H3014" s="266" t="s">
        <v>4104</v>
      </c>
      <c r="I3014" s="266" t="s">
        <v>6305</v>
      </c>
      <c r="J3014" s="267"/>
    </row>
    <row r="3015">
      <c r="A3015" s="266">
        <v>1500.0</v>
      </c>
      <c r="B3015" s="266"/>
      <c r="C3015" s="266">
        <v>5.0</v>
      </c>
      <c r="D3015" s="266" t="s">
        <v>8393</v>
      </c>
      <c r="E3015" s="266"/>
      <c r="F3015" s="266"/>
      <c r="G3015" s="266" t="s">
        <v>6304</v>
      </c>
      <c r="H3015" s="266" t="s">
        <v>4104</v>
      </c>
      <c r="I3015" s="266" t="s">
        <v>6305</v>
      </c>
      <c r="J3015" s="266"/>
      <c r="K3015" s="1"/>
      <c r="L3015" s="1"/>
    </row>
    <row r="3016">
      <c r="A3016" s="266">
        <v>1600.0</v>
      </c>
      <c r="B3016" s="266"/>
      <c r="C3016" s="266">
        <v>5.0</v>
      </c>
      <c r="D3016" s="266" t="s">
        <v>8394</v>
      </c>
      <c r="E3016" s="266"/>
      <c r="F3016" s="266"/>
      <c r="G3016" s="266" t="s">
        <v>6304</v>
      </c>
      <c r="H3016" s="266" t="s">
        <v>4104</v>
      </c>
      <c r="I3016" s="266" t="s">
        <v>6305</v>
      </c>
      <c r="J3016" s="266"/>
      <c r="K3016" s="1"/>
      <c r="L3016" s="1"/>
    </row>
    <row r="3017">
      <c r="A3017" s="266">
        <v>1700.0</v>
      </c>
      <c r="B3017" s="266"/>
      <c r="C3017" s="266">
        <v>5.0</v>
      </c>
      <c r="D3017" s="266" t="s">
        <v>8395</v>
      </c>
      <c r="E3017" s="266"/>
      <c r="F3017" s="266"/>
      <c r="G3017" s="266" t="s">
        <v>6304</v>
      </c>
      <c r="H3017" s="266" t="s">
        <v>17</v>
      </c>
      <c r="I3017" s="266"/>
      <c r="J3017" s="266"/>
      <c r="K3017" s="1"/>
      <c r="L3017" s="1"/>
    </row>
    <row r="3018">
      <c r="A3018" s="266">
        <v>1800.0</v>
      </c>
      <c r="B3018" s="266"/>
      <c r="C3018" s="266">
        <v>5.0</v>
      </c>
      <c r="D3018" s="266" t="s">
        <v>8396</v>
      </c>
      <c r="E3018" s="266"/>
      <c r="F3018" s="266"/>
      <c r="G3018" s="266"/>
      <c r="H3018" s="266"/>
      <c r="I3018" s="266"/>
      <c r="J3018" s="267"/>
    </row>
    <row r="3019">
      <c r="A3019" s="266">
        <v>1900.0</v>
      </c>
      <c r="B3019" s="266"/>
      <c r="C3019" s="266">
        <v>10.0</v>
      </c>
      <c r="D3019" s="266" t="s">
        <v>8397</v>
      </c>
      <c r="E3019" s="266" t="s">
        <v>6479</v>
      </c>
      <c r="F3019" s="266">
        <v>7.0</v>
      </c>
      <c r="G3019" s="266"/>
      <c r="H3019" s="266"/>
      <c r="I3019" s="266"/>
      <c r="J3019" s="267"/>
    </row>
    <row r="3020">
      <c r="A3020" s="266">
        <v>2000.0</v>
      </c>
      <c r="B3020" s="266"/>
      <c r="C3020" s="266">
        <v>15.0</v>
      </c>
      <c r="D3020" s="266" t="s">
        <v>8398</v>
      </c>
      <c r="E3020" s="266" t="s">
        <v>6479</v>
      </c>
      <c r="F3020" s="266">
        <v>9.0</v>
      </c>
      <c r="G3020" s="266" t="s">
        <v>6304</v>
      </c>
      <c r="H3020" s="266" t="s">
        <v>4104</v>
      </c>
      <c r="I3020" s="266" t="s">
        <v>6305</v>
      </c>
      <c r="J3020" s="267"/>
    </row>
    <row r="3021">
      <c r="A3021" s="266">
        <v>2100.0</v>
      </c>
      <c r="B3021" s="266"/>
      <c r="C3021" s="266">
        <v>5.0</v>
      </c>
      <c r="D3021" s="266" t="s">
        <v>8399</v>
      </c>
      <c r="E3021" s="266"/>
      <c r="F3021" s="266"/>
      <c r="G3021" s="266" t="s">
        <v>6304</v>
      </c>
      <c r="H3021" s="266" t="s">
        <v>4104</v>
      </c>
      <c r="I3021" s="266" t="s">
        <v>6305</v>
      </c>
      <c r="J3021" s="266"/>
      <c r="K3021" s="1"/>
      <c r="L3021" s="1"/>
    </row>
    <row r="3022">
      <c r="A3022" s="266">
        <v>2200.0</v>
      </c>
      <c r="B3022" s="266"/>
      <c r="C3022" s="266">
        <v>5.0</v>
      </c>
      <c r="D3022" s="266" t="s">
        <v>8400</v>
      </c>
      <c r="E3022" s="266"/>
      <c r="F3022" s="266"/>
      <c r="G3022" s="266" t="s">
        <v>6304</v>
      </c>
      <c r="H3022" s="266" t="s">
        <v>4104</v>
      </c>
      <c r="I3022" s="266" t="s">
        <v>6305</v>
      </c>
      <c r="J3022" s="266"/>
      <c r="K3022" s="1"/>
      <c r="L3022" s="1"/>
    </row>
    <row r="3023">
      <c r="A3023" s="266">
        <v>2300.0</v>
      </c>
      <c r="B3023" s="266"/>
      <c r="C3023" s="266">
        <v>5.0</v>
      </c>
      <c r="D3023" s="266" t="s">
        <v>8401</v>
      </c>
      <c r="E3023" s="266"/>
      <c r="F3023" s="266"/>
      <c r="G3023" s="266" t="s">
        <v>6304</v>
      </c>
      <c r="H3023" s="266" t="s">
        <v>17</v>
      </c>
      <c r="I3023" s="266"/>
      <c r="J3023" s="266"/>
      <c r="K3023" s="1"/>
      <c r="L3023" s="1"/>
    </row>
    <row r="3024">
      <c r="A3024" s="266">
        <v>2400.0</v>
      </c>
      <c r="B3024" s="266"/>
      <c r="C3024" s="266">
        <v>5.0</v>
      </c>
      <c r="D3024" s="266" t="s">
        <v>8402</v>
      </c>
      <c r="E3024" s="266"/>
      <c r="F3024" s="266"/>
      <c r="G3024" s="266"/>
      <c r="H3024" s="266"/>
      <c r="I3024" s="266"/>
      <c r="J3024" s="267"/>
    </row>
    <row r="3025">
      <c r="A3025" s="266">
        <v>2500.0</v>
      </c>
      <c r="B3025" s="266"/>
      <c r="C3025" s="266">
        <v>10.0</v>
      </c>
      <c r="D3025" s="266" t="s">
        <v>8403</v>
      </c>
      <c r="E3025" s="266" t="s">
        <v>6479</v>
      </c>
      <c r="F3025" s="266">
        <v>7.0</v>
      </c>
      <c r="G3025" s="266"/>
      <c r="H3025" s="266"/>
      <c r="I3025" s="266"/>
      <c r="J3025" s="267"/>
    </row>
    <row r="3026">
      <c r="A3026" s="266">
        <v>2600.0</v>
      </c>
      <c r="B3026" s="266"/>
      <c r="C3026" s="266">
        <v>15.0</v>
      </c>
      <c r="D3026" s="266" t="s">
        <v>8404</v>
      </c>
      <c r="E3026" s="266" t="s">
        <v>6479</v>
      </c>
      <c r="F3026" s="266">
        <v>9.0</v>
      </c>
      <c r="G3026" s="266" t="s">
        <v>6304</v>
      </c>
      <c r="H3026" s="266" t="s">
        <v>4104</v>
      </c>
      <c r="I3026" s="266" t="s">
        <v>6305</v>
      </c>
      <c r="J3026" s="267"/>
    </row>
    <row r="3027">
      <c r="A3027" s="266">
        <v>2700.0</v>
      </c>
      <c r="B3027" s="266"/>
      <c r="C3027" s="266">
        <v>5.0</v>
      </c>
      <c r="D3027" s="266" t="s">
        <v>8405</v>
      </c>
      <c r="E3027" s="266"/>
      <c r="F3027" s="266"/>
      <c r="G3027" s="266" t="s">
        <v>6304</v>
      </c>
      <c r="H3027" s="266" t="s">
        <v>4104</v>
      </c>
      <c r="I3027" s="266" t="s">
        <v>6305</v>
      </c>
      <c r="J3027" s="266"/>
      <c r="K3027" s="1"/>
      <c r="L3027" s="1"/>
    </row>
    <row r="3028">
      <c r="A3028" s="266">
        <v>2800.0</v>
      </c>
      <c r="B3028" s="266"/>
      <c r="C3028" s="266">
        <v>5.0</v>
      </c>
      <c r="D3028" s="266" t="s">
        <v>8406</v>
      </c>
      <c r="E3028" s="266"/>
      <c r="F3028" s="266"/>
      <c r="G3028" s="266" t="s">
        <v>6304</v>
      </c>
      <c r="H3028" s="266" t="s">
        <v>4104</v>
      </c>
      <c r="I3028" s="266" t="s">
        <v>6305</v>
      </c>
      <c r="J3028" s="266"/>
      <c r="K3028" s="1"/>
      <c r="L3028" s="1"/>
    </row>
    <row r="3029">
      <c r="A3029" s="266">
        <v>2900.0</v>
      </c>
      <c r="B3029" s="266"/>
      <c r="C3029" s="266">
        <v>5.0</v>
      </c>
      <c r="D3029" s="266" t="s">
        <v>8407</v>
      </c>
      <c r="E3029" s="266"/>
      <c r="F3029" s="266"/>
      <c r="G3029" s="266" t="s">
        <v>6304</v>
      </c>
      <c r="H3029" s="266" t="s">
        <v>17</v>
      </c>
      <c r="I3029" s="266"/>
      <c r="J3029" s="266"/>
      <c r="K3029" s="1"/>
      <c r="L3029" s="1"/>
    </row>
    <row r="3030">
      <c r="A3030" s="266">
        <v>3000.0</v>
      </c>
      <c r="B3030" s="266"/>
      <c r="C3030" s="266">
        <v>5.0</v>
      </c>
      <c r="D3030" s="266" t="s">
        <v>8408</v>
      </c>
      <c r="E3030" s="266"/>
      <c r="F3030" s="266"/>
      <c r="G3030" s="266"/>
      <c r="H3030" s="266"/>
      <c r="I3030" s="266"/>
      <c r="J3030" s="267"/>
    </row>
    <row r="3031">
      <c r="A3031" s="266">
        <v>3100.0</v>
      </c>
      <c r="B3031" s="266"/>
      <c r="C3031" s="266">
        <v>10.0</v>
      </c>
      <c r="D3031" s="266" t="s">
        <v>8409</v>
      </c>
      <c r="E3031" s="266" t="s">
        <v>6479</v>
      </c>
      <c r="F3031" s="266">
        <v>7.0</v>
      </c>
      <c r="G3031" s="266"/>
      <c r="H3031" s="266"/>
      <c r="I3031" s="266"/>
      <c r="J3031" s="267"/>
    </row>
    <row r="3032">
      <c r="A3032" s="266">
        <v>3200.0</v>
      </c>
      <c r="B3032" s="266"/>
      <c r="C3032" s="266">
        <v>15.0</v>
      </c>
      <c r="D3032" s="266" t="s">
        <v>8410</v>
      </c>
      <c r="E3032" s="266" t="s">
        <v>6479</v>
      </c>
      <c r="F3032" s="266">
        <v>9.0</v>
      </c>
      <c r="G3032" s="266" t="s">
        <v>6304</v>
      </c>
      <c r="H3032" s="266" t="s">
        <v>4104</v>
      </c>
      <c r="I3032" s="266" t="s">
        <v>6305</v>
      </c>
      <c r="J3032" s="267"/>
    </row>
    <row r="3033">
      <c r="A3033" s="266">
        <v>3300.0</v>
      </c>
      <c r="B3033" s="266"/>
      <c r="C3033" s="266">
        <v>5.0</v>
      </c>
      <c r="D3033" s="266" t="s">
        <v>8411</v>
      </c>
      <c r="E3033" s="266"/>
      <c r="F3033" s="266"/>
      <c r="G3033" s="266" t="s">
        <v>6304</v>
      </c>
      <c r="H3033" s="266" t="s">
        <v>4104</v>
      </c>
      <c r="I3033" s="266" t="s">
        <v>6305</v>
      </c>
      <c r="J3033" s="266"/>
      <c r="K3033" s="1"/>
      <c r="L3033" s="1"/>
    </row>
    <row r="3034">
      <c r="A3034" s="266">
        <v>3400.0</v>
      </c>
      <c r="B3034" s="266"/>
      <c r="C3034" s="266">
        <v>5.0</v>
      </c>
      <c r="D3034" s="266" t="s">
        <v>8412</v>
      </c>
      <c r="E3034" s="266"/>
      <c r="F3034" s="266"/>
      <c r="G3034" s="266" t="s">
        <v>6304</v>
      </c>
      <c r="H3034" s="266" t="s">
        <v>4104</v>
      </c>
      <c r="I3034" s="266" t="s">
        <v>6305</v>
      </c>
      <c r="J3034" s="266"/>
      <c r="K3034" s="1"/>
      <c r="L3034" s="1"/>
    </row>
    <row r="3035">
      <c r="A3035" s="266">
        <v>3500.0</v>
      </c>
      <c r="B3035" s="266"/>
      <c r="C3035" s="266">
        <v>5.0</v>
      </c>
      <c r="D3035" s="266" t="s">
        <v>8413</v>
      </c>
      <c r="E3035" s="266"/>
      <c r="F3035" s="266"/>
      <c r="G3035" s="266" t="s">
        <v>6304</v>
      </c>
      <c r="H3035" s="266" t="s">
        <v>17</v>
      </c>
      <c r="I3035" s="266"/>
      <c r="J3035" s="266"/>
      <c r="K3035" s="1"/>
      <c r="L3035" s="1"/>
    </row>
    <row r="3036">
      <c r="A3036" s="266">
        <v>3600.0</v>
      </c>
      <c r="B3036" s="266"/>
      <c r="C3036" s="266">
        <v>5.0</v>
      </c>
      <c r="D3036" s="266" t="s">
        <v>8414</v>
      </c>
      <c r="E3036" s="266" t="s">
        <v>6479</v>
      </c>
      <c r="F3036" s="266">
        <v>12.0</v>
      </c>
      <c r="G3036" s="266" t="s">
        <v>6304</v>
      </c>
      <c r="H3036" s="266" t="s">
        <v>4104</v>
      </c>
      <c r="I3036" s="266" t="s">
        <v>6305</v>
      </c>
      <c r="J3036" s="267"/>
    </row>
    <row r="3037">
      <c r="A3037" s="266">
        <v>3700.0</v>
      </c>
      <c r="B3037" s="266"/>
      <c r="C3037" s="266">
        <v>5.0</v>
      </c>
      <c r="D3037" s="266" t="s">
        <v>8415</v>
      </c>
      <c r="E3037" s="266" t="s">
        <v>6479</v>
      </c>
      <c r="F3037" s="266">
        <v>12.0</v>
      </c>
      <c r="G3037" s="266" t="s">
        <v>6304</v>
      </c>
      <c r="H3037" s="266" t="s">
        <v>4104</v>
      </c>
      <c r="I3037" s="266" t="s">
        <v>6305</v>
      </c>
      <c r="J3037" s="267"/>
    </row>
    <row r="3038">
      <c r="A3038" s="266">
        <v>3800.0</v>
      </c>
      <c r="B3038" s="266"/>
      <c r="C3038" s="266">
        <v>5.0</v>
      </c>
      <c r="D3038" s="266" t="s">
        <v>8416</v>
      </c>
      <c r="E3038" s="266" t="s">
        <v>6479</v>
      </c>
      <c r="F3038" s="266">
        <v>12.0</v>
      </c>
      <c r="G3038" s="266" t="s">
        <v>6304</v>
      </c>
      <c r="H3038" s="266" t="s">
        <v>4104</v>
      </c>
      <c r="I3038" s="266" t="s">
        <v>6305</v>
      </c>
      <c r="J3038" s="267"/>
    </row>
    <row r="3039">
      <c r="A3039" s="266">
        <v>3900.0</v>
      </c>
      <c r="B3039" s="266"/>
      <c r="C3039" s="266">
        <v>5.0</v>
      </c>
      <c r="D3039" s="266" t="s">
        <v>8417</v>
      </c>
      <c r="E3039" s="266" t="s">
        <v>6479</v>
      </c>
      <c r="F3039" s="266">
        <v>12.0</v>
      </c>
      <c r="G3039" s="266" t="s">
        <v>6304</v>
      </c>
      <c r="H3039" s="266" t="s">
        <v>4104</v>
      </c>
      <c r="I3039" s="266" t="s">
        <v>6305</v>
      </c>
      <c r="J3039" s="267"/>
    </row>
    <row r="3040">
      <c r="A3040" s="266">
        <v>4000.0</v>
      </c>
      <c r="B3040" s="266"/>
      <c r="C3040" s="266">
        <v>5.0</v>
      </c>
      <c r="D3040" s="266" t="s">
        <v>8418</v>
      </c>
      <c r="E3040" s="266" t="s">
        <v>6479</v>
      </c>
      <c r="F3040" s="266">
        <v>16.0</v>
      </c>
      <c r="G3040" s="266" t="s">
        <v>6304</v>
      </c>
      <c r="H3040" s="266" t="s">
        <v>4104</v>
      </c>
      <c r="I3040" s="266" t="s">
        <v>6305</v>
      </c>
      <c r="J3040" s="267"/>
    </row>
    <row r="3041">
      <c r="A3041" s="266">
        <v>4100.0</v>
      </c>
      <c r="B3041" s="266"/>
      <c r="C3041" s="266">
        <v>5.0</v>
      </c>
      <c r="D3041" s="266" t="s">
        <v>8419</v>
      </c>
      <c r="E3041" s="266" t="s">
        <v>6479</v>
      </c>
      <c r="F3041" s="266">
        <v>16.0</v>
      </c>
      <c r="G3041" s="266" t="s">
        <v>6304</v>
      </c>
      <c r="H3041" s="266" t="s">
        <v>4104</v>
      </c>
      <c r="I3041" s="266" t="s">
        <v>6305</v>
      </c>
      <c r="J3041" s="267"/>
    </row>
    <row r="3042">
      <c r="A3042" s="266">
        <v>4200.0</v>
      </c>
      <c r="B3042" s="266"/>
      <c r="C3042" s="266">
        <v>5.0</v>
      </c>
      <c r="D3042" s="266" t="s">
        <v>8420</v>
      </c>
      <c r="E3042" s="266" t="s">
        <v>6479</v>
      </c>
      <c r="F3042" s="266">
        <v>16.0</v>
      </c>
      <c r="G3042" s="266" t="s">
        <v>6304</v>
      </c>
      <c r="H3042" s="266" t="s">
        <v>4104</v>
      </c>
      <c r="I3042" s="266" t="s">
        <v>6305</v>
      </c>
      <c r="J3042" s="267"/>
    </row>
    <row r="3043">
      <c r="A3043" s="266">
        <v>4300.0</v>
      </c>
      <c r="B3043" s="266"/>
      <c r="C3043" s="266">
        <v>5.0</v>
      </c>
      <c r="D3043" s="266" t="s">
        <v>8421</v>
      </c>
      <c r="E3043" s="266" t="s">
        <v>6479</v>
      </c>
      <c r="F3043" s="266">
        <v>16.0</v>
      </c>
      <c r="G3043" s="266" t="s">
        <v>6304</v>
      </c>
      <c r="H3043" s="266" t="s">
        <v>4104</v>
      </c>
      <c r="I3043" s="266" t="s">
        <v>6305</v>
      </c>
      <c r="J3043" s="267"/>
    </row>
    <row r="3044">
      <c r="A3044" s="266">
        <v>4400.0</v>
      </c>
      <c r="B3044" s="266"/>
      <c r="C3044" s="266">
        <v>5.0</v>
      </c>
      <c r="D3044" s="266" t="s">
        <v>8422</v>
      </c>
      <c r="E3044" s="266" t="s">
        <v>6479</v>
      </c>
      <c r="F3044" s="266">
        <v>16.0</v>
      </c>
      <c r="G3044" s="266" t="s">
        <v>6304</v>
      </c>
      <c r="H3044" s="266" t="s">
        <v>4104</v>
      </c>
      <c r="I3044" s="266" t="s">
        <v>6305</v>
      </c>
      <c r="J3044" s="267"/>
    </row>
    <row r="3045">
      <c r="A3045" s="266">
        <v>4500.0</v>
      </c>
      <c r="B3045" s="266"/>
      <c r="C3045" s="266">
        <v>5.0</v>
      </c>
      <c r="D3045" s="266" t="s">
        <v>8423</v>
      </c>
      <c r="E3045" s="266" t="s">
        <v>6479</v>
      </c>
      <c r="F3045" s="266">
        <v>16.0</v>
      </c>
      <c r="G3045" s="266" t="s">
        <v>6304</v>
      </c>
      <c r="H3045" s="266" t="s">
        <v>4104</v>
      </c>
      <c r="I3045" s="266" t="s">
        <v>6305</v>
      </c>
      <c r="J3045" s="267"/>
    </row>
    <row r="3046">
      <c r="A3046" s="266">
        <v>4600.0</v>
      </c>
      <c r="B3046" s="266"/>
      <c r="C3046" s="266">
        <v>5.0</v>
      </c>
      <c r="D3046" s="266" t="s">
        <v>8424</v>
      </c>
      <c r="E3046" s="266" t="s">
        <v>6479</v>
      </c>
      <c r="F3046" s="266">
        <v>16.0</v>
      </c>
      <c r="G3046" s="266" t="s">
        <v>6304</v>
      </c>
      <c r="H3046" s="266" t="s">
        <v>4104</v>
      </c>
      <c r="I3046" s="266" t="s">
        <v>6305</v>
      </c>
      <c r="J3046" s="267"/>
    </row>
    <row r="3047">
      <c r="A3047" s="266">
        <v>4700.0</v>
      </c>
      <c r="B3047" s="266"/>
      <c r="C3047" s="266">
        <v>5.0</v>
      </c>
      <c r="D3047" s="266" t="s">
        <v>8425</v>
      </c>
      <c r="E3047" s="266" t="s">
        <v>6479</v>
      </c>
      <c r="F3047" s="266">
        <v>12.0</v>
      </c>
      <c r="G3047" s="266" t="s">
        <v>6304</v>
      </c>
      <c r="H3047" s="266" t="s">
        <v>4104</v>
      </c>
      <c r="I3047" s="266" t="s">
        <v>6305</v>
      </c>
      <c r="J3047" s="267"/>
    </row>
    <row r="3048">
      <c r="A3048" s="266">
        <v>4800.0</v>
      </c>
      <c r="B3048" s="266"/>
      <c r="C3048" s="266">
        <v>5.0</v>
      </c>
      <c r="D3048" s="266" t="s">
        <v>8426</v>
      </c>
      <c r="E3048" s="266" t="s">
        <v>6479</v>
      </c>
      <c r="F3048" s="266">
        <v>12.0</v>
      </c>
      <c r="G3048" s="266" t="s">
        <v>6304</v>
      </c>
      <c r="H3048" s="266" t="s">
        <v>4104</v>
      </c>
      <c r="I3048" s="266" t="s">
        <v>6305</v>
      </c>
      <c r="J3048" s="267"/>
    </row>
    <row r="3049">
      <c r="A3049" s="266">
        <v>4900.0</v>
      </c>
      <c r="B3049" s="266"/>
      <c r="C3049" s="266">
        <v>5.0</v>
      </c>
      <c r="D3049" s="266" t="s">
        <v>8427</v>
      </c>
      <c r="E3049" s="266" t="s">
        <v>6479</v>
      </c>
      <c r="F3049" s="266">
        <v>12.0</v>
      </c>
      <c r="G3049" s="266" t="s">
        <v>6304</v>
      </c>
      <c r="H3049" s="266" t="s">
        <v>4104</v>
      </c>
      <c r="I3049" s="266" t="s">
        <v>6305</v>
      </c>
      <c r="J3049" s="267"/>
    </row>
    <row r="3050">
      <c r="A3050" s="266">
        <v>5000.0</v>
      </c>
      <c r="B3050" s="266"/>
      <c r="C3050" s="266">
        <v>5.0</v>
      </c>
      <c r="D3050" s="266" t="s">
        <v>8428</v>
      </c>
      <c r="E3050" s="266" t="s">
        <v>6479</v>
      </c>
      <c r="F3050" s="266">
        <v>12.0</v>
      </c>
      <c r="G3050" s="266" t="s">
        <v>6304</v>
      </c>
      <c r="H3050" s="266" t="s">
        <v>4104</v>
      </c>
      <c r="I3050" s="266" t="s">
        <v>6305</v>
      </c>
      <c r="J3050" s="267"/>
    </row>
    <row r="3051">
      <c r="A3051" s="266">
        <v>5100.0</v>
      </c>
      <c r="B3051" s="266"/>
      <c r="C3051" s="266">
        <v>5.0</v>
      </c>
      <c r="D3051" s="266" t="s">
        <v>8429</v>
      </c>
      <c r="E3051" s="266" t="s">
        <v>6479</v>
      </c>
      <c r="F3051" s="266">
        <v>12.0</v>
      </c>
      <c r="G3051" s="266" t="s">
        <v>6304</v>
      </c>
      <c r="H3051" s="266" t="s">
        <v>4104</v>
      </c>
      <c r="I3051" s="266" t="s">
        <v>6305</v>
      </c>
      <c r="J3051" s="267"/>
    </row>
    <row r="3052">
      <c r="A3052" s="266">
        <v>5200.0</v>
      </c>
      <c r="B3052" s="266"/>
      <c r="C3052" s="266">
        <v>5.0</v>
      </c>
      <c r="D3052" s="266" t="s">
        <v>8430</v>
      </c>
      <c r="E3052" s="266" t="s">
        <v>6479</v>
      </c>
      <c r="F3052" s="266">
        <v>12.0</v>
      </c>
      <c r="G3052" s="266" t="s">
        <v>6304</v>
      </c>
      <c r="H3052" s="266" t="s">
        <v>4104</v>
      </c>
      <c r="I3052" s="266" t="s">
        <v>6305</v>
      </c>
      <c r="J3052" s="267"/>
    </row>
    <row r="3053">
      <c r="A3053" s="266">
        <v>5300.0</v>
      </c>
      <c r="B3053" s="266"/>
      <c r="C3053" s="266">
        <v>5.0</v>
      </c>
      <c r="D3053" s="266" t="s">
        <v>8431</v>
      </c>
      <c r="E3053" s="266" t="s">
        <v>6479</v>
      </c>
      <c r="F3053" s="266">
        <v>12.0</v>
      </c>
      <c r="G3053" s="266" t="s">
        <v>6304</v>
      </c>
      <c r="H3053" s="266" t="s">
        <v>4104</v>
      </c>
      <c r="I3053" s="266" t="s">
        <v>6305</v>
      </c>
      <c r="J3053" s="267"/>
    </row>
    <row r="3054">
      <c r="A3054" s="266">
        <v>5400.0</v>
      </c>
      <c r="B3054" s="266"/>
      <c r="C3054" s="266">
        <v>5.0</v>
      </c>
      <c r="D3054" s="266" t="s">
        <v>8432</v>
      </c>
      <c r="E3054" s="266" t="s">
        <v>6479</v>
      </c>
      <c r="F3054" s="266">
        <v>12.0</v>
      </c>
      <c r="G3054" s="266" t="s">
        <v>6304</v>
      </c>
      <c r="H3054" s="266" t="s">
        <v>4104</v>
      </c>
      <c r="I3054" s="266" t="s">
        <v>6305</v>
      </c>
      <c r="J3054" s="267"/>
    </row>
    <row r="3055">
      <c r="A3055" s="266">
        <v>5500.0</v>
      </c>
      <c r="B3055" s="266"/>
      <c r="C3055" s="266">
        <v>5.0</v>
      </c>
      <c r="D3055" s="266" t="s">
        <v>8433</v>
      </c>
      <c r="E3055" s="266" t="s">
        <v>6479</v>
      </c>
      <c r="F3055" s="266">
        <v>12.0</v>
      </c>
      <c r="G3055" s="266" t="s">
        <v>6304</v>
      </c>
      <c r="H3055" s="266" t="s">
        <v>4104</v>
      </c>
      <c r="I3055" s="266" t="s">
        <v>6305</v>
      </c>
      <c r="J3055" s="267"/>
    </row>
    <row r="3056">
      <c r="A3056" s="266">
        <v>5600.0</v>
      </c>
      <c r="B3056" s="266"/>
      <c r="C3056" s="266">
        <v>5.0</v>
      </c>
      <c r="D3056" s="266" t="s">
        <v>8434</v>
      </c>
      <c r="E3056" s="266" t="s">
        <v>6479</v>
      </c>
      <c r="F3056" s="266">
        <v>12.0</v>
      </c>
      <c r="G3056" s="266" t="s">
        <v>6304</v>
      </c>
      <c r="H3056" s="266" t="s">
        <v>4104</v>
      </c>
      <c r="I3056" s="266" t="s">
        <v>6305</v>
      </c>
      <c r="J3056" s="267"/>
    </row>
    <row r="3057">
      <c r="A3057" s="266">
        <v>5700.0</v>
      </c>
      <c r="B3057" s="266"/>
      <c r="C3057" s="266">
        <v>5.0</v>
      </c>
      <c r="D3057" s="266" t="s">
        <v>8435</v>
      </c>
      <c r="E3057" s="266" t="s">
        <v>6479</v>
      </c>
      <c r="F3057" s="266">
        <v>12.0</v>
      </c>
      <c r="G3057" s="266" t="s">
        <v>6304</v>
      </c>
      <c r="H3057" s="266" t="s">
        <v>4104</v>
      </c>
      <c r="I3057" s="266" t="s">
        <v>6305</v>
      </c>
      <c r="J3057" s="267"/>
    </row>
    <row r="3058">
      <c r="A3058" s="266">
        <v>5800.0</v>
      </c>
      <c r="B3058" s="266"/>
      <c r="C3058" s="266">
        <v>5.0</v>
      </c>
      <c r="D3058" s="266" t="s">
        <v>8436</v>
      </c>
      <c r="E3058" s="266" t="s">
        <v>6479</v>
      </c>
      <c r="F3058" s="266">
        <v>12.0</v>
      </c>
      <c r="G3058" s="266" t="s">
        <v>6304</v>
      </c>
      <c r="H3058" s="266" t="s">
        <v>4104</v>
      </c>
      <c r="I3058" s="266" t="s">
        <v>6305</v>
      </c>
      <c r="J3058" s="267"/>
    </row>
    <row r="3059">
      <c r="A3059" s="266">
        <v>5900.0</v>
      </c>
      <c r="B3059" s="266"/>
      <c r="C3059" s="266">
        <v>5.0</v>
      </c>
      <c r="D3059" s="266" t="s">
        <v>8437</v>
      </c>
      <c r="E3059" s="266" t="s">
        <v>6479</v>
      </c>
      <c r="F3059" s="266">
        <v>12.0</v>
      </c>
      <c r="G3059" s="266" t="s">
        <v>6304</v>
      </c>
      <c r="H3059" s="266" t="s">
        <v>4104</v>
      </c>
      <c r="I3059" s="266" t="s">
        <v>6305</v>
      </c>
      <c r="J3059" s="267"/>
    </row>
    <row r="3060">
      <c r="A3060" s="266">
        <v>6000.0</v>
      </c>
      <c r="B3060" s="266"/>
      <c r="C3060" s="266">
        <v>5.0</v>
      </c>
      <c r="D3060" s="266" t="s">
        <v>8438</v>
      </c>
      <c r="E3060" s="266" t="s">
        <v>6479</v>
      </c>
      <c r="F3060" s="266">
        <v>12.0</v>
      </c>
      <c r="G3060" s="266" t="s">
        <v>6304</v>
      </c>
      <c r="H3060" s="266" t="s">
        <v>4104</v>
      </c>
      <c r="I3060" s="266" t="s">
        <v>6305</v>
      </c>
      <c r="J3060" s="267"/>
    </row>
    <row r="3061">
      <c r="A3061" s="266">
        <v>6100.0</v>
      </c>
      <c r="B3061" s="266"/>
      <c r="C3061" s="266">
        <v>5.0</v>
      </c>
      <c r="D3061" s="266" t="s">
        <v>8439</v>
      </c>
      <c r="E3061" s="266" t="s">
        <v>6479</v>
      </c>
      <c r="F3061" s="266">
        <v>12.0</v>
      </c>
      <c r="G3061" s="266" t="s">
        <v>6304</v>
      </c>
      <c r="H3061" s="266" t="s">
        <v>4104</v>
      </c>
      <c r="I3061" s="266" t="s">
        <v>6305</v>
      </c>
      <c r="J3061" s="267"/>
    </row>
    <row r="3062">
      <c r="A3062" s="266">
        <v>6200.0</v>
      </c>
      <c r="B3062" s="266"/>
      <c r="C3062" s="266">
        <v>5.0</v>
      </c>
      <c r="D3062" s="266" t="s">
        <v>8440</v>
      </c>
      <c r="E3062" s="266" t="s">
        <v>6479</v>
      </c>
      <c r="F3062" s="266">
        <v>12.0</v>
      </c>
      <c r="G3062" s="266" t="s">
        <v>6304</v>
      </c>
      <c r="H3062" s="266" t="s">
        <v>4104</v>
      </c>
      <c r="I3062" s="266" t="s">
        <v>6305</v>
      </c>
      <c r="J3062" s="267"/>
    </row>
    <row r="3063">
      <c r="A3063" s="266">
        <v>6300.0</v>
      </c>
      <c r="B3063" s="266"/>
      <c r="C3063" s="266">
        <v>5.0</v>
      </c>
      <c r="D3063" s="266" t="s">
        <v>8441</v>
      </c>
      <c r="E3063" s="266" t="s">
        <v>6479</v>
      </c>
      <c r="F3063" s="266">
        <v>12.0</v>
      </c>
      <c r="G3063" s="266" t="s">
        <v>6304</v>
      </c>
      <c r="H3063" s="266" t="s">
        <v>4104</v>
      </c>
      <c r="I3063" s="266" t="s">
        <v>6305</v>
      </c>
      <c r="J3063" s="267"/>
    </row>
    <row r="3064">
      <c r="A3064" s="266">
        <v>6400.0</v>
      </c>
      <c r="B3064" s="266"/>
      <c r="C3064" s="266">
        <v>5.0</v>
      </c>
      <c r="D3064" s="266" t="s">
        <v>8442</v>
      </c>
      <c r="E3064" s="266" t="s">
        <v>6479</v>
      </c>
      <c r="F3064" s="266">
        <v>12.0</v>
      </c>
      <c r="G3064" s="266" t="s">
        <v>6304</v>
      </c>
      <c r="H3064" s="266" t="s">
        <v>4104</v>
      </c>
      <c r="I3064" s="266" t="s">
        <v>6305</v>
      </c>
      <c r="J3064" s="267"/>
    </row>
    <row r="3065">
      <c r="A3065" s="266">
        <v>6500.0</v>
      </c>
      <c r="B3065" s="266"/>
      <c r="C3065" s="266">
        <v>5.0</v>
      </c>
      <c r="D3065" s="266" t="s">
        <v>8443</v>
      </c>
      <c r="E3065" s="266" t="s">
        <v>6479</v>
      </c>
      <c r="F3065" s="266">
        <v>12.0</v>
      </c>
      <c r="G3065" s="266" t="s">
        <v>6304</v>
      </c>
      <c r="H3065" s="266" t="s">
        <v>4104</v>
      </c>
      <c r="I3065" s="266" t="s">
        <v>6305</v>
      </c>
      <c r="J3065" s="267"/>
    </row>
    <row r="3066">
      <c r="A3066" s="266">
        <v>6600.0</v>
      </c>
      <c r="B3066" s="266"/>
      <c r="C3066" s="266">
        <v>5.0</v>
      </c>
      <c r="D3066" s="266" t="s">
        <v>8444</v>
      </c>
      <c r="E3066" s="266" t="s">
        <v>6479</v>
      </c>
      <c r="F3066" s="266">
        <v>12.0</v>
      </c>
      <c r="G3066" s="266" t="s">
        <v>6304</v>
      </c>
      <c r="H3066" s="266" t="s">
        <v>4104</v>
      </c>
      <c r="I3066" s="266" t="s">
        <v>6305</v>
      </c>
      <c r="J3066" s="267"/>
    </row>
    <row r="3067">
      <c r="A3067" s="266">
        <v>6700.0</v>
      </c>
      <c r="B3067" s="266"/>
      <c r="C3067" s="266">
        <v>5.0</v>
      </c>
      <c r="D3067" s="266" t="s">
        <v>8445</v>
      </c>
      <c r="E3067" s="266" t="s">
        <v>6479</v>
      </c>
      <c r="F3067" s="266">
        <v>12.0</v>
      </c>
      <c r="G3067" s="266" t="s">
        <v>6304</v>
      </c>
      <c r="H3067" s="266" t="s">
        <v>4104</v>
      </c>
      <c r="I3067" s="266" t="s">
        <v>6305</v>
      </c>
      <c r="J3067" s="267"/>
    </row>
    <row r="3068">
      <c r="A3068" s="266">
        <v>6800.0</v>
      </c>
      <c r="B3068" s="266"/>
      <c r="C3068" s="266">
        <v>5.0</v>
      </c>
      <c r="D3068" s="266" t="s">
        <v>8446</v>
      </c>
      <c r="E3068" s="266" t="s">
        <v>6479</v>
      </c>
      <c r="F3068" s="266">
        <v>12.0</v>
      </c>
      <c r="G3068" s="266" t="s">
        <v>6304</v>
      </c>
      <c r="H3068" s="266" t="s">
        <v>4104</v>
      </c>
      <c r="I3068" s="266" t="s">
        <v>6305</v>
      </c>
      <c r="J3068" s="267"/>
    </row>
    <row r="3069">
      <c r="A3069" s="266">
        <v>6900.0</v>
      </c>
      <c r="B3069" s="266"/>
      <c r="C3069" s="266">
        <v>5.0</v>
      </c>
      <c r="D3069" s="266" t="s">
        <v>8447</v>
      </c>
      <c r="E3069" s="266" t="s">
        <v>6479</v>
      </c>
      <c r="F3069" s="266">
        <v>12.0</v>
      </c>
      <c r="G3069" s="266" t="s">
        <v>6304</v>
      </c>
      <c r="H3069" s="266" t="s">
        <v>4104</v>
      </c>
      <c r="I3069" s="266" t="s">
        <v>6305</v>
      </c>
      <c r="J3069" s="267"/>
    </row>
    <row r="3070">
      <c r="A3070" s="266">
        <v>7000.0</v>
      </c>
      <c r="B3070" s="266"/>
      <c r="C3070" s="266">
        <v>5.0</v>
      </c>
      <c r="D3070" s="266" t="s">
        <v>8448</v>
      </c>
      <c r="E3070" s="266" t="s">
        <v>6479</v>
      </c>
      <c r="F3070" s="266">
        <v>12.0</v>
      </c>
      <c r="G3070" s="266" t="s">
        <v>6304</v>
      </c>
      <c r="H3070" s="266" t="s">
        <v>4104</v>
      </c>
      <c r="I3070" s="266" t="s">
        <v>6305</v>
      </c>
      <c r="J3070" s="267"/>
    </row>
    <row r="3071">
      <c r="A3071" s="266">
        <v>7100.0</v>
      </c>
      <c r="B3071" s="266"/>
      <c r="C3071" s="266">
        <v>5.0</v>
      </c>
      <c r="D3071" s="266" t="s">
        <v>8449</v>
      </c>
      <c r="E3071" s="266" t="s">
        <v>6479</v>
      </c>
      <c r="F3071" s="266">
        <v>12.0</v>
      </c>
      <c r="G3071" s="266" t="s">
        <v>6304</v>
      </c>
      <c r="H3071" s="266" t="s">
        <v>4104</v>
      </c>
      <c r="I3071" s="266" t="s">
        <v>6305</v>
      </c>
      <c r="J3071" s="267"/>
    </row>
    <row r="3072">
      <c r="A3072" s="266">
        <v>7200.0</v>
      </c>
      <c r="B3072" s="266"/>
      <c r="C3072" s="266">
        <v>5.0</v>
      </c>
      <c r="D3072" s="266" t="s">
        <v>8450</v>
      </c>
      <c r="E3072" s="266" t="s">
        <v>6479</v>
      </c>
      <c r="F3072" s="266">
        <v>12.0</v>
      </c>
      <c r="G3072" s="266" t="s">
        <v>6304</v>
      </c>
      <c r="H3072" s="266" t="s">
        <v>5112</v>
      </c>
      <c r="I3072" s="266" t="s">
        <v>6305</v>
      </c>
      <c r="J3072" s="267"/>
    </row>
    <row r="3073">
      <c r="A3073" s="266">
        <v>7300.0</v>
      </c>
      <c r="B3073" s="266"/>
      <c r="C3073" s="266">
        <v>5.0</v>
      </c>
      <c r="D3073" s="266" t="s">
        <v>8451</v>
      </c>
      <c r="E3073" s="266" t="s">
        <v>6479</v>
      </c>
      <c r="F3073" s="266">
        <v>12.0</v>
      </c>
      <c r="G3073" s="266" t="s">
        <v>6304</v>
      </c>
      <c r="H3073" s="266" t="s">
        <v>5112</v>
      </c>
      <c r="I3073" s="266" t="s">
        <v>6305</v>
      </c>
      <c r="J3073" s="267"/>
    </row>
    <row r="3074">
      <c r="A3074" s="266">
        <v>7400.0</v>
      </c>
      <c r="B3074" s="266"/>
      <c r="C3074" s="266">
        <v>5.0</v>
      </c>
      <c r="D3074" s="266" t="s">
        <v>8452</v>
      </c>
      <c r="E3074" s="266"/>
      <c r="F3074" s="266"/>
      <c r="G3074" s="266" t="s">
        <v>6304</v>
      </c>
      <c r="H3074" s="266" t="s">
        <v>4104</v>
      </c>
      <c r="I3074" s="266" t="s">
        <v>6305</v>
      </c>
      <c r="J3074" s="266"/>
      <c r="K3074" s="1"/>
      <c r="L3074" s="1"/>
    </row>
    <row r="3075">
      <c r="A3075" s="266">
        <v>7500.0</v>
      </c>
      <c r="B3075" s="266"/>
      <c r="C3075" s="266">
        <v>5.0</v>
      </c>
      <c r="D3075" s="266" t="s">
        <v>8453</v>
      </c>
      <c r="E3075" s="266"/>
      <c r="F3075" s="266"/>
      <c r="G3075" s="266" t="s">
        <v>6304</v>
      </c>
      <c r="H3075" s="266" t="s">
        <v>4104</v>
      </c>
      <c r="I3075" s="266" t="s">
        <v>6305</v>
      </c>
      <c r="J3075" s="266"/>
      <c r="K3075" s="1"/>
      <c r="L3075" s="1"/>
    </row>
    <row r="3076">
      <c r="A3076" s="266">
        <v>7600.0</v>
      </c>
      <c r="B3076" s="266"/>
      <c r="C3076" s="266">
        <v>5.0</v>
      </c>
      <c r="D3076" s="266" t="s">
        <v>8454</v>
      </c>
      <c r="E3076" s="266"/>
      <c r="F3076" s="266"/>
      <c r="G3076" s="266" t="s">
        <v>6304</v>
      </c>
      <c r="H3076" s="266" t="s">
        <v>4104</v>
      </c>
      <c r="I3076" s="266" t="s">
        <v>6305</v>
      </c>
      <c r="J3076" s="266"/>
      <c r="K3076" s="1"/>
      <c r="L3076" s="1"/>
    </row>
    <row r="3077">
      <c r="A3077" s="266">
        <v>7700.0</v>
      </c>
      <c r="B3077" s="266"/>
      <c r="C3077" s="266">
        <v>5.0</v>
      </c>
      <c r="D3077" s="266" t="s">
        <v>8455</v>
      </c>
      <c r="E3077" s="266"/>
      <c r="F3077" s="266"/>
      <c r="G3077" s="266" t="s">
        <v>6304</v>
      </c>
      <c r="H3077" s="266" t="s">
        <v>4104</v>
      </c>
      <c r="I3077" s="266" t="s">
        <v>6305</v>
      </c>
      <c r="J3077" s="266"/>
      <c r="K3077" s="1"/>
      <c r="L3077" s="1"/>
    </row>
    <row r="3078">
      <c r="A3078" s="266">
        <v>7800.0</v>
      </c>
      <c r="B3078" s="266"/>
      <c r="C3078" s="266">
        <v>5.0</v>
      </c>
      <c r="D3078" s="266" t="s">
        <v>8456</v>
      </c>
      <c r="E3078" s="266"/>
      <c r="F3078" s="266"/>
      <c r="G3078" s="266" t="s">
        <v>6304</v>
      </c>
      <c r="H3078" s="266" t="s">
        <v>4104</v>
      </c>
      <c r="I3078" s="266" t="s">
        <v>6305</v>
      </c>
      <c r="J3078" s="266"/>
      <c r="K3078" s="1"/>
      <c r="L3078" s="1"/>
    </row>
    <row r="3079">
      <c r="A3079" s="266">
        <v>7900.0</v>
      </c>
      <c r="B3079" s="266"/>
      <c r="C3079" s="266">
        <v>5.0</v>
      </c>
      <c r="D3079" s="266" t="s">
        <v>8457</v>
      </c>
      <c r="E3079" s="266"/>
      <c r="F3079" s="266"/>
      <c r="G3079" s="266" t="s">
        <v>6304</v>
      </c>
      <c r="H3079" s="266" t="s">
        <v>4104</v>
      </c>
      <c r="I3079" s="266" t="s">
        <v>6305</v>
      </c>
      <c r="J3079" s="266"/>
      <c r="K3079" s="1"/>
      <c r="L3079" s="1"/>
    </row>
    <row r="3080">
      <c r="A3080" s="266">
        <v>8000.0</v>
      </c>
      <c r="B3080" s="266"/>
      <c r="C3080" s="266">
        <v>5.0</v>
      </c>
      <c r="D3080" s="266" t="s">
        <v>8458</v>
      </c>
      <c r="E3080" s="266"/>
      <c r="F3080" s="266"/>
      <c r="G3080" s="266" t="s">
        <v>6304</v>
      </c>
      <c r="H3080" s="266" t="s">
        <v>4104</v>
      </c>
      <c r="I3080" s="266" t="s">
        <v>6305</v>
      </c>
      <c r="J3080" s="266"/>
      <c r="K3080" s="1"/>
      <c r="L3080" s="1"/>
    </row>
    <row r="3081">
      <c r="A3081" s="266">
        <v>8100.0</v>
      </c>
      <c r="B3081" s="266"/>
      <c r="C3081" s="266">
        <v>5.0</v>
      </c>
      <c r="D3081" s="266" t="s">
        <v>8459</v>
      </c>
      <c r="E3081" s="266"/>
      <c r="F3081" s="266"/>
      <c r="G3081" s="266" t="s">
        <v>6304</v>
      </c>
      <c r="H3081" s="266" t="s">
        <v>4104</v>
      </c>
      <c r="I3081" s="266" t="s">
        <v>6305</v>
      </c>
      <c r="J3081" s="266"/>
      <c r="K3081" s="1"/>
      <c r="L3081" s="1"/>
    </row>
    <row r="3082">
      <c r="A3082" s="266">
        <v>8200.0</v>
      </c>
      <c r="B3082" s="266"/>
      <c r="C3082" s="266">
        <v>5.0</v>
      </c>
      <c r="D3082" s="266" t="s">
        <v>8460</v>
      </c>
      <c r="E3082" s="266"/>
      <c r="F3082" s="266"/>
      <c r="G3082" s="266" t="s">
        <v>6304</v>
      </c>
      <c r="H3082" s="266" t="s">
        <v>4104</v>
      </c>
      <c r="I3082" s="266" t="s">
        <v>6305</v>
      </c>
      <c r="J3082" s="266"/>
      <c r="K3082" s="1"/>
      <c r="L3082" s="1"/>
    </row>
    <row r="3083">
      <c r="A3083" s="266">
        <v>8300.0</v>
      </c>
      <c r="B3083" s="266"/>
      <c r="C3083" s="266">
        <v>5.0</v>
      </c>
      <c r="D3083" s="266" t="s">
        <v>8461</v>
      </c>
      <c r="E3083" s="266"/>
      <c r="F3083" s="266"/>
      <c r="G3083" s="266" t="s">
        <v>6304</v>
      </c>
      <c r="H3083" s="266" t="s">
        <v>4104</v>
      </c>
      <c r="I3083" s="266" t="s">
        <v>6305</v>
      </c>
      <c r="J3083" s="266"/>
      <c r="K3083" s="1"/>
      <c r="L3083" s="1"/>
    </row>
    <row r="3084">
      <c r="A3084" s="266">
        <v>8400.0</v>
      </c>
      <c r="B3084" s="266"/>
      <c r="C3084" s="266">
        <v>5.0</v>
      </c>
      <c r="D3084" s="266" t="s">
        <v>8462</v>
      </c>
      <c r="E3084" s="266"/>
      <c r="F3084" s="266"/>
      <c r="G3084" s="266" t="s">
        <v>6304</v>
      </c>
      <c r="H3084" s="266" t="s">
        <v>5112</v>
      </c>
      <c r="I3084" s="266" t="s">
        <v>6305</v>
      </c>
      <c r="J3084" s="266"/>
      <c r="K3084" s="1"/>
      <c r="L3084" s="1"/>
    </row>
    <row r="3085">
      <c r="A3085" s="266">
        <v>8500.0</v>
      </c>
      <c r="B3085" s="266"/>
      <c r="C3085" s="266">
        <v>5.0</v>
      </c>
      <c r="D3085" s="266" t="s">
        <v>8463</v>
      </c>
      <c r="E3085" s="266"/>
      <c r="F3085" s="266"/>
      <c r="G3085" s="266" t="s">
        <v>6304</v>
      </c>
      <c r="H3085" s="266" t="s">
        <v>4104</v>
      </c>
      <c r="I3085" s="266" t="s">
        <v>6305</v>
      </c>
      <c r="J3085" s="266"/>
      <c r="K3085" s="1"/>
      <c r="L3085" s="1"/>
    </row>
    <row r="3086">
      <c r="A3086" s="266">
        <v>8600.0</v>
      </c>
      <c r="B3086" s="266"/>
      <c r="C3086" s="266">
        <v>5.0</v>
      </c>
      <c r="D3086" s="266" t="s">
        <v>8464</v>
      </c>
      <c r="E3086" s="266"/>
      <c r="F3086" s="266"/>
      <c r="G3086" s="266" t="s">
        <v>6304</v>
      </c>
      <c r="H3086" s="266" t="s">
        <v>5112</v>
      </c>
      <c r="I3086" s="266" t="s">
        <v>6305</v>
      </c>
      <c r="J3086" s="266"/>
      <c r="K3086" s="1"/>
      <c r="L3086" s="1"/>
    </row>
    <row r="3087">
      <c r="A3087" s="266">
        <v>8700.0</v>
      </c>
      <c r="B3087" s="266"/>
      <c r="C3087" s="266">
        <v>5.0</v>
      </c>
      <c r="D3087" s="266" t="s">
        <v>8465</v>
      </c>
      <c r="E3087" s="266"/>
      <c r="F3087" s="266"/>
      <c r="G3087" s="266" t="s">
        <v>6304</v>
      </c>
      <c r="H3087" s="266" t="s">
        <v>4104</v>
      </c>
      <c r="I3087" s="266" t="s">
        <v>6305</v>
      </c>
      <c r="J3087" s="266"/>
      <c r="K3087" s="1"/>
      <c r="L3087" s="1"/>
    </row>
    <row r="3088">
      <c r="A3088" s="266">
        <v>8800.0</v>
      </c>
      <c r="B3088" s="266"/>
      <c r="C3088" s="266">
        <v>5.0</v>
      </c>
      <c r="D3088" s="266" t="s">
        <v>8466</v>
      </c>
      <c r="E3088" s="266"/>
      <c r="F3088" s="266"/>
      <c r="G3088" s="266" t="s">
        <v>6304</v>
      </c>
      <c r="H3088" s="266" t="s">
        <v>4104</v>
      </c>
      <c r="I3088" s="266" t="s">
        <v>6305</v>
      </c>
      <c r="J3088" s="266"/>
      <c r="K3088" s="1"/>
      <c r="L3088" s="1"/>
    </row>
    <row r="3089">
      <c r="A3089" s="266">
        <v>8900.0</v>
      </c>
      <c r="B3089" s="266"/>
      <c r="C3089" s="266">
        <v>5.0</v>
      </c>
      <c r="D3089" s="266" t="s">
        <v>8467</v>
      </c>
      <c r="E3089" s="266"/>
      <c r="F3089" s="266"/>
      <c r="G3089" s="266" t="s">
        <v>6304</v>
      </c>
      <c r="H3089" s="266" t="s">
        <v>4104</v>
      </c>
      <c r="I3089" s="266" t="s">
        <v>6305</v>
      </c>
      <c r="J3089" s="266"/>
      <c r="K3089" s="1"/>
      <c r="L3089" s="1"/>
    </row>
    <row r="3090">
      <c r="A3090" s="266">
        <v>9000.0</v>
      </c>
      <c r="B3090" s="266"/>
      <c r="C3090" s="266">
        <v>5.0</v>
      </c>
      <c r="D3090" s="266" t="s">
        <v>8468</v>
      </c>
      <c r="E3090" s="266"/>
      <c r="F3090" s="266"/>
      <c r="G3090" s="266" t="s">
        <v>6304</v>
      </c>
      <c r="H3090" s="266" t="s">
        <v>4104</v>
      </c>
      <c r="I3090" s="266" t="s">
        <v>6305</v>
      </c>
      <c r="J3090" s="266"/>
      <c r="K3090" s="1"/>
      <c r="L3090" s="1"/>
    </row>
    <row r="3091">
      <c r="A3091" s="266">
        <v>9100.0</v>
      </c>
      <c r="B3091" s="266"/>
      <c r="C3091" s="266">
        <v>5.0</v>
      </c>
      <c r="D3091" s="266" t="s">
        <v>8469</v>
      </c>
      <c r="E3091" s="266"/>
      <c r="F3091" s="266"/>
      <c r="G3091" s="266" t="s">
        <v>6304</v>
      </c>
      <c r="H3091" s="266" t="s">
        <v>4104</v>
      </c>
      <c r="I3091" s="266" t="s">
        <v>6305</v>
      </c>
      <c r="J3091" s="266"/>
      <c r="K3091" s="1"/>
      <c r="L3091" s="1"/>
    </row>
    <row r="3092">
      <c r="A3092" s="266">
        <v>9200.0</v>
      </c>
      <c r="B3092" s="266"/>
      <c r="C3092" s="266">
        <v>5.0</v>
      </c>
      <c r="D3092" s="266" t="s">
        <v>8470</v>
      </c>
      <c r="E3092" s="266"/>
      <c r="F3092" s="266"/>
      <c r="G3092" s="266" t="s">
        <v>6304</v>
      </c>
      <c r="H3092" s="266" t="s">
        <v>4104</v>
      </c>
      <c r="I3092" s="266" t="s">
        <v>6305</v>
      </c>
      <c r="J3092" s="266"/>
      <c r="K3092" s="1"/>
      <c r="L3092" s="1"/>
    </row>
    <row r="3093">
      <c r="A3093" s="266">
        <v>9300.0</v>
      </c>
      <c r="B3093" s="266"/>
      <c r="C3093" s="266">
        <v>5.0</v>
      </c>
      <c r="D3093" s="266" t="s">
        <v>8471</v>
      </c>
      <c r="E3093" s="266"/>
      <c r="F3093" s="266"/>
      <c r="G3093" s="266" t="s">
        <v>6304</v>
      </c>
      <c r="H3093" s="266" t="s">
        <v>4104</v>
      </c>
      <c r="I3093" s="266" t="s">
        <v>6305</v>
      </c>
      <c r="J3093" s="266"/>
      <c r="K3093" s="1"/>
      <c r="L3093" s="1"/>
    </row>
    <row r="3094">
      <c r="A3094" s="266">
        <v>9400.0</v>
      </c>
      <c r="B3094" s="266"/>
      <c r="C3094" s="266">
        <v>5.0</v>
      </c>
      <c r="D3094" s="266" t="s">
        <v>8472</v>
      </c>
      <c r="E3094" s="266"/>
      <c r="F3094" s="266"/>
      <c r="G3094" s="266" t="s">
        <v>6304</v>
      </c>
      <c r="H3094" s="266" t="s">
        <v>4104</v>
      </c>
      <c r="I3094" s="266" t="s">
        <v>6305</v>
      </c>
      <c r="J3094" s="266"/>
      <c r="K3094" s="1"/>
      <c r="L3094" s="1"/>
    </row>
    <row r="3095">
      <c r="A3095" s="266">
        <v>9500.0</v>
      </c>
      <c r="B3095" s="266"/>
      <c r="C3095" s="266">
        <v>5.0</v>
      </c>
      <c r="D3095" s="266" t="s">
        <v>8473</v>
      </c>
      <c r="E3095" s="266"/>
      <c r="F3095" s="266"/>
      <c r="G3095" s="266" t="s">
        <v>6304</v>
      </c>
      <c r="H3095" s="266" t="s">
        <v>4104</v>
      </c>
      <c r="I3095" s="266" t="s">
        <v>6305</v>
      </c>
      <c r="J3095" s="266"/>
      <c r="K3095" s="1"/>
      <c r="L3095" s="1"/>
    </row>
    <row r="3096">
      <c r="A3096" s="266">
        <v>9600.0</v>
      </c>
      <c r="B3096" s="266"/>
      <c r="C3096" s="266">
        <v>5.0</v>
      </c>
      <c r="D3096" s="266" t="s">
        <v>8474</v>
      </c>
      <c r="E3096" s="266"/>
      <c r="F3096" s="266"/>
      <c r="G3096" s="266" t="s">
        <v>6304</v>
      </c>
      <c r="H3096" s="266" t="s">
        <v>4104</v>
      </c>
      <c r="I3096" s="266" t="s">
        <v>6305</v>
      </c>
      <c r="J3096" s="266"/>
      <c r="K3096" s="1"/>
      <c r="L3096" s="1"/>
    </row>
    <row r="3097">
      <c r="A3097" s="266">
        <v>9700.0</v>
      </c>
      <c r="B3097" s="266"/>
      <c r="C3097" s="266">
        <v>5.0</v>
      </c>
      <c r="D3097" s="266" t="s">
        <v>8475</v>
      </c>
      <c r="E3097" s="266"/>
      <c r="F3097" s="266"/>
      <c r="G3097" s="266" t="s">
        <v>6304</v>
      </c>
      <c r="H3097" s="266" t="s">
        <v>4104</v>
      </c>
      <c r="I3097" s="266" t="s">
        <v>6305</v>
      </c>
      <c r="J3097" s="266"/>
      <c r="K3097" s="1"/>
      <c r="L3097" s="1"/>
    </row>
    <row r="3098">
      <c r="A3098" s="266">
        <v>9800.0</v>
      </c>
      <c r="B3098" s="266"/>
      <c r="C3098" s="266">
        <v>5.0</v>
      </c>
      <c r="D3098" s="266" t="s">
        <v>8476</v>
      </c>
      <c r="E3098" s="266"/>
      <c r="F3098" s="266"/>
      <c r="G3098" s="266" t="s">
        <v>6304</v>
      </c>
      <c r="H3098" s="266" t="s">
        <v>4104</v>
      </c>
      <c r="I3098" s="266" t="s">
        <v>6305</v>
      </c>
      <c r="J3098" s="266"/>
      <c r="K3098" s="1"/>
      <c r="L3098" s="1"/>
    </row>
    <row r="3099">
      <c r="A3099" s="266">
        <v>9900.0</v>
      </c>
      <c r="B3099" s="266"/>
      <c r="C3099" s="266">
        <v>5.0</v>
      </c>
      <c r="D3099" s="266" t="s">
        <v>8477</v>
      </c>
      <c r="E3099" s="266"/>
      <c r="F3099" s="266"/>
      <c r="G3099" s="266" t="s">
        <v>6304</v>
      </c>
      <c r="H3099" s="266" t="s">
        <v>4104</v>
      </c>
      <c r="I3099" s="266" t="s">
        <v>6305</v>
      </c>
      <c r="J3099" s="266"/>
      <c r="K3099" s="1"/>
      <c r="L3099" s="1"/>
    </row>
    <row r="3100">
      <c r="A3100" s="266">
        <v>10000.0</v>
      </c>
      <c r="B3100" s="266"/>
      <c r="C3100" s="266">
        <v>5.0</v>
      </c>
      <c r="D3100" s="266" t="s">
        <v>8478</v>
      </c>
      <c r="E3100" s="266"/>
      <c r="F3100" s="266"/>
      <c r="G3100" s="266" t="s">
        <v>6304</v>
      </c>
      <c r="H3100" s="266" t="s">
        <v>4104</v>
      </c>
      <c r="I3100" s="266" t="s">
        <v>6305</v>
      </c>
      <c r="J3100" s="266"/>
      <c r="K3100" s="1"/>
      <c r="L3100" s="1"/>
    </row>
    <row r="3101">
      <c r="A3101" s="266">
        <v>10100.0</v>
      </c>
      <c r="B3101" s="266"/>
      <c r="C3101" s="266">
        <v>5.0</v>
      </c>
      <c r="D3101" s="266" t="s">
        <v>8479</v>
      </c>
      <c r="E3101" s="266"/>
      <c r="F3101" s="266"/>
      <c r="G3101" s="266" t="s">
        <v>6304</v>
      </c>
      <c r="H3101" s="266" t="s">
        <v>4104</v>
      </c>
      <c r="I3101" s="266" t="s">
        <v>6305</v>
      </c>
      <c r="J3101" s="266"/>
      <c r="K3101" s="1"/>
      <c r="L3101" s="1"/>
    </row>
    <row r="3102">
      <c r="A3102" s="266">
        <v>10200.0</v>
      </c>
      <c r="B3102" s="266"/>
      <c r="C3102" s="266">
        <v>5.0</v>
      </c>
      <c r="D3102" s="266" t="s">
        <v>8480</v>
      </c>
      <c r="E3102" s="266"/>
      <c r="F3102" s="266"/>
      <c r="G3102" s="266" t="s">
        <v>6304</v>
      </c>
      <c r="H3102" s="266" t="s">
        <v>4104</v>
      </c>
      <c r="I3102" s="266" t="s">
        <v>6305</v>
      </c>
      <c r="J3102" s="266"/>
      <c r="K3102" s="1"/>
      <c r="L3102" s="1"/>
    </row>
    <row r="3103">
      <c r="A3103" s="266">
        <v>10300.0</v>
      </c>
      <c r="B3103" s="266"/>
      <c r="C3103" s="266">
        <v>5.0</v>
      </c>
      <c r="D3103" s="266" t="s">
        <v>8481</v>
      </c>
      <c r="E3103" s="266"/>
      <c r="F3103" s="266"/>
      <c r="G3103" s="266" t="s">
        <v>6304</v>
      </c>
      <c r="H3103" s="266" t="s">
        <v>4104</v>
      </c>
      <c r="I3103" s="266" t="s">
        <v>6305</v>
      </c>
      <c r="J3103" s="266"/>
      <c r="K3103" s="1"/>
      <c r="L3103" s="1"/>
    </row>
    <row r="3104">
      <c r="A3104" s="266">
        <v>10400.0</v>
      </c>
      <c r="B3104" s="266"/>
      <c r="C3104" s="266">
        <v>5.0</v>
      </c>
      <c r="D3104" s="266" t="s">
        <v>8482</v>
      </c>
      <c r="E3104" s="266"/>
      <c r="F3104" s="266"/>
      <c r="G3104" s="266" t="s">
        <v>6304</v>
      </c>
      <c r="H3104" s="266" t="s">
        <v>4104</v>
      </c>
      <c r="I3104" s="266" t="s">
        <v>6305</v>
      </c>
      <c r="J3104" s="266"/>
      <c r="K3104" s="1"/>
      <c r="L3104" s="1"/>
    </row>
    <row r="3105">
      <c r="A3105" s="266">
        <v>10500.0</v>
      </c>
      <c r="B3105" s="266"/>
      <c r="C3105" s="266">
        <v>5.0</v>
      </c>
      <c r="D3105" s="266" t="s">
        <v>8483</v>
      </c>
      <c r="E3105" s="266" t="s">
        <v>6479</v>
      </c>
      <c r="F3105" s="266">
        <v>3.0</v>
      </c>
      <c r="G3105" s="266" t="s">
        <v>6304</v>
      </c>
      <c r="H3105" s="266" t="s">
        <v>4104</v>
      </c>
      <c r="I3105" s="266" t="s">
        <v>6305</v>
      </c>
      <c r="J3105" s="267"/>
    </row>
    <row r="3106">
      <c r="A3106" s="266">
        <v>10600.0</v>
      </c>
      <c r="B3106" s="266"/>
      <c r="C3106" s="266">
        <v>5.0</v>
      </c>
      <c r="D3106" s="266" t="s">
        <v>8484</v>
      </c>
      <c r="E3106" s="266" t="s">
        <v>6479</v>
      </c>
      <c r="F3106" s="266">
        <v>3.0</v>
      </c>
      <c r="G3106" s="266" t="s">
        <v>6304</v>
      </c>
      <c r="H3106" s="266" t="s">
        <v>4104</v>
      </c>
      <c r="I3106" s="266" t="s">
        <v>6305</v>
      </c>
      <c r="J3106" s="267"/>
    </row>
    <row r="3107">
      <c r="A3107" s="266">
        <v>10700.0</v>
      </c>
      <c r="B3107" s="266"/>
      <c r="C3107" s="266">
        <v>5.0</v>
      </c>
      <c r="D3107" s="266" t="s">
        <v>8485</v>
      </c>
      <c r="E3107" s="266" t="s">
        <v>6479</v>
      </c>
      <c r="F3107" s="266">
        <v>3.0</v>
      </c>
      <c r="G3107" s="266" t="s">
        <v>6304</v>
      </c>
      <c r="H3107" s="266" t="s">
        <v>4104</v>
      </c>
      <c r="I3107" s="266" t="s">
        <v>6305</v>
      </c>
      <c r="J3107" s="267"/>
    </row>
    <row r="3108">
      <c r="A3108" s="266">
        <v>10800.0</v>
      </c>
      <c r="B3108" s="266"/>
      <c r="C3108" s="266">
        <v>5.0</v>
      </c>
      <c r="D3108" s="266" t="s">
        <v>8486</v>
      </c>
      <c r="E3108" s="266" t="s">
        <v>6479</v>
      </c>
      <c r="F3108" s="266">
        <v>3.0</v>
      </c>
      <c r="G3108" s="266" t="s">
        <v>6304</v>
      </c>
      <c r="H3108" s="266" t="s">
        <v>4104</v>
      </c>
      <c r="I3108" s="266" t="s">
        <v>6305</v>
      </c>
      <c r="J3108" s="267"/>
    </row>
    <row r="3109">
      <c r="A3109" s="266">
        <v>10900.0</v>
      </c>
      <c r="B3109" s="266"/>
      <c r="C3109" s="266">
        <v>5.0</v>
      </c>
      <c r="D3109" s="266" t="s">
        <v>8487</v>
      </c>
      <c r="E3109" s="266" t="s">
        <v>6479</v>
      </c>
      <c r="F3109" s="266">
        <v>3.0</v>
      </c>
      <c r="G3109" s="266" t="s">
        <v>6304</v>
      </c>
      <c r="H3109" s="266" t="s">
        <v>4104</v>
      </c>
      <c r="I3109" s="266" t="s">
        <v>6305</v>
      </c>
      <c r="J3109" s="267"/>
    </row>
    <row r="3110">
      <c r="A3110" s="266">
        <v>11000.0</v>
      </c>
      <c r="B3110" s="266"/>
      <c r="C3110" s="266">
        <v>5.0</v>
      </c>
      <c r="D3110" s="266" t="s">
        <v>8488</v>
      </c>
      <c r="E3110" s="266" t="s">
        <v>6479</v>
      </c>
      <c r="F3110" s="266">
        <v>3.0</v>
      </c>
      <c r="G3110" s="266" t="s">
        <v>6304</v>
      </c>
      <c r="H3110" s="266" t="s">
        <v>4104</v>
      </c>
      <c r="I3110" s="266" t="s">
        <v>6305</v>
      </c>
      <c r="J3110" s="267"/>
    </row>
    <row r="3111">
      <c r="A3111" s="266">
        <v>11100.0</v>
      </c>
      <c r="B3111" s="266"/>
      <c r="C3111" s="266">
        <v>5.0</v>
      </c>
      <c r="D3111" s="266" t="s">
        <v>8489</v>
      </c>
      <c r="E3111" s="266" t="s">
        <v>6479</v>
      </c>
      <c r="F3111" s="266">
        <v>3.0</v>
      </c>
      <c r="G3111" s="266" t="s">
        <v>6304</v>
      </c>
      <c r="H3111" s="266" t="s">
        <v>4104</v>
      </c>
      <c r="I3111" s="266" t="s">
        <v>6305</v>
      </c>
      <c r="J3111" s="267"/>
    </row>
    <row r="3112">
      <c r="A3112" s="266">
        <v>11200.0</v>
      </c>
      <c r="B3112" s="266"/>
      <c r="C3112" s="266">
        <v>5.0</v>
      </c>
      <c r="D3112" s="266" t="s">
        <v>8490</v>
      </c>
      <c r="E3112" s="266" t="s">
        <v>6479</v>
      </c>
      <c r="F3112" s="266">
        <v>3.0</v>
      </c>
      <c r="G3112" s="266" t="s">
        <v>6304</v>
      </c>
      <c r="H3112" s="266" t="s">
        <v>4104</v>
      </c>
      <c r="I3112" s="266" t="s">
        <v>6305</v>
      </c>
      <c r="J3112" s="267"/>
    </row>
    <row r="3113">
      <c r="A3113" s="266">
        <v>11300.0</v>
      </c>
      <c r="B3113" s="266"/>
      <c r="C3113" s="266">
        <v>5.0</v>
      </c>
      <c r="D3113" s="266" t="s">
        <v>8491</v>
      </c>
      <c r="E3113" s="266" t="s">
        <v>6479</v>
      </c>
      <c r="F3113" s="266">
        <v>3.0</v>
      </c>
      <c r="G3113" s="266" t="s">
        <v>6304</v>
      </c>
      <c r="H3113" s="266" t="s">
        <v>4104</v>
      </c>
      <c r="I3113" s="266" t="s">
        <v>6305</v>
      </c>
      <c r="J3113" s="267"/>
    </row>
    <row r="3114">
      <c r="A3114" s="266">
        <v>11400.0</v>
      </c>
      <c r="B3114" s="266"/>
      <c r="C3114" s="266">
        <v>5.0</v>
      </c>
      <c r="D3114" s="266" t="s">
        <v>8492</v>
      </c>
      <c r="E3114" s="266" t="s">
        <v>6479</v>
      </c>
      <c r="F3114" s="266">
        <v>3.0</v>
      </c>
      <c r="G3114" s="266" t="s">
        <v>6304</v>
      </c>
      <c r="H3114" s="266" t="s">
        <v>4104</v>
      </c>
      <c r="I3114" s="266" t="s">
        <v>6305</v>
      </c>
      <c r="J3114" s="267"/>
    </row>
    <row r="3115">
      <c r="A3115" s="266">
        <v>11500.0</v>
      </c>
      <c r="B3115" s="266"/>
      <c r="C3115" s="266">
        <v>5.0</v>
      </c>
      <c r="D3115" s="266" t="s">
        <v>8493</v>
      </c>
      <c r="E3115" s="266" t="s">
        <v>6479</v>
      </c>
      <c r="F3115" s="266">
        <v>3.0</v>
      </c>
      <c r="G3115" s="266" t="s">
        <v>6304</v>
      </c>
      <c r="H3115" s="266" t="s">
        <v>5112</v>
      </c>
      <c r="I3115" s="266" t="s">
        <v>6305</v>
      </c>
      <c r="J3115" s="267"/>
    </row>
    <row r="3116">
      <c r="A3116" s="266">
        <v>11600.0</v>
      </c>
      <c r="B3116" s="266"/>
      <c r="C3116" s="266">
        <v>5.0</v>
      </c>
      <c r="D3116" s="266" t="s">
        <v>8494</v>
      </c>
      <c r="E3116" s="266" t="s">
        <v>6479</v>
      </c>
      <c r="F3116" s="266">
        <v>2.0</v>
      </c>
      <c r="G3116" s="266" t="s">
        <v>6304</v>
      </c>
      <c r="H3116" s="266" t="s">
        <v>4104</v>
      </c>
      <c r="I3116" s="266" t="s">
        <v>6305</v>
      </c>
      <c r="J3116" s="267"/>
    </row>
    <row r="3117">
      <c r="A3117" s="266">
        <v>11700.0</v>
      </c>
      <c r="B3117" s="266"/>
      <c r="C3117" s="266">
        <v>5.0</v>
      </c>
      <c r="D3117" s="266" t="s">
        <v>8495</v>
      </c>
      <c r="E3117" s="266" t="s">
        <v>6479</v>
      </c>
      <c r="F3117" s="266">
        <v>2.0</v>
      </c>
      <c r="G3117" s="266" t="s">
        <v>6304</v>
      </c>
      <c r="H3117" s="266" t="s">
        <v>5112</v>
      </c>
      <c r="I3117" s="266" t="s">
        <v>6305</v>
      </c>
      <c r="J3117" s="267"/>
    </row>
    <row r="3118">
      <c r="A3118" s="266">
        <v>11800.0</v>
      </c>
      <c r="B3118" s="266"/>
      <c r="C3118" s="266">
        <v>5.0</v>
      </c>
      <c r="D3118" s="266" t="s">
        <v>8496</v>
      </c>
      <c r="E3118" s="266" t="s">
        <v>6479</v>
      </c>
      <c r="F3118" s="266">
        <v>2.0</v>
      </c>
      <c r="G3118" s="266" t="s">
        <v>6304</v>
      </c>
      <c r="H3118" s="266" t="s">
        <v>4104</v>
      </c>
      <c r="I3118" s="266" t="s">
        <v>6305</v>
      </c>
      <c r="J3118" s="267"/>
    </row>
    <row r="3119">
      <c r="A3119" s="266">
        <v>11900.0</v>
      </c>
      <c r="B3119" s="266"/>
      <c r="C3119" s="266">
        <v>5.0</v>
      </c>
      <c r="D3119" s="266" t="s">
        <v>8497</v>
      </c>
      <c r="E3119" s="266" t="s">
        <v>6479</v>
      </c>
      <c r="F3119" s="266">
        <v>2.0</v>
      </c>
      <c r="G3119" s="266" t="s">
        <v>6304</v>
      </c>
      <c r="H3119" s="266" t="s">
        <v>4104</v>
      </c>
      <c r="I3119" s="266" t="s">
        <v>6305</v>
      </c>
      <c r="J3119" s="267"/>
    </row>
    <row r="3120">
      <c r="A3120" s="266">
        <v>12000.0</v>
      </c>
      <c r="B3120" s="266"/>
      <c r="C3120" s="266">
        <v>5.0</v>
      </c>
      <c r="D3120" s="266" t="s">
        <v>8498</v>
      </c>
      <c r="E3120" s="266" t="s">
        <v>6479</v>
      </c>
      <c r="F3120" s="266">
        <v>2.0</v>
      </c>
      <c r="G3120" s="266" t="s">
        <v>6304</v>
      </c>
      <c r="H3120" s="266" t="s">
        <v>4104</v>
      </c>
      <c r="I3120" s="266" t="s">
        <v>6305</v>
      </c>
      <c r="J3120" s="267"/>
    </row>
    <row r="3121">
      <c r="A3121" s="266">
        <v>12100.0</v>
      </c>
      <c r="B3121" s="266"/>
      <c r="C3121" s="266">
        <v>5.0</v>
      </c>
      <c r="D3121" s="266" t="s">
        <v>8499</v>
      </c>
      <c r="E3121" s="266" t="s">
        <v>6479</v>
      </c>
      <c r="F3121" s="266">
        <v>2.0</v>
      </c>
      <c r="G3121" s="266" t="s">
        <v>6304</v>
      </c>
      <c r="H3121" s="266" t="s">
        <v>4104</v>
      </c>
      <c r="I3121" s="266" t="s">
        <v>6305</v>
      </c>
      <c r="J3121" s="267"/>
    </row>
    <row r="3122">
      <c r="A3122" s="266">
        <v>12200.0</v>
      </c>
      <c r="B3122" s="266"/>
      <c r="C3122" s="266">
        <v>5.0</v>
      </c>
      <c r="D3122" s="266" t="s">
        <v>8500</v>
      </c>
      <c r="E3122" s="266" t="s">
        <v>6479</v>
      </c>
      <c r="F3122" s="266">
        <v>2.0</v>
      </c>
      <c r="G3122" s="266" t="s">
        <v>6304</v>
      </c>
      <c r="H3122" s="266" t="s">
        <v>4104</v>
      </c>
      <c r="I3122" s="266" t="s">
        <v>6305</v>
      </c>
      <c r="J3122" s="267"/>
    </row>
    <row r="3123">
      <c r="A3123" s="266">
        <v>12300.0</v>
      </c>
      <c r="B3123" s="266"/>
      <c r="C3123" s="266">
        <v>5.0</v>
      </c>
      <c r="D3123" s="266" t="s">
        <v>8501</v>
      </c>
      <c r="E3123" s="266" t="s">
        <v>6479</v>
      </c>
      <c r="F3123" s="266">
        <v>2.0</v>
      </c>
      <c r="G3123" s="266" t="s">
        <v>6304</v>
      </c>
      <c r="H3123" s="266" t="s">
        <v>4104</v>
      </c>
      <c r="I3123" s="266" t="s">
        <v>6305</v>
      </c>
      <c r="J3123" s="267"/>
    </row>
    <row r="3124">
      <c r="A3124" s="266">
        <v>12400.0</v>
      </c>
      <c r="B3124" s="266"/>
      <c r="C3124" s="266">
        <v>5.0</v>
      </c>
      <c r="D3124" s="266" t="s">
        <v>8502</v>
      </c>
      <c r="E3124" s="266" t="s">
        <v>6479</v>
      </c>
      <c r="F3124" s="266">
        <v>2.0</v>
      </c>
      <c r="G3124" s="266" t="s">
        <v>6304</v>
      </c>
      <c r="H3124" s="266" t="s">
        <v>4104</v>
      </c>
      <c r="I3124" s="266" t="s">
        <v>6305</v>
      </c>
      <c r="J3124" s="267"/>
    </row>
    <row r="3125">
      <c r="A3125" s="266">
        <v>12500.0</v>
      </c>
      <c r="B3125" s="266"/>
      <c r="C3125" s="266">
        <v>5.0</v>
      </c>
      <c r="D3125" s="266" t="s">
        <v>8503</v>
      </c>
      <c r="E3125" s="266" t="s">
        <v>6479</v>
      </c>
      <c r="F3125" s="266">
        <v>2.0</v>
      </c>
      <c r="G3125" s="266" t="s">
        <v>6304</v>
      </c>
      <c r="H3125" s="266" t="s">
        <v>4104</v>
      </c>
      <c r="I3125" s="266" t="s">
        <v>6305</v>
      </c>
      <c r="J3125" s="267"/>
    </row>
    <row r="3126">
      <c r="A3126" s="266">
        <v>12600.0</v>
      </c>
      <c r="B3126" s="266"/>
      <c r="C3126" s="266">
        <v>5.0</v>
      </c>
      <c r="D3126" s="266" t="s">
        <v>8504</v>
      </c>
      <c r="E3126" s="266" t="s">
        <v>6479</v>
      </c>
      <c r="F3126" s="266">
        <v>2.0</v>
      </c>
      <c r="G3126" s="266" t="s">
        <v>6304</v>
      </c>
      <c r="H3126" s="266" t="s">
        <v>4104</v>
      </c>
      <c r="I3126" s="266" t="s">
        <v>6305</v>
      </c>
      <c r="J3126" s="267"/>
    </row>
    <row r="3127">
      <c r="A3127" s="266">
        <v>12700.0</v>
      </c>
      <c r="B3127" s="266"/>
      <c r="C3127" s="266">
        <v>5.0</v>
      </c>
      <c r="D3127" s="266" t="s">
        <v>8505</v>
      </c>
      <c r="E3127" s="266" t="s">
        <v>6479</v>
      </c>
      <c r="F3127" s="266">
        <v>2.0</v>
      </c>
      <c r="G3127" s="266" t="s">
        <v>6304</v>
      </c>
      <c r="H3127" s="266" t="s">
        <v>4104</v>
      </c>
      <c r="I3127" s="266" t="s">
        <v>6305</v>
      </c>
      <c r="J3127" s="267"/>
    </row>
    <row r="3128">
      <c r="A3128" s="266">
        <v>12800.0</v>
      </c>
      <c r="B3128" s="266"/>
      <c r="C3128" s="266">
        <v>5.0</v>
      </c>
      <c r="D3128" s="266" t="s">
        <v>8506</v>
      </c>
      <c r="E3128" s="266" t="s">
        <v>6479</v>
      </c>
      <c r="F3128" s="266">
        <v>2.0</v>
      </c>
      <c r="G3128" s="266" t="s">
        <v>6304</v>
      </c>
      <c r="H3128" s="266" t="s">
        <v>4104</v>
      </c>
      <c r="I3128" s="266" t="s">
        <v>6305</v>
      </c>
      <c r="J3128" s="267"/>
    </row>
    <row r="3129">
      <c r="A3129" s="266">
        <v>12900.0</v>
      </c>
      <c r="B3129" s="266"/>
      <c r="C3129" s="266">
        <v>5.0</v>
      </c>
      <c r="D3129" s="266" t="s">
        <v>8507</v>
      </c>
      <c r="E3129" s="266" t="s">
        <v>6479</v>
      </c>
      <c r="F3129" s="266">
        <v>2.0</v>
      </c>
      <c r="G3129" s="266" t="s">
        <v>6304</v>
      </c>
      <c r="H3129" s="266" t="s">
        <v>4104</v>
      </c>
      <c r="I3129" s="266" t="s">
        <v>6305</v>
      </c>
      <c r="J3129" s="267"/>
    </row>
    <row r="3130">
      <c r="A3130" s="266">
        <v>13000.0</v>
      </c>
      <c r="B3130" s="266"/>
      <c r="C3130" s="266">
        <v>5.0</v>
      </c>
      <c r="D3130" s="266" t="s">
        <v>8508</v>
      </c>
      <c r="E3130" s="266" t="s">
        <v>6479</v>
      </c>
      <c r="F3130" s="266">
        <v>2.0</v>
      </c>
      <c r="G3130" s="266" t="s">
        <v>6304</v>
      </c>
      <c r="H3130" s="266" t="s">
        <v>4104</v>
      </c>
      <c r="I3130" s="266" t="s">
        <v>6305</v>
      </c>
      <c r="J3130" s="267"/>
    </row>
    <row r="3131">
      <c r="A3131" s="266">
        <v>13100.0</v>
      </c>
      <c r="B3131" s="266"/>
      <c r="C3131" s="266">
        <v>5.0</v>
      </c>
      <c r="D3131" s="266" t="s">
        <v>8509</v>
      </c>
      <c r="E3131" s="266" t="s">
        <v>6479</v>
      </c>
      <c r="F3131" s="266">
        <v>2.0</v>
      </c>
      <c r="G3131" s="266" t="s">
        <v>6304</v>
      </c>
      <c r="H3131" s="266" t="s">
        <v>4104</v>
      </c>
      <c r="I3131" s="266" t="s">
        <v>6305</v>
      </c>
      <c r="J3131" s="267"/>
    </row>
    <row r="3132">
      <c r="A3132" s="266">
        <v>13200.0</v>
      </c>
      <c r="B3132" s="266"/>
      <c r="C3132" s="266">
        <v>5.0</v>
      </c>
      <c r="D3132" s="266" t="s">
        <v>8380</v>
      </c>
      <c r="E3132" s="266"/>
      <c r="F3132" s="266"/>
      <c r="G3132" s="266" t="s">
        <v>6304</v>
      </c>
      <c r="H3132" s="266" t="s">
        <v>4105</v>
      </c>
      <c r="I3132" s="266" t="s">
        <v>6305</v>
      </c>
      <c r="J3132" s="266"/>
      <c r="K3132" s="1"/>
      <c r="L3132" s="1"/>
    </row>
    <row r="3133">
      <c r="A3133" s="266">
        <v>13300.0</v>
      </c>
      <c r="B3133" s="266"/>
      <c r="C3133" s="266">
        <v>5.0</v>
      </c>
      <c r="D3133" s="266" t="s">
        <v>6306</v>
      </c>
      <c r="E3133" s="266"/>
      <c r="F3133" s="266"/>
      <c r="G3133" s="266" t="s">
        <v>6304</v>
      </c>
      <c r="H3133" s="266" t="s">
        <v>6760</v>
      </c>
      <c r="I3133" s="266"/>
      <c r="J3133" s="266"/>
      <c r="K3133" s="1"/>
      <c r="L3133" s="1"/>
    </row>
    <row r="3134">
      <c r="A3134" s="266">
        <v>50.0</v>
      </c>
      <c r="B3134" s="266">
        <v>1.0</v>
      </c>
      <c r="C3134" s="266"/>
      <c r="D3134" s="266" t="s">
        <v>8510</v>
      </c>
      <c r="E3134" s="266"/>
      <c r="F3134" s="266"/>
      <c r="G3134" s="266"/>
      <c r="H3134" s="266"/>
      <c r="I3134" s="266"/>
      <c r="J3134" s="267"/>
    </row>
    <row r="3135">
      <c r="A3135" s="266">
        <v>100.0</v>
      </c>
      <c r="B3135" s="266"/>
      <c r="C3135" s="266">
        <v>5.0</v>
      </c>
      <c r="D3135" s="266" t="s">
        <v>8144</v>
      </c>
      <c r="E3135" s="266"/>
      <c r="F3135" s="266"/>
      <c r="G3135" s="266" t="s">
        <v>6304</v>
      </c>
      <c r="H3135" s="266" t="s">
        <v>551</v>
      </c>
      <c r="I3135" s="266"/>
      <c r="J3135" s="266"/>
      <c r="K3135" s="1"/>
      <c r="L3135" s="1"/>
    </row>
    <row r="3136">
      <c r="A3136" s="266">
        <v>200.0</v>
      </c>
      <c r="B3136" s="266"/>
      <c r="C3136" s="266">
        <v>5.0</v>
      </c>
      <c r="D3136" s="266" t="s">
        <v>8511</v>
      </c>
      <c r="E3136" s="266"/>
      <c r="F3136" s="266"/>
      <c r="G3136" s="266" t="s">
        <v>6304</v>
      </c>
      <c r="H3136" s="266" t="s">
        <v>6331</v>
      </c>
      <c r="I3136" s="266"/>
      <c r="J3136" s="266"/>
      <c r="K3136" s="1"/>
      <c r="L3136" s="1"/>
    </row>
    <row r="3137">
      <c r="A3137" s="266">
        <v>300.0</v>
      </c>
      <c r="B3137" s="266"/>
      <c r="C3137" s="266">
        <v>5.0</v>
      </c>
      <c r="D3137" s="266" t="s">
        <v>8512</v>
      </c>
      <c r="E3137" s="266"/>
      <c r="F3137" s="266"/>
      <c r="G3137" s="266" t="s">
        <v>6304</v>
      </c>
      <c r="H3137" s="266" t="s">
        <v>17</v>
      </c>
      <c r="I3137" s="266"/>
      <c r="J3137" s="266"/>
      <c r="K3137" s="1"/>
      <c r="L3137" s="1"/>
    </row>
    <row r="3138">
      <c r="A3138" s="266">
        <v>400.0</v>
      </c>
      <c r="B3138" s="266"/>
      <c r="C3138" s="266">
        <v>5.0</v>
      </c>
      <c r="D3138" s="266" t="s">
        <v>6306</v>
      </c>
      <c r="E3138" s="266"/>
      <c r="F3138" s="266"/>
      <c r="G3138" s="266" t="s">
        <v>6304</v>
      </c>
      <c r="H3138" s="266" t="s">
        <v>6576</v>
      </c>
      <c r="I3138" s="266"/>
      <c r="J3138" s="266"/>
      <c r="K3138" s="1"/>
      <c r="L3138" s="1"/>
    </row>
    <row r="3139">
      <c r="A3139" s="266">
        <v>500.0</v>
      </c>
      <c r="B3139" s="266"/>
      <c r="C3139" s="266">
        <v>5.0</v>
      </c>
      <c r="D3139" s="266" t="s">
        <v>8513</v>
      </c>
      <c r="E3139" s="266" t="s">
        <v>6479</v>
      </c>
      <c r="F3139" s="266">
        <v>25.0</v>
      </c>
      <c r="G3139" s="266" t="s">
        <v>6304</v>
      </c>
      <c r="H3139" s="266" t="s">
        <v>4104</v>
      </c>
      <c r="I3139" s="266" t="s">
        <v>6305</v>
      </c>
      <c r="J3139" s="267"/>
    </row>
    <row r="3140">
      <c r="A3140" s="266">
        <v>50.0</v>
      </c>
      <c r="B3140" s="266">
        <v>1.0</v>
      </c>
      <c r="C3140" s="266"/>
      <c r="D3140" s="266" t="s">
        <v>8514</v>
      </c>
      <c r="E3140" s="266"/>
      <c r="F3140" s="266"/>
      <c r="G3140" s="266"/>
      <c r="H3140" s="266"/>
      <c r="I3140" s="266"/>
      <c r="J3140" s="267"/>
    </row>
    <row r="3141">
      <c r="A3141" s="266">
        <v>100.0</v>
      </c>
      <c r="B3141" s="266"/>
      <c r="C3141" s="266">
        <v>5.0</v>
      </c>
      <c r="D3141" s="266" t="s">
        <v>8515</v>
      </c>
      <c r="E3141" s="266"/>
      <c r="F3141" s="266"/>
      <c r="G3141" s="266" t="s">
        <v>6304</v>
      </c>
      <c r="H3141" s="266" t="s">
        <v>6331</v>
      </c>
      <c r="I3141" s="266"/>
      <c r="J3141" s="266"/>
      <c r="K3141" s="1"/>
      <c r="L3141" s="1"/>
    </row>
    <row r="3142">
      <c r="A3142" s="266">
        <v>200.0</v>
      </c>
      <c r="B3142" s="266"/>
      <c r="C3142" s="266">
        <v>5.0</v>
      </c>
      <c r="D3142" s="266" t="s">
        <v>8516</v>
      </c>
      <c r="E3142" s="266"/>
      <c r="F3142" s="266"/>
      <c r="G3142" s="266" t="s">
        <v>6304</v>
      </c>
      <c r="H3142" s="266" t="s">
        <v>6331</v>
      </c>
      <c r="I3142" s="266"/>
      <c r="J3142" s="266"/>
      <c r="K3142" s="1"/>
      <c r="L3142" s="1"/>
    </row>
    <row r="3143">
      <c r="A3143" s="266">
        <v>300.0</v>
      </c>
      <c r="B3143" s="266"/>
      <c r="C3143" s="266">
        <v>5.0</v>
      </c>
      <c r="D3143" s="266" t="s">
        <v>8517</v>
      </c>
      <c r="E3143" s="266"/>
      <c r="F3143" s="266"/>
      <c r="G3143" s="266" t="s">
        <v>6304</v>
      </c>
      <c r="H3143" s="266" t="s">
        <v>6331</v>
      </c>
      <c r="I3143" s="266"/>
      <c r="J3143" s="266"/>
      <c r="K3143" s="1"/>
      <c r="L3143" s="1"/>
    </row>
    <row r="3144">
      <c r="A3144" s="266">
        <v>400.0</v>
      </c>
      <c r="B3144" s="266"/>
      <c r="C3144" s="266">
        <v>5.0</v>
      </c>
      <c r="D3144" s="266" t="s">
        <v>8518</v>
      </c>
      <c r="E3144" s="266"/>
      <c r="F3144" s="266"/>
      <c r="G3144" s="266" t="s">
        <v>6304</v>
      </c>
      <c r="H3144" s="266" t="s">
        <v>6331</v>
      </c>
      <c r="I3144" s="266"/>
      <c r="J3144" s="266"/>
      <c r="K3144" s="1"/>
      <c r="L3144" s="1"/>
    </row>
    <row r="3145">
      <c r="A3145" s="266">
        <v>500.0</v>
      </c>
      <c r="B3145" s="266"/>
      <c r="C3145" s="266">
        <v>5.0</v>
      </c>
      <c r="D3145" s="266" t="s">
        <v>7002</v>
      </c>
      <c r="E3145" s="266"/>
      <c r="F3145" s="266"/>
      <c r="G3145" s="266" t="s">
        <v>6304</v>
      </c>
      <c r="H3145" s="266" t="s">
        <v>6331</v>
      </c>
      <c r="I3145" s="266"/>
      <c r="J3145" s="266"/>
      <c r="K3145" s="1"/>
      <c r="L3145" s="1"/>
    </row>
    <row r="3146">
      <c r="A3146" s="266">
        <v>600.0</v>
      </c>
      <c r="B3146" s="266"/>
      <c r="C3146" s="266">
        <v>5.0</v>
      </c>
      <c r="D3146" s="266" t="s">
        <v>7068</v>
      </c>
      <c r="E3146" s="266"/>
      <c r="F3146" s="266"/>
      <c r="G3146" s="266" t="s">
        <v>6304</v>
      </c>
      <c r="H3146" s="266" t="s">
        <v>607</v>
      </c>
      <c r="I3146" s="266"/>
      <c r="J3146" s="266"/>
      <c r="K3146" s="1"/>
      <c r="L3146" s="1"/>
    </row>
    <row r="3147">
      <c r="A3147" s="266">
        <v>700.0</v>
      </c>
      <c r="B3147" s="266"/>
      <c r="C3147" s="266">
        <v>5.0</v>
      </c>
      <c r="D3147" s="266" t="s">
        <v>6481</v>
      </c>
      <c r="E3147" s="266"/>
      <c r="F3147" s="266"/>
      <c r="G3147" s="266"/>
      <c r="H3147" s="266"/>
      <c r="I3147" s="266"/>
      <c r="J3147" s="267"/>
    </row>
    <row r="3148">
      <c r="A3148" s="266">
        <v>800.0</v>
      </c>
      <c r="B3148" s="266"/>
      <c r="C3148" s="266">
        <v>10.0</v>
      </c>
      <c r="D3148" s="266" t="s">
        <v>6482</v>
      </c>
      <c r="E3148" s="266"/>
      <c r="F3148" s="266"/>
      <c r="G3148" s="266" t="s">
        <v>6304</v>
      </c>
      <c r="H3148" s="266" t="s">
        <v>6483</v>
      </c>
      <c r="I3148" s="266"/>
      <c r="J3148" s="266"/>
      <c r="K3148" s="1"/>
      <c r="L3148" s="1"/>
    </row>
    <row r="3149">
      <c r="A3149" s="266">
        <v>900.0</v>
      </c>
      <c r="B3149" s="266"/>
      <c r="C3149" s="266">
        <v>10.0</v>
      </c>
      <c r="D3149" s="266" t="s">
        <v>6484</v>
      </c>
      <c r="E3149" s="266"/>
      <c r="F3149" s="266"/>
      <c r="G3149" s="266" t="s">
        <v>6304</v>
      </c>
      <c r="H3149" s="266" t="s">
        <v>6483</v>
      </c>
      <c r="I3149" s="266"/>
      <c r="J3149" s="266"/>
      <c r="K3149" s="1"/>
      <c r="L3149" s="1"/>
    </row>
    <row r="3150">
      <c r="A3150" s="266">
        <v>1000.0</v>
      </c>
      <c r="B3150" s="266"/>
      <c r="C3150" s="266">
        <v>5.0</v>
      </c>
      <c r="D3150" s="266" t="s">
        <v>7003</v>
      </c>
      <c r="E3150" s="266"/>
      <c r="F3150" s="266"/>
      <c r="G3150" s="266"/>
      <c r="H3150" s="266"/>
      <c r="I3150" s="266"/>
      <c r="J3150" s="267"/>
    </row>
    <row r="3151">
      <c r="A3151" s="266">
        <v>1100.0</v>
      </c>
      <c r="B3151" s="266"/>
      <c r="C3151" s="266">
        <v>10.0</v>
      </c>
      <c r="D3151" s="266" t="s">
        <v>6902</v>
      </c>
      <c r="E3151" s="266"/>
      <c r="F3151" s="266"/>
      <c r="G3151" s="266" t="s">
        <v>6304</v>
      </c>
      <c r="H3151" s="266" t="s">
        <v>4103</v>
      </c>
      <c r="I3151" s="266"/>
      <c r="J3151" s="266"/>
      <c r="K3151" s="1"/>
      <c r="L3151" s="1"/>
    </row>
    <row r="3152">
      <c r="A3152" s="266">
        <v>1200.0</v>
      </c>
      <c r="B3152" s="266"/>
      <c r="C3152" s="266">
        <v>10.0</v>
      </c>
      <c r="D3152" s="266" t="s">
        <v>7004</v>
      </c>
      <c r="E3152" s="266"/>
      <c r="F3152" s="266"/>
      <c r="G3152" s="266" t="s">
        <v>6304</v>
      </c>
      <c r="H3152" s="266" t="s">
        <v>14</v>
      </c>
      <c r="I3152" s="266"/>
      <c r="J3152" s="266"/>
      <c r="K3152" s="1"/>
      <c r="L3152" s="1"/>
    </row>
    <row r="3153">
      <c r="A3153" s="266">
        <v>1300.0</v>
      </c>
      <c r="B3153" s="266"/>
      <c r="C3153" s="266">
        <v>5.0</v>
      </c>
      <c r="D3153" s="266" t="s">
        <v>8362</v>
      </c>
      <c r="E3153" s="266"/>
      <c r="F3153" s="266"/>
      <c r="G3153" s="266"/>
      <c r="H3153" s="266"/>
      <c r="I3153" s="266"/>
      <c r="J3153" s="267"/>
    </row>
    <row r="3154">
      <c r="A3154" s="266">
        <v>1400.0</v>
      </c>
      <c r="B3154" s="266"/>
      <c r="C3154" s="266">
        <v>10.0</v>
      </c>
      <c r="D3154" s="266" t="s">
        <v>8363</v>
      </c>
      <c r="E3154" s="266"/>
      <c r="F3154" s="266"/>
      <c r="G3154" s="266" t="s">
        <v>6304</v>
      </c>
      <c r="H3154" s="266" t="s">
        <v>6322</v>
      </c>
      <c r="I3154" s="266"/>
      <c r="J3154" s="266"/>
      <c r="K3154" s="1"/>
      <c r="L3154" s="1"/>
    </row>
    <row r="3155">
      <c r="A3155" s="266">
        <v>1500.0</v>
      </c>
      <c r="B3155" s="266"/>
      <c r="C3155" s="266">
        <v>10.0</v>
      </c>
      <c r="D3155" s="266" t="s">
        <v>8364</v>
      </c>
      <c r="E3155" s="266"/>
      <c r="F3155" s="266"/>
      <c r="G3155" s="266" t="s">
        <v>6304</v>
      </c>
      <c r="H3155" s="266" t="s">
        <v>608</v>
      </c>
      <c r="I3155" s="266"/>
      <c r="J3155" s="266"/>
      <c r="K3155" s="1"/>
      <c r="L3155" s="1"/>
    </row>
    <row r="3156">
      <c r="A3156" s="266">
        <v>1600.0</v>
      </c>
      <c r="B3156" s="266"/>
      <c r="C3156" s="266">
        <v>10.0</v>
      </c>
      <c r="D3156" s="266" t="s">
        <v>8365</v>
      </c>
      <c r="E3156" s="266"/>
      <c r="F3156" s="266"/>
      <c r="G3156" s="266" t="s">
        <v>6304</v>
      </c>
      <c r="H3156" s="266" t="s">
        <v>6322</v>
      </c>
      <c r="I3156" s="266"/>
      <c r="J3156" s="266"/>
      <c r="K3156" s="1"/>
      <c r="L3156" s="1"/>
    </row>
    <row r="3157">
      <c r="A3157" s="266">
        <v>1700.0</v>
      </c>
      <c r="B3157" s="266"/>
      <c r="C3157" s="266">
        <v>5.0</v>
      </c>
      <c r="D3157" s="266" t="s">
        <v>8519</v>
      </c>
      <c r="E3157" s="266"/>
      <c r="F3157" s="266"/>
      <c r="G3157" s="266" t="s">
        <v>6304</v>
      </c>
      <c r="H3157" s="266" t="s">
        <v>6588</v>
      </c>
      <c r="I3157" s="266"/>
      <c r="J3157" s="266"/>
      <c r="K3157" s="1"/>
      <c r="L3157" s="1"/>
    </row>
    <row r="3158">
      <c r="A3158" s="266">
        <v>1800.0</v>
      </c>
      <c r="B3158" s="266"/>
      <c r="C3158" s="266">
        <v>5.0</v>
      </c>
      <c r="D3158" s="266" t="s">
        <v>8261</v>
      </c>
      <c r="E3158" s="266"/>
      <c r="F3158" s="266"/>
      <c r="G3158" s="266" t="s">
        <v>6304</v>
      </c>
      <c r="H3158" s="266" t="s">
        <v>555</v>
      </c>
      <c r="I3158" s="266"/>
      <c r="J3158" s="266"/>
      <c r="K3158" s="1"/>
      <c r="L3158" s="1"/>
    </row>
    <row r="3159">
      <c r="A3159" s="266">
        <v>1900.0</v>
      </c>
      <c r="B3159" s="266"/>
      <c r="C3159" s="266">
        <v>5.0</v>
      </c>
      <c r="D3159" s="266" t="s">
        <v>8262</v>
      </c>
      <c r="E3159" s="266"/>
      <c r="F3159" s="266"/>
      <c r="G3159" s="266" t="s">
        <v>6304</v>
      </c>
      <c r="H3159" s="266" t="s">
        <v>557</v>
      </c>
      <c r="I3159" s="266"/>
      <c r="J3159" s="266"/>
      <c r="K3159" s="1"/>
      <c r="L3159" s="1"/>
    </row>
    <row r="3160">
      <c r="A3160" s="266">
        <v>2000.0</v>
      </c>
      <c r="B3160" s="266"/>
      <c r="C3160" s="266">
        <v>5.0</v>
      </c>
      <c r="D3160" s="266" t="s">
        <v>8520</v>
      </c>
      <c r="E3160" s="266"/>
      <c r="F3160" s="266"/>
      <c r="G3160" s="266" t="s">
        <v>6304</v>
      </c>
      <c r="H3160" s="266" t="s">
        <v>6586</v>
      </c>
      <c r="I3160" s="266"/>
      <c r="J3160" s="266"/>
      <c r="K3160" s="1"/>
      <c r="L3160" s="1"/>
    </row>
    <row r="3161">
      <c r="A3161" s="266">
        <v>2100.0</v>
      </c>
      <c r="B3161" s="266"/>
      <c r="C3161" s="266">
        <v>5.0</v>
      </c>
      <c r="D3161" s="266" t="s">
        <v>6306</v>
      </c>
      <c r="E3161" s="266"/>
      <c r="F3161" s="266"/>
      <c r="G3161" s="266" t="s">
        <v>6304</v>
      </c>
      <c r="H3161" s="266" t="s">
        <v>8521</v>
      </c>
      <c r="I3161" s="266"/>
      <c r="J3161" s="266"/>
      <c r="K3161" s="1"/>
      <c r="L3161" s="1"/>
    </row>
    <row r="3162">
      <c r="A3162" s="266">
        <v>50.0</v>
      </c>
      <c r="B3162" s="266">
        <v>1.0</v>
      </c>
      <c r="C3162" s="266"/>
      <c r="D3162" s="266" t="s">
        <v>8522</v>
      </c>
      <c r="E3162" s="266"/>
      <c r="F3162" s="266"/>
      <c r="G3162" s="266"/>
      <c r="H3162" s="266"/>
      <c r="I3162" s="266"/>
      <c r="J3162" s="267"/>
    </row>
    <row r="3163">
      <c r="A3163" s="266">
        <v>100.0</v>
      </c>
      <c r="B3163" s="266"/>
      <c r="C3163" s="266">
        <v>5.0</v>
      </c>
      <c r="D3163" s="266" t="s">
        <v>8288</v>
      </c>
      <c r="E3163" s="266"/>
      <c r="F3163" s="266"/>
      <c r="G3163" s="266"/>
      <c r="H3163" s="266"/>
      <c r="I3163" s="266"/>
      <c r="J3163" s="267"/>
    </row>
    <row r="3164">
      <c r="A3164" s="266">
        <v>200.0</v>
      </c>
      <c r="B3164" s="266"/>
      <c r="C3164" s="266">
        <v>10.0</v>
      </c>
      <c r="D3164" s="266" t="s">
        <v>5140</v>
      </c>
      <c r="E3164" s="266"/>
      <c r="F3164" s="266"/>
      <c r="G3164" s="266" t="s">
        <v>6304</v>
      </c>
      <c r="H3164" s="266" t="s">
        <v>551</v>
      </c>
      <c r="I3164" s="266"/>
      <c r="J3164" s="266"/>
      <c r="K3164" s="1"/>
      <c r="L3164" s="1"/>
    </row>
    <row r="3165">
      <c r="A3165" s="266">
        <v>300.0</v>
      </c>
      <c r="B3165" s="266"/>
      <c r="C3165" s="266">
        <v>10.0</v>
      </c>
      <c r="D3165" s="266" t="s">
        <v>5141</v>
      </c>
      <c r="E3165" s="266"/>
      <c r="F3165" s="266"/>
      <c r="G3165" s="266" t="s">
        <v>6304</v>
      </c>
      <c r="H3165" s="266" t="s">
        <v>551</v>
      </c>
      <c r="I3165" s="266"/>
      <c r="J3165" s="266"/>
      <c r="K3165" s="1"/>
      <c r="L3165" s="1"/>
    </row>
    <row r="3166">
      <c r="A3166" s="266">
        <v>400.0</v>
      </c>
      <c r="B3166" s="266"/>
      <c r="C3166" s="266">
        <v>5.0</v>
      </c>
      <c r="D3166" s="266" t="s">
        <v>8523</v>
      </c>
      <c r="E3166" s="266"/>
      <c r="F3166" s="266"/>
      <c r="G3166" s="266" t="s">
        <v>6304</v>
      </c>
      <c r="H3166" s="266" t="s">
        <v>6348</v>
      </c>
      <c r="I3166" s="266"/>
      <c r="J3166" s="266"/>
      <c r="K3166" s="1"/>
      <c r="L3166" s="1"/>
    </row>
    <row r="3167">
      <c r="A3167" s="266">
        <v>500.0</v>
      </c>
      <c r="B3167" s="266"/>
      <c r="C3167" s="266">
        <v>5.0</v>
      </c>
      <c r="D3167" s="266" t="s">
        <v>8524</v>
      </c>
      <c r="E3167" s="266"/>
      <c r="F3167" s="266"/>
      <c r="G3167" s="266" t="s">
        <v>6304</v>
      </c>
      <c r="H3167" s="266" t="s">
        <v>17</v>
      </c>
      <c r="I3167" s="266"/>
      <c r="J3167" s="266"/>
      <c r="K3167" s="1"/>
      <c r="L3167" s="1"/>
    </row>
    <row r="3168">
      <c r="A3168" s="266">
        <v>600.0</v>
      </c>
      <c r="B3168" s="266"/>
      <c r="C3168" s="266">
        <v>5.0</v>
      </c>
      <c r="D3168" s="266" t="s">
        <v>6306</v>
      </c>
      <c r="E3168" s="266"/>
      <c r="F3168" s="266"/>
      <c r="G3168" s="266" t="s">
        <v>6304</v>
      </c>
      <c r="H3168" s="266" t="s">
        <v>6851</v>
      </c>
      <c r="I3168" s="266"/>
      <c r="J3168" s="266"/>
      <c r="K3168" s="1"/>
      <c r="L3168" s="1"/>
    </row>
    <row r="3169">
      <c r="A3169" s="266">
        <v>50.0</v>
      </c>
      <c r="B3169" s="266">
        <v>1.0</v>
      </c>
      <c r="C3169" s="266"/>
      <c r="D3169" s="266" t="s">
        <v>8525</v>
      </c>
      <c r="E3169" s="266"/>
      <c r="F3169" s="266"/>
      <c r="G3169" s="266"/>
      <c r="H3169" s="266"/>
      <c r="I3169" s="266"/>
      <c r="J3169" s="267"/>
    </row>
    <row r="3170">
      <c r="A3170" s="266">
        <v>100.0</v>
      </c>
      <c r="B3170" s="266"/>
      <c r="C3170" s="266">
        <v>5.0</v>
      </c>
      <c r="D3170" s="266" t="s">
        <v>8526</v>
      </c>
      <c r="E3170" s="266"/>
      <c r="F3170" s="266"/>
      <c r="G3170" s="266"/>
      <c r="H3170" s="266"/>
      <c r="I3170" s="266"/>
      <c r="J3170" s="267"/>
    </row>
    <row r="3171">
      <c r="A3171" s="266">
        <v>200.0</v>
      </c>
      <c r="B3171" s="266"/>
      <c r="C3171" s="266">
        <v>10.0</v>
      </c>
      <c r="D3171" s="266" t="s">
        <v>7061</v>
      </c>
      <c r="E3171" s="266"/>
      <c r="F3171" s="266"/>
      <c r="G3171" s="266" t="s">
        <v>6304</v>
      </c>
      <c r="H3171" s="266" t="s">
        <v>551</v>
      </c>
      <c r="I3171" s="266"/>
      <c r="J3171" s="266"/>
      <c r="K3171" s="1"/>
      <c r="L3171" s="1"/>
    </row>
    <row r="3172">
      <c r="A3172" s="266">
        <v>300.0</v>
      </c>
      <c r="B3172" s="266"/>
      <c r="C3172" s="266">
        <v>10.0</v>
      </c>
      <c r="D3172" s="266" t="s">
        <v>8527</v>
      </c>
      <c r="E3172" s="266"/>
      <c r="F3172" s="266"/>
      <c r="G3172" s="266" t="s">
        <v>6304</v>
      </c>
      <c r="H3172" s="266" t="s">
        <v>551</v>
      </c>
      <c r="I3172" s="266"/>
      <c r="J3172" s="266"/>
      <c r="K3172" s="1"/>
      <c r="L3172" s="1"/>
    </row>
    <row r="3173">
      <c r="A3173" s="266">
        <v>400.0</v>
      </c>
      <c r="B3173" s="266"/>
      <c r="C3173" s="266">
        <v>5.0</v>
      </c>
      <c r="D3173" s="266" t="s">
        <v>8528</v>
      </c>
      <c r="E3173" s="266" t="s">
        <v>6479</v>
      </c>
      <c r="F3173" s="266">
        <v>12.0</v>
      </c>
      <c r="G3173" s="266"/>
      <c r="H3173" s="266"/>
      <c r="I3173" s="266"/>
      <c r="J3173" s="267"/>
    </row>
    <row r="3174">
      <c r="A3174" s="266">
        <v>500.0</v>
      </c>
      <c r="B3174" s="266"/>
      <c r="C3174" s="266">
        <v>10.0</v>
      </c>
      <c r="D3174" s="266" t="s">
        <v>8529</v>
      </c>
      <c r="E3174" s="266" t="s">
        <v>6479</v>
      </c>
      <c r="F3174" s="266">
        <v>8.0</v>
      </c>
      <c r="G3174" s="266" t="s">
        <v>6304</v>
      </c>
      <c r="H3174" s="266" t="s">
        <v>4103</v>
      </c>
      <c r="I3174" s="266"/>
      <c r="J3174" s="267"/>
    </row>
    <row r="3175">
      <c r="A3175" s="266">
        <v>600.0</v>
      </c>
      <c r="B3175" s="266"/>
      <c r="C3175" s="266">
        <v>5.0</v>
      </c>
      <c r="D3175" s="266" t="s">
        <v>6526</v>
      </c>
      <c r="E3175" s="266"/>
      <c r="F3175" s="266"/>
      <c r="G3175" s="266" t="s">
        <v>6304</v>
      </c>
      <c r="H3175" s="266" t="s">
        <v>556</v>
      </c>
      <c r="I3175" s="266"/>
      <c r="J3175" s="266"/>
      <c r="K3175" s="1"/>
      <c r="L3175" s="1"/>
    </row>
    <row r="3176">
      <c r="A3176" s="266">
        <v>700.0</v>
      </c>
      <c r="B3176" s="266"/>
      <c r="C3176" s="266">
        <v>5.0</v>
      </c>
      <c r="D3176" s="266" t="s">
        <v>6306</v>
      </c>
      <c r="E3176" s="266"/>
      <c r="F3176" s="266"/>
      <c r="G3176" s="266" t="s">
        <v>6304</v>
      </c>
      <c r="H3176" s="266" t="s">
        <v>17</v>
      </c>
      <c r="I3176" s="266"/>
      <c r="J3176" s="266"/>
      <c r="K3176" s="1"/>
      <c r="L3176" s="1"/>
    </row>
    <row r="3177">
      <c r="A3177" s="266">
        <v>50.0</v>
      </c>
      <c r="B3177" s="266">
        <v>1.0</v>
      </c>
      <c r="C3177" s="266"/>
      <c r="D3177" s="266" t="s">
        <v>8530</v>
      </c>
      <c r="E3177" s="266"/>
      <c r="F3177" s="266"/>
      <c r="G3177" s="266"/>
      <c r="H3177" s="266"/>
      <c r="I3177" s="266"/>
      <c r="J3177" s="267"/>
    </row>
    <row r="3178">
      <c r="A3178" s="266">
        <v>100.0</v>
      </c>
      <c r="B3178" s="266"/>
      <c r="C3178" s="266">
        <v>5.0</v>
      </c>
      <c r="D3178" s="266" t="s">
        <v>6523</v>
      </c>
      <c r="E3178" s="266"/>
      <c r="F3178" s="266"/>
      <c r="G3178" s="266" t="s">
        <v>6304</v>
      </c>
      <c r="H3178" s="266" t="s">
        <v>551</v>
      </c>
      <c r="I3178" s="266"/>
      <c r="J3178" s="266"/>
      <c r="K3178" s="1"/>
      <c r="L3178" s="1"/>
    </row>
    <row r="3179">
      <c r="A3179" s="266">
        <v>200.0</v>
      </c>
      <c r="B3179" s="266"/>
      <c r="C3179" s="266">
        <v>5.0</v>
      </c>
      <c r="D3179" s="266" t="s">
        <v>8531</v>
      </c>
      <c r="E3179" s="266" t="s">
        <v>6479</v>
      </c>
      <c r="F3179" s="266">
        <v>64.0</v>
      </c>
      <c r="G3179" s="266" t="s">
        <v>6304</v>
      </c>
      <c r="H3179" s="266" t="s">
        <v>14</v>
      </c>
      <c r="I3179" s="266"/>
      <c r="J3179" s="267"/>
    </row>
    <row r="3180">
      <c r="A3180" s="266">
        <v>300.0</v>
      </c>
      <c r="B3180" s="266"/>
      <c r="C3180" s="266">
        <v>5.0</v>
      </c>
      <c r="D3180" s="266" t="s">
        <v>6526</v>
      </c>
      <c r="E3180" s="266"/>
      <c r="F3180" s="266"/>
      <c r="G3180" s="266" t="s">
        <v>6304</v>
      </c>
      <c r="H3180" s="266" t="s">
        <v>556</v>
      </c>
      <c r="I3180" s="266"/>
      <c r="J3180" s="266"/>
      <c r="K3180" s="1"/>
      <c r="L3180" s="1"/>
    </row>
    <row r="3181">
      <c r="A3181" s="266">
        <v>400.0</v>
      </c>
      <c r="B3181" s="266"/>
      <c r="C3181" s="266">
        <v>5.0</v>
      </c>
      <c r="D3181" s="266" t="s">
        <v>6306</v>
      </c>
      <c r="E3181" s="266"/>
      <c r="F3181" s="266"/>
      <c r="G3181" s="266" t="s">
        <v>6304</v>
      </c>
      <c r="H3181" s="266" t="s">
        <v>6743</v>
      </c>
      <c r="I3181" s="266"/>
      <c r="J3181" s="266"/>
      <c r="K3181" s="1"/>
      <c r="L3181" s="1"/>
    </row>
    <row r="3182">
      <c r="A3182" s="266">
        <v>50.0</v>
      </c>
      <c r="B3182" s="266">
        <v>1.0</v>
      </c>
      <c r="C3182" s="266"/>
      <c r="D3182" s="266" t="s">
        <v>8532</v>
      </c>
      <c r="E3182" s="266"/>
      <c r="F3182" s="266"/>
      <c r="G3182" s="266"/>
      <c r="H3182" s="266"/>
      <c r="I3182" s="266"/>
      <c r="J3182" s="267"/>
    </row>
    <row r="3183">
      <c r="A3183" s="266">
        <v>100.0</v>
      </c>
      <c r="B3183" s="266"/>
      <c r="C3183" s="266">
        <v>5.0</v>
      </c>
      <c r="D3183" s="266" t="s">
        <v>8533</v>
      </c>
      <c r="E3183" s="266"/>
      <c r="F3183" s="266"/>
      <c r="G3183" s="266" t="s">
        <v>6304</v>
      </c>
      <c r="H3183" s="266" t="s">
        <v>3806</v>
      </c>
      <c r="I3183" s="266"/>
      <c r="J3183" s="266"/>
      <c r="K3183" s="1"/>
      <c r="L3183" s="1"/>
    </row>
    <row r="3184">
      <c r="A3184" s="266">
        <v>200.0</v>
      </c>
      <c r="B3184" s="266"/>
      <c r="C3184" s="266">
        <v>5.0</v>
      </c>
      <c r="D3184" s="266" t="s">
        <v>8534</v>
      </c>
      <c r="E3184" s="266" t="s">
        <v>6479</v>
      </c>
      <c r="F3184" s="266">
        <v>12.0</v>
      </c>
      <c r="G3184" s="266" t="s">
        <v>6304</v>
      </c>
      <c r="H3184" s="266" t="s">
        <v>8535</v>
      </c>
      <c r="I3184" s="266" t="s">
        <v>6305</v>
      </c>
      <c r="J3184" s="267"/>
    </row>
    <row r="3185">
      <c r="A3185" s="266">
        <v>300.0</v>
      </c>
      <c r="B3185" s="266"/>
      <c r="C3185" s="266">
        <v>5.0</v>
      </c>
      <c r="D3185" s="266" t="s">
        <v>8536</v>
      </c>
      <c r="E3185" s="266" t="s">
        <v>6479</v>
      </c>
      <c r="F3185" s="266">
        <v>12.0</v>
      </c>
      <c r="G3185" s="266" t="s">
        <v>6304</v>
      </c>
      <c r="H3185" s="266" t="s">
        <v>8535</v>
      </c>
      <c r="I3185" s="266" t="s">
        <v>6305</v>
      </c>
      <c r="J3185" s="267"/>
    </row>
    <row r="3186">
      <c r="A3186" s="266">
        <v>400.0</v>
      </c>
      <c r="B3186" s="266"/>
      <c r="C3186" s="266">
        <v>5.0</v>
      </c>
      <c r="D3186" s="266" t="s">
        <v>8537</v>
      </c>
      <c r="E3186" s="266" t="s">
        <v>6479</v>
      </c>
      <c r="F3186" s="266">
        <v>12.0</v>
      </c>
      <c r="G3186" s="266" t="s">
        <v>6304</v>
      </c>
      <c r="H3186" s="266" t="s">
        <v>8535</v>
      </c>
      <c r="I3186" s="266" t="s">
        <v>6305</v>
      </c>
      <c r="J3186" s="267"/>
    </row>
    <row r="3187">
      <c r="A3187" s="266">
        <v>500.0</v>
      </c>
      <c r="B3187" s="266"/>
      <c r="C3187" s="266">
        <v>5.0</v>
      </c>
      <c r="D3187" s="266" t="s">
        <v>8538</v>
      </c>
      <c r="E3187" s="266" t="s">
        <v>6479</v>
      </c>
      <c r="F3187" s="266">
        <v>12.0</v>
      </c>
      <c r="G3187" s="266" t="s">
        <v>6304</v>
      </c>
      <c r="H3187" s="266" t="s">
        <v>6707</v>
      </c>
      <c r="I3187" s="266" t="s">
        <v>6305</v>
      </c>
      <c r="J3187" s="267"/>
    </row>
    <row r="3188">
      <c r="A3188" s="266">
        <v>600.0</v>
      </c>
      <c r="B3188" s="266"/>
      <c r="C3188" s="266">
        <v>5.0</v>
      </c>
      <c r="D3188" s="266" t="s">
        <v>6306</v>
      </c>
      <c r="E3188" s="266"/>
      <c r="F3188" s="266"/>
      <c r="G3188" s="266" t="s">
        <v>6304</v>
      </c>
      <c r="H3188" s="266" t="s">
        <v>8539</v>
      </c>
      <c r="I3188" s="266"/>
      <c r="J3188" s="266"/>
      <c r="K3188" s="1"/>
      <c r="L3188" s="1"/>
    </row>
    <row r="3189">
      <c r="A3189" s="266">
        <v>50.0</v>
      </c>
      <c r="B3189" s="266">
        <v>1.0</v>
      </c>
      <c r="C3189" s="266"/>
      <c r="D3189" s="266" t="s">
        <v>8540</v>
      </c>
      <c r="E3189" s="266"/>
      <c r="F3189" s="266"/>
      <c r="G3189" s="266"/>
      <c r="H3189" s="266"/>
      <c r="I3189" s="266"/>
      <c r="J3189" s="267"/>
    </row>
    <row r="3190">
      <c r="A3190" s="266">
        <v>100.0</v>
      </c>
      <c r="B3190" s="266"/>
      <c r="C3190" s="266">
        <v>5.0</v>
      </c>
      <c r="D3190" s="266" t="s">
        <v>514</v>
      </c>
      <c r="E3190" s="266"/>
      <c r="F3190" s="266"/>
      <c r="G3190" s="266" t="s">
        <v>6304</v>
      </c>
      <c r="H3190" s="266" t="s">
        <v>551</v>
      </c>
      <c r="I3190" s="266"/>
      <c r="J3190" s="266"/>
      <c r="K3190" s="1"/>
      <c r="L3190" s="1"/>
    </row>
    <row r="3191">
      <c r="A3191" s="266">
        <v>200.0</v>
      </c>
      <c r="B3191" s="266"/>
      <c r="C3191" s="266">
        <v>5.0</v>
      </c>
      <c r="D3191" s="266" t="s">
        <v>8312</v>
      </c>
      <c r="E3191" s="266"/>
      <c r="F3191" s="266"/>
      <c r="G3191" s="266"/>
      <c r="H3191" s="266"/>
      <c r="I3191" s="266"/>
      <c r="J3191" s="267"/>
    </row>
    <row r="3192">
      <c r="A3192" s="266">
        <v>300.0</v>
      </c>
      <c r="B3192" s="266"/>
      <c r="C3192" s="266">
        <v>10.0</v>
      </c>
      <c r="D3192" s="266" t="s">
        <v>8288</v>
      </c>
      <c r="E3192" s="266"/>
      <c r="F3192" s="266"/>
      <c r="G3192" s="266"/>
      <c r="H3192" s="266"/>
      <c r="I3192" s="266"/>
      <c r="J3192" s="267"/>
    </row>
    <row r="3193">
      <c r="A3193" s="266">
        <v>400.0</v>
      </c>
      <c r="B3193" s="266"/>
      <c r="C3193" s="266">
        <v>15.0</v>
      </c>
      <c r="D3193" s="266" t="s">
        <v>5140</v>
      </c>
      <c r="E3193" s="266"/>
      <c r="F3193" s="266"/>
      <c r="G3193" s="266" t="s">
        <v>6304</v>
      </c>
      <c r="H3193" s="266" t="s">
        <v>551</v>
      </c>
      <c r="I3193" s="266"/>
      <c r="J3193" s="266"/>
      <c r="K3193" s="1"/>
      <c r="L3193" s="1"/>
    </row>
    <row r="3194">
      <c r="A3194" s="266">
        <v>500.0</v>
      </c>
      <c r="B3194" s="266"/>
      <c r="C3194" s="266">
        <v>15.0</v>
      </c>
      <c r="D3194" s="266" t="s">
        <v>5141</v>
      </c>
      <c r="E3194" s="266"/>
      <c r="F3194" s="266"/>
      <c r="G3194" s="266" t="s">
        <v>6304</v>
      </c>
      <c r="H3194" s="266" t="s">
        <v>551</v>
      </c>
      <c r="I3194" s="266"/>
      <c r="J3194" s="266"/>
      <c r="K3194" s="1"/>
      <c r="L3194" s="1"/>
    </row>
    <row r="3195">
      <c r="A3195" s="266">
        <v>600.0</v>
      </c>
      <c r="B3195" s="266"/>
      <c r="C3195" s="266">
        <v>10.0</v>
      </c>
      <c r="D3195" s="266" t="s">
        <v>6498</v>
      </c>
      <c r="E3195" s="266"/>
      <c r="F3195" s="266"/>
      <c r="G3195" s="266" t="s">
        <v>6304</v>
      </c>
      <c r="H3195" s="266" t="s">
        <v>3806</v>
      </c>
      <c r="I3195" s="266"/>
      <c r="J3195" s="266"/>
      <c r="K3195" s="1"/>
      <c r="L3195" s="1"/>
    </row>
    <row r="3196">
      <c r="A3196" s="266">
        <v>700.0</v>
      </c>
      <c r="B3196" s="266"/>
      <c r="C3196" s="266">
        <v>10.0</v>
      </c>
      <c r="D3196" s="266" t="s">
        <v>8313</v>
      </c>
      <c r="E3196" s="266"/>
      <c r="F3196" s="266"/>
      <c r="G3196" s="266" t="s">
        <v>6304</v>
      </c>
      <c r="H3196" s="266" t="s">
        <v>3806</v>
      </c>
      <c r="I3196" s="266"/>
      <c r="J3196" s="266"/>
      <c r="K3196" s="1"/>
      <c r="L3196" s="1"/>
    </row>
    <row r="3197">
      <c r="A3197" s="266">
        <v>800.0</v>
      </c>
      <c r="B3197" s="266"/>
      <c r="C3197" s="266">
        <v>5.0</v>
      </c>
      <c r="D3197" s="266" t="s">
        <v>5180</v>
      </c>
      <c r="E3197" s="266"/>
      <c r="F3197" s="266"/>
      <c r="G3197" s="266" t="s">
        <v>6304</v>
      </c>
      <c r="H3197" s="266" t="s">
        <v>5170</v>
      </c>
      <c r="I3197" s="266" t="s">
        <v>6305</v>
      </c>
      <c r="J3197" s="266"/>
      <c r="K3197" s="1"/>
      <c r="L3197" s="1"/>
    </row>
    <row r="3198">
      <c r="A3198" s="266">
        <v>900.0</v>
      </c>
      <c r="B3198" s="266"/>
      <c r="C3198" s="266">
        <v>5.0</v>
      </c>
      <c r="D3198" s="266" t="s">
        <v>5184</v>
      </c>
      <c r="E3198" s="266"/>
      <c r="F3198" s="266"/>
      <c r="G3198" s="266" t="s">
        <v>6304</v>
      </c>
      <c r="H3198" s="266" t="s">
        <v>5170</v>
      </c>
      <c r="I3198" s="266" t="s">
        <v>6305</v>
      </c>
      <c r="J3198" s="266"/>
      <c r="K3198" s="1"/>
      <c r="L3198" s="1"/>
    </row>
    <row r="3199">
      <c r="A3199" s="266">
        <v>1000.0</v>
      </c>
      <c r="B3199" s="266"/>
      <c r="C3199" s="266">
        <v>5.0</v>
      </c>
      <c r="D3199" s="266" t="s">
        <v>8541</v>
      </c>
      <c r="E3199" s="266"/>
      <c r="F3199" s="266"/>
      <c r="G3199" s="266" t="s">
        <v>6304</v>
      </c>
      <c r="H3199" s="266" t="s">
        <v>5170</v>
      </c>
      <c r="I3199" s="266" t="s">
        <v>6305</v>
      </c>
      <c r="J3199" s="266"/>
      <c r="K3199" s="1"/>
      <c r="L3199" s="1"/>
    </row>
    <row r="3200">
      <c r="A3200" s="266">
        <v>1100.0</v>
      </c>
      <c r="B3200" s="266"/>
      <c r="C3200" s="266">
        <v>5.0</v>
      </c>
      <c r="D3200" s="266" t="s">
        <v>8542</v>
      </c>
      <c r="E3200" s="266"/>
      <c r="F3200" s="266"/>
      <c r="G3200" s="266" t="s">
        <v>6304</v>
      </c>
      <c r="H3200" s="266" t="s">
        <v>5170</v>
      </c>
      <c r="I3200" s="266" t="s">
        <v>6305</v>
      </c>
      <c r="J3200" s="266"/>
      <c r="K3200" s="1"/>
      <c r="L3200" s="1"/>
    </row>
    <row r="3201">
      <c r="A3201" s="266">
        <v>1200.0</v>
      </c>
      <c r="B3201" s="266"/>
      <c r="C3201" s="266">
        <v>5.0</v>
      </c>
      <c r="D3201" s="266" t="s">
        <v>8543</v>
      </c>
      <c r="E3201" s="266"/>
      <c r="F3201" s="266"/>
      <c r="G3201" s="266" t="s">
        <v>6304</v>
      </c>
      <c r="H3201" s="266" t="s">
        <v>6542</v>
      </c>
      <c r="I3201" s="266" t="s">
        <v>6305</v>
      </c>
      <c r="J3201" s="266"/>
      <c r="K3201" s="1"/>
      <c r="L3201" s="1"/>
    </row>
    <row r="3202">
      <c r="A3202" s="266">
        <v>1300.0</v>
      </c>
      <c r="B3202" s="266"/>
      <c r="C3202" s="266">
        <v>5.0</v>
      </c>
      <c r="D3202" s="266" t="s">
        <v>8544</v>
      </c>
      <c r="E3202" s="266"/>
      <c r="F3202" s="266"/>
      <c r="G3202" s="266" t="s">
        <v>6304</v>
      </c>
      <c r="H3202" s="266" t="s">
        <v>6542</v>
      </c>
      <c r="I3202" s="266" t="s">
        <v>6305</v>
      </c>
      <c r="J3202" s="266"/>
      <c r="K3202" s="1"/>
      <c r="L3202" s="1"/>
    </row>
    <row r="3203">
      <c r="A3203" s="266">
        <v>1400.0</v>
      </c>
      <c r="B3203" s="266"/>
      <c r="C3203" s="266">
        <v>5.0</v>
      </c>
      <c r="D3203" s="266" t="s">
        <v>8545</v>
      </c>
      <c r="E3203" s="266"/>
      <c r="F3203" s="266"/>
      <c r="G3203" s="266" t="s">
        <v>6304</v>
      </c>
      <c r="H3203" s="266" t="s">
        <v>6542</v>
      </c>
      <c r="I3203" s="266" t="s">
        <v>6305</v>
      </c>
      <c r="J3203" s="266"/>
      <c r="K3203" s="1"/>
      <c r="L3203" s="1"/>
    </row>
    <row r="3204">
      <c r="A3204" s="266">
        <v>1500.0</v>
      </c>
      <c r="B3204" s="266"/>
      <c r="C3204" s="266">
        <v>5.0</v>
      </c>
      <c r="D3204" s="266" t="s">
        <v>8546</v>
      </c>
      <c r="E3204" s="266"/>
      <c r="F3204" s="266"/>
      <c r="G3204" s="266" t="s">
        <v>6304</v>
      </c>
      <c r="H3204" s="266" t="s">
        <v>6542</v>
      </c>
      <c r="I3204" s="266" t="s">
        <v>6305</v>
      </c>
      <c r="J3204" s="266"/>
      <c r="K3204" s="1"/>
      <c r="L3204" s="1"/>
    </row>
    <row r="3205">
      <c r="A3205" s="266">
        <v>1600.0</v>
      </c>
      <c r="B3205" s="266"/>
      <c r="C3205" s="266">
        <v>5.0</v>
      </c>
      <c r="D3205" s="266" t="s">
        <v>5179</v>
      </c>
      <c r="E3205" s="266"/>
      <c r="F3205" s="266"/>
      <c r="G3205" s="266" t="s">
        <v>6304</v>
      </c>
      <c r="H3205" s="266" t="s">
        <v>5169</v>
      </c>
      <c r="I3205" s="266" t="s">
        <v>6305</v>
      </c>
      <c r="J3205" s="266"/>
      <c r="K3205" s="1"/>
      <c r="L3205" s="1"/>
    </row>
    <row r="3206">
      <c r="A3206" s="266">
        <v>1700.0</v>
      </c>
      <c r="B3206" s="266"/>
      <c r="C3206" s="266">
        <v>5.0</v>
      </c>
      <c r="D3206" s="266" t="s">
        <v>5181</v>
      </c>
      <c r="E3206" s="266"/>
      <c r="F3206" s="266"/>
      <c r="G3206" s="266" t="s">
        <v>6304</v>
      </c>
      <c r="H3206" s="266" t="s">
        <v>555</v>
      </c>
      <c r="I3206" s="266"/>
      <c r="J3206" s="266"/>
      <c r="K3206" s="1"/>
      <c r="L3206" s="1"/>
    </row>
    <row r="3207">
      <c r="A3207" s="266">
        <v>1800.0</v>
      </c>
      <c r="B3207" s="266"/>
      <c r="C3207" s="266">
        <v>5.0</v>
      </c>
      <c r="D3207" s="266" t="s">
        <v>5183</v>
      </c>
      <c r="E3207" s="266"/>
      <c r="F3207" s="266"/>
      <c r="G3207" s="266" t="s">
        <v>6304</v>
      </c>
      <c r="H3207" s="266" t="s">
        <v>555</v>
      </c>
      <c r="I3207" s="266"/>
      <c r="J3207" s="266"/>
      <c r="K3207" s="1"/>
      <c r="L3207" s="1"/>
    </row>
    <row r="3208">
      <c r="A3208" s="266">
        <v>1900.0</v>
      </c>
      <c r="B3208" s="266"/>
      <c r="C3208" s="266">
        <v>5.0</v>
      </c>
      <c r="D3208" s="266" t="s">
        <v>8547</v>
      </c>
      <c r="E3208" s="266"/>
      <c r="F3208" s="266"/>
      <c r="G3208" s="266" t="s">
        <v>6304</v>
      </c>
      <c r="H3208" s="266" t="s">
        <v>5170</v>
      </c>
      <c r="I3208" s="266" t="s">
        <v>6305</v>
      </c>
      <c r="J3208" s="266"/>
      <c r="K3208" s="1"/>
      <c r="L3208" s="1"/>
    </row>
    <row r="3209">
      <c r="A3209" s="266">
        <v>2000.0</v>
      </c>
      <c r="B3209" s="266"/>
      <c r="C3209" s="266">
        <v>5.0</v>
      </c>
      <c r="D3209" s="266" t="s">
        <v>8548</v>
      </c>
      <c r="E3209" s="266"/>
      <c r="F3209" s="266"/>
      <c r="G3209" s="266" t="s">
        <v>6304</v>
      </c>
      <c r="H3209" s="266" t="s">
        <v>5170</v>
      </c>
      <c r="I3209" s="266" t="s">
        <v>6305</v>
      </c>
      <c r="J3209" s="266"/>
      <c r="K3209" s="1"/>
      <c r="L3209" s="1"/>
    </row>
    <row r="3210">
      <c r="A3210" s="266">
        <v>2100.0</v>
      </c>
      <c r="B3210" s="266"/>
      <c r="C3210" s="266">
        <v>5.0</v>
      </c>
      <c r="D3210" s="266" t="s">
        <v>8549</v>
      </c>
      <c r="E3210" s="266"/>
      <c r="F3210" s="266"/>
      <c r="G3210" s="266" t="s">
        <v>6304</v>
      </c>
      <c r="H3210" s="266" t="s">
        <v>5170</v>
      </c>
      <c r="I3210" s="266" t="s">
        <v>6305</v>
      </c>
      <c r="J3210" s="266"/>
      <c r="K3210" s="1"/>
      <c r="L3210" s="1"/>
    </row>
    <row r="3211">
      <c r="A3211" s="266">
        <v>2200.0</v>
      </c>
      <c r="B3211" s="266"/>
      <c r="C3211" s="266">
        <v>5.0</v>
      </c>
      <c r="D3211" s="266" t="s">
        <v>8550</v>
      </c>
      <c r="E3211" s="266"/>
      <c r="F3211" s="266"/>
      <c r="G3211" s="266" t="s">
        <v>6304</v>
      </c>
      <c r="H3211" s="266" t="s">
        <v>5170</v>
      </c>
      <c r="I3211" s="266" t="s">
        <v>6305</v>
      </c>
      <c r="J3211" s="266"/>
      <c r="K3211" s="1"/>
      <c r="L3211" s="1"/>
    </row>
    <row r="3212">
      <c r="A3212" s="266">
        <v>2300.0</v>
      </c>
      <c r="B3212" s="266"/>
      <c r="C3212" s="266">
        <v>5.0</v>
      </c>
      <c r="D3212" s="266" t="s">
        <v>8551</v>
      </c>
      <c r="E3212" s="266"/>
      <c r="F3212" s="266"/>
      <c r="G3212" s="266" t="s">
        <v>6304</v>
      </c>
      <c r="H3212" s="266" t="s">
        <v>5170</v>
      </c>
      <c r="I3212" s="266" t="s">
        <v>6305</v>
      </c>
      <c r="J3212" s="266"/>
      <c r="K3212" s="1"/>
      <c r="L3212" s="1"/>
    </row>
    <row r="3213">
      <c r="A3213" s="266">
        <v>2400.0</v>
      </c>
      <c r="B3213" s="266"/>
      <c r="C3213" s="266">
        <v>5.0</v>
      </c>
      <c r="D3213" s="266" t="s">
        <v>8552</v>
      </c>
      <c r="E3213" s="266"/>
      <c r="F3213" s="266"/>
      <c r="G3213" s="266" t="s">
        <v>6304</v>
      </c>
      <c r="H3213" s="266" t="s">
        <v>5170</v>
      </c>
      <c r="I3213" s="266" t="s">
        <v>6305</v>
      </c>
      <c r="J3213" s="266"/>
      <c r="K3213" s="1"/>
      <c r="L3213" s="1"/>
    </row>
    <row r="3214">
      <c r="A3214" s="266">
        <v>2500.0</v>
      </c>
      <c r="B3214" s="266"/>
      <c r="C3214" s="266">
        <v>5.0</v>
      </c>
      <c r="D3214" s="266" t="s">
        <v>8553</v>
      </c>
      <c r="E3214" s="266"/>
      <c r="F3214" s="266"/>
      <c r="G3214" s="266" t="s">
        <v>6304</v>
      </c>
      <c r="H3214" s="266" t="s">
        <v>5170</v>
      </c>
      <c r="I3214" s="266" t="s">
        <v>6305</v>
      </c>
      <c r="J3214" s="266"/>
      <c r="K3214" s="1"/>
      <c r="L3214" s="1"/>
    </row>
    <row r="3215">
      <c r="A3215" s="266">
        <v>2600.0</v>
      </c>
      <c r="B3215" s="266"/>
      <c r="C3215" s="266">
        <v>5.0</v>
      </c>
      <c r="D3215" s="266" t="s">
        <v>8554</v>
      </c>
      <c r="E3215" s="266"/>
      <c r="F3215" s="266"/>
      <c r="G3215" s="266" t="s">
        <v>6304</v>
      </c>
      <c r="H3215" s="266" t="s">
        <v>5170</v>
      </c>
      <c r="I3215" s="266" t="s">
        <v>6305</v>
      </c>
      <c r="J3215" s="266"/>
      <c r="K3215" s="1"/>
      <c r="L3215" s="1"/>
    </row>
    <row r="3216">
      <c r="A3216" s="266">
        <v>2700.0</v>
      </c>
      <c r="B3216" s="266"/>
      <c r="C3216" s="266">
        <v>5.0</v>
      </c>
      <c r="D3216" s="266" t="s">
        <v>6517</v>
      </c>
      <c r="E3216" s="266" t="s">
        <v>6479</v>
      </c>
      <c r="F3216" s="266">
        <v>4.0</v>
      </c>
      <c r="G3216" s="266" t="s">
        <v>6304</v>
      </c>
      <c r="H3216" s="266" t="s">
        <v>6518</v>
      </c>
      <c r="I3216" s="266"/>
      <c r="J3216" s="267"/>
    </row>
    <row r="3217">
      <c r="A3217" s="266">
        <v>2800.0</v>
      </c>
      <c r="B3217" s="266"/>
      <c r="C3217" s="266">
        <v>5.0</v>
      </c>
      <c r="D3217" s="266" t="s">
        <v>6451</v>
      </c>
      <c r="E3217" s="266"/>
      <c r="F3217" s="266"/>
      <c r="G3217" s="266" t="s">
        <v>6304</v>
      </c>
      <c r="H3217" s="266" t="s">
        <v>555</v>
      </c>
      <c r="I3217" s="266"/>
      <c r="J3217" s="266"/>
      <c r="K3217" s="1"/>
      <c r="L3217" s="1"/>
    </row>
    <row r="3218">
      <c r="A3218" s="266">
        <v>2900.0</v>
      </c>
      <c r="B3218" s="266"/>
      <c r="C3218" s="266">
        <v>5.0</v>
      </c>
      <c r="D3218" s="266" t="s">
        <v>6306</v>
      </c>
      <c r="E3218" s="266"/>
      <c r="F3218" s="266"/>
      <c r="G3218" s="266" t="s">
        <v>6304</v>
      </c>
      <c r="H3218" s="266" t="s">
        <v>6348</v>
      </c>
      <c r="I3218" s="266"/>
      <c r="J3218" s="266"/>
      <c r="K3218" s="1"/>
      <c r="L3218" s="1"/>
    </row>
    <row r="3219">
      <c r="A3219" s="266">
        <v>50.0</v>
      </c>
      <c r="B3219" s="266">
        <v>1.0</v>
      </c>
      <c r="C3219" s="266"/>
      <c r="D3219" s="266" t="s">
        <v>8555</v>
      </c>
      <c r="E3219" s="266"/>
      <c r="F3219" s="266"/>
      <c r="G3219" s="266"/>
      <c r="H3219" s="266"/>
      <c r="I3219" s="266"/>
      <c r="J3219" s="267"/>
    </row>
    <row r="3220">
      <c r="A3220" s="266">
        <v>100.0</v>
      </c>
      <c r="B3220" s="266"/>
      <c r="C3220" s="266">
        <v>5.0</v>
      </c>
      <c r="D3220" s="266" t="s">
        <v>615</v>
      </c>
      <c r="E3220" s="266"/>
      <c r="F3220" s="266"/>
      <c r="G3220" s="266" t="s">
        <v>6304</v>
      </c>
      <c r="H3220" s="266" t="s">
        <v>607</v>
      </c>
      <c r="I3220" s="266"/>
      <c r="J3220" s="266"/>
      <c r="K3220" s="1"/>
      <c r="L3220" s="1"/>
    </row>
    <row r="3221">
      <c r="A3221" s="266">
        <v>200.0</v>
      </c>
      <c r="B3221" s="266"/>
      <c r="C3221" s="266">
        <v>5.0</v>
      </c>
      <c r="D3221" s="266" t="s">
        <v>616</v>
      </c>
      <c r="E3221" s="266"/>
      <c r="F3221" s="266"/>
      <c r="G3221" s="266" t="s">
        <v>6304</v>
      </c>
      <c r="H3221" s="266">
        <v>99.0</v>
      </c>
      <c r="I3221" s="266"/>
      <c r="J3221" s="266"/>
      <c r="K3221" s="1"/>
      <c r="L3221" s="1"/>
    </row>
    <row r="3222">
      <c r="A3222" s="266">
        <v>300.0</v>
      </c>
      <c r="B3222" s="266"/>
      <c r="C3222" s="266">
        <v>5.0</v>
      </c>
      <c r="D3222" s="266" t="s">
        <v>617</v>
      </c>
      <c r="E3222" s="266"/>
      <c r="F3222" s="266"/>
      <c r="G3222" s="266" t="s">
        <v>6304</v>
      </c>
      <c r="H3222" s="266">
        <v>99.0</v>
      </c>
      <c r="I3222" s="266"/>
      <c r="J3222" s="266"/>
      <c r="K3222" s="1"/>
      <c r="L3222" s="1"/>
    </row>
    <row r="3223">
      <c r="A3223" s="266">
        <v>400.0</v>
      </c>
      <c r="B3223" s="266"/>
      <c r="C3223" s="266">
        <v>5.0</v>
      </c>
      <c r="D3223" s="266" t="s">
        <v>618</v>
      </c>
      <c r="E3223" s="266"/>
      <c r="F3223" s="266"/>
      <c r="G3223" s="266" t="s">
        <v>6304</v>
      </c>
      <c r="H3223" s="266" t="s">
        <v>15</v>
      </c>
      <c r="I3223" s="266"/>
      <c r="J3223" s="266"/>
      <c r="K3223" s="1"/>
      <c r="L3223" s="1"/>
    </row>
    <row r="3224">
      <c r="A3224" s="266">
        <v>500.0</v>
      </c>
      <c r="B3224" s="266"/>
      <c r="C3224" s="266">
        <v>5.0</v>
      </c>
      <c r="D3224" s="266" t="s">
        <v>619</v>
      </c>
      <c r="E3224" s="266"/>
      <c r="F3224" s="266"/>
      <c r="G3224" s="266" t="s">
        <v>6304</v>
      </c>
      <c r="H3224" s="266" t="s">
        <v>15</v>
      </c>
      <c r="I3224" s="266"/>
      <c r="J3224" s="266"/>
      <c r="K3224" s="1"/>
      <c r="L3224" s="1"/>
    </row>
    <row r="3225">
      <c r="A3225" s="266">
        <v>600.0</v>
      </c>
      <c r="B3225" s="266"/>
      <c r="C3225" s="266">
        <v>5.0</v>
      </c>
      <c r="D3225" s="266" t="s">
        <v>620</v>
      </c>
      <c r="E3225" s="266"/>
      <c r="F3225" s="266"/>
      <c r="G3225" s="266" t="s">
        <v>6304</v>
      </c>
      <c r="H3225" s="266" t="s">
        <v>608</v>
      </c>
      <c r="I3225" s="266"/>
      <c r="J3225" s="266"/>
      <c r="K3225" s="1"/>
      <c r="L3225" s="1"/>
    </row>
    <row r="3226">
      <c r="A3226" s="266">
        <v>700.0</v>
      </c>
      <c r="B3226" s="266"/>
      <c r="C3226" s="266">
        <v>5.0</v>
      </c>
      <c r="D3226" s="266" t="s">
        <v>6601</v>
      </c>
      <c r="E3226" s="266"/>
      <c r="F3226" s="266"/>
      <c r="G3226" s="266"/>
      <c r="H3226" s="266"/>
      <c r="I3226" s="266"/>
      <c r="J3226" s="267"/>
    </row>
    <row r="3227">
      <c r="A3227" s="266">
        <v>800.0</v>
      </c>
      <c r="B3227" s="266"/>
      <c r="C3227" s="266">
        <v>10.0</v>
      </c>
      <c r="D3227" s="266" t="s">
        <v>6602</v>
      </c>
      <c r="E3227" s="266"/>
      <c r="F3227" s="266"/>
      <c r="G3227" s="266"/>
      <c r="H3227" s="266"/>
      <c r="I3227" s="266"/>
      <c r="J3227" s="267"/>
    </row>
    <row r="3228">
      <c r="A3228" s="266">
        <v>900.0</v>
      </c>
      <c r="B3228" s="266"/>
      <c r="C3228" s="266">
        <v>15.0</v>
      </c>
      <c r="D3228" s="266" t="s">
        <v>576</v>
      </c>
      <c r="E3228" s="266"/>
      <c r="F3228" s="266"/>
      <c r="G3228" s="266" t="s">
        <v>6304</v>
      </c>
      <c r="H3228" s="266" t="s">
        <v>551</v>
      </c>
      <c r="I3228" s="266"/>
      <c r="J3228" s="266"/>
      <c r="K3228" s="1"/>
      <c r="L3228" s="1"/>
    </row>
    <row r="3229">
      <c r="A3229" s="266">
        <v>1000.0</v>
      </c>
      <c r="B3229" s="266"/>
      <c r="C3229" s="266">
        <v>15.0</v>
      </c>
      <c r="D3229" s="266" t="s">
        <v>577</v>
      </c>
      <c r="E3229" s="266"/>
      <c r="F3229" s="266"/>
      <c r="G3229" s="266" t="s">
        <v>6304</v>
      </c>
      <c r="H3229" s="266" t="s">
        <v>552</v>
      </c>
      <c r="I3229" s="266"/>
      <c r="J3229" s="266"/>
      <c r="K3229" s="1"/>
      <c r="L3229" s="1"/>
    </row>
    <row r="3230">
      <c r="A3230" s="266">
        <v>1100.0</v>
      </c>
      <c r="B3230" s="266"/>
      <c r="C3230" s="266">
        <v>10.0</v>
      </c>
      <c r="D3230" s="266" t="s">
        <v>578</v>
      </c>
      <c r="E3230" s="266"/>
      <c r="F3230" s="266"/>
      <c r="G3230" s="266" t="s">
        <v>6304</v>
      </c>
      <c r="H3230" s="266" t="s">
        <v>552</v>
      </c>
      <c r="I3230" s="266"/>
      <c r="J3230" s="266"/>
      <c r="K3230" s="1"/>
      <c r="L3230" s="1"/>
    </row>
    <row r="3231">
      <c r="A3231" s="266">
        <v>1200.0</v>
      </c>
      <c r="B3231" s="266"/>
      <c r="C3231" s="266">
        <v>5.0</v>
      </c>
      <c r="D3231" s="266" t="s">
        <v>621</v>
      </c>
      <c r="E3231" s="266"/>
      <c r="F3231" s="266"/>
      <c r="G3231" s="266" t="s">
        <v>6304</v>
      </c>
      <c r="H3231" s="266" t="s">
        <v>17</v>
      </c>
      <c r="I3231" s="266"/>
      <c r="J3231" s="266"/>
      <c r="K3231" s="1"/>
      <c r="L3231" s="1"/>
    </row>
    <row r="3232">
      <c r="A3232" s="266">
        <v>1300.0</v>
      </c>
      <c r="B3232" s="266"/>
      <c r="C3232" s="266">
        <v>5.0</v>
      </c>
      <c r="D3232" s="266" t="s">
        <v>622</v>
      </c>
      <c r="E3232" s="266"/>
      <c r="F3232" s="266"/>
      <c r="G3232" s="266" t="s">
        <v>6304</v>
      </c>
      <c r="H3232" s="266" t="s">
        <v>560</v>
      </c>
      <c r="I3232" s="266"/>
      <c r="J3232" s="266"/>
      <c r="K3232" s="1"/>
      <c r="L3232" s="1"/>
    </row>
    <row r="3233">
      <c r="A3233" s="266">
        <v>1400.0</v>
      </c>
      <c r="B3233" s="266"/>
      <c r="C3233" s="266">
        <v>5.0</v>
      </c>
      <c r="D3233" s="266" t="s">
        <v>6306</v>
      </c>
      <c r="E3233" s="266"/>
      <c r="F3233" s="266"/>
      <c r="G3233" s="266" t="s">
        <v>6304</v>
      </c>
      <c r="H3233" s="266" t="s">
        <v>8232</v>
      </c>
      <c r="I3233" s="266"/>
      <c r="J3233" s="266"/>
      <c r="K3233" s="1"/>
      <c r="L3233" s="1"/>
    </row>
    <row r="3234">
      <c r="A3234" s="266">
        <v>50.0</v>
      </c>
      <c r="B3234" s="266">
        <v>1.0</v>
      </c>
      <c r="C3234" s="266"/>
      <c r="D3234" s="266" t="s">
        <v>8556</v>
      </c>
      <c r="E3234" s="266"/>
      <c r="F3234" s="266"/>
      <c r="G3234" s="266"/>
      <c r="H3234" s="266"/>
      <c r="I3234" s="266"/>
      <c r="J3234" s="267"/>
    </row>
    <row r="3235">
      <c r="A3235" s="266">
        <v>100.0</v>
      </c>
      <c r="B3235" s="266"/>
      <c r="C3235" s="266">
        <v>5.0</v>
      </c>
      <c r="D3235" s="266" t="s">
        <v>8557</v>
      </c>
      <c r="E3235" s="266"/>
      <c r="F3235" s="266"/>
      <c r="G3235" s="266" t="s">
        <v>6304</v>
      </c>
      <c r="H3235" s="266" t="s">
        <v>6510</v>
      </c>
      <c r="I3235" s="266"/>
      <c r="J3235" s="266"/>
      <c r="K3235" s="1"/>
      <c r="L3235" s="1"/>
    </row>
    <row r="3236">
      <c r="A3236" s="266">
        <v>200.0</v>
      </c>
      <c r="B3236" s="266"/>
      <c r="C3236" s="266">
        <v>5.0</v>
      </c>
      <c r="D3236" s="266" t="s">
        <v>8558</v>
      </c>
      <c r="E3236" s="266"/>
      <c r="F3236" s="266"/>
      <c r="G3236" s="266" t="s">
        <v>6304</v>
      </c>
      <c r="H3236" s="266" t="s">
        <v>607</v>
      </c>
      <c r="I3236" s="266"/>
      <c r="J3236" s="266"/>
      <c r="K3236" s="1"/>
      <c r="L3236" s="1"/>
    </row>
    <row r="3237">
      <c r="A3237" s="266">
        <v>300.0</v>
      </c>
      <c r="B3237" s="266"/>
      <c r="C3237" s="266">
        <v>5.0</v>
      </c>
      <c r="D3237" s="266" t="s">
        <v>8559</v>
      </c>
      <c r="E3237" s="266"/>
      <c r="F3237" s="266"/>
      <c r="G3237" s="266" t="s">
        <v>6304</v>
      </c>
      <c r="H3237" s="266" t="s">
        <v>3807</v>
      </c>
      <c r="I3237" s="266"/>
      <c r="J3237" s="266"/>
      <c r="K3237" s="1"/>
      <c r="L3237" s="1"/>
    </row>
    <row r="3238">
      <c r="A3238" s="266">
        <v>400.0</v>
      </c>
      <c r="B3238" s="266"/>
      <c r="C3238" s="266">
        <v>5.0</v>
      </c>
      <c r="D3238" s="266" t="s">
        <v>8560</v>
      </c>
      <c r="E3238" s="266"/>
      <c r="F3238" s="266"/>
      <c r="G3238" s="266" t="s">
        <v>6304</v>
      </c>
      <c r="H3238" s="266" t="s">
        <v>6786</v>
      </c>
      <c r="I3238" s="266" t="s">
        <v>6305</v>
      </c>
      <c r="J3238" s="266"/>
      <c r="K3238" s="1"/>
      <c r="L3238" s="1"/>
    </row>
    <row r="3239">
      <c r="A3239" s="266">
        <v>500.0</v>
      </c>
      <c r="B3239" s="266"/>
      <c r="C3239" s="266">
        <v>5.0</v>
      </c>
      <c r="D3239" s="266" t="s">
        <v>8561</v>
      </c>
      <c r="E3239" s="266"/>
      <c r="F3239" s="266"/>
      <c r="G3239" s="266" t="s">
        <v>6304</v>
      </c>
      <c r="H3239" s="266" t="s">
        <v>6786</v>
      </c>
      <c r="I3239" s="266" t="s">
        <v>6305</v>
      </c>
      <c r="J3239" s="266"/>
      <c r="K3239" s="1"/>
      <c r="L3239" s="1"/>
    </row>
    <row r="3240">
      <c r="A3240" s="266">
        <v>600.0</v>
      </c>
      <c r="B3240" s="266"/>
      <c r="C3240" s="266">
        <v>5.0</v>
      </c>
      <c r="D3240" s="266" t="s">
        <v>6306</v>
      </c>
      <c r="E3240" s="266"/>
      <c r="F3240" s="266"/>
      <c r="G3240" s="266" t="s">
        <v>6304</v>
      </c>
      <c r="H3240" s="266" t="s">
        <v>8562</v>
      </c>
      <c r="I3240" s="266"/>
      <c r="J3240" s="266"/>
      <c r="K3240" s="1"/>
      <c r="L3240" s="1"/>
    </row>
    <row r="3241">
      <c r="A3241" s="266">
        <v>50.0</v>
      </c>
      <c r="B3241" s="266">
        <v>1.0</v>
      </c>
      <c r="C3241" s="266"/>
      <c r="D3241" s="266" t="s">
        <v>8563</v>
      </c>
      <c r="E3241" s="266"/>
      <c r="F3241" s="266"/>
      <c r="G3241" s="266"/>
      <c r="H3241" s="266"/>
      <c r="I3241" s="266"/>
      <c r="J3241" s="267"/>
    </row>
    <row r="3242">
      <c r="A3242" s="266">
        <v>100.0</v>
      </c>
      <c r="B3242" s="266"/>
      <c r="C3242" s="266">
        <v>5.0</v>
      </c>
      <c r="D3242" s="266" t="s">
        <v>8564</v>
      </c>
      <c r="E3242" s="266"/>
      <c r="F3242" s="266"/>
      <c r="G3242" s="266" t="s">
        <v>6304</v>
      </c>
      <c r="H3242" s="266" t="s">
        <v>8282</v>
      </c>
      <c r="I3242" s="266"/>
      <c r="J3242" s="266"/>
      <c r="K3242" s="1"/>
      <c r="L3242" s="1"/>
    </row>
    <row r="3243">
      <c r="A3243" s="266">
        <v>200.0</v>
      </c>
      <c r="B3243" s="266"/>
      <c r="C3243" s="266">
        <v>5.0</v>
      </c>
      <c r="D3243" s="266" t="s">
        <v>8565</v>
      </c>
      <c r="E3243" s="266"/>
      <c r="F3243" s="266"/>
      <c r="G3243" s="266" t="s">
        <v>6304</v>
      </c>
      <c r="H3243" s="266" t="s">
        <v>6315</v>
      </c>
      <c r="I3243" s="266"/>
      <c r="J3243" s="266"/>
      <c r="K3243" s="1"/>
      <c r="L3243" s="1"/>
    </row>
    <row r="3244">
      <c r="A3244" s="266">
        <v>300.0</v>
      </c>
      <c r="B3244" s="266"/>
      <c r="C3244" s="266">
        <v>5.0</v>
      </c>
      <c r="D3244" s="266" t="s">
        <v>8566</v>
      </c>
      <c r="E3244" s="266"/>
      <c r="F3244" s="266"/>
      <c r="G3244" s="266" t="s">
        <v>6304</v>
      </c>
      <c r="H3244" s="266" t="s">
        <v>5170</v>
      </c>
      <c r="I3244" s="266" t="s">
        <v>6305</v>
      </c>
      <c r="J3244" s="266"/>
      <c r="K3244" s="1"/>
      <c r="L3244" s="1"/>
    </row>
    <row r="3245">
      <c r="A3245" s="266">
        <v>400.0</v>
      </c>
      <c r="B3245" s="266"/>
      <c r="C3245" s="266">
        <v>5.0</v>
      </c>
      <c r="D3245" s="266" t="s">
        <v>8567</v>
      </c>
      <c r="E3245" s="266"/>
      <c r="F3245" s="266"/>
      <c r="G3245" s="266" t="s">
        <v>6304</v>
      </c>
      <c r="H3245" s="266" t="s">
        <v>5170</v>
      </c>
      <c r="I3245" s="266" t="s">
        <v>6305</v>
      </c>
      <c r="J3245" s="266"/>
      <c r="K3245" s="1"/>
      <c r="L3245" s="1"/>
    </row>
    <row r="3246">
      <c r="A3246" s="266">
        <v>500.0</v>
      </c>
      <c r="B3246" s="266"/>
      <c r="C3246" s="266">
        <v>5.0</v>
      </c>
      <c r="D3246" s="266" t="s">
        <v>8568</v>
      </c>
      <c r="E3246" s="266"/>
      <c r="F3246" s="266"/>
      <c r="G3246" s="266" t="s">
        <v>6304</v>
      </c>
      <c r="H3246" s="266" t="s">
        <v>5170</v>
      </c>
      <c r="I3246" s="266" t="s">
        <v>6305</v>
      </c>
      <c r="J3246" s="266"/>
      <c r="K3246" s="1"/>
      <c r="L3246" s="1"/>
    </row>
    <row r="3247">
      <c r="A3247" s="266">
        <v>600.0</v>
      </c>
      <c r="B3247" s="266"/>
      <c r="C3247" s="266">
        <v>5.0</v>
      </c>
      <c r="D3247" s="266" t="s">
        <v>8569</v>
      </c>
      <c r="E3247" s="266"/>
      <c r="F3247" s="266"/>
      <c r="G3247" s="266" t="s">
        <v>6304</v>
      </c>
      <c r="H3247" s="266" t="s">
        <v>5170</v>
      </c>
      <c r="I3247" s="266" t="s">
        <v>6305</v>
      </c>
      <c r="J3247" s="266"/>
      <c r="K3247" s="1"/>
      <c r="L3247" s="1"/>
    </row>
    <row r="3248">
      <c r="A3248" s="266">
        <v>700.0</v>
      </c>
      <c r="B3248" s="266"/>
      <c r="C3248" s="266">
        <v>5.0</v>
      </c>
      <c r="D3248" s="266" t="s">
        <v>8570</v>
      </c>
      <c r="E3248" s="266"/>
      <c r="F3248" s="266"/>
      <c r="G3248" s="266" t="s">
        <v>6304</v>
      </c>
      <c r="H3248" s="266" t="s">
        <v>5170</v>
      </c>
      <c r="I3248" s="266" t="s">
        <v>6305</v>
      </c>
      <c r="J3248" s="266"/>
      <c r="K3248" s="1"/>
      <c r="L3248" s="1"/>
    </row>
    <row r="3249">
      <c r="A3249" s="266">
        <v>800.0</v>
      </c>
      <c r="B3249" s="266"/>
      <c r="C3249" s="266">
        <v>5.0</v>
      </c>
      <c r="D3249" s="266" t="s">
        <v>6306</v>
      </c>
      <c r="E3249" s="266"/>
      <c r="F3249" s="266"/>
      <c r="G3249" s="266" t="s">
        <v>6304</v>
      </c>
      <c r="H3249" s="266" t="s">
        <v>8101</v>
      </c>
      <c r="I3249" s="266"/>
      <c r="J3249" s="266"/>
      <c r="K3249" s="1"/>
      <c r="L3249" s="1"/>
    </row>
    <row r="3250">
      <c r="A3250" s="266">
        <v>50.0</v>
      </c>
      <c r="B3250" s="266">
        <v>1.0</v>
      </c>
      <c r="C3250" s="266"/>
      <c r="D3250" s="266" t="s">
        <v>8571</v>
      </c>
      <c r="E3250" s="266"/>
      <c r="F3250" s="266"/>
      <c r="G3250" s="266"/>
      <c r="H3250" s="266"/>
      <c r="I3250" s="266"/>
      <c r="J3250" s="267"/>
    </row>
    <row r="3251">
      <c r="A3251" s="266">
        <v>100.0</v>
      </c>
      <c r="B3251" s="266"/>
      <c r="C3251" s="266">
        <v>5.0</v>
      </c>
      <c r="D3251" s="266" t="s">
        <v>8572</v>
      </c>
      <c r="E3251" s="266"/>
      <c r="F3251" s="266"/>
      <c r="G3251" s="266" t="s">
        <v>6304</v>
      </c>
      <c r="H3251" s="266" t="s">
        <v>6594</v>
      </c>
      <c r="I3251" s="266"/>
      <c r="J3251" s="266"/>
      <c r="K3251" s="1"/>
      <c r="L3251" s="1"/>
    </row>
    <row r="3252">
      <c r="A3252" s="266">
        <v>200.0</v>
      </c>
      <c r="B3252" s="266"/>
      <c r="C3252" s="266">
        <v>5.0</v>
      </c>
      <c r="D3252" s="266" t="s">
        <v>6306</v>
      </c>
      <c r="E3252" s="266"/>
      <c r="F3252" s="266"/>
      <c r="G3252" s="266" t="s">
        <v>6304</v>
      </c>
      <c r="H3252" s="266" t="s">
        <v>8573</v>
      </c>
      <c r="I3252" s="266"/>
      <c r="J3252" s="266"/>
      <c r="K3252" s="1"/>
      <c r="L3252" s="1"/>
    </row>
    <row r="3253">
      <c r="A3253" s="266">
        <v>50.0</v>
      </c>
      <c r="B3253" s="266">
        <v>1.0</v>
      </c>
      <c r="C3253" s="266"/>
      <c r="D3253" s="266" t="s">
        <v>8574</v>
      </c>
      <c r="E3253" s="266"/>
      <c r="F3253" s="266"/>
      <c r="G3253" s="266"/>
      <c r="H3253" s="266"/>
      <c r="I3253" s="266"/>
      <c r="J3253" s="267"/>
    </row>
    <row r="3254">
      <c r="A3254" s="266">
        <v>100.0</v>
      </c>
      <c r="B3254" s="266"/>
      <c r="C3254" s="266">
        <v>5.0</v>
      </c>
      <c r="D3254" s="266" t="s">
        <v>8575</v>
      </c>
      <c r="E3254" s="266"/>
      <c r="F3254" s="266"/>
      <c r="G3254" s="266" t="s">
        <v>6304</v>
      </c>
      <c r="H3254" s="266" t="s">
        <v>6336</v>
      </c>
      <c r="I3254" s="266"/>
      <c r="J3254" s="266"/>
      <c r="K3254" s="1"/>
      <c r="L3254" s="1"/>
    </row>
    <row r="3255">
      <c r="A3255" s="266">
        <v>200.0</v>
      </c>
      <c r="B3255" s="266"/>
      <c r="C3255" s="266">
        <v>5.0</v>
      </c>
      <c r="D3255" s="266" t="s">
        <v>7036</v>
      </c>
      <c r="E3255" s="266"/>
      <c r="F3255" s="266"/>
      <c r="G3255" s="266"/>
      <c r="H3255" s="266"/>
      <c r="I3255" s="266"/>
      <c r="J3255" s="267"/>
    </row>
    <row r="3256">
      <c r="A3256" s="266">
        <v>300.0</v>
      </c>
      <c r="B3256" s="266"/>
      <c r="C3256" s="266">
        <v>10.0</v>
      </c>
      <c r="D3256" s="266" t="s">
        <v>7037</v>
      </c>
      <c r="E3256" s="266"/>
      <c r="F3256" s="266"/>
      <c r="G3256" s="266" t="s">
        <v>6304</v>
      </c>
      <c r="H3256" s="266" t="s">
        <v>557</v>
      </c>
      <c r="I3256" s="266"/>
      <c r="J3256" s="266"/>
      <c r="K3256" s="1"/>
      <c r="L3256" s="1"/>
    </row>
    <row r="3257">
      <c r="A3257" s="266">
        <v>400.0</v>
      </c>
      <c r="B3257" s="266"/>
      <c r="C3257" s="266">
        <v>10.0</v>
      </c>
      <c r="D3257" s="266" t="s">
        <v>7038</v>
      </c>
      <c r="E3257" s="266"/>
      <c r="F3257" s="266"/>
      <c r="G3257" s="266" t="s">
        <v>6304</v>
      </c>
      <c r="H3257" s="266" t="s">
        <v>17</v>
      </c>
      <c r="I3257" s="266"/>
      <c r="J3257" s="266"/>
      <c r="K3257" s="1"/>
      <c r="L3257" s="1"/>
    </row>
    <row r="3258">
      <c r="A3258" s="266">
        <v>500.0</v>
      </c>
      <c r="B3258" s="266"/>
      <c r="C3258" s="266">
        <v>88.0</v>
      </c>
      <c r="D3258" s="266" t="s">
        <v>7039</v>
      </c>
      <c r="E3258" s="266" t="s">
        <v>6621</v>
      </c>
      <c r="F3258" s="269" t="s">
        <v>7040</v>
      </c>
      <c r="G3258" s="266"/>
      <c r="H3258" s="266"/>
      <c r="I3258" s="266"/>
      <c r="J3258" s="267"/>
    </row>
    <row r="3259">
      <c r="A3259" s="266">
        <v>600.0</v>
      </c>
      <c r="B3259" s="266"/>
      <c r="C3259" s="266">
        <v>88.0</v>
      </c>
      <c r="D3259" s="266" t="s">
        <v>7041</v>
      </c>
      <c r="E3259" s="266" t="s">
        <v>6621</v>
      </c>
      <c r="F3259" s="269" t="s">
        <v>7042</v>
      </c>
      <c r="G3259" s="266"/>
      <c r="H3259" s="266"/>
      <c r="I3259" s="266"/>
      <c r="J3259" s="267"/>
    </row>
    <row r="3260">
      <c r="A3260" s="266">
        <v>700.0</v>
      </c>
      <c r="B3260" s="266"/>
      <c r="C3260" s="266">
        <v>10.0</v>
      </c>
      <c r="D3260" s="266" t="s">
        <v>6306</v>
      </c>
      <c r="E3260" s="266"/>
      <c r="F3260" s="266"/>
      <c r="G3260" s="266" t="s">
        <v>6304</v>
      </c>
      <c r="H3260" s="266" t="s">
        <v>557</v>
      </c>
      <c r="I3260" s="266"/>
      <c r="J3260" s="266"/>
      <c r="K3260" s="1"/>
      <c r="L3260" s="1"/>
    </row>
    <row r="3261">
      <c r="A3261" s="266">
        <v>800.0</v>
      </c>
      <c r="B3261" s="266"/>
      <c r="C3261" s="266">
        <v>10.0</v>
      </c>
      <c r="D3261" s="266" t="s">
        <v>7043</v>
      </c>
      <c r="E3261" s="266"/>
      <c r="F3261" s="266"/>
      <c r="G3261" s="266" t="s">
        <v>6304</v>
      </c>
      <c r="H3261" s="266" t="s">
        <v>6317</v>
      </c>
      <c r="I3261" s="266"/>
      <c r="J3261" s="266"/>
      <c r="K3261" s="1"/>
      <c r="L3261" s="1"/>
    </row>
    <row r="3262">
      <c r="A3262" s="266">
        <v>900.0</v>
      </c>
      <c r="B3262" s="266"/>
      <c r="C3262" s="266">
        <v>5.0</v>
      </c>
      <c r="D3262" s="266" t="s">
        <v>8576</v>
      </c>
      <c r="E3262" s="266"/>
      <c r="F3262" s="266"/>
      <c r="G3262" s="266"/>
      <c r="H3262" s="266"/>
      <c r="I3262" s="266"/>
      <c r="J3262" s="267"/>
    </row>
    <row r="3263">
      <c r="A3263" s="266">
        <v>1000.0</v>
      </c>
      <c r="B3263" s="266"/>
      <c r="C3263" s="266">
        <v>10.0</v>
      </c>
      <c r="D3263" s="266" t="s">
        <v>8577</v>
      </c>
      <c r="E3263" s="266"/>
      <c r="F3263" s="266"/>
      <c r="G3263" s="266" t="s">
        <v>6304</v>
      </c>
      <c r="H3263" s="266" t="s">
        <v>5275</v>
      </c>
      <c r="I3263" s="266"/>
      <c r="J3263" s="266"/>
      <c r="K3263" s="1"/>
      <c r="L3263" s="1"/>
    </row>
    <row r="3264">
      <c r="A3264" s="266">
        <v>1100.0</v>
      </c>
      <c r="B3264" s="266"/>
      <c r="C3264" s="266">
        <v>10.0</v>
      </c>
      <c r="D3264" s="266" t="s">
        <v>8578</v>
      </c>
      <c r="E3264" s="266"/>
      <c r="F3264" s="266"/>
      <c r="G3264" s="266" t="s">
        <v>6304</v>
      </c>
      <c r="H3264" s="266" t="s">
        <v>6322</v>
      </c>
      <c r="I3264" s="266"/>
      <c r="J3264" s="266"/>
      <c r="K3264" s="1"/>
      <c r="L3264" s="1"/>
    </row>
    <row r="3265">
      <c r="A3265" s="266">
        <v>1200.0</v>
      </c>
      <c r="B3265" s="266"/>
      <c r="C3265" s="266">
        <v>10.0</v>
      </c>
      <c r="D3265" s="266" t="s">
        <v>8579</v>
      </c>
      <c r="E3265" s="266"/>
      <c r="F3265" s="266"/>
      <c r="G3265" s="266" t="s">
        <v>6304</v>
      </c>
      <c r="H3265" s="266" t="s">
        <v>17</v>
      </c>
      <c r="I3265" s="266"/>
      <c r="J3265" s="266"/>
      <c r="K3265" s="1"/>
      <c r="L3265" s="1"/>
    </row>
    <row r="3266">
      <c r="A3266" s="266">
        <v>1300.0</v>
      </c>
      <c r="B3266" s="266"/>
      <c r="C3266" s="266">
        <v>5.0</v>
      </c>
      <c r="D3266" s="266" t="s">
        <v>6470</v>
      </c>
      <c r="E3266" s="266"/>
      <c r="F3266" s="266"/>
      <c r="G3266" s="266"/>
      <c r="H3266" s="266"/>
      <c r="I3266" s="266"/>
      <c r="J3266" s="267"/>
    </row>
    <row r="3267">
      <c r="A3267" s="266">
        <v>1400.0</v>
      </c>
      <c r="B3267" s="266"/>
      <c r="C3267" s="266">
        <v>10.0</v>
      </c>
      <c r="D3267" s="266" t="s">
        <v>6471</v>
      </c>
      <c r="E3267" s="266"/>
      <c r="F3267" s="266"/>
      <c r="G3267" s="266"/>
      <c r="H3267" s="266"/>
      <c r="I3267" s="266"/>
      <c r="J3267" s="267"/>
    </row>
    <row r="3268">
      <c r="A3268" s="266">
        <v>1500.0</v>
      </c>
      <c r="B3268" s="266"/>
      <c r="C3268" s="266">
        <v>15.0</v>
      </c>
      <c r="D3268" s="266" t="s">
        <v>6472</v>
      </c>
      <c r="E3268" s="266"/>
      <c r="F3268" s="266"/>
      <c r="G3268" s="266" t="s">
        <v>6304</v>
      </c>
      <c r="H3268" s="266" t="s">
        <v>6331</v>
      </c>
      <c r="I3268" s="266"/>
      <c r="J3268" s="266"/>
      <c r="K3268" s="1"/>
      <c r="L3268" s="1"/>
    </row>
    <row r="3269">
      <c r="A3269" s="266">
        <v>1600.0</v>
      </c>
      <c r="B3269" s="266"/>
      <c r="C3269" s="266">
        <v>15.0</v>
      </c>
      <c r="D3269" s="266" t="s">
        <v>6473</v>
      </c>
      <c r="E3269" s="266"/>
      <c r="F3269" s="266"/>
      <c r="G3269" s="266" t="s">
        <v>6304</v>
      </c>
      <c r="H3269" s="266" t="s">
        <v>6331</v>
      </c>
      <c r="I3269" s="266"/>
      <c r="J3269" s="266"/>
      <c r="K3269" s="1"/>
      <c r="L3269" s="1"/>
    </row>
    <row r="3270">
      <c r="A3270" s="266">
        <v>1700.0</v>
      </c>
      <c r="B3270" s="266"/>
      <c r="C3270" s="266">
        <v>10.0</v>
      </c>
      <c r="D3270" s="266" t="s">
        <v>6474</v>
      </c>
      <c r="E3270" s="266"/>
      <c r="F3270" s="266"/>
      <c r="G3270" s="266" t="s">
        <v>6304</v>
      </c>
      <c r="H3270" s="266" t="s">
        <v>6315</v>
      </c>
      <c r="I3270" s="266"/>
      <c r="J3270" s="266"/>
      <c r="K3270" s="1"/>
      <c r="L3270" s="1"/>
    </row>
    <row r="3271">
      <c r="A3271" s="266">
        <v>1800.0</v>
      </c>
      <c r="B3271" s="266"/>
      <c r="C3271" s="266">
        <v>10.0</v>
      </c>
      <c r="D3271" s="266" t="s">
        <v>6475</v>
      </c>
      <c r="E3271" s="266"/>
      <c r="F3271" s="266"/>
      <c r="G3271" s="266"/>
      <c r="H3271" s="266"/>
      <c r="I3271" s="266"/>
      <c r="J3271" s="267"/>
    </row>
    <row r="3272">
      <c r="A3272" s="266">
        <v>1900.0</v>
      </c>
      <c r="B3272" s="266"/>
      <c r="C3272" s="266">
        <v>15.0</v>
      </c>
      <c r="D3272" s="266" t="s">
        <v>6476</v>
      </c>
      <c r="E3272" s="266"/>
      <c r="F3272" s="266"/>
      <c r="G3272" s="266" t="s">
        <v>6304</v>
      </c>
      <c r="H3272" s="266" t="s">
        <v>6336</v>
      </c>
      <c r="I3272" s="266"/>
      <c r="J3272" s="266"/>
      <c r="K3272" s="1"/>
      <c r="L3272" s="1"/>
    </row>
    <row r="3273">
      <c r="A3273" s="266">
        <v>2000.0</v>
      </c>
      <c r="B3273" s="266"/>
      <c r="C3273" s="266">
        <v>15.0</v>
      </c>
      <c r="D3273" s="266" t="s">
        <v>6477</v>
      </c>
      <c r="E3273" s="266"/>
      <c r="F3273" s="266"/>
      <c r="G3273" s="266" t="s">
        <v>6304</v>
      </c>
      <c r="H3273" s="266" t="s">
        <v>6338</v>
      </c>
      <c r="I3273" s="266"/>
      <c r="J3273" s="266"/>
      <c r="K3273" s="1"/>
      <c r="L3273" s="1"/>
    </row>
    <row r="3274">
      <c r="A3274" s="266">
        <v>2100.0</v>
      </c>
      <c r="B3274" s="266"/>
      <c r="C3274" s="266">
        <v>5.0</v>
      </c>
      <c r="D3274" s="266" t="s">
        <v>8580</v>
      </c>
      <c r="E3274" s="266"/>
      <c r="F3274" s="266"/>
      <c r="G3274" s="266" t="s">
        <v>6304</v>
      </c>
      <c r="H3274" s="266" t="s">
        <v>6348</v>
      </c>
      <c r="I3274" s="266"/>
      <c r="J3274" s="266"/>
      <c r="K3274" s="1"/>
      <c r="L3274" s="1"/>
    </row>
    <row r="3275">
      <c r="A3275" s="266">
        <v>2200.0</v>
      </c>
      <c r="B3275" s="266"/>
      <c r="C3275" s="266">
        <v>5.0</v>
      </c>
      <c r="D3275" s="266" t="s">
        <v>8581</v>
      </c>
      <c r="E3275" s="266"/>
      <c r="F3275" s="266"/>
      <c r="G3275" s="266"/>
      <c r="H3275" s="266"/>
      <c r="I3275" s="266"/>
      <c r="J3275" s="267"/>
    </row>
    <row r="3276">
      <c r="A3276" s="266">
        <v>2300.0</v>
      </c>
      <c r="B3276" s="266"/>
      <c r="C3276" s="266">
        <v>10.0</v>
      </c>
      <c r="D3276" s="266" t="s">
        <v>8582</v>
      </c>
      <c r="E3276" s="266"/>
      <c r="F3276" s="266"/>
      <c r="G3276" s="266" t="s">
        <v>6304</v>
      </c>
      <c r="H3276" s="266" t="s">
        <v>6317</v>
      </c>
      <c r="I3276" s="266"/>
      <c r="J3276" s="266"/>
      <c r="K3276" s="1"/>
      <c r="L3276" s="1"/>
    </row>
    <row r="3277">
      <c r="A3277" s="266">
        <v>2400.0</v>
      </c>
      <c r="B3277" s="266"/>
      <c r="C3277" s="266">
        <v>10.0</v>
      </c>
      <c r="D3277" s="266" t="s">
        <v>8583</v>
      </c>
      <c r="E3277" s="266"/>
      <c r="F3277" s="266"/>
      <c r="G3277" s="266" t="s">
        <v>6304</v>
      </c>
      <c r="H3277" s="266" t="s">
        <v>6342</v>
      </c>
      <c r="I3277" s="266"/>
      <c r="J3277" s="266"/>
      <c r="K3277" s="1"/>
      <c r="L3277" s="1"/>
    </row>
    <row r="3278">
      <c r="A3278" s="266">
        <v>2500.0</v>
      </c>
      <c r="B3278" s="266"/>
      <c r="C3278" s="266">
        <v>10.0</v>
      </c>
      <c r="D3278" s="266" t="s">
        <v>8584</v>
      </c>
      <c r="E3278" s="266"/>
      <c r="F3278" s="266"/>
      <c r="G3278" s="266" t="s">
        <v>6304</v>
      </c>
      <c r="H3278" s="266" t="s">
        <v>6338</v>
      </c>
      <c r="I3278" s="266"/>
      <c r="J3278" s="266"/>
      <c r="K3278" s="1"/>
      <c r="L3278" s="1"/>
    </row>
    <row r="3279">
      <c r="A3279" s="266">
        <v>2600.0</v>
      </c>
      <c r="B3279" s="266"/>
      <c r="C3279" s="266">
        <v>5.0</v>
      </c>
      <c r="D3279" s="266" t="s">
        <v>8585</v>
      </c>
      <c r="E3279" s="266"/>
      <c r="F3279" s="266"/>
      <c r="G3279" s="266"/>
      <c r="H3279" s="266"/>
      <c r="I3279" s="266"/>
      <c r="J3279" s="267"/>
    </row>
    <row r="3280">
      <c r="A3280" s="266">
        <v>2700.0</v>
      </c>
      <c r="B3280" s="266"/>
      <c r="C3280" s="266">
        <v>10.0</v>
      </c>
      <c r="D3280" s="266" t="s">
        <v>8586</v>
      </c>
      <c r="E3280" s="266"/>
      <c r="F3280" s="266"/>
      <c r="G3280" s="266" t="s">
        <v>6304</v>
      </c>
      <c r="H3280" s="266" t="s">
        <v>6315</v>
      </c>
      <c r="I3280" s="266"/>
      <c r="J3280" s="266"/>
      <c r="K3280" s="1"/>
      <c r="L3280" s="1"/>
    </row>
    <row r="3281">
      <c r="A3281" s="266">
        <v>2800.0</v>
      </c>
      <c r="B3281" s="266"/>
      <c r="C3281" s="266">
        <v>10.0</v>
      </c>
      <c r="D3281" s="266" t="s">
        <v>8587</v>
      </c>
      <c r="E3281" s="266" t="s">
        <v>6479</v>
      </c>
      <c r="F3281" s="266">
        <v>4.0</v>
      </c>
      <c r="G3281" s="266" t="s">
        <v>6304</v>
      </c>
      <c r="H3281" s="266" t="s">
        <v>17</v>
      </c>
      <c r="I3281" s="266"/>
      <c r="J3281" s="267"/>
    </row>
    <row r="3282">
      <c r="A3282" s="266">
        <v>2900.0</v>
      </c>
      <c r="B3282" s="266"/>
      <c r="C3282" s="266">
        <v>10.0</v>
      </c>
      <c r="D3282" s="266" t="s">
        <v>8588</v>
      </c>
      <c r="E3282" s="266" t="s">
        <v>6479</v>
      </c>
      <c r="F3282" s="266">
        <v>4.0</v>
      </c>
      <c r="G3282" s="266" t="s">
        <v>6304</v>
      </c>
      <c r="H3282" s="266" t="s">
        <v>17</v>
      </c>
      <c r="I3282" s="266"/>
      <c r="J3282" s="267"/>
    </row>
    <row r="3283">
      <c r="A3283" s="266">
        <v>3000.0</v>
      </c>
      <c r="B3283" s="266"/>
      <c r="C3283" s="266">
        <v>5.0</v>
      </c>
      <c r="D3283" s="266" t="s">
        <v>6450</v>
      </c>
      <c r="E3283" s="266"/>
      <c r="F3283" s="266"/>
      <c r="G3283" s="266" t="s">
        <v>6304</v>
      </c>
      <c r="H3283" s="266" t="s">
        <v>6336</v>
      </c>
      <c r="I3283" s="266"/>
      <c r="J3283" s="266"/>
      <c r="K3283" s="1"/>
      <c r="L3283" s="1"/>
    </row>
    <row r="3284">
      <c r="A3284" s="266">
        <v>3100.0</v>
      </c>
      <c r="B3284" s="266"/>
      <c r="C3284" s="266">
        <v>5.0</v>
      </c>
      <c r="D3284" s="266" t="s">
        <v>6451</v>
      </c>
      <c r="E3284" s="266"/>
      <c r="F3284" s="266"/>
      <c r="G3284" s="266" t="s">
        <v>6304</v>
      </c>
      <c r="H3284" s="266" t="s">
        <v>555</v>
      </c>
      <c r="I3284" s="266"/>
      <c r="J3284" s="266"/>
      <c r="K3284" s="1"/>
      <c r="L3284" s="1"/>
    </row>
    <row r="3285">
      <c r="A3285" s="266">
        <v>3200.0</v>
      </c>
      <c r="B3285" s="266"/>
      <c r="C3285" s="266">
        <v>5.0</v>
      </c>
      <c r="D3285" s="266" t="s">
        <v>8589</v>
      </c>
      <c r="E3285" s="266"/>
      <c r="F3285" s="266"/>
      <c r="G3285" s="266" t="s">
        <v>6304</v>
      </c>
      <c r="H3285" s="266" t="s">
        <v>17</v>
      </c>
      <c r="I3285" s="266"/>
      <c r="J3285" s="266"/>
      <c r="K3285" s="1"/>
      <c r="L3285" s="1"/>
    </row>
    <row r="3286">
      <c r="A3286" s="266">
        <v>3300.0</v>
      </c>
      <c r="B3286" s="266"/>
      <c r="C3286" s="266">
        <v>5.0</v>
      </c>
      <c r="D3286" s="266" t="s">
        <v>6306</v>
      </c>
      <c r="E3286" s="266"/>
      <c r="F3286" s="266"/>
      <c r="G3286" s="266" t="s">
        <v>6304</v>
      </c>
      <c r="H3286" s="266" t="s">
        <v>6462</v>
      </c>
      <c r="I3286" s="266"/>
      <c r="J3286" s="266"/>
      <c r="K3286" s="1"/>
      <c r="L3286" s="1"/>
    </row>
    <row r="3287">
      <c r="A3287" s="266">
        <v>50.0</v>
      </c>
      <c r="B3287" s="266">
        <v>1.0</v>
      </c>
      <c r="C3287" s="266"/>
      <c r="D3287" s="266" t="s">
        <v>8590</v>
      </c>
      <c r="E3287" s="266"/>
      <c r="F3287" s="266"/>
      <c r="G3287" s="266"/>
      <c r="H3287" s="266"/>
      <c r="I3287" s="266"/>
      <c r="J3287" s="267"/>
    </row>
    <row r="3288">
      <c r="A3288" s="266">
        <v>100.0</v>
      </c>
      <c r="B3288" s="266"/>
      <c r="C3288" s="266">
        <v>5.0</v>
      </c>
      <c r="D3288" s="266" t="s">
        <v>8591</v>
      </c>
      <c r="E3288" s="266"/>
      <c r="F3288" s="266"/>
      <c r="G3288" s="266"/>
      <c r="H3288" s="266"/>
      <c r="I3288" s="266"/>
      <c r="J3288" s="267"/>
    </row>
    <row r="3289">
      <c r="A3289" s="266">
        <v>200.0</v>
      </c>
      <c r="B3289" s="266"/>
      <c r="C3289" s="266">
        <v>10.0</v>
      </c>
      <c r="D3289" s="266" t="s">
        <v>2777</v>
      </c>
      <c r="E3289" s="266"/>
      <c r="F3289" s="266"/>
      <c r="G3289" s="266" t="s">
        <v>6304</v>
      </c>
      <c r="H3289" s="266" t="s">
        <v>14</v>
      </c>
      <c r="I3289" s="266"/>
      <c r="J3289" s="266"/>
      <c r="K3289" s="1"/>
      <c r="L3289" s="1"/>
    </row>
    <row r="3290">
      <c r="A3290" s="266">
        <v>300.0</v>
      </c>
      <c r="B3290" s="266"/>
      <c r="C3290" s="266">
        <v>10.0</v>
      </c>
      <c r="D3290" s="266" t="s">
        <v>2778</v>
      </c>
      <c r="E3290" s="266"/>
      <c r="F3290" s="266"/>
      <c r="G3290" s="266" t="s">
        <v>6304</v>
      </c>
      <c r="H3290" s="266" t="s">
        <v>14</v>
      </c>
      <c r="I3290" s="266"/>
      <c r="J3290" s="266"/>
      <c r="K3290" s="1"/>
      <c r="L3290" s="1"/>
    </row>
    <row r="3291">
      <c r="A3291" s="266">
        <v>400.0</v>
      </c>
      <c r="B3291" s="266"/>
      <c r="C3291" s="266">
        <v>10.0</v>
      </c>
      <c r="D3291" s="266" t="s">
        <v>2779</v>
      </c>
      <c r="E3291" s="266"/>
      <c r="F3291" s="266"/>
      <c r="G3291" s="266" t="s">
        <v>6304</v>
      </c>
      <c r="H3291" s="266" t="s">
        <v>14</v>
      </c>
      <c r="I3291" s="266"/>
      <c r="J3291" s="266"/>
      <c r="K3291" s="1"/>
      <c r="L3291" s="1"/>
    </row>
    <row r="3292">
      <c r="A3292" s="266">
        <v>500.0</v>
      </c>
      <c r="B3292" s="266"/>
      <c r="C3292" s="266">
        <v>5.0</v>
      </c>
      <c r="D3292" s="266" t="s">
        <v>2780</v>
      </c>
      <c r="E3292" s="266"/>
      <c r="F3292" s="266"/>
      <c r="G3292" s="266" t="s">
        <v>6304</v>
      </c>
      <c r="H3292" s="266" t="s">
        <v>2770</v>
      </c>
      <c r="I3292" s="266"/>
      <c r="J3292" s="266"/>
      <c r="K3292" s="1"/>
      <c r="L3292" s="1"/>
    </row>
    <row r="3293">
      <c r="A3293" s="266">
        <v>600.0</v>
      </c>
      <c r="B3293" s="266"/>
      <c r="C3293" s="266">
        <v>5.0</v>
      </c>
      <c r="D3293" s="266" t="s">
        <v>2781</v>
      </c>
      <c r="E3293" s="266"/>
      <c r="F3293" s="266"/>
      <c r="G3293" s="266" t="s">
        <v>6304</v>
      </c>
      <c r="H3293" s="266">
        <v>9.0</v>
      </c>
      <c r="I3293" s="266"/>
      <c r="J3293" s="266"/>
      <c r="K3293" s="1"/>
      <c r="L3293" s="1"/>
    </row>
    <row r="3294">
      <c r="A3294" s="266">
        <v>700.0</v>
      </c>
      <c r="B3294" s="266"/>
      <c r="C3294" s="266">
        <v>5.0</v>
      </c>
      <c r="D3294" s="266" t="s">
        <v>8157</v>
      </c>
      <c r="E3294" s="266"/>
      <c r="F3294" s="266"/>
      <c r="G3294" s="266"/>
      <c r="H3294" s="266"/>
      <c r="I3294" s="266"/>
      <c r="J3294" s="267"/>
    </row>
    <row r="3295">
      <c r="A3295" s="266">
        <v>800.0</v>
      </c>
      <c r="B3295" s="266"/>
      <c r="C3295" s="266">
        <v>10.0</v>
      </c>
      <c r="D3295" s="266" t="s">
        <v>2782</v>
      </c>
      <c r="E3295" s="266"/>
      <c r="F3295" s="266"/>
      <c r="G3295" s="266" t="s">
        <v>6304</v>
      </c>
      <c r="H3295" s="266">
        <v>99.0</v>
      </c>
      <c r="I3295" s="266"/>
      <c r="J3295" s="266"/>
      <c r="K3295" s="1"/>
      <c r="L3295" s="1"/>
    </row>
    <row r="3296">
      <c r="A3296" s="266">
        <v>900.0</v>
      </c>
      <c r="B3296" s="266"/>
      <c r="C3296" s="266">
        <v>10.0</v>
      </c>
      <c r="D3296" s="266" t="s">
        <v>2783</v>
      </c>
      <c r="E3296" s="266"/>
      <c r="F3296" s="266"/>
      <c r="G3296" s="266" t="s">
        <v>6304</v>
      </c>
      <c r="H3296" s="266" t="s">
        <v>17</v>
      </c>
      <c r="I3296" s="266"/>
      <c r="J3296" s="266"/>
      <c r="K3296" s="1"/>
      <c r="L3296" s="1"/>
    </row>
    <row r="3297">
      <c r="A3297" s="266">
        <v>1000.0</v>
      </c>
      <c r="B3297" s="266"/>
      <c r="C3297" s="266">
        <v>10.0</v>
      </c>
      <c r="D3297" s="266" t="s">
        <v>2784</v>
      </c>
      <c r="E3297" s="266"/>
      <c r="F3297" s="266"/>
      <c r="G3297" s="266" t="s">
        <v>6304</v>
      </c>
      <c r="H3297" s="266">
        <v>9.0</v>
      </c>
      <c r="I3297" s="266"/>
      <c r="J3297" s="266"/>
      <c r="K3297" s="1"/>
      <c r="L3297" s="1"/>
    </row>
    <row r="3298">
      <c r="A3298" s="266">
        <v>1100.0</v>
      </c>
      <c r="B3298" s="266"/>
      <c r="C3298" s="266">
        <v>5.0</v>
      </c>
      <c r="D3298" s="266" t="s">
        <v>2785</v>
      </c>
      <c r="E3298" s="266"/>
      <c r="F3298" s="266"/>
      <c r="G3298" s="266" t="s">
        <v>6304</v>
      </c>
      <c r="H3298" s="266" t="s">
        <v>555</v>
      </c>
      <c r="I3298" s="266"/>
      <c r="J3298" s="266"/>
      <c r="K3298" s="1"/>
      <c r="L3298" s="1"/>
    </row>
    <row r="3299">
      <c r="A3299" s="266">
        <v>1200.0</v>
      </c>
      <c r="B3299" s="266"/>
      <c r="C3299" s="266">
        <v>5.0</v>
      </c>
      <c r="D3299" s="266" t="s">
        <v>6306</v>
      </c>
      <c r="E3299" s="266"/>
      <c r="F3299" s="266"/>
      <c r="G3299" s="266" t="s">
        <v>6304</v>
      </c>
      <c r="H3299" s="266" t="s">
        <v>8101</v>
      </c>
      <c r="I3299" s="266"/>
      <c r="J3299" s="266"/>
      <c r="K3299" s="1"/>
      <c r="L3299" s="1"/>
    </row>
    <row r="3300">
      <c r="A3300" s="270"/>
      <c r="B3300" s="270"/>
      <c r="C3300" s="270"/>
      <c r="D3300" s="270"/>
      <c r="E3300" s="270"/>
      <c r="F3300" s="270"/>
      <c r="G3300" s="270"/>
      <c r="H3300" s="270"/>
      <c r="I3300" s="270"/>
    </row>
  </sheetData>
  <customSheetViews>
    <customSheetView guid="{409A5064-376D-4855-973A-F2E64D489A57}" filter="1" showAutoFilter="1">
      <autoFilter ref="$A$1:$J$3299"/>
    </customSheetView>
  </customSheetView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0"/>
    <col customWidth="1" min="4" max="4" width="20.88"/>
    <col customWidth="1" min="5" max="5" width="14.63"/>
    <col customWidth="1" min="6" max="6" width="15.13"/>
    <col customWidth="1" min="7" max="7" width="17.25"/>
    <col customWidth="1" hidden="1" min="8" max="8" width="20.63"/>
    <col customWidth="1" min="11" max="11" width="21.63"/>
    <col customWidth="1" min="12" max="12" width="20.75"/>
    <col customWidth="1" min="14" max="14" width="21.25"/>
    <col customWidth="1" min="15" max="15" width="14.5"/>
    <col customWidth="1" min="16" max="16" width="15.63"/>
    <col customWidth="1" min="17" max="17" width="21.25"/>
    <col customWidth="1" min="18" max="18" width="14.5"/>
    <col customWidth="1" min="19" max="19" width="15.63"/>
    <col customWidth="1" min="20" max="20" width="19.0"/>
    <col customWidth="1" min="21" max="21" width="14.5"/>
    <col customWidth="1" min="22" max="22" width="15.63"/>
    <col customWidth="1" min="23" max="23" width="19.0"/>
    <col customWidth="1" min="24" max="24" width="14.5"/>
    <col customWidth="1" min="25" max="25" width="15.63"/>
    <col customWidth="1" min="26" max="26" width="21.25"/>
    <col customWidth="1" min="27" max="27" width="14.5"/>
    <col customWidth="1" min="28" max="28" width="15.63"/>
    <col customWidth="1" min="29" max="29" width="21.25"/>
    <col customWidth="1" min="30" max="30" width="14.5"/>
    <col customWidth="1" min="31" max="32" width="15.63"/>
    <col customWidth="1" min="33" max="33" width="10.0"/>
    <col customWidth="1" min="34" max="35" width="23.5"/>
    <col customWidth="1" min="36" max="36" width="19.0"/>
    <col customWidth="1" min="37" max="37" width="15.63"/>
    <col customWidth="1" min="38" max="38" width="7.75"/>
    <col customWidth="1" min="39" max="39" width="15.63"/>
    <col customWidth="1" min="40" max="40" width="10.0"/>
  </cols>
  <sheetData>
    <row r="1">
      <c r="A1" s="266" t="s">
        <v>8212</v>
      </c>
      <c r="B1" s="266" t="s">
        <v>8213</v>
      </c>
      <c r="C1" s="266" t="s">
        <v>514</v>
      </c>
      <c r="D1" s="266" t="s">
        <v>6795</v>
      </c>
      <c r="E1" s="266" t="s">
        <v>5165</v>
      </c>
      <c r="F1" s="266" t="s">
        <v>5166</v>
      </c>
      <c r="G1" s="266" t="s">
        <v>6796</v>
      </c>
      <c r="H1" s="266" t="s">
        <v>6784</v>
      </c>
      <c r="I1" s="266" t="s">
        <v>5160</v>
      </c>
      <c r="J1" s="266" t="s">
        <v>5161</v>
      </c>
      <c r="K1" s="266" t="s">
        <v>6768</v>
      </c>
      <c r="L1" s="266" t="s">
        <v>6789</v>
      </c>
      <c r="M1" s="266" t="s">
        <v>4114</v>
      </c>
      <c r="N1" s="271" t="s">
        <v>8214</v>
      </c>
      <c r="O1" s="272" t="s">
        <v>8215</v>
      </c>
      <c r="P1" s="273" t="s">
        <v>8216</v>
      </c>
      <c r="Q1" s="266" t="s">
        <v>8217</v>
      </c>
      <c r="R1" s="272" t="s">
        <v>8218</v>
      </c>
      <c r="S1" s="273" t="s">
        <v>8219</v>
      </c>
      <c r="T1" s="266" t="s">
        <v>8220</v>
      </c>
      <c r="U1" s="266" t="s">
        <v>8221</v>
      </c>
      <c r="V1" s="266" t="s">
        <v>8222</v>
      </c>
      <c r="W1" s="266" t="s">
        <v>8223</v>
      </c>
      <c r="X1" s="266" t="s">
        <v>8224</v>
      </c>
      <c r="Y1" s="266" t="s">
        <v>8225</v>
      </c>
      <c r="Z1" s="266" t="s">
        <v>8226</v>
      </c>
      <c r="AA1" s="266" t="s">
        <v>8227</v>
      </c>
      <c r="AB1" s="266" t="s">
        <v>8228</v>
      </c>
      <c r="AC1" s="266" t="s">
        <v>8229</v>
      </c>
      <c r="AD1" s="266" t="s">
        <v>8230</v>
      </c>
      <c r="AE1" s="266" t="s">
        <v>8231</v>
      </c>
      <c r="AF1" s="266" t="s">
        <v>7035</v>
      </c>
      <c r="AG1" s="266" t="s">
        <v>7036</v>
      </c>
      <c r="AH1" s="266" t="s">
        <v>7037</v>
      </c>
      <c r="AI1" s="266" t="s">
        <v>7038</v>
      </c>
      <c r="AJ1" s="266" t="s">
        <v>7039</v>
      </c>
      <c r="AK1" s="266" t="s">
        <v>7041</v>
      </c>
      <c r="AL1" s="266" t="s">
        <v>6306</v>
      </c>
      <c r="AM1" s="266" t="s">
        <v>7043</v>
      </c>
      <c r="AN1" s="266" t="s">
        <v>6306</v>
      </c>
    </row>
    <row r="2">
      <c r="A2" s="266"/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71" t="s">
        <v>6479</v>
      </c>
      <c r="O2" s="266"/>
      <c r="P2" s="266"/>
      <c r="Q2" s="266" t="s">
        <v>6479</v>
      </c>
      <c r="R2" s="266"/>
      <c r="S2" s="266"/>
      <c r="T2" s="266" t="s">
        <v>6479</v>
      </c>
      <c r="U2" s="266"/>
      <c r="V2" s="266"/>
      <c r="W2" s="266" t="s">
        <v>6479</v>
      </c>
      <c r="X2" s="266"/>
      <c r="Y2" s="266"/>
      <c r="Z2" s="266" t="s">
        <v>6479</v>
      </c>
      <c r="AA2" s="266"/>
      <c r="AB2" s="266"/>
      <c r="AC2" s="266" t="s">
        <v>6479</v>
      </c>
      <c r="AD2" s="266"/>
      <c r="AE2" s="266"/>
      <c r="AF2" s="266"/>
      <c r="AG2" s="266"/>
      <c r="AH2" s="266"/>
      <c r="AI2" s="266"/>
      <c r="AJ2" s="266" t="s">
        <v>6621</v>
      </c>
      <c r="AK2" s="266" t="s">
        <v>6621</v>
      </c>
      <c r="AL2" s="266"/>
      <c r="AM2" s="266"/>
      <c r="AN2" s="266"/>
    </row>
    <row r="3">
      <c r="A3" s="266"/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71">
        <v>5.0</v>
      </c>
      <c r="O3" s="266"/>
      <c r="P3" s="266"/>
      <c r="Q3" s="266">
        <v>5.0</v>
      </c>
      <c r="R3" s="266"/>
      <c r="S3" s="266"/>
      <c r="T3" s="266">
        <v>5.0</v>
      </c>
      <c r="U3" s="266"/>
      <c r="V3" s="266"/>
      <c r="W3" s="266">
        <v>5.0</v>
      </c>
      <c r="X3" s="266"/>
      <c r="Y3" s="266"/>
      <c r="Z3" s="266">
        <v>5.0</v>
      </c>
      <c r="AA3" s="266"/>
      <c r="AB3" s="266"/>
      <c r="AC3" s="266">
        <v>5.0</v>
      </c>
      <c r="AD3" s="266"/>
      <c r="AE3" s="266"/>
      <c r="AF3" s="266"/>
      <c r="AG3" s="266"/>
      <c r="AH3" s="266"/>
      <c r="AI3" s="266"/>
      <c r="AJ3" s="269" t="s">
        <v>7040</v>
      </c>
      <c r="AK3" s="269" t="s">
        <v>7042</v>
      </c>
      <c r="AL3" s="266"/>
      <c r="AM3" s="266"/>
      <c r="AN3" s="266"/>
    </row>
    <row r="4">
      <c r="A4" s="266"/>
      <c r="B4" s="266"/>
      <c r="C4" s="266" t="s">
        <v>6304</v>
      </c>
      <c r="D4" s="266" t="s">
        <v>6304</v>
      </c>
      <c r="E4" s="266" t="s">
        <v>6304</v>
      </c>
      <c r="F4" s="266" t="s">
        <v>6304</v>
      </c>
      <c r="G4" s="266" t="s">
        <v>6304</v>
      </c>
      <c r="H4" s="266"/>
      <c r="I4" s="266" t="s">
        <v>6304</v>
      </c>
      <c r="J4" s="266" t="s">
        <v>6304</v>
      </c>
      <c r="K4" s="266" t="s">
        <v>6304</v>
      </c>
      <c r="L4" s="266" t="s">
        <v>6304</v>
      </c>
      <c r="M4" s="266" t="s">
        <v>6304</v>
      </c>
      <c r="N4" s="266"/>
      <c r="O4" s="266" t="s">
        <v>6304</v>
      </c>
      <c r="P4" s="266" t="s">
        <v>6304</v>
      </c>
      <c r="Q4" s="266"/>
      <c r="R4" s="266" t="s">
        <v>6304</v>
      </c>
      <c r="S4" s="266" t="s">
        <v>6304</v>
      </c>
      <c r="T4" s="266"/>
      <c r="U4" s="266" t="s">
        <v>6304</v>
      </c>
      <c r="V4" s="266" t="s">
        <v>6304</v>
      </c>
      <c r="W4" s="266"/>
      <c r="X4" s="266" t="s">
        <v>6304</v>
      </c>
      <c r="Y4" s="266" t="s">
        <v>6304</v>
      </c>
      <c r="Z4" s="266"/>
      <c r="AA4" s="266" t="s">
        <v>6304</v>
      </c>
      <c r="AB4" s="266" t="s">
        <v>6304</v>
      </c>
      <c r="AC4" s="266"/>
      <c r="AD4" s="266" t="s">
        <v>6304</v>
      </c>
      <c r="AE4" s="266" t="s">
        <v>6304</v>
      </c>
      <c r="AF4" s="266" t="s">
        <v>6304</v>
      </c>
      <c r="AG4" s="266"/>
      <c r="AH4" s="266" t="s">
        <v>6304</v>
      </c>
      <c r="AI4" s="266" t="s">
        <v>6304</v>
      </c>
      <c r="AJ4" s="266"/>
      <c r="AK4" s="266"/>
      <c r="AL4" s="266" t="s">
        <v>6304</v>
      </c>
      <c r="AM4" s="266" t="s">
        <v>6304</v>
      </c>
      <c r="AN4" s="266" t="s">
        <v>6304</v>
      </c>
    </row>
    <row r="5">
      <c r="A5" s="266"/>
      <c r="B5" s="266"/>
      <c r="C5" s="266" t="s">
        <v>551</v>
      </c>
      <c r="D5" s="266" t="s">
        <v>556</v>
      </c>
      <c r="E5" s="266">
        <v>9.0</v>
      </c>
      <c r="F5" s="266" t="s">
        <v>551</v>
      </c>
      <c r="G5" s="266" t="s">
        <v>556</v>
      </c>
      <c r="H5" s="266"/>
      <c r="I5" s="266" t="s">
        <v>552</v>
      </c>
      <c r="J5" s="266" t="s">
        <v>551</v>
      </c>
      <c r="K5" s="266" t="s">
        <v>3794</v>
      </c>
      <c r="L5" s="266" t="s">
        <v>3795</v>
      </c>
      <c r="M5" s="266" t="s">
        <v>551</v>
      </c>
      <c r="N5" s="266"/>
      <c r="O5" s="266" t="s">
        <v>14</v>
      </c>
      <c r="P5" s="266">
        <v>999.0</v>
      </c>
      <c r="Q5" s="266"/>
      <c r="R5" s="266" t="s">
        <v>14</v>
      </c>
      <c r="S5" s="266">
        <v>999.0</v>
      </c>
      <c r="T5" s="266"/>
      <c r="U5" s="266" t="s">
        <v>14</v>
      </c>
      <c r="V5" s="266">
        <v>999.0</v>
      </c>
      <c r="W5" s="266"/>
      <c r="X5" s="266" t="s">
        <v>14</v>
      </c>
      <c r="Y5" s="266">
        <v>999.0</v>
      </c>
      <c r="Z5" s="266"/>
      <c r="AA5" s="266" t="s">
        <v>14</v>
      </c>
      <c r="AB5" s="266">
        <v>999.0</v>
      </c>
      <c r="AC5" s="266"/>
      <c r="AD5" s="266" t="s">
        <v>14</v>
      </c>
      <c r="AE5" s="266">
        <v>999.0</v>
      </c>
      <c r="AF5" s="266" t="s">
        <v>560</v>
      </c>
      <c r="AG5" s="266"/>
      <c r="AH5" s="266" t="s">
        <v>557</v>
      </c>
      <c r="AI5" s="266" t="s">
        <v>17</v>
      </c>
      <c r="AJ5" s="266"/>
      <c r="AK5" s="266"/>
      <c r="AL5" s="266" t="s">
        <v>557</v>
      </c>
      <c r="AM5" s="266" t="s">
        <v>6317</v>
      </c>
      <c r="AN5" s="266" t="s">
        <v>8232</v>
      </c>
    </row>
    <row r="6">
      <c r="C6" s="274" t="s">
        <v>4107</v>
      </c>
      <c r="J6" s="275" t="s">
        <v>8592</v>
      </c>
      <c r="K6" s="275" t="s">
        <v>5098</v>
      </c>
      <c r="M6" s="274" t="s">
        <v>4107</v>
      </c>
      <c r="O6" s="3" t="s">
        <v>8593</v>
      </c>
      <c r="P6" s="104" t="s">
        <v>5097</v>
      </c>
    </row>
    <row r="7">
      <c r="C7" s="276">
        <v>40.0</v>
      </c>
      <c r="J7" s="24">
        <v>8.0</v>
      </c>
      <c r="K7" s="24">
        <v>581.0</v>
      </c>
      <c r="M7" s="276">
        <v>96.0</v>
      </c>
      <c r="O7" s="3">
        <v>7000.0</v>
      </c>
      <c r="P7" s="11">
        <v>213.0</v>
      </c>
    </row>
    <row r="8">
      <c r="C8" s="276">
        <v>81.0</v>
      </c>
      <c r="J8" s="24">
        <v>3.0</v>
      </c>
      <c r="K8" s="24">
        <v>641.0</v>
      </c>
      <c r="M8" s="276">
        <v>93.0</v>
      </c>
      <c r="O8" s="277">
        <v>7001.0</v>
      </c>
      <c r="P8" s="11">
        <v>220.0</v>
      </c>
    </row>
    <row r="9">
      <c r="C9" s="276">
        <v>81.0</v>
      </c>
      <c r="J9" s="24">
        <v>8.0</v>
      </c>
      <c r="K9" s="24">
        <v>385.0</v>
      </c>
      <c r="M9" s="276">
        <v>97.0</v>
      </c>
      <c r="O9" s="277">
        <v>7002.0</v>
      </c>
      <c r="P9" s="11">
        <v>200.0</v>
      </c>
    </row>
    <row r="10">
      <c r="C10" s="276">
        <v>41.0</v>
      </c>
      <c r="J10" s="24">
        <v>3.0</v>
      </c>
      <c r="K10" s="24">
        <v>882.0</v>
      </c>
      <c r="M10" s="276">
        <v>4.0</v>
      </c>
      <c r="O10" s="277">
        <v>7003.0</v>
      </c>
      <c r="P10" s="11">
        <v>209.0</v>
      </c>
    </row>
    <row r="11">
      <c r="C11" s="276">
        <v>61.0</v>
      </c>
      <c r="J11" s="24">
        <v>6.0</v>
      </c>
      <c r="K11" s="24">
        <v>771.0</v>
      </c>
      <c r="M11" s="276">
        <v>53.0</v>
      </c>
      <c r="O11" s="277">
        <v>7004.0</v>
      </c>
      <c r="P11" s="11">
        <v>218.0</v>
      </c>
    </row>
    <row r="12">
      <c r="C12" s="276">
        <v>20.0</v>
      </c>
      <c r="J12" s="24">
        <v>6.0</v>
      </c>
      <c r="K12" s="24">
        <v>489.0</v>
      </c>
      <c r="M12" s="276">
        <v>59.0</v>
      </c>
      <c r="O12" s="3">
        <v>7005.0</v>
      </c>
      <c r="P12" s="11">
        <v>204.0</v>
      </c>
    </row>
    <row r="13">
      <c r="C13" s="276">
        <v>41.0</v>
      </c>
      <c r="J13" s="24">
        <v>5.0</v>
      </c>
      <c r="K13" s="24">
        <v>977.0</v>
      </c>
      <c r="M13" s="276">
        <v>11.0</v>
      </c>
      <c r="O13" s="277">
        <v>7006.0</v>
      </c>
      <c r="P13" s="11">
        <v>205.0</v>
      </c>
    </row>
    <row r="14">
      <c r="C14" s="276">
        <v>61.0</v>
      </c>
      <c r="J14" s="24">
        <v>3.0</v>
      </c>
      <c r="K14" s="24">
        <v>394.0</v>
      </c>
      <c r="M14" s="276">
        <v>66.0</v>
      </c>
      <c r="O14" s="277">
        <v>7007.0</v>
      </c>
      <c r="P14" s="11">
        <v>201.0</v>
      </c>
    </row>
    <row r="15">
      <c r="C15" s="276">
        <v>82.0</v>
      </c>
      <c r="J15" s="24">
        <v>4.0</v>
      </c>
      <c r="K15" s="24">
        <v>881.0</v>
      </c>
      <c r="M15" s="276">
        <v>16.0</v>
      </c>
      <c r="O15" s="277">
        <v>7008.0</v>
      </c>
      <c r="P15" s="11">
        <v>210.0</v>
      </c>
    </row>
    <row r="16">
      <c r="C16" s="276">
        <v>20.0</v>
      </c>
      <c r="J16" s="24">
        <v>5.0</v>
      </c>
      <c r="K16" s="24">
        <v>378.0</v>
      </c>
      <c r="M16" s="276">
        <v>75.0</v>
      </c>
      <c r="O16" s="277">
        <v>7009.0</v>
      </c>
      <c r="P16" s="11">
        <v>213.0</v>
      </c>
    </row>
    <row r="17">
      <c r="C17" s="276">
        <v>41.0</v>
      </c>
      <c r="J17" s="24">
        <v>2.0</v>
      </c>
      <c r="K17" s="24">
        <v>984.0</v>
      </c>
      <c r="M17" s="276">
        <v>24.0</v>
      </c>
      <c r="O17" s="3">
        <v>7010.0</v>
      </c>
      <c r="P17" s="11">
        <v>209.0</v>
      </c>
    </row>
    <row r="18">
      <c r="C18" s="276">
        <v>41.0</v>
      </c>
      <c r="J18" s="24">
        <v>1.0</v>
      </c>
      <c r="K18" s="24">
        <v>863.0</v>
      </c>
      <c r="M18" s="276">
        <v>26.0</v>
      </c>
      <c r="O18" s="277">
        <v>7011.0</v>
      </c>
      <c r="P18" s="11">
        <v>217.0</v>
      </c>
    </row>
    <row r="19">
      <c r="C19" s="276">
        <v>41.0</v>
      </c>
      <c r="J19" s="24">
        <v>1.0</v>
      </c>
      <c r="K19" s="24">
        <v>601.0</v>
      </c>
      <c r="M19" s="276">
        <v>27.0</v>
      </c>
      <c r="O19" s="277">
        <v>7012.0</v>
      </c>
      <c r="P19" s="11">
        <v>204.0</v>
      </c>
    </row>
    <row r="20">
      <c r="C20" s="276">
        <v>61.0</v>
      </c>
      <c r="J20" s="24">
        <v>1.0</v>
      </c>
      <c r="K20" s="24">
        <v>921.0</v>
      </c>
      <c r="M20" s="276">
        <v>76.0</v>
      </c>
      <c r="O20" s="277">
        <v>7013.0</v>
      </c>
      <c r="P20" s="11">
        <v>210.0</v>
      </c>
    </row>
    <row r="21">
      <c r="C21" s="276">
        <v>41.0</v>
      </c>
      <c r="J21" s="24">
        <v>5.0</v>
      </c>
      <c r="K21" s="24">
        <v>955.0</v>
      </c>
      <c r="M21" s="276">
        <v>36.0</v>
      </c>
      <c r="O21" s="277">
        <v>7014.0</v>
      </c>
      <c r="P21" s="11">
        <v>202.0</v>
      </c>
    </row>
    <row r="22">
      <c r="C22" s="276">
        <v>82.0</v>
      </c>
      <c r="J22" s="24">
        <v>3.0</v>
      </c>
      <c r="K22" s="24">
        <v>771.0</v>
      </c>
      <c r="M22" s="276">
        <v>33.0</v>
      </c>
      <c r="O22" s="3">
        <v>7015.0</v>
      </c>
      <c r="P22" s="11">
        <v>215.0</v>
      </c>
    </row>
    <row r="23">
      <c r="C23" s="276">
        <v>41.0</v>
      </c>
      <c r="J23" s="24">
        <v>5.0</v>
      </c>
      <c r="K23" s="24">
        <v>974.0</v>
      </c>
      <c r="M23" s="276">
        <v>39.0</v>
      </c>
      <c r="O23" s="277">
        <v>7016.0</v>
      </c>
      <c r="P23" s="11">
        <v>206.0</v>
      </c>
    </row>
    <row r="24">
      <c r="C24" s="276">
        <v>82.0</v>
      </c>
      <c r="J24" s="24">
        <v>7.0</v>
      </c>
      <c r="K24" s="24">
        <v>841.0</v>
      </c>
      <c r="M24" s="276">
        <v>36.0</v>
      </c>
      <c r="O24" s="277">
        <v>7017.0</v>
      </c>
      <c r="P24" s="11">
        <v>214.0</v>
      </c>
    </row>
    <row r="25">
      <c r="C25" s="276">
        <v>41.0</v>
      </c>
      <c r="J25" s="24">
        <v>5.0</v>
      </c>
      <c r="K25" s="24">
        <v>517.0</v>
      </c>
      <c r="M25" s="276">
        <v>43.0</v>
      </c>
      <c r="O25" s="277">
        <v>7018.0</v>
      </c>
      <c r="P25" s="11">
        <v>210.0</v>
      </c>
    </row>
    <row r="26">
      <c r="C26" s="276">
        <v>20.0</v>
      </c>
      <c r="J26" s="24">
        <v>6.0</v>
      </c>
      <c r="K26" s="24">
        <v>105.0</v>
      </c>
      <c r="M26" s="276">
        <v>96.0</v>
      </c>
      <c r="O26" s="277">
        <v>7019.0</v>
      </c>
      <c r="P26" s="11">
        <v>200.0</v>
      </c>
    </row>
    <row r="27">
      <c r="C27" s="276">
        <v>82.0</v>
      </c>
      <c r="J27" s="24">
        <v>6.0</v>
      </c>
      <c r="K27" s="24">
        <v>466.0</v>
      </c>
      <c r="M27" s="276">
        <v>42.0</v>
      </c>
      <c r="O27" s="3">
        <v>7020.0</v>
      </c>
      <c r="P27" s="11">
        <v>201.0</v>
      </c>
    </row>
    <row r="28">
      <c r="C28" s="276">
        <v>82.0</v>
      </c>
      <c r="J28" s="24">
        <v>1.0</v>
      </c>
      <c r="K28" s="24">
        <v>110.0</v>
      </c>
      <c r="M28" s="276">
        <v>44.0</v>
      </c>
      <c r="O28" s="277">
        <v>7021.0</v>
      </c>
      <c r="P28" s="11">
        <v>211.0</v>
      </c>
    </row>
    <row r="29">
      <c r="C29" s="276">
        <v>21.0</v>
      </c>
      <c r="J29" s="24">
        <v>6.0</v>
      </c>
      <c r="K29" s="24">
        <v>756.0</v>
      </c>
      <c r="M29" s="276">
        <v>0.0</v>
      </c>
      <c r="O29" s="277">
        <v>7022.0</v>
      </c>
      <c r="P29" s="11">
        <v>209.0</v>
      </c>
    </row>
    <row r="30">
      <c r="C30" s="276">
        <v>62.0</v>
      </c>
      <c r="J30" s="24">
        <v>6.0</v>
      </c>
      <c r="K30" s="24">
        <v>146.0</v>
      </c>
      <c r="M30" s="276">
        <v>1.0</v>
      </c>
      <c r="O30" s="277">
        <v>7023.0</v>
      </c>
      <c r="P30" s="11">
        <v>209.0</v>
      </c>
    </row>
    <row r="31">
      <c r="C31" s="276">
        <v>62.0</v>
      </c>
      <c r="J31" s="24">
        <v>8.0</v>
      </c>
      <c r="K31" s="24">
        <v>252.0</v>
      </c>
      <c r="M31" s="276">
        <v>2.0</v>
      </c>
      <c r="O31" s="277">
        <v>7024.0</v>
      </c>
      <c r="P31" s="11">
        <v>218.0</v>
      </c>
    </row>
    <row r="32">
      <c r="C32" s="276">
        <v>41.0</v>
      </c>
      <c r="J32" s="24">
        <v>8.0</v>
      </c>
      <c r="K32" s="24">
        <v>916.0</v>
      </c>
      <c r="M32" s="276">
        <v>55.0</v>
      </c>
      <c r="O32" s="3">
        <v>7025.0</v>
      </c>
      <c r="P32" s="11">
        <v>202.0</v>
      </c>
    </row>
    <row r="33">
      <c r="C33" s="276">
        <v>21.0</v>
      </c>
      <c r="J33" s="24">
        <v>7.0</v>
      </c>
      <c r="K33" s="24">
        <v>520.0</v>
      </c>
      <c r="M33" s="276">
        <v>9.0</v>
      </c>
      <c r="O33" s="277">
        <v>7026.0</v>
      </c>
      <c r="P33" s="11">
        <v>209.0</v>
      </c>
    </row>
    <row r="34">
      <c r="C34" s="276">
        <v>82.0</v>
      </c>
      <c r="J34" s="24">
        <v>6.0</v>
      </c>
      <c r="K34" s="24">
        <v>330.0</v>
      </c>
      <c r="M34" s="276">
        <v>56.0</v>
      </c>
      <c r="O34" s="277">
        <v>7027.0</v>
      </c>
      <c r="P34" s="11">
        <v>211.0</v>
      </c>
    </row>
    <row r="35">
      <c r="C35" s="276">
        <v>82.0</v>
      </c>
      <c r="J35" s="24">
        <v>5.0</v>
      </c>
      <c r="K35" s="24">
        <v>395.0</v>
      </c>
      <c r="M35" s="276">
        <v>57.0</v>
      </c>
      <c r="O35" s="277">
        <v>7028.0</v>
      </c>
      <c r="P35" s="11">
        <v>202.0</v>
      </c>
    </row>
    <row r="36">
      <c r="C36" s="276">
        <v>62.0</v>
      </c>
      <c r="J36" s="24">
        <v>7.0</v>
      </c>
      <c r="K36" s="24">
        <v>925.0</v>
      </c>
      <c r="M36" s="276">
        <v>10.0</v>
      </c>
      <c r="O36" s="277">
        <v>7029.0</v>
      </c>
      <c r="P36" s="11">
        <v>206.0</v>
      </c>
    </row>
    <row r="37">
      <c r="C37" s="276">
        <v>41.0</v>
      </c>
      <c r="J37" s="24">
        <v>7.0</v>
      </c>
      <c r="K37" s="24">
        <v>815.0</v>
      </c>
      <c r="M37" s="276">
        <v>63.0</v>
      </c>
      <c r="O37" s="3">
        <v>7030.0</v>
      </c>
      <c r="P37" s="11">
        <v>211.0</v>
      </c>
    </row>
    <row r="38">
      <c r="C38" s="276">
        <v>21.0</v>
      </c>
      <c r="J38" s="24">
        <v>3.0</v>
      </c>
      <c r="K38" s="24">
        <v>767.0</v>
      </c>
      <c r="M38" s="276">
        <v>20.0</v>
      </c>
      <c r="O38" s="277">
        <v>7031.0</v>
      </c>
      <c r="P38" s="11">
        <v>201.0</v>
      </c>
    </row>
    <row r="39">
      <c r="C39" s="276">
        <v>62.0</v>
      </c>
      <c r="J39" s="24">
        <v>7.0</v>
      </c>
      <c r="K39" s="24">
        <v>769.0</v>
      </c>
      <c r="M39" s="276">
        <v>16.0</v>
      </c>
      <c r="O39" s="277">
        <v>7032.0</v>
      </c>
      <c r="P39" s="11">
        <v>207.0</v>
      </c>
    </row>
    <row r="40">
      <c r="C40" s="276">
        <v>41.0</v>
      </c>
      <c r="J40" s="24">
        <v>6.0</v>
      </c>
      <c r="K40" s="24">
        <v>629.0</v>
      </c>
      <c r="M40" s="276">
        <v>70.0</v>
      </c>
      <c r="O40" s="277">
        <v>7033.0</v>
      </c>
      <c r="P40" s="11">
        <v>218.0</v>
      </c>
    </row>
    <row r="41">
      <c r="C41" s="276">
        <v>82.0</v>
      </c>
      <c r="J41" s="24">
        <v>9.0</v>
      </c>
      <c r="K41" s="24">
        <v>689.0</v>
      </c>
      <c r="M41" s="276">
        <v>67.0</v>
      </c>
      <c r="O41" s="277">
        <v>7034.0</v>
      </c>
      <c r="P41" s="11">
        <v>213.0</v>
      </c>
    </row>
    <row r="42">
      <c r="C42" s="276">
        <v>82.0</v>
      </c>
      <c r="J42" s="24">
        <v>6.0</v>
      </c>
      <c r="K42" s="24">
        <v>382.0</v>
      </c>
      <c r="M42" s="276">
        <v>64.0</v>
      </c>
      <c r="O42" s="3">
        <v>7035.0</v>
      </c>
      <c r="P42" s="11">
        <v>211.0</v>
      </c>
    </row>
    <row r="43">
      <c r="C43" s="276">
        <v>62.0</v>
      </c>
      <c r="J43" s="24">
        <v>8.0</v>
      </c>
      <c r="K43" s="24">
        <v>351.0</v>
      </c>
      <c r="M43" s="276">
        <v>27.0</v>
      </c>
      <c r="O43" s="277">
        <v>7036.0</v>
      </c>
      <c r="P43" s="11">
        <v>210.0</v>
      </c>
    </row>
    <row r="44">
      <c r="C44" s="276">
        <v>41.0</v>
      </c>
      <c r="J44" s="24">
        <v>6.0</v>
      </c>
      <c r="K44" s="24">
        <v>243.0</v>
      </c>
      <c r="M44" s="276">
        <v>79.0</v>
      </c>
      <c r="O44" s="277">
        <v>7037.0</v>
      </c>
      <c r="P44" s="11">
        <v>207.0</v>
      </c>
    </row>
    <row r="45">
      <c r="C45" s="276">
        <v>82.0</v>
      </c>
      <c r="J45" s="24">
        <v>7.0</v>
      </c>
      <c r="K45" s="24">
        <v>107.0</v>
      </c>
      <c r="M45" s="276">
        <v>77.0</v>
      </c>
      <c r="O45" s="277">
        <v>7038.0</v>
      </c>
      <c r="P45" s="11">
        <v>220.0</v>
      </c>
    </row>
    <row r="46">
      <c r="C46" s="276">
        <v>62.0</v>
      </c>
      <c r="J46" s="24">
        <v>9.0</v>
      </c>
      <c r="K46" s="24">
        <v>480.0</v>
      </c>
      <c r="M46" s="276">
        <v>30.0</v>
      </c>
      <c r="O46" s="277">
        <v>7039.0</v>
      </c>
      <c r="P46" s="11">
        <v>220.0</v>
      </c>
    </row>
    <row r="47">
      <c r="C47" s="276">
        <v>21.0</v>
      </c>
      <c r="J47" s="24">
        <v>6.0</v>
      </c>
      <c r="K47" s="24">
        <v>386.0</v>
      </c>
      <c r="M47" s="276">
        <v>36.0</v>
      </c>
      <c r="O47" s="3">
        <v>7040.0</v>
      </c>
      <c r="P47" s="11">
        <v>218.0</v>
      </c>
    </row>
    <row r="48">
      <c r="C48" s="276">
        <v>41.0</v>
      </c>
      <c r="J48" s="24">
        <v>8.0</v>
      </c>
      <c r="K48" s="24">
        <v>936.0</v>
      </c>
      <c r="M48" s="276">
        <v>86.0</v>
      </c>
      <c r="O48" s="277">
        <v>7041.0</v>
      </c>
      <c r="P48" s="11">
        <v>212.0</v>
      </c>
    </row>
    <row r="49">
      <c r="C49" s="276">
        <v>41.0</v>
      </c>
      <c r="J49" s="24">
        <v>5.0</v>
      </c>
      <c r="K49" s="24">
        <v>647.0</v>
      </c>
      <c r="M49" s="276">
        <v>87.0</v>
      </c>
      <c r="O49" s="277">
        <v>7042.0</v>
      </c>
      <c r="P49" s="11">
        <v>218.0</v>
      </c>
    </row>
    <row r="50">
      <c r="C50" s="276">
        <v>62.0</v>
      </c>
      <c r="J50" s="24">
        <v>8.0</v>
      </c>
      <c r="K50" s="24">
        <v>763.0</v>
      </c>
      <c r="M50" s="276">
        <v>34.0</v>
      </c>
      <c r="O50" s="277">
        <v>7043.0</v>
      </c>
      <c r="P50" s="11">
        <v>205.0</v>
      </c>
    </row>
    <row r="51">
      <c r="C51" s="276">
        <v>62.0</v>
      </c>
      <c r="J51" s="24">
        <v>9.0</v>
      </c>
      <c r="K51" s="24">
        <v>139.0</v>
      </c>
      <c r="M51" s="276">
        <v>37.0</v>
      </c>
      <c r="O51" s="277">
        <v>7044.0</v>
      </c>
      <c r="P51" s="11">
        <v>214.0</v>
      </c>
    </row>
    <row r="52">
      <c r="C52" s="276">
        <v>82.0</v>
      </c>
      <c r="J52" s="24">
        <v>2.0</v>
      </c>
      <c r="K52" s="24">
        <v>603.0</v>
      </c>
      <c r="M52" s="276">
        <v>89.0</v>
      </c>
      <c r="O52" s="3">
        <v>7045.0</v>
      </c>
      <c r="P52" s="11">
        <v>217.0</v>
      </c>
    </row>
    <row r="53">
      <c r="C53" s="276">
        <v>21.0</v>
      </c>
      <c r="J53" s="24">
        <v>8.0</v>
      </c>
      <c r="K53" s="24">
        <v>113.0</v>
      </c>
      <c r="M53" s="276">
        <v>52.0</v>
      </c>
      <c r="O53" s="277">
        <v>7046.0</v>
      </c>
      <c r="P53" s="11">
        <v>213.0</v>
      </c>
    </row>
    <row r="54">
      <c r="C54" s="276">
        <v>62.0</v>
      </c>
      <c r="J54" s="24">
        <v>2.0</v>
      </c>
      <c r="K54" s="24">
        <v>279.0</v>
      </c>
      <c r="M54" s="276">
        <v>48.0</v>
      </c>
      <c r="O54" s="277">
        <v>7047.0</v>
      </c>
      <c r="P54" s="11">
        <v>220.0</v>
      </c>
    </row>
    <row r="55">
      <c r="C55" s="276">
        <v>21.0</v>
      </c>
      <c r="J55" s="24">
        <v>4.0</v>
      </c>
      <c r="K55" s="24">
        <v>607.0</v>
      </c>
      <c r="M55" s="276">
        <v>56.0</v>
      </c>
      <c r="O55" s="277">
        <v>7048.0</v>
      </c>
      <c r="P55" s="11">
        <v>218.0</v>
      </c>
    </row>
    <row r="56">
      <c r="C56" s="276">
        <v>42.0</v>
      </c>
      <c r="J56" s="24">
        <v>2.0</v>
      </c>
      <c r="K56" s="24">
        <v>135.0</v>
      </c>
      <c r="M56" s="276">
        <v>6.0</v>
      </c>
      <c r="O56" s="277">
        <v>7049.0</v>
      </c>
      <c r="P56" s="11">
        <v>216.0</v>
      </c>
    </row>
    <row r="57">
      <c r="C57" s="276">
        <v>83.0</v>
      </c>
      <c r="J57" s="24">
        <v>7.0</v>
      </c>
      <c r="K57" s="24">
        <v>269.0</v>
      </c>
      <c r="M57" s="276">
        <v>5.0</v>
      </c>
      <c r="O57" s="3">
        <v>7050.0</v>
      </c>
      <c r="P57" s="11">
        <v>200.0</v>
      </c>
    </row>
    <row r="58">
      <c r="C58" s="276">
        <v>21.0</v>
      </c>
      <c r="J58" s="24">
        <v>8.0</v>
      </c>
      <c r="K58" s="24">
        <v>832.0</v>
      </c>
      <c r="M58" s="276">
        <v>66.0</v>
      </c>
      <c r="O58" s="277">
        <v>7051.0</v>
      </c>
      <c r="P58" s="11">
        <v>214.0</v>
      </c>
    </row>
    <row r="59">
      <c r="C59" s="276">
        <v>42.0</v>
      </c>
      <c r="J59" s="24">
        <v>6.0</v>
      </c>
      <c r="K59" s="24">
        <v>131.0</v>
      </c>
      <c r="M59" s="276">
        <v>15.0</v>
      </c>
      <c r="O59" s="277">
        <v>7052.0</v>
      </c>
      <c r="P59" s="11">
        <v>206.0</v>
      </c>
    </row>
    <row r="60">
      <c r="C60" s="276">
        <v>83.0</v>
      </c>
      <c r="J60" s="24">
        <v>8.0</v>
      </c>
      <c r="K60" s="24">
        <v>113.0</v>
      </c>
      <c r="M60" s="276">
        <v>12.0</v>
      </c>
      <c r="O60" s="277">
        <v>7053.0</v>
      </c>
      <c r="P60" s="11">
        <v>213.0</v>
      </c>
    </row>
    <row r="61">
      <c r="C61" s="276">
        <v>42.0</v>
      </c>
      <c r="J61" s="24">
        <v>2.0</v>
      </c>
      <c r="K61" s="24">
        <v>974.0</v>
      </c>
      <c r="M61" s="276">
        <v>16.0</v>
      </c>
      <c r="O61" s="277">
        <v>7054.0</v>
      </c>
      <c r="P61" s="11">
        <v>211.0</v>
      </c>
    </row>
    <row r="62">
      <c r="C62" s="276">
        <v>21.0</v>
      </c>
      <c r="J62" s="24">
        <v>6.0</v>
      </c>
      <c r="K62" s="24">
        <v>800.0</v>
      </c>
      <c r="M62" s="276">
        <v>71.0</v>
      </c>
      <c r="O62" s="3">
        <v>7055.0</v>
      </c>
      <c r="P62" s="11">
        <v>206.0</v>
      </c>
    </row>
    <row r="63">
      <c r="C63" s="276">
        <v>42.0</v>
      </c>
      <c r="J63" s="24">
        <v>7.0</v>
      </c>
      <c r="K63" s="24">
        <v>719.0</v>
      </c>
      <c r="M63" s="276">
        <v>21.0</v>
      </c>
      <c r="O63" s="277">
        <v>7056.0</v>
      </c>
      <c r="P63" s="11">
        <v>201.0</v>
      </c>
    </row>
    <row r="64">
      <c r="C64" s="276">
        <v>62.0</v>
      </c>
      <c r="J64" s="24">
        <v>6.0</v>
      </c>
      <c r="K64" s="24">
        <v>323.0</v>
      </c>
      <c r="M64" s="276">
        <v>70.0</v>
      </c>
      <c r="O64" s="277">
        <v>7057.0</v>
      </c>
      <c r="P64" s="11">
        <v>207.0</v>
      </c>
    </row>
    <row r="65">
      <c r="C65" s="276">
        <v>42.0</v>
      </c>
      <c r="J65" s="24">
        <v>7.0</v>
      </c>
      <c r="K65" s="24">
        <v>364.0</v>
      </c>
      <c r="M65" s="276">
        <v>24.0</v>
      </c>
      <c r="O65" s="277">
        <v>7058.0</v>
      </c>
      <c r="P65" s="11">
        <v>205.0</v>
      </c>
    </row>
    <row r="66">
      <c r="C66" s="276">
        <v>21.0</v>
      </c>
      <c r="J66" s="24">
        <v>9.0</v>
      </c>
      <c r="K66" s="24">
        <v>383.0</v>
      </c>
      <c r="M66" s="276">
        <v>81.0</v>
      </c>
      <c r="O66" s="277">
        <v>7059.0</v>
      </c>
      <c r="P66" s="11">
        <v>200.0</v>
      </c>
    </row>
    <row r="67">
      <c r="C67" s="276">
        <v>62.0</v>
      </c>
      <c r="J67" s="24">
        <v>5.0</v>
      </c>
      <c r="K67" s="24">
        <v>138.0</v>
      </c>
      <c r="M67" s="276">
        <v>78.0</v>
      </c>
      <c r="O67" s="3">
        <v>7060.0</v>
      </c>
      <c r="P67" s="11">
        <v>212.0</v>
      </c>
    </row>
    <row r="68">
      <c r="C68" s="276">
        <v>21.0</v>
      </c>
      <c r="J68" s="24">
        <v>9.0</v>
      </c>
      <c r="K68" s="24">
        <v>214.0</v>
      </c>
      <c r="M68" s="276">
        <v>86.0</v>
      </c>
      <c r="O68" s="277">
        <v>7061.0</v>
      </c>
      <c r="P68" s="11">
        <v>201.0</v>
      </c>
    </row>
    <row r="69">
      <c r="C69" s="276">
        <v>83.0</v>
      </c>
      <c r="J69" s="24">
        <v>1.0</v>
      </c>
      <c r="K69" s="24">
        <v>643.0</v>
      </c>
      <c r="M69" s="276">
        <v>32.0</v>
      </c>
      <c r="O69" s="277">
        <v>7062.0</v>
      </c>
      <c r="P69" s="11">
        <v>205.0</v>
      </c>
    </row>
    <row r="70">
      <c r="C70" s="276">
        <v>83.0</v>
      </c>
      <c r="J70" s="24">
        <v>8.0</v>
      </c>
      <c r="K70" s="24">
        <v>794.0</v>
      </c>
      <c r="M70" s="276">
        <v>35.0</v>
      </c>
      <c r="O70" s="277">
        <v>7063.0</v>
      </c>
      <c r="P70" s="11">
        <v>201.0</v>
      </c>
    </row>
    <row r="71">
      <c r="C71" s="276">
        <v>21.0</v>
      </c>
      <c r="J71" s="24">
        <v>1.0</v>
      </c>
      <c r="K71" s="24">
        <v>648.0</v>
      </c>
      <c r="M71" s="276">
        <v>91.0</v>
      </c>
      <c r="O71" s="277">
        <v>7064.0</v>
      </c>
      <c r="P71" s="11">
        <v>200.0</v>
      </c>
    </row>
    <row r="72">
      <c r="C72" s="276">
        <v>62.0</v>
      </c>
      <c r="J72" s="24">
        <v>6.0</v>
      </c>
      <c r="K72" s="24">
        <v>520.0</v>
      </c>
      <c r="M72" s="276">
        <v>89.0</v>
      </c>
      <c r="O72" s="3">
        <v>7065.0</v>
      </c>
      <c r="P72" s="11">
        <v>211.0</v>
      </c>
    </row>
    <row r="73">
      <c r="C73" s="276">
        <v>42.0</v>
      </c>
      <c r="J73" s="24">
        <v>9.0</v>
      </c>
      <c r="K73" s="24">
        <v>450.0</v>
      </c>
      <c r="M73" s="276">
        <v>43.0</v>
      </c>
      <c r="O73" s="277">
        <v>7066.0</v>
      </c>
      <c r="P73" s="11">
        <v>217.0</v>
      </c>
    </row>
    <row r="74">
      <c r="C74" s="276">
        <v>22.0</v>
      </c>
      <c r="J74" s="24">
        <v>3.0</v>
      </c>
      <c r="K74" s="24">
        <v>468.0</v>
      </c>
      <c r="M74" s="276">
        <v>2.0</v>
      </c>
      <c r="O74" s="277">
        <v>7067.0</v>
      </c>
      <c r="P74" s="11">
        <v>206.0</v>
      </c>
    </row>
    <row r="75">
      <c r="C75" s="276">
        <v>83.0</v>
      </c>
      <c r="J75" s="24">
        <v>1.0</v>
      </c>
      <c r="K75" s="24">
        <v>938.0</v>
      </c>
      <c r="M75" s="276">
        <v>47.0</v>
      </c>
      <c r="O75" s="277">
        <v>7068.0</v>
      </c>
      <c r="P75" s="11">
        <v>212.0</v>
      </c>
    </row>
    <row r="76">
      <c r="C76" s="276">
        <v>62.0</v>
      </c>
      <c r="J76" s="24">
        <v>9.0</v>
      </c>
      <c r="K76" s="24">
        <v>392.0</v>
      </c>
      <c r="M76" s="276">
        <v>99.0</v>
      </c>
      <c r="O76" s="277">
        <v>7069.0</v>
      </c>
      <c r="P76" s="11">
        <v>209.0</v>
      </c>
    </row>
    <row r="77">
      <c r="C77" s="276">
        <v>61.0</v>
      </c>
      <c r="J77" s="24">
        <v>3.0</v>
      </c>
      <c r="K77" s="24">
        <v>203.0</v>
      </c>
      <c r="M77" s="276">
        <v>37.0</v>
      </c>
      <c r="O77" s="3">
        <v>7070.0</v>
      </c>
      <c r="P77" s="11">
        <v>213.0</v>
      </c>
    </row>
    <row r="78">
      <c r="C78" s="276">
        <v>22.0</v>
      </c>
      <c r="J78" s="24">
        <v>8.0</v>
      </c>
      <c r="K78" s="24">
        <v>853.0</v>
      </c>
      <c r="M78" s="276">
        <v>9.0</v>
      </c>
      <c r="O78" s="277">
        <v>7071.0</v>
      </c>
      <c r="P78" s="11">
        <v>203.0</v>
      </c>
    </row>
    <row r="79">
      <c r="C79" s="276">
        <v>42.0</v>
      </c>
      <c r="J79" s="24">
        <v>4.0</v>
      </c>
      <c r="K79" s="24">
        <v>619.0</v>
      </c>
      <c r="M79" s="276">
        <v>59.0</v>
      </c>
      <c r="O79" s="277">
        <v>7072.0</v>
      </c>
      <c r="P79" s="11">
        <v>208.0</v>
      </c>
    </row>
    <row r="80">
      <c r="C80" s="276">
        <v>42.0</v>
      </c>
      <c r="J80" s="24">
        <v>3.0</v>
      </c>
      <c r="K80" s="24">
        <v>616.0</v>
      </c>
      <c r="M80" s="276">
        <v>61.0</v>
      </c>
      <c r="O80" s="277">
        <v>7073.0</v>
      </c>
      <c r="P80" s="11">
        <v>212.0</v>
      </c>
    </row>
    <row r="81">
      <c r="C81" s="276">
        <v>63.0</v>
      </c>
      <c r="J81" s="24">
        <v>6.0</v>
      </c>
      <c r="K81" s="24">
        <v>659.0</v>
      </c>
      <c r="M81" s="276">
        <v>12.0</v>
      </c>
      <c r="O81" s="277">
        <v>7074.0</v>
      </c>
      <c r="P81" s="11">
        <v>213.0</v>
      </c>
    </row>
    <row r="82">
      <c r="C82" s="276">
        <v>22.0</v>
      </c>
      <c r="J82" s="24">
        <v>5.0</v>
      </c>
      <c r="K82" s="24">
        <v>422.0</v>
      </c>
      <c r="M82" s="276">
        <v>16.0</v>
      </c>
      <c r="O82" s="3">
        <v>7075.0</v>
      </c>
      <c r="P82" s="11">
        <v>209.0</v>
      </c>
    </row>
    <row r="83">
      <c r="C83" s="276">
        <v>63.0</v>
      </c>
      <c r="J83" s="24">
        <v>3.0</v>
      </c>
      <c r="K83" s="24">
        <v>482.0</v>
      </c>
      <c r="M83" s="276">
        <v>14.0</v>
      </c>
      <c r="O83" s="277">
        <v>7076.0</v>
      </c>
      <c r="P83" s="11">
        <v>214.0</v>
      </c>
    </row>
    <row r="84">
      <c r="C84" s="276">
        <v>42.0</v>
      </c>
      <c r="J84" s="24">
        <v>7.0</v>
      </c>
      <c r="K84" s="24">
        <v>534.0</v>
      </c>
      <c r="M84" s="276">
        <v>67.0</v>
      </c>
      <c r="O84" s="277">
        <v>7077.0</v>
      </c>
      <c r="P84" s="11">
        <v>218.0</v>
      </c>
    </row>
    <row r="85">
      <c r="C85" s="276">
        <v>83.0</v>
      </c>
      <c r="J85" s="24">
        <v>4.0</v>
      </c>
      <c r="K85" s="24">
        <v>131.0</v>
      </c>
      <c r="M85" s="276">
        <v>66.0</v>
      </c>
      <c r="O85" s="277">
        <v>7078.0</v>
      </c>
      <c r="P85" s="11">
        <v>218.0</v>
      </c>
    </row>
    <row r="86">
      <c r="C86" s="276">
        <v>63.0</v>
      </c>
      <c r="J86" s="24">
        <v>4.0</v>
      </c>
      <c r="K86" s="24">
        <v>654.0</v>
      </c>
      <c r="M86" s="276">
        <v>19.0</v>
      </c>
      <c r="O86" s="277">
        <v>7079.0</v>
      </c>
      <c r="P86" s="11">
        <v>203.0</v>
      </c>
    </row>
    <row r="87">
      <c r="C87" s="276">
        <v>83.0</v>
      </c>
      <c r="J87" s="24">
        <v>6.0</v>
      </c>
      <c r="K87" s="24">
        <v>126.0</v>
      </c>
      <c r="M87" s="276">
        <v>67.0</v>
      </c>
      <c r="O87" s="3">
        <v>7080.0</v>
      </c>
      <c r="P87" s="11">
        <v>206.0</v>
      </c>
    </row>
    <row r="88">
      <c r="C88" s="276">
        <v>22.0</v>
      </c>
      <c r="J88" s="24">
        <v>9.0</v>
      </c>
      <c r="K88" s="24">
        <v>224.0</v>
      </c>
      <c r="M88" s="276">
        <v>25.0</v>
      </c>
      <c r="O88" s="277">
        <v>7081.0</v>
      </c>
      <c r="P88" s="11">
        <v>211.0</v>
      </c>
    </row>
    <row r="89">
      <c r="C89" s="276">
        <v>63.0</v>
      </c>
      <c r="J89" s="24">
        <v>5.0</v>
      </c>
      <c r="K89" s="24">
        <v>408.0</v>
      </c>
      <c r="M89" s="276">
        <v>25.0</v>
      </c>
      <c r="O89" s="277">
        <v>7082.0</v>
      </c>
      <c r="P89" s="11">
        <v>215.0</v>
      </c>
    </row>
    <row r="90">
      <c r="C90" s="276">
        <v>63.0</v>
      </c>
      <c r="J90" s="24">
        <v>5.0</v>
      </c>
      <c r="K90" s="24">
        <v>858.0</v>
      </c>
      <c r="M90" s="276">
        <v>26.0</v>
      </c>
      <c r="O90" s="277">
        <v>7083.0</v>
      </c>
      <c r="P90" s="11">
        <v>216.0</v>
      </c>
    </row>
    <row r="91">
      <c r="C91" s="276">
        <v>42.0</v>
      </c>
      <c r="J91" s="24">
        <v>1.0</v>
      </c>
      <c r="K91" s="24">
        <v>950.0</v>
      </c>
      <c r="M91" s="276">
        <v>78.0</v>
      </c>
      <c r="O91" s="277">
        <v>7084.0</v>
      </c>
      <c r="P91" s="11">
        <v>205.0</v>
      </c>
    </row>
    <row r="92">
      <c r="C92" s="276">
        <v>22.0</v>
      </c>
      <c r="J92" s="24">
        <v>5.0</v>
      </c>
      <c r="K92" s="24">
        <v>734.0</v>
      </c>
      <c r="M92" s="276">
        <v>37.0</v>
      </c>
      <c r="O92" s="3">
        <v>7085.0</v>
      </c>
      <c r="P92" s="11">
        <v>219.0</v>
      </c>
    </row>
    <row r="93">
      <c r="C93" s="276">
        <v>42.0</v>
      </c>
      <c r="J93" s="24">
        <v>7.0</v>
      </c>
      <c r="K93" s="24">
        <v>458.0</v>
      </c>
      <c r="M93" s="276">
        <v>85.0</v>
      </c>
      <c r="O93" s="277">
        <v>7086.0</v>
      </c>
      <c r="P93" s="11">
        <v>212.0</v>
      </c>
    </row>
    <row r="94">
      <c r="C94" s="276">
        <v>42.0</v>
      </c>
      <c r="J94" s="24">
        <v>8.0</v>
      </c>
      <c r="K94" s="24">
        <v>529.0</v>
      </c>
      <c r="M94" s="276">
        <v>91.0</v>
      </c>
      <c r="O94" s="277">
        <v>7087.0</v>
      </c>
      <c r="P94" s="11">
        <v>207.0</v>
      </c>
    </row>
    <row r="95">
      <c r="C95" s="276">
        <v>83.0</v>
      </c>
      <c r="J95" s="24">
        <v>7.0</v>
      </c>
      <c r="K95" s="24">
        <v>693.0</v>
      </c>
      <c r="M95" s="276">
        <v>91.0</v>
      </c>
      <c r="O95" s="277">
        <v>7088.0</v>
      </c>
      <c r="P95" s="11">
        <v>206.0</v>
      </c>
    </row>
    <row r="96">
      <c r="C96" s="276">
        <v>83.0</v>
      </c>
      <c r="J96" s="24">
        <v>8.0</v>
      </c>
      <c r="K96" s="24">
        <v>408.0</v>
      </c>
      <c r="M96" s="276">
        <v>93.0</v>
      </c>
      <c r="O96" s="277">
        <v>7089.0</v>
      </c>
      <c r="P96" s="11">
        <v>203.0</v>
      </c>
    </row>
    <row r="97">
      <c r="C97" s="276">
        <v>22.0</v>
      </c>
      <c r="J97" s="24">
        <v>3.0</v>
      </c>
      <c r="K97" s="24">
        <v>242.0</v>
      </c>
      <c r="M97" s="276">
        <v>50.0</v>
      </c>
      <c r="O97" s="3">
        <v>7090.0</v>
      </c>
      <c r="P97" s="11">
        <v>201.0</v>
      </c>
    </row>
    <row r="98">
      <c r="C98" s="276">
        <v>63.0</v>
      </c>
      <c r="J98" s="24">
        <v>3.0</v>
      </c>
      <c r="K98" s="24">
        <v>359.0</v>
      </c>
      <c r="M98" s="276">
        <v>52.0</v>
      </c>
      <c r="O98" s="277">
        <v>7091.0</v>
      </c>
      <c r="P98" s="11">
        <v>205.0</v>
      </c>
    </row>
    <row r="99">
      <c r="C99" s="276">
        <v>63.0</v>
      </c>
      <c r="J99" s="24">
        <v>6.0</v>
      </c>
      <c r="K99" s="24">
        <v>579.0</v>
      </c>
      <c r="M99" s="276">
        <v>55.0</v>
      </c>
      <c r="O99" s="277">
        <v>7092.0</v>
      </c>
      <c r="P99" s="11">
        <v>206.0</v>
      </c>
    </row>
    <row r="100">
      <c r="C100" s="276">
        <v>43.0</v>
      </c>
      <c r="J100" s="24">
        <v>2.0</v>
      </c>
      <c r="K100" s="24">
        <v>350.0</v>
      </c>
      <c r="M100" s="276">
        <v>8.0</v>
      </c>
      <c r="O100" s="277">
        <v>7093.0</v>
      </c>
      <c r="P100" s="11">
        <v>217.0</v>
      </c>
    </row>
    <row r="101">
      <c r="C101" s="276">
        <v>84.0</v>
      </c>
      <c r="J101" s="24">
        <v>5.0</v>
      </c>
      <c r="K101" s="24">
        <v>219.0</v>
      </c>
      <c r="M101" s="276">
        <v>5.0</v>
      </c>
      <c r="O101" s="277">
        <v>7094.0</v>
      </c>
      <c r="P101" s="11">
        <v>220.0</v>
      </c>
    </row>
    <row r="102">
      <c r="C102" s="276">
        <v>63.0</v>
      </c>
      <c r="J102" s="24">
        <v>5.0</v>
      </c>
      <c r="K102" s="24">
        <v>590.0</v>
      </c>
      <c r="M102" s="276">
        <v>63.0</v>
      </c>
      <c r="O102" s="3">
        <v>7095.0</v>
      </c>
      <c r="P102" s="11">
        <v>217.0</v>
      </c>
    </row>
    <row r="103">
      <c r="C103" s="276">
        <v>63.0</v>
      </c>
      <c r="J103" s="24">
        <v>5.0</v>
      </c>
      <c r="K103" s="24">
        <v>597.0</v>
      </c>
      <c r="M103" s="276">
        <v>64.0</v>
      </c>
      <c r="O103" s="277">
        <v>7096.0</v>
      </c>
      <c r="P103" s="11">
        <v>219.0</v>
      </c>
    </row>
    <row r="104">
      <c r="C104" s="276">
        <v>63.0</v>
      </c>
      <c r="J104" s="24">
        <v>6.0</v>
      </c>
      <c r="K104" s="24">
        <v>967.0</v>
      </c>
      <c r="M104" s="276">
        <v>73.0</v>
      </c>
      <c r="O104" s="277">
        <v>7097.0</v>
      </c>
      <c r="P104" s="11">
        <v>208.0</v>
      </c>
    </row>
    <row r="105">
      <c r="C105" s="276">
        <v>63.0</v>
      </c>
      <c r="J105" s="24">
        <v>2.0</v>
      </c>
      <c r="K105" s="24">
        <v>775.0</v>
      </c>
      <c r="M105" s="276">
        <v>75.0</v>
      </c>
      <c r="O105" s="277">
        <v>7098.0</v>
      </c>
      <c r="P105" s="11">
        <v>218.0</v>
      </c>
    </row>
    <row r="106">
      <c r="C106" s="276">
        <v>63.0</v>
      </c>
      <c r="J106" s="24">
        <v>8.0</v>
      </c>
      <c r="K106" s="24">
        <v>894.0</v>
      </c>
      <c r="M106" s="276">
        <v>79.0</v>
      </c>
      <c r="O106" s="277">
        <v>7099.0</v>
      </c>
      <c r="P106" s="11">
        <v>206.0</v>
      </c>
    </row>
    <row r="107">
      <c r="C107" s="276">
        <v>63.0</v>
      </c>
      <c r="J107" s="24">
        <v>5.0</v>
      </c>
      <c r="K107" s="24">
        <v>461.0</v>
      </c>
      <c r="M107" s="276">
        <v>82.0</v>
      </c>
      <c r="O107" s="3">
        <v>7100.0</v>
      </c>
      <c r="P107" s="11">
        <v>207.0</v>
      </c>
    </row>
    <row r="108">
      <c r="C108" s="276">
        <v>22.0</v>
      </c>
      <c r="J108" s="24">
        <v>5.0</v>
      </c>
      <c r="K108" s="24">
        <v>987.0</v>
      </c>
      <c r="M108" s="276">
        <v>88.0</v>
      </c>
      <c r="O108" s="277">
        <v>7101.0</v>
      </c>
      <c r="P108" s="11">
        <v>210.0</v>
      </c>
    </row>
    <row r="109">
      <c r="C109" s="276">
        <v>22.0</v>
      </c>
      <c r="J109" s="24">
        <v>9.0</v>
      </c>
      <c r="K109" s="24">
        <v>968.0</v>
      </c>
      <c r="M109" s="276">
        <v>91.0</v>
      </c>
      <c r="O109" s="277">
        <v>7102.0</v>
      </c>
      <c r="P109" s="11">
        <v>205.0</v>
      </c>
    </row>
    <row r="110">
      <c r="C110" s="276">
        <v>84.0</v>
      </c>
      <c r="J110" s="24">
        <v>8.0</v>
      </c>
      <c r="K110" s="24">
        <v>942.0</v>
      </c>
      <c r="M110" s="276">
        <v>36.0</v>
      </c>
      <c r="O110" s="277">
        <v>7103.0</v>
      </c>
      <c r="P110" s="11">
        <v>212.0</v>
      </c>
    </row>
    <row r="111">
      <c r="C111" s="276">
        <v>84.0</v>
      </c>
      <c r="J111" s="24">
        <v>2.0</v>
      </c>
      <c r="K111" s="24">
        <v>508.0</v>
      </c>
      <c r="M111" s="276">
        <v>38.0</v>
      </c>
      <c r="O111" s="277">
        <v>7104.0</v>
      </c>
      <c r="P111" s="11">
        <v>220.0</v>
      </c>
    </row>
    <row r="112">
      <c r="C112" s="276">
        <v>22.0</v>
      </c>
      <c r="J112" s="24">
        <v>5.0</v>
      </c>
      <c r="K112" s="24">
        <v>243.0</v>
      </c>
      <c r="M112" s="276">
        <v>94.0</v>
      </c>
      <c r="O112" s="3">
        <v>7105.0</v>
      </c>
      <c r="P112" s="11">
        <v>205.0</v>
      </c>
    </row>
    <row r="113">
      <c r="C113" s="276">
        <v>43.0</v>
      </c>
      <c r="J113" s="24">
        <v>4.0</v>
      </c>
      <c r="K113" s="24">
        <v>951.0</v>
      </c>
      <c r="M113" s="276">
        <v>45.0</v>
      </c>
      <c r="O113" s="277">
        <v>7106.0</v>
      </c>
      <c r="P113" s="11">
        <v>215.0</v>
      </c>
    </row>
    <row r="114">
      <c r="C114" s="276">
        <v>84.0</v>
      </c>
      <c r="J114" s="24">
        <v>2.0</v>
      </c>
      <c r="K114" s="24">
        <v>400.0</v>
      </c>
      <c r="M114" s="276">
        <v>43.0</v>
      </c>
      <c r="O114" s="277">
        <v>7107.0</v>
      </c>
      <c r="P114" s="11">
        <v>219.0</v>
      </c>
    </row>
    <row r="115">
      <c r="C115" s="276">
        <v>43.0</v>
      </c>
      <c r="J115" s="24">
        <v>7.0</v>
      </c>
      <c r="K115" s="24">
        <v>210.0</v>
      </c>
      <c r="M115" s="276">
        <v>52.0</v>
      </c>
      <c r="O115" s="277">
        <v>7108.0</v>
      </c>
      <c r="P115" s="11">
        <v>200.0</v>
      </c>
    </row>
    <row r="116">
      <c r="C116" s="276">
        <v>23.0</v>
      </c>
      <c r="J116" s="24">
        <v>1.0</v>
      </c>
      <c r="K116" s="24">
        <v>308.0</v>
      </c>
      <c r="M116" s="276">
        <v>7.0</v>
      </c>
      <c r="O116" s="277">
        <v>7109.0</v>
      </c>
      <c r="P116" s="11">
        <v>210.0</v>
      </c>
    </row>
    <row r="117">
      <c r="C117" s="276">
        <v>84.0</v>
      </c>
      <c r="J117" s="24">
        <v>6.0</v>
      </c>
      <c r="K117" s="24">
        <v>680.0</v>
      </c>
      <c r="M117" s="276">
        <v>54.0</v>
      </c>
      <c r="O117" s="3">
        <v>7110.0</v>
      </c>
      <c r="P117" s="11">
        <v>220.0</v>
      </c>
    </row>
    <row r="118">
      <c r="C118" s="276">
        <v>43.0</v>
      </c>
      <c r="J118" s="24">
        <v>5.0</v>
      </c>
      <c r="K118" s="24">
        <v>395.0</v>
      </c>
      <c r="M118" s="276">
        <v>59.0</v>
      </c>
      <c r="O118" s="277">
        <v>7111.0</v>
      </c>
      <c r="P118" s="11">
        <v>214.0</v>
      </c>
    </row>
    <row r="119">
      <c r="C119" s="276">
        <v>84.0</v>
      </c>
      <c r="J119" s="24">
        <v>2.0</v>
      </c>
      <c r="K119" s="24">
        <v>191.0</v>
      </c>
      <c r="M119" s="276">
        <v>55.0</v>
      </c>
      <c r="O119" s="277">
        <v>7112.0</v>
      </c>
      <c r="P119" s="11">
        <v>206.0</v>
      </c>
    </row>
    <row r="120">
      <c r="C120" s="276">
        <v>64.0</v>
      </c>
      <c r="J120" s="24">
        <v>6.0</v>
      </c>
      <c r="K120" s="24">
        <v>486.0</v>
      </c>
      <c r="M120" s="276">
        <v>9.0</v>
      </c>
      <c r="O120" s="277">
        <v>7113.0</v>
      </c>
      <c r="P120" s="11">
        <v>204.0</v>
      </c>
    </row>
    <row r="121">
      <c r="C121" s="276">
        <v>64.0</v>
      </c>
      <c r="J121" s="24">
        <v>9.0</v>
      </c>
      <c r="K121" s="24">
        <v>332.0</v>
      </c>
      <c r="M121" s="276">
        <v>10.0</v>
      </c>
      <c r="O121" s="277">
        <v>7114.0</v>
      </c>
      <c r="P121" s="11">
        <v>216.0</v>
      </c>
    </row>
    <row r="122">
      <c r="C122" s="276">
        <v>23.0</v>
      </c>
      <c r="J122" s="24">
        <v>9.0</v>
      </c>
      <c r="K122" s="24">
        <v>188.0</v>
      </c>
      <c r="M122" s="276">
        <v>15.0</v>
      </c>
      <c r="O122" s="3">
        <v>7115.0</v>
      </c>
      <c r="P122" s="11">
        <v>204.0</v>
      </c>
    </row>
    <row r="123">
      <c r="C123" s="276">
        <v>64.0</v>
      </c>
      <c r="J123" s="24">
        <v>7.0</v>
      </c>
      <c r="K123" s="24">
        <v>682.0</v>
      </c>
      <c r="M123" s="276">
        <v>12.0</v>
      </c>
      <c r="O123" s="277">
        <v>7116.0</v>
      </c>
      <c r="P123" s="11">
        <v>219.0</v>
      </c>
    </row>
    <row r="124">
      <c r="C124" s="276">
        <v>23.0</v>
      </c>
      <c r="J124" s="24">
        <v>5.0</v>
      </c>
      <c r="K124" s="24">
        <v>386.0</v>
      </c>
      <c r="M124" s="276">
        <v>17.0</v>
      </c>
      <c r="O124" s="277">
        <v>7117.0</v>
      </c>
      <c r="P124" s="11">
        <v>210.0</v>
      </c>
    </row>
    <row r="125">
      <c r="C125" s="276">
        <v>64.0</v>
      </c>
      <c r="J125" s="24">
        <v>6.0</v>
      </c>
      <c r="K125" s="24">
        <v>225.0</v>
      </c>
      <c r="M125" s="276">
        <v>14.0</v>
      </c>
      <c r="O125" s="277">
        <v>7118.0</v>
      </c>
      <c r="P125" s="11">
        <v>210.0</v>
      </c>
    </row>
    <row r="126">
      <c r="C126" s="276">
        <v>84.0</v>
      </c>
      <c r="J126" s="24">
        <v>2.0</v>
      </c>
      <c r="K126" s="24">
        <v>711.0</v>
      </c>
      <c r="M126" s="276">
        <v>63.0</v>
      </c>
      <c r="O126" s="277">
        <v>7119.0</v>
      </c>
      <c r="P126" s="11">
        <v>207.0</v>
      </c>
    </row>
    <row r="127">
      <c r="C127" s="276">
        <v>43.0</v>
      </c>
      <c r="J127" s="24">
        <v>9.0</v>
      </c>
      <c r="K127" s="24">
        <v>286.0</v>
      </c>
      <c r="M127" s="276">
        <v>68.0</v>
      </c>
      <c r="O127" s="3">
        <v>7120.0</v>
      </c>
      <c r="P127" s="11">
        <v>209.0</v>
      </c>
    </row>
    <row r="128">
      <c r="C128" s="276">
        <v>64.0</v>
      </c>
      <c r="J128" s="24">
        <v>7.0</v>
      </c>
      <c r="K128" s="24">
        <v>193.0</v>
      </c>
      <c r="M128" s="276">
        <v>17.0</v>
      </c>
      <c r="O128" s="277">
        <v>7121.0</v>
      </c>
      <c r="P128" s="11">
        <v>220.0</v>
      </c>
    </row>
    <row r="129">
      <c r="C129" s="276">
        <v>64.0</v>
      </c>
      <c r="J129" s="24">
        <v>4.0</v>
      </c>
      <c r="K129" s="24">
        <v>243.0</v>
      </c>
      <c r="M129" s="276">
        <v>19.0</v>
      </c>
      <c r="O129" s="277">
        <v>7122.0</v>
      </c>
      <c r="P129" s="11">
        <v>205.0</v>
      </c>
    </row>
    <row r="130">
      <c r="C130" s="276">
        <v>23.0</v>
      </c>
      <c r="J130" s="24">
        <v>8.0</v>
      </c>
      <c r="K130" s="24">
        <v>582.0</v>
      </c>
      <c r="M130" s="276">
        <v>26.0</v>
      </c>
      <c r="O130" s="277">
        <v>7123.0</v>
      </c>
      <c r="P130" s="11">
        <v>203.0</v>
      </c>
    </row>
    <row r="131">
      <c r="C131" s="276">
        <v>43.0</v>
      </c>
      <c r="J131" s="24">
        <v>7.0</v>
      </c>
      <c r="K131" s="24">
        <v>641.0</v>
      </c>
      <c r="M131" s="276">
        <v>79.0</v>
      </c>
      <c r="O131" s="277">
        <v>7124.0</v>
      </c>
      <c r="P131" s="11">
        <v>216.0</v>
      </c>
    </row>
    <row r="132">
      <c r="C132" s="276">
        <v>23.0</v>
      </c>
      <c r="J132" s="24">
        <v>5.0</v>
      </c>
      <c r="K132" s="24">
        <v>356.0</v>
      </c>
      <c r="M132" s="276">
        <v>35.0</v>
      </c>
      <c r="O132" s="3">
        <v>7125.0</v>
      </c>
      <c r="P132" s="11">
        <v>215.0</v>
      </c>
    </row>
    <row r="133">
      <c r="C133" s="276">
        <v>23.0</v>
      </c>
      <c r="J133" s="24">
        <v>5.0</v>
      </c>
      <c r="K133" s="24">
        <v>239.0</v>
      </c>
      <c r="M133" s="276">
        <v>36.0</v>
      </c>
      <c r="O133" s="277">
        <v>7126.0</v>
      </c>
      <c r="P133" s="11">
        <v>202.0</v>
      </c>
    </row>
    <row r="134">
      <c r="C134" s="276">
        <v>84.0</v>
      </c>
      <c r="J134" s="24">
        <v>9.0</v>
      </c>
      <c r="K134" s="24">
        <v>373.0</v>
      </c>
      <c r="M134" s="276">
        <v>97.0</v>
      </c>
      <c r="O134" s="277">
        <v>7127.0</v>
      </c>
      <c r="P134" s="11">
        <v>211.0</v>
      </c>
    </row>
    <row r="135">
      <c r="C135" s="276">
        <v>84.0</v>
      </c>
      <c r="J135" s="24">
        <v>6.0</v>
      </c>
      <c r="K135" s="24">
        <v>374.0</v>
      </c>
      <c r="M135" s="276">
        <v>98.0</v>
      </c>
      <c r="O135" s="277">
        <v>7128.0</v>
      </c>
      <c r="P135" s="11">
        <v>206.0</v>
      </c>
    </row>
    <row r="136">
      <c r="C136" s="276">
        <v>23.0</v>
      </c>
      <c r="J136" s="24">
        <v>3.0</v>
      </c>
      <c r="K136" s="24">
        <v>477.0</v>
      </c>
      <c r="M136" s="276">
        <v>58.0</v>
      </c>
      <c r="O136" s="277">
        <v>7129.0</v>
      </c>
      <c r="P136" s="11">
        <v>205.0</v>
      </c>
    </row>
    <row r="137">
      <c r="C137" s="276">
        <v>64.0</v>
      </c>
      <c r="J137" s="24">
        <v>5.0</v>
      </c>
      <c r="K137" s="24">
        <v>526.0</v>
      </c>
      <c r="M137" s="276">
        <v>58.0</v>
      </c>
      <c r="O137" s="3">
        <v>7130.0</v>
      </c>
      <c r="P137" s="11">
        <v>205.0</v>
      </c>
    </row>
    <row r="138">
      <c r="C138" s="276">
        <v>85.0</v>
      </c>
      <c r="J138" s="24">
        <v>6.0</v>
      </c>
      <c r="K138" s="24">
        <v>999.0</v>
      </c>
      <c r="M138" s="276">
        <v>7.0</v>
      </c>
      <c r="O138" s="277">
        <v>7131.0</v>
      </c>
      <c r="P138" s="11">
        <v>206.0</v>
      </c>
    </row>
    <row r="139">
      <c r="C139" s="276">
        <v>23.0</v>
      </c>
      <c r="J139" s="24">
        <v>9.0</v>
      </c>
      <c r="K139" s="24">
        <v>113.0</v>
      </c>
      <c r="M139" s="276">
        <v>64.0</v>
      </c>
      <c r="O139" s="277">
        <v>7132.0</v>
      </c>
      <c r="P139" s="11">
        <v>206.0</v>
      </c>
    </row>
    <row r="140">
      <c r="C140" s="276">
        <v>44.0</v>
      </c>
      <c r="J140" s="24">
        <v>4.0</v>
      </c>
      <c r="K140" s="24">
        <v>954.0</v>
      </c>
      <c r="M140" s="276">
        <v>16.0</v>
      </c>
      <c r="O140" s="277">
        <v>7133.0</v>
      </c>
      <c r="P140" s="11">
        <v>208.0</v>
      </c>
    </row>
    <row r="141">
      <c r="C141" s="276">
        <v>64.0</v>
      </c>
      <c r="J141" s="24">
        <v>3.0</v>
      </c>
      <c r="K141" s="24">
        <v>293.0</v>
      </c>
      <c r="M141" s="276">
        <v>64.0</v>
      </c>
      <c r="O141" s="277">
        <v>7134.0</v>
      </c>
      <c r="P141" s="11">
        <v>215.0</v>
      </c>
    </row>
    <row r="142">
      <c r="C142" s="276">
        <v>64.0</v>
      </c>
      <c r="J142" s="24">
        <v>7.0</v>
      </c>
      <c r="K142" s="24">
        <v>686.0</v>
      </c>
      <c r="M142" s="276">
        <v>72.0</v>
      </c>
      <c r="O142" s="3">
        <v>7135.0</v>
      </c>
      <c r="P142" s="11">
        <v>207.0</v>
      </c>
    </row>
    <row r="143">
      <c r="C143" s="276">
        <v>85.0</v>
      </c>
      <c r="J143" s="24">
        <v>3.0</v>
      </c>
      <c r="K143" s="24">
        <v>599.0</v>
      </c>
      <c r="M143" s="276">
        <v>22.0</v>
      </c>
      <c r="O143" s="277">
        <v>7136.0</v>
      </c>
      <c r="P143" s="11">
        <v>208.0</v>
      </c>
    </row>
    <row r="144">
      <c r="C144" s="276">
        <v>85.0</v>
      </c>
      <c r="J144" s="24">
        <v>9.0</v>
      </c>
      <c r="K144" s="24">
        <v>179.0</v>
      </c>
      <c r="M144" s="276">
        <v>24.0</v>
      </c>
      <c r="O144" s="277">
        <v>7137.0</v>
      </c>
      <c r="P144" s="11">
        <v>203.0</v>
      </c>
    </row>
    <row r="145">
      <c r="C145" s="276">
        <v>44.0</v>
      </c>
      <c r="J145" s="24">
        <v>3.0</v>
      </c>
      <c r="K145" s="24">
        <v>785.0</v>
      </c>
      <c r="M145" s="276">
        <v>29.0</v>
      </c>
      <c r="O145" s="277">
        <v>7138.0</v>
      </c>
      <c r="P145" s="11">
        <v>220.0</v>
      </c>
    </row>
    <row r="146">
      <c r="C146" s="276">
        <v>85.0</v>
      </c>
      <c r="J146" s="24">
        <v>4.0</v>
      </c>
      <c r="K146" s="24">
        <v>368.0</v>
      </c>
      <c r="M146" s="276">
        <v>26.0</v>
      </c>
      <c r="O146" s="277">
        <v>7139.0</v>
      </c>
      <c r="P146" s="11">
        <v>214.0</v>
      </c>
    </row>
    <row r="147">
      <c r="C147" s="276">
        <v>85.0</v>
      </c>
      <c r="J147" s="24">
        <v>5.0</v>
      </c>
      <c r="K147" s="24">
        <v>684.0</v>
      </c>
      <c r="M147" s="276">
        <v>28.0</v>
      </c>
      <c r="O147" s="3">
        <v>7140.0</v>
      </c>
      <c r="P147" s="11">
        <v>205.0</v>
      </c>
    </row>
    <row r="148">
      <c r="C148" s="276">
        <v>23.0</v>
      </c>
      <c r="J148" s="24">
        <v>3.0</v>
      </c>
      <c r="K148" s="24">
        <v>954.0</v>
      </c>
      <c r="M148" s="276">
        <v>85.0</v>
      </c>
      <c r="O148" s="277">
        <v>7141.0</v>
      </c>
      <c r="P148" s="11">
        <v>220.0</v>
      </c>
    </row>
    <row r="149">
      <c r="C149" s="276">
        <v>85.0</v>
      </c>
      <c r="J149" s="24">
        <v>4.0</v>
      </c>
      <c r="K149" s="24">
        <v>626.0</v>
      </c>
      <c r="M149" s="276">
        <v>31.0</v>
      </c>
      <c r="O149" s="277">
        <v>7142.0</v>
      </c>
      <c r="P149" s="11">
        <v>202.0</v>
      </c>
    </row>
    <row r="150">
      <c r="C150" s="276">
        <v>23.0</v>
      </c>
      <c r="J150" s="24">
        <v>4.0</v>
      </c>
      <c r="K150" s="24">
        <v>736.0</v>
      </c>
      <c r="M150" s="276">
        <v>88.0</v>
      </c>
      <c r="O150" s="277">
        <v>7143.0</v>
      </c>
      <c r="P150" s="11">
        <v>217.0</v>
      </c>
    </row>
    <row r="151">
      <c r="C151" s="276">
        <v>44.0</v>
      </c>
      <c r="J151" s="24">
        <v>8.0</v>
      </c>
      <c r="K151" s="24">
        <v>747.0</v>
      </c>
      <c r="M151" s="276">
        <v>37.0</v>
      </c>
      <c r="O151" s="277">
        <v>7144.0</v>
      </c>
      <c r="P151" s="11">
        <v>204.0</v>
      </c>
    </row>
    <row r="152">
      <c r="C152" s="276">
        <v>64.0</v>
      </c>
      <c r="J152" s="24">
        <v>3.0</v>
      </c>
      <c r="K152" s="24">
        <v>371.0</v>
      </c>
      <c r="M152" s="276">
        <v>90.0</v>
      </c>
      <c r="O152" s="3">
        <v>7145.0</v>
      </c>
      <c r="P152" s="11">
        <v>212.0</v>
      </c>
    </row>
    <row r="153">
      <c r="C153" s="276">
        <v>23.0</v>
      </c>
      <c r="J153" s="24">
        <v>6.0</v>
      </c>
      <c r="K153" s="24">
        <v>265.0</v>
      </c>
      <c r="M153" s="276">
        <v>99.0</v>
      </c>
      <c r="O153" s="277">
        <v>7146.0</v>
      </c>
      <c r="P153" s="11">
        <v>204.0</v>
      </c>
    </row>
    <row r="154">
      <c r="C154" s="276">
        <v>85.0</v>
      </c>
      <c r="J154" s="24">
        <v>9.0</v>
      </c>
      <c r="K154" s="24">
        <v>407.0</v>
      </c>
      <c r="M154" s="276">
        <v>43.0</v>
      </c>
      <c r="O154" s="277">
        <v>7147.0</v>
      </c>
      <c r="P154" s="11">
        <v>211.0</v>
      </c>
    </row>
    <row r="155">
      <c r="C155" s="276">
        <v>44.0</v>
      </c>
      <c r="J155" s="24">
        <v>5.0</v>
      </c>
      <c r="K155" s="24">
        <v>265.0</v>
      </c>
      <c r="M155" s="276">
        <v>53.0</v>
      </c>
      <c r="O155" s="277">
        <v>7148.0</v>
      </c>
      <c r="P155" s="11">
        <v>206.0</v>
      </c>
    </row>
    <row r="156">
      <c r="C156" s="276">
        <v>65.0</v>
      </c>
      <c r="J156" s="24">
        <v>5.0</v>
      </c>
      <c r="K156" s="24">
        <v>759.0</v>
      </c>
      <c r="M156" s="276">
        <v>2.0</v>
      </c>
      <c r="O156" s="277">
        <v>7149.0</v>
      </c>
      <c r="P156" s="11">
        <v>208.0</v>
      </c>
    </row>
    <row r="157">
      <c r="C157" s="276">
        <v>24.0</v>
      </c>
      <c r="J157" s="24">
        <v>1.0</v>
      </c>
      <c r="K157" s="24">
        <v>834.0</v>
      </c>
      <c r="M157" s="276">
        <v>8.0</v>
      </c>
      <c r="O157" s="3">
        <v>7150.0</v>
      </c>
      <c r="P157" s="11">
        <v>203.0</v>
      </c>
    </row>
    <row r="158">
      <c r="C158" s="276">
        <v>44.0</v>
      </c>
      <c r="J158" s="24">
        <v>7.0</v>
      </c>
      <c r="K158" s="24">
        <v>285.0</v>
      </c>
      <c r="M158" s="276">
        <v>59.0</v>
      </c>
      <c r="O158" s="277">
        <v>7151.0</v>
      </c>
      <c r="P158" s="11">
        <v>206.0</v>
      </c>
    </row>
    <row r="159">
      <c r="C159" s="276">
        <v>65.0</v>
      </c>
      <c r="J159" s="24">
        <v>3.0</v>
      </c>
      <c r="K159" s="24">
        <v>782.0</v>
      </c>
      <c r="M159" s="276">
        <v>8.0</v>
      </c>
      <c r="O159" s="277">
        <v>7152.0</v>
      </c>
      <c r="P159" s="11">
        <v>205.0</v>
      </c>
    </row>
    <row r="160">
      <c r="C160" s="276">
        <v>85.0</v>
      </c>
      <c r="J160" s="24">
        <v>6.0</v>
      </c>
      <c r="K160" s="24">
        <v>864.0</v>
      </c>
      <c r="M160" s="276">
        <v>58.0</v>
      </c>
      <c r="O160" s="277">
        <v>7153.0</v>
      </c>
      <c r="P160" s="11">
        <v>212.0</v>
      </c>
    </row>
    <row r="161">
      <c r="C161" s="276">
        <v>65.0</v>
      </c>
      <c r="J161" s="24">
        <v>9.0</v>
      </c>
      <c r="K161" s="24">
        <v>990.0</v>
      </c>
      <c r="M161" s="276">
        <v>11.0</v>
      </c>
      <c r="O161" s="277">
        <v>7154.0</v>
      </c>
      <c r="P161" s="11">
        <v>219.0</v>
      </c>
    </row>
    <row r="162">
      <c r="C162" s="276">
        <v>24.0</v>
      </c>
      <c r="J162" s="24">
        <v>7.0</v>
      </c>
      <c r="K162" s="24">
        <v>955.0</v>
      </c>
      <c r="M162" s="276">
        <v>17.0</v>
      </c>
      <c r="O162" s="3">
        <v>7155.0</v>
      </c>
      <c r="P162" s="11">
        <v>210.0</v>
      </c>
    </row>
    <row r="163">
      <c r="C163" s="276">
        <v>85.0</v>
      </c>
      <c r="J163" s="24">
        <v>4.0</v>
      </c>
      <c r="K163" s="24">
        <v>513.0</v>
      </c>
      <c r="M163" s="276">
        <v>62.0</v>
      </c>
      <c r="O163" s="277">
        <v>7156.0</v>
      </c>
      <c r="P163" s="11">
        <v>209.0</v>
      </c>
    </row>
    <row r="164">
      <c r="C164" s="276">
        <v>65.0</v>
      </c>
      <c r="J164" s="24">
        <v>3.0</v>
      </c>
      <c r="K164" s="24">
        <v>955.0</v>
      </c>
      <c r="M164" s="276">
        <v>15.0</v>
      </c>
      <c r="O164" s="277">
        <v>7157.0</v>
      </c>
      <c r="P164" s="11">
        <v>211.0</v>
      </c>
    </row>
    <row r="165">
      <c r="C165" s="276">
        <v>85.0</v>
      </c>
      <c r="J165" s="24">
        <v>1.0</v>
      </c>
      <c r="K165" s="24">
        <v>223.0</v>
      </c>
      <c r="M165" s="276">
        <v>64.0</v>
      </c>
      <c r="O165" s="277">
        <v>7158.0</v>
      </c>
      <c r="P165" s="11">
        <v>214.0</v>
      </c>
    </row>
    <row r="166">
      <c r="C166" s="276">
        <v>24.0</v>
      </c>
      <c r="J166" s="24">
        <v>5.0</v>
      </c>
      <c r="K166" s="24">
        <v>344.0</v>
      </c>
      <c r="M166" s="276">
        <v>19.0</v>
      </c>
      <c r="O166" s="277">
        <v>7159.0</v>
      </c>
      <c r="P166" s="11">
        <v>220.0</v>
      </c>
    </row>
    <row r="167">
      <c r="C167" s="276">
        <v>24.0</v>
      </c>
      <c r="J167" s="24">
        <v>3.0</v>
      </c>
      <c r="K167" s="24">
        <v>237.0</v>
      </c>
      <c r="M167" s="276">
        <v>29.0</v>
      </c>
      <c r="O167" s="3">
        <v>7160.0</v>
      </c>
      <c r="P167" s="11">
        <v>214.0</v>
      </c>
    </row>
    <row r="168">
      <c r="C168" s="276">
        <v>85.0</v>
      </c>
      <c r="J168" s="24">
        <v>7.0</v>
      </c>
      <c r="K168" s="24">
        <v>364.0</v>
      </c>
      <c r="M168" s="276">
        <v>76.0</v>
      </c>
      <c r="O168" s="277">
        <v>7161.0</v>
      </c>
      <c r="P168" s="11">
        <v>209.0</v>
      </c>
    </row>
    <row r="169">
      <c r="C169" s="276">
        <v>85.0</v>
      </c>
      <c r="J169" s="24">
        <v>2.0</v>
      </c>
      <c r="K169" s="24">
        <v>447.0</v>
      </c>
      <c r="M169" s="276">
        <v>88.0</v>
      </c>
      <c r="O169" s="277">
        <v>7162.0</v>
      </c>
      <c r="P169" s="11">
        <v>216.0</v>
      </c>
    </row>
    <row r="170">
      <c r="C170" s="276">
        <v>65.0</v>
      </c>
      <c r="J170" s="24">
        <v>3.0</v>
      </c>
      <c r="K170" s="24">
        <v>841.0</v>
      </c>
      <c r="M170" s="276">
        <v>41.0</v>
      </c>
      <c r="O170" s="277">
        <v>7163.0</v>
      </c>
      <c r="P170" s="11">
        <v>217.0</v>
      </c>
    </row>
    <row r="171">
      <c r="C171" s="276">
        <v>24.0</v>
      </c>
      <c r="J171" s="24">
        <v>6.0</v>
      </c>
      <c r="K171" s="24">
        <v>861.0</v>
      </c>
      <c r="M171" s="276">
        <v>46.0</v>
      </c>
      <c r="O171" s="277">
        <v>7164.0</v>
      </c>
      <c r="P171" s="11">
        <v>213.0</v>
      </c>
    </row>
    <row r="172">
      <c r="C172" s="276">
        <v>85.0</v>
      </c>
      <c r="J172" s="24">
        <v>2.0</v>
      </c>
      <c r="K172" s="24">
        <v>863.0</v>
      </c>
      <c r="M172" s="276">
        <v>89.0</v>
      </c>
      <c r="O172" s="3">
        <v>7165.0</v>
      </c>
      <c r="P172" s="11">
        <v>217.0</v>
      </c>
    </row>
    <row r="173">
      <c r="C173" s="276">
        <v>85.0</v>
      </c>
      <c r="J173" s="24">
        <v>6.0</v>
      </c>
      <c r="K173" s="24">
        <v>608.0</v>
      </c>
      <c r="M173" s="276">
        <v>93.0</v>
      </c>
      <c r="O173" s="277">
        <v>7166.0</v>
      </c>
      <c r="P173" s="11">
        <v>200.0</v>
      </c>
    </row>
    <row r="174">
      <c r="C174" s="276">
        <v>24.0</v>
      </c>
      <c r="J174" s="24">
        <v>8.0</v>
      </c>
      <c r="K174" s="24">
        <v>546.0</v>
      </c>
      <c r="M174" s="276">
        <v>53.0</v>
      </c>
      <c r="O174" s="277">
        <v>7167.0</v>
      </c>
      <c r="P174" s="11">
        <v>220.0</v>
      </c>
    </row>
    <row r="175">
      <c r="C175" s="276">
        <v>85.0</v>
      </c>
      <c r="J175" s="24">
        <v>6.0</v>
      </c>
      <c r="K175" s="24">
        <v>146.0</v>
      </c>
      <c r="M175" s="276">
        <v>97.0</v>
      </c>
      <c r="O175" s="277">
        <v>7168.0</v>
      </c>
      <c r="P175" s="11">
        <v>209.0</v>
      </c>
    </row>
    <row r="176">
      <c r="C176" s="276">
        <v>45.0</v>
      </c>
      <c r="J176" s="24">
        <v>4.0</v>
      </c>
      <c r="K176" s="24">
        <v>288.0</v>
      </c>
      <c r="M176" s="276">
        <v>4.0</v>
      </c>
      <c r="O176" s="277">
        <v>7169.0</v>
      </c>
      <c r="P176" s="11">
        <v>210.0</v>
      </c>
    </row>
    <row r="177">
      <c r="C177" s="276">
        <v>86.0</v>
      </c>
      <c r="J177" s="24">
        <v>6.0</v>
      </c>
      <c r="K177" s="24">
        <v>377.0</v>
      </c>
      <c r="M177" s="276">
        <v>0.0</v>
      </c>
      <c r="O177" s="3">
        <v>7170.0</v>
      </c>
      <c r="P177" s="11">
        <v>205.0</v>
      </c>
    </row>
    <row r="178">
      <c r="C178" s="276">
        <v>65.0</v>
      </c>
      <c r="J178" s="24">
        <v>8.0</v>
      </c>
      <c r="K178" s="24">
        <v>343.0</v>
      </c>
      <c r="M178" s="276">
        <v>58.0</v>
      </c>
      <c r="O178" s="277">
        <v>7171.0</v>
      </c>
      <c r="P178" s="11">
        <v>203.0</v>
      </c>
    </row>
    <row r="179">
      <c r="C179" s="276">
        <v>45.0</v>
      </c>
      <c r="J179" s="24">
        <v>5.0</v>
      </c>
      <c r="K179" s="24">
        <v>226.0</v>
      </c>
      <c r="M179" s="276">
        <v>18.0</v>
      </c>
      <c r="O179" s="277">
        <v>7172.0</v>
      </c>
      <c r="P179" s="11">
        <v>216.0</v>
      </c>
    </row>
    <row r="180">
      <c r="C180" s="276">
        <v>65.0</v>
      </c>
      <c r="J180" s="24">
        <v>6.0</v>
      </c>
      <c r="K180" s="24">
        <v>584.0</v>
      </c>
      <c r="M180" s="276">
        <v>70.0</v>
      </c>
      <c r="O180" s="277">
        <v>7173.0</v>
      </c>
      <c r="P180" s="11">
        <v>217.0</v>
      </c>
    </row>
    <row r="181">
      <c r="C181" s="276">
        <v>86.0</v>
      </c>
      <c r="J181" s="24">
        <v>8.0</v>
      </c>
      <c r="K181" s="24">
        <v>220.0</v>
      </c>
      <c r="M181" s="276">
        <v>19.0</v>
      </c>
      <c r="O181" s="277">
        <v>7174.0</v>
      </c>
      <c r="P181" s="11">
        <v>214.0</v>
      </c>
    </row>
    <row r="182">
      <c r="C182" s="276">
        <v>45.0</v>
      </c>
      <c r="J182" s="24">
        <v>7.0</v>
      </c>
      <c r="K182" s="24">
        <v>126.0</v>
      </c>
      <c r="M182" s="276">
        <v>25.0</v>
      </c>
      <c r="O182" s="3">
        <v>7175.0</v>
      </c>
      <c r="P182" s="11">
        <v>210.0</v>
      </c>
    </row>
    <row r="183">
      <c r="C183" s="276">
        <v>45.0</v>
      </c>
      <c r="J183" s="24">
        <v>9.0</v>
      </c>
      <c r="K183" s="24">
        <v>289.0</v>
      </c>
      <c r="M183" s="276">
        <v>26.0</v>
      </c>
      <c r="O183" s="277">
        <v>7176.0</v>
      </c>
      <c r="P183" s="11">
        <v>203.0</v>
      </c>
    </row>
    <row r="184">
      <c r="C184" s="276">
        <v>45.0</v>
      </c>
      <c r="J184" s="24">
        <v>3.0</v>
      </c>
      <c r="K184" s="24">
        <v>584.0</v>
      </c>
      <c r="M184" s="276">
        <v>29.0</v>
      </c>
      <c r="O184" s="277">
        <v>7177.0</v>
      </c>
      <c r="P184" s="11">
        <v>213.0</v>
      </c>
    </row>
    <row r="185">
      <c r="C185" s="276">
        <v>24.0</v>
      </c>
      <c r="J185" s="24">
        <v>9.0</v>
      </c>
      <c r="K185" s="24">
        <v>868.0</v>
      </c>
      <c r="M185" s="276">
        <v>86.0</v>
      </c>
      <c r="O185" s="277">
        <v>7178.0</v>
      </c>
      <c r="P185" s="11">
        <v>210.0</v>
      </c>
    </row>
    <row r="186">
      <c r="C186" s="276">
        <v>65.0</v>
      </c>
      <c r="J186" s="24">
        <v>8.0</v>
      </c>
      <c r="K186" s="24">
        <v>909.0</v>
      </c>
      <c r="M186" s="276">
        <v>83.0</v>
      </c>
      <c r="O186" s="277">
        <v>7179.0</v>
      </c>
      <c r="P186" s="11">
        <v>211.0</v>
      </c>
    </row>
    <row r="187">
      <c r="C187" s="276">
        <v>86.0</v>
      </c>
      <c r="J187" s="24">
        <v>1.0</v>
      </c>
      <c r="K187" s="24">
        <v>731.0</v>
      </c>
      <c r="M187" s="276">
        <v>32.0</v>
      </c>
      <c r="O187" s="3">
        <v>7180.0</v>
      </c>
      <c r="P187" s="11">
        <v>219.0</v>
      </c>
    </row>
    <row r="188">
      <c r="C188" s="276">
        <v>24.0</v>
      </c>
      <c r="J188" s="24">
        <v>9.0</v>
      </c>
      <c r="K188" s="24">
        <v>107.0</v>
      </c>
      <c r="M188" s="276">
        <v>87.0</v>
      </c>
      <c r="O188" s="277">
        <v>7181.0</v>
      </c>
      <c r="P188" s="11">
        <v>204.0</v>
      </c>
    </row>
    <row r="189">
      <c r="C189" s="276">
        <v>86.0</v>
      </c>
      <c r="J189" s="24">
        <v>5.0</v>
      </c>
      <c r="K189" s="24">
        <v>149.0</v>
      </c>
      <c r="M189" s="276">
        <v>34.0</v>
      </c>
      <c r="O189" s="277">
        <v>7182.0</v>
      </c>
      <c r="P189" s="11">
        <v>201.0</v>
      </c>
    </row>
    <row r="190">
      <c r="C190" s="276">
        <v>24.0</v>
      </c>
      <c r="J190" s="24">
        <v>7.0</v>
      </c>
      <c r="K190" s="24">
        <v>187.0</v>
      </c>
      <c r="M190" s="276">
        <v>91.0</v>
      </c>
      <c r="O190" s="277">
        <v>7183.0</v>
      </c>
      <c r="P190" s="11">
        <v>201.0</v>
      </c>
    </row>
    <row r="191">
      <c r="C191" s="276">
        <v>65.0</v>
      </c>
      <c r="J191" s="24">
        <v>3.0</v>
      </c>
      <c r="K191" s="24">
        <v>674.0</v>
      </c>
      <c r="M191" s="276">
        <v>84.0</v>
      </c>
      <c r="O191" s="277">
        <v>7184.0</v>
      </c>
      <c r="P191" s="11">
        <v>219.0</v>
      </c>
    </row>
    <row r="192">
      <c r="C192" s="276">
        <v>86.0</v>
      </c>
      <c r="J192" s="24">
        <v>8.0</v>
      </c>
      <c r="K192" s="24">
        <v>918.0</v>
      </c>
      <c r="M192" s="276">
        <v>38.0</v>
      </c>
      <c r="O192" s="3">
        <v>7185.0</v>
      </c>
      <c r="P192" s="11">
        <v>216.0</v>
      </c>
    </row>
    <row r="193">
      <c r="C193" s="276">
        <v>66.0</v>
      </c>
      <c r="J193" s="24">
        <v>1.0</v>
      </c>
      <c r="K193" s="24">
        <v>137.0</v>
      </c>
      <c r="M193" s="276">
        <v>0.0</v>
      </c>
      <c r="O193" s="277">
        <v>7186.0</v>
      </c>
      <c r="P193" s="11">
        <v>202.0</v>
      </c>
    </row>
    <row r="194">
      <c r="C194" s="276">
        <v>45.0</v>
      </c>
      <c r="J194" s="24">
        <v>9.0</v>
      </c>
      <c r="K194" s="24">
        <v>952.0</v>
      </c>
      <c r="M194" s="276">
        <v>53.0</v>
      </c>
      <c r="O194" s="277">
        <v>7187.0</v>
      </c>
      <c r="P194" s="11">
        <v>203.0</v>
      </c>
    </row>
    <row r="195">
      <c r="C195" s="276">
        <v>86.0</v>
      </c>
      <c r="J195" s="24">
        <v>9.0</v>
      </c>
      <c r="K195" s="24">
        <v>849.0</v>
      </c>
      <c r="M195" s="276">
        <v>50.0</v>
      </c>
      <c r="O195" s="277">
        <v>7188.0</v>
      </c>
      <c r="P195" s="11">
        <v>215.0</v>
      </c>
    </row>
    <row r="196">
      <c r="C196" s="276">
        <v>66.0</v>
      </c>
      <c r="J196" s="24">
        <v>6.0</v>
      </c>
      <c r="K196" s="24">
        <v>279.0</v>
      </c>
      <c r="M196" s="276">
        <v>7.0</v>
      </c>
      <c r="O196" s="277">
        <v>7189.0</v>
      </c>
      <c r="P196" s="11">
        <v>215.0</v>
      </c>
    </row>
    <row r="197">
      <c r="C197" s="276">
        <v>25.0</v>
      </c>
      <c r="J197" s="24">
        <v>3.0</v>
      </c>
      <c r="K197" s="24">
        <v>986.0</v>
      </c>
      <c r="M197" s="276">
        <v>24.0</v>
      </c>
      <c r="O197" s="3">
        <v>7190.0</v>
      </c>
      <c r="P197" s="11">
        <v>211.0</v>
      </c>
    </row>
    <row r="198">
      <c r="C198" s="276">
        <v>25.0</v>
      </c>
      <c r="J198" s="24">
        <v>8.0</v>
      </c>
      <c r="K198" s="24">
        <v>962.0</v>
      </c>
      <c r="M198" s="276">
        <v>25.0</v>
      </c>
      <c r="O198" s="277">
        <v>7191.0</v>
      </c>
      <c r="P198" s="11">
        <v>213.0</v>
      </c>
    </row>
    <row r="199">
      <c r="C199" s="276">
        <v>86.0</v>
      </c>
      <c r="J199" s="24">
        <v>8.0</v>
      </c>
      <c r="K199" s="24">
        <v>224.0</v>
      </c>
      <c r="M199" s="276">
        <v>72.0</v>
      </c>
      <c r="O199" s="277">
        <v>7192.0</v>
      </c>
      <c r="P199" s="11">
        <v>215.0</v>
      </c>
    </row>
    <row r="200">
      <c r="C200" s="276">
        <v>86.0</v>
      </c>
      <c r="J200" s="24">
        <v>2.0</v>
      </c>
      <c r="K200" s="24">
        <v>892.0</v>
      </c>
      <c r="M200" s="276">
        <v>73.0</v>
      </c>
      <c r="O200" s="277">
        <v>7193.0</v>
      </c>
      <c r="P200" s="11">
        <v>213.0</v>
      </c>
    </row>
    <row r="201">
      <c r="C201" s="276">
        <v>45.0</v>
      </c>
      <c r="J201" s="24">
        <v>8.0</v>
      </c>
      <c r="K201" s="24">
        <v>408.0</v>
      </c>
      <c r="M201" s="276">
        <v>79.0</v>
      </c>
      <c r="O201" s="277">
        <v>7194.0</v>
      </c>
      <c r="P201" s="11">
        <v>212.0</v>
      </c>
    </row>
    <row r="202">
      <c r="C202" s="276">
        <v>86.0</v>
      </c>
      <c r="J202" s="24">
        <v>4.0</v>
      </c>
      <c r="K202" s="24">
        <v>211.0</v>
      </c>
      <c r="M202" s="276">
        <v>76.0</v>
      </c>
      <c r="O202" s="3">
        <v>7195.0</v>
      </c>
      <c r="P202" s="11">
        <v>209.0</v>
      </c>
    </row>
    <row r="203">
      <c r="C203" s="276">
        <v>66.0</v>
      </c>
      <c r="J203" s="24">
        <v>2.0</v>
      </c>
      <c r="K203" s="24">
        <v>141.0</v>
      </c>
      <c r="M203" s="276">
        <v>30.0</v>
      </c>
      <c r="O203" s="277">
        <v>7196.0</v>
      </c>
      <c r="P203" s="11">
        <v>213.0</v>
      </c>
    </row>
    <row r="204">
      <c r="C204" s="276">
        <v>45.0</v>
      </c>
      <c r="J204" s="24">
        <v>8.0</v>
      </c>
      <c r="K204" s="24">
        <v>465.0</v>
      </c>
      <c r="M204" s="276">
        <v>82.0</v>
      </c>
      <c r="O204" s="277">
        <v>7197.0</v>
      </c>
      <c r="P204" s="11">
        <v>200.0</v>
      </c>
    </row>
    <row r="205">
      <c r="C205" s="276">
        <v>66.0</v>
      </c>
      <c r="J205" s="24">
        <v>2.0</v>
      </c>
      <c r="K205" s="24">
        <v>238.0</v>
      </c>
      <c r="M205" s="276">
        <v>32.0</v>
      </c>
      <c r="O205" s="277">
        <v>7198.0</v>
      </c>
      <c r="P205" s="11">
        <v>208.0</v>
      </c>
    </row>
    <row r="206">
      <c r="C206" s="276">
        <v>86.0</v>
      </c>
      <c r="J206" s="24">
        <v>9.0</v>
      </c>
      <c r="K206" s="24">
        <v>258.0</v>
      </c>
      <c r="M206" s="276">
        <v>82.0</v>
      </c>
      <c r="O206" s="277">
        <v>7199.0</v>
      </c>
      <c r="P206" s="11">
        <v>215.0</v>
      </c>
    </row>
    <row r="207">
      <c r="C207" s="276">
        <v>45.0</v>
      </c>
      <c r="J207" s="24">
        <v>8.0</v>
      </c>
      <c r="K207" s="24">
        <v>615.0</v>
      </c>
      <c r="M207" s="276">
        <v>90.0</v>
      </c>
      <c r="O207" s="3">
        <v>7200.0</v>
      </c>
      <c r="P207" s="11">
        <v>203.0</v>
      </c>
    </row>
    <row r="208">
      <c r="C208" s="276">
        <v>45.0</v>
      </c>
      <c r="J208" s="24">
        <v>7.0</v>
      </c>
      <c r="K208" s="24">
        <v>708.0</v>
      </c>
      <c r="M208" s="276">
        <v>94.0</v>
      </c>
      <c r="O208" s="277">
        <v>7201.0</v>
      </c>
      <c r="P208" s="11">
        <v>202.0</v>
      </c>
    </row>
    <row r="209">
      <c r="C209" s="276">
        <v>25.0</v>
      </c>
      <c r="J209" s="24">
        <v>9.0</v>
      </c>
      <c r="K209" s="24">
        <v>819.0</v>
      </c>
      <c r="M209" s="276">
        <v>47.0</v>
      </c>
      <c r="O209" s="277">
        <v>7202.0</v>
      </c>
      <c r="P209" s="11">
        <v>214.0</v>
      </c>
    </row>
    <row r="210">
      <c r="C210" s="276">
        <v>45.0</v>
      </c>
      <c r="J210" s="24">
        <v>8.0</v>
      </c>
      <c r="K210" s="24">
        <v>266.0</v>
      </c>
      <c r="M210" s="276">
        <v>96.0</v>
      </c>
      <c r="O210" s="277">
        <v>7203.0</v>
      </c>
      <c r="P210" s="11">
        <v>202.0</v>
      </c>
    </row>
    <row r="211">
      <c r="C211" s="276">
        <v>25.0</v>
      </c>
      <c r="J211" s="24">
        <v>7.0</v>
      </c>
      <c r="K211" s="24">
        <v>825.0</v>
      </c>
      <c r="M211" s="276">
        <v>52.0</v>
      </c>
      <c r="O211" s="277">
        <v>7204.0</v>
      </c>
      <c r="P211" s="11">
        <v>207.0</v>
      </c>
    </row>
    <row r="212">
      <c r="C212" s="276">
        <v>46.0</v>
      </c>
      <c r="J212" s="24">
        <v>6.0</v>
      </c>
      <c r="K212" s="24">
        <v>969.0</v>
      </c>
      <c r="M212" s="276">
        <v>6.0</v>
      </c>
      <c r="O212" s="3">
        <v>7205.0</v>
      </c>
      <c r="P212" s="11">
        <v>213.0</v>
      </c>
    </row>
    <row r="213">
      <c r="C213" s="276">
        <v>87.0</v>
      </c>
      <c r="J213" s="24">
        <v>8.0</v>
      </c>
      <c r="K213" s="24">
        <v>309.0</v>
      </c>
      <c r="M213" s="276">
        <v>6.0</v>
      </c>
      <c r="O213" s="277">
        <v>7206.0</v>
      </c>
      <c r="P213" s="11">
        <v>210.0</v>
      </c>
    </row>
    <row r="214">
      <c r="C214" s="276">
        <v>66.0</v>
      </c>
      <c r="J214" s="24">
        <v>1.0</v>
      </c>
      <c r="K214" s="24">
        <v>235.0</v>
      </c>
      <c r="M214" s="276">
        <v>60.0</v>
      </c>
      <c r="O214" s="277">
        <v>7207.0</v>
      </c>
      <c r="P214" s="11">
        <v>216.0</v>
      </c>
    </row>
    <row r="215">
      <c r="C215" s="276">
        <v>46.0</v>
      </c>
      <c r="J215" s="24">
        <v>2.0</v>
      </c>
      <c r="K215" s="24">
        <v>493.0</v>
      </c>
      <c r="M215" s="276">
        <v>13.0</v>
      </c>
      <c r="O215" s="277">
        <v>7208.0</v>
      </c>
      <c r="P215" s="11">
        <v>204.0</v>
      </c>
    </row>
    <row r="216">
      <c r="C216" s="276">
        <v>66.0</v>
      </c>
      <c r="J216" s="24">
        <v>1.0</v>
      </c>
      <c r="K216" s="24">
        <v>540.0</v>
      </c>
      <c r="M216" s="276">
        <v>63.0</v>
      </c>
      <c r="O216" s="277">
        <v>7209.0</v>
      </c>
      <c r="P216" s="11">
        <v>206.0</v>
      </c>
    </row>
    <row r="217">
      <c r="C217" s="276">
        <v>25.0</v>
      </c>
      <c r="J217" s="24">
        <v>7.0</v>
      </c>
      <c r="K217" s="24">
        <v>300.0</v>
      </c>
      <c r="M217" s="276">
        <v>67.0</v>
      </c>
      <c r="O217" s="3">
        <v>7210.0</v>
      </c>
      <c r="P217" s="11">
        <v>212.0</v>
      </c>
    </row>
    <row r="218">
      <c r="C218" s="276">
        <v>87.0</v>
      </c>
      <c r="J218" s="24">
        <v>7.0</v>
      </c>
      <c r="K218" s="24">
        <v>585.0</v>
      </c>
      <c r="M218" s="276">
        <v>13.0</v>
      </c>
      <c r="O218" s="277">
        <v>7211.0</v>
      </c>
      <c r="P218" s="11">
        <v>218.0</v>
      </c>
    </row>
    <row r="219">
      <c r="C219" s="276">
        <v>25.0</v>
      </c>
      <c r="J219" s="24">
        <v>2.0</v>
      </c>
      <c r="K219" s="24">
        <v>392.0</v>
      </c>
      <c r="M219" s="276">
        <v>68.0</v>
      </c>
      <c r="O219" s="277">
        <v>7212.0</v>
      </c>
      <c r="P219" s="11">
        <v>210.0</v>
      </c>
    </row>
    <row r="220">
      <c r="C220" s="276">
        <v>25.0</v>
      </c>
      <c r="J220" s="24">
        <v>8.0</v>
      </c>
      <c r="K220" s="24">
        <v>936.0</v>
      </c>
      <c r="M220" s="276">
        <v>71.0</v>
      </c>
      <c r="O220" s="277">
        <v>7213.0</v>
      </c>
      <c r="P220" s="11">
        <v>220.0</v>
      </c>
    </row>
    <row r="221">
      <c r="C221" s="276">
        <v>66.0</v>
      </c>
      <c r="J221" s="24">
        <v>4.0</v>
      </c>
      <c r="K221" s="24">
        <v>323.0</v>
      </c>
      <c r="M221" s="276">
        <v>69.0</v>
      </c>
      <c r="O221" s="277">
        <v>7214.0</v>
      </c>
      <c r="P221" s="11">
        <v>213.0</v>
      </c>
    </row>
    <row r="222">
      <c r="C222" s="276">
        <v>25.0</v>
      </c>
      <c r="J222" s="24">
        <v>9.0</v>
      </c>
      <c r="K222" s="24">
        <v>109.0</v>
      </c>
      <c r="M222" s="276">
        <v>74.0</v>
      </c>
      <c r="O222" s="3">
        <v>7215.0</v>
      </c>
      <c r="P222" s="11">
        <v>213.0</v>
      </c>
    </row>
    <row r="223">
      <c r="C223" s="276">
        <v>25.0</v>
      </c>
      <c r="J223" s="24">
        <v>7.0</v>
      </c>
      <c r="K223" s="24">
        <v>984.0</v>
      </c>
      <c r="M223" s="276">
        <v>75.0</v>
      </c>
      <c r="O223" s="277">
        <v>7216.0</v>
      </c>
      <c r="P223" s="11">
        <v>200.0</v>
      </c>
    </row>
    <row r="224">
      <c r="C224" s="276">
        <v>46.0</v>
      </c>
      <c r="J224" s="24">
        <v>4.0</v>
      </c>
      <c r="K224" s="24">
        <v>115.0</v>
      </c>
      <c r="M224" s="276">
        <v>29.0</v>
      </c>
      <c r="O224" s="277">
        <v>7217.0</v>
      </c>
      <c r="P224" s="11">
        <v>204.0</v>
      </c>
    </row>
    <row r="225">
      <c r="C225" s="276">
        <v>66.0</v>
      </c>
      <c r="J225" s="24">
        <v>8.0</v>
      </c>
      <c r="K225" s="24">
        <v>518.0</v>
      </c>
      <c r="M225" s="276">
        <v>78.0</v>
      </c>
      <c r="O225" s="277">
        <v>7218.0</v>
      </c>
      <c r="P225" s="11">
        <v>209.0</v>
      </c>
    </row>
    <row r="226">
      <c r="C226" s="276">
        <v>87.0</v>
      </c>
      <c r="J226" s="24">
        <v>7.0</v>
      </c>
      <c r="K226" s="24">
        <v>714.0</v>
      </c>
      <c r="M226" s="276">
        <v>27.0</v>
      </c>
      <c r="O226" s="277">
        <v>7219.0</v>
      </c>
      <c r="P226" s="11">
        <v>203.0</v>
      </c>
    </row>
    <row r="227">
      <c r="C227" s="276">
        <v>46.0</v>
      </c>
      <c r="J227" s="24">
        <v>3.0</v>
      </c>
      <c r="K227" s="24">
        <v>700.0</v>
      </c>
      <c r="M227" s="276">
        <v>33.0</v>
      </c>
      <c r="O227" s="3">
        <v>7220.0</v>
      </c>
      <c r="P227" s="11">
        <v>219.0</v>
      </c>
    </row>
    <row r="228">
      <c r="C228" s="276">
        <v>25.0</v>
      </c>
      <c r="J228" s="24">
        <v>2.0</v>
      </c>
      <c r="K228" s="24">
        <v>557.0</v>
      </c>
      <c r="M228" s="276">
        <v>87.0</v>
      </c>
      <c r="O228" s="277">
        <v>7221.0</v>
      </c>
      <c r="P228" s="11">
        <v>216.0</v>
      </c>
    </row>
    <row r="229">
      <c r="C229" s="276">
        <v>66.0</v>
      </c>
      <c r="J229" s="24">
        <v>4.0</v>
      </c>
      <c r="K229" s="24">
        <v>196.0</v>
      </c>
      <c r="M229" s="276">
        <v>84.0</v>
      </c>
      <c r="O229" s="277">
        <v>7222.0</v>
      </c>
      <c r="P229" s="11">
        <v>214.0</v>
      </c>
    </row>
    <row r="230">
      <c r="C230" s="276">
        <v>25.0</v>
      </c>
      <c r="J230" s="24">
        <v>5.0</v>
      </c>
      <c r="K230" s="24">
        <v>716.0</v>
      </c>
      <c r="M230" s="276">
        <v>88.0</v>
      </c>
      <c r="O230" s="277">
        <v>7223.0</v>
      </c>
      <c r="P230" s="11">
        <v>213.0</v>
      </c>
    </row>
    <row r="231">
      <c r="C231" s="276">
        <v>66.0</v>
      </c>
      <c r="J231" s="24">
        <v>5.0</v>
      </c>
      <c r="K231" s="24">
        <v>401.0</v>
      </c>
      <c r="M231" s="276">
        <v>86.0</v>
      </c>
      <c r="O231" s="277">
        <v>7224.0</v>
      </c>
      <c r="P231" s="11">
        <v>220.0</v>
      </c>
    </row>
    <row r="232">
      <c r="C232" s="276">
        <v>87.0</v>
      </c>
      <c r="J232" s="24">
        <v>6.0</v>
      </c>
      <c r="K232" s="24">
        <v>311.0</v>
      </c>
      <c r="M232" s="276">
        <v>37.0</v>
      </c>
      <c r="O232" s="3">
        <v>7225.0</v>
      </c>
      <c r="P232" s="11">
        <v>211.0</v>
      </c>
    </row>
    <row r="233">
      <c r="C233" s="276">
        <v>66.0</v>
      </c>
      <c r="J233" s="24">
        <v>5.0</v>
      </c>
      <c r="K233" s="24">
        <v>622.0</v>
      </c>
      <c r="M233" s="276">
        <v>91.0</v>
      </c>
      <c r="O233" s="277">
        <v>7226.0</v>
      </c>
      <c r="P233" s="11">
        <v>209.0</v>
      </c>
    </row>
    <row r="234">
      <c r="C234" s="276">
        <v>66.0</v>
      </c>
      <c r="J234" s="24">
        <v>1.0</v>
      </c>
      <c r="K234" s="24">
        <v>291.0</v>
      </c>
      <c r="M234" s="276">
        <v>93.0</v>
      </c>
      <c r="O234" s="277">
        <v>7227.0</v>
      </c>
      <c r="P234" s="11">
        <v>213.0</v>
      </c>
    </row>
    <row r="235">
      <c r="C235" s="276">
        <v>66.0</v>
      </c>
      <c r="J235" s="24">
        <v>8.0</v>
      </c>
      <c r="K235" s="24">
        <v>276.0</v>
      </c>
      <c r="M235" s="276">
        <v>94.0</v>
      </c>
      <c r="O235" s="277">
        <v>7228.0</v>
      </c>
      <c r="P235" s="11">
        <v>200.0</v>
      </c>
    </row>
    <row r="236">
      <c r="C236" s="276">
        <v>66.0</v>
      </c>
      <c r="J236" s="24">
        <v>5.0</v>
      </c>
      <c r="K236" s="24">
        <v>599.0</v>
      </c>
      <c r="M236" s="276">
        <v>96.0</v>
      </c>
      <c r="O236" s="277">
        <v>7229.0</v>
      </c>
      <c r="P236" s="11">
        <v>204.0</v>
      </c>
    </row>
    <row r="237">
      <c r="C237" s="276">
        <v>87.0</v>
      </c>
      <c r="J237" s="24">
        <v>5.0</v>
      </c>
      <c r="K237" s="24">
        <v>783.0</v>
      </c>
      <c r="M237" s="276">
        <v>45.0</v>
      </c>
      <c r="O237" s="3">
        <v>7230.0</v>
      </c>
      <c r="P237" s="11">
        <v>210.0</v>
      </c>
    </row>
    <row r="238">
      <c r="C238" s="276">
        <v>87.0</v>
      </c>
      <c r="J238" s="24">
        <v>9.0</v>
      </c>
      <c r="K238" s="24">
        <v>154.0</v>
      </c>
      <c r="M238" s="276">
        <v>48.0</v>
      </c>
      <c r="O238" s="277">
        <v>7231.0</v>
      </c>
      <c r="P238" s="11">
        <v>215.0</v>
      </c>
    </row>
    <row r="239">
      <c r="C239" s="276">
        <v>87.0</v>
      </c>
      <c r="J239" s="24">
        <v>9.0</v>
      </c>
      <c r="K239" s="24">
        <v>827.0</v>
      </c>
      <c r="M239" s="276">
        <v>49.0</v>
      </c>
      <c r="O239" s="277">
        <v>7232.0</v>
      </c>
      <c r="P239" s="11">
        <v>202.0</v>
      </c>
    </row>
    <row r="240">
      <c r="C240" s="276">
        <v>26.0</v>
      </c>
      <c r="J240" s="24">
        <v>2.0</v>
      </c>
      <c r="K240" s="24">
        <v>408.0</v>
      </c>
      <c r="M240" s="276">
        <v>8.0</v>
      </c>
      <c r="O240" s="277">
        <v>7233.0</v>
      </c>
      <c r="P240" s="11">
        <v>217.0</v>
      </c>
    </row>
    <row r="241">
      <c r="C241" s="276">
        <v>87.0</v>
      </c>
      <c r="J241" s="24">
        <v>6.0</v>
      </c>
      <c r="K241" s="24">
        <v>226.0</v>
      </c>
      <c r="M241" s="276">
        <v>52.0</v>
      </c>
      <c r="O241" s="277">
        <v>7234.0</v>
      </c>
      <c r="P241" s="11">
        <v>210.0</v>
      </c>
    </row>
    <row r="242">
      <c r="C242" s="276">
        <v>67.0</v>
      </c>
      <c r="J242" s="24">
        <v>7.0</v>
      </c>
      <c r="K242" s="24">
        <v>882.0</v>
      </c>
      <c r="M242" s="276">
        <v>4.0</v>
      </c>
      <c r="O242" s="3">
        <v>7235.0</v>
      </c>
      <c r="P242" s="11">
        <v>202.0</v>
      </c>
    </row>
    <row r="243">
      <c r="C243" s="276">
        <v>46.0</v>
      </c>
      <c r="J243" s="24">
        <v>9.0</v>
      </c>
      <c r="K243" s="24">
        <v>329.0</v>
      </c>
      <c r="M243" s="276">
        <v>60.0</v>
      </c>
      <c r="O243" s="277">
        <v>7236.0</v>
      </c>
      <c r="P243" s="11">
        <v>208.0</v>
      </c>
    </row>
    <row r="244">
      <c r="C244" s="276">
        <v>26.0</v>
      </c>
      <c r="J244" s="24">
        <v>5.0</v>
      </c>
      <c r="K244" s="24">
        <v>607.0</v>
      </c>
      <c r="M244" s="276">
        <v>12.0</v>
      </c>
      <c r="O244" s="277">
        <v>7237.0</v>
      </c>
      <c r="P244" s="11">
        <v>207.0</v>
      </c>
    </row>
    <row r="245">
      <c r="C245" s="276">
        <v>67.0</v>
      </c>
      <c r="J245" s="24">
        <v>7.0</v>
      </c>
      <c r="K245" s="24">
        <v>259.0</v>
      </c>
      <c r="M245" s="276">
        <v>14.0</v>
      </c>
      <c r="O245" s="277">
        <v>7238.0</v>
      </c>
      <c r="P245" s="11">
        <v>207.0</v>
      </c>
    </row>
    <row r="246">
      <c r="C246" s="276">
        <v>26.0</v>
      </c>
      <c r="J246" s="24">
        <v>6.0</v>
      </c>
      <c r="K246" s="24">
        <v>369.0</v>
      </c>
      <c r="M246" s="276">
        <v>21.0</v>
      </c>
      <c r="O246" s="277">
        <v>7239.0</v>
      </c>
      <c r="P246" s="11">
        <v>204.0</v>
      </c>
    </row>
    <row r="247">
      <c r="C247" s="276">
        <v>67.0</v>
      </c>
      <c r="J247" s="24">
        <v>3.0</v>
      </c>
      <c r="K247" s="24">
        <v>455.0</v>
      </c>
      <c r="M247" s="276">
        <v>18.0</v>
      </c>
      <c r="O247" s="3">
        <v>7240.0</v>
      </c>
      <c r="P247" s="11">
        <v>206.0</v>
      </c>
    </row>
    <row r="248">
      <c r="C248" s="276">
        <v>46.0</v>
      </c>
      <c r="J248" s="24">
        <v>7.0</v>
      </c>
      <c r="K248" s="24">
        <v>547.0</v>
      </c>
      <c r="M248" s="276">
        <v>70.0</v>
      </c>
      <c r="O248" s="277">
        <v>7241.0</v>
      </c>
      <c r="P248" s="11">
        <v>202.0</v>
      </c>
    </row>
    <row r="249">
      <c r="C249" s="276">
        <v>87.0</v>
      </c>
      <c r="J249" s="24">
        <v>4.0</v>
      </c>
      <c r="K249" s="24">
        <v>838.0</v>
      </c>
      <c r="M249" s="276">
        <v>67.0</v>
      </c>
      <c r="O249" s="277">
        <v>7242.0</v>
      </c>
      <c r="P249" s="11">
        <v>215.0</v>
      </c>
    </row>
    <row r="250">
      <c r="C250" s="276">
        <v>67.0</v>
      </c>
      <c r="J250" s="24">
        <v>8.0</v>
      </c>
      <c r="K250" s="24">
        <v>308.0</v>
      </c>
      <c r="M250" s="276">
        <v>21.0</v>
      </c>
      <c r="O250" s="277">
        <v>7243.0</v>
      </c>
      <c r="P250" s="11">
        <v>203.0</v>
      </c>
    </row>
    <row r="251">
      <c r="C251" s="276">
        <v>26.0</v>
      </c>
      <c r="J251" s="24">
        <v>6.0</v>
      </c>
      <c r="K251" s="24">
        <v>957.0</v>
      </c>
      <c r="M251" s="276">
        <v>24.0</v>
      </c>
      <c r="O251" s="277">
        <v>7244.0</v>
      </c>
      <c r="P251" s="11">
        <v>200.0</v>
      </c>
    </row>
    <row r="252">
      <c r="C252" s="276">
        <v>87.0</v>
      </c>
      <c r="J252" s="24">
        <v>3.0</v>
      </c>
      <c r="K252" s="24">
        <v>227.0</v>
      </c>
      <c r="M252" s="276">
        <v>69.0</v>
      </c>
      <c r="O252" s="3">
        <v>7245.0</v>
      </c>
      <c r="P252" s="11">
        <v>210.0</v>
      </c>
    </row>
    <row r="253">
      <c r="C253" s="276">
        <v>26.0</v>
      </c>
      <c r="J253" s="24">
        <v>2.0</v>
      </c>
      <c r="K253" s="24">
        <v>314.0</v>
      </c>
      <c r="M253" s="276">
        <v>28.0</v>
      </c>
      <c r="O253" s="277">
        <v>7246.0</v>
      </c>
      <c r="P253" s="11">
        <v>218.0</v>
      </c>
    </row>
    <row r="254">
      <c r="C254" s="276">
        <v>26.0</v>
      </c>
      <c r="J254" s="24">
        <v>5.0</v>
      </c>
      <c r="K254" s="24">
        <v>373.0</v>
      </c>
      <c r="M254" s="276">
        <v>29.0</v>
      </c>
      <c r="O254" s="277">
        <v>7247.0</v>
      </c>
      <c r="P254" s="11">
        <v>211.0</v>
      </c>
    </row>
    <row r="255">
      <c r="C255" s="276">
        <v>87.0</v>
      </c>
      <c r="J255" s="24">
        <v>4.0</v>
      </c>
      <c r="K255" s="24">
        <v>827.0</v>
      </c>
      <c r="M255" s="276">
        <v>75.0</v>
      </c>
      <c r="O255" s="277">
        <v>7248.0</v>
      </c>
      <c r="P255" s="11">
        <v>209.0</v>
      </c>
    </row>
    <row r="256">
      <c r="C256" s="276">
        <v>46.0</v>
      </c>
      <c r="J256" s="24">
        <v>2.0</v>
      </c>
      <c r="K256" s="24">
        <v>338.0</v>
      </c>
      <c r="M256" s="276">
        <v>80.0</v>
      </c>
      <c r="O256" s="277">
        <v>7249.0</v>
      </c>
      <c r="P256" s="11">
        <v>219.0</v>
      </c>
    </row>
    <row r="257">
      <c r="C257" s="276">
        <v>26.0</v>
      </c>
      <c r="J257" s="24">
        <v>2.0</v>
      </c>
      <c r="K257" s="24">
        <v>505.0</v>
      </c>
      <c r="M257" s="276">
        <v>34.0</v>
      </c>
      <c r="O257" s="3">
        <v>7250.0</v>
      </c>
      <c r="P257" s="11">
        <v>203.0</v>
      </c>
    </row>
    <row r="258">
      <c r="C258" s="276">
        <v>67.0</v>
      </c>
      <c r="J258" s="24">
        <v>3.0</v>
      </c>
      <c r="K258" s="24">
        <v>878.0</v>
      </c>
      <c r="M258" s="276">
        <v>36.0</v>
      </c>
      <c r="O258" s="277">
        <v>7251.0</v>
      </c>
      <c r="P258" s="11">
        <v>214.0</v>
      </c>
    </row>
    <row r="259">
      <c r="C259" s="276">
        <v>87.0</v>
      </c>
      <c r="J259" s="24">
        <v>5.0</v>
      </c>
      <c r="K259" s="24">
        <v>701.0</v>
      </c>
      <c r="M259" s="276">
        <v>88.0</v>
      </c>
      <c r="O259" s="277">
        <v>7252.0</v>
      </c>
      <c r="P259" s="11">
        <v>208.0</v>
      </c>
    </row>
    <row r="260">
      <c r="C260" s="276">
        <v>26.0</v>
      </c>
      <c r="J260" s="24">
        <v>8.0</v>
      </c>
      <c r="K260" s="24">
        <v>459.0</v>
      </c>
      <c r="M260" s="276">
        <v>45.0</v>
      </c>
      <c r="O260" s="277">
        <v>7253.0</v>
      </c>
      <c r="P260" s="11">
        <v>211.0</v>
      </c>
    </row>
    <row r="261">
      <c r="C261" s="276">
        <v>26.0</v>
      </c>
      <c r="J261" s="24">
        <v>3.0</v>
      </c>
      <c r="K261" s="24">
        <v>455.0</v>
      </c>
      <c r="M261" s="276">
        <v>54.0</v>
      </c>
      <c r="O261" s="277">
        <v>7254.0</v>
      </c>
      <c r="P261" s="11">
        <v>216.0</v>
      </c>
    </row>
    <row r="262">
      <c r="C262" s="276">
        <v>87.0</v>
      </c>
      <c r="J262" s="24">
        <v>6.0</v>
      </c>
      <c r="K262" s="24">
        <v>119.0</v>
      </c>
      <c r="M262" s="276">
        <v>99.0</v>
      </c>
      <c r="O262" s="3">
        <v>7255.0</v>
      </c>
      <c r="P262" s="11">
        <v>218.0</v>
      </c>
    </row>
    <row r="263">
      <c r="C263" s="276">
        <v>47.0</v>
      </c>
      <c r="J263" s="24">
        <v>8.0</v>
      </c>
      <c r="K263" s="24">
        <v>209.0</v>
      </c>
      <c r="M263" s="276">
        <v>2.0</v>
      </c>
      <c r="O263" s="277">
        <v>7256.0</v>
      </c>
      <c r="P263" s="11">
        <v>209.0</v>
      </c>
    </row>
    <row r="264">
      <c r="C264" s="276">
        <v>67.0</v>
      </c>
      <c r="J264" s="24">
        <v>2.0</v>
      </c>
      <c r="K264" s="24">
        <v>988.0</v>
      </c>
      <c r="M264" s="276">
        <v>50.0</v>
      </c>
      <c r="O264" s="277">
        <v>7257.0</v>
      </c>
      <c r="P264" s="11">
        <v>208.0</v>
      </c>
    </row>
    <row r="265">
      <c r="C265" s="276">
        <v>26.0</v>
      </c>
      <c r="J265" s="24">
        <v>6.0</v>
      </c>
      <c r="K265" s="24">
        <v>557.0</v>
      </c>
      <c r="M265" s="276">
        <v>60.0</v>
      </c>
      <c r="O265" s="277">
        <v>7258.0</v>
      </c>
      <c r="P265" s="11">
        <v>213.0</v>
      </c>
    </row>
    <row r="266">
      <c r="C266" s="276">
        <v>47.0</v>
      </c>
      <c r="J266" s="24">
        <v>1.0</v>
      </c>
      <c r="K266" s="24">
        <v>855.0</v>
      </c>
      <c r="M266" s="276">
        <v>11.0</v>
      </c>
      <c r="O266" s="277">
        <v>7259.0</v>
      </c>
      <c r="P266" s="11">
        <v>205.0</v>
      </c>
    </row>
    <row r="267">
      <c r="C267" s="276">
        <v>67.0</v>
      </c>
      <c r="J267" s="24">
        <v>1.0</v>
      </c>
      <c r="K267" s="24">
        <v>676.0</v>
      </c>
      <c r="M267" s="276">
        <v>62.0</v>
      </c>
      <c r="O267" s="3">
        <v>7260.0</v>
      </c>
      <c r="P267" s="11">
        <v>216.0</v>
      </c>
    </row>
    <row r="268">
      <c r="C268" s="276">
        <v>47.0</v>
      </c>
      <c r="J268" s="24">
        <v>7.0</v>
      </c>
      <c r="K268" s="24">
        <v>113.0</v>
      </c>
      <c r="M268" s="276">
        <v>14.0</v>
      </c>
      <c r="O268" s="277">
        <v>7261.0</v>
      </c>
      <c r="P268" s="11">
        <v>219.0</v>
      </c>
    </row>
    <row r="269">
      <c r="C269" s="276">
        <v>67.0</v>
      </c>
      <c r="J269" s="24">
        <v>2.0</v>
      </c>
      <c r="K269" s="24">
        <v>279.0</v>
      </c>
      <c r="M269" s="276">
        <v>64.0</v>
      </c>
      <c r="O269" s="277">
        <v>7262.0</v>
      </c>
      <c r="P269" s="11">
        <v>203.0</v>
      </c>
    </row>
    <row r="270">
      <c r="C270" s="276">
        <v>88.0</v>
      </c>
      <c r="J270" s="24">
        <v>7.0</v>
      </c>
      <c r="K270" s="24">
        <v>609.0</v>
      </c>
      <c r="M270" s="276">
        <v>21.0</v>
      </c>
      <c r="O270" s="277">
        <v>7263.0</v>
      </c>
      <c r="P270" s="11">
        <v>218.0</v>
      </c>
    </row>
    <row r="271">
      <c r="C271" s="276">
        <v>67.0</v>
      </c>
      <c r="J271" s="24">
        <v>2.0</v>
      </c>
      <c r="K271" s="24">
        <v>235.0</v>
      </c>
      <c r="M271" s="276">
        <v>80.0</v>
      </c>
      <c r="O271" s="277">
        <v>7264.0</v>
      </c>
      <c r="P271" s="11">
        <v>211.0</v>
      </c>
    </row>
    <row r="272">
      <c r="C272" s="276">
        <v>67.0</v>
      </c>
      <c r="J272" s="24">
        <v>7.0</v>
      </c>
      <c r="K272" s="24">
        <v>960.0</v>
      </c>
      <c r="M272" s="276">
        <v>81.0</v>
      </c>
      <c r="O272" s="3">
        <v>7265.0</v>
      </c>
      <c r="P272" s="11">
        <v>210.0</v>
      </c>
    </row>
    <row r="273">
      <c r="C273" s="276">
        <v>88.0</v>
      </c>
      <c r="J273" s="24">
        <v>2.0</v>
      </c>
      <c r="K273" s="24">
        <v>138.0</v>
      </c>
      <c r="M273" s="276">
        <v>33.0</v>
      </c>
      <c r="O273" s="277">
        <v>7266.0</v>
      </c>
      <c r="P273" s="11">
        <v>206.0</v>
      </c>
    </row>
    <row r="274">
      <c r="C274" s="276">
        <v>88.0</v>
      </c>
      <c r="J274" s="24">
        <v>4.0</v>
      </c>
      <c r="K274" s="24">
        <v>302.0</v>
      </c>
      <c r="M274" s="276">
        <v>36.0</v>
      </c>
      <c r="O274" s="277">
        <v>7267.0</v>
      </c>
      <c r="P274" s="11">
        <v>202.0</v>
      </c>
    </row>
    <row r="275">
      <c r="C275" s="276">
        <v>88.0</v>
      </c>
      <c r="J275" s="24">
        <v>9.0</v>
      </c>
      <c r="K275" s="24">
        <v>458.0</v>
      </c>
      <c r="M275" s="276">
        <v>40.0</v>
      </c>
      <c r="O275" s="277">
        <v>7268.0</v>
      </c>
      <c r="P275" s="11">
        <v>201.0</v>
      </c>
    </row>
    <row r="276">
      <c r="C276" s="276">
        <v>26.0</v>
      </c>
      <c r="J276" s="24">
        <v>1.0</v>
      </c>
      <c r="K276" s="24">
        <v>209.0</v>
      </c>
      <c r="M276" s="276">
        <v>99.0</v>
      </c>
      <c r="O276" s="277">
        <v>7269.0</v>
      </c>
      <c r="P276" s="11">
        <v>212.0</v>
      </c>
    </row>
    <row r="277">
      <c r="C277" s="276">
        <v>27.0</v>
      </c>
      <c r="J277" s="24">
        <v>4.0</v>
      </c>
      <c r="K277" s="24">
        <v>836.0</v>
      </c>
      <c r="M277" s="276">
        <v>4.0</v>
      </c>
      <c r="O277" s="3">
        <v>7270.0</v>
      </c>
      <c r="P277" s="11">
        <v>213.0</v>
      </c>
    </row>
    <row r="278">
      <c r="C278" s="276">
        <v>47.0</v>
      </c>
      <c r="J278" s="24">
        <v>8.0</v>
      </c>
      <c r="K278" s="24">
        <v>861.0</v>
      </c>
      <c r="M278" s="276">
        <v>53.0</v>
      </c>
      <c r="O278" s="277">
        <v>7271.0</v>
      </c>
      <c r="P278" s="11">
        <v>219.0</v>
      </c>
    </row>
    <row r="279">
      <c r="C279" s="276">
        <v>88.0</v>
      </c>
      <c r="J279" s="24">
        <v>1.0</v>
      </c>
      <c r="K279" s="24">
        <v>803.0</v>
      </c>
      <c r="M279" s="276">
        <v>48.0</v>
      </c>
      <c r="O279" s="277">
        <v>7272.0</v>
      </c>
      <c r="P279" s="11">
        <v>219.0</v>
      </c>
    </row>
    <row r="280">
      <c r="C280" s="276">
        <v>27.0</v>
      </c>
      <c r="J280" s="24">
        <v>7.0</v>
      </c>
      <c r="K280" s="24">
        <v>752.0</v>
      </c>
      <c r="M280" s="276">
        <v>7.0</v>
      </c>
      <c r="O280" s="277">
        <v>7273.0</v>
      </c>
      <c r="P280" s="11">
        <v>201.0</v>
      </c>
    </row>
    <row r="281">
      <c r="C281" s="276">
        <v>68.0</v>
      </c>
      <c r="J281" s="24">
        <v>4.0</v>
      </c>
      <c r="K281" s="24">
        <v>506.0</v>
      </c>
      <c r="M281" s="276">
        <v>1.0</v>
      </c>
      <c r="O281" s="277">
        <v>7274.0</v>
      </c>
      <c r="P281" s="11">
        <v>201.0</v>
      </c>
    </row>
    <row r="282">
      <c r="C282" s="276">
        <v>27.0</v>
      </c>
      <c r="J282" s="24">
        <v>1.0</v>
      </c>
      <c r="K282" s="24">
        <v>169.0</v>
      </c>
      <c r="M282" s="276">
        <v>15.0</v>
      </c>
      <c r="O282" s="3">
        <v>7275.0</v>
      </c>
      <c r="P282" s="11">
        <v>203.0</v>
      </c>
    </row>
    <row r="283">
      <c r="C283" s="276">
        <v>88.0</v>
      </c>
      <c r="J283" s="24">
        <v>9.0</v>
      </c>
      <c r="K283" s="24">
        <v>229.0</v>
      </c>
      <c r="M283" s="276">
        <v>59.0</v>
      </c>
      <c r="O283" s="277">
        <v>7276.0</v>
      </c>
      <c r="P283" s="11">
        <v>214.0</v>
      </c>
    </row>
    <row r="284">
      <c r="C284" s="276">
        <v>47.0</v>
      </c>
      <c r="J284" s="24">
        <v>3.0</v>
      </c>
      <c r="K284" s="24">
        <v>731.0</v>
      </c>
      <c r="M284" s="276">
        <v>65.0</v>
      </c>
      <c r="O284" s="277">
        <v>7277.0</v>
      </c>
      <c r="P284" s="11">
        <v>202.0</v>
      </c>
    </row>
    <row r="285">
      <c r="C285" s="276">
        <v>68.0</v>
      </c>
      <c r="J285" s="24">
        <v>7.0</v>
      </c>
      <c r="K285" s="24">
        <v>404.0</v>
      </c>
      <c r="M285" s="276">
        <v>18.0</v>
      </c>
      <c r="O285" s="277">
        <v>7278.0</v>
      </c>
      <c r="P285" s="11">
        <v>200.0</v>
      </c>
    </row>
    <row r="286">
      <c r="C286" s="276">
        <v>88.0</v>
      </c>
      <c r="J286" s="24">
        <v>7.0</v>
      </c>
      <c r="K286" s="24">
        <v>434.0</v>
      </c>
      <c r="M286" s="276">
        <v>77.0</v>
      </c>
      <c r="O286" s="277">
        <v>7279.0</v>
      </c>
      <c r="P286" s="11">
        <v>205.0</v>
      </c>
    </row>
    <row r="287">
      <c r="C287" s="276">
        <v>68.0</v>
      </c>
      <c r="J287" s="24">
        <v>9.0</v>
      </c>
      <c r="K287" s="24">
        <v>108.0</v>
      </c>
      <c r="M287" s="276">
        <v>29.0</v>
      </c>
      <c r="O287" s="3">
        <v>7280.0</v>
      </c>
      <c r="P287" s="11">
        <v>214.0</v>
      </c>
    </row>
    <row r="288">
      <c r="C288" s="276">
        <v>27.0</v>
      </c>
      <c r="J288" s="24">
        <v>4.0</v>
      </c>
      <c r="K288" s="24">
        <v>919.0</v>
      </c>
      <c r="M288" s="276">
        <v>38.0</v>
      </c>
      <c r="O288" s="277">
        <v>7281.0</v>
      </c>
      <c r="P288" s="11">
        <v>209.0</v>
      </c>
    </row>
    <row r="289">
      <c r="C289" s="276">
        <v>68.0</v>
      </c>
      <c r="J289" s="24">
        <v>7.0</v>
      </c>
      <c r="K289" s="24">
        <v>971.0</v>
      </c>
      <c r="M289" s="276">
        <v>36.0</v>
      </c>
      <c r="O289" s="277">
        <v>7282.0</v>
      </c>
      <c r="P289" s="11">
        <v>219.0</v>
      </c>
    </row>
    <row r="290">
      <c r="C290" s="276">
        <v>88.0</v>
      </c>
      <c r="J290" s="24">
        <v>7.0</v>
      </c>
      <c r="K290" s="24">
        <v>929.0</v>
      </c>
      <c r="M290" s="276">
        <v>84.0</v>
      </c>
      <c r="O290" s="277">
        <v>7283.0</v>
      </c>
      <c r="P290" s="11">
        <v>219.0</v>
      </c>
    </row>
    <row r="291">
      <c r="C291" s="276">
        <v>88.0</v>
      </c>
      <c r="J291" s="24">
        <v>5.0</v>
      </c>
      <c r="K291" s="24">
        <v>503.0</v>
      </c>
      <c r="M291" s="276">
        <v>87.0</v>
      </c>
      <c r="O291" s="277">
        <v>7284.0</v>
      </c>
      <c r="P291" s="11">
        <v>200.0</v>
      </c>
    </row>
    <row r="292">
      <c r="C292" s="276">
        <v>68.0</v>
      </c>
      <c r="J292" s="24">
        <v>3.0</v>
      </c>
      <c r="K292" s="24">
        <v>654.0</v>
      </c>
      <c r="M292" s="276">
        <v>44.0</v>
      </c>
      <c r="O292" s="3">
        <v>7285.0</v>
      </c>
      <c r="P292" s="11">
        <v>217.0</v>
      </c>
    </row>
    <row r="293">
      <c r="C293" s="276">
        <v>47.0</v>
      </c>
      <c r="J293" s="24">
        <v>8.0</v>
      </c>
      <c r="K293" s="24">
        <v>779.0</v>
      </c>
      <c r="M293" s="276">
        <v>96.0</v>
      </c>
      <c r="O293" s="277">
        <v>7286.0</v>
      </c>
      <c r="P293" s="11">
        <v>219.0</v>
      </c>
    </row>
    <row r="294">
      <c r="C294" s="276">
        <v>48.0</v>
      </c>
      <c r="J294" s="24">
        <v>4.0</v>
      </c>
      <c r="K294" s="24">
        <v>715.0</v>
      </c>
      <c r="M294" s="276">
        <v>2.0</v>
      </c>
      <c r="O294" s="277">
        <v>7287.0</v>
      </c>
      <c r="P294" s="11">
        <v>216.0</v>
      </c>
    </row>
    <row r="295">
      <c r="C295" s="276">
        <v>27.0</v>
      </c>
      <c r="J295" s="24">
        <v>6.0</v>
      </c>
      <c r="K295" s="24">
        <v>923.0</v>
      </c>
      <c r="M295" s="276">
        <v>54.0</v>
      </c>
      <c r="O295" s="277">
        <v>7288.0</v>
      </c>
      <c r="P295" s="11">
        <v>201.0</v>
      </c>
    </row>
    <row r="296">
      <c r="C296" s="276">
        <v>68.0</v>
      </c>
      <c r="J296" s="24">
        <v>5.0</v>
      </c>
      <c r="K296" s="24">
        <v>102.0</v>
      </c>
      <c r="M296" s="276">
        <v>50.0</v>
      </c>
      <c r="O296" s="277">
        <v>7289.0</v>
      </c>
      <c r="P296" s="11">
        <v>204.0</v>
      </c>
    </row>
    <row r="297">
      <c r="C297" s="276">
        <v>27.0</v>
      </c>
      <c r="J297" s="24">
        <v>2.0</v>
      </c>
      <c r="K297" s="24">
        <v>574.0</v>
      </c>
      <c r="M297" s="276">
        <v>56.0</v>
      </c>
      <c r="O297" s="3">
        <v>7290.0</v>
      </c>
      <c r="P297" s="11">
        <v>205.0</v>
      </c>
    </row>
    <row r="298">
      <c r="C298" s="276">
        <v>27.0</v>
      </c>
      <c r="J298" s="24">
        <v>8.0</v>
      </c>
      <c r="K298" s="24">
        <v>434.0</v>
      </c>
      <c r="M298" s="276">
        <v>58.0</v>
      </c>
      <c r="O298" s="277">
        <v>7291.0</v>
      </c>
      <c r="P298" s="11">
        <v>219.0</v>
      </c>
    </row>
    <row r="299">
      <c r="C299" s="276">
        <v>68.0</v>
      </c>
      <c r="J299" s="24">
        <v>1.0</v>
      </c>
      <c r="K299" s="24">
        <v>149.0</v>
      </c>
      <c r="M299" s="276">
        <v>58.0</v>
      </c>
      <c r="O299" s="277">
        <v>7292.0</v>
      </c>
      <c r="P299" s="11">
        <v>200.0</v>
      </c>
    </row>
    <row r="300">
      <c r="C300" s="276">
        <v>48.0</v>
      </c>
      <c r="J300" s="24">
        <v>9.0</v>
      </c>
      <c r="K300" s="24">
        <v>593.0</v>
      </c>
      <c r="M300" s="276">
        <v>12.0</v>
      </c>
      <c r="O300" s="277">
        <v>7293.0</v>
      </c>
      <c r="P300" s="11">
        <v>204.0</v>
      </c>
    </row>
    <row r="301">
      <c r="C301" s="276">
        <v>27.0</v>
      </c>
      <c r="J301" s="24">
        <v>7.0</v>
      </c>
      <c r="K301" s="24">
        <v>306.0</v>
      </c>
      <c r="M301" s="276">
        <v>65.0</v>
      </c>
      <c r="O301" s="277">
        <v>7294.0</v>
      </c>
      <c r="P301" s="11">
        <v>214.0</v>
      </c>
    </row>
    <row r="302">
      <c r="C302" s="276">
        <v>48.0</v>
      </c>
      <c r="J302" s="24">
        <v>5.0</v>
      </c>
      <c r="K302" s="24">
        <v>793.0</v>
      </c>
      <c r="M302" s="276">
        <v>14.0</v>
      </c>
      <c r="O302" s="3">
        <v>7295.0</v>
      </c>
      <c r="P302" s="11">
        <v>212.0</v>
      </c>
    </row>
    <row r="303">
      <c r="C303" s="276">
        <v>48.0</v>
      </c>
      <c r="J303" s="24">
        <v>2.0</v>
      </c>
      <c r="K303" s="24">
        <v>185.0</v>
      </c>
      <c r="M303" s="276">
        <v>15.0</v>
      </c>
      <c r="O303" s="277">
        <v>7296.0</v>
      </c>
      <c r="P303" s="11">
        <v>219.0</v>
      </c>
    </row>
    <row r="304">
      <c r="C304" s="276">
        <v>68.0</v>
      </c>
      <c r="J304" s="24">
        <v>9.0</v>
      </c>
      <c r="K304" s="24">
        <v>677.0</v>
      </c>
      <c r="M304" s="276">
        <v>64.0</v>
      </c>
      <c r="O304" s="277">
        <v>7297.0</v>
      </c>
      <c r="P304" s="11">
        <v>202.0</v>
      </c>
    </row>
    <row r="305">
      <c r="C305" s="276">
        <v>27.0</v>
      </c>
      <c r="J305" s="24">
        <v>3.0</v>
      </c>
      <c r="K305" s="24">
        <v>115.0</v>
      </c>
      <c r="M305" s="276">
        <v>64.0</v>
      </c>
      <c r="O305" s="277">
        <v>7298.0</v>
      </c>
      <c r="P305" s="11">
        <v>207.0</v>
      </c>
    </row>
    <row r="306">
      <c r="C306" s="276">
        <v>89.0</v>
      </c>
      <c r="J306" s="24">
        <v>2.0</v>
      </c>
      <c r="K306" s="24">
        <v>862.0</v>
      </c>
      <c r="M306" s="276">
        <v>11.0</v>
      </c>
      <c r="O306" s="277">
        <v>7299.0</v>
      </c>
      <c r="P306" s="11">
        <v>208.0</v>
      </c>
    </row>
    <row r="307">
      <c r="C307" s="276">
        <v>89.0</v>
      </c>
      <c r="J307" s="24">
        <v>3.0</v>
      </c>
      <c r="K307" s="24">
        <v>330.0</v>
      </c>
      <c r="M307" s="276">
        <v>15.0</v>
      </c>
      <c r="O307" s="3">
        <v>7300.0</v>
      </c>
      <c r="P307" s="11">
        <v>209.0</v>
      </c>
    </row>
    <row r="308">
      <c r="C308" s="276">
        <v>68.0</v>
      </c>
      <c r="J308" s="24">
        <v>5.0</v>
      </c>
      <c r="K308" s="24">
        <v>739.0</v>
      </c>
      <c r="M308" s="276">
        <v>67.0</v>
      </c>
      <c r="O308" s="277">
        <v>7301.0</v>
      </c>
      <c r="P308" s="11">
        <v>216.0</v>
      </c>
    </row>
    <row r="309">
      <c r="C309" s="276">
        <v>27.0</v>
      </c>
      <c r="J309" s="24">
        <v>7.0</v>
      </c>
      <c r="K309" s="24">
        <v>806.0</v>
      </c>
      <c r="M309" s="276">
        <v>75.0</v>
      </c>
      <c r="O309" s="277">
        <v>7302.0</v>
      </c>
      <c r="P309" s="11">
        <v>206.0</v>
      </c>
    </row>
    <row r="310">
      <c r="C310" s="276">
        <v>27.0</v>
      </c>
      <c r="J310" s="24">
        <v>6.0</v>
      </c>
      <c r="K310" s="24">
        <v>693.0</v>
      </c>
      <c r="M310" s="276">
        <v>77.0</v>
      </c>
      <c r="O310" s="277">
        <v>7303.0</v>
      </c>
      <c r="P310" s="11">
        <v>214.0</v>
      </c>
    </row>
    <row r="311">
      <c r="C311" s="276">
        <v>89.0</v>
      </c>
      <c r="J311" s="24">
        <v>2.0</v>
      </c>
      <c r="K311" s="24">
        <v>182.0</v>
      </c>
      <c r="M311" s="276">
        <v>23.0</v>
      </c>
      <c r="O311" s="277">
        <v>7304.0</v>
      </c>
      <c r="P311" s="11">
        <v>212.0</v>
      </c>
    </row>
    <row r="312">
      <c r="C312" s="276">
        <v>89.0</v>
      </c>
      <c r="J312" s="24">
        <v>5.0</v>
      </c>
      <c r="K312" s="24">
        <v>178.0</v>
      </c>
      <c r="M312" s="276">
        <v>26.0</v>
      </c>
      <c r="O312" s="3">
        <v>7305.0</v>
      </c>
      <c r="P312" s="11">
        <v>216.0</v>
      </c>
    </row>
    <row r="313">
      <c r="C313" s="276">
        <v>68.0</v>
      </c>
      <c r="J313" s="24">
        <v>7.0</v>
      </c>
      <c r="K313" s="24">
        <v>493.0</v>
      </c>
      <c r="M313" s="276">
        <v>78.0</v>
      </c>
      <c r="O313" s="277">
        <v>7306.0</v>
      </c>
      <c r="P313" s="11">
        <v>200.0</v>
      </c>
    </row>
    <row r="314">
      <c r="C314" s="276">
        <v>89.0</v>
      </c>
      <c r="J314" s="24">
        <v>3.0</v>
      </c>
      <c r="K314" s="24">
        <v>895.0</v>
      </c>
      <c r="M314" s="276">
        <v>33.0</v>
      </c>
      <c r="O314" s="277">
        <v>7307.0</v>
      </c>
      <c r="P314" s="11">
        <v>216.0</v>
      </c>
    </row>
    <row r="315">
      <c r="C315" s="276">
        <v>89.0</v>
      </c>
      <c r="J315" s="24">
        <v>2.0</v>
      </c>
      <c r="K315" s="24">
        <v>490.0</v>
      </c>
      <c r="M315" s="276">
        <v>34.0</v>
      </c>
      <c r="O315" s="277">
        <v>7308.0</v>
      </c>
      <c r="P315" s="11">
        <v>208.0</v>
      </c>
    </row>
    <row r="316">
      <c r="C316" s="276">
        <v>68.0</v>
      </c>
      <c r="J316" s="24">
        <v>6.0</v>
      </c>
      <c r="K316" s="24">
        <v>273.0</v>
      </c>
      <c r="M316" s="276">
        <v>87.0</v>
      </c>
      <c r="O316" s="277">
        <v>7309.0</v>
      </c>
      <c r="P316" s="11">
        <v>219.0</v>
      </c>
    </row>
    <row r="317">
      <c r="C317" s="276">
        <v>27.0</v>
      </c>
      <c r="J317" s="24">
        <v>1.0</v>
      </c>
      <c r="K317" s="24">
        <v>809.0</v>
      </c>
      <c r="M317" s="276">
        <v>93.0</v>
      </c>
      <c r="O317" s="3">
        <v>7310.0</v>
      </c>
      <c r="P317" s="11">
        <v>218.0</v>
      </c>
    </row>
    <row r="318">
      <c r="C318" s="276">
        <v>89.0</v>
      </c>
      <c r="J318" s="24">
        <v>4.0</v>
      </c>
      <c r="K318" s="24">
        <v>344.0</v>
      </c>
      <c r="M318" s="276">
        <v>38.0</v>
      </c>
      <c r="O318" s="277">
        <v>7311.0</v>
      </c>
      <c r="P318" s="11">
        <v>213.0</v>
      </c>
    </row>
    <row r="319">
      <c r="C319" s="276">
        <v>89.0</v>
      </c>
      <c r="J319" s="24">
        <v>8.0</v>
      </c>
      <c r="K319" s="24">
        <v>303.0</v>
      </c>
      <c r="M319" s="276">
        <v>37.0</v>
      </c>
      <c r="O319" s="277">
        <v>7312.0</v>
      </c>
      <c r="P319" s="11">
        <v>218.0</v>
      </c>
    </row>
    <row r="320">
      <c r="C320" s="276">
        <v>48.0</v>
      </c>
      <c r="J320" s="24">
        <v>9.0</v>
      </c>
      <c r="K320" s="24">
        <v>663.0</v>
      </c>
      <c r="M320" s="276">
        <v>41.0</v>
      </c>
      <c r="O320" s="277">
        <v>7313.0</v>
      </c>
      <c r="P320" s="11">
        <v>220.0</v>
      </c>
    </row>
    <row r="321">
      <c r="C321" s="276">
        <v>69.0</v>
      </c>
      <c r="J321" s="24">
        <v>9.0</v>
      </c>
      <c r="K321" s="24">
        <v>716.0</v>
      </c>
      <c r="M321" s="276">
        <v>7.0</v>
      </c>
      <c r="O321" s="277">
        <v>7314.0</v>
      </c>
      <c r="P321" s="11">
        <v>206.0</v>
      </c>
    </row>
    <row r="322">
      <c r="C322" s="276">
        <v>69.0</v>
      </c>
      <c r="J322" s="24">
        <v>2.0</v>
      </c>
      <c r="K322" s="24">
        <v>310.0</v>
      </c>
      <c r="M322" s="276">
        <v>13.0</v>
      </c>
      <c r="O322" s="3">
        <v>7315.0</v>
      </c>
      <c r="P322" s="11">
        <v>217.0</v>
      </c>
    </row>
    <row r="323">
      <c r="C323" s="276">
        <v>48.0</v>
      </c>
      <c r="J323" s="24">
        <v>7.0</v>
      </c>
      <c r="K323" s="24">
        <v>477.0</v>
      </c>
      <c r="M323" s="276">
        <v>65.0</v>
      </c>
      <c r="O323" s="277">
        <v>7316.0</v>
      </c>
      <c r="P323" s="11">
        <v>202.0</v>
      </c>
    </row>
    <row r="324">
      <c r="C324" s="276">
        <v>28.0</v>
      </c>
      <c r="J324" s="24">
        <v>1.0</v>
      </c>
      <c r="K324" s="24">
        <v>661.0</v>
      </c>
      <c r="M324" s="276">
        <v>28.0</v>
      </c>
      <c r="O324" s="277">
        <v>7317.0</v>
      </c>
      <c r="P324" s="11">
        <v>216.0</v>
      </c>
    </row>
    <row r="325">
      <c r="C325" s="276">
        <v>28.0</v>
      </c>
      <c r="J325" s="24">
        <v>8.0</v>
      </c>
      <c r="K325" s="24">
        <v>681.0</v>
      </c>
      <c r="M325" s="276">
        <v>33.0</v>
      </c>
      <c r="O325" s="277">
        <v>7318.0</v>
      </c>
      <c r="P325" s="11">
        <v>200.0</v>
      </c>
    </row>
    <row r="326">
      <c r="C326" s="276">
        <v>48.0</v>
      </c>
      <c r="J326" s="24">
        <v>4.0</v>
      </c>
      <c r="K326" s="24">
        <v>959.0</v>
      </c>
      <c r="M326" s="276">
        <v>83.0</v>
      </c>
      <c r="O326" s="277">
        <v>7319.0</v>
      </c>
      <c r="P326" s="11">
        <v>209.0</v>
      </c>
    </row>
    <row r="327">
      <c r="C327" s="276">
        <v>89.0</v>
      </c>
      <c r="J327" s="24">
        <v>4.0</v>
      </c>
      <c r="K327" s="24">
        <v>605.0</v>
      </c>
      <c r="M327" s="276">
        <v>80.0</v>
      </c>
      <c r="O327" s="3">
        <v>7320.0</v>
      </c>
      <c r="P327" s="11">
        <v>216.0</v>
      </c>
    </row>
    <row r="328">
      <c r="C328" s="276">
        <v>89.0</v>
      </c>
      <c r="J328" s="24">
        <v>2.0</v>
      </c>
      <c r="K328" s="24">
        <v>398.0</v>
      </c>
      <c r="M328" s="276">
        <v>81.0</v>
      </c>
      <c r="O328" s="277">
        <v>7321.0</v>
      </c>
      <c r="P328" s="11">
        <v>219.0</v>
      </c>
    </row>
    <row r="329">
      <c r="C329" s="276">
        <v>48.0</v>
      </c>
      <c r="J329" s="24">
        <v>5.0</v>
      </c>
      <c r="K329" s="24">
        <v>452.0</v>
      </c>
      <c r="M329" s="276">
        <v>86.0</v>
      </c>
      <c r="O329" s="277">
        <v>7322.0</v>
      </c>
      <c r="P329" s="11">
        <v>204.0</v>
      </c>
    </row>
    <row r="330">
      <c r="C330" s="276">
        <v>89.0</v>
      </c>
      <c r="J330" s="24">
        <v>5.0</v>
      </c>
      <c r="K330" s="24">
        <v>895.0</v>
      </c>
      <c r="M330" s="276">
        <v>90.0</v>
      </c>
      <c r="O330" s="277">
        <v>7323.0</v>
      </c>
      <c r="P330" s="11">
        <v>204.0</v>
      </c>
    </row>
    <row r="331">
      <c r="C331" s="276">
        <v>28.0</v>
      </c>
      <c r="J331" s="24">
        <v>4.0</v>
      </c>
      <c r="K331" s="24">
        <v>510.0</v>
      </c>
      <c r="M331" s="276">
        <v>50.0</v>
      </c>
      <c r="O331" s="277">
        <v>7324.0</v>
      </c>
      <c r="P331" s="11">
        <v>210.0</v>
      </c>
    </row>
    <row r="332">
      <c r="C332" s="276">
        <v>69.0</v>
      </c>
      <c r="J332" s="24">
        <v>2.0</v>
      </c>
      <c r="K332" s="24">
        <v>815.0</v>
      </c>
      <c r="M332" s="276">
        <v>47.0</v>
      </c>
      <c r="O332" s="3">
        <v>7325.0</v>
      </c>
      <c r="P332" s="11">
        <v>203.0</v>
      </c>
    </row>
    <row r="333">
      <c r="C333" s="276">
        <v>48.0</v>
      </c>
      <c r="J333" s="24">
        <v>1.0</v>
      </c>
      <c r="K333" s="24">
        <v>897.0</v>
      </c>
      <c r="M333" s="276">
        <v>99.0</v>
      </c>
      <c r="O333" s="277">
        <v>7326.0</v>
      </c>
      <c r="P333" s="11">
        <v>206.0</v>
      </c>
    </row>
    <row r="334">
      <c r="C334" s="276">
        <v>49.0</v>
      </c>
      <c r="J334" s="24">
        <v>2.0</v>
      </c>
      <c r="K334" s="24">
        <v>724.0</v>
      </c>
      <c r="M334" s="276">
        <v>1.0</v>
      </c>
      <c r="O334" s="277">
        <v>7327.0</v>
      </c>
      <c r="P334" s="11">
        <v>216.0</v>
      </c>
    </row>
    <row r="335">
      <c r="C335" s="276">
        <v>69.0</v>
      </c>
      <c r="J335" s="24">
        <v>5.0</v>
      </c>
      <c r="K335" s="24">
        <v>638.0</v>
      </c>
      <c r="M335" s="276">
        <v>52.0</v>
      </c>
      <c r="O335" s="277">
        <v>7328.0</v>
      </c>
      <c r="P335" s="11">
        <v>213.0</v>
      </c>
    </row>
    <row r="336">
      <c r="C336" s="276">
        <v>28.0</v>
      </c>
      <c r="J336" s="24">
        <v>3.0</v>
      </c>
      <c r="K336" s="24">
        <v>220.0</v>
      </c>
      <c r="M336" s="276">
        <v>57.0</v>
      </c>
      <c r="O336" s="277">
        <v>7329.0</v>
      </c>
      <c r="P336" s="11">
        <v>200.0</v>
      </c>
    </row>
    <row r="337">
      <c r="C337" s="276">
        <v>90.0</v>
      </c>
      <c r="J337" s="24">
        <v>3.0</v>
      </c>
      <c r="K337" s="24">
        <v>492.0</v>
      </c>
      <c r="M337" s="276">
        <v>1.0</v>
      </c>
      <c r="O337" s="3">
        <v>7330.0</v>
      </c>
      <c r="P337" s="11">
        <v>218.0</v>
      </c>
    </row>
    <row r="338">
      <c r="C338" s="276">
        <v>49.0</v>
      </c>
      <c r="J338" s="24">
        <v>5.0</v>
      </c>
      <c r="K338" s="24">
        <v>811.0</v>
      </c>
      <c r="M338" s="276">
        <v>6.0</v>
      </c>
      <c r="O338" s="277">
        <v>7331.0</v>
      </c>
      <c r="P338" s="11">
        <v>219.0</v>
      </c>
    </row>
    <row r="339">
      <c r="C339" s="276">
        <v>49.0</v>
      </c>
      <c r="J339" s="24">
        <v>3.0</v>
      </c>
      <c r="K339" s="24">
        <v>451.0</v>
      </c>
      <c r="M339" s="276">
        <v>10.0</v>
      </c>
      <c r="O339" s="277">
        <v>7332.0</v>
      </c>
      <c r="P339" s="11">
        <v>213.0</v>
      </c>
    </row>
    <row r="340">
      <c r="C340" s="276">
        <v>28.0</v>
      </c>
      <c r="J340" s="24">
        <v>6.0</v>
      </c>
      <c r="K340" s="24">
        <v>778.0</v>
      </c>
      <c r="M340" s="276">
        <v>64.0</v>
      </c>
      <c r="O340" s="277">
        <v>7333.0</v>
      </c>
      <c r="P340" s="11">
        <v>202.0</v>
      </c>
    </row>
    <row r="341">
      <c r="C341" s="276">
        <v>69.0</v>
      </c>
      <c r="J341" s="24">
        <v>3.0</v>
      </c>
      <c r="K341" s="24">
        <v>117.0</v>
      </c>
      <c r="M341" s="276">
        <v>64.0</v>
      </c>
      <c r="O341" s="277">
        <v>7334.0</v>
      </c>
      <c r="P341" s="11">
        <v>206.0</v>
      </c>
    </row>
    <row r="342">
      <c r="C342" s="276">
        <v>28.0</v>
      </c>
      <c r="J342" s="24">
        <v>2.0</v>
      </c>
      <c r="K342" s="24">
        <v>293.0</v>
      </c>
      <c r="M342" s="276">
        <v>69.0</v>
      </c>
      <c r="O342" s="3">
        <v>7335.0</v>
      </c>
      <c r="P342" s="11">
        <v>202.0</v>
      </c>
    </row>
    <row r="343">
      <c r="C343" s="276">
        <v>28.0</v>
      </c>
      <c r="J343" s="24">
        <v>7.0</v>
      </c>
      <c r="K343" s="24">
        <v>390.0</v>
      </c>
      <c r="M343" s="276">
        <v>70.0</v>
      </c>
      <c r="O343" s="277">
        <v>7336.0</v>
      </c>
      <c r="P343" s="11">
        <v>219.0</v>
      </c>
    </row>
    <row r="344">
      <c r="C344" s="276">
        <v>69.0</v>
      </c>
      <c r="J344" s="24">
        <v>5.0</v>
      </c>
      <c r="K344" s="24">
        <v>837.0</v>
      </c>
      <c r="M344" s="276">
        <v>65.0</v>
      </c>
      <c r="O344" s="277">
        <v>7337.0</v>
      </c>
      <c r="P344" s="11">
        <v>209.0</v>
      </c>
    </row>
    <row r="345">
      <c r="C345" s="276">
        <v>90.0</v>
      </c>
      <c r="J345" s="24">
        <v>4.0</v>
      </c>
      <c r="K345" s="24">
        <v>202.0</v>
      </c>
      <c r="M345" s="276">
        <v>15.0</v>
      </c>
      <c r="O345" s="277">
        <v>7338.0</v>
      </c>
      <c r="P345" s="11">
        <v>201.0</v>
      </c>
    </row>
    <row r="346">
      <c r="C346" s="276">
        <v>69.0</v>
      </c>
      <c r="J346" s="24">
        <v>4.0</v>
      </c>
      <c r="K346" s="24">
        <v>220.0</v>
      </c>
      <c r="M346" s="276">
        <v>69.0</v>
      </c>
      <c r="O346" s="277">
        <v>7339.0</v>
      </c>
      <c r="P346" s="11">
        <v>209.0</v>
      </c>
    </row>
    <row r="347">
      <c r="C347" s="276">
        <v>28.0</v>
      </c>
      <c r="J347" s="24">
        <v>2.0</v>
      </c>
      <c r="K347" s="24">
        <v>838.0</v>
      </c>
      <c r="M347" s="276">
        <v>73.0</v>
      </c>
      <c r="O347" s="3">
        <v>7340.0</v>
      </c>
      <c r="P347" s="11">
        <v>211.0</v>
      </c>
    </row>
    <row r="348">
      <c r="C348" s="276">
        <v>28.0</v>
      </c>
      <c r="J348" s="24">
        <v>1.0</v>
      </c>
      <c r="K348" s="24">
        <v>662.0</v>
      </c>
      <c r="M348" s="276">
        <v>75.0</v>
      </c>
      <c r="O348" s="277">
        <v>7341.0</v>
      </c>
      <c r="P348" s="11">
        <v>219.0</v>
      </c>
    </row>
    <row r="349">
      <c r="C349" s="276">
        <v>69.0</v>
      </c>
      <c r="J349" s="24">
        <v>5.0</v>
      </c>
      <c r="K349" s="24">
        <v>301.0</v>
      </c>
      <c r="M349" s="276">
        <v>72.0</v>
      </c>
      <c r="O349" s="277">
        <v>7342.0</v>
      </c>
      <c r="P349" s="11">
        <v>207.0</v>
      </c>
    </row>
    <row r="350">
      <c r="C350" s="276">
        <v>90.0</v>
      </c>
      <c r="J350" s="24">
        <v>8.0</v>
      </c>
      <c r="K350" s="24">
        <v>824.0</v>
      </c>
      <c r="M350" s="276">
        <v>20.0</v>
      </c>
      <c r="O350" s="277">
        <v>7343.0</v>
      </c>
      <c r="P350" s="11">
        <v>213.0</v>
      </c>
    </row>
    <row r="351">
      <c r="C351" s="276">
        <v>69.0</v>
      </c>
      <c r="J351" s="24">
        <v>3.0</v>
      </c>
      <c r="K351" s="24">
        <v>629.0</v>
      </c>
      <c r="M351" s="276">
        <v>73.0</v>
      </c>
      <c r="O351" s="277">
        <v>7344.0</v>
      </c>
      <c r="P351" s="11">
        <v>211.0</v>
      </c>
    </row>
    <row r="352">
      <c r="C352" s="276">
        <v>49.0</v>
      </c>
      <c r="J352" s="24">
        <v>2.0</v>
      </c>
      <c r="K352" s="24">
        <v>636.0</v>
      </c>
      <c r="M352" s="276">
        <v>29.0</v>
      </c>
      <c r="O352" s="3">
        <v>7345.0</v>
      </c>
      <c r="P352" s="11">
        <v>200.0</v>
      </c>
    </row>
    <row r="353">
      <c r="C353" s="276">
        <v>90.0</v>
      </c>
      <c r="J353" s="24">
        <v>1.0</v>
      </c>
      <c r="K353" s="24">
        <v>229.0</v>
      </c>
      <c r="M353" s="276">
        <v>28.0</v>
      </c>
      <c r="O353" s="277">
        <v>7346.0</v>
      </c>
      <c r="P353" s="11">
        <v>208.0</v>
      </c>
    </row>
    <row r="354">
      <c r="C354" s="276">
        <v>69.0</v>
      </c>
      <c r="J354" s="24">
        <v>8.0</v>
      </c>
      <c r="K354" s="24">
        <v>521.0</v>
      </c>
      <c r="M354" s="276">
        <v>84.0</v>
      </c>
      <c r="O354" s="277">
        <v>7347.0</v>
      </c>
      <c r="P354" s="11">
        <v>218.0</v>
      </c>
    </row>
    <row r="355">
      <c r="C355" s="276">
        <v>49.0</v>
      </c>
      <c r="J355" s="24">
        <v>9.0</v>
      </c>
      <c r="K355" s="24">
        <v>743.0</v>
      </c>
      <c r="M355" s="276">
        <v>37.0</v>
      </c>
      <c r="O355" s="277">
        <v>7348.0</v>
      </c>
      <c r="P355" s="11">
        <v>204.0</v>
      </c>
    </row>
    <row r="356">
      <c r="C356" s="276">
        <v>28.0</v>
      </c>
      <c r="J356" s="24">
        <v>9.0</v>
      </c>
      <c r="K356" s="24">
        <v>415.0</v>
      </c>
      <c r="M356" s="276">
        <v>91.0</v>
      </c>
      <c r="O356" s="277">
        <v>7349.0</v>
      </c>
      <c r="P356" s="11">
        <v>208.0</v>
      </c>
    </row>
    <row r="357">
      <c r="C357" s="276">
        <v>90.0</v>
      </c>
      <c r="J357" s="24">
        <v>3.0</v>
      </c>
      <c r="K357" s="24">
        <v>678.0</v>
      </c>
      <c r="M357" s="276">
        <v>37.0</v>
      </c>
      <c r="O357" s="3">
        <v>7350.0</v>
      </c>
      <c r="P357" s="11">
        <v>206.0</v>
      </c>
    </row>
    <row r="358">
      <c r="C358" s="276">
        <v>69.0</v>
      </c>
      <c r="J358" s="24">
        <v>8.0</v>
      </c>
      <c r="K358" s="24">
        <v>276.0</v>
      </c>
      <c r="M358" s="276">
        <v>91.0</v>
      </c>
      <c r="O358" s="277">
        <v>7351.0</v>
      </c>
      <c r="P358" s="11">
        <v>202.0</v>
      </c>
    </row>
    <row r="359">
      <c r="C359" s="276">
        <v>49.0</v>
      </c>
      <c r="J359" s="24">
        <v>8.0</v>
      </c>
      <c r="K359" s="24">
        <v>773.0</v>
      </c>
      <c r="M359" s="276">
        <v>47.0</v>
      </c>
      <c r="O359" s="277">
        <v>7352.0</v>
      </c>
      <c r="P359" s="11">
        <v>209.0</v>
      </c>
    </row>
    <row r="360">
      <c r="C360" s="276">
        <v>29.0</v>
      </c>
      <c r="J360" s="24">
        <v>7.0</v>
      </c>
      <c r="K360" s="24">
        <v>178.0</v>
      </c>
      <c r="M360" s="276">
        <v>1.0</v>
      </c>
      <c r="O360" s="277">
        <v>7353.0</v>
      </c>
      <c r="P360" s="11">
        <v>217.0</v>
      </c>
    </row>
    <row r="361">
      <c r="C361" s="276">
        <v>49.0</v>
      </c>
      <c r="J361" s="24">
        <v>6.0</v>
      </c>
      <c r="K361" s="24">
        <v>735.0</v>
      </c>
      <c r="M361" s="276">
        <v>49.0</v>
      </c>
      <c r="O361" s="277">
        <v>7354.0</v>
      </c>
      <c r="P361" s="11">
        <v>216.0</v>
      </c>
    </row>
    <row r="362">
      <c r="C362" s="276">
        <v>90.0</v>
      </c>
      <c r="J362" s="24">
        <v>4.0</v>
      </c>
      <c r="K362" s="24">
        <v>639.0</v>
      </c>
      <c r="M362" s="276">
        <v>47.0</v>
      </c>
      <c r="O362" s="3">
        <v>7355.0</v>
      </c>
      <c r="P362" s="11">
        <v>212.0</v>
      </c>
    </row>
    <row r="363">
      <c r="C363" s="276">
        <v>49.0</v>
      </c>
      <c r="J363" s="24">
        <v>5.0</v>
      </c>
      <c r="K363" s="24">
        <v>356.0</v>
      </c>
      <c r="M363" s="276">
        <v>52.0</v>
      </c>
      <c r="O363" s="277">
        <v>7356.0</v>
      </c>
      <c r="P363" s="11">
        <v>208.0</v>
      </c>
    </row>
    <row r="364">
      <c r="C364" s="276">
        <v>29.0</v>
      </c>
      <c r="J364" s="24">
        <v>2.0</v>
      </c>
      <c r="K364" s="24">
        <v>370.0</v>
      </c>
      <c r="M364" s="276">
        <v>7.0</v>
      </c>
      <c r="O364" s="277">
        <v>7357.0</v>
      </c>
      <c r="P364" s="11">
        <v>201.0</v>
      </c>
    </row>
    <row r="365">
      <c r="C365" s="276">
        <v>70.0</v>
      </c>
      <c r="J365" s="24">
        <v>9.0</v>
      </c>
      <c r="K365" s="24">
        <v>175.0</v>
      </c>
      <c r="M365" s="276">
        <v>4.0</v>
      </c>
      <c r="O365" s="277">
        <v>7358.0</v>
      </c>
      <c r="P365" s="11">
        <v>200.0</v>
      </c>
    </row>
    <row r="366">
      <c r="C366" s="276">
        <v>70.0</v>
      </c>
      <c r="J366" s="24">
        <v>9.0</v>
      </c>
      <c r="K366" s="24">
        <v>508.0</v>
      </c>
      <c r="M366" s="276">
        <v>5.0</v>
      </c>
      <c r="O366" s="277">
        <v>7359.0</v>
      </c>
      <c r="P366" s="11">
        <v>205.0</v>
      </c>
    </row>
    <row r="367">
      <c r="C367" s="276">
        <v>29.0</v>
      </c>
      <c r="J367" s="24">
        <v>5.0</v>
      </c>
      <c r="K367" s="24">
        <v>109.0</v>
      </c>
      <c r="M367" s="276">
        <v>10.0</v>
      </c>
      <c r="O367" s="3">
        <v>7360.0</v>
      </c>
      <c r="P367" s="11">
        <v>216.0</v>
      </c>
    </row>
    <row r="368">
      <c r="C368" s="276">
        <v>29.0</v>
      </c>
      <c r="J368" s="24">
        <v>6.0</v>
      </c>
      <c r="K368" s="24">
        <v>773.0</v>
      </c>
      <c r="M368" s="276">
        <v>9.0</v>
      </c>
      <c r="O368" s="277">
        <v>7361.0</v>
      </c>
      <c r="P368" s="11">
        <v>211.0</v>
      </c>
    </row>
    <row r="369">
      <c r="C369" s="276">
        <v>70.0</v>
      </c>
      <c r="J369" s="24">
        <v>1.0</v>
      </c>
      <c r="K369" s="24">
        <v>197.0</v>
      </c>
      <c r="M369" s="276">
        <v>11.0</v>
      </c>
      <c r="O369" s="277">
        <v>7362.0</v>
      </c>
      <c r="P369" s="11">
        <v>203.0</v>
      </c>
    </row>
    <row r="370">
      <c r="C370" s="276">
        <v>29.0</v>
      </c>
      <c r="J370" s="24">
        <v>3.0</v>
      </c>
      <c r="K370" s="24">
        <v>576.0</v>
      </c>
      <c r="M370" s="276">
        <v>19.0</v>
      </c>
      <c r="O370" s="277">
        <v>7363.0</v>
      </c>
      <c r="P370" s="11">
        <v>214.0</v>
      </c>
    </row>
    <row r="371">
      <c r="C371" s="276">
        <v>49.0</v>
      </c>
      <c r="J371" s="24">
        <v>6.0</v>
      </c>
      <c r="K371" s="24">
        <v>987.0</v>
      </c>
      <c r="M371" s="276">
        <v>70.0</v>
      </c>
      <c r="O371" s="277">
        <v>7364.0</v>
      </c>
      <c r="P371" s="11">
        <v>205.0</v>
      </c>
    </row>
    <row r="372">
      <c r="C372" s="276">
        <v>49.0</v>
      </c>
      <c r="J372" s="24">
        <v>2.0</v>
      </c>
      <c r="K372" s="24">
        <v>824.0</v>
      </c>
      <c r="M372" s="276">
        <v>71.0</v>
      </c>
      <c r="O372" s="3">
        <v>7365.0</v>
      </c>
      <c r="P372" s="11">
        <v>207.0</v>
      </c>
    </row>
    <row r="373">
      <c r="C373" s="276">
        <v>70.0</v>
      </c>
      <c r="J373" s="24">
        <v>2.0</v>
      </c>
      <c r="K373" s="24">
        <v>117.0</v>
      </c>
      <c r="M373" s="276">
        <v>22.0</v>
      </c>
      <c r="O373" s="277">
        <v>7366.0</v>
      </c>
      <c r="P373" s="11">
        <v>213.0</v>
      </c>
    </row>
    <row r="374">
      <c r="C374" s="276">
        <v>90.0</v>
      </c>
      <c r="J374" s="24">
        <v>1.0</v>
      </c>
      <c r="K374" s="24">
        <v>153.0</v>
      </c>
      <c r="M374" s="276">
        <v>72.0</v>
      </c>
      <c r="O374" s="277">
        <v>7367.0</v>
      </c>
      <c r="P374" s="11">
        <v>215.0</v>
      </c>
    </row>
    <row r="375">
      <c r="C375" s="276">
        <v>90.0</v>
      </c>
      <c r="J375" s="24">
        <v>3.0</v>
      </c>
      <c r="K375" s="24">
        <v>716.0</v>
      </c>
      <c r="M375" s="276">
        <v>73.0</v>
      </c>
      <c r="O375" s="277">
        <v>7368.0</v>
      </c>
      <c r="P375" s="11">
        <v>208.0</v>
      </c>
    </row>
    <row r="376">
      <c r="C376" s="276">
        <v>29.0</v>
      </c>
      <c r="J376" s="24">
        <v>5.0</v>
      </c>
      <c r="K376" s="24">
        <v>320.0</v>
      </c>
      <c r="M376" s="276">
        <v>32.0</v>
      </c>
      <c r="O376" s="277">
        <v>7369.0</v>
      </c>
      <c r="P376" s="11">
        <v>208.0</v>
      </c>
    </row>
    <row r="377">
      <c r="C377" s="276">
        <v>90.0</v>
      </c>
      <c r="J377" s="24">
        <v>3.0</v>
      </c>
      <c r="K377" s="24">
        <v>733.0</v>
      </c>
      <c r="M377" s="276">
        <v>78.0</v>
      </c>
      <c r="O377" s="3">
        <v>7370.0</v>
      </c>
      <c r="P377" s="11">
        <v>210.0</v>
      </c>
    </row>
    <row r="378">
      <c r="C378" s="276">
        <v>90.0</v>
      </c>
      <c r="J378" s="24">
        <v>5.0</v>
      </c>
      <c r="K378" s="24">
        <v>276.0</v>
      </c>
      <c r="M378" s="276">
        <v>80.0</v>
      </c>
      <c r="O378" s="277">
        <v>7371.0</v>
      </c>
      <c r="P378" s="11">
        <v>203.0</v>
      </c>
    </row>
    <row r="379">
      <c r="C379" s="276">
        <v>90.0</v>
      </c>
      <c r="J379" s="24">
        <v>4.0</v>
      </c>
      <c r="K379" s="24">
        <v>654.0</v>
      </c>
      <c r="M379" s="276">
        <v>81.0</v>
      </c>
      <c r="O379" s="277">
        <v>7372.0</v>
      </c>
      <c r="P379" s="11">
        <v>205.0</v>
      </c>
    </row>
    <row r="380">
      <c r="C380" s="276">
        <v>90.0</v>
      </c>
      <c r="J380" s="24">
        <v>5.0</v>
      </c>
      <c r="K380" s="24">
        <v>409.0</v>
      </c>
      <c r="M380" s="276">
        <v>90.0</v>
      </c>
      <c r="O380" s="277">
        <v>7373.0</v>
      </c>
      <c r="P380" s="11">
        <v>202.0</v>
      </c>
    </row>
    <row r="381">
      <c r="C381" s="276">
        <v>49.0</v>
      </c>
      <c r="J381" s="24">
        <v>6.0</v>
      </c>
      <c r="K381" s="24">
        <v>411.0</v>
      </c>
      <c r="M381" s="276">
        <v>96.0</v>
      </c>
      <c r="O381" s="277">
        <v>7374.0</v>
      </c>
      <c r="P381" s="11">
        <v>213.0</v>
      </c>
    </row>
    <row r="382">
      <c r="C382" s="276">
        <v>90.0</v>
      </c>
      <c r="J382" s="24">
        <v>5.0</v>
      </c>
      <c r="K382" s="24">
        <v>929.0</v>
      </c>
      <c r="M382" s="276">
        <v>94.0</v>
      </c>
      <c r="O382" s="3">
        <v>7375.0</v>
      </c>
      <c r="P382" s="11">
        <v>204.0</v>
      </c>
    </row>
    <row r="383">
      <c r="C383" s="276">
        <v>70.0</v>
      </c>
      <c r="J383" s="24">
        <v>4.0</v>
      </c>
      <c r="K383" s="24">
        <v>325.0</v>
      </c>
      <c r="M383" s="276">
        <v>49.0</v>
      </c>
      <c r="O383" s="277">
        <v>7376.0</v>
      </c>
      <c r="P383" s="11">
        <v>217.0</v>
      </c>
    </row>
    <row r="384">
      <c r="C384" s="276">
        <v>50.0</v>
      </c>
      <c r="J384" s="24">
        <v>8.0</v>
      </c>
      <c r="K384" s="24">
        <v>571.0</v>
      </c>
      <c r="M384" s="276">
        <v>4.0</v>
      </c>
      <c r="O384" s="277">
        <v>7377.0</v>
      </c>
      <c r="P384" s="11">
        <v>201.0</v>
      </c>
    </row>
    <row r="385">
      <c r="C385" s="276">
        <v>29.0</v>
      </c>
      <c r="J385" s="24">
        <v>8.0</v>
      </c>
      <c r="K385" s="24">
        <v>760.0</v>
      </c>
      <c r="M385" s="276">
        <v>59.0</v>
      </c>
      <c r="O385" s="277">
        <v>7378.0</v>
      </c>
      <c r="P385" s="11">
        <v>215.0</v>
      </c>
    </row>
    <row r="386">
      <c r="C386" s="276">
        <v>91.0</v>
      </c>
      <c r="J386" s="24">
        <v>6.0</v>
      </c>
      <c r="K386" s="24">
        <v>634.0</v>
      </c>
      <c r="M386" s="276">
        <v>4.0</v>
      </c>
      <c r="O386" s="277">
        <v>7379.0</v>
      </c>
      <c r="P386" s="11">
        <v>220.0</v>
      </c>
    </row>
    <row r="387">
      <c r="C387" s="276">
        <v>50.0</v>
      </c>
      <c r="J387" s="24">
        <v>7.0</v>
      </c>
      <c r="K387" s="24">
        <v>576.0</v>
      </c>
      <c r="M387" s="276">
        <v>9.0</v>
      </c>
      <c r="O387" s="3">
        <v>7380.0</v>
      </c>
      <c r="P387" s="11">
        <v>220.0</v>
      </c>
    </row>
    <row r="388">
      <c r="C388" s="276">
        <v>70.0</v>
      </c>
      <c r="J388" s="24">
        <v>3.0</v>
      </c>
      <c r="K388" s="24">
        <v>151.0</v>
      </c>
      <c r="M388" s="276">
        <v>56.0</v>
      </c>
      <c r="O388" s="277">
        <v>7381.0</v>
      </c>
      <c r="P388" s="11">
        <v>218.0</v>
      </c>
    </row>
    <row r="389">
      <c r="C389" s="276">
        <v>50.0</v>
      </c>
      <c r="J389" s="24">
        <v>8.0</v>
      </c>
      <c r="K389" s="24">
        <v>239.0</v>
      </c>
      <c r="M389" s="276">
        <v>7.0</v>
      </c>
      <c r="O389" s="277">
        <v>7382.0</v>
      </c>
      <c r="P389" s="11">
        <v>213.0</v>
      </c>
    </row>
    <row r="390">
      <c r="C390" s="276">
        <v>50.0</v>
      </c>
      <c r="J390" s="24">
        <v>1.0</v>
      </c>
      <c r="K390" s="24">
        <v>402.0</v>
      </c>
      <c r="M390" s="276">
        <v>14.0</v>
      </c>
      <c r="O390" s="277">
        <v>7383.0</v>
      </c>
      <c r="P390" s="11">
        <v>211.0</v>
      </c>
    </row>
    <row r="391">
      <c r="C391" s="276">
        <v>50.0</v>
      </c>
      <c r="J391" s="24">
        <v>1.0</v>
      </c>
      <c r="K391" s="24">
        <v>407.0</v>
      </c>
      <c r="M391" s="276">
        <v>17.0</v>
      </c>
      <c r="O391" s="277">
        <v>7384.0</v>
      </c>
      <c r="P391" s="11">
        <v>203.0</v>
      </c>
    </row>
    <row r="392">
      <c r="C392" s="276">
        <v>29.0</v>
      </c>
      <c r="J392" s="24">
        <v>3.0</v>
      </c>
      <c r="K392" s="24">
        <v>889.0</v>
      </c>
      <c r="M392" s="276">
        <v>71.0</v>
      </c>
      <c r="O392" s="3">
        <v>7385.0</v>
      </c>
      <c r="P392" s="11">
        <v>200.0</v>
      </c>
    </row>
    <row r="393">
      <c r="C393" s="276">
        <v>29.0</v>
      </c>
      <c r="J393" s="24">
        <v>5.0</v>
      </c>
      <c r="K393" s="24">
        <v>569.0</v>
      </c>
      <c r="M393" s="276">
        <v>73.0</v>
      </c>
      <c r="O393" s="277">
        <v>7386.0</v>
      </c>
      <c r="P393" s="11">
        <v>202.0</v>
      </c>
    </row>
    <row r="394">
      <c r="C394" s="276">
        <v>91.0</v>
      </c>
      <c r="J394" s="24">
        <v>1.0</v>
      </c>
      <c r="K394" s="24">
        <v>457.0</v>
      </c>
      <c r="M394" s="276">
        <v>21.0</v>
      </c>
      <c r="O394" s="277">
        <v>7387.0</v>
      </c>
      <c r="P394" s="11">
        <v>207.0</v>
      </c>
    </row>
    <row r="395">
      <c r="C395" s="276">
        <v>29.0</v>
      </c>
      <c r="J395" s="24">
        <v>6.0</v>
      </c>
      <c r="K395" s="24">
        <v>613.0</v>
      </c>
      <c r="M395" s="276">
        <v>77.0</v>
      </c>
      <c r="O395" s="277">
        <v>7388.0</v>
      </c>
      <c r="P395" s="11">
        <v>205.0</v>
      </c>
    </row>
    <row r="396">
      <c r="C396" s="276">
        <v>50.0</v>
      </c>
      <c r="J396" s="24">
        <v>9.0</v>
      </c>
      <c r="K396" s="24">
        <v>483.0</v>
      </c>
      <c r="M396" s="276">
        <v>30.0</v>
      </c>
      <c r="O396" s="277">
        <v>7389.0</v>
      </c>
      <c r="P396" s="11">
        <v>215.0</v>
      </c>
    </row>
    <row r="397">
      <c r="C397" s="276">
        <v>91.0</v>
      </c>
      <c r="J397" s="24">
        <v>9.0</v>
      </c>
      <c r="K397" s="24">
        <v>648.0</v>
      </c>
      <c r="M397" s="276">
        <v>27.0</v>
      </c>
      <c r="O397" s="3">
        <v>7390.0</v>
      </c>
      <c r="P397" s="11">
        <v>220.0</v>
      </c>
    </row>
    <row r="398">
      <c r="C398" s="276">
        <v>91.0</v>
      </c>
      <c r="J398" s="24">
        <v>1.0</v>
      </c>
      <c r="K398" s="24">
        <v>678.0</v>
      </c>
      <c r="M398" s="276">
        <v>28.0</v>
      </c>
      <c r="O398" s="277">
        <v>7391.0</v>
      </c>
      <c r="P398" s="11">
        <v>211.0</v>
      </c>
    </row>
    <row r="399">
      <c r="C399" s="276">
        <v>29.0</v>
      </c>
      <c r="J399" s="24">
        <v>2.0</v>
      </c>
      <c r="K399" s="24">
        <v>394.0</v>
      </c>
      <c r="M399" s="276">
        <v>85.0</v>
      </c>
      <c r="O399" s="277">
        <v>7392.0</v>
      </c>
      <c r="P399" s="11">
        <v>220.0</v>
      </c>
    </row>
    <row r="400">
      <c r="C400" s="276">
        <v>50.0</v>
      </c>
      <c r="J400" s="24">
        <v>7.0</v>
      </c>
      <c r="K400" s="24">
        <v>673.0</v>
      </c>
      <c r="M400" s="276">
        <v>40.0</v>
      </c>
      <c r="O400" s="277">
        <v>7393.0</v>
      </c>
      <c r="P400" s="11">
        <v>210.0</v>
      </c>
    </row>
    <row r="401">
      <c r="C401" s="276">
        <v>91.0</v>
      </c>
      <c r="J401" s="24">
        <v>2.0</v>
      </c>
      <c r="K401" s="24">
        <v>610.0</v>
      </c>
      <c r="M401" s="276">
        <v>43.0</v>
      </c>
      <c r="O401" s="277">
        <v>7394.0</v>
      </c>
      <c r="P401" s="11">
        <v>207.0</v>
      </c>
    </row>
    <row r="402">
      <c r="C402" s="276">
        <v>91.0</v>
      </c>
      <c r="J402" s="24">
        <v>3.0</v>
      </c>
      <c r="K402" s="24">
        <v>605.0</v>
      </c>
      <c r="M402" s="276">
        <v>47.0</v>
      </c>
      <c r="O402" s="3">
        <v>7395.0</v>
      </c>
      <c r="P402" s="11">
        <v>206.0</v>
      </c>
    </row>
    <row r="403">
      <c r="C403" s="276">
        <v>71.0</v>
      </c>
      <c r="J403" s="24">
        <v>8.0</v>
      </c>
      <c r="K403" s="24">
        <v>960.0</v>
      </c>
      <c r="M403" s="276">
        <v>0.0</v>
      </c>
      <c r="O403" s="277">
        <v>7396.0</v>
      </c>
      <c r="P403" s="11">
        <v>202.0</v>
      </c>
    </row>
    <row r="404">
      <c r="C404" s="276">
        <v>30.0</v>
      </c>
      <c r="J404" s="24">
        <v>6.0</v>
      </c>
      <c r="K404" s="24">
        <v>937.0</v>
      </c>
      <c r="M404" s="276">
        <v>4.0</v>
      </c>
      <c r="O404" s="277">
        <v>7397.0</v>
      </c>
      <c r="P404" s="11">
        <v>204.0</v>
      </c>
    </row>
    <row r="405">
      <c r="C405" s="276">
        <v>30.0</v>
      </c>
      <c r="J405" s="24">
        <v>8.0</v>
      </c>
      <c r="K405" s="24">
        <v>668.0</v>
      </c>
      <c r="M405" s="276">
        <v>10.0</v>
      </c>
      <c r="O405" s="277">
        <v>7398.0</v>
      </c>
      <c r="P405" s="11">
        <v>200.0</v>
      </c>
    </row>
    <row r="406">
      <c r="C406" s="276">
        <v>50.0</v>
      </c>
      <c r="J406" s="24">
        <v>1.0</v>
      </c>
      <c r="K406" s="24">
        <v>820.0</v>
      </c>
      <c r="M406" s="276">
        <v>60.0</v>
      </c>
      <c r="O406" s="277">
        <v>7399.0</v>
      </c>
      <c r="P406" s="11">
        <v>215.0</v>
      </c>
    </row>
    <row r="407">
      <c r="C407" s="276">
        <v>71.0</v>
      </c>
      <c r="J407" s="24">
        <v>8.0</v>
      </c>
      <c r="K407" s="24">
        <v>773.0</v>
      </c>
      <c r="M407" s="276">
        <v>9.0</v>
      </c>
      <c r="O407" s="3">
        <v>7400.0</v>
      </c>
      <c r="P407" s="11">
        <v>200.0</v>
      </c>
    </row>
    <row r="408">
      <c r="C408" s="276">
        <v>91.0</v>
      </c>
      <c r="J408" s="24">
        <v>7.0</v>
      </c>
      <c r="K408" s="24">
        <v>363.0</v>
      </c>
      <c r="M408" s="276">
        <v>61.0</v>
      </c>
      <c r="O408" s="277">
        <v>7401.0</v>
      </c>
      <c r="P408" s="11">
        <v>211.0</v>
      </c>
    </row>
    <row r="409">
      <c r="C409" s="276">
        <v>50.0</v>
      </c>
      <c r="J409" s="24">
        <v>3.0</v>
      </c>
      <c r="K409" s="24">
        <v>390.0</v>
      </c>
      <c r="M409" s="276">
        <v>66.0</v>
      </c>
      <c r="O409" s="277">
        <v>7402.0</v>
      </c>
      <c r="P409" s="11">
        <v>220.0</v>
      </c>
    </row>
    <row r="410">
      <c r="C410" s="276">
        <v>50.0</v>
      </c>
      <c r="J410" s="24">
        <v>1.0</v>
      </c>
      <c r="K410" s="24">
        <v>200.0</v>
      </c>
      <c r="M410" s="276">
        <v>67.0</v>
      </c>
      <c r="O410" s="277">
        <v>7403.0</v>
      </c>
      <c r="P410" s="11">
        <v>205.0</v>
      </c>
    </row>
    <row r="411">
      <c r="C411" s="276">
        <v>50.0</v>
      </c>
      <c r="J411" s="24">
        <v>7.0</v>
      </c>
      <c r="K411" s="24">
        <v>926.0</v>
      </c>
      <c r="M411" s="276">
        <v>68.0</v>
      </c>
      <c r="O411" s="277">
        <v>7404.0</v>
      </c>
      <c r="P411" s="11">
        <v>206.0</v>
      </c>
    </row>
    <row r="412">
      <c r="C412" s="276">
        <v>50.0</v>
      </c>
      <c r="J412" s="24">
        <v>3.0</v>
      </c>
      <c r="K412" s="24">
        <v>917.0</v>
      </c>
      <c r="M412" s="276">
        <v>69.0</v>
      </c>
      <c r="O412" s="3">
        <v>7405.0</v>
      </c>
      <c r="P412" s="11">
        <v>211.0</v>
      </c>
    </row>
    <row r="413">
      <c r="C413" s="276">
        <v>71.0</v>
      </c>
      <c r="J413" s="24">
        <v>8.0</v>
      </c>
      <c r="K413" s="24">
        <v>485.0</v>
      </c>
      <c r="M413" s="276">
        <v>18.0</v>
      </c>
      <c r="O413" s="277">
        <v>7406.0</v>
      </c>
      <c r="P413" s="11">
        <v>205.0</v>
      </c>
    </row>
    <row r="414">
      <c r="C414" s="276">
        <v>71.0</v>
      </c>
      <c r="J414" s="24">
        <v>6.0</v>
      </c>
      <c r="K414" s="24">
        <v>370.0</v>
      </c>
      <c r="M414" s="276">
        <v>17.0</v>
      </c>
      <c r="O414" s="277">
        <v>7407.0</v>
      </c>
      <c r="P414" s="11">
        <v>211.0</v>
      </c>
    </row>
    <row r="415">
      <c r="C415" s="276">
        <v>91.0</v>
      </c>
      <c r="J415" s="24">
        <v>9.0</v>
      </c>
      <c r="K415" s="24">
        <v>565.0</v>
      </c>
      <c r="M415" s="276">
        <v>65.0</v>
      </c>
      <c r="O415" s="277">
        <v>7408.0</v>
      </c>
      <c r="P415" s="11">
        <v>204.0</v>
      </c>
    </row>
    <row r="416">
      <c r="C416" s="276">
        <v>91.0</v>
      </c>
      <c r="J416" s="24">
        <v>9.0</v>
      </c>
      <c r="K416" s="24">
        <v>934.0</v>
      </c>
      <c r="M416" s="276">
        <v>69.0</v>
      </c>
      <c r="O416" s="277">
        <v>7409.0</v>
      </c>
      <c r="P416" s="11">
        <v>205.0</v>
      </c>
    </row>
    <row r="417">
      <c r="C417" s="276">
        <v>91.0</v>
      </c>
      <c r="J417" s="24">
        <v>7.0</v>
      </c>
      <c r="K417" s="24">
        <v>599.0</v>
      </c>
      <c r="M417" s="276">
        <v>71.0</v>
      </c>
      <c r="O417" s="3">
        <v>7410.0</v>
      </c>
      <c r="P417" s="11">
        <v>206.0</v>
      </c>
    </row>
    <row r="418">
      <c r="C418" s="276">
        <v>30.0</v>
      </c>
      <c r="J418" s="24">
        <v>4.0</v>
      </c>
      <c r="K418" s="24">
        <v>759.0</v>
      </c>
      <c r="M418" s="276">
        <v>29.0</v>
      </c>
      <c r="O418" s="277">
        <v>7411.0</v>
      </c>
      <c r="P418" s="11">
        <v>217.0</v>
      </c>
    </row>
    <row r="419">
      <c r="C419" s="276">
        <v>30.0</v>
      </c>
      <c r="J419" s="24">
        <v>6.0</v>
      </c>
      <c r="K419" s="24">
        <v>545.0</v>
      </c>
      <c r="M419" s="276">
        <v>31.0</v>
      </c>
      <c r="O419" s="277">
        <v>7412.0</v>
      </c>
      <c r="P419" s="11">
        <v>208.0</v>
      </c>
    </row>
    <row r="420">
      <c r="C420" s="276">
        <v>30.0</v>
      </c>
      <c r="J420" s="24">
        <v>2.0</v>
      </c>
      <c r="K420" s="24">
        <v>429.0</v>
      </c>
      <c r="M420" s="276">
        <v>32.0</v>
      </c>
      <c r="O420" s="277">
        <v>7413.0</v>
      </c>
      <c r="P420" s="11">
        <v>204.0</v>
      </c>
    </row>
    <row r="421">
      <c r="C421" s="276">
        <v>91.0</v>
      </c>
      <c r="J421" s="24">
        <v>3.0</v>
      </c>
      <c r="K421" s="24">
        <v>589.0</v>
      </c>
      <c r="M421" s="276">
        <v>76.0</v>
      </c>
      <c r="O421" s="277">
        <v>7414.0</v>
      </c>
      <c r="P421" s="11">
        <v>204.0</v>
      </c>
    </row>
    <row r="422">
      <c r="C422" s="276">
        <v>30.0</v>
      </c>
      <c r="J422" s="24">
        <v>5.0</v>
      </c>
      <c r="K422" s="24">
        <v>597.0</v>
      </c>
      <c r="M422" s="276">
        <v>35.0</v>
      </c>
      <c r="O422" s="3">
        <v>7415.0</v>
      </c>
      <c r="P422" s="11">
        <v>215.0</v>
      </c>
    </row>
    <row r="423">
      <c r="C423" s="276">
        <v>30.0</v>
      </c>
      <c r="J423" s="24">
        <v>2.0</v>
      </c>
      <c r="K423" s="24">
        <v>186.0</v>
      </c>
      <c r="M423" s="276">
        <v>36.0</v>
      </c>
      <c r="O423" s="277">
        <v>7416.0</v>
      </c>
      <c r="P423" s="11">
        <v>213.0</v>
      </c>
    </row>
    <row r="424">
      <c r="C424" s="276">
        <v>91.0</v>
      </c>
      <c r="J424" s="24">
        <v>2.0</v>
      </c>
      <c r="K424" s="24">
        <v>599.0</v>
      </c>
      <c r="M424" s="276">
        <v>80.0</v>
      </c>
      <c r="O424" s="277">
        <v>7417.0</v>
      </c>
      <c r="P424" s="11">
        <v>204.0</v>
      </c>
    </row>
    <row r="425">
      <c r="C425" s="276">
        <v>50.0</v>
      </c>
      <c r="J425" s="24">
        <v>9.0</v>
      </c>
      <c r="K425" s="24">
        <v>597.0</v>
      </c>
      <c r="M425" s="276">
        <v>85.0</v>
      </c>
      <c r="O425" s="277">
        <v>7418.0</v>
      </c>
      <c r="P425" s="11">
        <v>216.0</v>
      </c>
    </row>
    <row r="426">
      <c r="C426" s="276">
        <v>91.0</v>
      </c>
      <c r="J426" s="24">
        <v>9.0</v>
      </c>
      <c r="K426" s="24">
        <v>309.0</v>
      </c>
      <c r="M426" s="276">
        <v>83.0</v>
      </c>
      <c r="O426" s="277">
        <v>7419.0</v>
      </c>
      <c r="P426" s="11">
        <v>206.0</v>
      </c>
    </row>
    <row r="427">
      <c r="C427" s="276">
        <v>91.0</v>
      </c>
      <c r="J427" s="24">
        <v>9.0</v>
      </c>
      <c r="K427" s="24">
        <v>348.0</v>
      </c>
      <c r="M427" s="276">
        <v>84.0</v>
      </c>
      <c r="O427" s="3">
        <v>7420.0</v>
      </c>
      <c r="P427" s="11">
        <v>208.0</v>
      </c>
    </row>
    <row r="428">
      <c r="C428" s="276">
        <v>30.0</v>
      </c>
      <c r="J428" s="24">
        <v>6.0</v>
      </c>
      <c r="K428" s="24">
        <v>636.0</v>
      </c>
      <c r="M428" s="276">
        <v>44.0</v>
      </c>
      <c r="O428" s="277">
        <v>7421.0</v>
      </c>
      <c r="P428" s="11">
        <v>200.0</v>
      </c>
    </row>
    <row r="429">
      <c r="C429" s="276">
        <v>71.0</v>
      </c>
      <c r="J429" s="24">
        <v>4.0</v>
      </c>
      <c r="K429" s="24">
        <v>600.0</v>
      </c>
      <c r="M429" s="276">
        <v>42.0</v>
      </c>
      <c r="O429" s="277">
        <v>7422.0</v>
      </c>
      <c r="P429" s="11">
        <v>208.0</v>
      </c>
    </row>
    <row r="430">
      <c r="C430" s="276">
        <v>91.0</v>
      </c>
      <c r="J430" s="24">
        <v>3.0</v>
      </c>
      <c r="K430" s="24">
        <v>255.0</v>
      </c>
      <c r="M430" s="276">
        <v>91.0</v>
      </c>
      <c r="O430" s="277">
        <v>7423.0</v>
      </c>
      <c r="P430" s="11">
        <v>214.0</v>
      </c>
    </row>
    <row r="431">
      <c r="C431" s="276">
        <v>50.0</v>
      </c>
      <c r="J431" s="24">
        <v>9.0</v>
      </c>
      <c r="K431" s="24">
        <v>913.0</v>
      </c>
      <c r="M431" s="276">
        <v>96.0</v>
      </c>
      <c r="O431" s="277">
        <v>7424.0</v>
      </c>
      <c r="P431" s="11">
        <v>202.0</v>
      </c>
    </row>
    <row r="432">
      <c r="C432" s="276">
        <v>71.0</v>
      </c>
      <c r="J432" s="24">
        <v>7.0</v>
      </c>
      <c r="K432" s="24">
        <v>882.0</v>
      </c>
      <c r="M432" s="276">
        <v>43.0</v>
      </c>
      <c r="O432" s="3">
        <v>7425.0</v>
      </c>
      <c r="P432" s="11">
        <v>211.0</v>
      </c>
    </row>
    <row r="433">
      <c r="C433" s="276">
        <v>30.0</v>
      </c>
      <c r="J433" s="24">
        <v>2.0</v>
      </c>
      <c r="K433" s="24">
        <v>910.0</v>
      </c>
      <c r="M433" s="276">
        <v>50.0</v>
      </c>
      <c r="O433" s="277">
        <v>7426.0</v>
      </c>
      <c r="P433" s="11">
        <v>202.0</v>
      </c>
    </row>
    <row r="434">
      <c r="C434" s="276">
        <v>10.0</v>
      </c>
      <c r="J434" s="24">
        <v>6.0</v>
      </c>
      <c r="K434" s="24">
        <v>195.0</v>
      </c>
      <c r="M434" s="276">
        <v>4.0</v>
      </c>
      <c r="O434" s="277">
        <v>7427.0</v>
      </c>
      <c r="P434" s="11">
        <v>205.0</v>
      </c>
    </row>
    <row r="435">
      <c r="C435" s="276">
        <v>10.0</v>
      </c>
      <c r="J435" s="24">
        <v>8.0</v>
      </c>
      <c r="K435" s="24">
        <v>468.0</v>
      </c>
      <c r="M435" s="276">
        <v>5.0</v>
      </c>
      <c r="O435" s="277">
        <v>7428.0</v>
      </c>
      <c r="P435" s="11">
        <v>215.0</v>
      </c>
    </row>
    <row r="436">
      <c r="C436" s="276">
        <v>91.0</v>
      </c>
      <c r="J436" s="24">
        <v>6.0</v>
      </c>
      <c r="K436" s="24">
        <v>788.0</v>
      </c>
      <c r="M436" s="276">
        <v>99.0</v>
      </c>
      <c r="O436" s="277">
        <v>7429.0</v>
      </c>
      <c r="P436" s="11">
        <v>212.0</v>
      </c>
    </row>
    <row r="437">
      <c r="C437" s="276">
        <v>30.0</v>
      </c>
      <c r="J437" s="24">
        <v>5.0</v>
      </c>
      <c r="K437" s="24">
        <v>309.0</v>
      </c>
      <c r="M437" s="276">
        <v>59.0</v>
      </c>
      <c r="O437" s="3">
        <v>7430.0</v>
      </c>
      <c r="P437" s="11">
        <v>218.0</v>
      </c>
    </row>
    <row r="438">
      <c r="C438" s="276">
        <v>92.0</v>
      </c>
      <c r="J438" s="24">
        <v>5.0</v>
      </c>
      <c r="K438" s="24">
        <v>757.0</v>
      </c>
      <c r="M438" s="276">
        <v>4.0</v>
      </c>
      <c r="O438" s="277">
        <v>7431.0</v>
      </c>
      <c r="P438" s="11">
        <v>216.0</v>
      </c>
    </row>
    <row r="439">
      <c r="C439" s="276">
        <v>30.0</v>
      </c>
      <c r="J439" s="24">
        <v>2.0</v>
      </c>
      <c r="K439" s="24">
        <v>880.0</v>
      </c>
      <c r="M439" s="276">
        <v>64.0</v>
      </c>
      <c r="O439" s="277">
        <v>7432.0</v>
      </c>
      <c r="P439" s="11">
        <v>217.0</v>
      </c>
    </row>
    <row r="440">
      <c r="C440" s="276">
        <v>30.0</v>
      </c>
      <c r="J440" s="24">
        <v>1.0</v>
      </c>
      <c r="K440" s="24">
        <v>162.0</v>
      </c>
      <c r="M440" s="276">
        <v>65.0</v>
      </c>
      <c r="O440" s="277">
        <v>7433.0</v>
      </c>
      <c r="P440" s="11">
        <v>200.0</v>
      </c>
    </row>
    <row r="441">
      <c r="C441" s="276">
        <v>71.0</v>
      </c>
      <c r="J441" s="24">
        <v>4.0</v>
      </c>
      <c r="K441" s="24">
        <v>423.0</v>
      </c>
      <c r="M441" s="276">
        <v>61.0</v>
      </c>
      <c r="O441" s="277">
        <v>7434.0</v>
      </c>
      <c r="P441" s="11">
        <v>220.0</v>
      </c>
    </row>
    <row r="442">
      <c r="C442" s="276">
        <v>92.0</v>
      </c>
      <c r="J442" s="24">
        <v>5.0</v>
      </c>
      <c r="K442" s="24">
        <v>428.0</v>
      </c>
      <c r="M442" s="276">
        <v>9.0</v>
      </c>
      <c r="O442" s="3">
        <v>7435.0</v>
      </c>
      <c r="P442" s="11">
        <v>210.0</v>
      </c>
    </row>
    <row r="443">
      <c r="C443" s="276">
        <v>30.0</v>
      </c>
      <c r="J443" s="24">
        <v>9.0</v>
      </c>
      <c r="K443" s="24">
        <v>679.0</v>
      </c>
      <c r="M443" s="276">
        <v>67.0</v>
      </c>
      <c r="O443" s="277">
        <v>7436.0</v>
      </c>
      <c r="P443" s="11">
        <v>215.0</v>
      </c>
    </row>
    <row r="444">
      <c r="C444" s="276">
        <v>10.0</v>
      </c>
      <c r="J444" s="24">
        <v>5.0</v>
      </c>
      <c r="K444" s="24">
        <v>259.0</v>
      </c>
      <c r="M444" s="276">
        <v>23.0</v>
      </c>
      <c r="O444" s="277">
        <v>7437.0</v>
      </c>
      <c r="P444" s="11">
        <v>201.0</v>
      </c>
    </row>
    <row r="445">
      <c r="C445" s="276">
        <v>92.0</v>
      </c>
      <c r="J445" s="24">
        <v>4.0</v>
      </c>
      <c r="K445" s="24">
        <v>520.0</v>
      </c>
      <c r="M445" s="276">
        <v>16.0</v>
      </c>
      <c r="O445" s="277">
        <v>7438.0</v>
      </c>
      <c r="P445" s="11">
        <v>209.0</v>
      </c>
    </row>
    <row r="446">
      <c r="C446" s="276">
        <v>51.0</v>
      </c>
      <c r="J446" s="24">
        <v>6.0</v>
      </c>
      <c r="K446" s="24">
        <v>771.0</v>
      </c>
      <c r="M446" s="276">
        <v>21.0</v>
      </c>
      <c r="O446" s="277">
        <v>7439.0</v>
      </c>
      <c r="P446" s="11">
        <v>202.0</v>
      </c>
    </row>
    <row r="447">
      <c r="C447" s="276">
        <v>92.0</v>
      </c>
      <c r="J447" s="24">
        <v>7.0</v>
      </c>
      <c r="K447" s="24">
        <v>177.0</v>
      </c>
      <c r="M447" s="276">
        <v>18.0</v>
      </c>
      <c r="O447" s="3">
        <v>7440.0</v>
      </c>
      <c r="P447" s="11">
        <v>212.0</v>
      </c>
    </row>
    <row r="448">
      <c r="C448" s="276">
        <v>71.0</v>
      </c>
      <c r="J448" s="24">
        <v>4.0</v>
      </c>
      <c r="K448" s="24">
        <v>430.0</v>
      </c>
      <c r="M448" s="276">
        <v>71.0</v>
      </c>
      <c r="O448" s="277">
        <v>7441.0</v>
      </c>
      <c r="P448" s="11">
        <v>216.0</v>
      </c>
    </row>
    <row r="449">
      <c r="C449" s="276">
        <v>30.0</v>
      </c>
      <c r="J449" s="24">
        <v>5.0</v>
      </c>
      <c r="K449" s="24">
        <v>251.0</v>
      </c>
      <c r="M449" s="276">
        <v>80.0</v>
      </c>
      <c r="O449" s="277">
        <v>7442.0</v>
      </c>
      <c r="P449" s="11">
        <v>216.0</v>
      </c>
    </row>
    <row r="450">
      <c r="C450" s="276">
        <v>71.0</v>
      </c>
      <c r="J450" s="24">
        <v>1.0</v>
      </c>
      <c r="K450" s="24">
        <v>983.0</v>
      </c>
      <c r="M450" s="276">
        <v>77.0</v>
      </c>
      <c r="O450" s="277">
        <v>7443.0</v>
      </c>
      <c r="P450" s="11">
        <v>220.0</v>
      </c>
    </row>
    <row r="451">
      <c r="C451" s="276">
        <v>92.0</v>
      </c>
      <c r="J451" s="24">
        <v>6.0</v>
      </c>
      <c r="K451" s="24">
        <v>912.0</v>
      </c>
      <c r="M451" s="276">
        <v>24.0</v>
      </c>
      <c r="O451" s="277">
        <v>7444.0</v>
      </c>
      <c r="P451" s="11">
        <v>204.0</v>
      </c>
    </row>
    <row r="452">
      <c r="C452" s="276">
        <v>10.0</v>
      </c>
      <c r="J452" s="24">
        <v>7.0</v>
      </c>
      <c r="K452" s="24">
        <v>221.0</v>
      </c>
      <c r="M452" s="276">
        <v>38.0</v>
      </c>
      <c r="O452" s="3">
        <v>7445.0</v>
      </c>
      <c r="P452" s="11">
        <v>213.0</v>
      </c>
    </row>
    <row r="453">
      <c r="C453" s="276">
        <v>51.0</v>
      </c>
      <c r="J453" s="24">
        <v>2.0</v>
      </c>
      <c r="K453" s="24">
        <v>905.0</v>
      </c>
      <c r="M453" s="276">
        <v>34.0</v>
      </c>
      <c r="O453" s="277">
        <v>7446.0</v>
      </c>
      <c r="P453" s="11">
        <v>214.0</v>
      </c>
    </row>
    <row r="454">
      <c r="C454" s="276">
        <v>10.0</v>
      </c>
      <c r="J454" s="24">
        <v>2.0</v>
      </c>
      <c r="K454" s="24">
        <v>468.0</v>
      </c>
      <c r="M454" s="276">
        <v>41.0</v>
      </c>
      <c r="O454" s="277">
        <v>7447.0</v>
      </c>
      <c r="P454" s="11">
        <v>218.0</v>
      </c>
    </row>
    <row r="455">
      <c r="C455" s="276">
        <v>71.0</v>
      </c>
      <c r="J455" s="24">
        <v>4.0</v>
      </c>
      <c r="K455" s="24">
        <v>831.0</v>
      </c>
      <c r="M455" s="276">
        <v>85.0</v>
      </c>
      <c r="O455" s="277">
        <v>7448.0</v>
      </c>
      <c r="P455" s="11">
        <v>220.0</v>
      </c>
    </row>
    <row r="456">
      <c r="C456" s="276">
        <v>10.0</v>
      </c>
      <c r="J456" s="24">
        <v>3.0</v>
      </c>
      <c r="K456" s="24">
        <v>296.0</v>
      </c>
      <c r="M456" s="276">
        <v>45.0</v>
      </c>
      <c r="O456" s="277">
        <v>7449.0</v>
      </c>
      <c r="P456" s="11">
        <v>215.0</v>
      </c>
    </row>
    <row r="457">
      <c r="C457" s="276">
        <v>71.0</v>
      </c>
      <c r="J457" s="24">
        <v>2.0</v>
      </c>
      <c r="K457" s="24">
        <v>966.0</v>
      </c>
      <c r="M457" s="276">
        <v>89.0</v>
      </c>
      <c r="O457" s="3">
        <v>7450.0</v>
      </c>
      <c r="P457" s="11">
        <v>212.0</v>
      </c>
    </row>
    <row r="458">
      <c r="C458" s="276">
        <v>51.0</v>
      </c>
      <c r="J458" s="24">
        <v>8.0</v>
      </c>
      <c r="K458" s="24">
        <v>615.0</v>
      </c>
      <c r="M458" s="276">
        <v>52.0</v>
      </c>
      <c r="O458" s="277">
        <v>7451.0</v>
      </c>
      <c r="P458" s="11">
        <v>220.0</v>
      </c>
    </row>
    <row r="459">
      <c r="C459" s="276">
        <v>92.0</v>
      </c>
      <c r="J459" s="24">
        <v>3.0</v>
      </c>
      <c r="K459" s="24">
        <v>960.0</v>
      </c>
      <c r="M459" s="276">
        <v>49.0</v>
      </c>
      <c r="O459" s="277">
        <v>7452.0</v>
      </c>
      <c r="P459" s="11">
        <v>211.0</v>
      </c>
    </row>
    <row r="460">
      <c r="C460" s="276">
        <v>10.0</v>
      </c>
      <c r="J460" s="24">
        <v>5.0</v>
      </c>
      <c r="K460" s="24">
        <v>773.0</v>
      </c>
      <c r="M460" s="276">
        <v>58.0</v>
      </c>
      <c r="O460" s="277">
        <v>7453.0</v>
      </c>
      <c r="P460" s="11">
        <v>213.0</v>
      </c>
    </row>
    <row r="461">
      <c r="C461" s="276">
        <v>72.0</v>
      </c>
      <c r="J461" s="24">
        <v>9.0</v>
      </c>
      <c r="K461" s="24">
        <v>915.0</v>
      </c>
      <c r="M461" s="276">
        <v>3.0</v>
      </c>
      <c r="O461" s="277">
        <v>7454.0</v>
      </c>
      <c r="P461" s="11">
        <v>201.0</v>
      </c>
    </row>
    <row r="462">
      <c r="C462" s="276">
        <v>72.0</v>
      </c>
      <c r="J462" s="24">
        <v>1.0</v>
      </c>
      <c r="K462" s="24">
        <v>973.0</v>
      </c>
      <c r="M462" s="276">
        <v>5.0</v>
      </c>
      <c r="O462" s="3">
        <v>7455.0</v>
      </c>
      <c r="P462" s="11">
        <v>208.0</v>
      </c>
    </row>
    <row r="463">
      <c r="C463" s="276">
        <v>51.0</v>
      </c>
      <c r="J463" s="24">
        <v>8.0</v>
      </c>
      <c r="K463" s="24">
        <v>315.0</v>
      </c>
      <c r="M463" s="276">
        <v>59.0</v>
      </c>
      <c r="O463" s="277">
        <v>7456.0</v>
      </c>
      <c r="P463" s="11">
        <v>214.0</v>
      </c>
    </row>
    <row r="464">
      <c r="C464" s="276">
        <v>31.0</v>
      </c>
      <c r="J464" s="24">
        <v>1.0</v>
      </c>
      <c r="K464" s="24">
        <v>156.0</v>
      </c>
      <c r="M464" s="276">
        <v>11.0</v>
      </c>
      <c r="O464" s="277">
        <v>7457.0</v>
      </c>
      <c r="P464" s="11">
        <v>215.0</v>
      </c>
    </row>
    <row r="465">
      <c r="C465" s="276">
        <v>72.0</v>
      </c>
      <c r="J465" s="24">
        <v>8.0</v>
      </c>
      <c r="K465" s="24">
        <v>925.0</v>
      </c>
      <c r="M465" s="276">
        <v>7.0</v>
      </c>
      <c r="O465" s="277">
        <v>7458.0</v>
      </c>
      <c r="P465" s="11">
        <v>216.0</v>
      </c>
    </row>
    <row r="466">
      <c r="C466" s="276">
        <v>92.0</v>
      </c>
      <c r="J466" s="24">
        <v>5.0</v>
      </c>
      <c r="K466" s="24">
        <v>440.0</v>
      </c>
      <c r="M466" s="276">
        <v>59.0</v>
      </c>
      <c r="O466" s="277">
        <v>7459.0</v>
      </c>
      <c r="P466" s="11">
        <v>211.0</v>
      </c>
    </row>
    <row r="467">
      <c r="C467" s="276">
        <v>72.0</v>
      </c>
      <c r="J467" s="24">
        <v>4.0</v>
      </c>
      <c r="K467" s="24">
        <v>762.0</v>
      </c>
      <c r="M467" s="276">
        <v>13.0</v>
      </c>
      <c r="O467" s="3">
        <v>7460.0</v>
      </c>
      <c r="P467" s="11">
        <v>207.0</v>
      </c>
    </row>
    <row r="468">
      <c r="C468" s="276">
        <v>31.0</v>
      </c>
      <c r="J468" s="24">
        <v>3.0</v>
      </c>
      <c r="K468" s="24">
        <v>724.0</v>
      </c>
      <c r="M468" s="276">
        <v>18.0</v>
      </c>
      <c r="O468" s="277">
        <v>7461.0</v>
      </c>
      <c r="P468" s="11">
        <v>211.0</v>
      </c>
    </row>
    <row r="469">
      <c r="C469" s="276">
        <v>92.0</v>
      </c>
      <c r="J469" s="24">
        <v>9.0</v>
      </c>
      <c r="K469" s="24">
        <v>808.0</v>
      </c>
      <c r="M469" s="276">
        <v>63.0</v>
      </c>
      <c r="O469" s="277">
        <v>7462.0</v>
      </c>
      <c r="P469" s="11">
        <v>217.0</v>
      </c>
    </row>
    <row r="470">
      <c r="C470" s="276">
        <v>72.0</v>
      </c>
      <c r="J470" s="24">
        <v>5.0</v>
      </c>
      <c r="K470" s="24">
        <v>155.0</v>
      </c>
      <c r="M470" s="276">
        <v>18.0</v>
      </c>
      <c r="O470" s="277">
        <v>7463.0</v>
      </c>
      <c r="P470" s="11">
        <v>218.0</v>
      </c>
    </row>
    <row r="471">
      <c r="C471" s="276">
        <v>31.0</v>
      </c>
      <c r="J471" s="24">
        <v>1.0</v>
      </c>
      <c r="K471" s="24">
        <v>289.0</v>
      </c>
      <c r="M471" s="276">
        <v>23.0</v>
      </c>
      <c r="O471" s="277">
        <v>7464.0</v>
      </c>
      <c r="P471" s="11">
        <v>217.0</v>
      </c>
    </row>
    <row r="472">
      <c r="C472" s="276">
        <v>31.0</v>
      </c>
      <c r="J472" s="24">
        <v>9.0</v>
      </c>
      <c r="K472" s="24">
        <v>963.0</v>
      </c>
      <c r="M472" s="276">
        <v>24.0</v>
      </c>
      <c r="O472" s="3">
        <v>7465.0</v>
      </c>
      <c r="P472" s="11">
        <v>201.0</v>
      </c>
    </row>
    <row r="473">
      <c r="C473" s="276">
        <v>31.0</v>
      </c>
      <c r="J473" s="24">
        <v>4.0</v>
      </c>
      <c r="K473" s="24">
        <v>273.0</v>
      </c>
      <c r="M473" s="276">
        <v>22.0</v>
      </c>
      <c r="O473" s="277">
        <v>7466.0</v>
      </c>
      <c r="P473" s="11">
        <v>219.0</v>
      </c>
    </row>
    <row r="474">
      <c r="C474" s="276">
        <v>92.0</v>
      </c>
      <c r="J474" s="24">
        <v>5.0</v>
      </c>
      <c r="K474" s="24">
        <v>868.0</v>
      </c>
      <c r="M474" s="276">
        <v>70.0</v>
      </c>
      <c r="O474" s="277">
        <v>7467.0</v>
      </c>
      <c r="P474" s="11">
        <v>219.0</v>
      </c>
    </row>
    <row r="475">
      <c r="C475" s="276">
        <v>10.0</v>
      </c>
      <c r="J475" s="24">
        <v>1.0</v>
      </c>
      <c r="K475" s="24">
        <v>928.0</v>
      </c>
      <c r="M475" s="276">
        <v>79.0</v>
      </c>
      <c r="O475" s="277">
        <v>7468.0</v>
      </c>
      <c r="P475" s="11">
        <v>201.0</v>
      </c>
    </row>
    <row r="476">
      <c r="C476" s="276">
        <v>92.0</v>
      </c>
      <c r="J476" s="24">
        <v>1.0</v>
      </c>
      <c r="K476" s="24">
        <v>172.0</v>
      </c>
      <c r="M476" s="276">
        <v>72.0</v>
      </c>
      <c r="O476" s="277">
        <v>7469.0</v>
      </c>
      <c r="P476" s="11">
        <v>213.0</v>
      </c>
    </row>
    <row r="477">
      <c r="C477" s="276">
        <v>51.0</v>
      </c>
      <c r="J477" s="24">
        <v>8.0</v>
      </c>
      <c r="K477" s="24">
        <v>732.0</v>
      </c>
      <c r="M477" s="276">
        <v>77.0</v>
      </c>
      <c r="O477" s="3">
        <v>7470.0</v>
      </c>
      <c r="P477" s="11">
        <v>219.0</v>
      </c>
    </row>
    <row r="478">
      <c r="C478" s="276">
        <v>10.0</v>
      </c>
      <c r="J478" s="24">
        <v>2.0</v>
      </c>
      <c r="K478" s="24">
        <v>200.0</v>
      </c>
      <c r="M478" s="276">
        <v>82.0</v>
      </c>
      <c r="O478" s="277">
        <v>7471.0</v>
      </c>
      <c r="P478" s="11">
        <v>213.0</v>
      </c>
    </row>
    <row r="479">
      <c r="C479" s="276">
        <v>10.0</v>
      </c>
      <c r="J479" s="24">
        <v>9.0</v>
      </c>
      <c r="K479" s="24">
        <v>313.0</v>
      </c>
      <c r="M479" s="276">
        <v>74.0</v>
      </c>
      <c r="O479" s="277">
        <v>7472.0</v>
      </c>
      <c r="P479" s="11">
        <v>206.0</v>
      </c>
    </row>
    <row r="480">
      <c r="C480" s="276">
        <v>92.0</v>
      </c>
      <c r="J480" s="24">
        <v>3.0</v>
      </c>
      <c r="K480" s="24">
        <v>578.0</v>
      </c>
      <c r="M480" s="276">
        <v>71.0</v>
      </c>
      <c r="O480" s="277">
        <v>7473.0</v>
      </c>
      <c r="P480" s="11">
        <v>220.0</v>
      </c>
    </row>
    <row r="481">
      <c r="C481" s="276">
        <v>72.0</v>
      </c>
      <c r="J481" s="24">
        <v>9.0</v>
      </c>
      <c r="K481" s="24">
        <v>440.0</v>
      </c>
      <c r="M481" s="276">
        <v>30.0</v>
      </c>
      <c r="O481" s="277">
        <v>7474.0</v>
      </c>
      <c r="P481" s="11">
        <v>200.0</v>
      </c>
    </row>
    <row r="482">
      <c r="C482" s="276">
        <v>10.0</v>
      </c>
      <c r="J482" s="24">
        <v>6.0</v>
      </c>
      <c r="K482" s="24">
        <v>340.0</v>
      </c>
      <c r="M482" s="276">
        <v>87.0</v>
      </c>
      <c r="O482" s="3">
        <v>7475.0</v>
      </c>
      <c r="P482" s="11">
        <v>214.0</v>
      </c>
    </row>
    <row r="483">
      <c r="C483" s="276">
        <v>31.0</v>
      </c>
      <c r="J483" s="24">
        <v>9.0</v>
      </c>
      <c r="K483" s="24">
        <v>536.0</v>
      </c>
      <c r="M483" s="276">
        <v>36.0</v>
      </c>
      <c r="O483" s="277">
        <v>7476.0</v>
      </c>
      <c r="P483" s="11">
        <v>200.0</v>
      </c>
    </row>
    <row r="484">
      <c r="C484" s="276">
        <v>31.0</v>
      </c>
      <c r="J484" s="24">
        <v>8.0</v>
      </c>
      <c r="K484" s="24">
        <v>610.0</v>
      </c>
      <c r="M484" s="276">
        <v>37.0</v>
      </c>
      <c r="O484" s="277">
        <v>7477.0</v>
      </c>
      <c r="P484" s="11">
        <v>213.0</v>
      </c>
    </row>
    <row r="485">
      <c r="C485" s="276">
        <v>92.0</v>
      </c>
      <c r="J485" s="24">
        <v>9.0</v>
      </c>
      <c r="K485" s="24">
        <v>747.0</v>
      </c>
      <c r="M485" s="276">
        <v>81.0</v>
      </c>
      <c r="O485" s="277">
        <v>7478.0</v>
      </c>
      <c r="P485" s="11">
        <v>203.0</v>
      </c>
    </row>
    <row r="486">
      <c r="C486" s="276">
        <v>92.0</v>
      </c>
      <c r="J486" s="24">
        <v>7.0</v>
      </c>
      <c r="K486" s="24">
        <v>346.0</v>
      </c>
      <c r="M486" s="276">
        <v>83.0</v>
      </c>
      <c r="O486" s="277">
        <v>7479.0</v>
      </c>
      <c r="P486" s="11">
        <v>212.0</v>
      </c>
    </row>
    <row r="487">
      <c r="C487" s="276">
        <v>72.0</v>
      </c>
      <c r="J487" s="24">
        <v>5.0</v>
      </c>
      <c r="K487" s="24">
        <v>969.0</v>
      </c>
      <c r="M487" s="276">
        <v>32.0</v>
      </c>
      <c r="O487" s="3">
        <v>7480.0</v>
      </c>
      <c r="P487" s="11">
        <v>204.0</v>
      </c>
    </row>
    <row r="488">
      <c r="C488" s="276">
        <v>31.0</v>
      </c>
      <c r="J488" s="24">
        <v>2.0</v>
      </c>
      <c r="K488" s="24">
        <v>140.0</v>
      </c>
      <c r="M488" s="276">
        <v>35.0</v>
      </c>
      <c r="O488" s="277">
        <v>7481.0</v>
      </c>
      <c r="P488" s="11">
        <v>209.0</v>
      </c>
    </row>
    <row r="489">
      <c r="C489" s="276">
        <v>72.0</v>
      </c>
      <c r="J489" s="24">
        <v>2.0</v>
      </c>
      <c r="K489" s="24">
        <v>971.0</v>
      </c>
      <c r="M489" s="276">
        <v>38.0</v>
      </c>
      <c r="O489" s="277">
        <v>7482.0</v>
      </c>
      <c r="P489" s="11">
        <v>200.0</v>
      </c>
    </row>
    <row r="490">
      <c r="C490" s="276">
        <v>92.0</v>
      </c>
      <c r="J490" s="24">
        <v>6.0</v>
      </c>
      <c r="K490" s="24">
        <v>378.0</v>
      </c>
      <c r="M490" s="276">
        <v>88.0</v>
      </c>
      <c r="O490" s="277">
        <v>7483.0</v>
      </c>
      <c r="P490" s="11">
        <v>215.0</v>
      </c>
    </row>
    <row r="491">
      <c r="C491" s="276">
        <v>51.0</v>
      </c>
      <c r="J491" s="24">
        <v>2.0</v>
      </c>
      <c r="K491" s="24">
        <v>905.0</v>
      </c>
      <c r="M491" s="276">
        <v>93.0</v>
      </c>
      <c r="O491" s="277">
        <v>7484.0</v>
      </c>
      <c r="P491" s="11">
        <v>219.0</v>
      </c>
    </row>
    <row r="492">
      <c r="C492" s="276">
        <v>51.0</v>
      </c>
      <c r="J492" s="24">
        <v>2.0</v>
      </c>
      <c r="K492" s="24">
        <v>169.0</v>
      </c>
      <c r="M492" s="276">
        <v>92.0</v>
      </c>
      <c r="O492" s="3">
        <v>7485.0</v>
      </c>
      <c r="P492" s="11">
        <v>202.0</v>
      </c>
    </row>
    <row r="493">
      <c r="C493" s="276">
        <v>92.0</v>
      </c>
      <c r="J493" s="24">
        <v>6.0</v>
      </c>
      <c r="K493" s="24">
        <v>865.0</v>
      </c>
      <c r="M493" s="276">
        <v>91.0</v>
      </c>
      <c r="O493" s="277">
        <v>7486.0</v>
      </c>
      <c r="P493" s="11">
        <v>204.0</v>
      </c>
    </row>
    <row r="494">
      <c r="C494" s="276">
        <v>11.0</v>
      </c>
      <c r="J494" s="24">
        <v>2.0</v>
      </c>
      <c r="K494" s="24">
        <v>573.0</v>
      </c>
      <c r="M494" s="276">
        <v>0.0</v>
      </c>
      <c r="O494" s="277">
        <v>7487.0</v>
      </c>
      <c r="P494" s="11">
        <v>205.0</v>
      </c>
    </row>
    <row r="495">
      <c r="C495" s="276">
        <v>31.0</v>
      </c>
      <c r="J495" s="24">
        <v>1.0</v>
      </c>
      <c r="K495" s="24">
        <v>611.0</v>
      </c>
      <c r="M495" s="276">
        <v>49.0</v>
      </c>
      <c r="O495" s="277">
        <v>7488.0</v>
      </c>
      <c r="P495" s="11">
        <v>217.0</v>
      </c>
    </row>
    <row r="496">
      <c r="C496" s="276">
        <v>31.0</v>
      </c>
      <c r="J496" s="24">
        <v>8.0</v>
      </c>
      <c r="K496" s="24">
        <v>162.0</v>
      </c>
      <c r="M496" s="276">
        <v>50.0</v>
      </c>
      <c r="O496" s="277">
        <v>7489.0</v>
      </c>
      <c r="P496" s="11">
        <v>210.0</v>
      </c>
    </row>
    <row r="497">
      <c r="C497" s="276">
        <v>11.0</v>
      </c>
      <c r="J497" s="24">
        <v>8.0</v>
      </c>
      <c r="K497" s="24">
        <v>269.0</v>
      </c>
      <c r="M497" s="276">
        <v>3.0</v>
      </c>
      <c r="O497" s="3">
        <v>7490.0</v>
      </c>
      <c r="P497" s="11">
        <v>204.0</v>
      </c>
    </row>
    <row r="498">
      <c r="C498" s="276">
        <v>31.0</v>
      </c>
      <c r="J498" s="24">
        <v>3.0</v>
      </c>
      <c r="K498" s="24">
        <v>979.0</v>
      </c>
      <c r="M498" s="276">
        <v>52.0</v>
      </c>
      <c r="O498" s="277">
        <v>7491.0</v>
      </c>
      <c r="P498" s="11">
        <v>203.0</v>
      </c>
    </row>
    <row r="499">
      <c r="C499" s="276">
        <v>72.0</v>
      </c>
      <c r="J499" s="24">
        <v>4.0</v>
      </c>
      <c r="K499" s="24">
        <v>975.0</v>
      </c>
      <c r="M499" s="276">
        <v>48.0</v>
      </c>
      <c r="O499" s="277">
        <v>7492.0</v>
      </c>
      <c r="P499" s="11">
        <v>203.0</v>
      </c>
    </row>
    <row r="500">
      <c r="C500" s="276">
        <v>31.0</v>
      </c>
      <c r="J500" s="24">
        <v>6.0</v>
      </c>
      <c r="K500" s="24">
        <v>383.0</v>
      </c>
      <c r="M500" s="276">
        <v>54.0</v>
      </c>
      <c r="O500" s="277">
        <v>7493.0</v>
      </c>
      <c r="P500" s="11">
        <v>203.0</v>
      </c>
    </row>
    <row r="501">
      <c r="C501" s="276">
        <v>92.0</v>
      </c>
      <c r="J501" s="24">
        <v>8.0</v>
      </c>
      <c r="K501" s="24">
        <v>539.0</v>
      </c>
      <c r="M501" s="276">
        <v>99.0</v>
      </c>
      <c r="O501" s="277">
        <v>7494.0</v>
      </c>
      <c r="P501" s="11">
        <v>217.0</v>
      </c>
    </row>
    <row r="502">
      <c r="C502" s="276">
        <v>31.0</v>
      </c>
      <c r="J502" s="24">
        <v>3.0</v>
      </c>
      <c r="K502" s="24">
        <v>633.0</v>
      </c>
      <c r="M502" s="276">
        <v>56.0</v>
      </c>
      <c r="O502" s="3">
        <v>7495.0</v>
      </c>
      <c r="P502" s="11">
        <v>217.0</v>
      </c>
    </row>
    <row r="503">
      <c r="C503" s="276">
        <v>11.0</v>
      </c>
      <c r="J503" s="24">
        <v>1.0</v>
      </c>
      <c r="K503" s="24">
        <v>970.0</v>
      </c>
      <c r="M503" s="276">
        <v>4.0</v>
      </c>
      <c r="O503" s="277">
        <v>7496.0</v>
      </c>
      <c r="P503" s="11">
        <v>220.0</v>
      </c>
    </row>
    <row r="504">
      <c r="C504" s="276">
        <v>72.0</v>
      </c>
      <c r="J504" s="24">
        <v>7.0</v>
      </c>
      <c r="K504" s="24">
        <v>766.0</v>
      </c>
      <c r="M504" s="276">
        <v>54.0</v>
      </c>
      <c r="O504" s="277">
        <v>7497.0</v>
      </c>
      <c r="P504" s="11">
        <v>212.0</v>
      </c>
    </row>
    <row r="505">
      <c r="C505" s="276">
        <v>52.0</v>
      </c>
      <c r="J505" s="24">
        <v>4.0</v>
      </c>
      <c r="K505" s="24">
        <v>147.0</v>
      </c>
      <c r="M505" s="276">
        <v>8.0</v>
      </c>
      <c r="O505" s="277">
        <v>7498.0</v>
      </c>
      <c r="P505" s="11">
        <v>218.0</v>
      </c>
    </row>
    <row r="506">
      <c r="C506" s="276">
        <v>31.0</v>
      </c>
      <c r="J506" s="24">
        <v>2.0</v>
      </c>
      <c r="K506" s="24">
        <v>341.0</v>
      </c>
      <c r="M506" s="276">
        <v>61.0</v>
      </c>
      <c r="O506" s="277">
        <v>7499.0</v>
      </c>
      <c r="P506" s="11">
        <v>207.0</v>
      </c>
    </row>
    <row r="507">
      <c r="C507" s="276">
        <v>31.0</v>
      </c>
      <c r="J507" s="24">
        <v>3.0</v>
      </c>
      <c r="K507" s="24">
        <v>636.0</v>
      </c>
      <c r="M507" s="276">
        <v>60.0</v>
      </c>
      <c r="O507" s="3">
        <v>7500.0</v>
      </c>
      <c r="P507" s="11">
        <v>200.0</v>
      </c>
    </row>
    <row r="508">
      <c r="C508" s="276">
        <v>52.0</v>
      </c>
      <c r="J508" s="24">
        <v>5.0</v>
      </c>
      <c r="K508" s="24">
        <v>904.0</v>
      </c>
      <c r="M508" s="276">
        <v>11.0</v>
      </c>
      <c r="O508" s="277">
        <v>7501.0</v>
      </c>
      <c r="P508" s="11">
        <v>204.0</v>
      </c>
    </row>
    <row r="509">
      <c r="C509" s="276">
        <v>93.0</v>
      </c>
      <c r="J509" s="24">
        <v>3.0</v>
      </c>
      <c r="K509" s="24">
        <v>442.0</v>
      </c>
      <c r="M509" s="276">
        <v>9.0</v>
      </c>
      <c r="O509" s="277">
        <v>7502.0</v>
      </c>
      <c r="P509" s="11">
        <v>217.0</v>
      </c>
    </row>
    <row r="510">
      <c r="C510" s="276">
        <v>72.0</v>
      </c>
      <c r="J510" s="24">
        <v>9.0</v>
      </c>
      <c r="K510" s="24">
        <v>500.0</v>
      </c>
      <c r="M510" s="276">
        <v>62.0</v>
      </c>
      <c r="O510" s="277">
        <v>7503.0</v>
      </c>
      <c r="P510" s="11">
        <v>208.0</v>
      </c>
    </row>
    <row r="511">
      <c r="C511" s="276">
        <v>72.0</v>
      </c>
      <c r="J511" s="24">
        <v>1.0</v>
      </c>
      <c r="K511" s="24">
        <v>936.0</v>
      </c>
      <c r="M511" s="276">
        <v>65.0</v>
      </c>
      <c r="O511" s="277">
        <v>7504.0</v>
      </c>
      <c r="P511" s="11">
        <v>210.0</v>
      </c>
    </row>
    <row r="512">
      <c r="C512" s="276">
        <v>11.0</v>
      </c>
      <c r="J512" s="24">
        <v>6.0</v>
      </c>
      <c r="K512" s="24">
        <v>117.0</v>
      </c>
      <c r="M512" s="276">
        <v>25.0</v>
      </c>
      <c r="O512" s="3">
        <v>7505.0</v>
      </c>
      <c r="P512" s="11">
        <v>207.0</v>
      </c>
    </row>
    <row r="513">
      <c r="C513" s="276">
        <v>31.0</v>
      </c>
      <c r="J513" s="24">
        <v>1.0</v>
      </c>
      <c r="K513" s="24">
        <v>567.0</v>
      </c>
      <c r="M513" s="276">
        <v>74.0</v>
      </c>
      <c r="O513" s="277">
        <v>7506.0</v>
      </c>
      <c r="P513" s="11">
        <v>219.0</v>
      </c>
    </row>
    <row r="514">
      <c r="C514" s="276">
        <v>31.0</v>
      </c>
      <c r="J514" s="24">
        <v>8.0</v>
      </c>
      <c r="K514" s="24">
        <v>172.0</v>
      </c>
      <c r="M514" s="276">
        <v>75.0</v>
      </c>
      <c r="O514" s="277">
        <v>7507.0</v>
      </c>
      <c r="P514" s="11">
        <v>205.0</v>
      </c>
    </row>
    <row r="515">
      <c r="C515" s="276">
        <v>72.0</v>
      </c>
      <c r="J515" s="24">
        <v>6.0</v>
      </c>
      <c r="K515" s="24">
        <v>766.0</v>
      </c>
      <c r="M515" s="276">
        <v>72.0</v>
      </c>
      <c r="O515" s="277">
        <v>7508.0</v>
      </c>
      <c r="P515" s="11">
        <v>216.0</v>
      </c>
    </row>
    <row r="516">
      <c r="C516" s="276">
        <v>72.0</v>
      </c>
      <c r="J516" s="24">
        <v>7.0</v>
      </c>
      <c r="K516" s="24">
        <v>538.0</v>
      </c>
      <c r="M516" s="276">
        <v>70.0</v>
      </c>
      <c r="O516" s="277">
        <v>7509.0</v>
      </c>
      <c r="P516" s="11">
        <v>212.0</v>
      </c>
    </row>
    <row r="517">
      <c r="C517" s="276">
        <v>11.0</v>
      </c>
      <c r="J517" s="24">
        <v>7.0</v>
      </c>
      <c r="K517" s="24">
        <v>466.0</v>
      </c>
      <c r="M517" s="276">
        <v>30.0</v>
      </c>
      <c r="O517" s="3">
        <v>7510.0</v>
      </c>
      <c r="P517" s="11">
        <v>209.0</v>
      </c>
    </row>
    <row r="518">
      <c r="C518" s="276">
        <v>93.0</v>
      </c>
      <c r="J518" s="24">
        <v>2.0</v>
      </c>
      <c r="K518" s="24">
        <v>645.0</v>
      </c>
      <c r="M518" s="276">
        <v>23.0</v>
      </c>
      <c r="O518" s="277">
        <v>7511.0</v>
      </c>
      <c r="P518" s="11">
        <v>207.0</v>
      </c>
    </row>
    <row r="519">
      <c r="C519" s="276">
        <v>52.0</v>
      </c>
      <c r="J519" s="24">
        <v>2.0</v>
      </c>
      <c r="K519" s="24">
        <v>372.0</v>
      </c>
      <c r="M519" s="276">
        <v>23.0</v>
      </c>
      <c r="O519" s="277">
        <v>7512.0</v>
      </c>
      <c r="P519" s="11">
        <v>200.0</v>
      </c>
    </row>
    <row r="520">
      <c r="C520" s="276">
        <v>31.0</v>
      </c>
      <c r="J520" s="24">
        <v>8.0</v>
      </c>
      <c r="K520" s="24">
        <v>556.0</v>
      </c>
      <c r="M520" s="276">
        <v>80.0</v>
      </c>
      <c r="O520" s="277">
        <v>7513.0</v>
      </c>
      <c r="P520" s="11">
        <v>211.0</v>
      </c>
    </row>
    <row r="521">
      <c r="C521" s="276">
        <v>31.0</v>
      </c>
      <c r="J521" s="24">
        <v>2.0</v>
      </c>
      <c r="K521" s="24">
        <v>146.0</v>
      </c>
      <c r="M521" s="276">
        <v>76.0</v>
      </c>
      <c r="O521" s="277">
        <v>7514.0</v>
      </c>
      <c r="P521" s="11">
        <v>201.0</v>
      </c>
    </row>
    <row r="522">
      <c r="C522" s="276">
        <v>11.0</v>
      </c>
      <c r="J522" s="24">
        <v>6.0</v>
      </c>
      <c r="K522" s="24">
        <v>383.0</v>
      </c>
      <c r="M522" s="276">
        <v>36.0</v>
      </c>
      <c r="O522" s="3">
        <v>7515.0</v>
      </c>
      <c r="P522" s="11">
        <v>216.0</v>
      </c>
    </row>
    <row r="523">
      <c r="C523" s="276">
        <v>93.0</v>
      </c>
      <c r="J523" s="24">
        <v>3.0</v>
      </c>
      <c r="K523" s="24">
        <v>339.0</v>
      </c>
      <c r="M523" s="276">
        <v>29.0</v>
      </c>
      <c r="O523" s="277">
        <v>7516.0</v>
      </c>
      <c r="P523" s="11">
        <v>213.0</v>
      </c>
    </row>
    <row r="524">
      <c r="C524" s="276">
        <v>93.0</v>
      </c>
      <c r="J524" s="24">
        <v>7.0</v>
      </c>
      <c r="K524" s="24">
        <v>810.0</v>
      </c>
      <c r="M524" s="276">
        <v>30.0</v>
      </c>
      <c r="O524" s="277">
        <v>7517.0</v>
      </c>
      <c r="P524" s="11">
        <v>204.0</v>
      </c>
    </row>
    <row r="525">
      <c r="C525" s="276">
        <v>93.0</v>
      </c>
      <c r="J525" s="24">
        <v>4.0</v>
      </c>
      <c r="K525" s="24">
        <v>338.0</v>
      </c>
      <c r="M525" s="276">
        <v>28.0</v>
      </c>
      <c r="O525" s="277">
        <v>7518.0</v>
      </c>
      <c r="P525" s="11">
        <v>208.0</v>
      </c>
    </row>
    <row r="526">
      <c r="C526" s="276">
        <v>11.0</v>
      </c>
      <c r="J526" s="24">
        <v>9.0</v>
      </c>
      <c r="K526" s="24">
        <v>159.0</v>
      </c>
      <c r="M526" s="276">
        <v>40.0</v>
      </c>
      <c r="O526" s="277">
        <v>7519.0</v>
      </c>
      <c r="P526" s="11">
        <v>207.0</v>
      </c>
    </row>
    <row r="527">
      <c r="C527" s="276">
        <v>52.0</v>
      </c>
      <c r="J527" s="24">
        <v>3.0</v>
      </c>
      <c r="K527" s="24">
        <v>828.0</v>
      </c>
      <c r="M527" s="276">
        <v>39.0</v>
      </c>
      <c r="O527" s="3">
        <v>7520.0</v>
      </c>
      <c r="P527" s="11">
        <v>209.0</v>
      </c>
    </row>
    <row r="528">
      <c r="C528" s="276">
        <v>72.0</v>
      </c>
      <c r="J528" s="24">
        <v>1.0</v>
      </c>
      <c r="K528" s="24">
        <v>355.0</v>
      </c>
      <c r="M528" s="276">
        <v>87.0</v>
      </c>
      <c r="O528" s="277">
        <v>7521.0</v>
      </c>
      <c r="P528" s="11">
        <v>213.0</v>
      </c>
    </row>
    <row r="529">
      <c r="C529" s="276">
        <v>31.0</v>
      </c>
      <c r="J529" s="24">
        <v>4.0</v>
      </c>
      <c r="K529" s="24">
        <v>466.0</v>
      </c>
      <c r="M529" s="276">
        <v>93.0</v>
      </c>
      <c r="O529" s="277">
        <v>7522.0</v>
      </c>
      <c r="P529" s="11">
        <v>218.0</v>
      </c>
    </row>
    <row r="530">
      <c r="C530" s="276">
        <v>93.0</v>
      </c>
      <c r="J530" s="24">
        <v>6.0</v>
      </c>
      <c r="K530" s="24">
        <v>155.0</v>
      </c>
      <c r="M530" s="276">
        <v>38.0</v>
      </c>
      <c r="O530" s="277">
        <v>7523.0</v>
      </c>
      <c r="P530" s="11">
        <v>204.0</v>
      </c>
    </row>
    <row r="531">
      <c r="C531" s="276">
        <v>31.0</v>
      </c>
      <c r="J531" s="24">
        <v>5.0</v>
      </c>
      <c r="K531" s="24">
        <v>586.0</v>
      </c>
      <c r="M531" s="276">
        <v>95.0</v>
      </c>
      <c r="O531" s="277">
        <v>7524.0</v>
      </c>
      <c r="P531" s="11">
        <v>216.0</v>
      </c>
    </row>
    <row r="532">
      <c r="C532" s="276">
        <v>11.0</v>
      </c>
      <c r="J532" s="24">
        <v>4.0</v>
      </c>
      <c r="K532" s="24">
        <v>609.0</v>
      </c>
      <c r="M532" s="276">
        <v>44.0</v>
      </c>
      <c r="O532" s="3">
        <v>7525.0</v>
      </c>
      <c r="P532" s="11">
        <v>219.0</v>
      </c>
    </row>
    <row r="533">
      <c r="C533" s="276">
        <v>93.0</v>
      </c>
      <c r="J533" s="24">
        <v>9.0</v>
      </c>
      <c r="K533" s="24">
        <v>747.0</v>
      </c>
      <c r="M533" s="276">
        <v>41.0</v>
      </c>
      <c r="O533" s="277">
        <v>7526.0</v>
      </c>
      <c r="P533" s="11">
        <v>208.0</v>
      </c>
    </row>
    <row r="534">
      <c r="C534" s="276">
        <v>31.0</v>
      </c>
      <c r="J534" s="24">
        <v>6.0</v>
      </c>
      <c r="K534" s="24">
        <v>673.0</v>
      </c>
      <c r="M534" s="276">
        <v>91.0</v>
      </c>
      <c r="O534" s="277">
        <v>7527.0</v>
      </c>
      <c r="P534" s="11">
        <v>200.0</v>
      </c>
    </row>
    <row r="535">
      <c r="C535" s="276">
        <v>11.0</v>
      </c>
      <c r="J535" s="24">
        <v>5.0</v>
      </c>
      <c r="K535" s="24">
        <v>850.0</v>
      </c>
      <c r="M535" s="276">
        <v>51.0</v>
      </c>
      <c r="O535" s="277">
        <v>7528.0</v>
      </c>
      <c r="P535" s="11">
        <v>216.0</v>
      </c>
    </row>
    <row r="536">
      <c r="C536" s="276">
        <v>72.0</v>
      </c>
      <c r="J536" s="24">
        <v>9.0</v>
      </c>
      <c r="K536" s="24">
        <v>339.0</v>
      </c>
      <c r="M536" s="276">
        <v>88.0</v>
      </c>
      <c r="O536" s="277">
        <v>7529.0</v>
      </c>
      <c r="P536" s="11">
        <v>207.0</v>
      </c>
    </row>
    <row r="537">
      <c r="C537" s="276">
        <v>72.0</v>
      </c>
      <c r="J537" s="24">
        <v>8.0</v>
      </c>
      <c r="K537" s="24">
        <v>478.0</v>
      </c>
      <c r="M537" s="276">
        <v>99.0</v>
      </c>
      <c r="O537" s="3">
        <v>7530.0</v>
      </c>
      <c r="P537" s="11">
        <v>220.0</v>
      </c>
    </row>
    <row r="538">
      <c r="C538" s="276">
        <v>32.0</v>
      </c>
      <c r="J538" s="24">
        <v>3.0</v>
      </c>
      <c r="K538" s="24">
        <v>921.0</v>
      </c>
      <c r="M538" s="276">
        <v>3.0</v>
      </c>
      <c r="O538" s="277">
        <v>7531.0</v>
      </c>
      <c r="P538" s="11">
        <v>217.0</v>
      </c>
    </row>
    <row r="539">
      <c r="C539" s="276">
        <v>73.0</v>
      </c>
      <c r="J539" s="24">
        <v>1.0</v>
      </c>
      <c r="K539" s="24">
        <v>889.0</v>
      </c>
      <c r="M539" s="276">
        <v>0.0</v>
      </c>
      <c r="O539" s="277">
        <v>7532.0</v>
      </c>
      <c r="P539" s="11">
        <v>212.0</v>
      </c>
    </row>
    <row r="540">
      <c r="C540" s="276">
        <v>52.0</v>
      </c>
      <c r="J540" s="24">
        <v>1.0</v>
      </c>
      <c r="K540" s="24">
        <v>659.0</v>
      </c>
      <c r="M540" s="276">
        <v>54.0</v>
      </c>
      <c r="O540" s="277">
        <v>7533.0</v>
      </c>
      <c r="P540" s="11">
        <v>208.0</v>
      </c>
    </row>
    <row r="541">
      <c r="C541" s="276">
        <v>73.0</v>
      </c>
      <c r="J541" s="24">
        <v>5.0</v>
      </c>
      <c r="K541" s="24">
        <v>423.0</v>
      </c>
      <c r="M541" s="276">
        <v>4.0</v>
      </c>
      <c r="O541" s="277">
        <v>7534.0</v>
      </c>
      <c r="P541" s="11">
        <v>208.0</v>
      </c>
    </row>
    <row r="542">
      <c r="C542" s="276">
        <v>73.0</v>
      </c>
      <c r="J542" s="24">
        <v>2.0</v>
      </c>
      <c r="K542" s="24">
        <v>257.0</v>
      </c>
      <c r="M542" s="276">
        <v>5.0</v>
      </c>
      <c r="O542" s="3">
        <v>7535.0</v>
      </c>
      <c r="P542" s="11">
        <v>213.0</v>
      </c>
    </row>
    <row r="543">
      <c r="C543" s="276">
        <v>73.0</v>
      </c>
      <c r="J543" s="24">
        <v>7.0</v>
      </c>
      <c r="K543" s="24">
        <v>722.0</v>
      </c>
      <c r="M543" s="276">
        <v>7.0</v>
      </c>
      <c r="O543" s="277">
        <v>7536.0</v>
      </c>
      <c r="P543" s="11">
        <v>208.0</v>
      </c>
    </row>
    <row r="544">
      <c r="C544" s="276">
        <v>73.0</v>
      </c>
      <c r="J544" s="24">
        <v>2.0</v>
      </c>
      <c r="K544" s="24">
        <v>621.0</v>
      </c>
      <c r="M544" s="276">
        <v>8.0</v>
      </c>
      <c r="O544" s="277">
        <v>7537.0</v>
      </c>
      <c r="P544" s="11">
        <v>219.0</v>
      </c>
    </row>
    <row r="545">
      <c r="C545" s="276">
        <v>93.0</v>
      </c>
      <c r="J545" s="24">
        <v>9.0</v>
      </c>
      <c r="K545" s="24">
        <v>743.0</v>
      </c>
      <c r="M545" s="276">
        <v>56.0</v>
      </c>
      <c r="O545" s="277">
        <v>7538.0</v>
      </c>
      <c r="P545" s="11">
        <v>217.0</v>
      </c>
    </row>
    <row r="546">
      <c r="C546" s="276">
        <v>32.0</v>
      </c>
      <c r="J546" s="24">
        <v>9.0</v>
      </c>
      <c r="K546" s="24">
        <v>376.0</v>
      </c>
      <c r="M546" s="276">
        <v>14.0</v>
      </c>
      <c r="O546" s="277">
        <v>7539.0</v>
      </c>
      <c r="P546" s="11">
        <v>212.0</v>
      </c>
    </row>
    <row r="547">
      <c r="C547" s="276">
        <v>93.0</v>
      </c>
      <c r="J547" s="24">
        <v>5.0</v>
      </c>
      <c r="K547" s="24">
        <v>709.0</v>
      </c>
      <c r="M547" s="276">
        <v>60.0</v>
      </c>
      <c r="O547" s="3">
        <v>7540.0</v>
      </c>
      <c r="P547" s="11">
        <v>219.0</v>
      </c>
    </row>
    <row r="548">
      <c r="C548" s="276">
        <v>93.0</v>
      </c>
      <c r="J548" s="24">
        <v>8.0</v>
      </c>
      <c r="K548" s="24">
        <v>973.0</v>
      </c>
      <c r="M548" s="276">
        <v>61.0</v>
      </c>
      <c r="O548" s="277">
        <v>7541.0</v>
      </c>
      <c r="P548" s="11">
        <v>214.0</v>
      </c>
    </row>
    <row r="549">
      <c r="C549" s="276">
        <v>52.0</v>
      </c>
      <c r="J549" s="24">
        <v>1.0</v>
      </c>
      <c r="K549" s="24">
        <v>632.0</v>
      </c>
      <c r="M549" s="276">
        <v>66.0</v>
      </c>
      <c r="O549" s="277">
        <v>7542.0</v>
      </c>
      <c r="P549" s="11">
        <v>213.0</v>
      </c>
    </row>
    <row r="550">
      <c r="C550" s="276">
        <v>32.0</v>
      </c>
      <c r="J550" s="24">
        <v>2.0</v>
      </c>
      <c r="K550" s="24">
        <v>121.0</v>
      </c>
      <c r="M550" s="276">
        <v>18.0</v>
      </c>
      <c r="O550" s="277">
        <v>7543.0</v>
      </c>
      <c r="P550" s="11">
        <v>216.0</v>
      </c>
    </row>
    <row r="551">
      <c r="C551" s="276">
        <v>32.0</v>
      </c>
      <c r="J551" s="24">
        <v>9.0</v>
      </c>
      <c r="K551" s="24">
        <v>419.0</v>
      </c>
      <c r="M551" s="276">
        <v>16.0</v>
      </c>
      <c r="O551" s="277">
        <v>7544.0</v>
      </c>
      <c r="P551" s="11">
        <v>215.0</v>
      </c>
    </row>
    <row r="552">
      <c r="C552" s="276">
        <v>93.0</v>
      </c>
      <c r="J552" s="24">
        <v>2.0</v>
      </c>
      <c r="K552" s="24">
        <v>447.0</v>
      </c>
      <c r="M552" s="276">
        <v>67.0</v>
      </c>
      <c r="O552" s="3">
        <v>7545.0</v>
      </c>
      <c r="P552" s="11">
        <v>210.0</v>
      </c>
    </row>
    <row r="553">
      <c r="C553" s="276">
        <v>11.0</v>
      </c>
      <c r="J553" s="24">
        <v>9.0</v>
      </c>
      <c r="K553" s="24">
        <v>416.0</v>
      </c>
      <c r="M553" s="276">
        <v>76.0</v>
      </c>
      <c r="O553" s="277">
        <v>7546.0</v>
      </c>
      <c r="P553" s="11">
        <v>217.0</v>
      </c>
    </row>
    <row r="554">
      <c r="C554" s="276">
        <v>93.0</v>
      </c>
      <c r="J554" s="24">
        <v>8.0</v>
      </c>
      <c r="K554" s="24">
        <v>611.0</v>
      </c>
      <c r="M554" s="276">
        <v>71.0</v>
      </c>
      <c r="O554" s="277">
        <v>7547.0</v>
      </c>
      <c r="P554" s="11">
        <v>206.0</v>
      </c>
    </row>
    <row r="555">
      <c r="C555" s="276">
        <v>11.0</v>
      </c>
      <c r="J555" s="24">
        <v>5.0</v>
      </c>
      <c r="K555" s="24">
        <v>132.0</v>
      </c>
      <c r="M555" s="276">
        <v>80.0</v>
      </c>
      <c r="O555" s="277">
        <v>7548.0</v>
      </c>
      <c r="P555" s="11">
        <v>217.0</v>
      </c>
    </row>
    <row r="556">
      <c r="C556" s="276">
        <v>11.0</v>
      </c>
      <c r="J556" s="24">
        <v>3.0</v>
      </c>
      <c r="K556" s="24">
        <v>623.0</v>
      </c>
      <c r="M556" s="276">
        <v>81.0</v>
      </c>
      <c r="O556" s="277">
        <v>7549.0</v>
      </c>
      <c r="P556" s="11">
        <v>210.0</v>
      </c>
    </row>
    <row r="557">
      <c r="C557" s="276">
        <v>93.0</v>
      </c>
      <c r="J557" s="24">
        <v>9.0</v>
      </c>
      <c r="K557" s="24">
        <v>957.0</v>
      </c>
      <c r="M557" s="276">
        <v>75.0</v>
      </c>
      <c r="O557" s="3">
        <v>7550.0</v>
      </c>
      <c r="P557" s="11">
        <v>206.0</v>
      </c>
    </row>
    <row r="558">
      <c r="C558" s="276">
        <v>52.0</v>
      </c>
      <c r="J558" s="24">
        <v>7.0</v>
      </c>
      <c r="K558" s="24">
        <v>345.0</v>
      </c>
      <c r="M558" s="276">
        <v>79.0</v>
      </c>
      <c r="O558" s="277">
        <v>7551.0</v>
      </c>
      <c r="P558" s="11">
        <v>218.0</v>
      </c>
    </row>
    <row r="559">
      <c r="C559" s="276">
        <v>52.0</v>
      </c>
      <c r="J559" s="24">
        <v>3.0</v>
      </c>
      <c r="K559" s="24">
        <v>586.0</v>
      </c>
      <c r="M559" s="276">
        <v>81.0</v>
      </c>
      <c r="O559" s="277">
        <v>7552.0</v>
      </c>
      <c r="P559" s="11">
        <v>213.0</v>
      </c>
    </row>
    <row r="560">
      <c r="C560" s="276">
        <v>73.0</v>
      </c>
      <c r="J560" s="24">
        <v>9.0</v>
      </c>
      <c r="K560" s="24">
        <v>238.0</v>
      </c>
      <c r="M560" s="276">
        <v>29.0</v>
      </c>
      <c r="O560" s="277">
        <v>7553.0</v>
      </c>
      <c r="P560" s="11">
        <v>205.0</v>
      </c>
    </row>
    <row r="561">
      <c r="C561" s="276">
        <v>73.0</v>
      </c>
      <c r="J561" s="24">
        <v>8.0</v>
      </c>
      <c r="K561" s="24">
        <v>905.0</v>
      </c>
      <c r="M561" s="276">
        <v>30.0</v>
      </c>
      <c r="O561" s="277">
        <v>7554.0</v>
      </c>
      <c r="P561" s="11">
        <v>209.0</v>
      </c>
    </row>
    <row r="562">
      <c r="C562" s="276">
        <v>32.0</v>
      </c>
      <c r="J562" s="24">
        <v>7.0</v>
      </c>
      <c r="K562" s="24">
        <v>405.0</v>
      </c>
      <c r="M562" s="276">
        <v>37.0</v>
      </c>
      <c r="O562" s="3">
        <v>7555.0</v>
      </c>
      <c r="P562" s="11">
        <v>212.0</v>
      </c>
    </row>
    <row r="563">
      <c r="C563" s="276">
        <v>11.0</v>
      </c>
      <c r="J563" s="24">
        <v>7.0</v>
      </c>
      <c r="K563" s="24">
        <v>730.0</v>
      </c>
      <c r="M563" s="276">
        <v>90.0</v>
      </c>
      <c r="O563" s="277">
        <v>7556.0</v>
      </c>
      <c r="P563" s="11">
        <v>206.0</v>
      </c>
    </row>
    <row r="564">
      <c r="C564" s="276">
        <v>32.0</v>
      </c>
      <c r="J564" s="24">
        <v>2.0</v>
      </c>
      <c r="K564" s="24">
        <v>127.0</v>
      </c>
      <c r="M564" s="276">
        <v>38.0</v>
      </c>
      <c r="O564" s="277">
        <v>7557.0</v>
      </c>
      <c r="P564" s="11">
        <v>211.0</v>
      </c>
    </row>
    <row r="565">
      <c r="C565" s="276">
        <v>52.0</v>
      </c>
      <c r="J565" s="24">
        <v>8.0</v>
      </c>
      <c r="K565" s="24">
        <v>387.0</v>
      </c>
      <c r="M565" s="276">
        <v>89.0</v>
      </c>
      <c r="O565" s="277">
        <v>7558.0</v>
      </c>
      <c r="P565" s="11">
        <v>204.0</v>
      </c>
    </row>
    <row r="566">
      <c r="C566" s="276">
        <v>32.0</v>
      </c>
      <c r="J566" s="24">
        <v>4.0</v>
      </c>
      <c r="K566" s="24">
        <v>460.0</v>
      </c>
      <c r="M566" s="276">
        <v>42.0</v>
      </c>
      <c r="O566" s="277">
        <v>7559.0</v>
      </c>
      <c r="P566" s="11">
        <v>220.0</v>
      </c>
    </row>
    <row r="567">
      <c r="C567" s="276">
        <v>52.0</v>
      </c>
      <c r="J567" s="24">
        <v>8.0</v>
      </c>
      <c r="K567" s="24">
        <v>735.0</v>
      </c>
      <c r="M567" s="276">
        <v>91.0</v>
      </c>
      <c r="O567" s="3">
        <v>7560.0</v>
      </c>
      <c r="P567" s="11">
        <v>215.0</v>
      </c>
    </row>
    <row r="568">
      <c r="C568" s="276">
        <v>11.0</v>
      </c>
      <c r="J568" s="24">
        <v>2.0</v>
      </c>
      <c r="K568" s="24">
        <v>600.0</v>
      </c>
      <c r="M568" s="276">
        <v>96.0</v>
      </c>
      <c r="O568" s="277">
        <v>7561.0</v>
      </c>
      <c r="P568" s="11">
        <v>211.0</v>
      </c>
    </row>
    <row r="569">
      <c r="C569" s="276">
        <v>11.0</v>
      </c>
      <c r="J569" s="24">
        <v>7.0</v>
      </c>
      <c r="K569" s="24">
        <v>773.0</v>
      </c>
      <c r="M569" s="276">
        <v>97.0</v>
      </c>
      <c r="O569" s="277">
        <v>7562.0</v>
      </c>
      <c r="P569" s="11">
        <v>208.0</v>
      </c>
    </row>
    <row r="570">
      <c r="C570" s="276">
        <v>11.0</v>
      </c>
      <c r="J570" s="24">
        <v>3.0</v>
      </c>
      <c r="K570" s="24">
        <v>839.0</v>
      </c>
      <c r="M570" s="276">
        <v>98.0</v>
      </c>
      <c r="O570" s="277">
        <v>7563.0</v>
      </c>
      <c r="P570" s="11">
        <v>213.0</v>
      </c>
    </row>
    <row r="571">
      <c r="C571" s="276">
        <v>73.0</v>
      </c>
      <c r="J571" s="24">
        <v>7.0</v>
      </c>
      <c r="K571" s="24">
        <v>319.0</v>
      </c>
      <c r="M571" s="276">
        <v>43.0</v>
      </c>
      <c r="O571" s="277">
        <v>7564.0</v>
      </c>
      <c r="P571" s="11">
        <v>202.0</v>
      </c>
    </row>
    <row r="572">
      <c r="C572" s="276">
        <v>11.0</v>
      </c>
      <c r="J572" s="24">
        <v>6.0</v>
      </c>
      <c r="K572" s="24">
        <v>765.0</v>
      </c>
      <c r="M572" s="276">
        <v>95.0</v>
      </c>
      <c r="O572" s="3">
        <v>7565.0</v>
      </c>
      <c r="P572" s="11">
        <v>207.0</v>
      </c>
    </row>
    <row r="573">
      <c r="C573" s="276">
        <v>73.0</v>
      </c>
      <c r="J573" s="24">
        <v>6.0</v>
      </c>
      <c r="K573" s="24">
        <v>569.0</v>
      </c>
      <c r="M573" s="276">
        <v>41.0</v>
      </c>
      <c r="O573" s="277">
        <v>7566.0</v>
      </c>
      <c r="P573" s="11">
        <v>207.0</v>
      </c>
    </row>
    <row r="574">
      <c r="C574" s="276">
        <v>73.0</v>
      </c>
      <c r="J574" s="24">
        <v>6.0</v>
      </c>
      <c r="K574" s="24">
        <v>104.0</v>
      </c>
      <c r="M574" s="276">
        <v>46.0</v>
      </c>
      <c r="O574" s="277">
        <v>7567.0</v>
      </c>
      <c r="P574" s="11">
        <v>204.0</v>
      </c>
    </row>
    <row r="575">
      <c r="C575" s="276">
        <v>93.0</v>
      </c>
      <c r="J575" s="24">
        <v>3.0</v>
      </c>
      <c r="K575" s="24">
        <v>879.0</v>
      </c>
      <c r="M575" s="276">
        <v>94.0</v>
      </c>
      <c r="O575" s="277">
        <v>7568.0</v>
      </c>
      <c r="P575" s="11">
        <v>209.0</v>
      </c>
    </row>
    <row r="576">
      <c r="C576" s="276">
        <v>52.0</v>
      </c>
      <c r="J576" s="24">
        <v>3.0</v>
      </c>
      <c r="K576" s="24">
        <v>258.0</v>
      </c>
      <c r="M576" s="276">
        <v>98.0</v>
      </c>
      <c r="O576" s="277">
        <v>7569.0</v>
      </c>
      <c r="P576" s="11">
        <v>208.0</v>
      </c>
    </row>
    <row r="577">
      <c r="C577" s="276">
        <v>52.0</v>
      </c>
      <c r="J577" s="24">
        <v>3.0</v>
      </c>
      <c r="K577" s="24">
        <v>581.0</v>
      </c>
      <c r="M577" s="276">
        <v>92.0</v>
      </c>
      <c r="O577" s="3">
        <v>7570.0</v>
      </c>
      <c r="P577" s="11">
        <v>212.0</v>
      </c>
    </row>
    <row r="578">
      <c r="C578" s="276">
        <v>12.0</v>
      </c>
      <c r="J578" s="24">
        <v>6.0</v>
      </c>
      <c r="K578" s="24">
        <v>517.0</v>
      </c>
      <c r="M578" s="276">
        <v>6.0</v>
      </c>
      <c r="O578" s="277">
        <v>7571.0</v>
      </c>
      <c r="P578" s="11">
        <v>201.0</v>
      </c>
    </row>
    <row r="579">
      <c r="C579" s="276">
        <v>73.0</v>
      </c>
      <c r="J579" s="24">
        <v>8.0</v>
      </c>
      <c r="K579" s="24">
        <v>953.0</v>
      </c>
      <c r="M579" s="276">
        <v>51.0</v>
      </c>
      <c r="O579" s="277">
        <v>7572.0</v>
      </c>
      <c r="P579" s="11">
        <v>217.0</v>
      </c>
    </row>
    <row r="580">
      <c r="C580" s="276">
        <v>53.0</v>
      </c>
      <c r="J580" s="24">
        <v>3.0</v>
      </c>
      <c r="K580" s="24">
        <v>380.0</v>
      </c>
      <c r="M580" s="276">
        <v>9.0</v>
      </c>
      <c r="O580" s="277">
        <v>7573.0</v>
      </c>
      <c r="P580" s="11">
        <v>206.0</v>
      </c>
    </row>
    <row r="581">
      <c r="C581" s="276">
        <v>12.0</v>
      </c>
      <c r="J581" s="24">
        <v>1.0</v>
      </c>
      <c r="K581" s="24">
        <v>693.0</v>
      </c>
      <c r="M581" s="276">
        <v>15.0</v>
      </c>
      <c r="O581" s="277">
        <v>7574.0</v>
      </c>
      <c r="P581" s="11">
        <v>211.0</v>
      </c>
    </row>
    <row r="582">
      <c r="C582" s="276">
        <v>12.0</v>
      </c>
      <c r="J582" s="24">
        <v>4.0</v>
      </c>
      <c r="K582" s="24">
        <v>841.0</v>
      </c>
      <c r="M582" s="276">
        <v>16.0</v>
      </c>
      <c r="O582" s="3">
        <v>7575.0</v>
      </c>
      <c r="P582" s="11">
        <v>204.0</v>
      </c>
    </row>
    <row r="583">
      <c r="C583" s="276">
        <v>12.0</v>
      </c>
      <c r="J583" s="24">
        <v>2.0</v>
      </c>
      <c r="K583" s="24">
        <v>141.0</v>
      </c>
      <c r="M583" s="276">
        <v>17.0</v>
      </c>
      <c r="O583" s="277">
        <v>7576.0</v>
      </c>
      <c r="P583" s="11">
        <v>211.0</v>
      </c>
    </row>
    <row r="584">
      <c r="C584" s="276">
        <v>53.0</v>
      </c>
      <c r="J584" s="24">
        <v>8.0</v>
      </c>
      <c r="K584" s="24">
        <v>808.0</v>
      </c>
      <c r="M584" s="276">
        <v>12.0</v>
      </c>
      <c r="O584" s="277">
        <v>7577.0</v>
      </c>
      <c r="P584" s="11">
        <v>203.0</v>
      </c>
    </row>
    <row r="585">
      <c r="C585" s="276">
        <v>94.0</v>
      </c>
      <c r="J585" s="24">
        <v>7.0</v>
      </c>
      <c r="K585" s="24">
        <v>585.0</v>
      </c>
      <c r="M585" s="276">
        <v>10.0</v>
      </c>
      <c r="O585" s="277">
        <v>7578.0</v>
      </c>
      <c r="P585" s="11">
        <v>207.0</v>
      </c>
    </row>
    <row r="586">
      <c r="C586" s="276">
        <v>32.0</v>
      </c>
      <c r="J586" s="24">
        <v>7.0</v>
      </c>
      <c r="K586" s="24">
        <v>675.0</v>
      </c>
      <c r="M586" s="276">
        <v>66.0</v>
      </c>
      <c r="O586" s="277">
        <v>7579.0</v>
      </c>
      <c r="P586" s="11">
        <v>212.0</v>
      </c>
    </row>
    <row r="587">
      <c r="C587" s="276">
        <v>94.0</v>
      </c>
      <c r="J587" s="24">
        <v>2.0</v>
      </c>
      <c r="K587" s="24">
        <v>543.0</v>
      </c>
      <c r="M587" s="276">
        <v>15.0</v>
      </c>
      <c r="O587" s="3">
        <v>7580.0</v>
      </c>
      <c r="P587" s="11">
        <v>206.0</v>
      </c>
    </row>
    <row r="588">
      <c r="C588" s="276">
        <v>32.0</v>
      </c>
      <c r="J588" s="24">
        <v>3.0</v>
      </c>
      <c r="K588" s="24">
        <v>972.0</v>
      </c>
      <c r="M588" s="276">
        <v>74.0</v>
      </c>
      <c r="O588" s="277">
        <v>7581.0</v>
      </c>
      <c r="P588" s="11">
        <v>207.0</v>
      </c>
    </row>
    <row r="589">
      <c r="C589" s="276">
        <v>12.0</v>
      </c>
      <c r="J589" s="24">
        <v>8.0</v>
      </c>
      <c r="K589" s="24">
        <v>486.0</v>
      </c>
      <c r="M589" s="276">
        <v>30.0</v>
      </c>
      <c r="O589" s="277">
        <v>7582.0</v>
      </c>
      <c r="P589" s="11">
        <v>203.0</v>
      </c>
    </row>
    <row r="590">
      <c r="C590" s="276">
        <v>53.0</v>
      </c>
      <c r="J590" s="24">
        <v>6.0</v>
      </c>
      <c r="K590" s="24">
        <v>313.0</v>
      </c>
      <c r="M590" s="276">
        <v>30.0</v>
      </c>
      <c r="O590" s="277">
        <v>7583.0</v>
      </c>
      <c r="P590" s="11">
        <v>201.0</v>
      </c>
    </row>
    <row r="591">
      <c r="C591" s="276">
        <v>32.0</v>
      </c>
      <c r="J591" s="24">
        <v>1.0</v>
      </c>
      <c r="K591" s="24">
        <v>917.0</v>
      </c>
      <c r="M591" s="276">
        <v>85.0</v>
      </c>
      <c r="O591" s="277">
        <v>7584.0</v>
      </c>
      <c r="P591" s="11">
        <v>207.0</v>
      </c>
    </row>
    <row r="592">
      <c r="C592" s="276">
        <v>53.0</v>
      </c>
      <c r="J592" s="24">
        <v>7.0</v>
      </c>
      <c r="K592" s="24">
        <v>231.0</v>
      </c>
      <c r="M592" s="276">
        <v>34.0</v>
      </c>
      <c r="O592" s="3">
        <v>7585.0</v>
      </c>
      <c r="P592" s="11">
        <v>202.0</v>
      </c>
    </row>
    <row r="593">
      <c r="C593" s="276">
        <v>12.0</v>
      </c>
      <c r="J593" s="24">
        <v>1.0</v>
      </c>
      <c r="K593" s="24">
        <v>715.0</v>
      </c>
      <c r="M593" s="276">
        <v>37.0</v>
      </c>
      <c r="O593" s="277">
        <v>7586.0</v>
      </c>
      <c r="P593" s="11">
        <v>212.0</v>
      </c>
    </row>
    <row r="594">
      <c r="C594" s="276">
        <v>94.0</v>
      </c>
      <c r="J594" s="24">
        <v>9.0</v>
      </c>
      <c r="K594" s="24">
        <v>490.0</v>
      </c>
      <c r="M594" s="276">
        <v>31.0</v>
      </c>
      <c r="O594" s="277">
        <v>7587.0</v>
      </c>
      <c r="P594" s="11">
        <v>205.0</v>
      </c>
    </row>
    <row r="595">
      <c r="C595" s="276">
        <v>94.0</v>
      </c>
      <c r="J595" s="24">
        <v>7.0</v>
      </c>
      <c r="K595" s="24">
        <v>485.0</v>
      </c>
      <c r="M595" s="276">
        <v>39.0</v>
      </c>
      <c r="O595" s="277">
        <v>7588.0</v>
      </c>
      <c r="P595" s="11">
        <v>217.0</v>
      </c>
    </row>
    <row r="596">
      <c r="C596" s="276">
        <v>73.0</v>
      </c>
      <c r="J596" s="24">
        <v>2.0</v>
      </c>
      <c r="K596" s="24">
        <v>208.0</v>
      </c>
      <c r="M596" s="276">
        <v>92.0</v>
      </c>
      <c r="O596" s="277">
        <v>7589.0</v>
      </c>
      <c r="P596" s="11">
        <v>205.0</v>
      </c>
    </row>
    <row r="597">
      <c r="C597" s="276">
        <v>94.0</v>
      </c>
      <c r="J597" s="24">
        <v>8.0</v>
      </c>
      <c r="K597" s="24">
        <v>764.0</v>
      </c>
      <c r="M597" s="276">
        <v>41.0</v>
      </c>
      <c r="O597" s="3">
        <v>7590.0</v>
      </c>
      <c r="P597" s="11">
        <v>201.0</v>
      </c>
    </row>
    <row r="598">
      <c r="C598" s="276">
        <v>32.0</v>
      </c>
      <c r="J598" s="24">
        <v>1.0</v>
      </c>
      <c r="K598" s="24">
        <v>688.0</v>
      </c>
      <c r="M598" s="276">
        <v>99.0</v>
      </c>
      <c r="O598" s="277">
        <v>7591.0</v>
      </c>
      <c r="P598" s="11">
        <v>203.0</v>
      </c>
    </row>
    <row r="599">
      <c r="C599" s="276">
        <v>12.0</v>
      </c>
      <c r="J599" s="24">
        <v>1.0</v>
      </c>
      <c r="K599" s="24">
        <v>474.0</v>
      </c>
      <c r="M599" s="276">
        <v>52.0</v>
      </c>
      <c r="O599" s="277">
        <v>7592.0</v>
      </c>
      <c r="P599" s="11">
        <v>201.0</v>
      </c>
    </row>
    <row r="600">
      <c r="C600" s="276">
        <v>33.0</v>
      </c>
      <c r="J600" s="24">
        <v>7.0</v>
      </c>
      <c r="K600" s="24">
        <v>120.0</v>
      </c>
      <c r="M600" s="276">
        <v>1.0</v>
      </c>
      <c r="O600" s="277">
        <v>7593.0</v>
      </c>
      <c r="P600" s="11">
        <v>205.0</v>
      </c>
    </row>
    <row r="601">
      <c r="C601" s="276">
        <v>12.0</v>
      </c>
      <c r="J601" s="24">
        <v>7.0</v>
      </c>
      <c r="K601" s="24">
        <v>749.0</v>
      </c>
      <c r="M601" s="276">
        <v>55.0</v>
      </c>
      <c r="O601" s="277">
        <v>7594.0</v>
      </c>
      <c r="P601" s="11">
        <v>200.0</v>
      </c>
    </row>
    <row r="602">
      <c r="C602" s="276">
        <v>33.0</v>
      </c>
      <c r="J602" s="24">
        <v>6.0</v>
      </c>
      <c r="K602" s="24">
        <v>443.0</v>
      </c>
      <c r="M602" s="276">
        <v>4.0</v>
      </c>
      <c r="O602" s="3">
        <v>7595.0</v>
      </c>
      <c r="P602" s="11">
        <v>215.0</v>
      </c>
    </row>
    <row r="603">
      <c r="C603" s="276">
        <v>74.0</v>
      </c>
      <c r="J603" s="24">
        <v>1.0</v>
      </c>
      <c r="K603" s="24">
        <v>576.0</v>
      </c>
      <c r="M603" s="276">
        <v>5.0</v>
      </c>
      <c r="O603" s="277">
        <v>7596.0</v>
      </c>
      <c r="P603" s="11">
        <v>205.0</v>
      </c>
    </row>
    <row r="604">
      <c r="C604" s="276">
        <v>94.0</v>
      </c>
      <c r="J604" s="24">
        <v>8.0</v>
      </c>
      <c r="K604" s="24">
        <v>730.0</v>
      </c>
      <c r="M604" s="276">
        <v>54.0</v>
      </c>
      <c r="O604" s="277">
        <v>7597.0</v>
      </c>
      <c r="P604" s="11">
        <v>206.0</v>
      </c>
    </row>
    <row r="605">
      <c r="C605" s="276">
        <v>12.0</v>
      </c>
      <c r="J605" s="24">
        <v>5.0</v>
      </c>
      <c r="K605" s="24">
        <v>450.0</v>
      </c>
      <c r="M605" s="276">
        <v>68.0</v>
      </c>
      <c r="O605" s="277">
        <v>7598.0</v>
      </c>
      <c r="P605" s="11">
        <v>205.0</v>
      </c>
    </row>
    <row r="606">
      <c r="C606" s="276">
        <v>53.0</v>
      </c>
      <c r="J606" s="24">
        <v>6.0</v>
      </c>
      <c r="K606" s="24">
        <v>739.0</v>
      </c>
      <c r="M606" s="276">
        <v>65.0</v>
      </c>
      <c r="O606" s="277">
        <v>7599.0</v>
      </c>
      <c r="P606" s="11">
        <v>219.0</v>
      </c>
    </row>
    <row r="607">
      <c r="C607" s="276">
        <v>74.0</v>
      </c>
      <c r="J607" s="24">
        <v>9.0</v>
      </c>
      <c r="K607" s="24">
        <v>588.0</v>
      </c>
      <c r="M607" s="276">
        <v>13.0</v>
      </c>
      <c r="O607" s="3">
        <v>7600.0</v>
      </c>
      <c r="P607" s="11">
        <v>216.0</v>
      </c>
    </row>
    <row r="608">
      <c r="C608" s="276">
        <v>33.0</v>
      </c>
      <c r="J608" s="24">
        <v>1.0</v>
      </c>
      <c r="K608" s="24">
        <v>908.0</v>
      </c>
      <c r="M608" s="276">
        <v>18.0</v>
      </c>
      <c r="O608" s="277">
        <v>7601.0</v>
      </c>
      <c r="P608" s="11">
        <v>212.0</v>
      </c>
    </row>
    <row r="609">
      <c r="C609" s="276">
        <v>33.0</v>
      </c>
      <c r="J609" s="24">
        <v>3.0</v>
      </c>
      <c r="K609" s="24">
        <v>361.0</v>
      </c>
      <c r="M609" s="276">
        <v>17.0</v>
      </c>
      <c r="O609" s="277">
        <v>7602.0</v>
      </c>
      <c r="P609" s="11">
        <v>209.0</v>
      </c>
    </row>
    <row r="610">
      <c r="C610" s="276">
        <v>94.0</v>
      </c>
      <c r="J610" s="24">
        <v>6.0</v>
      </c>
      <c r="K610" s="24">
        <v>505.0</v>
      </c>
      <c r="M610" s="276">
        <v>66.0</v>
      </c>
      <c r="O610" s="277">
        <v>7603.0</v>
      </c>
      <c r="P610" s="11">
        <v>203.0</v>
      </c>
    </row>
    <row r="611">
      <c r="C611" s="276">
        <v>33.0</v>
      </c>
      <c r="J611" s="24">
        <v>8.0</v>
      </c>
      <c r="K611" s="24">
        <v>115.0</v>
      </c>
      <c r="M611" s="276">
        <v>24.0</v>
      </c>
      <c r="O611" s="277">
        <v>7604.0</v>
      </c>
      <c r="P611" s="11">
        <v>217.0</v>
      </c>
    </row>
    <row r="612">
      <c r="C612" s="276">
        <v>74.0</v>
      </c>
      <c r="J612" s="24">
        <v>1.0</v>
      </c>
      <c r="K612" s="24">
        <v>810.0</v>
      </c>
      <c r="M612" s="276">
        <v>21.0</v>
      </c>
      <c r="O612" s="3">
        <v>7605.0</v>
      </c>
      <c r="P612" s="11">
        <v>205.0</v>
      </c>
    </row>
    <row r="613">
      <c r="C613" s="276">
        <v>74.0</v>
      </c>
      <c r="J613" s="24">
        <v>2.0</v>
      </c>
      <c r="K613" s="24">
        <v>743.0</v>
      </c>
      <c r="M613" s="276">
        <v>22.0</v>
      </c>
      <c r="O613" s="277">
        <v>7606.0</v>
      </c>
      <c r="P613" s="11">
        <v>219.0</v>
      </c>
    </row>
    <row r="614">
      <c r="C614" s="276">
        <v>33.0</v>
      </c>
      <c r="J614" s="24">
        <v>3.0</v>
      </c>
      <c r="K614" s="24">
        <v>863.0</v>
      </c>
      <c r="M614" s="276">
        <v>27.0</v>
      </c>
      <c r="O614" s="277">
        <v>7607.0</v>
      </c>
      <c r="P614" s="11">
        <v>205.0</v>
      </c>
    </row>
    <row r="615">
      <c r="C615" s="276">
        <v>33.0</v>
      </c>
      <c r="J615" s="24">
        <v>8.0</v>
      </c>
      <c r="K615" s="24">
        <v>417.0</v>
      </c>
      <c r="M615" s="276">
        <v>28.0</v>
      </c>
      <c r="O615" s="277">
        <v>7608.0</v>
      </c>
      <c r="P615" s="11">
        <v>203.0</v>
      </c>
    </row>
    <row r="616">
      <c r="C616" s="276">
        <v>33.0</v>
      </c>
      <c r="J616" s="24">
        <v>3.0</v>
      </c>
      <c r="K616" s="24">
        <v>213.0</v>
      </c>
      <c r="M616" s="276">
        <v>29.0</v>
      </c>
      <c r="O616" s="277">
        <v>7609.0</v>
      </c>
      <c r="P616" s="11">
        <v>213.0</v>
      </c>
    </row>
    <row r="617">
      <c r="C617" s="276">
        <v>12.0</v>
      </c>
      <c r="J617" s="24">
        <v>3.0</v>
      </c>
      <c r="K617" s="24">
        <v>409.0</v>
      </c>
      <c r="M617" s="276">
        <v>82.0</v>
      </c>
      <c r="O617" s="3">
        <v>7610.0</v>
      </c>
      <c r="P617" s="11">
        <v>215.0</v>
      </c>
    </row>
    <row r="618">
      <c r="C618" s="276">
        <v>74.0</v>
      </c>
      <c r="J618" s="24">
        <v>4.0</v>
      </c>
      <c r="K618" s="24">
        <v>979.0</v>
      </c>
      <c r="M618" s="276">
        <v>27.0</v>
      </c>
      <c r="O618" s="277">
        <v>7611.0</v>
      </c>
      <c r="P618" s="11">
        <v>202.0</v>
      </c>
    </row>
    <row r="619">
      <c r="C619" s="276">
        <v>53.0</v>
      </c>
      <c r="J619" s="24">
        <v>4.0</v>
      </c>
      <c r="K619" s="24">
        <v>892.0</v>
      </c>
      <c r="M619" s="276">
        <v>77.0</v>
      </c>
      <c r="O619" s="277">
        <v>7612.0</v>
      </c>
      <c r="P619" s="11">
        <v>220.0</v>
      </c>
    </row>
    <row r="620">
      <c r="C620" s="276">
        <v>74.0</v>
      </c>
      <c r="J620" s="24">
        <v>6.0</v>
      </c>
      <c r="K620" s="24">
        <v>742.0</v>
      </c>
      <c r="M620" s="276">
        <v>25.0</v>
      </c>
      <c r="O620" s="277">
        <v>7613.0</v>
      </c>
      <c r="P620" s="11">
        <v>201.0</v>
      </c>
    </row>
    <row r="621">
      <c r="C621" s="276">
        <v>33.0</v>
      </c>
      <c r="J621" s="24">
        <v>3.0</v>
      </c>
      <c r="K621" s="24">
        <v>542.0</v>
      </c>
      <c r="M621" s="276">
        <v>35.0</v>
      </c>
      <c r="O621" s="277">
        <v>7614.0</v>
      </c>
      <c r="P621" s="11">
        <v>208.0</v>
      </c>
    </row>
    <row r="622">
      <c r="C622" s="276">
        <v>53.0</v>
      </c>
      <c r="J622" s="24">
        <v>3.0</v>
      </c>
      <c r="K622" s="24">
        <v>611.0</v>
      </c>
      <c r="M622" s="276">
        <v>84.0</v>
      </c>
      <c r="O622" s="3">
        <v>7615.0</v>
      </c>
      <c r="P622" s="11">
        <v>205.0</v>
      </c>
    </row>
    <row r="623">
      <c r="C623" s="276">
        <v>12.0</v>
      </c>
      <c r="J623" s="24">
        <v>4.0</v>
      </c>
      <c r="K623" s="24">
        <v>910.0</v>
      </c>
      <c r="M623" s="276">
        <v>87.0</v>
      </c>
      <c r="O623" s="277">
        <v>7616.0</v>
      </c>
      <c r="P623" s="11">
        <v>218.0</v>
      </c>
    </row>
    <row r="624">
      <c r="C624" s="276">
        <v>94.0</v>
      </c>
      <c r="J624" s="24">
        <v>4.0</v>
      </c>
      <c r="K624" s="24">
        <v>554.0</v>
      </c>
      <c r="M624" s="276">
        <v>83.0</v>
      </c>
      <c r="O624" s="277">
        <v>7617.0</v>
      </c>
      <c r="P624" s="11">
        <v>214.0</v>
      </c>
    </row>
    <row r="625">
      <c r="C625" s="276">
        <v>53.0</v>
      </c>
      <c r="J625" s="24">
        <v>5.0</v>
      </c>
      <c r="K625" s="24">
        <v>706.0</v>
      </c>
      <c r="M625" s="276">
        <v>87.0</v>
      </c>
      <c r="O625" s="277">
        <v>7618.0</v>
      </c>
      <c r="P625" s="11">
        <v>219.0</v>
      </c>
    </row>
    <row r="626">
      <c r="C626" s="276">
        <v>74.0</v>
      </c>
      <c r="J626" s="24">
        <v>4.0</v>
      </c>
      <c r="K626" s="24">
        <v>791.0</v>
      </c>
      <c r="M626" s="276">
        <v>38.0</v>
      </c>
      <c r="O626" s="277">
        <v>7619.0</v>
      </c>
      <c r="P626" s="11">
        <v>207.0</v>
      </c>
    </row>
    <row r="627">
      <c r="C627" s="276">
        <v>94.0</v>
      </c>
      <c r="J627" s="24">
        <v>4.0</v>
      </c>
      <c r="K627" s="24">
        <v>391.0</v>
      </c>
      <c r="M627" s="276">
        <v>88.0</v>
      </c>
      <c r="O627" s="3">
        <v>7620.0</v>
      </c>
      <c r="P627" s="11">
        <v>213.0</v>
      </c>
    </row>
    <row r="628">
      <c r="C628" s="276">
        <v>74.0</v>
      </c>
      <c r="J628" s="24">
        <v>1.0</v>
      </c>
      <c r="K628" s="24">
        <v>202.0</v>
      </c>
      <c r="M628" s="276">
        <v>44.0</v>
      </c>
      <c r="O628" s="277">
        <v>7621.0</v>
      </c>
      <c r="P628" s="11">
        <v>220.0</v>
      </c>
    </row>
    <row r="629">
      <c r="C629" s="276">
        <v>94.0</v>
      </c>
      <c r="J629" s="24">
        <v>3.0</v>
      </c>
      <c r="K629" s="24">
        <v>393.0</v>
      </c>
      <c r="M629" s="276">
        <v>94.0</v>
      </c>
      <c r="O629" s="277">
        <v>7622.0</v>
      </c>
      <c r="P629" s="11">
        <v>207.0</v>
      </c>
    </row>
    <row r="630">
      <c r="C630" s="276">
        <v>94.0</v>
      </c>
      <c r="J630" s="24">
        <v>6.0</v>
      </c>
      <c r="K630" s="24">
        <v>828.0</v>
      </c>
      <c r="M630" s="276">
        <v>97.0</v>
      </c>
      <c r="O630" s="277">
        <v>7623.0</v>
      </c>
      <c r="P630" s="11">
        <v>211.0</v>
      </c>
    </row>
    <row r="631">
      <c r="C631" s="276">
        <v>95.0</v>
      </c>
      <c r="J631" s="24">
        <v>3.0</v>
      </c>
      <c r="K631" s="24">
        <v>471.0</v>
      </c>
      <c r="M631" s="276">
        <v>1.0</v>
      </c>
      <c r="O631" s="277">
        <v>7624.0</v>
      </c>
      <c r="P631" s="11">
        <v>218.0</v>
      </c>
    </row>
    <row r="632">
      <c r="C632" s="276">
        <v>33.0</v>
      </c>
      <c r="J632" s="24">
        <v>1.0</v>
      </c>
      <c r="K632" s="24">
        <v>262.0</v>
      </c>
      <c r="M632" s="276">
        <v>57.0</v>
      </c>
      <c r="O632" s="3">
        <v>7625.0</v>
      </c>
      <c r="P632" s="11">
        <v>213.0</v>
      </c>
    </row>
    <row r="633">
      <c r="C633" s="276">
        <v>33.0</v>
      </c>
      <c r="J633" s="24">
        <v>6.0</v>
      </c>
      <c r="K633" s="24">
        <v>686.0</v>
      </c>
      <c r="M633" s="276">
        <v>62.0</v>
      </c>
      <c r="O633" s="277">
        <v>7626.0</v>
      </c>
      <c r="P633" s="11">
        <v>213.0</v>
      </c>
    </row>
    <row r="634">
      <c r="C634" s="276">
        <v>33.0</v>
      </c>
      <c r="J634" s="24">
        <v>2.0</v>
      </c>
      <c r="K634" s="24">
        <v>897.0</v>
      </c>
      <c r="M634" s="276">
        <v>63.0</v>
      </c>
      <c r="O634" s="277">
        <v>7627.0</v>
      </c>
      <c r="P634" s="11">
        <v>202.0</v>
      </c>
    </row>
    <row r="635">
      <c r="C635" s="276">
        <v>74.0</v>
      </c>
      <c r="J635" s="24">
        <v>5.0</v>
      </c>
      <c r="K635" s="24">
        <v>282.0</v>
      </c>
      <c r="M635" s="276">
        <v>61.0</v>
      </c>
      <c r="O635" s="277">
        <v>7628.0</v>
      </c>
      <c r="P635" s="11">
        <v>207.0</v>
      </c>
    </row>
    <row r="636">
      <c r="C636" s="276">
        <v>13.0</v>
      </c>
      <c r="J636" s="24">
        <v>6.0</v>
      </c>
      <c r="K636" s="24">
        <v>999.0</v>
      </c>
      <c r="M636" s="276">
        <v>18.0</v>
      </c>
      <c r="O636" s="277">
        <v>7629.0</v>
      </c>
      <c r="P636" s="11">
        <v>214.0</v>
      </c>
    </row>
    <row r="637">
      <c r="C637" s="276">
        <v>74.0</v>
      </c>
      <c r="J637" s="24">
        <v>4.0</v>
      </c>
      <c r="K637" s="24">
        <v>964.0</v>
      </c>
      <c r="M637" s="276">
        <v>63.0</v>
      </c>
      <c r="O637" s="3">
        <v>7630.0</v>
      </c>
      <c r="P637" s="11">
        <v>215.0</v>
      </c>
    </row>
    <row r="638">
      <c r="C638" s="276">
        <v>95.0</v>
      </c>
      <c r="J638" s="24">
        <v>7.0</v>
      </c>
      <c r="K638" s="24">
        <v>586.0</v>
      </c>
      <c r="M638" s="276">
        <v>12.0</v>
      </c>
      <c r="O638" s="277">
        <v>7631.0</v>
      </c>
      <c r="P638" s="11">
        <v>202.0</v>
      </c>
    </row>
    <row r="639">
      <c r="C639" s="276">
        <v>95.0</v>
      </c>
      <c r="J639" s="24">
        <v>9.0</v>
      </c>
      <c r="K639" s="24">
        <v>936.0</v>
      </c>
      <c r="M639" s="276">
        <v>10.0</v>
      </c>
      <c r="O639" s="277">
        <v>7632.0</v>
      </c>
      <c r="P639" s="11">
        <v>220.0</v>
      </c>
    </row>
    <row r="640">
      <c r="C640" s="276">
        <v>33.0</v>
      </c>
      <c r="J640" s="24">
        <v>9.0</v>
      </c>
      <c r="K640" s="24">
        <v>221.0</v>
      </c>
      <c r="M640" s="276">
        <v>68.0</v>
      </c>
      <c r="O640" s="277">
        <v>7633.0</v>
      </c>
      <c r="P640" s="11">
        <v>203.0</v>
      </c>
    </row>
    <row r="641">
      <c r="C641" s="276">
        <v>33.0</v>
      </c>
      <c r="J641" s="24">
        <v>9.0</v>
      </c>
      <c r="K641" s="24">
        <v>224.0</v>
      </c>
      <c r="M641" s="276">
        <v>65.0</v>
      </c>
      <c r="O641" s="277">
        <v>7634.0</v>
      </c>
      <c r="P641" s="11">
        <v>216.0</v>
      </c>
    </row>
    <row r="642">
      <c r="C642" s="276">
        <v>54.0</v>
      </c>
      <c r="J642" s="24">
        <v>4.0</v>
      </c>
      <c r="K642" s="24">
        <v>577.0</v>
      </c>
      <c r="M642" s="276">
        <v>20.0</v>
      </c>
      <c r="O642" s="3">
        <v>7635.0</v>
      </c>
      <c r="P642" s="11">
        <v>217.0</v>
      </c>
    </row>
    <row r="643">
      <c r="C643" s="276">
        <v>33.0</v>
      </c>
      <c r="J643" s="24">
        <v>4.0</v>
      </c>
      <c r="K643" s="24">
        <v>259.0</v>
      </c>
      <c r="M643" s="276">
        <v>72.0</v>
      </c>
      <c r="O643" s="277">
        <v>7636.0</v>
      </c>
      <c r="P643" s="11">
        <v>214.0</v>
      </c>
    </row>
    <row r="644">
      <c r="C644" s="276">
        <v>13.0</v>
      </c>
      <c r="J644" s="24">
        <v>2.0</v>
      </c>
      <c r="K644" s="24">
        <v>606.0</v>
      </c>
      <c r="M644" s="276">
        <v>24.0</v>
      </c>
      <c r="O644" s="277">
        <v>7637.0</v>
      </c>
      <c r="P644" s="11">
        <v>212.0</v>
      </c>
    </row>
    <row r="645">
      <c r="C645" s="276">
        <v>13.0</v>
      </c>
      <c r="J645" s="24">
        <v>5.0</v>
      </c>
      <c r="K645" s="24">
        <v>250.0</v>
      </c>
      <c r="M645" s="276">
        <v>27.0</v>
      </c>
      <c r="O645" s="277">
        <v>7638.0</v>
      </c>
      <c r="P645" s="11">
        <v>214.0</v>
      </c>
    </row>
    <row r="646">
      <c r="C646" s="276">
        <v>95.0</v>
      </c>
      <c r="J646" s="24">
        <v>8.0</v>
      </c>
      <c r="K646" s="24">
        <v>268.0</v>
      </c>
      <c r="M646" s="276">
        <v>11.0</v>
      </c>
      <c r="O646" s="277">
        <v>7639.0</v>
      </c>
      <c r="P646" s="11">
        <v>202.0</v>
      </c>
    </row>
    <row r="647">
      <c r="C647" s="276">
        <v>33.0</v>
      </c>
      <c r="J647" s="24">
        <v>3.0</v>
      </c>
      <c r="K647" s="24">
        <v>332.0</v>
      </c>
      <c r="M647" s="276">
        <v>80.0</v>
      </c>
      <c r="O647" s="3">
        <v>7640.0</v>
      </c>
      <c r="P647" s="11">
        <v>201.0</v>
      </c>
    </row>
    <row r="648">
      <c r="C648" s="276">
        <v>13.0</v>
      </c>
      <c r="J648" s="24">
        <v>3.0</v>
      </c>
      <c r="K648" s="24">
        <v>357.0</v>
      </c>
      <c r="M648" s="276">
        <v>36.0</v>
      </c>
      <c r="O648" s="277">
        <v>7641.0</v>
      </c>
      <c r="P648" s="11">
        <v>206.0</v>
      </c>
    </row>
    <row r="649">
      <c r="C649" s="276">
        <v>13.0</v>
      </c>
      <c r="J649" s="24">
        <v>1.0</v>
      </c>
      <c r="K649" s="24">
        <v>393.0</v>
      </c>
      <c r="M649" s="276">
        <v>37.0</v>
      </c>
      <c r="O649" s="277">
        <v>7642.0</v>
      </c>
      <c r="P649" s="11">
        <v>201.0</v>
      </c>
    </row>
    <row r="650">
      <c r="C650" s="276">
        <v>33.0</v>
      </c>
      <c r="J650" s="24">
        <v>9.0</v>
      </c>
      <c r="K650" s="24">
        <v>922.0</v>
      </c>
      <c r="M650" s="276">
        <v>85.0</v>
      </c>
      <c r="O650" s="277">
        <v>7643.0</v>
      </c>
      <c r="P650" s="11">
        <v>200.0</v>
      </c>
    </row>
    <row r="651">
      <c r="C651" s="276">
        <v>54.0</v>
      </c>
      <c r="J651" s="24">
        <v>9.0</v>
      </c>
      <c r="K651" s="24">
        <v>345.0</v>
      </c>
      <c r="M651" s="276">
        <v>35.0</v>
      </c>
      <c r="O651" s="277">
        <v>7644.0</v>
      </c>
      <c r="P651" s="11">
        <v>207.0</v>
      </c>
    </row>
    <row r="652">
      <c r="C652" s="276">
        <v>74.0</v>
      </c>
      <c r="J652" s="24">
        <v>7.0</v>
      </c>
      <c r="K652" s="24">
        <v>473.0</v>
      </c>
      <c r="M652" s="276">
        <v>84.0</v>
      </c>
      <c r="O652" s="3">
        <v>7645.0</v>
      </c>
      <c r="P652" s="11">
        <v>207.0</v>
      </c>
    </row>
    <row r="653">
      <c r="C653" s="276">
        <v>95.0</v>
      </c>
      <c r="J653" s="24">
        <v>4.0</v>
      </c>
      <c r="K653" s="24">
        <v>790.0</v>
      </c>
      <c r="M653" s="276">
        <v>29.0</v>
      </c>
      <c r="O653" s="277">
        <v>7646.0</v>
      </c>
      <c r="P653" s="11">
        <v>219.0</v>
      </c>
    </row>
    <row r="654">
      <c r="C654" s="276">
        <v>33.0</v>
      </c>
      <c r="J654" s="24">
        <v>6.0</v>
      </c>
      <c r="K654" s="24">
        <v>339.0</v>
      </c>
      <c r="M654" s="276">
        <v>90.0</v>
      </c>
      <c r="O654" s="277">
        <v>7647.0</v>
      </c>
      <c r="P654" s="11">
        <v>218.0</v>
      </c>
    </row>
    <row r="655">
      <c r="C655" s="276">
        <v>54.0</v>
      </c>
      <c r="J655" s="24">
        <v>3.0</v>
      </c>
      <c r="K655" s="24">
        <v>388.0</v>
      </c>
      <c r="M655" s="276">
        <v>38.0</v>
      </c>
      <c r="O655" s="277">
        <v>7648.0</v>
      </c>
      <c r="P655" s="11">
        <v>218.0</v>
      </c>
    </row>
    <row r="656">
      <c r="C656" s="276">
        <v>74.0</v>
      </c>
      <c r="J656" s="24">
        <v>6.0</v>
      </c>
      <c r="K656" s="24">
        <v>735.0</v>
      </c>
      <c r="M656" s="276">
        <v>88.0</v>
      </c>
      <c r="O656" s="277">
        <v>7649.0</v>
      </c>
      <c r="P656" s="11">
        <v>213.0</v>
      </c>
    </row>
    <row r="657">
      <c r="C657" s="276">
        <v>33.0</v>
      </c>
      <c r="J657" s="24">
        <v>4.0</v>
      </c>
      <c r="K657" s="24">
        <v>394.0</v>
      </c>
      <c r="M657" s="276">
        <v>93.0</v>
      </c>
      <c r="O657" s="3">
        <v>7650.0</v>
      </c>
      <c r="P657" s="11">
        <v>208.0</v>
      </c>
    </row>
    <row r="658">
      <c r="C658" s="276">
        <v>74.0</v>
      </c>
      <c r="J658" s="24">
        <v>7.0</v>
      </c>
      <c r="K658" s="24">
        <v>736.0</v>
      </c>
      <c r="M658" s="276">
        <v>89.0</v>
      </c>
      <c r="O658" s="277">
        <v>7651.0</v>
      </c>
      <c r="P658" s="11">
        <v>218.0</v>
      </c>
    </row>
    <row r="659">
      <c r="C659" s="276">
        <v>95.0</v>
      </c>
      <c r="J659" s="24">
        <v>4.0</v>
      </c>
      <c r="K659" s="24">
        <v>687.0</v>
      </c>
      <c r="M659" s="276">
        <v>38.0</v>
      </c>
      <c r="O659" s="277">
        <v>7652.0</v>
      </c>
      <c r="P659" s="11">
        <v>215.0</v>
      </c>
    </row>
    <row r="660">
      <c r="C660" s="276">
        <v>54.0</v>
      </c>
      <c r="J660" s="24">
        <v>9.0</v>
      </c>
      <c r="K660" s="24">
        <v>458.0</v>
      </c>
      <c r="M660" s="276">
        <v>47.0</v>
      </c>
      <c r="O660" s="277">
        <v>7653.0</v>
      </c>
      <c r="P660" s="11">
        <v>219.0</v>
      </c>
    </row>
    <row r="661">
      <c r="C661" s="276">
        <v>13.0</v>
      </c>
      <c r="J661" s="24">
        <v>9.0</v>
      </c>
      <c r="K661" s="24">
        <v>340.0</v>
      </c>
      <c r="M661" s="276">
        <v>51.0</v>
      </c>
      <c r="O661" s="277">
        <v>7654.0</v>
      </c>
      <c r="P661" s="11">
        <v>200.0</v>
      </c>
    </row>
    <row r="662">
      <c r="C662" s="276">
        <v>74.0</v>
      </c>
      <c r="J662" s="24">
        <v>3.0</v>
      </c>
      <c r="K662" s="24">
        <v>281.0</v>
      </c>
      <c r="M662" s="276">
        <v>96.0</v>
      </c>
      <c r="O662" s="3">
        <v>7655.0</v>
      </c>
      <c r="P662" s="11">
        <v>218.0</v>
      </c>
    </row>
    <row r="663">
      <c r="C663" s="276">
        <v>95.0</v>
      </c>
      <c r="J663" s="24">
        <v>1.0</v>
      </c>
      <c r="K663" s="24">
        <v>756.0</v>
      </c>
      <c r="M663" s="276">
        <v>47.0</v>
      </c>
      <c r="O663" s="277">
        <v>7656.0</v>
      </c>
      <c r="P663" s="11">
        <v>214.0</v>
      </c>
    </row>
    <row r="664">
      <c r="C664" s="276">
        <v>75.0</v>
      </c>
      <c r="J664" s="24">
        <v>6.0</v>
      </c>
      <c r="K664" s="24">
        <v>465.0</v>
      </c>
      <c r="M664" s="276">
        <v>0.0</v>
      </c>
      <c r="O664" s="277">
        <v>7657.0</v>
      </c>
      <c r="P664" s="11">
        <v>209.0</v>
      </c>
    </row>
    <row r="665">
      <c r="C665" s="276">
        <v>75.0</v>
      </c>
      <c r="J665" s="24">
        <v>8.0</v>
      </c>
      <c r="K665" s="24">
        <v>206.0</v>
      </c>
      <c r="M665" s="276">
        <v>1.0</v>
      </c>
      <c r="O665" s="277">
        <v>7658.0</v>
      </c>
      <c r="P665" s="11">
        <v>216.0</v>
      </c>
    </row>
    <row r="666">
      <c r="C666" s="276">
        <v>95.0</v>
      </c>
      <c r="J666" s="24">
        <v>3.0</v>
      </c>
      <c r="K666" s="24">
        <v>604.0</v>
      </c>
      <c r="M666" s="276">
        <v>50.0</v>
      </c>
      <c r="O666" s="277">
        <v>7659.0</v>
      </c>
      <c r="P666" s="11">
        <v>209.0</v>
      </c>
    </row>
    <row r="667">
      <c r="C667" s="276">
        <v>95.0</v>
      </c>
      <c r="J667" s="24">
        <v>8.0</v>
      </c>
      <c r="K667" s="24">
        <v>406.0</v>
      </c>
      <c r="M667" s="276">
        <v>53.0</v>
      </c>
      <c r="O667" s="3">
        <v>7660.0</v>
      </c>
      <c r="P667" s="11">
        <v>210.0</v>
      </c>
    </row>
    <row r="668">
      <c r="C668" s="276">
        <v>13.0</v>
      </c>
      <c r="J668" s="24">
        <v>8.0</v>
      </c>
      <c r="K668" s="24">
        <v>346.0</v>
      </c>
      <c r="M668" s="276">
        <v>61.0</v>
      </c>
      <c r="O668" s="277">
        <v>7661.0</v>
      </c>
      <c r="P668" s="11">
        <v>210.0</v>
      </c>
    </row>
    <row r="669">
      <c r="C669" s="276">
        <v>75.0</v>
      </c>
      <c r="J669" s="24">
        <v>4.0</v>
      </c>
      <c r="K669" s="24">
        <v>455.0</v>
      </c>
      <c r="M669" s="276">
        <v>7.0</v>
      </c>
      <c r="O669" s="277">
        <v>7662.0</v>
      </c>
      <c r="P669" s="11">
        <v>211.0</v>
      </c>
    </row>
    <row r="670">
      <c r="C670" s="276">
        <v>95.0</v>
      </c>
      <c r="J670" s="24">
        <v>4.0</v>
      </c>
      <c r="K670" s="24">
        <v>902.0</v>
      </c>
      <c r="M670" s="276">
        <v>58.0</v>
      </c>
      <c r="O670" s="277">
        <v>7663.0</v>
      </c>
      <c r="P670" s="11">
        <v>216.0</v>
      </c>
    </row>
    <row r="671">
      <c r="C671" s="276">
        <v>13.0</v>
      </c>
      <c r="J671" s="24">
        <v>4.0</v>
      </c>
      <c r="K671" s="24">
        <v>298.0</v>
      </c>
      <c r="M671" s="276">
        <v>67.0</v>
      </c>
      <c r="O671" s="277">
        <v>7664.0</v>
      </c>
      <c r="P671" s="11">
        <v>204.0</v>
      </c>
    </row>
    <row r="672">
      <c r="C672" s="276">
        <v>95.0</v>
      </c>
      <c r="J672" s="24">
        <v>6.0</v>
      </c>
      <c r="K672" s="24">
        <v>745.0</v>
      </c>
      <c r="M672" s="276">
        <v>60.0</v>
      </c>
      <c r="O672" s="3">
        <v>7665.0</v>
      </c>
      <c r="P672" s="11">
        <v>201.0</v>
      </c>
    </row>
    <row r="673">
      <c r="C673" s="276">
        <v>13.0</v>
      </c>
      <c r="J673" s="24">
        <v>5.0</v>
      </c>
      <c r="K673" s="24">
        <v>732.0</v>
      </c>
      <c r="M673" s="276">
        <v>69.0</v>
      </c>
      <c r="O673" s="277">
        <v>7666.0</v>
      </c>
      <c r="P673" s="11">
        <v>204.0</v>
      </c>
    </row>
    <row r="674">
      <c r="C674" s="276">
        <v>54.0</v>
      </c>
      <c r="J674" s="24">
        <v>1.0</v>
      </c>
      <c r="K674" s="24">
        <v>326.0</v>
      </c>
      <c r="M674" s="276">
        <v>65.0</v>
      </c>
      <c r="O674" s="277">
        <v>7667.0</v>
      </c>
      <c r="P674" s="11">
        <v>203.0</v>
      </c>
    </row>
    <row r="675">
      <c r="C675" s="276">
        <v>34.0</v>
      </c>
      <c r="J675" s="24">
        <v>6.0</v>
      </c>
      <c r="K675" s="24">
        <v>109.0</v>
      </c>
      <c r="M675" s="276">
        <v>21.0</v>
      </c>
      <c r="O675" s="277">
        <v>7668.0</v>
      </c>
      <c r="P675" s="11">
        <v>220.0</v>
      </c>
    </row>
    <row r="676">
      <c r="C676" s="276">
        <v>13.0</v>
      </c>
      <c r="J676" s="24">
        <v>5.0</v>
      </c>
      <c r="K676" s="24">
        <v>725.0</v>
      </c>
      <c r="M676" s="276">
        <v>74.0</v>
      </c>
      <c r="O676" s="277">
        <v>7669.0</v>
      </c>
      <c r="P676" s="11">
        <v>215.0</v>
      </c>
    </row>
    <row r="677">
      <c r="C677" s="276">
        <v>34.0</v>
      </c>
      <c r="J677" s="24">
        <v>2.0</v>
      </c>
      <c r="K677" s="24">
        <v>789.0</v>
      </c>
      <c r="M677" s="276">
        <v>23.0</v>
      </c>
      <c r="O677" s="3">
        <v>7670.0</v>
      </c>
      <c r="P677" s="11">
        <v>213.0</v>
      </c>
    </row>
    <row r="678">
      <c r="C678" s="276">
        <v>95.0</v>
      </c>
      <c r="J678" s="24">
        <v>5.0</v>
      </c>
      <c r="K678" s="24">
        <v>401.0</v>
      </c>
      <c r="M678" s="276">
        <v>68.0</v>
      </c>
      <c r="O678" s="277">
        <v>7671.0</v>
      </c>
      <c r="P678" s="11">
        <v>208.0</v>
      </c>
    </row>
    <row r="679">
      <c r="C679" s="276">
        <v>75.0</v>
      </c>
      <c r="J679" s="24">
        <v>2.0</v>
      </c>
      <c r="K679" s="24">
        <v>889.0</v>
      </c>
      <c r="M679" s="276">
        <v>21.0</v>
      </c>
      <c r="O679" s="277">
        <v>7672.0</v>
      </c>
      <c r="P679" s="11">
        <v>201.0</v>
      </c>
    </row>
    <row r="680">
      <c r="C680" s="276">
        <v>13.0</v>
      </c>
      <c r="J680" s="24">
        <v>3.0</v>
      </c>
      <c r="K680" s="24">
        <v>908.0</v>
      </c>
      <c r="M680" s="276">
        <v>78.0</v>
      </c>
      <c r="O680" s="277">
        <v>7673.0</v>
      </c>
      <c r="P680" s="11">
        <v>218.0</v>
      </c>
    </row>
    <row r="681">
      <c r="C681" s="276">
        <v>75.0</v>
      </c>
      <c r="J681" s="24">
        <v>9.0</v>
      </c>
      <c r="K681" s="24">
        <v>363.0</v>
      </c>
      <c r="M681" s="276">
        <v>24.0</v>
      </c>
      <c r="O681" s="277">
        <v>7674.0</v>
      </c>
      <c r="P681" s="11">
        <v>217.0</v>
      </c>
    </row>
    <row r="682">
      <c r="C682" s="276">
        <v>95.0</v>
      </c>
      <c r="J682" s="24">
        <v>4.0</v>
      </c>
      <c r="K682" s="24">
        <v>289.0</v>
      </c>
      <c r="M682" s="276">
        <v>74.0</v>
      </c>
      <c r="O682" s="3">
        <v>7675.0</v>
      </c>
      <c r="P682" s="11">
        <v>220.0</v>
      </c>
    </row>
    <row r="683">
      <c r="C683" s="276">
        <v>13.0</v>
      </c>
      <c r="J683" s="24">
        <v>5.0</v>
      </c>
      <c r="K683" s="24">
        <v>392.0</v>
      </c>
      <c r="M683" s="276">
        <v>86.0</v>
      </c>
      <c r="O683" s="277">
        <v>7676.0</v>
      </c>
      <c r="P683" s="11">
        <v>207.0</v>
      </c>
    </row>
    <row r="684">
      <c r="C684" s="276">
        <v>54.0</v>
      </c>
      <c r="J684" s="24">
        <v>9.0</v>
      </c>
      <c r="K684" s="24">
        <v>698.0</v>
      </c>
      <c r="M684" s="276">
        <v>83.0</v>
      </c>
      <c r="O684" s="277">
        <v>7677.0</v>
      </c>
      <c r="P684" s="11">
        <v>203.0</v>
      </c>
    </row>
    <row r="685">
      <c r="C685" s="276">
        <v>23.0</v>
      </c>
      <c r="J685" s="24">
        <v>7.0</v>
      </c>
      <c r="K685" s="24">
        <v>641.0</v>
      </c>
      <c r="M685" s="276">
        <v>11.0</v>
      </c>
      <c r="O685" s="277">
        <v>7678.0</v>
      </c>
      <c r="P685" s="11">
        <v>208.0</v>
      </c>
    </row>
    <row r="686">
      <c r="C686" s="276">
        <v>95.0</v>
      </c>
      <c r="J686" s="24">
        <v>3.0</v>
      </c>
      <c r="K686" s="24">
        <v>873.0</v>
      </c>
      <c r="M686" s="276">
        <v>81.0</v>
      </c>
      <c r="O686" s="277">
        <v>7679.0</v>
      </c>
      <c r="P686" s="11">
        <v>212.0</v>
      </c>
    </row>
    <row r="687">
      <c r="C687" s="276">
        <v>95.0</v>
      </c>
      <c r="J687" s="24">
        <v>2.0</v>
      </c>
      <c r="K687" s="24">
        <v>183.0</v>
      </c>
      <c r="M687" s="276">
        <v>84.0</v>
      </c>
      <c r="O687" s="3">
        <v>7680.0</v>
      </c>
      <c r="P687" s="11">
        <v>210.0</v>
      </c>
    </row>
    <row r="688">
      <c r="C688" s="276">
        <v>75.0</v>
      </c>
      <c r="J688" s="24">
        <v>1.0</v>
      </c>
      <c r="K688" s="24">
        <v>307.0</v>
      </c>
      <c r="M688" s="276">
        <v>40.0</v>
      </c>
      <c r="O688" s="277">
        <v>7681.0</v>
      </c>
      <c r="P688" s="11">
        <v>209.0</v>
      </c>
    </row>
    <row r="689">
      <c r="C689" s="276">
        <v>54.0</v>
      </c>
      <c r="J689" s="24">
        <v>4.0</v>
      </c>
      <c r="K689" s="24">
        <v>124.0</v>
      </c>
      <c r="M689" s="276">
        <v>92.0</v>
      </c>
      <c r="O689" s="277">
        <v>7682.0</v>
      </c>
      <c r="P689" s="11">
        <v>215.0</v>
      </c>
    </row>
    <row r="690">
      <c r="C690" s="276">
        <v>75.0</v>
      </c>
      <c r="J690" s="24">
        <v>7.0</v>
      </c>
      <c r="K690" s="24">
        <v>382.0</v>
      </c>
      <c r="M690" s="276">
        <v>42.0</v>
      </c>
      <c r="O690" s="277">
        <v>7683.0</v>
      </c>
      <c r="P690" s="11">
        <v>204.0</v>
      </c>
    </row>
    <row r="691">
      <c r="C691" s="276">
        <v>95.0</v>
      </c>
      <c r="J691" s="24">
        <v>1.0</v>
      </c>
      <c r="K691" s="24">
        <v>645.0</v>
      </c>
      <c r="M691" s="276">
        <v>90.0</v>
      </c>
      <c r="O691" s="277">
        <v>7684.0</v>
      </c>
      <c r="P691" s="11">
        <v>212.0</v>
      </c>
    </row>
    <row r="692">
      <c r="C692" s="276">
        <v>14.0</v>
      </c>
      <c r="J692" s="24">
        <v>8.0</v>
      </c>
      <c r="K692" s="24">
        <v>874.0</v>
      </c>
      <c r="M692" s="276">
        <v>0.0</v>
      </c>
      <c r="O692" s="3">
        <v>7685.0</v>
      </c>
      <c r="P692" s="11">
        <v>202.0</v>
      </c>
    </row>
    <row r="693">
      <c r="C693" s="276">
        <v>34.0</v>
      </c>
      <c r="J693" s="24">
        <v>1.0</v>
      </c>
      <c r="K693" s="24">
        <v>456.0</v>
      </c>
      <c r="M693" s="276">
        <v>49.0</v>
      </c>
      <c r="O693" s="277">
        <v>7686.0</v>
      </c>
      <c r="P693" s="11">
        <v>216.0</v>
      </c>
    </row>
    <row r="694">
      <c r="C694" s="276">
        <v>14.0</v>
      </c>
      <c r="J694" s="24">
        <v>4.0</v>
      </c>
      <c r="K694" s="24">
        <v>366.0</v>
      </c>
      <c r="M694" s="276">
        <v>2.0</v>
      </c>
      <c r="O694" s="277">
        <v>7687.0</v>
      </c>
      <c r="P694" s="11">
        <v>200.0</v>
      </c>
    </row>
    <row r="695">
      <c r="C695" s="276">
        <v>14.0</v>
      </c>
      <c r="J695" s="24">
        <v>2.0</v>
      </c>
      <c r="K695" s="24">
        <v>195.0</v>
      </c>
      <c r="M695" s="276">
        <v>1.0</v>
      </c>
      <c r="O695" s="277">
        <v>7688.0</v>
      </c>
      <c r="P695" s="11">
        <v>220.0</v>
      </c>
    </row>
    <row r="696">
      <c r="C696" s="276">
        <v>75.0</v>
      </c>
      <c r="J696" s="24">
        <v>3.0</v>
      </c>
      <c r="K696" s="24">
        <v>729.0</v>
      </c>
      <c r="M696" s="276">
        <v>48.0</v>
      </c>
      <c r="O696" s="277">
        <v>7689.0</v>
      </c>
      <c r="P696" s="11">
        <v>217.0</v>
      </c>
    </row>
    <row r="697">
      <c r="C697" s="276">
        <v>95.0</v>
      </c>
      <c r="J697" s="24">
        <v>7.0</v>
      </c>
      <c r="K697" s="24">
        <v>402.0</v>
      </c>
      <c r="M697" s="276">
        <v>97.0</v>
      </c>
      <c r="O697" s="3">
        <v>7690.0</v>
      </c>
      <c r="P697" s="11">
        <v>210.0</v>
      </c>
    </row>
    <row r="698">
      <c r="C698" s="276">
        <v>96.0</v>
      </c>
      <c r="J698" s="24">
        <v>5.0</v>
      </c>
      <c r="K698" s="24">
        <v>867.0</v>
      </c>
      <c r="M698" s="276">
        <v>0.0</v>
      </c>
      <c r="O698" s="277">
        <v>7691.0</v>
      </c>
      <c r="P698" s="11">
        <v>205.0</v>
      </c>
    </row>
    <row r="699">
      <c r="C699" s="276">
        <v>55.0</v>
      </c>
      <c r="J699" s="24">
        <v>4.0</v>
      </c>
      <c r="K699" s="24">
        <v>289.0</v>
      </c>
      <c r="M699" s="276">
        <v>11.0</v>
      </c>
      <c r="O699" s="277">
        <v>7692.0</v>
      </c>
      <c r="P699" s="11">
        <v>200.0</v>
      </c>
    </row>
    <row r="700">
      <c r="C700" s="276">
        <v>14.0</v>
      </c>
      <c r="J700" s="24">
        <v>9.0</v>
      </c>
      <c r="K700" s="24">
        <v>446.0</v>
      </c>
      <c r="M700" s="276">
        <v>16.0</v>
      </c>
      <c r="O700" s="277">
        <v>7693.0</v>
      </c>
      <c r="P700" s="11">
        <v>204.0</v>
      </c>
    </row>
    <row r="701">
      <c r="C701" s="276">
        <v>34.0</v>
      </c>
      <c r="J701" s="24">
        <v>6.0</v>
      </c>
      <c r="K701" s="24">
        <v>460.0</v>
      </c>
      <c r="M701" s="276">
        <v>63.0</v>
      </c>
      <c r="O701" s="277">
        <v>7694.0</v>
      </c>
      <c r="P701" s="11">
        <v>201.0</v>
      </c>
    </row>
    <row r="702">
      <c r="C702" s="276">
        <v>14.0</v>
      </c>
      <c r="J702" s="24">
        <v>7.0</v>
      </c>
      <c r="K702" s="24">
        <v>721.0</v>
      </c>
      <c r="M702" s="276">
        <v>18.0</v>
      </c>
      <c r="O702" s="3">
        <v>7695.0</v>
      </c>
      <c r="P702" s="11">
        <v>205.0</v>
      </c>
    </row>
    <row r="703">
      <c r="C703" s="276">
        <v>96.0</v>
      </c>
      <c r="J703" s="24">
        <v>6.0</v>
      </c>
      <c r="K703" s="24">
        <v>232.0</v>
      </c>
      <c r="M703" s="276">
        <v>11.0</v>
      </c>
      <c r="O703" s="277">
        <v>7696.0</v>
      </c>
      <c r="P703" s="11">
        <v>201.0</v>
      </c>
    </row>
    <row r="704">
      <c r="C704" s="276">
        <v>14.0</v>
      </c>
      <c r="J704" s="24">
        <v>1.0</v>
      </c>
      <c r="K704" s="24">
        <v>671.0</v>
      </c>
      <c r="M704" s="276">
        <v>20.0</v>
      </c>
      <c r="O704" s="277">
        <v>7697.0</v>
      </c>
      <c r="P704" s="11">
        <v>200.0</v>
      </c>
    </row>
    <row r="705">
      <c r="C705" s="276">
        <v>34.0</v>
      </c>
      <c r="J705" s="24">
        <v>1.0</v>
      </c>
      <c r="K705" s="24">
        <v>145.0</v>
      </c>
      <c r="M705" s="276">
        <v>70.0</v>
      </c>
      <c r="O705" s="277">
        <v>7698.0</v>
      </c>
      <c r="P705" s="11">
        <v>219.0</v>
      </c>
    </row>
    <row r="706">
      <c r="C706" s="276">
        <v>55.0</v>
      </c>
      <c r="J706" s="24">
        <v>3.0</v>
      </c>
      <c r="K706" s="24">
        <v>555.0</v>
      </c>
      <c r="M706" s="276">
        <v>18.0</v>
      </c>
      <c r="O706" s="277">
        <v>7699.0</v>
      </c>
      <c r="P706" s="11">
        <v>202.0</v>
      </c>
    </row>
    <row r="707">
      <c r="C707" s="276">
        <v>96.0</v>
      </c>
      <c r="J707" s="24">
        <v>9.0</v>
      </c>
      <c r="K707" s="24">
        <v>545.0</v>
      </c>
      <c r="M707" s="276">
        <v>16.0</v>
      </c>
      <c r="O707" s="3">
        <v>7700.0</v>
      </c>
      <c r="P707" s="11">
        <v>212.0</v>
      </c>
    </row>
    <row r="708">
      <c r="C708" s="276">
        <v>34.0</v>
      </c>
      <c r="J708" s="24">
        <v>5.0</v>
      </c>
      <c r="K708" s="24">
        <v>671.0</v>
      </c>
      <c r="M708" s="276">
        <v>73.0</v>
      </c>
      <c r="O708" s="277">
        <v>7701.0</v>
      </c>
      <c r="P708" s="11">
        <v>217.0</v>
      </c>
    </row>
    <row r="709">
      <c r="C709" s="276">
        <v>96.0</v>
      </c>
      <c r="J709" s="24">
        <v>7.0</v>
      </c>
      <c r="K709" s="24">
        <v>930.0</v>
      </c>
      <c r="M709" s="276">
        <v>19.0</v>
      </c>
      <c r="O709" s="277">
        <v>7702.0</v>
      </c>
      <c r="P709" s="11">
        <v>218.0</v>
      </c>
    </row>
    <row r="710">
      <c r="C710" s="276">
        <v>14.0</v>
      </c>
      <c r="J710" s="24">
        <v>9.0</v>
      </c>
      <c r="K710" s="24">
        <v>704.0</v>
      </c>
      <c r="M710" s="276">
        <v>30.0</v>
      </c>
      <c r="O710" s="277">
        <v>7703.0</v>
      </c>
      <c r="P710" s="11">
        <v>202.0</v>
      </c>
    </row>
    <row r="711">
      <c r="C711" s="276">
        <v>34.0</v>
      </c>
      <c r="J711" s="24">
        <v>3.0</v>
      </c>
      <c r="K711" s="24">
        <v>549.0</v>
      </c>
      <c r="M711" s="276">
        <v>78.0</v>
      </c>
      <c r="O711" s="277">
        <v>7704.0</v>
      </c>
      <c r="P711" s="11">
        <v>214.0</v>
      </c>
    </row>
    <row r="712">
      <c r="C712" s="276">
        <v>96.0</v>
      </c>
      <c r="J712" s="24">
        <v>9.0</v>
      </c>
      <c r="K712" s="24">
        <v>314.0</v>
      </c>
      <c r="M712" s="276">
        <v>23.0</v>
      </c>
      <c r="O712" s="3">
        <v>7705.0</v>
      </c>
      <c r="P712" s="11">
        <v>219.0</v>
      </c>
    </row>
    <row r="713">
      <c r="C713" s="276">
        <v>14.0</v>
      </c>
      <c r="J713" s="24">
        <v>6.0</v>
      </c>
      <c r="K713" s="24">
        <v>178.0</v>
      </c>
      <c r="M713" s="276">
        <v>32.0</v>
      </c>
      <c r="O713" s="277">
        <v>7706.0</v>
      </c>
      <c r="P713" s="11">
        <v>220.0</v>
      </c>
    </row>
    <row r="714">
      <c r="C714" s="276">
        <v>55.0</v>
      </c>
      <c r="J714" s="24">
        <v>2.0</v>
      </c>
      <c r="K714" s="24">
        <v>234.0</v>
      </c>
      <c r="M714" s="276">
        <v>27.0</v>
      </c>
      <c r="O714" s="277">
        <v>7707.0</v>
      </c>
      <c r="P714" s="11">
        <v>212.0</v>
      </c>
    </row>
    <row r="715">
      <c r="C715" s="276">
        <v>75.0</v>
      </c>
      <c r="J715" s="24">
        <v>4.0</v>
      </c>
      <c r="K715" s="24">
        <v>634.0</v>
      </c>
      <c r="M715" s="276">
        <v>80.0</v>
      </c>
      <c r="O715" s="277">
        <v>7708.0</v>
      </c>
      <c r="P715" s="11">
        <v>208.0</v>
      </c>
    </row>
    <row r="716">
      <c r="C716" s="276">
        <v>75.0</v>
      </c>
      <c r="J716" s="24">
        <v>3.0</v>
      </c>
      <c r="K716" s="24">
        <v>547.0</v>
      </c>
      <c r="M716" s="276">
        <v>81.0</v>
      </c>
      <c r="O716" s="277">
        <v>7709.0</v>
      </c>
      <c r="P716" s="11">
        <v>219.0</v>
      </c>
    </row>
    <row r="717">
      <c r="C717" s="276">
        <v>14.0</v>
      </c>
      <c r="J717" s="24">
        <v>1.0</v>
      </c>
      <c r="K717" s="24">
        <v>573.0</v>
      </c>
      <c r="M717" s="276">
        <v>38.0</v>
      </c>
      <c r="O717" s="3">
        <v>7710.0</v>
      </c>
      <c r="P717" s="11">
        <v>202.0</v>
      </c>
    </row>
    <row r="718">
      <c r="C718" s="276">
        <v>55.0</v>
      </c>
      <c r="J718" s="24">
        <v>8.0</v>
      </c>
      <c r="K718" s="24">
        <v>625.0</v>
      </c>
      <c r="M718" s="276">
        <v>35.0</v>
      </c>
      <c r="O718" s="277">
        <v>7711.0</v>
      </c>
      <c r="P718" s="11">
        <v>206.0</v>
      </c>
    </row>
    <row r="719">
      <c r="C719" s="276">
        <v>75.0</v>
      </c>
      <c r="J719" s="24">
        <v>1.0</v>
      </c>
      <c r="K719" s="24">
        <v>680.0</v>
      </c>
      <c r="M719" s="276">
        <v>84.0</v>
      </c>
      <c r="O719" s="277">
        <v>7712.0</v>
      </c>
      <c r="P719" s="11">
        <v>214.0</v>
      </c>
    </row>
    <row r="720">
      <c r="C720" s="276">
        <v>55.0</v>
      </c>
      <c r="J720" s="24">
        <v>6.0</v>
      </c>
      <c r="K720" s="24">
        <v>306.0</v>
      </c>
      <c r="M720" s="276">
        <v>37.0</v>
      </c>
      <c r="O720" s="277">
        <v>7713.0</v>
      </c>
      <c r="P720" s="11">
        <v>208.0</v>
      </c>
    </row>
    <row r="721">
      <c r="C721" s="276">
        <v>75.0</v>
      </c>
      <c r="J721" s="24">
        <v>7.0</v>
      </c>
      <c r="K721" s="24">
        <v>721.0</v>
      </c>
      <c r="M721" s="276">
        <v>88.0</v>
      </c>
      <c r="O721" s="277">
        <v>7714.0</v>
      </c>
      <c r="P721" s="11">
        <v>202.0</v>
      </c>
    </row>
    <row r="722">
      <c r="C722" s="276">
        <v>14.0</v>
      </c>
      <c r="J722" s="24">
        <v>5.0</v>
      </c>
      <c r="K722" s="24">
        <v>291.0</v>
      </c>
      <c r="M722" s="276">
        <v>46.0</v>
      </c>
      <c r="O722" s="3">
        <v>7715.0</v>
      </c>
      <c r="P722" s="11">
        <v>215.0</v>
      </c>
    </row>
    <row r="723">
      <c r="C723" s="276">
        <v>96.0</v>
      </c>
      <c r="J723" s="24">
        <v>7.0</v>
      </c>
      <c r="K723" s="24">
        <v>444.0</v>
      </c>
      <c r="M723" s="276">
        <v>43.0</v>
      </c>
      <c r="O723" s="277">
        <v>7716.0</v>
      </c>
      <c r="P723" s="11">
        <v>216.0</v>
      </c>
    </row>
    <row r="724">
      <c r="C724" s="276">
        <v>75.0</v>
      </c>
      <c r="J724" s="24">
        <v>5.0</v>
      </c>
      <c r="K724" s="24">
        <v>440.0</v>
      </c>
      <c r="M724" s="276">
        <v>96.0</v>
      </c>
      <c r="O724" s="277">
        <v>7717.0</v>
      </c>
      <c r="P724" s="11">
        <v>204.0</v>
      </c>
    </row>
    <row r="725">
      <c r="C725" s="276">
        <v>35.0</v>
      </c>
      <c r="J725" s="24">
        <v>3.0</v>
      </c>
      <c r="K725" s="24">
        <v>411.0</v>
      </c>
      <c r="M725" s="276">
        <v>1.0</v>
      </c>
      <c r="O725" s="277">
        <v>7718.0</v>
      </c>
      <c r="P725" s="11">
        <v>204.0</v>
      </c>
    </row>
    <row r="726">
      <c r="C726" s="276">
        <v>55.0</v>
      </c>
      <c r="J726" s="24">
        <v>7.0</v>
      </c>
      <c r="K726" s="24">
        <v>895.0</v>
      </c>
      <c r="M726" s="276">
        <v>49.0</v>
      </c>
      <c r="O726" s="277">
        <v>7719.0</v>
      </c>
      <c r="P726" s="11">
        <v>211.0</v>
      </c>
    </row>
    <row r="727">
      <c r="C727" s="276">
        <v>96.0</v>
      </c>
      <c r="J727" s="24">
        <v>2.0</v>
      </c>
      <c r="K727" s="24">
        <v>770.0</v>
      </c>
      <c r="M727" s="276">
        <v>45.0</v>
      </c>
      <c r="O727" s="3">
        <v>7720.0</v>
      </c>
      <c r="P727" s="11">
        <v>217.0</v>
      </c>
    </row>
    <row r="728">
      <c r="C728" s="276">
        <v>14.0</v>
      </c>
      <c r="J728" s="24">
        <v>2.0</v>
      </c>
      <c r="K728" s="24">
        <v>809.0</v>
      </c>
      <c r="M728" s="276">
        <v>53.0</v>
      </c>
      <c r="O728" s="277">
        <v>7721.0</v>
      </c>
      <c r="P728" s="11">
        <v>203.0</v>
      </c>
    </row>
    <row r="729">
      <c r="C729" s="276">
        <v>55.0</v>
      </c>
      <c r="J729" s="24">
        <v>5.0</v>
      </c>
      <c r="K729" s="24">
        <v>583.0</v>
      </c>
      <c r="M729" s="276">
        <v>51.0</v>
      </c>
      <c r="O729" s="277">
        <v>7722.0</v>
      </c>
      <c r="P729" s="11">
        <v>203.0</v>
      </c>
    </row>
    <row r="730">
      <c r="C730" s="276">
        <v>76.0</v>
      </c>
      <c r="J730" s="24">
        <v>3.0</v>
      </c>
      <c r="K730" s="24">
        <v>763.0</v>
      </c>
      <c r="M730" s="276">
        <v>2.0</v>
      </c>
      <c r="O730" s="277">
        <v>7723.0</v>
      </c>
      <c r="P730" s="11">
        <v>207.0</v>
      </c>
    </row>
    <row r="731">
      <c r="C731" s="276">
        <v>76.0</v>
      </c>
      <c r="J731" s="24">
        <v>2.0</v>
      </c>
      <c r="K731" s="24">
        <v>753.0</v>
      </c>
      <c r="M731" s="276">
        <v>3.0</v>
      </c>
      <c r="O731" s="277">
        <v>7724.0</v>
      </c>
      <c r="P731" s="11">
        <v>213.0</v>
      </c>
    </row>
    <row r="732">
      <c r="C732" s="276">
        <v>35.0</v>
      </c>
      <c r="J732" s="24">
        <v>3.0</v>
      </c>
      <c r="K732" s="24">
        <v>127.0</v>
      </c>
      <c r="M732" s="276">
        <v>8.0</v>
      </c>
      <c r="O732" s="3">
        <v>7725.0</v>
      </c>
      <c r="P732" s="11">
        <v>217.0</v>
      </c>
    </row>
    <row r="733">
      <c r="C733" s="276">
        <v>55.0</v>
      </c>
      <c r="J733" s="24">
        <v>5.0</v>
      </c>
      <c r="K733" s="24">
        <v>555.0</v>
      </c>
      <c r="M733" s="276">
        <v>55.0</v>
      </c>
      <c r="O733" s="277">
        <v>7726.0</v>
      </c>
      <c r="P733" s="11">
        <v>219.0</v>
      </c>
    </row>
    <row r="734">
      <c r="C734" s="276">
        <v>35.0</v>
      </c>
      <c r="J734" s="24">
        <v>5.0</v>
      </c>
      <c r="K734" s="24">
        <v>336.0</v>
      </c>
      <c r="M734" s="276">
        <v>9.0</v>
      </c>
      <c r="O734" s="277">
        <v>7727.0</v>
      </c>
      <c r="P734" s="11">
        <v>203.0</v>
      </c>
    </row>
    <row r="735">
      <c r="C735" s="276">
        <v>55.0</v>
      </c>
      <c r="J735" s="24">
        <v>1.0</v>
      </c>
      <c r="K735" s="24">
        <v>818.0</v>
      </c>
      <c r="M735" s="276">
        <v>59.0</v>
      </c>
      <c r="O735" s="277">
        <v>7728.0</v>
      </c>
      <c r="P735" s="11">
        <v>205.0</v>
      </c>
    </row>
    <row r="736">
      <c r="C736" s="276">
        <v>14.0</v>
      </c>
      <c r="J736" s="24">
        <v>7.0</v>
      </c>
      <c r="K736" s="24">
        <v>759.0</v>
      </c>
      <c r="M736" s="276">
        <v>63.0</v>
      </c>
      <c r="O736" s="277">
        <v>7729.0</v>
      </c>
      <c r="P736" s="11">
        <v>200.0</v>
      </c>
    </row>
    <row r="737">
      <c r="C737" s="276">
        <v>14.0</v>
      </c>
      <c r="J737" s="24">
        <v>1.0</v>
      </c>
      <c r="K737" s="24">
        <v>915.0</v>
      </c>
      <c r="M737" s="276">
        <v>59.0</v>
      </c>
      <c r="O737" s="3">
        <v>7730.0</v>
      </c>
      <c r="P737" s="11">
        <v>211.0</v>
      </c>
    </row>
    <row r="738">
      <c r="C738" s="276">
        <v>76.0</v>
      </c>
      <c r="J738" s="24">
        <v>9.0</v>
      </c>
      <c r="K738" s="24">
        <v>372.0</v>
      </c>
      <c r="M738" s="276">
        <v>10.0</v>
      </c>
      <c r="O738" s="277">
        <v>7731.0</v>
      </c>
      <c r="P738" s="11">
        <v>218.0</v>
      </c>
    </row>
    <row r="739">
      <c r="C739" s="276">
        <v>96.0</v>
      </c>
      <c r="J739" s="24">
        <v>7.0</v>
      </c>
      <c r="K739" s="24">
        <v>232.0</v>
      </c>
      <c r="M739" s="276">
        <v>54.0</v>
      </c>
      <c r="O739" s="277">
        <v>7732.0</v>
      </c>
      <c r="P739" s="11">
        <v>213.0</v>
      </c>
    </row>
    <row r="740">
      <c r="C740" s="276">
        <v>14.0</v>
      </c>
      <c r="J740" s="24">
        <v>9.0</v>
      </c>
      <c r="K740" s="24">
        <v>435.0</v>
      </c>
      <c r="M740" s="276">
        <v>67.0</v>
      </c>
      <c r="O740" s="277">
        <v>7733.0</v>
      </c>
      <c r="P740" s="11">
        <v>216.0</v>
      </c>
    </row>
    <row r="741">
      <c r="C741" s="276">
        <v>76.0</v>
      </c>
      <c r="J741" s="24">
        <v>9.0</v>
      </c>
      <c r="K741" s="24">
        <v>705.0</v>
      </c>
      <c r="M741" s="276">
        <v>14.0</v>
      </c>
      <c r="O741" s="277">
        <v>7734.0</v>
      </c>
      <c r="P741" s="11">
        <v>202.0</v>
      </c>
    </row>
    <row r="742">
      <c r="C742" s="276">
        <v>35.0</v>
      </c>
      <c r="J742" s="24">
        <v>2.0</v>
      </c>
      <c r="K742" s="24">
        <v>862.0</v>
      </c>
      <c r="M742" s="276">
        <v>23.0</v>
      </c>
      <c r="O742" s="3">
        <v>7735.0</v>
      </c>
      <c r="P742" s="11">
        <v>211.0</v>
      </c>
    </row>
    <row r="743">
      <c r="C743" s="276">
        <v>14.0</v>
      </c>
      <c r="J743" s="24">
        <v>7.0</v>
      </c>
      <c r="K743" s="24">
        <v>731.0</v>
      </c>
      <c r="M743" s="276">
        <v>79.0</v>
      </c>
      <c r="O743" s="277">
        <v>7736.0</v>
      </c>
      <c r="P743" s="11">
        <v>205.0</v>
      </c>
    </row>
    <row r="744">
      <c r="C744" s="276">
        <v>96.0</v>
      </c>
      <c r="J744" s="24">
        <v>8.0</v>
      </c>
      <c r="K744" s="24">
        <v>995.0</v>
      </c>
      <c r="M744" s="276">
        <v>72.0</v>
      </c>
      <c r="O744" s="277">
        <v>7737.0</v>
      </c>
      <c r="P744" s="11">
        <v>202.0</v>
      </c>
    </row>
    <row r="745">
      <c r="C745" s="276">
        <v>35.0</v>
      </c>
      <c r="J745" s="24">
        <v>2.0</v>
      </c>
      <c r="K745" s="24">
        <v>710.0</v>
      </c>
      <c r="M745" s="276">
        <v>30.0</v>
      </c>
      <c r="O745" s="277">
        <v>7738.0</v>
      </c>
      <c r="P745" s="11">
        <v>220.0</v>
      </c>
    </row>
    <row r="746">
      <c r="C746" s="276">
        <v>55.0</v>
      </c>
      <c r="J746" s="24">
        <v>6.0</v>
      </c>
      <c r="K746" s="24">
        <v>837.0</v>
      </c>
      <c r="M746" s="276">
        <v>79.0</v>
      </c>
      <c r="O746" s="277">
        <v>7739.0</v>
      </c>
      <c r="P746" s="11">
        <v>202.0</v>
      </c>
    </row>
    <row r="747">
      <c r="C747" s="276">
        <v>35.0</v>
      </c>
      <c r="J747" s="24">
        <v>2.0</v>
      </c>
      <c r="K747" s="24">
        <v>540.0</v>
      </c>
      <c r="M747" s="276">
        <v>32.0</v>
      </c>
      <c r="O747" s="3">
        <v>7740.0</v>
      </c>
      <c r="P747" s="11">
        <v>207.0</v>
      </c>
    </row>
    <row r="748">
      <c r="C748" s="276">
        <v>35.0</v>
      </c>
      <c r="J748" s="24">
        <v>2.0</v>
      </c>
      <c r="K748" s="24">
        <v>415.0</v>
      </c>
      <c r="M748" s="276">
        <v>33.0</v>
      </c>
      <c r="O748" s="277">
        <v>7741.0</v>
      </c>
      <c r="P748" s="11">
        <v>206.0</v>
      </c>
    </row>
    <row r="749">
      <c r="C749" s="276">
        <v>14.0</v>
      </c>
      <c r="J749" s="24">
        <v>8.0</v>
      </c>
      <c r="K749" s="24">
        <v>314.0</v>
      </c>
      <c r="M749" s="276">
        <v>85.0</v>
      </c>
      <c r="O749" s="277">
        <v>7742.0</v>
      </c>
      <c r="P749" s="11">
        <v>212.0</v>
      </c>
    </row>
    <row r="750">
      <c r="C750" s="276">
        <v>55.0</v>
      </c>
      <c r="J750" s="24">
        <v>2.0</v>
      </c>
      <c r="K750" s="24">
        <v>336.0</v>
      </c>
      <c r="M750" s="276">
        <v>83.0</v>
      </c>
      <c r="O750" s="277">
        <v>7743.0</v>
      </c>
      <c r="P750" s="11">
        <v>215.0</v>
      </c>
    </row>
    <row r="751">
      <c r="C751" s="276">
        <v>35.0</v>
      </c>
      <c r="J751" s="24">
        <v>4.0</v>
      </c>
      <c r="K751" s="24">
        <v>136.0</v>
      </c>
      <c r="M751" s="276">
        <v>36.0</v>
      </c>
      <c r="O751" s="277">
        <v>7744.0</v>
      </c>
      <c r="P751" s="11">
        <v>217.0</v>
      </c>
    </row>
    <row r="752">
      <c r="C752" s="276">
        <v>14.0</v>
      </c>
      <c r="J752" s="24">
        <v>8.0</v>
      </c>
      <c r="K752" s="24">
        <v>845.0</v>
      </c>
      <c r="M752" s="276">
        <v>84.0</v>
      </c>
      <c r="O752" s="3">
        <v>7745.0</v>
      </c>
      <c r="P752" s="11">
        <v>201.0</v>
      </c>
    </row>
    <row r="753">
      <c r="C753" s="276">
        <v>35.0</v>
      </c>
      <c r="J753" s="24">
        <v>8.0</v>
      </c>
      <c r="K753" s="24">
        <v>546.0</v>
      </c>
      <c r="M753" s="276">
        <v>39.0</v>
      </c>
      <c r="O753" s="277">
        <v>7746.0</v>
      </c>
      <c r="P753" s="11">
        <v>203.0</v>
      </c>
    </row>
    <row r="754">
      <c r="C754" s="276">
        <v>96.0</v>
      </c>
      <c r="J754" s="24">
        <v>1.0</v>
      </c>
      <c r="K754" s="24">
        <v>831.0</v>
      </c>
      <c r="M754" s="276">
        <v>84.0</v>
      </c>
      <c r="O754" s="277">
        <v>7747.0</v>
      </c>
      <c r="P754" s="11">
        <v>217.0</v>
      </c>
    </row>
    <row r="755">
      <c r="C755" s="276">
        <v>96.0</v>
      </c>
      <c r="J755" s="24">
        <v>4.0</v>
      </c>
      <c r="K755" s="24">
        <v>635.0</v>
      </c>
      <c r="M755" s="276">
        <v>88.0</v>
      </c>
      <c r="O755" s="277">
        <v>7748.0</v>
      </c>
      <c r="P755" s="11">
        <v>210.0</v>
      </c>
    </row>
    <row r="756">
      <c r="C756" s="276">
        <v>96.0</v>
      </c>
      <c r="J756" s="24">
        <v>7.0</v>
      </c>
      <c r="K756" s="24">
        <v>149.0</v>
      </c>
      <c r="M756" s="276">
        <v>89.0</v>
      </c>
      <c r="O756" s="277">
        <v>7749.0</v>
      </c>
      <c r="P756" s="11">
        <v>209.0</v>
      </c>
    </row>
    <row r="757">
      <c r="C757" s="276">
        <v>96.0</v>
      </c>
      <c r="J757" s="24">
        <v>7.0</v>
      </c>
      <c r="K757" s="24">
        <v>738.0</v>
      </c>
      <c r="M757" s="276">
        <v>91.0</v>
      </c>
      <c r="O757" s="3">
        <v>7750.0</v>
      </c>
      <c r="P757" s="11">
        <v>205.0</v>
      </c>
    </row>
    <row r="758">
      <c r="C758" s="276">
        <v>55.0</v>
      </c>
      <c r="J758" s="24">
        <v>3.0</v>
      </c>
      <c r="K758" s="24">
        <v>793.0</v>
      </c>
      <c r="M758" s="276">
        <v>96.0</v>
      </c>
      <c r="O758" s="277">
        <v>7751.0</v>
      </c>
      <c r="P758" s="11">
        <v>200.0</v>
      </c>
    </row>
    <row r="759">
      <c r="C759" s="276">
        <v>15.0</v>
      </c>
      <c r="J759" s="24">
        <v>8.0</v>
      </c>
      <c r="K759" s="24">
        <v>818.0</v>
      </c>
      <c r="M759" s="276">
        <v>2.0</v>
      </c>
      <c r="O759" s="277">
        <v>7752.0</v>
      </c>
      <c r="P759" s="11">
        <v>203.0</v>
      </c>
    </row>
    <row r="760">
      <c r="C760" s="276">
        <v>96.0</v>
      </c>
      <c r="J760" s="24">
        <v>8.0</v>
      </c>
      <c r="K760" s="24">
        <v>833.0</v>
      </c>
      <c r="M760" s="276">
        <v>94.0</v>
      </c>
      <c r="O760" s="277">
        <v>7753.0</v>
      </c>
      <c r="P760" s="11">
        <v>213.0</v>
      </c>
    </row>
    <row r="761">
      <c r="C761" s="276">
        <v>96.0</v>
      </c>
      <c r="J761" s="24">
        <v>5.0</v>
      </c>
      <c r="K761" s="24">
        <v>998.0</v>
      </c>
      <c r="M761" s="276">
        <v>96.0</v>
      </c>
      <c r="O761" s="277">
        <v>7754.0</v>
      </c>
      <c r="P761" s="11">
        <v>219.0</v>
      </c>
    </row>
    <row r="762">
      <c r="C762" s="276">
        <v>56.0</v>
      </c>
      <c r="J762" s="24">
        <v>5.0</v>
      </c>
      <c r="K762" s="24">
        <v>649.0</v>
      </c>
      <c r="M762" s="276">
        <v>0.0</v>
      </c>
      <c r="O762" s="3">
        <v>7755.0</v>
      </c>
      <c r="P762" s="11">
        <v>207.0</v>
      </c>
    </row>
    <row r="763">
      <c r="C763" s="276">
        <v>76.0</v>
      </c>
      <c r="J763" s="24">
        <v>5.0</v>
      </c>
      <c r="K763" s="24">
        <v>880.0</v>
      </c>
      <c r="M763" s="276">
        <v>47.0</v>
      </c>
      <c r="O763" s="277">
        <v>7756.0</v>
      </c>
      <c r="P763" s="11">
        <v>208.0</v>
      </c>
    </row>
    <row r="764">
      <c r="C764" s="276">
        <v>15.0</v>
      </c>
      <c r="J764" s="24">
        <v>1.0</v>
      </c>
      <c r="K764" s="24">
        <v>716.0</v>
      </c>
      <c r="M764" s="276">
        <v>3.0</v>
      </c>
      <c r="O764" s="277">
        <v>7757.0</v>
      </c>
      <c r="P764" s="11">
        <v>219.0</v>
      </c>
    </row>
    <row r="765">
      <c r="C765" s="276">
        <v>56.0</v>
      </c>
      <c r="J765" s="24">
        <v>8.0</v>
      </c>
      <c r="K765" s="24">
        <v>719.0</v>
      </c>
      <c r="M765" s="276">
        <v>4.0</v>
      </c>
      <c r="O765" s="277">
        <v>7758.0</v>
      </c>
      <c r="P765" s="11">
        <v>219.0</v>
      </c>
    </row>
    <row r="766">
      <c r="C766" s="276">
        <v>15.0</v>
      </c>
      <c r="J766" s="24">
        <v>6.0</v>
      </c>
      <c r="K766" s="24">
        <v>824.0</v>
      </c>
      <c r="M766" s="276">
        <v>11.0</v>
      </c>
      <c r="O766" s="277">
        <v>7759.0</v>
      </c>
      <c r="P766" s="11">
        <v>204.0</v>
      </c>
    </row>
    <row r="767">
      <c r="C767" s="276">
        <v>35.0</v>
      </c>
      <c r="J767" s="24">
        <v>1.0</v>
      </c>
      <c r="K767" s="24">
        <v>987.0</v>
      </c>
      <c r="M767" s="276">
        <v>61.0</v>
      </c>
      <c r="O767" s="3">
        <v>7760.0</v>
      </c>
      <c r="P767" s="11">
        <v>208.0</v>
      </c>
    </row>
    <row r="768">
      <c r="C768" s="276">
        <v>97.0</v>
      </c>
      <c r="J768" s="24">
        <v>9.0</v>
      </c>
      <c r="K768" s="24">
        <v>959.0</v>
      </c>
      <c r="M768" s="276">
        <v>11.0</v>
      </c>
      <c r="O768" s="277">
        <v>7761.0</v>
      </c>
      <c r="P768" s="11">
        <v>213.0</v>
      </c>
    </row>
    <row r="769">
      <c r="C769" s="276">
        <v>35.0</v>
      </c>
      <c r="J769" s="24">
        <v>2.0</v>
      </c>
      <c r="K769" s="24">
        <v>217.0</v>
      </c>
      <c r="M769" s="276">
        <v>67.0</v>
      </c>
      <c r="O769" s="277">
        <v>7762.0</v>
      </c>
      <c r="P769" s="11">
        <v>212.0</v>
      </c>
    </row>
    <row r="770">
      <c r="C770" s="276">
        <v>15.0</v>
      </c>
      <c r="J770" s="24">
        <v>1.0</v>
      </c>
      <c r="K770" s="24">
        <v>690.0</v>
      </c>
      <c r="M770" s="276">
        <v>22.0</v>
      </c>
      <c r="O770" s="277">
        <v>7763.0</v>
      </c>
      <c r="P770" s="11">
        <v>213.0</v>
      </c>
    </row>
    <row r="771">
      <c r="C771" s="276">
        <v>56.0</v>
      </c>
      <c r="J771" s="24">
        <v>3.0</v>
      </c>
      <c r="K771" s="24">
        <v>279.0</v>
      </c>
      <c r="M771" s="276">
        <v>20.0</v>
      </c>
      <c r="O771" s="277">
        <v>7764.0</v>
      </c>
      <c r="P771" s="11">
        <v>209.0</v>
      </c>
    </row>
    <row r="772">
      <c r="C772" s="276">
        <v>35.0</v>
      </c>
      <c r="J772" s="24">
        <v>7.0</v>
      </c>
      <c r="K772" s="24">
        <v>835.0</v>
      </c>
      <c r="M772" s="276">
        <v>72.0</v>
      </c>
      <c r="O772" s="3">
        <v>7765.0</v>
      </c>
      <c r="P772" s="11">
        <v>214.0</v>
      </c>
    </row>
    <row r="773">
      <c r="C773" s="276">
        <v>97.0</v>
      </c>
      <c r="J773" s="24">
        <v>9.0</v>
      </c>
      <c r="K773" s="24">
        <v>391.0</v>
      </c>
      <c r="M773" s="276">
        <v>18.0</v>
      </c>
      <c r="O773" s="277">
        <v>7766.0</v>
      </c>
      <c r="P773" s="11">
        <v>214.0</v>
      </c>
    </row>
    <row r="774">
      <c r="C774" s="276">
        <v>76.0</v>
      </c>
      <c r="J774" s="24">
        <v>1.0</v>
      </c>
      <c r="K774" s="24">
        <v>470.0</v>
      </c>
      <c r="M774" s="276">
        <v>71.0</v>
      </c>
      <c r="O774" s="277">
        <v>7767.0</v>
      </c>
      <c r="P774" s="11">
        <v>212.0</v>
      </c>
    </row>
    <row r="775">
      <c r="C775" s="276">
        <v>76.0</v>
      </c>
      <c r="J775" s="24">
        <v>6.0</v>
      </c>
      <c r="K775" s="24">
        <v>690.0</v>
      </c>
      <c r="M775" s="276">
        <v>75.0</v>
      </c>
      <c r="O775" s="277">
        <v>7768.0</v>
      </c>
      <c r="P775" s="11">
        <v>210.0</v>
      </c>
    </row>
    <row r="776">
      <c r="C776" s="276">
        <v>97.0</v>
      </c>
      <c r="J776" s="24">
        <v>8.0</v>
      </c>
      <c r="K776" s="24">
        <v>342.0</v>
      </c>
      <c r="M776" s="276">
        <v>23.0</v>
      </c>
      <c r="O776" s="277">
        <v>7769.0</v>
      </c>
      <c r="P776" s="11">
        <v>208.0</v>
      </c>
    </row>
    <row r="777">
      <c r="C777" s="276">
        <v>15.0</v>
      </c>
      <c r="J777" s="24">
        <v>7.0</v>
      </c>
      <c r="K777" s="24">
        <v>294.0</v>
      </c>
      <c r="M777" s="276">
        <v>33.0</v>
      </c>
      <c r="O777" s="3">
        <v>7770.0</v>
      </c>
      <c r="P777" s="11">
        <v>209.0</v>
      </c>
    </row>
    <row r="778">
      <c r="C778" s="276">
        <v>76.0</v>
      </c>
      <c r="J778" s="24">
        <v>4.0</v>
      </c>
      <c r="K778" s="24">
        <v>972.0</v>
      </c>
      <c r="M778" s="276">
        <v>77.0</v>
      </c>
      <c r="O778" s="277">
        <v>7771.0</v>
      </c>
      <c r="P778" s="11">
        <v>216.0</v>
      </c>
    </row>
    <row r="779">
      <c r="C779" s="276">
        <v>35.0</v>
      </c>
      <c r="J779" s="24">
        <v>5.0</v>
      </c>
      <c r="K779" s="24">
        <v>882.0</v>
      </c>
      <c r="M779" s="276">
        <v>82.0</v>
      </c>
      <c r="O779" s="277">
        <v>7772.0</v>
      </c>
      <c r="P779" s="11">
        <v>211.0</v>
      </c>
    </row>
    <row r="780">
      <c r="C780" s="276">
        <v>56.0</v>
      </c>
      <c r="J780" s="24">
        <v>2.0</v>
      </c>
      <c r="K780" s="24">
        <v>708.0</v>
      </c>
      <c r="M780" s="276">
        <v>31.0</v>
      </c>
      <c r="O780" s="277">
        <v>7773.0</v>
      </c>
      <c r="P780" s="11">
        <v>218.0</v>
      </c>
    </row>
    <row r="781">
      <c r="C781" s="276">
        <v>97.0</v>
      </c>
      <c r="J781" s="24">
        <v>2.0</v>
      </c>
      <c r="K781" s="24">
        <v>470.0</v>
      </c>
      <c r="M781" s="276">
        <v>29.0</v>
      </c>
      <c r="O781" s="277">
        <v>7774.0</v>
      </c>
      <c r="P781" s="11">
        <v>212.0</v>
      </c>
    </row>
    <row r="782">
      <c r="C782" s="276">
        <v>76.0</v>
      </c>
      <c r="J782" s="24">
        <v>9.0</v>
      </c>
      <c r="K782" s="24">
        <v>611.0</v>
      </c>
      <c r="M782" s="276">
        <v>76.0</v>
      </c>
      <c r="O782" s="3">
        <v>7775.0</v>
      </c>
      <c r="P782" s="11">
        <v>201.0</v>
      </c>
    </row>
    <row r="783">
      <c r="C783" s="276">
        <v>15.0</v>
      </c>
      <c r="J783" s="24">
        <v>5.0</v>
      </c>
      <c r="K783" s="24">
        <v>278.0</v>
      </c>
      <c r="M783" s="276">
        <v>40.0</v>
      </c>
      <c r="O783" s="277">
        <v>7776.0</v>
      </c>
      <c r="P783" s="11">
        <v>210.0</v>
      </c>
    </row>
    <row r="784">
      <c r="C784" s="276">
        <v>35.0</v>
      </c>
      <c r="J784" s="24">
        <v>6.0</v>
      </c>
      <c r="K784" s="24">
        <v>403.0</v>
      </c>
      <c r="M784" s="276">
        <v>91.0</v>
      </c>
      <c r="O784" s="277">
        <v>7777.0</v>
      </c>
      <c r="P784" s="11">
        <v>214.0</v>
      </c>
    </row>
    <row r="785">
      <c r="C785" s="276">
        <v>15.0</v>
      </c>
      <c r="J785" s="24">
        <v>7.0</v>
      </c>
      <c r="K785" s="24">
        <v>383.0</v>
      </c>
      <c r="M785" s="276">
        <v>44.0</v>
      </c>
      <c r="O785" s="277">
        <v>7778.0</v>
      </c>
      <c r="P785" s="11">
        <v>204.0</v>
      </c>
    </row>
    <row r="786">
      <c r="C786" s="276">
        <v>35.0</v>
      </c>
      <c r="J786" s="24">
        <v>8.0</v>
      </c>
      <c r="K786" s="24">
        <v>577.0</v>
      </c>
      <c r="M786" s="276">
        <v>96.0</v>
      </c>
      <c r="O786" s="277">
        <v>7779.0</v>
      </c>
      <c r="P786" s="11">
        <v>207.0</v>
      </c>
    </row>
    <row r="787">
      <c r="C787" s="276">
        <v>97.0</v>
      </c>
      <c r="J787" s="24">
        <v>9.0</v>
      </c>
      <c r="K787" s="24">
        <v>768.0</v>
      </c>
      <c r="M787" s="276">
        <v>42.0</v>
      </c>
      <c r="O787" s="3">
        <v>7780.0</v>
      </c>
      <c r="P787" s="11">
        <v>206.0</v>
      </c>
    </row>
    <row r="788">
      <c r="C788" s="276">
        <v>76.0</v>
      </c>
      <c r="J788" s="24">
        <v>3.0</v>
      </c>
      <c r="K788" s="24">
        <v>946.0</v>
      </c>
      <c r="M788" s="276">
        <v>98.0</v>
      </c>
      <c r="O788" s="277">
        <v>7781.0</v>
      </c>
      <c r="P788" s="11">
        <v>210.0</v>
      </c>
    </row>
    <row r="789">
      <c r="C789" s="276">
        <v>77.0</v>
      </c>
      <c r="J789" s="24">
        <v>5.0</v>
      </c>
      <c r="K789" s="24">
        <v>995.0</v>
      </c>
      <c r="M789" s="276">
        <v>1.0</v>
      </c>
      <c r="O789" s="277">
        <v>7782.0</v>
      </c>
      <c r="P789" s="11">
        <v>220.0</v>
      </c>
    </row>
    <row r="790">
      <c r="C790" s="276">
        <v>77.0</v>
      </c>
      <c r="J790" s="24">
        <v>7.0</v>
      </c>
      <c r="K790" s="24">
        <v>565.0</v>
      </c>
      <c r="M790" s="276">
        <v>2.0</v>
      </c>
      <c r="O790" s="277">
        <v>7783.0</v>
      </c>
      <c r="P790" s="11">
        <v>204.0</v>
      </c>
    </row>
    <row r="791">
      <c r="C791" s="276">
        <v>56.0</v>
      </c>
      <c r="J791" s="24">
        <v>9.0</v>
      </c>
      <c r="K791" s="24">
        <v>485.0</v>
      </c>
      <c r="M791" s="276">
        <v>53.0</v>
      </c>
      <c r="O791" s="277">
        <v>7784.0</v>
      </c>
      <c r="P791" s="11">
        <v>210.0</v>
      </c>
    </row>
    <row r="792">
      <c r="C792" s="276">
        <v>51.0</v>
      </c>
      <c r="J792" s="24">
        <v>9.0</v>
      </c>
      <c r="K792" s="24">
        <v>248.0</v>
      </c>
      <c r="M792" s="276">
        <v>94.0</v>
      </c>
      <c r="O792" s="3">
        <v>7785.0</v>
      </c>
      <c r="P792" s="11">
        <v>214.0</v>
      </c>
    </row>
    <row r="793">
      <c r="C793" s="276">
        <v>15.0</v>
      </c>
      <c r="J793" s="24">
        <v>8.0</v>
      </c>
      <c r="K793" s="24">
        <v>484.0</v>
      </c>
      <c r="M793" s="276">
        <v>66.0</v>
      </c>
      <c r="O793" s="277">
        <v>7786.0</v>
      </c>
      <c r="P793" s="11">
        <v>219.0</v>
      </c>
    </row>
    <row r="794">
      <c r="C794" s="276">
        <v>97.0</v>
      </c>
      <c r="J794" s="24">
        <v>1.0</v>
      </c>
      <c r="K794" s="24">
        <v>332.0</v>
      </c>
      <c r="M794" s="276">
        <v>59.0</v>
      </c>
      <c r="O794" s="277">
        <v>7787.0</v>
      </c>
      <c r="P794" s="11">
        <v>204.0</v>
      </c>
    </row>
    <row r="795">
      <c r="C795" s="276">
        <v>97.0</v>
      </c>
      <c r="J795" s="24">
        <v>8.0</v>
      </c>
      <c r="K795" s="24">
        <v>490.0</v>
      </c>
      <c r="M795" s="276">
        <v>64.0</v>
      </c>
      <c r="O795" s="277">
        <v>7788.0</v>
      </c>
      <c r="P795" s="11">
        <v>207.0</v>
      </c>
    </row>
    <row r="796">
      <c r="C796" s="276">
        <v>36.0</v>
      </c>
      <c r="J796" s="24">
        <v>6.0</v>
      </c>
      <c r="K796" s="24">
        <v>206.0</v>
      </c>
      <c r="M796" s="276">
        <v>20.0</v>
      </c>
      <c r="O796" s="277">
        <v>7789.0</v>
      </c>
      <c r="P796" s="11">
        <v>212.0</v>
      </c>
    </row>
    <row r="797">
      <c r="C797" s="276">
        <v>56.0</v>
      </c>
      <c r="J797" s="24">
        <v>3.0</v>
      </c>
      <c r="K797" s="24">
        <v>549.0</v>
      </c>
      <c r="M797" s="276">
        <v>70.0</v>
      </c>
      <c r="O797" s="3">
        <v>7790.0</v>
      </c>
      <c r="P797" s="11">
        <v>218.0</v>
      </c>
    </row>
    <row r="798">
      <c r="C798" s="276">
        <v>97.0</v>
      </c>
      <c r="J798" s="24">
        <v>4.0</v>
      </c>
      <c r="K798" s="24">
        <v>637.0</v>
      </c>
      <c r="M798" s="276">
        <v>66.0</v>
      </c>
      <c r="O798" s="277">
        <v>7791.0</v>
      </c>
      <c r="P798" s="11">
        <v>213.0</v>
      </c>
    </row>
    <row r="799">
      <c r="C799" s="276">
        <v>97.0</v>
      </c>
      <c r="J799" s="24">
        <v>3.0</v>
      </c>
      <c r="K799" s="24">
        <v>679.0</v>
      </c>
      <c r="M799" s="276">
        <v>69.0</v>
      </c>
      <c r="O799" s="277">
        <v>7792.0</v>
      </c>
      <c r="P799" s="11">
        <v>219.0</v>
      </c>
    </row>
    <row r="800">
      <c r="C800" s="276">
        <v>77.0</v>
      </c>
      <c r="J800" s="24">
        <v>1.0</v>
      </c>
      <c r="K800" s="24">
        <v>447.0</v>
      </c>
      <c r="M800" s="276">
        <v>24.0</v>
      </c>
      <c r="O800" s="277">
        <v>7793.0</v>
      </c>
      <c r="P800" s="11">
        <v>204.0</v>
      </c>
    </row>
    <row r="801">
      <c r="C801" s="276">
        <v>77.0</v>
      </c>
      <c r="J801" s="24">
        <v>2.0</v>
      </c>
      <c r="K801" s="24">
        <v>915.0</v>
      </c>
      <c r="M801" s="276">
        <v>25.0</v>
      </c>
      <c r="O801" s="277">
        <v>7794.0</v>
      </c>
      <c r="P801" s="11">
        <v>202.0</v>
      </c>
    </row>
    <row r="802">
      <c r="C802" s="276">
        <v>77.0</v>
      </c>
      <c r="J802" s="24">
        <v>1.0</v>
      </c>
      <c r="K802" s="24">
        <v>244.0</v>
      </c>
      <c r="M802" s="276">
        <v>26.0</v>
      </c>
      <c r="O802" s="3">
        <v>7795.0</v>
      </c>
      <c r="P802" s="11">
        <v>208.0</v>
      </c>
    </row>
    <row r="803">
      <c r="C803" s="276">
        <v>36.0</v>
      </c>
      <c r="J803" s="24">
        <v>5.0</v>
      </c>
      <c r="K803" s="24">
        <v>505.0</v>
      </c>
      <c r="M803" s="276">
        <v>34.0</v>
      </c>
      <c r="O803" s="277">
        <v>7796.0</v>
      </c>
      <c r="P803" s="11">
        <v>216.0</v>
      </c>
    </row>
    <row r="804">
      <c r="C804" s="276">
        <v>56.0</v>
      </c>
      <c r="J804" s="24">
        <v>1.0</v>
      </c>
      <c r="K804" s="24">
        <v>586.0</v>
      </c>
      <c r="M804" s="276">
        <v>82.0</v>
      </c>
      <c r="O804" s="277">
        <v>7797.0</v>
      </c>
      <c r="P804" s="11">
        <v>212.0</v>
      </c>
    </row>
    <row r="805">
      <c r="C805" s="276">
        <v>36.0</v>
      </c>
      <c r="J805" s="24">
        <v>9.0</v>
      </c>
      <c r="K805" s="24">
        <v>110.0</v>
      </c>
      <c r="M805" s="276">
        <v>37.0</v>
      </c>
      <c r="O805" s="277">
        <v>7798.0</v>
      </c>
      <c r="P805" s="11">
        <v>205.0</v>
      </c>
    </row>
    <row r="806">
      <c r="C806" s="276">
        <v>36.0</v>
      </c>
      <c r="J806" s="24">
        <v>5.0</v>
      </c>
      <c r="K806" s="24">
        <v>950.0</v>
      </c>
      <c r="M806" s="276">
        <v>39.0</v>
      </c>
      <c r="O806" s="277">
        <v>7799.0</v>
      </c>
      <c r="P806" s="11">
        <v>218.0</v>
      </c>
    </row>
    <row r="807">
      <c r="C807" s="276">
        <v>97.0</v>
      </c>
      <c r="J807" s="24">
        <v>2.0</v>
      </c>
      <c r="K807" s="24">
        <v>739.0</v>
      </c>
      <c r="M807" s="276">
        <v>83.0</v>
      </c>
      <c r="O807" s="3">
        <v>7800.0</v>
      </c>
      <c r="P807" s="11">
        <v>204.0</v>
      </c>
    </row>
    <row r="808">
      <c r="C808" s="276">
        <v>77.0</v>
      </c>
      <c r="J808" s="24">
        <v>9.0</v>
      </c>
      <c r="K808" s="24">
        <v>365.0</v>
      </c>
      <c r="M808" s="276">
        <v>36.0</v>
      </c>
      <c r="O808" s="277">
        <v>7801.0</v>
      </c>
      <c r="P808" s="11">
        <v>204.0</v>
      </c>
    </row>
    <row r="809">
      <c r="C809" s="276">
        <v>56.0</v>
      </c>
      <c r="J809" s="24">
        <v>4.0</v>
      </c>
      <c r="K809" s="24">
        <v>659.0</v>
      </c>
      <c r="M809" s="276">
        <v>92.0</v>
      </c>
      <c r="O809" s="277">
        <v>7802.0</v>
      </c>
      <c r="P809" s="11">
        <v>213.0</v>
      </c>
    </row>
    <row r="810">
      <c r="C810" s="276">
        <v>77.0</v>
      </c>
      <c r="J810" s="24">
        <v>8.0</v>
      </c>
      <c r="K810" s="24">
        <v>360.0</v>
      </c>
      <c r="M810" s="276">
        <v>43.0</v>
      </c>
      <c r="O810" s="277">
        <v>7803.0</v>
      </c>
      <c r="P810" s="11">
        <v>208.0</v>
      </c>
    </row>
    <row r="811">
      <c r="C811" s="276">
        <v>36.0</v>
      </c>
      <c r="J811" s="24">
        <v>8.0</v>
      </c>
      <c r="K811" s="24">
        <v>459.0</v>
      </c>
      <c r="M811" s="276">
        <v>47.0</v>
      </c>
      <c r="O811" s="277">
        <v>7804.0</v>
      </c>
      <c r="P811" s="11">
        <v>211.0</v>
      </c>
    </row>
    <row r="812">
      <c r="C812" s="276">
        <v>56.0</v>
      </c>
      <c r="J812" s="24">
        <v>8.0</v>
      </c>
      <c r="K812" s="24">
        <v>530.0</v>
      </c>
      <c r="M812" s="276">
        <v>98.0</v>
      </c>
      <c r="O812" s="3">
        <v>7805.0</v>
      </c>
      <c r="P812" s="11">
        <v>213.0</v>
      </c>
    </row>
    <row r="813">
      <c r="C813" s="276">
        <v>16.0</v>
      </c>
      <c r="J813" s="24">
        <v>2.0</v>
      </c>
      <c r="K813" s="24">
        <v>179.0</v>
      </c>
      <c r="M813" s="276">
        <v>3.0</v>
      </c>
      <c r="O813" s="277">
        <v>7806.0</v>
      </c>
      <c r="P813" s="11">
        <v>207.0</v>
      </c>
    </row>
    <row r="814">
      <c r="C814" s="276">
        <v>16.0</v>
      </c>
      <c r="J814" s="24">
        <v>6.0</v>
      </c>
      <c r="K814" s="24">
        <v>386.0</v>
      </c>
      <c r="M814" s="276">
        <v>5.0</v>
      </c>
      <c r="O814" s="277">
        <v>7807.0</v>
      </c>
      <c r="P814" s="11">
        <v>202.0</v>
      </c>
    </row>
    <row r="815">
      <c r="C815" s="276">
        <v>77.0</v>
      </c>
      <c r="J815" s="24">
        <v>7.0</v>
      </c>
      <c r="K815" s="24">
        <v>509.0</v>
      </c>
      <c r="M815" s="276">
        <v>55.0</v>
      </c>
      <c r="O815" s="277">
        <v>7808.0</v>
      </c>
      <c r="P815" s="11">
        <v>211.0</v>
      </c>
    </row>
    <row r="816">
      <c r="C816" s="276">
        <v>77.0</v>
      </c>
      <c r="J816" s="24">
        <v>1.0</v>
      </c>
      <c r="K816" s="24">
        <v>921.0</v>
      </c>
      <c r="M816" s="276">
        <v>61.0</v>
      </c>
      <c r="O816" s="277">
        <v>7809.0</v>
      </c>
      <c r="P816" s="11">
        <v>209.0</v>
      </c>
    </row>
    <row r="817">
      <c r="C817" s="276">
        <v>16.0</v>
      </c>
      <c r="J817" s="24">
        <v>9.0</v>
      </c>
      <c r="K817" s="24">
        <v>544.0</v>
      </c>
      <c r="M817" s="276">
        <v>17.0</v>
      </c>
      <c r="O817" s="3">
        <v>7810.0</v>
      </c>
      <c r="P817" s="11">
        <v>210.0</v>
      </c>
    </row>
    <row r="818">
      <c r="C818" s="276">
        <v>16.0</v>
      </c>
      <c r="J818" s="24">
        <v>9.0</v>
      </c>
      <c r="K818" s="24">
        <v>943.0</v>
      </c>
      <c r="M818" s="276">
        <v>19.0</v>
      </c>
      <c r="O818" s="277">
        <v>7811.0</v>
      </c>
      <c r="P818" s="11">
        <v>208.0</v>
      </c>
    </row>
    <row r="819">
      <c r="C819" s="276">
        <v>77.0</v>
      </c>
      <c r="J819" s="24">
        <v>2.0</v>
      </c>
      <c r="K819" s="24">
        <v>960.0</v>
      </c>
      <c r="M819" s="276">
        <v>64.0</v>
      </c>
      <c r="O819" s="277">
        <v>7812.0</v>
      </c>
      <c r="P819" s="11">
        <v>213.0</v>
      </c>
    </row>
    <row r="820">
      <c r="C820" s="276">
        <v>57.0</v>
      </c>
      <c r="J820" s="24">
        <v>6.0</v>
      </c>
      <c r="K820" s="24">
        <v>148.0</v>
      </c>
      <c r="M820" s="276">
        <v>19.0</v>
      </c>
      <c r="O820" s="277">
        <v>7813.0</v>
      </c>
      <c r="P820" s="11">
        <v>201.0</v>
      </c>
    </row>
    <row r="821">
      <c r="C821" s="276">
        <v>16.0</v>
      </c>
      <c r="J821" s="24">
        <v>9.0</v>
      </c>
      <c r="K821" s="24">
        <v>673.0</v>
      </c>
      <c r="M821" s="276">
        <v>23.0</v>
      </c>
      <c r="O821" s="277">
        <v>7814.0</v>
      </c>
      <c r="P821" s="11">
        <v>201.0</v>
      </c>
    </row>
    <row r="822">
      <c r="C822" s="276">
        <v>16.0</v>
      </c>
      <c r="J822" s="24">
        <v>4.0</v>
      </c>
      <c r="K822" s="24">
        <v>742.0</v>
      </c>
      <c r="M822" s="276">
        <v>29.0</v>
      </c>
      <c r="O822" s="3">
        <v>7815.0</v>
      </c>
      <c r="P822" s="11">
        <v>202.0</v>
      </c>
    </row>
    <row r="823">
      <c r="C823" s="276">
        <v>36.0</v>
      </c>
      <c r="J823" s="24">
        <v>5.0</v>
      </c>
      <c r="K823" s="24">
        <v>391.0</v>
      </c>
      <c r="M823" s="276">
        <v>78.0</v>
      </c>
      <c r="O823" s="277">
        <v>7816.0</v>
      </c>
      <c r="P823" s="11">
        <v>210.0</v>
      </c>
    </row>
    <row r="824">
      <c r="C824" s="276">
        <v>98.0</v>
      </c>
      <c r="J824" s="24">
        <v>2.0</v>
      </c>
      <c r="K824" s="24">
        <v>858.0</v>
      </c>
      <c r="M824" s="276">
        <v>22.0</v>
      </c>
      <c r="O824" s="277">
        <v>7817.0</v>
      </c>
      <c r="P824" s="11">
        <v>214.0</v>
      </c>
    </row>
    <row r="825">
      <c r="C825" s="276">
        <v>36.0</v>
      </c>
      <c r="J825" s="24">
        <v>5.0</v>
      </c>
      <c r="K825" s="24">
        <v>822.0</v>
      </c>
      <c r="M825" s="276">
        <v>80.0</v>
      </c>
      <c r="O825" s="277">
        <v>7818.0</v>
      </c>
      <c r="P825" s="11">
        <v>215.0</v>
      </c>
    </row>
    <row r="826">
      <c r="C826" s="276">
        <v>57.0</v>
      </c>
      <c r="J826" s="24">
        <v>6.0</v>
      </c>
      <c r="K826" s="24">
        <v>112.0</v>
      </c>
      <c r="M826" s="276">
        <v>29.0</v>
      </c>
      <c r="O826" s="277">
        <v>7819.0</v>
      </c>
      <c r="P826" s="11">
        <v>220.0</v>
      </c>
    </row>
    <row r="827">
      <c r="C827" s="276">
        <v>16.0</v>
      </c>
      <c r="J827" s="24">
        <v>7.0</v>
      </c>
      <c r="K827" s="24">
        <v>215.0</v>
      </c>
      <c r="M827" s="276">
        <v>34.0</v>
      </c>
      <c r="O827" s="3">
        <v>7820.0</v>
      </c>
      <c r="P827" s="11">
        <v>208.0</v>
      </c>
    </row>
    <row r="828">
      <c r="C828" s="276">
        <v>98.0</v>
      </c>
      <c r="J828" s="24">
        <v>4.0</v>
      </c>
      <c r="K828" s="24">
        <v>426.0</v>
      </c>
      <c r="M828" s="276">
        <v>23.0</v>
      </c>
      <c r="O828" s="277">
        <v>7821.0</v>
      </c>
      <c r="P828" s="11">
        <v>213.0</v>
      </c>
    </row>
    <row r="829">
      <c r="C829" s="276">
        <v>16.0</v>
      </c>
      <c r="J829" s="24">
        <v>2.0</v>
      </c>
      <c r="K829" s="24">
        <v>170.0</v>
      </c>
      <c r="M829" s="276">
        <v>38.0</v>
      </c>
      <c r="O829" s="277">
        <v>7822.0</v>
      </c>
      <c r="P829" s="11">
        <v>211.0</v>
      </c>
    </row>
    <row r="830">
      <c r="C830" s="276">
        <v>16.0</v>
      </c>
      <c r="J830" s="24">
        <v>1.0</v>
      </c>
      <c r="K830" s="24">
        <v>263.0</v>
      </c>
      <c r="M830" s="276">
        <v>42.0</v>
      </c>
      <c r="O830" s="277">
        <v>7823.0</v>
      </c>
      <c r="P830" s="11">
        <v>217.0</v>
      </c>
    </row>
    <row r="831">
      <c r="C831" s="276">
        <v>36.0</v>
      </c>
      <c r="J831" s="24">
        <v>5.0</v>
      </c>
      <c r="K831" s="24">
        <v>156.0</v>
      </c>
      <c r="M831" s="276">
        <v>96.0</v>
      </c>
      <c r="O831" s="277">
        <v>7824.0</v>
      </c>
      <c r="P831" s="11">
        <v>202.0</v>
      </c>
    </row>
    <row r="832">
      <c r="C832" s="276">
        <v>16.0</v>
      </c>
      <c r="J832" s="24">
        <v>2.0</v>
      </c>
      <c r="K832" s="24">
        <v>186.0</v>
      </c>
      <c r="M832" s="276">
        <v>51.0</v>
      </c>
      <c r="O832" s="3">
        <v>7825.0</v>
      </c>
      <c r="P832" s="11">
        <v>216.0</v>
      </c>
    </row>
    <row r="833">
      <c r="C833" s="276">
        <v>37.0</v>
      </c>
      <c r="J833" s="24">
        <v>1.0</v>
      </c>
      <c r="K833" s="24">
        <v>163.0</v>
      </c>
      <c r="M833" s="276">
        <v>0.0</v>
      </c>
      <c r="O833" s="277">
        <v>7826.0</v>
      </c>
      <c r="P833" s="11">
        <v>203.0</v>
      </c>
    </row>
    <row r="834">
      <c r="C834" s="276">
        <v>57.0</v>
      </c>
      <c r="J834" s="24">
        <v>5.0</v>
      </c>
      <c r="K834" s="24">
        <v>937.0</v>
      </c>
      <c r="M834" s="276">
        <v>48.0</v>
      </c>
      <c r="O834" s="277">
        <v>7827.0</v>
      </c>
      <c r="P834" s="11">
        <v>219.0</v>
      </c>
    </row>
    <row r="835">
      <c r="C835" s="276">
        <v>98.0</v>
      </c>
      <c r="J835" s="24">
        <v>1.0</v>
      </c>
      <c r="K835" s="24">
        <v>536.0</v>
      </c>
      <c r="M835" s="276">
        <v>46.0</v>
      </c>
      <c r="O835" s="277">
        <v>7828.0</v>
      </c>
      <c r="P835" s="11">
        <v>200.0</v>
      </c>
    </row>
    <row r="836">
      <c r="C836" s="276">
        <v>37.0</v>
      </c>
      <c r="J836" s="24">
        <v>8.0</v>
      </c>
      <c r="K836" s="24">
        <v>539.0</v>
      </c>
      <c r="M836" s="276">
        <v>5.0</v>
      </c>
      <c r="O836" s="277">
        <v>7829.0</v>
      </c>
      <c r="P836" s="11">
        <v>212.0</v>
      </c>
    </row>
    <row r="837">
      <c r="C837" s="276">
        <v>57.0</v>
      </c>
      <c r="J837" s="24">
        <v>9.0</v>
      </c>
      <c r="K837" s="24">
        <v>182.0</v>
      </c>
      <c r="M837" s="276">
        <v>55.0</v>
      </c>
      <c r="O837" s="3">
        <v>7830.0</v>
      </c>
      <c r="P837" s="11">
        <v>204.0</v>
      </c>
    </row>
    <row r="838">
      <c r="C838" s="276">
        <v>16.0</v>
      </c>
      <c r="J838" s="24">
        <v>5.0</v>
      </c>
      <c r="K838" s="24">
        <v>382.0</v>
      </c>
      <c r="M838" s="276">
        <v>59.0</v>
      </c>
      <c r="O838" s="277">
        <v>7831.0</v>
      </c>
      <c r="P838" s="11">
        <v>213.0</v>
      </c>
    </row>
    <row r="839">
      <c r="C839" s="276">
        <v>57.0</v>
      </c>
      <c r="J839" s="24">
        <v>2.0</v>
      </c>
      <c r="K839" s="24">
        <v>741.0</v>
      </c>
      <c r="M839" s="276">
        <v>59.0</v>
      </c>
      <c r="O839" s="277">
        <v>7832.0</v>
      </c>
      <c r="P839" s="11">
        <v>211.0</v>
      </c>
    </row>
    <row r="840">
      <c r="C840" s="276">
        <v>78.0</v>
      </c>
      <c r="J840" s="24">
        <v>6.0</v>
      </c>
      <c r="K840" s="24">
        <v>837.0</v>
      </c>
      <c r="M840" s="276">
        <v>7.0</v>
      </c>
      <c r="O840" s="277">
        <v>7833.0</v>
      </c>
      <c r="P840" s="11">
        <v>216.0</v>
      </c>
    </row>
    <row r="841">
      <c r="C841" s="276">
        <v>37.0</v>
      </c>
      <c r="J841" s="24">
        <v>8.0</v>
      </c>
      <c r="K841" s="24">
        <v>896.0</v>
      </c>
      <c r="M841" s="276">
        <v>13.0</v>
      </c>
      <c r="O841" s="277">
        <v>7834.0</v>
      </c>
      <c r="P841" s="11">
        <v>210.0</v>
      </c>
    </row>
    <row r="842">
      <c r="C842" s="276">
        <v>98.0</v>
      </c>
      <c r="J842" s="24">
        <v>2.0</v>
      </c>
      <c r="K842" s="24">
        <v>352.0</v>
      </c>
      <c r="M842" s="276">
        <v>58.0</v>
      </c>
      <c r="O842" s="3">
        <v>7835.0</v>
      </c>
      <c r="P842" s="11">
        <v>204.0</v>
      </c>
    </row>
    <row r="843">
      <c r="C843" s="276">
        <v>57.0</v>
      </c>
      <c r="J843" s="24">
        <v>4.0</v>
      </c>
      <c r="K843" s="24">
        <v>677.0</v>
      </c>
      <c r="M843" s="276">
        <v>69.0</v>
      </c>
      <c r="O843" s="277">
        <v>7836.0</v>
      </c>
      <c r="P843" s="11">
        <v>205.0</v>
      </c>
    </row>
    <row r="844">
      <c r="C844" s="276">
        <v>98.0</v>
      </c>
      <c r="J844" s="24">
        <v>2.0</v>
      </c>
      <c r="K844" s="24">
        <v>750.0</v>
      </c>
      <c r="M844" s="276">
        <v>68.0</v>
      </c>
      <c r="O844" s="277">
        <v>7837.0</v>
      </c>
      <c r="P844" s="11">
        <v>208.0</v>
      </c>
    </row>
    <row r="845">
      <c r="C845" s="276">
        <v>16.0</v>
      </c>
      <c r="J845" s="24">
        <v>9.0</v>
      </c>
      <c r="K845" s="24">
        <v>527.0</v>
      </c>
      <c r="M845" s="276">
        <v>77.0</v>
      </c>
      <c r="O845" s="277">
        <v>7838.0</v>
      </c>
      <c r="P845" s="11">
        <v>205.0</v>
      </c>
    </row>
    <row r="846">
      <c r="C846" s="276">
        <v>98.0</v>
      </c>
      <c r="J846" s="24">
        <v>2.0</v>
      </c>
      <c r="K846" s="24">
        <v>671.0</v>
      </c>
      <c r="M846" s="276">
        <v>69.0</v>
      </c>
      <c r="O846" s="277">
        <v>7839.0</v>
      </c>
      <c r="P846" s="11">
        <v>218.0</v>
      </c>
    </row>
    <row r="847">
      <c r="C847" s="276">
        <v>78.0</v>
      </c>
      <c r="J847" s="24">
        <v>5.0</v>
      </c>
      <c r="K847" s="24">
        <v>196.0</v>
      </c>
      <c r="M847" s="276">
        <v>23.0</v>
      </c>
      <c r="O847" s="3">
        <v>7840.0</v>
      </c>
      <c r="P847" s="11">
        <v>202.0</v>
      </c>
    </row>
    <row r="848">
      <c r="C848" s="276">
        <v>37.0</v>
      </c>
      <c r="J848" s="24">
        <v>8.0</v>
      </c>
      <c r="K848" s="24">
        <v>428.0</v>
      </c>
      <c r="M848" s="276">
        <v>26.0</v>
      </c>
      <c r="O848" s="277">
        <v>7841.0</v>
      </c>
      <c r="P848" s="11">
        <v>200.0</v>
      </c>
    </row>
    <row r="849">
      <c r="C849" s="276">
        <v>98.0</v>
      </c>
      <c r="J849" s="24">
        <v>9.0</v>
      </c>
      <c r="K849" s="24">
        <v>269.0</v>
      </c>
      <c r="M849" s="276">
        <v>77.0</v>
      </c>
      <c r="O849" s="277">
        <v>7842.0</v>
      </c>
      <c r="P849" s="11">
        <v>217.0</v>
      </c>
    </row>
    <row r="850">
      <c r="C850" s="276">
        <v>78.0</v>
      </c>
      <c r="J850" s="24">
        <v>9.0</v>
      </c>
      <c r="K850" s="24">
        <v>896.0</v>
      </c>
      <c r="M850" s="276">
        <v>37.0</v>
      </c>
      <c r="O850" s="277">
        <v>7843.0</v>
      </c>
      <c r="P850" s="11">
        <v>207.0</v>
      </c>
    </row>
    <row r="851">
      <c r="C851" s="276">
        <v>78.0</v>
      </c>
      <c r="J851" s="24">
        <v>1.0</v>
      </c>
      <c r="K851" s="24">
        <v>446.0</v>
      </c>
      <c r="M851" s="276">
        <v>38.0</v>
      </c>
      <c r="O851" s="277">
        <v>7844.0</v>
      </c>
      <c r="P851" s="11">
        <v>216.0</v>
      </c>
    </row>
    <row r="852">
      <c r="C852" s="276">
        <v>98.0</v>
      </c>
      <c r="J852" s="24">
        <v>2.0</v>
      </c>
      <c r="K852" s="24">
        <v>860.0</v>
      </c>
      <c r="M852" s="276">
        <v>88.0</v>
      </c>
      <c r="O852" s="3">
        <v>7845.0</v>
      </c>
      <c r="P852" s="11">
        <v>209.0</v>
      </c>
    </row>
    <row r="853">
      <c r="C853" s="276">
        <v>16.0</v>
      </c>
      <c r="J853" s="24">
        <v>6.0</v>
      </c>
      <c r="K853" s="24">
        <v>164.0</v>
      </c>
      <c r="M853" s="276">
        <v>96.0</v>
      </c>
      <c r="O853" s="277">
        <v>7846.0</v>
      </c>
      <c r="P853" s="11">
        <v>219.0</v>
      </c>
    </row>
    <row r="854">
      <c r="C854" s="276">
        <v>78.0</v>
      </c>
      <c r="J854" s="24">
        <v>7.0</v>
      </c>
      <c r="K854" s="24">
        <v>133.0</v>
      </c>
      <c r="M854" s="276">
        <v>40.0</v>
      </c>
      <c r="O854" s="277">
        <v>7847.0</v>
      </c>
      <c r="P854" s="11">
        <v>205.0</v>
      </c>
    </row>
    <row r="855">
      <c r="C855" s="276">
        <v>57.0</v>
      </c>
      <c r="J855" s="24">
        <v>8.0</v>
      </c>
      <c r="K855" s="24">
        <v>979.0</v>
      </c>
      <c r="M855" s="276">
        <v>96.0</v>
      </c>
      <c r="O855" s="277">
        <v>7848.0</v>
      </c>
      <c r="P855" s="11">
        <v>220.0</v>
      </c>
    </row>
    <row r="856">
      <c r="C856" s="276">
        <v>17.0</v>
      </c>
      <c r="J856" s="24">
        <v>2.0</v>
      </c>
      <c r="K856" s="24">
        <v>116.0</v>
      </c>
      <c r="M856" s="276">
        <v>4.0</v>
      </c>
      <c r="O856" s="277">
        <v>7849.0</v>
      </c>
      <c r="P856" s="11">
        <v>208.0</v>
      </c>
    </row>
    <row r="857">
      <c r="C857" s="276">
        <v>58.0</v>
      </c>
      <c r="J857" s="24">
        <v>1.0</v>
      </c>
      <c r="K857" s="24">
        <v>387.0</v>
      </c>
      <c r="M857" s="276">
        <v>3.0</v>
      </c>
      <c r="O857" s="3">
        <v>7850.0</v>
      </c>
      <c r="P857" s="11">
        <v>208.0</v>
      </c>
    </row>
    <row r="858">
      <c r="C858" s="276">
        <v>99.0</v>
      </c>
      <c r="J858" s="24">
        <v>4.0</v>
      </c>
      <c r="K858" s="24">
        <v>914.0</v>
      </c>
      <c r="M858" s="276">
        <v>5.0</v>
      </c>
      <c r="O858" s="277">
        <v>7851.0</v>
      </c>
      <c r="P858" s="11">
        <v>201.0</v>
      </c>
    </row>
    <row r="859">
      <c r="C859" s="276">
        <v>58.0</v>
      </c>
      <c r="J859" s="24">
        <v>1.0</v>
      </c>
      <c r="K859" s="24">
        <v>434.0</v>
      </c>
      <c r="M859" s="276">
        <v>10.0</v>
      </c>
      <c r="O859" s="277">
        <v>7852.0</v>
      </c>
      <c r="P859" s="11">
        <v>205.0</v>
      </c>
    </row>
    <row r="860">
      <c r="C860" s="276">
        <v>78.0</v>
      </c>
      <c r="J860" s="24">
        <v>2.0</v>
      </c>
      <c r="K860" s="24">
        <v>477.0</v>
      </c>
      <c r="M860" s="276">
        <v>59.0</v>
      </c>
      <c r="O860" s="277">
        <v>7853.0</v>
      </c>
      <c r="P860" s="11">
        <v>209.0</v>
      </c>
    </row>
    <row r="861">
      <c r="C861" s="276">
        <v>99.0</v>
      </c>
      <c r="J861" s="24">
        <v>4.0</v>
      </c>
      <c r="K861" s="24">
        <v>164.0</v>
      </c>
      <c r="M861" s="276">
        <v>13.0</v>
      </c>
      <c r="O861" s="277">
        <v>7854.0</v>
      </c>
      <c r="P861" s="11">
        <v>217.0</v>
      </c>
    </row>
    <row r="862">
      <c r="C862" s="276">
        <v>78.0</v>
      </c>
      <c r="J862" s="24">
        <v>1.0</v>
      </c>
      <c r="K862" s="24">
        <v>783.0</v>
      </c>
      <c r="M862" s="276">
        <v>68.0</v>
      </c>
      <c r="O862" s="3">
        <v>7855.0</v>
      </c>
      <c r="P862" s="11">
        <v>200.0</v>
      </c>
    </row>
    <row r="863">
      <c r="C863" s="276">
        <v>17.0</v>
      </c>
      <c r="J863" s="24">
        <v>4.0</v>
      </c>
      <c r="K863" s="24">
        <v>206.0</v>
      </c>
      <c r="M863" s="276">
        <v>25.0</v>
      </c>
      <c r="O863" s="277">
        <v>7856.0</v>
      </c>
      <c r="P863" s="11">
        <v>217.0</v>
      </c>
    </row>
    <row r="864">
      <c r="C864" s="276">
        <v>17.0</v>
      </c>
      <c r="J864" s="24">
        <v>6.0</v>
      </c>
      <c r="K864" s="24">
        <v>914.0</v>
      </c>
      <c r="M864" s="276">
        <v>26.0</v>
      </c>
      <c r="O864" s="277">
        <v>7857.0</v>
      </c>
      <c r="P864" s="11">
        <v>201.0</v>
      </c>
    </row>
    <row r="865">
      <c r="C865" s="276">
        <v>58.0</v>
      </c>
      <c r="J865" s="24">
        <v>5.0</v>
      </c>
      <c r="K865" s="24">
        <v>723.0</v>
      </c>
      <c r="M865" s="276">
        <v>22.0</v>
      </c>
      <c r="O865" s="277">
        <v>7858.0</v>
      </c>
      <c r="P865" s="11">
        <v>202.0</v>
      </c>
    </row>
    <row r="866">
      <c r="C866" s="276">
        <v>78.0</v>
      </c>
      <c r="J866" s="24">
        <v>2.0</v>
      </c>
      <c r="K866" s="24">
        <v>229.0</v>
      </c>
      <c r="M866" s="276">
        <v>73.0</v>
      </c>
      <c r="O866" s="277">
        <v>7859.0</v>
      </c>
      <c r="P866" s="11">
        <v>200.0</v>
      </c>
    </row>
    <row r="867">
      <c r="C867" s="276">
        <v>58.0</v>
      </c>
      <c r="J867" s="24">
        <v>6.0</v>
      </c>
      <c r="K867" s="24">
        <v>560.0</v>
      </c>
      <c r="M867" s="276">
        <v>27.0</v>
      </c>
      <c r="O867" s="3">
        <v>7860.0</v>
      </c>
      <c r="P867" s="11">
        <v>214.0</v>
      </c>
    </row>
    <row r="868">
      <c r="C868" s="276">
        <v>99.0</v>
      </c>
      <c r="J868" s="24">
        <v>3.0</v>
      </c>
      <c r="K868" s="24">
        <v>688.0</v>
      </c>
      <c r="M868" s="276">
        <v>26.0</v>
      </c>
      <c r="O868" s="277">
        <v>7861.0</v>
      </c>
      <c r="P868" s="11">
        <v>218.0</v>
      </c>
    </row>
    <row r="869">
      <c r="C869" s="276">
        <v>17.0</v>
      </c>
      <c r="J869" s="24">
        <v>8.0</v>
      </c>
      <c r="K869" s="24">
        <v>377.0</v>
      </c>
      <c r="M869" s="276">
        <v>36.0</v>
      </c>
      <c r="O869" s="277">
        <v>7862.0</v>
      </c>
      <c r="P869" s="11">
        <v>201.0</v>
      </c>
    </row>
    <row r="870">
      <c r="C870" s="276">
        <v>58.0</v>
      </c>
      <c r="J870" s="24">
        <v>7.0</v>
      </c>
      <c r="K870" s="24">
        <v>756.0</v>
      </c>
      <c r="M870" s="276">
        <v>33.0</v>
      </c>
      <c r="O870" s="277">
        <v>7863.0</v>
      </c>
      <c r="P870" s="11">
        <v>219.0</v>
      </c>
    </row>
    <row r="871">
      <c r="C871" s="276">
        <v>78.0</v>
      </c>
      <c r="J871" s="24">
        <v>1.0</v>
      </c>
      <c r="K871" s="24">
        <v>455.0</v>
      </c>
      <c r="M871" s="276">
        <v>82.0</v>
      </c>
      <c r="O871" s="277">
        <v>7864.0</v>
      </c>
      <c r="P871" s="11">
        <v>200.0</v>
      </c>
    </row>
    <row r="872">
      <c r="C872" s="276">
        <v>58.0</v>
      </c>
      <c r="J872" s="24">
        <v>1.0</v>
      </c>
      <c r="K872" s="24">
        <v>374.0</v>
      </c>
      <c r="M872" s="276">
        <v>37.0</v>
      </c>
      <c r="O872" s="3">
        <v>7865.0</v>
      </c>
      <c r="P872" s="11">
        <v>207.0</v>
      </c>
    </row>
    <row r="873">
      <c r="C873" s="276">
        <v>37.0</v>
      </c>
      <c r="J873" s="24">
        <v>4.0</v>
      </c>
      <c r="K873" s="24">
        <v>457.0</v>
      </c>
      <c r="M873" s="276">
        <v>90.0</v>
      </c>
      <c r="O873" s="277">
        <v>7866.0</v>
      </c>
      <c r="P873" s="11">
        <v>219.0</v>
      </c>
    </row>
    <row r="874">
      <c r="C874" s="276">
        <v>37.0</v>
      </c>
      <c r="J874" s="24">
        <v>6.0</v>
      </c>
      <c r="K874" s="24">
        <v>607.0</v>
      </c>
      <c r="M874" s="276">
        <v>91.0</v>
      </c>
      <c r="O874" s="277">
        <v>7867.0</v>
      </c>
      <c r="P874" s="11">
        <v>217.0</v>
      </c>
    </row>
    <row r="875">
      <c r="C875" s="276">
        <v>78.0</v>
      </c>
      <c r="J875" s="24">
        <v>1.0</v>
      </c>
      <c r="K875" s="24">
        <v>232.0</v>
      </c>
      <c r="M875" s="276">
        <v>87.0</v>
      </c>
      <c r="O875" s="277">
        <v>7868.0</v>
      </c>
      <c r="P875" s="11">
        <v>212.0</v>
      </c>
    </row>
    <row r="876">
      <c r="C876" s="276">
        <v>78.0</v>
      </c>
      <c r="J876" s="24">
        <v>8.0</v>
      </c>
      <c r="K876" s="24">
        <v>429.0</v>
      </c>
      <c r="M876" s="276">
        <v>88.0</v>
      </c>
      <c r="O876" s="277">
        <v>7869.0</v>
      </c>
      <c r="P876" s="11">
        <v>216.0</v>
      </c>
    </row>
    <row r="877">
      <c r="C877" s="276">
        <v>17.0</v>
      </c>
      <c r="J877" s="24">
        <v>4.0</v>
      </c>
      <c r="K877" s="24">
        <v>224.0</v>
      </c>
      <c r="M877" s="276">
        <v>45.0</v>
      </c>
      <c r="O877" s="3">
        <v>7870.0</v>
      </c>
      <c r="P877" s="11">
        <v>219.0</v>
      </c>
    </row>
    <row r="878">
      <c r="C878" s="276">
        <v>99.0</v>
      </c>
      <c r="J878" s="24">
        <v>4.0</v>
      </c>
      <c r="K878" s="24">
        <v>698.0</v>
      </c>
      <c r="M878" s="276">
        <v>40.0</v>
      </c>
      <c r="O878" s="277">
        <v>7871.0</v>
      </c>
      <c r="P878" s="11">
        <v>205.0</v>
      </c>
    </row>
    <row r="879">
      <c r="C879" s="276">
        <v>58.0</v>
      </c>
      <c r="J879" s="24">
        <v>3.0</v>
      </c>
      <c r="K879" s="24">
        <v>620.0</v>
      </c>
      <c r="M879" s="276">
        <v>45.0</v>
      </c>
      <c r="O879" s="277">
        <v>7872.0</v>
      </c>
      <c r="P879" s="11">
        <v>217.0</v>
      </c>
    </row>
    <row r="880">
      <c r="C880" s="276">
        <v>17.0</v>
      </c>
      <c r="J880" s="24">
        <v>4.0</v>
      </c>
      <c r="K880" s="24">
        <v>693.0</v>
      </c>
      <c r="M880" s="276">
        <v>49.0</v>
      </c>
      <c r="O880" s="277">
        <v>7873.0</v>
      </c>
      <c r="P880" s="11">
        <v>200.0</v>
      </c>
    </row>
    <row r="881">
      <c r="C881" s="276">
        <v>99.0</v>
      </c>
      <c r="J881" s="24">
        <v>8.0</v>
      </c>
      <c r="K881" s="24">
        <v>612.0</v>
      </c>
      <c r="M881" s="276">
        <v>41.0</v>
      </c>
      <c r="O881" s="277">
        <v>7874.0</v>
      </c>
      <c r="P881" s="11">
        <v>209.0</v>
      </c>
    </row>
    <row r="882">
      <c r="C882" s="276">
        <v>58.0</v>
      </c>
      <c r="J882" s="24">
        <v>5.0</v>
      </c>
      <c r="K882" s="24">
        <v>480.0</v>
      </c>
      <c r="M882" s="276">
        <v>48.0</v>
      </c>
      <c r="O882" s="3">
        <v>7875.0</v>
      </c>
      <c r="P882" s="11">
        <v>208.0</v>
      </c>
    </row>
    <row r="883">
      <c r="C883" s="276">
        <v>78.0</v>
      </c>
      <c r="J883" s="24">
        <v>2.0</v>
      </c>
      <c r="K883" s="24">
        <v>293.0</v>
      </c>
      <c r="M883" s="276">
        <v>97.0</v>
      </c>
      <c r="O883" s="277">
        <v>7876.0</v>
      </c>
      <c r="P883" s="11">
        <v>206.0</v>
      </c>
    </row>
    <row r="884">
      <c r="C884" s="276">
        <v>99.0</v>
      </c>
      <c r="J884" s="24">
        <v>4.0</v>
      </c>
      <c r="K884" s="24">
        <v>298.0</v>
      </c>
      <c r="M884" s="276">
        <v>46.0</v>
      </c>
      <c r="O884" s="277">
        <v>7877.0</v>
      </c>
      <c r="P884" s="11">
        <v>213.0</v>
      </c>
    </row>
    <row r="885">
      <c r="C885" s="276">
        <v>99.0</v>
      </c>
      <c r="J885" s="24">
        <v>1.0</v>
      </c>
      <c r="K885" s="24">
        <v>679.0</v>
      </c>
      <c r="M885" s="276">
        <v>47.0</v>
      </c>
      <c r="O885" s="277">
        <v>7878.0</v>
      </c>
      <c r="P885" s="11">
        <v>214.0</v>
      </c>
    </row>
    <row r="886">
      <c r="C886" s="276">
        <v>17.0</v>
      </c>
      <c r="J886" s="24">
        <v>1.0</v>
      </c>
      <c r="K886" s="24">
        <v>844.0</v>
      </c>
      <c r="M886" s="276">
        <v>55.0</v>
      </c>
      <c r="O886" s="277">
        <v>7879.0</v>
      </c>
      <c r="P886" s="11">
        <v>213.0</v>
      </c>
    </row>
    <row r="887">
      <c r="C887" s="276">
        <v>99.0</v>
      </c>
      <c r="J887" s="24">
        <v>3.0</v>
      </c>
      <c r="K887" s="24">
        <v>145.0</v>
      </c>
      <c r="M887" s="276">
        <v>49.0</v>
      </c>
      <c r="O887" s="3">
        <v>7880.0</v>
      </c>
      <c r="P887" s="11">
        <v>209.0</v>
      </c>
    </row>
    <row r="888">
      <c r="C888" s="276">
        <v>38.0</v>
      </c>
      <c r="J888" s="24">
        <v>1.0</v>
      </c>
      <c r="K888" s="24">
        <v>911.0</v>
      </c>
      <c r="M888" s="276">
        <v>5.0</v>
      </c>
      <c r="O888" s="277">
        <v>7881.0</v>
      </c>
      <c r="P888" s="11">
        <v>202.0</v>
      </c>
    </row>
    <row r="889">
      <c r="C889" s="276">
        <v>17.0</v>
      </c>
      <c r="J889" s="24">
        <v>8.0</v>
      </c>
      <c r="K889" s="24">
        <v>437.0</v>
      </c>
      <c r="M889" s="276">
        <v>56.0</v>
      </c>
      <c r="O889" s="277">
        <v>7882.0</v>
      </c>
      <c r="P889" s="11">
        <v>206.0</v>
      </c>
    </row>
    <row r="890">
      <c r="C890" s="276">
        <v>38.0</v>
      </c>
      <c r="J890" s="24">
        <v>3.0</v>
      </c>
      <c r="K890" s="24">
        <v>326.0</v>
      </c>
      <c r="M890" s="276">
        <v>10.0</v>
      </c>
      <c r="O890" s="277">
        <v>7883.0</v>
      </c>
      <c r="P890" s="11">
        <v>210.0</v>
      </c>
    </row>
    <row r="891">
      <c r="C891" s="276">
        <v>58.0</v>
      </c>
      <c r="J891" s="24">
        <v>7.0</v>
      </c>
      <c r="K891" s="24">
        <v>846.0</v>
      </c>
      <c r="M891" s="276">
        <v>59.0</v>
      </c>
      <c r="O891" s="277">
        <v>7884.0</v>
      </c>
      <c r="P891" s="11">
        <v>213.0</v>
      </c>
    </row>
    <row r="892">
      <c r="C892" s="276">
        <v>38.0</v>
      </c>
      <c r="J892" s="24">
        <v>3.0</v>
      </c>
      <c r="K892" s="24">
        <v>127.0</v>
      </c>
      <c r="M892" s="276">
        <v>11.0</v>
      </c>
      <c r="O892" s="3">
        <v>7885.0</v>
      </c>
      <c r="P892" s="11">
        <v>218.0</v>
      </c>
    </row>
    <row r="893">
      <c r="C893" s="276">
        <v>58.0</v>
      </c>
      <c r="J893" s="24">
        <v>7.0</v>
      </c>
      <c r="K893" s="24">
        <v>825.0</v>
      </c>
      <c r="M893" s="276">
        <v>60.0</v>
      </c>
      <c r="O893" s="277">
        <v>7886.0</v>
      </c>
      <c r="P893" s="11">
        <v>216.0</v>
      </c>
    </row>
    <row r="894">
      <c r="C894" s="276">
        <v>17.0</v>
      </c>
      <c r="J894" s="24">
        <v>8.0</v>
      </c>
      <c r="K894" s="24">
        <v>437.0</v>
      </c>
      <c r="M894" s="276">
        <v>66.0</v>
      </c>
      <c r="O894" s="277">
        <v>7887.0</v>
      </c>
      <c r="P894" s="11">
        <v>217.0</v>
      </c>
    </row>
    <row r="895">
      <c r="C895" s="276">
        <v>38.0</v>
      </c>
      <c r="J895" s="24">
        <v>6.0</v>
      </c>
      <c r="K895" s="24">
        <v>979.0</v>
      </c>
      <c r="M895" s="276">
        <v>14.0</v>
      </c>
      <c r="O895" s="277">
        <v>7888.0</v>
      </c>
      <c r="P895" s="11">
        <v>210.0</v>
      </c>
    </row>
    <row r="896">
      <c r="C896" s="276">
        <v>79.0</v>
      </c>
      <c r="J896" s="24">
        <v>5.0</v>
      </c>
      <c r="K896" s="24">
        <v>231.0</v>
      </c>
      <c r="M896" s="276">
        <v>11.0</v>
      </c>
      <c r="O896" s="277">
        <v>7889.0</v>
      </c>
      <c r="P896" s="11">
        <v>210.0</v>
      </c>
    </row>
    <row r="897">
      <c r="C897" s="276">
        <v>38.0</v>
      </c>
      <c r="J897" s="24">
        <v>7.0</v>
      </c>
      <c r="K897" s="24">
        <v>897.0</v>
      </c>
      <c r="M897" s="276">
        <v>17.0</v>
      </c>
      <c r="O897" s="3">
        <v>7890.0</v>
      </c>
      <c r="P897" s="11">
        <v>205.0</v>
      </c>
    </row>
    <row r="898">
      <c r="C898" s="276">
        <v>79.0</v>
      </c>
      <c r="J898" s="24">
        <v>6.0</v>
      </c>
      <c r="K898" s="24">
        <v>331.0</v>
      </c>
      <c r="M898" s="276">
        <v>14.0</v>
      </c>
      <c r="O898" s="277">
        <v>7891.0</v>
      </c>
      <c r="P898" s="11">
        <v>210.0</v>
      </c>
    </row>
    <row r="899">
      <c r="C899" s="276">
        <v>38.0</v>
      </c>
      <c r="J899" s="24">
        <v>5.0</v>
      </c>
      <c r="K899" s="24">
        <v>492.0</v>
      </c>
      <c r="M899" s="276">
        <v>18.0</v>
      </c>
      <c r="O899" s="277">
        <v>7892.0</v>
      </c>
      <c r="P899" s="11">
        <v>215.0</v>
      </c>
    </row>
    <row r="900">
      <c r="C900" s="276">
        <v>99.0</v>
      </c>
      <c r="J900" s="24">
        <v>3.0</v>
      </c>
      <c r="K900" s="24">
        <v>922.0</v>
      </c>
      <c r="M900" s="276">
        <v>64.0</v>
      </c>
      <c r="O900" s="277">
        <v>7893.0</v>
      </c>
      <c r="P900" s="11">
        <v>205.0</v>
      </c>
    </row>
    <row r="901">
      <c r="C901" s="276">
        <v>38.0</v>
      </c>
      <c r="J901" s="24">
        <v>8.0</v>
      </c>
      <c r="K901" s="24">
        <v>238.0</v>
      </c>
      <c r="M901" s="276">
        <v>21.0</v>
      </c>
      <c r="O901" s="277">
        <v>7894.0</v>
      </c>
      <c r="P901" s="11">
        <v>219.0</v>
      </c>
    </row>
    <row r="902">
      <c r="C902" s="276">
        <v>99.0</v>
      </c>
      <c r="J902" s="24">
        <v>6.0</v>
      </c>
      <c r="K902" s="24">
        <v>405.0</v>
      </c>
      <c r="M902" s="276">
        <v>72.0</v>
      </c>
      <c r="O902" s="3">
        <v>7895.0</v>
      </c>
      <c r="P902" s="11">
        <v>206.0</v>
      </c>
    </row>
    <row r="903">
      <c r="C903" s="276">
        <v>99.0</v>
      </c>
      <c r="J903" s="24">
        <v>4.0</v>
      </c>
      <c r="K903" s="24">
        <v>288.0</v>
      </c>
      <c r="M903" s="276">
        <v>74.0</v>
      </c>
      <c r="O903" s="277">
        <v>7896.0</v>
      </c>
      <c r="P903" s="11">
        <v>212.0</v>
      </c>
    </row>
    <row r="904">
      <c r="C904" s="276">
        <v>58.0</v>
      </c>
      <c r="J904" s="24">
        <v>6.0</v>
      </c>
      <c r="K904" s="24">
        <v>247.0</v>
      </c>
      <c r="M904" s="276">
        <v>79.0</v>
      </c>
      <c r="O904" s="277">
        <v>7897.0</v>
      </c>
      <c r="P904" s="11">
        <v>208.0</v>
      </c>
    </row>
    <row r="905">
      <c r="C905" s="276">
        <v>58.0</v>
      </c>
      <c r="J905" s="24">
        <v>1.0</v>
      </c>
      <c r="K905" s="24">
        <v>798.0</v>
      </c>
      <c r="M905" s="276">
        <v>80.0</v>
      </c>
      <c r="O905" s="277">
        <v>7898.0</v>
      </c>
      <c r="P905" s="11">
        <v>219.0</v>
      </c>
    </row>
    <row r="906">
      <c r="C906" s="276">
        <v>99.0</v>
      </c>
      <c r="J906" s="24">
        <v>8.0</v>
      </c>
      <c r="K906" s="24">
        <v>496.0</v>
      </c>
      <c r="M906" s="276">
        <v>75.0</v>
      </c>
      <c r="O906" s="277">
        <v>7899.0</v>
      </c>
      <c r="P906" s="11">
        <v>205.0</v>
      </c>
    </row>
    <row r="907">
      <c r="C907" s="276">
        <v>58.0</v>
      </c>
      <c r="J907" s="24">
        <v>9.0</v>
      </c>
      <c r="K907" s="24">
        <v>576.0</v>
      </c>
      <c r="M907" s="276">
        <v>82.0</v>
      </c>
      <c r="O907" s="3">
        <v>7900.0</v>
      </c>
      <c r="P907" s="11">
        <v>214.0</v>
      </c>
    </row>
    <row r="908">
      <c r="C908" s="276">
        <v>58.0</v>
      </c>
      <c r="J908" s="24">
        <v>2.0</v>
      </c>
      <c r="K908" s="24">
        <v>518.0</v>
      </c>
      <c r="M908" s="276">
        <v>83.0</v>
      </c>
      <c r="O908" s="277">
        <v>7901.0</v>
      </c>
      <c r="P908" s="11">
        <v>217.0</v>
      </c>
    </row>
    <row r="909">
      <c r="C909" s="276">
        <v>99.0</v>
      </c>
      <c r="J909" s="24">
        <v>9.0</v>
      </c>
      <c r="K909" s="24">
        <v>366.0</v>
      </c>
      <c r="M909" s="276">
        <v>82.0</v>
      </c>
      <c r="O909" s="277">
        <v>7902.0</v>
      </c>
      <c r="P909" s="11">
        <v>200.0</v>
      </c>
    </row>
    <row r="910">
      <c r="C910" s="276">
        <v>38.0</v>
      </c>
      <c r="J910" s="24">
        <v>2.0</v>
      </c>
      <c r="K910" s="24">
        <v>942.0</v>
      </c>
      <c r="M910" s="276">
        <v>40.0</v>
      </c>
      <c r="O910" s="277">
        <v>7903.0</v>
      </c>
      <c r="P910" s="11">
        <v>206.0</v>
      </c>
    </row>
    <row r="911">
      <c r="C911" s="276">
        <v>38.0</v>
      </c>
      <c r="J911" s="24">
        <v>2.0</v>
      </c>
      <c r="K911" s="24">
        <v>883.0</v>
      </c>
      <c r="M911" s="276">
        <v>41.0</v>
      </c>
      <c r="O911" s="277">
        <v>7904.0</v>
      </c>
      <c r="P911" s="11">
        <v>206.0</v>
      </c>
    </row>
    <row r="912">
      <c r="C912" s="276">
        <v>58.0</v>
      </c>
      <c r="J912" s="24">
        <v>3.0</v>
      </c>
      <c r="K912" s="24">
        <v>408.0</v>
      </c>
      <c r="M912" s="276">
        <v>94.0</v>
      </c>
      <c r="O912" s="3">
        <v>7905.0</v>
      </c>
      <c r="P912" s="11">
        <v>217.0</v>
      </c>
    </row>
    <row r="913">
      <c r="C913" s="276">
        <v>99.0</v>
      </c>
      <c r="J913" s="24">
        <v>3.0</v>
      </c>
      <c r="K913" s="24">
        <v>611.0</v>
      </c>
      <c r="M913" s="276">
        <v>90.0</v>
      </c>
      <c r="O913" s="277">
        <v>7906.0</v>
      </c>
      <c r="P913" s="11">
        <v>218.0</v>
      </c>
    </row>
    <row r="914">
      <c r="C914" s="276">
        <v>38.0</v>
      </c>
      <c r="J914" s="24">
        <v>1.0</v>
      </c>
      <c r="K914" s="24">
        <v>239.0</v>
      </c>
      <c r="M914" s="276">
        <v>46.0</v>
      </c>
      <c r="O914" s="277">
        <v>7907.0</v>
      </c>
      <c r="P914" s="11">
        <v>214.0</v>
      </c>
    </row>
    <row r="915">
      <c r="C915" s="276">
        <v>58.0</v>
      </c>
      <c r="J915" s="24">
        <v>8.0</v>
      </c>
      <c r="K915" s="24">
        <v>575.0</v>
      </c>
      <c r="M915" s="276">
        <v>97.0</v>
      </c>
      <c r="O915" s="277">
        <v>7908.0</v>
      </c>
      <c r="P915" s="11">
        <v>217.0</v>
      </c>
    </row>
    <row r="916">
      <c r="C916" s="276">
        <v>38.0</v>
      </c>
      <c r="J916" s="24">
        <v>8.0</v>
      </c>
      <c r="K916" s="24">
        <v>938.0</v>
      </c>
      <c r="M916" s="276">
        <v>51.0</v>
      </c>
      <c r="O916" s="277">
        <v>7909.0</v>
      </c>
      <c r="P916" s="11">
        <v>208.0</v>
      </c>
    </row>
    <row r="917">
      <c r="C917" s="276">
        <v>59.0</v>
      </c>
      <c r="J917" s="24">
        <v>8.0</v>
      </c>
      <c r="K917" s="24">
        <v>773.0</v>
      </c>
      <c r="M917" s="276">
        <v>0.0</v>
      </c>
      <c r="O917" s="3">
        <v>7910.0</v>
      </c>
      <c r="P917" s="11">
        <v>210.0</v>
      </c>
    </row>
    <row r="918">
      <c r="C918" s="276">
        <v>18.0</v>
      </c>
      <c r="J918" s="24">
        <v>7.0</v>
      </c>
      <c r="K918" s="24">
        <v>850.0</v>
      </c>
      <c r="M918" s="276">
        <v>9.0</v>
      </c>
      <c r="O918" s="277">
        <v>7911.0</v>
      </c>
      <c r="P918" s="11">
        <v>201.0</v>
      </c>
    </row>
    <row r="919">
      <c r="C919" s="276">
        <v>79.0</v>
      </c>
      <c r="J919" s="24">
        <v>9.0</v>
      </c>
      <c r="K919" s="24">
        <v>855.0</v>
      </c>
      <c r="M919" s="276">
        <v>54.0</v>
      </c>
      <c r="O919" s="277">
        <v>7912.0</v>
      </c>
      <c r="P919" s="11">
        <v>201.0</v>
      </c>
    </row>
    <row r="920">
      <c r="C920" s="276">
        <v>59.0</v>
      </c>
      <c r="J920" s="24">
        <v>4.0</v>
      </c>
      <c r="K920" s="24">
        <v>485.0</v>
      </c>
      <c r="M920" s="276">
        <v>11.0</v>
      </c>
      <c r="O920" s="277">
        <v>7913.0</v>
      </c>
      <c r="P920" s="11">
        <v>219.0</v>
      </c>
    </row>
    <row r="921">
      <c r="C921" s="276">
        <v>38.0</v>
      </c>
      <c r="J921" s="24">
        <v>5.0</v>
      </c>
      <c r="K921" s="24">
        <v>159.0</v>
      </c>
      <c r="M921" s="276">
        <v>64.0</v>
      </c>
      <c r="O921" s="277">
        <v>7914.0</v>
      </c>
      <c r="P921" s="11">
        <v>215.0</v>
      </c>
    </row>
    <row r="922">
      <c r="C922" s="276">
        <v>79.0</v>
      </c>
      <c r="J922" s="24">
        <v>1.0</v>
      </c>
      <c r="K922" s="24">
        <v>689.0</v>
      </c>
      <c r="M922" s="276">
        <v>60.0</v>
      </c>
      <c r="O922" s="3">
        <v>7915.0</v>
      </c>
      <c r="P922" s="11">
        <v>208.0</v>
      </c>
    </row>
    <row r="923">
      <c r="C923" s="276">
        <v>18.0</v>
      </c>
      <c r="J923" s="24">
        <v>4.0</v>
      </c>
      <c r="K923" s="24">
        <v>485.0</v>
      </c>
      <c r="M923" s="276">
        <v>15.0</v>
      </c>
      <c r="O923" s="277">
        <v>7916.0</v>
      </c>
      <c r="P923" s="11">
        <v>202.0</v>
      </c>
    </row>
    <row r="924">
      <c r="C924" s="276">
        <v>79.0</v>
      </c>
      <c r="J924" s="24">
        <v>6.0</v>
      </c>
      <c r="K924" s="24">
        <v>663.0</v>
      </c>
      <c r="M924" s="276">
        <v>63.0</v>
      </c>
      <c r="O924" s="277">
        <v>7917.0</v>
      </c>
      <c r="P924" s="11">
        <v>212.0</v>
      </c>
    </row>
    <row r="925">
      <c r="C925" s="276">
        <v>38.0</v>
      </c>
      <c r="J925" s="24">
        <v>7.0</v>
      </c>
      <c r="K925" s="24">
        <v>970.0</v>
      </c>
      <c r="M925" s="276">
        <v>68.0</v>
      </c>
      <c r="O925" s="277">
        <v>7918.0</v>
      </c>
      <c r="P925" s="11">
        <v>216.0</v>
      </c>
    </row>
    <row r="926">
      <c r="C926" s="276">
        <v>18.0</v>
      </c>
      <c r="J926" s="24">
        <v>2.0</v>
      </c>
      <c r="K926" s="24">
        <v>914.0</v>
      </c>
      <c r="M926" s="276">
        <v>23.0</v>
      </c>
      <c r="O926" s="277">
        <v>7919.0</v>
      </c>
      <c r="P926" s="11">
        <v>202.0</v>
      </c>
    </row>
    <row r="927">
      <c r="C927" s="276">
        <v>38.0</v>
      </c>
      <c r="J927" s="24">
        <v>4.0</v>
      </c>
      <c r="K927" s="24">
        <v>753.0</v>
      </c>
      <c r="M927" s="276">
        <v>73.0</v>
      </c>
      <c r="O927" s="3">
        <v>7920.0</v>
      </c>
      <c r="P927" s="11">
        <v>209.0</v>
      </c>
    </row>
    <row r="928">
      <c r="C928" s="276">
        <v>18.0</v>
      </c>
      <c r="J928" s="24">
        <v>2.0</v>
      </c>
      <c r="K928" s="24">
        <v>487.0</v>
      </c>
      <c r="M928" s="276">
        <v>31.0</v>
      </c>
      <c r="O928" s="277">
        <v>7921.0</v>
      </c>
      <c r="P928" s="11">
        <v>210.0</v>
      </c>
    </row>
    <row r="929">
      <c r="C929" s="276">
        <v>38.0</v>
      </c>
      <c r="J929" s="24">
        <v>9.0</v>
      </c>
      <c r="K929" s="24">
        <v>994.0</v>
      </c>
      <c r="M929" s="276">
        <v>80.0</v>
      </c>
      <c r="O929" s="277">
        <v>7922.0</v>
      </c>
      <c r="P929" s="11">
        <v>205.0</v>
      </c>
    </row>
    <row r="930">
      <c r="C930" s="276">
        <v>79.0</v>
      </c>
      <c r="J930" s="24">
        <v>1.0</v>
      </c>
      <c r="K930" s="24">
        <v>933.0</v>
      </c>
      <c r="M930" s="276">
        <v>77.0</v>
      </c>
      <c r="O930" s="277">
        <v>7923.0</v>
      </c>
      <c r="P930" s="11">
        <v>202.0</v>
      </c>
    </row>
    <row r="931">
      <c r="C931" s="276">
        <v>38.0</v>
      </c>
      <c r="J931" s="24">
        <v>5.0</v>
      </c>
      <c r="K931" s="24">
        <v>499.0</v>
      </c>
      <c r="M931" s="276">
        <v>81.0</v>
      </c>
      <c r="O931" s="277">
        <v>7924.0</v>
      </c>
      <c r="P931" s="11">
        <v>213.0</v>
      </c>
    </row>
    <row r="932">
      <c r="C932" s="276">
        <v>18.0</v>
      </c>
      <c r="J932" s="24">
        <v>7.0</v>
      </c>
      <c r="K932" s="24">
        <v>848.0</v>
      </c>
      <c r="M932" s="276">
        <v>33.0</v>
      </c>
      <c r="O932" s="3">
        <v>7925.0</v>
      </c>
      <c r="P932" s="11">
        <v>211.0</v>
      </c>
    </row>
    <row r="933">
      <c r="C933" s="276">
        <v>38.0</v>
      </c>
      <c r="J933" s="24">
        <v>5.0</v>
      </c>
      <c r="K933" s="24">
        <v>636.0</v>
      </c>
      <c r="M933" s="276">
        <v>84.0</v>
      </c>
      <c r="O933" s="277">
        <v>7926.0</v>
      </c>
      <c r="P933" s="11">
        <v>218.0</v>
      </c>
    </row>
    <row r="934">
      <c r="C934" s="276">
        <v>18.0</v>
      </c>
      <c r="J934" s="24">
        <v>5.0</v>
      </c>
      <c r="K934" s="24">
        <v>230.0</v>
      </c>
      <c r="M934" s="276">
        <v>35.0</v>
      </c>
      <c r="O934" s="277">
        <v>7927.0</v>
      </c>
      <c r="P934" s="11">
        <v>217.0</v>
      </c>
    </row>
    <row r="935">
      <c r="C935" s="276">
        <v>79.0</v>
      </c>
      <c r="J935" s="24">
        <v>2.0</v>
      </c>
      <c r="K935" s="24">
        <v>344.0</v>
      </c>
      <c r="M935" s="276">
        <v>88.0</v>
      </c>
      <c r="O935" s="277">
        <v>7928.0</v>
      </c>
      <c r="P935" s="11">
        <v>215.0</v>
      </c>
    </row>
    <row r="936">
      <c r="C936" s="276">
        <v>18.0</v>
      </c>
      <c r="J936" s="24">
        <v>4.0</v>
      </c>
      <c r="K936" s="24">
        <v>576.0</v>
      </c>
      <c r="M936" s="276">
        <v>52.0</v>
      </c>
      <c r="O936" s="277">
        <v>7929.0</v>
      </c>
      <c r="P936" s="11">
        <v>213.0</v>
      </c>
    </row>
    <row r="937">
      <c r="C937" s="276">
        <v>59.0</v>
      </c>
      <c r="J937" s="24">
        <v>1.0</v>
      </c>
      <c r="K937" s="24">
        <v>573.0</v>
      </c>
      <c r="M937" s="276">
        <v>58.0</v>
      </c>
      <c r="O937" s="3">
        <v>7930.0</v>
      </c>
      <c r="P937" s="11">
        <v>202.0</v>
      </c>
    </row>
    <row r="938">
      <c r="C938" s="276">
        <v>39.0</v>
      </c>
      <c r="J938" s="24">
        <v>9.0</v>
      </c>
      <c r="K938" s="24">
        <v>397.0</v>
      </c>
      <c r="M938" s="276">
        <v>11.0</v>
      </c>
      <c r="O938" s="277">
        <v>7931.0</v>
      </c>
      <c r="P938" s="11">
        <v>209.0</v>
      </c>
    </row>
    <row r="939">
      <c r="C939" s="276">
        <v>39.0</v>
      </c>
      <c r="J939" s="24">
        <v>9.0</v>
      </c>
      <c r="K939" s="24">
        <v>236.0</v>
      </c>
      <c r="M939" s="276">
        <v>12.0</v>
      </c>
      <c r="O939" s="277">
        <v>7932.0</v>
      </c>
      <c r="P939" s="11">
        <v>218.0</v>
      </c>
    </row>
    <row r="940">
      <c r="C940" s="276">
        <v>39.0</v>
      </c>
      <c r="J940" s="24">
        <v>9.0</v>
      </c>
      <c r="K940" s="24">
        <v>529.0</v>
      </c>
      <c r="M940" s="276">
        <v>10.0</v>
      </c>
      <c r="O940" s="277">
        <v>7933.0</v>
      </c>
      <c r="P940" s="11">
        <v>217.0</v>
      </c>
    </row>
    <row r="941">
      <c r="C941" s="276">
        <v>18.0</v>
      </c>
      <c r="J941" s="24">
        <v>6.0</v>
      </c>
      <c r="K941" s="24">
        <v>160.0</v>
      </c>
      <c r="M941" s="276">
        <v>66.0</v>
      </c>
      <c r="O941" s="277">
        <v>7934.0</v>
      </c>
      <c r="P941" s="11">
        <v>220.0</v>
      </c>
    </row>
    <row r="942">
      <c r="C942" s="276">
        <v>39.0</v>
      </c>
      <c r="J942" s="24">
        <v>5.0</v>
      </c>
      <c r="K942" s="24">
        <v>716.0</v>
      </c>
      <c r="M942" s="276">
        <v>17.0</v>
      </c>
      <c r="O942" s="3">
        <v>7935.0</v>
      </c>
      <c r="P942" s="11">
        <v>215.0</v>
      </c>
    </row>
    <row r="943">
      <c r="C943" s="276">
        <v>80.0</v>
      </c>
      <c r="J943" s="24">
        <v>6.0</v>
      </c>
      <c r="K943" s="24">
        <v>467.0</v>
      </c>
      <c r="M943" s="276">
        <v>15.0</v>
      </c>
      <c r="O943" s="277">
        <v>7936.0</v>
      </c>
      <c r="P943" s="11">
        <v>218.0</v>
      </c>
    </row>
    <row r="944">
      <c r="C944" s="276">
        <v>80.0</v>
      </c>
      <c r="J944" s="24">
        <v>5.0</v>
      </c>
      <c r="K944" s="24">
        <v>787.0</v>
      </c>
      <c r="M944" s="276">
        <v>20.0</v>
      </c>
      <c r="O944" s="277">
        <v>7937.0</v>
      </c>
      <c r="P944" s="11">
        <v>220.0</v>
      </c>
    </row>
    <row r="945">
      <c r="C945" s="276">
        <v>18.0</v>
      </c>
      <c r="J945" s="24">
        <v>7.0</v>
      </c>
      <c r="K945" s="24">
        <v>971.0</v>
      </c>
      <c r="M945" s="276">
        <v>80.0</v>
      </c>
      <c r="O945" s="277">
        <v>7938.0</v>
      </c>
      <c r="P945" s="11">
        <v>207.0</v>
      </c>
    </row>
    <row r="946">
      <c r="C946" s="276">
        <v>59.0</v>
      </c>
      <c r="J946" s="24">
        <v>9.0</v>
      </c>
      <c r="K946" s="24">
        <v>667.0</v>
      </c>
      <c r="M946" s="276">
        <v>76.0</v>
      </c>
      <c r="O946" s="277">
        <v>7939.0</v>
      </c>
      <c r="P946" s="11">
        <v>220.0</v>
      </c>
    </row>
    <row r="947">
      <c r="C947" s="276">
        <v>59.0</v>
      </c>
      <c r="J947" s="24">
        <v>2.0</v>
      </c>
      <c r="K947" s="24">
        <v>194.0</v>
      </c>
      <c r="M947" s="276">
        <v>78.0</v>
      </c>
      <c r="O947" s="3">
        <v>7940.0</v>
      </c>
      <c r="P947" s="11">
        <v>202.0</v>
      </c>
    </row>
    <row r="948">
      <c r="C948" s="276">
        <v>18.0</v>
      </c>
      <c r="J948" s="24">
        <v>6.0</v>
      </c>
      <c r="K948" s="24">
        <v>381.0</v>
      </c>
      <c r="M948" s="276">
        <v>83.0</v>
      </c>
      <c r="O948" s="277">
        <v>7941.0</v>
      </c>
      <c r="P948" s="11">
        <v>211.0</v>
      </c>
    </row>
    <row r="949">
      <c r="C949" s="276">
        <v>59.0</v>
      </c>
      <c r="J949" s="24">
        <v>6.0</v>
      </c>
      <c r="K949" s="24">
        <v>627.0</v>
      </c>
      <c r="M949" s="276">
        <v>82.0</v>
      </c>
      <c r="O949" s="277">
        <v>7942.0</v>
      </c>
      <c r="P949" s="11">
        <v>219.0</v>
      </c>
    </row>
    <row r="950">
      <c r="C950" s="276">
        <v>59.0</v>
      </c>
      <c r="J950" s="24">
        <v>8.0</v>
      </c>
      <c r="K950" s="24">
        <v>689.0</v>
      </c>
      <c r="M950" s="276">
        <v>92.0</v>
      </c>
      <c r="O950" s="277">
        <v>7943.0</v>
      </c>
      <c r="P950" s="11">
        <v>216.0</v>
      </c>
    </row>
    <row r="951">
      <c r="C951" s="276">
        <v>59.0</v>
      </c>
      <c r="J951" s="24">
        <v>8.0</v>
      </c>
      <c r="K951" s="24">
        <v>481.0</v>
      </c>
      <c r="M951" s="276">
        <v>93.0</v>
      </c>
      <c r="O951" s="277">
        <v>7944.0</v>
      </c>
      <c r="P951" s="11">
        <v>216.0</v>
      </c>
    </row>
    <row r="952">
      <c r="C952" s="276">
        <v>80.0</v>
      </c>
      <c r="J952" s="24">
        <v>8.0</v>
      </c>
      <c r="K952" s="24">
        <v>774.0</v>
      </c>
      <c r="M952" s="276">
        <v>42.0</v>
      </c>
      <c r="O952" s="3">
        <v>7945.0</v>
      </c>
      <c r="P952" s="11">
        <v>205.0</v>
      </c>
    </row>
    <row r="953">
      <c r="C953" s="276">
        <v>59.0</v>
      </c>
      <c r="J953" s="24">
        <v>8.0</v>
      </c>
      <c r="K953" s="24">
        <v>690.0</v>
      </c>
      <c r="M953" s="276">
        <v>95.0</v>
      </c>
      <c r="O953" s="277">
        <v>7946.0</v>
      </c>
      <c r="P953" s="11">
        <v>203.0</v>
      </c>
    </row>
    <row r="954">
      <c r="C954" s="276">
        <v>39.0</v>
      </c>
      <c r="J954" s="24">
        <v>6.0</v>
      </c>
      <c r="K954" s="24">
        <v>834.0</v>
      </c>
      <c r="M954" s="276">
        <v>60.0</v>
      </c>
      <c r="O954" s="277">
        <v>7947.0</v>
      </c>
      <c r="P954" s="11">
        <v>206.0</v>
      </c>
    </row>
    <row r="955">
      <c r="C955" s="276">
        <v>19.0</v>
      </c>
      <c r="J955" s="24">
        <v>9.0</v>
      </c>
      <c r="K955" s="24">
        <v>750.0</v>
      </c>
      <c r="M955" s="276">
        <v>13.0</v>
      </c>
      <c r="O955" s="277">
        <v>7948.0</v>
      </c>
      <c r="P955" s="11">
        <v>203.0</v>
      </c>
    </row>
    <row r="956">
      <c r="C956" s="276">
        <v>19.0</v>
      </c>
      <c r="J956" s="24">
        <v>7.0</v>
      </c>
      <c r="K956" s="24">
        <v>422.0</v>
      </c>
      <c r="M956" s="276">
        <v>19.0</v>
      </c>
      <c r="O956" s="277">
        <v>7949.0</v>
      </c>
      <c r="P956" s="11">
        <v>217.0</v>
      </c>
    </row>
    <row r="957">
      <c r="C957" s="276">
        <v>19.0</v>
      </c>
      <c r="J957" s="24">
        <v>2.0</v>
      </c>
      <c r="K957" s="24">
        <v>144.0</v>
      </c>
      <c r="M957" s="276">
        <v>22.0</v>
      </c>
      <c r="O957" s="3">
        <v>7950.0</v>
      </c>
      <c r="P957" s="11">
        <v>206.0</v>
      </c>
    </row>
    <row r="958">
      <c r="C958" s="276">
        <v>19.0</v>
      </c>
      <c r="J958" s="24">
        <v>4.0</v>
      </c>
      <c r="K958" s="24">
        <v>186.0</v>
      </c>
      <c r="M958" s="276">
        <v>23.0</v>
      </c>
      <c r="O958" s="277">
        <v>7951.0</v>
      </c>
      <c r="P958" s="11">
        <v>211.0</v>
      </c>
    </row>
    <row r="959">
      <c r="C959" s="276">
        <v>39.0</v>
      </c>
      <c r="J959" s="24">
        <v>5.0</v>
      </c>
      <c r="K959" s="24">
        <v>799.0</v>
      </c>
      <c r="M959" s="276">
        <v>77.0</v>
      </c>
      <c r="O959" s="277">
        <v>7952.0</v>
      </c>
      <c r="P959" s="11">
        <v>217.0</v>
      </c>
    </row>
    <row r="960">
      <c r="C960" s="276">
        <v>60.0</v>
      </c>
      <c r="J960" s="24">
        <v>1.0</v>
      </c>
      <c r="K960" s="24">
        <v>633.0</v>
      </c>
      <c r="M960" s="276">
        <v>26.0</v>
      </c>
      <c r="O960" s="277">
        <v>7953.0</v>
      </c>
      <c r="P960" s="11">
        <v>210.0</v>
      </c>
    </row>
    <row r="961">
      <c r="C961" s="276">
        <v>80.0</v>
      </c>
      <c r="J961" s="24">
        <v>9.0</v>
      </c>
      <c r="K961" s="24">
        <v>507.0</v>
      </c>
      <c r="M961" s="276">
        <v>77.0</v>
      </c>
      <c r="O961" s="277">
        <v>7954.0</v>
      </c>
      <c r="P961" s="11">
        <v>216.0</v>
      </c>
    </row>
    <row r="962">
      <c r="C962" s="276">
        <v>39.0</v>
      </c>
      <c r="J962" s="24">
        <v>8.0</v>
      </c>
      <c r="K962" s="24">
        <v>813.0</v>
      </c>
      <c r="M962" s="276">
        <v>81.0</v>
      </c>
      <c r="O962" s="3">
        <v>7955.0</v>
      </c>
      <c r="P962" s="11">
        <v>208.0</v>
      </c>
    </row>
    <row r="963">
      <c r="C963" s="276">
        <v>80.0</v>
      </c>
      <c r="J963" s="24">
        <v>5.0</v>
      </c>
      <c r="K963" s="24">
        <v>798.0</v>
      </c>
      <c r="M963" s="276">
        <v>79.0</v>
      </c>
      <c r="O963" s="277">
        <v>7956.0</v>
      </c>
      <c r="P963" s="11">
        <v>205.0</v>
      </c>
    </row>
    <row r="964">
      <c r="C964" s="276">
        <v>39.0</v>
      </c>
      <c r="J964" s="24">
        <v>8.0</v>
      </c>
      <c r="K964" s="24">
        <v>163.0</v>
      </c>
      <c r="M964" s="276">
        <v>84.0</v>
      </c>
      <c r="O964" s="277">
        <v>7957.0</v>
      </c>
      <c r="P964" s="11">
        <v>214.0</v>
      </c>
    </row>
    <row r="965">
      <c r="C965" s="276">
        <v>60.0</v>
      </c>
      <c r="J965" s="24">
        <v>7.0</v>
      </c>
      <c r="K965" s="24">
        <v>511.0</v>
      </c>
      <c r="M965" s="276">
        <v>44.0</v>
      </c>
      <c r="O965" s="277">
        <v>7958.0</v>
      </c>
      <c r="P965" s="11">
        <v>214.0</v>
      </c>
    </row>
    <row r="966">
      <c r="C966" s="276">
        <v>19.0</v>
      </c>
      <c r="J966" s="24">
        <v>1.0</v>
      </c>
      <c r="K966" s="24">
        <v>965.0</v>
      </c>
      <c r="M966" s="276">
        <v>51.0</v>
      </c>
      <c r="O966" s="277">
        <v>7959.0</v>
      </c>
      <c r="P966" s="11">
        <v>214.0</v>
      </c>
    </row>
    <row r="967">
      <c r="C967" s="276">
        <v>40.0</v>
      </c>
      <c r="J967" s="24">
        <v>8.0</v>
      </c>
      <c r="K967" s="24">
        <v>830.0</v>
      </c>
      <c r="M967" s="276">
        <v>0.0</v>
      </c>
      <c r="O967" s="3">
        <v>7960.0</v>
      </c>
      <c r="P967" s="11">
        <v>202.0</v>
      </c>
    </row>
    <row r="968">
      <c r="C968" s="276">
        <v>80.0</v>
      </c>
      <c r="J968" s="24">
        <v>5.0</v>
      </c>
      <c r="K968" s="24">
        <v>255.0</v>
      </c>
      <c r="M968" s="276">
        <v>96.0</v>
      </c>
      <c r="O968" s="277">
        <v>7961.0</v>
      </c>
      <c r="P968" s="11">
        <v>208.0</v>
      </c>
    </row>
    <row r="969">
      <c r="C969" s="276">
        <v>19.0</v>
      </c>
      <c r="J969" s="24">
        <v>7.0</v>
      </c>
      <c r="K969" s="24">
        <v>619.0</v>
      </c>
      <c r="M969" s="276">
        <v>56.0</v>
      </c>
      <c r="O969" s="277">
        <v>7962.0</v>
      </c>
      <c r="P969" s="11">
        <v>209.0</v>
      </c>
    </row>
    <row r="970">
      <c r="C970" s="276">
        <v>81.0</v>
      </c>
      <c r="J970" s="24">
        <v>6.0</v>
      </c>
      <c r="K970" s="24">
        <v>293.0</v>
      </c>
      <c r="M970" s="276">
        <v>1.0</v>
      </c>
      <c r="O970" s="277">
        <v>7963.0</v>
      </c>
      <c r="P970" s="11">
        <v>212.0</v>
      </c>
    </row>
    <row r="971">
      <c r="C971" s="276">
        <v>81.0</v>
      </c>
      <c r="J971" s="24">
        <v>5.0</v>
      </c>
      <c r="K971" s="24">
        <v>976.0</v>
      </c>
      <c r="M971" s="276">
        <v>2.0</v>
      </c>
      <c r="O971" s="277">
        <v>7964.0</v>
      </c>
      <c r="P971" s="11">
        <v>213.0</v>
      </c>
    </row>
    <row r="972">
      <c r="C972" s="276">
        <v>60.0</v>
      </c>
      <c r="J972" s="24">
        <v>1.0</v>
      </c>
      <c r="K972" s="24">
        <v>947.0</v>
      </c>
      <c r="M972" s="276">
        <v>59.0</v>
      </c>
      <c r="O972" s="3">
        <v>7965.0</v>
      </c>
      <c r="P972" s="11">
        <v>211.0</v>
      </c>
    </row>
    <row r="973">
      <c r="C973" s="276">
        <v>19.0</v>
      </c>
      <c r="J973" s="24">
        <v>2.0</v>
      </c>
      <c r="K973" s="24">
        <v>935.0</v>
      </c>
      <c r="M973" s="276">
        <v>69.0</v>
      </c>
      <c r="O973" s="277">
        <v>7966.0</v>
      </c>
      <c r="P973" s="11">
        <v>215.0</v>
      </c>
    </row>
    <row r="974">
      <c r="C974" s="276">
        <v>40.0</v>
      </c>
      <c r="J974" s="24">
        <v>5.0</v>
      </c>
      <c r="K974" s="24">
        <v>539.0</v>
      </c>
      <c r="M974" s="276">
        <v>20.0</v>
      </c>
      <c r="O974" s="277">
        <v>7967.0</v>
      </c>
      <c r="P974" s="11">
        <v>220.0</v>
      </c>
    </row>
    <row r="975">
      <c r="C975" s="276">
        <v>19.0</v>
      </c>
      <c r="J975" s="24">
        <v>2.0</v>
      </c>
      <c r="K975" s="24">
        <v>932.0</v>
      </c>
      <c r="M975" s="276">
        <v>74.0</v>
      </c>
      <c r="O975" s="277">
        <v>7968.0</v>
      </c>
      <c r="P975" s="11">
        <v>210.0</v>
      </c>
    </row>
    <row r="976">
      <c r="C976" s="276">
        <v>19.0</v>
      </c>
      <c r="J976" s="24">
        <v>2.0</v>
      </c>
      <c r="K976" s="24">
        <v>840.0</v>
      </c>
      <c r="M976" s="276">
        <v>78.0</v>
      </c>
      <c r="O976" s="277">
        <v>7969.0</v>
      </c>
      <c r="P976" s="11">
        <v>206.0</v>
      </c>
    </row>
    <row r="977">
      <c r="C977" s="276">
        <v>40.0</v>
      </c>
      <c r="J977" s="24">
        <v>2.0</v>
      </c>
      <c r="K977" s="24">
        <v>269.0</v>
      </c>
      <c r="M977" s="276">
        <v>27.0</v>
      </c>
      <c r="O977" s="3">
        <v>7970.0</v>
      </c>
      <c r="P977" s="11">
        <v>211.0</v>
      </c>
    </row>
    <row r="978">
      <c r="C978" s="276">
        <v>40.0</v>
      </c>
      <c r="J978" s="24">
        <v>2.0</v>
      </c>
      <c r="K978" s="24">
        <v>680.0</v>
      </c>
      <c r="M978" s="276">
        <v>30.0</v>
      </c>
      <c r="O978" s="277">
        <v>7971.0</v>
      </c>
      <c r="P978" s="11">
        <v>212.0</v>
      </c>
    </row>
    <row r="979">
      <c r="C979" s="276">
        <v>60.0</v>
      </c>
      <c r="J979" s="24">
        <v>8.0</v>
      </c>
      <c r="K979" s="24">
        <v>467.0</v>
      </c>
      <c r="M979" s="276">
        <v>78.0</v>
      </c>
      <c r="O979" s="277">
        <v>7972.0</v>
      </c>
      <c r="P979" s="11">
        <v>201.0</v>
      </c>
    </row>
    <row r="980">
      <c r="C980" s="276">
        <v>19.0</v>
      </c>
      <c r="J980" s="24">
        <v>3.0</v>
      </c>
      <c r="K980" s="24">
        <v>491.0</v>
      </c>
      <c r="M980" s="276">
        <v>83.0</v>
      </c>
      <c r="O980" s="277">
        <v>7973.0</v>
      </c>
      <c r="P980" s="11">
        <v>203.0</v>
      </c>
    </row>
    <row r="981">
      <c r="C981" s="276">
        <v>19.0</v>
      </c>
      <c r="J981" s="24">
        <v>4.0</v>
      </c>
      <c r="K981" s="24">
        <v>339.0</v>
      </c>
      <c r="M981" s="276">
        <v>89.0</v>
      </c>
      <c r="O981" s="277">
        <v>7974.0</v>
      </c>
      <c r="P981" s="11">
        <v>202.0</v>
      </c>
    </row>
    <row r="982">
      <c r="C982" s="276">
        <v>60.0</v>
      </c>
      <c r="J982" s="24">
        <v>8.0</v>
      </c>
      <c r="K982" s="24">
        <v>923.0</v>
      </c>
      <c r="M982" s="276">
        <v>87.0</v>
      </c>
      <c r="O982" s="3">
        <v>7975.0</v>
      </c>
      <c r="P982" s="11">
        <v>206.0</v>
      </c>
    </row>
    <row r="983">
      <c r="C983" s="276">
        <v>40.0</v>
      </c>
      <c r="J983" s="24">
        <v>4.0</v>
      </c>
      <c r="K983" s="24">
        <v>497.0</v>
      </c>
      <c r="M983" s="276">
        <v>39.0</v>
      </c>
      <c r="O983" s="277">
        <v>7976.0</v>
      </c>
      <c r="P983" s="11">
        <v>202.0</v>
      </c>
    </row>
    <row r="984">
      <c r="C984" s="276">
        <v>40.0</v>
      </c>
      <c r="J984" s="24">
        <v>4.0</v>
      </c>
      <c r="K984" s="24">
        <v>182.0</v>
      </c>
      <c r="M984" s="276">
        <v>40.0</v>
      </c>
      <c r="O984" s="277">
        <v>7977.0</v>
      </c>
      <c r="P984" s="11">
        <v>209.0</v>
      </c>
    </row>
    <row r="985">
      <c r="C985" s="276">
        <v>40.0</v>
      </c>
      <c r="J985" s="24">
        <v>9.0</v>
      </c>
      <c r="K985" s="24">
        <v>912.0</v>
      </c>
      <c r="M985" s="276">
        <v>42.0</v>
      </c>
      <c r="O985" s="277">
        <v>7978.0</v>
      </c>
      <c r="P985" s="11">
        <v>207.0</v>
      </c>
    </row>
    <row r="986">
      <c r="C986" s="276">
        <v>81.0</v>
      </c>
      <c r="J986" s="24">
        <v>8.0</v>
      </c>
      <c r="K986" s="24">
        <v>988.0</v>
      </c>
      <c r="M986" s="276">
        <v>39.0</v>
      </c>
      <c r="O986" s="277">
        <v>7979.0</v>
      </c>
      <c r="P986" s="11">
        <v>204.0</v>
      </c>
    </row>
    <row r="987">
      <c r="C987" s="276">
        <v>81.0</v>
      </c>
      <c r="J987" s="24">
        <v>9.0</v>
      </c>
      <c r="K987" s="24">
        <v>550.0</v>
      </c>
      <c r="M987" s="276">
        <v>40.0</v>
      </c>
      <c r="O987" s="3">
        <v>7980.0</v>
      </c>
      <c r="P987" s="11">
        <v>203.0</v>
      </c>
    </row>
    <row r="988">
      <c r="C988" s="276">
        <v>81.0</v>
      </c>
      <c r="J988" s="24">
        <v>8.0</v>
      </c>
      <c r="K988" s="24">
        <v>526.0</v>
      </c>
      <c r="M988" s="276">
        <v>41.0</v>
      </c>
      <c r="O988" s="277">
        <v>7981.0</v>
      </c>
      <c r="P988" s="11">
        <v>209.0</v>
      </c>
    </row>
    <row r="989">
      <c r="C989" s="276">
        <v>81.0</v>
      </c>
      <c r="J989" s="24">
        <v>1.0</v>
      </c>
      <c r="K989" s="24">
        <v>484.0</v>
      </c>
      <c r="M989" s="276">
        <v>44.0</v>
      </c>
      <c r="O989" s="277">
        <v>7982.0</v>
      </c>
      <c r="P989" s="11">
        <v>217.0</v>
      </c>
    </row>
    <row r="990">
      <c r="C990" s="276">
        <v>81.0</v>
      </c>
      <c r="J990" s="24">
        <v>4.0</v>
      </c>
      <c r="K990" s="24">
        <v>398.0</v>
      </c>
      <c r="M990" s="276">
        <v>45.0</v>
      </c>
      <c r="O990" s="277">
        <v>7983.0</v>
      </c>
      <c r="P990" s="11">
        <v>214.0</v>
      </c>
    </row>
    <row r="991">
      <c r="C991" s="276">
        <v>40.0</v>
      </c>
      <c r="J991" s="24">
        <v>5.0</v>
      </c>
      <c r="K991" s="24">
        <v>741.0</v>
      </c>
      <c r="M991" s="276">
        <v>48.0</v>
      </c>
      <c r="O991" s="277">
        <v>7984.0</v>
      </c>
      <c r="P991" s="11">
        <v>212.0</v>
      </c>
    </row>
    <row r="992">
      <c r="C992" s="276">
        <v>40.0</v>
      </c>
      <c r="J992" s="24">
        <v>5.0</v>
      </c>
      <c r="K992" s="24">
        <v>261.0</v>
      </c>
      <c r="M992" s="276">
        <v>54.0</v>
      </c>
      <c r="O992" s="3">
        <v>7985.0</v>
      </c>
      <c r="P992" s="11">
        <v>215.0</v>
      </c>
    </row>
    <row r="993">
      <c r="C993" s="276">
        <v>20.0</v>
      </c>
      <c r="J993" s="24">
        <v>3.0</v>
      </c>
      <c r="K993" s="24">
        <v>310.0</v>
      </c>
      <c r="M993" s="276">
        <v>7.0</v>
      </c>
      <c r="O993" s="277">
        <v>7986.0</v>
      </c>
      <c r="P993" s="11">
        <v>210.0</v>
      </c>
    </row>
    <row r="994">
      <c r="C994" s="276">
        <v>40.0</v>
      </c>
      <c r="J994" s="24">
        <v>1.0</v>
      </c>
      <c r="K994" s="24">
        <v>651.0</v>
      </c>
      <c r="M994" s="276">
        <v>58.0</v>
      </c>
      <c r="O994" s="277">
        <v>7987.0</v>
      </c>
      <c r="P994" s="11">
        <v>205.0</v>
      </c>
    </row>
    <row r="995">
      <c r="C995" s="276">
        <v>40.0</v>
      </c>
      <c r="J995" s="24">
        <v>7.0</v>
      </c>
      <c r="K995" s="24">
        <v>865.0</v>
      </c>
      <c r="M995" s="276">
        <v>61.0</v>
      </c>
      <c r="O995" s="277">
        <v>7988.0</v>
      </c>
      <c r="P995" s="11">
        <v>208.0</v>
      </c>
    </row>
    <row r="996">
      <c r="C996" s="276">
        <v>81.0</v>
      </c>
      <c r="J996" s="24">
        <v>9.0</v>
      </c>
      <c r="K996" s="24">
        <v>732.0</v>
      </c>
      <c r="M996" s="276">
        <v>58.0</v>
      </c>
      <c r="O996" s="277">
        <v>7989.0</v>
      </c>
      <c r="P996" s="11">
        <v>213.0</v>
      </c>
    </row>
    <row r="997">
      <c r="C997" s="276">
        <v>20.0</v>
      </c>
      <c r="J997" s="24">
        <v>3.0</v>
      </c>
      <c r="K997" s="24">
        <v>119.0</v>
      </c>
      <c r="M997" s="276">
        <v>20.0</v>
      </c>
      <c r="O997" s="3">
        <v>7990.0</v>
      </c>
      <c r="P997" s="11">
        <v>210.0</v>
      </c>
    </row>
    <row r="998">
      <c r="C998" s="276">
        <v>20.0</v>
      </c>
      <c r="J998" s="24">
        <v>3.0</v>
      </c>
      <c r="K998" s="24">
        <v>485.0</v>
      </c>
      <c r="M998" s="276">
        <v>21.0</v>
      </c>
      <c r="O998" s="277">
        <v>7991.0</v>
      </c>
      <c r="P998" s="11">
        <v>204.0</v>
      </c>
    </row>
    <row r="999">
      <c r="C999" s="276">
        <v>81.0</v>
      </c>
      <c r="J999" s="24">
        <v>6.0</v>
      </c>
      <c r="K999" s="24">
        <v>790.0</v>
      </c>
      <c r="M999" s="276">
        <v>68.0</v>
      </c>
      <c r="O999" s="277">
        <v>7992.0</v>
      </c>
      <c r="P999" s="11">
        <v>215.0</v>
      </c>
    </row>
    <row r="1000">
      <c r="C1000" s="276">
        <v>40.0</v>
      </c>
      <c r="J1000" s="24">
        <v>6.0</v>
      </c>
      <c r="K1000" s="24">
        <v>737.0</v>
      </c>
      <c r="M1000" s="276">
        <v>74.0</v>
      </c>
      <c r="O1000" s="277">
        <v>7993.0</v>
      </c>
      <c r="P1000" s="11">
        <v>205.0</v>
      </c>
    </row>
    <row r="1001">
      <c r="C1001" s="276">
        <v>81.0</v>
      </c>
      <c r="J1001" s="24">
        <v>3.0</v>
      </c>
      <c r="K1001" s="24">
        <v>763.0</v>
      </c>
      <c r="M1001" s="276">
        <v>77.0</v>
      </c>
      <c r="O1001" s="277">
        <v>7994.0</v>
      </c>
      <c r="P1001" s="11">
        <v>203.0</v>
      </c>
    </row>
    <row r="1002">
      <c r="C1002" s="276">
        <v>40.0</v>
      </c>
      <c r="J1002" s="24">
        <v>5.0</v>
      </c>
      <c r="K1002" s="24">
        <v>727.0</v>
      </c>
      <c r="M1002" s="276">
        <v>83.0</v>
      </c>
      <c r="O1002" s="3">
        <v>7995.0</v>
      </c>
      <c r="P1002" s="11">
        <v>201.0</v>
      </c>
    </row>
    <row r="1003">
      <c r="C1003" s="276">
        <v>40.0</v>
      </c>
      <c r="J1003" s="24">
        <v>8.0</v>
      </c>
      <c r="K1003" s="24">
        <v>233.0</v>
      </c>
      <c r="M1003" s="276">
        <v>84.0</v>
      </c>
      <c r="O1003" s="277">
        <v>7996.0</v>
      </c>
      <c r="P1003" s="11">
        <v>214.0</v>
      </c>
    </row>
    <row r="1004">
      <c r="C1004" s="276">
        <v>61.0</v>
      </c>
      <c r="J1004" s="24">
        <v>5.0</v>
      </c>
      <c r="K1004" s="24">
        <v>257.0</v>
      </c>
      <c r="M1004" s="276">
        <v>32.0</v>
      </c>
      <c r="O1004" s="277">
        <v>7997.0</v>
      </c>
      <c r="P1004" s="11">
        <v>202.0</v>
      </c>
    </row>
    <row r="1005">
      <c r="C1005" s="276">
        <v>40.0</v>
      </c>
      <c r="J1005" s="24">
        <v>1.0</v>
      </c>
      <c r="K1005" s="24">
        <v>120.0</v>
      </c>
      <c r="M1005" s="276">
        <v>87.0</v>
      </c>
      <c r="O1005" s="277">
        <v>7998.0</v>
      </c>
      <c r="P1005" s="11">
        <v>210.0</v>
      </c>
    </row>
    <row r="1006">
      <c r="C1006" s="276">
        <v>81.0</v>
      </c>
      <c r="J1006" s="24">
        <v>7.0</v>
      </c>
      <c r="K1006" s="24">
        <v>283.0</v>
      </c>
      <c r="M1006" s="276">
        <v>85.0</v>
      </c>
      <c r="O1006" s="277">
        <v>7999.0</v>
      </c>
      <c r="P1006" s="11">
        <v>213.0</v>
      </c>
    </row>
    <row r="1007">
      <c r="O1007" s="277"/>
      <c r="P1007" s="278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6.5"/>
    <col customWidth="1" min="8" max="8" width="16.0"/>
    <col customWidth="1" min="10" max="10" width="22.0"/>
    <col customWidth="1" min="13" max="13" width="22.0"/>
  </cols>
  <sheetData>
    <row r="1">
      <c r="A1" s="266">
        <v>1.0</v>
      </c>
      <c r="B1" s="266"/>
      <c r="C1" s="266" t="s">
        <v>6878</v>
      </c>
      <c r="D1" s="266"/>
      <c r="E1" s="266"/>
      <c r="F1" s="266"/>
      <c r="G1" s="266"/>
      <c r="H1" s="266">
        <v>1.0</v>
      </c>
      <c r="I1" s="266"/>
      <c r="J1" s="279"/>
      <c r="K1" s="266"/>
      <c r="L1" s="266"/>
      <c r="M1" s="266"/>
      <c r="N1" s="266"/>
      <c r="O1" s="266"/>
      <c r="P1" s="266"/>
      <c r="Q1" s="266"/>
      <c r="R1" s="266"/>
      <c r="S1" s="266"/>
      <c r="T1" s="266"/>
      <c r="U1" s="266"/>
      <c r="V1" s="266"/>
      <c r="W1" s="266"/>
      <c r="X1" s="266"/>
      <c r="Y1" s="266"/>
      <c r="Z1" s="266"/>
      <c r="AA1" s="266"/>
      <c r="AB1" s="266" t="s">
        <v>6603</v>
      </c>
      <c r="AC1" s="266"/>
      <c r="AD1" s="266"/>
      <c r="AE1" s="266"/>
      <c r="AF1" s="266"/>
      <c r="AG1" s="266"/>
      <c r="AH1" s="266"/>
      <c r="AI1" s="266"/>
      <c r="AJ1" s="266"/>
      <c r="AK1" s="266"/>
      <c r="AL1" s="266"/>
      <c r="AM1" s="266"/>
      <c r="AN1" s="266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6"/>
      <c r="BG1" s="266"/>
      <c r="BH1" s="266"/>
      <c r="BI1" s="266"/>
      <c r="BJ1" s="266"/>
      <c r="BK1" s="266"/>
      <c r="BL1" s="266"/>
      <c r="BM1" s="266"/>
      <c r="BN1" s="266"/>
      <c r="BO1" s="266"/>
      <c r="BP1" s="266"/>
      <c r="BQ1" s="266"/>
      <c r="BR1" s="266"/>
      <c r="BS1" s="266"/>
      <c r="BT1" s="266"/>
      <c r="BU1" s="266"/>
      <c r="BV1" s="266"/>
      <c r="BW1" s="266"/>
      <c r="BX1" s="266"/>
      <c r="BY1" s="266"/>
      <c r="BZ1" s="266"/>
      <c r="CA1" s="266" t="s">
        <v>6603</v>
      </c>
      <c r="CB1" s="266"/>
      <c r="CC1" s="266"/>
      <c r="CD1" s="266"/>
      <c r="CE1" s="266"/>
      <c r="CF1" s="266"/>
      <c r="CG1" s="266"/>
      <c r="CH1" s="266"/>
    </row>
    <row r="2">
      <c r="A2" s="266"/>
      <c r="B2" s="266">
        <v>5.0</v>
      </c>
      <c r="C2" s="266" t="s">
        <v>6875</v>
      </c>
      <c r="D2" s="266"/>
      <c r="E2" s="266"/>
      <c r="F2" s="266"/>
      <c r="G2" s="266"/>
      <c r="H2" s="266"/>
      <c r="I2" s="266">
        <v>5.0</v>
      </c>
      <c r="J2" s="279">
        <v>10.0</v>
      </c>
      <c r="K2" s="266">
        <v>10.0</v>
      </c>
      <c r="L2" s="266">
        <v>10.0</v>
      </c>
      <c r="M2" s="266">
        <v>5.0</v>
      </c>
      <c r="N2" s="266">
        <v>10.0</v>
      </c>
      <c r="O2" s="266">
        <v>10.0</v>
      </c>
      <c r="P2" s="266">
        <v>5.0</v>
      </c>
      <c r="Q2" s="266">
        <v>10.0</v>
      </c>
      <c r="R2" s="266">
        <v>88.0</v>
      </c>
      <c r="S2" s="266">
        <v>88.0</v>
      </c>
      <c r="T2" s="266">
        <v>88.0</v>
      </c>
      <c r="U2" s="266">
        <v>88.0</v>
      </c>
      <c r="V2" s="266">
        <v>88.0</v>
      </c>
      <c r="W2" s="266">
        <v>88.0</v>
      </c>
      <c r="X2" s="266">
        <v>10.0</v>
      </c>
      <c r="Y2" s="266">
        <v>15.0</v>
      </c>
      <c r="Z2" s="266">
        <v>15.0</v>
      </c>
      <c r="AA2" s="266">
        <v>15.0</v>
      </c>
      <c r="AB2" s="266" t="s">
        <v>6603</v>
      </c>
      <c r="AC2" s="266">
        <v>5.0</v>
      </c>
      <c r="AD2" s="266">
        <v>5.0</v>
      </c>
      <c r="AE2" s="266">
        <v>5.0</v>
      </c>
      <c r="AF2" s="266">
        <v>10.0</v>
      </c>
      <c r="AG2" s="266">
        <v>10.0</v>
      </c>
      <c r="AH2" s="266">
        <v>10.0</v>
      </c>
      <c r="AI2" s="266">
        <v>5.0</v>
      </c>
      <c r="AJ2" s="266">
        <v>10.0</v>
      </c>
      <c r="AK2" s="266">
        <v>10.0</v>
      </c>
      <c r="AL2" s="266">
        <v>5.0</v>
      </c>
      <c r="AM2" s="266">
        <v>5.0</v>
      </c>
      <c r="AN2" s="266">
        <v>5.0</v>
      </c>
      <c r="AO2" s="266">
        <v>5.0</v>
      </c>
      <c r="AP2" s="266">
        <v>5.0</v>
      </c>
      <c r="AQ2" s="266">
        <v>5.0</v>
      </c>
      <c r="AR2" s="266">
        <v>5.0</v>
      </c>
      <c r="AS2" s="266">
        <v>5.0</v>
      </c>
      <c r="AT2" s="266">
        <v>5.0</v>
      </c>
      <c r="AU2" s="266">
        <v>5.0</v>
      </c>
      <c r="AV2" s="266">
        <v>5.0</v>
      </c>
      <c r="AW2" s="266">
        <v>5.0</v>
      </c>
      <c r="AX2" s="266">
        <v>5.0</v>
      </c>
      <c r="AY2" s="266">
        <v>5.0</v>
      </c>
      <c r="AZ2" s="266">
        <v>5.0</v>
      </c>
      <c r="BA2" s="266">
        <v>5.0</v>
      </c>
      <c r="BB2" s="266">
        <v>5.0</v>
      </c>
      <c r="BC2" s="266">
        <v>5.0</v>
      </c>
      <c r="BD2" s="266">
        <v>5.0</v>
      </c>
      <c r="BE2" s="266">
        <v>5.0</v>
      </c>
      <c r="BF2" s="266">
        <v>5.0</v>
      </c>
      <c r="BG2" s="266">
        <v>5.0</v>
      </c>
      <c r="BH2" s="266">
        <v>5.0</v>
      </c>
      <c r="BI2" s="266">
        <v>5.0</v>
      </c>
      <c r="BJ2" s="266">
        <v>5.0</v>
      </c>
      <c r="BK2" s="266">
        <v>5.0</v>
      </c>
      <c r="BL2" s="266">
        <v>5.0</v>
      </c>
      <c r="BM2" s="266">
        <v>5.0</v>
      </c>
      <c r="BN2" s="266">
        <v>5.0</v>
      </c>
      <c r="BO2" s="266">
        <v>5.0</v>
      </c>
      <c r="BP2" s="266">
        <v>10.0</v>
      </c>
      <c r="BQ2" s="266">
        <v>88.0</v>
      </c>
      <c r="BR2" s="266">
        <v>88.0</v>
      </c>
      <c r="BS2" s="266">
        <v>88.0</v>
      </c>
      <c r="BT2" s="266">
        <v>88.0</v>
      </c>
      <c r="BU2" s="266">
        <v>88.0</v>
      </c>
      <c r="BV2" s="266">
        <v>88.0</v>
      </c>
      <c r="BW2" s="266">
        <v>10.0</v>
      </c>
      <c r="BX2" s="266">
        <v>15.0</v>
      </c>
      <c r="BY2" s="266">
        <v>15.0</v>
      </c>
      <c r="BZ2" s="266">
        <v>15.0</v>
      </c>
      <c r="CA2" s="266" t="s">
        <v>6603</v>
      </c>
      <c r="CB2" s="266">
        <v>5.0</v>
      </c>
      <c r="CC2" s="266">
        <v>5.0</v>
      </c>
      <c r="CD2" s="266">
        <v>5.0</v>
      </c>
      <c r="CE2" s="266">
        <v>5.0</v>
      </c>
      <c r="CF2" s="266">
        <v>5.0</v>
      </c>
      <c r="CG2" s="266">
        <v>5.0</v>
      </c>
      <c r="CH2" s="266">
        <v>5.0</v>
      </c>
    </row>
    <row r="3">
      <c r="A3" s="266"/>
      <c r="B3" s="266">
        <v>10.0</v>
      </c>
      <c r="C3" s="266" t="s">
        <v>3802</v>
      </c>
      <c r="D3" s="266"/>
      <c r="E3" s="266"/>
      <c r="F3" s="266" t="s">
        <v>6304</v>
      </c>
      <c r="G3" s="266" t="s">
        <v>551</v>
      </c>
      <c r="H3" s="266" t="s">
        <v>6878</v>
      </c>
      <c r="I3" s="266" t="s">
        <v>6875</v>
      </c>
      <c r="J3" s="279" t="s">
        <v>3802</v>
      </c>
      <c r="K3" s="266" t="s">
        <v>3803</v>
      </c>
      <c r="L3" s="266" t="s">
        <v>3804</v>
      </c>
      <c r="M3" s="266" t="s">
        <v>6879</v>
      </c>
      <c r="N3" s="266" t="s">
        <v>6880</v>
      </c>
      <c r="O3" s="266" t="s">
        <v>6306</v>
      </c>
      <c r="P3" s="266" t="s">
        <v>6881</v>
      </c>
      <c r="Q3" s="266" t="s">
        <v>6882</v>
      </c>
      <c r="R3" s="266" t="s">
        <v>6883</v>
      </c>
      <c r="S3" s="266" t="s">
        <v>6884</v>
      </c>
      <c r="T3" s="266" t="s">
        <v>6885</v>
      </c>
      <c r="U3" s="266" t="s">
        <v>6886</v>
      </c>
      <c r="V3" s="266" t="s">
        <v>6887</v>
      </c>
      <c r="W3" s="266" t="s">
        <v>6888</v>
      </c>
      <c r="X3" s="266" t="s">
        <v>6889</v>
      </c>
      <c r="Y3" s="266" t="s">
        <v>6890</v>
      </c>
      <c r="Z3" s="266" t="s">
        <v>6891</v>
      </c>
      <c r="AA3" s="266" t="s">
        <v>6892</v>
      </c>
      <c r="AB3" s="266" t="s">
        <v>6891</v>
      </c>
      <c r="AC3" s="266" t="s">
        <v>5261</v>
      </c>
      <c r="AD3" s="266" t="s">
        <v>6893</v>
      </c>
      <c r="AE3" s="266" t="s">
        <v>6894</v>
      </c>
      <c r="AF3" s="266" t="s">
        <v>5267</v>
      </c>
      <c r="AG3" s="266" t="s">
        <v>6895</v>
      </c>
      <c r="AH3" s="266" t="s">
        <v>6896</v>
      </c>
      <c r="AI3" s="266" t="s">
        <v>6897</v>
      </c>
      <c r="AJ3" s="266" t="s">
        <v>6898</v>
      </c>
      <c r="AK3" s="266" t="s">
        <v>6306</v>
      </c>
      <c r="AL3" s="266" t="s">
        <v>6900</v>
      </c>
      <c r="AM3" s="266" t="s">
        <v>6901</v>
      </c>
      <c r="AN3" s="266" t="s">
        <v>6902</v>
      </c>
      <c r="AO3" s="266" t="s">
        <v>6408</v>
      </c>
      <c r="AP3" s="266" t="s">
        <v>6409</v>
      </c>
      <c r="AQ3" s="266" t="s">
        <v>6903</v>
      </c>
      <c r="AR3" s="266" t="s">
        <v>6904</v>
      </c>
      <c r="AS3" s="266" t="s">
        <v>6905</v>
      </c>
      <c r="AT3" s="266" t="s">
        <v>6906</v>
      </c>
      <c r="AU3" s="266" t="s">
        <v>6907</v>
      </c>
      <c r="AV3" s="266" t="s">
        <v>6908</v>
      </c>
      <c r="AW3" s="266" t="s">
        <v>6910</v>
      </c>
      <c r="AX3" s="266" t="s">
        <v>6911</v>
      </c>
      <c r="AY3" s="266" t="s">
        <v>6912</v>
      </c>
      <c r="AZ3" s="266" t="s">
        <v>6913</v>
      </c>
      <c r="BA3" s="266" t="s">
        <v>6914</v>
      </c>
      <c r="BB3" s="266" t="s">
        <v>6915</v>
      </c>
      <c r="BC3" s="266" t="s">
        <v>6916</v>
      </c>
      <c r="BD3" s="266" t="s">
        <v>6917</v>
      </c>
      <c r="BE3" s="266" t="s">
        <v>6918</v>
      </c>
      <c r="BF3" s="266" t="s">
        <v>6919</v>
      </c>
      <c r="BG3" s="266" t="s">
        <v>6920</v>
      </c>
      <c r="BH3" s="266" t="s">
        <v>6921</v>
      </c>
      <c r="BI3" s="266" t="s">
        <v>6922</v>
      </c>
      <c r="BJ3" s="266" t="s">
        <v>2785</v>
      </c>
      <c r="BK3" s="266" t="s">
        <v>3840</v>
      </c>
      <c r="BL3" s="266" t="s">
        <v>6923</v>
      </c>
      <c r="BM3" s="266" t="s">
        <v>6924</v>
      </c>
      <c r="BN3" s="266" t="s">
        <v>6925</v>
      </c>
      <c r="BO3" s="266" t="s">
        <v>6926</v>
      </c>
      <c r="BP3" s="266" t="s">
        <v>6927</v>
      </c>
      <c r="BQ3" s="266" t="s">
        <v>6928</v>
      </c>
      <c r="BR3" s="266" t="s">
        <v>6929</v>
      </c>
      <c r="BS3" s="266" t="s">
        <v>6930</v>
      </c>
      <c r="BT3" s="266" t="s">
        <v>6931</v>
      </c>
      <c r="BU3" s="266" t="s">
        <v>6932</v>
      </c>
      <c r="BV3" s="266" t="s">
        <v>6933</v>
      </c>
      <c r="BW3" s="266" t="s">
        <v>6934</v>
      </c>
      <c r="BX3" s="266" t="s">
        <v>6935</v>
      </c>
      <c r="BY3" s="266" t="s">
        <v>6936</v>
      </c>
      <c r="BZ3" s="266" t="s">
        <v>6937</v>
      </c>
      <c r="CA3" s="266" t="s">
        <v>6936</v>
      </c>
      <c r="CB3" s="266" t="s">
        <v>6938</v>
      </c>
      <c r="CC3" s="266" t="s">
        <v>6939</v>
      </c>
      <c r="CD3" s="266" t="s">
        <v>6940</v>
      </c>
      <c r="CE3" s="266" t="s">
        <v>6941</v>
      </c>
      <c r="CF3" s="266" t="s">
        <v>6942</v>
      </c>
      <c r="CG3" s="266" t="s">
        <v>6943</v>
      </c>
      <c r="CH3" s="266" t="s">
        <v>6306</v>
      </c>
    </row>
    <row r="4">
      <c r="A4" s="266"/>
      <c r="B4" s="266">
        <v>10.0</v>
      </c>
      <c r="C4" s="266" t="s">
        <v>3803</v>
      </c>
      <c r="D4" s="266"/>
      <c r="E4" s="266"/>
      <c r="F4" s="266" t="s">
        <v>6304</v>
      </c>
      <c r="G4" s="266" t="s">
        <v>556</v>
      </c>
      <c r="H4" s="266"/>
      <c r="I4" s="266"/>
      <c r="J4" s="279"/>
      <c r="K4" s="266"/>
      <c r="L4" s="266"/>
      <c r="M4" s="266" t="s">
        <v>6603</v>
      </c>
      <c r="N4" s="266"/>
      <c r="O4" s="266"/>
      <c r="P4" s="266"/>
      <c r="Q4" s="266"/>
      <c r="R4" s="266" t="s">
        <v>6621</v>
      </c>
      <c r="S4" s="266" t="s">
        <v>6621</v>
      </c>
      <c r="T4" s="266" t="s">
        <v>6621</v>
      </c>
      <c r="U4" s="266" t="s">
        <v>6621</v>
      </c>
      <c r="V4" s="266" t="s">
        <v>6621</v>
      </c>
      <c r="W4" s="266" t="s">
        <v>6621</v>
      </c>
      <c r="X4" s="266"/>
      <c r="Y4" s="266"/>
      <c r="Z4" s="266"/>
      <c r="AA4" s="266"/>
      <c r="AB4" s="266"/>
      <c r="AC4" s="266"/>
      <c r="AD4" s="266"/>
      <c r="AE4" s="266"/>
      <c r="AF4" s="266"/>
      <c r="AG4" s="266"/>
      <c r="AH4" s="266"/>
      <c r="AI4" s="266" t="s">
        <v>6603</v>
      </c>
      <c r="AJ4" s="266"/>
      <c r="AK4" s="266"/>
      <c r="AL4" s="266"/>
      <c r="AM4" s="266"/>
      <c r="AN4" s="266"/>
      <c r="AO4" s="266"/>
      <c r="AP4" s="266"/>
      <c r="AQ4" s="266"/>
      <c r="AR4" s="266"/>
      <c r="AS4" s="266"/>
      <c r="AT4" s="266"/>
      <c r="AU4" s="266"/>
      <c r="AV4" s="266"/>
      <c r="AW4" s="266"/>
      <c r="AX4" s="266"/>
      <c r="AY4" s="266"/>
      <c r="AZ4" s="266"/>
      <c r="BA4" s="266"/>
      <c r="BB4" s="266"/>
      <c r="BC4" s="266"/>
      <c r="BD4" s="266"/>
      <c r="BE4" s="266"/>
      <c r="BF4" s="266"/>
      <c r="BG4" s="266"/>
      <c r="BH4" s="266"/>
      <c r="BI4" s="266"/>
      <c r="BJ4" s="266"/>
      <c r="BK4" s="266"/>
      <c r="BL4" s="266"/>
      <c r="BM4" s="266"/>
      <c r="BN4" s="266"/>
      <c r="BO4" s="266"/>
      <c r="BP4" s="266"/>
      <c r="BQ4" s="266" t="s">
        <v>6621</v>
      </c>
      <c r="BR4" s="266" t="s">
        <v>6621</v>
      </c>
      <c r="BS4" s="266" t="s">
        <v>6621</v>
      </c>
      <c r="BT4" s="266" t="s">
        <v>6621</v>
      </c>
      <c r="BU4" s="266" t="s">
        <v>6621</v>
      </c>
      <c r="BV4" s="266" t="s">
        <v>6621</v>
      </c>
      <c r="BW4" s="266"/>
      <c r="BX4" s="266"/>
      <c r="BY4" s="266"/>
      <c r="BZ4" s="266"/>
      <c r="CA4" s="266"/>
      <c r="CB4" s="266"/>
      <c r="CC4" s="266"/>
      <c r="CD4" s="266"/>
      <c r="CE4" s="266"/>
      <c r="CF4" s="266"/>
      <c r="CG4" s="266"/>
      <c r="CH4" s="266"/>
    </row>
    <row r="5">
      <c r="A5" s="266"/>
      <c r="B5" s="266">
        <v>10.0</v>
      </c>
      <c r="C5" s="266" t="s">
        <v>3804</v>
      </c>
      <c r="D5" s="266"/>
      <c r="E5" s="266"/>
      <c r="F5" s="266" t="s">
        <v>6304</v>
      </c>
      <c r="G5" s="266" t="s">
        <v>5243</v>
      </c>
      <c r="H5" s="266"/>
      <c r="I5" s="266"/>
      <c r="J5" s="279"/>
      <c r="K5" s="266"/>
      <c r="L5" s="266"/>
      <c r="M5" s="266" t="s">
        <v>6875</v>
      </c>
      <c r="N5" s="266"/>
      <c r="O5" s="266"/>
      <c r="P5" s="266"/>
      <c r="Q5" s="266"/>
      <c r="R5" s="269" t="s">
        <v>6622</v>
      </c>
      <c r="S5" s="269" t="s">
        <v>6624</v>
      </c>
      <c r="T5" s="269" t="s">
        <v>6626</v>
      </c>
      <c r="U5" s="269" t="s">
        <v>6628</v>
      </c>
      <c r="V5" s="269" t="s">
        <v>6630</v>
      </c>
      <c r="W5" s="269" t="s">
        <v>6632</v>
      </c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6" t="s">
        <v>6894</v>
      </c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6"/>
      <c r="BB5" s="266"/>
      <c r="BC5" s="266"/>
      <c r="BD5" s="266"/>
      <c r="BE5" s="266"/>
      <c r="BF5" s="266"/>
      <c r="BG5" s="266"/>
      <c r="BH5" s="266"/>
      <c r="BI5" s="266"/>
      <c r="BJ5" s="266"/>
      <c r="BK5" s="266"/>
      <c r="BL5" s="266"/>
      <c r="BM5" s="266"/>
      <c r="BN5" s="266"/>
      <c r="BO5" s="266"/>
      <c r="BP5" s="266"/>
      <c r="BQ5" s="269" t="s">
        <v>6622</v>
      </c>
      <c r="BR5" s="269" t="s">
        <v>6624</v>
      </c>
      <c r="BS5" s="269" t="s">
        <v>6626</v>
      </c>
      <c r="BT5" s="269" t="s">
        <v>6628</v>
      </c>
      <c r="BU5" s="269" t="s">
        <v>6630</v>
      </c>
      <c r="BV5" s="269" t="s">
        <v>6632</v>
      </c>
      <c r="BW5" s="266"/>
      <c r="BX5" s="266"/>
      <c r="BY5" s="266"/>
      <c r="BZ5" s="266"/>
      <c r="CA5" s="266"/>
      <c r="CB5" s="266"/>
      <c r="CC5" s="266"/>
      <c r="CD5" s="266"/>
      <c r="CE5" s="266"/>
      <c r="CF5" s="266"/>
      <c r="CG5" s="266"/>
      <c r="CH5" s="266"/>
    </row>
    <row r="6">
      <c r="A6" s="266"/>
      <c r="B6" s="266">
        <v>5.0</v>
      </c>
      <c r="C6" s="266" t="s">
        <v>6879</v>
      </c>
      <c r="D6" s="266" t="s">
        <v>6603</v>
      </c>
      <c r="E6" s="266" t="s">
        <v>6875</v>
      </c>
      <c r="F6" s="266"/>
      <c r="G6" s="266"/>
      <c r="H6" s="266"/>
      <c r="I6" s="266"/>
      <c r="J6" s="279" t="s">
        <v>6304</v>
      </c>
      <c r="K6" s="266" t="s">
        <v>6304</v>
      </c>
      <c r="L6" s="266" t="s">
        <v>6304</v>
      </c>
      <c r="M6" s="266"/>
      <c r="N6" s="266" t="s">
        <v>6304</v>
      </c>
      <c r="O6" s="266" t="s">
        <v>6304</v>
      </c>
      <c r="P6" s="266"/>
      <c r="Q6" s="266" t="s">
        <v>6304</v>
      </c>
      <c r="R6" s="266"/>
      <c r="S6" s="266"/>
      <c r="T6" s="266"/>
      <c r="U6" s="266"/>
      <c r="V6" s="266"/>
      <c r="W6" s="266"/>
      <c r="X6" s="266"/>
      <c r="Y6" s="266" t="s">
        <v>6304</v>
      </c>
      <c r="Z6" s="266" t="s">
        <v>6304</v>
      </c>
      <c r="AA6" s="266"/>
      <c r="AB6" s="266" t="s">
        <v>6304</v>
      </c>
      <c r="AC6" s="266" t="s">
        <v>6304</v>
      </c>
      <c r="AD6" s="266" t="s">
        <v>6304</v>
      </c>
      <c r="AE6" s="266"/>
      <c r="AF6" s="266" t="s">
        <v>6304</v>
      </c>
      <c r="AG6" s="266" t="s">
        <v>6304</v>
      </c>
      <c r="AH6" s="266" t="s">
        <v>6304</v>
      </c>
      <c r="AI6" s="266"/>
      <c r="AJ6" s="266" t="s">
        <v>6304</v>
      </c>
      <c r="AK6" s="266" t="s">
        <v>6304</v>
      </c>
      <c r="AL6" s="266" t="s">
        <v>6304</v>
      </c>
      <c r="AM6" s="266" t="s">
        <v>6304</v>
      </c>
      <c r="AN6" s="266" t="s">
        <v>6304</v>
      </c>
      <c r="AO6" s="266" t="s">
        <v>6304</v>
      </c>
      <c r="AP6" s="266" t="s">
        <v>6304</v>
      </c>
      <c r="AQ6" s="266" t="s">
        <v>6304</v>
      </c>
      <c r="AR6" s="266" t="s">
        <v>6304</v>
      </c>
      <c r="AS6" s="266" t="s">
        <v>6304</v>
      </c>
      <c r="AT6" s="266" t="s">
        <v>6304</v>
      </c>
      <c r="AU6" s="266" t="s">
        <v>6304</v>
      </c>
      <c r="AV6" s="266" t="s">
        <v>6304</v>
      </c>
      <c r="AW6" s="266" t="s">
        <v>6304</v>
      </c>
      <c r="AX6" s="266" t="s">
        <v>6304</v>
      </c>
      <c r="AY6" s="266" t="s">
        <v>6304</v>
      </c>
      <c r="AZ6" s="266" t="s">
        <v>6304</v>
      </c>
      <c r="BA6" s="266" t="s">
        <v>6304</v>
      </c>
      <c r="BB6" s="266" t="s">
        <v>6304</v>
      </c>
      <c r="BC6" s="266" t="s">
        <v>6304</v>
      </c>
      <c r="BD6" s="266" t="s">
        <v>6304</v>
      </c>
      <c r="BE6" s="266" t="s">
        <v>6304</v>
      </c>
      <c r="BF6" s="266" t="s">
        <v>6304</v>
      </c>
      <c r="BG6" s="266" t="s">
        <v>6304</v>
      </c>
      <c r="BH6" s="266" t="s">
        <v>6304</v>
      </c>
      <c r="BI6" s="266" t="s">
        <v>6304</v>
      </c>
      <c r="BJ6" s="266" t="s">
        <v>6304</v>
      </c>
      <c r="BK6" s="266" t="s">
        <v>6304</v>
      </c>
      <c r="BL6" s="266" t="s">
        <v>6304</v>
      </c>
      <c r="BM6" s="266" t="s">
        <v>6304</v>
      </c>
      <c r="BN6" s="266" t="s">
        <v>6304</v>
      </c>
      <c r="BO6" s="266"/>
      <c r="BP6" s="266" t="s">
        <v>6304</v>
      </c>
      <c r="BQ6" s="266"/>
      <c r="BR6" s="266"/>
      <c r="BS6" s="266"/>
      <c r="BT6" s="266"/>
      <c r="BU6" s="266"/>
      <c r="BV6" s="266"/>
      <c r="BW6" s="266"/>
      <c r="BX6" s="266" t="s">
        <v>6304</v>
      </c>
      <c r="BY6" s="266" t="s">
        <v>6304</v>
      </c>
      <c r="BZ6" s="266"/>
      <c r="CA6" s="266" t="s">
        <v>6304</v>
      </c>
      <c r="CB6" s="266" t="s">
        <v>6304</v>
      </c>
      <c r="CC6" s="266" t="s">
        <v>6304</v>
      </c>
      <c r="CD6" s="266" t="s">
        <v>6304</v>
      </c>
      <c r="CE6" s="266" t="s">
        <v>6304</v>
      </c>
      <c r="CF6" s="266" t="s">
        <v>6304</v>
      </c>
      <c r="CG6" s="266" t="s">
        <v>6304</v>
      </c>
      <c r="CH6" s="266" t="s">
        <v>6304</v>
      </c>
    </row>
    <row r="7">
      <c r="A7" s="266"/>
      <c r="B7" s="266">
        <v>10.0</v>
      </c>
      <c r="C7" s="266" t="s">
        <v>6880</v>
      </c>
      <c r="D7" s="266"/>
      <c r="E7" s="266"/>
      <c r="F7" s="266" t="s">
        <v>6304</v>
      </c>
      <c r="G7" s="266" t="s">
        <v>4103</v>
      </c>
      <c r="H7" s="266"/>
      <c r="I7" s="266"/>
      <c r="J7" s="279" t="s">
        <v>551</v>
      </c>
      <c r="K7" s="266" t="s">
        <v>556</v>
      </c>
      <c r="L7" s="266" t="s">
        <v>5243</v>
      </c>
      <c r="M7" s="266"/>
      <c r="N7" s="266" t="s">
        <v>4103</v>
      </c>
      <c r="O7" s="266" t="s">
        <v>6801</v>
      </c>
      <c r="P7" s="266"/>
      <c r="Q7" s="266" t="s">
        <v>557</v>
      </c>
      <c r="R7" s="266"/>
      <c r="S7" s="266"/>
      <c r="T7" s="266"/>
      <c r="U7" s="266"/>
      <c r="V7" s="266"/>
      <c r="W7" s="266"/>
      <c r="X7" s="266"/>
      <c r="Y7" s="266" t="s">
        <v>551</v>
      </c>
      <c r="Z7" s="266" t="s">
        <v>556</v>
      </c>
      <c r="AA7" s="266"/>
      <c r="AB7" s="266" t="s">
        <v>556</v>
      </c>
      <c r="AC7" s="266" t="s">
        <v>552</v>
      </c>
      <c r="AD7" s="266" t="s">
        <v>552</v>
      </c>
      <c r="AE7" s="266"/>
      <c r="AF7" s="266" t="s">
        <v>5244</v>
      </c>
      <c r="AG7" s="266" t="s">
        <v>5244</v>
      </c>
      <c r="AH7" s="266" t="s">
        <v>5244</v>
      </c>
      <c r="AI7" s="266"/>
      <c r="AJ7" s="266" t="s">
        <v>607</v>
      </c>
      <c r="AK7" s="266" t="s">
        <v>6899</v>
      </c>
      <c r="AL7" s="266" t="s">
        <v>5244</v>
      </c>
      <c r="AM7" s="266" t="s">
        <v>5244</v>
      </c>
      <c r="AN7" s="266" t="s">
        <v>4103</v>
      </c>
      <c r="AO7" s="266" t="s">
        <v>552</v>
      </c>
      <c r="AP7" s="266" t="s">
        <v>552</v>
      </c>
      <c r="AQ7" s="266" t="s">
        <v>552</v>
      </c>
      <c r="AR7" s="266" t="s">
        <v>552</v>
      </c>
      <c r="AS7" s="266" t="s">
        <v>552</v>
      </c>
      <c r="AT7" s="266" t="s">
        <v>551</v>
      </c>
      <c r="AU7" s="266" t="s">
        <v>552</v>
      </c>
      <c r="AV7" s="266" t="s">
        <v>6909</v>
      </c>
      <c r="AW7" s="266" t="s">
        <v>551</v>
      </c>
      <c r="AX7" s="266" t="s">
        <v>551</v>
      </c>
      <c r="AY7" s="266" t="s">
        <v>552</v>
      </c>
      <c r="AZ7" s="266" t="s">
        <v>551</v>
      </c>
      <c r="BA7" s="266" t="s">
        <v>552</v>
      </c>
      <c r="BB7" s="266" t="s">
        <v>552</v>
      </c>
      <c r="BC7" s="266" t="s">
        <v>552</v>
      </c>
      <c r="BD7" s="266" t="s">
        <v>552</v>
      </c>
      <c r="BE7" s="266" t="s">
        <v>552</v>
      </c>
      <c r="BF7" s="266" t="s">
        <v>552</v>
      </c>
      <c r="BG7" s="266" t="s">
        <v>552</v>
      </c>
      <c r="BH7" s="266" t="s">
        <v>552</v>
      </c>
      <c r="BI7" s="266" t="s">
        <v>552</v>
      </c>
      <c r="BJ7" s="266" t="s">
        <v>555</v>
      </c>
      <c r="BK7" s="266" t="s">
        <v>551</v>
      </c>
      <c r="BL7" s="266" t="s">
        <v>557</v>
      </c>
      <c r="BM7" s="266" t="s">
        <v>559</v>
      </c>
      <c r="BN7" s="266">
        <v>9.0</v>
      </c>
      <c r="BO7" s="266"/>
      <c r="BP7" s="266" t="s">
        <v>557</v>
      </c>
      <c r="BQ7" s="266"/>
      <c r="BR7" s="266"/>
      <c r="BS7" s="266"/>
      <c r="BT7" s="266"/>
      <c r="BU7" s="266"/>
      <c r="BV7" s="266"/>
      <c r="BW7" s="266"/>
      <c r="BX7" s="266" t="s">
        <v>551</v>
      </c>
      <c r="BY7" s="266" t="s">
        <v>556</v>
      </c>
      <c r="BZ7" s="266"/>
      <c r="CA7" s="266" t="s">
        <v>556</v>
      </c>
      <c r="CB7" s="266" t="s">
        <v>559</v>
      </c>
      <c r="CC7" s="266" t="s">
        <v>555</v>
      </c>
      <c r="CD7" s="266" t="s">
        <v>555</v>
      </c>
      <c r="CE7" s="266" t="s">
        <v>555</v>
      </c>
      <c r="CF7" s="266" t="s">
        <v>559</v>
      </c>
      <c r="CG7" s="266" t="s">
        <v>551</v>
      </c>
      <c r="CH7" s="266" t="s">
        <v>6944</v>
      </c>
    </row>
    <row r="8">
      <c r="A8" s="266"/>
      <c r="B8" s="266">
        <v>10.0</v>
      </c>
      <c r="C8" s="266" t="s">
        <v>6306</v>
      </c>
      <c r="D8" s="266"/>
      <c r="E8" s="266"/>
      <c r="F8" s="266" t="s">
        <v>6304</v>
      </c>
      <c r="G8" s="266" t="s">
        <v>6801</v>
      </c>
      <c r="J8" s="280" t="s">
        <v>8594</v>
      </c>
      <c r="K8" s="281" t="s">
        <v>8595</v>
      </c>
      <c r="L8" s="282" t="s">
        <v>3800</v>
      </c>
    </row>
    <row r="9">
      <c r="A9" s="266"/>
      <c r="B9" s="266">
        <v>5.0</v>
      </c>
      <c r="C9" s="266" t="s">
        <v>6881</v>
      </c>
      <c r="D9" s="266"/>
      <c r="E9" s="266"/>
      <c r="F9" s="266"/>
      <c r="G9" s="266"/>
      <c r="J9" s="111">
        <v>20.0</v>
      </c>
      <c r="K9" s="24">
        <v>828.0</v>
      </c>
      <c r="L9" s="24">
        <v>7.6260008E7</v>
      </c>
    </row>
    <row r="10">
      <c r="A10" s="266"/>
      <c r="B10" s="266">
        <v>10.0</v>
      </c>
      <c r="C10" s="266" t="s">
        <v>6882</v>
      </c>
      <c r="D10" s="266"/>
      <c r="E10" s="266"/>
      <c r="F10" s="266" t="s">
        <v>6304</v>
      </c>
      <c r="G10" s="266" t="s">
        <v>557</v>
      </c>
      <c r="J10" s="111">
        <v>27.0</v>
      </c>
      <c r="K10" s="24">
        <v>882.0</v>
      </c>
      <c r="L10" s="24">
        <v>4.9434662E7</v>
      </c>
    </row>
    <row r="11">
      <c r="A11" s="266"/>
      <c r="B11" s="266">
        <v>88.0</v>
      </c>
      <c r="C11" s="266" t="s">
        <v>6883</v>
      </c>
      <c r="D11" s="266" t="s">
        <v>6621</v>
      </c>
      <c r="E11" s="269" t="s">
        <v>6622</v>
      </c>
      <c r="F11" s="266"/>
      <c r="G11" s="266"/>
      <c r="J11" s="111">
        <v>48.0</v>
      </c>
      <c r="K11" s="24">
        <v>217.0</v>
      </c>
      <c r="L11" s="24">
        <v>4.8515174E7</v>
      </c>
    </row>
    <row r="12">
      <c r="A12" s="266"/>
      <c r="B12" s="266">
        <v>88.0</v>
      </c>
      <c r="C12" s="266" t="s">
        <v>6884</v>
      </c>
      <c r="D12" s="266" t="s">
        <v>6621</v>
      </c>
      <c r="E12" s="269" t="s">
        <v>6624</v>
      </c>
      <c r="F12" s="266"/>
      <c r="G12" s="266"/>
      <c r="J12" s="111">
        <v>1.0</v>
      </c>
      <c r="K12" s="24">
        <v>496.0</v>
      </c>
      <c r="L12" s="24">
        <v>5.930012E7</v>
      </c>
    </row>
    <row r="13">
      <c r="A13" s="266"/>
      <c r="B13" s="266">
        <v>88.0</v>
      </c>
      <c r="C13" s="266" t="s">
        <v>6885</v>
      </c>
      <c r="D13" s="266" t="s">
        <v>6621</v>
      </c>
      <c r="E13" s="269" t="s">
        <v>6626</v>
      </c>
      <c r="F13" s="266"/>
      <c r="G13" s="266"/>
      <c r="J13" s="111">
        <v>6.0</v>
      </c>
      <c r="K13" s="24">
        <v>505.0</v>
      </c>
      <c r="L13" s="24">
        <v>4.6717643E7</v>
      </c>
    </row>
    <row r="14">
      <c r="A14" s="266"/>
      <c r="B14" s="266">
        <v>88.0</v>
      </c>
      <c r="C14" s="266" t="s">
        <v>6886</v>
      </c>
      <c r="D14" s="266" t="s">
        <v>6621</v>
      </c>
      <c r="E14" s="269" t="s">
        <v>6628</v>
      </c>
      <c r="F14" s="266"/>
      <c r="G14" s="266"/>
      <c r="J14" s="111">
        <v>9.0</v>
      </c>
      <c r="K14" s="24">
        <v>383.0</v>
      </c>
      <c r="L14" s="24">
        <v>4.4374901E7</v>
      </c>
    </row>
    <row r="15">
      <c r="A15" s="266"/>
      <c r="B15" s="266">
        <v>88.0</v>
      </c>
      <c r="C15" s="266" t="s">
        <v>6887</v>
      </c>
      <c r="D15" s="266" t="s">
        <v>6621</v>
      </c>
      <c r="E15" s="269" t="s">
        <v>6630</v>
      </c>
      <c r="F15" s="266"/>
      <c r="G15" s="266"/>
      <c r="J15" s="111">
        <v>26.0</v>
      </c>
      <c r="K15" s="24">
        <v>638.0</v>
      </c>
      <c r="L15" s="24">
        <v>9.5642663E7</v>
      </c>
    </row>
    <row r="16">
      <c r="A16" s="266"/>
      <c r="B16" s="266">
        <v>88.0</v>
      </c>
      <c r="C16" s="266" t="s">
        <v>6888</v>
      </c>
      <c r="D16" s="266" t="s">
        <v>6621</v>
      </c>
      <c r="E16" s="269" t="s">
        <v>6632</v>
      </c>
      <c r="F16" s="266"/>
      <c r="G16" s="266"/>
      <c r="J16" s="111">
        <v>23.0</v>
      </c>
      <c r="K16" s="24">
        <v>156.0</v>
      </c>
      <c r="L16" s="24">
        <v>3.727303E7</v>
      </c>
    </row>
    <row r="17">
      <c r="A17" s="266"/>
      <c r="B17" s="266">
        <v>10.0</v>
      </c>
      <c r="C17" s="266" t="s">
        <v>6889</v>
      </c>
      <c r="D17" s="266"/>
      <c r="E17" s="266"/>
      <c r="F17" s="266"/>
      <c r="G17" s="266"/>
      <c r="J17" s="111">
        <v>46.0</v>
      </c>
      <c r="K17" s="24">
        <v>813.0</v>
      </c>
      <c r="L17" s="24">
        <v>7.1241742E7</v>
      </c>
    </row>
    <row r="18">
      <c r="A18" s="266"/>
      <c r="B18" s="266">
        <v>15.0</v>
      </c>
      <c r="C18" s="266" t="s">
        <v>6890</v>
      </c>
      <c r="D18" s="266"/>
      <c r="E18" s="266"/>
      <c r="F18" s="266" t="s">
        <v>6304</v>
      </c>
      <c r="G18" s="266" t="s">
        <v>551</v>
      </c>
      <c r="J18" s="111">
        <v>35.0</v>
      </c>
      <c r="K18" s="24">
        <v>987.0</v>
      </c>
      <c r="L18" s="24">
        <v>8.4428185E7</v>
      </c>
    </row>
    <row r="19">
      <c r="A19" s="266"/>
      <c r="B19" s="266">
        <v>15.0</v>
      </c>
      <c r="C19" s="266" t="s">
        <v>6891</v>
      </c>
      <c r="D19" s="266"/>
      <c r="E19" s="266"/>
      <c r="F19" s="266" t="s">
        <v>6304</v>
      </c>
      <c r="G19" s="266" t="s">
        <v>556</v>
      </c>
      <c r="J19" s="111">
        <v>15.0</v>
      </c>
      <c r="K19" s="24">
        <v>595.0</v>
      </c>
      <c r="L19" s="24">
        <v>1.5562267E7</v>
      </c>
    </row>
    <row r="20">
      <c r="A20" s="266"/>
      <c r="B20" s="266">
        <v>15.0</v>
      </c>
      <c r="C20" s="266" t="s">
        <v>6892</v>
      </c>
      <c r="D20" s="266"/>
      <c r="E20" s="266"/>
      <c r="F20" s="266"/>
      <c r="G20" s="266"/>
      <c r="J20" s="111">
        <v>26.0</v>
      </c>
      <c r="K20" s="24">
        <v>478.0</v>
      </c>
      <c r="L20" s="24">
        <v>7.653004E7</v>
      </c>
    </row>
    <row r="21">
      <c r="A21" s="266" t="s">
        <v>6603</v>
      </c>
      <c r="B21" s="266" t="s">
        <v>6603</v>
      </c>
      <c r="C21" s="266" t="s">
        <v>6891</v>
      </c>
      <c r="D21" s="266"/>
      <c r="E21" s="266"/>
      <c r="F21" s="266" t="s">
        <v>6304</v>
      </c>
      <c r="G21" s="266" t="s">
        <v>556</v>
      </c>
      <c r="J21" s="111">
        <v>45.0</v>
      </c>
      <c r="K21" s="24">
        <v>342.0</v>
      </c>
      <c r="L21" s="24">
        <v>7.8722308E7</v>
      </c>
    </row>
    <row r="22">
      <c r="A22" s="266"/>
      <c r="B22" s="266">
        <v>5.0</v>
      </c>
      <c r="C22" s="266" t="s">
        <v>5261</v>
      </c>
      <c r="D22" s="266"/>
      <c r="E22" s="266"/>
      <c r="F22" s="266" t="s">
        <v>6304</v>
      </c>
      <c r="G22" s="266" t="s">
        <v>552</v>
      </c>
      <c r="J22" s="111">
        <v>17.0</v>
      </c>
      <c r="K22" s="24">
        <v>135.0</v>
      </c>
      <c r="L22" s="24">
        <v>5.2034403E7</v>
      </c>
    </row>
    <row r="23">
      <c r="A23" s="266"/>
      <c r="B23" s="266">
        <v>5.0</v>
      </c>
      <c r="C23" s="266" t="s">
        <v>6893</v>
      </c>
      <c r="D23" s="266"/>
      <c r="E23" s="266"/>
      <c r="F23" s="266" t="s">
        <v>6304</v>
      </c>
      <c r="G23" s="266" t="s">
        <v>552</v>
      </c>
      <c r="J23" s="111">
        <v>34.0</v>
      </c>
      <c r="K23" s="24">
        <v>331.0</v>
      </c>
      <c r="L23" s="24">
        <v>1.8828032E7</v>
      </c>
    </row>
    <row r="24">
      <c r="A24" s="266"/>
      <c r="B24" s="266">
        <v>5.0</v>
      </c>
      <c r="C24" s="266" t="s">
        <v>6894</v>
      </c>
      <c r="D24" s="266"/>
      <c r="E24" s="266"/>
      <c r="F24" s="266"/>
      <c r="G24" s="266"/>
      <c r="J24" s="111">
        <v>51.0</v>
      </c>
      <c r="K24" s="24">
        <v>177.0</v>
      </c>
      <c r="L24" s="24">
        <v>1.1844551E7</v>
      </c>
    </row>
    <row r="25">
      <c r="A25" s="266"/>
      <c r="B25" s="266">
        <v>10.0</v>
      </c>
      <c r="C25" s="266" t="s">
        <v>5267</v>
      </c>
      <c r="D25" s="266"/>
      <c r="E25" s="266"/>
      <c r="F25" s="266" t="s">
        <v>6304</v>
      </c>
      <c r="G25" s="266" t="s">
        <v>5244</v>
      </c>
      <c r="J25" s="111">
        <v>18.0</v>
      </c>
      <c r="K25" s="24">
        <v>212.0</v>
      </c>
      <c r="L25" s="24">
        <v>3.5140798E7</v>
      </c>
    </row>
    <row r="26">
      <c r="A26" s="266"/>
      <c r="B26" s="266">
        <v>10.0</v>
      </c>
      <c r="C26" s="266" t="s">
        <v>6895</v>
      </c>
      <c r="D26" s="266"/>
      <c r="E26" s="266"/>
      <c r="F26" s="266" t="s">
        <v>6304</v>
      </c>
      <c r="G26" s="266" t="s">
        <v>5244</v>
      </c>
      <c r="J26" s="111">
        <v>17.0</v>
      </c>
      <c r="K26" s="24">
        <v>339.0</v>
      </c>
      <c r="L26" s="24">
        <v>3.4074143E7</v>
      </c>
    </row>
    <row r="27">
      <c r="A27" s="266"/>
      <c r="B27" s="266">
        <v>10.0</v>
      </c>
      <c r="C27" s="266" t="s">
        <v>6896</v>
      </c>
      <c r="D27" s="266"/>
      <c r="E27" s="266"/>
      <c r="F27" s="266" t="s">
        <v>6304</v>
      </c>
      <c r="G27" s="266" t="s">
        <v>5244</v>
      </c>
      <c r="J27" s="111">
        <v>16.0</v>
      </c>
      <c r="K27" s="24">
        <v>580.0</v>
      </c>
      <c r="L27" s="24">
        <v>5.0115484E7</v>
      </c>
    </row>
    <row r="28">
      <c r="A28" s="266"/>
      <c r="B28" s="266">
        <v>5.0</v>
      </c>
      <c r="C28" s="266" t="s">
        <v>6897</v>
      </c>
      <c r="D28" s="266" t="s">
        <v>6603</v>
      </c>
      <c r="E28" s="266" t="s">
        <v>6894</v>
      </c>
      <c r="F28" s="266"/>
      <c r="G28" s="266"/>
      <c r="J28" s="111">
        <v>48.0</v>
      </c>
      <c r="K28" s="24">
        <v>610.0</v>
      </c>
      <c r="L28" s="24">
        <v>2.6856922E7</v>
      </c>
    </row>
    <row r="29">
      <c r="A29" s="266"/>
      <c r="B29" s="266">
        <v>10.0</v>
      </c>
      <c r="C29" s="266" t="s">
        <v>6898</v>
      </c>
      <c r="D29" s="266"/>
      <c r="E29" s="266"/>
      <c r="F29" s="266" t="s">
        <v>6304</v>
      </c>
      <c r="G29" s="266" t="s">
        <v>607</v>
      </c>
      <c r="J29" s="111">
        <v>23.0</v>
      </c>
      <c r="K29" s="24">
        <v>743.0</v>
      </c>
      <c r="L29" s="24">
        <v>2.1839827E7</v>
      </c>
    </row>
    <row r="30">
      <c r="A30" s="266"/>
      <c r="B30" s="266">
        <v>10.0</v>
      </c>
      <c r="C30" s="266" t="s">
        <v>6306</v>
      </c>
      <c r="D30" s="266"/>
      <c r="E30" s="266"/>
      <c r="F30" s="266" t="s">
        <v>6304</v>
      </c>
      <c r="G30" s="266" t="s">
        <v>6899</v>
      </c>
      <c r="J30" s="111">
        <v>19.0</v>
      </c>
      <c r="K30" s="24">
        <v>953.0</v>
      </c>
      <c r="L30" s="24">
        <v>2.8317107E7</v>
      </c>
    </row>
    <row r="31">
      <c r="A31" s="266"/>
      <c r="B31" s="266">
        <v>5.0</v>
      </c>
      <c r="C31" s="266" t="s">
        <v>6900</v>
      </c>
      <c r="D31" s="266"/>
      <c r="E31" s="266"/>
      <c r="F31" s="266" t="s">
        <v>6304</v>
      </c>
      <c r="G31" s="266" t="s">
        <v>5244</v>
      </c>
      <c r="J31" s="111">
        <v>31.0</v>
      </c>
      <c r="K31" s="24">
        <v>775.0</v>
      </c>
      <c r="L31" s="24">
        <v>1.0900624E7</v>
      </c>
    </row>
    <row r="32">
      <c r="A32" s="266"/>
      <c r="B32" s="266">
        <v>5.0</v>
      </c>
      <c r="C32" s="266" t="s">
        <v>6901</v>
      </c>
      <c r="D32" s="266"/>
      <c r="E32" s="266"/>
      <c r="F32" s="266" t="s">
        <v>6304</v>
      </c>
      <c r="G32" s="266" t="s">
        <v>5244</v>
      </c>
      <c r="J32" s="111">
        <v>32.0</v>
      </c>
      <c r="K32" s="24">
        <v>452.0</v>
      </c>
      <c r="L32" s="24">
        <v>6.0511808E7</v>
      </c>
    </row>
    <row r="33">
      <c r="A33" s="266"/>
      <c r="B33" s="266">
        <v>5.0</v>
      </c>
      <c r="C33" s="266" t="s">
        <v>6902</v>
      </c>
      <c r="D33" s="266"/>
      <c r="E33" s="266"/>
      <c r="F33" s="266" t="s">
        <v>6304</v>
      </c>
      <c r="G33" s="266" t="s">
        <v>4103</v>
      </c>
      <c r="J33" s="111">
        <v>28.0</v>
      </c>
      <c r="K33" s="24">
        <v>846.0</v>
      </c>
      <c r="L33" s="24">
        <v>6.7084686E7</v>
      </c>
    </row>
    <row r="34">
      <c r="A34" s="266"/>
      <c r="B34" s="266">
        <v>5.0</v>
      </c>
      <c r="C34" s="266" t="s">
        <v>6408</v>
      </c>
      <c r="D34" s="266"/>
      <c r="E34" s="266"/>
      <c r="F34" s="266" t="s">
        <v>6304</v>
      </c>
      <c r="G34" s="266" t="s">
        <v>552</v>
      </c>
      <c r="J34" s="111">
        <v>38.0</v>
      </c>
      <c r="K34" s="24">
        <v>284.0</v>
      </c>
      <c r="L34" s="24">
        <v>1.2067708E7</v>
      </c>
    </row>
    <row r="35">
      <c r="A35" s="266"/>
      <c r="B35" s="266">
        <v>5.0</v>
      </c>
      <c r="C35" s="266" t="s">
        <v>6409</v>
      </c>
      <c r="D35" s="266"/>
      <c r="E35" s="266"/>
      <c r="F35" s="266" t="s">
        <v>6304</v>
      </c>
      <c r="G35" s="266" t="s">
        <v>552</v>
      </c>
      <c r="J35" s="111">
        <v>16.0</v>
      </c>
      <c r="K35" s="24">
        <v>412.0</v>
      </c>
      <c r="L35" s="24">
        <v>2.1784696E7</v>
      </c>
    </row>
    <row r="36">
      <c r="A36" s="266"/>
      <c r="B36" s="266">
        <v>5.0</v>
      </c>
      <c r="C36" s="266" t="s">
        <v>6903</v>
      </c>
      <c r="D36" s="266"/>
      <c r="E36" s="266"/>
      <c r="F36" s="266" t="s">
        <v>6304</v>
      </c>
      <c r="G36" s="266" t="s">
        <v>552</v>
      </c>
      <c r="J36" s="111">
        <v>2.0</v>
      </c>
      <c r="K36" s="24">
        <v>627.0</v>
      </c>
      <c r="L36" s="24">
        <v>8.7120329E7</v>
      </c>
    </row>
    <row r="37">
      <c r="A37" s="266"/>
      <c r="B37" s="266">
        <v>5.0</v>
      </c>
      <c r="C37" s="266" t="s">
        <v>6904</v>
      </c>
      <c r="D37" s="266"/>
      <c r="E37" s="266"/>
      <c r="F37" s="266" t="s">
        <v>6304</v>
      </c>
      <c r="G37" s="266" t="s">
        <v>552</v>
      </c>
      <c r="J37" s="111">
        <v>45.0</v>
      </c>
      <c r="K37" s="24">
        <v>164.0</v>
      </c>
      <c r="L37" s="24">
        <v>3.2228374E7</v>
      </c>
    </row>
    <row r="38">
      <c r="A38" s="266"/>
      <c r="B38" s="266">
        <v>5.0</v>
      </c>
      <c r="C38" s="266" t="s">
        <v>6905</v>
      </c>
      <c r="D38" s="266"/>
      <c r="E38" s="266"/>
      <c r="F38" s="266" t="s">
        <v>6304</v>
      </c>
      <c r="G38" s="266" t="s">
        <v>552</v>
      </c>
      <c r="J38" s="111">
        <v>26.0</v>
      </c>
      <c r="K38" s="24">
        <v>820.0</v>
      </c>
      <c r="L38" s="24">
        <v>4.3995138E7</v>
      </c>
    </row>
    <row r="39">
      <c r="A39" s="266"/>
      <c r="B39" s="266">
        <v>5.0</v>
      </c>
      <c r="C39" s="266" t="s">
        <v>6906</v>
      </c>
      <c r="D39" s="266"/>
      <c r="E39" s="266"/>
      <c r="F39" s="266" t="s">
        <v>6304</v>
      </c>
      <c r="G39" s="266" t="s">
        <v>551</v>
      </c>
      <c r="J39" s="111">
        <v>36.0</v>
      </c>
      <c r="K39" s="24">
        <v>207.0</v>
      </c>
      <c r="L39" s="24">
        <v>5.8059673E7</v>
      </c>
    </row>
    <row r="40">
      <c r="A40" s="266"/>
      <c r="B40" s="266">
        <v>5.0</v>
      </c>
      <c r="C40" s="266" t="s">
        <v>6907</v>
      </c>
      <c r="D40" s="266"/>
      <c r="E40" s="266"/>
      <c r="F40" s="266" t="s">
        <v>6304</v>
      </c>
      <c r="G40" s="266" t="s">
        <v>552</v>
      </c>
      <c r="J40" s="111">
        <v>30.0</v>
      </c>
      <c r="K40" s="24">
        <v>340.0</v>
      </c>
      <c r="L40" s="24">
        <v>6.3181942E7</v>
      </c>
    </row>
    <row r="41">
      <c r="A41" s="266"/>
      <c r="B41" s="266">
        <v>5.0</v>
      </c>
      <c r="C41" s="266" t="s">
        <v>6908</v>
      </c>
      <c r="D41" s="266"/>
      <c r="E41" s="266"/>
      <c r="F41" s="266" t="s">
        <v>6304</v>
      </c>
      <c r="G41" s="266" t="s">
        <v>6909</v>
      </c>
      <c r="J41" s="111">
        <v>16.0</v>
      </c>
      <c r="K41" s="24">
        <v>713.0</v>
      </c>
      <c r="L41" s="24">
        <v>7.9622567E7</v>
      </c>
    </row>
    <row r="42">
      <c r="A42" s="266"/>
      <c r="B42" s="266">
        <v>5.0</v>
      </c>
      <c r="C42" s="266" t="s">
        <v>6910</v>
      </c>
      <c r="D42" s="266"/>
      <c r="E42" s="266"/>
      <c r="F42" s="266" t="s">
        <v>6304</v>
      </c>
      <c r="G42" s="266" t="s">
        <v>551</v>
      </c>
      <c r="J42" s="111">
        <v>37.0</v>
      </c>
      <c r="K42" s="24">
        <v>615.0</v>
      </c>
      <c r="L42" s="24">
        <v>1.6970266E7</v>
      </c>
    </row>
    <row r="43">
      <c r="A43" s="266"/>
      <c r="B43" s="266">
        <v>5.0</v>
      </c>
      <c r="C43" s="266" t="s">
        <v>6911</v>
      </c>
      <c r="D43" s="266"/>
      <c r="E43" s="266"/>
      <c r="F43" s="266" t="s">
        <v>6304</v>
      </c>
      <c r="G43" s="266" t="s">
        <v>551</v>
      </c>
      <c r="J43" s="111">
        <v>49.0</v>
      </c>
      <c r="K43" s="24">
        <v>215.0</v>
      </c>
      <c r="L43" s="24">
        <v>2.513212E7</v>
      </c>
    </row>
    <row r="44">
      <c r="A44" s="266"/>
      <c r="B44" s="266">
        <v>5.0</v>
      </c>
      <c r="C44" s="266" t="s">
        <v>6912</v>
      </c>
      <c r="D44" s="266"/>
      <c r="E44" s="266"/>
      <c r="F44" s="266" t="s">
        <v>6304</v>
      </c>
      <c r="G44" s="266" t="s">
        <v>552</v>
      </c>
      <c r="J44" s="111">
        <v>20.0</v>
      </c>
      <c r="K44" s="24">
        <v>284.0</v>
      </c>
      <c r="L44" s="24">
        <v>9.6124053E7</v>
      </c>
    </row>
    <row r="45">
      <c r="A45" s="266"/>
      <c r="B45" s="266">
        <v>5.0</v>
      </c>
      <c r="C45" s="266" t="s">
        <v>6913</v>
      </c>
      <c r="D45" s="266"/>
      <c r="E45" s="266"/>
      <c r="F45" s="266" t="s">
        <v>6304</v>
      </c>
      <c r="G45" s="266" t="s">
        <v>551</v>
      </c>
      <c r="J45" s="111">
        <v>27.0</v>
      </c>
      <c r="K45" s="24">
        <v>553.0</v>
      </c>
      <c r="L45" s="24">
        <v>9.289936E7</v>
      </c>
    </row>
    <row r="46">
      <c r="A46" s="266"/>
      <c r="B46" s="266">
        <v>5.0</v>
      </c>
      <c r="C46" s="266" t="s">
        <v>6914</v>
      </c>
      <c r="D46" s="266"/>
      <c r="E46" s="266"/>
      <c r="F46" s="266" t="s">
        <v>6304</v>
      </c>
      <c r="G46" s="266" t="s">
        <v>552</v>
      </c>
      <c r="J46" s="111">
        <v>12.0</v>
      </c>
      <c r="K46" s="24">
        <v>341.0</v>
      </c>
      <c r="L46" s="24">
        <v>8.3830301E7</v>
      </c>
    </row>
    <row r="47">
      <c r="A47" s="266"/>
      <c r="B47" s="266">
        <v>5.0</v>
      </c>
      <c r="C47" s="266" t="s">
        <v>6915</v>
      </c>
      <c r="D47" s="266"/>
      <c r="E47" s="266"/>
      <c r="F47" s="266" t="s">
        <v>6304</v>
      </c>
      <c r="G47" s="266" t="s">
        <v>552</v>
      </c>
      <c r="J47" s="111">
        <v>18.0</v>
      </c>
      <c r="K47" s="24">
        <v>652.0</v>
      </c>
      <c r="L47" s="24">
        <v>7.0197143E7</v>
      </c>
    </row>
    <row r="48">
      <c r="A48" s="266"/>
      <c r="B48" s="266">
        <v>5.0</v>
      </c>
      <c r="C48" s="266" t="s">
        <v>6916</v>
      </c>
      <c r="D48" s="266"/>
      <c r="E48" s="266"/>
      <c r="F48" s="266" t="s">
        <v>6304</v>
      </c>
      <c r="G48" s="266" t="s">
        <v>552</v>
      </c>
      <c r="J48" s="111">
        <v>33.0</v>
      </c>
      <c r="K48" s="24">
        <v>742.0</v>
      </c>
      <c r="L48" s="24">
        <v>2.9589775E7</v>
      </c>
    </row>
    <row r="49">
      <c r="A49" s="266"/>
      <c r="B49" s="266">
        <v>5.0</v>
      </c>
      <c r="C49" s="266" t="s">
        <v>6917</v>
      </c>
      <c r="D49" s="266"/>
      <c r="E49" s="266"/>
      <c r="F49" s="266" t="s">
        <v>6304</v>
      </c>
      <c r="G49" s="266" t="s">
        <v>552</v>
      </c>
      <c r="J49" s="111">
        <v>25.0</v>
      </c>
      <c r="K49" s="24">
        <v>790.0</v>
      </c>
      <c r="L49" s="24">
        <v>6.9046532E7</v>
      </c>
    </row>
    <row r="50">
      <c r="A50" s="266"/>
      <c r="B50" s="266">
        <v>5.0</v>
      </c>
      <c r="C50" s="266" t="s">
        <v>6918</v>
      </c>
      <c r="D50" s="266"/>
      <c r="E50" s="266"/>
      <c r="F50" s="266" t="s">
        <v>6304</v>
      </c>
      <c r="G50" s="266" t="s">
        <v>552</v>
      </c>
      <c r="J50" s="111">
        <v>49.0</v>
      </c>
      <c r="K50" s="24">
        <v>540.0</v>
      </c>
      <c r="L50" s="24">
        <v>4.3509991E7</v>
      </c>
    </row>
    <row r="51">
      <c r="A51" s="266"/>
      <c r="B51" s="266">
        <v>5.0</v>
      </c>
      <c r="C51" s="266" t="s">
        <v>6919</v>
      </c>
      <c r="D51" s="266"/>
      <c r="E51" s="266"/>
      <c r="F51" s="266" t="s">
        <v>6304</v>
      </c>
      <c r="G51" s="266" t="s">
        <v>552</v>
      </c>
      <c r="J51" s="111">
        <v>49.0</v>
      </c>
      <c r="K51" s="24">
        <v>241.0</v>
      </c>
      <c r="L51" s="24">
        <v>9.2936137E7</v>
      </c>
    </row>
    <row r="52">
      <c r="A52" s="266"/>
      <c r="B52" s="266">
        <v>5.0</v>
      </c>
      <c r="C52" s="266" t="s">
        <v>6920</v>
      </c>
      <c r="D52" s="266"/>
      <c r="E52" s="266"/>
      <c r="F52" s="266" t="s">
        <v>6304</v>
      </c>
      <c r="G52" s="266" t="s">
        <v>552</v>
      </c>
      <c r="J52" s="111">
        <v>13.0</v>
      </c>
      <c r="K52" s="24">
        <v>840.0</v>
      </c>
      <c r="L52" s="24">
        <v>3.012004E7</v>
      </c>
    </row>
    <row r="53">
      <c r="A53" s="266"/>
      <c r="B53" s="266">
        <v>5.0</v>
      </c>
      <c r="C53" s="266" t="s">
        <v>6921</v>
      </c>
      <c r="D53" s="266"/>
      <c r="E53" s="266"/>
      <c r="F53" s="266" t="s">
        <v>6304</v>
      </c>
      <c r="G53" s="266" t="s">
        <v>552</v>
      </c>
      <c r="J53" s="111">
        <v>41.0</v>
      </c>
      <c r="K53" s="24">
        <v>108.0</v>
      </c>
      <c r="L53" s="24">
        <v>3.8299128E7</v>
      </c>
    </row>
    <row r="54">
      <c r="A54" s="266"/>
      <c r="B54" s="266">
        <v>5.0</v>
      </c>
      <c r="C54" s="266" t="s">
        <v>6922</v>
      </c>
      <c r="D54" s="266"/>
      <c r="E54" s="266"/>
      <c r="F54" s="266" t="s">
        <v>6304</v>
      </c>
      <c r="G54" s="266" t="s">
        <v>552</v>
      </c>
      <c r="J54" s="111">
        <v>56.0</v>
      </c>
      <c r="K54" s="24">
        <v>162.0</v>
      </c>
      <c r="L54" s="24">
        <v>3.1906138E7</v>
      </c>
    </row>
    <row r="55">
      <c r="A55" s="266"/>
      <c r="B55" s="266">
        <v>5.0</v>
      </c>
      <c r="C55" s="266" t="s">
        <v>2785</v>
      </c>
      <c r="D55" s="266"/>
      <c r="E55" s="266"/>
      <c r="F55" s="266" t="s">
        <v>6304</v>
      </c>
      <c r="G55" s="266" t="s">
        <v>555</v>
      </c>
      <c r="J55" s="111">
        <v>33.0</v>
      </c>
      <c r="K55" s="24">
        <v>910.0</v>
      </c>
      <c r="L55" s="24">
        <v>2.3351692E7</v>
      </c>
    </row>
    <row r="56">
      <c r="A56" s="266"/>
      <c r="B56" s="266">
        <v>5.0</v>
      </c>
      <c r="C56" s="266" t="s">
        <v>3840</v>
      </c>
      <c r="D56" s="266"/>
      <c r="E56" s="266"/>
      <c r="F56" s="266" t="s">
        <v>6304</v>
      </c>
      <c r="G56" s="266" t="s">
        <v>551</v>
      </c>
      <c r="J56" s="111">
        <v>35.0</v>
      </c>
      <c r="K56" s="24">
        <v>701.0</v>
      </c>
      <c r="L56" s="24">
        <v>3.7918494E7</v>
      </c>
    </row>
    <row r="57">
      <c r="A57" s="266"/>
      <c r="B57" s="266">
        <v>5.0</v>
      </c>
      <c r="C57" s="266" t="s">
        <v>6923</v>
      </c>
      <c r="D57" s="266"/>
      <c r="E57" s="266"/>
      <c r="F57" s="266" t="s">
        <v>6304</v>
      </c>
      <c r="G57" s="266" t="s">
        <v>557</v>
      </c>
      <c r="J57" s="111">
        <v>20.0</v>
      </c>
      <c r="K57" s="24">
        <v>554.0</v>
      </c>
      <c r="L57" s="24">
        <v>7.8139869E7</v>
      </c>
    </row>
    <row r="58">
      <c r="A58" s="266"/>
      <c r="B58" s="266">
        <v>5.0</v>
      </c>
      <c r="C58" s="266" t="s">
        <v>6924</v>
      </c>
      <c r="D58" s="266"/>
      <c r="E58" s="266"/>
      <c r="F58" s="266" t="s">
        <v>6304</v>
      </c>
      <c r="G58" s="266" t="s">
        <v>559</v>
      </c>
      <c r="J58" s="111">
        <v>53.0</v>
      </c>
      <c r="K58" s="24">
        <v>369.0</v>
      </c>
      <c r="L58" s="24">
        <v>1.733017E7</v>
      </c>
    </row>
    <row r="59">
      <c r="A59" s="266"/>
      <c r="B59" s="266">
        <v>5.0</v>
      </c>
      <c r="C59" s="266" t="s">
        <v>6925</v>
      </c>
      <c r="D59" s="266"/>
      <c r="E59" s="266"/>
      <c r="F59" s="266" t="s">
        <v>6304</v>
      </c>
      <c r="G59" s="266">
        <v>9.0</v>
      </c>
      <c r="J59" s="111">
        <v>33.0</v>
      </c>
      <c r="K59" s="24">
        <v>860.0</v>
      </c>
      <c r="L59" s="24">
        <v>7.6964872E7</v>
      </c>
    </row>
    <row r="60">
      <c r="A60" s="266"/>
      <c r="B60" s="266">
        <v>5.0</v>
      </c>
      <c r="C60" s="266" t="s">
        <v>6926</v>
      </c>
      <c r="D60" s="266"/>
      <c r="E60" s="266"/>
      <c r="F60" s="266"/>
      <c r="G60" s="266"/>
      <c r="J60" s="111">
        <v>50.0</v>
      </c>
      <c r="K60" s="24">
        <v>487.0</v>
      </c>
      <c r="L60" s="24">
        <v>6.4897086E7</v>
      </c>
    </row>
    <row r="61">
      <c r="A61" s="266"/>
      <c r="B61" s="266">
        <v>10.0</v>
      </c>
      <c r="C61" s="266" t="s">
        <v>6927</v>
      </c>
      <c r="D61" s="266"/>
      <c r="E61" s="266"/>
      <c r="F61" s="266" t="s">
        <v>6304</v>
      </c>
      <c r="G61" s="266" t="s">
        <v>557</v>
      </c>
      <c r="J61" s="111">
        <v>30.0</v>
      </c>
      <c r="K61" s="24">
        <v>840.0</v>
      </c>
      <c r="L61" s="24">
        <v>9.3440471E7</v>
      </c>
    </row>
    <row r="62">
      <c r="A62" s="266"/>
      <c r="B62" s="266">
        <v>88.0</v>
      </c>
      <c r="C62" s="266" t="s">
        <v>6928</v>
      </c>
      <c r="D62" s="266" t="s">
        <v>6621</v>
      </c>
      <c r="E62" s="269" t="s">
        <v>6622</v>
      </c>
      <c r="F62" s="266"/>
      <c r="G62" s="266"/>
      <c r="J62" s="111">
        <v>31.0</v>
      </c>
      <c r="K62" s="24">
        <v>698.0</v>
      </c>
      <c r="L62" s="24">
        <v>4.2357381E7</v>
      </c>
    </row>
    <row r="63">
      <c r="A63" s="266"/>
      <c r="B63" s="266">
        <v>88.0</v>
      </c>
      <c r="C63" s="266" t="s">
        <v>6929</v>
      </c>
      <c r="D63" s="266" t="s">
        <v>6621</v>
      </c>
      <c r="E63" s="269" t="s">
        <v>6624</v>
      </c>
      <c r="F63" s="266"/>
      <c r="G63" s="266"/>
      <c r="J63" s="111">
        <v>55.0</v>
      </c>
      <c r="K63" s="24">
        <v>628.0</v>
      </c>
      <c r="L63" s="24">
        <v>3.8041186E7</v>
      </c>
    </row>
    <row r="64">
      <c r="A64" s="266"/>
      <c r="B64" s="266">
        <v>88.0</v>
      </c>
      <c r="C64" s="266" t="s">
        <v>6930</v>
      </c>
      <c r="D64" s="266" t="s">
        <v>6621</v>
      </c>
      <c r="E64" s="269" t="s">
        <v>6626</v>
      </c>
      <c r="F64" s="266"/>
      <c r="G64" s="266"/>
      <c r="J64" s="111">
        <v>21.0</v>
      </c>
      <c r="K64" s="24">
        <v>288.0</v>
      </c>
      <c r="L64" s="24">
        <v>5.2186445E7</v>
      </c>
    </row>
    <row r="65">
      <c r="A65" s="266"/>
      <c r="B65" s="266">
        <v>88.0</v>
      </c>
      <c r="C65" s="266" t="s">
        <v>6931</v>
      </c>
      <c r="D65" s="266" t="s">
        <v>6621</v>
      </c>
      <c r="E65" s="269" t="s">
        <v>6628</v>
      </c>
      <c r="F65" s="266"/>
      <c r="G65" s="266"/>
      <c r="J65" s="111">
        <v>29.0</v>
      </c>
      <c r="K65" s="24">
        <v>298.0</v>
      </c>
      <c r="L65" s="24">
        <v>3.0400222E7</v>
      </c>
    </row>
    <row r="66">
      <c r="A66" s="266"/>
      <c r="B66" s="266">
        <v>88.0</v>
      </c>
      <c r="C66" s="266" t="s">
        <v>6932</v>
      </c>
      <c r="D66" s="266" t="s">
        <v>6621</v>
      </c>
      <c r="E66" s="269" t="s">
        <v>6630</v>
      </c>
      <c r="F66" s="266"/>
      <c r="G66" s="266"/>
      <c r="J66" s="111">
        <v>46.0</v>
      </c>
      <c r="K66" s="24">
        <v>101.0</v>
      </c>
      <c r="L66" s="24">
        <v>5.6633353E7</v>
      </c>
    </row>
    <row r="67">
      <c r="A67" s="266"/>
      <c r="B67" s="266">
        <v>88.0</v>
      </c>
      <c r="C67" s="266" t="s">
        <v>6933</v>
      </c>
      <c r="D67" s="266" t="s">
        <v>6621</v>
      </c>
      <c r="E67" s="269" t="s">
        <v>6632</v>
      </c>
      <c r="F67" s="266"/>
      <c r="G67" s="266"/>
      <c r="J67" s="111">
        <v>44.0</v>
      </c>
      <c r="K67" s="24">
        <v>832.0</v>
      </c>
      <c r="L67" s="24">
        <v>7.6305807E7</v>
      </c>
    </row>
    <row r="68">
      <c r="A68" s="266"/>
      <c r="B68" s="266">
        <v>10.0</v>
      </c>
      <c r="C68" s="266" t="s">
        <v>6934</v>
      </c>
      <c r="D68" s="266"/>
      <c r="E68" s="266"/>
      <c r="F68" s="266"/>
      <c r="G68" s="266"/>
      <c r="J68" s="111">
        <v>6.0</v>
      </c>
      <c r="K68" s="24">
        <v>725.0</v>
      </c>
      <c r="L68" s="24">
        <v>4.6142446E7</v>
      </c>
    </row>
    <row r="69">
      <c r="A69" s="266"/>
      <c r="B69" s="266">
        <v>15.0</v>
      </c>
      <c r="C69" s="266" t="s">
        <v>6935</v>
      </c>
      <c r="D69" s="266"/>
      <c r="E69" s="266"/>
      <c r="F69" s="266" t="s">
        <v>6304</v>
      </c>
      <c r="G69" s="266" t="s">
        <v>551</v>
      </c>
      <c r="J69" s="111">
        <v>33.0</v>
      </c>
      <c r="K69" s="24">
        <v>802.0</v>
      </c>
      <c r="L69" s="24">
        <v>8.1101978E7</v>
      </c>
    </row>
    <row r="70">
      <c r="A70" s="266"/>
      <c r="B70" s="266">
        <v>15.0</v>
      </c>
      <c r="C70" s="266" t="s">
        <v>6936</v>
      </c>
      <c r="D70" s="266"/>
      <c r="E70" s="266"/>
      <c r="F70" s="266" t="s">
        <v>6304</v>
      </c>
      <c r="G70" s="266" t="s">
        <v>556</v>
      </c>
      <c r="J70" s="111">
        <v>15.0</v>
      </c>
      <c r="K70" s="24">
        <v>310.0</v>
      </c>
      <c r="L70" s="24">
        <v>2.3396398E7</v>
      </c>
    </row>
    <row r="71">
      <c r="A71" s="266"/>
      <c r="B71" s="266">
        <v>15.0</v>
      </c>
      <c r="C71" s="266" t="s">
        <v>6937</v>
      </c>
      <c r="D71" s="266"/>
      <c r="E71" s="266"/>
      <c r="F71" s="266"/>
      <c r="G71" s="266"/>
      <c r="J71" s="111">
        <v>9.0</v>
      </c>
      <c r="K71" s="24">
        <v>988.0</v>
      </c>
      <c r="L71" s="24">
        <v>3.1968221E7</v>
      </c>
    </row>
    <row r="72">
      <c r="A72" s="266" t="s">
        <v>6603</v>
      </c>
      <c r="B72" s="266" t="s">
        <v>6603</v>
      </c>
      <c r="C72" s="266" t="s">
        <v>6936</v>
      </c>
      <c r="D72" s="266"/>
      <c r="E72" s="266"/>
      <c r="F72" s="266" t="s">
        <v>6304</v>
      </c>
      <c r="G72" s="266" t="s">
        <v>556</v>
      </c>
      <c r="J72" s="111">
        <v>36.0</v>
      </c>
      <c r="K72" s="24">
        <v>452.0</v>
      </c>
      <c r="L72" s="24">
        <v>7.3061002E7</v>
      </c>
    </row>
    <row r="73">
      <c r="A73" s="266"/>
      <c r="B73" s="266">
        <v>5.0</v>
      </c>
      <c r="C73" s="266" t="s">
        <v>6938</v>
      </c>
      <c r="D73" s="266"/>
      <c r="E73" s="266"/>
      <c r="F73" s="266" t="s">
        <v>6304</v>
      </c>
      <c r="G73" s="266" t="s">
        <v>559</v>
      </c>
      <c r="J73" s="111">
        <v>46.0</v>
      </c>
      <c r="K73" s="24">
        <v>148.0</v>
      </c>
      <c r="L73" s="24">
        <v>9.3437733E7</v>
      </c>
    </row>
    <row r="74">
      <c r="A74" s="266"/>
      <c r="B74" s="266">
        <v>5.0</v>
      </c>
      <c r="C74" s="266" t="s">
        <v>6939</v>
      </c>
      <c r="D74" s="266"/>
      <c r="E74" s="266"/>
      <c r="F74" s="266" t="s">
        <v>6304</v>
      </c>
      <c r="G74" s="266" t="s">
        <v>555</v>
      </c>
      <c r="J74" s="111">
        <v>17.0</v>
      </c>
      <c r="K74" s="24">
        <v>560.0</v>
      </c>
      <c r="L74" s="24">
        <v>7.5342369E7</v>
      </c>
    </row>
    <row r="75">
      <c r="A75" s="266"/>
      <c r="B75" s="266">
        <v>5.0</v>
      </c>
      <c r="C75" s="266" t="s">
        <v>6940</v>
      </c>
      <c r="D75" s="266"/>
      <c r="E75" s="266"/>
      <c r="F75" s="266" t="s">
        <v>6304</v>
      </c>
      <c r="G75" s="266" t="s">
        <v>555</v>
      </c>
      <c r="J75" s="111">
        <v>51.0</v>
      </c>
      <c r="K75" s="24">
        <v>970.0</v>
      </c>
      <c r="L75" s="24">
        <v>3.1347427E7</v>
      </c>
    </row>
    <row r="76">
      <c r="A76" s="266"/>
      <c r="B76" s="266">
        <v>5.0</v>
      </c>
      <c r="C76" s="266" t="s">
        <v>6941</v>
      </c>
      <c r="D76" s="266"/>
      <c r="E76" s="266"/>
      <c r="F76" s="266" t="s">
        <v>6304</v>
      </c>
      <c r="G76" s="266" t="s">
        <v>555</v>
      </c>
      <c r="J76" s="111">
        <v>26.0</v>
      </c>
      <c r="K76" s="24">
        <v>696.0</v>
      </c>
      <c r="L76" s="24">
        <v>4.0483691E7</v>
      </c>
    </row>
    <row r="77">
      <c r="A77" s="266"/>
      <c r="B77" s="266">
        <v>5.0</v>
      </c>
      <c r="C77" s="266" t="s">
        <v>6942</v>
      </c>
      <c r="D77" s="266"/>
      <c r="E77" s="266"/>
      <c r="F77" s="266" t="s">
        <v>6304</v>
      </c>
      <c r="G77" s="266" t="s">
        <v>559</v>
      </c>
      <c r="J77" s="111">
        <v>13.0</v>
      </c>
      <c r="K77" s="24">
        <v>634.0</v>
      </c>
      <c r="L77" s="24">
        <v>3.6392322E7</v>
      </c>
    </row>
    <row r="78">
      <c r="A78" s="266"/>
      <c r="B78" s="266">
        <v>5.0</v>
      </c>
      <c r="C78" s="266" t="s">
        <v>6943</v>
      </c>
      <c r="D78" s="266"/>
      <c r="E78" s="266"/>
      <c r="F78" s="266" t="s">
        <v>6304</v>
      </c>
      <c r="G78" s="266" t="s">
        <v>551</v>
      </c>
      <c r="J78" s="111">
        <v>17.0</v>
      </c>
      <c r="K78" s="24">
        <v>458.0</v>
      </c>
      <c r="L78" s="24">
        <v>4.5393697E7</v>
      </c>
    </row>
    <row r="79">
      <c r="A79" s="266"/>
      <c r="B79" s="266">
        <v>5.0</v>
      </c>
      <c r="C79" s="266" t="s">
        <v>6306</v>
      </c>
      <c r="D79" s="266"/>
      <c r="E79" s="266"/>
      <c r="F79" s="266" t="s">
        <v>6304</v>
      </c>
      <c r="G79" s="266" t="s">
        <v>6944</v>
      </c>
      <c r="J79" s="111">
        <v>44.0</v>
      </c>
      <c r="K79" s="24">
        <v>488.0</v>
      </c>
      <c r="L79" s="24">
        <v>1.4619831E7</v>
      </c>
    </row>
    <row r="80">
      <c r="J80" s="111">
        <v>2.0</v>
      </c>
      <c r="K80" s="24">
        <v>334.0</v>
      </c>
      <c r="L80" s="24">
        <v>9.8274377E7</v>
      </c>
    </row>
    <row r="81">
      <c r="J81" s="111">
        <v>11.0</v>
      </c>
      <c r="K81" s="24">
        <v>939.0</v>
      </c>
      <c r="L81" s="24">
        <v>5.7497106E7</v>
      </c>
    </row>
    <row r="82">
      <c r="J82" s="111">
        <v>37.0</v>
      </c>
      <c r="K82" s="24">
        <v>761.0</v>
      </c>
      <c r="L82" s="24">
        <v>8.3549247E7</v>
      </c>
    </row>
    <row r="83">
      <c r="J83" s="111">
        <v>38.0</v>
      </c>
      <c r="K83" s="24">
        <v>134.0</v>
      </c>
      <c r="L83" s="24">
        <v>5.2396495E7</v>
      </c>
    </row>
    <row r="84">
      <c r="J84" s="111">
        <v>21.0</v>
      </c>
      <c r="K84" s="24">
        <v>722.0</v>
      </c>
      <c r="L84" s="24">
        <v>6.077318E7</v>
      </c>
    </row>
    <row r="85">
      <c r="J85" s="111">
        <v>25.0</v>
      </c>
      <c r="K85" s="24">
        <v>520.0</v>
      </c>
      <c r="L85" s="24">
        <v>7.3524505E7</v>
      </c>
    </row>
    <row r="86">
      <c r="J86" s="111">
        <v>42.0</v>
      </c>
      <c r="K86" s="24">
        <v>372.0</v>
      </c>
      <c r="L86" s="24">
        <v>8.2687659E7</v>
      </c>
    </row>
    <row r="87">
      <c r="J87" s="111">
        <v>17.0</v>
      </c>
      <c r="K87" s="24">
        <v>230.0</v>
      </c>
      <c r="L87" s="24">
        <v>3.8863789E7</v>
      </c>
    </row>
    <row r="88">
      <c r="J88" s="111">
        <v>17.0</v>
      </c>
      <c r="K88" s="24">
        <v>254.0</v>
      </c>
      <c r="L88" s="24">
        <v>6.5530559E7</v>
      </c>
    </row>
    <row r="89">
      <c r="J89" s="111">
        <v>55.0</v>
      </c>
      <c r="K89" s="24">
        <v>933.0</v>
      </c>
      <c r="L89" s="24">
        <v>8.2216577E7</v>
      </c>
    </row>
    <row r="90">
      <c r="J90" s="111">
        <v>12.0</v>
      </c>
      <c r="K90" s="24">
        <v>883.0</v>
      </c>
      <c r="L90" s="24">
        <v>9.4668099E7</v>
      </c>
    </row>
    <row r="91">
      <c r="J91" s="111">
        <v>1.0</v>
      </c>
      <c r="K91" s="24">
        <v>348.0</v>
      </c>
      <c r="L91" s="24">
        <v>2.5557473E7</v>
      </c>
    </row>
    <row r="92">
      <c r="J92" s="111">
        <v>24.0</v>
      </c>
      <c r="K92" s="24">
        <v>854.0</v>
      </c>
      <c r="L92" s="24">
        <v>3.8973832E7</v>
      </c>
    </row>
    <row r="93">
      <c r="J93" s="111">
        <v>19.0</v>
      </c>
      <c r="K93" s="24">
        <v>688.0</v>
      </c>
      <c r="L93" s="24">
        <v>1.1063957E7</v>
      </c>
    </row>
    <row r="94">
      <c r="J94" s="111">
        <v>4.0</v>
      </c>
      <c r="K94" s="24">
        <v>261.0</v>
      </c>
      <c r="L94" s="24">
        <v>7.3270262E7</v>
      </c>
    </row>
    <row r="95">
      <c r="J95" s="111">
        <v>4.0</v>
      </c>
      <c r="K95" s="24">
        <v>724.0</v>
      </c>
      <c r="L95" s="24">
        <v>4.2111461E7</v>
      </c>
    </row>
    <row r="96">
      <c r="J96" s="111">
        <v>9.0</v>
      </c>
      <c r="K96" s="24">
        <v>213.0</v>
      </c>
      <c r="L96" s="24">
        <v>2.7742423E7</v>
      </c>
    </row>
    <row r="97">
      <c r="J97" s="111">
        <v>35.0</v>
      </c>
      <c r="K97" s="24">
        <v>118.0</v>
      </c>
      <c r="L97" s="24">
        <v>6.6171119E7</v>
      </c>
    </row>
    <row r="98">
      <c r="J98" s="111">
        <v>1.0</v>
      </c>
      <c r="K98" s="24">
        <v>709.0</v>
      </c>
      <c r="L98" s="24">
        <v>4.8616972E7</v>
      </c>
    </row>
    <row r="99">
      <c r="J99" s="111">
        <v>44.0</v>
      </c>
      <c r="K99" s="24">
        <v>664.0</v>
      </c>
      <c r="L99" s="24">
        <v>2.2093289E7</v>
      </c>
    </row>
    <row r="100">
      <c r="J100" s="111">
        <v>38.0</v>
      </c>
      <c r="K100" s="24">
        <v>443.0</v>
      </c>
      <c r="L100" s="24">
        <v>1.6231061E7</v>
      </c>
    </row>
    <row r="101">
      <c r="J101" s="111">
        <v>23.0</v>
      </c>
      <c r="K101" s="24">
        <v>907.0</v>
      </c>
      <c r="L101" s="24">
        <v>8.9116335E7</v>
      </c>
    </row>
    <row r="102">
      <c r="J102" s="111">
        <v>30.0</v>
      </c>
      <c r="K102" s="24">
        <v>313.0</v>
      </c>
      <c r="L102" s="24">
        <v>3.5973108E7</v>
      </c>
    </row>
    <row r="103">
      <c r="J103" s="111">
        <v>38.0</v>
      </c>
      <c r="K103" s="24">
        <v>723.0</v>
      </c>
      <c r="L103" s="24">
        <v>7.6547218E7</v>
      </c>
    </row>
    <row r="104">
      <c r="J104" s="111">
        <v>42.0</v>
      </c>
      <c r="K104" s="24">
        <v>175.0</v>
      </c>
      <c r="L104" s="24">
        <v>2.5872762E7</v>
      </c>
    </row>
    <row r="105">
      <c r="J105" s="111">
        <v>20.0</v>
      </c>
      <c r="K105" s="24">
        <v>922.0</v>
      </c>
      <c r="L105" s="24">
        <v>1.4412194E7</v>
      </c>
    </row>
    <row r="106">
      <c r="J106" s="111">
        <v>16.0</v>
      </c>
      <c r="K106" s="24">
        <v>409.0</v>
      </c>
      <c r="L106" s="24">
        <v>4.2514774E7</v>
      </c>
    </row>
    <row r="107">
      <c r="J107" s="111">
        <v>1.0</v>
      </c>
      <c r="K107" s="24">
        <v>128.0</v>
      </c>
      <c r="L107" s="24">
        <v>9.1605401E7</v>
      </c>
    </row>
    <row r="108">
      <c r="J108" s="111">
        <v>12.0</v>
      </c>
      <c r="K108" s="24">
        <v>113.0</v>
      </c>
      <c r="L108" s="24">
        <v>8.9359264E7</v>
      </c>
    </row>
    <row r="109">
      <c r="J109" s="111">
        <v>20.0</v>
      </c>
      <c r="K109" s="24">
        <v>998.0</v>
      </c>
      <c r="L109" s="24">
        <v>7.9173826E7</v>
      </c>
    </row>
    <row r="110">
      <c r="J110" s="111">
        <v>17.0</v>
      </c>
      <c r="K110" s="24">
        <v>981.0</v>
      </c>
      <c r="L110" s="24">
        <v>1.8831229E7</v>
      </c>
    </row>
    <row r="111">
      <c r="J111" s="111">
        <v>4.0</v>
      </c>
      <c r="K111" s="24">
        <v>262.0</v>
      </c>
      <c r="L111" s="24">
        <v>8.3940103E7</v>
      </c>
    </row>
    <row r="112">
      <c r="J112" s="111">
        <v>16.0</v>
      </c>
      <c r="K112" s="24">
        <v>329.0</v>
      </c>
      <c r="L112" s="24">
        <v>1.7101509E7</v>
      </c>
    </row>
    <row r="113">
      <c r="J113" s="111">
        <v>37.0</v>
      </c>
      <c r="K113" s="24">
        <v>708.0</v>
      </c>
      <c r="L113" s="24">
        <v>5.071759E7</v>
      </c>
    </row>
    <row r="114">
      <c r="J114" s="111">
        <v>35.0</v>
      </c>
      <c r="K114" s="24">
        <v>187.0</v>
      </c>
      <c r="L114" s="24">
        <v>2.021565E7</v>
      </c>
    </row>
    <row r="115">
      <c r="J115" s="111">
        <v>27.0</v>
      </c>
      <c r="K115" s="24">
        <v>286.0</v>
      </c>
      <c r="L115" s="24">
        <v>8.133882E7</v>
      </c>
    </row>
    <row r="116">
      <c r="J116" s="111">
        <v>23.0</v>
      </c>
      <c r="K116" s="24">
        <v>470.0</v>
      </c>
      <c r="L116" s="24">
        <v>9.9402618E7</v>
      </c>
    </row>
    <row r="117">
      <c r="J117" s="111">
        <v>13.0</v>
      </c>
      <c r="K117" s="24">
        <v>324.0</v>
      </c>
      <c r="L117" s="24">
        <v>1.6288707E7</v>
      </c>
    </row>
    <row r="118">
      <c r="J118" s="111">
        <v>44.0</v>
      </c>
      <c r="K118" s="24">
        <v>309.0</v>
      </c>
      <c r="L118" s="24">
        <v>5.6173135E7</v>
      </c>
    </row>
    <row r="119">
      <c r="J119" s="111">
        <v>48.0</v>
      </c>
      <c r="K119" s="24">
        <v>645.0</v>
      </c>
      <c r="L119" s="24">
        <v>8.2066599E7</v>
      </c>
    </row>
    <row r="120">
      <c r="J120" s="111">
        <v>31.0</v>
      </c>
      <c r="K120" s="24">
        <v>871.0</v>
      </c>
      <c r="L120" s="24">
        <v>5.244276E7</v>
      </c>
    </row>
    <row r="121">
      <c r="J121" s="111">
        <v>17.0</v>
      </c>
      <c r="K121" s="24">
        <v>502.0</v>
      </c>
      <c r="L121" s="24">
        <v>3.4661551E7</v>
      </c>
    </row>
    <row r="122">
      <c r="J122" s="111">
        <v>24.0</v>
      </c>
      <c r="K122" s="24">
        <v>696.0</v>
      </c>
      <c r="L122" s="24">
        <v>4.522389E7</v>
      </c>
    </row>
    <row r="123">
      <c r="J123" s="111">
        <v>42.0</v>
      </c>
      <c r="K123" s="24">
        <v>796.0</v>
      </c>
      <c r="L123" s="24">
        <v>9.3030362E7</v>
      </c>
    </row>
    <row r="124">
      <c r="J124" s="111">
        <v>31.0</v>
      </c>
      <c r="K124" s="24">
        <v>727.0</v>
      </c>
      <c r="L124" s="24">
        <v>7.6884079E7</v>
      </c>
    </row>
    <row r="125">
      <c r="J125" s="111">
        <v>28.0</v>
      </c>
      <c r="K125" s="24">
        <v>922.0</v>
      </c>
      <c r="L125" s="24">
        <v>7.7118324E7</v>
      </c>
    </row>
    <row r="126">
      <c r="J126" s="111">
        <v>50.0</v>
      </c>
      <c r="K126" s="24">
        <v>225.0</v>
      </c>
      <c r="L126" s="24">
        <v>3.5164666E7</v>
      </c>
    </row>
    <row r="127">
      <c r="J127" s="111">
        <v>54.0</v>
      </c>
      <c r="K127" s="24">
        <v>131.0</v>
      </c>
      <c r="L127" s="24">
        <v>5.0444148E7</v>
      </c>
    </row>
    <row r="128">
      <c r="J128" s="111">
        <v>23.0</v>
      </c>
      <c r="K128" s="24">
        <v>822.0</v>
      </c>
      <c r="L128" s="24">
        <v>4.4223839E7</v>
      </c>
    </row>
    <row r="129">
      <c r="J129" s="111">
        <v>21.0</v>
      </c>
      <c r="K129" s="24">
        <v>391.0</v>
      </c>
      <c r="L129" s="24">
        <v>9.2019032E7</v>
      </c>
    </row>
    <row r="130">
      <c r="J130" s="111">
        <v>8.0</v>
      </c>
      <c r="K130" s="24">
        <v>584.0</v>
      </c>
      <c r="L130" s="24">
        <v>2.3971117E7</v>
      </c>
    </row>
    <row r="131">
      <c r="J131" s="111">
        <v>29.0</v>
      </c>
      <c r="K131" s="24">
        <v>648.0</v>
      </c>
      <c r="L131" s="24">
        <v>7.7726066E7</v>
      </c>
    </row>
    <row r="132">
      <c r="J132" s="111">
        <v>30.0</v>
      </c>
      <c r="K132" s="24">
        <v>964.0</v>
      </c>
      <c r="L132" s="24">
        <v>4.1461726E7</v>
      </c>
    </row>
    <row r="133">
      <c r="J133" s="111">
        <v>6.0</v>
      </c>
      <c r="K133" s="24">
        <v>840.0</v>
      </c>
      <c r="L133" s="24">
        <v>1.9393454E7</v>
      </c>
    </row>
    <row r="134">
      <c r="J134" s="111">
        <v>44.0</v>
      </c>
      <c r="K134" s="24">
        <v>513.0</v>
      </c>
      <c r="L134" s="24">
        <v>4.4806265E7</v>
      </c>
    </row>
    <row r="135">
      <c r="J135" s="111">
        <v>4.0</v>
      </c>
      <c r="K135" s="24">
        <v>879.0</v>
      </c>
      <c r="L135" s="24">
        <v>5.9591296E7</v>
      </c>
    </row>
    <row r="136">
      <c r="J136" s="111">
        <v>46.0</v>
      </c>
      <c r="K136" s="24">
        <v>366.0</v>
      </c>
      <c r="L136" s="24">
        <v>4.1258536E7</v>
      </c>
    </row>
    <row r="137">
      <c r="J137" s="111">
        <v>11.0</v>
      </c>
      <c r="K137" s="24">
        <v>163.0</v>
      </c>
      <c r="L137" s="24">
        <v>7.0874007E7</v>
      </c>
    </row>
    <row r="138">
      <c r="J138" s="111">
        <v>11.0</v>
      </c>
      <c r="K138" s="24">
        <v>452.0</v>
      </c>
      <c r="L138" s="24">
        <v>9.0051617E7</v>
      </c>
    </row>
    <row r="139">
      <c r="J139" s="111">
        <v>6.0</v>
      </c>
      <c r="K139" s="24">
        <v>150.0</v>
      </c>
      <c r="L139" s="24">
        <v>8.0053345E7</v>
      </c>
    </row>
    <row r="140">
      <c r="J140" s="111">
        <v>24.0</v>
      </c>
      <c r="K140" s="24">
        <v>464.0</v>
      </c>
      <c r="L140" s="24">
        <v>2.5070732E7</v>
      </c>
    </row>
    <row r="141">
      <c r="J141" s="111">
        <v>46.0</v>
      </c>
      <c r="K141" s="24">
        <v>973.0</v>
      </c>
      <c r="L141" s="24">
        <v>2.4052749E7</v>
      </c>
    </row>
    <row r="142">
      <c r="J142" s="111">
        <v>49.0</v>
      </c>
      <c r="K142" s="24">
        <v>224.0</v>
      </c>
      <c r="L142" s="24">
        <v>6.1924478E7</v>
      </c>
    </row>
    <row r="143">
      <c r="J143" s="111">
        <v>31.0</v>
      </c>
      <c r="K143" s="24">
        <v>129.0</v>
      </c>
      <c r="L143" s="24">
        <v>8.651139E7</v>
      </c>
    </row>
    <row r="144">
      <c r="J144" s="111">
        <v>29.0</v>
      </c>
      <c r="K144" s="24">
        <v>537.0</v>
      </c>
      <c r="L144" s="24">
        <v>4.9976787E7</v>
      </c>
    </row>
    <row r="145">
      <c r="J145" s="111">
        <v>38.0</v>
      </c>
      <c r="K145" s="24">
        <v>375.0</v>
      </c>
      <c r="L145" s="24">
        <v>3.2971184E7</v>
      </c>
    </row>
    <row r="146">
      <c r="J146" s="111">
        <v>35.0</v>
      </c>
      <c r="K146" s="24">
        <v>390.0</v>
      </c>
      <c r="L146" s="24">
        <v>1.8551565E7</v>
      </c>
    </row>
    <row r="147">
      <c r="J147" s="111">
        <v>50.0</v>
      </c>
      <c r="K147" s="24">
        <v>668.0</v>
      </c>
      <c r="L147" s="24">
        <v>4.3165906E7</v>
      </c>
    </row>
    <row r="148">
      <c r="J148" s="111">
        <v>8.0</v>
      </c>
      <c r="K148" s="24">
        <v>250.0</v>
      </c>
      <c r="L148" s="24">
        <v>8.5206555E7</v>
      </c>
    </row>
    <row r="149">
      <c r="J149" s="111">
        <v>25.0</v>
      </c>
      <c r="K149" s="24">
        <v>960.0</v>
      </c>
      <c r="L149" s="24">
        <v>2.5948614E7</v>
      </c>
    </row>
    <row r="150">
      <c r="J150" s="111">
        <v>11.0</v>
      </c>
      <c r="K150" s="24">
        <v>469.0</v>
      </c>
      <c r="L150" s="24">
        <v>7.7946733E7</v>
      </c>
    </row>
    <row r="151">
      <c r="J151" s="111">
        <v>9.0</v>
      </c>
      <c r="K151" s="24">
        <v>791.0</v>
      </c>
      <c r="L151" s="24">
        <v>5.1805135E7</v>
      </c>
    </row>
    <row r="152">
      <c r="J152" s="111">
        <v>31.0</v>
      </c>
      <c r="K152" s="24">
        <v>896.0</v>
      </c>
      <c r="L152" s="24">
        <v>6.6095539E7</v>
      </c>
    </row>
    <row r="153">
      <c r="J153" s="111">
        <v>50.0</v>
      </c>
      <c r="K153" s="24">
        <v>707.0</v>
      </c>
      <c r="L153" s="24">
        <v>7.4626661E7</v>
      </c>
    </row>
    <row r="154">
      <c r="J154" s="111">
        <v>28.0</v>
      </c>
      <c r="K154" s="24">
        <v>404.0</v>
      </c>
      <c r="L154" s="24">
        <v>6.6414573E7</v>
      </c>
    </row>
    <row r="155">
      <c r="J155" s="111">
        <v>42.0</v>
      </c>
      <c r="K155" s="24">
        <v>179.0</v>
      </c>
      <c r="L155" s="24">
        <v>3.9755731E7</v>
      </c>
    </row>
    <row r="156">
      <c r="J156" s="111">
        <v>1.0</v>
      </c>
      <c r="K156" s="24">
        <v>891.0</v>
      </c>
      <c r="L156" s="24">
        <v>3.296109E7</v>
      </c>
    </row>
    <row r="157">
      <c r="J157" s="111">
        <v>15.0</v>
      </c>
      <c r="K157" s="24">
        <v>938.0</v>
      </c>
      <c r="L157" s="24">
        <v>1.9077395E7</v>
      </c>
    </row>
    <row r="158">
      <c r="J158" s="111">
        <v>32.0</v>
      </c>
      <c r="K158" s="24">
        <v>591.0</v>
      </c>
      <c r="L158" s="24">
        <v>9.1713891E7</v>
      </c>
    </row>
    <row r="159">
      <c r="J159" s="111">
        <v>21.0</v>
      </c>
      <c r="K159" s="24">
        <v>205.0</v>
      </c>
      <c r="L159" s="24">
        <v>2.3360016E7</v>
      </c>
    </row>
    <row r="160">
      <c r="J160" s="111">
        <v>21.0</v>
      </c>
      <c r="K160" s="24">
        <v>221.0</v>
      </c>
      <c r="L160" s="24">
        <v>6.7574637E7</v>
      </c>
    </row>
    <row r="161">
      <c r="J161" s="111">
        <v>27.0</v>
      </c>
      <c r="K161" s="24">
        <v>902.0</v>
      </c>
      <c r="L161" s="24">
        <v>5.046398E7</v>
      </c>
    </row>
    <row r="162">
      <c r="J162" s="111">
        <v>35.0</v>
      </c>
      <c r="K162" s="24">
        <v>746.0</v>
      </c>
      <c r="L162" s="24">
        <v>7.0886521E7</v>
      </c>
    </row>
    <row r="163">
      <c r="J163" s="111">
        <v>26.0</v>
      </c>
      <c r="K163" s="24">
        <v>292.0</v>
      </c>
      <c r="L163" s="24">
        <v>3.4282817E7</v>
      </c>
    </row>
    <row r="164">
      <c r="J164" s="111">
        <v>53.0</v>
      </c>
      <c r="K164" s="24">
        <v>429.0</v>
      </c>
      <c r="L164" s="24">
        <v>7.0334928E7</v>
      </c>
    </row>
    <row r="165">
      <c r="J165" s="111">
        <v>20.0</v>
      </c>
      <c r="K165" s="24">
        <v>773.0</v>
      </c>
      <c r="L165" s="24">
        <v>8.0826268E7</v>
      </c>
    </row>
    <row r="166">
      <c r="J166" s="111">
        <v>6.0</v>
      </c>
      <c r="K166" s="24">
        <v>871.0</v>
      </c>
      <c r="L166" s="24">
        <v>2.8541367E7</v>
      </c>
    </row>
    <row r="167">
      <c r="J167" s="111">
        <v>5.0</v>
      </c>
      <c r="K167" s="24">
        <v>321.0</v>
      </c>
      <c r="L167" s="24">
        <v>6.0588189E7</v>
      </c>
    </row>
    <row r="168">
      <c r="J168" s="111">
        <v>8.0</v>
      </c>
      <c r="K168" s="24">
        <v>305.0</v>
      </c>
      <c r="L168" s="24">
        <v>8.9195277E7</v>
      </c>
    </row>
    <row r="169">
      <c r="J169" s="111">
        <v>8.0</v>
      </c>
      <c r="K169" s="24">
        <v>981.0</v>
      </c>
      <c r="L169" s="24">
        <v>1.2946203E7</v>
      </c>
    </row>
    <row r="170">
      <c r="J170" s="111">
        <v>12.0</v>
      </c>
      <c r="K170" s="24">
        <v>494.0</v>
      </c>
      <c r="L170" s="24">
        <v>8.919985E7</v>
      </c>
    </row>
    <row r="171">
      <c r="J171" s="111">
        <v>53.0</v>
      </c>
      <c r="K171" s="24">
        <v>442.0</v>
      </c>
      <c r="L171" s="24">
        <v>5.2144869E7</v>
      </c>
    </row>
    <row r="172">
      <c r="J172" s="111">
        <v>21.0</v>
      </c>
      <c r="K172" s="24">
        <v>712.0</v>
      </c>
      <c r="L172" s="24">
        <v>5.7632626E7</v>
      </c>
    </row>
    <row r="173">
      <c r="J173" s="111">
        <v>39.0</v>
      </c>
      <c r="K173" s="24">
        <v>989.0</v>
      </c>
      <c r="L173" s="24">
        <v>4.4943707E7</v>
      </c>
    </row>
    <row r="174">
      <c r="J174" s="111">
        <v>16.0</v>
      </c>
      <c r="K174" s="24">
        <v>239.0</v>
      </c>
      <c r="L174" s="24">
        <v>8.4723129E7</v>
      </c>
    </row>
    <row r="175">
      <c r="J175" s="111">
        <v>21.0</v>
      </c>
      <c r="K175" s="24">
        <v>775.0</v>
      </c>
      <c r="L175" s="24">
        <v>3.1161179E7</v>
      </c>
    </row>
    <row r="176">
      <c r="J176" s="111">
        <v>35.0</v>
      </c>
      <c r="K176" s="24">
        <v>702.0</v>
      </c>
      <c r="L176" s="24">
        <v>8.3726989E7</v>
      </c>
    </row>
    <row r="177">
      <c r="J177" s="111">
        <v>34.0</v>
      </c>
      <c r="K177" s="24">
        <v>172.0</v>
      </c>
      <c r="L177" s="24">
        <v>5.9305962E7</v>
      </c>
    </row>
    <row r="178">
      <c r="J178" s="111">
        <v>13.0</v>
      </c>
      <c r="K178" s="24">
        <v>729.0</v>
      </c>
      <c r="L178" s="24">
        <v>8.6480756E7</v>
      </c>
    </row>
    <row r="179">
      <c r="J179" s="111">
        <v>49.0</v>
      </c>
      <c r="K179" s="24">
        <v>998.0</v>
      </c>
      <c r="L179" s="24">
        <v>8.8806943E7</v>
      </c>
    </row>
    <row r="180">
      <c r="J180" s="111">
        <v>22.0</v>
      </c>
      <c r="K180" s="24">
        <v>755.0</v>
      </c>
      <c r="L180" s="24">
        <v>3.2209948E7</v>
      </c>
    </row>
    <row r="181">
      <c r="J181" s="111">
        <v>30.0</v>
      </c>
      <c r="K181" s="24">
        <v>355.0</v>
      </c>
      <c r="L181" s="24">
        <v>4.862302E7</v>
      </c>
    </row>
    <row r="182">
      <c r="J182" s="111">
        <v>25.0</v>
      </c>
      <c r="K182" s="24">
        <v>935.0</v>
      </c>
      <c r="L182" s="24">
        <v>6.6444158E7</v>
      </c>
    </row>
    <row r="183">
      <c r="J183" s="111">
        <v>2.0</v>
      </c>
      <c r="K183" s="24">
        <v>373.0</v>
      </c>
      <c r="L183" s="24">
        <v>3.1748689E7</v>
      </c>
    </row>
    <row r="184">
      <c r="J184" s="111">
        <v>34.0</v>
      </c>
      <c r="K184" s="24">
        <v>948.0</v>
      </c>
      <c r="L184" s="24">
        <v>5.4156965E7</v>
      </c>
    </row>
    <row r="185">
      <c r="J185" s="111">
        <v>56.0</v>
      </c>
      <c r="K185" s="24">
        <v>589.0</v>
      </c>
      <c r="L185" s="24">
        <v>9.7619222E7</v>
      </c>
    </row>
    <row r="186">
      <c r="J186" s="111">
        <v>2.0</v>
      </c>
      <c r="K186" s="24">
        <v>793.0</v>
      </c>
      <c r="L186" s="24">
        <v>8.1839638E7</v>
      </c>
    </row>
    <row r="187">
      <c r="J187" s="111">
        <v>24.0</v>
      </c>
      <c r="K187" s="24">
        <v>285.0</v>
      </c>
      <c r="L187" s="24">
        <v>9.0297512E7</v>
      </c>
    </row>
    <row r="188">
      <c r="J188" s="111">
        <v>25.0</v>
      </c>
      <c r="K188" s="24">
        <v>947.0</v>
      </c>
      <c r="L188" s="24">
        <v>8.9704384E7</v>
      </c>
    </row>
    <row r="189">
      <c r="J189" s="111">
        <v>36.0</v>
      </c>
      <c r="K189" s="24">
        <v>102.0</v>
      </c>
      <c r="L189" s="24">
        <v>4.1348829E7</v>
      </c>
    </row>
    <row r="190">
      <c r="J190" s="111">
        <v>32.0</v>
      </c>
      <c r="K190" s="24">
        <v>267.0</v>
      </c>
      <c r="L190" s="24">
        <v>5.3886347E7</v>
      </c>
    </row>
    <row r="191">
      <c r="J191" s="111">
        <v>51.0</v>
      </c>
      <c r="K191" s="24">
        <v>379.0</v>
      </c>
      <c r="L191" s="24">
        <v>5.865143E7</v>
      </c>
    </row>
    <row r="192">
      <c r="J192" s="111">
        <v>30.0</v>
      </c>
      <c r="K192" s="24">
        <v>150.0</v>
      </c>
      <c r="L192" s="24">
        <v>9.2671331E7</v>
      </c>
    </row>
    <row r="193">
      <c r="J193" s="111">
        <v>15.0</v>
      </c>
      <c r="K193" s="24">
        <v>254.0</v>
      </c>
      <c r="L193" s="24">
        <v>4.6639144E7</v>
      </c>
    </row>
    <row r="194">
      <c r="J194" s="111">
        <v>2.0</v>
      </c>
      <c r="K194" s="24">
        <v>318.0</v>
      </c>
      <c r="L194" s="24">
        <v>1.2456507E7</v>
      </c>
    </row>
    <row r="195">
      <c r="J195" s="111">
        <v>30.0</v>
      </c>
      <c r="K195" s="24">
        <v>859.0</v>
      </c>
      <c r="L195" s="24">
        <v>3.4080633E7</v>
      </c>
    </row>
    <row r="196">
      <c r="J196" s="111">
        <v>35.0</v>
      </c>
      <c r="K196" s="24">
        <v>324.0</v>
      </c>
      <c r="L196" s="24">
        <v>5.1123129E7</v>
      </c>
    </row>
    <row r="197">
      <c r="J197" s="111">
        <v>2.0</v>
      </c>
      <c r="K197" s="24">
        <v>768.0</v>
      </c>
      <c r="L197" s="24">
        <v>8.2622203E7</v>
      </c>
    </row>
    <row r="198">
      <c r="J198" s="111">
        <v>42.0</v>
      </c>
      <c r="K198" s="24">
        <v>354.0</v>
      </c>
      <c r="L198" s="24">
        <v>7.1649315E7</v>
      </c>
    </row>
    <row r="199">
      <c r="J199" s="111">
        <v>44.0</v>
      </c>
      <c r="K199" s="24">
        <v>644.0</v>
      </c>
      <c r="L199" s="24">
        <v>3.5487607E7</v>
      </c>
    </row>
    <row r="200">
      <c r="J200" s="111">
        <v>30.0</v>
      </c>
      <c r="K200" s="24">
        <v>834.0</v>
      </c>
      <c r="L200" s="24">
        <v>1.5860278E7</v>
      </c>
    </row>
    <row r="201">
      <c r="J201" s="111">
        <v>23.0</v>
      </c>
      <c r="K201" s="24">
        <v>609.0</v>
      </c>
      <c r="L201" s="24">
        <v>5.9376185E7</v>
      </c>
    </row>
    <row r="202">
      <c r="J202" s="111">
        <v>37.0</v>
      </c>
      <c r="K202" s="24">
        <v>958.0</v>
      </c>
      <c r="L202" s="24">
        <v>7.7768144E7</v>
      </c>
    </row>
    <row r="203">
      <c r="J203" s="111">
        <v>41.0</v>
      </c>
      <c r="K203" s="24">
        <v>306.0</v>
      </c>
      <c r="L203" s="24">
        <v>2.1143015E7</v>
      </c>
    </row>
    <row r="204">
      <c r="J204" s="111">
        <v>51.0</v>
      </c>
      <c r="K204" s="24">
        <v>658.0</v>
      </c>
      <c r="L204" s="24">
        <v>3.3307914E7</v>
      </c>
    </row>
    <row r="205">
      <c r="J205" s="111">
        <v>10.0</v>
      </c>
      <c r="K205" s="24">
        <v>619.0</v>
      </c>
      <c r="L205" s="24">
        <v>7.0479084E7</v>
      </c>
    </row>
    <row r="206">
      <c r="J206" s="111">
        <v>24.0</v>
      </c>
      <c r="K206" s="24">
        <v>592.0</v>
      </c>
      <c r="L206" s="24">
        <v>5.4446833E7</v>
      </c>
    </row>
    <row r="207">
      <c r="J207" s="111">
        <v>34.0</v>
      </c>
      <c r="K207" s="24">
        <v>867.0</v>
      </c>
      <c r="L207" s="24">
        <v>9.0306319E7</v>
      </c>
    </row>
    <row r="208">
      <c r="J208" s="111">
        <v>33.0</v>
      </c>
      <c r="K208" s="24">
        <v>568.0</v>
      </c>
      <c r="L208" s="24">
        <v>3.3037187E7</v>
      </c>
    </row>
    <row r="209">
      <c r="J209" s="111">
        <v>56.0</v>
      </c>
      <c r="K209" s="24">
        <v>117.0</v>
      </c>
      <c r="L209" s="24">
        <v>5.0362034E7</v>
      </c>
    </row>
    <row r="210">
      <c r="J210" s="111">
        <v>10.0</v>
      </c>
      <c r="K210" s="24">
        <v>621.0</v>
      </c>
      <c r="L210" s="24">
        <v>6.8286679E7</v>
      </c>
    </row>
    <row r="211">
      <c r="J211" s="111">
        <v>49.0</v>
      </c>
      <c r="K211" s="24">
        <v>870.0</v>
      </c>
      <c r="L211" s="24">
        <v>6.6683816E7</v>
      </c>
    </row>
    <row r="212">
      <c r="J212" s="111">
        <v>56.0</v>
      </c>
      <c r="K212" s="24">
        <v>716.0</v>
      </c>
      <c r="L212" s="24">
        <v>7.7304592E7</v>
      </c>
    </row>
    <row r="213">
      <c r="J213" s="111">
        <v>40.0</v>
      </c>
      <c r="K213" s="24">
        <v>860.0</v>
      </c>
      <c r="L213" s="24">
        <v>5.6950015E7</v>
      </c>
    </row>
    <row r="214">
      <c r="J214" s="111">
        <v>13.0</v>
      </c>
      <c r="K214" s="24">
        <v>312.0</v>
      </c>
      <c r="L214" s="24">
        <v>3.7172741E7</v>
      </c>
    </row>
    <row r="215">
      <c r="J215" s="111">
        <v>15.0</v>
      </c>
      <c r="K215" s="24">
        <v>326.0</v>
      </c>
      <c r="L215" s="24">
        <v>8.9900683E7</v>
      </c>
    </row>
    <row r="216">
      <c r="J216" s="111">
        <v>32.0</v>
      </c>
      <c r="K216" s="24">
        <v>536.0</v>
      </c>
      <c r="L216" s="24">
        <v>7.7159606E7</v>
      </c>
    </row>
    <row r="217">
      <c r="J217" s="111">
        <v>49.0</v>
      </c>
      <c r="K217" s="24">
        <v>222.0</v>
      </c>
      <c r="L217" s="24">
        <v>2.8826476E7</v>
      </c>
    </row>
    <row r="218">
      <c r="J218" s="111">
        <v>32.0</v>
      </c>
      <c r="K218" s="24">
        <v>351.0</v>
      </c>
      <c r="L218" s="24">
        <v>6.0481347E7</v>
      </c>
    </row>
    <row r="219">
      <c r="J219" s="111">
        <v>2.0</v>
      </c>
      <c r="K219" s="24">
        <v>556.0</v>
      </c>
      <c r="L219" s="24">
        <v>7.1411726E7</v>
      </c>
    </row>
    <row r="220">
      <c r="J220" s="111">
        <v>32.0</v>
      </c>
      <c r="K220" s="24">
        <v>669.0</v>
      </c>
      <c r="L220" s="24">
        <v>8.8804318E7</v>
      </c>
    </row>
    <row r="221">
      <c r="J221" s="111">
        <v>11.0</v>
      </c>
      <c r="K221" s="24">
        <v>645.0</v>
      </c>
      <c r="L221" s="24">
        <v>1.5803634E7</v>
      </c>
    </row>
    <row r="222">
      <c r="J222" s="111">
        <v>1.0</v>
      </c>
      <c r="K222" s="24">
        <v>496.0</v>
      </c>
      <c r="L222" s="24">
        <v>3.8471535E7</v>
      </c>
    </row>
    <row r="223">
      <c r="J223" s="111">
        <v>37.0</v>
      </c>
      <c r="K223" s="24">
        <v>118.0</v>
      </c>
      <c r="L223" s="24">
        <v>6.5128556E7</v>
      </c>
    </row>
    <row r="224">
      <c r="J224" s="111">
        <v>1.0</v>
      </c>
      <c r="K224" s="24">
        <v>133.0</v>
      </c>
      <c r="L224" s="24">
        <v>1.8082802E7</v>
      </c>
    </row>
    <row r="225">
      <c r="J225" s="111">
        <v>56.0</v>
      </c>
      <c r="K225" s="24">
        <v>383.0</v>
      </c>
      <c r="L225" s="24">
        <v>4.4049315E7</v>
      </c>
    </row>
    <row r="226">
      <c r="J226" s="111">
        <v>23.0</v>
      </c>
      <c r="K226" s="24">
        <v>641.0</v>
      </c>
      <c r="L226" s="24">
        <v>1.2901455E7</v>
      </c>
    </row>
    <row r="227">
      <c r="J227" s="111">
        <v>30.0</v>
      </c>
      <c r="K227" s="24">
        <v>413.0</v>
      </c>
      <c r="L227" s="24">
        <v>4.5825218E7</v>
      </c>
    </row>
    <row r="228">
      <c r="J228" s="111">
        <v>56.0</v>
      </c>
      <c r="K228" s="24">
        <v>872.0</v>
      </c>
      <c r="L228" s="24">
        <v>7.9878498E7</v>
      </c>
    </row>
    <row r="229">
      <c r="J229" s="111">
        <v>38.0</v>
      </c>
      <c r="K229" s="24">
        <v>971.0</v>
      </c>
      <c r="L229" s="24">
        <v>6.7663292E7</v>
      </c>
    </row>
    <row r="230">
      <c r="J230" s="111">
        <v>31.0</v>
      </c>
      <c r="K230" s="24">
        <v>915.0</v>
      </c>
      <c r="L230" s="24">
        <v>2.3638627E7</v>
      </c>
    </row>
    <row r="231">
      <c r="J231" s="111">
        <v>23.0</v>
      </c>
      <c r="K231" s="24">
        <v>140.0</v>
      </c>
      <c r="L231" s="24">
        <v>2.5126955E7</v>
      </c>
    </row>
    <row r="232">
      <c r="J232" s="111">
        <v>33.0</v>
      </c>
      <c r="K232" s="24">
        <v>737.0</v>
      </c>
      <c r="L232" s="24">
        <v>9.1372039E7</v>
      </c>
    </row>
    <row r="233">
      <c r="J233" s="111">
        <v>53.0</v>
      </c>
      <c r="K233" s="24">
        <v>656.0</v>
      </c>
      <c r="L233" s="24">
        <v>2.87653E7</v>
      </c>
    </row>
    <row r="234">
      <c r="J234" s="111">
        <v>41.0</v>
      </c>
      <c r="K234" s="24">
        <v>620.0</v>
      </c>
      <c r="L234" s="24">
        <v>1.3677577E7</v>
      </c>
    </row>
    <row r="235">
      <c r="J235" s="111">
        <v>56.0</v>
      </c>
      <c r="K235" s="24">
        <v>123.0</v>
      </c>
      <c r="L235" s="24">
        <v>5.4661802E7</v>
      </c>
    </row>
    <row r="236">
      <c r="J236" s="111">
        <v>15.0</v>
      </c>
      <c r="K236" s="24">
        <v>225.0</v>
      </c>
      <c r="L236" s="24">
        <v>8.1324325E7</v>
      </c>
    </row>
    <row r="237">
      <c r="J237" s="111">
        <v>25.0</v>
      </c>
      <c r="K237" s="24">
        <v>857.0</v>
      </c>
      <c r="L237" s="24">
        <v>9.7457554E7</v>
      </c>
    </row>
    <row r="238">
      <c r="J238" s="111">
        <v>13.0</v>
      </c>
      <c r="K238" s="24">
        <v>320.0</v>
      </c>
      <c r="L238" s="24">
        <v>8.7197323E7</v>
      </c>
    </row>
    <row r="239">
      <c r="J239" s="111">
        <v>35.0</v>
      </c>
      <c r="K239" s="24">
        <v>972.0</v>
      </c>
      <c r="L239" s="24">
        <v>3.0921145E7</v>
      </c>
    </row>
    <row r="240">
      <c r="J240" s="111">
        <v>15.0</v>
      </c>
      <c r="K240" s="24">
        <v>690.0</v>
      </c>
      <c r="L240" s="24">
        <v>8.8495167E7</v>
      </c>
    </row>
    <row r="241">
      <c r="J241" s="111">
        <v>48.0</v>
      </c>
      <c r="K241" s="24">
        <v>294.0</v>
      </c>
      <c r="L241" s="24">
        <v>2.651963E7</v>
      </c>
    </row>
    <row r="242">
      <c r="J242" s="111">
        <v>53.0</v>
      </c>
      <c r="K242" s="24">
        <v>299.0</v>
      </c>
      <c r="L242" s="24">
        <v>8.8604065E7</v>
      </c>
    </row>
    <row r="243">
      <c r="J243" s="111">
        <v>12.0</v>
      </c>
      <c r="K243" s="24">
        <v>512.0</v>
      </c>
      <c r="L243" s="24">
        <v>2.631324E7</v>
      </c>
    </row>
    <row r="244">
      <c r="J244" s="111">
        <v>29.0</v>
      </c>
      <c r="K244" s="24">
        <v>323.0</v>
      </c>
      <c r="L244" s="24">
        <v>2.7960211E7</v>
      </c>
    </row>
    <row r="245">
      <c r="J245" s="111">
        <v>6.0</v>
      </c>
      <c r="K245" s="24">
        <v>707.0</v>
      </c>
      <c r="L245" s="24">
        <v>7.7215311E7</v>
      </c>
    </row>
    <row r="246">
      <c r="J246" s="111">
        <v>20.0</v>
      </c>
      <c r="K246" s="24">
        <v>315.0</v>
      </c>
      <c r="L246" s="24">
        <v>1.7962156E7</v>
      </c>
    </row>
    <row r="247">
      <c r="J247" s="111">
        <v>26.0</v>
      </c>
      <c r="K247" s="24">
        <v>937.0</v>
      </c>
      <c r="L247" s="24">
        <v>5.5166647E7</v>
      </c>
    </row>
    <row r="248">
      <c r="J248" s="111">
        <v>1.0</v>
      </c>
      <c r="K248" s="24">
        <v>413.0</v>
      </c>
      <c r="L248" s="24">
        <v>6.4853214E7</v>
      </c>
    </row>
    <row r="249">
      <c r="J249" s="111">
        <v>6.0</v>
      </c>
      <c r="K249" s="24">
        <v>404.0</v>
      </c>
      <c r="L249" s="24">
        <v>9.5983477E7</v>
      </c>
    </row>
    <row r="250">
      <c r="J250" s="111">
        <v>22.0</v>
      </c>
      <c r="K250" s="24">
        <v>376.0</v>
      </c>
      <c r="L250" s="24">
        <v>8.7487679E7</v>
      </c>
    </row>
    <row r="251">
      <c r="J251" s="111">
        <v>41.0</v>
      </c>
      <c r="K251" s="24">
        <v>515.0</v>
      </c>
      <c r="L251" s="24">
        <v>1.160869E7</v>
      </c>
    </row>
    <row r="252">
      <c r="J252" s="111">
        <v>18.0</v>
      </c>
      <c r="K252" s="24">
        <v>489.0</v>
      </c>
      <c r="L252" s="24">
        <v>2.3861108E7</v>
      </c>
    </row>
    <row r="253">
      <c r="J253" s="111">
        <v>20.0</v>
      </c>
      <c r="K253" s="24">
        <v>714.0</v>
      </c>
      <c r="L253" s="24">
        <v>2.1907108E7</v>
      </c>
    </row>
    <row r="254">
      <c r="J254" s="111">
        <v>20.0</v>
      </c>
      <c r="K254" s="24">
        <v>530.0</v>
      </c>
      <c r="L254" s="24">
        <v>4.4942607E7</v>
      </c>
    </row>
    <row r="255">
      <c r="J255" s="111">
        <v>25.0</v>
      </c>
      <c r="K255" s="24">
        <v>783.0</v>
      </c>
      <c r="L255" s="24">
        <v>9.3311748E7</v>
      </c>
    </row>
    <row r="256">
      <c r="J256" s="111">
        <v>47.0</v>
      </c>
      <c r="K256" s="24">
        <v>290.0</v>
      </c>
      <c r="L256" s="24">
        <v>5.7804713E7</v>
      </c>
    </row>
    <row r="257">
      <c r="J257" s="111">
        <v>1.0</v>
      </c>
      <c r="K257" s="24">
        <v>964.0</v>
      </c>
      <c r="L257" s="24">
        <v>9.6133149E7</v>
      </c>
    </row>
    <row r="258">
      <c r="J258" s="111">
        <v>44.0</v>
      </c>
      <c r="K258" s="24">
        <v>874.0</v>
      </c>
      <c r="L258" s="24">
        <v>1.1891448E7</v>
      </c>
    </row>
    <row r="259">
      <c r="J259" s="111">
        <v>53.0</v>
      </c>
      <c r="K259" s="24">
        <v>296.0</v>
      </c>
      <c r="L259" s="24">
        <v>6.873187E7</v>
      </c>
    </row>
    <row r="260">
      <c r="J260" s="111">
        <v>22.0</v>
      </c>
      <c r="K260" s="24">
        <v>974.0</v>
      </c>
      <c r="L260" s="24">
        <v>8.2025393E7</v>
      </c>
    </row>
    <row r="261">
      <c r="J261" s="111">
        <v>24.0</v>
      </c>
      <c r="K261" s="24">
        <v>546.0</v>
      </c>
      <c r="L261" s="24">
        <v>3.1723056E7</v>
      </c>
    </row>
    <row r="262">
      <c r="J262" s="111">
        <v>16.0</v>
      </c>
      <c r="K262" s="24">
        <v>138.0</v>
      </c>
      <c r="L262" s="24">
        <v>5.7466309E7</v>
      </c>
    </row>
    <row r="263">
      <c r="J263" s="111">
        <v>8.0</v>
      </c>
      <c r="K263" s="24">
        <v>179.0</v>
      </c>
      <c r="L263" s="24">
        <v>7.3146653E7</v>
      </c>
    </row>
    <row r="264">
      <c r="J264" s="111">
        <v>9.0</v>
      </c>
      <c r="K264" s="24">
        <v>982.0</v>
      </c>
      <c r="L264" s="24">
        <v>7.2571861E7</v>
      </c>
    </row>
    <row r="265">
      <c r="J265" s="111">
        <v>47.0</v>
      </c>
      <c r="K265" s="24">
        <v>242.0</v>
      </c>
      <c r="L265" s="24">
        <v>4.0434118E7</v>
      </c>
    </row>
    <row r="266">
      <c r="J266" s="111">
        <v>9.0</v>
      </c>
      <c r="K266" s="24">
        <v>650.0</v>
      </c>
      <c r="L266" s="24">
        <v>2.4259989E7</v>
      </c>
    </row>
    <row r="267">
      <c r="J267" s="111">
        <v>12.0</v>
      </c>
      <c r="K267" s="24">
        <v>994.0</v>
      </c>
      <c r="L267" s="24">
        <v>8.3289181E7</v>
      </c>
    </row>
    <row r="268">
      <c r="J268" s="111">
        <v>24.0</v>
      </c>
      <c r="K268" s="24">
        <v>703.0</v>
      </c>
      <c r="L268" s="24">
        <v>9.0895855E7</v>
      </c>
    </row>
    <row r="269">
      <c r="J269" s="111">
        <v>30.0</v>
      </c>
      <c r="K269" s="24">
        <v>946.0</v>
      </c>
      <c r="L269" s="24">
        <v>4.4847848E7</v>
      </c>
    </row>
    <row r="270">
      <c r="J270" s="111">
        <v>26.0</v>
      </c>
      <c r="K270" s="24">
        <v>523.0</v>
      </c>
      <c r="L270" s="24">
        <v>7.8033073E7</v>
      </c>
    </row>
    <row r="271">
      <c r="J271" s="111">
        <v>54.0</v>
      </c>
      <c r="K271" s="24">
        <v>516.0</v>
      </c>
      <c r="L271" s="24">
        <v>9.3753288E7</v>
      </c>
    </row>
    <row r="272">
      <c r="J272" s="111">
        <v>20.0</v>
      </c>
      <c r="K272" s="24">
        <v>813.0</v>
      </c>
      <c r="L272" s="24">
        <v>6.5182985E7</v>
      </c>
    </row>
    <row r="273">
      <c r="J273" s="111">
        <v>35.0</v>
      </c>
      <c r="K273" s="24">
        <v>243.0</v>
      </c>
      <c r="L273" s="24">
        <v>6.7174467E7</v>
      </c>
    </row>
    <row r="274">
      <c r="J274" s="111">
        <v>48.0</v>
      </c>
      <c r="K274" s="24">
        <v>555.0</v>
      </c>
      <c r="L274" s="24">
        <v>1.1308127E7</v>
      </c>
    </row>
    <row r="275">
      <c r="J275" s="111">
        <v>53.0</v>
      </c>
      <c r="K275" s="24">
        <v>250.0</v>
      </c>
      <c r="L275" s="24">
        <v>2.7737199E7</v>
      </c>
    </row>
    <row r="276">
      <c r="J276" s="111">
        <v>9.0</v>
      </c>
      <c r="K276" s="24">
        <v>670.0</v>
      </c>
      <c r="L276" s="24">
        <v>1.122347E7</v>
      </c>
    </row>
    <row r="277">
      <c r="J277" s="111">
        <v>38.0</v>
      </c>
      <c r="K277" s="24">
        <v>899.0</v>
      </c>
      <c r="L277" s="24">
        <v>4.0599389E7</v>
      </c>
    </row>
    <row r="278">
      <c r="J278" s="111">
        <v>6.0</v>
      </c>
      <c r="K278" s="24">
        <v>274.0</v>
      </c>
      <c r="L278" s="24">
        <v>4.8973805E7</v>
      </c>
    </row>
    <row r="279">
      <c r="J279" s="111">
        <v>1.0</v>
      </c>
      <c r="K279" s="24">
        <v>448.0</v>
      </c>
      <c r="L279" s="24">
        <v>9.5494488E7</v>
      </c>
    </row>
    <row r="280">
      <c r="J280" s="111">
        <v>13.0</v>
      </c>
      <c r="K280" s="24">
        <v>157.0</v>
      </c>
      <c r="L280" s="24">
        <v>7.1844737E7</v>
      </c>
    </row>
    <row r="281">
      <c r="J281" s="111">
        <v>17.0</v>
      </c>
      <c r="K281" s="24">
        <v>231.0</v>
      </c>
      <c r="L281" s="24">
        <v>5.8266508E7</v>
      </c>
    </row>
    <row r="282">
      <c r="J282" s="111">
        <v>1.0</v>
      </c>
      <c r="K282" s="24">
        <v>383.0</v>
      </c>
      <c r="L282" s="24">
        <v>6.1096959E7</v>
      </c>
    </row>
    <row r="283">
      <c r="J283" s="111">
        <v>26.0</v>
      </c>
      <c r="K283" s="24">
        <v>590.0</v>
      </c>
      <c r="L283" s="24">
        <v>3.2287813E7</v>
      </c>
    </row>
    <row r="284">
      <c r="J284" s="111">
        <v>22.0</v>
      </c>
      <c r="K284" s="24">
        <v>506.0</v>
      </c>
      <c r="L284" s="24">
        <v>9.9038444E7</v>
      </c>
    </row>
    <row r="285">
      <c r="J285" s="111">
        <v>15.0</v>
      </c>
      <c r="K285" s="24">
        <v>277.0</v>
      </c>
      <c r="L285" s="24">
        <v>5.8316703E7</v>
      </c>
    </row>
    <row r="286">
      <c r="J286" s="111">
        <v>18.0</v>
      </c>
      <c r="K286" s="24">
        <v>753.0</v>
      </c>
      <c r="L286" s="24">
        <v>5.1749251E7</v>
      </c>
    </row>
    <row r="287">
      <c r="J287" s="111">
        <v>20.0</v>
      </c>
      <c r="K287" s="24">
        <v>401.0</v>
      </c>
      <c r="L287" s="24">
        <v>5.0611791E7</v>
      </c>
    </row>
    <row r="288">
      <c r="J288" s="111">
        <v>19.0</v>
      </c>
      <c r="K288" s="24">
        <v>305.0</v>
      </c>
      <c r="L288" s="24">
        <v>3.6962698E7</v>
      </c>
    </row>
    <row r="289">
      <c r="J289" s="111">
        <v>13.0</v>
      </c>
      <c r="K289" s="24">
        <v>815.0</v>
      </c>
      <c r="L289" s="24">
        <v>3.0594175E7</v>
      </c>
    </row>
    <row r="290">
      <c r="J290" s="111">
        <v>9.0</v>
      </c>
      <c r="K290" s="24">
        <v>892.0</v>
      </c>
      <c r="L290" s="24">
        <v>1.0345468E7</v>
      </c>
    </row>
    <row r="291">
      <c r="J291" s="111">
        <v>47.0</v>
      </c>
      <c r="K291" s="24">
        <v>476.0</v>
      </c>
      <c r="L291" s="24">
        <v>6.5461027E7</v>
      </c>
    </row>
    <row r="292">
      <c r="J292" s="111">
        <v>32.0</v>
      </c>
      <c r="K292" s="24">
        <v>829.0</v>
      </c>
      <c r="L292" s="24">
        <v>1.7208961E7</v>
      </c>
    </row>
    <row r="293">
      <c r="J293" s="111">
        <v>50.0</v>
      </c>
      <c r="K293" s="24">
        <v>144.0</v>
      </c>
      <c r="L293" s="24">
        <v>1.3614763E7</v>
      </c>
    </row>
    <row r="294">
      <c r="J294" s="111">
        <v>42.0</v>
      </c>
      <c r="K294" s="24">
        <v>917.0</v>
      </c>
      <c r="L294" s="24">
        <v>1.3362377E7</v>
      </c>
    </row>
    <row r="295">
      <c r="J295" s="111">
        <v>27.0</v>
      </c>
      <c r="K295" s="24">
        <v>452.0</v>
      </c>
      <c r="L295" s="24">
        <v>3.5788486E7</v>
      </c>
    </row>
    <row r="296">
      <c r="J296" s="111">
        <v>20.0</v>
      </c>
      <c r="K296" s="24">
        <v>430.0</v>
      </c>
      <c r="L296" s="24">
        <v>3.2801763E7</v>
      </c>
    </row>
    <row r="297">
      <c r="J297" s="111">
        <v>49.0</v>
      </c>
      <c r="K297" s="24">
        <v>857.0</v>
      </c>
      <c r="L297" s="24">
        <v>3.4470488E7</v>
      </c>
    </row>
    <row r="298">
      <c r="J298" s="111">
        <v>47.0</v>
      </c>
      <c r="K298" s="24">
        <v>446.0</v>
      </c>
      <c r="L298" s="24">
        <v>8.0371203E7</v>
      </c>
    </row>
    <row r="299">
      <c r="J299" s="111">
        <v>16.0</v>
      </c>
      <c r="K299" s="24">
        <v>443.0</v>
      </c>
      <c r="L299" s="24">
        <v>6.0876663E7</v>
      </c>
    </row>
    <row r="300">
      <c r="J300" s="111">
        <v>41.0</v>
      </c>
      <c r="K300" s="24">
        <v>669.0</v>
      </c>
      <c r="L300" s="24">
        <v>5.9088998E7</v>
      </c>
    </row>
    <row r="301">
      <c r="J301" s="111">
        <v>21.0</v>
      </c>
      <c r="K301" s="24">
        <v>732.0</v>
      </c>
      <c r="L301" s="24">
        <v>2.3614218E7</v>
      </c>
    </row>
    <row r="302">
      <c r="J302" s="111">
        <v>18.0</v>
      </c>
      <c r="K302" s="24">
        <v>728.0</v>
      </c>
      <c r="L302" s="24">
        <v>2.1529804E7</v>
      </c>
    </row>
    <row r="303">
      <c r="J303" s="111">
        <v>25.0</v>
      </c>
      <c r="K303" s="24">
        <v>560.0</v>
      </c>
      <c r="L303" s="24">
        <v>8.9170102E7</v>
      </c>
    </row>
    <row r="304">
      <c r="J304" s="111">
        <v>53.0</v>
      </c>
      <c r="K304" s="24">
        <v>653.0</v>
      </c>
      <c r="L304" s="24">
        <v>6.5413263E7</v>
      </c>
    </row>
    <row r="305">
      <c r="J305" s="111">
        <v>19.0</v>
      </c>
      <c r="K305" s="24">
        <v>375.0</v>
      </c>
      <c r="L305" s="24">
        <v>9.4304688E7</v>
      </c>
    </row>
    <row r="306">
      <c r="J306" s="111">
        <v>28.0</v>
      </c>
      <c r="K306" s="24">
        <v>642.0</v>
      </c>
      <c r="L306" s="24">
        <v>5.9174006E7</v>
      </c>
    </row>
    <row r="307">
      <c r="J307" s="111">
        <v>36.0</v>
      </c>
      <c r="K307" s="24">
        <v>147.0</v>
      </c>
      <c r="L307" s="24">
        <v>5.0811708E7</v>
      </c>
    </row>
    <row r="308">
      <c r="J308" s="111">
        <v>55.0</v>
      </c>
      <c r="K308" s="24">
        <v>320.0</v>
      </c>
      <c r="L308" s="24">
        <v>9.9416394E7</v>
      </c>
    </row>
    <row r="309">
      <c r="J309" s="111">
        <v>55.0</v>
      </c>
      <c r="K309" s="24">
        <v>920.0</v>
      </c>
      <c r="L309" s="24">
        <v>4.3588094E7</v>
      </c>
    </row>
    <row r="310">
      <c r="J310" s="111">
        <v>22.0</v>
      </c>
      <c r="K310" s="24">
        <v>914.0</v>
      </c>
      <c r="L310" s="24">
        <v>3.1853873E7</v>
      </c>
    </row>
    <row r="311">
      <c r="J311" s="111">
        <v>4.0</v>
      </c>
      <c r="K311" s="24">
        <v>210.0</v>
      </c>
      <c r="L311" s="24">
        <v>1.3301842E7</v>
      </c>
    </row>
    <row r="312">
      <c r="J312" s="111">
        <v>25.0</v>
      </c>
      <c r="K312" s="24">
        <v>574.0</v>
      </c>
      <c r="L312" s="24">
        <v>7.4004205E7</v>
      </c>
    </row>
    <row r="313">
      <c r="J313" s="111">
        <v>56.0</v>
      </c>
      <c r="K313" s="24">
        <v>792.0</v>
      </c>
      <c r="L313" s="24">
        <v>5.9352586E7</v>
      </c>
    </row>
    <row r="314">
      <c r="J314" s="111">
        <v>45.0</v>
      </c>
      <c r="K314" s="24">
        <v>999.0</v>
      </c>
      <c r="L314" s="24">
        <v>1.2969438E7</v>
      </c>
    </row>
    <row r="315">
      <c r="J315" s="111">
        <v>5.0</v>
      </c>
      <c r="K315" s="24">
        <v>621.0</v>
      </c>
      <c r="L315" s="24">
        <v>2.3720439E7</v>
      </c>
    </row>
    <row r="316">
      <c r="J316" s="111">
        <v>23.0</v>
      </c>
      <c r="K316" s="24">
        <v>342.0</v>
      </c>
      <c r="L316" s="24">
        <v>8.1470692E7</v>
      </c>
    </row>
    <row r="317">
      <c r="J317" s="111">
        <v>40.0</v>
      </c>
      <c r="K317" s="24">
        <v>802.0</v>
      </c>
      <c r="L317" s="24">
        <v>8.4546162E7</v>
      </c>
    </row>
    <row r="318">
      <c r="J318" s="111">
        <v>13.0</v>
      </c>
      <c r="K318" s="24">
        <v>268.0</v>
      </c>
      <c r="L318" s="24">
        <v>4.0194313E7</v>
      </c>
    </row>
    <row r="319">
      <c r="J319" s="111">
        <v>53.0</v>
      </c>
      <c r="K319" s="24">
        <v>339.0</v>
      </c>
      <c r="L319" s="24">
        <v>5.3735604E7</v>
      </c>
    </row>
    <row r="320">
      <c r="J320" s="111">
        <v>28.0</v>
      </c>
      <c r="K320" s="24">
        <v>549.0</v>
      </c>
      <c r="L320" s="24">
        <v>5.5611856E7</v>
      </c>
    </row>
    <row r="321">
      <c r="J321" s="111">
        <v>16.0</v>
      </c>
      <c r="K321" s="24">
        <v>187.0</v>
      </c>
      <c r="L321" s="24">
        <v>1.4283517E7</v>
      </c>
    </row>
    <row r="322">
      <c r="J322" s="111">
        <v>51.0</v>
      </c>
      <c r="K322" s="24">
        <v>888.0</v>
      </c>
      <c r="L322" s="24">
        <v>8.0988688E7</v>
      </c>
    </row>
    <row r="323">
      <c r="J323" s="111">
        <v>42.0</v>
      </c>
      <c r="K323" s="24">
        <v>791.0</v>
      </c>
      <c r="L323" s="24">
        <v>5.9097843E7</v>
      </c>
    </row>
    <row r="324">
      <c r="J324" s="111">
        <v>21.0</v>
      </c>
      <c r="K324" s="24">
        <v>342.0</v>
      </c>
      <c r="L324" s="24">
        <v>2.6367847E7</v>
      </c>
    </row>
    <row r="325">
      <c r="J325" s="111">
        <v>25.0</v>
      </c>
      <c r="K325" s="24">
        <v>435.0</v>
      </c>
      <c r="L325" s="24">
        <v>7.8613427E7</v>
      </c>
    </row>
    <row r="326">
      <c r="J326" s="111">
        <v>18.0</v>
      </c>
      <c r="K326" s="24">
        <v>285.0</v>
      </c>
      <c r="L326" s="24">
        <v>2.1707583E7</v>
      </c>
    </row>
    <row r="327">
      <c r="J327" s="111">
        <v>30.0</v>
      </c>
      <c r="K327" s="24">
        <v>188.0</v>
      </c>
      <c r="L327" s="24">
        <v>8.6734077E7</v>
      </c>
    </row>
    <row r="328">
      <c r="J328" s="111">
        <v>6.0</v>
      </c>
      <c r="K328" s="24">
        <v>460.0</v>
      </c>
      <c r="L328" s="24">
        <v>3.5589542E7</v>
      </c>
    </row>
    <row r="329">
      <c r="J329" s="111">
        <v>37.0</v>
      </c>
      <c r="K329" s="24">
        <v>322.0</v>
      </c>
      <c r="L329" s="24">
        <v>6.6915758E7</v>
      </c>
    </row>
    <row r="330">
      <c r="J330" s="111">
        <v>13.0</v>
      </c>
      <c r="K330" s="24">
        <v>599.0</v>
      </c>
      <c r="L330" s="24">
        <v>3.730216E7</v>
      </c>
    </row>
    <row r="331">
      <c r="J331" s="111">
        <v>25.0</v>
      </c>
      <c r="K331" s="24">
        <v>899.0</v>
      </c>
      <c r="L331" s="24">
        <v>3.0817761E7</v>
      </c>
    </row>
    <row r="332">
      <c r="J332" s="111">
        <v>42.0</v>
      </c>
      <c r="K332" s="24">
        <v>249.0</v>
      </c>
      <c r="L332" s="24">
        <v>3.9097289E7</v>
      </c>
    </row>
    <row r="333">
      <c r="J333" s="111">
        <v>12.0</v>
      </c>
      <c r="K333" s="24">
        <v>650.0</v>
      </c>
      <c r="L333" s="24">
        <v>6.6266872E7</v>
      </c>
    </row>
    <row r="334">
      <c r="J334" s="111">
        <v>13.0</v>
      </c>
      <c r="K334" s="24">
        <v>455.0</v>
      </c>
      <c r="L334" s="24">
        <v>9.3443698E7</v>
      </c>
    </row>
    <row r="335">
      <c r="J335" s="111">
        <v>55.0</v>
      </c>
      <c r="K335" s="24">
        <v>716.0</v>
      </c>
      <c r="L335" s="24">
        <v>5.2937434E7</v>
      </c>
    </row>
    <row r="336">
      <c r="J336" s="111">
        <v>11.0</v>
      </c>
      <c r="K336" s="24">
        <v>581.0</v>
      </c>
      <c r="L336" s="24">
        <v>4.2911307E7</v>
      </c>
    </row>
    <row r="337">
      <c r="J337" s="111">
        <v>44.0</v>
      </c>
      <c r="K337" s="24">
        <v>897.0</v>
      </c>
      <c r="L337" s="24">
        <v>2.080646E7</v>
      </c>
    </row>
    <row r="338">
      <c r="J338" s="111">
        <v>39.0</v>
      </c>
      <c r="K338" s="24">
        <v>599.0</v>
      </c>
      <c r="L338" s="24">
        <v>2.2091799E7</v>
      </c>
    </row>
    <row r="339">
      <c r="J339" s="111">
        <v>2.0</v>
      </c>
      <c r="K339" s="24">
        <v>613.0</v>
      </c>
      <c r="L339" s="24">
        <v>7.5199554E7</v>
      </c>
    </row>
    <row r="340">
      <c r="J340" s="111">
        <v>15.0</v>
      </c>
      <c r="K340" s="24">
        <v>624.0</v>
      </c>
      <c r="L340" s="24">
        <v>9.0851134E7</v>
      </c>
    </row>
    <row r="341">
      <c r="J341" s="111">
        <v>33.0</v>
      </c>
      <c r="K341" s="24">
        <v>951.0</v>
      </c>
      <c r="L341" s="24">
        <v>2.8942758E7</v>
      </c>
    </row>
    <row r="342">
      <c r="J342" s="111">
        <v>17.0</v>
      </c>
      <c r="K342" s="24">
        <v>382.0</v>
      </c>
      <c r="L342" s="24">
        <v>4.2212558E7</v>
      </c>
    </row>
    <row r="343">
      <c r="J343" s="111">
        <v>38.0</v>
      </c>
      <c r="K343" s="24">
        <v>283.0</v>
      </c>
      <c r="L343" s="24">
        <v>5.9050756E7</v>
      </c>
    </row>
    <row r="344">
      <c r="J344" s="111">
        <v>12.0</v>
      </c>
      <c r="K344" s="24">
        <v>993.0</v>
      </c>
      <c r="L344" s="24">
        <v>1.2193512E7</v>
      </c>
    </row>
    <row r="345">
      <c r="J345" s="111">
        <v>5.0</v>
      </c>
      <c r="K345" s="24">
        <v>257.0</v>
      </c>
      <c r="L345" s="24">
        <v>7.145347E7</v>
      </c>
    </row>
    <row r="346">
      <c r="J346" s="111">
        <v>10.0</v>
      </c>
      <c r="K346" s="24">
        <v>867.0</v>
      </c>
      <c r="L346" s="24">
        <v>4.1942481E7</v>
      </c>
    </row>
    <row r="347">
      <c r="J347" s="111">
        <v>30.0</v>
      </c>
      <c r="K347" s="24">
        <v>331.0</v>
      </c>
      <c r="L347" s="24">
        <v>2.7083763E7</v>
      </c>
    </row>
    <row r="348">
      <c r="J348" s="111">
        <v>28.0</v>
      </c>
      <c r="K348" s="24">
        <v>127.0</v>
      </c>
      <c r="L348" s="24">
        <v>5.6385531E7</v>
      </c>
    </row>
    <row r="349">
      <c r="J349" s="111">
        <v>34.0</v>
      </c>
      <c r="K349" s="24">
        <v>607.0</v>
      </c>
      <c r="L349" s="24">
        <v>3.1380802E7</v>
      </c>
    </row>
    <row r="350">
      <c r="J350" s="111">
        <v>36.0</v>
      </c>
      <c r="K350" s="24">
        <v>398.0</v>
      </c>
      <c r="L350" s="24">
        <v>7.9634752E7</v>
      </c>
    </row>
    <row r="351">
      <c r="J351" s="111">
        <v>15.0</v>
      </c>
      <c r="K351" s="24">
        <v>787.0</v>
      </c>
      <c r="L351" s="24">
        <v>7.9888801E7</v>
      </c>
    </row>
    <row r="352">
      <c r="J352" s="111">
        <v>20.0</v>
      </c>
      <c r="K352" s="24">
        <v>875.0</v>
      </c>
      <c r="L352" s="24">
        <v>5.8614624E7</v>
      </c>
    </row>
    <row r="353">
      <c r="J353" s="111">
        <v>23.0</v>
      </c>
      <c r="K353" s="24">
        <v>148.0</v>
      </c>
      <c r="L353" s="24">
        <v>5.072928E7</v>
      </c>
    </row>
    <row r="354">
      <c r="J354" s="111">
        <v>34.0</v>
      </c>
      <c r="K354" s="24">
        <v>887.0</v>
      </c>
      <c r="L354" s="24">
        <v>1.3097392E7</v>
      </c>
    </row>
    <row r="355">
      <c r="J355" s="111">
        <v>56.0</v>
      </c>
      <c r="K355" s="24">
        <v>211.0</v>
      </c>
      <c r="L355" s="24">
        <v>1.1061475E7</v>
      </c>
    </row>
    <row r="356">
      <c r="J356" s="111">
        <v>50.0</v>
      </c>
      <c r="K356" s="24">
        <v>301.0</v>
      </c>
      <c r="L356" s="24">
        <v>1.1007173E7</v>
      </c>
    </row>
    <row r="357">
      <c r="J357" s="111">
        <v>33.0</v>
      </c>
      <c r="K357" s="24">
        <v>690.0</v>
      </c>
      <c r="L357" s="24">
        <v>9.17015E7</v>
      </c>
    </row>
    <row r="358">
      <c r="J358" s="111">
        <v>27.0</v>
      </c>
      <c r="K358" s="24">
        <v>549.0</v>
      </c>
      <c r="L358" s="24">
        <v>2.2577901E7</v>
      </c>
    </row>
    <row r="359">
      <c r="J359" s="111">
        <v>39.0</v>
      </c>
      <c r="K359" s="24">
        <v>176.0</v>
      </c>
      <c r="L359" s="24">
        <v>8.3620788E7</v>
      </c>
    </row>
    <row r="360">
      <c r="J360" s="111">
        <v>16.0</v>
      </c>
      <c r="K360" s="24">
        <v>824.0</v>
      </c>
      <c r="L360" s="24">
        <v>3.700717E7</v>
      </c>
    </row>
    <row r="361">
      <c r="J361" s="111">
        <v>35.0</v>
      </c>
      <c r="K361" s="24">
        <v>625.0</v>
      </c>
      <c r="L361" s="24">
        <v>3.3606246E7</v>
      </c>
    </row>
    <row r="362">
      <c r="J362" s="111">
        <v>39.0</v>
      </c>
      <c r="K362" s="24">
        <v>398.0</v>
      </c>
      <c r="L362" s="24">
        <v>5.5073956E7</v>
      </c>
    </row>
    <row r="363">
      <c r="J363" s="111">
        <v>22.0</v>
      </c>
      <c r="K363" s="24">
        <v>535.0</v>
      </c>
      <c r="L363" s="24">
        <v>7.5365478E7</v>
      </c>
    </row>
    <row r="364">
      <c r="J364" s="111">
        <v>50.0</v>
      </c>
      <c r="K364" s="24">
        <v>207.0</v>
      </c>
      <c r="L364" s="24">
        <v>8.1472487E7</v>
      </c>
    </row>
    <row r="365">
      <c r="J365" s="111">
        <v>45.0</v>
      </c>
      <c r="K365" s="24">
        <v>810.0</v>
      </c>
      <c r="L365" s="24">
        <v>3.2154906E7</v>
      </c>
    </row>
    <row r="366">
      <c r="J366" s="111">
        <v>4.0</v>
      </c>
      <c r="K366" s="24">
        <v>164.0</v>
      </c>
      <c r="L366" s="24">
        <v>2.5786812E7</v>
      </c>
    </row>
    <row r="367">
      <c r="J367" s="111">
        <v>20.0</v>
      </c>
      <c r="K367" s="24">
        <v>912.0</v>
      </c>
      <c r="L367" s="24">
        <v>3.0709598E7</v>
      </c>
    </row>
    <row r="368">
      <c r="J368" s="111">
        <v>24.0</v>
      </c>
      <c r="K368" s="24">
        <v>607.0</v>
      </c>
      <c r="L368" s="24">
        <v>5.8567057E7</v>
      </c>
    </row>
    <row r="369">
      <c r="J369" s="111">
        <v>25.0</v>
      </c>
      <c r="K369" s="24">
        <v>660.0</v>
      </c>
      <c r="L369" s="24">
        <v>8.495424E7</v>
      </c>
    </row>
    <row r="370">
      <c r="J370" s="111">
        <v>1.0</v>
      </c>
      <c r="K370" s="24">
        <v>886.0</v>
      </c>
      <c r="L370" s="24">
        <v>6.8489368E7</v>
      </c>
    </row>
    <row r="371">
      <c r="J371" s="111">
        <v>39.0</v>
      </c>
      <c r="K371" s="24">
        <v>744.0</v>
      </c>
      <c r="L371" s="24">
        <v>2.0599868E7</v>
      </c>
    </row>
    <row r="372">
      <c r="J372" s="111">
        <v>17.0</v>
      </c>
      <c r="K372" s="24">
        <v>342.0</v>
      </c>
      <c r="L372" s="24">
        <v>2.8847945E7</v>
      </c>
    </row>
    <row r="373">
      <c r="J373" s="111">
        <v>37.0</v>
      </c>
      <c r="K373" s="24">
        <v>382.0</v>
      </c>
      <c r="L373" s="24">
        <v>9.5068326E7</v>
      </c>
    </row>
    <row r="374">
      <c r="J374" s="111">
        <v>49.0</v>
      </c>
      <c r="K374" s="24">
        <v>211.0</v>
      </c>
      <c r="L374" s="24">
        <v>6.5036317E7</v>
      </c>
    </row>
    <row r="375">
      <c r="J375" s="111">
        <v>53.0</v>
      </c>
      <c r="K375" s="24">
        <v>735.0</v>
      </c>
      <c r="L375" s="24">
        <v>2.6635174E7</v>
      </c>
    </row>
    <row r="376">
      <c r="J376" s="111">
        <v>44.0</v>
      </c>
      <c r="K376" s="24">
        <v>729.0</v>
      </c>
      <c r="L376" s="24">
        <v>3.2059663E7</v>
      </c>
    </row>
    <row r="377">
      <c r="J377" s="111">
        <v>37.0</v>
      </c>
      <c r="K377" s="24">
        <v>762.0</v>
      </c>
      <c r="L377" s="24">
        <v>1.635512E7</v>
      </c>
    </row>
    <row r="378">
      <c r="J378" s="111">
        <v>13.0</v>
      </c>
      <c r="K378" s="24">
        <v>990.0</v>
      </c>
      <c r="L378" s="24">
        <v>3.6270471E7</v>
      </c>
    </row>
    <row r="379">
      <c r="J379" s="111">
        <v>50.0</v>
      </c>
      <c r="K379" s="24">
        <v>261.0</v>
      </c>
      <c r="L379" s="24">
        <v>5.7979156E7</v>
      </c>
    </row>
    <row r="380">
      <c r="J380" s="111">
        <v>47.0</v>
      </c>
      <c r="K380" s="24">
        <v>688.0</v>
      </c>
      <c r="L380" s="24">
        <v>8.205078E7</v>
      </c>
    </row>
    <row r="381">
      <c r="J381" s="111">
        <v>32.0</v>
      </c>
      <c r="K381" s="24">
        <v>894.0</v>
      </c>
      <c r="L381" s="24">
        <v>8.3673338E7</v>
      </c>
    </row>
    <row r="382">
      <c r="J382" s="111">
        <v>25.0</v>
      </c>
      <c r="K382" s="24">
        <v>674.0</v>
      </c>
      <c r="L382" s="24">
        <v>2.8063191E7</v>
      </c>
    </row>
    <row r="383">
      <c r="J383" s="111">
        <v>2.0</v>
      </c>
      <c r="K383" s="24">
        <v>362.0</v>
      </c>
      <c r="L383" s="24">
        <v>4.4123435E7</v>
      </c>
    </row>
    <row r="384">
      <c r="J384" s="111">
        <v>41.0</v>
      </c>
      <c r="K384" s="24">
        <v>487.0</v>
      </c>
      <c r="L384" s="24">
        <v>3.2193525E7</v>
      </c>
    </row>
    <row r="385">
      <c r="J385" s="111">
        <v>36.0</v>
      </c>
      <c r="K385" s="24">
        <v>750.0</v>
      </c>
      <c r="L385" s="24">
        <v>3.1584164E7</v>
      </c>
    </row>
    <row r="386">
      <c r="J386" s="111">
        <v>19.0</v>
      </c>
      <c r="K386" s="24">
        <v>640.0</v>
      </c>
      <c r="L386" s="24">
        <v>7.1713845E7</v>
      </c>
    </row>
    <row r="387">
      <c r="J387" s="111">
        <v>44.0</v>
      </c>
      <c r="K387" s="24">
        <v>766.0</v>
      </c>
      <c r="L387" s="24">
        <v>6.0682466E7</v>
      </c>
    </row>
    <row r="388">
      <c r="J388" s="111">
        <v>37.0</v>
      </c>
      <c r="K388" s="24">
        <v>983.0</v>
      </c>
      <c r="L388" s="24">
        <v>8.6861668E7</v>
      </c>
    </row>
    <row r="389">
      <c r="J389" s="111">
        <v>22.0</v>
      </c>
      <c r="K389" s="24">
        <v>240.0</v>
      </c>
      <c r="L389" s="24">
        <v>6.5788759E7</v>
      </c>
    </row>
    <row r="390">
      <c r="J390" s="111">
        <v>17.0</v>
      </c>
      <c r="K390" s="24">
        <v>122.0</v>
      </c>
      <c r="L390" s="24">
        <v>6.5495693E7</v>
      </c>
    </row>
    <row r="391">
      <c r="J391" s="111">
        <v>21.0</v>
      </c>
      <c r="K391" s="24">
        <v>102.0</v>
      </c>
      <c r="L391" s="24">
        <v>9.9721998E7</v>
      </c>
    </row>
    <row r="392">
      <c r="J392" s="111">
        <v>41.0</v>
      </c>
      <c r="K392" s="24">
        <v>734.0</v>
      </c>
      <c r="L392" s="24">
        <v>6.0025855E7</v>
      </c>
    </row>
    <row r="393">
      <c r="J393" s="111">
        <v>22.0</v>
      </c>
      <c r="K393" s="24">
        <v>268.0</v>
      </c>
      <c r="L393" s="24">
        <v>1.3607986E7</v>
      </c>
    </row>
    <row r="394">
      <c r="J394" s="111">
        <v>37.0</v>
      </c>
      <c r="K394" s="24">
        <v>908.0</v>
      </c>
      <c r="L394" s="24">
        <v>7.692682E7</v>
      </c>
    </row>
    <row r="395">
      <c r="J395" s="111">
        <v>31.0</v>
      </c>
      <c r="K395" s="24">
        <v>772.0</v>
      </c>
      <c r="L395" s="24">
        <v>7.0004323E7</v>
      </c>
    </row>
    <row r="396">
      <c r="J396" s="111">
        <v>17.0</v>
      </c>
      <c r="K396" s="24">
        <v>351.0</v>
      </c>
      <c r="L396" s="24">
        <v>5.442428E7</v>
      </c>
    </row>
    <row r="397">
      <c r="J397" s="111">
        <v>28.0</v>
      </c>
      <c r="K397" s="24">
        <v>239.0</v>
      </c>
      <c r="L397" s="24">
        <v>3.0994332E7</v>
      </c>
    </row>
    <row r="398">
      <c r="J398" s="111">
        <v>44.0</v>
      </c>
      <c r="K398" s="24">
        <v>853.0</v>
      </c>
      <c r="L398" s="24">
        <v>2.2679615E7</v>
      </c>
    </row>
    <row r="399">
      <c r="J399" s="111">
        <v>42.0</v>
      </c>
      <c r="K399" s="24">
        <v>207.0</v>
      </c>
      <c r="L399" s="24">
        <v>1.8927212E7</v>
      </c>
    </row>
    <row r="400">
      <c r="J400" s="111">
        <v>10.0</v>
      </c>
      <c r="K400" s="24">
        <v>281.0</v>
      </c>
      <c r="L400" s="24">
        <v>8.9890752E7</v>
      </c>
    </row>
    <row r="401">
      <c r="J401" s="111">
        <v>24.0</v>
      </c>
      <c r="K401" s="24">
        <v>111.0</v>
      </c>
      <c r="L401" s="24">
        <v>3.8194059E7</v>
      </c>
    </row>
    <row r="402">
      <c r="J402" s="111">
        <v>25.0</v>
      </c>
      <c r="K402" s="24">
        <v>715.0</v>
      </c>
      <c r="L402" s="24">
        <v>2.9818671E7</v>
      </c>
    </row>
    <row r="403">
      <c r="J403" s="111">
        <v>56.0</v>
      </c>
      <c r="K403" s="24">
        <v>434.0</v>
      </c>
      <c r="L403" s="24">
        <v>3.7429086E7</v>
      </c>
    </row>
    <row r="404">
      <c r="J404" s="111">
        <v>18.0</v>
      </c>
      <c r="K404" s="24">
        <v>597.0</v>
      </c>
      <c r="L404" s="24">
        <v>2.4700969E7</v>
      </c>
    </row>
    <row r="405">
      <c r="J405" s="111">
        <v>17.0</v>
      </c>
      <c r="K405" s="24">
        <v>428.0</v>
      </c>
      <c r="L405" s="24">
        <v>2.3312616E7</v>
      </c>
    </row>
    <row r="406">
      <c r="J406" s="111">
        <v>35.0</v>
      </c>
      <c r="K406" s="24">
        <v>745.0</v>
      </c>
      <c r="L406" s="24">
        <v>1.7469141E7</v>
      </c>
    </row>
    <row r="407">
      <c r="J407" s="111">
        <v>6.0</v>
      </c>
      <c r="K407" s="24">
        <v>959.0</v>
      </c>
      <c r="L407" s="24">
        <v>5.1369392E7</v>
      </c>
    </row>
    <row r="408">
      <c r="J408" s="111">
        <v>34.0</v>
      </c>
      <c r="K408" s="24">
        <v>179.0</v>
      </c>
      <c r="L408" s="24">
        <v>4.2978268E7</v>
      </c>
    </row>
    <row r="409">
      <c r="J409" s="111">
        <v>21.0</v>
      </c>
      <c r="K409" s="24">
        <v>583.0</v>
      </c>
      <c r="L409" s="24">
        <v>8.2209746E7</v>
      </c>
    </row>
    <row r="410">
      <c r="J410" s="111">
        <v>24.0</v>
      </c>
      <c r="K410" s="24">
        <v>542.0</v>
      </c>
      <c r="L410" s="24">
        <v>2.768265E7</v>
      </c>
    </row>
    <row r="411">
      <c r="J411" s="111">
        <v>55.0</v>
      </c>
      <c r="K411" s="24">
        <v>222.0</v>
      </c>
      <c r="L411" s="24">
        <v>3.7052078E7</v>
      </c>
    </row>
    <row r="412">
      <c r="J412" s="111">
        <v>40.0</v>
      </c>
      <c r="K412" s="24">
        <v>938.0</v>
      </c>
      <c r="L412" s="24">
        <v>8.7654156E7</v>
      </c>
    </row>
    <row r="413">
      <c r="J413" s="111">
        <v>22.0</v>
      </c>
      <c r="K413" s="24">
        <v>404.0</v>
      </c>
      <c r="L413" s="24">
        <v>3.9282232E7</v>
      </c>
    </row>
    <row r="414">
      <c r="J414" s="111">
        <v>4.0</v>
      </c>
      <c r="K414" s="24">
        <v>418.0</v>
      </c>
      <c r="L414" s="24">
        <v>1.0884943E7</v>
      </c>
    </row>
    <row r="415">
      <c r="J415" s="111">
        <v>38.0</v>
      </c>
      <c r="K415" s="24">
        <v>187.0</v>
      </c>
      <c r="L415" s="24">
        <v>2.1408738E7</v>
      </c>
    </row>
    <row r="416">
      <c r="J416" s="111">
        <v>47.0</v>
      </c>
      <c r="K416" s="24">
        <v>224.0</v>
      </c>
      <c r="L416" s="24">
        <v>7.3644019E7</v>
      </c>
    </row>
    <row r="417">
      <c r="J417" s="111">
        <v>41.0</v>
      </c>
      <c r="K417" s="24">
        <v>891.0</v>
      </c>
      <c r="L417" s="24">
        <v>6.2494024E7</v>
      </c>
    </row>
    <row r="418">
      <c r="J418" s="111">
        <v>54.0</v>
      </c>
      <c r="K418" s="24">
        <v>444.0</v>
      </c>
      <c r="L418" s="24">
        <v>5.2228028E7</v>
      </c>
    </row>
    <row r="419">
      <c r="J419" s="111">
        <v>18.0</v>
      </c>
      <c r="K419" s="24">
        <v>587.0</v>
      </c>
      <c r="L419" s="24">
        <v>3.2721506E7</v>
      </c>
    </row>
    <row r="420">
      <c r="J420" s="111">
        <v>8.0</v>
      </c>
      <c r="K420" s="24">
        <v>378.0</v>
      </c>
      <c r="L420" s="24">
        <v>7.505108E7</v>
      </c>
    </row>
    <row r="421">
      <c r="J421" s="111">
        <v>26.0</v>
      </c>
      <c r="K421" s="24">
        <v>599.0</v>
      </c>
      <c r="L421" s="24">
        <v>9.8433932E7</v>
      </c>
    </row>
    <row r="422">
      <c r="J422" s="111">
        <v>32.0</v>
      </c>
      <c r="K422" s="24">
        <v>475.0</v>
      </c>
      <c r="L422" s="24">
        <v>4.4999401E7</v>
      </c>
    </row>
    <row r="423">
      <c r="J423" s="111">
        <v>31.0</v>
      </c>
      <c r="K423" s="24">
        <v>277.0</v>
      </c>
      <c r="L423" s="24">
        <v>3.7775487E7</v>
      </c>
    </row>
    <row r="424">
      <c r="J424" s="111">
        <v>18.0</v>
      </c>
      <c r="K424" s="24">
        <v>435.0</v>
      </c>
      <c r="L424" s="24">
        <v>7.2817458E7</v>
      </c>
    </row>
    <row r="425">
      <c r="J425" s="111">
        <v>17.0</v>
      </c>
      <c r="K425" s="24">
        <v>282.0</v>
      </c>
      <c r="L425" s="24">
        <v>6.7213653E7</v>
      </c>
    </row>
    <row r="426">
      <c r="J426" s="111">
        <v>22.0</v>
      </c>
      <c r="K426" s="24">
        <v>393.0</v>
      </c>
      <c r="L426" s="24">
        <v>5.6331842E7</v>
      </c>
    </row>
    <row r="427">
      <c r="J427" s="111">
        <v>22.0</v>
      </c>
      <c r="K427" s="24">
        <v>677.0</v>
      </c>
      <c r="L427" s="24">
        <v>4.7281287E7</v>
      </c>
    </row>
    <row r="428">
      <c r="J428" s="111">
        <v>17.0</v>
      </c>
      <c r="K428" s="24">
        <v>603.0</v>
      </c>
      <c r="L428" s="24">
        <v>6.8027254E7</v>
      </c>
    </row>
    <row r="429">
      <c r="J429" s="111">
        <v>48.0</v>
      </c>
      <c r="K429" s="24">
        <v>744.0</v>
      </c>
      <c r="L429" s="24">
        <v>4.4089839E7</v>
      </c>
    </row>
    <row r="430">
      <c r="J430" s="111">
        <v>4.0</v>
      </c>
      <c r="K430" s="24">
        <v>896.0</v>
      </c>
      <c r="L430" s="24">
        <v>5.8912476E7</v>
      </c>
    </row>
    <row r="431">
      <c r="J431" s="111">
        <v>46.0</v>
      </c>
      <c r="K431" s="24">
        <v>325.0</v>
      </c>
      <c r="L431" s="24">
        <v>3.009384E7</v>
      </c>
    </row>
    <row r="432">
      <c r="J432" s="111">
        <v>56.0</v>
      </c>
      <c r="K432" s="24">
        <v>590.0</v>
      </c>
      <c r="L432" s="24">
        <v>8.439842E7</v>
      </c>
    </row>
    <row r="433">
      <c r="J433" s="111">
        <v>55.0</v>
      </c>
      <c r="K433" s="24">
        <v>431.0</v>
      </c>
      <c r="L433" s="24">
        <v>6.8363689E7</v>
      </c>
    </row>
    <row r="434">
      <c r="J434" s="111">
        <v>36.0</v>
      </c>
      <c r="K434" s="24">
        <v>713.0</v>
      </c>
      <c r="L434" s="24">
        <v>7.368558E7</v>
      </c>
    </row>
    <row r="435">
      <c r="J435" s="111">
        <v>41.0</v>
      </c>
      <c r="K435" s="24">
        <v>876.0</v>
      </c>
      <c r="L435" s="24">
        <v>6.7710659E7</v>
      </c>
    </row>
    <row r="436">
      <c r="J436" s="111">
        <v>45.0</v>
      </c>
      <c r="K436" s="24">
        <v>272.0</v>
      </c>
      <c r="L436" s="24">
        <v>8.7481737E7</v>
      </c>
    </row>
    <row r="437">
      <c r="J437" s="111">
        <v>9.0</v>
      </c>
      <c r="K437" s="24">
        <v>977.0</v>
      </c>
      <c r="L437" s="24">
        <v>3.6326256E7</v>
      </c>
    </row>
    <row r="438">
      <c r="J438" s="111">
        <v>56.0</v>
      </c>
      <c r="K438" s="24">
        <v>901.0</v>
      </c>
      <c r="L438" s="24">
        <v>2.801149E7</v>
      </c>
    </row>
    <row r="439">
      <c r="J439" s="111">
        <v>5.0</v>
      </c>
      <c r="K439" s="24">
        <v>368.0</v>
      </c>
      <c r="L439" s="24">
        <v>1.4755012E7</v>
      </c>
    </row>
    <row r="440">
      <c r="J440" s="111">
        <v>23.0</v>
      </c>
      <c r="K440" s="24">
        <v>686.0</v>
      </c>
      <c r="L440" s="24">
        <v>9.0277293E7</v>
      </c>
    </row>
    <row r="441">
      <c r="J441" s="111">
        <v>53.0</v>
      </c>
      <c r="K441" s="24">
        <v>245.0</v>
      </c>
      <c r="L441" s="24">
        <v>9.3169516E7</v>
      </c>
    </row>
    <row r="442">
      <c r="J442" s="111">
        <v>19.0</v>
      </c>
      <c r="K442" s="24">
        <v>893.0</v>
      </c>
      <c r="L442" s="24">
        <v>7.1482491E7</v>
      </c>
    </row>
    <row r="443">
      <c r="J443" s="111">
        <v>28.0</v>
      </c>
      <c r="K443" s="24">
        <v>317.0</v>
      </c>
      <c r="L443" s="24">
        <v>3.0651942E7</v>
      </c>
    </row>
    <row r="444">
      <c r="J444" s="111">
        <v>55.0</v>
      </c>
      <c r="K444" s="24">
        <v>514.0</v>
      </c>
      <c r="L444" s="24">
        <v>5.4505715E7</v>
      </c>
    </row>
    <row r="445">
      <c r="J445" s="111">
        <v>22.0</v>
      </c>
      <c r="K445" s="24">
        <v>444.0</v>
      </c>
      <c r="L445" s="24">
        <v>9.8954031E7</v>
      </c>
    </row>
    <row r="446">
      <c r="J446" s="111">
        <v>5.0</v>
      </c>
      <c r="K446" s="24">
        <v>740.0</v>
      </c>
      <c r="L446" s="24">
        <v>1.9637079E7</v>
      </c>
    </row>
    <row r="447">
      <c r="J447" s="111">
        <v>40.0</v>
      </c>
      <c r="K447" s="24">
        <v>225.0</v>
      </c>
      <c r="L447" s="24">
        <v>1.0417563E7</v>
      </c>
    </row>
    <row r="448">
      <c r="J448" s="111">
        <v>44.0</v>
      </c>
      <c r="K448" s="24">
        <v>722.0</v>
      </c>
      <c r="L448" s="24">
        <v>3.8415688E7</v>
      </c>
    </row>
    <row r="449">
      <c r="J449" s="111">
        <v>42.0</v>
      </c>
      <c r="K449" s="24">
        <v>895.0</v>
      </c>
      <c r="L449" s="24">
        <v>5.563392E7</v>
      </c>
    </row>
    <row r="450">
      <c r="J450" s="111">
        <v>20.0</v>
      </c>
      <c r="K450" s="24">
        <v>869.0</v>
      </c>
      <c r="L450" s="24">
        <v>1.6334262E7</v>
      </c>
    </row>
    <row r="451">
      <c r="J451" s="111">
        <v>13.0</v>
      </c>
      <c r="K451" s="24">
        <v>787.0</v>
      </c>
      <c r="L451" s="24">
        <v>6.9864716E7</v>
      </c>
    </row>
    <row r="452">
      <c r="J452" s="111">
        <v>31.0</v>
      </c>
      <c r="K452" s="24">
        <v>152.0</v>
      </c>
      <c r="L452" s="24">
        <v>3.1713012E7</v>
      </c>
    </row>
    <row r="453">
      <c r="J453" s="111">
        <v>25.0</v>
      </c>
      <c r="K453" s="24">
        <v>129.0</v>
      </c>
      <c r="L453" s="24">
        <v>2.0049298E7</v>
      </c>
    </row>
    <row r="454">
      <c r="J454" s="111">
        <v>37.0</v>
      </c>
      <c r="K454" s="24">
        <v>108.0</v>
      </c>
      <c r="L454" s="24">
        <v>2.7258203E7</v>
      </c>
    </row>
    <row r="455">
      <c r="J455" s="111">
        <v>54.0</v>
      </c>
      <c r="K455" s="24">
        <v>296.0</v>
      </c>
      <c r="L455" s="24">
        <v>9.7136669E7</v>
      </c>
    </row>
    <row r="456">
      <c r="J456" s="111">
        <v>29.0</v>
      </c>
      <c r="K456" s="24">
        <v>610.0</v>
      </c>
      <c r="L456" s="24">
        <v>6.2588952E7</v>
      </c>
    </row>
    <row r="457">
      <c r="J457" s="111">
        <v>16.0</v>
      </c>
      <c r="K457" s="24">
        <v>480.0</v>
      </c>
      <c r="L457" s="24">
        <v>6.0655203E7</v>
      </c>
    </row>
    <row r="458">
      <c r="J458" s="111">
        <v>8.0</v>
      </c>
      <c r="K458" s="24">
        <v>558.0</v>
      </c>
      <c r="L458" s="24">
        <v>6.6319557E7</v>
      </c>
    </row>
    <row r="459">
      <c r="J459" s="111">
        <v>21.0</v>
      </c>
      <c r="K459" s="24">
        <v>628.0</v>
      </c>
      <c r="L459" s="24">
        <v>6.3639206E7</v>
      </c>
    </row>
    <row r="460">
      <c r="J460" s="111">
        <v>6.0</v>
      </c>
      <c r="K460" s="24">
        <v>117.0</v>
      </c>
      <c r="L460" s="24">
        <v>6.5182205E7</v>
      </c>
    </row>
    <row r="461">
      <c r="J461" s="111">
        <v>12.0</v>
      </c>
      <c r="K461" s="24">
        <v>337.0</v>
      </c>
      <c r="L461" s="24">
        <v>7.3503845E7</v>
      </c>
    </row>
    <row r="462">
      <c r="J462" s="111">
        <v>33.0</v>
      </c>
      <c r="K462" s="24">
        <v>699.0</v>
      </c>
      <c r="L462" s="24">
        <v>9.2420308E7</v>
      </c>
    </row>
    <row r="463">
      <c r="J463" s="111">
        <v>5.0</v>
      </c>
      <c r="K463" s="24">
        <v>563.0</v>
      </c>
      <c r="L463" s="24">
        <v>4.5502776E7</v>
      </c>
    </row>
    <row r="464">
      <c r="J464" s="111">
        <v>11.0</v>
      </c>
      <c r="K464" s="24">
        <v>218.0</v>
      </c>
      <c r="L464" s="24">
        <v>4.9309745E7</v>
      </c>
    </row>
    <row r="465">
      <c r="J465" s="111">
        <v>18.0</v>
      </c>
      <c r="K465" s="24">
        <v>636.0</v>
      </c>
      <c r="L465" s="24">
        <v>4.0930994E7</v>
      </c>
    </row>
    <row r="466">
      <c r="J466" s="111">
        <v>31.0</v>
      </c>
      <c r="K466" s="24">
        <v>930.0</v>
      </c>
      <c r="L466" s="24">
        <v>3.7400581E7</v>
      </c>
    </row>
    <row r="467">
      <c r="J467" s="111">
        <v>25.0</v>
      </c>
      <c r="K467" s="24">
        <v>779.0</v>
      </c>
      <c r="L467" s="24">
        <v>2.1889238E7</v>
      </c>
    </row>
    <row r="468">
      <c r="J468" s="111">
        <v>9.0</v>
      </c>
      <c r="K468" s="24">
        <v>171.0</v>
      </c>
      <c r="L468" s="24">
        <v>2.1543199E7</v>
      </c>
    </row>
    <row r="469">
      <c r="J469" s="111">
        <v>29.0</v>
      </c>
      <c r="K469" s="24">
        <v>813.0</v>
      </c>
      <c r="L469" s="24">
        <v>3.9582715E7</v>
      </c>
    </row>
    <row r="470">
      <c r="J470" s="111">
        <v>2.0</v>
      </c>
      <c r="K470" s="24">
        <v>226.0</v>
      </c>
      <c r="L470" s="24">
        <v>6.6796722E7</v>
      </c>
    </row>
    <row r="471">
      <c r="J471" s="111">
        <v>15.0</v>
      </c>
      <c r="K471" s="24">
        <v>176.0</v>
      </c>
      <c r="L471" s="24">
        <v>8.2311638E7</v>
      </c>
    </row>
    <row r="472">
      <c r="J472" s="111">
        <v>27.0</v>
      </c>
      <c r="K472" s="24">
        <v>401.0</v>
      </c>
      <c r="L472" s="24">
        <v>5.5331585E7</v>
      </c>
    </row>
    <row r="473">
      <c r="J473" s="111">
        <v>49.0</v>
      </c>
      <c r="K473" s="24">
        <v>196.0</v>
      </c>
      <c r="L473" s="24">
        <v>7.0664923E7</v>
      </c>
    </row>
    <row r="474">
      <c r="J474" s="111">
        <v>51.0</v>
      </c>
      <c r="K474" s="24">
        <v>918.0</v>
      </c>
      <c r="L474" s="24">
        <v>1.1064457E7</v>
      </c>
    </row>
    <row r="475">
      <c r="J475" s="111">
        <v>24.0</v>
      </c>
      <c r="K475" s="24">
        <v>392.0</v>
      </c>
      <c r="L475" s="24">
        <v>2.8720704E7</v>
      </c>
    </row>
    <row r="476">
      <c r="J476" s="111">
        <v>16.0</v>
      </c>
      <c r="K476" s="24">
        <v>334.0</v>
      </c>
      <c r="L476" s="24">
        <v>6.1424589E7</v>
      </c>
    </row>
    <row r="477">
      <c r="J477" s="111">
        <v>53.0</v>
      </c>
      <c r="K477" s="24">
        <v>935.0</v>
      </c>
      <c r="L477" s="24">
        <v>1.4622498E7</v>
      </c>
    </row>
    <row r="478">
      <c r="J478" s="111">
        <v>49.0</v>
      </c>
      <c r="K478" s="24">
        <v>551.0</v>
      </c>
      <c r="L478" s="24">
        <v>5.6907123E7</v>
      </c>
    </row>
    <row r="479">
      <c r="J479" s="111">
        <v>42.0</v>
      </c>
      <c r="K479" s="24">
        <v>896.0</v>
      </c>
      <c r="L479" s="24">
        <v>1.5421321E7</v>
      </c>
    </row>
    <row r="480">
      <c r="J480" s="111">
        <v>22.0</v>
      </c>
      <c r="K480" s="24">
        <v>791.0</v>
      </c>
      <c r="L480" s="24">
        <v>6.3047472E7</v>
      </c>
    </row>
    <row r="481">
      <c r="J481" s="111">
        <v>55.0</v>
      </c>
      <c r="K481" s="24">
        <v>127.0</v>
      </c>
      <c r="L481" s="24">
        <v>7.5014463E7</v>
      </c>
    </row>
    <row r="482">
      <c r="J482" s="111">
        <v>39.0</v>
      </c>
      <c r="K482" s="24">
        <v>798.0</v>
      </c>
      <c r="L482" s="24">
        <v>8.4635341E7</v>
      </c>
    </row>
    <row r="483">
      <c r="J483" s="111">
        <v>30.0</v>
      </c>
      <c r="K483" s="24">
        <v>426.0</v>
      </c>
      <c r="L483" s="24">
        <v>7.2143995E7</v>
      </c>
    </row>
    <row r="484">
      <c r="J484" s="111">
        <v>31.0</v>
      </c>
      <c r="K484" s="24">
        <v>428.0</v>
      </c>
      <c r="L484" s="24">
        <v>5.3473563E7</v>
      </c>
    </row>
    <row r="485">
      <c r="J485" s="111">
        <v>53.0</v>
      </c>
      <c r="K485" s="24">
        <v>847.0</v>
      </c>
      <c r="L485" s="24">
        <v>7.3471815E7</v>
      </c>
    </row>
    <row r="486">
      <c r="J486" s="111">
        <v>47.0</v>
      </c>
      <c r="K486" s="24">
        <v>472.0</v>
      </c>
      <c r="L486" s="24">
        <v>6.874613E7</v>
      </c>
    </row>
    <row r="487">
      <c r="J487" s="111">
        <v>46.0</v>
      </c>
      <c r="K487" s="24">
        <v>163.0</v>
      </c>
      <c r="L487" s="24">
        <v>5.8832389E7</v>
      </c>
    </row>
    <row r="488">
      <c r="J488" s="111">
        <v>29.0</v>
      </c>
      <c r="K488" s="24">
        <v>469.0</v>
      </c>
      <c r="L488" s="24">
        <v>8.7295025E7</v>
      </c>
    </row>
    <row r="489">
      <c r="J489" s="111">
        <v>31.0</v>
      </c>
      <c r="K489" s="24">
        <v>525.0</v>
      </c>
      <c r="L489" s="24">
        <v>3.644777E7</v>
      </c>
    </row>
    <row r="490">
      <c r="J490" s="111">
        <v>8.0</v>
      </c>
      <c r="K490" s="24">
        <v>566.0</v>
      </c>
      <c r="L490" s="24">
        <v>7.3850509E7</v>
      </c>
    </row>
    <row r="491">
      <c r="J491" s="111">
        <v>12.0</v>
      </c>
      <c r="K491" s="24">
        <v>691.0</v>
      </c>
      <c r="L491" s="24">
        <v>7.8257755E7</v>
      </c>
    </row>
    <row r="492">
      <c r="J492" s="111">
        <v>5.0</v>
      </c>
      <c r="K492" s="24">
        <v>117.0</v>
      </c>
      <c r="L492" s="24">
        <v>6.8235569E7</v>
      </c>
    </row>
    <row r="493">
      <c r="J493" s="111">
        <v>51.0</v>
      </c>
      <c r="K493" s="24">
        <v>747.0</v>
      </c>
      <c r="L493" s="24">
        <v>5.1079418E7</v>
      </c>
    </row>
    <row r="494">
      <c r="J494" s="111">
        <v>41.0</v>
      </c>
      <c r="K494" s="24">
        <v>750.0</v>
      </c>
      <c r="L494" s="24">
        <v>3.1024448E7</v>
      </c>
    </row>
    <row r="495">
      <c r="J495" s="111">
        <v>12.0</v>
      </c>
      <c r="K495" s="24">
        <v>632.0</v>
      </c>
      <c r="L495" s="24">
        <v>2.6599534E7</v>
      </c>
    </row>
    <row r="496">
      <c r="J496" s="111">
        <v>44.0</v>
      </c>
      <c r="K496" s="24">
        <v>273.0</v>
      </c>
      <c r="L496" s="24">
        <v>4.9912079E7</v>
      </c>
    </row>
    <row r="497">
      <c r="J497" s="111">
        <v>26.0</v>
      </c>
      <c r="K497" s="24">
        <v>529.0</v>
      </c>
      <c r="L497" s="24">
        <v>6.5858776E7</v>
      </c>
    </row>
    <row r="498">
      <c r="J498" s="111">
        <v>5.0</v>
      </c>
      <c r="K498" s="24">
        <v>927.0</v>
      </c>
      <c r="L498" s="24">
        <v>4.6763223E7</v>
      </c>
    </row>
    <row r="499">
      <c r="J499" s="111">
        <v>25.0</v>
      </c>
      <c r="K499" s="24">
        <v>946.0</v>
      </c>
      <c r="L499" s="24">
        <v>6.6988175E7</v>
      </c>
    </row>
    <row r="500">
      <c r="J500" s="111">
        <v>22.0</v>
      </c>
      <c r="K500" s="24">
        <v>578.0</v>
      </c>
      <c r="L500" s="24">
        <v>8.3309798E7</v>
      </c>
    </row>
    <row r="501">
      <c r="J501" s="111">
        <v>27.0</v>
      </c>
      <c r="K501" s="24">
        <v>795.0</v>
      </c>
      <c r="L501" s="24">
        <v>4.8810098E7</v>
      </c>
    </row>
    <row r="502">
      <c r="J502" s="111">
        <v>50.0</v>
      </c>
      <c r="K502" s="24">
        <v>337.0</v>
      </c>
      <c r="L502" s="24">
        <v>3.0305345E7</v>
      </c>
    </row>
    <row r="503">
      <c r="J503" s="111">
        <v>39.0</v>
      </c>
      <c r="K503" s="24">
        <v>854.0</v>
      </c>
      <c r="L503" s="24">
        <v>5.1660648E7</v>
      </c>
    </row>
    <row r="504">
      <c r="J504" s="111">
        <v>41.0</v>
      </c>
      <c r="K504" s="24">
        <v>551.0</v>
      </c>
      <c r="L504" s="24">
        <v>5.0378598E7</v>
      </c>
    </row>
    <row r="505">
      <c r="J505" s="111">
        <v>23.0</v>
      </c>
      <c r="K505" s="24">
        <v>667.0</v>
      </c>
      <c r="L505" s="24">
        <v>9.8100962E7</v>
      </c>
    </row>
    <row r="506">
      <c r="J506" s="111">
        <v>32.0</v>
      </c>
      <c r="K506" s="24">
        <v>344.0</v>
      </c>
      <c r="L506" s="24">
        <v>9.2569015E7</v>
      </c>
    </row>
    <row r="507">
      <c r="J507" s="111">
        <v>12.0</v>
      </c>
      <c r="K507" s="24">
        <v>191.0</v>
      </c>
      <c r="L507" s="24">
        <v>9.6222697E7</v>
      </c>
    </row>
    <row r="508">
      <c r="J508" s="111">
        <v>22.0</v>
      </c>
      <c r="K508" s="24">
        <v>868.0</v>
      </c>
      <c r="L508" s="24">
        <v>3.5009532E7</v>
      </c>
    </row>
    <row r="509">
      <c r="J509" s="111">
        <v>39.0</v>
      </c>
      <c r="K509" s="24">
        <v>612.0</v>
      </c>
      <c r="L509" s="24">
        <v>7.4926175E7</v>
      </c>
    </row>
    <row r="510">
      <c r="J510" s="111">
        <v>50.0</v>
      </c>
      <c r="K510" s="24">
        <v>588.0</v>
      </c>
      <c r="L510" s="24">
        <v>7.5908695E7</v>
      </c>
    </row>
    <row r="511">
      <c r="J511" s="111">
        <v>12.0</v>
      </c>
      <c r="K511" s="24">
        <v>517.0</v>
      </c>
      <c r="L511" s="24">
        <v>2.9463713E7</v>
      </c>
    </row>
    <row r="512">
      <c r="J512" s="111">
        <v>33.0</v>
      </c>
      <c r="K512" s="24">
        <v>807.0</v>
      </c>
      <c r="L512" s="24">
        <v>3.1213309E7</v>
      </c>
    </row>
    <row r="513">
      <c r="J513" s="111">
        <v>9.0</v>
      </c>
      <c r="K513" s="24">
        <v>642.0</v>
      </c>
      <c r="L513" s="24">
        <v>5.4805188E7</v>
      </c>
    </row>
    <row r="514">
      <c r="J514" s="111">
        <v>12.0</v>
      </c>
      <c r="K514" s="24">
        <v>821.0</v>
      </c>
      <c r="L514" s="24">
        <v>6.0295274E7</v>
      </c>
    </row>
    <row r="515">
      <c r="J515" s="111">
        <v>46.0</v>
      </c>
      <c r="K515" s="24">
        <v>609.0</v>
      </c>
      <c r="L515" s="24">
        <v>3.147436E7</v>
      </c>
    </row>
    <row r="516">
      <c r="J516" s="111">
        <v>47.0</v>
      </c>
      <c r="K516" s="24">
        <v>572.0</v>
      </c>
      <c r="L516" s="24">
        <v>7.4460913E7</v>
      </c>
    </row>
    <row r="517">
      <c r="J517" s="111">
        <v>26.0</v>
      </c>
      <c r="K517" s="24">
        <v>557.0</v>
      </c>
      <c r="L517" s="24">
        <v>1.0645705E7</v>
      </c>
    </row>
    <row r="518">
      <c r="J518" s="111">
        <v>25.0</v>
      </c>
      <c r="K518" s="24">
        <v>656.0</v>
      </c>
      <c r="L518" s="24">
        <v>4.4622266E7</v>
      </c>
    </row>
    <row r="519">
      <c r="J519" s="111">
        <v>54.0</v>
      </c>
      <c r="K519" s="24">
        <v>660.0</v>
      </c>
      <c r="L519" s="24">
        <v>4.6477681E7</v>
      </c>
    </row>
    <row r="520">
      <c r="J520" s="111">
        <v>36.0</v>
      </c>
      <c r="K520" s="24">
        <v>630.0</v>
      </c>
      <c r="L520" s="24">
        <v>6.4257665E7</v>
      </c>
    </row>
    <row r="521">
      <c r="J521" s="111">
        <v>27.0</v>
      </c>
      <c r="K521" s="24">
        <v>135.0</v>
      </c>
      <c r="L521" s="24">
        <v>4.4752413E7</v>
      </c>
    </row>
    <row r="522">
      <c r="J522" s="111">
        <v>50.0</v>
      </c>
      <c r="K522" s="24">
        <v>792.0</v>
      </c>
      <c r="L522" s="24">
        <v>3.062604E7</v>
      </c>
    </row>
    <row r="523">
      <c r="J523" s="111">
        <v>48.0</v>
      </c>
      <c r="K523" s="24">
        <v>104.0</v>
      </c>
      <c r="L523" s="24">
        <v>9.2028793E7</v>
      </c>
    </row>
    <row r="524">
      <c r="J524" s="111">
        <v>5.0</v>
      </c>
      <c r="K524" s="24">
        <v>108.0</v>
      </c>
      <c r="L524" s="24">
        <v>5.7464759E7</v>
      </c>
    </row>
    <row r="525">
      <c r="J525" s="111">
        <v>22.0</v>
      </c>
      <c r="K525" s="24">
        <v>706.0</v>
      </c>
      <c r="L525" s="24">
        <v>4.8553144E7</v>
      </c>
    </row>
    <row r="526">
      <c r="J526" s="111">
        <v>5.0</v>
      </c>
      <c r="K526" s="24">
        <v>397.0</v>
      </c>
      <c r="L526" s="24">
        <v>7.666706E7</v>
      </c>
    </row>
    <row r="527">
      <c r="J527" s="111">
        <v>50.0</v>
      </c>
      <c r="K527" s="24">
        <v>401.0</v>
      </c>
      <c r="L527" s="24">
        <v>9.3782921E7</v>
      </c>
    </row>
    <row r="528">
      <c r="J528" s="111">
        <v>47.0</v>
      </c>
      <c r="K528" s="24">
        <v>829.0</v>
      </c>
      <c r="L528" s="24">
        <v>4.846921E7</v>
      </c>
    </row>
    <row r="529">
      <c r="J529" s="111">
        <v>22.0</v>
      </c>
      <c r="K529" s="24">
        <v>162.0</v>
      </c>
      <c r="L529" s="24">
        <v>5.0117459E7</v>
      </c>
    </row>
    <row r="530">
      <c r="J530" s="111">
        <v>49.0</v>
      </c>
      <c r="K530" s="24">
        <v>466.0</v>
      </c>
      <c r="L530" s="24">
        <v>8.1821767E7</v>
      </c>
    </row>
    <row r="531">
      <c r="J531" s="111">
        <v>21.0</v>
      </c>
      <c r="K531" s="24">
        <v>605.0</v>
      </c>
      <c r="L531" s="24">
        <v>3.2566853E7</v>
      </c>
    </row>
    <row r="532">
      <c r="J532" s="111">
        <v>20.0</v>
      </c>
      <c r="K532" s="24">
        <v>872.0</v>
      </c>
      <c r="L532" s="24">
        <v>6.5060128E7</v>
      </c>
    </row>
    <row r="533">
      <c r="J533" s="111">
        <v>24.0</v>
      </c>
      <c r="K533" s="24">
        <v>956.0</v>
      </c>
      <c r="L533" s="24">
        <v>4.5020517E7</v>
      </c>
    </row>
    <row r="534">
      <c r="J534" s="111">
        <v>54.0</v>
      </c>
      <c r="K534" s="24">
        <v>516.0</v>
      </c>
      <c r="L534" s="24">
        <v>8.6292446E7</v>
      </c>
    </row>
    <row r="535">
      <c r="J535" s="111">
        <v>47.0</v>
      </c>
      <c r="K535" s="24">
        <v>408.0</v>
      </c>
      <c r="L535" s="24">
        <v>3.520333E7</v>
      </c>
    </row>
    <row r="536">
      <c r="J536" s="111">
        <v>36.0</v>
      </c>
      <c r="K536" s="24">
        <v>228.0</v>
      </c>
      <c r="L536" s="24">
        <v>2.4325814E7</v>
      </c>
    </row>
    <row r="537">
      <c r="J537" s="111">
        <v>2.0</v>
      </c>
      <c r="K537" s="24">
        <v>510.0</v>
      </c>
      <c r="L537" s="24">
        <v>8.4897879E7</v>
      </c>
    </row>
    <row r="538">
      <c r="J538" s="111">
        <v>24.0</v>
      </c>
      <c r="K538" s="24">
        <v>585.0</v>
      </c>
      <c r="L538" s="24">
        <v>5.6964417E7</v>
      </c>
    </row>
    <row r="539">
      <c r="J539" s="111">
        <v>50.0</v>
      </c>
      <c r="K539" s="24">
        <v>790.0</v>
      </c>
      <c r="L539" s="24">
        <v>3.1120095E7</v>
      </c>
    </row>
    <row r="540">
      <c r="J540" s="111">
        <v>10.0</v>
      </c>
      <c r="K540" s="24">
        <v>661.0</v>
      </c>
      <c r="L540" s="24">
        <v>4.274008E7</v>
      </c>
    </row>
    <row r="541">
      <c r="J541" s="111">
        <v>8.0</v>
      </c>
      <c r="K541" s="24">
        <v>976.0</v>
      </c>
      <c r="L541" s="24">
        <v>4.3553271E7</v>
      </c>
    </row>
    <row r="542">
      <c r="J542" s="111">
        <v>39.0</v>
      </c>
      <c r="K542" s="24">
        <v>692.0</v>
      </c>
      <c r="L542" s="24">
        <v>9.9795539E7</v>
      </c>
    </row>
    <row r="543">
      <c r="J543" s="111">
        <v>41.0</v>
      </c>
      <c r="K543" s="24">
        <v>850.0</v>
      </c>
      <c r="L543" s="24">
        <v>5.1986611E7</v>
      </c>
    </row>
    <row r="544">
      <c r="J544" s="111">
        <v>15.0</v>
      </c>
      <c r="K544" s="24">
        <v>493.0</v>
      </c>
      <c r="L544" s="24">
        <v>3.9228425E7</v>
      </c>
    </row>
    <row r="545">
      <c r="J545" s="111">
        <v>30.0</v>
      </c>
      <c r="K545" s="24">
        <v>642.0</v>
      </c>
      <c r="L545" s="24">
        <v>7.1814357E7</v>
      </c>
    </row>
    <row r="546">
      <c r="J546" s="111">
        <v>5.0</v>
      </c>
      <c r="K546" s="24">
        <v>917.0</v>
      </c>
      <c r="L546" s="24">
        <v>6.3321516E7</v>
      </c>
    </row>
    <row r="547">
      <c r="J547" s="111">
        <v>18.0</v>
      </c>
      <c r="K547" s="24">
        <v>821.0</v>
      </c>
      <c r="L547" s="24">
        <v>9.8825907E7</v>
      </c>
    </row>
    <row r="548">
      <c r="J548" s="111">
        <v>28.0</v>
      </c>
      <c r="K548" s="24">
        <v>206.0</v>
      </c>
      <c r="L548" s="24">
        <v>9.8916415E7</v>
      </c>
    </row>
    <row r="549">
      <c r="J549" s="111">
        <v>38.0</v>
      </c>
      <c r="K549" s="24">
        <v>274.0</v>
      </c>
      <c r="L549" s="24">
        <v>4.2539912E7</v>
      </c>
    </row>
    <row r="550">
      <c r="J550" s="111">
        <v>39.0</v>
      </c>
      <c r="K550" s="24">
        <v>736.0</v>
      </c>
      <c r="L550" s="24">
        <v>2.9288811E7</v>
      </c>
    </row>
    <row r="551">
      <c r="J551" s="111">
        <v>13.0</v>
      </c>
      <c r="K551" s="24">
        <v>645.0</v>
      </c>
      <c r="L551" s="24">
        <v>8.0336766E7</v>
      </c>
    </row>
    <row r="552">
      <c r="J552" s="111">
        <v>27.0</v>
      </c>
      <c r="K552" s="24">
        <v>883.0</v>
      </c>
      <c r="L552" s="24">
        <v>6.8300833E7</v>
      </c>
    </row>
    <row r="553">
      <c r="J553" s="111">
        <v>8.0</v>
      </c>
      <c r="K553" s="24">
        <v>403.0</v>
      </c>
      <c r="L553" s="24">
        <v>5.0844326E7</v>
      </c>
    </row>
    <row r="554">
      <c r="J554" s="111">
        <v>11.0</v>
      </c>
      <c r="K554" s="24">
        <v>149.0</v>
      </c>
      <c r="L554" s="24">
        <v>7.7668069E7</v>
      </c>
    </row>
    <row r="555">
      <c r="J555" s="111">
        <v>17.0</v>
      </c>
      <c r="K555" s="24">
        <v>286.0</v>
      </c>
      <c r="L555" s="24">
        <v>3.3898961E7</v>
      </c>
    </row>
    <row r="556">
      <c r="J556" s="111">
        <v>19.0</v>
      </c>
      <c r="K556" s="24">
        <v>419.0</v>
      </c>
      <c r="L556" s="24">
        <v>4.118219E7</v>
      </c>
    </row>
    <row r="557">
      <c r="J557" s="111">
        <v>1.0</v>
      </c>
      <c r="K557" s="24">
        <v>260.0</v>
      </c>
      <c r="L557" s="24">
        <v>4.5644591E7</v>
      </c>
    </row>
    <row r="558">
      <c r="J558" s="111">
        <v>48.0</v>
      </c>
      <c r="K558" s="24">
        <v>296.0</v>
      </c>
      <c r="L558" s="24">
        <v>4.5950464E7</v>
      </c>
    </row>
    <row r="559">
      <c r="J559" s="111">
        <v>41.0</v>
      </c>
      <c r="K559" s="24">
        <v>216.0</v>
      </c>
      <c r="L559" s="24">
        <v>3.0061586E7</v>
      </c>
    </row>
    <row r="560">
      <c r="J560" s="111">
        <v>2.0</v>
      </c>
      <c r="K560" s="24">
        <v>164.0</v>
      </c>
      <c r="L560" s="24">
        <v>5.4197069E7</v>
      </c>
    </row>
    <row r="561">
      <c r="J561" s="111">
        <v>39.0</v>
      </c>
      <c r="K561" s="24">
        <v>969.0</v>
      </c>
      <c r="L561" s="24">
        <v>9.5992574E7</v>
      </c>
    </row>
    <row r="562">
      <c r="J562" s="111">
        <v>38.0</v>
      </c>
      <c r="K562" s="24">
        <v>184.0</v>
      </c>
      <c r="L562" s="24">
        <v>4.7037978E7</v>
      </c>
    </row>
    <row r="563">
      <c r="J563" s="111">
        <v>6.0</v>
      </c>
      <c r="K563" s="24">
        <v>489.0</v>
      </c>
      <c r="L563" s="24">
        <v>8.0036945E7</v>
      </c>
    </row>
    <row r="564">
      <c r="J564" s="111">
        <v>12.0</v>
      </c>
      <c r="K564" s="24">
        <v>785.0</v>
      </c>
      <c r="L564" s="24">
        <v>5.8235412E7</v>
      </c>
    </row>
    <row r="565">
      <c r="J565" s="111">
        <v>30.0</v>
      </c>
      <c r="K565" s="24">
        <v>852.0</v>
      </c>
      <c r="L565" s="24">
        <v>7.8770066E7</v>
      </c>
    </row>
    <row r="566">
      <c r="J566" s="111">
        <v>17.0</v>
      </c>
      <c r="K566" s="24">
        <v>566.0</v>
      </c>
      <c r="L566" s="24">
        <v>9.5029378E7</v>
      </c>
    </row>
    <row r="567">
      <c r="J567" s="111">
        <v>5.0</v>
      </c>
      <c r="K567" s="24">
        <v>536.0</v>
      </c>
      <c r="L567" s="24">
        <v>7.2428346E7</v>
      </c>
    </row>
    <row r="568">
      <c r="J568" s="111">
        <v>50.0</v>
      </c>
      <c r="K568" s="24">
        <v>411.0</v>
      </c>
      <c r="L568" s="24">
        <v>2.3061772E7</v>
      </c>
    </row>
    <row r="569">
      <c r="J569" s="111">
        <v>22.0</v>
      </c>
      <c r="K569" s="24">
        <v>387.0</v>
      </c>
      <c r="L569" s="24">
        <v>8.6511977E7</v>
      </c>
    </row>
    <row r="570">
      <c r="J570" s="111">
        <v>56.0</v>
      </c>
      <c r="K570" s="24">
        <v>580.0</v>
      </c>
      <c r="L570" s="24">
        <v>7.2757549E7</v>
      </c>
    </row>
    <row r="571">
      <c r="J571" s="111">
        <v>56.0</v>
      </c>
      <c r="K571" s="24">
        <v>264.0</v>
      </c>
      <c r="L571" s="24">
        <v>9.4011292E7</v>
      </c>
    </row>
    <row r="572">
      <c r="J572" s="111">
        <v>1.0</v>
      </c>
      <c r="K572" s="24">
        <v>545.0</v>
      </c>
      <c r="L572" s="24">
        <v>2.4021202E7</v>
      </c>
    </row>
    <row r="573">
      <c r="J573" s="111">
        <v>53.0</v>
      </c>
      <c r="K573" s="24">
        <v>139.0</v>
      </c>
      <c r="L573" s="24">
        <v>2.1913278E7</v>
      </c>
    </row>
    <row r="574">
      <c r="J574" s="111">
        <v>4.0</v>
      </c>
      <c r="K574" s="24">
        <v>427.0</v>
      </c>
      <c r="L574" s="24">
        <v>5.1422774E7</v>
      </c>
    </row>
    <row r="575">
      <c r="J575" s="111">
        <v>6.0</v>
      </c>
      <c r="K575" s="24">
        <v>219.0</v>
      </c>
      <c r="L575" s="24">
        <v>2.1259163E7</v>
      </c>
    </row>
    <row r="576">
      <c r="J576" s="111">
        <v>49.0</v>
      </c>
      <c r="K576" s="24">
        <v>365.0</v>
      </c>
      <c r="L576" s="24">
        <v>4.3846241E7</v>
      </c>
    </row>
    <row r="577">
      <c r="J577" s="111">
        <v>31.0</v>
      </c>
      <c r="K577" s="24">
        <v>422.0</v>
      </c>
      <c r="L577" s="24">
        <v>9.4390505E7</v>
      </c>
    </row>
    <row r="578">
      <c r="J578" s="111">
        <v>26.0</v>
      </c>
      <c r="K578" s="24">
        <v>396.0</v>
      </c>
      <c r="L578" s="24">
        <v>4.1045132E7</v>
      </c>
    </row>
    <row r="579">
      <c r="J579" s="111">
        <v>37.0</v>
      </c>
      <c r="K579" s="24">
        <v>231.0</v>
      </c>
      <c r="L579" s="24">
        <v>9.8105595E7</v>
      </c>
    </row>
    <row r="580">
      <c r="J580" s="111">
        <v>11.0</v>
      </c>
      <c r="K580" s="24">
        <v>863.0</v>
      </c>
      <c r="L580" s="24">
        <v>9.3451198E7</v>
      </c>
    </row>
    <row r="581">
      <c r="J581" s="111">
        <v>40.0</v>
      </c>
      <c r="K581" s="24">
        <v>896.0</v>
      </c>
      <c r="L581" s="24">
        <v>7.4786584E7</v>
      </c>
    </row>
    <row r="582">
      <c r="J582" s="111">
        <v>4.0</v>
      </c>
      <c r="K582" s="24">
        <v>413.0</v>
      </c>
      <c r="L582" s="24">
        <v>5.6812796E7</v>
      </c>
    </row>
    <row r="583">
      <c r="J583" s="111">
        <v>51.0</v>
      </c>
      <c r="K583" s="24">
        <v>976.0</v>
      </c>
      <c r="L583" s="24">
        <v>6.3634224E7</v>
      </c>
    </row>
    <row r="584">
      <c r="J584" s="111">
        <v>22.0</v>
      </c>
      <c r="K584" s="24">
        <v>502.0</v>
      </c>
      <c r="L584" s="24">
        <v>1.5547593E7</v>
      </c>
    </row>
    <row r="585">
      <c r="J585" s="111">
        <v>46.0</v>
      </c>
      <c r="K585" s="24">
        <v>242.0</v>
      </c>
      <c r="L585" s="24">
        <v>7.902411E7</v>
      </c>
    </row>
    <row r="586">
      <c r="J586" s="111">
        <v>50.0</v>
      </c>
      <c r="K586" s="24">
        <v>225.0</v>
      </c>
      <c r="L586" s="24">
        <v>9.8629752E7</v>
      </c>
    </row>
    <row r="587">
      <c r="J587" s="111">
        <v>10.0</v>
      </c>
      <c r="K587" s="24">
        <v>719.0</v>
      </c>
      <c r="L587" s="24">
        <v>5.5765673E7</v>
      </c>
    </row>
    <row r="588">
      <c r="J588" s="111">
        <v>28.0</v>
      </c>
      <c r="K588" s="24">
        <v>294.0</v>
      </c>
      <c r="L588" s="24">
        <v>2.6195275E7</v>
      </c>
    </row>
    <row r="589">
      <c r="J589" s="111">
        <v>29.0</v>
      </c>
      <c r="K589" s="24">
        <v>676.0</v>
      </c>
      <c r="L589" s="24">
        <v>2.4760818E7</v>
      </c>
    </row>
    <row r="590">
      <c r="J590" s="111">
        <v>44.0</v>
      </c>
      <c r="K590" s="24">
        <v>851.0</v>
      </c>
      <c r="L590" s="24">
        <v>9.735173E7</v>
      </c>
    </row>
    <row r="591">
      <c r="J591" s="111">
        <v>24.0</v>
      </c>
      <c r="K591" s="24">
        <v>448.0</v>
      </c>
      <c r="L591" s="24">
        <v>5.6994406E7</v>
      </c>
    </row>
    <row r="592">
      <c r="J592" s="111">
        <v>28.0</v>
      </c>
      <c r="K592" s="24">
        <v>776.0</v>
      </c>
      <c r="L592" s="24">
        <v>5.3434588E7</v>
      </c>
    </row>
    <row r="593">
      <c r="J593" s="111">
        <v>13.0</v>
      </c>
      <c r="K593" s="24">
        <v>593.0</v>
      </c>
      <c r="L593" s="24">
        <v>2.6149237E7</v>
      </c>
    </row>
    <row r="594">
      <c r="J594" s="111">
        <v>2.0</v>
      </c>
      <c r="K594" s="24">
        <v>527.0</v>
      </c>
      <c r="L594" s="24">
        <v>9.2408928E7</v>
      </c>
    </row>
    <row r="595">
      <c r="J595" s="111">
        <v>54.0</v>
      </c>
      <c r="K595" s="24">
        <v>139.0</v>
      </c>
      <c r="L595" s="24">
        <v>6.3638279E7</v>
      </c>
    </row>
    <row r="596">
      <c r="J596" s="111">
        <v>31.0</v>
      </c>
      <c r="K596" s="24">
        <v>410.0</v>
      </c>
      <c r="L596" s="24">
        <v>8.0794468E7</v>
      </c>
    </row>
    <row r="597">
      <c r="J597" s="111">
        <v>40.0</v>
      </c>
      <c r="K597" s="24">
        <v>173.0</v>
      </c>
      <c r="L597" s="24">
        <v>2.9636726E7</v>
      </c>
    </row>
    <row r="598">
      <c r="J598" s="111">
        <v>44.0</v>
      </c>
      <c r="K598" s="24">
        <v>200.0</v>
      </c>
      <c r="L598" s="24">
        <v>3.6489566E7</v>
      </c>
    </row>
    <row r="599">
      <c r="J599" s="111">
        <v>42.0</v>
      </c>
      <c r="K599" s="24">
        <v>551.0</v>
      </c>
      <c r="L599" s="24">
        <v>1.1071233E7</v>
      </c>
    </row>
    <row r="600">
      <c r="J600" s="111">
        <v>4.0</v>
      </c>
      <c r="K600" s="24">
        <v>410.0</v>
      </c>
      <c r="L600" s="24">
        <v>3.2637391E7</v>
      </c>
    </row>
    <row r="601">
      <c r="J601" s="111">
        <v>1.0</v>
      </c>
      <c r="K601" s="24">
        <v>666.0</v>
      </c>
      <c r="L601" s="24">
        <v>4.4103211E7</v>
      </c>
    </row>
    <row r="602">
      <c r="J602" s="111">
        <v>16.0</v>
      </c>
      <c r="K602" s="24">
        <v>538.0</v>
      </c>
      <c r="L602" s="24">
        <v>2.8898613E7</v>
      </c>
    </row>
    <row r="603">
      <c r="J603" s="111">
        <v>28.0</v>
      </c>
      <c r="K603" s="24">
        <v>427.0</v>
      </c>
      <c r="L603" s="24">
        <v>4.7259687E7</v>
      </c>
    </row>
    <row r="604">
      <c r="J604" s="111">
        <v>46.0</v>
      </c>
      <c r="K604" s="24">
        <v>636.0</v>
      </c>
      <c r="L604" s="24">
        <v>2.7135045E7</v>
      </c>
    </row>
    <row r="605">
      <c r="J605" s="111">
        <v>10.0</v>
      </c>
      <c r="K605" s="24">
        <v>825.0</v>
      </c>
      <c r="L605" s="24">
        <v>7.5468018E7</v>
      </c>
    </row>
    <row r="606">
      <c r="J606" s="111">
        <v>47.0</v>
      </c>
      <c r="K606" s="24">
        <v>382.0</v>
      </c>
      <c r="L606" s="24">
        <v>3.3845262E7</v>
      </c>
    </row>
    <row r="607">
      <c r="J607" s="111">
        <v>18.0</v>
      </c>
      <c r="K607" s="24">
        <v>124.0</v>
      </c>
      <c r="L607" s="24">
        <v>5.3891132E7</v>
      </c>
    </row>
    <row r="608">
      <c r="J608" s="111">
        <v>38.0</v>
      </c>
      <c r="K608" s="24">
        <v>712.0</v>
      </c>
      <c r="L608" s="24">
        <v>9.2159547E7</v>
      </c>
    </row>
    <row r="609">
      <c r="J609" s="111">
        <v>4.0</v>
      </c>
      <c r="K609" s="24">
        <v>595.0</v>
      </c>
      <c r="L609" s="24">
        <v>2.9155874E7</v>
      </c>
    </row>
    <row r="610">
      <c r="J610" s="111">
        <v>26.0</v>
      </c>
      <c r="K610" s="24">
        <v>696.0</v>
      </c>
      <c r="L610" s="24">
        <v>7.9354329E7</v>
      </c>
    </row>
    <row r="611">
      <c r="J611" s="111">
        <v>13.0</v>
      </c>
      <c r="K611" s="24">
        <v>751.0</v>
      </c>
      <c r="L611" s="24">
        <v>4.9725296E7</v>
      </c>
    </row>
    <row r="612">
      <c r="J612" s="111">
        <v>12.0</v>
      </c>
      <c r="K612" s="24">
        <v>928.0</v>
      </c>
      <c r="L612" s="24">
        <v>5.2212869E7</v>
      </c>
    </row>
    <row r="613">
      <c r="J613" s="111">
        <v>2.0</v>
      </c>
      <c r="K613" s="24">
        <v>986.0</v>
      </c>
      <c r="L613" s="24">
        <v>2.1133679E7</v>
      </c>
    </row>
    <row r="614">
      <c r="J614" s="111">
        <v>47.0</v>
      </c>
      <c r="K614" s="24">
        <v>996.0</v>
      </c>
      <c r="L614" s="24">
        <v>5.7517614E7</v>
      </c>
    </row>
    <row r="615">
      <c r="J615" s="111">
        <v>51.0</v>
      </c>
      <c r="K615" s="24">
        <v>763.0</v>
      </c>
      <c r="L615" s="24">
        <v>3.3238755E7</v>
      </c>
    </row>
    <row r="616">
      <c r="J616" s="111">
        <v>33.0</v>
      </c>
      <c r="K616" s="24">
        <v>504.0</v>
      </c>
      <c r="L616" s="24">
        <v>3.9610056E7</v>
      </c>
    </row>
    <row r="617">
      <c r="J617" s="111">
        <v>19.0</v>
      </c>
      <c r="K617" s="24">
        <v>826.0</v>
      </c>
      <c r="L617" s="24">
        <v>3.458675E7</v>
      </c>
    </row>
    <row r="618">
      <c r="J618" s="111">
        <v>42.0</v>
      </c>
      <c r="K618" s="24">
        <v>458.0</v>
      </c>
      <c r="L618" s="24">
        <v>6.151423E7</v>
      </c>
    </row>
    <row r="619">
      <c r="J619" s="111">
        <v>40.0</v>
      </c>
      <c r="K619" s="24">
        <v>136.0</v>
      </c>
      <c r="L619" s="24">
        <v>5.9140953E7</v>
      </c>
    </row>
    <row r="620">
      <c r="J620" s="111">
        <v>12.0</v>
      </c>
      <c r="K620" s="24">
        <v>147.0</v>
      </c>
      <c r="L620" s="24">
        <v>4.9471204E7</v>
      </c>
    </row>
    <row r="621">
      <c r="J621" s="111">
        <v>54.0</v>
      </c>
      <c r="K621" s="24">
        <v>830.0</v>
      </c>
      <c r="L621" s="24">
        <v>9.655569E7</v>
      </c>
    </row>
    <row r="622">
      <c r="J622" s="111">
        <v>27.0</v>
      </c>
      <c r="K622" s="24">
        <v>402.0</v>
      </c>
      <c r="L622" s="24">
        <v>7.2002597E7</v>
      </c>
    </row>
    <row r="623">
      <c r="J623" s="111">
        <v>27.0</v>
      </c>
      <c r="K623" s="24">
        <v>105.0</v>
      </c>
      <c r="L623" s="24">
        <v>2.8058075E7</v>
      </c>
    </row>
    <row r="624">
      <c r="J624" s="111">
        <v>40.0</v>
      </c>
      <c r="K624" s="24">
        <v>468.0</v>
      </c>
      <c r="L624" s="24">
        <v>2.2936075E7</v>
      </c>
    </row>
    <row r="625">
      <c r="J625" s="111">
        <v>4.0</v>
      </c>
      <c r="K625" s="24">
        <v>135.0</v>
      </c>
      <c r="L625" s="24">
        <v>8.9791153E7</v>
      </c>
    </row>
    <row r="626">
      <c r="J626" s="111">
        <v>51.0</v>
      </c>
      <c r="K626" s="24">
        <v>773.0</v>
      </c>
      <c r="L626" s="24">
        <v>3.2903048E7</v>
      </c>
    </row>
    <row r="627">
      <c r="J627" s="111">
        <v>16.0</v>
      </c>
      <c r="K627" s="24">
        <v>994.0</v>
      </c>
      <c r="L627" s="24">
        <v>5.6055098E7</v>
      </c>
    </row>
    <row r="628">
      <c r="J628" s="111">
        <v>22.0</v>
      </c>
      <c r="K628" s="24">
        <v>387.0</v>
      </c>
      <c r="L628" s="24">
        <v>5.2795383E7</v>
      </c>
    </row>
    <row r="629">
      <c r="J629" s="111">
        <v>23.0</v>
      </c>
      <c r="K629" s="24">
        <v>180.0</v>
      </c>
      <c r="L629" s="24">
        <v>4.2591807E7</v>
      </c>
    </row>
    <row r="630">
      <c r="J630" s="111">
        <v>34.0</v>
      </c>
      <c r="K630" s="24">
        <v>510.0</v>
      </c>
      <c r="L630" s="24">
        <v>5.1258225E7</v>
      </c>
    </row>
    <row r="631">
      <c r="J631" s="111">
        <v>47.0</v>
      </c>
      <c r="K631" s="24">
        <v>657.0</v>
      </c>
      <c r="L631" s="24">
        <v>4.0776746E7</v>
      </c>
    </row>
    <row r="632">
      <c r="J632" s="111">
        <v>5.0</v>
      </c>
      <c r="K632" s="24">
        <v>216.0</v>
      </c>
      <c r="L632" s="24">
        <v>3.2767412E7</v>
      </c>
    </row>
    <row r="633">
      <c r="J633" s="111">
        <v>37.0</v>
      </c>
      <c r="K633" s="24">
        <v>185.0</v>
      </c>
      <c r="L633" s="24">
        <v>2.4895152E7</v>
      </c>
    </row>
    <row r="634">
      <c r="J634" s="111">
        <v>37.0</v>
      </c>
      <c r="K634" s="24">
        <v>175.0</v>
      </c>
      <c r="L634" s="24">
        <v>8.8029431E7</v>
      </c>
    </row>
    <row r="635">
      <c r="J635" s="111">
        <v>23.0</v>
      </c>
      <c r="K635" s="24">
        <v>936.0</v>
      </c>
      <c r="L635" s="24">
        <v>6.8478694E7</v>
      </c>
    </row>
    <row r="636">
      <c r="J636" s="111">
        <v>8.0</v>
      </c>
      <c r="K636" s="24">
        <v>475.0</v>
      </c>
      <c r="L636" s="24">
        <v>7.8646013E7</v>
      </c>
    </row>
    <row r="637">
      <c r="J637" s="111">
        <v>5.0</v>
      </c>
      <c r="K637" s="24">
        <v>854.0</v>
      </c>
      <c r="L637" s="24">
        <v>7.332629E7</v>
      </c>
    </row>
    <row r="638">
      <c r="J638" s="111">
        <v>12.0</v>
      </c>
      <c r="K638" s="24">
        <v>234.0</v>
      </c>
      <c r="L638" s="24">
        <v>5.9206083E7</v>
      </c>
    </row>
    <row r="639">
      <c r="J639" s="111">
        <v>24.0</v>
      </c>
      <c r="K639" s="24">
        <v>585.0</v>
      </c>
      <c r="L639" s="24">
        <v>9.4667598E7</v>
      </c>
    </row>
    <row r="640">
      <c r="J640" s="111">
        <v>6.0</v>
      </c>
      <c r="K640" s="24">
        <v>333.0</v>
      </c>
      <c r="L640" s="24">
        <v>7.8864668E7</v>
      </c>
    </row>
    <row r="641">
      <c r="J641" s="111">
        <v>30.0</v>
      </c>
      <c r="K641" s="24">
        <v>299.0</v>
      </c>
      <c r="L641" s="24">
        <v>1.0889306E7</v>
      </c>
    </row>
    <row r="642">
      <c r="J642" s="111">
        <v>55.0</v>
      </c>
      <c r="K642" s="24">
        <v>367.0</v>
      </c>
      <c r="L642" s="24">
        <v>9.8008756E7</v>
      </c>
    </row>
    <row r="643">
      <c r="J643" s="111">
        <v>26.0</v>
      </c>
      <c r="K643" s="24">
        <v>637.0</v>
      </c>
      <c r="L643" s="24">
        <v>7.2944448E7</v>
      </c>
    </row>
    <row r="644">
      <c r="J644" s="111">
        <v>33.0</v>
      </c>
      <c r="K644" s="24">
        <v>221.0</v>
      </c>
      <c r="L644" s="24">
        <v>2.3403811E7</v>
      </c>
    </row>
    <row r="645">
      <c r="J645" s="111">
        <v>56.0</v>
      </c>
      <c r="K645" s="24">
        <v>666.0</v>
      </c>
      <c r="L645" s="24">
        <v>7.1311178E7</v>
      </c>
    </row>
    <row r="646">
      <c r="J646" s="111">
        <v>44.0</v>
      </c>
      <c r="K646" s="24">
        <v>653.0</v>
      </c>
      <c r="L646" s="24">
        <v>7.6652698E7</v>
      </c>
    </row>
    <row r="647">
      <c r="J647" s="111">
        <v>51.0</v>
      </c>
      <c r="K647" s="24">
        <v>200.0</v>
      </c>
      <c r="L647" s="24">
        <v>8.8105983E7</v>
      </c>
    </row>
    <row r="648">
      <c r="J648" s="111">
        <v>28.0</v>
      </c>
      <c r="K648" s="24">
        <v>729.0</v>
      </c>
      <c r="L648" s="24">
        <v>5.221206E7</v>
      </c>
    </row>
    <row r="649">
      <c r="J649" s="111">
        <v>46.0</v>
      </c>
      <c r="K649" s="24">
        <v>600.0</v>
      </c>
      <c r="L649" s="24">
        <v>9.7770918E7</v>
      </c>
    </row>
    <row r="650">
      <c r="J650" s="111">
        <v>19.0</v>
      </c>
      <c r="K650" s="24">
        <v>264.0</v>
      </c>
      <c r="L650" s="24">
        <v>9.480594E7</v>
      </c>
    </row>
    <row r="651">
      <c r="J651" s="111">
        <v>29.0</v>
      </c>
      <c r="K651" s="24">
        <v>862.0</v>
      </c>
      <c r="L651" s="24">
        <v>5.1699802E7</v>
      </c>
    </row>
    <row r="652">
      <c r="J652" s="111">
        <v>11.0</v>
      </c>
      <c r="K652" s="24">
        <v>754.0</v>
      </c>
      <c r="L652" s="24">
        <v>8.1908437E7</v>
      </c>
    </row>
    <row r="653">
      <c r="J653" s="111">
        <v>35.0</v>
      </c>
      <c r="K653" s="24">
        <v>904.0</v>
      </c>
      <c r="L653" s="24">
        <v>5.9703472E7</v>
      </c>
    </row>
    <row r="654">
      <c r="J654" s="111">
        <v>36.0</v>
      </c>
      <c r="K654" s="24">
        <v>874.0</v>
      </c>
      <c r="L654" s="24">
        <v>6.9166809E7</v>
      </c>
    </row>
    <row r="655">
      <c r="J655" s="111">
        <v>11.0</v>
      </c>
      <c r="K655" s="24">
        <v>895.0</v>
      </c>
      <c r="L655" s="24">
        <v>7.9310189E7</v>
      </c>
    </row>
    <row r="656">
      <c r="J656" s="111">
        <v>25.0</v>
      </c>
      <c r="K656" s="24">
        <v>748.0</v>
      </c>
      <c r="L656" s="24">
        <v>1.2977886E7</v>
      </c>
    </row>
    <row r="657">
      <c r="J657" s="111">
        <v>51.0</v>
      </c>
      <c r="K657" s="24">
        <v>223.0</v>
      </c>
      <c r="L657" s="24">
        <v>5.4579248E7</v>
      </c>
    </row>
    <row r="658">
      <c r="J658" s="111">
        <v>10.0</v>
      </c>
      <c r="K658" s="24">
        <v>289.0</v>
      </c>
      <c r="L658" s="24">
        <v>1.6202808E7</v>
      </c>
    </row>
    <row r="659">
      <c r="J659" s="111">
        <v>45.0</v>
      </c>
      <c r="K659" s="24">
        <v>851.0</v>
      </c>
      <c r="L659" s="24">
        <v>2.0206089E7</v>
      </c>
    </row>
    <row r="660">
      <c r="J660" s="111">
        <v>2.0</v>
      </c>
      <c r="K660" s="24">
        <v>320.0</v>
      </c>
      <c r="L660" s="24">
        <v>1.7392188E7</v>
      </c>
    </row>
    <row r="661">
      <c r="J661" s="111">
        <v>18.0</v>
      </c>
      <c r="K661" s="24">
        <v>204.0</v>
      </c>
      <c r="L661" s="24">
        <v>8.3721445E7</v>
      </c>
    </row>
    <row r="662">
      <c r="J662" s="111">
        <v>18.0</v>
      </c>
      <c r="K662" s="24">
        <v>644.0</v>
      </c>
      <c r="L662" s="24">
        <v>7.3073303E7</v>
      </c>
    </row>
    <row r="663">
      <c r="J663" s="111">
        <v>40.0</v>
      </c>
      <c r="K663" s="24">
        <v>556.0</v>
      </c>
      <c r="L663" s="24">
        <v>8.4937321E7</v>
      </c>
    </row>
    <row r="664">
      <c r="J664" s="111">
        <v>9.0</v>
      </c>
      <c r="K664" s="24">
        <v>622.0</v>
      </c>
      <c r="L664" s="24">
        <v>5.9621068E7</v>
      </c>
    </row>
    <row r="665">
      <c r="J665" s="111">
        <v>48.0</v>
      </c>
      <c r="K665" s="24">
        <v>162.0</v>
      </c>
      <c r="L665" s="24">
        <v>4.8779032E7</v>
      </c>
    </row>
    <row r="666">
      <c r="J666" s="111">
        <v>21.0</v>
      </c>
      <c r="K666" s="24">
        <v>885.0</v>
      </c>
      <c r="L666" s="24">
        <v>2.4199994E7</v>
      </c>
    </row>
    <row r="667">
      <c r="J667" s="111">
        <v>45.0</v>
      </c>
      <c r="K667" s="24">
        <v>893.0</v>
      </c>
      <c r="L667" s="24">
        <v>8.0473986E7</v>
      </c>
    </row>
    <row r="668">
      <c r="J668" s="111">
        <v>42.0</v>
      </c>
      <c r="K668" s="24">
        <v>821.0</v>
      </c>
      <c r="L668" s="24">
        <v>6.6685281E7</v>
      </c>
    </row>
    <row r="669">
      <c r="J669" s="111">
        <v>5.0</v>
      </c>
      <c r="K669" s="24">
        <v>548.0</v>
      </c>
      <c r="L669" s="24">
        <v>8.4619318E7</v>
      </c>
    </row>
    <row r="670">
      <c r="J670" s="111">
        <v>4.0</v>
      </c>
      <c r="K670" s="24">
        <v>740.0</v>
      </c>
      <c r="L670" s="24">
        <v>3.5208268E7</v>
      </c>
    </row>
    <row r="671">
      <c r="J671" s="111">
        <v>40.0</v>
      </c>
      <c r="K671" s="24">
        <v>350.0</v>
      </c>
      <c r="L671" s="24">
        <v>3.1141474E7</v>
      </c>
    </row>
    <row r="672">
      <c r="J672" s="111">
        <v>1.0</v>
      </c>
      <c r="K672" s="24">
        <v>962.0</v>
      </c>
      <c r="L672" s="24">
        <v>3.0587792E7</v>
      </c>
    </row>
    <row r="673">
      <c r="J673" s="111">
        <v>20.0</v>
      </c>
      <c r="K673" s="24">
        <v>557.0</v>
      </c>
      <c r="L673" s="24">
        <v>9.6105324E7</v>
      </c>
    </row>
    <row r="674">
      <c r="J674" s="111">
        <v>17.0</v>
      </c>
      <c r="K674" s="24">
        <v>782.0</v>
      </c>
      <c r="L674" s="24">
        <v>6.9161482E7</v>
      </c>
    </row>
    <row r="675">
      <c r="J675" s="111">
        <v>23.0</v>
      </c>
      <c r="K675" s="24">
        <v>193.0</v>
      </c>
      <c r="L675" s="24">
        <v>6.0701378E7</v>
      </c>
    </row>
    <row r="676">
      <c r="J676" s="111">
        <v>41.0</v>
      </c>
      <c r="K676" s="24">
        <v>666.0</v>
      </c>
      <c r="L676" s="24">
        <v>7.5202084E7</v>
      </c>
    </row>
    <row r="677">
      <c r="J677" s="111">
        <v>18.0</v>
      </c>
      <c r="K677" s="24">
        <v>549.0</v>
      </c>
      <c r="L677" s="24">
        <v>1.7535711E7</v>
      </c>
    </row>
    <row r="678">
      <c r="J678" s="111">
        <v>35.0</v>
      </c>
      <c r="K678" s="24">
        <v>822.0</v>
      </c>
      <c r="L678" s="24">
        <v>5.0801681E7</v>
      </c>
    </row>
    <row r="679">
      <c r="J679" s="111">
        <v>11.0</v>
      </c>
      <c r="K679" s="24">
        <v>309.0</v>
      </c>
      <c r="L679" s="24">
        <v>2.6549869E7</v>
      </c>
    </row>
    <row r="680">
      <c r="J680" s="111">
        <v>54.0</v>
      </c>
      <c r="K680" s="24">
        <v>267.0</v>
      </c>
      <c r="L680" s="24">
        <v>9.653139E7</v>
      </c>
    </row>
    <row r="681">
      <c r="J681" s="111">
        <v>19.0</v>
      </c>
      <c r="K681" s="24">
        <v>539.0</v>
      </c>
      <c r="L681" s="24">
        <v>3.5219238E7</v>
      </c>
    </row>
    <row r="682">
      <c r="J682" s="111">
        <v>15.0</v>
      </c>
      <c r="K682" s="24">
        <v>262.0</v>
      </c>
      <c r="L682" s="24">
        <v>2.4727663E7</v>
      </c>
    </row>
    <row r="683">
      <c r="J683" s="111">
        <v>13.0</v>
      </c>
      <c r="K683" s="24">
        <v>410.0</v>
      </c>
      <c r="L683" s="24">
        <v>7.4865247E7</v>
      </c>
    </row>
    <row r="684">
      <c r="J684" s="111">
        <v>44.0</v>
      </c>
      <c r="K684" s="24">
        <v>974.0</v>
      </c>
      <c r="L684" s="24">
        <v>2.1690126E7</v>
      </c>
    </row>
    <row r="685">
      <c r="J685" s="111">
        <v>48.0</v>
      </c>
      <c r="K685" s="24">
        <v>956.0</v>
      </c>
      <c r="L685" s="24">
        <v>6.2130658E7</v>
      </c>
    </row>
    <row r="686">
      <c r="J686" s="111">
        <v>15.0</v>
      </c>
      <c r="K686" s="24">
        <v>980.0</v>
      </c>
      <c r="L686" s="24">
        <v>9.2930005E7</v>
      </c>
    </row>
    <row r="687">
      <c r="J687" s="111">
        <v>19.0</v>
      </c>
      <c r="K687" s="24">
        <v>268.0</v>
      </c>
      <c r="L687" s="24">
        <v>9.9691549E7</v>
      </c>
    </row>
    <row r="688">
      <c r="J688" s="111">
        <v>45.0</v>
      </c>
      <c r="K688" s="24">
        <v>167.0</v>
      </c>
      <c r="L688" s="24">
        <v>5.7597721E7</v>
      </c>
    </row>
    <row r="689">
      <c r="J689" s="111">
        <v>34.0</v>
      </c>
      <c r="K689" s="24">
        <v>399.0</v>
      </c>
      <c r="L689" s="24">
        <v>5.9390501E7</v>
      </c>
    </row>
    <row r="690">
      <c r="J690" s="111">
        <v>54.0</v>
      </c>
      <c r="K690" s="24">
        <v>193.0</v>
      </c>
      <c r="L690" s="24">
        <v>5.6019953E7</v>
      </c>
    </row>
    <row r="691">
      <c r="J691" s="111">
        <v>25.0</v>
      </c>
      <c r="K691" s="24">
        <v>485.0</v>
      </c>
      <c r="L691" s="24">
        <v>2.3955139E7</v>
      </c>
    </row>
    <row r="692">
      <c r="J692" s="111">
        <v>5.0</v>
      </c>
      <c r="K692" s="24">
        <v>618.0</v>
      </c>
      <c r="L692" s="24">
        <v>4.6180534E7</v>
      </c>
    </row>
    <row r="693">
      <c r="J693" s="111">
        <v>37.0</v>
      </c>
      <c r="K693" s="24">
        <v>791.0</v>
      </c>
      <c r="L693" s="24">
        <v>9.5045392E7</v>
      </c>
    </row>
    <row r="694">
      <c r="J694" s="111">
        <v>11.0</v>
      </c>
      <c r="K694" s="24">
        <v>669.0</v>
      </c>
      <c r="L694" s="24">
        <v>4.1038312E7</v>
      </c>
    </row>
    <row r="695">
      <c r="J695" s="111">
        <v>24.0</v>
      </c>
      <c r="K695" s="24">
        <v>292.0</v>
      </c>
      <c r="L695" s="24">
        <v>3.5612509E7</v>
      </c>
    </row>
    <row r="696">
      <c r="J696" s="111">
        <v>36.0</v>
      </c>
      <c r="K696" s="24">
        <v>245.0</v>
      </c>
      <c r="L696" s="24">
        <v>2.7651551E7</v>
      </c>
    </row>
    <row r="697">
      <c r="J697" s="111">
        <v>22.0</v>
      </c>
      <c r="K697" s="24">
        <v>379.0</v>
      </c>
      <c r="L697" s="24">
        <v>5.4573375E7</v>
      </c>
    </row>
    <row r="698">
      <c r="J698" s="111">
        <v>24.0</v>
      </c>
      <c r="K698" s="24">
        <v>720.0</v>
      </c>
      <c r="L698" s="24">
        <v>5.175189E7</v>
      </c>
    </row>
    <row r="699">
      <c r="J699" s="111">
        <v>1.0</v>
      </c>
      <c r="K699" s="24">
        <v>232.0</v>
      </c>
      <c r="L699" s="24">
        <v>8.0533683E7</v>
      </c>
    </row>
    <row r="700">
      <c r="J700" s="111">
        <v>9.0</v>
      </c>
      <c r="K700" s="24">
        <v>370.0</v>
      </c>
      <c r="L700" s="24">
        <v>7.5610058E7</v>
      </c>
    </row>
    <row r="701">
      <c r="J701" s="111">
        <v>22.0</v>
      </c>
      <c r="K701" s="24">
        <v>866.0</v>
      </c>
      <c r="L701" s="24">
        <v>2.8655123E7</v>
      </c>
    </row>
    <row r="702">
      <c r="J702" s="111">
        <v>22.0</v>
      </c>
      <c r="K702" s="24">
        <v>169.0</v>
      </c>
      <c r="L702" s="24">
        <v>4.4416698E7</v>
      </c>
    </row>
    <row r="703">
      <c r="J703" s="111">
        <v>49.0</v>
      </c>
      <c r="K703" s="24">
        <v>635.0</v>
      </c>
      <c r="L703" s="24">
        <v>2.9349848E7</v>
      </c>
    </row>
    <row r="704">
      <c r="J704" s="111">
        <v>51.0</v>
      </c>
      <c r="K704" s="24">
        <v>706.0</v>
      </c>
      <c r="L704" s="24">
        <v>3.4311926E7</v>
      </c>
    </row>
    <row r="705">
      <c r="J705" s="111">
        <v>54.0</v>
      </c>
      <c r="K705" s="24">
        <v>615.0</v>
      </c>
      <c r="L705" s="24">
        <v>5.3188969E7</v>
      </c>
    </row>
    <row r="706">
      <c r="J706" s="111">
        <v>53.0</v>
      </c>
      <c r="K706" s="24">
        <v>408.0</v>
      </c>
      <c r="L706" s="24">
        <v>2.5635484E7</v>
      </c>
    </row>
    <row r="707">
      <c r="J707" s="111">
        <v>21.0</v>
      </c>
      <c r="K707" s="24">
        <v>387.0</v>
      </c>
      <c r="L707" s="24">
        <v>6.9466022E7</v>
      </c>
    </row>
    <row r="708">
      <c r="J708" s="111">
        <v>40.0</v>
      </c>
      <c r="K708" s="24">
        <v>931.0</v>
      </c>
      <c r="L708" s="24">
        <v>9.682094E7</v>
      </c>
    </row>
    <row r="709">
      <c r="J709" s="111">
        <v>8.0</v>
      </c>
      <c r="K709" s="24">
        <v>728.0</v>
      </c>
      <c r="L709" s="24">
        <v>1.5432261E7</v>
      </c>
    </row>
    <row r="710">
      <c r="J710" s="111">
        <v>9.0</v>
      </c>
      <c r="K710" s="24">
        <v>530.0</v>
      </c>
      <c r="L710" s="24">
        <v>7.1115351E7</v>
      </c>
    </row>
    <row r="711">
      <c r="J711" s="111">
        <v>8.0</v>
      </c>
      <c r="K711" s="24">
        <v>966.0</v>
      </c>
      <c r="L711" s="24">
        <v>9.2992249E7</v>
      </c>
    </row>
    <row r="712">
      <c r="J712" s="111">
        <v>49.0</v>
      </c>
      <c r="K712" s="24">
        <v>418.0</v>
      </c>
      <c r="L712" s="24">
        <v>2.8654046E7</v>
      </c>
    </row>
    <row r="713">
      <c r="J713" s="111">
        <v>16.0</v>
      </c>
      <c r="K713" s="24">
        <v>980.0</v>
      </c>
      <c r="L713" s="24">
        <v>7.162256E7</v>
      </c>
    </row>
    <row r="714">
      <c r="J714" s="111">
        <v>55.0</v>
      </c>
      <c r="K714" s="24">
        <v>640.0</v>
      </c>
      <c r="L714" s="24">
        <v>4.2244831E7</v>
      </c>
    </row>
    <row r="715">
      <c r="J715" s="111">
        <v>42.0</v>
      </c>
      <c r="K715" s="24">
        <v>800.0</v>
      </c>
      <c r="L715" s="24">
        <v>5.4917549E7</v>
      </c>
    </row>
    <row r="716">
      <c r="J716" s="111">
        <v>32.0</v>
      </c>
      <c r="K716" s="24">
        <v>960.0</v>
      </c>
      <c r="L716" s="24">
        <v>7.4655144E7</v>
      </c>
    </row>
    <row r="717">
      <c r="J717" s="111">
        <v>51.0</v>
      </c>
      <c r="K717" s="24">
        <v>273.0</v>
      </c>
      <c r="L717" s="24">
        <v>4.7218193E7</v>
      </c>
    </row>
    <row r="718">
      <c r="J718" s="111">
        <v>51.0</v>
      </c>
      <c r="K718" s="24">
        <v>858.0</v>
      </c>
      <c r="L718" s="24">
        <v>2.1886415E7</v>
      </c>
    </row>
    <row r="719">
      <c r="J719" s="111">
        <v>40.0</v>
      </c>
      <c r="K719" s="24">
        <v>124.0</v>
      </c>
      <c r="L719" s="24">
        <v>4.9988195E7</v>
      </c>
    </row>
    <row r="720">
      <c r="J720" s="111">
        <v>8.0</v>
      </c>
      <c r="K720" s="24">
        <v>704.0</v>
      </c>
      <c r="L720" s="24">
        <v>3.8773921E7</v>
      </c>
    </row>
    <row r="721">
      <c r="J721" s="111">
        <v>45.0</v>
      </c>
      <c r="K721" s="24">
        <v>326.0</v>
      </c>
      <c r="L721" s="24">
        <v>3.3424426E7</v>
      </c>
    </row>
    <row r="722">
      <c r="J722" s="111">
        <v>51.0</v>
      </c>
      <c r="K722" s="24">
        <v>698.0</v>
      </c>
      <c r="L722" s="24">
        <v>8.9789675E7</v>
      </c>
    </row>
    <row r="723">
      <c r="J723" s="111">
        <v>9.0</v>
      </c>
      <c r="K723" s="24">
        <v>142.0</v>
      </c>
      <c r="L723" s="24">
        <v>6.0056237E7</v>
      </c>
    </row>
    <row r="724">
      <c r="J724" s="111">
        <v>53.0</v>
      </c>
      <c r="K724" s="24">
        <v>186.0</v>
      </c>
      <c r="L724" s="24">
        <v>5.8453434E7</v>
      </c>
    </row>
    <row r="725">
      <c r="J725" s="111">
        <v>42.0</v>
      </c>
      <c r="K725" s="24">
        <v>452.0</v>
      </c>
      <c r="L725" s="24">
        <v>5.3035618E7</v>
      </c>
    </row>
    <row r="726">
      <c r="J726" s="111">
        <v>34.0</v>
      </c>
      <c r="K726" s="24">
        <v>691.0</v>
      </c>
      <c r="L726" s="24">
        <v>3.9973537E7</v>
      </c>
    </row>
    <row r="727">
      <c r="J727" s="111">
        <v>49.0</v>
      </c>
      <c r="K727" s="24">
        <v>997.0</v>
      </c>
      <c r="L727" s="24">
        <v>8.8697332E7</v>
      </c>
    </row>
    <row r="728">
      <c r="J728" s="111">
        <v>12.0</v>
      </c>
      <c r="K728" s="24">
        <v>266.0</v>
      </c>
      <c r="L728" s="24">
        <v>9.7889194E7</v>
      </c>
    </row>
    <row r="729">
      <c r="J729" s="111">
        <v>35.0</v>
      </c>
      <c r="K729" s="24">
        <v>213.0</v>
      </c>
      <c r="L729" s="24">
        <v>3.3216617E7</v>
      </c>
    </row>
    <row r="730">
      <c r="J730" s="111">
        <v>9.0</v>
      </c>
      <c r="K730" s="24">
        <v>754.0</v>
      </c>
      <c r="L730" s="24">
        <v>1.486156E7</v>
      </c>
    </row>
    <row r="731">
      <c r="J731" s="111">
        <v>9.0</v>
      </c>
      <c r="K731" s="24">
        <v>739.0</v>
      </c>
      <c r="L731" s="24">
        <v>3.6606107E7</v>
      </c>
    </row>
    <row r="732">
      <c r="J732" s="111">
        <v>2.0</v>
      </c>
      <c r="K732" s="24">
        <v>761.0</v>
      </c>
      <c r="L732" s="24">
        <v>3.4168431E7</v>
      </c>
    </row>
    <row r="733">
      <c r="J733" s="111">
        <v>28.0</v>
      </c>
      <c r="K733" s="24">
        <v>280.0</v>
      </c>
      <c r="L733" s="24">
        <v>8.2691513E7</v>
      </c>
    </row>
    <row r="734">
      <c r="J734" s="111">
        <v>27.0</v>
      </c>
      <c r="K734" s="24">
        <v>487.0</v>
      </c>
      <c r="L734" s="24">
        <v>6.1905259E7</v>
      </c>
    </row>
    <row r="735">
      <c r="J735" s="111">
        <v>13.0</v>
      </c>
      <c r="K735" s="24">
        <v>137.0</v>
      </c>
      <c r="L735" s="24">
        <v>1.06421E7</v>
      </c>
    </row>
    <row r="736">
      <c r="J736" s="111">
        <v>12.0</v>
      </c>
      <c r="K736" s="24">
        <v>914.0</v>
      </c>
      <c r="L736" s="24">
        <v>3.5201287E7</v>
      </c>
    </row>
    <row r="737">
      <c r="J737" s="111">
        <v>33.0</v>
      </c>
      <c r="K737" s="24">
        <v>194.0</v>
      </c>
      <c r="L737" s="24">
        <v>4.8669111E7</v>
      </c>
    </row>
    <row r="738">
      <c r="J738" s="111">
        <v>40.0</v>
      </c>
      <c r="K738" s="24">
        <v>943.0</v>
      </c>
      <c r="L738" s="24">
        <v>4.0457561E7</v>
      </c>
    </row>
    <row r="739">
      <c r="J739" s="111">
        <v>53.0</v>
      </c>
      <c r="K739" s="24">
        <v>254.0</v>
      </c>
      <c r="L739" s="24">
        <v>1.2218461E7</v>
      </c>
    </row>
    <row r="740">
      <c r="J740" s="111">
        <v>19.0</v>
      </c>
      <c r="K740" s="24">
        <v>407.0</v>
      </c>
      <c r="L740" s="24">
        <v>5.6618755E7</v>
      </c>
    </row>
    <row r="741">
      <c r="J741" s="111">
        <v>39.0</v>
      </c>
      <c r="K741" s="24">
        <v>505.0</v>
      </c>
      <c r="L741" s="24">
        <v>5.4688997E7</v>
      </c>
    </row>
    <row r="742">
      <c r="J742" s="111">
        <v>45.0</v>
      </c>
      <c r="K742" s="24">
        <v>301.0</v>
      </c>
      <c r="L742" s="24">
        <v>4.882389E7</v>
      </c>
    </row>
    <row r="743">
      <c r="J743" s="111">
        <v>51.0</v>
      </c>
      <c r="K743" s="24">
        <v>541.0</v>
      </c>
      <c r="L743" s="24">
        <v>7.2312159E7</v>
      </c>
    </row>
    <row r="744">
      <c r="J744" s="111">
        <v>54.0</v>
      </c>
      <c r="K744" s="24">
        <v>399.0</v>
      </c>
      <c r="L744" s="24">
        <v>4.1897458E7</v>
      </c>
    </row>
    <row r="745">
      <c r="J745" s="111">
        <v>50.0</v>
      </c>
      <c r="K745" s="24">
        <v>622.0</v>
      </c>
      <c r="L745" s="24">
        <v>6.4941812E7</v>
      </c>
    </row>
    <row r="746">
      <c r="J746" s="111">
        <v>5.0</v>
      </c>
      <c r="K746" s="24">
        <v>166.0</v>
      </c>
      <c r="L746" s="24">
        <v>5.9665777E7</v>
      </c>
    </row>
    <row r="747">
      <c r="J747" s="111">
        <v>21.0</v>
      </c>
      <c r="K747" s="24">
        <v>581.0</v>
      </c>
      <c r="L747" s="24">
        <v>6.3394952E7</v>
      </c>
    </row>
    <row r="748">
      <c r="J748" s="111">
        <v>38.0</v>
      </c>
      <c r="K748" s="24">
        <v>327.0</v>
      </c>
      <c r="L748" s="24">
        <v>1.3747808E7</v>
      </c>
    </row>
    <row r="749">
      <c r="J749" s="111">
        <v>41.0</v>
      </c>
      <c r="K749" s="24">
        <v>470.0</v>
      </c>
      <c r="L749" s="24">
        <v>2.8069411E7</v>
      </c>
    </row>
    <row r="750">
      <c r="J750" s="111">
        <v>53.0</v>
      </c>
      <c r="K750" s="24">
        <v>657.0</v>
      </c>
      <c r="L750" s="24">
        <v>5.9918271E7</v>
      </c>
    </row>
    <row r="751">
      <c r="J751" s="111">
        <v>41.0</v>
      </c>
      <c r="K751" s="24">
        <v>355.0</v>
      </c>
      <c r="L751" s="24">
        <v>3.9404755E7</v>
      </c>
    </row>
    <row r="752">
      <c r="J752" s="111">
        <v>27.0</v>
      </c>
      <c r="K752" s="24">
        <v>782.0</v>
      </c>
      <c r="L752" s="24">
        <v>5.1165908E7</v>
      </c>
    </row>
    <row r="753">
      <c r="J753" s="111">
        <v>24.0</v>
      </c>
      <c r="K753" s="24">
        <v>897.0</v>
      </c>
      <c r="L753" s="24">
        <v>6.4659856E7</v>
      </c>
    </row>
    <row r="754">
      <c r="J754" s="111">
        <v>17.0</v>
      </c>
      <c r="K754" s="24">
        <v>186.0</v>
      </c>
      <c r="L754" s="24">
        <v>4.9579507E7</v>
      </c>
    </row>
    <row r="755">
      <c r="J755" s="111">
        <v>26.0</v>
      </c>
      <c r="K755" s="24">
        <v>356.0</v>
      </c>
      <c r="L755" s="24">
        <v>5.5796615E7</v>
      </c>
    </row>
    <row r="756">
      <c r="J756" s="111">
        <v>23.0</v>
      </c>
      <c r="K756" s="24">
        <v>334.0</v>
      </c>
      <c r="L756" s="24">
        <v>7.9554903E7</v>
      </c>
    </row>
    <row r="757">
      <c r="J757" s="111">
        <v>5.0</v>
      </c>
      <c r="K757" s="24">
        <v>226.0</v>
      </c>
      <c r="L757" s="24">
        <v>9.687687E7</v>
      </c>
    </row>
    <row r="758">
      <c r="J758" s="111">
        <v>5.0</v>
      </c>
      <c r="K758" s="24">
        <v>392.0</v>
      </c>
      <c r="L758" s="24">
        <v>2.815277E7</v>
      </c>
    </row>
    <row r="759">
      <c r="J759" s="111">
        <v>21.0</v>
      </c>
      <c r="K759" s="24">
        <v>514.0</v>
      </c>
      <c r="L759" s="24">
        <v>2.022558E7</v>
      </c>
    </row>
    <row r="760">
      <c r="J760" s="111">
        <v>31.0</v>
      </c>
      <c r="K760" s="24">
        <v>332.0</v>
      </c>
      <c r="L760" s="24">
        <v>5.3790658E7</v>
      </c>
    </row>
    <row r="761">
      <c r="J761" s="111">
        <v>53.0</v>
      </c>
      <c r="K761" s="24">
        <v>378.0</v>
      </c>
      <c r="L761" s="24">
        <v>6.6847732E7</v>
      </c>
    </row>
    <row r="762">
      <c r="J762" s="111">
        <v>55.0</v>
      </c>
      <c r="K762" s="24">
        <v>403.0</v>
      </c>
      <c r="L762" s="24">
        <v>4.0285502E7</v>
      </c>
    </row>
    <row r="763">
      <c r="J763" s="111">
        <v>40.0</v>
      </c>
      <c r="K763" s="24">
        <v>661.0</v>
      </c>
      <c r="L763" s="24">
        <v>1.2604516E7</v>
      </c>
    </row>
    <row r="764">
      <c r="J764" s="111">
        <v>54.0</v>
      </c>
      <c r="K764" s="24">
        <v>262.0</v>
      </c>
      <c r="L764" s="24">
        <v>5.4494075E7</v>
      </c>
    </row>
    <row r="765">
      <c r="J765" s="111">
        <v>36.0</v>
      </c>
      <c r="K765" s="24">
        <v>780.0</v>
      </c>
      <c r="L765" s="24">
        <v>5.0025031E7</v>
      </c>
    </row>
    <row r="766">
      <c r="J766" s="111">
        <v>21.0</v>
      </c>
      <c r="K766" s="24">
        <v>332.0</v>
      </c>
      <c r="L766" s="24">
        <v>2.4595697E7</v>
      </c>
    </row>
    <row r="767">
      <c r="J767" s="111">
        <v>24.0</v>
      </c>
      <c r="K767" s="24">
        <v>880.0</v>
      </c>
      <c r="L767" s="24">
        <v>8.1926045E7</v>
      </c>
    </row>
    <row r="768">
      <c r="J768" s="111">
        <v>49.0</v>
      </c>
      <c r="K768" s="24">
        <v>145.0</v>
      </c>
      <c r="L768" s="24">
        <v>7.2331957E7</v>
      </c>
    </row>
    <row r="769">
      <c r="J769" s="111">
        <v>6.0</v>
      </c>
      <c r="K769" s="24">
        <v>839.0</v>
      </c>
      <c r="L769" s="24">
        <v>4.6575368E7</v>
      </c>
    </row>
    <row r="770">
      <c r="J770" s="111">
        <v>10.0</v>
      </c>
      <c r="K770" s="24">
        <v>227.0</v>
      </c>
      <c r="L770" s="24">
        <v>7.3324617E7</v>
      </c>
    </row>
    <row r="771">
      <c r="J771" s="111">
        <v>12.0</v>
      </c>
      <c r="K771" s="24">
        <v>672.0</v>
      </c>
      <c r="L771" s="24">
        <v>9.8228227E7</v>
      </c>
    </row>
    <row r="772">
      <c r="J772" s="111">
        <v>50.0</v>
      </c>
      <c r="K772" s="24">
        <v>913.0</v>
      </c>
      <c r="L772" s="24">
        <v>8.4566993E7</v>
      </c>
    </row>
    <row r="773">
      <c r="J773" s="111">
        <v>55.0</v>
      </c>
      <c r="K773" s="24">
        <v>378.0</v>
      </c>
      <c r="L773" s="24">
        <v>5.7613558E7</v>
      </c>
    </row>
    <row r="774">
      <c r="J774" s="111">
        <v>48.0</v>
      </c>
      <c r="K774" s="24">
        <v>312.0</v>
      </c>
      <c r="L774" s="24">
        <v>5.3656503E7</v>
      </c>
    </row>
    <row r="775">
      <c r="J775" s="111">
        <v>5.0</v>
      </c>
      <c r="K775" s="24">
        <v>428.0</v>
      </c>
      <c r="L775" s="24">
        <v>4.4400393E7</v>
      </c>
    </row>
    <row r="776">
      <c r="J776" s="111">
        <v>21.0</v>
      </c>
      <c r="K776" s="24">
        <v>130.0</v>
      </c>
      <c r="L776" s="24">
        <v>2.3169478E7</v>
      </c>
    </row>
    <row r="777">
      <c r="J777" s="111">
        <v>45.0</v>
      </c>
      <c r="K777" s="24">
        <v>314.0</v>
      </c>
      <c r="L777" s="24">
        <v>3.5630709E7</v>
      </c>
    </row>
    <row r="778">
      <c r="J778" s="111">
        <v>29.0</v>
      </c>
      <c r="K778" s="24">
        <v>293.0</v>
      </c>
      <c r="L778" s="24">
        <v>8.8633442E7</v>
      </c>
    </row>
    <row r="779">
      <c r="J779" s="111">
        <v>34.0</v>
      </c>
      <c r="K779" s="24">
        <v>797.0</v>
      </c>
      <c r="L779" s="24">
        <v>2.6062823E7</v>
      </c>
    </row>
    <row r="780">
      <c r="J780" s="111">
        <v>31.0</v>
      </c>
      <c r="K780" s="24">
        <v>217.0</v>
      </c>
      <c r="L780" s="24">
        <v>3.7139114E7</v>
      </c>
    </row>
    <row r="781">
      <c r="J781" s="111">
        <v>29.0</v>
      </c>
      <c r="K781" s="24">
        <v>806.0</v>
      </c>
      <c r="L781" s="24">
        <v>8.1977914E7</v>
      </c>
    </row>
    <row r="782">
      <c r="J782" s="111">
        <v>29.0</v>
      </c>
      <c r="K782" s="24">
        <v>372.0</v>
      </c>
      <c r="L782" s="24">
        <v>3.81173E7</v>
      </c>
    </row>
    <row r="783">
      <c r="J783" s="111">
        <v>17.0</v>
      </c>
      <c r="K783" s="24">
        <v>551.0</v>
      </c>
      <c r="L783" s="24">
        <v>5.0094739E7</v>
      </c>
    </row>
    <row r="784">
      <c r="J784" s="111">
        <v>1.0</v>
      </c>
      <c r="K784" s="24">
        <v>597.0</v>
      </c>
      <c r="L784" s="24">
        <v>7.0110388E7</v>
      </c>
    </row>
    <row r="785">
      <c r="J785" s="111">
        <v>39.0</v>
      </c>
      <c r="K785" s="24">
        <v>245.0</v>
      </c>
      <c r="L785" s="24">
        <v>6.5010306E7</v>
      </c>
    </row>
    <row r="786">
      <c r="J786" s="111">
        <v>23.0</v>
      </c>
      <c r="K786" s="24">
        <v>130.0</v>
      </c>
      <c r="L786" s="24">
        <v>8.733906E7</v>
      </c>
    </row>
    <row r="787">
      <c r="J787" s="111">
        <v>41.0</v>
      </c>
      <c r="K787" s="24">
        <v>712.0</v>
      </c>
      <c r="L787" s="24">
        <v>2.6994136E7</v>
      </c>
    </row>
    <row r="788">
      <c r="J788" s="111">
        <v>34.0</v>
      </c>
      <c r="K788" s="24">
        <v>446.0</v>
      </c>
      <c r="L788" s="24">
        <v>4.7100873E7</v>
      </c>
    </row>
    <row r="789">
      <c r="J789" s="111">
        <v>20.0</v>
      </c>
      <c r="K789" s="24">
        <v>743.0</v>
      </c>
      <c r="L789" s="24">
        <v>9.4634584E7</v>
      </c>
    </row>
    <row r="790">
      <c r="J790" s="111">
        <v>40.0</v>
      </c>
      <c r="K790" s="24">
        <v>382.0</v>
      </c>
      <c r="L790" s="24">
        <v>2.3120751E7</v>
      </c>
    </row>
    <row r="791">
      <c r="J791" s="111">
        <v>23.0</v>
      </c>
      <c r="K791" s="24">
        <v>310.0</v>
      </c>
      <c r="L791" s="24">
        <v>3.163368E7</v>
      </c>
    </row>
    <row r="792">
      <c r="J792" s="111">
        <v>36.0</v>
      </c>
      <c r="K792" s="24">
        <v>282.0</v>
      </c>
      <c r="L792" s="24">
        <v>8.5455549E7</v>
      </c>
    </row>
    <row r="793">
      <c r="J793" s="111">
        <v>41.0</v>
      </c>
      <c r="K793" s="24">
        <v>144.0</v>
      </c>
      <c r="L793" s="24">
        <v>9.8116874E7</v>
      </c>
    </row>
    <row r="794">
      <c r="J794" s="111">
        <v>9.0</v>
      </c>
      <c r="K794" s="24">
        <v>349.0</v>
      </c>
      <c r="L794" s="24">
        <v>2.1714432E7</v>
      </c>
    </row>
    <row r="795">
      <c r="J795" s="111">
        <v>50.0</v>
      </c>
      <c r="K795" s="24">
        <v>985.0</v>
      </c>
      <c r="L795" s="24">
        <v>4.3902556E7</v>
      </c>
    </row>
    <row r="796">
      <c r="J796" s="111">
        <v>23.0</v>
      </c>
      <c r="K796" s="24">
        <v>400.0</v>
      </c>
      <c r="L796" s="24">
        <v>1.3909418E7</v>
      </c>
    </row>
    <row r="797">
      <c r="J797" s="111">
        <v>29.0</v>
      </c>
      <c r="K797" s="24">
        <v>443.0</v>
      </c>
      <c r="L797" s="24">
        <v>8.2292342E7</v>
      </c>
    </row>
    <row r="798">
      <c r="J798" s="111">
        <v>36.0</v>
      </c>
      <c r="K798" s="24">
        <v>515.0</v>
      </c>
      <c r="L798" s="24">
        <v>9.1286729E7</v>
      </c>
    </row>
    <row r="799">
      <c r="J799" s="111">
        <v>32.0</v>
      </c>
      <c r="K799" s="24">
        <v>624.0</v>
      </c>
      <c r="L799" s="24">
        <v>8.6315183E7</v>
      </c>
    </row>
    <row r="800">
      <c r="J800" s="111">
        <v>17.0</v>
      </c>
      <c r="K800" s="24">
        <v>522.0</v>
      </c>
      <c r="L800" s="24">
        <v>4.2100314E7</v>
      </c>
    </row>
    <row r="801">
      <c r="J801" s="111">
        <v>53.0</v>
      </c>
      <c r="K801" s="24">
        <v>174.0</v>
      </c>
      <c r="L801" s="24">
        <v>5.9938884E7</v>
      </c>
    </row>
    <row r="802">
      <c r="J802" s="111">
        <v>38.0</v>
      </c>
      <c r="K802" s="24">
        <v>288.0</v>
      </c>
      <c r="L802" s="24">
        <v>7.670167E7</v>
      </c>
    </row>
    <row r="803">
      <c r="J803" s="111">
        <v>18.0</v>
      </c>
      <c r="K803" s="24">
        <v>601.0</v>
      </c>
      <c r="L803" s="24">
        <v>6.2395661E7</v>
      </c>
    </row>
    <row r="804">
      <c r="J804" s="111">
        <v>6.0</v>
      </c>
      <c r="K804" s="24">
        <v>769.0</v>
      </c>
      <c r="L804" s="24">
        <v>3.8085951E7</v>
      </c>
    </row>
    <row r="805">
      <c r="J805" s="111">
        <v>5.0</v>
      </c>
      <c r="K805" s="24">
        <v>353.0</v>
      </c>
      <c r="L805" s="24">
        <v>5.4020543E7</v>
      </c>
    </row>
    <row r="806">
      <c r="J806" s="111">
        <v>20.0</v>
      </c>
      <c r="K806" s="24">
        <v>640.0</v>
      </c>
      <c r="L806" s="24">
        <v>8.496831E7</v>
      </c>
    </row>
    <row r="807">
      <c r="J807" s="111">
        <v>10.0</v>
      </c>
      <c r="K807" s="24">
        <v>828.0</v>
      </c>
      <c r="L807" s="24">
        <v>1.7529855E7</v>
      </c>
    </row>
    <row r="808">
      <c r="J808" s="111">
        <v>55.0</v>
      </c>
      <c r="K808" s="24">
        <v>591.0</v>
      </c>
      <c r="L808" s="24">
        <v>8.9444699E7</v>
      </c>
    </row>
    <row r="809">
      <c r="J809" s="111">
        <v>35.0</v>
      </c>
      <c r="K809" s="24">
        <v>489.0</v>
      </c>
      <c r="L809" s="24">
        <v>3.038312E7</v>
      </c>
    </row>
    <row r="810">
      <c r="J810" s="111">
        <v>28.0</v>
      </c>
      <c r="K810" s="24">
        <v>264.0</v>
      </c>
      <c r="L810" s="24">
        <v>1.0869711E7</v>
      </c>
    </row>
    <row r="811">
      <c r="J811" s="111">
        <v>37.0</v>
      </c>
      <c r="K811" s="24">
        <v>590.0</v>
      </c>
      <c r="L811" s="24">
        <v>8.8362325E7</v>
      </c>
    </row>
    <row r="812">
      <c r="J812" s="111">
        <v>34.0</v>
      </c>
      <c r="K812" s="24">
        <v>378.0</v>
      </c>
      <c r="L812" s="24">
        <v>3.3419412E7</v>
      </c>
    </row>
    <row r="813">
      <c r="J813" s="111">
        <v>48.0</v>
      </c>
      <c r="K813" s="24">
        <v>318.0</v>
      </c>
      <c r="L813" s="24">
        <v>3.6440372E7</v>
      </c>
    </row>
    <row r="814">
      <c r="J814" s="111">
        <v>28.0</v>
      </c>
      <c r="K814" s="24">
        <v>914.0</v>
      </c>
      <c r="L814" s="24">
        <v>1.7997511E7</v>
      </c>
    </row>
    <row r="815">
      <c r="J815" s="111">
        <v>10.0</v>
      </c>
      <c r="K815" s="24">
        <v>404.0</v>
      </c>
      <c r="L815" s="24">
        <v>1.4414037E7</v>
      </c>
    </row>
    <row r="816">
      <c r="J816" s="111">
        <v>2.0</v>
      </c>
      <c r="K816" s="24">
        <v>975.0</v>
      </c>
      <c r="L816" s="24">
        <v>9.9328189E7</v>
      </c>
    </row>
    <row r="817">
      <c r="J817" s="111">
        <v>35.0</v>
      </c>
      <c r="K817" s="24">
        <v>885.0</v>
      </c>
      <c r="L817" s="24">
        <v>8.1359003E7</v>
      </c>
    </row>
    <row r="818">
      <c r="J818" s="111">
        <v>32.0</v>
      </c>
      <c r="K818" s="24">
        <v>700.0</v>
      </c>
      <c r="L818" s="24">
        <v>7.6322421E7</v>
      </c>
    </row>
    <row r="819">
      <c r="J819" s="111">
        <v>24.0</v>
      </c>
      <c r="K819" s="24">
        <v>236.0</v>
      </c>
      <c r="L819" s="24">
        <v>8.4087292E7</v>
      </c>
    </row>
    <row r="820">
      <c r="J820" s="111">
        <v>51.0</v>
      </c>
      <c r="K820" s="24">
        <v>246.0</v>
      </c>
      <c r="L820" s="24">
        <v>2.1993909E7</v>
      </c>
    </row>
    <row r="821">
      <c r="J821" s="111">
        <v>4.0</v>
      </c>
      <c r="K821" s="24">
        <v>512.0</v>
      </c>
      <c r="L821" s="24">
        <v>9.2988575E7</v>
      </c>
    </row>
    <row r="822">
      <c r="J822" s="111">
        <v>35.0</v>
      </c>
      <c r="K822" s="24">
        <v>294.0</v>
      </c>
      <c r="L822" s="24">
        <v>7.0505237E7</v>
      </c>
    </row>
    <row r="823">
      <c r="J823" s="111">
        <v>42.0</v>
      </c>
      <c r="K823" s="24">
        <v>169.0</v>
      </c>
      <c r="L823" s="24">
        <v>4.2694027E7</v>
      </c>
    </row>
    <row r="824">
      <c r="J824" s="111">
        <v>27.0</v>
      </c>
      <c r="K824" s="24">
        <v>306.0</v>
      </c>
      <c r="L824" s="24">
        <v>1.0784217E7</v>
      </c>
    </row>
    <row r="825">
      <c r="J825" s="111">
        <v>42.0</v>
      </c>
      <c r="K825" s="24">
        <v>195.0</v>
      </c>
      <c r="L825" s="24">
        <v>6.5377493E7</v>
      </c>
    </row>
    <row r="826">
      <c r="J826" s="111">
        <v>24.0</v>
      </c>
      <c r="K826" s="24">
        <v>533.0</v>
      </c>
      <c r="L826" s="24">
        <v>5.9587654E7</v>
      </c>
    </row>
    <row r="827">
      <c r="J827" s="111">
        <v>28.0</v>
      </c>
      <c r="K827" s="24">
        <v>587.0</v>
      </c>
      <c r="L827" s="24">
        <v>3.5743801E7</v>
      </c>
    </row>
    <row r="828">
      <c r="J828" s="111">
        <v>40.0</v>
      </c>
      <c r="K828" s="24">
        <v>842.0</v>
      </c>
      <c r="L828" s="24">
        <v>9.2684751E7</v>
      </c>
    </row>
    <row r="829">
      <c r="J829" s="111">
        <v>53.0</v>
      </c>
      <c r="K829" s="24">
        <v>950.0</v>
      </c>
      <c r="L829" s="24">
        <v>2.9463157E7</v>
      </c>
    </row>
    <row r="830">
      <c r="J830" s="111">
        <v>37.0</v>
      </c>
      <c r="K830" s="24">
        <v>104.0</v>
      </c>
      <c r="L830" s="24">
        <v>6.7608238E7</v>
      </c>
    </row>
    <row r="831">
      <c r="J831" s="111">
        <v>46.0</v>
      </c>
      <c r="K831" s="24">
        <v>994.0</v>
      </c>
      <c r="L831" s="24">
        <v>1.5662955E7</v>
      </c>
    </row>
    <row r="832">
      <c r="J832" s="111">
        <v>10.0</v>
      </c>
      <c r="K832" s="24">
        <v>667.0</v>
      </c>
      <c r="L832" s="24">
        <v>9.2941236E7</v>
      </c>
    </row>
    <row r="833">
      <c r="J833" s="111">
        <v>32.0</v>
      </c>
      <c r="K833" s="24">
        <v>236.0</v>
      </c>
      <c r="L833" s="24">
        <v>6.5797542E7</v>
      </c>
    </row>
    <row r="834">
      <c r="J834" s="111">
        <v>25.0</v>
      </c>
      <c r="K834" s="24">
        <v>793.0</v>
      </c>
      <c r="L834" s="24">
        <v>5.0817858E7</v>
      </c>
    </row>
    <row r="835">
      <c r="J835" s="111">
        <v>56.0</v>
      </c>
      <c r="K835" s="24">
        <v>551.0</v>
      </c>
      <c r="L835" s="24">
        <v>7.0436214E7</v>
      </c>
    </row>
    <row r="836">
      <c r="J836" s="111">
        <v>12.0</v>
      </c>
      <c r="K836" s="24">
        <v>663.0</v>
      </c>
      <c r="L836" s="24">
        <v>8.4904487E7</v>
      </c>
    </row>
    <row r="837">
      <c r="J837" s="111">
        <v>44.0</v>
      </c>
      <c r="K837" s="24">
        <v>243.0</v>
      </c>
      <c r="L837" s="24">
        <v>8.6186984E7</v>
      </c>
    </row>
    <row r="838">
      <c r="J838" s="111">
        <v>29.0</v>
      </c>
      <c r="K838" s="24">
        <v>532.0</v>
      </c>
      <c r="L838" s="24">
        <v>7.355264E7</v>
      </c>
    </row>
    <row r="839">
      <c r="J839" s="111">
        <v>49.0</v>
      </c>
      <c r="K839" s="24">
        <v>646.0</v>
      </c>
      <c r="L839" s="24">
        <v>4.3461555E7</v>
      </c>
    </row>
    <row r="840">
      <c r="J840" s="111">
        <v>6.0</v>
      </c>
      <c r="K840" s="24">
        <v>817.0</v>
      </c>
      <c r="L840" s="24">
        <v>5.735453E7</v>
      </c>
    </row>
    <row r="841">
      <c r="J841" s="111">
        <v>4.0</v>
      </c>
      <c r="K841" s="24">
        <v>730.0</v>
      </c>
      <c r="L841" s="24">
        <v>3.7802471E7</v>
      </c>
    </row>
    <row r="842">
      <c r="J842" s="111">
        <v>31.0</v>
      </c>
      <c r="K842" s="24">
        <v>718.0</v>
      </c>
      <c r="L842" s="24">
        <v>5.556051E7</v>
      </c>
    </row>
    <row r="843">
      <c r="J843" s="111">
        <v>12.0</v>
      </c>
      <c r="K843" s="24">
        <v>282.0</v>
      </c>
      <c r="L843" s="24">
        <v>9.7944624E7</v>
      </c>
    </row>
    <row r="844">
      <c r="J844" s="111">
        <v>45.0</v>
      </c>
      <c r="K844" s="24">
        <v>269.0</v>
      </c>
      <c r="L844" s="24">
        <v>2.0936264E7</v>
      </c>
    </row>
    <row r="845">
      <c r="J845" s="111">
        <v>48.0</v>
      </c>
      <c r="K845" s="24">
        <v>475.0</v>
      </c>
      <c r="L845" s="24">
        <v>1.4905133E7</v>
      </c>
    </row>
    <row r="846">
      <c r="J846" s="111">
        <v>21.0</v>
      </c>
      <c r="K846" s="24">
        <v>128.0</v>
      </c>
      <c r="L846" s="24">
        <v>7.880231E7</v>
      </c>
    </row>
    <row r="847">
      <c r="J847" s="111">
        <v>2.0</v>
      </c>
      <c r="K847" s="24">
        <v>969.0</v>
      </c>
      <c r="L847" s="24">
        <v>2.697633E7</v>
      </c>
    </row>
    <row r="848">
      <c r="J848" s="111">
        <v>23.0</v>
      </c>
      <c r="K848" s="24">
        <v>804.0</v>
      </c>
      <c r="L848" s="24">
        <v>8.0186248E7</v>
      </c>
    </row>
    <row r="849">
      <c r="J849" s="111">
        <v>24.0</v>
      </c>
      <c r="K849" s="24">
        <v>833.0</v>
      </c>
      <c r="L849" s="24">
        <v>6.5584641E7</v>
      </c>
    </row>
    <row r="850">
      <c r="J850" s="111">
        <v>13.0</v>
      </c>
      <c r="K850" s="24">
        <v>416.0</v>
      </c>
      <c r="L850" s="24">
        <v>3.3326678E7</v>
      </c>
    </row>
    <row r="851">
      <c r="J851" s="111">
        <v>44.0</v>
      </c>
      <c r="K851" s="24">
        <v>428.0</v>
      </c>
      <c r="L851" s="24">
        <v>6.5504331E7</v>
      </c>
    </row>
    <row r="852">
      <c r="J852" s="111">
        <v>34.0</v>
      </c>
      <c r="K852" s="24">
        <v>842.0</v>
      </c>
      <c r="L852" s="24">
        <v>6.1327947E7</v>
      </c>
    </row>
    <row r="853">
      <c r="J853" s="111">
        <v>40.0</v>
      </c>
      <c r="K853" s="24">
        <v>530.0</v>
      </c>
      <c r="L853" s="24">
        <v>4.9768053E7</v>
      </c>
    </row>
    <row r="854">
      <c r="J854" s="111">
        <v>13.0</v>
      </c>
      <c r="K854" s="24">
        <v>990.0</v>
      </c>
      <c r="L854" s="24">
        <v>1.8789165E7</v>
      </c>
    </row>
    <row r="855">
      <c r="J855" s="111">
        <v>10.0</v>
      </c>
      <c r="K855" s="24">
        <v>695.0</v>
      </c>
      <c r="L855" s="24">
        <v>3.5405461E7</v>
      </c>
    </row>
    <row r="856">
      <c r="J856" s="111">
        <v>5.0</v>
      </c>
      <c r="K856" s="24">
        <v>104.0</v>
      </c>
      <c r="L856" s="24">
        <v>1.0220119E7</v>
      </c>
    </row>
    <row r="857">
      <c r="J857" s="111">
        <v>18.0</v>
      </c>
      <c r="K857" s="24">
        <v>714.0</v>
      </c>
      <c r="L857" s="24">
        <v>5.5056025E7</v>
      </c>
    </row>
    <row r="858">
      <c r="J858" s="111">
        <v>4.0</v>
      </c>
      <c r="K858" s="24">
        <v>796.0</v>
      </c>
      <c r="L858" s="24">
        <v>1.6584684E7</v>
      </c>
    </row>
    <row r="859">
      <c r="J859" s="111">
        <v>51.0</v>
      </c>
      <c r="K859" s="24">
        <v>354.0</v>
      </c>
      <c r="L859" s="24">
        <v>6.2830521E7</v>
      </c>
    </row>
    <row r="860">
      <c r="J860" s="111">
        <v>51.0</v>
      </c>
      <c r="K860" s="24">
        <v>404.0</v>
      </c>
      <c r="L860" s="24">
        <v>4.1324388E7</v>
      </c>
    </row>
    <row r="861">
      <c r="J861" s="111">
        <v>47.0</v>
      </c>
      <c r="K861" s="24">
        <v>860.0</v>
      </c>
      <c r="L861" s="24">
        <v>8.9222032E7</v>
      </c>
    </row>
    <row r="862">
      <c r="J862" s="111">
        <v>5.0</v>
      </c>
      <c r="K862" s="24">
        <v>155.0</v>
      </c>
      <c r="L862" s="24">
        <v>5.0342729E7</v>
      </c>
    </row>
    <row r="863">
      <c r="J863" s="111">
        <v>28.0</v>
      </c>
      <c r="K863" s="24">
        <v>729.0</v>
      </c>
      <c r="L863" s="24">
        <v>1.9431018E7</v>
      </c>
    </row>
    <row r="864">
      <c r="J864" s="111">
        <v>22.0</v>
      </c>
      <c r="K864" s="24">
        <v>296.0</v>
      </c>
      <c r="L864" s="24">
        <v>2.2126752E7</v>
      </c>
    </row>
    <row r="865">
      <c r="J865" s="111">
        <v>40.0</v>
      </c>
      <c r="K865" s="24">
        <v>305.0</v>
      </c>
      <c r="L865" s="24">
        <v>4.2485435E7</v>
      </c>
    </row>
    <row r="866">
      <c r="J866" s="111">
        <v>24.0</v>
      </c>
      <c r="K866" s="24">
        <v>611.0</v>
      </c>
      <c r="L866" s="24">
        <v>7.3634616E7</v>
      </c>
    </row>
    <row r="867">
      <c r="J867" s="111">
        <v>35.0</v>
      </c>
      <c r="K867" s="24">
        <v>961.0</v>
      </c>
      <c r="L867" s="24">
        <v>6.3262985E7</v>
      </c>
    </row>
    <row r="868">
      <c r="J868" s="111">
        <v>33.0</v>
      </c>
      <c r="K868" s="24">
        <v>273.0</v>
      </c>
      <c r="L868" s="24">
        <v>5.1796477E7</v>
      </c>
    </row>
    <row r="869">
      <c r="J869" s="111">
        <v>50.0</v>
      </c>
      <c r="K869" s="24">
        <v>400.0</v>
      </c>
      <c r="L869" s="24">
        <v>6.2589981E7</v>
      </c>
    </row>
    <row r="870">
      <c r="J870" s="111">
        <v>28.0</v>
      </c>
      <c r="K870" s="24">
        <v>582.0</v>
      </c>
      <c r="L870" s="24">
        <v>7.7120309E7</v>
      </c>
    </row>
    <row r="871">
      <c r="J871" s="111">
        <v>1.0</v>
      </c>
      <c r="K871" s="24">
        <v>129.0</v>
      </c>
      <c r="L871" s="24">
        <v>4.2805615E7</v>
      </c>
    </row>
    <row r="872">
      <c r="J872" s="111">
        <v>56.0</v>
      </c>
      <c r="K872" s="24">
        <v>213.0</v>
      </c>
      <c r="L872" s="24">
        <v>6.8557736E7</v>
      </c>
    </row>
    <row r="873">
      <c r="J873" s="111">
        <v>34.0</v>
      </c>
      <c r="K873" s="24">
        <v>664.0</v>
      </c>
      <c r="L873" s="24">
        <v>6.857085E7</v>
      </c>
    </row>
    <row r="874">
      <c r="J874" s="111">
        <v>56.0</v>
      </c>
      <c r="K874" s="24">
        <v>758.0</v>
      </c>
      <c r="L874" s="24">
        <v>8.1591763E7</v>
      </c>
    </row>
    <row r="875">
      <c r="J875" s="111">
        <v>37.0</v>
      </c>
      <c r="K875" s="24">
        <v>664.0</v>
      </c>
      <c r="L875" s="24">
        <v>7.000133E7</v>
      </c>
    </row>
    <row r="876">
      <c r="J876" s="111">
        <v>42.0</v>
      </c>
      <c r="K876" s="24">
        <v>657.0</v>
      </c>
      <c r="L876" s="24">
        <v>8.8247533E7</v>
      </c>
    </row>
    <row r="877">
      <c r="J877" s="111">
        <v>10.0</v>
      </c>
      <c r="K877" s="24">
        <v>750.0</v>
      </c>
      <c r="L877" s="24">
        <v>7.8933799E7</v>
      </c>
    </row>
    <row r="878">
      <c r="J878" s="111">
        <v>18.0</v>
      </c>
      <c r="K878" s="24">
        <v>146.0</v>
      </c>
      <c r="L878" s="24">
        <v>7.8251784E7</v>
      </c>
    </row>
    <row r="879">
      <c r="J879" s="111">
        <v>17.0</v>
      </c>
      <c r="K879" s="24">
        <v>808.0</v>
      </c>
      <c r="L879" s="24">
        <v>6.6938378E7</v>
      </c>
    </row>
    <row r="880">
      <c r="J880" s="111">
        <v>6.0</v>
      </c>
      <c r="K880" s="24">
        <v>626.0</v>
      </c>
      <c r="L880" s="24">
        <v>8.1241136E7</v>
      </c>
    </row>
    <row r="881">
      <c r="J881" s="111">
        <v>44.0</v>
      </c>
      <c r="K881" s="24">
        <v>814.0</v>
      </c>
      <c r="L881" s="24">
        <v>6.6792247E7</v>
      </c>
    </row>
    <row r="882">
      <c r="J882" s="111">
        <v>15.0</v>
      </c>
      <c r="K882" s="24">
        <v>881.0</v>
      </c>
      <c r="L882" s="24">
        <v>4.9222785E7</v>
      </c>
    </row>
    <row r="883">
      <c r="J883" s="111">
        <v>41.0</v>
      </c>
      <c r="K883" s="24">
        <v>145.0</v>
      </c>
      <c r="L883" s="24">
        <v>9.5361065E7</v>
      </c>
    </row>
    <row r="884">
      <c r="J884" s="111">
        <v>4.0</v>
      </c>
      <c r="K884" s="24">
        <v>131.0</v>
      </c>
      <c r="L884" s="24">
        <v>1.6247604E7</v>
      </c>
    </row>
    <row r="885">
      <c r="J885" s="111">
        <v>29.0</v>
      </c>
      <c r="K885" s="24">
        <v>785.0</v>
      </c>
      <c r="L885" s="24">
        <v>2.3488097E7</v>
      </c>
    </row>
    <row r="886">
      <c r="J886" s="111">
        <v>23.0</v>
      </c>
      <c r="K886" s="24">
        <v>656.0</v>
      </c>
      <c r="L886" s="24">
        <v>3.4966351E7</v>
      </c>
    </row>
    <row r="887">
      <c r="J887" s="111">
        <v>37.0</v>
      </c>
      <c r="K887" s="24">
        <v>819.0</v>
      </c>
      <c r="L887" s="24">
        <v>9.6435878E7</v>
      </c>
    </row>
    <row r="888">
      <c r="J888" s="111">
        <v>6.0</v>
      </c>
      <c r="K888" s="24">
        <v>383.0</v>
      </c>
      <c r="L888" s="24">
        <v>4.1090401E7</v>
      </c>
    </row>
    <row r="889">
      <c r="J889" s="111">
        <v>22.0</v>
      </c>
      <c r="K889" s="24">
        <v>825.0</v>
      </c>
      <c r="L889" s="24">
        <v>7.7900246E7</v>
      </c>
    </row>
    <row r="890">
      <c r="J890" s="111">
        <v>44.0</v>
      </c>
      <c r="K890" s="24">
        <v>430.0</v>
      </c>
      <c r="L890" s="24">
        <v>2.1208028E7</v>
      </c>
    </row>
    <row r="891">
      <c r="J891" s="111">
        <v>22.0</v>
      </c>
      <c r="K891" s="24">
        <v>779.0</v>
      </c>
      <c r="L891" s="24">
        <v>9.1468688E7</v>
      </c>
    </row>
    <row r="892">
      <c r="J892" s="111">
        <v>13.0</v>
      </c>
      <c r="K892" s="24">
        <v>833.0</v>
      </c>
      <c r="L892" s="24">
        <v>1.6763169E7</v>
      </c>
    </row>
    <row r="893">
      <c r="J893" s="111">
        <v>46.0</v>
      </c>
      <c r="K893" s="24">
        <v>726.0</v>
      </c>
      <c r="L893" s="24">
        <v>9.0592063E7</v>
      </c>
    </row>
    <row r="894">
      <c r="J894" s="111">
        <v>34.0</v>
      </c>
      <c r="K894" s="24">
        <v>943.0</v>
      </c>
      <c r="L894" s="24">
        <v>4.6331544E7</v>
      </c>
    </row>
    <row r="895">
      <c r="J895" s="111">
        <v>29.0</v>
      </c>
      <c r="K895" s="24">
        <v>533.0</v>
      </c>
      <c r="L895" s="24">
        <v>5.1778314E7</v>
      </c>
    </row>
    <row r="896">
      <c r="J896" s="111">
        <v>48.0</v>
      </c>
      <c r="K896" s="24">
        <v>776.0</v>
      </c>
      <c r="L896" s="24">
        <v>6.1267202E7</v>
      </c>
    </row>
    <row r="897">
      <c r="J897" s="111">
        <v>25.0</v>
      </c>
      <c r="K897" s="24">
        <v>655.0</v>
      </c>
      <c r="L897" s="24">
        <v>5.730072E7</v>
      </c>
    </row>
    <row r="898">
      <c r="J898" s="111">
        <v>53.0</v>
      </c>
      <c r="K898" s="24">
        <v>747.0</v>
      </c>
      <c r="L898" s="24">
        <v>5.8177707E7</v>
      </c>
    </row>
    <row r="899">
      <c r="J899" s="111">
        <v>23.0</v>
      </c>
      <c r="K899" s="24">
        <v>859.0</v>
      </c>
      <c r="L899" s="24">
        <v>5.6946953E7</v>
      </c>
    </row>
    <row r="900">
      <c r="J900" s="111">
        <v>10.0</v>
      </c>
      <c r="K900" s="24">
        <v>425.0</v>
      </c>
      <c r="L900" s="24">
        <v>6.7794611E7</v>
      </c>
    </row>
    <row r="901">
      <c r="J901" s="111">
        <v>8.0</v>
      </c>
      <c r="K901" s="24">
        <v>242.0</v>
      </c>
      <c r="L901" s="24">
        <v>9.0250252E7</v>
      </c>
    </row>
    <row r="902">
      <c r="J902" s="111">
        <v>42.0</v>
      </c>
      <c r="K902" s="24">
        <v>493.0</v>
      </c>
      <c r="L902" s="24">
        <v>8.5963316E7</v>
      </c>
    </row>
    <row r="903">
      <c r="J903" s="111">
        <v>16.0</v>
      </c>
      <c r="K903" s="24">
        <v>516.0</v>
      </c>
      <c r="L903" s="24">
        <v>9.0261826E7</v>
      </c>
    </row>
    <row r="904">
      <c r="J904" s="111">
        <v>22.0</v>
      </c>
      <c r="K904" s="24">
        <v>188.0</v>
      </c>
      <c r="L904" s="24">
        <v>1.4059737E7</v>
      </c>
    </row>
    <row r="905">
      <c r="J905" s="111">
        <v>22.0</v>
      </c>
      <c r="K905" s="24">
        <v>168.0</v>
      </c>
      <c r="L905" s="24">
        <v>6.2071386E7</v>
      </c>
    </row>
    <row r="906">
      <c r="J906" s="111">
        <v>37.0</v>
      </c>
      <c r="K906" s="24">
        <v>818.0</v>
      </c>
      <c r="L906" s="24">
        <v>5.2744607E7</v>
      </c>
    </row>
    <row r="907">
      <c r="J907" s="111">
        <v>2.0</v>
      </c>
      <c r="K907" s="24">
        <v>172.0</v>
      </c>
      <c r="L907" s="24">
        <v>1.505054E7</v>
      </c>
    </row>
    <row r="908">
      <c r="J908" s="111">
        <v>49.0</v>
      </c>
      <c r="K908" s="24">
        <v>167.0</v>
      </c>
      <c r="L908" s="24">
        <v>1.9961826E7</v>
      </c>
    </row>
    <row r="909">
      <c r="J909" s="111">
        <v>27.0</v>
      </c>
      <c r="K909" s="24">
        <v>283.0</v>
      </c>
      <c r="L909" s="24">
        <v>4.7116531E7</v>
      </c>
    </row>
    <row r="910">
      <c r="J910" s="111">
        <v>53.0</v>
      </c>
      <c r="K910" s="24">
        <v>702.0</v>
      </c>
      <c r="L910" s="24">
        <v>1.8710258E7</v>
      </c>
    </row>
    <row r="911">
      <c r="J911" s="111">
        <v>12.0</v>
      </c>
      <c r="K911" s="24">
        <v>280.0</v>
      </c>
      <c r="L911" s="24">
        <v>6.4633346E7</v>
      </c>
    </row>
    <row r="912">
      <c r="J912" s="111">
        <v>28.0</v>
      </c>
      <c r="K912" s="24">
        <v>545.0</v>
      </c>
      <c r="L912" s="24">
        <v>4.8946882E7</v>
      </c>
    </row>
    <row r="913">
      <c r="J913" s="111">
        <v>28.0</v>
      </c>
      <c r="K913" s="24">
        <v>467.0</v>
      </c>
      <c r="L913" s="24">
        <v>7.2085748E7</v>
      </c>
    </row>
    <row r="914">
      <c r="J914" s="111">
        <v>15.0</v>
      </c>
      <c r="K914" s="24">
        <v>416.0</v>
      </c>
      <c r="L914" s="24">
        <v>4.8394891E7</v>
      </c>
    </row>
    <row r="915">
      <c r="J915" s="111">
        <v>39.0</v>
      </c>
      <c r="K915" s="24">
        <v>250.0</v>
      </c>
      <c r="L915" s="24">
        <v>8.9184217E7</v>
      </c>
    </row>
    <row r="916">
      <c r="J916" s="111">
        <v>1.0</v>
      </c>
      <c r="K916" s="24">
        <v>802.0</v>
      </c>
      <c r="L916" s="24">
        <v>1.8150132E7</v>
      </c>
    </row>
    <row r="917">
      <c r="J917" s="111">
        <v>18.0</v>
      </c>
      <c r="K917" s="24">
        <v>588.0</v>
      </c>
      <c r="L917" s="24">
        <v>8.1231359E7</v>
      </c>
    </row>
    <row r="918">
      <c r="J918" s="111">
        <v>53.0</v>
      </c>
      <c r="K918" s="24">
        <v>618.0</v>
      </c>
      <c r="L918" s="24">
        <v>7.4871754E7</v>
      </c>
    </row>
    <row r="919">
      <c r="J919" s="111">
        <v>4.0</v>
      </c>
      <c r="K919" s="24">
        <v>443.0</v>
      </c>
      <c r="L919" s="24">
        <v>4.1099337E7</v>
      </c>
    </row>
    <row r="920">
      <c r="J920" s="111">
        <v>55.0</v>
      </c>
      <c r="K920" s="24">
        <v>832.0</v>
      </c>
      <c r="L920" s="24">
        <v>2.5242124E7</v>
      </c>
    </row>
    <row r="921">
      <c r="J921" s="111">
        <v>41.0</v>
      </c>
      <c r="K921" s="24">
        <v>851.0</v>
      </c>
      <c r="L921" s="24">
        <v>5.3666656E7</v>
      </c>
    </row>
    <row r="922">
      <c r="J922" s="111">
        <v>46.0</v>
      </c>
      <c r="K922" s="24">
        <v>500.0</v>
      </c>
      <c r="L922" s="24">
        <v>6.4917449E7</v>
      </c>
    </row>
    <row r="923">
      <c r="J923" s="111">
        <v>36.0</v>
      </c>
      <c r="K923" s="24">
        <v>892.0</v>
      </c>
      <c r="L923" s="24">
        <v>7.7705181E7</v>
      </c>
    </row>
    <row r="924">
      <c r="J924" s="111">
        <v>47.0</v>
      </c>
      <c r="K924" s="24">
        <v>119.0</v>
      </c>
      <c r="L924" s="24">
        <v>5.8172716E7</v>
      </c>
    </row>
    <row r="925">
      <c r="J925" s="111">
        <v>35.0</v>
      </c>
      <c r="K925" s="24">
        <v>422.0</v>
      </c>
      <c r="L925" s="24">
        <v>8.9066195E7</v>
      </c>
    </row>
    <row r="926">
      <c r="J926" s="111">
        <v>51.0</v>
      </c>
      <c r="K926" s="24">
        <v>174.0</v>
      </c>
      <c r="L926" s="24">
        <v>3.5166518E7</v>
      </c>
    </row>
    <row r="927">
      <c r="J927" s="111">
        <v>13.0</v>
      </c>
      <c r="K927" s="24">
        <v>474.0</v>
      </c>
      <c r="L927" s="24">
        <v>7.6548519E7</v>
      </c>
    </row>
    <row r="928">
      <c r="J928" s="111">
        <v>55.0</v>
      </c>
      <c r="K928" s="24">
        <v>820.0</v>
      </c>
      <c r="L928" s="24">
        <v>5.1767901E7</v>
      </c>
    </row>
    <row r="929">
      <c r="J929" s="111">
        <v>8.0</v>
      </c>
      <c r="K929" s="24">
        <v>463.0</v>
      </c>
      <c r="L929" s="24">
        <v>7.9050589E7</v>
      </c>
    </row>
    <row r="930">
      <c r="J930" s="111">
        <v>30.0</v>
      </c>
      <c r="K930" s="24">
        <v>454.0</v>
      </c>
      <c r="L930" s="24">
        <v>2.1661973E7</v>
      </c>
    </row>
    <row r="931">
      <c r="J931" s="111">
        <v>2.0</v>
      </c>
      <c r="K931" s="24">
        <v>846.0</v>
      </c>
      <c r="L931" s="24">
        <v>3.4275745E7</v>
      </c>
    </row>
    <row r="932">
      <c r="J932" s="111">
        <v>16.0</v>
      </c>
      <c r="K932" s="24">
        <v>286.0</v>
      </c>
      <c r="L932" s="24">
        <v>8.2793018E7</v>
      </c>
    </row>
    <row r="933">
      <c r="J933" s="111">
        <v>53.0</v>
      </c>
      <c r="K933" s="24">
        <v>539.0</v>
      </c>
      <c r="L933" s="24">
        <v>2.7968041E7</v>
      </c>
    </row>
    <row r="934">
      <c r="J934" s="111">
        <v>31.0</v>
      </c>
      <c r="K934" s="24">
        <v>377.0</v>
      </c>
      <c r="L934" s="24">
        <v>5.8061213E7</v>
      </c>
    </row>
    <row r="935">
      <c r="J935" s="111">
        <v>47.0</v>
      </c>
      <c r="K935" s="24">
        <v>792.0</v>
      </c>
      <c r="L935" s="24">
        <v>3.7653122E7</v>
      </c>
    </row>
    <row r="936">
      <c r="J936" s="111">
        <v>34.0</v>
      </c>
      <c r="K936" s="24">
        <v>458.0</v>
      </c>
      <c r="L936" s="24">
        <v>7.5723783E7</v>
      </c>
    </row>
    <row r="937">
      <c r="J937" s="111">
        <v>50.0</v>
      </c>
      <c r="K937" s="24">
        <v>602.0</v>
      </c>
      <c r="L937" s="24">
        <v>8.1153896E7</v>
      </c>
    </row>
    <row r="938">
      <c r="J938" s="111">
        <v>22.0</v>
      </c>
      <c r="K938" s="24">
        <v>629.0</v>
      </c>
      <c r="L938" s="24">
        <v>7.4743377E7</v>
      </c>
    </row>
    <row r="939">
      <c r="J939" s="111">
        <v>12.0</v>
      </c>
      <c r="K939" s="24">
        <v>606.0</v>
      </c>
      <c r="L939" s="24">
        <v>2.7103068E7</v>
      </c>
    </row>
    <row r="940">
      <c r="J940" s="111">
        <v>49.0</v>
      </c>
      <c r="K940" s="24">
        <v>573.0</v>
      </c>
      <c r="L940" s="24">
        <v>8.8347631E7</v>
      </c>
    </row>
    <row r="941">
      <c r="J941" s="111">
        <v>29.0</v>
      </c>
      <c r="K941" s="24">
        <v>568.0</v>
      </c>
      <c r="L941" s="24">
        <v>7.4229098E7</v>
      </c>
    </row>
    <row r="942">
      <c r="J942" s="111">
        <v>50.0</v>
      </c>
      <c r="K942" s="24">
        <v>949.0</v>
      </c>
      <c r="L942" s="24">
        <v>7.6265288E7</v>
      </c>
    </row>
    <row r="943">
      <c r="J943" s="111">
        <v>24.0</v>
      </c>
      <c r="K943" s="24">
        <v>629.0</v>
      </c>
      <c r="L943" s="24">
        <v>2.1507315E7</v>
      </c>
    </row>
    <row r="944">
      <c r="J944" s="111">
        <v>17.0</v>
      </c>
      <c r="K944" s="24">
        <v>216.0</v>
      </c>
      <c r="L944" s="24">
        <v>7.1597906E7</v>
      </c>
    </row>
    <row r="945">
      <c r="J945" s="111">
        <v>16.0</v>
      </c>
      <c r="K945" s="24">
        <v>677.0</v>
      </c>
      <c r="L945" s="24">
        <v>6.0282055E7</v>
      </c>
    </row>
    <row r="946">
      <c r="J946" s="111">
        <v>54.0</v>
      </c>
      <c r="K946" s="24">
        <v>668.0</v>
      </c>
      <c r="L946" s="24">
        <v>8.2282125E7</v>
      </c>
    </row>
    <row r="947">
      <c r="J947" s="111">
        <v>51.0</v>
      </c>
      <c r="K947" s="24">
        <v>237.0</v>
      </c>
      <c r="L947" s="24">
        <v>8.7011774E7</v>
      </c>
    </row>
    <row r="948">
      <c r="J948" s="111">
        <v>20.0</v>
      </c>
      <c r="K948" s="24">
        <v>479.0</v>
      </c>
      <c r="L948" s="24">
        <v>7.5911949E7</v>
      </c>
    </row>
    <row r="949">
      <c r="J949" s="111">
        <v>5.0</v>
      </c>
      <c r="K949" s="24">
        <v>883.0</v>
      </c>
      <c r="L949" s="24">
        <v>9.4271502E7</v>
      </c>
    </row>
    <row r="950">
      <c r="J950" s="111">
        <v>31.0</v>
      </c>
      <c r="K950" s="24">
        <v>693.0</v>
      </c>
      <c r="L950" s="24">
        <v>6.1738848E7</v>
      </c>
    </row>
    <row r="951">
      <c r="J951" s="111">
        <v>19.0</v>
      </c>
      <c r="K951" s="24">
        <v>719.0</v>
      </c>
      <c r="L951" s="24">
        <v>1.8091316E7</v>
      </c>
    </row>
    <row r="952">
      <c r="J952" s="111">
        <v>29.0</v>
      </c>
      <c r="K952" s="24">
        <v>950.0</v>
      </c>
      <c r="L952" s="24">
        <v>9.0566343E7</v>
      </c>
    </row>
    <row r="953">
      <c r="J953" s="111">
        <v>22.0</v>
      </c>
      <c r="K953" s="24">
        <v>760.0</v>
      </c>
      <c r="L953" s="24">
        <v>4.8661586E7</v>
      </c>
    </row>
    <row r="954">
      <c r="J954" s="111">
        <v>15.0</v>
      </c>
      <c r="K954" s="24">
        <v>114.0</v>
      </c>
      <c r="L954" s="24">
        <v>3.5684224E7</v>
      </c>
    </row>
    <row r="955">
      <c r="J955" s="111">
        <v>46.0</v>
      </c>
      <c r="K955" s="24">
        <v>668.0</v>
      </c>
      <c r="L955" s="24">
        <v>2.4349299E7</v>
      </c>
    </row>
    <row r="956">
      <c r="J956" s="111">
        <v>40.0</v>
      </c>
      <c r="K956" s="24">
        <v>233.0</v>
      </c>
      <c r="L956" s="24">
        <v>7.1460698E7</v>
      </c>
    </row>
    <row r="957">
      <c r="J957" s="111">
        <v>5.0</v>
      </c>
      <c r="K957" s="24">
        <v>449.0</v>
      </c>
      <c r="L957" s="24">
        <v>1.5608877E7</v>
      </c>
    </row>
    <row r="958">
      <c r="J958" s="111">
        <v>9.0</v>
      </c>
      <c r="K958" s="24">
        <v>484.0</v>
      </c>
      <c r="L958" s="24">
        <v>1.6762035E7</v>
      </c>
    </row>
    <row r="959">
      <c r="J959" s="111">
        <v>55.0</v>
      </c>
      <c r="K959" s="24">
        <v>434.0</v>
      </c>
      <c r="L959" s="24">
        <v>6.9199541E7</v>
      </c>
    </row>
    <row r="960">
      <c r="J960" s="111">
        <v>18.0</v>
      </c>
      <c r="K960" s="24">
        <v>645.0</v>
      </c>
      <c r="L960" s="24">
        <v>9.35185E7</v>
      </c>
    </row>
    <row r="961">
      <c r="J961" s="111">
        <v>41.0</v>
      </c>
      <c r="K961" s="24">
        <v>900.0</v>
      </c>
      <c r="L961" s="24">
        <v>5.8064844E7</v>
      </c>
    </row>
    <row r="962">
      <c r="J962" s="111">
        <v>23.0</v>
      </c>
      <c r="K962" s="24">
        <v>118.0</v>
      </c>
      <c r="L962" s="24">
        <v>1.8465866E7</v>
      </c>
    </row>
    <row r="963">
      <c r="J963" s="111">
        <v>23.0</v>
      </c>
      <c r="K963" s="24">
        <v>471.0</v>
      </c>
      <c r="L963" s="24">
        <v>1.3829928E7</v>
      </c>
    </row>
    <row r="964">
      <c r="J964" s="111">
        <v>13.0</v>
      </c>
      <c r="K964" s="24">
        <v>395.0</v>
      </c>
      <c r="L964" s="24">
        <v>9.1592454E7</v>
      </c>
    </row>
    <row r="965">
      <c r="J965" s="111">
        <v>27.0</v>
      </c>
      <c r="K965" s="24">
        <v>579.0</v>
      </c>
      <c r="L965" s="24">
        <v>2.5840308E7</v>
      </c>
    </row>
    <row r="966">
      <c r="J966" s="111">
        <v>39.0</v>
      </c>
      <c r="K966" s="24">
        <v>276.0</v>
      </c>
      <c r="L966" s="24">
        <v>9.6050019E7</v>
      </c>
    </row>
    <row r="967">
      <c r="J967" s="111">
        <v>29.0</v>
      </c>
      <c r="K967" s="24">
        <v>405.0</v>
      </c>
      <c r="L967" s="24">
        <v>1.1144927E7</v>
      </c>
    </row>
    <row r="968">
      <c r="J968" s="111">
        <v>2.0</v>
      </c>
      <c r="K968" s="24">
        <v>592.0</v>
      </c>
      <c r="L968" s="24">
        <v>1.6452286E7</v>
      </c>
    </row>
    <row r="969">
      <c r="J969" s="111">
        <v>27.0</v>
      </c>
      <c r="K969" s="24">
        <v>145.0</v>
      </c>
      <c r="L969" s="24">
        <v>4.3676298E7</v>
      </c>
    </row>
    <row r="970">
      <c r="J970" s="111">
        <v>28.0</v>
      </c>
      <c r="K970" s="24">
        <v>622.0</v>
      </c>
      <c r="L970" s="24">
        <v>6.8587417E7</v>
      </c>
    </row>
    <row r="971">
      <c r="J971" s="111">
        <v>27.0</v>
      </c>
      <c r="K971" s="24">
        <v>104.0</v>
      </c>
      <c r="L971" s="24">
        <v>9.5326169E7</v>
      </c>
    </row>
    <row r="972">
      <c r="J972" s="111">
        <v>50.0</v>
      </c>
      <c r="K972" s="24">
        <v>493.0</v>
      </c>
      <c r="L972" s="24">
        <v>2.814707E7</v>
      </c>
    </row>
    <row r="973">
      <c r="J973" s="111">
        <v>21.0</v>
      </c>
      <c r="K973" s="24">
        <v>137.0</v>
      </c>
      <c r="L973" s="24">
        <v>6.9749848E7</v>
      </c>
    </row>
    <row r="974">
      <c r="J974" s="111">
        <v>41.0</v>
      </c>
      <c r="K974" s="24">
        <v>630.0</v>
      </c>
      <c r="L974" s="24">
        <v>3.6763865E7</v>
      </c>
    </row>
    <row r="975">
      <c r="J975" s="111">
        <v>33.0</v>
      </c>
      <c r="K975" s="24">
        <v>850.0</v>
      </c>
      <c r="L975" s="24">
        <v>5.0381601E7</v>
      </c>
    </row>
    <row r="976">
      <c r="J976" s="111">
        <v>29.0</v>
      </c>
      <c r="K976" s="24">
        <v>131.0</v>
      </c>
      <c r="L976" s="24">
        <v>3.5252675E7</v>
      </c>
    </row>
    <row r="977">
      <c r="J977" s="111">
        <v>38.0</v>
      </c>
      <c r="K977" s="24">
        <v>229.0</v>
      </c>
      <c r="L977" s="24">
        <v>7.768789E7</v>
      </c>
    </row>
    <row r="978">
      <c r="J978" s="111">
        <v>2.0</v>
      </c>
      <c r="K978" s="24">
        <v>355.0</v>
      </c>
      <c r="L978" s="24">
        <v>4.3709054E7</v>
      </c>
    </row>
    <row r="979">
      <c r="J979" s="111">
        <v>1.0</v>
      </c>
      <c r="K979" s="24">
        <v>962.0</v>
      </c>
      <c r="L979" s="24">
        <v>6.9435815E7</v>
      </c>
    </row>
    <row r="980">
      <c r="J980" s="111">
        <v>31.0</v>
      </c>
      <c r="K980" s="24">
        <v>993.0</v>
      </c>
      <c r="L980" s="24">
        <v>9.0145651E7</v>
      </c>
    </row>
    <row r="981">
      <c r="J981" s="111">
        <v>17.0</v>
      </c>
      <c r="K981" s="24">
        <v>734.0</v>
      </c>
      <c r="L981" s="24">
        <v>2.7942092E7</v>
      </c>
    </row>
    <row r="982">
      <c r="J982" s="111">
        <v>48.0</v>
      </c>
      <c r="K982" s="24">
        <v>110.0</v>
      </c>
      <c r="L982" s="24">
        <v>7.4520621E7</v>
      </c>
    </row>
    <row r="983">
      <c r="J983" s="111">
        <v>1.0</v>
      </c>
      <c r="K983" s="24">
        <v>291.0</v>
      </c>
      <c r="L983" s="24">
        <v>5.7458996E7</v>
      </c>
    </row>
    <row r="984">
      <c r="J984" s="111">
        <v>10.0</v>
      </c>
      <c r="K984" s="24">
        <v>873.0</v>
      </c>
      <c r="L984" s="24">
        <v>1.4998093E7</v>
      </c>
    </row>
    <row r="985">
      <c r="J985" s="111">
        <v>36.0</v>
      </c>
      <c r="K985" s="24">
        <v>569.0</v>
      </c>
      <c r="L985" s="24">
        <v>6.2445069E7</v>
      </c>
    </row>
    <row r="986">
      <c r="J986" s="111">
        <v>35.0</v>
      </c>
      <c r="K986" s="24">
        <v>233.0</v>
      </c>
      <c r="L986" s="24">
        <v>8.8842821E7</v>
      </c>
    </row>
    <row r="987">
      <c r="J987" s="111">
        <v>19.0</v>
      </c>
      <c r="K987" s="24">
        <v>266.0</v>
      </c>
      <c r="L987" s="24">
        <v>9.1788548E7</v>
      </c>
    </row>
    <row r="988">
      <c r="J988" s="111">
        <v>42.0</v>
      </c>
      <c r="K988" s="24">
        <v>450.0</v>
      </c>
      <c r="L988" s="24">
        <v>2.1925082E7</v>
      </c>
    </row>
    <row r="989">
      <c r="J989" s="111">
        <v>31.0</v>
      </c>
      <c r="K989" s="24">
        <v>246.0</v>
      </c>
      <c r="L989" s="24">
        <v>4.5200751E7</v>
      </c>
    </row>
    <row r="990">
      <c r="J990" s="111">
        <v>38.0</v>
      </c>
      <c r="K990" s="24">
        <v>963.0</v>
      </c>
      <c r="L990" s="24">
        <v>2.8274146E7</v>
      </c>
    </row>
    <row r="991">
      <c r="J991" s="111">
        <v>4.0</v>
      </c>
      <c r="K991" s="24">
        <v>769.0</v>
      </c>
      <c r="L991" s="24">
        <v>7.3375822E7</v>
      </c>
    </row>
    <row r="992">
      <c r="J992" s="111">
        <v>50.0</v>
      </c>
      <c r="K992" s="24">
        <v>723.0</v>
      </c>
      <c r="L992" s="24">
        <v>5.6795797E7</v>
      </c>
    </row>
    <row r="993">
      <c r="J993" s="111">
        <v>41.0</v>
      </c>
      <c r="K993" s="24">
        <v>160.0</v>
      </c>
      <c r="L993" s="24">
        <v>2.2621499E7</v>
      </c>
    </row>
    <row r="994">
      <c r="J994" s="111">
        <v>4.0</v>
      </c>
      <c r="K994" s="24">
        <v>879.0</v>
      </c>
      <c r="L994" s="24">
        <v>7.2785735E7</v>
      </c>
    </row>
    <row r="995">
      <c r="J995" s="111">
        <v>17.0</v>
      </c>
      <c r="K995" s="24">
        <v>837.0</v>
      </c>
      <c r="L995" s="24">
        <v>7.3633746E7</v>
      </c>
    </row>
    <row r="996">
      <c r="J996" s="111">
        <v>22.0</v>
      </c>
      <c r="K996" s="24">
        <v>731.0</v>
      </c>
      <c r="L996" s="24">
        <v>9.4649261E7</v>
      </c>
    </row>
    <row r="997">
      <c r="J997" s="111">
        <v>27.0</v>
      </c>
      <c r="K997" s="24">
        <v>662.0</v>
      </c>
      <c r="L997" s="24">
        <v>5.0836378E7</v>
      </c>
    </row>
    <row r="998">
      <c r="J998" s="111">
        <v>8.0</v>
      </c>
      <c r="K998" s="24">
        <v>613.0</v>
      </c>
      <c r="L998" s="24">
        <v>7.5023492E7</v>
      </c>
    </row>
    <row r="999">
      <c r="J999" s="111">
        <v>34.0</v>
      </c>
      <c r="K999" s="24">
        <v>732.0</v>
      </c>
      <c r="L999" s="24">
        <v>8.2793731E7</v>
      </c>
    </row>
    <row r="1000">
      <c r="J1000" s="111">
        <v>9.0</v>
      </c>
      <c r="K1000" s="24">
        <v>761.0</v>
      </c>
      <c r="L1000" s="24">
        <v>3.9083199E7</v>
      </c>
    </row>
    <row r="1001">
      <c r="J1001" s="111">
        <v>17.0</v>
      </c>
      <c r="K1001" s="24">
        <v>366.0</v>
      </c>
      <c r="L1001" s="24">
        <v>4.8007622E7</v>
      </c>
    </row>
    <row r="1002">
      <c r="J1002" s="111">
        <v>39.0</v>
      </c>
      <c r="K1002" s="24">
        <v>108.0</v>
      </c>
      <c r="L1002" s="24">
        <v>9.2542511E7</v>
      </c>
    </row>
    <row r="1003">
      <c r="J1003" s="111">
        <v>42.0</v>
      </c>
      <c r="K1003" s="24">
        <v>932.0</v>
      </c>
      <c r="L1003" s="24">
        <v>6.0140475E7</v>
      </c>
    </row>
    <row r="1004">
      <c r="J1004" s="111">
        <v>33.0</v>
      </c>
      <c r="K1004" s="24">
        <v>370.0</v>
      </c>
      <c r="L1004" s="24">
        <v>9.0467689E7</v>
      </c>
    </row>
    <row r="1005">
      <c r="J1005" s="111">
        <v>41.0</v>
      </c>
      <c r="K1005" s="24">
        <v>186.0</v>
      </c>
      <c r="L1005" s="24">
        <v>7.9956177E7</v>
      </c>
    </row>
    <row r="1006">
      <c r="J1006" s="111">
        <v>17.0</v>
      </c>
      <c r="K1006" s="24">
        <v>540.0</v>
      </c>
      <c r="L1006" s="24">
        <v>5.4842807E7</v>
      </c>
    </row>
    <row r="1007">
      <c r="J1007" s="111">
        <v>17.0</v>
      </c>
      <c r="K1007" s="24">
        <v>661.0</v>
      </c>
      <c r="L1007" s="24">
        <v>9.5259511E7</v>
      </c>
    </row>
    <row r="1008">
      <c r="J1008" s="111">
        <v>27.0</v>
      </c>
      <c r="K1008" s="24">
        <v>246.0</v>
      </c>
      <c r="L1008" s="24">
        <v>4.7216491E7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6" t="s">
        <v>8596</v>
      </c>
    </row>
    <row r="2">
      <c r="A2" s="266" t="s">
        <v>6310</v>
      </c>
      <c r="B2" s="266" t="s">
        <v>6311</v>
      </c>
      <c r="C2" s="266" t="s">
        <v>6312</v>
      </c>
      <c r="D2" s="266" t="s">
        <v>8597</v>
      </c>
      <c r="E2" s="266" t="s">
        <v>6314</v>
      </c>
      <c r="F2" s="266" t="s">
        <v>6316</v>
      </c>
      <c r="G2" s="266" t="s">
        <v>6318</v>
      </c>
      <c r="H2" s="266" t="s">
        <v>8598</v>
      </c>
      <c r="I2" s="266" t="s">
        <v>6320</v>
      </c>
      <c r="J2" s="266" t="s">
        <v>6321</v>
      </c>
      <c r="K2" s="266" t="s">
        <v>6323</v>
      </c>
      <c r="L2" s="266" t="s">
        <v>6324</v>
      </c>
      <c r="M2" s="266" t="s">
        <v>8599</v>
      </c>
      <c r="N2" s="266" t="s">
        <v>6326</v>
      </c>
      <c r="O2" s="266" t="s">
        <v>6327</v>
      </c>
      <c r="P2" s="266" t="s">
        <v>8600</v>
      </c>
      <c r="Q2" s="266" t="s">
        <v>8601</v>
      </c>
      <c r="R2" s="266" t="s">
        <v>6330</v>
      </c>
      <c r="S2" s="266" t="s">
        <v>6332</v>
      </c>
      <c r="T2" s="266" t="s">
        <v>6333</v>
      </c>
      <c r="U2" s="266" t="s">
        <v>8602</v>
      </c>
      <c r="V2" s="266" t="s">
        <v>6335</v>
      </c>
      <c r="W2" s="266" t="s">
        <v>6337</v>
      </c>
      <c r="X2" s="266" t="s">
        <v>8603</v>
      </c>
      <c r="Y2" s="266" t="s">
        <v>6340</v>
      </c>
      <c r="Z2" s="266" t="s">
        <v>6341</v>
      </c>
      <c r="AA2" s="266" t="s">
        <v>6343</v>
      </c>
      <c r="AB2" s="266" t="s">
        <v>8604</v>
      </c>
      <c r="AC2" s="266" t="s">
        <v>6345</v>
      </c>
      <c r="AD2" s="266" t="s">
        <v>6346</v>
      </c>
      <c r="AE2" s="266" t="s">
        <v>6347</v>
      </c>
      <c r="AF2" s="266" t="s">
        <v>8605</v>
      </c>
      <c r="AG2" s="266" t="s">
        <v>6350</v>
      </c>
      <c r="AH2" s="266" t="s">
        <v>6351</v>
      </c>
      <c r="AI2" s="266" t="s">
        <v>8606</v>
      </c>
      <c r="AJ2" s="266" t="s">
        <v>8607</v>
      </c>
      <c r="AK2" s="266" t="s">
        <v>6354</v>
      </c>
      <c r="AL2" s="266" t="s">
        <v>6355</v>
      </c>
      <c r="AM2" s="266" t="s">
        <v>6356</v>
      </c>
      <c r="AN2" s="266" t="s">
        <v>8608</v>
      </c>
      <c r="AO2" s="266" t="s">
        <v>6358</v>
      </c>
      <c r="AP2" s="266" t="s">
        <v>6359</v>
      </c>
      <c r="AQ2" s="266" t="s">
        <v>8609</v>
      </c>
      <c r="AR2" s="266" t="s">
        <v>6361</v>
      </c>
      <c r="AS2" s="266" t="s">
        <v>6362</v>
      </c>
      <c r="AT2" s="266" t="s">
        <v>6363</v>
      </c>
      <c r="AU2" s="266" t="s">
        <v>8610</v>
      </c>
      <c r="AV2" s="266" t="s">
        <v>6365</v>
      </c>
      <c r="AW2" s="266" t="s">
        <v>6366</v>
      </c>
      <c r="AX2" s="266" t="s">
        <v>6367</v>
      </c>
      <c r="AY2" s="266" t="s">
        <v>6368</v>
      </c>
      <c r="AZ2" s="266" t="s">
        <v>8611</v>
      </c>
      <c r="BA2" s="266" t="s">
        <v>6370</v>
      </c>
      <c r="BB2" s="266" t="s">
        <v>6371</v>
      </c>
      <c r="BC2" s="266" t="s">
        <v>6372</v>
      </c>
      <c r="BD2" s="266" t="s">
        <v>8612</v>
      </c>
      <c r="BE2" s="266" t="s">
        <v>8613</v>
      </c>
      <c r="BF2" s="266" t="s">
        <v>6375</v>
      </c>
      <c r="BG2" s="266" t="s">
        <v>6376</v>
      </c>
      <c r="BH2" s="266" t="s">
        <v>6377</v>
      </c>
      <c r="BI2" s="266" t="s">
        <v>8614</v>
      </c>
      <c r="BJ2" s="266" t="s">
        <v>6379</v>
      </c>
      <c r="BK2" s="266" t="s">
        <v>6380</v>
      </c>
      <c r="BL2" s="266" t="s">
        <v>8615</v>
      </c>
      <c r="BM2" s="266" t="s">
        <v>6382</v>
      </c>
      <c r="BN2" s="266" t="s">
        <v>6383</v>
      </c>
      <c r="BO2" s="266" t="s">
        <v>6384</v>
      </c>
      <c r="BP2" s="266" t="s">
        <v>8616</v>
      </c>
      <c r="BQ2" s="266" t="s">
        <v>6386</v>
      </c>
      <c r="BR2" s="266" t="s">
        <v>6387</v>
      </c>
      <c r="BS2" s="266" t="s">
        <v>6388</v>
      </c>
      <c r="BT2" s="266" t="s">
        <v>6389</v>
      </c>
      <c r="BU2" s="266" t="s">
        <v>8617</v>
      </c>
      <c r="BV2" s="266" t="s">
        <v>8618</v>
      </c>
      <c r="BW2" s="266" t="s">
        <v>6393</v>
      </c>
      <c r="BX2" s="266" t="s">
        <v>6394</v>
      </c>
      <c r="BY2" s="266" t="s">
        <v>6395</v>
      </c>
      <c r="BZ2" s="266" t="s">
        <v>8619</v>
      </c>
      <c r="CA2" s="266" t="s">
        <v>6397</v>
      </c>
      <c r="CB2" s="266" t="s">
        <v>6398</v>
      </c>
      <c r="CC2" s="266" t="s">
        <v>8620</v>
      </c>
      <c r="CD2" s="266" t="s">
        <v>6400</v>
      </c>
      <c r="CE2" s="266" t="s">
        <v>6401</v>
      </c>
      <c r="CF2" s="266" t="s">
        <v>6402</v>
      </c>
      <c r="CG2" s="266" t="s">
        <v>6403</v>
      </c>
      <c r="CH2" s="266" t="s">
        <v>6404</v>
      </c>
      <c r="CI2" s="266" t="s">
        <v>6405</v>
      </c>
      <c r="CJ2" s="266" t="s">
        <v>6406</v>
      </c>
      <c r="CK2" s="266" t="s">
        <v>8621</v>
      </c>
      <c r="CL2" s="266" t="s">
        <v>6408</v>
      </c>
      <c r="CM2" s="266" t="s">
        <v>6409</v>
      </c>
      <c r="CN2" s="266" t="s">
        <v>6410</v>
      </c>
      <c r="CO2" s="266" t="s">
        <v>6411</v>
      </c>
      <c r="CP2" s="266" t="s">
        <v>6412</v>
      </c>
      <c r="CQ2" s="266" t="s">
        <v>6413</v>
      </c>
      <c r="CR2" s="266" t="s">
        <v>6414</v>
      </c>
      <c r="CS2" s="266" t="s">
        <v>6415</v>
      </c>
      <c r="CT2" s="266" t="s">
        <v>6416</v>
      </c>
      <c r="CU2" s="266" t="s">
        <v>6417</v>
      </c>
      <c r="CV2" s="266" t="s">
        <v>6418</v>
      </c>
      <c r="CW2" s="266" t="s">
        <v>6419</v>
      </c>
      <c r="CX2" s="266" t="s">
        <v>8622</v>
      </c>
      <c r="CY2" s="266" t="s">
        <v>6421</v>
      </c>
      <c r="CZ2" s="266" t="s">
        <v>6422</v>
      </c>
      <c r="DA2" s="266" t="s">
        <v>6423</v>
      </c>
      <c r="DB2" s="266" t="s">
        <v>6424</v>
      </c>
      <c r="DC2" s="266" t="s">
        <v>6425</v>
      </c>
      <c r="DD2" s="266" t="s">
        <v>6426</v>
      </c>
      <c r="DE2" s="266" t="s">
        <v>6427</v>
      </c>
      <c r="DF2" s="266" t="s">
        <v>6429</v>
      </c>
      <c r="DG2" s="266" t="s">
        <v>6430</v>
      </c>
      <c r="DH2" s="266" t="s">
        <v>6431</v>
      </c>
      <c r="DI2" s="266" t="s">
        <v>6432</v>
      </c>
      <c r="DJ2" s="266" t="s">
        <v>6433</v>
      </c>
      <c r="DK2" s="266" t="s">
        <v>6434</v>
      </c>
      <c r="DL2" s="266" t="s">
        <v>6435</v>
      </c>
      <c r="DM2" s="266" t="s">
        <v>6436</v>
      </c>
      <c r="DN2" s="266" t="s">
        <v>6437</v>
      </c>
      <c r="DO2" s="266" t="s">
        <v>6438</v>
      </c>
      <c r="DP2" s="266" t="s">
        <v>6439</v>
      </c>
      <c r="DQ2" s="266" t="s">
        <v>6440</v>
      </c>
      <c r="DR2" s="266" t="s">
        <v>6441</v>
      </c>
      <c r="DS2" s="266" t="s">
        <v>6442</v>
      </c>
      <c r="DT2" s="266" t="s">
        <v>6443</v>
      </c>
      <c r="DU2" s="266" t="s">
        <v>6444</v>
      </c>
      <c r="DV2" s="266" t="s">
        <v>6445</v>
      </c>
      <c r="DW2" s="266" t="s">
        <v>6446</v>
      </c>
      <c r="DX2" s="266" t="s">
        <v>6447</v>
      </c>
      <c r="DY2" s="266" t="s">
        <v>6448</v>
      </c>
      <c r="DZ2" s="266" t="s">
        <v>6449</v>
      </c>
      <c r="EA2" s="266" t="s">
        <v>6450</v>
      </c>
      <c r="EB2" s="266" t="s">
        <v>6451</v>
      </c>
      <c r="EC2" s="266" t="s">
        <v>6452</v>
      </c>
      <c r="ED2" s="266" t="s">
        <v>6454</v>
      </c>
      <c r="EE2" s="266" t="s">
        <v>6455</v>
      </c>
      <c r="EF2" s="266" t="s">
        <v>6456</v>
      </c>
      <c r="EG2" s="266" t="s">
        <v>6457</v>
      </c>
      <c r="EH2" s="266" t="s">
        <v>6458</v>
      </c>
      <c r="EI2" s="266" t="s">
        <v>6460</v>
      </c>
      <c r="EJ2" s="266" t="s">
        <v>6461</v>
      </c>
      <c r="EK2" s="266" t="s">
        <v>6306</v>
      </c>
    </row>
    <row r="3">
      <c r="A3" s="266" t="s">
        <v>8623</v>
      </c>
      <c r="B3" s="266" t="s">
        <v>0</v>
      </c>
      <c r="C3" s="266" t="s">
        <v>1</v>
      </c>
      <c r="D3" s="266" t="s">
        <v>2</v>
      </c>
      <c r="E3" s="266" t="s">
        <v>3</v>
      </c>
      <c r="F3" s="266" t="s">
        <v>4</v>
      </c>
      <c r="G3" s="266" t="s">
        <v>5</v>
      </c>
      <c r="H3" s="266" t="s">
        <v>6306</v>
      </c>
    </row>
    <row r="4">
      <c r="A4" s="266" t="s">
        <v>8624</v>
      </c>
      <c r="B4" s="266" t="s">
        <v>3801</v>
      </c>
      <c r="C4" s="266" t="s">
        <v>6829</v>
      </c>
      <c r="D4" s="266" t="s">
        <v>3802</v>
      </c>
      <c r="E4" s="266" t="s">
        <v>3803</v>
      </c>
      <c r="F4" s="266" t="s">
        <v>3804</v>
      </c>
      <c r="G4" s="266" t="s">
        <v>6306</v>
      </c>
    </row>
    <row r="5">
      <c r="A5" s="266" t="s">
        <v>8625</v>
      </c>
      <c r="B5" s="266" t="s">
        <v>5260</v>
      </c>
      <c r="C5" s="266" t="s">
        <v>576</v>
      </c>
      <c r="D5" s="266" t="s">
        <v>5261</v>
      </c>
      <c r="E5" s="266" t="s">
        <v>8626</v>
      </c>
      <c r="F5" s="266" t="s">
        <v>5262</v>
      </c>
      <c r="G5" s="266" t="s">
        <v>6868</v>
      </c>
      <c r="H5" s="266" t="s">
        <v>6869</v>
      </c>
      <c r="I5" s="266" t="s">
        <v>6870</v>
      </c>
      <c r="J5" s="266" t="s">
        <v>6871</v>
      </c>
      <c r="K5" s="266" t="s">
        <v>6872</v>
      </c>
      <c r="L5" s="266" t="s">
        <v>6873</v>
      </c>
      <c r="M5" s="266" t="s">
        <v>8627</v>
      </c>
      <c r="N5" s="266" t="s">
        <v>5263</v>
      </c>
      <c r="O5" s="266" t="s">
        <v>5264</v>
      </c>
      <c r="P5" s="266" t="s">
        <v>5265</v>
      </c>
      <c r="Q5" s="266" t="s">
        <v>6829</v>
      </c>
      <c r="R5" s="266" t="s">
        <v>3802</v>
      </c>
      <c r="S5" s="266" t="s">
        <v>3803</v>
      </c>
      <c r="T5" s="266" t="s">
        <v>3804</v>
      </c>
      <c r="U5" s="266" t="s">
        <v>575</v>
      </c>
      <c r="V5" s="266" t="s">
        <v>5266</v>
      </c>
      <c r="W5" s="266" t="s">
        <v>5267</v>
      </c>
      <c r="X5" s="266" t="s">
        <v>5268</v>
      </c>
      <c r="Y5" s="266" t="s">
        <v>5269</v>
      </c>
      <c r="Z5" s="266" t="s">
        <v>5139</v>
      </c>
      <c r="AA5" s="266" t="s">
        <v>5270</v>
      </c>
      <c r="AB5" s="266" t="s">
        <v>514</v>
      </c>
      <c r="AC5" s="266" t="s">
        <v>6306</v>
      </c>
    </row>
    <row r="6">
      <c r="A6" s="266" t="s">
        <v>8628</v>
      </c>
      <c r="B6" s="266" t="s">
        <v>5260</v>
      </c>
      <c r="C6" s="266" t="s">
        <v>576</v>
      </c>
      <c r="D6" s="266" t="s">
        <v>8627</v>
      </c>
      <c r="E6" s="266" t="s">
        <v>5263</v>
      </c>
      <c r="F6" s="266" t="s">
        <v>5264</v>
      </c>
      <c r="G6" s="266" t="s">
        <v>5265</v>
      </c>
      <c r="H6" s="266" t="s">
        <v>6829</v>
      </c>
      <c r="I6" s="266" t="s">
        <v>3802</v>
      </c>
      <c r="J6" s="266" t="s">
        <v>3803</v>
      </c>
      <c r="K6" s="266" t="s">
        <v>3804</v>
      </c>
      <c r="L6" s="266" t="s">
        <v>575</v>
      </c>
      <c r="M6" s="266" t="s">
        <v>5266</v>
      </c>
      <c r="N6" s="266" t="s">
        <v>5267</v>
      </c>
      <c r="O6" s="266" t="s">
        <v>5268</v>
      </c>
      <c r="P6" s="266" t="s">
        <v>5269</v>
      </c>
      <c r="Q6" s="266" t="s">
        <v>5139</v>
      </c>
      <c r="R6" s="266" t="s">
        <v>5270</v>
      </c>
      <c r="S6" s="266" t="s">
        <v>514</v>
      </c>
      <c r="T6" s="266" t="s">
        <v>5285</v>
      </c>
      <c r="U6" s="266" t="s">
        <v>5286</v>
      </c>
      <c r="V6" s="266" t="s">
        <v>5287</v>
      </c>
      <c r="W6" s="266" t="s">
        <v>5288</v>
      </c>
      <c r="X6" s="266" t="s">
        <v>4114</v>
      </c>
      <c r="Y6" s="266" t="s">
        <v>5289</v>
      </c>
      <c r="Z6" s="266" t="s">
        <v>5290</v>
      </c>
      <c r="AA6" s="266" t="s">
        <v>3839</v>
      </c>
      <c r="AB6" s="266" t="s">
        <v>5291</v>
      </c>
      <c r="AC6" s="266" t="s">
        <v>6306</v>
      </c>
    </row>
    <row r="7">
      <c r="A7" s="266" t="s">
        <v>8629</v>
      </c>
      <c r="B7" s="266" t="s">
        <v>6829</v>
      </c>
      <c r="C7" s="266" t="s">
        <v>3802</v>
      </c>
      <c r="D7" s="266" t="s">
        <v>3803</v>
      </c>
      <c r="E7" s="266" t="s">
        <v>3804</v>
      </c>
      <c r="F7" s="266" t="s">
        <v>6879</v>
      </c>
      <c r="G7" s="266" t="s">
        <v>6880</v>
      </c>
      <c r="H7" s="266" t="s">
        <v>6306</v>
      </c>
      <c r="I7" s="266" t="s">
        <v>8630</v>
      </c>
      <c r="J7" s="266" t="s">
        <v>6882</v>
      </c>
      <c r="K7" s="266" t="s">
        <v>6883</v>
      </c>
      <c r="L7" s="266" t="s">
        <v>6884</v>
      </c>
      <c r="M7" s="266" t="s">
        <v>6885</v>
      </c>
      <c r="N7" s="266" t="s">
        <v>6886</v>
      </c>
      <c r="O7" s="266" t="s">
        <v>6887</v>
      </c>
      <c r="P7" s="266" t="s">
        <v>6888</v>
      </c>
      <c r="Q7" s="266" t="s">
        <v>8631</v>
      </c>
      <c r="R7" s="266" t="s">
        <v>6890</v>
      </c>
      <c r="S7" s="266" t="s">
        <v>6891</v>
      </c>
      <c r="T7" s="266" t="s">
        <v>6892</v>
      </c>
      <c r="U7" s="266" t="s">
        <v>6891</v>
      </c>
      <c r="V7" s="266" t="s">
        <v>5261</v>
      </c>
      <c r="W7" s="266" t="s">
        <v>6893</v>
      </c>
      <c r="X7" s="266" t="s">
        <v>8632</v>
      </c>
      <c r="Y7" s="266" t="s">
        <v>5267</v>
      </c>
      <c r="Z7" s="266" t="s">
        <v>6895</v>
      </c>
      <c r="AA7" s="266" t="s">
        <v>6896</v>
      </c>
      <c r="AB7" s="266" t="s">
        <v>6897</v>
      </c>
      <c r="AC7" s="266" t="s">
        <v>6898</v>
      </c>
      <c r="AD7" s="266" t="s">
        <v>6306</v>
      </c>
      <c r="AE7" s="266" t="s">
        <v>6900</v>
      </c>
      <c r="AF7" s="266" t="s">
        <v>6901</v>
      </c>
      <c r="AG7" s="266" t="s">
        <v>6902</v>
      </c>
      <c r="AH7" s="266" t="s">
        <v>6408</v>
      </c>
      <c r="AI7" s="266" t="s">
        <v>6409</v>
      </c>
      <c r="AJ7" s="266" t="s">
        <v>6903</v>
      </c>
      <c r="AK7" s="266" t="s">
        <v>6904</v>
      </c>
      <c r="AL7" s="266" t="s">
        <v>6905</v>
      </c>
      <c r="AM7" s="266" t="s">
        <v>6906</v>
      </c>
      <c r="AN7" s="266" t="s">
        <v>6907</v>
      </c>
      <c r="AO7" s="266" t="s">
        <v>6908</v>
      </c>
      <c r="AP7" s="266" t="s">
        <v>6910</v>
      </c>
      <c r="AQ7" s="266" t="s">
        <v>6911</v>
      </c>
      <c r="AR7" s="266" t="s">
        <v>6912</v>
      </c>
      <c r="AS7" s="266" t="s">
        <v>6913</v>
      </c>
      <c r="AT7" s="266" t="s">
        <v>6914</v>
      </c>
      <c r="AU7" s="266" t="s">
        <v>6915</v>
      </c>
      <c r="AV7" s="266" t="s">
        <v>6916</v>
      </c>
      <c r="AW7" s="266" t="s">
        <v>6917</v>
      </c>
      <c r="AX7" s="266" t="s">
        <v>6918</v>
      </c>
      <c r="AY7" s="266" t="s">
        <v>6919</v>
      </c>
      <c r="AZ7" s="266" t="s">
        <v>6920</v>
      </c>
      <c r="BA7" s="266" t="s">
        <v>6921</v>
      </c>
      <c r="BB7" s="266" t="s">
        <v>6922</v>
      </c>
      <c r="BC7" s="266" t="s">
        <v>2785</v>
      </c>
      <c r="BD7" s="266" t="s">
        <v>3840</v>
      </c>
      <c r="BE7" s="266" t="s">
        <v>6923</v>
      </c>
      <c r="BF7" s="266" t="s">
        <v>6924</v>
      </c>
      <c r="BG7" s="266" t="s">
        <v>6925</v>
      </c>
      <c r="BH7" s="266" t="s">
        <v>8633</v>
      </c>
      <c r="BI7" s="266" t="s">
        <v>6927</v>
      </c>
      <c r="BJ7" s="266" t="s">
        <v>6928</v>
      </c>
      <c r="BK7" s="266" t="s">
        <v>6929</v>
      </c>
      <c r="BL7" s="266" t="s">
        <v>6930</v>
      </c>
      <c r="BM7" s="266" t="s">
        <v>6931</v>
      </c>
      <c r="BN7" s="266" t="s">
        <v>6932</v>
      </c>
      <c r="BO7" s="266" t="s">
        <v>6933</v>
      </c>
      <c r="BP7" s="266" t="s">
        <v>8634</v>
      </c>
      <c r="BQ7" s="266" t="s">
        <v>6935</v>
      </c>
      <c r="BR7" s="266" t="s">
        <v>6936</v>
      </c>
      <c r="BS7" s="266" t="s">
        <v>6937</v>
      </c>
      <c r="BT7" s="266" t="s">
        <v>6936</v>
      </c>
      <c r="BU7" s="266" t="s">
        <v>6938</v>
      </c>
      <c r="BV7" s="266" t="s">
        <v>6939</v>
      </c>
      <c r="BW7" s="266" t="s">
        <v>6940</v>
      </c>
      <c r="BX7" s="266" t="s">
        <v>6941</v>
      </c>
      <c r="BY7" s="266" t="s">
        <v>6942</v>
      </c>
      <c r="BZ7" s="266" t="s">
        <v>6943</v>
      </c>
      <c r="CA7" s="266" t="s">
        <v>6306</v>
      </c>
    </row>
    <row r="8">
      <c r="A8" s="266" t="s">
        <v>3848</v>
      </c>
      <c r="B8" s="266" t="s">
        <v>3849</v>
      </c>
      <c r="C8" s="266" t="s">
        <v>3850</v>
      </c>
      <c r="D8" s="266" t="s">
        <v>6306</v>
      </c>
    </row>
    <row r="9">
      <c r="A9" s="266" t="s">
        <v>8635</v>
      </c>
      <c r="B9" s="266" t="s">
        <v>546</v>
      </c>
      <c r="C9" s="266" t="s">
        <v>547</v>
      </c>
      <c r="D9" s="266" t="s">
        <v>548</v>
      </c>
      <c r="E9" s="266" t="s">
        <v>549</v>
      </c>
      <c r="F9" s="266" t="s">
        <v>550</v>
      </c>
      <c r="G9" s="266" t="s">
        <v>6306</v>
      </c>
    </row>
    <row r="10">
      <c r="A10" s="266" t="s">
        <v>8636</v>
      </c>
      <c r="B10" s="266" t="s">
        <v>5139</v>
      </c>
      <c r="C10" s="266" t="s">
        <v>5140</v>
      </c>
      <c r="D10" s="266" t="s">
        <v>5141</v>
      </c>
      <c r="E10" s="266" t="s">
        <v>5142</v>
      </c>
      <c r="F10" s="266" t="s">
        <v>5143</v>
      </c>
      <c r="G10" s="266" t="s">
        <v>5144</v>
      </c>
      <c r="H10" s="266" t="s">
        <v>5145</v>
      </c>
      <c r="I10" s="266" t="s">
        <v>5146</v>
      </c>
      <c r="J10" s="266" t="s">
        <v>5147</v>
      </c>
      <c r="K10" s="266" t="s">
        <v>5148</v>
      </c>
      <c r="L10" s="266" t="s">
        <v>5149</v>
      </c>
      <c r="M10" s="266" t="s">
        <v>5150</v>
      </c>
      <c r="N10" s="266" t="s">
        <v>5151</v>
      </c>
      <c r="O10" s="266" t="s">
        <v>5152</v>
      </c>
      <c r="P10" s="266" t="s">
        <v>5153</v>
      </c>
      <c r="Q10" s="266" t="s">
        <v>5154</v>
      </c>
    </row>
    <row r="11">
      <c r="A11" s="266" t="s">
        <v>8637</v>
      </c>
      <c r="B11" s="266" t="s">
        <v>7862</v>
      </c>
      <c r="C11" s="266" t="s">
        <v>7863</v>
      </c>
      <c r="D11" s="266" t="s">
        <v>7864</v>
      </c>
      <c r="E11" s="266" t="s">
        <v>7865</v>
      </c>
      <c r="F11" s="266" t="s">
        <v>7866</v>
      </c>
      <c r="G11" s="266" t="s">
        <v>7867</v>
      </c>
      <c r="H11" s="266" t="s">
        <v>7868</v>
      </c>
      <c r="I11" s="266" t="s">
        <v>7869</v>
      </c>
      <c r="J11" s="266" t="s">
        <v>7870</v>
      </c>
      <c r="K11" s="266" t="s">
        <v>7871</v>
      </c>
      <c r="L11" s="266" t="s">
        <v>7872</v>
      </c>
      <c r="M11" s="266" t="s">
        <v>7873</v>
      </c>
      <c r="N11" s="266" t="s">
        <v>7874</v>
      </c>
      <c r="O11" s="266" t="s">
        <v>7875</v>
      </c>
      <c r="P11" s="266" t="s">
        <v>7877</v>
      </c>
      <c r="Q11" s="266" t="s">
        <v>7878</v>
      </c>
      <c r="R11" s="266" t="s">
        <v>7879</v>
      </c>
      <c r="S11" s="266" t="s">
        <v>7880</v>
      </c>
      <c r="T11" s="266" t="s">
        <v>7881</v>
      </c>
      <c r="U11" s="266" t="s">
        <v>7882</v>
      </c>
      <c r="V11" s="266" t="s">
        <v>7883</v>
      </c>
      <c r="W11" s="266" t="s">
        <v>7884</v>
      </c>
      <c r="X11" s="266" t="s">
        <v>7885</v>
      </c>
      <c r="Y11" s="266" t="s">
        <v>7886</v>
      </c>
      <c r="Z11" s="266" t="s">
        <v>7887</v>
      </c>
      <c r="AA11" s="266" t="s">
        <v>7888</v>
      </c>
      <c r="AB11" s="266" t="s">
        <v>7889</v>
      </c>
      <c r="AC11" s="266" t="s">
        <v>7890</v>
      </c>
      <c r="AD11" s="266" t="s">
        <v>7891</v>
      </c>
      <c r="AE11" s="266" t="s">
        <v>7892</v>
      </c>
      <c r="AF11" s="266" t="s">
        <v>7893</v>
      </c>
      <c r="AG11" s="266" t="s">
        <v>7894</v>
      </c>
      <c r="AH11" s="266" t="s">
        <v>7895</v>
      </c>
      <c r="AI11" s="266" t="s">
        <v>7896</v>
      </c>
      <c r="AJ11" s="266" t="s">
        <v>7897</v>
      </c>
      <c r="AK11" s="266" t="s">
        <v>7898</v>
      </c>
      <c r="AL11" s="266" t="s">
        <v>7899</v>
      </c>
      <c r="AM11" s="266" t="s">
        <v>7900</v>
      </c>
      <c r="AN11" s="266" t="s">
        <v>7901</v>
      </c>
      <c r="AO11" s="266" t="s">
        <v>7902</v>
      </c>
      <c r="AP11" s="266" t="s">
        <v>7903</v>
      </c>
      <c r="AQ11" s="266" t="s">
        <v>7904</v>
      </c>
      <c r="AR11" s="266" t="s">
        <v>7905</v>
      </c>
      <c r="AS11" s="266" t="s">
        <v>7906</v>
      </c>
      <c r="AT11" s="266" t="s">
        <v>7907</v>
      </c>
      <c r="AU11" s="266" t="s">
        <v>7033</v>
      </c>
      <c r="AV11" s="266" t="s">
        <v>7908</v>
      </c>
      <c r="AW11" s="266" t="s">
        <v>7909</v>
      </c>
      <c r="AX11" s="266" t="s">
        <v>7910</v>
      </c>
      <c r="AY11" s="266" t="s">
        <v>7911</v>
      </c>
      <c r="AZ11" s="266" t="s">
        <v>7912</v>
      </c>
      <c r="BA11" s="266" t="s">
        <v>7913</v>
      </c>
      <c r="BB11" s="266" t="s">
        <v>7914</v>
      </c>
      <c r="BC11" s="266" t="s">
        <v>7915</v>
      </c>
      <c r="BD11" s="266" t="s">
        <v>7916</v>
      </c>
      <c r="BE11" s="266" t="s">
        <v>7917</v>
      </c>
      <c r="BF11" s="266" t="s">
        <v>7918</v>
      </c>
      <c r="BG11" s="266" t="s">
        <v>7919</v>
      </c>
      <c r="BH11" s="266" t="s">
        <v>7920</v>
      </c>
      <c r="BI11" s="266" t="s">
        <v>7921</v>
      </c>
      <c r="BJ11" s="266" t="s">
        <v>7922</v>
      </c>
      <c r="BK11" s="266" t="s">
        <v>7923</v>
      </c>
      <c r="BL11" s="266" t="s">
        <v>7924</v>
      </c>
    </row>
    <row r="12">
      <c r="A12" s="266" t="s">
        <v>8638</v>
      </c>
      <c r="B12" s="266" t="s">
        <v>5115</v>
      </c>
      <c r="C12" s="266" t="s">
        <v>5116</v>
      </c>
    </row>
    <row r="13">
      <c r="A13" s="266" t="s">
        <v>8639</v>
      </c>
      <c r="B13" s="266" t="s">
        <v>3790</v>
      </c>
      <c r="C13" s="266" t="s">
        <v>8640</v>
      </c>
      <c r="D13" s="266" t="s">
        <v>2782</v>
      </c>
      <c r="E13" s="266" t="s">
        <v>2783</v>
      </c>
      <c r="F13" s="266" t="s">
        <v>2784</v>
      </c>
      <c r="G13" s="266" t="s">
        <v>3791</v>
      </c>
      <c r="H13" s="266" t="s">
        <v>2780</v>
      </c>
      <c r="I13" s="266" t="s">
        <v>2781</v>
      </c>
      <c r="J13" s="266" t="s">
        <v>3792</v>
      </c>
      <c r="K13" s="266" t="s">
        <v>2785</v>
      </c>
      <c r="L13" s="266" t="s">
        <v>6306</v>
      </c>
    </row>
    <row r="14">
      <c r="A14" s="266" t="s">
        <v>8641</v>
      </c>
      <c r="B14" s="266" t="s">
        <v>8642</v>
      </c>
      <c r="C14" s="266" t="s">
        <v>514</v>
      </c>
      <c r="D14" s="266" t="s">
        <v>4114</v>
      </c>
      <c r="E14" s="266" t="s">
        <v>3790</v>
      </c>
      <c r="F14" s="266" t="s">
        <v>5104</v>
      </c>
      <c r="G14" s="266" t="s">
        <v>5127</v>
      </c>
      <c r="H14" s="266" t="s">
        <v>5128</v>
      </c>
      <c r="I14" s="266" t="s">
        <v>5129</v>
      </c>
      <c r="J14" s="266" t="s">
        <v>5130</v>
      </c>
      <c r="K14" s="266" t="s">
        <v>5131</v>
      </c>
      <c r="L14" s="266" t="s">
        <v>5132</v>
      </c>
      <c r="M14" s="266" t="s">
        <v>5133</v>
      </c>
      <c r="N14" s="266" t="s">
        <v>5134</v>
      </c>
      <c r="O14" s="266" t="s">
        <v>5135</v>
      </c>
      <c r="P14" s="266" t="s">
        <v>2785</v>
      </c>
      <c r="Q14" s="266" t="s">
        <v>5109</v>
      </c>
      <c r="R14" s="266" t="s">
        <v>5136</v>
      </c>
      <c r="S14" s="266" t="s">
        <v>6306</v>
      </c>
    </row>
    <row r="15">
      <c r="A15" s="266" t="s">
        <v>8643</v>
      </c>
      <c r="B15" s="266" t="s">
        <v>5119</v>
      </c>
      <c r="C15" s="266" t="s">
        <v>5120</v>
      </c>
      <c r="D15" s="266" t="s">
        <v>5121</v>
      </c>
    </row>
    <row r="16">
      <c r="A16" s="266" t="s">
        <v>8644</v>
      </c>
      <c r="B16" s="266" t="s">
        <v>8645</v>
      </c>
      <c r="C16" s="266" t="s">
        <v>514</v>
      </c>
      <c r="D16" s="266" t="s">
        <v>4114</v>
      </c>
      <c r="E16" s="266" t="s">
        <v>4115</v>
      </c>
      <c r="F16" s="266" t="s">
        <v>4116</v>
      </c>
      <c r="G16" s="266" t="s">
        <v>4117</v>
      </c>
      <c r="H16" s="266" t="s">
        <v>4118</v>
      </c>
      <c r="I16" s="266" t="s">
        <v>4119</v>
      </c>
      <c r="J16" s="266" t="s">
        <v>4120</v>
      </c>
      <c r="K16" s="266" t="s">
        <v>4121</v>
      </c>
      <c r="L16" s="266" t="s">
        <v>6306</v>
      </c>
    </row>
    <row r="17">
      <c r="A17" s="266" t="s">
        <v>8646</v>
      </c>
      <c r="B17" s="266" t="s">
        <v>3790</v>
      </c>
      <c r="C17" s="266" t="s">
        <v>5104</v>
      </c>
      <c r="D17" s="266" t="s">
        <v>8647</v>
      </c>
      <c r="E17" s="266" t="s">
        <v>8648</v>
      </c>
      <c r="F17" s="266" t="s">
        <v>576</v>
      </c>
      <c r="G17" s="266" t="s">
        <v>577</v>
      </c>
      <c r="H17" s="266" t="s">
        <v>578</v>
      </c>
      <c r="I17" s="266" t="s">
        <v>5105</v>
      </c>
      <c r="J17" s="266" t="s">
        <v>5106</v>
      </c>
      <c r="K17" s="266" t="s">
        <v>5107</v>
      </c>
      <c r="L17" s="266" t="s">
        <v>4119</v>
      </c>
      <c r="M17" s="266" t="s">
        <v>4120</v>
      </c>
      <c r="N17" s="266" t="s">
        <v>5108</v>
      </c>
      <c r="O17" s="266" t="s">
        <v>5109</v>
      </c>
      <c r="P17" s="266" t="s">
        <v>5110</v>
      </c>
      <c r="Q17" s="266" t="s">
        <v>4121</v>
      </c>
      <c r="R17" s="266" t="s">
        <v>6306</v>
      </c>
    </row>
    <row r="18">
      <c r="A18" s="266" t="s">
        <v>8641</v>
      </c>
      <c r="B18" s="266" t="s">
        <v>8642</v>
      </c>
      <c r="C18" s="266" t="s">
        <v>514</v>
      </c>
      <c r="D18" s="266" t="s">
        <v>4114</v>
      </c>
      <c r="E18" s="266" t="s">
        <v>3790</v>
      </c>
      <c r="F18" s="266" t="s">
        <v>5104</v>
      </c>
      <c r="G18" s="266" t="s">
        <v>5127</v>
      </c>
      <c r="H18" s="266" t="s">
        <v>5128</v>
      </c>
      <c r="I18" s="266" t="s">
        <v>5129</v>
      </c>
      <c r="J18" s="266" t="s">
        <v>5130</v>
      </c>
      <c r="K18" s="266" t="s">
        <v>5131</v>
      </c>
      <c r="L18" s="266" t="s">
        <v>5132</v>
      </c>
      <c r="M18" s="266" t="s">
        <v>5133</v>
      </c>
      <c r="N18" s="266" t="s">
        <v>5134</v>
      </c>
      <c r="O18" s="266" t="s">
        <v>5135</v>
      </c>
      <c r="P18" s="266" t="s">
        <v>2785</v>
      </c>
      <c r="Q18" s="266" t="s">
        <v>5109</v>
      </c>
      <c r="R18" s="266" t="s">
        <v>5136</v>
      </c>
      <c r="S18" s="266" t="s">
        <v>6306</v>
      </c>
    </row>
    <row r="19">
      <c r="A19" s="266" t="s">
        <v>8649</v>
      </c>
      <c r="B19" s="266" t="s">
        <v>8650</v>
      </c>
      <c r="C19" s="266" t="s">
        <v>514</v>
      </c>
      <c r="D19" s="266" t="s">
        <v>6795</v>
      </c>
      <c r="E19" s="266" t="s">
        <v>8651</v>
      </c>
      <c r="F19" s="266" t="s">
        <v>5165</v>
      </c>
      <c r="G19" s="266" t="s">
        <v>5166</v>
      </c>
      <c r="H19" s="266" t="s">
        <v>6796</v>
      </c>
      <c r="I19" s="266" t="s">
        <v>8652</v>
      </c>
      <c r="J19" s="266" t="s">
        <v>5160</v>
      </c>
      <c r="K19" s="266" t="s">
        <v>5161</v>
      </c>
      <c r="L19" s="266" t="s">
        <v>6768</v>
      </c>
      <c r="M19" s="266" t="s">
        <v>6789</v>
      </c>
      <c r="N19" s="266" t="s">
        <v>4114</v>
      </c>
      <c r="O19" s="266" t="s">
        <v>8214</v>
      </c>
      <c r="P19" s="266" t="s">
        <v>8215</v>
      </c>
      <c r="Q19" s="266" t="s">
        <v>8216</v>
      </c>
      <c r="R19" s="266" t="s">
        <v>8217</v>
      </c>
      <c r="S19" s="266" t="s">
        <v>8218</v>
      </c>
      <c r="T19" s="266" t="s">
        <v>8219</v>
      </c>
      <c r="U19" s="266" t="s">
        <v>8220</v>
      </c>
      <c r="V19" s="266" t="s">
        <v>8221</v>
      </c>
      <c r="W19" s="266" t="s">
        <v>8222</v>
      </c>
      <c r="X19" s="266" t="s">
        <v>8223</v>
      </c>
      <c r="Y19" s="266" t="s">
        <v>8224</v>
      </c>
      <c r="Z19" s="266" t="s">
        <v>8225</v>
      </c>
      <c r="AA19" s="266" t="s">
        <v>8226</v>
      </c>
      <c r="AB19" s="266" t="s">
        <v>8227</v>
      </c>
      <c r="AC19" s="266" t="s">
        <v>8228</v>
      </c>
      <c r="AD19" s="266" t="s">
        <v>8229</v>
      </c>
      <c r="AE19" s="266" t="s">
        <v>8230</v>
      </c>
      <c r="AF19" s="266" t="s">
        <v>8231</v>
      </c>
      <c r="AG19" s="266" t="s">
        <v>7035</v>
      </c>
      <c r="AH19" s="266" t="s">
        <v>8129</v>
      </c>
      <c r="AI19" s="266" t="s">
        <v>7037</v>
      </c>
      <c r="AJ19" s="266" t="s">
        <v>7038</v>
      </c>
      <c r="AK19" s="266" t="s">
        <v>7039</v>
      </c>
      <c r="AL19" s="266" t="s">
        <v>7041</v>
      </c>
      <c r="AM19" s="266" t="s">
        <v>6306</v>
      </c>
      <c r="AN19" s="266" t="s">
        <v>7043</v>
      </c>
      <c r="AO19" s="266" t="s">
        <v>6306</v>
      </c>
    </row>
    <row r="20">
      <c r="A20" s="266" t="s">
        <v>8653</v>
      </c>
      <c r="B20" s="266" t="s">
        <v>615</v>
      </c>
      <c r="C20" s="266" t="s">
        <v>616</v>
      </c>
      <c r="D20" s="266" t="s">
        <v>617</v>
      </c>
      <c r="E20" s="266" t="s">
        <v>618</v>
      </c>
      <c r="F20" s="266" t="s">
        <v>619</v>
      </c>
      <c r="G20" s="266" t="s">
        <v>620</v>
      </c>
      <c r="H20" s="266" t="s">
        <v>8647</v>
      </c>
      <c r="I20" s="266" t="s">
        <v>8648</v>
      </c>
      <c r="J20" s="266" t="s">
        <v>576</v>
      </c>
      <c r="K20" s="266" t="s">
        <v>577</v>
      </c>
      <c r="L20" s="266" t="s">
        <v>578</v>
      </c>
      <c r="M20" s="266" t="s">
        <v>621</v>
      </c>
      <c r="N20" s="266" t="s">
        <v>622</v>
      </c>
      <c r="O20" s="266" t="s">
        <v>6306</v>
      </c>
    </row>
    <row r="21">
      <c r="A21" s="266" t="s">
        <v>8635</v>
      </c>
      <c r="B21" s="266" t="s">
        <v>546</v>
      </c>
      <c r="C21" s="266" t="s">
        <v>547</v>
      </c>
      <c r="D21" s="266" t="s">
        <v>548</v>
      </c>
      <c r="E21" s="266" t="s">
        <v>549</v>
      </c>
      <c r="F21" s="266" t="s">
        <v>550</v>
      </c>
      <c r="G21" s="266" t="s">
        <v>6306</v>
      </c>
    </row>
    <row r="22">
      <c r="A22" s="266" t="s">
        <v>8654</v>
      </c>
      <c r="B22" s="266" t="s">
        <v>8655</v>
      </c>
      <c r="C22" s="266" t="s">
        <v>2777</v>
      </c>
      <c r="D22" s="266" t="s">
        <v>2778</v>
      </c>
      <c r="E22" s="266" t="s">
        <v>2779</v>
      </c>
      <c r="F22" s="266" t="s">
        <v>2780</v>
      </c>
      <c r="G22" s="266" t="s">
        <v>2781</v>
      </c>
      <c r="H22" s="266" t="s">
        <v>8640</v>
      </c>
      <c r="I22" s="266" t="s">
        <v>2782</v>
      </c>
      <c r="J22" s="266" t="s">
        <v>2783</v>
      </c>
      <c r="K22" s="266" t="s">
        <v>2784</v>
      </c>
      <c r="L22" s="266" t="s">
        <v>2785</v>
      </c>
      <c r="M22" s="266" t="s">
        <v>6306</v>
      </c>
    </row>
    <row r="23">
      <c r="A23" s="34" t="s">
        <v>575</v>
      </c>
      <c r="B23" s="34" t="s">
        <v>576</v>
      </c>
      <c r="C23" s="35" t="s">
        <v>577</v>
      </c>
      <c r="D23" s="35" t="s">
        <v>578</v>
      </c>
      <c r="E23" s="35" t="s">
        <v>579</v>
      </c>
      <c r="F23" s="35" t="s">
        <v>580</v>
      </c>
      <c r="G23" s="36" t="s">
        <v>581</v>
      </c>
      <c r="H23" s="35" t="s">
        <v>582</v>
      </c>
      <c r="I23" s="35" t="s">
        <v>583</v>
      </c>
      <c r="J23" s="35" t="s">
        <v>584</v>
      </c>
      <c r="K23" s="35" t="s">
        <v>585</v>
      </c>
      <c r="L23" s="35" t="s">
        <v>586</v>
      </c>
      <c r="M23" s="35" t="s">
        <v>587</v>
      </c>
      <c r="N23" s="35" t="s">
        <v>588</v>
      </c>
      <c r="O23" s="35" t="s">
        <v>589</v>
      </c>
      <c r="P23" s="35" t="s">
        <v>590</v>
      </c>
      <c r="Q23" s="35" t="s">
        <v>591</v>
      </c>
      <c r="R23" s="35" t="s">
        <v>592</v>
      </c>
      <c r="S23" s="35" t="s">
        <v>593</v>
      </c>
      <c r="T23" s="35" t="s">
        <v>594</v>
      </c>
      <c r="U23" s="37" t="s">
        <v>595</v>
      </c>
      <c r="V23" s="35" t="s">
        <v>596</v>
      </c>
      <c r="W23" s="35" t="s">
        <v>597</v>
      </c>
      <c r="X23" s="35" t="s">
        <v>598</v>
      </c>
      <c r="Y23" s="35" t="s">
        <v>599</v>
      </c>
      <c r="Z23" s="35" t="s">
        <v>6306</v>
      </c>
    </row>
    <row r="24">
      <c r="A24" s="3" t="s">
        <v>23</v>
      </c>
      <c r="B24" s="3" t="s">
        <v>24</v>
      </c>
      <c r="C24" s="15" t="s">
        <v>25</v>
      </c>
      <c r="D24" s="3" t="s">
        <v>26</v>
      </c>
      <c r="E24" s="3" t="s">
        <v>27</v>
      </c>
      <c r="F24" s="3" t="s">
        <v>6306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3">
        <v>1.0</v>
      </c>
      <c r="B1" s="284">
        <v>1.0</v>
      </c>
      <c r="C1" s="285" t="str">
        <f t="shared" ref="C1:C3142" si="1">textjoin(" ",true,A1:B1)</f>
        <v>1 1</v>
      </c>
      <c r="D1" s="285" t="s">
        <v>8656</v>
      </c>
    </row>
    <row r="2">
      <c r="A2" s="283">
        <v>1.0</v>
      </c>
      <c r="B2" s="284">
        <v>3.0</v>
      </c>
      <c r="C2" s="285" t="str">
        <f t="shared" si="1"/>
        <v>1 3</v>
      </c>
      <c r="D2" s="285" t="s">
        <v>8657</v>
      </c>
    </row>
    <row r="3">
      <c r="A3" s="283">
        <v>1.0</v>
      </c>
      <c r="B3" s="284">
        <v>5.0</v>
      </c>
      <c r="C3" s="285" t="str">
        <f t="shared" si="1"/>
        <v>1 5</v>
      </c>
      <c r="D3" s="285" t="s">
        <v>8658</v>
      </c>
    </row>
    <row r="4">
      <c r="A4" s="283">
        <v>1.0</v>
      </c>
      <c r="B4" s="284">
        <v>7.0</v>
      </c>
      <c r="C4" s="285" t="str">
        <f t="shared" si="1"/>
        <v>1 7</v>
      </c>
      <c r="D4" s="285" t="s">
        <v>8659</v>
      </c>
    </row>
    <row r="5">
      <c r="A5" s="283">
        <v>1.0</v>
      </c>
      <c r="B5" s="284">
        <v>9.0</v>
      </c>
      <c r="C5" s="285" t="str">
        <f t="shared" si="1"/>
        <v>1 9</v>
      </c>
      <c r="D5" s="285" t="s">
        <v>8660</v>
      </c>
    </row>
    <row r="6">
      <c r="A6" s="283">
        <v>1.0</v>
      </c>
      <c r="B6" s="284">
        <v>11.0</v>
      </c>
      <c r="C6" s="285" t="str">
        <f t="shared" si="1"/>
        <v>1 11</v>
      </c>
      <c r="D6" s="285" t="s">
        <v>8661</v>
      </c>
    </row>
    <row r="7">
      <c r="A7" s="283">
        <v>1.0</v>
      </c>
      <c r="B7" s="284">
        <v>13.0</v>
      </c>
      <c r="C7" s="285" t="str">
        <f t="shared" si="1"/>
        <v>1 13</v>
      </c>
      <c r="D7" s="285" t="s">
        <v>8662</v>
      </c>
    </row>
    <row r="8">
      <c r="A8" s="283">
        <v>1.0</v>
      </c>
      <c r="B8" s="284">
        <v>15.0</v>
      </c>
      <c r="C8" s="285" t="str">
        <f t="shared" si="1"/>
        <v>1 15</v>
      </c>
      <c r="D8" s="285" t="s">
        <v>8663</v>
      </c>
    </row>
    <row r="9">
      <c r="A9" s="283">
        <v>1.0</v>
      </c>
      <c r="B9" s="284">
        <v>17.0</v>
      </c>
      <c r="C9" s="285" t="str">
        <f t="shared" si="1"/>
        <v>1 17</v>
      </c>
      <c r="D9" s="285" t="s">
        <v>8664</v>
      </c>
    </row>
    <row r="10">
      <c r="A10" s="283">
        <v>1.0</v>
      </c>
      <c r="B10" s="284">
        <v>19.0</v>
      </c>
      <c r="C10" s="285" t="str">
        <f t="shared" si="1"/>
        <v>1 19</v>
      </c>
      <c r="D10" s="285" t="s">
        <v>8665</v>
      </c>
    </row>
    <row r="11">
      <c r="A11" s="283">
        <v>1.0</v>
      </c>
      <c r="B11" s="284">
        <v>21.0</v>
      </c>
      <c r="C11" s="285" t="str">
        <f t="shared" si="1"/>
        <v>1 21</v>
      </c>
      <c r="D11" s="285" t="s">
        <v>8666</v>
      </c>
    </row>
    <row r="12">
      <c r="A12" s="283">
        <v>1.0</v>
      </c>
      <c r="B12" s="284">
        <v>23.0</v>
      </c>
      <c r="C12" s="285" t="str">
        <f t="shared" si="1"/>
        <v>1 23</v>
      </c>
      <c r="D12" s="285" t="s">
        <v>8667</v>
      </c>
    </row>
    <row r="13">
      <c r="A13" s="283">
        <v>1.0</v>
      </c>
      <c r="B13" s="284">
        <v>25.0</v>
      </c>
      <c r="C13" s="285" t="str">
        <f t="shared" si="1"/>
        <v>1 25</v>
      </c>
      <c r="D13" s="285" t="s">
        <v>8668</v>
      </c>
    </row>
    <row r="14">
      <c r="A14" s="283">
        <v>1.0</v>
      </c>
      <c r="B14" s="284">
        <v>27.0</v>
      </c>
      <c r="C14" s="285" t="str">
        <f t="shared" si="1"/>
        <v>1 27</v>
      </c>
      <c r="D14" s="285" t="s">
        <v>8669</v>
      </c>
    </row>
    <row r="15">
      <c r="A15" s="283">
        <v>1.0</v>
      </c>
      <c r="B15" s="284">
        <v>29.0</v>
      </c>
      <c r="C15" s="285" t="str">
        <f t="shared" si="1"/>
        <v>1 29</v>
      </c>
      <c r="D15" s="285" t="s">
        <v>8670</v>
      </c>
    </row>
    <row r="16">
      <c r="A16" s="283">
        <v>1.0</v>
      </c>
      <c r="B16" s="284">
        <v>31.0</v>
      </c>
      <c r="C16" s="285" t="str">
        <f t="shared" si="1"/>
        <v>1 31</v>
      </c>
      <c r="D16" s="285" t="s">
        <v>8671</v>
      </c>
    </row>
    <row r="17">
      <c r="A17" s="283">
        <v>1.0</v>
      </c>
      <c r="B17" s="284">
        <v>33.0</v>
      </c>
      <c r="C17" s="285" t="str">
        <f t="shared" si="1"/>
        <v>1 33</v>
      </c>
      <c r="D17" s="285" t="s">
        <v>8672</v>
      </c>
    </row>
    <row r="18">
      <c r="A18" s="283">
        <v>1.0</v>
      </c>
      <c r="B18" s="284">
        <v>35.0</v>
      </c>
      <c r="C18" s="285" t="str">
        <f t="shared" si="1"/>
        <v>1 35</v>
      </c>
      <c r="D18" s="285" t="s">
        <v>8673</v>
      </c>
    </row>
    <row r="19">
      <c r="A19" s="283">
        <v>1.0</v>
      </c>
      <c r="B19" s="284">
        <v>37.0</v>
      </c>
      <c r="C19" s="285" t="str">
        <f t="shared" si="1"/>
        <v>1 37</v>
      </c>
      <c r="D19" s="285" t="s">
        <v>8674</v>
      </c>
    </row>
    <row r="20">
      <c r="A20" s="283">
        <v>1.0</v>
      </c>
      <c r="B20" s="284">
        <v>39.0</v>
      </c>
      <c r="C20" s="285" t="str">
        <f t="shared" si="1"/>
        <v>1 39</v>
      </c>
      <c r="D20" s="285" t="s">
        <v>8675</v>
      </c>
    </row>
    <row r="21">
      <c r="A21" s="283">
        <v>1.0</v>
      </c>
      <c r="B21" s="284">
        <v>41.0</v>
      </c>
      <c r="C21" s="285" t="str">
        <f t="shared" si="1"/>
        <v>1 41</v>
      </c>
      <c r="D21" s="285" t="s">
        <v>8676</v>
      </c>
    </row>
    <row r="22">
      <c r="A22" s="283">
        <v>1.0</v>
      </c>
      <c r="B22" s="284">
        <v>43.0</v>
      </c>
      <c r="C22" s="285" t="str">
        <f t="shared" si="1"/>
        <v>1 43</v>
      </c>
      <c r="D22" s="285" t="s">
        <v>8677</v>
      </c>
    </row>
    <row r="23">
      <c r="A23" s="283">
        <v>1.0</v>
      </c>
      <c r="B23" s="284">
        <v>45.0</v>
      </c>
      <c r="C23" s="285" t="str">
        <f t="shared" si="1"/>
        <v>1 45</v>
      </c>
      <c r="D23" s="285" t="s">
        <v>8678</v>
      </c>
    </row>
    <row r="24">
      <c r="A24" s="283">
        <v>1.0</v>
      </c>
      <c r="B24" s="284">
        <v>47.0</v>
      </c>
      <c r="C24" s="285" t="str">
        <f t="shared" si="1"/>
        <v>1 47</v>
      </c>
      <c r="D24" s="285" t="s">
        <v>8679</v>
      </c>
    </row>
    <row r="25">
      <c r="A25" s="283">
        <v>1.0</v>
      </c>
      <c r="B25" s="284">
        <v>49.0</v>
      </c>
      <c r="C25" s="285" t="str">
        <f t="shared" si="1"/>
        <v>1 49</v>
      </c>
      <c r="D25" s="285" t="s">
        <v>8680</v>
      </c>
    </row>
    <row r="26">
      <c r="A26" s="283">
        <v>1.0</v>
      </c>
      <c r="B26" s="284">
        <v>51.0</v>
      </c>
      <c r="C26" s="285" t="str">
        <f t="shared" si="1"/>
        <v>1 51</v>
      </c>
      <c r="D26" s="285" t="s">
        <v>8681</v>
      </c>
    </row>
    <row r="27">
      <c r="A27" s="283">
        <v>1.0</v>
      </c>
      <c r="B27" s="284">
        <v>53.0</v>
      </c>
      <c r="C27" s="285" t="str">
        <f t="shared" si="1"/>
        <v>1 53</v>
      </c>
      <c r="D27" s="285" t="s">
        <v>8682</v>
      </c>
    </row>
    <row r="28">
      <c r="A28" s="283">
        <v>1.0</v>
      </c>
      <c r="B28" s="284">
        <v>55.0</v>
      </c>
      <c r="C28" s="285" t="str">
        <f t="shared" si="1"/>
        <v>1 55</v>
      </c>
      <c r="D28" s="285" t="s">
        <v>8683</v>
      </c>
    </row>
    <row r="29">
      <c r="A29" s="283">
        <v>1.0</v>
      </c>
      <c r="B29" s="284">
        <v>57.0</v>
      </c>
      <c r="C29" s="285" t="str">
        <f t="shared" si="1"/>
        <v>1 57</v>
      </c>
      <c r="D29" s="285" t="s">
        <v>8684</v>
      </c>
    </row>
    <row r="30">
      <c r="A30" s="283">
        <v>1.0</v>
      </c>
      <c r="B30" s="284">
        <v>59.0</v>
      </c>
      <c r="C30" s="285" t="str">
        <f t="shared" si="1"/>
        <v>1 59</v>
      </c>
      <c r="D30" s="285" t="s">
        <v>8685</v>
      </c>
    </row>
    <row r="31">
      <c r="A31" s="283">
        <v>1.0</v>
      </c>
      <c r="B31" s="284">
        <v>61.0</v>
      </c>
      <c r="C31" s="285" t="str">
        <f t="shared" si="1"/>
        <v>1 61</v>
      </c>
      <c r="D31" s="285" t="s">
        <v>8686</v>
      </c>
    </row>
    <row r="32">
      <c r="A32" s="283">
        <v>1.0</v>
      </c>
      <c r="B32" s="284">
        <v>63.0</v>
      </c>
      <c r="C32" s="285" t="str">
        <f t="shared" si="1"/>
        <v>1 63</v>
      </c>
      <c r="D32" s="285" t="s">
        <v>8687</v>
      </c>
    </row>
    <row r="33">
      <c r="A33" s="283">
        <v>1.0</v>
      </c>
      <c r="B33" s="284">
        <v>65.0</v>
      </c>
      <c r="C33" s="285" t="str">
        <f t="shared" si="1"/>
        <v>1 65</v>
      </c>
      <c r="D33" s="285" t="s">
        <v>8688</v>
      </c>
    </row>
    <row r="34">
      <c r="A34" s="283">
        <v>1.0</v>
      </c>
      <c r="B34" s="284">
        <v>67.0</v>
      </c>
      <c r="C34" s="285" t="str">
        <f t="shared" si="1"/>
        <v>1 67</v>
      </c>
      <c r="D34" s="285" t="s">
        <v>8689</v>
      </c>
    </row>
    <row r="35">
      <c r="A35" s="283">
        <v>1.0</v>
      </c>
      <c r="B35" s="284">
        <v>69.0</v>
      </c>
      <c r="C35" s="285" t="str">
        <f t="shared" si="1"/>
        <v>1 69</v>
      </c>
      <c r="D35" s="285" t="s">
        <v>8690</v>
      </c>
    </row>
    <row r="36">
      <c r="A36" s="283">
        <v>1.0</v>
      </c>
      <c r="B36" s="284">
        <v>71.0</v>
      </c>
      <c r="C36" s="285" t="str">
        <f t="shared" si="1"/>
        <v>1 71</v>
      </c>
      <c r="D36" s="285" t="s">
        <v>8691</v>
      </c>
    </row>
    <row r="37">
      <c r="A37" s="283">
        <v>1.0</v>
      </c>
      <c r="B37" s="284">
        <v>73.0</v>
      </c>
      <c r="C37" s="285" t="str">
        <f t="shared" si="1"/>
        <v>1 73</v>
      </c>
      <c r="D37" s="285" t="s">
        <v>8692</v>
      </c>
    </row>
    <row r="38">
      <c r="A38" s="283">
        <v>1.0</v>
      </c>
      <c r="B38" s="284">
        <v>75.0</v>
      </c>
      <c r="C38" s="285" t="str">
        <f t="shared" si="1"/>
        <v>1 75</v>
      </c>
      <c r="D38" s="285" t="s">
        <v>8693</v>
      </c>
    </row>
    <row r="39">
      <c r="A39" s="283">
        <v>1.0</v>
      </c>
      <c r="B39" s="284">
        <v>77.0</v>
      </c>
      <c r="C39" s="285" t="str">
        <f t="shared" si="1"/>
        <v>1 77</v>
      </c>
      <c r="D39" s="285" t="s">
        <v>8694</v>
      </c>
    </row>
    <row r="40">
      <c r="A40" s="283">
        <v>1.0</v>
      </c>
      <c r="B40" s="284">
        <v>79.0</v>
      </c>
      <c r="C40" s="285" t="str">
        <f t="shared" si="1"/>
        <v>1 79</v>
      </c>
      <c r="D40" s="285" t="s">
        <v>8695</v>
      </c>
    </row>
    <row r="41">
      <c r="A41" s="283">
        <v>1.0</v>
      </c>
      <c r="B41" s="284">
        <v>81.0</v>
      </c>
      <c r="C41" s="285" t="str">
        <f t="shared" si="1"/>
        <v>1 81</v>
      </c>
      <c r="D41" s="285" t="s">
        <v>8696</v>
      </c>
    </row>
    <row r="42">
      <c r="A42" s="283">
        <v>1.0</v>
      </c>
      <c r="B42" s="284">
        <v>83.0</v>
      </c>
      <c r="C42" s="285" t="str">
        <f t="shared" si="1"/>
        <v>1 83</v>
      </c>
      <c r="D42" s="285" t="s">
        <v>8697</v>
      </c>
    </row>
    <row r="43">
      <c r="A43" s="283">
        <v>1.0</v>
      </c>
      <c r="B43" s="284">
        <v>85.0</v>
      </c>
      <c r="C43" s="285" t="str">
        <f t="shared" si="1"/>
        <v>1 85</v>
      </c>
      <c r="D43" s="285" t="s">
        <v>8698</v>
      </c>
    </row>
    <row r="44">
      <c r="A44" s="283">
        <v>1.0</v>
      </c>
      <c r="B44" s="284">
        <v>87.0</v>
      </c>
      <c r="C44" s="285" t="str">
        <f t="shared" si="1"/>
        <v>1 87</v>
      </c>
      <c r="D44" s="285" t="s">
        <v>8699</v>
      </c>
    </row>
    <row r="45">
      <c r="A45" s="283">
        <v>1.0</v>
      </c>
      <c r="B45" s="284">
        <v>89.0</v>
      </c>
      <c r="C45" s="285" t="str">
        <f t="shared" si="1"/>
        <v>1 89</v>
      </c>
      <c r="D45" s="285" t="s">
        <v>8700</v>
      </c>
    </row>
    <row r="46">
      <c r="A46" s="283">
        <v>1.0</v>
      </c>
      <c r="B46" s="284">
        <v>91.0</v>
      </c>
      <c r="C46" s="285" t="str">
        <f t="shared" si="1"/>
        <v>1 91</v>
      </c>
      <c r="D46" s="285" t="s">
        <v>8701</v>
      </c>
    </row>
    <row r="47">
      <c r="A47" s="283">
        <v>1.0</v>
      </c>
      <c r="B47" s="284">
        <v>93.0</v>
      </c>
      <c r="C47" s="285" t="str">
        <f t="shared" si="1"/>
        <v>1 93</v>
      </c>
      <c r="D47" s="285" t="s">
        <v>8702</v>
      </c>
    </row>
    <row r="48">
      <c r="A48" s="283">
        <v>1.0</v>
      </c>
      <c r="B48" s="284">
        <v>95.0</v>
      </c>
      <c r="C48" s="285" t="str">
        <f t="shared" si="1"/>
        <v>1 95</v>
      </c>
      <c r="D48" s="285" t="s">
        <v>8703</v>
      </c>
    </row>
    <row r="49">
      <c r="A49" s="283">
        <v>1.0</v>
      </c>
      <c r="B49" s="284">
        <v>97.0</v>
      </c>
      <c r="C49" s="285" t="str">
        <f t="shared" si="1"/>
        <v>1 97</v>
      </c>
      <c r="D49" s="285" t="s">
        <v>8704</v>
      </c>
    </row>
    <row r="50">
      <c r="A50" s="283">
        <v>1.0</v>
      </c>
      <c r="B50" s="284">
        <v>99.0</v>
      </c>
      <c r="C50" s="285" t="str">
        <f t="shared" si="1"/>
        <v>1 99</v>
      </c>
      <c r="D50" s="285" t="s">
        <v>8705</v>
      </c>
    </row>
    <row r="51">
      <c r="A51" s="283">
        <v>1.0</v>
      </c>
      <c r="B51" s="284">
        <v>101.0</v>
      </c>
      <c r="C51" s="285" t="str">
        <f t="shared" si="1"/>
        <v>1 101</v>
      </c>
      <c r="D51" s="285" t="s">
        <v>8706</v>
      </c>
    </row>
    <row r="52">
      <c r="A52" s="283">
        <v>1.0</v>
      </c>
      <c r="B52" s="284">
        <v>103.0</v>
      </c>
      <c r="C52" s="285" t="str">
        <f t="shared" si="1"/>
        <v>1 103</v>
      </c>
      <c r="D52" s="285" t="s">
        <v>8707</v>
      </c>
    </row>
    <row r="53">
      <c r="A53" s="283">
        <v>1.0</v>
      </c>
      <c r="B53" s="284">
        <v>105.0</v>
      </c>
      <c r="C53" s="285" t="str">
        <f t="shared" si="1"/>
        <v>1 105</v>
      </c>
      <c r="D53" s="285" t="s">
        <v>8708</v>
      </c>
    </row>
    <row r="54">
      <c r="A54" s="283">
        <v>1.0</v>
      </c>
      <c r="B54" s="284">
        <v>107.0</v>
      </c>
      <c r="C54" s="285" t="str">
        <f t="shared" si="1"/>
        <v>1 107</v>
      </c>
      <c r="D54" s="285" t="s">
        <v>8709</v>
      </c>
    </row>
    <row r="55">
      <c r="A55" s="283">
        <v>1.0</v>
      </c>
      <c r="B55" s="284">
        <v>109.0</v>
      </c>
      <c r="C55" s="285" t="str">
        <f t="shared" si="1"/>
        <v>1 109</v>
      </c>
      <c r="D55" s="285" t="s">
        <v>8710</v>
      </c>
    </row>
    <row r="56">
      <c r="A56" s="283">
        <v>1.0</v>
      </c>
      <c r="B56" s="284">
        <v>111.0</v>
      </c>
      <c r="C56" s="285" t="str">
        <f t="shared" si="1"/>
        <v>1 111</v>
      </c>
      <c r="D56" s="285" t="s">
        <v>8711</v>
      </c>
    </row>
    <row r="57">
      <c r="A57" s="283">
        <v>1.0</v>
      </c>
      <c r="B57" s="284">
        <v>113.0</v>
      </c>
      <c r="C57" s="285" t="str">
        <f t="shared" si="1"/>
        <v>1 113</v>
      </c>
      <c r="D57" s="285" t="s">
        <v>8712</v>
      </c>
    </row>
    <row r="58">
      <c r="A58" s="283">
        <v>1.0</v>
      </c>
      <c r="B58" s="284">
        <v>115.0</v>
      </c>
      <c r="C58" s="285" t="str">
        <f t="shared" si="1"/>
        <v>1 115</v>
      </c>
      <c r="D58" s="285" t="s">
        <v>8713</v>
      </c>
    </row>
    <row r="59">
      <c r="A59" s="283">
        <v>1.0</v>
      </c>
      <c r="B59" s="284">
        <v>117.0</v>
      </c>
      <c r="C59" s="285" t="str">
        <f t="shared" si="1"/>
        <v>1 117</v>
      </c>
      <c r="D59" s="285" t="s">
        <v>8714</v>
      </c>
    </row>
    <row r="60">
      <c r="A60" s="283">
        <v>1.0</v>
      </c>
      <c r="B60" s="284">
        <v>119.0</v>
      </c>
      <c r="C60" s="285" t="str">
        <f t="shared" si="1"/>
        <v>1 119</v>
      </c>
      <c r="D60" s="285" t="s">
        <v>8715</v>
      </c>
    </row>
    <row r="61">
      <c r="A61" s="283">
        <v>1.0</v>
      </c>
      <c r="B61" s="284">
        <v>121.0</v>
      </c>
      <c r="C61" s="285" t="str">
        <f t="shared" si="1"/>
        <v>1 121</v>
      </c>
      <c r="D61" s="285" t="s">
        <v>8716</v>
      </c>
    </row>
    <row r="62">
      <c r="A62" s="283">
        <v>1.0</v>
      </c>
      <c r="B62" s="284">
        <v>123.0</v>
      </c>
      <c r="C62" s="285" t="str">
        <f t="shared" si="1"/>
        <v>1 123</v>
      </c>
      <c r="D62" s="285" t="s">
        <v>8717</v>
      </c>
    </row>
    <row r="63">
      <c r="A63" s="283">
        <v>1.0</v>
      </c>
      <c r="B63" s="284">
        <v>125.0</v>
      </c>
      <c r="C63" s="285" t="str">
        <f t="shared" si="1"/>
        <v>1 125</v>
      </c>
      <c r="D63" s="285" t="s">
        <v>8718</v>
      </c>
    </row>
    <row r="64">
      <c r="A64" s="283">
        <v>1.0</v>
      </c>
      <c r="B64" s="284">
        <v>127.0</v>
      </c>
      <c r="C64" s="285" t="str">
        <f t="shared" si="1"/>
        <v>1 127</v>
      </c>
      <c r="D64" s="285" t="s">
        <v>8719</v>
      </c>
    </row>
    <row r="65">
      <c r="A65" s="283">
        <v>1.0</v>
      </c>
      <c r="B65" s="284">
        <v>129.0</v>
      </c>
      <c r="C65" s="285" t="str">
        <f t="shared" si="1"/>
        <v>1 129</v>
      </c>
      <c r="D65" s="285" t="s">
        <v>8720</v>
      </c>
    </row>
    <row r="66">
      <c r="A66" s="283">
        <v>1.0</v>
      </c>
      <c r="B66" s="284">
        <v>131.0</v>
      </c>
      <c r="C66" s="285" t="str">
        <f t="shared" si="1"/>
        <v>1 131</v>
      </c>
      <c r="D66" s="285" t="s">
        <v>8721</v>
      </c>
    </row>
    <row r="67">
      <c r="A67" s="283">
        <v>1.0</v>
      </c>
      <c r="B67" s="284">
        <v>133.0</v>
      </c>
      <c r="C67" s="285" t="str">
        <f t="shared" si="1"/>
        <v>1 133</v>
      </c>
      <c r="D67" s="285" t="s">
        <v>8722</v>
      </c>
    </row>
    <row r="68">
      <c r="A68" s="283">
        <v>2.0</v>
      </c>
      <c r="B68" s="284">
        <v>13.0</v>
      </c>
      <c r="C68" s="285" t="str">
        <f t="shared" si="1"/>
        <v>2 13</v>
      </c>
      <c r="D68" s="285" t="s">
        <v>8723</v>
      </c>
    </row>
    <row r="69">
      <c r="A69" s="283">
        <v>2.0</v>
      </c>
      <c r="B69" s="284">
        <v>16.0</v>
      </c>
      <c r="C69" s="285" t="str">
        <f t="shared" si="1"/>
        <v>2 16</v>
      </c>
      <c r="D69" s="285" t="s">
        <v>8724</v>
      </c>
    </row>
    <row r="70">
      <c r="A70" s="283">
        <v>2.0</v>
      </c>
      <c r="B70" s="284">
        <v>20.0</v>
      </c>
      <c r="C70" s="285" t="str">
        <f t="shared" si="1"/>
        <v>2 20</v>
      </c>
      <c r="D70" s="285" t="s">
        <v>8725</v>
      </c>
    </row>
    <row r="71">
      <c r="A71" s="283">
        <v>2.0</v>
      </c>
      <c r="B71" s="284">
        <v>50.0</v>
      </c>
      <c r="C71" s="285" t="str">
        <f t="shared" si="1"/>
        <v>2 50</v>
      </c>
      <c r="D71" s="285" t="s">
        <v>8726</v>
      </c>
    </row>
    <row r="72">
      <c r="A72" s="283">
        <v>2.0</v>
      </c>
      <c r="B72" s="284">
        <v>60.0</v>
      </c>
      <c r="C72" s="285" t="str">
        <f t="shared" si="1"/>
        <v>2 60</v>
      </c>
      <c r="D72" s="285" t="s">
        <v>8727</v>
      </c>
    </row>
    <row r="73">
      <c r="A73" s="283">
        <v>2.0</v>
      </c>
      <c r="B73" s="284">
        <v>68.0</v>
      </c>
      <c r="C73" s="285" t="str">
        <f t="shared" si="1"/>
        <v>2 68</v>
      </c>
      <c r="D73" s="285" t="s">
        <v>8728</v>
      </c>
    </row>
    <row r="74">
      <c r="A74" s="283">
        <v>2.0</v>
      </c>
      <c r="B74" s="284">
        <v>70.0</v>
      </c>
      <c r="C74" s="285" t="str">
        <f t="shared" si="1"/>
        <v>2 70</v>
      </c>
      <c r="D74" s="285" t="s">
        <v>8729</v>
      </c>
    </row>
    <row r="75">
      <c r="A75" s="283">
        <v>2.0</v>
      </c>
      <c r="B75" s="284">
        <v>90.0</v>
      </c>
      <c r="C75" s="285" t="str">
        <f t="shared" si="1"/>
        <v>2 90</v>
      </c>
      <c r="D75" s="285" t="s">
        <v>8730</v>
      </c>
    </row>
    <row r="76">
      <c r="A76" s="283">
        <v>2.0</v>
      </c>
      <c r="B76" s="284">
        <v>100.0</v>
      </c>
      <c r="C76" s="285" t="str">
        <f t="shared" si="1"/>
        <v>2 100</v>
      </c>
      <c r="D76" s="285" t="s">
        <v>8731</v>
      </c>
    </row>
    <row r="77">
      <c r="A77" s="283">
        <v>2.0</v>
      </c>
      <c r="B77" s="284">
        <v>110.0</v>
      </c>
      <c r="C77" s="285" t="str">
        <f t="shared" si="1"/>
        <v>2 110</v>
      </c>
      <c r="D77" s="285" t="s">
        <v>8732</v>
      </c>
    </row>
    <row r="78">
      <c r="A78" s="283">
        <v>2.0</v>
      </c>
      <c r="B78" s="284">
        <v>122.0</v>
      </c>
      <c r="C78" s="285" t="str">
        <f t="shared" si="1"/>
        <v>2 122</v>
      </c>
      <c r="D78" s="285" t="s">
        <v>8733</v>
      </c>
    </row>
    <row r="79">
      <c r="A79" s="283">
        <v>2.0</v>
      </c>
      <c r="B79" s="284">
        <v>130.0</v>
      </c>
      <c r="C79" s="285" t="str">
        <f t="shared" si="1"/>
        <v>2 130</v>
      </c>
      <c r="D79" s="285" t="s">
        <v>8734</v>
      </c>
    </row>
    <row r="80">
      <c r="A80" s="283">
        <v>2.0</v>
      </c>
      <c r="B80" s="284">
        <v>150.0</v>
      </c>
      <c r="C80" s="285" t="str">
        <f t="shared" si="1"/>
        <v>2 150</v>
      </c>
      <c r="D80" s="285" t="s">
        <v>8735</v>
      </c>
    </row>
    <row r="81">
      <c r="A81" s="283">
        <v>2.0</v>
      </c>
      <c r="B81" s="284">
        <v>164.0</v>
      </c>
      <c r="C81" s="285" t="str">
        <f t="shared" si="1"/>
        <v>2 164</v>
      </c>
      <c r="D81" s="285" t="s">
        <v>8736</v>
      </c>
    </row>
    <row r="82">
      <c r="A82" s="283">
        <v>2.0</v>
      </c>
      <c r="B82" s="284">
        <v>170.0</v>
      </c>
      <c r="C82" s="285" t="str">
        <f t="shared" si="1"/>
        <v>2 170</v>
      </c>
      <c r="D82" s="285" t="s">
        <v>8737</v>
      </c>
    </row>
    <row r="83">
      <c r="A83" s="283">
        <v>2.0</v>
      </c>
      <c r="B83" s="284">
        <v>180.0</v>
      </c>
      <c r="C83" s="285" t="str">
        <f t="shared" si="1"/>
        <v>2 180</v>
      </c>
      <c r="D83" s="285" t="s">
        <v>8738</v>
      </c>
    </row>
    <row r="84">
      <c r="A84" s="283">
        <v>2.0</v>
      </c>
      <c r="B84" s="284">
        <v>185.0</v>
      </c>
      <c r="C84" s="285" t="str">
        <f t="shared" si="1"/>
        <v>2 185</v>
      </c>
      <c r="D84" s="285" t="s">
        <v>8739</v>
      </c>
    </row>
    <row r="85">
      <c r="A85" s="283">
        <v>2.0</v>
      </c>
      <c r="B85" s="284">
        <v>188.0</v>
      </c>
      <c r="C85" s="285" t="str">
        <f t="shared" si="1"/>
        <v>2 188</v>
      </c>
      <c r="D85" s="285" t="s">
        <v>8740</v>
      </c>
    </row>
    <row r="86">
      <c r="A86" s="283">
        <v>2.0</v>
      </c>
      <c r="B86" s="284">
        <v>201.0</v>
      </c>
      <c r="C86" s="285" t="str">
        <f t="shared" si="1"/>
        <v>2 201</v>
      </c>
      <c r="D86" s="285" t="s">
        <v>8741</v>
      </c>
    </row>
    <row r="87">
      <c r="A87" s="283">
        <v>2.0</v>
      </c>
      <c r="B87" s="284">
        <v>220.0</v>
      </c>
      <c r="C87" s="285" t="str">
        <f t="shared" si="1"/>
        <v>2 220</v>
      </c>
      <c r="D87" s="285" t="s">
        <v>8742</v>
      </c>
    </row>
    <row r="88">
      <c r="A88" s="283">
        <v>2.0</v>
      </c>
      <c r="B88" s="284">
        <v>232.0</v>
      </c>
      <c r="C88" s="285" t="str">
        <f t="shared" si="1"/>
        <v>2 232</v>
      </c>
      <c r="D88" s="285" t="s">
        <v>8743</v>
      </c>
    </row>
    <row r="89">
      <c r="A89" s="283">
        <v>2.0</v>
      </c>
      <c r="B89" s="284">
        <v>240.0</v>
      </c>
      <c r="C89" s="285" t="str">
        <f t="shared" si="1"/>
        <v>2 240</v>
      </c>
      <c r="D89" s="285" t="s">
        <v>8744</v>
      </c>
    </row>
    <row r="90">
      <c r="A90" s="283">
        <v>2.0</v>
      </c>
      <c r="B90" s="284">
        <v>261.0</v>
      </c>
      <c r="C90" s="285" t="str">
        <f t="shared" si="1"/>
        <v>2 261</v>
      </c>
      <c r="D90" s="285" t="s">
        <v>8745</v>
      </c>
    </row>
    <row r="91">
      <c r="A91" s="283">
        <v>2.0</v>
      </c>
      <c r="B91" s="284">
        <v>270.0</v>
      </c>
      <c r="C91" s="285" t="str">
        <f t="shared" si="1"/>
        <v>2 270</v>
      </c>
      <c r="D91" s="285" t="s">
        <v>8746</v>
      </c>
    </row>
    <row r="92">
      <c r="A92" s="283">
        <v>2.0</v>
      </c>
      <c r="B92" s="284">
        <v>280.0</v>
      </c>
      <c r="C92" s="285" t="str">
        <f t="shared" si="1"/>
        <v>2 280</v>
      </c>
      <c r="D92" s="285" t="s">
        <v>8747</v>
      </c>
    </row>
    <row r="93">
      <c r="A93" s="283">
        <v>2.0</v>
      </c>
      <c r="B93" s="284">
        <v>282.0</v>
      </c>
      <c r="C93" s="285" t="str">
        <f t="shared" si="1"/>
        <v>2 282</v>
      </c>
      <c r="D93" s="285" t="s">
        <v>8748</v>
      </c>
    </row>
    <row r="94">
      <c r="A94" s="283">
        <v>2.0</v>
      </c>
      <c r="B94" s="284">
        <v>290.0</v>
      </c>
      <c r="C94" s="285" t="str">
        <f t="shared" si="1"/>
        <v>2 290</v>
      </c>
      <c r="D94" s="285" t="s">
        <v>8749</v>
      </c>
    </row>
    <row r="95">
      <c r="A95" s="283">
        <v>4.0</v>
      </c>
      <c r="B95" s="284">
        <v>1.0</v>
      </c>
      <c r="C95" s="285" t="str">
        <f t="shared" si="1"/>
        <v>4 1</v>
      </c>
      <c r="D95" s="285" t="s">
        <v>8750</v>
      </c>
    </row>
    <row r="96">
      <c r="A96" s="283">
        <v>4.0</v>
      </c>
      <c r="B96" s="284">
        <v>3.0</v>
      </c>
      <c r="C96" s="285" t="str">
        <f t="shared" si="1"/>
        <v>4 3</v>
      </c>
      <c r="D96" s="285" t="s">
        <v>8751</v>
      </c>
    </row>
    <row r="97">
      <c r="A97" s="283">
        <v>4.0</v>
      </c>
      <c r="B97" s="284">
        <v>5.0</v>
      </c>
      <c r="C97" s="285" t="str">
        <f t="shared" si="1"/>
        <v>4 5</v>
      </c>
      <c r="D97" s="285" t="s">
        <v>8752</v>
      </c>
    </row>
    <row r="98">
      <c r="A98" s="283">
        <v>4.0</v>
      </c>
      <c r="B98" s="284">
        <v>7.0</v>
      </c>
      <c r="C98" s="285" t="str">
        <f t="shared" si="1"/>
        <v>4 7</v>
      </c>
      <c r="D98" s="285" t="s">
        <v>8753</v>
      </c>
    </row>
    <row r="99">
      <c r="A99" s="283">
        <v>4.0</v>
      </c>
      <c r="B99" s="284">
        <v>9.0</v>
      </c>
      <c r="C99" s="285" t="str">
        <f t="shared" si="1"/>
        <v>4 9</v>
      </c>
      <c r="D99" s="285" t="s">
        <v>8754</v>
      </c>
    </row>
    <row r="100">
      <c r="A100" s="283">
        <v>4.0</v>
      </c>
      <c r="B100" s="284">
        <v>11.0</v>
      </c>
      <c r="C100" s="285" t="str">
        <f t="shared" si="1"/>
        <v>4 11</v>
      </c>
      <c r="D100" s="285" t="s">
        <v>8755</v>
      </c>
    </row>
    <row r="101">
      <c r="A101" s="283">
        <v>4.0</v>
      </c>
      <c r="B101" s="284">
        <v>12.0</v>
      </c>
      <c r="C101" s="285" t="str">
        <f t="shared" si="1"/>
        <v>4 12</v>
      </c>
      <c r="D101" s="285" t="s">
        <v>8756</v>
      </c>
    </row>
    <row r="102">
      <c r="A102" s="283">
        <v>4.0</v>
      </c>
      <c r="B102" s="284">
        <v>13.0</v>
      </c>
      <c r="C102" s="285" t="str">
        <f t="shared" si="1"/>
        <v>4 13</v>
      </c>
      <c r="D102" s="285" t="s">
        <v>8757</v>
      </c>
    </row>
    <row r="103">
      <c r="A103" s="283">
        <v>4.0</v>
      </c>
      <c r="B103" s="284">
        <v>15.0</v>
      </c>
      <c r="C103" s="285" t="str">
        <f t="shared" si="1"/>
        <v>4 15</v>
      </c>
      <c r="D103" s="285" t="s">
        <v>8758</v>
      </c>
    </row>
    <row r="104">
      <c r="A104" s="283">
        <v>4.0</v>
      </c>
      <c r="B104" s="284">
        <v>17.0</v>
      </c>
      <c r="C104" s="285" t="str">
        <f t="shared" si="1"/>
        <v>4 17</v>
      </c>
      <c r="D104" s="285" t="s">
        <v>8759</v>
      </c>
    </row>
    <row r="105">
      <c r="A105" s="283">
        <v>4.0</v>
      </c>
      <c r="B105" s="284">
        <v>19.0</v>
      </c>
      <c r="C105" s="285" t="str">
        <f t="shared" si="1"/>
        <v>4 19</v>
      </c>
      <c r="D105" s="285" t="s">
        <v>8760</v>
      </c>
    </row>
    <row r="106">
      <c r="A106" s="283">
        <v>4.0</v>
      </c>
      <c r="B106" s="284">
        <v>21.0</v>
      </c>
      <c r="C106" s="285" t="str">
        <f t="shared" si="1"/>
        <v>4 21</v>
      </c>
      <c r="D106" s="285" t="s">
        <v>8761</v>
      </c>
    </row>
    <row r="107">
      <c r="A107" s="283">
        <v>4.0</v>
      </c>
      <c r="B107" s="284">
        <v>23.0</v>
      </c>
      <c r="C107" s="285" t="str">
        <f t="shared" si="1"/>
        <v>4 23</v>
      </c>
      <c r="D107" s="285" t="s">
        <v>8762</v>
      </c>
    </row>
    <row r="108">
      <c r="A108" s="283">
        <v>4.0</v>
      </c>
      <c r="B108" s="284">
        <v>25.0</v>
      </c>
      <c r="C108" s="285" t="str">
        <f t="shared" si="1"/>
        <v>4 25</v>
      </c>
      <c r="D108" s="285" t="s">
        <v>8763</v>
      </c>
    </row>
    <row r="109">
      <c r="A109" s="283">
        <v>4.0</v>
      </c>
      <c r="B109" s="284">
        <v>27.0</v>
      </c>
      <c r="C109" s="285" t="str">
        <f t="shared" si="1"/>
        <v>4 27</v>
      </c>
      <c r="D109" s="285" t="s">
        <v>8764</v>
      </c>
    </row>
    <row r="110">
      <c r="A110" s="283">
        <v>5.0</v>
      </c>
      <c r="B110" s="284">
        <v>1.0</v>
      </c>
      <c r="C110" s="285" t="str">
        <f t="shared" si="1"/>
        <v>5 1</v>
      </c>
      <c r="D110" s="285" t="s">
        <v>8765</v>
      </c>
    </row>
    <row r="111">
      <c r="A111" s="283">
        <v>5.0</v>
      </c>
      <c r="B111" s="284">
        <v>3.0</v>
      </c>
      <c r="C111" s="285" t="str">
        <f t="shared" si="1"/>
        <v>5 3</v>
      </c>
      <c r="D111" s="285" t="s">
        <v>8766</v>
      </c>
    </row>
    <row r="112">
      <c r="A112" s="283">
        <v>5.0</v>
      </c>
      <c r="B112" s="284">
        <v>5.0</v>
      </c>
      <c r="C112" s="285" t="str">
        <f t="shared" si="1"/>
        <v>5 5</v>
      </c>
      <c r="D112" s="285" t="s">
        <v>8767</v>
      </c>
    </row>
    <row r="113">
      <c r="A113" s="283">
        <v>5.0</v>
      </c>
      <c r="B113" s="284">
        <v>7.0</v>
      </c>
      <c r="C113" s="285" t="str">
        <f t="shared" si="1"/>
        <v>5 7</v>
      </c>
      <c r="D113" s="285" t="s">
        <v>8768</v>
      </c>
    </row>
    <row r="114">
      <c r="A114" s="283">
        <v>5.0</v>
      </c>
      <c r="B114" s="284">
        <v>9.0</v>
      </c>
      <c r="C114" s="285" t="str">
        <f t="shared" si="1"/>
        <v>5 9</v>
      </c>
      <c r="D114" s="285" t="s">
        <v>8769</v>
      </c>
    </row>
    <row r="115">
      <c r="A115" s="283">
        <v>5.0</v>
      </c>
      <c r="B115" s="284">
        <v>11.0</v>
      </c>
      <c r="C115" s="285" t="str">
        <f t="shared" si="1"/>
        <v>5 11</v>
      </c>
      <c r="D115" s="285" t="s">
        <v>8770</v>
      </c>
    </row>
    <row r="116">
      <c r="A116" s="283">
        <v>5.0</v>
      </c>
      <c r="B116" s="284">
        <v>13.0</v>
      </c>
      <c r="C116" s="285" t="str">
        <f t="shared" si="1"/>
        <v>5 13</v>
      </c>
      <c r="D116" s="285" t="s">
        <v>8771</v>
      </c>
    </row>
    <row r="117">
      <c r="A117" s="283">
        <v>5.0</v>
      </c>
      <c r="B117" s="284">
        <v>15.0</v>
      </c>
      <c r="C117" s="285" t="str">
        <f t="shared" si="1"/>
        <v>5 15</v>
      </c>
      <c r="D117" s="285" t="s">
        <v>8772</v>
      </c>
    </row>
    <row r="118">
      <c r="A118" s="283">
        <v>5.0</v>
      </c>
      <c r="B118" s="284">
        <v>17.0</v>
      </c>
      <c r="C118" s="285" t="str">
        <f t="shared" si="1"/>
        <v>5 17</v>
      </c>
      <c r="D118" s="285" t="s">
        <v>8773</v>
      </c>
    </row>
    <row r="119">
      <c r="A119" s="283">
        <v>5.0</v>
      </c>
      <c r="B119" s="284">
        <v>19.0</v>
      </c>
      <c r="C119" s="285" t="str">
        <f t="shared" si="1"/>
        <v>5 19</v>
      </c>
      <c r="D119" s="285" t="s">
        <v>8774</v>
      </c>
    </row>
    <row r="120">
      <c r="A120" s="283">
        <v>5.0</v>
      </c>
      <c r="B120" s="284">
        <v>21.0</v>
      </c>
      <c r="C120" s="285" t="str">
        <f t="shared" si="1"/>
        <v>5 21</v>
      </c>
      <c r="D120" s="285" t="s">
        <v>8775</v>
      </c>
    </row>
    <row r="121">
      <c r="A121" s="283">
        <v>5.0</v>
      </c>
      <c r="B121" s="284">
        <v>23.0</v>
      </c>
      <c r="C121" s="285" t="str">
        <f t="shared" si="1"/>
        <v>5 23</v>
      </c>
      <c r="D121" s="285" t="s">
        <v>8776</v>
      </c>
    </row>
    <row r="122">
      <c r="A122" s="283">
        <v>5.0</v>
      </c>
      <c r="B122" s="284">
        <v>25.0</v>
      </c>
      <c r="C122" s="285" t="str">
        <f t="shared" si="1"/>
        <v>5 25</v>
      </c>
      <c r="D122" s="285" t="s">
        <v>8777</v>
      </c>
    </row>
    <row r="123">
      <c r="A123" s="283">
        <v>5.0</v>
      </c>
      <c r="B123" s="284">
        <v>27.0</v>
      </c>
      <c r="C123" s="285" t="str">
        <f t="shared" si="1"/>
        <v>5 27</v>
      </c>
      <c r="D123" s="285" t="s">
        <v>8778</v>
      </c>
    </row>
    <row r="124">
      <c r="A124" s="283">
        <v>5.0</v>
      </c>
      <c r="B124" s="284">
        <v>29.0</v>
      </c>
      <c r="C124" s="285" t="str">
        <f t="shared" si="1"/>
        <v>5 29</v>
      </c>
      <c r="D124" s="285" t="s">
        <v>8779</v>
      </c>
    </row>
    <row r="125">
      <c r="A125" s="283">
        <v>5.0</v>
      </c>
      <c r="B125" s="284">
        <v>31.0</v>
      </c>
      <c r="C125" s="285" t="str">
        <f t="shared" si="1"/>
        <v>5 31</v>
      </c>
      <c r="D125" s="285" t="s">
        <v>8780</v>
      </c>
    </row>
    <row r="126">
      <c r="A126" s="283">
        <v>5.0</v>
      </c>
      <c r="B126" s="284">
        <v>33.0</v>
      </c>
      <c r="C126" s="285" t="str">
        <f t="shared" si="1"/>
        <v>5 33</v>
      </c>
      <c r="D126" s="285" t="s">
        <v>8781</v>
      </c>
    </row>
    <row r="127">
      <c r="A127" s="283">
        <v>5.0</v>
      </c>
      <c r="B127" s="284">
        <v>35.0</v>
      </c>
      <c r="C127" s="285" t="str">
        <f t="shared" si="1"/>
        <v>5 35</v>
      </c>
      <c r="D127" s="285" t="s">
        <v>8782</v>
      </c>
    </row>
    <row r="128">
      <c r="A128" s="283">
        <v>5.0</v>
      </c>
      <c r="B128" s="284">
        <v>37.0</v>
      </c>
      <c r="C128" s="285" t="str">
        <f t="shared" si="1"/>
        <v>5 37</v>
      </c>
      <c r="D128" s="285" t="s">
        <v>8783</v>
      </c>
    </row>
    <row r="129">
      <c r="A129" s="283">
        <v>5.0</v>
      </c>
      <c r="B129" s="284">
        <v>39.0</v>
      </c>
      <c r="C129" s="285" t="str">
        <f t="shared" si="1"/>
        <v>5 39</v>
      </c>
      <c r="D129" s="285" t="s">
        <v>8784</v>
      </c>
    </row>
    <row r="130">
      <c r="A130" s="283">
        <v>5.0</v>
      </c>
      <c r="B130" s="284">
        <v>41.0</v>
      </c>
      <c r="C130" s="285" t="str">
        <f t="shared" si="1"/>
        <v>5 41</v>
      </c>
      <c r="D130" s="285" t="s">
        <v>8785</v>
      </c>
    </row>
    <row r="131">
      <c r="A131" s="283">
        <v>5.0</v>
      </c>
      <c r="B131" s="284">
        <v>43.0</v>
      </c>
      <c r="C131" s="285" t="str">
        <f t="shared" si="1"/>
        <v>5 43</v>
      </c>
      <c r="D131" s="285" t="s">
        <v>8786</v>
      </c>
    </row>
    <row r="132">
      <c r="A132" s="283">
        <v>5.0</v>
      </c>
      <c r="B132" s="284">
        <v>45.0</v>
      </c>
      <c r="C132" s="285" t="str">
        <f t="shared" si="1"/>
        <v>5 45</v>
      </c>
      <c r="D132" s="285" t="s">
        <v>8787</v>
      </c>
    </row>
    <row r="133">
      <c r="A133" s="283">
        <v>5.0</v>
      </c>
      <c r="B133" s="284">
        <v>47.0</v>
      </c>
      <c r="C133" s="285" t="str">
        <f t="shared" si="1"/>
        <v>5 47</v>
      </c>
      <c r="D133" s="285" t="s">
        <v>8788</v>
      </c>
    </row>
    <row r="134">
      <c r="A134" s="283">
        <v>5.0</v>
      </c>
      <c r="B134" s="284">
        <v>49.0</v>
      </c>
      <c r="C134" s="285" t="str">
        <f t="shared" si="1"/>
        <v>5 49</v>
      </c>
      <c r="D134" s="285" t="s">
        <v>8789</v>
      </c>
    </row>
    <row r="135">
      <c r="A135" s="283">
        <v>5.0</v>
      </c>
      <c r="B135" s="284">
        <v>51.0</v>
      </c>
      <c r="C135" s="285" t="str">
        <f t="shared" si="1"/>
        <v>5 51</v>
      </c>
      <c r="D135" s="285" t="s">
        <v>8790</v>
      </c>
    </row>
    <row r="136">
      <c r="A136" s="283">
        <v>5.0</v>
      </c>
      <c r="B136" s="284">
        <v>53.0</v>
      </c>
      <c r="C136" s="285" t="str">
        <f t="shared" si="1"/>
        <v>5 53</v>
      </c>
      <c r="D136" s="285" t="s">
        <v>8791</v>
      </c>
    </row>
    <row r="137">
      <c r="A137" s="283">
        <v>5.0</v>
      </c>
      <c r="B137" s="284">
        <v>55.0</v>
      </c>
      <c r="C137" s="285" t="str">
        <f t="shared" si="1"/>
        <v>5 55</v>
      </c>
      <c r="D137" s="285" t="s">
        <v>8792</v>
      </c>
    </row>
    <row r="138">
      <c r="A138" s="283">
        <v>5.0</v>
      </c>
      <c r="B138" s="284">
        <v>57.0</v>
      </c>
      <c r="C138" s="285" t="str">
        <f t="shared" si="1"/>
        <v>5 57</v>
      </c>
      <c r="D138" s="285" t="s">
        <v>8793</v>
      </c>
    </row>
    <row r="139">
      <c r="A139" s="283">
        <v>5.0</v>
      </c>
      <c r="B139" s="284">
        <v>59.0</v>
      </c>
      <c r="C139" s="285" t="str">
        <f t="shared" si="1"/>
        <v>5 59</v>
      </c>
      <c r="D139" s="285" t="s">
        <v>8794</v>
      </c>
    </row>
    <row r="140">
      <c r="A140" s="283">
        <v>5.0</v>
      </c>
      <c r="B140" s="284">
        <v>61.0</v>
      </c>
      <c r="C140" s="285" t="str">
        <f t="shared" si="1"/>
        <v>5 61</v>
      </c>
      <c r="D140" s="285" t="s">
        <v>8795</v>
      </c>
    </row>
    <row r="141">
      <c r="A141" s="283">
        <v>5.0</v>
      </c>
      <c r="B141" s="284">
        <v>63.0</v>
      </c>
      <c r="C141" s="285" t="str">
        <f t="shared" si="1"/>
        <v>5 63</v>
      </c>
      <c r="D141" s="285" t="s">
        <v>8796</v>
      </c>
    </row>
    <row r="142">
      <c r="A142" s="283">
        <v>5.0</v>
      </c>
      <c r="B142" s="284">
        <v>65.0</v>
      </c>
      <c r="C142" s="285" t="str">
        <f t="shared" si="1"/>
        <v>5 65</v>
      </c>
      <c r="D142" s="285" t="s">
        <v>8797</v>
      </c>
    </row>
    <row r="143">
      <c r="A143" s="283">
        <v>5.0</v>
      </c>
      <c r="B143" s="284">
        <v>67.0</v>
      </c>
      <c r="C143" s="285" t="str">
        <f t="shared" si="1"/>
        <v>5 67</v>
      </c>
      <c r="D143" s="285" t="s">
        <v>8798</v>
      </c>
    </row>
    <row r="144">
      <c r="A144" s="283">
        <v>5.0</v>
      </c>
      <c r="B144" s="284">
        <v>69.0</v>
      </c>
      <c r="C144" s="285" t="str">
        <f t="shared" si="1"/>
        <v>5 69</v>
      </c>
      <c r="D144" s="285" t="s">
        <v>8799</v>
      </c>
    </row>
    <row r="145">
      <c r="A145" s="283">
        <v>5.0</v>
      </c>
      <c r="B145" s="284">
        <v>71.0</v>
      </c>
      <c r="C145" s="285" t="str">
        <f t="shared" si="1"/>
        <v>5 71</v>
      </c>
      <c r="D145" s="285" t="s">
        <v>8800</v>
      </c>
    </row>
    <row r="146">
      <c r="A146" s="283">
        <v>5.0</v>
      </c>
      <c r="B146" s="284">
        <v>73.0</v>
      </c>
      <c r="C146" s="285" t="str">
        <f t="shared" si="1"/>
        <v>5 73</v>
      </c>
      <c r="D146" s="285" t="s">
        <v>8801</v>
      </c>
    </row>
    <row r="147">
      <c r="A147" s="283">
        <v>5.0</v>
      </c>
      <c r="B147" s="284">
        <v>75.0</v>
      </c>
      <c r="C147" s="285" t="str">
        <f t="shared" si="1"/>
        <v>5 75</v>
      </c>
      <c r="D147" s="285" t="s">
        <v>8802</v>
      </c>
    </row>
    <row r="148">
      <c r="A148" s="283">
        <v>5.0</v>
      </c>
      <c r="B148" s="284">
        <v>77.0</v>
      </c>
      <c r="C148" s="285" t="str">
        <f t="shared" si="1"/>
        <v>5 77</v>
      </c>
      <c r="D148" s="285" t="s">
        <v>8803</v>
      </c>
    </row>
    <row r="149">
      <c r="A149" s="283">
        <v>5.0</v>
      </c>
      <c r="B149" s="284">
        <v>79.0</v>
      </c>
      <c r="C149" s="285" t="str">
        <f t="shared" si="1"/>
        <v>5 79</v>
      </c>
      <c r="D149" s="285" t="s">
        <v>8804</v>
      </c>
    </row>
    <row r="150">
      <c r="A150" s="283">
        <v>5.0</v>
      </c>
      <c r="B150" s="284">
        <v>81.0</v>
      </c>
      <c r="C150" s="285" t="str">
        <f t="shared" si="1"/>
        <v>5 81</v>
      </c>
      <c r="D150" s="285" t="s">
        <v>8805</v>
      </c>
    </row>
    <row r="151">
      <c r="A151" s="283">
        <v>5.0</v>
      </c>
      <c r="B151" s="284">
        <v>83.0</v>
      </c>
      <c r="C151" s="285" t="str">
        <f t="shared" si="1"/>
        <v>5 83</v>
      </c>
      <c r="D151" s="285" t="s">
        <v>8806</v>
      </c>
    </row>
    <row r="152">
      <c r="A152" s="283">
        <v>5.0</v>
      </c>
      <c r="B152" s="284">
        <v>85.0</v>
      </c>
      <c r="C152" s="285" t="str">
        <f t="shared" si="1"/>
        <v>5 85</v>
      </c>
      <c r="D152" s="285" t="s">
        <v>8807</v>
      </c>
    </row>
    <row r="153">
      <c r="A153" s="283">
        <v>5.0</v>
      </c>
      <c r="B153" s="284">
        <v>87.0</v>
      </c>
      <c r="C153" s="285" t="str">
        <f t="shared" si="1"/>
        <v>5 87</v>
      </c>
      <c r="D153" s="285" t="s">
        <v>8808</v>
      </c>
    </row>
    <row r="154">
      <c r="A154" s="283">
        <v>5.0</v>
      </c>
      <c r="B154" s="284">
        <v>89.0</v>
      </c>
      <c r="C154" s="285" t="str">
        <f t="shared" si="1"/>
        <v>5 89</v>
      </c>
      <c r="D154" s="285" t="s">
        <v>8809</v>
      </c>
    </row>
    <row r="155">
      <c r="A155" s="283">
        <v>5.0</v>
      </c>
      <c r="B155" s="284">
        <v>91.0</v>
      </c>
      <c r="C155" s="285" t="str">
        <f t="shared" si="1"/>
        <v>5 91</v>
      </c>
      <c r="D155" s="285" t="s">
        <v>8810</v>
      </c>
    </row>
    <row r="156">
      <c r="A156" s="283">
        <v>5.0</v>
      </c>
      <c r="B156" s="284">
        <v>93.0</v>
      </c>
      <c r="C156" s="285" t="str">
        <f t="shared" si="1"/>
        <v>5 93</v>
      </c>
      <c r="D156" s="285" t="s">
        <v>8811</v>
      </c>
    </row>
    <row r="157">
      <c r="A157" s="283">
        <v>5.0</v>
      </c>
      <c r="B157" s="284">
        <v>95.0</v>
      </c>
      <c r="C157" s="285" t="str">
        <f t="shared" si="1"/>
        <v>5 95</v>
      </c>
      <c r="D157" s="285" t="s">
        <v>8812</v>
      </c>
    </row>
    <row r="158">
      <c r="A158" s="283">
        <v>5.0</v>
      </c>
      <c r="B158" s="284">
        <v>99.0</v>
      </c>
      <c r="C158" s="285" t="str">
        <f t="shared" si="1"/>
        <v>5 99</v>
      </c>
      <c r="D158" s="285" t="s">
        <v>8813</v>
      </c>
    </row>
    <row r="159">
      <c r="A159" s="283">
        <v>5.0</v>
      </c>
      <c r="B159" s="284">
        <v>101.0</v>
      </c>
      <c r="C159" s="285" t="str">
        <f t="shared" si="1"/>
        <v>5 101</v>
      </c>
      <c r="D159" s="285" t="s">
        <v>8814</v>
      </c>
    </row>
    <row r="160">
      <c r="A160" s="283">
        <v>5.0</v>
      </c>
      <c r="B160" s="284">
        <v>103.0</v>
      </c>
      <c r="C160" s="285" t="str">
        <f t="shared" si="1"/>
        <v>5 103</v>
      </c>
      <c r="D160" s="285" t="s">
        <v>8815</v>
      </c>
    </row>
    <row r="161">
      <c r="A161" s="283">
        <v>5.0</v>
      </c>
      <c r="B161" s="284">
        <v>105.0</v>
      </c>
      <c r="C161" s="285" t="str">
        <f t="shared" si="1"/>
        <v>5 105</v>
      </c>
      <c r="D161" s="285" t="s">
        <v>8816</v>
      </c>
    </row>
    <row r="162">
      <c r="A162" s="283">
        <v>5.0</v>
      </c>
      <c r="B162" s="284">
        <v>107.0</v>
      </c>
      <c r="C162" s="285" t="str">
        <f t="shared" si="1"/>
        <v>5 107</v>
      </c>
      <c r="D162" s="285" t="s">
        <v>8817</v>
      </c>
    </row>
    <row r="163">
      <c r="A163" s="283">
        <v>5.0</v>
      </c>
      <c r="B163" s="284">
        <v>109.0</v>
      </c>
      <c r="C163" s="285" t="str">
        <f t="shared" si="1"/>
        <v>5 109</v>
      </c>
      <c r="D163" s="285" t="s">
        <v>8818</v>
      </c>
    </row>
    <row r="164">
      <c r="A164" s="283">
        <v>5.0</v>
      </c>
      <c r="B164" s="284">
        <v>111.0</v>
      </c>
      <c r="C164" s="285" t="str">
        <f t="shared" si="1"/>
        <v>5 111</v>
      </c>
      <c r="D164" s="285" t="s">
        <v>8819</v>
      </c>
    </row>
    <row r="165">
      <c r="A165" s="283">
        <v>5.0</v>
      </c>
      <c r="B165" s="284">
        <v>113.0</v>
      </c>
      <c r="C165" s="285" t="str">
        <f t="shared" si="1"/>
        <v>5 113</v>
      </c>
      <c r="D165" s="285" t="s">
        <v>8820</v>
      </c>
    </row>
    <row r="166">
      <c r="A166" s="283">
        <v>5.0</v>
      </c>
      <c r="B166" s="284">
        <v>115.0</v>
      </c>
      <c r="C166" s="285" t="str">
        <f t="shared" si="1"/>
        <v>5 115</v>
      </c>
      <c r="D166" s="285" t="s">
        <v>8821</v>
      </c>
    </row>
    <row r="167">
      <c r="A167" s="283">
        <v>5.0</v>
      </c>
      <c r="B167" s="284">
        <v>117.0</v>
      </c>
      <c r="C167" s="285" t="str">
        <f t="shared" si="1"/>
        <v>5 117</v>
      </c>
      <c r="D167" s="285" t="s">
        <v>8822</v>
      </c>
    </row>
    <row r="168">
      <c r="A168" s="283">
        <v>5.0</v>
      </c>
      <c r="B168" s="284">
        <v>119.0</v>
      </c>
      <c r="C168" s="285" t="str">
        <f t="shared" si="1"/>
        <v>5 119</v>
      </c>
      <c r="D168" s="285" t="s">
        <v>8823</v>
      </c>
    </row>
    <row r="169">
      <c r="A169" s="283">
        <v>5.0</v>
      </c>
      <c r="B169" s="284">
        <v>121.0</v>
      </c>
      <c r="C169" s="285" t="str">
        <f t="shared" si="1"/>
        <v>5 121</v>
      </c>
      <c r="D169" s="285" t="s">
        <v>8824</v>
      </c>
    </row>
    <row r="170">
      <c r="A170" s="283">
        <v>5.0</v>
      </c>
      <c r="B170" s="284">
        <v>123.0</v>
      </c>
      <c r="C170" s="285" t="str">
        <f t="shared" si="1"/>
        <v>5 123</v>
      </c>
      <c r="D170" s="285" t="s">
        <v>8825</v>
      </c>
    </row>
    <row r="171">
      <c r="A171" s="283">
        <v>5.0</v>
      </c>
      <c r="B171" s="284">
        <v>125.0</v>
      </c>
      <c r="C171" s="285" t="str">
        <f t="shared" si="1"/>
        <v>5 125</v>
      </c>
      <c r="D171" s="285" t="s">
        <v>8826</v>
      </c>
    </row>
    <row r="172">
      <c r="A172" s="283">
        <v>5.0</v>
      </c>
      <c r="B172" s="284">
        <v>127.0</v>
      </c>
      <c r="C172" s="285" t="str">
        <f t="shared" si="1"/>
        <v>5 127</v>
      </c>
      <c r="D172" s="285" t="s">
        <v>8827</v>
      </c>
    </row>
    <row r="173">
      <c r="A173" s="283">
        <v>5.0</v>
      </c>
      <c r="B173" s="284">
        <v>129.0</v>
      </c>
      <c r="C173" s="285" t="str">
        <f t="shared" si="1"/>
        <v>5 129</v>
      </c>
      <c r="D173" s="285" t="s">
        <v>8828</v>
      </c>
    </row>
    <row r="174">
      <c r="A174" s="283">
        <v>5.0</v>
      </c>
      <c r="B174" s="284">
        <v>131.0</v>
      </c>
      <c r="C174" s="285" t="str">
        <f t="shared" si="1"/>
        <v>5 131</v>
      </c>
      <c r="D174" s="285" t="s">
        <v>8829</v>
      </c>
    </row>
    <row r="175">
      <c r="A175" s="283">
        <v>5.0</v>
      </c>
      <c r="B175" s="284">
        <v>133.0</v>
      </c>
      <c r="C175" s="285" t="str">
        <f t="shared" si="1"/>
        <v>5 133</v>
      </c>
      <c r="D175" s="285" t="s">
        <v>8830</v>
      </c>
    </row>
    <row r="176">
      <c r="A176" s="283">
        <v>5.0</v>
      </c>
      <c r="B176" s="284">
        <v>135.0</v>
      </c>
      <c r="C176" s="285" t="str">
        <f t="shared" si="1"/>
        <v>5 135</v>
      </c>
      <c r="D176" s="285" t="s">
        <v>8831</v>
      </c>
    </row>
    <row r="177">
      <c r="A177" s="283">
        <v>5.0</v>
      </c>
      <c r="B177" s="284">
        <v>137.0</v>
      </c>
      <c r="C177" s="285" t="str">
        <f t="shared" si="1"/>
        <v>5 137</v>
      </c>
      <c r="D177" s="285" t="s">
        <v>8832</v>
      </c>
    </row>
    <row r="178">
      <c r="A178" s="283">
        <v>5.0</v>
      </c>
      <c r="B178" s="284">
        <v>139.0</v>
      </c>
      <c r="C178" s="285" t="str">
        <f t="shared" si="1"/>
        <v>5 139</v>
      </c>
      <c r="D178" s="285" t="s">
        <v>8833</v>
      </c>
    </row>
    <row r="179">
      <c r="A179" s="283">
        <v>5.0</v>
      </c>
      <c r="B179" s="284">
        <v>141.0</v>
      </c>
      <c r="C179" s="285" t="str">
        <f t="shared" si="1"/>
        <v>5 141</v>
      </c>
      <c r="D179" s="285" t="s">
        <v>8834</v>
      </c>
    </row>
    <row r="180">
      <c r="A180" s="283">
        <v>5.0</v>
      </c>
      <c r="B180" s="284">
        <v>143.0</v>
      </c>
      <c r="C180" s="285" t="str">
        <f t="shared" si="1"/>
        <v>5 143</v>
      </c>
      <c r="D180" s="285" t="s">
        <v>8835</v>
      </c>
    </row>
    <row r="181">
      <c r="A181" s="283">
        <v>5.0</v>
      </c>
      <c r="B181" s="284">
        <v>145.0</v>
      </c>
      <c r="C181" s="285" t="str">
        <f t="shared" si="1"/>
        <v>5 145</v>
      </c>
      <c r="D181" s="285" t="s">
        <v>8836</v>
      </c>
    </row>
    <row r="182">
      <c r="A182" s="283">
        <v>5.0</v>
      </c>
      <c r="B182" s="284">
        <v>147.0</v>
      </c>
      <c r="C182" s="285" t="str">
        <f t="shared" si="1"/>
        <v>5 147</v>
      </c>
      <c r="D182" s="285" t="s">
        <v>8837</v>
      </c>
    </row>
    <row r="183">
      <c r="A183" s="283">
        <v>5.0</v>
      </c>
      <c r="B183" s="284">
        <v>149.0</v>
      </c>
      <c r="C183" s="285" t="str">
        <f t="shared" si="1"/>
        <v>5 149</v>
      </c>
      <c r="D183" s="285" t="s">
        <v>8838</v>
      </c>
    </row>
    <row r="184">
      <c r="A184" s="283">
        <v>6.0</v>
      </c>
      <c r="B184" s="284">
        <v>1.0</v>
      </c>
      <c r="C184" s="285" t="str">
        <f t="shared" si="1"/>
        <v>6 1</v>
      </c>
      <c r="D184" s="285" t="s">
        <v>8839</v>
      </c>
    </row>
    <row r="185">
      <c r="A185" s="283">
        <v>6.0</v>
      </c>
      <c r="B185" s="284">
        <v>3.0</v>
      </c>
      <c r="C185" s="285" t="str">
        <f t="shared" si="1"/>
        <v>6 3</v>
      </c>
      <c r="D185" s="285" t="s">
        <v>8840</v>
      </c>
    </row>
    <row r="186">
      <c r="A186" s="283">
        <v>6.0</v>
      </c>
      <c r="B186" s="284">
        <v>5.0</v>
      </c>
      <c r="C186" s="285" t="str">
        <f t="shared" si="1"/>
        <v>6 5</v>
      </c>
      <c r="D186" s="285" t="s">
        <v>8841</v>
      </c>
    </row>
    <row r="187">
      <c r="A187" s="283">
        <v>6.0</v>
      </c>
      <c r="B187" s="284">
        <v>7.0</v>
      </c>
      <c r="C187" s="285" t="str">
        <f t="shared" si="1"/>
        <v>6 7</v>
      </c>
      <c r="D187" s="285" t="s">
        <v>8842</v>
      </c>
    </row>
    <row r="188">
      <c r="A188" s="283">
        <v>6.0</v>
      </c>
      <c r="B188" s="284">
        <v>9.0</v>
      </c>
      <c r="C188" s="285" t="str">
        <f t="shared" si="1"/>
        <v>6 9</v>
      </c>
      <c r="D188" s="285" t="s">
        <v>8843</v>
      </c>
    </row>
    <row r="189">
      <c r="A189" s="283">
        <v>6.0</v>
      </c>
      <c r="B189" s="284">
        <v>11.0</v>
      </c>
      <c r="C189" s="285" t="str">
        <f t="shared" si="1"/>
        <v>6 11</v>
      </c>
      <c r="D189" s="285" t="s">
        <v>8844</v>
      </c>
    </row>
    <row r="190">
      <c r="A190" s="283">
        <v>6.0</v>
      </c>
      <c r="B190" s="284">
        <v>13.0</v>
      </c>
      <c r="C190" s="285" t="str">
        <f t="shared" si="1"/>
        <v>6 13</v>
      </c>
      <c r="D190" s="285" t="s">
        <v>8845</v>
      </c>
    </row>
    <row r="191">
      <c r="A191" s="283">
        <v>6.0</v>
      </c>
      <c r="B191" s="284">
        <v>15.0</v>
      </c>
      <c r="C191" s="285" t="str">
        <f t="shared" si="1"/>
        <v>6 15</v>
      </c>
      <c r="D191" s="285" t="s">
        <v>8846</v>
      </c>
    </row>
    <row r="192">
      <c r="A192" s="283">
        <v>6.0</v>
      </c>
      <c r="B192" s="284">
        <v>17.0</v>
      </c>
      <c r="C192" s="285" t="str">
        <f t="shared" si="1"/>
        <v>6 17</v>
      </c>
      <c r="D192" s="285" t="s">
        <v>8847</v>
      </c>
    </row>
    <row r="193">
      <c r="A193" s="283">
        <v>6.0</v>
      </c>
      <c r="B193" s="284">
        <v>19.0</v>
      </c>
      <c r="C193" s="285" t="str">
        <f t="shared" si="1"/>
        <v>6 19</v>
      </c>
      <c r="D193" s="285" t="s">
        <v>8848</v>
      </c>
    </row>
    <row r="194">
      <c r="A194" s="283">
        <v>6.0</v>
      </c>
      <c r="B194" s="284">
        <v>21.0</v>
      </c>
      <c r="C194" s="285" t="str">
        <f t="shared" si="1"/>
        <v>6 21</v>
      </c>
      <c r="D194" s="285" t="s">
        <v>8849</v>
      </c>
    </row>
    <row r="195">
      <c r="A195" s="283">
        <v>6.0</v>
      </c>
      <c r="B195" s="284">
        <v>23.0</v>
      </c>
      <c r="C195" s="285" t="str">
        <f t="shared" si="1"/>
        <v>6 23</v>
      </c>
      <c r="D195" s="285" t="s">
        <v>8850</v>
      </c>
    </row>
    <row r="196">
      <c r="A196" s="283">
        <v>6.0</v>
      </c>
      <c r="B196" s="284">
        <v>25.0</v>
      </c>
      <c r="C196" s="285" t="str">
        <f t="shared" si="1"/>
        <v>6 25</v>
      </c>
      <c r="D196" s="285" t="s">
        <v>8851</v>
      </c>
    </row>
    <row r="197">
      <c r="A197" s="283">
        <v>6.0</v>
      </c>
      <c r="B197" s="284">
        <v>27.0</v>
      </c>
      <c r="C197" s="285" t="str">
        <f t="shared" si="1"/>
        <v>6 27</v>
      </c>
      <c r="D197" s="285" t="s">
        <v>8852</v>
      </c>
    </row>
    <row r="198">
      <c r="A198" s="283">
        <v>6.0</v>
      </c>
      <c r="B198" s="284">
        <v>29.0</v>
      </c>
      <c r="C198" s="285" t="str">
        <f t="shared" si="1"/>
        <v>6 29</v>
      </c>
      <c r="D198" s="285" t="s">
        <v>8853</v>
      </c>
    </row>
    <row r="199">
      <c r="A199" s="283">
        <v>6.0</v>
      </c>
      <c r="B199" s="284">
        <v>31.0</v>
      </c>
      <c r="C199" s="285" t="str">
        <f t="shared" si="1"/>
        <v>6 31</v>
      </c>
      <c r="D199" s="285" t="s">
        <v>8854</v>
      </c>
    </row>
    <row r="200">
      <c r="A200" s="283">
        <v>6.0</v>
      </c>
      <c r="B200" s="284">
        <v>33.0</v>
      </c>
      <c r="C200" s="285" t="str">
        <f t="shared" si="1"/>
        <v>6 33</v>
      </c>
      <c r="D200" s="285" t="s">
        <v>8855</v>
      </c>
    </row>
    <row r="201">
      <c r="A201" s="283">
        <v>6.0</v>
      </c>
      <c r="B201" s="284">
        <v>35.0</v>
      </c>
      <c r="C201" s="285" t="str">
        <f t="shared" si="1"/>
        <v>6 35</v>
      </c>
      <c r="D201" s="285" t="s">
        <v>8856</v>
      </c>
    </row>
    <row r="202">
      <c r="A202" s="283">
        <v>6.0</v>
      </c>
      <c r="B202" s="284">
        <v>37.0</v>
      </c>
      <c r="C202" s="285" t="str">
        <f t="shared" si="1"/>
        <v>6 37</v>
      </c>
      <c r="D202" s="285" t="s">
        <v>8857</v>
      </c>
    </row>
    <row r="203">
      <c r="A203" s="283">
        <v>6.0</v>
      </c>
      <c r="B203" s="284">
        <v>39.0</v>
      </c>
      <c r="C203" s="285" t="str">
        <f t="shared" si="1"/>
        <v>6 39</v>
      </c>
      <c r="D203" s="285" t="s">
        <v>8858</v>
      </c>
    </row>
    <row r="204">
      <c r="A204" s="283">
        <v>6.0</v>
      </c>
      <c r="B204" s="284">
        <v>41.0</v>
      </c>
      <c r="C204" s="285" t="str">
        <f t="shared" si="1"/>
        <v>6 41</v>
      </c>
      <c r="D204" s="285" t="s">
        <v>8859</v>
      </c>
    </row>
    <row r="205">
      <c r="A205" s="283">
        <v>6.0</v>
      </c>
      <c r="B205" s="284">
        <v>43.0</v>
      </c>
      <c r="C205" s="285" t="str">
        <f t="shared" si="1"/>
        <v>6 43</v>
      </c>
      <c r="D205" s="285" t="s">
        <v>8860</v>
      </c>
    </row>
    <row r="206">
      <c r="A206" s="283">
        <v>6.0</v>
      </c>
      <c r="B206" s="284">
        <v>45.0</v>
      </c>
      <c r="C206" s="285" t="str">
        <f t="shared" si="1"/>
        <v>6 45</v>
      </c>
      <c r="D206" s="285" t="s">
        <v>8861</v>
      </c>
    </row>
    <row r="207">
      <c r="A207" s="283">
        <v>6.0</v>
      </c>
      <c r="B207" s="284">
        <v>47.0</v>
      </c>
      <c r="C207" s="285" t="str">
        <f t="shared" si="1"/>
        <v>6 47</v>
      </c>
      <c r="D207" s="285" t="s">
        <v>8862</v>
      </c>
    </row>
    <row r="208">
      <c r="A208" s="283">
        <v>6.0</v>
      </c>
      <c r="B208" s="284">
        <v>49.0</v>
      </c>
      <c r="C208" s="285" t="str">
        <f t="shared" si="1"/>
        <v>6 49</v>
      </c>
      <c r="D208" s="285" t="s">
        <v>8863</v>
      </c>
    </row>
    <row r="209">
      <c r="A209" s="283">
        <v>6.0</v>
      </c>
      <c r="B209" s="284">
        <v>51.0</v>
      </c>
      <c r="C209" s="285" t="str">
        <f t="shared" si="1"/>
        <v>6 51</v>
      </c>
      <c r="D209" s="285" t="s">
        <v>8864</v>
      </c>
    </row>
    <row r="210">
      <c r="A210" s="283">
        <v>6.0</v>
      </c>
      <c r="B210" s="284">
        <v>53.0</v>
      </c>
      <c r="C210" s="285" t="str">
        <f t="shared" si="1"/>
        <v>6 53</v>
      </c>
      <c r="D210" s="285" t="s">
        <v>8865</v>
      </c>
    </row>
    <row r="211">
      <c r="A211" s="283">
        <v>6.0</v>
      </c>
      <c r="B211" s="284">
        <v>55.0</v>
      </c>
      <c r="C211" s="285" t="str">
        <f t="shared" si="1"/>
        <v>6 55</v>
      </c>
      <c r="D211" s="285" t="s">
        <v>8866</v>
      </c>
    </row>
    <row r="212">
      <c r="A212" s="283">
        <v>6.0</v>
      </c>
      <c r="B212" s="284">
        <v>57.0</v>
      </c>
      <c r="C212" s="285" t="str">
        <f t="shared" si="1"/>
        <v>6 57</v>
      </c>
      <c r="D212" s="285" t="s">
        <v>8867</v>
      </c>
    </row>
    <row r="213">
      <c r="A213" s="283">
        <v>6.0</v>
      </c>
      <c r="B213" s="284">
        <v>59.0</v>
      </c>
      <c r="C213" s="285" t="str">
        <f t="shared" si="1"/>
        <v>6 59</v>
      </c>
      <c r="D213" s="285" t="s">
        <v>8868</v>
      </c>
    </row>
    <row r="214">
      <c r="A214" s="283">
        <v>6.0</v>
      </c>
      <c r="B214" s="284">
        <v>61.0</v>
      </c>
      <c r="C214" s="285" t="str">
        <f t="shared" si="1"/>
        <v>6 61</v>
      </c>
      <c r="D214" s="285" t="s">
        <v>8869</v>
      </c>
    </row>
    <row r="215">
      <c r="A215" s="283">
        <v>6.0</v>
      </c>
      <c r="B215" s="284">
        <v>63.0</v>
      </c>
      <c r="C215" s="285" t="str">
        <f t="shared" si="1"/>
        <v>6 63</v>
      </c>
      <c r="D215" s="285" t="s">
        <v>8870</v>
      </c>
    </row>
    <row r="216">
      <c r="A216" s="283">
        <v>6.0</v>
      </c>
      <c r="B216" s="284">
        <v>65.0</v>
      </c>
      <c r="C216" s="285" t="str">
        <f t="shared" si="1"/>
        <v>6 65</v>
      </c>
      <c r="D216" s="285" t="s">
        <v>8871</v>
      </c>
    </row>
    <row r="217">
      <c r="A217" s="283">
        <v>6.0</v>
      </c>
      <c r="B217" s="284">
        <v>67.0</v>
      </c>
      <c r="C217" s="285" t="str">
        <f t="shared" si="1"/>
        <v>6 67</v>
      </c>
      <c r="D217" s="285" t="s">
        <v>8872</v>
      </c>
    </row>
    <row r="218">
      <c r="A218" s="283">
        <v>6.0</v>
      </c>
      <c r="B218" s="284">
        <v>69.0</v>
      </c>
      <c r="C218" s="285" t="str">
        <f t="shared" si="1"/>
        <v>6 69</v>
      </c>
      <c r="D218" s="285" t="s">
        <v>8873</v>
      </c>
    </row>
    <row r="219">
      <c r="A219" s="283">
        <v>6.0</v>
      </c>
      <c r="B219" s="284">
        <v>71.0</v>
      </c>
      <c r="C219" s="285" t="str">
        <f t="shared" si="1"/>
        <v>6 71</v>
      </c>
      <c r="D219" s="285" t="s">
        <v>8874</v>
      </c>
    </row>
    <row r="220">
      <c r="A220" s="283">
        <v>6.0</v>
      </c>
      <c r="B220" s="284">
        <v>73.0</v>
      </c>
      <c r="C220" s="285" t="str">
        <f t="shared" si="1"/>
        <v>6 73</v>
      </c>
      <c r="D220" s="285" t="s">
        <v>8875</v>
      </c>
    </row>
    <row r="221">
      <c r="A221" s="283">
        <v>6.0</v>
      </c>
      <c r="B221" s="284">
        <v>75.0</v>
      </c>
      <c r="C221" s="285" t="str">
        <f t="shared" si="1"/>
        <v>6 75</v>
      </c>
      <c r="D221" s="285" t="s">
        <v>8876</v>
      </c>
    </row>
    <row r="222">
      <c r="A222" s="283">
        <v>6.0</v>
      </c>
      <c r="B222" s="284">
        <v>77.0</v>
      </c>
      <c r="C222" s="285" t="str">
        <f t="shared" si="1"/>
        <v>6 77</v>
      </c>
      <c r="D222" s="285" t="s">
        <v>8877</v>
      </c>
    </row>
    <row r="223">
      <c r="A223" s="283">
        <v>6.0</v>
      </c>
      <c r="B223" s="284">
        <v>79.0</v>
      </c>
      <c r="C223" s="285" t="str">
        <f t="shared" si="1"/>
        <v>6 79</v>
      </c>
      <c r="D223" s="285" t="s">
        <v>8878</v>
      </c>
    </row>
    <row r="224">
      <c r="A224" s="283">
        <v>6.0</v>
      </c>
      <c r="B224" s="284">
        <v>81.0</v>
      </c>
      <c r="C224" s="285" t="str">
        <f t="shared" si="1"/>
        <v>6 81</v>
      </c>
      <c r="D224" s="285" t="s">
        <v>8879</v>
      </c>
    </row>
    <row r="225">
      <c r="A225" s="283">
        <v>6.0</v>
      </c>
      <c r="B225" s="284">
        <v>83.0</v>
      </c>
      <c r="C225" s="285" t="str">
        <f t="shared" si="1"/>
        <v>6 83</v>
      </c>
      <c r="D225" s="285" t="s">
        <v>8880</v>
      </c>
    </row>
    <row r="226">
      <c r="A226" s="283">
        <v>6.0</v>
      </c>
      <c r="B226" s="284">
        <v>85.0</v>
      </c>
      <c r="C226" s="285" t="str">
        <f t="shared" si="1"/>
        <v>6 85</v>
      </c>
      <c r="D226" s="285" t="s">
        <v>8881</v>
      </c>
    </row>
    <row r="227">
      <c r="A227" s="283">
        <v>6.0</v>
      </c>
      <c r="B227" s="284">
        <v>87.0</v>
      </c>
      <c r="C227" s="285" t="str">
        <f t="shared" si="1"/>
        <v>6 87</v>
      </c>
      <c r="D227" s="285" t="s">
        <v>8882</v>
      </c>
    </row>
    <row r="228">
      <c r="A228" s="283">
        <v>6.0</v>
      </c>
      <c r="B228" s="284">
        <v>89.0</v>
      </c>
      <c r="C228" s="285" t="str">
        <f t="shared" si="1"/>
        <v>6 89</v>
      </c>
      <c r="D228" s="285" t="s">
        <v>8883</v>
      </c>
    </row>
    <row r="229">
      <c r="A229" s="283">
        <v>6.0</v>
      </c>
      <c r="B229" s="284">
        <v>91.0</v>
      </c>
      <c r="C229" s="285" t="str">
        <f t="shared" si="1"/>
        <v>6 91</v>
      </c>
      <c r="D229" s="285" t="s">
        <v>8884</v>
      </c>
    </row>
    <row r="230">
      <c r="A230" s="283">
        <v>6.0</v>
      </c>
      <c r="B230" s="284">
        <v>93.0</v>
      </c>
      <c r="C230" s="285" t="str">
        <f t="shared" si="1"/>
        <v>6 93</v>
      </c>
      <c r="D230" s="285" t="s">
        <v>8885</v>
      </c>
    </row>
    <row r="231">
      <c r="A231" s="283">
        <v>6.0</v>
      </c>
      <c r="B231" s="284">
        <v>95.0</v>
      </c>
      <c r="C231" s="285" t="str">
        <f t="shared" si="1"/>
        <v>6 95</v>
      </c>
      <c r="D231" s="285" t="s">
        <v>8886</v>
      </c>
    </row>
    <row r="232">
      <c r="A232" s="283">
        <v>6.0</v>
      </c>
      <c r="B232" s="284">
        <v>97.0</v>
      </c>
      <c r="C232" s="285" t="str">
        <f t="shared" si="1"/>
        <v>6 97</v>
      </c>
      <c r="D232" s="285" t="s">
        <v>8887</v>
      </c>
    </row>
    <row r="233">
      <c r="A233" s="283">
        <v>6.0</v>
      </c>
      <c r="B233" s="284">
        <v>99.0</v>
      </c>
      <c r="C233" s="285" t="str">
        <f t="shared" si="1"/>
        <v>6 99</v>
      </c>
      <c r="D233" s="285" t="s">
        <v>8888</v>
      </c>
    </row>
    <row r="234">
      <c r="A234" s="283">
        <v>6.0</v>
      </c>
      <c r="B234" s="284">
        <v>101.0</v>
      </c>
      <c r="C234" s="285" t="str">
        <f t="shared" si="1"/>
        <v>6 101</v>
      </c>
      <c r="D234" s="285" t="s">
        <v>8889</v>
      </c>
    </row>
    <row r="235">
      <c r="A235" s="283">
        <v>6.0</v>
      </c>
      <c r="B235" s="284">
        <v>103.0</v>
      </c>
      <c r="C235" s="285" t="str">
        <f t="shared" si="1"/>
        <v>6 103</v>
      </c>
      <c r="D235" s="285" t="s">
        <v>8890</v>
      </c>
    </row>
    <row r="236">
      <c r="A236" s="283">
        <v>6.0</v>
      </c>
      <c r="B236" s="284">
        <v>105.0</v>
      </c>
      <c r="C236" s="285" t="str">
        <f t="shared" si="1"/>
        <v>6 105</v>
      </c>
      <c r="D236" s="285" t="s">
        <v>8891</v>
      </c>
    </row>
    <row r="237">
      <c r="A237" s="283">
        <v>6.0</v>
      </c>
      <c r="B237" s="284">
        <v>107.0</v>
      </c>
      <c r="C237" s="285" t="str">
        <f t="shared" si="1"/>
        <v>6 107</v>
      </c>
      <c r="D237" s="285" t="s">
        <v>8892</v>
      </c>
    </row>
    <row r="238">
      <c r="A238" s="283">
        <v>6.0</v>
      </c>
      <c r="B238" s="284">
        <v>109.0</v>
      </c>
      <c r="C238" s="285" t="str">
        <f t="shared" si="1"/>
        <v>6 109</v>
      </c>
      <c r="D238" s="285" t="s">
        <v>8893</v>
      </c>
    </row>
    <row r="239">
      <c r="A239" s="283">
        <v>6.0</v>
      </c>
      <c r="B239" s="284">
        <v>111.0</v>
      </c>
      <c r="C239" s="285" t="str">
        <f t="shared" si="1"/>
        <v>6 111</v>
      </c>
      <c r="D239" s="285" t="s">
        <v>8894</v>
      </c>
    </row>
    <row r="240">
      <c r="A240" s="283">
        <v>6.0</v>
      </c>
      <c r="B240" s="284">
        <v>113.0</v>
      </c>
      <c r="C240" s="285" t="str">
        <f t="shared" si="1"/>
        <v>6 113</v>
      </c>
      <c r="D240" s="285" t="s">
        <v>8895</v>
      </c>
    </row>
    <row r="241">
      <c r="A241" s="283">
        <v>6.0</v>
      </c>
      <c r="B241" s="284">
        <v>115.0</v>
      </c>
      <c r="C241" s="285" t="str">
        <f t="shared" si="1"/>
        <v>6 115</v>
      </c>
      <c r="D241" s="285" t="s">
        <v>8896</v>
      </c>
    </row>
    <row r="242">
      <c r="A242" s="283">
        <v>8.0</v>
      </c>
      <c r="B242" s="284">
        <v>1.0</v>
      </c>
      <c r="C242" s="285" t="str">
        <f t="shared" si="1"/>
        <v>8 1</v>
      </c>
      <c r="D242" s="285" t="s">
        <v>8897</v>
      </c>
    </row>
    <row r="243">
      <c r="A243" s="283">
        <v>8.0</v>
      </c>
      <c r="B243" s="284">
        <v>3.0</v>
      </c>
      <c r="C243" s="285" t="str">
        <f t="shared" si="1"/>
        <v>8 3</v>
      </c>
      <c r="D243" s="285" t="s">
        <v>8898</v>
      </c>
    </row>
    <row r="244">
      <c r="A244" s="283">
        <v>8.0</v>
      </c>
      <c r="B244" s="284">
        <v>5.0</v>
      </c>
      <c r="C244" s="285" t="str">
        <f t="shared" si="1"/>
        <v>8 5</v>
      </c>
      <c r="D244" s="285" t="s">
        <v>8899</v>
      </c>
    </row>
    <row r="245">
      <c r="A245" s="283">
        <v>8.0</v>
      </c>
      <c r="B245" s="284">
        <v>7.0</v>
      </c>
      <c r="C245" s="285" t="str">
        <f t="shared" si="1"/>
        <v>8 7</v>
      </c>
      <c r="D245" s="285" t="s">
        <v>8900</v>
      </c>
    </row>
    <row r="246">
      <c r="A246" s="283">
        <v>8.0</v>
      </c>
      <c r="B246" s="284">
        <v>9.0</v>
      </c>
      <c r="C246" s="285" t="str">
        <f t="shared" si="1"/>
        <v>8 9</v>
      </c>
      <c r="D246" s="285" t="s">
        <v>8901</v>
      </c>
    </row>
    <row r="247">
      <c r="A247" s="283">
        <v>8.0</v>
      </c>
      <c r="B247" s="284">
        <v>11.0</v>
      </c>
      <c r="C247" s="285" t="str">
        <f t="shared" si="1"/>
        <v>8 11</v>
      </c>
      <c r="D247" s="285" t="s">
        <v>8902</v>
      </c>
    </row>
    <row r="248">
      <c r="A248" s="283">
        <v>8.0</v>
      </c>
      <c r="B248" s="284">
        <v>13.0</v>
      </c>
      <c r="C248" s="285" t="str">
        <f t="shared" si="1"/>
        <v>8 13</v>
      </c>
      <c r="D248" s="285" t="s">
        <v>8903</v>
      </c>
    </row>
    <row r="249">
      <c r="A249" s="283">
        <v>8.0</v>
      </c>
      <c r="B249" s="284">
        <v>14.0</v>
      </c>
      <c r="C249" s="285" t="str">
        <f t="shared" si="1"/>
        <v>8 14</v>
      </c>
      <c r="D249" s="285" t="s">
        <v>8904</v>
      </c>
    </row>
    <row r="250">
      <c r="A250" s="283">
        <v>8.0</v>
      </c>
      <c r="B250" s="284">
        <v>15.0</v>
      </c>
      <c r="C250" s="285" t="str">
        <f t="shared" si="1"/>
        <v>8 15</v>
      </c>
      <c r="D250" s="285" t="s">
        <v>8905</v>
      </c>
    </row>
    <row r="251">
      <c r="A251" s="283">
        <v>8.0</v>
      </c>
      <c r="B251" s="284">
        <v>17.0</v>
      </c>
      <c r="C251" s="285" t="str">
        <f t="shared" si="1"/>
        <v>8 17</v>
      </c>
      <c r="D251" s="285" t="s">
        <v>8906</v>
      </c>
    </row>
    <row r="252">
      <c r="A252" s="283">
        <v>8.0</v>
      </c>
      <c r="B252" s="284">
        <v>19.0</v>
      </c>
      <c r="C252" s="285" t="str">
        <f t="shared" si="1"/>
        <v>8 19</v>
      </c>
      <c r="D252" s="285" t="s">
        <v>8907</v>
      </c>
    </row>
    <row r="253">
      <c r="A253" s="283">
        <v>8.0</v>
      </c>
      <c r="B253" s="284">
        <v>21.0</v>
      </c>
      <c r="C253" s="285" t="str">
        <f t="shared" si="1"/>
        <v>8 21</v>
      </c>
      <c r="D253" s="285" t="s">
        <v>8908</v>
      </c>
    </row>
    <row r="254">
      <c r="A254" s="283">
        <v>8.0</v>
      </c>
      <c r="B254" s="284">
        <v>23.0</v>
      </c>
      <c r="C254" s="285" t="str">
        <f t="shared" si="1"/>
        <v>8 23</v>
      </c>
      <c r="D254" s="285" t="s">
        <v>8909</v>
      </c>
    </row>
    <row r="255">
      <c r="A255" s="283">
        <v>8.0</v>
      </c>
      <c r="B255" s="284">
        <v>25.0</v>
      </c>
      <c r="C255" s="285" t="str">
        <f t="shared" si="1"/>
        <v>8 25</v>
      </c>
      <c r="D255" s="285" t="s">
        <v>8910</v>
      </c>
    </row>
    <row r="256">
      <c r="A256" s="283">
        <v>8.0</v>
      </c>
      <c r="B256" s="284">
        <v>27.0</v>
      </c>
      <c r="C256" s="285" t="str">
        <f t="shared" si="1"/>
        <v>8 27</v>
      </c>
      <c r="D256" s="285" t="s">
        <v>8911</v>
      </c>
    </row>
    <row r="257">
      <c r="A257" s="283">
        <v>8.0</v>
      </c>
      <c r="B257" s="284">
        <v>29.0</v>
      </c>
      <c r="C257" s="285" t="str">
        <f t="shared" si="1"/>
        <v>8 29</v>
      </c>
      <c r="D257" s="285" t="s">
        <v>8912</v>
      </c>
    </row>
    <row r="258">
      <c r="A258" s="283">
        <v>8.0</v>
      </c>
      <c r="B258" s="284">
        <v>31.0</v>
      </c>
      <c r="C258" s="285" t="str">
        <f t="shared" si="1"/>
        <v>8 31</v>
      </c>
      <c r="D258" s="285" t="s">
        <v>8913</v>
      </c>
    </row>
    <row r="259">
      <c r="A259" s="283">
        <v>8.0</v>
      </c>
      <c r="B259" s="284">
        <v>33.0</v>
      </c>
      <c r="C259" s="285" t="str">
        <f t="shared" si="1"/>
        <v>8 33</v>
      </c>
      <c r="D259" s="285" t="s">
        <v>8914</v>
      </c>
    </row>
    <row r="260">
      <c r="A260" s="283">
        <v>8.0</v>
      </c>
      <c r="B260" s="284">
        <v>35.0</v>
      </c>
      <c r="C260" s="285" t="str">
        <f t="shared" si="1"/>
        <v>8 35</v>
      </c>
      <c r="D260" s="285" t="s">
        <v>8915</v>
      </c>
    </row>
    <row r="261">
      <c r="A261" s="283">
        <v>8.0</v>
      </c>
      <c r="B261" s="284">
        <v>37.0</v>
      </c>
      <c r="C261" s="285" t="str">
        <f t="shared" si="1"/>
        <v>8 37</v>
      </c>
      <c r="D261" s="285" t="s">
        <v>8916</v>
      </c>
    </row>
    <row r="262">
      <c r="A262" s="283">
        <v>8.0</v>
      </c>
      <c r="B262" s="284">
        <v>39.0</v>
      </c>
      <c r="C262" s="285" t="str">
        <f t="shared" si="1"/>
        <v>8 39</v>
      </c>
      <c r="D262" s="285" t="s">
        <v>8917</v>
      </c>
    </row>
    <row r="263">
      <c r="A263" s="283">
        <v>8.0</v>
      </c>
      <c r="B263" s="284">
        <v>41.0</v>
      </c>
      <c r="C263" s="285" t="str">
        <f t="shared" si="1"/>
        <v>8 41</v>
      </c>
      <c r="D263" s="285" t="s">
        <v>8918</v>
      </c>
    </row>
    <row r="264">
      <c r="A264" s="283">
        <v>8.0</v>
      </c>
      <c r="B264" s="284">
        <v>43.0</v>
      </c>
      <c r="C264" s="285" t="str">
        <f t="shared" si="1"/>
        <v>8 43</v>
      </c>
      <c r="D264" s="285" t="s">
        <v>8919</v>
      </c>
    </row>
    <row r="265">
      <c r="A265" s="283">
        <v>8.0</v>
      </c>
      <c r="B265" s="284">
        <v>45.0</v>
      </c>
      <c r="C265" s="285" t="str">
        <f t="shared" si="1"/>
        <v>8 45</v>
      </c>
      <c r="D265" s="285" t="s">
        <v>8920</v>
      </c>
    </row>
    <row r="266">
      <c r="A266" s="283">
        <v>8.0</v>
      </c>
      <c r="B266" s="284">
        <v>47.0</v>
      </c>
      <c r="C266" s="285" t="str">
        <f t="shared" si="1"/>
        <v>8 47</v>
      </c>
      <c r="D266" s="285" t="s">
        <v>8921</v>
      </c>
    </row>
    <row r="267">
      <c r="A267" s="283">
        <v>8.0</v>
      </c>
      <c r="B267" s="284">
        <v>49.0</v>
      </c>
      <c r="C267" s="285" t="str">
        <f t="shared" si="1"/>
        <v>8 49</v>
      </c>
      <c r="D267" s="285" t="s">
        <v>8922</v>
      </c>
    </row>
    <row r="268">
      <c r="A268" s="283">
        <v>8.0</v>
      </c>
      <c r="B268" s="284">
        <v>51.0</v>
      </c>
      <c r="C268" s="285" t="str">
        <f t="shared" si="1"/>
        <v>8 51</v>
      </c>
      <c r="D268" s="285" t="s">
        <v>8923</v>
      </c>
    </row>
    <row r="269">
      <c r="A269" s="283">
        <v>8.0</v>
      </c>
      <c r="B269" s="284">
        <v>53.0</v>
      </c>
      <c r="C269" s="285" t="str">
        <f t="shared" si="1"/>
        <v>8 53</v>
      </c>
      <c r="D269" s="285" t="s">
        <v>8924</v>
      </c>
    </row>
    <row r="270">
      <c r="A270" s="283">
        <v>8.0</v>
      </c>
      <c r="B270" s="284">
        <v>55.0</v>
      </c>
      <c r="C270" s="285" t="str">
        <f t="shared" si="1"/>
        <v>8 55</v>
      </c>
      <c r="D270" s="285" t="s">
        <v>8925</v>
      </c>
    </row>
    <row r="271">
      <c r="A271" s="283">
        <v>8.0</v>
      </c>
      <c r="B271" s="284">
        <v>57.0</v>
      </c>
      <c r="C271" s="285" t="str">
        <f t="shared" si="1"/>
        <v>8 57</v>
      </c>
      <c r="D271" s="285" t="s">
        <v>8926</v>
      </c>
    </row>
    <row r="272">
      <c r="A272" s="283">
        <v>8.0</v>
      </c>
      <c r="B272" s="284">
        <v>59.0</v>
      </c>
      <c r="C272" s="285" t="str">
        <f t="shared" si="1"/>
        <v>8 59</v>
      </c>
      <c r="D272" s="285" t="s">
        <v>8927</v>
      </c>
    </row>
    <row r="273">
      <c r="A273" s="283">
        <v>8.0</v>
      </c>
      <c r="B273" s="284">
        <v>61.0</v>
      </c>
      <c r="C273" s="285" t="str">
        <f t="shared" si="1"/>
        <v>8 61</v>
      </c>
      <c r="D273" s="285" t="s">
        <v>8928</v>
      </c>
    </row>
    <row r="274">
      <c r="A274" s="283">
        <v>8.0</v>
      </c>
      <c r="B274" s="284">
        <v>63.0</v>
      </c>
      <c r="C274" s="285" t="str">
        <f t="shared" si="1"/>
        <v>8 63</v>
      </c>
      <c r="D274" s="285" t="s">
        <v>8929</v>
      </c>
    </row>
    <row r="275">
      <c r="A275" s="283">
        <v>8.0</v>
      </c>
      <c r="B275" s="284">
        <v>65.0</v>
      </c>
      <c r="C275" s="285" t="str">
        <f t="shared" si="1"/>
        <v>8 65</v>
      </c>
      <c r="D275" s="285" t="s">
        <v>8930</v>
      </c>
    </row>
    <row r="276">
      <c r="A276" s="283">
        <v>8.0</v>
      </c>
      <c r="B276" s="284">
        <v>67.0</v>
      </c>
      <c r="C276" s="285" t="str">
        <f t="shared" si="1"/>
        <v>8 67</v>
      </c>
      <c r="D276" s="285" t="s">
        <v>8931</v>
      </c>
    </row>
    <row r="277">
      <c r="A277" s="283">
        <v>8.0</v>
      </c>
      <c r="B277" s="284">
        <v>69.0</v>
      </c>
      <c r="C277" s="285" t="str">
        <f t="shared" si="1"/>
        <v>8 69</v>
      </c>
      <c r="D277" s="285" t="s">
        <v>8932</v>
      </c>
    </row>
    <row r="278">
      <c r="A278" s="283">
        <v>8.0</v>
      </c>
      <c r="B278" s="284">
        <v>71.0</v>
      </c>
      <c r="C278" s="285" t="str">
        <f t="shared" si="1"/>
        <v>8 71</v>
      </c>
      <c r="D278" s="285" t="s">
        <v>8933</v>
      </c>
    </row>
    <row r="279">
      <c r="A279" s="283">
        <v>8.0</v>
      </c>
      <c r="B279" s="284">
        <v>73.0</v>
      </c>
      <c r="C279" s="285" t="str">
        <f t="shared" si="1"/>
        <v>8 73</v>
      </c>
      <c r="D279" s="285" t="s">
        <v>8934</v>
      </c>
    </row>
    <row r="280">
      <c r="A280" s="283">
        <v>8.0</v>
      </c>
      <c r="B280" s="284">
        <v>75.0</v>
      </c>
      <c r="C280" s="285" t="str">
        <f t="shared" si="1"/>
        <v>8 75</v>
      </c>
      <c r="D280" s="285" t="s">
        <v>8935</v>
      </c>
    </row>
    <row r="281">
      <c r="A281" s="283">
        <v>8.0</v>
      </c>
      <c r="B281" s="284">
        <v>77.0</v>
      </c>
      <c r="C281" s="285" t="str">
        <f t="shared" si="1"/>
        <v>8 77</v>
      </c>
      <c r="D281" s="285" t="s">
        <v>8936</v>
      </c>
    </row>
    <row r="282">
      <c r="A282" s="283">
        <v>8.0</v>
      </c>
      <c r="B282" s="284">
        <v>79.0</v>
      </c>
      <c r="C282" s="285" t="str">
        <f t="shared" si="1"/>
        <v>8 79</v>
      </c>
      <c r="D282" s="285" t="s">
        <v>8937</v>
      </c>
    </row>
    <row r="283">
      <c r="A283" s="283">
        <v>8.0</v>
      </c>
      <c r="B283" s="284">
        <v>81.0</v>
      </c>
      <c r="C283" s="285" t="str">
        <f t="shared" si="1"/>
        <v>8 81</v>
      </c>
      <c r="D283" s="285" t="s">
        <v>8938</v>
      </c>
    </row>
    <row r="284">
      <c r="A284" s="283">
        <v>8.0</v>
      </c>
      <c r="B284" s="284">
        <v>83.0</v>
      </c>
      <c r="C284" s="285" t="str">
        <f t="shared" si="1"/>
        <v>8 83</v>
      </c>
      <c r="D284" s="285" t="s">
        <v>8939</v>
      </c>
    </row>
    <row r="285">
      <c r="A285" s="283">
        <v>8.0</v>
      </c>
      <c r="B285" s="284">
        <v>85.0</v>
      </c>
      <c r="C285" s="285" t="str">
        <f t="shared" si="1"/>
        <v>8 85</v>
      </c>
      <c r="D285" s="285" t="s">
        <v>8940</v>
      </c>
    </row>
    <row r="286">
      <c r="A286" s="283">
        <v>8.0</v>
      </c>
      <c r="B286" s="284">
        <v>87.0</v>
      </c>
      <c r="C286" s="285" t="str">
        <f t="shared" si="1"/>
        <v>8 87</v>
      </c>
      <c r="D286" s="285" t="s">
        <v>8941</v>
      </c>
    </row>
    <row r="287">
      <c r="A287" s="283">
        <v>8.0</v>
      </c>
      <c r="B287" s="284">
        <v>89.0</v>
      </c>
      <c r="C287" s="285" t="str">
        <f t="shared" si="1"/>
        <v>8 89</v>
      </c>
      <c r="D287" s="285" t="s">
        <v>8942</v>
      </c>
    </row>
    <row r="288">
      <c r="A288" s="283">
        <v>8.0</v>
      </c>
      <c r="B288" s="284">
        <v>91.0</v>
      </c>
      <c r="C288" s="285" t="str">
        <f t="shared" si="1"/>
        <v>8 91</v>
      </c>
      <c r="D288" s="285" t="s">
        <v>8943</v>
      </c>
    </row>
    <row r="289">
      <c r="A289" s="283">
        <v>8.0</v>
      </c>
      <c r="B289" s="284">
        <v>93.0</v>
      </c>
      <c r="C289" s="285" t="str">
        <f t="shared" si="1"/>
        <v>8 93</v>
      </c>
      <c r="D289" s="285" t="s">
        <v>8944</v>
      </c>
    </row>
    <row r="290">
      <c r="A290" s="283">
        <v>8.0</v>
      </c>
      <c r="B290" s="284">
        <v>95.0</v>
      </c>
      <c r="C290" s="285" t="str">
        <f t="shared" si="1"/>
        <v>8 95</v>
      </c>
      <c r="D290" s="285" t="s">
        <v>8945</v>
      </c>
    </row>
    <row r="291">
      <c r="A291" s="283">
        <v>8.0</v>
      </c>
      <c r="B291" s="284">
        <v>97.0</v>
      </c>
      <c r="C291" s="285" t="str">
        <f t="shared" si="1"/>
        <v>8 97</v>
      </c>
      <c r="D291" s="285" t="s">
        <v>8946</v>
      </c>
    </row>
    <row r="292">
      <c r="A292" s="283">
        <v>8.0</v>
      </c>
      <c r="B292" s="284">
        <v>99.0</v>
      </c>
      <c r="C292" s="285" t="str">
        <f t="shared" si="1"/>
        <v>8 99</v>
      </c>
      <c r="D292" s="285" t="s">
        <v>8947</v>
      </c>
    </row>
    <row r="293">
      <c r="A293" s="283">
        <v>8.0</v>
      </c>
      <c r="B293" s="284">
        <v>101.0</v>
      </c>
      <c r="C293" s="285" t="str">
        <f t="shared" si="1"/>
        <v>8 101</v>
      </c>
      <c r="D293" s="285" t="s">
        <v>8948</v>
      </c>
    </row>
    <row r="294">
      <c r="A294" s="283">
        <v>8.0</v>
      </c>
      <c r="B294" s="284">
        <v>103.0</v>
      </c>
      <c r="C294" s="285" t="str">
        <f t="shared" si="1"/>
        <v>8 103</v>
      </c>
      <c r="D294" s="285" t="s">
        <v>8949</v>
      </c>
    </row>
    <row r="295">
      <c r="A295" s="283">
        <v>8.0</v>
      </c>
      <c r="B295" s="284">
        <v>105.0</v>
      </c>
      <c r="C295" s="285" t="str">
        <f t="shared" si="1"/>
        <v>8 105</v>
      </c>
      <c r="D295" s="285" t="s">
        <v>8950</v>
      </c>
    </row>
    <row r="296">
      <c r="A296" s="283">
        <v>8.0</v>
      </c>
      <c r="B296" s="284">
        <v>107.0</v>
      </c>
      <c r="C296" s="285" t="str">
        <f t="shared" si="1"/>
        <v>8 107</v>
      </c>
      <c r="D296" s="285" t="s">
        <v>8951</v>
      </c>
    </row>
    <row r="297">
      <c r="A297" s="283">
        <v>8.0</v>
      </c>
      <c r="B297" s="284">
        <v>109.0</v>
      </c>
      <c r="C297" s="285" t="str">
        <f t="shared" si="1"/>
        <v>8 109</v>
      </c>
      <c r="D297" s="285" t="s">
        <v>8952</v>
      </c>
    </row>
    <row r="298">
      <c r="A298" s="283">
        <v>8.0</v>
      </c>
      <c r="B298" s="284">
        <v>111.0</v>
      </c>
      <c r="C298" s="285" t="str">
        <f t="shared" si="1"/>
        <v>8 111</v>
      </c>
      <c r="D298" s="285" t="s">
        <v>8953</v>
      </c>
    </row>
    <row r="299">
      <c r="A299" s="283">
        <v>8.0</v>
      </c>
      <c r="B299" s="284">
        <v>113.0</v>
      </c>
      <c r="C299" s="285" t="str">
        <f t="shared" si="1"/>
        <v>8 113</v>
      </c>
      <c r="D299" s="285" t="s">
        <v>8954</v>
      </c>
    </row>
    <row r="300">
      <c r="A300" s="283">
        <v>8.0</v>
      </c>
      <c r="B300" s="284">
        <v>115.0</v>
      </c>
      <c r="C300" s="285" t="str">
        <f t="shared" si="1"/>
        <v>8 115</v>
      </c>
      <c r="D300" s="285" t="s">
        <v>8955</v>
      </c>
    </row>
    <row r="301">
      <c r="A301" s="283">
        <v>8.0</v>
      </c>
      <c r="B301" s="284">
        <v>117.0</v>
      </c>
      <c r="C301" s="285" t="str">
        <f t="shared" si="1"/>
        <v>8 117</v>
      </c>
      <c r="D301" s="285" t="s">
        <v>8956</v>
      </c>
    </row>
    <row r="302">
      <c r="A302" s="283">
        <v>8.0</v>
      </c>
      <c r="B302" s="284">
        <v>119.0</v>
      </c>
      <c r="C302" s="285" t="str">
        <f t="shared" si="1"/>
        <v>8 119</v>
      </c>
      <c r="D302" s="285" t="s">
        <v>8957</v>
      </c>
    </row>
    <row r="303">
      <c r="A303" s="283">
        <v>8.0</v>
      </c>
      <c r="B303" s="284">
        <v>121.0</v>
      </c>
      <c r="C303" s="285" t="str">
        <f t="shared" si="1"/>
        <v>8 121</v>
      </c>
      <c r="D303" s="285" t="s">
        <v>8958</v>
      </c>
    </row>
    <row r="304">
      <c r="A304" s="283">
        <v>8.0</v>
      </c>
      <c r="B304" s="284">
        <v>123.0</v>
      </c>
      <c r="C304" s="285" t="str">
        <f t="shared" si="1"/>
        <v>8 123</v>
      </c>
      <c r="D304" s="285" t="s">
        <v>8959</v>
      </c>
    </row>
    <row r="305">
      <c r="A305" s="283">
        <v>8.0</v>
      </c>
      <c r="B305" s="284">
        <v>125.0</v>
      </c>
      <c r="C305" s="285" t="str">
        <f t="shared" si="1"/>
        <v>8 125</v>
      </c>
      <c r="D305" s="285" t="s">
        <v>8960</v>
      </c>
    </row>
    <row r="306">
      <c r="A306" s="283">
        <v>9.0</v>
      </c>
      <c r="B306" s="284">
        <v>1.0</v>
      </c>
      <c r="C306" s="285" t="str">
        <f t="shared" si="1"/>
        <v>9 1</v>
      </c>
      <c r="D306" s="285" t="s">
        <v>8961</v>
      </c>
    </row>
    <row r="307">
      <c r="A307" s="283">
        <v>9.0</v>
      </c>
      <c r="B307" s="284">
        <v>3.0</v>
      </c>
      <c r="C307" s="285" t="str">
        <f t="shared" si="1"/>
        <v>9 3</v>
      </c>
      <c r="D307" s="285" t="s">
        <v>8962</v>
      </c>
    </row>
    <row r="308">
      <c r="A308" s="283">
        <v>9.0</v>
      </c>
      <c r="B308" s="284">
        <v>5.0</v>
      </c>
      <c r="C308" s="285" t="str">
        <f t="shared" si="1"/>
        <v>9 5</v>
      </c>
      <c r="D308" s="285" t="s">
        <v>8963</v>
      </c>
    </row>
    <row r="309">
      <c r="A309" s="283">
        <v>9.0</v>
      </c>
      <c r="B309" s="284">
        <v>7.0</v>
      </c>
      <c r="C309" s="285" t="str">
        <f t="shared" si="1"/>
        <v>9 7</v>
      </c>
      <c r="D309" s="285" t="s">
        <v>8964</v>
      </c>
    </row>
    <row r="310">
      <c r="A310" s="283">
        <v>9.0</v>
      </c>
      <c r="B310" s="284">
        <v>9.0</v>
      </c>
      <c r="C310" s="285" t="str">
        <f t="shared" si="1"/>
        <v>9 9</v>
      </c>
      <c r="D310" s="285" t="s">
        <v>8965</v>
      </c>
    </row>
    <row r="311">
      <c r="A311" s="283">
        <v>9.0</v>
      </c>
      <c r="B311" s="284">
        <v>11.0</v>
      </c>
      <c r="C311" s="285" t="str">
        <f t="shared" si="1"/>
        <v>9 11</v>
      </c>
      <c r="D311" s="285" t="s">
        <v>8966</v>
      </c>
    </row>
    <row r="312">
      <c r="A312" s="283">
        <v>9.0</v>
      </c>
      <c r="B312" s="284">
        <v>13.0</v>
      </c>
      <c r="C312" s="285" t="str">
        <f t="shared" si="1"/>
        <v>9 13</v>
      </c>
      <c r="D312" s="285" t="s">
        <v>8967</v>
      </c>
    </row>
    <row r="313">
      <c r="A313" s="283">
        <v>9.0</v>
      </c>
      <c r="B313" s="284">
        <v>15.0</v>
      </c>
      <c r="C313" s="285" t="str">
        <f t="shared" si="1"/>
        <v>9 15</v>
      </c>
      <c r="D313" s="285" t="s">
        <v>8968</v>
      </c>
    </row>
    <row r="314">
      <c r="A314" s="283">
        <v>10.0</v>
      </c>
      <c r="B314" s="284">
        <v>1.0</v>
      </c>
      <c r="C314" s="285" t="str">
        <f t="shared" si="1"/>
        <v>10 1</v>
      </c>
      <c r="D314" s="285" t="s">
        <v>8969</v>
      </c>
    </row>
    <row r="315">
      <c r="A315" s="283">
        <v>10.0</v>
      </c>
      <c r="B315" s="284">
        <v>3.0</v>
      </c>
      <c r="C315" s="285" t="str">
        <f t="shared" si="1"/>
        <v>10 3</v>
      </c>
      <c r="D315" s="285" t="s">
        <v>8970</v>
      </c>
    </row>
    <row r="316">
      <c r="A316" s="283">
        <v>10.0</v>
      </c>
      <c r="B316" s="284">
        <v>5.0</v>
      </c>
      <c r="C316" s="285" t="str">
        <f t="shared" si="1"/>
        <v>10 5</v>
      </c>
      <c r="D316" s="285" t="s">
        <v>8971</v>
      </c>
    </row>
    <row r="317">
      <c r="A317" s="283">
        <v>11.0</v>
      </c>
      <c r="B317" s="284">
        <v>1.0</v>
      </c>
      <c r="C317" s="285" t="str">
        <f t="shared" si="1"/>
        <v>11 1</v>
      </c>
      <c r="D317" s="285" t="s">
        <v>8972</v>
      </c>
    </row>
    <row r="318">
      <c r="A318" s="283">
        <v>11.0</v>
      </c>
      <c r="B318" s="284">
        <v>31.0</v>
      </c>
      <c r="C318" s="285" t="str">
        <f t="shared" si="1"/>
        <v>11 31</v>
      </c>
      <c r="D318" s="285" t="s">
        <v>8973</v>
      </c>
    </row>
    <row r="319">
      <c r="A319" s="283">
        <v>12.0</v>
      </c>
      <c r="B319" s="284">
        <v>1.0</v>
      </c>
      <c r="C319" s="285" t="str">
        <f t="shared" si="1"/>
        <v>12 1</v>
      </c>
      <c r="D319" s="285" t="s">
        <v>8974</v>
      </c>
    </row>
    <row r="320">
      <c r="A320" s="283">
        <v>12.0</v>
      </c>
      <c r="B320" s="284">
        <v>3.0</v>
      </c>
      <c r="C320" s="285" t="str">
        <f t="shared" si="1"/>
        <v>12 3</v>
      </c>
      <c r="D320" s="285" t="s">
        <v>8975</v>
      </c>
    </row>
    <row r="321">
      <c r="A321" s="283">
        <v>12.0</v>
      </c>
      <c r="B321" s="284">
        <v>5.0</v>
      </c>
      <c r="C321" s="285" t="str">
        <f t="shared" si="1"/>
        <v>12 5</v>
      </c>
      <c r="D321" s="285" t="s">
        <v>8976</v>
      </c>
    </row>
    <row r="322">
      <c r="A322" s="283">
        <v>12.0</v>
      </c>
      <c r="B322" s="284">
        <v>7.0</v>
      </c>
      <c r="C322" s="285" t="str">
        <f t="shared" si="1"/>
        <v>12 7</v>
      </c>
      <c r="D322" s="285" t="s">
        <v>8977</v>
      </c>
    </row>
    <row r="323">
      <c r="A323" s="283">
        <v>12.0</v>
      </c>
      <c r="B323" s="284">
        <v>9.0</v>
      </c>
      <c r="C323" s="285" t="str">
        <f t="shared" si="1"/>
        <v>12 9</v>
      </c>
      <c r="D323" s="285" t="s">
        <v>8978</v>
      </c>
    </row>
    <row r="324">
      <c r="A324" s="283">
        <v>12.0</v>
      </c>
      <c r="B324" s="284">
        <v>11.0</v>
      </c>
      <c r="C324" s="285" t="str">
        <f t="shared" si="1"/>
        <v>12 11</v>
      </c>
      <c r="D324" s="285" t="s">
        <v>8979</v>
      </c>
    </row>
    <row r="325">
      <c r="A325" s="283">
        <v>12.0</v>
      </c>
      <c r="B325" s="284">
        <v>13.0</v>
      </c>
      <c r="C325" s="285" t="str">
        <f t="shared" si="1"/>
        <v>12 13</v>
      </c>
      <c r="D325" s="285" t="s">
        <v>8980</v>
      </c>
    </row>
    <row r="326">
      <c r="A326" s="283">
        <v>12.0</v>
      </c>
      <c r="B326" s="284">
        <v>15.0</v>
      </c>
      <c r="C326" s="285" t="str">
        <f t="shared" si="1"/>
        <v>12 15</v>
      </c>
      <c r="D326" s="285" t="s">
        <v>8981</v>
      </c>
    </row>
    <row r="327">
      <c r="A327" s="283">
        <v>12.0</v>
      </c>
      <c r="B327" s="284">
        <v>17.0</v>
      </c>
      <c r="C327" s="285" t="str">
        <f t="shared" si="1"/>
        <v>12 17</v>
      </c>
      <c r="D327" s="285" t="s">
        <v>8982</v>
      </c>
    </row>
    <row r="328">
      <c r="A328" s="283">
        <v>12.0</v>
      </c>
      <c r="B328" s="284">
        <v>19.0</v>
      </c>
      <c r="C328" s="285" t="str">
        <f t="shared" si="1"/>
        <v>12 19</v>
      </c>
      <c r="D328" s="285" t="s">
        <v>8983</v>
      </c>
    </row>
    <row r="329">
      <c r="A329" s="283">
        <v>12.0</v>
      </c>
      <c r="B329" s="284">
        <v>21.0</v>
      </c>
      <c r="C329" s="285" t="str">
        <f t="shared" si="1"/>
        <v>12 21</v>
      </c>
      <c r="D329" s="285" t="s">
        <v>8984</v>
      </c>
    </row>
    <row r="330">
      <c r="A330" s="283">
        <v>12.0</v>
      </c>
      <c r="B330" s="284">
        <v>23.0</v>
      </c>
      <c r="C330" s="285" t="str">
        <f t="shared" si="1"/>
        <v>12 23</v>
      </c>
      <c r="D330" s="285" t="s">
        <v>8985</v>
      </c>
    </row>
    <row r="331">
      <c r="A331" s="283">
        <v>12.0</v>
      </c>
      <c r="B331" s="284">
        <v>27.0</v>
      </c>
      <c r="C331" s="285" t="str">
        <f t="shared" si="1"/>
        <v>12 27</v>
      </c>
      <c r="D331" s="285" t="s">
        <v>8986</v>
      </c>
    </row>
    <row r="332">
      <c r="A332" s="283">
        <v>12.0</v>
      </c>
      <c r="B332" s="284">
        <v>29.0</v>
      </c>
      <c r="C332" s="285" t="str">
        <f t="shared" si="1"/>
        <v>12 29</v>
      </c>
      <c r="D332" s="285" t="s">
        <v>8987</v>
      </c>
    </row>
    <row r="333">
      <c r="A333" s="283">
        <v>12.0</v>
      </c>
      <c r="B333" s="284">
        <v>31.0</v>
      </c>
      <c r="C333" s="285" t="str">
        <f t="shared" si="1"/>
        <v>12 31</v>
      </c>
      <c r="D333" s="285" t="s">
        <v>8988</v>
      </c>
    </row>
    <row r="334">
      <c r="A334" s="283">
        <v>12.0</v>
      </c>
      <c r="B334" s="284">
        <v>33.0</v>
      </c>
      <c r="C334" s="285" t="str">
        <f t="shared" si="1"/>
        <v>12 33</v>
      </c>
      <c r="D334" s="285" t="s">
        <v>8989</v>
      </c>
    </row>
    <row r="335">
      <c r="A335" s="283">
        <v>12.0</v>
      </c>
      <c r="B335" s="284">
        <v>35.0</v>
      </c>
      <c r="C335" s="285" t="str">
        <f t="shared" si="1"/>
        <v>12 35</v>
      </c>
      <c r="D335" s="285" t="s">
        <v>8990</v>
      </c>
    </row>
    <row r="336">
      <c r="A336" s="283">
        <v>12.0</v>
      </c>
      <c r="B336" s="284">
        <v>37.0</v>
      </c>
      <c r="C336" s="285" t="str">
        <f t="shared" si="1"/>
        <v>12 37</v>
      </c>
      <c r="D336" s="285" t="s">
        <v>8991</v>
      </c>
    </row>
    <row r="337">
      <c r="A337" s="283">
        <v>12.0</v>
      </c>
      <c r="B337" s="284">
        <v>39.0</v>
      </c>
      <c r="C337" s="285" t="str">
        <f t="shared" si="1"/>
        <v>12 39</v>
      </c>
      <c r="D337" s="285" t="s">
        <v>8992</v>
      </c>
    </row>
    <row r="338">
      <c r="A338" s="283">
        <v>12.0</v>
      </c>
      <c r="B338" s="284">
        <v>41.0</v>
      </c>
      <c r="C338" s="285" t="str">
        <f t="shared" si="1"/>
        <v>12 41</v>
      </c>
      <c r="D338" s="285" t="s">
        <v>8993</v>
      </c>
    </row>
    <row r="339">
      <c r="A339" s="283">
        <v>12.0</v>
      </c>
      <c r="B339" s="284">
        <v>43.0</v>
      </c>
      <c r="C339" s="285" t="str">
        <f t="shared" si="1"/>
        <v>12 43</v>
      </c>
      <c r="D339" s="285" t="s">
        <v>8994</v>
      </c>
    </row>
    <row r="340">
      <c r="A340" s="283">
        <v>12.0</v>
      </c>
      <c r="B340" s="284">
        <v>45.0</v>
      </c>
      <c r="C340" s="285" t="str">
        <f t="shared" si="1"/>
        <v>12 45</v>
      </c>
      <c r="D340" s="285" t="s">
        <v>8995</v>
      </c>
    </row>
    <row r="341">
      <c r="A341" s="283">
        <v>12.0</v>
      </c>
      <c r="B341" s="284">
        <v>47.0</v>
      </c>
      <c r="C341" s="285" t="str">
        <f t="shared" si="1"/>
        <v>12 47</v>
      </c>
      <c r="D341" s="285" t="s">
        <v>8996</v>
      </c>
    </row>
    <row r="342">
      <c r="A342" s="283">
        <v>12.0</v>
      </c>
      <c r="B342" s="284">
        <v>49.0</v>
      </c>
      <c r="C342" s="285" t="str">
        <f t="shared" si="1"/>
        <v>12 49</v>
      </c>
      <c r="D342" s="285" t="s">
        <v>8997</v>
      </c>
    </row>
    <row r="343">
      <c r="A343" s="283">
        <v>12.0</v>
      </c>
      <c r="B343" s="284">
        <v>51.0</v>
      </c>
      <c r="C343" s="285" t="str">
        <f t="shared" si="1"/>
        <v>12 51</v>
      </c>
      <c r="D343" s="285" t="s">
        <v>8998</v>
      </c>
    </row>
    <row r="344">
      <c r="A344" s="283">
        <v>12.0</v>
      </c>
      <c r="B344" s="284">
        <v>53.0</v>
      </c>
      <c r="C344" s="285" t="str">
        <f t="shared" si="1"/>
        <v>12 53</v>
      </c>
      <c r="D344" s="285" t="s">
        <v>8999</v>
      </c>
    </row>
    <row r="345">
      <c r="A345" s="283">
        <v>12.0</v>
      </c>
      <c r="B345" s="284">
        <v>55.0</v>
      </c>
      <c r="C345" s="285" t="str">
        <f t="shared" si="1"/>
        <v>12 55</v>
      </c>
      <c r="D345" s="285" t="s">
        <v>9000</v>
      </c>
    </row>
    <row r="346">
      <c r="A346" s="283">
        <v>12.0</v>
      </c>
      <c r="B346" s="284">
        <v>57.0</v>
      </c>
      <c r="C346" s="285" t="str">
        <f t="shared" si="1"/>
        <v>12 57</v>
      </c>
      <c r="D346" s="285" t="s">
        <v>9001</v>
      </c>
    </row>
    <row r="347">
      <c r="A347" s="283">
        <v>12.0</v>
      </c>
      <c r="B347" s="284">
        <v>59.0</v>
      </c>
      <c r="C347" s="285" t="str">
        <f t="shared" si="1"/>
        <v>12 59</v>
      </c>
      <c r="D347" s="285" t="s">
        <v>9002</v>
      </c>
    </row>
    <row r="348">
      <c r="A348" s="283">
        <v>12.0</v>
      </c>
      <c r="B348" s="284">
        <v>61.0</v>
      </c>
      <c r="C348" s="285" t="str">
        <f t="shared" si="1"/>
        <v>12 61</v>
      </c>
      <c r="D348" s="285" t="s">
        <v>9003</v>
      </c>
    </row>
    <row r="349">
      <c r="A349" s="283">
        <v>12.0</v>
      </c>
      <c r="B349" s="284">
        <v>63.0</v>
      </c>
      <c r="C349" s="285" t="str">
        <f t="shared" si="1"/>
        <v>12 63</v>
      </c>
      <c r="D349" s="285" t="s">
        <v>9004</v>
      </c>
    </row>
    <row r="350">
      <c r="A350" s="283">
        <v>12.0</v>
      </c>
      <c r="B350" s="284">
        <v>65.0</v>
      </c>
      <c r="C350" s="285" t="str">
        <f t="shared" si="1"/>
        <v>12 65</v>
      </c>
      <c r="D350" s="285" t="s">
        <v>9005</v>
      </c>
    </row>
    <row r="351">
      <c r="A351" s="283">
        <v>12.0</v>
      </c>
      <c r="B351" s="284">
        <v>67.0</v>
      </c>
      <c r="C351" s="285" t="str">
        <f t="shared" si="1"/>
        <v>12 67</v>
      </c>
      <c r="D351" s="285" t="s">
        <v>9006</v>
      </c>
    </row>
    <row r="352">
      <c r="A352" s="283">
        <v>12.0</v>
      </c>
      <c r="B352" s="284">
        <v>69.0</v>
      </c>
      <c r="C352" s="285" t="str">
        <f t="shared" si="1"/>
        <v>12 69</v>
      </c>
      <c r="D352" s="285" t="s">
        <v>9007</v>
      </c>
    </row>
    <row r="353">
      <c r="A353" s="283">
        <v>12.0</v>
      </c>
      <c r="B353" s="284">
        <v>71.0</v>
      </c>
      <c r="C353" s="285" t="str">
        <f t="shared" si="1"/>
        <v>12 71</v>
      </c>
      <c r="D353" s="285" t="s">
        <v>9008</v>
      </c>
    </row>
    <row r="354">
      <c r="A354" s="283">
        <v>12.0</v>
      </c>
      <c r="B354" s="284">
        <v>73.0</v>
      </c>
      <c r="C354" s="285" t="str">
        <f t="shared" si="1"/>
        <v>12 73</v>
      </c>
      <c r="D354" s="285" t="s">
        <v>9009</v>
      </c>
    </row>
    <row r="355">
      <c r="A355" s="283">
        <v>12.0</v>
      </c>
      <c r="B355" s="284">
        <v>75.0</v>
      </c>
      <c r="C355" s="285" t="str">
        <f t="shared" si="1"/>
        <v>12 75</v>
      </c>
      <c r="D355" s="285" t="s">
        <v>9010</v>
      </c>
    </row>
    <row r="356">
      <c r="A356" s="283">
        <v>12.0</v>
      </c>
      <c r="B356" s="284">
        <v>77.0</v>
      </c>
      <c r="C356" s="285" t="str">
        <f t="shared" si="1"/>
        <v>12 77</v>
      </c>
      <c r="D356" s="285" t="s">
        <v>9011</v>
      </c>
    </row>
    <row r="357">
      <c r="A357" s="283">
        <v>12.0</v>
      </c>
      <c r="B357" s="284">
        <v>79.0</v>
      </c>
      <c r="C357" s="285" t="str">
        <f t="shared" si="1"/>
        <v>12 79</v>
      </c>
      <c r="D357" s="285" t="s">
        <v>9012</v>
      </c>
    </row>
    <row r="358">
      <c r="A358" s="283">
        <v>12.0</v>
      </c>
      <c r="B358" s="284">
        <v>81.0</v>
      </c>
      <c r="C358" s="285" t="str">
        <f t="shared" si="1"/>
        <v>12 81</v>
      </c>
      <c r="D358" s="285" t="s">
        <v>9013</v>
      </c>
    </row>
    <row r="359">
      <c r="A359" s="283">
        <v>12.0</v>
      </c>
      <c r="B359" s="284">
        <v>83.0</v>
      </c>
      <c r="C359" s="285" t="str">
        <f t="shared" si="1"/>
        <v>12 83</v>
      </c>
      <c r="D359" s="285" t="s">
        <v>9014</v>
      </c>
    </row>
    <row r="360">
      <c r="A360" s="283">
        <v>12.0</v>
      </c>
      <c r="B360" s="284">
        <v>85.0</v>
      </c>
      <c r="C360" s="285" t="str">
        <f t="shared" si="1"/>
        <v>12 85</v>
      </c>
      <c r="D360" s="285" t="s">
        <v>9015</v>
      </c>
    </row>
    <row r="361">
      <c r="A361" s="283">
        <v>12.0</v>
      </c>
      <c r="B361" s="284">
        <v>86.0</v>
      </c>
      <c r="C361" s="285" t="str">
        <f t="shared" si="1"/>
        <v>12 86</v>
      </c>
      <c r="D361" s="285" t="s">
        <v>9016</v>
      </c>
    </row>
    <row r="362">
      <c r="A362" s="283">
        <v>12.0</v>
      </c>
      <c r="B362" s="284">
        <v>87.0</v>
      </c>
      <c r="C362" s="285" t="str">
        <f t="shared" si="1"/>
        <v>12 87</v>
      </c>
      <c r="D362" s="285" t="s">
        <v>9017</v>
      </c>
    </row>
    <row r="363">
      <c r="A363" s="283">
        <v>12.0</v>
      </c>
      <c r="B363" s="284">
        <v>89.0</v>
      </c>
      <c r="C363" s="285" t="str">
        <f t="shared" si="1"/>
        <v>12 89</v>
      </c>
      <c r="D363" s="285" t="s">
        <v>9018</v>
      </c>
    </row>
    <row r="364">
      <c r="A364" s="283">
        <v>12.0</v>
      </c>
      <c r="B364" s="284">
        <v>91.0</v>
      </c>
      <c r="C364" s="285" t="str">
        <f t="shared" si="1"/>
        <v>12 91</v>
      </c>
      <c r="D364" s="285" t="s">
        <v>9019</v>
      </c>
    </row>
    <row r="365">
      <c r="A365" s="283">
        <v>12.0</v>
      </c>
      <c r="B365" s="284">
        <v>93.0</v>
      </c>
      <c r="C365" s="285" t="str">
        <f t="shared" si="1"/>
        <v>12 93</v>
      </c>
      <c r="D365" s="285" t="s">
        <v>9020</v>
      </c>
    </row>
    <row r="366">
      <c r="A366" s="283">
        <v>12.0</v>
      </c>
      <c r="B366" s="284">
        <v>95.0</v>
      </c>
      <c r="C366" s="285" t="str">
        <f t="shared" si="1"/>
        <v>12 95</v>
      </c>
      <c r="D366" s="285" t="s">
        <v>9021</v>
      </c>
    </row>
    <row r="367">
      <c r="A367" s="283">
        <v>12.0</v>
      </c>
      <c r="B367" s="284">
        <v>97.0</v>
      </c>
      <c r="C367" s="285" t="str">
        <f t="shared" si="1"/>
        <v>12 97</v>
      </c>
      <c r="D367" s="285" t="s">
        <v>9022</v>
      </c>
    </row>
    <row r="368">
      <c r="A368" s="283">
        <v>12.0</v>
      </c>
      <c r="B368" s="284">
        <v>99.0</v>
      </c>
      <c r="C368" s="285" t="str">
        <f t="shared" si="1"/>
        <v>12 99</v>
      </c>
      <c r="D368" s="285" t="s">
        <v>9023</v>
      </c>
    </row>
    <row r="369">
      <c r="A369" s="283">
        <v>12.0</v>
      </c>
      <c r="B369" s="284">
        <v>101.0</v>
      </c>
      <c r="C369" s="285" t="str">
        <f t="shared" si="1"/>
        <v>12 101</v>
      </c>
      <c r="D369" s="285" t="s">
        <v>9024</v>
      </c>
    </row>
    <row r="370">
      <c r="A370" s="283">
        <v>12.0</v>
      </c>
      <c r="B370" s="284">
        <v>103.0</v>
      </c>
      <c r="C370" s="285" t="str">
        <f t="shared" si="1"/>
        <v>12 103</v>
      </c>
      <c r="D370" s="285" t="s">
        <v>9025</v>
      </c>
    </row>
    <row r="371">
      <c r="A371" s="283">
        <v>12.0</v>
      </c>
      <c r="B371" s="284">
        <v>105.0</v>
      </c>
      <c r="C371" s="285" t="str">
        <f t="shared" si="1"/>
        <v>12 105</v>
      </c>
      <c r="D371" s="285" t="s">
        <v>9026</v>
      </c>
    </row>
    <row r="372">
      <c r="A372" s="283">
        <v>12.0</v>
      </c>
      <c r="B372" s="284">
        <v>107.0</v>
      </c>
      <c r="C372" s="285" t="str">
        <f t="shared" si="1"/>
        <v>12 107</v>
      </c>
      <c r="D372" s="285" t="s">
        <v>9027</v>
      </c>
    </row>
    <row r="373">
      <c r="A373" s="283">
        <v>12.0</v>
      </c>
      <c r="B373" s="284">
        <v>109.0</v>
      </c>
      <c r="C373" s="285" t="str">
        <f t="shared" si="1"/>
        <v>12 109</v>
      </c>
      <c r="D373" s="285" t="s">
        <v>9028</v>
      </c>
    </row>
    <row r="374">
      <c r="A374" s="283">
        <v>12.0</v>
      </c>
      <c r="B374" s="284">
        <v>111.0</v>
      </c>
      <c r="C374" s="285" t="str">
        <f t="shared" si="1"/>
        <v>12 111</v>
      </c>
      <c r="D374" s="285" t="s">
        <v>9029</v>
      </c>
    </row>
    <row r="375">
      <c r="A375" s="283">
        <v>12.0</v>
      </c>
      <c r="B375" s="284">
        <v>113.0</v>
      </c>
      <c r="C375" s="285" t="str">
        <f t="shared" si="1"/>
        <v>12 113</v>
      </c>
      <c r="D375" s="285" t="s">
        <v>9030</v>
      </c>
    </row>
    <row r="376">
      <c r="A376" s="283">
        <v>12.0</v>
      </c>
      <c r="B376" s="284">
        <v>115.0</v>
      </c>
      <c r="C376" s="285" t="str">
        <f t="shared" si="1"/>
        <v>12 115</v>
      </c>
      <c r="D376" s="285" t="s">
        <v>9031</v>
      </c>
    </row>
    <row r="377">
      <c r="A377" s="283">
        <v>12.0</v>
      </c>
      <c r="B377" s="284">
        <v>117.0</v>
      </c>
      <c r="C377" s="285" t="str">
        <f t="shared" si="1"/>
        <v>12 117</v>
      </c>
      <c r="D377" s="285" t="s">
        <v>9032</v>
      </c>
    </row>
    <row r="378">
      <c r="A378" s="283">
        <v>12.0</v>
      </c>
      <c r="B378" s="284">
        <v>119.0</v>
      </c>
      <c r="C378" s="285" t="str">
        <f t="shared" si="1"/>
        <v>12 119</v>
      </c>
      <c r="D378" s="285" t="s">
        <v>9033</v>
      </c>
    </row>
    <row r="379">
      <c r="A379" s="283">
        <v>12.0</v>
      </c>
      <c r="B379" s="284">
        <v>121.0</v>
      </c>
      <c r="C379" s="285" t="str">
        <f t="shared" si="1"/>
        <v>12 121</v>
      </c>
      <c r="D379" s="285" t="s">
        <v>9034</v>
      </c>
    </row>
    <row r="380">
      <c r="A380" s="283">
        <v>12.0</v>
      </c>
      <c r="B380" s="284">
        <v>123.0</v>
      </c>
      <c r="C380" s="285" t="str">
        <f t="shared" si="1"/>
        <v>12 123</v>
      </c>
      <c r="D380" s="285" t="s">
        <v>9035</v>
      </c>
    </row>
    <row r="381">
      <c r="A381" s="283">
        <v>12.0</v>
      </c>
      <c r="B381" s="284">
        <v>125.0</v>
      </c>
      <c r="C381" s="285" t="str">
        <f t="shared" si="1"/>
        <v>12 125</v>
      </c>
      <c r="D381" s="285" t="s">
        <v>9036</v>
      </c>
    </row>
    <row r="382">
      <c r="A382" s="283">
        <v>12.0</v>
      </c>
      <c r="B382" s="284">
        <v>127.0</v>
      </c>
      <c r="C382" s="285" t="str">
        <f t="shared" si="1"/>
        <v>12 127</v>
      </c>
      <c r="D382" s="285" t="s">
        <v>9037</v>
      </c>
    </row>
    <row r="383">
      <c r="A383" s="283">
        <v>12.0</v>
      </c>
      <c r="B383" s="284">
        <v>129.0</v>
      </c>
      <c r="C383" s="285" t="str">
        <f t="shared" si="1"/>
        <v>12 129</v>
      </c>
      <c r="D383" s="285" t="s">
        <v>9038</v>
      </c>
    </row>
    <row r="384">
      <c r="A384" s="283">
        <v>12.0</v>
      </c>
      <c r="B384" s="284">
        <v>131.0</v>
      </c>
      <c r="C384" s="285" t="str">
        <f t="shared" si="1"/>
        <v>12 131</v>
      </c>
      <c r="D384" s="285" t="s">
        <v>9039</v>
      </c>
    </row>
    <row r="385">
      <c r="A385" s="283">
        <v>12.0</v>
      </c>
      <c r="B385" s="284">
        <v>133.0</v>
      </c>
      <c r="C385" s="285" t="str">
        <f t="shared" si="1"/>
        <v>12 133</v>
      </c>
      <c r="D385" s="285" t="s">
        <v>9040</v>
      </c>
    </row>
    <row r="386">
      <c r="A386" s="283">
        <v>13.0</v>
      </c>
      <c r="B386" s="284">
        <v>1.0</v>
      </c>
      <c r="C386" s="285" t="str">
        <f t="shared" si="1"/>
        <v>13 1</v>
      </c>
      <c r="D386" s="285" t="s">
        <v>9041</v>
      </c>
    </row>
    <row r="387">
      <c r="A387" s="283">
        <v>13.0</v>
      </c>
      <c r="B387" s="284">
        <v>3.0</v>
      </c>
      <c r="C387" s="285" t="str">
        <f t="shared" si="1"/>
        <v>13 3</v>
      </c>
      <c r="D387" s="285" t="s">
        <v>9042</v>
      </c>
    </row>
    <row r="388">
      <c r="A388" s="283">
        <v>13.0</v>
      </c>
      <c r="B388" s="284">
        <v>5.0</v>
      </c>
      <c r="C388" s="285" t="str">
        <f t="shared" si="1"/>
        <v>13 5</v>
      </c>
      <c r="D388" s="285" t="s">
        <v>9043</v>
      </c>
    </row>
    <row r="389">
      <c r="A389" s="283">
        <v>13.0</v>
      </c>
      <c r="B389" s="284">
        <v>7.0</v>
      </c>
      <c r="C389" s="285" t="str">
        <f t="shared" si="1"/>
        <v>13 7</v>
      </c>
      <c r="D389" s="285" t="s">
        <v>9044</v>
      </c>
    </row>
    <row r="390">
      <c r="A390" s="283">
        <v>13.0</v>
      </c>
      <c r="B390" s="284">
        <v>9.0</v>
      </c>
      <c r="C390" s="285" t="str">
        <f t="shared" si="1"/>
        <v>13 9</v>
      </c>
      <c r="D390" s="285" t="s">
        <v>9045</v>
      </c>
    </row>
    <row r="391">
      <c r="A391" s="283">
        <v>13.0</v>
      </c>
      <c r="B391" s="284">
        <v>11.0</v>
      </c>
      <c r="C391" s="285" t="str">
        <f t="shared" si="1"/>
        <v>13 11</v>
      </c>
      <c r="D391" s="285" t="s">
        <v>9046</v>
      </c>
    </row>
    <row r="392">
      <c r="A392" s="283">
        <v>13.0</v>
      </c>
      <c r="B392" s="284">
        <v>13.0</v>
      </c>
      <c r="C392" s="285" t="str">
        <f t="shared" si="1"/>
        <v>13 13</v>
      </c>
      <c r="D392" s="285" t="s">
        <v>9047</v>
      </c>
    </row>
    <row r="393">
      <c r="A393" s="283">
        <v>13.0</v>
      </c>
      <c r="B393" s="284">
        <v>15.0</v>
      </c>
      <c r="C393" s="285" t="str">
        <f t="shared" si="1"/>
        <v>13 15</v>
      </c>
      <c r="D393" s="285" t="s">
        <v>9048</v>
      </c>
    </row>
    <row r="394">
      <c r="A394" s="283">
        <v>13.0</v>
      </c>
      <c r="B394" s="284">
        <v>17.0</v>
      </c>
      <c r="C394" s="285" t="str">
        <f t="shared" si="1"/>
        <v>13 17</v>
      </c>
      <c r="D394" s="285" t="s">
        <v>9049</v>
      </c>
    </row>
    <row r="395">
      <c r="A395" s="283">
        <v>13.0</v>
      </c>
      <c r="B395" s="284">
        <v>19.0</v>
      </c>
      <c r="C395" s="285" t="str">
        <f t="shared" si="1"/>
        <v>13 19</v>
      </c>
      <c r="D395" s="285" t="s">
        <v>9050</v>
      </c>
    </row>
    <row r="396">
      <c r="A396" s="283">
        <v>13.0</v>
      </c>
      <c r="B396" s="284">
        <v>21.0</v>
      </c>
      <c r="C396" s="285" t="str">
        <f t="shared" si="1"/>
        <v>13 21</v>
      </c>
      <c r="D396" s="285" t="s">
        <v>9051</v>
      </c>
    </row>
    <row r="397">
      <c r="A397" s="283">
        <v>13.0</v>
      </c>
      <c r="B397" s="284">
        <v>23.0</v>
      </c>
      <c r="C397" s="285" t="str">
        <f t="shared" si="1"/>
        <v>13 23</v>
      </c>
      <c r="D397" s="285" t="s">
        <v>9052</v>
      </c>
    </row>
    <row r="398">
      <c r="A398" s="283">
        <v>13.0</v>
      </c>
      <c r="B398" s="284">
        <v>25.0</v>
      </c>
      <c r="C398" s="285" t="str">
        <f t="shared" si="1"/>
        <v>13 25</v>
      </c>
      <c r="D398" s="285" t="s">
        <v>9053</v>
      </c>
    </row>
    <row r="399">
      <c r="A399" s="283">
        <v>13.0</v>
      </c>
      <c r="B399" s="284">
        <v>27.0</v>
      </c>
      <c r="C399" s="285" t="str">
        <f t="shared" si="1"/>
        <v>13 27</v>
      </c>
      <c r="D399" s="285" t="s">
        <v>9054</v>
      </c>
    </row>
    <row r="400">
      <c r="A400" s="283">
        <v>13.0</v>
      </c>
      <c r="B400" s="284">
        <v>29.0</v>
      </c>
      <c r="C400" s="285" t="str">
        <f t="shared" si="1"/>
        <v>13 29</v>
      </c>
      <c r="D400" s="285" t="s">
        <v>9055</v>
      </c>
    </row>
    <row r="401">
      <c r="A401" s="283">
        <v>13.0</v>
      </c>
      <c r="B401" s="284">
        <v>31.0</v>
      </c>
      <c r="C401" s="285" t="str">
        <f t="shared" si="1"/>
        <v>13 31</v>
      </c>
      <c r="D401" s="285" t="s">
        <v>9056</v>
      </c>
    </row>
    <row r="402">
      <c r="A402" s="283">
        <v>13.0</v>
      </c>
      <c r="B402" s="284">
        <v>33.0</v>
      </c>
      <c r="C402" s="285" t="str">
        <f t="shared" si="1"/>
        <v>13 33</v>
      </c>
      <c r="D402" s="285" t="s">
        <v>9057</v>
      </c>
    </row>
    <row r="403">
      <c r="A403" s="283">
        <v>13.0</v>
      </c>
      <c r="B403" s="284">
        <v>35.0</v>
      </c>
      <c r="C403" s="285" t="str">
        <f t="shared" si="1"/>
        <v>13 35</v>
      </c>
      <c r="D403" s="285" t="s">
        <v>9058</v>
      </c>
    </row>
    <row r="404">
      <c r="A404" s="283">
        <v>13.0</v>
      </c>
      <c r="B404" s="284">
        <v>37.0</v>
      </c>
      <c r="C404" s="285" t="str">
        <f t="shared" si="1"/>
        <v>13 37</v>
      </c>
      <c r="D404" s="285" t="s">
        <v>9059</v>
      </c>
    </row>
    <row r="405">
      <c r="A405" s="283">
        <v>13.0</v>
      </c>
      <c r="B405" s="284">
        <v>39.0</v>
      </c>
      <c r="C405" s="285" t="str">
        <f t="shared" si="1"/>
        <v>13 39</v>
      </c>
      <c r="D405" s="285" t="s">
        <v>9060</v>
      </c>
    </row>
    <row r="406">
      <c r="A406" s="283">
        <v>13.0</v>
      </c>
      <c r="B406" s="284">
        <v>43.0</v>
      </c>
      <c r="C406" s="285" t="str">
        <f t="shared" si="1"/>
        <v>13 43</v>
      </c>
      <c r="D406" s="285" t="s">
        <v>9061</v>
      </c>
    </row>
    <row r="407">
      <c r="A407" s="283">
        <v>13.0</v>
      </c>
      <c r="B407" s="284">
        <v>45.0</v>
      </c>
      <c r="C407" s="285" t="str">
        <f t="shared" si="1"/>
        <v>13 45</v>
      </c>
      <c r="D407" s="285" t="s">
        <v>9062</v>
      </c>
    </row>
    <row r="408">
      <c r="A408" s="283">
        <v>13.0</v>
      </c>
      <c r="B408" s="284">
        <v>47.0</v>
      </c>
      <c r="C408" s="285" t="str">
        <f t="shared" si="1"/>
        <v>13 47</v>
      </c>
      <c r="D408" s="285" t="s">
        <v>9063</v>
      </c>
    </row>
    <row r="409">
      <c r="A409" s="283">
        <v>13.0</v>
      </c>
      <c r="B409" s="284">
        <v>49.0</v>
      </c>
      <c r="C409" s="285" t="str">
        <f t="shared" si="1"/>
        <v>13 49</v>
      </c>
      <c r="D409" s="285" t="s">
        <v>9064</v>
      </c>
    </row>
    <row r="410">
      <c r="A410" s="283">
        <v>13.0</v>
      </c>
      <c r="B410" s="284">
        <v>51.0</v>
      </c>
      <c r="C410" s="285" t="str">
        <f t="shared" si="1"/>
        <v>13 51</v>
      </c>
      <c r="D410" s="285" t="s">
        <v>9065</v>
      </c>
    </row>
    <row r="411">
      <c r="A411" s="283">
        <v>13.0</v>
      </c>
      <c r="B411" s="284">
        <v>53.0</v>
      </c>
      <c r="C411" s="285" t="str">
        <f t="shared" si="1"/>
        <v>13 53</v>
      </c>
      <c r="D411" s="285" t="s">
        <v>9066</v>
      </c>
    </row>
    <row r="412">
      <c r="A412" s="283">
        <v>13.0</v>
      </c>
      <c r="B412" s="284">
        <v>55.0</v>
      </c>
      <c r="C412" s="285" t="str">
        <f t="shared" si="1"/>
        <v>13 55</v>
      </c>
      <c r="D412" s="285" t="s">
        <v>9067</v>
      </c>
    </row>
    <row r="413">
      <c r="A413" s="283">
        <v>13.0</v>
      </c>
      <c r="B413" s="284">
        <v>57.0</v>
      </c>
      <c r="C413" s="285" t="str">
        <f t="shared" si="1"/>
        <v>13 57</v>
      </c>
      <c r="D413" s="285" t="s">
        <v>9068</v>
      </c>
    </row>
    <row r="414">
      <c r="A414" s="283">
        <v>13.0</v>
      </c>
      <c r="B414" s="284">
        <v>59.0</v>
      </c>
      <c r="C414" s="285" t="str">
        <f t="shared" si="1"/>
        <v>13 59</v>
      </c>
      <c r="D414" s="285" t="s">
        <v>9069</v>
      </c>
    </row>
    <row r="415">
      <c r="A415" s="283">
        <v>13.0</v>
      </c>
      <c r="B415" s="284">
        <v>61.0</v>
      </c>
      <c r="C415" s="285" t="str">
        <f t="shared" si="1"/>
        <v>13 61</v>
      </c>
      <c r="D415" s="285" t="s">
        <v>9070</v>
      </c>
    </row>
    <row r="416">
      <c r="A416" s="283">
        <v>13.0</v>
      </c>
      <c r="B416" s="284">
        <v>63.0</v>
      </c>
      <c r="C416" s="285" t="str">
        <f t="shared" si="1"/>
        <v>13 63</v>
      </c>
      <c r="D416" s="285" t="s">
        <v>9071</v>
      </c>
    </row>
    <row r="417">
      <c r="A417" s="283">
        <v>13.0</v>
      </c>
      <c r="B417" s="284">
        <v>65.0</v>
      </c>
      <c r="C417" s="285" t="str">
        <f t="shared" si="1"/>
        <v>13 65</v>
      </c>
      <c r="D417" s="285" t="s">
        <v>9072</v>
      </c>
    </row>
    <row r="418">
      <c r="A418" s="283">
        <v>13.0</v>
      </c>
      <c r="B418" s="284">
        <v>67.0</v>
      </c>
      <c r="C418" s="285" t="str">
        <f t="shared" si="1"/>
        <v>13 67</v>
      </c>
      <c r="D418" s="285" t="s">
        <v>9073</v>
      </c>
    </row>
    <row r="419">
      <c r="A419" s="283">
        <v>13.0</v>
      </c>
      <c r="B419" s="284">
        <v>69.0</v>
      </c>
      <c r="C419" s="285" t="str">
        <f t="shared" si="1"/>
        <v>13 69</v>
      </c>
      <c r="D419" s="285" t="s">
        <v>9074</v>
      </c>
    </row>
    <row r="420">
      <c r="A420" s="283">
        <v>13.0</v>
      </c>
      <c r="B420" s="284">
        <v>71.0</v>
      </c>
      <c r="C420" s="285" t="str">
        <f t="shared" si="1"/>
        <v>13 71</v>
      </c>
      <c r="D420" s="285" t="s">
        <v>9075</v>
      </c>
    </row>
    <row r="421">
      <c r="A421" s="283">
        <v>13.0</v>
      </c>
      <c r="B421" s="284">
        <v>73.0</v>
      </c>
      <c r="C421" s="285" t="str">
        <f t="shared" si="1"/>
        <v>13 73</v>
      </c>
      <c r="D421" s="285" t="s">
        <v>9076</v>
      </c>
    </row>
    <row r="422">
      <c r="A422" s="283">
        <v>13.0</v>
      </c>
      <c r="B422" s="284">
        <v>75.0</v>
      </c>
      <c r="C422" s="285" t="str">
        <f t="shared" si="1"/>
        <v>13 75</v>
      </c>
      <c r="D422" s="285" t="s">
        <v>9077</v>
      </c>
    </row>
    <row r="423">
      <c r="A423" s="283">
        <v>13.0</v>
      </c>
      <c r="B423" s="284">
        <v>77.0</v>
      </c>
      <c r="C423" s="285" t="str">
        <f t="shared" si="1"/>
        <v>13 77</v>
      </c>
      <c r="D423" s="285" t="s">
        <v>9078</v>
      </c>
    </row>
    <row r="424">
      <c r="A424" s="283">
        <v>13.0</v>
      </c>
      <c r="B424" s="284">
        <v>79.0</v>
      </c>
      <c r="C424" s="285" t="str">
        <f t="shared" si="1"/>
        <v>13 79</v>
      </c>
      <c r="D424" s="285" t="s">
        <v>9079</v>
      </c>
    </row>
    <row r="425">
      <c r="A425" s="283">
        <v>13.0</v>
      </c>
      <c r="B425" s="284">
        <v>81.0</v>
      </c>
      <c r="C425" s="285" t="str">
        <f t="shared" si="1"/>
        <v>13 81</v>
      </c>
      <c r="D425" s="285" t="s">
        <v>9080</v>
      </c>
    </row>
    <row r="426">
      <c r="A426" s="283">
        <v>13.0</v>
      </c>
      <c r="B426" s="284">
        <v>83.0</v>
      </c>
      <c r="C426" s="285" t="str">
        <f t="shared" si="1"/>
        <v>13 83</v>
      </c>
      <c r="D426" s="285" t="s">
        <v>9081</v>
      </c>
    </row>
    <row r="427">
      <c r="A427" s="283">
        <v>13.0</v>
      </c>
      <c r="B427" s="284">
        <v>85.0</v>
      </c>
      <c r="C427" s="285" t="str">
        <f t="shared" si="1"/>
        <v>13 85</v>
      </c>
      <c r="D427" s="285" t="s">
        <v>9082</v>
      </c>
    </row>
    <row r="428">
      <c r="A428" s="283">
        <v>13.0</v>
      </c>
      <c r="B428" s="284">
        <v>87.0</v>
      </c>
      <c r="C428" s="285" t="str">
        <f t="shared" si="1"/>
        <v>13 87</v>
      </c>
      <c r="D428" s="285" t="s">
        <v>9083</v>
      </c>
    </row>
    <row r="429">
      <c r="A429" s="283">
        <v>13.0</v>
      </c>
      <c r="B429" s="284">
        <v>89.0</v>
      </c>
      <c r="C429" s="285" t="str">
        <f t="shared" si="1"/>
        <v>13 89</v>
      </c>
      <c r="D429" s="285" t="s">
        <v>9084</v>
      </c>
    </row>
    <row r="430">
      <c r="A430" s="283">
        <v>13.0</v>
      </c>
      <c r="B430" s="284">
        <v>91.0</v>
      </c>
      <c r="C430" s="285" t="str">
        <f t="shared" si="1"/>
        <v>13 91</v>
      </c>
      <c r="D430" s="285" t="s">
        <v>9085</v>
      </c>
    </row>
    <row r="431">
      <c r="A431" s="283">
        <v>13.0</v>
      </c>
      <c r="B431" s="284">
        <v>93.0</v>
      </c>
      <c r="C431" s="285" t="str">
        <f t="shared" si="1"/>
        <v>13 93</v>
      </c>
      <c r="D431" s="285" t="s">
        <v>9086</v>
      </c>
    </row>
    <row r="432">
      <c r="A432" s="283">
        <v>13.0</v>
      </c>
      <c r="B432" s="284">
        <v>95.0</v>
      </c>
      <c r="C432" s="285" t="str">
        <f t="shared" si="1"/>
        <v>13 95</v>
      </c>
      <c r="D432" s="285" t="s">
        <v>9087</v>
      </c>
    </row>
    <row r="433">
      <c r="A433" s="283">
        <v>13.0</v>
      </c>
      <c r="B433" s="284">
        <v>97.0</v>
      </c>
      <c r="C433" s="285" t="str">
        <f t="shared" si="1"/>
        <v>13 97</v>
      </c>
      <c r="D433" s="285" t="s">
        <v>9088</v>
      </c>
    </row>
    <row r="434">
      <c r="A434" s="283">
        <v>13.0</v>
      </c>
      <c r="B434" s="284">
        <v>99.0</v>
      </c>
      <c r="C434" s="285" t="str">
        <f t="shared" si="1"/>
        <v>13 99</v>
      </c>
      <c r="D434" s="285" t="s">
        <v>9089</v>
      </c>
    </row>
    <row r="435">
      <c r="A435" s="283">
        <v>13.0</v>
      </c>
      <c r="B435" s="284">
        <v>101.0</v>
      </c>
      <c r="C435" s="285" t="str">
        <f t="shared" si="1"/>
        <v>13 101</v>
      </c>
      <c r="D435" s="285" t="s">
        <v>9090</v>
      </c>
    </row>
    <row r="436">
      <c r="A436" s="283">
        <v>13.0</v>
      </c>
      <c r="B436" s="284">
        <v>103.0</v>
      </c>
      <c r="C436" s="285" t="str">
        <f t="shared" si="1"/>
        <v>13 103</v>
      </c>
      <c r="D436" s="285" t="s">
        <v>9091</v>
      </c>
    </row>
    <row r="437">
      <c r="A437" s="283">
        <v>13.0</v>
      </c>
      <c r="B437" s="284">
        <v>105.0</v>
      </c>
      <c r="C437" s="285" t="str">
        <f t="shared" si="1"/>
        <v>13 105</v>
      </c>
      <c r="D437" s="285" t="s">
        <v>9092</v>
      </c>
    </row>
    <row r="438">
      <c r="A438" s="283">
        <v>13.0</v>
      </c>
      <c r="B438" s="284">
        <v>107.0</v>
      </c>
      <c r="C438" s="285" t="str">
        <f t="shared" si="1"/>
        <v>13 107</v>
      </c>
      <c r="D438" s="285" t="s">
        <v>9093</v>
      </c>
    </row>
    <row r="439">
      <c r="A439" s="283">
        <v>13.0</v>
      </c>
      <c r="B439" s="284">
        <v>109.0</v>
      </c>
      <c r="C439" s="285" t="str">
        <f t="shared" si="1"/>
        <v>13 109</v>
      </c>
      <c r="D439" s="285" t="s">
        <v>9094</v>
      </c>
    </row>
    <row r="440">
      <c r="A440" s="283">
        <v>13.0</v>
      </c>
      <c r="B440" s="284">
        <v>111.0</v>
      </c>
      <c r="C440" s="285" t="str">
        <f t="shared" si="1"/>
        <v>13 111</v>
      </c>
      <c r="D440" s="285" t="s">
        <v>9095</v>
      </c>
    </row>
    <row r="441">
      <c r="A441" s="283">
        <v>13.0</v>
      </c>
      <c r="B441" s="284">
        <v>113.0</v>
      </c>
      <c r="C441" s="285" t="str">
        <f t="shared" si="1"/>
        <v>13 113</v>
      </c>
      <c r="D441" s="285" t="s">
        <v>9096</v>
      </c>
    </row>
    <row r="442">
      <c r="A442" s="283">
        <v>13.0</v>
      </c>
      <c r="B442" s="284">
        <v>115.0</v>
      </c>
      <c r="C442" s="285" t="str">
        <f t="shared" si="1"/>
        <v>13 115</v>
      </c>
      <c r="D442" s="285" t="s">
        <v>9097</v>
      </c>
    </row>
    <row r="443">
      <c r="A443" s="283">
        <v>13.0</v>
      </c>
      <c r="B443" s="284">
        <v>117.0</v>
      </c>
      <c r="C443" s="285" t="str">
        <f t="shared" si="1"/>
        <v>13 117</v>
      </c>
      <c r="D443" s="285" t="s">
        <v>9098</v>
      </c>
    </row>
    <row r="444">
      <c r="A444" s="283">
        <v>13.0</v>
      </c>
      <c r="B444" s="284">
        <v>119.0</v>
      </c>
      <c r="C444" s="285" t="str">
        <f t="shared" si="1"/>
        <v>13 119</v>
      </c>
      <c r="D444" s="285" t="s">
        <v>9099</v>
      </c>
    </row>
    <row r="445">
      <c r="A445" s="283">
        <v>13.0</v>
      </c>
      <c r="B445" s="284">
        <v>121.0</v>
      </c>
      <c r="C445" s="285" t="str">
        <f t="shared" si="1"/>
        <v>13 121</v>
      </c>
      <c r="D445" s="285" t="s">
        <v>9100</v>
      </c>
    </row>
    <row r="446">
      <c r="A446" s="283">
        <v>13.0</v>
      </c>
      <c r="B446" s="284">
        <v>123.0</v>
      </c>
      <c r="C446" s="285" t="str">
        <f t="shared" si="1"/>
        <v>13 123</v>
      </c>
      <c r="D446" s="285" t="s">
        <v>9101</v>
      </c>
    </row>
    <row r="447">
      <c r="A447" s="283">
        <v>13.0</v>
      </c>
      <c r="B447" s="284">
        <v>125.0</v>
      </c>
      <c r="C447" s="285" t="str">
        <f t="shared" si="1"/>
        <v>13 125</v>
      </c>
      <c r="D447" s="285" t="s">
        <v>9102</v>
      </c>
    </row>
    <row r="448">
      <c r="A448" s="283">
        <v>13.0</v>
      </c>
      <c r="B448" s="284">
        <v>127.0</v>
      </c>
      <c r="C448" s="285" t="str">
        <f t="shared" si="1"/>
        <v>13 127</v>
      </c>
      <c r="D448" s="285" t="s">
        <v>9103</v>
      </c>
    </row>
    <row r="449">
      <c r="A449" s="283">
        <v>13.0</v>
      </c>
      <c r="B449" s="284">
        <v>129.0</v>
      </c>
      <c r="C449" s="285" t="str">
        <f t="shared" si="1"/>
        <v>13 129</v>
      </c>
      <c r="D449" s="285" t="s">
        <v>9104</v>
      </c>
    </row>
    <row r="450">
      <c r="A450" s="283">
        <v>13.0</v>
      </c>
      <c r="B450" s="284">
        <v>131.0</v>
      </c>
      <c r="C450" s="285" t="str">
        <f t="shared" si="1"/>
        <v>13 131</v>
      </c>
      <c r="D450" s="285" t="s">
        <v>9105</v>
      </c>
    </row>
    <row r="451">
      <c r="A451" s="283">
        <v>13.0</v>
      </c>
      <c r="B451" s="284">
        <v>133.0</v>
      </c>
      <c r="C451" s="285" t="str">
        <f t="shared" si="1"/>
        <v>13 133</v>
      </c>
      <c r="D451" s="285" t="s">
        <v>9106</v>
      </c>
    </row>
    <row r="452">
      <c r="A452" s="283">
        <v>13.0</v>
      </c>
      <c r="B452" s="284">
        <v>135.0</v>
      </c>
      <c r="C452" s="285" t="str">
        <f t="shared" si="1"/>
        <v>13 135</v>
      </c>
      <c r="D452" s="285" t="s">
        <v>9107</v>
      </c>
    </row>
    <row r="453">
      <c r="A453" s="283">
        <v>13.0</v>
      </c>
      <c r="B453" s="284">
        <v>137.0</v>
      </c>
      <c r="C453" s="285" t="str">
        <f t="shared" si="1"/>
        <v>13 137</v>
      </c>
      <c r="D453" s="285" t="s">
        <v>9108</v>
      </c>
    </row>
    <row r="454">
      <c r="A454" s="283">
        <v>13.0</v>
      </c>
      <c r="B454" s="284">
        <v>139.0</v>
      </c>
      <c r="C454" s="285" t="str">
        <f t="shared" si="1"/>
        <v>13 139</v>
      </c>
      <c r="D454" s="285" t="s">
        <v>9109</v>
      </c>
    </row>
    <row r="455">
      <c r="A455" s="283">
        <v>13.0</v>
      </c>
      <c r="B455" s="284">
        <v>141.0</v>
      </c>
      <c r="C455" s="285" t="str">
        <f t="shared" si="1"/>
        <v>13 141</v>
      </c>
      <c r="D455" s="285" t="s">
        <v>9110</v>
      </c>
    </row>
    <row r="456">
      <c r="A456" s="283">
        <v>13.0</v>
      </c>
      <c r="B456" s="284">
        <v>143.0</v>
      </c>
      <c r="C456" s="285" t="str">
        <f t="shared" si="1"/>
        <v>13 143</v>
      </c>
      <c r="D456" s="285" t="s">
        <v>9111</v>
      </c>
    </row>
    <row r="457">
      <c r="A457" s="283">
        <v>13.0</v>
      </c>
      <c r="B457" s="284">
        <v>145.0</v>
      </c>
      <c r="C457" s="285" t="str">
        <f t="shared" si="1"/>
        <v>13 145</v>
      </c>
      <c r="D457" s="285" t="s">
        <v>9112</v>
      </c>
    </row>
    <row r="458">
      <c r="A458" s="283">
        <v>13.0</v>
      </c>
      <c r="B458" s="284">
        <v>147.0</v>
      </c>
      <c r="C458" s="285" t="str">
        <f t="shared" si="1"/>
        <v>13 147</v>
      </c>
      <c r="D458" s="285" t="s">
        <v>9113</v>
      </c>
    </row>
    <row r="459">
      <c r="A459" s="283">
        <v>13.0</v>
      </c>
      <c r="B459" s="284">
        <v>149.0</v>
      </c>
      <c r="C459" s="285" t="str">
        <f t="shared" si="1"/>
        <v>13 149</v>
      </c>
      <c r="D459" s="285" t="s">
        <v>9114</v>
      </c>
    </row>
    <row r="460">
      <c r="A460" s="283">
        <v>13.0</v>
      </c>
      <c r="B460" s="284">
        <v>151.0</v>
      </c>
      <c r="C460" s="285" t="str">
        <f t="shared" si="1"/>
        <v>13 151</v>
      </c>
      <c r="D460" s="285" t="s">
        <v>9115</v>
      </c>
    </row>
    <row r="461">
      <c r="A461" s="283">
        <v>13.0</v>
      </c>
      <c r="B461" s="284">
        <v>153.0</v>
      </c>
      <c r="C461" s="285" t="str">
        <f t="shared" si="1"/>
        <v>13 153</v>
      </c>
      <c r="D461" s="285" t="s">
        <v>9116</v>
      </c>
    </row>
    <row r="462">
      <c r="A462" s="283">
        <v>13.0</v>
      </c>
      <c r="B462" s="284">
        <v>155.0</v>
      </c>
      <c r="C462" s="285" t="str">
        <f t="shared" si="1"/>
        <v>13 155</v>
      </c>
      <c r="D462" s="285" t="s">
        <v>9117</v>
      </c>
    </row>
    <row r="463">
      <c r="A463" s="283">
        <v>13.0</v>
      </c>
      <c r="B463" s="284">
        <v>157.0</v>
      </c>
      <c r="C463" s="285" t="str">
        <f t="shared" si="1"/>
        <v>13 157</v>
      </c>
      <c r="D463" s="285" t="s">
        <v>9118</v>
      </c>
    </row>
    <row r="464">
      <c r="A464" s="283">
        <v>13.0</v>
      </c>
      <c r="B464" s="284">
        <v>159.0</v>
      </c>
      <c r="C464" s="285" t="str">
        <f t="shared" si="1"/>
        <v>13 159</v>
      </c>
      <c r="D464" s="285" t="s">
        <v>9119</v>
      </c>
    </row>
    <row r="465">
      <c r="A465" s="283">
        <v>13.0</v>
      </c>
      <c r="B465" s="284">
        <v>161.0</v>
      </c>
      <c r="C465" s="285" t="str">
        <f t="shared" si="1"/>
        <v>13 161</v>
      </c>
      <c r="D465" s="285" t="s">
        <v>9120</v>
      </c>
    </row>
    <row r="466">
      <c r="A466" s="283">
        <v>13.0</v>
      </c>
      <c r="B466" s="284">
        <v>163.0</v>
      </c>
      <c r="C466" s="285" t="str">
        <f t="shared" si="1"/>
        <v>13 163</v>
      </c>
      <c r="D466" s="285" t="s">
        <v>9121</v>
      </c>
    </row>
    <row r="467">
      <c r="A467" s="283">
        <v>13.0</v>
      </c>
      <c r="B467" s="284">
        <v>165.0</v>
      </c>
      <c r="C467" s="285" t="str">
        <f t="shared" si="1"/>
        <v>13 165</v>
      </c>
      <c r="D467" s="285" t="s">
        <v>9122</v>
      </c>
    </row>
    <row r="468">
      <c r="A468" s="283">
        <v>13.0</v>
      </c>
      <c r="B468" s="284">
        <v>167.0</v>
      </c>
      <c r="C468" s="285" t="str">
        <f t="shared" si="1"/>
        <v>13 167</v>
      </c>
      <c r="D468" s="285" t="s">
        <v>9123</v>
      </c>
    </row>
    <row r="469">
      <c r="A469" s="283">
        <v>13.0</v>
      </c>
      <c r="B469" s="284">
        <v>169.0</v>
      </c>
      <c r="C469" s="285" t="str">
        <f t="shared" si="1"/>
        <v>13 169</v>
      </c>
      <c r="D469" s="285" t="s">
        <v>9124</v>
      </c>
    </row>
    <row r="470">
      <c r="A470" s="283">
        <v>13.0</v>
      </c>
      <c r="B470" s="284">
        <v>171.0</v>
      </c>
      <c r="C470" s="285" t="str">
        <f t="shared" si="1"/>
        <v>13 171</v>
      </c>
      <c r="D470" s="285" t="s">
        <v>9125</v>
      </c>
    </row>
    <row r="471">
      <c r="A471" s="283">
        <v>13.0</v>
      </c>
      <c r="B471" s="284">
        <v>173.0</v>
      </c>
      <c r="C471" s="285" t="str">
        <f t="shared" si="1"/>
        <v>13 173</v>
      </c>
      <c r="D471" s="285" t="s">
        <v>9126</v>
      </c>
    </row>
    <row r="472">
      <c r="A472" s="283">
        <v>13.0</v>
      </c>
      <c r="B472" s="284">
        <v>175.0</v>
      </c>
      <c r="C472" s="285" t="str">
        <f t="shared" si="1"/>
        <v>13 175</v>
      </c>
      <c r="D472" s="285" t="s">
        <v>9127</v>
      </c>
    </row>
    <row r="473">
      <c r="A473" s="283">
        <v>13.0</v>
      </c>
      <c r="B473" s="284">
        <v>177.0</v>
      </c>
      <c r="C473" s="285" t="str">
        <f t="shared" si="1"/>
        <v>13 177</v>
      </c>
      <c r="D473" s="285" t="s">
        <v>9128</v>
      </c>
    </row>
    <row r="474">
      <c r="A474" s="283">
        <v>13.0</v>
      </c>
      <c r="B474" s="284">
        <v>179.0</v>
      </c>
      <c r="C474" s="285" t="str">
        <f t="shared" si="1"/>
        <v>13 179</v>
      </c>
      <c r="D474" s="285" t="s">
        <v>9129</v>
      </c>
    </row>
    <row r="475">
      <c r="A475" s="283">
        <v>13.0</v>
      </c>
      <c r="B475" s="284">
        <v>181.0</v>
      </c>
      <c r="C475" s="285" t="str">
        <f t="shared" si="1"/>
        <v>13 181</v>
      </c>
      <c r="D475" s="285" t="s">
        <v>9130</v>
      </c>
    </row>
    <row r="476">
      <c r="A476" s="283">
        <v>13.0</v>
      </c>
      <c r="B476" s="284">
        <v>183.0</v>
      </c>
      <c r="C476" s="285" t="str">
        <f t="shared" si="1"/>
        <v>13 183</v>
      </c>
      <c r="D476" s="285" t="s">
        <v>9131</v>
      </c>
    </row>
    <row r="477">
      <c r="A477" s="283">
        <v>13.0</v>
      </c>
      <c r="B477" s="284">
        <v>185.0</v>
      </c>
      <c r="C477" s="285" t="str">
        <f t="shared" si="1"/>
        <v>13 185</v>
      </c>
      <c r="D477" s="285" t="s">
        <v>9132</v>
      </c>
    </row>
    <row r="478">
      <c r="A478" s="283">
        <v>13.0</v>
      </c>
      <c r="B478" s="284">
        <v>187.0</v>
      </c>
      <c r="C478" s="285" t="str">
        <f t="shared" si="1"/>
        <v>13 187</v>
      </c>
      <c r="D478" s="285" t="s">
        <v>9133</v>
      </c>
    </row>
    <row r="479">
      <c r="A479" s="283">
        <v>13.0</v>
      </c>
      <c r="B479" s="284">
        <v>189.0</v>
      </c>
      <c r="C479" s="285" t="str">
        <f t="shared" si="1"/>
        <v>13 189</v>
      </c>
      <c r="D479" s="285" t="s">
        <v>9134</v>
      </c>
    </row>
    <row r="480">
      <c r="A480" s="283">
        <v>13.0</v>
      </c>
      <c r="B480" s="284">
        <v>191.0</v>
      </c>
      <c r="C480" s="285" t="str">
        <f t="shared" si="1"/>
        <v>13 191</v>
      </c>
      <c r="D480" s="285" t="s">
        <v>9135</v>
      </c>
    </row>
    <row r="481">
      <c r="A481" s="283">
        <v>13.0</v>
      </c>
      <c r="B481" s="284">
        <v>193.0</v>
      </c>
      <c r="C481" s="285" t="str">
        <f t="shared" si="1"/>
        <v>13 193</v>
      </c>
      <c r="D481" s="285" t="s">
        <v>9136</v>
      </c>
    </row>
    <row r="482">
      <c r="A482" s="283">
        <v>13.0</v>
      </c>
      <c r="B482" s="284">
        <v>195.0</v>
      </c>
      <c r="C482" s="285" t="str">
        <f t="shared" si="1"/>
        <v>13 195</v>
      </c>
      <c r="D482" s="285" t="s">
        <v>9137</v>
      </c>
    </row>
    <row r="483">
      <c r="A483" s="283">
        <v>13.0</v>
      </c>
      <c r="B483" s="284">
        <v>197.0</v>
      </c>
      <c r="C483" s="285" t="str">
        <f t="shared" si="1"/>
        <v>13 197</v>
      </c>
      <c r="D483" s="285" t="s">
        <v>9138</v>
      </c>
    </row>
    <row r="484">
      <c r="A484" s="283">
        <v>13.0</v>
      </c>
      <c r="B484" s="284">
        <v>199.0</v>
      </c>
      <c r="C484" s="285" t="str">
        <f t="shared" si="1"/>
        <v>13 199</v>
      </c>
      <c r="D484" s="285" t="s">
        <v>9139</v>
      </c>
    </row>
    <row r="485">
      <c r="A485" s="283">
        <v>13.0</v>
      </c>
      <c r="B485" s="284">
        <v>201.0</v>
      </c>
      <c r="C485" s="285" t="str">
        <f t="shared" si="1"/>
        <v>13 201</v>
      </c>
      <c r="D485" s="285" t="s">
        <v>9140</v>
      </c>
    </row>
    <row r="486">
      <c r="A486" s="283">
        <v>13.0</v>
      </c>
      <c r="B486" s="284">
        <v>205.0</v>
      </c>
      <c r="C486" s="285" t="str">
        <f t="shared" si="1"/>
        <v>13 205</v>
      </c>
      <c r="D486" s="285" t="s">
        <v>9141</v>
      </c>
    </row>
    <row r="487">
      <c r="A487" s="283">
        <v>13.0</v>
      </c>
      <c r="B487" s="284">
        <v>207.0</v>
      </c>
      <c r="C487" s="285" t="str">
        <f t="shared" si="1"/>
        <v>13 207</v>
      </c>
      <c r="D487" s="285" t="s">
        <v>9142</v>
      </c>
    </row>
    <row r="488">
      <c r="A488" s="283">
        <v>13.0</v>
      </c>
      <c r="B488" s="284">
        <v>209.0</v>
      </c>
      <c r="C488" s="285" t="str">
        <f t="shared" si="1"/>
        <v>13 209</v>
      </c>
      <c r="D488" s="285" t="s">
        <v>9143</v>
      </c>
    </row>
    <row r="489">
      <c r="A489" s="283">
        <v>13.0</v>
      </c>
      <c r="B489" s="284">
        <v>211.0</v>
      </c>
      <c r="C489" s="285" t="str">
        <f t="shared" si="1"/>
        <v>13 211</v>
      </c>
      <c r="D489" s="285" t="s">
        <v>9144</v>
      </c>
    </row>
    <row r="490">
      <c r="A490" s="283">
        <v>13.0</v>
      </c>
      <c r="B490" s="284">
        <v>213.0</v>
      </c>
      <c r="C490" s="285" t="str">
        <f t="shared" si="1"/>
        <v>13 213</v>
      </c>
      <c r="D490" s="285" t="s">
        <v>9145</v>
      </c>
    </row>
    <row r="491">
      <c r="A491" s="283">
        <v>13.0</v>
      </c>
      <c r="B491" s="284">
        <v>215.0</v>
      </c>
      <c r="C491" s="285" t="str">
        <f t="shared" si="1"/>
        <v>13 215</v>
      </c>
      <c r="D491" s="285" t="s">
        <v>9146</v>
      </c>
    </row>
    <row r="492">
      <c r="A492" s="283">
        <v>13.0</v>
      </c>
      <c r="B492" s="284">
        <v>217.0</v>
      </c>
      <c r="C492" s="285" t="str">
        <f t="shared" si="1"/>
        <v>13 217</v>
      </c>
      <c r="D492" s="285" t="s">
        <v>9147</v>
      </c>
    </row>
    <row r="493">
      <c r="A493" s="283">
        <v>13.0</v>
      </c>
      <c r="B493" s="284">
        <v>219.0</v>
      </c>
      <c r="C493" s="285" t="str">
        <f t="shared" si="1"/>
        <v>13 219</v>
      </c>
      <c r="D493" s="285" t="s">
        <v>9148</v>
      </c>
    </row>
    <row r="494">
      <c r="A494" s="283">
        <v>13.0</v>
      </c>
      <c r="B494" s="284">
        <v>221.0</v>
      </c>
      <c r="C494" s="285" t="str">
        <f t="shared" si="1"/>
        <v>13 221</v>
      </c>
      <c r="D494" s="285" t="s">
        <v>9149</v>
      </c>
    </row>
    <row r="495">
      <c r="A495" s="283">
        <v>13.0</v>
      </c>
      <c r="B495" s="284">
        <v>223.0</v>
      </c>
      <c r="C495" s="285" t="str">
        <f t="shared" si="1"/>
        <v>13 223</v>
      </c>
      <c r="D495" s="285" t="s">
        <v>9150</v>
      </c>
    </row>
    <row r="496">
      <c r="A496" s="283">
        <v>13.0</v>
      </c>
      <c r="B496" s="284">
        <v>225.0</v>
      </c>
      <c r="C496" s="285" t="str">
        <f t="shared" si="1"/>
        <v>13 225</v>
      </c>
      <c r="D496" s="285" t="s">
        <v>9151</v>
      </c>
    </row>
    <row r="497">
      <c r="A497" s="283">
        <v>13.0</v>
      </c>
      <c r="B497" s="284">
        <v>227.0</v>
      </c>
      <c r="C497" s="285" t="str">
        <f t="shared" si="1"/>
        <v>13 227</v>
      </c>
      <c r="D497" s="285" t="s">
        <v>9152</v>
      </c>
    </row>
    <row r="498">
      <c r="A498" s="283">
        <v>13.0</v>
      </c>
      <c r="B498" s="284">
        <v>229.0</v>
      </c>
      <c r="C498" s="285" t="str">
        <f t="shared" si="1"/>
        <v>13 229</v>
      </c>
      <c r="D498" s="285" t="s">
        <v>9153</v>
      </c>
    </row>
    <row r="499">
      <c r="A499" s="283">
        <v>13.0</v>
      </c>
      <c r="B499" s="284">
        <v>231.0</v>
      </c>
      <c r="C499" s="285" t="str">
        <f t="shared" si="1"/>
        <v>13 231</v>
      </c>
      <c r="D499" s="285" t="s">
        <v>9154</v>
      </c>
    </row>
    <row r="500">
      <c r="A500" s="283">
        <v>13.0</v>
      </c>
      <c r="B500" s="284">
        <v>233.0</v>
      </c>
      <c r="C500" s="285" t="str">
        <f t="shared" si="1"/>
        <v>13 233</v>
      </c>
      <c r="D500" s="285" t="s">
        <v>9155</v>
      </c>
    </row>
    <row r="501">
      <c r="A501" s="283">
        <v>13.0</v>
      </c>
      <c r="B501" s="284">
        <v>235.0</v>
      </c>
      <c r="C501" s="285" t="str">
        <f t="shared" si="1"/>
        <v>13 235</v>
      </c>
      <c r="D501" s="285" t="s">
        <v>9156</v>
      </c>
    </row>
    <row r="502">
      <c r="A502" s="283">
        <v>13.0</v>
      </c>
      <c r="B502" s="284">
        <v>237.0</v>
      </c>
      <c r="C502" s="285" t="str">
        <f t="shared" si="1"/>
        <v>13 237</v>
      </c>
      <c r="D502" s="285" t="s">
        <v>9157</v>
      </c>
    </row>
    <row r="503">
      <c r="A503" s="283">
        <v>13.0</v>
      </c>
      <c r="B503" s="284">
        <v>239.0</v>
      </c>
      <c r="C503" s="285" t="str">
        <f t="shared" si="1"/>
        <v>13 239</v>
      </c>
      <c r="D503" s="285" t="s">
        <v>9158</v>
      </c>
    </row>
    <row r="504">
      <c r="A504" s="283">
        <v>13.0</v>
      </c>
      <c r="B504" s="284">
        <v>241.0</v>
      </c>
      <c r="C504" s="285" t="str">
        <f t="shared" si="1"/>
        <v>13 241</v>
      </c>
      <c r="D504" s="285" t="s">
        <v>9159</v>
      </c>
    </row>
    <row r="505">
      <c r="A505" s="283">
        <v>13.0</v>
      </c>
      <c r="B505" s="284">
        <v>243.0</v>
      </c>
      <c r="C505" s="285" t="str">
        <f t="shared" si="1"/>
        <v>13 243</v>
      </c>
      <c r="D505" s="285" t="s">
        <v>9160</v>
      </c>
    </row>
    <row r="506">
      <c r="A506" s="283">
        <v>13.0</v>
      </c>
      <c r="B506" s="284">
        <v>245.0</v>
      </c>
      <c r="C506" s="285" t="str">
        <f t="shared" si="1"/>
        <v>13 245</v>
      </c>
      <c r="D506" s="285" t="s">
        <v>9161</v>
      </c>
    </row>
    <row r="507">
      <c r="A507" s="283">
        <v>13.0</v>
      </c>
      <c r="B507" s="284">
        <v>247.0</v>
      </c>
      <c r="C507" s="285" t="str">
        <f t="shared" si="1"/>
        <v>13 247</v>
      </c>
      <c r="D507" s="285" t="s">
        <v>9162</v>
      </c>
    </row>
    <row r="508">
      <c r="A508" s="283">
        <v>13.0</v>
      </c>
      <c r="B508" s="284">
        <v>249.0</v>
      </c>
      <c r="C508" s="285" t="str">
        <f t="shared" si="1"/>
        <v>13 249</v>
      </c>
      <c r="D508" s="285" t="s">
        <v>9163</v>
      </c>
    </row>
    <row r="509">
      <c r="A509" s="283">
        <v>13.0</v>
      </c>
      <c r="B509" s="284">
        <v>251.0</v>
      </c>
      <c r="C509" s="285" t="str">
        <f t="shared" si="1"/>
        <v>13 251</v>
      </c>
      <c r="D509" s="285" t="s">
        <v>9164</v>
      </c>
    </row>
    <row r="510">
      <c r="A510" s="283">
        <v>13.0</v>
      </c>
      <c r="B510" s="284">
        <v>253.0</v>
      </c>
      <c r="C510" s="285" t="str">
        <f t="shared" si="1"/>
        <v>13 253</v>
      </c>
      <c r="D510" s="285" t="s">
        <v>9165</v>
      </c>
    </row>
    <row r="511">
      <c r="A511" s="283">
        <v>13.0</v>
      </c>
      <c r="B511" s="284">
        <v>255.0</v>
      </c>
      <c r="C511" s="285" t="str">
        <f t="shared" si="1"/>
        <v>13 255</v>
      </c>
      <c r="D511" s="285" t="s">
        <v>9166</v>
      </c>
    </row>
    <row r="512">
      <c r="A512" s="283">
        <v>13.0</v>
      </c>
      <c r="B512" s="284">
        <v>257.0</v>
      </c>
      <c r="C512" s="285" t="str">
        <f t="shared" si="1"/>
        <v>13 257</v>
      </c>
      <c r="D512" s="285" t="s">
        <v>9167</v>
      </c>
    </row>
    <row r="513">
      <c r="A513" s="283">
        <v>13.0</v>
      </c>
      <c r="B513" s="284">
        <v>259.0</v>
      </c>
      <c r="C513" s="285" t="str">
        <f t="shared" si="1"/>
        <v>13 259</v>
      </c>
      <c r="D513" s="285" t="s">
        <v>9168</v>
      </c>
    </row>
    <row r="514">
      <c r="A514" s="283">
        <v>13.0</v>
      </c>
      <c r="B514" s="284">
        <v>261.0</v>
      </c>
      <c r="C514" s="285" t="str">
        <f t="shared" si="1"/>
        <v>13 261</v>
      </c>
      <c r="D514" s="285" t="s">
        <v>9169</v>
      </c>
    </row>
    <row r="515">
      <c r="A515" s="283">
        <v>13.0</v>
      </c>
      <c r="B515" s="284">
        <v>263.0</v>
      </c>
      <c r="C515" s="285" t="str">
        <f t="shared" si="1"/>
        <v>13 263</v>
      </c>
      <c r="D515" s="285" t="s">
        <v>9170</v>
      </c>
    </row>
    <row r="516">
      <c r="A516" s="283">
        <v>13.0</v>
      </c>
      <c r="B516" s="284">
        <v>265.0</v>
      </c>
      <c r="C516" s="285" t="str">
        <f t="shared" si="1"/>
        <v>13 265</v>
      </c>
      <c r="D516" s="285" t="s">
        <v>9171</v>
      </c>
    </row>
    <row r="517">
      <c r="A517" s="283">
        <v>13.0</v>
      </c>
      <c r="B517" s="284">
        <v>267.0</v>
      </c>
      <c r="C517" s="285" t="str">
        <f t="shared" si="1"/>
        <v>13 267</v>
      </c>
      <c r="D517" s="285" t="s">
        <v>9172</v>
      </c>
    </row>
    <row r="518">
      <c r="A518" s="283">
        <v>13.0</v>
      </c>
      <c r="B518" s="284">
        <v>269.0</v>
      </c>
      <c r="C518" s="285" t="str">
        <f t="shared" si="1"/>
        <v>13 269</v>
      </c>
      <c r="D518" s="285" t="s">
        <v>9173</v>
      </c>
    </row>
    <row r="519">
      <c r="A519" s="283">
        <v>13.0</v>
      </c>
      <c r="B519" s="284">
        <v>271.0</v>
      </c>
      <c r="C519" s="285" t="str">
        <f t="shared" si="1"/>
        <v>13 271</v>
      </c>
      <c r="D519" s="285" t="s">
        <v>9174</v>
      </c>
    </row>
    <row r="520">
      <c r="A520" s="283">
        <v>13.0</v>
      </c>
      <c r="B520" s="284">
        <v>273.0</v>
      </c>
      <c r="C520" s="285" t="str">
        <f t="shared" si="1"/>
        <v>13 273</v>
      </c>
      <c r="D520" s="285" t="s">
        <v>9175</v>
      </c>
    </row>
    <row r="521">
      <c r="A521" s="283">
        <v>13.0</v>
      </c>
      <c r="B521" s="284">
        <v>275.0</v>
      </c>
      <c r="C521" s="285" t="str">
        <f t="shared" si="1"/>
        <v>13 275</v>
      </c>
      <c r="D521" s="285" t="s">
        <v>9176</v>
      </c>
    </row>
    <row r="522">
      <c r="A522" s="283">
        <v>13.0</v>
      </c>
      <c r="B522" s="284">
        <v>277.0</v>
      </c>
      <c r="C522" s="285" t="str">
        <f t="shared" si="1"/>
        <v>13 277</v>
      </c>
      <c r="D522" s="285" t="s">
        <v>9177</v>
      </c>
    </row>
    <row r="523">
      <c r="A523" s="283">
        <v>13.0</v>
      </c>
      <c r="B523" s="284">
        <v>279.0</v>
      </c>
      <c r="C523" s="285" t="str">
        <f t="shared" si="1"/>
        <v>13 279</v>
      </c>
      <c r="D523" s="285" t="s">
        <v>9178</v>
      </c>
    </row>
    <row r="524">
      <c r="A524" s="283">
        <v>13.0</v>
      </c>
      <c r="B524" s="284">
        <v>281.0</v>
      </c>
      <c r="C524" s="285" t="str">
        <f t="shared" si="1"/>
        <v>13 281</v>
      </c>
      <c r="D524" s="285" t="s">
        <v>9179</v>
      </c>
    </row>
    <row r="525">
      <c r="A525" s="283">
        <v>13.0</v>
      </c>
      <c r="B525" s="284">
        <v>283.0</v>
      </c>
      <c r="C525" s="285" t="str">
        <f t="shared" si="1"/>
        <v>13 283</v>
      </c>
      <c r="D525" s="285" t="s">
        <v>9180</v>
      </c>
    </row>
    <row r="526">
      <c r="A526" s="283">
        <v>13.0</v>
      </c>
      <c r="B526" s="284">
        <v>285.0</v>
      </c>
      <c r="C526" s="285" t="str">
        <f t="shared" si="1"/>
        <v>13 285</v>
      </c>
      <c r="D526" s="285" t="s">
        <v>9181</v>
      </c>
    </row>
    <row r="527">
      <c r="A527" s="283">
        <v>13.0</v>
      </c>
      <c r="B527" s="284">
        <v>287.0</v>
      </c>
      <c r="C527" s="285" t="str">
        <f t="shared" si="1"/>
        <v>13 287</v>
      </c>
      <c r="D527" s="285" t="s">
        <v>9182</v>
      </c>
    </row>
    <row r="528">
      <c r="A528" s="283">
        <v>13.0</v>
      </c>
      <c r="B528" s="284">
        <v>289.0</v>
      </c>
      <c r="C528" s="285" t="str">
        <f t="shared" si="1"/>
        <v>13 289</v>
      </c>
      <c r="D528" s="285" t="s">
        <v>9183</v>
      </c>
    </row>
    <row r="529">
      <c r="A529" s="283">
        <v>13.0</v>
      </c>
      <c r="B529" s="284">
        <v>291.0</v>
      </c>
      <c r="C529" s="285" t="str">
        <f t="shared" si="1"/>
        <v>13 291</v>
      </c>
      <c r="D529" s="285" t="s">
        <v>9184</v>
      </c>
    </row>
    <row r="530">
      <c r="A530" s="283">
        <v>13.0</v>
      </c>
      <c r="B530" s="284">
        <v>293.0</v>
      </c>
      <c r="C530" s="285" t="str">
        <f t="shared" si="1"/>
        <v>13 293</v>
      </c>
      <c r="D530" s="285" t="s">
        <v>9185</v>
      </c>
    </row>
    <row r="531">
      <c r="A531" s="283">
        <v>13.0</v>
      </c>
      <c r="B531" s="284">
        <v>295.0</v>
      </c>
      <c r="C531" s="285" t="str">
        <f t="shared" si="1"/>
        <v>13 295</v>
      </c>
      <c r="D531" s="285" t="s">
        <v>9186</v>
      </c>
    </row>
    <row r="532">
      <c r="A532" s="283">
        <v>13.0</v>
      </c>
      <c r="B532" s="284">
        <v>297.0</v>
      </c>
      <c r="C532" s="285" t="str">
        <f t="shared" si="1"/>
        <v>13 297</v>
      </c>
      <c r="D532" s="285" t="s">
        <v>9187</v>
      </c>
    </row>
    <row r="533">
      <c r="A533" s="283">
        <v>13.0</v>
      </c>
      <c r="B533" s="284">
        <v>299.0</v>
      </c>
      <c r="C533" s="285" t="str">
        <f t="shared" si="1"/>
        <v>13 299</v>
      </c>
      <c r="D533" s="285" t="s">
        <v>9188</v>
      </c>
    </row>
    <row r="534">
      <c r="A534" s="283">
        <v>13.0</v>
      </c>
      <c r="B534" s="284">
        <v>301.0</v>
      </c>
      <c r="C534" s="285" t="str">
        <f t="shared" si="1"/>
        <v>13 301</v>
      </c>
      <c r="D534" s="285" t="s">
        <v>9189</v>
      </c>
    </row>
    <row r="535">
      <c r="A535" s="283">
        <v>13.0</v>
      </c>
      <c r="B535" s="284">
        <v>303.0</v>
      </c>
      <c r="C535" s="285" t="str">
        <f t="shared" si="1"/>
        <v>13 303</v>
      </c>
      <c r="D535" s="285" t="s">
        <v>9190</v>
      </c>
    </row>
    <row r="536">
      <c r="A536" s="283">
        <v>13.0</v>
      </c>
      <c r="B536" s="284">
        <v>305.0</v>
      </c>
      <c r="C536" s="285" t="str">
        <f t="shared" si="1"/>
        <v>13 305</v>
      </c>
      <c r="D536" s="285" t="s">
        <v>9191</v>
      </c>
    </row>
    <row r="537">
      <c r="A537" s="283">
        <v>13.0</v>
      </c>
      <c r="B537" s="284">
        <v>307.0</v>
      </c>
      <c r="C537" s="285" t="str">
        <f t="shared" si="1"/>
        <v>13 307</v>
      </c>
      <c r="D537" s="285" t="s">
        <v>9192</v>
      </c>
    </row>
    <row r="538">
      <c r="A538" s="283">
        <v>13.0</v>
      </c>
      <c r="B538" s="284">
        <v>309.0</v>
      </c>
      <c r="C538" s="285" t="str">
        <f t="shared" si="1"/>
        <v>13 309</v>
      </c>
      <c r="D538" s="285" t="s">
        <v>9193</v>
      </c>
    </row>
    <row r="539">
      <c r="A539" s="283">
        <v>13.0</v>
      </c>
      <c r="B539" s="284">
        <v>311.0</v>
      </c>
      <c r="C539" s="285" t="str">
        <f t="shared" si="1"/>
        <v>13 311</v>
      </c>
      <c r="D539" s="285" t="s">
        <v>9194</v>
      </c>
    </row>
    <row r="540">
      <c r="A540" s="283">
        <v>13.0</v>
      </c>
      <c r="B540" s="284">
        <v>313.0</v>
      </c>
      <c r="C540" s="285" t="str">
        <f t="shared" si="1"/>
        <v>13 313</v>
      </c>
      <c r="D540" s="285" t="s">
        <v>9195</v>
      </c>
    </row>
    <row r="541">
      <c r="A541" s="283">
        <v>13.0</v>
      </c>
      <c r="B541" s="284">
        <v>315.0</v>
      </c>
      <c r="C541" s="285" t="str">
        <f t="shared" si="1"/>
        <v>13 315</v>
      </c>
      <c r="D541" s="285" t="s">
        <v>9196</v>
      </c>
    </row>
    <row r="542">
      <c r="A542" s="283">
        <v>13.0</v>
      </c>
      <c r="B542" s="284">
        <v>317.0</v>
      </c>
      <c r="C542" s="285" t="str">
        <f t="shared" si="1"/>
        <v>13 317</v>
      </c>
      <c r="D542" s="285" t="s">
        <v>9197</v>
      </c>
    </row>
    <row r="543">
      <c r="A543" s="283">
        <v>13.0</v>
      </c>
      <c r="B543" s="284">
        <v>319.0</v>
      </c>
      <c r="C543" s="285" t="str">
        <f t="shared" si="1"/>
        <v>13 319</v>
      </c>
      <c r="D543" s="285" t="s">
        <v>9198</v>
      </c>
    </row>
    <row r="544">
      <c r="A544" s="283">
        <v>13.0</v>
      </c>
      <c r="B544" s="284">
        <v>321.0</v>
      </c>
      <c r="C544" s="285" t="str">
        <f t="shared" si="1"/>
        <v>13 321</v>
      </c>
      <c r="D544" s="285" t="s">
        <v>9199</v>
      </c>
    </row>
    <row r="545">
      <c r="A545" s="283">
        <v>15.0</v>
      </c>
      <c r="B545" s="284">
        <v>1.0</v>
      </c>
      <c r="C545" s="285" t="str">
        <f t="shared" si="1"/>
        <v>15 1</v>
      </c>
      <c r="D545" s="285" t="s">
        <v>9200</v>
      </c>
    </row>
    <row r="546">
      <c r="A546" s="283">
        <v>15.0</v>
      </c>
      <c r="B546" s="284">
        <v>3.0</v>
      </c>
      <c r="C546" s="285" t="str">
        <f t="shared" si="1"/>
        <v>15 3</v>
      </c>
      <c r="D546" s="285" t="s">
        <v>9201</v>
      </c>
    </row>
    <row r="547">
      <c r="A547" s="283">
        <v>15.0</v>
      </c>
      <c r="B547" s="284">
        <v>7.0</v>
      </c>
      <c r="C547" s="285" t="str">
        <f t="shared" si="1"/>
        <v>15 7</v>
      </c>
      <c r="D547" s="285" t="s">
        <v>9202</v>
      </c>
    </row>
    <row r="548">
      <c r="A548" s="283">
        <v>15.0</v>
      </c>
      <c r="B548" s="284">
        <v>9.0</v>
      </c>
      <c r="C548" s="285" t="str">
        <f t="shared" si="1"/>
        <v>15 9</v>
      </c>
      <c r="D548" s="285" t="s">
        <v>9203</v>
      </c>
    </row>
    <row r="549">
      <c r="A549" s="283">
        <v>16.0</v>
      </c>
      <c r="B549" s="284">
        <v>1.0</v>
      </c>
      <c r="C549" s="285" t="str">
        <f t="shared" si="1"/>
        <v>16 1</v>
      </c>
      <c r="D549" s="285" t="s">
        <v>9204</v>
      </c>
    </row>
    <row r="550">
      <c r="A550" s="283">
        <v>16.0</v>
      </c>
      <c r="B550" s="284">
        <v>3.0</v>
      </c>
      <c r="C550" s="285" t="str">
        <f t="shared" si="1"/>
        <v>16 3</v>
      </c>
      <c r="D550" s="285" t="s">
        <v>9205</v>
      </c>
    </row>
    <row r="551">
      <c r="A551" s="283">
        <v>16.0</v>
      </c>
      <c r="B551" s="284">
        <v>5.0</v>
      </c>
      <c r="C551" s="285" t="str">
        <f t="shared" si="1"/>
        <v>16 5</v>
      </c>
      <c r="D551" s="285" t="s">
        <v>9206</v>
      </c>
    </row>
    <row r="552">
      <c r="A552" s="283">
        <v>16.0</v>
      </c>
      <c r="B552" s="284">
        <v>7.0</v>
      </c>
      <c r="C552" s="285" t="str">
        <f t="shared" si="1"/>
        <v>16 7</v>
      </c>
      <c r="D552" s="285" t="s">
        <v>9207</v>
      </c>
    </row>
    <row r="553">
      <c r="A553" s="283">
        <v>16.0</v>
      </c>
      <c r="B553" s="284">
        <v>9.0</v>
      </c>
      <c r="C553" s="285" t="str">
        <f t="shared" si="1"/>
        <v>16 9</v>
      </c>
      <c r="D553" s="285" t="s">
        <v>9208</v>
      </c>
    </row>
    <row r="554">
      <c r="A554" s="283">
        <v>16.0</v>
      </c>
      <c r="B554" s="284">
        <v>11.0</v>
      </c>
      <c r="C554" s="285" t="str">
        <f t="shared" si="1"/>
        <v>16 11</v>
      </c>
      <c r="D554" s="285" t="s">
        <v>9209</v>
      </c>
    </row>
    <row r="555">
      <c r="A555" s="283">
        <v>16.0</v>
      </c>
      <c r="B555" s="284">
        <v>13.0</v>
      </c>
      <c r="C555" s="285" t="str">
        <f t="shared" si="1"/>
        <v>16 13</v>
      </c>
      <c r="D555" s="285" t="s">
        <v>9210</v>
      </c>
    </row>
    <row r="556">
      <c r="A556" s="283">
        <v>16.0</v>
      </c>
      <c r="B556" s="284">
        <v>15.0</v>
      </c>
      <c r="C556" s="285" t="str">
        <f t="shared" si="1"/>
        <v>16 15</v>
      </c>
      <c r="D556" s="285" t="s">
        <v>9211</v>
      </c>
    </row>
    <row r="557">
      <c r="A557" s="283">
        <v>16.0</v>
      </c>
      <c r="B557" s="284">
        <v>17.0</v>
      </c>
      <c r="C557" s="285" t="str">
        <f t="shared" si="1"/>
        <v>16 17</v>
      </c>
      <c r="D557" s="285" t="s">
        <v>9212</v>
      </c>
    </row>
    <row r="558">
      <c r="A558" s="283">
        <v>16.0</v>
      </c>
      <c r="B558" s="284">
        <v>19.0</v>
      </c>
      <c r="C558" s="285" t="str">
        <f t="shared" si="1"/>
        <v>16 19</v>
      </c>
      <c r="D558" s="285" t="s">
        <v>9213</v>
      </c>
    </row>
    <row r="559">
      <c r="A559" s="283">
        <v>16.0</v>
      </c>
      <c r="B559" s="284">
        <v>21.0</v>
      </c>
      <c r="C559" s="285" t="str">
        <f t="shared" si="1"/>
        <v>16 21</v>
      </c>
      <c r="D559" s="285" t="s">
        <v>9214</v>
      </c>
    </row>
    <row r="560">
      <c r="A560" s="283">
        <v>16.0</v>
      </c>
      <c r="B560" s="284">
        <v>23.0</v>
      </c>
      <c r="C560" s="285" t="str">
        <f t="shared" si="1"/>
        <v>16 23</v>
      </c>
      <c r="D560" s="285" t="s">
        <v>9215</v>
      </c>
    </row>
    <row r="561">
      <c r="A561" s="283">
        <v>16.0</v>
      </c>
      <c r="B561" s="284">
        <v>25.0</v>
      </c>
      <c r="C561" s="285" t="str">
        <f t="shared" si="1"/>
        <v>16 25</v>
      </c>
      <c r="D561" s="285" t="s">
        <v>9216</v>
      </c>
    </row>
    <row r="562">
      <c r="A562" s="283">
        <v>16.0</v>
      </c>
      <c r="B562" s="284">
        <v>27.0</v>
      </c>
      <c r="C562" s="285" t="str">
        <f t="shared" si="1"/>
        <v>16 27</v>
      </c>
      <c r="D562" s="285" t="s">
        <v>9217</v>
      </c>
    </row>
    <row r="563">
      <c r="A563" s="283">
        <v>16.0</v>
      </c>
      <c r="B563" s="284">
        <v>29.0</v>
      </c>
      <c r="C563" s="285" t="str">
        <f t="shared" si="1"/>
        <v>16 29</v>
      </c>
      <c r="D563" s="285" t="s">
        <v>9218</v>
      </c>
    </row>
    <row r="564">
      <c r="A564" s="283">
        <v>16.0</v>
      </c>
      <c r="B564" s="284">
        <v>31.0</v>
      </c>
      <c r="C564" s="285" t="str">
        <f t="shared" si="1"/>
        <v>16 31</v>
      </c>
      <c r="D564" s="285" t="s">
        <v>9219</v>
      </c>
    </row>
    <row r="565">
      <c r="A565" s="283">
        <v>16.0</v>
      </c>
      <c r="B565" s="284">
        <v>33.0</v>
      </c>
      <c r="C565" s="285" t="str">
        <f t="shared" si="1"/>
        <v>16 33</v>
      </c>
      <c r="D565" s="285" t="s">
        <v>9220</v>
      </c>
    </row>
    <row r="566">
      <c r="A566" s="283">
        <v>16.0</v>
      </c>
      <c r="B566" s="284">
        <v>35.0</v>
      </c>
      <c r="C566" s="285" t="str">
        <f t="shared" si="1"/>
        <v>16 35</v>
      </c>
      <c r="D566" s="285" t="s">
        <v>9221</v>
      </c>
    </row>
    <row r="567">
      <c r="A567" s="283">
        <v>16.0</v>
      </c>
      <c r="B567" s="284">
        <v>37.0</v>
      </c>
      <c r="C567" s="285" t="str">
        <f t="shared" si="1"/>
        <v>16 37</v>
      </c>
      <c r="D567" s="285" t="s">
        <v>9222</v>
      </c>
    </row>
    <row r="568">
      <c r="A568" s="283">
        <v>16.0</v>
      </c>
      <c r="B568" s="284">
        <v>39.0</v>
      </c>
      <c r="C568" s="285" t="str">
        <f t="shared" si="1"/>
        <v>16 39</v>
      </c>
      <c r="D568" s="285" t="s">
        <v>9223</v>
      </c>
    </row>
    <row r="569">
      <c r="A569" s="283">
        <v>16.0</v>
      </c>
      <c r="B569" s="284">
        <v>41.0</v>
      </c>
      <c r="C569" s="285" t="str">
        <f t="shared" si="1"/>
        <v>16 41</v>
      </c>
      <c r="D569" s="285" t="s">
        <v>9224</v>
      </c>
    </row>
    <row r="570">
      <c r="A570" s="283">
        <v>16.0</v>
      </c>
      <c r="B570" s="284">
        <v>43.0</v>
      </c>
      <c r="C570" s="285" t="str">
        <f t="shared" si="1"/>
        <v>16 43</v>
      </c>
      <c r="D570" s="285" t="s">
        <v>9225</v>
      </c>
    </row>
    <row r="571">
      <c r="A571" s="283">
        <v>16.0</v>
      </c>
      <c r="B571" s="284">
        <v>45.0</v>
      </c>
      <c r="C571" s="285" t="str">
        <f t="shared" si="1"/>
        <v>16 45</v>
      </c>
      <c r="D571" s="285" t="s">
        <v>9226</v>
      </c>
    </row>
    <row r="572">
      <c r="A572" s="283">
        <v>16.0</v>
      </c>
      <c r="B572" s="284">
        <v>47.0</v>
      </c>
      <c r="C572" s="285" t="str">
        <f t="shared" si="1"/>
        <v>16 47</v>
      </c>
      <c r="D572" s="285" t="s">
        <v>9227</v>
      </c>
    </row>
    <row r="573">
      <c r="A573" s="283">
        <v>16.0</v>
      </c>
      <c r="B573" s="284">
        <v>49.0</v>
      </c>
      <c r="C573" s="285" t="str">
        <f t="shared" si="1"/>
        <v>16 49</v>
      </c>
      <c r="D573" s="285" t="s">
        <v>9228</v>
      </c>
    </row>
    <row r="574">
      <c r="A574" s="283">
        <v>16.0</v>
      </c>
      <c r="B574" s="284">
        <v>51.0</v>
      </c>
      <c r="C574" s="285" t="str">
        <f t="shared" si="1"/>
        <v>16 51</v>
      </c>
      <c r="D574" s="285" t="s">
        <v>9229</v>
      </c>
    </row>
    <row r="575">
      <c r="A575" s="283">
        <v>16.0</v>
      </c>
      <c r="B575" s="284">
        <v>53.0</v>
      </c>
      <c r="C575" s="285" t="str">
        <f t="shared" si="1"/>
        <v>16 53</v>
      </c>
      <c r="D575" s="285" t="s">
        <v>9230</v>
      </c>
    </row>
    <row r="576">
      <c r="A576" s="283">
        <v>16.0</v>
      </c>
      <c r="B576" s="284">
        <v>55.0</v>
      </c>
      <c r="C576" s="285" t="str">
        <f t="shared" si="1"/>
        <v>16 55</v>
      </c>
      <c r="D576" s="285" t="s">
        <v>9231</v>
      </c>
    </row>
    <row r="577">
      <c r="A577" s="283">
        <v>16.0</v>
      </c>
      <c r="B577" s="284">
        <v>57.0</v>
      </c>
      <c r="C577" s="285" t="str">
        <f t="shared" si="1"/>
        <v>16 57</v>
      </c>
      <c r="D577" s="285" t="s">
        <v>9232</v>
      </c>
    </row>
    <row r="578">
      <c r="A578" s="283">
        <v>16.0</v>
      </c>
      <c r="B578" s="284">
        <v>59.0</v>
      </c>
      <c r="C578" s="285" t="str">
        <f t="shared" si="1"/>
        <v>16 59</v>
      </c>
      <c r="D578" s="285" t="s">
        <v>9233</v>
      </c>
    </row>
    <row r="579">
      <c r="A579" s="283">
        <v>16.0</v>
      </c>
      <c r="B579" s="284">
        <v>61.0</v>
      </c>
      <c r="C579" s="285" t="str">
        <f t="shared" si="1"/>
        <v>16 61</v>
      </c>
      <c r="D579" s="285" t="s">
        <v>9234</v>
      </c>
    </row>
    <row r="580">
      <c r="A580" s="283">
        <v>16.0</v>
      </c>
      <c r="B580" s="284">
        <v>63.0</v>
      </c>
      <c r="C580" s="285" t="str">
        <f t="shared" si="1"/>
        <v>16 63</v>
      </c>
      <c r="D580" s="285" t="s">
        <v>9235</v>
      </c>
    </row>
    <row r="581">
      <c r="A581" s="283">
        <v>16.0</v>
      </c>
      <c r="B581" s="284">
        <v>65.0</v>
      </c>
      <c r="C581" s="285" t="str">
        <f t="shared" si="1"/>
        <v>16 65</v>
      </c>
      <c r="D581" s="285" t="s">
        <v>9236</v>
      </c>
    </row>
    <row r="582">
      <c r="A582" s="283">
        <v>16.0</v>
      </c>
      <c r="B582" s="284">
        <v>67.0</v>
      </c>
      <c r="C582" s="285" t="str">
        <f t="shared" si="1"/>
        <v>16 67</v>
      </c>
      <c r="D582" s="285" t="s">
        <v>9237</v>
      </c>
    </row>
    <row r="583">
      <c r="A583" s="283">
        <v>16.0</v>
      </c>
      <c r="B583" s="284">
        <v>69.0</v>
      </c>
      <c r="C583" s="285" t="str">
        <f t="shared" si="1"/>
        <v>16 69</v>
      </c>
      <c r="D583" s="285" t="s">
        <v>9238</v>
      </c>
    </row>
    <row r="584">
      <c r="A584" s="283">
        <v>16.0</v>
      </c>
      <c r="B584" s="284">
        <v>71.0</v>
      </c>
      <c r="C584" s="285" t="str">
        <f t="shared" si="1"/>
        <v>16 71</v>
      </c>
      <c r="D584" s="285" t="s">
        <v>9239</v>
      </c>
    </row>
    <row r="585">
      <c r="A585" s="283">
        <v>16.0</v>
      </c>
      <c r="B585" s="284">
        <v>73.0</v>
      </c>
      <c r="C585" s="285" t="str">
        <f t="shared" si="1"/>
        <v>16 73</v>
      </c>
      <c r="D585" s="285" t="s">
        <v>9240</v>
      </c>
    </row>
    <row r="586">
      <c r="A586" s="283">
        <v>16.0</v>
      </c>
      <c r="B586" s="284">
        <v>75.0</v>
      </c>
      <c r="C586" s="285" t="str">
        <f t="shared" si="1"/>
        <v>16 75</v>
      </c>
      <c r="D586" s="285" t="s">
        <v>9241</v>
      </c>
    </row>
    <row r="587">
      <c r="A587" s="283">
        <v>16.0</v>
      </c>
      <c r="B587" s="284">
        <v>77.0</v>
      </c>
      <c r="C587" s="285" t="str">
        <f t="shared" si="1"/>
        <v>16 77</v>
      </c>
      <c r="D587" s="285" t="s">
        <v>9242</v>
      </c>
    </row>
    <row r="588">
      <c r="A588" s="283">
        <v>16.0</v>
      </c>
      <c r="B588" s="284">
        <v>79.0</v>
      </c>
      <c r="C588" s="285" t="str">
        <f t="shared" si="1"/>
        <v>16 79</v>
      </c>
      <c r="D588" s="285" t="s">
        <v>9243</v>
      </c>
    </row>
    <row r="589">
      <c r="A589" s="283">
        <v>16.0</v>
      </c>
      <c r="B589" s="284">
        <v>81.0</v>
      </c>
      <c r="C589" s="285" t="str">
        <f t="shared" si="1"/>
        <v>16 81</v>
      </c>
      <c r="D589" s="285" t="s">
        <v>9244</v>
      </c>
    </row>
    <row r="590">
      <c r="A590" s="283">
        <v>16.0</v>
      </c>
      <c r="B590" s="284">
        <v>83.0</v>
      </c>
      <c r="C590" s="285" t="str">
        <f t="shared" si="1"/>
        <v>16 83</v>
      </c>
      <c r="D590" s="285" t="s">
        <v>9245</v>
      </c>
    </row>
    <row r="591">
      <c r="A591" s="283">
        <v>16.0</v>
      </c>
      <c r="B591" s="284">
        <v>85.0</v>
      </c>
      <c r="C591" s="285" t="str">
        <f t="shared" si="1"/>
        <v>16 85</v>
      </c>
      <c r="D591" s="285" t="s">
        <v>9246</v>
      </c>
    </row>
    <row r="592">
      <c r="A592" s="283">
        <v>16.0</v>
      </c>
      <c r="B592" s="284">
        <v>87.0</v>
      </c>
      <c r="C592" s="285" t="str">
        <f t="shared" si="1"/>
        <v>16 87</v>
      </c>
      <c r="D592" s="285" t="s">
        <v>9247</v>
      </c>
    </row>
    <row r="593">
      <c r="A593" s="283">
        <v>17.0</v>
      </c>
      <c r="B593" s="284">
        <v>1.0</v>
      </c>
      <c r="C593" s="285" t="str">
        <f t="shared" si="1"/>
        <v>17 1</v>
      </c>
      <c r="D593" s="285" t="s">
        <v>9248</v>
      </c>
    </row>
    <row r="594">
      <c r="A594" s="283">
        <v>17.0</v>
      </c>
      <c r="B594" s="284">
        <v>3.0</v>
      </c>
      <c r="C594" s="285" t="str">
        <f t="shared" si="1"/>
        <v>17 3</v>
      </c>
      <c r="D594" s="285" t="s">
        <v>9249</v>
      </c>
    </row>
    <row r="595">
      <c r="A595" s="283">
        <v>17.0</v>
      </c>
      <c r="B595" s="284">
        <v>5.0</v>
      </c>
      <c r="C595" s="285" t="str">
        <f t="shared" si="1"/>
        <v>17 5</v>
      </c>
      <c r="D595" s="285" t="s">
        <v>9250</v>
      </c>
    </row>
    <row r="596">
      <c r="A596" s="283">
        <v>17.0</v>
      </c>
      <c r="B596" s="284">
        <v>7.0</v>
      </c>
      <c r="C596" s="285" t="str">
        <f t="shared" si="1"/>
        <v>17 7</v>
      </c>
      <c r="D596" s="285" t="s">
        <v>9251</v>
      </c>
    </row>
    <row r="597">
      <c r="A597" s="283">
        <v>17.0</v>
      </c>
      <c r="B597" s="284">
        <v>9.0</v>
      </c>
      <c r="C597" s="285" t="str">
        <f t="shared" si="1"/>
        <v>17 9</v>
      </c>
      <c r="D597" s="285" t="s">
        <v>9252</v>
      </c>
    </row>
    <row r="598">
      <c r="A598" s="283">
        <v>17.0</v>
      </c>
      <c r="B598" s="284">
        <v>11.0</v>
      </c>
      <c r="C598" s="285" t="str">
        <f t="shared" si="1"/>
        <v>17 11</v>
      </c>
      <c r="D598" s="285" t="s">
        <v>9253</v>
      </c>
    </row>
    <row r="599">
      <c r="A599" s="283">
        <v>17.0</v>
      </c>
      <c r="B599" s="284">
        <v>13.0</v>
      </c>
      <c r="C599" s="285" t="str">
        <f t="shared" si="1"/>
        <v>17 13</v>
      </c>
      <c r="D599" s="285" t="s">
        <v>9254</v>
      </c>
    </row>
    <row r="600">
      <c r="A600" s="283">
        <v>17.0</v>
      </c>
      <c r="B600" s="284">
        <v>15.0</v>
      </c>
      <c r="C600" s="285" t="str">
        <f t="shared" si="1"/>
        <v>17 15</v>
      </c>
      <c r="D600" s="285" t="s">
        <v>9255</v>
      </c>
    </row>
    <row r="601">
      <c r="A601" s="283">
        <v>17.0</v>
      </c>
      <c r="B601" s="284">
        <v>17.0</v>
      </c>
      <c r="C601" s="285" t="str">
        <f t="shared" si="1"/>
        <v>17 17</v>
      </c>
      <c r="D601" s="285" t="s">
        <v>9256</v>
      </c>
    </row>
    <row r="602">
      <c r="A602" s="283">
        <v>17.0</v>
      </c>
      <c r="B602" s="284">
        <v>19.0</v>
      </c>
      <c r="C602" s="285" t="str">
        <f t="shared" si="1"/>
        <v>17 19</v>
      </c>
      <c r="D602" s="285" t="s">
        <v>9257</v>
      </c>
    </row>
    <row r="603">
      <c r="A603" s="283">
        <v>17.0</v>
      </c>
      <c r="B603" s="284">
        <v>21.0</v>
      </c>
      <c r="C603" s="285" t="str">
        <f t="shared" si="1"/>
        <v>17 21</v>
      </c>
      <c r="D603" s="285" t="s">
        <v>9258</v>
      </c>
    </row>
    <row r="604">
      <c r="A604" s="283">
        <v>17.0</v>
      </c>
      <c r="B604" s="284">
        <v>23.0</v>
      </c>
      <c r="C604" s="285" t="str">
        <f t="shared" si="1"/>
        <v>17 23</v>
      </c>
      <c r="D604" s="285" t="s">
        <v>9259</v>
      </c>
    </row>
    <row r="605">
      <c r="A605" s="283">
        <v>17.0</v>
      </c>
      <c r="B605" s="284">
        <v>25.0</v>
      </c>
      <c r="C605" s="285" t="str">
        <f t="shared" si="1"/>
        <v>17 25</v>
      </c>
      <c r="D605" s="285" t="s">
        <v>9260</v>
      </c>
    </row>
    <row r="606">
      <c r="A606" s="283">
        <v>17.0</v>
      </c>
      <c r="B606" s="284">
        <v>27.0</v>
      </c>
      <c r="C606" s="285" t="str">
        <f t="shared" si="1"/>
        <v>17 27</v>
      </c>
      <c r="D606" s="285" t="s">
        <v>9261</v>
      </c>
    </row>
    <row r="607">
      <c r="A607" s="283">
        <v>17.0</v>
      </c>
      <c r="B607" s="284">
        <v>29.0</v>
      </c>
      <c r="C607" s="285" t="str">
        <f t="shared" si="1"/>
        <v>17 29</v>
      </c>
      <c r="D607" s="285" t="s">
        <v>9262</v>
      </c>
    </row>
    <row r="608">
      <c r="A608" s="283">
        <v>17.0</v>
      </c>
      <c r="B608" s="284">
        <v>31.0</v>
      </c>
      <c r="C608" s="285" t="str">
        <f t="shared" si="1"/>
        <v>17 31</v>
      </c>
      <c r="D608" s="285" t="s">
        <v>9263</v>
      </c>
    </row>
    <row r="609">
      <c r="A609" s="283">
        <v>17.0</v>
      </c>
      <c r="B609" s="284">
        <v>33.0</v>
      </c>
      <c r="C609" s="285" t="str">
        <f t="shared" si="1"/>
        <v>17 33</v>
      </c>
      <c r="D609" s="285" t="s">
        <v>9264</v>
      </c>
    </row>
    <row r="610">
      <c r="A610" s="283">
        <v>17.0</v>
      </c>
      <c r="B610" s="284">
        <v>35.0</v>
      </c>
      <c r="C610" s="285" t="str">
        <f t="shared" si="1"/>
        <v>17 35</v>
      </c>
      <c r="D610" s="285" t="s">
        <v>9265</v>
      </c>
    </row>
    <row r="611">
      <c r="A611" s="283">
        <v>17.0</v>
      </c>
      <c r="B611" s="284">
        <v>37.0</v>
      </c>
      <c r="C611" s="285" t="str">
        <f t="shared" si="1"/>
        <v>17 37</v>
      </c>
      <c r="D611" s="285" t="s">
        <v>9266</v>
      </c>
    </row>
    <row r="612">
      <c r="A612" s="283">
        <v>17.0</v>
      </c>
      <c r="B612" s="284">
        <v>39.0</v>
      </c>
      <c r="C612" s="285" t="str">
        <f t="shared" si="1"/>
        <v>17 39</v>
      </c>
      <c r="D612" s="285" t="s">
        <v>9267</v>
      </c>
    </row>
    <row r="613">
      <c r="A613" s="283">
        <v>17.0</v>
      </c>
      <c r="B613" s="284">
        <v>41.0</v>
      </c>
      <c r="C613" s="285" t="str">
        <f t="shared" si="1"/>
        <v>17 41</v>
      </c>
      <c r="D613" s="285" t="s">
        <v>9268</v>
      </c>
    </row>
    <row r="614">
      <c r="A614" s="283">
        <v>17.0</v>
      </c>
      <c r="B614" s="284">
        <v>43.0</v>
      </c>
      <c r="C614" s="285" t="str">
        <f t="shared" si="1"/>
        <v>17 43</v>
      </c>
      <c r="D614" s="285" t="s">
        <v>9269</v>
      </c>
    </row>
    <row r="615">
      <c r="A615" s="283">
        <v>17.0</v>
      </c>
      <c r="B615" s="284">
        <v>45.0</v>
      </c>
      <c r="C615" s="285" t="str">
        <f t="shared" si="1"/>
        <v>17 45</v>
      </c>
      <c r="D615" s="285" t="s">
        <v>9270</v>
      </c>
    </row>
    <row r="616">
      <c r="A616" s="283">
        <v>17.0</v>
      </c>
      <c r="B616" s="284">
        <v>47.0</v>
      </c>
      <c r="C616" s="285" t="str">
        <f t="shared" si="1"/>
        <v>17 47</v>
      </c>
      <c r="D616" s="285" t="s">
        <v>9271</v>
      </c>
    </row>
    <row r="617">
      <c r="A617" s="283">
        <v>17.0</v>
      </c>
      <c r="B617" s="284">
        <v>49.0</v>
      </c>
      <c r="C617" s="285" t="str">
        <f t="shared" si="1"/>
        <v>17 49</v>
      </c>
      <c r="D617" s="285" t="s">
        <v>9272</v>
      </c>
    </row>
    <row r="618">
      <c r="A618" s="283">
        <v>17.0</v>
      </c>
      <c r="B618" s="284">
        <v>51.0</v>
      </c>
      <c r="C618" s="285" t="str">
        <f t="shared" si="1"/>
        <v>17 51</v>
      </c>
      <c r="D618" s="285" t="s">
        <v>9273</v>
      </c>
    </row>
    <row r="619">
      <c r="A619" s="283">
        <v>17.0</v>
      </c>
      <c r="B619" s="284">
        <v>53.0</v>
      </c>
      <c r="C619" s="285" t="str">
        <f t="shared" si="1"/>
        <v>17 53</v>
      </c>
      <c r="D619" s="285" t="s">
        <v>9274</v>
      </c>
    </row>
    <row r="620">
      <c r="A620" s="283">
        <v>17.0</v>
      </c>
      <c r="B620" s="284">
        <v>55.0</v>
      </c>
      <c r="C620" s="285" t="str">
        <f t="shared" si="1"/>
        <v>17 55</v>
      </c>
      <c r="D620" s="285" t="s">
        <v>9275</v>
      </c>
    </row>
    <row r="621">
      <c r="A621" s="283">
        <v>17.0</v>
      </c>
      <c r="B621" s="284">
        <v>57.0</v>
      </c>
      <c r="C621" s="285" t="str">
        <f t="shared" si="1"/>
        <v>17 57</v>
      </c>
      <c r="D621" s="285" t="s">
        <v>9276</v>
      </c>
    </row>
    <row r="622">
      <c r="A622" s="283">
        <v>17.0</v>
      </c>
      <c r="B622" s="284">
        <v>59.0</v>
      </c>
      <c r="C622" s="285" t="str">
        <f t="shared" si="1"/>
        <v>17 59</v>
      </c>
      <c r="D622" s="285" t="s">
        <v>9277</v>
      </c>
    </row>
    <row r="623">
      <c r="A623" s="283">
        <v>17.0</v>
      </c>
      <c r="B623" s="284">
        <v>61.0</v>
      </c>
      <c r="C623" s="285" t="str">
        <f t="shared" si="1"/>
        <v>17 61</v>
      </c>
      <c r="D623" s="285" t="s">
        <v>9278</v>
      </c>
    </row>
    <row r="624">
      <c r="A624" s="283">
        <v>17.0</v>
      </c>
      <c r="B624" s="284">
        <v>63.0</v>
      </c>
      <c r="C624" s="285" t="str">
        <f t="shared" si="1"/>
        <v>17 63</v>
      </c>
      <c r="D624" s="285" t="s">
        <v>9279</v>
      </c>
    </row>
    <row r="625">
      <c r="A625" s="283">
        <v>17.0</v>
      </c>
      <c r="B625" s="284">
        <v>65.0</v>
      </c>
      <c r="C625" s="285" t="str">
        <f t="shared" si="1"/>
        <v>17 65</v>
      </c>
      <c r="D625" s="285" t="s">
        <v>9280</v>
      </c>
    </row>
    <row r="626">
      <c r="A626" s="283">
        <v>17.0</v>
      </c>
      <c r="B626" s="284">
        <v>67.0</v>
      </c>
      <c r="C626" s="285" t="str">
        <f t="shared" si="1"/>
        <v>17 67</v>
      </c>
      <c r="D626" s="285" t="s">
        <v>9281</v>
      </c>
    </row>
    <row r="627">
      <c r="A627" s="283">
        <v>17.0</v>
      </c>
      <c r="B627" s="284">
        <v>69.0</v>
      </c>
      <c r="C627" s="285" t="str">
        <f t="shared" si="1"/>
        <v>17 69</v>
      </c>
      <c r="D627" s="285" t="s">
        <v>9282</v>
      </c>
    </row>
    <row r="628">
      <c r="A628" s="283">
        <v>17.0</v>
      </c>
      <c r="B628" s="284">
        <v>71.0</v>
      </c>
      <c r="C628" s="285" t="str">
        <f t="shared" si="1"/>
        <v>17 71</v>
      </c>
      <c r="D628" s="285" t="s">
        <v>9283</v>
      </c>
    </row>
    <row r="629">
      <c r="A629" s="283">
        <v>17.0</v>
      </c>
      <c r="B629" s="284">
        <v>73.0</v>
      </c>
      <c r="C629" s="285" t="str">
        <f t="shared" si="1"/>
        <v>17 73</v>
      </c>
      <c r="D629" s="285" t="s">
        <v>9284</v>
      </c>
    </row>
    <row r="630">
      <c r="A630" s="283">
        <v>17.0</v>
      </c>
      <c r="B630" s="284">
        <v>75.0</v>
      </c>
      <c r="C630" s="285" t="str">
        <f t="shared" si="1"/>
        <v>17 75</v>
      </c>
      <c r="D630" s="285" t="s">
        <v>9285</v>
      </c>
    </row>
    <row r="631">
      <c r="A631" s="283">
        <v>17.0</v>
      </c>
      <c r="B631" s="284">
        <v>77.0</v>
      </c>
      <c r="C631" s="285" t="str">
        <f t="shared" si="1"/>
        <v>17 77</v>
      </c>
      <c r="D631" s="285" t="s">
        <v>9286</v>
      </c>
    </row>
    <row r="632">
      <c r="A632" s="283">
        <v>17.0</v>
      </c>
      <c r="B632" s="284">
        <v>79.0</v>
      </c>
      <c r="C632" s="285" t="str">
        <f t="shared" si="1"/>
        <v>17 79</v>
      </c>
      <c r="D632" s="285" t="s">
        <v>9287</v>
      </c>
    </row>
    <row r="633">
      <c r="A633" s="283">
        <v>17.0</v>
      </c>
      <c r="B633" s="284">
        <v>81.0</v>
      </c>
      <c r="C633" s="285" t="str">
        <f t="shared" si="1"/>
        <v>17 81</v>
      </c>
      <c r="D633" s="285" t="s">
        <v>9288</v>
      </c>
    </row>
    <row r="634">
      <c r="A634" s="283">
        <v>17.0</v>
      </c>
      <c r="B634" s="284">
        <v>83.0</v>
      </c>
      <c r="C634" s="285" t="str">
        <f t="shared" si="1"/>
        <v>17 83</v>
      </c>
      <c r="D634" s="285" t="s">
        <v>9289</v>
      </c>
    </row>
    <row r="635">
      <c r="A635" s="283">
        <v>17.0</v>
      </c>
      <c r="B635" s="284">
        <v>85.0</v>
      </c>
      <c r="C635" s="285" t="str">
        <f t="shared" si="1"/>
        <v>17 85</v>
      </c>
      <c r="D635" s="285" t="s">
        <v>9290</v>
      </c>
    </row>
    <row r="636">
      <c r="A636" s="283">
        <v>17.0</v>
      </c>
      <c r="B636" s="284">
        <v>87.0</v>
      </c>
      <c r="C636" s="285" t="str">
        <f t="shared" si="1"/>
        <v>17 87</v>
      </c>
      <c r="D636" s="285" t="s">
        <v>9291</v>
      </c>
    </row>
    <row r="637">
      <c r="A637" s="283">
        <v>17.0</v>
      </c>
      <c r="B637" s="284">
        <v>89.0</v>
      </c>
      <c r="C637" s="285" t="str">
        <f t="shared" si="1"/>
        <v>17 89</v>
      </c>
      <c r="D637" s="285" t="s">
        <v>9292</v>
      </c>
    </row>
    <row r="638">
      <c r="A638" s="283">
        <v>17.0</v>
      </c>
      <c r="B638" s="284">
        <v>91.0</v>
      </c>
      <c r="C638" s="285" t="str">
        <f t="shared" si="1"/>
        <v>17 91</v>
      </c>
      <c r="D638" s="285" t="s">
        <v>9293</v>
      </c>
    </row>
    <row r="639">
      <c r="A639" s="283">
        <v>17.0</v>
      </c>
      <c r="B639" s="284">
        <v>93.0</v>
      </c>
      <c r="C639" s="285" t="str">
        <f t="shared" si="1"/>
        <v>17 93</v>
      </c>
      <c r="D639" s="285" t="s">
        <v>9294</v>
      </c>
    </row>
    <row r="640">
      <c r="A640" s="283">
        <v>17.0</v>
      </c>
      <c r="B640" s="284">
        <v>95.0</v>
      </c>
      <c r="C640" s="285" t="str">
        <f t="shared" si="1"/>
        <v>17 95</v>
      </c>
      <c r="D640" s="285" t="s">
        <v>9295</v>
      </c>
    </row>
    <row r="641">
      <c r="A641" s="283">
        <v>17.0</v>
      </c>
      <c r="B641" s="284">
        <v>97.0</v>
      </c>
      <c r="C641" s="285" t="str">
        <f t="shared" si="1"/>
        <v>17 97</v>
      </c>
      <c r="D641" s="285" t="s">
        <v>9296</v>
      </c>
    </row>
    <row r="642">
      <c r="A642" s="283">
        <v>17.0</v>
      </c>
      <c r="B642" s="284">
        <v>99.0</v>
      </c>
      <c r="C642" s="285" t="str">
        <f t="shared" si="1"/>
        <v>17 99</v>
      </c>
      <c r="D642" s="285" t="s">
        <v>9297</v>
      </c>
    </row>
    <row r="643">
      <c r="A643" s="283">
        <v>17.0</v>
      </c>
      <c r="B643" s="284">
        <v>101.0</v>
      </c>
      <c r="C643" s="285" t="str">
        <f t="shared" si="1"/>
        <v>17 101</v>
      </c>
      <c r="D643" s="285" t="s">
        <v>9298</v>
      </c>
    </row>
    <row r="644">
      <c r="A644" s="283">
        <v>17.0</v>
      </c>
      <c r="B644" s="284">
        <v>103.0</v>
      </c>
      <c r="C644" s="285" t="str">
        <f t="shared" si="1"/>
        <v>17 103</v>
      </c>
      <c r="D644" s="285" t="s">
        <v>9299</v>
      </c>
    </row>
    <row r="645">
      <c r="A645" s="283">
        <v>17.0</v>
      </c>
      <c r="B645" s="284">
        <v>105.0</v>
      </c>
      <c r="C645" s="285" t="str">
        <f t="shared" si="1"/>
        <v>17 105</v>
      </c>
      <c r="D645" s="285" t="s">
        <v>9300</v>
      </c>
    </row>
    <row r="646">
      <c r="A646" s="283">
        <v>17.0</v>
      </c>
      <c r="B646" s="284">
        <v>107.0</v>
      </c>
      <c r="C646" s="285" t="str">
        <f t="shared" si="1"/>
        <v>17 107</v>
      </c>
      <c r="D646" s="285" t="s">
        <v>9301</v>
      </c>
    </row>
    <row r="647">
      <c r="A647" s="283">
        <v>17.0</v>
      </c>
      <c r="B647" s="284">
        <v>109.0</v>
      </c>
      <c r="C647" s="285" t="str">
        <f t="shared" si="1"/>
        <v>17 109</v>
      </c>
      <c r="D647" s="285" t="s">
        <v>9302</v>
      </c>
    </row>
    <row r="648">
      <c r="A648" s="283">
        <v>17.0</v>
      </c>
      <c r="B648" s="284">
        <v>111.0</v>
      </c>
      <c r="C648" s="285" t="str">
        <f t="shared" si="1"/>
        <v>17 111</v>
      </c>
      <c r="D648" s="285" t="s">
        <v>9303</v>
      </c>
    </row>
    <row r="649">
      <c r="A649" s="283">
        <v>17.0</v>
      </c>
      <c r="B649" s="284">
        <v>113.0</v>
      </c>
      <c r="C649" s="285" t="str">
        <f t="shared" si="1"/>
        <v>17 113</v>
      </c>
      <c r="D649" s="285" t="s">
        <v>9304</v>
      </c>
    </row>
    <row r="650">
      <c r="A650" s="283">
        <v>17.0</v>
      </c>
      <c r="B650" s="284">
        <v>115.0</v>
      </c>
      <c r="C650" s="285" t="str">
        <f t="shared" si="1"/>
        <v>17 115</v>
      </c>
      <c r="D650" s="285" t="s">
        <v>9305</v>
      </c>
    </row>
    <row r="651">
      <c r="A651" s="283">
        <v>17.0</v>
      </c>
      <c r="B651" s="284">
        <v>117.0</v>
      </c>
      <c r="C651" s="285" t="str">
        <f t="shared" si="1"/>
        <v>17 117</v>
      </c>
      <c r="D651" s="285" t="s">
        <v>9306</v>
      </c>
    </row>
    <row r="652">
      <c r="A652" s="283">
        <v>17.0</v>
      </c>
      <c r="B652" s="284">
        <v>119.0</v>
      </c>
      <c r="C652" s="285" t="str">
        <f t="shared" si="1"/>
        <v>17 119</v>
      </c>
      <c r="D652" s="285" t="s">
        <v>9307</v>
      </c>
    </row>
    <row r="653">
      <c r="A653" s="283">
        <v>17.0</v>
      </c>
      <c r="B653" s="284">
        <v>121.0</v>
      </c>
      <c r="C653" s="285" t="str">
        <f t="shared" si="1"/>
        <v>17 121</v>
      </c>
      <c r="D653" s="285" t="s">
        <v>9308</v>
      </c>
    </row>
    <row r="654">
      <c r="A654" s="283">
        <v>17.0</v>
      </c>
      <c r="B654" s="284">
        <v>123.0</v>
      </c>
      <c r="C654" s="285" t="str">
        <f t="shared" si="1"/>
        <v>17 123</v>
      </c>
      <c r="D654" s="285" t="s">
        <v>9309</v>
      </c>
    </row>
    <row r="655">
      <c r="A655" s="283">
        <v>17.0</v>
      </c>
      <c r="B655" s="284">
        <v>125.0</v>
      </c>
      <c r="C655" s="285" t="str">
        <f t="shared" si="1"/>
        <v>17 125</v>
      </c>
      <c r="D655" s="285" t="s">
        <v>9310</v>
      </c>
    </row>
    <row r="656">
      <c r="A656" s="283">
        <v>17.0</v>
      </c>
      <c r="B656" s="284">
        <v>127.0</v>
      </c>
      <c r="C656" s="285" t="str">
        <f t="shared" si="1"/>
        <v>17 127</v>
      </c>
      <c r="D656" s="285" t="s">
        <v>9311</v>
      </c>
    </row>
    <row r="657">
      <c r="A657" s="283">
        <v>17.0</v>
      </c>
      <c r="B657" s="284">
        <v>129.0</v>
      </c>
      <c r="C657" s="285" t="str">
        <f t="shared" si="1"/>
        <v>17 129</v>
      </c>
      <c r="D657" s="285" t="s">
        <v>9312</v>
      </c>
    </row>
    <row r="658">
      <c r="A658" s="283">
        <v>17.0</v>
      </c>
      <c r="B658" s="284">
        <v>131.0</v>
      </c>
      <c r="C658" s="285" t="str">
        <f t="shared" si="1"/>
        <v>17 131</v>
      </c>
      <c r="D658" s="285" t="s">
        <v>9313</v>
      </c>
    </row>
    <row r="659">
      <c r="A659" s="283">
        <v>17.0</v>
      </c>
      <c r="B659" s="284">
        <v>133.0</v>
      </c>
      <c r="C659" s="285" t="str">
        <f t="shared" si="1"/>
        <v>17 133</v>
      </c>
      <c r="D659" s="285" t="s">
        <v>9314</v>
      </c>
    </row>
    <row r="660">
      <c r="A660" s="283">
        <v>17.0</v>
      </c>
      <c r="B660" s="284">
        <v>135.0</v>
      </c>
      <c r="C660" s="285" t="str">
        <f t="shared" si="1"/>
        <v>17 135</v>
      </c>
      <c r="D660" s="285" t="s">
        <v>9315</v>
      </c>
    </row>
    <row r="661">
      <c r="A661" s="283">
        <v>17.0</v>
      </c>
      <c r="B661" s="284">
        <v>137.0</v>
      </c>
      <c r="C661" s="285" t="str">
        <f t="shared" si="1"/>
        <v>17 137</v>
      </c>
      <c r="D661" s="285" t="s">
        <v>9316</v>
      </c>
    </row>
    <row r="662">
      <c r="A662" s="283">
        <v>17.0</v>
      </c>
      <c r="B662" s="284">
        <v>139.0</v>
      </c>
      <c r="C662" s="285" t="str">
        <f t="shared" si="1"/>
        <v>17 139</v>
      </c>
      <c r="D662" s="285" t="s">
        <v>9317</v>
      </c>
    </row>
    <row r="663">
      <c r="A663" s="283">
        <v>17.0</v>
      </c>
      <c r="B663" s="284">
        <v>141.0</v>
      </c>
      <c r="C663" s="285" t="str">
        <f t="shared" si="1"/>
        <v>17 141</v>
      </c>
      <c r="D663" s="285" t="s">
        <v>9318</v>
      </c>
    </row>
    <row r="664">
      <c r="A664" s="283">
        <v>17.0</v>
      </c>
      <c r="B664" s="284">
        <v>143.0</v>
      </c>
      <c r="C664" s="285" t="str">
        <f t="shared" si="1"/>
        <v>17 143</v>
      </c>
      <c r="D664" s="285" t="s">
        <v>9319</v>
      </c>
    </row>
    <row r="665">
      <c r="A665" s="283">
        <v>17.0</v>
      </c>
      <c r="B665" s="284">
        <v>145.0</v>
      </c>
      <c r="C665" s="285" t="str">
        <f t="shared" si="1"/>
        <v>17 145</v>
      </c>
      <c r="D665" s="285" t="s">
        <v>9320</v>
      </c>
    </row>
    <row r="666">
      <c r="A666" s="283">
        <v>17.0</v>
      </c>
      <c r="B666" s="284">
        <v>147.0</v>
      </c>
      <c r="C666" s="285" t="str">
        <f t="shared" si="1"/>
        <v>17 147</v>
      </c>
      <c r="D666" s="285" t="s">
        <v>9321</v>
      </c>
    </row>
    <row r="667">
      <c r="A667" s="283">
        <v>17.0</v>
      </c>
      <c r="B667" s="284">
        <v>149.0</v>
      </c>
      <c r="C667" s="285" t="str">
        <f t="shared" si="1"/>
        <v>17 149</v>
      </c>
      <c r="D667" s="285" t="s">
        <v>9322</v>
      </c>
    </row>
    <row r="668">
      <c r="A668" s="283">
        <v>17.0</v>
      </c>
      <c r="B668" s="284">
        <v>151.0</v>
      </c>
      <c r="C668" s="285" t="str">
        <f t="shared" si="1"/>
        <v>17 151</v>
      </c>
      <c r="D668" s="285" t="s">
        <v>9323</v>
      </c>
    </row>
    <row r="669">
      <c r="A669" s="283">
        <v>17.0</v>
      </c>
      <c r="B669" s="284">
        <v>153.0</v>
      </c>
      <c r="C669" s="285" t="str">
        <f t="shared" si="1"/>
        <v>17 153</v>
      </c>
      <c r="D669" s="285" t="s">
        <v>9324</v>
      </c>
    </row>
    <row r="670">
      <c r="A670" s="283">
        <v>17.0</v>
      </c>
      <c r="B670" s="284">
        <v>155.0</v>
      </c>
      <c r="C670" s="285" t="str">
        <f t="shared" si="1"/>
        <v>17 155</v>
      </c>
      <c r="D670" s="285" t="s">
        <v>9325</v>
      </c>
    </row>
    <row r="671">
      <c r="A671" s="283">
        <v>17.0</v>
      </c>
      <c r="B671" s="284">
        <v>157.0</v>
      </c>
      <c r="C671" s="285" t="str">
        <f t="shared" si="1"/>
        <v>17 157</v>
      </c>
      <c r="D671" s="285" t="s">
        <v>9326</v>
      </c>
    </row>
    <row r="672">
      <c r="A672" s="283">
        <v>17.0</v>
      </c>
      <c r="B672" s="284">
        <v>159.0</v>
      </c>
      <c r="C672" s="285" t="str">
        <f t="shared" si="1"/>
        <v>17 159</v>
      </c>
      <c r="D672" s="285" t="s">
        <v>9327</v>
      </c>
    </row>
    <row r="673">
      <c r="A673" s="283">
        <v>17.0</v>
      </c>
      <c r="B673" s="284">
        <v>161.0</v>
      </c>
      <c r="C673" s="285" t="str">
        <f t="shared" si="1"/>
        <v>17 161</v>
      </c>
      <c r="D673" s="285" t="s">
        <v>9328</v>
      </c>
    </row>
    <row r="674">
      <c r="A674" s="283">
        <v>17.0</v>
      </c>
      <c r="B674" s="284">
        <v>163.0</v>
      </c>
      <c r="C674" s="285" t="str">
        <f t="shared" si="1"/>
        <v>17 163</v>
      </c>
      <c r="D674" s="285" t="s">
        <v>9329</v>
      </c>
    </row>
    <row r="675">
      <c r="A675" s="283">
        <v>17.0</v>
      </c>
      <c r="B675" s="284">
        <v>165.0</v>
      </c>
      <c r="C675" s="285" t="str">
        <f t="shared" si="1"/>
        <v>17 165</v>
      </c>
      <c r="D675" s="285" t="s">
        <v>9330</v>
      </c>
    </row>
    <row r="676">
      <c r="A676" s="283">
        <v>17.0</v>
      </c>
      <c r="B676" s="284">
        <v>167.0</v>
      </c>
      <c r="C676" s="285" t="str">
        <f t="shared" si="1"/>
        <v>17 167</v>
      </c>
      <c r="D676" s="285" t="s">
        <v>9331</v>
      </c>
    </row>
    <row r="677">
      <c r="A677" s="283">
        <v>17.0</v>
      </c>
      <c r="B677" s="284">
        <v>169.0</v>
      </c>
      <c r="C677" s="285" t="str">
        <f t="shared" si="1"/>
        <v>17 169</v>
      </c>
      <c r="D677" s="285" t="s">
        <v>9332</v>
      </c>
    </row>
    <row r="678">
      <c r="A678" s="283">
        <v>17.0</v>
      </c>
      <c r="B678" s="284">
        <v>171.0</v>
      </c>
      <c r="C678" s="285" t="str">
        <f t="shared" si="1"/>
        <v>17 171</v>
      </c>
      <c r="D678" s="285" t="s">
        <v>9333</v>
      </c>
    </row>
    <row r="679">
      <c r="A679" s="283">
        <v>17.0</v>
      </c>
      <c r="B679" s="284">
        <v>173.0</v>
      </c>
      <c r="C679" s="285" t="str">
        <f t="shared" si="1"/>
        <v>17 173</v>
      </c>
      <c r="D679" s="285" t="s">
        <v>9334</v>
      </c>
    </row>
    <row r="680">
      <c r="A680" s="283">
        <v>17.0</v>
      </c>
      <c r="B680" s="284">
        <v>175.0</v>
      </c>
      <c r="C680" s="285" t="str">
        <f t="shared" si="1"/>
        <v>17 175</v>
      </c>
      <c r="D680" s="285" t="s">
        <v>9335</v>
      </c>
    </row>
    <row r="681">
      <c r="A681" s="283">
        <v>17.0</v>
      </c>
      <c r="B681" s="284">
        <v>177.0</v>
      </c>
      <c r="C681" s="285" t="str">
        <f t="shared" si="1"/>
        <v>17 177</v>
      </c>
      <c r="D681" s="285" t="s">
        <v>9336</v>
      </c>
    </row>
    <row r="682">
      <c r="A682" s="283">
        <v>17.0</v>
      </c>
      <c r="B682" s="284">
        <v>179.0</v>
      </c>
      <c r="C682" s="285" t="str">
        <f t="shared" si="1"/>
        <v>17 179</v>
      </c>
      <c r="D682" s="285" t="s">
        <v>9337</v>
      </c>
    </row>
    <row r="683">
      <c r="A683" s="283">
        <v>17.0</v>
      </c>
      <c r="B683" s="284">
        <v>181.0</v>
      </c>
      <c r="C683" s="285" t="str">
        <f t="shared" si="1"/>
        <v>17 181</v>
      </c>
      <c r="D683" s="285" t="s">
        <v>9338</v>
      </c>
    </row>
    <row r="684">
      <c r="A684" s="283">
        <v>17.0</v>
      </c>
      <c r="B684" s="284">
        <v>183.0</v>
      </c>
      <c r="C684" s="285" t="str">
        <f t="shared" si="1"/>
        <v>17 183</v>
      </c>
      <c r="D684" s="285" t="s">
        <v>9339</v>
      </c>
    </row>
    <row r="685">
      <c r="A685" s="283">
        <v>17.0</v>
      </c>
      <c r="B685" s="284">
        <v>185.0</v>
      </c>
      <c r="C685" s="285" t="str">
        <f t="shared" si="1"/>
        <v>17 185</v>
      </c>
      <c r="D685" s="285" t="s">
        <v>9340</v>
      </c>
    </row>
    <row r="686">
      <c r="A686" s="283">
        <v>17.0</v>
      </c>
      <c r="B686" s="284">
        <v>187.0</v>
      </c>
      <c r="C686" s="285" t="str">
        <f t="shared" si="1"/>
        <v>17 187</v>
      </c>
      <c r="D686" s="285" t="s">
        <v>9341</v>
      </c>
    </row>
    <row r="687">
      <c r="A687" s="283">
        <v>17.0</v>
      </c>
      <c r="B687" s="284">
        <v>189.0</v>
      </c>
      <c r="C687" s="285" t="str">
        <f t="shared" si="1"/>
        <v>17 189</v>
      </c>
      <c r="D687" s="285" t="s">
        <v>9342</v>
      </c>
    </row>
    <row r="688">
      <c r="A688" s="283">
        <v>17.0</v>
      </c>
      <c r="B688" s="284">
        <v>191.0</v>
      </c>
      <c r="C688" s="285" t="str">
        <f t="shared" si="1"/>
        <v>17 191</v>
      </c>
      <c r="D688" s="285" t="s">
        <v>9343</v>
      </c>
    </row>
    <row r="689">
      <c r="A689" s="283">
        <v>17.0</v>
      </c>
      <c r="B689" s="284">
        <v>193.0</v>
      </c>
      <c r="C689" s="285" t="str">
        <f t="shared" si="1"/>
        <v>17 193</v>
      </c>
      <c r="D689" s="285" t="s">
        <v>9344</v>
      </c>
    </row>
    <row r="690">
      <c r="A690" s="283">
        <v>17.0</v>
      </c>
      <c r="B690" s="284">
        <v>195.0</v>
      </c>
      <c r="C690" s="285" t="str">
        <f t="shared" si="1"/>
        <v>17 195</v>
      </c>
      <c r="D690" s="285" t="s">
        <v>9345</v>
      </c>
    </row>
    <row r="691">
      <c r="A691" s="283">
        <v>17.0</v>
      </c>
      <c r="B691" s="284">
        <v>197.0</v>
      </c>
      <c r="C691" s="285" t="str">
        <f t="shared" si="1"/>
        <v>17 197</v>
      </c>
      <c r="D691" s="285" t="s">
        <v>9346</v>
      </c>
    </row>
    <row r="692">
      <c r="A692" s="283">
        <v>17.0</v>
      </c>
      <c r="B692" s="284">
        <v>199.0</v>
      </c>
      <c r="C692" s="285" t="str">
        <f t="shared" si="1"/>
        <v>17 199</v>
      </c>
      <c r="D692" s="285" t="s">
        <v>9347</v>
      </c>
    </row>
    <row r="693">
      <c r="A693" s="283">
        <v>17.0</v>
      </c>
      <c r="B693" s="284">
        <v>201.0</v>
      </c>
      <c r="C693" s="285" t="str">
        <f t="shared" si="1"/>
        <v>17 201</v>
      </c>
      <c r="D693" s="285" t="s">
        <v>9348</v>
      </c>
    </row>
    <row r="694">
      <c r="A694" s="283">
        <v>17.0</v>
      </c>
      <c r="B694" s="284">
        <v>203.0</v>
      </c>
      <c r="C694" s="285" t="str">
        <f t="shared" si="1"/>
        <v>17 203</v>
      </c>
      <c r="D694" s="285" t="s">
        <v>9349</v>
      </c>
    </row>
    <row r="695">
      <c r="A695" s="283">
        <v>18.0</v>
      </c>
      <c r="B695" s="284">
        <v>1.0</v>
      </c>
      <c r="C695" s="285" t="str">
        <f t="shared" si="1"/>
        <v>18 1</v>
      </c>
      <c r="D695" s="285" t="s">
        <v>9350</v>
      </c>
    </row>
    <row r="696">
      <c r="A696" s="283">
        <v>18.0</v>
      </c>
      <c r="B696" s="284">
        <v>3.0</v>
      </c>
      <c r="C696" s="285" t="str">
        <f t="shared" si="1"/>
        <v>18 3</v>
      </c>
      <c r="D696" s="285" t="s">
        <v>9351</v>
      </c>
    </row>
    <row r="697">
      <c r="A697" s="283">
        <v>18.0</v>
      </c>
      <c r="B697" s="284">
        <v>5.0</v>
      </c>
      <c r="C697" s="285" t="str">
        <f t="shared" si="1"/>
        <v>18 5</v>
      </c>
      <c r="D697" s="285" t="s">
        <v>9352</v>
      </c>
    </row>
    <row r="698">
      <c r="A698" s="283">
        <v>18.0</v>
      </c>
      <c r="B698" s="284">
        <v>7.0</v>
      </c>
      <c r="C698" s="285" t="str">
        <f t="shared" si="1"/>
        <v>18 7</v>
      </c>
      <c r="D698" s="285" t="s">
        <v>9353</v>
      </c>
    </row>
    <row r="699">
      <c r="A699" s="283">
        <v>18.0</v>
      </c>
      <c r="B699" s="284">
        <v>9.0</v>
      </c>
      <c r="C699" s="285" t="str">
        <f t="shared" si="1"/>
        <v>18 9</v>
      </c>
      <c r="D699" s="285" t="s">
        <v>9354</v>
      </c>
    </row>
    <row r="700">
      <c r="A700" s="283">
        <v>18.0</v>
      </c>
      <c r="B700" s="284">
        <v>11.0</v>
      </c>
      <c r="C700" s="285" t="str">
        <f t="shared" si="1"/>
        <v>18 11</v>
      </c>
      <c r="D700" s="285" t="s">
        <v>9355</v>
      </c>
    </row>
    <row r="701">
      <c r="A701" s="283">
        <v>18.0</v>
      </c>
      <c r="B701" s="284">
        <v>13.0</v>
      </c>
      <c r="C701" s="285" t="str">
        <f t="shared" si="1"/>
        <v>18 13</v>
      </c>
      <c r="D701" s="285" t="s">
        <v>9356</v>
      </c>
    </row>
    <row r="702">
      <c r="A702" s="283">
        <v>18.0</v>
      </c>
      <c r="B702" s="284">
        <v>15.0</v>
      </c>
      <c r="C702" s="285" t="str">
        <f t="shared" si="1"/>
        <v>18 15</v>
      </c>
      <c r="D702" s="285" t="s">
        <v>9357</v>
      </c>
    </row>
    <row r="703">
      <c r="A703" s="283">
        <v>18.0</v>
      </c>
      <c r="B703" s="284">
        <v>17.0</v>
      </c>
      <c r="C703" s="285" t="str">
        <f t="shared" si="1"/>
        <v>18 17</v>
      </c>
      <c r="D703" s="285" t="s">
        <v>9358</v>
      </c>
    </row>
    <row r="704">
      <c r="A704" s="283">
        <v>18.0</v>
      </c>
      <c r="B704" s="284">
        <v>19.0</v>
      </c>
      <c r="C704" s="285" t="str">
        <f t="shared" si="1"/>
        <v>18 19</v>
      </c>
      <c r="D704" s="285" t="s">
        <v>9359</v>
      </c>
    </row>
    <row r="705">
      <c r="A705" s="283">
        <v>18.0</v>
      </c>
      <c r="B705" s="284">
        <v>21.0</v>
      </c>
      <c r="C705" s="285" t="str">
        <f t="shared" si="1"/>
        <v>18 21</v>
      </c>
      <c r="D705" s="285" t="s">
        <v>9360</v>
      </c>
    </row>
    <row r="706">
      <c r="A706" s="283">
        <v>18.0</v>
      </c>
      <c r="B706" s="284">
        <v>23.0</v>
      </c>
      <c r="C706" s="285" t="str">
        <f t="shared" si="1"/>
        <v>18 23</v>
      </c>
      <c r="D706" s="285" t="s">
        <v>9361</v>
      </c>
    </row>
    <row r="707">
      <c r="A707" s="283">
        <v>18.0</v>
      </c>
      <c r="B707" s="284">
        <v>25.0</v>
      </c>
      <c r="C707" s="285" t="str">
        <f t="shared" si="1"/>
        <v>18 25</v>
      </c>
      <c r="D707" s="285" t="s">
        <v>9362</v>
      </c>
    </row>
    <row r="708">
      <c r="A708" s="283">
        <v>18.0</v>
      </c>
      <c r="B708" s="284">
        <v>27.0</v>
      </c>
      <c r="C708" s="285" t="str">
        <f t="shared" si="1"/>
        <v>18 27</v>
      </c>
      <c r="D708" s="285" t="s">
        <v>9363</v>
      </c>
    </row>
    <row r="709">
      <c r="A709" s="283">
        <v>18.0</v>
      </c>
      <c r="B709" s="284">
        <v>29.0</v>
      </c>
      <c r="C709" s="285" t="str">
        <f t="shared" si="1"/>
        <v>18 29</v>
      </c>
      <c r="D709" s="285" t="s">
        <v>9364</v>
      </c>
    </row>
    <row r="710">
      <c r="A710" s="283">
        <v>18.0</v>
      </c>
      <c r="B710" s="284">
        <v>31.0</v>
      </c>
      <c r="C710" s="285" t="str">
        <f t="shared" si="1"/>
        <v>18 31</v>
      </c>
      <c r="D710" s="285" t="s">
        <v>9365</v>
      </c>
    </row>
    <row r="711">
      <c r="A711" s="283">
        <v>18.0</v>
      </c>
      <c r="B711" s="284">
        <v>33.0</v>
      </c>
      <c r="C711" s="285" t="str">
        <f t="shared" si="1"/>
        <v>18 33</v>
      </c>
      <c r="D711" s="285" t="s">
        <v>9366</v>
      </c>
    </row>
    <row r="712">
      <c r="A712" s="283">
        <v>18.0</v>
      </c>
      <c r="B712" s="284">
        <v>35.0</v>
      </c>
      <c r="C712" s="285" t="str">
        <f t="shared" si="1"/>
        <v>18 35</v>
      </c>
      <c r="D712" s="285" t="s">
        <v>9367</v>
      </c>
    </row>
    <row r="713">
      <c r="A713" s="283">
        <v>18.0</v>
      </c>
      <c r="B713" s="284">
        <v>37.0</v>
      </c>
      <c r="C713" s="285" t="str">
        <f t="shared" si="1"/>
        <v>18 37</v>
      </c>
      <c r="D713" s="285" t="s">
        <v>9368</v>
      </c>
    </row>
    <row r="714">
      <c r="A714" s="283">
        <v>18.0</v>
      </c>
      <c r="B714" s="284">
        <v>39.0</v>
      </c>
      <c r="C714" s="285" t="str">
        <f t="shared" si="1"/>
        <v>18 39</v>
      </c>
      <c r="D714" s="285" t="s">
        <v>9369</v>
      </c>
    </row>
    <row r="715">
      <c r="A715" s="283">
        <v>18.0</v>
      </c>
      <c r="B715" s="284">
        <v>41.0</v>
      </c>
      <c r="C715" s="285" t="str">
        <f t="shared" si="1"/>
        <v>18 41</v>
      </c>
      <c r="D715" s="285" t="s">
        <v>9370</v>
      </c>
    </row>
    <row r="716">
      <c r="A716" s="283">
        <v>18.0</v>
      </c>
      <c r="B716" s="284">
        <v>43.0</v>
      </c>
      <c r="C716" s="285" t="str">
        <f t="shared" si="1"/>
        <v>18 43</v>
      </c>
      <c r="D716" s="285" t="s">
        <v>9371</v>
      </c>
    </row>
    <row r="717">
      <c r="A717" s="283">
        <v>18.0</v>
      </c>
      <c r="B717" s="284">
        <v>45.0</v>
      </c>
      <c r="C717" s="285" t="str">
        <f t="shared" si="1"/>
        <v>18 45</v>
      </c>
      <c r="D717" s="285" t="s">
        <v>9372</v>
      </c>
    </row>
    <row r="718">
      <c r="A718" s="283">
        <v>18.0</v>
      </c>
      <c r="B718" s="284">
        <v>47.0</v>
      </c>
      <c r="C718" s="285" t="str">
        <f t="shared" si="1"/>
        <v>18 47</v>
      </c>
      <c r="D718" s="285" t="s">
        <v>9373</v>
      </c>
    </row>
    <row r="719">
      <c r="A719" s="283">
        <v>18.0</v>
      </c>
      <c r="B719" s="284">
        <v>49.0</v>
      </c>
      <c r="C719" s="285" t="str">
        <f t="shared" si="1"/>
        <v>18 49</v>
      </c>
      <c r="D719" s="285" t="s">
        <v>9374</v>
      </c>
    </row>
    <row r="720">
      <c r="A720" s="283">
        <v>18.0</v>
      </c>
      <c r="B720" s="284">
        <v>51.0</v>
      </c>
      <c r="C720" s="285" t="str">
        <f t="shared" si="1"/>
        <v>18 51</v>
      </c>
      <c r="D720" s="285" t="s">
        <v>9375</v>
      </c>
    </row>
    <row r="721">
      <c r="A721" s="283">
        <v>18.0</v>
      </c>
      <c r="B721" s="284">
        <v>53.0</v>
      </c>
      <c r="C721" s="285" t="str">
        <f t="shared" si="1"/>
        <v>18 53</v>
      </c>
      <c r="D721" s="285" t="s">
        <v>9376</v>
      </c>
    </row>
    <row r="722">
      <c r="A722" s="283">
        <v>18.0</v>
      </c>
      <c r="B722" s="284">
        <v>55.0</v>
      </c>
      <c r="C722" s="285" t="str">
        <f t="shared" si="1"/>
        <v>18 55</v>
      </c>
      <c r="D722" s="285" t="s">
        <v>9377</v>
      </c>
    </row>
    <row r="723">
      <c r="A723" s="283">
        <v>18.0</v>
      </c>
      <c r="B723" s="284">
        <v>57.0</v>
      </c>
      <c r="C723" s="285" t="str">
        <f t="shared" si="1"/>
        <v>18 57</v>
      </c>
      <c r="D723" s="285" t="s">
        <v>9378</v>
      </c>
    </row>
    <row r="724">
      <c r="A724" s="283">
        <v>18.0</v>
      </c>
      <c r="B724" s="284">
        <v>59.0</v>
      </c>
      <c r="C724" s="285" t="str">
        <f t="shared" si="1"/>
        <v>18 59</v>
      </c>
      <c r="D724" s="285" t="s">
        <v>9379</v>
      </c>
    </row>
    <row r="725">
      <c r="A725" s="283">
        <v>18.0</v>
      </c>
      <c r="B725" s="284">
        <v>61.0</v>
      </c>
      <c r="C725" s="285" t="str">
        <f t="shared" si="1"/>
        <v>18 61</v>
      </c>
      <c r="D725" s="285" t="s">
        <v>9380</v>
      </c>
    </row>
    <row r="726">
      <c r="A726" s="283">
        <v>18.0</v>
      </c>
      <c r="B726" s="284">
        <v>63.0</v>
      </c>
      <c r="C726" s="285" t="str">
        <f t="shared" si="1"/>
        <v>18 63</v>
      </c>
      <c r="D726" s="285" t="s">
        <v>9381</v>
      </c>
    </row>
    <row r="727">
      <c r="A727" s="283">
        <v>18.0</v>
      </c>
      <c r="B727" s="284">
        <v>65.0</v>
      </c>
      <c r="C727" s="285" t="str">
        <f t="shared" si="1"/>
        <v>18 65</v>
      </c>
      <c r="D727" s="285" t="s">
        <v>9382</v>
      </c>
    </row>
    <row r="728">
      <c r="A728" s="283">
        <v>18.0</v>
      </c>
      <c r="B728" s="284">
        <v>67.0</v>
      </c>
      <c r="C728" s="285" t="str">
        <f t="shared" si="1"/>
        <v>18 67</v>
      </c>
      <c r="D728" s="285" t="s">
        <v>9383</v>
      </c>
    </row>
    <row r="729">
      <c r="A729" s="283">
        <v>18.0</v>
      </c>
      <c r="B729" s="284">
        <v>69.0</v>
      </c>
      <c r="C729" s="285" t="str">
        <f t="shared" si="1"/>
        <v>18 69</v>
      </c>
      <c r="D729" s="285" t="s">
        <v>9384</v>
      </c>
    </row>
    <row r="730">
      <c r="A730" s="283">
        <v>18.0</v>
      </c>
      <c r="B730" s="284">
        <v>71.0</v>
      </c>
      <c r="C730" s="285" t="str">
        <f t="shared" si="1"/>
        <v>18 71</v>
      </c>
      <c r="D730" s="285" t="s">
        <v>9385</v>
      </c>
    </row>
    <row r="731">
      <c r="A731" s="283">
        <v>18.0</v>
      </c>
      <c r="B731" s="284">
        <v>73.0</v>
      </c>
      <c r="C731" s="285" t="str">
        <f t="shared" si="1"/>
        <v>18 73</v>
      </c>
      <c r="D731" s="285" t="s">
        <v>9386</v>
      </c>
    </row>
    <row r="732">
      <c r="A732" s="283">
        <v>18.0</v>
      </c>
      <c r="B732" s="284">
        <v>75.0</v>
      </c>
      <c r="C732" s="285" t="str">
        <f t="shared" si="1"/>
        <v>18 75</v>
      </c>
      <c r="D732" s="285" t="s">
        <v>9387</v>
      </c>
    </row>
    <row r="733">
      <c r="A733" s="283">
        <v>18.0</v>
      </c>
      <c r="B733" s="284">
        <v>77.0</v>
      </c>
      <c r="C733" s="285" t="str">
        <f t="shared" si="1"/>
        <v>18 77</v>
      </c>
      <c r="D733" s="285" t="s">
        <v>9388</v>
      </c>
    </row>
    <row r="734">
      <c r="A734" s="283">
        <v>18.0</v>
      </c>
      <c r="B734" s="284">
        <v>79.0</v>
      </c>
      <c r="C734" s="285" t="str">
        <f t="shared" si="1"/>
        <v>18 79</v>
      </c>
      <c r="D734" s="285" t="s">
        <v>9389</v>
      </c>
    </row>
    <row r="735">
      <c r="A735" s="283">
        <v>18.0</v>
      </c>
      <c r="B735" s="284">
        <v>81.0</v>
      </c>
      <c r="C735" s="285" t="str">
        <f t="shared" si="1"/>
        <v>18 81</v>
      </c>
      <c r="D735" s="285" t="s">
        <v>9390</v>
      </c>
    </row>
    <row r="736">
      <c r="A736" s="283">
        <v>18.0</v>
      </c>
      <c r="B736" s="284">
        <v>83.0</v>
      </c>
      <c r="C736" s="285" t="str">
        <f t="shared" si="1"/>
        <v>18 83</v>
      </c>
      <c r="D736" s="285" t="s">
        <v>9391</v>
      </c>
    </row>
    <row r="737">
      <c r="A737" s="283">
        <v>18.0</v>
      </c>
      <c r="B737" s="284">
        <v>85.0</v>
      </c>
      <c r="C737" s="285" t="str">
        <f t="shared" si="1"/>
        <v>18 85</v>
      </c>
      <c r="D737" s="285" t="s">
        <v>9392</v>
      </c>
    </row>
    <row r="738">
      <c r="A738" s="283">
        <v>18.0</v>
      </c>
      <c r="B738" s="284">
        <v>87.0</v>
      </c>
      <c r="C738" s="285" t="str">
        <f t="shared" si="1"/>
        <v>18 87</v>
      </c>
      <c r="D738" s="285" t="s">
        <v>9393</v>
      </c>
    </row>
    <row r="739">
      <c r="A739" s="283">
        <v>18.0</v>
      </c>
      <c r="B739" s="284">
        <v>89.0</v>
      </c>
      <c r="C739" s="285" t="str">
        <f t="shared" si="1"/>
        <v>18 89</v>
      </c>
      <c r="D739" s="285" t="s">
        <v>9394</v>
      </c>
    </row>
    <row r="740">
      <c r="A740" s="283">
        <v>18.0</v>
      </c>
      <c r="B740" s="284">
        <v>91.0</v>
      </c>
      <c r="C740" s="285" t="str">
        <f t="shared" si="1"/>
        <v>18 91</v>
      </c>
      <c r="D740" s="285" t="s">
        <v>9395</v>
      </c>
    </row>
    <row r="741">
      <c r="A741" s="283">
        <v>18.0</v>
      </c>
      <c r="B741" s="284">
        <v>93.0</v>
      </c>
      <c r="C741" s="285" t="str">
        <f t="shared" si="1"/>
        <v>18 93</v>
      </c>
      <c r="D741" s="285" t="s">
        <v>9396</v>
      </c>
    </row>
    <row r="742">
      <c r="A742" s="283">
        <v>18.0</v>
      </c>
      <c r="B742" s="284">
        <v>95.0</v>
      </c>
      <c r="C742" s="285" t="str">
        <f t="shared" si="1"/>
        <v>18 95</v>
      </c>
      <c r="D742" s="285" t="s">
        <v>9397</v>
      </c>
    </row>
    <row r="743">
      <c r="A743" s="283">
        <v>18.0</v>
      </c>
      <c r="B743" s="284">
        <v>97.0</v>
      </c>
      <c r="C743" s="285" t="str">
        <f t="shared" si="1"/>
        <v>18 97</v>
      </c>
      <c r="D743" s="285" t="s">
        <v>9398</v>
      </c>
    </row>
    <row r="744">
      <c r="A744" s="283">
        <v>18.0</v>
      </c>
      <c r="B744" s="284">
        <v>99.0</v>
      </c>
      <c r="C744" s="285" t="str">
        <f t="shared" si="1"/>
        <v>18 99</v>
      </c>
      <c r="D744" s="285" t="s">
        <v>9399</v>
      </c>
    </row>
    <row r="745">
      <c r="A745" s="283">
        <v>18.0</v>
      </c>
      <c r="B745" s="284">
        <v>101.0</v>
      </c>
      <c r="C745" s="285" t="str">
        <f t="shared" si="1"/>
        <v>18 101</v>
      </c>
      <c r="D745" s="285" t="s">
        <v>9400</v>
      </c>
    </row>
    <row r="746">
      <c r="A746" s="283">
        <v>18.0</v>
      </c>
      <c r="B746" s="284">
        <v>103.0</v>
      </c>
      <c r="C746" s="285" t="str">
        <f t="shared" si="1"/>
        <v>18 103</v>
      </c>
      <c r="D746" s="285" t="s">
        <v>9401</v>
      </c>
    </row>
    <row r="747">
      <c r="A747" s="283">
        <v>18.0</v>
      </c>
      <c r="B747" s="284">
        <v>105.0</v>
      </c>
      <c r="C747" s="285" t="str">
        <f t="shared" si="1"/>
        <v>18 105</v>
      </c>
      <c r="D747" s="285" t="s">
        <v>9402</v>
      </c>
    </row>
    <row r="748">
      <c r="A748" s="283">
        <v>18.0</v>
      </c>
      <c r="B748" s="284">
        <v>107.0</v>
      </c>
      <c r="C748" s="285" t="str">
        <f t="shared" si="1"/>
        <v>18 107</v>
      </c>
      <c r="D748" s="285" t="s">
        <v>9403</v>
      </c>
    </row>
    <row r="749">
      <c r="A749" s="283">
        <v>18.0</v>
      </c>
      <c r="B749" s="284">
        <v>109.0</v>
      </c>
      <c r="C749" s="285" t="str">
        <f t="shared" si="1"/>
        <v>18 109</v>
      </c>
      <c r="D749" s="285" t="s">
        <v>9404</v>
      </c>
    </row>
    <row r="750">
      <c r="A750" s="283">
        <v>18.0</v>
      </c>
      <c r="B750" s="284">
        <v>111.0</v>
      </c>
      <c r="C750" s="285" t="str">
        <f t="shared" si="1"/>
        <v>18 111</v>
      </c>
      <c r="D750" s="285" t="s">
        <v>9405</v>
      </c>
    </row>
    <row r="751">
      <c r="A751" s="283">
        <v>18.0</v>
      </c>
      <c r="B751" s="284">
        <v>113.0</v>
      </c>
      <c r="C751" s="285" t="str">
        <f t="shared" si="1"/>
        <v>18 113</v>
      </c>
      <c r="D751" s="285" t="s">
        <v>9406</v>
      </c>
    </row>
    <row r="752">
      <c r="A752" s="283">
        <v>18.0</v>
      </c>
      <c r="B752" s="284">
        <v>115.0</v>
      </c>
      <c r="C752" s="285" t="str">
        <f t="shared" si="1"/>
        <v>18 115</v>
      </c>
      <c r="D752" s="285" t="s">
        <v>9407</v>
      </c>
    </row>
    <row r="753">
      <c r="A753" s="283">
        <v>18.0</v>
      </c>
      <c r="B753" s="284">
        <v>117.0</v>
      </c>
      <c r="C753" s="285" t="str">
        <f t="shared" si="1"/>
        <v>18 117</v>
      </c>
      <c r="D753" s="285" t="s">
        <v>9408</v>
      </c>
    </row>
    <row r="754">
      <c r="A754" s="283">
        <v>18.0</v>
      </c>
      <c r="B754" s="284">
        <v>119.0</v>
      </c>
      <c r="C754" s="285" t="str">
        <f t="shared" si="1"/>
        <v>18 119</v>
      </c>
      <c r="D754" s="285" t="s">
        <v>9409</v>
      </c>
    </row>
    <row r="755">
      <c r="A755" s="283">
        <v>18.0</v>
      </c>
      <c r="B755" s="284">
        <v>121.0</v>
      </c>
      <c r="C755" s="285" t="str">
        <f t="shared" si="1"/>
        <v>18 121</v>
      </c>
      <c r="D755" s="285" t="s">
        <v>9410</v>
      </c>
    </row>
    <row r="756">
      <c r="A756" s="283">
        <v>18.0</v>
      </c>
      <c r="B756" s="284">
        <v>123.0</v>
      </c>
      <c r="C756" s="285" t="str">
        <f t="shared" si="1"/>
        <v>18 123</v>
      </c>
      <c r="D756" s="285" t="s">
        <v>9411</v>
      </c>
    </row>
    <row r="757">
      <c r="A757" s="283">
        <v>18.0</v>
      </c>
      <c r="B757" s="284">
        <v>125.0</v>
      </c>
      <c r="C757" s="285" t="str">
        <f t="shared" si="1"/>
        <v>18 125</v>
      </c>
      <c r="D757" s="285" t="s">
        <v>9412</v>
      </c>
    </row>
    <row r="758">
      <c r="A758" s="283">
        <v>18.0</v>
      </c>
      <c r="B758" s="284">
        <v>127.0</v>
      </c>
      <c r="C758" s="285" t="str">
        <f t="shared" si="1"/>
        <v>18 127</v>
      </c>
      <c r="D758" s="285" t="s">
        <v>9413</v>
      </c>
    </row>
    <row r="759">
      <c r="A759" s="283">
        <v>18.0</v>
      </c>
      <c r="B759" s="284">
        <v>129.0</v>
      </c>
      <c r="C759" s="285" t="str">
        <f t="shared" si="1"/>
        <v>18 129</v>
      </c>
      <c r="D759" s="285" t="s">
        <v>9414</v>
      </c>
    </row>
    <row r="760">
      <c r="A760" s="283">
        <v>18.0</v>
      </c>
      <c r="B760" s="284">
        <v>131.0</v>
      </c>
      <c r="C760" s="285" t="str">
        <f t="shared" si="1"/>
        <v>18 131</v>
      </c>
      <c r="D760" s="285" t="s">
        <v>9415</v>
      </c>
    </row>
    <row r="761">
      <c r="A761" s="283">
        <v>18.0</v>
      </c>
      <c r="B761" s="284">
        <v>133.0</v>
      </c>
      <c r="C761" s="285" t="str">
        <f t="shared" si="1"/>
        <v>18 133</v>
      </c>
      <c r="D761" s="285" t="s">
        <v>9416</v>
      </c>
    </row>
    <row r="762">
      <c r="A762" s="283">
        <v>18.0</v>
      </c>
      <c r="B762" s="284">
        <v>135.0</v>
      </c>
      <c r="C762" s="285" t="str">
        <f t="shared" si="1"/>
        <v>18 135</v>
      </c>
      <c r="D762" s="285" t="s">
        <v>9417</v>
      </c>
    </row>
    <row r="763">
      <c r="A763" s="283">
        <v>18.0</v>
      </c>
      <c r="B763" s="284">
        <v>137.0</v>
      </c>
      <c r="C763" s="285" t="str">
        <f t="shared" si="1"/>
        <v>18 137</v>
      </c>
      <c r="D763" s="285" t="s">
        <v>9418</v>
      </c>
    </row>
    <row r="764">
      <c r="A764" s="283">
        <v>18.0</v>
      </c>
      <c r="B764" s="284">
        <v>139.0</v>
      </c>
      <c r="C764" s="285" t="str">
        <f t="shared" si="1"/>
        <v>18 139</v>
      </c>
      <c r="D764" s="285" t="s">
        <v>9419</v>
      </c>
    </row>
    <row r="765">
      <c r="A765" s="283">
        <v>18.0</v>
      </c>
      <c r="B765" s="284">
        <v>141.0</v>
      </c>
      <c r="C765" s="285" t="str">
        <f t="shared" si="1"/>
        <v>18 141</v>
      </c>
      <c r="D765" s="285" t="s">
        <v>9420</v>
      </c>
    </row>
    <row r="766">
      <c r="A766" s="283">
        <v>18.0</v>
      </c>
      <c r="B766" s="284">
        <v>143.0</v>
      </c>
      <c r="C766" s="285" t="str">
        <f t="shared" si="1"/>
        <v>18 143</v>
      </c>
      <c r="D766" s="285" t="s">
        <v>9421</v>
      </c>
    </row>
    <row r="767">
      <c r="A767" s="283">
        <v>18.0</v>
      </c>
      <c r="B767" s="284">
        <v>145.0</v>
      </c>
      <c r="C767" s="285" t="str">
        <f t="shared" si="1"/>
        <v>18 145</v>
      </c>
      <c r="D767" s="285" t="s">
        <v>9422</v>
      </c>
    </row>
    <row r="768">
      <c r="A768" s="283">
        <v>18.0</v>
      </c>
      <c r="B768" s="284">
        <v>147.0</v>
      </c>
      <c r="C768" s="285" t="str">
        <f t="shared" si="1"/>
        <v>18 147</v>
      </c>
      <c r="D768" s="285" t="s">
        <v>9423</v>
      </c>
    </row>
    <row r="769">
      <c r="A769" s="283">
        <v>18.0</v>
      </c>
      <c r="B769" s="284">
        <v>149.0</v>
      </c>
      <c r="C769" s="285" t="str">
        <f t="shared" si="1"/>
        <v>18 149</v>
      </c>
      <c r="D769" s="285" t="s">
        <v>9424</v>
      </c>
    </row>
    <row r="770">
      <c r="A770" s="283">
        <v>18.0</v>
      </c>
      <c r="B770" s="284">
        <v>151.0</v>
      </c>
      <c r="C770" s="285" t="str">
        <f t="shared" si="1"/>
        <v>18 151</v>
      </c>
      <c r="D770" s="285" t="s">
        <v>9425</v>
      </c>
    </row>
    <row r="771">
      <c r="A771" s="283">
        <v>18.0</v>
      </c>
      <c r="B771" s="284">
        <v>153.0</v>
      </c>
      <c r="C771" s="285" t="str">
        <f t="shared" si="1"/>
        <v>18 153</v>
      </c>
      <c r="D771" s="285" t="s">
        <v>9426</v>
      </c>
    </row>
    <row r="772">
      <c r="A772" s="283">
        <v>18.0</v>
      </c>
      <c r="B772" s="284">
        <v>155.0</v>
      </c>
      <c r="C772" s="285" t="str">
        <f t="shared" si="1"/>
        <v>18 155</v>
      </c>
      <c r="D772" s="285" t="s">
        <v>9427</v>
      </c>
    </row>
    <row r="773">
      <c r="A773" s="283">
        <v>18.0</v>
      </c>
      <c r="B773" s="284">
        <v>157.0</v>
      </c>
      <c r="C773" s="285" t="str">
        <f t="shared" si="1"/>
        <v>18 157</v>
      </c>
      <c r="D773" s="285" t="s">
        <v>9428</v>
      </c>
    </row>
    <row r="774">
      <c r="A774" s="283">
        <v>18.0</v>
      </c>
      <c r="B774" s="284">
        <v>159.0</v>
      </c>
      <c r="C774" s="285" t="str">
        <f t="shared" si="1"/>
        <v>18 159</v>
      </c>
      <c r="D774" s="285" t="s">
        <v>9429</v>
      </c>
    </row>
    <row r="775">
      <c r="A775" s="283">
        <v>18.0</v>
      </c>
      <c r="B775" s="284">
        <v>161.0</v>
      </c>
      <c r="C775" s="285" t="str">
        <f t="shared" si="1"/>
        <v>18 161</v>
      </c>
      <c r="D775" s="285" t="s">
        <v>9430</v>
      </c>
    </row>
    <row r="776">
      <c r="A776" s="283">
        <v>18.0</v>
      </c>
      <c r="B776" s="284">
        <v>163.0</v>
      </c>
      <c r="C776" s="285" t="str">
        <f t="shared" si="1"/>
        <v>18 163</v>
      </c>
      <c r="D776" s="285" t="s">
        <v>9431</v>
      </c>
    </row>
    <row r="777">
      <c r="A777" s="283">
        <v>18.0</v>
      </c>
      <c r="B777" s="284">
        <v>165.0</v>
      </c>
      <c r="C777" s="285" t="str">
        <f t="shared" si="1"/>
        <v>18 165</v>
      </c>
      <c r="D777" s="285" t="s">
        <v>9432</v>
      </c>
    </row>
    <row r="778">
      <c r="A778" s="283">
        <v>18.0</v>
      </c>
      <c r="B778" s="284">
        <v>167.0</v>
      </c>
      <c r="C778" s="285" t="str">
        <f t="shared" si="1"/>
        <v>18 167</v>
      </c>
      <c r="D778" s="285" t="s">
        <v>9433</v>
      </c>
    </row>
    <row r="779">
      <c r="A779" s="283">
        <v>18.0</v>
      </c>
      <c r="B779" s="284">
        <v>169.0</v>
      </c>
      <c r="C779" s="285" t="str">
        <f t="shared" si="1"/>
        <v>18 169</v>
      </c>
      <c r="D779" s="285" t="s">
        <v>9434</v>
      </c>
    </row>
    <row r="780">
      <c r="A780" s="283">
        <v>18.0</v>
      </c>
      <c r="B780" s="284">
        <v>171.0</v>
      </c>
      <c r="C780" s="285" t="str">
        <f t="shared" si="1"/>
        <v>18 171</v>
      </c>
      <c r="D780" s="285" t="s">
        <v>9435</v>
      </c>
    </row>
    <row r="781">
      <c r="A781" s="283">
        <v>18.0</v>
      </c>
      <c r="B781" s="284">
        <v>173.0</v>
      </c>
      <c r="C781" s="285" t="str">
        <f t="shared" si="1"/>
        <v>18 173</v>
      </c>
      <c r="D781" s="285" t="s">
        <v>9436</v>
      </c>
    </row>
    <row r="782">
      <c r="A782" s="283">
        <v>18.0</v>
      </c>
      <c r="B782" s="284">
        <v>175.0</v>
      </c>
      <c r="C782" s="285" t="str">
        <f t="shared" si="1"/>
        <v>18 175</v>
      </c>
      <c r="D782" s="285" t="s">
        <v>9437</v>
      </c>
    </row>
    <row r="783">
      <c r="A783" s="283">
        <v>18.0</v>
      </c>
      <c r="B783" s="284">
        <v>177.0</v>
      </c>
      <c r="C783" s="285" t="str">
        <f t="shared" si="1"/>
        <v>18 177</v>
      </c>
      <c r="D783" s="285" t="s">
        <v>9438</v>
      </c>
    </row>
    <row r="784">
      <c r="A784" s="283">
        <v>18.0</v>
      </c>
      <c r="B784" s="284">
        <v>179.0</v>
      </c>
      <c r="C784" s="285" t="str">
        <f t="shared" si="1"/>
        <v>18 179</v>
      </c>
      <c r="D784" s="285" t="s">
        <v>9439</v>
      </c>
    </row>
    <row r="785">
      <c r="A785" s="283">
        <v>18.0</v>
      </c>
      <c r="B785" s="284">
        <v>181.0</v>
      </c>
      <c r="C785" s="285" t="str">
        <f t="shared" si="1"/>
        <v>18 181</v>
      </c>
      <c r="D785" s="285" t="s">
        <v>9440</v>
      </c>
    </row>
    <row r="786">
      <c r="A786" s="283">
        <v>18.0</v>
      </c>
      <c r="B786" s="284">
        <v>183.0</v>
      </c>
      <c r="C786" s="285" t="str">
        <f t="shared" si="1"/>
        <v>18 183</v>
      </c>
      <c r="D786" s="285" t="s">
        <v>9441</v>
      </c>
    </row>
    <row r="787">
      <c r="A787" s="283">
        <v>19.0</v>
      </c>
      <c r="B787" s="284">
        <v>1.0</v>
      </c>
      <c r="C787" s="285" t="str">
        <f t="shared" si="1"/>
        <v>19 1</v>
      </c>
      <c r="D787" s="285" t="s">
        <v>9442</v>
      </c>
    </row>
    <row r="788">
      <c r="A788" s="283">
        <v>19.0</v>
      </c>
      <c r="B788" s="284">
        <v>3.0</v>
      </c>
      <c r="C788" s="285" t="str">
        <f t="shared" si="1"/>
        <v>19 3</v>
      </c>
      <c r="D788" s="285" t="s">
        <v>9443</v>
      </c>
    </row>
    <row r="789">
      <c r="A789" s="283">
        <v>19.0</v>
      </c>
      <c r="B789" s="284">
        <v>5.0</v>
      </c>
      <c r="C789" s="285" t="str">
        <f t="shared" si="1"/>
        <v>19 5</v>
      </c>
      <c r="D789" s="285" t="s">
        <v>9444</v>
      </c>
    </row>
    <row r="790">
      <c r="A790" s="283">
        <v>19.0</v>
      </c>
      <c r="B790" s="284">
        <v>7.0</v>
      </c>
      <c r="C790" s="285" t="str">
        <f t="shared" si="1"/>
        <v>19 7</v>
      </c>
      <c r="D790" s="285" t="s">
        <v>9445</v>
      </c>
    </row>
    <row r="791">
      <c r="A791" s="283">
        <v>19.0</v>
      </c>
      <c r="B791" s="284">
        <v>9.0</v>
      </c>
      <c r="C791" s="285" t="str">
        <f t="shared" si="1"/>
        <v>19 9</v>
      </c>
      <c r="D791" s="285" t="s">
        <v>9446</v>
      </c>
    </row>
    <row r="792">
      <c r="A792" s="283">
        <v>19.0</v>
      </c>
      <c r="B792" s="284">
        <v>11.0</v>
      </c>
      <c r="C792" s="285" t="str">
        <f t="shared" si="1"/>
        <v>19 11</v>
      </c>
      <c r="D792" s="285" t="s">
        <v>9447</v>
      </c>
    </row>
    <row r="793">
      <c r="A793" s="283">
        <v>19.0</v>
      </c>
      <c r="B793" s="284">
        <v>13.0</v>
      </c>
      <c r="C793" s="285" t="str">
        <f t="shared" si="1"/>
        <v>19 13</v>
      </c>
      <c r="D793" s="285" t="s">
        <v>9448</v>
      </c>
    </row>
    <row r="794">
      <c r="A794" s="283">
        <v>19.0</v>
      </c>
      <c r="B794" s="284">
        <v>15.0</v>
      </c>
      <c r="C794" s="285" t="str">
        <f t="shared" si="1"/>
        <v>19 15</v>
      </c>
      <c r="D794" s="285" t="s">
        <v>9449</v>
      </c>
    </row>
    <row r="795">
      <c r="A795" s="283">
        <v>19.0</v>
      </c>
      <c r="B795" s="284">
        <v>17.0</v>
      </c>
      <c r="C795" s="285" t="str">
        <f t="shared" si="1"/>
        <v>19 17</v>
      </c>
      <c r="D795" s="285" t="s">
        <v>9450</v>
      </c>
    </row>
    <row r="796">
      <c r="A796" s="283">
        <v>19.0</v>
      </c>
      <c r="B796" s="284">
        <v>19.0</v>
      </c>
      <c r="C796" s="285" t="str">
        <f t="shared" si="1"/>
        <v>19 19</v>
      </c>
      <c r="D796" s="285" t="s">
        <v>9451</v>
      </c>
    </row>
    <row r="797">
      <c r="A797" s="283">
        <v>19.0</v>
      </c>
      <c r="B797" s="284">
        <v>21.0</v>
      </c>
      <c r="C797" s="285" t="str">
        <f t="shared" si="1"/>
        <v>19 21</v>
      </c>
      <c r="D797" s="285" t="s">
        <v>9452</v>
      </c>
    </row>
    <row r="798">
      <c r="A798" s="283">
        <v>19.0</v>
      </c>
      <c r="B798" s="284">
        <v>23.0</v>
      </c>
      <c r="C798" s="285" t="str">
        <f t="shared" si="1"/>
        <v>19 23</v>
      </c>
      <c r="D798" s="285" t="s">
        <v>9453</v>
      </c>
    </row>
    <row r="799">
      <c r="A799" s="283">
        <v>19.0</v>
      </c>
      <c r="B799" s="284">
        <v>25.0</v>
      </c>
      <c r="C799" s="285" t="str">
        <f t="shared" si="1"/>
        <v>19 25</v>
      </c>
      <c r="D799" s="285" t="s">
        <v>9454</v>
      </c>
    </row>
    <row r="800">
      <c r="A800" s="283">
        <v>19.0</v>
      </c>
      <c r="B800" s="284">
        <v>27.0</v>
      </c>
      <c r="C800" s="285" t="str">
        <f t="shared" si="1"/>
        <v>19 27</v>
      </c>
      <c r="D800" s="285" t="s">
        <v>9455</v>
      </c>
    </row>
    <row r="801">
      <c r="A801" s="283">
        <v>19.0</v>
      </c>
      <c r="B801" s="284">
        <v>29.0</v>
      </c>
      <c r="C801" s="285" t="str">
        <f t="shared" si="1"/>
        <v>19 29</v>
      </c>
      <c r="D801" s="285" t="s">
        <v>9456</v>
      </c>
    </row>
    <row r="802">
      <c r="A802" s="283">
        <v>19.0</v>
      </c>
      <c r="B802" s="284">
        <v>31.0</v>
      </c>
      <c r="C802" s="285" t="str">
        <f t="shared" si="1"/>
        <v>19 31</v>
      </c>
      <c r="D802" s="285" t="s">
        <v>9457</v>
      </c>
    </row>
    <row r="803">
      <c r="A803" s="283">
        <v>19.0</v>
      </c>
      <c r="B803" s="284">
        <v>33.0</v>
      </c>
      <c r="C803" s="285" t="str">
        <f t="shared" si="1"/>
        <v>19 33</v>
      </c>
      <c r="D803" s="285" t="s">
        <v>9458</v>
      </c>
    </row>
    <row r="804">
      <c r="A804" s="283">
        <v>19.0</v>
      </c>
      <c r="B804" s="284">
        <v>35.0</v>
      </c>
      <c r="C804" s="285" t="str">
        <f t="shared" si="1"/>
        <v>19 35</v>
      </c>
      <c r="D804" s="285" t="s">
        <v>9459</v>
      </c>
    </row>
    <row r="805">
      <c r="A805" s="283">
        <v>19.0</v>
      </c>
      <c r="B805" s="284">
        <v>37.0</v>
      </c>
      <c r="C805" s="285" t="str">
        <f t="shared" si="1"/>
        <v>19 37</v>
      </c>
      <c r="D805" s="285" t="s">
        <v>9460</v>
      </c>
    </row>
    <row r="806">
      <c r="A806" s="283">
        <v>19.0</v>
      </c>
      <c r="B806" s="284">
        <v>39.0</v>
      </c>
      <c r="C806" s="285" t="str">
        <f t="shared" si="1"/>
        <v>19 39</v>
      </c>
      <c r="D806" s="285" t="s">
        <v>9461</v>
      </c>
    </row>
    <row r="807">
      <c r="A807" s="283">
        <v>19.0</v>
      </c>
      <c r="B807" s="284">
        <v>41.0</v>
      </c>
      <c r="C807" s="285" t="str">
        <f t="shared" si="1"/>
        <v>19 41</v>
      </c>
      <c r="D807" s="285" t="s">
        <v>9462</v>
      </c>
    </row>
    <row r="808">
      <c r="A808" s="283">
        <v>19.0</v>
      </c>
      <c r="B808" s="284">
        <v>43.0</v>
      </c>
      <c r="C808" s="285" t="str">
        <f t="shared" si="1"/>
        <v>19 43</v>
      </c>
      <c r="D808" s="285" t="s">
        <v>9463</v>
      </c>
    </row>
    <row r="809">
      <c r="A809" s="283">
        <v>19.0</v>
      </c>
      <c r="B809" s="284">
        <v>45.0</v>
      </c>
      <c r="C809" s="285" t="str">
        <f t="shared" si="1"/>
        <v>19 45</v>
      </c>
      <c r="D809" s="285" t="s">
        <v>9464</v>
      </c>
    </row>
    <row r="810">
      <c r="A810" s="283">
        <v>19.0</v>
      </c>
      <c r="B810" s="284">
        <v>47.0</v>
      </c>
      <c r="C810" s="285" t="str">
        <f t="shared" si="1"/>
        <v>19 47</v>
      </c>
      <c r="D810" s="285" t="s">
        <v>9465</v>
      </c>
    </row>
    <row r="811">
      <c r="A811" s="283">
        <v>19.0</v>
      </c>
      <c r="B811" s="284">
        <v>49.0</v>
      </c>
      <c r="C811" s="285" t="str">
        <f t="shared" si="1"/>
        <v>19 49</v>
      </c>
      <c r="D811" s="285" t="s">
        <v>9466</v>
      </c>
    </row>
    <row r="812">
      <c r="A812" s="283">
        <v>19.0</v>
      </c>
      <c r="B812" s="284">
        <v>51.0</v>
      </c>
      <c r="C812" s="285" t="str">
        <f t="shared" si="1"/>
        <v>19 51</v>
      </c>
      <c r="D812" s="285" t="s">
        <v>9467</v>
      </c>
    </row>
    <row r="813">
      <c r="A813" s="283">
        <v>19.0</v>
      </c>
      <c r="B813" s="284">
        <v>53.0</v>
      </c>
      <c r="C813" s="285" t="str">
        <f t="shared" si="1"/>
        <v>19 53</v>
      </c>
      <c r="D813" s="285" t="s">
        <v>9468</v>
      </c>
    </row>
    <row r="814">
      <c r="A814" s="283">
        <v>19.0</v>
      </c>
      <c r="B814" s="284">
        <v>55.0</v>
      </c>
      <c r="C814" s="285" t="str">
        <f t="shared" si="1"/>
        <v>19 55</v>
      </c>
      <c r="D814" s="285" t="s">
        <v>9469</v>
      </c>
    </row>
    <row r="815">
      <c r="A815" s="283">
        <v>19.0</v>
      </c>
      <c r="B815" s="284">
        <v>57.0</v>
      </c>
      <c r="C815" s="285" t="str">
        <f t="shared" si="1"/>
        <v>19 57</v>
      </c>
      <c r="D815" s="285" t="s">
        <v>9470</v>
      </c>
    </row>
    <row r="816">
      <c r="A816" s="283">
        <v>19.0</v>
      </c>
      <c r="B816" s="284">
        <v>59.0</v>
      </c>
      <c r="C816" s="285" t="str">
        <f t="shared" si="1"/>
        <v>19 59</v>
      </c>
      <c r="D816" s="285" t="s">
        <v>9471</v>
      </c>
    </row>
    <row r="817">
      <c r="A817" s="283">
        <v>19.0</v>
      </c>
      <c r="B817" s="284">
        <v>61.0</v>
      </c>
      <c r="C817" s="285" t="str">
        <f t="shared" si="1"/>
        <v>19 61</v>
      </c>
      <c r="D817" s="285" t="s">
        <v>9472</v>
      </c>
    </row>
    <row r="818">
      <c r="A818" s="283">
        <v>19.0</v>
      </c>
      <c r="B818" s="284">
        <v>63.0</v>
      </c>
      <c r="C818" s="285" t="str">
        <f t="shared" si="1"/>
        <v>19 63</v>
      </c>
      <c r="D818" s="285" t="s">
        <v>9473</v>
      </c>
    </row>
    <row r="819">
      <c r="A819" s="283">
        <v>19.0</v>
      </c>
      <c r="B819" s="284">
        <v>65.0</v>
      </c>
      <c r="C819" s="285" t="str">
        <f t="shared" si="1"/>
        <v>19 65</v>
      </c>
      <c r="D819" s="285" t="s">
        <v>9474</v>
      </c>
    </row>
    <row r="820">
      <c r="A820" s="283">
        <v>19.0</v>
      </c>
      <c r="B820" s="284">
        <v>67.0</v>
      </c>
      <c r="C820" s="285" t="str">
        <f t="shared" si="1"/>
        <v>19 67</v>
      </c>
      <c r="D820" s="285" t="s">
        <v>9475</v>
      </c>
    </row>
    <row r="821">
      <c r="A821" s="283">
        <v>19.0</v>
      </c>
      <c r="B821" s="284">
        <v>69.0</v>
      </c>
      <c r="C821" s="285" t="str">
        <f t="shared" si="1"/>
        <v>19 69</v>
      </c>
      <c r="D821" s="285" t="s">
        <v>9476</v>
      </c>
    </row>
    <row r="822">
      <c r="A822" s="283">
        <v>19.0</v>
      </c>
      <c r="B822" s="284">
        <v>71.0</v>
      </c>
      <c r="C822" s="285" t="str">
        <f t="shared" si="1"/>
        <v>19 71</v>
      </c>
      <c r="D822" s="285" t="s">
        <v>9477</v>
      </c>
    </row>
    <row r="823">
      <c r="A823" s="283">
        <v>19.0</v>
      </c>
      <c r="B823" s="284">
        <v>73.0</v>
      </c>
      <c r="C823" s="285" t="str">
        <f t="shared" si="1"/>
        <v>19 73</v>
      </c>
      <c r="D823" s="285" t="s">
        <v>9478</v>
      </c>
    </row>
    <row r="824">
      <c r="A824" s="283">
        <v>19.0</v>
      </c>
      <c r="B824" s="284">
        <v>75.0</v>
      </c>
      <c r="C824" s="285" t="str">
        <f t="shared" si="1"/>
        <v>19 75</v>
      </c>
      <c r="D824" s="285" t="s">
        <v>9479</v>
      </c>
    </row>
    <row r="825">
      <c r="A825" s="283">
        <v>19.0</v>
      </c>
      <c r="B825" s="284">
        <v>77.0</v>
      </c>
      <c r="C825" s="285" t="str">
        <f t="shared" si="1"/>
        <v>19 77</v>
      </c>
      <c r="D825" s="285" t="s">
        <v>9480</v>
      </c>
    </row>
    <row r="826">
      <c r="A826" s="283">
        <v>19.0</v>
      </c>
      <c r="B826" s="284">
        <v>79.0</v>
      </c>
      <c r="C826" s="285" t="str">
        <f t="shared" si="1"/>
        <v>19 79</v>
      </c>
      <c r="D826" s="285" t="s">
        <v>9481</v>
      </c>
    </row>
    <row r="827">
      <c r="A827" s="283">
        <v>19.0</v>
      </c>
      <c r="B827" s="284">
        <v>81.0</v>
      </c>
      <c r="C827" s="285" t="str">
        <f t="shared" si="1"/>
        <v>19 81</v>
      </c>
      <c r="D827" s="285" t="s">
        <v>9482</v>
      </c>
    </row>
    <row r="828">
      <c r="A828" s="283">
        <v>19.0</v>
      </c>
      <c r="B828" s="284">
        <v>83.0</v>
      </c>
      <c r="C828" s="285" t="str">
        <f t="shared" si="1"/>
        <v>19 83</v>
      </c>
      <c r="D828" s="285" t="s">
        <v>9483</v>
      </c>
    </row>
    <row r="829">
      <c r="A829" s="283">
        <v>19.0</v>
      </c>
      <c r="B829" s="284">
        <v>85.0</v>
      </c>
      <c r="C829" s="285" t="str">
        <f t="shared" si="1"/>
        <v>19 85</v>
      </c>
      <c r="D829" s="285" t="s">
        <v>9484</v>
      </c>
    </row>
    <row r="830">
      <c r="A830" s="283">
        <v>19.0</v>
      </c>
      <c r="B830" s="284">
        <v>87.0</v>
      </c>
      <c r="C830" s="285" t="str">
        <f t="shared" si="1"/>
        <v>19 87</v>
      </c>
      <c r="D830" s="285" t="s">
        <v>9485</v>
      </c>
    </row>
    <row r="831">
      <c r="A831" s="283">
        <v>19.0</v>
      </c>
      <c r="B831" s="284">
        <v>89.0</v>
      </c>
      <c r="C831" s="285" t="str">
        <f t="shared" si="1"/>
        <v>19 89</v>
      </c>
      <c r="D831" s="285" t="s">
        <v>9486</v>
      </c>
    </row>
    <row r="832">
      <c r="A832" s="283">
        <v>19.0</v>
      </c>
      <c r="B832" s="284">
        <v>91.0</v>
      </c>
      <c r="C832" s="285" t="str">
        <f t="shared" si="1"/>
        <v>19 91</v>
      </c>
      <c r="D832" s="285" t="s">
        <v>9487</v>
      </c>
    </row>
    <row r="833">
      <c r="A833" s="283">
        <v>19.0</v>
      </c>
      <c r="B833" s="284">
        <v>93.0</v>
      </c>
      <c r="C833" s="285" t="str">
        <f t="shared" si="1"/>
        <v>19 93</v>
      </c>
      <c r="D833" s="285" t="s">
        <v>9488</v>
      </c>
    </row>
    <row r="834">
      <c r="A834" s="283">
        <v>19.0</v>
      </c>
      <c r="B834" s="284">
        <v>95.0</v>
      </c>
      <c r="C834" s="285" t="str">
        <f t="shared" si="1"/>
        <v>19 95</v>
      </c>
      <c r="D834" s="285" t="s">
        <v>9489</v>
      </c>
    </row>
    <row r="835">
      <c r="A835" s="283">
        <v>19.0</v>
      </c>
      <c r="B835" s="284">
        <v>97.0</v>
      </c>
      <c r="C835" s="285" t="str">
        <f t="shared" si="1"/>
        <v>19 97</v>
      </c>
      <c r="D835" s="285" t="s">
        <v>9490</v>
      </c>
    </row>
    <row r="836">
      <c r="A836" s="283">
        <v>19.0</v>
      </c>
      <c r="B836" s="284">
        <v>99.0</v>
      </c>
      <c r="C836" s="285" t="str">
        <f t="shared" si="1"/>
        <v>19 99</v>
      </c>
      <c r="D836" s="285" t="s">
        <v>9491</v>
      </c>
    </row>
    <row r="837">
      <c r="A837" s="283">
        <v>19.0</v>
      </c>
      <c r="B837" s="284">
        <v>101.0</v>
      </c>
      <c r="C837" s="285" t="str">
        <f t="shared" si="1"/>
        <v>19 101</v>
      </c>
      <c r="D837" s="285" t="s">
        <v>9492</v>
      </c>
    </row>
    <row r="838">
      <c r="A838" s="283">
        <v>19.0</v>
      </c>
      <c r="B838" s="284">
        <v>103.0</v>
      </c>
      <c r="C838" s="285" t="str">
        <f t="shared" si="1"/>
        <v>19 103</v>
      </c>
      <c r="D838" s="285" t="s">
        <v>9493</v>
      </c>
    </row>
    <row r="839">
      <c r="A839" s="283">
        <v>19.0</v>
      </c>
      <c r="B839" s="284">
        <v>105.0</v>
      </c>
      <c r="C839" s="285" t="str">
        <f t="shared" si="1"/>
        <v>19 105</v>
      </c>
      <c r="D839" s="285" t="s">
        <v>9494</v>
      </c>
    </row>
    <row r="840">
      <c r="A840" s="283">
        <v>19.0</v>
      </c>
      <c r="B840" s="284">
        <v>107.0</v>
      </c>
      <c r="C840" s="285" t="str">
        <f t="shared" si="1"/>
        <v>19 107</v>
      </c>
      <c r="D840" s="285" t="s">
        <v>9495</v>
      </c>
    </row>
    <row r="841">
      <c r="A841" s="283">
        <v>19.0</v>
      </c>
      <c r="B841" s="284">
        <v>109.0</v>
      </c>
      <c r="C841" s="285" t="str">
        <f t="shared" si="1"/>
        <v>19 109</v>
      </c>
      <c r="D841" s="285" t="s">
        <v>9496</v>
      </c>
    </row>
    <row r="842">
      <c r="A842" s="283">
        <v>19.0</v>
      </c>
      <c r="B842" s="284">
        <v>111.0</v>
      </c>
      <c r="C842" s="285" t="str">
        <f t="shared" si="1"/>
        <v>19 111</v>
      </c>
      <c r="D842" s="285" t="s">
        <v>9497</v>
      </c>
    </row>
    <row r="843">
      <c r="A843" s="283">
        <v>19.0</v>
      </c>
      <c r="B843" s="284">
        <v>113.0</v>
      </c>
      <c r="C843" s="285" t="str">
        <f t="shared" si="1"/>
        <v>19 113</v>
      </c>
      <c r="D843" s="285" t="s">
        <v>9498</v>
      </c>
    </row>
    <row r="844">
      <c r="A844" s="283">
        <v>19.0</v>
      </c>
      <c r="B844" s="284">
        <v>115.0</v>
      </c>
      <c r="C844" s="285" t="str">
        <f t="shared" si="1"/>
        <v>19 115</v>
      </c>
      <c r="D844" s="285" t="s">
        <v>9499</v>
      </c>
    </row>
    <row r="845">
      <c r="A845" s="283">
        <v>19.0</v>
      </c>
      <c r="B845" s="284">
        <v>117.0</v>
      </c>
      <c r="C845" s="285" t="str">
        <f t="shared" si="1"/>
        <v>19 117</v>
      </c>
      <c r="D845" s="285" t="s">
        <v>9500</v>
      </c>
    </row>
    <row r="846">
      <c r="A846" s="283">
        <v>19.0</v>
      </c>
      <c r="B846" s="284">
        <v>119.0</v>
      </c>
      <c r="C846" s="285" t="str">
        <f t="shared" si="1"/>
        <v>19 119</v>
      </c>
      <c r="D846" s="285" t="s">
        <v>9501</v>
      </c>
    </row>
    <row r="847">
      <c r="A847" s="283">
        <v>19.0</v>
      </c>
      <c r="B847" s="284">
        <v>121.0</v>
      </c>
      <c r="C847" s="285" t="str">
        <f t="shared" si="1"/>
        <v>19 121</v>
      </c>
      <c r="D847" s="285" t="s">
        <v>9502</v>
      </c>
    </row>
    <row r="848">
      <c r="A848" s="283">
        <v>19.0</v>
      </c>
      <c r="B848" s="284">
        <v>123.0</v>
      </c>
      <c r="C848" s="285" t="str">
        <f t="shared" si="1"/>
        <v>19 123</v>
      </c>
      <c r="D848" s="285" t="s">
        <v>9503</v>
      </c>
    </row>
    <row r="849">
      <c r="A849" s="283">
        <v>19.0</v>
      </c>
      <c r="B849" s="284">
        <v>125.0</v>
      </c>
      <c r="C849" s="285" t="str">
        <f t="shared" si="1"/>
        <v>19 125</v>
      </c>
      <c r="D849" s="285" t="s">
        <v>9504</v>
      </c>
    </row>
    <row r="850">
      <c r="A850" s="283">
        <v>19.0</v>
      </c>
      <c r="B850" s="284">
        <v>127.0</v>
      </c>
      <c r="C850" s="285" t="str">
        <f t="shared" si="1"/>
        <v>19 127</v>
      </c>
      <c r="D850" s="285" t="s">
        <v>9505</v>
      </c>
    </row>
    <row r="851">
      <c r="A851" s="283">
        <v>19.0</v>
      </c>
      <c r="B851" s="284">
        <v>129.0</v>
      </c>
      <c r="C851" s="285" t="str">
        <f t="shared" si="1"/>
        <v>19 129</v>
      </c>
      <c r="D851" s="285" t="s">
        <v>9506</v>
      </c>
    </row>
    <row r="852">
      <c r="A852" s="283">
        <v>19.0</v>
      </c>
      <c r="B852" s="284">
        <v>131.0</v>
      </c>
      <c r="C852" s="285" t="str">
        <f t="shared" si="1"/>
        <v>19 131</v>
      </c>
      <c r="D852" s="285" t="s">
        <v>9507</v>
      </c>
    </row>
    <row r="853">
      <c r="A853" s="283">
        <v>19.0</v>
      </c>
      <c r="B853" s="284">
        <v>133.0</v>
      </c>
      <c r="C853" s="285" t="str">
        <f t="shared" si="1"/>
        <v>19 133</v>
      </c>
      <c r="D853" s="285" t="s">
        <v>9508</v>
      </c>
    </row>
    <row r="854">
      <c r="A854" s="283">
        <v>19.0</v>
      </c>
      <c r="B854" s="284">
        <v>135.0</v>
      </c>
      <c r="C854" s="285" t="str">
        <f t="shared" si="1"/>
        <v>19 135</v>
      </c>
      <c r="D854" s="285" t="s">
        <v>9509</v>
      </c>
    </row>
    <row r="855">
      <c r="A855" s="283">
        <v>19.0</v>
      </c>
      <c r="B855" s="284">
        <v>137.0</v>
      </c>
      <c r="C855" s="285" t="str">
        <f t="shared" si="1"/>
        <v>19 137</v>
      </c>
      <c r="D855" s="285" t="s">
        <v>9510</v>
      </c>
    </row>
    <row r="856">
      <c r="A856" s="283">
        <v>19.0</v>
      </c>
      <c r="B856" s="284">
        <v>139.0</v>
      </c>
      <c r="C856" s="285" t="str">
        <f t="shared" si="1"/>
        <v>19 139</v>
      </c>
      <c r="D856" s="285" t="s">
        <v>9511</v>
      </c>
    </row>
    <row r="857">
      <c r="A857" s="283">
        <v>19.0</v>
      </c>
      <c r="B857" s="284">
        <v>141.0</v>
      </c>
      <c r="C857" s="285" t="str">
        <f t="shared" si="1"/>
        <v>19 141</v>
      </c>
      <c r="D857" s="285" t="s">
        <v>9512</v>
      </c>
    </row>
    <row r="858">
      <c r="A858" s="283">
        <v>19.0</v>
      </c>
      <c r="B858" s="284">
        <v>143.0</v>
      </c>
      <c r="C858" s="285" t="str">
        <f t="shared" si="1"/>
        <v>19 143</v>
      </c>
      <c r="D858" s="285" t="s">
        <v>9513</v>
      </c>
    </row>
    <row r="859">
      <c r="A859" s="283">
        <v>19.0</v>
      </c>
      <c r="B859" s="284">
        <v>145.0</v>
      </c>
      <c r="C859" s="285" t="str">
        <f t="shared" si="1"/>
        <v>19 145</v>
      </c>
      <c r="D859" s="285" t="s">
        <v>9514</v>
      </c>
    </row>
    <row r="860">
      <c r="A860" s="283">
        <v>19.0</v>
      </c>
      <c r="B860" s="284">
        <v>147.0</v>
      </c>
      <c r="C860" s="285" t="str">
        <f t="shared" si="1"/>
        <v>19 147</v>
      </c>
      <c r="D860" s="285" t="s">
        <v>9515</v>
      </c>
    </row>
    <row r="861">
      <c r="A861" s="283">
        <v>19.0</v>
      </c>
      <c r="B861" s="284">
        <v>149.0</v>
      </c>
      <c r="C861" s="285" t="str">
        <f t="shared" si="1"/>
        <v>19 149</v>
      </c>
      <c r="D861" s="285" t="s">
        <v>9516</v>
      </c>
    </row>
    <row r="862">
      <c r="A862" s="283">
        <v>19.0</v>
      </c>
      <c r="B862" s="284">
        <v>151.0</v>
      </c>
      <c r="C862" s="285" t="str">
        <f t="shared" si="1"/>
        <v>19 151</v>
      </c>
      <c r="D862" s="285" t="s">
        <v>9517</v>
      </c>
    </row>
    <row r="863">
      <c r="A863" s="283">
        <v>19.0</v>
      </c>
      <c r="B863" s="284">
        <v>153.0</v>
      </c>
      <c r="C863" s="285" t="str">
        <f t="shared" si="1"/>
        <v>19 153</v>
      </c>
      <c r="D863" s="285" t="s">
        <v>9518</v>
      </c>
    </row>
    <row r="864">
      <c r="A864" s="283">
        <v>19.0</v>
      </c>
      <c r="B864" s="284">
        <v>155.0</v>
      </c>
      <c r="C864" s="285" t="str">
        <f t="shared" si="1"/>
        <v>19 155</v>
      </c>
      <c r="D864" s="285" t="s">
        <v>9519</v>
      </c>
    </row>
    <row r="865">
      <c r="A865" s="283">
        <v>19.0</v>
      </c>
      <c r="B865" s="284">
        <v>157.0</v>
      </c>
      <c r="C865" s="285" t="str">
        <f t="shared" si="1"/>
        <v>19 157</v>
      </c>
      <c r="D865" s="285" t="s">
        <v>9520</v>
      </c>
    </row>
    <row r="866">
      <c r="A866" s="283">
        <v>19.0</v>
      </c>
      <c r="B866" s="284">
        <v>159.0</v>
      </c>
      <c r="C866" s="285" t="str">
        <f t="shared" si="1"/>
        <v>19 159</v>
      </c>
      <c r="D866" s="285" t="s">
        <v>9521</v>
      </c>
    </row>
    <row r="867">
      <c r="A867" s="283">
        <v>19.0</v>
      </c>
      <c r="B867" s="284">
        <v>161.0</v>
      </c>
      <c r="C867" s="285" t="str">
        <f t="shared" si="1"/>
        <v>19 161</v>
      </c>
      <c r="D867" s="285" t="s">
        <v>9522</v>
      </c>
    </row>
    <row r="868">
      <c r="A868" s="283">
        <v>19.0</v>
      </c>
      <c r="B868" s="284">
        <v>163.0</v>
      </c>
      <c r="C868" s="285" t="str">
        <f t="shared" si="1"/>
        <v>19 163</v>
      </c>
      <c r="D868" s="285" t="s">
        <v>9523</v>
      </c>
    </row>
    <row r="869">
      <c r="A869" s="283">
        <v>19.0</v>
      </c>
      <c r="B869" s="284">
        <v>165.0</v>
      </c>
      <c r="C869" s="285" t="str">
        <f t="shared" si="1"/>
        <v>19 165</v>
      </c>
      <c r="D869" s="285" t="s">
        <v>9524</v>
      </c>
    </row>
    <row r="870">
      <c r="A870" s="283">
        <v>19.0</v>
      </c>
      <c r="B870" s="284">
        <v>167.0</v>
      </c>
      <c r="C870" s="285" t="str">
        <f t="shared" si="1"/>
        <v>19 167</v>
      </c>
      <c r="D870" s="285" t="s">
        <v>9525</v>
      </c>
    </row>
    <row r="871">
      <c r="A871" s="283">
        <v>19.0</v>
      </c>
      <c r="B871" s="284">
        <v>169.0</v>
      </c>
      <c r="C871" s="285" t="str">
        <f t="shared" si="1"/>
        <v>19 169</v>
      </c>
      <c r="D871" s="285" t="s">
        <v>9526</v>
      </c>
    </row>
    <row r="872">
      <c r="A872" s="283">
        <v>19.0</v>
      </c>
      <c r="B872" s="284">
        <v>171.0</v>
      </c>
      <c r="C872" s="285" t="str">
        <f t="shared" si="1"/>
        <v>19 171</v>
      </c>
      <c r="D872" s="285" t="s">
        <v>9527</v>
      </c>
    </row>
    <row r="873">
      <c r="A873" s="283">
        <v>19.0</v>
      </c>
      <c r="B873" s="284">
        <v>173.0</v>
      </c>
      <c r="C873" s="285" t="str">
        <f t="shared" si="1"/>
        <v>19 173</v>
      </c>
      <c r="D873" s="285" t="s">
        <v>9528</v>
      </c>
    </row>
    <row r="874">
      <c r="A874" s="283">
        <v>19.0</v>
      </c>
      <c r="B874" s="284">
        <v>175.0</v>
      </c>
      <c r="C874" s="285" t="str">
        <f t="shared" si="1"/>
        <v>19 175</v>
      </c>
      <c r="D874" s="285" t="s">
        <v>9529</v>
      </c>
    </row>
    <row r="875">
      <c r="A875" s="283">
        <v>19.0</v>
      </c>
      <c r="B875" s="284">
        <v>177.0</v>
      </c>
      <c r="C875" s="285" t="str">
        <f t="shared" si="1"/>
        <v>19 177</v>
      </c>
      <c r="D875" s="285" t="s">
        <v>9530</v>
      </c>
    </row>
    <row r="876">
      <c r="A876" s="283">
        <v>19.0</v>
      </c>
      <c r="B876" s="284">
        <v>179.0</v>
      </c>
      <c r="C876" s="285" t="str">
        <f t="shared" si="1"/>
        <v>19 179</v>
      </c>
      <c r="D876" s="285" t="s">
        <v>9531</v>
      </c>
    </row>
    <row r="877">
      <c r="A877" s="283">
        <v>19.0</v>
      </c>
      <c r="B877" s="284">
        <v>181.0</v>
      </c>
      <c r="C877" s="285" t="str">
        <f t="shared" si="1"/>
        <v>19 181</v>
      </c>
      <c r="D877" s="285" t="s">
        <v>9532</v>
      </c>
    </row>
    <row r="878">
      <c r="A878" s="283">
        <v>19.0</v>
      </c>
      <c r="B878" s="284">
        <v>183.0</v>
      </c>
      <c r="C878" s="285" t="str">
        <f t="shared" si="1"/>
        <v>19 183</v>
      </c>
      <c r="D878" s="285" t="s">
        <v>9533</v>
      </c>
    </row>
    <row r="879">
      <c r="A879" s="283">
        <v>19.0</v>
      </c>
      <c r="B879" s="284">
        <v>185.0</v>
      </c>
      <c r="C879" s="285" t="str">
        <f t="shared" si="1"/>
        <v>19 185</v>
      </c>
      <c r="D879" s="285" t="s">
        <v>9534</v>
      </c>
    </row>
    <row r="880">
      <c r="A880" s="283">
        <v>19.0</v>
      </c>
      <c r="B880" s="284">
        <v>187.0</v>
      </c>
      <c r="C880" s="285" t="str">
        <f t="shared" si="1"/>
        <v>19 187</v>
      </c>
      <c r="D880" s="285" t="s">
        <v>9535</v>
      </c>
    </row>
    <row r="881">
      <c r="A881" s="283">
        <v>19.0</v>
      </c>
      <c r="B881" s="284">
        <v>189.0</v>
      </c>
      <c r="C881" s="285" t="str">
        <f t="shared" si="1"/>
        <v>19 189</v>
      </c>
      <c r="D881" s="285" t="s">
        <v>9536</v>
      </c>
    </row>
    <row r="882">
      <c r="A882" s="283">
        <v>19.0</v>
      </c>
      <c r="B882" s="284">
        <v>191.0</v>
      </c>
      <c r="C882" s="285" t="str">
        <f t="shared" si="1"/>
        <v>19 191</v>
      </c>
      <c r="D882" s="285" t="s">
        <v>9537</v>
      </c>
    </row>
    <row r="883">
      <c r="A883" s="283">
        <v>19.0</v>
      </c>
      <c r="B883" s="284">
        <v>193.0</v>
      </c>
      <c r="C883" s="285" t="str">
        <f t="shared" si="1"/>
        <v>19 193</v>
      </c>
      <c r="D883" s="285" t="s">
        <v>9538</v>
      </c>
    </row>
    <row r="884">
      <c r="A884" s="283">
        <v>19.0</v>
      </c>
      <c r="B884" s="284">
        <v>195.0</v>
      </c>
      <c r="C884" s="285" t="str">
        <f t="shared" si="1"/>
        <v>19 195</v>
      </c>
      <c r="D884" s="285" t="s">
        <v>9539</v>
      </c>
    </row>
    <row r="885">
      <c r="A885" s="283">
        <v>19.0</v>
      </c>
      <c r="B885" s="284">
        <v>197.0</v>
      </c>
      <c r="C885" s="285" t="str">
        <f t="shared" si="1"/>
        <v>19 197</v>
      </c>
      <c r="D885" s="285" t="s">
        <v>9540</v>
      </c>
    </row>
    <row r="886">
      <c r="A886" s="283">
        <v>20.0</v>
      </c>
      <c r="B886" s="284">
        <v>1.0</v>
      </c>
      <c r="C886" s="285" t="str">
        <f t="shared" si="1"/>
        <v>20 1</v>
      </c>
      <c r="D886" s="285" t="s">
        <v>9541</v>
      </c>
    </row>
    <row r="887">
      <c r="A887" s="283">
        <v>20.0</v>
      </c>
      <c r="B887" s="284">
        <v>3.0</v>
      </c>
      <c r="C887" s="285" t="str">
        <f t="shared" si="1"/>
        <v>20 3</v>
      </c>
      <c r="D887" s="285" t="s">
        <v>9542</v>
      </c>
    </row>
    <row r="888">
      <c r="A888" s="283">
        <v>20.0</v>
      </c>
      <c r="B888" s="284">
        <v>5.0</v>
      </c>
      <c r="C888" s="285" t="str">
        <f t="shared" si="1"/>
        <v>20 5</v>
      </c>
      <c r="D888" s="285" t="s">
        <v>9543</v>
      </c>
    </row>
    <row r="889">
      <c r="A889" s="283">
        <v>20.0</v>
      </c>
      <c r="B889" s="284">
        <v>7.0</v>
      </c>
      <c r="C889" s="285" t="str">
        <f t="shared" si="1"/>
        <v>20 7</v>
      </c>
      <c r="D889" s="285" t="s">
        <v>9544</v>
      </c>
    </row>
    <row r="890">
      <c r="A890" s="283">
        <v>20.0</v>
      </c>
      <c r="B890" s="284">
        <v>9.0</v>
      </c>
      <c r="C890" s="285" t="str">
        <f t="shared" si="1"/>
        <v>20 9</v>
      </c>
      <c r="D890" s="285" t="s">
        <v>9545</v>
      </c>
    </row>
    <row r="891">
      <c r="A891" s="283">
        <v>20.0</v>
      </c>
      <c r="B891" s="284">
        <v>11.0</v>
      </c>
      <c r="C891" s="285" t="str">
        <f t="shared" si="1"/>
        <v>20 11</v>
      </c>
      <c r="D891" s="285" t="s">
        <v>9546</v>
      </c>
    </row>
    <row r="892">
      <c r="A892" s="283">
        <v>20.0</v>
      </c>
      <c r="B892" s="284">
        <v>13.0</v>
      </c>
      <c r="C892" s="285" t="str">
        <f t="shared" si="1"/>
        <v>20 13</v>
      </c>
      <c r="D892" s="285" t="s">
        <v>9547</v>
      </c>
    </row>
    <row r="893">
      <c r="A893" s="283">
        <v>20.0</v>
      </c>
      <c r="B893" s="284">
        <v>15.0</v>
      </c>
      <c r="C893" s="285" t="str">
        <f t="shared" si="1"/>
        <v>20 15</v>
      </c>
      <c r="D893" s="285" t="s">
        <v>9548</v>
      </c>
    </row>
    <row r="894">
      <c r="A894" s="283">
        <v>20.0</v>
      </c>
      <c r="B894" s="284">
        <v>17.0</v>
      </c>
      <c r="C894" s="285" t="str">
        <f t="shared" si="1"/>
        <v>20 17</v>
      </c>
      <c r="D894" s="285" t="s">
        <v>9549</v>
      </c>
    </row>
    <row r="895">
      <c r="A895" s="283">
        <v>20.0</v>
      </c>
      <c r="B895" s="284">
        <v>19.0</v>
      </c>
      <c r="C895" s="285" t="str">
        <f t="shared" si="1"/>
        <v>20 19</v>
      </c>
      <c r="D895" s="285" t="s">
        <v>9550</v>
      </c>
    </row>
    <row r="896">
      <c r="A896" s="283">
        <v>20.0</v>
      </c>
      <c r="B896" s="284">
        <v>21.0</v>
      </c>
      <c r="C896" s="285" t="str">
        <f t="shared" si="1"/>
        <v>20 21</v>
      </c>
      <c r="D896" s="285" t="s">
        <v>9551</v>
      </c>
    </row>
    <row r="897">
      <c r="A897" s="283">
        <v>20.0</v>
      </c>
      <c r="B897" s="284">
        <v>23.0</v>
      </c>
      <c r="C897" s="285" t="str">
        <f t="shared" si="1"/>
        <v>20 23</v>
      </c>
      <c r="D897" s="285" t="s">
        <v>9552</v>
      </c>
    </row>
    <row r="898">
      <c r="A898" s="283">
        <v>20.0</v>
      </c>
      <c r="B898" s="284">
        <v>25.0</v>
      </c>
      <c r="C898" s="285" t="str">
        <f t="shared" si="1"/>
        <v>20 25</v>
      </c>
      <c r="D898" s="285" t="s">
        <v>9553</v>
      </c>
    </row>
    <row r="899">
      <c r="A899" s="283">
        <v>20.0</v>
      </c>
      <c r="B899" s="284">
        <v>27.0</v>
      </c>
      <c r="C899" s="285" t="str">
        <f t="shared" si="1"/>
        <v>20 27</v>
      </c>
      <c r="D899" s="285" t="s">
        <v>9554</v>
      </c>
    </row>
    <row r="900">
      <c r="A900" s="283">
        <v>20.0</v>
      </c>
      <c r="B900" s="284">
        <v>29.0</v>
      </c>
      <c r="C900" s="285" t="str">
        <f t="shared" si="1"/>
        <v>20 29</v>
      </c>
      <c r="D900" s="285" t="s">
        <v>9555</v>
      </c>
    </row>
    <row r="901">
      <c r="A901" s="283">
        <v>20.0</v>
      </c>
      <c r="B901" s="284">
        <v>31.0</v>
      </c>
      <c r="C901" s="285" t="str">
        <f t="shared" si="1"/>
        <v>20 31</v>
      </c>
      <c r="D901" s="285" t="s">
        <v>9556</v>
      </c>
    </row>
    <row r="902">
      <c r="A902" s="283">
        <v>20.0</v>
      </c>
      <c r="B902" s="284">
        <v>33.0</v>
      </c>
      <c r="C902" s="285" t="str">
        <f t="shared" si="1"/>
        <v>20 33</v>
      </c>
      <c r="D902" s="285" t="s">
        <v>9557</v>
      </c>
    </row>
    <row r="903">
      <c r="A903" s="283">
        <v>20.0</v>
      </c>
      <c r="B903" s="284">
        <v>35.0</v>
      </c>
      <c r="C903" s="285" t="str">
        <f t="shared" si="1"/>
        <v>20 35</v>
      </c>
      <c r="D903" s="285" t="s">
        <v>9558</v>
      </c>
    </row>
    <row r="904">
      <c r="A904" s="283">
        <v>20.0</v>
      </c>
      <c r="B904" s="284">
        <v>37.0</v>
      </c>
      <c r="C904" s="285" t="str">
        <f t="shared" si="1"/>
        <v>20 37</v>
      </c>
      <c r="D904" s="285" t="s">
        <v>9559</v>
      </c>
    </row>
    <row r="905">
      <c r="A905" s="283">
        <v>20.0</v>
      </c>
      <c r="B905" s="284">
        <v>39.0</v>
      </c>
      <c r="C905" s="285" t="str">
        <f t="shared" si="1"/>
        <v>20 39</v>
      </c>
      <c r="D905" s="285" t="s">
        <v>9560</v>
      </c>
    </row>
    <row r="906">
      <c r="A906" s="283">
        <v>20.0</v>
      </c>
      <c r="B906" s="284">
        <v>41.0</v>
      </c>
      <c r="C906" s="285" t="str">
        <f t="shared" si="1"/>
        <v>20 41</v>
      </c>
      <c r="D906" s="285" t="s">
        <v>9561</v>
      </c>
    </row>
    <row r="907">
      <c r="A907" s="283">
        <v>20.0</v>
      </c>
      <c r="B907" s="284">
        <v>43.0</v>
      </c>
      <c r="C907" s="285" t="str">
        <f t="shared" si="1"/>
        <v>20 43</v>
      </c>
      <c r="D907" s="285" t="s">
        <v>9562</v>
      </c>
    </row>
    <row r="908">
      <c r="A908" s="283">
        <v>20.0</v>
      </c>
      <c r="B908" s="284">
        <v>45.0</v>
      </c>
      <c r="C908" s="285" t="str">
        <f t="shared" si="1"/>
        <v>20 45</v>
      </c>
      <c r="D908" s="285" t="s">
        <v>9563</v>
      </c>
    </row>
    <row r="909">
      <c r="A909" s="283">
        <v>20.0</v>
      </c>
      <c r="B909" s="284">
        <v>47.0</v>
      </c>
      <c r="C909" s="285" t="str">
        <f t="shared" si="1"/>
        <v>20 47</v>
      </c>
      <c r="D909" s="285" t="s">
        <v>9564</v>
      </c>
    </row>
    <row r="910">
      <c r="A910" s="283">
        <v>20.0</v>
      </c>
      <c r="B910" s="284">
        <v>49.0</v>
      </c>
      <c r="C910" s="285" t="str">
        <f t="shared" si="1"/>
        <v>20 49</v>
      </c>
      <c r="D910" s="285" t="s">
        <v>9565</v>
      </c>
    </row>
    <row r="911">
      <c r="A911" s="283">
        <v>20.0</v>
      </c>
      <c r="B911" s="284">
        <v>51.0</v>
      </c>
      <c r="C911" s="285" t="str">
        <f t="shared" si="1"/>
        <v>20 51</v>
      </c>
      <c r="D911" s="285" t="s">
        <v>9566</v>
      </c>
    </row>
    <row r="912">
      <c r="A912" s="283">
        <v>20.0</v>
      </c>
      <c r="B912" s="284">
        <v>53.0</v>
      </c>
      <c r="C912" s="285" t="str">
        <f t="shared" si="1"/>
        <v>20 53</v>
      </c>
      <c r="D912" s="285" t="s">
        <v>9567</v>
      </c>
    </row>
    <row r="913">
      <c r="A913" s="283">
        <v>20.0</v>
      </c>
      <c r="B913" s="284">
        <v>55.0</v>
      </c>
      <c r="C913" s="285" t="str">
        <f t="shared" si="1"/>
        <v>20 55</v>
      </c>
      <c r="D913" s="285" t="s">
        <v>9568</v>
      </c>
    </row>
    <row r="914">
      <c r="A914" s="283">
        <v>20.0</v>
      </c>
      <c r="B914" s="284">
        <v>57.0</v>
      </c>
      <c r="C914" s="285" t="str">
        <f t="shared" si="1"/>
        <v>20 57</v>
      </c>
      <c r="D914" s="285" t="s">
        <v>9569</v>
      </c>
    </row>
    <row r="915">
      <c r="A915" s="283">
        <v>20.0</v>
      </c>
      <c r="B915" s="284">
        <v>59.0</v>
      </c>
      <c r="C915" s="285" t="str">
        <f t="shared" si="1"/>
        <v>20 59</v>
      </c>
      <c r="D915" s="285" t="s">
        <v>9570</v>
      </c>
    </row>
    <row r="916">
      <c r="A916" s="283">
        <v>20.0</v>
      </c>
      <c r="B916" s="284">
        <v>61.0</v>
      </c>
      <c r="C916" s="285" t="str">
        <f t="shared" si="1"/>
        <v>20 61</v>
      </c>
      <c r="D916" s="285" t="s">
        <v>9571</v>
      </c>
    </row>
    <row r="917">
      <c r="A917" s="283">
        <v>20.0</v>
      </c>
      <c r="B917" s="284">
        <v>63.0</v>
      </c>
      <c r="C917" s="285" t="str">
        <f t="shared" si="1"/>
        <v>20 63</v>
      </c>
      <c r="D917" s="285" t="s">
        <v>9572</v>
      </c>
    </row>
    <row r="918">
      <c r="A918" s="283">
        <v>20.0</v>
      </c>
      <c r="B918" s="284">
        <v>65.0</v>
      </c>
      <c r="C918" s="285" t="str">
        <f t="shared" si="1"/>
        <v>20 65</v>
      </c>
      <c r="D918" s="285" t="s">
        <v>9573</v>
      </c>
    </row>
    <row r="919">
      <c r="A919" s="283">
        <v>20.0</v>
      </c>
      <c r="B919" s="284">
        <v>67.0</v>
      </c>
      <c r="C919" s="285" t="str">
        <f t="shared" si="1"/>
        <v>20 67</v>
      </c>
      <c r="D919" s="285" t="s">
        <v>9574</v>
      </c>
    </row>
    <row r="920">
      <c r="A920" s="283">
        <v>20.0</v>
      </c>
      <c r="B920" s="284">
        <v>69.0</v>
      </c>
      <c r="C920" s="285" t="str">
        <f t="shared" si="1"/>
        <v>20 69</v>
      </c>
      <c r="D920" s="285" t="s">
        <v>9575</v>
      </c>
    </row>
    <row r="921">
      <c r="A921" s="283">
        <v>20.0</v>
      </c>
      <c r="B921" s="284">
        <v>71.0</v>
      </c>
      <c r="C921" s="285" t="str">
        <f t="shared" si="1"/>
        <v>20 71</v>
      </c>
      <c r="D921" s="285" t="s">
        <v>9576</v>
      </c>
    </row>
    <row r="922">
      <c r="A922" s="283">
        <v>20.0</v>
      </c>
      <c r="B922" s="284">
        <v>73.0</v>
      </c>
      <c r="C922" s="285" t="str">
        <f t="shared" si="1"/>
        <v>20 73</v>
      </c>
      <c r="D922" s="285" t="s">
        <v>9577</v>
      </c>
    </row>
    <row r="923">
      <c r="A923" s="283">
        <v>20.0</v>
      </c>
      <c r="B923" s="284">
        <v>75.0</v>
      </c>
      <c r="C923" s="285" t="str">
        <f t="shared" si="1"/>
        <v>20 75</v>
      </c>
      <c r="D923" s="285" t="s">
        <v>9578</v>
      </c>
    </row>
    <row r="924">
      <c r="A924" s="283">
        <v>20.0</v>
      </c>
      <c r="B924" s="284">
        <v>77.0</v>
      </c>
      <c r="C924" s="285" t="str">
        <f t="shared" si="1"/>
        <v>20 77</v>
      </c>
      <c r="D924" s="285" t="s">
        <v>9579</v>
      </c>
    </row>
    <row r="925">
      <c r="A925" s="283">
        <v>20.0</v>
      </c>
      <c r="B925" s="284">
        <v>79.0</v>
      </c>
      <c r="C925" s="285" t="str">
        <f t="shared" si="1"/>
        <v>20 79</v>
      </c>
      <c r="D925" s="285" t="s">
        <v>9580</v>
      </c>
    </row>
    <row r="926">
      <c r="A926" s="283">
        <v>20.0</v>
      </c>
      <c r="B926" s="284">
        <v>81.0</v>
      </c>
      <c r="C926" s="285" t="str">
        <f t="shared" si="1"/>
        <v>20 81</v>
      </c>
      <c r="D926" s="285" t="s">
        <v>9581</v>
      </c>
    </row>
    <row r="927">
      <c r="A927" s="283">
        <v>20.0</v>
      </c>
      <c r="B927" s="284">
        <v>83.0</v>
      </c>
      <c r="C927" s="285" t="str">
        <f t="shared" si="1"/>
        <v>20 83</v>
      </c>
      <c r="D927" s="285" t="s">
        <v>9582</v>
      </c>
    </row>
    <row r="928">
      <c r="A928" s="283">
        <v>20.0</v>
      </c>
      <c r="B928" s="284">
        <v>85.0</v>
      </c>
      <c r="C928" s="285" t="str">
        <f t="shared" si="1"/>
        <v>20 85</v>
      </c>
      <c r="D928" s="285" t="s">
        <v>9583</v>
      </c>
    </row>
    <row r="929">
      <c r="A929" s="283">
        <v>20.0</v>
      </c>
      <c r="B929" s="284">
        <v>87.0</v>
      </c>
      <c r="C929" s="285" t="str">
        <f t="shared" si="1"/>
        <v>20 87</v>
      </c>
      <c r="D929" s="285" t="s">
        <v>9584</v>
      </c>
    </row>
    <row r="930">
      <c r="A930" s="283">
        <v>20.0</v>
      </c>
      <c r="B930" s="284">
        <v>89.0</v>
      </c>
      <c r="C930" s="285" t="str">
        <f t="shared" si="1"/>
        <v>20 89</v>
      </c>
      <c r="D930" s="285" t="s">
        <v>9585</v>
      </c>
    </row>
    <row r="931">
      <c r="A931" s="283">
        <v>20.0</v>
      </c>
      <c r="B931" s="284">
        <v>91.0</v>
      </c>
      <c r="C931" s="285" t="str">
        <f t="shared" si="1"/>
        <v>20 91</v>
      </c>
      <c r="D931" s="285" t="s">
        <v>9586</v>
      </c>
    </row>
    <row r="932">
      <c r="A932" s="283">
        <v>20.0</v>
      </c>
      <c r="B932" s="284">
        <v>93.0</v>
      </c>
      <c r="C932" s="285" t="str">
        <f t="shared" si="1"/>
        <v>20 93</v>
      </c>
      <c r="D932" s="285" t="s">
        <v>9587</v>
      </c>
    </row>
    <row r="933">
      <c r="A933" s="283">
        <v>20.0</v>
      </c>
      <c r="B933" s="284">
        <v>95.0</v>
      </c>
      <c r="C933" s="285" t="str">
        <f t="shared" si="1"/>
        <v>20 95</v>
      </c>
      <c r="D933" s="285" t="s">
        <v>9588</v>
      </c>
    </row>
    <row r="934">
      <c r="A934" s="283">
        <v>20.0</v>
      </c>
      <c r="B934" s="284">
        <v>97.0</v>
      </c>
      <c r="C934" s="285" t="str">
        <f t="shared" si="1"/>
        <v>20 97</v>
      </c>
      <c r="D934" s="285" t="s">
        <v>9589</v>
      </c>
    </row>
    <row r="935">
      <c r="A935" s="283">
        <v>20.0</v>
      </c>
      <c r="B935" s="284">
        <v>99.0</v>
      </c>
      <c r="C935" s="285" t="str">
        <f t="shared" si="1"/>
        <v>20 99</v>
      </c>
      <c r="D935" s="285" t="s">
        <v>9590</v>
      </c>
    </row>
    <row r="936">
      <c r="A936" s="283">
        <v>20.0</v>
      </c>
      <c r="B936" s="284">
        <v>101.0</v>
      </c>
      <c r="C936" s="285" t="str">
        <f t="shared" si="1"/>
        <v>20 101</v>
      </c>
      <c r="D936" s="285" t="s">
        <v>9591</v>
      </c>
    </row>
    <row r="937">
      <c r="A937" s="283">
        <v>20.0</v>
      </c>
      <c r="B937" s="284">
        <v>103.0</v>
      </c>
      <c r="C937" s="285" t="str">
        <f t="shared" si="1"/>
        <v>20 103</v>
      </c>
      <c r="D937" s="285" t="s">
        <v>9592</v>
      </c>
    </row>
    <row r="938">
      <c r="A938" s="283">
        <v>20.0</v>
      </c>
      <c r="B938" s="284">
        <v>105.0</v>
      </c>
      <c r="C938" s="285" t="str">
        <f t="shared" si="1"/>
        <v>20 105</v>
      </c>
      <c r="D938" s="285" t="s">
        <v>9593</v>
      </c>
    </row>
    <row r="939">
      <c r="A939" s="283">
        <v>20.0</v>
      </c>
      <c r="B939" s="284">
        <v>107.0</v>
      </c>
      <c r="C939" s="285" t="str">
        <f t="shared" si="1"/>
        <v>20 107</v>
      </c>
      <c r="D939" s="285" t="s">
        <v>9594</v>
      </c>
    </row>
    <row r="940">
      <c r="A940" s="283">
        <v>20.0</v>
      </c>
      <c r="B940" s="284">
        <v>109.0</v>
      </c>
      <c r="C940" s="285" t="str">
        <f t="shared" si="1"/>
        <v>20 109</v>
      </c>
      <c r="D940" s="285" t="s">
        <v>9595</v>
      </c>
    </row>
    <row r="941">
      <c r="A941" s="283">
        <v>20.0</v>
      </c>
      <c r="B941" s="284">
        <v>111.0</v>
      </c>
      <c r="C941" s="285" t="str">
        <f t="shared" si="1"/>
        <v>20 111</v>
      </c>
      <c r="D941" s="285" t="s">
        <v>9596</v>
      </c>
    </row>
    <row r="942">
      <c r="A942" s="283">
        <v>20.0</v>
      </c>
      <c r="B942" s="284">
        <v>113.0</v>
      </c>
      <c r="C942" s="285" t="str">
        <f t="shared" si="1"/>
        <v>20 113</v>
      </c>
      <c r="D942" s="285" t="s">
        <v>9597</v>
      </c>
    </row>
    <row r="943">
      <c r="A943" s="283">
        <v>20.0</v>
      </c>
      <c r="B943" s="284">
        <v>115.0</v>
      </c>
      <c r="C943" s="285" t="str">
        <f t="shared" si="1"/>
        <v>20 115</v>
      </c>
      <c r="D943" s="285" t="s">
        <v>9598</v>
      </c>
    </row>
    <row r="944">
      <c r="A944" s="283">
        <v>20.0</v>
      </c>
      <c r="B944" s="284">
        <v>117.0</v>
      </c>
      <c r="C944" s="285" t="str">
        <f t="shared" si="1"/>
        <v>20 117</v>
      </c>
      <c r="D944" s="285" t="s">
        <v>9599</v>
      </c>
    </row>
    <row r="945">
      <c r="A945" s="283">
        <v>20.0</v>
      </c>
      <c r="B945" s="284">
        <v>119.0</v>
      </c>
      <c r="C945" s="285" t="str">
        <f t="shared" si="1"/>
        <v>20 119</v>
      </c>
      <c r="D945" s="285" t="s">
        <v>9600</v>
      </c>
    </row>
    <row r="946">
      <c r="A946" s="283">
        <v>20.0</v>
      </c>
      <c r="B946" s="284">
        <v>121.0</v>
      </c>
      <c r="C946" s="285" t="str">
        <f t="shared" si="1"/>
        <v>20 121</v>
      </c>
      <c r="D946" s="285" t="s">
        <v>9601</v>
      </c>
    </row>
    <row r="947">
      <c r="A947" s="283">
        <v>20.0</v>
      </c>
      <c r="B947" s="284">
        <v>123.0</v>
      </c>
      <c r="C947" s="285" t="str">
        <f t="shared" si="1"/>
        <v>20 123</v>
      </c>
      <c r="D947" s="285" t="s">
        <v>9602</v>
      </c>
    </row>
    <row r="948">
      <c r="A948" s="283">
        <v>20.0</v>
      </c>
      <c r="B948" s="284">
        <v>125.0</v>
      </c>
      <c r="C948" s="285" t="str">
        <f t="shared" si="1"/>
        <v>20 125</v>
      </c>
      <c r="D948" s="285" t="s">
        <v>9603</v>
      </c>
    </row>
    <row r="949">
      <c r="A949" s="283">
        <v>20.0</v>
      </c>
      <c r="B949" s="284">
        <v>127.0</v>
      </c>
      <c r="C949" s="285" t="str">
        <f t="shared" si="1"/>
        <v>20 127</v>
      </c>
      <c r="D949" s="285" t="s">
        <v>9604</v>
      </c>
    </row>
    <row r="950">
      <c r="A950" s="283">
        <v>20.0</v>
      </c>
      <c r="B950" s="284">
        <v>129.0</v>
      </c>
      <c r="C950" s="285" t="str">
        <f t="shared" si="1"/>
        <v>20 129</v>
      </c>
      <c r="D950" s="285" t="s">
        <v>9605</v>
      </c>
    </row>
    <row r="951">
      <c r="A951" s="283">
        <v>20.0</v>
      </c>
      <c r="B951" s="284">
        <v>131.0</v>
      </c>
      <c r="C951" s="285" t="str">
        <f t="shared" si="1"/>
        <v>20 131</v>
      </c>
      <c r="D951" s="285" t="s">
        <v>9606</v>
      </c>
    </row>
    <row r="952">
      <c r="A952" s="283">
        <v>20.0</v>
      </c>
      <c r="B952" s="284">
        <v>133.0</v>
      </c>
      <c r="C952" s="285" t="str">
        <f t="shared" si="1"/>
        <v>20 133</v>
      </c>
      <c r="D952" s="285" t="s">
        <v>9607</v>
      </c>
    </row>
    <row r="953">
      <c r="A953" s="283">
        <v>20.0</v>
      </c>
      <c r="B953" s="284">
        <v>135.0</v>
      </c>
      <c r="C953" s="285" t="str">
        <f t="shared" si="1"/>
        <v>20 135</v>
      </c>
      <c r="D953" s="285" t="s">
        <v>9608</v>
      </c>
    </row>
    <row r="954">
      <c r="A954" s="283">
        <v>20.0</v>
      </c>
      <c r="B954" s="284">
        <v>137.0</v>
      </c>
      <c r="C954" s="285" t="str">
        <f t="shared" si="1"/>
        <v>20 137</v>
      </c>
      <c r="D954" s="285" t="s">
        <v>9609</v>
      </c>
    </row>
    <row r="955">
      <c r="A955" s="283">
        <v>20.0</v>
      </c>
      <c r="B955" s="284">
        <v>139.0</v>
      </c>
      <c r="C955" s="285" t="str">
        <f t="shared" si="1"/>
        <v>20 139</v>
      </c>
      <c r="D955" s="285" t="s">
        <v>9610</v>
      </c>
    </row>
    <row r="956">
      <c r="A956" s="283">
        <v>20.0</v>
      </c>
      <c r="B956" s="284">
        <v>141.0</v>
      </c>
      <c r="C956" s="285" t="str">
        <f t="shared" si="1"/>
        <v>20 141</v>
      </c>
      <c r="D956" s="285" t="s">
        <v>9611</v>
      </c>
    </row>
    <row r="957">
      <c r="A957" s="283">
        <v>20.0</v>
      </c>
      <c r="B957" s="284">
        <v>143.0</v>
      </c>
      <c r="C957" s="285" t="str">
        <f t="shared" si="1"/>
        <v>20 143</v>
      </c>
      <c r="D957" s="285" t="s">
        <v>9612</v>
      </c>
    </row>
    <row r="958">
      <c r="A958" s="283">
        <v>20.0</v>
      </c>
      <c r="B958" s="284">
        <v>145.0</v>
      </c>
      <c r="C958" s="285" t="str">
        <f t="shared" si="1"/>
        <v>20 145</v>
      </c>
      <c r="D958" s="285" t="s">
        <v>9613</v>
      </c>
    </row>
    <row r="959">
      <c r="A959" s="283">
        <v>20.0</v>
      </c>
      <c r="B959" s="284">
        <v>147.0</v>
      </c>
      <c r="C959" s="285" t="str">
        <f t="shared" si="1"/>
        <v>20 147</v>
      </c>
      <c r="D959" s="285" t="s">
        <v>9614</v>
      </c>
    </row>
    <row r="960">
      <c r="A960" s="283">
        <v>20.0</v>
      </c>
      <c r="B960" s="284">
        <v>149.0</v>
      </c>
      <c r="C960" s="285" t="str">
        <f t="shared" si="1"/>
        <v>20 149</v>
      </c>
      <c r="D960" s="285" t="s">
        <v>9615</v>
      </c>
    </row>
    <row r="961">
      <c r="A961" s="283">
        <v>20.0</v>
      </c>
      <c r="B961" s="284">
        <v>151.0</v>
      </c>
      <c r="C961" s="285" t="str">
        <f t="shared" si="1"/>
        <v>20 151</v>
      </c>
      <c r="D961" s="285" t="s">
        <v>9616</v>
      </c>
    </row>
    <row r="962">
      <c r="A962" s="283">
        <v>20.0</v>
      </c>
      <c r="B962" s="284">
        <v>153.0</v>
      </c>
      <c r="C962" s="285" t="str">
        <f t="shared" si="1"/>
        <v>20 153</v>
      </c>
      <c r="D962" s="285" t="s">
        <v>9617</v>
      </c>
    </row>
    <row r="963">
      <c r="A963" s="283">
        <v>20.0</v>
      </c>
      <c r="B963" s="284">
        <v>155.0</v>
      </c>
      <c r="C963" s="285" t="str">
        <f t="shared" si="1"/>
        <v>20 155</v>
      </c>
      <c r="D963" s="285" t="s">
        <v>9618</v>
      </c>
    </row>
    <row r="964">
      <c r="A964" s="283">
        <v>20.0</v>
      </c>
      <c r="B964" s="284">
        <v>157.0</v>
      </c>
      <c r="C964" s="285" t="str">
        <f t="shared" si="1"/>
        <v>20 157</v>
      </c>
      <c r="D964" s="285" t="s">
        <v>9619</v>
      </c>
    </row>
    <row r="965">
      <c r="A965" s="283">
        <v>20.0</v>
      </c>
      <c r="B965" s="284">
        <v>159.0</v>
      </c>
      <c r="C965" s="285" t="str">
        <f t="shared" si="1"/>
        <v>20 159</v>
      </c>
      <c r="D965" s="285" t="s">
        <v>9620</v>
      </c>
    </row>
    <row r="966">
      <c r="A966" s="283">
        <v>20.0</v>
      </c>
      <c r="B966" s="284">
        <v>161.0</v>
      </c>
      <c r="C966" s="285" t="str">
        <f t="shared" si="1"/>
        <v>20 161</v>
      </c>
      <c r="D966" s="285" t="s">
        <v>9621</v>
      </c>
    </row>
    <row r="967">
      <c r="A967" s="283">
        <v>20.0</v>
      </c>
      <c r="B967" s="284">
        <v>163.0</v>
      </c>
      <c r="C967" s="285" t="str">
        <f t="shared" si="1"/>
        <v>20 163</v>
      </c>
      <c r="D967" s="285" t="s">
        <v>9622</v>
      </c>
    </row>
    <row r="968">
      <c r="A968" s="283">
        <v>20.0</v>
      </c>
      <c r="B968" s="284">
        <v>165.0</v>
      </c>
      <c r="C968" s="285" t="str">
        <f t="shared" si="1"/>
        <v>20 165</v>
      </c>
      <c r="D968" s="285" t="s">
        <v>9623</v>
      </c>
    </row>
    <row r="969">
      <c r="A969" s="283">
        <v>20.0</v>
      </c>
      <c r="B969" s="284">
        <v>167.0</v>
      </c>
      <c r="C969" s="285" t="str">
        <f t="shared" si="1"/>
        <v>20 167</v>
      </c>
      <c r="D969" s="285" t="s">
        <v>9624</v>
      </c>
    </row>
    <row r="970">
      <c r="A970" s="283">
        <v>20.0</v>
      </c>
      <c r="B970" s="284">
        <v>169.0</v>
      </c>
      <c r="C970" s="285" t="str">
        <f t="shared" si="1"/>
        <v>20 169</v>
      </c>
      <c r="D970" s="285" t="s">
        <v>9625</v>
      </c>
    </row>
    <row r="971">
      <c r="A971" s="283">
        <v>20.0</v>
      </c>
      <c r="B971" s="284">
        <v>171.0</v>
      </c>
      <c r="C971" s="285" t="str">
        <f t="shared" si="1"/>
        <v>20 171</v>
      </c>
      <c r="D971" s="285" t="s">
        <v>9626</v>
      </c>
    </row>
    <row r="972">
      <c r="A972" s="283">
        <v>20.0</v>
      </c>
      <c r="B972" s="284">
        <v>173.0</v>
      </c>
      <c r="C972" s="285" t="str">
        <f t="shared" si="1"/>
        <v>20 173</v>
      </c>
      <c r="D972" s="285" t="s">
        <v>9627</v>
      </c>
    </row>
    <row r="973">
      <c r="A973" s="283">
        <v>20.0</v>
      </c>
      <c r="B973" s="284">
        <v>175.0</v>
      </c>
      <c r="C973" s="285" t="str">
        <f t="shared" si="1"/>
        <v>20 175</v>
      </c>
      <c r="D973" s="285" t="s">
        <v>9628</v>
      </c>
    </row>
    <row r="974">
      <c r="A974" s="283">
        <v>20.0</v>
      </c>
      <c r="B974" s="284">
        <v>177.0</v>
      </c>
      <c r="C974" s="285" t="str">
        <f t="shared" si="1"/>
        <v>20 177</v>
      </c>
      <c r="D974" s="285" t="s">
        <v>9629</v>
      </c>
    </row>
    <row r="975">
      <c r="A975" s="283">
        <v>20.0</v>
      </c>
      <c r="B975" s="284">
        <v>179.0</v>
      </c>
      <c r="C975" s="285" t="str">
        <f t="shared" si="1"/>
        <v>20 179</v>
      </c>
      <c r="D975" s="285" t="s">
        <v>9630</v>
      </c>
    </row>
    <row r="976">
      <c r="A976" s="283">
        <v>20.0</v>
      </c>
      <c r="B976" s="284">
        <v>181.0</v>
      </c>
      <c r="C976" s="285" t="str">
        <f t="shared" si="1"/>
        <v>20 181</v>
      </c>
      <c r="D976" s="285" t="s">
        <v>9631</v>
      </c>
    </row>
    <row r="977">
      <c r="A977" s="283">
        <v>20.0</v>
      </c>
      <c r="B977" s="284">
        <v>183.0</v>
      </c>
      <c r="C977" s="285" t="str">
        <f t="shared" si="1"/>
        <v>20 183</v>
      </c>
      <c r="D977" s="285" t="s">
        <v>9632</v>
      </c>
    </row>
    <row r="978">
      <c r="A978" s="283">
        <v>20.0</v>
      </c>
      <c r="B978" s="284">
        <v>185.0</v>
      </c>
      <c r="C978" s="285" t="str">
        <f t="shared" si="1"/>
        <v>20 185</v>
      </c>
      <c r="D978" s="285" t="s">
        <v>9633</v>
      </c>
    </row>
    <row r="979">
      <c r="A979" s="283">
        <v>20.0</v>
      </c>
      <c r="B979" s="284">
        <v>187.0</v>
      </c>
      <c r="C979" s="285" t="str">
        <f t="shared" si="1"/>
        <v>20 187</v>
      </c>
      <c r="D979" s="285" t="s">
        <v>9634</v>
      </c>
    </row>
    <row r="980">
      <c r="A980" s="283">
        <v>20.0</v>
      </c>
      <c r="B980" s="284">
        <v>189.0</v>
      </c>
      <c r="C980" s="285" t="str">
        <f t="shared" si="1"/>
        <v>20 189</v>
      </c>
      <c r="D980" s="285" t="s">
        <v>9635</v>
      </c>
    </row>
    <row r="981">
      <c r="A981" s="283">
        <v>20.0</v>
      </c>
      <c r="B981" s="284">
        <v>191.0</v>
      </c>
      <c r="C981" s="285" t="str">
        <f t="shared" si="1"/>
        <v>20 191</v>
      </c>
      <c r="D981" s="285" t="s">
        <v>9636</v>
      </c>
    </row>
    <row r="982">
      <c r="A982" s="283">
        <v>20.0</v>
      </c>
      <c r="B982" s="284">
        <v>193.0</v>
      </c>
      <c r="C982" s="285" t="str">
        <f t="shared" si="1"/>
        <v>20 193</v>
      </c>
      <c r="D982" s="285" t="s">
        <v>9637</v>
      </c>
    </row>
    <row r="983">
      <c r="A983" s="283">
        <v>20.0</v>
      </c>
      <c r="B983" s="284">
        <v>195.0</v>
      </c>
      <c r="C983" s="285" t="str">
        <f t="shared" si="1"/>
        <v>20 195</v>
      </c>
      <c r="D983" s="285" t="s">
        <v>9638</v>
      </c>
    </row>
    <row r="984">
      <c r="A984" s="283">
        <v>20.0</v>
      </c>
      <c r="B984" s="284">
        <v>197.0</v>
      </c>
      <c r="C984" s="285" t="str">
        <f t="shared" si="1"/>
        <v>20 197</v>
      </c>
      <c r="D984" s="285" t="s">
        <v>9639</v>
      </c>
    </row>
    <row r="985">
      <c r="A985" s="283">
        <v>20.0</v>
      </c>
      <c r="B985" s="284">
        <v>199.0</v>
      </c>
      <c r="C985" s="285" t="str">
        <f t="shared" si="1"/>
        <v>20 199</v>
      </c>
      <c r="D985" s="285" t="s">
        <v>9640</v>
      </c>
    </row>
    <row r="986">
      <c r="A986" s="283">
        <v>20.0</v>
      </c>
      <c r="B986" s="284">
        <v>201.0</v>
      </c>
      <c r="C986" s="285" t="str">
        <f t="shared" si="1"/>
        <v>20 201</v>
      </c>
      <c r="D986" s="285" t="s">
        <v>9641</v>
      </c>
    </row>
    <row r="987">
      <c r="A987" s="283">
        <v>20.0</v>
      </c>
      <c r="B987" s="284">
        <v>203.0</v>
      </c>
      <c r="C987" s="285" t="str">
        <f t="shared" si="1"/>
        <v>20 203</v>
      </c>
      <c r="D987" s="285" t="s">
        <v>9642</v>
      </c>
    </row>
    <row r="988">
      <c r="A988" s="283">
        <v>20.0</v>
      </c>
      <c r="B988" s="284">
        <v>205.0</v>
      </c>
      <c r="C988" s="285" t="str">
        <f t="shared" si="1"/>
        <v>20 205</v>
      </c>
      <c r="D988" s="285" t="s">
        <v>9643</v>
      </c>
    </row>
    <row r="989">
      <c r="A989" s="283">
        <v>20.0</v>
      </c>
      <c r="B989" s="284">
        <v>207.0</v>
      </c>
      <c r="C989" s="285" t="str">
        <f t="shared" si="1"/>
        <v>20 207</v>
      </c>
      <c r="D989" s="285" t="s">
        <v>9644</v>
      </c>
    </row>
    <row r="990">
      <c r="A990" s="283">
        <v>20.0</v>
      </c>
      <c r="B990" s="284">
        <v>209.0</v>
      </c>
      <c r="C990" s="285" t="str">
        <f t="shared" si="1"/>
        <v>20 209</v>
      </c>
      <c r="D990" s="285" t="s">
        <v>9645</v>
      </c>
    </row>
    <row r="991">
      <c r="A991" s="283">
        <v>21.0</v>
      </c>
      <c r="B991" s="284">
        <v>1.0</v>
      </c>
      <c r="C991" s="285" t="str">
        <f t="shared" si="1"/>
        <v>21 1</v>
      </c>
      <c r="D991" s="285" t="s">
        <v>9646</v>
      </c>
    </row>
    <row r="992">
      <c r="A992" s="283">
        <v>21.0</v>
      </c>
      <c r="B992" s="284">
        <v>3.0</v>
      </c>
      <c r="C992" s="285" t="str">
        <f t="shared" si="1"/>
        <v>21 3</v>
      </c>
      <c r="D992" s="285" t="s">
        <v>9647</v>
      </c>
    </row>
    <row r="993">
      <c r="A993" s="283">
        <v>21.0</v>
      </c>
      <c r="B993" s="284">
        <v>5.0</v>
      </c>
      <c r="C993" s="285" t="str">
        <f t="shared" si="1"/>
        <v>21 5</v>
      </c>
      <c r="D993" s="285" t="s">
        <v>9648</v>
      </c>
    </row>
    <row r="994">
      <c r="A994" s="283">
        <v>21.0</v>
      </c>
      <c r="B994" s="284">
        <v>7.0</v>
      </c>
      <c r="C994" s="285" t="str">
        <f t="shared" si="1"/>
        <v>21 7</v>
      </c>
      <c r="D994" s="285" t="s">
        <v>9649</v>
      </c>
    </row>
    <row r="995">
      <c r="A995" s="283">
        <v>21.0</v>
      </c>
      <c r="B995" s="284">
        <v>9.0</v>
      </c>
      <c r="C995" s="285" t="str">
        <f t="shared" si="1"/>
        <v>21 9</v>
      </c>
      <c r="D995" s="285" t="s">
        <v>9650</v>
      </c>
    </row>
    <row r="996">
      <c r="A996" s="283">
        <v>21.0</v>
      </c>
      <c r="B996" s="284">
        <v>11.0</v>
      </c>
      <c r="C996" s="285" t="str">
        <f t="shared" si="1"/>
        <v>21 11</v>
      </c>
      <c r="D996" s="285" t="s">
        <v>9651</v>
      </c>
    </row>
    <row r="997">
      <c r="A997" s="283">
        <v>21.0</v>
      </c>
      <c r="B997" s="284">
        <v>13.0</v>
      </c>
      <c r="C997" s="285" t="str">
        <f t="shared" si="1"/>
        <v>21 13</v>
      </c>
      <c r="D997" s="285" t="s">
        <v>9652</v>
      </c>
    </row>
    <row r="998">
      <c r="A998" s="283">
        <v>21.0</v>
      </c>
      <c r="B998" s="284">
        <v>15.0</v>
      </c>
      <c r="C998" s="285" t="str">
        <f t="shared" si="1"/>
        <v>21 15</v>
      </c>
      <c r="D998" s="285" t="s">
        <v>9653</v>
      </c>
    </row>
    <row r="999">
      <c r="A999" s="283">
        <v>21.0</v>
      </c>
      <c r="B999" s="284">
        <v>17.0</v>
      </c>
      <c r="C999" s="285" t="str">
        <f t="shared" si="1"/>
        <v>21 17</v>
      </c>
      <c r="D999" s="285" t="s">
        <v>9654</v>
      </c>
    </row>
    <row r="1000">
      <c r="A1000" s="283">
        <v>21.0</v>
      </c>
      <c r="B1000" s="284">
        <v>19.0</v>
      </c>
      <c r="C1000" s="285" t="str">
        <f t="shared" si="1"/>
        <v>21 19</v>
      </c>
      <c r="D1000" s="285" t="s">
        <v>9655</v>
      </c>
    </row>
    <row r="1001">
      <c r="A1001" s="283">
        <v>21.0</v>
      </c>
      <c r="B1001" s="284">
        <v>21.0</v>
      </c>
      <c r="C1001" s="285" t="str">
        <f t="shared" si="1"/>
        <v>21 21</v>
      </c>
      <c r="D1001" s="285" t="s">
        <v>9656</v>
      </c>
    </row>
    <row r="1002">
      <c r="A1002" s="283">
        <v>21.0</v>
      </c>
      <c r="B1002" s="284">
        <v>23.0</v>
      </c>
      <c r="C1002" s="285" t="str">
        <f t="shared" si="1"/>
        <v>21 23</v>
      </c>
      <c r="D1002" s="285" t="s">
        <v>9657</v>
      </c>
    </row>
    <row r="1003">
      <c r="A1003" s="283">
        <v>21.0</v>
      </c>
      <c r="B1003" s="284">
        <v>25.0</v>
      </c>
      <c r="C1003" s="285" t="str">
        <f t="shared" si="1"/>
        <v>21 25</v>
      </c>
      <c r="D1003" s="285" t="s">
        <v>9658</v>
      </c>
    </row>
    <row r="1004">
      <c r="A1004" s="283">
        <v>21.0</v>
      </c>
      <c r="B1004" s="284">
        <v>27.0</v>
      </c>
      <c r="C1004" s="285" t="str">
        <f t="shared" si="1"/>
        <v>21 27</v>
      </c>
      <c r="D1004" s="285" t="s">
        <v>9659</v>
      </c>
    </row>
    <row r="1005">
      <c r="A1005" s="283">
        <v>21.0</v>
      </c>
      <c r="B1005" s="284">
        <v>29.0</v>
      </c>
      <c r="C1005" s="285" t="str">
        <f t="shared" si="1"/>
        <v>21 29</v>
      </c>
      <c r="D1005" s="285" t="s">
        <v>9660</v>
      </c>
    </row>
    <row r="1006">
      <c r="A1006" s="283">
        <v>21.0</v>
      </c>
      <c r="B1006" s="284">
        <v>31.0</v>
      </c>
      <c r="C1006" s="285" t="str">
        <f t="shared" si="1"/>
        <v>21 31</v>
      </c>
      <c r="D1006" s="285" t="s">
        <v>9661</v>
      </c>
    </row>
    <row r="1007">
      <c r="A1007" s="283">
        <v>21.0</v>
      </c>
      <c r="B1007" s="284">
        <v>33.0</v>
      </c>
      <c r="C1007" s="285" t="str">
        <f t="shared" si="1"/>
        <v>21 33</v>
      </c>
      <c r="D1007" s="285" t="s">
        <v>9662</v>
      </c>
    </row>
    <row r="1008">
      <c r="A1008" s="283">
        <v>21.0</v>
      </c>
      <c r="B1008" s="284">
        <v>35.0</v>
      </c>
      <c r="C1008" s="285" t="str">
        <f t="shared" si="1"/>
        <v>21 35</v>
      </c>
      <c r="D1008" s="285" t="s">
        <v>9663</v>
      </c>
    </row>
    <row r="1009">
      <c r="A1009" s="283">
        <v>21.0</v>
      </c>
      <c r="B1009" s="284">
        <v>37.0</v>
      </c>
      <c r="C1009" s="285" t="str">
        <f t="shared" si="1"/>
        <v>21 37</v>
      </c>
      <c r="D1009" s="285" t="s">
        <v>9664</v>
      </c>
    </row>
    <row r="1010">
      <c r="A1010" s="283">
        <v>21.0</v>
      </c>
      <c r="B1010" s="284">
        <v>39.0</v>
      </c>
      <c r="C1010" s="285" t="str">
        <f t="shared" si="1"/>
        <v>21 39</v>
      </c>
      <c r="D1010" s="285" t="s">
        <v>9665</v>
      </c>
    </row>
    <row r="1011">
      <c r="A1011" s="283">
        <v>21.0</v>
      </c>
      <c r="B1011" s="284">
        <v>41.0</v>
      </c>
      <c r="C1011" s="285" t="str">
        <f t="shared" si="1"/>
        <v>21 41</v>
      </c>
      <c r="D1011" s="285" t="s">
        <v>9666</v>
      </c>
    </row>
    <row r="1012">
      <c r="A1012" s="283">
        <v>21.0</v>
      </c>
      <c r="B1012" s="284">
        <v>43.0</v>
      </c>
      <c r="C1012" s="285" t="str">
        <f t="shared" si="1"/>
        <v>21 43</v>
      </c>
      <c r="D1012" s="285" t="s">
        <v>9667</v>
      </c>
    </row>
    <row r="1013">
      <c r="A1013" s="283">
        <v>21.0</v>
      </c>
      <c r="B1013" s="284">
        <v>45.0</v>
      </c>
      <c r="C1013" s="285" t="str">
        <f t="shared" si="1"/>
        <v>21 45</v>
      </c>
      <c r="D1013" s="285" t="s">
        <v>9668</v>
      </c>
    </row>
    <row r="1014">
      <c r="A1014" s="283">
        <v>21.0</v>
      </c>
      <c r="B1014" s="284">
        <v>47.0</v>
      </c>
      <c r="C1014" s="285" t="str">
        <f t="shared" si="1"/>
        <v>21 47</v>
      </c>
      <c r="D1014" s="285" t="s">
        <v>9669</v>
      </c>
    </row>
    <row r="1015">
      <c r="A1015" s="283">
        <v>21.0</v>
      </c>
      <c r="B1015" s="284">
        <v>49.0</v>
      </c>
      <c r="C1015" s="285" t="str">
        <f t="shared" si="1"/>
        <v>21 49</v>
      </c>
      <c r="D1015" s="285" t="s">
        <v>9670</v>
      </c>
    </row>
    <row r="1016">
      <c r="A1016" s="283">
        <v>21.0</v>
      </c>
      <c r="B1016" s="284">
        <v>51.0</v>
      </c>
      <c r="C1016" s="285" t="str">
        <f t="shared" si="1"/>
        <v>21 51</v>
      </c>
      <c r="D1016" s="285" t="s">
        <v>9671</v>
      </c>
    </row>
    <row r="1017">
      <c r="A1017" s="283">
        <v>21.0</v>
      </c>
      <c r="B1017" s="284">
        <v>53.0</v>
      </c>
      <c r="C1017" s="285" t="str">
        <f t="shared" si="1"/>
        <v>21 53</v>
      </c>
      <c r="D1017" s="285" t="s">
        <v>9672</v>
      </c>
    </row>
    <row r="1018">
      <c r="A1018" s="283">
        <v>21.0</v>
      </c>
      <c r="B1018" s="284">
        <v>55.0</v>
      </c>
      <c r="C1018" s="285" t="str">
        <f t="shared" si="1"/>
        <v>21 55</v>
      </c>
      <c r="D1018" s="285" t="s">
        <v>9673</v>
      </c>
    </row>
    <row r="1019">
      <c r="A1019" s="283">
        <v>21.0</v>
      </c>
      <c r="B1019" s="284">
        <v>57.0</v>
      </c>
      <c r="C1019" s="285" t="str">
        <f t="shared" si="1"/>
        <v>21 57</v>
      </c>
      <c r="D1019" s="285" t="s">
        <v>9674</v>
      </c>
    </row>
    <row r="1020">
      <c r="A1020" s="283">
        <v>21.0</v>
      </c>
      <c r="B1020" s="284">
        <v>59.0</v>
      </c>
      <c r="C1020" s="285" t="str">
        <f t="shared" si="1"/>
        <v>21 59</v>
      </c>
      <c r="D1020" s="285" t="s">
        <v>9675</v>
      </c>
    </row>
    <row r="1021">
      <c r="A1021" s="283">
        <v>21.0</v>
      </c>
      <c r="B1021" s="284">
        <v>61.0</v>
      </c>
      <c r="C1021" s="285" t="str">
        <f t="shared" si="1"/>
        <v>21 61</v>
      </c>
      <c r="D1021" s="285" t="s">
        <v>9676</v>
      </c>
    </row>
    <row r="1022">
      <c r="A1022" s="283">
        <v>21.0</v>
      </c>
      <c r="B1022" s="284">
        <v>63.0</v>
      </c>
      <c r="C1022" s="285" t="str">
        <f t="shared" si="1"/>
        <v>21 63</v>
      </c>
      <c r="D1022" s="285" t="s">
        <v>9677</v>
      </c>
    </row>
    <row r="1023">
      <c r="A1023" s="283">
        <v>21.0</v>
      </c>
      <c r="B1023" s="284">
        <v>65.0</v>
      </c>
      <c r="C1023" s="285" t="str">
        <f t="shared" si="1"/>
        <v>21 65</v>
      </c>
      <c r="D1023" s="285" t="s">
        <v>9678</v>
      </c>
    </row>
    <row r="1024">
      <c r="A1024" s="283">
        <v>21.0</v>
      </c>
      <c r="B1024" s="284">
        <v>67.0</v>
      </c>
      <c r="C1024" s="285" t="str">
        <f t="shared" si="1"/>
        <v>21 67</v>
      </c>
      <c r="D1024" s="285" t="s">
        <v>9679</v>
      </c>
    </row>
    <row r="1025">
      <c r="A1025" s="283">
        <v>21.0</v>
      </c>
      <c r="B1025" s="284">
        <v>69.0</v>
      </c>
      <c r="C1025" s="285" t="str">
        <f t="shared" si="1"/>
        <v>21 69</v>
      </c>
      <c r="D1025" s="285" t="s">
        <v>9680</v>
      </c>
    </row>
    <row r="1026">
      <c r="A1026" s="283">
        <v>21.0</v>
      </c>
      <c r="B1026" s="284">
        <v>71.0</v>
      </c>
      <c r="C1026" s="285" t="str">
        <f t="shared" si="1"/>
        <v>21 71</v>
      </c>
      <c r="D1026" s="285" t="s">
        <v>9681</v>
      </c>
    </row>
    <row r="1027">
      <c r="A1027" s="283">
        <v>21.0</v>
      </c>
      <c r="B1027" s="284">
        <v>73.0</v>
      </c>
      <c r="C1027" s="285" t="str">
        <f t="shared" si="1"/>
        <v>21 73</v>
      </c>
      <c r="D1027" s="285" t="s">
        <v>9682</v>
      </c>
    </row>
    <row r="1028">
      <c r="A1028" s="283">
        <v>21.0</v>
      </c>
      <c r="B1028" s="284">
        <v>75.0</v>
      </c>
      <c r="C1028" s="285" t="str">
        <f t="shared" si="1"/>
        <v>21 75</v>
      </c>
      <c r="D1028" s="285" t="s">
        <v>9683</v>
      </c>
    </row>
    <row r="1029">
      <c r="A1029" s="283">
        <v>21.0</v>
      </c>
      <c r="B1029" s="284">
        <v>77.0</v>
      </c>
      <c r="C1029" s="285" t="str">
        <f t="shared" si="1"/>
        <v>21 77</v>
      </c>
      <c r="D1029" s="285" t="s">
        <v>9684</v>
      </c>
    </row>
    <row r="1030">
      <c r="A1030" s="283">
        <v>21.0</v>
      </c>
      <c r="B1030" s="284">
        <v>79.0</v>
      </c>
      <c r="C1030" s="285" t="str">
        <f t="shared" si="1"/>
        <v>21 79</v>
      </c>
      <c r="D1030" s="285" t="s">
        <v>9685</v>
      </c>
    </row>
    <row r="1031">
      <c r="A1031" s="283">
        <v>21.0</v>
      </c>
      <c r="B1031" s="284">
        <v>81.0</v>
      </c>
      <c r="C1031" s="285" t="str">
        <f t="shared" si="1"/>
        <v>21 81</v>
      </c>
      <c r="D1031" s="285" t="s">
        <v>9686</v>
      </c>
    </row>
    <row r="1032">
      <c r="A1032" s="283">
        <v>21.0</v>
      </c>
      <c r="B1032" s="284">
        <v>83.0</v>
      </c>
      <c r="C1032" s="285" t="str">
        <f t="shared" si="1"/>
        <v>21 83</v>
      </c>
      <c r="D1032" s="285" t="s">
        <v>9687</v>
      </c>
    </row>
    <row r="1033">
      <c r="A1033" s="283">
        <v>21.0</v>
      </c>
      <c r="B1033" s="284">
        <v>85.0</v>
      </c>
      <c r="C1033" s="285" t="str">
        <f t="shared" si="1"/>
        <v>21 85</v>
      </c>
      <c r="D1033" s="285" t="s">
        <v>9688</v>
      </c>
    </row>
    <row r="1034">
      <c r="A1034" s="283">
        <v>21.0</v>
      </c>
      <c r="B1034" s="284">
        <v>87.0</v>
      </c>
      <c r="C1034" s="285" t="str">
        <f t="shared" si="1"/>
        <v>21 87</v>
      </c>
      <c r="D1034" s="285" t="s">
        <v>9689</v>
      </c>
    </row>
    <row r="1035">
      <c r="A1035" s="283">
        <v>21.0</v>
      </c>
      <c r="B1035" s="284">
        <v>89.0</v>
      </c>
      <c r="C1035" s="285" t="str">
        <f t="shared" si="1"/>
        <v>21 89</v>
      </c>
      <c r="D1035" s="285" t="s">
        <v>9690</v>
      </c>
    </row>
    <row r="1036">
      <c r="A1036" s="283">
        <v>21.0</v>
      </c>
      <c r="B1036" s="284">
        <v>91.0</v>
      </c>
      <c r="C1036" s="285" t="str">
        <f t="shared" si="1"/>
        <v>21 91</v>
      </c>
      <c r="D1036" s="285" t="s">
        <v>9691</v>
      </c>
    </row>
    <row r="1037">
      <c r="A1037" s="283">
        <v>21.0</v>
      </c>
      <c r="B1037" s="284">
        <v>93.0</v>
      </c>
      <c r="C1037" s="285" t="str">
        <f t="shared" si="1"/>
        <v>21 93</v>
      </c>
      <c r="D1037" s="285" t="s">
        <v>9692</v>
      </c>
    </row>
    <row r="1038">
      <c r="A1038" s="283">
        <v>21.0</v>
      </c>
      <c r="B1038" s="284">
        <v>95.0</v>
      </c>
      <c r="C1038" s="285" t="str">
        <f t="shared" si="1"/>
        <v>21 95</v>
      </c>
      <c r="D1038" s="285" t="s">
        <v>9693</v>
      </c>
    </row>
    <row r="1039">
      <c r="A1039" s="283">
        <v>21.0</v>
      </c>
      <c r="B1039" s="284">
        <v>97.0</v>
      </c>
      <c r="C1039" s="285" t="str">
        <f t="shared" si="1"/>
        <v>21 97</v>
      </c>
      <c r="D1039" s="285" t="s">
        <v>9694</v>
      </c>
    </row>
    <row r="1040">
      <c r="A1040" s="283">
        <v>21.0</v>
      </c>
      <c r="B1040" s="284">
        <v>99.0</v>
      </c>
      <c r="C1040" s="285" t="str">
        <f t="shared" si="1"/>
        <v>21 99</v>
      </c>
      <c r="D1040" s="285" t="s">
        <v>9695</v>
      </c>
    </row>
    <row r="1041">
      <c r="A1041" s="283">
        <v>21.0</v>
      </c>
      <c r="B1041" s="284">
        <v>101.0</v>
      </c>
      <c r="C1041" s="285" t="str">
        <f t="shared" si="1"/>
        <v>21 101</v>
      </c>
      <c r="D1041" s="285" t="s">
        <v>9696</v>
      </c>
    </row>
    <row r="1042">
      <c r="A1042" s="283">
        <v>21.0</v>
      </c>
      <c r="B1042" s="284">
        <v>103.0</v>
      </c>
      <c r="C1042" s="285" t="str">
        <f t="shared" si="1"/>
        <v>21 103</v>
      </c>
      <c r="D1042" s="285" t="s">
        <v>9697</v>
      </c>
    </row>
    <row r="1043">
      <c r="A1043" s="283">
        <v>21.0</v>
      </c>
      <c r="B1043" s="284">
        <v>105.0</v>
      </c>
      <c r="C1043" s="285" t="str">
        <f t="shared" si="1"/>
        <v>21 105</v>
      </c>
      <c r="D1043" s="285" t="s">
        <v>9698</v>
      </c>
    </row>
    <row r="1044">
      <c r="A1044" s="283">
        <v>21.0</v>
      </c>
      <c r="B1044" s="284">
        <v>107.0</v>
      </c>
      <c r="C1044" s="285" t="str">
        <f t="shared" si="1"/>
        <v>21 107</v>
      </c>
      <c r="D1044" s="285" t="s">
        <v>9699</v>
      </c>
    </row>
    <row r="1045">
      <c r="A1045" s="283">
        <v>21.0</v>
      </c>
      <c r="B1045" s="284">
        <v>109.0</v>
      </c>
      <c r="C1045" s="285" t="str">
        <f t="shared" si="1"/>
        <v>21 109</v>
      </c>
      <c r="D1045" s="285" t="s">
        <v>9700</v>
      </c>
    </row>
    <row r="1046">
      <c r="A1046" s="283">
        <v>21.0</v>
      </c>
      <c r="B1046" s="284">
        <v>111.0</v>
      </c>
      <c r="C1046" s="285" t="str">
        <f t="shared" si="1"/>
        <v>21 111</v>
      </c>
      <c r="D1046" s="285" t="s">
        <v>9701</v>
      </c>
    </row>
    <row r="1047">
      <c r="A1047" s="283">
        <v>21.0</v>
      </c>
      <c r="B1047" s="284">
        <v>113.0</v>
      </c>
      <c r="C1047" s="285" t="str">
        <f t="shared" si="1"/>
        <v>21 113</v>
      </c>
      <c r="D1047" s="285" t="s">
        <v>9702</v>
      </c>
    </row>
    <row r="1048">
      <c r="A1048" s="283">
        <v>21.0</v>
      </c>
      <c r="B1048" s="284">
        <v>115.0</v>
      </c>
      <c r="C1048" s="285" t="str">
        <f t="shared" si="1"/>
        <v>21 115</v>
      </c>
      <c r="D1048" s="285" t="s">
        <v>9703</v>
      </c>
    </row>
    <row r="1049">
      <c r="A1049" s="283">
        <v>21.0</v>
      </c>
      <c r="B1049" s="284">
        <v>117.0</v>
      </c>
      <c r="C1049" s="285" t="str">
        <f t="shared" si="1"/>
        <v>21 117</v>
      </c>
      <c r="D1049" s="285" t="s">
        <v>9704</v>
      </c>
    </row>
    <row r="1050">
      <c r="A1050" s="283">
        <v>21.0</v>
      </c>
      <c r="B1050" s="284">
        <v>119.0</v>
      </c>
      <c r="C1050" s="285" t="str">
        <f t="shared" si="1"/>
        <v>21 119</v>
      </c>
      <c r="D1050" s="285" t="s">
        <v>9705</v>
      </c>
    </row>
    <row r="1051">
      <c r="A1051" s="283">
        <v>21.0</v>
      </c>
      <c r="B1051" s="284">
        <v>121.0</v>
      </c>
      <c r="C1051" s="285" t="str">
        <f t="shared" si="1"/>
        <v>21 121</v>
      </c>
      <c r="D1051" s="285" t="s">
        <v>9706</v>
      </c>
    </row>
    <row r="1052">
      <c r="A1052" s="283">
        <v>21.0</v>
      </c>
      <c r="B1052" s="284">
        <v>123.0</v>
      </c>
      <c r="C1052" s="285" t="str">
        <f t="shared" si="1"/>
        <v>21 123</v>
      </c>
      <c r="D1052" s="285" t="s">
        <v>9707</v>
      </c>
    </row>
    <row r="1053">
      <c r="A1053" s="283">
        <v>21.0</v>
      </c>
      <c r="B1053" s="284">
        <v>125.0</v>
      </c>
      <c r="C1053" s="285" t="str">
        <f t="shared" si="1"/>
        <v>21 125</v>
      </c>
      <c r="D1053" s="285" t="s">
        <v>9708</v>
      </c>
    </row>
    <row r="1054">
      <c r="A1054" s="283">
        <v>21.0</v>
      </c>
      <c r="B1054" s="284">
        <v>127.0</v>
      </c>
      <c r="C1054" s="285" t="str">
        <f t="shared" si="1"/>
        <v>21 127</v>
      </c>
      <c r="D1054" s="285" t="s">
        <v>9709</v>
      </c>
    </row>
    <row r="1055">
      <c r="A1055" s="283">
        <v>21.0</v>
      </c>
      <c r="B1055" s="284">
        <v>129.0</v>
      </c>
      <c r="C1055" s="285" t="str">
        <f t="shared" si="1"/>
        <v>21 129</v>
      </c>
      <c r="D1055" s="285" t="s">
        <v>9710</v>
      </c>
    </row>
    <row r="1056">
      <c r="A1056" s="283">
        <v>21.0</v>
      </c>
      <c r="B1056" s="284">
        <v>131.0</v>
      </c>
      <c r="C1056" s="285" t="str">
        <f t="shared" si="1"/>
        <v>21 131</v>
      </c>
      <c r="D1056" s="285" t="s">
        <v>9711</v>
      </c>
    </row>
    <row r="1057">
      <c r="A1057" s="283">
        <v>21.0</v>
      </c>
      <c r="B1057" s="284">
        <v>133.0</v>
      </c>
      <c r="C1057" s="285" t="str">
        <f t="shared" si="1"/>
        <v>21 133</v>
      </c>
      <c r="D1057" s="285" t="s">
        <v>9712</v>
      </c>
    </row>
    <row r="1058">
      <c r="A1058" s="283">
        <v>21.0</v>
      </c>
      <c r="B1058" s="284">
        <v>135.0</v>
      </c>
      <c r="C1058" s="285" t="str">
        <f t="shared" si="1"/>
        <v>21 135</v>
      </c>
      <c r="D1058" s="285" t="s">
        <v>9713</v>
      </c>
    </row>
    <row r="1059">
      <c r="A1059" s="283">
        <v>21.0</v>
      </c>
      <c r="B1059" s="284">
        <v>137.0</v>
      </c>
      <c r="C1059" s="285" t="str">
        <f t="shared" si="1"/>
        <v>21 137</v>
      </c>
      <c r="D1059" s="285" t="s">
        <v>9714</v>
      </c>
    </row>
    <row r="1060">
      <c r="A1060" s="283">
        <v>21.0</v>
      </c>
      <c r="B1060" s="284">
        <v>139.0</v>
      </c>
      <c r="C1060" s="285" t="str">
        <f t="shared" si="1"/>
        <v>21 139</v>
      </c>
      <c r="D1060" s="285" t="s">
        <v>9715</v>
      </c>
    </row>
    <row r="1061">
      <c r="A1061" s="283">
        <v>21.0</v>
      </c>
      <c r="B1061" s="284">
        <v>141.0</v>
      </c>
      <c r="C1061" s="285" t="str">
        <f t="shared" si="1"/>
        <v>21 141</v>
      </c>
      <c r="D1061" s="285" t="s">
        <v>9716</v>
      </c>
    </row>
    <row r="1062">
      <c r="A1062" s="283">
        <v>21.0</v>
      </c>
      <c r="B1062" s="284">
        <v>143.0</v>
      </c>
      <c r="C1062" s="285" t="str">
        <f t="shared" si="1"/>
        <v>21 143</v>
      </c>
      <c r="D1062" s="285" t="s">
        <v>9717</v>
      </c>
    </row>
    <row r="1063">
      <c r="A1063" s="283">
        <v>21.0</v>
      </c>
      <c r="B1063" s="284">
        <v>145.0</v>
      </c>
      <c r="C1063" s="285" t="str">
        <f t="shared" si="1"/>
        <v>21 145</v>
      </c>
      <c r="D1063" s="285" t="s">
        <v>9718</v>
      </c>
    </row>
    <row r="1064">
      <c r="A1064" s="283">
        <v>21.0</v>
      </c>
      <c r="B1064" s="284">
        <v>147.0</v>
      </c>
      <c r="C1064" s="285" t="str">
        <f t="shared" si="1"/>
        <v>21 147</v>
      </c>
      <c r="D1064" s="285" t="s">
        <v>9719</v>
      </c>
    </row>
    <row r="1065">
      <c r="A1065" s="283">
        <v>21.0</v>
      </c>
      <c r="B1065" s="284">
        <v>149.0</v>
      </c>
      <c r="C1065" s="285" t="str">
        <f t="shared" si="1"/>
        <v>21 149</v>
      </c>
      <c r="D1065" s="285" t="s">
        <v>9720</v>
      </c>
    </row>
    <row r="1066">
      <c r="A1066" s="283">
        <v>21.0</v>
      </c>
      <c r="B1066" s="284">
        <v>151.0</v>
      </c>
      <c r="C1066" s="285" t="str">
        <f t="shared" si="1"/>
        <v>21 151</v>
      </c>
      <c r="D1066" s="285" t="s">
        <v>9721</v>
      </c>
    </row>
    <row r="1067">
      <c r="A1067" s="283">
        <v>21.0</v>
      </c>
      <c r="B1067" s="284">
        <v>153.0</v>
      </c>
      <c r="C1067" s="285" t="str">
        <f t="shared" si="1"/>
        <v>21 153</v>
      </c>
      <c r="D1067" s="285" t="s">
        <v>9722</v>
      </c>
    </row>
    <row r="1068">
      <c r="A1068" s="283">
        <v>21.0</v>
      </c>
      <c r="B1068" s="284">
        <v>155.0</v>
      </c>
      <c r="C1068" s="285" t="str">
        <f t="shared" si="1"/>
        <v>21 155</v>
      </c>
      <c r="D1068" s="285" t="s">
        <v>9723</v>
      </c>
    </row>
    <row r="1069">
      <c r="A1069" s="283">
        <v>21.0</v>
      </c>
      <c r="B1069" s="284">
        <v>157.0</v>
      </c>
      <c r="C1069" s="285" t="str">
        <f t="shared" si="1"/>
        <v>21 157</v>
      </c>
      <c r="D1069" s="285" t="s">
        <v>9724</v>
      </c>
    </row>
    <row r="1070">
      <c r="A1070" s="283">
        <v>21.0</v>
      </c>
      <c r="B1070" s="284">
        <v>159.0</v>
      </c>
      <c r="C1070" s="285" t="str">
        <f t="shared" si="1"/>
        <v>21 159</v>
      </c>
      <c r="D1070" s="285" t="s">
        <v>9725</v>
      </c>
    </row>
    <row r="1071">
      <c r="A1071" s="283">
        <v>21.0</v>
      </c>
      <c r="B1071" s="284">
        <v>161.0</v>
      </c>
      <c r="C1071" s="285" t="str">
        <f t="shared" si="1"/>
        <v>21 161</v>
      </c>
      <c r="D1071" s="285" t="s">
        <v>9726</v>
      </c>
    </row>
    <row r="1072">
      <c r="A1072" s="283">
        <v>21.0</v>
      </c>
      <c r="B1072" s="284">
        <v>163.0</v>
      </c>
      <c r="C1072" s="285" t="str">
        <f t="shared" si="1"/>
        <v>21 163</v>
      </c>
      <c r="D1072" s="285" t="s">
        <v>9727</v>
      </c>
    </row>
    <row r="1073">
      <c r="A1073" s="283">
        <v>21.0</v>
      </c>
      <c r="B1073" s="284">
        <v>165.0</v>
      </c>
      <c r="C1073" s="285" t="str">
        <f t="shared" si="1"/>
        <v>21 165</v>
      </c>
      <c r="D1073" s="285" t="s">
        <v>9728</v>
      </c>
    </row>
    <row r="1074">
      <c r="A1074" s="283">
        <v>21.0</v>
      </c>
      <c r="B1074" s="284">
        <v>167.0</v>
      </c>
      <c r="C1074" s="285" t="str">
        <f t="shared" si="1"/>
        <v>21 167</v>
      </c>
      <c r="D1074" s="285" t="s">
        <v>9729</v>
      </c>
    </row>
    <row r="1075">
      <c r="A1075" s="283">
        <v>21.0</v>
      </c>
      <c r="B1075" s="284">
        <v>169.0</v>
      </c>
      <c r="C1075" s="285" t="str">
        <f t="shared" si="1"/>
        <v>21 169</v>
      </c>
      <c r="D1075" s="285" t="s">
        <v>9730</v>
      </c>
    </row>
    <row r="1076">
      <c r="A1076" s="283">
        <v>21.0</v>
      </c>
      <c r="B1076" s="284">
        <v>171.0</v>
      </c>
      <c r="C1076" s="285" t="str">
        <f t="shared" si="1"/>
        <v>21 171</v>
      </c>
      <c r="D1076" s="285" t="s">
        <v>9731</v>
      </c>
    </row>
    <row r="1077">
      <c r="A1077" s="283">
        <v>21.0</v>
      </c>
      <c r="B1077" s="284">
        <v>173.0</v>
      </c>
      <c r="C1077" s="285" t="str">
        <f t="shared" si="1"/>
        <v>21 173</v>
      </c>
      <c r="D1077" s="285" t="s">
        <v>9732</v>
      </c>
    </row>
    <row r="1078">
      <c r="A1078" s="283">
        <v>21.0</v>
      </c>
      <c r="B1078" s="284">
        <v>175.0</v>
      </c>
      <c r="C1078" s="285" t="str">
        <f t="shared" si="1"/>
        <v>21 175</v>
      </c>
      <c r="D1078" s="285" t="s">
        <v>9733</v>
      </c>
    </row>
    <row r="1079">
      <c r="A1079" s="283">
        <v>21.0</v>
      </c>
      <c r="B1079" s="284">
        <v>177.0</v>
      </c>
      <c r="C1079" s="285" t="str">
        <f t="shared" si="1"/>
        <v>21 177</v>
      </c>
      <c r="D1079" s="285" t="s">
        <v>9734</v>
      </c>
    </row>
    <row r="1080">
      <c r="A1080" s="283">
        <v>21.0</v>
      </c>
      <c r="B1080" s="284">
        <v>179.0</v>
      </c>
      <c r="C1080" s="285" t="str">
        <f t="shared" si="1"/>
        <v>21 179</v>
      </c>
      <c r="D1080" s="285" t="s">
        <v>9735</v>
      </c>
    </row>
    <row r="1081">
      <c r="A1081" s="283">
        <v>21.0</v>
      </c>
      <c r="B1081" s="284">
        <v>181.0</v>
      </c>
      <c r="C1081" s="285" t="str">
        <f t="shared" si="1"/>
        <v>21 181</v>
      </c>
      <c r="D1081" s="285" t="s">
        <v>9736</v>
      </c>
    </row>
    <row r="1082">
      <c r="A1082" s="283">
        <v>21.0</v>
      </c>
      <c r="B1082" s="284">
        <v>183.0</v>
      </c>
      <c r="C1082" s="285" t="str">
        <f t="shared" si="1"/>
        <v>21 183</v>
      </c>
      <c r="D1082" s="285" t="s">
        <v>9737</v>
      </c>
    </row>
    <row r="1083">
      <c r="A1083" s="283">
        <v>21.0</v>
      </c>
      <c r="B1083" s="284">
        <v>185.0</v>
      </c>
      <c r="C1083" s="285" t="str">
        <f t="shared" si="1"/>
        <v>21 185</v>
      </c>
      <c r="D1083" s="285" t="s">
        <v>9738</v>
      </c>
    </row>
    <row r="1084">
      <c r="A1084" s="283">
        <v>21.0</v>
      </c>
      <c r="B1084" s="284">
        <v>187.0</v>
      </c>
      <c r="C1084" s="285" t="str">
        <f t="shared" si="1"/>
        <v>21 187</v>
      </c>
      <c r="D1084" s="285" t="s">
        <v>9739</v>
      </c>
    </row>
    <row r="1085">
      <c r="A1085" s="283">
        <v>21.0</v>
      </c>
      <c r="B1085" s="284">
        <v>189.0</v>
      </c>
      <c r="C1085" s="285" t="str">
        <f t="shared" si="1"/>
        <v>21 189</v>
      </c>
      <c r="D1085" s="285" t="s">
        <v>9740</v>
      </c>
    </row>
    <row r="1086">
      <c r="A1086" s="283">
        <v>21.0</v>
      </c>
      <c r="B1086" s="284">
        <v>191.0</v>
      </c>
      <c r="C1086" s="285" t="str">
        <f t="shared" si="1"/>
        <v>21 191</v>
      </c>
      <c r="D1086" s="285" t="s">
        <v>9741</v>
      </c>
    </row>
    <row r="1087">
      <c r="A1087" s="283">
        <v>21.0</v>
      </c>
      <c r="B1087" s="284">
        <v>193.0</v>
      </c>
      <c r="C1087" s="285" t="str">
        <f t="shared" si="1"/>
        <v>21 193</v>
      </c>
      <c r="D1087" s="285" t="s">
        <v>9742</v>
      </c>
    </row>
    <row r="1088">
      <c r="A1088" s="283">
        <v>21.0</v>
      </c>
      <c r="B1088" s="284">
        <v>195.0</v>
      </c>
      <c r="C1088" s="285" t="str">
        <f t="shared" si="1"/>
        <v>21 195</v>
      </c>
      <c r="D1088" s="285" t="s">
        <v>9743</v>
      </c>
    </row>
    <row r="1089">
      <c r="A1089" s="283">
        <v>21.0</v>
      </c>
      <c r="B1089" s="284">
        <v>197.0</v>
      </c>
      <c r="C1089" s="285" t="str">
        <f t="shared" si="1"/>
        <v>21 197</v>
      </c>
      <c r="D1089" s="285" t="s">
        <v>9744</v>
      </c>
    </row>
    <row r="1090">
      <c r="A1090" s="283">
        <v>21.0</v>
      </c>
      <c r="B1090" s="284">
        <v>199.0</v>
      </c>
      <c r="C1090" s="285" t="str">
        <f t="shared" si="1"/>
        <v>21 199</v>
      </c>
      <c r="D1090" s="285" t="s">
        <v>9745</v>
      </c>
    </row>
    <row r="1091">
      <c r="A1091" s="283">
        <v>21.0</v>
      </c>
      <c r="B1091" s="284">
        <v>201.0</v>
      </c>
      <c r="C1091" s="285" t="str">
        <f t="shared" si="1"/>
        <v>21 201</v>
      </c>
      <c r="D1091" s="285" t="s">
        <v>9746</v>
      </c>
    </row>
    <row r="1092">
      <c r="A1092" s="283">
        <v>21.0</v>
      </c>
      <c r="B1092" s="284">
        <v>203.0</v>
      </c>
      <c r="C1092" s="285" t="str">
        <f t="shared" si="1"/>
        <v>21 203</v>
      </c>
      <c r="D1092" s="285" t="s">
        <v>9747</v>
      </c>
    </row>
    <row r="1093">
      <c r="A1093" s="283">
        <v>21.0</v>
      </c>
      <c r="B1093" s="284">
        <v>205.0</v>
      </c>
      <c r="C1093" s="285" t="str">
        <f t="shared" si="1"/>
        <v>21 205</v>
      </c>
      <c r="D1093" s="285" t="s">
        <v>9748</v>
      </c>
    </row>
    <row r="1094">
      <c r="A1094" s="283">
        <v>21.0</v>
      </c>
      <c r="B1094" s="284">
        <v>207.0</v>
      </c>
      <c r="C1094" s="285" t="str">
        <f t="shared" si="1"/>
        <v>21 207</v>
      </c>
      <c r="D1094" s="285" t="s">
        <v>9749</v>
      </c>
    </row>
    <row r="1095">
      <c r="A1095" s="283">
        <v>21.0</v>
      </c>
      <c r="B1095" s="284">
        <v>209.0</v>
      </c>
      <c r="C1095" s="285" t="str">
        <f t="shared" si="1"/>
        <v>21 209</v>
      </c>
      <c r="D1095" s="285" t="s">
        <v>9750</v>
      </c>
    </row>
    <row r="1096">
      <c r="A1096" s="283">
        <v>21.0</v>
      </c>
      <c r="B1096" s="284">
        <v>211.0</v>
      </c>
      <c r="C1096" s="285" t="str">
        <f t="shared" si="1"/>
        <v>21 211</v>
      </c>
      <c r="D1096" s="285" t="s">
        <v>9751</v>
      </c>
    </row>
    <row r="1097">
      <c r="A1097" s="283">
        <v>21.0</v>
      </c>
      <c r="B1097" s="284">
        <v>213.0</v>
      </c>
      <c r="C1097" s="285" t="str">
        <f t="shared" si="1"/>
        <v>21 213</v>
      </c>
      <c r="D1097" s="285" t="s">
        <v>9752</v>
      </c>
    </row>
    <row r="1098">
      <c r="A1098" s="283">
        <v>21.0</v>
      </c>
      <c r="B1098" s="284">
        <v>215.0</v>
      </c>
      <c r="C1098" s="285" t="str">
        <f t="shared" si="1"/>
        <v>21 215</v>
      </c>
      <c r="D1098" s="285" t="s">
        <v>9753</v>
      </c>
    </row>
    <row r="1099">
      <c r="A1099" s="283">
        <v>21.0</v>
      </c>
      <c r="B1099" s="284">
        <v>217.0</v>
      </c>
      <c r="C1099" s="285" t="str">
        <f t="shared" si="1"/>
        <v>21 217</v>
      </c>
      <c r="D1099" s="285" t="s">
        <v>9754</v>
      </c>
    </row>
    <row r="1100">
      <c r="A1100" s="283">
        <v>21.0</v>
      </c>
      <c r="B1100" s="284">
        <v>219.0</v>
      </c>
      <c r="C1100" s="285" t="str">
        <f t="shared" si="1"/>
        <v>21 219</v>
      </c>
      <c r="D1100" s="285" t="s">
        <v>9755</v>
      </c>
    </row>
    <row r="1101">
      <c r="A1101" s="283">
        <v>21.0</v>
      </c>
      <c r="B1101" s="284">
        <v>221.0</v>
      </c>
      <c r="C1101" s="285" t="str">
        <f t="shared" si="1"/>
        <v>21 221</v>
      </c>
      <c r="D1101" s="285" t="s">
        <v>9756</v>
      </c>
    </row>
    <row r="1102">
      <c r="A1102" s="283">
        <v>21.0</v>
      </c>
      <c r="B1102" s="284">
        <v>223.0</v>
      </c>
      <c r="C1102" s="285" t="str">
        <f t="shared" si="1"/>
        <v>21 223</v>
      </c>
      <c r="D1102" s="285" t="s">
        <v>9757</v>
      </c>
    </row>
    <row r="1103">
      <c r="A1103" s="283">
        <v>21.0</v>
      </c>
      <c r="B1103" s="284">
        <v>225.0</v>
      </c>
      <c r="C1103" s="285" t="str">
        <f t="shared" si="1"/>
        <v>21 225</v>
      </c>
      <c r="D1103" s="285" t="s">
        <v>9758</v>
      </c>
    </row>
    <row r="1104">
      <c r="A1104" s="283">
        <v>21.0</v>
      </c>
      <c r="B1104" s="284">
        <v>227.0</v>
      </c>
      <c r="C1104" s="285" t="str">
        <f t="shared" si="1"/>
        <v>21 227</v>
      </c>
      <c r="D1104" s="285" t="s">
        <v>9759</v>
      </c>
    </row>
    <row r="1105">
      <c r="A1105" s="283">
        <v>21.0</v>
      </c>
      <c r="B1105" s="284">
        <v>229.0</v>
      </c>
      <c r="C1105" s="285" t="str">
        <f t="shared" si="1"/>
        <v>21 229</v>
      </c>
      <c r="D1105" s="285" t="s">
        <v>9760</v>
      </c>
    </row>
    <row r="1106">
      <c r="A1106" s="283">
        <v>21.0</v>
      </c>
      <c r="B1106" s="284">
        <v>231.0</v>
      </c>
      <c r="C1106" s="285" t="str">
        <f t="shared" si="1"/>
        <v>21 231</v>
      </c>
      <c r="D1106" s="285" t="s">
        <v>9761</v>
      </c>
    </row>
    <row r="1107">
      <c r="A1107" s="283">
        <v>21.0</v>
      </c>
      <c r="B1107" s="284">
        <v>233.0</v>
      </c>
      <c r="C1107" s="285" t="str">
        <f t="shared" si="1"/>
        <v>21 233</v>
      </c>
      <c r="D1107" s="285" t="s">
        <v>9762</v>
      </c>
    </row>
    <row r="1108">
      <c r="A1108" s="283">
        <v>21.0</v>
      </c>
      <c r="B1108" s="284">
        <v>235.0</v>
      </c>
      <c r="C1108" s="285" t="str">
        <f t="shared" si="1"/>
        <v>21 235</v>
      </c>
      <c r="D1108" s="285" t="s">
        <v>9763</v>
      </c>
    </row>
    <row r="1109">
      <c r="A1109" s="283">
        <v>21.0</v>
      </c>
      <c r="B1109" s="284">
        <v>237.0</v>
      </c>
      <c r="C1109" s="285" t="str">
        <f t="shared" si="1"/>
        <v>21 237</v>
      </c>
      <c r="D1109" s="285" t="s">
        <v>9764</v>
      </c>
    </row>
    <row r="1110">
      <c r="A1110" s="283">
        <v>21.0</v>
      </c>
      <c r="B1110" s="284">
        <v>239.0</v>
      </c>
      <c r="C1110" s="285" t="str">
        <f t="shared" si="1"/>
        <v>21 239</v>
      </c>
      <c r="D1110" s="285" t="s">
        <v>9765</v>
      </c>
    </row>
    <row r="1111">
      <c r="A1111" s="283">
        <v>22.0</v>
      </c>
      <c r="B1111" s="284">
        <v>1.0</v>
      </c>
      <c r="C1111" s="285" t="str">
        <f t="shared" si="1"/>
        <v>22 1</v>
      </c>
      <c r="D1111" s="285" t="s">
        <v>9766</v>
      </c>
    </row>
    <row r="1112">
      <c r="A1112" s="283">
        <v>22.0</v>
      </c>
      <c r="B1112" s="284">
        <v>3.0</v>
      </c>
      <c r="C1112" s="285" t="str">
        <f t="shared" si="1"/>
        <v>22 3</v>
      </c>
      <c r="D1112" s="285" t="s">
        <v>9767</v>
      </c>
    </row>
    <row r="1113">
      <c r="A1113" s="283">
        <v>22.0</v>
      </c>
      <c r="B1113" s="284">
        <v>5.0</v>
      </c>
      <c r="C1113" s="285" t="str">
        <f t="shared" si="1"/>
        <v>22 5</v>
      </c>
      <c r="D1113" s="285" t="s">
        <v>9768</v>
      </c>
    </row>
    <row r="1114">
      <c r="A1114" s="283">
        <v>22.0</v>
      </c>
      <c r="B1114" s="284">
        <v>7.0</v>
      </c>
      <c r="C1114" s="285" t="str">
        <f t="shared" si="1"/>
        <v>22 7</v>
      </c>
      <c r="D1114" s="285" t="s">
        <v>9769</v>
      </c>
    </row>
    <row r="1115">
      <c r="A1115" s="283">
        <v>22.0</v>
      </c>
      <c r="B1115" s="284">
        <v>9.0</v>
      </c>
      <c r="C1115" s="285" t="str">
        <f t="shared" si="1"/>
        <v>22 9</v>
      </c>
      <c r="D1115" s="285" t="s">
        <v>9770</v>
      </c>
    </row>
    <row r="1116">
      <c r="A1116" s="283">
        <v>22.0</v>
      </c>
      <c r="B1116" s="284">
        <v>11.0</v>
      </c>
      <c r="C1116" s="285" t="str">
        <f t="shared" si="1"/>
        <v>22 11</v>
      </c>
      <c r="D1116" s="285" t="s">
        <v>9771</v>
      </c>
    </row>
    <row r="1117">
      <c r="A1117" s="283">
        <v>22.0</v>
      </c>
      <c r="B1117" s="284">
        <v>13.0</v>
      </c>
      <c r="C1117" s="285" t="str">
        <f t="shared" si="1"/>
        <v>22 13</v>
      </c>
      <c r="D1117" s="285" t="s">
        <v>9772</v>
      </c>
    </row>
    <row r="1118">
      <c r="A1118" s="283">
        <v>22.0</v>
      </c>
      <c r="B1118" s="284">
        <v>15.0</v>
      </c>
      <c r="C1118" s="285" t="str">
        <f t="shared" si="1"/>
        <v>22 15</v>
      </c>
      <c r="D1118" s="285" t="s">
        <v>9773</v>
      </c>
    </row>
    <row r="1119">
      <c r="A1119" s="283">
        <v>22.0</v>
      </c>
      <c r="B1119" s="284">
        <v>17.0</v>
      </c>
      <c r="C1119" s="285" t="str">
        <f t="shared" si="1"/>
        <v>22 17</v>
      </c>
      <c r="D1119" s="285" t="s">
        <v>9774</v>
      </c>
    </row>
    <row r="1120">
      <c r="A1120" s="283">
        <v>22.0</v>
      </c>
      <c r="B1120" s="284">
        <v>19.0</v>
      </c>
      <c r="C1120" s="285" t="str">
        <f t="shared" si="1"/>
        <v>22 19</v>
      </c>
      <c r="D1120" s="285" t="s">
        <v>9775</v>
      </c>
    </row>
    <row r="1121">
      <c r="A1121" s="283">
        <v>22.0</v>
      </c>
      <c r="B1121" s="284">
        <v>21.0</v>
      </c>
      <c r="C1121" s="285" t="str">
        <f t="shared" si="1"/>
        <v>22 21</v>
      </c>
      <c r="D1121" s="285" t="s">
        <v>9776</v>
      </c>
    </row>
    <row r="1122">
      <c r="A1122" s="283">
        <v>22.0</v>
      </c>
      <c r="B1122" s="284">
        <v>23.0</v>
      </c>
      <c r="C1122" s="285" t="str">
        <f t="shared" si="1"/>
        <v>22 23</v>
      </c>
      <c r="D1122" s="285" t="s">
        <v>9777</v>
      </c>
    </row>
    <row r="1123">
      <c r="A1123" s="283">
        <v>22.0</v>
      </c>
      <c r="B1123" s="284">
        <v>25.0</v>
      </c>
      <c r="C1123" s="285" t="str">
        <f t="shared" si="1"/>
        <v>22 25</v>
      </c>
      <c r="D1123" s="285" t="s">
        <v>9778</v>
      </c>
    </row>
    <row r="1124">
      <c r="A1124" s="283">
        <v>22.0</v>
      </c>
      <c r="B1124" s="284">
        <v>27.0</v>
      </c>
      <c r="C1124" s="285" t="str">
        <f t="shared" si="1"/>
        <v>22 27</v>
      </c>
      <c r="D1124" s="285" t="s">
        <v>9779</v>
      </c>
    </row>
    <row r="1125">
      <c r="A1125" s="283">
        <v>22.0</v>
      </c>
      <c r="B1125" s="284">
        <v>29.0</v>
      </c>
      <c r="C1125" s="285" t="str">
        <f t="shared" si="1"/>
        <v>22 29</v>
      </c>
      <c r="D1125" s="285" t="s">
        <v>9780</v>
      </c>
    </row>
    <row r="1126">
      <c r="A1126" s="283">
        <v>22.0</v>
      </c>
      <c r="B1126" s="284">
        <v>31.0</v>
      </c>
      <c r="C1126" s="285" t="str">
        <f t="shared" si="1"/>
        <v>22 31</v>
      </c>
      <c r="D1126" s="285" t="s">
        <v>9781</v>
      </c>
    </row>
    <row r="1127">
      <c r="A1127" s="283">
        <v>22.0</v>
      </c>
      <c r="B1127" s="284">
        <v>33.0</v>
      </c>
      <c r="C1127" s="285" t="str">
        <f t="shared" si="1"/>
        <v>22 33</v>
      </c>
      <c r="D1127" s="285" t="s">
        <v>9782</v>
      </c>
    </row>
    <row r="1128">
      <c r="A1128" s="283">
        <v>22.0</v>
      </c>
      <c r="B1128" s="284">
        <v>35.0</v>
      </c>
      <c r="C1128" s="285" t="str">
        <f t="shared" si="1"/>
        <v>22 35</v>
      </c>
      <c r="D1128" s="285" t="s">
        <v>9783</v>
      </c>
    </row>
    <row r="1129">
      <c r="A1129" s="283">
        <v>22.0</v>
      </c>
      <c r="B1129" s="284">
        <v>37.0</v>
      </c>
      <c r="C1129" s="285" t="str">
        <f t="shared" si="1"/>
        <v>22 37</v>
      </c>
      <c r="D1129" s="285" t="s">
        <v>9784</v>
      </c>
    </row>
    <row r="1130">
      <c r="A1130" s="283">
        <v>22.0</v>
      </c>
      <c r="B1130" s="284">
        <v>39.0</v>
      </c>
      <c r="C1130" s="285" t="str">
        <f t="shared" si="1"/>
        <v>22 39</v>
      </c>
      <c r="D1130" s="285" t="s">
        <v>9785</v>
      </c>
    </row>
    <row r="1131">
      <c r="A1131" s="283">
        <v>22.0</v>
      </c>
      <c r="B1131" s="284">
        <v>41.0</v>
      </c>
      <c r="C1131" s="285" t="str">
        <f t="shared" si="1"/>
        <v>22 41</v>
      </c>
      <c r="D1131" s="285" t="s">
        <v>9786</v>
      </c>
    </row>
    <row r="1132">
      <c r="A1132" s="283">
        <v>22.0</v>
      </c>
      <c r="B1132" s="284">
        <v>43.0</v>
      </c>
      <c r="C1132" s="285" t="str">
        <f t="shared" si="1"/>
        <v>22 43</v>
      </c>
      <c r="D1132" s="285" t="s">
        <v>9787</v>
      </c>
    </row>
    <row r="1133">
      <c r="A1133" s="283">
        <v>22.0</v>
      </c>
      <c r="B1133" s="284">
        <v>45.0</v>
      </c>
      <c r="C1133" s="285" t="str">
        <f t="shared" si="1"/>
        <v>22 45</v>
      </c>
      <c r="D1133" s="285" t="s">
        <v>9788</v>
      </c>
    </row>
    <row r="1134">
      <c r="A1134" s="283">
        <v>22.0</v>
      </c>
      <c r="B1134" s="284">
        <v>47.0</v>
      </c>
      <c r="C1134" s="285" t="str">
        <f t="shared" si="1"/>
        <v>22 47</v>
      </c>
      <c r="D1134" s="285" t="s">
        <v>9789</v>
      </c>
    </row>
    <row r="1135">
      <c r="A1135" s="283">
        <v>22.0</v>
      </c>
      <c r="B1135" s="284">
        <v>49.0</v>
      </c>
      <c r="C1135" s="285" t="str">
        <f t="shared" si="1"/>
        <v>22 49</v>
      </c>
      <c r="D1135" s="285" t="s">
        <v>9790</v>
      </c>
    </row>
    <row r="1136">
      <c r="A1136" s="283">
        <v>22.0</v>
      </c>
      <c r="B1136" s="284">
        <v>51.0</v>
      </c>
      <c r="C1136" s="285" t="str">
        <f t="shared" si="1"/>
        <v>22 51</v>
      </c>
      <c r="D1136" s="285" t="s">
        <v>9791</v>
      </c>
    </row>
    <row r="1137">
      <c r="A1137" s="283">
        <v>22.0</v>
      </c>
      <c r="B1137" s="284">
        <v>53.0</v>
      </c>
      <c r="C1137" s="285" t="str">
        <f t="shared" si="1"/>
        <v>22 53</v>
      </c>
      <c r="D1137" s="285" t="s">
        <v>9792</v>
      </c>
    </row>
    <row r="1138">
      <c r="A1138" s="283">
        <v>22.0</v>
      </c>
      <c r="B1138" s="284">
        <v>55.0</v>
      </c>
      <c r="C1138" s="285" t="str">
        <f t="shared" si="1"/>
        <v>22 55</v>
      </c>
      <c r="D1138" s="285" t="s">
        <v>9793</v>
      </c>
    </row>
    <row r="1139">
      <c r="A1139" s="283">
        <v>22.0</v>
      </c>
      <c r="B1139" s="284">
        <v>57.0</v>
      </c>
      <c r="C1139" s="285" t="str">
        <f t="shared" si="1"/>
        <v>22 57</v>
      </c>
      <c r="D1139" s="285" t="s">
        <v>9794</v>
      </c>
    </row>
    <row r="1140">
      <c r="A1140" s="283">
        <v>22.0</v>
      </c>
      <c r="B1140" s="284">
        <v>59.0</v>
      </c>
      <c r="C1140" s="285" t="str">
        <f t="shared" si="1"/>
        <v>22 59</v>
      </c>
      <c r="D1140" s="285" t="s">
        <v>9795</v>
      </c>
    </row>
    <row r="1141">
      <c r="A1141" s="283">
        <v>22.0</v>
      </c>
      <c r="B1141" s="284">
        <v>61.0</v>
      </c>
      <c r="C1141" s="285" t="str">
        <f t="shared" si="1"/>
        <v>22 61</v>
      </c>
      <c r="D1141" s="285" t="s">
        <v>9796</v>
      </c>
    </row>
    <row r="1142">
      <c r="A1142" s="283">
        <v>22.0</v>
      </c>
      <c r="B1142" s="284">
        <v>63.0</v>
      </c>
      <c r="C1142" s="285" t="str">
        <f t="shared" si="1"/>
        <v>22 63</v>
      </c>
      <c r="D1142" s="285" t="s">
        <v>9797</v>
      </c>
    </row>
    <row r="1143">
      <c r="A1143" s="283">
        <v>22.0</v>
      </c>
      <c r="B1143" s="284">
        <v>65.0</v>
      </c>
      <c r="C1143" s="285" t="str">
        <f t="shared" si="1"/>
        <v>22 65</v>
      </c>
      <c r="D1143" s="285" t="s">
        <v>9798</v>
      </c>
    </row>
    <row r="1144">
      <c r="A1144" s="283">
        <v>22.0</v>
      </c>
      <c r="B1144" s="284">
        <v>67.0</v>
      </c>
      <c r="C1144" s="285" t="str">
        <f t="shared" si="1"/>
        <v>22 67</v>
      </c>
      <c r="D1144" s="285" t="s">
        <v>9799</v>
      </c>
    </row>
    <row r="1145">
      <c r="A1145" s="283">
        <v>22.0</v>
      </c>
      <c r="B1145" s="284">
        <v>69.0</v>
      </c>
      <c r="C1145" s="285" t="str">
        <f t="shared" si="1"/>
        <v>22 69</v>
      </c>
      <c r="D1145" s="285" t="s">
        <v>9800</v>
      </c>
    </row>
    <row r="1146">
      <c r="A1146" s="283">
        <v>22.0</v>
      </c>
      <c r="B1146" s="284">
        <v>71.0</v>
      </c>
      <c r="C1146" s="285" t="str">
        <f t="shared" si="1"/>
        <v>22 71</v>
      </c>
      <c r="D1146" s="285" t="s">
        <v>9801</v>
      </c>
    </row>
    <row r="1147">
      <c r="A1147" s="283">
        <v>22.0</v>
      </c>
      <c r="B1147" s="284">
        <v>73.0</v>
      </c>
      <c r="C1147" s="285" t="str">
        <f t="shared" si="1"/>
        <v>22 73</v>
      </c>
      <c r="D1147" s="285" t="s">
        <v>9802</v>
      </c>
    </row>
    <row r="1148">
      <c r="A1148" s="283">
        <v>22.0</v>
      </c>
      <c r="B1148" s="284">
        <v>75.0</v>
      </c>
      <c r="C1148" s="285" t="str">
        <f t="shared" si="1"/>
        <v>22 75</v>
      </c>
      <c r="D1148" s="285" t="s">
        <v>9803</v>
      </c>
    </row>
    <row r="1149">
      <c r="A1149" s="283">
        <v>22.0</v>
      </c>
      <c r="B1149" s="284">
        <v>77.0</v>
      </c>
      <c r="C1149" s="285" t="str">
        <f t="shared" si="1"/>
        <v>22 77</v>
      </c>
      <c r="D1149" s="285" t="s">
        <v>9804</v>
      </c>
    </row>
    <row r="1150">
      <c r="A1150" s="283">
        <v>22.0</v>
      </c>
      <c r="B1150" s="284">
        <v>79.0</v>
      </c>
      <c r="C1150" s="285" t="str">
        <f t="shared" si="1"/>
        <v>22 79</v>
      </c>
      <c r="D1150" s="285" t="s">
        <v>9805</v>
      </c>
    </row>
    <row r="1151">
      <c r="A1151" s="283">
        <v>22.0</v>
      </c>
      <c r="B1151" s="284">
        <v>81.0</v>
      </c>
      <c r="C1151" s="285" t="str">
        <f t="shared" si="1"/>
        <v>22 81</v>
      </c>
      <c r="D1151" s="285" t="s">
        <v>9806</v>
      </c>
    </row>
    <row r="1152">
      <c r="A1152" s="283">
        <v>22.0</v>
      </c>
      <c r="B1152" s="284">
        <v>83.0</v>
      </c>
      <c r="C1152" s="285" t="str">
        <f t="shared" si="1"/>
        <v>22 83</v>
      </c>
      <c r="D1152" s="285" t="s">
        <v>9807</v>
      </c>
    </row>
    <row r="1153">
      <c r="A1153" s="283">
        <v>22.0</v>
      </c>
      <c r="B1153" s="284">
        <v>85.0</v>
      </c>
      <c r="C1153" s="285" t="str">
        <f t="shared" si="1"/>
        <v>22 85</v>
      </c>
      <c r="D1153" s="285" t="s">
        <v>9808</v>
      </c>
    </row>
    <row r="1154">
      <c r="A1154" s="283">
        <v>22.0</v>
      </c>
      <c r="B1154" s="284">
        <v>87.0</v>
      </c>
      <c r="C1154" s="285" t="str">
        <f t="shared" si="1"/>
        <v>22 87</v>
      </c>
      <c r="D1154" s="285" t="s">
        <v>9809</v>
      </c>
    </row>
    <row r="1155">
      <c r="A1155" s="283">
        <v>22.0</v>
      </c>
      <c r="B1155" s="284">
        <v>89.0</v>
      </c>
      <c r="C1155" s="285" t="str">
        <f t="shared" si="1"/>
        <v>22 89</v>
      </c>
      <c r="D1155" s="285" t="s">
        <v>9810</v>
      </c>
    </row>
    <row r="1156">
      <c r="A1156" s="283">
        <v>22.0</v>
      </c>
      <c r="B1156" s="284">
        <v>91.0</v>
      </c>
      <c r="C1156" s="285" t="str">
        <f t="shared" si="1"/>
        <v>22 91</v>
      </c>
      <c r="D1156" s="285" t="s">
        <v>9811</v>
      </c>
    </row>
    <row r="1157">
      <c r="A1157" s="283">
        <v>22.0</v>
      </c>
      <c r="B1157" s="284">
        <v>93.0</v>
      </c>
      <c r="C1157" s="285" t="str">
        <f t="shared" si="1"/>
        <v>22 93</v>
      </c>
      <c r="D1157" s="285" t="s">
        <v>9812</v>
      </c>
    </row>
    <row r="1158">
      <c r="A1158" s="283">
        <v>22.0</v>
      </c>
      <c r="B1158" s="284">
        <v>95.0</v>
      </c>
      <c r="C1158" s="285" t="str">
        <f t="shared" si="1"/>
        <v>22 95</v>
      </c>
      <c r="D1158" s="285" t="s">
        <v>9813</v>
      </c>
    </row>
    <row r="1159">
      <c r="A1159" s="283">
        <v>22.0</v>
      </c>
      <c r="B1159" s="284">
        <v>97.0</v>
      </c>
      <c r="C1159" s="285" t="str">
        <f t="shared" si="1"/>
        <v>22 97</v>
      </c>
      <c r="D1159" s="285" t="s">
        <v>9814</v>
      </c>
    </row>
    <row r="1160">
      <c r="A1160" s="283">
        <v>22.0</v>
      </c>
      <c r="B1160" s="284">
        <v>99.0</v>
      </c>
      <c r="C1160" s="285" t="str">
        <f t="shared" si="1"/>
        <v>22 99</v>
      </c>
      <c r="D1160" s="285" t="s">
        <v>9815</v>
      </c>
    </row>
    <row r="1161">
      <c r="A1161" s="283">
        <v>22.0</v>
      </c>
      <c r="B1161" s="284">
        <v>101.0</v>
      </c>
      <c r="C1161" s="285" t="str">
        <f t="shared" si="1"/>
        <v>22 101</v>
      </c>
      <c r="D1161" s="285" t="s">
        <v>9816</v>
      </c>
    </row>
    <row r="1162">
      <c r="A1162" s="283">
        <v>22.0</v>
      </c>
      <c r="B1162" s="284">
        <v>103.0</v>
      </c>
      <c r="C1162" s="285" t="str">
        <f t="shared" si="1"/>
        <v>22 103</v>
      </c>
      <c r="D1162" s="285" t="s">
        <v>9817</v>
      </c>
    </row>
    <row r="1163">
      <c r="A1163" s="283">
        <v>22.0</v>
      </c>
      <c r="B1163" s="284">
        <v>105.0</v>
      </c>
      <c r="C1163" s="285" t="str">
        <f t="shared" si="1"/>
        <v>22 105</v>
      </c>
      <c r="D1163" s="285" t="s">
        <v>9818</v>
      </c>
    </row>
    <row r="1164">
      <c r="A1164" s="283">
        <v>22.0</v>
      </c>
      <c r="B1164" s="284">
        <v>107.0</v>
      </c>
      <c r="C1164" s="285" t="str">
        <f t="shared" si="1"/>
        <v>22 107</v>
      </c>
      <c r="D1164" s="285" t="s">
        <v>9819</v>
      </c>
    </row>
    <row r="1165">
      <c r="A1165" s="283">
        <v>22.0</v>
      </c>
      <c r="B1165" s="284">
        <v>109.0</v>
      </c>
      <c r="C1165" s="285" t="str">
        <f t="shared" si="1"/>
        <v>22 109</v>
      </c>
      <c r="D1165" s="285" t="s">
        <v>9820</v>
      </c>
    </row>
    <row r="1166">
      <c r="A1166" s="283">
        <v>22.0</v>
      </c>
      <c r="B1166" s="284">
        <v>111.0</v>
      </c>
      <c r="C1166" s="285" t="str">
        <f t="shared" si="1"/>
        <v>22 111</v>
      </c>
      <c r="D1166" s="285" t="s">
        <v>9821</v>
      </c>
    </row>
    <row r="1167">
      <c r="A1167" s="283">
        <v>22.0</v>
      </c>
      <c r="B1167" s="284">
        <v>113.0</v>
      </c>
      <c r="C1167" s="285" t="str">
        <f t="shared" si="1"/>
        <v>22 113</v>
      </c>
      <c r="D1167" s="285" t="s">
        <v>9822</v>
      </c>
    </row>
    <row r="1168">
      <c r="A1168" s="283">
        <v>22.0</v>
      </c>
      <c r="B1168" s="284">
        <v>115.0</v>
      </c>
      <c r="C1168" s="285" t="str">
        <f t="shared" si="1"/>
        <v>22 115</v>
      </c>
      <c r="D1168" s="285" t="s">
        <v>9823</v>
      </c>
    </row>
    <row r="1169">
      <c r="A1169" s="283">
        <v>22.0</v>
      </c>
      <c r="B1169" s="284">
        <v>117.0</v>
      </c>
      <c r="C1169" s="285" t="str">
        <f t="shared" si="1"/>
        <v>22 117</v>
      </c>
      <c r="D1169" s="285" t="s">
        <v>9824</v>
      </c>
    </row>
    <row r="1170">
      <c r="A1170" s="283">
        <v>22.0</v>
      </c>
      <c r="B1170" s="284">
        <v>119.0</v>
      </c>
      <c r="C1170" s="285" t="str">
        <f t="shared" si="1"/>
        <v>22 119</v>
      </c>
      <c r="D1170" s="285" t="s">
        <v>9825</v>
      </c>
    </row>
    <row r="1171">
      <c r="A1171" s="283">
        <v>22.0</v>
      </c>
      <c r="B1171" s="284">
        <v>121.0</v>
      </c>
      <c r="C1171" s="285" t="str">
        <f t="shared" si="1"/>
        <v>22 121</v>
      </c>
      <c r="D1171" s="285" t="s">
        <v>9826</v>
      </c>
    </row>
    <row r="1172">
      <c r="A1172" s="283">
        <v>22.0</v>
      </c>
      <c r="B1172" s="284">
        <v>123.0</v>
      </c>
      <c r="C1172" s="285" t="str">
        <f t="shared" si="1"/>
        <v>22 123</v>
      </c>
      <c r="D1172" s="285" t="s">
        <v>9827</v>
      </c>
    </row>
    <row r="1173">
      <c r="A1173" s="283">
        <v>22.0</v>
      </c>
      <c r="B1173" s="284">
        <v>125.0</v>
      </c>
      <c r="C1173" s="285" t="str">
        <f t="shared" si="1"/>
        <v>22 125</v>
      </c>
      <c r="D1173" s="285" t="s">
        <v>9828</v>
      </c>
    </row>
    <row r="1174">
      <c r="A1174" s="283">
        <v>22.0</v>
      </c>
      <c r="B1174" s="284">
        <v>127.0</v>
      </c>
      <c r="C1174" s="285" t="str">
        <f t="shared" si="1"/>
        <v>22 127</v>
      </c>
      <c r="D1174" s="285" t="s">
        <v>9829</v>
      </c>
    </row>
    <row r="1175">
      <c r="A1175" s="283">
        <v>23.0</v>
      </c>
      <c r="B1175" s="284">
        <v>1.0</v>
      </c>
      <c r="C1175" s="285" t="str">
        <f t="shared" si="1"/>
        <v>23 1</v>
      </c>
      <c r="D1175" s="285" t="s">
        <v>9830</v>
      </c>
    </row>
    <row r="1176">
      <c r="A1176" s="283">
        <v>23.0</v>
      </c>
      <c r="B1176" s="284">
        <v>3.0</v>
      </c>
      <c r="C1176" s="285" t="str">
        <f t="shared" si="1"/>
        <v>23 3</v>
      </c>
      <c r="D1176" s="285" t="s">
        <v>9831</v>
      </c>
    </row>
    <row r="1177">
      <c r="A1177" s="283">
        <v>23.0</v>
      </c>
      <c r="B1177" s="284">
        <v>5.0</v>
      </c>
      <c r="C1177" s="285" t="str">
        <f t="shared" si="1"/>
        <v>23 5</v>
      </c>
      <c r="D1177" s="285" t="s">
        <v>9832</v>
      </c>
    </row>
    <row r="1178">
      <c r="A1178" s="283">
        <v>23.0</v>
      </c>
      <c r="B1178" s="284">
        <v>7.0</v>
      </c>
      <c r="C1178" s="285" t="str">
        <f t="shared" si="1"/>
        <v>23 7</v>
      </c>
      <c r="D1178" s="285" t="s">
        <v>9833</v>
      </c>
    </row>
    <row r="1179">
      <c r="A1179" s="283">
        <v>23.0</v>
      </c>
      <c r="B1179" s="284">
        <v>9.0</v>
      </c>
      <c r="C1179" s="285" t="str">
        <f t="shared" si="1"/>
        <v>23 9</v>
      </c>
      <c r="D1179" s="285" t="s">
        <v>9834</v>
      </c>
    </row>
    <row r="1180">
      <c r="A1180" s="283">
        <v>23.0</v>
      </c>
      <c r="B1180" s="284">
        <v>11.0</v>
      </c>
      <c r="C1180" s="285" t="str">
        <f t="shared" si="1"/>
        <v>23 11</v>
      </c>
      <c r="D1180" s="285" t="s">
        <v>9835</v>
      </c>
    </row>
    <row r="1181">
      <c r="A1181" s="283">
        <v>23.0</v>
      </c>
      <c r="B1181" s="284">
        <v>13.0</v>
      </c>
      <c r="C1181" s="285" t="str">
        <f t="shared" si="1"/>
        <v>23 13</v>
      </c>
      <c r="D1181" s="285" t="s">
        <v>9836</v>
      </c>
    </row>
    <row r="1182">
      <c r="A1182" s="283">
        <v>23.0</v>
      </c>
      <c r="B1182" s="284">
        <v>15.0</v>
      </c>
      <c r="C1182" s="285" t="str">
        <f t="shared" si="1"/>
        <v>23 15</v>
      </c>
      <c r="D1182" s="285" t="s">
        <v>9837</v>
      </c>
    </row>
    <row r="1183">
      <c r="A1183" s="283">
        <v>23.0</v>
      </c>
      <c r="B1183" s="284">
        <v>17.0</v>
      </c>
      <c r="C1183" s="285" t="str">
        <f t="shared" si="1"/>
        <v>23 17</v>
      </c>
      <c r="D1183" s="285" t="s">
        <v>9838</v>
      </c>
    </row>
    <row r="1184">
      <c r="A1184" s="283">
        <v>23.0</v>
      </c>
      <c r="B1184" s="284">
        <v>19.0</v>
      </c>
      <c r="C1184" s="285" t="str">
        <f t="shared" si="1"/>
        <v>23 19</v>
      </c>
      <c r="D1184" s="285" t="s">
        <v>9839</v>
      </c>
    </row>
    <row r="1185">
      <c r="A1185" s="283">
        <v>23.0</v>
      </c>
      <c r="B1185" s="284">
        <v>21.0</v>
      </c>
      <c r="C1185" s="285" t="str">
        <f t="shared" si="1"/>
        <v>23 21</v>
      </c>
      <c r="D1185" s="285" t="s">
        <v>9840</v>
      </c>
    </row>
    <row r="1186">
      <c r="A1186" s="283">
        <v>23.0</v>
      </c>
      <c r="B1186" s="284">
        <v>23.0</v>
      </c>
      <c r="C1186" s="285" t="str">
        <f t="shared" si="1"/>
        <v>23 23</v>
      </c>
      <c r="D1186" s="285" t="s">
        <v>9841</v>
      </c>
    </row>
    <row r="1187">
      <c r="A1187" s="283">
        <v>23.0</v>
      </c>
      <c r="B1187" s="284">
        <v>25.0</v>
      </c>
      <c r="C1187" s="285" t="str">
        <f t="shared" si="1"/>
        <v>23 25</v>
      </c>
      <c r="D1187" s="285" t="s">
        <v>9842</v>
      </c>
    </row>
    <row r="1188">
      <c r="A1188" s="283">
        <v>23.0</v>
      </c>
      <c r="B1188" s="284">
        <v>27.0</v>
      </c>
      <c r="C1188" s="285" t="str">
        <f t="shared" si="1"/>
        <v>23 27</v>
      </c>
      <c r="D1188" s="285" t="s">
        <v>9843</v>
      </c>
    </row>
    <row r="1189">
      <c r="A1189" s="283">
        <v>23.0</v>
      </c>
      <c r="B1189" s="284">
        <v>29.0</v>
      </c>
      <c r="C1189" s="285" t="str">
        <f t="shared" si="1"/>
        <v>23 29</v>
      </c>
      <c r="D1189" s="285" t="s">
        <v>9844</v>
      </c>
    </row>
    <row r="1190">
      <c r="A1190" s="283">
        <v>23.0</v>
      </c>
      <c r="B1190" s="284">
        <v>31.0</v>
      </c>
      <c r="C1190" s="285" t="str">
        <f t="shared" si="1"/>
        <v>23 31</v>
      </c>
      <c r="D1190" s="285" t="s">
        <v>9845</v>
      </c>
    </row>
    <row r="1191">
      <c r="A1191" s="283">
        <v>24.0</v>
      </c>
      <c r="B1191" s="284">
        <v>1.0</v>
      </c>
      <c r="C1191" s="285" t="str">
        <f t="shared" si="1"/>
        <v>24 1</v>
      </c>
      <c r="D1191" s="285" t="s">
        <v>9846</v>
      </c>
    </row>
    <row r="1192">
      <c r="A1192" s="283">
        <v>24.0</v>
      </c>
      <c r="B1192" s="284">
        <v>3.0</v>
      </c>
      <c r="C1192" s="285" t="str">
        <f t="shared" si="1"/>
        <v>24 3</v>
      </c>
      <c r="D1192" s="285" t="s">
        <v>9847</v>
      </c>
    </row>
    <row r="1193">
      <c r="A1193" s="283">
        <v>24.0</v>
      </c>
      <c r="B1193" s="284">
        <v>5.0</v>
      </c>
      <c r="C1193" s="285" t="str">
        <f t="shared" si="1"/>
        <v>24 5</v>
      </c>
      <c r="D1193" s="285" t="s">
        <v>9848</v>
      </c>
    </row>
    <row r="1194">
      <c r="A1194" s="283">
        <v>24.0</v>
      </c>
      <c r="B1194" s="284">
        <v>9.0</v>
      </c>
      <c r="C1194" s="285" t="str">
        <f t="shared" si="1"/>
        <v>24 9</v>
      </c>
      <c r="D1194" s="285" t="s">
        <v>9849</v>
      </c>
    </row>
    <row r="1195">
      <c r="A1195" s="283">
        <v>24.0</v>
      </c>
      <c r="B1195" s="284">
        <v>11.0</v>
      </c>
      <c r="C1195" s="285" t="str">
        <f t="shared" si="1"/>
        <v>24 11</v>
      </c>
      <c r="D1195" s="285" t="s">
        <v>9850</v>
      </c>
    </row>
    <row r="1196">
      <c r="A1196" s="283">
        <v>24.0</v>
      </c>
      <c r="B1196" s="284">
        <v>13.0</v>
      </c>
      <c r="C1196" s="285" t="str">
        <f t="shared" si="1"/>
        <v>24 13</v>
      </c>
      <c r="D1196" s="285" t="s">
        <v>9851</v>
      </c>
    </row>
    <row r="1197">
      <c r="A1197" s="283">
        <v>24.0</v>
      </c>
      <c r="B1197" s="284">
        <v>15.0</v>
      </c>
      <c r="C1197" s="285" t="str">
        <f t="shared" si="1"/>
        <v>24 15</v>
      </c>
      <c r="D1197" s="285" t="s">
        <v>9852</v>
      </c>
    </row>
    <row r="1198">
      <c r="A1198" s="283">
        <v>24.0</v>
      </c>
      <c r="B1198" s="284">
        <v>17.0</v>
      </c>
      <c r="C1198" s="285" t="str">
        <f t="shared" si="1"/>
        <v>24 17</v>
      </c>
      <c r="D1198" s="285" t="s">
        <v>9853</v>
      </c>
    </row>
    <row r="1199">
      <c r="A1199" s="283">
        <v>24.0</v>
      </c>
      <c r="B1199" s="284">
        <v>19.0</v>
      </c>
      <c r="C1199" s="285" t="str">
        <f t="shared" si="1"/>
        <v>24 19</v>
      </c>
      <c r="D1199" s="285" t="s">
        <v>9854</v>
      </c>
    </row>
    <row r="1200">
      <c r="A1200" s="283">
        <v>24.0</v>
      </c>
      <c r="B1200" s="284">
        <v>21.0</v>
      </c>
      <c r="C1200" s="285" t="str">
        <f t="shared" si="1"/>
        <v>24 21</v>
      </c>
      <c r="D1200" s="285" t="s">
        <v>9855</v>
      </c>
    </row>
    <row r="1201">
      <c r="A1201" s="283">
        <v>24.0</v>
      </c>
      <c r="B1201" s="284">
        <v>23.0</v>
      </c>
      <c r="C1201" s="285" t="str">
        <f t="shared" si="1"/>
        <v>24 23</v>
      </c>
      <c r="D1201" s="285" t="s">
        <v>9856</v>
      </c>
    </row>
    <row r="1202">
      <c r="A1202" s="283">
        <v>24.0</v>
      </c>
      <c r="B1202" s="284">
        <v>25.0</v>
      </c>
      <c r="C1202" s="285" t="str">
        <f t="shared" si="1"/>
        <v>24 25</v>
      </c>
      <c r="D1202" s="285" t="s">
        <v>9857</v>
      </c>
    </row>
    <row r="1203">
      <c r="A1203" s="283">
        <v>24.0</v>
      </c>
      <c r="B1203" s="284">
        <v>27.0</v>
      </c>
      <c r="C1203" s="285" t="str">
        <f t="shared" si="1"/>
        <v>24 27</v>
      </c>
      <c r="D1203" s="285" t="s">
        <v>9858</v>
      </c>
    </row>
    <row r="1204">
      <c r="A1204" s="283">
        <v>24.0</v>
      </c>
      <c r="B1204" s="284">
        <v>29.0</v>
      </c>
      <c r="C1204" s="285" t="str">
        <f t="shared" si="1"/>
        <v>24 29</v>
      </c>
      <c r="D1204" s="285" t="s">
        <v>9859</v>
      </c>
    </row>
    <row r="1205">
      <c r="A1205" s="283">
        <v>24.0</v>
      </c>
      <c r="B1205" s="284">
        <v>31.0</v>
      </c>
      <c r="C1205" s="285" t="str">
        <f t="shared" si="1"/>
        <v>24 31</v>
      </c>
      <c r="D1205" s="285" t="s">
        <v>9860</v>
      </c>
    </row>
    <row r="1206">
      <c r="A1206" s="283">
        <v>24.0</v>
      </c>
      <c r="B1206" s="284">
        <v>33.0</v>
      </c>
      <c r="C1206" s="285" t="str">
        <f t="shared" si="1"/>
        <v>24 33</v>
      </c>
      <c r="D1206" s="285" t="s">
        <v>9861</v>
      </c>
    </row>
    <row r="1207">
      <c r="A1207" s="283">
        <v>24.0</v>
      </c>
      <c r="B1207" s="284">
        <v>35.0</v>
      </c>
      <c r="C1207" s="285" t="str">
        <f t="shared" si="1"/>
        <v>24 35</v>
      </c>
      <c r="D1207" s="285" t="s">
        <v>9862</v>
      </c>
    </row>
    <row r="1208">
      <c r="A1208" s="283">
        <v>24.0</v>
      </c>
      <c r="B1208" s="284">
        <v>37.0</v>
      </c>
      <c r="C1208" s="285" t="str">
        <f t="shared" si="1"/>
        <v>24 37</v>
      </c>
      <c r="D1208" s="285" t="s">
        <v>9863</v>
      </c>
    </row>
    <row r="1209">
      <c r="A1209" s="283">
        <v>24.0</v>
      </c>
      <c r="B1209" s="284">
        <v>39.0</v>
      </c>
      <c r="C1209" s="285" t="str">
        <f t="shared" si="1"/>
        <v>24 39</v>
      </c>
      <c r="D1209" s="285" t="s">
        <v>9864</v>
      </c>
    </row>
    <row r="1210">
      <c r="A1210" s="283">
        <v>24.0</v>
      </c>
      <c r="B1210" s="284">
        <v>41.0</v>
      </c>
      <c r="C1210" s="285" t="str">
        <f t="shared" si="1"/>
        <v>24 41</v>
      </c>
      <c r="D1210" s="285" t="s">
        <v>9865</v>
      </c>
    </row>
    <row r="1211">
      <c r="A1211" s="283">
        <v>24.0</v>
      </c>
      <c r="B1211" s="284">
        <v>43.0</v>
      </c>
      <c r="C1211" s="285" t="str">
        <f t="shared" si="1"/>
        <v>24 43</v>
      </c>
      <c r="D1211" s="285" t="s">
        <v>9866</v>
      </c>
    </row>
    <row r="1212">
      <c r="A1212" s="283">
        <v>24.0</v>
      </c>
      <c r="B1212" s="284">
        <v>45.0</v>
      </c>
      <c r="C1212" s="285" t="str">
        <f t="shared" si="1"/>
        <v>24 45</v>
      </c>
      <c r="D1212" s="285" t="s">
        <v>9867</v>
      </c>
    </row>
    <row r="1213">
      <c r="A1213" s="283">
        <v>24.0</v>
      </c>
      <c r="B1213" s="284">
        <v>47.0</v>
      </c>
      <c r="C1213" s="285" t="str">
        <f t="shared" si="1"/>
        <v>24 47</v>
      </c>
      <c r="D1213" s="285" t="s">
        <v>9868</v>
      </c>
    </row>
    <row r="1214">
      <c r="A1214" s="283">
        <v>24.0</v>
      </c>
      <c r="B1214" s="284">
        <v>510.0</v>
      </c>
      <c r="C1214" s="285" t="str">
        <f t="shared" si="1"/>
        <v>24 510</v>
      </c>
      <c r="D1214" s="285" t="s">
        <v>9869</v>
      </c>
    </row>
    <row r="1215">
      <c r="A1215" s="283">
        <v>25.0</v>
      </c>
      <c r="B1215" s="284">
        <v>1.0</v>
      </c>
      <c r="C1215" s="285" t="str">
        <f t="shared" si="1"/>
        <v>25 1</v>
      </c>
      <c r="D1215" s="285" t="s">
        <v>9870</v>
      </c>
    </row>
    <row r="1216">
      <c r="A1216" s="283">
        <v>25.0</v>
      </c>
      <c r="B1216" s="284">
        <v>3.0</v>
      </c>
      <c r="C1216" s="285" t="str">
        <f t="shared" si="1"/>
        <v>25 3</v>
      </c>
      <c r="D1216" s="285" t="s">
        <v>9871</v>
      </c>
    </row>
    <row r="1217">
      <c r="A1217" s="283">
        <v>25.0</v>
      </c>
      <c r="B1217" s="284">
        <v>5.0</v>
      </c>
      <c r="C1217" s="285" t="str">
        <f t="shared" si="1"/>
        <v>25 5</v>
      </c>
      <c r="D1217" s="285" t="s">
        <v>9872</v>
      </c>
    </row>
    <row r="1218">
      <c r="A1218" s="283">
        <v>25.0</v>
      </c>
      <c r="B1218" s="284">
        <v>7.0</v>
      </c>
      <c r="C1218" s="285" t="str">
        <f t="shared" si="1"/>
        <v>25 7</v>
      </c>
      <c r="D1218" s="285" t="s">
        <v>9873</v>
      </c>
    </row>
    <row r="1219">
      <c r="A1219" s="283">
        <v>25.0</v>
      </c>
      <c r="B1219" s="284">
        <v>9.0</v>
      </c>
      <c r="C1219" s="285" t="str">
        <f t="shared" si="1"/>
        <v>25 9</v>
      </c>
      <c r="D1219" s="285" t="s">
        <v>9874</v>
      </c>
    </row>
    <row r="1220">
      <c r="A1220" s="283">
        <v>25.0</v>
      </c>
      <c r="B1220" s="284">
        <v>11.0</v>
      </c>
      <c r="C1220" s="285" t="str">
        <f t="shared" si="1"/>
        <v>25 11</v>
      </c>
      <c r="D1220" s="285" t="s">
        <v>9875</v>
      </c>
    </row>
    <row r="1221">
      <c r="A1221" s="283">
        <v>25.0</v>
      </c>
      <c r="B1221" s="284">
        <v>13.0</v>
      </c>
      <c r="C1221" s="285" t="str">
        <f t="shared" si="1"/>
        <v>25 13</v>
      </c>
      <c r="D1221" s="285" t="s">
        <v>9876</v>
      </c>
    </row>
    <row r="1222">
      <c r="A1222" s="283">
        <v>25.0</v>
      </c>
      <c r="B1222" s="284">
        <v>15.0</v>
      </c>
      <c r="C1222" s="285" t="str">
        <f t="shared" si="1"/>
        <v>25 15</v>
      </c>
      <c r="D1222" s="285" t="s">
        <v>9877</v>
      </c>
    </row>
    <row r="1223">
      <c r="A1223" s="283">
        <v>25.0</v>
      </c>
      <c r="B1223" s="284">
        <v>17.0</v>
      </c>
      <c r="C1223" s="285" t="str">
        <f t="shared" si="1"/>
        <v>25 17</v>
      </c>
      <c r="D1223" s="285" t="s">
        <v>9878</v>
      </c>
    </row>
    <row r="1224">
      <c r="A1224" s="283">
        <v>25.0</v>
      </c>
      <c r="B1224" s="284">
        <v>19.0</v>
      </c>
      <c r="C1224" s="285" t="str">
        <f t="shared" si="1"/>
        <v>25 19</v>
      </c>
      <c r="D1224" s="285" t="s">
        <v>9879</v>
      </c>
    </row>
    <row r="1225">
      <c r="A1225" s="283">
        <v>25.0</v>
      </c>
      <c r="B1225" s="284">
        <v>21.0</v>
      </c>
      <c r="C1225" s="285" t="str">
        <f t="shared" si="1"/>
        <v>25 21</v>
      </c>
      <c r="D1225" s="285" t="s">
        <v>9880</v>
      </c>
    </row>
    <row r="1226">
      <c r="A1226" s="283">
        <v>25.0</v>
      </c>
      <c r="B1226" s="284">
        <v>23.0</v>
      </c>
      <c r="C1226" s="285" t="str">
        <f t="shared" si="1"/>
        <v>25 23</v>
      </c>
      <c r="D1226" s="285" t="s">
        <v>9881</v>
      </c>
    </row>
    <row r="1227">
      <c r="A1227" s="283">
        <v>25.0</v>
      </c>
      <c r="B1227" s="284">
        <v>25.0</v>
      </c>
      <c r="C1227" s="285" t="str">
        <f t="shared" si="1"/>
        <v>25 25</v>
      </c>
      <c r="D1227" s="285" t="s">
        <v>9882</v>
      </c>
    </row>
    <row r="1228">
      <c r="A1228" s="283">
        <v>25.0</v>
      </c>
      <c r="B1228" s="284">
        <v>27.0</v>
      </c>
      <c r="C1228" s="285" t="str">
        <f t="shared" si="1"/>
        <v>25 27</v>
      </c>
      <c r="D1228" s="285" t="s">
        <v>9883</v>
      </c>
    </row>
    <row r="1229">
      <c r="A1229" s="283">
        <v>26.0</v>
      </c>
      <c r="B1229" s="284">
        <v>1.0</v>
      </c>
      <c r="C1229" s="285" t="str">
        <f t="shared" si="1"/>
        <v>26 1</v>
      </c>
      <c r="D1229" s="285" t="s">
        <v>9884</v>
      </c>
    </row>
    <row r="1230">
      <c r="A1230" s="283">
        <v>26.0</v>
      </c>
      <c r="B1230" s="284">
        <v>3.0</v>
      </c>
      <c r="C1230" s="285" t="str">
        <f t="shared" si="1"/>
        <v>26 3</v>
      </c>
      <c r="D1230" s="285" t="s">
        <v>9885</v>
      </c>
    </row>
    <row r="1231">
      <c r="A1231" s="283">
        <v>26.0</v>
      </c>
      <c r="B1231" s="284">
        <v>5.0</v>
      </c>
      <c r="C1231" s="285" t="str">
        <f t="shared" si="1"/>
        <v>26 5</v>
      </c>
      <c r="D1231" s="285" t="s">
        <v>9886</v>
      </c>
    </row>
    <row r="1232">
      <c r="A1232" s="283">
        <v>26.0</v>
      </c>
      <c r="B1232" s="284">
        <v>7.0</v>
      </c>
      <c r="C1232" s="285" t="str">
        <f t="shared" si="1"/>
        <v>26 7</v>
      </c>
      <c r="D1232" s="285" t="s">
        <v>9887</v>
      </c>
    </row>
    <row r="1233">
      <c r="A1233" s="283">
        <v>26.0</v>
      </c>
      <c r="B1233" s="284">
        <v>9.0</v>
      </c>
      <c r="C1233" s="285" t="str">
        <f t="shared" si="1"/>
        <v>26 9</v>
      </c>
      <c r="D1233" s="285" t="s">
        <v>9888</v>
      </c>
    </row>
    <row r="1234">
      <c r="A1234" s="283">
        <v>26.0</v>
      </c>
      <c r="B1234" s="284">
        <v>11.0</v>
      </c>
      <c r="C1234" s="285" t="str">
        <f t="shared" si="1"/>
        <v>26 11</v>
      </c>
      <c r="D1234" s="285" t="s">
        <v>9889</v>
      </c>
    </row>
    <row r="1235">
      <c r="A1235" s="283">
        <v>26.0</v>
      </c>
      <c r="B1235" s="284">
        <v>13.0</v>
      </c>
      <c r="C1235" s="285" t="str">
        <f t="shared" si="1"/>
        <v>26 13</v>
      </c>
      <c r="D1235" s="285" t="s">
        <v>9890</v>
      </c>
    </row>
    <row r="1236">
      <c r="A1236" s="283">
        <v>26.0</v>
      </c>
      <c r="B1236" s="284">
        <v>15.0</v>
      </c>
      <c r="C1236" s="285" t="str">
        <f t="shared" si="1"/>
        <v>26 15</v>
      </c>
      <c r="D1236" s="285" t="s">
        <v>9891</v>
      </c>
    </row>
    <row r="1237">
      <c r="A1237" s="283">
        <v>26.0</v>
      </c>
      <c r="B1237" s="284">
        <v>17.0</v>
      </c>
      <c r="C1237" s="285" t="str">
        <f t="shared" si="1"/>
        <v>26 17</v>
      </c>
      <c r="D1237" s="285" t="s">
        <v>9892</v>
      </c>
    </row>
    <row r="1238">
      <c r="A1238" s="283">
        <v>26.0</v>
      </c>
      <c r="B1238" s="284">
        <v>19.0</v>
      </c>
      <c r="C1238" s="285" t="str">
        <f t="shared" si="1"/>
        <v>26 19</v>
      </c>
      <c r="D1238" s="285" t="s">
        <v>9893</v>
      </c>
    </row>
    <row r="1239">
      <c r="A1239" s="283">
        <v>26.0</v>
      </c>
      <c r="B1239" s="284">
        <v>21.0</v>
      </c>
      <c r="C1239" s="285" t="str">
        <f t="shared" si="1"/>
        <v>26 21</v>
      </c>
      <c r="D1239" s="285" t="s">
        <v>9894</v>
      </c>
    </row>
    <row r="1240">
      <c r="A1240" s="283">
        <v>26.0</v>
      </c>
      <c r="B1240" s="284">
        <v>23.0</v>
      </c>
      <c r="C1240" s="285" t="str">
        <f t="shared" si="1"/>
        <v>26 23</v>
      </c>
      <c r="D1240" s="285" t="s">
        <v>9895</v>
      </c>
    </row>
    <row r="1241">
      <c r="A1241" s="283">
        <v>26.0</v>
      </c>
      <c r="B1241" s="284">
        <v>25.0</v>
      </c>
      <c r="C1241" s="285" t="str">
        <f t="shared" si="1"/>
        <v>26 25</v>
      </c>
      <c r="D1241" s="285" t="s">
        <v>9896</v>
      </c>
    </row>
    <row r="1242">
      <c r="A1242" s="283">
        <v>26.0</v>
      </c>
      <c r="B1242" s="284">
        <v>27.0</v>
      </c>
      <c r="C1242" s="285" t="str">
        <f t="shared" si="1"/>
        <v>26 27</v>
      </c>
      <c r="D1242" s="285" t="s">
        <v>9897</v>
      </c>
    </row>
    <row r="1243">
      <c r="A1243" s="283">
        <v>26.0</v>
      </c>
      <c r="B1243" s="284">
        <v>29.0</v>
      </c>
      <c r="C1243" s="285" t="str">
        <f t="shared" si="1"/>
        <v>26 29</v>
      </c>
      <c r="D1243" s="285" t="s">
        <v>9898</v>
      </c>
    </row>
    <row r="1244">
      <c r="A1244" s="283">
        <v>26.0</v>
      </c>
      <c r="B1244" s="284">
        <v>31.0</v>
      </c>
      <c r="C1244" s="285" t="str">
        <f t="shared" si="1"/>
        <v>26 31</v>
      </c>
      <c r="D1244" s="285" t="s">
        <v>9899</v>
      </c>
    </row>
    <row r="1245">
      <c r="A1245" s="283">
        <v>26.0</v>
      </c>
      <c r="B1245" s="284">
        <v>33.0</v>
      </c>
      <c r="C1245" s="285" t="str">
        <f t="shared" si="1"/>
        <v>26 33</v>
      </c>
      <c r="D1245" s="285" t="s">
        <v>9900</v>
      </c>
    </row>
    <row r="1246">
      <c r="A1246" s="283">
        <v>26.0</v>
      </c>
      <c r="B1246" s="284">
        <v>35.0</v>
      </c>
      <c r="C1246" s="285" t="str">
        <f t="shared" si="1"/>
        <v>26 35</v>
      </c>
      <c r="D1246" s="285" t="s">
        <v>9901</v>
      </c>
    </row>
    <row r="1247">
      <c r="A1247" s="283">
        <v>26.0</v>
      </c>
      <c r="B1247" s="284">
        <v>37.0</v>
      </c>
      <c r="C1247" s="285" t="str">
        <f t="shared" si="1"/>
        <v>26 37</v>
      </c>
      <c r="D1247" s="285" t="s">
        <v>9902</v>
      </c>
    </row>
    <row r="1248">
      <c r="A1248" s="283">
        <v>26.0</v>
      </c>
      <c r="B1248" s="284">
        <v>39.0</v>
      </c>
      <c r="C1248" s="285" t="str">
        <f t="shared" si="1"/>
        <v>26 39</v>
      </c>
      <c r="D1248" s="285" t="s">
        <v>9903</v>
      </c>
    </row>
    <row r="1249">
      <c r="A1249" s="283">
        <v>26.0</v>
      </c>
      <c r="B1249" s="284">
        <v>41.0</v>
      </c>
      <c r="C1249" s="285" t="str">
        <f t="shared" si="1"/>
        <v>26 41</v>
      </c>
      <c r="D1249" s="285" t="s">
        <v>9904</v>
      </c>
    </row>
    <row r="1250">
      <c r="A1250" s="283">
        <v>26.0</v>
      </c>
      <c r="B1250" s="284">
        <v>43.0</v>
      </c>
      <c r="C1250" s="285" t="str">
        <f t="shared" si="1"/>
        <v>26 43</v>
      </c>
      <c r="D1250" s="285" t="s">
        <v>9905</v>
      </c>
    </row>
    <row r="1251">
      <c r="A1251" s="283">
        <v>26.0</v>
      </c>
      <c r="B1251" s="284">
        <v>45.0</v>
      </c>
      <c r="C1251" s="285" t="str">
        <f t="shared" si="1"/>
        <v>26 45</v>
      </c>
      <c r="D1251" s="285" t="s">
        <v>9906</v>
      </c>
    </row>
    <row r="1252">
      <c r="A1252" s="283">
        <v>26.0</v>
      </c>
      <c r="B1252" s="284">
        <v>47.0</v>
      </c>
      <c r="C1252" s="285" t="str">
        <f t="shared" si="1"/>
        <v>26 47</v>
      </c>
      <c r="D1252" s="285" t="s">
        <v>9907</v>
      </c>
    </row>
    <row r="1253">
      <c r="A1253" s="283">
        <v>26.0</v>
      </c>
      <c r="B1253" s="284">
        <v>49.0</v>
      </c>
      <c r="C1253" s="285" t="str">
        <f t="shared" si="1"/>
        <v>26 49</v>
      </c>
      <c r="D1253" s="285" t="s">
        <v>9908</v>
      </c>
    </row>
    <row r="1254">
      <c r="A1254" s="283">
        <v>26.0</v>
      </c>
      <c r="B1254" s="284">
        <v>51.0</v>
      </c>
      <c r="C1254" s="285" t="str">
        <f t="shared" si="1"/>
        <v>26 51</v>
      </c>
      <c r="D1254" s="285" t="s">
        <v>9909</v>
      </c>
    </row>
    <row r="1255">
      <c r="A1255" s="283">
        <v>26.0</v>
      </c>
      <c r="B1255" s="284">
        <v>53.0</v>
      </c>
      <c r="C1255" s="285" t="str">
        <f t="shared" si="1"/>
        <v>26 53</v>
      </c>
      <c r="D1255" s="285" t="s">
        <v>9910</v>
      </c>
    </row>
    <row r="1256">
      <c r="A1256" s="283">
        <v>26.0</v>
      </c>
      <c r="B1256" s="284">
        <v>55.0</v>
      </c>
      <c r="C1256" s="285" t="str">
        <f t="shared" si="1"/>
        <v>26 55</v>
      </c>
      <c r="D1256" s="285" t="s">
        <v>9911</v>
      </c>
    </row>
    <row r="1257">
      <c r="A1257" s="283">
        <v>26.0</v>
      </c>
      <c r="B1257" s="284">
        <v>57.0</v>
      </c>
      <c r="C1257" s="285" t="str">
        <f t="shared" si="1"/>
        <v>26 57</v>
      </c>
      <c r="D1257" s="285" t="s">
        <v>9912</v>
      </c>
    </row>
    <row r="1258">
      <c r="A1258" s="283">
        <v>26.0</v>
      </c>
      <c r="B1258" s="284">
        <v>59.0</v>
      </c>
      <c r="C1258" s="285" t="str">
        <f t="shared" si="1"/>
        <v>26 59</v>
      </c>
      <c r="D1258" s="285" t="s">
        <v>9913</v>
      </c>
    </row>
    <row r="1259">
      <c r="A1259" s="283">
        <v>26.0</v>
      </c>
      <c r="B1259" s="284">
        <v>61.0</v>
      </c>
      <c r="C1259" s="285" t="str">
        <f t="shared" si="1"/>
        <v>26 61</v>
      </c>
      <c r="D1259" s="285" t="s">
        <v>9914</v>
      </c>
    </row>
    <row r="1260">
      <c r="A1260" s="283">
        <v>26.0</v>
      </c>
      <c r="B1260" s="284">
        <v>63.0</v>
      </c>
      <c r="C1260" s="285" t="str">
        <f t="shared" si="1"/>
        <v>26 63</v>
      </c>
      <c r="D1260" s="285" t="s">
        <v>9915</v>
      </c>
    </row>
    <row r="1261">
      <c r="A1261" s="283">
        <v>26.0</v>
      </c>
      <c r="B1261" s="284">
        <v>65.0</v>
      </c>
      <c r="C1261" s="285" t="str">
        <f t="shared" si="1"/>
        <v>26 65</v>
      </c>
      <c r="D1261" s="285" t="s">
        <v>9916</v>
      </c>
    </row>
    <row r="1262">
      <c r="A1262" s="283">
        <v>26.0</v>
      </c>
      <c r="B1262" s="284">
        <v>67.0</v>
      </c>
      <c r="C1262" s="285" t="str">
        <f t="shared" si="1"/>
        <v>26 67</v>
      </c>
      <c r="D1262" s="285" t="s">
        <v>9917</v>
      </c>
    </row>
    <row r="1263">
      <c r="A1263" s="283">
        <v>26.0</v>
      </c>
      <c r="B1263" s="284">
        <v>69.0</v>
      </c>
      <c r="C1263" s="285" t="str">
        <f t="shared" si="1"/>
        <v>26 69</v>
      </c>
      <c r="D1263" s="285" t="s">
        <v>9918</v>
      </c>
    </row>
    <row r="1264">
      <c r="A1264" s="283">
        <v>26.0</v>
      </c>
      <c r="B1264" s="284">
        <v>71.0</v>
      </c>
      <c r="C1264" s="285" t="str">
        <f t="shared" si="1"/>
        <v>26 71</v>
      </c>
      <c r="D1264" s="285" t="s">
        <v>9919</v>
      </c>
    </row>
    <row r="1265">
      <c r="A1265" s="283">
        <v>26.0</v>
      </c>
      <c r="B1265" s="284">
        <v>73.0</v>
      </c>
      <c r="C1265" s="285" t="str">
        <f t="shared" si="1"/>
        <v>26 73</v>
      </c>
      <c r="D1265" s="285" t="s">
        <v>9920</v>
      </c>
    </row>
    <row r="1266">
      <c r="A1266" s="283">
        <v>26.0</v>
      </c>
      <c r="B1266" s="284">
        <v>75.0</v>
      </c>
      <c r="C1266" s="285" t="str">
        <f t="shared" si="1"/>
        <v>26 75</v>
      </c>
      <c r="D1266" s="285" t="s">
        <v>9921</v>
      </c>
    </row>
    <row r="1267">
      <c r="A1267" s="283">
        <v>26.0</v>
      </c>
      <c r="B1267" s="284">
        <v>77.0</v>
      </c>
      <c r="C1267" s="285" t="str">
        <f t="shared" si="1"/>
        <v>26 77</v>
      </c>
      <c r="D1267" s="285" t="s">
        <v>9922</v>
      </c>
    </row>
    <row r="1268">
      <c r="A1268" s="283">
        <v>26.0</v>
      </c>
      <c r="B1268" s="284">
        <v>79.0</v>
      </c>
      <c r="C1268" s="285" t="str">
        <f t="shared" si="1"/>
        <v>26 79</v>
      </c>
      <c r="D1268" s="285" t="s">
        <v>9923</v>
      </c>
    </row>
    <row r="1269">
      <c r="A1269" s="283">
        <v>26.0</v>
      </c>
      <c r="B1269" s="284">
        <v>81.0</v>
      </c>
      <c r="C1269" s="285" t="str">
        <f t="shared" si="1"/>
        <v>26 81</v>
      </c>
      <c r="D1269" s="285" t="s">
        <v>9924</v>
      </c>
    </row>
    <row r="1270">
      <c r="A1270" s="283">
        <v>26.0</v>
      </c>
      <c r="B1270" s="284">
        <v>83.0</v>
      </c>
      <c r="C1270" s="285" t="str">
        <f t="shared" si="1"/>
        <v>26 83</v>
      </c>
      <c r="D1270" s="285" t="s">
        <v>9925</v>
      </c>
    </row>
    <row r="1271">
      <c r="A1271" s="283">
        <v>26.0</v>
      </c>
      <c r="B1271" s="284">
        <v>85.0</v>
      </c>
      <c r="C1271" s="285" t="str">
        <f t="shared" si="1"/>
        <v>26 85</v>
      </c>
      <c r="D1271" s="285" t="s">
        <v>9926</v>
      </c>
    </row>
    <row r="1272">
      <c r="A1272" s="283">
        <v>26.0</v>
      </c>
      <c r="B1272" s="284">
        <v>87.0</v>
      </c>
      <c r="C1272" s="285" t="str">
        <f t="shared" si="1"/>
        <v>26 87</v>
      </c>
      <c r="D1272" s="285" t="s">
        <v>9927</v>
      </c>
    </row>
    <row r="1273">
      <c r="A1273" s="283">
        <v>26.0</v>
      </c>
      <c r="B1273" s="284">
        <v>89.0</v>
      </c>
      <c r="C1273" s="285" t="str">
        <f t="shared" si="1"/>
        <v>26 89</v>
      </c>
      <c r="D1273" s="285" t="s">
        <v>9928</v>
      </c>
    </row>
    <row r="1274">
      <c r="A1274" s="283">
        <v>26.0</v>
      </c>
      <c r="B1274" s="284">
        <v>91.0</v>
      </c>
      <c r="C1274" s="285" t="str">
        <f t="shared" si="1"/>
        <v>26 91</v>
      </c>
      <c r="D1274" s="285" t="s">
        <v>9929</v>
      </c>
    </row>
    <row r="1275">
      <c r="A1275" s="283">
        <v>26.0</v>
      </c>
      <c r="B1275" s="284">
        <v>93.0</v>
      </c>
      <c r="C1275" s="285" t="str">
        <f t="shared" si="1"/>
        <v>26 93</v>
      </c>
      <c r="D1275" s="285" t="s">
        <v>9930</v>
      </c>
    </row>
    <row r="1276">
      <c r="A1276" s="283">
        <v>26.0</v>
      </c>
      <c r="B1276" s="284">
        <v>95.0</v>
      </c>
      <c r="C1276" s="285" t="str">
        <f t="shared" si="1"/>
        <v>26 95</v>
      </c>
      <c r="D1276" s="285" t="s">
        <v>9931</v>
      </c>
    </row>
    <row r="1277">
      <c r="A1277" s="283">
        <v>26.0</v>
      </c>
      <c r="B1277" s="284">
        <v>97.0</v>
      </c>
      <c r="C1277" s="285" t="str">
        <f t="shared" si="1"/>
        <v>26 97</v>
      </c>
      <c r="D1277" s="285" t="s">
        <v>9932</v>
      </c>
    </row>
    <row r="1278">
      <c r="A1278" s="283">
        <v>26.0</v>
      </c>
      <c r="B1278" s="284">
        <v>99.0</v>
      </c>
      <c r="C1278" s="285" t="str">
        <f t="shared" si="1"/>
        <v>26 99</v>
      </c>
      <c r="D1278" s="285" t="s">
        <v>9933</v>
      </c>
    </row>
    <row r="1279">
      <c r="A1279" s="283">
        <v>26.0</v>
      </c>
      <c r="B1279" s="284">
        <v>101.0</v>
      </c>
      <c r="C1279" s="285" t="str">
        <f t="shared" si="1"/>
        <v>26 101</v>
      </c>
      <c r="D1279" s="285" t="s">
        <v>9934</v>
      </c>
    </row>
    <row r="1280">
      <c r="A1280" s="283">
        <v>26.0</v>
      </c>
      <c r="B1280" s="284">
        <v>103.0</v>
      </c>
      <c r="C1280" s="285" t="str">
        <f t="shared" si="1"/>
        <v>26 103</v>
      </c>
      <c r="D1280" s="285" t="s">
        <v>9935</v>
      </c>
    </row>
    <row r="1281">
      <c r="A1281" s="283">
        <v>26.0</v>
      </c>
      <c r="B1281" s="284">
        <v>105.0</v>
      </c>
      <c r="C1281" s="285" t="str">
        <f t="shared" si="1"/>
        <v>26 105</v>
      </c>
      <c r="D1281" s="285" t="s">
        <v>9936</v>
      </c>
    </row>
    <row r="1282">
      <c r="A1282" s="283">
        <v>26.0</v>
      </c>
      <c r="B1282" s="284">
        <v>107.0</v>
      </c>
      <c r="C1282" s="285" t="str">
        <f t="shared" si="1"/>
        <v>26 107</v>
      </c>
      <c r="D1282" s="285" t="s">
        <v>9937</v>
      </c>
    </row>
    <row r="1283">
      <c r="A1283" s="283">
        <v>26.0</v>
      </c>
      <c r="B1283" s="284">
        <v>109.0</v>
      </c>
      <c r="C1283" s="285" t="str">
        <f t="shared" si="1"/>
        <v>26 109</v>
      </c>
      <c r="D1283" s="285" t="s">
        <v>9938</v>
      </c>
    </row>
    <row r="1284">
      <c r="A1284" s="283">
        <v>26.0</v>
      </c>
      <c r="B1284" s="284">
        <v>111.0</v>
      </c>
      <c r="C1284" s="285" t="str">
        <f t="shared" si="1"/>
        <v>26 111</v>
      </c>
      <c r="D1284" s="285" t="s">
        <v>9939</v>
      </c>
    </row>
    <row r="1285">
      <c r="A1285" s="283">
        <v>26.0</v>
      </c>
      <c r="B1285" s="284">
        <v>113.0</v>
      </c>
      <c r="C1285" s="285" t="str">
        <f t="shared" si="1"/>
        <v>26 113</v>
      </c>
      <c r="D1285" s="285" t="s">
        <v>9940</v>
      </c>
    </row>
    <row r="1286">
      <c r="A1286" s="283">
        <v>26.0</v>
      </c>
      <c r="B1286" s="284">
        <v>115.0</v>
      </c>
      <c r="C1286" s="285" t="str">
        <f t="shared" si="1"/>
        <v>26 115</v>
      </c>
      <c r="D1286" s="285" t="s">
        <v>9941</v>
      </c>
    </row>
    <row r="1287">
      <c r="A1287" s="283">
        <v>26.0</v>
      </c>
      <c r="B1287" s="284">
        <v>117.0</v>
      </c>
      <c r="C1287" s="285" t="str">
        <f t="shared" si="1"/>
        <v>26 117</v>
      </c>
      <c r="D1287" s="285" t="s">
        <v>9942</v>
      </c>
    </row>
    <row r="1288">
      <c r="A1288" s="283">
        <v>26.0</v>
      </c>
      <c r="B1288" s="284">
        <v>119.0</v>
      </c>
      <c r="C1288" s="285" t="str">
        <f t="shared" si="1"/>
        <v>26 119</v>
      </c>
      <c r="D1288" s="285" t="s">
        <v>9943</v>
      </c>
    </row>
    <row r="1289">
      <c r="A1289" s="283">
        <v>26.0</v>
      </c>
      <c r="B1289" s="284">
        <v>121.0</v>
      </c>
      <c r="C1289" s="285" t="str">
        <f t="shared" si="1"/>
        <v>26 121</v>
      </c>
      <c r="D1289" s="285" t="s">
        <v>9944</v>
      </c>
    </row>
    <row r="1290">
      <c r="A1290" s="283">
        <v>26.0</v>
      </c>
      <c r="B1290" s="284">
        <v>123.0</v>
      </c>
      <c r="C1290" s="285" t="str">
        <f t="shared" si="1"/>
        <v>26 123</v>
      </c>
      <c r="D1290" s="285" t="s">
        <v>9945</v>
      </c>
    </row>
    <row r="1291">
      <c r="A1291" s="283">
        <v>26.0</v>
      </c>
      <c r="B1291" s="284">
        <v>125.0</v>
      </c>
      <c r="C1291" s="285" t="str">
        <f t="shared" si="1"/>
        <v>26 125</v>
      </c>
      <c r="D1291" s="285" t="s">
        <v>9946</v>
      </c>
    </row>
    <row r="1292">
      <c r="A1292" s="283">
        <v>26.0</v>
      </c>
      <c r="B1292" s="284">
        <v>127.0</v>
      </c>
      <c r="C1292" s="285" t="str">
        <f t="shared" si="1"/>
        <v>26 127</v>
      </c>
      <c r="D1292" s="285" t="s">
        <v>9947</v>
      </c>
    </row>
    <row r="1293">
      <c r="A1293" s="283">
        <v>26.0</v>
      </c>
      <c r="B1293" s="284">
        <v>129.0</v>
      </c>
      <c r="C1293" s="285" t="str">
        <f t="shared" si="1"/>
        <v>26 129</v>
      </c>
      <c r="D1293" s="285" t="s">
        <v>9948</v>
      </c>
    </row>
    <row r="1294">
      <c r="A1294" s="283">
        <v>26.0</v>
      </c>
      <c r="B1294" s="284">
        <v>131.0</v>
      </c>
      <c r="C1294" s="285" t="str">
        <f t="shared" si="1"/>
        <v>26 131</v>
      </c>
      <c r="D1294" s="285" t="s">
        <v>9949</v>
      </c>
    </row>
    <row r="1295">
      <c r="A1295" s="283">
        <v>26.0</v>
      </c>
      <c r="B1295" s="284">
        <v>133.0</v>
      </c>
      <c r="C1295" s="285" t="str">
        <f t="shared" si="1"/>
        <v>26 133</v>
      </c>
      <c r="D1295" s="285" t="s">
        <v>9950</v>
      </c>
    </row>
    <row r="1296">
      <c r="A1296" s="283">
        <v>26.0</v>
      </c>
      <c r="B1296" s="284">
        <v>135.0</v>
      </c>
      <c r="C1296" s="285" t="str">
        <f t="shared" si="1"/>
        <v>26 135</v>
      </c>
      <c r="D1296" s="285" t="s">
        <v>9951</v>
      </c>
    </row>
    <row r="1297">
      <c r="A1297" s="283">
        <v>26.0</v>
      </c>
      <c r="B1297" s="284">
        <v>137.0</v>
      </c>
      <c r="C1297" s="285" t="str">
        <f t="shared" si="1"/>
        <v>26 137</v>
      </c>
      <c r="D1297" s="285" t="s">
        <v>9952</v>
      </c>
    </row>
    <row r="1298">
      <c r="A1298" s="283">
        <v>26.0</v>
      </c>
      <c r="B1298" s="284">
        <v>139.0</v>
      </c>
      <c r="C1298" s="285" t="str">
        <f t="shared" si="1"/>
        <v>26 139</v>
      </c>
      <c r="D1298" s="285" t="s">
        <v>9953</v>
      </c>
    </row>
    <row r="1299">
      <c r="A1299" s="283">
        <v>26.0</v>
      </c>
      <c r="B1299" s="284">
        <v>141.0</v>
      </c>
      <c r="C1299" s="285" t="str">
        <f t="shared" si="1"/>
        <v>26 141</v>
      </c>
      <c r="D1299" s="285" t="s">
        <v>9954</v>
      </c>
    </row>
    <row r="1300">
      <c r="A1300" s="283">
        <v>26.0</v>
      </c>
      <c r="B1300" s="284">
        <v>143.0</v>
      </c>
      <c r="C1300" s="285" t="str">
        <f t="shared" si="1"/>
        <v>26 143</v>
      </c>
      <c r="D1300" s="285" t="s">
        <v>9955</v>
      </c>
    </row>
    <row r="1301">
      <c r="A1301" s="283">
        <v>26.0</v>
      </c>
      <c r="B1301" s="284">
        <v>145.0</v>
      </c>
      <c r="C1301" s="285" t="str">
        <f t="shared" si="1"/>
        <v>26 145</v>
      </c>
      <c r="D1301" s="285" t="s">
        <v>9956</v>
      </c>
    </row>
    <row r="1302">
      <c r="A1302" s="283">
        <v>26.0</v>
      </c>
      <c r="B1302" s="284">
        <v>147.0</v>
      </c>
      <c r="C1302" s="285" t="str">
        <f t="shared" si="1"/>
        <v>26 147</v>
      </c>
      <c r="D1302" s="285" t="s">
        <v>9957</v>
      </c>
    </row>
    <row r="1303">
      <c r="A1303" s="283">
        <v>26.0</v>
      </c>
      <c r="B1303" s="284">
        <v>149.0</v>
      </c>
      <c r="C1303" s="285" t="str">
        <f t="shared" si="1"/>
        <v>26 149</v>
      </c>
      <c r="D1303" s="285" t="s">
        <v>9958</v>
      </c>
    </row>
    <row r="1304">
      <c r="A1304" s="283">
        <v>26.0</v>
      </c>
      <c r="B1304" s="284">
        <v>151.0</v>
      </c>
      <c r="C1304" s="285" t="str">
        <f t="shared" si="1"/>
        <v>26 151</v>
      </c>
      <c r="D1304" s="285" t="s">
        <v>9959</v>
      </c>
    </row>
    <row r="1305">
      <c r="A1305" s="283">
        <v>26.0</v>
      </c>
      <c r="B1305" s="284">
        <v>153.0</v>
      </c>
      <c r="C1305" s="285" t="str">
        <f t="shared" si="1"/>
        <v>26 153</v>
      </c>
      <c r="D1305" s="285" t="s">
        <v>9960</v>
      </c>
    </row>
    <row r="1306">
      <c r="A1306" s="283">
        <v>26.0</v>
      </c>
      <c r="B1306" s="284">
        <v>155.0</v>
      </c>
      <c r="C1306" s="285" t="str">
        <f t="shared" si="1"/>
        <v>26 155</v>
      </c>
      <c r="D1306" s="285" t="s">
        <v>9961</v>
      </c>
    </row>
    <row r="1307">
      <c r="A1307" s="283">
        <v>26.0</v>
      </c>
      <c r="B1307" s="284">
        <v>157.0</v>
      </c>
      <c r="C1307" s="285" t="str">
        <f t="shared" si="1"/>
        <v>26 157</v>
      </c>
      <c r="D1307" s="285" t="s">
        <v>9962</v>
      </c>
    </row>
    <row r="1308">
      <c r="A1308" s="283">
        <v>26.0</v>
      </c>
      <c r="B1308" s="284">
        <v>159.0</v>
      </c>
      <c r="C1308" s="285" t="str">
        <f t="shared" si="1"/>
        <v>26 159</v>
      </c>
      <c r="D1308" s="285" t="s">
        <v>9963</v>
      </c>
    </row>
    <row r="1309">
      <c r="A1309" s="283">
        <v>26.0</v>
      </c>
      <c r="B1309" s="284">
        <v>161.0</v>
      </c>
      <c r="C1309" s="285" t="str">
        <f t="shared" si="1"/>
        <v>26 161</v>
      </c>
      <c r="D1309" s="285" t="s">
        <v>9964</v>
      </c>
    </row>
    <row r="1310">
      <c r="A1310" s="283">
        <v>26.0</v>
      </c>
      <c r="B1310" s="284">
        <v>163.0</v>
      </c>
      <c r="C1310" s="285" t="str">
        <f t="shared" si="1"/>
        <v>26 163</v>
      </c>
      <c r="D1310" s="285" t="s">
        <v>9965</v>
      </c>
    </row>
    <row r="1311">
      <c r="A1311" s="283">
        <v>26.0</v>
      </c>
      <c r="B1311" s="284">
        <v>165.0</v>
      </c>
      <c r="C1311" s="285" t="str">
        <f t="shared" si="1"/>
        <v>26 165</v>
      </c>
      <c r="D1311" s="285" t="s">
        <v>9966</v>
      </c>
    </row>
    <row r="1312">
      <c r="A1312" s="283">
        <v>27.0</v>
      </c>
      <c r="B1312" s="284">
        <v>1.0</v>
      </c>
      <c r="C1312" s="285" t="str">
        <f t="shared" si="1"/>
        <v>27 1</v>
      </c>
      <c r="D1312" s="285" t="s">
        <v>9967</v>
      </c>
    </row>
    <row r="1313">
      <c r="A1313" s="283">
        <v>27.0</v>
      </c>
      <c r="B1313" s="284">
        <v>3.0</v>
      </c>
      <c r="C1313" s="285" t="str">
        <f t="shared" si="1"/>
        <v>27 3</v>
      </c>
      <c r="D1313" s="285" t="s">
        <v>9968</v>
      </c>
    </row>
    <row r="1314">
      <c r="A1314" s="283">
        <v>27.0</v>
      </c>
      <c r="B1314" s="284">
        <v>5.0</v>
      </c>
      <c r="C1314" s="285" t="str">
        <f t="shared" si="1"/>
        <v>27 5</v>
      </c>
      <c r="D1314" s="285" t="s">
        <v>9969</v>
      </c>
    </row>
    <row r="1315">
      <c r="A1315" s="283">
        <v>27.0</v>
      </c>
      <c r="B1315" s="284">
        <v>7.0</v>
      </c>
      <c r="C1315" s="285" t="str">
        <f t="shared" si="1"/>
        <v>27 7</v>
      </c>
      <c r="D1315" s="285" t="s">
        <v>9970</v>
      </c>
    </row>
    <row r="1316">
      <c r="A1316" s="283">
        <v>27.0</v>
      </c>
      <c r="B1316" s="284">
        <v>9.0</v>
      </c>
      <c r="C1316" s="285" t="str">
        <f t="shared" si="1"/>
        <v>27 9</v>
      </c>
      <c r="D1316" s="285" t="s">
        <v>9971</v>
      </c>
    </row>
    <row r="1317">
      <c r="A1317" s="283">
        <v>27.0</v>
      </c>
      <c r="B1317" s="284">
        <v>11.0</v>
      </c>
      <c r="C1317" s="285" t="str">
        <f t="shared" si="1"/>
        <v>27 11</v>
      </c>
      <c r="D1317" s="285" t="s">
        <v>9972</v>
      </c>
    </row>
    <row r="1318">
      <c r="A1318" s="283">
        <v>27.0</v>
      </c>
      <c r="B1318" s="284">
        <v>13.0</v>
      </c>
      <c r="C1318" s="285" t="str">
        <f t="shared" si="1"/>
        <v>27 13</v>
      </c>
      <c r="D1318" s="285" t="s">
        <v>9973</v>
      </c>
    </row>
    <row r="1319">
      <c r="A1319" s="283">
        <v>27.0</v>
      </c>
      <c r="B1319" s="284">
        <v>15.0</v>
      </c>
      <c r="C1319" s="285" t="str">
        <f t="shared" si="1"/>
        <v>27 15</v>
      </c>
      <c r="D1319" s="285" t="s">
        <v>9974</v>
      </c>
    </row>
    <row r="1320">
      <c r="A1320" s="283">
        <v>27.0</v>
      </c>
      <c r="B1320" s="284">
        <v>17.0</v>
      </c>
      <c r="C1320" s="285" t="str">
        <f t="shared" si="1"/>
        <v>27 17</v>
      </c>
      <c r="D1320" s="285" t="s">
        <v>9975</v>
      </c>
    </row>
    <row r="1321">
      <c r="A1321" s="283">
        <v>27.0</v>
      </c>
      <c r="B1321" s="284">
        <v>19.0</v>
      </c>
      <c r="C1321" s="285" t="str">
        <f t="shared" si="1"/>
        <v>27 19</v>
      </c>
      <c r="D1321" s="285" t="s">
        <v>9976</v>
      </c>
    </row>
    <row r="1322">
      <c r="A1322" s="283">
        <v>27.0</v>
      </c>
      <c r="B1322" s="284">
        <v>21.0</v>
      </c>
      <c r="C1322" s="285" t="str">
        <f t="shared" si="1"/>
        <v>27 21</v>
      </c>
      <c r="D1322" s="285" t="s">
        <v>9977</v>
      </c>
    </row>
    <row r="1323">
      <c r="A1323" s="283">
        <v>27.0</v>
      </c>
      <c r="B1323" s="284">
        <v>23.0</v>
      </c>
      <c r="C1323" s="285" t="str">
        <f t="shared" si="1"/>
        <v>27 23</v>
      </c>
      <c r="D1323" s="285" t="s">
        <v>9978</v>
      </c>
    </row>
    <row r="1324">
      <c r="A1324" s="283">
        <v>27.0</v>
      </c>
      <c r="B1324" s="284">
        <v>25.0</v>
      </c>
      <c r="C1324" s="285" t="str">
        <f t="shared" si="1"/>
        <v>27 25</v>
      </c>
      <c r="D1324" s="285" t="s">
        <v>9979</v>
      </c>
    </row>
    <row r="1325">
      <c r="A1325" s="283">
        <v>27.0</v>
      </c>
      <c r="B1325" s="284">
        <v>27.0</v>
      </c>
      <c r="C1325" s="285" t="str">
        <f t="shared" si="1"/>
        <v>27 27</v>
      </c>
      <c r="D1325" s="285" t="s">
        <v>9980</v>
      </c>
    </row>
    <row r="1326">
      <c r="A1326" s="283">
        <v>27.0</v>
      </c>
      <c r="B1326" s="284">
        <v>29.0</v>
      </c>
      <c r="C1326" s="285" t="str">
        <f t="shared" si="1"/>
        <v>27 29</v>
      </c>
      <c r="D1326" s="285" t="s">
        <v>9981</v>
      </c>
    </row>
    <row r="1327">
      <c r="A1327" s="283">
        <v>27.0</v>
      </c>
      <c r="B1327" s="284">
        <v>31.0</v>
      </c>
      <c r="C1327" s="285" t="str">
        <f t="shared" si="1"/>
        <v>27 31</v>
      </c>
      <c r="D1327" s="285" t="s">
        <v>9982</v>
      </c>
    </row>
    <row r="1328">
      <c r="A1328" s="283">
        <v>27.0</v>
      </c>
      <c r="B1328" s="284">
        <v>33.0</v>
      </c>
      <c r="C1328" s="285" t="str">
        <f t="shared" si="1"/>
        <v>27 33</v>
      </c>
      <c r="D1328" s="285" t="s">
        <v>9983</v>
      </c>
    </row>
    <row r="1329">
      <c r="A1329" s="283">
        <v>27.0</v>
      </c>
      <c r="B1329" s="284">
        <v>35.0</v>
      </c>
      <c r="C1329" s="285" t="str">
        <f t="shared" si="1"/>
        <v>27 35</v>
      </c>
      <c r="D1329" s="285" t="s">
        <v>9984</v>
      </c>
    </row>
    <row r="1330">
      <c r="A1330" s="283">
        <v>27.0</v>
      </c>
      <c r="B1330" s="284">
        <v>37.0</v>
      </c>
      <c r="C1330" s="285" t="str">
        <f t="shared" si="1"/>
        <v>27 37</v>
      </c>
      <c r="D1330" s="285" t="s">
        <v>9985</v>
      </c>
    </row>
    <row r="1331">
      <c r="A1331" s="283">
        <v>27.0</v>
      </c>
      <c r="B1331" s="284">
        <v>39.0</v>
      </c>
      <c r="C1331" s="285" t="str">
        <f t="shared" si="1"/>
        <v>27 39</v>
      </c>
      <c r="D1331" s="285" t="s">
        <v>9986</v>
      </c>
    </row>
    <row r="1332">
      <c r="A1332" s="283">
        <v>27.0</v>
      </c>
      <c r="B1332" s="284">
        <v>41.0</v>
      </c>
      <c r="C1332" s="285" t="str">
        <f t="shared" si="1"/>
        <v>27 41</v>
      </c>
      <c r="D1332" s="285" t="s">
        <v>9987</v>
      </c>
    </row>
    <row r="1333">
      <c r="A1333" s="283">
        <v>27.0</v>
      </c>
      <c r="B1333" s="284">
        <v>43.0</v>
      </c>
      <c r="C1333" s="285" t="str">
        <f t="shared" si="1"/>
        <v>27 43</v>
      </c>
      <c r="D1333" s="285" t="s">
        <v>9988</v>
      </c>
    </row>
    <row r="1334">
      <c r="A1334" s="283">
        <v>27.0</v>
      </c>
      <c r="B1334" s="284">
        <v>45.0</v>
      </c>
      <c r="C1334" s="285" t="str">
        <f t="shared" si="1"/>
        <v>27 45</v>
      </c>
      <c r="D1334" s="285" t="s">
        <v>9989</v>
      </c>
    </row>
    <row r="1335">
      <c r="A1335" s="283">
        <v>27.0</v>
      </c>
      <c r="B1335" s="284">
        <v>47.0</v>
      </c>
      <c r="C1335" s="285" t="str">
        <f t="shared" si="1"/>
        <v>27 47</v>
      </c>
      <c r="D1335" s="285" t="s">
        <v>9990</v>
      </c>
    </row>
    <row r="1336">
      <c r="A1336" s="283">
        <v>27.0</v>
      </c>
      <c r="B1336" s="284">
        <v>49.0</v>
      </c>
      <c r="C1336" s="285" t="str">
        <f t="shared" si="1"/>
        <v>27 49</v>
      </c>
      <c r="D1336" s="285" t="s">
        <v>9991</v>
      </c>
    </row>
    <row r="1337">
      <c r="A1337" s="283">
        <v>27.0</v>
      </c>
      <c r="B1337" s="284">
        <v>51.0</v>
      </c>
      <c r="C1337" s="285" t="str">
        <f t="shared" si="1"/>
        <v>27 51</v>
      </c>
      <c r="D1337" s="285" t="s">
        <v>9992</v>
      </c>
    </row>
    <row r="1338">
      <c r="A1338" s="283">
        <v>27.0</v>
      </c>
      <c r="B1338" s="284">
        <v>53.0</v>
      </c>
      <c r="C1338" s="285" t="str">
        <f t="shared" si="1"/>
        <v>27 53</v>
      </c>
      <c r="D1338" s="285" t="s">
        <v>9993</v>
      </c>
    </row>
    <row r="1339">
      <c r="A1339" s="283">
        <v>27.0</v>
      </c>
      <c r="B1339" s="284">
        <v>55.0</v>
      </c>
      <c r="C1339" s="285" t="str">
        <f t="shared" si="1"/>
        <v>27 55</v>
      </c>
      <c r="D1339" s="285" t="s">
        <v>9994</v>
      </c>
    </row>
    <row r="1340">
      <c r="A1340" s="283">
        <v>27.0</v>
      </c>
      <c r="B1340" s="284">
        <v>57.0</v>
      </c>
      <c r="C1340" s="285" t="str">
        <f t="shared" si="1"/>
        <v>27 57</v>
      </c>
      <c r="D1340" s="285" t="s">
        <v>9995</v>
      </c>
    </row>
    <row r="1341">
      <c r="A1341" s="283">
        <v>27.0</v>
      </c>
      <c r="B1341" s="284">
        <v>59.0</v>
      </c>
      <c r="C1341" s="285" t="str">
        <f t="shared" si="1"/>
        <v>27 59</v>
      </c>
      <c r="D1341" s="285" t="s">
        <v>9996</v>
      </c>
    </row>
    <row r="1342">
      <c r="A1342" s="283">
        <v>27.0</v>
      </c>
      <c r="B1342" s="284">
        <v>61.0</v>
      </c>
      <c r="C1342" s="285" t="str">
        <f t="shared" si="1"/>
        <v>27 61</v>
      </c>
      <c r="D1342" s="285" t="s">
        <v>9997</v>
      </c>
    </row>
    <row r="1343">
      <c r="A1343" s="283">
        <v>27.0</v>
      </c>
      <c r="B1343" s="284">
        <v>63.0</v>
      </c>
      <c r="C1343" s="285" t="str">
        <f t="shared" si="1"/>
        <v>27 63</v>
      </c>
      <c r="D1343" s="285" t="s">
        <v>9998</v>
      </c>
    </row>
    <row r="1344">
      <c r="A1344" s="283">
        <v>27.0</v>
      </c>
      <c r="B1344" s="284">
        <v>65.0</v>
      </c>
      <c r="C1344" s="285" t="str">
        <f t="shared" si="1"/>
        <v>27 65</v>
      </c>
      <c r="D1344" s="285" t="s">
        <v>9999</v>
      </c>
    </row>
    <row r="1345">
      <c r="A1345" s="283">
        <v>27.0</v>
      </c>
      <c r="B1345" s="284">
        <v>67.0</v>
      </c>
      <c r="C1345" s="285" t="str">
        <f t="shared" si="1"/>
        <v>27 67</v>
      </c>
      <c r="D1345" s="285" t="s">
        <v>10000</v>
      </c>
    </row>
    <row r="1346">
      <c r="A1346" s="283">
        <v>27.0</v>
      </c>
      <c r="B1346" s="284">
        <v>69.0</v>
      </c>
      <c r="C1346" s="285" t="str">
        <f t="shared" si="1"/>
        <v>27 69</v>
      </c>
      <c r="D1346" s="285" t="s">
        <v>10001</v>
      </c>
    </row>
    <row r="1347">
      <c r="A1347" s="283">
        <v>27.0</v>
      </c>
      <c r="B1347" s="284">
        <v>71.0</v>
      </c>
      <c r="C1347" s="285" t="str">
        <f t="shared" si="1"/>
        <v>27 71</v>
      </c>
      <c r="D1347" s="285" t="s">
        <v>10002</v>
      </c>
    </row>
    <row r="1348">
      <c r="A1348" s="283">
        <v>27.0</v>
      </c>
      <c r="B1348" s="284">
        <v>73.0</v>
      </c>
      <c r="C1348" s="285" t="str">
        <f t="shared" si="1"/>
        <v>27 73</v>
      </c>
      <c r="D1348" s="285" t="s">
        <v>10003</v>
      </c>
    </row>
    <row r="1349">
      <c r="A1349" s="283">
        <v>27.0</v>
      </c>
      <c r="B1349" s="284">
        <v>75.0</v>
      </c>
      <c r="C1349" s="285" t="str">
        <f t="shared" si="1"/>
        <v>27 75</v>
      </c>
      <c r="D1349" s="285" t="s">
        <v>10004</v>
      </c>
    </row>
    <row r="1350">
      <c r="A1350" s="283">
        <v>27.0</v>
      </c>
      <c r="B1350" s="284">
        <v>77.0</v>
      </c>
      <c r="C1350" s="285" t="str">
        <f t="shared" si="1"/>
        <v>27 77</v>
      </c>
      <c r="D1350" s="285" t="s">
        <v>10005</v>
      </c>
    </row>
    <row r="1351">
      <c r="A1351" s="283">
        <v>27.0</v>
      </c>
      <c r="B1351" s="284">
        <v>79.0</v>
      </c>
      <c r="C1351" s="285" t="str">
        <f t="shared" si="1"/>
        <v>27 79</v>
      </c>
      <c r="D1351" s="285" t="s">
        <v>10006</v>
      </c>
    </row>
    <row r="1352">
      <c r="A1352" s="283">
        <v>27.0</v>
      </c>
      <c r="B1352" s="284">
        <v>81.0</v>
      </c>
      <c r="C1352" s="285" t="str">
        <f t="shared" si="1"/>
        <v>27 81</v>
      </c>
      <c r="D1352" s="285" t="s">
        <v>10007</v>
      </c>
    </row>
    <row r="1353">
      <c r="A1353" s="283">
        <v>27.0</v>
      </c>
      <c r="B1353" s="284">
        <v>83.0</v>
      </c>
      <c r="C1353" s="285" t="str">
        <f t="shared" si="1"/>
        <v>27 83</v>
      </c>
      <c r="D1353" s="285" t="s">
        <v>10008</v>
      </c>
    </row>
    <row r="1354">
      <c r="A1354" s="283">
        <v>27.0</v>
      </c>
      <c r="B1354" s="284">
        <v>85.0</v>
      </c>
      <c r="C1354" s="285" t="str">
        <f t="shared" si="1"/>
        <v>27 85</v>
      </c>
      <c r="D1354" s="285" t="s">
        <v>10009</v>
      </c>
    </row>
    <row r="1355">
      <c r="A1355" s="283">
        <v>27.0</v>
      </c>
      <c r="B1355" s="284">
        <v>87.0</v>
      </c>
      <c r="C1355" s="285" t="str">
        <f t="shared" si="1"/>
        <v>27 87</v>
      </c>
      <c r="D1355" s="285" t="s">
        <v>10010</v>
      </c>
    </row>
    <row r="1356">
      <c r="A1356" s="283">
        <v>27.0</v>
      </c>
      <c r="B1356" s="284">
        <v>89.0</v>
      </c>
      <c r="C1356" s="285" t="str">
        <f t="shared" si="1"/>
        <v>27 89</v>
      </c>
      <c r="D1356" s="285" t="s">
        <v>10011</v>
      </c>
    </row>
    <row r="1357">
      <c r="A1357" s="283">
        <v>27.0</v>
      </c>
      <c r="B1357" s="284">
        <v>91.0</v>
      </c>
      <c r="C1357" s="285" t="str">
        <f t="shared" si="1"/>
        <v>27 91</v>
      </c>
      <c r="D1357" s="285" t="s">
        <v>10012</v>
      </c>
    </row>
    <row r="1358">
      <c r="A1358" s="283">
        <v>27.0</v>
      </c>
      <c r="B1358" s="284">
        <v>93.0</v>
      </c>
      <c r="C1358" s="285" t="str">
        <f t="shared" si="1"/>
        <v>27 93</v>
      </c>
      <c r="D1358" s="285" t="s">
        <v>10013</v>
      </c>
    </row>
    <row r="1359">
      <c r="A1359" s="283">
        <v>27.0</v>
      </c>
      <c r="B1359" s="284">
        <v>95.0</v>
      </c>
      <c r="C1359" s="285" t="str">
        <f t="shared" si="1"/>
        <v>27 95</v>
      </c>
      <c r="D1359" s="285" t="s">
        <v>10014</v>
      </c>
    </row>
    <row r="1360">
      <c r="A1360" s="283">
        <v>27.0</v>
      </c>
      <c r="B1360" s="284">
        <v>97.0</v>
      </c>
      <c r="C1360" s="285" t="str">
        <f t="shared" si="1"/>
        <v>27 97</v>
      </c>
      <c r="D1360" s="285" t="s">
        <v>10015</v>
      </c>
    </row>
    <row r="1361">
      <c r="A1361" s="283">
        <v>27.0</v>
      </c>
      <c r="B1361" s="284">
        <v>99.0</v>
      </c>
      <c r="C1361" s="285" t="str">
        <f t="shared" si="1"/>
        <v>27 99</v>
      </c>
      <c r="D1361" s="285" t="s">
        <v>10016</v>
      </c>
    </row>
    <row r="1362">
      <c r="A1362" s="283">
        <v>27.0</v>
      </c>
      <c r="B1362" s="284">
        <v>101.0</v>
      </c>
      <c r="C1362" s="285" t="str">
        <f t="shared" si="1"/>
        <v>27 101</v>
      </c>
      <c r="D1362" s="285" t="s">
        <v>10017</v>
      </c>
    </row>
    <row r="1363">
      <c r="A1363" s="283">
        <v>27.0</v>
      </c>
      <c r="B1363" s="284">
        <v>103.0</v>
      </c>
      <c r="C1363" s="285" t="str">
        <f t="shared" si="1"/>
        <v>27 103</v>
      </c>
      <c r="D1363" s="285" t="s">
        <v>10018</v>
      </c>
    </row>
    <row r="1364">
      <c r="A1364" s="283">
        <v>27.0</v>
      </c>
      <c r="B1364" s="284">
        <v>105.0</v>
      </c>
      <c r="C1364" s="285" t="str">
        <f t="shared" si="1"/>
        <v>27 105</v>
      </c>
      <c r="D1364" s="285" t="s">
        <v>10019</v>
      </c>
    </row>
    <row r="1365">
      <c r="A1365" s="283">
        <v>27.0</v>
      </c>
      <c r="B1365" s="284">
        <v>107.0</v>
      </c>
      <c r="C1365" s="285" t="str">
        <f t="shared" si="1"/>
        <v>27 107</v>
      </c>
      <c r="D1365" s="285" t="s">
        <v>10020</v>
      </c>
    </row>
    <row r="1366">
      <c r="A1366" s="283">
        <v>27.0</v>
      </c>
      <c r="B1366" s="284">
        <v>109.0</v>
      </c>
      <c r="C1366" s="285" t="str">
        <f t="shared" si="1"/>
        <v>27 109</v>
      </c>
      <c r="D1366" s="285" t="s">
        <v>10021</v>
      </c>
    </row>
    <row r="1367">
      <c r="A1367" s="283">
        <v>27.0</v>
      </c>
      <c r="B1367" s="284">
        <v>111.0</v>
      </c>
      <c r="C1367" s="285" t="str">
        <f t="shared" si="1"/>
        <v>27 111</v>
      </c>
      <c r="D1367" s="285" t="s">
        <v>10022</v>
      </c>
    </row>
    <row r="1368">
      <c r="A1368" s="283">
        <v>27.0</v>
      </c>
      <c r="B1368" s="284">
        <v>113.0</v>
      </c>
      <c r="C1368" s="285" t="str">
        <f t="shared" si="1"/>
        <v>27 113</v>
      </c>
      <c r="D1368" s="285" t="s">
        <v>10023</v>
      </c>
    </row>
    <row r="1369">
      <c r="A1369" s="283">
        <v>27.0</v>
      </c>
      <c r="B1369" s="284">
        <v>115.0</v>
      </c>
      <c r="C1369" s="285" t="str">
        <f t="shared" si="1"/>
        <v>27 115</v>
      </c>
      <c r="D1369" s="285" t="s">
        <v>10024</v>
      </c>
    </row>
    <row r="1370">
      <c r="A1370" s="283">
        <v>27.0</v>
      </c>
      <c r="B1370" s="284">
        <v>117.0</v>
      </c>
      <c r="C1370" s="285" t="str">
        <f t="shared" si="1"/>
        <v>27 117</v>
      </c>
      <c r="D1370" s="285" t="s">
        <v>10025</v>
      </c>
    </row>
    <row r="1371">
      <c r="A1371" s="283">
        <v>27.0</v>
      </c>
      <c r="B1371" s="284">
        <v>119.0</v>
      </c>
      <c r="C1371" s="285" t="str">
        <f t="shared" si="1"/>
        <v>27 119</v>
      </c>
      <c r="D1371" s="285" t="s">
        <v>10026</v>
      </c>
    </row>
    <row r="1372">
      <c r="A1372" s="283">
        <v>27.0</v>
      </c>
      <c r="B1372" s="284">
        <v>121.0</v>
      </c>
      <c r="C1372" s="285" t="str">
        <f t="shared" si="1"/>
        <v>27 121</v>
      </c>
      <c r="D1372" s="285" t="s">
        <v>10027</v>
      </c>
    </row>
    <row r="1373">
      <c r="A1373" s="283">
        <v>27.0</v>
      </c>
      <c r="B1373" s="284">
        <v>123.0</v>
      </c>
      <c r="C1373" s="285" t="str">
        <f t="shared" si="1"/>
        <v>27 123</v>
      </c>
      <c r="D1373" s="285" t="s">
        <v>10028</v>
      </c>
    </row>
    <row r="1374">
      <c r="A1374" s="283">
        <v>27.0</v>
      </c>
      <c r="B1374" s="284">
        <v>125.0</v>
      </c>
      <c r="C1374" s="285" t="str">
        <f t="shared" si="1"/>
        <v>27 125</v>
      </c>
      <c r="D1374" s="285" t="s">
        <v>10029</v>
      </c>
    </row>
    <row r="1375">
      <c r="A1375" s="283">
        <v>27.0</v>
      </c>
      <c r="B1375" s="284">
        <v>127.0</v>
      </c>
      <c r="C1375" s="285" t="str">
        <f t="shared" si="1"/>
        <v>27 127</v>
      </c>
      <c r="D1375" s="285" t="s">
        <v>10030</v>
      </c>
    </row>
    <row r="1376">
      <c r="A1376" s="283">
        <v>27.0</v>
      </c>
      <c r="B1376" s="284">
        <v>129.0</v>
      </c>
      <c r="C1376" s="285" t="str">
        <f t="shared" si="1"/>
        <v>27 129</v>
      </c>
      <c r="D1376" s="285" t="s">
        <v>10031</v>
      </c>
    </row>
    <row r="1377">
      <c r="A1377" s="283">
        <v>27.0</v>
      </c>
      <c r="B1377" s="284">
        <v>131.0</v>
      </c>
      <c r="C1377" s="285" t="str">
        <f t="shared" si="1"/>
        <v>27 131</v>
      </c>
      <c r="D1377" s="285" t="s">
        <v>10032</v>
      </c>
    </row>
    <row r="1378">
      <c r="A1378" s="283">
        <v>27.0</v>
      </c>
      <c r="B1378" s="284">
        <v>133.0</v>
      </c>
      <c r="C1378" s="285" t="str">
        <f t="shared" si="1"/>
        <v>27 133</v>
      </c>
      <c r="D1378" s="285" t="s">
        <v>10033</v>
      </c>
    </row>
    <row r="1379">
      <c r="A1379" s="283">
        <v>27.0</v>
      </c>
      <c r="B1379" s="284">
        <v>135.0</v>
      </c>
      <c r="C1379" s="285" t="str">
        <f t="shared" si="1"/>
        <v>27 135</v>
      </c>
      <c r="D1379" s="285" t="s">
        <v>10034</v>
      </c>
    </row>
    <row r="1380">
      <c r="A1380" s="283">
        <v>27.0</v>
      </c>
      <c r="B1380" s="284">
        <v>137.0</v>
      </c>
      <c r="C1380" s="285" t="str">
        <f t="shared" si="1"/>
        <v>27 137</v>
      </c>
      <c r="D1380" s="285" t="s">
        <v>10035</v>
      </c>
    </row>
    <row r="1381">
      <c r="A1381" s="283">
        <v>27.0</v>
      </c>
      <c r="B1381" s="284">
        <v>139.0</v>
      </c>
      <c r="C1381" s="285" t="str">
        <f t="shared" si="1"/>
        <v>27 139</v>
      </c>
      <c r="D1381" s="285" t="s">
        <v>10036</v>
      </c>
    </row>
    <row r="1382">
      <c r="A1382" s="283">
        <v>27.0</v>
      </c>
      <c r="B1382" s="284">
        <v>141.0</v>
      </c>
      <c r="C1382" s="285" t="str">
        <f t="shared" si="1"/>
        <v>27 141</v>
      </c>
      <c r="D1382" s="285" t="s">
        <v>10037</v>
      </c>
    </row>
    <row r="1383">
      <c r="A1383" s="283">
        <v>27.0</v>
      </c>
      <c r="B1383" s="284">
        <v>143.0</v>
      </c>
      <c r="C1383" s="285" t="str">
        <f t="shared" si="1"/>
        <v>27 143</v>
      </c>
      <c r="D1383" s="285" t="s">
        <v>10038</v>
      </c>
    </row>
    <row r="1384">
      <c r="A1384" s="283">
        <v>27.0</v>
      </c>
      <c r="B1384" s="284">
        <v>145.0</v>
      </c>
      <c r="C1384" s="285" t="str">
        <f t="shared" si="1"/>
        <v>27 145</v>
      </c>
      <c r="D1384" s="285" t="s">
        <v>10039</v>
      </c>
    </row>
    <row r="1385">
      <c r="A1385" s="283">
        <v>27.0</v>
      </c>
      <c r="B1385" s="284">
        <v>147.0</v>
      </c>
      <c r="C1385" s="285" t="str">
        <f t="shared" si="1"/>
        <v>27 147</v>
      </c>
      <c r="D1385" s="285" t="s">
        <v>10040</v>
      </c>
    </row>
    <row r="1386">
      <c r="A1386" s="283">
        <v>27.0</v>
      </c>
      <c r="B1386" s="284">
        <v>149.0</v>
      </c>
      <c r="C1386" s="285" t="str">
        <f t="shared" si="1"/>
        <v>27 149</v>
      </c>
      <c r="D1386" s="285" t="s">
        <v>10041</v>
      </c>
    </row>
    <row r="1387">
      <c r="A1387" s="283">
        <v>27.0</v>
      </c>
      <c r="B1387" s="284">
        <v>151.0</v>
      </c>
      <c r="C1387" s="285" t="str">
        <f t="shared" si="1"/>
        <v>27 151</v>
      </c>
      <c r="D1387" s="285" t="s">
        <v>10042</v>
      </c>
    </row>
    <row r="1388">
      <c r="A1388" s="283">
        <v>27.0</v>
      </c>
      <c r="B1388" s="284">
        <v>153.0</v>
      </c>
      <c r="C1388" s="285" t="str">
        <f t="shared" si="1"/>
        <v>27 153</v>
      </c>
      <c r="D1388" s="285" t="s">
        <v>10043</v>
      </c>
    </row>
    <row r="1389">
      <c r="A1389" s="283">
        <v>27.0</v>
      </c>
      <c r="B1389" s="284">
        <v>155.0</v>
      </c>
      <c r="C1389" s="285" t="str">
        <f t="shared" si="1"/>
        <v>27 155</v>
      </c>
      <c r="D1389" s="285" t="s">
        <v>10044</v>
      </c>
    </row>
    <row r="1390">
      <c r="A1390" s="283">
        <v>27.0</v>
      </c>
      <c r="B1390" s="284">
        <v>157.0</v>
      </c>
      <c r="C1390" s="285" t="str">
        <f t="shared" si="1"/>
        <v>27 157</v>
      </c>
      <c r="D1390" s="285" t="s">
        <v>10045</v>
      </c>
    </row>
    <row r="1391">
      <c r="A1391" s="283">
        <v>27.0</v>
      </c>
      <c r="B1391" s="284">
        <v>159.0</v>
      </c>
      <c r="C1391" s="285" t="str">
        <f t="shared" si="1"/>
        <v>27 159</v>
      </c>
      <c r="D1391" s="285" t="s">
        <v>10046</v>
      </c>
    </row>
    <row r="1392">
      <c r="A1392" s="283">
        <v>27.0</v>
      </c>
      <c r="B1392" s="284">
        <v>161.0</v>
      </c>
      <c r="C1392" s="285" t="str">
        <f t="shared" si="1"/>
        <v>27 161</v>
      </c>
      <c r="D1392" s="285" t="s">
        <v>10047</v>
      </c>
    </row>
    <row r="1393">
      <c r="A1393" s="283">
        <v>27.0</v>
      </c>
      <c r="B1393" s="284">
        <v>163.0</v>
      </c>
      <c r="C1393" s="285" t="str">
        <f t="shared" si="1"/>
        <v>27 163</v>
      </c>
      <c r="D1393" s="285" t="s">
        <v>10048</v>
      </c>
    </row>
    <row r="1394">
      <c r="A1394" s="283">
        <v>27.0</v>
      </c>
      <c r="B1394" s="284">
        <v>165.0</v>
      </c>
      <c r="C1394" s="285" t="str">
        <f t="shared" si="1"/>
        <v>27 165</v>
      </c>
      <c r="D1394" s="285" t="s">
        <v>10049</v>
      </c>
    </row>
    <row r="1395">
      <c r="A1395" s="283">
        <v>27.0</v>
      </c>
      <c r="B1395" s="284">
        <v>167.0</v>
      </c>
      <c r="C1395" s="285" t="str">
        <f t="shared" si="1"/>
        <v>27 167</v>
      </c>
      <c r="D1395" s="285" t="s">
        <v>10050</v>
      </c>
    </row>
    <row r="1396">
      <c r="A1396" s="283">
        <v>27.0</v>
      </c>
      <c r="B1396" s="284">
        <v>169.0</v>
      </c>
      <c r="C1396" s="285" t="str">
        <f t="shared" si="1"/>
        <v>27 169</v>
      </c>
      <c r="D1396" s="285" t="s">
        <v>10051</v>
      </c>
    </row>
    <row r="1397">
      <c r="A1397" s="283">
        <v>27.0</v>
      </c>
      <c r="B1397" s="284">
        <v>171.0</v>
      </c>
      <c r="C1397" s="285" t="str">
        <f t="shared" si="1"/>
        <v>27 171</v>
      </c>
      <c r="D1397" s="285" t="s">
        <v>10052</v>
      </c>
    </row>
    <row r="1398">
      <c r="A1398" s="283">
        <v>27.0</v>
      </c>
      <c r="B1398" s="284">
        <v>173.0</v>
      </c>
      <c r="C1398" s="285" t="str">
        <f t="shared" si="1"/>
        <v>27 173</v>
      </c>
      <c r="D1398" s="285" t="s">
        <v>10053</v>
      </c>
    </row>
    <row r="1399">
      <c r="A1399" s="283">
        <v>28.0</v>
      </c>
      <c r="B1399" s="284">
        <v>1.0</v>
      </c>
      <c r="C1399" s="285" t="str">
        <f t="shared" si="1"/>
        <v>28 1</v>
      </c>
      <c r="D1399" s="285" t="s">
        <v>10054</v>
      </c>
    </row>
    <row r="1400">
      <c r="A1400" s="283">
        <v>28.0</v>
      </c>
      <c r="B1400" s="284">
        <v>3.0</v>
      </c>
      <c r="C1400" s="285" t="str">
        <f t="shared" si="1"/>
        <v>28 3</v>
      </c>
      <c r="D1400" s="285" t="s">
        <v>10055</v>
      </c>
    </row>
    <row r="1401">
      <c r="A1401" s="283">
        <v>28.0</v>
      </c>
      <c r="B1401" s="284">
        <v>5.0</v>
      </c>
      <c r="C1401" s="285" t="str">
        <f t="shared" si="1"/>
        <v>28 5</v>
      </c>
      <c r="D1401" s="285" t="s">
        <v>10056</v>
      </c>
    </row>
    <row r="1402">
      <c r="A1402" s="283">
        <v>28.0</v>
      </c>
      <c r="B1402" s="284">
        <v>7.0</v>
      </c>
      <c r="C1402" s="285" t="str">
        <f t="shared" si="1"/>
        <v>28 7</v>
      </c>
      <c r="D1402" s="285" t="s">
        <v>10057</v>
      </c>
    </row>
    <row r="1403">
      <c r="A1403" s="283">
        <v>28.0</v>
      </c>
      <c r="B1403" s="284">
        <v>9.0</v>
      </c>
      <c r="C1403" s="285" t="str">
        <f t="shared" si="1"/>
        <v>28 9</v>
      </c>
      <c r="D1403" s="285" t="s">
        <v>10058</v>
      </c>
    </row>
    <row r="1404">
      <c r="A1404" s="283">
        <v>28.0</v>
      </c>
      <c r="B1404" s="284">
        <v>11.0</v>
      </c>
      <c r="C1404" s="285" t="str">
        <f t="shared" si="1"/>
        <v>28 11</v>
      </c>
      <c r="D1404" s="285" t="s">
        <v>10059</v>
      </c>
    </row>
    <row r="1405">
      <c r="A1405" s="283">
        <v>28.0</v>
      </c>
      <c r="B1405" s="284">
        <v>13.0</v>
      </c>
      <c r="C1405" s="285" t="str">
        <f t="shared" si="1"/>
        <v>28 13</v>
      </c>
      <c r="D1405" s="285" t="s">
        <v>10060</v>
      </c>
    </row>
    <row r="1406">
      <c r="A1406" s="283">
        <v>28.0</v>
      </c>
      <c r="B1406" s="284">
        <v>15.0</v>
      </c>
      <c r="C1406" s="285" t="str">
        <f t="shared" si="1"/>
        <v>28 15</v>
      </c>
      <c r="D1406" s="285" t="s">
        <v>10061</v>
      </c>
    </row>
    <row r="1407">
      <c r="A1407" s="283">
        <v>28.0</v>
      </c>
      <c r="B1407" s="284">
        <v>17.0</v>
      </c>
      <c r="C1407" s="285" t="str">
        <f t="shared" si="1"/>
        <v>28 17</v>
      </c>
      <c r="D1407" s="285" t="s">
        <v>10062</v>
      </c>
    </row>
    <row r="1408">
      <c r="A1408" s="283">
        <v>28.0</v>
      </c>
      <c r="B1408" s="284">
        <v>19.0</v>
      </c>
      <c r="C1408" s="285" t="str">
        <f t="shared" si="1"/>
        <v>28 19</v>
      </c>
      <c r="D1408" s="285" t="s">
        <v>10063</v>
      </c>
    </row>
    <row r="1409">
      <c r="A1409" s="283">
        <v>28.0</v>
      </c>
      <c r="B1409" s="284">
        <v>21.0</v>
      </c>
      <c r="C1409" s="285" t="str">
        <f t="shared" si="1"/>
        <v>28 21</v>
      </c>
      <c r="D1409" s="285" t="s">
        <v>10064</v>
      </c>
    </row>
    <row r="1410">
      <c r="A1410" s="283">
        <v>28.0</v>
      </c>
      <c r="B1410" s="284">
        <v>23.0</v>
      </c>
      <c r="C1410" s="285" t="str">
        <f t="shared" si="1"/>
        <v>28 23</v>
      </c>
      <c r="D1410" s="285" t="s">
        <v>10065</v>
      </c>
    </row>
    <row r="1411">
      <c r="A1411" s="283">
        <v>28.0</v>
      </c>
      <c r="B1411" s="284">
        <v>25.0</v>
      </c>
      <c r="C1411" s="285" t="str">
        <f t="shared" si="1"/>
        <v>28 25</v>
      </c>
      <c r="D1411" s="285" t="s">
        <v>10066</v>
      </c>
    </row>
    <row r="1412">
      <c r="A1412" s="283">
        <v>28.0</v>
      </c>
      <c r="B1412" s="284">
        <v>27.0</v>
      </c>
      <c r="C1412" s="285" t="str">
        <f t="shared" si="1"/>
        <v>28 27</v>
      </c>
      <c r="D1412" s="285" t="s">
        <v>10067</v>
      </c>
    </row>
    <row r="1413">
      <c r="A1413" s="283">
        <v>28.0</v>
      </c>
      <c r="B1413" s="284">
        <v>29.0</v>
      </c>
      <c r="C1413" s="285" t="str">
        <f t="shared" si="1"/>
        <v>28 29</v>
      </c>
      <c r="D1413" s="285" t="s">
        <v>10068</v>
      </c>
    </row>
    <row r="1414">
      <c r="A1414" s="283">
        <v>28.0</v>
      </c>
      <c r="B1414" s="284">
        <v>31.0</v>
      </c>
      <c r="C1414" s="285" t="str">
        <f t="shared" si="1"/>
        <v>28 31</v>
      </c>
      <c r="D1414" s="285" t="s">
        <v>10069</v>
      </c>
    </row>
    <row r="1415">
      <c r="A1415" s="283">
        <v>28.0</v>
      </c>
      <c r="B1415" s="284">
        <v>33.0</v>
      </c>
      <c r="C1415" s="285" t="str">
        <f t="shared" si="1"/>
        <v>28 33</v>
      </c>
      <c r="D1415" s="285" t="s">
        <v>10070</v>
      </c>
    </row>
    <row r="1416">
      <c r="A1416" s="283">
        <v>28.0</v>
      </c>
      <c r="B1416" s="284">
        <v>35.0</v>
      </c>
      <c r="C1416" s="285" t="str">
        <f t="shared" si="1"/>
        <v>28 35</v>
      </c>
      <c r="D1416" s="285" t="s">
        <v>10071</v>
      </c>
    </row>
    <row r="1417">
      <c r="A1417" s="283">
        <v>28.0</v>
      </c>
      <c r="B1417" s="284">
        <v>37.0</v>
      </c>
      <c r="C1417" s="285" t="str">
        <f t="shared" si="1"/>
        <v>28 37</v>
      </c>
      <c r="D1417" s="285" t="s">
        <v>10072</v>
      </c>
    </row>
    <row r="1418">
      <c r="A1418" s="283">
        <v>28.0</v>
      </c>
      <c r="B1418" s="284">
        <v>39.0</v>
      </c>
      <c r="C1418" s="285" t="str">
        <f t="shared" si="1"/>
        <v>28 39</v>
      </c>
      <c r="D1418" s="285" t="s">
        <v>10073</v>
      </c>
    </row>
    <row r="1419">
      <c r="A1419" s="283">
        <v>28.0</v>
      </c>
      <c r="B1419" s="284">
        <v>41.0</v>
      </c>
      <c r="C1419" s="285" t="str">
        <f t="shared" si="1"/>
        <v>28 41</v>
      </c>
      <c r="D1419" s="285" t="s">
        <v>10074</v>
      </c>
    </row>
    <row r="1420">
      <c r="A1420" s="283">
        <v>28.0</v>
      </c>
      <c r="B1420" s="284">
        <v>43.0</v>
      </c>
      <c r="C1420" s="285" t="str">
        <f t="shared" si="1"/>
        <v>28 43</v>
      </c>
      <c r="D1420" s="285" t="s">
        <v>10075</v>
      </c>
    </row>
    <row r="1421">
      <c r="A1421" s="283">
        <v>28.0</v>
      </c>
      <c r="B1421" s="284">
        <v>45.0</v>
      </c>
      <c r="C1421" s="285" t="str">
        <f t="shared" si="1"/>
        <v>28 45</v>
      </c>
      <c r="D1421" s="285" t="s">
        <v>10076</v>
      </c>
    </row>
    <row r="1422">
      <c r="A1422" s="283">
        <v>28.0</v>
      </c>
      <c r="B1422" s="284">
        <v>47.0</v>
      </c>
      <c r="C1422" s="285" t="str">
        <f t="shared" si="1"/>
        <v>28 47</v>
      </c>
      <c r="D1422" s="285" t="s">
        <v>10077</v>
      </c>
    </row>
    <row r="1423">
      <c r="A1423" s="283">
        <v>28.0</v>
      </c>
      <c r="B1423" s="284">
        <v>49.0</v>
      </c>
      <c r="C1423" s="285" t="str">
        <f t="shared" si="1"/>
        <v>28 49</v>
      </c>
      <c r="D1423" s="285" t="s">
        <v>10078</v>
      </c>
    </row>
    <row r="1424">
      <c r="A1424" s="283">
        <v>28.0</v>
      </c>
      <c r="B1424" s="284">
        <v>51.0</v>
      </c>
      <c r="C1424" s="285" t="str">
        <f t="shared" si="1"/>
        <v>28 51</v>
      </c>
      <c r="D1424" s="285" t="s">
        <v>10079</v>
      </c>
    </row>
    <row r="1425">
      <c r="A1425" s="283">
        <v>28.0</v>
      </c>
      <c r="B1425" s="284">
        <v>53.0</v>
      </c>
      <c r="C1425" s="285" t="str">
        <f t="shared" si="1"/>
        <v>28 53</v>
      </c>
      <c r="D1425" s="285" t="s">
        <v>10080</v>
      </c>
    </row>
    <row r="1426">
      <c r="A1426" s="283">
        <v>28.0</v>
      </c>
      <c r="B1426" s="284">
        <v>55.0</v>
      </c>
      <c r="C1426" s="285" t="str">
        <f t="shared" si="1"/>
        <v>28 55</v>
      </c>
      <c r="D1426" s="285" t="s">
        <v>10081</v>
      </c>
    </row>
    <row r="1427">
      <c r="A1427" s="283">
        <v>28.0</v>
      </c>
      <c r="B1427" s="284">
        <v>57.0</v>
      </c>
      <c r="C1427" s="285" t="str">
        <f t="shared" si="1"/>
        <v>28 57</v>
      </c>
      <c r="D1427" s="285" t="s">
        <v>10082</v>
      </c>
    </row>
    <row r="1428">
      <c r="A1428" s="283">
        <v>28.0</v>
      </c>
      <c r="B1428" s="284">
        <v>59.0</v>
      </c>
      <c r="C1428" s="285" t="str">
        <f t="shared" si="1"/>
        <v>28 59</v>
      </c>
      <c r="D1428" s="285" t="s">
        <v>10083</v>
      </c>
    </row>
    <row r="1429">
      <c r="A1429" s="283">
        <v>28.0</v>
      </c>
      <c r="B1429" s="284">
        <v>61.0</v>
      </c>
      <c r="C1429" s="285" t="str">
        <f t="shared" si="1"/>
        <v>28 61</v>
      </c>
      <c r="D1429" s="285" t="s">
        <v>10084</v>
      </c>
    </row>
    <row r="1430">
      <c r="A1430" s="283">
        <v>28.0</v>
      </c>
      <c r="B1430" s="284">
        <v>63.0</v>
      </c>
      <c r="C1430" s="285" t="str">
        <f t="shared" si="1"/>
        <v>28 63</v>
      </c>
      <c r="D1430" s="285" t="s">
        <v>10085</v>
      </c>
    </row>
    <row r="1431">
      <c r="A1431" s="283">
        <v>28.0</v>
      </c>
      <c r="B1431" s="284">
        <v>65.0</v>
      </c>
      <c r="C1431" s="285" t="str">
        <f t="shared" si="1"/>
        <v>28 65</v>
      </c>
      <c r="D1431" s="285" t="s">
        <v>10086</v>
      </c>
    </row>
    <row r="1432">
      <c r="A1432" s="283">
        <v>28.0</v>
      </c>
      <c r="B1432" s="284">
        <v>67.0</v>
      </c>
      <c r="C1432" s="285" t="str">
        <f t="shared" si="1"/>
        <v>28 67</v>
      </c>
      <c r="D1432" s="285" t="s">
        <v>10087</v>
      </c>
    </row>
    <row r="1433">
      <c r="A1433" s="283">
        <v>28.0</v>
      </c>
      <c r="B1433" s="284">
        <v>69.0</v>
      </c>
      <c r="C1433" s="285" t="str">
        <f t="shared" si="1"/>
        <v>28 69</v>
      </c>
      <c r="D1433" s="285" t="s">
        <v>10088</v>
      </c>
    </row>
    <row r="1434">
      <c r="A1434" s="283">
        <v>28.0</v>
      </c>
      <c r="B1434" s="284">
        <v>71.0</v>
      </c>
      <c r="C1434" s="285" t="str">
        <f t="shared" si="1"/>
        <v>28 71</v>
      </c>
      <c r="D1434" s="285" t="s">
        <v>10089</v>
      </c>
    </row>
    <row r="1435">
      <c r="A1435" s="283">
        <v>28.0</v>
      </c>
      <c r="B1435" s="284">
        <v>73.0</v>
      </c>
      <c r="C1435" s="285" t="str">
        <f t="shared" si="1"/>
        <v>28 73</v>
      </c>
      <c r="D1435" s="285" t="s">
        <v>10090</v>
      </c>
    </row>
    <row r="1436">
      <c r="A1436" s="283">
        <v>28.0</v>
      </c>
      <c r="B1436" s="284">
        <v>75.0</v>
      </c>
      <c r="C1436" s="285" t="str">
        <f t="shared" si="1"/>
        <v>28 75</v>
      </c>
      <c r="D1436" s="285" t="s">
        <v>10091</v>
      </c>
    </row>
    <row r="1437">
      <c r="A1437" s="283">
        <v>28.0</v>
      </c>
      <c r="B1437" s="284">
        <v>77.0</v>
      </c>
      <c r="C1437" s="285" t="str">
        <f t="shared" si="1"/>
        <v>28 77</v>
      </c>
      <c r="D1437" s="285" t="s">
        <v>10092</v>
      </c>
    </row>
    <row r="1438">
      <c r="A1438" s="283">
        <v>28.0</v>
      </c>
      <c r="B1438" s="284">
        <v>79.0</v>
      </c>
      <c r="C1438" s="285" t="str">
        <f t="shared" si="1"/>
        <v>28 79</v>
      </c>
      <c r="D1438" s="285" t="s">
        <v>10093</v>
      </c>
    </row>
    <row r="1439">
      <c r="A1439" s="283">
        <v>28.0</v>
      </c>
      <c r="B1439" s="284">
        <v>81.0</v>
      </c>
      <c r="C1439" s="285" t="str">
        <f t="shared" si="1"/>
        <v>28 81</v>
      </c>
      <c r="D1439" s="285" t="s">
        <v>10094</v>
      </c>
    </row>
    <row r="1440">
      <c r="A1440" s="283">
        <v>28.0</v>
      </c>
      <c r="B1440" s="284">
        <v>83.0</v>
      </c>
      <c r="C1440" s="285" t="str">
        <f t="shared" si="1"/>
        <v>28 83</v>
      </c>
      <c r="D1440" s="285" t="s">
        <v>10095</v>
      </c>
    </row>
    <row r="1441">
      <c r="A1441" s="283">
        <v>28.0</v>
      </c>
      <c r="B1441" s="284">
        <v>85.0</v>
      </c>
      <c r="C1441" s="285" t="str">
        <f t="shared" si="1"/>
        <v>28 85</v>
      </c>
      <c r="D1441" s="285" t="s">
        <v>10096</v>
      </c>
    </row>
    <row r="1442">
      <c r="A1442" s="283">
        <v>28.0</v>
      </c>
      <c r="B1442" s="284">
        <v>87.0</v>
      </c>
      <c r="C1442" s="285" t="str">
        <f t="shared" si="1"/>
        <v>28 87</v>
      </c>
      <c r="D1442" s="285" t="s">
        <v>10097</v>
      </c>
    </row>
    <row r="1443">
      <c r="A1443" s="283">
        <v>28.0</v>
      </c>
      <c r="B1443" s="284">
        <v>89.0</v>
      </c>
      <c r="C1443" s="285" t="str">
        <f t="shared" si="1"/>
        <v>28 89</v>
      </c>
      <c r="D1443" s="285" t="s">
        <v>10098</v>
      </c>
    </row>
    <row r="1444">
      <c r="A1444" s="283">
        <v>28.0</v>
      </c>
      <c r="B1444" s="284">
        <v>91.0</v>
      </c>
      <c r="C1444" s="285" t="str">
        <f t="shared" si="1"/>
        <v>28 91</v>
      </c>
      <c r="D1444" s="285" t="s">
        <v>10099</v>
      </c>
    </row>
    <row r="1445">
      <c r="A1445" s="283">
        <v>28.0</v>
      </c>
      <c r="B1445" s="284">
        <v>93.0</v>
      </c>
      <c r="C1445" s="285" t="str">
        <f t="shared" si="1"/>
        <v>28 93</v>
      </c>
      <c r="D1445" s="285" t="s">
        <v>10100</v>
      </c>
    </row>
    <row r="1446">
      <c r="A1446" s="283">
        <v>28.0</v>
      </c>
      <c r="B1446" s="284">
        <v>95.0</v>
      </c>
      <c r="C1446" s="285" t="str">
        <f t="shared" si="1"/>
        <v>28 95</v>
      </c>
      <c r="D1446" s="285" t="s">
        <v>10101</v>
      </c>
    </row>
    <row r="1447">
      <c r="A1447" s="283">
        <v>28.0</v>
      </c>
      <c r="B1447" s="284">
        <v>97.0</v>
      </c>
      <c r="C1447" s="285" t="str">
        <f t="shared" si="1"/>
        <v>28 97</v>
      </c>
      <c r="D1447" s="285" t="s">
        <v>10102</v>
      </c>
    </row>
    <row r="1448">
      <c r="A1448" s="283">
        <v>28.0</v>
      </c>
      <c r="B1448" s="284">
        <v>99.0</v>
      </c>
      <c r="C1448" s="285" t="str">
        <f t="shared" si="1"/>
        <v>28 99</v>
      </c>
      <c r="D1448" s="285" t="s">
        <v>10103</v>
      </c>
    </row>
    <row r="1449">
      <c r="A1449" s="283">
        <v>28.0</v>
      </c>
      <c r="B1449" s="284">
        <v>101.0</v>
      </c>
      <c r="C1449" s="285" t="str">
        <f t="shared" si="1"/>
        <v>28 101</v>
      </c>
      <c r="D1449" s="285" t="s">
        <v>10104</v>
      </c>
    </row>
    <row r="1450">
      <c r="A1450" s="283">
        <v>28.0</v>
      </c>
      <c r="B1450" s="284">
        <v>103.0</v>
      </c>
      <c r="C1450" s="285" t="str">
        <f t="shared" si="1"/>
        <v>28 103</v>
      </c>
      <c r="D1450" s="285" t="s">
        <v>10105</v>
      </c>
    </row>
    <row r="1451">
      <c r="A1451" s="283">
        <v>28.0</v>
      </c>
      <c r="B1451" s="284">
        <v>105.0</v>
      </c>
      <c r="C1451" s="285" t="str">
        <f t="shared" si="1"/>
        <v>28 105</v>
      </c>
      <c r="D1451" s="285" t="s">
        <v>10106</v>
      </c>
    </row>
    <row r="1452">
      <c r="A1452" s="283">
        <v>28.0</v>
      </c>
      <c r="B1452" s="284">
        <v>107.0</v>
      </c>
      <c r="C1452" s="285" t="str">
        <f t="shared" si="1"/>
        <v>28 107</v>
      </c>
      <c r="D1452" s="285" t="s">
        <v>10107</v>
      </c>
    </row>
    <row r="1453">
      <c r="A1453" s="283">
        <v>28.0</v>
      </c>
      <c r="B1453" s="284">
        <v>109.0</v>
      </c>
      <c r="C1453" s="285" t="str">
        <f t="shared" si="1"/>
        <v>28 109</v>
      </c>
      <c r="D1453" s="285" t="s">
        <v>10108</v>
      </c>
    </row>
    <row r="1454">
      <c r="A1454" s="283">
        <v>28.0</v>
      </c>
      <c r="B1454" s="284">
        <v>111.0</v>
      </c>
      <c r="C1454" s="285" t="str">
        <f t="shared" si="1"/>
        <v>28 111</v>
      </c>
      <c r="D1454" s="285" t="s">
        <v>10109</v>
      </c>
    </row>
    <row r="1455">
      <c r="A1455" s="283">
        <v>28.0</v>
      </c>
      <c r="B1455" s="284">
        <v>113.0</v>
      </c>
      <c r="C1455" s="285" t="str">
        <f t="shared" si="1"/>
        <v>28 113</v>
      </c>
      <c r="D1455" s="285" t="s">
        <v>10110</v>
      </c>
    </row>
    <row r="1456">
      <c r="A1456" s="283">
        <v>28.0</v>
      </c>
      <c r="B1456" s="284">
        <v>115.0</v>
      </c>
      <c r="C1456" s="285" t="str">
        <f t="shared" si="1"/>
        <v>28 115</v>
      </c>
      <c r="D1456" s="285" t="s">
        <v>10111</v>
      </c>
    </row>
    <row r="1457">
      <c r="A1457" s="283">
        <v>28.0</v>
      </c>
      <c r="B1457" s="284">
        <v>117.0</v>
      </c>
      <c r="C1457" s="285" t="str">
        <f t="shared" si="1"/>
        <v>28 117</v>
      </c>
      <c r="D1457" s="285" t="s">
        <v>10112</v>
      </c>
    </row>
    <row r="1458">
      <c r="A1458" s="283">
        <v>28.0</v>
      </c>
      <c r="B1458" s="284">
        <v>119.0</v>
      </c>
      <c r="C1458" s="285" t="str">
        <f t="shared" si="1"/>
        <v>28 119</v>
      </c>
      <c r="D1458" s="285" t="s">
        <v>10113</v>
      </c>
    </row>
    <row r="1459">
      <c r="A1459" s="283">
        <v>28.0</v>
      </c>
      <c r="B1459" s="284">
        <v>121.0</v>
      </c>
      <c r="C1459" s="285" t="str">
        <f t="shared" si="1"/>
        <v>28 121</v>
      </c>
      <c r="D1459" s="285" t="s">
        <v>10114</v>
      </c>
    </row>
    <row r="1460">
      <c r="A1460" s="283">
        <v>28.0</v>
      </c>
      <c r="B1460" s="284">
        <v>123.0</v>
      </c>
      <c r="C1460" s="285" t="str">
        <f t="shared" si="1"/>
        <v>28 123</v>
      </c>
      <c r="D1460" s="285" t="s">
        <v>10115</v>
      </c>
    </row>
    <row r="1461">
      <c r="A1461" s="283">
        <v>28.0</v>
      </c>
      <c r="B1461" s="284">
        <v>125.0</v>
      </c>
      <c r="C1461" s="285" t="str">
        <f t="shared" si="1"/>
        <v>28 125</v>
      </c>
      <c r="D1461" s="285" t="s">
        <v>10116</v>
      </c>
    </row>
    <row r="1462">
      <c r="A1462" s="283">
        <v>28.0</v>
      </c>
      <c r="B1462" s="284">
        <v>127.0</v>
      </c>
      <c r="C1462" s="285" t="str">
        <f t="shared" si="1"/>
        <v>28 127</v>
      </c>
      <c r="D1462" s="285" t="s">
        <v>10117</v>
      </c>
    </row>
    <row r="1463">
      <c r="A1463" s="283">
        <v>28.0</v>
      </c>
      <c r="B1463" s="284">
        <v>129.0</v>
      </c>
      <c r="C1463" s="285" t="str">
        <f t="shared" si="1"/>
        <v>28 129</v>
      </c>
      <c r="D1463" s="285" t="s">
        <v>10118</v>
      </c>
    </row>
    <row r="1464">
      <c r="A1464" s="283">
        <v>28.0</v>
      </c>
      <c r="B1464" s="284">
        <v>131.0</v>
      </c>
      <c r="C1464" s="285" t="str">
        <f t="shared" si="1"/>
        <v>28 131</v>
      </c>
      <c r="D1464" s="285" t="s">
        <v>10119</v>
      </c>
    </row>
    <row r="1465">
      <c r="A1465" s="283">
        <v>28.0</v>
      </c>
      <c r="B1465" s="284">
        <v>133.0</v>
      </c>
      <c r="C1465" s="285" t="str">
        <f t="shared" si="1"/>
        <v>28 133</v>
      </c>
      <c r="D1465" s="285" t="s">
        <v>10120</v>
      </c>
    </row>
    <row r="1466">
      <c r="A1466" s="283">
        <v>28.0</v>
      </c>
      <c r="B1466" s="284">
        <v>135.0</v>
      </c>
      <c r="C1466" s="285" t="str">
        <f t="shared" si="1"/>
        <v>28 135</v>
      </c>
      <c r="D1466" s="285" t="s">
        <v>10121</v>
      </c>
    </row>
    <row r="1467">
      <c r="A1467" s="283">
        <v>28.0</v>
      </c>
      <c r="B1467" s="284">
        <v>137.0</v>
      </c>
      <c r="C1467" s="285" t="str">
        <f t="shared" si="1"/>
        <v>28 137</v>
      </c>
      <c r="D1467" s="285" t="s">
        <v>10122</v>
      </c>
    </row>
    <row r="1468">
      <c r="A1468" s="283">
        <v>28.0</v>
      </c>
      <c r="B1468" s="284">
        <v>139.0</v>
      </c>
      <c r="C1468" s="285" t="str">
        <f t="shared" si="1"/>
        <v>28 139</v>
      </c>
      <c r="D1468" s="285" t="s">
        <v>10123</v>
      </c>
    </row>
    <row r="1469">
      <c r="A1469" s="283">
        <v>28.0</v>
      </c>
      <c r="B1469" s="284">
        <v>141.0</v>
      </c>
      <c r="C1469" s="285" t="str">
        <f t="shared" si="1"/>
        <v>28 141</v>
      </c>
      <c r="D1469" s="285" t="s">
        <v>10124</v>
      </c>
    </row>
    <row r="1470">
      <c r="A1470" s="283">
        <v>28.0</v>
      </c>
      <c r="B1470" s="284">
        <v>143.0</v>
      </c>
      <c r="C1470" s="285" t="str">
        <f t="shared" si="1"/>
        <v>28 143</v>
      </c>
      <c r="D1470" s="285" t="s">
        <v>10125</v>
      </c>
    </row>
    <row r="1471">
      <c r="A1471" s="283">
        <v>28.0</v>
      </c>
      <c r="B1471" s="284">
        <v>145.0</v>
      </c>
      <c r="C1471" s="285" t="str">
        <f t="shared" si="1"/>
        <v>28 145</v>
      </c>
      <c r="D1471" s="285" t="s">
        <v>10126</v>
      </c>
    </row>
    <row r="1472">
      <c r="A1472" s="283">
        <v>28.0</v>
      </c>
      <c r="B1472" s="284">
        <v>147.0</v>
      </c>
      <c r="C1472" s="285" t="str">
        <f t="shared" si="1"/>
        <v>28 147</v>
      </c>
      <c r="D1472" s="285" t="s">
        <v>10127</v>
      </c>
    </row>
    <row r="1473">
      <c r="A1473" s="283">
        <v>28.0</v>
      </c>
      <c r="B1473" s="284">
        <v>149.0</v>
      </c>
      <c r="C1473" s="285" t="str">
        <f t="shared" si="1"/>
        <v>28 149</v>
      </c>
      <c r="D1473" s="285" t="s">
        <v>10128</v>
      </c>
    </row>
    <row r="1474">
      <c r="A1474" s="283">
        <v>28.0</v>
      </c>
      <c r="B1474" s="284">
        <v>151.0</v>
      </c>
      <c r="C1474" s="285" t="str">
        <f t="shared" si="1"/>
        <v>28 151</v>
      </c>
      <c r="D1474" s="285" t="s">
        <v>10129</v>
      </c>
    </row>
    <row r="1475">
      <c r="A1475" s="283">
        <v>28.0</v>
      </c>
      <c r="B1475" s="284">
        <v>153.0</v>
      </c>
      <c r="C1475" s="285" t="str">
        <f t="shared" si="1"/>
        <v>28 153</v>
      </c>
      <c r="D1475" s="285" t="s">
        <v>10130</v>
      </c>
    </row>
    <row r="1476">
      <c r="A1476" s="283">
        <v>28.0</v>
      </c>
      <c r="B1476" s="284">
        <v>155.0</v>
      </c>
      <c r="C1476" s="285" t="str">
        <f t="shared" si="1"/>
        <v>28 155</v>
      </c>
      <c r="D1476" s="285" t="s">
        <v>10131</v>
      </c>
    </row>
    <row r="1477">
      <c r="A1477" s="283">
        <v>28.0</v>
      </c>
      <c r="B1477" s="284">
        <v>157.0</v>
      </c>
      <c r="C1477" s="285" t="str">
        <f t="shared" si="1"/>
        <v>28 157</v>
      </c>
      <c r="D1477" s="285" t="s">
        <v>10132</v>
      </c>
    </row>
    <row r="1478">
      <c r="A1478" s="283">
        <v>28.0</v>
      </c>
      <c r="B1478" s="284">
        <v>159.0</v>
      </c>
      <c r="C1478" s="285" t="str">
        <f t="shared" si="1"/>
        <v>28 159</v>
      </c>
      <c r="D1478" s="285" t="s">
        <v>10133</v>
      </c>
    </row>
    <row r="1479">
      <c r="A1479" s="283">
        <v>28.0</v>
      </c>
      <c r="B1479" s="284">
        <v>161.0</v>
      </c>
      <c r="C1479" s="285" t="str">
        <f t="shared" si="1"/>
        <v>28 161</v>
      </c>
      <c r="D1479" s="285" t="s">
        <v>10134</v>
      </c>
    </row>
    <row r="1480">
      <c r="A1480" s="283">
        <v>28.0</v>
      </c>
      <c r="B1480" s="284">
        <v>163.0</v>
      </c>
      <c r="C1480" s="285" t="str">
        <f t="shared" si="1"/>
        <v>28 163</v>
      </c>
      <c r="D1480" s="285" t="s">
        <v>10135</v>
      </c>
    </row>
    <row r="1481">
      <c r="A1481" s="283">
        <v>29.0</v>
      </c>
      <c r="B1481" s="284">
        <v>1.0</v>
      </c>
      <c r="C1481" s="285" t="str">
        <f t="shared" si="1"/>
        <v>29 1</v>
      </c>
      <c r="D1481" s="285" t="s">
        <v>10136</v>
      </c>
    </row>
    <row r="1482">
      <c r="A1482" s="283">
        <v>29.0</v>
      </c>
      <c r="B1482" s="284">
        <v>3.0</v>
      </c>
      <c r="C1482" s="285" t="str">
        <f t="shared" si="1"/>
        <v>29 3</v>
      </c>
      <c r="D1482" s="285" t="s">
        <v>10137</v>
      </c>
    </row>
    <row r="1483">
      <c r="A1483" s="283">
        <v>29.0</v>
      </c>
      <c r="B1483" s="284">
        <v>5.0</v>
      </c>
      <c r="C1483" s="285" t="str">
        <f t="shared" si="1"/>
        <v>29 5</v>
      </c>
      <c r="D1483" s="285" t="s">
        <v>10138</v>
      </c>
    </row>
    <row r="1484">
      <c r="A1484" s="283">
        <v>29.0</v>
      </c>
      <c r="B1484" s="284">
        <v>7.0</v>
      </c>
      <c r="C1484" s="285" t="str">
        <f t="shared" si="1"/>
        <v>29 7</v>
      </c>
      <c r="D1484" s="285" t="s">
        <v>10139</v>
      </c>
    </row>
    <row r="1485">
      <c r="A1485" s="283">
        <v>29.0</v>
      </c>
      <c r="B1485" s="284">
        <v>9.0</v>
      </c>
      <c r="C1485" s="285" t="str">
        <f t="shared" si="1"/>
        <v>29 9</v>
      </c>
      <c r="D1485" s="285" t="s">
        <v>10140</v>
      </c>
    </row>
    <row r="1486">
      <c r="A1486" s="283">
        <v>29.0</v>
      </c>
      <c r="B1486" s="284">
        <v>11.0</v>
      </c>
      <c r="C1486" s="285" t="str">
        <f t="shared" si="1"/>
        <v>29 11</v>
      </c>
      <c r="D1486" s="285" t="s">
        <v>10141</v>
      </c>
    </row>
    <row r="1487">
      <c r="A1487" s="283">
        <v>29.0</v>
      </c>
      <c r="B1487" s="284">
        <v>13.0</v>
      </c>
      <c r="C1487" s="285" t="str">
        <f t="shared" si="1"/>
        <v>29 13</v>
      </c>
      <c r="D1487" s="285" t="s">
        <v>10142</v>
      </c>
    </row>
    <row r="1488">
      <c r="A1488" s="283">
        <v>29.0</v>
      </c>
      <c r="B1488" s="284">
        <v>15.0</v>
      </c>
      <c r="C1488" s="285" t="str">
        <f t="shared" si="1"/>
        <v>29 15</v>
      </c>
      <c r="D1488" s="285" t="s">
        <v>10143</v>
      </c>
    </row>
    <row r="1489">
      <c r="A1489" s="283">
        <v>29.0</v>
      </c>
      <c r="B1489" s="284">
        <v>17.0</v>
      </c>
      <c r="C1489" s="285" t="str">
        <f t="shared" si="1"/>
        <v>29 17</v>
      </c>
      <c r="D1489" s="285" t="s">
        <v>10144</v>
      </c>
    </row>
    <row r="1490">
      <c r="A1490" s="283">
        <v>29.0</v>
      </c>
      <c r="B1490" s="284">
        <v>19.0</v>
      </c>
      <c r="C1490" s="285" t="str">
        <f t="shared" si="1"/>
        <v>29 19</v>
      </c>
      <c r="D1490" s="285" t="s">
        <v>10145</v>
      </c>
    </row>
    <row r="1491">
      <c r="A1491" s="283">
        <v>29.0</v>
      </c>
      <c r="B1491" s="284">
        <v>21.0</v>
      </c>
      <c r="C1491" s="285" t="str">
        <f t="shared" si="1"/>
        <v>29 21</v>
      </c>
      <c r="D1491" s="285" t="s">
        <v>10146</v>
      </c>
    </row>
    <row r="1492">
      <c r="A1492" s="283">
        <v>29.0</v>
      </c>
      <c r="B1492" s="284">
        <v>23.0</v>
      </c>
      <c r="C1492" s="285" t="str">
        <f t="shared" si="1"/>
        <v>29 23</v>
      </c>
      <c r="D1492" s="285" t="s">
        <v>10147</v>
      </c>
    </row>
    <row r="1493">
      <c r="A1493" s="283">
        <v>29.0</v>
      </c>
      <c r="B1493" s="284">
        <v>25.0</v>
      </c>
      <c r="C1493" s="285" t="str">
        <f t="shared" si="1"/>
        <v>29 25</v>
      </c>
      <c r="D1493" s="285" t="s">
        <v>10148</v>
      </c>
    </row>
    <row r="1494">
      <c r="A1494" s="283">
        <v>29.0</v>
      </c>
      <c r="B1494" s="284">
        <v>27.0</v>
      </c>
      <c r="C1494" s="285" t="str">
        <f t="shared" si="1"/>
        <v>29 27</v>
      </c>
      <c r="D1494" s="285" t="s">
        <v>10149</v>
      </c>
    </row>
    <row r="1495">
      <c r="A1495" s="283">
        <v>29.0</v>
      </c>
      <c r="B1495" s="284">
        <v>29.0</v>
      </c>
      <c r="C1495" s="285" t="str">
        <f t="shared" si="1"/>
        <v>29 29</v>
      </c>
      <c r="D1495" s="285" t="s">
        <v>10150</v>
      </c>
    </row>
    <row r="1496">
      <c r="A1496" s="283">
        <v>29.0</v>
      </c>
      <c r="B1496" s="284">
        <v>31.0</v>
      </c>
      <c r="C1496" s="285" t="str">
        <f t="shared" si="1"/>
        <v>29 31</v>
      </c>
      <c r="D1496" s="285" t="s">
        <v>10151</v>
      </c>
    </row>
    <row r="1497">
      <c r="A1497" s="283">
        <v>29.0</v>
      </c>
      <c r="B1497" s="284">
        <v>33.0</v>
      </c>
      <c r="C1497" s="285" t="str">
        <f t="shared" si="1"/>
        <v>29 33</v>
      </c>
      <c r="D1497" s="285" t="s">
        <v>10152</v>
      </c>
    </row>
    <row r="1498">
      <c r="A1498" s="283">
        <v>29.0</v>
      </c>
      <c r="B1498" s="284">
        <v>35.0</v>
      </c>
      <c r="C1498" s="285" t="str">
        <f t="shared" si="1"/>
        <v>29 35</v>
      </c>
      <c r="D1498" s="285" t="s">
        <v>10153</v>
      </c>
    </row>
    <row r="1499">
      <c r="A1499" s="283">
        <v>29.0</v>
      </c>
      <c r="B1499" s="284">
        <v>37.0</v>
      </c>
      <c r="C1499" s="285" t="str">
        <f t="shared" si="1"/>
        <v>29 37</v>
      </c>
      <c r="D1499" s="285" t="s">
        <v>10154</v>
      </c>
    </row>
    <row r="1500">
      <c r="A1500" s="283">
        <v>29.0</v>
      </c>
      <c r="B1500" s="284">
        <v>39.0</v>
      </c>
      <c r="C1500" s="285" t="str">
        <f t="shared" si="1"/>
        <v>29 39</v>
      </c>
      <c r="D1500" s="285" t="s">
        <v>10155</v>
      </c>
    </row>
    <row r="1501">
      <c r="A1501" s="283">
        <v>29.0</v>
      </c>
      <c r="B1501" s="284">
        <v>41.0</v>
      </c>
      <c r="C1501" s="285" t="str">
        <f t="shared" si="1"/>
        <v>29 41</v>
      </c>
      <c r="D1501" s="285" t="s">
        <v>10156</v>
      </c>
    </row>
    <row r="1502">
      <c r="A1502" s="283">
        <v>29.0</v>
      </c>
      <c r="B1502" s="284">
        <v>43.0</v>
      </c>
      <c r="C1502" s="285" t="str">
        <f t="shared" si="1"/>
        <v>29 43</v>
      </c>
      <c r="D1502" s="285" t="s">
        <v>10157</v>
      </c>
    </row>
    <row r="1503">
      <c r="A1503" s="283">
        <v>29.0</v>
      </c>
      <c r="B1503" s="284">
        <v>45.0</v>
      </c>
      <c r="C1503" s="285" t="str">
        <f t="shared" si="1"/>
        <v>29 45</v>
      </c>
      <c r="D1503" s="285" t="s">
        <v>10158</v>
      </c>
    </row>
    <row r="1504">
      <c r="A1504" s="283">
        <v>29.0</v>
      </c>
      <c r="B1504" s="284">
        <v>47.0</v>
      </c>
      <c r="C1504" s="285" t="str">
        <f t="shared" si="1"/>
        <v>29 47</v>
      </c>
      <c r="D1504" s="285" t="s">
        <v>10159</v>
      </c>
    </row>
    <row r="1505">
      <c r="A1505" s="283">
        <v>29.0</v>
      </c>
      <c r="B1505" s="284">
        <v>49.0</v>
      </c>
      <c r="C1505" s="285" t="str">
        <f t="shared" si="1"/>
        <v>29 49</v>
      </c>
      <c r="D1505" s="285" t="s">
        <v>10160</v>
      </c>
    </row>
    <row r="1506">
      <c r="A1506" s="283">
        <v>29.0</v>
      </c>
      <c r="B1506" s="284">
        <v>51.0</v>
      </c>
      <c r="C1506" s="285" t="str">
        <f t="shared" si="1"/>
        <v>29 51</v>
      </c>
      <c r="D1506" s="285" t="s">
        <v>10161</v>
      </c>
    </row>
    <row r="1507">
      <c r="A1507" s="283">
        <v>29.0</v>
      </c>
      <c r="B1507" s="284">
        <v>53.0</v>
      </c>
      <c r="C1507" s="285" t="str">
        <f t="shared" si="1"/>
        <v>29 53</v>
      </c>
      <c r="D1507" s="285" t="s">
        <v>10162</v>
      </c>
    </row>
    <row r="1508">
      <c r="A1508" s="283">
        <v>29.0</v>
      </c>
      <c r="B1508" s="284">
        <v>55.0</v>
      </c>
      <c r="C1508" s="285" t="str">
        <f t="shared" si="1"/>
        <v>29 55</v>
      </c>
      <c r="D1508" s="285" t="s">
        <v>10163</v>
      </c>
    </row>
    <row r="1509">
      <c r="A1509" s="283">
        <v>29.0</v>
      </c>
      <c r="B1509" s="284">
        <v>57.0</v>
      </c>
      <c r="C1509" s="285" t="str">
        <f t="shared" si="1"/>
        <v>29 57</v>
      </c>
      <c r="D1509" s="285" t="s">
        <v>10164</v>
      </c>
    </row>
    <row r="1510">
      <c r="A1510" s="283">
        <v>29.0</v>
      </c>
      <c r="B1510" s="284">
        <v>59.0</v>
      </c>
      <c r="C1510" s="285" t="str">
        <f t="shared" si="1"/>
        <v>29 59</v>
      </c>
      <c r="D1510" s="285" t="s">
        <v>10165</v>
      </c>
    </row>
    <row r="1511">
      <c r="A1511" s="283">
        <v>29.0</v>
      </c>
      <c r="B1511" s="284">
        <v>61.0</v>
      </c>
      <c r="C1511" s="285" t="str">
        <f t="shared" si="1"/>
        <v>29 61</v>
      </c>
      <c r="D1511" s="285" t="s">
        <v>10166</v>
      </c>
    </row>
    <row r="1512">
      <c r="A1512" s="283">
        <v>29.0</v>
      </c>
      <c r="B1512" s="284">
        <v>63.0</v>
      </c>
      <c r="C1512" s="285" t="str">
        <f t="shared" si="1"/>
        <v>29 63</v>
      </c>
      <c r="D1512" s="285" t="s">
        <v>10167</v>
      </c>
    </row>
    <row r="1513">
      <c r="A1513" s="283">
        <v>29.0</v>
      </c>
      <c r="B1513" s="284">
        <v>65.0</v>
      </c>
      <c r="C1513" s="285" t="str">
        <f t="shared" si="1"/>
        <v>29 65</v>
      </c>
      <c r="D1513" s="285" t="s">
        <v>10168</v>
      </c>
    </row>
    <row r="1514">
      <c r="A1514" s="283">
        <v>29.0</v>
      </c>
      <c r="B1514" s="284">
        <v>67.0</v>
      </c>
      <c r="C1514" s="285" t="str">
        <f t="shared" si="1"/>
        <v>29 67</v>
      </c>
      <c r="D1514" s="285" t="s">
        <v>10169</v>
      </c>
    </row>
    <row r="1515">
      <c r="A1515" s="283">
        <v>29.0</v>
      </c>
      <c r="B1515" s="284">
        <v>69.0</v>
      </c>
      <c r="C1515" s="285" t="str">
        <f t="shared" si="1"/>
        <v>29 69</v>
      </c>
      <c r="D1515" s="285" t="s">
        <v>10170</v>
      </c>
    </row>
    <row r="1516">
      <c r="A1516" s="283">
        <v>29.0</v>
      </c>
      <c r="B1516" s="284">
        <v>71.0</v>
      </c>
      <c r="C1516" s="285" t="str">
        <f t="shared" si="1"/>
        <v>29 71</v>
      </c>
      <c r="D1516" s="285" t="s">
        <v>10171</v>
      </c>
    </row>
    <row r="1517">
      <c r="A1517" s="283">
        <v>29.0</v>
      </c>
      <c r="B1517" s="284">
        <v>73.0</v>
      </c>
      <c r="C1517" s="285" t="str">
        <f t="shared" si="1"/>
        <v>29 73</v>
      </c>
      <c r="D1517" s="285" t="s">
        <v>10172</v>
      </c>
    </row>
    <row r="1518">
      <c r="A1518" s="283">
        <v>29.0</v>
      </c>
      <c r="B1518" s="284">
        <v>75.0</v>
      </c>
      <c r="C1518" s="285" t="str">
        <f t="shared" si="1"/>
        <v>29 75</v>
      </c>
      <c r="D1518" s="285" t="s">
        <v>10173</v>
      </c>
    </row>
    <row r="1519">
      <c r="A1519" s="283">
        <v>29.0</v>
      </c>
      <c r="B1519" s="284">
        <v>77.0</v>
      </c>
      <c r="C1519" s="285" t="str">
        <f t="shared" si="1"/>
        <v>29 77</v>
      </c>
      <c r="D1519" s="285" t="s">
        <v>10174</v>
      </c>
    </row>
    <row r="1520">
      <c r="A1520" s="283">
        <v>29.0</v>
      </c>
      <c r="B1520" s="284">
        <v>79.0</v>
      </c>
      <c r="C1520" s="285" t="str">
        <f t="shared" si="1"/>
        <v>29 79</v>
      </c>
      <c r="D1520" s="285" t="s">
        <v>10175</v>
      </c>
    </row>
    <row r="1521">
      <c r="A1521" s="283">
        <v>29.0</v>
      </c>
      <c r="B1521" s="284">
        <v>81.0</v>
      </c>
      <c r="C1521" s="285" t="str">
        <f t="shared" si="1"/>
        <v>29 81</v>
      </c>
      <c r="D1521" s="285" t="s">
        <v>10176</v>
      </c>
    </row>
    <row r="1522">
      <c r="A1522" s="283">
        <v>29.0</v>
      </c>
      <c r="B1522" s="284">
        <v>83.0</v>
      </c>
      <c r="C1522" s="285" t="str">
        <f t="shared" si="1"/>
        <v>29 83</v>
      </c>
      <c r="D1522" s="285" t="s">
        <v>10177</v>
      </c>
    </row>
    <row r="1523">
      <c r="A1523" s="283">
        <v>29.0</v>
      </c>
      <c r="B1523" s="284">
        <v>85.0</v>
      </c>
      <c r="C1523" s="285" t="str">
        <f t="shared" si="1"/>
        <v>29 85</v>
      </c>
      <c r="D1523" s="285" t="s">
        <v>10178</v>
      </c>
    </row>
    <row r="1524">
      <c r="A1524" s="283">
        <v>29.0</v>
      </c>
      <c r="B1524" s="284">
        <v>87.0</v>
      </c>
      <c r="C1524" s="285" t="str">
        <f t="shared" si="1"/>
        <v>29 87</v>
      </c>
      <c r="D1524" s="285" t="s">
        <v>10179</v>
      </c>
    </row>
    <row r="1525">
      <c r="A1525" s="283">
        <v>29.0</v>
      </c>
      <c r="B1525" s="284">
        <v>89.0</v>
      </c>
      <c r="C1525" s="285" t="str">
        <f t="shared" si="1"/>
        <v>29 89</v>
      </c>
      <c r="D1525" s="285" t="s">
        <v>10180</v>
      </c>
    </row>
    <row r="1526">
      <c r="A1526" s="283">
        <v>29.0</v>
      </c>
      <c r="B1526" s="284">
        <v>91.0</v>
      </c>
      <c r="C1526" s="285" t="str">
        <f t="shared" si="1"/>
        <v>29 91</v>
      </c>
      <c r="D1526" s="285" t="s">
        <v>10181</v>
      </c>
    </row>
    <row r="1527">
      <c r="A1527" s="283">
        <v>29.0</v>
      </c>
      <c r="B1527" s="284">
        <v>93.0</v>
      </c>
      <c r="C1527" s="285" t="str">
        <f t="shared" si="1"/>
        <v>29 93</v>
      </c>
      <c r="D1527" s="285" t="s">
        <v>10182</v>
      </c>
    </row>
    <row r="1528">
      <c r="A1528" s="283">
        <v>29.0</v>
      </c>
      <c r="B1528" s="284">
        <v>95.0</v>
      </c>
      <c r="C1528" s="285" t="str">
        <f t="shared" si="1"/>
        <v>29 95</v>
      </c>
      <c r="D1528" s="285" t="s">
        <v>10183</v>
      </c>
    </row>
    <row r="1529">
      <c r="A1529" s="283">
        <v>29.0</v>
      </c>
      <c r="B1529" s="284">
        <v>97.0</v>
      </c>
      <c r="C1529" s="285" t="str">
        <f t="shared" si="1"/>
        <v>29 97</v>
      </c>
      <c r="D1529" s="285" t="s">
        <v>10184</v>
      </c>
    </row>
    <row r="1530">
      <c r="A1530" s="283">
        <v>29.0</v>
      </c>
      <c r="B1530" s="284">
        <v>99.0</v>
      </c>
      <c r="C1530" s="285" t="str">
        <f t="shared" si="1"/>
        <v>29 99</v>
      </c>
      <c r="D1530" s="285" t="s">
        <v>10185</v>
      </c>
    </row>
    <row r="1531">
      <c r="A1531" s="283">
        <v>29.0</v>
      </c>
      <c r="B1531" s="284">
        <v>101.0</v>
      </c>
      <c r="C1531" s="285" t="str">
        <f t="shared" si="1"/>
        <v>29 101</v>
      </c>
      <c r="D1531" s="285" t="s">
        <v>10186</v>
      </c>
    </row>
    <row r="1532">
      <c r="A1532" s="283">
        <v>29.0</v>
      </c>
      <c r="B1532" s="284">
        <v>103.0</v>
      </c>
      <c r="C1532" s="285" t="str">
        <f t="shared" si="1"/>
        <v>29 103</v>
      </c>
      <c r="D1532" s="285" t="s">
        <v>10187</v>
      </c>
    </row>
    <row r="1533">
      <c r="A1533" s="283">
        <v>29.0</v>
      </c>
      <c r="B1533" s="284">
        <v>105.0</v>
      </c>
      <c r="C1533" s="285" t="str">
        <f t="shared" si="1"/>
        <v>29 105</v>
      </c>
      <c r="D1533" s="285" t="s">
        <v>10188</v>
      </c>
    </row>
    <row r="1534">
      <c r="A1534" s="283">
        <v>29.0</v>
      </c>
      <c r="B1534" s="284">
        <v>107.0</v>
      </c>
      <c r="C1534" s="285" t="str">
        <f t="shared" si="1"/>
        <v>29 107</v>
      </c>
      <c r="D1534" s="285" t="s">
        <v>10189</v>
      </c>
    </row>
    <row r="1535">
      <c r="A1535" s="283">
        <v>29.0</v>
      </c>
      <c r="B1535" s="284">
        <v>109.0</v>
      </c>
      <c r="C1535" s="285" t="str">
        <f t="shared" si="1"/>
        <v>29 109</v>
      </c>
      <c r="D1535" s="285" t="s">
        <v>10190</v>
      </c>
    </row>
    <row r="1536">
      <c r="A1536" s="283">
        <v>29.0</v>
      </c>
      <c r="B1536" s="284">
        <v>111.0</v>
      </c>
      <c r="C1536" s="285" t="str">
        <f t="shared" si="1"/>
        <v>29 111</v>
      </c>
      <c r="D1536" s="285" t="s">
        <v>10191</v>
      </c>
    </row>
    <row r="1537">
      <c r="A1537" s="283">
        <v>29.0</v>
      </c>
      <c r="B1537" s="284">
        <v>113.0</v>
      </c>
      <c r="C1537" s="285" t="str">
        <f t="shared" si="1"/>
        <v>29 113</v>
      </c>
      <c r="D1537" s="285" t="s">
        <v>10192</v>
      </c>
    </row>
    <row r="1538">
      <c r="A1538" s="283">
        <v>29.0</v>
      </c>
      <c r="B1538" s="284">
        <v>115.0</v>
      </c>
      <c r="C1538" s="285" t="str">
        <f t="shared" si="1"/>
        <v>29 115</v>
      </c>
      <c r="D1538" s="285" t="s">
        <v>10193</v>
      </c>
    </row>
    <row r="1539">
      <c r="A1539" s="283">
        <v>29.0</v>
      </c>
      <c r="B1539" s="284">
        <v>117.0</v>
      </c>
      <c r="C1539" s="285" t="str">
        <f t="shared" si="1"/>
        <v>29 117</v>
      </c>
      <c r="D1539" s="285" t="s">
        <v>10194</v>
      </c>
    </row>
    <row r="1540">
      <c r="A1540" s="283">
        <v>29.0</v>
      </c>
      <c r="B1540" s="284">
        <v>119.0</v>
      </c>
      <c r="C1540" s="285" t="str">
        <f t="shared" si="1"/>
        <v>29 119</v>
      </c>
      <c r="D1540" s="285" t="s">
        <v>10195</v>
      </c>
    </row>
    <row r="1541">
      <c r="A1541" s="283">
        <v>29.0</v>
      </c>
      <c r="B1541" s="284">
        <v>121.0</v>
      </c>
      <c r="C1541" s="285" t="str">
        <f t="shared" si="1"/>
        <v>29 121</v>
      </c>
      <c r="D1541" s="285" t="s">
        <v>10196</v>
      </c>
    </row>
    <row r="1542">
      <c r="A1542" s="283">
        <v>29.0</v>
      </c>
      <c r="B1542" s="284">
        <v>123.0</v>
      </c>
      <c r="C1542" s="285" t="str">
        <f t="shared" si="1"/>
        <v>29 123</v>
      </c>
      <c r="D1542" s="285" t="s">
        <v>10197</v>
      </c>
    </row>
    <row r="1543">
      <c r="A1543" s="283">
        <v>29.0</v>
      </c>
      <c r="B1543" s="284">
        <v>125.0</v>
      </c>
      <c r="C1543" s="285" t="str">
        <f t="shared" si="1"/>
        <v>29 125</v>
      </c>
      <c r="D1543" s="285" t="s">
        <v>10198</v>
      </c>
    </row>
    <row r="1544">
      <c r="A1544" s="283">
        <v>29.0</v>
      </c>
      <c r="B1544" s="284">
        <v>127.0</v>
      </c>
      <c r="C1544" s="285" t="str">
        <f t="shared" si="1"/>
        <v>29 127</v>
      </c>
      <c r="D1544" s="285" t="s">
        <v>10199</v>
      </c>
    </row>
    <row r="1545">
      <c r="A1545" s="283">
        <v>29.0</v>
      </c>
      <c r="B1545" s="284">
        <v>129.0</v>
      </c>
      <c r="C1545" s="285" t="str">
        <f t="shared" si="1"/>
        <v>29 129</v>
      </c>
      <c r="D1545" s="285" t="s">
        <v>10200</v>
      </c>
    </row>
    <row r="1546">
      <c r="A1546" s="283">
        <v>29.0</v>
      </c>
      <c r="B1546" s="284">
        <v>131.0</v>
      </c>
      <c r="C1546" s="285" t="str">
        <f t="shared" si="1"/>
        <v>29 131</v>
      </c>
      <c r="D1546" s="285" t="s">
        <v>10201</v>
      </c>
    </row>
    <row r="1547">
      <c r="A1547" s="283">
        <v>29.0</v>
      </c>
      <c r="B1547" s="284">
        <v>133.0</v>
      </c>
      <c r="C1547" s="285" t="str">
        <f t="shared" si="1"/>
        <v>29 133</v>
      </c>
      <c r="D1547" s="285" t="s">
        <v>10202</v>
      </c>
    </row>
    <row r="1548">
      <c r="A1548" s="283">
        <v>29.0</v>
      </c>
      <c r="B1548" s="284">
        <v>135.0</v>
      </c>
      <c r="C1548" s="285" t="str">
        <f t="shared" si="1"/>
        <v>29 135</v>
      </c>
      <c r="D1548" s="285" t="s">
        <v>10203</v>
      </c>
    </row>
    <row r="1549">
      <c r="A1549" s="283">
        <v>29.0</v>
      </c>
      <c r="B1549" s="284">
        <v>137.0</v>
      </c>
      <c r="C1549" s="285" t="str">
        <f t="shared" si="1"/>
        <v>29 137</v>
      </c>
      <c r="D1549" s="285" t="s">
        <v>10204</v>
      </c>
    </row>
    <row r="1550">
      <c r="A1550" s="283">
        <v>29.0</v>
      </c>
      <c r="B1550" s="284">
        <v>139.0</v>
      </c>
      <c r="C1550" s="285" t="str">
        <f t="shared" si="1"/>
        <v>29 139</v>
      </c>
      <c r="D1550" s="285" t="s">
        <v>10205</v>
      </c>
    </row>
    <row r="1551">
      <c r="A1551" s="283">
        <v>29.0</v>
      </c>
      <c r="B1551" s="284">
        <v>141.0</v>
      </c>
      <c r="C1551" s="285" t="str">
        <f t="shared" si="1"/>
        <v>29 141</v>
      </c>
      <c r="D1551" s="285" t="s">
        <v>10206</v>
      </c>
    </row>
    <row r="1552">
      <c r="A1552" s="283">
        <v>29.0</v>
      </c>
      <c r="B1552" s="284">
        <v>143.0</v>
      </c>
      <c r="C1552" s="285" t="str">
        <f t="shared" si="1"/>
        <v>29 143</v>
      </c>
      <c r="D1552" s="285" t="s">
        <v>10207</v>
      </c>
    </row>
    <row r="1553">
      <c r="A1553" s="283">
        <v>29.0</v>
      </c>
      <c r="B1553" s="284">
        <v>145.0</v>
      </c>
      <c r="C1553" s="285" t="str">
        <f t="shared" si="1"/>
        <v>29 145</v>
      </c>
      <c r="D1553" s="285" t="s">
        <v>10208</v>
      </c>
    </row>
    <row r="1554">
      <c r="A1554" s="283">
        <v>29.0</v>
      </c>
      <c r="B1554" s="284">
        <v>147.0</v>
      </c>
      <c r="C1554" s="285" t="str">
        <f t="shared" si="1"/>
        <v>29 147</v>
      </c>
      <c r="D1554" s="285" t="s">
        <v>10209</v>
      </c>
    </row>
    <row r="1555">
      <c r="A1555" s="283">
        <v>29.0</v>
      </c>
      <c r="B1555" s="284">
        <v>149.0</v>
      </c>
      <c r="C1555" s="285" t="str">
        <f t="shared" si="1"/>
        <v>29 149</v>
      </c>
      <c r="D1555" s="285" t="s">
        <v>10210</v>
      </c>
    </row>
    <row r="1556">
      <c r="A1556" s="283">
        <v>29.0</v>
      </c>
      <c r="B1556" s="284">
        <v>151.0</v>
      </c>
      <c r="C1556" s="285" t="str">
        <f t="shared" si="1"/>
        <v>29 151</v>
      </c>
      <c r="D1556" s="285" t="s">
        <v>10211</v>
      </c>
    </row>
    <row r="1557">
      <c r="A1557" s="283">
        <v>29.0</v>
      </c>
      <c r="B1557" s="284">
        <v>153.0</v>
      </c>
      <c r="C1557" s="285" t="str">
        <f t="shared" si="1"/>
        <v>29 153</v>
      </c>
      <c r="D1557" s="285" t="s">
        <v>10212</v>
      </c>
    </row>
    <row r="1558">
      <c r="A1558" s="283">
        <v>29.0</v>
      </c>
      <c r="B1558" s="284">
        <v>155.0</v>
      </c>
      <c r="C1558" s="285" t="str">
        <f t="shared" si="1"/>
        <v>29 155</v>
      </c>
      <c r="D1558" s="285" t="s">
        <v>10213</v>
      </c>
    </row>
    <row r="1559">
      <c r="A1559" s="283">
        <v>29.0</v>
      </c>
      <c r="B1559" s="284">
        <v>157.0</v>
      </c>
      <c r="C1559" s="285" t="str">
        <f t="shared" si="1"/>
        <v>29 157</v>
      </c>
      <c r="D1559" s="285" t="s">
        <v>10214</v>
      </c>
    </row>
    <row r="1560">
      <c r="A1560" s="283">
        <v>29.0</v>
      </c>
      <c r="B1560" s="284">
        <v>159.0</v>
      </c>
      <c r="C1560" s="285" t="str">
        <f t="shared" si="1"/>
        <v>29 159</v>
      </c>
      <c r="D1560" s="285" t="s">
        <v>10215</v>
      </c>
    </row>
    <row r="1561">
      <c r="A1561" s="283">
        <v>29.0</v>
      </c>
      <c r="B1561" s="284">
        <v>161.0</v>
      </c>
      <c r="C1561" s="285" t="str">
        <f t="shared" si="1"/>
        <v>29 161</v>
      </c>
      <c r="D1561" s="285" t="s">
        <v>10216</v>
      </c>
    </row>
    <row r="1562">
      <c r="A1562" s="283">
        <v>29.0</v>
      </c>
      <c r="B1562" s="284">
        <v>163.0</v>
      </c>
      <c r="C1562" s="285" t="str">
        <f t="shared" si="1"/>
        <v>29 163</v>
      </c>
      <c r="D1562" s="285" t="s">
        <v>10217</v>
      </c>
    </row>
    <row r="1563">
      <c r="A1563" s="283">
        <v>29.0</v>
      </c>
      <c r="B1563" s="284">
        <v>165.0</v>
      </c>
      <c r="C1563" s="285" t="str">
        <f t="shared" si="1"/>
        <v>29 165</v>
      </c>
      <c r="D1563" s="285" t="s">
        <v>10218</v>
      </c>
    </row>
    <row r="1564">
      <c r="A1564" s="283">
        <v>29.0</v>
      </c>
      <c r="B1564" s="284">
        <v>167.0</v>
      </c>
      <c r="C1564" s="285" t="str">
        <f t="shared" si="1"/>
        <v>29 167</v>
      </c>
      <c r="D1564" s="285" t="s">
        <v>10219</v>
      </c>
    </row>
    <row r="1565">
      <c r="A1565" s="283">
        <v>29.0</v>
      </c>
      <c r="B1565" s="284">
        <v>169.0</v>
      </c>
      <c r="C1565" s="285" t="str">
        <f t="shared" si="1"/>
        <v>29 169</v>
      </c>
      <c r="D1565" s="285" t="s">
        <v>10220</v>
      </c>
    </row>
    <row r="1566">
      <c r="A1566" s="283">
        <v>29.0</v>
      </c>
      <c r="B1566" s="284">
        <v>171.0</v>
      </c>
      <c r="C1566" s="285" t="str">
        <f t="shared" si="1"/>
        <v>29 171</v>
      </c>
      <c r="D1566" s="285" t="s">
        <v>10221</v>
      </c>
    </row>
    <row r="1567">
      <c r="A1567" s="283">
        <v>29.0</v>
      </c>
      <c r="B1567" s="284">
        <v>173.0</v>
      </c>
      <c r="C1567" s="285" t="str">
        <f t="shared" si="1"/>
        <v>29 173</v>
      </c>
      <c r="D1567" s="285" t="s">
        <v>10222</v>
      </c>
    </row>
    <row r="1568">
      <c r="A1568" s="283">
        <v>29.0</v>
      </c>
      <c r="B1568" s="284">
        <v>175.0</v>
      </c>
      <c r="C1568" s="285" t="str">
        <f t="shared" si="1"/>
        <v>29 175</v>
      </c>
      <c r="D1568" s="285" t="s">
        <v>10223</v>
      </c>
    </row>
    <row r="1569">
      <c r="A1569" s="283">
        <v>29.0</v>
      </c>
      <c r="B1569" s="284">
        <v>177.0</v>
      </c>
      <c r="C1569" s="285" t="str">
        <f t="shared" si="1"/>
        <v>29 177</v>
      </c>
      <c r="D1569" s="285" t="s">
        <v>10224</v>
      </c>
    </row>
    <row r="1570">
      <c r="A1570" s="283">
        <v>29.0</v>
      </c>
      <c r="B1570" s="284">
        <v>179.0</v>
      </c>
      <c r="C1570" s="285" t="str">
        <f t="shared" si="1"/>
        <v>29 179</v>
      </c>
      <c r="D1570" s="285" t="s">
        <v>10225</v>
      </c>
    </row>
    <row r="1571">
      <c r="A1571" s="283">
        <v>29.0</v>
      </c>
      <c r="B1571" s="284">
        <v>181.0</v>
      </c>
      <c r="C1571" s="285" t="str">
        <f t="shared" si="1"/>
        <v>29 181</v>
      </c>
      <c r="D1571" s="285" t="s">
        <v>10226</v>
      </c>
    </row>
    <row r="1572">
      <c r="A1572" s="283">
        <v>29.0</v>
      </c>
      <c r="B1572" s="284">
        <v>183.0</v>
      </c>
      <c r="C1572" s="285" t="str">
        <f t="shared" si="1"/>
        <v>29 183</v>
      </c>
      <c r="D1572" s="285" t="s">
        <v>10227</v>
      </c>
    </row>
    <row r="1573">
      <c r="A1573" s="283">
        <v>29.0</v>
      </c>
      <c r="B1573" s="284">
        <v>185.0</v>
      </c>
      <c r="C1573" s="285" t="str">
        <f t="shared" si="1"/>
        <v>29 185</v>
      </c>
      <c r="D1573" s="285" t="s">
        <v>10228</v>
      </c>
    </row>
    <row r="1574">
      <c r="A1574" s="283">
        <v>29.0</v>
      </c>
      <c r="B1574" s="284">
        <v>186.0</v>
      </c>
      <c r="C1574" s="285" t="str">
        <f t="shared" si="1"/>
        <v>29 186</v>
      </c>
      <c r="D1574" s="285" t="s">
        <v>10229</v>
      </c>
    </row>
    <row r="1575">
      <c r="A1575" s="283">
        <v>29.0</v>
      </c>
      <c r="B1575" s="284">
        <v>187.0</v>
      </c>
      <c r="C1575" s="285" t="str">
        <f t="shared" si="1"/>
        <v>29 187</v>
      </c>
      <c r="D1575" s="285" t="s">
        <v>10230</v>
      </c>
    </row>
    <row r="1576">
      <c r="A1576" s="283">
        <v>29.0</v>
      </c>
      <c r="B1576" s="284">
        <v>189.0</v>
      </c>
      <c r="C1576" s="285" t="str">
        <f t="shared" si="1"/>
        <v>29 189</v>
      </c>
      <c r="D1576" s="285" t="s">
        <v>10231</v>
      </c>
    </row>
    <row r="1577">
      <c r="A1577" s="283">
        <v>29.0</v>
      </c>
      <c r="B1577" s="284">
        <v>195.0</v>
      </c>
      <c r="C1577" s="285" t="str">
        <f t="shared" si="1"/>
        <v>29 195</v>
      </c>
      <c r="D1577" s="285" t="s">
        <v>10232</v>
      </c>
    </row>
    <row r="1578">
      <c r="A1578" s="283">
        <v>29.0</v>
      </c>
      <c r="B1578" s="284">
        <v>197.0</v>
      </c>
      <c r="C1578" s="285" t="str">
        <f t="shared" si="1"/>
        <v>29 197</v>
      </c>
      <c r="D1578" s="285" t="s">
        <v>10233</v>
      </c>
    </row>
    <row r="1579">
      <c r="A1579" s="283">
        <v>29.0</v>
      </c>
      <c r="B1579" s="284">
        <v>199.0</v>
      </c>
      <c r="C1579" s="285" t="str">
        <f t="shared" si="1"/>
        <v>29 199</v>
      </c>
      <c r="D1579" s="285" t="s">
        <v>10234</v>
      </c>
    </row>
    <row r="1580">
      <c r="A1580" s="283">
        <v>29.0</v>
      </c>
      <c r="B1580" s="284">
        <v>201.0</v>
      </c>
      <c r="C1580" s="285" t="str">
        <f t="shared" si="1"/>
        <v>29 201</v>
      </c>
      <c r="D1580" s="285" t="s">
        <v>10235</v>
      </c>
    </row>
    <row r="1581">
      <c r="A1581" s="283">
        <v>29.0</v>
      </c>
      <c r="B1581" s="284">
        <v>203.0</v>
      </c>
      <c r="C1581" s="285" t="str">
        <f t="shared" si="1"/>
        <v>29 203</v>
      </c>
      <c r="D1581" s="285" t="s">
        <v>10236</v>
      </c>
    </row>
    <row r="1582">
      <c r="A1582" s="283">
        <v>29.0</v>
      </c>
      <c r="B1582" s="284">
        <v>205.0</v>
      </c>
      <c r="C1582" s="285" t="str">
        <f t="shared" si="1"/>
        <v>29 205</v>
      </c>
      <c r="D1582" s="285" t="s">
        <v>10237</v>
      </c>
    </row>
    <row r="1583">
      <c r="A1583" s="283">
        <v>29.0</v>
      </c>
      <c r="B1583" s="284">
        <v>207.0</v>
      </c>
      <c r="C1583" s="285" t="str">
        <f t="shared" si="1"/>
        <v>29 207</v>
      </c>
      <c r="D1583" s="285" t="s">
        <v>10238</v>
      </c>
    </row>
    <row r="1584">
      <c r="A1584" s="283">
        <v>29.0</v>
      </c>
      <c r="B1584" s="284">
        <v>209.0</v>
      </c>
      <c r="C1584" s="285" t="str">
        <f t="shared" si="1"/>
        <v>29 209</v>
      </c>
      <c r="D1584" s="285" t="s">
        <v>10239</v>
      </c>
    </row>
    <row r="1585">
      <c r="A1585" s="283">
        <v>29.0</v>
      </c>
      <c r="B1585" s="284">
        <v>211.0</v>
      </c>
      <c r="C1585" s="285" t="str">
        <f t="shared" si="1"/>
        <v>29 211</v>
      </c>
      <c r="D1585" s="285" t="s">
        <v>10240</v>
      </c>
    </row>
    <row r="1586">
      <c r="A1586" s="283">
        <v>29.0</v>
      </c>
      <c r="B1586" s="284">
        <v>213.0</v>
      </c>
      <c r="C1586" s="285" t="str">
        <f t="shared" si="1"/>
        <v>29 213</v>
      </c>
      <c r="D1586" s="285" t="s">
        <v>10241</v>
      </c>
    </row>
    <row r="1587">
      <c r="A1587" s="283">
        <v>29.0</v>
      </c>
      <c r="B1587" s="284">
        <v>215.0</v>
      </c>
      <c r="C1587" s="285" t="str">
        <f t="shared" si="1"/>
        <v>29 215</v>
      </c>
      <c r="D1587" s="285" t="s">
        <v>10242</v>
      </c>
    </row>
    <row r="1588">
      <c r="A1588" s="283">
        <v>29.0</v>
      </c>
      <c r="B1588" s="284">
        <v>217.0</v>
      </c>
      <c r="C1588" s="285" t="str">
        <f t="shared" si="1"/>
        <v>29 217</v>
      </c>
      <c r="D1588" s="285" t="s">
        <v>10243</v>
      </c>
    </row>
    <row r="1589">
      <c r="A1589" s="283">
        <v>29.0</v>
      </c>
      <c r="B1589" s="284">
        <v>219.0</v>
      </c>
      <c r="C1589" s="285" t="str">
        <f t="shared" si="1"/>
        <v>29 219</v>
      </c>
      <c r="D1589" s="285" t="s">
        <v>10244</v>
      </c>
    </row>
    <row r="1590">
      <c r="A1590" s="283">
        <v>29.0</v>
      </c>
      <c r="B1590" s="284">
        <v>221.0</v>
      </c>
      <c r="C1590" s="285" t="str">
        <f t="shared" si="1"/>
        <v>29 221</v>
      </c>
      <c r="D1590" s="285" t="s">
        <v>10245</v>
      </c>
    </row>
    <row r="1591">
      <c r="A1591" s="283">
        <v>29.0</v>
      </c>
      <c r="B1591" s="284">
        <v>223.0</v>
      </c>
      <c r="C1591" s="285" t="str">
        <f t="shared" si="1"/>
        <v>29 223</v>
      </c>
      <c r="D1591" s="285" t="s">
        <v>10246</v>
      </c>
    </row>
    <row r="1592">
      <c r="A1592" s="283">
        <v>29.0</v>
      </c>
      <c r="B1592" s="284">
        <v>225.0</v>
      </c>
      <c r="C1592" s="285" t="str">
        <f t="shared" si="1"/>
        <v>29 225</v>
      </c>
      <c r="D1592" s="285" t="s">
        <v>10247</v>
      </c>
    </row>
    <row r="1593">
      <c r="A1593" s="283">
        <v>29.0</v>
      </c>
      <c r="B1593" s="284">
        <v>227.0</v>
      </c>
      <c r="C1593" s="285" t="str">
        <f t="shared" si="1"/>
        <v>29 227</v>
      </c>
      <c r="D1593" s="285" t="s">
        <v>10248</v>
      </c>
    </row>
    <row r="1594">
      <c r="A1594" s="283">
        <v>29.0</v>
      </c>
      <c r="B1594" s="284">
        <v>229.0</v>
      </c>
      <c r="C1594" s="285" t="str">
        <f t="shared" si="1"/>
        <v>29 229</v>
      </c>
      <c r="D1594" s="285" t="s">
        <v>10249</v>
      </c>
    </row>
    <row r="1595">
      <c r="A1595" s="283">
        <v>29.0</v>
      </c>
      <c r="B1595" s="284">
        <v>510.0</v>
      </c>
      <c r="C1595" s="285" t="str">
        <f t="shared" si="1"/>
        <v>29 510</v>
      </c>
      <c r="D1595" s="285" t="s">
        <v>10250</v>
      </c>
    </row>
    <row r="1596">
      <c r="A1596" s="283">
        <v>30.0</v>
      </c>
      <c r="B1596" s="284">
        <v>1.0</v>
      </c>
      <c r="C1596" s="285" t="str">
        <f t="shared" si="1"/>
        <v>30 1</v>
      </c>
      <c r="D1596" s="285" t="s">
        <v>10251</v>
      </c>
    </row>
    <row r="1597">
      <c r="A1597" s="283">
        <v>30.0</v>
      </c>
      <c r="B1597" s="284">
        <v>3.0</v>
      </c>
      <c r="C1597" s="285" t="str">
        <f t="shared" si="1"/>
        <v>30 3</v>
      </c>
      <c r="D1597" s="285" t="s">
        <v>10252</v>
      </c>
    </row>
    <row r="1598">
      <c r="A1598" s="283">
        <v>30.0</v>
      </c>
      <c r="B1598" s="284">
        <v>5.0</v>
      </c>
      <c r="C1598" s="285" t="str">
        <f t="shared" si="1"/>
        <v>30 5</v>
      </c>
      <c r="D1598" s="285" t="s">
        <v>10253</v>
      </c>
    </row>
    <row r="1599">
      <c r="A1599" s="283">
        <v>30.0</v>
      </c>
      <c r="B1599" s="284">
        <v>7.0</v>
      </c>
      <c r="C1599" s="285" t="str">
        <f t="shared" si="1"/>
        <v>30 7</v>
      </c>
      <c r="D1599" s="285" t="s">
        <v>10254</v>
      </c>
    </row>
    <row r="1600">
      <c r="A1600" s="283">
        <v>30.0</v>
      </c>
      <c r="B1600" s="284">
        <v>9.0</v>
      </c>
      <c r="C1600" s="285" t="str">
        <f t="shared" si="1"/>
        <v>30 9</v>
      </c>
      <c r="D1600" s="285" t="s">
        <v>10255</v>
      </c>
    </row>
    <row r="1601">
      <c r="A1601" s="283">
        <v>30.0</v>
      </c>
      <c r="B1601" s="284">
        <v>11.0</v>
      </c>
      <c r="C1601" s="285" t="str">
        <f t="shared" si="1"/>
        <v>30 11</v>
      </c>
      <c r="D1601" s="285" t="s">
        <v>10256</v>
      </c>
    </row>
    <row r="1602">
      <c r="A1602" s="283">
        <v>30.0</v>
      </c>
      <c r="B1602" s="284">
        <v>13.0</v>
      </c>
      <c r="C1602" s="285" t="str">
        <f t="shared" si="1"/>
        <v>30 13</v>
      </c>
      <c r="D1602" s="285" t="s">
        <v>10257</v>
      </c>
    </row>
    <row r="1603">
      <c r="A1603" s="283">
        <v>30.0</v>
      </c>
      <c r="B1603" s="284">
        <v>15.0</v>
      </c>
      <c r="C1603" s="285" t="str">
        <f t="shared" si="1"/>
        <v>30 15</v>
      </c>
      <c r="D1603" s="285" t="s">
        <v>10258</v>
      </c>
    </row>
    <row r="1604">
      <c r="A1604" s="283">
        <v>30.0</v>
      </c>
      <c r="B1604" s="284">
        <v>17.0</v>
      </c>
      <c r="C1604" s="285" t="str">
        <f t="shared" si="1"/>
        <v>30 17</v>
      </c>
      <c r="D1604" s="285" t="s">
        <v>10259</v>
      </c>
    </row>
    <row r="1605">
      <c r="A1605" s="283">
        <v>30.0</v>
      </c>
      <c r="B1605" s="284">
        <v>19.0</v>
      </c>
      <c r="C1605" s="285" t="str">
        <f t="shared" si="1"/>
        <v>30 19</v>
      </c>
      <c r="D1605" s="285" t="s">
        <v>10260</v>
      </c>
    </row>
    <row r="1606">
      <c r="A1606" s="283">
        <v>30.0</v>
      </c>
      <c r="B1606" s="284">
        <v>21.0</v>
      </c>
      <c r="C1606" s="285" t="str">
        <f t="shared" si="1"/>
        <v>30 21</v>
      </c>
      <c r="D1606" s="285" t="s">
        <v>10261</v>
      </c>
    </row>
    <row r="1607">
      <c r="A1607" s="283">
        <v>30.0</v>
      </c>
      <c r="B1607" s="284">
        <v>23.0</v>
      </c>
      <c r="C1607" s="285" t="str">
        <f t="shared" si="1"/>
        <v>30 23</v>
      </c>
      <c r="D1607" s="285" t="s">
        <v>10262</v>
      </c>
    </row>
    <row r="1608">
      <c r="A1608" s="283">
        <v>30.0</v>
      </c>
      <c r="B1608" s="284">
        <v>25.0</v>
      </c>
      <c r="C1608" s="285" t="str">
        <f t="shared" si="1"/>
        <v>30 25</v>
      </c>
      <c r="D1608" s="285" t="s">
        <v>10263</v>
      </c>
    </row>
    <row r="1609">
      <c r="A1609" s="283">
        <v>30.0</v>
      </c>
      <c r="B1609" s="284">
        <v>27.0</v>
      </c>
      <c r="C1609" s="285" t="str">
        <f t="shared" si="1"/>
        <v>30 27</v>
      </c>
      <c r="D1609" s="285" t="s">
        <v>10264</v>
      </c>
    </row>
    <row r="1610">
      <c r="A1610" s="283">
        <v>30.0</v>
      </c>
      <c r="B1610" s="284">
        <v>29.0</v>
      </c>
      <c r="C1610" s="285" t="str">
        <f t="shared" si="1"/>
        <v>30 29</v>
      </c>
      <c r="D1610" s="285" t="s">
        <v>10265</v>
      </c>
    </row>
    <row r="1611">
      <c r="A1611" s="283">
        <v>30.0</v>
      </c>
      <c r="B1611" s="284">
        <v>31.0</v>
      </c>
      <c r="C1611" s="285" t="str">
        <f t="shared" si="1"/>
        <v>30 31</v>
      </c>
      <c r="D1611" s="285" t="s">
        <v>10266</v>
      </c>
    </row>
    <row r="1612">
      <c r="A1612" s="283">
        <v>30.0</v>
      </c>
      <c r="B1612" s="284">
        <v>33.0</v>
      </c>
      <c r="C1612" s="285" t="str">
        <f t="shared" si="1"/>
        <v>30 33</v>
      </c>
      <c r="D1612" s="285" t="s">
        <v>10267</v>
      </c>
    </row>
    <row r="1613">
      <c r="A1613" s="283">
        <v>30.0</v>
      </c>
      <c r="B1613" s="284">
        <v>35.0</v>
      </c>
      <c r="C1613" s="285" t="str">
        <f t="shared" si="1"/>
        <v>30 35</v>
      </c>
      <c r="D1613" s="285" t="s">
        <v>10268</v>
      </c>
    </row>
    <row r="1614">
      <c r="A1614" s="283">
        <v>30.0</v>
      </c>
      <c r="B1614" s="284">
        <v>37.0</v>
      </c>
      <c r="C1614" s="285" t="str">
        <f t="shared" si="1"/>
        <v>30 37</v>
      </c>
      <c r="D1614" s="285" t="s">
        <v>10269</v>
      </c>
    </row>
    <row r="1615">
      <c r="A1615" s="283">
        <v>30.0</v>
      </c>
      <c r="B1615" s="284">
        <v>39.0</v>
      </c>
      <c r="C1615" s="285" t="str">
        <f t="shared" si="1"/>
        <v>30 39</v>
      </c>
      <c r="D1615" s="285" t="s">
        <v>10270</v>
      </c>
    </row>
    <row r="1616">
      <c r="A1616" s="283">
        <v>30.0</v>
      </c>
      <c r="B1616" s="284">
        <v>41.0</v>
      </c>
      <c r="C1616" s="285" t="str">
        <f t="shared" si="1"/>
        <v>30 41</v>
      </c>
      <c r="D1616" s="285" t="s">
        <v>10271</v>
      </c>
    </row>
    <row r="1617">
      <c r="A1617" s="283">
        <v>30.0</v>
      </c>
      <c r="B1617" s="284">
        <v>43.0</v>
      </c>
      <c r="C1617" s="285" t="str">
        <f t="shared" si="1"/>
        <v>30 43</v>
      </c>
      <c r="D1617" s="285" t="s">
        <v>10272</v>
      </c>
    </row>
    <row r="1618">
      <c r="A1618" s="283">
        <v>30.0</v>
      </c>
      <c r="B1618" s="284">
        <v>45.0</v>
      </c>
      <c r="C1618" s="285" t="str">
        <f t="shared" si="1"/>
        <v>30 45</v>
      </c>
      <c r="D1618" s="285" t="s">
        <v>10273</v>
      </c>
    </row>
    <row r="1619">
      <c r="A1619" s="283">
        <v>30.0</v>
      </c>
      <c r="B1619" s="284">
        <v>47.0</v>
      </c>
      <c r="C1619" s="285" t="str">
        <f t="shared" si="1"/>
        <v>30 47</v>
      </c>
      <c r="D1619" s="285" t="s">
        <v>10274</v>
      </c>
    </row>
    <row r="1620">
      <c r="A1620" s="283">
        <v>30.0</v>
      </c>
      <c r="B1620" s="284">
        <v>49.0</v>
      </c>
      <c r="C1620" s="285" t="str">
        <f t="shared" si="1"/>
        <v>30 49</v>
      </c>
      <c r="D1620" s="285" t="s">
        <v>10275</v>
      </c>
    </row>
    <row r="1621">
      <c r="A1621" s="283">
        <v>30.0</v>
      </c>
      <c r="B1621" s="284">
        <v>51.0</v>
      </c>
      <c r="C1621" s="285" t="str">
        <f t="shared" si="1"/>
        <v>30 51</v>
      </c>
      <c r="D1621" s="285" t="s">
        <v>10276</v>
      </c>
    </row>
    <row r="1622">
      <c r="A1622" s="283">
        <v>30.0</v>
      </c>
      <c r="B1622" s="284">
        <v>53.0</v>
      </c>
      <c r="C1622" s="285" t="str">
        <f t="shared" si="1"/>
        <v>30 53</v>
      </c>
      <c r="D1622" s="285" t="s">
        <v>10277</v>
      </c>
    </row>
    <row r="1623">
      <c r="A1623" s="283">
        <v>30.0</v>
      </c>
      <c r="B1623" s="284">
        <v>55.0</v>
      </c>
      <c r="C1623" s="285" t="str">
        <f t="shared" si="1"/>
        <v>30 55</v>
      </c>
      <c r="D1623" s="285" t="s">
        <v>10278</v>
      </c>
    </row>
    <row r="1624">
      <c r="A1624" s="283">
        <v>30.0</v>
      </c>
      <c r="B1624" s="284">
        <v>57.0</v>
      </c>
      <c r="C1624" s="285" t="str">
        <f t="shared" si="1"/>
        <v>30 57</v>
      </c>
      <c r="D1624" s="285" t="s">
        <v>10279</v>
      </c>
    </row>
    <row r="1625">
      <c r="A1625" s="283">
        <v>30.0</v>
      </c>
      <c r="B1625" s="284">
        <v>59.0</v>
      </c>
      <c r="C1625" s="285" t="str">
        <f t="shared" si="1"/>
        <v>30 59</v>
      </c>
      <c r="D1625" s="285" t="s">
        <v>10280</v>
      </c>
    </row>
    <row r="1626">
      <c r="A1626" s="283">
        <v>30.0</v>
      </c>
      <c r="B1626" s="284">
        <v>61.0</v>
      </c>
      <c r="C1626" s="285" t="str">
        <f t="shared" si="1"/>
        <v>30 61</v>
      </c>
      <c r="D1626" s="285" t="s">
        <v>10281</v>
      </c>
    </row>
    <row r="1627">
      <c r="A1627" s="283">
        <v>30.0</v>
      </c>
      <c r="B1627" s="284">
        <v>63.0</v>
      </c>
      <c r="C1627" s="285" t="str">
        <f t="shared" si="1"/>
        <v>30 63</v>
      </c>
      <c r="D1627" s="285" t="s">
        <v>10282</v>
      </c>
    </row>
    <row r="1628">
      <c r="A1628" s="283">
        <v>30.0</v>
      </c>
      <c r="B1628" s="284">
        <v>65.0</v>
      </c>
      <c r="C1628" s="285" t="str">
        <f t="shared" si="1"/>
        <v>30 65</v>
      </c>
      <c r="D1628" s="285" t="s">
        <v>10283</v>
      </c>
    </row>
    <row r="1629">
      <c r="A1629" s="283">
        <v>30.0</v>
      </c>
      <c r="B1629" s="284">
        <v>67.0</v>
      </c>
      <c r="C1629" s="285" t="str">
        <f t="shared" si="1"/>
        <v>30 67</v>
      </c>
      <c r="D1629" s="285" t="s">
        <v>10284</v>
      </c>
    </row>
    <row r="1630">
      <c r="A1630" s="283">
        <v>30.0</v>
      </c>
      <c r="B1630" s="284">
        <v>69.0</v>
      </c>
      <c r="C1630" s="285" t="str">
        <f t="shared" si="1"/>
        <v>30 69</v>
      </c>
      <c r="D1630" s="285" t="s">
        <v>10285</v>
      </c>
    </row>
    <row r="1631">
      <c r="A1631" s="283">
        <v>30.0</v>
      </c>
      <c r="B1631" s="284">
        <v>71.0</v>
      </c>
      <c r="C1631" s="285" t="str">
        <f t="shared" si="1"/>
        <v>30 71</v>
      </c>
      <c r="D1631" s="285" t="s">
        <v>10286</v>
      </c>
    </row>
    <row r="1632">
      <c r="A1632" s="283">
        <v>30.0</v>
      </c>
      <c r="B1632" s="284">
        <v>73.0</v>
      </c>
      <c r="C1632" s="285" t="str">
        <f t="shared" si="1"/>
        <v>30 73</v>
      </c>
      <c r="D1632" s="285" t="s">
        <v>10287</v>
      </c>
    </row>
    <row r="1633">
      <c r="A1633" s="283">
        <v>30.0</v>
      </c>
      <c r="B1633" s="284">
        <v>75.0</v>
      </c>
      <c r="C1633" s="285" t="str">
        <f t="shared" si="1"/>
        <v>30 75</v>
      </c>
      <c r="D1633" s="285" t="s">
        <v>10288</v>
      </c>
    </row>
    <row r="1634">
      <c r="A1634" s="283">
        <v>30.0</v>
      </c>
      <c r="B1634" s="284">
        <v>77.0</v>
      </c>
      <c r="C1634" s="285" t="str">
        <f t="shared" si="1"/>
        <v>30 77</v>
      </c>
      <c r="D1634" s="285" t="s">
        <v>10289</v>
      </c>
    </row>
    <row r="1635">
      <c r="A1635" s="283">
        <v>30.0</v>
      </c>
      <c r="B1635" s="284">
        <v>79.0</v>
      </c>
      <c r="C1635" s="285" t="str">
        <f t="shared" si="1"/>
        <v>30 79</v>
      </c>
      <c r="D1635" s="285" t="s">
        <v>10290</v>
      </c>
    </row>
    <row r="1636">
      <c r="A1636" s="283">
        <v>30.0</v>
      </c>
      <c r="B1636" s="284">
        <v>81.0</v>
      </c>
      <c r="C1636" s="285" t="str">
        <f t="shared" si="1"/>
        <v>30 81</v>
      </c>
      <c r="D1636" s="285" t="s">
        <v>10291</v>
      </c>
    </row>
    <row r="1637">
      <c r="A1637" s="283">
        <v>30.0</v>
      </c>
      <c r="B1637" s="284">
        <v>83.0</v>
      </c>
      <c r="C1637" s="285" t="str">
        <f t="shared" si="1"/>
        <v>30 83</v>
      </c>
      <c r="D1637" s="285" t="s">
        <v>10292</v>
      </c>
    </row>
    <row r="1638">
      <c r="A1638" s="283">
        <v>30.0</v>
      </c>
      <c r="B1638" s="284">
        <v>85.0</v>
      </c>
      <c r="C1638" s="285" t="str">
        <f t="shared" si="1"/>
        <v>30 85</v>
      </c>
      <c r="D1638" s="285" t="s">
        <v>10293</v>
      </c>
    </row>
    <row r="1639">
      <c r="A1639" s="283">
        <v>30.0</v>
      </c>
      <c r="B1639" s="284">
        <v>87.0</v>
      </c>
      <c r="C1639" s="285" t="str">
        <f t="shared" si="1"/>
        <v>30 87</v>
      </c>
      <c r="D1639" s="285" t="s">
        <v>10294</v>
      </c>
    </row>
    <row r="1640">
      <c r="A1640" s="283">
        <v>30.0</v>
      </c>
      <c r="B1640" s="284">
        <v>89.0</v>
      </c>
      <c r="C1640" s="285" t="str">
        <f t="shared" si="1"/>
        <v>30 89</v>
      </c>
      <c r="D1640" s="285" t="s">
        <v>10295</v>
      </c>
    </row>
    <row r="1641">
      <c r="A1641" s="283">
        <v>30.0</v>
      </c>
      <c r="B1641" s="284">
        <v>91.0</v>
      </c>
      <c r="C1641" s="285" t="str">
        <f t="shared" si="1"/>
        <v>30 91</v>
      </c>
      <c r="D1641" s="285" t="s">
        <v>10296</v>
      </c>
    </row>
    <row r="1642">
      <c r="A1642" s="283">
        <v>30.0</v>
      </c>
      <c r="B1642" s="284">
        <v>93.0</v>
      </c>
      <c r="C1642" s="285" t="str">
        <f t="shared" si="1"/>
        <v>30 93</v>
      </c>
      <c r="D1642" s="285" t="s">
        <v>10297</v>
      </c>
    </row>
    <row r="1643">
      <c r="A1643" s="283">
        <v>30.0</v>
      </c>
      <c r="B1643" s="284">
        <v>95.0</v>
      </c>
      <c r="C1643" s="285" t="str">
        <f t="shared" si="1"/>
        <v>30 95</v>
      </c>
      <c r="D1643" s="285" t="s">
        <v>10298</v>
      </c>
    </row>
    <row r="1644">
      <c r="A1644" s="283">
        <v>30.0</v>
      </c>
      <c r="B1644" s="284">
        <v>97.0</v>
      </c>
      <c r="C1644" s="285" t="str">
        <f t="shared" si="1"/>
        <v>30 97</v>
      </c>
      <c r="D1644" s="285" t="s">
        <v>10299</v>
      </c>
    </row>
    <row r="1645">
      <c r="A1645" s="283">
        <v>30.0</v>
      </c>
      <c r="B1645" s="284">
        <v>99.0</v>
      </c>
      <c r="C1645" s="285" t="str">
        <f t="shared" si="1"/>
        <v>30 99</v>
      </c>
      <c r="D1645" s="285" t="s">
        <v>10300</v>
      </c>
    </row>
    <row r="1646">
      <c r="A1646" s="283">
        <v>30.0</v>
      </c>
      <c r="B1646" s="284">
        <v>101.0</v>
      </c>
      <c r="C1646" s="285" t="str">
        <f t="shared" si="1"/>
        <v>30 101</v>
      </c>
      <c r="D1646" s="285" t="s">
        <v>10301</v>
      </c>
    </row>
    <row r="1647">
      <c r="A1647" s="283">
        <v>30.0</v>
      </c>
      <c r="B1647" s="284">
        <v>103.0</v>
      </c>
      <c r="C1647" s="285" t="str">
        <f t="shared" si="1"/>
        <v>30 103</v>
      </c>
      <c r="D1647" s="285" t="s">
        <v>10302</v>
      </c>
    </row>
    <row r="1648">
      <c r="A1648" s="283">
        <v>30.0</v>
      </c>
      <c r="B1648" s="284">
        <v>105.0</v>
      </c>
      <c r="C1648" s="285" t="str">
        <f t="shared" si="1"/>
        <v>30 105</v>
      </c>
      <c r="D1648" s="285" t="s">
        <v>10303</v>
      </c>
    </row>
    <row r="1649">
      <c r="A1649" s="283">
        <v>30.0</v>
      </c>
      <c r="B1649" s="284">
        <v>107.0</v>
      </c>
      <c r="C1649" s="285" t="str">
        <f t="shared" si="1"/>
        <v>30 107</v>
      </c>
      <c r="D1649" s="285" t="s">
        <v>10304</v>
      </c>
    </row>
    <row r="1650">
      <c r="A1650" s="283">
        <v>30.0</v>
      </c>
      <c r="B1650" s="284">
        <v>109.0</v>
      </c>
      <c r="C1650" s="285" t="str">
        <f t="shared" si="1"/>
        <v>30 109</v>
      </c>
      <c r="D1650" s="285" t="s">
        <v>10305</v>
      </c>
    </row>
    <row r="1651">
      <c r="A1651" s="283">
        <v>30.0</v>
      </c>
      <c r="B1651" s="284">
        <v>111.0</v>
      </c>
      <c r="C1651" s="285" t="str">
        <f t="shared" si="1"/>
        <v>30 111</v>
      </c>
      <c r="D1651" s="285" t="s">
        <v>10306</v>
      </c>
    </row>
    <row r="1652">
      <c r="A1652" s="283">
        <v>31.0</v>
      </c>
      <c r="B1652" s="284">
        <v>1.0</v>
      </c>
      <c r="C1652" s="285" t="str">
        <f t="shared" si="1"/>
        <v>31 1</v>
      </c>
      <c r="D1652" s="285" t="s">
        <v>10307</v>
      </c>
    </row>
    <row r="1653">
      <c r="A1653" s="283">
        <v>31.0</v>
      </c>
      <c r="B1653" s="284">
        <v>3.0</v>
      </c>
      <c r="C1653" s="285" t="str">
        <f t="shared" si="1"/>
        <v>31 3</v>
      </c>
      <c r="D1653" s="285" t="s">
        <v>10308</v>
      </c>
    </row>
    <row r="1654">
      <c r="A1654" s="283">
        <v>31.0</v>
      </c>
      <c r="B1654" s="284">
        <v>5.0</v>
      </c>
      <c r="C1654" s="285" t="str">
        <f t="shared" si="1"/>
        <v>31 5</v>
      </c>
      <c r="D1654" s="285" t="s">
        <v>10309</v>
      </c>
    </row>
    <row r="1655">
      <c r="A1655" s="283">
        <v>31.0</v>
      </c>
      <c r="B1655" s="284">
        <v>7.0</v>
      </c>
      <c r="C1655" s="285" t="str">
        <f t="shared" si="1"/>
        <v>31 7</v>
      </c>
      <c r="D1655" s="285" t="s">
        <v>10310</v>
      </c>
    </row>
    <row r="1656">
      <c r="A1656" s="283">
        <v>31.0</v>
      </c>
      <c r="B1656" s="284">
        <v>9.0</v>
      </c>
      <c r="C1656" s="285" t="str">
        <f t="shared" si="1"/>
        <v>31 9</v>
      </c>
      <c r="D1656" s="285" t="s">
        <v>10311</v>
      </c>
    </row>
    <row r="1657">
      <c r="A1657" s="283">
        <v>31.0</v>
      </c>
      <c r="B1657" s="284">
        <v>11.0</v>
      </c>
      <c r="C1657" s="285" t="str">
        <f t="shared" si="1"/>
        <v>31 11</v>
      </c>
      <c r="D1657" s="285" t="s">
        <v>10312</v>
      </c>
    </row>
    <row r="1658">
      <c r="A1658" s="283">
        <v>31.0</v>
      </c>
      <c r="B1658" s="284">
        <v>13.0</v>
      </c>
      <c r="C1658" s="285" t="str">
        <f t="shared" si="1"/>
        <v>31 13</v>
      </c>
      <c r="D1658" s="285" t="s">
        <v>10313</v>
      </c>
    </row>
    <row r="1659">
      <c r="A1659" s="283">
        <v>31.0</v>
      </c>
      <c r="B1659" s="284">
        <v>15.0</v>
      </c>
      <c r="C1659" s="285" t="str">
        <f t="shared" si="1"/>
        <v>31 15</v>
      </c>
      <c r="D1659" s="285" t="s">
        <v>10314</v>
      </c>
    </row>
    <row r="1660">
      <c r="A1660" s="283">
        <v>31.0</v>
      </c>
      <c r="B1660" s="284">
        <v>17.0</v>
      </c>
      <c r="C1660" s="285" t="str">
        <f t="shared" si="1"/>
        <v>31 17</v>
      </c>
      <c r="D1660" s="285" t="s">
        <v>10315</v>
      </c>
    </row>
    <row r="1661">
      <c r="A1661" s="283">
        <v>31.0</v>
      </c>
      <c r="B1661" s="284">
        <v>19.0</v>
      </c>
      <c r="C1661" s="285" t="str">
        <f t="shared" si="1"/>
        <v>31 19</v>
      </c>
      <c r="D1661" s="285" t="s">
        <v>10316</v>
      </c>
    </row>
    <row r="1662">
      <c r="A1662" s="283">
        <v>31.0</v>
      </c>
      <c r="B1662" s="284">
        <v>21.0</v>
      </c>
      <c r="C1662" s="285" t="str">
        <f t="shared" si="1"/>
        <v>31 21</v>
      </c>
      <c r="D1662" s="285" t="s">
        <v>10317</v>
      </c>
    </row>
    <row r="1663">
      <c r="A1663" s="283">
        <v>31.0</v>
      </c>
      <c r="B1663" s="284">
        <v>23.0</v>
      </c>
      <c r="C1663" s="285" t="str">
        <f t="shared" si="1"/>
        <v>31 23</v>
      </c>
      <c r="D1663" s="285" t="s">
        <v>10318</v>
      </c>
    </row>
    <row r="1664">
      <c r="A1664" s="283">
        <v>31.0</v>
      </c>
      <c r="B1664" s="284">
        <v>25.0</v>
      </c>
      <c r="C1664" s="285" t="str">
        <f t="shared" si="1"/>
        <v>31 25</v>
      </c>
      <c r="D1664" s="285" t="s">
        <v>10319</v>
      </c>
    </row>
    <row r="1665">
      <c r="A1665" s="283">
        <v>31.0</v>
      </c>
      <c r="B1665" s="284">
        <v>27.0</v>
      </c>
      <c r="C1665" s="285" t="str">
        <f t="shared" si="1"/>
        <v>31 27</v>
      </c>
      <c r="D1665" s="285" t="s">
        <v>10320</v>
      </c>
    </row>
    <row r="1666">
      <c r="A1666" s="283">
        <v>31.0</v>
      </c>
      <c r="B1666" s="284">
        <v>29.0</v>
      </c>
      <c r="C1666" s="285" t="str">
        <f t="shared" si="1"/>
        <v>31 29</v>
      </c>
      <c r="D1666" s="285" t="s">
        <v>10321</v>
      </c>
    </row>
    <row r="1667">
      <c r="A1667" s="283">
        <v>31.0</v>
      </c>
      <c r="B1667" s="284">
        <v>31.0</v>
      </c>
      <c r="C1667" s="285" t="str">
        <f t="shared" si="1"/>
        <v>31 31</v>
      </c>
      <c r="D1667" s="285" t="s">
        <v>10322</v>
      </c>
    </row>
    <row r="1668">
      <c r="A1668" s="283">
        <v>31.0</v>
      </c>
      <c r="B1668" s="284">
        <v>33.0</v>
      </c>
      <c r="C1668" s="285" t="str">
        <f t="shared" si="1"/>
        <v>31 33</v>
      </c>
      <c r="D1668" s="285" t="s">
        <v>10323</v>
      </c>
    </row>
    <row r="1669">
      <c r="A1669" s="283">
        <v>31.0</v>
      </c>
      <c r="B1669" s="284">
        <v>35.0</v>
      </c>
      <c r="C1669" s="285" t="str">
        <f t="shared" si="1"/>
        <v>31 35</v>
      </c>
      <c r="D1669" s="285" t="s">
        <v>10324</v>
      </c>
    </row>
    <row r="1670">
      <c r="A1670" s="283">
        <v>31.0</v>
      </c>
      <c r="B1670" s="284">
        <v>37.0</v>
      </c>
      <c r="C1670" s="285" t="str">
        <f t="shared" si="1"/>
        <v>31 37</v>
      </c>
      <c r="D1670" s="285" t="s">
        <v>10325</v>
      </c>
    </row>
    <row r="1671">
      <c r="A1671" s="283">
        <v>31.0</v>
      </c>
      <c r="B1671" s="284">
        <v>39.0</v>
      </c>
      <c r="C1671" s="285" t="str">
        <f t="shared" si="1"/>
        <v>31 39</v>
      </c>
      <c r="D1671" s="285" t="s">
        <v>10326</v>
      </c>
    </row>
    <row r="1672">
      <c r="A1672" s="283">
        <v>31.0</v>
      </c>
      <c r="B1672" s="284">
        <v>41.0</v>
      </c>
      <c r="C1672" s="285" t="str">
        <f t="shared" si="1"/>
        <v>31 41</v>
      </c>
      <c r="D1672" s="285" t="s">
        <v>10327</v>
      </c>
    </row>
    <row r="1673">
      <c r="A1673" s="283">
        <v>31.0</v>
      </c>
      <c r="B1673" s="284">
        <v>43.0</v>
      </c>
      <c r="C1673" s="285" t="str">
        <f t="shared" si="1"/>
        <v>31 43</v>
      </c>
      <c r="D1673" s="285" t="s">
        <v>10328</v>
      </c>
    </row>
    <row r="1674">
      <c r="A1674" s="283">
        <v>31.0</v>
      </c>
      <c r="B1674" s="284">
        <v>45.0</v>
      </c>
      <c r="C1674" s="285" t="str">
        <f t="shared" si="1"/>
        <v>31 45</v>
      </c>
      <c r="D1674" s="285" t="s">
        <v>10329</v>
      </c>
    </row>
    <row r="1675">
      <c r="A1675" s="283">
        <v>31.0</v>
      </c>
      <c r="B1675" s="284">
        <v>47.0</v>
      </c>
      <c r="C1675" s="285" t="str">
        <f t="shared" si="1"/>
        <v>31 47</v>
      </c>
      <c r="D1675" s="285" t="s">
        <v>10330</v>
      </c>
    </row>
    <row r="1676">
      <c r="A1676" s="283">
        <v>31.0</v>
      </c>
      <c r="B1676" s="284">
        <v>49.0</v>
      </c>
      <c r="C1676" s="285" t="str">
        <f t="shared" si="1"/>
        <v>31 49</v>
      </c>
      <c r="D1676" s="285" t="s">
        <v>10331</v>
      </c>
    </row>
    <row r="1677">
      <c r="A1677" s="283">
        <v>31.0</v>
      </c>
      <c r="B1677" s="284">
        <v>51.0</v>
      </c>
      <c r="C1677" s="285" t="str">
        <f t="shared" si="1"/>
        <v>31 51</v>
      </c>
      <c r="D1677" s="285" t="s">
        <v>10332</v>
      </c>
    </row>
    <row r="1678">
      <c r="A1678" s="283">
        <v>31.0</v>
      </c>
      <c r="B1678" s="284">
        <v>53.0</v>
      </c>
      <c r="C1678" s="285" t="str">
        <f t="shared" si="1"/>
        <v>31 53</v>
      </c>
      <c r="D1678" s="285" t="s">
        <v>10333</v>
      </c>
    </row>
    <row r="1679">
      <c r="A1679" s="283">
        <v>31.0</v>
      </c>
      <c r="B1679" s="284">
        <v>55.0</v>
      </c>
      <c r="C1679" s="285" t="str">
        <f t="shared" si="1"/>
        <v>31 55</v>
      </c>
      <c r="D1679" s="285" t="s">
        <v>10334</v>
      </c>
    </row>
    <row r="1680">
      <c r="A1680" s="283">
        <v>31.0</v>
      </c>
      <c r="B1680" s="284">
        <v>57.0</v>
      </c>
      <c r="C1680" s="285" t="str">
        <f t="shared" si="1"/>
        <v>31 57</v>
      </c>
      <c r="D1680" s="285" t="s">
        <v>10335</v>
      </c>
    </row>
    <row r="1681">
      <c r="A1681" s="283">
        <v>31.0</v>
      </c>
      <c r="B1681" s="284">
        <v>59.0</v>
      </c>
      <c r="C1681" s="285" t="str">
        <f t="shared" si="1"/>
        <v>31 59</v>
      </c>
      <c r="D1681" s="285" t="s">
        <v>10336</v>
      </c>
    </row>
    <row r="1682">
      <c r="A1682" s="283">
        <v>31.0</v>
      </c>
      <c r="B1682" s="284">
        <v>61.0</v>
      </c>
      <c r="C1682" s="285" t="str">
        <f t="shared" si="1"/>
        <v>31 61</v>
      </c>
      <c r="D1682" s="285" t="s">
        <v>10337</v>
      </c>
    </row>
    <row r="1683">
      <c r="A1683" s="283">
        <v>31.0</v>
      </c>
      <c r="B1683" s="284">
        <v>63.0</v>
      </c>
      <c r="C1683" s="285" t="str">
        <f t="shared" si="1"/>
        <v>31 63</v>
      </c>
      <c r="D1683" s="285" t="s">
        <v>10338</v>
      </c>
    </row>
    <row r="1684">
      <c r="A1684" s="283">
        <v>31.0</v>
      </c>
      <c r="B1684" s="284">
        <v>65.0</v>
      </c>
      <c r="C1684" s="285" t="str">
        <f t="shared" si="1"/>
        <v>31 65</v>
      </c>
      <c r="D1684" s="285" t="s">
        <v>10339</v>
      </c>
    </row>
    <row r="1685">
      <c r="A1685" s="283">
        <v>31.0</v>
      </c>
      <c r="B1685" s="284">
        <v>67.0</v>
      </c>
      <c r="C1685" s="285" t="str">
        <f t="shared" si="1"/>
        <v>31 67</v>
      </c>
      <c r="D1685" s="285" t="s">
        <v>10340</v>
      </c>
    </row>
    <row r="1686">
      <c r="A1686" s="283">
        <v>31.0</v>
      </c>
      <c r="B1686" s="284">
        <v>69.0</v>
      </c>
      <c r="C1686" s="285" t="str">
        <f t="shared" si="1"/>
        <v>31 69</v>
      </c>
      <c r="D1686" s="285" t="s">
        <v>10341</v>
      </c>
    </row>
    <row r="1687">
      <c r="A1687" s="283">
        <v>31.0</v>
      </c>
      <c r="B1687" s="284">
        <v>71.0</v>
      </c>
      <c r="C1687" s="285" t="str">
        <f t="shared" si="1"/>
        <v>31 71</v>
      </c>
      <c r="D1687" s="285" t="s">
        <v>10342</v>
      </c>
    </row>
    <row r="1688">
      <c r="A1688" s="283">
        <v>31.0</v>
      </c>
      <c r="B1688" s="284">
        <v>73.0</v>
      </c>
      <c r="C1688" s="285" t="str">
        <f t="shared" si="1"/>
        <v>31 73</v>
      </c>
      <c r="D1688" s="285" t="s">
        <v>10343</v>
      </c>
    </row>
    <row r="1689">
      <c r="A1689" s="283">
        <v>31.0</v>
      </c>
      <c r="B1689" s="284">
        <v>75.0</v>
      </c>
      <c r="C1689" s="285" t="str">
        <f t="shared" si="1"/>
        <v>31 75</v>
      </c>
      <c r="D1689" s="285" t="s">
        <v>10344</v>
      </c>
    </row>
    <row r="1690">
      <c r="A1690" s="283">
        <v>31.0</v>
      </c>
      <c r="B1690" s="284">
        <v>77.0</v>
      </c>
      <c r="C1690" s="285" t="str">
        <f t="shared" si="1"/>
        <v>31 77</v>
      </c>
      <c r="D1690" s="285" t="s">
        <v>10345</v>
      </c>
    </row>
    <row r="1691">
      <c r="A1691" s="283">
        <v>31.0</v>
      </c>
      <c r="B1691" s="284">
        <v>79.0</v>
      </c>
      <c r="C1691" s="285" t="str">
        <f t="shared" si="1"/>
        <v>31 79</v>
      </c>
      <c r="D1691" s="285" t="s">
        <v>10346</v>
      </c>
    </row>
    <row r="1692">
      <c r="A1692" s="283">
        <v>31.0</v>
      </c>
      <c r="B1692" s="284">
        <v>81.0</v>
      </c>
      <c r="C1692" s="285" t="str">
        <f t="shared" si="1"/>
        <v>31 81</v>
      </c>
      <c r="D1692" s="285" t="s">
        <v>10347</v>
      </c>
    </row>
    <row r="1693">
      <c r="A1693" s="283">
        <v>31.0</v>
      </c>
      <c r="B1693" s="284">
        <v>83.0</v>
      </c>
      <c r="C1693" s="285" t="str">
        <f t="shared" si="1"/>
        <v>31 83</v>
      </c>
      <c r="D1693" s="285" t="s">
        <v>10348</v>
      </c>
    </row>
    <row r="1694">
      <c r="A1694" s="283">
        <v>31.0</v>
      </c>
      <c r="B1694" s="284">
        <v>85.0</v>
      </c>
      <c r="C1694" s="285" t="str">
        <f t="shared" si="1"/>
        <v>31 85</v>
      </c>
      <c r="D1694" s="285" t="s">
        <v>10349</v>
      </c>
    </row>
    <row r="1695">
      <c r="A1695" s="283">
        <v>31.0</v>
      </c>
      <c r="B1695" s="284">
        <v>87.0</v>
      </c>
      <c r="C1695" s="285" t="str">
        <f t="shared" si="1"/>
        <v>31 87</v>
      </c>
      <c r="D1695" s="285" t="s">
        <v>10350</v>
      </c>
    </row>
    <row r="1696">
      <c r="A1696" s="283">
        <v>31.0</v>
      </c>
      <c r="B1696" s="284">
        <v>89.0</v>
      </c>
      <c r="C1696" s="285" t="str">
        <f t="shared" si="1"/>
        <v>31 89</v>
      </c>
      <c r="D1696" s="285" t="s">
        <v>10351</v>
      </c>
    </row>
    <row r="1697">
      <c r="A1697" s="283">
        <v>31.0</v>
      </c>
      <c r="B1697" s="284">
        <v>91.0</v>
      </c>
      <c r="C1697" s="285" t="str">
        <f t="shared" si="1"/>
        <v>31 91</v>
      </c>
      <c r="D1697" s="285" t="s">
        <v>10352</v>
      </c>
    </row>
    <row r="1698">
      <c r="A1698" s="283">
        <v>31.0</v>
      </c>
      <c r="B1698" s="284">
        <v>93.0</v>
      </c>
      <c r="C1698" s="285" t="str">
        <f t="shared" si="1"/>
        <v>31 93</v>
      </c>
      <c r="D1698" s="285" t="s">
        <v>10353</v>
      </c>
    </row>
    <row r="1699">
      <c r="A1699" s="283">
        <v>31.0</v>
      </c>
      <c r="B1699" s="284">
        <v>95.0</v>
      </c>
      <c r="C1699" s="285" t="str">
        <f t="shared" si="1"/>
        <v>31 95</v>
      </c>
      <c r="D1699" s="285" t="s">
        <v>10354</v>
      </c>
    </row>
    <row r="1700">
      <c r="A1700" s="283">
        <v>31.0</v>
      </c>
      <c r="B1700" s="284">
        <v>97.0</v>
      </c>
      <c r="C1700" s="285" t="str">
        <f t="shared" si="1"/>
        <v>31 97</v>
      </c>
      <c r="D1700" s="285" t="s">
        <v>10355</v>
      </c>
    </row>
    <row r="1701">
      <c r="A1701" s="283">
        <v>31.0</v>
      </c>
      <c r="B1701" s="284">
        <v>99.0</v>
      </c>
      <c r="C1701" s="285" t="str">
        <f t="shared" si="1"/>
        <v>31 99</v>
      </c>
      <c r="D1701" s="285" t="s">
        <v>10356</v>
      </c>
    </row>
    <row r="1702">
      <c r="A1702" s="283">
        <v>31.0</v>
      </c>
      <c r="B1702" s="284">
        <v>101.0</v>
      </c>
      <c r="C1702" s="285" t="str">
        <f t="shared" si="1"/>
        <v>31 101</v>
      </c>
      <c r="D1702" s="285" t="s">
        <v>10357</v>
      </c>
    </row>
    <row r="1703">
      <c r="A1703" s="283">
        <v>31.0</v>
      </c>
      <c r="B1703" s="284">
        <v>103.0</v>
      </c>
      <c r="C1703" s="285" t="str">
        <f t="shared" si="1"/>
        <v>31 103</v>
      </c>
      <c r="D1703" s="285" t="s">
        <v>10358</v>
      </c>
    </row>
    <row r="1704">
      <c r="A1704" s="283">
        <v>31.0</v>
      </c>
      <c r="B1704" s="284">
        <v>105.0</v>
      </c>
      <c r="C1704" s="285" t="str">
        <f t="shared" si="1"/>
        <v>31 105</v>
      </c>
      <c r="D1704" s="285" t="s">
        <v>10359</v>
      </c>
    </row>
    <row r="1705">
      <c r="A1705" s="283">
        <v>31.0</v>
      </c>
      <c r="B1705" s="284">
        <v>107.0</v>
      </c>
      <c r="C1705" s="285" t="str">
        <f t="shared" si="1"/>
        <v>31 107</v>
      </c>
      <c r="D1705" s="285" t="s">
        <v>10360</v>
      </c>
    </row>
    <row r="1706">
      <c r="A1706" s="283">
        <v>31.0</v>
      </c>
      <c r="B1706" s="284">
        <v>109.0</v>
      </c>
      <c r="C1706" s="285" t="str">
        <f t="shared" si="1"/>
        <v>31 109</v>
      </c>
      <c r="D1706" s="285" t="s">
        <v>10361</v>
      </c>
    </row>
    <row r="1707">
      <c r="A1707" s="283">
        <v>31.0</v>
      </c>
      <c r="B1707" s="284">
        <v>111.0</v>
      </c>
      <c r="C1707" s="285" t="str">
        <f t="shared" si="1"/>
        <v>31 111</v>
      </c>
      <c r="D1707" s="285" t="s">
        <v>10362</v>
      </c>
    </row>
    <row r="1708">
      <c r="A1708" s="283">
        <v>31.0</v>
      </c>
      <c r="B1708" s="284">
        <v>113.0</v>
      </c>
      <c r="C1708" s="285" t="str">
        <f t="shared" si="1"/>
        <v>31 113</v>
      </c>
      <c r="D1708" s="285" t="s">
        <v>10363</v>
      </c>
    </row>
    <row r="1709">
      <c r="A1709" s="283">
        <v>31.0</v>
      </c>
      <c r="B1709" s="284">
        <v>115.0</v>
      </c>
      <c r="C1709" s="285" t="str">
        <f t="shared" si="1"/>
        <v>31 115</v>
      </c>
      <c r="D1709" s="285" t="s">
        <v>10364</v>
      </c>
    </row>
    <row r="1710">
      <c r="A1710" s="283">
        <v>31.0</v>
      </c>
      <c r="B1710" s="284">
        <v>117.0</v>
      </c>
      <c r="C1710" s="285" t="str">
        <f t="shared" si="1"/>
        <v>31 117</v>
      </c>
      <c r="D1710" s="285" t="s">
        <v>10365</v>
      </c>
    </row>
    <row r="1711">
      <c r="A1711" s="283">
        <v>31.0</v>
      </c>
      <c r="B1711" s="284">
        <v>119.0</v>
      </c>
      <c r="C1711" s="285" t="str">
        <f t="shared" si="1"/>
        <v>31 119</v>
      </c>
      <c r="D1711" s="285" t="s">
        <v>10366</v>
      </c>
    </row>
    <row r="1712">
      <c r="A1712" s="283">
        <v>31.0</v>
      </c>
      <c r="B1712" s="284">
        <v>121.0</v>
      </c>
      <c r="C1712" s="285" t="str">
        <f t="shared" si="1"/>
        <v>31 121</v>
      </c>
      <c r="D1712" s="285" t="s">
        <v>10367</v>
      </c>
    </row>
    <row r="1713">
      <c r="A1713" s="283">
        <v>31.0</v>
      </c>
      <c r="B1713" s="284">
        <v>123.0</v>
      </c>
      <c r="C1713" s="285" t="str">
        <f t="shared" si="1"/>
        <v>31 123</v>
      </c>
      <c r="D1713" s="285" t="s">
        <v>10368</v>
      </c>
    </row>
    <row r="1714">
      <c r="A1714" s="283">
        <v>31.0</v>
      </c>
      <c r="B1714" s="284">
        <v>125.0</v>
      </c>
      <c r="C1714" s="285" t="str">
        <f t="shared" si="1"/>
        <v>31 125</v>
      </c>
      <c r="D1714" s="285" t="s">
        <v>10369</v>
      </c>
    </row>
    <row r="1715">
      <c r="A1715" s="283">
        <v>31.0</v>
      </c>
      <c r="B1715" s="284">
        <v>127.0</v>
      </c>
      <c r="C1715" s="285" t="str">
        <f t="shared" si="1"/>
        <v>31 127</v>
      </c>
      <c r="D1715" s="285" t="s">
        <v>10370</v>
      </c>
    </row>
    <row r="1716">
      <c r="A1716" s="283">
        <v>31.0</v>
      </c>
      <c r="B1716" s="284">
        <v>129.0</v>
      </c>
      <c r="C1716" s="285" t="str">
        <f t="shared" si="1"/>
        <v>31 129</v>
      </c>
      <c r="D1716" s="285" t="s">
        <v>10371</v>
      </c>
    </row>
    <row r="1717">
      <c r="A1717" s="283">
        <v>31.0</v>
      </c>
      <c r="B1717" s="284">
        <v>131.0</v>
      </c>
      <c r="C1717" s="285" t="str">
        <f t="shared" si="1"/>
        <v>31 131</v>
      </c>
      <c r="D1717" s="285" t="s">
        <v>10372</v>
      </c>
    </row>
    <row r="1718">
      <c r="A1718" s="283">
        <v>31.0</v>
      </c>
      <c r="B1718" s="284">
        <v>133.0</v>
      </c>
      <c r="C1718" s="285" t="str">
        <f t="shared" si="1"/>
        <v>31 133</v>
      </c>
      <c r="D1718" s="285" t="s">
        <v>10373</v>
      </c>
    </row>
    <row r="1719">
      <c r="A1719" s="283">
        <v>31.0</v>
      </c>
      <c r="B1719" s="284">
        <v>135.0</v>
      </c>
      <c r="C1719" s="285" t="str">
        <f t="shared" si="1"/>
        <v>31 135</v>
      </c>
      <c r="D1719" s="285" t="s">
        <v>10374</v>
      </c>
    </row>
    <row r="1720">
      <c r="A1720" s="283">
        <v>31.0</v>
      </c>
      <c r="B1720" s="284">
        <v>137.0</v>
      </c>
      <c r="C1720" s="285" t="str">
        <f t="shared" si="1"/>
        <v>31 137</v>
      </c>
      <c r="D1720" s="285" t="s">
        <v>10375</v>
      </c>
    </row>
    <row r="1721">
      <c r="A1721" s="283">
        <v>31.0</v>
      </c>
      <c r="B1721" s="284">
        <v>139.0</v>
      </c>
      <c r="C1721" s="285" t="str">
        <f t="shared" si="1"/>
        <v>31 139</v>
      </c>
      <c r="D1721" s="285" t="s">
        <v>10376</v>
      </c>
    </row>
    <row r="1722">
      <c r="A1722" s="283">
        <v>31.0</v>
      </c>
      <c r="B1722" s="284">
        <v>141.0</v>
      </c>
      <c r="C1722" s="285" t="str">
        <f t="shared" si="1"/>
        <v>31 141</v>
      </c>
      <c r="D1722" s="285" t="s">
        <v>10377</v>
      </c>
    </row>
    <row r="1723">
      <c r="A1723" s="283">
        <v>31.0</v>
      </c>
      <c r="B1723" s="284">
        <v>143.0</v>
      </c>
      <c r="C1723" s="285" t="str">
        <f t="shared" si="1"/>
        <v>31 143</v>
      </c>
      <c r="D1723" s="285" t="s">
        <v>10378</v>
      </c>
    </row>
    <row r="1724">
      <c r="A1724" s="283">
        <v>31.0</v>
      </c>
      <c r="B1724" s="284">
        <v>145.0</v>
      </c>
      <c r="C1724" s="285" t="str">
        <f t="shared" si="1"/>
        <v>31 145</v>
      </c>
      <c r="D1724" s="285" t="s">
        <v>10379</v>
      </c>
    </row>
    <row r="1725">
      <c r="A1725" s="283">
        <v>31.0</v>
      </c>
      <c r="B1725" s="284">
        <v>147.0</v>
      </c>
      <c r="C1725" s="285" t="str">
        <f t="shared" si="1"/>
        <v>31 147</v>
      </c>
      <c r="D1725" s="285" t="s">
        <v>10380</v>
      </c>
    </row>
    <row r="1726">
      <c r="A1726" s="283">
        <v>31.0</v>
      </c>
      <c r="B1726" s="284">
        <v>149.0</v>
      </c>
      <c r="C1726" s="285" t="str">
        <f t="shared" si="1"/>
        <v>31 149</v>
      </c>
      <c r="D1726" s="285" t="s">
        <v>10381</v>
      </c>
    </row>
    <row r="1727">
      <c r="A1727" s="283">
        <v>31.0</v>
      </c>
      <c r="B1727" s="284">
        <v>151.0</v>
      </c>
      <c r="C1727" s="285" t="str">
        <f t="shared" si="1"/>
        <v>31 151</v>
      </c>
      <c r="D1727" s="285" t="s">
        <v>10382</v>
      </c>
    </row>
    <row r="1728">
      <c r="A1728" s="283">
        <v>31.0</v>
      </c>
      <c r="B1728" s="284">
        <v>153.0</v>
      </c>
      <c r="C1728" s="285" t="str">
        <f t="shared" si="1"/>
        <v>31 153</v>
      </c>
      <c r="D1728" s="285" t="s">
        <v>10383</v>
      </c>
    </row>
    <row r="1729">
      <c r="A1729" s="283">
        <v>31.0</v>
      </c>
      <c r="B1729" s="284">
        <v>155.0</v>
      </c>
      <c r="C1729" s="285" t="str">
        <f t="shared" si="1"/>
        <v>31 155</v>
      </c>
      <c r="D1729" s="285" t="s">
        <v>10384</v>
      </c>
    </row>
    <row r="1730">
      <c r="A1730" s="283">
        <v>31.0</v>
      </c>
      <c r="B1730" s="284">
        <v>157.0</v>
      </c>
      <c r="C1730" s="285" t="str">
        <f t="shared" si="1"/>
        <v>31 157</v>
      </c>
      <c r="D1730" s="285" t="s">
        <v>10385</v>
      </c>
    </row>
    <row r="1731">
      <c r="A1731" s="283">
        <v>31.0</v>
      </c>
      <c r="B1731" s="284">
        <v>159.0</v>
      </c>
      <c r="C1731" s="285" t="str">
        <f t="shared" si="1"/>
        <v>31 159</v>
      </c>
      <c r="D1731" s="285" t="s">
        <v>10386</v>
      </c>
    </row>
    <row r="1732">
      <c r="A1732" s="283">
        <v>31.0</v>
      </c>
      <c r="B1732" s="284">
        <v>161.0</v>
      </c>
      <c r="C1732" s="285" t="str">
        <f t="shared" si="1"/>
        <v>31 161</v>
      </c>
      <c r="D1732" s="285" t="s">
        <v>10387</v>
      </c>
    </row>
    <row r="1733">
      <c r="A1733" s="283">
        <v>31.0</v>
      </c>
      <c r="B1733" s="284">
        <v>163.0</v>
      </c>
      <c r="C1733" s="285" t="str">
        <f t="shared" si="1"/>
        <v>31 163</v>
      </c>
      <c r="D1733" s="285" t="s">
        <v>10388</v>
      </c>
    </row>
    <row r="1734">
      <c r="A1734" s="283">
        <v>31.0</v>
      </c>
      <c r="B1734" s="284">
        <v>165.0</v>
      </c>
      <c r="C1734" s="285" t="str">
        <f t="shared" si="1"/>
        <v>31 165</v>
      </c>
      <c r="D1734" s="285" t="s">
        <v>10389</v>
      </c>
    </row>
    <row r="1735">
      <c r="A1735" s="283">
        <v>31.0</v>
      </c>
      <c r="B1735" s="284">
        <v>167.0</v>
      </c>
      <c r="C1735" s="285" t="str">
        <f t="shared" si="1"/>
        <v>31 167</v>
      </c>
      <c r="D1735" s="285" t="s">
        <v>10390</v>
      </c>
    </row>
    <row r="1736">
      <c r="A1736" s="283">
        <v>31.0</v>
      </c>
      <c r="B1736" s="284">
        <v>169.0</v>
      </c>
      <c r="C1736" s="285" t="str">
        <f t="shared" si="1"/>
        <v>31 169</v>
      </c>
      <c r="D1736" s="285" t="s">
        <v>10391</v>
      </c>
    </row>
    <row r="1737">
      <c r="A1737" s="283">
        <v>31.0</v>
      </c>
      <c r="B1737" s="284">
        <v>171.0</v>
      </c>
      <c r="C1737" s="285" t="str">
        <f t="shared" si="1"/>
        <v>31 171</v>
      </c>
      <c r="D1737" s="285" t="s">
        <v>10392</v>
      </c>
    </row>
    <row r="1738">
      <c r="A1738" s="283">
        <v>31.0</v>
      </c>
      <c r="B1738" s="284">
        <v>173.0</v>
      </c>
      <c r="C1738" s="285" t="str">
        <f t="shared" si="1"/>
        <v>31 173</v>
      </c>
      <c r="D1738" s="285" t="s">
        <v>10393</v>
      </c>
    </row>
    <row r="1739">
      <c r="A1739" s="283">
        <v>31.0</v>
      </c>
      <c r="B1739" s="284">
        <v>175.0</v>
      </c>
      <c r="C1739" s="285" t="str">
        <f t="shared" si="1"/>
        <v>31 175</v>
      </c>
      <c r="D1739" s="285" t="s">
        <v>10394</v>
      </c>
    </row>
    <row r="1740">
      <c r="A1740" s="283">
        <v>31.0</v>
      </c>
      <c r="B1740" s="284">
        <v>177.0</v>
      </c>
      <c r="C1740" s="285" t="str">
        <f t="shared" si="1"/>
        <v>31 177</v>
      </c>
      <c r="D1740" s="285" t="s">
        <v>10395</v>
      </c>
    </row>
    <row r="1741">
      <c r="A1741" s="283">
        <v>31.0</v>
      </c>
      <c r="B1741" s="284">
        <v>179.0</v>
      </c>
      <c r="C1741" s="285" t="str">
        <f t="shared" si="1"/>
        <v>31 179</v>
      </c>
      <c r="D1741" s="285" t="s">
        <v>10396</v>
      </c>
    </row>
    <row r="1742">
      <c r="A1742" s="283">
        <v>31.0</v>
      </c>
      <c r="B1742" s="284">
        <v>181.0</v>
      </c>
      <c r="C1742" s="285" t="str">
        <f t="shared" si="1"/>
        <v>31 181</v>
      </c>
      <c r="D1742" s="285" t="s">
        <v>10397</v>
      </c>
    </row>
    <row r="1743">
      <c r="A1743" s="283">
        <v>31.0</v>
      </c>
      <c r="B1743" s="284">
        <v>183.0</v>
      </c>
      <c r="C1743" s="285" t="str">
        <f t="shared" si="1"/>
        <v>31 183</v>
      </c>
      <c r="D1743" s="285" t="s">
        <v>10398</v>
      </c>
    </row>
    <row r="1744">
      <c r="A1744" s="283">
        <v>31.0</v>
      </c>
      <c r="B1744" s="284">
        <v>185.0</v>
      </c>
      <c r="C1744" s="285" t="str">
        <f t="shared" si="1"/>
        <v>31 185</v>
      </c>
      <c r="D1744" s="285" t="s">
        <v>10399</v>
      </c>
    </row>
    <row r="1745">
      <c r="A1745" s="283">
        <v>32.0</v>
      </c>
      <c r="B1745" s="284">
        <v>1.0</v>
      </c>
      <c r="C1745" s="285" t="str">
        <f t="shared" si="1"/>
        <v>32 1</v>
      </c>
      <c r="D1745" s="285" t="s">
        <v>10400</v>
      </c>
    </row>
    <row r="1746">
      <c r="A1746" s="283">
        <v>32.0</v>
      </c>
      <c r="B1746" s="284">
        <v>3.0</v>
      </c>
      <c r="C1746" s="285" t="str">
        <f t="shared" si="1"/>
        <v>32 3</v>
      </c>
      <c r="D1746" s="285" t="s">
        <v>10401</v>
      </c>
    </row>
    <row r="1747">
      <c r="A1747" s="283">
        <v>32.0</v>
      </c>
      <c r="B1747" s="284">
        <v>5.0</v>
      </c>
      <c r="C1747" s="285" t="str">
        <f t="shared" si="1"/>
        <v>32 5</v>
      </c>
      <c r="D1747" s="285" t="s">
        <v>10402</v>
      </c>
    </row>
    <row r="1748">
      <c r="A1748" s="283">
        <v>32.0</v>
      </c>
      <c r="B1748" s="284">
        <v>7.0</v>
      </c>
      <c r="C1748" s="285" t="str">
        <f t="shared" si="1"/>
        <v>32 7</v>
      </c>
      <c r="D1748" s="285" t="s">
        <v>10403</v>
      </c>
    </row>
    <row r="1749">
      <c r="A1749" s="283">
        <v>32.0</v>
      </c>
      <c r="B1749" s="284">
        <v>9.0</v>
      </c>
      <c r="C1749" s="285" t="str">
        <f t="shared" si="1"/>
        <v>32 9</v>
      </c>
      <c r="D1749" s="285" t="s">
        <v>10404</v>
      </c>
    </row>
    <row r="1750">
      <c r="A1750" s="283">
        <v>32.0</v>
      </c>
      <c r="B1750" s="284">
        <v>11.0</v>
      </c>
      <c r="C1750" s="285" t="str">
        <f t="shared" si="1"/>
        <v>32 11</v>
      </c>
      <c r="D1750" s="285" t="s">
        <v>10405</v>
      </c>
    </row>
    <row r="1751">
      <c r="A1751" s="283">
        <v>32.0</v>
      </c>
      <c r="B1751" s="284">
        <v>13.0</v>
      </c>
      <c r="C1751" s="285" t="str">
        <f t="shared" si="1"/>
        <v>32 13</v>
      </c>
      <c r="D1751" s="285" t="s">
        <v>10406</v>
      </c>
    </row>
    <row r="1752">
      <c r="A1752" s="283">
        <v>32.0</v>
      </c>
      <c r="B1752" s="284">
        <v>15.0</v>
      </c>
      <c r="C1752" s="285" t="str">
        <f t="shared" si="1"/>
        <v>32 15</v>
      </c>
      <c r="D1752" s="285" t="s">
        <v>10407</v>
      </c>
    </row>
    <row r="1753">
      <c r="A1753" s="283">
        <v>32.0</v>
      </c>
      <c r="B1753" s="284">
        <v>17.0</v>
      </c>
      <c r="C1753" s="285" t="str">
        <f t="shared" si="1"/>
        <v>32 17</v>
      </c>
      <c r="D1753" s="285" t="s">
        <v>10408</v>
      </c>
    </row>
    <row r="1754">
      <c r="A1754" s="283">
        <v>32.0</v>
      </c>
      <c r="B1754" s="284">
        <v>19.0</v>
      </c>
      <c r="C1754" s="285" t="str">
        <f t="shared" si="1"/>
        <v>32 19</v>
      </c>
      <c r="D1754" s="285" t="s">
        <v>10409</v>
      </c>
    </row>
    <row r="1755">
      <c r="A1755" s="283">
        <v>32.0</v>
      </c>
      <c r="B1755" s="284">
        <v>21.0</v>
      </c>
      <c r="C1755" s="285" t="str">
        <f t="shared" si="1"/>
        <v>32 21</v>
      </c>
      <c r="D1755" s="285" t="s">
        <v>10410</v>
      </c>
    </row>
    <row r="1756">
      <c r="A1756" s="283">
        <v>32.0</v>
      </c>
      <c r="B1756" s="284">
        <v>23.0</v>
      </c>
      <c r="C1756" s="285" t="str">
        <f t="shared" si="1"/>
        <v>32 23</v>
      </c>
      <c r="D1756" s="285" t="s">
        <v>10411</v>
      </c>
    </row>
    <row r="1757">
      <c r="A1757" s="283">
        <v>32.0</v>
      </c>
      <c r="B1757" s="284">
        <v>27.0</v>
      </c>
      <c r="C1757" s="285" t="str">
        <f t="shared" si="1"/>
        <v>32 27</v>
      </c>
      <c r="D1757" s="285" t="s">
        <v>10412</v>
      </c>
    </row>
    <row r="1758">
      <c r="A1758" s="283">
        <v>32.0</v>
      </c>
      <c r="B1758" s="284">
        <v>29.0</v>
      </c>
      <c r="C1758" s="285" t="str">
        <f t="shared" si="1"/>
        <v>32 29</v>
      </c>
      <c r="D1758" s="285" t="s">
        <v>10413</v>
      </c>
    </row>
    <row r="1759">
      <c r="A1759" s="283">
        <v>32.0</v>
      </c>
      <c r="B1759" s="284">
        <v>31.0</v>
      </c>
      <c r="C1759" s="285" t="str">
        <f t="shared" si="1"/>
        <v>32 31</v>
      </c>
      <c r="D1759" s="285" t="s">
        <v>10414</v>
      </c>
    </row>
    <row r="1760">
      <c r="A1760" s="283">
        <v>32.0</v>
      </c>
      <c r="B1760" s="284">
        <v>33.0</v>
      </c>
      <c r="C1760" s="285" t="str">
        <f t="shared" si="1"/>
        <v>32 33</v>
      </c>
      <c r="D1760" s="285" t="s">
        <v>10415</v>
      </c>
    </row>
    <row r="1761">
      <c r="A1761" s="283">
        <v>32.0</v>
      </c>
      <c r="B1761" s="284">
        <v>510.0</v>
      </c>
      <c r="C1761" s="285" t="str">
        <f t="shared" si="1"/>
        <v>32 510</v>
      </c>
      <c r="D1761" s="285" t="s">
        <v>10416</v>
      </c>
    </row>
    <row r="1762">
      <c r="A1762" s="283">
        <v>33.0</v>
      </c>
      <c r="B1762" s="284">
        <v>1.0</v>
      </c>
      <c r="C1762" s="285" t="str">
        <f t="shared" si="1"/>
        <v>33 1</v>
      </c>
      <c r="D1762" s="285" t="s">
        <v>10417</v>
      </c>
    </row>
    <row r="1763">
      <c r="A1763" s="283">
        <v>33.0</v>
      </c>
      <c r="B1763" s="284">
        <v>3.0</v>
      </c>
      <c r="C1763" s="285" t="str">
        <f t="shared" si="1"/>
        <v>33 3</v>
      </c>
      <c r="D1763" s="285" t="s">
        <v>10418</v>
      </c>
    </row>
    <row r="1764">
      <c r="A1764" s="283">
        <v>33.0</v>
      </c>
      <c r="B1764" s="284">
        <v>5.0</v>
      </c>
      <c r="C1764" s="285" t="str">
        <f t="shared" si="1"/>
        <v>33 5</v>
      </c>
      <c r="D1764" s="285" t="s">
        <v>10419</v>
      </c>
    </row>
    <row r="1765">
      <c r="A1765" s="283">
        <v>33.0</v>
      </c>
      <c r="B1765" s="284">
        <v>7.0</v>
      </c>
      <c r="C1765" s="285" t="str">
        <f t="shared" si="1"/>
        <v>33 7</v>
      </c>
      <c r="D1765" s="285" t="s">
        <v>10420</v>
      </c>
    </row>
    <row r="1766">
      <c r="A1766" s="283">
        <v>33.0</v>
      </c>
      <c r="B1766" s="284">
        <v>9.0</v>
      </c>
      <c r="C1766" s="285" t="str">
        <f t="shared" si="1"/>
        <v>33 9</v>
      </c>
      <c r="D1766" s="285" t="s">
        <v>10421</v>
      </c>
    </row>
    <row r="1767">
      <c r="A1767" s="283">
        <v>33.0</v>
      </c>
      <c r="B1767" s="284">
        <v>11.0</v>
      </c>
      <c r="C1767" s="285" t="str">
        <f t="shared" si="1"/>
        <v>33 11</v>
      </c>
      <c r="D1767" s="285" t="s">
        <v>10422</v>
      </c>
    </row>
    <row r="1768">
      <c r="A1768" s="283">
        <v>33.0</v>
      </c>
      <c r="B1768" s="284">
        <v>13.0</v>
      </c>
      <c r="C1768" s="285" t="str">
        <f t="shared" si="1"/>
        <v>33 13</v>
      </c>
      <c r="D1768" s="285" t="s">
        <v>10423</v>
      </c>
    </row>
    <row r="1769">
      <c r="A1769" s="283">
        <v>33.0</v>
      </c>
      <c r="B1769" s="284">
        <v>15.0</v>
      </c>
      <c r="C1769" s="285" t="str">
        <f t="shared" si="1"/>
        <v>33 15</v>
      </c>
      <c r="D1769" s="285" t="s">
        <v>10424</v>
      </c>
    </row>
    <row r="1770">
      <c r="A1770" s="283">
        <v>33.0</v>
      </c>
      <c r="B1770" s="284">
        <v>17.0</v>
      </c>
      <c r="C1770" s="285" t="str">
        <f t="shared" si="1"/>
        <v>33 17</v>
      </c>
      <c r="D1770" s="285" t="s">
        <v>10425</v>
      </c>
    </row>
    <row r="1771">
      <c r="A1771" s="283">
        <v>33.0</v>
      </c>
      <c r="B1771" s="284">
        <v>19.0</v>
      </c>
      <c r="C1771" s="285" t="str">
        <f t="shared" si="1"/>
        <v>33 19</v>
      </c>
      <c r="D1771" s="285" t="s">
        <v>10426</v>
      </c>
    </row>
    <row r="1772">
      <c r="A1772" s="283">
        <v>34.0</v>
      </c>
      <c r="B1772" s="284">
        <v>1.0</v>
      </c>
      <c r="C1772" s="285" t="str">
        <f t="shared" si="1"/>
        <v>34 1</v>
      </c>
      <c r="D1772" s="285" t="s">
        <v>10427</v>
      </c>
    </row>
    <row r="1773">
      <c r="A1773" s="283">
        <v>34.0</v>
      </c>
      <c r="B1773" s="284">
        <v>3.0</v>
      </c>
      <c r="C1773" s="285" t="str">
        <f t="shared" si="1"/>
        <v>34 3</v>
      </c>
      <c r="D1773" s="285" t="s">
        <v>10428</v>
      </c>
    </row>
    <row r="1774">
      <c r="A1774" s="283">
        <v>34.0</v>
      </c>
      <c r="B1774" s="284">
        <v>5.0</v>
      </c>
      <c r="C1774" s="285" t="str">
        <f t="shared" si="1"/>
        <v>34 5</v>
      </c>
      <c r="D1774" s="285" t="s">
        <v>10429</v>
      </c>
    </row>
    <row r="1775">
      <c r="A1775" s="283">
        <v>34.0</v>
      </c>
      <c r="B1775" s="284">
        <v>7.0</v>
      </c>
      <c r="C1775" s="285" t="str">
        <f t="shared" si="1"/>
        <v>34 7</v>
      </c>
      <c r="D1775" s="285" t="s">
        <v>10430</v>
      </c>
    </row>
    <row r="1776">
      <c r="A1776" s="283">
        <v>34.0</v>
      </c>
      <c r="B1776" s="284">
        <v>9.0</v>
      </c>
      <c r="C1776" s="285" t="str">
        <f t="shared" si="1"/>
        <v>34 9</v>
      </c>
      <c r="D1776" s="285" t="s">
        <v>10431</v>
      </c>
    </row>
    <row r="1777">
      <c r="A1777" s="283">
        <v>34.0</v>
      </c>
      <c r="B1777" s="284">
        <v>11.0</v>
      </c>
      <c r="C1777" s="285" t="str">
        <f t="shared" si="1"/>
        <v>34 11</v>
      </c>
      <c r="D1777" s="285" t="s">
        <v>10432</v>
      </c>
    </row>
    <row r="1778">
      <c r="A1778" s="283">
        <v>34.0</v>
      </c>
      <c r="B1778" s="284">
        <v>13.0</v>
      </c>
      <c r="C1778" s="285" t="str">
        <f t="shared" si="1"/>
        <v>34 13</v>
      </c>
      <c r="D1778" s="285" t="s">
        <v>10433</v>
      </c>
    </row>
    <row r="1779">
      <c r="A1779" s="283">
        <v>34.0</v>
      </c>
      <c r="B1779" s="284">
        <v>15.0</v>
      </c>
      <c r="C1779" s="285" t="str">
        <f t="shared" si="1"/>
        <v>34 15</v>
      </c>
      <c r="D1779" s="285" t="s">
        <v>10434</v>
      </c>
    </row>
    <row r="1780">
      <c r="A1780" s="283">
        <v>34.0</v>
      </c>
      <c r="B1780" s="284">
        <v>17.0</v>
      </c>
      <c r="C1780" s="285" t="str">
        <f t="shared" si="1"/>
        <v>34 17</v>
      </c>
      <c r="D1780" s="285" t="s">
        <v>10435</v>
      </c>
    </row>
    <row r="1781">
      <c r="A1781" s="283">
        <v>34.0</v>
      </c>
      <c r="B1781" s="284">
        <v>19.0</v>
      </c>
      <c r="C1781" s="285" t="str">
        <f t="shared" si="1"/>
        <v>34 19</v>
      </c>
      <c r="D1781" s="285" t="s">
        <v>10436</v>
      </c>
    </row>
    <row r="1782">
      <c r="A1782" s="283">
        <v>34.0</v>
      </c>
      <c r="B1782" s="284">
        <v>21.0</v>
      </c>
      <c r="C1782" s="285" t="str">
        <f t="shared" si="1"/>
        <v>34 21</v>
      </c>
      <c r="D1782" s="285" t="s">
        <v>10437</v>
      </c>
    </row>
    <row r="1783">
      <c r="A1783" s="283">
        <v>34.0</v>
      </c>
      <c r="B1783" s="284">
        <v>23.0</v>
      </c>
      <c r="C1783" s="285" t="str">
        <f t="shared" si="1"/>
        <v>34 23</v>
      </c>
      <c r="D1783" s="285" t="s">
        <v>10438</v>
      </c>
    </row>
    <row r="1784">
      <c r="A1784" s="283">
        <v>34.0</v>
      </c>
      <c r="B1784" s="284">
        <v>25.0</v>
      </c>
      <c r="C1784" s="285" t="str">
        <f t="shared" si="1"/>
        <v>34 25</v>
      </c>
      <c r="D1784" s="285" t="s">
        <v>10439</v>
      </c>
    </row>
    <row r="1785">
      <c r="A1785" s="283">
        <v>34.0</v>
      </c>
      <c r="B1785" s="284">
        <v>27.0</v>
      </c>
      <c r="C1785" s="285" t="str">
        <f t="shared" si="1"/>
        <v>34 27</v>
      </c>
      <c r="D1785" s="285" t="s">
        <v>10440</v>
      </c>
    </row>
    <row r="1786">
      <c r="A1786" s="283">
        <v>34.0</v>
      </c>
      <c r="B1786" s="284">
        <v>29.0</v>
      </c>
      <c r="C1786" s="285" t="str">
        <f t="shared" si="1"/>
        <v>34 29</v>
      </c>
      <c r="D1786" s="285" t="s">
        <v>10441</v>
      </c>
    </row>
    <row r="1787">
      <c r="A1787" s="283">
        <v>34.0</v>
      </c>
      <c r="B1787" s="284">
        <v>31.0</v>
      </c>
      <c r="C1787" s="285" t="str">
        <f t="shared" si="1"/>
        <v>34 31</v>
      </c>
      <c r="D1787" s="285" t="s">
        <v>10442</v>
      </c>
    </row>
    <row r="1788">
      <c r="A1788" s="283">
        <v>34.0</v>
      </c>
      <c r="B1788" s="284">
        <v>33.0</v>
      </c>
      <c r="C1788" s="285" t="str">
        <f t="shared" si="1"/>
        <v>34 33</v>
      </c>
      <c r="D1788" s="285" t="s">
        <v>10443</v>
      </c>
    </row>
    <row r="1789">
      <c r="A1789" s="283">
        <v>34.0</v>
      </c>
      <c r="B1789" s="284">
        <v>35.0</v>
      </c>
      <c r="C1789" s="285" t="str">
        <f t="shared" si="1"/>
        <v>34 35</v>
      </c>
      <c r="D1789" s="285" t="s">
        <v>10444</v>
      </c>
    </row>
    <row r="1790">
      <c r="A1790" s="283">
        <v>34.0</v>
      </c>
      <c r="B1790" s="284">
        <v>37.0</v>
      </c>
      <c r="C1790" s="285" t="str">
        <f t="shared" si="1"/>
        <v>34 37</v>
      </c>
      <c r="D1790" s="285" t="s">
        <v>10445</v>
      </c>
    </row>
    <row r="1791">
      <c r="A1791" s="283">
        <v>34.0</v>
      </c>
      <c r="B1791" s="284">
        <v>39.0</v>
      </c>
      <c r="C1791" s="285" t="str">
        <f t="shared" si="1"/>
        <v>34 39</v>
      </c>
      <c r="D1791" s="285" t="s">
        <v>10446</v>
      </c>
    </row>
    <row r="1792">
      <c r="A1792" s="283">
        <v>34.0</v>
      </c>
      <c r="B1792" s="284">
        <v>41.0</v>
      </c>
      <c r="C1792" s="285" t="str">
        <f t="shared" si="1"/>
        <v>34 41</v>
      </c>
      <c r="D1792" s="285" t="s">
        <v>10447</v>
      </c>
    </row>
    <row r="1793">
      <c r="A1793" s="283">
        <v>35.0</v>
      </c>
      <c r="B1793" s="284">
        <v>1.0</v>
      </c>
      <c r="C1793" s="285" t="str">
        <f t="shared" si="1"/>
        <v>35 1</v>
      </c>
      <c r="D1793" s="285" t="s">
        <v>10448</v>
      </c>
    </row>
    <row r="1794">
      <c r="A1794" s="283">
        <v>35.0</v>
      </c>
      <c r="B1794" s="284">
        <v>3.0</v>
      </c>
      <c r="C1794" s="285" t="str">
        <f t="shared" si="1"/>
        <v>35 3</v>
      </c>
      <c r="D1794" s="285" t="s">
        <v>10449</v>
      </c>
    </row>
    <row r="1795">
      <c r="A1795" s="283">
        <v>35.0</v>
      </c>
      <c r="B1795" s="284">
        <v>5.0</v>
      </c>
      <c r="C1795" s="285" t="str">
        <f t="shared" si="1"/>
        <v>35 5</v>
      </c>
      <c r="D1795" s="285" t="s">
        <v>10450</v>
      </c>
    </row>
    <row r="1796">
      <c r="A1796" s="283">
        <v>35.0</v>
      </c>
      <c r="B1796" s="284">
        <v>6.0</v>
      </c>
      <c r="C1796" s="285" t="str">
        <f t="shared" si="1"/>
        <v>35 6</v>
      </c>
      <c r="D1796" s="285" t="s">
        <v>10451</v>
      </c>
    </row>
    <row r="1797">
      <c r="A1797" s="283">
        <v>35.0</v>
      </c>
      <c r="B1797" s="284">
        <v>7.0</v>
      </c>
      <c r="C1797" s="285" t="str">
        <f t="shared" si="1"/>
        <v>35 7</v>
      </c>
      <c r="D1797" s="285" t="s">
        <v>10452</v>
      </c>
    </row>
    <row r="1798">
      <c r="A1798" s="283">
        <v>35.0</v>
      </c>
      <c r="B1798" s="284">
        <v>9.0</v>
      </c>
      <c r="C1798" s="285" t="str">
        <f t="shared" si="1"/>
        <v>35 9</v>
      </c>
      <c r="D1798" s="285" t="s">
        <v>10453</v>
      </c>
    </row>
    <row r="1799">
      <c r="A1799" s="283">
        <v>35.0</v>
      </c>
      <c r="B1799" s="284">
        <v>11.0</v>
      </c>
      <c r="C1799" s="285" t="str">
        <f t="shared" si="1"/>
        <v>35 11</v>
      </c>
      <c r="D1799" s="285" t="s">
        <v>10454</v>
      </c>
    </row>
    <row r="1800">
      <c r="A1800" s="283">
        <v>35.0</v>
      </c>
      <c r="B1800" s="284">
        <v>13.0</v>
      </c>
      <c r="C1800" s="285" t="str">
        <f t="shared" si="1"/>
        <v>35 13</v>
      </c>
      <c r="D1800" s="285" t="s">
        <v>10455</v>
      </c>
    </row>
    <row r="1801">
      <c r="A1801" s="283">
        <v>35.0</v>
      </c>
      <c r="B1801" s="284">
        <v>15.0</v>
      </c>
      <c r="C1801" s="285" t="str">
        <f t="shared" si="1"/>
        <v>35 15</v>
      </c>
      <c r="D1801" s="285" t="s">
        <v>10456</v>
      </c>
    </row>
    <row r="1802">
      <c r="A1802" s="283">
        <v>35.0</v>
      </c>
      <c r="B1802" s="284">
        <v>17.0</v>
      </c>
      <c r="C1802" s="285" t="str">
        <f t="shared" si="1"/>
        <v>35 17</v>
      </c>
      <c r="D1802" s="285" t="s">
        <v>10457</v>
      </c>
    </row>
    <row r="1803">
      <c r="A1803" s="283">
        <v>35.0</v>
      </c>
      <c r="B1803" s="284">
        <v>19.0</v>
      </c>
      <c r="C1803" s="285" t="str">
        <f t="shared" si="1"/>
        <v>35 19</v>
      </c>
      <c r="D1803" s="285" t="s">
        <v>10458</v>
      </c>
    </row>
    <row r="1804">
      <c r="A1804" s="283">
        <v>35.0</v>
      </c>
      <c r="B1804" s="284">
        <v>21.0</v>
      </c>
      <c r="C1804" s="285" t="str">
        <f t="shared" si="1"/>
        <v>35 21</v>
      </c>
      <c r="D1804" s="285" t="s">
        <v>10459</v>
      </c>
    </row>
    <row r="1805">
      <c r="A1805" s="283">
        <v>35.0</v>
      </c>
      <c r="B1805" s="284">
        <v>23.0</v>
      </c>
      <c r="C1805" s="285" t="str">
        <f t="shared" si="1"/>
        <v>35 23</v>
      </c>
      <c r="D1805" s="285" t="s">
        <v>10460</v>
      </c>
    </row>
    <row r="1806">
      <c r="A1806" s="283">
        <v>35.0</v>
      </c>
      <c r="B1806" s="284">
        <v>25.0</v>
      </c>
      <c r="C1806" s="285" t="str">
        <f t="shared" si="1"/>
        <v>35 25</v>
      </c>
      <c r="D1806" s="285" t="s">
        <v>10461</v>
      </c>
    </row>
    <row r="1807">
      <c r="A1807" s="283">
        <v>35.0</v>
      </c>
      <c r="B1807" s="284">
        <v>27.0</v>
      </c>
      <c r="C1807" s="285" t="str">
        <f t="shared" si="1"/>
        <v>35 27</v>
      </c>
      <c r="D1807" s="285" t="s">
        <v>10462</v>
      </c>
    </row>
    <row r="1808">
      <c r="A1808" s="283">
        <v>35.0</v>
      </c>
      <c r="B1808" s="284">
        <v>28.0</v>
      </c>
      <c r="C1808" s="285" t="str">
        <f t="shared" si="1"/>
        <v>35 28</v>
      </c>
      <c r="D1808" s="285" t="s">
        <v>10463</v>
      </c>
    </row>
    <row r="1809">
      <c r="A1809" s="283">
        <v>35.0</v>
      </c>
      <c r="B1809" s="284">
        <v>29.0</v>
      </c>
      <c r="C1809" s="285" t="str">
        <f t="shared" si="1"/>
        <v>35 29</v>
      </c>
      <c r="D1809" s="285" t="s">
        <v>10464</v>
      </c>
    </row>
    <row r="1810">
      <c r="A1810" s="283">
        <v>35.0</v>
      </c>
      <c r="B1810" s="284">
        <v>31.0</v>
      </c>
      <c r="C1810" s="285" t="str">
        <f t="shared" si="1"/>
        <v>35 31</v>
      </c>
      <c r="D1810" s="285" t="s">
        <v>10465</v>
      </c>
    </row>
    <row r="1811">
      <c r="A1811" s="283">
        <v>35.0</v>
      </c>
      <c r="B1811" s="284">
        <v>33.0</v>
      </c>
      <c r="C1811" s="285" t="str">
        <f t="shared" si="1"/>
        <v>35 33</v>
      </c>
      <c r="D1811" s="285" t="s">
        <v>10466</v>
      </c>
    </row>
    <row r="1812">
      <c r="A1812" s="283">
        <v>35.0</v>
      </c>
      <c r="B1812" s="284">
        <v>35.0</v>
      </c>
      <c r="C1812" s="285" t="str">
        <f t="shared" si="1"/>
        <v>35 35</v>
      </c>
      <c r="D1812" s="285" t="s">
        <v>10467</v>
      </c>
    </row>
    <row r="1813">
      <c r="A1813" s="283">
        <v>35.0</v>
      </c>
      <c r="B1813" s="284">
        <v>37.0</v>
      </c>
      <c r="C1813" s="285" t="str">
        <f t="shared" si="1"/>
        <v>35 37</v>
      </c>
      <c r="D1813" s="285" t="s">
        <v>10468</v>
      </c>
    </row>
    <row r="1814">
      <c r="A1814" s="283">
        <v>35.0</v>
      </c>
      <c r="B1814" s="284">
        <v>39.0</v>
      </c>
      <c r="C1814" s="285" t="str">
        <f t="shared" si="1"/>
        <v>35 39</v>
      </c>
      <c r="D1814" s="285" t="s">
        <v>10469</v>
      </c>
    </row>
    <row r="1815">
      <c r="A1815" s="283">
        <v>35.0</v>
      </c>
      <c r="B1815" s="284">
        <v>41.0</v>
      </c>
      <c r="C1815" s="285" t="str">
        <f t="shared" si="1"/>
        <v>35 41</v>
      </c>
      <c r="D1815" s="285" t="s">
        <v>10470</v>
      </c>
    </row>
    <row r="1816">
      <c r="A1816" s="283">
        <v>35.0</v>
      </c>
      <c r="B1816" s="284">
        <v>43.0</v>
      </c>
      <c r="C1816" s="285" t="str">
        <f t="shared" si="1"/>
        <v>35 43</v>
      </c>
      <c r="D1816" s="285" t="s">
        <v>10471</v>
      </c>
    </row>
    <row r="1817">
      <c r="A1817" s="283">
        <v>35.0</v>
      </c>
      <c r="B1817" s="284">
        <v>45.0</v>
      </c>
      <c r="C1817" s="285" t="str">
        <f t="shared" si="1"/>
        <v>35 45</v>
      </c>
      <c r="D1817" s="285" t="s">
        <v>10472</v>
      </c>
    </row>
    <row r="1818">
      <c r="A1818" s="283">
        <v>35.0</v>
      </c>
      <c r="B1818" s="284">
        <v>47.0</v>
      </c>
      <c r="C1818" s="285" t="str">
        <f t="shared" si="1"/>
        <v>35 47</v>
      </c>
      <c r="D1818" s="285" t="s">
        <v>10473</v>
      </c>
    </row>
    <row r="1819">
      <c r="A1819" s="283">
        <v>35.0</v>
      </c>
      <c r="B1819" s="284">
        <v>49.0</v>
      </c>
      <c r="C1819" s="285" t="str">
        <f t="shared" si="1"/>
        <v>35 49</v>
      </c>
      <c r="D1819" s="285" t="s">
        <v>10474</v>
      </c>
    </row>
    <row r="1820">
      <c r="A1820" s="283">
        <v>35.0</v>
      </c>
      <c r="B1820" s="284">
        <v>51.0</v>
      </c>
      <c r="C1820" s="285" t="str">
        <f t="shared" si="1"/>
        <v>35 51</v>
      </c>
      <c r="D1820" s="285" t="s">
        <v>10475</v>
      </c>
    </row>
    <row r="1821">
      <c r="A1821" s="283">
        <v>35.0</v>
      </c>
      <c r="B1821" s="284">
        <v>53.0</v>
      </c>
      <c r="C1821" s="285" t="str">
        <f t="shared" si="1"/>
        <v>35 53</v>
      </c>
      <c r="D1821" s="285" t="s">
        <v>10476</v>
      </c>
    </row>
    <row r="1822">
      <c r="A1822" s="283">
        <v>35.0</v>
      </c>
      <c r="B1822" s="284">
        <v>55.0</v>
      </c>
      <c r="C1822" s="285" t="str">
        <f t="shared" si="1"/>
        <v>35 55</v>
      </c>
      <c r="D1822" s="285" t="s">
        <v>10477</v>
      </c>
    </row>
    <row r="1823">
      <c r="A1823" s="283">
        <v>35.0</v>
      </c>
      <c r="B1823" s="284">
        <v>57.0</v>
      </c>
      <c r="C1823" s="285" t="str">
        <f t="shared" si="1"/>
        <v>35 57</v>
      </c>
      <c r="D1823" s="285" t="s">
        <v>10478</v>
      </c>
    </row>
    <row r="1824">
      <c r="A1824" s="283">
        <v>35.0</v>
      </c>
      <c r="B1824" s="284">
        <v>59.0</v>
      </c>
      <c r="C1824" s="285" t="str">
        <f t="shared" si="1"/>
        <v>35 59</v>
      </c>
      <c r="D1824" s="285" t="s">
        <v>10479</v>
      </c>
    </row>
    <row r="1825">
      <c r="A1825" s="283">
        <v>35.0</v>
      </c>
      <c r="B1825" s="284">
        <v>61.0</v>
      </c>
      <c r="C1825" s="285" t="str">
        <f t="shared" si="1"/>
        <v>35 61</v>
      </c>
      <c r="D1825" s="285" t="s">
        <v>10480</v>
      </c>
    </row>
    <row r="1826">
      <c r="A1826" s="283">
        <v>36.0</v>
      </c>
      <c r="B1826" s="284">
        <v>1.0</v>
      </c>
      <c r="C1826" s="285" t="str">
        <f t="shared" si="1"/>
        <v>36 1</v>
      </c>
      <c r="D1826" s="285" t="s">
        <v>10481</v>
      </c>
    </row>
    <row r="1827">
      <c r="A1827" s="283">
        <v>36.0</v>
      </c>
      <c r="B1827" s="284">
        <v>3.0</v>
      </c>
      <c r="C1827" s="285" t="str">
        <f t="shared" si="1"/>
        <v>36 3</v>
      </c>
      <c r="D1827" s="285" t="s">
        <v>10482</v>
      </c>
    </row>
    <row r="1828">
      <c r="A1828" s="283">
        <v>36.0</v>
      </c>
      <c r="B1828" s="284">
        <v>5.0</v>
      </c>
      <c r="C1828" s="285" t="str">
        <f t="shared" si="1"/>
        <v>36 5</v>
      </c>
      <c r="D1828" s="285" t="s">
        <v>10483</v>
      </c>
    </row>
    <row r="1829">
      <c r="A1829" s="283">
        <v>36.0</v>
      </c>
      <c r="B1829" s="284">
        <v>7.0</v>
      </c>
      <c r="C1829" s="285" t="str">
        <f t="shared" si="1"/>
        <v>36 7</v>
      </c>
      <c r="D1829" s="285" t="s">
        <v>10484</v>
      </c>
    </row>
    <row r="1830">
      <c r="A1830" s="283">
        <v>36.0</v>
      </c>
      <c r="B1830" s="284">
        <v>9.0</v>
      </c>
      <c r="C1830" s="285" t="str">
        <f t="shared" si="1"/>
        <v>36 9</v>
      </c>
      <c r="D1830" s="285" t="s">
        <v>10485</v>
      </c>
    </row>
    <row r="1831">
      <c r="A1831" s="283">
        <v>36.0</v>
      </c>
      <c r="B1831" s="284">
        <v>11.0</v>
      </c>
      <c r="C1831" s="285" t="str">
        <f t="shared" si="1"/>
        <v>36 11</v>
      </c>
      <c r="D1831" s="285" t="s">
        <v>10486</v>
      </c>
    </row>
    <row r="1832">
      <c r="A1832" s="283">
        <v>36.0</v>
      </c>
      <c r="B1832" s="284">
        <v>13.0</v>
      </c>
      <c r="C1832" s="285" t="str">
        <f t="shared" si="1"/>
        <v>36 13</v>
      </c>
      <c r="D1832" s="285" t="s">
        <v>10487</v>
      </c>
    </row>
    <row r="1833">
      <c r="A1833" s="283">
        <v>36.0</v>
      </c>
      <c r="B1833" s="284">
        <v>15.0</v>
      </c>
      <c r="C1833" s="285" t="str">
        <f t="shared" si="1"/>
        <v>36 15</v>
      </c>
      <c r="D1833" s="285" t="s">
        <v>10488</v>
      </c>
    </row>
    <row r="1834">
      <c r="A1834" s="283">
        <v>36.0</v>
      </c>
      <c r="B1834" s="284">
        <v>17.0</v>
      </c>
      <c r="C1834" s="285" t="str">
        <f t="shared" si="1"/>
        <v>36 17</v>
      </c>
      <c r="D1834" s="285" t="s">
        <v>10489</v>
      </c>
    </row>
    <row r="1835">
      <c r="A1835" s="283">
        <v>36.0</v>
      </c>
      <c r="B1835" s="284">
        <v>19.0</v>
      </c>
      <c r="C1835" s="285" t="str">
        <f t="shared" si="1"/>
        <v>36 19</v>
      </c>
      <c r="D1835" s="285" t="s">
        <v>10490</v>
      </c>
    </row>
    <row r="1836">
      <c r="A1836" s="283">
        <v>36.0</v>
      </c>
      <c r="B1836" s="284">
        <v>21.0</v>
      </c>
      <c r="C1836" s="285" t="str">
        <f t="shared" si="1"/>
        <v>36 21</v>
      </c>
      <c r="D1836" s="285" t="s">
        <v>10491</v>
      </c>
    </row>
    <row r="1837">
      <c r="A1837" s="283">
        <v>36.0</v>
      </c>
      <c r="B1837" s="284">
        <v>23.0</v>
      </c>
      <c r="C1837" s="285" t="str">
        <f t="shared" si="1"/>
        <v>36 23</v>
      </c>
      <c r="D1837" s="285" t="s">
        <v>10492</v>
      </c>
    </row>
    <row r="1838">
      <c r="A1838" s="283">
        <v>36.0</v>
      </c>
      <c r="B1838" s="284">
        <v>25.0</v>
      </c>
      <c r="C1838" s="285" t="str">
        <f t="shared" si="1"/>
        <v>36 25</v>
      </c>
      <c r="D1838" s="285" t="s">
        <v>10493</v>
      </c>
    </row>
    <row r="1839">
      <c r="A1839" s="283">
        <v>36.0</v>
      </c>
      <c r="B1839" s="284">
        <v>27.0</v>
      </c>
      <c r="C1839" s="285" t="str">
        <f t="shared" si="1"/>
        <v>36 27</v>
      </c>
      <c r="D1839" s="285" t="s">
        <v>10494</v>
      </c>
    </row>
    <row r="1840">
      <c r="A1840" s="283">
        <v>36.0</v>
      </c>
      <c r="B1840" s="284">
        <v>29.0</v>
      </c>
      <c r="C1840" s="285" t="str">
        <f t="shared" si="1"/>
        <v>36 29</v>
      </c>
      <c r="D1840" s="285" t="s">
        <v>10495</v>
      </c>
    </row>
    <row r="1841">
      <c r="A1841" s="283">
        <v>36.0</v>
      </c>
      <c r="B1841" s="284">
        <v>31.0</v>
      </c>
      <c r="C1841" s="285" t="str">
        <f t="shared" si="1"/>
        <v>36 31</v>
      </c>
      <c r="D1841" s="285" t="s">
        <v>10496</v>
      </c>
    </row>
    <row r="1842">
      <c r="A1842" s="283">
        <v>36.0</v>
      </c>
      <c r="B1842" s="284">
        <v>33.0</v>
      </c>
      <c r="C1842" s="285" t="str">
        <f t="shared" si="1"/>
        <v>36 33</v>
      </c>
      <c r="D1842" s="285" t="s">
        <v>10497</v>
      </c>
    </row>
    <row r="1843">
      <c r="A1843" s="283">
        <v>36.0</v>
      </c>
      <c r="B1843" s="284">
        <v>35.0</v>
      </c>
      <c r="C1843" s="285" t="str">
        <f t="shared" si="1"/>
        <v>36 35</v>
      </c>
      <c r="D1843" s="285" t="s">
        <v>10498</v>
      </c>
    </row>
    <row r="1844">
      <c r="A1844" s="283">
        <v>36.0</v>
      </c>
      <c r="B1844" s="284">
        <v>37.0</v>
      </c>
      <c r="C1844" s="285" t="str">
        <f t="shared" si="1"/>
        <v>36 37</v>
      </c>
      <c r="D1844" s="285" t="s">
        <v>10499</v>
      </c>
    </row>
    <row r="1845">
      <c r="A1845" s="283">
        <v>36.0</v>
      </c>
      <c r="B1845" s="284">
        <v>39.0</v>
      </c>
      <c r="C1845" s="285" t="str">
        <f t="shared" si="1"/>
        <v>36 39</v>
      </c>
      <c r="D1845" s="285" t="s">
        <v>10500</v>
      </c>
    </row>
    <row r="1846">
      <c r="A1846" s="283">
        <v>36.0</v>
      </c>
      <c r="B1846" s="284">
        <v>41.0</v>
      </c>
      <c r="C1846" s="285" t="str">
        <f t="shared" si="1"/>
        <v>36 41</v>
      </c>
      <c r="D1846" s="285" t="s">
        <v>10501</v>
      </c>
    </row>
    <row r="1847">
      <c r="A1847" s="283">
        <v>36.0</v>
      </c>
      <c r="B1847" s="284">
        <v>43.0</v>
      </c>
      <c r="C1847" s="285" t="str">
        <f t="shared" si="1"/>
        <v>36 43</v>
      </c>
      <c r="D1847" s="285" t="s">
        <v>10502</v>
      </c>
    </row>
    <row r="1848">
      <c r="A1848" s="283">
        <v>36.0</v>
      </c>
      <c r="B1848" s="284">
        <v>45.0</v>
      </c>
      <c r="C1848" s="285" t="str">
        <f t="shared" si="1"/>
        <v>36 45</v>
      </c>
      <c r="D1848" s="285" t="s">
        <v>10503</v>
      </c>
    </row>
    <row r="1849">
      <c r="A1849" s="283">
        <v>36.0</v>
      </c>
      <c r="B1849" s="284">
        <v>47.0</v>
      </c>
      <c r="C1849" s="285" t="str">
        <f t="shared" si="1"/>
        <v>36 47</v>
      </c>
      <c r="D1849" s="285" t="s">
        <v>10504</v>
      </c>
    </row>
    <row r="1850">
      <c r="A1850" s="283">
        <v>36.0</v>
      </c>
      <c r="B1850" s="284">
        <v>49.0</v>
      </c>
      <c r="C1850" s="285" t="str">
        <f t="shared" si="1"/>
        <v>36 49</v>
      </c>
      <c r="D1850" s="285" t="s">
        <v>10505</v>
      </c>
    </row>
    <row r="1851">
      <c r="A1851" s="283">
        <v>36.0</v>
      </c>
      <c r="B1851" s="284">
        <v>51.0</v>
      </c>
      <c r="C1851" s="285" t="str">
        <f t="shared" si="1"/>
        <v>36 51</v>
      </c>
      <c r="D1851" s="285" t="s">
        <v>10506</v>
      </c>
    </row>
    <row r="1852">
      <c r="A1852" s="283">
        <v>36.0</v>
      </c>
      <c r="B1852" s="284">
        <v>53.0</v>
      </c>
      <c r="C1852" s="285" t="str">
        <f t="shared" si="1"/>
        <v>36 53</v>
      </c>
      <c r="D1852" s="285" t="s">
        <v>10507</v>
      </c>
    </row>
    <row r="1853">
      <c r="A1853" s="283">
        <v>36.0</v>
      </c>
      <c r="B1853" s="284">
        <v>55.0</v>
      </c>
      <c r="C1853" s="285" t="str">
        <f t="shared" si="1"/>
        <v>36 55</v>
      </c>
      <c r="D1853" s="285" t="s">
        <v>10508</v>
      </c>
    </row>
    <row r="1854">
      <c r="A1854" s="283">
        <v>36.0</v>
      </c>
      <c r="B1854" s="284">
        <v>57.0</v>
      </c>
      <c r="C1854" s="285" t="str">
        <f t="shared" si="1"/>
        <v>36 57</v>
      </c>
      <c r="D1854" s="285" t="s">
        <v>10509</v>
      </c>
    </row>
    <row r="1855">
      <c r="A1855" s="283">
        <v>36.0</v>
      </c>
      <c r="B1855" s="284">
        <v>59.0</v>
      </c>
      <c r="C1855" s="285" t="str">
        <f t="shared" si="1"/>
        <v>36 59</v>
      </c>
      <c r="D1855" s="285" t="s">
        <v>10510</v>
      </c>
    </row>
    <row r="1856">
      <c r="A1856" s="283">
        <v>36.0</v>
      </c>
      <c r="B1856" s="284">
        <v>61.0</v>
      </c>
      <c r="C1856" s="285" t="str">
        <f t="shared" si="1"/>
        <v>36 61</v>
      </c>
      <c r="D1856" s="285" t="s">
        <v>10511</v>
      </c>
    </row>
    <row r="1857">
      <c r="A1857" s="283">
        <v>36.0</v>
      </c>
      <c r="B1857" s="284">
        <v>63.0</v>
      </c>
      <c r="C1857" s="285" t="str">
        <f t="shared" si="1"/>
        <v>36 63</v>
      </c>
      <c r="D1857" s="285" t="s">
        <v>10512</v>
      </c>
    </row>
    <row r="1858">
      <c r="A1858" s="283">
        <v>36.0</v>
      </c>
      <c r="B1858" s="284">
        <v>65.0</v>
      </c>
      <c r="C1858" s="285" t="str">
        <f t="shared" si="1"/>
        <v>36 65</v>
      </c>
      <c r="D1858" s="285" t="s">
        <v>10513</v>
      </c>
    </row>
    <row r="1859">
      <c r="A1859" s="283">
        <v>36.0</v>
      </c>
      <c r="B1859" s="284">
        <v>67.0</v>
      </c>
      <c r="C1859" s="285" t="str">
        <f t="shared" si="1"/>
        <v>36 67</v>
      </c>
      <c r="D1859" s="285" t="s">
        <v>10514</v>
      </c>
    </row>
    <row r="1860">
      <c r="A1860" s="283">
        <v>36.0</v>
      </c>
      <c r="B1860" s="284">
        <v>69.0</v>
      </c>
      <c r="C1860" s="285" t="str">
        <f t="shared" si="1"/>
        <v>36 69</v>
      </c>
      <c r="D1860" s="285" t="s">
        <v>10515</v>
      </c>
    </row>
    <row r="1861">
      <c r="A1861" s="283">
        <v>36.0</v>
      </c>
      <c r="B1861" s="284">
        <v>71.0</v>
      </c>
      <c r="C1861" s="285" t="str">
        <f t="shared" si="1"/>
        <v>36 71</v>
      </c>
      <c r="D1861" s="285" t="s">
        <v>10516</v>
      </c>
    </row>
    <row r="1862">
      <c r="A1862" s="283">
        <v>36.0</v>
      </c>
      <c r="B1862" s="284">
        <v>73.0</v>
      </c>
      <c r="C1862" s="285" t="str">
        <f t="shared" si="1"/>
        <v>36 73</v>
      </c>
      <c r="D1862" s="285" t="s">
        <v>10517</v>
      </c>
    </row>
    <row r="1863">
      <c r="A1863" s="283">
        <v>36.0</v>
      </c>
      <c r="B1863" s="284">
        <v>75.0</v>
      </c>
      <c r="C1863" s="285" t="str">
        <f t="shared" si="1"/>
        <v>36 75</v>
      </c>
      <c r="D1863" s="285" t="s">
        <v>10518</v>
      </c>
    </row>
    <row r="1864">
      <c r="A1864" s="283">
        <v>36.0</v>
      </c>
      <c r="B1864" s="284">
        <v>77.0</v>
      </c>
      <c r="C1864" s="285" t="str">
        <f t="shared" si="1"/>
        <v>36 77</v>
      </c>
      <c r="D1864" s="285" t="s">
        <v>10519</v>
      </c>
    </row>
    <row r="1865">
      <c r="A1865" s="283">
        <v>36.0</v>
      </c>
      <c r="B1865" s="284">
        <v>79.0</v>
      </c>
      <c r="C1865" s="285" t="str">
        <f t="shared" si="1"/>
        <v>36 79</v>
      </c>
      <c r="D1865" s="285" t="s">
        <v>10520</v>
      </c>
    </row>
    <row r="1866">
      <c r="A1866" s="283">
        <v>36.0</v>
      </c>
      <c r="B1866" s="284">
        <v>81.0</v>
      </c>
      <c r="C1866" s="285" t="str">
        <f t="shared" si="1"/>
        <v>36 81</v>
      </c>
      <c r="D1866" s="285" t="s">
        <v>10521</v>
      </c>
    </row>
    <row r="1867">
      <c r="A1867" s="283">
        <v>36.0</v>
      </c>
      <c r="B1867" s="284">
        <v>83.0</v>
      </c>
      <c r="C1867" s="285" t="str">
        <f t="shared" si="1"/>
        <v>36 83</v>
      </c>
      <c r="D1867" s="285" t="s">
        <v>10522</v>
      </c>
    </row>
    <row r="1868">
      <c r="A1868" s="283">
        <v>36.0</v>
      </c>
      <c r="B1868" s="284">
        <v>85.0</v>
      </c>
      <c r="C1868" s="285" t="str">
        <f t="shared" si="1"/>
        <v>36 85</v>
      </c>
      <c r="D1868" s="285" t="s">
        <v>10523</v>
      </c>
    </row>
    <row r="1869">
      <c r="A1869" s="283">
        <v>36.0</v>
      </c>
      <c r="B1869" s="284">
        <v>87.0</v>
      </c>
      <c r="C1869" s="285" t="str">
        <f t="shared" si="1"/>
        <v>36 87</v>
      </c>
      <c r="D1869" s="285" t="s">
        <v>10524</v>
      </c>
    </row>
    <row r="1870">
      <c r="A1870" s="283">
        <v>36.0</v>
      </c>
      <c r="B1870" s="284">
        <v>89.0</v>
      </c>
      <c r="C1870" s="285" t="str">
        <f t="shared" si="1"/>
        <v>36 89</v>
      </c>
      <c r="D1870" s="285" t="s">
        <v>10525</v>
      </c>
    </row>
    <row r="1871">
      <c r="A1871" s="283">
        <v>36.0</v>
      </c>
      <c r="B1871" s="284">
        <v>91.0</v>
      </c>
      <c r="C1871" s="285" t="str">
        <f t="shared" si="1"/>
        <v>36 91</v>
      </c>
      <c r="D1871" s="285" t="s">
        <v>10526</v>
      </c>
    </row>
    <row r="1872">
      <c r="A1872" s="283">
        <v>36.0</v>
      </c>
      <c r="B1872" s="284">
        <v>93.0</v>
      </c>
      <c r="C1872" s="285" t="str">
        <f t="shared" si="1"/>
        <v>36 93</v>
      </c>
      <c r="D1872" s="285" t="s">
        <v>10527</v>
      </c>
    </row>
    <row r="1873">
      <c r="A1873" s="283">
        <v>36.0</v>
      </c>
      <c r="B1873" s="284">
        <v>95.0</v>
      </c>
      <c r="C1873" s="285" t="str">
        <f t="shared" si="1"/>
        <v>36 95</v>
      </c>
      <c r="D1873" s="285" t="s">
        <v>10528</v>
      </c>
    </row>
    <row r="1874">
      <c r="A1874" s="283">
        <v>36.0</v>
      </c>
      <c r="B1874" s="284">
        <v>97.0</v>
      </c>
      <c r="C1874" s="285" t="str">
        <f t="shared" si="1"/>
        <v>36 97</v>
      </c>
      <c r="D1874" s="285" t="s">
        <v>10529</v>
      </c>
    </row>
    <row r="1875">
      <c r="A1875" s="283">
        <v>36.0</v>
      </c>
      <c r="B1875" s="284">
        <v>99.0</v>
      </c>
      <c r="C1875" s="285" t="str">
        <f t="shared" si="1"/>
        <v>36 99</v>
      </c>
      <c r="D1875" s="285" t="s">
        <v>10530</v>
      </c>
    </row>
    <row r="1876">
      <c r="A1876" s="283">
        <v>36.0</v>
      </c>
      <c r="B1876" s="284">
        <v>101.0</v>
      </c>
      <c r="C1876" s="285" t="str">
        <f t="shared" si="1"/>
        <v>36 101</v>
      </c>
      <c r="D1876" s="285" t="s">
        <v>10531</v>
      </c>
    </row>
    <row r="1877">
      <c r="A1877" s="283">
        <v>36.0</v>
      </c>
      <c r="B1877" s="284">
        <v>103.0</v>
      </c>
      <c r="C1877" s="285" t="str">
        <f t="shared" si="1"/>
        <v>36 103</v>
      </c>
      <c r="D1877" s="285" t="s">
        <v>10532</v>
      </c>
    </row>
    <row r="1878">
      <c r="A1878" s="283">
        <v>36.0</v>
      </c>
      <c r="B1878" s="284">
        <v>105.0</v>
      </c>
      <c r="C1878" s="285" t="str">
        <f t="shared" si="1"/>
        <v>36 105</v>
      </c>
      <c r="D1878" s="285" t="s">
        <v>10533</v>
      </c>
    </row>
    <row r="1879">
      <c r="A1879" s="283">
        <v>36.0</v>
      </c>
      <c r="B1879" s="284">
        <v>107.0</v>
      </c>
      <c r="C1879" s="285" t="str">
        <f t="shared" si="1"/>
        <v>36 107</v>
      </c>
      <c r="D1879" s="285" t="s">
        <v>10534</v>
      </c>
    </row>
    <row r="1880">
      <c r="A1880" s="283">
        <v>36.0</v>
      </c>
      <c r="B1880" s="284">
        <v>109.0</v>
      </c>
      <c r="C1880" s="285" t="str">
        <f t="shared" si="1"/>
        <v>36 109</v>
      </c>
      <c r="D1880" s="285" t="s">
        <v>10535</v>
      </c>
    </row>
    <row r="1881">
      <c r="A1881" s="283">
        <v>36.0</v>
      </c>
      <c r="B1881" s="284">
        <v>111.0</v>
      </c>
      <c r="C1881" s="285" t="str">
        <f t="shared" si="1"/>
        <v>36 111</v>
      </c>
      <c r="D1881" s="285" t="s">
        <v>10536</v>
      </c>
    </row>
    <row r="1882">
      <c r="A1882" s="283">
        <v>36.0</v>
      </c>
      <c r="B1882" s="284">
        <v>113.0</v>
      </c>
      <c r="C1882" s="285" t="str">
        <f t="shared" si="1"/>
        <v>36 113</v>
      </c>
      <c r="D1882" s="285" t="s">
        <v>10537</v>
      </c>
    </row>
    <row r="1883">
      <c r="A1883" s="283">
        <v>36.0</v>
      </c>
      <c r="B1883" s="284">
        <v>115.0</v>
      </c>
      <c r="C1883" s="285" t="str">
        <f t="shared" si="1"/>
        <v>36 115</v>
      </c>
      <c r="D1883" s="285" t="s">
        <v>10538</v>
      </c>
    </row>
    <row r="1884">
      <c r="A1884" s="283">
        <v>36.0</v>
      </c>
      <c r="B1884" s="284">
        <v>117.0</v>
      </c>
      <c r="C1884" s="285" t="str">
        <f t="shared" si="1"/>
        <v>36 117</v>
      </c>
      <c r="D1884" s="285" t="s">
        <v>10539</v>
      </c>
    </row>
    <row r="1885">
      <c r="A1885" s="283">
        <v>36.0</v>
      </c>
      <c r="B1885" s="284">
        <v>119.0</v>
      </c>
      <c r="C1885" s="285" t="str">
        <f t="shared" si="1"/>
        <v>36 119</v>
      </c>
      <c r="D1885" s="285" t="s">
        <v>10540</v>
      </c>
    </row>
    <row r="1886">
      <c r="A1886" s="283">
        <v>36.0</v>
      </c>
      <c r="B1886" s="284">
        <v>121.0</v>
      </c>
      <c r="C1886" s="285" t="str">
        <f t="shared" si="1"/>
        <v>36 121</v>
      </c>
      <c r="D1886" s="285" t="s">
        <v>10541</v>
      </c>
    </row>
    <row r="1887">
      <c r="A1887" s="283">
        <v>36.0</v>
      </c>
      <c r="B1887" s="284">
        <v>123.0</v>
      </c>
      <c r="C1887" s="285" t="str">
        <f t="shared" si="1"/>
        <v>36 123</v>
      </c>
      <c r="D1887" s="285" t="s">
        <v>10542</v>
      </c>
    </row>
    <row r="1888">
      <c r="A1888" s="283">
        <v>37.0</v>
      </c>
      <c r="B1888" s="284">
        <v>1.0</v>
      </c>
      <c r="C1888" s="285" t="str">
        <f t="shared" si="1"/>
        <v>37 1</v>
      </c>
      <c r="D1888" s="285" t="s">
        <v>10543</v>
      </c>
    </row>
    <row r="1889">
      <c r="A1889" s="283">
        <v>37.0</v>
      </c>
      <c r="B1889" s="284">
        <v>3.0</v>
      </c>
      <c r="C1889" s="285" t="str">
        <f t="shared" si="1"/>
        <v>37 3</v>
      </c>
      <c r="D1889" s="285" t="s">
        <v>10544</v>
      </c>
    </row>
    <row r="1890">
      <c r="A1890" s="283">
        <v>37.0</v>
      </c>
      <c r="B1890" s="284">
        <v>5.0</v>
      </c>
      <c r="C1890" s="285" t="str">
        <f t="shared" si="1"/>
        <v>37 5</v>
      </c>
      <c r="D1890" s="285" t="s">
        <v>10545</v>
      </c>
    </row>
    <row r="1891">
      <c r="A1891" s="283">
        <v>37.0</v>
      </c>
      <c r="B1891" s="284">
        <v>7.0</v>
      </c>
      <c r="C1891" s="285" t="str">
        <f t="shared" si="1"/>
        <v>37 7</v>
      </c>
      <c r="D1891" s="285" t="s">
        <v>10546</v>
      </c>
    </row>
    <row r="1892">
      <c r="A1892" s="283">
        <v>37.0</v>
      </c>
      <c r="B1892" s="284">
        <v>9.0</v>
      </c>
      <c r="C1892" s="285" t="str">
        <f t="shared" si="1"/>
        <v>37 9</v>
      </c>
      <c r="D1892" s="285" t="s">
        <v>10547</v>
      </c>
    </row>
    <row r="1893">
      <c r="A1893" s="283">
        <v>37.0</v>
      </c>
      <c r="B1893" s="284">
        <v>11.0</v>
      </c>
      <c r="C1893" s="285" t="str">
        <f t="shared" si="1"/>
        <v>37 11</v>
      </c>
      <c r="D1893" s="285" t="s">
        <v>10548</v>
      </c>
    </row>
    <row r="1894">
      <c r="A1894" s="283">
        <v>37.0</v>
      </c>
      <c r="B1894" s="284">
        <v>13.0</v>
      </c>
      <c r="C1894" s="285" t="str">
        <f t="shared" si="1"/>
        <v>37 13</v>
      </c>
      <c r="D1894" s="285" t="s">
        <v>10549</v>
      </c>
    </row>
    <row r="1895">
      <c r="A1895" s="283">
        <v>37.0</v>
      </c>
      <c r="B1895" s="284">
        <v>15.0</v>
      </c>
      <c r="C1895" s="285" t="str">
        <f t="shared" si="1"/>
        <v>37 15</v>
      </c>
      <c r="D1895" s="285" t="s">
        <v>10550</v>
      </c>
    </row>
    <row r="1896">
      <c r="A1896" s="283">
        <v>37.0</v>
      </c>
      <c r="B1896" s="284">
        <v>17.0</v>
      </c>
      <c r="C1896" s="285" t="str">
        <f t="shared" si="1"/>
        <v>37 17</v>
      </c>
      <c r="D1896" s="285" t="s">
        <v>10551</v>
      </c>
    </row>
    <row r="1897">
      <c r="A1897" s="283">
        <v>37.0</v>
      </c>
      <c r="B1897" s="284">
        <v>19.0</v>
      </c>
      <c r="C1897" s="285" t="str">
        <f t="shared" si="1"/>
        <v>37 19</v>
      </c>
      <c r="D1897" s="285" t="s">
        <v>10552</v>
      </c>
    </row>
    <row r="1898">
      <c r="A1898" s="283">
        <v>37.0</v>
      </c>
      <c r="B1898" s="284">
        <v>21.0</v>
      </c>
      <c r="C1898" s="285" t="str">
        <f t="shared" si="1"/>
        <v>37 21</v>
      </c>
      <c r="D1898" s="285" t="s">
        <v>10553</v>
      </c>
    </row>
    <row r="1899">
      <c r="A1899" s="283">
        <v>37.0</v>
      </c>
      <c r="B1899" s="284">
        <v>23.0</v>
      </c>
      <c r="C1899" s="285" t="str">
        <f t="shared" si="1"/>
        <v>37 23</v>
      </c>
      <c r="D1899" s="285" t="s">
        <v>10554</v>
      </c>
    </row>
    <row r="1900">
      <c r="A1900" s="283">
        <v>37.0</v>
      </c>
      <c r="B1900" s="284">
        <v>25.0</v>
      </c>
      <c r="C1900" s="285" t="str">
        <f t="shared" si="1"/>
        <v>37 25</v>
      </c>
      <c r="D1900" s="285" t="s">
        <v>10555</v>
      </c>
    </row>
    <row r="1901">
      <c r="A1901" s="283">
        <v>37.0</v>
      </c>
      <c r="B1901" s="284">
        <v>27.0</v>
      </c>
      <c r="C1901" s="285" t="str">
        <f t="shared" si="1"/>
        <v>37 27</v>
      </c>
      <c r="D1901" s="285" t="s">
        <v>10556</v>
      </c>
    </row>
    <row r="1902">
      <c r="A1902" s="283">
        <v>37.0</v>
      </c>
      <c r="B1902" s="284">
        <v>29.0</v>
      </c>
      <c r="C1902" s="285" t="str">
        <f t="shared" si="1"/>
        <v>37 29</v>
      </c>
      <c r="D1902" s="285" t="s">
        <v>10557</v>
      </c>
    </row>
    <row r="1903">
      <c r="A1903" s="283">
        <v>37.0</v>
      </c>
      <c r="B1903" s="284">
        <v>31.0</v>
      </c>
      <c r="C1903" s="285" t="str">
        <f t="shared" si="1"/>
        <v>37 31</v>
      </c>
      <c r="D1903" s="285" t="s">
        <v>10558</v>
      </c>
    </row>
    <row r="1904">
      <c r="A1904" s="283">
        <v>37.0</v>
      </c>
      <c r="B1904" s="284">
        <v>33.0</v>
      </c>
      <c r="C1904" s="285" t="str">
        <f t="shared" si="1"/>
        <v>37 33</v>
      </c>
      <c r="D1904" s="285" t="s">
        <v>10559</v>
      </c>
    </row>
    <row r="1905">
      <c r="A1905" s="283">
        <v>37.0</v>
      </c>
      <c r="B1905" s="284">
        <v>35.0</v>
      </c>
      <c r="C1905" s="285" t="str">
        <f t="shared" si="1"/>
        <v>37 35</v>
      </c>
      <c r="D1905" s="285" t="s">
        <v>10560</v>
      </c>
    </row>
    <row r="1906">
      <c r="A1906" s="283">
        <v>37.0</v>
      </c>
      <c r="B1906" s="284">
        <v>37.0</v>
      </c>
      <c r="C1906" s="285" t="str">
        <f t="shared" si="1"/>
        <v>37 37</v>
      </c>
      <c r="D1906" s="285" t="s">
        <v>10561</v>
      </c>
    </row>
    <row r="1907">
      <c r="A1907" s="283">
        <v>37.0</v>
      </c>
      <c r="B1907" s="284">
        <v>39.0</v>
      </c>
      <c r="C1907" s="285" t="str">
        <f t="shared" si="1"/>
        <v>37 39</v>
      </c>
      <c r="D1907" s="285" t="s">
        <v>10562</v>
      </c>
    </row>
    <row r="1908">
      <c r="A1908" s="283">
        <v>37.0</v>
      </c>
      <c r="B1908" s="284">
        <v>41.0</v>
      </c>
      <c r="C1908" s="285" t="str">
        <f t="shared" si="1"/>
        <v>37 41</v>
      </c>
      <c r="D1908" s="285" t="s">
        <v>10563</v>
      </c>
    </row>
    <row r="1909">
      <c r="A1909" s="283">
        <v>37.0</v>
      </c>
      <c r="B1909" s="284">
        <v>43.0</v>
      </c>
      <c r="C1909" s="285" t="str">
        <f t="shared" si="1"/>
        <v>37 43</v>
      </c>
      <c r="D1909" s="285" t="s">
        <v>10564</v>
      </c>
    </row>
    <row r="1910">
      <c r="A1910" s="283">
        <v>37.0</v>
      </c>
      <c r="B1910" s="284">
        <v>45.0</v>
      </c>
      <c r="C1910" s="285" t="str">
        <f t="shared" si="1"/>
        <v>37 45</v>
      </c>
      <c r="D1910" s="285" t="s">
        <v>10565</v>
      </c>
    </row>
    <row r="1911">
      <c r="A1911" s="283">
        <v>37.0</v>
      </c>
      <c r="B1911" s="284">
        <v>47.0</v>
      </c>
      <c r="C1911" s="285" t="str">
        <f t="shared" si="1"/>
        <v>37 47</v>
      </c>
      <c r="D1911" s="285" t="s">
        <v>10566</v>
      </c>
    </row>
    <row r="1912">
      <c r="A1912" s="283">
        <v>37.0</v>
      </c>
      <c r="B1912" s="284">
        <v>49.0</v>
      </c>
      <c r="C1912" s="285" t="str">
        <f t="shared" si="1"/>
        <v>37 49</v>
      </c>
      <c r="D1912" s="285" t="s">
        <v>10567</v>
      </c>
    </row>
    <row r="1913">
      <c r="A1913" s="283">
        <v>37.0</v>
      </c>
      <c r="B1913" s="284">
        <v>51.0</v>
      </c>
      <c r="C1913" s="285" t="str">
        <f t="shared" si="1"/>
        <v>37 51</v>
      </c>
      <c r="D1913" s="285" t="s">
        <v>10568</v>
      </c>
    </row>
    <row r="1914">
      <c r="A1914" s="283">
        <v>37.0</v>
      </c>
      <c r="B1914" s="284">
        <v>53.0</v>
      </c>
      <c r="C1914" s="285" t="str">
        <f t="shared" si="1"/>
        <v>37 53</v>
      </c>
      <c r="D1914" s="285" t="s">
        <v>10569</v>
      </c>
    </row>
    <row r="1915">
      <c r="A1915" s="283">
        <v>37.0</v>
      </c>
      <c r="B1915" s="284">
        <v>55.0</v>
      </c>
      <c r="C1915" s="285" t="str">
        <f t="shared" si="1"/>
        <v>37 55</v>
      </c>
      <c r="D1915" s="285" t="s">
        <v>10570</v>
      </c>
    </row>
    <row r="1916">
      <c r="A1916" s="283">
        <v>37.0</v>
      </c>
      <c r="B1916" s="284">
        <v>57.0</v>
      </c>
      <c r="C1916" s="285" t="str">
        <f t="shared" si="1"/>
        <v>37 57</v>
      </c>
      <c r="D1916" s="285" t="s">
        <v>10571</v>
      </c>
    </row>
    <row r="1917">
      <c r="A1917" s="283">
        <v>37.0</v>
      </c>
      <c r="B1917" s="284">
        <v>59.0</v>
      </c>
      <c r="C1917" s="285" t="str">
        <f t="shared" si="1"/>
        <v>37 59</v>
      </c>
      <c r="D1917" s="285" t="s">
        <v>10572</v>
      </c>
    </row>
    <row r="1918">
      <c r="A1918" s="283">
        <v>37.0</v>
      </c>
      <c r="B1918" s="284">
        <v>61.0</v>
      </c>
      <c r="C1918" s="285" t="str">
        <f t="shared" si="1"/>
        <v>37 61</v>
      </c>
      <c r="D1918" s="285" t="s">
        <v>10573</v>
      </c>
    </row>
    <row r="1919">
      <c r="A1919" s="283">
        <v>37.0</v>
      </c>
      <c r="B1919" s="284">
        <v>63.0</v>
      </c>
      <c r="C1919" s="285" t="str">
        <f t="shared" si="1"/>
        <v>37 63</v>
      </c>
      <c r="D1919" s="285" t="s">
        <v>10574</v>
      </c>
    </row>
    <row r="1920">
      <c r="A1920" s="283">
        <v>37.0</v>
      </c>
      <c r="B1920" s="284">
        <v>65.0</v>
      </c>
      <c r="C1920" s="285" t="str">
        <f t="shared" si="1"/>
        <v>37 65</v>
      </c>
      <c r="D1920" s="285" t="s">
        <v>10575</v>
      </c>
    </row>
    <row r="1921">
      <c r="A1921" s="283">
        <v>37.0</v>
      </c>
      <c r="B1921" s="284">
        <v>67.0</v>
      </c>
      <c r="C1921" s="285" t="str">
        <f t="shared" si="1"/>
        <v>37 67</v>
      </c>
      <c r="D1921" s="285" t="s">
        <v>10576</v>
      </c>
    </row>
    <row r="1922">
      <c r="A1922" s="283">
        <v>37.0</v>
      </c>
      <c r="B1922" s="284">
        <v>69.0</v>
      </c>
      <c r="C1922" s="285" t="str">
        <f t="shared" si="1"/>
        <v>37 69</v>
      </c>
      <c r="D1922" s="285" t="s">
        <v>10577</v>
      </c>
    </row>
    <row r="1923">
      <c r="A1923" s="283">
        <v>37.0</v>
      </c>
      <c r="B1923" s="284">
        <v>71.0</v>
      </c>
      <c r="C1923" s="285" t="str">
        <f t="shared" si="1"/>
        <v>37 71</v>
      </c>
      <c r="D1923" s="285" t="s">
        <v>10578</v>
      </c>
    </row>
    <row r="1924">
      <c r="A1924" s="283">
        <v>37.0</v>
      </c>
      <c r="B1924" s="284">
        <v>73.0</v>
      </c>
      <c r="C1924" s="285" t="str">
        <f t="shared" si="1"/>
        <v>37 73</v>
      </c>
      <c r="D1924" s="285" t="s">
        <v>10579</v>
      </c>
    </row>
    <row r="1925">
      <c r="A1925" s="283">
        <v>37.0</v>
      </c>
      <c r="B1925" s="284">
        <v>75.0</v>
      </c>
      <c r="C1925" s="285" t="str">
        <f t="shared" si="1"/>
        <v>37 75</v>
      </c>
      <c r="D1925" s="285" t="s">
        <v>10580</v>
      </c>
    </row>
    <row r="1926">
      <c r="A1926" s="283">
        <v>37.0</v>
      </c>
      <c r="B1926" s="284">
        <v>77.0</v>
      </c>
      <c r="C1926" s="285" t="str">
        <f t="shared" si="1"/>
        <v>37 77</v>
      </c>
      <c r="D1926" s="285" t="s">
        <v>10581</v>
      </c>
    </row>
    <row r="1927">
      <c r="A1927" s="283">
        <v>37.0</v>
      </c>
      <c r="B1927" s="284">
        <v>79.0</v>
      </c>
      <c r="C1927" s="285" t="str">
        <f t="shared" si="1"/>
        <v>37 79</v>
      </c>
      <c r="D1927" s="285" t="s">
        <v>10582</v>
      </c>
    </row>
    <row r="1928">
      <c r="A1928" s="283">
        <v>37.0</v>
      </c>
      <c r="B1928" s="284">
        <v>81.0</v>
      </c>
      <c r="C1928" s="285" t="str">
        <f t="shared" si="1"/>
        <v>37 81</v>
      </c>
      <c r="D1928" s="285" t="s">
        <v>10583</v>
      </c>
    </row>
    <row r="1929">
      <c r="A1929" s="283">
        <v>37.0</v>
      </c>
      <c r="B1929" s="284">
        <v>83.0</v>
      </c>
      <c r="C1929" s="285" t="str">
        <f t="shared" si="1"/>
        <v>37 83</v>
      </c>
      <c r="D1929" s="285" t="s">
        <v>10584</v>
      </c>
    </row>
    <row r="1930">
      <c r="A1930" s="283">
        <v>37.0</v>
      </c>
      <c r="B1930" s="284">
        <v>85.0</v>
      </c>
      <c r="C1930" s="285" t="str">
        <f t="shared" si="1"/>
        <v>37 85</v>
      </c>
      <c r="D1930" s="285" t="s">
        <v>10585</v>
      </c>
    </row>
    <row r="1931">
      <c r="A1931" s="283">
        <v>37.0</v>
      </c>
      <c r="B1931" s="284">
        <v>87.0</v>
      </c>
      <c r="C1931" s="285" t="str">
        <f t="shared" si="1"/>
        <v>37 87</v>
      </c>
      <c r="D1931" s="285" t="s">
        <v>10586</v>
      </c>
    </row>
    <row r="1932">
      <c r="A1932" s="283">
        <v>37.0</v>
      </c>
      <c r="B1932" s="284">
        <v>89.0</v>
      </c>
      <c r="C1932" s="285" t="str">
        <f t="shared" si="1"/>
        <v>37 89</v>
      </c>
      <c r="D1932" s="285" t="s">
        <v>10587</v>
      </c>
    </row>
    <row r="1933">
      <c r="A1933" s="283">
        <v>37.0</v>
      </c>
      <c r="B1933" s="284">
        <v>91.0</v>
      </c>
      <c r="C1933" s="285" t="str">
        <f t="shared" si="1"/>
        <v>37 91</v>
      </c>
      <c r="D1933" s="285" t="s">
        <v>10588</v>
      </c>
    </row>
    <row r="1934">
      <c r="A1934" s="283">
        <v>37.0</v>
      </c>
      <c r="B1934" s="284">
        <v>93.0</v>
      </c>
      <c r="C1934" s="285" t="str">
        <f t="shared" si="1"/>
        <v>37 93</v>
      </c>
      <c r="D1934" s="285" t="s">
        <v>10589</v>
      </c>
    </row>
    <row r="1935">
      <c r="A1935" s="283">
        <v>37.0</v>
      </c>
      <c r="B1935" s="284">
        <v>95.0</v>
      </c>
      <c r="C1935" s="285" t="str">
        <f t="shared" si="1"/>
        <v>37 95</v>
      </c>
      <c r="D1935" s="285" t="s">
        <v>10590</v>
      </c>
    </row>
    <row r="1936">
      <c r="A1936" s="283">
        <v>37.0</v>
      </c>
      <c r="B1936" s="284">
        <v>97.0</v>
      </c>
      <c r="C1936" s="285" t="str">
        <f t="shared" si="1"/>
        <v>37 97</v>
      </c>
      <c r="D1936" s="285" t="s">
        <v>10591</v>
      </c>
    </row>
    <row r="1937">
      <c r="A1937" s="283">
        <v>37.0</v>
      </c>
      <c r="B1937" s="284">
        <v>99.0</v>
      </c>
      <c r="C1937" s="285" t="str">
        <f t="shared" si="1"/>
        <v>37 99</v>
      </c>
      <c r="D1937" s="285" t="s">
        <v>10592</v>
      </c>
    </row>
    <row r="1938">
      <c r="A1938" s="283">
        <v>37.0</v>
      </c>
      <c r="B1938" s="284">
        <v>101.0</v>
      </c>
      <c r="C1938" s="285" t="str">
        <f t="shared" si="1"/>
        <v>37 101</v>
      </c>
      <c r="D1938" s="285" t="s">
        <v>10593</v>
      </c>
    </row>
    <row r="1939">
      <c r="A1939" s="283">
        <v>37.0</v>
      </c>
      <c r="B1939" s="284">
        <v>103.0</v>
      </c>
      <c r="C1939" s="285" t="str">
        <f t="shared" si="1"/>
        <v>37 103</v>
      </c>
      <c r="D1939" s="285" t="s">
        <v>10594</v>
      </c>
    </row>
    <row r="1940">
      <c r="A1940" s="283">
        <v>37.0</v>
      </c>
      <c r="B1940" s="284">
        <v>105.0</v>
      </c>
      <c r="C1940" s="285" t="str">
        <f t="shared" si="1"/>
        <v>37 105</v>
      </c>
      <c r="D1940" s="285" t="s">
        <v>10595</v>
      </c>
    </row>
    <row r="1941">
      <c r="A1941" s="283">
        <v>37.0</v>
      </c>
      <c r="B1941" s="284">
        <v>107.0</v>
      </c>
      <c r="C1941" s="285" t="str">
        <f t="shared" si="1"/>
        <v>37 107</v>
      </c>
      <c r="D1941" s="285" t="s">
        <v>10596</v>
      </c>
    </row>
    <row r="1942">
      <c r="A1942" s="283">
        <v>37.0</v>
      </c>
      <c r="B1942" s="284">
        <v>109.0</v>
      </c>
      <c r="C1942" s="285" t="str">
        <f t="shared" si="1"/>
        <v>37 109</v>
      </c>
      <c r="D1942" s="285" t="s">
        <v>10597</v>
      </c>
    </row>
    <row r="1943">
      <c r="A1943" s="283">
        <v>37.0</v>
      </c>
      <c r="B1943" s="284">
        <v>111.0</v>
      </c>
      <c r="C1943" s="285" t="str">
        <f t="shared" si="1"/>
        <v>37 111</v>
      </c>
      <c r="D1943" s="285" t="s">
        <v>10598</v>
      </c>
    </row>
    <row r="1944">
      <c r="A1944" s="283">
        <v>37.0</v>
      </c>
      <c r="B1944" s="284">
        <v>113.0</v>
      </c>
      <c r="C1944" s="285" t="str">
        <f t="shared" si="1"/>
        <v>37 113</v>
      </c>
      <c r="D1944" s="285" t="s">
        <v>10599</v>
      </c>
    </row>
    <row r="1945">
      <c r="A1945" s="283">
        <v>37.0</v>
      </c>
      <c r="B1945" s="284">
        <v>115.0</v>
      </c>
      <c r="C1945" s="285" t="str">
        <f t="shared" si="1"/>
        <v>37 115</v>
      </c>
      <c r="D1945" s="285" t="s">
        <v>10600</v>
      </c>
    </row>
    <row r="1946">
      <c r="A1946" s="283">
        <v>37.0</v>
      </c>
      <c r="B1946" s="284">
        <v>117.0</v>
      </c>
      <c r="C1946" s="285" t="str">
        <f t="shared" si="1"/>
        <v>37 117</v>
      </c>
      <c r="D1946" s="285" t="s">
        <v>10601</v>
      </c>
    </row>
    <row r="1947">
      <c r="A1947" s="283">
        <v>37.0</v>
      </c>
      <c r="B1947" s="284">
        <v>119.0</v>
      </c>
      <c r="C1947" s="285" t="str">
        <f t="shared" si="1"/>
        <v>37 119</v>
      </c>
      <c r="D1947" s="285" t="s">
        <v>10602</v>
      </c>
    </row>
    <row r="1948">
      <c r="A1948" s="283">
        <v>37.0</v>
      </c>
      <c r="B1948" s="284">
        <v>121.0</v>
      </c>
      <c r="C1948" s="285" t="str">
        <f t="shared" si="1"/>
        <v>37 121</v>
      </c>
      <c r="D1948" s="285" t="s">
        <v>10603</v>
      </c>
    </row>
    <row r="1949">
      <c r="A1949" s="283">
        <v>37.0</v>
      </c>
      <c r="B1949" s="284">
        <v>123.0</v>
      </c>
      <c r="C1949" s="285" t="str">
        <f t="shared" si="1"/>
        <v>37 123</v>
      </c>
      <c r="D1949" s="285" t="s">
        <v>10604</v>
      </c>
    </row>
    <row r="1950">
      <c r="A1950" s="283">
        <v>37.0</v>
      </c>
      <c r="B1950" s="284">
        <v>125.0</v>
      </c>
      <c r="C1950" s="285" t="str">
        <f t="shared" si="1"/>
        <v>37 125</v>
      </c>
      <c r="D1950" s="285" t="s">
        <v>10605</v>
      </c>
    </row>
    <row r="1951">
      <c r="A1951" s="283">
        <v>37.0</v>
      </c>
      <c r="B1951" s="284">
        <v>127.0</v>
      </c>
      <c r="C1951" s="285" t="str">
        <f t="shared" si="1"/>
        <v>37 127</v>
      </c>
      <c r="D1951" s="285" t="s">
        <v>10606</v>
      </c>
    </row>
    <row r="1952">
      <c r="A1952" s="283">
        <v>37.0</v>
      </c>
      <c r="B1952" s="284">
        <v>129.0</v>
      </c>
      <c r="C1952" s="285" t="str">
        <f t="shared" si="1"/>
        <v>37 129</v>
      </c>
      <c r="D1952" s="285" t="s">
        <v>10607</v>
      </c>
    </row>
    <row r="1953">
      <c r="A1953" s="283">
        <v>37.0</v>
      </c>
      <c r="B1953" s="284">
        <v>131.0</v>
      </c>
      <c r="C1953" s="285" t="str">
        <f t="shared" si="1"/>
        <v>37 131</v>
      </c>
      <c r="D1953" s="285" t="s">
        <v>10608</v>
      </c>
    </row>
    <row r="1954">
      <c r="A1954" s="283">
        <v>37.0</v>
      </c>
      <c r="B1954" s="284">
        <v>133.0</v>
      </c>
      <c r="C1954" s="285" t="str">
        <f t="shared" si="1"/>
        <v>37 133</v>
      </c>
      <c r="D1954" s="285" t="s">
        <v>10609</v>
      </c>
    </row>
    <row r="1955">
      <c r="A1955" s="283">
        <v>37.0</v>
      </c>
      <c r="B1955" s="284">
        <v>135.0</v>
      </c>
      <c r="C1955" s="285" t="str">
        <f t="shared" si="1"/>
        <v>37 135</v>
      </c>
      <c r="D1955" s="285" t="s">
        <v>10610</v>
      </c>
    </row>
    <row r="1956">
      <c r="A1956" s="283">
        <v>37.0</v>
      </c>
      <c r="B1956" s="284">
        <v>137.0</v>
      </c>
      <c r="C1956" s="285" t="str">
        <f t="shared" si="1"/>
        <v>37 137</v>
      </c>
      <c r="D1956" s="285" t="s">
        <v>10611</v>
      </c>
    </row>
    <row r="1957">
      <c r="A1957" s="283">
        <v>37.0</v>
      </c>
      <c r="B1957" s="284">
        <v>139.0</v>
      </c>
      <c r="C1957" s="285" t="str">
        <f t="shared" si="1"/>
        <v>37 139</v>
      </c>
      <c r="D1957" s="285" t="s">
        <v>10612</v>
      </c>
    </row>
    <row r="1958">
      <c r="A1958" s="283">
        <v>37.0</v>
      </c>
      <c r="B1958" s="284">
        <v>141.0</v>
      </c>
      <c r="C1958" s="285" t="str">
        <f t="shared" si="1"/>
        <v>37 141</v>
      </c>
      <c r="D1958" s="285" t="s">
        <v>10613</v>
      </c>
    </row>
    <row r="1959">
      <c r="A1959" s="283">
        <v>37.0</v>
      </c>
      <c r="B1959" s="284">
        <v>143.0</v>
      </c>
      <c r="C1959" s="285" t="str">
        <f t="shared" si="1"/>
        <v>37 143</v>
      </c>
      <c r="D1959" s="285" t="s">
        <v>10614</v>
      </c>
    </row>
    <row r="1960">
      <c r="A1960" s="283">
        <v>37.0</v>
      </c>
      <c r="B1960" s="284">
        <v>145.0</v>
      </c>
      <c r="C1960" s="285" t="str">
        <f t="shared" si="1"/>
        <v>37 145</v>
      </c>
      <c r="D1960" s="285" t="s">
        <v>10615</v>
      </c>
    </row>
    <row r="1961">
      <c r="A1961" s="283">
        <v>37.0</v>
      </c>
      <c r="B1961" s="284">
        <v>147.0</v>
      </c>
      <c r="C1961" s="285" t="str">
        <f t="shared" si="1"/>
        <v>37 147</v>
      </c>
      <c r="D1961" s="285" t="s">
        <v>10616</v>
      </c>
    </row>
    <row r="1962">
      <c r="A1962" s="283">
        <v>37.0</v>
      </c>
      <c r="B1962" s="284">
        <v>149.0</v>
      </c>
      <c r="C1962" s="285" t="str">
        <f t="shared" si="1"/>
        <v>37 149</v>
      </c>
      <c r="D1962" s="285" t="s">
        <v>10617</v>
      </c>
    </row>
    <row r="1963">
      <c r="A1963" s="283">
        <v>37.0</v>
      </c>
      <c r="B1963" s="284">
        <v>151.0</v>
      </c>
      <c r="C1963" s="285" t="str">
        <f t="shared" si="1"/>
        <v>37 151</v>
      </c>
      <c r="D1963" s="285" t="s">
        <v>10618</v>
      </c>
    </row>
    <row r="1964">
      <c r="A1964" s="283">
        <v>37.0</v>
      </c>
      <c r="B1964" s="284">
        <v>153.0</v>
      </c>
      <c r="C1964" s="285" t="str">
        <f t="shared" si="1"/>
        <v>37 153</v>
      </c>
      <c r="D1964" s="285" t="s">
        <v>10619</v>
      </c>
    </row>
    <row r="1965">
      <c r="A1965" s="283">
        <v>37.0</v>
      </c>
      <c r="B1965" s="284">
        <v>155.0</v>
      </c>
      <c r="C1965" s="285" t="str">
        <f t="shared" si="1"/>
        <v>37 155</v>
      </c>
      <c r="D1965" s="285" t="s">
        <v>10620</v>
      </c>
    </row>
    <row r="1966">
      <c r="A1966" s="283">
        <v>37.0</v>
      </c>
      <c r="B1966" s="284">
        <v>157.0</v>
      </c>
      <c r="C1966" s="285" t="str">
        <f t="shared" si="1"/>
        <v>37 157</v>
      </c>
      <c r="D1966" s="285" t="s">
        <v>10621</v>
      </c>
    </row>
    <row r="1967">
      <c r="A1967" s="283">
        <v>37.0</v>
      </c>
      <c r="B1967" s="284">
        <v>159.0</v>
      </c>
      <c r="C1967" s="285" t="str">
        <f t="shared" si="1"/>
        <v>37 159</v>
      </c>
      <c r="D1967" s="285" t="s">
        <v>10622</v>
      </c>
    </row>
    <row r="1968">
      <c r="A1968" s="283">
        <v>37.0</v>
      </c>
      <c r="B1968" s="284">
        <v>161.0</v>
      </c>
      <c r="C1968" s="285" t="str">
        <f t="shared" si="1"/>
        <v>37 161</v>
      </c>
      <c r="D1968" s="285" t="s">
        <v>10623</v>
      </c>
    </row>
    <row r="1969">
      <c r="A1969" s="283">
        <v>37.0</v>
      </c>
      <c r="B1969" s="284">
        <v>163.0</v>
      </c>
      <c r="C1969" s="285" t="str">
        <f t="shared" si="1"/>
        <v>37 163</v>
      </c>
      <c r="D1969" s="285" t="s">
        <v>10624</v>
      </c>
    </row>
    <row r="1970">
      <c r="A1970" s="283">
        <v>37.0</v>
      </c>
      <c r="B1970" s="284">
        <v>165.0</v>
      </c>
      <c r="C1970" s="285" t="str">
        <f t="shared" si="1"/>
        <v>37 165</v>
      </c>
      <c r="D1970" s="285" t="s">
        <v>10625</v>
      </c>
    </row>
    <row r="1971">
      <c r="A1971" s="283">
        <v>37.0</v>
      </c>
      <c r="B1971" s="284">
        <v>167.0</v>
      </c>
      <c r="C1971" s="285" t="str">
        <f t="shared" si="1"/>
        <v>37 167</v>
      </c>
      <c r="D1971" s="285" t="s">
        <v>10626</v>
      </c>
    </row>
    <row r="1972">
      <c r="A1972" s="283">
        <v>37.0</v>
      </c>
      <c r="B1972" s="284">
        <v>169.0</v>
      </c>
      <c r="C1972" s="285" t="str">
        <f t="shared" si="1"/>
        <v>37 169</v>
      </c>
      <c r="D1972" s="285" t="s">
        <v>10627</v>
      </c>
    </row>
    <row r="1973">
      <c r="A1973" s="283">
        <v>37.0</v>
      </c>
      <c r="B1973" s="284">
        <v>171.0</v>
      </c>
      <c r="C1973" s="285" t="str">
        <f t="shared" si="1"/>
        <v>37 171</v>
      </c>
      <c r="D1973" s="285" t="s">
        <v>10628</v>
      </c>
    </row>
    <row r="1974">
      <c r="A1974" s="283">
        <v>37.0</v>
      </c>
      <c r="B1974" s="284">
        <v>173.0</v>
      </c>
      <c r="C1974" s="285" t="str">
        <f t="shared" si="1"/>
        <v>37 173</v>
      </c>
      <c r="D1974" s="285" t="s">
        <v>10629</v>
      </c>
    </row>
    <row r="1975">
      <c r="A1975" s="283">
        <v>37.0</v>
      </c>
      <c r="B1975" s="284">
        <v>175.0</v>
      </c>
      <c r="C1975" s="285" t="str">
        <f t="shared" si="1"/>
        <v>37 175</v>
      </c>
      <c r="D1975" s="285" t="s">
        <v>10630</v>
      </c>
    </row>
    <row r="1976">
      <c r="A1976" s="283">
        <v>37.0</v>
      </c>
      <c r="B1976" s="284">
        <v>177.0</v>
      </c>
      <c r="C1976" s="285" t="str">
        <f t="shared" si="1"/>
        <v>37 177</v>
      </c>
      <c r="D1976" s="285" t="s">
        <v>10631</v>
      </c>
    </row>
    <row r="1977">
      <c r="A1977" s="283">
        <v>37.0</v>
      </c>
      <c r="B1977" s="284">
        <v>179.0</v>
      </c>
      <c r="C1977" s="285" t="str">
        <f t="shared" si="1"/>
        <v>37 179</v>
      </c>
      <c r="D1977" s="285" t="s">
        <v>10632</v>
      </c>
    </row>
    <row r="1978">
      <c r="A1978" s="283">
        <v>37.0</v>
      </c>
      <c r="B1978" s="284">
        <v>181.0</v>
      </c>
      <c r="C1978" s="285" t="str">
        <f t="shared" si="1"/>
        <v>37 181</v>
      </c>
      <c r="D1978" s="285" t="s">
        <v>10633</v>
      </c>
    </row>
    <row r="1979">
      <c r="A1979" s="283">
        <v>37.0</v>
      </c>
      <c r="B1979" s="284">
        <v>183.0</v>
      </c>
      <c r="C1979" s="285" t="str">
        <f t="shared" si="1"/>
        <v>37 183</v>
      </c>
      <c r="D1979" s="285" t="s">
        <v>10634</v>
      </c>
    </row>
    <row r="1980">
      <c r="A1980" s="283">
        <v>37.0</v>
      </c>
      <c r="B1980" s="284">
        <v>185.0</v>
      </c>
      <c r="C1980" s="285" t="str">
        <f t="shared" si="1"/>
        <v>37 185</v>
      </c>
      <c r="D1980" s="285" t="s">
        <v>10635</v>
      </c>
    </row>
    <row r="1981">
      <c r="A1981" s="283">
        <v>37.0</v>
      </c>
      <c r="B1981" s="284">
        <v>187.0</v>
      </c>
      <c r="C1981" s="285" t="str">
        <f t="shared" si="1"/>
        <v>37 187</v>
      </c>
      <c r="D1981" s="285" t="s">
        <v>10636</v>
      </c>
    </row>
    <row r="1982">
      <c r="A1982" s="283">
        <v>37.0</v>
      </c>
      <c r="B1982" s="284">
        <v>189.0</v>
      </c>
      <c r="C1982" s="285" t="str">
        <f t="shared" si="1"/>
        <v>37 189</v>
      </c>
      <c r="D1982" s="285" t="s">
        <v>10637</v>
      </c>
    </row>
    <row r="1983">
      <c r="A1983" s="283">
        <v>37.0</v>
      </c>
      <c r="B1983" s="284">
        <v>191.0</v>
      </c>
      <c r="C1983" s="285" t="str">
        <f t="shared" si="1"/>
        <v>37 191</v>
      </c>
      <c r="D1983" s="285" t="s">
        <v>10638</v>
      </c>
    </row>
    <row r="1984">
      <c r="A1984" s="283">
        <v>37.0</v>
      </c>
      <c r="B1984" s="284">
        <v>193.0</v>
      </c>
      <c r="C1984" s="285" t="str">
        <f t="shared" si="1"/>
        <v>37 193</v>
      </c>
      <c r="D1984" s="285" t="s">
        <v>10639</v>
      </c>
    </row>
    <row r="1985">
      <c r="A1985" s="283">
        <v>37.0</v>
      </c>
      <c r="B1985" s="284">
        <v>195.0</v>
      </c>
      <c r="C1985" s="285" t="str">
        <f t="shared" si="1"/>
        <v>37 195</v>
      </c>
      <c r="D1985" s="285" t="s">
        <v>10640</v>
      </c>
    </row>
    <row r="1986">
      <c r="A1986" s="283">
        <v>37.0</v>
      </c>
      <c r="B1986" s="284">
        <v>197.0</v>
      </c>
      <c r="C1986" s="285" t="str">
        <f t="shared" si="1"/>
        <v>37 197</v>
      </c>
      <c r="D1986" s="285" t="s">
        <v>10641</v>
      </c>
    </row>
    <row r="1987">
      <c r="A1987" s="283">
        <v>37.0</v>
      </c>
      <c r="B1987" s="284">
        <v>199.0</v>
      </c>
      <c r="C1987" s="285" t="str">
        <f t="shared" si="1"/>
        <v>37 199</v>
      </c>
      <c r="D1987" s="285" t="s">
        <v>10642</v>
      </c>
    </row>
    <row r="1988">
      <c r="A1988" s="283">
        <v>38.0</v>
      </c>
      <c r="B1988" s="284">
        <v>1.0</v>
      </c>
      <c r="C1988" s="285" t="str">
        <f t="shared" si="1"/>
        <v>38 1</v>
      </c>
      <c r="D1988" s="285" t="s">
        <v>10643</v>
      </c>
    </row>
    <row r="1989">
      <c r="A1989" s="283">
        <v>38.0</v>
      </c>
      <c r="B1989" s="284">
        <v>3.0</v>
      </c>
      <c r="C1989" s="285" t="str">
        <f t="shared" si="1"/>
        <v>38 3</v>
      </c>
      <c r="D1989" s="285" t="s">
        <v>10644</v>
      </c>
    </row>
    <row r="1990">
      <c r="A1990" s="283">
        <v>38.0</v>
      </c>
      <c r="B1990" s="284">
        <v>5.0</v>
      </c>
      <c r="C1990" s="285" t="str">
        <f t="shared" si="1"/>
        <v>38 5</v>
      </c>
      <c r="D1990" s="285" t="s">
        <v>10645</v>
      </c>
    </row>
    <row r="1991">
      <c r="A1991" s="283">
        <v>38.0</v>
      </c>
      <c r="B1991" s="284">
        <v>7.0</v>
      </c>
      <c r="C1991" s="285" t="str">
        <f t="shared" si="1"/>
        <v>38 7</v>
      </c>
      <c r="D1991" s="285" t="s">
        <v>10646</v>
      </c>
    </row>
    <row r="1992">
      <c r="A1992" s="283">
        <v>38.0</v>
      </c>
      <c r="B1992" s="284">
        <v>9.0</v>
      </c>
      <c r="C1992" s="285" t="str">
        <f t="shared" si="1"/>
        <v>38 9</v>
      </c>
      <c r="D1992" s="285" t="s">
        <v>10647</v>
      </c>
    </row>
    <row r="1993">
      <c r="A1993" s="283">
        <v>38.0</v>
      </c>
      <c r="B1993" s="284">
        <v>11.0</v>
      </c>
      <c r="C1993" s="285" t="str">
        <f t="shared" si="1"/>
        <v>38 11</v>
      </c>
      <c r="D1993" s="285" t="s">
        <v>10648</v>
      </c>
    </row>
    <row r="1994">
      <c r="A1994" s="283">
        <v>38.0</v>
      </c>
      <c r="B1994" s="284">
        <v>13.0</v>
      </c>
      <c r="C1994" s="285" t="str">
        <f t="shared" si="1"/>
        <v>38 13</v>
      </c>
      <c r="D1994" s="285" t="s">
        <v>10649</v>
      </c>
    </row>
    <row r="1995">
      <c r="A1995" s="283">
        <v>38.0</v>
      </c>
      <c r="B1995" s="284">
        <v>15.0</v>
      </c>
      <c r="C1995" s="285" t="str">
        <f t="shared" si="1"/>
        <v>38 15</v>
      </c>
      <c r="D1995" s="285" t="s">
        <v>10650</v>
      </c>
    </row>
    <row r="1996">
      <c r="A1996" s="283">
        <v>38.0</v>
      </c>
      <c r="B1996" s="284">
        <v>17.0</v>
      </c>
      <c r="C1996" s="285" t="str">
        <f t="shared" si="1"/>
        <v>38 17</v>
      </c>
      <c r="D1996" s="285" t="s">
        <v>10651</v>
      </c>
    </row>
    <row r="1997">
      <c r="A1997" s="283">
        <v>38.0</v>
      </c>
      <c r="B1997" s="284">
        <v>19.0</v>
      </c>
      <c r="C1997" s="285" t="str">
        <f t="shared" si="1"/>
        <v>38 19</v>
      </c>
      <c r="D1997" s="285" t="s">
        <v>10652</v>
      </c>
    </row>
    <row r="1998">
      <c r="A1998" s="283">
        <v>38.0</v>
      </c>
      <c r="B1998" s="284">
        <v>21.0</v>
      </c>
      <c r="C1998" s="285" t="str">
        <f t="shared" si="1"/>
        <v>38 21</v>
      </c>
      <c r="D1998" s="285" t="s">
        <v>10653</v>
      </c>
    </row>
    <row r="1999">
      <c r="A1999" s="283">
        <v>38.0</v>
      </c>
      <c r="B1999" s="284">
        <v>23.0</v>
      </c>
      <c r="C1999" s="285" t="str">
        <f t="shared" si="1"/>
        <v>38 23</v>
      </c>
      <c r="D1999" s="285" t="s">
        <v>10654</v>
      </c>
    </row>
    <row r="2000">
      <c r="A2000" s="283">
        <v>38.0</v>
      </c>
      <c r="B2000" s="284">
        <v>25.0</v>
      </c>
      <c r="C2000" s="285" t="str">
        <f t="shared" si="1"/>
        <v>38 25</v>
      </c>
      <c r="D2000" s="285" t="s">
        <v>10655</v>
      </c>
    </row>
    <row r="2001">
      <c r="A2001" s="283">
        <v>38.0</v>
      </c>
      <c r="B2001" s="284">
        <v>27.0</v>
      </c>
      <c r="C2001" s="285" t="str">
        <f t="shared" si="1"/>
        <v>38 27</v>
      </c>
      <c r="D2001" s="285" t="s">
        <v>10656</v>
      </c>
    </row>
    <row r="2002">
      <c r="A2002" s="283">
        <v>38.0</v>
      </c>
      <c r="B2002" s="284">
        <v>29.0</v>
      </c>
      <c r="C2002" s="285" t="str">
        <f t="shared" si="1"/>
        <v>38 29</v>
      </c>
      <c r="D2002" s="285" t="s">
        <v>10657</v>
      </c>
    </row>
    <row r="2003">
      <c r="A2003" s="283">
        <v>38.0</v>
      </c>
      <c r="B2003" s="284">
        <v>31.0</v>
      </c>
      <c r="C2003" s="285" t="str">
        <f t="shared" si="1"/>
        <v>38 31</v>
      </c>
      <c r="D2003" s="285" t="s">
        <v>10658</v>
      </c>
    </row>
    <row r="2004">
      <c r="A2004" s="283">
        <v>38.0</v>
      </c>
      <c r="B2004" s="284">
        <v>33.0</v>
      </c>
      <c r="C2004" s="285" t="str">
        <f t="shared" si="1"/>
        <v>38 33</v>
      </c>
      <c r="D2004" s="285" t="s">
        <v>10659</v>
      </c>
    </row>
    <row r="2005">
      <c r="A2005" s="283">
        <v>38.0</v>
      </c>
      <c r="B2005" s="284">
        <v>35.0</v>
      </c>
      <c r="C2005" s="285" t="str">
        <f t="shared" si="1"/>
        <v>38 35</v>
      </c>
      <c r="D2005" s="285" t="s">
        <v>10660</v>
      </c>
    </row>
    <row r="2006">
      <c r="A2006" s="283">
        <v>38.0</v>
      </c>
      <c r="B2006" s="284">
        <v>37.0</v>
      </c>
      <c r="C2006" s="285" t="str">
        <f t="shared" si="1"/>
        <v>38 37</v>
      </c>
      <c r="D2006" s="285" t="s">
        <v>10661</v>
      </c>
    </row>
    <row r="2007">
      <c r="A2007" s="283">
        <v>38.0</v>
      </c>
      <c r="B2007" s="284">
        <v>39.0</v>
      </c>
      <c r="C2007" s="285" t="str">
        <f t="shared" si="1"/>
        <v>38 39</v>
      </c>
      <c r="D2007" s="285" t="s">
        <v>10662</v>
      </c>
    </row>
    <row r="2008">
      <c r="A2008" s="283">
        <v>38.0</v>
      </c>
      <c r="B2008" s="284">
        <v>41.0</v>
      </c>
      <c r="C2008" s="285" t="str">
        <f t="shared" si="1"/>
        <v>38 41</v>
      </c>
      <c r="D2008" s="285" t="s">
        <v>10663</v>
      </c>
    </row>
    <row r="2009">
      <c r="A2009" s="283">
        <v>38.0</v>
      </c>
      <c r="B2009" s="284">
        <v>43.0</v>
      </c>
      <c r="C2009" s="285" t="str">
        <f t="shared" si="1"/>
        <v>38 43</v>
      </c>
      <c r="D2009" s="285" t="s">
        <v>10664</v>
      </c>
    </row>
    <row r="2010">
      <c r="A2010" s="283">
        <v>38.0</v>
      </c>
      <c r="B2010" s="284">
        <v>45.0</v>
      </c>
      <c r="C2010" s="285" t="str">
        <f t="shared" si="1"/>
        <v>38 45</v>
      </c>
      <c r="D2010" s="285" t="s">
        <v>10665</v>
      </c>
    </row>
    <row r="2011">
      <c r="A2011" s="283">
        <v>38.0</v>
      </c>
      <c r="B2011" s="284">
        <v>47.0</v>
      </c>
      <c r="C2011" s="285" t="str">
        <f t="shared" si="1"/>
        <v>38 47</v>
      </c>
      <c r="D2011" s="285" t="s">
        <v>10666</v>
      </c>
    </row>
    <row r="2012">
      <c r="A2012" s="283">
        <v>38.0</v>
      </c>
      <c r="B2012" s="284">
        <v>49.0</v>
      </c>
      <c r="C2012" s="285" t="str">
        <f t="shared" si="1"/>
        <v>38 49</v>
      </c>
      <c r="D2012" s="285" t="s">
        <v>10667</v>
      </c>
    </row>
    <row r="2013">
      <c r="A2013" s="283">
        <v>38.0</v>
      </c>
      <c r="B2013" s="284">
        <v>51.0</v>
      </c>
      <c r="C2013" s="285" t="str">
        <f t="shared" si="1"/>
        <v>38 51</v>
      </c>
      <c r="D2013" s="285" t="s">
        <v>10668</v>
      </c>
    </row>
    <row r="2014">
      <c r="A2014" s="283">
        <v>38.0</v>
      </c>
      <c r="B2014" s="284">
        <v>53.0</v>
      </c>
      <c r="C2014" s="285" t="str">
        <f t="shared" si="1"/>
        <v>38 53</v>
      </c>
      <c r="D2014" s="285" t="s">
        <v>10669</v>
      </c>
    </row>
    <row r="2015">
      <c r="A2015" s="283">
        <v>38.0</v>
      </c>
      <c r="B2015" s="284">
        <v>55.0</v>
      </c>
      <c r="C2015" s="285" t="str">
        <f t="shared" si="1"/>
        <v>38 55</v>
      </c>
      <c r="D2015" s="285" t="s">
        <v>10670</v>
      </c>
    </row>
    <row r="2016">
      <c r="A2016" s="283">
        <v>38.0</v>
      </c>
      <c r="B2016" s="284">
        <v>57.0</v>
      </c>
      <c r="C2016" s="285" t="str">
        <f t="shared" si="1"/>
        <v>38 57</v>
      </c>
      <c r="D2016" s="285" t="s">
        <v>10671</v>
      </c>
    </row>
    <row r="2017">
      <c r="A2017" s="283">
        <v>38.0</v>
      </c>
      <c r="B2017" s="284">
        <v>59.0</v>
      </c>
      <c r="C2017" s="285" t="str">
        <f t="shared" si="1"/>
        <v>38 59</v>
      </c>
      <c r="D2017" s="285" t="s">
        <v>10672</v>
      </c>
    </row>
    <row r="2018">
      <c r="A2018" s="283">
        <v>38.0</v>
      </c>
      <c r="B2018" s="284">
        <v>61.0</v>
      </c>
      <c r="C2018" s="285" t="str">
        <f t="shared" si="1"/>
        <v>38 61</v>
      </c>
      <c r="D2018" s="285" t="s">
        <v>10673</v>
      </c>
    </row>
    <row r="2019">
      <c r="A2019" s="283">
        <v>38.0</v>
      </c>
      <c r="B2019" s="284">
        <v>63.0</v>
      </c>
      <c r="C2019" s="285" t="str">
        <f t="shared" si="1"/>
        <v>38 63</v>
      </c>
      <c r="D2019" s="285" t="s">
        <v>10674</v>
      </c>
    </row>
    <row r="2020">
      <c r="A2020" s="283">
        <v>38.0</v>
      </c>
      <c r="B2020" s="284">
        <v>65.0</v>
      </c>
      <c r="C2020" s="285" t="str">
        <f t="shared" si="1"/>
        <v>38 65</v>
      </c>
      <c r="D2020" s="285" t="s">
        <v>10675</v>
      </c>
    </row>
    <row r="2021">
      <c r="A2021" s="283">
        <v>38.0</v>
      </c>
      <c r="B2021" s="284">
        <v>67.0</v>
      </c>
      <c r="C2021" s="285" t="str">
        <f t="shared" si="1"/>
        <v>38 67</v>
      </c>
      <c r="D2021" s="285" t="s">
        <v>10676</v>
      </c>
    </row>
    <row r="2022">
      <c r="A2022" s="283">
        <v>38.0</v>
      </c>
      <c r="B2022" s="284">
        <v>69.0</v>
      </c>
      <c r="C2022" s="285" t="str">
        <f t="shared" si="1"/>
        <v>38 69</v>
      </c>
      <c r="D2022" s="285" t="s">
        <v>10677</v>
      </c>
    </row>
    <row r="2023">
      <c r="A2023" s="283">
        <v>38.0</v>
      </c>
      <c r="B2023" s="284">
        <v>71.0</v>
      </c>
      <c r="C2023" s="285" t="str">
        <f t="shared" si="1"/>
        <v>38 71</v>
      </c>
      <c r="D2023" s="285" t="s">
        <v>10678</v>
      </c>
    </row>
    <row r="2024">
      <c r="A2024" s="283">
        <v>38.0</v>
      </c>
      <c r="B2024" s="284">
        <v>73.0</v>
      </c>
      <c r="C2024" s="285" t="str">
        <f t="shared" si="1"/>
        <v>38 73</v>
      </c>
      <c r="D2024" s="285" t="s">
        <v>10679</v>
      </c>
    </row>
    <row r="2025">
      <c r="A2025" s="283">
        <v>38.0</v>
      </c>
      <c r="B2025" s="284">
        <v>75.0</v>
      </c>
      <c r="C2025" s="285" t="str">
        <f t="shared" si="1"/>
        <v>38 75</v>
      </c>
      <c r="D2025" s="285" t="s">
        <v>10680</v>
      </c>
    </row>
    <row r="2026">
      <c r="A2026" s="283">
        <v>38.0</v>
      </c>
      <c r="B2026" s="284">
        <v>77.0</v>
      </c>
      <c r="C2026" s="285" t="str">
        <f t="shared" si="1"/>
        <v>38 77</v>
      </c>
      <c r="D2026" s="285" t="s">
        <v>10681</v>
      </c>
    </row>
    <row r="2027">
      <c r="A2027" s="283">
        <v>38.0</v>
      </c>
      <c r="B2027" s="284">
        <v>79.0</v>
      </c>
      <c r="C2027" s="285" t="str">
        <f t="shared" si="1"/>
        <v>38 79</v>
      </c>
      <c r="D2027" s="285" t="s">
        <v>10682</v>
      </c>
    </row>
    <row r="2028">
      <c r="A2028" s="283">
        <v>38.0</v>
      </c>
      <c r="B2028" s="284">
        <v>81.0</v>
      </c>
      <c r="C2028" s="285" t="str">
        <f t="shared" si="1"/>
        <v>38 81</v>
      </c>
      <c r="D2028" s="285" t="s">
        <v>10683</v>
      </c>
    </row>
    <row r="2029">
      <c r="A2029" s="283">
        <v>38.0</v>
      </c>
      <c r="B2029" s="284">
        <v>83.0</v>
      </c>
      <c r="C2029" s="285" t="str">
        <f t="shared" si="1"/>
        <v>38 83</v>
      </c>
      <c r="D2029" s="285" t="s">
        <v>10684</v>
      </c>
    </row>
    <row r="2030">
      <c r="A2030" s="283">
        <v>38.0</v>
      </c>
      <c r="B2030" s="284">
        <v>85.0</v>
      </c>
      <c r="C2030" s="285" t="str">
        <f t="shared" si="1"/>
        <v>38 85</v>
      </c>
      <c r="D2030" s="285" t="s">
        <v>10685</v>
      </c>
    </row>
    <row r="2031">
      <c r="A2031" s="283">
        <v>38.0</v>
      </c>
      <c r="B2031" s="284">
        <v>87.0</v>
      </c>
      <c r="C2031" s="285" t="str">
        <f t="shared" si="1"/>
        <v>38 87</v>
      </c>
      <c r="D2031" s="285" t="s">
        <v>10686</v>
      </c>
    </row>
    <row r="2032">
      <c r="A2032" s="283">
        <v>38.0</v>
      </c>
      <c r="B2032" s="284">
        <v>89.0</v>
      </c>
      <c r="C2032" s="285" t="str">
        <f t="shared" si="1"/>
        <v>38 89</v>
      </c>
      <c r="D2032" s="285" t="s">
        <v>10687</v>
      </c>
    </row>
    <row r="2033">
      <c r="A2033" s="283">
        <v>38.0</v>
      </c>
      <c r="B2033" s="284">
        <v>91.0</v>
      </c>
      <c r="C2033" s="285" t="str">
        <f t="shared" si="1"/>
        <v>38 91</v>
      </c>
      <c r="D2033" s="285" t="s">
        <v>10688</v>
      </c>
    </row>
    <row r="2034">
      <c r="A2034" s="283">
        <v>38.0</v>
      </c>
      <c r="B2034" s="284">
        <v>93.0</v>
      </c>
      <c r="C2034" s="285" t="str">
        <f t="shared" si="1"/>
        <v>38 93</v>
      </c>
      <c r="D2034" s="285" t="s">
        <v>10689</v>
      </c>
    </row>
    <row r="2035">
      <c r="A2035" s="283">
        <v>38.0</v>
      </c>
      <c r="B2035" s="284">
        <v>95.0</v>
      </c>
      <c r="C2035" s="285" t="str">
        <f t="shared" si="1"/>
        <v>38 95</v>
      </c>
      <c r="D2035" s="285" t="s">
        <v>10690</v>
      </c>
    </row>
    <row r="2036">
      <c r="A2036" s="283">
        <v>38.0</v>
      </c>
      <c r="B2036" s="284">
        <v>97.0</v>
      </c>
      <c r="C2036" s="285" t="str">
        <f t="shared" si="1"/>
        <v>38 97</v>
      </c>
      <c r="D2036" s="285" t="s">
        <v>10691</v>
      </c>
    </row>
    <row r="2037">
      <c r="A2037" s="283">
        <v>38.0</v>
      </c>
      <c r="B2037" s="284">
        <v>99.0</v>
      </c>
      <c r="C2037" s="285" t="str">
        <f t="shared" si="1"/>
        <v>38 99</v>
      </c>
      <c r="D2037" s="285" t="s">
        <v>10692</v>
      </c>
    </row>
    <row r="2038">
      <c r="A2038" s="283">
        <v>38.0</v>
      </c>
      <c r="B2038" s="284">
        <v>101.0</v>
      </c>
      <c r="C2038" s="285" t="str">
        <f t="shared" si="1"/>
        <v>38 101</v>
      </c>
      <c r="D2038" s="285" t="s">
        <v>10693</v>
      </c>
    </row>
    <row r="2039">
      <c r="A2039" s="283">
        <v>38.0</v>
      </c>
      <c r="B2039" s="284">
        <v>103.0</v>
      </c>
      <c r="C2039" s="285" t="str">
        <f t="shared" si="1"/>
        <v>38 103</v>
      </c>
      <c r="D2039" s="285" t="s">
        <v>10694</v>
      </c>
    </row>
    <row r="2040">
      <c r="A2040" s="283">
        <v>38.0</v>
      </c>
      <c r="B2040" s="284">
        <v>105.0</v>
      </c>
      <c r="C2040" s="285" t="str">
        <f t="shared" si="1"/>
        <v>38 105</v>
      </c>
      <c r="D2040" s="285" t="s">
        <v>10695</v>
      </c>
    </row>
    <row r="2041">
      <c r="A2041" s="283">
        <v>39.0</v>
      </c>
      <c r="B2041" s="284">
        <v>1.0</v>
      </c>
      <c r="C2041" s="285" t="str">
        <f t="shared" si="1"/>
        <v>39 1</v>
      </c>
      <c r="D2041" s="285" t="s">
        <v>10696</v>
      </c>
    </row>
    <row r="2042">
      <c r="A2042" s="283">
        <v>39.0</v>
      </c>
      <c r="B2042" s="284">
        <v>3.0</v>
      </c>
      <c r="C2042" s="285" t="str">
        <f t="shared" si="1"/>
        <v>39 3</v>
      </c>
      <c r="D2042" s="285" t="s">
        <v>10697</v>
      </c>
    </row>
    <row r="2043">
      <c r="A2043" s="283">
        <v>39.0</v>
      </c>
      <c r="B2043" s="284">
        <v>5.0</v>
      </c>
      <c r="C2043" s="285" t="str">
        <f t="shared" si="1"/>
        <v>39 5</v>
      </c>
      <c r="D2043" s="285" t="s">
        <v>10698</v>
      </c>
    </row>
    <row r="2044">
      <c r="A2044" s="283">
        <v>39.0</v>
      </c>
      <c r="B2044" s="284">
        <v>7.0</v>
      </c>
      <c r="C2044" s="285" t="str">
        <f t="shared" si="1"/>
        <v>39 7</v>
      </c>
      <c r="D2044" s="285" t="s">
        <v>10699</v>
      </c>
    </row>
    <row r="2045">
      <c r="A2045" s="283">
        <v>39.0</v>
      </c>
      <c r="B2045" s="284">
        <v>9.0</v>
      </c>
      <c r="C2045" s="285" t="str">
        <f t="shared" si="1"/>
        <v>39 9</v>
      </c>
      <c r="D2045" s="285" t="s">
        <v>10700</v>
      </c>
    </row>
    <row r="2046">
      <c r="A2046" s="283">
        <v>39.0</v>
      </c>
      <c r="B2046" s="284">
        <v>11.0</v>
      </c>
      <c r="C2046" s="285" t="str">
        <f t="shared" si="1"/>
        <v>39 11</v>
      </c>
      <c r="D2046" s="285" t="s">
        <v>10701</v>
      </c>
    </row>
    <row r="2047">
      <c r="A2047" s="283">
        <v>39.0</v>
      </c>
      <c r="B2047" s="284">
        <v>13.0</v>
      </c>
      <c r="C2047" s="285" t="str">
        <f t="shared" si="1"/>
        <v>39 13</v>
      </c>
      <c r="D2047" s="285" t="s">
        <v>10702</v>
      </c>
    </row>
    <row r="2048">
      <c r="A2048" s="283">
        <v>39.0</v>
      </c>
      <c r="B2048" s="284">
        <v>15.0</v>
      </c>
      <c r="C2048" s="285" t="str">
        <f t="shared" si="1"/>
        <v>39 15</v>
      </c>
      <c r="D2048" s="285" t="s">
        <v>10703</v>
      </c>
    </row>
    <row r="2049">
      <c r="A2049" s="283">
        <v>39.0</v>
      </c>
      <c r="B2049" s="284">
        <v>17.0</v>
      </c>
      <c r="C2049" s="285" t="str">
        <f t="shared" si="1"/>
        <v>39 17</v>
      </c>
      <c r="D2049" s="285" t="s">
        <v>10704</v>
      </c>
    </row>
    <row r="2050">
      <c r="A2050" s="283">
        <v>39.0</v>
      </c>
      <c r="B2050" s="284">
        <v>19.0</v>
      </c>
      <c r="C2050" s="285" t="str">
        <f t="shared" si="1"/>
        <v>39 19</v>
      </c>
      <c r="D2050" s="285" t="s">
        <v>10705</v>
      </c>
    </row>
    <row r="2051">
      <c r="A2051" s="283">
        <v>39.0</v>
      </c>
      <c r="B2051" s="284">
        <v>21.0</v>
      </c>
      <c r="C2051" s="285" t="str">
        <f t="shared" si="1"/>
        <v>39 21</v>
      </c>
      <c r="D2051" s="285" t="s">
        <v>10706</v>
      </c>
    </row>
    <row r="2052">
      <c r="A2052" s="283">
        <v>39.0</v>
      </c>
      <c r="B2052" s="284">
        <v>23.0</v>
      </c>
      <c r="C2052" s="285" t="str">
        <f t="shared" si="1"/>
        <v>39 23</v>
      </c>
      <c r="D2052" s="285" t="s">
        <v>10707</v>
      </c>
    </row>
    <row r="2053">
      <c r="A2053" s="283">
        <v>39.0</v>
      </c>
      <c r="B2053" s="284">
        <v>25.0</v>
      </c>
      <c r="C2053" s="285" t="str">
        <f t="shared" si="1"/>
        <v>39 25</v>
      </c>
      <c r="D2053" s="285" t="s">
        <v>10708</v>
      </c>
    </row>
    <row r="2054">
      <c r="A2054" s="283">
        <v>39.0</v>
      </c>
      <c r="B2054" s="284">
        <v>27.0</v>
      </c>
      <c r="C2054" s="285" t="str">
        <f t="shared" si="1"/>
        <v>39 27</v>
      </c>
      <c r="D2054" s="285" t="s">
        <v>10709</v>
      </c>
    </row>
    <row r="2055">
      <c r="A2055" s="283">
        <v>39.0</v>
      </c>
      <c r="B2055" s="284">
        <v>29.0</v>
      </c>
      <c r="C2055" s="285" t="str">
        <f t="shared" si="1"/>
        <v>39 29</v>
      </c>
      <c r="D2055" s="285" t="s">
        <v>10710</v>
      </c>
    </row>
    <row r="2056">
      <c r="A2056" s="283">
        <v>39.0</v>
      </c>
      <c r="B2056" s="284">
        <v>31.0</v>
      </c>
      <c r="C2056" s="285" t="str">
        <f t="shared" si="1"/>
        <v>39 31</v>
      </c>
      <c r="D2056" s="285" t="s">
        <v>10711</v>
      </c>
    </row>
    <row r="2057">
      <c r="A2057" s="283">
        <v>39.0</v>
      </c>
      <c r="B2057" s="284">
        <v>33.0</v>
      </c>
      <c r="C2057" s="285" t="str">
        <f t="shared" si="1"/>
        <v>39 33</v>
      </c>
      <c r="D2057" s="285" t="s">
        <v>10712</v>
      </c>
    </row>
    <row r="2058">
      <c r="A2058" s="283">
        <v>39.0</v>
      </c>
      <c r="B2058" s="284">
        <v>35.0</v>
      </c>
      <c r="C2058" s="285" t="str">
        <f t="shared" si="1"/>
        <v>39 35</v>
      </c>
      <c r="D2058" s="285" t="s">
        <v>10713</v>
      </c>
    </row>
    <row r="2059">
      <c r="A2059" s="283">
        <v>39.0</v>
      </c>
      <c r="B2059" s="284">
        <v>37.0</v>
      </c>
      <c r="C2059" s="285" t="str">
        <f t="shared" si="1"/>
        <v>39 37</v>
      </c>
      <c r="D2059" s="285" t="s">
        <v>10714</v>
      </c>
    </row>
    <row r="2060">
      <c r="A2060" s="283">
        <v>39.0</v>
      </c>
      <c r="B2060" s="284">
        <v>39.0</v>
      </c>
      <c r="C2060" s="285" t="str">
        <f t="shared" si="1"/>
        <v>39 39</v>
      </c>
      <c r="D2060" s="285" t="s">
        <v>10715</v>
      </c>
    </row>
    <row r="2061">
      <c r="A2061" s="283">
        <v>39.0</v>
      </c>
      <c r="B2061" s="284">
        <v>41.0</v>
      </c>
      <c r="C2061" s="285" t="str">
        <f t="shared" si="1"/>
        <v>39 41</v>
      </c>
      <c r="D2061" s="285" t="s">
        <v>10716</v>
      </c>
    </row>
    <row r="2062">
      <c r="A2062" s="283">
        <v>39.0</v>
      </c>
      <c r="B2062" s="284">
        <v>43.0</v>
      </c>
      <c r="C2062" s="285" t="str">
        <f t="shared" si="1"/>
        <v>39 43</v>
      </c>
      <c r="D2062" s="285" t="s">
        <v>10717</v>
      </c>
    </row>
    <row r="2063">
      <c r="A2063" s="283">
        <v>39.0</v>
      </c>
      <c r="B2063" s="284">
        <v>45.0</v>
      </c>
      <c r="C2063" s="285" t="str">
        <f t="shared" si="1"/>
        <v>39 45</v>
      </c>
      <c r="D2063" s="285" t="s">
        <v>10718</v>
      </c>
    </row>
    <row r="2064">
      <c r="A2064" s="283">
        <v>39.0</v>
      </c>
      <c r="B2064" s="284">
        <v>47.0</v>
      </c>
      <c r="C2064" s="285" t="str">
        <f t="shared" si="1"/>
        <v>39 47</v>
      </c>
      <c r="D2064" s="285" t="s">
        <v>10719</v>
      </c>
    </row>
    <row r="2065">
      <c r="A2065" s="283">
        <v>39.0</v>
      </c>
      <c r="B2065" s="284">
        <v>49.0</v>
      </c>
      <c r="C2065" s="285" t="str">
        <f t="shared" si="1"/>
        <v>39 49</v>
      </c>
      <c r="D2065" s="285" t="s">
        <v>10720</v>
      </c>
    </row>
    <row r="2066">
      <c r="A2066" s="283">
        <v>39.0</v>
      </c>
      <c r="B2066" s="284">
        <v>51.0</v>
      </c>
      <c r="C2066" s="285" t="str">
        <f t="shared" si="1"/>
        <v>39 51</v>
      </c>
      <c r="D2066" s="285" t="s">
        <v>10721</v>
      </c>
    </row>
    <row r="2067">
      <c r="A2067" s="283">
        <v>39.0</v>
      </c>
      <c r="B2067" s="284">
        <v>53.0</v>
      </c>
      <c r="C2067" s="285" t="str">
        <f t="shared" si="1"/>
        <v>39 53</v>
      </c>
      <c r="D2067" s="285" t="s">
        <v>10722</v>
      </c>
    </row>
    <row r="2068">
      <c r="A2068" s="283">
        <v>39.0</v>
      </c>
      <c r="B2068" s="284">
        <v>55.0</v>
      </c>
      <c r="C2068" s="285" t="str">
        <f t="shared" si="1"/>
        <v>39 55</v>
      </c>
      <c r="D2068" s="285" t="s">
        <v>10723</v>
      </c>
    </row>
    <row r="2069">
      <c r="A2069" s="283">
        <v>39.0</v>
      </c>
      <c r="B2069" s="284">
        <v>57.0</v>
      </c>
      <c r="C2069" s="285" t="str">
        <f t="shared" si="1"/>
        <v>39 57</v>
      </c>
      <c r="D2069" s="285" t="s">
        <v>10724</v>
      </c>
    </row>
    <row r="2070">
      <c r="A2070" s="283">
        <v>39.0</v>
      </c>
      <c r="B2070" s="284">
        <v>59.0</v>
      </c>
      <c r="C2070" s="285" t="str">
        <f t="shared" si="1"/>
        <v>39 59</v>
      </c>
      <c r="D2070" s="285" t="s">
        <v>10725</v>
      </c>
    </row>
    <row r="2071">
      <c r="A2071" s="283">
        <v>39.0</v>
      </c>
      <c r="B2071" s="284">
        <v>61.0</v>
      </c>
      <c r="C2071" s="285" t="str">
        <f t="shared" si="1"/>
        <v>39 61</v>
      </c>
      <c r="D2071" s="285" t="s">
        <v>10726</v>
      </c>
    </row>
    <row r="2072">
      <c r="A2072" s="283">
        <v>39.0</v>
      </c>
      <c r="B2072" s="284">
        <v>63.0</v>
      </c>
      <c r="C2072" s="285" t="str">
        <f t="shared" si="1"/>
        <v>39 63</v>
      </c>
      <c r="D2072" s="285" t="s">
        <v>10727</v>
      </c>
    </row>
    <row r="2073">
      <c r="A2073" s="283">
        <v>39.0</v>
      </c>
      <c r="B2073" s="284">
        <v>65.0</v>
      </c>
      <c r="C2073" s="285" t="str">
        <f t="shared" si="1"/>
        <v>39 65</v>
      </c>
      <c r="D2073" s="285" t="s">
        <v>10728</v>
      </c>
    </row>
    <row r="2074">
      <c r="A2074" s="283">
        <v>39.0</v>
      </c>
      <c r="B2074" s="284">
        <v>67.0</v>
      </c>
      <c r="C2074" s="285" t="str">
        <f t="shared" si="1"/>
        <v>39 67</v>
      </c>
      <c r="D2074" s="285" t="s">
        <v>10729</v>
      </c>
    </row>
    <row r="2075">
      <c r="A2075" s="283">
        <v>39.0</v>
      </c>
      <c r="B2075" s="284">
        <v>69.0</v>
      </c>
      <c r="C2075" s="285" t="str">
        <f t="shared" si="1"/>
        <v>39 69</v>
      </c>
      <c r="D2075" s="285" t="s">
        <v>10730</v>
      </c>
    </row>
    <row r="2076">
      <c r="A2076" s="283">
        <v>39.0</v>
      </c>
      <c r="B2076" s="284">
        <v>71.0</v>
      </c>
      <c r="C2076" s="285" t="str">
        <f t="shared" si="1"/>
        <v>39 71</v>
      </c>
      <c r="D2076" s="285" t="s">
        <v>10731</v>
      </c>
    </row>
    <row r="2077">
      <c r="A2077" s="283">
        <v>39.0</v>
      </c>
      <c r="B2077" s="284">
        <v>73.0</v>
      </c>
      <c r="C2077" s="285" t="str">
        <f t="shared" si="1"/>
        <v>39 73</v>
      </c>
      <c r="D2077" s="285" t="s">
        <v>10732</v>
      </c>
    </row>
    <row r="2078">
      <c r="A2078" s="283">
        <v>39.0</v>
      </c>
      <c r="B2078" s="284">
        <v>75.0</v>
      </c>
      <c r="C2078" s="285" t="str">
        <f t="shared" si="1"/>
        <v>39 75</v>
      </c>
      <c r="D2078" s="285" t="s">
        <v>10733</v>
      </c>
    </row>
    <row r="2079">
      <c r="A2079" s="283">
        <v>39.0</v>
      </c>
      <c r="B2079" s="284">
        <v>77.0</v>
      </c>
      <c r="C2079" s="285" t="str">
        <f t="shared" si="1"/>
        <v>39 77</v>
      </c>
      <c r="D2079" s="285" t="s">
        <v>10734</v>
      </c>
    </row>
    <row r="2080">
      <c r="A2080" s="283">
        <v>39.0</v>
      </c>
      <c r="B2080" s="284">
        <v>79.0</v>
      </c>
      <c r="C2080" s="285" t="str">
        <f t="shared" si="1"/>
        <v>39 79</v>
      </c>
      <c r="D2080" s="285" t="s">
        <v>10735</v>
      </c>
    </row>
    <row r="2081">
      <c r="A2081" s="283">
        <v>39.0</v>
      </c>
      <c r="B2081" s="284">
        <v>81.0</v>
      </c>
      <c r="C2081" s="285" t="str">
        <f t="shared" si="1"/>
        <v>39 81</v>
      </c>
      <c r="D2081" s="285" t="s">
        <v>10736</v>
      </c>
    </row>
    <row r="2082">
      <c r="A2082" s="283">
        <v>39.0</v>
      </c>
      <c r="B2082" s="284">
        <v>83.0</v>
      </c>
      <c r="C2082" s="285" t="str">
        <f t="shared" si="1"/>
        <v>39 83</v>
      </c>
      <c r="D2082" s="285" t="s">
        <v>10737</v>
      </c>
    </row>
    <row r="2083">
      <c r="A2083" s="283">
        <v>39.0</v>
      </c>
      <c r="B2083" s="284">
        <v>85.0</v>
      </c>
      <c r="C2083" s="285" t="str">
        <f t="shared" si="1"/>
        <v>39 85</v>
      </c>
      <c r="D2083" s="285" t="s">
        <v>10738</v>
      </c>
    </row>
    <row r="2084">
      <c r="A2084" s="283">
        <v>39.0</v>
      </c>
      <c r="B2084" s="284">
        <v>87.0</v>
      </c>
      <c r="C2084" s="285" t="str">
        <f t="shared" si="1"/>
        <v>39 87</v>
      </c>
      <c r="D2084" s="285" t="s">
        <v>10739</v>
      </c>
    </row>
    <row r="2085">
      <c r="A2085" s="283">
        <v>39.0</v>
      </c>
      <c r="B2085" s="284">
        <v>89.0</v>
      </c>
      <c r="C2085" s="285" t="str">
        <f t="shared" si="1"/>
        <v>39 89</v>
      </c>
      <c r="D2085" s="285" t="s">
        <v>10740</v>
      </c>
    </row>
    <row r="2086">
      <c r="A2086" s="283">
        <v>39.0</v>
      </c>
      <c r="B2086" s="284">
        <v>91.0</v>
      </c>
      <c r="C2086" s="285" t="str">
        <f t="shared" si="1"/>
        <v>39 91</v>
      </c>
      <c r="D2086" s="285" t="s">
        <v>10741</v>
      </c>
    </row>
    <row r="2087">
      <c r="A2087" s="283">
        <v>39.0</v>
      </c>
      <c r="B2087" s="284">
        <v>93.0</v>
      </c>
      <c r="C2087" s="285" t="str">
        <f t="shared" si="1"/>
        <v>39 93</v>
      </c>
      <c r="D2087" s="285" t="s">
        <v>10742</v>
      </c>
    </row>
    <row r="2088">
      <c r="A2088" s="283">
        <v>39.0</v>
      </c>
      <c r="B2088" s="284">
        <v>95.0</v>
      </c>
      <c r="C2088" s="285" t="str">
        <f t="shared" si="1"/>
        <v>39 95</v>
      </c>
      <c r="D2088" s="285" t="s">
        <v>10743</v>
      </c>
    </row>
    <row r="2089">
      <c r="A2089" s="283">
        <v>39.0</v>
      </c>
      <c r="B2089" s="284">
        <v>97.0</v>
      </c>
      <c r="C2089" s="285" t="str">
        <f t="shared" si="1"/>
        <v>39 97</v>
      </c>
      <c r="D2089" s="285" t="s">
        <v>10744</v>
      </c>
    </row>
    <row r="2090">
      <c r="A2090" s="283">
        <v>39.0</v>
      </c>
      <c r="B2090" s="284">
        <v>99.0</v>
      </c>
      <c r="C2090" s="285" t="str">
        <f t="shared" si="1"/>
        <v>39 99</v>
      </c>
      <c r="D2090" s="285" t="s">
        <v>10745</v>
      </c>
    </row>
    <row r="2091">
      <c r="A2091" s="283">
        <v>39.0</v>
      </c>
      <c r="B2091" s="284">
        <v>101.0</v>
      </c>
      <c r="C2091" s="285" t="str">
        <f t="shared" si="1"/>
        <v>39 101</v>
      </c>
      <c r="D2091" s="285" t="s">
        <v>10746</v>
      </c>
    </row>
    <row r="2092">
      <c r="A2092" s="283">
        <v>39.0</v>
      </c>
      <c r="B2092" s="284">
        <v>103.0</v>
      </c>
      <c r="C2092" s="285" t="str">
        <f t="shared" si="1"/>
        <v>39 103</v>
      </c>
      <c r="D2092" s="285" t="s">
        <v>10747</v>
      </c>
    </row>
    <row r="2093">
      <c r="A2093" s="283">
        <v>39.0</v>
      </c>
      <c r="B2093" s="284">
        <v>105.0</v>
      </c>
      <c r="C2093" s="285" t="str">
        <f t="shared" si="1"/>
        <v>39 105</v>
      </c>
      <c r="D2093" s="285" t="s">
        <v>10748</v>
      </c>
    </row>
    <row r="2094">
      <c r="A2094" s="283">
        <v>39.0</v>
      </c>
      <c r="B2094" s="284">
        <v>107.0</v>
      </c>
      <c r="C2094" s="285" t="str">
        <f t="shared" si="1"/>
        <v>39 107</v>
      </c>
      <c r="D2094" s="285" t="s">
        <v>10749</v>
      </c>
    </row>
    <row r="2095">
      <c r="A2095" s="283">
        <v>39.0</v>
      </c>
      <c r="B2095" s="284">
        <v>109.0</v>
      </c>
      <c r="C2095" s="285" t="str">
        <f t="shared" si="1"/>
        <v>39 109</v>
      </c>
      <c r="D2095" s="285" t="s">
        <v>10750</v>
      </c>
    </row>
    <row r="2096">
      <c r="A2096" s="283">
        <v>39.0</v>
      </c>
      <c r="B2096" s="284">
        <v>111.0</v>
      </c>
      <c r="C2096" s="285" t="str">
        <f t="shared" si="1"/>
        <v>39 111</v>
      </c>
      <c r="D2096" s="285" t="s">
        <v>10751</v>
      </c>
    </row>
    <row r="2097">
      <c r="A2097" s="283">
        <v>39.0</v>
      </c>
      <c r="B2097" s="284">
        <v>113.0</v>
      </c>
      <c r="C2097" s="285" t="str">
        <f t="shared" si="1"/>
        <v>39 113</v>
      </c>
      <c r="D2097" s="285" t="s">
        <v>10752</v>
      </c>
    </row>
    <row r="2098">
      <c r="A2098" s="283">
        <v>39.0</v>
      </c>
      <c r="B2098" s="284">
        <v>115.0</v>
      </c>
      <c r="C2098" s="285" t="str">
        <f t="shared" si="1"/>
        <v>39 115</v>
      </c>
      <c r="D2098" s="285" t="s">
        <v>10753</v>
      </c>
    </row>
    <row r="2099">
      <c r="A2099" s="283">
        <v>39.0</v>
      </c>
      <c r="B2099" s="284">
        <v>117.0</v>
      </c>
      <c r="C2099" s="285" t="str">
        <f t="shared" si="1"/>
        <v>39 117</v>
      </c>
      <c r="D2099" s="285" t="s">
        <v>10754</v>
      </c>
    </row>
    <row r="2100">
      <c r="A2100" s="283">
        <v>39.0</v>
      </c>
      <c r="B2100" s="284">
        <v>119.0</v>
      </c>
      <c r="C2100" s="285" t="str">
        <f t="shared" si="1"/>
        <v>39 119</v>
      </c>
      <c r="D2100" s="285" t="s">
        <v>10755</v>
      </c>
    </row>
    <row r="2101">
      <c r="A2101" s="283">
        <v>39.0</v>
      </c>
      <c r="B2101" s="284">
        <v>121.0</v>
      </c>
      <c r="C2101" s="285" t="str">
        <f t="shared" si="1"/>
        <v>39 121</v>
      </c>
      <c r="D2101" s="285" t="s">
        <v>10756</v>
      </c>
    </row>
    <row r="2102">
      <c r="A2102" s="283">
        <v>39.0</v>
      </c>
      <c r="B2102" s="284">
        <v>123.0</v>
      </c>
      <c r="C2102" s="285" t="str">
        <f t="shared" si="1"/>
        <v>39 123</v>
      </c>
      <c r="D2102" s="285" t="s">
        <v>10757</v>
      </c>
    </row>
    <row r="2103">
      <c r="A2103" s="283">
        <v>39.0</v>
      </c>
      <c r="B2103" s="284">
        <v>125.0</v>
      </c>
      <c r="C2103" s="285" t="str">
        <f t="shared" si="1"/>
        <v>39 125</v>
      </c>
      <c r="D2103" s="285" t="s">
        <v>10758</v>
      </c>
    </row>
    <row r="2104">
      <c r="A2104" s="283">
        <v>39.0</v>
      </c>
      <c r="B2104" s="284">
        <v>127.0</v>
      </c>
      <c r="C2104" s="285" t="str">
        <f t="shared" si="1"/>
        <v>39 127</v>
      </c>
      <c r="D2104" s="285" t="s">
        <v>10759</v>
      </c>
    </row>
    <row r="2105">
      <c r="A2105" s="283">
        <v>39.0</v>
      </c>
      <c r="B2105" s="284">
        <v>129.0</v>
      </c>
      <c r="C2105" s="285" t="str">
        <f t="shared" si="1"/>
        <v>39 129</v>
      </c>
      <c r="D2105" s="285" t="s">
        <v>10760</v>
      </c>
    </row>
    <row r="2106">
      <c r="A2106" s="283">
        <v>39.0</v>
      </c>
      <c r="B2106" s="284">
        <v>131.0</v>
      </c>
      <c r="C2106" s="285" t="str">
        <f t="shared" si="1"/>
        <v>39 131</v>
      </c>
      <c r="D2106" s="285" t="s">
        <v>10761</v>
      </c>
    </row>
    <row r="2107">
      <c r="A2107" s="283">
        <v>39.0</v>
      </c>
      <c r="B2107" s="284">
        <v>133.0</v>
      </c>
      <c r="C2107" s="285" t="str">
        <f t="shared" si="1"/>
        <v>39 133</v>
      </c>
      <c r="D2107" s="285" t="s">
        <v>10762</v>
      </c>
    </row>
    <row r="2108">
      <c r="A2108" s="283">
        <v>39.0</v>
      </c>
      <c r="B2108" s="284">
        <v>135.0</v>
      </c>
      <c r="C2108" s="285" t="str">
        <f t="shared" si="1"/>
        <v>39 135</v>
      </c>
      <c r="D2108" s="285" t="s">
        <v>10763</v>
      </c>
    </row>
    <row r="2109">
      <c r="A2109" s="283">
        <v>39.0</v>
      </c>
      <c r="B2109" s="284">
        <v>137.0</v>
      </c>
      <c r="C2109" s="285" t="str">
        <f t="shared" si="1"/>
        <v>39 137</v>
      </c>
      <c r="D2109" s="285" t="s">
        <v>10764</v>
      </c>
    </row>
    <row r="2110">
      <c r="A2110" s="283">
        <v>39.0</v>
      </c>
      <c r="B2110" s="284">
        <v>139.0</v>
      </c>
      <c r="C2110" s="285" t="str">
        <f t="shared" si="1"/>
        <v>39 139</v>
      </c>
      <c r="D2110" s="285" t="s">
        <v>10765</v>
      </c>
    </row>
    <row r="2111">
      <c r="A2111" s="283">
        <v>39.0</v>
      </c>
      <c r="B2111" s="284">
        <v>141.0</v>
      </c>
      <c r="C2111" s="285" t="str">
        <f t="shared" si="1"/>
        <v>39 141</v>
      </c>
      <c r="D2111" s="285" t="s">
        <v>10766</v>
      </c>
    </row>
    <row r="2112">
      <c r="A2112" s="283">
        <v>39.0</v>
      </c>
      <c r="B2112" s="284">
        <v>143.0</v>
      </c>
      <c r="C2112" s="285" t="str">
        <f t="shared" si="1"/>
        <v>39 143</v>
      </c>
      <c r="D2112" s="285" t="s">
        <v>10767</v>
      </c>
    </row>
    <row r="2113">
      <c r="A2113" s="283">
        <v>39.0</v>
      </c>
      <c r="B2113" s="284">
        <v>145.0</v>
      </c>
      <c r="C2113" s="285" t="str">
        <f t="shared" si="1"/>
        <v>39 145</v>
      </c>
      <c r="D2113" s="285" t="s">
        <v>10768</v>
      </c>
    </row>
    <row r="2114">
      <c r="A2114" s="283">
        <v>39.0</v>
      </c>
      <c r="B2114" s="284">
        <v>147.0</v>
      </c>
      <c r="C2114" s="285" t="str">
        <f t="shared" si="1"/>
        <v>39 147</v>
      </c>
      <c r="D2114" s="285" t="s">
        <v>10769</v>
      </c>
    </row>
    <row r="2115">
      <c r="A2115" s="283">
        <v>39.0</v>
      </c>
      <c r="B2115" s="284">
        <v>149.0</v>
      </c>
      <c r="C2115" s="285" t="str">
        <f t="shared" si="1"/>
        <v>39 149</v>
      </c>
      <c r="D2115" s="285" t="s">
        <v>10770</v>
      </c>
    </row>
    <row r="2116">
      <c r="A2116" s="283">
        <v>39.0</v>
      </c>
      <c r="B2116" s="284">
        <v>151.0</v>
      </c>
      <c r="C2116" s="285" t="str">
        <f t="shared" si="1"/>
        <v>39 151</v>
      </c>
      <c r="D2116" s="285" t="s">
        <v>10771</v>
      </c>
    </row>
    <row r="2117">
      <c r="A2117" s="283">
        <v>39.0</v>
      </c>
      <c r="B2117" s="284">
        <v>153.0</v>
      </c>
      <c r="C2117" s="285" t="str">
        <f t="shared" si="1"/>
        <v>39 153</v>
      </c>
      <c r="D2117" s="285" t="s">
        <v>10772</v>
      </c>
    </row>
    <row r="2118">
      <c r="A2118" s="283">
        <v>39.0</v>
      </c>
      <c r="B2118" s="284">
        <v>155.0</v>
      </c>
      <c r="C2118" s="285" t="str">
        <f t="shared" si="1"/>
        <v>39 155</v>
      </c>
      <c r="D2118" s="285" t="s">
        <v>10773</v>
      </c>
    </row>
    <row r="2119">
      <c r="A2119" s="283">
        <v>39.0</v>
      </c>
      <c r="B2119" s="284">
        <v>157.0</v>
      </c>
      <c r="C2119" s="285" t="str">
        <f t="shared" si="1"/>
        <v>39 157</v>
      </c>
      <c r="D2119" s="285" t="s">
        <v>10774</v>
      </c>
    </row>
    <row r="2120">
      <c r="A2120" s="283">
        <v>39.0</v>
      </c>
      <c r="B2120" s="284">
        <v>159.0</v>
      </c>
      <c r="C2120" s="285" t="str">
        <f t="shared" si="1"/>
        <v>39 159</v>
      </c>
      <c r="D2120" s="285" t="s">
        <v>10775</v>
      </c>
    </row>
    <row r="2121">
      <c r="A2121" s="283">
        <v>39.0</v>
      </c>
      <c r="B2121" s="284">
        <v>161.0</v>
      </c>
      <c r="C2121" s="285" t="str">
        <f t="shared" si="1"/>
        <v>39 161</v>
      </c>
      <c r="D2121" s="285" t="s">
        <v>10776</v>
      </c>
    </row>
    <row r="2122">
      <c r="A2122" s="283">
        <v>39.0</v>
      </c>
      <c r="B2122" s="284">
        <v>163.0</v>
      </c>
      <c r="C2122" s="285" t="str">
        <f t="shared" si="1"/>
        <v>39 163</v>
      </c>
      <c r="D2122" s="285" t="s">
        <v>10777</v>
      </c>
    </row>
    <row r="2123">
      <c r="A2123" s="283">
        <v>39.0</v>
      </c>
      <c r="B2123" s="284">
        <v>165.0</v>
      </c>
      <c r="C2123" s="285" t="str">
        <f t="shared" si="1"/>
        <v>39 165</v>
      </c>
      <c r="D2123" s="285" t="s">
        <v>10778</v>
      </c>
    </row>
    <row r="2124">
      <c r="A2124" s="283">
        <v>39.0</v>
      </c>
      <c r="B2124" s="284">
        <v>167.0</v>
      </c>
      <c r="C2124" s="285" t="str">
        <f t="shared" si="1"/>
        <v>39 167</v>
      </c>
      <c r="D2124" s="285" t="s">
        <v>10779</v>
      </c>
    </row>
    <row r="2125">
      <c r="A2125" s="283">
        <v>39.0</v>
      </c>
      <c r="B2125" s="284">
        <v>169.0</v>
      </c>
      <c r="C2125" s="285" t="str">
        <f t="shared" si="1"/>
        <v>39 169</v>
      </c>
      <c r="D2125" s="285" t="s">
        <v>10780</v>
      </c>
    </row>
    <row r="2126">
      <c r="A2126" s="283">
        <v>39.0</v>
      </c>
      <c r="B2126" s="284">
        <v>171.0</v>
      </c>
      <c r="C2126" s="285" t="str">
        <f t="shared" si="1"/>
        <v>39 171</v>
      </c>
      <c r="D2126" s="285" t="s">
        <v>10781</v>
      </c>
    </row>
    <row r="2127">
      <c r="A2127" s="283">
        <v>39.0</v>
      </c>
      <c r="B2127" s="284">
        <v>173.0</v>
      </c>
      <c r="C2127" s="285" t="str">
        <f t="shared" si="1"/>
        <v>39 173</v>
      </c>
      <c r="D2127" s="285" t="s">
        <v>10782</v>
      </c>
    </row>
    <row r="2128">
      <c r="A2128" s="283">
        <v>39.0</v>
      </c>
      <c r="B2128" s="284">
        <v>175.0</v>
      </c>
      <c r="C2128" s="285" t="str">
        <f t="shared" si="1"/>
        <v>39 175</v>
      </c>
      <c r="D2128" s="285" t="s">
        <v>10783</v>
      </c>
    </row>
    <row r="2129">
      <c r="A2129" s="283">
        <v>40.0</v>
      </c>
      <c r="B2129" s="284">
        <v>1.0</v>
      </c>
      <c r="C2129" s="285" t="str">
        <f t="shared" si="1"/>
        <v>40 1</v>
      </c>
      <c r="D2129" s="285" t="s">
        <v>10784</v>
      </c>
    </row>
    <row r="2130">
      <c r="A2130" s="283">
        <v>40.0</v>
      </c>
      <c r="B2130" s="284">
        <v>3.0</v>
      </c>
      <c r="C2130" s="285" t="str">
        <f t="shared" si="1"/>
        <v>40 3</v>
      </c>
      <c r="D2130" s="285" t="s">
        <v>10785</v>
      </c>
    </row>
    <row r="2131">
      <c r="A2131" s="283">
        <v>40.0</v>
      </c>
      <c r="B2131" s="284">
        <v>5.0</v>
      </c>
      <c r="C2131" s="285" t="str">
        <f t="shared" si="1"/>
        <v>40 5</v>
      </c>
      <c r="D2131" s="285" t="s">
        <v>10786</v>
      </c>
    </row>
    <row r="2132">
      <c r="A2132" s="283">
        <v>40.0</v>
      </c>
      <c r="B2132" s="284">
        <v>7.0</v>
      </c>
      <c r="C2132" s="285" t="str">
        <f t="shared" si="1"/>
        <v>40 7</v>
      </c>
      <c r="D2132" s="285" t="s">
        <v>10787</v>
      </c>
    </row>
    <row r="2133">
      <c r="A2133" s="283">
        <v>40.0</v>
      </c>
      <c r="B2133" s="284">
        <v>9.0</v>
      </c>
      <c r="C2133" s="285" t="str">
        <f t="shared" si="1"/>
        <v>40 9</v>
      </c>
      <c r="D2133" s="285" t="s">
        <v>10788</v>
      </c>
    </row>
    <row r="2134">
      <c r="A2134" s="283">
        <v>40.0</v>
      </c>
      <c r="B2134" s="284">
        <v>11.0</v>
      </c>
      <c r="C2134" s="285" t="str">
        <f t="shared" si="1"/>
        <v>40 11</v>
      </c>
      <c r="D2134" s="285" t="s">
        <v>10789</v>
      </c>
    </row>
    <row r="2135">
      <c r="A2135" s="283">
        <v>40.0</v>
      </c>
      <c r="B2135" s="284">
        <v>13.0</v>
      </c>
      <c r="C2135" s="285" t="str">
        <f t="shared" si="1"/>
        <v>40 13</v>
      </c>
      <c r="D2135" s="285" t="s">
        <v>10790</v>
      </c>
    </row>
    <row r="2136">
      <c r="A2136" s="283">
        <v>40.0</v>
      </c>
      <c r="B2136" s="284">
        <v>15.0</v>
      </c>
      <c r="C2136" s="285" t="str">
        <f t="shared" si="1"/>
        <v>40 15</v>
      </c>
      <c r="D2136" s="285" t="s">
        <v>10791</v>
      </c>
    </row>
    <row r="2137">
      <c r="A2137" s="283">
        <v>40.0</v>
      </c>
      <c r="B2137" s="284">
        <v>17.0</v>
      </c>
      <c r="C2137" s="285" t="str">
        <f t="shared" si="1"/>
        <v>40 17</v>
      </c>
      <c r="D2137" s="285" t="s">
        <v>10792</v>
      </c>
    </row>
    <row r="2138">
      <c r="A2138" s="283">
        <v>40.0</v>
      </c>
      <c r="B2138" s="284">
        <v>19.0</v>
      </c>
      <c r="C2138" s="285" t="str">
        <f t="shared" si="1"/>
        <v>40 19</v>
      </c>
      <c r="D2138" s="285" t="s">
        <v>10793</v>
      </c>
    </row>
    <row r="2139">
      <c r="A2139" s="283">
        <v>40.0</v>
      </c>
      <c r="B2139" s="284">
        <v>21.0</v>
      </c>
      <c r="C2139" s="285" t="str">
        <f t="shared" si="1"/>
        <v>40 21</v>
      </c>
      <c r="D2139" s="285" t="s">
        <v>10794</v>
      </c>
    </row>
    <row r="2140">
      <c r="A2140" s="283">
        <v>40.0</v>
      </c>
      <c r="B2140" s="284">
        <v>23.0</v>
      </c>
      <c r="C2140" s="285" t="str">
        <f t="shared" si="1"/>
        <v>40 23</v>
      </c>
      <c r="D2140" s="285" t="s">
        <v>10795</v>
      </c>
    </row>
    <row r="2141">
      <c r="A2141" s="283">
        <v>40.0</v>
      </c>
      <c r="B2141" s="284">
        <v>25.0</v>
      </c>
      <c r="C2141" s="285" t="str">
        <f t="shared" si="1"/>
        <v>40 25</v>
      </c>
      <c r="D2141" s="285" t="s">
        <v>10796</v>
      </c>
    </row>
    <row r="2142">
      <c r="A2142" s="283">
        <v>40.0</v>
      </c>
      <c r="B2142" s="284">
        <v>27.0</v>
      </c>
      <c r="C2142" s="285" t="str">
        <f t="shared" si="1"/>
        <v>40 27</v>
      </c>
      <c r="D2142" s="285" t="s">
        <v>10797</v>
      </c>
    </row>
    <row r="2143">
      <c r="A2143" s="283">
        <v>40.0</v>
      </c>
      <c r="B2143" s="284">
        <v>29.0</v>
      </c>
      <c r="C2143" s="285" t="str">
        <f t="shared" si="1"/>
        <v>40 29</v>
      </c>
      <c r="D2143" s="285" t="s">
        <v>10798</v>
      </c>
    </row>
    <row r="2144">
      <c r="A2144" s="283">
        <v>40.0</v>
      </c>
      <c r="B2144" s="284">
        <v>31.0</v>
      </c>
      <c r="C2144" s="285" t="str">
        <f t="shared" si="1"/>
        <v>40 31</v>
      </c>
      <c r="D2144" s="285" t="s">
        <v>10799</v>
      </c>
    </row>
    <row r="2145">
      <c r="A2145" s="283">
        <v>40.0</v>
      </c>
      <c r="B2145" s="284">
        <v>33.0</v>
      </c>
      <c r="C2145" s="285" t="str">
        <f t="shared" si="1"/>
        <v>40 33</v>
      </c>
      <c r="D2145" s="285" t="s">
        <v>10800</v>
      </c>
    </row>
    <row r="2146">
      <c r="A2146" s="283">
        <v>40.0</v>
      </c>
      <c r="B2146" s="284">
        <v>35.0</v>
      </c>
      <c r="C2146" s="285" t="str">
        <f t="shared" si="1"/>
        <v>40 35</v>
      </c>
      <c r="D2146" s="285" t="s">
        <v>10801</v>
      </c>
    </row>
    <row r="2147">
      <c r="A2147" s="283">
        <v>40.0</v>
      </c>
      <c r="B2147" s="284">
        <v>37.0</v>
      </c>
      <c r="C2147" s="285" t="str">
        <f t="shared" si="1"/>
        <v>40 37</v>
      </c>
      <c r="D2147" s="285" t="s">
        <v>10802</v>
      </c>
    </row>
    <row r="2148">
      <c r="A2148" s="283">
        <v>40.0</v>
      </c>
      <c r="B2148" s="284">
        <v>39.0</v>
      </c>
      <c r="C2148" s="285" t="str">
        <f t="shared" si="1"/>
        <v>40 39</v>
      </c>
      <c r="D2148" s="285" t="s">
        <v>10803</v>
      </c>
    </row>
    <row r="2149">
      <c r="A2149" s="283">
        <v>40.0</v>
      </c>
      <c r="B2149" s="284">
        <v>41.0</v>
      </c>
      <c r="C2149" s="285" t="str">
        <f t="shared" si="1"/>
        <v>40 41</v>
      </c>
      <c r="D2149" s="285" t="s">
        <v>10804</v>
      </c>
    </row>
    <row r="2150">
      <c r="A2150" s="283">
        <v>40.0</v>
      </c>
      <c r="B2150" s="284">
        <v>43.0</v>
      </c>
      <c r="C2150" s="285" t="str">
        <f t="shared" si="1"/>
        <v>40 43</v>
      </c>
      <c r="D2150" s="285" t="s">
        <v>10805</v>
      </c>
    </row>
    <row r="2151">
      <c r="A2151" s="283">
        <v>40.0</v>
      </c>
      <c r="B2151" s="284">
        <v>45.0</v>
      </c>
      <c r="C2151" s="285" t="str">
        <f t="shared" si="1"/>
        <v>40 45</v>
      </c>
      <c r="D2151" s="285" t="s">
        <v>10806</v>
      </c>
    </row>
    <row r="2152">
      <c r="A2152" s="283">
        <v>40.0</v>
      </c>
      <c r="B2152" s="284">
        <v>47.0</v>
      </c>
      <c r="C2152" s="285" t="str">
        <f t="shared" si="1"/>
        <v>40 47</v>
      </c>
      <c r="D2152" s="285" t="s">
        <v>10807</v>
      </c>
    </row>
    <row r="2153">
      <c r="A2153" s="283">
        <v>40.0</v>
      </c>
      <c r="B2153" s="284">
        <v>49.0</v>
      </c>
      <c r="C2153" s="285" t="str">
        <f t="shared" si="1"/>
        <v>40 49</v>
      </c>
      <c r="D2153" s="285" t="s">
        <v>10808</v>
      </c>
    </row>
    <row r="2154">
      <c r="A2154" s="283">
        <v>40.0</v>
      </c>
      <c r="B2154" s="284">
        <v>51.0</v>
      </c>
      <c r="C2154" s="285" t="str">
        <f t="shared" si="1"/>
        <v>40 51</v>
      </c>
      <c r="D2154" s="285" t="s">
        <v>10809</v>
      </c>
    </row>
    <row r="2155">
      <c r="A2155" s="283">
        <v>40.0</v>
      </c>
      <c r="B2155" s="284">
        <v>53.0</v>
      </c>
      <c r="C2155" s="285" t="str">
        <f t="shared" si="1"/>
        <v>40 53</v>
      </c>
      <c r="D2155" s="285" t="s">
        <v>10810</v>
      </c>
    </row>
    <row r="2156">
      <c r="A2156" s="283">
        <v>40.0</v>
      </c>
      <c r="B2156" s="284">
        <v>55.0</v>
      </c>
      <c r="C2156" s="285" t="str">
        <f t="shared" si="1"/>
        <v>40 55</v>
      </c>
      <c r="D2156" s="285" t="s">
        <v>10811</v>
      </c>
    </row>
    <row r="2157">
      <c r="A2157" s="283">
        <v>40.0</v>
      </c>
      <c r="B2157" s="284">
        <v>57.0</v>
      </c>
      <c r="C2157" s="285" t="str">
        <f t="shared" si="1"/>
        <v>40 57</v>
      </c>
      <c r="D2157" s="285" t="s">
        <v>10812</v>
      </c>
    </row>
    <row r="2158">
      <c r="A2158" s="283">
        <v>40.0</v>
      </c>
      <c r="B2158" s="284">
        <v>59.0</v>
      </c>
      <c r="C2158" s="285" t="str">
        <f t="shared" si="1"/>
        <v>40 59</v>
      </c>
      <c r="D2158" s="285" t="s">
        <v>10813</v>
      </c>
    </row>
    <row r="2159">
      <c r="A2159" s="283">
        <v>40.0</v>
      </c>
      <c r="B2159" s="284">
        <v>61.0</v>
      </c>
      <c r="C2159" s="285" t="str">
        <f t="shared" si="1"/>
        <v>40 61</v>
      </c>
      <c r="D2159" s="285" t="s">
        <v>10814</v>
      </c>
    </row>
    <row r="2160">
      <c r="A2160" s="283">
        <v>40.0</v>
      </c>
      <c r="B2160" s="284">
        <v>63.0</v>
      </c>
      <c r="C2160" s="285" t="str">
        <f t="shared" si="1"/>
        <v>40 63</v>
      </c>
      <c r="D2160" s="285" t="s">
        <v>10815</v>
      </c>
    </row>
    <row r="2161">
      <c r="A2161" s="283">
        <v>40.0</v>
      </c>
      <c r="B2161" s="284">
        <v>65.0</v>
      </c>
      <c r="C2161" s="285" t="str">
        <f t="shared" si="1"/>
        <v>40 65</v>
      </c>
      <c r="D2161" s="285" t="s">
        <v>10816</v>
      </c>
    </row>
    <row r="2162">
      <c r="A2162" s="283">
        <v>40.0</v>
      </c>
      <c r="B2162" s="284">
        <v>67.0</v>
      </c>
      <c r="C2162" s="285" t="str">
        <f t="shared" si="1"/>
        <v>40 67</v>
      </c>
      <c r="D2162" s="285" t="s">
        <v>10817</v>
      </c>
    </row>
    <row r="2163">
      <c r="A2163" s="283">
        <v>40.0</v>
      </c>
      <c r="B2163" s="284">
        <v>69.0</v>
      </c>
      <c r="C2163" s="285" t="str">
        <f t="shared" si="1"/>
        <v>40 69</v>
      </c>
      <c r="D2163" s="285" t="s">
        <v>10818</v>
      </c>
    </row>
    <row r="2164">
      <c r="A2164" s="283">
        <v>40.0</v>
      </c>
      <c r="B2164" s="284">
        <v>71.0</v>
      </c>
      <c r="C2164" s="285" t="str">
        <f t="shared" si="1"/>
        <v>40 71</v>
      </c>
      <c r="D2164" s="285" t="s">
        <v>10819</v>
      </c>
    </row>
    <row r="2165">
      <c r="A2165" s="283">
        <v>40.0</v>
      </c>
      <c r="B2165" s="284">
        <v>73.0</v>
      </c>
      <c r="C2165" s="285" t="str">
        <f t="shared" si="1"/>
        <v>40 73</v>
      </c>
      <c r="D2165" s="285" t="s">
        <v>10820</v>
      </c>
    </row>
    <row r="2166">
      <c r="A2166" s="283">
        <v>40.0</v>
      </c>
      <c r="B2166" s="284">
        <v>75.0</v>
      </c>
      <c r="C2166" s="285" t="str">
        <f t="shared" si="1"/>
        <v>40 75</v>
      </c>
      <c r="D2166" s="285" t="s">
        <v>10821</v>
      </c>
    </row>
    <row r="2167">
      <c r="A2167" s="283">
        <v>40.0</v>
      </c>
      <c r="B2167" s="284">
        <v>77.0</v>
      </c>
      <c r="C2167" s="285" t="str">
        <f t="shared" si="1"/>
        <v>40 77</v>
      </c>
      <c r="D2167" s="285" t="s">
        <v>10822</v>
      </c>
    </row>
    <row r="2168">
      <c r="A2168" s="283">
        <v>40.0</v>
      </c>
      <c r="B2168" s="284">
        <v>79.0</v>
      </c>
      <c r="C2168" s="285" t="str">
        <f t="shared" si="1"/>
        <v>40 79</v>
      </c>
      <c r="D2168" s="285" t="s">
        <v>10823</v>
      </c>
    </row>
    <row r="2169">
      <c r="A2169" s="283">
        <v>40.0</v>
      </c>
      <c r="B2169" s="284">
        <v>81.0</v>
      </c>
      <c r="C2169" s="285" t="str">
        <f t="shared" si="1"/>
        <v>40 81</v>
      </c>
      <c r="D2169" s="285" t="s">
        <v>10824</v>
      </c>
    </row>
    <row r="2170">
      <c r="A2170" s="283">
        <v>40.0</v>
      </c>
      <c r="B2170" s="284">
        <v>83.0</v>
      </c>
      <c r="C2170" s="285" t="str">
        <f t="shared" si="1"/>
        <v>40 83</v>
      </c>
      <c r="D2170" s="285" t="s">
        <v>10825</v>
      </c>
    </row>
    <row r="2171">
      <c r="A2171" s="283">
        <v>40.0</v>
      </c>
      <c r="B2171" s="284">
        <v>85.0</v>
      </c>
      <c r="C2171" s="285" t="str">
        <f t="shared" si="1"/>
        <v>40 85</v>
      </c>
      <c r="D2171" s="285" t="s">
        <v>10826</v>
      </c>
    </row>
    <row r="2172">
      <c r="A2172" s="283">
        <v>40.0</v>
      </c>
      <c r="B2172" s="284">
        <v>87.0</v>
      </c>
      <c r="C2172" s="285" t="str">
        <f t="shared" si="1"/>
        <v>40 87</v>
      </c>
      <c r="D2172" s="285" t="s">
        <v>10827</v>
      </c>
    </row>
    <row r="2173">
      <c r="A2173" s="283">
        <v>40.0</v>
      </c>
      <c r="B2173" s="284">
        <v>89.0</v>
      </c>
      <c r="C2173" s="285" t="str">
        <f t="shared" si="1"/>
        <v>40 89</v>
      </c>
      <c r="D2173" s="285" t="s">
        <v>10828</v>
      </c>
    </row>
    <row r="2174">
      <c r="A2174" s="283">
        <v>40.0</v>
      </c>
      <c r="B2174" s="284">
        <v>91.0</v>
      </c>
      <c r="C2174" s="285" t="str">
        <f t="shared" si="1"/>
        <v>40 91</v>
      </c>
      <c r="D2174" s="285" t="s">
        <v>10829</v>
      </c>
    </row>
    <row r="2175">
      <c r="A2175" s="283">
        <v>40.0</v>
      </c>
      <c r="B2175" s="284">
        <v>93.0</v>
      </c>
      <c r="C2175" s="285" t="str">
        <f t="shared" si="1"/>
        <v>40 93</v>
      </c>
      <c r="D2175" s="285" t="s">
        <v>10830</v>
      </c>
    </row>
    <row r="2176">
      <c r="A2176" s="283">
        <v>40.0</v>
      </c>
      <c r="B2176" s="284">
        <v>95.0</v>
      </c>
      <c r="C2176" s="285" t="str">
        <f t="shared" si="1"/>
        <v>40 95</v>
      </c>
      <c r="D2176" s="285" t="s">
        <v>10831</v>
      </c>
    </row>
    <row r="2177">
      <c r="A2177" s="283">
        <v>40.0</v>
      </c>
      <c r="B2177" s="284">
        <v>97.0</v>
      </c>
      <c r="C2177" s="285" t="str">
        <f t="shared" si="1"/>
        <v>40 97</v>
      </c>
      <c r="D2177" s="285" t="s">
        <v>10832</v>
      </c>
    </row>
    <row r="2178">
      <c r="A2178" s="283">
        <v>40.0</v>
      </c>
      <c r="B2178" s="284">
        <v>99.0</v>
      </c>
      <c r="C2178" s="285" t="str">
        <f t="shared" si="1"/>
        <v>40 99</v>
      </c>
      <c r="D2178" s="285" t="s">
        <v>10833</v>
      </c>
    </row>
    <row r="2179">
      <c r="A2179" s="283">
        <v>40.0</v>
      </c>
      <c r="B2179" s="284">
        <v>101.0</v>
      </c>
      <c r="C2179" s="285" t="str">
        <f t="shared" si="1"/>
        <v>40 101</v>
      </c>
      <c r="D2179" s="285" t="s">
        <v>10834</v>
      </c>
    </row>
    <row r="2180">
      <c r="A2180" s="283">
        <v>40.0</v>
      </c>
      <c r="B2180" s="284">
        <v>103.0</v>
      </c>
      <c r="C2180" s="285" t="str">
        <f t="shared" si="1"/>
        <v>40 103</v>
      </c>
      <c r="D2180" s="285" t="s">
        <v>10835</v>
      </c>
    </row>
    <row r="2181">
      <c r="A2181" s="283">
        <v>40.0</v>
      </c>
      <c r="B2181" s="284">
        <v>105.0</v>
      </c>
      <c r="C2181" s="285" t="str">
        <f t="shared" si="1"/>
        <v>40 105</v>
      </c>
      <c r="D2181" s="285" t="s">
        <v>10836</v>
      </c>
    </row>
    <row r="2182">
      <c r="A2182" s="283">
        <v>40.0</v>
      </c>
      <c r="B2182" s="284">
        <v>107.0</v>
      </c>
      <c r="C2182" s="285" t="str">
        <f t="shared" si="1"/>
        <v>40 107</v>
      </c>
      <c r="D2182" s="285" t="s">
        <v>10837</v>
      </c>
    </row>
    <row r="2183">
      <c r="A2183" s="283">
        <v>40.0</v>
      </c>
      <c r="B2183" s="284">
        <v>109.0</v>
      </c>
      <c r="C2183" s="285" t="str">
        <f t="shared" si="1"/>
        <v>40 109</v>
      </c>
      <c r="D2183" s="285" t="s">
        <v>10838</v>
      </c>
    </row>
    <row r="2184">
      <c r="A2184" s="283">
        <v>40.0</v>
      </c>
      <c r="B2184" s="284">
        <v>111.0</v>
      </c>
      <c r="C2184" s="285" t="str">
        <f t="shared" si="1"/>
        <v>40 111</v>
      </c>
      <c r="D2184" s="285" t="s">
        <v>10839</v>
      </c>
    </row>
    <row r="2185">
      <c r="A2185" s="283">
        <v>40.0</v>
      </c>
      <c r="B2185" s="284">
        <v>113.0</v>
      </c>
      <c r="C2185" s="285" t="str">
        <f t="shared" si="1"/>
        <v>40 113</v>
      </c>
      <c r="D2185" s="285" t="s">
        <v>10840</v>
      </c>
    </row>
    <row r="2186">
      <c r="A2186" s="283">
        <v>40.0</v>
      </c>
      <c r="B2186" s="284">
        <v>115.0</v>
      </c>
      <c r="C2186" s="285" t="str">
        <f t="shared" si="1"/>
        <v>40 115</v>
      </c>
      <c r="D2186" s="285" t="s">
        <v>10841</v>
      </c>
    </row>
    <row r="2187">
      <c r="A2187" s="283">
        <v>40.0</v>
      </c>
      <c r="B2187" s="284">
        <v>117.0</v>
      </c>
      <c r="C2187" s="285" t="str">
        <f t="shared" si="1"/>
        <v>40 117</v>
      </c>
      <c r="D2187" s="285" t="s">
        <v>10842</v>
      </c>
    </row>
    <row r="2188">
      <c r="A2188" s="283">
        <v>40.0</v>
      </c>
      <c r="B2188" s="284">
        <v>119.0</v>
      </c>
      <c r="C2188" s="285" t="str">
        <f t="shared" si="1"/>
        <v>40 119</v>
      </c>
      <c r="D2188" s="285" t="s">
        <v>10843</v>
      </c>
    </row>
    <row r="2189">
      <c r="A2189" s="283">
        <v>40.0</v>
      </c>
      <c r="B2189" s="284">
        <v>121.0</v>
      </c>
      <c r="C2189" s="285" t="str">
        <f t="shared" si="1"/>
        <v>40 121</v>
      </c>
      <c r="D2189" s="285" t="s">
        <v>10844</v>
      </c>
    </row>
    <row r="2190">
      <c r="A2190" s="283">
        <v>40.0</v>
      </c>
      <c r="B2190" s="284">
        <v>123.0</v>
      </c>
      <c r="C2190" s="285" t="str">
        <f t="shared" si="1"/>
        <v>40 123</v>
      </c>
      <c r="D2190" s="285" t="s">
        <v>10845</v>
      </c>
    </row>
    <row r="2191">
      <c r="A2191" s="283">
        <v>40.0</v>
      </c>
      <c r="B2191" s="284">
        <v>125.0</v>
      </c>
      <c r="C2191" s="285" t="str">
        <f t="shared" si="1"/>
        <v>40 125</v>
      </c>
      <c r="D2191" s="285" t="s">
        <v>10846</v>
      </c>
    </row>
    <row r="2192">
      <c r="A2192" s="283">
        <v>40.0</v>
      </c>
      <c r="B2192" s="284">
        <v>127.0</v>
      </c>
      <c r="C2192" s="285" t="str">
        <f t="shared" si="1"/>
        <v>40 127</v>
      </c>
      <c r="D2192" s="285" t="s">
        <v>10847</v>
      </c>
    </row>
    <row r="2193">
      <c r="A2193" s="283">
        <v>40.0</v>
      </c>
      <c r="B2193" s="284">
        <v>129.0</v>
      </c>
      <c r="C2193" s="285" t="str">
        <f t="shared" si="1"/>
        <v>40 129</v>
      </c>
      <c r="D2193" s="285" t="s">
        <v>10848</v>
      </c>
    </row>
    <row r="2194">
      <c r="A2194" s="283">
        <v>40.0</v>
      </c>
      <c r="B2194" s="284">
        <v>131.0</v>
      </c>
      <c r="C2194" s="285" t="str">
        <f t="shared" si="1"/>
        <v>40 131</v>
      </c>
      <c r="D2194" s="285" t="s">
        <v>10849</v>
      </c>
    </row>
    <row r="2195">
      <c r="A2195" s="283">
        <v>40.0</v>
      </c>
      <c r="B2195" s="284">
        <v>133.0</v>
      </c>
      <c r="C2195" s="285" t="str">
        <f t="shared" si="1"/>
        <v>40 133</v>
      </c>
      <c r="D2195" s="285" t="s">
        <v>10850</v>
      </c>
    </row>
    <row r="2196">
      <c r="A2196" s="283">
        <v>40.0</v>
      </c>
      <c r="B2196" s="284">
        <v>135.0</v>
      </c>
      <c r="C2196" s="285" t="str">
        <f t="shared" si="1"/>
        <v>40 135</v>
      </c>
      <c r="D2196" s="285" t="s">
        <v>10851</v>
      </c>
    </row>
    <row r="2197">
      <c r="A2197" s="283">
        <v>40.0</v>
      </c>
      <c r="B2197" s="284">
        <v>137.0</v>
      </c>
      <c r="C2197" s="285" t="str">
        <f t="shared" si="1"/>
        <v>40 137</v>
      </c>
      <c r="D2197" s="285" t="s">
        <v>10852</v>
      </c>
    </row>
    <row r="2198">
      <c r="A2198" s="283">
        <v>40.0</v>
      </c>
      <c r="B2198" s="284">
        <v>139.0</v>
      </c>
      <c r="C2198" s="285" t="str">
        <f t="shared" si="1"/>
        <v>40 139</v>
      </c>
      <c r="D2198" s="285" t="s">
        <v>10853</v>
      </c>
    </row>
    <row r="2199">
      <c r="A2199" s="283">
        <v>40.0</v>
      </c>
      <c r="B2199" s="284">
        <v>141.0</v>
      </c>
      <c r="C2199" s="285" t="str">
        <f t="shared" si="1"/>
        <v>40 141</v>
      </c>
      <c r="D2199" s="285" t="s">
        <v>10854</v>
      </c>
    </row>
    <row r="2200">
      <c r="A2200" s="283">
        <v>40.0</v>
      </c>
      <c r="B2200" s="284">
        <v>143.0</v>
      </c>
      <c r="C2200" s="285" t="str">
        <f t="shared" si="1"/>
        <v>40 143</v>
      </c>
      <c r="D2200" s="285" t="s">
        <v>10855</v>
      </c>
    </row>
    <row r="2201">
      <c r="A2201" s="283">
        <v>40.0</v>
      </c>
      <c r="B2201" s="284">
        <v>145.0</v>
      </c>
      <c r="C2201" s="285" t="str">
        <f t="shared" si="1"/>
        <v>40 145</v>
      </c>
      <c r="D2201" s="285" t="s">
        <v>10856</v>
      </c>
    </row>
    <row r="2202">
      <c r="A2202" s="283">
        <v>40.0</v>
      </c>
      <c r="B2202" s="284">
        <v>147.0</v>
      </c>
      <c r="C2202" s="285" t="str">
        <f t="shared" si="1"/>
        <v>40 147</v>
      </c>
      <c r="D2202" s="285" t="s">
        <v>10857</v>
      </c>
    </row>
    <row r="2203">
      <c r="A2203" s="283">
        <v>40.0</v>
      </c>
      <c r="B2203" s="284">
        <v>149.0</v>
      </c>
      <c r="C2203" s="285" t="str">
        <f t="shared" si="1"/>
        <v>40 149</v>
      </c>
      <c r="D2203" s="285" t="s">
        <v>10858</v>
      </c>
    </row>
    <row r="2204">
      <c r="A2204" s="283">
        <v>40.0</v>
      </c>
      <c r="B2204" s="284">
        <v>151.0</v>
      </c>
      <c r="C2204" s="285" t="str">
        <f t="shared" si="1"/>
        <v>40 151</v>
      </c>
      <c r="D2204" s="285" t="s">
        <v>10859</v>
      </c>
    </row>
    <row r="2205">
      <c r="A2205" s="283">
        <v>40.0</v>
      </c>
      <c r="B2205" s="284">
        <v>153.0</v>
      </c>
      <c r="C2205" s="285" t="str">
        <f t="shared" si="1"/>
        <v>40 153</v>
      </c>
      <c r="D2205" s="285" t="s">
        <v>10860</v>
      </c>
    </row>
    <row r="2206">
      <c r="A2206" s="283">
        <v>41.0</v>
      </c>
      <c r="B2206" s="284">
        <v>1.0</v>
      </c>
      <c r="C2206" s="285" t="str">
        <f t="shared" si="1"/>
        <v>41 1</v>
      </c>
      <c r="D2206" s="285" t="s">
        <v>10861</v>
      </c>
    </row>
    <row r="2207">
      <c r="A2207" s="283">
        <v>41.0</v>
      </c>
      <c r="B2207" s="284">
        <v>3.0</v>
      </c>
      <c r="C2207" s="285" t="str">
        <f t="shared" si="1"/>
        <v>41 3</v>
      </c>
      <c r="D2207" s="285" t="s">
        <v>10862</v>
      </c>
    </row>
    <row r="2208">
      <c r="A2208" s="283">
        <v>41.0</v>
      </c>
      <c r="B2208" s="284">
        <v>5.0</v>
      </c>
      <c r="C2208" s="285" t="str">
        <f t="shared" si="1"/>
        <v>41 5</v>
      </c>
      <c r="D2208" s="285" t="s">
        <v>10863</v>
      </c>
    </row>
    <row r="2209">
      <c r="A2209" s="283">
        <v>41.0</v>
      </c>
      <c r="B2209" s="284">
        <v>7.0</v>
      </c>
      <c r="C2209" s="285" t="str">
        <f t="shared" si="1"/>
        <v>41 7</v>
      </c>
      <c r="D2209" s="285" t="s">
        <v>10864</v>
      </c>
    </row>
    <row r="2210">
      <c r="A2210" s="283">
        <v>41.0</v>
      </c>
      <c r="B2210" s="284">
        <v>9.0</v>
      </c>
      <c r="C2210" s="285" t="str">
        <f t="shared" si="1"/>
        <v>41 9</v>
      </c>
      <c r="D2210" s="285" t="s">
        <v>10865</v>
      </c>
    </row>
    <row r="2211">
      <c r="A2211" s="283">
        <v>41.0</v>
      </c>
      <c r="B2211" s="284">
        <v>11.0</v>
      </c>
      <c r="C2211" s="285" t="str">
        <f t="shared" si="1"/>
        <v>41 11</v>
      </c>
      <c r="D2211" s="285" t="s">
        <v>10866</v>
      </c>
    </row>
    <row r="2212">
      <c r="A2212" s="283">
        <v>41.0</v>
      </c>
      <c r="B2212" s="284">
        <v>13.0</v>
      </c>
      <c r="C2212" s="285" t="str">
        <f t="shared" si="1"/>
        <v>41 13</v>
      </c>
      <c r="D2212" s="285" t="s">
        <v>10867</v>
      </c>
    </row>
    <row r="2213">
      <c r="A2213" s="283">
        <v>41.0</v>
      </c>
      <c r="B2213" s="284">
        <v>15.0</v>
      </c>
      <c r="C2213" s="285" t="str">
        <f t="shared" si="1"/>
        <v>41 15</v>
      </c>
      <c r="D2213" s="285" t="s">
        <v>10868</v>
      </c>
    </row>
    <row r="2214">
      <c r="A2214" s="283">
        <v>41.0</v>
      </c>
      <c r="B2214" s="284">
        <v>17.0</v>
      </c>
      <c r="C2214" s="285" t="str">
        <f t="shared" si="1"/>
        <v>41 17</v>
      </c>
      <c r="D2214" s="285" t="s">
        <v>10869</v>
      </c>
    </row>
    <row r="2215">
      <c r="A2215" s="283">
        <v>41.0</v>
      </c>
      <c r="B2215" s="284">
        <v>19.0</v>
      </c>
      <c r="C2215" s="285" t="str">
        <f t="shared" si="1"/>
        <v>41 19</v>
      </c>
      <c r="D2215" s="285" t="s">
        <v>10870</v>
      </c>
    </row>
    <row r="2216">
      <c r="A2216" s="283">
        <v>41.0</v>
      </c>
      <c r="B2216" s="284">
        <v>21.0</v>
      </c>
      <c r="C2216" s="285" t="str">
        <f t="shared" si="1"/>
        <v>41 21</v>
      </c>
      <c r="D2216" s="285" t="s">
        <v>10871</v>
      </c>
    </row>
    <row r="2217">
      <c r="A2217" s="283">
        <v>41.0</v>
      </c>
      <c r="B2217" s="284">
        <v>23.0</v>
      </c>
      <c r="C2217" s="285" t="str">
        <f t="shared" si="1"/>
        <v>41 23</v>
      </c>
      <c r="D2217" s="285" t="s">
        <v>10872</v>
      </c>
    </row>
    <row r="2218">
      <c r="A2218" s="283">
        <v>41.0</v>
      </c>
      <c r="B2218" s="284">
        <v>25.0</v>
      </c>
      <c r="C2218" s="285" t="str">
        <f t="shared" si="1"/>
        <v>41 25</v>
      </c>
      <c r="D2218" s="285" t="s">
        <v>10873</v>
      </c>
    </row>
    <row r="2219">
      <c r="A2219" s="283">
        <v>41.0</v>
      </c>
      <c r="B2219" s="284">
        <v>27.0</v>
      </c>
      <c r="C2219" s="285" t="str">
        <f t="shared" si="1"/>
        <v>41 27</v>
      </c>
      <c r="D2219" s="285" t="s">
        <v>10874</v>
      </c>
    </row>
    <row r="2220">
      <c r="A2220" s="283">
        <v>41.0</v>
      </c>
      <c r="B2220" s="284">
        <v>29.0</v>
      </c>
      <c r="C2220" s="285" t="str">
        <f t="shared" si="1"/>
        <v>41 29</v>
      </c>
      <c r="D2220" s="285" t="s">
        <v>10875</v>
      </c>
    </row>
    <row r="2221">
      <c r="A2221" s="283">
        <v>41.0</v>
      </c>
      <c r="B2221" s="284">
        <v>31.0</v>
      </c>
      <c r="C2221" s="285" t="str">
        <f t="shared" si="1"/>
        <v>41 31</v>
      </c>
      <c r="D2221" s="285" t="s">
        <v>10876</v>
      </c>
    </row>
    <row r="2222">
      <c r="A2222" s="283">
        <v>41.0</v>
      </c>
      <c r="B2222" s="284">
        <v>33.0</v>
      </c>
      <c r="C2222" s="285" t="str">
        <f t="shared" si="1"/>
        <v>41 33</v>
      </c>
      <c r="D2222" s="285" t="s">
        <v>10877</v>
      </c>
    </row>
    <row r="2223">
      <c r="A2223" s="283">
        <v>41.0</v>
      </c>
      <c r="B2223" s="284">
        <v>35.0</v>
      </c>
      <c r="C2223" s="285" t="str">
        <f t="shared" si="1"/>
        <v>41 35</v>
      </c>
      <c r="D2223" s="285" t="s">
        <v>10878</v>
      </c>
    </row>
    <row r="2224">
      <c r="A2224" s="283">
        <v>41.0</v>
      </c>
      <c r="B2224" s="284">
        <v>37.0</v>
      </c>
      <c r="C2224" s="285" t="str">
        <f t="shared" si="1"/>
        <v>41 37</v>
      </c>
      <c r="D2224" s="285" t="s">
        <v>10879</v>
      </c>
    </row>
    <row r="2225">
      <c r="A2225" s="283">
        <v>41.0</v>
      </c>
      <c r="B2225" s="284">
        <v>39.0</v>
      </c>
      <c r="C2225" s="285" t="str">
        <f t="shared" si="1"/>
        <v>41 39</v>
      </c>
      <c r="D2225" s="285" t="s">
        <v>10880</v>
      </c>
    </row>
    <row r="2226">
      <c r="A2226" s="283">
        <v>41.0</v>
      </c>
      <c r="B2226" s="284">
        <v>41.0</v>
      </c>
      <c r="C2226" s="285" t="str">
        <f t="shared" si="1"/>
        <v>41 41</v>
      </c>
      <c r="D2226" s="285" t="s">
        <v>10881</v>
      </c>
    </row>
    <row r="2227">
      <c r="A2227" s="283">
        <v>41.0</v>
      </c>
      <c r="B2227" s="284">
        <v>43.0</v>
      </c>
      <c r="C2227" s="285" t="str">
        <f t="shared" si="1"/>
        <v>41 43</v>
      </c>
      <c r="D2227" s="285" t="s">
        <v>10882</v>
      </c>
    </row>
    <row r="2228">
      <c r="A2228" s="283">
        <v>41.0</v>
      </c>
      <c r="B2228" s="284">
        <v>45.0</v>
      </c>
      <c r="C2228" s="285" t="str">
        <f t="shared" si="1"/>
        <v>41 45</v>
      </c>
      <c r="D2228" s="285" t="s">
        <v>10883</v>
      </c>
    </row>
    <row r="2229">
      <c r="A2229" s="283">
        <v>41.0</v>
      </c>
      <c r="B2229" s="284">
        <v>47.0</v>
      </c>
      <c r="C2229" s="285" t="str">
        <f t="shared" si="1"/>
        <v>41 47</v>
      </c>
      <c r="D2229" s="285" t="s">
        <v>10884</v>
      </c>
    </row>
    <row r="2230">
      <c r="A2230" s="283">
        <v>41.0</v>
      </c>
      <c r="B2230" s="284">
        <v>49.0</v>
      </c>
      <c r="C2230" s="285" t="str">
        <f t="shared" si="1"/>
        <v>41 49</v>
      </c>
      <c r="D2230" s="285" t="s">
        <v>10885</v>
      </c>
    </row>
    <row r="2231">
      <c r="A2231" s="283">
        <v>41.0</v>
      </c>
      <c r="B2231" s="284">
        <v>51.0</v>
      </c>
      <c r="C2231" s="285" t="str">
        <f t="shared" si="1"/>
        <v>41 51</v>
      </c>
      <c r="D2231" s="285" t="s">
        <v>10886</v>
      </c>
    </row>
    <row r="2232">
      <c r="A2232" s="283">
        <v>41.0</v>
      </c>
      <c r="B2232" s="284">
        <v>53.0</v>
      </c>
      <c r="C2232" s="285" t="str">
        <f t="shared" si="1"/>
        <v>41 53</v>
      </c>
      <c r="D2232" s="285" t="s">
        <v>10887</v>
      </c>
    </row>
    <row r="2233">
      <c r="A2233" s="283">
        <v>41.0</v>
      </c>
      <c r="B2233" s="284">
        <v>55.0</v>
      </c>
      <c r="C2233" s="285" t="str">
        <f t="shared" si="1"/>
        <v>41 55</v>
      </c>
      <c r="D2233" s="285" t="s">
        <v>10888</v>
      </c>
    </row>
    <row r="2234">
      <c r="A2234" s="283">
        <v>41.0</v>
      </c>
      <c r="B2234" s="284">
        <v>57.0</v>
      </c>
      <c r="C2234" s="285" t="str">
        <f t="shared" si="1"/>
        <v>41 57</v>
      </c>
      <c r="D2234" s="285" t="s">
        <v>10889</v>
      </c>
    </row>
    <row r="2235">
      <c r="A2235" s="283">
        <v>41.0</v>
      </c>
      <c r="B2235" s="284">
        <v>59.0</v>
      </c>
      <c r="C2235" s="285" t="str">
        <f t="shared" si="1"/>
        <v>41 59</v>
      </c>
      <c r="D2235" s="285" t="s">
        <v>10890</v>
      </c>
    </row>
    <row r="2236">
      <c r="A2236" s="283">
        <v>41.0</v>
      </c>
      <c r="B2236" s="284">
        <v>61.0</v>
      </c>
      <c r="C2236" s="285" t="str">
        <f t="shared" si="1"/>
        <v>41 61</v>
      </c>
      <c r="D2236" s="285" t="s">
        <v>10891</v>
      </c>
    </row>
    <row r="2237">
      <c r="A2237" s="283">
        <v>41.0</v>
      </c>
      <c r="B2237" s="284">
        <v>63.0</v>
      </c>
      <c r="C2237" s="285" t="str">
        <f t="shared" si="1"/>
        <v>41 63</v>
      </c>
      <c r="D2237" s="285" t="s">
        <v>10892</v>
      </c>
    </row>
    <row r="2238">
      <c r="A2238" s="283">
        <v>41.0</v>
      </c>
      <c r="B2238" s="284">
        <v>65.0</v>
      </c>
      <c r="C2238" s="285" t="str">
        <f t="shared" si="1"/>
        <v>41 65</v>
      </c>
      <c r="D2238" s="285" t="s">
        <v>10893</v>
      </c>
    </row>
    <row r="2239">
      <c r="A2239" s="283">
        <v>41.0</v>
      </c>
      <c r="B2239" s="284">
        <v>67.0</v>
      </c>
      <c r="C2239" s="285" t="str">
        <f t="shared" si="1"/>
        <v>41 67</v>
      </c>
      <c r="D2239" s="285" t="s">
        <v>10894</v>
      </c>
    </row>
    <row r="2240">
      <c r="A2240" s="283">
        <v>41.0</v>
      </c>
      <c r="B2240" s="284">
        <v>69.0</v>
      </c>
      <c r="C2240" s="285" t="str">
        <f t="shared" si="1"/>
        <v>41 69</v>
      </c>
      <c r="D2240" s="285" t="s">
        <v>10895</v>
      </c>
    </row>
    <row r="2241">
      <c r="A2241" s="283">
        <v>41.0</v>
      </c>
      <c r="B2241" s="284">
        <v>71.0</v>
      </c>
      <c r="C2241" s="285" t="str">
        <f t="shared" si="1"/>
        <v>41 71</v>
      </c>
      <c r="D2241" s="285" t="s">
        <v>10896</v>
      </c>
    </row>
    <row r="2242">
      <c r="A2242" s="283">
        <v>42.0</v>
      </c>
      <c r="B2242" s="284">
        <v>1.0</v>
      </c>
      <c r="C2242" s="285" t="str">
        <f t="shared" si="1"/>
        <v>42 1</v>
      </c>
      <c r="D2242" s="285" t="s">
        <v>10897</v>
      </c>
    </row>
    <row r="2243">
      <c r="A2243" s="283">
        <v>42.0</v>
      </c>
      <c r="B2243" s="284">
        <v>3.0</v>
      </c>
      <c r="C2243" s="285" t="str">
        <f t="shared" si="1"/>
        <v>42 3</v>
      </c>
      <c r="D2243" s="285" t="s">
        <v>10898</v>
      </c>
    </row>
    <row r="2244">
      <c r="A2244" s="283">
        <v>42.0</v>
      </c>
      <c r="B2244" s="284">
        <v>5.0</v>
      </c>
      <c r="C2244" s="285" t="str">
        <f t="shared" si="1"/>
        <v>42 5</v>
      </c>
      <c r="D2244" s="285" t="s">
        <v>10899</v>
      </c>
    </row>
    <row r="2245">
      <c r="A2245" s="283">
        <v>42.0</v>
      </c>
      <c r="B2245" s="284">
        <v>7.0</v>
      </c>
      <c r="C2245" s="285" t="str">
        <f t="shared" si="1"/>
        <v>42 7</v>
      </c>
      <c r="D2245" s="285" t="s">
        <v>10900</v>
      </c>
    </row>
    <row r="2246">
      <c r="A2246" s="283">
        <v>42.0</v>
      </c>
      <c r="B2246" s="284">
        <v>9.0</v>
      </c>
      <c r="C2246" s="285" t="str">
        <f t="shared" si="1"/>
        <v>42 9</v>
      </c>
      <c r="D2246" s="285" t="s">
        <v>10901</v>
      </c>
    </row>
    <row r="2247">
      <c r="A2247" s="283">
        <v>42.0</v>
      </c>
      <c r="B2247" s="284">
        <v>11.0</v>
      </c>
      <c r="C2247" s="285" t="str">
        <f t="shared" si="1"/>
        <v>42 11</v>
      </c>
      <c r="D2247" s="285" t="s">
        <v>10902</v>
      </c>
    </row>
    <row r="2248">
      <c r="A2248" s="283">
        <v>42.0</v>
      </c>
      <c r="B2248" s="284">
        <v>13.0</v>
      </c>
      <c r="C2248" s="285" t="str">
        <f t="shared" si="1"/>
        <v>42 13</v>
      </c>
      <c r="D2248" s="285" t="s">
        <v>10903</v>
      </c>
    </row>
    <row r="2249">
      <c r="A2249" s="283">
        <v>42.0</v>
      </c>
      <c r="B2249" s="284">
        <v>15.0</v>
      </c>
      <c r="C2249" s="285" t="str">
        <f t="shared" si="1"/>
        <v>42 15</v>
      </c>
      <c r="D2249" s="285" t="s">
        <v>10904</v>
      </c>
    </row>
    <row r="2250">
      <c r="A2250" s="283">
        <v>42.0</v>
      </c>
      <c r="B2250" s="284">
        <v>17.0</v>
      </c>
      <c r="C2250" s="285" t="str">
        <f t="shared" si="1"/>
        <v>42 17</v>
      </c>
      <c r="D2250" s="285" t="s">
        <v>10905</v>
      </c>
    </row>
    <row r="2251">
      <c r="A2251" s="283">
        <v>42.0</v>
      </c>
      <c r="B2251" s="284">
        <v>19.0</v>
      </c>
      <c r="C2251" s="285" t="str">
        <f t="shared" si="1"/>
        <v>42 19</v>
      </c>
      <c r="D2251" s="285" t="s">
        <v>10906</v>
      </c>
    </row>
    <row r="2252">
      <c r="A2252" s="283">
        <v>42.0</v>
      </c>
      <c r="B2252" s="284">
        <v>21.0</v>
      </c>
      <c r="C2252" s="285" t="str">
        <f t="shared" si="1"/>
        <v>42 21</v>
      </c>
      <c r="D2252" s="285" t="s">
        <v>10907</v>
      </c>
    </row>
    <row r="2253">
      <c r="A2253" s="283">
        <v>42.0</v>
      </c>
      <c r="B2253" s="284">
        <v>23.0</v>
      </c>
      <c r="C2253" s="285" t="str">
        <f t="shared" si="1"/>
        <v>42 23</v>
      </c>
      <c r="D2253" s="285" t="s">
        <v>10908</v>
      </c>
    </row>
    <row r="2254">
      <c r="A2254" s="283">
        <v>42.0</v>
      </c>
      <c r="B2254" s="284">
        <v>25.0</v>
      </c>
      <c r="C2254" s="285" t="str">
        <f t="shared" si="1"/>
        <v>42 25</v>
      </c>
      <c r="D2254" s="285" t="s">
        <v>10909</v>
      </c>
    </row>
    <row r="2255">
      <c r="A2255" s="283">
        <v>42.0</v>
      </c>
      <c r="B2255" s="284">
        <v>27.0</v>
      </c>
      <c r="C2255" s="285" t="str">
        <f t="shared" si="1"/>
        <v>42 27</v>
      </c>
      <c r="D2255" s="285" t="s">
        <v>10910</v>
      </c>
    </row>
    <row r="2256">
      <c r="A2256" s="283">
        <v>42.0</v>
      </c>
      <c r="B2256" s="284">
        <v>29.0</v>
      </c>
      <c r="C2256" s="285" t="str">
        <f t="shared" si="1"/>
        <v>42 29</v>
      </c>
      <c r="D2256" s="285" t="s">
        <v>10911</v>
      </c>
    </row>
    <row r="2257">
      <c r="A2257" s="283">
        <v>42.0</v>
      </c>
      <c r="B2257" s="284">
        <v>31.0</v>
      </c>
      <c r="C2257" s="285" t="str">
        <f t="shared" si="1"/>
        <v>42 31</v>
      </c>
      <c r="D2257" s="285" t="s">
        <v>10912</v>
      </c>
    </row>
    <row r="2258">
      <c r="A2258" s="283">
        <v>42.0</v>
      </c>
      <c r="B2258" s="284">
        <v>33.0</v>
      </c>
      <c r="C2258" s="285" t="str">
        <f t="shared" si="1"/>
        <v>42 33</v>
      </c>
      <c r="D2258" s="285" t="s">
        <v>10913</v>
      </c>
    </row>
    <row r="2259">
      <c r="A2259" s="283">
        <v>42.0</v>
      </c>
      <c r="B2259" s="284">
        <v>35.0</v>
      </c>
      <c r="C2259" s="285" t="str">
        <f t="shared" si="1"/>
        <v>42 35</v>
      </c>
      <c r="D2259" s="285" t="s">
        <v>10914</v>
      </c>
    </row>
    <row r="2260">
      <c r="A2260" s="283">
        <v>42.0</v>
      </c>
      <c r="B2260" s="284">
        <v>37.0</v>
      </c>
      <c r="C2260" s="285" t="str">
        <f t="shared" si="1"/>
        <v>42 37</v>
      </c>
      <c r="D2260" s="285" t="s">
        <v>10915</v>
      </c>
    </row>
    <row r="2261">
      <c r="A2261" s="283">
        <v>42.0</v>
      </c>
      <c r="B2261" s="284">
        <v>39.0</v>
      </c>
      <c r="C2261" s="285" t="str">
        <f t="shared" si="1"/>
        <v>42 39</v>
      </c>
      <c r="D2261" s="285" t="s">
        <v>10916</v>
      </c>
    </row>
    <row r="2262">
      <c r="A2262" s="283">
        <v>42.0</v>
      </c>
      <c r="B2262" s="284">
        <v>41.0</v>
      </c>
      <c r="C2262" s="285" t="str">
        <f t="shared" si="1"/>
        <v>42 41</v>
      </c>
      <c r="D2262" s="285" t="s">
        <v>10917</v>
      </c>
    </row>
    <row r="2263">
      <c r="A2263" s="283">
        <v>42.0</v>
      </c>
      <c r="B2263" s="284">
        <v>43.0</v>
      </c>
      <c r="C2263" s="285" t="str">
        <f t="shared" si="1"/>
        <v>42 43</v>
      </c>
      <c r="D2263" s="285" t="s">
        <v>10918</v>
      </c>
    </row>
    <row r="2264">
      <c r="A2264" s="283">
        <v>42.0</v>
      </c>
      <c r="B2264" s="284">
        <v>45.0</v>
      </c>
      <c r="C2264" s="285" t="str">
        <f t="shared" si="1"/>
        <v>42 45</v>
      </c>
      <c r="D2264" s="285" t="s">
        <v>10919</v>
      </c>
    </row>
    <row r="2265">
      <c r="A2265" s="283">
        <v>42.0</v>
      </c>
      <c r="B2265" s="284">
        <v>47.0</v>
      </c>
      <c r="C2265" s="285" t="str">
        <f t="shared" si="1"/>
        <v>42 47</v>
      </c>
      <c r="D2265" s="285" t="s">
        <v>10920</v>
      </c>
    </row>
    <row r="2266">
      <c r="A2266" s="283">
        <v>42.0</v>
      </c>
      <c r="B2266" s="284">
        <v>49.0</v>
      </c>
      <c r="C2266" s="285" t="str">
        <f t="shared" si="1"/>
        <v>42 49</v>
      </c>
      <c r="D2266" s="285" t="s">
        <v>10921</v>
      </c>
    </row>
    <row r="2267">
      <c r="A2267" s="283">
        <v>42.0</v>
      </c>
      <c r="B2267" s="284">
        <v>51.0</v>
      </c>
      <c r="C2267" s="285" t="str">
        <f t="shared" si="1"/>
        <v>42 51</v>
      </c>
      <c r="D2267" s="285" t="s">
        <v>10922</v>
      </c>
    </row>
    <row r="2268">
      <c r="A2268" s="283">
        <v>42.0</v>
      </c>
      <c r="B2268" s="284">
        <v>53.0</v>
      </c>
      <c r="C2268" s="285" t="str">
        <f t="shared" si="1"/>
        <v>42 53</v>
      </c>
      <c r="D2268" s="285" t="s">
        <v>10923</v>
      </c>
    </row>
    <row r="2269">
      <c r="A2269" s="283">
        <v>42.0</v>
      </c>
      <c r="B2269" s="284">
        <v>55.0</v>
      </c>
      <c r="C2269" s="285" t="str">
        <f t="shared" si="1"/>
        <v>42 55</v>
      </c>
      <c r="D2269" s="285" t="s">
        <v>10924</v>
      </c>
    </row>
    <row r="2270">
      <c r="A2270" s="283">
        <v>42.0</v>
      </c>
      <c r="B2270" s="284">
        <v>57.0</v>
      </c>
      <c r="C2270" s="285" t="str">
        <f t="shared" si="1"/>
        <v>42 57</v>
      </c>
      <c r="D2270" s="285" t="s">
        <v>10925</v>
      </c>
    </row>
    <row r="2271">
      <c r="A2271" s="283">
        <v>42.0</v>
      </c>
      <c r="B2271" s="284">
        <v>59.0</v>
      </c>
      <c r="C2271" s="285" t="str">
        <f t="shared" si="1"/>
        <v>42 59</v>
      </c>
      <c r="D2271" s="285" t="s">
        <v>10926</v>
      </c>
    </row>
    <row r="2272">
      <c r="A2272" s="283">
        <v>42.0</v>
      </c>
      <c r="B2272" s="284">
        <v>61.0</v>
      </c>
      <c r="C2272" s="285" t="str">
        <f t="shared" si="1"/>
        <v>42 61</v>
      </c>
      <c r="D2272" s="285" t="s">
        <v>10927</v>
      </c>
    </row>
    <row r="2273">
      <c r="A2273" s="283">
        <v>42.0</v>
      </c>
      <c r="B2273" s="284">
        <v>63.0</v>
      </c>
      <c r="C2273" s="285" t="str">
        <f t="shared" si="1"/>
        <v>42 63</v>
      </c>
      <c r="D2273" s="285" t="s">
        <v>10928</v>
      </c>
    </row>
    <row r="2274">
      <c r="A2274" s="283">
        <v>42.0</v>
      </c>
      <c r="B2274" s="284">
        <v>65.0</v>
      </c>
      <c r="C2274" s="285" t="str">
        <f t="shared" si="1"/>
        <v>42 65</v>
      </c>
      <c r="D2274" s="285" t="s">
        <v>10929</v>
      </c>
    </row>
    <row r="2275">
      <c r="A2275" s="283">
        <v>42.0</v>
      </c>
      <c r="B2275" s="284">
        <v>67.0</v>
      </c>
      <c r="C2275" s="285" t="str">
        <f t="shared" si="1"/>
        <v>42 67</v>
      </c>
      <c r="D2275" s="285" t="s">
        <v>10930</v>
      </c>
    </row>
    <row r="2276">
      <c r="A2276" s="283">
        <v>42.0</v>
      </c>
      <c r="B2276" s="284">
        <v>69.0</v>
      </c>
      <c r="C2276" s="285" t="str">
        <f t="shared" si="1"/>
        <v>42 69</v>
      </c>
      <c r="D2276" s="285" t="s">
        <v>10931</v>
      </c>
    </row>
    <row r="2277">
      <c r="A2277" s="283">
        <v>42.0</v>
      </c>
      <c r="B2277" s="284">
        <v>71.0</v>
      </c>
      <c r="C2277" s="285" t="str">
        <f t="shared" si="1"/>
        <v>42 71</v>
      </c>
      <c r="D2277" s="285" t="s">
        <v>10932</v>
      </c>
    </row>
    <row r="2278">
      <c r="A2278" s="283">
        <v>42.0</v>
      </c>
      <c r="B2278" s="284">
        <v>73.0</v>
      </c>
      <c r="C2278" s="285" t="str">
        <f t="shared" si="1"/>
        <v>42 73</v>
      </c>
      <c r="D2278" s="285" t="s">
        <v>10933</v>
      </c>
    </row>
    <row r="2279">
      <c r="A2279" s="283">
        <v>42.0</v>
      </c>
      <c r="B2279" s="284">
        <v>75.0</v>
      </c>
      <c r="C2279" s="285" t="str">
        <f t="shared" si="1"/>
        <v>42 75</v>
      </c>
      <c r="D2279" s="285" t="s">
        <v>10934</v>
      </c>
    </row>
    <row r="2280">
      <c r="A2280" s="283">
        <v>42.0</v>
      </c>
      <c r="B2280" s="284">
        <v>77.0</v>
      </c>
      <c r="C2280" s="285" t="str">
        <f t="shared" si="1"/>
        <v>42 77</v>
      </c>
      <c r="D2280" s="285" t="s">
        <v>10935</v>
      </c>
    </row>
    <row r="2281">
      <c r="A2281" s="283">
        <v>42.0</v>
      </c>
      <c r="B2281" s="284">
        <v>79.0</v>
      </c>
      <c r="C2281" s="285" t="str">
        <f t="shared" si="1"/>
        <v>42 79</v>
      </c>
      <c r="D2281" s="285" t="s">
        <v>10936</v>
      </c>
    </row>
    <row r="2282">
      <c r="A2282" s="283">
        <v>42.0</v>
      </c>
      <c r="B2282" s="284">
        <v>81.0</v>
      </c>
      <c r="C2282" s="285" t="str">
        <f t="shared" si="1"/>
        <v>42 81</v>
      </c>
      <c r="D2282" s="285" t="s">
        <v>10937</v>
      </c>
    </row>
    <row r="2283">
      <c r="A2283" s="283">
        <v>42.0</v>
      </c>
      <c r="B2283" s="284">
        <v>83.0</v>
      </c>
      <c r="C2283" s="285" t="str">
        <f t="shared" si="1"/>
        <v>42 83</v>
      </c>
      <c r="D2283" s="285" t="s">
        <v>10938</v>
      </c>
    </row>
    <row r="2284">
      <c r="A2284" s="283">
        <v>42.0</v>
      </c>
      <c r="B2284" s="284">
        <v>85.0</v>
      </c>
      <c r="C2284" s="285" t="str">
        <f t="shared" si="1"/>
        <v>42 85</v>
      </c>
      <c r="D2284" s="285" t="s">
        <v>10939</v>
      </c>
    </row>
    <row r="2285">
      <c r="A2285" s="283">
        <v>42.0</v>
      </c>
      <c r="B2285" s="284">
        <v>87.0</v>
      </c>
      <c r="C2285" s="285" t="str">
        <f t="shared" si="1"/>
        <v>42 87</v>
      </c>
      <c r="D2285" s="285" t="s">
        <v>10940</v>
      </c>
    </row>
    <row r="2286">
      <c r="A2286" s="283">
        <v>42.0</v>
      </c>
      <c r="B2286" s="284">
        <v>89.0</v>
      </c>
      <c r="C2286" s="285" t="str">
        <f t="shared" si="1"/>
        <v>42 89</v>
      </c>
      <c r="D2286" s="285" t="s">
        <v>10941</v>
      </c>
    </row>
    <row r="2287">
      <c r="A2287" s="283">
        <v>42.0</v>
      </c>
      <c r="B2287" s="284">
        <v>91.0</v>
      </c>
      <c r="C2287" s="285" t="str">
        <f t="shared" si="1"/>
        <v>42 91</v>
      </c>
      <c r="D2287" s="285" t="s">
        <v>10942</v>
      </c>
    </row>
    <row r="2288">
      <c r="A2288" s="283">
        <v>42.0</v>
      </c>
      <c r="B2288" s="284">
        <v>93.0</v>
      </c>
      <c r="C2288" s="285" t="str">
        <f t="shared" si="1"/>
        <v>42 93</v>
      </c>
      <c r="D2288" s="285" t="s">
        <v>10943</v>
      </c>
    </row>
    <row r="2289">
      <c r="A2289" s="283">
        <v>42.0</v>
      </c>
      <c r="B2289" s="284">
        <v>95.0</v>
      </c>
      <c r="C2289" s="285" t="str">
        <f t="shared" si="1"/>
        <v>42 95</v>
      </c>
      <c r="D2289" s="285" t="s">
        <v>10944</v>
      </c>
    </row>
    <row r="2290">
      <c r="A2290" s="283">
        <v>42.0</v>
      </c>
      <c r="B2290" s="284">
        <v>97.0</v>
      </c>
      <c r="C2290" s="285" t="str">
        <f t="shared" si="1"/>
        <v>42 97</v>
      </c>
      <c r="D2290" s="285" t="s">
        <v>10945</v>
      </c>
    </row>
    <row r="2291">
      <c r="A2291" s="283">
        <v>42.0</v>
      </c>
      <c r="B2291" s="284">
        <v>99.0</v>
      </c>
      <c r="C2291" s="285" t="str">
        <f t="shared" si="1"/>
        <v>42 99</v>
      </c>
      <c r="D2291" s="285" t="s">
        <v>10946</v>
      </c>
    </row>
    <row r="2292">
      <c r="A2292" s="283">
        <v>42.0</v>
      </c>
      <c r="B2292" s="284">
        <v>101.0</v>
      </c>
      <c r="C2292" s="285" t="str">
        <f t="shared" si="1"/>
        <v>42 101</v>
      </c>
      <c r="D2292" s="285" t="s">
        <v>10947</v>
      </c>
    </row>
    <row r="2293">
      <c r="A2293" s="283">
        <v>42.0</v>
      </c>
      <c r="B2293" s="284">
        <v>103.0</v>
      </c>
      <c r="C2293" s="285" t="str">
        <f t="shared" si="1"/>
        <v>42 103</v>
      </c>
      <c r="D2293" s="285" t="s">
        <v>10948</v>
      </c>
    </row>
    <row r="2294">
      <c r="A2294" s="283">
        <v>42.0</v>
      </c>
      <c r="B2294" s="284">
        <v>105.0</v>
      </c>
      <c r="C2294" s="285" t="str">
        <f t="shared" si="1"/>
        <v>42 105</v>
      </c>
      <c r="D2294" s="285" t="s">
        <v>10949</v>
      </c>
    </row>
    <row r="2295">
      <c r="A2295" s="283">
        <v>42.0</v>
      </c>
      <c r="B2295" s="284">
        <v>107.0</v>
      </c>
      <c r="C2295" s="285" t="str">
        <f t="shared" si="1"/>
        <v>42 107</v>
      </c>
      <c r="D2295" s="285" t="s">
        <v>10950</v>
      </c>
    </row>
    <row r="2296">
      <c r="A2296" s="283">
        <v>42.0</v>
      </c>
      <c r="B2296" s="284">
        <v>109.0</v>
      </c>
      <c r="C2296" s="285" t="str">
        <f t="shared" si="1"/>
        <v>42 109</v>
      </c>
      <c r="D2296" s="285" t="s">
        <v>10951</v>
      </c>
    </row>
    <row r="2297">
      <c r="A2297" s="283">
        <v>42.0</v>
      </c>
      <c r="B2297" s="284">
        <v>111.0</v>
      </c>
      <c r="C2297" s="285" t="str">
        <f t="shared" si="1"/>
        <v>42 111</v>
      </c>
      <c r="D2297" s="285" t="s">
        <v>10952</v>
      </c>
    </row>
    <row r="2298">
      <c r="A2298" s="283">
        <v>42.0</v>
      </c>
      <c r="B2298" s="284">
        <v>113.0</v>
      </c>
      <c r="C2298" s="285" t="str">
        <f t="shared" si="1"/>
        <v>42 113</v>
      </c>
      <c r="D2298" s="285" t="s">
        <v>10953</v>
      </c>
    </row>
    <row r="2299">
      <c r="A2299" s="283">
        <v>42.0</v>
      </c>
      <c r="B2299" s="284">
        <v>115.0</v>
      </c>
      <c r="C2299" s="285" t="str">
        <f t="shared" si="1"/>
        <v>42 115</v>
      </c>
      <c r="D2299" s="285" t="s">
        <v>10954</v>
      </c>
    </row>
    <row r="2300">
      <c r="A2300" s="283">
        <v>42.0</v>
      </c>
      <c r="B2300" s="284">
        <v>117.0</v>
      </c>
      <c r="C2300" s="285" t="str">
        <f t="shared" si="1"/>
        <v>42 117</v>
      </c>
      <c r="D2300" s="285" t="s">
        <v>10955</v>
      </c>
    </row>
    <row r="2301">
      <c r="A2301" s="283">
        <v>42.0</v>
      </c>
      <c r="B2301" s="284">
        <v>119.0</v>
      </c>
      <c r="C2301" s="285" t="str">
        <f t="shared" si="1"/>
        <v>42 119</v>
      </c>
      <c r="D2301" s="285" t="s">
        <v>10956</v>
      </c>
    </row>
    <row r="2302">
      <c r="A2302" s="283">
        <v>42.0</v>
      </c>
      <c r="B2302" s="284">
        <v>121.0</v>
      </c>
      <c r="C2302" s="285" t="str">
        <f t="shared" si="1"/>
        <v>42 121</v>
      </c>
      <c r="D2302" s="285" t="s">
        <v>10957</v>
      </c>
    </row>
    <row r="2303">
      <c r="A2303" s="283">
        <v>42.0</v>
      </c>
      <c r="B2303" s="284">
        <v>123.0</v>
      </c>
      <c r="C2303" s="285" t="str">
        <f t="shared" si="1"/>
        <v>42 123</v>
      </c>
      <c r="D2303" s="285" t="s">
        <v>10958</v>
      </c>
    </row>
    <row r="2304">
      <c r="A2304" s="283">
        <v>42.0</v>
      </c>
      <c r="B2304" s="284">
        <v>125.0</v>
      </c>
      <c r="C2304" s="285" t="str">
        <f t="shared" si="1"/>
        <v>42 125</v>
      </c>
      <c r="D2304" s="285" t="s">
        <v>10959</v>
      </c>
    </row>
    <row r="2305">
      <c r="A2305" s="283">
        <v>42.0</v>
      </c>
      <c r="B2305" s="284">
        <v>127.0</v>
      </c>
      <c r="C2305" s="285" t="str">
        <f t="shared" si="1"/>
        <v>42 127</v>
      </c>
      <c r="D2305" s="285" t="s">
        <v>10960</v>
      </c>
    </row>
    <row r="2306">
      <c r="A2306" s="283">
        <v>42.0</v>
      </c>
      <c r="B2306" s="284">
        <v>129.0</v>
      </c>
      <c r="C2306" s="285" t="str">
        <f t="shared" si="1"/>
        <v>42 129</v>
      </c>
      <c r="D2306" s="285" t="s">
        <v>10961</v>
      </c>
    </row>
    <row r="2307">
      <c r="A2307" s="283">
        <v>42.0</v>
      </c>
      <c r="B2307" s="284">
        <v>131.0</v>
      </c>
      <c r="C2307" s="285" t="str">
        <f t="shared" si="1"/>
        <v>42 131</v>
      </c>
      <c r="D2307" s="285" t="s">
        <v>10962</v>
      </c>
    </row>
    <row r="2308">
      <c r="A2308" s="283">
        <v>42.0</v>
      </c>
      <c r="B2308" s="284">
        <v>133.0</v>
      </c>
      <c r="C2308" s="285" t="str">
        <f t="shared" si="1"/>
        <v>42 133</v>
      </c>
      <c r="D2308" s="285" t="s">
        <v>10963</v>
      </c>
    </row>
    <row r="2309">
      <c r="A2309" s="283">
        <v>44.0</v>
      </c>
      <c r="B2309" s="284">
        <v>1.0</v>
      </c>
      <c r="C2309" s="285" t="str">
        <f t="shared" si="1"/>
        <v>44 1</v>
      </c>
      <c r="D2309" s="285" t="s">
        <v>10964</v>
      </c>
    </row>
    <row r="2310">
      <c r="A2310" s="283">
        <v>44.0</v>
      </c>
      <c r="B2310" s="284">
        <v>3.0</v>
      </c>
      <c r="C2310" s="285" t="str">
        <f t="shared" si="1"/>
        <v>44 3</v>
      </c>
      <c r="D2310" s="285" t="s">
        <v>10965</v>
      </c>
    </row>
    <row r="2311">
      <c r="A2311" s="283">
        <v>44.0</v>
      </c>
      <c r="B2311" s="284">
        <v>5.0</v>
      </c>
      <c r="C2311" s="285" t="str">
        <f t="shared" si="1"/>
        <v>44 5</v>
      </c>
      <c r="D2311" s="285" t="s">
        <v>10966</v>
      </c>
    </row>
    <row r="2312">
      <c r="A2312" s="283">
        <v>44.0</v>
      </c>
      <c r="B2312" s="284">
        <v>7.0</v>
      </c>
      <c r="C2312" s="285" t="str">
        <f t="shared" si="1"/>
        <v>44 7</v>
      </c>
      <c r="D2312" s="285" t="s">
        <v>10967</v>
      </c>
    </row>
    <row r="2313">
      <c r="A2313" s="283">
        <v>44.0</v>
      </c>
      <c r="B2313" s="284">
        <v>9.0</v>
      </c>
      <c r="C2313" s="285" t="str">
        <f t="shared" si="1"/>
        <v>44 9</v>
      </c>
      <c r="D2313" s="285" t="s">
        <v>10968</v>
      </c>
    </row>
    <row r="2314">
      <c r="A2314" s="283">
        <v>45.0</v>
      </c>
      <c r="B2314" s="284">
        <v>1.0</v>
      </c>
      <c r="C2314" s="285" t="str">
        <f t="shared" si="1"/>
        <v>45 1</v>
      </c>
      <c r="D2314" s="285" t="s">
        <v>10969</v>
      </c>
    </row>
    <row r="2315">
      <c r="A2315" s="283">
        <v>45.0</v>
      </c>
      <c r="B2315" s="284">
        <v>3.0</v>
      </c>
      <c r="C2315" s="285" t="str">
        <f t="shared" si="1"/>
        <v>45 3</v>
      </c>
      <c r="D2315" s="285" t="s">
        <v>10970</v>
      </c>
    </row>
    <row r="2316">
      <c r="A2316" s="283">
        <v>45.0</v>
      </c>
      <c r="B2316" s="284">
        <v>5.0</v>
      </c>
      <c r="C2316" s="285" t="str">
        <f t="shared" si="1"/>
        <v>45 5</v>
      </c>
      <c r="D2316" s="285" t="s">
        <v>10971</v>
      </c>
    </row>
    <row r="2317">
      <c r="A2317" s="283">
        <v>45.0</v>
      </c>
      <c r="B2317" s="284">
        <v>7.0</v>
      </c>
      <c r="C2317" s="285" t="str">
        <f t="shared" si="1"/>
        <v>45 7</v>
      </c>
      <c r="D2317" s="285" t="s">
        <v>10972</v>
      </c>
    </row>
    <row r="2318">
      <c r="A2318" s="283">
        <v>45.0</v>
      </c>
      <c r="B2318" s="284">
        <v>9.0</v>
      </c>
      <c r="C2318" s="285" t="str">
        <f t="shared" si="1"/>
        <v>45 9</v>
      </c>
      <c r="D2318" s="285" t="s">
        <v>10973</v>
      </c>
    </row>
    <row r="2319">
      <c r="A2319" s="283">
        <v>45.0</v>
      </c>
      <c r="B2319" s="284">
        <v>11.0</v>
      </c>
      <c r="C2319" s="285" t="str">
        <f t="shared" si="1"/>
        <v>45 11</v>
      </c>
      <c r="D2319" s="285" t="s">
        <v>10974</v>
      </c>
    </row>
    <row r="2320">
      <c r="A2320" s="283">
        <v>45.0</v>
      </c>
      <c r="B2320" s="284">
        <v>13.0</v>
      </c>
      <c r="C2320" s="285" t="str">
        <f t="shared" si="1"/>
        <v>45 13</v>
      </c>
      <c r="D2320" s="285" t="s">
        <v>10975</v>
      </c>
    </row>
    <row r="2321">
      <c r="A2321" s="283">
        <v>45.0</v>
      </c>
      <c r="B2321" s="284">
        <v>15.0</v>
      </c>
      <c r="C2321" s="285" t="str">
        <f t="shared" si="1"/>
        <v>45 15</v>
      </c>
      <c r="D2321" s="285" t="s">
        <v>10976</v>
      </c>
    </row>
    <row r="2322">
      <c r="A2322" s="283">
        <v>45.0</v>
      </c>
      <c r="B2322" s="284">
        <v>17.0</v>
      </c>
      <c r="C2322" s="285" t="str">
        <f t="shared" si="1"/>
        <v>45 17</v>
      </c>
      <c r="D2322" s="285" t="s">
        <v>10977</v>
      </c>
    </row>
    <row r="2323">
      <c r="A2323" s="283">
        <v>45.0</v>
      </c>
      <c r="B2323" s="284">
        <v>19.0</v>
      </c>
      <c r="C2323" s="285" t="str">
        <f t="shared" si="1"/>
        <v>45 19</v>
      </c>
      <c r="D2323" s="285" t="s">
        <v>10978</v>
      </c>
    </row>
    <row r="2324">
      <c r="A2324" s="283">
        <v>45.0</v>
      </c>
      <c r="B2324" s="284">
        <v>21.0</v>
      </c>
      <c r="C2324" s="285" t="str">
        <f t="shared" si="1"/>
        <v>45 21</v>
      </c>
      <c r="D2324" s="285" t="s">
        <v>10979</v>
      </c>
    </row>
    <row r="2325">
      <c r="A2325" s="283">
        <v>45.0</v>
      </c>
      <c r="B2325" s="284">
        <v>23.0</v>
      </c>
      <c r="C2325" s="285" t="str">
        <f t="shared" si="1"/>
        <v>45 23</v>
      </c>
      <c r="D2325" s="285" t="s">
        <v>10980</v>
      </c>
    </row>
    <row r="2326">
      <c r="A2326" s="283">
        <v>45.0</v>
      </c>
      <c r="B2326" s="284">
        <v>25.0</v>
      </c>
      <c r="C2326" s="285" t="str">
        <f t="shared" si="1"/>
        <v>45 25</v>
      </c>
      <c r="D2326" s="285" t="s">
        <v>10981</v>
      </c>
    </row>
    <row r="2327">
      <c r="A2327" s="283">
        <v>45.0</v>
      </c>
      <c r="B2327" s="284">
        <v>27.0</v>
      </c>
      <c r="C2327" s="285" t="str">
        <f t="shared" si="1"/>
        <v>45 27</v>
      </c>
      <c r="D2327" s="285" t="s">
        <v>10982</v>
      </c>
    </row>
    <row r="2328">
      <c r="A2328" s="283">
        <v>45.0</v>
      </c>
      <c r="B2328" s="284">
        <v>29.0</v>
      </c>
      <c r="C2328" s="285" t="str">
        <f t="shared" si="1"/>
        <v>45 29</v>
      </c>
      <c r="D2328" s="285" t="s">
        <v>10983</v>
      </c>
    </row>
    <row r="2329">
      <c r="A2329" s="283">
        <v>45.0</v>
      </c>
      <c r="B2329" s="284">
        <v>31.0</v>
      </c>
      <c r="C2329" s="285" t="str">
        <f t="shared" si="1"/>
        <v>45 31</v>
      </c>
      <c r="D2329" s="285" t="s">
        <v>10984</v>
      </c>
    </row>
    <row r="2330">
      <c r="A2330" s="283">
        <v>45.0</v>
      </c>
      <c r="B2330" s="284">
        <v>33.0</v>
      </c>
      <c r="C2330" s="285" t="str">
        <f t="shared" si="1"/>
        <v>45 33</v>
      </c>
      <c r="D2330" s="285" t="s">
        <v>10985</v>
      </c>
    </row>
    <row r="2331">
      <c r="A2331" s="283">
        <v>45.0</v>
      </c>
      <c r="B2331" s="284">
        <v>35.0</v>
      </c>
      <c r="C2331" s="285" t="str">
        <f t="shared" si="1"/>
        <v>45 35</v>
      </c>
      <c r="D2331" s="285" t="s">
        <v>10986</v>
      </c>
    </row>
    <row r="2332">
      <c r="A2332" s="283">
        <v>45.0</v>
      </c>
      <c r="B2332" s="284">
        <v>37.0</v>
      </c>
      <c r="C2332" s="285" t="str">
        <f t="shared" si="1"/>
        <v>45 37</v>
      </c>
      <c r="D2332" s="285" t="s">
        <v>10987</v>
      </c>
    </row>
    <row r="2333">
      <c r="A2333" s="283">
        <v>45.0</v>
      </c>
      <c r="B2333" s="284">
        <v>39.0</v>
      </c>
      <c r="C2333" s="285" t="str">
        <f t="shared" si="1"/>
        <v>45 39</v>
      </c>
      <c r="D2333" s="285" t="s">
        <v>10988</v>
      </c>
    </row>
    <row r="2334">
      <c r="A2334" s="283">
        <v>45.0</v>
      </c>
      <c r="B2334" s="284">
        <v>41.0</v>
      </c>
      <c r="C2334" s="285" t="str">
        <f t="shared" si="1"/>
        <v>45 41</v>
      </c>
      <c r="D2334" s="285" t="s">
        <v>10989</v>
      </c>
    </row>
    <row r="2335">
      <c r="A2335" s="283">
        <v>45.0</v>
      </c>
      <c r="B2335" s="284">
        <v>43.0</v>
      </c>
      <c r="C2335" s="285" t="str">
        <f t="shared" si="1"/>
        <v>45 43</v>
      </c>
      <c r="D2335" s="285" t="s">
        <v>10990</v>
      </c>
    </row>
    <row r="2336">
      <c r="A2336" s="283">
        <v>45.0</v>
      </c>
      <c r="B2336" s="284">
        <v>45.0</v>
      </c>
      <c r="C2336" s="285" t="str">
        <f t="shared" si="1"/>
        <v>45 45</v>
      </c>
      <c r="D2336" s="285" t="s">
        <v>10991</v>
      </c>
    </row>
    <row r="2337">
      <c r="A2337" s="283">
        <v>45.0</v>
      </c>
      <c r="B2337" s="284">
        <v>47.0</v>
      </c>
      <c r="C2337" s="285" t="str">
        <f t="shared" si="1"/>
        <v>45 47</v>
      </c>
      <c r="D2337" s="285" t="s">
        <v>10992</v>
      </c>
    </row>
    <row r="2338">
      <c r="A2338" s="283">
        <v>45.0</v>
      </c>
      <c r="B2338" s="284">
        <v>49.0</v>
      </c>
      <c r="C2338" s="285" t="str">
        <f t="shared" si="1"/>
        <v>45 49</v>
      </c>
      <c r="D2338" s="285" t="s">
        <v>10993</v>
      </c>
    </row>
    <row r="2339">
      <c r="A2339" s="283">
        <v>45.0</v>
      </c>
      <c r="B2339" s="284">
        <v>51.0</v>
      </c>
      <c r="C2339" s="285" t="str">
        <f t="shared" si="1"/>
        <v>45 51</v>
      </c>
      <c r="D2339" s="285" t="s">
        <v>10994</v>
      </c>
    </row>
    <row r="2340">
      <c r="A2340" s="283">
        <v>45.0</v>
      </c>
      <c r="B2340" s="284">
        <v>53.0</v>
      </c>
      <c r="C2340" s="285" t="str">
        <f t="shared" si="1"/>
        <v>45 53</v>
      </c>
      <c r="D2340" s="285" t="s">
        <v>10995</v>
      </c>
    </row>
    <row r="2341">
      <c r="A2341" s="283">
        <v>45.0</v>
      </c>
      <c r="B2341" s="284">
        <v>55.0</v>
      </c>
      <c r="C2341" s="285" t="str">
        <f t="shared" si="1"/>
        <v>45 55</v>
      </c>
      <c r="D2341" s="285" t="s">
        <v>10996</v>
      </c>
    </row>
    <row r="2342">
      <c r="A2342" s="283">
        <v>45.0</v>
      </c>
      <c r="B2342" s="284">
        <v>57.0</v>
      </c>
      <c r="C2342" s="285" t="str">
        <f t="shared" si="1"/>
        <v>45 57</v>
      </c>
      <c r="D2342" s="285" t="s">
        <v>10997</v>
      </c>
    </row>
    <row r="2343">
      <c r="A2343" s="283">
        <v>45.0</v>
      </c>
      <c r="B2343" s="284">
        <v>59.0</v>
      </c>
      <c r="C2343" s="285" t="str">
        <f t="shared" si="1"/>
        <v>45 59</v>
      </c>
      <c r="D2343" s="285" t="s">
        <v>10998</v>
      </c>
    </row>
    <row r="2344">
      <c r="A2344" s="283">
        <v>45.0</v>
      </c>
      <c r="B2344" s="284">
        <v>61.0</v>
      </c>
      <c r="C2344" s="285" t="str">
        <f t="shared" si="1"/>
        <v>45 61</v>
      </c>
      <c r="D2344" s="285" t="s">
        <v>10999</v>
      </c>
    </row>
    <row r="2345">
      <c r="A2345" s="283">
        <v>45.0</v>
      </c>
      <c r="B2345" s="284">
        <v>63.0</v>
      </c>
      <c r="C2345" s="285" t="str">
        <f t="shared" si="1"/>
        <v>45 63</v>
      </c>
      <c r="D2345" s="285" t="s">
        <v>11000</v>
      </c>
    </row>
    <row r="2346">
      <c r="A2346" s="283">
        <v>45.0</v>
      </c>
      <c r="B2346" s="284">
        <v>65.0</v>
      </c>
      <c r="C2346" s="285" t="str">
        <f t="shared" si="1"/>
        <v>45 65</v>
      </c>
      <c r="D2346" s="285" t="s">
        <v>11001</v>
      </c>
    </row>
    <row r="2347">
      <c r="A2347" s="283">
        <v>45.0</v>
      </c>
      <c r="B2347" s="284">
        <v>67.0</v>
      </c>
      <c r="C2347" s="285" t="str">
        <f t="shared" si="1"/>
        <v>45 67</v>
      </c>
      <c r="D2347" s="285" t="s">
        <v>11002</v>
      </c>
    </row>
    <row r="2348">
      <c r="A2348" s="283">
        <v>45.0</v>
      </c>
      <c r="B2348" s="284">
        <v>69.0</v>
      </c>
      <c r="C2348" s="285" t="str">
        <f t="shared" si="1"/>
        <v>45 69</v>
      </c>
      <c r="D2348" s="285" t="s">
        <v>11003</v>
      </c>
    </row>
    <row r="2349">
      <c r="A2349" s="283">
        <v>45.0</v>
      </c>
      <c r="B2349" s="284">
        <v>71.0</v>
      </c>
      <c r="C2349" s="285" t="str">
        <f t="shared" si="1"/>
        <v>45 71</v>
      </c>
      <c r="D2349" s="285" t="s">
        <v>11004</v>
      </c>
    </row>
    <row r="2350">
      <c r="A2350" s="283">
        <v>45.0</v>
      </c>
      <c r="B2350" s="284">
        <v>73.0</v>
      </c>
      <c r="C2350" s="285" t="str">
        <f t="shared" si="1"/>
        <v>45 73</v>
      </c>
      <c r="D2350" s="285" t="s">
        <v>11005</v>
      </c>
    </row>
    <row r="2351">
      <c r="A2351" s="283">
        <v>45.0</v>
      </c>
      <c r="B2351" s="284">
        <v>75.0</v>
      </c>
      <c r="C2351" s="285" t="str">
        <f t="shared" si="1"/>
        <v>45 75</v>
      </c>
      <c r="D2351" s="285" t="s">
        <v>11006</v>
      </c>
    </row>
    <row r="2352">
      <c r="A2352" s="283">
        <v>45.0</v>
      </c>
      <c r="B2352" s="284">
        <v>77.0</v>
      </c>
      <c r="C2352" s="285" t="str">
        <f t="shared" si="1"/>
        <v>45 77</v>
      </c>
      <c r="D2352" s="285" t="s">
        <v>11007</v>
      </c>
    </row>
    <row r="2353">
      <c r="A2353" s="283">
        <v>45.0</v>
      </c>
      <c r="B2353" s="284">
        <v>79.0</v>
      </c>
      <c r="C2353" s="285" t="str">
        <f t="shared" si="1"/>
        <v>45 79</v>
      </c>
      <c r="D2353" s="285" t="s">
        <v>11008</v>
      </c>
    </row>
    <row r="2354">
      <c r="A2354" s="283">
        <v>45.0</v>
      </c>
      <c r="B2354" s="284">
        <v>81.0</v>
      </c>
      <c r="C2354" s="285" t="str">
        <f t="shared" si="1"/>
        <v>45 81</v>
      </c>
      <c r="D2354" s="285" t="s">
        <v>11009</v>
      </c>
    </row>
    <row r="2355">
      <c r="A2355" s="283">
        <v>45.0</v>
      </c>
      <c r="B2355" s="284">
        <v>83.0</v>
      </c>
      <c r="C2355" s="285" t="str">
        <f t="shared" si="1"/>
        <v>45 83</v>
      </c>
      <c r="D2355" s="285" t="s">
        <v>11010</v>
      </c>
    </row>
    <row r="2356">
      <c r="A2356" s="283">
        <v>45.0</v>
      </c>
      <c r="B2356" s="284">
        <v>85.0</v>
      </c>
      <c r="C2356" s="285" t="str">
        <f t="shared" si="1"/>
        <v>45 85</v>
      </c>
      <c r="D2356" s="285" t="s">
        <v>11011</v>
      </c>
    </row>
    <row r="2357">
      <c r="A2357" s="283">
        <v>45.0</v>
      </c>
      <c r="B2357" s="284">
        <v>87.0</v>
      </c>
      <c r="C2357" s="285" t="str">
        <f t="shared" si="1"/>
        <v>45 87</v>
      </c>
      <c r="D2357" s="285" t="s">
        <v>11012</v>
      </c>
    </row>
    <row r="2358">
      <c r="A2358" s="283">
        <v>45.0</v>
      </c>
      <c r="B2358" s="284">
        <v>89.0</v>
      </c>
      <c r="C2358" s="285" t="str">
        <f t="shared" si="1"/>
        <v>45 89</v>
      </c>
      <c r="D2358" s="285" t="s">
        <v>11013</v>
      </c>
    </row>
    <row r="2359">
      <c r="A2359" s="283">
        <v>45.0</v>
      </c>
      <c r="B2359" s="284">
        <v>91.0</v>
      </c>
      <c r="C2359" s="285" t="str">
        <f t="shared" si="1"/>
        <v>45 91</v>
      </c>
      <c r="D2359" s="285" t="s">
        <v>11014</v>
      </c>
    </row>
    <row r="2360">
      <c r="A2360" s="283">
        <v>46.0</v>
      </c>
      <c r="B2360" s="284">
        <v>3.0</v>
      </c>
      <c r="C2360" s="285" t="str">
        <f t="shared" si="1"/>
        <v>46 3</v>
      </c>
      <c r="D2360" s="285" t="s">
        <v>11015</v>
      </c>
    </row>
    <row r="2361">
      <c r="A2361" s="283">
        <v>46.0</v>
      </c>
      <c r="B2361" s="284">
        <v>5.0</v>
      </c>
      <c r="C2361" s="285" t="str">
        <f t="shared" si="1"/>
        <v>46 5</v>
      </c>
      <c r="D2361" s="285" t="s">
        <v>11016</v>
      </c>
    </row>
    <row r="2362">
      <c r="A2362" s="283">
        <v>46.0</v>
      </c>
      <c r="B2362" s="284">
        <v>7.0</v>
      </c>
      <c r="C2362" s="285" t="str">
        <f t="shared" si="1"/>
        <v>46 7</v>
      </c>
      <c r="D2362" s="285" t="s">
        <v>11017</v>
      </c>
    </row>
    <row r="2363">
      <c r="A2363" s="283">
        <v>46.0</v>
      </c>
      <c r="B2363" s="284">
        <v>9.0</v>
      </c>
      <c r="C2363" s="285" t="str">
        <f t="shared" si="1"/>
        <v>46 9</v>
      </c>
      <c r="D2363" s="285" t="s">
        <v>11018</v>
      </c>
    </row>
    <row r="2364">
      <c r="A2364" s="283">
        <v>46.0</v>
      </c>
      <c r="B2364" s="284">
        <v>11.0</v>
      </c>
      <c r="C2364" s="285" t="str">
        <f t="shared" si="1"/>
        <v>46 11</v>
      </c>
      <c r="D2364" s="285" t="s">
        <v>11019</v>
      </c>
    </row>
    <row r="2365">
      <c r="A2365" s="283">
        <v>46.0</v>
      </c>
      <c r="B2365" s="284">
        <v>13.0</v>
      </c>
      <c r="C2365" s="285" t="str">
        <f t="shared" si="1"/>
        <v>46 13</v>
      </c>
      <c r="D2365" s="285" t="s">
        <v>11020</v>
      </c>
    </row>
    <row r="2366">
      <c r="A2366" s="283">
        <v>46.0</v>
      </c>
      <c r="B2366" s="284">
        <v>15.0</v>
      </c>
      <c r="C2366" s="285" t="str">
        <f t="shared" si="1"/>
        <v>46 15</v>
      </c>
      <c r="D2366" s="285" t="s">
        <v>11021</v>
      </c>
    </row>
    <row r="2367">
      <c r="A2367" s="283">
        <v>46.0</v>
      </c>
      <c r="B2367" s="284">
        <v>17.0</v>
      </c>
      <c r="C2367" s="285" t="str">
        <f t="shared" si="1"/>
        <v>46 17</v>
      </c>
      <c r="D2367" s="285" t="s">
        <v>11022</v>
      </c>
    </row>
    <row r="2368">
      <c r="A2368" s="283">
        <v>46.0</v>
      </c>
      <c r="B2368" s="284">
        <v>19.0</v>
      </c>
      <c r="C2368" s="285" t="str">
        <f t="shared" si="1"/>
        <v>46 19</v>
      </c>
      <c r="D2368" s="285" t="s">
        <v>11023</v>
      </c>
    </row>
    <row r="2369">
      <c r="A2369" s="283">
        <v>46.0</v>
      </c>
      <c r="B2369" s="284">
        <v>21.0</v>
      </c>
      <c r="C2369" s="285" t="str">
        <f t="shared" si="1"/>
        <v>46 21</v>
      </c>
      <c r="D2369" s="285" t="s">
        <v>11024</v>
      </c>
    </row>
    <row r="2370">
      <c r="A2370" s="283">
        <v>46.0</v>
      </c>
      <c r="B2370" s="284">
        <v>23.0</v>
      </c>
      <c r="C2370" s="285" t="str">
        <f t="shared" si="1"/>
        <v>46 23</v>
      </c>
      <c r="D2370" s="285" t="s">
        <v>11025</v>
      </c>
    </row>
    <row r="2371">
      <c r="A2371" s="283">
        <v>46.0</v>
      </c>
      <c r="B2371" s="284">
        <v>25.0</v>
      </c>
      <c r="C2371" s="285" t="str">
        <f t="shared" si="1"/>
        <v>46 25</v>
      </c>
      <c r="D2371" s="285" t="s">
        <v>11026</v>
      </c>
    </row>
    <row r="2372">
      <c r="A2372" s="283">
        <v>46.0</v>
      </c>
      <c r="B2372" s="284">
        <v>27.0</v>
      </c>
      <c r="C2372" s="285" t="str">
        <f t="shared" si="1"/>
        <v>46 27</v>
      </c>
      <c r="D2372" s="285" t="s">
        <v>11027</v>
      </c>
    </row>
    <row r="2373">
      <c r="A2373" s="283">
        <v>46.0</v>
      </c>
      <c r="B2373" s="284">
        <v>29.0</v>
      </c>
      <c r="C2373" s="285" t="str">
        <f t="shared" si="1"/>
        <v>46 29</v>
      </c>
      <c r="D2373" s="285" t="s">
        <v>11028</v>
      </c>
    </row>
    <row r="2374">
      <c r="A2374" s="283">
        <v>46.0</v>
      </c>
      <c r="B2374" s="284">
        <v>31.0</v>
      </c>
      <c r="C2374" s="285" t="str">
        <f t="shared" si="1"/>
        <v>46 31</v>
      </c>
      <c r="D2374" s="285" t="s">
        <v>11029</v>
      </c>
    </row>
    <row r="2375">
      <c r="A2375" s="283">
        <v>46.0</v>
      </c>
      <c r="B2375" s="284">
        <v>33.0</v>
      </c>
      <c r="C2375" s="285" t="str">
        <f t="shared" si="1"/>
        <v>46 33</v>
      </c>
      <c r="D2375" s="285" t="s">
        <v>11030</v>
      </c>
    </row>
    <row r="2376">
      <c r="A2376" s="283">
        <v>46.0</v>
      </c>
      <c r="B2376" s="284">
        <v>35.0</v>
      </c>
      <c r="C2376" s="285" t="str">
        <f t="shared" si="1"/>
        <v>46 35</v>
      </c>
      <c r="D2376" s="285" t="s">
        <v>11031</v>
      </c>
    </row>
    <row r="2377">
      <c r="A2377" s="283">
        <v>46.0</v>
      </c>
      <c r="B2377" s="284">
        <v>37.0</v>
      </c>
      <c r="C2377" s="285" t="str">
        <f t="shared" si="1"/>
        <v>46 37</v>
      </c>
      <c r="D2377" s="285" t="s">
        <v>11032</v>
      </c>
    </row>
    <row r="2378">
      <c r="A2378" s="283">
        <v>46.0</v>
      </c>
      <c r="B2378" s="284">
        <v>39.0</v>
      </c>
      <c r="C2378" s="285" t="str">
        <f t="shared" si="1"/>
        <v>46 39</v>
      </c>
      <c r="D2378" s="285" t="s">
        <v>11033</v>
      </c>
    </row>
    <row r="2379">
      <c r="A2379" s="283">
        <v>46.0</v>
      </c>
      <c r="B2379" s="284">
        <v>41.0</v>
      </c>
      <c r="C2379" s="285" t="str">
        <f t="shared" si="1"/>
        <v>46 41</v>
      </c>
      <c r="D2379" s="285" t="s">
        <v>11034</v>
      </c>
    </row>
    <row r="2380">
      <c r="A2380" s="283">
        <v>46.0</v>
      </c>
      <c r="B2380" s="284">
        <v>43.0</v>
      </c>
      <c r="C2380" s="285" t="str">
        <f t="shared" si="1"/>
        <v>46 43</v>
      </c>
      <c r="D2380" s="285" t="s">
        <v>11035</v>
      </c>
    </row>
    <row r="2381">
      <c r="A2381" s="283">
        <v>46.0</v>
      </c>
      <c r="B2381" s="284">
        <v>45.0</v>
      </c>
      <c r="C2381" s="285" t="str">
        <f t="shared" si="1"/>
        <v>46 45</v>
      </c>
      <c r="D2381" s="285" t="s">
        <v>11036</v>
      </c>
    </row>
    <row r="2382">
      <c r="A2382" s="283">
        <v>46.0</v>
      </c>
      <c r="B2382" s="284">
        <v>47.0</v>
      </c>
      <c r="C2382" s="285" t="str">
        <f t="shared" si="1"/>
        <v>46 47</v>
      </c>
      <c r="D2382" s="285" t="s">
        <v>11037</v>
      </c>
    </row>
    <row r="2383">
      <c r="A2383" s="283">
        <v>46.0</v>
      </c>
      <c r="B2383" s="284">
        <v>49.0</v>
      </c>
      <c r="C2383" s="285" t="str">
        <f t="shared" si="1"/>
        <v>46 49</v>
      </c>
      <c r="D2383" s="285" t="s">
        <v>11038</v>
      </c>
    </row>
    <row r="2384">
      <c r="A2384" s="283">
        <v>46.0</v>
      </c>
      <c r="B2384" s="284">
        <v>51.0</v>
      </c>
      <c r="C2384" s="285" t="str">
        <f t="shared" si="1"/>
        <v>46 51</v>
      </c>
      <c r="D2384" s="285" t="s">
        <v>11039</v>
      </c>
    </row>
    <row r="2385">
      <c r="A2385" s="283">
        <v>46.0</v>
      </c>
      <c r="B2385" s="284">
        <v>53.0</v>
      </c>
      <c r="C2385" s="285" t="str">
        <f t="shared" si="1"/>
        <v>46 53</v>
      </c>
      <c r="D2385" s="285" t="s">
        <v>11040</v>
      </c>
    </row>
    <row r="2386">
      <c r="A2386" s="283">
        <v>46.0</v>
      </c>
      <c r="B2386" s="284">
        <v>55.0</v>
      </c>
      <c r="C2386" s="285" t="str">
        <f t="shared" si="1"/>
        <v>46 55</v>
      </c>
      <c r="D2386" s="285" t="s">
        <v>11041</v>
      </c>
    </row>
    <row r="2387">
      <c r="A2387" s="283">
        <v>46.0</v>
      </c>
      <c r="B2387" s="284">
        <v>57.0</v>
      </c>
      <c r="C2387" s="285" t="str">
        <f t="shared" si="1"/>
        <v>46 57</v>
      </c>
      <c r="D2387" s="285" t="s">
        <v>11042</v>
      </c>
    </row>
    <row r="2388">
      <c r="A2388" s="283">
        <v>46.0</v>
      </c>
      <c r="B2388" s="284">
        <v>59.0</v>
      </c>
      <c r="C2388" s="285" t="str">
        <f t="shared" si="1"/>
        <v>46 59</v>
      </c>
      <c r="D2388" s="285" t="s">
        <v>11043</v>
      </c>
    </row>
    <row r="2389">
      <c r="A2389" s="283">
        <v>46.0</v>
      </c>
      <c r="B2389" s="284">
        <v>61.0</v>
      </c>
      <c r="C2389" s="285" t="str">
        <f t="shared" si="1"/>
        <v>46 61</v>
      </c>
      <c r="D2389" s="285" t="s">
        <v>11044</v>
      </c>
    </row>
    <row r="2390">
      <c r="A2390" s="283">
        <v>46.0</v>
      </c>
      <c r="B2390" s="284">
        <v>63.0</v>
      </c>
      <c r="C2390" s="285" t="str">
        <f t="shared" si="1"/>
        <v>46 63</v>
      </c>
      <c r="D2390" s="285" t="s">
        <v>11045</v>
      </c>
    </row>
    <row r="2391">
      <c r="A2391" s="283">
        <v>46.0</v>
      </c>
      <c r="B2391" s="284">
        <v>65.0</v>
      </c>
      <c r="C2391" s="285" t="str">
        <f t="shared" si="1"/>
        <v>46 65</v>
      </c>
      <c r="D2391" s="285" t="s">
        <v>11046</v>
      </c>
    </row>
    <row r="2392">
      <c r="A2392" s="283">
        <v>46.0</v>
      </c>
      <c r="B2392" s="284">
        <v>67.0</v>
      </c>
      <c r="C2392" s="285" t="str">
        <f t="shared" si="1"/>
        <v>46 67</v>
      </c>
      <c r="D2392" s="285" t="s">
        <v>11047</v>
      </c>
    </row>
    <row r="2393">
      <c r="A2393" s="283">
        <v>46.0</v>
      </c>
      <c r="B2393" s="284">
        <v>69.0</v>
      </c>
      <c r="C2393" s="285" t="str">
        <f t="shared" si="1"/>
        <v>46 69</v>
      </c>
      <c r="D2393" s="285" t="s">
        <v>11048</v>
      </c>
    </row>
    <row r="2394">
      <c r="A2394" s="283">
        <v>46.0</v>
      </c>
      <c r="B2394" s="284">
        <v>71.0</v>
      </c>
      <c r="C2394" s="285" t="str">
        <f t="shared" si="1"/>
        <v>46 71</v>
      </c>
      <c r="D2394" s="285" t="s">
        <v>11049</v>
      </c>
    </row>
    <row r="2395">
      <c r="A2395" s="283">
        <v>46.0</v>
      </c>
      <c r="B2395" s="284">
        <v>73.0</v>
      </c>
      <c r="C2395" s="285" t="str">
        <f t="shared" si="1"/>
        <v>46 73</v>
      </c>
      <c r="D2395" s="285" t="s">
        <v>11050</v>
      </c>
    </row>
    <row r="2396">
      <c r="A2396" s="283">
        <v>46.0</v>
      </c>
      <c r="B2396" s="284">
        <v>75.0</v>
      </c>
      <c r="C2396" s="285" t="str">
        <f t="shared" si="1"/>
        <v>46 75</v>
      </c>
      <c r="D2396" s="285" t="s">
        <v>11051</v>
      </c>
    </row>
    <row r="2397">
      <c r="A2397" s="283">
        <v>46.0</v>
      </c>
      <c r="B2397" s="284">
        <v>77.0</v>
      </c>
      <c r="C2397" s="285" t="str">
        <f t="shared" si="1"/>
        <v>46 77</v>
      </c>
      <c r="D2397" s="285" t="s">
        <v>11052</v>
      </c>
    </row>
    <row r="2398">
      <c r="A2398" s="283">
        <v>46.0</v>
      </c>
      <c r="B2398" s="284">
        <v>79.0</v>
      </c>
      <c r="C2398" s="285" t="str">
        <f t="shared" si="1"/>
        <v>46 79</v>
      </c>
      <c r="D2398" s="285" t="s">
        <v>11053</v>
      </c>
    </row>
    <row r="2399">
      <c r="A2399" s="283">
        <v>46.0</v>
      </c>
      <c r="B2399" s="284">
        <v>81.0</v>
      </c>
      <c r="C2399" s="285" t="str">
        <f t="shared" si="1"/>
        <v>46 81</v>
      </c>
      <c r="D2399" s="285" t="s">
        <v>11054</v>
      </c>
    </row>
    <row r="2400">
      <c r="A2400" s="283">
        <v>46.0</v>
      </c>
      <c r="B2400" s="284">
        <v>83.0</v>
      </c>
      <c r="C2400" s="285" t="str">
        <f t="shared" si="1"/>
        <v>46 83</v>
      </c>
      <c r="D2400" s="285" t="s">
        <v>11055</v>
      </c>
    </row>
    <row r="2401">
      <c r="A2401" s="283">
        <v>46.0</v>
      </c>
      <c r="B2401" s="284">
        <v>85.0</v>
      </c>
      <c r="C2401" s="285" t="str">
        <f t="shared" si="1"/>
        <v>46 85</v>
      </c>
      <c r="D2401" s="285" t="s">
        <v>11056</v>
      </c>
    </row>
    <row r="2402">
      <c r="A2402" s="283">
        <v>46.0</v>
      </c>
      <c r="B2402" s="284">
        <v>87.0</v>
      </c>
      <c r="C2402" s="285" t="str">
        <f t="shared" si="1"/>
        <v>46 87</v>
      </c>
      <c r="D2402" s="285" t="s">
        <v>11057</v>
      </c>
    </row>
    <row r="2403">
      <c r="A2403" s="283">
        <v>46.0</v>
      </c>
      <c r="B2403" s="284">
        <v>89.0</v>
      </c>
      <c r="C2403" s="285" t="str">
        <f t="shared" si="1"/>
        <v>46 89</v>
      </c>
      <c r="D2403" s="285" t="s">
        <v>11058</v>
      </c>
    </row>
    <row r="2404">
      <c r="A2404" s="283">
        <v>46.0</v>
      </c>
      <c r="B2404" s="284">
        <v>91.0</v>
      </c>
      <c r="C2404" s="285" t="str">
        <f t="shared" si="1"/>
        <v>46 91</v>
      </c>
      <c r="D2404" s="285" t="s">
        <v>11059</v>
      </c>
    </row>
    <row r="2405">
      <c r="A2405" s="283">
        <v>46.0</v>
      </c>
      <c r="B2405" s="284">
        <v>93.0</v>
      </c>
      <c r="C2405" s="285" t="str">
        <f t="shared" si="1"/>
        <v>46 93</v>
      </c>
      <c r="D2405" s="285" t="s">
        <v>11060</v>
      </c>
    </row>
    <row r="2406">
      <c r="A2406" s="283">
        <v>46.0</v>
      </c>
      <c r="B2406" s="284">
        <v>95.0</v>
      </c>
      <c r="C2406" s="285" t="str">
        <f t="shared" si="1"/>
        <v>46 95</v>
      </c>
      <c r="D2406" s="285" t="s">
        <v>11061</v>
      </c>
    </row>
    <row r="2407">
      <c r="A2407" s="283">
        <v>46.0</v>
      </c>
      <c r="B2407" s="284">
        <v>97.0</v>
      </c>
      <c r="C2407" s="285" t="str">
        <f t="shared" si="1"/>
        <v>46 97</v>
      </c>
      <c r="D2407" s="285" t="s">
        <v>11062</v>
      </c>
    </row>
    <row r="2408">
      <c r="A2408" s="283">
        <v>46.0</v>
      </c>
      <c r="B2408" s="284">
        <v>99.0</v>
      </c>
      <c r="C2408" s="285" t="str">
        <f t="shared" si="1"/>
        <v>46 99</v>
      </c>
      <c r="D2408" s="285" t="s">
        <v>11063</v>
      </c>
    </row>
    <row r="2409">
      <c r="A2409" s="283">
        <v>46.0</v>
      </c>
      <c r="B2409" s="284">
        <v>101.0</v>
      </c>
      <c r="C2409" s="285" t="str">
        <f t="shared" si="1"/>
        <v>46 101</v>
      </c>
      <c r="D2409" s="285" t="s">
        <v>11064</v>
      </c>
    </row>
    <row r="2410">
      <c r="A2410" s="283">
        <v>46.0</v>
      </c>
      <c r="B2410" s="284">
        <v>103.0</v>
      </c>
      <c r="C2410" s="285" t="str">
        <f t="shared" si="1"/>
        <v>46 103</v>
      </c>
      <c r="D2410" s="285" t="s">
        <v>11065</v>
      </c>
    </row>
    <row r="2411">
      <c r="A2411" s="283">
        <v>46.0</v>
      </c>
      <c r="B2411" s="284">
        <v>105.0</v>
      </c>
      <c r="C2411" s="285" t="str">
        <f t="shared" si="1"/>
        <v>46 105</v>
      </c>
      <c r="D2411" s="285" t="s">
        <v>11066</v>
      </c>
    </row>
    <row r="2412">
      <c r="A2412" s="283">
        <v>46.0</v>
      </c>
      <c r="B2412" s="284">
        <v>107.0</v>
      </c>
      <c r="C2412" s="285" t="str">
        <f t="shared" si="1"/>
        <v>46 107</v>
      </c>
      <c r="D2412" s="285" t="s">
        <v>11067</v>
      </c>
    </row>
    <row r="2413">
      <c r="A2413" s="283">
        <v>46.0</v>
      </c>
      <c r="B2413" s="284">
        <v>109.0</v>
      </c>
      <c r="C2413" s="285" t="str">
        <f t="shared" si="1"/>
        <v>46 109</v>
      </c>
      <c r="D2413" s="285" t="s">
        <v>11068</v>
      </c>
    </row>
    <row r="2414">
      <c r="A2414" s="283">
        <v>46.0</v>
      </c>
      <c r="B2414" s="284">
        <v>111.0</v>
      </c>
      <c r="C2414" s="285" t="str">
        <f t="shared" si="1"/>
        <v>46 111</v>
      </c>
      <c r="D2414" s="285" t="s">
        <v>11069</v>
      </c>
    </row>
    <row r="2415">
      <c r="A2415" s="283">
        <v>46.0</v>
      </c>
      <c r="B2415" s="284">
        <v>113.0</v>
      </c>
      <c r="C2415" s="285" t="str">
        <f t="shared" si="1"/>
        <v>46 113</v>
      </c>
      <c r="D2415" s="285" t="s">
        <v>11070</v>
      </c>
    </row>
    <row r="2416">
      <c r="A2416" s="283">
        <v>46.0</v>
      </c>
      <c r="B2416" s="284">
        <v>115.0</v>
      </c>
      <c r="C2416" s="285" t="str">
        <f t="shared" si="1"/>
        <v>46 115</v>
      </c>
      <c r="D2416" s="285" t="s">
        <v>11071</v>
      </c>
    </row>
    <row r="2417">
      <c r="A2417" s="283">
        <v>46.0</v>
      </c>
      <c r="B2417" s="284">
        <v>117.0</v>
      </c>
      <c r="C2417" s="285" t="str">
        <f t="shared" si="1"/>
        <v>46 117</v>
      </c>
      <c r="D2417" s="285" t="s">
        <v>11072</v>
      </c>
    </row>
    <row r="2418">
      <c r="A2418" s="283">
        <v>46.0</v>
      </c>
      <c r="B2418" s="284">
        <v>119.0</v>
      </c>
      <c r="C2418" s="285" t="str">
        <f t="shared" si="1"/>
        <v>46 119</v>
      </c>
      <c r="D2418" s="285" t="s">
        <v>11073</v>
      </c>
    </row>
    <row r="2419">
      <c r="A2419" s="283">
        <v>46.0</v>
      </c>
      <c r="B2419" s="284">
        <v>121.0</v>
      </c>
      <c r="C2419" s="285" t="str">
        <f t="shared" si="1"/>
        <v>46 121</v>
      </c>
      <c r="D2419" s="285" t="s">
        <v>11074</v>
      </c>
    </row>
    <row r="2420">
      <c r="A2420" s="283">
        <v>46.0</v>
      </c>
      <c r="B2420" s="284">
        <v>123.0</v>
      </c>
      <c r="C2420" s="285" t="str">
        <f t="shared" si="1"/>
        <v>46 123</v>
      </c>
      <c r="D2420" s="285" t="s">
        <v>11075</v>
      </c>
    </row>
    <row r="2421">
      <c r="A2421" s="283">
        <v>46.0</v>
      </c>
      <c r="B2421" s="284">
        <v>125.0</v>
      </c>
      <c r="C2421" s="285" t="str">
        <f t="shared" si="1"/>
        <v>46 125</v>
      </c>
      <c r="D2421" s="285" t="s">
        <v>11076</v>
      </c>
    </row>
    <row r="2422">
      <c r="A2422" s="283">
        <v>46.0</v>
      </c>
      <c r="B2422" s="284">
        <v>127.0</v>
      </c>
      <c r="C2422" s="285" t="str">
        <f t="shared" si="1"/>
        <v>46 127</v>
      </c>
      <c r="D2422" s="285" t="s">
        <v>11077</v>
      </c>
    </row>
    <row r="2423">
      <c r="A2423" s="283">
        <v>46.0</v>
      </c>
      <c r="B2423" s="284">
        <v>129.0</v>
      </c>
      <c r="C2423" s="285" t="str">
        <f t="shared" si="1"/>
        <v>46 129</v>
      </c>
      <c r="D2423" s="285" t="s">
        <v>11078</v>
      </c>
    </row>
    <row r="2424">
      <c r="A2424" s="283">
        <v>46.0</v>
      </c>
      <c r="B2424" s="284">
        <v>135.0</v>
      </c>
      <c r="C2424" s="285" t="str">
        <f t="shared" si="1"/>
        <v>46 135</v>
      </c>
      <c r="D2424" s="285" t="s">
        <v>11079</v>
      </c>
    </row>
    <row r="2425">
      <c r="A2425" s="283">
        <v>46.0</v>
      </c>
      <c r="B2425" s="284">
        <v>137.0</v>
      </c>
      <c r="C2425" s="285" t="str">
        <f t="shared" si="1"/>
        <v>46 137</v>
      </c>
      <c r="D2425" s="285" t="s">
        <v>11080</v>
      </c>
    </row>
    <row r="2426">
      <c r="A2426" s="283">
        <v>47.0</v>
      </c>
      <c r="B2426" s="284">
        <v>1.0</v>
      </c>
      <c r="C2426" s="285" t="str">
        <f t="shared" si="1"/>
        <v>47 1</v>
      </c>
      <c r="D2426" s="285" t="s">
        <v>11081</v>
      </c>
    </row>
    <row r="2427">
      <c r="A2427" s="283">
        <v>47.0</v>
      </c>
      <c r="B2427" s="284">
        <v>3.0</v>
      </c>
      <c r="C2427" s="285" t="str">
        <f t="shared" si="1"/>
        <v>47 3</v>
      </c>
      <c r="D2427" s="285" t="s">
        <v>11082</v>
      </c>
    </row>
    <row r="2428">
      <c r="A2428" s="283">
        <v>47.0</v>
      </c>
      <c r="B2428" s="284">
        <v>5.0</v>
      </c>
      <c r="C2428" s="285" t="str">
        <f t="shared" si="1"/>
        <v>47 5</v>
      </c>
      <c r="D2428" s="285" t="s">
        <v>11083</v>
      </c>
    </row>
    <row r="2429">
      <c r="A2429" s="283">
        <v>47.0</v>
      </c>
      <c r="B2429" s="284">
        <v>7.0</v>
      </c>
      <c r="C2429" s="285" t="str">
        <f t="shared" si="1"/>
        <v>47 7</v>
      </c>
      <c r="D2429" s="285" t="s">
        <v>11084</v>
      </c>
    </row>
    <row r="2430">
      <c r="A2430" s="283">
        <v>47.0</v>
      </c>
      <c r="B2430" s="284">
        <v>9.0</v>
      </c>
      <c r="C2430" s="285" t="str">
        <f t="shared" si="1"/>
        <v>47 9</v>
      </c>
      <c r="D2430" s="285" t="s">
        <v>11085</v>
      </c>
    </row>
    <row r="2431">
      <c r="A2431" s="283">
        <v>47.0</v>
      </c>
      <c r="B2431" s="284">
        <v>11.0</v>
      </c>
      <c r="C2431" s="285" t="str">
        <f t="shared" si="1"/>
        <v>47 11</v>
      </c>
      <c r="D2431" s="285" t="s">
        <v>11086</v>
      </c>
    </row>
    <row r="2432">
      <c r="A2432" s="283">
        <v>47.0</v>
      </c>
      <c r="B2432" s="284">
        <v>13.0</v>
      </c>
      <c r="C2432" s="285" t="str">
        <f t="shared" si="1"/>
        <v>47 13</v>
      </c>
      <c r="D2432" s="285" t="s">
        <v>11087</v>
      </c>
    </row>
    <row r="2433">
      <c r="A2433" s="283">
        <v>47.0</v>
      </c>
      <c r="B2433" s="284">
        <v>15.0</v>
      </c>
      <c r="C2433" s="285" t="str">
        <f t="shared" si="1"/>
        <v>47 15</v>
      </c>
      <c r="D2433" s="285" t="s">
        <v>11088</v>
      </c>
    </row>
    <row r="2434">
      <c r="A2434" s="283">
        <v>47.0</v>
      </c>
      <c r="B2434" s="284">
        <v>17.0</v>
      </c>
      <c r="C2434" s="285" t="str">
        <f t="shared" si="1"/>
        <v>47 17</v>
      </c>
      <c r="D2434" s="285" t="s">
        <v>11089</v>
      </c>
    </row>
    <row r="2435">
      <c r="A2435" s="283">
        <v>47.0</v>
      </c>
      <c r="B2435" s="284">
        <v>19.0</v>
      </c>
      <c r="C2435" s="285" t="str">
        <f t="shared" si="1"/>
        <v>47 19</v>
      </c>
      <c r="D2435" s="285" t="s">
        <v>11090</v>
      </c>
    </row>
    <row r="2436">
      <c r="A2436" s="283">
        <v>47.0</v>
      </c>
      <c r="B2436" s="284">
        <v>21.0</v>
      </c>
      <c r="C2436" s="285" t="str">
        <f t="shared" si="1"/>
        <v>47 21</v>
      </c>
      <c r="D2436" s="285" t="s">
        <v>11091</v>
      </c>
    </row>
    <row r="2437">
      <c r="A2437" s="283">
        <v>47.0</v>
      </c>
      <c r="B2437" s="284">
        <v>23.0</v>
      </c>
      <c r="C2437" s="285" t="str">
        <f t="shared" si="1"/>
        <v>47 23</v>
      </c>
      <c r="D2437" s="285" t="s">
        <v>11092</v>
      </c>
    </row>
    <row r="2438">
      <c r="A2438" s="283">
        <v>47.0</v>
      </c>
      <c r="B2438" s="284">
        <v>25.0</v>
      </c>
      <c r="C2438" s="285" t="str">
        <f t="shared" si="1"/>
        <v>47 25</v>
      </c>
      <c r="D2438" s="285" t="s">
        <v>11093</v>
      </c>
    </row>
    <row r="2439">
      <c r="A2439" s="283">
        <v>47.0</v>
      </c>
      <c r="B2439" s="284">
        <v>27.0</v>
      </c>
      <c r="C2439" s="285" t="str">
        <f t="shared" si="1"/>
        <v>47 27</v>
      </c>
      <c r="D2439" s="285" t="s">
        <v>11094</v>
      </c>
    </row>
    <row r="2440">
      <c r="A2440" s="283">
        <v>47.0</v>
      </c>
      <c r="B2440" s="284">
        <v>29.0</v>
      </c>
      <c r="C2440" s="285" t="str">
        <f t="shared" si="1"/>
        <v>47 29</v>
      </c>
      <c r="D2440" s="285" t="s">
        <v>11095</v>
      </c>
    </row>
    <row r="2441">
      <c r="A2441" s="283">
        <v>47.0</v>
      </c>
      <c r="B2441" s="284">
        <v>31.0</v>
      </c>
      <c r="C2441" s="285" t="str">
        <f t="shared" si="1"/>
        <v>47 31</v>
      </c>
      <c r="D2441" s="285" t="s">
        <v>11096</v>
      </c>
    </row>
    <row r="2442">
      <c r="A2442" s="283">
        <v>47.0</v>
      </c>
      <c r="B2442" s="284">
        <v>33.0</v>
      </c>
      <c r="C2442" s="285" t="str">
        <f t="shared" si="1"/>
        <v>47 33</v>
      </c>
      <c r="D2442" s="285" t="s">
        <v>11097</v>
      </c>
    </row>
    <row r="2443">
      <c r="A2443" s="283">
        <v>47.0</v>
      </c>
      <c r="B2443" s="284">
        <v>35.0</v>
      </c>
      <c r="C2443" s="285" t="str">
        <f t="shared" si="1"/>
        <v>47 35</v>
      </c>
      <c r="D2443" s="285" t="s">
        <v>11098</v>
      </c>
    </row>
    <row r="2444">
      <c r="A2444" s="283">
        <v>47.0</v>
      </c>
      <c r="B2444" s="284">
        <v>37.0</v>
      </c>
      <c r="C2444" s="285" t="str">
        <f t="shared" si="1"/>
        <v>47 37</v>
      </c>
      <c r="D2444" s="285" t="s">
        <v>11099</v>
      </c>
    </row>
    <row r="2445">
      <c r="A2445" s="283">
        <v>47.0</v>
      </c>
      <c r="B2445" s="284">
        <v>39.0</v>
      </c>
      <c r="C2445" s="285" t="str">
        <f t="shared" si="1"/>
        <v>47 39</v>
      </c>
      <c r="D2445" s="285" t="s">
        <v>11100</v>
      </c>
    </row>
    <row r="2446">
      <c r="A2446" s="283">
        <v>47.0</v>
      </c>
      <c r="B2446" s="284">
        <v>41.0</v>
      </c>
      <c r="C2446" s="285" t="str">
        <f t="shared" si="1"/>
        <v>47 41</v>
      </c>
      <c r="D2446" s="285" t="s">
        <v>11101</v>
      </c>
    </row>
    <row r="2447">
      <c r="A2447" s="283">
        <v>47.0</v>
      </c>
      <c r="B2447" s="284">
        <v>43.0</v>
      </c>
      <c r="C2447" s="285" t="str">
        <f t="shared" si="1"/>
        <v>47 43</v>
      </c>
      <c r="D2447" s="285" t="s">
        <v>11102</v>
      </c>
    </row>
    <row r="2448">
      <c r="A2448" s="283">
        <v>47.0</v>
      </c>
      <c r="B2448" s="284">
        <v>45.0</v>
      </c>
      <c r="C2448" s="285" t="str">
        <f t="shared" si="1"/>
        <v>47 45</v>
      </c>
      <c r="D2448" s="285" t="s">
        <v>11103</v>
      </c>
    </row>
    <row r="2449">
      <c r="A2449" s="283">
        <v>47.0</v>
      </c>
      <c r="B2449" s="284">
        <v>47.0</v>
      </c>
      <c r="C2449" s="285" t="str">
        <f t="shared" si="1"/>
        <v>47 47</v>
      </c>
      <c r="D2449" s="285" t="s">
        <v>11104</v>
      </c>
    </row>
    <row r="2450">
      <c r="A2450" s="283">
        <v>47.0</v>
      </c>
      <c r="B2450" s="284">
        <v>49.0</v>
      </c>
      <c r="C2450" s="285" t="str">
        <f t="shared" si="1"/>
        <v>47 49</v>
      </c>
      <c r="D2450" s="285" t="s">
        <v>11105</v>
      </c>
    </row>
    <row r="2451">
      <c r="A2451" s="283">
        <v>47.0</v>
      </c>
      <c r="B2451" s="284">
        <v>51.0</v>
      </c>
      <c r="C2451" s="285" t="str">
        <f t="shared" si="1"/>
        <v>47 51</v>
      </c>
      <c r="D2451" s="285" t="s">
        <v>11106</v>
      </c>
    </row>
    <row r="2452">
      <c r="A2452" s="283">
        <v>47.0</v>
      </c>
      <c r="B2452" s="284">
        <v>53.0</v>
      </c>
      <c r="C2452" s="285" t="str">
        <f t="shared" si="1"/>
        <v>47 53</v>
      </c>
      <c r="D2452" s="285" t="s">
        <v>11107</v>
      </c>
    </row>
    <row r="2453">
      <c r="A2453" s="283">
        <v>47.0</v>
      </c>
      <c r="B2453" s="284">
        <v>55.0</v>
      </c>
      <c r="C2453" s="285" t="str">
        <f t="shared" si="1"/>
        <v>47 55</v>
      </c>
      <c r="D2453" s="285" t="s">
        <v>11108</v>
      </c>
    </row>
    <row r="2454">
      <c r="A2454" s="283">
        <v>47.0</v>
      </c>
      <c r="B2454" s="284">
        <v>57.0</v>
      </c>
      <c r="C2454" s="285" t="str">
        <f t="shared" si="1"/>
        <v>47 57</v>
      </c>
      <c r="D2454" s="285" t="s">
        <v>11109</v>
      </c>
    </row>
    <row r="2455">
      <c r="A2455" s="283">
        <v>47.0</v>
      </c>
      <c r="B2455" s="284">
        <v>59.0</v>
      </c>
      <c r="C2455" s="285" t="str">
        <f t="shared" si="1"/>
        <v>47 59</v>
      </c>
      <c r="D2455" s="285" t="s">
        <v>11110</v>
      </c>
    </row>
    <row r="2456">
      <c r="A2456" s="283">
        <v>47.0</v>
      </c>
      <c r="B2456" s="284">
        <v>61.0</v>
      </c>
      <c r="C2456" s="285" t="str">
        <f t="shared" si="1"/>
        <v>47 61</v>
      </c>
      <c r="D2456" s="285" t="s">
        <v>11111</v>
      </c>
    </row>
    <row r="2457">
      <c r="A2457" s="283">
        <v>47.0</v>
      </c>
      <c r="B2457" s="284">
        <v>63.0</v>
      </c>
      <c r="C2457" s="285" t="str">
        <f t="shared" si="1"/>
        <v>47 63</v>
      </c>
      <c r="D2457" s="285" t="s">
        <v>11112</v>
      </c>
    </row>
    <row r="2458">
      <c r="A2458" s="283">
        <v>47.0</v>
      </c>
      <c r="B2458" s="284">
        <v>65.0</v>
      </c>
      <c r="C2458" s="285" t="str">
        <f t="shared" si="1"/>
        <v>47 65</v>
      </c>
      <c r="D2458" s="285" t="s">
        <v>11113</v>
      </c>
    </row>
    <row r="2459">
      <c r="A2459" s="283">
        <v>47.0</v>
      </c>
      <c r="B2459" s="284">
        <v>67.0</v>
      </c>
      <c r="C2459" s="285" t="str">
        <f t="shared" si="1"/>
        <v>47 67</v>
      </c>
      <c r="D2459" s="285" t="s">
        <v>11114</v>
      </c>
    </row>
    <row r="2460">
      <c r="A2460" s="283">
        <v>47.0</v>
      </c>
      <c r="B2460" s="284">
        <v>69.0</v>
      </c>
      <c r="C2460" s="285" t="str">
        <f t="shared" si="1"/>
        <v>47 69</v>
      </c>
      <c r="D2460" s="285" t="s">
        <v>11115</v>
      </c>
    </row>
    <row r="2461">
      <c r="A2461" s="283">
        <v>47.0</v>
      </c>
      <c r="B2461" s="284">
        <v>71.0</v>
      </c>
      <c r="C2461" s="285" t="str">
        <f t="shared" si="1"/>
        <v>47 71</v>
      </c>
      <c r="D2461" s="285" t="s">
        <v>11116</v>
      </c>
    </row>
    <row r="2462">
      <c r="A2462" s="283">
        <v>47.0</v>
      </c>
      <c r="B2462" s="284">
        <v>73.0</v>
      </c>
      <c r="C2462" s="285" t="str">
        <f t="shared" si="1"/>
        <v>47 73</v>
      </c>
      <c r="D2462" s="285" t="s">
        <v>11117</v>
      </c>
    </row>
    <row r="2463">
      <c r="A2463" s="283">
        <v>47.0</v>
      </c>
      <c r="B2463" s="284">
        <v>75.0</v>
      </c>
      <c r="C2463" s="285" t="str">
        <f t="shared" si="1"/>
        <v>47 75</v>
      </c>
      <c r="D2463" s="285" t="s">
        <v>11118</v>
      </c>
    </row>
    <row r="2464">
      <c r="A2464" s="283">
        <v>47.0</v>
      </c>
      <c r="B2464" s="284">
        <v>77.0</v>
      </c>
      <c r="C2464" s="285" t="str">
        <f t="shared" si="1"/>
        <v>47 77</v>
      </c>
      <c r="D2464" s="285" t="s">
        <v>11119</v>
      </c>
    </row>
    <row r="2465">
      <c r="A2465" s="283">
        <v>47.0</v>
      </c>
      <c r="B2465" s="284">
        <v>79.0</v>
      </c>
      <c r="C2465" s="285" t="str">
        <f t="shared" si="1"/>
        <v>47 79</v>
      </c>
      <c r="D2465" s="285" t="s">
        <v>11120</v>
      </c>
    </row>
    <row r="2466">
      <c r="A2466" s="283">
        <v>47.0</v>
      </c>
      <c r="B2466" s="284">
        <v>81.0</v>
      </c>
      <c r="C2466" s="285" t="str">
        <f t="shared" si="1"/>
        <v>47 81</v>
      </c>
      <c r="D2466" s="285" t="s">
        <v>11121</v>
      </c>
    </row>
    <row r="2467">
      <c r="A2467" s="283">
        <v>47.0</v>
      </c>
      <c r="B2467" s="284">
        <v>83.0</v>
      </c>
      <c r="C2467" s="285" t="str">
        <f t="shared" si="1"/>
        <v>47 83</v>
      </c>
      <c r="D2467" s="285" t="s">
        <v>11122</v>
      </c>
    </row>
    <row r="2468">
      <c r="A2468" s="283">
        <v>47.0</v>
      </c>
      <c r="B2468" s="284">
        <v>85.0</v>
      </c>
      <c r="C2468" s="285" t="str">
        <f t="shared" si="1"/>
        <v>47 85</v>
      </c>
      <c r="D2468" s="285" t="s">
        <v>11123</v>
      </c>
    </row>
    <row r="2469">
      <c r="A2469" s="283">
        <v>47.0</v>
      </c>
      <c r="B2469" s="284">
        <v>87.0</v>
      </c>
      <c r="C2469" s="285" t="str">
        <f t="shared" si="1"/>
        <v>47 87</v>
      </c>
      <c r="D2469" s="285" t="s">
        <v>11124</v>
      </c>
    </row>
    <row r="2470">
      <c r="A2470" s="283">
        <v>47.0</v>
      </c>
      <c r="B2470" s="284">
        <v>89.0</v>
      </c>
      <c r="C2470" s="285" t="str">
        <f t="shared" si="1"/>
        <v>47 89</v>
      </c>
      <c r="D2470" s="285" t="s">
        <v>11125</v>
      </c>
    </row>
    <row r="2471">
      <c r="A2471" s="283">
        <v>47.0</v>
      </c>
      <c r="B2471" s="284">
        <v>91.0</v>
      </c>
      <c r="C2471" s="285" t="str">
        <f t="shared" si="1"/>
        <v>47 91</v>
      </c>
      <c r="D2471" s="285" t="s">
        <v>11126</v>
      </c>
    </row>
    <row r="2472">
      <c r="A2472" s="283">
        <v>47.0</v>
      </c>
      <c r="B2472" s="284">
        <v>93.0</v>
      </c>
      <c r="C2472" s="285" t="str">
        <f t="shared" si="1"/>
        <v>47 93</v>
      </c>
      <c r="D2472" s="285" t="s">
        <v>11127</v>
      </c>
    </row>
    <row r="2473">
      <c r="A2473" s="283">
        <v>47.0</v>
      </c>
      <c r="B2473" s="284">
        <v>95.0</v>
      </c>
      <c r="C2473" s="285" t="str">
        <f t="shared" si="1"/>
        <v>47 95</v>
      </c>
      <c r="D2473" s="285" t="s">
        <v>11128</v>
      </c>
    </row>
    <row r="2474">
      <c r="A2474" s="283">
        <v>47.0</v>
      </c>
      <c r="B2474" s="284">
        <v>97.0</v>
      </c>
      <c r="C2474" s="285" t="str">
        <f t="shared" si="1"/>
        <v>47 97</v>
      </c>
      <c r="D2474" s="285" t="s">
        <v>11129</v>
      </c>
    </row>
    <row r="2475">
      <c r="A2475" s="283">
        <v>47.0</v>
      </c>
      <c r="B2475" s="284">
        <v>99.0</v>
      </c>
      <c r="C2475" s="285" t="str">
        <f t="shared" si="1"/>
        <v>47 99</v>
      </c>
      <c r="D2475" s="285" t="s">
        <v>11130</v>
      </c>
    </row>
    <row r="2476">
      <c r="A2476" s="283">
        <v>47.0</v>
      </c>
      <c r="B2476" s="284">
        <v>101.0</v>
      </c>
      <c r="C2476" s="285" t="str">
        <f t="shared" si="1"/>
        <v>47 101</v>
      </c>
      <c r="D2476" s="285" t="s">
        <v>11131</v>
      </c>
    </row>
    <row r="2477">
      <c r="A2477" s="283">
        <v>47.0</v>
      </c>
      <c r="B2477" s="284">
        <v>103.0</v>
      </c>
      <c r="C2477" s="285" t="str">
        <f t="shared" si="1"/>
        <v>47 103</v>
      </c>
      <c r="D2477" s="285" t="s">
        <v>11132</v>
      </c>
    </row>
    <row r="2478">
      <c r="A2478" s="283">
        <v>47.0</v>
      </c>
      <c r="B2478" s="284">
        <v>105.0</v>
      </c>
      <c r="C2478" s="285" t="str">
        <f t="shared" si="1"/>
        <v>47 105</v>
      </c>
      <c r="D2478" s="285" t="s">
        <v>11133</v>
      </c>
    </row>
    <row r="2479">
      <c r="A2479" s="283">
        <v>47.0</v>
      </c>
      <c r="B2479" s="284">
        <v>107.0</v>
      </c>
      <c r="C2479" s="285" t="str">
        <f t="shared" si="1"/>
        <v>47 107</v>
      </c>
      <c r="D2479" s="285" t="s">
        <v>11134</v>
      </c>
    </row>
    <row r="2480">
      <c r="A2480" s="283">
        <v>47.0</v>
      </c>
      <c r="B2480" s="284">
        <v>109.0</v>
      </c>
      <c r="C2480" s="285" t="str">
        <f t="shared" si="1"/>
        <v>47 109</v>
      </c>
      <c r="D2480" s="285" t="s">
        <v>11135</v>
      </c>
    </row>
    <row r="2481">
      <c r="A2481" s="283">
        <v>47.0</v>
      </c>
      <c r="B2481" s="284">
        <v>111.0</v>
      </c>
      <c r="C2481" s="285" t="str">
        <f t="shared" si="1"/>
        <v>47 111</v>
      </c>
      <c r="D2481" s="285" t="s">
        <v>11136</v>
      </c>
    </row>
    <row r="2482">
      <c r="A2482" s="283">
        <v>47.0</v>
      </c>
      <c r="B2482" s="284">
        <v>113.0</v>
      </c>
      <c r="C2482" s="285" t="str">
        <f t="shared" si="1"/>
        <v>47 113</v>
      </c>
      <c r="D2482" s="285" t="s">
        <v>11137</v>
      </c>
    </row>
    <row r="2483">
      <c r="A2483" s="283">
        <v>47.0</v>
      </c>
      <c r="B2483" s="284">
        <v>115.0</v>
      </c>
      <c r="C2483" s="285" t="str">
        <f t="shared" si="1"/>
        <v>47 115</v>
      </c>
      <c r="D2483" s="285" t="s">
        <v>11138</v>
      </c>
    </row>
    <row r="2484">
      <c r="A2484" s="283">
        <v>47.0</v>
      </c>
      <c r="B2484" s="284">
        <v>117.0</v>
      </c>
      <c r="C2484" s="285" t="str">
        <f t="shared" si="1"/>
        <v>47 117</v>
      </c>
      <c r="D2484" s="285" t="s">
        <v>11139</v>
      </c>
    </row>
    <row r="2485">
      <c r="A2485" s="283">
        <v>47.0</v>
      </c>
      <c r="B2485" s="284">
        <v>119.0</v>
      </c>
      <c r="C2485" s="285" t="str">
        <f t="shared" si="1"/>
        <v>47 119</v>
      </c>
      <c r="D2485" s="285" t="s">
        <v>11140</v>
      </c>
    </row>
    <row r="2486">
      <c r="A2486" s="283">
        <v>47.0</v>
      </c>
      <c r="B2486" s="284">
        <v>121.0</v>
      </c>
      <c r="C2486" s="285" t="str">
        <f t="shared" si="1"/>
        <v>47 121</v>
      </c>
      <c r="D2486" s="285" t="s">
        <v>11141</v>
      </c>
    </row>
    <row r="2487">
      <c r="A2487" s="283">
        <v>47.0</v>
      </c>
      <c r="B2487" s="284">
        <v>123.0</v>
      </c>
      <c r="C2487" s="285" t="str">
        <f t="shared" si="1"/>
        <v>47 123</v>
      </c>
      <c r="D2487" s="285" t="s">
        <v>11142</v>
      </c>
    </row>
    <row r="2488">
      <c r="A2488" s="283">
        <v>47.0</v>
      </c>
      <c r="B2488" s="284">
        <v>125.0</v>
      </c>
      <c r="C2488" s="285" t="str">
        <f t="shared" si="1"/>
        <v>47 125</v>
      </c>
      <c r="D2488" s="285" t="s">
        <v>11143</v>
      </c>
    </row>
    <row r="2489">
      <c r="A2489" s="283">
        <v>47.0</v>
      </c>
      <c r="B2489" s="284">
        <v>127.0</v>
      </c>
      <c r="C2489" s="285" t="str">
        <f t="shared" si="1"/>
        <v>47 127</v>
      </c>
      <c r="D2489" s="285" t="s">
        <v>11144</v>
      </c>
    </row>
    <row r="2490">
      <c r="A2490" s="283">
        <v>47.0</v>
      </c>
      <c r="B2490" s="284">
        <v>129.0</v>
      </c>
      <c r="C2490" s="285" t="str">
        <f t="shared" si="1"/>
        <v>47 129</v>
      </c>
      <c r="D2490" s="285" t="s">
        <v>11145</v>
      </c>
    </row>
    <row r="2491">
      <c r="A2491" s="283">
        <v>47.0</v>
      </c>
      <c r="B2491" s="284">
        <v>131.0</v>
      </c>
      <c r="C2491" s="285" t="str">
        <f t="shared" si="1"/>
        <v>47 131</v>
      </c>
      <c r="D2491" s="285" t="s">
        <v>11146</v>
      </c>
    </row>
    <row r="2492">
      <c r="A2492" s="283">
        <v>47.0</v>
      </c>
      <c r="B2492" s="284">
        <v>133.0</v>
      </c>
      <c r="C2492" s="285" t="str">
        <f t="shared" si="1"/>
        <v>47 133</v>
      </c>
      <c r="D2492" s="285" t="s">
        <v>11147</v>
      </c>
    </row>
    <row r="2493">
      <c r="A2493" s="283">
        <v>47.0</v>
      </c>
      <c r="B2493" s="284">
        <v>135.0</v>
      </c>
      <c r="C2493" s="285" t="str">
        <f t="shared" si="1"/>
        <v>47 135</v>
      </c>
      <c r="D2493" s="285" t="s">
        <v>11148</v>
      </c>
    </row>
    <row r="2494">
      <c r="A2494" s="283">
        <v>47.0</v>
      </c>
      <c r="B2494" s="284">
        <v>137.0</v>
      </c>
      <c r="C2494" s="285" t="str">
        <f t="shared" si="1"/>
        <v>47 137</v>
      </c>
      <c r="D2494" s="285" t="s">
        <v>11149</v>
      </c>
    </row>
    <row r="2495">
      <c r="A2495" s="283">
        <v>47.0</v>
      </c>
      <c r="B2495" s="284">
        <v>139.0</v>
      </c>
      <c r="C2495" s="285" t="str">
        <f t="shared" si="1"/>
        <v>47 139</v>
      </c>
      <c r="D2495" s="285" t="s">
        <v>11150</v>
      </c>
    </row>
    <row r="2496">
      <c r="A2496" s="283">
        <v>47.0</v>
      </c>
      <c r="B2496" s="284">
        <v>141.0</v>
      </c>
      <c r="C2496" s="285" t="str">
        <f t="shared" si="1"/>
        <v>47 141</v>
      </c>
      <c r="D2496" s="285" t="s">
        <v>11151</v>
      </c>
    </row>
    <row r="2497">
      <c r="A2497" s="283">
        <v>47.0</v>
      </c>
      <c r="B2497" s="284">
        <v>143.0</v>
      </c>
      <c r="C2497" s="285" t="str">
        <f t="shared" si="1"/>
        <v>47 143</v>
      </c>
      <c r="D2497" s="285" t="s">
        <v>11152</v>
      </c>
    </row>
    <row r="2498">
      <c r="A2498" s="283">
        <v>47.0</v>
      </c>
      <c r="B2498" s="284">
        <v>145.0</v>
      </c>
      <c r="C2498" s="285" t="str">
        <f t="shared" si="1"/>
        <v>47 145</v>
      </c>
      <c r="D2498" s="285" t="s">
        <v>11153</v>
      </c>
    </row>
    <row r="2499">
      <c r="A2499" s="283">
        <v>47.0</v>
      </c>
      <c r="B2499" s="284">
        <v>147.0</v>
      </c>
      <c r="C2499" s="285" t="str">
        <f t="shared" si="1"/>
        <v>47 147</v>
      </c>
      <c r="D2499" s="285" t="s">
        <v>11154</v>
      </c>
    </row>
    <row r="2500">
      <c r="A2500" s="283">
        <v>47.0</v>
      </c>
      <c r="B2500" s="284">
        <v>149.0</v>
      </c>
      <c r="C2500" s="285" t="str">
        <f t="shared" si="1"/>
        <v>47 149</v>
      </c>
      <c r="D2500" s="285" t="s">
        <v>11155</v>
      </c>
    </row>
    <row r="2501">
      <c r="A2501" s="283">
        <v>47.0</v>
      </c>
      <c r="B2501" s="284">
        <v>151.0</v>
      </c>
      <c r="C2501" s="285" t="str">
        <f t="shared" si="1"/>
        <v>47 151</v>
      </c>
      <c r="D2501" s="285" t="s">
        <v>11156</v>
      </c>
    </row>
    <row r="2502">
      <c r="A2502" s="283">
        <v>47.0</v>
      </c>
      <c r="B2502" s="284">
        <v>153.0</v>
      </c>
      <c r="C2502" s="285" t="str">
        <f t="shared" si="1"/>
        <v>47 153</v>
      </c>
      <c r="D2502" s="285" t="s">
        <v>11157</v>
      </c>
    </row>
    <row r="2503">
      <c r="A2503" s="283">
        <v>47.0</v>
      </c>
      <c r="B2503" s="284">
        <v>155.0</v>
      </c>
      <c r="C2503" s="285" t="str">
        <f t="shared" si="1"/>
        <v>47 155</v>
      </c>
      <c r="D2503" s="285" t="s">
        <v>11158</v>
      </c>
    </row>
    <row r="2504">
      <c r="A2504" s="283">
        <v>47.0</v>
      </c>
      <c r="B2504" s="284">
        <v>157.0</v>
      </c>
      <c r="C2504" s="285" t="str">
        <f t="shared" si="1"/>
        <v>47 157</v>
      </c>
      <c r="D2504" s="285" t="s">
        <v>11159</v>
      </c>
    </row>
    <row r="2505">
      <c r="A2505" s="283">
        <v>47.0</v>
      </c>
      <c r="B2505" s="284">
        <v>159.0</v>
      </c>
      <c r="C2505" s="285" t="str">
        <f t="shared" si="1"/>
        <v>47 159</v>
      </c>
      <c r="D2505" s="285" t="s">
        <v>11160</v>
      </c>
    </row>
    <row r="2506">
      <c r="A2506" s="283">
        <v>47.0</v>
      </c>
      <c r="B2506" s="284">
        <v>161.0</v>
      </c>
      <c r="C2506" s="285" t="str">
        <f t="shared" si="1"/>
        <v>47 161</v>
      </c>
      <c r="D2506" s="285" t="s">
        <v>11161</v>
      </c>
    </row>
    <row r="2507">
      <c r="A2507" s="283">
        <v>47.0</v>
      </c>
      <c r="B2507" s="284">
        <v>163.0</v>
      </c>
      <c r="C2507" s="285" t="str">
        <f t="shared" si="1"/>
        <v>47 163</v>
      </c>
      <c r="D2507" s="285" t="s">
        <v>11162</v>
      </c>
    </row>
    <row r="2508">
      <c r="A2508" s="283">
        <v>47.0</v>
      </c>
      <c r="B2508" s="284">
        <v>165.0</v>
      </c>
      <c r="C2508" s="285" t="str">
        <f t="shared" si="1"/>
        <v>47 165</v>
      </c>
      <c r="D2508" s="285" t="s">
        <v>11163</v>
      </c>
    </row>
    <row r="2509">
      <c r="A2509" s="283">
        <v>47.0</v>
      </c>
      <c r="B2509" s="284">
        <v>167.0</v>
      </c>
      <c r="C2509" s="285" t="str">
        <f t="shared" si="1"/>
        <v>47 167</v>
      </c>
      <c r="D2509" s="285" t="s">
        <v>11164</v>
      </c>
    </row>
    <row r="2510">
      <c r="A2510" s="283">
        <v>47.0</v>
      </c>
      <c r="B2510" s="284">
        <v>169.0</v>
      </c>
      <c r="C2510" s="285" t="str">
        <f t="shared" si="1"/>
        <v>47 169</v>
      </c>
      <c r="D2510" s="285" t="s">
        <v>11165</v>
      </c>
    </row>
    <row r="2511">
      <c r="A2511" s="283">
        <v>47.0</v>
      </c>
      <c r="B2511" s="284">
        <v>171.0</v>
      </c>
      <c r="C2511" s="285" t="str">
        <f t="shared" si="1"/>
        <v>47 171</v>
      </c>
      <c r="D2511" s="285" t="s">
        <v>11166</v>
      </c>
    </row>
    <row r="2512">
      <c r="A2512" s="283">
        <v>47.0</v>
      </c>
      <c r="B2512" s="284">
        <v>173.0</v>
      </c>
      <c r="C2512" s="285" t="str">
        <f t="shared" si="1"/>
        <v>47 173</v>
      </c>
      <c r="D2512" s="285" t="s">
        <v>11167</v>
      </c>
    </row>
    <row r="2513">
      <c r="A2513" s="283">
        <v>47.0</v>
      </c>
      <c r="B2513" s="284">
        <v>175.0</v>
      </c>
      <c r="C2513" s="285" t="str">
        <f t="shared" si="1"/>
        <v>47 175</v>
      </c>
      <c r="D2513" s="285" t="s">
        <v>11168</v>
      </c>
    </row>
    <row r="2514">
      <c r="A2514" s="283">
        <v>47.0</v>
      </c>
      <c r="B2514" s="284">
        <v>177.0</v>
      </c>
      <c r="C2514" s="285" t="str">
        <f t="shared" si="1"/>
        <v>47 177</v>
      </c>
      <c r="D2514" s="285" t="s">
        <v>11169</v>
      </c>
    </row>
    <row r="2515">
      <c r="A2515" s="283">
        <v>47.0</v>
      </c>
      <c r="B2515" s="284">
        <v>179.0</v>
      </c>
      <c r="C2515" s="285" t="str">
        <f t="shared" si="1"/>
        <v>47 179</v>
      </c>
      <c r="D2515" s="285" t="s">
        <v>11170</v>
      </c>
    </row>
    <row r="2516">
      <c r="A2516" s="283">
        <v>47.0</v>
      </c>
      <c r="B2516" s="284">
        <v>181.0</v>
      </c>
      <c r="C2516" s="285" t="str">
        <f t="shared" si="1"/>
        <v>47 181</v>
      </c>
      <c r="D2516" s="285" t="s">
        <v>11171</v>
      </c>
    </row>
    <row r="2517">
      <c r="A2517" s="283">
        <v>47.0</v>
      </c>
      <c r="B2517" s="284">
        <v>183.0</v>
      </c>
      <c r="C2517" s="285" t="str">
        <f t="shared" si="1"/>
        <v>47 183</v>
      </c>
      <c r="D2517" s="285" t="s">
        <v>11172</v>
      </c>
    </row>
    <row r="2518">
      <c r="A2518" s="283">
        <v>47.0</v>
      </c>
      <c r="B2518" s="284">
        <v>185.0</v>
      </c>
      <c r="C2518" s="285" t="str">
        <f t="shared" si="1"/>
        <v>47 185</v>
      </c>
      <c r="D2518" s="285" t="s">
        <v>11173</v>
      </c>
    </row>
    <row r="2519">
      <c r="A2519" s="283">
        <v>47.0</v>
      </c>
      <c r="B2519" s="284">
        <v>187.0</v>
      </c>
      <c r="C2519" s="285" t="str">
        <f t="shared" si="1"/>
        <v>47 187</v>
      </c>
      <c r="D2519" s="285" t="s">
        <v>11174</v>
      </c>
    </row>
    <row r="2520">
      <c r="A2520" s="283">
        <v>47.0</v>
      </c>
      <c r="B2520" s="284">
        <v>189.0</v>
      </c>
      <c r="C2520" s="285" t="str">
        <f t="shared" si="1"/>
        <v>47 189</v>
      </c>
      <c r="D2520" s="285" t="s">
        <v>11175</v>
      </c>
    </row>
    <row r="2521">
      <c r="A2521" s="283">
        <v>48.0</v>
      </c>
      <c r="B2521" s="284">
        <v>1.0</v>
      </c>
      <c r="C2521" s="285" t="str">
        <f t="shared" si="1"/>
        <v>48 1</v>
      </c>
      <c r="D2521" s="285" t="s">
        <v>11176</v>
      </c>
    </row>
    <row r="2522">
      <c r="A2522" s="283">
        <v>48.0</v>
      </c>
      <c r="B2522" s="284">
        <v>3.0</v>
      </c>
      <c r="C2522" s="285" t="str">
        <f t="shared" si="1"/>
        <v>48 3</v>
      </c>
      <c r="D2522" s="285" t="s">
        <v>11177</v>
      </c>
    </row>
    <row r="2523">
      <c r="A2523" s="283">
        <v>48.0</v>
      </c>
      <c r="B2523" s="284">
        <v>5.0</v>
      </c>
      <c r="C2523" s="285" t="str">
        <f t="shared" si="1"/>
        <v>48 5</v>
      </c>
      <c r="D2523" s="285" t="s">
        <v>11178</v>
      </c>
    </row>
    <row r="2524">
      <c r="A2524" s="283">
        <v>48.0</v>
      </c>
      <c r="B2524" s="284">
        <v>7.0</v>
      </c>
      <c r="C2524" s="285" t="str">
        <f t="shared" si="1"/>
        <v>48 7</v>
      </c>
      <c r="D2524" s="285" t="s">
        <v>11179</v>
      </c>
    </row>
    <row r="2525">
      <c r="A2525" s="283">
        <v>48.0</v>
      </c>
      <c r="B2525" s="284">
        <v>9.0</v>
      </c>
      <c r="C2525" s="285" t="str">
        <f t="shared" si="1"/>
        <v>48 9</v>
      </c>
      <c r="D2525" s="285" t="s">
        <v>11180</v>
      </c>
    </row>
    <row r="2526">
      <c r="A2526" s="283">
        <v>48.0</v>
      </c>
      <c r="B2526" s="284">
        <v>11.0</v>
      </c>
      <c r="C2526" s="285" t="str">
        <f t="shared" si="1"/>
        <v>48 11</v>
      </c>
      <c r="D2526" s="285" t="s">
        <v>11181</v>
      </c>
    </row>
    <row r="2527">
      <c r="A2527" s="283">
        <v>48.0</v>
      </c>
      <c r="B2527" s="284">
        <v>13.0</v>
      </c>
      <c r="C2527" s="285" t="str">
        <f t="shared" si="1"/>
        <v>48 13</v>
      </c>
      <c r="D2527" s="285" t="s">
        <v>11182</v>
      </c>
    </row>
    <row r="2528">
      <c r="A2528" s="283">
        <v>48.0</v>
      </c>
      <c r="B2528" s="284">
        <v>15.0</v>
      </c>
      <c r="C2528" s="285" t="str">
        <f t="shared" si="1"/>
        <v>48 15</v>
      </c>
      <c r="D2528" s="285" t="s">
        <v>11183</v>
      </c>
    </row>
    <row r="2529">
      <c r="A2529" s="283">
        <v>48.0</v>
      </c>
      <c r="B2529" s="284">
        <v>17.0</v>
      </c>
      <c r="C2529" s="285" t="str">
        <f t="shared" si="1"/>
        <v>48 17</v>
      </c>
      <c r="D2529" s="285" t="s">
        <v>11184</v>
      </c>
    </row>
    <row r="2530">
      <c r="A2530" s="283">
        <v>48.0</v>
      </c>
      <c r="B2530" s="284">
        <v>19.0</v>
      </c>
      <c r="C2530" s="285" t="str">
        <f t="shared" si="1"/>
        <v>48 19</v>
      </c>
      <c r="D2530" s="285" t="s">
        <v>11185</v>
      </c>
    </row>
    <row r="2531">
      <c r="A2531" s="283">
        <v>48.0</v>
      </c>
      <c r="B2531" s="284">
        <v>21.0</v>
      </c>
      <c r="C2531" s="285" t="str">
        <f t="shared" si="1"/>
        <v>48 21</v>
      </c>
      <c r="D2531" s="285" t="s">
        <v>11186</v>
      </c>
    </row>
    <row r="2532">
      <c r="A2532" s="283">
        <v>48.0</v>
      </c>
      <c r="B2532" s="284">
        <v>23.0</v>
      </c>
      <c r="C2532" s="285" t="str">
        <f t="shared" si="1"/>
        <v>48 23</v>
      </c>
      <c r="D2532" s="285" t="s">
        <v>11187</v>
      </c>
    </row>
    <row r="2533">
      <c r="A2533" s="283">
        <v>48.0</v>
      </c>
      <c r="B2533" s="284">
        <v>25.0</v>
      </c>
      <c r="C2533" s="285" t="str">
        <f t="shared" si="1"/>
        <v>48 25</v>
      </c>
      <c r="D2533" s="285" t="s">
        <v>11188</v>
      </c>
    </row>
    <row r="2534">
      <c r="A2534" s="283">
        <v>48.0</v>
      </c>
      <c r="B2534" s="284">
        <v>27.0</v>
      </c>
      <c r="C2534" s="285" t="str">
        <f t="shared" si="1"/>
        <v>48 27</v>
      </c>
      <c r="D2534" s="285" t="s">
        <v>11189</v>
      </c>
    </row>
    <row r="2535">
      <c r="A2535" s="283">
        <v>48.0</v>
      </c>
      <c r="B2535" s="284">
        <v>29.0</v>
      </c>
      <c r="C2535" s="285" t="str">
        <f t="shared" si="1"/>
        <v>48 29</v>
      </c>
      <c r="D2535" s="285" t="s">
        <v>11190</v>
      </c>
    </row>
    <row r="2536">
      <c r="A2536" s="283">
        <v>48.0</v>
      </c>
      <c r="B2536" s="284">
        <v>31.0</v>
      </c>
      <c r="C2536" s="285" t="str">
        <f t="shared" si="1"/>
        <v>48 31</v>
      </c>
      <c r="D2536" s="285" t="s">
        <v>11191</v>
      </c>
    </row>
    <row r="2537">
      <c r="A2537" s="283">
        <v>48.0</v>
      </c>
      <c r="B2537" s="284">
        <v>33.0</v>
      </c>
      <c r="C2537" s="285" t="str">
        <f t="shared" si="1"/>
        <v>48 33</v>
      </c>
      <c r="D2537" s="285" t="s">
        <v>11192</v>
      </c>
    </row>
    <row r="2538">
      <c r="A2538" s="283">
        <v>48.0</v>
      </c>
      <c r="B2538" s="284">
        <v>35.0</v>
      </c>
      <c r="C2538" s="285" t="str">
        <f t="shared" si="1"/>
        <v>48 35</v>
      </c>
      <c r="D2538" s="285" t="s">
        <v>11193</v>
      </c>
    </row>
    <row r="2539">
      <c r="A2539" s="283">
        <v>48.0</v>
      </c>
      <c r="B2539" s="284">
        <v>37.0</v>
      </c>
      <c r="C2539" s="285" t="str">
        <f t="shared" si="1"/>
        <v>48 37</v>
      </c>
      <c r="D2539" s="285" t="s">
        <v>11194</v>
      </c>
    </row>
    <row r="2540">
      <c r="A2540" s="283">
        <v>48.0</v>
      </c>
      <c r="B2540" s="284">
        <v>39.0</v>
      </c>
      <c r="C2540" s="285" t="str">
        <f t="shared" si="1"/>
        <v>48 39</v>
      </c>
      <c r="D2540" s="285" t="s">
        <v>11195</v>
      </c>
    </row>
    <row r="2541">
      <c r="A2541" s="283">
        <v>48.0</v>
      </c>
      <c r="B2541" s="284">
        <v>41.0</v>
      </c>
      <c r="C2541" s="285" t="str">
        <f t="shared" si="1"/>
        <v>48 41</v>
      </c>
      <c r="D2541" s="285" t="s">
        <v>11196</v>
      </c>
    </row>
    <row r="2542">
      <c r="A2542" s="283">
        <v>48.0</v>
      </c>
      <c r="B2542" s="284">
        <v>43.0</v>
      </c>
      <c r="C2542" s="285" t="str">
        <f t="shared" si="1"/>
        <v>48 43</v>
      </c>
      <c r="D2542" s="285" t="s">
        <v>11197</v>
      </c>
    </row>
    <row r="2543">
      <c r="A2543" s="283">
        <v>48.0</v>
      </c>
      <c r="B2543" s="284">
        <v>45.0</v>
      </c>
      <c r="C2543" s="285" t="str">
        <f t="shared" si="1"/>
        <v>48 45</v>
      </c>
      <c r="D2543" s="285" t="s">
        <v>11198</v>
      </c>
    </row>
    <row r="2544">
      <c r="A2544" s="283">
        <v>48.0</v>
      </c>
      <c r="B2544" s="284">
        <v>47.0</v>
      </c>
      <c r="C2544" s="285" t="str">
        <f t="shared" si="1"/>
        <v>48 47</v>
      </c>
      <c r="D2544" s="285" t="s">
        <v>11199</v>
      </c>
    </row>
    <row r="2545">
      <c r="A2545" s="283">
        <v>48.0</v>
      </c>
      <c r="B2545" s="284">
        <v>49.0</v>
      </c>
      <c r="C2545" s="285" t="str">
        <f t="shared" si="1"/>
        <v>48 49</v>
      </c>
      <c r="D2545" s="285" t="s">
        <v>11200</v>
      </c>
    </row>
    <row r="2546">
      <c r="A2546" s="283">
        <v>48.0</v>
      </c>
      <c r="B2546" s="284">
        <v>51.0</v>
      </c>
      <c r="C2546" s="285" t="str">
        <f t="shared" si="1"/>
        <v>48 51</v>
      </c>
      <c r="D2546" s="285" t="s">
        <v>11201</v>
      </c>
    </row>
    <row r="2547">
      <c r="A2547" s="283">
        <v>48.0</v>
      </c>
      <c r="B2547" s="284">
        <v>53.0</v>
      </c>
      <c r="C2547" s="285" t="str">
        <f t="shared" si="1"/>
        <v>48 53</v>
      </c>
      <c r="D2547" s="285" t="s">
        <v>11202</v>
      </c>
    </row>
    <row r="2548">
      <c r="A2548" s="283">
        <v>48.0</v>
      </c>
      <c r="B2548" s="284">
        <v>55.0</v>
      </c>
      <c r="C2548" s="285" t="str">
        <f t="shared" si="1"/>
        <v>48 55</v>
      </c>
      <c r="D2548" s="285" t="s">
        <v>11203</v>
      </c>
    </row>
    <row r="2549">
      <c r="A2549" s="283">
        <v>48.0</v>
      </c>
      <c r="B2549" s="284">
        <v>57.0</v>
      </c>
      <c r="C2549" s="285" t="str">
        <f t="shared" si="1"/>
        <v>48 57</v>
      </c>
      <c r="D2549" s="285" t="s">
        <v>11204</v>
      </c>
    </row>
    <row r="2550">
      <c r="A2550" s="283">
        <v>48.0</v>
      </c>
      <c r="B2550" s="284">
        <v>59.0</v>
      </c>
      <c r="C2550" s="285" t="str">
        <f t="shared" si="1"/>
        <v>48 59</v>
      </c>
      <c r="D2550" s="285" t="s">
        <v>11205</v>
      </c>
    </row>
    <row r="2551">
      <c r="A2551" s="283">
        <v>48.0</v>
      </c>
      <c r="B2551" s="284">
        <v>61.0</v>
      </c>
      <c r="C2551" s="285" t="str">
        <f t="shared" si="1"/>
        <v>48 61</v>
      </c>
      <c r="D2551" s="285" t="s">
        <v>11206</v>
      </c>
    </row>
    <row r="2552">
      <c r="A2552" s="283">
        <v>48.0</v>
      </c>
      <c r="B2552" s="284">
        <v>63.0</v>
      </c>
      <c r="C2552" s="285" t="str">
        <f t="shared" si="1"/>
        <v>48 63</v>
      </c>
      <c r="D2552" s="285" t="s">
        <v>11207</v>
      </c>
    </row>
    <row r="2553">
      <c r="A2553" s="283">
        <v>48.0</v>
      </c>
      <c r="B2553" s="284">
        <v>65.0</v>
      </c>
      <c r="C2553" s="285" t="str">
        <f t="shared" si="1"/>
        <v>48 65</v>
      </c>
      <c r="D2553" s="285" t="s">
        <v>11208</v>
      </c>
    </row>
    <row r="2554">
      <c r="A2554" s="283">
        <v>48.0</v>
      </c>
      <c r="B2554" s="284">
        <v>67.0</v>
      </c>
      <c r="C2554" s="285" t="str">
        <f t="shared" si="1"/>
        <v>48 67</v>
      </c>
      <c r="D2554" s="285" t="s">
        <v>11209</v>
      </c>
    </row>
    <row r="2555">
      <c r="A2555" s="283">
        <v>48.0</v>
      </c>
      <c r="B2555" s="284">
        <v>69.0</v>
      </c>
      <c r="C2555" s="285" t="str">
        <f t="shared" si="1"/>
        <v>48 69</v>
      </c>
      <c r="D2555" s="285" t="s">
        <v>11210</v>
      </c>
    </row>
    <row r="2556">
      <c r="A2556" s="283">
        <v>48.0</v>
      </c>
      <c r="B2556" s="284">
        <v>71.0</v>
      </c>
      <c r="C2556" s="285" t="str">
        <f t="shared" si="1"/>
        <v>48 71</v>
      </c>
      <c r="D2556" s="285" t="s">
        <v>11211</v>
      </c>
    </row>
    <row r="2557">
      <c r="A2557" s="283">
        <v>48.0</v>
      </c>
      <c r="B2557" s="284">
        <v>73.0</v>
      </c>
      <c r="C2557" s="285" t="str">
        <f t="shared" si="1"/>
        <v>48 73</v>
      </c>
      <c r="D2557" s="285" t="s">
        <v>11212</v>
      </c>
    </row>
    <row r="2558">
      <c r="A2558" s="283">
        <v>48.0</v>
      </c>
      <c r="B2558" s="284">
        <v>75.0</v>
      </c>
      <c r="C2558" s="285" t="str">
        <f t="shared" si="1"/>
        <v>48 75</v>
      </c>
      <c r="D2558" s="285" t="s">
        <v>11213</v>
      </c>
    </row>
    <row r="2559">
      <c r="A2559" s="283">
        <v>48.0</v>
      </c>
      <c r="B2559" s="284">
        <v>77.0</v>
      </c>
      <c r="C2559" s="285" t="str">
        <f t="shared" si="1"/>
        <v>48 77</v>
      </c>
      <c r="D2559" s="285" t="s">
        <v>11214</v>
      </c>
    </row>
    <row r="2560">
      <c r="A2560" s="283">
        <v>48.0</v>
      </c>
      <c r="B2560" s="284">
        <v>79.0</v>
      </c>
      <c r="C2560" s="285" t="str">
        <f t="shared" si="1"/>
        <v>48 79</v>
      </c>
      <c r="D2560" s="285" t="s">
        <v>11215</v>
      </c>
    </row>
    <row r="2561">
      <c r="A2561" s="283">
        <v>48.0</v>
      </c>
      <c r="B2561" s="284">
        <v>81.0</v>
      </c>
      <c r="C2561" s="285" t="str">
        <f t="shared" si="1"/>
        <v>48 81</v>
      </c>
      <c r="D2561" s="285" t="s">
        <v>11216</v>
      </c>
    </row>
    <row r="2562">
      <c r="A2562" s="283">
        <v>48.0</v>
      </c>
      <c r="B2562" s="284">
        <v>83.0</v>
      </c>
      <c r="C2562" s="285" t="str">
        <f t="shared" si="1"/>
        <v>48 83</v>
      </c>
      <c r="D2562" s="285" t="s">
        <v>11217</v>
      </c>
    </row>
    <row r="2563">
      <c r="A2563" s="283">
        <v>48.0</v>
      </c>
      <c r="B2563" s="284">
        <v>85.0</v>
      </c>
      <c r="C2563" s="285" t="str">
        <f t="shared" si="1"/>
        <v>48 85</v>
      </c>
      <c r="D2563" s="285" t="s">
        <v>11218</v>
      </c>
    </row>
    <row r="2564">
      <c r="A2564" s="283">
        <v>48.0</v>
      </c>
      <c r="B2564" s="284">
        <v>87.0</v>
      </c>
      <c r="C2564" s="285" t="str">
        <f t="shared" si="1"/>
        <v>48 87</v>
      </c>
      <c r="D2564" s="285" t="s">
        <v>11219</v>
      </c>
    </row>
    <row r="2565">
      <c r="A2565" s="283">
        <v>48.0</v>
      </c>
      <c r="B2565" s="284">
        <v>89.0</v>
      </c>
      <c r="C2565" s="285" t="str">
        <f t="shared" si="1"/>
        <v>48 89</v>
      </c>
      <c r="D2565" s="285" t="s">
        <v>11220</v>
      </c>
    </row>
    <row r="2566">
      <c r="A2566" s="283">
        <v>48.0</v>
      </c>
      <c r="B2566" s="284">
        <v>91.0</v>
      </c>
      <c r="C2566" s="285" t="str">
        <f t="shared" si="1"/>
        <v>48 91</v>
      </c>
      <c r="D2566" s="285" t="s">
        <v>11221</v>
      </c>
    </row>
    <row r="2567">
      <c r="A2567" s="283">
        <v>48.0</v>
      </c>
      <c r="B2567" s="284">
        <v>93.0</v>
      </c>
      <c r="C2567" s="285" t="str">
        <f t="shared" si="1"/>
        <v>48 93</v>
      </c>
      <c r="D2567" s="285" t="s">
        <v>11222</v>
      </c>
    </row>
    <row r="2568">
      <c r="A2568" s="283">
        <v>48.0</v>
      </c>
      <c r="B2568" s="284">
        <v>95.0</v>
      </c>
      <c r="C2568" s="285" t="str">
        <f t="shared" si="1"/>
        <v>48 95</v>
      </c>
      <c r="D2568" s="285" t="s">
        <v>11223</v>
      </c>
    </row>
    <row r="2569">
      <c r="A2569" s="283">
        <v>48.0</v>
      </c>
      <c r="B2569" s="284">
        <v>97.0</v>
      </c>
      <c r="C2569" s="285" t="str">
        <f t="shared" si="1"/>
        <v>48 97</v>
      </c>
      <c r="D2569" s="285" t="s">
        <v>11224</v>
      </c>
    </row>
    <row r="2570">
      <c r="A2570" s="283">
        <v>48.0</v>
      </c>
      <c r="B2570" s="284">
        <v>99.0</v>
      </c>
      <c r="C2570" s="285" t="str">
        <f t="shared" si="1"/>
        <v>48 99</v>
      </c>
      <c r="D2570" s="285" t="s">
        <v>11225</v>
      </c>
    </row>
    <row r="2571">
      <c r="A2571" s="283">
        <v>48.0</v>
      </c>
      <c r="B2571" s="284">
        <v>101.0</v>
      </c>
      <c r="C2571" s="285" t="str">
        <f t="shared" si="1"/>
        <v>48 101</v>
      </c>
      <c r="D2571" s="285" t="s">
        <v>11226</v>
      </c>
    </row>
    <row r="2572">
      <c r="A2572" s="283">
        <v>48.0</v>
      </c>
      <c r="B2572" s="284">
        <v>103.0</v>
      </c>
      <c r="C2572" s="285" t="str">
        <f t="shared" si="1"/>
        <v>48 103</v>
      </c>
      <c r="D2572" s="285" t="s">
        <v>11227</v>
      </c>
    </row>
    <row r="2573">
      <c r="A2573" s="283">
        <v>48.0</v>
      </c>
      <c r="B2573" s="284">
        <v>105.0</v>
      </c>
      <c r="C2573" s="285" t="str">
        <f t="shared" si="1"/>
        <v>48 105</v>
      </c>
      <c r="D2573" s="285" t="s">
        <v>11228</v>
      </c>
    </row>
    <row r="2574">
      <c r="A2574" s="283">
        <v>48.0</v>
      </c>
      <c r="B2574" s="284">
        <v>107.0</v>
      </c>
      <c r="C2574" s="285" t="str">
        <f t="shared" si="1"/>
        <v>48 107</v>
      </c>
      <c r="D2574" s="285" t="s">
        <v>11229</v>
      </c>
    </row>
    <row r="2575">
      <c r="A2575" s="283">
        <v>48.0</v>
      </c>
      <c r="B2575" s="284">
        <v>109.0</v>
      </c>
      <c r="C2575" s="285" t="str">
        <f t="shared" si="1"/>
        <v>48 109</v>
      </c>
      <c r="D2575" s="285" t="s">
        <v>11230</v>
      </c>
    </row>
    <row r="2576">
      <c r="A2576" s="283">
        <v>48.0</v>
      </c>
      <c r="B2576" s="284">
        <v>111.0</v>
      </c>
      <c r="C2576" s="285" t="str">
        <f t="shared" si="1"/>
        <v>48 111</v>
      </c>
      <c r="D2576" s="285" t="s">
        <v>11231</v>
      </c>
    </row>
    <row r="2577">
      <c r="A2577" s="283">
        <v>48.0</v>
      </c>
      <c r="B2577" s="284">
        <v>113.0</v>
      </c>
      <c r="C2577" s="285" t="str">
        <f t="shared" si="1"/>
        <v>48 113</v>
      </c>
      <c r="D2577" s="285" t="s">
        <v>11232</v>
      </c>
    </row>
    <row r="2578">
      <c r="A2578" s="283">
        <v>48.0</v>
      </c>
      <c r="B2578" s="284">
        <v>115.0</v>
      </c>
      <c r="C2578" s="285" t="str">
        <f t="shared" si="1"/>
        <v>48 115</v>
      </c>
      <c r="D2578" s="285" t="s">
        <v>11233</v>
      </c>
    </row>
    <row r="2579">
      <c r="A2579" s="283">
        <v>48.0</v>
      </c>
      <c r="B2579" s="284">
        <v>117.0</v>
      </c>
      <c r="C2579" s="285" t="str">
        <f t="shared" si="1"/>
        <v>48 117</v>
      </c>
      <c r="D2579" s="285" t="s">
        <v>11234</v>
      </c>
    </row>
    <row r="2580">
      <c r="A2580" s="283">
        <v>48.0</v>
      </c>
      <c r="B2580" s="284">
        <v>119.0</v>
      </c>
      <c r="C2580" s="285" t="str">
        <f t="shared" si="1"/>
        <v>48 119</v>
      </c>
      <c r="D2580" s="285" t="s">
        <v>11235</v>
      </c>
    </row>
    <row r="2581">
      <c r="A2581" s="283">
        <v>48.0</v>
      </c>
      <c r="B2581" s="284">
        <v>121.0</v>
      </c>
      <c r="C2581" s="285" t="str">
        <f t="shared" si="1"/>
        <v>48 121</v>
      </c>
      <c r="D2581" s="285" t="s">
        <v>11236</v>
      </c>
    </row>
    <row r="2582">
      <c r="A2582" s="283">
        <v>48.0</v>
      </c>
      <c r="B2582" s="284">
        <v>123.0</v>
      </c>
      <c r="C2582" s="285" t="str">
        <f t="shared" si="1"/>
        <v>48 123</v>
      </c>
      <c r="D2582" s="285" t="s">
        <v>11237</v>
      </c>
    </row>
    <row r="2583">
      <c r="A2583" s="283">
        <v>48.0</v>
      </c>
      <c r="B2583" s="284">
        <v>125.0</v>
      </c>
      <c r="C2583" s="285" t="str">
        <f t="shared" si="1"/>
        <v>48 125</v>
      </c>
      <c r="D2583" s="285" t="s">
        <v>11238</v>
      </c>
    </row>
    <row r="2584">
      <c r="A2584" s="283">
        <v>48.0</v>
      </c>
      <c r="B2584" s="284">
        <v>127.0</v>
      </c>
      <c r="C2584" s="285" t="str">
        <f t="shared" si="1"/>
        <v>48 127</v>
      </c>
      <c r="D2584" s="285" t="s">
        <v>11239</v>
      </c>
    </row>
    <row r="2585">
      <c r="A2585" s="283">
        <v>48.0</v>
      </c>
      <c r="B2585" s="284">
        <v>129.0</v>
      </c>
      <c r="C2585" s="285" t="str">
        <f t="shared" si="1"/>
        <v>48 129</v>
      </c>
      <c r="D2585" s="285" t="s">
        <v>11240</v>
      </c>
    </row>
    <row r="2586">
      <c r="A2586" s="283">
        <v>48.0</v>
      </c>
      <c r="B2586" s="284">
        <v>131.0</v>
      </c>
      <c r="C2586" s="285" t="str">
        <f t="shared" si="1"/>
        <v>48 131</v>
      </c>
      <c r="D2586" s="285" t="s">
        <v>11241</v>
      </c>
    </row>
    <row r="2587">
      <c r="A2587" s="283">
        <v>48.0</v>
      </c>
      <c r="B2587" s="284">
        <v>133.0</v>
      </c>
      <c r="C2587" s="285" t="str">
        <f t="shared" si="1"/>
        <v>48 133</v>
      </c>
      <c r="D2587" s="285" t="s">
        <v>11242</v>
      </c>
    </row>
    <row r="2588">
      <c r="A2588" s="283">
        <v>48.0</v>
      </c>
      <c r="B2588" s="284">
        <v>135.0</v>
      </c>
      <c r="C2588" s="285" t="str">
        <f t="shared" si="1"/>
        <v>48 135</v>
      </c>
      <c r="D2588" s="285" t="s">
        <v>11243</v>
      </c>
    </row>
    <row r="2589">
      <c r="A2589" s="283">
        <v>48.0</v>
      </c>
      <c r="B2589" s="284">
        <v>137.0</v>
      </c>
      <c r="C2589" s="285" t="str">
        <f t="shared" si="1"/>
        <v>48 137</v>
      </c>
      <c r="D2589" s="285" t="s">
        <v>11244</v>
      </c>
    </row>
    <row r="2590">
      <c r="A2590" s="283">
        <v>48.0</v>
      </c>
      <c r="B2590" s="284">
        <v>139.0</v>
      </c>
      <c r="C2590" s="285" t="str">
        <f t="shared" si="1"/>
        <v>48 139</v>
      </c>
      <c r="D2590" s="285" t="s">
        <v>11245</v>
      </c>
    </row>
    <row r="2591">
      <c r="A2591" s="283">
        <v>48.0</v>
      </c>
      <c r="B2591" s="284">
        <v>141.0</v>
      </c>
      <c r="C2591" s="285" t="str">
        <f t="shared" si="1"/>
        <v>48 141</v>
      </c>
      <c r="D2591" s="285" t="s">
        <v>11246</v>
      </c>
    </row>
    <row r="2592">
      <c r="A2592" s="283">
        <v>48.0</v>
      </c>
      <c r="B2592" s="284">
        <v>143.0</v>
      </c>
      <c r="C2592" s="285" t="str">
        <f t="shared" si="1"/>
        <v>48 143</v>
      </c>
      <c r="D2592" s="285" t="s">
        <v>11247</v>
      </c>
    </row>
    <row r="2593">
      <c r="A2593" s="283">
        <v>48.0</v>
      </c>
      <c r="B2593" s="284">
        <v>145.0</v>
      </c>
      <c r="C2593" s="285" t="str">
        <f t="shared" si="1"/>
        <v>48 145</v>
      </c>
      <c r="D2593" s="285" t="s">
        <v>11248</v>
      </c>
    </row>
    <row r="2594">
      <c r="A2594" s="283">
        <v>48.0</v>
      </c>
      <c r="B2594" s="284">
        <v>147.0</v>
      </c>
      <c r="C2594" s="285" t="str">
        <f t="shared" si="1"/>
        <v>48 147</v>
      </c>
      <c r="D2594" s="285" t="s">
        <v>11249</v>
      </c>
    </row>
    <row r="2595">
      <c r="A2595" s="283">
        <v>48.0</v>
      </c>
      <c r="B2595" s="284">
        <v>149.0</v>
      </c>
      <c r="C2595" s="285" t="str">
        <f t="shared" si="1"/>
        <v>48 149</v>
      </c>
      <c r="D2595" s="285" t="s">
        <v>11250</v>
      </c>
    </row>
    <row r="2596">
      <c r="A2596" s="283">
        <v>48.0</v>
      </c>
      <c r="B2596" s="284">
        <v>151.0</v>
      </c>
      <c r="C2596" s="285" t="str">
        <f t="shared" si="1"/>
        <v>48 151</v>
      </c>
      <c r="D2596" s="285" t="s">
        <v>11251</v>
      </c>
    </row>
    <row r="2597">
      <c r="A2597" s="283">
        <v>48.0</v>
      </c>
      <c r="B2597" s="284">
        <v>153.0</v>
      </c>
      <c r="C2597" s="285" t="str">
        <f t="shared" si="1"/>
        <v>48 153</v>
      </c>
      <c r="D2597" s="285" t="s">
        <v>11252</v>
      </c>
    </row>
    <row r="2598">
      <c r="A2598" s="283">
        <v>48.0</v>
      </c>
      <c r="B2598" s="284">
        <v>155.0</v>
      </c>
      <c r="C2598" s="285" t="str">
        <f t="shared" si="1"/>
        <v>48 155</v>
      </c>
      <c r="D2598" s="285" t="s">
        <v>11253</v>
      </c>
    </row>
    <row r="2599">
      <c r="A2599" s="283">
        <v>48.0</v>
      </c>
      <c r="B2599" s="284">
        <v>157.0</v>
      </c>
      <c r="C2599" s="285" t="str">
        <f t="shared" si="1"/>
        <v>48 157</v>
      </c>
      <c r="D2599" s="285" t="s">
        <v>11254</v>
      </c>
    </row>
    <row r="2600">
      <c r="A2600" s="283">
        <v>48.0</v>
      </c>
      <c r="B2600" s="284">
        <v>159.0</v>
      </c>
      <c r="C2600" s="285" t="str">
        <f t="shared" si="1"/>
        <v>48 159</v>
      </c>
      <c r="D2600" s="285" t="s">
        <v>11255</v>
      </c>
    </row>
    <row r="2601">
      <c r="A2601" s="283">
        <v>48.0</v>
      </c>
      <c r="B2601" s="284">
        <v>161.0</v>
      </c>
      <c r="C2601" s="285" t="str">
        <f t="shared" si="1"/>
        <v>48 161</v>
      </c>
      <c r="D2601" s="285" t="s">
        <v>11256</v>
      </c>
    </row>
    <row r="2602">
      <c r="A2602" s="283">
        <v>48.0</v>
      </c>
      <c r="B2602" s="284">
        <v>163.0</v>
      </c>
      <c r="C2602" s="285" t="str">
        <f t="shared" si="1"/>
        <v>48 163</v>
      </c>
      <c r="D2602" s="285" t="s">
        <v>11257</v>
      </c>
    </row>
    <row r="2603">
      <c r="A2603" s="283">
        <v>48.0</v>
      </c>
      <c r="B2603" s="284">
        <v>165.0</v>
      </c>
      <c r="C2603" s="285" t="str">
        <f t="shared" si="1"/>
        <v>48 165</v>
      </c>
      <c r="D2603" s="285" t="s">
        <v>11258</v>
      </c>
    </row>
    <row r="2604">
      <c r="A2604" s="283">
        <v>48.0</v>
      </c>
      <c r="B2604" s="284">
        <v>167.0</v>
      </c>
      <c r="C2604" s="285" t="str">
        <f t="shared" si="1"/>
        <v>48 167</v>
      </c>
      <c r="D2604" s="285" t="s">
        <v>11259</v>
      </c>
    </row>
    <row r="2605">
      <c r="A2605" s="283">
        <v>48.0</v>
      </c>
      <c r="B2605" s="284">
        <v>169.0</v>
      </c>
      <c r="C2605" s="285" t="str">
        <f t="shared" si="1"/>
        <v>48 169</v>
      </c>
      <c r="D2605" s="285" t="s">
        <v>11260</v>
      </c>
    </row>
    <row r="2606">
      <c r="A2606" s="283">
        <v>48.0</v>
      </c>
      <c r="B2606" s="284">
        <v>171.0</v>
      </c>
      <c r="C2606" s="285" t="str">
        <f t="shared" si="1"/>
        <v>48 171</v>
      </c>
      <c r="D2606" s="285" t="s">
        <v>11261</v>
      </c>
    </row>
    <row r="2607">
      <c r="A2607" s="283">
        <v>48.0</v>
      </c>
      <c r="B2607" s="284">
        <v>173.0</v>
      </c>
      <c r="C2607" s="285" t="str">
        <f t="shared" si="1"/>
        <v>48 173</v>
      </c>
      <c r="D2607" s="285" t="s">
        <v>11262</v>
      </c>
    </row>
    <row r="2608">
      <c r="A2608" s="283">
        <v>48.0</v>
      </c>
      <c r="B2608" s="284">
        <v>175.0</v>
      </c>
      <c r="C2608" s="285" t="str">
        <f t="shared" si="1"/>
        <v>48 175</v>
      </c>
      <c r="D2608" s="285" t="s">
        <v>11263</v>
      </c>
    </row>
    <row r="2609">
      <c r="A2609" s="283">
        <v>48.0</v>
      </c>
      <c r="B2609" s="284">
        <v>177.0</v>
      </c>
      <c r="C2609" s="285" t="str">
        <f t="shared" si="1"/>
        <v>48 177</v>
      </c>
      <c r="D2609" s="285" t="s">
        <v>11264</v>
      </c>
    </row>
    <row r="2610">
      <c r="A2610" s="283">
        <v>48.0</v>
      </c>
      <c r="B2610" s="284">
        <v>179.0</v>
      </c>
      <c r="C2610" s="285" t="str">
        <f t="shared" si="1"/>
        <v>48 179</v>
      </c>
      <c r="D2610" s="285" t="s">
        <v>11265</v>
      </c>
    </row>
    <row r="2611">
      <c r="A2611" s="283">
        <v>48.0</v>
      </c>
      <c r="B2611" s="284">
        <v>181.0</v>
      </c>
      <c r="C2611" s="285" t="str">
        <f t="shared" si="1"/>
        <v>48 181</v>
      </c>
      <c r="D2611" s="285" t="s">
        <v>11266</v>
      </c>
    </row>
    <row r="2612">
      <c r="A2612" s="283">
        <v>48.0</v>
      </c>
      <c r="B2612" s="284">
        <v>183.0</v>
      </c>
      <c r="C2612" s="285" t="str">
        <f t="shared" si="1"/>
        <v>48 183</v>
      </c>
      <c r="D2612" s="285" t="s">
        <v>11267</v>
      </c>
    </row>
    <row r="2613">
      <c r="A2613" s="283">
        <v>48.0</v>
      </c>
      <c r="B2613" s="284">
        <v>185.0</v>
      </c>
      <c r="C2613" s="285" t="str">
        <f t="shared" si="1"/>
        <v>48 185</v>
      </c>
      <c r="D2613" s="285" t="s">
        <v>11268</v>
      </c>
    </row>
    <row r="2614">
      <c r="A2614" s="283">
        <v>48.0</v>
      </c>
      <c r="B2614" s="284">
        <v>187.0</v>
      </c>
      <c r="C2614" s="285" t="str">
        <f t="shared" si="1"/>
        <v>48 187</v>
      </c>
      <c r="D2614" s="285" t="s">
        <v>11269</v>
      </c>
    </row>
    <row r="2615">
      <c r="A2615" s="283">
        <v>48.0</v>
      </c>
      <c r="B2615" s="284">
        <v>189.0</v>
      </c>
      <c r="C2615" s="285" t="str">
        <f t="shared" si="1"/>
        <v>48 189</v>
      </c>
      <c r="D2615" s="285" t="s">
        <v>11270</v>
      </c>
    </row>
    <row r="2616">
      <c r="A2616" s="283">
        <v>48.0</v>
      </c>
      <c r="B2616" s="284">
        <v>191.0</v>
      </c>
      <c r="C2616" s="285" t="str">
        <f t="shared" si="1"/>
        <v>48 191</v>
      </c>
      <c r="D2616" s="285" t="s">
        <v>11271</v>
      </c>
    </row>
    <row r="2617">
      <c r="A2617" s="283">
        <v>48.0</v>
      </c>
      <c r="B2617" s="284">
        <v>193.0</v>
      </c>
      <c r="C2617" s="285" t="str">
        <f t="shared" si="1"/>
        <v>48 193</v>
      </c>
      <c r="D2617" s="285" t="s">
        <v>11272</v>
      </c>
    </row>
    <row r="2618">
      <c r="A2618" s="283">
        <v>48.0</v>
      </c>
      <c r="B2618" s="284">
        <v>195.0</v>
      </c>
      <c r="C2618" s="285" t="str">
        <f t="shared" si="1"/>
        <v>48 195</v>
      </c>
      <c r="D2618" s="285" t="s">
        <v>11273</v>
      </c>
    </row>
    <row r="2619">
      <c r="A2619" s="283">
        <v>48.0</v>
      </c>
      <c r="B2619" s="284">
        <v>197.0</v>
      </c>
      <c r="C2619" s="285" t="str">
        <f t="shared" si="1"/>
        <v>48 197</v>
      </c>
      <c r="D2619" s="285" t="s">
        <v>11274</v>
      </c>
    </row>
    <row r="2620">
      <c r="A2620" s="283">
        <v>48.0</v>
      </c>
      <c r="B2620" s="284">
        <v>199.0</v>
      </c>
      <c r="C2620" s="285" t="str">
        <f t="shared" si="1"/>
        <v>48 199</v>
      </c>
      <c r="D2620" s="285" t="s">
        <v>11275</v>
      </c>
    </row>
    <row r="2621">
      <c r="A2621" s="283">
        <v>48.0</v>
      </c>
      <c r="B2621" s="284">
        <v>201.0</v>
      </c>
      <c r="C2621" s="285" t="str">
        <f t="shared" si="1"/>
        <v>48 201</v>
      </c>
      <c r="D2621" s="285" t="s">
        <v>11276</v>
      </c>
    </row>
    <row r="2622">
      <c r="A2622" s="283">
        <v>48.0</v>
      </c>
      <c r="B2622" s="284">
        <v>203.0</v>
      </c>
      <c r="C2622" s="285" t="str">
        <f t="shared" si="1"/>
        <v>48 203</v>
      </c>
      <c r="D2622" s="285" t="s">
        <v>11277</v>
      </c>
    </row>
    <row r="2623">
      <c r="A2623" s="283">
        <v>48.0</v>
      </c>
      <c r="B2623" s="284">
        <v>205.0</v>
      </c>
      <c r="C2623" s="285" t="str">
        <f t="shared" si="1"/>
        <v>48 205</v>
      </c>
      <c r="D2623" s="285" t="s">
        <v>11278</v>
      </c>
    </row>
    <row r="2624">
      <c r="A2624" s="283">
        <v>48.0</v>
      </c>
      <c r="B2624" s="284">
        <v>207.0</v>
      </c>
      <c r="C2624" s="285" t="str">
        <f t="shared" si="1"/>
        <v>48 207</v>
      </c>
      <c r="D2624" s="285" t="s">
        <v>11279</v>
      </c>
    </row>
    <row r="2625">
      <c r="A2625" s="283">
        <v>48.0</v>
      </c>
      <c r="B2625" s="284">
        <v>209.0</v>
      </c>
      <c r="C2625" s="285" t="str">
        <f t="shared" si="1"/>
        <v>48 209</v>
      </c>
      <c r="D2625" s="285" t="s">
        <v>11280</v>
      </c>
    </row>
    <row r="2626">
      <c r="A2626" s="283">
        <v>48.0</v>
      </c>
      <c r="B2626" s="284">
        <v>211.0</v>
      </c>
      <c r="C2626" s="285" t="str">
        <f t="shared" si="1"/>
        <v>48 211</v>
      </c>
      <c r="D2626" s="285" t="s">
        <v>11281</v>
      </c>
    </row>
    <row r="2627">
      <c r="A2627" s="283">
        <v>48.0</v>
      </c>
      <c r="B2627" s="284">
        <v>213.0</v>
      </c>
      <c r="C2627" s="285" t="str">
        <f t="shared" si="1"/>
        <v>48 213</v>
      </c>
      <c r="D2627" s="285" t="s">
        <v>11282</v>
      </c>
    </row>
    <row r="2628">
      <c r="A2628" s="283">
        <v>48.0</v>
      </c>
      <c r="B2628" s="284">
        <v>215.0</v>
      </c>
      <c r="C2628" s="285" t="str">
        <f t="shared" si="1"/>
        <v>48 215</v>
      </c>
      <c r="D2628" s="285" t="s">
        <v>11283</v>
      </c>
    </row>
    <row r="2629">
      <c r="A2629" s="283">
        <v>48.0</v>
      </c>
      <c r="B2629" s="284">
        <v>217.0</v>
      </c>
      <c r="C2629" s="285" t="str">
        <f t="shared" si="1"/>
        <v>48 217</v>
      </c>
      <c r="D2629" s="285" t="s">
        <v>11284</v>
      </c>
    </row>
    <row r="2630">
      <c r="A2630" s="283">
        <v>48.0</v>
      </c>
      <c r="B2630" s="284">
        <v>219.0</v>
      </c>
      <c r="C2630" s="285" t="str">
        <f t="shared" si="1"/>
        <v>48 219</v>
      </c>
      <c r="D2630" s="285" t="s">
        <v>11285</v>
      </c>
    </row>
    <row r="2631">
      <c r="A2631" s="283">
        <v>48.0</v>
      </c>
      <c r="B2631" s="284">
        <v>221.0</v>
      </c>
      <c r="C2631" s="285" t="str">
        <f t="shared" si="1"/>
        <v>48 221</v>
      </c>
      <c r="D2631" s="285" t="s">
        <v>11286</v>
      </c>
    </row>
    <row r="2632">
      <c r="A2632" s="283">
        <v>48.0</v>
      </c>
      <c r="B2632" s="284">
        <v>223.0</v>
      </c>
      <c r="C2632" s="285" t="str">
        <f t="shared" si="1"/>
        <v>48 223</v>
      </c>
      <c r="D2632" s="285" t="s">
        <v>11287</v>
      </c>
    </row>
    <row r="2633">
      <c r="A2633" s="283">
        <v>48.0</v>
      </c>
      <c r="B2633" s="284">
        <v>225.0</v>
      </c>
      <c r="C2633" s="285" t="str">
        <f t="shared" si="1"/>
        <v>48 225</v>
      </c>
      <c r="D2633" s="285" t="s">
        <v>11288</v>
      </c>
    </row>
    <row r="2634">
      <c r="A2634" s="283">
        <v>48.0</v>
      </c>
      <c r="B2634" s="284">
        <v>227.0</v>
      </c>
      <c r="C2634" s="285" t="str">
        <f t="shared" si="1"/>
        <v>48 227</v>
      </c>
      <c r="D2634" s="285" t="s">
        <v>11289</v>
      </c>
    </row>
    <row r="2635">
      <c r="A2635" s="283">
        <v>48.0</v>
      </c>
      <c r="B2635" s="284">
        <v>229.0</v>
      </c>
      <c r="C2635" s="285" t="str">
        <f t="shared" si="1"/>
        <v>48 229</v>
      </c>
      <c r="D2635" s="285" t="s">
        <v>11290</v>
      </c>
    </row>
    <row r="2636">
      <c r="A2636" s="283">
        <v>48.0</v>
      </c>
      <c r="B2636" s="284">
        <v>231.0</v>
      </c>
      <c r="C2636" s="285" t="str">
        <f t="shared" si="1"/>
        <v>48 231</v>
      </c>
      <c r="D2636" s="285" t="s">
        <v>11291</v>
      </c>
    </row>
    <row r="2637">
      <c r="A2637" s="283">
        <v>48.0</v>
      </c>
      <c r="B2637" s="284">
        <v>233.0</v>
      </c>
      <c r="C2637" s="285" t="str">
        <f t="shared" si="1"/>
        <v>48 233</v>
      </c>
      <c r="D2637" s="285" t="s">
        <v>11292</v>
      </c>
    </row>
    <row r="2638">
      <c r="A2638" s="283">
        <v>48.0</v>
      </c>
      <c r="B2638" s="284">
        <v>235.0</v>
      </c>
      <c r="C2638" s="285" t="str">
        <f t="shared" si="1"/>
        <v>48 235</v>
      </c>
      <c r="D2638" s="285" t="s">
        <v>11293</v>
      </c>
    </row>
    <row r="2639">
      <c r="A2639" s="283">
        <v>48.0</v>
      </c>
      <c r="B2639" s="284">
        <v>237.0</v>
      </c>
      <c r="C2639" s="285" t="str">
        <f t="shared" si="1"/>
        <v>48 237</v>
      </c>
      <c r="D2639" s="285" t="s">
        <v>11294</v>
      </c>
    </row>
    <row r="2640">
      <c r="A2640" s="283">
        <v>48.0</v>
      </c>
      <c r="B2640" s="284">
        <v>239.0</v>
      </c>
      <c r="C2640" s="285" t="str">
        <f t="shared" si="1"/>
        <v>48 239</v>
      </c>
      <c r="D2640" s="285" t="s">
        <v>11295</v>
      </c>
    </row>
    <row r="2641">
      <c r="A2641" s="283">
        <v>48.0</v>
      </c>
      <c r="B2641" s="284">
        <v>241.0</v>
      </c>
      <c r="C2641" s="285" t="str">
        <f t="shared" si="1"/>
        <v>48 241</v>
      </c>
      <c r="D2641" s="285" t="s">
        <v>11296</v>
      </c>
    </row>
    <row r="2642">
      <c r="A2642" s="283">
        <v>48.0</v>
      </c>
      <c r="B2642" s="284">
        <v>243.0</v>
      </c>
      <c r="C2642" s="285" t="str">
        <f t="shared" si="1"/>
        <v>48 243</v>
      </c>
      <c r="D2642" s="285" t="s">
        <v>11297</v>
      </c>
    </row>
    <row r="2643">
      <c r="A2643" s="283">
        <v>48.0</v>
      </c>
      <c r="B2643" s="284">
        <v>245.0</v>
      </c>
      <c r="C2643" s="285" t="str">
        <f t="shared" si="1"/>
        <v>48 245</v>
      </c>
      <c r="D2643" s="285" t="s">
        <v>11298</v>
      </c>
    </row>
    <row r="2644">
      <c r="A2644" s="283">
        <v>48.0</v>
      </c>
      <c r="B2644" s="284">
        <v>247.0</v>
      </c>
      <c r="C2644" s="285" t="str">
        <f t="shared" si="1"/>
        <v>48 247</v>
      </c>
      <c r="D2644" s="285" t="s">
        <v>11299</v>
      </c>
    </row>
    <row r="2645">
      <c r="A2645" s="283">
        <v>48.0</v>
      </c>
      <c r="B2645" s="284">
        <v>249.0</v>
      </c>
      <c r="C2645" s="285" t="str">
        <f t="shared" si="1"/>
        <v>48 249</v>
      </c>
      <c r="D2645" s="285" t="s">
        <v>11300</v>
      </c>
    </row>
    <row r="2646">
      <c r="A2646" s="283">
        <v>48.0</v>
      </c>
      <c r="B2646" s="284">
        <v>251.0</v>
      </c>
      <c r="C2646" s="285" t="str">
        <f t="shared" si="1"/>
        <v>48 251</v>
      </c>
      <c r="D2646" s="285" t="s">
        <v>11301</v>
      </c>
    </row>
    <row r="2647">
      <c r="A2647" s="283">
        <v>48.0</v>
      </c>
      <c r="B2647" s="284">
        <v>253.0</v>
      </c>
      <c r="C2647" s="285" t="str">
        <f t="shared" si="1"/>
        <v>48 253</v>
      </c>
      <c r="D2647" s="285" t="s">
        <v>11302</v>
      </c>
    </row>
    <row r="2648">
      <c r="A2648" s="283">
        <v>48.0</v>
      </c>
      <c r="B2648" s="284">
        <v>255.0</v>
      </c>
      <c r="C2648" s="285" t="str">
        <f t="shared" si="1"/>
        <v>48 255</v>
      </c>
      <c r="D2648" s="285" t="s">
        <v>11303</v>
      </c>
    </row>
    <row r="2649">
      <c r="A2649" s="283">
        <v>48.0</v>
      </c>
      <c r="B2649" s="284">
        <v>257.0</v>
      </c>
      <c r="C2649" s="285" t="str">
        <f t="shared" si="1"/>
        <v>48 257</v>
      </c>
      <c r="D2649" s="285" t="s">
        <v>11304</v>
      </c>
    </row>
    <row r="2650">
      <c r="A2650" s="283">
        <v>48.0</v>
      </c>
      <c r="B2650" s="284">
        <v>259.0</v>
      </c>
      <c r="C2650" s="285" t="str">
        <f t="shared" si="1"/>
        <v>48 259</v>
      </c>
      <c r="D2650" s="285" t="s">
        <v>11305</v>
      </c>
    </row>
    <row r="2651">
      <c r="A2651" s="283">
        <v>48.0</v>
      </c>
      <c r="B2651" s="284">
        <v>261.0</v>
      </c>
      <c r="C2651" s="285" t="str">
        <f t="shared" si="1"/>
        <v>48 261</v>
      </c>
      <c r="D2651" s="285" t="s">
        <v>11306</v>
      </c>
    </row>
    <row r="2652">
      <c r="A2652" s="283">
        <v>48.0</v>
      </c>
      <c r="B2652" s="284">
        <v>263.0</v>
      </c>
      <c r="C2652" s="285" t="str">
        <f t="shared" si="1"/>
        <v>48 263</v>
      </c>
      <c r="D2652" s="285" t="s">
        <v>11307</v>
      </c>
    </row>
    <row r="2653">
      <c r="A2653" s="283">
        <v>48.0</v>
      </c>
      <c r="B2653" s="284">
        <v>265.0</v>
      </c>
      <c r="C2653" s="285" t="str">
        <f t="shared" si="1"/>
        <v>48 265</v>
      </c>
      <c r="D2653" s="285" t="s">
        <v>11308</v>
      </c>
    </row>
    <row r="2654">
      <c r="A2654" s="283">
        <v>48.0</v>
      </c>
      <c r="B2654" s="284">
        <v>267.0</v>
      </c>
      <c r="C2654" s="285" t="str">
        <f t="shared" si="1"/>
        <v>48 267</v>
      </c>
      <c r="D2654" s="285" t="s">
        <v>11309</v>
      </c>
    </row>
    <row r="2655">
      <c r="A2655" s="283">
        <v>48.0</v>
      </c>
      <c r="B2655" s="284">
        <v>269.0</v>
      </c>
      <c r="C2655" s="285" t="str">
        <f t="shared" si="1"/>
        <v>48 269</v>
      </c>
      <c r="D2655" s="285" t="s">
        <v>11310</v>
      </c>
    </row>
    <row r="2656">
      <c r="A2656" s="283">
        <v>48.0</v>
      </c>
      <c r="B2656" s="284">
        <v>271.0</v>
      </c>
      <c r="C2656" s="285" t="str">
        <f t="shared" si="1"/>
        <v>48 271</v>
      </c>
      <c r="D2656" s="285" t="s">
        <v>11311</v>
      </c>
    </row>
    <row r="2657">
      <c r="A2657" s="283">
        <v>48.0</v>
      </c>
      <c r="B2657" s="284">
        <v>273.0</v>
      </c>
      <c r="C2657" s="285" t="str">
        <f t="shared" si="1"/>
        <v>48 273</v>
      </c>
      <c r="D2657" s="285" t="s">
        <v>11312</v>
      </c>
    </row>
    <row r="2658">
      <c r="A2658" s="283">
        <v>48.0</v>
      </c>
      <c r="B2658" s="284">
        <v>275.0</v>
      </c>
      <c r="C2658" s="285" t="str">
        <f t="shared" si="1"/>
        <v>48 275</v>
      </c>
      <c r="D2658" s="285" t="s">
        <v>11313</v>
      </c>
    </row>
    <row r="2659">
      <c r="A2659" s="283">
        <v>48.0</v>
      </c>
      <c r="B2659" s="284">
        <v>277.0</v>
      </c>
      <c r="C2659" s="285" t="str">
        <f t="shared" si="1"/>
        <v>48 277</v>
      </c>
      <c r="D2659" s="285" t="s">
        <v>11314</v>
      </c>
    </row>
    <row r="2660">
      <c r="A2660" s="283">
        <v>48.0</v>
      </c>
      <c r="B2660" s="284">
        <v>279.0</v>
      </c>
      <c r="C2660" s="285" t="str">
        <f t="shared" si="1"/>
        <v>48 279</v>
      </c>
      <c r="D2660" s="285" t="s">
        <v>11315</v>
      </c>
    </row>
    <row r="2661">
      <c r="A2661" s="283">
        <v>48.0</v>
      </c>
      <c r="B2661" s="284">
        <v>281.0</v>
      </c>
      <c r="C2661" s="285" t="str">
        <f t="shared" si="1"/>
        <v>48 281</v>
      </c>
      <c r="D2661" s="285" t="s">
        <v>11316</v>
      </c>
    </row>
    <row r="2662">
      <c r="A2662" s="283">
        <v>48.0</v>
      </c>
      <c r="B2662" s="284">
        <v>283.0</v>
      </c>
      <c r="C2662" s="285" t="str">
        <f t="shared" si="1"/>
        <v>48 283</v>
      </c>
      <c r="D2662" s="285" t="s">
        <v>11317</v>
      </c>
    </row>
    <row r="2663">
      <c r="A2663" s="283">
        <v>48.0</v>
      </c>
      <c r="B2663" s="284">
        <v>285.0</v>
      </c>
      <c r="C2663" s="285" t="str">
        <f t="shared" si="1"/>
        <v>48 285</v>
      </c>
      <c r="D2663" s="285" t="s">
        <v>11318</v>
      </c>
    </row>
    <row r="2664">
      <c r="A2664" s="283">
        <v>48.0</v>
      </c>
      <c r="B2664" s="284">
        <v>287.0</v>
      </c>
      <c r="C2664" s="285" t="str">
        <f t="shared" si="1"/>
        <v>48 287</v>
      </c>
      <c r="D2664" s="285" t="s">
        <v>11319</v>
      </c>
    </row>
    <row r="2665">
      <c r="A2665" s="283">
        <v>48.0</v>
      </c>
      <c r="B2665" s="284">
        <v>289.0</v>
      </c>
      <c r="C2665" s="285" t="str">
        <f t="shared" si="1"/>
        <v>48 289</v>
      </c>
      <c r="D2665" s="285" t="s">
        <v>11320</v>
      </c>
    </row>
    <row r="2666">
      <c r="A2666" s="283">
        <v>48.0</v>
      </c>
      <c r="B2666" s="284">
        <v>291.0</v>
      </c>
      <c r="C2666" s="285" t="str">
        <f t="shared" si="1"/>
        <v>48 291</v>
      </c>
      <c r="D2666" s="285" t="s">
        <v>11321</v>
      </c>
    </row>
    <row r="2667">
      <c r="A2667" s="283">
        <v>48.0</v>
      </c>
      <c r="B2667" s="284">
        <v>293.0</v>
      </c>
      <c r="C2667" s="285" t="str">
        <f t="shared" si="1"/>
        <v>48 293</v>
      </c>
      <c r="D2667" s="285" t="s">
        <v>11322</v>
      </c>
    </row>
    <row r="2668">
      <c r="A2668" s="283">
        <v>48.0</v>
      </c>
      <c r="B2668" s="284">
        <v>295.0</v>
      </c>
      <c r="C2668" s="285" t="str">
        <f t="shared" si="1"/>
        <v>48 295</v>
      </c>
      <c r="D2668" s="285" t="s">
        <v>11323</v>
      </c>
    </row>
    <row r="2669">
      <c r="A2669" s="283">
        <v>48.0</v>
      </c>
      <c r="B2669" s="284">
        <v>297.0</v>
      </c>
      <c r="C2669" s="285" t="str">
        <f t="shared" si="1"/>
        <v>48 297</v>
      </c>
      <c r="D2669" s="285" t="s">
        <v>11324</v>
      </c>
    </row>
    <row r="2670">
      <c r="A2670" s="283">
        <v>48.0</v>
      </c>
      <c r="B2670" s="284">
        <v>299.0</v>
      </c>
      <c r="C2670" s="285" t="str">
        <f t="shared" si="1"/>
        <v>48 299</v>
      </c>
      <c r="D2670" s="285" t="s">
        <v>11325</v>
      </c>
    </row>
    <row r="2671">
      <c r="A2671" s="283">
        <v>48.0</v>
      </c>
      <c r="B2671" s="284">
        <v>301.0</v>
      </c>
      <c r="C2671" s="285" t="str">
        <f t="shared" si="1"/>
        <v>48 301</v>
      </c>
      <c r="D2671" s="285" t="s">
        <v>11326</v>
      </c>
    </row>
    <row r="2672">
      <c r="A2672" s="283">
        <v>48.0</v>
      </c>
      <c r="B2672" s="284">
        <v>303.0</v>
      </c>
      <c r="C2672" s="285" t="str">
        <f t="shared" si="1"/>
        <v>48 303</v>
      </c>
      <c r="D2672" s="285" t="s">
        <v>11327</v>
      </c>
    </row>
    <row r="2673">
      <c r="A2673" s="283">
        <v>48.0</v>
      </c>
      <c r="B2673" s="284">
        <v>305.0</v>
      </c>
      <c r="C2673" s="285" t="str">
        <f t="shared" si="1"/>
        <v>48 305</v>
      </c>
      <c r="D2673" s="285" t="s">
        <v>11328</v>
      </c>
    </row>
    <row r="2674">
      <c r="A2674" s="283">
        <v>48.0</v>
      </c>
      <c r="B2674" s="284">
        <v>307.0</v>
      </c>
      <c r="C2674" s="285" t="str">
        <f t="shared" si="1"/>
        <v>48 307</v>
      </c>
      <c r="D2674" s="285" t="s">
        <v>11329</v>
      </c>
    </row>
    <row r="2675">
      <c r="A2675" s="283">
        <v>48.0</v>
      </c>
      <c r="B2675" s="284">
        <v>309.0</v>
      </c>
      <c r="C2675" s="285" t="str">
        <f t="shared" si="1"/>
        <v>48 309</v>
      </c>
      <c r="D2675" s="285" t="s">
        <v>11330</v>
      </c>
    </row>
    <row r="2676">
      <c r="A2676" s="283">
        <v>48.0</v>
      </c>
      <c r="B2676" s="284">
        <v>311.0</v>
      </c>
      <c r="C2676" s="285" t="str">
        <f t="shared" si="1"/>
        <v>48 311</v>
      </c>
      <c r="D2676" s="285" t="s">
        <v>11331</v>
      </c>
    </row>
    <row r="2677">
      <c r="A2677" s="283">
        <v>48.0</v>
      </c>
      <c r="B2677" s="284">
        <v>313.0</v>
      </c>
      <c r="C2677" s="285" t="str">
        <f t="shared" si="1"/>
        <v>48 313</v>
      </c>
      <c r="D2677" s="285" t="s">
        <v>11332</v>
      </c>
    </row>
    <row r="2678">
      <c r="A2678" s="283">
        <v>48.0</v>
      </c>
      <c r="B2678" s="284">
        <v>315.0</v>
      </c>
      <c r="C2678" s="285" t="str">
        <f t="shared" si="1"/>
        <v>48 315</v>
      </c>
      <c r="D2678" s="285" t="s">
        <v>11333</v>
      </c>
    </row>
    <row r="2679">
      <c r="A2679" s="283">
        <v>48.0</v>
      </c>
      <c r="B2679" s="284">
        <v>317.0</v>
      </c>
      <c r="C2679" s="285" t="str">
        <f t="shared" si="1"/>
        <v>48 317</v>
      </c>
      <c r="D2679" s="285" t="s">
        <v>11334</v>
      </c>
    </row>
    <row r="2680">
      <c r="A2680" s="283">
        <v>48.0</v>
      </c>
      <c r="B2680" s="284">
        <v>319.0</v>
      </c>
      <c r="C2680" s="285" t="str">
        <f t="shared" si="1"/>
        <v>48 319</v>
      </c>
      <c r="D2680" s="285" t="s">
        <v>11335</v>
      </c>
    </row>
    <row r="2681">
      <c r="A2681" s="283">
        <v>48.0</v>
      </c>
      <c r="B2681" s="284">
        <v>321.0</v>
      </c>
      <c r="C2681" s="285" t="str">
        <f t="shared" si="1"/>
        <v>48 321</v>
      </c>
      <c r="D2681" s="285" t="s">
        <v>11336</v>
      </c>
    </row>
    <row r="2682">
      <c r="A2682" s="283">
        <v>48.0</v>
      </c>
      <c r="B2682" s="284">
        <v>323.0</v>
      </c>
      <c r="C2682" s="285" t="str">
        <f t="shared" si="1"/>
        <v>48 323</v>
      </c>
      <c r="D2682" s="285" t="s">
        <v>11337</v>
      </c>
    </row>
    <row r="2683">
      <c r="A2683" s="283">
        <v>48.0</v>
      </c>
      <c r="B2683" s="284">
        <v>325.0</v>
      </c>
      <c r="C2683" s="285" t="str">
        <f t="shared" si="1"/>
        <v>48 325</v>
      </c>
      <c r="D2683" s="285" t="s">
        <v>11338</v>
      </c>
    </row>
    <row r="2684">
      <c r="A2684" s="283">
        <v>48.0</v>
      </c>
      <c r="B2684" s="284">
        <v>327.0</v>
      </c>
      <c r="C2684" s="285" t="str">
        <f t="shared" si="1"/>
        <v>48 327</v>
      </c>
      <c r="D2684" s="285" t="s">
        <v>11339</v>
      </c>
    </row>
    <row r="2685">
      <c r="A2685" s="283">
        <v>48.0</v>
      </c>
      <c r="B2685" s="284">
        <v>329.0</v>
      </c>
      <c r="C2685" s="285" t="str">
        <f t="shared" si="1"/>
        <v>48 329</v>
      </c>
      <c r="D2685" s="285" t="s">
        <v>11340</v>
      </c>
    </row>
    <row r="2686">
      <c r="A2686" s="283">
        <v>48.0</v>
      </c>
      <c r="B2686" s="284">
        <v>331.0</v>
      </c>
      <c r="C2686" s="285" t="str">
        <f t="shared" si="1"/>
        <v>48 331</v>
      </c>
      <c r="D2686" s="285" t="s">
        <v>11341</v>
      </c>
    </row>
    <row r="2687">
      <c r="A2687" s="283">
        <v>48.0</v>
      </c>
      <c r="B2687" s="284">
        <v>333.0</v>
      </c>
      <c r="C2687" s="285" t="str">
        <f t="shared" si="1"/>
        <v>48 333</v>
      </c>
      <c r="D2687" s="285" t="s">
        <v>11342</v>
      </c>
    </row>
    <row r="2688">
      <c r="A2688" s="283">
        <v>48.0</v>
      </c>
      <c r="B2688" s="284">
        <v>335.0</v>
      </c>
      <c r="C2688" s="285" t="str">
        <f t="shared" si="1"/>
        <v>48 335</v>
      </c>
      <c r="D2688" s="285" t="s">
        <v>11343</v>
      </c>
    </row>
    <row r="2689">
      <c r="A2689" s="283">
        <v>48.0</v>
      </c>
      <c r="B2689" s="284">
        <v>337.0</v>
      </c>
      <c r="C2689" s="285" t="str">
        <f t="shared" si="1"/>
        <v>48 337</v>
      </c>
      <c r="D2689" s="285" t="s">
        <v>11344</v>
      </c>
    </row>
    <row r="2690">
      <c r="A2690" s="283">
        <v>48.0</v>
      </c>
      <c r="B2690" s="284">
        <v>339.0</v>
      </c>
      <c r="C2690" s="285" t="str">
        <f t="shared" si="1"/>
        <v>48 339</v>
      </c>
      <c r="D2690" s="285" t="s">
        <v>11345</v>
      </c>
    </row>
    <row r="2691">
      <c r="A2691" s="283">
        <v>48.0</v>
      </c>
      <c r="B2691" s="284">
        <v>341.0</v>
      </c>
      <c r="C2691" s="285" t="str">
        <f t="shared" si="1"/>
        <v>48 341</v>
      </c>
      <c r="D2691" s="285" t="s">
        <v>11346</v>
      </c>
    </row>
    <row r="2692">
      <c r="A2692" s="283">
        <v>48.0</v>
      </c>
      <c r="B2692" s="284">
        <v>343.0</v>
      </c>
      <c r="C2692" s="285" t="str">
        <f t="shared" si="1"/>
        <v>48 343</v>
      </c>
      <c r="D2692" s="285" t="s">
        <v>11347</v>
      </c>
    </row>
    <row r="2693">
      <c r="A2693" s="283">
        <v>48.0</v>
      </c>
      <c r="B2693" s="284">
        <v>345.0</v>
      </c>
      <c r="C2693" s="285" t="str">
        <f t="shared" si="1"/>
        <v>48 345</v>
      </c>
      <c r="D2693" s="285" t="s">
        <v>11348</v>
      </c>
    </row>
    <row r="2694">
      <c r="A2694" s="283">
        <v>48.0</v>
      </c>
      <c r="B2694" s="284">
        <v>347.0</v>
      </c>
      <c r="C2694" s="285" t="str">
        <f t="shared" si="1"/>
        <v>48 347</v>
      </c>
      <c r="D2694" s="285" t="s">
        <v>11349</v>
      </c>
    </row>
    <row r="2695">
      <c r="A2695" s="283">
        <v>48.0</v>
      </c>
      <c r="B2695" s="284">
        <v>349.0</v>
      </c>
      <c r="C2695" s="285" t="str">
        <f t="shared" si="1"/>
        <v>48 349</v>
      </c>
      <c r="D2695" s="285" t="s">
        <v>11350</v>
      </c>
    </row>
    <row r="2696">
      <c r="A2696" s="283">
        <v>48.0</v>
      </c>
      <c r="B2696" s="284">
        <v>351.0</v>
      </c>
      <c r="C2696" s="285" t="str">
        <f t="shared" si="1"/>
        <v>48 351</v>
      </c>
      <c r="D2696" s="285" t="s">
        <v>11351</v>
      </c>
    </row>
    <row r="2697">
      <c r="A2697" s="283">
        <v>48.0</v>
      </c>
      <c r="B2697" s="284">
        <v>353.0</v>
      </c>
      <c r="C2697" s="285" t="str">
        <f t="shared" si="1"/>
        <v>48 353</v>
      </c>
      <c r="D2697" s="285" t="s">
        <v>11352</v>
      </c>
    </row>
    <row r="2698">
      <c r="A2698" s="283">
        <v>48.0</v>
      </c>
      <c r="B2698" s="284">
        <v>355.0</v>
      </c>
      <c r="C2698" s="285" t="str">
        <f t="shared" si="1"/>
        <v>48 355</v>
      </c>
      <c r="D2698" s="285" t="s">
        <v>11353</v>
      </c>
    </row>
    <row r="2699">
      <c r="A2699" s="283">
        <v>48.0</v>
      </c>
      <c r="B2699" s="284">
        <v>357.0</v>
      </c>
      <c r="C2699" s="285" t="str">
        <f t="shared" si="1"/>
        <v>48 357</v>
      </c>
      <c r="D2699" s="285" t="s">
        <v>11354</v>
      </c>
    </row>
    <row r="2700">
      <c r="A2700" s="283">
        <v>48.0</v>
      </c>
      <c r="B2700" s="284">
        <v>359.0</v>
      </c>
      <c r="C2700" s="285" t="str">
        <f t="shared" si="1"/>
        <v>48 359</v>
      </c>
      <c r="D2700" s="285" t="s">
        <v>11355</v>
      </c>
    </row>
    <row r="2701">
      <c r="A2701" s="283">
        <v>48.0</v>
      </c>
      <c r="B2701" s="284">
        <v>361.0</v>
      </c>
      <c r="C2701" s="285" t="str">
        <f t="shared" si="1"/>
        <v>48 361</v>
      </c>
      <c r="D2701" s="285" t="s">
        <v>11356</v>
      </c>
    </row>
    <row r="2702">
      <c r="A2702" s="283">
        <v>48.0</v>
      </c>
      <c r="B2702" s="284">
        <v>363.0</v>
      </c>
      <c r="C2702" s="285" t="str">
        <f t="shared" si="1"/>
        <v>48 363</v>
      </c>
      <c r="D2702" s="285" t="s">
        <v>11357</v>
      </c>
    </row>
    <row r="2703">
      <c r="A2703" s="283">
        <v>48.0</v>
      </c>
      <c r="B2703" s="284">
        <v>365.0</v>
      </c>
      <c r="C2703" s="285" t="str">
        <f t="shared" si="1"/>
        <v>48 365</v>
      </c>
      <c r="D2703" s="285" t="s">
        <v>11358</v>
      </c>
    </row>
    <row r="2704">
      <c r="A2704" s="283">
        <v>48.0</v>
      </c>
      <c r="B2704" s="284">
        <v>367.0</v>
      </c>
      <c r="C2704" s="285" t="str">
        <f t="shared" si="1"/>
        <v>48 367</v>
      </c>
      <c r="D2704" s="285" t="s">
        <v>11359</v>
      </c>
    </row>
    <row r="2705">
      <c r="A2705" s="283">
        <v>48.0</v>
      </c>
      <c r="B2705" s="284">
        <v>369.0</v>
      </c>
      <c r="C2705" s="285" t="str">
        <f t="shared" si="1"/>
        <v>48 369</v>
      </c>
      <c r="D2705" s="285" t="s">
        <v>11360</v>
      </c>
    </row>
    <row r="2706">
      <c r="A2706" s="283">
        <v>48.0</v>
      </c>
      <c r="B2706" s="284">
        <v>371.0</v>
      </c>
      <c r="C2706" s="285" t="str">
        <f t="shared" si="1"/>
        <v>48 371</v>
      </c>
      <c r="D2706" s="285" t="s">
        <v>11361</v>
      </c>
    </row>
    <row r="2707">
      <c r="A2707" s="283">
        <v>48.0</v>
      </c>
      <c r="B2707" s="284">
        <v>373.0</v>
      </c>
      <c r="C2707" s="285" t="str">
        <f t="shared" si="1"/>
        <v>48 373</v>
      </c>
      <c r="D2707" s="285" t="s">
        <v>11362</v>
      </c>
    </row>
    <row r="2708">
      <c r="A2708" s="283">
        <v>48.0</v>
      </c>
      <c r="B2708" s="284">
        <v>375.0</v>
      </c>
      <c r="C2708" s="285" t="str">
        <f t="shared" si="1"/>
        <v>48 375</v>
      </c>
      <c r="D2708" s="285" t="s">
        <v>11363</v>
      </c>
    </row>
    <row r="2709">
      <c r="A2709" s="283">
        <v>48.0</v>
      </c>
      <c r="B2709" s="284">
        <v>377.0</v>
      </c>
      <c r="C2709" s="285" t="str">
        <f t="shared" si="1"/>
        <v>48 377</v>
      </c>
      <c r="D2709" s="285" t="s">
        <v>11364</v>
      </c>
    </row>
    <row r="2710">
      <c r="A2710" s="283">
        <v>48.0</v>
      </c>
      <c r="B2710" s="284">
        <v>379.0</v>
      </c>
      <c r="C2710" s="285" t="str">
        <f t="shared" si="1"/>
        <v>48 379</v>
      </c>
      <c r="D2710" s="285" t="s">
        <v>11365</v>
      </c>
    </row>
    <row r="2711">
      <c r="A2711" s="283">
        <v>48.0</v>
      </c>
      <c r="B2711" s="284">
        <v>381.0</v>
      </c>
      <c r="C2711" s="285" t="str">
        <f t="shared" si="1"/>
        <v>48 381</v>
      </c>
      <c r="D2711" s="285" t="s">
        <v>11366</v>
      </c>
    </row>
    <row r="2712">
      <c r="A2712" s="283">
        <v>48.0</v>
      </c>
      <c r="B2712" s="284">
        <v>383.0</v>
      </c>
      <c r="C2712" s="285" t="str">
        <f t="shared" si="1"/>
        <v>48 383</v>
      </c>
      <c r="D2712" s="285" t="s">
        <v>11367</v>
      </c>
    </row>
    <row r="2713">
      <c r="A2713" s="283">
        <v>48.0</v>
      </c>
      <c r="B2713" s="284">
        <v>385.0</v>
      </c>
      <c r="C2713" s="285" t="str">
        <f t="shared" si="1"/>
        <v>48 385</v>
      </c>
      <c r="D2713" s="285" t="s">
        <v>11368</v>
      </c>
    </row>
    <row r="2714">
      <c r="A2714" s="283">
        <v>48.0</v>
      </c>
      <c r="B2714" s="284">
        <v>387.0</v>
      </c>
      <c r="C2714" s="285" t="str">
        <f t="shared" si="1"/>
        <v>48 387</v>
      </c>
      <c r="D2714" s="285" t="s">
        <v>11369</v>
      </c>
    </row>
    <row r="2715">
      <c r="A2715" s="283">
        <v>48.0</v>
      </c>
      <c r="B2715" s="284">
        <v>389.0</v>
      </c>
      <c r="C2715" s="285" t="str">
        <f t="shared" si="1"/>
        <v>48 389</v>
      </c>
      <c r="D2715" s="285" t="s">
        <v>11370</v>
      </c>
    </row>
    <row r="2716">
      <c r="A2716" s="283">
        <v>48.0</v>
      </c>
      <c r="B2716" s="284">
        <v>391.0</v>
      </c>
      <c r="C2716" s="285" t="str">
        <f t="shared" si="1"/>
        <v>48 391</v>
      </c>
      <c r="D2716" s="285" t="s">
        <v>11371</v>
      </c>
    </row>
    <row r="2717">
      <c r="A2717" s="283">
        <v>48.0</v>
      </c>
      <c r="B2717" s="284">
        <v>393.0</v>
      </c>
      <c r="C2717" s="285" t="str">
        <f t="shared" si="1"/>
        <v>48 393</v>
      </c>
      <c r="D2717" s="285" t="s">
        <v>11372</v>
      </c>
    </row>
    <row r="2718">
      <c r="A2718" s="283">
        <v>48.0</v>
      </c>
      <c r="B2718" s="284">
        <v>395.0</v>
      </c>
      <c r="C2718" s="285" t="str">
        <f t="shared" si="1"/>
        <v>48 395</v>
      </c>
      <c r="D2718" s="285" t="s">
        <v>11373</v>
      </c>
    </row>
    <row r="2719">
      <c r="A2719" s="283">
        <v>48.0</v>
      </c>
      <c r="B2719" s="284">
        <v>397.0</v>
      </c>
      <c r="C2719" s="285" t="str">
        <f t="shared" si="1"/>
        <v>48 397</v>
      </c>
      <c r="D2719" s="285" t="s">
        <v>11374</v>
      </c>
    </row>
    <row r="2720">
      <c r="A2720" s="283">
        <v>48.0</v>
      </c>
      <c r="B2720" s="284">
        <v>399.0</v>
      </c>
      <c r="C2720" s="285" t="str">
        <f t="shared" si="1"/>
        <v>48 399</v>
      </c>
      <c r="D2720" s="285" t="s">
        <v>11375</v>
      </c>
    </row>
    <row r="2721">
      <c r="A2721" s="283">
        <v>48.0</v>
      </c>
      <c r="B2721" s="284">
        <v>401.0</v>
      </c>
      <c r="C2721" s="285" t="str">
        <f t="shared" si="1"/>
        <v>48 401</v>
      </c>
      <c r="D2721" s="285" t="s">
        <v>11376</v>
      </c>
    </row>
    <row r="2722">
      <c r="A2722" s="283">
        <v>48.0</v>
      </c>
      <c r="B2722" s="284">
        <v>403.0</v>
      </c>
      <c r="C2722" s="285" t="str">
        <f t="shared" si="1"/>
        <v>48 403</v>
      </c>
      <c r="D2722" s="285" t="s">
        <v>11377</v>
      </c>
    </row>
    <row r="2723">
      <c r="A2723" s="283">
        <v>48.0</v>
      </c>
      <c r="B2723" s="284">
        <v>405.0</v>
      </c>
      <c r="C2723" s="285" t="str">
        <f t="shared" si="1"/>
        <v>48 405</v>
      </c>
      <c r="D2723" s="285" t="s">
        <v>11378</v>
      </c>
    </row>
    <row r="2724">
      <c r="A2724" s="283">
        <v>48.0</v>
      </c>
      <c r="B2724" s="284">
        <v>407.0</v>
      </c>
      <c r="C2724" s="285" t="str">
        <f t="shared" si="1"/>
        <v>48 407</v>
      </c>
      <c r="D2724" s="285" t="s">
        <v>11379</v>
      </c>
    </row>
    <row r="2725">
      <c r="A2725" s="283">
        <v>48.0</v>
      </c>
      <c r="B2725" s="284">
        <v>409.0</v>
      </c>
      <c r="C2725" s="285" t="str">
        <f t="shared" si="1"/>
        <v>48 409</v>
      </c>
      <c r="D2725" s="285" t="s">
        <v>11380</v>
      </c>
    </row>
    <row r="2726">
      <c r="A2726" s="283">
        <v>48.0</v>
      </c>
      <c r="B2726" s="284">
        <v>411.0</v>
      </c>
      <c r="C2726" s="285" t="str">
        <f t="shared" si="1"/>
        <v>48 411</v>
      </c>
      <c r="D2726" s="285" t="s">
        <v>11381</v>
      </c>
    </row>
    <row r="2727">
      <c r="A2727" s="283">
        <v>48.0</v>
      </c>
      <c r="B2727" s="284">
        <v>413.0</v>
      </c>
      <c r="C2727" s="285" t="str">
        <f t="shared" si="1"/>
        <v>48 413</v>
      </c>
      <c r="D2727" s="285" t="s">
        <v>11382</v>
      </c>
    </row>
    <row r="2728">
      <c r="A2728" s="283">
        <v>48.0</v>
      </c>
      <c r="B2728" s="284">
        <v>415.0</v>
      </c>
      <c r="C2728" s="285" t="str">
        <f t="shared" si="1"/>
        <v>48 415</v>
      </c>
      <c r="D2728" s="285" t="s">
        <v>11383</v>
      </c>
    </row>
    <row r="2729">
      <c r="A2729" s="283">
        <v>48.0</v>
      </c>
      <c r="B2729" s="284">
        <v>417.0</v>
      </c>
      <c r="C2729" s="285" t="str">
        <f t="shared" si="1"/>
        <v>48 417</v>
      </c>
      <c r="D2729" s="285" t="s">
        <v>11384</v>
      </c>
    </row>
    <row r="2730">
      <c r="A2730" s="283">
        <v>48.0</v>
      </c>
      <c r="B2730" s="284">
        <v>419.0</v>
      </c>
      <c r="C2730" s="285" t="str">
        <f t="shared" si="1"/>
        <v>48 419</v>
      </c>
      <c r="D2730" s="285" t="s">
        <v>11385</v>
      </c>
    </row>
    <row r="2731">
      <c r="A2731" s="283">
        <v>48.0</v>
      </c>
      <c r="B2731" s="284">
        <v>421.0</v>
      </c>
      <c r="C2731" s="285" t="str">
        <f t="shared" si="1"/>
        <v>48 421</v>
      </c>
      <c r="D2731" s="285" t="s">
        <v>11386</v>
      </c>
    </row>
    <row r="2732">
      <c r="A2732" s="283">
        <v>48.0</v>
      </c>
      <c r="B2732" s="284">
        <v>423.0</v>
      </c>
      <c r="C2732" s="285" t="str">
        <f t="shared" si="1"/>
        <v>48 423</v>
      </c>
      <c r="D2732" s="285" t="s">
        <v>11387</v>
      </c>
    </row>
    <row r="2733">
      <c r="A2733" s="283">
        <v>48.0</v>
      </c>
      <c r="B2733" s="284">
        <v>425.0</v>
      </c>
      <c r="C2733" s="285" t="str">
        <f t="shared" si="1"/>
        <v>48 425</v>
      </c>
      <c r="D2733" s="285" t="s">
        <v>11388</v>
      </c>
    </row>
    <row r="2734">
      <c r="A2734" s="283">
        <v>48.0</v>
      </c>
      <c r="B2734" s="284">
        <v>427.0</v>
      </c>
      <c r="C2734" s="285" t="str">
        <f t="shared" si="1"/>
        <v>48 427</v>
      </c>
      <c r="D2734" s="285" t="s">
        <v>11389</v>
      </c>
    </row>
    <row r="2735">
      <c r="A2735" s="283">
        <v>48.0</v>
      </c>
      <c r="B2735" s="284">
        <v>429.0</v>
      </c>
      <c r="C2735" s="285" t="str">
        <f t="shared" si="1"/>
        <v>48 429</v>
      </c>
      <c r="D2735" s="285" t="s">
        <v>11390</v>
      </c>
    </row>
    <row r="2736">
      <c r="A2736" s="283">
        <v>48.0</v>
      </c>
      <c r="B2736" s="284">
        <v>431.0</v>
      </c>
      <c r="C2736" s="285" t="str">
        <f t="shared" si="1"/>
        <v>48 431</v>
      </c>
      <c r="D2736" s="285" t="s">
        <v>11391</v>
      </c>
    </row>
    <row r="2737">
      <c r="A2737" s="283">
        <v>48.0</v>
      </c>
      <c r="B2737" s="284">
        <v>433.0</v>
      </c>
      <c r="C2737" s="285" t="str">
        <f t="shared" si="1"/>
        <v>48 433</v>
      </c>
      <c r="D2737" s="285" t="s">
        <v>11392</v>
      </c>
    </row>
    <row r="2738">
      <c r="A2738" s="283">
        <v>48.0</v>
      </c>
      <c r="B2738" s="284">
        <v>435.0</v>
      </c>
      <c r="C2738" s="285" t="str">
        <f t="shared" si="1"/>
        <v>48 435</v>
      </c>
      <c r="D2738" s="285" t="s">
        <v>11393</v>
      </c>
    </row>
    <row r="2739">
      <c r="A2739" s="283">
        <v>48.0</v>
      </c>
      <c r="B2739" s="284">
        <v>437.0</v>
      </c>
      <c r="C2739" s="285" t="str">
        <f t="shared" si="1"/>
        <v>48 437</v>
      </c>
      <c r="D2739" s="285" t="s">
        <v>11394</v>
      </c>
    </row>
    <row r="2740">
      <c r="A2740" s="283">
        <v>48.0</v>
      </c>
      <c r="B2740" s="284">
        <v>439.0</v>
      </c>
      <c r="C2740" s="285" t="str">
        <f t="shared" si="1"/>
        <v>48 439</v>
      </c>
      <c r="D2740" s="285" t="s">
        <v>11395</v>
      </c>
    </row>
    <row r="2741">
      <c r="A2741" s="283">
        <v>48.0</v>
      </c>
      <c r="B2741" s="284">
        <v>441.0</v>
      </c>
      <c r="C2741" s="285" t="str">
        <f t="shared" si="1"/>
        <v>48 441</v>
      </c>
      <c r="D2741" s="285" t="s">
        <v>11396</v>
      </c>
    </row>
    <row r="2742">
      <c r="A2742" s="283">
        <v>48.0</v>
      </c>
      <c r="B2742" s="284">
        <v>443.0</v>
      </c>
      <c r="C2742" s="285" t="str">
        <f t="shared" si="1"/>
        <v>48 443</v>
      </c>
      <c r="D2742" s="285" t="s">
        <v>11397</v>
      </c>
    </row>
    <row r="2743">
      <c r="A2743" s="283">
        <v>48.0</v>
      </c>
      <c r="B2743" s="284">
        <v>445.0</v>
      </c>
      <c r="C2743" s="285" t="str">
        <f t="shared" si="1"/>
        <v>48 445</v>
      </c>
      <c r="D2743" s="285" t="s">
        <v>11398</v>
      </c>
    </row>
    <row r="2744">
      <c r="A2744" s="283">
        <v>48.0</v>
      </c>
      <c r="B2744" s="284">
        <v>447.0</v>
      </c>
      <c r="C2744" s="285" t="str">
        <f t="shared" si="1"/>
        <v>48 447</v>
      </c>
      <c r="D2744" s="285" t="s">
        <v>11399</v>
      </c>
    </row>
    <row r="2745">
      <c r="A2745" s="283">
        <v>48.0</v>
      </c>
      <c r="B2745" s="284">
        <v>449.0</v>
      </c>
      <c r="C2745" s="285" t="str">
        <f t="shared" si="1"/>
        <v>48 449</v>
      </c>
      <c r="D2745" s="285" t="s">
        <v>11400</v>
      </c>
    </row>
    <row r="2746">
      <c r="A2746" s="283">
        <v>48.0</v>
      </c>
      <c r="B2746" s="284">
        <v>451.0</v>
      </c>
      <c r="C2746" s="285" t="str">
        <f t="shared" si="1"/>
        <v>48 451</v>
      </c>
      <c r="D2746" s="285" t="s">
        <v>11401</v>
      </c>
    </row>
    <row r="2747">
      <c r="A2747" s="283">
        <v>48.0</v>
      </c>
      <c r="B2747" s="284">
        <v>453.0</v>
      </c>
      <c r="C2747" s="285" t="str">
        <f t="shared" si="1"/>
        <v>48 453</v>
      </c>
      <c r="D2747" s="285" t="s">
        <v>11402</v>
      </c>
    </row>
    <row r="2748">
      <c r="A2748" s="283">
        <v>48.0</v>
      </c>
      <c r="B2748" s="284">
        <v>455.0</v>
      </c>
      <c r="C2748" s="285" t="str">
        <f t="shared" si="1"/>
        <v>48 455</v>
      </c>
      <c r="D2748" s="285" t="s">
        <v>11403</v>
      </c>
    </row>
    <row r="2749">
      <c r="A2749" s="283">
        <v>48.0</v>
      </c>
      <c r="B2749" s="284">
        <v>457.0</v>
      </c>
      <c r="C2749" s="285" t="str">
        <f t="shared" si="1"/>
        <v>48 457</v>
      </c>
      <c r="D2749" s="285" t="s">
        <v>11404</v>
      </c>
    </row>
    <row r="2750">
      <c r="A2750" s="283">
        <v>48.0</v>
      </c>
      <c r="B2750" s="284">
        <v>459.0</v>
      </c>
      <c r="C2750" s="285" t="str">
        <f t="shared" si="1"/>
        <v>48 459</v>
      </c>
      <c r="D2750" s="285" t="s">
        <v>11405</v>
      </c>
    </row>
    <row r="2751">
      <c r="A2751" s="283">
        <v>48.0</v>
      </c>
      <c r="B2751" s="284">
        <v>461.0</v>
      </c>
      <c r="C2751" s="285" t="str">
        <f t="shared" si="1"/>
        <v>48 461</v>
      </c>
      <c r="D2751" s="285" t="s">
        <v>11406</v>
      </c>
    </row>
    <row r="2752">
      <c r="A2752" s="283">
        <v>48.0</v>
      </c>
      <c r="B2752" s="284">
        <v>463.0</v>
      </c>
      <c r="C2752" s="285" t="str">
        <f t="shared" si="1"/>
        <v>48 463</v>
      </c>
      <c r="D2752" s="285" t="s">
        <v>11407</v>
      </c>
    </row>
    <row r="2753">
      <c r="A2753" s="283">
        <v>48.0</v>
      </c>
      <c r="B2753" s="284">
        <v>465.0</v>
      </c>
      <c r="C2753" s="285" t="str">
        <f t="shared" si="1"/>
        <v>48 465</v>
      </c>
      <c r="D2753" s="285" t="s">
        <v>11408</v>
      </c>
    </row>
    <row r="2754">
      <c r="A2754" s="283">
        <v>48.0</v>
      </c>
      <c r="B2754" s="284">
        <v>467.0</v>
      </c>
      <c r="C2754" s="285" t="str">
        <f t="shared" si="1"/>
        <v>48 467</v>
      </c>
      <c r="D2754" s="285" t="s">
        <v>11409</v>
      </c>
    </row>
    <row r="2755">
      <c r="A2755" s="283">
        <v>48.0</v>
      </c>
      <c r="B2755" s="284">
        <v>469.0</v>
      </c>
      <c r="C2755" s="285" t="str">
        <f t="shared" si="1"/>
        <v>48 469</v>
      </c>
      <c r="D2755" s="285" t="s">
        <v>11410</v>
      </c>
    </row>
    <row r="2756">
      <c r="A2756" s="283">
        <v>48.0</v>
      </c>
      <c r="B2756" s="284">
        <v>471.0</v>
      </c>
      <c r="C2756" s="285" t="str">
        <f t="shared" si="1"/>
        <v>48 471</v>
      </c>
      <c r="D2756" s="285" t="s">
        <v>11411</v>
      </c>
    </row>
    <row r="2757">
      <c r="A2757" s="283">
        <v>48.0</v>
      </c>
      <c r="B2757" s="284">
        <v>473.0</v>
      </c>
      <c r="C2757" s="285" t="str">
        <f t="shared" si="1"/>
        <v>48 473</v>
      </c>
      <c r="D2757" s="285" t="s">
        <v>11412</v>
      </c>
    </row>
    <row r="2758">
      <c r="A2758" s="283">
        <v>48.0</v>
      </c>
      <c r="B2758" s="284">
        <v>475.0</v>
      </c>
      <c r="C2758" s="285" t="str">
        <f t="shared" si="1"/>
        <v>48 475</v>
      </c>
      <c r="D2758" s="285" t="s">
        <v>11413</v>
      </c>
    </row>
    <row r="2759">
      <c r="A2759" s="283">
        <v>48.0</v>
      </c>
      <c r="B2759" s="284">
        <v>477.0</v>
      </c>
      <c r="C2759" s="285" t="str">
        <f t="shared" si="1"/>
        <v>48 477</v>
      </c>
      <c r="D2759" s="285" t="s">
        <v>11414</v>
      </c>
    </row>
    <row r="2760">
      <c r="A2760" s="283">
        <v>48.0</v>
      </c>
      <c r="B2760" s="284">
        <v>479.0</v>
      </c>
      <c r="C2760" s="285" t="str">
        <f t="shared" si="1"/>
        <v>48 479</v>
      </c>
      <c r="D2760" s="285" t="s">
        <v>11415</v>
      </c>
    </row>
    <row r="2761">
      <c r="A2761" s="283">
        <v>48.0</v>
      </c>
      <c r="B2761" s="284">
        <v>481.0</v>
      </c>
      <c r="C2761" s="285" t="str">
        <f t="shared" si="1"/>
        <v>48 481</v>
      </c>
      <c r="D2761" s="285" t="s">
        <v>11416</v>
      </c>
    </row>
    <row r="2762">
      <c r="A2762" s="283">
        <v>48.0</v>
      </c>
      <c r="B2762" s="284">
        <v>483.0</v>
      </c>
      <c r="C2762" s="285" t="str">
        <f t="shared" si="1"/>
        <v>48 483</v>
      </c>
      <c r="D2762" s="285" t="s">
        <v>11417</v>
      </c>
    </row>
    <row r="2763">
      <c r="A2763" s="283">
        <v>48.0</v>
      </c>
      <c r="B2763" s="284">
        <v>485.0</v>
      </c>
      <c r="C2763" s="285" t="str">
        <f t="shared" si="1"/>
        <v>48 485</v>
      </c>
      <c r="D2763" s="285" t="s">
        <v>11418</v>
      </c>
    </row>
    <row r="2764">
      <c r="A2764" s="283">
        <v>48.0</v>
      </c>
      <c r="B2764" s="284">
        <v>487.0</v>
      </c>
      <c r="C2764" s="285" t="str">
        <f t="shared" si="1"/>
        <v>48 487</v>
      </c>
      <c r="D2764" s="285" t="s">
        <v>11419</v>
      </c>
    </row>
    <row r="2765">
      <c r="A2765" s="283">
        <v>48.0</v>
      </c>
      <c r="B2765" s="284">
        <v>489.0</v>
      </c>
      <c r="C2765" s="285" t="str">
        <f t="shared" si="1"/>
        <v>48 489</v>
      </c>
      <c r="D2765" s="285" t="s">
        <v>11420</v>
      </c>
    </row>
    <row r="2766">
      <c r="A2766" s="283">
        <v>48.0</v>
      </c>
      <c r="B2766" s="284">
        <v>491.0</v>
      </c>
      <c r="C2766" s="285" t="str">
        <f t="shared" si="1"/>
        <v>48 491</v>
      </c>
      <c r="D2766" s="285" t="s">
        <v>11421</v>
      </c>
    </row>
    <row r="2767">
      <c r="A2767" s="283">
        <v>48.0</v>
      </c>
      <c r="B2767" s="284">
        <v>493.0</v>
      </c>
      <c r="C2767" s="285" t="str">
        <f t="shared" si="1"/>
        <v>48 493</v>
      </c>
      <c r="D2767" s="285" t="s">
        <v>11422</v>
      </c>
    </row>
    <row r="2768">
      <c r="A2768" s="283">
        <v>48.0</v>
      </c>
      <c r="B2768" s="284">
        <v>495.0</v>
      </c>
      <c r="C2768" s="285" t="str">
        <f t="shared" si="1"/>
        <v>48 495</v>
      </c>
      <c r="D2768" s="285" t="s">
        <v>11423</v>
      </c>
    </row>
    <row r="2769">
      <c r="A2769" s="283">
        <v>48.0</v>
      </c>
      <c r="B2769" s="284">
        <v>497.0</v>
      </c>
      <c r="C2769" s="285" t="str">
        <f t="shared" si="1"/>
        <v>48 497</v>
      </c>
      <c r="D2769" s="285" t="s">
        <v>11424</v>
      </c>
    </row>
    <row r="2770">
      <c r="A2770" s="283">
        <v>48.0</v>
      </c>
      <c r="B2770" s="284">
        <v>499.0</v>
      </c>
      <c r="C2770" s="285" t="str">
        <f t="shared" si="1"/>
        <v>48 499</v>
      </c>
      <c r="D2770" s="285" t="s">
        <v>11425</v>
      </c>
    </row>
    <row r="2771">
      <c r="A2771" s="283">
        <v>48.0</v>
      </c>
      <c r="B2771" s="284">
        <v>501.0</v>
      </c>
      <c r="C2771" s="285" t="str">
        <f t="shared" si="1"/>
        <v>48 501</v>
      </c>
      <c r="D2771" s="285" t="s">
        <v>11426</v>
      </c>
    </row>
    <row r="2772">
      <c r="A2772" s="283">
        <v>48.0</v>
      </c>
      <c r="B2772" s="284">
        <v>503.0</v>
      </c>
      <c r="C2772" s="285" t="str">
        <f t="shared" si="1"/>
        <v>48 503</v>
      </c>
      <c r="D2772" s="285" t="s">
        <v>11427</v>
      </c>
    </row>
    <row r="2773">
      <c r="A2773" s="283">
        <v>48.0</v>
      </c>
      <c r="B2773" s="284">
        <v>505.0</v>
      </c>
      <c r="C2773" s="285" t="str">
        <f t="shared" si="1"/>
        <v>48 505</v>
      </c>
      <c r="D2773" s="285" t="s">
        <v>11428</v>
      </c>
    </row>
    <row r="2774">
      <c r="A2774" s="283">
        <v>48.0</v>
      </c>
      <c r="B2774" s="284">
        <v>507.0</v>
      </c>
      <c r="C2774" s="285" t="str">
        <f t="shared" si="1"/>
        <v>48 507</v>
      </c>
      <c r="D2774" s="285" t="s">
        <v>11429</v>
      </c>
    </row>
    <row r="2775">
      <c r="A2775" s="283">
        <v>49.0</v>
      </c>
      <c r="B2775" s="284">
        <v>1.0</v>
      </c>
      <c r="C2775" s="285" t="str">
        <f t="shared" si="1"/>
        <v>49 1</v>
      </c>
      <c r="D2775" s="285" t="s">
        <v>11430</v>
      </c>
    </row>
    <row r="2776">
      <c r="A2776" s="283">
        <v>49.0</v>
      </c>
      <c r="B2776" s="284">
        <v>3.0</v>
      </c>
      <c r="C2776" s="285" t="str">
        <f t="shared" si="1"/>
        <v>49 3</v>
      </c>
      <c r="D2776" s="285" t="s">
        <v>11431</v>
      </c>
    </row>
    <row r="2777">
      <c r="A2777" s="283">
        <v>49.0</v>
      </c>
      <c r="B2777" s="284">
        <v>5.0</v>
      </c>
      <c r="C2777" s="285" t="str">
        <f t="shared" si="1"/>
        <v>49 5</v>
      </c>
      <c r="D2777" s="285" t="s">
        <v>11432</v>
      </c>
    </row>
    <row r="2778">
      <c r="A2778" s="283">
        <v>49.0</v>
      </c>
      <c r="B2778" s="284">
        <v>7.0</v>
      </c>
      <c r="C2778" s="285" t="str">
        <f t="shared" si="1"/>
        <v>49 7</v>
      </c>
      <c r="D2778" s="285" t="s">
        <v>11433</v>
      </c>
    </row>
    <row r="2779">
      <c r="A2779" s="283">
        <v>49.0</v>
      </c>
      <c r="B2779" s="284">
        <v>9.0</v>
      </c>
      <c r="C2779" s="285" t="str">
        <f t="shared" si="1"/>
        <v>49 9</v>
      </c>
      <c r="D2779" s="285" t="s">
        <v>11434</v>
      </c>
    </row>
    <row r="2780">
      <c r="A2780" s="283">
        <v>49.0</v>
      </c>
      <c r="B2780" s="284">
        <v>11.0</v>
      </c>
      <c r="C2780" s="285" t="str">
        <f t="shared" si="1"/>
        <v>49 11</v>
      </c>
      <c r="D2780" s="285" t="s">
        <v>11435</v>
      </c>
    </row>
    <row r="2781">
      <c r="A2781" s="283">
        <v>49.0</v>
      </c>
      <c r="B2781" s="284">
        <v>13.0</v>
      </c>
      <c r="C2781" s="285" t="str">
        <f t="shared" si="1"/>
        <v>49 13</v>
      </c>
      <c r="D2781" s="285" t="s">
        <v>11436</v>
      </c>
    </row>
    <row r="2782">
      <c r="A2782" s="283">
        <v>49.0</v>
      </c>
      <c r="B2782" s="284">
        <v>15.0</v>
      </c>
      <c r="C2782" s="285" t="str">
        <f t="shared" si="1"/>
        <v>49 15</v>
      </c>
      <c r="D2782" s="285" t="s">
        <v>11437</v>
      </c>
    </row>
    <row r="2783">
      <c r="A2783" s="283">
        <v>49.0</v>
      </c>
      <c r="B2783" s="284">
        <v>17.0</v>
      </c>
      <c r="C2783" s="285" t="str">
        <f t="shared" si="1"/>
        <v>49 17</v>
      </c>
      <c r="D2783" s="285" t="s">
        <v>11438</v>
      </c>
    </row>
    <row r="2784">
      <c r="A2784" s="283">
        <v>49.0</v>
      </c>
      <c r="B2784" s="284">
        <v>19.0</v>
      </c>
      <c r="C2784" s="285" t="str">
        <f t="shared" si="1"/>
        <v>49 19</v>
      </c>
      <c r="D2784" s="285" t="s">
        <v>11439</v>
      </c>
    </row>
    <row r="2785">
      <c r="A2785" s="283">
        <v>49.0</v>
      </c>
      <c r="B2785" s="284">
        <v>21.0</v>
      </c>
      <c r="C2785" s="285" t="str">
        <f t="shared" si="1"/>
        <v>49 21</v>
      </c>
      <c r="D2785" s="285" t="s">
        <v>11440</v>
      </c>
    </row>
    <row r="2786">
      <c r="A2786" s="283">
        <v>49.0</v>
      </c>
      <c r="B2786" s="284">
        <v>23.0</v>
      </c>
      <c r="C2786" s="285" t="str">
        <f t="shared" si="1"/>
        <v>49 23</v>
      </c>
      <c r="D2786" s="285" t="s">
        <v>11441</v>
      </c>
    </row>
    <row r="2787">
      <c r="A2787" s="283">
        <v>49.0</v>
      </c>
      <c r="B2787" s="284">
        <v>25.0</v>
      </c>
      <c r="C2787" s="285" t="str">
        <f t="shared" si="1"/>
        <v>49 25</v>
      </c>
      <c r="D2787" s="285" t="s">
        <v>11442</v>
      </c>
    </row>
    <row r="2788">
      <c r="A2788" s="283">
        <v>49.0</v>
      </c>
      <c r="B2788" s="284">
        <v>27.0</v>
      </c>
      <c r="C2788" s="285" t="str">
        <f t="shared" si="1"/>
        <v>49 27</v>
      </c>
      <c r="D2788" s="285" t="s">
        <v>11443</v>
      </c>
    </row>
    <row r="2789">
      <c r="A2789" s="283">
        <v>49.0</v>
      </c>
      <c r="B2789" s="284">
        <v>29.0</v>
      </c>
      <c r="C2789" s="285" t="str">
        <f t="shared" si="1"/>
        <v>49 29</v>
      </c>
      <c r="D2789" s="285" t="s">
        <v>11444</v>
      </c>
    </row>
    <row r="2790">
      <c r="A2790" s="283">
        <v>49.0</v>
      </c>
      <c r="B2790" s="284">
        <v>31.0</v>
      </c>
      <c r="C2790" s="285" t="str">
        <f t="shared" si="1"/>
        <v>49 31</v>
      </c>
      <c r="D2790" s="285" t="s">
        <v>11445</v>
      </c>
    </row>
    <row r="2791">
      <c r="A2791" s="283">
        <v>49.0</v>
      </c>
      <c r="B2791" s="284">
        <v>33.0</v>
      </c>
      <c r="C2791" s="285" t="str">
        <f t="shared" si="1"/>
        <v>49 33</v>
      </c>
      <c r="D2791" s="285" t="s">
        <v>11446</v>
      </c>
    </row>
    <row r="2792">
      <c r="A2792" s="283">
        <v>49.0</v>
      </c>
      <c r="B2792" s="284">
        <v>35.0</v>
      </c>
      <c r="C2792" s="285" t="str">
        <f t="shared" si="1"/>
        <v>49 35</v>
      </c>
      <c r="D2792" s="285" t="s">
        <v>11447</v>
      </c>
    </row>
    <row r="2793">
      <c r="A2793" s="283">
        <v>49.0</v>
      </c>
      <c r="B2793" s="284">
        <v>37.0</v>
      </c>
      <c r="C2793" s="285" t="str">
        <f t="shared" si="1"/>
        <v>49 37</v>
      </c>
      <c r="D2793" s="285" t="s">
        <v>11448</v>
      </c>
    </row>
    <row r="2794">
      <c r="A2794" s="283">
        <v>49.0</v>
      </c>
      <c r="B2794" s="284">
        <v>39.0</v>
      </c>
      <c r="C2794" s="285" t="str">
        <f t="shared" si="1"/>
        <v>49 39</v>
      </c>
      <c r="D2794" s="285" t="s">
        <v>11449</v>
      </c>
    </row>
    <row r="2795">
      <c r="A2795" s="283">
        <v>49.0</v>
      </c>
      <c r="B2795" s="284">
        <v>41.0</v>
      </c>
      <c r="C2795" s="285" t="str">
        <f t="shared" si="1"/>
        <v>49 41</v>
      </c>
      <c r="D2795" s="285" t="s">
        <v>11450</v>
      </c>
    </row>
    <row r="2796">
      <c r="A2796" s="283">
        <v>49.0</v>
      </c>
      <c r="B2796" s="284">
        <v>43.0</v>
      </c>
      <c r="C2796" s="285" t="str">
        <f t="shared" si="1"/>
        <v>49 43</v>
      </c>
      <c r="D2796" s="285" t="s">
        <v>11451</v>
      </c>
    </row>
    <row r="2797">
      <c r="A2797" s="283">
        <v>49.0</v>
      </c>
      <c r="B2797" s="284">
        <v>45.0</v>
      </c>
      <c r="C2797" s="285" t="str">
        <f t="shared" si="1"/>
        <v>49 45</v>
      </c>
      <c r="D2797" s="285" t="s">
        <v>11452</v>
      </c>
    </row>
    <row r="2798">
      <c r="A2798" s="283">
        <v>49.0</v>
      </c>
      <c r="B2798" s="284">
        <v>47.0</v>
      </c>
      <c r="C2798" s="285" t="str">
        <f t="shared" si="1"/>
        <v>49 47</v>
      </c>
      <c r="D2798" s="285" t="s">
        <v>11453</v>
      </c>
    </row>
    <row r="2799">
      <c r="A2799" s="283">
        <v>49.0</v>
      </c>
      <c r="B2799" s="284">
        <v>49.0</v>
      </c>
      <c r="C2799" s="285" t="str">
        <f t="shared" si="1"/>
        <v>49 49</v>
      </c>
      <c r="D2799" s="285" t="s">
        <v>11454</v>
      </c>
    </row>
    <row r="2800">
      <c r="A2800" s="283">
        <v>49.0</v>
      </c>
      <c r="B2800" s="284">
        <v>51.0</v>
      </c>
      <c r="C2800" s="285" t="str">
        <f t="shared" si="1"/>
        <v>49 51</v>
      </c>
      <c r="D2800" s="285" t="s">
        <v>11455</v>
      </c>
    </row>
    <row r="2801">
      <c r="A2801" s="283">
        <v>49.0</v>
      </c>
      <c r="B2801" s="284">
        <v>53.0</v>
      </c>
      <c r="C2801" s="285" t="str">
        <f t="shared" si="1"/>
        <v>49 53</v>
      </c>
      <c r="D2801" s="285" t="s">
        <v>11456</v>
      </c>
    </row>
    <row r="2802">
      <c r="A2802" s="283">
        <v>49.0</v>
      </c>
      <c r="B2802" s="284">
        <v>55.0</v>
      </c>
      <c r="C2802" s="285" t="str">
        <f t="shared" si="1"/>
        <v>49 55</v>
      </c>
      <c r="D2802" s="285" t="s">
        <v>11457</v>
      </c>
    </row>
    <row r="2803">
      <c r="A2803" s="283">
        <v>49.0</v>
      </c>
      <c r="B2803" s="284">
        <v>57.0</v>
      </c>
      <c r="C2803" s="285" t="str">
        <f t="shared" si="1"/>
        <v>49 57</v>
      </c>
      <c r="D2803" s="285" t="s">
        <v>11458</v>
      </c>
    </row>
    <row r="2804">
      <c r="A2804" s="283">
        <v>50.0</v>
      </c>
      <c r="B2804" s="284">
        <v>1.0</v>
      </c>
      <c r="C2804" s="285" t="str">
        <f t="shared" si="1"/>
        <v>50 1</v>
      </c>
      <c r="D2804" s="285" t="s">
        <v>11459</v>
      </c>
    </row>
    <row r="2805">
      <c r="A2805" s="283">
        <v>50.0</v>
      </c>
      <c r="B2805" s="284">
        <v>3.0</v>
      </c>
      <c r="C2805" s="285" t="str">
        <f t="shared" si="1"/>
        <v>50 3</v>
      </c>
      <c r="D2805" s="285" t="s">
        <v>11460</v>
      </c>
    </row>
    <row r="2806">
      <c r="A2806" s="283">
        <v>50.0</v>
      </c>
      <c r="B2806" s="284">
        <v>5.0</v>
      </c>
      <c r="C2806" s="285" t="str">
        <f t="shared" si="1"/>
        <v>50 5</v>
      </c>
      <c r="D2806" s="285" t="s">
        <v>11461</v>
      </c>
    </row>
    <row r="2807">
      <c r="A2807" s="283">
        <v>50.0</v>
      </c>
      <c r="B2807" s="284">
        <v>7.0</v>
      </c>
      <c r="C2807" s="285" t="str">
        <f t="shared" si="1"/>
        <v>50 7</v>
      </c>
      <c r="D2807" s="285" t="s">
        <v>11462</v>
      </c>
    </row>
    <row r="2808">
      <c r="A2808" s="283">
        <v>50.0</v>
      </c>
      <c r="B2808" s="284">
        <v>9.0</v>
      </c>
      <c r="C2808" s="285" t="str">
        <f t="shared" si="1"/>
        <v>50 9</v>
      </c>
      <c r="D2808" s="285" t="s">
        <v>11463</v>
      </c>
    </row>
    <row r="2809">
      <c r="A2809" s="283">
        <v>50.0</v>
      </c>
      <c r="B2809" s="284">
        <v>11.0</v>
      </c>
      <c r="C2809" s="285" t="str">
        <f t="shared" si="1"/>
        <v>50 11</v>
      </c>
      <c r="D2809" s="285" t="s">
        <v>11464</v>
      </c>
    </row>
    <row r="2810">
      <c r="A2810" s="283">
        <v>50.0</v>
      </c>
      <c r="B2810" s="284">
        <v>13.0</v>
      </c>
      <c r="C2810" s="285" t="str">
        <f t="shared" si="1"/>
        <v>50 13</v>
      </c>
      <c r="D2810" s="285" t="s">
        <v>11465</v>
      </c>
    </row>
    <row r="2811">
      <c r="A2811" s="283">
        <v>50.0</v>
      </c>
      <c r="B2811" s="284">
        <v>15.0</v>
      </c>
      <c r="C2811" s="285" t="str">
        <f t="shared" si="1"/>
        <v>50 15</v>
      </c>
      <c r="D2811" s="285" t="s">
        <v>11466</v>
      </c>
    </row>
    <row r="2812">
      <c r="A2812" s="283">
        <v>50.0</v>
      </c>
      <c r="B2812" s="284">
        <v>17.0</v>
      </c>
      <c r="C2812" s="285" t="str">
        <f t="shared" si="1"/>
        <v>50 17</v>
      </c>
      <c r="D2812" s="285" t="s">
        <v>11467</v>
      </c>
    </row>
    <row r="2813">
      <c r="A2813" s="283">
        <v>50.0</v>
      </c>
      <c r="B2813" s="284">
        <v>19.0</v>
      </c>
      <c r="C2813" s="285" t="str">
        <f t="shared" si="1"/>
        <v>50 19</v>
      </c>
      <c r="D2813" s="285" t="s">
        <v>11468</v>
      </c>
    </row>
    <row r="2814">
      <c r="A2814" s="283">
        <v>50.0</v>
      </c>
      <c r="B2814" s="284">
        <v>21.0</v>
      </c>
      <c r="C2814" s="285" t="str">
        <f t="shared" si="1"/>
        <v>50 21</v>
      </c>
      <c r="D2814" s="285" t="s">
        <v>11469</v>
      </c>
    </row>
    <row r="2815">
      <c r="A2815" s="283">
        <v>50.0</v>
      </c>
      <c r="B2815" s="284">
        <v>23.0</v>
      </c>
      <c r="C2815" s="285" t="str">
        <f t="shared" si="1"/>
        <v>50 23</v>
      </c>
      <c r="D2815" s="285" t="s">
        <v>11470</v>
      </c>
    </row>
    <row r="2816">
      <c r="A2816" s="283">
        <v>50.0</v>
      </c>
      <c r="B2816" s="284">
        <v>25.0</v>
      </c>
      <c r="C2816" s="285" t="str">
        <f t="shared" si="1"/>
        <v>50 25</v>
      </c>
      <c r="D2816" s="285" t="s">
        <v>11471</v>
      </c>
    </row>
    <row r="2817">
      <c r="A2817" s="283">
        <v>50.0</v>
      </c>
      <c r="B2817" s="284">
        <v>27.0</v>
      </c>
      <c r="C2817" s="285" t="str">
        <f t="shared" si="1"/>
        <v>50 27</v>
      </c>
      <c r="D2817" s="285" t="s">
        <v>11472</v>
      </c>
    </row>
    <row r="2818">
      <c r="A2818" s="283">
        <v>51.0</v>
      </c>
      <c r="B2818" s="284">
        <v>1.0</v>
      </c>
      <c r="C2818" s="285" t="str">
        <f t="shared" si="1"/>
        <v>51 1</v>
      </c>
      <c r="D2818" s="285" t="s">
        <v>11473</v>
      </c>
    </row>
    <row r="2819">
      <c r="A2819" s="283">
        <v>51.0</v>
      </c>
      <c r="B2819" s="284">
        <v>3.0</v>
      </c>
      <c r="C2819" s="285" t="str">
        <f t="shared" si="1"/>
        <v>51 3</v>
      </c>
      <c r="D2819" s="285" t="s">
        <v>11474</v>
      </c>
    </row>
    <row r="2820">
      <c r="A2820" s="283">
        <v>51.0</v>
      </c>
      <c r="B2820" s="284">
        <v>5.0</v>
      </c>
      <c r="C2820" s="285" t="str">
        <f t="shared" si="1"/>
        <v>51 5</v>
      </c>
      <c r="D2820" s="285" t="s">
        <v>11475</v>
      </c>
    </row>
    <row r="2821">
      <c r="A2821" s="283">
        <v>51.0</v>
      </c>
      <c r="B2821" s="284">
        <v>7.0</v>
      </c>
      <c r="C2821" s="285" t="str">
        <f t="shared" si="1"/>
        <v>51 7</v>
      </c>
      <c r="D2821" s="285" t="s">
        <v>11476</v>
      </c>
    </row>
    <row r="2822">
      <c r="A2822" s="283">
        <v>51.0</v>
      </c>
      <c r="B2822" s="284">
        <v>9.0</v>
      </c>
      <c r="C2822" s="285" t="str">
        <f t="shared" si="1"/>
        <v>51 9</v>
      </c>
      <c r="D2822" s="285" t="s">
        <v>11477</v>
      </c>
    </row>
    <row r="2823">
      <c r="A2823" s="283">
        <v>51.0</v>
      </c>
      <c r="B2823" s="284">
        <v>11.0</v>
      </c>
      <c r="C2823" s="285" t="str">
        <f t="shared" si="1"/>
        <v>51 11</v>
      </c>
      <c r="D2823" s="285" t="s">
        <v>11478</v>
      </c>
    </row>
    <row r="2824">
      <c r="A2824" s="283">
        <v>51.0</v>
      </c>
      <c r="B2824" s="284">
        <v>13.0</v>
      </c>
      <c r="C2824" s="285" t="str">
        <f t="shared" si="1"/>
        <v>51 13</v>
      </c>
      <c r="D2824" s="285" t="s">
        <v>11479</v>
      </c>
    </row>
    <row r="2825">
      <c r="A2825" s="283">
        <v>51.0</v>
      </c>
      <c r="B2825" s="284">
        <v>15.0</v>
      </c>
      <c r="C2825" s="285" t="str">
        <f t="shared" si="1"/>
        <v>51 15</v>
      </c>
      <c r="D2825" s="285" t="s">
        <v>11480</v>
      </c>
    </row>
    <row r="2826">
      <c r="A2826" s="283">
        <v>51.0</v>
      </c>
      <c r="B2826" s="284">
        <v>17.0</v>
      </c>
      <c r="C2826" s="285" t="str">
        <f t="shared" si="1"/>
        <v>51 17</v>
      </c>
      <c r="D2826" s="285" t="s">
        <v>11481</v>
      </c>
    </row>
    <row r="2827">
      <c r="A2827" s="283">
        <v>51.0</v>
      </c>
      <c r="B2827" s="284">
        <v>19.0</v>
      </c>
      <c r="C2827" s="285" t="str">
        <f t="shared" si="1"/>
        <v>51 19</v>
      </c>
      <c r="D2827" s="285" t="s">
        <v>11482</v>
      </c>
    </row>
    <row r="2828">
      <c r="A2828" s="283">
        <v>51.0</v>
      </c>
      <c r="B2828" s="284">
        <v>21.0</v>
      </c>
      <c r="C2828" s="285" t="str">
        <f t="shared" si="1"/>
        <v>51 21</v>
      </c>
      <c r="D2828" s="285" t="s">
        <v>11483</v>
      </c>
    </row>
    <row r="2829">
      <c r="A2829" s="283">
        <v>51.0</v>
      </c>
      <c r="B2829" s="284">
        <v>23.0</v>
      </c>
      <c r="C2829" s="285" t="str">
        <f t="shared" si="1"/>
        <v>51 23</v>
      </c>
      <c r="D2829" s="285" t="s">
        <v>11484</v>
      </c>
    </row>
    <row r="2830">
      <c r="A2830" s="283">
        <v>51.0</v>
      </c>
      <c r="B2830" s="284">
        <v>25.0</v>
      </c>
      <c r="C2830" s="285" t="str">
        <f t="shared" si="1"/>
        <v>51 25</v>
      </c>
      <c r="D2830" s="285" t="s">
        <v>11485</v>
      </c>
    </row>
    <row r="2831">
      <c r="A2831" s="283">
        <v>51.0</v>
      </c>
      <c r="B2831" s="284">
        <v>27.0</v>
      </c>
      <c r="C2831" s="285" t="str">
        <f t="shared" si="1"/>
        <v>51 27</v>
      </c>
      <c r="D2831" s="285" t="s">
        <v>11486</v>
      </c>
    </row>
    <row r="2832">
      <c r="A2832" s="283">
        <v>51.0</v>
      </c>
      <c r="B2832" s="284">
        <v>29.0</v>
      </c>
      <c r="C2832" s="285" t="str">
        <f t="shared" si="1"/>
        <v>51 29</v>
      </c>
      <c r="D2832" s="285" t="s">
        <v>11487</v>
      </c>
    </row>
    <row r="2833">
      <c r="A2833" s="283">
        <v>51.0</v>
      </c>
      <c r="B2833" s="284">
        <v>31.0</v>
      </c>
      <c r="C2833" s="285" t="str">
        <f t="shared" si="1"/>
        <v>51 31</v>
      </c>
      <c r="D2833" s="285" t="s">
        <v>11488</v>
      </c>
    </row>
    <row r="2834">
      <c r="A2834" s="283">
        <v>51.0</v>
      </c>
      <c r="B2834" s="284">
        <v>33.0</v>
      </c>
      <c r="C2834" s="285" t="str">
        <f t="shared" si="1"/>
        <v>51 33</v>
      </c>
      <c r="D2834" s="285" t="s">
        <v>11489</v>
      </c>
    </row>
    <row r="2835">
      <c r="A2835" s="283">
        <v>51.0</v>
      </c>
      <c r="B2835" s="284">
        <v>35.0</v>
      </c>
      <c r="C2835" s="285" t="str">
        <f t="shared" si="1"/>
        <v>51 35</v>
      </c>
      <c r="D2835" s="285" t="s">
        <v>11490</v>
      </c>
    </row>
    <row r="2836">
      <c r="A2836" s="283">
        <v>51.0</v>
      </c>
      <c r="B2836" s="284">
        <v>36.0</v>
      </c>
      <c r="C2836" s="285" t="str">
        <f t="shared" si="1"/>
        <v>51 36</v>
      </c>
      <c r="D2836" s="285" t="s">
        <v>11491</v>
      </c>
    </row>
    <row r="2837">
      <c r="A2837" s="283">
        <v>51.0</v>
      </c>
      <c r="B2837" s="284">
        <v>37.0</v>
      </c>
      <c r="C2837" s="285" t="str">
        <f t="shared" si="1"/>
        <v>51 37</v>
      </c>
      <c r="D2837" s="285" t="s">
        <v>11492</v>
      </c>
    </row>
    <row r="2838">
      <c r="A2838" s="283">
        <v>51.0</v>
      </c>
      <c r="B2838" s="284">
        <v>41.0</v>
      </c>
      <c r="C2838" s="285" t="str">
        <f t="shared" si="1"/>
        <v>51 41</v>
      </c>
      <c r="D2838" s="285" t="s">
        <v>11493</v>
      </c>
    </row>
    <row r="2839">
      <c r="A2839" s="283">
        <v>51.0</v>
      </c>
      <c r="B2839" s="284">
        <v>43.0</v>
      </c>
      <c r="C2839" s="285" t="str">
        <f t="shared" si="1"/>
        <v>51 43</v>
      </c>
      <c r="D2839" s="285" t="s">
        <v>11494</v>
      </c>
    </row>
    <row r="2840">
      <c r="A2840" s="283">
        <v>51.0</v>
      </c>
      <c r="B2840" s="284">
        <v>45.0</v>
      </c>
      <c r="C2840" s="285" t="str">
        <f t="shared" si="1"/>
        <v>51 45</v>
      </c>
      <c r="D2840" s="285" t="s">
        <v>11495</v>
      </c>
    </row>
    <row r="2841">
      <c r="A2841" s="283">
        <v>51.0</v>
      </c>
      <c r="B2841" s="284">
        <v>47.0</v>
      </c>
      <c r="C2841" s="285" t="str">
        <f t="shared" si="1"/>
        <v>51 47</v>
      </c>
      <c r="D2841" s="285" t="s">
        <v>11496</v>
      </c>
    </row>
    <row r="2842">
      <c r="A2842" s="283">
        <v>51.0</v>
      </c>
      <c r="B2842" s="284">
        <v>49.0</v>
      </c>
      <c r="C2842" s="285" t="str">
        <f t="shared" si="1"/>
        <v>51 49</v>
      </c>
      <c r="D2842" s="285" t="s">
        <v>11497</v>
      </c>
    </row>
    <row r="2843">
      <c r="A2843" s="283">
        <v>51.0</v>
      </c>
      <c r="B2843" s="284">
        <v>51.0</v>
      </c>
      <c r="C2843" s="285" t="str">
        <f t="shared" si="1"/>
        <v>51 51</v>
      </c>
      <c r="D2843" s="285" t="s">
        <v>11498</v>
      </c>
    </row>
    <row r="2844">
      <c r="A2844" s="283">
        <v>51.0</v>
      </c>
      <c r="B2844" s="284">
        <v>53.0</v>
      </c>
      <c r="C2844" s="285" t="str">
        <f t="shared" si="1"/>
        <v>51 53</v>
      </c>
      <c r="D2844" s="285" t="s">
        <v>11499</v>
      </c>
    </row>
    <row r="2845">
      <c r="A2845" s="283">
        <v>51.0</v>
      </c>
      <c r="B2845" s="284">
        <v>57.0</v>
      </c>
      <c r="C2845" s="285" t="str">
        <f t="shared" si="1"/>
        <v>51 57</v>
      </c>
      <c r="D2845" s="285" t="s">
        <v>11500</v>
      </c>
    </row>
    <row r="2846">
      <c r="A2846" s="283">
        <v>51.0</v>
      </c>
      <c r="B2846" s="284">
        <v>59.0</v>
      </c>
      <c r="C2846" s="285" t="str">
        <f t="shared" si="1"/>
        <v>51 59</v>
      </c>
      <c r="D2846" s="285" t="s">
        <v>11501</v>
      </c>
    </row>
    <row r="2847">
      <c r="A2847" s="283">
        <v>51.0</v>
      </c>
      <c r="B2847" s="284">
        <v>61.0</v>
      </c>
      <c r="C2847" s="285" t="str">
        <f t="shared" si="1"/>
        <v>51 61</v>
      </c>
      <c r="D2847" s="285" t="s">
        <v>11502</v>
      </c>
    </row>
    <row r="2848">
      <c r="A2848" s="283">
        <v>51.0</v>
      </c>
      <c r="B2848" s="284">
        <v>63.0</v>
      </c>
      <c r="C2848" s="285" t="str">
        <f t="shared" si="1"/>
        <v>51 63</v>
      </c>
      <c r="D2848" s="285" t="s">
        <v>11503</v>
      </c>
    </row>
    <row r="2849">
      <c r="A2849" s="283">
        <v>51.0</v>
      </c>
      <c r="B2849" s="284">
        <v>65.0</v>
      </c>
      <c r="C2849" s="285" t="str">
        <f t="shared" si="1"/>
        <v>51 65</v>
      </c>
      <c r="D2849" s="285" t="s">
        <v>11504</v>
      </c>
    </row>
    <row r="2850">
      <c r="A2850" s="283">
        <v>51.0</v>
      </c>
      <c r="B2850" s="284">
        <v>67.0</v>
      </c>
      <c r="C2850" s="285" t="str">
        <f t="shared" si="1"/>
        <v>51 67</v>
      </c>
      <c r="D2850" s="285" t="s">
        <v>11505</v>
      </c>
    </row>
    <row r="2851">
      <c r="A2851" s="283">
        <v>51.0</v>
      </c>
      <c r="B2851" s="284">
        <v>69.0</v>
      </c>
      <c r="C2851" s="285" t="str">
        <f t="shared" si="1"/>
        <v>51 69</v>
      </c>
      <c r="D2851" s="285" t="s">
        <v>11506</v>
      </c>
    </row>
    <row r="2852">
      <c r="A2852" s="283">
        <v>51.0</v>
      </c>
      <c r="B2852" s="284">
        <v>71.0</v>
      </c>
      <c r="C2852" s="285" t="str">
        <f t="shared" si="1"/>
        <v>51 71</v>
      </c>
      <c r="D2852" s="285" t="s">
        <v>11507</v>
      </c>
    </row>
    <row r="2853">
      <c r="A2853" s="283">
        <v>51.0</v>
      </c>
      <c r="B2853" s="284">
        <v>73.0</v>
      </c>
      <c r="C2853" s="285" t="str">
        <f t="shared" si="1"/>
        <v>51 73</v>
      </c>
      <c r="D2853" s="285" t="s">
        <v>11508</v>
      </c>
    </row>
    <row r="2854">
      <c r="A2854" s="283">
        <v>51.0</v>
      </c>
      <c r="B2854" s="284">
        <v>75.0</v>
      </c>
      <c r="C2854" s="285" t="str">
        <f t="shared" si="1"/>
        <v>51 75</v>
      </c>
      <c r="D2854" s="285" t="s">
        <v>11509</v>
      </c>
    </row>
    <row r="2855">
      <c r="A2855" s="283">
        <v>51.0</v>
      </c>
      <c r="B2855" s="284">
        <v>77.0</v>
      </c>
      <c r="C2855" s="285" t="str">
        <f t="shared" si="1"/>
        <v>51 77</v>
      </c>
      <c r="D2855" s="285" t="s">
        <v>11510</v>
      </c>
    </row>
    <row r="2856">
      <c r="A2856" s="283">
        <v>51.0</v>
      </c>
      <c r="B2856" s="284">
        <v>79.0</v>
      </c>
      <c r="C2856" s="285" t="str">
        <f t="shared" si="1"/>
        <v>51 79</v>
      </c>
      <c r="D2856" s="285" t="s">
        <v>11511</v>
      </c>
    </row>
    <row r="2857">
      <c r="A2857" s="283">
        <v>51.0</v>
      </c>
      <c r="B2857" s="284">
        <v>81.0</v>
      </c>
      <c r="C2857" s="285" t="str">
        <f t="shared" si="1"/>
        <v>51 81</v>
      </c>
      <c r="D2857" s="285" t="s">
        <v>11512</v>
      </c>
    </row>
    <row r="2858">
      <c r="A2858" s="283">
        <v>51.0</v>
      </c>
      <c r="B2858" s="284">
        <v>83.0</v>
      </c>
      <c r="C2858" s="285" t="str">
        <f t="shared" si="1"/>
        <v>51 83</v>
      </c>
      <c r="D2858" s="285" t="s">
        <v>11513</v>
      </c>
    </row>
    <row r="2859">
      <c r="A2859" s="283">
        <v>51.0</v>
      </c>
      <c r="B2859" s="284">
        <v>85.0</v>
      </c>
      <c r="C2859" s="285" t="str">
        <f t="shared" si="1"/>
        <v>51 85</v>
      </c>
      <c r="D2859" s="285" t="s">
        <v>11514</v>
      </c>
    </row>
    <row r="2860">
      <c r="A2860" s="283">
        <v>51.0</v>
      </c>
      <c r="B2860" s="284">
        <v>87.0</v>
      </c>
      <c r="C2860" s="285" t="str">
        <f t="shared" si="1"/>
        <v>51 87</v>
      </c>
      <c r="D2860" s="285" t="s">
        <v>11515</v>
      </c>
    </row>
    <row r="2861">
      <c r="A2861" s="283">
        <v>51.0</v>
      </c>
      <c r="B2861" s="284">
        <v>89.0</v>
      </c>
      <c r="C2861" s="285" t="str">
        <f t="shared" si="1"/>
        <v>51 89</v>
      </c>
      <c r="D2861" s="285" t="s">
        <v>11516</v>
      </c>
    </row>
    <row r="2862">
      <c r="A2862" s="283">
        <v>51.0</v>
      </c>
      <c r="B2862" s="284">
        <v>91.0</v>
      </c>
      <c r="C2862" s="285" t="str">
        <f t="shared" si="1"/>
        <v>51 91</v>
      </c>
      <c r="D2862" s="285" t="s">
        <v>11517</v>
      </c>
    </row>
    <row r="2863">
      <c r="A2863" s="283">
        <v>51.0</v>
      </c>
      <c r="B2863" s="284">
        <v>93.0</v>
      </c>
      <c r="C2863" s="285" t="str">
        <f t="shared" si="1"/>
        <v>51 93</v>
      </c>
      <c r="D2863" s="285" t="s">
        <v>11518</v>
      </c>
    </row>
    <row r="2864">
      <c r="A2864" s="283">
        <v>51.0</v>
      </c>
      <c r="B2864" s="284">
        <v>95.0</v>
      </c>
      <c r="C2864" s="285" t="str">
        <f t="shared" si="1"/>
        <v>51 95</v>
      </c>
      <c r="D2864" s="285" t="s">
        <v>11519</v>
      </c>
    </row>
    <row r="2865">
      <c r="A2865" s="283">
        <v>51.0</v>
      </c>
      <c r="B2865" s="284">
        <v>97.0</v>
      </c>
      <c r="C2865" s="285" t="str">
        <f t="shared" si="1"/>
        <v>51 97</v>
      </c>
      <c r="D2865" s="285" t="s">
        <v>11520</v>
      </c>
    </row>
    <row r="2866">
      <c r="A2866" s="283">
        <v>51.0</v>
      </c>
      <c r="B2866" s="284">
        <v>99.0</v>
      </c>
      <c r="C2866" s="285" t="str">
        <f t="shared" si="1"/>
        <v>51 99</v>
      </c>
      <c r="D2866" s="285" t="s">
        <v>11521</v>
      </c>
    </row>
    <row r="2867">
      <c r="A2867" s="283">
        <v>51.0</v>
      </c>
      <c r="B2867" s="284">
        <v>101.0</v>
      </c>
      <c r="C2867" s="285" t="str">
        <f t="shared" si="1"/>
        <v>51 101</v>
      </c>
      <c r="D2867" s="285" t="s">
        <v>11522</v>
      </c>
    </row>
    <row r="2868">
      <c r="A2868" s="283">
        <v>51.0</v>
      </c>
      <c r="B2868" s="284">
        <v>103.0</v>
      </c>
      <c r="C2868" s="285" t="str">
        <f t="shared" si="1"/>
        <v>51 103</v>
      </c>
      <c r="D2868" s="285" t="s">
        <v>11523</v>
      </c>
    </row>
    <row r="2869">
      <c r="A2869" s="283">
        <v>51.0</v>
      </c>
      <c r="B2869" s="284">
        <v>105.0</v>
      </c>
      <c r="C2869" s="285" t="str">
        <f t="shared" si="1"/>
        <v>51 105</v>
      </c>
      <c r="D2869" s="285" t="s">
        <v>11524</v>
      </c>
    </row>
    <row r="2870">
      <c r="A2870" s="283">
        <v>51.0</v>
      </c>
      <c r="B2870" s="284">
        <v>107.0</v>
      </c>
      <c r="C2870" s="285" t="str">
        <f t="shared" si="1"/>
        <v>51 107</v>
      </c>
      <c r="D2870" s="285" t="s">
        <v>11525</v>
      </c>
    </row>
    <row r="2871">
      <c r="A2871" s="283">
        <v>51.0</v>
      </c>
      <c r="B2871" s="284">
        <v>109.0</v>
      </c>
      <c r="C2871" s="285" t="str">
        <f t="shared" si="1"/>
        <v>51 109</v>
      </c>
      <c r="D2871" s="285" t="s">
        <v>11526</v>
      </c>
    </row>
    <row r="2872">
      <c r="A2872" s="283">
        <v>51.0</v>
      </c>
      <c r="B2872" s="284">
        <v>111.0</v>
      </c>
      <c r="C2872" s="285" t="str">
        <f t="shared" si="1"/>
        <v>51 111</v>
      </c>
      <c r="D2872" s="285" t="s">
        <v>11527</v>
      </c>
    </row>
    <row r="2873">
      <c r="A2873" s="283">
        <v>51.0</v>
      </c>
      <c r="B2873" s="284">
        <v>113.0</v>
      </c>
      <c r="C2873" s="285" t="str">
        <f t="shared" si="1"/>
        <v>51 113</v>
      </c>
      <c r="D2873" s="285" t="s">
        <v>11528</v>
      </c>
    </row>
    <row r="2874">
      <c r="A2874" s="283">
        <v>51.0</v>
      </c>
      <c r="B2874" s="284">
        <v>115.0</v>
      </c>
      <c r="C2874" s="285" t="str">
        <f t="shared" si="1"/>
        <v>51 115</v>
      </c>
      <c r="D2874" s="285" t="s">
        <v>11529</v>
      </c>
    </row>
    <row r="2875">
      <c r="A2875" s="283">
        <v>51.0</v>
      </c>
      <c r="B2875" s="284">
        <v>117.0</v>
      </c>
      <c r="C2875" s="285" t="str">
        <f t="shared" si="1"/>
        <v>51 117</v>
      </c>
      <c r="D2875" s="285" t="s">
        <v>11530</v>
      </c>
    </row>
    <row r="2876">
      <c r="A2876" s="283">
        <v>51.0</v>
      </c>
      <c r="B2876" s="284">
        <v>119.0</v>
      </c>
      <c r="C2876" s="285" t="str">
        <f t="shared" si="1"/>
        <v>51 119</v>
      </c>
      <c r="D2876" s="285" t="s">
        <v>11531</v>
      </c>
    </row>
    <row r="2877">
      <c r="A2877" s="283">
        <v>51.0</v>
      </c>
      <c r="B2877" s="284">
        <v>121.0</v>
      </c>
      <c r="C2877" s="285" t="str">
        <f t="shared" si="1"/>
        <v>51 121</v>
      </c>
      <c r="D2877" s="285" t="s">
        <v>11532</v>
      </c>
    </row>
    <row r="2878">
      <c r="A2878" s="283">
        <v>51.0</v>
      </c>
      <c r="B2878" s="284">
        <v>125.0</v>
      </c>
      <c r="C2878" s="285" t="str">
        <f t="shared" si="1"/>
        <v>51 125</v>
      </c>
      <c r="D2878" s="285" t="s">
        <v>11533</v>
      </c>
    </row>
    <row r="2879">
      <c r="A2879" s="283">
        <v>51.0</v>
      </c>
      <c r="B2879" s="284">
        <v>127.0</v>
      </c>
      <c r="C2879" s="285" t="str">
        <f t="shared" si="1"/>
        <v>51 127</v>
      </c>
      <c r="D2879" s="285" t="s">
        <v>11534</v>
      </c>
    </row>
    <row r="2880">
      <c r="A2880" s="283">
        <v>51.0</v>
      </c>
      <c r="B2880" s="284">
        <v>131.0</v>
      </c>
      <c r="C2880" s="285" t="str">
        <f t="shared" si="1"/>
        <v>51 131</v>
      </c>
      <c r="D2880" s="285" t="s">
        <v>11535</v>
      </c>
    </row>
    <row r="2881">
      <c r="A2881" s="283">
        <v>51.0</v>
      </c>
      <c r="B2881" s="284">
        <v>133.0</v>
      </c>
      <c r="C2881" s="285" t="str">
        <f t="shared" si="1"/>
        <v>51 133</v>
      </c>
      <c r="D2881" s="285" t="s">
        <v>11536</v>
      </c>
    </row>
    <row r="2882">
      <c r="A2882" s="283">
        <v>51.0</v>
      </c>
      <c r="B2882" s="284">
        <v>135.0</v>
      </c>
      <c r="C2882" s="285" t="str">
        <f t="shared" si="1"/>
        <v>51 135</v>
      </c>
      <c r="D2882" s="285" t="s">
        <v>11537</v>
      </c>
    </row>
    <row r="2883">
      <c r="A2883" s="283">
        <v>51.0</v>
      </c>
      <c r="B2883" s="284">
        <v>137.0</v>
      </c>
      <c r="C2883" s="285" t="str">
        <f t="shared" si="1"/>
        <v>51 137</v>
      </c>
      <c r="D2883" s="285" t="s">
        <v>11538</v>
      </c>
    </row>
    <row r="2884">
      <c r="A2884" s="283">
        <v>51.0</v>
      </c>
      <c r="B2884" s="284">
        <v>139.0</v>
      </c>
      <c r="C2884" s="285" t="str">
        <f t="shared" si="1"/>
        <v>51 139</v>
      </c>
      <c r="D2884" s="285" t="s">
        <v>11539</v>
      </c>
    </row>
    <row r="2885">
      <c r="A2885" s="283">
        <v>51.0</v>
      </c>
      <c r="B2885" s="284">
        <v>141.0</v>
      </c>
      <c r="C2885" s="285" t="str">
        <f t="shared" si="1"/>
        <v>51 141</v>
      </c>
      <c r="D2885" s="285" t="s">
        <v>11540</v>
      </c>
    </row>
    <row r="2886">
      <c r="A2886" s="283">
        <v>51.0</v>
      </c>
      <c r="B2886" s="284">
        <v>143.0</v>
      </c>
      <c r="C2886" s="285" t="str">
        <f t="shared" si="1"/>
        <v>51 143</v>
      </c>
      <c r="D2886" s="285" t="s">
        <v>11541</v>
      </c>
    </row>
    <row r="2887">
      <c r="A2887" s="283">
        <v>51.0</v>
      </c>
      <c r="B2887" s="284">
        <v>145.0</v>
      </c>
      <c r="C2887" s="285" t="str">
        <f t="shared" si="1"/>
        <v>51 145</v>
      </c>
      <c r="D2887" s="285" t="s">
        <v>11542</v>
      </c>
    </row>
    <row r="2888">
      <c r="A2888" s="283">
        <v>51.0</v>
      </c>
      <c r="B2888" s="284">
        <v>147.0</v>
      </c>
      <c r="C2888" s="285" t="str">
        <f t="shared" si="1"/>
        <v>51 147</v>
      </c>
      <c r="D2888" s="285" t="s">
        <v>11543</v>
      </c>
    </row>
    <row r="2889">
      <c r="A2889" s="283">
        <v>51.0</v>
      </c>
      <c r="B2889" s="284">
        <v>149.0</v>
      </c>
      <c r="C2889" s="285" t="str">
        <f t="shared" si="1"/>
        <v>51 149</v>
      </c>
      <c r="D2889" s="285" t="s">
        <v>11544</v>
      </c>
    </row>
    <row r="2890">
      <c r="A2890" s="283">
        <v>51.0</v>
      </c>
      <c r="B2890" s="284">
        <v>153.0</v>
      </c>
      <c r="C2890" s="285" t="str">
        <f t="shared" si="1"/>
        <v>51 153</v>
      </c>
      <c r="D2890" s="285" t="s">
        <v>11545</v>
      </c>
    </row>
    <row r="2891">
      <c r="A2891" s="283">
        <v>51.0</v>
      </c>
      <c r="B2891" s="284">
        <v>155.0</v>
      </c>
      <c r="C2891" s="285" t="str">
        <f t="shared" si="1"/>
        <v>51 155</v>
      </c>
      <c r="D2891" s="285" t="s">
        <v>11546</v>
      </c>
    </row>
    <row r="2892">
      <c r="A2892" s="283">
        <v>51.0</v>
      </c>
      <c r="B2892" s="284">
        <v>157.0</v>
      </c>
      <c r="C2892" s="285" t="str">
        <f t="shared" si="1"/>
        <v>51 157</v>
      </c>
      <c r="D2892" s="285" t="s">
        <v>11547</v>
      </c>
    </row>
    <row r="2893">
      <c r="A2893" s="283">
        <v>51.0</v>
      </c>
      <c r="B2893" s="284">
        <v>159.0</v>
      </c>
      <c r="C2893" s="285" t="str">
        <f t="shared" si="1"/>
        <v>51 159</v>
      </c>
      <c r="D2893" s="285" t="s">
        <v>11548</v>
      </c>
    </row>
    <row r="2894">
      <c r="A2894" s="283">
        <v>51.0</v>
      </c>
      <c r="B2894" s="284">
        <v>161.0</v>
      </c>
      <c r="C2894" s="285" t="str">
        <f t="shared" si="1"/>
        <v>51 161</v>
      </c>
      <c r="D2894" s="285" t="s">
        <v>11549</v>
      </c>
    </row>
    <row r="2895">
      <c r="A2895" s="283">
        <v>51.0</v>
      </c>
      <c r="B2895" s="284">
        <v>163.0</v>
      </c>
      <c r="C2895" s="285" t="str">
        <f t="shared" si="1"/>
        <v>51 163</v>
      </c>
      <c r="D2895" s="285" t="s">
        <v>11550</v>
      </c>
    </row>
    <row r="2896">
      <c r="A2896" s="283">
        <v>51.0</v>
      </c>
      <c r="B2896" s="284">
        <v>165.0</v>
      </c>
      <c r="C2896" s="285" t="str">
        <f t="shared" si="1"/>
        <v>51 165</v>
      </c>
      <c r="D2896" s="285" t="s">
        <v>11551</v>
      </c>
    </row>
    <row r="2897">
      <c r="A2897" s="283">
        <v>51.0</v>
      </c>
      <c r="B2897" s="284">
        <v>167.0</v>
      </c>
      <c r="C2897" s="285" t="str">
        <f t="shared" si="1"/>
        <v>51 167</v>
      </c>
      <c r="D2897" s="285" t="s">
        <v>11552</v>
      </c>
    </row>
    <row r="2898">
      <c r="A2898" s="283">
        <v>51.0</v>
      </c>
      <c r="B2898" s="284">
        <v>169.0</v>
      </c>
      <c r="C2898" s="285" t="str">
        <f t="shared" si="1"/>
        <v>51 169</v>
      </c>
      <c r="D2898" s="285" t="s">
        <v>11553</v>
      </c>
    </row>
    <row r="2899">
      <c r="A2899" s="283">
        <v>51.0</v>
      </c>
      <c r="B2899" s="284">
        <v>171.0</v>
      </c>
      <c r="C2899" s="285" t="str">
        <f t="shared" si="1"/>
        <v>51 171</v>
      </c>
      <c r="D2899" s="285" t="s">
        <v>11554</v>
      </c>
    </row>
    <row r="2900">
      <c r="A2900" s="283">
        <v>51.0</v>
      </c>
      <c r="B2900" s="284">
        <v>173.0</v>
      </c>
      <c r="C2900" s="285" t="str">
        <f t="shared" si="1"/>
        <v>51 173</v>
      </c>
      <c r="D2900" s="285" t="s">
        <v>11555</v>
      </c>
    </row>
    <row r="2901">
      <c r="A2901" s="283">
        <v>51.0</v>
      </c>
      <c r="B2901" s="284">
        <v>175.0</v>
      </c>
      <c r="C2901" s="285" t="str">
        <f t="shared" si="1"/>
        <v>51 175</v>
      </c>
      <c r="D2901" s="285" t="s">
        <v>11556</v>
      </c>
    </row>
    <row r="2902">
      <c r="A2902" s="283">
        <v>51.0</v>
      </c>
      <c r="B2902" s="284">
        <v>177.0</v>
      </c>
      <c r="C2902" s="285" t="str">
        <f t="shared" si="1"/>
        <v>51 177</v>
      </c>
      <c r="D2902" s="285" t="s">
        <v>11557</v>
      </c>
    </row>
    <row r="2903">
      <c r="A2903" s="283">
        <v>51.0</v>
      </c>
      <c r="B2903" s="284">
        <v>179.0</v>
      </c>
      <c r="C2903" s="285" t="str">
        <f t="shared" si="1"/>
        <v>51 179</v>
      </c>
      <c r="D2903" s="285" t="s">
        <v>11558</v>
      </c>
    </row>
    <row r="2904">
      <c r="A2904" s="283">
        <v>51.0</v>
      </c>
      <c r="B2904" s="284">
        <v>181.0</v>
      </c>
      <c r="C2904" s="285" t="str">
        <f t="shared" si="1"/>
        <v>51 181</v>
      </c>
      <c r="D2904" s="285" t="s">
        <v>11559</v>
      </c>
    </row>
    <row r="2905">
      <c r="A2905" s="283">
        <v>51.0</v>
      </c>
      <c r="B2905" s="284">
        <v>183.0</v>
      </c>
      <c r="C2905" s="285" t="str">
        <f t="shared" si="1"/>
        <v>51 183</v>
      </c>
      <c r="D2905" s="285" t="s">
        <v>11560</v>
      </c>
    </row>
    <row r="2906">
      <c r="A2906" s="283">
        <v>51.0</v>
      </c>
      <c r="B2906" s="284">
        <v>185.0</v>
      </c>
      <c r="C2906" s="285" t="str">
        <f t="shared" si="1"/>
        <v>51 185</v>
      </c>
      <c r="D2906" s="285" t="s">
        <v>11561</v>
      </c>
    </row>
    <row r="2907">
      <c r="A2907" s="283">
        <v>51.0</v>
      </c>
      <c r="B2907" s="284">
        <v>187.0</v>
      </c>
      <c r="C2907" s="285" t="str">
        <f t="shared" si="1"/>
        <v>51 187</v>
      </c>
      <c r="D2907" s="285" t="s">
        <v>11562</v>
      </c>
    </row>
    <row r="2908">
      <c r="A2908" s="283">
        <v>51.0</v>
      </c>
      <c r="B2908" s="284">
        <v>191.0</v>
      </c>
      <c r="C2908" s="285" t="str">
        <f t="shared" si="1"/>
        <v>51 191</v>
      </c>
      <c r="D2908" s="285" t="s">
        <v>11563</v>
      </c>
    </row>
    <row r="2909">
      <c r="A2909" s="283">
        <v>51.0</v>
      </c>
      <c r="B2909" s="284">
        <v>193.0</v>
      </c>
      <c r="C2909" s="285" t="str">
        <f t="shared" si="1"/>
        <v>51 193</v>
      </c>
      <c r="D2909" s="285" t="s">
        <v>11564</v>
      </c>
    </row>
    <row r="2910">
      <c r="A2910" s="283">
        <v>51.0</v>
      </c>
      <c r="B2910" s="284">
        <v>195.0</v>
      </c>
      <c r="C2910" s="285" t="str">
        <f t="shared" si="1"/>
        <v>51 195</v>
      </c>
      <c r="D2910" s="285" t="s">
        <v>11565</v>
      </c>
    </row>
    <row r="2911">
      <c r="A2911" s="283">
        <v>51.0</v>
      </c>
      <c r="B2911" s="284">
        <v>197.0</v>
      </c>
      <c r="C2911" s="285" t="str">
        <f t="shared" si="1"/>
        <v>51 197</v>
      </c>
      <c r="D2911" s="285" t="s">
        <v>11566</v>
      </c>
    </row>
    <row r="2912">
      <c r="A2912" s="283">
        <v>51.0</v>
      </c>
      <c r="B2912" s="284">
        <v>199.0</v>
      </c>
      <c r="C2912" s="285" t="str">
        <f t="shared" si="1"/>
        <v>51 199</v>
      </c>
      <c r="D2912" s="285" t="s">
        <v>11567</v>
      </c>
    </row>
    <row r="2913">
      <c r="A2913" s="283">
        <v>51.0</v>
      </c>
      <c r="B2913" s="284">
        <v>510.0</v>
      </c>
      <c r="C2913" s="285" t="str">
        <f t="shared" si="1"/>
        <v>51 510</v>
      </c>
      <c r="D2913" s="285" t="s">
        <v>11568</v>
      </c>
    </row>
    <row r="2914">
      <c r="A2914" s="283">
        <v>51.0</v>
      </c>
      <c r="B2914" s="284">
        <v>515.0</v>
      </c>
      <c r="C2914" s="285" t="str">
        <f t="shared" si="1"/>
        <v>51 515</v>
      </c>
      <c r="D2914" s="285" t="s">
        <v>11569</v>
      </c>
    </row>
    <row r="2915">
      <c r="A2915" s="283">
        <v>51.0</v>
      </c>
      <c r="B2915" s="284">
        <v>520.0</v>
      </c>
      <c r="C2915" s="285" t="str">
        <f t="shared" si="1"/>
        <v>51 520</v>
      </c>
      <c r="D2915" s="285" t="s">
        <v>11570</v>
      </c>
    </row>
    <row r="2916">
      <c r="A2916" s="283">
        <v>51.0</v>
      </c>
      <c r="B2916" s="284">
        <v>530.0</v>
      </c>
      <c r="C2916" s="285" t="str">
        <f t="shared" si="1"/>
        <v>51 530</v>
      </c>
      <c r="D2916" s="285" t="s">
        <v>11571</v>
      </c>
    </row>
    <row r="2917">
      <c r="A2917" s="283">
        <v>51.0</v>
      </c>
      <c r="B2917" s="284">
        <v>540.0</v>
      </c>
      <c r="C2917" s="285" t="str">
        <f t="shared" si="1"/>
        <v>51 540</v>
      </c>
      <c r="D2917" s="285" t="s">
        <v>11572</v>
      </c>
    </row>
    <row r="2918">
      <c r="A2918" s="283">
        <v>51.0</v>
      </c>
      <c r="B2918" s="284">
        <v>550.0</v>
      </c>
      <c r="C2918" s="285" t="str">
        <f t="shared" si="1"/>
        <v>51 550</v>
      </c>
      <c r="D2918" s="285" t="s">
        <v>11573</v>
      </c>
    </row>
    <row r="2919">
      <c r="A2919" s="283">
        <v>51.0</v>
      </c>
      <c r="B2919" s="284">
        <v>560.0</v>
      </c>
      <c r="C2919" s="285" t="str">
        <f t="shared" si="1"/>
        <v>51 560</v>
      </c>
      <c r="D2919" s="285" t="s">
        <v>11574</v>
      </c>
    </row>
    <row r="2920">
      <c r="A2920" s="283">
        <v>51.0</v>
      </c>
      <c r="B2920" s="284">
        <v>570.0</v>
      </c>
      <c r="C2920" s="285" t="str">
        <f t="shared" si="1"/>
        <v>51 570</v>
      </c>
      <c r="D2920" s="285" t="s">
        <v>11575</v>
      </c>
    </row>
    <row r="2921">
      <c r="A2921" s="283">
        <v>51.0</v>
      </c>
      <c r="B2921" s="284">
        <v>580.0</v>
      </c>
      <c r="C2921" s="285" t="str">
        <f t="shared" si="1"/>
        <v>51 580</v>
      </c>
      <c r="D2921" s="285" t="s">
        <v>11576</v>
      </c>
    </row>
    <row r="2922">
      <c r="A2922" s="283">
        <v>51.0</v>
      </c>
      <c r="B2922" s="284">
        <v>590.0</v>
      </c>
      <c r="C2922" s="285" t="str">
        <f t="shared" si="1"/>
        <v>51 590</v>
      </c>
      <c r="D2922" s="285" t="s">
        <v>11577</v>
      </c>
    </row>
    <row r="2923">
      <c r="A2923" s="283">
        <v>51.0</v>
      </c>
      <c r="B2923" s="284">
        <v>595.0</v>
      </c>
      <c r="C2923" s="285" t="str">
        <f t="shared" si="1"/>
        <v>51 595</v>
      </c>
      <c r="D2923" s="285" t="s">
        <v>11578</v>
      </c>
    </row>
    <row r="2924">
      <c r="A2924" s="283">
        <v>51.0</v>
      </c>
      <c r="B2924" s="284">
        <v>600.0</v>
      </c>
      <c r="C2924" s="285" t="str">
        <f t="shared" si="1"/>
        <v>51 600</v>
      </c>
      <c r="D2924" s="285" t="s">
        <v>11579</v>
      </c>
    </row>
    <row r="2925">
      <c r="A2925" s="283">
        <v>51.0</v>
      </c>
      <c r="B2925" s="284">
        <v>610.0</v>
      </c>
      <c r="C2925" s="285" t="str">
        <f t="shared" si="1"/>
        <v>51 610</v>
      </c>
      <c r="D2925" s="285" t="s">
        <v>11580</v>
      </c>
    </row>
    <row r="2926">
      <c r="A2926" s="283">
        <v>51.0</v>
      </c>
      <c r="B2926" s="284">
        <v>620.0</v>
      </c>
      <c r="C2926" s="285" t="str">
        <f t="shared" si="1"/>
        <v>51 620</v>
      </c>
      <c r="D2926" s="285" t="s">
        <v>11581</v>
      </c>
    </row>
    <row r="2927">
      <c r="A2927" s="283">
        <v>51.0</v>
      </c>
      <c r="B2927" s="284">
        <v>630.0</v>
      </c>
      <c r="C2927" s="285" t="str">
        <f t="shared" si="1"/>
        <v>51 630</v>
      </c>
      <c r="D2927" s="285" t="s">
        <v>11582</v>
      </c>
    </row>
    <row r="2928">
      <c r="A2928" s="283">
        <v>51.0</v>
      </c>
      <c r="B2928" s="284">
        <v>640.0</v>
      </c>
      <c r="C2928" s="285" t="str">
        <f t="shared" si="1"/>
        <v>51 640</v>
      </c>
      <c r="D2928" s="285" t="s">
        <v>11583</v>
      </c>
    </row>
    <row r="2929">
      <c r="A2929" s="283">
        <v>51.0</v>
      </c>
      <c r="B2929" s="284">
        <v>650.0</v>
      </c>
      <c r="C2929" s="285" t="str">
        <f t="shared" si="1"/>
        <v>51 650</v>
      </c>
      <c r="D2929" s="285" t="s">
        <v>11584</v>
      </c>
    </row>
    <row r="2930">
      <c r="A2930" s="283">
        <v>51.0</v>
      </c>
      <c r="B2930" s="284">
        <v>660.0</v>
      </c>
      <c r="C2930" s="285" t="str">
        <f t="shared" si="1"/>
        <v>51 660</v>
      </c>
      <c r="D2930" s="285" t="s">
        <v>11585</v>
      </c>
    </row>
    <row r="2931">
      <c r="A2931" s="283">
        <v>51.0</v>
      </c>
      <c r="B2931" s="284">
        <v>670.0</v>
      </c>
      <c r="C2931" s="285" t="str">
        <f t="shared" si="1"/>
        <v>51 670</v>
      </c>
      <c r="D2931" s="285" t="s">
        <v>11586</v>
      </c>
    </row>
    <row r="2932">
      <c r="A2932" s="283">
        <v>51.0</v>
      </c>
      <c r="B2932" s="284">
        <v>678.0</v>
      </c>
      <c r="C2932" s="285" t="str">
        <f t="shared" si="1"/>
        <v>51 678</v>
      </c>
      <c r="D2932" s="285" t="s">
        <v>11587</v>
      </c>
    </row>
    <row r="2933">
      <c r="A2933" s="283">
        <v>51.0</v>
      </c>
      <c r="B2933" s="284">
        <v>680.0</v>
      </c>
      <c r="C2933" s="285" t="str">
        <f t="shared" si="1"/>
        <v>51 680</v>
      </c>
      <c r="D2933" s="285" t="s">
        <v>11588</v>
      </c>
    </row>
    <row r="2934">
      <c r="A2934" s="283">
        <v>51.0</v>
      </c>
      <c r="B2934" s="284">
        <v>683.0</v>
      </c>
      <c r="C2934" s="285" t="str">
        <f t="shared" si="1"/>
        <v>51 683</v>
      </c>
      <c r="D2934" s="285" t="s">
        <v>11589</v>
      </c>
    </row>
    <row r="2935">
      <c r="A2935" s="283">
        <v>51.0</v>
      </c>
      <c r="B2935" s="284">
        <v>685.0</v>
      </c>
      <c r="C2935" s="285" t="str">
        <f t="shared" si="1"/>
        <v>51 685</v>
      </c>
      <c r="D2935" s="285" t="s">
        <v>11590</v>
      </c>
    </row>
    <row r="2936">
      <c r="A2936" s="283">
        <v>51.0</v>
      </c>
      <c r="B2936" s="284">
        <v>690.0</v>
      </c>
      <c r="C2936" s="285" t="str">
        <f t="shared" si="1"/>
        <v>51 690</v>
      </c>
      <c r="D2936" s="285" t="s">
        <v>11591</v>
      </c>
    </row>
    <row r="2937">
      <c r="A2937" s="283">
        <v>51.0</v>
      </c>
      <c r="B2937" s="284">
        <v>700.0</v>
      </c>
      <c r="C2937" s="285" t="str">
        <f t="shared" si="1"/>
        <v>51 700</v>
      </c>
      <c r="D2937" s="285" t="s">
        <v>11592</v>
      </c>
    </row>
    <row r="2938">
      <c r="A2938" s="283">
        <v>51.0</v>
      </c>
      <c r="B2938" s="284">
        <v>710.0</v>
      </c>
      <c r="C2938" s="285" t="str">
        <f t="shared" si="1"/>
        <v>51 710</v>
      </c>
      <c r="D2938" s="285" t="s">
        <v>11593</v>
      </c>
    </row>
    <row r="2939">
      <c r="A2939" s="283">
        <v>51.0</v>
      </c>
      <c r="B2939" s="284">
        <v>720.0</v>
      </c>
      <c r="C2939" s="285" t="str">
        <f t="shared" si="1"/>
        <v>51 720</v>
      </c>
      <c r="D2939" s="285" t="s">
        <v>11594</v>
      </c>
    </row>
    <row r="2940">
      <c r="A2940" s="283">
        <v>51.0</v>
      </c>
      <c r="B2940" s="284">
        <v>730.0</v>
      </c>
      <c r="C2940" s="285" t="str">
        <f t="shared" si="1"/>
        <v>51 730</v>
      </c>
      <c r="D2940" s="285" t="s">
        <v>11595</v>
      </c>
    </row>
    <row r="2941">
      <c r="A2941" s="283">
        <v>51.0</v>
      </c>
      <c r="B2941" s="284">
        <v>735.0</v>
      </c>
      <c r="C2941" s="285" t="str">
        <f t="shared" si="1"/>
        <v>51 735</v>
      </c>
      <c r="D2941" s="285" t="s">
        <v>11596</v>
      </c>
    </row>
    <row r="2942">
      <c r="A2942" s="283">
        <v>51.0</v>
      </c>
      <c r="B2942" s="284">
        <v>740.0</v>
      </c>
      <c r="C2942" s="285" t="str">
        <f t="shared" si="1"/>
        <v>51 740</v>
      </c>
      <c r="D2942" s="285" t="s">
        <v>11597</v>
      </c>
    </row>
    <row r="2943">
      <c r="A2943" s="283">
        <v>51.0</v>
      </c>
      <c r="B2943" s="284">
        <v>750.0</v>
      </c>
      <c r="C2943" s="285" t="str">
        <f t="shared" si="1"/>
        <v>51 750</v>
      </c>
      <c r="D2943" s="285" t="s">
        <v>11598</v>
      </c>
    </row>
    <row r="2944">
      <c r="A2944" s="283">
        <v>51.0</v>
      </c>
      <c r="B2944" s="284">
        <v>760.0</v>
      </c>
      <c r="C2944" s="285" t="str">
        <f t="shared" si="1"/>
        <v>51 760</v>
      </c>
      <c r="D2944" s="285" t="s">
        <v>11599</v>
      </c>
    </row>
    <row r="2945">
      <c r="A2945" s="283">
        <v>51.0</v>
      </c>
      <c r="B2945" s="284">
        <v>770.0</v>
      </c>
      <c r="C2945" s="285" t="str">
        <f t="shared" si="1"/>
        <v>51 770</v>
      </c>
      <c r="D2945" s="285" t="s">
        <v>11600</v>
      </c>
    </row>
    <row r="2946">
      <c r="A2946" s="283">
        <v>51.0</v>
      </c>
      <c r="B2946" s="284">
        <v>775.0</v>
      </c>
      <c r="C2946" s="285" t="str">
        <f t="shared" si="1"/>
        <v>51 775</v>
      </c>
      <c r="D2946" s="285" t="s">
        <v>11601</v>
      </c>
    </row>
    <row r="2947">
      <c r="A2947" s="283">
        <v>51.0</v>
      </c>
      <c r="B2947" s="284">
        <v>780.0</v>
      </c>
      <c r="C2947" s="285" t="str">
        <f t="shared" si="1"/>
        <v>51 780</v>
      </c>
      <c r="D2947" s="285" t="s">
        <v>11602</v>
      </c>
    </row>
    <row r="2948">
      <c r="A2948" s="283">
        <v>51.0</v>
      </c>
      <c r="B2948" s="284">
        <v>790.0</v>
      </c>
      <c r="C2948" s="285" t="str">
        <f t="shared" si="1"/>
        <v>51 790</v>
      </c>
      <c r="D2948" s="285" t="s">
        <v>11603</v>
      </c>
    </row>
    <row r="2949">
      <c r="A2949" s="283">
        <v>51.0</v>
      </c>
      <c r="B2949" s="284">
        <v>800.0</v>
      </c>
      <c r="C2949" s="285" t="str">
        <f t="shared" si="1"/>
        <v>51 800</v>
      </c>
      <c r="D2949" s="285" t="s">
        <v>11604</v>
      </c>
    </row>
    <row r="2950">
      <c r="A2950" s="283">
        <v>51.0</v>
      </c>
      <c r="B2950" s="284">
        <v>810.0</v>
      </c>
      <c r="C2950" s="285" t="str">
        <f t="shared" si="1"/>
        <v>51 810</v>
      </c>
      <c r="D2950" s="285" t="s">
        <v>11605</v>
      </c>
    </row>
    <row r="2951">
      <c r="A2951" s="283">
        <v>51.0</v>
      </c>
      <c r="B2951" s="284">
        <v>820.0</v>
      </c>
      <c r="C2951" s="285" t="str">
        <f t="shared" si="1"/>
        <v>51 820</v>
      </c>
      <c r="D2951" s="285" t="s">
        <v>11606</v>
      </c>
    </row>
    <row r="2952">
      <c r="A2952" s="283">
        <v>51.0</v>
      </c>
      <c r="B2952" s="284">
        <v>830.0</v>
      </c>
      <c r="C2952" s="285" t="str">
        <f t="shared" si="1"/>
        <v>51 830</v>
      </c>
      <c r="D2952" s="285" t="s">
        <v>11607</v>
      </c>
    </row>
    <row r="2953">
      <c r="A2953" s="283">
        <v>51.0</v>
      </c>
      <c r="B2953" s="284">
        <v>840.0</v>
      </c>
      <c r="C2953" s="285" t="str">
        <f t="shared" si="1"/>
        <v>51 840</v>
      </c>
      <c r="D2953" s="285" t="s">
        <v>11608</v>
      </c>
    </row>
    <row r="2954">
      <c r="A2954" s="283">
        <v>53.0</v>
      </c>
      <c r="B2954" s="284">
        <v>1.0</v>
      </c>
      <c r="C2954" s="285" t="str">
        <f t="shared" si="1"/>
        <v>53 1</v>
      </c>
      <c r="D2954" s="285" t="s">
        <v>11609</v>
      </c>
    </row>
    <row r="2955">
      <c r="A2955" s="283">
        <v>53.0</v>
      </c>
      <c r="B2955" s="284">
        <v>3.0</v>
      </c>
      <c r="C2955" s="285" t="str">
        <f t="shared" si="1"/>
        <v>53 3</v>
      </c>
      <c r="D2955" s="285" t="s">
        <v>11610</v>
      </c>
    </row>
    <row r="2956">
      <c r="A2956" s="283">
        <v>53.0</v>
      </c>
      <c r="B2956" s="284">
        <v>5.0</v>
      </c>
      <c r="C2956" s="285" t="str">
        <f t="shared" si="1"/>
        <v>53 5</v>
      </c>
      <c r="D2956" s="285" t="s">
        <v>11611</v>
      </c>
    </row>
    <row r="2957">
      <c r="A2957" s="283">
        <v>53.0</v>
      </c>
      <c r="B2957" s="284">
        <v>7.0</v>
      </c>
      <c r="C2957" s="285" t="str">
        <f t="shared" si="1"/>
        <v>53 7</v>
      </c>
      <c r="D2957" s="285" t="s">
        <v>11612</v>
      </c>
    </row>
    <row r="2958">
      <c r="A2958" s="283">
        <v>53.0</v>
      </c>
      <c r="B2958" s="284">
        <v>9.0</v>
      </c>
      <c r="C2958" s="285" t="str">
        <f t="shared" si="1"/>
        <v>53 9</v>
      </c>
      <c r="D2958" s="285" t="s">
        <v>11613</v>
      </c>
    </row>
    <row r="2959">
      <c r="A2959" s="283">
        <v>53.0</v>
      </c>
      <c r="B2959" s="284">
        <v>11.0</v>
      </c>
      <c r="C2959" s="285" t="str">
        <f t="shared" si="1"/>
        <v>53 11</v>
      </c>
      <c r="D2959" s="285" t="s">
        <v>11614</v>
      </c>
    </row>
    <row r="2960">
      <c r="A2960" s="283">
        <v>53.0</v>
      </c>
      <c r="B2960" s="284">
        <v>13.0</v>
      </c>
      <c r="C2960" s="285" t="str">
        <f t="shared" si="1"/>
        <v>53 13</v>
      </c>
      <c r="D2960" s="285" t="s">
        <v>11615</v>
      </c>
    </row>
    <row r="2961">
      <c r="A2961" s="283">
        <v>53.0</v>
      </c>
      <c r="B2961" s="284">
        <v>15.0</v>
      </c>
      <c r="C2961" s="285" t="str">
        <f t="shared" si="1"/>
        <v>53 15</v>
      </c>
      <c r="D2961" s="285" t="s">
        <v>11616</v>
      </c>
    </row>
    <row r="2962">
      <c r="A2962" s="283">
        <v>53.0</v>
      </c>
      <c r="B2962" s="284">
        <v>17.0</v>
      </c>
      <c r="C2962" s="285" t="str">
        <f t="shared" si="1"/>
        <v>53 17</v>
      </c>
      <c r="D2962" s="285" t="s">
        <v>11617</v>
      </c>
    </row>
    <row r="2963">
      <c r="A2963" s="283">
        <v>53.0</v>
      </c>
      <c r="B2963" s="284">
        <v>19.0</v>
      </c>
      <c r="C2963" s="285" t="str">
        <f t="shared" si="1"/>
        <v>53 19</v>
      </c>
      <c r="D2963" s="285" t="s">
        <v>11618</v>
      </c>
    </row>
    <row r="2964">
      <c r="A2964" s="283">
        <v>53.0</v>
      </c>
      <c r="B2964" s="284">
        <v>21.0</v>
      </c>
      <c r="C2964" s="285" t="str">
        <f t="shared" si="1"/>
        <v>53 21</v>
      </c>
      <c r="D2964" s="285" t="s">
        <v>11619</v>
      </c>
    </row>
    <row r="2965">
      <c r="A2965" s="283">
        <v>53.0</v>
      </c>
      <c r="B2965" s="284">
        <v>23.0</v>
      </c>
      <c r="C2965" s="285" t="str">
        <f t="shared" si="1"/>
        <v>53 23</v>
      </c>
      <c r="D2965" s="285" t="s">
        <v>11620</v>
      </c>
    </row>
    <row r="2966">
      <c r="A2966" s="283">
        <v>53.0</v>
      </c>
      <c r="B2966" s="284">
        <v>25.0</v>
      </c>
      <c r="C2966" s="285" t="str">
        <f t="shared" si="1"/>
        <v>53 25</v>
      </c>
      <c r="D2966" s="285" t="s">
        <v>11621</v>
      </c>
    </row>
    <row r="2967">
      <c r="A2967" s="283">
        <v>53.0</v>
      </c>
      <c r="B2967" s="284">
        <v>27.0</v>
      </c>
      <c r="C2967" s="285" t="str">
        <f t="shared" si="1"/>
        <v>53 27</v>
      </c>
      <c r="D2967" s="285" t="s">
        <v>11622</v>
      </c>
    </row>
    <row r="2968">
      <c r="A2968" s="283">
        <v>53.0</v>
      </c>
      <c r="B2968" s="284">
        <v>29.0</v>
      </c>
      <c r="C2968" s="285" t="str">
        <f t="shared" si="1"/>
        <v>53 29</v>
      </c>
      <c r="D2968" s="285" t="s">
        <v>11623</v>
      </c>
    </row>
    <row r="2969">
      <c r="A2969" s="283">
        <v>53.0</v>
      </c>
      <c r="B2969" s="284">
        <v>31.0</v>
      </c>
      <c r="C2969" s="285" t="str">
        <f t="shared" si="1"/>
        <v>53 31</v>
      </c>
      <c r="D2969" s="285" t="s">
        <v>11624</v>
      </c>
    </row>
    <row r="2970">
      <c r="A2970" s="283">
        <v>53.0</v>
      </c>
      <c r="B2970" s="284">
        <v>33.0</v>
      </c>
      <c r="C2970" s="285" t="str">
        <f t="shared" si="1"/>
        <v>53 33</v>
      </c>
      <c r="D2970" s="285" t="s">
        <v>11625</v>
      </c>
    </row>
    <row r="2971">
      <c r="A2971" s="283">
        <v>53.0</v>
      </c>
      <c r="B2971" s="284">
        <v>35.0</v>
      </c>
      <c r="C2971" s="285" t="str">
        <f t="shared" si="1"/>
        <v>53 35</v>
      </c>
      <c r="D2971" s="285" t="s">
        <v>11626</v>
      </c>
    </row>
    <row r="2972">
      <c r="A2972" s="283">
        <v>53.0</v>
      </c>
      <c r="B2972" s="284">
        <v>37.0</v>
      </c>
      <c r="C2972" s="285" t="str">
        <f t="shared" si="1"/>
        <v>53 37</v>
      </c>
      <c r="D2972" s="285" t="s">
        <v>11627</v>
      </c>
    </row>
    <row r="2973">
      <c r="A2973" s="283">
        <v>53.0</v>
      </c>
      <c r="B2973" s="284">
        <v>39.0</v>
      </c>
      <c r="C2973" s="285" t="str">
        <f t="shared" si="1"/>
        <v>53 39</v>
      </c>
      <c r="D2973" s="285" t="s">
        <v>11628</v>
      </c>
    </row>
    <row r="2974">
      <c r="A2974" s="283">
        <v>53.0</v>
      </c>
      <c r="B2974" s="284">
        <v>41.0</v>
      </c>
      <c r="C2974" s="285" t="str">
        <f t="shared" si="1"/>
        <v>53 41</v>
      </c>
      <c r="D2974" s="285" t="s">
        <v>11629</v>
      </c>
    </row>
    <row r="2975">
      <c r="A2975" s="283">
        <v>53.0</v>
      </c>
      <c r="B2975" s="284">
        <v>43.0</v>
      </c>
      <c r="C2975" s="285" t="str">
        <f t="shared" si="1"/>
        <v>53 43</v>
      </c>
      <c r="D2975" s="285" t="s">
        <v>11630</v>
      </c>
    </row>
    <row r="2976">
      <c r="A2976" s="283">
        <v>53.0</v>
      </c>
      <c r="B2976" s="284">
        <v>45.0</v>
      </c>
      <c r="C2976" s="285" t="str">
        <f t="shared" si="1"/>
        <v>53 45</v>
      </c>
      <c r="D2976" s="285" t="s">
        <v>11631</v>
      </c>
    </row>
    <row r="2977">
      <c r="A2977" s="283">
        <v>53.0</v>
      </c>
      <c r="B2977" s="284">
        <v>47.0</v>
      </c>
      <c r="C2977" s="285" t="str">
        <f t="shared" si="1"/>
        <v>53 47</v>
      </c>
      <c r="D2977" s="285" t="s">
        <v>11632</v>
      </c>
    </row>
    <row r="2978">
      <c r="A2978" s="283">
        <v>53.0</v>
      </c>
      <c r="B2978" s="284">
        <v>49.0</v>
      </c>
      <c r="C2978" s="285" t="str">
        <f t="shared" si="1"/>
        <v>53 49</v>
      </c>
      <c r="D2978" s="285" t="s">
        <v>11633</v>
      </c>
    </row>
    <row r="2979">
      <c r="A2979" s="283">
        <v>53.0</v>
      </c>
      <c r="B2979" s="284">
        <v>51.0</v>
      </c>
      <c r="C2979" s="285" t="str">
        <f t="shared" si="1"/>
        <v>53 51</v>
      </c>
      <c r="D2979" s="285" t="s">
        <v>11634</v>
      </c>
    </row>
    <row r="2980">
      <c r="A2980" s="283">
        <v>53.0</v>
      </c>
      <c r="B2980" s="284">
        <v>53.0</v>
      </c>
      <c r="C2980" s="285" t="str">
        <f t="shared" si="1"/>
        <v>53 53</v>
      </c>
      <c r="D2980" s="285" t="s">
        <v>11635</v>
      </c>
    </row>
    <row r="2981">
      <c r="A2981" s="283">
        <v>53.0</v>
      </c>
      <c r="B2981" s="284">
        <v>55.0</v>
      </c>
      <c r="C2981" s="285" t="str">
        <f t="shared" si="1"/>
        <v>53 55</v>
      </c>
      <c r="D2981" s="285" t="s">
        <v>11636</v>
      </c>
    </row>
    <row r="2982">
      <c r="A2982" s="283">
        <v>53.0</v>
      </c>
      <c r="B2982" s="284">
        <v>57.0</v>
      </c>
      <c r="C2982" s="285" t="str">
        <f t="shared" si="1"/>
        <v>53 57</v>
      </c>
      <c r="D2982" s="285" t="s">
        <v>11637</v>
      </c>
    </row>
    <row r="2983">
      <c r="A2983" s="283">
        <v>53.0</v>
      </c>
      <c r="B2983" s="284">
        <v>59.0</v>
      </c>
      <c r="C2983" s="285" t="str">
        <f t="shared" si="1"/>
        <v>53 59</v>
      </c>
      <c r="D2983" s="285" t="s">
        <v>11638</v>
      </c>
    </row>
    <row r="2984">
      <c r="A2984" s="283">
        <v>53.0</v>
      </c>
      <c r="B2984" s="284">
        <v>61.0</v>
      </c>
      <c r="C2984" s="285" t="str">
        <f t="shared" si="1"/>
        <v>53 61</v>
      </c>
      <c r="D2984" s="285" t="s">
        <v>11639</v>
      </c>
    </row>
    <row r="2985">
      <c r="A2985" s="283">
        <v>53.0</v>
      </c>
      <c r="B2985" s="284">
        <v>63.0</v>
      </c>
      <c r="C2985" s="285" t="str">
        <f t="shared" si="1"/>
        <v>53 63</v>
      </c>
      <c r="D2985" s="285" t="s">
        <v>11640</v>
      </c>
    </row>
    <row r="2986">
      <c r="A2986" s="283">
        <v>53.0</v>
      </c>
      <c r="B2986" s="284">
        <v>65.0</v>
      </c>
      <c r="C2986" s="285" t="str">
        <f t="shared" si="1"/>
        <v>53 65</v>
      </c>
      <c r="D2986" s="285" t="s">
        <v>11641</v>
      </c>
    </row>
    <row r="2987">
      <c r="A2987" s="283">
        <v>53.0</v>
      </c>
      <c r="B2987" s="284">
        <v>67.0</v>
      </c>
      <c r="C2987" s="285" t="str">
        <f t="shared" si="1"/>
        <v>53 67</v>
      </c>
      <c r="D2987" s="285" t="s">
        <v>11642</v>
      </c>
    </row>
    <row r="2988">
      <c r="A2988" s="283">
        <v>53.0</v>
      </c>
      <c r="B2988" s="284">
        <v>69.0</v>
      </c>
      <c r="C2988" s="285" t="str">
        <f t="shared" si="1"/>
        <v>53 69</v>
      </c>
      <c r="D2988" s="285" t="s">
        <v>11643</v>
      </c>
    </row>
    <row r="2989">
      <c r="A2989" s="283">
        <v>53.0</v>
      </c>
      <c r="B2989" s="284">
        <v>71.0</v>
      </c>
      <c r="C2989" s="285" t="str">
        <f t="shared" si="1"/>
        <v>53 71</v>
      </c>
      <c r="D2989" s="285" t="s">
        <v>11644</v>
      </c>
    </row>
    <row r="2990">
      <c r="A2990" s="283">
        <v>53.0</v>
      </c>
      <c r="B2990" s="284">
        <v>73.0</v>
      </c>
      <c r="C2990" s="285" t="str">
        <f t="shared" si="1"/>
        <v>53 73</v>
      </c>
      <c r="D2990" s="285" t="s">
        <v>11645</v>
      </c>
    </row>
    <row r="2991">
      <c r="A2991" s="283">
        <v>53.0</v>
      </c>
      <c r="B2991" s="284">
        <v>75.0</v>
      </c>
      <c r="C2991" s="285" t="str">
        <f t="shared" si="1"/>
        <v>53 75</v>
      </c>
      <c r="D2991" s="285" t="s">
        <v>11646</v>
      </c>
    </row>
    <row r="2992">
      <c r="A2992" s="283">
        <v>53.0</v>
      </c>
      <c r="B2992" s="284">
        <v>77.0</v>
      </c>
      <c r="C2992" s="285" t="str">
        <f t="shared" si="1"/>
        <v>53 77</v>
      </c>
      <c r="D2992" s="285" t="s">
        <v>11647</v>
      </c>
    </row>
    <row r="2993">
      <c r="A2993" s="283">
        <v>54.0</v>
      </c>
      <c r="B2993" s="284">
        <v>1.0</v>
      </c>
      <c r="C2993" s="285" t="str">
        <f t="shared" si="1"/>
        <v>54 1</v>
      </c>
      <c r="D2993" s="285" t="s">
        <v>11648</v>
      </c>
    </row>
    <row r="2994">
      <c r="A2994" s="283">
        <v>54.0</v>
      </c>
      <c r="B2994" s="284">
        <v>3.0</v>
      </c>
      <c r="C2994" s="285" t="str">
        <f t="shared" si="1"/>
        <v>54 3</v>
      </c>
      <c r="D2994" s="285" t="s">
        <v>11649</v>
      </c>
    </row>
    <row r="2995">
      <c r="A2995" s="283">
        <v>54.0</v>
      </c>
      <c r="B2995" s="284">
        <v>5.0</v>
      </c>
      <c r="C2995" s="285" t="str">
        <f t="shared" si="1"/>
        <v>54 5</v>
      </c>
      <c r="D2995" s="285" t="s">
        <v>11650</v>
      </c>
    </row>
    <row r="2996">
      <c r="A2996" s="283">
        <v>54.0</v>
      </c>
      <c r="B2996" s="284">
        <v>7.0</v>
      </c>
      <c r="C2996" s="285" t="str">
        <f t="shared" si="1"/>
        <v>54 7</v>
      </c>
      <c r="D2996" s="285" t="s">
        <v>11651</v>
      </c>
    </row>
    <row r="2997">
      <c r="A2997" s="283">
        <v>54.0</v>
      </c>
      <c r="B2997" s="284">
        <v>9.0</v>
      </c>
      <c r="C2997" s="285" t="str">
        <f t="shared" si="1"/>
        <v>54 9</v>
      </c>
      <c r="D2997" s="285" t="s">
        <v>11652</v>
      </c>
    </row>
    <row r="2998">
      <c r="A2998" s="283">
        <v>54.0</v>
      </c>
      <c r="B2998" s="284">
        <v>11.0</v>
      </c>
      <c r="C2998" s="285" t="str">
        <f t="shared" si="1"/>
        <v>54 11</v>
      </c>
      <c r="D2998" s="285" t="s">
        <v>11653</v>
      </c>
    </row>
    <row r="2999">
      <c r="A2999" s="283">
        <v>54.0</v>
      </c>
      <c r="B2999" s="284">
        <v>13.0</v>
      </c>
      <c r="C2999" s="285" t="str">
        <f t="shared" si="1"/>
        <v>54 13</v>
      </c>
      <c r="D2999" s="285" t="s">
        <v>11654</v>
      </c>
    </row>
    <row r="3000">
      <c r="A3000" s="283">
        <v>54.0</v>
      </c>
      <c r="B3000" s="284">
        <v>15.0</v>
      </c>
      <c r="C3000" s="285" t="str">
        <f t="shared" si="1"/>
        <v>54 15</v>
      </c>
      <c r="D3000" s="285" t="s">
        <v>11655</v>
      </c>
    </row>
    <row r="3001">
      <c r="A3001" s="283">
        <v>54.0</v>
      </c>
      <c r="B3001" s="284">
        <v>17.0</v>
      </c>
      <c r="C3001" s="285" t="str">
        <f t="shared" si="1"/>
        <v>54 17</v>
      </c>
      <c r="D3001" s="285" t="s">
        <v>11656</v>
      </c>
    </row>
    <row r="3002">
      <c r="A3002" s="283">
        <v>54.0</v>
      </c>
      <c r="B3002" s="284">
        <v>19.0</v>
      </c>
      <c r="C3002" s="285" t="str">
        <f t="shared" si="1"/>
        <v>54 19</v>
      </c>
      <c r="D3002" s="285" t="s">
        <v>11657</v>
      </c>
    </row>
    <row r="3003">
      <c r="A3003" s="283">
        <v>54.0</v>
      </c>
      <c r="B3003" s="284">
        <v>21.0</v>
      </c>
      <c r="C3003" s="285" t="str">
        <f t="shared" si="1"/>
        <v>54 21</v>
      </c>
      <c r="D3003" s="285" t="s">
        <v>11658</v>
      </c>
    </row>
    <row r="3004">
      <c r="A3004" s="283">
        <v>54.0</v>
      </c>
      <c r="B3004" s="284">
        <v>23.0</v>
      </c>
      <c r="C3004" s="285" t="str">
        <f t="shared" si="1"/>
        <v>54 23</v>
      </c>
      <c r="D3004" s="285" t="s">
        <v>11659</v>
      </c>
    </row>
    <row r="3005">
      <c r="A3005" s="283">
        <v>54.0</v>
      </c>
      <c r="B3005" s="284">
        <v>25.0</v>
      </c>
      <c r="C3005" s="285" t="str">
        <f t="shared" si="1"/>
        <v>54 25</v>
      </c>
      <c r="D3005" s="285" t="s">
        <v>11660</v>
      </c>
    </row>
    <row r="3006">
      <c r="A3006" s="283">
        <v>54.0</v>
      </c>
      <c r="B3006" s="284">
        <v>27.0</v>
      </c>
      <c r="C3006" s="285" t="str">
        <f t="shared" si="1"/>
        <v>54 27</v>
      </c>
      <c r="D3006" s="285" t="s">
        <v>11661</v>
      </c>
    </row>
    <row r="3007">
      <c r="A3007" s="283">
        <v>54.0</v>
      </c>
      <c r="B3007" s="284">
        <v>29.0</v>
      </c>
      <c r="C3007" s="285" t="str">
        <f t="shared" si="1"/>
        <v>54 29</v>
      </c>
      <c r="D3007" s="285" t="s">
        <v>11662</v>
      </c>
    </row>
    <row r="3008">
      <c r="A3008" s="283">
        <v>54.0</v>
      </c>
      <c r="B3008" s="284">
        <v>31.0</v>
      </c>
      <c r="C3008" s="285" t="str">
        <f t="shared" si="1"/>
        <v>54 31</v>
      </c>
      <c r="D3008" s="285" t="s">
        <v>11663</v>
      </c>
    </row>
    <row r="3009">
      <c r="A3009" s="283">
        <v>54.0</v>
      </c>
      <c r="B3009" s="284">
        <v>33.0</v>
      </c>
      <c r="C3009" s="285" t="str">
        <f t="shared" si="1"/>
        <v>54 33</v>
      </c>
      <c r="D3009" s="285" t="s">
        <v>11664</v>
      </c>
    </row>
    <row r="3010">
      <c r="A3010" s="283">
        <v>54.0</v>
      </c>
      <c r="B3010" s="284">
        <v>35.0</v>
      </c>
      <c r="C3010" s="285" t="str">
        <f t="shared" si="1"/>
        <v>54 35</v>
      </c>
      <c r="D3010" s="285" t="s">
        <v>11665</v>
      </c>
    </row>
    <row r="3011">
      <c r="A3011" s="283">
        <v>54.0</v>
      </c>
      <c r="B3011" s="284">
        <v>37.0</v>
      </c>
      <c r="C3011" s="285" t="str">
        <f t="shared" si="1"/>
        <v>54 37</v>
      </c>
      <c r="D3011" s="285" t="s">
        <v>11666</v>
      </c>
    </row>
    <row r="3012">
      <c r="A3012" s="283">
        <v>54.0</v>
      </c>
      <c r="B3012" s="284">
        <v>39.0</v>
      </c>
      <c r="C3012" s="285" t="str">
        <f t="shared" si="1"/>
        <v>54 39</v>
      </c>
      <c r="D3012" s="285" t="s">
        <v>11667</v>
      </c>
    </row>
    <row r="3013">
      <c r="A3013" s="283">
        <v>54.0</v>
      </c>
      <c r="B3013" s="284">
        <v>41.0</v>
      </c>
      <c r="C3013" s="285" t="str">
        <f t="shared" si="1"/>
        <v>54 41</v>
      </c>
      <c r="D3013" s="285" t="s">
        <v>11668</v>
      </c>
    </row>
    <row r="3014">
      <c r="A3014" s="283">
        <v>54.0</v>
      </c>
      <c r="B3014" s="284">
        <v>43.0</v>
      </c>
      <c r="C3014" s="285" t="str">
        <f t="shared" si="1"/>
        <v>54 43</v>
      </c>
      <c r="D3014" s="285" t="s">
        <v>11669</v>
      </c>
    </row>
    <row r="3015">
      <c r="A3015" s="283">
        <v>54.0</v>
      </c>
      <c r="B3015" s="284">
        <v>45.0</v>
      </c>
      <c r="C3015" s="285" t="str">
        <f t="shared" si="1"/>
        <v>54 45</v>
      </c>
      <c r="D3015" s="285" t="s">
        <v>11670</v>
      </c>
    </row>
    <row r="3016">
      <c r="A3016" s="283">
        <v>54.0</v>
      </c>
      <c r="B3016" s="284">
        <v>47.0</v>
      </c>
      <c r="C3016" s="285" t="str">
        <f t="shared" si="1"/>
        <v>54 47</v>
      </c>
      <c r="D3016" s="285" t="s">
        <v>11671</v>
      </c>
    </row>
    <row r="3017">
      <c r="A3017" s="283">
        <v>54.0</v>
      </c>
      <c r="B3017" s="284">
        <v>49.0</v>
      </c>
      <c r="C3017" s="285" t="str">
        <f t="shared" si="1"/>
        <v>54 49</v>
      </c>
      <c r="D3017" s="285" t="s">
        <v>11672</v>
      </c>
    </row>
    <row r="3018">
      <c r="A3018" s="283">
        <v>54.0</v>
      </c>
      <c r="B3018" s="284">
        <v>51.0</v>
      </c>
      <c r="C3018" s="285" t="str">
        <f t="shared" si="1"/>
        <v>54 51</v>
      </c>
      <c r="D3018" s="285" t="s">
        <v>11673</v>
      </c>
    </row>
    <row r="3019">
      <c r="A3019" s="283">
        <v>54.0</v>
      </c>
      <c r="B3019" s="284">
        <v>53.0</v>
      </c>
      <c r="C3019" s="285" t="str">
        <f t="shared" si="1"/>
        <v>54 53</v>
      </c>
      <c r="D3019" s="285" t="s">
        <v>11674</v>
      </c>
    </row>
    <row r="3020">
      <c r="A3020" s="283">
        <v>54.0</v>
      </c>
      <c r="B3020" s="284">
        <v>55.0</v>
      </c>
      <c r="C3020" s="285" t="str">
        <f t="shared" si="1"/>
        <v>54 55</v>
      </c>
      <c r="D3020" s="285" t="s">
        <v>11675</v>
      </c>
    </row>
    <row r="3021">
      <c r="A3021" s="283">
        <v>54.0</v>
      </c>
      <c r="B3021" s="284">
        <v>57.0</v>
      </c>
      <c r="C3021" s="285" t="str">
        <f t="shared" si="1"/>
        <v>54 57</v>
      </c>
      <c r="D3021" s="285" t="s">
        <v>11676</v>
      </c>
    </row>
    <row r="3022">
      <c r="A3022" s="283">
        <v>54.0</v>
      </c>
      <c r="B3022" s="284">
        <v>59.0</v>
      </c>
      <c r="C3022" s="285" t="str">
        <f t="shared" si="1"/>
        <v>54 59</v>
      </c>
      <c r="D3022" s="285" t="s">
        <v>11677</v>
      </c>
    </row>
    <row r="3023">
      <c r="A3023" s="283">
        <v>54.0</v>
      </c>
      <c r="B3023" s="284">
        <v>61.0</v>
      </c>
      <c r="C3023" s="285" t="str">
        <f t="shared" si="1"/>
        <v>54 61</v>
      </c>
      <c r="D3023" s="285" t="s">
        <v>11678</v>
      </c>
    </row>
    <row r="3024">
      <c r="A3024" s="283">
        <v>54.0</v>
      </c>
      <c r="B3024" s="284">
        <v>63.0</v>
      </c>
      <c r="C3024" s="285" t="str">
        <f t="shared" si="1"/>
        <v>54 63</v>
      </c>
      <c r="D3024" s="285" t="s">
        <v>11679</v>
      </c>
    </row>
    <row r="3025">
      <c r="A3025" s="283">
        <v>54.0</v>
      </c>
      <c r="B3025" s="284">
        <v>65.0</v>
      </c>
      <c r="C3025" s="285" t="str">
        <f t="shared" si="1"/>
        <v>54 65</v>
      </c>
      <c r="D3025" s="285" t="s">
        <v>11680</v>
      </c>
    </row>
    <row r="3026">
      <c r="A3026" s="283">
        <v>54.0</v>
      </c>
      <c r="B3026" s="284">
        <v>67.0</v>
      </c>
      <c r="C3026" s="285" t="str">
        <f t="shared" si="1"/>
        <v>54 67</v>
      </c>
      <c r="D3026" s="285" t="s">
        <v>11681</v>
      </c>
    </row>
    <row r="3027">
      <c r="A3027" s="283">
        <v>54.0</v>
      </c>
      <c r="B3027" s="284">
        <v>69.0</v>
      </c>
      <c r="C3027" s="285" t="str">
        <f t="shared" si="1"/>
        <v>54 69</v>
      </c>
      <c r="D3027" s="285" t="s">
        <v>11682</v>
      </c>
    </row>
    <row r="3028">
      <c r="A3028" s="283">
        <v>54.0</v>
      </c>
      <c r="B3028" s="284">
        <v>71.0</v>
      </c>
      <c r="C3028" s="285" t="str">
        <f t="shared" si="1"/>
        <v>54 71</v>
      </c>
      <c r="D3028" s="285" t="s">
        <v>11683</v>
      </c>
    </row>
    <row r="3029">
      <c r="A3029" s="283">
        <v>54.0</v>
      </c>
      <c r="B3029" s="284">
        <v>73.0</v>
      </c>
      <c r="C3029" s="285" t="str">
        <f t="shared" si="1"/>
        <v>54 73</v>
      </c>
      <c r="D3029" s="285" t="s">
        <v>11684</v>
      </c>
    </row>
    <row r="3030">
      <c r="A3030" s="283">
        <v>54.0</v>
      </c>
      <c r="B3030" s="284">
        <v>75.0</v>
      </c>
      <c r="C3030" s="285" t="str">
        <f t="shared" si="1"/>
        <v>54 75</v>
      </c>
      <c r="D3030" s="285" t="s">
        <v>11685</v>
      </c>
    </row>
    <row r="3031">
      <c r="A3031" s="283">
        <v>54.0</v>
      </c>
      <c r="B3031" s="284">
        <v>77.0</v>
      </c>
      <c r="C3031" s="285" t="str">
        <f t="shared" si="1"/>
        <v>54 77</v>
      </c>
      <c r="D3031" s="285" t="s">
        <v>11686</v>
      </c>
    </row>
    <row r="3032">
      <c r="A3032" s="283">
        <v>54.0</v>
      </c>
      <c r="B3032" s="284">
        <v>79.0</v>
      </c>
      <c r="C3032" s="285" t="str">
        <f t="shared" si="1"/>
        <v>54 79</v>
      </c>
      <c r="D3032" s="285" t="s">
        <v>11687</v>
      </c>
    </row>
    <row r="3033">
      <c r="A3033" s="283">
        <v>54.0</v>
      </c>
      <c r="B3033" s="284">
        <v>81.0</v>
      </c>
      <c r="C3033" s="285" t="str">
        <f t="shared" si="1"/>
        <v>54 81</v>
      </c>
      <c r="D3033" s="285" t="s">
        <v>11688</v>
      </c>
    </row>
    <row r="3034">
      <c r="A3034" s="283">
        <v>54.0</v>
      </c>
      <c r="B3034" s="284">
        <v>83.0</v>
      </c>
      <c r="C3034" s="285" t="str">
        <f t="shared" si="1"/>
        <v>54 83</v>
      </c>
      <c r="D3034" s="285" t="s">
        <v>11689</v>
      </c>
    </row>
    <row r="3035">
      <c r="A3035" s="283">
        <v>54.0</v>
      </c>
      <c r="B3035" s="284">
        <v>85.0</v>
      </c>
      <c r="C3035" s="285" t="str">
        <f t="shared" si="1"/>
        <v>54 85</v>
      </c>
      <c r="D3035" s="285" t="s">
        <v>11690</v>
      </c>
    </row>
    <row r="3036">
      <c r="A3036" s="283">
        <v>54.0</v>
      </c>
      <c r="B3036" s="284">
        <v>87.0</v>
      </c>
      <c r="C3036" s="285" t="str">
        <f t="shared" si="1"/>
        <v>54 87</v>
      </c>
      <c r="D3036" s="285" t="s">
        <v>11691</v>
      </c>
    </row>
    <row r="3037">
      <c r="A3037" s="283">
        <v>54.0</v>
      </c>
      <c r="B3037" s="284">
        <v>89.0</v>
      </c>
      <c r="C3037" s="285" t="str">
        <f t="shared" si="1"/>
        <v>54 89</v>
      </c>
      <c r="D3037" s="285" t="s">
        <v>11692</v>
      </c>
    </row>
    <row r="3038">
      <c r="A3038" s="283">
        <v>54.0</v>
      </c>
      <c r="B3038" s="284">
        <v>91.0</v>
      </c>
      <c r="C3038" s="285" t="str">
        <f t="shared" si="1"/>
        <v>54 91</v>
      </c>
      <c r="D3038" s="285" t="s">
        <v>11693</v>
      </c>
    </row>
    <row r="3039">
      <c r="A3039" s="283">
        <v>54.0</v>
      </c>
      <c r="B3039" s="284">
        <v>93.0</v>
      </c>
      <c r="C3039" s="285" t="str">
        <f t="shared" si="1"/>
        <v>54 93</v>
      </c>
      <c r="D3039" s="285" t="s">
        <v>11694</v>
      </c>
    </row>
    <row r="3040">
      <c r="A3040" s="283">
        <v>54.0</v>
      </c>
      <c r="B3040" s="284">
        <v>95.0</v>
      </c>
      <c r="C3040" s="285" t="str">
        <f t="shared" si="1"/>
        <v>54 95</v>
      </c>
      <c r="D3040" s="285" t="s">
        <v>11695</v>
      </c>
    </row>
    <row r="3041">
      <c r="A3041" s="283">
        <v>54.0</v>
      </c>
      <c r="B3041" s="284">
        <v>97.0</v>
      </c>
      <c r="C3041" s="285" t="str">
        <f t="shared" si="1"/>
        <v>54 97</v>
      </c>
      <c r="D3041" s="285" t="s">
        <v>11696</v>
      </c>
    </row>
    <row r="3042">
      <c r="A3042" s="283">
        <v>54.0</v>
      </c>
      <c r="B3042" s="284">
        <v>99.0</v>
      </c>
      <c r="C3042" s="285" t="str">
        <f t="shared" si="1"/>
        <v>54 99</v>
      </c>
      <c r="D3042" s="285" t="s">
        <v>11697</v>
      </c>
    </row>
    <row r="3043">
      <c r="A3043" s="283">
        <v>54.0</v>
      </c>
      <c r="B3043" s="284">
        <v>101.0</v>
      </c>
      <c r="C3043" s="285" t="str">
        <f t="shared" si="1"/>
        <v>54 101</v>
      </c>
      <c r="D3043" s="285" t="s">
        <v>11698</v>
      </c>
    </row>
    <row r="3044">
      <c r="A3044" s="283">
        <v>54.0</v>
      </c>
      <c r="B3044" s="284">
        <v>103.0</v>
      </c>
      <c r="C3044" s="285" t="str">
        <f t="shared" si="1"/>
        <v>54 103</v>
      </c>
      <c r="D3044" s="285" t="s">
        <v>11699</v>
      </c>
    </row>
    <row r="3045">
      <c r="A3045" s="283">
        <v>54.0</v>
      </c>
      <c r="B3045" s="284">
        <v>105.0</v>
      </c>
      <c r="C3045" s="285" t="str">
        <f t="shared" si="1"/>
        <v>54 105</v>
      </c>
      <c r="D3045" s="285" t="s">
        <v>11700</v>
      </c>
    </row>
    <row r="3046">
      <c r="A3046" s="283">
        <v>54.0</v>
      </c>
      <c r="B3046" s="284">
        <v>107.0</v>
      </c>
      <c r="C3046" s="285" t="str">
        <f t="shared" si="1"/>
        <v>54 107</v>
      </c>
      <c r="D3046" s="285" t="s">
        <v>11701</v>
      </c>
    </row>
    <row r="3047">
      <c r="A3047" s="283">
        <v>54.0</v>
      </c>
      <c r="B3047" s="284">
        <v>109.0</v>
      </c>
      <c r="C3047" s="285" t="str">
        <f t="shared" si="1"/>
        <v>54 109</v>
      </c>
      <c r="D3047" s="285" t="s">
        <v>11702</v>
      </c>
    </row>
    <row r="3048">
      <c r="A3048" s="283">
        <v>55.0</v>
      </c>
      <c r="B3048" s="284">
        <v>1.0</v>
      </c>
      <c r="C3048" s="285" t="str">
        <f t="shared" si="1"/>
        <v>55 1</v>
      </c>
      <c r="D3048" s="285" t="s">
        <v>11703</v>
      </c>
    </row>
    <row r="3049">
      <c r="A3049" s="283">
        <v>55.0</v>
      </c>
      <c r="B3049" s="284">
        <v>3.0</v>
      </c>
      <c r="C3049" s="285" t="str">
        <f t="shared" si="1"/>
        <v>55 3</v>
      </c>
      <c r="D3049" s="285" t="s">
        <v>11704</v>
      </c>
    </row>
    <row r="3050">
      <c r="A3050" s="283">
        <v>55.0</v>
      </c>
      <c r="B3050" s="284">
        <v>5.0</v>
      </c>
      <c r="C3050" s="285" t="str">
        <f t="shared" si="1"/>
        <v>55 5</v>
      </c>
      <c r="D3050" s="285" t="s">
        <v>11705</v>
      </c>
    </row>
    <row r="3051">
      <c r="A3051" s="283">
        <v>55.0</v>
      </c>
      <c r="B3051" s="284">
        <v>7.0</v>
      </c>
      <c r="C3051" s="285" t="str">
        <f t="shared" si="1"/>
        <v>55 7</v>
      </c>
      <c r="D3051" s="285" t="s">
        <v>11706</v>
      </c>
    </row>
    <row r="3052">
      <c r="A3052" s="283">
        <v>55.0</v>
      </c>
      <c r="B3052" s="284">
        <v>9.0</v>
      </c>
      <c r="C3052" s="285" t="str">
        <f t="shared" si="1"/>
        <v>55 9</v>
      </c>
      <c r="D3052" s="285" t="s">
        <v>11707</v>
      </c>
    </row>
    <row r="3053">
      <c r="A3053" s="283">
        <v>55.0</v>
      </c>
      <c r="B3053" s="284">
        <v>11.0</v>
      </c>
      <c r="C3053" s="285" t="str">
        <f t="shared" si="1"/>
        <v>55 11</v>
      </c>
      <c r="D3053" s="285" t="s">
        <v>11708</v>
      </c>
    </row>
    <row r="3054">
      <c r="A3054" s="283">
        <v>55.0</v>
      </c>
      <c r="B3054" s="284">
        <v>13.0</v>
      </c>
      <c r="C3054" s="285" t="str">
        <f t="shared" si="1"/>
        <v>55 13</v>
      </c>
      <c r="D3054" s="285" t="s">
        <v>11709</v>
      </c>
    </row>
    <row r="3055">
      <c r="A3055" s="283">
        <v>55.0</v>
      </c>
      <c r="B3055" s="284">
        <v>15.0</v>
      </c>
      <c r="C3055" s="285" t="str">
        <f t="shared" si="1"/>
        <v>55 15</v>
      </c>
      <c r="D3055" s="285" t="s">
        <v>11710</v>
      </c>
    </row>
    <row r="3056">
      <c r="A3056" s="283">
        <v>55.0</v>
      </c>
      <c r="B3056" s="284">
        <v>17.0</v>
      </c>
      <c r="C3056" s="285" t="str">
        <f t="shared" si="1"/>
        <v>55 17</v>
      </c>
      <c r="D3056" s="285" t="s">
        <v>11711</v>
      </c>
    </row>
    <row r="3057">
      <c r="A3057" s="283">
        <v>55.0</v>
      </c>
      <c r="B3057" s="284">
        <v>19.0</v>
      </c>
      <c r="C3057" s="285" t="str">
        <f t="shared" si="1"/>
        <v>55 19</v>
      </c>
      <c r="D3057" s="285" t="s">
        <v>11712</v>
      </c>
    </row>
    <row r="3058">
      <c r="A3058" s="283">
        <v>55.0</v>
      </c>
      <c r="B3058" s="284">
        <v>21.0</v>
      </c>
      <c r="C3058" s="285" t="str">
        <f t="shared" si="1"/>
        <v>55 21</v>
      </c>
      <c r="D3058" s="285" t="s">
        <v>11713</v>
      </c>
    </row>
    <row r="3059">
      <c r="A3059" s="283">
        <v>55.0</v>
      </c>
      <c r="B3059" s="284">
        <v>23.0</v>
      </c>
      <c r="C3059" s="285" t="str">
        <f t="shared" si="1"/>
        <v>55 23</v>
      </c>
      <c r="D3059" s="285" t="s">
        <v>11714</v>
      </c>
    </row>
    <row r="3060">
      <c r="A3060" s="283">
        <v>55.0</v>
      </c>
      <c r="B3060" s="284">
        <v>25.0</v>
      </c>
      <c r="C3060" s="285" t="str">
        <f t="shared" si="1"/>
        <v>55 25</v>
      </c>
      <c r="D3060" s="285" t="s">
        <v>11715</v>
      </c>
    </row>
    <row r="3061">
      <c r="A3061" s="283">
        <v>55.0</v>
      </c>
      <c r="B3061" s="284">
        <v>27.0</v>
      </c>
      <c r="C3061" s="285" t="str">
        <f t="shared" si="1"/>
        <v>55 27</v>
      </c>
      <c r="D3061" s="285" t="s">
        <v>11716</v>
      </c>
    </row>
    <row r="3062">
      <c r="A3062" s="283">
        <v>55.0</v>
      </c>
      <c r="B3062" s="284">
        <v>29.0</v>
      </c>
      <c r="C3062" s="285" t="str">
        <f t="shared" si="1"/>
        <v>55 29</v>
      </c>
      <c r="D3062" s="285" t="s">
        <v>11717</v>
      </c>
    </row>
    <row r="3063">
      <c r="A3063" s="283">
        <v>55.0</v>
      </c>
      <c r="B3063" s="284">
        <v>31.0</v>
      </c>
      <c r="C3063" s="285" t="str">
        <f t="shared" si="1"/>
        <v>55 31</v>
      </c>
      <c r="D3063" s="285" t="s">
        <v>11718</v>
      </c>
    </row>
    <row r="3064">
      <c r="A3064" s="283">
        <v>55.0</v>
      </c>
      <c r="B3064" s="284">
        <v>33.0</v>
      </c>
      <c r="C3064" s="285" t="str">
        <f t="shared" si="1"/>
        <v>55 33</v>
      </c>
      <c r="D3064" s="285" t="s">
        <v>11719</v>
      </c>
    </row>
    <row r="3065">
      <c r="A3065" s="283">
        <v>55.0</v>
      </c>
      <c r="B3065" s="284">
        <v>35.0</v>
      </c>
      <c r="C3065" s="285" t="str">
        <f t="shared" si="1"/>
        <v>55 35</v>
      </c>
      <c r="D3065" s="285" t="s">
        <v>11720</v>
      </c>
    </row>
    <row r="3066">
      <c r="A3066" s="283">
        <v>55.0</v>
      </c>
      <c r="B3066" s="284">
        <v>37.0</v>
      </c>
      <c r="C3066" s="285" t="str">
        <f t="shared" si="1"/>
        <v>55 37</v>
      </c>
      <c r="D3066" s="285" t="s">
        <v>11721</v>
      </c>
    </row>
    <row r="3067">
      <c r="A3067" s="283">
        <v>55.0</v>
      </c>
      <c r="B3067" s="284">
        <v>39.0</v>
      </c>
      <c r="C3067" s="285" t="str">
        <f t="shared" si="1"/>
        <v>55 39</v>
      </c>
      <c r="D3067" s="285" t="s">
        <v>11722</v>
      </c>
    </row>
    <row r="3068">
      <c r="A3068" s="283">
        <v>55.0</v>
      </c>
      <c r="B3068" s="284">
        <v>41.0</v>
      </c>
      <c r="C3068" s="285" t="str">
        <f t="shared" si="1"/>
        <v>55 41</v>
      </c>
      <c r="D3068" s="285" t="s">
        <v>11723</v>
      </c>
    </row>
    <row r="3069">
      <c r="A3069" s="283">
        <v>55.0</v>
      </c>
      <c r="B3069" s="284">
        <v>43.0</v>
      </c>
      <c r="C3069" s="285" t="str">
        <f t="shared" si="1"/>
        <v>55 43</v>
      </c>
      <c r="D3069" s="285" t="s">
        <v>11724</v>
      </c>
    </row>
    <row r="3070">
      <c r="A3070" s="283">
        <v>55.0</v>
      </c>
      <c r="B3070" s="284">
        <v>45.0</v>
      </c>
      <c r="C3070" s="285" t="str">
        <f t="shared" si="1"/>
        <v>55 45</v>
      </c>
      <c r="D3070" s="285" t="s">
        <v>11725</v>
      </c>
    </row>
    <row r="3071">
      <c r="A3071" s="283">
        <v>55.0</v>
      </c>
      <c r="B3071" s="284">
        <v>47.0</v>
      </c>
      <c r="C3071" s="285" t="str">
        <f t="shared" si="1"/>
        <v>55 47</v>
      </c>
      <c r="D3071" s="285" t="s">
        <v>11726</v>
      </c>
    </row>
    <row r="3072">
      <c r="A3072" s="283">
        <v>55.0</v>
      </c>
      <c r="B3072" s="284">
        <v>49.0</v>
      </c>
      <c r="C3072" s="285" t="str">
        <f t="shared" si="1"/>
        <v>55 49</v>
      </c>
      <c r="D3072" s="285" t="s">
        <v>11727</v>
      </c>
    </row>
    <row r="3073">
      <c r="A3073" s="283">
        <v>55.0</v>
      </c>
      <c r="B3073" s="284">
        <v>51.0</v>
      </c>
      <c r="C3073" s="285" t="str">
        <f t="shared" si="1"/>
        <v>55 51</v>
      </c>
      <c r="D3073" s="285" t="s">
        <v>11728</v>
      </c>
    </row>
    <row r="3074">
      <c r="A3074" s="283">
        <v>55.0</v>
      </c>
      <c r="B3074" s="284">
        <v>53.0</v>
      </c>
      <c r="C3074" s="285" t="str">
        <f t="shared" si="1"/>
        <v>55 53</v>
      </c>
      <c r="D3074" s="285" t="s">
        <v>11729</v>
      </c>
    </row>
    <row r="3075">
      <c r="A3075" s="283">
        <v>55.0</v>
      </c>
      <c r="B3075" s="284">
        <v>55.0</v>
      </c>
      <c r="C3075" s="285" t="str">
        <f t="shared" si="1"/>
        <v>55 55</v>
      </c>
      <c r="D3075" s="285" t="s">
        <v>11730</v>
      </c>
    </row>
    <row r="3076">
      <c r="A3076" s="283">
        <v>55.0</v>
      </c>
      <c r="B3076" s="284">
        <v>57.0</v>
      </c>
      <c r="C3076" s="285" t="str">
        <f t="shared" si="1"/>
        <v>55 57</v>
      </c>
      <c r="D3076" s="285" t="s">
        <v>11731</v>
      </c>
    </row>
    <row r="3077">
      <c r="A3077" s="283">
        <v>55.0</v>
      </c>
      <c r="B3077" s="284">
        <v>59.0</v>
      </c>
      <c r="C3077" s="285" t="str">
        <f t="shared" si="1"/>
        <v>55 59</v>
      </c>
      <c r="D3077" s="285" t="s">
        <v>11732</v>
      </c>
    </row>
    <row r="3078">
      <c r="A3078" s="283">
        <v>55.0</v>
      </c>
      <c r="B3078" s="284">
        <v>61.0</v>
      </c>
      <c r="C3078" s="285" t="str">
        <f t="shared" si="1"/>
        <v>55 61</v>
      </c>
      <c r="D3078" s="285" t="s">
        <v>11733</v>
      </c>
    </row>
    <row r="3079">
      <c r="A3079" s="283">
        <v>55.0</v>
      </c>
      <c r="B3079" s="284">
        <v>63.0</v>
      </c>
      <c r="C3079" s="285" t="str">
        <f t="shared" si="1"/>
        <v>55 63</v>
      </c>
      <c r="D3079" s="285" t="s">
        <v>11734</v>
      </c>
    </row>
    <row r="3080">
      <c r="A3080" s="283">
        <v>55.0</v>
      </c>
      <c r="B3080" s="284">
        <v>65.0</v>
      </c>
      <c r="C3080" s="285" t="str">
        <f t="shared" si="1"/>
        <v>55 65</v>
      </c>
      <c r="D3080" s="285" t="s">
        <v>11735</v>
      </c>
    </row>
    <row r="3081">
      <c r="A3081" s="283">
        <v>55.0</v>
      </c>
      <c r="B3081" s="284">
        <v>67.0</v>
      </c>
      <c r="C3081" s="285" t="str">
        <f t="shared" si="1"/>
        <v>55 67</v>
      </c>
      <c r="D3081" s="285" t="s">
        <v>11736</v>
      </c>
    </row>
    <row r="3082">
      <c r="A3082" s="283">
        <v>55.0</v>
      </c>
      <c r="B3082" s="284">
        <v>69.0</v>
      </c>
      <c r="C3082" s="285" t="str">
        <f t="shared" si="1"/>
        <v>55 69</v>
      </c>
      <c r="D3082" s="285" t="s">
        <v>11737</v>
      </c>
    </row>
    <row r="3083">
      <c r="A3083" s="283">
        <v>55.0</v>
      </c>
      <c r="B3083" s="284">
        <v>71.0</v>
      </c>
      <c r="C3083" s="285" t="str">
        <f t="shared" si="1"/>
        <v>55 71</v>
      </c>
      <c r="D3083" s="285" t="s">
        <v>11738</v>
      </c>
    </row>
    <row r="3084">
      <c r="A3084" s="283">
        <v>55.0</v>
      </c>
      <c r="B3084" s="284">
        <v>73.0</v>
      </c>
      <c r="C3084" s="285" t="str">
        <f t="shared" si="1"/>
        <v>55 73</v>
      </c>
      <c r="D3084" s="285" t="s">
        <v>11739</v>
      </c>
    </row>
    <row r="3085">
      <c r="A3085" s="283">
        <v>55.0</v>
      </c>
      <c r="B3085" s="284">
        <v>75.0</v>
      </c>
      <c r="C3085" s="285" t="str">
        <f t="shared" si="1"/>
        <v>55 75</v>
      </c>
      <c r="D3085" s="285" t="s">
        <v>11740</v>
      </c>
    </row>
    <row r="3086">
      <c r="A3086" s="283">
        <v>55.0</v>
      </c>
      <c r="B3086" s="284">
        <v>77.0</v>
      </c>
      <c r="C3086" s="285" t="str">
        <f t="shared" si="1"/>
        <v>55 77</v>
      </c>
      <c r="D3086" s="285" t="s">
        <v>11741</v>
      </c>
    </row>
    <row r="3087">
      <c r="A3087" s="283">
        <v>55.0</v>
      </c>
      <c r="B3087" s="284">
        <v>78.0</v>
      </c>
      <c r="C3087" s="285" t="str">
        <f t="shared" si="1"/>
        <v>55 78</v>
      </c>
      <c r="D3087" s="285" t="s">
        <v>11742</v>
      </c>
    </row>
    <row r="3088">
      <c r="A3088" s="283">
        <v>55.0</v>
      </c>
      <c r="B3088" s="284">
        <v>79.0</v>
      </c>
      <c r="C3088" s="285" t="str">
        <f t="shared" si="1"/>
        <v>55 79</v>
      </c>
      <c r="D3088" s="285" t="s">
        <v>11743</v>
      </c>
    </row>
    <row r="3089">
      <c r="A3089" s="283">
        <v>55.0</v>
      </c>
      <c r="B3089" s="284">
        <v>81.0</v>
      </c>
      <c r="C3089" s="285" t="str">
        <f t="shared" si="1"/>
        <v>55 81</v>
      </c>
      <c r="D3089" s="285" t="s">
        <v>11744</v>
      </c>
    </row>
    <row r="3090">
      <c r="A3090" s="283">
        <v>55.0</v>
      </c>
      <c r="B3090" s="284">
        <v>83.0</v>
      </c>
      <c r="C3090" s="285" t="str">
        <f t="shared" si="1"/>
        <v>55 83</v>
      </c>
      <c r="D3090" s="285" t="s">
        <v>11745</v>
      </c>
    </row>
    <row r="3091">
      <c r="A3091" s="283">
        <v>55.0</v>
      </c>
      <c r="B3091" s="284">
        <v>85.0</v>
      </c>
      <c r="C3091" s="285" t="str">
        <f t="shared" si="1"/>
        <v>55 85</v>
      </c>
      <c r="D3091" s="285" t="s">
        <v>11746</v>
      </c>
    </row>
    <row r="3092">
      <c r="A3092" s="283">
        <v>55.0</v>
      </c>
      <c r="B3092" s="284">
        <v>87.0</v>
      </c>
      <c r="C3092" s="285" t="str">
        <f t="shared" si="1"/>
        <v>55 87</v>
      </c>
      <c r="D3092" s="285" t="s">
        <v>11747</v>
      </c>
    </row>
    <row r="3093">
      <c r="A3093" s="283">
        <v>55.0</v>
      </c>
      <c r="B3093" s="284">
        <v>89.0</v>
      </c>
      <c r="C3093" s="285" t="str">
        <f t="shared" si="1"/>
        <v>55 89</v>
      </c>
      <c r="D3093" s="285" t="s">
        <v>11748</v>
      </c>
    </row>
    <row r="3094">
      <c r="A3094" s="283">
        <v>55.0</v>
      </c>
      <c r="B3094" s="284">
        <v>91.0</v>
      </c>
      <c r="C3094" s="285" t="str">
        <f t="shared" si="1"/>
        <v>55 91</v>
      </c>
      <c r="D3094" s="285" t="s">
        <v>11749</v>
      </c>
    </row>
    <row r="3095">
      <c r="A3095" s="283">
        <v>55.0</v>
      </c>
      <c r="B3095" s="284">
        <v>93.0</v>
      </c>
      <c r="C3095" s="285" t="str">
        <f t="shared" si="1"/>
        <v>55 93</v>
      </c>
      <c r="D3095" s="285" t="s">
        <v>11750</v>
      </c>
    </row>
    <row r="3096">
      <c r="A3096" s="283">
        <v>55.0</v>
      </c>
      <c r="B3096" s="284">
        <v>95.0</v>
      </c>
      <c r="C3096" s="285" t="str">
        <f t="shared" si="1"/>
        <v>55 95</v>
      </c>
      <c r="D3096" s="285" t="s">
        <v>11751</v>
      </c>
    </row>
    <row r="3097">
      <c r="A3097" s="283">
        <v>55.0</v>
      </c>
      <c r="B3097" s="284">
        <v>97.0</v>
      </c>
      <c r="C3097" s="285" t="str">
        <f t="shared" si="1"/>
        <v>55 97</v>
      </c>
      <c r="D3097" s="285" t="s">
        <v>11752</v>
      </c>
    </row>
    <row r="3098">
      <c r="A3098" s="283">
        <v>55.0</v>
      </c>
      <c r="B3098" s="284">
        <v>99.0</v>
      </c>
      <c r="C3098" s="285" t="str">
        <f t="shared" si="1"/>
        <v>55 99</v>
      </c>
      <c r="D3098" s="285" t="s">
        <v>11753</v>
      </c>
    </row>
    <row r="3099">
      <c r="A3099" s="283">
        <v>55.0</v>
      </c>
      <c r="B3099" s="284">
        <v>101.0</v>
      </c>
      <c r="C3099" s="285" t="str">
        <f t="shared" si="1"/>
        <v>55 101</v>
      </c>
      <c r="D3099" s="285" t="s">
        <v>11754</v>
      </c>
    </row>
    <row r="3100">
      <c r="A3100" s="283">
        <v>55.0</v>
      </c>
      <c r="B3100" s="284">
        <v>103.0</v>
      </c>
      <c r="C3100" s="285" t="str">
        <f t="shared" si="1"/>
        <v>55 103</v>
      </c>
      <c r="D3100" s="285" t="s">
        <v>11755</v>
      </c>
    </row>
    <row r="3101">
      <c r="A3101" s="283">
        <v>55.0</v>
      </c>
      <c r="B3101" s="284">
        <v>105.0</v>
      </c>
      <c r="C3101" s="285" t="str">
        <f t="shared" si="1"/>
        <v>55 105</v>
      </c>
      <c r="D3101" s="285" t="s">
        <v>11756</v>
      </c>
    </row>
    <row r="3102">
      <c r="A3102" s="283">
        <v>55.0</v>
      </c>
      <c r="B3102" s="284">
        <v>107.0</v>
      </c>
      <c r="C3102" s="285" t="str">
        <f t="shared" si="1"/>
        <v>55 107</v>
      </c>
      <c r="D3102" s="285" t="s">
        <v>11757</v>
      </c>
    </row>
    <row r="3103">
      <c r="A3103" s="283">
        <v>55.0</v>
      </c>
      <c r="B3103" s="284">
        <v>109.0</v>
      </c>
      <c r="C3103" s="285" t="str">
        <f t="shared" si="1"/>
        <v>55 109</v>
      </c>
      <c r="D3103" s="285" t="s">
        <v>11758</v>
      </c>
    </row>
    <row r="3104">
      <c r="A3104" s="283">
        <v>55.0</v>
      </c>
      <c r="B3104" s="284">
        <v>111.0</v>
      </c>
      <c r="C3104" s="285" t="str">
        <f t="shared" si="1"/>
        <v>55 111</v>
      </c>
      <c r="D3104" s="285" t="s">
        <v>11759</v>
      </c>
    </row>
    <row r="3105">
      <c r="A3105" s="283">
        <v>55.0</v>
      </c>
      <c r="B3105" s="284">
        <v>113.0</v>
      </c>
      <c r="C3105" s="285" t="str">
        <f t="shared" si="1"/>
        <v>55 113</v>
      </c>
      <c r="D3105" s="285" t="s">
        <v>11760</v>
      </c>
    </row>
    <row r="3106">
      <c r="A3106" s="283">
        <v>55.0</v>
      </c>
      <c r="B3106" s="284">
        <v>115.0</v>
      </c>
      <c r="C3106" s="285" t="str">
        <f t="shared" si="1"/>
        <v>55 115</v>
      </c>
      <c r="D3106" s="285" t="s">
        <v>11761</v>
      </c>
    </row>
    <row r="3107">
      <c r="A3107" s="283">
        <v>55.0</v>
      </c>
      <c r="B3107" s="284">
        <v>117.0</v>
      </c>
      <c r="C3107" s="285" t="str">
        <f t="shared" si="1"/>
        <v>55 117</v>
      </c>
      <c r="D3107" s="285" t="s">
        <v>11762</v>
      </c>
    </row>
    <row r="3108">
      <c r="A3108" s="283">
        <v>55.0</v>
      </c>
      <c r="B3108" s="284">
        <v>119.0</v>
      </c>
      <c r="C3108" s="285" t="str">
        <f t="shared" si="1"/>
        <v>55 119</v>
      </c>
      <c r="D3108" s="285" t="s">
        <v>11763</v>
      </c>
    </row>
    <row r="3109">
      <c r="A3109" s="283">
        <v>55.0</v>
      </c>
      <c r="B3109" s="284">
        <v>121.0</v>
      </c>
      <c r="C3109" s="285" t="str">
        <f t="shared" si="1"/>
        <v>55 121</v>
      </c>
      <c r="D3109" s="285" t="s">
        <v>11764</v>
      </c>
    </row>
    <row r="3110">
      <c r="A3110" s="283">
        <v>55.0</v>
      </c>
      <c r="B3110" s="284">
        <v>123.0</v>
      </c>
      <c r="C3110" s="285" t="str">
        <f t="shared" si="1"/>
        <v>55 123</v>
      </c>
      <c r="D3110" s="285" t="s">
        <v>11765</v>
      </c>
    </row>
    <row r="3111">
      <c r="A3111" s="283">
        <v>55.0</v>
      </c>
      <c r="B3111" s="284">
        <v>125.0</v>
      </c>
      <c r="C3111" s="285" t="str">
        <f t="shared" si="1"/>
        <v>55 125</v>
      </c>
      <c r="D3111" s="285" t="s">
        <v>11766</v>
      </c>
    </row>
    <row r="3112">
      <c r="A3112" s="283">
        <v>55.0</v>
      </c>
      <c r="B3112" s="284">
        <v>127.0</v>
      </c>
      <c r="C3112" s="285" t="str">
        <f t="shared" si="1"/>
        <v>55 127</v>
      </c>
      <c r="D3112" s="285" t="s">
        <v>11767</v>
      </c>
    </row>
    <row r="3113">
      <c r="A3113" s="283">
        <v>55.0</v>
      </c>
      <c r="B3113" s="284">
        <v>129.0</v>
      </c>
      <c r="C3113" s="285" t="str">
        <f t="shared" si="1"/>
        <v>55 129</v>
      </c>
      <c r="D3113" s="285" t="s">
        <v>11768</v>
      </c>
    </row>
    <row r="3114">
      <c r="A3114" s="283">
        <v>55.0</v>
      </c>
      <c r="B3114" s="284">
        <v>131.0</v>
      </c>
      <c r="C3114" s="285" t="str">
        <f t="shared" si="1"/>
        <v>55 131</v>
      </c>
      <c r="D3114" s="285" t="s">
        <v>11769</v>
      </c>
    </row>
    <row r="3115">
      <c r="A3115" s="283">
        <v>55.0</v>
      </c>
      <c r="B3115" s="284">
        <v>133.0</v>
      </c>
      <c r="C3115" s="285" t="str">
        <f t="shared" si="1"/>
        <v>55 133</v>
      </c>
      <c r="D3115" s="285" t="s">
        <v>11770</v>
      </c>
    </row>
    <row r="3116">
      <c r="A3116" s="283">
        <v>55.0</v>
      </c>
      <c r="B3116" s="284">
        <v>135.0</v>
      </c>
      <c r="C3116" s="285" t="str">
        <f t="shared" si="1"/>
        <v>55 135</v>
      </c>
      <c r="D3116" s="285" t="s">
        <v>11771</v>
      </c>
    </row>
    <row r="3117">
      <c r="A3117" s="283">
        <v>55.0</v>
      </c>
      <c r="B3117" s="284">
        <v>137.0</v>
      </c>
      <c r="C3117" s="285" t="str">
        <f t="shared" si="1"/>
        <v>55 137</v>
      </c>
      <c r="D3117" s="285" t="s">
        <v>11772</v>
      </c>
    </row>
    <row r="3118">
      <c r="A3118" s="283">
        <v>55.0</v>
      </c>
      <c r="B3118" s="284">
        <v>139.0</v>
      </c>
      <c r="C3118" s="285" t="str">
        <f t="shared" si="1"/>
        <v>55 139</v>
      </c>
      <c r="D3118" s="285" t="s">
        <v>11773</v>
      </c>
    </row>
    <row r="3119">
      <c r="A3119" s="283">
        <v>55.0</v>
      </c>
      <c r="B3119" s="284">
        <v>141.0</v>
      </c>
      <c r="C3119" s="285" t="str">
        <f t="shared" si="1"/>
        <v>55 141</v>
      </c>
      <c r="D3119" s="285" t="s">
        <v>11774</v>
      </c>
    </row>
    <row r="3120">
      <c r="A3120" s="283">
        <v>56.0</v>
      </c>
      <c r="B3120" s="284">
        <v>1.0</v>
      </c>
      <c r="C3120" s="285" t="str">
        <f t="shared" si="1"/>
        <v>56 1</v>
      </c>
      <c r="D3120" s="285" t="s">
        <v>11775</v>
      </c>
    </row>
    <row r="3121">
      <c r="A3121" s="283">
        <v>56.0</v>
      </c>
      <c r="B3121" s="284">
        <v>3.0</v>
      </c>
      <c r="C3121" s="285" t="str">
        <f t="shared" si="1"/>
        <v>56 3</v>
      </c>
      <c r="D3121" s="285" t="s">
        <v>11776</v>
      </c>
    </row>
    <row r="3122">
      <c r="A3122" s="283">
        <v>56.0</v>
      </c>
      <c r="B3122" s="284">
        <v>5.0</v>
      </c>
      <c r="C3122" s="285" t="str">
        <f t="shared" si="1"/>
        <v>56 5</v>
      </c>
      <c r="D3122" s="285" t="s">
        <v>11777</v>
      </c>
    </row>
    <row r="3123">
      <c r="A3123" s="283">
        <v>56.0</v>
      </c>
      <c r="B3123" s="284">
        <v>7.0</v>
      </c>
      <c r="C3123" s="285" t="str">
        <f t="shared" si="1"/>
        <v>56 7</v>
      </c>
      <c r="D3123" s="285" t="s">
        <v>11778</v>
      </c>
    </row>
    <row r="3124">
      <c r="A3124" s="283">
        <v>56.0</v>
      </c>
      <c r="B3124" s="284">
        <v>9.0</v>
      </c>
      <c r="C3124" s="285" t="str">
        <f t="shared" si="1"/>
        <v>56 9</v>
      </c>
      <c r="D3124" s="285" t="s">
        <v>11779</v>
      </c>
    </row>
    <row r="3125">
      <c r="A3125" s="283">
        <v>56.0</v>
      </c>
      <c r="B3125" s="284">
        <v>11.0</v>
      </c>
      <c r="C3125" s="285" t="str">
        <f t="shared" si="1"/>
        <v>56 11</v>
      </c>
      <c r="D3125" s="285" t="s">
        <v>11780</v>
      </c>
    </row>
    <row r="3126">
      <c r="A3126" s="283">
        <v>56.0</v>
      </c>
      <c r="B3126" s="284">
        <v>13.0</v>
      </c>
      <c r="C3126" s="285" t="str">
        <f t="shared" si="1"/>
        <v>56 13</v>
      </c>
      <c r="D3126" s="285" t="s">
        <v>11781</v>
      </c>
    </row>
    <row r="3127">
      <c r="A3127" s="283">
        <v>56.0</v>
      </c>
      <c r="B3127" s="284">
        <v>15.0</v>
      </c>
      <c r="C3127" s="285" t="str">
        <f t="shared" si="1"/>
        <v>56 15</v>
      </c>
      <c r="D3127" s="285" t="s">
        <v>11782</v>
      </c>
    </row>
    <row r="3128">
      <c r="A3128" s="283">
        <v>56.0</v>
      </c>
      <c r="B3128" s="284">
        <v>17.0</v>
      </c>
      <c r="C3128" s="285" t="str">
        <f t="shared" si="1"/>
        <v>56 17</v>
      </c>
      <c r="D3128" s="285" t="s">
        <v>11783</v>
      </c>
    </row>
    <row r="3129">
      <c r="A3129" s="283">
        <v>56.0</v>
      </c>
      <c r="B3129" s="284">
        <v>19.0</v>
      </c>
      <c r="C3129" s="285" t="str">
        <f t="shared" si="1"/>
        <v>56 19</v>
      </c>
      <c r="D3129" s="285" t="s">
        <v>11784</v>
      </c>
    </row>
    <row r="3130">
      <c r="A3130" s="283">
        <v>56.0</v>
      </c>
      <c r="B3130" s="284">
        <v>21.0</v>
      </c>
      <c r="C3130" s="285" t="str">
        <f t="shared" si="1"/>
        <v>56 21</v>
      </c>
      <c r="D3130" s="285" t="s">
        <v>11785</v>
      </c>
    </row>
    <row r="3131">
      <c r="A3131" s="283">
        <v>56.0</v>
      </c>
      <c r="B3131" s="284">
        <v>23.0</v>
      </c>
      <c r="C3131" s="285" t="str">
        <f t="shared" si="1"/>
        <v>56 23</v>
      </c>
      <c r="D3131" s="285" t="s">
        <v>11786</v>
      </c>
    </row>
    <row r="3132">
      <c r="A3132" s="283">
        <v>56.0</v>
      </c>
      <c r="B3132" s="284">
        <v>25.0</v>
      </c>
      <c r="C3132" s="285" t="str">
        <f t="shared" si="1"/>
        <v>56 25</v>
      </c>
      <c r="D3132" s="285" t="s">
        <v>11787</v>
      </c>
    </row>
    <row r="3133">
      <c r="A3133" s="283">
        <v>56.0</v>
      </c>
      <c r="B3133" s="284">
        <v>27.0</v>
      </c>
      <c r="C3133" s="285" t="str">
        <f t="shared" si="1"/>
        <v>56 27</v>
      </c>
      <c r="D3133" s="285" t="s">
        <v>11788</v>
      </c>
    </row>
    <row r="3134">
      <c r="A3134" s="283">
        <v>56.0</v>
      </c>
      <c r="B3134" s="284">
        <v>29.0</v>
      </c>
      <c r="C3134" s="285" t="str">
        <f t="shared" si="1"/>
        <v>56 29</v>
      </c>
      <c r="D3134" s="285" t="s">
        <v>11789</v>
      </c>
    </row>
    <row r="3135">
      <c r="A3135" s="283">
        <v>56.0</v>
      </c>
      <c r="B3135" s="284">
        <v>31.0</v>
      </c>
      <c r="C3135" s="285" t="str">
        <f t="shared" si="1"/>
        <v>56 31</v>
      </c>
      <c r="D3135" s="285" t="s">
        <v>11790</v>
      </c>
    </row>
    <row r="3136">
      <c r="A3136" s="283">
        <v>56.0</v>
      </c>
      <c r="B3136" s="284">
        <v>33.0</v>
      </c>
      <c r="C3136" s="285" t="str">
        <f t="shared" si="1"/>
        <v>56 33</v>
      </c>
      <c r="D3136" s="285" t="s">
        <v>11791</v>
      </c>
    </row>
    <row r="3137">
      <c r="A3137" s="283">
        <v>56.0</v>
      </c>
      <c r="B3137" s="284">
        <v>35.0</v>
      </c>
      <c r="C3137" s="285" t="str">
        <f t="shared" si="1"/>
        <v>56 35</v>
      </c>
      <c r="D3137" s="285" t="s">
        <v>11792</v>
      </c>
    </row>
    <row r="3138">
      <c r="A3138" s="283">
        <v>56.0</v>
      </c>
      <c r="B3138" s="284">
        <v>37.0</v>
      </c>
      <c r="C3138" s="285" t="str">
        <f t="shared" si="1"/>
        <v>56 37</v>
      </c>
      <c r="D3138" s="285" t="s">
        <v>11793</v>
      </c>
    </row>
    <row r="3139">
      <c r="A3139" s="283">
        <v>56.0</v>
      </c>
      <c r="B3139" s="284">
        <v>39.0</v>
      </c>
      <c r="C3139" s="285" t="str">
        <f t="shared" si="1"/>
        <v>56 39</v>
      </c>
      <c r="D3139" s="285" t="s">
        <v>11794</v>
      </c>
    </row>
    <row r="3140">
      <c r="A3140" s="283">
        <v>56.0</v>
      </c>
      <c r="B3140" s="284">
        <v>41.0</v>
      </c>
      <c r="C3140" s="285" t="str">
        <f t="shared" si="1"/>
        <v>56 41</v>
      </c>
      <c r="D3140" s="285" t="s">
        <v>11795</v>
      </c>
    </row>
    <row r="3141">
      <c r="A3141" s="283">
        <v>56.0</v>
      </c>
      <c r="B3141" s="284">
        <v>43.0</v>
      </c>
      <c r="C3141" s="285" t="str">
        <f t="shared" si="1"/>
        <v>56 43</v>
      </c>
      <c r="D3141" s="285" t="s">
        <v>11796</v>
      </c>
    </row>
    <row r="3142">
      <c r="A3142" s="283">
        <v>56.0</v>
      </c>
      <c r="B3142" s="284">
        <v>45.0</v>
      </c>
      <c r="C3142" s="285" t="str">
        <f t="shared" si="1"/>
        <v>56 45</v>
      </c>
      <c r="D3142" s="285" t="s">
        <v>11797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6" t="s">
        <v>8596</v>
      </c>
    </row>
    <row r="2">
      <c r="A2" s="266" t="s">
        <v>6310</v>
      </c>
      <c r="B2" s="266" t="s">
        <v>6311</v>
      </c>
      <c r="C2" s="266" t="s">
        <v>6312</v>
      </c>
      <c r="D2" s="266" t="s">
        <v>8597</v>
      </c>
      <c r="E2" s="266" t="s">
        <v>6314</v>
      </c>
      <c r="F2" s="266" t="s">
        <v>6316</v>
      </c>
      <c r="G2" s="266" t="s">
        <v>6318</v>
      </c>
      <c r="H2" s="266" t="s">
        <v>8598</v>
      </c>
      <c r="I2" s="266" t="s">
        <v>6320</v>
      </c>
      <c r="J2" s="266" t="s">
        <v>6321</v>
      </c>
      <c r="K2" s="266" t="s">
        <v>6323</v>
      </c>
      <c r="L2" s="266" t="s">
        <v>6324</v>
      </c>
      <c r="M2" s="266" t="s">
        <v>8599</v>
      </c>
      <c r="N2" s="266" t="s">
        <v>6326</v>
      </c>
      <c r="O2" s="266" t="s">
        <v>6327</v>
      </c>
      <c r="P2" s="266" t="s">
        <v>8600</v>
      </c>
      <c r="Q2" s="266" t="s">
        <v>8601</v>
      </c>
      <c r="R2" s="266" t="s">
        <v>6330</v>
      </c>
      <c r="S2" s="266" t="s">
        <v>6332</v>
      </c>
      <c r="T2" s="266" t="s">
        <v>6333</v>
      </c>
      <c r="U2" s="266" t="s">
        <v>8602</v>
      </c>
      <c r="V2" s="266" t="s">
        <v>6335</v>
      </c>
      <c r="W2" s="266" t="s">
        <v>6337</v>
      </c>
      <c r="X2" s="266" t="s">
        <v>8603</v>
      </c>
      <c r="Y2" s="266" t="s">
        <v>6340</v>
      </c>
      <c r="Z2" s="266" t="s">
        <v>6341</v>
      </c>
      <c r="AA2" s="266" t="s">
        <v>6343</v>
      </c>
      <c r="AB2" s="266" t="s">
        <v>8604</v>
      </c>
      <c r="AC2" s="266" t="s">
        <v>6345</v>
      </c>
      <c r="AD2" s="266" t="s">
        <v>6346</v>
      </c>
      <c r="AE2" s="266" t="s">
        <v>6347</v>
      </c>
      <c r="AF2" s="266" t="s">
        <v>8605</v>
      </c>
      <c r="AG2" s="266" t="s">
        <v>6350</v>
      </c>
      <c r="AH2" s="266" t="s">
        <v>6351</v>
      </c>
      <c r="AI2" s="266" t="s">
        <v>8606</v>
      </c>
      <c r="AJ2" s="266" t="s">
        <v>8607</v>
      </c>
      <c r="AK2" s="266" t="s">
        <v>6354</v>
      </c>
      <c r="AL2" s="266" t="s">
        <v>6355</v>
      </c>
      <c r="AM2" s="266" t="s">
        <v>6356</v>
      </c>
      <c r="AN2" s="266" t="s">
        <v>8608</v>
      </c>
      <c r="AO2" s="266" t="s">
        <v>6358</v>
      </c>
      <c r="AP2" s="266" t="s">
        <v>6359</v>
      </c>
      <c r="AQ2" s="266" t="s">
        <v>8609</v>
      </c>
      <c r="AR2" s="266" t="s">
        <v>6361</v>
      </c>
      <c r="AS2" s="266" t="s">
        <v>6362</v>
      </c>
      <c r="AT2" s="266" t="s">
        <v>6363</v>
      </c>
      <c r="AU2" s="266" t="s">
        <v>8610</v>
      </c>
      <c r="AV2" s="266" t="s">
        <v>6365</v>
      </c>
      <c r="AW2" s="266" t="s">
        <v>6366</v>
      </c>
      <c r="AX2" s="266" t="s">
        <v>6367</v>
      </c>
      <c r="AY2" s="266" t="s">
        <v>6368</v>
      </c>
      <c r="AZ2" s="266" t="s">
        <v>8611</v>
      </c>
      <c r="BA2" s="266" t="s">
        <v>6370</v>
      </c>
      <c r="BB2" s="266" t="s">
        <v>6371</v>
      </c>
      <c r="BC2" s="266" t="s">
        <v>6372</v>
      </c>
      <c r="BD2" s="266" t="s">
        <v>8612</v>
      </c>
      <c r="BE2" s="266" t="s">
        <v>8613</v>
      </c>
      <c r="BF2" s="266" t="s">
        <v>6375</v>
      </c>
      <c r="BG2" s="266" t="s">
        <v>6376</v>
      </c>
      <c r="BH2" s="266" t="s">
        <v>6377</v>
      </c>
      <c r="BI2" s="266" t="s">
        <v>8614</v>
      </c>
      <c r="BJ2" s="266" t="s">
        <v>6379</v>
      </c>
      <c r="BK2" s="266" t="s">
        <v>6380</v>
      </c>
      <c r="BL2" s="266" t="s">
        <v>8615</v>
      </c>
      <c r="BM2" s="266" t="s">
        <v>6382</v>
      </c>
      <c r="BN2" s="266" t="s">
        <v>6383</v>
      </c>
      <c r="BO2" s="266" t="s">
        <v>6384</v>
      </c>
      <c r="BP2" s="266" t="s">
        <v>8616</v>
      </c>
      <c r="BQ2" s="266" t="s">
        <v>6386</v>
      </c>
      <c r="BR2" s="266" t="s">
        <v>6387</v>
      </c>
      <c r="BS2" s="266" t="s">
        <v>6388</v>
      </c>
      <c r="BT2" s="266" t="s">
        <v>6389</v>
      </c>
      <c r="BU2" s="266" t="s">
        <v>8617</v>
      </c>
      <c r="BV2" s="266" t="s">
        <v>8618</v>
      </c>
      <c r="BW2" s="266" t="s">
        <v>6393</v>
      </c>
      <c r="BX2" s="266" t="s">
        <v>6394</v>
      </c>
      <c r="BY2" s="266" t="s">
        <v>6395</v>
      </c>
      <c r="BZ2" s="266" t="s">
        <v>8619</v>
      </c>
      <c r="CA2" s="266" t="s">
        <v>6397</v>
      </c>
      <c r="CB2" s="266" t="s">
        <v>6398</v>
      </c>
      <c r="CC2" s="266" t="s">
        <v>8620</v>
      </c>
      <c r="CD2" s="266" t="s">
        <v>6400</v>
      </c>
      <c r="CE2" s="266" t="s">
        <v>6401</v>
      </c>
      <c r="CF2" s="266" t="s">
        <v>6402</v>
      </c>
      <c r="CG2" s="266" t="s">
        <v>6403</v>
      </c>
      <c r="CH2" s="266" t="s">
        <v>6404</v>
      </c>
      <c r="CI2" s="266" t="s">
        <v>6405</v>
      </c>
      <c r="CJ2" s="266" t="s">
        <v>6406</v>
      </c>
      <c r="CK2" s="266" t="s">
        <v>8621</v>
      </c>
      <c r="CL2" s="266" t="s">
        <v>6408</v>
      </c>
      <c r="CM2" s="266" t="s">
        <v>6409</v>
      </c>
      <c r="CN2" s="266" t="s">
        <v>6410</v>
      </c>
      <c r="CO2" s="266" t="s">
        <v>6411</v>
      </c>
      <c r="CP2" s="266" t="s">
        <v>6412</v>
      </c>
      <c r="CQ2" s="266" t="s">
        <v>6413</v>
      </c>
      <c r="CR2" s="266" t="s">
        <v>6414</v>
      </c>
      <c r="CS2" s="266" t="s">
        <v>6415</v>
      </c>
      <c r="CT2" s="266" t="s">
        <v>6416</v>
      </c>
      <c r="CU2" s="266" t="s">
        <v>6417</v>
      </c>
      <c r="CV2" s="266" t="s">
        <v>6418</v>
      </c>
      <c r="CW2" s="266" t="s">
        <v>6419</v>
      </c>
      <c r="CX2" s="266" t="s">
        <v>8622</v>
      </c>
      <c r="CY2" s="266" t="s">
        <v>6421</v>
      </c>
      <c r="CZ2" s="266" t="s">
        <v>6422</v>
      </c>
      <c r="DA2" s="266" t="s">
        <v>6423</v>
      </c>
      <c r="DB2" s="266" t="s">
        <v>6424</v>
      </c>
      <c r="DC2" s="266" t="s">
        <v>6425</v>
      </c>
      <c r="DD2" s="266" t="s">
        <v>6426</v>
      </c>
      <c r="DE2" s="266" t="s">
        <v>6427</v>
      </c>
      <c r="DF2" s="266" t="s">
        <v>6429</v>
      </c>
      <c r="DG2" s="266" t="s">
        <v>6430</v>
      </c>
      <c r="DH2" s="266" t="s">
        <v>6431</v>
      </c>
      <c r="DI2" s="266" t="s">
        <v>6432</v>
      </c>
      <c r="DJ2" s="266" t="s">
        <v>6433</v>
      </c>
      <c r="DK2" s="266" t="s">
        <v>6434</v>
      </c>
      <c r="DL2" s="266" t="s">
        <v>6435</v>
      </c>
      <c r="DM2" s="266" t="s">
        <v>6436</v>
      </c>
      <c r="DN2" s="266" t="s">
        <v>6437</v>
      </c>
      <c r="DO2" s="266" t="s">
        <v>6438</v>
      </c>
      <c r="DP2" s="266" t="s">
        <v>6439</v>
      </c>
      <c r="DQ2" s="266" t="s">
        <v>6440</v>
      </c>
      <c r="DR2" s="266" t="s">
        <v>6441</v>
      </c>
      <c r="DS2" s="266" t="s">
        <v>6442</v>
      </c>
      <c r="DT2" s="266" t="s">
        <v>6443</v>
      </c>
      <c r="DU2" s="266" t="s">
        <v>6444</v>
      </c>
      <c r="DV2" s="266" t="s">
        <v>6445</v>
      </c>
      <c r="DW2" s="266" t="s">
        <v>6446</v>
      </c>
      <c r="DX2" s="266" t="s">
        <v>6447</v>
      </c>
      <c r="DY2" s="266" t="s">
        <v>6448</v>
      </c>
      <c r="DZ2" s="266" t="s">
        <v>6449</v>
      </c>
      <c r="EA2" s="266" t="s">
        <v>6450</v>
      </c>
      <c r="EB2" s="266" t="s">
        <v>6451</v>
      </c>
      <c r="EC2" s="266" t="s">
        <v>6452</v>
      </c>
      <c r="ED2" s="266" t="s">
        <v>6454</v>
      </c>
      <c r="EE2" s="266" t="s">
        <v>6455</v>
      </c>
      <c r="EF2" s="266" t="s">
        <v>6456</v>
      </c>
      <c r="EG2" s="266" t="s">
        <v>6457</v>
      </c>
      <c r="EH2" s="266" t="s">
        <v>6458</v>
      </c>
      <c r="EI2" s="266" t="s">
        <v>6460</v>
      </c>
      <c r="EJ2" s="266" t="s">
        <v>6461</v>
      </c>
      <c r="EK2" s="266" t="s">
        <v>6306</v>
      </c>
    </row>
    <row r="3">
      <c r="A3" s="266" t="s">
        <v>8623</v>
      </c>
      <c r="B3" s="266" t="s">
        <v>0</v>
      </c>
      <c r="C3" s="266" t="s">
        <v>1</v>
      </c>
      <c r="D3" s="266" t="s">
        <v>2</v>
      </c>
      <c r="E3" s="266" t="s">
        <v>3</v>
      </c>
      <c r="F3" s="266" t="s">
        <v>4</v>
      </c>
      <c r="G3" s="266" t="s">
        <v>5</v>
      </c>
      <c r="H3" s="266" t="s">
        <v>6306</v>
      </c>
    </row>
    <row r="4">
      <c r="A4" s="266" t="s">
        <v>8624</v>
      </c>
      <c r="B4" s="266" t="s">
        <v>3801</v>
      </c>
      <c r="C4" s="266" t="s">
        <v>6829</v>
      </c>
      <c r="D4" s="266" t="s">
        <v>3802</v>
      </c>
      <c r="E4" s="266" t="s">
        <v>3803</v>
      </c>
      <c r="F4" s="266" t="s">
        <v>3804</v>
      </c>
      <c r="G4" s="266" t="s">
        <v>6306</v>
      </c>
    </row>
    <row r="5">
      <c r="A5" s="266" t="s">
        <v>8625</v>
      </c>
      <c r="B5" s="266" t="s">
        <v>5260</v>
      </c>
      <c r="C5" s="266" t="s">
        <v>576</v>
      </c>
      <c r="D5" s="266" t="s">
        <v>5261</v>
      </c>
      <c r="E5" s="266" t="s">
        <v>8626</v>
      </c>
      <c r="F5" s="266" t="s">
        <v>5262</v>
      </c>
      <c r="G5" s="266" t="s">
        <v>6868</v>
      </c>
      <c r="H5" s="266" t="s">
        <v>6869</v>
      </c>
      <c r="I5" s="266" t="s">
        <v>6870</v>
      </c>
      <c r="J5" s="266" t="s">
        <v>6871</v>
      </c>
      <c r="K5" s="266" t="s">
        <v>6872</v>
      </c>
      <c r="L5" s="266" t="s">
        <v>6873</v>
      </c>
      <c r="M5" s="266" t="s">
        <v>8627</v>
      </c>
      <c r="N5" s="266" t="s">
        <v>5263</v>
      </c>
      <c r="O5" s="266" t="s">
        <v>5264</v>
      </c>
      <c r="P5" s="266" t="s">
        <v>5265</v>
      </c>
      <c r="Q5" s="266" t="s">
        <v>6829</v>
      </c>
      <c r="R5" s="266" t="s">
        <v>3802</v>
      </c>
      <c r="S5" s="266" t="s">
        <v>3803</v>
      </c>
      <c r="T5" s="266" t="s">
        <v>3804</v>
      </c>
      <c r="U5" s="266" t="s">
        <v>575</v>
      </c>
      <c r="V5" s="266" t="s">
        <v>5266</v>
      </c>
      <c r="W5" s="266" t="s">
        <v>5267</v>
      </c>
      <c r="X5" s="266" t="s">
        <v>5268</v>
      </c>
      <c r="Y5" s="266" t="s">
        <v>5269</v>
      </c>
      <c r="Z5" s="266" t="s">
        <v>5139</v>
      </c>
      <c r="AA5" s="266" t="s">
        <v>5270</v>
      </c>
      <c r="AB5" s="266" t="s">
        <v>514</v>
      </c>
      <c r="AC5" s="266" t="s">
        <v>6306</v>
      </c>
    </row>
    <row r="6">
      <c r="A6" s="266" t="s">
        <v>8628</v>
      </c>
      <c r="B6" s="266" t="s">
        <v>5260</v>
      </c>
      <c r="C6" s="266" t="s">
        <v>576</v>
      </c>
      <c r="D6" s="266" t="s">
        <v>8627</v>
      </c>
      <c r="E6" s="266" t="s">
        <v>5263</v>
      </c>
      <c r="F6" s="266" t="s">
        <v>5264</v>
      </c>
      <c r="G6" s="266" t="s">
        <v>5265</v>
      </c>
      <c r="H6" s="266" t="s">
        <v>6829</v>
      </c>
      <c r="I6" s="266" t="s">
        <v>3802</v>
      </c>
      <c r="J6" s="266" t="s">
        <v>3803</v>
      </c>
      <c r="K6" s="266" t="s">
        <v>3804</v>
      </c>
      <c r="L6" s="266" t="s">
        <v>575</v>
      </c>
      <c r="M6" s="266" t="s">
        <v>5266</v>
      </c>
      <c r="N6" s="266" t="s">
        <v>5267</v>
      </c>
      <c r="O6" s="266" t="s">
        <v>5268</v>
      </c>
      <c r="P6" s="266" t="s">
        <v>5269</v>
      </c>
      <c r="Q6" s="266" t="s">
        <v>5139</v>
      </c>
      <c r="R6" s="266" t="s">
        <v>5270</v>
      </c>
      <c r="S6" s="266" t="s">
        <v>514</v>
      </c>
      <c r="T6" s="266" t="s">
        <v>5285</v>
      </c>
      <c r="U6" s="266" t="s">
        <v>5286</v>
      </c>
      <c r="V6" s="266" t="s">
        <v>5287</v>
      </c>
      <c r="W6" s="266" t="s">
        <v>5288</v>
      </c>
      <c r="X6" s="266" t="s">
        <v>4114</v>
      </c>
      <c r="Y6" s="266" t="s">
        <v>5289</v>
      </c>
      <c r="Z6" s="266" t="s">
        <v>5290</v>
      </c>
      <c r="AA6" s="266" t="s">
        <v>3839</v>
      </c>
      <c r="AB6" s="266" t="s">
        <v>5291</v>
      </c>
      <c r="AC6" s="266" t="s">
        <v>6306</v>
      </c>
    </row>
    <row r="7">
      <c r="A7" s="266" t="s">
        <v>8629</v>
      </c>
      <c r="B7" s="266" t="s">
        <v>6829</v>
      </c>
      <c r="C7" s="266" t="s">
        <v>3802</v>
      </c>
      <c r="D7" s="266" t="s">
        <v>3803</v>
      </c>
      <c r="E7" s="266" t="s">
        <v>3804</v>
      </c>
      <c r="F7" s="266" t="s">
        <v>6879</v>
      </c>
      <c r="G7" s="266" t="s">
        <v>6880</v>
      </c>
      <c r="H7" s="266" t="s">
        <v>6306</v>
      </c>
      <c r="I7" s="266" t="s">
        <v>8630</v>
      </c>
      <c r="J7" s="266" t="s">
        <v>6882</v>
      </c>
      <c r="K7" s="266" t="s">
        <v>6883</v>
      </c>
      <c r="L7" s="266" t="s">
        <v>6884</v>
      </c>
      <c r="M7" s="266" t="s">
        <v>6885</v>
      </c>
      <c r="N7" s="266" t="s">
        <v>6886</v>
      </c>
      <c r="O7" s="266" t="s">
        <v>6887</v>
      </c>
      <c r="P7" s="266" t="s">
        <v>6888</v>
      </c>
      <c r="Q7" s="266" t="s">
        <v>8631</v>
      </c>
      <c r="R7" s="266" t="s">
        <v>6890</v>
      </c>
      <c r="S7" s="266" t="s">
        <v>6891</v>
      </c>
      <c r="T7" s="266" t="s">
        <v>6892</v>
      </c>
      <c r="U7" s="266" t="s">
        <v>6891</v>
      </c>
      <c r="V7" s="266" t="s">
        <v>5261</v>
      </c>
      <c r="W7" s="266" t="s">
        <v>6893</v>
      </c>
      <c r="X7" s="266" t="s">
        <v>8632</v>
      </c>
      <c r="Y7" s="266" t="s">
        <v>5267</v>
      </c>
      <c r="Z7" s="266" t="s">
        <v>6895</v>
      </c>
      <c r="AA7" s="266" t="s">
        <v>6896</v>
      </c>
      <c r="AB7" s="266" t="s">
        <v>6897</v>
      </c>
      <c r="AC7" s="266" t="s">
        <v>6898</v>
      </c>
      <c r="AD7" s="266" t="s">
        <v>6306</v>
      </c>
      <c r="AE7" s="266" t="s">
        <v>6900</v>
      </c>
      <c r="AF7" s="266" t="s">
        <v>6901</v>
      </c>
      <c r="AG7" s="266" t="s">
        <v>6902</v>
      </c>
      <c r="AH7" s="266" t="s">
        <v>6408</v>
      </c>
      <c r="AI7" s="266" t="s">
        <v>6409</v>
      </c>
      <c r="AJ7" s="266" t="s">
        <v>6903</v>
      </c>
      <c r="AK7" s="266" t="s">
        <v>6904</v>
      </c>
      <c r="AL7" s="266" t="s">
        <v>6905</v>
      </c>
      <c r="AM7" s="266" t="s">
        <v>6906</v>
      </c>
      <c r="AN7" s="266" t="s">
        <v>6907</v>
      </c>
      <c r="AO7" s="266" t="s">
        <v>6908</v>
      </c>
      <c r="AP7" s="266" t="s">
        <v>6910</v>
      </c>
      <c r="AQ7" s="266" t="s">
        <v>6911</v>
      </c>
      <c r="AR7" s="266" t="s">
        <v>6912</v>
      </c>
      <c r="AS7" s="266" t="s">
        <v>6913</v>
      </c>
      <c r="AT7" s="266" t="s">
        <v>6914</v>
      </c>
      <c r="AU7" s="266" t="s">
        <v>6915</v>
      </c>
      <c r="AV7" s="266" t="s">
        <v>6916</v>
      </c>
      <c r="AW7" s="266" t="s">
        <v>6917</v>
      </c>
      <c r="AX7" s="266" t="s">
        <v>6918</v>
      </c>
      <c r="AY7" s="266" t="s">
        <v>6919</v>
      </c>
      <c r="AZ7" s="266" t="s">
        <v>6920</v>
      </c>
      <c r="BA7" s="266" t="s">
        <v>6921</v>
      </c>
      <c r="BB7" s="266" t="s">
        <v>6922</v>
      </c>
      <c r="BC7" s="266" t="s">
        <v>2785</v>
      </c>
      <c r="BD7" s="266" t="s">
        <v>3840</v>
      </c>
      <c r="BE7" s="266" t="s">
        <v>6923</v>
      </c>
      <c r="BF7" s="266" t="s">
        <v>6924</v>
      </c>
      <c r="BG7" s="266" t="s">
        <v>6925</v>
      </c>
      <c r="BH7" s="266" t="s">
        <v>8633</v>
      </c>
      <c r="BI7" s="266" t="s">
        <v>6927</v>
      </c>
      <c r="BJ7" s="266" t="s">
        <v>6928</v>
      </c>
      <c r="BK7" s="266" t="s">
        <v>6929</v>
      </c>
      <c r="BL7" s="266" t="s">
        <v>6930</v>
      </c>
      <c r="BM7" s="266" t="s">
        <v>6931</v>
      </c>
      <c r="BN7" s="266" t="s">
        <v>6932</v>
      </c>
      <c r="BO7" s="266" t="s">
        <v>6933</v>
      </c>
      <c r="BP7" s="266" t="s">
        <v>8634</v>
      </c>
      <c r="BQ7" s="266" t="s">
        <v>6935</v>
      </c>
      <c r="BR7" s="266" t="s">
        <v>6936</v>
      </c>
      <c r="BS7" s="266" t="s">
        <v>6937</v>
      </c>
      <c r="BT7" s="266" t="s">
        <v>6936</v>
      </c>
      <c r="BU7" s="266" t="s">
        <v>6938</v>
      </c>
      <c r="BV7" s="266" t="s">
        <v>6939</v>
      </c>
      <c r="BW7" s="266" t="s">
        <v>6940</v>
      </c>
      <c r="BX7" s="266" t="s">
        <v>6941</v>
      </c>
      <c r="BY7" s="266" t="s">
        <v>6942</v>
      </c>
      <c r="BZ7" s="266" t="s">
        <v>6943</v>
      </c>
      <c r="CA7" s="266" t="s">
        <v>6306</v>
      </c>
    </row>
    <row r="8">
      <c r="A8" s="266" t="s">
        <v>3848</v>
      </c>
      <c r="B8" s="266" t="s">
        <v>3849</v>
      </c>
      <c r="C8" s="266" t="s">
        <v>3850</v>
      </c>
      <c r="D8" s="266" t="s">
        <v>6306</v>
      </c>
    </row>
    <row r="9">
      <c r="A9" s="266" t="s">
        <v>8635</v>
      </c>
      <c r="B9" s="266" t="s">
        <v>546</v>
      </c>
      <c r="C9" s="266" t="s">
        <v>547</v>
      </c>
      <c r="D9" s="266" t="s">
        <v>548</v>
      </c>
      <c r="E9" s="266" t="s">
        <v>549</v>
      </c>
      <c r="F9" s="266" t="s">
        <v>550</v>
      </c>
      <c r="G9" s="266" t="s">
        <v>6306</v>
      </c>
    </row>
    <row r="10">
      <c r="A10" s="266" t="s">
        <v>8636</v>
      </c>
      <c r="B10" s="266" t="s">
        <v>5139</v>
      </c>
      <c r="C10" s="266" t="s">
        <v>5140</v>
      </c>
      <c r="D10" s="266" t="s">
        <v>5141</v>
      </c>
      <c r="E10" s="266" t="s">
        <v>5142</v>
      </c>
      <c r="F10" s="266" t="s">
        <v>5143</v>
      </c>
      <c r="G10" s="266" t="s">
        <v>5144</v>
      </c>
      <c r="H10" s="266" t="s">
        <v>5145</v>
      </c>
      <c r="I10" s="266" t="s">
        <v>5146</v>
      </c>
      <c r="J10" s="266" t="s">
        <v>5147</v>
      </c>
      <c r="K10" s="266" t="s">
        <v>5148</v>
      </c>
      <c r="L10" s="266" t="s">
        <v>5149</v>
      </c>
      <c r="M10" s="266" t="s">
        <v>5150</v>
      </c>
      <c r="N10" s="266" t="s">
        <v>5151</v>
      </c>
      <c r="O10" s="266" t="s">
        <v>5152</v>
      </c>
      <c r="P10" s="266" t="s">
        <v>5153</v>
      </c>
      <c r="Q10" s="266" t="s">
        <v>5154</v>
      </c>
    </row>
    <row r="11">
      <c r="A11" s="266" t="s">
        <v>8637</v>
      </c>
      <c r="B11" s="266" t="s">
        <v>7862</v>
      </c>
      <c r="C11" s="266" t="s">
        <v>7863</v>
      </c>
      <c r="D11" s="266" t="s">
        <v>7864</v>
      </c>
      <c r="E11" s="266" t="s">
        <v>7865</v>
      </c>
      <c r="F11" s="266" t="s">
        <v>7866</v>
      </c>
      <c r="G11" s="266" t="s">
        <v>7867</v>
      </c>
      <c r="H11" s="266" t="s">
        <v>7868</v>
      </c>
      <c r="I11" s="266" t="s">
        <v>7869</v>
      </c>
      <c r="J11" s="266" t="s">
        <v>7870</v>
      </c>
      <c r="K11" s="266" t="s">
        <v>7871</v>
      </c>
      <c r="L11" s="266" t="s">
        <v>7872</v>
      </c>
      <c r="M11" s="266" t="s">
        <v>7873</v>
      </c>
      <c r="N11" s="266" t="s">
        <v>7874</v>
      </c>
      <c r="O11" s="266" t="s">
        <v>7875</v>
      </c>
      <c r="P11" s="266" t="s">
        <v>7877</v>
      </c>
      <c r="Q11" s="266" t="s">
        <v>7878</v>
      </c>
      <c r="R11" s="266" t="s">
        <v>7879</v>
      </c>
      <c r="S11" s="266" t="s">
        <v>7880</v>
      </c>
      <c r="T11" s="266" t="s">
        <v>7881</v>
      </c>
      <c r="U11" s="266" t="s">
        <v>7882</v>
      </c>
      <c r="V11" s="266" t="s">
        <v>7883</v>
      </c>
      <c r="W11" s="266" t="s">
        <v>7884</v>
      </c>
      <c r="X11" s="266" t="s">
        <v>7885</v>
      </c>
      <c r="Y11" s="266" t="s">
        <v>7886</v>
      </c>
      <c r="Z11" s="266" t="s">
        <v>7887</v>
      </c>
      <c r="AA11" s="266" t="s">
        <v>7888</v>
      </c>
      <c r="AB11" s="266" t="s">
        <v>7889</v>
      </c>
      <c r="AC11" s="266" t="s">
        <v>7890</v>
      </c>
      <c r="AD11" s="266" t="s">
        <v>7891</v>
      </c>
      <c r="AE11" s="266" t="s">
        <v>7892</v>
      </c>
      <c r="AF11" s="266" t="s">
        <v>7893</v>
      </c>
      <c r="AG11" s="266" t="s">
        <v>7894</v>
      </c>
      <c r="AH11" s="266" t="s">
        <v>7895</v>
      </c>
      <c r="AI11" s="266" t="s">
        <v>7896</v>
      </c>
      <c r="AJ11" s="266" t="s">
        <v>7897</v>
      </c>
      <c r="AK11" s="266" t="s">
        <v>7898</v>
      </c>
      <c r="AL11" s="266" t="s">
        <v>7899</v>
      </c>
      <c r="AM11" s="266" t="s">
        <v>7900</v>
      </c>
      <c r="AN11" s="266" t="s">
        <v>7901</v>
      </c>
      <c r="AO11" s="266" t="s">
        <v>7902</v>
      </c>
      <c r="AP11" s="266" t="s">
        <v>7903</v>
      </c>
      <c r="AQ11" s="266" t="s">
        <v>7904</v>
      </c>
      <c r="AR11" s="266" t="s">
        <v>7905</v>
      </c>
      <c r="AS11" s="266" t="s">
        <v>7906</v>
      </c>
      <c r="AT11" s="266" t="s">
        <v>7907</v>
      </c>
      <c r="AU11" s="266" t="s">
        <v>7033</v>
      </c>
      <c r="AV11" s="266" t="s">
        <v>7908</v>
      </c>
      <c r="AW11" s="266" t="s">
        <v>7909</v>
      </c>
      <c r="AX11" s="266" t="s">
        <v>7910</v>
      </c>
      <c r="AY11" s="266" t="s">
        <v>7911</v>
      </c>
      <c r="AZ11" s="266" t="s">
        <v>7912</v>
      </c>
      <c r="BA11" s="266" t="s">
        <v>7913</v>
      </c>
      <c r="BB11" s="266" t="s">
        <v>7914</v>
      </c>
      <c r="BC11" s="266" t="s">
        <v>7915</v>
      </c>
      <c r="BD11" s="266" t="s">
        <v>7916</v>
      </c>
      <c r="BE11" s="266" t="s">
        <v>7917</v>
      </c>
      <c r="BF11" s="266" t="s">
        <v>7918</v>
      </c>
      <c r="BG11" s="266" t="s">
        <v>7919</v>
      </c>
      <c r="BH11" s="266" t="s">
        <v>7920</v>
      </c>
      <c r="BI11" s="266" t="s">
        <v>7921</v>
      </c>
      <c r="BJ11" s="266" t="s">
        <v>7922</v>
      </c>
      <c r="BK11" s="266" t="s">
        <v>7923</v>
      </c>
      <c r="BL11" s="266" t="s">
        <v>7924</v>
      </c>
    </row>
    <row r="12">
      <c r="A12" s="266" t="s">
        <v>8638</v>
      </c>
      <c r="B12" s="266" t="s">
        <v>5115</v>
      </c>
      <c r="C12" s="266" t="s">
        <v>5116</v>
      </c>
    </row>
    <row r="13">
      <c r="A13" s="266" t="s">
        <v>8639</v>
      </c>
      <c r="B13" s="266" t="s">
        <v>3790</v>
      </c>
      <c r="C13" s="266" t="s">
        <v>8640</v>
      </c>
      <c r="D13" s="266" t="s">
        <v>2782</v>
      </c>
      <c r="E13" s="266" t="s">
        <v>2783</v>
      </c>
      <c r="F13" s="266" t="s">
        <v>2784</v>
      </c>
      <c r="G13" s="266" t="s">
        <v>3791</v>
      </c>
      <c r="H13" s="266" t="s">
        <v>2780</v>
      </c>
      <c r="I13" s="266" t="s">
        <v>2781</v>
      </c>
      <c r="J13" s="266" t="s">
        <v>3792</v>
      </c>
      <c r="K13" s="266" t="s">
        <v>2785</v>
      </c>
      <c r="L13" s="266" t="s">
        <v>6306</v>
      </c>
    </row>
    <row r="14">
      <c r="A14" s="266" t="s">
        <v>8641</v>
      </c>
      <c r="B14" s="266" t="s">
        <v>8642</v>
      </c>
      <c r="C14" s="266" t="s">
        <v>514</v>
      </c>
      <c r="D14" s="266" t="s">
        <v>4114</v>
      </c>
      <c r="E14" s="266" t="s">
        <v>3790</v>
      </c>
      <c r="F14" s="266" t="s">
        <v>5104</v>
      </c>
      <c r="G14" s="266" t="s">
        <v>5127</v>
      </c>
      <c r="H14" s="266" t="s">
        <v>5128</v>
      </c>
      <c r="I14" s="266" t="s">
        <v>5129</v>
      </c>
      <c r="J14" s="266" t="s">
        <v>5130</v>
      </c>
      <c r="K14" s="266" t="s">
        <v>5131</v>
      </c>
      <c r="L14" s="266" t="s">
        <v>5132</v>
      </c>
      <c r="M14" s="266" t="s">
        <v>5133</v>
      </c>
      <c r="N14" s="266" t="s">
        <v>5134</v>
      </c>
      <c r="O14" s="266" t="s">
        <v>5135</v>
      </c>
      <c r="P14" s="266" t="s">
        <v>2785</v>
      </c>
      <c r="Q14" s="266" t="s">
        <v>5109</v>
      </c>
      <c r="R14" s="266" t="s">
        <v>5136</v>
      </c>
      <c r="S14" s="266" t="s">
        <v>6306</v>
      </c>
    </row>
    <row r="15">
      <c r="A15" s="266" t="s">
        <v>8643</v>
      </c>
      <c r="B15" s="266" t="s">
        <v>5119</v>
      </c>
      <c r="C15" s="266" t="s">
        <v>5120</v>
      </c>
      <c r="D15" s="266" t="s">
        <v>5121</v>
      </c>
    </row>
    <row r="16">
      <c r="A16" s="266" t="s">
        <v>8644</v>
      </c>
      <c r="B16" s="266" t="s">
        <v>8645</v>
      </c>
      <c r="C16" s="266" t="s">
        <v>514</v>
      </c>
      <c r="D16" s="266" t="s">
        <v>4114</v>
      </c>
      <c r="E16" s="266" t="s">
        <v>4115</v>
      </c>
      <c r="F16" s="266" t="s">
        <v>4116</v>
      </c>
      <c r="G16" s="266" t="s">
        <v>4117</v>
      </c>
      <c r="H16" s="266" t="s">
        <v>4118</v>
      </c>
      <c r="I16" s="266" t="s">
        <v>4119</v>
      </c>
      <c r="J16" s="266" t="s">
        <v>4120</v>
      </c>
      <c r="K16" s="266" t="s">
        <v>4121</v>
      </c>
      <c r="L16" s="266" t="s">
        <v>6306</v>
      </c>
    </row>
    <row r="17">
      <c r="A17" s="266" t="s">
        <v>8646</v>
      </c>
      <c r="B17" s="266" t="s">
        <v>3790</v>
      </c>
      <c r="C17" s="266" t="s">
        <v>5104</v>
      </c>
      <c r="D17" s="266" t="s">
        <v>8647</v>
      </c>
      <c r="E17" s="266" t="s">
        <v>8648</v>
      </c>
      <c r="F17" s="266" t="s">
        <v>576</v>
      </c>
      <c r="G17" s="266" t="s">
        <v>577</v>
      </c>
      <c r="H17" s="266" t="s">
        <v>578</v>
      </c>
      <c r="I17" s="266" t="s">
        <v>5105</v>
      </c>
      <c r="J17" s="266" t="s">
        <v>5106</v>
      </c>
      <c r="K17" s="266" t="s">
        <v>5107</v>
      </c>
      <c r="L17" s="266" t="s">
        <v>4119</v>
      </c>
      <c r="M17" s="266" t="s">
        <v>4120</v>
      </c>
      <c r="N17" s="266" t="s">
        <v>5108</v>
      </c>
      <c r="O17" s="266" t="s">
        <v>5109</v>
      </c>
      <c r="P17" s="266" t="s">
        <v>5110</v>
      </c>
      <c r="Q17" s="266" t="s">
        <v>4121</v>
      </c>
      <c r="R17" s="266" t="s">
        <v>6306</v>
      </c>
    </row>
    <row r="18">
      <c r="A18" s="266" t="s">
        <v>8641</v>
      </c>
      <c r="B18" s="266" t="s">
        <v>8642</v>
      </c>
      <c r="C18" s="266" t="s">
        <v>514</v>
      </c>
      <c r="D18" s="266" t="s">
        <v>4114</v>
      </c>
      <c r="E18" s="266" t="s">
        <v>3790</v>
      </c>
      <c r="F18" s="266" t="s">
        <v>5104</v>
      </c>
      <c r="G18" s="266" t="s">
        <v>5127</v>
      </c>
      <c r="H18" s="266" t="s">
        <v>5128</v>
      </c>
      <c r="I18" s="266" t="s">
        <v>5129</v>
      </c>
      <c r="J18" s="266" t="s">
        <v>5130</v>
      </c>
      <c r="K18" s="266" t="s">
        <v>5131</v>
      </c>
      <c r="L18" s="266" t="s">
        <v>5132</v>
      </c>
      <c r="M18" s="266" t="s">
        <v>5133</v>
      </c>
      <c r="N18" s="266" t="s">
        <v>5134</v>
      </c>
      <c r="O18" s="266" t="s">
        <v>5135</v>
      </c>
      <c r="P18" s="266" t="s">
        <v>2785</v>
      </c>
      <c r="Q18" s="266" t="s">
        <v>5109</v>
      </c>
      <c r="R18" s="266" t="s">
        <v>5136</v>
      </c>
      <c r="S18" s="266" t="s">
        <v>6306</v>
      </c>
    </row>
    <row r="19">
      <c r="A19" s="266" t="s">
        <v>8649</v>
      </c>
      <c r="B19" s="266" t="s">
        <v>8650</v>
      </c>
      <c r="C19" s="266" t="s">
        <v>514</v>
      </c>
      <c r="D19" s="266" t="s">
        <v>6795</v>
      </c>
      <c r="E19" s="266" t="s">
        <v>8651</v>
      </c>
      <c r="F19" s="266" t="s">
        <v>5165</v>
      </c>
      <c r="G19" s="266" t="s">
        <v>5166</v>
      </c>
      <c r="H19" s="266" t="s">
        <v>6796</v>
      </c>
      <c r="I19" s="266" t="s">
        <v>8652</v>
      </c>
      <c r="J19" s="266" t="s">
        <v>5160</v>
      </c>
      <c r="K19" s="266" t="s">
        <v>5161</v>
      </c>
      <c r="L19" s="266" t="s">
        <v>6768</v>
      </c>
      <c r="M19" s="266" t="s">
        <v>6789</v>
      </c>
      <c r="N19" s="266" t="s">
        <v>4114</v>
      </c>
      <c r="O19" s="266" t="s">
        <v>8214</v>
      </c>
      <c r="P19" s="266" t="s">
        <v>8215</v>
      </c>
      <c r="Q19" s="266" t="s">
        <v>8216</v>
      </c>
      <c r="R19" s="266" t="s">
        <v>8217</v>
      </c>
      <c r="S19" s="266" t="s">
        <v>8218</v>
      </c>
      <c r="T19" s="266" t="s">
        <v>8219</v>
      </c>
      <c r="U19" s="266" t="s">
        <v>8220</v>
      </c>
      <c r="V19" s="266" t="s">
        <v>8221</v>
      </c>
      <c r="W19" s="266" t="s">
        <v>8222</v>
      </c>
      <c r="X19" s="266" t="s">
        <v>8223</v>
      </c>
      <c r="Y19" s="266" t="s">
        <v>8224</v>
      </c>
      <c r="Z19" s="266" t="s">
        <v>8225</v>
      </c>
      <c r="AA19" s="266" t="s">
        <v>8226</v>
      </c>
      <c r="AB19" s="266" t="s">
        <v>8227</v>
      </c>
      <c r="AC19" s="266" t="s">
        <v>8228</v>
      </c>
      <c r="AD19" s="266" t="s">
        <v>8229</v>
      </c>
      <c r="AE19" s="266" t="s">
        <v>8230</v>
      </c>
      <c r="AF19" s="266" t="s">
        <v>8231</v>
      </c>
      <c r="AG19" s="266" t="s">
        <v>7035</v>
      </c>
      <c r="AH19" s="266" t="s">
        <v>8129</v>
      </c>
      <c r="AI19" s="266" t="s">
        <v>7037</v>
      </c>
      <c r="AJ19" s="266" t="s">
        <v>7038</v>
      </c>
      <c r="AK19" s="266" t="s">
        <v>7039</v>
      </c>
      <c r="AL19" s="266" t="s">
        <v>7041</v>
      </c>
      <c r="AM19" s="266" t="s">
        <v>6306</v>
      </c>
      <c r="AN19" s="266" t="s">
        <v>7043</v>
      </c>
      <c r="AO19" s="266" t="s">
        <v>6306</v>
      </c>
    </row>
    <row r="20">
      <c r="A20" s="266" t="s">
        <v>8653</v>
      </c>
      <c r="B20" s="266" t="s">
        <v>615</v>
      </c>
      <c r="C20" s="266" t="s">
        <v>616</v>
      </c>
      <c r="D20" s="266" t="s">
        <v>617</v>
      </c>
      <c r="E20" s="266" t="s">
        <v>618</v>
      </c>
      <c r="F20" s="266" t="s">
        <v>619</v>
      </c>
      <c r="G20" s="266" t="s">
        <v>620</v>
      </c>
      <c r="H20" s="266" t="s">
        <v>8647</v>
      </c>
      <c r="I20" s="266" t="s">
        <v>8648</v>
      </c>
      <c r="J20" s="266" t="s">
        <v>576</v>
      </c>
      <c r="K20" s="266" t="s">
        <v>577</v>
      </c>
      <c r="L20" s="266" t="s">
        <v>578</v>
      </c>
      <c r="M20" s="266" t="s">
        <v>621</v>
      </c>
      <c r="N20" s="266" t="s">
        <v>622</v>
      </c>
      <c r="O20" s="266" t="s">
        <v>6306</v>
      </c>
    </row>
    <row r="21">
      <c r="A21" s="266" t="s">
        <v>8635</v>
      </c>
      <c r="B21" s="266" t="s">
        <v>546</v>
      </c>
      <c r="C21" s="266" t="s">
        <v>547</v>
      </c>
      <c r="D21" s="266" t="s">
        <v>548</v>
      </c>
      <c r="E21" s="266" t="s">
        <v>549</v>
      </c>
      <c r="F21" s="266" t="s">
        <v>550</v>
      </c>
      <c r="G21" s="266" t="s">
        <v>6306</v>
      </c>
    </row>
    <row r="22">
      <c r="A22" s="266" t="s">
        <v>8654</v>
      </c>
      <c r="B22" s="266" t="s">
        <v>8655</v>
      </c>
      <c r="C22" s="266" t="s">
        <v>2777</v>
      </c>
      <c r="D22" s="266" t="s">
        <v>2778</v>
      </c>
      <c r="E22" s="266" t="s">
        <v>2779</v>
      </c>
      <c r="F22" s="266" t="s">
        <v>2780</v>
      </c>
      <c r="G22" s="266" t="s">
        <v>2781</v>
      </c>
      <c r="H22" s="266" t="s">
        <v>8640</v>
      </c>
      <c r="I22" s="266" t="s">
        <v>2782</v>
      </c>
      <c r="J22" s="266" t="s">
        <v>2783</v>
      </c>
      <c r="K22" s="266" t="s">
        <v>2784</v>
      </c>
      <c r="L22" s="266" t="s">
        <v>2785</v>
      </c>
      <c r="M22" s="266" t="s">
        <v>6306</v>
      </c>
    </row>
    <row r="23">
      <c r="A23" s="34" t="s">
        <v>575</v>
      </c>
      <c r="B23" s="34" t="s">
        <v>576</v>
      </c>
      <c r="C23" s="35" t="s">
        <v>577</v>
      </c>
      <c r="D23" s="35" t="s">
        <v>578</v>
      </c>
      <c r="E23" s="35" t="s">
        <v>579</v>
      </c>
      <c r="F23" s="35" t="s">
        <v>580</v>
      </c>
      <c r="G23" s="36" t="s">
        <v>581</v>
      </c>
      <c r="H23" s="35" t="s">
        <v>582</v>
      </c>
      <c r="I23" s="35" t="s">
        <v>583</v>
      </c>
      <c r="J23" s="35" t="s">
        <v>584</v>
      </c>
      <c r="K23" s="35" t="s">
        <v>585</v>
      </c>
      <c r="L23" s="35" t="s">
        <v>586</v>
      </c>
      <c r="M23" s="35" t="s">
        <v>587</v>
      </c>
      <c r="N23" s="35" t="s">
        <v>588</v>
      </c>
      <c r="O23" s="35" t="s">
        <v>589</v>
      </c>
      <c r="P23" s="35" t="s">
        <v>590</v>
      </c>
      <c r="Q23" s="35" t="s">
        <v>591</v>
      </c>
      <c r="R23" s="35" t="s">
        <v>592</v>
      </c>
      <c r="S23" s="35" t="s">
        <v>593</v>
      </c>
      <c r="T23" s="35" t="s">
        <v>594</v>
      </c>
      <c r="U23" s="37" t="s">
        <v>595</v>
      </c>
      <c r="V23" s="35" t="s">
        <v>596</v>
      </c>
      <c r="W23" s="35" t="s">
        <v>597</v>
      </c>
      <c r="X23" s="35" t="s">
        <v>598</v>
      </c>
      <c r="Y23" s="35" t="s">
        <v>599</v>
      </c>
      <c r="Z23" s="35" t="s">
        <v>6306</v>
      </c>
    </row>
    <row r="24">
      <c r="A24" s="3" t="s">
        <v>23</v>
      </c>
      <c r="B24" s="3" t="s">
        <v>24</v>
      </c>
      <c r="C24" s="15" t="s">
        <v>25</v>
      </c>
      <c r="D24" s="3" t="s">
        <v>26</v>
      </c>
      <c r="E24" s="3" t="s">
        <v>27</v>
      </c>
      <c r="F24" s="3" t="s">
        <v>6306</v>
      </c>
    </row>
    <row r="27">
      <c r="A27" s="286" t="str">
        <f>IFERROR(__xludf.DUMMYFUNCTION("UNIQUE(A2:EK24)"),"APPEAL-FY")</f>
        <v>APPEAL-FY</v>
      </c>
      <c r="B27" s="286" t="str">
        <f>IFERROR(__xludf.DUMMYFUNCTION("""COMPUTED_VALUE"""),"APPEAL-SEQNC-NBR")</f>
        <v>APPEAL-SEQNC-NBR</v>
      </c>
      <c r="C27" s="286" t="str">
        <f>IFERROR(__xludf.DUMMYFUNCTION("""COMPUTED_VALUE"""),"APPEAL-AREA")</f>
        <v>APPEAL-AREA</v>
      </c>
      <c r="D27" s="286" t="str">
        <f>IFERROR(__xludf.DUMMYFUNCTION("""COMPUTED_VALUE"""),"FMHA-CASE-NBR")</f>
        <v>FMHA-CASE-NBR</v>
      </c>
      <c r="E27" s="286" t="str">
        <f>IFERROR(__xludf.DUMMYFUNCTION("""COMPUTED_VALUE"""),"CASE-ST-NBR")</f>
        <v>CASE-ST-NBR</v>
      </c>
      <c r="F27" s="286" t="str">
        <f>IFERROR(__xludf.DUMMYFUNCTION("""COMPUTED_VALUE"""),"CTY-DST-NBR")</f>
        <v>CTY-DST-NBR</v>
      </c>
      <c r="G27" s="286" t="str">
        <f>IFERROR(__xludf.DUMMYFUNCTION("""COMPUTED_VALUE"""),"CASE-ENTY")</f>
        <v>CASE-ENTY</v>
      </c>
      <c r="H27" s="286" t="str">
        <f>IFERROR(__xludf.DUMMYFUNCTION("""COMPUTED_VALUE"""),"APPLNT-ENTY-NME")</f>
        <v>APPLNT-ENTY-NME</v>
      </c>
      <c r="I27" s="286" t="str">
        <f>IFERROR(__xludf.DUMMYFUNCTION("""COMPUTED_VALUE"""),"APPLNT-LST-NME")</f>
        <v>APPLNT-LST-NME</v>
      </c>
      <c r="J27" s="286" t="str">
        <f>IFERROR(__xludf.DUMMYFUNCTION("""COMPUTED_VALUE"""),"APPLNT-1ST-NME")</f>
        <v>APPLNT-1ST-NME</v>
      </c>
      <c r="K27" s="286" t="str">
        <f>IFERROR(__xludf.DUMMYFUNCTION("""COMPUTED_VALUE"""),"APPLNT-MID-NME")</f>
        <v>APPLNT-MID-NME</v>
      </c>
      <c r="L27" s="286" t="str">
        <f>IFERROR(__xludf.DUMMYFUNCTION("""COMPUTED_VALUE"""),"CUR-REVW-DECSN")</f>
        <v>CUR-REVW-DECSN</v>
      </c>
      <c r="M27" s="286" t="str">
        <f>IFERROR(__xludf.DUMMYFUNCTION("""COMPUTED_VALUE"""),"ENTY-CNTCT-NME")</f>
        <v>ENTY-CNTCT-NME</v>
      </c>
      <c r="N27" s="286" t="str">
        <f>IFERROR(__xludf.DUMMYFUNCTION("""COMPUTED_VALUE"""),"ENTY-CNTCT-LST-NME")</f>
        <v>ENTY-CNTCT-LST-NME</v>
      </c>
      <c r="O27" s="286" t="str">
        <f>IFERROR(__xludf.DUMMYFUNCTION("""COMPUTED_VALUE"""),"ENTY-CNTCT-1ST-NME")</f>
        <v>ENTY-CNTCT-1ST-NME</v>
      </c>
      <c r="P27" s="286" t="str">
        <f>IFERROR(__xludf.DUMMYFUNCTION("""COMPUTED_VALUE"""),"APPLNT-ADDR")</f>
        <v>APPLNT-ADDR</v>
      </c>
      <c r="Q27" s="286" t="str">
        <f>IFERROR(__xludf.DUMMYFUNCTION("""COMPUTED_VALUE"""),"APPLNT-ADDR-GRP")</f>
        <v>APPLNT-ADDR-GRP</v>
      </c>
      <c r="R27" s="286" t="str">
        <f>IFERROR(__xludf.DUMMYFUNCTION("""COMPUTED_VALUE"""),"APPLNT-STREET-CITY-1")</f>
        <v>APPLNT-STREET-CITY-1</v>
      </c>
      <c r="S27" s="286" t="str">
        <f>IFERROR(__xludf.DUMMYFUNCTION("""COMPUTED_VALUE"""),"APPLNT-STREET-CITY-2")</f>
        <v>APPLNT-STREET-CITY-2</v>
      </c>
      <c r="T27" s="286" t="str">
        <f>IFERROR(__xludf.DUMMYFUNCTION("""COMPUTED_VALUE"""),"APPLNT-ST")</f>
        <v>APPLNT-ST</v>
      </c>
      <c r="U27" s="286" t="str">
        <f>IFERROR(__xludf.DUMMYFUNCTION("""COMPUTED_VALUE"""),"APPLNT-ZIP")</f>
        <v>APPLNT-ZIP</v>
      </c>
      <c r="V27" s="286" t="str">
        <f>IFERROR(__xludf.DUMMYFUNCTION("""COMPUTED_VALUE"""),"APPLNT-ZIP-1")</f>
        <v>APPLNT-ZIP-1</v>
      </c>
      <c r="W27" s="286" t="str">
        <f>IFERROR(__xludf.DUMMYFUNCTION("""COMPUTED_VALUE"""),"APPLNT-ZIP-2")</f>
        <v>APPLNT-ZIP-2</v>
      </c>
      <c r="X27" s="286" t="str">
        <f>IFERROR(__xludf.DUMMYFUNCTION("""COMPUTED_VALUE"""),"APPLNT-OFC-PHN")</f>
        <v>APPLNT-OFC-PHN</v>
      </c>
      <c r="Y27" s="286" t="str">
        <f>IFERROR(__xludf.DUMMYFUNCTION("""COMPUTED_VALUE"""),"APPLNT-OFC-AREA")</f>
        <v>APPLNT-OFC-AREA</v>
      </c>
      <c r="Z27" s="286" t="str">
        <f>IFERROR(__xludf.DUMMYFUNCTION("""COMPUTED_VALUE"""),"APPLNT-OFC-PHN-NBR")</f>
        <v>APPLNT-OFC-PHN-NBR</v>
      </c>
      <c r="AA27" s="286" t="str">
        <f>IFERROR(__xludf.DUMMYFUNCTION("""COMPUTED_VALUE"""),"APPLNT-OFC-EXTNSN")</f>
        <v>APPLNT-OFC-EXTNSN</v>
      </c>
      <c r="AB27" s="286" t="str">
        <f>IFERROR(__xludf.DUMMYFUNCTION("""COMPUTED_VALUE"""),"APPLNT-HOME-PHN")</f>
        <v>APPLNT-HOME-PHN</v>
      </c>
      <c r="AC27" s="286" t="str">
        <f>IFERROR(__xludf.DUMMYFUNCTION("""COMPUTED_VALUE"""),"APPLNT-HOME-AREA")</f>
        <v>APPLNT-HOME-AREA</v>
      </c>
      <c r="AD27" s="286" t="str">
        <f>IFERROR(__xludf.DUMMYFUNCTION("""COMPUTED_VALUE"""),"APPLNT-HOME-PHN-NBR")</f>
        <v>APPLNT-HOME-PHN-NBR</v>
      </c>
      <c r="AE27" s="286" t="str">
        <f>IFERROR(__xludf.DUMMYFUNCTION("""COMPUTED_VALUE"""),"LNDR-APPLNT")</f>
        <v>LNDR-APPLNT</v>
      </c>
      <c r="AF27" s="286" t="str">
        <f>IFERROR(__xludf.DUMMYFUNCTION("""COMPUTED_VALUE"""),"LNDR-APPLNT-NME")</f>
        <v>LNDR-APPLNT-NME</v>
      </c>
      <c r="AG27" s="286" t="str">
        <f>IFERROR(__xludf.DUMMYFUNCTION("""COMPUTED_VALUE"""),"LNDR-APPLNT-LST-NME")</f>
        <v>LNDR-APPLNT-LST-NME</v>
      </c>
      <c r="AH27" s="286" t="str">
        <f>IFERROR(__xludf.DUMMYFUNCTION("""COMPUTED_VALUE"""),"LNDR-APPLNT-1ST-NME")</f>
        <v>LNDR-APPLNT-1ST-NME</v>
      </c>
      <c r="AI27" s="286" t="str">
        <f>IFERROR(__xludf.DUMMYFUNCTION("""COMPUTED_VALUE"""),"LNDR-APPLNT-ADDR")</f>
        <v>LNDR-APPLNT-ADDR</v>
      </c>
      <c r="AJ27" s="286" t="str">
        <f>IFERROR(__xludf.DUMMYFUNCTION("""COMPUTED_VALUE"""),"LNDR-APPLNT-ADDR-GRP")</f>
        <v>LNDR-APPLNT-ADDR-GRP</v>
      </c>
      <c r="AK27" s="286" t="str">
        <f>IFERROR(__xludf.DUMMYFUNCTION("""COMPUTED_VALUE"""),"LNDR-APPLNT-STREET-1")</f>
        <v>LNDR-APPLNT-STREET-1</v>
      </c>
      <c r="AL27" s="286" t="str">
        <f>IFERROR(__xludf.DUMMYFUNCTION("""COMPUTED_VALUE"""),"LNDR-APPLNT-STREET-2")</f>
        <v>LNDR-APPLNT-STREET-2</v>
      </c>
      <c r="AM27" s="286" t="str">
        <f>IFERROR(__xludf.DUMMYFUNCTION("""COMPUTED_VALUE"""),"LNDR-APPLNT-ST")</f>
        <v>LNDR-APPLNT-ST</v>
      </c>
      <c r="AN27" s="286" t="str">
        <f>IFERROR(__xludf.DUMMYFUNCTION("""COMPUTED_VALUE"""),"LNDR-APPLNT-ZIP")</f>
        <v>LNDR-APPLNT-ZIP</v>
      </c>
      <c r="AO27" s="286" t="str">
        <f>IFERROR(__xludf.DUMMYFUNCTION("""COMPUTED_VALUE"""),"LNDR-APPLNT-ZIP-1")</f>
        <v>LNDR-APPLNT-ZIP-1</v>
      </c>
      <c r="AP27" s="286" t="str">
        <f>IFERROR(__xludf.DUMMYFUNCTION("""COMPUTED_VALUE"""),"LNDR-APPLNT-ZIP-2")</f>
        <v>LNDR-APPLNT-ZIP-2</v>
      </c>
      <c r="AQ27" s="286" t="str">
        <f>IFERROR(__xludf.DUMMYFUNCTION("""COMPUTED_VALUE"""),"LNDR-APPLNT-OFC-PHN")</f>
        <v>LNDR-APPLNT-OFC-PHN</v>
      </c>
      <c r="AR27" s="286" t="str">
        <f>IFERROR(__xludf.DUMMYFUNCTION("""COMPUTED_VALUE"""),"LNDR-APPLNT-OFC-AREA")</f>
        <v>LNDR-APPLNT-OFC-AREA</v>
      </c>
      <c r="AS27" s="286" t="str">
        <f>IFERROR(__xludf.DUMMYFUNCTION("""COMPUTED_VALUE"""),"LNDR-APPLNT-OFC-PHN-NBR")</f>
        <v>LNDR-APPLNT-OFC-PHN-NBR</v>
      </c>
      <c r="AT27" s="286" t="str">
        <f>IFERROR(__xludf.DUMMYFUNCTION("""COMPUTED_VALUE"""),"LNDR-APPLNT-OFC-EXTNSN")</f>
        <v>LNDR-APPLNT-OFC-EXTNSN</v>
      </c>
      <c r="AU27" s="286" t="str">
        <f>IFERROR(__xludf.DUMMYFUNCTION("""COMPUTED_VALUE"""),"APPEAL-CUR-STAT")</f>
        <v>APPEAL-CUR-STAT</v>
      </c>
      <c r="AV27" s="286" t="str">
        <f>IFERROR(__xludf.DUMMYFUNCTION("""COMPUTED_VALUE"""),"APPEAL-STAT-MAJ")</f>
        <v>APPEAL-STAT-MAJ</v>
      </c>
      <c r="AW27" s="286" t="str">
        <f>IFERROR(__xludf.DUMMYFUNCTION("""COMPUTED_VALUE"""),"APPEAL-STAT-PHASE")</f>
        <v>APPEAL-STAT-PHASE</v>
      </c>
      <c r="AX27" s="286" t="str">
        <f>IFERROR(__xludf.DUMMYFUNCTION("""COMPUTED_VALUE"""),"APPEAL-STAT-LVL")</f>
        <v>APPEAL-STAT-LVL</v>
      </c>
      <c r="AY27" s="286" t="str">
        <f>IFERROR(__xludf.DUMMYFUNCTION("""COMPUTED_VALUE"""),"APPEAL-STAT-DECSN")</f>
        <v>APPEAL-STAT-DECSN</v>
      </c>
      <c r="AZ27" s="286" t="str">
        <f>IFERROR(__xludf.DUMMYFUNCTION("""COMPUTED_VALUE"""),"REP-NME")</f>
        <v>REP-NME</v>
      </c>
      <c r="BA27" s="286" t="str">
        <f>IFERROR(__xludf.DUMMYFUNCTION("""COMPUTED_VALUE"""),"REP-LST-NME")</f>
        <v>REP-LST-NME</v>
      </c>
      <c r="BB27" s="286" t="str">
        <f>IFERROR(__xludf.DUMMYFUNCTION("""COMPUTED_VALUE"""),"REP-1ST-NME")</f>
        <v>REP-1ST-NME</v>
      </c>
      <c r="BC27" s="286" t="str">
        <f>IFERROR(__xludf.DUMMYFUNCTION("""COMPUTED_VALUE"""),"REP-MID-NME")</f>
        <v>REP-MID-NME</v>
      </c>
      <c r="BD27" s="286" t="str">
        <f>IFERROR(__xludf.DUMMYFUNCTION("""COMPUTED_VALUE"""),"REP-ADDR")</f>
        <v>REP-ADDR</v>
      </c>
      <c r="BE27" s="286" t="str">
        <f>IFERROR(__xludf.DUMMYFUNCTION("""COMPUTED_VALUE"""),"REP-ADDR-GRP")</f>
        <v>REP-ADDR-GRP</v>
      </c>
      <c r="BF27" s="286" t="str">
        <f>IFERROR(__xludf.DUMMYFUNCTION("""COMPUTED_VALUE"""),"REP-STREET-CITY-1")</f>
        <v>REP-STREET-CITY-1</v>
      </c>
      <c r="BG27" s="286" t="str">
        <f>IFERROR(__xludf.DUMMYFUNCTION("""COMPUTED_VALUE"""),"REP-STREET-CITY-2")</f>
        <v>REP-STREET-CITY-2</v>
      </c>
      <c r="BH27" s="286" t="str">
        <f>IFERROR(__xludf.DUMMYFUNCTION("""COMPUTED_VALUE"""),"REP-ST")</f>
        <v>REP-ST</v>
      </c>
      <c r="BI27" s="286" t="str">
        <f>IFERROR(__xludf.DUMMYFUNCTION("""COMPUTED_VALUE"""),"REP-ZIP")</f>
        <v>REP-ZIP</v>
      </c>
      <c r="BJ27" s="286" t="str">
        <f>IFERROR(__xludf.DUMMYFUNCTION("""COMPUTED_VALUE"""),"REP-ZIP-1")</f>
        <v>REP-ZIP-1</v>
      </c>
      <c r="BK27" s="286" t="str">
        <f>IFERROR(__xludf.DUMMYFUNCTION("""COMPUTED_VALUE"""),"REP-ZIP-2")</f>
        <v>REP-ZIP-2</v>
      </c>
      <c r="BL27" s="286" t="str">
        <f>IFERROR(__xludf.DUMMYFUNCTION("""COMPUTED_VALUE"""),"REP-OFC-PHN")</f>
        <v>REP-OFC-PHN</v>
      </c>
      <c r="BM27" s="286" t="str">
        <f>IFERROR(__xludf.DUMMYFUNCTION("""COMPUTED_VALUE"""),"REP-OFC-AREA")</f>
        <v>REP-OFC-AREA</v>
      </c>
      <c r="BN27" s="286" t="str">
        <f>IFERROR(__xludf.DUMMYFUNCTION("""COMPUTED_VALUE"""),"REP-OFC-PHN-NBR")</f>
        <v>REP-OFC-PHN-NBR</v>
      </c>
      <c r="BO27" s="286" t="str">
        <f>IFERROR(__xludf.DUMMYFUNCTION("""COMPUTED_VALUE"""),"REP-OFC-EXTNSN")</f>
        <v>REP-OFC-EXTNSN</v>
      </c>
      <c r="BP27" s="286" t="str">
        <f>IFERROR(__xludf.DUMMYFUNCTION("""COMPUTED_VALUE"""),"DECSN-OFCL-NME")</f>
        <v>DECSN-OFCL-NME</v>
      </c>
      <c r="BQ27" s="286" t="str">
        <f>IFERROR(__xludf.DUMMYFUNCTION("""COMPUTED_VALUE"""),"DECSN-OFCL-LST-NME")</f>
        <v>DECSN-OFCL-LST-NME</v>
      </c>
      <c r="BR27" s="286" t="str">
        <f>IFERROR(__xludf.DUMMYFUNCTION("""COMPUTED_VALUE"""),"DECSN-OFCL-1ST-NME")</f>
        <v>DECSN-OFCL-1ST-NME</v>
      </c>
      <c r="BS27" s="286" t="str">
        <f>IFERROR(__xludf.DUMMYFUNCTION("""COMPUTED_VALUE"""),"DECSN-OFCL-MID-NME")</f>
        <v>DECSN-OFCL-MID-NME</v>
      </c>
      <c r="BT27" s="286" t="str">
        <f>IFERROR(__xludf.DUMMYFUNCTION("""COMPUTED_VALUE"""),"DECSN-OFCL-CDE")</f>
        <v>DECSN-OFCL-CDE</v>
      </c>
      <c r="BU27" s="286" t="str">
        <f>IFERROR(__xludf.DUMMYFUNCTION("""COMPUTED_VALUE"""),"DECSN-OFCL-ADDR")</f>
        <v>DECSN-OFCL-ADDR</v>
      </c>
      <c r="BV27" s="286" t="str">
        <f>IFERROR(__xludf.DUMMYFUNCTION("""COMPUTED_VALUE"""),"DECSN-OFCL-ADDR-GRP")</f>
        <v>DECSN-OFCL-ADDR-GRP</v>
      </c>
      <c r="BW27" s="286" t="str">
        <f>IFERROR(__xludf.DUMMYFUNCTION("""COMPUTED_VALUE"""),"DECSN-OFCL-STREET-CITY-1")</f>
        <v>DECSN-OFCL-STREET-CITY-1</v>
      </c>
      <c r="BX27" s="286" t="str">
        <f>IFERROR(__xludf.DUMMYFUNCTION("""COMPUTED_VALUE"""),"DECSN-OFCL-STREET-CITY-2")</f>
        <v>DECSN-OFCL-STREET-CITY-2</v>
      </c>
      <c r="BY27" s="286" t="str">
        <f>IFERROR(__xludf.DUMMYFUNCTION("""COMPUTED_VALUE"""),"DECSN-OFCL-ST")</f>
        <v>DECSN-OFCL-ST</v>
      </c>
      <c r="BZ27" s="286" t="str">
        <f>IFERROR(__xludf.DUMMYFUNCTION("""COMPUTED_VALUE"""),"DECSN-OFCL-ZIP")</f>
        <v>DECSN-OFCL-ZIP</v>
      </c>
      <c r="CA27" s="286" t="str">
        <f>IFERROR(__xludf.DUMMYFUNCTION("""COMPUTED_VALUE"""),"DECSN-OFCL-ZIP-1")</f>
        <v>DECSN-OFCL-ZIP-1</v>
      </c>
      <c r="CB27" s="286" t="str">
        <f>IFERROR(__xludf.DUMMYFUNCTION("""COMPUTED_VALUE"""),"DECSN-OFCL-ZIP-2")</f>
        <v>DECSN-OFCL-ZIP-2</v>
      </c>
      <c r="CC27" s="286" t="str">
        <f>IFERROR(__xludf.DUMMYFUNCTION("""COMPUTED_VALUE"""),"DECSN-OFCL-PHN")</f>
        <v>DECSN-OFCL-PHN</v>
      </c>
      <c r="CD27" s="286" t="str">
        <f>IFERROR(__xludf.DUMMYFUNCTION("""COMPUTED_VALUE"""),"DECSN-OFCL-AREA")</f>
        <v>DECSN-OFCL-AREA</v>
      </c>
      <c r="CE27" s="286" t="str">
        <f>IFERROR(__xludf.DUMMYFUNCTION("""COMPUTED_VALUE"""),"DECSN-OFCL-PHN-NBR")</f>
        <v>DECSN-OFCL-PHN-NBR</v>
      </c>
      <c r="CF27" s="286" t="str">
        <f>IFERROR(__xludf.DUMMYFUNCTION("""COMPUTED_VALUE"""),"DECSN-OFCL-EXTNSN")</f>
        <v>DECSN-OFCL-EXTNSN</v>
      </c>
      <c r="CG27" s="286" t="str">
        <f>IFERROR(__xludf.DUMMYFUNCTION("""COMPUTED_VALUE"""),"PROG-CDE")</f>
        <v>PROG-CDE</v>
      </c>
      <c r="CH27" s="286" t="str">
        <f>IFERROR(__xludf.DUMMYFUNCTION("""COMPUTED_VALUE"""),"LN-CDE")</f>
        <v>LN-CDE</v>
      </c>
      <c r="CI27" s="286" t="str">
        <f>IFERROR(__xludf.DUMMYFUNCTION("""COMPUTED_VALUE"""),"ACTN-CDE")</f>
        <v>ACTN-CDE</v>
      </c>
      <c r="CJ27" s="286" t="str">
        <f>IFERROR(__xludf.DUMMYFUNCTION("""COMPUTED_VALUE"""),"SUB-ACTN-CDE")</f>
        <v>SUB-ACTN-CDE</v>
      </c>
      <c r="CK27" s="286" t="str">
        <f>IFERROR(__xludf.DUMMYFUNCTION("""COMPUTED_VALUE"""),"STATCS-CDE")</f>
        <v>STATCS-CDE</v>
      </c>
      <c r="CL27" s="286" t="str">
        <f>IFERROR(__xludf.DUMMYFUNCTION("""COMPUTED_VALUE"""),"RACE-DESC-CDE")</f>
        <v>RACE-DESC-CDE</v>
      </c>
      <c r="CM27" s="286" t="str">
        <f>IFERROR(__xludf.DUMMYFUNCTION("""COMPUTED_VALUE"""),"SEX-CDE")</f>
        <v>SEX-CDE</v>
      </c>
      <c r="CN27" s="286" t="str">
        <f>IFERROR(__xludf.DUMMYFUNCTION("""COMPUTED_VALUE"""),"HNDICPD-CDE")</f>
        <v>HNDICPD-CDE</v>
      </c>
      <c r="CO27" s="286" t="str">
        <f>IFERROR(__xludf.DUMMYFUNCTION("""COMPUTED_VALUE"""),"FMHA-ORIG-DECSN-DTE")</f>
        <v>FMHA-ORIG-DECSN-DTE</v>
      </c>
      <c r="CP27" s="286" t="str">
        <f>IFERROR(__xludf.DUMMYFUNCTION("""COMPUTED_VALUE"""),"HEARG-RQSTD-DTE")</f>
        <v>HEARG-RQSTD-DTE</v>
      </c>
      <c r="CQ27" s="286" t="str">
        <f>IFERROR(__xludf.DUMMYFUNCTION("""COMPUTED_VALUE"""),"HEARG-ASGD-DTE")</f>
        <v>HEARG-ASGD-DTE</v>
      </c>
      <c r="CR27" s="286" t="str">
        <f>IFERROR(__xludf.DUMMYFUNCTION("""COMPUTED_VALUE"""),"HEARG-DECSN-DUE-DTE")</f>
        <v>HEARG-DECSN-DUE-DTE</v>
      </c>
      <c r="CS27" s="286" t="str">
        <f>IFERROR(__xludf.DUMMYFUNCTION("""COMPUTED_VALUE"""),"HEARG-DTE")</f>
        <v>HEARG-DTE</v>
      </c>
      <c r="CT27" s="286" t="str">
        <f>IFERROR(__xludf.DUMMYFUNCTION("""COMPUTED_VALUE"""),"HEARG-CNFNC-CALL")</f>
        <v>HEARG-CNFNC-CALL</v>
      </c>
      <c r="CU27" s="286" t="str">
        <f>IFERROR(__xludf.DUMMYFUNCTION("""COMPUTED_VALUE"""),"HEARG-USER-ID")</f>
        <v>HEARG-USER-ID</v>
      </c>
      <c r="CV27" s="286" t="str">
        <f>IFERROR(__xludf.DUMMYFUNCTION("""COMPUTED_VALUE"""),"HEARG-DECSN")</f>
        <v>HEARG-DECSN</v>
      </c>
      <c r="CW27" s="286" t="str">
        <f>IFERROR(__xludf.DUMMYFUNCTION("""COMPUTED_VALUE"""),"HEARG-DECSN-NOTFCTN-DTE")</f>
        <v>HEARG-DECSN-NOTFCTN-DTE</v>
      </c>
      <c r="CX27" s="286" t="str">
        <f>IFERROR(__xludf.DUMMYFUNCTION("""COMPUTED_VALUE"""),"MTRL")</f>
        <v>MTRL</v>
      </c>
      <c r="CY27" s="286" t="str">
        <f>IFERROR(__xludf.DUMMYFUNCTION("""COMPUTED_VALUE"""),"MTRL-TRNSCRPT")</f>
        <v>MTRL-TRNSCRPT</v>
      </c>
      <c r="CZ27" s="286" t="str">
        <f>IFERROR(__xludf.DUMMYFUNCTION("""COMPUTED_VALUE"""),"MTRL-TAPE")</f>
        <v>MTRL-TAPE</v>
      </c>
      <c r="DA27" s="286" t="str">
        <f>IFERROR(__xludf.DUMMYFUNCTION("""COMPUTED_VALUE"""),"MTRL-RCRD-COPY")</f>
        <v>MTRL-RCRD-COPY</v>
      </c>
      <c r="DB27" s="286" t="str">
        <f>IFERROR(__xludf.DUMMYFUNCTION("""COMPUTED_VALUE"""),"MTRL-PYMT-RCVD")</f>
        <v>MTRL-PYMT-RCVD</v>
      </c>
      <c r="DC27" s="286" t="str">
        <f>IFERROR(__xludf.DUMMYFUNCTION("""COMPUTED_VALUE"""),"MTRL-RQSTD-DTE")</f>
        <v>MTRL-RQSTD-DTE</v>
      </c>
      <c r="DD27" s="286" t="str">
        <f>IFERROR(__xludf.DUMMYFUNCTION("""COMPUTED_VALUE"""),"MTRL-DTE-SENT")</f>
        <v>MTRL-DTE-SENT</v>
      </c>
      <c r="DE27" s="286" t="str">
        <f>IFERROR(__xludf.DUMMYFUNCTION("""COMPUTED_VALUE"""),"MTRL-AMT-PD")</f>
        <v>MTRL-AMT-PD</v>
      </c>
      <c r="DF27" s="286" t="str">
        <f>IFERROR(__xludf.DUMMYFUNCTION("""COMPUTED_VALUE"""),"MTRL-OTH")</f>
        <v>MTRL-OTH</v>
      </c>
      <c r="DG27" s="286" t="str">
        <f>IFERROR(__xludf.DUMMYFUNCTION("""COMPUTED_VALUE"""),"ST-USER-ID")</f>
        <v>ST-USER-ID</v>
      </c>
      <c r="DH27" s="286" t="str">
        <f>IFERROR(__xludf.DUMMYFUNCTION("""COMPUTED_VALUE"""),"APPLNT-RQSTD-ST-REVW-DTE")</f>
        <v>APPLNT-RQSTD-ST-REVW-DTE</v>
      </c>
      <c r="DI27" s="286" t="str">
        <f>IFERROR(__xludf.DUMMYFUNCTION("""COMPUTED_VALUE"""),"ST-ASGD-DTE")</f>
        <v>ST-ASGD-DTE</v>
      </c>
      <c r="DJ27" s="286" t="str">
        <f>IFERROR(__xludf.DUMMYFUNCTION("""COMPUTED_VALUE"""),"ST-REVW-DUE-DTE")</f>
        <v>ST-REVW-DUE-DTE</v>
      </c>
      <c r="DK27" s="286" t="str">
        <f>IFERROR(__xludf.DUMMYFUNCTION("""COMPUTED_VALUE"""),"ST-APPEAL-NOTFCTN-DTE")</f>
        <v>ST-APPEAL-NOTFCTN-DTE</v>
      </c>
      <c r="DL27" s="286" t="str">
        <f>IFERROR(__xludf.DUMMYFUNCTION("""COMPUTED_VALUE"""),"ST-APPEAL-DECSN")</f>
        <v>ST-APPEAL-DECSN</v>
      </c>
      <c r="DM27" s="286" t="str">
        <f>IFERROR(__xludf.DUMMYFUNCTION("""COMPUTED_VALUE"""),"NATL-USER-ID")</f>
        <v>NATL-USER-ID</v>
      </c>
      <c r="DN27" s="286" t="str">
        <f>IFERROR(__xludf.DUMMYFUNCTION("""COMPUTED_VALUE"""),"NATL-RQSTD-REVW-DTE")</f>
        <v>NATL-RQSTD-REVW-DTE</v>
      </c>
      <c r="DO27" s="286" t="str">
        <f>IFERROR(__xludf.DUMMYFUNCTION("""COMPUTED_VALUE"""),"NATL-ASGD-DTE")</f>
        <v>NATL-ASGD-DTE</v>
      </c>
      <c r="DP27" s="286" t="str">
        <f>IFERROR(__xludf.DUMMYFUNCTION("""COMPUTED_VALUE"""),"NATL-RCVD-DTE")</f>
        <v>NATL-RCVD-DTE</v>
      </c>
      <c r="DQ27" s="286" t="str">
        <f>IFERROR(__xludf.DUMMYFUNCTION("""COMPUTED_VALUE"""),"NATL-ASGD-STAFF")</f>
        <v>NATL-ASGD-STAFF</v>
      </c>
      <c r="DR27" s="286" t="str">
        <f>IFERROR(__xludf.DUMMYFUNCTION("""COMPUTED_VALUE"""),"NATL-APPEAL-DUE-DTE")</f>
        <v>NATL-APPEAL-DUE-DTE</v>
      </c>
      <c r="DS27" s="286" t="str">
        <f>IFERROR(__xludf.DUMMYFUNCTION("""COMPUTED_VALUE"""),"NATL-APPEAL-NOTFCTN-DTE")</f>
        <v>NATL-APPEAL-NOTFCTN-DTE</v>
      </c>
      <c r="DT27" s="286" t="str">
        <f>IFERROR(__xludf.DUMMYFUNCTION("""COMPUTED_VALUE"""),"NATL-APPEAL-DECSN")</f>
        <v>NATL-APPEAL-DECSN</v>
      </c>
      <c r="DU27" s="286" t="str">
        <f>IFERROR(__xludf.DUMMYFUNCTION("""COMPUTED_VALUE"""),"HEARG-REVW-FLAG")</f>
        <v>HEARG-REVW-FLAG</v>
      </c>
      <c r="DV27" s="286" t="str">
        <f>IFERROR(__xludf.DUMMYFUNCTION("""COMPUTED_VALUE"""),"ST-REVW-FLAG")</f>
        <v>ST-REVW-FLAG</v>
      </c>
      <c r="DW27" s="286" t="str">
        <f>IFERROR(__xludf.DUMMYFUNCTION("""COMPUTED_VALUE"""),"NATL-REVW-FLAG")</f>
        <v>NATL-REVW-FLAG</v>
      </c>
      <c r="DX27" s="286" t="str">
        <f>IFERROR(__xludf.DUMMYFUNCTION("""COMPUTED_VALUE"""),"PREV-HEARG-USER-ID")</f>
        <v>PREV-HEARG-USER-ID</v>
      </c>
      <c r="DY27" s="286" t="str">
        <f>IFERROR(__xludf.DUMMYFUNCTION("""COMPUTED_VALUE"""),"PREV-ST-USER-ID")</f>
        <v>PREV-ST-USER-ID</v>
      </c>
      <c r="DZ27" s="286" t="str">
        <f>IFERROR(__xludf.DUMMYFUNCTION("""COMPUTED_VALUE"""),"PREV-NATL-USER-ID")</f>
        <v>PREV-NATL-USER-ID</v>
      </c>
      <c r="EA27" s="286" t="str">
        <f>IFERROR(__xludf.DUMMYFUNCTION("""COMPUTED_VALUE"""),"LST-UPDTE-USER-ID")</f>
        <v>LST-UPDTE-USER-ID</v>
      </c>
      <c r="EB27" s="286" t="str">
        <f>IFERROR(__xludf.DUMMYFUNCTION("""COMPUTED_VALUE"""),"LST-UPDTE-DTE")</f>
        <v>LST-UPDTE-DTE</v>
      </c>
      <c r="EC27" s="286" t="str">
        <f>IFERROR(__xludf.DUMMYFUNCTION("""COMPUTED_VALUE"""),"USER-ID-WORK")</f>
        <v>USER-ID-WORK</v>
      </c>
      <c r="ED27" s="286" t="str">
        <f>IFERROR(__xludf.DUMMYFUNCTION("""COMPUTED_VALUE"""),"APPEAL-RCRD-SENT")</f>
        <v>APPEAL-RCRD-SENT</v>
      </c>
      <c r="EE27" s="286" t="str">
        <f>IFERROR(__xludf.DUMMYFUNCTION("""COMPUTED_VALUE"""),"WK-DTE-1")</f>
        <v>WK-DTE-1</v>
      </c>
      <c r="EF27" s="286" t="str">
        <f>IFERROR(__xludf.DUMMYFUNCTION("""COMPUTED_VALUE"""),"WK-DTE-2")</f>
        <v>WK-DTE-2</v>
      </c>
      <c r="EG27" s="286" t="str">
        <f>IFERROR(__xludf.DUMMYFUNCTION("""COMPUTED_VALUE"""),"WK-DTE-3")</f>
        <v>WK-DTE-3</v>
      </c>
      <c r="EH27" s="286" t="str">
        <f>IFERROR(__xludf.DUMMYFUNCTION("""COMPUTED_VALUE"""),"WK-AMT-1")</f>
        <v>WK-AMT-1</v>
      </c>
      <c r="EI27" s="286" t="str">
        <f>IFERROR(__xludf.DUMMYFUNCTION("""COMPUTED_VALUE"""),"WK-AMT-2")</f>
        <v>WK-AMT-2</v>
      </c>
      <c r="EJ27" s="286" t="str">
        <f>IFERROR(__xludf.DUMMYFUNCTION("""COMPUTED_VALUE"""),"WK-AMT-3")</f>
        <v>WK-AMT-3</v>
      </c>
      <c r="EK27" s="286" t="str">
        <f>IFERROR(__xludf.DUMMYFUNCTION("""COMPUTED_VALUE"""),"FILLER")</f>
        <v>FILLER</v>
      </c>
    </row>
    <row r="28">
      <c r="A28" s="286" t="str">
        <f>IFERROR(__xludf.DUMMYFUNCTION("""COMPUTED_VALUE"""),"FARMS-ASSOC-PRIN-BOND")</f>
        <v>FARMS-ASSOC-PRIN-BOND</v>
      </c>
      <c r="B28" s="286" t="str">
        <f>IFERROR(__xludf.DUMMYFUNCTION("""COMPUTED_VALUE"""),"BOND-CDE")</f>
        <v>BOND-CDE</v>
      </c>
      <c r="C28" s="286" t="str">
        <f>IFERROR(__xludf.DUMMYFUNCTION("""COMPUTED_VALUE"""),"INT-UNPD-DUE-BOND-ACCTS")</f>
        <v>INT-UNPD-DUE-BOND-ACCTS</v>
      </c>
      <c r="D28" s="286" t="str">
        <f>IFERROR(__xludf.DUMMYFUNCTION("""COMPUTED_VALUE"""),"PRIN-UNPD-DUE-BOND-ACCTS")</f>
        <v>PRIN-UNPD-DUE-BOND-ACCTS</v>
      </c>
      <c r="E28" s="286" t="str">
        <f>IFERROR(__xludf.DUMMYFUNCTION("""COMPUTED_VALUE"""),"INT-NEXT-INSTLMT-BOND-ACCTS")</f>
        <v>INT-NEXT-INSTLMT-BOND-ACCTS</v>
      </c>
      <c r="F28" s="286" t="str">
        <f>IFERROR(__xludf.DUMMYFUNCTION("""COMPUTED_VALUE"""),"PRIN-NEXT-INSTLMT-BOND-ACCTS")</f>
        <v>PRIN-NEXT-INSTLMT-BOND-ACCTS</v>
      </c>
      <c r="G28" s="286" t="str">
        <f>IFERROR(__xludf.DUMMYFUNCTION("""COMPUTED_VALUE"""),"INT-ON-DELQ-PRIN")</f>
        <v>INT-ON-DELQ-PRIN</v>
      </c>
      <c r="H28" s="286" t="str">
        <f>IFERROR(__xludf.DUMMYFUNCTION("""COMPUTED_VALUE"""),"FILLER")</f>
        <v>FILLER</v>
      </c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  <c r="BM28" s="286"/>
      <c r="BN28" s="286"/>
      <c r="BO28" s="286"/>
      <c r="BP28" s="286"/>
      <c r="BQ28" s="286"/>
      <c r="BR28" s="286"/>
      <c r="BS28" s="286"/>
      <c r="BT28" s="286"/>
      <c r="BU28" s="286"/>
      <c r="BV28" s="286"/>
      <c r="BW28" s="286"/>
      <c r="BX28" s="286"/>
      <c r="BY28" s="286"/>
      <c r="BZ28" s="286"/>
      <c r="CA28" s="286"/>
      <c r="CB28" s="286"/>
      <c r="CC28" s="286"/>
      <c r="CD28" s="286"/>
      <c r="CE28" s="286"/>
      <c r="CF28" s="286"/>
      <c r="CG28" s="286"/>
      <c r="CH28" s="286"/>
      <c r="CI28" s="286"/>
      <c r="CJ28" s="286"/>
      <c r="CK28" s="286"/>
      <c r="CL28" s="286"/>
      <c r="CM28" s="286"/>
      <c r="CN28" s="286"/>
      <c r="CO28" s="286"/>
      <c r="CP28" s="286"/>
      <c r="CQ28" s="286"/>
      <c r="CR28" s="286"/>
      <c r="CS28" s="286"/>
      <c r="CT28" s="286"/>
      <c r="CU28" s="286"/>
      <c r="CV28" s="286"/>
      <c r="CW28" s="286"/>
      <c r="CX28" s="286"/>
      <c r="CY28" s="286"/>
      <c r="CZ28" s="286"/>
      <c r="DA28" s="286"/>
      <c r="DB28" s="286"/>
      <c r="DC28" s="286"/>
      <c r="DD28" s="286"/>
      <c r="DE28" s="286"/>
      <c r="DF28" s="286"/>
      <c r="DG28" s="286"/>
      <c r="DH28" s="286"/>
      <c r="DI28" s="286"/>
      <c r="DJ28" s="286"/>
      <c r="DK28" s="286"/>
      <c r="DL28" s="286"/>
      <c r="DM28" s="286"/>
      <c r="DN28" s="286"/>
      <c r="DO28" s="286"/>
      <c r="DP28" s="286"/>
      <c r="DQ28" s="286"/>
      <c r="DR28" s="286"/>
      <c r="DS28" s="286"/>
      <c r="DT28" s="286"/>
      <c r="DU28" s="286"/>
      <c r="DV28" s="286"/>
      <c r="DW28" s="286"/>
      <c r="DX28" s="286"/>
      <c r="DY28" s="286"/>
      <c r="DZ28" s="286"/>
      <c r="EA28" s="286"/>
      <c r="EB28" s="286"/>
      <c r="EC28" s="286"/>
      <c r="ED28" s="286"/>
      <c r="EE28" s="286"/>
      <c r="EF28" s="286"/>
      <c r="EG28" s="286"/>
      <c r="EH28" s="286"/>
      <c r="EI28" s="286"/>
      <c r="EJ28" s="286"/>
      <c r="EK28" s="286"/>
    </row>
    <row r="29">
      <c r="A29" s="286" t="str">
        <f>IFERROR(__xludf.DUMMYFUNCTION("""COMPUTED_VALUE"""),"FARMS-CASE")</f>
        <v>FARMS-CASE</v>
      </c>
      <c r="B29" s="286" t="str">
        <f>IFERROR(__xludf.DUMMYFUNCTION("""COMPUTED_VALUE"""),"CASE-ID")</f>
        <v>CASE-ID</v>
      </c>
      <c r="C29" s="286" t="str">
        <f>IFERROR(__xludf.DUMMYFUNCTION("""COMPUTED_VALUE"""),"CASE-NBR")</f>
        <v>CASE-NBR</v>
      </c>
      <c r="D29" s="286" t="str">
        <f>IFERROR(__xludf.DUMMYFUNCTION("""COMPUTED_VALUE"""),"ST-CDE-OBLR")</f>
        <v>ST-CDE-OBLR</v>
      </c>
      <c r="E29" s="286" t="str">
        <f>IFERROR(__xludf.DUMMYFUNCTION("""COMPUTED_VALUE"""),"CTY-CDE-OBLR")</f>
        <v>CTY-CDE-OBLR</v>
      </c>
      <c r="F29" s="286" t="str">
        <f>IFERROR(__xludf.DUMMYFUNCTION("""COMPUTED_VALUE"""),"ID-NBR-OBLR")</f>
        <v>ID-NBR-OBLR</v>
      </c>
      <c r="G29" s="286" t="str">
        <f>IFERROR(__xludf.DUMMYFUNCTION("""COMPUTED_VALUE"""),"FILLER")</f>
        <v>FILLER</v>
      </c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286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286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286"/>
      <c r="BV29" s="286"/>
      <c r="BW29" s="286"/>
      <c r="BX29" s="286"/>
      <c r="BY29" s="286"/>
      <c r="BZ29" s="286"/>
      <c r="CA29" s="286"/>
      <c r="CB29" s="286"/>
      <c r="CC29" s="286"/>
      <c r="CD29" s="286"/>
      <c r="CE29" s="286"/>
      <c r="CF29" s="286"/>
      <c r="CG29" s="286"/>
      <c r="CH29" s="286"/>
      <c r="CI29" s="286"/>
      <c r="CJ29" s="286"/>
      <c r="CK29" s="286"/>
      <c r="CL29" s="286"/>
      <c r="CM29" s="286"/>
      <c r="CN29" s="286"/>
      <c r="CO29" s="286"/>
      <c r="CP29" s="286"/>
      <c r="CQ29" s="286"/>
      <c r="CR29" s="286"/>
      <c r="CS29" s="286"/>
      <c r="CT29" s="286"/>
      <c r="CU29" s="286"/>
      <c r="CV29" s="286"/>
      <c r="CW29" s="286"/>
      <c r="CX29" s="286"/>
      <c r="CY29" s="286"/>
      <c r="CZ29" s="286"/>
      <c r="DA29" s="286"/>
      <c r="DB29" s="286"/>
      <c r="DC29" s="286"/>
      <c r="DD29" s="286"/>
      <c r="DE29" s="286"/>
      <c r="DF29" s="286"/>
      <c r="DG29" s="286"/>
      <c r="DH29" s="286"/>
      <c r="DI29" s="286"/>
      <c r="DJ29" s="286"/>
      <c r="DK29" s="286"/>
      <c r="DL29" s="286"/>
      <c r="DM29" s="286"/>
      <c r="DN29" s="286"/>
      <c r="DO29" s="286"/>
      <c r="DP29" s="286"/>
      <c r="DQ29" s="286"/>
      <c r="DR29" s="286"/>
      <c r="DS29" s="286"/>
      <c r="DT29" s="286"/>
      <c r="DU29" s="286"/>
      <c r="DV29" s="286"/>
      <c r="DW29" s="286"/>
      <c r="DX29" s="286"/>
      <c r="DY29" s="286"/>
      <c r="DZ29" s="286"/>
      <c r="EA29" s="286"/>
      <c r="EB29" s="286"/>
      <c r="EC29" s="286"/>
      <c r="ED29" s="286"/>
      <c r="EE29" s="286"/>
      <c r="EF29" s="286"/>
      <c r="EG29" s="286"/>
      <c r="EH29" s="286"/>
      <c r="EI29" s="286"/>
      <c r="EJ29" s="286"/>
      <c r="EK29" s="286"/>
    </row>
    <row r="30">
      <c r="A30" s="286" t="str">
        <f>IFERROR(__xludf.DUMMYFUNCTION("""COMPUTED_VALUE"""),"FARMS-CK-INFO")</f>
        <v>FARMS-CK-INFO</v>
      </c>
      <c r="B30" s="286" t="str">
        <f>IFERROR(__xludf.DUMMYFUNCTION("""COMPUTED_VALUE"""),"RCRD-TYP")</f>
        <v>RCRD-TYP</v>
      </c>
      <c r="C30" s="286" t="str">
        <f>IFERROR(__xludf.DUMMYFUNCTION("""COMPUTED_VALUE"""),"FD-CDE-2")</f>
        <v>FD-CDE-2</v>
      </c>
      <c r="D30" s="286" t="str">
        <f>IFERROR(__xludf.DUMMYFUNCTION("""COMPUTED_VALUE"""),"NME-FLDS-BORR-CNT")</f>
        <v>NME-FLDS-BORR-CNT</v>
      </c>
      <c r="E30" s="286" t="str">
        <f>IFERROR(__xludf.DUMMYFUNCTION("""COMPUTED_VALUE"""),"MAILG-OFC")</f>
        <v>MAILG-OFC</v>
      </c>
      <c r="F30" s="286" t="str">
        <f>IFERROR(__xludf.DUMMYFUNCTION("""COMPUTED_VALUE"""),"MAILG-LVL")</f>
        <v>MAILG-LVL</v>
      </c>
      <c r="G30" s="286" t="str">
        <f>IFERROR(__xludf.DUMMYFUNCTION("""COMPUTED_VALUE"""),"ST-MAILG-LVL")</f>
        <v>ST-MAILG-LVL</v>
      </c>
      <c r="H30" s="286" t="str">
        <f>IFERROR(__xludf.DUMMYFUNCTION("""COMPUTED_VALUE"""),"DST-MAILG-LVL")</f>
        <v>DST-MAILG-LVL</v>
      </c>
      <c r="I30" s="286" t="str">
        <f>IFERROR(__xludf.DUMMYFUNCTION("""COMPUTED_VALUE"""),"CTY-MAILG-LVL")</f>
        <v>CTY-MAILG-LVL</v>
      </c>
      <c r="J30" s="286" t="str">
        <f>IFERROR(__xludf.DUMMYFUNCTION("""COMPUTED_VALUE"""),"CTY-SPECL-LVL")</f>
        <v>CTY-SPECL-LVL</v>
      </c>
      <c r="K30" s="286" t="str">
        <f>IFERROR(__xludf.DUMMYFUNCTION("""COMPUTED_VALUE"""),"DST-SPECL-LVL")</f>
        <v>DST-SPECL-LVL</v>
      </c>
      <c r="L30" s="286" t="str">
        <f>IFERROR(__xludf.DUMMYFUNCTION("""COMPUTED_VALUE"""),"ST-SPECL-LVL")</f>
        <v>ST-SPECL-LVL</v>
      </c>
      <c r="M30" s="286" t="str">
        <f>IFERROR(__xludf.DUMMYFUNCTION("""COMPUTED_VALUE"""),"MAILG-CDE")</f>
        <v>MAILG-CDE</v>
      </c>
      <c r="N30" s="286" t="str">
        <f>IFERROR(__xludf.DUMMYFUNCTION("""COMPUTED_VALUE"""),"ST-OFC-MAILG")</f>
        <v>ST-OFC-MAILG</v>
      </c>
      <c r="O30" s="286" t="str">
        <f>IFERROR(__xludf.DUMMYFUNCTION("""COMPUTED_VALUE"""),"CTY-OFC-MAILG")</f>
        <v>CTY-OFC-MAILG</v>
      </c>
      <c r="P30" s="286" t="str">
        <f>IFERROR(__xludf.DUMMYFUNCTION("""COMPUTED_VALUE"""),"DST-OFC-MAILG")</f>
        <v>DST-OFC-MAILG</v>
      </c>
      <c r="Q30" s="286" t="str">
        <f>IFERROR(__xludf.DUMMYFUNCTION("""COMPUTED_VALUE"""),"CASE-NBR")</f>
        <v>CASE-NBR</v>
      </c>
      <c r="R30" s="286" t="str">
        <f>IFERROR(__xludf.DUMMYFUNCTION("""COMPUTED_VALUE"""),"ST-CDE-OBLR")</f>
        <v>ST-CDE-OBLR</v>
      </c>
      <c r="S30" s="286" t="str">
        <f>IFERROR(__xludf.DUMMYFUNCTION("""COMPUTED_VALUE"""),"CTY-CDE-OBLR")</f>
        <v>CTY-CDE-OBLR</v>
      </c>
      <c r="T30" s="286" t="str">
        <f>IFERROR(__xludf.DUMMYFUNCTION("""COMPUTED_VALUE"""),"ID-NBR-OBLR")</f>
        <v>ID-NBR-OBLR</v>
      </c>
      <c r="U30" s="286" t="str">
        <f>IFERROR(__xludf.DUMMYFUNCTION("""COMPUTED_VALUE"""),"LN-NBR")</f>
        <v>LN-NBR</v>
      </c>
      <c r="V30" s="286" t="str">
        <f>IFERROR(__xludf.DUMMYFUNCTION("""COMPUTED_VALUE"""),"CR-REPT-FEE-CDE")</f>
        <v>CR-REPT-FEE-CDE</v>
      </c>
      <c r="W30" s="286" t="str">
        <f>IFERROR(__xludf.DUMMYFUNCTION("""COMPUTED_VALUE"""),"NME-OBLR")</f>
        <v>NME-OBLR</v>
      </c>
      <c r="X30" s="286" t="str">
        <f>IFERROR(__xludf.DUMMYFUNCTION("""COMPUTED_VALUE"""),"ADVNC-MULTI-AMT")</f>
        <v>ADVNC-MULTI-AMT</v>
      </c>
      <c r="Y30" s="286" t="str">
        <f>IFERROR(__xludf.DUMMYFUNCTION("""COMPUTED_VALUE"""),"DTE-CK")</f>
        <v>DTE-CK</v>
      </c>
      <c r="Z30" s="286" t="str">
        <f>IFERROR(__xludf.DUMMYFUNCTION("""COMPUTED_VALUE"""),"APROPTN-CDE")</f>
        <v>APROPTN-CDE</v>
      </c>
      <c r="AA30" s="286" t="str">
        <f>IFERROR(__xludf.DUMMYFUNCTION("""COMPUTED_VALUE"""),"GEOG-ST-CDE")</f>
        <v>GEOG-ST-CDE</v>
      </c>
      <c r="AB30" s="286" t="str">
        <f>IFERROR(__xludf.DUMMYFUNCTION("""COMPUTED_VALUE"""),"FY")</f>
        <v>FY</v>
      </c>
      <c r="AC30" s="286" t="str">
        <f>IFERROR(__xludf.DUMMYFUNCTION("""COMPUTED_VALUE"""),"FILLER")</f>
        <v>FILLER</v>
      </c>
      <c r="AD30" s="286"/>
      <c r="AE30" s="286"/>
      <c r="AF30" s="286"/>
      <c r="AG30" s="286"/>
      <c r="AH30" s="286"/>
      <c r="AI30" s="286"/>
      <c r="AJ30" s="286"/>
      <c r="AK30" s="286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286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286"/>
      <c r="BV30" s="286"/>
      <c r="BW30" s="286"/>
      <c r="BX30" s="286"/>
      <c r="BY30" s="286"/>
      <c r="BZ30" s="286"/>
      <c r="CA30" s="286"/>
      <c r="CB30" s="286"/>
      <c r="CC30" s="286"/>
      <c r="CD30" s="286"/>
      <c r="CE30" s="286"/>
      <c r="CF30" s="286"/>
      <c r="CG30" s="286"/>
      <c r="CH30" s="286"/>
      <c r="CI30" s="286"/>
      <c r="CJ30" s="286"/>
      <c r="CK30" s="286"/>
      <c r="CL30" s="286"/>
      <c r="CM30" s="286"/>
      <c r="CN30" s="286"/>
      <c r="CO30" s="286"/>
      <c r="CP30" s="286"/>
      <c r="CQ30" s="286"/>
      <c r="CR30" s="286"/>
      <c r="CS30" s="286"/>
      <c r="CT30" s="286"/>
      <c r="CU30" s="286"/>
      <c r="CV30" s="286"/>
      <c r="CW30" s="286"/>
      <c r="CX30" s="286"/>
      <c r="CY30" s="286"/>
      <c r="CZ30" s="286"/>
      <c r="DA30" s="286"/>
      <c r="DB30" s="286"/>
      <c r="DC30" s="286"/>
      <c r="DD30" s="286"/>
      <c r="DE30" s="286"/>
      <c r="DF30" s="286"/>
      <c r="DG30" s="286"/>
      <c r="DH30" s="286"/>
      <c r="DI30" s="286"/>
      <c r="DJ30" s="286"/>
      <c r="DK30" s="286"/>
      <c r="DL30" s="286"/>
      <c r="DM30" s="286"/>
      <c r="DN30" s="286"/>
      <c r="DO30" s="286"/>
      <c r="DP30" s="286"/>
      <c r="DQ30" s="286"/>
      <c r="DR30" s="286"/>
      <c r="DS30" s="286"/>
      <c r="DT30" s="286"/>
      <c r="DU30" s="286"/>
      <c r="DV30" s="286"/>
      <c r="DW30" s="286"/>
      <c r="DX30" s="286"/>
      <c r="DY30" s="286"/>
      <c r="DZ30" s="286"/>
      <c r="EA30" s="286"/>
      <c r="EB30" s="286"/>
      <c r="EC30" s="286"/>
      <c r="ED30" s="286"/>
      <c r="EE30" s="286"/>
      <c r="EF30" s="286"/>
      <c r="EG30" s="286"/>
      <c r="EH30" s="286"/>
      <c r="EI30" s="286"/>
      <c r="EJ30" s="286"/>
      <c r="EK30" s="286"/>
    </row>
    <row r="31">
      <c r="A31" s="286" t="str">
        <f>IFERROR(__xludf.DUMMYFUNCTION("""COMPUTED_VALUE"""),"FARMS-CK-INFO-FRADS")</f>
        <v>FARMS-CK-INFO-FRADS</v>
      </c>
      <c r="B31" s="286" t="str">
        <f>IFERROR(__xludf.DUMMYFUNCTION("""COMPUTED_VALUE"""),"RCRD-TYP")</f>
        <v>RCRD-TYP</v>
      </c>
      <c r="C31" s="286" t="str">
        <f>IFERROR(__xludf.DUMMYFUNCTION("""COMPUTED_VALUE"""),"FD-CDE-2")</f>
        <v>FD-CDE-2</v>
      </c>
      <c r="D31" s="286" t="str">
        <f>IFERROR(__xludf.DUMMYFUNCTION("""COMPUTED_VALUE"""),"MAILG-CDE")</f>
        <v>MAILG-CDE</v>
      </c>
      <c r="E31" s="286" t="str">
        <f>IFERROR(__xludf.DUMMYFUNCTION("""COMPUTED_VALUE"""),"ST-OFC-MAILG")</f>
        <v>ST-OFC-MAILG</v>
      </c>
      <c r="F31" s="286" t="str">
        <f>IFERROR(__xludf.DUMMYFUNCTION("""COMPUTED_VALUE"""),"CTY-OFC-MAILG")</f>
        <v>CTY-OFC-MAILG</v>
      </c>
      <c r="G31" s="286" t="str">
        <f>IFERROR(__xludf.DUMMYFUNCTION("""COMPUTED_VALUE"""),"DST-OFC-MAILG")</f>
        <v>DST-OFC-MAILG</v>
      </c>
      <c r="H31" s="286" t="str">
        <f>IFERROR(__xludf.DUMMYFUNCTION("""COMPUTED_VALUE"""),"CASE-NBR")</f>
        <v>CASE-NBR</v>
      </c>
      <c r="I31" s="286" t="str">
        <f>IFERROR(__xludf.DUMMYFUNCTION("""COMPUTED_VALUE"""),"ST-CDE-OBLR")</f>
        <v>ST-CDE-OBLR</v>
      </c>
      <c r="J31" s="286" t="str">
        <f>IFERROR(__xludf.DUMMYFUNCTION("""COMPUTED_VALUE"""),"CTY-CDE-OBLR")</f>
        <v>CTY-CDE-OBLR</v>
      </c>
      <c r="K31" s="286" t="str">
        <f>IFERROR(__xludf.DUMMYFUNCTION("""COMPUTED_VALUE"""),"ID-NBR-OBLR")</f>
        <v>ID-NBR-OBLR</v>
      </c>
      <c r="L31" s="286" t="str">
        <f>IFERROR(__xludf.DUMMYFUNCTION("""COMPUTED_VALUE"""),"LN-NBR")</f>
        <v>LN-NBR</v>
      </c>
      <c r="M31" s="286" t="str">
        <f>IFERROR(__xludf.DUMMYFUNCTION("""COMPUTED_VALUE"""),"CR-REPT-FEE-CDE")</f>
        <v>CR-REPT-FEE-CDE</v>
      </c>
      <c r="N31" s="286" t="str">
        <f>IFERROR(__xludf.DUMMYFUNCTION("""COMPUTED_VALUE"""),"NME-OBLR")</f>
        <v>NME-OBLR</v>
      </c>
      <c r="O31" s="286" t="str">
        <f>IFERROR(__xludf.DUMMYFUNCTION("""COMPUTED_VALUE"""),"ADVNC-MULTI-AMT")</f>
        <v>ADVNC-MULTI-AMT</v>
      </c>
      <c r="P31" s="286" t="str">
        <f>IFERROR(__xludf.DUMMYFUNCTION("""COMPUTED_VALUE"""),"DTE-CK")</f>
        <v>DTE-CK</v>
      </c>
      <c r="Q31" s="286" t="str">
        <f>IFERROR(__xludf.DUMMYFUNCTION("""COMPUTED_VALUE"""),"APROPTN-CDE")</f>
        <v>APROPTN-CDE</v>
      </c>
      <c r="R31" s="286" t="str">
        <f>IFERROR(__xludf.DUMMYFUNCTION("""COMPUTED_VALUE"""),"GEOG-ST-CDE")</f>
        <v>GEOG-ST-CDE</v>
      </c>
      <c r="S31" s="286" t="str">
        <f>IFERROR(__xludf.DUMMYFUNCTION("""COMPUTED_VALUE"""),"FY")</f>
        <v>FY</v>
      </c>
      <c r="T31" s="286" t="str">
        <f>IFERROR(__xludf.DUMMYFUNCTION("""COMPUTED_VALUE"""),"FED-RESV-ROUTE-NBR")</f>
        <v>FED-RESV-ROUTE-NBR</v>
      </c>
      <c r="U31" s="286" t="str">
        <f>IFERROR(__xludf.DUMMYFUNCTION("""COMPUTED_VALUE"""),"CK-DIGIT-ROUTE-NBR")</f>
        <v>CK-DIGIT-ROUTE-NBR</v>
      </c>
      <c r="V31" s="286" t="str">
        <f>IFERROR(__xludf.DUMMYFUNCTION("""COMPUTED_VALUE"""),"TYP-BANK-ACCT")</f>
        <v>TYP-BANK-ACCT</v>
      </c>
      <c r="W31" s="286" t="str">
        <f>IFERROR(__xludf.DUMMYFUNCTION("""COMPUTED_VALUE"""),"DPSTR-ACCT-NBR")</f>
        <v>DPSTR-ACCT-NBR</v>
      </c>
      <c r="X31" s="286" t="str">
        <f>IFERROR(__xludf.DUMMYFUNCTION("""COMPUTED_VALUE"""),"ENTY-CDE")</f>
        <v>ENTY-CDE</v>
      </c>
      <c r="Y31" s="286" t="str">
        <f>IFERROR(__xludf.DUMMYFUNCTION("""COMPUTED_VALUE"""),"CK-CNCLTN-CDE")</f>
        <v>CK-CNCLTN-CDE</v>
      </c>
      <c r="Z31" s="286" t="str">
        <f>IFERROR(__xludf.DUMMYFUNCTION("""COMPUTED_VALUE"""),"FNL-ADVNC-CDE")</f>
        <v>FNL-ADVNC-CDE</v>
      </c>
      <c r="AA31" s="286" t="str">
        <f>IFERROR(__xludf.DUMMYFUNCTION("""COMPUTED_VALUE"""),"DTE-LST-RGSTR-DTL")</f>
        <v>DTE-LST-RGSTR-DTL</v>
      </c>
      <c r="AB31" s="286" t="str">
        <f>IFERROR(__xludf.DUMMYFUNCTION("""COMPUTED_VALUE"""),"BLK-NBR")</f>
        <v>BLK-NBR</v>
      </c>
      <c r="AC31" s="286" t="str">
        <f>IFERROR(__xludf.DUMMYFUNCTION("""COMPUTED_VALUE"""),"FILLER")</f>
        <v>FILLER</v>
      </c>
      <c r="AD31" s="286"/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286"/>
      <c r="BV31" s="286"/>
      <c r="BW31" s="286"/>
      <c r="BX31" s="286"/>
      <c r="BY31" s="286"/>
      <c r="BZ31" s="286"/>
      <c r="CA31" s="286"/>
      <c r="CB31" s="286"/>
      <c r="CC31" s="286"/>
      <c r="CD31" s="286"/>
      <c r="CE31" s="286"/>
      <c r="CF31" s="286"/>
      <c r="CG31" s="286"/>
      <c r="CH31" s="286"/>
      <c r="CI31" s="286"/>
      <c r="CJ31" s="286"/>
      <c r="CK31" s="286"/>
      <c r="CL31" s="286"/>
      <c r="CM31" s="286"/>
      <c r="CN31" s="286"/>
      <c r="CO31" s="286"/>
      <c r="CP31" s="286"/>
      <c r="CQ31" s="286"/>
      <c r="CR31" s="286"/>
      <c r="CS31" s="286"/>
      <c r="CT31" s="286"/>
      <c r="CU31" s="286"/>
      <c r="CV31" s="286"/>
      <c r="CW31" s="286"/>
      <c r="CX31" s="286"/>
      <c r="CY31" s="286"/>
      <c r="CZ31" s="286"/>
      <c r="DA31" s="286"/>
      <c r="DB31" s="286"/>
      <c r="DC31" s="286"/>
      <c r="DD31" s="286"/>
      <c r="DE31" s="286"/>
      <c r="DF31" s="286"/>
      <c r="DG31" s="286"/>
      <c r="DH31" s="286"/>
      <c r="DI31" s="286"/>
      <c r="DJ31" s="286"/>
      <c r="DK31" s="286"/>
      <c r="DL31" s="286"/>
      <c r="DM31" s="286"/>
      <c r="DN31" s="286"/>
      <c r="DO31" s="286"/>
      <c r="DP31" s="286"/>
      <c r="DQ31" s="286"/>
      <c r="DR31" s="286"/>
      <c r="DS31" s="286"/>
      <c r="DT31" s="286"/>
      <c r="DU31" s="286"/>
      <c r="DV31" s="286"/>
      <c r="DW31" s="286"/>
      <c r="DX31" s="286"/>
      <c r="DY31" s="286"/>
      <c r="DZ31" s="286"/>
      <c r="EA31" s="286"/>
      <c r="EB31" s="286"/>
      <c r="EC31" s="286"/>
      <c r="ED31" s="286"/>
      <c r="EE31" s="286"/>
      <c r="EF31" s="286"/>
      <c r="EG31" s="286"/>
      <c r="EH31" s="286"/>
      <c r="EI31" s="286"/>
      <c r="EJ31" s="286"/>
      <c r="EK31" s="286"/>
    </row>
    <row r="32">
      <c r="A32" s="286" t="str">
        <f>IFERROR(__xludf.DUMMYFUNCTION("""COMPUTED_VALUE"""),"FARMS-CLIENT")</f>
        <v>FARMS-CLIENT</v>
      </c>
      <c r="B32" s="286" t="str">
        <f>IFERROR(__xludf.DUMMYFUNCTION("""COMPUTED_VALUE"""),"CASE-NBR")</f>
        <v>CASE-NBR</v>
      </c>
      <c r="C32" s="286" t="str">
        <f>IFERROR(__xludf.DUMMYFUNCTION("""COMPUTED_VALUE"""),"ST-CDE-OBLR")</f>
        <v>ST-CDE-OBLR</v>
      </c>
      <c r="D32" s="286" t="str">
        <f>IFERROR(__xludf.DUMMYFUNCTION("""COMPUTED_VALUE"""),"CTY-CDE-OBLR")</f>
        <v>CTY-CDE-OBLR</v>
      </c>
      <c r="E32" s="286" t="str">
        <f>IFERROR(__xludf.DUMMYFUNCTION("""COMPUTED_VALUE"""),"ID-NBR-OBLR")</f>
        <v>ID-NBR-OBLR</v>
      </c>
      <c r="F32" s="286" t="str">
        <f>IFERROR(__xludf.DUMMYFUNCTION("""COMPUTED_VALUE"""),"CASE-NBR-OBLR")</f>
        <v>CASE-NBR-OBLR</v>
      </c>
      <c r="G32" s="286" t="str">
        <f>IFERROR(__xludf.DUMMYFUNCTION("""COMPUTED_VALUE"""),"ST-CTY-OBLR")</f>
        <v>ST-CTY-OBLR</v>
      </c>
      <c r="H32" s="286" t="str">
        <f>IFERROR(__xludf.DUMMYFUNCTION("""COMPUTED_VALUE"""),"FILLER")</f>
        <v>FILLER</v>
      </c>
      <c r="I32" s="286" t="str">
        <f>IFERROR(__xludf.DUMMYFUNCTION("""COMPUTED_VALUE"""),"MAILG-OFC-CLIENT")</f>
        <v>MAILG-OFC-CLIENT</v>
      </c>
      <c r="J32" s="286" t="str">
        <f>IFERROR(__xludf.DUMMYFUNCTION("""COMPUTED_VALUE"""),"MAILG-LVL-CLIENT")</f>
        <v>MAILG-LVL-CLIENT</v>
      </c>
      <c r="K32" s="286" t="str">
        <f>IFERROR(__xludf.DUMMYFUNCTION("""COMPUTED_VALUE"""),"ST-MAILG-LVL-CLIENT")</f>
        <v>ST-MAILG-LVL-CLIENT</v>
      </c>
      <c r="L32" s="286" t="str">
        <f>IFERROR(__xludf.DUMMYFUNCTION("""COMPUTED_VALUE"""),"DST-MAILG-LVL-CLIENT")</f>
        <v>DST-MAILG-LVL-CLIENT</v>
      </c>
      <c r="M32" s="286" t="str">
        <f>IFERROR(__xludf.DUMMYFUNCTION("""COMPUTED_VALUE"""),"CTY-MAILG-LVL-CLIENT")</f>
        <v>CTY-MAILG-LVL-CLIENT</v>
      </c>
      <c r="N32" s="286" t="str">
        <f>IFERROR(__xludf.DUMMYFUNCTION("""COMPUTED_VALUE"""),"CTY-SPECL-LVL-CLIENT")</f>
        <v>CTY-SPECL-LVL-CLIENT</v>
      </c>
      <c r="O32" s="286" t="str">
        <f>IFERROR(__xludf.DUMMYFUNCTION("""COMPUTED_VALUE"""),"DST-SPECL-LVL-CLIENT")</f>
        <v>DST-SPECL-LVL-CLIENT</v>
      </c>
      <c r="P32" s="286" t="str">
        <f>IFERROR(__xludf.DUMMYFUNCTION("""COMPUTED_VALUE"""),"ST-SPECL-LVL-CLIENT")</f>
        <v>ST-SPECL-LVL-CLIENT</v>
      </c>
      <c r="Q32" s="286" t="str">
        <f>IFERROR(__xludf.DUMMYFUNCTION("""COMPUTED_VALUE"""),"MAILG-CDE-CLIENT")</f>
        <v>MAILG-CDE-CLIENT</v>
      </c>
      <c r="R32" s="286" t="str">
        <f>IFERROR(__xludf.DUMMYFUNCTION("""COMPUTED_VALUE"""),"ST-OFC-MAILG-CLIENT")</f>
        <v>ST-OFC-MAILG-CLIENT</v>
      </c>
      <c r="S32" s="286" t="str">
        <f>IFERROR(__xludf.DUMMYFUNCTION("""COMPUTED_VALUE"""),"CTY-OFC-MAILG-CLIENT")</f>
        <v>CTY-OFC-MAILG-CLIENT</v>
      </c>
      <c r="T32" s="286" t="str">
        <f>IFERROR(__xludf.DUMMYFUNCTION("""COMPUTED_VALUE"""),"DST-OFC-MAILG-CLIENT")</f>
        <v>DST-OFC-MAILG-CLIENT</v>
      </c>
      <c r="U32" s="286" t="str">
        <f>IFERROR(__xludf.DUMMYFUNCTION("""COMPUTED_VALUE"""),"CTY-OFC-MAILG-CLIENT")</f>
        <v>CTY-OFC-MAILG-CLIENT</v>
      </c>
      <c r="V32" s="286" t="str">
        <f>IFERROR(__xludf.DUMMYFUNCTION("""COMPUTED_VALUE"""),"NME-FLDS-BORR-CNT")</f>
        <v>NME-FLDS-BORR-CNT</v>
      </c>
      <c r="W32" s="286" t="str">
        <f>IFERROR(__xludf.DUMMYFUNCTION("""COMPUTED_VALUE"""),"ADRS-FLDS-BORR-CNT")</f>
        <v>ADRS-FLDS-BORR-CNT</v>
      </c>
      <c r="X32" s="286" t="str">
        <f>IFERROR(__xludf.DUMMYFUNCTION("""COMPUTED_VALUE"""),"NME-OBLR-GRP-1")</f>
        <v>NME-OBLR-GRP-1</v>
      </c>
      <c r="Y32" s="286" t="str">
        <f>IFERROR(__xludf.DUMMYFUNCTION("""COMPUTED_VALUE"""),"NME-OBLR")</f>
        <v>NME-OBLR</v>
      </c>
      <c r="Z32" s="286" t="str">
        <f>IFERROR(__xludf.DUMMYFUNCTION("""COMPUTED_VALUE"""),"NME-ADRS-OBLR-1")</f>
        <v>NME-ADRS-OBLR-1</v>
      </c>
      <c r="AA32" s="286" t="str">
        <f>IFERROR(__xludf.DUMMYFUNCTION("""COMPUTED_VALUE"""),"NME-ADRS-OBLR-2")</f>
        <v>NME-ADRS-OBLR-2</v>
      </c>
      <c r="AB32" s="286" t="str">
        <f>IFERROR(__xludf.DUMMYFUNCTION("""COMPUTED_VALUE"""),"NME-OBLR-GRP-2")</f>
        <v>NME-OBLR-GRP-2</v>
      </c>
      <c r="AC32" s="286" t="str">
        <f>IFERROR(__xludf.DUMMYFUNCTION("""COMPUTED_VALUE"""),"NME-OBLR-KEY")</f>
        <v>NME-OBLR-KEY</v>
      </c>
      <c r="AD32" s="286" t="str">
        <f>IFERROR(__xludf.DUMMYFUNCTION("""COMPUTED_VALUE"""),"FILLER")</f>
        <v>FILLER</v>
      </c>
      <c r="AE32" s="286" t="str">
        <f>IFERROR(__xludf.DUMMYFUNCTION("""COMPUTED_VALUE"""),"NME-ADRS-OBLR-3")</f>
        <v>NME-ADRS-OBLR-3</v>
      </c>
      <c r="AF32" s="286" t="str">
        <f>IFERROR(__xludf.DUMMYFUNCTION("""COMPUTED_VALUE"""),"NME-ADRS-OBLR-4")</f>
        <v>NME-ADRS-OBLR-4</v>
      </c>
      <c r="AG32" s="286" t="str">
        <f>IFERROR(__xludf.DUMMYFUNCTION("""COMPUTED_VALUE"""),"ZIP-CDE")</f>
        <v>ZIP-CDE</v>
      </c>
      <c r="AH32" s="286" t="str">
        <f>IFERROR(__xludf.DUMMYFUNCTION("""COMPUTED_VALUE"""),"RACE-DESC-CDE")</f>
        <v>RACE-DESC-CDE</v>
      </c>
      <c r="AI32" s="286" t="str">
        <f>IFERROR(__xludf.DUMMYFUNCTION("""COMPUTED_VALUE"""),"SEX-CDE")</f>
        <v>SEX-CDE</v>
      </c>
      <c r="AJ32" s="286" t="str">
        <f>IFERROR(__xludf.DUMMYFUNCTION("""COMPUTED_VALUE"""),"MRTL-STAT")</f>
        <v>MRTL-STAT</v>
      </c>
      <c r="AK32" s="286" t="str">
        <f>IFERROR(__xludf.DUMMYFUNCTION("""COMPUTED_VALUE"""),"TAX-EXEMPT-CDE")</f>
        <v>TAX-EXEMPT-CDE</v>
      </c>
      <c r="AL32" s="286" t="str">
        <f>IFERROR(__xludf.DUMMYFUNCTION("""COMPUTED_VALUE"""),"VET-CDE")</f>
        <v>VET-CDE</v>
      </c>
      <c r="AM32" s="286" t="str">
        <f>IFERROR(__xludf.DUMMYFUNCTION("""COMPUTED_VALUE"""),"DUE-DAY-PYMT")</f>
        <v>DUE-DAY-PYMT</v>
      </c>
      <c r="AN32" s="286" t="str">
        <f>IFERROR(__xludf.DUMMYFUNCTION("""COMPUTED_VALUE"""),"APPLT-TYP-CDE")</f>
        <v>APPLT-TYP-CDE</v>
      </c>
      <c r="AO32" s="286" t="str">
        <f>IFERROR(__xludf.DUMMYFUNCTION("""COMPUTED_VALUE"""),"NET-WORTH-AMT")</f>
        <v>NET-WORTH-AMT</v>
      </c>
      <c r="AP32" s="286" t="str">
        <f>IFERROR(__xludf.DUMMYFUNCTION("""COMPUTED_VALUE"""),"LN-NBR-LST-ASGD")</f>
        <v>LN-NBR-LST-ASGD</v>
      </c>
      <c r="AQ32" s="286" t="str">
        <f>IFERROR(__xludf.DUMMYFUNCTION("""COMPUTED_VALUE"""),"RCRD-LN-CNT")</f>
        <v>RCRD-LN-CNT</v>
      </c>
      <c r="AR32" s="286" t="str">
        <f>IFERROR(__xludf.DUMMYFUNCTION("""COMPUTED_VALUE"""),"LN-CNT-EE")</f>
        <v>LN-CNT-EE</v>
      </c>
      <c r="AS32" s="286" t="str">
        <f>IFERROR(__xludf.DUMMYFUNCTION("""COMPUTED_VALUE"""),"LN-CNT-OTC")</f>
        <v>LN-CNT-OTC</v>
      </c>
      <c r="AT32" s="286" t="str">
        <f>IFERROR(__xludf.DUMMYFUNCTION("""COMPUTED_VALUE"""),"LN-CNT-INSRD-FO")</f>
        <v>LN-CNT-INSRD-FO</v>
      </c>
      <c r="AU32" s="286" t="str">
        <f>IFERROR(__xludf.DUMMYFUNCTION("""COMPUTED_VALUE"""),"LN-CNT-DIR-FO")</f>
        <v>LN-CNT-DIR-FO</v>
      </c>
      <c r="AV32" s="286" t="str">
        <f>IFERROR(__xludf.DUMMYFUNCTION("""COMPUTED_VALUE"""),"LN-CNT-INSRD-SW")</f>
        <v>LN-CNT-INSRD-SW</v>
      </c>
      <c r="AW32" s="286" t="str">
        <f>IFERROR(__xludf.DUMMYFUNCTION("""COMPUTED_VALUE"""),"LN-CNT-DIR-SW")</f>
        <v>LN-CNT-DIR-SW</v>
      </c>
      <c r="AX32" s="286" t="str">
        <f>IFERROR(__xludf.DUMMYFUNCTION("""COMPUTED_VALUE"""),"LN-CNT-INSRD-RH")</f>
        <v>LN-CNT-INSRD-RH</v>
      </c>
      <c r="AY32" s="286" t="str">
        <f>IFERROR(__xludf.DUMMYFUNCTION("""COMPUTED_VALUE"""),"LN-CNT-DIR-RH")</f>
        <v>LN-CNT-DIR-RH</v>
      </c>
      <c r="AZ32" s="286" t="str">
        <f>IFERROR(__xludf.DUMMYFUNCTION("""COMPUTED_VALUE"""),"LN-CNT-INVSTR")</f>
        <v>LN-CNT-INVSTR</v>
      </c>
      <c r="BA32" s="286" t="str">
        <f>IFERROR(__xludf.DUMMYFUNCTION("""COMPUTED_VALUE"""),"LN-CNT-ASSOC")</f>
        <v>LN-CNT-ASSOC</v>
      </c>
      <c r="BB32" s="286" t="str">
        <f>IFERROR(__xludf.DUMMYFUNCTION("""COMPUTED_VALUE"""),"SUSP-CDE-ACCT")</f>
        <v>SUSP-CDE-ACCT</v>
      </c>
      <c r="BC32" s="286" t="str">
        <f>IFERROR(__xludf.DUMMYFUNCTION("""COMPUTED_VALUE"""),"DTE-LST-RGSTR-ACCT")</f>
        <v>DTE-LST-RGSTR-ACCT</v>
      </c>
      <c r="BD32" s="286" t="str">
        <f>IFERROR(__xludf.DUMMYFUNCTION("""COMPUTED_VALUE"""),"RGSTR-TYP-LST-TRNSCTN")</f>
        <v>RGSTR-TYP-LST-TRNSCTN</v>
      </c>
      <c r="BE32" s="286" t="str">
        <f>IFERROR(__xludf.DUMMYFUNCTION("""COMPUTED_VALUE"""),"SIS-TRF-CDE")</f>
        <v>SIS-TRF-CDE</v>
      </c>
      <c r="BF32" s="286" t="str">
        <f>IFERROR(__xludf.DUMMYFUNCTION("""COMPUTED_VALUE"""),"EMPL-RELTNSHP-CDE")</f>
        <v>EMPL-RELTNSHP-CDE</v>
      </c>
      <c r="BG32" s="286" t="str">
        <f>IFERROR(__xludf.DUMMYFUNCTION("""COMPUTED_VALUE"""),"LRTF-SRVCG-CDE")</f>
        <v>LRTF-SRVCG-CDE</v>
      </c>
      <c r="BH32" s="286" t="str">
        <f>IFERROR(__xludf.DUMMYFUNCTION("""COMPUTED_VALUE"""),"MAILG-OFC-FSA")</f>
        <v>MAILG-OFC-FSA</v>
      </c>
      <c r="BI32" s="286" t="str">
        <f>IFERROR(__xludf.DUMMYFUNCTION("""COMPUTED_VALUE"""),"MAILG-LVL-FSA")</f>
        <v>MAILG-LVL-FSA</v>
      </c>
      <c r="BJ32" s="286" t="str">
        <f>IFERROR(__xludf.DUMMYFUNCTION("""COMPUTED_VALUE"""),"ST-MAILG-LVL-FSA")</f>
        <v>ST-MAILG-LVL-FSA</v>
      </c>
      <c r="BK32" s="286" t="str">
        <f>IFERROR(__xludf.DUMMYFUNCTION("""COMPUTED_VALUE"""),"DST-MAILG-LVL-FSA")</f>
        <v>DST-MAILG-LVL-FSA</v>
      </c>
      <c r="BL32" s="286" t="str">
        <f>IFERROR(__xludf.DUMMYFUNCTION("""COMPUTED_VALUE"""),"CTY-MAILG-LVL-FSA")</f>
        <v>CTY-MAILG-LVL-FSA</v>
      </c>
      <c r="BM32" s="286" t="str">
        <f>IFERROR(__xludf.DUMMYFUNCTION("""COMPUTED_VALUE"""),"CTY-SPECL-LVL-FSA")</f>
        <v>CTY-SPECL-LVL-FSA</v>
      </c>
      <c r="BN32" s="286" t="str">
        <f>IFERROR(__xludf.DUMMYFUNCTION("""COMPUTED_VALUE"""),"DST-SPECL-LVL-FSA")</f>
        <v>DST-SPECL-LVL-FSA</v>
      </c>
      <c r="BO32" s="286" t="str">
        <f>IFERROR(__xludf.DUMMYFUNCTION("""COMPUTED_VALUE"""),"ST-SPECL-LVL-FSA")</f>
        <v>ST-SPECL-LVL-FSA</v>
      </c>
      <c r="BP32" s="286" t="str">
        <f>IFERROR(__xludf.DUMMYFUNCTION("""COMPUTED_VALUE"""),"MAILG-CDE-FSA")</f>
        <v>MAILG-CDE-FSA</v>
      </c>
      <c r="BQ32" s="286" t="str">
        <f>IFERROR(__xludf.DUMMYFUNCTION("""COMPUTED_VALUE"""),"ST-OFC-MAILG-FSA")</f>
        <v>ST-OFC-MAILG-FSA</v>
      </c>
      <c r="BR32" s="286" t="str">
        <f>IFERROR(__xludf.DUMMYFUNCTION("""COMPUTED_VALUE"""),"CTY-OFC-MAILG-FSA")</f>
        <v>CTY-OFC-MAILG-FSA</v>
      </c>
      <c r="BS32" s="286" t="str">
        <f>IFERROR(__xludf.DUMMYFUNCTION("""COMPUTED_VALUE"""),"DST-OFC-MAILG-FSA")</f>
        <v>DST-OFC-MAILG-FSA</v>
      </c>
      <c r="BT32" s="286" t="str">
        <f>IFERROR(__xludf.DUMMYFUNCTION("""COMPUTED_VALUE"""),"CTY-OFC-MAILG-FSA")</f>
        <v>CTY-OFC-MAILG-FSA</v>
      </c>
      <c r="BU32" s="286" t="str">
        <f>IFERROR(__xludf.DUMMYFUNCTION("""COMPUTED_VALUE"""),"ORGZTN-CDE")</f>
        <v>ORGZTN-CDE</v>
      </c>
      <c r="BV32" s="286" t="str">
        <f>IFERROR(__xludf.DUMMYFUNCTION("""COMPUTED_VALUE"""),"DTE-OAC-ESTBD")</f>
        <v>DTE-OAC-ESTBD</v>
      </c>
      <c r="BW32" s="286" t="str">
        <f>IFERROR(__xludf.DUMMYFUNCTION("""COMPUTED_VALUE"""),"DTE-OAC-RSLVD")</f>
        <v>DTE-OAC-RSLVD</v>
      </c>
      <c r="BX32" s="286" t="str">
        <f>IFERROR(__xludf.DUMMYFUNCTION("""COMPUTED_VALUE"""),"DTE-OAC-MRTM-EFCTV")</f>
        <v>DTE-OAC-MRTM-EFCTV</v>
      </c>
      <c r="BY32" s="286" t="str">
        <f>IFERROR(__xludf.DUMMYFUNCTION("""COMPUTED_VALUE"""),"PREVL-INDCTR")</f>
        <v>PREVL-INDCTR</v>
      </c>
      <c r="BZ32" s="286" t="str">
        <f>IFERROR(__xludf.DUMMYFUNCTION("""COMPUTED_VALUE"""),"NBR-COMPLNTS")</f>
        <v>NBR-COMPLNTS</v>
      </c>
      <c r="CA32" s="286" t="str">
        <f>IFERROR(__xludf.DUMMYFUNCTION("""COMPUTED_VALUE"""),"FILLER")</f>
        <v>FILLER</v>
      </c>
      <c r="CB32" s="286"/>
      <c r="CC32" s="286"/>
      <c r="CD32" s="286"/>
      <c r="CE32" s="286"/>
      <c r="CF32" s="286"/>
      <c r="CG32" s="286"/>
      <c r="CH32" s="286"/>
      <c r="CI32" s="286"/>
      <c r="CJ32" s="286"/>
      <c r="CK32" s="286"/>
      <c r="CL32" s="286"/>
      <c r="CM32" s="286"/>
      <c r="CN32" s="286"/>
      <c r="CO32" s="286"/>
      <c r="CP32" s="286"/>
      <c r="CQ32" s="286"/>
      <c r="CR32" s="286"/>
      <c r="CS32" s="286"/>
      <c r="CT32" s="286"/>
      <c r="CU32" s="286"/>
      <c r="CV32" s="286"/>
      <c r="CW32" s="286"/>
      <c r="CX32" s="286"/>
      <c r="CY32" s="286"/>
      <c r="CZ32" s="286"/>
      <c r="DA32" s="286"/>
      <c r="DB32" s="286"/>
      <c r="DC32" s="286"/>
      <c r="DD32" s="286"/>
      <c r="DE32" s="286"/>
      <c r="DF32" s="286"/>
      <c r="DG32" s="286"/>
      <c r="DH32" s="286"/>
      <c r="DI32" s="286"/>
      <c r="DJ32" s="286"/>
      <c r="DK32" s="286"/>
      <c r="DL32" s="286"/>
      <c r="DM32" s="286"/>
      <c r="DN32" s="286"/>
      <c r="DO32" s="286"/>
      <c r="DP32" s="286"/>
      <c r="DQ32" s="286"/>
      <c r="DR32" s="286"/>
      <c r="DS32" s="286"/>
      <c r="DT32" s="286"/>
      <c r="DU32" s="286"/>
      <c r="DV32" s="286"/>
      <c r="DW32" s="286"/>
      <c r="DX32" s="286"/>
      <c r="DY32" s="286"/>
      <c r="DZ32" s="286"/>
      <c r="EA32" s="286"/>
      <c r="EB32" s="286"/>
      <c r="EC32" s="286"/>
      <c r="ED32" s="286"/>
      <c r="EE32" s="286"/>
      <c r="EF32" s="286"/>
      <c r="EG32" s="286"/>
      <c r="EH32" s="286"/>
      <c r="EI32" s="286"/>
      <c r="EJ32" s="286"/>
      <c r="EK32" s="286"/>
    </row>
    <row r="33">
      <c r="A33" s="286" t="str">
        <f>IFERROR(__xludf.DUMMYFUNCTION("""COMPUTED_VALUE"""),"CR-APPLD-NONCSH")</f>
        <v>CR-APPLD-NONCSH</v>
      </c>
      <c r="B33" s="286" t="str">
        <f>IFERROR(__xludf.DUMMYFUNCTION("""COMPUTED_VALUE"""),"DTE-LST-NONCSH")</f>
        <v>DTE-LST-NONCSH</v>
      </c>
      <c r="C33" s="286" t="str">
        <f>IFERROR(__xludf.DUMMYFUNCTION("""COMPUTED_VALUE"""),"SUSP-CDE")</f>
        <v>SUSP-CDE</v>
      </c>
      <c r="D33" s="286" t="str">
        <f>IFERROR(__xludf.DUMMYFUNCTION("""COMPUTED_VALUE"""),"FILLER")</f>
        <v>FILLER</v>
      </c>
      <c r="E33" s="286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  <c r="AE33" s="286"/>
      <c r="AF33" s="286"/>
      <c r="AG33" s="286"/>
      <c r="AH33" s="286"/>
      <c r="AI33" s="286"/>
      <c r="AJ33" s="286"/>
      <c r="AK33" s="286"/>
      <c r="AL33" s="286"/>
      <c r="AM33" s="286"/>
      <c r="AN33" s="286"/>
      <c r="AO33" s="286"/>
      <c r="AP33" s="286"/>
      <c r="AQ33" s="286"/>
      <c r="AR33" s="286"/>
      <c r="AS33" s="286"/>
      <c r="AT33" s="286"/>
      <c r="AU33" s="286"/>
      <c r="AV33" s="286"/>
      <c r="AW33" s="286"/>
      <c r="AX33" s="286"/>
      <c r="AY33" s="286"/>
      <c r="AZ33" s="286"/>
      <c r="BA33" s="286"/>
      <c r="BB33" s="286"/>
      <c r="BC33" s="286"/>
      <c r="BD33" s="286"/>
      <c r="BE33" s="286"/>
      <c r="BF33" s="286"/>
      <c r="BG33" s="286"/>
      <c r="BH33" s="286"/>
      <c r="BI33" s="286"/>
      <c r="BJ33" s="286"/>
      <c r="BK33" s="286"/>
      <c r="BL33" s="286"/>
      <c r="BM33" s="286"/>
      <c r="BN33" s="286"/>
      <c r="BO33" s="286"/>
      <c r="BP33" s="286"/>
      <c r="BQ33" s="286"/>
      <c r="BR33" s="286"/>
      <c r="BS33" s="286"/>
      <c r="BT33" s="286"/>
      <c r="BU33" s="286"/>
      <c r="BV33" s="286"/>
      <c r="BW33" s="286"/>
      <c r="BX33" s="286"/>
      <c r="BY33" s="286"/>
      <c r="BZ33" s="286"/>
      <c r="CA33" s="286"/>
      <c r="CB33" s="286"/>
      <c r="CC33" s="286"/>
      <c r="CD33" s="286"/>
      <c r="CE33" s="286"/>
      <c r="CF33" s="286"/>
      <c r="CG33" s="286"/>
      <c r="CH33" s="286"/>
      <c r="CI33" s="286"/>
      <c r="CJ33" s="286"/>
      <c r="CK33" s="286"/>
      <c r="CL33" s="286"/>
      <c r="CM33" s="286"/>
      <c r="CN33" s="286"/>
      <c r="CO33" s="286"/>
      <c r="CP33" s="286"/>
      <c r="CQ33" s="286"/>
      <c r="CR33" s="286"/>
      <c r="CS33" s="286"/>
      <c r="CT33" s="286"/>
      <c r="CU33" s="286"/>
      <c r="CV33" s="286"/>
      <c r="CW33" s="286"/>
      <c r="CX33" s="286"/>
      <c r="CY33" s="286"/>
      <c r="CZ33" s="286"/>
      <c r="DA33" s="286"/>
      <c r="DB33" s="286"/>
      <c r="DC33" s="286"/>
      <c r="DD33" s="286"/>
      <c r="DE33" s="286"/>
      <c r="DF33" s="286"/>
      <c r="DG33" s="286"/>
      <c r="DH33" s="286"/>
      <c r="DI33" s="286"/>
      <c r="DJ33" s="286"/>
      <c r="DK33" s="286"/>
      <c r="DL33" s="286"/>
      <c r="DM33" s="286"/>
      <c r="DN33" s="286"/>
      <c r="DO33" s="286"/>
      <c r="DP33" s="286"/>
      <c r="DQ33" s="286"/>
      <c r="DR33" s="286"/>
      <c r="DS33" s="286"/>
      <c r="DT33" s="286"/>
      <c r="DU33" s="286"/>
      <c r="DV33" s="286"/>
      <c r="DW33" s="286"/>
      <c r="DX33" s="286"/>
      <c r="DY33" s="286"/>
      <c r="DZ33" s="286"/>
      <c r="EA33" s="286"/>
      <c r="EB33" s="286"/>
      <c r="EC33" s="286"/>
      <c r="ED33" s="286"/>
      <c r="EE33" s="286"/>
      <c r="EF33" s="286"/>
      <c r="EG33" s="286"/>
      <c r="EH33" s="286"/>
      <c r="EI33" s="286"/>
      <c r="EJ33" s="286"/>
      <c r="EK33" s="286"/>
    </row>
    <row r="34">
      <c r="A34" s="286" t="str">
        <f>IFERROR(__xludf.DUMMYFUNCTION("""COMPUTED_VALUE"""),"FARMS-FD-SIDE")</f>
        <v>FARMS-FD-SIDE</v>
      </c>
      <c r="B34" s="286" t="str">
        <f>IFERROR(__xludf.DUMMYFUNCTION("""COMPUTED_VALUE"""),"ALTMT")</f>
        <v>ALTMT</v>
      </c>
      <c r="C34" s="286" t="str">
        <f>IFERROR(__xludf.DUMMYFUNCTION("""COMPUTED_VALUE"""),"ALTMT-1ST-ACCTG-PRD")</f>
        <v>ALTMT-1ST-ACCTG-PRD</v>
      </c>
      <c r="D34" s="286" t="str">
        <f>IFERROR(__xludf.DUMMYFUNCTION("""COMPUTED_VALUE"""),"ALTMT-2ND-ACCTG-PRD")</f>
        <v>ALTMT-2ND-ACCTG-PRD</v>
      </c>
      <c r="E34" s="286" t="str">
        <f>IFERROR(__xludf.DUMMYFUNCTION("""COMPUTED_VALUE"""),"ALTMT-3RD-ACCTG-PRD")</f>
        <v>ALTMT-3RD-ACCTG-PRD</v>
      </c>
      <c r="F34" s="286" t="str">
        <f>IFERROR(__xludf.DUMMYFUNCTION("""COMPUTED_VALUE"""),"ALTMT-4TH-ACCTG-PRD")</f>
        <v>ALTMT-4TH-ACCTG-PRD</v>
      </c>
      <c r="G34" s="286" t="str">
        <f>IFERROR(__xludf.DUMMYFUNCTION("""COMPUTED_VALUE"""),"FILLER")</f>
        <v>FILLER</v>
      </c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6"/>
      <c r="BS34" s="286"/>
      <c r="BT34" s="286"/>
      <c r="BU34" s="286"/>
      <c r="BV34" s="286"/>
      <c r="BW34" s="286"/>
      <c r="BX34" s="286"/>
      <c r="BY34" s="286"/>
      <c r="BZ34" s="286"/>
      <c r="CA34" s="286"/>
      <c r="CB34" s="286"/>
      <c r="CC34" s="286"/>
      <c r="CD34" s="286"/>
      <c r="CE34" s="286"/>
      <c r="CF34" s="286"/>
      <c r="CG34" s="286"/>
      <c r="CH34" s="286"/>
      <c r="CI34" s="286"/>
      <c r="CJ34" s="286"/>
      <c r="CK34" s="286"/>
      <c r="CL34" s="286"/>
      <c r="CM34" s="286"/>
      <c r="CN34" s="286"/>
      <c r="CO34" s="286"/>
      <c r="CP34" s="286"/>
      <c r="CQ34" s="286"/>
      <c r="CR34" s="286"/>
      <c r="CS34" s="286"/>
      <c r="CT34" s="286"/>
      <c r="CU34" s="286"/>
      <c r="CV34" s="286"/>
      <c r="CW34" s="286"/>
      <c r="CX34" s="286"/>
      <c r="CY34" s="286"/>
      <c r="CZ34" s="286"/>
      <c r="DA34" s="286"/>
      <c r="DB34" s="286"/>
      <c r="DC34" s="286"/>
      <c r="DD34" s="286"/>
      <c r="DE34" s="286"/>
      <c r="DF34" s="286"/>
      <c r="DG34" s="286"/>
      <c r="DH34" s="286"/>
      <c r="DI34" s="286"/>
      <c r="DJ34" s="286"/>
      <c r="DK34" s="286"/>
      <c r="DL34" s="286"/>
      <c r="DM34" s="286"/>
      <c r="DN34" s="286"/>
      <c r="DO34" s="286"/>
      <c r="DP34" s="286"/>
      <c r="DQ34" s="286"/>
      <c r="DR34" s="286"/>
      <c r="DS34" s="286"/>
      <c r="DT34" s="286"/>
      <c r="DU34" s="286"/>
      <c r="DV34" s="286"/>
      <c r="DW34" s="286"/>
      <c r="DX34" s="286"/>
      <c r="DY34" s="286"/>
      <c r="DZ34" s="286"/>
      <c r="EA34" s="286"/>
      <c r="EB34" s="286"/>
      <c r="EC34" s="286"/>
      <c r="ED34" s="286"/>
      <c r="EE34" s="286"/>
      <c r="EF34" s="286"/>
      <c r="EG34" s="286"/>
      <c r="EH34" s="286"/>
      <c r="EI34" s="286"/>
      <c r="EJ34" s="286"/>
      <c r="EK34" s="286"/>
    </row>
    <row r="35">
      <c r="A35" s="286" t="str">
        <f>IFERROR(__xludf.DUMMYFUNCTION("""COMPUTED_VALUE"""),"FARMS-MALLOT")</f>
        <v>FARMS-MALLOT</v>
      </c>
      <c r="B35" s="286" t="str">
        <f>IFERROR(__xludf.DUMMYFUNCTION("""COMPUTED_VALUE"""),"APROPTN-CDE")</f>
        <v>APROPTN-CDE</v>
      </c>
      <c r="C35" s="286" t="str">
        <f>IFERROR(__xludf.DUMMYFUNCTION("""COMPUTED_VALUE"""),"MAJ-CLS")</f>
        <v>MAJ-CLS</v>
      </c>
      <c r="D35" s="286" t="str">
        <f>IFERROR(__xludf.DUMMYFUNCTION("""COMPUTED_VALUE"""),"OBJ-CLSFCTN-CDE")</f>
        <v>OBJ-CLSFCTN-CDE</v>
      </c>
      <c r="E35" s="286" t="str">
        <f>IFERROR(__xludf.DUMMYFUNCTION("""COMPUTED_VALUE"""),"FY-ACCTG")</f>
        <v>FY-ACCTG</v>
      </c>
      <c r="F35" s="286" t="str">
        <f>IFERROR(__xludf.DUMMYFUNCTION("""COMPUTED_VALUE"""),"ACCT-TYP-CDE")</f>
        <v>ACCT-TYP-CDE</v>
      </c>
      <c r="G35" s="286" t="str">
        <f>IFERROR(__xludf.DUMMYFUNCTION("""COMPUTED_VALUE"""),"MULTI-ELMT-CDE")</f>
        <v>MULTI-ELMT-CDE</v>
      </c>
      <c r="H35" s="286" t="str">
        <f>IFERROR(__xludf.DUMMYFUNCTION("""COMPUTED_VALUE"""),"OK-TO-PROC-CDE")</f>
        <v>OK-TO-PROC-CDE</v>
      </c>
      <c r="I35" s="286" t="str">
        <f>IFERROR(__xludf.DUMMYFUNCTION("""COMPUTED_VALUE"""),"APRTNMTS-CUR-DTL")</f>
        <v>APRTNMTS-CUR-DTL</v>
      </c>
      <c r="J35" s="286" t="str">
        <f>IFERROR(__xludf.DUMMYFUNCTION("""COMPUTED_VALUE"""),"ALTMT-CUR")</f>
        <v>ALTMT-CUR</v>
      </c>
      <c r="K35" s="286" t="str">
        <f>IFERROR(__xludf.DUMMYFUNCTION("""COMPUTED_VALUE"""),"APRTNMT-TYP")</f>
        <v>APRTNMT-TYP</v>
      </c>
      <c r="L35" s="286" t="str">
        <f>IFERROR(__xludf.DUMMYFUNCTION("""COMPUTED_VALUE"""),"ALTMT-TYP")</f>
        <v>ALTMT-TYP</v>
      </c>
      <c r="M35" s="286" t="str">
        <f>IFERROR(__xludf.DUMMYFUNCTION("""COMPUTED_VALUE"""),"PRD-CDE")</f>
        <v>PRD-CDE</v>
      </c>
      <c r="N35" s="286" t="str">
        <f>IFERROR(__xludf.DUMMYFUNCTION("""COMPUTED_VALUE"""),"APRTNMTS-1ST-ACCTG-PRD")</f>
        <v>APRTNMTS-1ST-ACCTG-PRD</v>
      </c>
      <c r="O35" s="286" t="str">
        <f>IFERROR(__xludf.DUMMYFUNCTION("""COMPUTED_VALUE"""),"APRTNMTS-2ND-ACCTG-PRD")</f>
        <v>APRTNMTS-2ND-ACCTG-PRD</v>
      </c>
      <c r="P35" s="286" t="str">
        <f>IFERROR(__xludf.DUMMYFUNCTION("""COMPUTED_VALUE"""),"APRTNMTS-3RD-ACCTG-PRD")</f>
        <v>APRTNMTS-3RD-ACCTG-PRD</v>
      </c>
      <c r="Q35" s="286" t="str">
        <f>IFERROR(__xludf.DUMMYFUNCTION("""COMPUTED_VALUE"""),"APRTNMTS-4TH-ACCTG-PRD")</f>
        <v>APRTNMTS-4TH-ACCTG-PRD</v>
      </c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286"/>
      <c r="BV35" s="286"/>
      <c r="BW35" s="286"/>
      <c r="BX35" s="286"/>
      <c r="BY35" s="286"/>
      <c r="BZ35" s="286"/>
      <c r="CA35" s="286"/>
      <c r="CB35" s="286"/>
      <c r="CC35" s="286"/>
      <c r="CD35" s="286"/>
      <c r="CE35" s="286"/>
      <c r="CF35" s="286"/>
      <c r="CG35" s="286"/>
      <c r="CH35" s="286"/>
      <c r="CI35" s="286"/>
      <c r="CJ35" s="286"/>
      <c r="CK35" s="286"/>
      <c r="CL35" s="286"/>
      <c r="CM35" s="286"/>
      <c r="CN35" s="286"/>
      <c r="CO35" s="286"/>
      <c r="CP35" s="286"/>
      <c r="CQ35" s="286"/>
      <c r="CR35" s="286"/>
      <c r="CS35" s="286"/>
      <c r="CT35" s="286"/>
      <c r="CU35" s="286"/>
      <c r="CV35" s="286"/>
      <c r="CW35" s="286"/>
      <c r="CX35" s="286"/>
      <c r="CY35" s="286"/>
      <c r="CZ35" s="286"/>
      <c r="DA35" s="286"/>
      <c r="DB35" s="286"/>
      <c r="DC35" s="286"/>
      <c r="DD35" s="286"/>
      <c r="DE35" s="286"/>
      <c r="DF35" s="286"/>
      <c r="DG35" s="286"/>
      <c r="DH35" s="286"/>
      <c r="DI35" s="286"/>
      <c r="DJ35" s="286"/>
      <c r="DK35" s="286"/>
      <c r="DL35" s="286"/>
      <c r="DM35" s="286"/>
      <c r="DN35" s="286"/>
      <c r="DO35" s="286"/>
      <c r="DP35" s="286"/>
      <c r="DQ35" s="286"/>
      <c r="DR35" s="286"/>
      <c r="DS35" s="286"/>
      <c r="DT35" s="286"/>
      <c r="DU35" s="286"/>
      <c r="DV35" s="286"/>
      <c r="DW35" s="286"/>
      <c r="DX35" s="286"/>
      <c r="DY35" s="286"/>
      <c r="DZ35" s="286"/>
      <c r="EA35" s="286"/>
      <c r="EB35" s="286"/>
      <c r="EC35" s="286"/>
      <c r="ED35" s="286"/>
      <c r="EE35" s="286"/>
      <c r="EF35" s="286"/>
      <c r="EG35" s="286"/>
      <c r="EH35" s="286"/>
      <c r="EI35" s="286"/>
      <c r="EJ35" s="286"/>
      <c r="EK35" s="286"/>
    </row>
    <row r="36">
      <c r="A36" s="286" t="str">
        <f>IFERROR(__xludf.DUMMYFUNCTION("""COMPUTED_VALUE"""),"FARMS-PLEREP")</f>
        <v>FARMS-PLEREP</v>
      </c>
      <c r="B36" s="286" t="str">
        <f>IFERROR(__xludf.DUMMYFUNCTION("""COMPUTED_VALUE"""),"FRM-MORT-DATA")</f>
        <v>FRM-MORT-DATA</v>
      </c>
      <c r="C36" s="286" t="str">
        <f>IFERROR(__xludf.DUMMYFUNCTION("""COMPUTED_VALUE"""),"RGN-CDE-PLEREP")</f>
        <v>RGN-CDE-PLEREP</v>
      </c>
      <c r="D36" s="286" t="str">
        <f>IFERROR(__xludf.DUMMYFUNCTION("""COMPUTED_VALUE"""),"MORTS-FRM-GOVT-OWND-CNT")</f>
        <v>MORTS-FRM-GOVT-OWND-CNT</v>
      </c>
      <c r="E36" s="286" t="str">
        <f>IFERROR(__xludf.DUMMYFUNCTION("""COMPUTED_VALUE"""),"MORTS-FRM-OWND-GOVT-AMT")</f>
        <v>MORTS-FRM-OWND-GOVT-AMT</v>
      </c>
      <c r="F36" s="286" t="str">
        <f>IFERROR(__xludf.DUMMYFUNCTION("""COMPUTED_VALUE"""),"MORT-FRM-ACQD-CUR-QTR-CNT")</f>
        <v>MORT-FRM-ACQD-CUR-QTR-CNT</v>
      </c>
      <c r="G36" s="286" t="str">
        <f>IFERROR(__xludf.DUMMYFUNCTION("""COMPUTED_VALUE"""),"MORTS-ACQD-ON-FRMS-AMT")</f>
        <v>MORTS-ACQD-ON-FRMS-AMT</v>
      </c>
      <c r="H36" s="286" t="str">
        <f>IFERROR(__xludf.DUMMYFUNCTION("""COMPUTED_VALUE"""),"PRIN-INCR-FRM-MORT-OWND")</f>
        <v>PRIN-INCR-FRM-MORT-OWND</v>
      </c>
      <c r="I36" s="286" t="str">
        <f>IFERROR(__xludf.DUMMYFUNCTION("""COMPUTED_VALUE"""),"MORTS-FRM-FULLY-PD-CNT")</f>
        <v>MORTS-FRM-FULLY-PD-CNT</v>
      </c>
      <c r="J36" s="286" t="str">
        <f>IFERROR(__xludf.DUMMYFUNCTION("""COMPUTED_VALUE"""),"PYMT-FNL-FRM-MORT-TTL-AMT")</f>
        <v>PYMT-FNL-FRM-MORT-TTL-AMT</v>
      </c>
      <c r="K36" s="286" t="str">
        <f>IFERROR(__xludf.DUMMYFUNCTION("""COMPUTED_VALUE"""),"PRIN-PYMT-ON-OTH-FRM-MORT")</f>
        <v>PRIN-PYMT-ON-OTH-FRM-MORT</v>
      </c>
      <c r="L36" s="286" t="str">
        <f>IFERROR(__xludf.DUMMYFUNCTION("""COMPUTED_VALUE"""),"MORTS-FRM-ACQD-FRCL-CNT")</f>
        <v>MORTS-FRM-ACQD-FRCL-CNT</v>
      </c>
      <c r="M36" s="286" t="str">
        <f>IFERROR(__xludf.DUMMYFUNCTION("""COMPUTED_VALUE"""),"MORTS-FRM-ACQD-FRCL-AMT")</f>
        <v>MORTS-FRM-ACQD-FRCL-AMT</v>
      </c>
      <c r="N36" s="286" t="str">
        <f>IFERROR(__xludf.DUMMYFUNCTION("""COMPUTED_VALUE"""),"RH-INIT-LNS-1-PCT-CNT")</f>
        <v>RH-INIT-LNS-1-PCT-CNT</v>
      </c>
      <c r="O36" s="286" t="str">
        <f>IFERROR(__xludf.DUMMYFUNCTION("""COMPUTED_VALUE"""),"RH-INIT-LNS-1-PCT-AMT")</f>
        <v>RH-INIT-LNS-1-PCT-AMT</v>
      </c>
      <c r="P36" s="286" t="str">
        <f>IFERROR(__xludf.DUMMYFUNCTION("""COMPUTED_VALUE"""),"RH-INIT-LNS-3-PCT-CNT")</f>
        <v>RH-INIT-LNS-3-PCT-CNT</v>
      </c>
      <c r="Q36" s="286" t="str">
        <f>IFERROR(__xludf.DUMMYFUNCTION("""COMPUTED_VALUE"""),"RH-INIT-LNS-3-PCT-AMT")</f>
        <v>RH-INIT-LNS-3-PCT-AMT</v>
      </c>
      <c r="R36" s="286" t="str">
        <f>IFERROR(__xludf.DUMMYFUNCTION("""COMPUTED_VALUE"""),"RH-INIT-LNS-6-PCT-CNT")</f>
        <v>RH-INIT-LNS-6-PCT-CNT</v>
      </c>
      <c r="S36" s="286" t="str">
        <f>IFERROR(__xludf.DUMMYFUNCTION("""COMPUTED_VALUE"""),"RH-INIT-LNS-6-PCT-AMT")</f>
        <v>RH-INIT-LNS-6-PCT-AMT</v>
      </c>
      <c r="T36" s="286" t="str">
        <f>IFERROR(__xludf.DUMMYFUNCTION("""COMPUTED_VALUE"""),"FO-INIT-LNS-3-PCT-CNT")</f>
        <v>FO-INIT-LNS-3-PCT-CNT</v>
      </c>
      <c r="U36" s="286" t="str">
        <f>IFERROR(__xludf.DUMMYFUNCTION("""COMPUTED_VALUE"""),"FO-INIT-LNS-3-PCT-AMT")</f>
        <v>FO-INIT-LNS-3-PCT-AMT</v>
      </c>
      <c r="V36" s="286" t="str">
        <f>IFERROR(__xludf.DUMMYFUNCTION("""COMPUTED_VALUE"""),"FO-INIT-LNS-5-PCT-CNT")</f>
        <v>FO-INIT-LNS-5-PCT-CNT</v>
      </c>
      <c r="W36" s="286" t="str">
        <f>IFERROR(__xludf.DUMMYFUNCTION("""COMPUTED_VALUE"""),"FO-INIT-LNS-5-PCT-AMT")</f>
        <v>FO-INIT-LNS-5-PCT-AMT</v>
      </c>
      <c r="X36" s="286" t="str">
        <f>IFERROR(__xludf.DUMMYFUNCTION("""COMPUTED_VALUE"""),"PURCH-RE-QTR")</f>
        <v>PURCH-RE-QTR</v>
      </c>
      <c r="Y36" s="286" t="str">
        <f>IFERROR(__xludf.DUMMYFUNCTION("""COMPUTED_VALUE"""),"LN-REFIN-RE-PRTN-FO-RH")</f>
        <v>LN-REFIN-RE-PRTN-FO-RH</v>
      </c>
      <c r="Z36" s="286" t="str">
        <f>IFERROR(__xludf.DUMMYFUNCTION("""COMPUTED_VALUE"""),"LN-REFIN-NON-RE-PRTN-FO-RH")</f>
        <v>LN-REFIN-NON-RE-PRTN-FO-RH</v>
      </c>
      <c r="AA36" s="286" t="str">
        <f>IFERROR(__xludf.DUMMYFUNCTION("""COMPUTED_VALUE"""),"LN-FO-RH-LAND-BLDG-PRTN")</f>
        <v>LN-FO-RH-LAND-BLDG-PRTN</v>
      </c>
      <c r="AB36" s="286" t="str">
        <f>IFERROR(__xludf.DUMMYFUNCTION("""COMPUTED_VALUE"""),"FEES-OTH-KNOWN")</f>
        <v>FEES-OTH-KNOWN</v>
      </c>
      <c r="AC36" s="286" t="str">
        <f>IFERROR(__xludf.DUMMYFUNCTION("""COMPUTED_VALUE"""),"PYMT-DWN-INIT-LNS-TTL-AMT")</f>
        <v>PYMT-DWN-INIT-LNS-TTL-AMT</v>
      </c>
      <c r="AD36" s="286" t="str">
        <f>IFERROR(__xludf.DUMMYFUNCTION("""COMPUTED_VALUE"""),"PLDGD-LN-DATA")</f>
        <v>PLDGD-LN-DATA</v>
      </c>
      <c r="AE36" s="286" t="str">
        <f>IFERROR(__xludf.DUMMYFUNCTION("""COMPUTED_VALUE"""),"FY-PLDGD-GNMA-PLEREP")</f>
        <v>FY-PLDGD-GNMA-PLEREP</v>
      </c>
      <c r="AF36" s="286" t="str">
        <f>IFERROR(__xludf.DUMMYFUNCTION("""COMPUTED_VALUE"""),"LN-ACCT-CDE")</f>
        <v>LN-ACCT-CDE</v>
      </c>
      <c r="AG36" s="286" t="str">
        <f>IFERROR(__xludf.DUMMYFUNCTION("""COMPUTED_VALUE"""),"PLDG-ORIG-AMT")</f>
        <v>PLDG-ORIG-AMT</v>
      </c>
      <c r="AH36" s="286" t="str">
        <f>IFERROR(__xludf.DUMMYFUNCTION("""COMPUTED_VALUE"""),"LNS-IN-ORIG-PLDG-CNT")</f>
        <v>LNS-IN-ORIG-PLDG-CNT</v>
      </c>
      <c r="AI36" s="286" t="str">
        <f>IFERROR(__xludf.DUMMYFUNCTION("""COMPUTED_VALUE"""),"LN-AMT-ADDD-CUM")</f>
        <v>LN-AMT-ADDD-CUM</v>
      </c>
      <c r="AJ36" s="286" t="str">
        <f>IFERROR(__xludf.DUMMYFUNCTION("""COMPUTED_VALUE"""),"LNS-ADDD-CUM-CNT")</f>
        <v>LNS-ADDD-CUM-CNT</v>
      </c>
      <c r="AK36" s="286" t="str">
        <f>IFERROR(__xludf.DUMMYFUNCTION("""COMPUTED_VALUE"""),"ADVNC-ADDTNL-CUM-AMT")</f>
        <v>ADVNC-ADDTNL-CUM-AMT</v>
      </c>
      <c r="AL36" s="286" t="str">
        <f>IFERROR(__xludf.DUMMYFUNCTION("""COMPUTED_VALUE"""),"LNS-CNCLD-CUM-AMT")</f>
        <v>LNS-CNCLD-CUM-AMT</v>
      </c>
      <c r="AM36" s="286" t="str">
        <f>IFERROR(__xludf.DUMMYFUNCTION("""COMPUTED_VALUE"""),"LNS-CNCLD-CUM-CNT")</f>
        <v>LNS-CNCLD-CUM-CNT</v>
      </c>
      <c r="AN36" s="286" t="str">
        <f>IFERROR(__xludf.DUMMYFUNCTION("""COMPUTED_VALUE"""),"PRIN-NOT-FULLY-PD-CUM")</f>
        <v>PRIN-NOT-FULLY-PD-CUM</v>
      </c>
      <c r="AO36" s="286" t="str">
        <f>IFERROR(__xludf.DUMMYFUNCTION("""COMPUTED_VALUE"""),"INT-NOT-FULLY-PD-CUM")</f>
        <v>INT-NOT-FULLY-PD-CUM</v>
      </c>
      <c r="AP36" s="286" t="str">
        <f>IFERROR(__xludf.DUMMYFUNCTION("""COMPUTED_VALUE"""),"PRIN-FULLY-PD-CUM")</f>
        <v>PRIN-FULLY-PD-CUM</v>
      </c>
      <c r="AQ36" s="286" t="str">
        <f>IFERROR(__xludf.DUMMYFUNCTION("""COMPUTED_VALUE"""),"INT-FULLY-PD-CUM-AMT")</f>
        <v>INT-FULLY-PD-CUM-AMT</v>
      </c>
      <c r="AR36" s="286" t="str">
        <f>IFERROR(__xludf.DUMMYFUNCTION("""COMPUTED_VALUE"""),"LNS-FULLY-PD-CUM-CNT")</f>
        <v>LNS-FULLY-PD-CUM-CNT</v>
      </c>
      <c r="AS36" s="286" t="str">
        <f>IFERROR(__xludf.DUMMYFUNCTION("""COMPUTED_VALUE"""),"FRCL-JDGMT-CUM-AMT")</f>
        <v>FRCL-JDGMT-CUM-AMT</v>
      </c>
      <c r="AT36" s="286" t="str">
        <f>IFERROR(__xludf.DUMMYFUNCTION("""COMPUTED_VALUE"""),"FRCL-JDGMT-CUM-CNT")</f>
        <v>FRCL-JDGMT-CUM-CNT</v>
      </c>
      <c r="AU36" s="286" t="str">
        <f>IFERROR(__xludf.DUMMYFUNCTION("""COMPUTED_VALUE"""),"WRTF-CUM-AMT")</f>
        <v>WRTF-CUM-AMT</v>
      </c>
      <c r="AV36" s="286" t="str">
        <f>IFERROR(__xludf.DUMMYFUNCTION("""COMPUTED_VALUE"""),"WRTF-CUM")</f>
        <v>WRTF-CUM</v>
      </c>
      <c r="AW36" s="286" t="str">
        <f>IFERROR(__xludf.DUMMYFUNCTION("""COMPUTED_VALUE"""),"LN-AMT-ADDD-MTD")</f>
        <v>LN-AMT-ADDD-MTD</v>
      </c>
      <c r="AX36" s="286" t="str">
        <f>IFERROR(__xludf.DUMMYFUNCTION("""COMPUTED_VALUE"""),"LNS-ADDD-MTD-CNT")</f>
        <v>LNS-ADDD-MTD-CNT</v>
      </c>
      <c r="AY36" s="286" t="str">
        <f>IFERROR(__xludf.DUMMYFUNCTION("""COMPUTED_VALUE"""),"ADVNC-ADDTNL-AMT-MTD")</f>
        <v>ADVNC-ADDTNL-AMT-MTD</v>
      </c>
      <c r="AZ36" s="286" t="str">
        <f>IFERROR(__xludf.DUMMYFUNCTION("""COMPUTED_VALUE"""),"LNS-CNCLD-MTD-AMT")</f>
        <v>LNS-CNCLD-MTD-AMT</v>
      </c>
      <c r="BA36" s="286" t="str">
        <f>IFERROR(__xludf.DUMMYFUNCTION("""COMPUTED_VALUE"""),"LNS-CNCLD-MTD-CNT")</f>
        <v>LNS-CNCLD-MTD-CNT</v>
      </c>
      <c r="BB36" s="286" t="str">
        <f>IFERROR(__xludf.DUMMYFUNCTION("""COMPUTED_VALUE"""),"PRIN-NOT-FULLY-PD-MTD")</f>
        <v>PRIN-NOT-FULLY-PD-MTD</v>
      </c>
      <c r="BC36" s="286" t="str">
        <f>IFERROR(__xludf.DUMMYFUNCTION("""COMPUTED_VALUE"""),"INT-NOT-FULLY-PD-MTD")</f>
        <v>INT-NOT-FULLY-PD-MTD</v>
      </c>
      <c r="BD36" s="286" t="str">
        <f>IFERROR(__xludf.DUMMYFUNCTION("""COMPUTED_VALUE"""),"PRIN-FULLY-PD-MTD")</f>
        <v>PRIN-FULLY-PD-MTD</v>
      </c>
      <c r="BE36" s="286" t="str">
        <f>IFERROR(__xludf.DUMMYFUNCTION("""COMPUTED_VALUE"""),"INT-FULLY-PD-MTD")</f>
        <v>INT-FULLY-PD-MTD</v>
      </c>
      <c r="BF36" s="286" t="str">
        <f>IFERROR(__xludf.DUMMYFUNCTION("""COMPUTED_VALUE"""),"LNS-FULLY-PD-MTD-CNT")</f>
        <v>LNS-FULLY-PD-MTD-CNT</v>
      </c>
      <c r="BG36" s="286" t="str">
        <f>IFERROR(__xludf.DUMMYFUNCTION("""COMPUTED_VALUE"""),"PRIN-FRCL-JDGMT-MTD")</f>
        <v>PRIN-FRCL-JDGMT-MTD</v>
      </c>
      <c r="BH36" s="286" t="str">
        <f>IFERROR(__xludf.DUMMYFUNCTION("""COMPUTED_VALUE"""),"LNS-FRCL-JDGMT-MTD")</f>
        <v>LNS-FRCL-JDGMT-MTD</v>
      </c>
      <c r="BI36" s="286" t="str">
        <f>IFERROR(__xludf.DUMMYFUNCTION("""COMPUTED_VALUE"""),"WRTF-UNPD-PRIN-MTD")</f>
        <v>WRTF-UNPD-PRIN-MTD</v>
      </c>
      <c r="BJ36" s="286" t="str">
        <f>IFERROR(__xludf.DUMMYFUNCTION("""COMPUTED_VALUE"""),"LNS-WRTF-MTD-CNT")</f>
        <v>LNS-WRTF-MTD-CNT</v>
      </c>
      <c r="BK36" s="286" t="str">
        <f>IFERROR(__xludf.DUMMYFUNCTION("""COMPUTED_VALUE"""),"PRIN-UNPD-PLDGD-LNS")</f>
        <v>PRIN-UNPD-PLDGD-LNS</v>
      </c>
      <c r="BL36" s="286" t="str">
        <f>IFERROR(__xludf.DUMMYFUNCTION("""COMPUTED_VALUE"""),"LNS-OUTSTG-CNT")</f>
        <v>LNS-OUTSTG-CNT</v>
      </c>
      <c r="BM36" s="286"/>
      <c r="BN36" s="286"/>
      <c r="BO36" s="286"/>
      <c r="BP36" s="286"/>
      <c r="BQ36" s="286"/>
      <c r="BR36" s="286"/>
      <c r="BS36" s="286"/>
      <c r="BT36" s="286"/>
      <c r="BU36" s="286"/>
      <c r="BV36" s="286"/>
      <c r="BW36" s="286"/>
      <c r="BX36" s="286"/>
      <c r="BY36" s="286"/>
      <c r="BZ36" s="286"/>
      <c r="CA36" s="286"/>
      <c r="CB36" s="286"/>
      <c r="CC36" s="286"/>
      <c r="CD36" s="286"/>
      <c r="CE36" s="286"/>
      <c r="CF36" s="286"/>
      <c r="CG36" s="286"/>
      <c r="CH36" s="286"/>
      <c r="CI36" s="286"/>
      <c r="CJ36" s="286"/>
      <c r="CK36" s="286"/>
      <c r="CL36" s="286"/>
      <c r="CM36" s="286"/>
      <c r="CN36" s="286"/>
      <c r="CO36" s="286"/>
      <c r="CP36" s="286"/>
      <c r="CQ36" s="286"/>
      <c r="CR36" s="286"/>
      <c r="CS36" s="286"/>
      <c r="CT36" s="286"/>
      <c r="CU36" s="286"/>
      <c r="CV36" s="286"/>
      <c r="CW36" s="286"/>
      <c r="CX36" s="286"/>
      <c r="CY36" s="286"/>
      <c r="CZ36" s="286"/>
      <c r="DA36" s="286"/>
      <c r="DB36" s="286"/>
      <c r="DC36" s="286"/>
      <c r="DD36" s="286"/>
      <c r="DE36" s="286"/>
      <c r="DF36" s="286"/>
      <c r="DG36" s="286"/>
      <c r="DH36" s="286"/>
      <c r="DI36" s="286"/>
      <c r="DJ36" s="286"/>
      <c r="DK36" s="286"/>
      <c r="DL36" s="286"/>
      <c r="DM36" s="286"/>
      <c r="DN36" s="286"/>
      <c r="DO36" s="286"/>
      <c r="DP36" s="286"/>
      <c r="DQ36" s="286"/>
      <c r="DR36" s="286"/>
      <c r="DS36" s="286"/>
      <c r="DT36" s="286"/>
      <c r="DU36" s="286"/>
      <c r="DV36" s="286"/>
      <c r="DW36" s="286"/>
      <c r="DX36" s="286"/>
      <c r="DY36" s="286"/>
      <c r="DZ36" s="286"/>
      <c r="EA36" s="286"/>
      <c r="EB36" s="286"/>
      <c r="EC36" s="286"/>
      <c r="ED36" s="286"/>
      <c r="EE36" s="286"/>
      <c r="EF36" s="286"/>
      <c r="EG36" s="286"/>
      <c r="EH36" s="286"/>
      <c r="EI36" s="286"/>
      <c r="EJ36" s="286"/>
      <c r="EK36" s="286"/>
    </row>
    <row r="37">
      <c r="A37" s="286" t="str">
        <f>IFERROR(__xludf.DUMMYFUNCTION("""COMPUTED_VALUE"""),"GL-MSTACCT")</f>
        <v>GL-MSTACCT</v>
      </c>
      <c r="B37" s="286" t="str">
        <f>IFERROR(__xludf.DUMMYFUNCTION("""COMPUTED_VALUE"""),"RD-TAX-ID")</f>
        <v>RD-TAX-ID</v>
      </c>
      <c r="C37" s="286" t="str">
        <f>IFERROR(__xludf.DUMMYFUNCTION("""COMPUTED_VALUE"""),"RD-ACCT-NBR")</f>
        <v>RD-ACCT-NBR</v>
      </c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286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286"/>
      <c r="BV37" s="286"/>
      <c r="BW37" s="286"/>
      <c r="BX37" s="286"/>
      <c r="BY37" s="286"/>
      <c r="BZ37" s="286"/>
      <c r="CA37" s="286"/>
      <c r="CB37" s="286"/>
      <c r="CC37" s="286"/>
      <c r="CD37" s="286"/>
      <c r="CE37" s="286"/>
      <c r="CF37" s="286"/>
      <c r="CG37" s="286"/>
      <c r="CH37" s="286"/>
      <c r="CI37" s="286"/>
      <c r="CJ37" s="286"/>
      <c r="CK37" s="286"/>
      <c r="CL37" s="286"/>
      <c r="CM37" s="286"/>
      <c r="CN37" s="286"/>
      <c r="CO37" s="286"/>
      <c r="CP37" s="286"/>
      <c r="CQ37" s="286"/>
      <c r="CR37" s="286"/>
      <c r="CS37" s="286"/>
      <c r="CT37" s="286"/>
      <c r="CU37" s="286"/>
      <c r="CV37" s="286"/>
      <c r="CW37" s="286"/>
      <c r="CX37" s="286"/>
      <c r="CY37" s="286"/>
      <c r="CZ37" s="286"/>
      <c r="DA37" s="286"/>
      <c r="DB37" s="286"/>
      <c r="DC37" s="286"/>
      <c r="DD37" s="286"/>
      <c r="DE37" s="286"/>
      <c r="DF37" s="286"/>
      <c r="DG37" s="286"/>
      <c r="DH37" s="286"/>
      <c r="DI37" s="286"/>
      <c r="DJ37" s="286"/>
      <c r="DK37" s="286"/>
      <c r="DL37" s="286"/>
      <c r="DM37" s="286"/>
      <c r="DN37" s="286"/>
      <c r="DO37" s="286"/>
      <c r="DP37" s="286"/>
      <c r="DQ37" s="286"/>
      <c r="DR37" s="286"/>
      <c r="DS37" s="286"/>
      <c r="DT37" s="286"/>
      <c r="DU37" s="286"/>
      <c r="DV37" s="286"/>
      <c r="DW37" s="286"/>
      <c r="DX37" s="286"/>
      <c r="DY37" s="286"/>
      <c r="DZ37" s="286"/>
      <c r="EA37" s="286"/>
      <c r="EB37" s="286"/>
      <c r="EC37" s="286"/>
      <c r="ED37" s="286"/>
      <c r="EE37" s="286"/>
      <c r="EF37" s="286"/>
      <c r="EG37" s="286"/>
      <c r="EH37" s="286"/>
      <c r="EI37" s="286"/>
      <c r="EJ37" s="286"/>
      <c r="EK37" s="286"/>
    </row>
    <row r="38">
      <c r="A38" s="286" t="str">
        <f>IFERROR(__xludf.DUMMYFUNCTION("""COMPUTED_VALUE"""),"GLACCT")</f>
        <v>GLACCT</v>
      </c>
      <c r="B38" s="286" t="str">
        <f>IFERROR(__xludf.DUMMYFUNCTION("""COMPUTED_VALUE"""),"ACCT-NBR")</f>
        <v>ACCT-NBR</v>
      </c>
      <c r="C38" s="286" t="str">
        <f>IFERROR(__xludf.DUMMYFUNCTION("""COMPUTED_VALUE"""),"LINE-NBR-CDE")</f>
        <v>LINE-NBR-CDE</v>
      </c>
      <c r="D38" s="286" t="str">
        <f>IFERROR(__xludf.DUMMYFUNCTION("""COMPUTED_VALUE"""),"PRFX-LINE-NBR")</f>
        <v>PRFX-LINE-NBR</v>
      </c>
      <c r="E38" s="286" t="str">
        <f>IFERROR(__xludf.DUMMYFUNCTION("""COMPUTED_VALUE"""),"SFX-LINE-NBR")</f>
        <v>SFX-LINE-NBR</v>
      </c>
      <c r="F38" s="286" t="str">
        <f>IFERROR(__xludf.DUMMYFUNCTION("""COMPUTED_VALUE"""),"SUB-SFX-LINE-NBR")</f>
        <v>SUB-SFX-LINE-NBR</v>
      </c>
      <c r="G38" s="286" t="str">
        <f>IFERROR(__xludf.DUMMYFUNCTION("""COMPUTED_VALUE"""),"MINOR-CDE-FLAG")</f>
        <v>MINOR-CDE-FLAG</v>
      </c>
      <c r="H38" s="286" t="str">
        <f>IFERROR(__xludf.DUMMYFUNCTION("""COMPUTED_VALUE"""),"ACCT-TITLE")</f>
        <v>ACCT-TITLE</v>
      </c>
      <c r="I38" s="286" t="str">
        <f>IFERROR(__xludf.DUMMYFUNCTION("""COMPUTED_VALUE"""),"BAL-CDE")</f>
        <v>BAL-CDE</v>
      </c>
      <c r="J38" s="286" t="str">
        <f>IFERROR(__xludf.DUMMYFUNCTION("""COMPUTED_VALUE"""),"ENTY")</f>
        <v>ENTY</v>
      </c>
      <c r="K38" s="286" t="str">
        <f>IFERROR(__xludf.DUMMYFUNCTION("""COMPUTED_VALUE"""),"DTE-LST-RGSTR-ACCT")</f>
        <v>DTE-LST-RGSTR-ACCT</v>
      </c>
      <c r="L38" s="286" t="str">
        <f>IFERROR(__xludf.DUMMYFUNCTION("""COMPUTED_VALUE"""),"FILLER")</f>
        <v>FILLER</v>
      </c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  <c r="BM38" s="286"/>
      <c r="BN38" s="286"/>
      <c r="BO38" s="286"/>
      <c r="BP38" s="286"/>
      <c r="BQ38" s="286"/>
      <c r="BR38" s="286"/>
      <c r="BS38" s="286"/>
      <c r="BT38" s="286"/>
      <c r="BU38" s="286"/>
      <c r="BV38" s="286"/>
      <c r="BW38" s="286"/>
      <c r="BX38" s="286"/>
      <c r="BY38" s="286"/>
      <c r="BZ38" s="286"/>
      <c r="CA38" s="286"/>
      <c r="CB38" s="286"/>
      <c r="CC38" s="286"/>
      <c r="CD38" s="286"/>
      <c r="CE38" s="286"/>
      <c r="CF38" s="286"/>
      <c r="CG38" s="286"/>
      <c r="CH38" s="286"/>
      <c r="CI38" s="286"/>
      <c r="CJ38" s="286"/>
      <c r="CK38" s="286"/>
      <c r="CL38" s="286"/>
      <c r="CM38" s="286"/>
      <c r="CN38" s="286"/>
      <c r="CO38" s="286"/>
      <c r="CP38" s="286"/>
      <c r="CQ38" s="286"/>
      <c r="CR38" s="286"/>
      <c r="CS38" s="286"/>
      <c r="CT38" s="286"/>
      <c r="CU38" s="286"/>
      <c r="CV38" s="286"/>
      <c r="CW38" s="286"/>
      <c r="CX38" s="286"/>
      <c r="CY38" s="286"/>
      <c r="CZ38" s="286"/>
      <c r="DA38" s="286"/>
      <c r="DB38" s="286"/>
      <c r="DC38" s="286"/>
      <c r="DD38" s="286"/>
      <c r="DE38" s="286"/>
      <c r="DF38" s="286"/>
      <c r="DG38" s="286"/>
      <c r="DH38" s="286"/>
      <c r="DI38" s="286"/>
      <c r="DJ38" s="286"/>
      <c r="DK38" s="286"/>
      <c r="DL38" s="286"/>
      <c r="DM38" s="286"/>
      <c r="DN38" s="286"/>
      <c r="DO38" s="286"/>
      <c r="DP38" s="286"/>
      <c r="DQ38" s="286"/>
      <c r="DR38" s="286"/>
      <c r="DS38" s="286"/>
      <c r="DT38" s="286"/>
      <c r="DU38" s="286"/>
      <c r="DV38" s="286"/>
      <c r="DW38" s="286"/>
      <c r="DX38" s="286"/>
      <c r="DY38" s="286"/>
      <c r="DZ38" s="286"/>
      <c r="EA38" s="286"/>
      <c r="EB38" s="286"/>
      <c r="EC38" s="286"/>
      <c r="ED38" s="286"/>
      <c r="EE38" s="286"/>
      <c r="EF38" s="286"/>
      <c r="EG38" s="286"/>
      <c r="EH38" s="286"/>
      <c r="EI38" s="286"/>
      <c r="EJ38" s="286"/>
      <c r="EK38" s="286"/>
    </row>
    <row r="39">
      <c r="A39" s="286" t="str">
        <f>IFERROR(__xludf.DUMMYFUNCTION("""COMPUTED_VALUE"""),"GLMSTR")</f>
        <v>GLMSTR</v>
      </c>
      <c r="B39" s="286" t="str">
        <f>IFERROR(__xludf.DUMMYFUNCTION("""COMPUTED_VALUE"""),"ENTY-ACCT-MINOR-CDE")</f>
        <v>ENTY-ACCT-MINOR-CDE</v>
      </c>
      <c r="C39" s="286" t="str">
        <f>IFERROR(__xludf.DUMMYFUNCTION("""COMPUTED_VALUE"""),"FY")</f>
        <v>FY</v>
      </c>
      <c r="D39" s="286" t="str">
        <f>IFERROR(__xludf.DUMMYFUNCTION("""COMPUTED_VALUE"""),"ENTY-CDE")</f>
        <v>ENTY-CDE</v>
      </c>
      <c r="E39" s="286" t="str">
        <f>IFERROR(__xludf.DUMMYFUNCTION("""COMPUTED_VALUE"""),"ACCT-NBR")</f>
        <v>ACCT-NBR</v>
      </c>
      <c r="F39" s="286" t="str">
        <f>IFERROR(__xludf.DUMMYFUNCTION("""COMPUTED_VALUE"""),"MINOR-CDE")</f>
        <v>MINOR-CDE</v>
      </c>
      <c r="G39" s="286" t="str">
        <f>IFERROR(__xludf.DUMMYFUNCTION("""COMPUTED_VALUE"""),"CUR-MO-CDE")</f>
        <v>CUR-MO-CDE</v>
      </c>
      <c r="H39" s="286" t="str">
        <f>IFERROR(__xludf.DUMMYFUNCTION("""COMPUTED_VALUE"""),"CUR-ACCT-BAL")</f>
        <v>CUR-ACCT-BAL</v>
      </c>
      <c r="I39" s="286" t="str">
        <f>IFERROR(__xludf.DUMMYFUNCTION("""COMPUTED_VALUE"""),"PR-YR-ENDG-BAL")</f>
        <v>PR-YR-ENDG-BAL</v>
      </c>
      <c r="J39" s="286" t="str">
        <f>IFERROR(__xludf.DUMMYFUNCTION("""COMPUTED_VALUE"""),"GL-MO-ACTV")</f>
        <v>GL-MO-ACTV</v>
      </c>
      <c r="K39" s="286" t="str">
        <f>IFERROR(__xludf.DUMMYFUNCTION("""COMPUTED_VALUE"""),"CLSG-ENTRIES")</f>
        <v>CLSG-ENTRIES</v>
      </c>
      <c r="L39" s="286" t="str">
        <f>IFERROR(__xludf.DUMMYFUNCTION("""COMPUTED_VALUE"""),"CUR-MO-PR-YR-ACTV")</f>
        <v>CUR-MO-PR-YR-ACTV</v>
      </c>
      <c r="M39" s="286" t="str">
        <f>IFERROR(__xludf.DUMMYFUNCTION("""COMPUTED_VALUE"""),"SUBQ-MO-PR-YR-ACTV")</f>
        <v>SUBQ-MO-PR-YR-ACTV</v>
      </c>
      <c r="N39" s="286" t="str">
        <f>IFERROR(__xludf.DUMMYFUNCTION("""COMPUTED_VALUE"""),"MEMO-ACCT-BAL")</f>
        <v>MEMO-ACCT-BAL</v>
      </c>
      <c r="O39" s="286" t="str">
        <f>IFERROR(__xludf.DUMMYFUNCTION("""COMPUTED_VALUE"""),"PREV-BAL-CNTR")</f>
        <v>PREV-BAL-CNTR</v>
      </c>
      <c r="P39" s="286" t="str">
        <f>IFERROR(__xludf.DUMMYFUNCTION("""COMPUTED_VALUE"""),"DTE-LST-RGSTR-ACCT")</f>
        <v>DTE-LST-RGSTR-ACCT</v>
      </c>
      <c r="Q39" s="286" t="str">
        <f>IFERROR(__xludf.DUMMYFUNCTION("""COMPUTED_VALUE"""),"RGSTR-TYP-CDE")</f>
        <v>RGSTR-TYP-CDE</v>
      </c>
      <c r="R39" s="286" t="str">
        <f>IFERROR(__xludf.DUMMYFUNCTION("""COMPUTED_VALUE"""),"CTRY-DIGIT")</f>
        <v>CTRY-DIGIT</v>
      </c>
      <c r="S39" s="286" t="str">
        <f>IFERROR(__xludf.DUMMYFUNCTION("""COMPUTED_VALUE"""),"FILLER")</f>
        <v>FILLER</v>
      </c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286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286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286"/>
      <c r="BV39" s="286"/>
      <c r="BW39" s="286"/>
      <c r="BX39" s="286"/>
      <c r="BY39" s="286"/>
      <c r="BZ39" s="286"/>
      <c r="CA39" s="286"/>
      <c r="CB39" s="286"/>
      <c r="CC39" s="286"/>
      <c r="CD39" s="286"/>
      <c r="CE39" s="286"/>
      <c r="CF39" s="286"/>
      <c r="CG39" s="286"/>
      <c r="CH39" s="286"/>
      <c r="CI39" s="286"/>
      <c r="CJ39" s="286"/>
      <c r="CK39" s="286"/>
      <c r="CL39" s="286"/>
      <c r="CM39" s="286"/>
      <c r="CN39" s="286"/>
      <c r="CO39" s="286"/>
      <c r="CP39" s="286"/>
      <c r="CQ39" s="286"/>
      <c r="CR39" s="286"/>
      <c r="CS39" s="286"/>
      <c r="CT39" s="286"/>
      <c r="CU39" s="286"/>
      <c r="CV39" s="286"/>
      <c r="CW39" s="286"/>
      <c r="CX39" s="286"/>
      <c r="CY39" s="286"/>
      <c r="CZ39" s="286"/>
      <c r="DA39" s="286"/>
      <c r="DB39" s="286"/>
      <c r="DC39" s="286"/>
      <c r="DD39" s="286"/>
      <c r="DE39" s="286"/>
      <c r="DF39" s="286"/>
      <c r="DG39" s="286"/>
      <c r="DH39" s="286"/>
      <c r="DI39" s="286"/>
      <c r="DJ39" s="286"/>
      <c r="DK39" s="286"/>
      <c r="DL39" s="286"/>
      <c r="DM39" s="286"/>
      <c r="DN39" s="286"/>
      <c r="DO39" s="286"/>
      <c r="DP39" s="286"/>
      <c r="DQ39" s="286"/>
      <c r="DR39" s="286"/>
      <c r="DS39" s="286"/>
      <c r="DT39" s="286"/>
      <c r="DU39" s="286"/>
      <c r="DV39" s="286"/>
      <c r="DW39" s="286"/>
      <c r="DX39" s="286"/>
      <c r="DY39" s="286"/>
      <c r="DZ39" s="286"/>
      <c r="EA39" s="286"/>
      <c r="EB39" s="286"/>
      <c r="EC39" s="286"/>
      <c r="ED39" s="286"/>
      <c r="EE39" s="286"/>
      <c r="EF39" s="286"/>
      <c r="EG39" s="286"/>
      <c r="EH39" s="286"/>
      <c r="EI39" s="286"/>
      <c r="EJ39" s="286"/>
      <c r="EK39" s="286"/>
    </row>
    <row r="40">
      <c r="A40" s="286" t="str">
        <f>IFERROR(__xludf.DUMMYFUNCTION("""COMPUTED_VALUE"""),"GLACCTC")</f>
        <v>GLACCTC</v>
      </c>
      <c r="B40" s="286" t="str">
        <f>IFERROR(__xludf.DUMMYFUNCTION("""COMPUTED_VALUE"""),"GL-CNTRL-KEY")</f>
        <v>GL-CNTRL-KEY</v>
      </c>
      <c r="C40" s="286" t="str">
        <f>IFERROR(__xludf.DUMMYFUNCTION("""COMPUTED_VALUE"""),"RCRD-CNT")</f>
        <v>RCRD-CNT</v>
      </c>
      <c r="D40" s="286" t="str">
        <f>IFERROR(__xludf.DUMMYFUNCTION("""COMPUTED_VALUE"""),"DTE-LST-RGSTRCT")</f>
        <v>DTE-LST-RGSTRCT</v>
      </c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6"/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6"/>
      <c r="BF40" s="286"/>
      <c r="BG40" s="286"/>
      <c r="BH40" s="286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6"/>
      <c r="BU40" s="286"/>
      <c r="BV40" s="286"/>
      <c r="BW40" s="286"/>
      <c r="BX40" s="286"/>
      <c r="BY40" s="286"/>
      <c r="BZ40" s="286"/>
      <c r="CA40" s="286"/>
      <c r="CB40" s="286"/>
      <c r="CC40" s="286"/>
      <c r="CD40" s="286"/>
      <c r="CE40" s="286"/>
      <c r="CF40" s="286"/>
      <c r="CG40" s="286"/>
      <c r="CH40" s="286"/>
      <c r="CI40" s="286"/>
      <c r="CJ40" s="286"/>
      <c r="CK40" s="286"/>
      <c r="CL40" s="286"/>
      <c r="CM40" s="286"/>
      <c r="CN40" s="286"/>
      <c r="CO40" s="286"/>
      <c r="CP40" s="286"/>
      <c r="CQ40" s="286"/>
      <c r="CR40" s="286"/>
      <c r="CS40" s="286"/>
      <c r="CT40" s="286"/>
      <c r="CU40" s="286"/>
      <c r="CV40" s="286"/>
      <c r="CW40" s="286"/>
      <c r="CX40" s="286"/>
      <c r="CY40" s="286"/>
      <c r="CZ40" s="286"/>
      <c r="DA40" s="286"/>
      <c r="DB40" s="286"/>
      <c r="DC40" s="286"/>
      <c r="DD40" s="286"/>
      <c r="DE40" s="286"/>
      <c r="DF40" s="286"/>
      <c r="DG40" s="286"/>
      <c r="DH40" s="286"/>
      <c r="DI40" s="286"/>
      <c r="DJ40" s="286"/>
      <c r="DK40" s="286"/>
      <c r="DL40" s="286"/>
      <c r="DM40" s="286"/>
      <c r="DN40" s="286"/>
      <c r="DO40" s="286"/>
      <c r="DP40" s="286"/>
      <c r="DQ40" s="286"/>
      <c r="DR40" s="286"/>
      <c r="DS40" s="286"/>
      <c r="DT40" s="286"/>
      <c r="DU40" s="286"/>
      <c r="DV40" s="286"/>
      <c r="DW40" s="286"/>
      <c r="DX40" s="286"/>
      <c r="DY40" s="286"/>
      <c r="DZ40" s="286"/>
      <c r="EA40" s="286"/>
      <c r="EB40" s="286"/>
      <c r="EC40" s="286"/>
      <c r="ED40" s="286"/>
      <c r="EE40" s="286"/>
      <c r="EF40" s="286"/>
      <c r="EG40" s="286"/>
      <c r="EH40" s="286"/>
      <c r="EI40" s="286"/>
      <c r="EJ40" s="286"/>
      <c r="EK40" s="286"/>
    </row>
    <row r="41">
      <c r="A41" s="286" t="str">
        <f>IFERROR(__xludf.DUMMYFUNCTION("""COMPUTED_VALUE"""),"GLBLKC")</f>
        <v>GLBLKC</v>
      </c>
      <c r="B41" s="286" t="str">
        <f>IFERROR(__xludf.DUMMYFUNCTION("""COMPUTED_VALUE"""),"ENTY-BLK-NBR")</f>
        <v>ENTY-BLK-NBR</v>
      </c>
      <c r="C41" s="286" t="str">
        <f>IFERROR(__xludf.DUMMYFUNCTION("""COMPUTED_VALUE"""),"FY")</f>
        <v>FY</v>
      </c>
      <c r="D41" s="286" t="str">
        <f>IFERROR(__xludf.DUMMYFUNCTION("""COMPUTED_VALUE"""),"ENTY-CDE")</f>
        <v>ENTY-CDE</v>
      </c>
      <c r="E41" s="286" t="str">
        <f>IFERROR(__xludf.DUMMYFUNCTION("""COMPUTED_VALUE"""),"BLK-NBR-5")</f>
        <v>BLK-NBR-5</v>
      </c>
      <c r="F41" s="286" t="str">
        <f>IFERROR(__xludf.DUMMYFUNCTION("""COMPUTED_VALUE"""),"SBSDRY-ACCT-HASH-TTL")</f>
        <v>SBSDRY-ACCT-HASH-TTL</v>
      </c>
      <c r="G41" s="286" t="str">
        <f>IFERROR(__xludf.DUMMYFUNCTION("""COMPUTED_VALUE"""),"ACCT-NBRS-HASH-TTL")</f>
        <v>ACCT-NBRS-HASH-TTL</v>
      </c>
      <c r="H41" s="286" t="str">
        <f>IFERROR(__xludf.DUMMYFUNCTION("""COMPUTED_VALUE"""),"MINOR-CDE-HASH-TTL")</f>
        <v>MINOR-CDE-HASH-TTL</v>
      </c>
      <c r="I41" s="286" t="str">
        <f>IFERROR(__xludf.DUMMYFUNCTION("""COMPUTED_VALUE"""),"DR-AMT-INDIV-GL-ACCTS")</f>
        <v>DR-AMT-INDIV-GL-ACCTS</v>
      </c>
      <c r="J41" s="286" t="str">
        <f>IFERROR(__xludf.DUMMYFUNCTION("""COMPUTED_VALUE"""),"CR-AMT-INDIV-GL-ACCTS")</f>
        <v>CR-AMT-INDIV-GL-ACCTS</v>
      </c>
      <c r="K41" s="286" t="str">
        <f>IFERROR(__xludf.DUMMYFUNCTION("""COMPUTED_VALUE"""),"USER-INITS")</f>
        <v>USER-INITS</v>
      </c>
      <c r="L41" s="286" t="str">
        <f>IFERROR(__xludf.DUMMYFUNCTION("""COMPUTED_VALUE"""),"FILLER")</f>
        <v>FILLER</v>
      </c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286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286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286"/>
      <c r="BV41" s="286"/>
      <c r="BW41" s="286"/>
      <c r="BX41" s="286"/>
      <c r="BY41" s="286"/>
      <c r="BZ41" s="286"/>
      <c r="CA41" s="286"/>
      <c r="CB41" s="286"/>
      <c r="CC41" s="286"/>
      <c r="CD41" s="286"/>
      <c r="CE41" s="286"/>
      <c r="CF41" s="286"/>
      <c r="CG41" s="286"/>
      <c r="CH41" s="286"/>
      <c r="CI41" s="286"/>
      <c r="CJ41" s="286"/>
      <c r="CK41" s="286"/>
      <c r="CL41" s="286"/>
      <c r="CM41" s="286"/>
      <c r="CN41" s="286"/>
      <c r="CO41" s="286"/>
      <c r="CP41" s="286"/>
      <c r="CQ41" s="286"/>
      <c r="CR41" s="286"/>
      <c r="CS41" s="286"/>
      <c r="CT41" s="286"/>
      <c r="CU41" s="286"/>
      <c r="CV41" s="286"/>
      <c r="CW41" s="286"/>
      <c r="CX41" s="286"/>
      <c r="CY41" s="286"/>
      <c r="CZ41" s="286"/>
      <c r="DA41" s="286"/>
      <c r="DB41" s="286"/>
      <c r="DC41" s="286"/>
      <c r="DD41" s="286"/>
      <c r="DE41" s="286"/>
      <c r="DF41" s="286"/>
      <c r="DG41" s="286"/>
      <c r="DH41" s="286"/>
      <c r="DI41" s="286"/>
      <c r="DJ41" s="286"/>
      <c r="DK41" s="286"/>
      <c r="DL41" s="286"/>
      <c r="DM41" s="286"/>
      <c r="DN41" s="286"/>
      <c r="DO41" s="286"/>
      <c r="DP41" s="286"/>
      <c r="DQ41" s="286"/>
      <c r="DR41" s="286"/>
      <c r="DS41" s="286"/>
      <c r="DT41" s="286"/>
      <c r="DU41" s="286"/>
      <c r="DV41" s="286"/>
      <c r="DW41" s="286"/>
      <c r="DX41" s="286"/>
      <c r="DY41" s="286"/>
      <c r="DZ41" s="286"/>
      <c r="EA41" s="286"/>
      <c r="EB41" s="286"/>
      <c r="EC41" s="286"/>
      <c r="ED41" s="286"/>
      <c r="EE41" s="286"/>
      <c r="EF41" s="286"/>
      <c r="EG41" s="286"/>
      <c r="EH41" s="286"/>
      <c r="EI41" s="286"/>
      <c r="EJ41" s="286"/>
      <c r="EK41" s="286"/>
    </row>
    <row r="42">
      <c r="A42" s="286" t="str">
        <f>IFERROR(__xludf.DUMMYFUNCTION("""COMPUTED_VALUE"""),"GLBLKD")</f>
        <v>GLBLKD</v>
      </c>
      <c r="B42" s="286" t="str">
        <f>IFERROR(__xludf.DUMMYFUNCTION("""COMPUTED_VALUE"""),"ACCT-NBR")</f>
        <v>ACCT-NBR</v>
      </c>
      <c r="C42" s="286" t="str">
        <f>IFERROR(__xludf.DUMMYFUNCTION("""COMPUTED_VALUE"""),"MINOR-CDE")</f>
        <v>MINOR-CDE</v>
      </c>
      <c r="D42" s="286" t="str">
        <f>IFERROR(__xludf.DUMMYFUNCTION("""COMPUTED_VALUE"""),"FD-CDE")</f>
        <v>FD-CDE</v>
      </c>
      <c r="E42" s="286" t="str">
        <f>IFERROR(__xludf.DUMMYFUNCTION("""COMPUTED_VALUE"""),"FD-CDE-3")</f>
        <v>FD-CDE-3</v>
      </c>
      <c r="F42" s="286" t="str">
        <f>IFERROR(__xludf.DUMMYFUNCTION("""COMPUTED_VALUE"""),"FD-CDE-2")</f>
        <v>FD-CDE-2</v>
      </c>
      <c r="G42" s="286" t="str">
        <f>IFERROR(__xludf.DUMMYFUNCTION("""COMPUTED_VALUE"""),"FD-CDE-3RD")</f>
        <v>FD-CDE-3RD</v>
      </c>
      <c r="H42" s="286" t="str">
        <f>IFERROR(__xludf.DUMMYFUNCTION("""COMPUTED_VALUE"""),"FD-CDE-4TH")</f>
        <v>FD-CDE-4TH</v>
      </c>
      <c r="I42" s="286" t="str">
        <f>IFERROR(__xludf.DUMMYFUNCTION("""COMPUTED_VALUE"""),"TRNSCTN-CDE")</f>
        <v>TRNSCTN-CDE</v>
      </c>
      <c r="J42" s="286" t="str">
        <f>IFERROR(__xludf.DUMMYFUNCTION("""COMPUTED_VALUE"""),"DTE-END-OF-MO")</f>
        <v>DTE-END-OF-MO</v>
      </c>
      <c r="K42" s="286" t="str">
        <f>IFERROR(__xludf.DUMMYFUNCTION("""COMPUTED_VALUE"""),"PURP-CDE-1")</f>
        <v>PURP-CDE-1</v>
      </c>
      <c r="L42" s="286" t="str">
        <f>IFERROR(__xludf.DUMMYFUNCTION("""COMPUTED_VALUE"""),"DR-AMT-INDIV-GL-ACCTS")</f>
        <v>DR-AMT-INDIV-GL-ACCTS</v>
      </c>
      <c r="M42" s="286" t="str">
        <f>IFERROR(__xludf.DUMMYFUNCTION("""COMPUTED_VALUE"""),"CR-AMT-INDIV-GL-ACCTS")</f>
        <v>CR-AMT-INDIV-GL-ACCTS</v>
      </c>
      <c r="N42" s="286" t="str">
        <f>IFERROR(__xludf.DUMMYFUNCTION("""COMPUTED_VALUE"""),"MO-ACTV")</f>
        <v>MO-ACTV</v>
      </c>
      <c r="O42" s="286" t="str">
        <f>IFERROR(__xludf.DUMMYFUNCTION("""COMPUTED_VALUE"""),"RGSTR-TYP-CDE")</f>
        <v>RGSTR-TYP-CDE</v>
      </c>
      <c r="P42" s="286" t="str">
        <f>IFERROR(__xludf.DUMMYFUNCTION("""COMPUTED_VALUE"""),"TIME-STNDS-DATA")</f>
        <v>TIME-STNDS-DATA</v>
      </c>
      <c r="Q42" s="286" t="str">
        <f>IFERROR(__xludf.DUMMYFUNCTION("""COMPUTED_VALUE"""),"USER-INITS")</f>
        <v>USER-INITS</v>
      </c>
      <c r="R42" s="286" t="str">
        <f>IFERROR(__xludf.DUMMYFUNCTION("""COMPUTED_VALUE"""),"FILLER")</f>
        <v>FILLER</v>
      </c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286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286"/>
      <c r="BV42" s="286"/>
      <c r="BW42" s="286"/>
      <c r="BX42" s="286"/>
      <c r="BY42" s="286"/>
      <c r="BZ42" s="286"/>
      <c r="CA42" s="286"/>
      <c r="CB42" s="286"/>
      <c r="CC42" s="286"/>
      <c r="CD42" s="286"/>
      <c r="CE42" s="286"/>
      <c r="CF42" s="286"/>
      <c r="CG42" s="286"/>
      <c r="CH42" s="286"/>
      <c r="CI42" s="286"/>
      <c r="CJ42" s="286"/>
      <c r="CK42" s="286"/>
      <c r="CL42" s="286"/>
      <c r="CM42" s="286"/>
      <c r="CN42" s="286"/>
      <c r="CO42" s="286"/>
      <c r="CP42" s="286"/>
      <c r="CQ42" s="286"/>
      <c r="CR42" s="286"/>
      <c r="CS42" s="286"/>
      <c r="CT42" s="286"/>
      <c r="CU42" s="286"/>
      <c r="CV42" s="286"/>
      <c r="CW42" s="286"/>
      <c r="CX42" s="286"/>
      <c r="CY42" s="286"/>
      <c r="CZ42" s="286"/>
      <c r="DA42" s="286"/>
      <c r="DB42" s="286"/>
      <c r="DC42" s="286"/>
      <c r="DD42" s="286"/>
      <c r="DE42" s="286"/>
      <c r="DF42" s="286"/>
      <c r="DG42" s="286"/>
      <c r="DH42" s="286"/>
      <c r="DI42" s="286"/>
      <c r="DJ42" s="286"/>
      <c r="DK42" s="286"/>
      <c r="DL42" s="286"/>
      <c r="DM42" s="286"/>
      <c r="DN42" s="286"/>
      <c r="DO42" s="286"/>
      <c r="DP42" s="286"/>
      <c r="DQ42" s="286"/>
      <c r="DR42" s="286"/>
      <c r="DS42" s="286"/>
      <c r="DT42" s="286"/>
      <c r="DU42" s="286"/>
      <c r="DV42" s="286"/>
      <c r="DW42" s="286"/>
      <c r="DX42" s="286"/>
      <c r="DY42" s="286"/>
      <c r="DZ42" s="286"/>
      <c r="EA42" s="286"/>
      <c r="EB42" s="286"/>
      <c r="EC42" s="286"/>
      <c r="ED42" s="286"/>
      <c r="EE42" s="286"/>
      <c r="EF42" s="286"/>
      <c r="EG42" s="286"/>
      <c r="EH42" s="286"/>
      <c r="EI42" s="286"/>
      <c r="EJ42" s="286"/>
      <c r="EK42" s="286"/>
    </row>
    <row r="43">
      <c r="A43" s="286" t="str">
        <f>IFERROR(__xludf.DUMMYFUNCTION("""COMPUTED_VALUE"""),"GLOVA")</f>
        <v>GLOVA</v>
      </c>
      <c r="B43" s="286" t="str">
        <f>IFERROR(__xludf.DUMMYFUNCTION("""COMPUTED_VALUE"""),"GL-ACCTS-ENTRY-KEY-EXPND")</f>
        <v>GL-ACCTS-ENTRY-KEY-EXPND</v>
      </c>
      <c r="C43" s="286" t="str">
        <f>IFERROR(__xludf.DUMMYFUNCTION("""COMPUTED_VALUE"""),"FY")</f>
        <v>FY</v>
      </c>
      <c r="D43" s="286" t="str">
        <f>IFERROR(__xludf.DUMMYFUNCTION("""COMPUTED_VALUE"""),"APROPTN-CDE-EXPND")</f>
        <v>APROPTN-CDE-EXPND</v>
      </c>
      <c r="E43" s="286" t="str">
        <f>IFERROR(__xludf.DUMMYFUNCTION("""COMPUTED_VALUE"""),"PROG-PLANG-BDGTG-CDE")</f>
        <v>PROG-PLANG-BDGTG-CDE</v>
      </c>
      <c r="F43" s="286" t="str">
        <f>IFERROR(__xludf.DUMMYFUNCTION("""COMPUTED_VALUE"""),"PPB-CDE-1ST")</f>
        <v>PPB-CDE-1ST</v>
      </c>
      <c r="G43" s="286" t="str">
        <f>IFERROR(__xludf.DUMMYFUNCTION("""COMPUTED_VALUE"""),"PPB-CDE-2-3")</f>
        <v>PPB-CDE-2-3</v>
      </c>
      <c r="H43" s="286" t="str">
        <f>IFERROR(__xludf.DUMMYFUNCTION("""COMPUTED_VALUE"""),"MAJ-CLS-EXPND")</f>
        <v>MAJ-CLS-EXPND</v>
      </c>
      <c r="I43" s="286" t="str">
        <f>IFERROR(__xludf.DUMMYFUNCTION("""COMPUTED_VALUE"""),"OBLGN-EXPNTR-CDE")</f>
        <v>OBLGN-EXPNTR-CDE</v>
      </c>
      <c r="J43" s="286" t="str">
        <f>IFERROR(__xludf.DUMMYFUNCTION("""COMPUTED_VALUE"""),"SBMSN-CDE")</f>
        <v>SBMSN-CDE</v>
      </c>
      <c r="K43" s="286" t="str">
        <f>IFERROR(__xludf.DUMMYFUNCTION("""COMPUTED_VALUE"""),"PURP-CDE")</f>
        <v>PURP-CDE</v>
      </c>
      <c r="L43" s="286" t="str">
        <f>IFERROR(__xludf.DUMMYFUNCTION("""COMPUTED_VALUE"""),"TRNSCTN-CDE-UPDTE")</f>
        <v>TRNSCTN-CDE-UPDTE</v>
      </c>
      <c r="M43" s="286" t="str">
        <f>IFERROR(__xludf.DUMMYFUNCTION("""COMPUTED_VALUE"""),"GRP-OF-ALTMT-CDE")</f>
        <v>GRP-OF-ALTMT-CDE</v>
      </c>
      <c r="N43" s="286" t="str">
        <f>IFERROR(__xludf.DUMMYFUNCTION("""COMPUTED_VALUE"""),"ENTY-CDE")</f>
        <v>ENTY-CDE</v>
      </c>
      <c r="O43" s="286" t="str">
        <f>IFERROR(__xludf.DUMMYFUNCTION("""COMPUTED_VALUE"""),"OBLGN-ACCTS-DR-ODR")</f>
        <v>OBLGN-ACCTS-DR-ODR</v>
      </c>
      <c r="P43" s="286" t="str">
        <f>IFERROR(__xludf.DUMMYFUNCTION("""COMPUTED_VALUE"""),"ACCT-NBR-ODR")</f>
        <v>ACCT-NBR-ODR</v>
      </c>
      <c r="Q43" s="286" t="str">
        <f>IFERROR(__xludf.DUMMYFUNCTION("""COMPUTED_VALUE"""),"MINOR-CDE-ODR")</f>
        <v>MINOR-CDE-ODR</v>
      </c>
      <c r="R43" s="286" t="str">
        <f>IFERROR(__xludf.DUMMYFUNCTION("""COMPUTED_VALUE"""),"OBLGN-ACCTS-CR-OCR")</f>
        <v>OBLGN-ACCTS-CR-OCR</v>
      </c>
      <c r="S43" s="286" t="str">
        <f>IFERROR(__xludf.DUMMYFUNCTION("""COMPUTED_VALUE"""),"ACCT-NBR-OCR")</f>
        <v>ACCT-NBR-OCR</v>
      </c>
      <c r="T43" s="286" t="str">
        <f>IFERROR(__xludf.DUMMYFUNCTION("""COMPUTED_VALUE"""),"MINOR-CDE-OCR")</f>
        <v>MINOR-CDE-OCR</v>
      </c>
      <c r="U43" s="286" t="str">
        <f>IFERROR(__xludf.DUMMYFUNCTION("""COMPUTED_VALUE"""),"VOU-ACCTS-DR-VDR")</f>
        <v>VOU-ACCTS-DR-VDR</v>
      </c>
      <c r="V43" s="286" t="str">
        <f>IFERROR(__xludf.DUMMYFUNCTION("""COMPUTED_VALUE"""),"ACCT-NBR-VDR")</f>
        <v>ACCT-NBR-VDR</v>
      </c>
      <c r="W43" s="286" t="str">
        <f>IFERROR(__xludf.DUMMYFUNCTION("""COMPUTED_VALUE"""),"MINOR-CDE-VDR")</f>
        <v>MINOR-CDE-VDR</v>
      </c>
      <c r="X43" s="286" t="str">
        <f>IFERROR(__xludf.DUMMYFUNCTION("""COMPUTED_VALUE"""),"VOU-ACCTS-CR-VCR")</f>
        <v>VOU-ACCTS-CR-VCR</v>
      </c>
      <c r="Y43" s="286" t="str">
        <f>IFERROR(__xludf.DUMMYFUNCTION("""COMPUTED_VALUE"""),"ACCT-NBR-VCR")</f>
        <v>ACCT-NBR-VCR</v>
      </c>
      <c r="Z43" s="286" t="str">
        <f>IFERROR(__xludf.DUMMYFUNCTION("""COMPUTED_VALUE"""),"MINOR-CDE-VCR")</f>
        <v>MINOR-CDE-VCR</v>
      </c>
      <c r="AA43" s="286" t="str">
        <f>IFERROR(__xludf.DUMMYFUNCTION("""COMPUTED_VALUE"""),"ALTMT-ACCTS-DR-ADR")</f>
        <v>ALTMT-ACCTS-DR-ADR</v>
      </c>
      <c r="AB43" s="286" t="str">
        <f>IFERROR(__xludf.DUMMYFUNCTION("""COMPUTED_VALUE"""),"ACCT-NBR-ADR")</f>
        <v>ACCT-NBR-ADR</v>
      </c>
      <c r="AC43" s="286" t="str">
        <f>IFERROR(__xludf.DUMMYFUNCTION("""COMPUTED_VALUE"""),"MINOR-CDE-ADR")</f>
        <v>MINOR-CDE-ADR</v>
      </c>
      <c r="AD43" s="286" t="str">
        <f>IFERROR(__xludf.DUMMYFUNCTION("""COMPUTED_VALUE"""),"ALTMT-ACCTS-CR-ACR")</f>
        <v>ALTMT-ACCTS-CR-ACR</v>
      </c>
      <c r="AE43" s="286" t="str">
        <f>IFERROR(__xludf.DUMMYFUNCTION("""COMPUTED_VALUE"""),"ACCT-NBR-ACR")</f>
        <v>ACCT-NBR-ACR</v>
      </c>
      <c r="AF43" s="286" t="str">
        <f>IFERROR(__xludf.DUMMYFUNCTION("""COMPUTED_VALUE"""),"MINOR-CDE-ACR")</f>
        <v>MINOR-CDE-ACR</v>
      </c>
      <c r="AG43" s="286" t="str">
        <f>IFERROR(__xludf.DUMMYFUNCTION("""COMPUTED_VALUE"""),"DTE-LST-UPDTE")</f>
        <v>DTE-LST-UPDTE</v>
      </c>
      <c r="AH43" s="286" t="str">
        <f>IFERROR(__xludf.DUMMYFUNCTION("""COMPUTED_VALUE"""),"USER-ID")</f>
        <v>USER-ID</v>
      </c>
      <c r="AI43" s="286" t="str">
        <f>IFERROR(__xludf.DUMMYFUNCTION("""COMPUTED_VALUE"""),"AUTHY-CDE-TRML-OPRTR")</f>
        <v>AUTHY-CDE-TRML-OPRTR</v>
      </c>
      <c r="AJ43" s="286" t="str">
        <f>IFERROR(__xludf.DUMMYFUNCTION("""COMPUTED_VALUE"""),"PRFCY-LVL-TRML-OPRTR")</f>
        <v>PRFCY-LVL-TRML-OPRTR</v>
      </c>
      <c r="AK43" s="286" t="str">
        <f>IFERROR(__xludf.DUMMYFUNCTION("""COMPUTED_VALUE"""),"NO-UP-AUTHTY-CDE")</f>
        <v>NO-UP-AUTHTY-CDE</v>
      </c>
      <c r="AL43" s="286" t="str">
        <f>IFERROR(__xludf.DUMMYFUNCTION("""COMPUTED_VALUE"""),"UP-AUTHTY-CDE")</f>
        <v>UP-AUTHTY-CDE</v>
      </c>
      <c r="AM43" s="286" t="str">
        <f>IFERROR(__xludf.DUMMYFUNCTION("""COMPUTED_VALUE"""),"FILLER")</f>
        <v>FILLER</v>
      </c>
      <c r="AN43" s="286" t="str">
        <f>IFERROR(__xludf.DUMMYFUNCTION("""COMPUTED_VALUE"""),"ID-TRML-OPRTR")</f>
        <v>ID-TRML-OPRTR</v>
      </c>
      <c r="AO43" s="286" t="str">
        <f>IFERROR(__xludf.DUMMYFUNCTION("""COMPUTED_VALUE"""),"FILLER")</f>
        <v>FILLER</v>
      </c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286"/>
      <c r="BV43" s="286"/>
      <c r="BW43" s="286"/>
      <c r="BX43" s="286"/>
      <c r="BY43" s="286"/>
      <c r="BZ43" s="286"/>
      <c r="CA43" s="286"/>
      <c r="CB43" s="286"/>
      <c r="CC43" s="286"/>
      <c r="CD43" s="286"/>
      <c r="CE43" s="286"/>
      <c r="CF43" s="286"/>
      <c r="CG43" s="286"/>
      <c r="CH43" s="286"/>
      <c r="CI43" s="286"/>
      <c r="CJ43" s="286"/>
      <c r="CK43" s="286"/>
      <c r="CL43" s="286"/>
      <c r="CM43" s="286"/>
      <c r="CN43" s="286"/>
      <c r="CO43" s="286"/>
      <c r="CP43" s="286"/>
      <c r="CQ43" s="286"/>
      <c r="CR43" s="286"/>
      <c r="CS43" s="286"/>
      <c r="CT43" s="286"/>
      <c r="CU43" s="286"/>
      <c r="CV43" s="286"/>
      <c r="CW43" s="286"/>
      <c r="CX43" s="286"/>
      <c r="CY43" s="286"/>
      <c r="CZ43" s="286"/>
      <c r="DA43" s="286"/>
      <c r="DB43" s="286"/>
      <c r="DC43" s="286"/>
      <c r="DD43" s="286"/>
      <c r="DE43" s="286"/>
      <c r="DF43" s="286"/>
      <c r="DG43" s="286"/>
      <c r="DH43" s="286"/>
      <c r="DI43" s="286"/>
      <c r="DJ43" s="286"/>
      <c r="DK43" s="286"/>
      <c r="DL43" s="286"/>
      <c r="DM43" s="286"/>
      <c r="DN43" s="286"/>
      <c r="DO43" s="286"/>
      <c r="DP43" s="286"/>
      <c r="DQ43" s="286"/>
      <c r="DR43" s="286"/>
      <c r="DS43" s="286"/>
      <c r="DT43" s="286"/>
      <c r="DU43" s="286"/>
      <c r="DV43" s="286"/>
      <c r="DW43" s="286"/>
      <c r="DX43" s="286"/>
      <c r="DY43" s="286"/>
      <c r="DZ43" s="286"/>
      <c r="EA43" s="286"/>
      <c r="EB43" s="286"/>
      <c r="EC43" s="286"/>
      <c r="ED43" s="286"/>
      <c r="EE43" s="286"/>
      <c r="EF43" s="286"/>
      <c r="EG43" s="286"/>
      <c r="EH43" s="286"/>
      <c r="EI43" s="286"/>
      <c r="EJ43" s="286"/>
      <c r="EK43" s="286"/>
    </row>
    <row r="44">
      <c r="A44" s="286" t="str">
        <f>IFERROR(__xludf.DUMMYFUNCTION("""COMPUTED_VALUE"""),"SYMBOL")</f>
        <v>SYMBOL</v>
      </c>
      <c r="B44" s="286" t="str">
        <f>IFERROR(__xludf.DUMMYFUNCTION("""COMPUTED_VALUE"""),"TRSRY-SYM")</f>
        <v>TRSRY-SYM</v>
      </c>
      <c r="C44" s="286" t="str">
        <f>IFERROR(__xludf.DUMMYFUNCTION("""COMPUTED_VALUE"""),"ACCT-MO")</f>
        <v>ACCT-MO</v>
      </c>
      <c r="D44" s="286" t="str">
        <f>IFERROR(__xludf.DUMMYFUNCTION("""COMPUTED_VALUE"""),"DEPT-NBR")</f>
        <v>DEPT-NBR</v>
      </c>
      <c r="E44" s="286" t="str">
        <f>IFERROR(__xludf.DUMMYFUNCTION("""COMPUTED_VALUE"""),"SRVC-AGCY")</f>
        <v>SRVC-AGCY</v>
      </c>
      <c r="F44" s="286" t="str">
        <f>IFERROR(__xludf.DUMMYFUNCTION("""COMPUTED_VALUE"""),"AGCY")</f>
        <v>AGCY</v>
      </c>
      <c r="G44" s="286" t="str">
        <f>IFERROR(__xludf.DUMMYFUNCTION("""COMPUTED_VALUE"""),"ACCT-STATN")</f>
        <v>ACCT-STATN</v>
      </c>
      <c r="H44" s="286" t="str">
        <f>IFERROR(__xludf.DUMMYFUNCTION("""COMPUTED_VALUE"""),"FD-CDE")</f>
        <v>FD-CDE</v>
      </c>
      <c r="I44" s="286" t="str">
        <f>IFERROR(__xludf.DUMMYFUNCTION("""COMPUTED_VALUE"""),"FD-CDE-3")</f>
        <v>FD-CDE-3</v>
      </c>
      <c r="J44" s="286" t="str">
        <f>IFERROR(__xludf.DUMMYFUNCTION("""COMPUTED_VALUE"""),"FD-CDE-2")</f>
        <v>FD-CDE-2</v>
      </c>
      <c r="K44" s="286" t="str">
        <f>IFERROR(__xludf.DUMMYFUNCTION("""COMPUTED_VALUE"""),"FD-CDE-3RD")</f>
        <v>FD-CDE-3RD</v>
      </c>
      <c r="L44" s="286" t="str">
        <f>IFERROR(__xludf.DUMMYFUNCTION("""COMPUTED_VALUE"""),"FD-CDE-4TH")</f>
        <v>FD-CDE-4TH</v>
      </c>
      <c r="M44" s="286" t="str">
        <f>IFERROR(__xludf.DUMMYFUNCTION("""COMPUTED_VALUE"""),"TRNSMT")</f>
        <v>TRNSMT</v>
      </c>
      <c r="N44" s="286" t="str">
        <f>IFERROR(__xludf.DUMMYFUNCTION("""COMPUTED_VALUE"""),"TRNSMT-DTE")</f>
        <v>TRNSMT-DTE</v>
      </c>
      <c r="O44" s="286" t="str">
        <f>IFERROR(__xludf.DUMMYFUNCTION("""COMPUTED_VALUE"""),"FILLER")</f>
        <v>FILLER</v>
      </c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286"/>
      <c r="AI44" s="286"/>
      <c r="AJ44" s="286"/>
      <c r="AK44" s="286"/>
      <c r="AL44" s="286"/>
      <c r="AM44" s="286"/>
      <c r="AN44" s="286"/>
      <c r="AO44" s="286"/>
      <c r="AP44" s="286"/>
      <c r="AQ44" s="286"/>
      <c r="AR44" s="286"/>
      <c r="AS44" s="286"/>
      <c r="AT44" s="286"/>
      <c r="AU44" s="286"/>
      <c r="AV44" s="286"/>
      <c r="AW44" s="286"/>
      <c r="AX44" s="286"/>
      <c r="AY44" s="286"/>
      <c r="AZ44" s="286"/>
      <c r="BA44" s="286"/>
      <c r="BB44" s="286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6"/>
      <c r="BS44" s="286"/>
      <c r="BT44" s="286"/>
      <c r="BU44" s="286"/>
      <c r="BV44" s="286"/>
      <c r="BW44" s="286"/>
      <c r="BX44" s="286"/>
      <c r="BY44" s="286"/>
      <c r="BZ44" s="286"/>
      <c r="CA44" s="286"/>
      <c r="CB44" s="286"/>
      <c r="CC44" s="286"/>
      <c r="CD44" s="286"/>
      <c r="CE44" s="286"/>
      <c r="CF44" s="286"/>
      <c r="CG44" s="286"/>
      <c r="CH44" s="286"/>
      <c r="CI44" s="286"/>
      <c r="CJ44" s="286"/>
      <c r="CK44" s="286"/>
      <c r="CL44" s="286"/>
      <c r="CM44" s="286"/>
      <c r="CN44" s="286"/>
      <c r="CO44" s="286"/>
      <c r="CP44" s="286"/>
      <c r="CQ44" s="286"/>
      <c r="CR44" s="286"/>
      <c r="CS44" s="286"/>
      <c r="CT44" s="286"/>
      <c r="CU44" s="286"/>
      <c r="CV44" s="286"/>
      <c r="CW44" s="286"/>
      <c r="CX44" s="286"/>
      <c r="CY44" s="286"/>
      <c r="CZ44" s="286"/>
      <c r="DA44" s="286"/>
      <c r="DB44" s="286"/>
      <c r="DC44" s="286"/>
      <c r="DD44" s="286"/>
      <c r="DE44" s="286"/>
      <c r="DF44" s="286"/>
      <c r="DG44" s="286"/>
      <c r="DH44" s="286"/>
      <c r="DI44" s="286"/>
      <c r="DJ44" s="286"/>
      <c r="DK44" s="286"/>
      <c r="DL44" s="286"/>
      <c r="DM44" s="286"/>
      <c r="DN44" s="286"/>
      <c r="DO44" s="286"/>
      <c r="DP44" s="286"/>
      <c r="DQ44" s="286"/>
      <c r="DR44" s="286"/>
      <c r="DS44" s="286"/>
      <c r="DT44" s="286"/>
      <c r="DU44" s="286"/>
      <c r="DV44" s="286"/>
      <c r="DW44" s="286"/>
      <c r="DX44" s="286"/>
      <c r="DY44" s="286"/>
      <c r="DZ44" s="286"/>
      <c r="EA44" s="286"/>
      <c r="EB44" s="286"/>
      <c r="EC44" s="286"/>
      <c r="ED44" s="286"/>
      <c r="EE44" s="286"/>
      <c r="EF44" s="286"/>
      <c r="EG44" s="286"/>
      <c r="EH44" s="286"/>
      <c r="EI44" s="286"/>
      <c r="EJ44" s="286"/>
      <c r="EK44" s="286"/>
    </row>
    <row r="45">
      <c r="A45" s="286" t="str">
        <f>IFERROR(__xludf.DUMMYFUNCTION("""COMPUTED_VALUE"""),"USGLACT")</f>
        <v>USGLACT</v>
      </c>
      <c r="B45" s="286" t="str">
        <f>IFERROR(__xludf.DUMMYFUNCTION("""COMPUTED_VALUE"""),"USGL-ACCTS-ENTRY-KEY")</f>
        <v>USGL-ACCTS-ENTRY-KEY</v>
      </c>
      <c r="C45" s="286" t="str">
        <f>IFERROR(__xludf.DUMMYFUNCTION("""COMPUTED_VALUE"""),"ACCT-NBRGL")</f>
        <v>ACCT-NBRGL</v>
      </c>
      <c r="D45" s="286" t="str">
        <f>IFERROR(__xludf.DUMMYFUNCTION("""COMPUTED_VALUE"""),"ACCT-NBR-SUB")</f>
        <v>ACCT-NBR-SUB</v>
      </c>
      <c r="E45" s="286" t="str">
        <f>IFERROR(__xludf.DUMMYFUNCTION("""COMPUTED_VALUE"""),"ACCT-NBRDA")</f>
        <v>ACCT-NBRDA</v>
      </c>
      <c r="F45" s="286" t="str">
        <f>IFERROR(__xludf.DUMMYFUNCTION("""COMPUTED_VALUE"""),"ACCT-TITLE")</f>
        <v>ACCT-TITLE</v>
      </c>
      <c r="G45" s="286" t="str">
        <f>IFERROR(__xludf.DUMMYFUNCTION("""COMPUTED_VALUE"""),"BAL-CDE")</f>
        <v>BAL-CDE</v>
      </c>
      <c r="H45" s="286" t="str">
        <f>IFERROR(__xludf.DUMMYFUNCTION("""COMPUTED_VALUE"""),"LINE-NBR-CDE")</f>
        <v>LINE-NBR-CDE</v>
      </c>
      <c r="I45" s="286" t="str">
        <f>IFERROR(__xludf.DUMMYFUNCTION("""COMPUTED_VALUE"""),"PRFX-LINE-NBR")</f>
        <v>PRFX-LINE-NBR</v>
      </c>
      <c r="J45" s="286" t="str">
        <f>IFERROR(__xludf.DUMMYFUNCTION("""COMPUTED_VALUE"""),"SFX-LINE-NBR")</f>
        <v>SFX-LINE-NBR</v>
      </c>
      <c r="K45" s="286" t="str">
        <f>IFERROR(__xludf.DUMMYFUNCTION("""COMPUTED_VALUE"""),"SUB-SFX-LINE-NBR")</f>
        <v>SUB-SFX-LINE-NBR</v>
      </c>
      <c r="L45" s="286" t="str">
        <f>IFERROR(__xludf.DUMMYFUNCTION("""COMPUTED_VALUE"""),"DTE-LST-RGSTR-ACCT")</f>
        <v>DTE-LST-RGSTR-ACCT</v>
      </c>
      <c r="M45" s="286" t="str">
        <f>IFERROR(__xludf.DUMMYFUNCTION("""COMPUTED_VALUE"""),"FILLER")</f>
        <v>FILLER</v>
      </c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6"/>
      <c r="AI45" s="286"/>
      <c r="AJ45" s="286"/>
      <c r="AK45" s="286"/>
      <c r="AL45" s="286"/>
      <c r="AM45" s="286"/>
      <c r="AN45" s="286"/>
      <c r="AO45" s="286"/>
      <c r="AP45" s="286"/>
      <c r="AQ45" s="286"/>
      <c r="AR45" s="286"/>
      <c r="AS45" s="286"/>
      <c r="AT45" s="286"/>
      <c r="AU45" s="286"/>
      <c r="AV45" s="286"/>
      <c r="AW45" s="286"/>
      <c r="AX45" s="286"/>
      <c r="AY45" s="286"/>
      <c r="AZ45" s="286"/>
      <c r="BA45" s="286"/>
      <c r="BB45" s="286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6"/>
      <c r="BS45" s="286"/>
      <c r="BT45" s="286"/>
      <c r="BU45" s="286"/>
      <c r="BV45" s="286"/>
      <c r="BW45" s="286"/>
      <c r="BX45" s="286"/>
      <c r="BY45" s="286"/>
      <c r="BZ45" s="286"/>
      <c r="CA45" s="286"/>
      <c r="CB45" s="286"/>
      <c r="CC45" s="286"/>
      <c r="CD45" s="286"/>
      <c r="CE45" s="286"/>
      <c r="CF45" s="286"/>
      <c r="CG45" s="286"/>
      <c r="CH45" s="286"/>
      <c r="CI45" s="286"/>
      <c r="CJ45" s="286"/>
      <c r="CK45" s="286"/>
      <c r="CL45" s="286"/>
      <c r="CM45" s="286"/>
      <c r="CN45" s="286"/>
      <c r="CO45" s="286"/>
      <c r="CP45" s="286"/>
      <c r="CQ45" s="286"/>
      <c r="CR45" s="286"/>
      <c r="CS45" s="286"/>
      <c r="CT45" s="286"/>
      <c r="CU45" s="286"/>
      <c r="CV45" s="286"/>
      <c r="CW45" s="286"/>
      <c r="CX45" s="286"/>
      <c r="CY45" s="286"/>
      <c r="CZ45" s="286"/>
      <c r="DA45" s="286"/>
      <c r="DB45" s="286"/>
      <c r="DC45" s="286"/>
      <c r="DD45" s="286"/>
      <c r="DE45" s="286"/>
      <c r="DF45" s="286"/>
      <c r="DG45" s="286"/>
      <c r="DH45" s="286"/>
      <c r="DI45" s="286"/>
      <c r="DJ45" s="286"/>
      <c r="DK45" s="286"/>
      <c r="DL45" s="286"/>
      <c r="DM45" s="286"/>
      <c r="DN45" s="286"/>
      <c r="DO45" s="286"/>
      <c r="DP45" s="286"/>
      <c r="DQ45" s="286"/>
      <c r="DR45" s="286"/>
      <c r="DS45" s="286"/>
      <c r="DT45" s="286"/>
      <c r="DU45" s="286"/>
      <c r="DV45" s="286"/>
      <c r="DW45" s="286"/>
      <c r="DX45" s="286"/>
      <c r="DY45" s="286"/>
      <c r="DZ45" s="286"/>
      <c r="EA45" s="286"/>
      <c r="EB45" s="286"/>
      <c r="EC45" s="286"/>
      <c r="ED45" s="286"/>
      <c r="EE45" s="286"/>
      <c r="EF45" s="286"/>
      <c r="EG45" s="286"/>
      <c r="EH45" s="286"/>
      <c r="EI45" s="286"/>
      <c r="EJ45" s="286"/>
      <c r="EK45" s="286"/>
    </row>
    <row r="46">
      <c r="A46" s="54" t="str">
        <f>IFERROR(__xludf.DUMMYFUNCTION("""COMPUTED_VALUE"""),"LN-NBR")</f>
        <v>LN-NBR</v>
      </c>
      <c r="B46" s="54" t="str">
        <f>IFERROR(__xludf.DUMMYFUNCTION("""COMPUTED_VALUE"""),"FD-CDE-2")</f>
        <v>FD-CDE-2</v>
      </c>
      <c r="C46" s="286" t="str">
        <f>IFERROR(__xludf.DUMMYFUNCTION("""COMPUTED_VALUE"""),"FD-CDE-3RD")</f>
        <v>FD-CDE-3RD</v>
      </c>
      <c r="D46" s="286" t="str">
        <f>IFERROR(__xludf.DUMMYFUNCTION("""COMPUTED_VALUE"""),"FD-CDE-4TH")</f>
        <v>FD-CDE-4TH</v>
      </c>
      <c r="E46" s="286" t="str">
        <f>IFERROR(__xludf.DUMMYFUNCTION("""COMPUTED_VALUE"""),"KIND-CDE-LN")</f>
        <v>KIND-CDE-LN</v>
      </c>
      <c r="F46" s="286" t="str">
        <f>IFERROR(__xludf.DUMMYFUNCTION("""COMPUTED_VALUE"""),"INT-RATE-NOTE")</f>
        <v>INT-RATE-NOTE</v>
      </c>
      <c r="G46" s="55" t="str">
        <f>IFERROR(__xludf.DUMMYFUNCTION("""COMPUTED_VALUE"""),"INT-RATE-NOTE-1ST")</f>
        <v>INT-RATE-NOTE-1ST</v>
      </c>
      <c r="H46" s="286" t="str">
        <f>IFERROR(__xludf.DUMMYFUNCTION("""COMPUTED_VALUE"""),"PYMT-TYP-CDE")</f>
        <v>PYMT-TYP-CDE</v>
      </c>
      <c r="I46" s="286" t="str">
        <f>IFERROR(__xludf.DUMMYFUNCTION("""COMPUTED_VALUE"""),"DIR-PYMT-CDE")</f>
        <v>DIR-PYMT-CDE</v>
      </c>
      <c r="J46" s="286" t="str">
        <f>IFERROR(__xludf.DUMMYFUNCTION("""COMPUTED_VALUE"""),"DTE-AMORTN-EFCTV")</f>
        <v>DTE-AMORTN-EFCTV</v>
      </c>
      <c r="K46" s="286" t="str">
        <f>IFERROR(__xludf.DUMMYFUNCTION("""COMPUTED_VALUE"""),"DSTR-TYP-CDE")</f>
        <v>DSTR-TYP-CDE</v>
      </c>
      <c r="L46" s="286" t="str">
        <f>IFERROR(__xludf.DUMMYFUNCTION("""COMPUTED_VALUE"""),"FY-DSTR-DCLRD")</f>
        <v>FY-DSTR-DCLRD</v>
      </c>
      <c r="M46" s="286" t="str">
        <f>IFERROR(__xludf.DUMMYFUNCTION("""COMPUTED_VALUE"""),"DSTR-DCLRD-NBR")</f>
        <v>DSTR-DCLRD-NBR</v>
      </c>
      <c r="N46" s="286" t="str">
        <f>IFERROR(__xludf.DUMMYFUNCTION("""COMPUTED_VALUE"""),"MRG-CNTRL")</f>
        <v>MRG-CNTRL</v>
      </c>
      <c r="O46" s="286" t="str">
        <f>IFERROR(__xludf.DUMMYFUNCTION("""COMPUTED_VALUE"""),"DOCMT-TYP-CDE")</f>
        <v>DOCMT-TYP-CDE</v>
      </c>
      <c r="P46" s="286" t="str">
        <f>IFERROR(__xludf.DUMMYFUNCTION("""COMPUTED_VALUE"""),"DTE-OBLGN-LN")</f>
        <v>DTE-OBLGN-LN</v>
      </c>
      <c r="Q46" s="286" t="str">
        <f>IFERROR(__xludf.DUMMYFUNCTION("""COMPUTED_VALUE"""),"ASSTNC-TYP-CDE")</f>
        <v>ASSTNC-TYP-CDE</v>
      </c>
      <c r="R46" s="286" t="str">
        <f>IFERROR(__xludf.DUMMYFUNCTION("""COMPUTED_VALUE"""),"LN-AMT-OBLGN")</f>
        <v>LN-AMT-OBLGN</v>
      </c>
      <c r="S46" s="286" t="str">
        <f>IFERROR(__xludf.DUMMYFUNCTION("""COMPUTED_VALUE"""),"BEGNG-FRMR-RNCHR-CDE")</f>
        <v>BEGNG-FRMR-RNCHR-CDE</v>
      </c>
      <c r="T46" s="286" t="str">
        <f>IFERROR(__xludf.DUMMYFUNCTION("""COMPUTED_VALUE"""),"COLLTL-CDE")</f>
        <v>COLLTL-CDE</v>
      </c>
      <c r="U46" s="56" t="str">
        <f>IFERROR(__xludf.DUMMYFUNCTION("""COMPUTED_VALUE"""),"CPN-PROCG-DTE")</f>
        <v>CPN-PROCG-DTE</v>
      </c>
      <c r="V46" s="286" t="str">
        <f>IFERROR(__xludf.DUMMYFUNCTION("""COMPUTED_VALUE"""),"CASE-NBR-CHNG-CDE")</f>
        <v>CASE-NBR-CHNG-CDE</v>
      </c>
      <c r="W46" s="286" t="str">
        <f>IFERROR(__xludf.DUMMYFUNCTION("""COMPUTED_VALUE"""),"PYMT-ASSTNC-METH-CDE")</f>
        <v>PYMT-ASSTNC-METH-CDE</v>
      </c>
      <c r="X46" s="286" t="str">
        <f>IFERROR(__xludf.DUMMYFUNCTION("""COMPUTED_VALUE"""),"INT-RATE-PREV")</f>
        <v>INT-RATE-PREV</v>
      </c>
      <c r="Y46" s="286" t="str">
        <f>IFERROR(__xludf.DUMMYFUNCTION("""COMPUTED_VALUE"""),"INT-RATE-PREV-REDFND")</f>
        <v>INT-RATE-PREV-REDFND</v>
      </c>
      <c r="Z46" s="286" t="str">
        <f>IFERROR(__xludf.DUMMYFUNCTION("""COMPUTED_VALUE"""),"FILLER")</f>
        <v>FILLER</v>
      </c>
      <c r="AA46" s="286"/>
      <c r="AB46" s="286"/>
      <c r="AC46" s="286"/>
      <c r="AD46" s="286"/>
      <c r="AE46" s="286"/>
      <c r="AF46" s="286"/>
      <c r="AG46" s="286"/>
      <c r="AH46" s="286"/>
      <c r="AI46" s="286"/>
      <c r="AJ46" s="286"/>
      <c r="AK46" s="286"/>
      <c r="AL46" s="286"/>
      <c r="AM46" s="286"/>
      <c r="AN46" s="286"/>
      <c r="AO46" s="286"/>
      <c r="AP46" s="286"/>
      <c r="AQ46" s="286"/>
      <c r="AR46" s="286"/>
      <c r="AS46" s="286"/>
      <c r="AT46" s="286"/>
      <c r="AU46" s="286"/>
      <c r="AV46" s="286"/>
      <c r="AW46" s="286"/>
      <c r="AX46" s="286"/>
      <c r="AY46" s="286"/>
      <c r="AZ46" s="286"/>
      <c r="BA46" s="286"/>
      <c r="BB46" s="286"/>
      <c r="BC46" s="286"/>
      <c r="BD46" s="286"/>
      <c r="BE46" s="286"/>
      <c r="BF46" s="286"/>
      <c r="BG46" s="286"/>
      <c r="BH46" s="286"/>
      <c r="BI46" s="286"/>
      <c r="BJ46" s="286"/>
      <c r="BK46" s="286"/>
      <c r="BL46" s="286"/>
      <c r="BM46" s="286"/>
      <c r="BN46" s="286"/>
      <c r="BO46" s="286"/>
      <c r="BP46" s="286"/>
      <c r="BQ46" s="286"/>
      <c r="BR46" s="286"/>
      <c r="BS46" s="286"/>
      <c r="BT46" s="286"/>
      <c r="BU46" s="286"/>
      <c r="BV46" s="286"/>
      <c r="BW46" s="286"/>
      <c r="BX46" s="286"/>
      <c r="BY46" s="286"/>
      <c r="BZ46" s="286"/>
      <c r="CA46" s="286"/>
      <c r="CB46" s="286"/>
      <c r="CC46" s="286"/>
      <c r="CD46" s="286"/>
      <c r="CE46" s="286"/>
      <c r="CF46" s="286"/>
      <c r="CG46" s="286"/>
      <c r="CH46" s="286"/>
      <c r="CI46" s="286"/>
      <c r="CJ46" s="286"/>
      <c r="CK46" s="286"/>
      <c r="CL46" s="286"/>
      <c r="CM46" s="286"/>
      <c r="CN46" s="286"/>
      <c r="CO46" s="286"/>
      <c r="CP46" s="286"/>
      <c r="CQ46" s="286"/>
      <c r="CR46" s="286"/>
      <c r="CS46" s="286"/>
      <c r="CT46" s="286"/>
      <c r="CU46" s="286"/>
      <c r="CV46" s="286"/>
      <c r="CW46" s="286"/>
      <c r="CX46" s="286"/>
      <c r="CY46" s="286"/>
      <c r="CZ46" s="286"/>
      <c r="DA46" s="286"/>
      <c r="DB46" s="286"/>
      <c r="DC46" s="286"/>
      <c r="DD46" s="286"/>
      <c r="DE46" s="286"/>
      <c r="DF46" s="286"/>
      <c r="DG46" s="286"/>
      <c r="DH46" s="286"/>
      <c r="DI46" s="286"/>
      <c r="DJ46" s="286"/>
      <c r="DK46" s="286"/>
      <c r="DL46" s="286"/>
      <c r="DM46" s="286"/>
      <c r="DN46" s="286"/>
      <c r="DO46" s="286"/>
      <c r="DP46" s="286"/>
      <c r="DQ46" s="286"/>
      <c r="DR46" s="286"/>
      <c r="DS46" s="286"/>
      <c r="DT46" s="286"/>
      <c r="DU46" s="286"/>
      <c r="DV46" s="286"/>
      <c r="DW46" s="286"/>
      <c r="DX46" s="286"/>
      <c r="DY46" s="286"/>
      <c r="DZ46" s="286"/>
      <c r="EA46" s="286"/>
      <c r="EB46" s="286"/>
      <c r="EC46" s="286"/>
      <c r="ED46" s="286"/>
      <c r="EE46" s="286"/>
      <c r="EF46" s="286"/>
      <c r="EG46" s="286"/>
      <c r="EH46" s="286"/>
      <c r="EI46" s="286"/>
      <c r="EJ46" s="286"/>
      <c r="EK46" s="286"/>
    </row>
    <row r="47">
      <c r="A47" s="286" t="str">
        <f>IFERROR(__xludf.DUMMYFUNCTION("""COMPUTED_VALUE"""),"ACCT")</f>
        <v>ACCT</v>
      </c>
      <c r="B47" s="286" t="str">
        <f>IFERROR(__xludf.DUMMYFUNCTION("""COMPUTED_VALUE"""),"SUB-ACCT")</f>
        <v>SUB-ACCT</v>
      </c>
      <c r="C47" s="54" t="str">
        <f>IFERROR(__xludf.DUMMYFUNCTION("""COMPUTED_VALUE"""),"OBJ-CLS")</f>
        <v>OBJ-CLS</v>
      </c>
      <c r="D47" s="286" t="str">
        <f>IFERROR(__xludf.DUMMYFUNCTION("""COMPUTED_VALUE"""),"AMT")</f>
        <v>AMT</v>
      </c>
      <c r="E47" s="286" t="str">
        <f>IFERROR(__xludf.DUMMYFUNCTION("""COMPUTED_VALUE"""),"DR-CR")</f>
        <v>DR-CR</v>
      </c>
      <c r="F47" s="286" t="str">
        <f>IFERROR(__xludf.DUMMYFUNCTION("""COMPUTED_VALUE"""),"FILLER")</f>
        <v>FILLER</v>
      </c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286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286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286"/>
      <c r="BV47" s="286"/>
      <c r="BW47" s="286"/>
      <c r="BX47" s="286"/>
      <c r="BY47" s="286"/>
      <c r="BZ47" s="286"/>
      <c r="CA47" s="286"/>
      <c r="CB47" s="286"/>
      <c r="CC47" s="286"/>
      <c r="CD47" s="286"/>
      <c r="CE47" s="286"/>
      <c r="CF47" s="286"/>
      <c r="CG47" s="286"/>
      <c r="CH47" s="286"/>
      <c r="CI47" s="286"/>
      <c r="CJ47" s="286"/>
      <c r="CK47" s="286"/>
      <c r="CL47" s="286"/>
      <c r="CM47" s="286"/>
      <c r="CN47" s="286"/>
      <c r="CO47" s="286"/>
      <c r="CP47" s="286"/>
      <c r="CQ47" s="286"/>
      <c r="CR47" s="286"/>
      <c r="CS47" s="286"/>
      <c r="CT47" s="286"/>
      <c r="CU47" s="286"/>
      <c r="CV47" s="286"/>
      <c r="CW47" s="286"/>
      <c r="CX47" s="286"/>
      <c r="CY47" s="286"/>
      <c r="CZ47" s="286"/>
      <c r="DA47" s="286"/>
      <c r="DB47" s="286"/>
      <c r="DC47" s="286"/>
      <c r="DD47" s="286"/>
      <c r="DE47" s="286"/>
      <c r="DF47" s="286"/>
      <c r="DG47" s="286"/>
      <c r="DH47" s="286"/>
      <c r="DI47" s="286"/>
      <c r="DJ47" s="286"/>
      <c r="DK47" s="286"/>
      <c r="DL47" s="286"/>
      <c r="DM47" s="286"/>
      <c r="DN47" s="286"/>
      <c r="DO47" s="286"/>
      <c r="DP47" s="286"/>
      <c r="DQ47" s="286"/>
      <c r="DR47" s="286"/>
      <c r="DS47" s="286"/>
      <c r="DT47" s="286"/>
      <c r="DU47" s="286"/>
      <c r="DV47" s="286"/>
      <c r="DW47" s="286"/>
      <c r="DX47" s="286"/>
      <c r="DY47" s="286"/>
      <c r="DZ47" s="286"/>
      <c r="EA47" s="286"/>
      <c r="EB47" s="286"/>
      <c r="EC47" s="286"/>
      <c r="ED47" s="286"/>
      <c r="EE47" s="286"/>
      <c r="EF47" s="286"/>
      <c r="EG47" s="286"/>
      <c r="EH47" s="286"/>
      <c r="EI47" s="286"/>
      <c r="EJ47" s="286"/>
      <c r="EK47" s="286"/>
    </row>
    <row r="60">
      <c r="C60" s="287" t="str">
        <f t="shared" ref="C60:C70" si="1">textjoin(",", 1, A2:EF2)</f>
        <v>APPEAL-FY,APPEAL-SEQNC-NBR,APPEAL-AREA,FMHA-CASE-NBR,CASE-ST-NBR,CTY-DST-NBR,CASE-ENTY,APPLNT-ENTY-NME,APPLNT-LST-NME,APPLNT-1ST-NME,APPLNT-MID-NME,CUR-REVW-DECSN,ENTY-CNTCT-NME,ENTY-CNTCT-LST-NME,ENTY-CNTCT-1ST-NME,APPLNT-ADDR,APPLNT-ADDR-GRP,APPLNT-STREET-CITY-1,APPLNT-STREET-CITY-2,APPLNT-ST,APPLNT-ZIP,APPLNT-ZIP-1,APPLNT-ZIP-2,APPLNT-OFC-PHN,APPLNT-OFC-AREA,APPLNT-OFC-PHN-NBR,APPLNT-OFC-EXTNSN,APPLNT-HOME-PHN,APPLNT-HOME-AREA,APPLNT-HOME-PHN-NBR,LNDR-APPLNT,LNDR-APPLNT-NME,LNDR-APPLNT-LST-NME,LNDR-APPLNT-1ST-NME,LNDR-APPLNT-ADDR,LNDR-APPLNT-ADDR-GRP,LNDR-APPLNT-STREET-1,LNDR-APPLNT-STREET-2,LNDR-APPLNT-ST,LNDR-APPLNT-ZIP,LNDR-APPLNT-ZIP-1,LNDR-APPLNT-ZIP-2,LNDR-APPLNT-OFC-PHN,LNDR-APPLNT-OFC-AREA,LNDR-APPLNT-OFC-PHN-NBR,LNDR-APPLNT-OFC-EXTNSN,APPEAL-CUR-STAT,APPEAL-STAT-MAJ,APPEAL-STAT-PHASE,APPEAL-STAT-LVL,APPEAL-STAT-DECSN,REP-NME,REP-LST-NME,REP-1ST-NME,REP-MID-NME,REP-ADDR,REP-ADDR-GRP,REP-STREET-CITY-1,REP-STREET-CITY-2,REP-ST,REP-ZIP,REP-ZIP-1,REP-ZIP-2,REP-OFC-PHN,REP-OFC-AREA,REP-OFC-PHN-NBR,REP-OFC-EXTNSN,DECSN-OFCL-NME,DECSN-OFCL-LST-NME,DECSN-OFCL-1ST-NME,DECSN-OFCL-MID-NME,DECSN-OFCL-CDE,DECSN-OFCL-ADDR,DECSN-OFCL-ADDR-GRP,DECSN-OFCL-STREET-CITY-1,DECSN-OFCL-STREET-CITY-2,DECSN-OFCL-ST,DECSN-OFCL-ZIP,DECSN-OFCL-ZIP-1,DECSN-OFCL-ZIP-2,DECSN-OFCL-PHN,DECSN-OFCL-AREA,DECSN-OFCL-PHN-NBR,DECSN-OFCL-EXTNSN,PROG-CDE,LN-CDE,ACTN-CDE,SUB-ACTN-CDE,STATCS-CDE,RACE-DESC-CDE,SEX-CDE,HNDICPD-CDE,FMHA-ORIG-DECSN-DTE,HEARG-RQSTD-DTE,HEARG-ASGD-DTE,HEARG-DECSN-DUE-DTE,HEARG-DTE,HEARG-CNFNC-CALL,HEARG-USER-ID,HEARG-DECSN,HEARG-DECSN-NOTFCTN-DTE,MTRL,MTRL-TRNSCRPT,MTRL-TAPE,MTRL-RCRD-COPY,MTRL-PYMT-RCVD,MTRL-RQSTD-DTE,MTRL-DTE-SENT,MTRL-AMT-PD,MTRL-OTH,ST-USER-ID,APPLNT-RQSTD-ST-REVW-DTE,ST-ASGD-DTE,ST-REVW-DUE-DTE,ST-APPEAL-NOTFCTN-DTE,ST-APPEAL-DECSN,NATL-USER-ID,NATL-RQSTD-REVW-DTE,NATL-ASGD-DTE,NATL-RCVD-DTE,NATL-ASGD-STAFF,NATL-APPEAL-DUE-DTE,NATL-APPEAL-NOTFCTN-DTE,NATL-APPEAL-DECSN,HEARG-REVW-FLAG,ST-REVW-FLAG,NATL-REVW-FLAG,PREV-HEARG-USER-ID,PREV-ST-USER-ID,PREV-NATL-USER-ID,LST-UPDTE-USER-ID,LST-UPDTE-DTE,USER-ID-WORK,APPEAL-RCRD-SENT,WK-DTE-1,WK-DTE-2</v>
      </c>
    </row>
    <row r="61">
      <c r="C61" s="287" t="str">
        <f t="shared" si="1"/>
        <v>FARMS-ASSOC-PRIN-BOND,BOND-CDE,INT-UNPD-DUE-BOND-ACCTS,PRIN-UNPD-DUE-BOND-ACCTS,INT-NEXT-INSTLMT-BOND-ACCTS,PRIN-NEXT-INSTLMT-BOND-ACCTS,INT-ON-DELQ-PRIN,FILLER</v>
      </c>
    </row>
    <row r="62">
      <c r="C62" s="287" t="str">
        <f t="shared" si="1"/>
        <v>FARMS-CASE,CASE-ID,CASE-NBR,ST-CDE-OBLR,CTY-CDE-OBLR,ID-NBR-OBLR,FILLER</v>
      </c>
    </row>
    <row r="63">
      <c r="C63" s="287" t="str">
        <f t="shared" si="1"/>
        <v>FARMS-CK-INFO,RCRD-TYP,FD-CDE-2,NME-FLDS-BORR-CNT,MAILG-OFC,MAILG-LVL,ST-MAILG-LVL,DST-MAILG-LVL,CTY-MAILG-LVL,CTY-SPECL-LVL,DST-SPECL-LVL,ST-SPECL-LVL,MAILG-CDE,ST-OFC-MAILG,CTY-OFC-MAILG,DST-OFC-MAILG,CASE-NBR,ST-CDE-OBLR,CTY-CDE-OBLR,ID-NBR-OBLR,LN-NBR,CR-REPT-FEE-CDE,NME-OBLR,ADVNC-MULTI-AMT,DTE-CK,APROPTN-CDE,GEOG-ST-CDE,FY,FILLER</v>
      </c>
    </row>
    <row r="64">
      <c r="C64" s="287" t="str">
        <f t="shared" si="1"/>
        <v>FARMS-CK-INFO-FRADS,RCRD-TYP,FD-CDE-2,MAILG-CDE,ST-OFC-MAILG,CTY-OFC-MAILG,DST-OFC-MAILG,CASE-NBR,ST-CDE-OBLR,CTY-CDE-OBLR,ID-NBR-OBLR,LN-NBR,CR-REPT-FEE-CDE,NME-OBLR,ADVNC-MULTI-AMT,DTE-CK,APROPTN-CDE,GEOG-ST-CDE,FY,FED-RESV-ROUTE-NBR,CK-DIGIT-ROUTE-NBR,TYP-BANK-ACCT,DPSTR-ACCT-NBR,ENTY-CDE,CK-CNCLTN-CDE,FNL-ADVNC-CDE,DTE-LST-RGSTR-DTL,BLK-NBR,FILLER</v>
      </c>
    </row>
    <row r="65">
      <c r="C65" s="287" t="str">
        <f t="shared" si="1"/>
        <v>FARMS-CLIENT,CASE-NBR,ST-CDE-OBLR,CTY-CDE-OBLR,ID-NBR-OBLR,CASE-NBR-OBLR,ST-CTY-OBLR,FILLER,MAILG-OFC-CLIENT,MAILG-LVL-CLIENT,ST-MAILG-LVL-CLIENT,DST-MAILG-LVL-CLIENT,CTY-MAILG-LVL-CLIENT,CTY-SPECL-LVL-CLIENT,DST-SPECL-LVL-CLIENT,ST-SPECL-LVL-CLIENT,MAILG-CDE-CLIENT,ST-OFC-MAILG-CLIENT,CTY-OFC-MAILG-CLIENT,DST-OFC-MAILG-CLIENT,CTY-OFC-MAILG-CLIENT,NME-FLDS-BORR-CNT,ADRS-FLDS-BORR-CNT,NME-OBLR-GRP-1,NME-OBLR,NME-ADRS-OBLR-1,NME-ADRS-OBLR-2,NME-OBLR-GRP-2,NME-OBLR-KEY,FILLER,NME-ADRS-OBLR-3,NME-ADRS-OBLR-4,ZIP-CDE,RACE-DESC-CDE,SEX-CDE,MRTL-STAT,TAX-EXEMPT-CDE,VET-CDE,DUE-DAY-PYMT,APPLT-TYP-CDE,NET-WORTH-AMT,LN-NBR-LST-ASGD,RCRD-LN-CNT,LN-CNT-EE,LN-CNT-OTC,LN-CNT-INSRD-FO,LN-CNT-DIR-FO,LN-CNT-INSRD-SW,LN-CNT-DIR-SW,LN-CNT-INSRD-RH,LN-CNT-DIR-RH,LN-CNT-INVSTR,LN-CNT-ASSOC,SUSP-CDE-ACCT,DTE-LST-RGSTR-ACCT,RGSTR-TYP-LST-TRNSCTN,SIS-TRF-CDE,EMPL-RELTNSHP-CDE,LRTF-SRVCG-CDE,MAILG-OFC-FSA,MAILG-LVL-FSA,ST-MAILG-LVL-FSA,DST-MAILG-LVL-FSA,CTY-MAILG-LVL-FSA,CTY-SPECL-LVL-FSA,DST-SPECL-LVL-FSA,ST-SPECL-LVL-FSA,MAILG-CDE-FSA,ST-OFC-MAILG-FSA,CTY-OFC-MAILG-FSA,DST-OFC-MAILG-FSA,CTY-OFC-MAILG-FSA,ORGZTN-CDE,DTE-OAC-ESTBD,DTE-OAC-RSLVD,DTE-OAC-MRTM-EFCTV,PREVL-INDCTR,NBR-COMPLNTS,FILLER</v>
      </c>
    </row>
    <row r="66">
      <c r="C66" s="287" t="str">
        <f t="shared" si="1"/>
        <v>CR-APPLD-NONCSH,DTE-LST-NONCSH,SUSP-CDE,FILLER</v>
      </c>
    </row>
    <row r="67">
      <c r="C67" s="287" t="str">
        <f t="shared" si="1"/>
        <v>FARMS-FD-SIDE,ALTMT,ALTMT-1ST-ACCTG-PRD,ALTMT-2ND-ACCTG-PRD,ALTMT-3RD-ACCTG-PRD,ALTMT-4TH-ACCTG-PRD,FILLER</v>
      </c>
    </row>
    <row r="68">
      <c r="C68" s="287" t="str">
        <f t="shared" si="1"/>
        <v>FARMS-MALLOT,APROPTN-CDE,MAJ-CLS,OBJ-CLSFCTN-CDE,FY-ACCTG,ACCT-TYP-CDE,MULTI-ELMT-CDE,OK-TO-PROC-CDE,APRTNMTS-CUR-DTL,ALTMT-CUR,APRTNMT-TYP,ALTMT-TYP,PRD-CDE,APRTNMTS-1ST-ACCTG-PRD,APRTNMTS-2ND-ACCTG-PRD,APRTNMTS-3RD-ACCTG-PRD,APRTNMTS-4TH-ACCTG-PRD</v>
      </c>
    </row>
    <row r="69">
      <c r="C69" s="287" t="str">
        <f t="shared" si="1"/>
        <v>FARMS-PLEREP,FRM-MORT-DATA,RGN-CDE-PLEREP,MORTS-FRM-GOVT-OWND-CNT,MORTS-FRM-OWND-GOVT-AMT,MORT-FRM-ACQD-CUR-QTR-CNT,MORTS-ACQD-ON-FRMS-AMT,PRIN-INCR-FRM-MORT-OWND,MORTS-FRM-FULLY-PD-CNT,PYMT-FNL-FRM-MORT-TTL-AMT,PRIN-PYMT-ON-OTH-FRM-MORT,MORTS-FRM-ACQD-FRCL-CNT,MORTS-FRM-ACQD-FRCL-AMT,RH-INIT-LNS-1-PCT-CNT,RH-INIT-LNS-1-PCT-AMT,RH-INIT-LNS-3-PCT-CNT,RH-INIT-LNS-3-PCT-AMT,RH-INIT-LNS-6-PCT-CNT,RH-INIT-LNS-6-PCT-AMT,FO-INIT-LNS-3-PCT-CNT,FO-INIT-LNS-3-PCT-AMT,FO-INIT-LNS-5-PCT-CNT,FO-INIT-LNS-5-PCT-AMT,PURCH-RE-QTR,LN-REFIN-RE-PRTN-FO-RH,LN-REFIN-NON-RE-PRTN-FO-RH,LN-FO-RH-LAND-BLDG-PRTN,FEES-OTH-KNOWN,PYMT-DWN-INIT-LNS-TTL-AMT,PLDGD-LN-DATA,FY-PLDGD-GNMA-PLEREP,LN-ACCT-CDE,PLDG-ORIG-AMT,LNS-IN-ORIG-PLDG-CNT,LN-AMT-ADDD-CUM,LNS-ADDD-CUM-CNT,ADVNC-ADDTNL-CUM-AMT,LNS-CNCLD-CUM-AMT,LNS-CNCLD-CUM-CNT,PRIN-NOT-FULLY-PD-CUM,INT-NOT-FULLY-PD-CUM,PRIN-FULLY-PD-CUM,INT-FULLY-PD-CUM-AMT,LNS-FULLY-PD-CUM-CNT,FRCL-JDGMT-CUM-AMT,FRCL-JDGMT-CUM-CNT,WRTF-CUM-AMT,WRTF-CUM,LN-AMT-ADDD-MTD,LNS-ADDD-MTD-CNT,ADVNC-ADDTNL-AMT-MTD,LNS-CNCLD-MTD-AMT,LNS-CNCLD-MTD-CNT,PRIN-NOT-FULLY-PD-MTD,INT-NOT-FULLY-PD-MTD,PRIN-FULLY-PD-MTD,INT-FULLY-PD-MTD,LNS-FULLY-PD-MTD-CNT,PRIN-FRCL-JDGMT-MTD,LNS-FRCL-JDGMT-MTD,WRTF-UNPD-PRIN-MTD,LNS-WRTF-MTD-CNT,PRIN-UNPD-PLDGD-LNS,LNS-OUTSTG-CNT</v>
      </c>
    </row>
    <row r="70">
      <c r="C70" s="287" t="str">
        <f t="shared" si="1"/>
        <v>GL-MSTACCT,RD-TAX-ID,RD-ACCT-NBR</v>
      </c>
    </row>
    <row r="71">
      <c r="C71" s="287" t="str">
        <f t="shared" ref="C71:C83" si="2">textjoin(", ", 1, A13:EF13)</f>
        <v>GLACCT, ACCT-NBR, LINE-NBR-CDE, PRFX-LINE-NBR, SFX-LINE-NBR, SUB-SFX-LINE-NBR, MINOR-CDE-FLAG, ACCT-TITLE, BAL-CDE, ENTY, DTE-LST-RGSTR-ACCT, FILLER</v>
      </c>
    </row>
    <row r="72">
      <c r="C72" s="287" t="str">
        <f t="shared" si="2"/>
        <v>GLMSTR, ENTY-ACCT-MINOR-CDE, FY, ENTY-CDE, ACCT-NBR, MINOR-CDE, CUR-MO-CDE, CUR-ACCT-BAL, PR-YR-ENDG-BAL, GL-MO-ACTV, CLSG-ENTRIES, CUR-MO-PR-YR-ACTV, SUBQ-MO-PR-YR-ACTV, MEMO-ACCT-BAL, PREV-BAL-CNTR, DTE-LST-RGSTR-ACCT, RGSTR-TYP-CDE, CTRY-DIGIT, FILLER</v>
      </c>
    </row>
    <row r="73">
      <c r="C73" s="287" t="str">
        <f t="shared" si="2"/>
        <v>GLACCTC, GL-CNTRL-KEY, RCRD-CNT, DTE-LST-RGSTRCT</v>
      </c>
    </row>
    <row r="74">
      <c r="C74" s="287" t="str">
        <f t="shared" si="2"/>
        <v>GLBLKC, ENTY-BLK-NBR, FY, ENTY-CDE, BLK-NBR-5, SBSDRY-ACCT-HASH-TTL, ACCT-NBRS-HASH-TTL, MINOR-CDE-HASH-TTL, DR-AMT-INDIV-GL-ACCTS, CR-AMT-INDIV-GL-ACCTS, USER-INITS, FILLER</v>
      </c>
    </row>
    <row r="75">
      <c r="C75" s="287" t="str">
        <f t="shared" si="2"/>
        <v>GLBLKD, ACCT-NBR, MINOR-CDE, FD-CDE, FD-CDE-3, FD-CDE-2, FD-CDE-3RD, FD-CDE-4TH, TRNSCTN-CDE, DTE-END-OF-MO, PURP-CDE-1, DR-AMT-INDIV-GL-ACCTS, CR-AMT-INDIV-GL-ACCTS, MO-ACTV, RGSTR-TYP-CDE, TIME-STNDS-DATA, USER-INITS, FILLER</v>
      </c>
    </row>
    <row r="76">
      <c r="C76" s="287" t="str">
        <f t="shared" si="2"/>
        <v>GLMSTR, ENTY-ACCT-MINOR-CDE, FY, ENTY-CDE, ACCT-NBR, MINOR-CDE, CUR-MO-CDE, CUR-ACCT-BAL, PR-YR-ENDG-BAL, GL-MO-ACTV, CLSG-ENTRIES, CUR-MO-PR-YR-ACTV, SUBQ-MO-PR-YR-ACTV, MEMO-ACCT-BAL, PREV-BAL-CNTR, DTE-LST-RGSTR-ACCT, RGSTR-TYP-CDE, CTRY-DIGIT, FILLER</v>
      </c>
    </row>
    <row r="77">
      <c r="C77" s="287" t="str">
        <f t="shared" si="2"/>
        <v>GLOVA, GL-ACCTS-ENTRY-KEY-EXPND, FY, APROPTN-CDE-EXPND, PROG-PLANG-BDGTG-CDE, PPB-CDE-1ST, PPB-CDE-2-3, MAJ-CLS-EXPND, OBLGN-EXPNTR-CDE, SBMSN-CDE, PURP-CDE, TRNSCTN-CDE-UPDTE, GRP-OF-ALTMT-CDE, ENTY-CDE, OBLGN-ACCTS-DR-ODR, ACCT-NBR-ODR, MINOR-CDE-ODR, OBLGN-ACCTS-CR-OCR, ACCT-NBR-OCR, MINOR-CDE-OCR, VOU-ACCTS-DR-VDR, ACCT-NBR-VDR, MINOR-CDE-VDR, VOU-ACCTS-CR-VCR, ACCT-NBR-VCR, MINOR-CDE-VCR, ALTMT-ACCTS-DR-ADR, ACCT-NBR-ADR, MINOR-CDE-ADR, ALTMT-ACCTS-CR-ACR, ACCT-NBR-ACR, MINOR-CDE-ACR, DTE-LST-UPDTE, USER-ID, AUTHY-CDE-TRML-OPRTR, PRFCY-LVL-TRML-OPRTR, NO-UP-AUTHTY-CDE, UP-AUTHTY-CDE, FILLER, ID-TRML-OPRTR, FILLER</v>
      </c>
    </row>
    <row r="78">
      <c r="C78" s="287" t="str">
        <f t="shared" si="2"/>
        <v>SYMBOL, TRSRY-SYM, ACCT-MO, DEPT-NBR, SRVC-AGCY, AGCY, ACCT-STATN, FD-CDE, FD-CDE-3, FD-CDE-2, FD-CDE-3RD, FD-CDE-4TH, TRNSMT, TRNSMT-DTE, FILLER</v>
      </c>
    </row>
    <row r="79">
      <c r="C79" s="287" t="str">
        <f t="shared" si="2"/>
        <v>FARMS-FD-SIDE, ALTMT, ALTMT-1ST-ACCTG-PRD, ALTMT-2ND-ACCTG-PRD, ALTMT-3RD-ACCTG-PRD, ALTMT-4TH-ACCTG-PRD, FILLER</v>
      </c>
    </row>
    <row r="80">
      <c r="C80" s="287" t="str">
        <f t="shared" si="2"/>
        <v>USGLACT, USGL-ACCTS-ENTRY-KEY, ACCT-NBRGL, ACCT-NBR-SUB, ACCT-NBRDA, ACCT-TITLE, BAL-CDE, LINE-NBR-CDE, PRFX-LINE-NBR, SFX-LINE-NBR, SUB-SFX-LINE-NBR, DTE-LST-RGSTR-ACCT, FILLER</v>
      </c>
    </row>
    <row r="81">
      <c r="C81" s="287" t="str">
        <f t="shared" si="2"/>
        <v>LN-NBR, FD-CDE-2, FD-CDE-3RD, FD-CDE-4TH, KIND-CDE-LN, INT-RATE-NOTE, INT-RATE-NOTE-1ST, PYMT-TYP-CDE, DIR-PYMT-CDE, DTE-AMORTN-EFCTV, DSTR-TYP-CDE, FY-DSTR-DCLRD, DSTR-DCLRD-NBR, MRG-CNTRL, DOCMT-TYP-CDE, DTE-OBLGN-LN, ASSTNC-TYP-CDE, LN-AMT-OBLGN, BEGNG-FRMR-RNCHR-CDE, COLLTL-CDE, CPN-PROCG-DTE, CASE-NBR-CHNG-CDE, PYMT-ASSTNC-METH-CDE, INT-RATE-PREV, INT-RATE-PREV-REDFND, FILLER</v>
      </c>
    </row>
    <row r="82">
      <c r="C82" s="287" t="str">
        <f t="shared" si="2"/>
        <v>ACCT, SUB-ACCT, OBJ-CLS, AMT, DR-CR, FILLER</v>
      </c>
    </row>
    <row r="83">
      <c r="C83" s="287" t="str">
        <f t="shared" si="2"/>
        <v/>
      </c>
    </row>
    <row r="84">
      <c r="C84" s="285" t="str">
        <f>textjoin("','", 1, A2:EK24)</f>
        <v>APPEAL-FY','APPEAL-SEQNC-NBR','APPEAL-AREA','FMHA-CASE-NBR','CASE-ST-NBR','CTY-DST-NBR','CASE-ENTY','APPLNT-ENTY-NME','APPLNT-LST-NME','APPLNT-1ST-NME','APPLNT-MID-NME','CUR-REVW-DECSN','ENTY-CNTCT-NME','ENTY-CNTCT-LST-NME','ENTY-CNTCT-1ST-NME','APPLNT-ADDR','APPLNT-ADDR-GRP','APPLNT-STREET-CITY-1','APPLNT-STREET-CITY-2','APPLNT-ST','APPLNT-ZIP','APPLNT-ZIP-1','APPLNT-ZIP-2','APPLNT-OFC-PHN','APPLNT-OFC-AREA','APPLNT-OFC-PHN-NBR','APPLNT-OFC-EXTNSN','APPLNT-HOME-PHN','APPLNT-HOME-AREA','APPLNT-HOME-PHN-NBR','LNDR-APPLNT','LNDR-APPLNT-NME','LNDR-APPLNT-LST-NME','LNDR-APPLNT-1ST-NME','LNDR-APPLNT-ADDR','LNDR-APPLNT-ADDR-GRP','LNDR-APPLNT-STREET-1','LNDR-APPLNT-STREET-2','LNDR-APPLNT-ST','LNDR-APPLNT-ZIP','LNDR-APPLNT-ZIP-1','LNDR-APPLNT-ZIP-2','LNDR-APPLNT-OFC-PHN','LNDR-APPLNT-OFC-AREA','LNDR-APPLNT-OFC-PHN-NBR','LNDR-APPLNT-OFC-EXTNSN','APPEAL-CUR-STAT','APPEAL-STAT-MAJ','APPEAL-STAT-PHASE','APPEAL-STAT-LVL','APPEAL-STAT-DECSN','REP-NME','REP-LST-NME','REP-1ST-NME','REP-MID-NME','REP-ADDR','REP-ADDR-GRP','REP-STREET-CITY-1','REP-STREET-CITY-2','REP-ST','REP-ZIP','REP-ZIP-1','REP-ZIP-2','REP-OFC-PHN','REP-OFC-AREA','REP-OFC-PHN-NBR','REP-OFC-EXTNSN','DECSN-OFCL-NME','DECSN-OFCL-LST-NME','DECSN-OFCL-1ST-NME','DECSN-OFCL-MID-NME','DECSN-OFCL-CDE','DECSN-OFCL-ADDR','DECSN-OFCL-ADDR-GRP','DECSN-OFCL-STREET-CITY-1','DECSN-OFCL-STREET-CITY-2','DECSN-OFCL-ST','DECSN-OFCL-ZIP','DECSN-OFCL-ZIP-1','DECSN-OFCL-ZIP-2','DECSN-OFCL-PHN','DECSN-OFCL-AREA','DECSN-OFCL-PHN-NBR','DECSN-OFCL-EXTNSN','PROG-CDE','LN-CDE','ACTN-CDE','SUB-ACTN-CDE','STATCS-CDE','RACE-DESC-CDE','SEX-CDE','HNDICPD-CDE','FMHA-ORIG-DECSN-DTE','HEARG-RQSTD-DTE','HEARG-ASGD-DTE','HEARG-DECSN-DUE-DTE','HEARG-DTE','HEARG-CNFNC-CALL','HEARG-USER-ID','HEARG-DECSN','HEARG-DECSN-NOTFCTN-DTE','MTRL','MTRL-TRNSCRPT','MTRL-TAPE','MTRL-RCRD-COPY','MTRL-PYMT-RCVD','MTRL-RQSTD-DTE','MTRL-DTE-SENT','MTRL-AMT-PD','MTRL-OTH','ST-USER-ID','APPLNT-RQSTD-ST-REVW-DTE','ST-ASGD-DTE','ST-REVW-DUE-DTE','ST-APPEAL-NOTFCTN-DTE','ST-APPEAL-DECSN','NATL-USER-ID','NATL-RQSTD-REVW-DTE','NATL-ASGD-DTE','NATL-RCVD-DTE','NATL-ASGD-STAFF','NATL-APPEAL-DUE-DTE','NATL-APPEAL-NOTFCTN-DTE','NATL-APPEAL-DECSN','HEARG-REVW-FLAG','ST-REVW-FLAG','NATL-REVW-FLAG','PREV-HEARG-USER-ID','PREV-ST-USER-ID','PREV-NATL-USER-ID','LST-UPDTE-USER-ID','LST-UPDTE-DTE','USER-ID-WORK','APPEAL-RCRD-SENT','WK-DTE-1','WK-DTE-2','WK-DTE-3','WK-AMT-1','WK-AMT-2','WK-AMT-3','FILLER','FARMS-ASSOC-PRIN-BOND','BOND-CDE','INT-UNPD-DUE-BOND-ACCTS','PRIN-UNPD-DUE-BOND-ACCTS','INT-NEXT-INSTLMT-BOND-ACCTS','PRIN-NEXT-INSTLMT-BOND-ACCTS','INT-ON-DELQ-PRIN','FILLER','FARMS-CASE','CASE-ID','CASE-NBR','ST-CDE-OBLR','CTY-CDE-OBLR','ID-NBR-OBLR','FILLER','FARMS-CK-INFO','RCRD-TYP','FD-CDE-2','NME-FLDS-BORR-CNT','MAILG-OFC','MAILG-LVL','ST-MAILG-LVL','DST-MAILG-LVL','CTY-MAILG-LVL','CTY-SPECL-LVL','DST-SPECL-LVL','ST-SPECL-LVL','MAILG-CDE','ST-OFC-MAILG','CTY-OFC-MAILG','DST-OFC-MAILG','CASE-NBR','ST-CDE-OBLR','CTY-CDE-OBLR','ID-NBR-OBLR','LN-NBR','CR-REPT-FEE-CDE','NME-OBLR','ADVNC-MULTI-AMT','DTE-CK','APROPTN-CDE','GEOG-ST-CDE','FY','FILLER','FARMS-CK-INFO-FRADS','RCRD-TYP','FD-CDE-2','MAILG-CDE','ST-OFC-MAILG','CTY-OFC-MAILG','DST-OFC-MAILG','CASE-NBR','ST-CDE-OBLR','CTY-CDE-OBLR','ID-NBR-OBLR','LN-NBR','CR-REPT-FEE-CDE','NME-OBLR','ADVNC-MULTI-AMT','DTE-CK','APROPTN-CDE','GEOG-ST-CDE','FY','FED-RESV-ROUTE-NBR','CK-DIGIT-ROUTE-NBR','TYP-BANK-ACCT','DPSTR-ACCT-NBR','ENTY-CDE','CK-CNCLTN-CDE','FNL-ADVNC-CDE','DTE-LST-RGSTR-DTL','BLK-NBR','FILLER','FARMS-CLIENT','CASE-NBR','ST-CDE-OBLR','CTY-CDE-OBLR','ID-NBR-OBLR','CASE-NBR-OBLR','ST-CTY-OBLR','FILLER','MAILG-OFC-CLIENT','MAILG-LVL-CLIENT','ST-MAILG-LVL-CLIENT','DST-MAILG-LVL-CLIENT','CTY-MAILG-LVL-CLIENT','CTY-SPECL-LVL-CLIENT','DST-SPECL-LVL-CLIENT','ST-SPECL-LVL-CLIENT','MAILG-CDE-CLIENT','ST-OFC-MAILG-CLIENT','CTY-OFC-MAILG-CLIENT','DST-OFC-MAILG-CLIENT','CTY-OFC-MAILG-CLIENT','NME-FLDS-BORR-CNT','ADRS-FLDS-BORR-CNT','NME-OBLR-GRP-1','NME-OBLR','NME-ADRS-OBLR-1','NME-ADRS-OBLR-2','NME-OBLR-GRP-2','NME-OBLR-KEY','FILLER','NME-ADRS-OBLR-3','NME-ADRS-OBLR-4','ZIP-CDE','RACE-DESC-CDE','SEX-CDE','MRTL-STAT','TAX-EXEMPT-CDE','VET-CDE','DUE-DAY-PYMT','APPLT-TYP-CDE','NET-WORTH-AMT','LN-NBR-LST-ASGD','RCRD-LN-CNT','LN-CNT-EE','LN-CNT-OTC','LN-CNT-INSRD-FO','LN-CNT-DIR-FO','LN-CNT-INSRD-SW','LN-CNT-DIR-SW','LN-CNT-INSRD-RH','LN-CNT-DIR-RH','LN-CNT-INVSTR','LN-CNT-ASSOC','SUSP-CDE-ACCT','DTE-LST-RGSTR-ACCT','RGSTR-TYP-LST-TRNSCTN','SIS-TRF-CDE','EMPL-RELTNSHP-CDE','LRTF-SRVCG-CDE','MAILG-OFC-FSA','MAILG-LVL-FSA','ST-MAILG-LVL-FSA','DST-MAILG-LVL-FSA','CTY-MAILG-LVL-FSA','CTY-SPECL-LVL-FSA','DST-SPECL-LVL-FSA','ST-SPECL-LVL-FSA','MAILG-CDE-FSA','ST-OFC-MAILG-FSA','CTY-OFC-MAILG-FSA','DST-OFC-MAILG-FSA','CTY-OFC-MAILG-FSA','ORGZTN-CDE','DTE-OAC-ESTBD','DTE-OAC-RSLVD','DTE-OAC-MRTM-EFCTV','PREVL-INDCTR','NBR-COMPLNTS','FILLER','CR-APPLD-NONCSH','DTE-LST-NONCSH','SUSP-CDE','FILLER','FARMS-FD-SIDE','ALTMT','ALTMT-1ST-ACCTG-PRD','ALTMT-2ND-ACCTG-PRD','ALTMT-3RD-ACCTG-PRD','ALTMT-4TH-ACCTG-PRD','FILLER','FARMS-MALLOT','APROPTN-CDE','MAJ-CLS','OBJ-CLSFCTN-CDE','FY-ACCTG','ACCT-TYP-CDE','MULTI-ELMT-CDE','OK-TO-PROC-CDE','APRTNMTS-CUR-DTL','ALTMT-CUR','APRTNMT-TYP','ALTMT-TYP','PRD-CDE','APRTNMTS-1ST-ACCTG-PRD','APRTNMTS-2ND-ACCTG-PRD','APRTNMTS-3RD-ACCTG-PRD','APRTNMTS-4TH-ACCTG-PRD','FARMS-PLEREP','FRM-MORT-DATA','RGN-CDE-PLEREP','MORTS-FRM-GOVT-OWND-CNT','MORTS-FRM-OWND-GOVT-AMT','MORT-FRM-ACQD-CUR-QTR-CNT','MORTS-ACQD-ON-FRMS-AMT','PRIN-INCR-FRM-MORT-OWND','MORTS-FRM-FULLY-PD-CNT','PYMT-FNL-FRM-MORT-TTL-AMT','PRIN-PYMT-ON-OTH-FRM-MORT','MORTS-FRM-ACQD-FRCL-CNT','MORTS-FRM-ACQD-FRCL-AMT','RH-INIT-LNS-1-PCT-CNT','RH-INIT-LNS-1-PCT-AMT','RH-INIT-LNS-3-PCT-CNT','RH-INIT-LNS-3-PCT-AMT','RH-INIT-LNS-6-PCT-CNT','RH-INIT-LNS-6-PCT-AMT','FO-INIT-LNS-3-PCT-CNT','FO-INIT-LNS-3-PCT-AMT','FO-INIT-LNS-5-PCT-CNT','FO-INIT-LNS-5-PCT-AMT','PURCH-RE-QTR','LN-REFIN-RE-PRTN-FO-RH','LN-REFIN-NON-RE-PRTN-FO-RH','LN-FO-RH-LAND-BLDG-PRTN','FEES-OTH-KNOWN','PYMT-DWN-INIT-LNS-TTL-AMT','PLDGD-LN-DATA','FY-PLDGD-GNMA-PLEREP','LN-ACCT-CDE','PLDG-ORIG-AMT','LNS-IN-ORIG-PLDG-CNT','LN-AMT-ADDD-CUM','LNS-ADDD-CUM-CNT','ADVNC-ADDTNL-CUM-AMT','LNS-CNCLD-CUM-AMT','LNS-CNCLD-CUM-CNT','PRIN-NOT-FULLY-PD-CUM','INT-NOT-FULLY-PD-CUM','PRIN-FULLY-PD-CUM','INT-FULLY-PD-CUM-AMT','LNS-FULLY-PD-CUM-CNT','FRCL-JDGMT-CUM-AMT','FRCL-JDGMT-CUM-CNT','WRTF-CUM-AMT','WRTF-CUM','LN-AMT-ADDD-MTD','LNS-ADDD-MTD-CNT','ADVNC-ADDTNL-AMT-MTD','LNS-CNCLD-MTD-AMT','LNS-CNCLD-MTD-CNT','PRIN-NOT-FULLY-PD-MTD','INT-NOT-FULLY-PD-MTD','PRIN-FULLY-PD-MTD','INT-FULLY-PD-MTD','LNS-FULLY-PD-MTD-CNT','PRIN-FRCL-JDGMT-MTD','LNS-FRCL-JDGMT-MTD','WRTF-UNPD-PRIN-MTD','LNS-WRTF-MTD-CNT','PRIN-UNPD-PLDGD-LNS','LNS-OUTSTG-CNT','GL-MSTACCT','RD-TAX-ID','RD-ACCT-NBR','GLACCT','ACCT-NBR','LINE-NBR-CDE','PRFX-LINE-NBR','SFX-LINE-NBR','SUB-SFX-LINE-NBR','MINOR-CDE-FLAG','ACCT-TITLE','BAL-CDE','ENTY','DTE-LST-RGSTR-ACCT','FILLER','GLMSTR','ENTY-ACCT-MINOR-CDE','FY','ENTY-CDE','ACCT-NBR','MINOR-CDE','CUR-MO-CDE','CUR-ACCT-BAL','PR-YR-ENDG-BAL','GL-MO-ACTV','CLSG-ENTRIES','CUR-MO-PR-YR-ACTV','SUBQ-MO-PR-YR-ACTV','MEMO-ACCT-BAL','PREV-BAL-CNTR','DTE-LST-RGSTR-ACCT','RGSTR-TYP-CDE','CTRY-DIGIT','FILLER','GLACCTC','GL-CNTRL-KEY','RCRD-CNT','DTE-LST-RGSTRCT','GLBLKC','ENTY-BLK-NBR','FY','ENTY-CDE','BLK-NBR-5','SBSDRY-ACCT-HASH-TTL','ACCT-NBRS-HASH-TTL','MINOR-CDE-HASH-TTL','DR-AMT-INDIV-GL-ACCTS','CR-AMT-INDIV-GL-ACCTS','USER-INITS','FILLER','GLBLKD','ACCT-NBR','MINOR-CDE','FD-CDE','FD-CDE-3','FD-CDE-2','FD-CDE-3RD','FD-CDE-4TH','TRNSCTN-CDE','DTE-END-OF-MO','PURP-CDE-1','DR-AMT-INDIV-GL-ACCTS','CR-AMT-INDIV-GL-ACCTS','MO-ACTV','RGSTR-TYP-CDE','TIME-STNDS-DATA','USER-INITS','FILLER','GLMSTR','ENTY-ACCT-MINOR-CDE','FY','ENTY-CDE','ACCT-NBR','MINOR-CDE','CUR-MO-CDE','CUR-ACCT-BAL','PR-YR-ENDG-BAL','GL-MO-ACTV','CLSG-ENTRIES','CUR-MO-PR-YR-ACTV','SUBQ-MO-PR-YR-ACTV','MEMO-ACCT-BAL','PREV-BAL-CNTR','DTE-LST-RGSTR-ACCT','RGSTR-TYP-CDE','CTRY-DIGIT','FILLER','GLOVA','GL-ACCTS-ENTRY-KEY-EXPND','FY','APROPTN-CDE-EXPND','PROG-PLANG-BDGTG-CDE','PPB-CDE-1ST','PPB-CDE-2-3','MAJ-CLS-EXPND','OBLGN-EXPNTR-CDE','SBMSN-CDE','PURP-CDE','TRNSCTN-CDE-UPDTE','GRP-OF-ALTMT-CDE','ENTY-CDE','OBLGN-ACCTS-DR-ODR','ACCT-NBR-ODR','MINOR-CDE-ODR','OBLGN-ACCTS-CR-OCR','ACCT-NBR-OCR','MINOR-CDE-OCR','VOU-ACCTS-DR-VDR','ACCT-NBR-VDR','MINOR-CDE-VDR','VOU-ACCTS-CR-VCR','ACCT-NBR-VCR','MINOR-CDE-VCR','ALTMT-ACCTS-DR-ADR','ACCT-NBR-ADR','MINOR-CDE-ADR','ALTMT-ACCTS-CR-ACR','ACCT-NBR-ACR','MINOR-CDE-ACR','DTE-LST-UPDTE','USER-ID','AUTHY-CDE-TRML-OPRTR','PRFCY-LVL-TRML-OPRTR','NO-UP-AUTHTY-CDE','UP-AUTHTY-CDE','FILLER','ID-TRML-OPRTR','FILLER','SYMBOL','TRSRY-SYM','ACCT-MO','DEPT-NBR','SRVC-AGCY','AGCY','ACCT-STATN','FD-CDE','FD-CDE-3','FD-CDE-2','FD-CDE-3RD','FD-CDE-4TH','TRNSMT','TRNSMT-DTE','FILLER','FARMS-FD-SIDE','ALTMT','ALTMT-1ST-ACCTG-PRD','ALTMT-2ND-ACCTG-PRD','ALTMT-3RD-ACCTG-PRD','ALTMT-4TH-ACCTG-PRD','FILLER','USGLACT','USGL-ACCTS-ENTRY-KEY','ACCT-NBRGL','ACCT-NBR-SUB','ACCT-NBRDA','ACCT-TITLE','BAL-CDE','LINE-NBR-CDE','PRFX-LINE-NBR','SFX-LINE-NBR','SUB-SFX-LINE-NBR','DTE-LST-RGSTR-ACCT','FILLER','LN-NBR','FD-CDE-2','FD-CDE-3RD','FD-CDE-4TH','KIND-CDE-LN','INT-RATE-NOTE','INT-RATE-NOTE-1ST','PYMT-TYP-CDE','DIR-PYMT-CDE','DTE-AMORTN-EFCTV','DSTR-TYP-CDE','FY-DSTR-DCLRD','DSTR-DCLRD-NBR','MRG-CNTRL','DOCMT-TYP-CDE','DTE-OBLGN-LN','ASSTNC-TYP-CDE','LN-AMT-OBLGN','BEGNG-FRMR-RNCHR-CDE','COLLTL-CDE','CPN-PROCG-DTE','CASE-NBR-CHNG-CDE','PYMT-ASSTNC-METH-CDE','INT-RATE-PREV','INT-RATE-PREV-REDFND','FILLER','ACCT','SUB-ACCT','OBJ-CLS','AMT','DR-CR','FILLER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9">
        <v>1.0</v>
      </c>
      <c r="B1" s="279">
        <v>0.0</v>
      </c>
    </row>
    <row r="2">
      <c r="A2" s="288">
        <v>1.0</v>
      </c>
      <c r="B2" s="288">
        <v>1.0</v>
      </c>
    </row>
    <row r="3">
      <c r="A3" s="288">
        <v>1.0</v>
      </c>
      <c r="B3" s="288">
        <v>2.0</v>
      </c>
    </row>
    <row r="4">
      <c r="A4" s="288">
        <v>1.0</v>
      </c>
      <c r="B4" s="288">
        <v>3.0</v>
      </c>
    </row>
    <row r="5">
      <c r="A5" s="288">
        <v>1.0</v>
      </c>
      <c r="B5" s="288">
        <v>4.0</v>
      </c>
    </row>
    <row r="6">
      <c r="A6" s="288">
        <v>1.0</v>
      </c>
      <c r="B6" s="288">
        <v>5.0</v>
      </c>
    </row>
    <row r="7">
      <c r="A7" s="288">
        <v>1.0</v>
      </c>
      <c r="B7" s="279">
        <v>6.0</v>
      </c>
    </row>
    <row r="8">
      <c r="A8" s="279">
        <v>1.0</v>
      </c>
      <c r="B8" s="288">
        <v>7.0</v>
      </c>
    </row>
    <row r="9">
      <c r="A9" s="288">
        <v>1.0</v>
      </c>
      <c r="B9" s="288">
        <v>8.0</v>
      </c>
    </row>
    <row r="10">
      <c r="A10" s="288">
        <v>1.0</v>
      </c>
      <c r="B10" s="288">
        <v>9.0</v>
      </c>
    </row>
    <row r="11">
      <c r="A11" s="288">
        <v>1.0</v>
      </c>
      <c r="B11" s="288">
        <v>10.0</v>
      </c>
    </row>
    <row r="12">
      <c r="A12" s="288">
        <v>1.0</v>
      </c>
      <c r="B12" s="288">
        <v>11.0</v>
      </c>
    </row>
    <row r="13">
      <c r="A13" s="288">
        <v>1.0</v>
      </c>
      <c r="B13" s="279">
        <v>12.0</v>
      </c>
    </row>
    <row r="14">
      <c r="A14" s="288">
        <v>1.0</v>
      </c>
      <c r="B14" s="288">
        <v>13.0</v>
      </c>
    </row>
    <row r="15">
      <c r="A15" s="288">
        <v>1.0</v>
      </c>
      <c r="B15" s="288">
        <v>14.0</v>
      </c>
    </row>
    <row r="16">
      <c r="A16" s="288">
        <v>1.0</v>
      </c>
      <c r="B16" s="288">
        <v>15.0</v>
      </c>
    </row>
    <row r="17">
      <c r="A17" s="288">
        <v>1.0</v>
      </c>
      <c r="B17" s="288">
        <v>16.0</v>
      </c>
    </row>
    <row r="18">
      <c r="A18" s="288">
        <v>1.0</v>
      </c>
      <c r="B18" s="288">
        <v>17.0</v>
      </c>
    </row>
    <row r="19">
      <c r="A19" s="288">
        <v>1.0</v>
      </c>
      <c r="B19" s="279">
        <v>18.0</v>
      </c>
    </row>
    <row r="20">
      <c r="A20" s="288">
        <v>1.0</v>
      </c>
      <c r="B20" s="288">
        <v>19.0</v>
      </c>
    </row>
    <row r="21">
      <c r="A21" s="288">
        <v>1.0</v>
      </c>
      <c r="B21" s="288">
        <v>20.0</v>
      </c>
    </row>
    <row r="22">
      <c r="A22" s="288">
        <v>1.0</v>
      </c>
      <c r="B22" s="288">
        <v>21.0</v>
      </c>
    </row>
    <row r="23">
      <c r="A23" s="288">
        <v>1.0</v>
      </c>
      <c r="B23" s="288">
        <v>22.0</v>
      </c>
    </row>
    <row r="24">
      <c r="A24" s="288">
        <v>1.0</v>
      </c>
      <c r="B24" s="288">
        <v>23.0</v>
      </c>
    </row>
    <row r="25">
      <c r="A25" s="288">
        <v>1.0</v>
      </c>
      <c r="B25" s="279">
        <v>24.0</v>
      </c>
    </row>
    <row r="26">
      <c r="A26" s="288">
        <v>1.0</v>
      </c>
      <c r="B26" s="288">
        <v>25.0</v>
      </c>
    </row>
    <row r="27">
      <c r="A27" s="288">
        <v>1.0</v>
      </c>
      <c r="B27" s="288">
        <v>26.0</v>
      </c>
    </row>
    <row r="28">
      <c r="A28" s="288">
        <v>1.0</v>
      </c>
      <c r="B28" s="288">
        <v>27.0</v>
      </c>
    </row>
    <row r="29">
      <c r="A29" s="288">
        <v>1.0</v>
      </c>
      <c r="B29" s="288">
        <v>28.0</v>
      </c>
    </row>
    <row r="30">
      <c r="A30" s="288">
        <v>1.0</v>
      </c>
      <c r="B30" s="288">
        <v>29.0</v>
      </c>
    </row>
    <row r="31">
      <c r="A31" s="288">
        <v>1.0</v>
      </c>
      <c r="B31" s="279">
        <v>30.0</v>
      </c>
    </row>
    <row r="32">
      <c r="A32" s="288">
        <v>1.0</v>
      </c>
      <c r="B32" s="288">
        <v>31.0</v>
      </c>
    </row>
    <row r="33">
      <c r="A33" s="288">
        <v>1.0</v>
      </c>
      <c r="B33" s="288">
        <v>32.0</v>
      </c>
    </row>
    <row r="34">
      <c r="A34" s="288">
        <v>1.0</v>
      </c>
      <c r="B34" s="288">
        <v>33.0</v>
      </c>
    </row>
    <row r="35">
      <c r="A35" s="288">
        <v>1.0</v>
      </c>
      <c r="B35" s="288">
        <v>34.0</v>
      </c>
    </row>
    <row r="36">
      <c r="A36" s="288">
        <v>1.0</v>
      </c>
      <c r="B36" s="288">
        <v>35.0</v>
      </c>
    </row>
    <row r="37">
      <c r="A37" s="288">
        <v>1.0</v>
      </c>
      <c r="B37" s="279">
        <v>36.0</v>
      </c>
    </row>
    <row r="38">
      <c r="A38" s="288">
        <v>1.0</v>
      </c>
      <c r="B38" s="288">
        <v>37.0</v>
      </c>
    </row>
    <row r="39">
      <c r="A39" s="288">
        <v>1.0</v>
      </c>
      <c r="B39" s="288">
        <v>38.0</v>
      </c>
    </row>
    <row r="40">
      <c r="A40" s="288">
        <v>1.0</v>
      </c>
      <c r="B40" s="288">
        <v>39.0</v>
      </c>
    </row>
    <row r="41">
      <c r="A41" s="288">
        <v>1.0</v>
      </c>
      <c r="B41" s="288">
        <v>40.0</v>
      </c>
    </row>
    <row r="42">
      <c r="A42" s="288">
        <v>1.0</v>
      </c>
      <c r="B42" s="288">
        <v>41.0</v>
      </c>
    </row>
    <row r="43">
      <c r="A43" s="288">
        <v>1.0</v>
      </c>
      <c r="B43" s="279">
        <v>42.0</v>
      </c>
    </row>
    <row r="44">
      <c r="A44" s="288">
        <v>1.0</v>
      </c>
      <c r="B44" s="288">
        <v>43.0</v>
      </c>
    </row>
    <row r="45">
      <c r="A45" s="288">
        <v>1.0</v>
      </c>
      <c r="B45" s="288">
        <v>44.0</v>
      </c>
    </row>
    <row r="46">
      <c r="A46" s="288">
        <v>1.0</v>
      </c>
      <c r="B46" s="288">
        <v>45.0</v>
      </c>
    </row>
    <row r="47">
      <c r="A47" s="288">
        <v>1.0</v>
      </c>
      <c r="B47" s="288">
        <v>46.0</v>
      </c>
    </row>
    <row r="48">
      <c r="A48" s="288">
        <v>1.0</v>
      </c>
      <c r="B48" s="288">
        <v>47.0</v>
      </c>
    </row>
    <row r="49">
      <c r="A49" s="288">
        <v>1.0</v>
      </c>
      <c r="B49" s="279">
        <v>48.0</v>
      </c>
    </row>
    <row r="50">
      <c r="A50" s="288">
        <v>1.0</v>
      </c>
      <c r="B50" s="288">
        <v>49.0</v>
      </c>
    </row>
    <row r="51">
      <c r="A51" s="288">
        <v>1.0</v>
      </c>
      <c r="B51" s="288">
        <v>50.0</v>
      </c>
    </row>
    <row r="52">
      <c r="A52" s="288">
        <v>1.0</v>
      </c>
      <c r="B52" s="288">
        <v>51.0</v>
      </c>
    </row>
    <row r="53">
      <c r="A53" s="288">
        <v>1.0</v>
      </c>
      <c r="B53" s="288">
        <v>52.0</v>
      </c>
    </row>
    <row r="54">
      <c r="A54" s="288">
        <v>1.0</v>
      </c>
      <c r="B54" s="288">
        <v>53.0</v>
      </c>
    </row>
    <row r="55">
      <c r="A55" s="288">
        <v>1.0</v>
      </c>
      <c r="B55" s="279">
        <v>54.0</v>
      </c>
    </row>
    <row r="56">
      <c r="A56" s="288">
        <v>1.0</v>
      </c>
      <c r="B56" s="288">
        <v>55.0</v>
      </c>
    </row>
    <row r="57">
      <c r="A57" s="288">
        <v>1.0</v>
      </c>
      <c r="B57" s="288">
        <v>56.0</v>
      </c>
    </row>
    <row r="58">
      <c r="A58" s="288">
        <v>1.0</v>
      </c>
      <c r="B58" s="288">
        <v>57.0</v>
      </c>
    </row>
    <row r="59">
      <c r="A59" s="288">
        <v>1.0</v>
      </c>
      <c r="B59" s="288">
        <v>58.0</v>
      </c>
    </row>
    <row r="60">
      <c r="A60" s="288">
        <v>1.0</v>
      </c>
      <c r="B60" s="288">
        <v>59.0</v>
      </c>
    </row>
    <row r="61">
      <c r="A61" s="288">
        <v>1.0</v>
      </c>
      <c r="B61" s="279">
        <v>60.0</v>
      </c>
    </row>
    <row r="62">
      <c r="A62" s="288">
        <v>1.0</v>
      </c>
      <c r="B62" s="288">
        <v>61.0</v>
      </c>
    </row>
    <row r="63">
      <c r="A63" s="288">
        <v>1.0</v>
      </c>
      <c r="B63" s="288">
        <v>62.0</v>
      </c>
    </row>
    <row r="64">
      <c r="A64" s="288">
        <v>1.0</v>
      </c>
      <c r="B64" s="288">
        <v>63.0</v>
      </c>
    </row>
    <row r="65">
      <c r="A65" s="288">
        <v>1.0</v>
      </c>
      <c r="B65" s="288">
        <v>64.0</v>
      </c>
    </row>
    <row r="66">
      <c r="A66" s="288">
        <v>1.0</v>
      </c>
      <c r="B66" s="288">
        <v>65.0</v>
      </c>
    </row>
    <row r="67">
      <c r="A67" s="288">
        <v>1.0</v>
      </c>
      <c r="B67" s="279">
        <v>66.0</v>
      </c>
    </row>
    <row r="68">
      <c r="A68" s="288">
        <v>1.0</v>
      </c>
      <c r="B68" s="288">
        <v>67.0</v>
      </c>
    </row>
    <row r="69">
      <c r="A69" s="288">
        <v>1.0</v>
      </c>
      <c r="B69" s="288">
        <v>68.0</v>
      </c>
    </row>
    <row r="70">
      <c r="A70" s="288">
        <v>1.0</v>
      </c>
      <c r="B70" s="288">
        <v>69.0</v>
      </c>
    </row>
    <row r="71">
      <c r="A71" s="288">
        <v>1.0</v>
      </c>
      <c r="B71" s="288">
        <v>70.0</v>
      </c>
    </row>
    <row r="72">
      <c r="A72" s="288">
        <v>1.0</v>
      </c>
      <c r="B72" s="288">
        <v>71.0</v>
      </c>
    </row>
    <row r="73">
      <c r="A73" s="288">
        <v>1.0</v>
      </c>
      <c r="B73" s="279">
        <v>72.0</v>
      </c>
    </row>
    <row r="74">
      <c r="A74" s="288">
        <v>1.0</v>
      </c>
      <c r="B74" s="288">
        <v>73.0</v>
      </c>
    </row>
    <row r="75">
      <c r="A75" s="288">
        <v>1.0</v>
      </c>
      <c r="B75" s="288">
        <v>74.0</v>
      </c>
    </row>
    <row r="76">
      <c r="A76" s="288">
        <v>1.0</v>
      </c>
      <c r="B76" s="288">
        <v>75.0</v>
      </c>
    </row>
    <row r="77">
      <c r="A77" s="288">
        <v>1.0</v>
      </c>
      <c r="B77" s="288">
        <v>76.0</v>
      </c>
    </row>
    <row r="78">
      <c r="A78" s="288">
        <v>1.0</v>
      </c>
      <c r="B78" s="288">
        <v>77.0</v>
      </c>
    </row>
    <row r="79">
      <c r="A79" s="288">
        <v>1.0</v>
      </c>
      <c r="B79" s="279">
        <v>78.0</v>
      </c>
    </row>
    <row r="80">
      <c r="A80" s="288">
        <v>1.0</v>
      </c>
      <c r="B80" s="288">
        <v>79.0</v>
      </c>
    </row>
    <row r="81">
      <c r="A81" s="288">
        <v>1.0</v>
      </c>
      <c r="B81" s="288">
        <v>80.0</v>
      </c>
    </row>
    <row r="82">
      <c r="A82" s="288">
        <v>1.0</v>
      </c>
      <c r="B82" s="288">
        <v>81.0</v>
      </c>
    </row>
    <row r="83">
      <c r="A83" s="288">
        <v>1.0</v>
      </c>
      <c r="B83" s="288">
        <v>82.0</v>
      </c>
    </row>
    <row r="84">
      <c r="A84" s="288">
        <v>1.0</v>
      </c>
      <c r="B84" s="288">
        <v>83.0</v>
      </c>
    </row>
    <row r="85">
      <c r="A85" s="288">
        <v>1.0</v>
      </c>
      <c r="B85" s="279">
        <v>84.0</v>
      </c>
    </row>
    <row r="86">
      <c r="A86" s="288">
        <v>1.0</v>
      </c>
      <c r="B86" s="288">
        <v>85.0</v>
      </c>
    </row>
    <row r="87">
      <c r="A87" s="288">
        <v>1.0</v>
      </c>
      <c r="B87" s="288">
        <v>86.0</v>
      </c>
    </row>
    <row r="88">
      <c r="A88" s="288">
        <v>1.0</v>
      </c>
      <c r="B88" s="288">
        <v>87.0</v>
      </c>
    </row>
    <row r="89">
      <c r="A89" s="288">
        <v>1.0</v>
      </c>
      <c r="B89" s="288">
        <v>88.0</v>
      </c>
    </row>
    <row r="90">
      <c r="A90" s="288">
        <v>1.0</v>
      </c>
      <c r="B90" s="288">
        <v>89.0</v>
      </c>
    </row>
    <row r="91">
      <c r="A91" s="288">
        <v>1.0</v>
      </c>
      <c r="B91" s="279">
        <v>90.0</v>
      </c>
    </row>
    <row r="92">
      <c r="A92" s="288">
        <v>1.0</v>
      </c>
      <c r="B92" s="288">
        <v>91.0</v>
      </c>
    </row>
    <row r="93">
      <c r="A93" s="288">
        <v>1.0</v>
      </c>
      <c r="B93" s="288">
        <v>92.0</v>
      </c>
    </row>
    <row r="94">
      <c r="A94" s="288">
        <v>1.0</v>
      </c>
      <c r="B94" s="288">
        <v>93.0</v>
      </c>
    </row>
    <row r="95">
      <c r="A95" s="288">
        <v>1.0</v>
      </c>
      <c r="B95" s="288">
        <v>94.0</v>
      </c>
    </row>
    <row r="96">
      <c r="A96" s="288">
        <v>1.0</v>
      </c>
      <c r="B96" s="288">
        <v>95.0</v>
      </c>
    </row>
    <row r="97">
      <c r="A97" s="288">
        <v>1.0</v>
      </c>
      <c r="B97" s="279">
        <v>96.0</v>
      </c>
    </row>
    <row r="98">
      <c r="A98" s="288">
        <v>1.0</v>
      </c>
      <c r="B98" s="288">
        <v>97.0</v>
      </c>
    </row>
    <row r="99">
      <c r="A99" s="288">
        <v>1.0</v>
      </c>
      <c r="B99" s="279">
        <v>98.0</v>
      </c>
    </row>
    <row r="100">
      <c r="A100" s="288">
        <v>1.0</v>
      </c>
      <c r="B100" s="279">
        <v>99.0</v>
      </c>
    </row>
    <row r="101">
      <c r="A101" s="288">
        <v>2.0</v>
      </c>
      <c r="B101" s="279">
        <v>0.0</v>
      </c>
    </row>
    <row r="102">
      <c r="A102" s="288">
        <v>2.0</v>
      </c>
      <c r="B102" s="288">
        <v>1.0</v>
      </c>
    </row>
    <row r="103">
      <c r="A103" s="288">
        <v>2.0</v>
      </c>
      <c r="B103" s="288">
        <v>2.0</v>
      </c>
    </row>
    <row r="104">
      <c r="A104" s="288">
        <v>2.0</v>
      </c>
      <c r="B104" s="288">
        <v>3.0</v>
      </c>
    </row>
    <row r="105">
      <c r="A105" s="288">
        <v>2.0</v>
      </c>
      <c r="B105" s="288">
        <v>4.0</v>
      </c>
    </row>
    <row r="106">
      <c r="A106" s="288">
        <v>2.0</v>
      </c>
      <c r="B106" s="288">
        <v>5.0</v>
      </c>
    </row>
    <row r="107">
      <c r="A107" s="288">
        <v>2.0</v>
      </c>
      <c r="B107" s="279">
        <v>6.0</v>
      </c>
    </row>
    <row r="108">
      <c r="A108" s="288">
        <v>2.0</v>
      </c>
      <c r="B108" s="288">
        <v>7.0</v>
      </c>
    </row>
    <row r="109">
      <c r="A109" s="288">
        <v>2.0</v>
      </c>
      <c r="B109" s="288">
        <v>8.0</v>
      </c>
    </row>
    <row r="110">
      <c r="A110" s="288">
        <v>2.0</v>
      </c>
      <c r="B110" s="288">
        <v>9.0</v>
      </c>
    </row>
    <row r="111">
      <c r="A111" s="288">
        <v>2.0</v>
      </c>
      <c r="B111" s="288">
        <v>10.0</v>
      </c>
    </row>
    <row r="112">
      <c r="A112" s="288">
        <v>2.0</v>
      </c>
      <c r="B112" s="288">
        <v>11.0</v>
      </c>
    </row>
    <row r="113">
      <c r="A113" s="288">
        <v>2.0</v>
      </c>
      <c r="B113" s="279">
        <v>12.0</v>
      </c>
    </row>
    <row r="114">
      <c r="A114" s="288">
        <v>2.0</v>
      </c>
      <c r="B114" s="288">
        <v>13.0</v>
      </c>
    </row>
    <row r="115">
      <c r="A115" s="288">
        <v>2.0</v>
      </c>
      <c r="B115" s="288">
        <v>14.0</v>
      </c>
    </row>
    <row r="116">
      <c r="A116" s="288">
        <v>2.0</v>
      </c>
      <c r="B116" s="288">
        <v>15.0</v>
      </c>
    </row>
    <row r="117">
      <c r="A117" s="288">
        <v>2.0</v>
      </c>
      <c r="B117" s="288">
        <v>16.0</v>
      </c>
    </row>
    <row r="118">
      <c r="A118" s="288">
        <v>2.0</v>
      </c>
      <c r="B118" s="288">
        <v>17.0</v>
      </c>
    </row>
    <row r="119">
      <c r="A119" s="288">
        <v>2.0</v>
      </c>
      <c r="B119" s="279">
        <v>18.0</v>
      </c>
    </row>
    <row r="120">
      <c r="A120" s="288">
        <v>2.0</v>
      </c>
      <c r="B120" s="288">
        <v>19.0</v>
      </c>
    </row>
    <row r="121">
      <c r="A121" s="288">
        <v>2.0</v>
      </c>
      <c r="B121" s="288">
        <v>20.0</v>
      </c>
    </row>
    <row r="122">
      <c r="A122" s="288">
        <v>2.0</v>
      </c>
      <c r="B122" s="288">
        <v>21.0</v>
      </c>
    </row>
    <row r="123">
      <c r="A123" s="288">
        <v>2.0</v>
      </c>
      <c r="B123" s="288">
        <v>22.0</v>
      </c>
    </row>
    <row r="124">
      <c r="A124" s="288">
        <v>2.0</v>
      </c>
      <c r="B124" s="288">
        <v>23.0</v>
      </c>
    </row>
    <row r="125">
      <c r="A125" s="288">
        <v>2.0</v>
      </c>
      <c r="B125" s="279">
        <v>24.0</v>
      </c>
    </row>
    <row r="126">
      <c r="A126" s="288">
        <v>2.0</v>
      </c>
      <c r="B126" s="288">
        <v>25.0</v>
      </c>
    </row>
    <row r="127">
      <c r="A127" s="288">
        <v>2.0</v>
      </c>
      <c r="B127" s="288">
        <v>26.0</v>
      </c>
    </row>
    <row r="128">
      <c r="A128" s="288">
        <v>2.0</v>
      </c>
      <c r="B128" s="288">
        <v>27.0</v>
      </c>
    </row>
    <row r="129">
      <c r="A129" s="288">
        <v>2.0</v>
      </c>
      <c r="B129" s="288">
        <v>28.0</v>
      </c>
    </row>
    <row r="130">
      <c r="A130" s="288">
        <v>2.0</v>
      </c>
      <c r="B130" s="288">
        <v>29.0</v>
      </c>
    </row>
    <row r="131">
      <c r="A131" s="288">
        <v>2.0</v>
      </c>
      <c r="B131" s="279">
        <v>30.0</v>
      </c>
    </row>
    <row r="132">
      <c r="A132" s="288">
        <v>2.0</v>
      </c>
      <c r="B132" s="288">
        <v>31.0</v>
      </c>
    </row>
    <row r="133">
      <c r="A133" s="288">
        <v>2.0</v>
      </c>
      <c r="B133" s="288">
        <v>32.0</v>
      </c>
    </row>
    <row r="134">
      <c r="A134" s="288">
        <v>2.0</v>
      </c>
      <c r="B134" s="288">
        <v>33.0</v>
      </c>
    </row>
    <row r="135">
      <c r="A135" s="288">
        <v>2.0</v>
      </c>
      <c r="B135" s="288">
        <v>34.0</v>
      </c>
    </row>
    <row r="136">
      <c r="A136" s="288">
        <v>2.0</v>
      </c>
      <c r="B136" s="288">
        <v>35.0</v>
      </c>
    </row>
    <row r="137">
      <c r="A137" s="288">
        <v>2.0</v>
      </c>
      <c r="B137" s="279">
        <v>36.0</v>
      </c>
    </row>
    <row r="138">
      <c r="A138" s="288">
        <v>2.0</v>
      </c>
      <c r="B138" s="288">
        <v>37.0</v>
      </c>
    </row>
    <row r="139">
      <c r="A139" s="288">
        <v>2.0</v>
      </c>
      <c r="B139" s="288">
        <v>38.0</v>
      </c>
    </row>
    <row r="140">
      <c r="A140" s="288">
        <v>2.0</v>
      </c>
      <c r="B140" s="288">
        <v>39.0</v>
      </c>
    </row>
    <row r="141">
      <c r="A141" s="288">
        <v>2.0</v>
      </c>
      <c r="B141" s="288">
        <v>40.0</v>
      </c>
    </row>
    <row r="142">
      <c r="A142" s="288">
        <v>2.0</v>
      </c>
      <c r="B142" s="288">
        <v>41.0</v>
      </c>
    </row>
    <row r="143">
      <c r="A143" s="288">
        <v>2.0</v>
      </c>
      <c r="B143" s="279">
        <v>42.0</v>
      </c>
    </row>
    <row r="144">
      <c r="A144" s="288">
        <v>2.0</v>
      </c>
      <c r="B144" s="288">
        <v>43.0</v>
      </c>
    </row>
    <row r="145">
      <c r="A145" s="288">
        <v>2.0</v>
      </c>
      <c r="B145" s="288">
        <v>44.0</v>
      </c>
    </row>
    <row r="146">
      <c r="A146" s="288">
        <v>2.0</v>
      </c>
      <c r="B146" s="288">
        <v>45.0</v>
      </c>
    </row>
    <row r="147">
      <c r="A147" s="288">
        <v>2.0</v>
      </c>
      <c r="B147" s="288">
        <v>46.0</v>
      </c>
    </row>
    <row r="148">
      <c r="A148" s="288">
        <v>2.0</v>
      </c>
      <c r="B148" s="288">
        <v>47.0</v>
      </c>
    </row>
    <row r="149">
      <c r="A149" s="288">
        <v>2.0</v>
      </c>
      <c r="B149" s="279">
        <v>48.0</v>
      </c>
    </row>
    <row r="150">
      <c r="A150" s="288">
        <v>2.0</v>
      </c>
      <c r="B150" s="288">
        <v>49.0</v>
      </c>
    </row>
    <row r="151">
      <c r="A151" s="288">
        <v>2.0</v>
      </c>
      <c r="B151" s="288">
        <v>50.0</v>
      </c>
    </row>
    <row r="152">
      <c r="A152" s="288">
        <v>2.0</v>
      </c>
      <c r="B152" s="288">
        <v>51.0</v>
      </c>
    </row>
    <row r="153">
      <c r="A153" s="288">
        <v>2.0</v>
      </c>
      <c r="B153" s="288">
        <v>52.0</v>
      </c>
    </row>
    <row r="154">
      <c r="A154" s="288">
        <v>2.0</v>
      </c>
      <c r="B154" s="288">
        <v>53.0</v>
      </c>
    </row>
    <row r="155">
      <c r="A155" s="288">
        <v>2.0</v>
      </c>
      <c r="B155" s="279">
        <v>54.0</v>
      </c>
    </row>
    <row r="156">
      <c r="A156" s="288">
        <v>2.0</v>
      </c>
      <c r="B156" s="288">
        <v>55.0</v>
      </c>
    </row>
    <row r="157">
      <c r="A157" s="288">
        <v>2.0</v>
      </c>
      <c r="B157" s="288">
        <v>56.0</v>
      </c>
    </row>
    <row r="158">
      <c r="A158" s="288">
        <v>2.0</v>
      </c>
      <c r="B158" s="288">
        <v>57.0</v>
      </c>
    </row>
    <row r="159">
      <c r="A159" s="288">
        <v>2.0</v>
      </c>
      <c r="B159" s="288">
        <v>58.0</v>
      </c>
    </row>
    <row r="160">
      <c r="A160" s="288">
        <v>2.0</v>
      </c>
      <c r="B160" s="288">
        <v>59.0</v>
      </c>
    </row>
    <row r="161">
      <c r="A161" s="288">
        <v>2.0</v>
      </c>
      <c r="B161" s="279">
        <v>60.0</v>
      </c>
    </row>
    <row r="162">
      <c r="A162" s="288">
        <v>2.0</v>
      </c>
      <c r="B162" s="288">
        <v>61.0</v>
      </c>
    </row>
    <row r="163">
      <c r="A163" s="288">
        <v>2.0</v>
      </c>
      <c r="B163" s="288">
        <v>62.0</v>
      </c>
    </row>
    <row r="164">
      <c r="A164" s="288">
        <v>2.0</v>
      </c>
      <c r="B164" s="288">
        <v>63.0</v>
      </c>
    </row>
    <row r="165">
      <c r="A165" s="288">
        <v>2.0</v>
      </c>
      <c r="B165" s="288">
        <v>64.0</v>
      </c>
    </row>
    <row r="166">
      <c r="A166" s="288">
        <v>2.0</v>
      </c>
      <c r="B166" s="288">
        <v>65.0</v>
      </c>
    </row>
    <row r="167">
      <c r="A167" s="288">
        <v>2.0</v>
      </c>
      <c r="B167" s="279">
        <v>66.0</v>
      </c>
    </row>
    <row r="168">
      <c r="A168" s="288">
        <v>2.0</v>
      </c>
      <c r="B168" s="288">
        <v>67.0</v>
      </c>
    </row>
    <row r="169">
      <c r="A169" s="288">
        <v>2.0</v>
      </c>
      <c r="B169" s="288">
        <v>68.0</v>
      </c>
    </row>
    <row r="170">
      <c r="A170" s="288">
        <v>2.0</v>
      </c>
      <c r="B170" s="288">
        <v>69.0</v>
      </c>
    </row>
    <row r="171">
      <c r="A171" s="288">
        <v>2.0</v>
      </c>
      <c r="B171" s="288">
        <v>70.0</v>
      </c>
    </row>
    <row r="172">
      <c r="A172" s="288">
        <v>2.0</v>
      </c>
      <c r="B172" s="288">
        <v>71.0</v>
      </c>
    </row>
    <row r="173">
      <c r="A173" s="288">
        <v>2.0</v>
      </c>
      <c r="B173" s="279">
        <v>72.0</v>
      </c>
    </row>
    <row r="174">
      <c r="A174" s="288">
        <v>2.0</v>
      </c>
      <c r="B174" s="288">
        <v>73.0</v>
      </c>
    </row>
    <row r="175">
      <c r="A175" s="288">
        <v>2.0</v>
      </c>
      <c r="B175" s="288">
        <v>74.0</v>
      </c>
    </row>
    <row r="176">
      <c r="A176" s="288">
        <v>2.0</v>
      </c>
      <c r="B176" s="288">
        <v>75.0</v>
      </c>
    </row>
    <row r="177">
      <c r="A177" s="288">
        <v>2.0</v>
      </c>
      <c r="B177" s="288">
        <v>76.0</v>
      </c>
    </row>
    <row r="178">
      <c r="A178" s="288">
        <v>2.0</v>
      </c>
      <c r="B178" s="288">
        <v>77.0</v>
      </c>
    </row>
    <row r="179">
      <c r="A179" s="288">
        <v>2.0</v>
      </c>
      <c r="B179" s="279">
        <v>78.0</v>
      </c>
    </row>
    <row r="180">
      <c r="A180" s="288">
        <v>2.0</v>
      </c>
      <c r="B180" s="288">
        <v>79.0</v>
      </c>
    </row>
    <row r="181">
      <c r="A181" s="288">
        <v>2.0</v>
      </c>
      <c r="B181" s="288">
        <v>80.0</v>
      </c>
    </row>
    <row r="182">
      <c r="A182" s="288">
        <v>2.0</v>
      </c>
      <c r="B182" s="288">
        <v>81.0</v>
      </c>
    </row>
    <row r="183">
      <c r="A183" s="288">
        <v>2.0</v>
      </c>
      <c r="B183" s="288">
        <v>82.0</v>
      </c>
    </row>
    <row r="184">
      <c r="A184" s="288">
        <v>2.0</v>
      </c>
      <c r="B184" s="288">
        <v>83.0</v>
      </c>
    </row>
    <row r="185">
      <c r="A185" s="288">
        <v>2.0</v>
      </c>
      <c r="B185" s="279">
        <v>84.0</v>
      </c>
    </row>
    <row r="186">
      <c r="A186" s="288">
        <v>2.0</v>
      </c>
      <c r="B186" s="288">
        <v>85.0</v>
      </c>
    </row>
    <row r="187">
      <c r="A187" s="288">
        <v>2.0</v>
      </c>
      <c r="B187" s="288">
        <v>86.0</v>
      </c>
    </row>
    <row r="188">
      <c r="A188" s="288">
        <v>2.0</v>
      </c>
      <c r="B188" s="288">
        <v>87.0</v>
      </c>
    </row>
    <row r="189">
      <c r="A189" s="288">
        <v>2.0</v>
      </c>
      <c r="B189" s="288">
        <v>88.0</v>
      </c>
    </row>
    <row r="190">
      <c r="A190" s="288">
        <v>2.0</v>
      </c>
      <c r="B190" s="288">
        <v>89.0</v>
      </c>
    </row>
    <row r="191">
      <c r="A191" s="288">
        <v>2.0</v>
      </c>
      <c r="B191" s="279">
        <v>90.0</v>
      </c>
    </row>
    <row r="192">
      <c r="A192" s="288">
        <v>2.0</v>
      </c>
      <c r="B192" s="288">
        <v>91.0</v>
      </c>
    </row>
    <row r="193">
      <c r="A193" s="288">
        <v>2.0</v>
      </c>
      <c r="B193" s="288">
        <v>92.0</v>
      </c>
    </row>
    <row r="194">
      <c r="A194" s="288">
        <v>2.0</v>
      </c>
      <c r="B194" s="288">
        <v>93.0</v>
      </c>
    </row>
    <row r="195">
      <c r="A195" s="288">
        <v>2.0</v>
      </c>
      <c r="B195" s="288">
        <v>94.0</v>
      </c>
    </row>
    <row r="196">
      <c r="A196" s="288">
        <v>2.0</v>
      </c>
      <c r="B196" s="288">
        <v>95.0</v>
      </c>
    </row>
    <row r="197">
      <c r="A197" s="288">
        <v>2.0</v>
      </c>
      <c r="B197" s="279">
        <v>96.0</v>
      </c>
    </row>
    <row r="198">
      <c r="A198" s="288">
        <v>2.0</v>
      </c>
      <c r="B198" s="288">
        <v>97.0</v>
      </c>
    </row>
    <row r="199">
      <c r="A199" s="288">
        <v>2.0</v>
      </c>
      <c r="B199" s="279">
        <v>98.0</v>
      </c>
    </row>
    <row r="200">
      <c r="A200" s="288">
        <v>2.0</v>
      </c>
      <c r="B200" s="279">
        <v>99.0</v>
      </c>
    </row>
    <row r="201">
      <c r="A201" s="288">
        <v>3.0</v>
      </c>
      <c r="B201" s="279">
        <v>0.0</v>
      </c>
    </row>
    <row r="202">
      <c r="A202" s="288">
        <v>3.0</v>
      </c>
      <c r="B202" s="288">
        <v>1.0</v>
      </c>
    </row>
    <row r="203">
      <c r="A203" s="288">
        <v>3.0</v>
      </c>
      <c r="B203" s="288">
        <v>2.0</v>
      </c>
    </row>
    <row r="204">
      <c r="A204" s="288">
        <v>3.0</v>
      </c>
      <c r="B204" s="288">
        <v>3.0</v>
      </c>
    </row>
    <row r="205">
      <c r="A205" s="288">
        <v>3.0</v>
      </c>
      <c r="B205" s="288">
        <v>4.0</v>
      </c>
    </row>
    <row r="206">
      <c r="A206" s="288">
        <v>3.0</v>
      </c>
      <c r="B206" s="288">
        <v>5.0</v>
      </c>
    </row>
    <row r="207">
      <c r="A207" s="288">
        <v>3.0</v>
      </c>
      <c r="B207" s="279">
        <v>6.0</v>
      </c>
    </row>
    <row r="208">
      <c r="A208" s="288">
        <v>3.0</v>
      </c>
      <c r="B208" s="288">
        <v>7.0</v>
      </c>
    </row>
    <row r="209">
      <c r="A209" s="288">
        <v>3.0</v>
      </c>
      <c r="B209" s="288">
        <v>8.0</v>
      </c>
    </row>
    <row r="210">
      <c r="A210" s="288">
        <v>3.0</v>
      </c>
      <c r="B210" s="288">
        <v>9.0</v>
      </c>
    </row>
    <row r="211">
      <c r="A211" s="288">
        <v>3.0</v>
      </c>
      <c r="B211" s="288">
        <v>10.0</v>
      </c>
    </row>
    <row r="212">
      <c r="A212" s="288">
        <v>3.0</v>
      </c>
      <c r="B212" s="288">
        <v>11.0</v>
      </c>
    </row>
    <row r="213">
      <c r="A213" s="288">
        <v>3.0</v>
      </c>
      <c r="B213" s="279">
        <v>12.0</v>
      </c>
    </row>
    <row r="214">
      <c r="A214" s="288">
        <v>3.0</v>
      </c>
      <c r="B214" s="288">
        <v>13.0</v>
      </c>
    </row>
    <row r="215">
      <c r="A215" s="288">
        <v>3.0</v>
      </c>
      <c r="B215" s="288">
        <v>14.0</v>
      </c>
    </row>
    <row r="216">
      <c r="A216" s="288">
        <v>3.0</v>
      </c>
      <c r="B216" s="288">
        <v>15.0</v>
      </c>
    </row>
    <row r="217">
      <c r="A217" s="288">
        <v>3.0</v>
      </c>
      <c r="B217" s="288">
        <v>16.0</v>
      </c>
    </row>
    <row r="218">
      <c r="A218" s="288">
        <v>3.0</v>
      </c>
      <c r="B218" s="288">
        <v>17.0</v>
      </c>
    </row>
    <row r="219">
      <c r="A219" s="288">
        <v>3.0</v>
      </c>
      <c r="B219" s="279">
        <v>18.0</v>
      </c>
    </row>
    <row r="220">
      <c r="A220" s="288">
        <v>3.0</v>
      </c>
      <c r="B220" s="288">
        <v>19.0</v>
      </c>
    </row>
    <row r="221">
      <c r="A221" s="288">
        <v>3.0</v>
      </c>
      <c r="B221" s="288">
        <v>20.0</v>
      </c>
    </row>
    <row r="222">
      <c r="A222" s="288">
        <v>3.0</v>
      </c>
      <c r="B222" s="288">
        <v>21.0</v>
      </c>
    </row>
    <row r="223">
      <c r="A223" s="288">
        <v>3.0</v>
      </c>
      <c r="B223" s="288">
        <v>22.0</v>
      </c>
    </row>
    <row r="224">
      <c r="A224" s="288">
        <v>3.0</v>
      </c>
      <c r="B224" s="288">
        <v>23.0</v>
      </c>
    </row>
    <row r="225">
      <c r="A225" s="288">
        <v>3.0</v>
      </c>
      <c r="B225" s="279">
        <v>24.0</v>
      </c>
    </row>
    <row r="226">
      <c r="A226" s="288">
        <v>3.0</v>
      </c>
      <c r="B226" s="288">
        <v>25.0</v>
      </c>
    </row>
    <row r="227">
      <c r="A227" s="288">
        <v>3.0</v>
      </c>
      <c r="B227" s="288">
        <v>26.0</v>
      </c>
    </row>
    <row r="228">
      <c r="A228" s="288">
        <v>3.0</v>
      </c>
      <c r="B228" s="288">
        <v>27.0</v>
      </c>
    </row>
    <row r="229">
      <c r="A229" s="288">
        <v>3.0</v>
      </c>
      <c r="B229" s="288">
        <v>28.0</v>
      </c>
    </row>
    <row r="230">
      <c r="A230" s="288">
        <v>3.0</v>
      </c>
      <c r="B230" s="288">
        <v>29.0</v>
      </c>
    </row>
    <row r="231">
      <c r="A231" s="288">
        <v>3.0</v>
      </c>
      <c r="B231" s="279">
        <v>30.0</v>
      </c>
    </row>
    <row r="232">
      <c r="A232" s="288">
        <v>3.0</v>
      </c>
      <c r="B232" s="288">
        <v>31.0</v>
      </c>
    </row>
    <row r="233">
      <c r="A233" s="288">
        <v>3.0</v>
      </c>
      <c r="B233" s="288">
        <v>32.0</v>
      </c>
    </row>
    <row r="234">
      <c r="A234" s="288">
        <v>3.0</v>
      </c>
      <c r="B234" s="288">
        <v>33.0</v>
      </c>
    </row>
    <row r="235">
      <c r="A235" s="288">
        <v>3.0</v>
      </c>
      <c r="B235" s="288">
        <v>34.0</v>
      </c>
    </row>
    <row r="236">
      <c r="A236" s="288">
        <v>3.0</v>
      </c>
      <c r="B236" s="288">
        <v>35.0</v>
      </c>
    </row>
    <row r="237">
      <c r="A237" s="288">
        <v>3.0</v>
      </c>
      <c r="B237" s="279">
        <v>36.0</v>
      </c>
    </row>
    <row r="238">
      <c r="A238" s="288">
        <v>3.0</v>
      </c>
      <c r="B238" s="288">
        <v>37.0</v>
      </c>
    </row>
    <row r="239">
      <c r="A239" s="288">
        <v>3.0</v>
      </c>
      <c r="B239" s="288">
        <v>38.0</v>
      </c>
    </row>
    <row r="240">
      <c r="A240" s="288">
        <v>3.0</v>
      </c>
      <c r="B240" s="288">
        <v>39.0</v>
      </c>
    </row>
    <row r="241">
      <c r="A241" s="288">
        <v>3.0</v>
      </c>
      <c r="B241" s="288">
        <v>40.0</v>
      </c>
    </row>
    <row r="242">
      <c r="A242" s="288">
        <v>3.0</v>
      </c>
      <c r="B242" s="288">
        <v>41.0</v>
      </c>
    </row>
    <row r="243">
      <c r="A243" s="288">
        <v>3.0</v>
      </c>
      <c r="B243" s="279">
        <v>42.0</v>
      </c>
    </row>
    <row r="244">
      <c r="A244" s="288">
        <v>3.0</v>
      </c>
      <c r="B244" s="288">
        <v>43.0</v>
      </c>
    </row>
    <row r="245">
      <c r="A245" s="288">
        <v>3.0</v>
      </c>
      <c r="B245" s="288">
        <v>44.0</v>
      </c>
    </row>
    <row r="246">
      <c r="A246" s="288">
        <v>3.0</v>
      </c>
      <c r="B246" s="288">
        <v>45.0</v>
      </c>
    </row>
    <row r="247">
      <c r="A247" s="288">
        <v>3.0</v>
      </c>
      <c r="B247" s="288">
        <v>46.0</v>
      </c>
    </row>
    <row r="248">
      <c r="A248" s="288">
        <v>3.0</v>
      </c>
      <c r="B248" s="288">
        <v>47.0</v>
      </c>
    </row>
    <row r="249">
      <c r="A249" s="288">
        <v>3.0</v>
      </c>
      <c r="B249" s="279">
        <v>48.0</v>
      </c>
    </row>
    <row r="250">
      <c r="A250" s="288">
        <v>3.0</v>
      </c>
      <c r="B250" s="288">
        <v>49.0</v>
      </c>
    </row>
    <row r="251">
      <c r="A251" s="288">
        <v>3.0</v>
      </c>
      <c r="B251" s="288">
        <v>50.0</v>
      </c>
    </row>
    <row r="252">
      <c r="A252" s="288">
        <v>3.0</v>
      </c>
      <c r="B252" s="288">
        <v>51.0</v>
      </c>
    </row>
    <row r="253">
      <c r="A253" s="288">
        <v>3.0</v>
      </c>
      <c r="B253" s="288">
        <v>52.0</v>
      </c>
    </row>
    <row r="254">
      <c r="A254" s="288">
        <v>3.0</v>
      </c>
      <c r="B254" s="288">
        <v>53.0</v>
      </c>
    </row>
    <row r="255">
      <c r="A255" s="288">
        <v>3.0</v>
      </c>
      <c r="B255" s="279">
        <v>54.0</v>
      </c>
    </row>
    <row r="256">
      <c r="A256" s="288">
        <v>3.0</v>
      </c>
      <c r="B256" s="288">
        <v>55.0</v>
      </c>
    </row>
    <row r="257">
      <c r="A257" s="288">
        <v>3.0</v>
      </c>
      <c r="B257" s="288">
        <v>56.0</v>
      </c>
    </row>
    <row r="258">
      <c r="A258" s="288">
        <v>3.0</v>
      </c>
      <c r="B258" s="288">
        <v>57.0</v>
      </c>
    </row>
    <row r="259">
      <c r="A259" s="288">
        <v>3.0</v>
      </c>
      <c r="B259" s="288">
        <v>58.0</v>
      </c>
    </row>
    <row r="260">
      <c r="A260" s="288">
        <v>3.0</v>
      </c>
      <c r="B260" s="288">
        <v>59.0</v>
      </c>
    </row>
    <row r="261">
      <c r="A261" s="288">
        <v>3.0</v>
      </c>
      <c r="B261" s="279">
        <v>60.0</v>
      </c>
    </row>
    <row r="262">
      <c r="A262" s="288">
        <v>3.0</v>
      </c>
      <c r="B262" s="288">
        <v>61.0</v>
      </c>
    </row>
    <row r="263">
      <c r="A263" s="288">
        <v>3.0</v>
      </c>
      <c r="B263" s="288">
        <v>62.0</v>
      </c>
    </row>
    <row r="264">
      <c r="A264" s="288">
        <v>3.0</v>
      </c>
      <c r="B264" s="288">
        <v>63.0</v>
      </c>
    </row>
    <row r="265">
      <c r="A265" s="288">
        <v>3.0</v>
      </c>
      <c r="B265" s="288">
        <v>64.0</v>
      </c>
    </row>
    <row r="266">
      <c r="A266" s="288">
        <v>3.0</v>
      </c>
      <c r="B266" s="288">
        <v>65.0</v>
      </c>
    </row>
    <row r="267">
      <c r="A267" s="288">
        <v>3.0</v>
      </c>
      <c r="B267" s="279">
        <v>66.0</v>
      </c>
    </row>
    <row r="268">
      <c r="A268" s="288">
        <v>3.0</v>
      </c>
      <c r="B268" s="288">
        <v>67.0</v>
      </c>
    </row>
    <row r="269">
      <c r="A269" s="288">
        <v>3.0</v>
      </c>
      <c r="B269" s="288">
        <v>68.0</v>
      </c>
    </row>
    <row r="270">
      <c r="A270" s="288">
        <v>3.0</v>
      </c>
      <c r="B270" s="288">
        <v>69.0</v>
      </c>
    </row>
    <row r="271">
      <c r="A271" s="288">
        <v>3.0</v>
      </c>
      <c r="B271" s="288">
        <v>70.0</v>
      </c>
    </row>
    <row r="272">
      <c r="A272" s="288">
        <v>3.0</v>
      </c>
      <c r="B272" s="288">
        <v>71.0</v>
      </c>
    </row>
    <row r="273">
      <c r="A273" s="288">
        <v>3.0</v>
      </c>
      <c r="B273" s="279">
        <v>72.0</v>
      </c>
    </row>
    <row r="274">
      <c r="A274" s="288">
        <v>3.0</v>
      </c>
      <c r="B274" s="288">
        <v>73.0</v>
      </c>
    </row>
    <row r="275">
      <c r="A275" s="288">
        <v>3.0</v>
      </c>
      <c r="B275" s="288">
        <v>74.0</v>
      </c>
    </row>
    <row r="276">
      <c r="A276" s="288">
        <v>3.0</v>
      </c>
      <c r="B276" s="288">
        <v>75.0</v>
      </c>
    </row>
    <row r="277">
      <c r="A277" s="288">
        <v>3.0</v>
      </c>
      <c r="B277" s="288">
        <v>76.0</v>
      </c>
    </row>
    <row r="278">
      <c r="A278" s="288">
        <v>3.0</v>
      </c>
      <c r="B278" s="288">
        <v>77.0</v>
      </c>
    </row>
    <row r="279">
      <c r="A279" s="288">
        <v>3.0</v>
      </c>
      <c r="B279" s="279">
        <v>78.0</v>
      </c>
    </row>
    <row r="280">
      <c r="A280" s="288">
        <v>3.0</v>
      </c>
      <c r="B280" s="288">
        <v>79.0</v>
      </c>
    </row>
    <row r="281">
      <c r="A281" s="288">
        <v>3.0</v>
      </c>
      <c r="B281" s="288">
        <v>80.0</v>
      </c>
    </row>
    <row r="282">
      <c r="A282" s="288">
        <v>3.0</v>
      </c>
      <c r="B282" s="288">
        <v>81.0</v>
      </c>
    </row>
    <row r="283">
      <c r="A283" s="288">
        <v>3.0</v>
      </c>
      <c r="B283" s="288">
        <v>82.0</v>
      </c>
    </row>
    <row r="284">
      <c r="A284" s="288">
        <v>3.0</v>
      </c>
      <c r="B284" s="288">
        <v>83.0</v>
      </c>
    </row>
    <row r="285">
      <c r="A285" s="288">
        <v>3.0</v>
      </c>
      <c r="B285" s="279">
        <v>84.0</v>
      </c>
    </row>
    <row r="286">
      <c r="A286" s="288">
        <v>3.0</v>
      </c>
      <c r="B286" s="288">
        <v>85.0</v>
      </c>
    </row>
    <row r="287">
      <c r="A287" s="288">
        <v>3.0</v>
      </c>
      <c r="B287" s="288">
        <v>86.0</v>
      </c>
    </row>
    <row r="288">
      <c r="A288" s="288">
        <v>3.0</v>
      </c>
      <c r="B288" s="288">
        <v>87.0</v>
      </c>
    </row>
    <row r="289">
      <c r="A289" s="288">
        <v>3.0</v>
      </c>
      <c r="B289" s="288">
        <v>88.0</v>
      </c>
    </row>
    <row r="290">
      <c r="A290" s="288">
        <v>3.0</v>
      </c>
      <c r="B290" s="288">
        <v>89.0</v>
      </c>
    </row>
    <row r="291">
      <c r="A291" s="288">
        <v>3.0</v>
      </c>
      <c r="B291" s="279">
        <v>90.0</v>
      </c>
    </row>
    <row r="292">
      <c r="A292" s="288">
        <v>3.0</v>
      </c>
      <c r="B292" s="288">
        <v>91.0</v>
      </c>
    </row>
    <row r="293">
      <c r="A293" s="288">
        <v>3.0</v>
      </c>
      <c r="B293" s="288">
        <v>92.0</v>
      </c>
    </row>
    <row r="294">
      <c r="A294" s="288">
        <v>3.0</v>
      </c>
      <c r="B294" s="288">
        <v>93.0</v>
      </c>
    </row>
    <row r="295">
      <c r="A295" s="288">
        <v>3.0</v>
      </c>
      <c r="B295" s="288">
        <v>94.0</v>
      </c>
    </row>
    <row r="296">
      <c r="A296" s="288">
        <v>3.0</v>
      </c>
      <c r="B296" s="288">
        <v>95.0</v>
      </c>
    </row>
    <row r="297">
      <c r="A297" s="288">
        <v>3.0</v>
      </c>
      <c r="B297" s="279">
        <v>96.0</v>
      </c>
    </row>
    <row r="298">
      <c r="A298" s="288">
        <v>3.0</v>
      </c>
      <c r="B298" s="288">
        <v>97.0</v>
      </c>
    </row>
    <row r="299">
      <c r="A299" s="288">
        <v>3.0</v>
      </c>
      <c r="B299" s="279">
        <v>98.0</v>
      </c>
    </row>
    <row r="300">
      <c r="A300" s="288">
        <v>3.0</v>
      </c>
      <c r="B300" s="279">
        <v>99.0</v>
      </c>
    </row>
    <row r="301">
      <c r="A301" s="288">
        <v>4.0</v>
      </c>
      <c r="B301" s="279">
        <v>0.0</v>
      </c>
    </row>
    <row r="302">
      <c r="A302" s="288">
        <v>4.0</v>
      </c>
      <c r="B302" s="288">
        <v>1.0</v>
      </c>
    </row>
    <row r="303">
      <c r="A303" s="288">
        <v>4.0</v>
      </c>
      <c r="B303" s="288">
        <v>2.0</v>
      </c>
    </row>
    <row r="304">
      <c r="A304" s="288">
        <v>4.0</v>
      </c>
      <c r="B304" s="288">
        <v>3.0</v>
      </c>
    </row>
    <row r="305">
      <c r="A305" s="288">
        <v>4.0</v>
      </c>
      <c r="B305" s="288">
        <v>4.0</v>
      </c>
    </row>
    <row r="306">
      <c r="A306" s="288">
        <v>4.0</v>
      </c>
      <c r="B306" s="288">
        <v>5.0</v>
      </c>
    </row>
    <row r="307">
      <c r="A307" s="288">
        <v>4.0</v>
      </c>
      <c r="B307" s="279">
        <v>6.0</v>
      </c>
    </row>
    <row r="308">
      <c r="A308" s="288">
        <v>4.0</v>
      </c>
      <c r="B308" s="288">
        <v>7.0</v>
      </c>
    </row>
    <row r="309">
      <c r="A309" s="288">
        <v>4.0</v>
      </c>
      <c r="B309" s="288">
        <v>8.0</v>
      </c>
    </row>
    <row r="310">
      <c r="A310" s="288">
        <v>4.0</v>
      </c>
      <c r="B310" s="288">
        <v>9.0</v>
      </c>
    </row>
    <row r="311">
      <c r="A311" s="288">
        <v>4.0</v>
      </c>
      <c r="B311" s="288">
        <v>10.0</v>
      </c>
    </row>
    <row r="312">
      <c r="A312" s="288">
        <v>4.0</v>
      </c>
      <c r="B312" s="288">
        <v>11.0</v>
      </c>
    </row>
    <row r="313">
      <c r="A313" s="288">
        <v>4.0</v>
      </c>
      <c r="B313" s="279">
        <v>12.0</v>
      </c>
    </row>
    <row r="314">
      <c r="A314" s="288">
        <v>4.0</v>
      </c>
      <c r="B314" s="288">
        <v>13.0</v>
      </c>
    </row>
    <row r="315">
      <c r="A315" s="288">
        <v>4.0</v>
      </c>
      <c r="B315" s="288">
        <v>14.0</v>
      </c>
    </row>
    <row r="316">
      <c r="A316" s="288">
        <v>4.0</v>
      </c>
      <c r="B316" s="288">
        <v>15.0</v>
      </c>
    </row>
    <row r="317">
      <c r="A317" s="288">
        <v>4.0</v>
      </c>
      <c r="B317" s="288">
        <v>16.0</v>
      </c>
    </row>
    <row r="318">
      <c r="A318" s="288">
        <v>4.0</v>
      </c>
      <c r="B318" s="288">
        <v>17.0</v>
      </c>
    </row>
    <row r="319">
      <c r="A319" s="288">
        <v>4.0</v>
      </c>
      <c r="B319" s="279">
        <v>18.0</v>
      </c>
    </row>
    <row r="320">
      <c r="A320" s="288">
        <v>4.0</v>
      </c>
      <c r="B320" s="288">
        <v>19.0</v>
      </c>
    </row>
    <row r="321">
      <c r="A321" s="288">
        <v>4.0</v>
      </c>
      <c r="B321" s="288">
        <v>20.0</v>
      </c>
    </row>
    <row r="322">
      <c r="A322" s="288">
        <v>4.0</v>
      </c>
      <c r="B322" s="288">
        <v>21.0</v>
      </c>
    </row>
    <row r="323">
      <c r="A323" s="288">
        <v>4.0</v>
      </c>
      <c r="B323" s="288">
        <v>22.0</v>
      </c>
    </row>
    <row r="324">
      <c r="A324" s="288">
        <v>4.0</v>
      </c>
      <c r="B324" s="288">
        <v>23.0</v>
      </c>
    </row>
    <row r="325">
      <c r="A325" s="288">
        <v>4.0</v>
      </c>
      <c r="B325" s="279">
        <v>24.0</v>
      </c>
    </row>
    <row r="326">
      <c r="A326" s="288">
        <v>4.0</v>
      </c>
      <c r="B326" s="288">
        <v>25.0</v>
      </c>
    </row>
    <row r="327">
      <c r="A327" s="288">
        <v>4.0</v>
      </c>
      <c r="B327" s="288">
        <v>26.0</v>
      </c>
    </row>
    <row r="328">
      <c r="A328" s="288">
        <v>4.0</v>
      </c>
      <c r="B328" s="288">
        <v>27.0</v>
      </c>
    </row>
    <row r="329">
      <c r="A329" s="288">
        <v>4.0</v>
      </c>
      <c r="B329" s="288">
        <v>28.0</v>
      </c>
    </row>
    <row r="330">
      <c r="A330" s="288">
        <v>4.0</v>
      </c>
      <c r="B330" s="288">
        <v>29.0</v>
      </c>
    </row>
    <row r="331">
      <c r="A331" s="288">
        <v>4.0</v>
      </c>
      <c r="B331" s="279">
        <v>30.0</v>
      </c>
    </row>
    <row r="332">
      <c r="A332" s="288">
        <v>4.0</v>
      </c>
      <c r="B332" s="288">
        <v>31.0</v>
      </c>
    </row>
    <row r="333">
      <c r="A333" s="288">
        <v>4.0</v>
      </c>
      <c r="B333" s="288">
        <v>32.0</v>
      </c>
    </row>
    <row r="334">
      <c r="A334" s="288">
        <v>4.0</v>
      </c>
      <c r="B334" s="288">
        <v>33.0</v>
      </c>
    </row>
    <row r="335">
      <c r="A335" s="288">
        <v>4.0</v>
      </c>
      <c r="B335" s="288">
        <v>34.0</v>
      </c>
    </row>
    <row r="336">
      <c r="A336" s="288">
        <v>4.0</v>
      </c>
      <c r="B336" s="288">
        <v>35.0</v>
      </c>
    </row>
    <row r="337">
      <c r="A337" s="288">
        <v>4.0</v>
      </c>
      <c r="B337" s="279">
        <v>36.0</v>
      </c>
    </row>
    <row r="338">
      <c r="A338" s="288">
        <v>4.0</v>
      </c>
      <c r="B338" s="288">
        <v>37.0</v>
      </c>
    </row>
    <row r="339">
      <c r="A339" s="288">
        <v>4.0</v>
      </c>
      <c r="B339" s="288">
        <v>38.0</v>
      </c>
    </row>
    <row r="340">
      <c r="A340" s="288">
        <v>4.0</v>
      </c>
      <c r="B340" s="288">
        <v>39.0</v>
      </c>
    </row>
    <row r="341">
      <c r="A341" s="288">
        <v>4.0</v>
      </c>
      <c r="B341" s="288">
        <v>40.0</v>
      </c>
    </row>
    <row r="342">
      <c r="A342" s="288">
        <v>4.0</v>
      </c>
      <c r="B342" s="288">
        <v>41.0</v>
      </c>
    </row>
    <row r="343">
      <c r="A343" s="288">
        <v>4.0</v>
      </c>
      <c r="B343" s="279">
        <v>42.0</v>
      </c>
    </row>
    <row r="344">
      <c r="A344" s="288">
        <v>4.0</v>
      </c>
      <c r="B344" s="288">
        <v>43.0</v>
      </c>
    </row>
    <row r="345">
      <c r="A345" s="288">
        <v>4.0</v>
      </c>
      <c r="B345" s="288">
        <v>44.0</v>
      </c>
    </row>
    <row r="346">
      <c r="A346" s="288">
        <v>4.0</v>
      </c>
      <c r="B346" s="288">
        <v>45.0</v>
      </c>
    </row>
    <row r="347">
      <c r="A347" s="288">
        <v>4.0</v>
      </c>
      <c r="B347" s="288">
        <v>46.0</v>
      </c>
    </row>
    <row r="348">
      <c r="A348" s="288">
        <v>4.0</v>
      </c>
      <c r="B348" s="288">
        <v>47.0</v>
      </c>
    </row>
    <row r="349">
      <c r="A349" s="288">
        <v>4.0</v>
      </c>
      <c r="B349" s="279">
        <v>48.0</v>
      </c>
    </row>
    <row r="350">
      <c r="A350" s="288">
        <v>4.0</v>
      </c>
      <c r="B350" s="288">
        <v>49.0</v>
      </c>
    </row>
    <row r="351">
      <c r="A351" s="288">
        <v>4.0</v>
      </c>
      <c r="B351" s="288">
        <v>50.0</v>
      </c>
    </row>
    <row r="352">
      <c r="A352" s="288">
        <v>4.0</v>
      </c>
      <c r="B352" s="288">
        <v>51.0</v>
      </c>
    </row>
    <row r="353">
      <c r="A353" s="288">
        <v>4.0</v>
      </c>
      <c r="B353" s="288">
        <v>52.0</v>
      </c>
    </row>
    <row r="354">
      <c r="A354" s="288">
        <v>4.0</v>
      </c>
      <c r="B354" s="288">
        <v>53.0</v>
      </c>
    </row>
    <row r="355">
      <c r="A355" s="288">
        <v>4.0</v>
      </c>
      <c r="B355" s="279">
        <v>54.0</v>
      </c>
    </row>
    <row r="356">
      <c r="A356" s="288">
        <v>4.0</v>
      </c>
      <c r="B356" s="288">
        <v>55.0</v>
      </c>
    </row>
    <row r="357">
      <c r="A357" s="288">
        <v>4.0</v>
      </c>
      <c r="B357" s="288">
        <v>56.0</v>
      </c>
    </row>
    <row r="358">
      <c r="A358" s="288">
        <v>4.0</v>
      </c>
      <c r="B358" s="288">
        <v>57.0</v>
      </c>
    </row>
    <row r="359">
      <c r="A359" s="288">
        <v>4.0</v>
      </c>
      <c r="B359" s="288">
        <v>58.0</v>
      </c>
    </row>
    <row r="360">
      <c r="A360" s="288">
        <v>4.0</v>
      </c>
      <c r="B360" s="288">
        <v>59.0</v>
      </c>
    </row>
    <row r="361">
      <c r="A361" s="288">
        <v>4.0</v>
      </c>
      <c r="B361" s="279">
        <v>60.0</v>
      </c>
    </row>
    <row r="362">
      <c r="A362" s="288">
        <v>4.0</v>
      </c>
      <c r="B362" s="288">
        <v>61.0</v>
      </c>
    </row>
    <row r="363">
      <c r="A363" s="288">
        <v>4.0</v>
      </c>
      <c r="B363" s="288">
        <v>62.0</v>
      </c>
    </row>
    <row r="364">
      <c r="A364" s="288">
        <v>4.0</v>
      </c>
      <c r="B364" s="288">
        <v>63.0</v>
      </c>
    </row>
    <row r="365">
      <c r="A365" s="288">
        <v>4.0</v>
      </c>
      <c r="B365" s="288">
        <v>64.0</v>
      </c>
    </row>
    <row r="366">
      <c r="A366" s="288">
        <v>4.0</v>
      </c>
      <c r="B366" s="288">
        <v>65.0</v>
      </c>
    </row>
    <row r="367">
      <c r="A367" s="288">
        <v>4.0</v>
      </c>
      <c r="B367" s="279">
        <v>66.0</v>
      </c>
    </row>
    <row r="368">
      <c r="A368" s="288">
        <v>4.0</v>
      </c>
      <c r="B368" s="288">
        <v>67.0</v>
      </c>
    </row>
    <row r="369">
      <c r="A369" s="288">
        <v>4.0</v>
      </c>
      <c r="B369" s="288">
        <v>68.0</v>
      </c>
    </row>
    <row r="370">
      <c r="A370" s="288">
        <v>4.0</v>
      </c>
      <c r="B370" s="288">
        <v>69.0</v>
      </c>
    </row>
    <row r="371">
      <c r="A371" s="288">
        <v>4.0</v>
      </c>
      <c r="B371" s="288">
        <v>70.0</v>
      </c>
    </row>
    <row r="372">
      <c r="A372" s="288">
        <v>4.0</v>
      </c>
      <c r="B372" s="288">
        <v>71.0</v>
      </c>
    </row>
    <row r="373">
      <c r="A373" s="288">
        <v>4.0</v>
      </c>
      <c r="B373" s="279">
        <v>72.0</v>
      </c>
    </row>
    <row r="374">
      <c r="A374" s="288">
        <v>4.0</v>
      </c>
      <c r="B374" s="288">
        <v>73.0</v>
      </c>
    </row>
    <row r="375">
      <c r="A375" s="288">
        <v>4.0</v>
      </c>
      <c r="B375" s="288">
        <v>74.0</v>
      </c>
    </row>
    <row r="376">
      <c r="A376" s="288">
        <v>4.0</v>
      </c>
      <c r="B376" s="288">
        <v>75.0</v>
      </c>
    </row>
    <row r="377">
      <c r="A377" s="288">
        <v>4.0</v>
      </c>
      <c r="B377" s="288">
        <v>76.0</v>
      </c>
    </row>
    <row r="378">
      <c r="A378" s="288">
        <v>4.0</v>
      </c>
      <c r="B378" s="288">
        <v>77.0</v>
      </c>
    </row>
    <row r="379">
      <c r="A379" s="288">
        <v>4.0</v>
      </c>
      <c r="B379" s="279">
        <v>78.0</v>
      </c>
    </row>
    <row r="380">
      <c r="A380" s="288">
        <v>4.0</v>
      </c>
      <c r="B380" s="288">
        <v>79.0</v>
      </c>
    </row>
    <row r="381">
      <c r="A381" s="288">
        <v>4.0</v>
      </c>
      <c r="B381" s="288">
        <v>80.0</v>
      </c>
    </row>
    <row r="382">
      <c r="A382" s="288">
        <v>4.0</v>
      </c>
      <c r="B382" s="288">
        <v>81.0</v>
      </c>
    </row>
    <row r="383">
      <c r="A383" s="288">
        <v>4.0</v>
      </c>
      <c r="B383" s="288">
        <v>82.0</v>
      </c>
    </row>
    <row r="384">
      <c r="A384" s="288">
        <v>4.0</v>
      </c>
      <c r="B384" s="288">
        <v>83.0</v>
      </c>
    </row>
    <row r="385">
      <c r="A385" s="288">
        <v>4.0</v>
      </c>
      <c r="B385" s="279">
        <v>84.0</v>
      </c>
    </row>
    <row r="386">
      <c r="A386" s="288">
        <v>4.0</v>
      </c>
      <c r="B386" s="288">
        <v>85.0</v>
      </c>
    </row>
    <row r="387">
      <c r="A387" s="288">
        <v>4.0</v>
      </c>
      <c r="B387" s="288">
        <v>86.0</v>
      </c>
    </row>
    <row r="388">
      <c r="A388" s="288">
        <v>4.0</v>
      </c>
      <c r="B388" s="288">
        <v>87.0</v>
      </c>
    </row>
    <row r="389">
      <c r="A389" s="288">
        <v>4.0</v>
      </c>
      <c r="B389" s="288">
        <v>88.0</v>
      </c>
    </row>
    <row r="390">
      <c r="A390" s="288">
        <v>4.0</v>
      </c>
      <c r="B390" s="288">
        <v>89.0</v>
      </c>
    </row>
    <row r="391">
      <c r="A391" s="288">
        <v>4.0</v>
      </c>
      <c r="B391" s="279">
        <v>90.0</v>
      </c>
    </row>
    <row r="392">
      <c r="A392" s="288">
        <v>4.0</v>
      </c>
      <c r="B392" s="288">
        <v>91.0</v>
      </c>
    </row>
    <row r="393">
      <c r="A393" s="288">
        <v>4.0</v>
      </c>
      <c r="B393" s="288">
        <v>92.0</v>
      </c>
    </row>
    <row r="394">
      <c r="A394" s="288">
        <v>4.0</v>
      </c>
      <c r="B394" s="288">
        <v>93.0</v>
      </c>
    </row>
    <row r="395">
      <c r="A395" s="288">
        <v>4.0</v>
      </c>
      <c r="B395" s="288">
        <v>94.0</v>
      </c>
    </row>
    <row r="396">
      <c r="A396" s="288">
        <v>4.0</v>
      </c>
      <c r="B396" s="288">
        <v>95.0</v>
      </c>
    </row>
    <row r="397">
      <c r="A397" s="288">
        <v>4.0</v>
      </c>
      <c r="B397" s="279">
        <v>96.0</v>
      </c>
    </row>
    <row r="398">
      <c r="A398" s="288">
        <v>4.0</v>
      </c>
      <c r="B398" s="288">
        <v>97.0</v>
      </c>
    </row>
    <row r="399">
      <c r="A399" s="288">
        <v>4.0</v>
      </c>
      <c r="B399" s="279">
        <v>98.0</v>
      </c>
    </row>
    <row r="400">
      <c r="A400" s="288">
        <v>4.0</v>
      </c>
      <c r="B400" s="279">
        <v>99.0</v>
      </c>
    </row>
    <row r="401">
      <c r="A401" s="288">
        <v>5.0</v>
      </c>
      <c r="B401" s="279">
        <v>0.0</v>
      </c>
    </row>
    <row r="402">
      <c r="A402" s="288">
        <v>5.0</v>
      </c>
      <c r="B402" s="288">
        <v>1.0</v>
      </c>
    </row>
    <row r="403">
      <c r="A403" s="288">
        <v>5.0</v>
      </c>
      <c r="B403" s="288">
        <v>2.0</v>
      </c>
    </row>
    <row r="404">
      <c r="A404" s="288">
        <v>5.0</v>
      </c>
      <c r="B404" s="288">
        <v>3.0</v>
      </c>
    </row>
    <row r="405">
      <c r="A405" s="288">
        <v>5.0</v>
      </c>
      <c r="B405" s="288">
        <v>4.0</v>
      </c>
    </row>
    <row r="406">
      <c r="A406" s="288">
        <v>5.0</v>
      </c>
      <c r="B406" s="288">
        <v>5.0</v>
      </c>
    </row>
    <row r="407">
      <c r="A407" s="288">
        <v>5.0</v>
      </c>
      <c r="B407" s="279">
        <v>6.0</v>
      </c>
    </row>
    <row r="408">
      <c r="A408" s="288">
        <v>5.0</v>
      </c>
      <c r="B408" s="288">
        <v>7.0</v>
      </c>
    </row>
    <row r="409">
      <c r="A409" s="288">
        <v>5.0</v>
      </c>
      <c r="B409" s="288">
        <v>8.0</v>
      </c>
    </row>
    <row r="410">
      <c r="A410" s="288">
        <v>5.0</v>
      </c>
      <c r="B410" s="288">
        <v>9.0</v>
      </c>
    </row>
    <row r="411">
      <c r="A411" s="288">
        <v>5.0</v>
      </c>
      <c r="B411" s="288">
        <v>10.0</v>
      </c>
    </row>
    <row r="412">
      <c r="A412" s="288">
        <v>5.0</v>
      </c>
      <c r="B412" s="288">
        <v>11.0</v>
      </c>
    </row>
    <row r="413">
      <c r="A413" s="288">
        <v>5.0</v>
      </c>
      <c r="B413" s="279">
        <v>12.0</v>
      </c>
    </row>
    <row r="414">
      <c r="A414" s="288">
        <v>5.0</v>
      </c>
      <c r="B414" s="288">
        <v>13.0</v>
      </c>
    </row>
    <row r="415">
      <c r="A415" s="288">
        <v>5.0</v>
      </c>
      <c r="B415" s="288">
        <v>14.0</v>
      </c>
    </row>
    <row r="416">
      <c r="A416" s="288">
        <v>5.0</v>
      </c>
      <c r="B416" s="288">
        <v>15.0</v>
      </c>
    </row>
    <row r="417">
      <c r="A417" s="288">
        <v>5.0</v>
      </c>
      <c r="B417" s="288">
        <v>16.0</v>
      </c>
    </row>
    <row r="418">
      <c r="A418" s="288">
        <v>5.0</v>
      </c>
      <c r="B418" s="288">
        <v>17.0</v>
      </c>
    </row>
    <row r="419">
      <c r="A419" s="288">
        <v>5.0</v>
      </c>
      <c r="B419" s="279">
        <v>18.0</v>
      </c>
    </row>
    <row r="420">
      <c r="A420" s="288">
        <v>5.0</v>
      </c>
      <c r="B420" s="288">
        <v>19.0</v>
      </c>
    </row>
    <row r="421">
      <c r="A421" s="288">
        <v>5.0</v>
      </c>
      <c r="B421" s="288">
        <v>20.0</v>
      </c>
    </row>
    <row r="422">
      <c r="A422" s="288">
        <v>5.0</v>
      </c>
      <c r="B422" s="288">
        <v>21.0</v>
      </c>
    </row>
    <row r="423">
      <c r="A423" s="288">
        <v>5.0</v>
      </c>
      <c r="B423" s="288">
        <v>22.0</v>
      </c>
    </row>
    <row r="424">
      <c r="A424" s="288">
        <v>5.0</v>
      </c>
      <c r="B424" s="288">
        <v>23.0</v>
      </c>
    </row>
    <row r="425">
      <c r="A425" s="288">
        <v>5.0</v>
      </c>
      <c r="B425" s="279">
        <v>24.0</v>
      </c>
    </row>
    <row r="426">
      <c r="A426" s="288">
        <v>5.0</v>
      </c>
      <c r="B426" s="288">
        <v>25.0</v>
      </c>
    </row>
    <row r="427">
      <c r="A427" s="288">
        <v>5.0</v>
      </c>
      <c r="B427" s="288">
        <v>26.0</v>
      </c>
    </row>
    <row r="428">
      <c r="A428" s="288">
        <v>5.0</v>
      </c>
      <c r="B428" s="288">
        <v>27.0</v>
      </c>
    </row>
    <row r="429">
      <c r="A429" s="288">
        <v>5.0</v>
      </c>
      <c r="B429" s="288">
        <v>28.0</v>
      </c>
    </row>
    <row r="430">
      <c r="A430" s="288">
        <v>5.0</v>
      </c>
      <c r="B430" s="288">
        <v>29.0</v>
      </c>
    </row>
    <row r="431">
      <c r="A431" s="288">
        <v>5.0</v>
      </c>
      <c r="B431" s="279">
        <v>30.0</v>
      </c>
    </row>
    <row r="432">
      <c r="A432" s="288">
        <v>5.0</v>
      </c>
      <c r="B432" s="288">
        <v>31.0</v>
      </c>
    </row>
    <row r="433">
      <c r="A433" s="288">
        <v>5.0</v>
      </c>
      <c r="B433" s="288">
        <v>32.0</v>
      </c>
    </row>
    <row r="434">
      <c r="A434" s="288">
        <v>5.0</v>
      </c>
      <c r="B434" s="288">
        <v>33.0</v>
      </c>
    </row>
    <row r="435">
      <c r="A435" s="288">
        <v>5.0</v>
      </c>
      <c r="B435" s="288">
        <v>34.0</v>
      </c>
    </row>
    <row r="436">
      <c r="A436" s="288">
        <v>5.0</v>
      </c>
      <c r="B436" s="288">
        <v>35.0</v>
      </c>
    </row>
    <row r="437">
      <c r="A437" s="288">
        <v>5.0</v>
      </c>
      <c r="B437" s="279">
        <v>36.0</v>
      </c>
    </row>
    <row r="438">
      <c r="A438" s="288">
        <v>5.0</v>
      </c>
      <c r="B438" s="288">
        <v>37.0</v>
      </c>
    </row>
    <row r="439">
      <c r="A439" s="288">
        <v>5.0</v>
      </c>
      <c r="B439" s="288">
        <v>38.0</v>
      </c>
    </row>
    <row r="440">
      <c r="A440" s="288">
        <v>5.0</v>
      </c>
      <c r="B440" s="288">
        <v>39.0</v>
      </c>
    </row>
    <row r="441">
      <c r="A441" s="288">
        <v>5.0</v>
      </c>
      <c r="B441" s="288">
        <v>40.0</v>
      </c>
    </row>
    <row r="442">
      <c r="A442" s="288">
        <v>5.0</v>
      </c>
      <c r="B442" s="288">
        <v>41.0</v>
      </c>
    </row>
    <row r="443">
      <c r="A443" s="288">
        <v>5.0</v>
      </c>
      <c r="B443" s="279">
        <v>42.0</v>
      </c>
    </row>
    <row r="444">
      <c r="A444" s="288">
        <v>5.0</v>
      </c>
      <c r="B444" s="288">
        <v>43.0</v>
      </c>
    </row>
    <row r="445">
      <c r="A445" s="288">
        <v>5.0</v>
      </c>
      <c r="B445" s="288">
        <v>44.0</v>
      </c>
    </row>
    <row r="446">
      <c r="A446" s="288">
        <v>5.0</v>
      </c>
      <c r="B446" s="288">
        <v>45.0</v>
      </c>
    </row>
    <row r="447">
      <c r="A447" s="288">
        <v>5.0</v>
      </c>
      <c r="B447" s="288">
        <v>46.0</v>
      </c>
    </row>
    <row r="448">
      <c r="A448" s="288">
        <v>5.0</v>
      </c>
      <c r="B448" s="288">
        <v>47.0</v>
      </c>
    </row>
    <row r="449">
      <c r="A449" s="288">
        <v>5.0</v>
      </c>
      <c r="B449" s="279">
        <v>48.0</v>
      </c>
    </row>
    <row r="450">
      <c r="A450" s="288">
        <v>5.0</v>
      </c>
      <c r="B450" s="288">
        <v>49.0</v>
      </c>
    </row>
    <row r="451">
      <c r="A451" s="288">
        <v>5.0</v>
      </c>
      <c r="B451" s="288">
        <v>50.0</v>
      </c>
    </row>
    <row r="452">
      <c r="A452" s="288">
        <v>5.0</v>
      </c>
      <c r="B452" s="288">
        <v>51.0</v>
      </c>
    </row>
    <row r="453">
      <c r="A453" s="288">
        <v>5.0</v>
      </c>
      <c r="B453" s="288">
        <v>52.0</v>
      </c>
    </row>
    <row r="454">
      <c r="A454" s="288">
        <v>5.0</v>
      </c>
      <c r="B454" s="288">
        <v>53.0</v>
      </c>
    </row>
    <row r="455">
      <c r="A455" s="288">
        <v>5.0</v>
      </c>
      <c r="B455" s="279">
        <v>54.0</v>
      </c>
    </row>
    <row r="456">
      <c r="A456" s="288">
        <v>5.0</v>
      </c>
      <c r="B456" s="288">
        <v>55.0</v>
      </c>
    </row>
    <row r="457">
      <c r="A457" s="288">
        <v>5.0</v>
      </c>
      <c r="B457" s="288">
        <v>56.0</v>
      </c>
    </row>
    <row r="458">
      <c r="A458" s="288">
        <v>5.0</v>
      </c>
      <c r="B458" s="288">
        <v>57.0</v>
      </c>
    </row>
    <row r="459">
      <c r="A459" s="288">
        <v>5.0</v>
      </c>
      <c r="B459" s="288">
        <v>58.0</v>
      </c>
    </row>
    <row r="460">
      <c r="A460" s="288">
        <v>5.0</v>
      </c>
      <c r="B460" s="288">
        <v>59.0</v>
      </c>
    </row>
    <row r="461">
      <c r="A461" s="288">
        <v>5.0</v>
      </c>
      <c r="B461" s="279">
        <v>60.0</v>
      </c>
    </row>
    <row r="462">
      <c r="A462" s="288">
        <v>5.0</v>
      </c>
      <c r="B462" s="288">
        <v>61.0</v>
      </c>
    </row>
    <row r="463">
      <c r="A463" s="288">
        <v>5.0</v>
      </c>
      <c r="B463" s="288">
        <v>62.0</v>
      </c>
    </row>
    <row r="464">
      <c r="A464" s="288">
        <v>5.0</v>
      </c>
      <c r="B464" s="288">
        <v>63.0</v>
      </c>
    </row>
    <row r="465">
      <c r="A465" s="288">
        <v>5.0</v>
      </c>
      <c r="B465" s="288">
        <v>64.0</v>
      </c>
    </row>
    <row r="466">
      <c r="A466" s="288">
        <v>5.0</v>
      </c>
      <c r="B466" s="288">
        <v>65.0</v>
      </c>
    </row>
    <row r="467">
      <c r="A467" s="288">
        <v>5.0</v>
      </c>
      <c r="B467" s="279">
        <v>66.0</v>
      </c>
    </row>
    <row r="468">
      <c r="A468" s="288">
        <v>5.0</v>
      </c>
      <c r="B468" s="288">
        <v>67.0</v>
      </c>
    </row>
    <row r="469">
      <c r="A469" s="288">
        <v>5.0</v>
      </c>
      <c r="B469" s="288">
        <v>68.0</v>
      </c>
    </row>
    <row r="470">
      <c r="A470" s="288">
        <v>5.0</v>
      </c>
      <c r="B470" s="288">
        <v>69.0</v>
      </c>
    </row>
    <row r="471">
      <c r="A471" s="288">
        <v>5.0</v>
      </c>
      <c r="B471" s="288">
        <v>70.0</v>
      </c>
    </row>
    <row r="472">
      <c r="A472" s="288">
        <v>5.0</v>
      </c>
      <c r="B472" s="288">
        <v>71.0</v>
      </c>
    </row>
    <row r="473">
      <c r="A473" s="288">
        <v>5.0</v>
      </c>
      <c r="B473" s="279">
        <v>72.0</v>
      </c>
    </row>
    <row r="474">
      <c r="A474" s="288">
        <v>5.0</v>
      </c>
      <c r="B474" s="288">
        <v>73.0</v>
      </c>
    </row>
    <row r="475">
      <c r="A475" s="288">
        <v>5.0</v>
      </c>
      <c r="B475" s="288">
        <v>74.0</v>
      </c>
    </row>
    <row r="476">
      <c r="A476" s="288">
        <v>5.0</v>
      </c>
      <c r="B476" s="288">
        <v>75.0</v>
      </c>
    </row>
    <row r="477">
      <c r="A477" s="288">
        <v>5.0</v>
      </c>
      <c r="B477" s="288">
        <v>76.0</v>
      </c>
    </row>
    <row r="478">
      <c r="A478" s="288">
        <v>5.0</v>
      </c>
      <c r="B478" s="288">
        <v>77.0</v>
      </c>
    </row>
    <row r="479">
      <c r="A479" s="288">
        <v>5.0</v>
      </c>
      <c r="B479" s="279">
        <v>78.0</v>
      </c>
    </row>
    <row r="480">
      <c r="A480" s="288">
        <v>5.0</v>
      </c>
      <c r="B480" s="288">
        <v>79.0</v>
      </c>
    </row>
    <row r="481">
      <c r="A481" s="288">
        <v>5.0</v>
      </c>
      <c r="B481" s="288">
        <v>80.0</v>
      </c>
    </row>
    <row r="482">
      <c r="A482" s="288">
        <v>5.0</v>
      </c>
      <c r="B482" s="288">
        <v>81.0</v>
      </c>
    </row>
    <row r="483">
      <c r="A483" s="288">
        <v>5.0</v>
      </c>
      <c r="B483" s="288">
        <v>82.0</v>
      </c>
    </row>
    <row r="484">
      <c r="A484" s="288">
        <v>5.0</v>
      </c>
      <c r="B484" s="288">
        <v>83.0</v>
      </c>
    </row>
    <row r="485">
      <c r="A485" s="288">
        <v>5.0</v>
      </c>
      <c r="B485" s="279">
        <v>84.0</v>
      </c>
    </row>
    <row r="486">
      <c r="A486" s="288">
        <v>5.0</v>
      </c>
      <c r="B486" s="288">
        <v>85.0</v>
      </c>
    </row>
    <row r="487">
      <c r="A487" s="288">
        <v>5.0</v>
      </c>
      <c r="B487" s="288">
        <v>86.0</v>
      </c>
    </row>
    <row r="488">
      <c r="A488" s="288">
        <v>5.0</v>
      </c>
      <c r="B488" s="288">
        <v>87.0</v>
      </c>
    </row>
    <row r="489">
      <c r="A489" s="288">
        <v>5.0</v>
      </c>
      <c r="B489" s="288">
        <v>88.0</v>
      </c>
    </row>
    <row r="490">
      <c r="A490" s="288">
        <v>5.0</v>
      </c>
      <c r="B490" s="288">
        <v>89.0</v>
      </c>
    </row>
    <row r="491">
      <c r="A491" s="288">
        <v>5.0</v>
      </c>
      <c r="B491" s="279">
        <v>90.0</v>
      </c>
    </row>
    <row r="492">
      <c r="A492" s="288">
        <v>5.0</v>
      </c>
      <c r="B492" s="288">
        <v>91.0</v>
      </c>
    </row>
    <row r="493">
      <c r="A493" s="288">
        <v>5.0</v>
      </c>
      <c r="B493" s="288">
        <v>92.0</v>
      </c>
    </row>
    <row r="494">
      <c r="A494" s="288">
        <v>5.0</v>
      </c>
      <c r="B494" s="288">
        <v>93.0</v>
      </c>
    </row>
    <row r="495">
      <c r="A495" s="288">
        <v>5.0</v>
      </c>
      <c r="B495" s="288">
        <v>94.0</v>
      </c>
    </row>
    <row r="496">
      <c r="A496" s="288">
        <v>5.0</v>
      </c>
      <c r="B496" s="288">
        <v>95.0</v>
      </c>
    </row>
    <row r="497">
      <c r="A497" s="288">
        <v>5.0</v>
      </c>
      <c r="B497" s="279">
        <v>96.0</v>
      </c>
    </row>
    <row r="498">
      <c r="A498" s="288">
        <v>5.0</v>
      </c>
      <c r="B498" s="288">
        <v>97.0</v>
      </c>
    </row>
    <row r="499">
      <c r="A499" s="288">
        <v>5.0</v>
      </c>
      <c r="B499" s="279">
        <v>98.0</v>
      </c>
    </row>
    <row r="500">
      <c r="A500" s="288">
        <v>5.0</v>
      </c>
      <c r="B500" s="279">
        <v>99.0</v>
      </c>
    </row>
    <row r="501">
      <c r="A501" s="288">
        <v>6.0</v>
      </c>
      <c r="B501" s="279">
        <v>0.0</v>
      </c>
    </row>
    <row r="502">
      <c r="A502" s="288">
        <v>6.0</v>
      </c>
      <c r="B502" s="288">
        <v>1.0</v>
      </c>
    </row>
    <row r="503">
      <c r="A503" s="288">
        <v>6.0</v>
      </c>
      <c r="B503" s="288">
        <v>2.0</v>
      </c>
    </row>
    <row r="504">
      <c r="A504" s="288">
        <v>6.0</v>
      </c>
      <c r="B504" s="288">
        <v>3.0</v>
      </c>
    </row>
    <row r="505">
      <c r="A505" s="288">
        <v>6.0</v>
      </c>
      <c r="B505" s="288">
        <v>4.0</v>
      </c>
    </row>
    <row r="506">
      <c r="A506" s="288">
        <v>6.0</v>
      </c>
      <c r="B506" s="288">
        <v>5.0</v>
      </c>
    </row>
    <row r="507">
      <c r="A507" s="288">
        <v>6.0</v>
      </c>
      <c r="B507" s="279">
        <v>6.0</v>
      </c>
    </row>
    <row r="508">
      <c r="A508" s="288">
        <v>6.0</v>
      </c>
      <c r="B508" s="288">
        <v>7.0</v>
      </c>
    </row>
    <row r="509">
      <c r="A509" s="288">
        <v>6.0</v>
      </c>
      <c r="B509" s="288">
        <v>8.0</v>
      </c>
    </row>
    <row r="510">
      <c r="A510" s="288">
        <v>6.0</v>
      </c>
      <c r="B510" s="288">
        <v>9.0</v>
      </c>
    </row>
    <row r="511">
      <c r="A511" s="288">
        <v>6.0</v>
      </c>
      <c r="B511" s="288">
        <v>10.0</v>
      </c>
    </row>
    <row r="512">
      <c r="A512" s="288">
        <v>6.0</v>
      </c>
      <c r="B512" s="288">
        <v>11.0</v>
      </c>
    </row>
    <row r="513">
      <c r="A513" s="288">
        <v>6.0</v>
      </c>
      <c r="B513" s="279">
        <v>12.0</v>
      </c>
    </row>
    <row r="514">
      <c r="A514" s="288">
        <v>6.0</v>
      </c>
      <c r="B514" s="288">
        <v>13.0</v>
      </c>
    </row>
    <row r="515">
      <c r="A515" s="288">
        <v>6.0</v>
      </c>
      <c r="B515" s="288">
        <v>14.0</v>
      </c>
    </row>
    <row r="516">
      <c r="A516" s="288">
        <v>6.0</v>
      </c>
      <c r="B516" s="288">
        <v>15.0</v>
      </c>
    </row>
    <row r="517">
      <c r="A517" s="288">
        <v>6.0</v>
      </c>
      <c r="B517" s="288">
        <v>16.0</v>
      </c>
    </row>
    <row r="518">
      <c r="A518" s="288">
        <v>6.0</v>
      </c>
      <c r="B518" s="288">
        <v>17.0</v>
      </c>
    </row>
    <row r="519">
      <c r="A519" s="288">
        <v>6.0</v>
      </c>
      <c r="B519" s="279">
        <v>18.0</v>
      </c>
    </row>
    <row r="520">
      <c r="A520" s="288">
        <v>6.0</v>
      </c>
      <c r="B520" s="288">
        <v>19.0</v>
      </c>
    </row>
    <row r="521">
      <c r="A521" s="288">
        <v>6.0</v>
      </c>
      <c r="B521" s="288">
        <v>20.0</v>
      </c>
    </row>
    <row r="522">
      <c r="A522" s="288">
        <v>6.0</v>
      </c>
      <c r="B522" s="288">
        <v>21.0</v>
      </c>
    </row>
    <row r="523">
      <c r="A523" s="288">
        <v>6.0</v>
      </c>
      <c r="B523" s="288">
        <v>22.0</v>
      </c>
    </row>
    <row r="524">
      <c r="A524" s="288">
        <v>6.0</v>
      </c>
      <c r="B524" s="288">
        <v>23.0</v>
      </c>
    </row>
    <row r="525">
      <c r="A525" s="288">
        <v>6.0</v>
      </c>
      <c r="B525" s="279">
        <v>24.0</v>
      </c>
    </row>
    <row r="526">
      <c r="A526" s="288">
        <v>6.0</v>
      </c>
      <c r="B526" s="288">
        <v>25.0</v>
      </c>
    </row>
    <row r="527">
      <c r="A527" s="288">
        <v>6.0</v>
      </c>
      <c r="B527" s="288">
        <v>26.0</v>
      </c>
    </row>
    <row r="528">
      <c r="A528" s="288">
        <v>6.0</v>
      </c>
      <c r="B528" s="288">
        <v>27.0</v>
      </c>
    </row>
    <row r="529">
      <c r="A529" s="288">
        <v>6.0</v>
      </c>
      <c r="B529" s="288">
        <v>28.0</v>
      </c>
    </row>
    <row r="530">
      <c r="A530" s="288">
        <v>6.0</v>
      </c>
      <c r="B530" s="288">
        <v>29.0</v>
      </c>
    </row>
    <row r="531">
      <c r="A531" s="288">
        <v>6.0</v>
      </c>
      <c r="B531" s="279">
        <v>30.0</v>
      </c>
    </row>
    <row r="532">
      <c r="A532" s="288">
        <v>6.0</v>
      </c>
      <c r="B532" s="288">
        <v>31.0</v>
      </c>
    </row>
    <row r="533">
      <c r="A533" s="288">
        <v>6.0</v>
      </c>
      <c r="B533" s="288">
        <v>32.0</v>
      </c>
    </row>
    <row r="534">
      <c r="A534" s="288">
        <v>6.0</v>
      </c>
      <c r="B534" s="288">
        <v>33.0</v>
      </c>
    </row>
    <row r="535">
      <c r="A535" s="288">
        <v>6.0</v>
      </c>
      <c r="B535" s="288">
        <v>34.0</v>
      </c>
    </row>
    <row r="536">
      <c r="A536" s="288">
        <v>6.0</v>
      </c>
      <c r="B536" s="288">
        <v>35.0</v>
      </c>
    </row>
    <row r="537">
      <c r="A537" s="288">
        <v>6.0</v>
      </c>
      <c r="B537" s="279">
        <v>36.0</v>
      </c>
    </row>
    <row r="538">
      <c r="A538" s="288">
        <v>6.0</v>
      </c>
      <c r="B538" s="288">
        <v>37.0</v>
      </c>
    </row>
    <row r="539">
      <c r="A539" s="288">
        <v>6.0</v>
      </c>
      <c r="B539" s="288">
        <v>38.0</v>
      </c>
    </row>
    <row r="540">
      <c r="A540" s="288">
        <v>6.0</v>
      </c>
      <c r="B540" s="288">
        <v>39.0</v>
      </c>
    </row>
    <row r="541">
      <c r="A541" s="288">
        <v>6.0</v>
      </c>
      <c r="B541" s="288">
        <v>40.0</v>
      </c>
    </row>
    <row r="542">
      <c r="A542" s="288">
        <v>6.0</v>
      </c>
      <c r="B542" s="288">
        <v>41.0</v>
      </c>
    </row>
    <row r="543">
      <c r="A543" s="288">
        <v>6.0</v>
      </c>
      <c r="B543" s="279">
        <v>42.0</v>
      </c>
    </row>
    <row r="544">
      <c r="A544" s="288">
        <v>6.0</v>
      </c>
      <c r="B544" s="288">
        <v>43.0</v>
      </c>
    </row>
    <row r="545">
      <c r="A545" s="288">
        <v>6.0</v>
      </c>
      <c r="B545" s="288">
        <v>44.0</v>
      </c>
    </row>
    <row r="546">
      <c r="A546" s="288">
        <v>6.0</v>
      </c>
      <c r="B546" s="288">
        <v>45.0</v>
      </c>
    </row>
    <row r="547">
      <c r="A547" s="288">
        <v>6.0</v>
      </c>
      <c r="B547" s="288">
        <v>46.0</v>
      </c>
    </row>
    <row r="548">
      <c r="A548" s="288">
        <v>6.0</v>
      </c>
      <c r="B548" s="288">
        <v>47.0</v>
      </c>
    </row>
    <row r="549">
      <c r="A549" s="288">
        <v>6.0</v>
      </c>
      <c r="B549" s="279">
        <v>48.0</v>
      </c>
    </row>
    <row r="550">
      <c r="A550" s="288">
        <v>6.0</v>
      </c>
      <c r="B550" s="288">
        <v>49.0</v>
      </c>
    </row>
    <row r="551">
      <c r="A551" s="288">
        <v>6.0</v>
      </c>
      <c r="B551" s="288">
        <v>50.0</v>
      </c>
    </row>
    <row r="552">
      <c r="A552" s="288">
        <v>6.0</v>
      </c>
      <c r="B552" s="288">
        <v>51.0</v>
      </c>
    </row>
    <row r="553">
      <c r="A553" s="288">
        <v>6.0</v>
      </c>
      <c r="B553" s="288">
        <v>52.0</v>
      </c>
    </row>
    <row r="554">
      <c r="A554" s="288">
        <v>6.0</v>
      </c>
      <c r="B554" s="288">
        <v>53.0</v>
      </c>
    </row>
    <row r="555">
      <c r="A555" s="288">
        <v>6.0</v>
      </c>
      <c r="B555" s="279">
        <v>54.0</v>
      </c>
    </row>
    <row r="556">
      <c r="A556" s="288">
        <v>6.0</v>
      </c>
      <c r="B556" s="288">
        <v>55.0</v>
      </c>
    </row>
    <row r="557">
      <c r="A557" s="288">
        <v>6.0</v>
      </c>
      <c r="B557" s="288">
        <v>56.0</v>
      </c>
    </row>
    <row r="558">
      <c r="A558" s="288">
        <v>6.0</v>
      </c>
      <c r="B558" s="288">
        <v>57.0</v>
      </c>
    </row>
    <row r="559">
      <c r="A559" s="288">
        <v>6.0</v>
      </c>
      <c r="B559" s="288">
        <v>58.0</v>
      </c>
    </row>
    <row r="560">
      <c r="A560" s="288">
        <v>6.0</v>
      </c>
      <c r="B560" s="288">
        <v>59.0</v>
      </c>
    </row>
    <row r="561">
      <c r="A561" s="288">
        <v>6.0</v>
      </c>
      <c r="B561" s="279">
        <v>60.0</v>
      </c>
    </row>
    <row r="562">
      <c r="A562" s="288">
        <v>6.0</v>
      </c>
      <c r="B562" s="288">
        <v>61.0</v>
      </c>
    </row>
    <row r="563">
      <c r="A563" s="288">
        <v>6.0</v>
      </c>
      <c r="B563" s="288">
        <v>62.0</v>
      </c>
    </row>
    <row r="564">
      <c r="A564" s="288">
        <v>6.0</v>
      </c>
      <c r="B564" s="288">
        <v>63.0</v>
      </c>
    </row>
    <row r="565">
      <c r="A565" s="288">
        <v>6.0</v>
      </c>
      <c r="B565" s="288">
        <v>64.0</v>
      </c>
    </row>
    <row r="566">
      <c r="A566" s="288">
        <v>6.0</v>
      </c>
      <c r="B566" s="288">
        <v>65.0</v>
      </c>
    </row>
    <row r="567">
      <c r="A567" s="288">
        <v>6.0</v>
      </c>
      <c r="B567" s="279">
        <v>66.0</v>
      </c>
    </row>
    <row r="568">
      <c r="A568" s="288">
        <v>6.0</v>
      </c>
      <c r="B568" s="288">
        <v>67.0</v>
      </c>
    </row>
    <row r="569">
      <c r="A569" s="288">
        <v>6.0</v>
      </c>
      <c r="B569" s="288">
        <v>68.0</v>
      </c>
    </row>
    <row r="570">
      <c r="A570" s="288">
        <v>6.0</v>
      </c>
      <c r="B570" s="288">
        <v>69.0</v>
      </c>
    </row>
    <row r="571">
      <c r="A571" s="288">
        <v>6.0</v>
      </c>
      <c r="B571" s="288">
        <v>70.0</v>
      </c>
    </row>
    <row r="572">
      <c r="A572" s="288">
        <v>6.0</v>
      </c>
      <c r="B572" s="288">
        <v>71.0</v>
      </c>
    </row>
    <row r="573">
      <c r="A573" s="288">
        <v>6.0</v>
      </c>
      <c r="B573" s="279">
        <v>72.0</v>
      </c>
    </row>
    <row r="574">
      <c r="A574" s="288">
        <v>6.0</v>
      </c>
      <c r="B574" s="288">
        <v>73.0</v>
      </c>
    </row>
    <row r="575">
      <c r="A575" s="288">
        <v>6.0</v>
      </c>
      <c r="B575" s="288">
        <v>74.0</v>
      </c>
    </row>
    <row r="576">
      <c r="A576" s="288">
        <v>6.0</v>
      </c>
      <c r="B576" s="288">
        <v>75.0</v>
      </c>
    </row>
    <row r="577">
      <c r="A577" s="288">
        <v>6.0</v>
      </c>
      <c r="B577" s="288">
        <v>76.0</v>
      </c>
    </row>
    <row r="578">
      <c r="A578" s="288">
        <v>6.0</v>
      </c>
      <c r="B578" s="288">
        <v>77.0</v>
      </c>
    </row>
    <row r="579">
      <c r="A579" s="288">
        <v>6.0</v>
      </c>
      <c r="B579" s="279">
        <v>78.0</v>
      </c>
    </row>
    <row r="580">
      <c r="A580" s="288">
        <v>6.0</v>
      </c>
      <c r="B580" s="288">
        <v>79.0</v>
      </c>
    </row>
    <row r="581">
      <c r="A581" s="288">
        <v>6.0</v>
      </c>
      <c r="B581" s="288">
        <v>80.0</v>
      </c>
    </row>
    <row r="582">
      <c r="A582" s="288">
        <v>6.0</v>
      </c>
      <c r="B582" s="288">
        <v>81.0</v>
      </c>
    </row>
    <row r="583">
      <c r="A583" s="288">
        <v>6.0</v>
      </c>
      <c r="B583" s="288">
        <v>82.0</v>
      </c>
    </row>
    <row r="584">
      <c r="A584" s="288">
        <v>6.0</v>
      </c>
      <c r="B584" s="288">
        <v>83.0</v>
      </c>
    </row>
    <row r="585">
      <c r="A585" s="288">
        <v>6.0</v>
      </c>
      <c r="B585" s="279">
        <v>84.0</v>
      </c>
    </row>
    <row r="586">
      <c r="A586" s="288">
        <v>6.0</v>
      </c>
      <c r="B586" s="288">
        <v>85.0</v>
      </c>
    </row>
    <row r="587">
      <c r="A587" s="288">
        <v>6.0</v>
      </c>
      <c r="B587" s="288">
        <v>86.0</v>
      </c>
    </row>
    <row r="588">
      <c r="A588" s="288">
        <v>6.0</v>
      </c>
      <c r="B588" s="288">
        <v>87.0</v>
      </c>
    </row>
    <row r="589">
      <c r="A589" s="288">
        <v>6.0</v>
      </c>
      <c r="B589" s="288">
        <v>88.0</v>
      </c>
    </row>
    <row r="590">
      <c r="A590" s="288">
        <v>6.0</v>
      </c>
      <c r="B590" s="288">
        <v>89.0</v>
      </c>
    </row>
    <row r="591">
      <c r="A591" s="288">
        <v>6.0</v>
      </c>
      <c r="B591" s="279">
        <v>90.0</v>
      </c>
    </row>
    <row r="592">
      <c r="A592" s="288">
        <v>6.0</v>
      </c>
      <c r="B592" s="288">
        <v>91.0</v>
      </c>
    </row>
    <row r="593">
      <c r="A593" s="288">
        <v>6.0</v>
      </c>
      <c r="B593" s="288">
        <v>92.0</v>
      </c>
    </row>
    <row r="594">
      <c r="A594" s="288">
        <v>6.0</v>
      </c>
      <c r="B594" s="288">
        <v>93.0</v>
      </c>
    </row>
    <row r="595">
      <c r="A595" s="288">
        <v>6.0</v>
      </c>
      <c r="B595" s="288">
        <v>94.0</v>
      </c>
    </row>
    <row r="596">
      <c r="A596" s="288">
        <v>6.0</v>
      </c>
      <c r="B596" s="288">
        <v>95.0</v>
      </c>
    </row>
    <row r="597">
      <c r="A597" s="288">
        <v>6.0</v>
      </c>
      <c r="B597" s="279">
        <v>96.0</v>
      </c>
    </row>
    <row r="598">
      <c r="A598" s="288">
        <v>6.0</v>
      </c>
      <c r="B598" s="288">
        <v>97.0</v>
      </c>
    </row>
    <row r="599">
      <c r="A599" s="288">
        <v>6.0</v>
      </c>
      <c r="B599" s="279">
        <v>98.0</v>
      </c>
    </row>
    <row r="600">
      <c r="A600" s="288">
        <v>6.0</v>
      </c>
      <c r="B600" s="279">
        <v>99.0</v>
      </c>
    </row>
    <row r="601">
      <c r="A601" s="288">
        <v>7.0</v>
      </c>
      <c r="B601" s="279">
        <v>0.0</v>
      </c>
    </row>
    <row r="602">
      <c r="A602" s="288">
        <v>7.0</v>
      </c>
      <c r="B602" s="288">
        <v>1.0</v>
      </c>
    </row>
    <row r="603">
      <c r="A603" s="288">
        <v>7.0</v>
      </c>
      <c r="B603" s="288">
        <v>2.0</v>
      </c>
    </row>
    <row r="604">
      <c r="A604" s="288">
        <v>7.0</v>
      </c>
      <c r="B604" s="288">
        <v>3.0</v>
      </c>
    </row>
    <row r="605">
      <c r="A605" s="288">
        <v>7.0</v>
      </c>
      <c r="B605" s="288">
        <v>4.0</v>
      </c>
    </row>
    <row r="606">
      <c r="A606" s="288">
        <v>7.0</v>
      </c>
      <c r="B606" s="288">
        <v>5.0</v>
      </c>
    </row>
    <row r="607">
      <c r="A607" s="288">
        <v>7.0</v>
      </c>
      <c r="B607" s="279">
        <v>6.0</v>
      </c>
    </row>
    <row r="608">
      <c r="A608" s="288">
        <v>7.0</v>
      </c>
      <c r="B608" s="288">
        <v>7.0</v>
      </c>
    </row>
    <row r="609">
      <c r="A609" s="288">
        <v>7.0</v>
      </c>
      <c r="B609" s="288">
        <v>8.0</v>
      </c>
    </row>
    <row r="610">
      <c r="A610" s="288">
        <v>7.0</v>
      </c>
      <c r="B610" s="288">
        <v>9.0</v>
      </c>
    </row>
    <row r="611">
      <c r="A611" s="288">
        <v>7.0</v>
      </c>
      <c r="B611" s="288">
        <v>10.0</v>
      </c>
    </row>
    <row r="612">
      <c r="A612" s="288">
        <v>7.0</v>
      </c>
      <c r="B612" s="288">
        <v>11.0</v>
      </c>
    </row>
    <row r="613">
      <c r="A613" s="288">
        <v>7.0</v>
      </c>
      <c r="B613" s="279">
        <v>12.0</v>
      </c>
    </row>
    <row r="614">
      <c r="A614" s="288">
        <v>7.0</v>
      </c>
      <c r="B614" s="288">
        <v>13.0</v>
      </c>
    </row>
    <row r="615">
      <c r="A615" s="288">
        <v>7.0</v>
      </c>
      <c r="B615" s="288">
        <v>14.0</v>
      </c>
    </row>
    <row r="616">
      <c r="A616" s="288">
        <v>7.0</v>
      </c>
      <c r="B616" s="288">
        <v>15.0</v>
      </c>
    </row>
    <row r="617">
      <c r="A617" s="288">
        <v>7.0</v>
      </c>
      <c r="B617" s="288">
        <v>16.0</v>
      </c>
    </row>
    <row r="618">
      <c r="A618" s="288">
        <v>7.0</v>
      </c>
      <c r="B618" s="288">
        <v>17.0</v>
      </c>
    </row>
    <row r="619">
      <c r="A619" s="288">
        <v>7.0</v>
      </c>
      <c r="B619" s="279">
        <v>18.0</v>
      </c>
    </row>
    <row r="620">
      <c r="A620" s="288">
        <v>7.0</v>
      </c>
      <c r="B620" s="288">
        <v>19.0</v>
      </c>
    </row>
    <row r="621">
      <c r="A621" s="288">
        <v>7.0</v>
      </c>
      <c r="B621" s="288">
        <v>20.0</v>
      </c>
    </row>
    <row r="622">
      <c r="A622" s="288">
        <v>7.0</v>
      </c>
      <c r="B622" s="288">
        <v>21.0</v>
      </c>
    </row>
    <row r="623">
      <c r="A623" s="288">
        <v>7.0</v>
      </c>
      <c r="B623" s="288">
        <v>22.0</v>
      </c>
    </row>
    <row r="624">
      <c r="A624" s="288">
        <v>7.0</v>
      </c>
      <c r="B624" s="288">
        <v>23.0</v>
      </c>
    </row>
    <row r="625">
      <c r="A625" s="288">
        <v>7.0</v>
      </c>
      <c r="B625" s="279">
        <v>24.0</v>
      </c>
    </row>
    <row r="626">
      <c r="A626" s="288">
        <v>7.0</v>
      </c>
      <c r="B626" s="288">
        <v>25.0</v>
      </c>
    </row>
    <row r="627">
      <c r="A627" s="288">
        <v>7.0</v>
      </c>
      <c r="B627" s="288">
        <v>26.0</v>
      </c>
    </row>
    <row r="628">
      <c r="A628" s="288">
        <v>7.0</v>
      </c>
      <c r="B628" s="288">
        <v>27.0</v>
      </c>
    </row>
    <row r="629">
      <c r="A629" s="288">
        <v>7.0</v>
      </c>
      <c r="B629" s="288">
        <v>28.0</v>
      </c>
    </row>
    <row r="630">
      <c r="A630" s="288">
        <v>7.0</v>
      </c>
      <c r="B630" s="288">
        <v>29.0</v>
      </c>
    </row>
    <row r="631">
      <c r="A631" s="288">
        <v>7.0</v>
      </c>
      <c r="B631" s="279">
        <v>30.0</v>
      </c>
    </row>
    <row r="632">
      <c r="A632" s="288">
        <v>7.0</v>
      </c>
      <c r="B632" s="288">
        <v>31.0</v>
      </c>
    </row>
    <row r="633">
      <c r="A633" s="288">
        <v>7.0</v>
      </c>
      <c r="B633" s="288">
        <v>32.0</v>
      </c>
    </row>
    <row r="634">
      <c r="A634" s="288">
        <v>7.0</v>
      </c>
      <c r="B634" s="288">
        <v>33.0</v>
      </c>
    </row>
    <row r="635">
      <c r="A635" s="288">
        <v>7.0</v>
      </c>
      <c r="B635" s="288">
        <v>34.0</v>
      </c>
    </row>
    <row r="636">
      <c r="A636" s="288">
        <v>7.0</v>
      </c>
      <c r="B636" s="288">
        <v>35.0</v>
      </c>
    </row>
    <row r="637">
      <c r="A637" s="288">
        <v>7.0</v>
      </c>
      <c r="B637" s="279">
        <v>36.0</v>
      </c>
    </row>
    <row r="638">
      <c r="A638" s="288">
        <v>7.0</v>
      </c>
      <c r="B638" s="288">
        <v>37.0</v>
      </c>
    </row>
    <row r="639">
      <c r="A639" s="288">
        <v>7.0</v>
      </c>
      <c r="B639" s="288">
        <v>38.0</v>
      </c>
    </row>
    <row r="640">
      <c r="A640" s="288">
        <v>7.0</v>
      </c>
      <c r="B640" s="288">
        <v>39.0</v>
      </c>
    </row>
    <row r="641">
      <c r="A641" s="288">
        <v>7.0</v>
      </c>
      <c r="B641" s="288">
        <v>40.0</v>
      </c>
    </row>
    <row r="642">
      <c r="A642" s="288">
        <v>7.0</v>
      </c>
      <c r="B642" s="288">
        <v>41.0</v>
      </c>
    </row>
    <row r="643">
      <c r="A643" s="288">
        <v>7.0</v>
      </c>
      <c r="B643" s="279">
        <v>42.0</v>
      </c>
    </row>
    <row r="644">
      <c r="A644" s="288">
        <v>7.0</v>
      </c>
      <c r="B644" s="288">
        <v>43.0</v>
      </c>
    </row>
    <row r="645">
      <c r="A645" s="288">
        <v>7.0</v>
      </c>
      <c r="B645" s="288">
        <v>44.0</v>
      </c>
    </row>
    <row r="646">
      <c r="A646" s="288">
        <v>7.0</v>
      </c>
      <c r="B646" s="288">
        <v>45.0</v>
      </c>
    </row>
    <row r="647">
      <c r="A647" s="288">
        <v>7.0</v>
      </c>
      <c r="B647" s="288">
        <v>46.0</v>
      </c>
    </row>
    <row r="648">
      <c r="A648" s="288">
        <v>7.0</v>
      </c>
      <c r="B648" s="288">
        <v>47.0</v>
      </c>
    </row>
    <row r="649">
      <c r="A649" s="288">
        <v>7.0</v>
      </c>
      <c r="B649" s="279">
        <v>48.0</v>
      </c>
    </row>
    <row r="650">
      <c r="A650" s="288">
        <v>7.0</v>
      </c>
      <c r="B650" s="288">
        <v>49.0</v>
      </c>
    </row>
    <row r="651">
      <c r="A651" s="288">
        <v>7.0</v>
      </c>
      <c r="B651" s="288">
        <v>50.0</v>
      </c>
    </row>
    <row r="652">
      <c r="A652" s="288">
        <v>7.0</v>
      </c>
      <c r="B652" s="288">
        <v>51.0</v>
      </c>
    </row>
    <row r="653">
      <c r="A653" s="288">
        <v>7.0</v>
      </c>
      <c r="B653" s="288">
        <v>52.0</v>
      </c>
    </row>
    <row r="654">
      <c r="A654" s="288">
        <v>7.0</v>
      </c>
      <c r="B654" s="288">
        <v>53.0</v>
      </c>
    </row>
    <row r="655">
      <c r="A655" s="288">
        <v>7.0</v>
      </c>
      <c r="B655" s="279">
        <v>54.0</v>
      </c>
    </row>
    <row r="656">
      <c r="A656" s="288">
        <v>7.0</v>
      </c>
      <c r="B656" s="288">
        <v>55.0</v>
      </c>
    </row>
    <row r="657">
      <c r="A657" s="288">
        <v>7.0</v>
      </c>
      <c r="B657" s="288">
        <v>56.0</v>
      </c>
    </row>
    <row r="658">
      <c r="A658" s="288">
        <v>7.0</v>
      </c>
      <c r="B658" s="288">
        <v>57.0</v>
      </c>
    </row>
    <row r="659">
      <c r="A659" s="288">
        <v>7.0</v>
      </c>
      <c r="B659" s="288">
        <v>58.0</v>
      </c>
    </row>
    <row r="660">
      <c r="A660" s="288">
        <v>7.0</v>
      </c>
      <c r="B660" s="288">
        <v>59.0</v>
      </c>
    </row>
    <row r="661">
      <c r="A661" s="288">
        <v>7.0</v>
      </c>
      <c r="B661" s="279">
        <v>60.0</v>
      </c>
    </row>
    <row r="662">
      <c r="A662" s="288">
        <v>7.0</v>
      </c>
      <c r="B662" s="288">
        <v>61.0</v>
      </c>
    </row>
    <row r="663">
      <c r="A663" s="288">
        <v>7.0</v>
      </c>
      <c r="B663" s="288">
        <v>62.0</v>
      </c>
    </row>
    <row r="664">
      <c r="A664" s="288">
        <v>7.0</v>
      </c>
      <c r="B664" s="288">
        <v>63.0</v>
      </c>
    </row>
    <row r="665">
      <c r="A665" s="288">
        <v>7.0</v>
      </c>
      <c r="B665" s="288">
        <v>64.0</v>
      </c>
    </row>
    <row r="666">
      <c r="A666" s="288">
        <v>7.0</v>
      </c>
      <c r="B666" s="288">
        <v>65.0</v>
      </c>
    </row>
    <row r="667">
      <c r="A667" s="288">
        <v>7.0</v>
      </c>
      <c r="B667" s="279">
        <v>66.0</v>
      </c>
    </row>
    <row r="668">
      <c r="A668" s="288">
        <v>7.0</v>
      </c>
      <c r="B668" s="288">
        <v>67.0</v>
      </c>
    </row>
    <row r="669">
      <c r="A669" s="288">
        <v>7.0</v>
      </c>
      <c r="B669" s="288">
        <v>68.0</v>
      </c>
    </row>
    <row r="670">
      <c r="A670" s="288">
        <v>7.0</v>
      </c>
      <c r="B670" s="288">
        <v>69.0</v>
      </c>
    </row>
    <row r="671">
      <c r="A671" s="288">
        <v>7.0</v>
      </c>
      <c r="B671" s="288">
        <v>70.0</v>
      </c>
    </row>
    <row r="672">
      <c r="A672" s="288">
        <v>7.0</v>
      </c>
      <c r="B672" s="288">
        <v>71.0</v>
      </c>
    </row>
    <row r="673">
      <c r="A673" s="288">
        <v>7.0</v>
      </c>
      <c r="B673" s="279">
        <v>72.0</v>
      </c>
    </row>
    <row r="674">
      <c r="A674" s="288">
        <v>7.0</v>
      </c>
      <c r="B674" s="288">
        <v>73.0</v>
      </c>
    </row>
    <row r="675">
      <c r="A675" s="288">
        <v>7.0</v>
      </c>
      <c r="B675" s="288">
        <v>74.0</v>
      </c>
    </row>
    <row r="676">
      <c r="A676" s="288">
        <v>7.0</v>
      </c>
      <c r="B676" s="288">
        <v>75.0</v>
      </c>
    </row>
    <row r="677">
      <c r="A677" s="288">
        <v>7.0</v>
      </c>
      <c r="B677" s="288">
        <v>76.0</v>
      </c>
    </row>
    <row r="678">
      <c r="A678" s="288">
        <v>7.0</v>
      </c>
      <c r="B678" s="288">
        <v>77.0</v>
      </c>
    </row>
    <row r="679">
      <c r="A679" s="288">
        <v>7.0</v>
      </c>
      <c r="B679" s="279">
        <v>78.0</v>
      </c>
    </row>
    <row r="680">
      <c r="A680" s="288">
        <v>7.0</v>
      </c>
      <c r="B680" s="288">
        <v>79.0</v>
      </c>
    </row>
    <row r="681">
      <c r="A681" s="288">
        <v>7.0</v>
      </c>
      <c r="B681" s="288">
        <v>80.0</v>
      </c>
    </row>
    <row r="682">
      <c r="A682" s="288">
        <v>7.0</v>
      </c>
      <c r="B682" s="288">
        <v>81.0</v>
      </c>
    </row>
    <row r="683">
      <c r="A683" s="288">
        <v>7.0</v>
      </c>
      <c r="B683" s="288">
        <v>82.0</v>
      </c>
    </row>
    <row r="684">
      <c r="A684" s="288">
        <v>7.0</v>
      </c>
      <c r="B684" s="288">
        <v>83.0</v>
      </c>
    </row>
    <row r="685">
      <c r="A685" s="288">
        <v>7.0</v>
      </c>
      <c r="B685" s="279">
        <v>84.0</v>
      </c>
    </row>
    <row r="686">
      <c r="A686" s="288">
        <v>7.0</v>
      </c>
      <c r="B686" s="288">
        <v>85.0</v>
      </c>
    </row>
    <row r="687">
      <c r="A687" s="288">
        <v>7.0</v>
      </c>
      <c r="B687" s="288">
        <v>86.0</v>
      </c>
    </row>
    <row r="688">
      <c r="A688" s="288">
        <v>7.0</v>
      </c>
      <c r="B688" s="288">
        <v>87.0</v>
      </c>
    </row>
    <row r="689">
      <c r="A689" s="288">
        <v>7.0</v>
      </c>
      <c r="B689" s="288">
        <v>88.0</v>
      </c>
    </row>
    <row r="690">
      <c r="A690" s="288">
        <v>7.0</v>
      </c>
      <c r="B690" s="288">
        <v>89.0</v>
      </c>
    </row>
    <row r="691">
      <c r="A691" s="288">
        <v>7.0</v>
      </c>
      <c r="B691" s="279">
        <v>90.0</v>
      </c>
    </row>
    <row r="692">
      <c r="A692" s="288">
        <v>7.0</v>
      </c>
      <c r="B692" s="288">
        <v>91.0</v>
      </c>
    </row>
    <row r="693">
      <c r="A693" s="288">
        <v>7.0</v>
      </c>
      <c r="B693" s="288">
        <v>92.0</v>
      </c>
    </row>
    <row r="694">
      <c r="A694" s="288">
        <v>7.0</v>
      </c>
      <c r="B694" s="288">
        <v>93.0</v>
      </c>
    </row>
    <row r="695">
      <c r="A695" s="288">
        <v>7.0</v>
      </c>
      <c r="B695" s="288">
        <v>94.0</v>
      </c>
    </row>
    <row r="696">
      <c r="A696" s="288">
        <v>7.0</v>
      </c>
      <c r="B696" s="288">
        <v>95.0</v>
      </c>
    </row>
    <row r="697">
      <c r="A697" s="288">
        <v>7.0</v>
      </c>
      <c r="B697" s="279">
        <v>96.0</v>
      </c>
    </row>
    <row r="698">
      <c r="A698" s="288">
        <v>7.0</v>
      </c>
      <c r="B698" s="288">
        <v>97.0</v>
      </c>
    </row>
    <row r="699">
      <c r="A699" s="288">
        <v>7.0</v>
      </c>
      <c r="B699" s="279">
        <v>98.0</v>
      </c>
    </row>
    <row r="700">
      <c r="A700" s="288">
        <v>7.0</v>
      </c>
      <c r="B700" s="279">
        <v>99.0</v>
      </c>
    </row>
    <row r="701">
      <c r="A701" s="288">
        <v>8.0</v>
      </c>
      <c r="B701" s="279">
        <v>0.0</v>
      </c>
    </row>
    <row r="702">
      <c r="A702" s="288">
        <v>8.0</v>
      </c>
      <c r="B702" s="288">
        <v>1.0</v>
      </c>
    </row>
    <row r="703">
      <c r="A703" s="288">
        <v>8.0</v>
      </c>
      <c r="B703" s="288">
        <v>2.0</v>
      </c>
    </row>
    <row r="704">
      <c r="A704" s="288">
        <v>8.0</v>
      </c>
      <c r="B704" s="288">
        <v>3.0</v>
      </c>
    </row>
    <row r="705">
      <c r="A705" s="288">
        <v>8.0</v>
      </c>
      <c r="B705" s="288">
        <v>4.0</v>
      </c>
    </row>
    <row r="706">
      <c r="A706" s="288">
        <v>8.0</v>
      </c>
      <c r="B706" s="288">
        <v>5.0</v>
      </c>
    </row>
    <row r="707">
      <c r="A707" s="288">
        <v>8.0</v>
      </c>
      <c r="B707" s="279">
        <v>6.0</v>
      </c>
    </row>
    <row r="708">
      <c r="A708" s="288">
        <v>8.0</v>
      </c>
      <c r="B708" s="288">
        <v>7.0</v>
      </c>
    </row>
    <row r="709">
      <c r="A709" s="288">
        <v>8.0</v>
      </c>
      <c r="B709" s="288">
        <v>8.0</v>
      </c>
    </row>
    <row r="710">
      <c r="A710" s="288">
        <v>8.0</v>
      </c>
      <c r="B710" s="288">
        <v>9.0</v>
      </c>
    </row>
    <row r="711">
      <c r="A711" s="288">
        <v>8.0</v>
      </c>
      <c r="B711" s="288">
        <v>10.0</v>
      </c>
    </row>
    <row r="712">
      <c r="A712" s="288">
        <v>8.0</v>
      </c>
      <c r="B712" s="288">
        <v>11.0</v>
      </c>
    </row>
    <row r="713">
      <c r="A713" s="288">
        <v>8.0</v>
      </c>
      <c r="B713" s="279">
        <v>12.0</v>
      </c>
    </row>
    <row r="714">
      <c r="A714" s="288">
        <v>8.0</v>
      </c>
      <c r="B714" s="288">
        <v>13.0</v>
      </c>
    </row>
    <row r="715">
      <c r="A715" s="288">
        <v>8.0</v>
      </c>
      <c r="B715" s="288">
        <v>14.0</v>
      </c>
    </row>
    <row r="716">
      <c r="A716" s="288">
        <v>8.0</v>
      </c>
      <c r="B716" s="288">
        <v>15.0</v>
      </c>
    </row>
    <row r="717">
      <c r="A717" s="288">
        <v>8.0</v>
      </c>
      <c r="B717" s="288">
        <v>16.0</v>
      </c>
    </row>
    <row r="718">
      <c r="A718" s="288">
        <v>8.0</v>
      </c>
      <c r="B718" s="288">
        <v>17.0</v>
      </c>
    </row>
    <row r="719">
      <c r="A719" s="288">
        <v>8.0</v>
      </c>
      <c r="B719" s="279">
        <v>18.0</v>
      </c>
    </row>
    <row r="720">
      <c r="A720" s="288">
        <v>8.0</v>
      </c>
      <c r="B720" s="288">
        <v>19.0</v>
      </c>
    </row>
    <row r="721">
      <c r="A721" s="288">
        <v>8.0</v>
      </c>
      <c r="B721" s="288">
        <v>20.0</v>
      </c>
    </row>
    <row r="722">
      <c r="A722" s="288">
        <v>8.0</v>
      </c>
      <c r="B722" s="288">
        <v>21.0</v>
      </c>
    </row>
    <row r="723">
      <c r="A723" s="288">
        <v>8.0</v>
      </c>
      <c r="B723" s="288">
        <v>22.0</v>
      </c>
    </row>
    <row r="724">
      <c r="A724" s="288">
        <v>8.0</v>
      </c>
      <c r="B724" s="288">
        <v>23.0</v>
      </c>
    </row>
    <row r="725">
      <c r="A725" s="288">
        <v>8.0</v>
      </c>
      <c r="B725" s="279">
        <v>24.0</v>
      </c>
    </row>
    <row r="726">
      <c r="A726" s="288">
        <v>8.0</v>
      </c>
      <c r="B726" s="288">
        <v>25.0</v>
      </c>
    </row>
    <row r="727">
      <c r="A727" s="288">
        <v>8.0</v>
      </c>
      <c r="B727" s="288">
        <v>26.0</v>
      </c>
    </row>
    <row r="728">
      <c r="A728" s="288">
        <v>8.0</v>
      </c>
      <c r="B728" s="288">
        <v>27.0</v>
      </c>
    </row>
    <row r="729">
      <c r="A729" s="288">
        <v>8.0</v>
      </c>
      <c r="B729" s="288">
        <v>28.0</v>
      </c>
    </row>
    <row r="730">
      <c r="A730" s="288">
        <v>8.0</v>
      </c>
      <c r="B730" s="288">
        <v>29.0</v>
      </c>
    </row>
    <row r="731">
      <c r="A731" s="288">
        <v>8.0</v>
      </c>
      <c r="B731" s="279">
        <v>30.0</v>
      </c>
    </row>
    <row r="732">
      <c r="A732" s="288">
        <v>8.0</v>
      </c>
      <c r="B732" s="288">
        <v>31.0</v>
      </c>
    </row>
    <row r="733">
      <c r="A733" s="288">
        <v>8.0</v>
      </c>
      <c r="B733" s="288">
        <v>32.0</v>
      </c>
    </row>
    <row r="734">
      <c r="A734" s="288">
        <v>8.0</v>
      </c>
      <c r="B734" s="288">
        <v>33.0</v>
      </c>
    </row>
    <row r="735">
      <c r="A735" s="288">
        <v>8.0</v>
      </c>
      <c r="B735" s="288">
        <v>34.0</v>
      </c>
    </row>
    <row r="736">
      <c r="A736" s="288">
        <v>8.0</v>
      </c>
      <c r="B736" s="288">
        <v>35.0</v>
      </c>
    </row>
    <row r="737">
      <c r="A737" s="288">
        <v>8.0</v>
      </c>
      <c r="B737" s="279">
        <v>36.0</v>
      </c>
    </row>
    <row r="738">
      <c r="A738" s="288">
        <v>8.0</v>
      </c>
      <c r="B738" s="288">
        <v>37.0</v>
      </c>
    </row>
    <row r="739">
      <c r="A739" s="288">
        <v>8.0</v>
      </c>
      <c r="B739" s="288">
        <v>38.0</v>
      </c>
    </row>
    <row r="740">
      <c r="A740" s="288">
        <v>8.0</v>
      </c>
      <c r="B740" s="288">
        <v>39.0</v>
      </c>
    </row>
    <row r="741">
      <c r="A741" s="288">
        <v>8.0</v>
      </c>
      <c r="B741" s="288">
        <v>40.0</v>
      </c>
    </row>
    <row r="742">
      <c r="A742" s="288">
        <v>8.0</v>
      </c>
      <c r="B742" s="288">
        <v>41.0</v>
      </c>
    </row>
    <row r="743">
      <c r="A743" s="288">
        <v>8.0</v>
      </c>
      <c r="B743" s="279">
        <v>42.0</v>
      </c>
    </row>
    <row r="744">
      <c r="A744" s="288">
        <v>8.0</v>
      </c>
      <c r="B744" s="288">
        <v>43.0</v>
      </c>
    </row>
    <row r="745">
      <c r="A745" s="288">
        <v>8.0</v>
      </c>
      <c r="B745" s="288">
        <v>44.0</v>
      </c>
    </row>
    <row r="746">
      <c r="A746" s="288">
        <v>8.0</v>
      </c>
      <c r="B746" s="288">
        <v>45.0</v>
      </c>
    </row>
    <row r="747">
      <c r="A747" s="288">
        <v>8.0</v>
      </c>
      <c r="B747" s="288">
        <v>46.0</v>
      </c>
    </row>
    <row r="748">
      <c r="A748" s="288">
        <v>8.0</v>
      </c>
      <c r="B748" s="288">
        <v>47.0</v>
      </c>
    </row>
    <row r="749">
      <c r="A749" s="288">
        <v>8.0</v>
      </c>
      <c r="B749" s="279">
        <v>48.0</v>
      </c>
    </row>
    <row r="750">
      <c r="A750" s="288">
        <v>8.0</v>
      </c>
      <c r="B750" s="288">
        <v>49.0</v>
      </c>
    </row>
    <row r="751">
      <c r="A751" s="288">
        <v>8.0</v>
      </c>
      <c r="B751" s="288">
        <v>50.0</v>
      </c>
    </row>
    <row r="752">
      <c r="A752" s="288">
        <v>8.0</v>
      </c>
      <c r="B752" s="288">
        <v>51.0</v>
      </c>
    </row>
    <row r="753">
      <c r="A753" s="288">
        <v>8.0</v>
      </c>
      <c r="B753" s="288">
        <v>52.0</v>
      </c>
    </row>
    <row r="754">
      <c r="A754" s="288">
        <v>8.0</v>
      </c>
      <c r="B754" s="288">
        <v>53.0</v>
      </c>
    </row>
    <row r="755">
      <c r="A755" s="288">
        <v>8.0</v>
      </c>
      <c r="B755" s="279">
        <v>54.0</v>
      </c>
    </row>
    <row r="756">
      <c r="A756" s="288">
        <v>8.0</v>
      </c>
      <c r="B756" s="288">
        <v>55.0</v>
      </c>
    </row>
    <row r="757">
      <c r="A757" s="288">
        <v>8.0</v>
      </c>
      <c r="B757" s="288">
        <v>56.0</v>
      </c>
    </row>
    <row r="758">
      <c r="A758" s="288">
        <v>8.0</v>
      </c>
      <c r="B758" s="288">
        <v>57.0</v>
      </c>
    </row>
    <row r="759">
      <c r="A759" s="288">
        <v>8.0</v>
      </c>
      <c r="B759" s="288">
        <v>58.0</v>
      </c>
    </row>
    <row r="760">
      <c r="A760" s="288">
        <v>8.0</v>
      </c>
      <c r="B760" s="288">
        <v>59.0</v>
      </c>
    </row>
    <row r="761">
      <c r="A761" s="288">
        <v>8.0</v>
      </c>
      <c r="B761" s="279">
        <v>60.0</v>
      </c>
    </row>
    <row r="762">
      <c r="A762" s="288">
        <v>8.0</v>
      </c>
      <c r="B762" s="288">
        <v>61.0</v>
      </c>
    </row>
    <row r="763">
      <c r="A763" s="288">
        <v>8.0</v>
      </c>
      <c r="B763" s="288">
        <v>62.0</v>
      </c>
    </row>
    <row r="764">
      <c r="A764" s="288">
        <v>8.0</v>
      </c>
      <c r="B764" s="288">
        <v>63.0</v>
      </c>
    </row>
    <row r="765">
      <c r="A765" s="288">
        <v>8.0</v>
      </c>
      <c r="B765" s="288">
        <v>64.0</v>
      </c>
    </row>
    <row r="766">
      <c r="A766" s="288">
        <v>8.0</v>
      </c>
      <c r="B766" s="288">
        <v>65.0</v>
      </c>
    </row>
    <row r="767">
      <c r="A767" s="288">
        <v>8.0</v>
      </c>
      <c r="B767" s="279">
        <v>66.0</v>
      </c>
    </row>
    <row r="768">
      <c r="A768" s="288">
        <v>8.0</v>
      </c>
      <c r="B768" s="288">
        <v>67.0</v>
      </c>
    </row>
    <row r="769">
      <c r="A769" s="288">
        <v>8.0</v>
      </c>
      <c r="B769" s="288">
        <v>68.0</v>
      </c>
    </row>
    <row r="770">
      <c r="A770" s="288">
        <v>8.0</v>
      </c>
      <c r="B770" s="288">
        <v>69.0</v>
      </c>
    </row>
    <row r="771">
      <c r="A771" s="288">
        <v>8.0</v>
      </c>
      <c r="B771" s="288">
        <v>70.0</v>
      </c>
    </row>
    <row r="772">
      <c r="A772" s="288">
        <v>8.0</v>
      </c>
      <c r="B772" s="288">
        <v>71.0</v>
      </c>
    </row>
    <row r="773">
      <c r="A773" s="288">
        <v>8.0</v>
      </c>
      <c r="B773" s="279">
        <v>72.0</v>
      </c>
    </row>
    <row r="774">
      <c r="A774" s="288">
        <v>8.0</v>
      </c>
      <c r="B774" s="288">
        <v>73.0</v>
      </c>
    </row>
    <row r="775">
      <c r="A775" s="288">
        <v>8.0</v>
      </c>
      <c r="B775" s="288">
        <v>74.0</v>
      </c>
    </row>
    <row r="776">
      <c r="A776" s="288">
        <v>8.0</v>
      </c>
      <c r="B776" s="288">
        <v>75.0</v>
      </c>
    </row>
    <row r="777">
      <c r="A777" s="288">
        <v>8.0</v>
      </c>
      <c r="B777" s="288">
        <v>76.0</v>
      </c>
    </row>
    <row r="778">
      <c r="A778" s="288">
        <v>8.0</v>
      </c>
      <c r="B778" s="288">
        <v>77.0</v>
      </c>
    </row>
    <row r="779">
      <c r="A779" s="288">
        <v>8.0</v>
      </c>
      <c r="B779" s="279">
        <v>78.0</v>
      </c>
    </row>
    <row r="780">
      <c r="A780" s="288">
        <v>8.0</v>
      </c>
      <c r="B780" s="288">
        <v>79.0</v>
      </c>
    </row>
    <row r="781">
      <c r="A781" s="288">
        <v>8.0</v>
      </c>
      <c r="B781" s="288">
        <v>80.0</v>
      </c>
    </row>
    <row r="782">
      <c r="A782" s="288">
        <v>8.0</v>
      </c>
      <c r="B782" s="288">
        <v>81.0</v>
      </c>
    </row>
    <row r="783">
      <c r="A783" s="288">
        <v>8.0</v>
      </c>
      <c r="B783" s="288">
        <v>82.0</v>
      </c>
    </row>
    <row r="784">
      <c r="A784" s="288">
        <v>8.0</v>
      </c>
      <c r="B784" s="288">
        <v>83.0</v>
      </c>
    </row>
    <row r="785">
      <c r="A785" s="288">
        <v>8.0</v>
      </c>
      <c r="B785" s="279">
        <v>84.0</v>
      </c>
    </row>
    <row r="786">
      <c r="A786" s="288">
        <v>8.0</v>
      </c>
      <c r="B786" s="288">
        <v>85.0</v>
      </c>
    </row>
    <row r="787">
      <c r="A787" s="288">
        <v>8.0</v>
      </c>
      <c r="B787" s="288">
        <v>86.0</v>
      </c>
    </row>
    <row r="788">
      <c r="A788" s="288">
        <v>8.0</v>
      </c>
      <c r="B788" s="288">
        <v>87.0</v>
      </c>
    </row>
    <row r="789">
      <c r="A789" s="288">
        <v>8.0</v>
      </c>
      <c r="B789" s="288">
        <v>88.0</v>
      </c>
    </row>
    <row r="790">
      <c r="A790" s="288">
        <v>8.0</v>
      </c>
      <c r="B790" s="288">
        <v>89.0</v>
      </c>
    </row>
    <row r="791">
      <c r="A791" s="288">
        <v>8.0</v>
      </c>
      <c r="B791" s="279">
        <v>90.0</v>
      </c>
    </row>
    <row r="792">
      <c r="A792" s="288">
        <v>8.0</v>
      </c>
      <c r="B792" s="288">
        <v>91.0</v>
      </c>
    </row>
    <row r="793">
      <c r="A793" s="288">
        <v>8.0</v>
      </c>
      <c r="B793" s="288">
        <v>92.0</v>
      </c>
    </row>
    <row r="794">
      <c r="A794" s="288">
        <v>8.0</v>
      </c>
      <c r="B794" s="288">
        <v>93.0</v>
      </c>
    </row>
    <row r="795">
      <c r="A795" s="288">
        <v>8.0</v>
      </c>
      <c r="B795" s="288">
        <v>94.0</v>
      </c>
    </row>
    <row r="796">
      <c r="A796" s="288">
        <v>8.0</v>
      </c>
      <c r="B796" s="288">
        <v>95.0</v>
      </c>
    </row>
    <row r="797">
      <c r="A797" s="288">
        <v>8.0</v>
      </c>
      <c r="B797" s="279">
        <v>96.0</v>
      </c>
    </row>
    <row r="798">
      <c r="A798" s="288">
        <v>8.0</v>
      </c>
      <c r="B798" s="288">
        <v>97.0</v>
      </c>
    </row>
    <row r="799">
      <c r="A799" s="288">
        <v>8.0</v>
      </c>
      <c r="B799" s="279">
        <v>98.0</v>
      </c>
    </row>
    <row r="800">
      <c r="A800" s="288">
        <v>8.0</v>
      </c>
      <c r="B800" s="279">
        <v>99.0</v>
      </c>
    </row>
    <row r="801">
      <c r="A801" s="288">
        <v>9.0</v>
      </c>
      <c r="B801" s="279">
        <v>0.0</v>
      </c>
    </row>
    <row r="802">
      <c r="A802" s="288">
        <v>9.0</v>
      </c>
      <c r="B802" s="288">
        <v>1.0</v>
      </c>
    </row>
    <row r="803">
      <c r="A803" s="288">
        <v>9.0</v>
      </c>
      <c r="B803" s="288">
        <v>2.0</v>
      </c>
    </row>
    <row r="804">
      <c r="A804" s="288">
        <v>9.0</v>
      </c>
      <c r="B804" s="288">
        <v>3.0</v>
      </c>
    </row>
    <row r="805">
      <c r="A805" s="288">
        <v>9.0</v>
      </c>
      <c r="B805" s="288">
        <v>4.0</v>
      </c>
    </row>
    <row r="806">
      <c r="A806" s="288">
        <v>9.0</v>
      </c>
      <c r="B806" s="288">
        <v>5.0</v>
      </c>
    </row>
    <row r="807">
      <c r="A807" s="288">
        <v>9.0</v>
      </c>
      <c r="B807" s="279">
        <v>6.0</v>
      </c>
    </row>
    <row r="808">
      <c r="A808" s="288">
        <v>9.0</v>
      </c>
      <c r="B808" s="288">
        <v>7.0</v>
      </c>
    </row>
    <row r="809">
      <c r="A809" s="288">
        <v>9.0</v>
      </c>
      <c r="B809" s="288">
        <v>8.0</v>
      </c>
    </row>
    <row r="810">
      <c r="A810" s="288">
        <v>9.0</v>
      </c>
      <c r="B810" s="288">
        <v>9.0</v>
      </c>
    </row>
    <row r="811">
      <c r="A811" s="288">
        <v>9.0</v>
      </c>
      <c r="B811" s="288">
        <v>10.0</v>
      </c>
    </row>
    <row r="812">
      <c r="A812" s="288">
        <v>9.0</v>
      </c>
      <c r="B812" s="288">
        <v>11.0</v>
      </c>
    </row>
    <row r="813">
      <c r="A813" s="288">
        <v>9.0</v>
      </c>
      <c r="B813" s="279">
        <v>12.0</v>
      </c>
    </row>
    <row r="814">
      <c r="A814" s="288">
        <v>9.0</v>
      </c>
      <c r="B814" s="288">
        <v>13.0</v>
      </c>
    </row>
    <row r="815">
      <c r="A815" s="288">
        <v>9.0</v>
      </c>
      <c r="B815" s="288">
        <v>14.0</v>
      </c>
    </row>
    <row r="816">
      <c r="A816" s="288">
        <v>9.0</v>
      </c>
      <c r="B816" s="288">
        <v>15.0</v>
      </c>
    </row>
    <row r="817">
      <c r="A817" s="288">
        <v>9.0</v>
      </c>
      <c r="B817" s="288">
        <v>16.0</v>
      </c>
    </row>
    <row r="818">
      <c r="A818" s="288">
        <v>9.0</v>
      </c>
      <c r="B818" s="288">
        <v>17.0</v>
      </c>
    </row>
    <row r="819">
      <c r="A819" s="288">
        <v>9.0</v>
      </c>
      <c r="B819" s="279">
        <v>18.0</v>
      </c>
    </row>
    <row r="820">
      <c r="A820" s="288">
        <v>9.0</v>
      </c>
      <c r="B820" s="288">
        <v>19.0</v>
      </c>
    </row>
    <row r="821">
      <c r="A821" s="288">
        <v>9.0</v>
      </c>
      <c r="B821" s="288">
        <v>20.0</v>
      </c>
    </row>
    <row r="822">
      <c r="A822" s="288">
        <v>9.0</v>
      </c>
      <c r="B822" s="288">
        <v>21.0</v>
      </c>
    </row>
    <row r="823">
      <c r="A823" s="288">
        <v>9.0</v>
      </c>
      <c r="B823" s="288">
        <v>22.0</v>
      </c>
    </row>
    <row r="824">
      <c r="A824" s="288">
        <v>9.0</v>
      </c>
      <c r="B824" s="288">
        <v>23.0</v>
      </c>
    </row>
    <row r="825">
      <c r="A825" s="288">
        <v>9.0</v>
      </c>
      <c r="B825" s="279">
        <v>24.0</v>
      </c>
    </row>
    <row r="826">
      <c r="A826" s="288">
        <v>9.0</v>
      </c>
      <c r="B826" s="288">
        <v>25.0</v>
      </c>
    </row>
    <row r="827">
      <c r="A827" s="288">
        <v>9.0</v>
      </c>
      <c r="B827" s="288">
        <v>26.0</v>
      </c>
    </row>
    <row r="828">
      <c r="A828" s="288">
        <v>9.0</v>
      </c>
      <c r="B828" s="288">
        <v>27.0</v>
      </c>
    </row>
    <row r="829">
      <c r="A829" s="288">
        <v>9.0</v>
      </c>
      <c r="B829" s="288">
        <v>28.0</v>
      </c>
    </row>
    <row r="830">
      <c r="A830" s="288">
        <v>9.0</v>
      </c>
      <c r="B830" s="288">
        <v>29.0</v>
      </c>
    </row>
    <row r="831">
      <c r="A831" s="288">
        <v>9.0</v>
      </c>
      <c r="B831" s="279">
        <v>30.0</v>
      </c>
    </row>
    <row r="832">
      <c r="A832" s="288">
        <v>9.0</v>
      </c>
      <c r="B832" s="288">
        <v>31.0</v>
      </c>
    </row>
    <row r="833">
      <c r="A833" s="288">
        <v>9.0</v>
      </c>
      <c r="B833" s="288">
        <v>32.0</v>
      </c>
    </row>
    <row r="834">
      <c r="A834" s="288">
        <v>9.0</v>
      </c>
      <c r="B834" s="288">
        <v>33.0</v>
      </c>
    </row>
    <row r="835">
      <c r="A835" s="288">
        <v>9.0</v>
      </c>
      <c r="B835" s="288">
        <v>34.0</v>
      </c>
    </row>
    <row r="836">
      <c r="A836" s="288">
        <v>9.0</v>
      </c>
      <c r="B836" s="288">
        <v>35.0</v>
      </c>
    </row>
    <row r="837">
      <c r="A837" s="288">
        <v>9.0</v>
      </c>
      <c r="B837" s="279">
        <v>36.0</v>
      </c>
    </row>
    <row r="838">
      <c r="A838" s="288">
        <v>9.0</v>
      </c>
      <c r="B838" s="288">
        <v>37.0</v>
      </c>
    </row>
    <row r="839">
      <c r="A839" s="288">
        <v>9.0</v>
      </c>
      <c r="B839" s="288">
        <v>38.0</v>
      </c>
    </row>
    <row r="840">
      <c r="A840" s="288">
        <v>9.0</v>
      </c>
      <c r="B840" s="288">
        <v>39.0</v>
      </c>
    </row>
    <row r="841">
      <c r="A841" s="288">
        <v>9.0</v>
      </c>
      <c r="B841" s="288">
        <v>40.0</v>
      </c>
    </row>
    <row r="842">
      <c r="A842" s="288">
        <v>9.0</v>
      </c>
      <c r="B842" s="288">
        <v>41.0</v>
      </c>
    </row>
    <row r="843">
      <c r="A843" s="288">
        <v>9.0</v>
      </c>
      <c r="B843" s="279">
        <v>42.0</v>
      </c>
    </row>
    <row r="844">
      <c r="A844" s="288">
        <v>9.0</v>
      </c>
      <c r="B844" s="288">
        <v>43.0</v>
      </c>
    </row>
    <row r="845">
      <c r="A845" s="288">
        <v>9.0</v>
      </c>
      <c r="B845" s="288">
        <v>44.0</v>
      </c>
    </row>
    <row r="846">
      <c r="A846" s="288">
        <v>9.0</v>
      </c>
      <c r="B846" s="288">
        <v>45.0</v>
      </c>
    </row>
    <row r="847">
      <c r="A847" s="288">
        <v>9.0</v>
      </c>
      <c r="B847" s="288">
        <v>46.0</v>
      </c>
    </row>
    <row r="848">
      <c r="A848" s="288">
        <v>9.0</v>
      </c>
      <c r="B848" s="288">
        <v>47.0</v>
      </c>
    </row>
    <row r="849">
      <c r="A849" s="288">
        <v>9.0</v>
      </c>
      <c r="B849" s="279">
        <v>48.0</v>
      </c>
    </row>
    <row r="850">
      <c r="A850" s="288">
        <v>9.0</v>
      </c>
      <c r="B850" s="288">
        <v>49.0</v>
      </c>
    </row>
    <row r="851">
      <c r="A851" s="288">
        <v>9.0</v>
      </c>
      <c r="B851" s="288">
        <v>50.0</v>
      </c>
    </row>
    <row r="852">
      <c r="A852" s="288">
        <v>9.0</v>
      </c>
      <c r="B852" s="288">
        <v>51.0</v>
      </c>
    </row>
    <row r="853">
      <c r="A853" s="288">
        <v>9.0</v>
      </c>
      <c r="B853" s="288">
        <v>52.0</v>
      </c>
    </row>
    <row r="854">
      <c r="A854" s="288">
        <v>9.0</v>
      </c>
      <c r="B854" s="288">
        <v>53.0</v>
      </c>
    </row>
    <row r="855">
      <c r="A855" s="288">
        <v>9.0</v>
      </c>
      <c r="B855" s="279">
        <v>54.0</v>
      </c>
    </row>
    <row r="856">
      <c r="A856" s="288">
        <v>9.0</v>
      </c>
      <c r="B856" s="288">
        <v>55.0</v>
      </c>
    </row>
    <row r="857">
      <c r="A857" s="288">
        <v>9.0</v>
      </c>
      <c r="B857" s="288">
        <v>56.0</v>
      </c>
    </row>
    <row r="858">
      <c r="A858" s="288">
        <v>9.0</v>
      </c>
      <c r="B858" s="288">
        <v>57.0</v>
      </c>
    </row>
    <row r="859">
      <c r="A859" s="288">
        <v>9.0</v>
      </c>
      <c r="B859" s="288">
        <v>58.0</v>
      </c>
    </row>
    <row r="860">
      <c r="A860" s="288">
        <v>9.0</v>
      </c>
      <c r="B860" s="288">
        <v>59.0</v>
      </c>
    </row>
    <row r="861">
      <c r="A861" s="288">
        <v>9.0</v>
      </c>
      <c r="B861" s="279">
        <v>60.0</v>
      </c>
    </row>
    <row r="862">
      <c r="A862" s="288">
        <v>9.0</v>
      </c>
      <c r="B862" s="288">
        <v>61.0</v>
      </c>
    </row>
    <row r="863">
      <c r="A863" s="288">
        <v>9.0</v>
      </c>
      <c r="B863" s="288">
        <v>62.0</v>
      </c>
    </row>
    <row r="864">
      <c r="A864" s="288">
        <v>9.0</v>
      </c>
      <c r="B864" s="288">
        <v>63.0</v>
      </c>
    </row>
    <row r="865">
      <c r="A865" s="288">
        <v>9.0</v>
      </c>
      <c r="B865" s="288">
        <v>64.0</v>
      </c>
    </row>
    <row r="866">
      <c r="A866" s="288">
        <v>9.0</v>
      </c>
      <c r="B866" s="288">
        <v>65.0</v>
      </c>
    </row>
    <row r="867">
      <c r="A867" s="288">
        <v>9.0</v>
      </c>
      <c r="B867" s="279">
        <v>66.0</v>
      </c>
    </row>
    <row r="868">
      <c r="A868" s="288">
        <v>9.0</v>
      </c>
      <c r="B868" s="288">
        <v>67.0</v>
      </c>
    </row>
    <row r="869">
      <c r="A869" s="288">
        <v>9.0</v>
      </c>
      <c r="B869" s="288">
        <v>68.0</v>
      </c>
    </row>
    <row r="870">
      <c r="A870" s="288">
        <v>9.0</v>
      </c>
      <c r="B870" s="288">
        <v>69.0</v>
      </c>
    </row>
    <row r="871">
      <c r="A871" s="288">
        <v>9.0</v>
      </c>
      <c r="B871" s="288">
        <v>70.0</v>
      </c>
    </row>
    <row r="872">
      <c r="A872" s="288">
        <v>9.0</v>
      </c>
      <c r="B872" s="288">
        <v>71.0</v>
      </c>
    </row>
    <row r="873">
      <c r="A873" s="288">
        <v>9.0</v>
      </c>
      <c r="B873" s="279">
        <v>72.0</v>
      </c>
    </row>
    <row r="874">
      <c r="A874" s="288">
        <v>9.0</v>
      </c>
      <c r="B874" s="288">
        <v>73.0</v>
      </c>
    </row>
    <row r="875">
      <c r="A875" s="288">
        <v>9.0</v>
      </c>
      <c r="B875" s="288">
        <v>74.0</v>
      </c>
    </row>
    <row r="876">
      <c r="A876" s="288">
        <v>9.0</v>
      </c>
      <c r="B876" s="288">
        <v>75.0</v>
      </c>
    </row>
    <row r="877">
      <c r="A877" s="288">
        <v>9.0</v>
      </c>
      <c r="B877" s="288">
        <v>76.0</v>
      </c>
    </row>
    <row r="878">
      <c r="A878" s="288">
        <v>9.0</v>
      </c>
      <c r="B878" s="288">
        <v>77.0</v>
      </c>
    </row>
    <row r="879">
      <c r="A879" s="288">
        <v>9.0</v>
      </c>
      <c r="B879" s="279">
        <v>78.0</v>
      </c>
    </row>
    <row r="880">
      <c r="A880" s="288">
        <v>9.0</v>
      </c>
      <c r="B880" s="288">
        <v>79.0</v>
      </c>
    </row>
    <row r="881">
      <c r="A881" s="288">
        <v>9.0</v>
      </c>
      <c r="B881" s="288">
        <v>80.0</v>
      </c>
    </row>
    <row r="882">
      <c r="A882" s="288">
        <v>9.0</v>
      </c>
      <c r="B882" s="288">
        <v>81.0</v>
      </c>
    </row>
    <row r="883">
      <c r="A883" s="288">
        <v>9.0</v>
      </c>
      <c r="B883" s="288">
        <v>82.0</v>
      </c>
    </row>
    <row r="884">
      <c r="A884" s="288">
        <v>9.0</v>
      </c>
      <c r="B884" s="288">
        <v>83.0</v>
      </c>
    </row>
    <row r="885">
      <c r="A885" s="288">
        <v>9.0</v>
      </c>
      <c r="B885" s="279">
        <v>84.0</v>
      </c>
    </row>
    <row r="886">
      <c r="A886" s="288">
        <v>9.0</v>
      </c>
      <c r="B886" s="288">
        <v>85.0</v>
      </c>
    </row>
    <row r="887">
      <c r="A887" s="288">
        <v>9.0</v>
      </c>
      <c r="B887" s="288">
        <v>86.0</v>
      </c>
    </row>
    <row r="888">
      <c r="A888" s="288">
        <v>9.0</v>
      </c>
      <c r="B888" s="288">
        <v>87.0</v>
      </c>
    </row>
    <row r="889">
      <c r="A889" s="288">
        <v>9.0</v>
      </c>
      <c r="B889" s="288">
        <v>88.0</v>
      </c>
    </row>
    <row r="890">
      <c r="A890" s="288">
        <v>9.0</v>
      </c>
      <c r="B890" s="288">
        <v>89.0</v>
      </c>
    </row>
    <row r="891">
      <c r="A891" s="288">
        <v>9.0</v>
      </c>
      <c r="B891" s="279">
        <v>90.0</v>
      </c>
    </row>
    <row r="892">
      <c r="A892" s="288">
        <v>9.0</v>
      </c>
      <c r="B892" s="288">
        <v>91.0</v>
      </c>
    </row>
    <row r="893">
      <c r="A893" s="288">
        <v>9.0</v>
      </c>
      <c r="B893" s="288">
        <v>92.0</v>
      </c>
    </row>
    <row r="894">
      <c r="A894" s="288">
        <v>9.0</v>
      </c>
      <c r="B894" s="288">
        <v>93.0</v>
      </c>
    </row>
    <row r="895">
      <c r="A895" s="288">
        <v>9.0</v>
      </c>
      <c r="B895" s="288">
        <v>94.0</v>
      </c>
    </row>
    <row r="896">
      <c r="A896" s="288">
        <v>9.0</v>
      </c>
      <c r="B896" s="288">
        <v>95.0</v>
      </c>
    </row>
    <row r="897">
      <c r="A897" s="288">
        <v>9.0</v>
      </c>
      <c r="B897" s="279">
        <v>96.0</v>
      </c>
    </row>
    <row r="898">
      <c r="A898" s="288">
        <v>9.0</v>
      </c>
      <c r="B898" s="288">
        <v>97.0</v>
      </c>
    </row>
    <row r="899">
      <c r="A899" s="288">
        <v>9.0</v>
      </c>
      <c r="B899" s="279">
        <v>98.0</v>
      </c>
    </row>
    <row r="900">
      <c r="A900" s="288">
        <v>9.0</v>
      </c>
      <c r="B900" s="279">
        <v>99.0</v>
      </c>
    </row>
    <row r="901">
      <c r="A901" s="288">
        <v>10.0</v>
      </c>
      <c r="B901" s="279">
        <v>0.0</v>
      </c>
    </row>
    <row r="902">
      <c r="A902" s="288">
        <v>10.0</v>
      </c>
      <c r="B902" s="288">
        <v>1.0</v>
      </c>
    </row>
    <row r="903">
      <c r="A903" s="288">
        <v>10.0</v>
      </c>
      <c r="B903" s="288">
        <v>2.0</v>
      </c>
    </row>
    <row r="904">
      <c r="A904" s="288">
        <v>10.0</v>
      </c>
      <c r="B904" s="288">
        <v>3.0</v>
      </c>
    </row>
    <row r="905">
      <c r="A905" s="288">
        <v>10.0</v>
      </c>
      <c r="B905" s="288">
        <v>4.0</v>
      </c>
    </row>
    <row r="906">
      <c r="A906" s="288">
        <v>10.0</v>
      </c>
      <c r="B906" s="288">
        <v>5.0</v>
      </c>
    </row>
    <row r="907">
      <c r="A907" s="288">
        <v>10.0</v>
      </c>
      <c r="B907" s="279">
        <v>6.0</v>
      </c>
    </row>
    <row r="908">
      <c r="A908" s="288">
        <v>10.0</v>
      </c>
      <c r="B908" s="288">
        <v>7.0</v>
      </c>
    </row>
    <row r="909">
      <c r="A909" s="288">
        <v>10.0</v>
      </c>
      <c r="B909" s="288">
        <v>8.0</v>
      </c>
    </row>
    <row r="910">
      <c r="A910" s="288">
        <v>10.0</v>
      </c>
      <c r="B910" s="288">
        <v>9.0</v>
      </c>
    </row>
    <row r="911">
      <c r="A911" s="288">
        <v>10.0</v>
      </c>
      <c r="B911" s="288">
        <v>10.0</v>
      </c>
    </row>
    <row r="912">
      <c r="A912" s="288">
        <v>10.0</v>
      </c>
      <c r="B912" s="288">
        <v>11.0</v>
      </c>
    </row>
    <row r="913">
      <c r="A913" s="288">
        <v>10.0</v>
      </c>
      <c r="B913" s="279">
        <v>12.0</v>
      </c>
    </row>
    <row r="914">
      <c r="A914" s="288">
        <v>10.0</v>
      </c>
      <c r="B914" s="288">
        <v>13.0</v>
      </c>
    </row>
    <row r="915">
      <c r="A915" s="288">
        <v>10.0</v>
      </c>
      <c r="B915" s="288">
        <v>14.0</v>
      </c>
    </row>
    <row r="916">
      <c r="A916" s="288">
        <v>10.0</v>
      </c>
      <c r="B916" s="288">
        <v>15.0</v>
      </c>
    </row>
    <row r="917">
      <c r="A917" s="288">
        <v>10.0</v>
      </c>
      <c r="B917" s="288">
        <v>16.0</v>
      </c>
    </row>
    <row r="918">
      <c r="A918" s="288">
        <v>10.0</v>
      </c>
      <c r="B918" s="288">
        <v>17.0</v>
      </c>
    </row>
    <row r="919">
      <c r="A919" s="288">
        <v>10.0</v>
      </c>
      <c r="B919" s="279">
        <v>18.0</v>
      </c>
    </row>
    <row r="920">
      <c r="A920" s="288">
        <v>10.0</v>
      </c>
      <c r="B920" s="288">
        <v>19.0</v>
      </c>
    </row>
    <row r="921">
      <c r="A921" s="288">
        <v>10.0</v>
      </c>
      <c r="B921" s="288">
        <v>20.0</v>
      </c>
    </row>
    <row r="922">
      <c r="A922" s="288">
        <v>10.0</v>
      </c>
      <c r="B922" s="288">
        <v>21.0</v>
      </c>
    </row>
    <row r="923">
      <c r="A923" s="288">
        <v>10.0</v>
      </c>
      <c r="B923" s="288">
        <v>22.0</v>
      </c>
    </row>
    <row r="924">
      <c r="A924" s="288">
        <v>10.0</v>
      </c>
      <c r="B924" s="288">
        <v>23.0</v>
      </c>
    </row>
    <row r="925">
      <c r="A925" s="288">
        <v>10.0</v>
      </c>
      <c r="B925" s="279">
        <v>24.0</v>
      </c>
    </row>
    <row r="926">
      <c r="A926" s="288">
        <v>10.0</v>
      </c>
      <c r="B926" s="288">
        <v>25.0</v>
      </c>
    </row>
    <row r="927">
      <c r="A927" s="288">
        <v>10.0</v>
      </c>
      <c r="B927" s="288">
        <v>26.0</v>
      </c>
    </row>
    <row r="928">
      <c r="A928" s="288">
        <v>10.0</v>
      </c>
      <c r="B928" s="288">
        <v>27.0</v>
      </c>
    </row>
    <row r="929">
      <c r="A929" s="288">
        <v>10.0</v>
      </c>
      <c r="B929" s="288">
        <v>28.0</v>
      </c>
    </row>
    <row r="930">
      <c r="A930" s="288">
        <v>10.0</v>
      </c>
      <c r="B930" s="288">
        <v>29.0</v>
      </c>
    </row>
    <row r="931">
      <c r="A931" s="288">
        <v>10.0</v>
      </c>
      <c r="B931" s="279">
        <v>30.0</v>
      </c>
    </row>
    <row r="932">
      <c r="A932" s="288">
        <v>10.0</v>
      </c>
      <c r="B932" s="288">
        <v>31.0</v>
      </c>
    </row>
    <row r="933">
      <c r="A933" s="288">
        <v>10.0</v>
      </c>
      <c r="B933" s="288">
        <v>32.0</v>
      </c>
    </row>
    <row r="934">
      <c r="A934" s="288">
        <v>10.0</v>
      </c>
      <c r="B934" s="288">
        <v>33.0</v>
      </c>
    </row>
    <row r="935">
      <c r="A935" s="288">
        <v>10.0</v>
      </c>
      <c r="B935" s="288">
        <v>34.0</v>
      </c>
    </row>
    <row r="936">
      <c r="A936" s="288">
        <v>10.0</v>
      </c>
      <c r="B936" s="288">
        <v>35.0</v>
      </c>
    </row>
    <row r="937">
      <c r="A937" s="288">
        <v>10.0</v>
      </c>
      <c r="B937" s="279">
        <v>36.0</v>
      </c>
    </row>
    <row r="938">
      <c r="A938" s="288">
        <v>10.0</v>
      </c>
      <c r="B938" s="288">
        <v>37.0</v>
      </c>
    </row>
    <row r="939">
      <c r="A939" s="288">
        <v>10.0</v>
      </c>
      <c r="B939" s="288">
        <v>38.0</v>
      </c>
    </row>
    <row r="940">
      <c r="A940" s="288">
        <v>10.0</v>
      </c>
      <c r="B940" s="288">
        <v>39.0</v>
      </c>
    </row>
    <row r="941">
      <c r="A941" s="288">
        <v>10.0</v>
      </c>
      <c r="B941" s="288">
        <v>40.0</v>
      </c>
    </row>
    <row r="942">
      <c r="A942" s="288">
        <v>10.0</v>
      </c>
      <c r="B942" s="288">
        <v>41.0</v>
      </c>
    </row>
    <row r="943">
      <c r="A943" s="288">
        <v>10.0</v>
      </c>
      <c r="B943" s="279">
        <v>42.0</v>
      </c>
    </row>
    <row r="944">
      <c r="A944" s="288">
        <v>10.0</v>
      </c>
      <c r="B944" s="288">
        <v>43.0</v>
      </c>
    </row>
    <row r="945">
      <c r="A945" s="288">
        <v>10.0</v>
      </c>
      <c r="B945" s="288">
        <v>44.0</v>
      </c>
    </row>
    <row r="946">
      <c r="A946" s="288">
        <v>10.0</v>
      </c>
      <c r="B946" s="288">
        <v>45.0</v>
      </c>
    </row>
    <row r="947">
      <c r="A947" s="288">
        <v>10.0</v>
      </c>
      <c r="B947" s="288">
        <v>46.0</v>
      </c>
    </row>
    <row r="948">
      <c r="A948" s="288">
        <v>10.0</v>
      </c>
      <c r="B948" s="288">
        <v>47.0</v>
      </c>
    </row>
    <row r="949">
      <c r="A949" s="288">
        <v>10.0</v>
      </c>
      <c r="B949" s="279">
        <v>48.0</v>
      </c>
    </row>
    <row r="950">
      <c r="A950" s="288">
        <v>10.0</v>
      </c>
      <c r="B950" s="288">
        <v>49.0</v>
      </c>
    </row>
    <row r="951">
      <c r="A951" s="288">
        <v>10.0</v>
      </c>
      <c r="B951" s="288">
        <v>50.0</v>
      </c>
    </row>
    <row r="952">
      <c r="A952" s="288">
        <v>10.0</v>
      </c>
      <c r="B952" s="288">
        <v>51.0</v>
      </c>
    </row>
    <row r="953">
      <c r="A953" s="288">
        <v>10.0</v>
      </c>
      <c r="B953" s="288">
        <v>52.0</v>
      </c>
    </row>
    <row r="954">
      <c r="A954" s="288">
        <v>10.0</v>
      </c>
      <c r="B954" s="288">
        <v>53.0</v>
      </c>
    </row>
    <row r="955">
      <c r="A955" s="288">
        <v>10.0</v>
      </c>
      <c r="B955" s="279">
        <v>54.0</v>
      </c>
    </row>
    <row r="956">
      <c r="A956" s="288">
        <v>10.0</v>
      </c>
      <c r="B956" s="288">
        <v>55.0</v>
      </c>
    </row>
    <row r="957">
      <c r="A957" s="288">
        <v>10.0</v>
      </c>
      <c r="B957" s="288">
        <v>56.0</v>
      </c>
    </row>
    <row r="958">
      <c r="A958" s="288">
        <v>10.0</v>
      </c>
      <c r="B958" s="288">
        <v>57.0</v>
      </c>
    </row>
    <row r="959">
      <c r="A959" s="288">
        <v>10.0</v>
      </c>
      <c r="B959" s="288">
        <v>58.0</v>
      </c>
    </row>
    <row r="960">
      <c r="A960" s="288">
        <v>10.0</v>
      </c>
      <c r="B960" s="288">
        <v>59.0</v>
      </c>
    </row>
    <row r="961">
      <c r="A961" s="288">
        <v>10.0</v>
      </c>
      <c r="B961" s="279">
        <v>60.0</v>
      </c>
    </row>
    <row r="962">
      <c r="A962" s="288">
        <v>10.0</v>
      </c>
      <c r="B962" s="288">
        <v>61.0</v>
      </c>
    </row>
    <row r="963">
      <c r="A963" s="288">
        <v>10.0</v>
      </c>
      <c r="B963" s="288">
        <v>62.0</v>
      </c>
    </row>
    <row r="964">
      <c r="A964" s="288">
        <v>10.0</v>
      </c>
      <c r="B964" s="288">
        <v>63.0</v>
      </c>
    </row>
    <row r="965">
      <c r="A965" s="288">
        <v>10.0</v>
      </c>
      <c r="B965" s="288">
        <v>64.0</v>
      </c>
    </row>
    <row r="966">
      <c r="A966" s="288">
        <v>10.0</v>
      </c>
      <c r="B966" s="288">
        <v>65.0</v>
      </c>
    </row>
    <row r="967">
      <c r="A967" s="288">
        <v>10.0</v>
      </c>
      <c r="B967" s="279">
        <v>66.0</v>
      </c>
    </row>
    <row r="968">
      <c r="A968" s="288">
        <v>10.0</v>
      </c>
      <c r="B968" s="288">
        <v>67.0</v>
      </c>
    </row>
    <row r="969">
      <c r="A969" s="288">
        <v>10.0</v>
      </c>
      <c r="B969" s="288">
        <v>68.0</v>
      </c>
    </row>
    <row r="970">
      <c r="A970" s="288">
        <v>10.0</v>
      </c>
      <c r="B970" s="288">
        <v>69.0</v>
      </c>
    </row>
    <row r="971">
      <c r="A971" s="288">
        <v>10.0</v>
      </c>
      <c r="B971" s="288">
        <v>70.0</v>
      </c>
    </row>
    <row r="972">
      <c r="A972" s="288">
        <v>10.0</v>
      </c>
      <c r="B972" s="288">
        <v>71.0</v>
      </c>
    </row>
    <row r="973">
      <c r="A973" s="288">
        <v>10.0</v>
      </c>
      <c r="B973" s="279">
        <v>72.0</v>
      </c>
    </row>
    <row r="974">
      <c r="A974" s="288">
        <v>10.0</v>
      </c>
      <c r="B974" s="288">
        <v>73.0</v>
      </c>
    </row>
    <row r="975">
      <c r="A975" s="288">
        <v>10.0</v>
      </c>
      <c r="B975" s="288">
        <v>74.0</v>
      </c>
    </row>
    <row r="976">
      <c r="A976" s="288">
        <v>10.0</v>
      </c>
      <c r="B976" s="288">
        <v>75.0</v>
      </c>
    </row>
    <row r="977">
      <c r="A977" s="288">
        <v>10.0</v>
      </c>
      <c r="B977" s="288">
        <v>76.0</v>
      </c>
    </row>
    <row r="978">
      <c r="A978" s="288">
        <v>10.0</v>
      </c>
      <c r="B978" s="288">
        <v>77.0</v>
      </c>
    </row>
    <row r="979">
      <c r="A979" s="288">
        <v>10.0</v>
      </c>
      <c r="B979" s="279">
        <v>78.0</v>
      </c>
    </row>
    <row r="980">
      <c r="A980" s="288">
        <v>10.0</v>
      </c>
      <c r="B980" s="288">
        <v>79.0</v>
      </c>
    </row>
    <row r="981">
      <c r="A981" s="288">
        <v>10.0</v>
      </c>
      <c r="B981" s="288">
        <v>80.0</v>
      </c>
    </row>
    <row r="982">
      <c r="A982" s="288">
        <v>10.0</v>
      </c>
      <c r="B982" s="288">
        <v>81.0</v>
      </c>
    </row>
    <row r="983">
      <c r="A983" s="288">
        <v>10.0</v>
      </c>
      <c r="B983" s="288">
        <v>82.0</v>
      </c>
    </row>
    <row r="984">
      <c r="A984" s="288">
        <v>10.0</v>
      </c>
      <c r="B984" s="288">
        <v>83.0</v>
      </c>
    </row>
    <row r="985">
      <c r="A985" s="288">
        <v>10.0</v>
      </c>
      <c r="B985" s="279">
        <v>84.0</v>
      </c>
    </row>
    <row r="986">
      <c r="A986" s="288">
        <v>10.0</v>
      </c>
      <c r="B986" s="288">
        <v>85.0</v>
      </c>
    </row>
    <row r="987">
      <c r="A987" s="288">
        <v>10.0</v>
      </c>
      <c r="B987" s="288">
        <v>86.0</v>
      </c>
    </row>
    <row r="988">
      <c r="A988" s="288">
        <v>10.0</v>
      </c>
      <c r="B988" s="288">
        <v>87.0</v>
      </c>
    </row>
    <row r="989">
      <c r="A989" s="288">
        <v>10.0</v>
      </c>
      <c r="B989" s="288">
        <v>88.0</v>
      </c>
    </row>
    <row r="990">
      <c r="A990" s="288">
        <v>10.0</v>
      </c>
      <c r="B990" s="288">
        <v>89.0</v>
      </c>
    </row>
    <row r="991">
      <c r="A991" s="288">
        <v>10.0</v>
      </c>
      <c r="B991" s="279">
        <v>90.0</v>
      </c>
    </row>
    <row r="992">
      <c r="A992" s="288">
        <v>10.0</v>
      </c>
      <c r="B992" s="288">
        <v>91.0</v>
      </c>
    </row>
    <row r="993">
      <c r="A993" s="288">
        <v>10.0</v>
      </c>
      <c r="B993" s="288">
        <v>92.0</v>
      </c>
    </row>
    <row r="994">
      <c r="A994" s="288">
        <v>10.0</v>
      </c>
      <c r="B994" s="288">
        <v>93.0</v>
      </c>
    </row>
    <row r="995">
      <c r="A995" s="288">
        <v>10.0</v>
      </c>
      <c r="B995" s="288">
        <v>94.0</v>
      </c>
    </row>
    <row r="996">
      <c r="A996" s="288">
        <v>10.0</v>
      </c>
      <c r="B996" s="288">
        <v>95.0</v>
      </c>
    </row>
    <row r="997">
      <c r="A997" s="288">
        <v>10.0</v>
      </c>
      <c r="B997" s="279">
        <v>96.0</v>
      </c>
    </row>
    <row r="998">
      <c r="A998" s="288">
        <v>10.0</v>
      </c>
      <c r="B998" s="288">
        <v>97.0</v>
      </c>
    </row>
    <row r="999">
      <c r="A999" s="288">
        <v>10.0</v>
      </c>
      <c r="B999" s="279">
        <v>98.0</v>
      </c>
    </row>
    <row r="1000">
      <c r="A1000" s="288">
        <v>10.0</v>
      </c>
      <c r="B1000" s="279">
        <v>99.0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88"/>
    <col customWidth="1" min="3" max="3" width="16.0"/>
    <col customWidth="1" min="4" max="4" width="17.13"/>
    <col customWidth="1" min="5" max="5" width="22.75"/>
    <col customWidth="1" min="6" max="6" width="16.63"/>
    <col customWidth="1" min="9" max="9" width="20.38"/>
  </cols>
  <sheetData>
    <row r="1">
      <c r="A1" s="266" t="s">
        <v>6310</v>
      </c>
      <c r="B1" s="266" t="s">
        <v>6311</v>
      </c>
      <c r="C1" s="266" t="s">
        <v>6312</v>
      </c>
      <c r="D1" s="266" t="s">
        <v>8597</v>
      </c>
      <c r="E1" s="266" t="s">
        <v>6314</v>
      </c>
      <c r="F1" s="266" t="s">
        <v>6316</v>
      </c>
      <c r="G1" s="266" t="s">
        <v>6318</v>
      </c>
      <c r="H1" s="266" t="s">
        <v>8598</v>
      </c>
      <c r="I1" s="266" t="s">
        <v>6320</v>
      </c>
      <c r="J1" s="266" t="s">
        <v>6321</v>
      </c>
      <c r="K1" s="266" t="s">
        <v>6323</v>
      </c>
      <c r="L1" s="266" t="s">
        <v>6324</v>
      </c>
      <c r="M1" s="266" t="s">
        <v>8599</v>
      </c>
      <c r="N1" s="266" t="s">
        <v>6326</v>
      </c>
      <c r="O1" s="266" t="s">
        <v>6327</v>
      </c>
      <c r="P1" s="266" t="s">
        <v>8600</v>
      </c>
      <c r="Q1" s="266" t="s">
        <v>8601</v>
      </c>
      <c r="R1" s="266" t="s">
        <v>6330</v>
      </c>
      <c r="S1" s="266" t="s">
        <v>6332</v>
      </c>
      <c r="T1" s="266" t="s">
        <v>6333</v>
      </c>
      <c r="U1" s="266" t="s">
        <v>8602</v>
      </c>
      <c r="V1" s="266" t="s">
        <v>6335</v>
      </c>
      <c r="W1" s="266" t="s">
        <v>6337</v>
      </c>
      <c r="X1" s="266" t="s">
        <v>8603</v>
      </c>
      <c r="Y1" s="266" t="s">
        <v>6340</v>
      </c>
      <c r="Z1" s="266" t="s">
        <v>6341</v>
      </c>
      <c r="AA1" s="266" t="s">
        <v>6343</v>
      </c>
      <c r="AB1" s="266" t="s">
        <v>8604</v>
      </c>
      <c r="AC1" s="266" t="s">
        <v>6345</v>
      </c>
      <c r="AD1" s="266" t="s">
        <v>6346</v>
      </c>
      <c r="AE1" s="266" t="s">
        <v>6347</v>
      </c>
      <c r="AF1" s="266" t="s">
        <v>8605</v>
      </c>
      <c r="AG1" s="266" t="s">
        <v>6350</v>
      </c>
      <c r="AH1" s="266" t="s">
        <v>6351</v>
      </c>
      <c r="AI1" s="266" t="s">
        <v>8606</v>
      </c>
      <c r="AJ1" s="266" t="s">
        <v>8607</v>
      </c>
      <c r="AK1" s="266" t="s">
        <v>6354</v>
      </c>
      <c r="AL1" s="266" t="s">
        <v>6355</v>
      </c>
      <c r="AM1" s="266" t="s">
        <v>6356</v>
      </c>
      <c r="AN1" s="266" t="s">
        <v>8608</v>
      </c>
      <c r="AO1" s="266" t="s">
        <v>6358</v>
      </c>
      <c r="AP1" s="266" t="s">
        <v>6359</v>
      </c>
      <c r="AQ1" s="266" t="s">
        <v>8609</v>
      </c>
      <c r="AR1" s="266" t="s">
        <v>6361</v>
      </c>
      <c r="AS1" s="266" t="s">
        <v>6362</v>
      </c>
      <c r="AT1" s="266" t="s">
        <v>6363</v>
      </c>
      <c r="AU1" s="266" t="s">
        <v>8610</v>
      </c>
      <c r="AV1" s="266" t="s">
        <v>6365</v>
      </c>
      <c r="AW1" s="266" t="s">
        <v>6366</v>
      </c>
      <c r="AX1" s="266" t="s">
        <v>6367</v>
      </c>
      <c r="AY1" s="266" t="s">
        <v>6368</v>
      </c>
      <c r="AZ1" s="266" t="s">
        <v>8611</v>
      </c>
      <c r="BA1" s="266" t="s">
        <v>6370</v>
      </c>
      <c r="BB1" s="266" t="s">
        <v>6371</v>
      </c>
      <c r="BC1" s="266" t="s">
        <v>6372</v>
      </c>
      <c r="BD1" s="266" t="s">
        <v>8612</v>
      </c>
      <c r="BE1" s="266" t="s">
        <v>8613</v>
      </c>
      <c r="BF1" s="266" t="s">
        <v>6375</v>
      </c>
      <c r="BG1" s="266" t="s">
        <v>6376</v>
      </c>
      <c r="BH1" s="266" t="s">
        <v>6377</v>
      </c>
      <c r="BI1" s="266" t="s">
        <v>8614</v>
      </c>
      <c r="BJ1" s="266" t="s">
        <v>6379</v>
      </c>
      <c r="BK1" s="266" t="s">
        <v>6380</v>
      </c>
      <c r="BL1" s="266" t="s">
        <v>8615</v>
      </c>
      <c r="BM1" s="266" t="s">
        <v>6382</v>
      </c>
      <c r="BN1" s="266" t="s">
        <v>6383</v>
      </c>
      <c r="BO1" s="266" t="s">
        <v>6384</v>
      </c>
      <c r="BP1" s="266" t="s">
        <v>8616</v>
      </c>
      <c r="BQ1" s="266" t="s">
        <v>6386</v>
      </c>
      <c r="BR1" s="266" t="s">
        <v>6387</v>
      </c>
      <c r="BS1" s="266" t="s">
        <v>6388</v>
      </c>
      <c r="BT1" s="266" t="s">
        <v>6389</v>
      </c>
      <c r="BU1" s="266" t="s">
        <v>8617</v>
      </c>
      <c r="BV1" s="266" t="s">
        <v>8618</v>
      </c>
      <c r="BW1" s="266" t="s">
        <v>6393</v>
      </c>
      <c r="BX1" s="266" t="s">
        <v>6394</v>
      </c>
      <c r="BY1" s="266" t="s">
        <v>6395</v>
      </c>
      <c r="BZ1" s="266" t="s">
        <v>8619</v>
      </c>
      <c r="CA1" s="266" t="s">
        <v>6397</v>
      </c>
      <c r="CB1" s="266" t="s">
        <v>6398</v>
      </c>
      <c r="CC1" s="266" t="s">
        <v>8620</v>
      </c>
      <c r="CD1" s="266" t="s">
        <v>6400</v>
      </c>
      <c r="CE1" s="266" t="s">
        <v>6401</v>
      </c>
      <c r="CF1" s="266" t="s">
        <v>6402</v>
      </c>
      <c r="CG1" s="266" t="s">
        <v>6403</v>
      </c>
      <c r="CH1" s="266" t="s">
        <v>6404</v>
      </c>
      <c r="CI1" s="266" t="s">
        <v>6405</v>
      </c>
      <c r="CJ1" s="266" t="s">
        <v>6406</v>
      </c>
      <c r="CK1" s="266" t="s">
        <v>8621</v>
      </c>
      <c r="CL1" s="266" t="s">
        <v>6408</v>
      </c>
      <c r="CM1" s="266" t="s">
        <v>6409</v>
      </c>
      <c r="CN1" s="266" t="s">
        <v>6410</v>
      </c>
      <c r="CO1" s="266" t="s">
        <v>6411</v>
      </c>
      <c r="CP1" s="266" t="s">
        <v>6412</v>
      </c>
      <c r="CQ1" s="266" t="s">
        <v>6413</v>
      </c>
      <c r="CR1" s="266" t="s">
        <v>6414</v>
      </c>
      <c r="CS1" s="266" t="s">
        <v>6415</v>
      </c>
      <c r="CT1" s="266" t="s">
        <v>6416</v>
      </c>
      <c r="CU1" s="266" t="s">
        <v>6417</v>
      </c>
      <c r="CV1" s="266" t="s">
        <v>6418</v>
      </c>
      <c r="CW1" s="266" t="s">
        <v>6419</v>
      </c>
      <c r="CX1" s="266" t="s">
        <v>8622</v>
      </c>
      <c r="CY1" s="266" t="s">
        <v>6421</v>
      </c>
      <c r="CZ1" s="266" t="s">
        <v>6422</v>
      </c>
      <c r="DA1" s="266" t="s">
        <v>6423</v>
      </c>
      <c r="DB1" s="266" t="s">
        <v>6424</v>
      </c>
      <c r="DC1" s="266" t="s">
        <v>6425</v>
      </c>
      <c r="DD1" s="266" t="s">
        <v>6426</v>
      </c>
      <c r="DE1" s="266" t="s">
        <v>6427</v>
      </c>
      <c r="DF1" s="266" t="s">
        <v>6429</v>
      </c>
      <c r="DG1" s="266" t="s">
        <v>6430</v>
      </c>
      <c r="DH1" s="266" t="s">
        <v>6431</v>
      </c>
      <c r="DI1" s="266" t="s">
        <v>6432</v>
      </c>
      <c r="DJ1" s="266" t="s">
        <v>6433</v>
      </c>
      <c r="DK1" s="266" t="s">
        <v>6434</v>
      </c>
      <c r="DL1" s="266" t="s">
        <v>6435</v>
      </c>
      <c r="DM1" s="266" t="s">
        <v>6436</v>
      </c>
      <c r="DN1" s="266" t="s">
        <v>6437</v>
      </c>
      <c r="DO1" s="266" t="s">
        <v>6438</v>
      </c>
      <c r="DP1" s="266" t="s">
        <v>6439</v>
      </c>
      <c r="DQ1" s="266" t="s">
        <v>6440</v>
      </c>
      <c r="DR1" s="266" t="s">
        <v>6441</v>
      </c>
      <c r="DS1" s="266" t="s">
        <v>6442</v>
      </c>
      <c r="DT1" s="266" t="s">
        <v>6443</v>
      </c>
      <c r="DU1" s="266" t="s">
        <v>6444</v>
      </c>
      <c r="DV1" s="266" t="s">
        <v>6445</v>
      </c>
      <c r="DW1" s="266" t="s">
        <v>6446</v>
      </c>
      <c r="DX1" s="266" t="s">
        <v>6447</v>
      </c>
      <c r="DY1" s="266" t="s">
        <v>6448</v>
      </c>
      <c r="DZ1" s="266" t="s">
        <v>6449</v>
      </c>
      <c r="EA1" s="266" t="s">
        <v>6450</v>
      </c>
      <c r="EB1" s="266" t="s">
        <v>6451</v>
      </c>
      <c r="EC1" s="266" t="s">
        <v>6452</v>
      </c>
      <c r="ED1" s="266" t="s">
        <v>6454</v>
      </c>
      <c r="EE1" s="266" t="s">
        <v>6455</v>
      </c>
      <c r="EF1" s="266" t="s">
        <v>6456</v>
      </c>
      <c r="EG1" s="266" t="s">
        <v>6457</v>
      </c>
      <c r="EH1" s="266" t="s">
        <v>6458</v>
      </c>
      <c r="EI1" s="266" t="s">
        <v>6460</v>
      </c>
      <c r="EJ1" s="266" t="s">
        <v>6461</v>
      </c>
      <c r="EK1" s="266"/>
    </row>
    <row r="2">
      <c r="A2" s="266" t="s">
        <v>8623</v>
      </c>
      <c r="B2" s="266" t="s">
        <v>0</v>
      </c>
      <c r="C2" s="266" t="s">
        <v>1</v>
      </c>
      <c r="D2" s="266" t="s">
        <v>2</v>
      </c>
      <c r="E2" s="266" t="s">
        <v>3</v>
      </c>
      <c r="F2" s="266" t="s">
        <v>4</v>
      </c>
      <c r="G2" s="266" t="s">
        <v>5</v>
      </c>
      <c r="H2" s="266"/>
    </row>
    <row r="3">
      <c r="A3" s="266" t="s">
        <v>8624</v>
      </c>
      <c r="B3" s="266" t="s">
        <v>3801</v>
      </c>
      <c r="C3" s="266" t="s">
        <v>6829</v>
      </c>
      <c r="D3" s="266" t="s">
        <v>3802</v>
      </c>
      <c r="E3" s="266" t="s">
        <v>3803</v>
      </c>
      <c r="F3" s="266" t="s">
        <v>3804</v>
      </c>
      <c r="G3" s="266"/>
    </row>
    <row r="4">
      <c r="A4" s="266" t="s">
        <v>8625</v>
      </c>
      <c r="B4" s="266" t="s">
        <v>5260</v>
      </c>
      <c r="C4" s="266" t="s">
        <v>576</v>
      </c>
      <c r="D4" s="266" t="s">
        <v>5261</v>
      </c>
      <c r="E4" s="266" t="s">
        <v>8626</v>
      </c>
      <c r="F4" s="266" t="s">
        <v>5262</v>
      </c>
      <c r="G4" s="266" t="s">
        <v>6868</v>
      </c>
      <c r="H4" s="266" t="s">
        <v>6869</v>
      </c>
      <c r="I4" s="266" t="s">
        <v>6870</v>
      </c>
      <c r="J4" s="266" t="s">
        <v>6871</v>
      </c>
      <c r="K4" s="266" t="s">
        <v>6872</v>
      </c>
      <c r="L4" s="266" t="s">
        <v>6873</v>
      </c>
      <c r="M4" s="266" t="s">
        <v>8627</v>
      </c>
      <c r="N4" s="266" t="s">
        <v>5263</v>
      </c>
      <c r="O4" s="266" t="s">
        <v>5264</v>
      </c>
      <c r="P4" s="266" t="s">
        <v>5265</v>
      </c>
      <c r="Q4" s="266" t="s">
        <v>6829</v>
      </c>
      <c r="R4" s="266" t="s">
        <v>3802</v>
      </c>
      <c r="S4" s="266" t="s">
        <v>3803</v>
      </c>
      <c r="T4" s="266" t="s">
        <v>3804</v>
      </c>
      <c r="U4" s="266" t="s">
        <v>575</v>
      </c>
      <c r="V4" s="266" t="s">
        <v>5266</v>
      </c>
      <c r="W4" s="266" t="s">
        <v>5267</v>
      </c>
      <c r="X4" s="266" t="s">
        <v>5268</v>
      </c>
      <c r="Y4" s="266" t="s">
        <v>5269</v>
      </c>
      <c r="Z4" s="266" t="s">
        <v>5139</v>
      </c>
      <c r="AA4" s="266" t="s">
        <v>5270</v>
      </c>
      <c r="AB4" s="266" t="s">
        <v>514</v>
      </c>
      <c r="AC4" s="266"/>
    </row>
    <row r="5">
      <c r="A5" s="266" t="s">
        <v>8628</v>
      </c>
      <c r="B5" s="266" t="s">
        <v>5260</v>
      </c>
      <c r="C5" s="266" t="s">
        <v>576</v>
      </c>
      <c r="D5" s="266" t="s">
        <v>8627</v>
      </c>
      <c r="E5" s="266" t="s">
        <v>5263</v>
      </c>
      <c r="F5" s="266" t="s">
        <v>5264</v>
      </c>
      <c r="G5" s="266" t="s">
        <v>5265</v>
      </c>
      <c r="H5" s="266" t="s">
        <v>6829</v>
      </c>
      <c r="I5" s="266" t="s">
        <v>3802</v>
      </c>
      <c r="J5" s="266" t="s">
        <v>3803</v>
      </c>
      <c r="K5" s="266" t="s">
        <v>3804</v>
      </c>
      <c r="L5" s="266" t="s">
        <v>575</v>
      </c>
      <c r="M5" s="266" t="s">
        <v>5266</v>
      </c>
      <c r="N5" s="266" t="s">
        <v>5267</v>
      </c>
      <c r="O5" s="266" t="s">
        <v>5268</v>
      </c>
      <c r="P5" s="266" t="s">
        <v>5269</v>
      </c>
      <c r="Q5" s="266" t="s">
        <v>5139</v>
      </c>
      <c r="R5" s="266" t="s">
        <v>5270</v>
      </c>
      <c r="S5" s="266" t="s">
        <v>514</v>
      </c>
      <c r="T5" s="266" t="s">
        <v>5285</v>
      </c>
      <c r="U5" s="266" t="s">
        <v>5286</v>
      </c>
      <c r="V5" s="266" t="s">
        <v>5287</v>
      </c>
      <c r="W5" s="266" t="s">
        <v>5288</v>
      </c>
      <c r="X5" s="266" t="s">
        <v>4114</v>
      </c>
      <c r="Y5" s="266" t="s">
        <v>5289</v>
      </c>
      <c r="Z5" s="266" t="s">
        <v>5290</v>
      </c>
      <c r="AA5" s="266" t="s">
        <v>3839</v>
      </c>
      <c r="AB5" s="266" t="s">
        <v>5291</v>
      </c>
      <c r="AC5" s="266"/>
    </row>
    <row r="6">
      <c r="A6" s="266" t="s">
        <v>8629</v>
      </c>
      <c r="B6" s="266" t="s">
        <v>6829</v>
      </c>
      <c r="C6" s="266" t="s">
        <v>3802</v>
      </c>
      <c r="D6" s="266" t="s">
        <v>3803</v>
      </c>
      <c r="E6" s="266" t="s">
        <v>3804</v>
      </c>
      <c r="F6" s="266" t="s">
        <v>6879</v>
      </c>
      <c r="G6" s="266" t="s">
        <v>6880</v>
      </c>
      <c r="H6" s="266"/>
      <c r="I6" s="266" t="s">
        <v>8630</v>
      </c>
      <c r="J6" s="266" t="s">
        <v>6882</v>
      </c>
      <c r="K6" s="266" t="s">
        <v>6883</v>
      </c>
      <c r="L6" s="266" t="s">
        <v>6884</v>
      </c>
      <c r="M6" s="266" t="s">
        <v>6885</v>
      </c>
      <c r="N6" s="266" t="s">
        <v>6886</v>
      </c>
      <c r="O6" s="266" t="s">
        <v>6887</v>
      </c>
      <c r="P6" s="266" t="s">
        <v>6888</v>
      </c>
      <c r="Q6" s="266" t="s">
        <v>8631</v>
      </c>
      <c r="R6" s="266" t="s">
        <v>6890</v>
      </c>
      <c r="S6" s="266" t="s">
        <v>6891</v>
      </c>
      <c r="T6" s="266" t="s">
        <v>6892</v>
      </c>
      <c r="U6" s="266" t="s">
        <v>6891</v>
      </c>
      <c r="V6" s="266" t="s">
        <v>5261</v>
      </c>
      <c r="W6" s="266" t="s">
        <v>6893</v>
      </c>
      <c r="X6" s="266" t="s">
        <v>8632</v>
      </c>
      <c r="Y6" s="266" t="s">
        <v>5267</v>
      </c>
      <c r="Z6" s="266" t="s">
        <v>6895</v>
      </c>
      <c r="AA6" s="266" t="s">
        <v>6896</v>
      </c>
      <c r="AB6" s="266" t="s">
        <v>6897</v>
      </c>
      <c r="AC6" s="266" t="s">
        <v>6898</v>
      </c>
      <c r="AD6" s="266"/>
      <c r="AE6" s="266" t="s">
        <v>6900</v>
      </c>
      <c r="AF6" s="266" t="s">
        <v>6901</v>
      </c>
      <c r="AG6" s="266" t="s">
        <v>6902</v>
      </c>
      <c r="AH6" s="266" t="s">
        <v>6408</v>
      </c>
      <c r="AI6" s="266" t="s">
        <v>6409</v>
      </c>
      <c r="AJ6" s="266" t="s">
        <v>6903</v>
      </c>
      <c r="AK6" s="266" t="s">
        <v>6904</v>
      </c>
      <c r="AL6" s="266" t="s">
        <v>6905</v>
      </c>
      <c r="AM6" s="266" t="s">
        <v>6906</v>
      </c>
      <c r="AN6" s="266" t="s">
        <v>6907</v>
      </c>
      <c r="AO6" s="266" t="s">
        <v>6908</v>
      </c>
      <c r="AP6" s="266" t="s">
        <v>6910</v>
      </c>
      <c r="AQ6" s="266" t="s">
        <v>6911</v>
      </c>
      <c r="AR6" s="266" t="s">
        <v>6912</v>
      </c>
      <c r="AS6" s="266" t="s">
        <v>6913</v>
      </c>
      <c r="AT6" s="266" t="s">
        <v>6914</v>
      </c>
      <c r="AU6" s="266" t="s">
        <v>6915</v>
      </c>
      <c r="AV6" s="266" t="s">
        <v>6916</v>
      </c>
      <c r="AW6" s="266" t="s">
        <v>6917</v>
      </c>
      <c r="AX6" s="266" t="s">
        <v>6918</v>
      </c>
      <c r="AY6" s="266" t="s">
        <v>6919</v>
      </c>
      <c r="AZ6" s="266" t="s">
        <v>6920</v>
      </c>
      <c r="BA6" s="266" t="s">
        <v>6921</v>
      </c>
      <c r="BB6" s="266" t="s">
        <v>6922</v>
      </c>
      <c r="BC6" s="266" t="s">
        <v>2785</v>
      </c>
      <c r="BD6" s="266" t="s">
        <v>3840</v>
      </c>
      <c r="BE6" s="266" t="s">
        <v>6923</v>
      </c>
      <c r="BF6" s="266" t="s">
        <v>6924</v>
      </c>
      <c r="BG6" s="266" t="s">
        <v>6925</v>
      </c>
      <c r="BH6" s="266" t="s">
        <v>8633</v>
      </c>
      <c r="BI6" s="266" t="s">
        <v>6927</v>
      </c>
      <c r="BJ6" s="266" t="s">
        <v>6928</v>
      </c>
      <c r="BK6" s="266" t="s">
        <v>6929</v>
      </c>
      <c r="BL6" s="266" t="s">
        <v>6930</v>
      </c>
      <c r="BM6" s="266" t="s">
        <v>6931</v>
      </c>
      <c r="BN6" s="266" t="s">
        <v>6932</v>
      </c>
      <c r="BO6" s="266" t="s">
        <v>6933</v>
      </c>
      <c r="BP6" s="266" t="s">
        <v>8634</v>
      </c>
      <c r="BQ6" s="266" t="s">
        <v>6935</v>
      </c>
      <c r="BR6" s="266" t="s">
        <v>6936</v>
      </c>
      <c r="BS6" s="266" t="s">
        <v>6937</v>
      </c>
      <c r="BT6" s="266" t="s">
        <v>6936</v>
      </c>
      <c r="BU6" s="266" t="s">
        <v>6938</v>
      </c>
      <c r="BV6" s="266" t="s">
        <v>6939</v>
      </c>
      <c r="BW6" s="266" t="s">
        <v>6940</v>
      </c>
      <c r="BX6" s="266" t="s">
        <v>6941</v>
      </c>
      <c r="BY6" s="266" t="s">
        <v>6942</v>
      </c>
      <c r="BZ6" s="266" t="s">
        <v>6943</v>
      </c>
      <c r="CA6" s="266"/>
    </row>
    <row r="7">
      <c r="A7" s="266" t="s">
        <v>3848</v>
      </c>
      <c r="B7" s="266" t="s">
        <v>3849</v>
      </c>
      <c r="C7" s="266" t="s">
        <v>3850</v>
      </c>
      <c r="D7" s="266"/>
    </row>
    <row r="8">
      <c r="A8" s="266" t="s">
        <v>8635</v>
      </c>
      <c r="B8" s="266" t="s">
        <v>546</v>
      </c>
      <c r="C8" s="266" t="s">
        <v>547</v>
      </c>
      <c r="D8" s="266" t="s">
        <v>548</v>
      </c>
      <c r="E8" s="266" t="s">
        <v>549</v>
      </c>
      <c r="F8" s="266" t="s">
        <v>550</v>
      </c>
      <c r="G8" s="266"/>
    </row>
    <row r="9">
      <c r="A9" s="266" t="s">
        <v>8636</v>
      </c>
      <c r="B9" s="266" t="s">
        <v>5139</v>
      </c>
      <c r="C9" s="266" t="s">
        <v>5140</v>
      </c>
      <c r="D9" s="266" t="s">
        <v>5141</v>
      </c>
      <c r="E9" s="266" t="s">
        <v>5142</v>
      </c>
      <c r="F9" s="266" t="s">
        <v>5143</v>
      </c>
      <c r="G9" s="266" t="s">
        <v>5144</v>
      </c>
      <c r="H9" s="266" t="s">
        <v>5145</v>
      </c>
      <c r="I9" s="266" t="s">
        <v>5146</v>
      </c>
      <c r="J9" s="266" t="s">
        <v>5147</v>
      </c>
      <c r="K9" s="266" t="s">
        <v>5148</v>
      </c>
      <c r="L9" s="266" t="s">
        <v>5149</v>
      </c>
      <c r="M9" s="266" t="s">
        <v>5150</v>
      </c>
      <c r="N9" s="266" t="s">
        <v>5151</v>
      </c>
      <c r="O9" s="266" t="s">
        <v>5152</v>
      </c>
      <c r="P9" s="266" t="s">
        <v>5153</v>
      </c>
      <c r="Q9" s="266" t="s">
        <v>5154</v>
      </c>
    </row>
    <row r="10">
      <c r="A10" s="266" t="s">
        <v>8637</v>
      </c>
      <c r="B10" s="266" t="s">
        <v>7862</v>
      </c>
      <c r="C10" s="266" t="s">
        <v>7863</v>
      </c>
      <c r="D10" s="266" t="s">
        <v>7864</v>
      </c>
      <c r="E10" s="266" t="s">
        <v>7865</v>
      </c>
      <c r="F10" s="266" t="s">
        <v>7866</v>
      </c>
      <c r="G10" s="266" t="s">
        <v>7867</v>
      </c>
      <c r="H10" s="266" t="s">
        <v>7868</v>
      </c>
      <c r="I10" s="266" t="s">
        <v>7869</v>
      </c>
      <c r="J10" s="266" t="s">
        <v>7870</v>
      </c>
      <c r="K10" s="266" t="s">
        <v>7871</v>
      </c>
      <c r="L10" s="266" t="s">
        <v>7872</v>
      </c>
      <c r="M10" s="266" t="s">
        <v>7873</v>
      </c>
      <c r="N10" s="266" t="s">
        <v>7874</v>
      </c>
      <c r="O10" s="266" t="s">
        <v>7875</v>
      </c>
      <c r="P10" s="266" t="s">
        <v>7877</v>
      </c>
      <c r="Q10" s="266" t="s">
        <v>7878</v>
      </c>
      <c r="R10" s="266" t="s">
        <v>7879</v>
      </c>
      <c r="S10" s="266" t="s">
        <v>7880</v>
      </c>
      <c r="T10" s="266" t="s">
        <v>7881</v>
      </c>
      <c r="U10" s="266" t="s">
        <v>7882</v>
      </c>
      <c r="V10" s="266" t="s">
        <v>7883</v>
      </c>
      <c r="W10" s="266" t="s">
        <v>7884</v>
      </c>
      <c r="X10" s="266" t="s">
        <v>7885</v>
      </c>
      <c r="Y10" s="266" t="s">
        <v>7886</v>
      </c>
      <c r="Z10" s="266" t="s">
        <v>7887</v>
      </c>
      <c r="AA10" s="266" t="s">
        <v>7888</v>
      </c>
      <c r="AB10" s="266" t="s">
        <v>7889</v>
      </c>
      <c r="AC10" s="266" t="s">
        <v>7890</v>
      </c>
      <c r="AD10" s="266" t="s">
        <v>7891</v>
      </c>
      <c r="AE10" s="266" t="s">
        <v>7892</v>
      </c>
      <c r="AF10" s="266" t="s">
        <v>7893</v>
      </c>
      <c r="AG10" s="266" t="s">
        <v>7894</v>
      </c>
      <c r="AH10" s="266" t="s">
        <v>7895</v>
      </c>
      <c r="AI10" s="266" t="s">
        <v>7896</v>
      </c>
      <c r="AJ10" s="266" t="s">
        <v>7897</v>
      </c>
      <c r="AK10" s="266" t="s">
        <v>7898</v>
      </c>
      <c r="AL10" s="266" t="s">
        <v>7899</v>
      </c>
      <c r="AM10" s="266" t="s">
        <v>7900</v>
      </c>
      <c r="AN10" s="266" t="s">
        <v>7901</v>
      </c>
      <c r="AO10" s="266" t="s">
        <v>7902</v>
      </c>
      <c r="AP10" s="266" t="s">
        <v>7903</v>
      </c>
      <c r="AQ10" s="266" t="s">
        <v>7904</v>
      </c>
      <c r="AR10" s="266" t="s">
        <v>7905</v>
      </c>
      <c r="AS10" s="266" t="s">
        <v>7906</v>
      </c>
      <c r="AT10" s="266" t="s">
        <v>7907</v>
      </c>
      <c r="AU10" s="266" t="s">
        <v>7033</v>
      </c>
      <c r="AV10" s="266" t="s">
        <v>7908</v>
      </c>
      <c r="AW10" s="266" t="s">
        <v>7909</v>
      </c>
      <c r="AX10" s="266" t="s">
        <v>7910</v>
      </c>
      <c r="AY10" s="266" t="s">
        <v>7911</v>
      </c>
      <c r="AZ10" s="266" t="s">
        <v>7912</v>
      </c>
      <c r="BA10" s="266" t="s">
        <v>7913</v>
      </c>
      <c r="BB10" s="266" t="s">
        <v>7914</v>
      </c>
      <c r="BC10" s="266" t="s">
        <v>7915</v>
      </c>
      <c r="BD10" s="266" t="s">
        <v>7916</v>
      </c>
      <c r="BE10" s="266" t="s">
        <v>7917</v>
      </c>
      <c r="BF10" s="266" t="s">
        <v>7918</v>
      </c>
      <c r="BG10" s="266" t="s">
        <v>7919</v>
      </c>
      <c r="BH10" s="266" t="s">
        <v>7920</v>
      </c>
      <c r="BI10" s="266" t="s">
        <v>7921</v>
      </c>
      <c r="BJ10" s="266" t="s">
        <v>7922</v>
      </c>
      <c r="BK10" s="266" t="s">
        <v>7923</v>
      </c>
      <c r="BL10" s="266" t="s">
        <v>7924</v>
      </c>
    </row>
    <row r="11">
      <c r="A11" s="266" t="s">
        <v>8638</v>
      </c>
      <c r="B11" s="266" t="s">
        <v>5115</v>
      </c>
      <c r="C11" s="266" t="s">
        <v>5116</v>
      </c>
    </row>
    <row r="12">
      <c r="A12" s="266" t="s">
        <v>8639</v>
      </c>
      <c r="B12" s="266" t="s">
        <v>3790</v>
      </c>
      <c r="C12" s="266" t="s">
        <v>8640</v>
      </c>
      <c r="D12" s="266" t="s">
        <v>2782</v>
      </c>
      <c r="E12" s="266" t="s">
        <v>2783</v>
      </c>
      <c r="F12" s="266" t="s">
        <v>2784</v>
      </c>
      <c r="G12" s="266" t="s">
        <v>3791</v>
      </c>
      <c r="H12" s="266" t="s">
        <v>2780</v>
      </c>
      <c r="I12" s="266" t="s">
        <v>2781</v>
      </c>
      <c r="J12" s="266" t="s">
        <v>3792</v>
      </c>
      <c r="K12" s="266" t="s">
        <v>2785</v>
      </c>
      <c r="L12" s="266"/>
    </row>
    <row r="13">
      <c r="A13" s="266" t="s">
        <v>8641</v>
      </c>
      <c r="B13" s="266" t="s">
        <v>8642</v>
      </c>
      <c r="C13" s="266" t="s">
        <v>514</v>
      </c>
      <c r="D13" s="266" t="s">
        <v>4114</v>
      </c>
      <c r="E13" s="266" t="s">
        <v>3790</v>
      </c>
      <c r="F13" s="266" t="s">
        <v>5104</v>
      </c>
      <c r="G13" s="266" t="s">
        <v>5127</v>
      </c>
      <c r="H13" s="266" t="s">
        <v>5128</v>
      </c>
      <c r="I13" s="266" t="s">
        <v>5129</v>
      </c>
      <c r="J13" s="266" t="s">
        <v>5130</v>
      </c>
      <c r="K13" s="266" t="s">
        <v>5131</v>
      </c>
      <c r="L13" s="266" t="s">
        <v>5132</v>
      </c>
      <c r="M13" s="266" t="s">
        <v>5133</v>
      </c>
      <c r="N13" s="266" t="s">
        <v>5134</v>
      </c>
      <c r="O13" s="266" t="s">
        <v>5135</v>
      </c>
      <c r="P13" s="266" t="s">
        <v>2785</v>
      </c>
      <c r="Q13" s="266" t="s">
        <v>5109</v>
      </c>
      <c r="R13" s="266" t="s">
        <v>5136</v>
      </c>
      <c r="S13" s="266"/>
    </row>
    <row r="14">
      <c r="A14" s="266" t="s">
        <v>8643</v>
      </c>
      <c r="B14" s="266" t="s">
        <v>5119</v>
      </c>
      <c r="C14" s="266" t="s">
        <v>5120</v>
      </c>
      <c r="D14" s="266" t="s">
        <v>5121</v>
      </c>
    </row>
    <row r="15">
      <c r="A15" s="266" t="s">
        <v>8644</v>
      </c>
      <c r="B15" s="266" t="s">
        <v>8645</v>
      </c>
      <c r="C15" s="266" t="s">
        <v>514</v>
      </c>
      <c r="D15" s="266" t="s">
        <v>4114</v>
      </c>
      <c r="E15" s="266" t="s">
        <v>4115</v>
      </c>
      <c r="F15" s="266" t="s">
        <v>4116</v>
      </c>
      <c r="G15" s="266" t="s">
        <v>4117</v>
      </c>
      <c r="H15" s="266" t="s">
        <v>4118</v>
      </c>
      <c r="I15" s="266" t="s">
        <v>4119</v>
      </c>
      <c r="J15" s="266" t="s">
        <v>4120</v>
      </c>
      <c r="K15" s="266" t="s">
        <v>4121</v>
      </c>
      <c r="L15" s="266"/>
    </row>
    <row r="16">
      <c r="A16" s="266" t="s">
        <v>8646</v>
      </c>
      <c r="B16" s="266" t="s">
        <v>3790</v>
      </c>
      <c r="C16" s="266" t="s">
        <v>5104</v>
      </c>
      <c r="D16" s="266" t="s">
        <v>8647</v>
      </c>
      <c r="E16" s="266" t="s">
        <v>8648</v>
      </c>
      <c r="F16" s="266" t="s">
        <v>576</v>
      </c>
      <c r="G16" s="266" t="s">
        <v>577</v>
      </c>
      <c r="H16" s="266" t="s">
        <v>578</v>
      </c>
      <c r="I16" s="266" t="s">
        <v>5105</v>
      </c>
      <c r="J16" s="266" t="s">
        <v>5106</v>
      </c>
      <c r="K16" s="266" t="s">
        <v>5107</v>
      </c>
      <c r="L16" s="266" t="s">
        <v>4119</v>
      </c>
      <c r="M16" s="266" t="s">
        <v>4120</v>
      </c>
      <c r="N16" s="266" t="s">
        <v>5108</v>
      </c>
      <c r="O16" s="266" t="s">
        <v>5109</v>
      </c>
      <c r="P16" s="266" t="s">
        <v>5110</v>
      </c>
      <c r="Q16" s="266" t="s">
        <v>4121</v>
      </c>
      <c r="R16" s="266"/>
    </row>
    <row r="17">
      <c r="A17" s="266" t="s">
        <v>8641</v>
      </c>
      <c r="B17" s="266" t="s">
        <v>8642</v>
      </c>
      <c r="C17" s="266" t="s">
        <v>514</v>
      </c>
      <c r="D17" s="266" t="s">
        <v>4114</v>
      </c>
      <c r="E17" s="266" t="s">
        <v>3790</v>
      </c>
      <c r="F17" s="266" t="s">
        <v>5104</v>
      </c>
      <c r="G17" s="266" t="s">
        <v>5127</v>
      </c>
      <c r="H17" s="266" t="s">
        <v>5128</v>
      </c>
      <c r="I17" s="266" t="s">
        <v>5129</v>
      </c>
      <c r="J17" s="266" t="s">
        <v>5130</v>
      </c>
      <c r="K17" s="266" t="s">
        <v>5131</v>
      </c>
      <c r="L17" s="266" t="s">
        <v>5132</v>
      </c>
      <c r="M17" s="266" t="s">
        <v>5133</v>
      </c>
      <c r="N17" s="266" t="s">
        <v>5134</v>
      </c>
      <c r="O17" s="266" t="s">
        <v>5135</v>
      </c>
      <c r="P17" s="266" t="s">
        <v>2785</v>
      </c>
      <c r="Q17" s="266" t="s">
        <v>5109</v>
      </c>
      <c r="R17" s="266" t="s">
        <v>5136</v>
      </c>
      <c r="S17" s="266"/>
    </row>
    <row r="18">
      <c r="A18" s="266" t="s">
        <v>8649</v>
      </c>
      <c r="B18" s="266" t="s">
        <v>8650</v>
      </c>
      <c r="C18" s="266" t="s">
        <v>514</v>
      </c>
      <c r="D18" s="266" t="s">
        <v>6795</v>
      </c>
      <c r="E18" s="266" t="s">
        <v>8651</v>
      </c>
      <c r="F18" s="266" t="s">
        <v>5165</v>
      </c>
      <c r="G18" s="266" t="s">
        <v>5166</v>
      </c>
      <c r="H18" s="266" t="s">
        <v>6796</v>
      </c>
      <c r="I18" s="266" t="s">
        <v>8652</v>
      </c>
      <c r="J18" s="266" t="s">
        <v>5160</v>
      </c>
      <c r="K18" s="266" t="s">
        <v>5161</v>
      </c>
      <c r="L18" s="266" t="s">
        <v>6768</v>
      </c>
      <c r="M18" s="266" t="s">
        <v>6789</v>
      </c>
      <c r="N18" s="266" t="s">
        <v>4114</v>
      </c>
      <c r="O18" s="266" t="s">
        <v>8214</v>
      </c>
      <c r="P18" s="266" t="s">
        <v>8215</v>
      </c>
      <c r="Q18" s="266" t="s">
        <v>8216</v>
      </c>
      <c r="R18" s="266" t="s">
        <v>8217</v>
      </c>
      <c r="S18" s="266" t="s">
        <v>8218</v>
      </c>
      <c r="T18" s="266" t="s">
        <v>8219</v>
      </c>
      <c r="U18" s="266" t="s">
        <v>8220</v>
      </c>
      <c r="V18" s="266" t="s">
        <v>8221</v>
      </c>
      <c r="W18" s="266" t="s">
        <v>8222</v>
      </c>
      <c r="X18" s="266" t="s">
        <v>8223</v>
      </c>
      <c r="Y18" s="266" t="s">
        <v>8224</v>
      </c>
      <c r="Z18" s="266" t="s">
        <v>8225</v>
      </c>
      <c r="AA18" s="266" t="s">
        <v>8226</v>
      </c>
      <c r="AB18" s="266" t="s">
        <v>8227</v>
      </c>
      <c r="AC18" s="266" t="s">
        <v>8228</v>
      </c>
      <c r="AD18" s="266" t="s">
        <v>8229</v>
      </c>
      <c r="AE18" s="266" t="s">
        <v>8230</v>
      </c>
      <c r="AF18" s="266" t="s">
        <v>8231</v>
      </c>
      <c r="AG18" s="266" t="s">
        <v>7035</v>
      </c>
      <c r="AH18" s="266" t="s">
        <v>8129</v>
      </c>
      <c r="AI18" s="266" t="s">
        <v>7037</v>
      </c>
      <c r="AJ18" s="266" t="s">
        <v>7038</v>
      </c>
      <c r="AK18" s="266" t="s">
        <v>7039</v>
      </c>
      <c r="AL18" s="266" t="s">
        <v>7041</v>
      </c>
      <c r="AM18" s="266"/>
      <c r="AN18" s="266" t="s">
        <v>7043</v>
      </c>
      <c r="AO18" s="266"/>
    </row>
    <row r="19">
      <c r="A19" s="266" t="s">
        <v>8653</v>
      </c>
      <c r="B19" s="266" t="s">
        <v>615</v>
      </c>
      <c r="C19" s="266" t="s">
        <v>616</v>
      </c>
      <c r="D19" s="266" t="s">
        <v>617</v>
      </c>
      <c r="E19" s="266" t="s">
        <v>618</v>
      </c>
      <c r="F19" s="266" t="s">
        <v>619</v>
      </c>
      <c r="G19" s="266" t="s">
        <v>620</v>
      </c>
      <c r="H19" s="266" t="s">
        <v>8647</v>
      </c>
      <c r="I19" s="266" t="s">
        <v>8648</v>
      </c>
      <c r="J19" s="266" t="s">
        <v>576</v>
      </c>
      <c r="K19" s="266" t="s">
        <v>577</v>
      </c>
      <c r="L19" s="266" t="s">
        <v>578</v>
      </c>
      <c r="M19" s="266" t="s">
        <v>621</v>
      </c>
      <c r="N19" s="266" t="s">
        <v>622</v>
      </c>
      <c r="O19" s="266"/>
    </row>
    <row r="20">
      <c r="A20" s="266" t="s">
        <v>8635</v>
      </c>
      <c r="B20" s="266" t="s">
        <v>546</v>
      </c>
      <c r="C20" s="266" t="s">
        <v>547</v>
      </c>
      <c r="D20" s="266" t="s">
        <v>548</v>
      </c>
      <c r="E20" s="266" t="s">
        <v>549</v>
      </c>
      <c r="F20" s="266" t="s">
        <v>550</v>
      </c>
      <c r="G20" s="266"/>
    </row>
    <row r="21">
      <c r="A21" s="266" t="s">
        <v>8654</v>
      </c>
      <c r="B21" s="266" t="s">
        <v>8655</v>
      </c>
      <c r="C21" s="266" t="s">
        <v>2777</v>
      </c>
      <c r="D21" s="266" t="s">
        <v>2778</v>
      </c>
      <c r="E21" s="266" t="s">
        <v>2779</v>
      </c>
      <c r="F21" s="266" t="s">
        <v>2780</v>
      </c>
      <c r="G21" s="266" t="s">
        <v>2781</v>
      </c>
      <c r="H21" s="266" t="s">
        <v>8640</v>
      </c>
      <c r="I21" s="266" t="s">
        <v>2782</v>
      </c>
      <c r="J21" s="266" t="s">
        <v>2783</v>
      </c>
      <c r="K21" s="266" t="s">
        <v>2784</v>
      </c>
      <c r="L21" s="266" t="s">
        <v>2785</v>
      </c>
      <c r="M21" s="266"/>
    </row>
    <row r="22">
      <c r="A22" s="34" t="s">
        <v>575</v>
      </c>
      <c r="B22" s="34" t="s">
        <v>576</v>
      </c>
      <c r="C22" s="35" t="s">
        <v>577</v>
      </c>
      <c r="D22" s="35" t="s">
        <v>578</v>
      </c>
      <c r="E22" s="35" t="s">
        <v>579</v>
      </c>
      <c r="F22" s="35" t="s">
        <v>580</v>
      </c>
      <c r="G22" s="36" t="s">
        <v>581</v>
      </c>
      <c r="H22" s="35" t="s">
        <v>582</v>
      </c>
      <c r="I22" s="35" t="s">
        <v>583</v>
      </c>
      <c r="J22" s="35" t="s">
        <v>584</v>
      </c>
      <c r="K22" s="35" t="s">
        <v>585</v>
      </c>
      <c r="L22" s="35" t="s">
        <v>586</v>
      </c>
      <c r="M22" s="35" t="s">
        <v>587</v>
      </c>
      <c r="N22" s="35" t="s">
        <v>588</v>
      </c>
      <c r="O22" s="35" t="s">
        <v>589</v>
      </c>
      <c r="P22" s="35" t="s">
        <v>590</v>
      </c>
      <c r="Q22" s="35" t="s">
        <v>591</v>
      </c>
      <c r="R22" s="35" t="s">
        <v>592</v>
      </c>
      <c r="S22" s="35" t="s">
        <v>593</v>
      </c>
      <c r="T22" s="35" t="s">
        <v>594</v>
      </c>
      <c r="U22" s="37" t="s">
        <v>595</v>
      </c>
      <c r="V22" s="35" t="s">
        <v>596</v>
      </c>
      <c r="W22" s="35" t="s">
        <v>597</v>
      </c>
      <c r="X22" s="35" t="s">
        <v>598</v>
      </c>
      <c r="Y22" s="35" t="s">
        <v>599</v>
      </c>
      <c r="Z22" s="35"/>
    </row>
    <row r="23">
      <c r="A23" s="3" t="s">
        <v>23</v>
      </c>
      <c r="B23" s="3" t="s">
        <v>24</v>
      </c>
      <c r="C23" s="15" t="s">
        <v>25</v>
      </c>
      <c r="D23" s="3" t="s">
        <v>26</v>
      </c>
      <c r="E23" s="3" t="s">
        <v>27</v>
      </c>
      <c r="F23" s="3"/>
    </row>
    <row r="26">
      <c r="A26" s="286" t="str">
        <f>IFERROR(__xludf.DUMMYFUNCTION("UNIQUE(A1:EK23)"),"APPEAL-FY")</f>
        <v>APPEAL-FY</v>
      </c>
      <c r="B26" s="286" t="str">
        <f>IFERROR(__xludf.DUMMYFUNCTION("""COMPUTED_VALUE"""),"APPEAL-SEQNC-NBR")</f>
        <v>APPEAL-SEQNC-NBR</v>
      </c>
      <c r="C26" s="286" t="str">
        <f>IFERROR(__xludf.DUMMYFUNCTION("""COMPUTED_VALUE"""),"APPEAL-AREA")</f>
        <v>APPEAL-AREA</v>
      </c>
      <c r="D26" s="286" t="str">
        <f>IFERROR(__xludf.DUMMYFUNCTION("""COMPUTED_VALUE"""),"FMHA-CASE-NBR")</f>
        <v>FMHA-CASE-NBR</v>
      </c>
      <c r="E26" s="286" t="str">
        <f>IFERROR(__xludf.DUMMYFUNCTION("""COMPUTED_VALUE"""),"CASE-ST-NBR")</f>
        <v>CASE-ST-NBR</v>
      </c>
      <c r="F26" s="286" t="str">
        <f>IFERROR(__xludf.DUMMYFUNCTION("""COMPUTED_VALUE"""),"CTY-DST-NBR")</f>
        <v>CTY-DST-NBR</v>
      </c>
      <c r="G26" s="286" t="str">
        <f>IFERROR(__xludf.DUMMYFUNCTION("""COMPUTED_VALUE"""),"CASE-ENTY")</f>
        <v>CASE-ENTY</v>
      </c>
      <c r="H26" s="286" t="str">
        <f>IFERROR(__xludf.DUMMYFUNCTION("""COMPUTED_VALUE"""),"APPLNT-ENTY-NME")</f>
        <v>APPLNT-ENTY-NME</v>
      </c>
      <c r="I26" s="286" t="str">
        <f>IFERROR(__xludf.DUMMYFUNCTION("""COMPUTED_VALUE"""),"APPLNT-LST-NME")</f>
        <v>APPLNT-LST-NME</v>
      </c>
      <c r="J26" s="286" t="str">
        <f>IFERROR(__xludf.DUMMYFUNCTION("""COMPUTED_VALUE"""),"APPLNT-1ST-NME")</f>
        <v>APPLNT-1ST-NME</v>
      </c>
      <c r="K26" s="286" t="str">
        <f>IFERROR(__xludf.DUMMYFUNCTION("""COMPUTED_VALUE"""),"APPLNT-MID-NME")</f>
        <v>APPLNT-MID-NME</v>
      </c>
      <c r="L26" s="286" t="str">
        <f>IFERROR(__xludf.DUMMYFUNCTION("""COMPUTED_VALUE"""),"CUR-REVW-DECSN")</f>
        <v>CUR-REVW-DECSN</v>
      </c>
      <c r="M26" s="286" t="str">
        <f>IFERROR(__xludf.DUMMYFUNCTION("""COMPUTED_VALUE"""),"ENTY-CNTCT-NME")</f>
        <v>ENTY-CNTCT-NME</v>
      </c>
      <c r="N26" s="286" t="str">
        <f>IFERROR(__xludf.DUMMYFUNCTION("""COMPUTED_VALUE"""),"ENTY-CNTCT-LST-NME")</f>
        <v>ENTY-CNTCT-LST-NME</v>
      </c>
      <c r="O26" s="286" t="str">
        <f>IFERROR(__xludf.DUMMYFUNCTION("""COMPUTED_VALUE"""),"ENTY-CNTCT-1ST-NME")</f>
        <v>ENTY-CNTCT-1ST-NME</v>
      </c>
      <c r="P26" s="286" t="str">
        <f>IFERROR(__xludf.DUMMYFUNCTION("""COMPUTED_VALUE"""),"APPLNT-ADDR")</f>
        <v>APPLNT-ADDR</v>
      </c>
      <c r="Q26" s="286" t="str">
        <f>IFERROR(__xludf.DUMMYFUNCTION("""COMPUTED_VALUE"""),"APPLNT-ADDR-GRP")</f>
        <v>APPLNT-ADDR-GRP</v>
      </c>
      <c r="R26" s="286" t="str">
        <f>IFERROR(__xludf.DUMMYFUNCTION("""COMPUTED_VALUE"""),"APPLNT-STREET-CITY-1")</f>
        <v>APPLNT-STREET-CITY-1</v>
      </c>
      <c r="S26" s="286" t="str">
        <f>IFERROR(__xludf.DUMMYFUNCTION("""COMPUTED_VALUE"""),"APPLNT-STREET-CITY-2")</f>
        <v>APPLNT-STREET-CITY-2</v>
      </c>
      <c r="T26" s="286" t="str">
        <f>IFERROR(__xludf.DUMMYFUNCTION("""COMPUTED_VALUE"""),"APPLNT-ST")</f>
        <v>APPLNT-ST</v>
      </c>
      <c r="U26" s="286" t="str">
        <f>IFERROR(__xludf.DUMMYFUNCTION("""COMPUTED_VALUE"""),"APPLNT-ZIP")</f>
        <v>APPLNT-ZIP</v>
      </c>
      <c r="V26" s="286" t="str">
        <f>IFERROR(__xludf.DUMMYFUNCTION("""COMPUTED_VALUE"""),"APPLNT-ZIP-1")</f>
        <v>APPLNT-ZIP-1</v>
      </c>
      <c r="W26" s="286" t="str">
        <f>IFERROR(__xludf.DUMMYFUNCTION("""COMPUTED_VALUE"""),"APPLNT-ZIP-2")</f>
        <v>APPLNT-ZIP-2</v>
      </c>
      <c r="X26" s="286" t="str">
        <f>IFERROR(__xludf.DUMMYFUNCTION("""COMPUTED_VALUE"""),"APPLNT-OFC-PHN")</f>
        <v>APPLNT-OFC-PHN</v>
      </c>
      <c r="Y26" s="286" t="str">
        <f>IFERROR(__xludf.DUMMYFUNCTION("""COMPUTED_VALUE"""),"APPLNT-OFC-AREA")</f>
        <v>APPLNT-OFC-AREA</v>
      </c>
      <c r="Z26" s="286" t="str">
        <f>IFERROR(__xludf.DUMMYFUNCTION("""COMPUTED_VALUE"""),"APPLNT-OFC-PHN-NBR")</f>
        <v>APPLNT-OFC-PHN-NBR</v>
      </c>
      <c r="AA26" s="286" t="str">
        <f>IFERROR(__xludf.DUMMYFUNCTION("""COMPUTED_VALUE"""),"APPLNT-OFC-EXTNSN")</f>
        <v>APPLNT-OFC-EXTNSN</v>
      </c>
      <c r="AB26" s="286" t="str">
        <f>IFERROR(__xludf.DUMMYFUNCTION("""COMPUTED_VALUE"""),"APPLNT-HOME-PHN")</f>
        <v>APPLNT-HOME-PHN</v>
      </c>
      <c r="AC26" s="286" t="str">
        <f>IFERROR(__xludf.DUMMYFUNCTION("""COMPUTED_VALUE"""),"APPLNT-HOME-AREA")</f>
        <v>APPLNT-HOME-AREA</v>
      </c>
      <c r="AD26" s="286" t="str">
        <f>IFERROR(__xludf.DUMMYFUNCTION("""COMPUTED_VALUE"""),"APPLNT-HOME-PHN-NBR")</f>
        <v>APPLNT-HOME-PHN-NBR</v>
      </c>
      <c r="AE26" s="286" t="str">
        <f>IFERROR(__xludf.DUMMYFUNCTION("""COMPUTED_VALUE"""),"LNDR-APPLNT")</f>
        <v>LNDR-APPLNT</v>
      </c>
      <c r="AF26" s="286" t="str">
        <f>IFERROR(__xludf.DUMMYFUNCTION("""COMPUTED_VALUE"""),"LNDR-APPLNT-NME")</f>
        <v>LNDR-APPLNT-NME</v>
      </c>
      <c r="AG26" s="286" t="str">
        <f>IFERROR(__xludf.DUMMYFUNCTION("""COMPUTED_VALUE"""),"LNDR-APPLNT-LST-NME")</f>
        <v>LNDR-APPLNT-LST-NME</v>
      </c>
      <c r="AH26" s="286" t="str">
        <f>IFERROR(__xludf.DUMMYFUNCTION("""COMPUTED_VALUE"""),"LNDR-APPLNT-1ST-NME")</f>
        <v>LNDR-APPLNT-1ST-NME</v>
      </c>
      <c r="AI26" s="286" t="str">
        <f>IFERROR(__xludf.DUMMYFUNCTION("""COMPUTED_VALUE"""),"LNDR-APPLNT-ADDR")</f>
        <v>LNDR-APPLNT-ADDR</v>
      </c>
      <c r="AJ26" s="286" t="str">
        <f>IFERROR(__xludf.DUMMYFUNCTION("""COMPUTED_VALUE"""),"LNDR-APPLNT-ADDR-GRP")</f>
        <v>LNDR-APPLNT-ADDR-GRP</v>
      </c>
      <c r="AK26" s="286" t="str">
        <f>IFERROR(__xludf.DUMMYFUNCTION("""COMPUTED_VALUE"""),"LNDR-APPLNT-STREET-1")</f>
        <v>LNDR-APPLNT-STREET-1</v>
      </c>
      <c r="AL26" s="286" t="str">
        <f>IFERROR(__xludf.DUMMYFUNCTION("""COMPUTED_VALUE"""),"LNDR-APPLNT-STREET-2")</f>
        <v>LNDR-APPLNT-STREET-2</v>
      </c>
      <c r="AM26" s="286" t="str">
        <f>IFERROR(__xludf.DUMMYFUNCTION("""COMPUTED_VALUE"""),"LNDR-APPLNT-ST")</f>
        <v>LNDR-APPLNT-ST</v>
      </c>
      <c r="AN26" s="286" t="str">
        <f>IFERROR(__xludf.DUMMYFUNCTION("""COMPUTED_VALUE"""),"LNDR-APPLNT-ZIP")</f>
        <v>LNDR-APPLNT-ZIP</v>
      </c>
      <c r="AO26" s="286" t="str">
        <f>IFERROR(__xludf.DUMMYFUNCTION("""COMPUTED_VALUE"""),"LNDR-APPLNT-ZIP-1")</f>
        <v>LNDR-APPLNT-ZIP-1</v>
      </c>
      <c r="AP26" s="286" t="str">
        <f>IFERROR(__xludf.DUMMYFUNCTION("""COMPUTED_VALUE"""),"LNDR-APPLNT-ZIP-2")</f>
        <v>LNDR-APPLNT-ZIP-2</v>
      </c>
      <c r="AQ26" s="286" t="str">
        <f>IFERROR(__xludf.DUMMYFUNCTION("""COMPUTED_VALUE"""),"LNDR-APPLNT-OFC-PHN")</f>
        <v>LNDR-APPLNT-OFC-PHN</v>
      </c>
      <c r="AR26" s="286" t="str">
        <f>IFERROR(__xludf.DUMMYFUNCTION("""COMPUTED_VALUE"""),"LNDR-APPLNT-OFC-AREA")</f>
        <v>LNDR-APPLNT-OFC-AREA</v>
      </c>
      <c r="AS26" s="286" t="str">
        <f>IFERROR(__xludf.DUMMYFUNCTION("""COMPUTED_VALUE"""),"LNDR-APPLNT-OFC-PHN-NBR")</f>
        <v>LNDR-APPLNT-OFC-PHN-NBR</v>
      </c>
      <c r="AT26" s="286" t="str">
        <f>IFERROR(__xludf.DUMMYFUNCTION("""COMPUTED_VALUE"""),"LNDR-APPLNT-OFC-EXTNSN")</f>
        <v>LNDR-APPLNT-OFC-EXTNSN</v>
      </c>
      <c r="AU26" s="286" t="str">
        <f>IFERROR(__xludf.DUMMYFUNCTION("""COMPUTED_VALUE"""),"APPEAL-CUR-STAT")</f>
        <v>APPEAL-CUR-STAT</v>
      </c>
      <c r="AV26" s="286" t="str">
        <f>IFERROR(__xludf.DUMMYFUNCTION("""COMPUTED_VALUE"""),"APPEAL-STAT-MAJ")</f>
        <v>APPEAL-STAT-MAJ</v>
      </c>
      <c r="AW26" s="286" t="str">
        <f>IFERROR(__xludf.DUMMYFUNCTION("""COMPUTED_VALUE"""),"APPEAL-STAT-PHASE")</f>
        <v>APPEAL-STAT-PHASE</v>
      </c>
      <c r="AX26" s="286" t="str">
        <f>IFERROR(__xludf.DUMMYFUNCTION("""COMPUTED_VALUE"""),"APPEAL-STAT-LVL")</f>
        <v>APPEAL-STAT-LVL</v>
      </c>
      <c r="AY26" s="286" t="str">
        <f>IFERROR(__xludf.DUMMYFUNCTION("""COMPUTED_VALUE"""),"APPEAL-STAT-DECSN")</f>
        <v>APPEAL-STAT-DECSN</v>
      </c>
      <c r="AZ26" s="286" t="str">
        <f>IFERROR(__xludf.DUMMYFUNCTION("""COMPUTED_VALUE"""),"REP-NME")</f>
        <v>REP-NME</v>
      </c>
      <c r="BA26" s="286" t="str">
        <f>IFERROR(__xludf.DUMMYFUNCTION("""COMPUTED_VALUE"""),"REP-LST-NME")</f>
        <v>REP-LST-NME</v>
      </c>
      <c r="BB26" s="286" t="str">
        <f>IFERROR(__xludf.DUMMYFUNCTION("""COMPUTED_VALUE"""),"REP-1ST-NME")</f>
        <v>REP-1ST-NME</v>
      </c>
      <c r="BC26" s="286" t="str">
        <f>IFERROR(__xludf.DUMMYFUNCTION("""COMPUTED_VALUE"""),"REP-MID-NME")</f>
        <v>REP-MID-NME</v>
      </c>
      <c r="BD26" s="286" t="str">
        <f>IFERROR(__xludf.DUMMYFUNCTION("""COMPUTED_VALUE"""),"REP-ADDR")</f>
        <v>REP-ADDR</v>
      </c>
      <c r="BE26" s="286" t="str">
        <f>IFERROR(__xludf.DUMMYFUNCTION("""COMPUTED_VALUE"""),"REP-ADDR-GRP")</f>
        <v>REP-ADDR-GRP</v>
      </c>
      <c r="BF26" s="286" t="str">
        <f>IFERROR(__xludf.DUMMYFUNCTION("""COMPUTED_VALUE"""),"REP-STREET-CITY-1")</f>
        <v>REP-STREET-CITY-1</v>
      </c>
      <c r="BG26" s="286" t="str">
        <f>IFERROR(__xludf.DUMMYFUNCTION("""COMPUTED_VALUE"""),"REP-STREET-CITY-2")</f>
        <v>REP-STREET-CITY-2</v>
      </c>
      <c r="BH26" s="286" t="str">
        <f>IFERROR(__xludf.DUMMYFUNCTION("""COMPUTED_VALUE"""),"REP-ST")</f>
        <v>REP-ST</v>
      </c>
      <c r="BI26" s="286" t="str">
        <f>IFERROR(__xludf.DUMMYFUNCTION("""COMPUTED_VALUE"""),"REP-ZIP")</f>
        <v>REP-ZIP</v>
      </c>
      <c r="BJ26" s="286" t="str">
        <f>IFERROR(__xludf.DUMMYFUNCTION("""COMPUTED_VALUE"""),"REP-ZIP-1")</f>
        <v>REP-ZIP-1</v>
      </c>
      <c r="BK26" s="286" t="str">
        <f>IFERROR(__xludf.DUMMYFUNCTION("""COMPUTED_VALUE"""),"REP-ZIP-2")</f>
        <v>REP-ZIP-2</v>
      </c>
      <c r="BL26" s="286" t="str">
        <f>IFERROR(__xludf.DUMMYFUNCTION("""COMPUTED_VALUE"""),"REP-OFC-PHN")</f>
        <v>REP-OFC-PHN</v>
      </c>
      <c r="BM26" s="286" t="str">
        <f>IFERROR(__xludf.DUMMYFUNCTION("""COMPUTED_VALUE"""),"REP-OFC-AREA")</f>
        <v>REP-OFC-AREA</v>
      </c>
      <c r="BN26" s="286" t="str">
        <f>IFERROR(__xludf.DUMMYFUNCTION("""COMPUTED_VALUE"""),"REP-OFC-PHN-NBR")</f>
        <v>REP-OFC-PHN-NBR</v>
      </c>
      <c r="BO26" s="286" t="str">
        <f>IFERROR(__xludf.DUMMYFUNCTION("""COMPUTED_VALUE"""),"REP-OFC-EXTNSN")</f>
        <v>REP-OFC-EXTNSN</v>
      </c>
      <c r="BP26" s="286" t="str">
        <f>IFERROR(__xludf.DUMMYFUNCTION("""COMPUTED_VALUE"""),"DECSN-OFCL-NME")</f>
        <v>DECSN-OFCL-NME</v>
      </c>
      <c r="BQ26" s="286" t="str">
        <f>IFERROR(__xludf.DUMMYFUNCTION("""COMPUTED_VALUE"""),"DECSN-OFCL-LST-NME")</f>
        <v>DECSN-OFCL-LST-NME</v>
      </c>
      <c r="BR26" s="286" t="str">
        <f>IFERROR(__xludf.DUMMYFUNCTION("""COMPUTED_VALUE"""),"DECSN-OFCL-1ST-NME")</f>
        <v>DECSN-OFCL-1ST-NME</v>
      </c>
      <c r="BS26" s="286" t="str">
        <f>IFERROR(__xludf.DUMMYFUNCTION("""COMPUTED_VALUE"""),"DECSN-OFCL-MID-NME")</f>
        <v>DECSN-OFCL-MID-NME</v>
      </c>
      <c r="BT26" s="286" t="str">
        <f>IFERROR(__xludf.DUMMYFUNCTION("""COMPUTED_VALUE"""),"DECSN-OFCL-CDE")</f>
        <v>DECSN-OFCL-CDE</v>
      </c>
      <c r="BU26" s="286" t="str">
        <f>IFERROR(__xludf.DUMMYFUNCTION("""COMPUTED_VALUE"""),"DECSN-OFCL-ADDR")</f>
        <v>DECSN-OFCL-ADDR</v>
      </c>
      <c r="BV26" s="286" t="str">
        <f>IFERROR(__xludf.DUMMYFUNCTION("""COMPUTED_VALUE"""),"DECSN-OFCL-ADDR-GRP")</f>
        <v>DECSN-OFCL-ADDR-GRP</v>
      </c>
      <c r="BW26" s="286" t="str">
        <f>IFERROR(__xludf.DUMMYFUNCTION("""COMPUTED_VALUE"""),"DECSN-OFCL-STREET-CITY-1")</f>
        <v>DECSN-OFCL-STREET-CITY-1</v>
      </c>
      <c r="BX26" s="286" t="str">
        <f>IFERROR(__xludf.DUMMYFUNCTION("""COMPUTED_VALUE"""),"DECSN-OFCL-STREET-CITY-2")</f>
        <v>DECSN-OFCL-STREET-CITY-2</v>
      </c>
      <c r="BY26" s="286" t="str">
        <f>IFERROR(__xludf.DUMMYFUNCTION("""COMPUTED_VALUE"""),"DECSN-OFCL-ST")</f>
        <v>DECSN-OFCL-ST</v>
      </c>
      <c r="BZ26" s="286" t="str">
        <f>IFERROR(__xludf.DUMMYFUNCTION("""COMPUTED_VALUE"""),"DECSN-OFCL-ZIP")</f>
        <v>DECSN-OFCL-ZIP</v>
      </c>
      <c r="CA26" s="286" t="str">
        <f>IFERROR(__xludf.DUMMYFUNCTION("""COMPUTED_VALUE"""),"DECSN-OFCL-ZIP-1")</f>
        <v>DECSN-OFCL-ZIP-1</v>
      </c>
      <c r="CB26" s="286" t="str">
        <f>IFERROR(__xludf.DUMMYFUNCTION("""COMPUTED_VALUE"""),"DECSN-OFCL-ZIP-2")</f>
        <v>DECSN-OFCL-ZIP-2</v>
      </c>
      <c r="CC26" s="286" t="str">
        <f>IFERROR(__xludf.DUMMYFUNCTION("""COMPUTED_VALUE"""),"DECSN-OFCL-PHN")</f>
        <v>DECSN-OFCL-PHN</v>
      </c>
      <c r="CD26" s="286" t="str">
        <f>IFERROR(__xludf.DUMMYFUNCTION("""COMPUTED_VALUE"""),"DECSN-OFCL-AREA")</f>
        <v>DECSN-OFCL-AREA</v>
      </c>
      <c r="CE26" s="286" t="str">
        <f>IFERROR(__xludf.DUMMYFUNCTION("""COMPUTED_VALUE"""),"DECSN-OFCL-PHN-NBR")</f>
        <v>DECSN-OFCL-PHN-NBR</v>
      </c>
      <c r="CF26" s="286" t="str">
        <f>IFERROR(__xludf.DUMMYFUNCTION("""COMPUTED_VALUE"""),"DECSN-OFCL-EXTNSN")</f>
        <v>DECSN-OFCL-EXTNSN</v>
      </c>
      <c r="CG26" s="286" t="str">
        <f>IFERROR(__xludf.DUMMYFUNCTION("""COMPUTED_VALUE"""),"PROG-CDE")</f>
        <v>PROG-CDE</v>
      </c>
      <c r="CH26" s="286" t="str">
        <f>IFERROR(__xludf.DUMMYFUNCTION("""COMPUTED_VALUE"""),"LN-CDE")</f>
        <v>LN-CDE</v>
      </c>
      <c r="CI26" s="286" t="str">
        <f>IFERROR(__xludf.DUMMYFUNCTION("""COMPUTED_VALUE"""),"ACTN-CDE")</f>
        <v>ACTN-CDE</v>
      </c>
      <c r="CJ26" s="286" t="str">
        <f>IFERROR(__xludf.DUMMYFUNCTION("""COMPUTED_VALUE"""),"SUB-ACTN-CDE")</f>
        <v>SUB-ACTN-CDE</v>
      </c>
      <c r="CK26" s="286" t="str">
        <f>IFERROR(__xludf.DUMMYFUNCTION("""COMPUTED_VALUE"""),"STATCS-CDE")</f>
        <v>STATCS-CDE</v>
      </c>
      <c r="CL26" s="286" t="str">
        <f>IFERROR(__xludf.DUMMYFUNCTION("""COMPUTED_VALUE"""),"RACE-DESC-CDE")</f>
        <v>RACE-DESC-CDE</v>
      </c>
      <c r="CM26" s="286" t="str">
        <f>IFERROR(__xludf.DUMMYFUNCTION("""COMPUTED_VALUE"""),"SEX-CDE")</f>
        <v>SEX-CDE</v>
      </c>
      <c r="CN26" s="286" t="str">
        <f>IFERROR(__xludf.DUMMYFUNCTION("""COMPUTED_VALUE"""),"HNDICPD-CDE")</f>
        <v>HNDICPD-CDE</v>
      </c>
      <c r="CO26" s="286" t="str">
        <f>IFERROR(__xludf.DUMMYFUNCTION("""COMPUTED_VALUE"""),"FMHA-ORIG-DECSN-DTE")</f>
        <v>FMHA-ORIG-DECSN-DTE</v>
      </c>
      <c r="CP26" s="286" t="str">
        <f>IFERROR(__xludf.DUMMYFUNCTION("""COMPUTED_VALUE"""),"HEARG-RQSTD-DTE")</f>
        <v>HEARG-RQSTD-DTE</v>
      </c>
      <c r="CQ26" s="286" t="str">
        <f>IFERROR(__xludf.DUMMYFUNCTION("""COMPUTED_VALUE"""),"HEARG-ASGD-DTE")</f>
        <v>HEARG-ASGD-DTE</v>
      </c>
      <c r="CR26" s="286" t="str">
        <f>IFERROR(__xludf.DUMMYFUNCTION("""COMPUTED_VALUE"""),"HEARG-DECSN-DUE-DTE")</f>
        <v>HEARG-DECSN-DUE-DTE</v>
      </c>
      <c r="CS26" s="286" t="str">
        <f>IFERROR(__xludf.DUMMYFUNCTION("""COMPUTED_VALUE"""),"HEARG-DTE")</f>
        <v>HEARG-DTE</v>
      </c>
      <c r="CT26" s="286" t="str">
        <f>IFERROR(__xludf.DUMMYFUNCTION("""COMPUTED_VALUE"""),"HEARG-CNFNC-CALL")</f>
        <v>HEARG-CNFNC-CALL</v>
      </c>
      <c r="CU26" s="286" t="str">
        <f>IFERROR(__xludf.DUMMYFUNCTION("""COMPUTED_VALUE"""),"HEARG-USER-ID")</f>
        <v>HEARG-USER-ID</v>
      </c>
      <c r="CV26" s="286" t="str">
        <f>IFERROR(__xludf.DUMMYFUNCTION("""COMPUTED_VALUE"""),"HEARG-DECSN")</f>
        <v>HEARG-DECSN</v>
      </c>
      <c r="CW26" s="286" t="str">
        <f>IFERROR(__xludf.DUMMYFUNCTION("""COMPUTED_VALUE"""),"HEARG-DECSN-NOTFCTN-DTE")</f>
        <v>HEARG-DECSN-NOTFCTN-DTE</v>
      </c>
      <c r="CX26" s="286" t="str">
        <f>IFERROR(__xludf.DUMMYFUNCTION("""COMPUTED_VALUE"""),"MTRL")</f>
        <v>MTRL</v>
      </c>
      <c r="CY26" s="286" t="str">
        <f>IFERROR(__xludf.DUMMYFUNCTION("""COMPUTED_VALUE"""),"MTRL-TRNSCRPT")</f>
        <v>MTRL-TRNSCRPT</v>
      </c>
      <c r="CZ26" s="286" t="str">
        <f>IFERROR(__xludf.DUMMYFUNCTION("""COMPUTED_VALUE"""),"MTRL-TAPE")</f>
        <v>MTRL-TAPE</v>
      </c>
      <c r="DA26" s="286" t="str">
        <f>IFERROR(__xludf.DUMMYFUNCTION("""COMPUTED_VALUE"""),"MTRL-RCRD-COPY")</f>
        <v>MTRL-RCRD-COPY</v>
      </c>
      <c r="DB26" s="286" t="str">
        <f>IFERROR(__xludf.DUMMYFUNCTION("""COMPUTED_VALUE"""),"MTRL-PYMT-RCVD")</f>
        <v>MTRL-PYMT-RCVD</v>
      </c>
      <c r="DC26" s="286" t="str">
        <f>IFERROR(__xludf.DUMMYFUNCTION("""COMPUTED_VALUE"""),"MTRL-RQSTD-DTE")</f>
        <v>MTRL-RQSTD-DTE</v>
      </c>
      <c r="DD26" s="286" t="str">
        <f>IFERROR(__xludf.DUMMYFUNCTION("""COMPUTED_VALUE"""),"MTRL-DTE-SENT")</f>
        <v>MTRL-DTE-SENT</v>
      </c>
      <c r="DE26" s="286" t="str">
        <f>IFERROR(__xludf.DUMMYFUNCTION("""COMPUTED_VALUE"""),"MTRL-AMT-PD")</f>
        <v>MTRL-AMT-PD</v>
      </c>
      <c r="DF26" s="286" t="str">
        <f>IFERROR(__xludf.DUMMYFUNCTION("""COMPUTED_VALUE"""),"MTRL-OTH")</f>
        <v>MTRL-OTH</v>
      </c>
      <c r="DG26" s="286" t="str">
        <f>IFERROR(__xludf.DUMMYFUNCTION("""COMPUTED_VALUE"""),"ST-USER-ID")</f>
        <v>ST-USER-ID</v>
      </c>
      <c r="DH26" s="286" t="str">
        <f>IFERROR(__xludf.DUMMYFUNCTION("""COMPUTED_VALUE"""),"APPLNT-RQSTD-ST-REVW-DTE")</f>
        <v>APPLNT-RQSTD-ST-REVW-DTE</v>
      </c>
      <c r="DI26" s="286" t="str">
        <f>IFERROR(__xludf.DUMMYFUNCTION("""COMPUTED_VALUE"""),"ST-ASGD-DTE")</f>
        <v>ST-ASGD-DTE</v>
      </c>
      <c r="DJ26" s="286" t="str">
        <f>IFERROR(__xludf.DUMMYFUNCTION("""COMPUTED_VALUE"""),"ST-REVW-DUE-DTE")</f>
        <v>ST-REVW-DUE-DTE</v>
      </c>
      <c r="DK26" s="286" t="str">
        <f>IFERROR(__xludf.DUMMYFUNCTION("""COMPUTED_VALUE"""),"ST-APPEAL-NOTFCTN-DTE")</f>
        <v>ST-APPEAL-NOTFCTN-DTE</v>
      </c>
      <c r="DL26" s="286" t="str">
        <f>IFERROR(__xludf.DUMMYFUNCTION("""COMPUTED_VALUE"""),"ST-APPEAL-DECSN")</f>
        <v>ST-APPEAL-DECSN</v>
      </c>
      <c r="DM26" s="286" t="str">
        <f>IFERROR(__xludf.DUMMYFUNCTION("""COMPUTED_VALUE"""),"NATL-USER-ID")</f>
        <v>NATL-USER-ID</v>
      </c>
      <c r="DN26" s="286" t="str">
        <f>IFERROR(__xludf.DUMMYFUNCTION("""COMPUTED_VALUE"""),"NATL-RQSTD-REVW-DTE")</f>
        <v>NATL-RQSTD-REVW-DTE</v>
      </c>
      <c r="DO26" s="286" t="str">
        <f>IFERROR(__xludf.DUMMYFUNCTION("""COMPUTED_VALUE"""),"NATL-ASGD-DTE")</f>
        <v>NATL-ASGD-DTE</v>
      </c>
      <c r="DP26" s="286" t="str">
        <f>IFERROR(__xludf.DUMMYFUNCTION("""COMPUTED_VALUE"""),"NATL-RCVD-DTE")</f>
        <v>NATL-RCVD-DTE</v>
      </c>
      <c r="DQ26" s="286" t="str">
        <f>IFERROR(__xludf.DUMMYFUNCTION("""COMPUTED_VALUE"""),"NATL-ASGD-STAFF")</f>
        <v>NATL-ASGD-STAFF</v>
      </c>
      <c r="DR26" s="286" t="str">
        <f>IFERROR(__xludf.DUMMYFUNCTION("""COMPUTED_VALUE"""),"NATL-APPEAL-DUE-DTE")</f>
        <v>NATL-APPEAL-DUE-DTE</v>
      </c>
      <c r="DS26" s="286" t="str">
        <f>IFERROR(__xludf.DUMMYFUNCTION("""COMPUTED_VALUE"""),"NATL-APPEAL-NOTFCTN-DTE")</f>
        <v>NATL-APPEAL-NOTFCTN-DTE</v>
      </c>
      <c r="DT26" s="286" t="str">
        <f>IFERROR(__xludf.DUMMYFUNCTION("""COMPUTED_VALUE"""),"NATL-APPEAL-DECSN")</f>
        <v>NATL-APPEAL-DECSN</v>
      </c>
      <c r="DU26" s="286" t="str">
        <f>IFERROR(__xludf.DUMMYFUNCTION("""COMPUTED_VALUE"""),"HEARG-REVW-FLAG")</f>
        <v>HEARG-REVW-FLAG</v>
      </c>
      <c r="DV26" s="286" t="str">
        <f>IFERROR(__xludf.DUMMYFUNCTION("""COMPUTED_VALUE"""),"ST-REVW-FLAG")</f>
        <v>ST-REVW-FLAG</v>
      </c>
      <c r="DW26" s="286" t="str">
        <f>IFERROR(__xludf.DUMMYFUNCTION("""COMPUTED_VALUE"""),"NATL-REVW-FLAG")</f>
        <v>NATL-REVW-FLAG</v>
      </c>
      <c r="DX26" s="286" t="str">
        <f>IFERROR(__xludf.DUMMYFUNCTION("""COMPUTED_VALUE"""),"PREV-HEARG-USER-ID")</f>
        <v>PREV-HEARG-USER-ID</v>
      </c>
      <c r="DY26" s="286" t="str">
        <f>IFERROR(__xludf.DUMMYFUNCTION("""COMPUTED_VALUE"""),"PREV-ST-USER-ID")</f>
        <v>PREV-ST-USER-ID</v>
      </c>
      <c r="DZ26" s="286" t="str">
        <f>IFERROR(__xludf.DUMMYFUNCTION("""COMPUTED_VALUE"""),"PREV-NATL-USER-ID")</f>
        <v>PREV-NATL-USER-ID</v>
      </c>
      <c r="EA26" s="286" t="str">
        <f>IFERROR(__xludf.DUMMYFUNCTION("""COMPUTED_VALUE"""),"LST-UPDTE-USER-ID")</f>
        <v>LST-UPDTE-USER-ID</v>
      </c>
      <c r="EB26" s="286" t="str">
        <f>IFERROR(__xludf.DUMMYFUNCTION("""COMPUTED_VALUE"""),"LST-UPDTE-DTE")</f>
        <v>LST-UPDTE-DTE</v>
      </c>
      <c r="EC26" s="286" t="str">
        <f>IFERROR(__xludf.DUMMYFUNCTION("""COMPUTED_VALUE"""),"USER-ID-WORK")</f>
        <v>USER-ID-WORK</v>
      </c>
      <c r="ED26" s="286" t="str">
        <f>IFERROR(__xludf.DUMMYFUNCTION("""COMPUTED_VALUE"""),"APPEAL-RCRD-SENT")</f>
        <v>APPEAL-RCRD-SENT</v>
      </c>
      <c r="EE26" s="286" t="str">
        <f>IFERROR(__xludf.DUMMYFUNCTION("""COMPUTED_VALUE"""),"WK-DTE-1")</f>
        <v>WK-DTE-1</v>
      </c>
      <c r="EF26" s="286" t="str">
        <f>IFERROR(__xludf.DUMMYFUNCTION("""COMPUTED_VALUE"""),"WK-DTE-2")</f>
        <v>WK-DTE-2</v>
      </c>
      <c r="EG26" s="286" t="str">
        <f>IFERROR(__xludf.DUMMYFUNCTION("""COMPUTED_VALUE"""),"WK-DTE-3")</f>
        <v>WK-DTE-3</v>
      </c>
      <c r="EH26" s="286" t="str">
        <f>IFERROR(__xludf.DUMMYFUNCTION("""COMPUTED_VALUE"""),"WK-AMT-1")</f>
        <v>WK-AMT-1</v>
      </c>
      <c r="EI26" s="286" t="str">
        <f>IFERROR(__xludf.DUMMYFUNCTION("""COMPUTED_VALUE"""),"WK-AMT-2")</f>
        <v>WK-AMT-2</v>
      </c>
      <c r="EJ26" s="286" t="str">
        <f>IFERROR(__xludf.DUMMYFUNCTION("""COMPUTED_VALUE"""),"WK-AMT-3")</f>
        <v>WK-AMT-3</v>
      </c>
      <c r="EK26" s="286"/>
    </row>
    <row r="27">
      <c r="A27" s="286" t="str">
        <f>IFERROR(__xludf.DUMMYFUNCTION("""COMPUTED_VALUE"""),"FARMS-ASSOC-PRIN-BOND")</f>
        <v>FARMS-ASSOC-PRIN-BOND</v>
      </c>
      <c r="B27" s="286" t="str">
        <f>IFERROR(__xludf.DUMMYFUNCTION("""COMPUTED_VALUE"""),"BOND-CDE")</f>
        <v>BOND-CDE</v>
      </c>
      <c r="C27" s="286" t="str">
        <f>IFERROR(__xludf.DUMMYFUNCTION("""COMPUTED_VALUE"""),"INT-UNPD-DUE-BOND-ACCTS")</f>
        <v>INT-UNPD-DUE-BOND-ACCTS</v>
      </c>
      <c r="D27" s="286" t="str">
        <f>IFERROR(__xludf.DUMMYFUNCTION("""COMPUTED_VALUE"""),"PRIN-UNPD-DUE-BOND-ACCTS")</f>
        <v>PRIN-UNPD-DUE-BOND-ACCTS</v>
      </c>
      <c r="E27" s="286" t="str">
        <f>IFERROR(__xludf.DUMMYFUNCTION("""COMPUTED_VALUE"""),"INT-NEXT-INSTLMT-BOND-ACCTS")</f>
        <v>INT-NEXT-INSTLMT-BOND-ACCTS</v>
      </c>
      <c r="F27" s="286" t="str">
        <f>IFERROR(__xludf.DUMMYFUNCTION("""COMPUTED_VALUE"""),"PRIN-NEXT-INSTLMT-BOND-ACCTS")</f>
        <v>PRIN-NEXT-INSTLMT-BOND-ACCTS</v>
      </c>
      <c r="G27" s="286" t="str">
        <f>IFERROR(__xludf.DUMMYFUNCTION("""COMPUTED_VALUE"""),"INT-ON-DELQ-PRIN")</f>
        <v>INT-ON-DELQ-PRIN</v>
      </c>
      <c r="H27" s="286"/>
      <c r="I27" s="286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  <c r="AE27" s="286"/>
      <c r="AF27" s="286"/>
      <c r="AG27" s="286"/>
      <c r="AH27" s="286"/>
      <c r="AI27" s="286"/>
      <c r="AJ27" s="286"/>
      <c r="AK27" s="286"/>
      <c r="AL27" s="286"/>
      <c r="AM27" s="286"/>
      <c r="AN27" s="286"/>
      <c r="AO27" s="286"/>
      <c r="AP27" s="286"/>
      <c r="AQ27" s="286"/>
      <c r="AR27" s="286"/>
      <c r="AS27" s="286"/>
      <c r="AT27" s="286"/>
      <c r="AU27" s="286"/>
      <c r="AV27" s="286"/>
      <c r="AW27" s="286"/>
      <c r="AX27" s="286"/>
      <c r="AY27" s="286"/>
      <c r="AZ27" s="286"/>
      <c r="BA27" s="286"/>
      <c r="BB27" s="286"/>
      <c r="BC27" s="286"/>
      <c r="BD27" s="286"/>
      <c r="BE27" s="286"/>
      <c r="BF27" s="286"/>
      <c r="BG27" s="286"/>
      <c r="BH27" s="286"/>
      <c r="BI27" s="286"/>
      <c r="BJ27" s="286"/>
      <c r="BK27" s="286"/>
      <c r="BL27" s="286"/>
      <c r="BM27" s="286"/>
      <c r="BN27" s="286"/>
      <c r="BO27" s="286"/>
      <c r="BP27" s="286"/>
      <c r="BQ27" s="286"/>
      <c r="BR27" s="286"/>
      <c r="BS27" s="286"/>
      <c r="BT27" s="286"/>
      <c r="BU27" s="286"/>
      <c r="BV27" s="286"/>
      <c r="BW27" s="286"/>
      <c r="BX27" s="286"/>
      <c r="BY27" s="286"/>
      <c r="BZ27" s="286"/>
      <c r="CA27" s="286"/>
      <c r="CB27" s="286"/>
      <c r="CC27" s="286"/>
      <c r="CD27" s="286"/>
      <c r="CE27" s="286"/>
      <c r="CF27" s="286"/>
      <c r="CG27" s="286"/>
      <c r="CH27" s="286"/>
      <c r="CI27" s="286"/>
      <c r="CJ27" s="286"/>
      <c r="CK27" s="286"/>
      <c r="CL27" s="286"/>
      <c r="CM27" s="286"/>
      <c r="CN27" s="286"/>
      <c r="CO27" s="286"/>
      <c r="CP27" s="286"/>
      <c r="CQ27" s="286"/>
      <c r="CR27" s="286"/>
      <c r="CS27" s="286"/>
      <c r="CT27" s="286"/>
      <c r="CU27" s="286"/>
      <c r="CV27" s="286"/>
      <c r="CW27" s="286"/>
      <c r="CX27" s="286"/>
      <c r="CY27" s="286"/>
      <c r="CZ27" s="286"/>
      <c r="DA27" s="286"/>
      <c r="DB27" s="286"/>
      <c r="DC27" s="286"/>
      <c r="DD27" s="286"/>
      <c r="DE27" s="286"/>
      <c r="DF27" s="286"/>
      <c r="DG27" s="286"/>
      <c r="DH27" s="286"/>
      <c r="DI27" s="286"/>
      <c r="DJ27" s="286"/>
      <c r="DK27" s="286"/>
      <c r="DL27" s="286"/>
      <c r="DM27" s="286"/>
      <c r="DN27" s="286"/>
      <c r="DO27" s="286"/>
      <c r="DP27" s="286"/>
      <c r="DQ27" s="286"/>
      <c r="DR27" s="286"/>
      <c r="DS27" s="286"/>
      <c r="DT27" s="286"/>
      <c r="DU27" s="286"/>
      <c r="DV27" s="286"/>
      <c r="DW27" s="286"/>
      <c r="DX27" s="286"/>
      <c r="DY27" s="286"/>
      <c r="DZ27" s="286"/>
      <c r="EA27" s="286"/>
      <c r="EB27" s="286"/>
      <c r="EC27" s="286"/>
      <c r="ED27" s="286"/>
      <c r="EE27" s="286"/>
      <c r="EF27" s="286"/>
      <c r="EG27" s="286"/>
      <c r="EH27" s="286"/>
      <c r="EI27" s="286"/>
      <c r="EJ27" s="286"/>
      <c r="EK27" s="286"/>
    </row>
    <row r="28">
      <c r="A28" s="286" t="str">
        <f>IFERROR(__xludf.DUMMYFUNCTION("""COMPUTED_VALUE"""),"FARMS-CASE")</f>
        <v>FARMS-CASE</v>
      </c>
      <c r="B28" s="286" t="str">
        <f>IFERROR(__xludf.DUMMYFUNCTION("""COMPUTED_VALUE"""),"CASE-ID")</f>
        <v>CASE-ID</v>
      </c>
      <c r="C28" s="286" t="str">
        <f>IFERROR(__xludf.DUMMYFUNCTION("""COMPUTED_VALUE"""),"CASE-NBR")</f>
        <v>CASE-NBR</v>
      </c>
      <c r="D28" s="286" t="str">
        <f>IFERROR(__xludf.DUMMYFUNCTION("""COMPUTED_VALUE"""),"ST-CDE-OBLR")</f>
        <v>ST-CDE-OBLR</v>
      </c>
      <c r="E28" s="286" t="str">
        <f>IFERROR(__xludf.DUMMYFUNCTION("""COMPUTED_VALUE"""),"CTY-CDE-OBLR")</f>
        <v>CTY-CDE-OBLR</v>
      </c>
      <c r="F28" s="286" t="str">
        <f>IFERROR(__xludf.DUMMYFUNCTION("""COMPUTED_VALUE"""),"ID-NBR-OBLR")</f>
        <v>ID-NBR-OBLR</v>
      </c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  <c r="BM28" s="286"/>
      <c r="BN28" s="286"/>
      <c r="BO28" s="286"/>
      <c r="BP28" s="286"/>
      <c r="BQ28" s="286"/>
      <c r="BR28" s="286"/>
      <c r="BS28" s="286"/>
      <c r="BT28" s="286"/>
      <c r="BU28" s="286"/>
      <c r="BV28" s="286"/>
      <c r="BW28" s="286"/>
      <c r="BX28" s="286"/>
      <c r="BY28" s="286"/>
      <c r="BZ28" s="286"/>
      <c r="CA28" s="286"/>
      <c r="CB28" s="286"/>
      <c r="CC28" s="286"/>
      <c r="CD28" s="286"/>
      <c r="CE28" s="286"/>
      <c r="CF28" s="286"/>
      <c r="CG28" s="286"/>
      <c r="CH28" s="286"/>
      <c r="CI28" s="286"/>
      <c r="CJ28" s="286"/>
      <c r="CK28" s="286"/>
      <c r="CL28" s="286"/>
      <c r="CM28" s="286"/>
      <c r="CN28" s="286"/>
      <c r="CO28" s="286"/>
      <c r="CP28" s="286"/>
      <c r="CQ28" s="286"/>
      <c r="CR28" s="286"/>
      <c r="CS28" s="286"/>
      <c r="CT28" s="286"/>
      <c r="CU28" s="286"/>
      <c r="CV28" s="286"/>
      <c r="CW28" s="286"/>
      <c r="CX28" s="286"/>
      <c r="CY28" s="286"/>
      <c r="CZ28" s="286"/>
      <c r="DA28" s="286"/>
      <c r="DB28" s="286"/>
      <c r="DC28" s="286"/>
      <c r="DD28" s="286"/>
      <c r="DE28" s="286"/>
      <c r="DF28" s="286"/>
      <c r="DG28" s="286"/>
      <c r="DH28" s="286"/>
      <c r="DI28" s="286"/>
      <c r="DJ28" s="286"/>
      <c r="DK28" s="286"/>
      <c r="DL28" s="286"/>
      <c r="DM28" s="286"/>
      <c r="DN28" s="286"/>
      <c r="DO28" s="286"/>
      <c r="DP28" s="286"/>
      <c r="DQ28" s="286"/>
      <c r="DR28" s="286"/>
      <c r="DS28" s="286"/>
      <c r="DT28" s="286"/>
      <c r="DU28" s="286"/>
      <c r="DV28" s="286"/>
      <c r="DW28" s="286"/>
      <c r="DX28" s="286"/>
      <c r="DY28" s="286"/>
      <c r="DZ28" s="286"/>
      <c r="EA28" s="286"/>
      <c r="EB28" s="286"/>
      <c r="EC28" s="286"/>
      <c r="ED28" s="286"/>
      <c r="EE28" s="286"/>
      <c r="EF28" s="286"/>
      <c r="EG28" s="286"/>
      <c r="EH28" s="286"/>
      <c r="EI28" s="286"/>
      <c r="EJ28" s="286"/>
      <c r="EK28" s="286"/>
    </row>
    <row r="29">
      <c r="A29" s="286" t="str">
        <f>IFERROR(__xludf.DUMMYFUNCTION("""COMPUTED_VALUE"""),"FARMS-CK-INFO")</f>
        <v>FARMS-CK-INFO</v>
      </c>
      <c r="B29" s="286" t="str">
        <f>IFERROR(__xludf.DUMMYFUNCTION("""COMPUTED_VALUE"""),"RCRD-TYP")</f>
        <v>RCRD-TYP</v>
      </c>
      <c r="C29" s="286" t="str">
        <f>IFERROR(__xludf.DUMMYFUNCTION("""COMPUTED_VALUE"""),"FD-CDE-2")</f>
        <v>FD-CDE-2</v>
      </c>
      <c r="D29" s="286" t="str">
        <f>IFERROR(__xludf.DUMMYFUNCTION("""COMPUTED_VALUE"""),"NME-FLDS-BORR-CNT")</f>
        <v>NME-FLDS-BORR-CNT</v>
      </c>
      <c r="E29" s="286" t="str">
        <f>IFERROR(__xludf.DUMMYFUNCTION("""COMPUTED_VALUE"""),"MAILG-OFC")</f>
        <v>MAILG-OFC</v>
      </c>
      <c r="F29" s="286" t="str">
        <f>IFERROR(__xludf.DUMMYFUNCTION("""COMPUTED_VALUE"""),"MAILG-LVL")</f>
        <v>MAILG-LVL</v>
      </c>
      <c r="G29" s="286" t="str">
        <f>IFERROR(__xludf.DUMMYFUNCTION("""COMPUTED_VALUE"""),"ST-MAILG-LVL")</f>
        <v>ST-MAILG-LVL</v>
      </c>
      <c r="H29" s="286" t="str">
        <f>IFERROR(__xludf.DUMMYFUNCTION("""COMPUTED_VALUE"""),"DST-MAILG-LVL")</f>
        <v>DST-MAILG-LVL</v>
      </c>
      <c r="I29" s="286" t="str">
        <f>IFERROR(__xludf.DUMMYFUNCTION("""COMPUTED_VALUE"""),"CTY-MAILG-LVL")</f>
        <v>CTY-MAILG-LVL</v>
      </c>
      <c r="J29" s="286" t="str">
        <f>IFERROR(__xludf.DUMMYFUNCTION("""COMPUTED_VALUE"""),"CTY-SPECL-LVL")</f>
        <v>CTY-SPECL-LVL</v>
      </c>
      <c r="K29" s="286" t="str">
        <f>IFERROR(__xludf.DUMMYFUNCTION("""COMPUTED_VALUE"""),"DST-SPECL-LVL")</f>
        <v>DST-SPECL-LVL</v>
      </c>
      <c r="L29" s="286" t="str">
        <f>IFERROR(__xludf.DUMMYFUNCTION("""COMPUTED_VALUE"""),"ST-SPECL-LVL")</f>
        <v>ST-SPECL-LVL</v>
      </c>
      <c r="M29" s="286" t="str">
        <f>IFERROR(__xludf.DUMMYFUNCTION("""COMPUTED_VALUE"""),"MAILG-CDE")</f>
        <v>MAILG-CDE</v>
      </c>
      <c r="N29" s="286" t="str">
        <f>IFERROR(__xludf.DUMMYFUNCTION("""COMPUTED_VALUE"""),"ST-OFC-MAILG")</f>
        <v>ST-OFC-MAILG</v>
      </c>
      <c r="O29" s="286" t="str">
        <f>IFERROR(__xludf.DUMMYFUNCTION("""COMPUTED_VALUE"""),"CTY-OFC-MAILG")</f>
        <v>CTY-OFC-MAILG</v>
      </c>
      <c r="P29" s="286" t="str">
        <f>IFERROR(__xludf.DUMMYFUNCTION("""COMPUTED_VALUE"""),"DST-OFC-MAILG")</f>
        <v>DST-OFC-MAILG</v>
      </c>
      <c r="Q29" s="286" t="str">
        <f>IFERROR(__xludf.DUMMYFUNCTION("""COMPUTED_VALUE"""),"CASE-NBR")</f>
        <v>CASE-NBR</v>
      </c>
      <c r="R29" s="286" t="str">
        <f>IFERROR(__xludf.DUMMYFUNCTION("""COMPUTED_VALUE"""),"ST-CDE-OBLR")</f>
        <v>ST-CDE-OBLR</v>
      </c>
      <c r="S29" s="286" t="str">
        <f>IFERROR(__xludf.DUMMYFUNCTION("""COMPUTED_VALUE"""),"CTY-CDE-OBLR")</f>
        <v>CTY-CDE-OBLR</v>
      </c>
      <c r="T29" s="286" t="str">
        <f>IFERROR(__xludf.DUMMYFUNCTION("""COMPUTED_VALUE"""),"ID-NBR-OBLR")</f>
        <v>ID-NBR-OBLR</v>
      </c>
      <c r="U29" s="286" t="str">
        <f>IFERROR(__xludf.DUMMYFUNCTION("""COMPUTED_VALUE"""),"LN-NBR")</f>
        <v>LN-NBR</v>
      </c>
      <c r="V29" s="286" t="str">
        <f>IFERROR(__xludf.DUMMYFUNCTION("""COMPUTED_VALUE"""),"CR-REPT-FEE-CDE")</f>
        <v>CR-REPT-FEE-CDE</v>
      </c>
      <c r="W29" s="286" t="str">
        <f>IFERROR(__xludf.DUMMYFUNCTION("""COMPUTED_VALUE"""),"NME-OBLR")</f>
        <v>NME-OBLR</v>
      </c>
      <c r="X29" s="286" t="str">
        <f>IFERROR(__xludf.DUMMYFUNCTION("""COMPUTED_VALUE"""),"ADVNC-MULTI-AMT")</f>
        <v>ADVNC-MULTI-AMT</v>
      </c>
      <c r="Y29" s="286" t="str">
        <f>IFERROR(__xludf.DUMMYFUNCTION("""COMPUTED_VALUE"""),"DTE-CK")</f>
        <v>DTE-CK</v>
      </c>
      <c r="Z29" s="286" t="str">
        <f>IFERROR(__xludf.DUMMYFUNCTION("""COMPUTED_VALUE"""),"APROPTN-CDE")</f>
        <v>APROPTN-CDE</v>
      </c>
      <c r="AA29" s="286" t="str">
        <f>IFERROR(__xludf.DUMMYFUNCTION("""COMPUTED_VALUE"""),"GEOG-ST-CDE")</f>
        <v>GEOG-ST-CDE</v>
      </c>
      <c r="AB29" s="286" t="str">
        <f>IFERROR(__xludf.DUMMYFUNCTION("""COMPUTED_VALUE"""),"FY")</f>
        <v>FY</v>
      </c>
      <c r="AC29" s="286"/>
      <c r="AD29" s="286"/>
      <c r="AE29" s="286"/>
      <c r="AF29" s="286"/>
      <c r="AG29" s="286"/>
      <c r="AH29" s="286"/>
      <c r="AI29" s="286"/>
      <c r="AJ29" s="286"/>
      <c r="AK29" s="286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286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286"/>
      <c r="BV29" s="286"/>
      <c r="BW29" s="286"/>
      <c r="BX29" s="286"/>
      <c r="BY29" s="286"/>
      <c r="BZ29" s="286"/>
      <c r="CA29" s="286"/>
      <c r="CB29" s="286"/>
      <c r="CC29" s="286"/>
      <c r="CD29" s="286"/>
      <c r="CE29" s="286"/>
      <c r="CF29" s="286"/>
      <c r="CG29" s="286"/>
      <c r="CH29" s="286"/>
      <c r="CI29" s="286"/>
      <c r="CJ29" s="286"/>
      <c r="CK29" s="286"/>
      <c r="CL29" s="286"/>
      <c r="CM29" s="286"/>
      <c r="CN29" s="286"/>
      <c r="CO29" s="286"/>
      <c r="CP29" s="286"/>
      <c r="CQ29" s="286"/>
      <c r="CR29" s="286"/>
      <c r="CS29" s="286"/>
      <c r="CT29" s="286"/>
      <c r="CU29" s="286"/>
      <c r="CV29" s="286"/>
      <c r="CW29" s="286"/>
      <c r="CX29" s="286"/>
      <c r="CY29" s="286"/>
      <c r="CZ29" s="286"/>
      <c r="DA29" s="286"/>
      <c r="DB29" s="286"/>
      <c r="DC29" s="286"/>
      <c r="DD29" s="286"/>
      <c r="DE29" s="286"/>
      <c r="DF29" s="286"/>
      <c r="DG29" s="286"/>
      <c r="DH29" s="286"/>
      <c r="DI29" s="286"/>
      <c r="DJ29" s="286"/>
      <c r="DK29" s="286"/>
      <c r="DL29" s="286"/>
      <c r="DM29" s="286"/>
      <c r="DN29" s="286"/>
      <c r="DO29" s="286"/>
      <c r="DP29" s="286"/>
      <c r="DQ29" s="286"/>
      <c r="DR29" s="286"/>
      <c r="DS29" s="286"/>
      <c r="DT29" s="286"/>
      <c r="DU29" s="286"/>
      <c r="DV29" s="286"/>
      <c r="DW29" s="286"/>
      <c r="DX29" s="286"/>
      <c r="DY29" s="286"/>
      <c r="DZ29" s="286"/>
      <c r="EA29" s="286"/>
      <c r="EB29" s="286"/>
      <c r="EC29" s="286"/>
      <c r="ED29" s="286"/>
      <c r="EE29" s="286"/>
      <c r="EF29" s="286"/>
      <c r="EG29" s="286"/>
      <c r="EH29" s="286"/>
      <c r="EI29" s="286"/>
      <c r="EJ29" s="286"/>
      <c r="EK29" s="286"/>
    </row>
    <row r="30">
      <c r="A30" s="286" t="str">
        <f>IFERROR(__xludf.DUMMYFUNCTION("""COMPUTED_VALUE"""),"FARMS-CK-INFO-FRADS")</f>
        <v>FARMS-CK-INFO-FRADS</v>
      </c>
      <c r="B30" s="286" t="str">
        <f>IFERROR(__xludf.DUMMYFUNCTION("""COMPUTED_VALUE"""),"RCRD-TYP")</f>
        <v>RCRD-TYP</v>
      </c>
      <c r="C30" s="286" t="str">
        <f>IFERROR(__xludf.DUMMYFUNCTION("""COMPUTED_VALUE"""),"FD-CDE-2")</f>
        <v>FD-CDE-2</v>
      </c>
      <c r="D30" s="286" t="str">
        <f>IFERROR(__xludf.DUMMYFUNCTION("""COMPUTED_VALUE"""),"MAILG-CDE")</f>
        <v>MAILG-CDE</v>
      </c>
      <c r="E30" s="286" t="str">
        <f>IFERROR(__xludf.DUMMYFUNCTION("""COMPUTED_VALUE"""),"ST-OFC-MAILG")</f>
        <v>ST-OFC-MAILG</v>
      </c>
      <c r="F30" s="286" t="str">
        <f>IFERROR(__xludf.DUMMYFUNCTION("""COMPUTED_VALUE"""),"CTY-OFC-MAILG")</f>
        <v>CTY-OFC-MAILG</v>
      </c>
      <c r="G30" s="286" t="str">
        <f>IFERROR(__xludf.DUMMYFUNCTION("""COMPUTED_VALUE"""),"DST-OFC-MAILG")</f>
        <v>DST-OFC-MAILG</v>
      </c>
      <c r="H30" s="286" t="str">
        <f>IFERROR(__xludf.DUMMYFUNCTION("""COMPUTED_VALUE"""),"CASE-NBR")</f>
        <v>CASE-NBR</v>
      </c>
      <c r="I30" s="286" t="str">
        <f>IFERROR(__xludf.DUMMYFUNCTION("""COMPUTED_VALUE"""),"ST-CDE-OBLR")</f>
        <v>ST-CDE-OBLR</v>
      </c>
      <c r="J30" s="286" t="str">
        <f>IFERROR(__xludf.DUMMYFUNCTION("""COMPUTED_VALUE"""),"CTY-CDE-OBLR")</f>
        <v>CTY-CDE-OBLR</v>
      </c>
      <c r="K30" s="286" t="str">
        <f>IFERROR(__xludf.DUMMYFUNCTION("""COMPUTED_VALUE"""),"ID-NBR-OBLR")</f>
        <v>ID-NBR-OBLR</v>
      </c>
      <c r="L30" s="286" t="str">
        <f>IFERROR(__xludf.DUMMYFUNCTION("""COMPUTED_VALUE"""),"LN-NBR")</f>
        <v>LN-NBR</v>
      </c>
      <c r="M30" s="286" t="str">
        <f>IFERROR(__xludf.DUMMYFUNCTION("""COMPUTED_VALUE"""),"CR-REPT-FEE-CDE")</f>
        <v>CR-REPT-FEE-CDE</v>
      </c>
      <c r="N30" s="286" t="str">
        <f>IFERROR(__xludf.DUMMYFUNCTION("""COMPUTED_VALUE"""),"NME-OBLR")</f>
        <v>NME-OBLR</v>
      </c>
      <c r="O30" s="286" t="str">
        <f>IFERROR(__xludf.DUMMYFUNCTION("""COMPUTED_VALUE"""),"ADVNC-MULTI-AMT")</f>
        <v>ADVNC-MULTI-AMT</v>
      </c>
      <c r="P30" s="286" t="str">
        <f>IFERROR(__xludf.DUMMYFUNCTION("""COMPUTED_VALUE"""),"DTE-CK")</f>
        <v>DTE-CK</v>
      </c>
      <c r="Q30" s="286" t="str">
        <f>IFERROR(__xludf.DUMMYFUNCTION("""COMPUTED_VALUE"""),"APROPTN-CDE")</f>
        <v>APROPTN-CDE</v>
      </c>
      <c r="R30" s="286" t="str">
        <f>IFERROR(__xludf.DUMMYFUNCTION("""COMPUTED_VALUE"""),"GEOG-ST-CDE")</f>
        <v>GEOG-ST-CDE</v>
      </c>
      <c r="S30" s="286" t="str">
        <f>IFERROR(__xludf.DUMMYFUNCTION("""COMPUTED_VALUE"""),"FY")</f>
        <v>FY</v>
      </c>
      <c r="T30" s="286" t="str">
        <f>IFERROR(__xludf.DUMMYFUNCTION("""COMPUTED_VALUE"""),"FED-RESV-ROUTE-NBR")</f>
        <v>FED-RESV-ROUTE-NBR</v>
      </c>
      <c r="U30" s="286" t="str">
        <f>IFERROR(__xludf.DUMMYFUNCTION("""COMPUTED_VALUE"""),"CK-DIGIT-ROUTE-NBR")</f>
        <v>CK-DIGIT-ROUTE-NBR</v>
      </c>
      <c r="V30" s="286" t="str">
        <f>IFERROR(__xludf.DUMMYFUNCTION("""COMPUTED_VALUE"""),"TYP-BANK-ACCT")</f>
        <v>TYP-BANK-ACCT</v>
      </c>
      <c r="W30" s="286" t="str">
        <f>IFERROR(__xludf.DUMMYFUNCTION("""COMPUTED_VALUE"""),"DPSTR-ACCT-NBR")</f>
        <v>DPSTR-ACCT-NBR</v>
      </c>
      <c r="X30" s="286" t="str">
        <f>IFERROR(__xludf.DUMMYFUNCTION("""COMPUTED_VALUE"""),"ENTY-CDE")</f>
        <v>ENTY-CDE</v>
      </c>
      <c r="Y30" s="286" t="str">
        <f>IFERROR(__xludf.DUMMYFUNCTION("""COMPUTED_VALUE"""),"CK-CNCLTN-CDE")</f>
        <v>CK-CNCLTN-CDE</v>
      </c>
      <c r="Z30" s="286" t="str">
        <f>IFERROR(__xludf.DUMMYFUNCTION("""COMPUTED_VALUE"""),"FNL-ADVNC-CDE")</f>
        <v>FNL-ADVNC-CDE</v>
      </c>
      <c r="AA30" s="286" t="str">
        <f>IFERROR(__xludf.DUMMYFUNCTION("""COMPUTED_VALUE"""),"DTE-LST-RGSTR-DTL")</f>
        <v>DTE-LST-RGSTR-DTL</v>
      </c>
      <c r="AB30" s="286" t="str">
        <f>IFERROR(__xludf.DUMMYFUNCTION("""COMPUTED_VALUE"""),"BLK-NBR")</f>
        <v>BLK-NBR</v>
      </c>
      <c r="AC30" s="286"/>
      <c r="AD30" s="286"/>
      <c r="AE30" s="286"/>
      <c r="AF30" s="286"/>
      <c r="AG30" s="286"/>
      <c r="AH30" s="286"/>
      <c r="AI30" s="286"/>
      <c r="AJ30" s="286"/>
      <c r="AK30" s="286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286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286"/>
      <c r="BV30" s="286"/>
      <c r="BW30" s="286"/>
      <c r="BX30" s="286"/>
      <c r="BY30" s="286"/>
      <c r="BZ30" s="286"/>
      <c r="CA30" s="286"/>
      <c r="CB30" s="286"/>
      <c r="CC30" s="286"/>
      <c r="CD30" s="286"/>
      <c r="CE30" s="286"/>
      <c r="CF30" s="286"/>
      <c r="CG30" s="286"/>
      <c r="CH30" s="286"/>
      <c r="CI30" s="286"/>
      <c r="CJ30" s="286"/>
      <c r="CK30" s="286"/>
      <c r="CL30" s="286"/>
      <c r="CM30" s="286"/>
      <c r="CN30" s="286"/>
      <c r="CO30" s="286"/>
      <c r="CP30" s="286"/>
      <c r="CQ30" s="286"/>
      <c r="CR30" s="286"/>
      <c r="CS30" s="286"/>
      <c r="CT30" s="286"/>
      <c r="CU30" s="286"/>
      <c r="CV30" s="286"/>
      <c r="CW30" s="286"/>
      <c r="CX30" s="286"/>
      <c r="CY30" s="286"/>
      <c r="CZ30" s="286"/>
      <c r="DA30" s="286"/>
      <c r="DB30" s="286"/>
      <c r="DC30" s="286"/>
      <c r="DD30" s="286"/>
      <c r="DE30" s="286"/>
      <c r="DF30" s="286"/>
      <c r="DG30" s="286"/>
      <c r="DH30" s="286"/>
      <c r="DI30" s="286"/>
      <c r="DJ30" s="286"/>
      <c r="DK30" s="286"/>
      <c r="DL30" s="286"/>
      <c r="DM30" s="286"/>
      <c r="DN30" s="286"/>
      <c r="DO30" s="286"/>
      <c r="DP30" s="286"/>
      <c r="DQ30" s="286"/>
      <c r="DR30" s="286"/>
      <c r="DS30" s="286"/>
      <c r="DT30" s="286"/>
      <c r="DU30" s="286"/>
      <c r="DV30" s="286"/>
      <c r="DW30" s="286"/>
      <c r="DX30" s="286"/>
      <c r="DY30" s="286"/>
      <c r="DZ30" s="286"/>
      <c r="EA30" s="286"/>
      <c r="EB30" s="286"/>
      <c r="EC30" s="286"/>
      <c r="ED30" s="286"/>
      <c r="EE30" s="286"/>
      <c r="EF30" s="286"/>
      <c r="EG30" s="286"/>
      <c r="EH30" s="286"/>
      <c r="EI30" s="286"/>
      <c r="EJ30" s="286"/>
      <c r="EK30" s="286"/>
    </row>
    <row r="31">
      <c r="A31" s="286" t="str">
        <f>IFERROR(__xludf.DUMMYFUNCTION("""COMPUTED_VALUE"""),"FARMS-CLIENT")</f>
        <v>FARMS-CLIENT</v>
      </c>
      <c r="B31" s="286" t="str">
        <f>IFERROR(__xludf.DUMMYFUNCTION("""COMPUTED_VALUE"""),"CASE-NBR")</f>
        <v>CASE-NBR</v>
      </c>
      <c r="C31" s="286" t="str">
        <f>IFERROR(__xludf.DUMMYFUNCTION("""COMPUTED_VALUE"""),"ST-CDE-OBLR")</f>
        <v>ST-CDE-OBLR</v>
      </c>
      <c r="D31" s="286" t="str">
        <f>IFERROR(__xludf.DUMMYFUNCTION("""COMPUTED_VALUE"""),"CTY-CDE-OBLR")</f>
        <v>CTY-CDE-OBLR</v>
      </c>
      <c r="E31" s="286" t="str">
        <f>IFERROR(__xludf.DUMMYFUNCTION("""COMPUTED_VALUE"""),"ID-NBR-OBLR")</f>
        <v>ID-NBR-OBLR</v>
      </c>
      <c r="F31" s="286" t="str">
        <f>IFERROR(__xludf.DUMMYFUNCTION("""COMPUTED_VALUE"""),"CASE-NBR-OBLR")</f>
        <v>CASE-NBR-OBLR</v>
      </c>
      <c r="G31" s="286" t="str">
        <f>IFERROR(__xludf.DUMMYFUNCTION("""COMPUTED_VALUE"""),"ST-CTY-OBLR")</f>
        <v>ST-CTY-OBLR</v>
      </c>
      <c r="H31" s="286"/>
      <c r="I31" s="286" t="str">
        <f>IFERROR(__xludf.DUMMYFUNCTION("""COMPUTED_VALUE"""),"MAILG-OFC-CLIENT")</f>
        <v>MAILG-OFC-CLIENT</v>
      </c>
      <c r="J31" s="286" t="str">
        <f>IFERROR(__xludf.DUMMYFUNCTION("""COMPUTED_VALUE"""),"MAILG-LVL-CLIENT")</f>
        <v>MAILG-LVL-CLIENT</v>
      </c>
      <c r="K31" s="286" t="str">
        <f>IFERROR(__xludf.DUMMYFUNCTION("""COMPUTED_VALUE"""),"ST-MAILG-LVL-CLIENT")</f>
        <v>ST-MAILG-LVL-CLIENT</v>
      </c>
      <c r="L31" s="286" t="str">
        <f>IFERROR(__xludf.DUMMYFUNCTION("""COMPUTED_VALUE"""),"DST-MAILG-LVL-CLIENT")</f>
        <v>DST-MAILG-LVL-CLIENT</v>
      </c>
      <c r="M31" s="286" t="str">
        <f>IFERROR(__xludf.DUMMYFUNCTION("""COMPUTED_VALUE"""),"CTY-MAILG-LVL-CLIENT")</f>
        <v>CTY-MAILG-LVL-CLIENT</v>
      </c>
      <c r="N31" s="286" t="str">
        <f>IFERROR(__xludf.DUMMYFUNCTION("""COMPUTED_VALUE"""),"CTY-SPECL-LVL-CLIENT")</f>
        <v>CTY-SPECL-LVL-CLIENT</v>
      </c>
      <c r="O31" s="286" t="str">
        <f>IFERROR(__xludf.DUMMYFUNCTION("""COMPUTED_VALUE"""),"DST-SPECL-LVL-CLIENT")</f>
        <v>DST-SPECL-LVL-CLIENT</v>
      </c>
      <c r="P31" s="286" t="str">
        <f>IFERROR(__xludf.DUMMYFUNCTION("""COMPUTED_VALUE"""),"ST-SPECL-LVL-CLIENT")</f>
        <v>ST-SPECL-LVL-CLIENT</v>
      </c>
      <c r="Q31" s="286" t="str">
        <f>IFERROR(__xludf.DUMMYFUNCTION("""COMPUTED_VALUE"""),"MAILG-CDE-CLIENT")</f>
        <v>MAILG-CDE-CLIENT</v>
      </c>
      <c r="R31" s="286" t="str">
        <f>IFERROR(__xludf.DUMMYFUNCTION("""COMPUTED_VALUE"""),"ST-OFC-MAILG-CLIENT")</f>
        <v>ST-OFC-MAILG-CLIENT</v>
      </c>
      <c r="S31" s="286" t="str">
        <f>IFERROR(__xludf.DUMMYFUNCTION("""COMPUTED_VALUE"""),"CTY-OFC-MAILG-CLIENT")</f>
        <v>CTY-OFC-MAILG-CLIENT</v>
      </c>
      <c r="T31" s="286" t="str">
        <f>IFERROR(__xludf.DUMMYFUNCTION("""COMPUTED_VALUE"""),"DST-OFC-MAILG-CLIENT")</f>
        <v>DST-OFC-MAILG-CLIENT</v>
      </c>
      <c r="U31" s="286" t="str">
        <f>IFERROR(__xludf.DUMMYFUNCTION("""COMPUTED_VALUE"""),"CTY-OFC-MAILG-CLIENT")</f>
        <v>CTY-OFC-MAILG-CLIENT</v>
      </c>
      <c r="V31" s="286" t="str">
        <f>IFERROR(__xludf.DUMMYFUNCTION("""COMPUTED_VALUE"""),"NME-FLDS-BORR-CNT")</f>
        <v>NME-FLDS-BORR-CNT</v>
      </c>
      <c r="W31" s="286" t="str">
        <f>IFERROR(__xludf.DUMMYFUNCTION("""COMPUTED_VALUE"""),"ADRS-FLDS-BORR-CNT")</f>
        <v>ADRS-FLDS-BORR-CNT</v>
      </c>
      <c r="X31" s="286" t="str">
        <f>IFERROR(__xludf.DUMMYFUNCTION("""COMPUTED_VALUE"""),"NME-OBLR-GRP-1")</f>
        <v>NME-OBLR-GRP-1</v>
      </c>
      <c r="Y31" s="286" t="str">
        <f>IFERROR(__xludf.DUMMYFUNCTION("""COMPUTED_VALUE"""),"NME-OBLR")</f>
        <v>NME-OBLR</v>
      </c>
      <c r="Z31" s="286" t="str">
        <f>IFERROR(__xludf.DUMMYFUNCTION("""COMPUTED_VALUE"""),"NME-ADRS-OBLR-1")</f>
        <v>NME-ADRS-OBLR-1</v>
      </c>
      <c r="AA31" s="286" t="str">
        <f>IFERROR(__xludf.DUMMYFUNCTION("""COMPUTED_VALUE"""),"NME-ADRS-OBLR-2")</f>
        <v>NME-ADRS-OBLR-2</v>
      </c>
      <c r="AB31" s="286" t="str">
        <f>IFERROR(__xludf.DUMMYFUNCTION("""COMPUTED_VALUE"""),"NME-OBLR-GRP-2")</f>
        <v>NME-OBLR-GRP-2</v>
      </c>
      <c r="AC31" s="286" t="str">
        <f>IFERROR(__xludf.DUMMYFUNCTION("""COMPUTED_VALUE"""),"NME-OBLR-KEY")</f>
        <v>NME-OBLR-KEY</v>
      </c>
      <c r="AD31" s="286"/>
      <c r="AE31" s="286" t="str">
        <f>IFERROR(__xludf.DUMMYFUNCTION("""COMPUTED_VALUE"""),"NME-ADRS-OBLR-3")</f>
        <v>NME-ADRS-OBLR-3</v>
      </c>
      <c r="AF31" s="286" t="str">
        <f>IFERROR(__xludf.DUMMYFUNCTION("""COMPUTED_VALUE"""),"NME-ADRS-OBLR-4")</f>
        <v>NME-ADRS-OBLR-4</v>
      </c>
      <c r="AG31" s="286" t="str">
        <f>IFERROR(__xludf.DUMMYFUNCTION("""COMPUTED_VALUE"""),"ZIP-CDE")</f>
        <v>ZIP-CDE</v>
      </c>
      <c r="AH31" s="286" t="str">
        <f>IFERROR(__xludf.DUMMYFUNCTION("""COMPUTED_VALUE"""),"RACE-DESC-CDE")</f>
        <v>RACE-DESC-CDE</v>
      </c>
      <c r="AI31" s="286" t="str">
        <f>IFERROR(__xludf.DUMMYFUNCTION("""COMPUTED_VALUE"""),"SEX-CDE")</f>
        <v>SEX-CDE</v>
      </c>
      <c r="AJ31" s="286" t="str">
        <f>IFERROR(__xludf.DUMMYFUNCTION("""COMPUTED_VALUE"""),"MRTL-STAT")</f>
        <v>MRTL-STAT</v>
      </c>
      <c r="AK31" s="286" t="str">
        <f>IFERROR(__xludf.DUMMYFUNCTION("""COMPUTED_VALUE"""),"TAX-EXEMPT-CDE")</f>
        <v>TAX-EXEMPT-CDE</v>
      </c>
      <c r="AL31" s="286" t="str">
        <f>IFERROR(__xludf.DUMMYFUNCTION("""COMPUTED_VALUE"""),"VET-CDE")</f>
        <v>VET-CDE</v>
      </c>
      <c r="AM31" s="286" t="str">
        <f>IFERROR(__xludf.DUMMYFUNCTION("""COMPUTED_VALUE"""),"DUE-DAY-PYMT")</f>
        <v>DUE-DAY-PYMT</v>
      </c>
      <c r="AN31" s="286" t="str">
        <f>IFERROR(__xludf.DUMMYFUNCTION("""COMPUTED_VALUE"""),"APPLT-TYP-CDE")</f>
        <v>APPLT-TYP-CDE</v>
      </c>
      <c r="AO31" s="286" t="str">
        <f>IFERROR(__xludf.DUMMYFUNCTION("""COMPUTED_VALUE"""),"NET-WORTH-AMT")</f>
        <v>NET-WORTH-AMT</v>
      </c>
      <c r="AP31" s="286" t="str">
        <f>IFERROR(__xludf.DUMMYFUNCTION("""COMPUTED_VALUE"""),"LN-NBR-LST-ASGD")</f>
        <v>LN-NBR-LST-ASGD</v>
      </c>
      <c r="AQ31" s="286" t="str">
        <f>IFERROR(__xludf.DUMMYFUNCTION("""COMPUTED_VALUE"""),"RCRD-LN-CNT")</f>
        <v>RCRD-LN-CNT</v>
      </c>
      <c r="AR31" s="286" t="str">
        <f>IFERROR(__xludf.DUMMYFUNCTION("""COMPUTED_VALUE"""),"LN-CNT-EE")</f>
        <v>LN-CNT-EE</v>
      </c>
      <c r="AS31" s="286" t="str">
        <f>IFERROR(__xludf.DUMMYFUNCTION("""COMPUTED_VALUE"""),"LN-CNT-OTC")</f>
        <v>LN-CNT-OTC</v>
      </c>
      <c r="AT31" s="286" t="str">
        <f>IFERROR(__xludf.DUMMYFUNCTION("""COMPUTED_VALUE"""),"LN-CNT-INSRD-FO")</f>
        <v>LN-CNT-INSRD-FO</v>
      </c>
      <c r="AU31" s="286" t="str">
        <f>IFERROR(__xludf.DUMMYFUNCTION("""COMPUTED_VALUE"""),"LN-CNT-DIR-FO")</f>
        <v>LN-CNT-DIR-FO</v>
      </c>
      <c r="AV31" s="286" t="str">
        <f>IFERROR(__xludf.DUMMYFUNCTION("""COMPUTED_VALUE"""),"LN-CNT-INSRD-SW")</f>
        <v>LN-CNT-INSRD-SW</v>
      </c>
      <c r="AW31" s="286" t="str">
        <f>IFERROR(__xludf.DUMMYFUNCTION("""COMPUTED_VALUE"""),"LN-CNT-DIR-SW")</f>
        <v>LN-CNT-DIR-SW</v>
      </c>
      <c r="AX31" s="286" t="str">
        <f>IFERROR(__xludf.DUMMYFUNCTION("""COMPUTED_VALUE"""),"LN-CNT-INSRD-RH")</f>
        <v>LN-CNT-INSRD-RH</v>
      </c>
      <c r="AY31" s="286" t="str">
        <f>IFERROR(__xludf.DUMMYFUNCTION("""COMPUTED_VALUE"""),"LN-CNT-DIR-RH")</f>
        <v>LN-CNT-DIR-RH</v>
      </c>
      <c r="AZ31" s="286" t="str">
        <f>IFERROR(__xludf.DUMMYFUNCTION("""COMPUTED_VALUE"""),"LN-CNT-INVSTR")</f>
        <v>LN-CNT-INVSTR</v>
      </c>
      <c r="BA31" s="286" t="str">
        <f>IFERROR(__xludf.DUMMYFUNCTION("""COMPUTED_VALUE"""),"LN-CNT-ASSOC")</f>
        <v>LN-CNT-ASSOC</v>
      </c>
      <c r="BB31" s="286" t="str">
        <f>IFERROR(__xludf.DUMMYFUNCTION("""COMPUTED_VALUE"""),"SUSP-CDE-ACCT")</f>
        <v>SUSP-CDE-ACCT</v>
      </c>
      <c r="BC31" s="286" t="str">
        <f>IFERROR(__xludf.DUMMYFUNCTION("""COMPUTED_VALUE"""),"DTE-LST-RGSTR-ACCT")</f>
        <v>DTE-LST-RGSTR-ACCT</v>
      </c>
      <c r="BD31" s="286" t="str">
        <f>IFERROR(__xludf.DUMMYFUNCTION("""COMPUTED_VALUE"""),"RGSTR-TYP-LST-TRNSCTN")</f>
        <v>RGSTR-TYP-LST-TRNSCTN</v>
      </c>
      <c r="BE31" s="286" t="str">
        <f>IFERROR(__xludf.DUMMYFUNCTION("""COMPUTED_VALUE"""),"SIS-TRF-CDE")</f>
        <v>SIS-TRF-CDE</v>
      </c>
      <c r="BF31" s="286" t="str">
        <f>IFERROR(__xludf.DUMMYFUNCTION("""COMPUTED_VALUE"""),"EMPL-RELTNSHP-CDE")</f>
        <v>EMPL-RELTNSHP-CDE</v>
      </c>
      <c r="BG31" s="286" t="str">
        <f>IFERROR(__xludf.DUMMYFUNCTION("""COMPUTED_VALUE"""),"LRTF-SRVCG-CDE")</f>
        <v>LRTF-SRVCG-CDE</v>
      </c>
      <c r="BH31" s="286" t="str">
        <f>IFERROR(__xludf.DUMMYFUNCTION("""COMPUTED_VALUE"""),"MAILG-OFC-FSA")</f>
        <v>MAILG-OFC-FSA</v>
      </c>
      <c r="BI31" s="286" t="str">
        <f>IFERROR(__xludf.DUMMYFUNCTION("""COMPUTED_VALUE"""),"MAILG-LVL-FSA")</f>
        <v>MAILG-LVL-FSA</v>
      </c>
      <c r="BJ31" s="286" t="str">
        <f>IFERROR(__xludf.DUMMYFUNCTION("""COMPUTED_VALUE"""),"ST-MAILG-LVL-FSA")</f>
        <v>ST-MAILG-LVL-FSA</v>
      </c>
      <c r="BK31" s="286" t="str">
        <f>IFERROR(__xludf.DUMMYFUNCTION("""COMPUTED_VALUE"""),"DST-MAILG-LVL-FSA")</f>
        <v>DST-MAILG-LVL-FSA</v>
      </c>
      <c r="BL31" s="286" t="str">
        <f>IFERROR(__xludf.DUMMYFUNCTION("""COMPUTED_VALUE"""),"CTY-MAILG-LVL-FSA")</f>
        <v>CTY-MAILG-LVL-FSA</v>
      </c>
      <c r="BM31" s="286" t="str">
        <f>IFERROR(__xludf.DUMMYFUNCTION("""COMPUTED_VALUE"""),"CTY-SPECL-LVL-FSA")</f>
        <v>CTY-SPECL-LVL-FSA</v>
      </c>
      <c r="BN31" s="286" t="str">
        <f>IFERROR(__xludf.DUMMYFUNCTION("""COMPUTED_VALUE"""),"DST-SPECL-LVL-FSA")</f>
        <v>DST-SPECL-LVL-FSA</v>
      </c>
      <c r="BO31" s="286" t="str">
        <f>IFERROR(__xludf.DUMMYFUNCTION("""COMPUTED_VALUE"""),"ST-SPECL-LVL-FSA")</f>
        <v>ST-SPECL-LVL-FSA</v>
      </c>
      <c r="BP31" s="286" t="str">
        <f>IFERROR(__xludf.DUMMYFUNCTION("""COMPUTED_VALUE"""),"MAILG-CDE-FSA")</f>
        <v>MAILG-CDE-FSA</v>
      </c>
      <c r="BQ31" s="286" t="str">
        <f>IFERROR(__xludf.DUMMYFUNCTION("""COMPUTED_VALUE"""),"ST-OFC-MAILG-FSA")</f>
        <v>ST-OFC-MAILG-FSA</v>
      </c>
      <c r="BR31" s="286" t="str">
        <f>IFERROR(__xludf.DUMMYFUNCTION("""COMPUTED_VALUE"""),"CTY-OFC-MAILG-FSA")</f>
        <v>CTY-OFC-MAILG-FSA</v>
      </c>
      <c r="BS31" s="286" t="str">
        <f>IFERROR(__xludf.DUMMYFUNCTION("""COMPUTED_VALUE"""),"DST-OFC-MAILG-FSA")</f>
        <v>DST-OFC-MAILG-FSA</v>
      </c>
      <c r="BT31" s="286" t="str">
        <f>IFERROR(__xludf.DUMMYFUNCTION("""COMPUTED_VALUE"""),"CTY-OFC-MAILG-FSA")</f>
        <v>CTY-OFC-MAILG-FSA</v>
      </c>
      <c r="BU31" s="286" t="str">
        <f>IFERROR(__xludf.DUMMYFUNCTION("""COMPUTED_VALUE"""),"ORGZTN-CDE")</f>
        <v>ORGZTN-CDE</v>
      </c>
      <c r="BV31" s="286" t="str">
        <f>IFERROR(__xludf.DUMMYFUNCTION("""COMPUTED_VALUE"""),"DTE-OAC-ESTBD")</f>
        <v>DTE-OAC-ESTBD</v>
      </c>
      <c r="BW31" s="286" t="str">
        <f>IFERROR(__xludf.DUMMYFUNCTION("""COMPUTED_VALUE"""),"DTE-OAC-RSLVD")</f>
        <v>DTE-OAC-RSLVD</v>
      </c>
      <c r="BX31" s="286" t="str">
        <f>IFERROR(__xludf.DUMMYFUNCTION("""COMPUTED_VALUE"""),"DTE-OAC-MRTM-EFCTV")</f>
        <v>DTE-OAC-MRTM-EFCTV</v>
      </c>
      <c r="BY31" s="286" t="str">
        <f>IFERROR(__xludf.DUMMYFUNCTION("""COMPUTED_VALUE"""),"PREVL-INDCTR")</f>
        <v>PREVL-INDCTR</v>
      </c>
      <c r="BZ31" s="286" t="str">
        <f>IFERROR(__xludf.DUMMYFUNCTION("""COMPUTED_VALUE"""),"NBR-COMPLNTS")</f>
        <v>NBR-COMPLNTS</v>
      </c>
      <c r="CA31" s="286"/>
      <c r="CB31" s="286"/>
      <c r="CC31" s="286"/>
      <c r="CD31" s="286"/>
      <c r="CE31" s="286"/>
      <c r="CF31" s="286"/>
      <c r="CG31" s="286"/>
      <c r="CH31" s="286"/>
      <c r="CI31" s="286"/>
      <c r="CJ31" s="286"/>
      <c r="CK31" s="286"/>
      <c r="CL31" s="286"/>
      <c r="CM31" s="286"/>
      <c r="CN31" s="286"/>
      <c r="CO31" s="286"/>
      <c r="CP31" s="286"/>
      <c r="CQ31" s="286"/>
      <c r="CR31" s="286"/>
      <c r="CS31" s="286"/>
      <c r="CT31" s="286"/>
      <c r="CU31" s="286"/>
      <c r="CV31" s="286"/>
      <c r="CW31" s="286"/>
      <c r="CX31" s="286"/>
      <c r="CY31" s="286"/>
      <c r="CZ31" s="286"/>
      <c r="DA31" s="286"/>
      <c r="DB31" s="286"/>
      <c r="DC31" s="286"/>
      <c r="DD31" s="286"/>
      <c r="DE31" s="286"/>
      <c r="DF31" s="286"/>
      <c r="DG31" s="286"/>
      <c r="DH31" s="286"/>
      <c r="DI31" s="286"/>
      <c r="DJ31" s="286"/>
      <c r="DK31" s="286"/>
      <c r="DL31" s="286"/>
      <c r="DM31" s="286"/>
      <c r="DN31" s="286"/>
      <c r="DO31" s="286"/>
      <c r="DP31" s="286"/>
      <c r="DQ31" s="286"/>
      <c r="DR31" s="286"/>
      <c r="DS31" s="286"/>
      <c r="DT31" s="286"/>
      <c r="DU31" s="286"/>
      <c r="DV31" s="286"/>
      <c r="DW31" s="286"/>
      <c r="DX31" s="286"/>
      <c r="DY31" s="286"/>
      <c r="DZ31" s="286"/>
      <c r="EA31" s="286"/>
      <c r="EB31" s="286"/>
      <c r="EC31" s="286"/>
      <c r="ED31" s="286"/>
      <c r="EE31" s="286"/>
      <c r="EF31" s="286"/>
      <c r="EG31" s="286"/>
      <c r="EH31" s="286"/>
      <c r="EI31" s="286"/>
      <c r="EJ31" s="286"/>
      <c r="EK31" s="286"/>
    </row>
    <row r="32">
      <c r="A32" s="286" t="str">
        <f>IFERROR(__xludf.DUMMYFUNCTION("""COMPUTED_VALUE"""),"CR-APPLD-NONCSH")</f>
        <v>CR-APPLD-NONCSH</v>
      </c>
      <c r="B32" s="286" t="str">
        <f>IFERROR(__xludf.DUMMYFUNCTION("""COMPUTED_VALUE"""),"DTE-LST-NONCSH")</f>
        <v>DTE-LST-NONCSH</v>
      </c>
      <c r="C32" s="286" t="str">
        <f>IFERROR(__xludf.DUMMYFUNCTION("""COMPUTED_VALUE"""),"SUSP-CDE")</f>
        <v>SUSP-CDE</v>
      </c>
      <c r="D32" s="286"/>
      <c r="E32" s="286"/>
      <c r="F32" s="286"/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286"/>
      <c r="BV32" s="286"/>
      <c r="BW32" s="286"/>
      <c r="BX32" s="286"/>
      <c r="BY32" s="286"/>
      <c r="BZ32" s="286"/>
      <c r="CA32" s="286"/>
      <c r="CB32" s="286"/>
      <c r="CC32" s="286"/>
      <c r="CD32" s="286"/>
      <c r="CE32" s="286"/>
      <c r="CF32" s="286"/>
      <c r="CG32" s="286"/>
      <c r="CH32" s="286"/>
      <c r="CI32" s="286"/>
      <c r="CJ32" s="286"/>
      <c r="CK32" s="286"/>
      <c r="CL32" s="286"/>
      <c r="CM32" s="286"/>
      <c r="CN32" s="286"/>
      <c r="CO32" s="286"/>
      <c r="CP32" s="286"/>
      <c r="CQ32" s="286"/>
      <c r="CR32" s="286"/>
      <c r="CS32" s="286"/>
      <c r="CT32" s="286"/>
      <c r="CU32" s="286"/>
      <c r="CV32" s="286"/>
      <c r="CW32" s="286"/>
      <c r="CX32" s="286"/>
      <c r="CY32" s="286"/>
      <c r="CZ32" s="286"/>
      <c r="DA32" s="286"/>
      <c r="DB32" s="286"/>
      <c r="DC32" s="286"/>
      <c r="DD32" s="286"/>
      <c r="DE32" s="286"/>
      <c r="DF32" s="286"/>
      <c r="DG32" s="286"/>
      <c r="DH32" s="286"/>
      <c r="DI32" s="286"/>
      <c r="DJ32" s="286"/>
      <c r="DK32" s="286"/>
      <c r="DL32" s="286"/>
      <c r="DM32" s="286"/>
      <c r="DN32" s="286"/>
      <c r="DO32" s="286"/>
      <c r="DP32" s="286"/>
      <c r="DQ32" s="286"/>
      <c r="DR32" s="286"/>
      <c r="DS32" s="286"/>
      <c r="DT32" s="286"/>
      <c r="DU32" s="286"/>
      <c r="DV32" s="286"/>
      <c r="DW32" s="286"/>
      <c r="DX32" s="286"/>
      <c r="DY32" s="286"/>
      <c r="DZ32" s="286"/>
      <c r="EA32" s="286"/>
      <c r="EB32" s="286"/>
      <c r="EC32" s="286"/>
      <c r="ED32" s="286"/>
      <c r="EE32" s="286"/>
      <c r="EF32" s="286"/>
      <c r="EG32" s="286"/>
      <c r="EH32" s="286"/>
      <c r="EI32" s="286"/>
      <c r="EJ32" s="286"/>
      <c r="EK32" s="286"/>
    </row>
    <row r="33">
      <c r="A33" s="286" t="str">
        <f>IFERROR(__xludf.DUMMYFUNCTION("""COMPUTED_VALUE"""),"FARMS-FD-SIDE")</f>
        <v>FARMS-FD-SIDE</v>
      </c>
      <c r="B33" s="286" t="str">
        <f>IFERROR(__xludf.DUMMYFUNCTION("""COMPUTED_VALUE"""),"ALTMT")</f>
        <v>ALTMT</v>
      </c>
      <c r="C33" s="286" t="str">
        <f>IFERROR(__xludf.DUMMYFUNCTION("""COMPUTED_VALUE"""),"ALTMT-1ST-ACCTG-PRD")</f>
        <v>ALTMT-1ST-ACCTG-PRD</v>
      </c>
      <c r="D33" s="286" t="str">
        <f>IFERROR(__xludf.DUMMYFUNCTION("""COMPUTED_VALUE"""),"ALTMT-2ND-ACCTG-PRD")</f>
        <v>ALTMT-2ND-ACCTG-PRD</v>
      </c>
      <c r="E33" s="286" t="str">
        <f>IFERROR(__xludf.DUMMYFUNCTION("""COMPUTED_VALUE"""),"ALTMT-3RD-ACCTG-PRD")</f>
        <v>ALTMT-3RD-ACCTG-PRD</v>
      </c>
      <c r="F33" s="286" t="str">
        <f>IFERROR(__xludf.DUMMYFUNCTION("""COMPUTED_VALUE"""),"ALTMT-4TH-ACCTG-PRD")</f>
        <v>ALTMT-4TH-ACCTG-PRD</v>
      </c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  <c r="AE33" s="286"/>
      <c r="AF33" s="286"/>
      <c r="AG33" s="286"/>
      <c r="AH33" s="286"/>
      <c r="AI33" s="286"/>
      <c r="AJ33" s="286"/>
      <c r="AK33" s="286"/>
      <c r="AL33" s="286"/>
      <c r="AM33" s="286"/>
      <c r="AN33" s="286"/>
      <c r="AO33" s="286"/>
      <c r="AP33" s="286"/>
      <c r="AQ33" s="286"/>
      <c r="AR33" s="286"/>
      <c r="AS33" s="286"/>
      <c r="AT33" s="286"/>
      <c r="AU33" s="286"/>
      <c r="AV33" s="286"/>
      <c r="AW33" s="286"/>
      <c r="AX33" s="286"/>
      <c r="AY33" s="286"/>
      <c r="AZ33" s="286"/>
      <c r="BA33" s="286"/>
      <c r="BB33" s="286"/>
      <c r="BC33" s="286"/>
      <c r="BD33" s="286"/>
      <c r="BE33" s="286"/>
      <c r="BF33" s="286"/>
      <c r="BG33" s="286"/>
      <c r="BH33" s="286"/>
      <c r="BI33" s="286"/>
      <c r="BJ33" s="286"/>
      <c r="BK33" s="286"/>
      <c r="BL33" s="286"/>
      <c r="BM33" s="286"/>
      <c r="BN33" s="286"/>
      <c r="BO33" s="286"/>
      <c r="BP33" s="286"/>
      <c r="BQ33" s="286"/>
      <c r="BR33" s="286"/>
      <c r="BS33" s="286"/>
      <c r="BT33" s="286"/>
      <c r="BU33" s="286"/>
      <c r="BV33" s="286"/>
      <c r="BW33" s="286"/>
      <c r="BX33" s="286"/>
      <c r="BY33" s="286"/>
      <c r="BZ33" s="286"/>
      <c r="CA33" s="286"/>
      <c r="CB33" s="286"/>
      <c r="CC33" s="286"/>
      <c r="CD33" s="286"/>
      <c r="CE33" s="286"/>
      <c r="CF33" s="286"/>
      <c r="CG33" s="286"/>
      <c r="CH33" s="286"/>
      <c r="CI33" s="286"/>
      <c r="CJ33" s="286"/>
      <c r="CK33" s="286"/>
      <c r="CL33" s="286"/>
      <c r="CM33" s="286"/>
      <c r="CN33" s="286"/>
      <c r="CO33" s="286"/>
      <c r="CP33" s="286"/>
      <c r="CQ33" s="286"/>
      <c r="CR33" s="286"/>
      <c r="CS33" s="286"/>
      <c r="CT33" s="286"/>
      <c r="CU33" s="286"/>
      <c r="CV33" s="286"/>
      <c r="CW33" s="286"/>
      <c r="CX33" s="286"/>
      <c r="CY33" s="286"/>
      <c r="CZ33" s="286"/>
      <c r="DA33" s="286"/>
      <c r="DB33" s="286"/>
      <c r="DC33" s="286"/>
      <c r="DD33" s="286"/>
      <c r="DE33" s="286"/>
      <c r="DF33" s="286"/>
      <c r="DG33" s="286"/>
      <c r="DH33" s="286"/>
      <c r="DI33" s="286"/>
      <c r="DJ33" s="286"/>
      <c r="DK33" s="286"/>
      <c r="DL33" s="286"/>
      <c r="DM33" s="286"/>
      <c r="DN33" s="286"/>
      <c r="DO33" s="286"/>
      <c r="DP33" s="286"/>
      <c r="DQ33" s="286"/>
      <c r="DR33" s="286"/>
      <c r="DS33" s="286"/>
      <c r="DT33" s="286"/>
      <c r="DU33" s="286"/>
      <c r="DV33" s="286"/>
      <c r="DW33" s="286"/>
      <c r="DX33" s="286"/>
      <c r="DY33" s="286"/>
      <c r="DZ33" s="286"/>
      <c r="EA33" s="286"/>
      <c r="EB33" s="286"/>
      <c r="EC33" s="286"/>
      <c r="ED33" s="286"/>
      <c r="EE33" s="286"/>
      <c r="EF33" s="286"/>
      <c r="EG33" s="286"/>
      <c r="EH33" s="286"/>
      <c r="EI33" s="286"/>
      <c r="EJ33" s="286"/>
      <c r="EK33" s="286"/>
    </row>
    <row r="34">
      <c r="A34" s="286" t="str">
        <f>IFERROR(__xludf.DUMMYFUNCTION("""COMPUTED_VALUE"""),"FARMS-MALLOT")</f>
        <v>FARMS-MALLOT</v>
      </c>
      <c r="B34" s="286" t="str">
        <f>IFERROR(__xludf.DUMMYFUNCTION("""COMPUTED_VALUE"""),"APROPTN-CDE")</f>
        <v>APROPTN-CDE</v>
      </c>
      <c r="C34" s="286" t="str">
        <f>IFERROR(__xludf.DUMMYFUNCTION("""COMPUTED_VALUE"""),"MAJ-CLS")</f>
        <v>MAJ-CLS</v>
      </c>
      <c r="D34" s="286" t="str">
        <f>IFERROR(__xludf.DUMMYFUNCTION("""COMPUTED_VALUE"""),"OBJ-CLSFCTN-CDE")</f>
        <v>OBJ-CLSFCTN-CDE</v>
      </c>
      <c r="E34" s="286" t="str">
        <f>IFERROR(__xludf.DUMMYFUNCTION("""COMPUTED_VALUE"""),"FY-ACCTG")</f>
        <v>FY-ACCTG</v>
      </c>
      <c r="F34" s="286" t="str">
        <f>IFERROR(__xludf.DUMMYFUNCTION("""COMPUTED_VALUE"""),"ACCT-TYP-CDE")</f>
        <v>ACCT-TYP-CDE</v>
      </c>
      <c r="G34" s="286" t="str">
        <f>IFERROR(__xludf.DUMMYFUNCTION("""COMPUTED_VALUE"""),"MULTI-ELMT-CDE")</f>
        <v>MULTI-ELMT-CDE</v>
      </c>
      <c r="H34" s="286" t="str">
        <f>IFERROR(__xludf.DUMMYFUNCTION("""COMPUTED_VALUE"""),"OK-TO-PROC-CDE")</f>
        <v>OK-TO-PROC-CDE</v>
      </c>
      <c r="I34" s="286" t="str">
        <f>IFERROR(__xludf.DUMMYFUNCTION("""COMPUTED_VALUE"""),"APRTNMTS-CUR-DTL")</f>
        <v>APRTNMTS-CUR-DTL</v>
      </c>
      <c r="J34" s="286" t="str">
        <f>IFERROR(__xludf.DUMMYFUNCTION("""COMPUTED_VALUE"""),"ALTMT-CUR")</f>
        <v>ALTMT-CUR</v>
      </c>
      <c r="K34" s="286" t="str">
        <f>IFERROR(__xludf.DUMMYFUNCTION("""COMPUTED_VALUE"""),"APRTNMT-TYP")</f>
        <v>APRTNMT-TYP</v>
      </c>
      <c r="L34" s="286" t="str">
        <f>IFERROR(__xludf.DUMMYFUNCTION("""COMPUTED_VALUE"""),"ALTMT-TYP")</f>
        <v>ALTMT-TYP</v>
      </c>
      <c r="M34" s="286" t="str">
        <f>IFERROR(__xludf.DUMMYFUNCTION("""COMPUTED_VALUE"""),"PRD-CDE")</f>
        <v>PRD-CDE</v>
      </c>
      <c r="N34" s="286" t="str">
        <f>IFERROR(__xludf.DUMMYFUNCTION("""COMPUTED_VALUE"""),"APRTNMTS-1ST-ACCTG-PRD")</f>
        <v>APRTNMTS-1ST-ACCTG-PRD</v>
      </c>
      <c r="O34" s="286" t="str">
        <f>IFERROR(__xludf.DUMMYFUNCTION("""COMPUTED_VALUE"""),"APRTNMTS-2ND-ACCTG-PRD")</f>
        <v>APRTNMTS-2ND-ACCTG-PRD</v>
      </c>
      <c r="P34" s="286" t="str">
        <f>IFERROR(__xludf.DUMMYFUNCTION("""COMPUTED_VALUE"""),"APRTNMTS-3RD-ACCTG-PRD")</f>
        <v>APRTNMTS-3RD-ACCTG-PRD</v>
      </c>
      <c r="Q34" s="286" t="str">
        <f>IFERROR(__xludf.DUMMYFUNCTION("""COMPUTED_VALUE"""),"APRTNMTS-4TH-ACCTG-PRD")</f>
        <v>APRTNMTS-4TH-ACCTG-PRD</v>
      </c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6"/>
      <c r="BS34" s="286"/>
      <c r="BT34" s="286"/>
      <c r="BU34" s="286"/>
      <c r="BV34" s="286"/>
      <c r="BW34" s="286"/>
      <c r="BX34" s="286"/>
      <c r="BY34" s="286"/>
      <c r="BZ34" s="286"/>
      <c r="CA34" s="286"/>
      <c r="CB34" s="286"/>
      <c r="CC34" s="286"/>
      <c r="CD34" s="286"/>
      <c r="CE34" s="286"/>
      <c r="CF34" s="286"/>
      <c r="CG34" s="286"/>
      <c r="CH34" s="286"/>
      <c r="CI34" s="286"/>
      <c r="CJ34" s="286"/>
      <c r="CK34" s="286"/>
      <c r="CL34" s="286"/>
      <c r="CM34" s="286"/>
      <c r="CN34" s="286"/>
      <c r="CO34" s="286"/>
      <c r="CP34" s="286"/>
      <c r="CQ34" s="286"/>
      <c r="CR34" s="286"/>
      <c r="CS34" s="286"/>
      <c r="CT34" s="286"/>
      <c r="CU34" s="286"/>
      <c r="CV34" s="286"/>
      <c r="CW34" s="286"/>
      <c r="CX34" s="286"/>
      <c r="CY34" s="286"/>
      <c r="CZ34" s="286"/>
      <c r="DA34" s="286"/>
      <c r="DB34" s="286"/>
      <c r="DC34" s="286"/>
      <c r="DD34" s="286"/>
      <c r="DE34" s="286"/>
      <c r="DF34" s="286"/>
      <c r="DG34" s="286"/>
      <c r="DH34" s="286"/>
      <c r="DI34" s="286"/>
      <c r="DJ34" s="286"/>
      <c r="DK34" s="286"/>
      <c r="DL34" s="286"/>
      <c r="DM34" s="286"/>
      <c r="DN34" s="286"/>
      <c r="DO34" s="286"/>
      <c r="DP34" s="286"/>
      <c r="DQ34" s="286"/>
      <c r="DR34" s="286"/>
      <c r="DS34" s="286"/>
      <c r="DT34" s="286"/>
      <c r="DU34" s="286"/>
      <c r="DV34" s="286"/>
      <c r="DW34" s="286"/>
      <c r="DX34" s="286"/>
      <c r="DY34" s="286"/>
      <c r="DZ34" s="286"/>
      <c r="EA34" s="286"/>
      <c r="EB34" s="286"/>
      <c r="EC34" s="286"/>
      <c r="ED34" s="286"/>
      <c r="EE34" s="286"/>
      <c r="EF34" s="286"/>
      <c r="EG34" s="286"/>
      <c r="EH34" s="286"/>
      <c r="EI34" s="286"/>
      <c r="EJ34" s="286"/>
      <c r="EK34" s="286"/>
    </row>
    <row r="35">
      <c r="A35" s="286" t="str">
        <f>IFERROR(__xludf.DUMMYFUNCTION("""COMPUTED_VALUE"""),"FARMS-PLEREP")</f>
        <v>FARMS-PLEREP</v>
      </c>
      <c r="B35" s="286" t="str">
        <f>IFERROR(__xludf.DUMMYFUNCTION("""COMPUTED_VALUE"""),"FRM-MORT-DATA")</f>
        <v>FRM-MORT-DATA</v>
      </c>
      <c r="C35" s="286" t="str">
        <f>IFERROR(__xludf.DUMMYFUNCTION("""COMPUTED_VALUE"""),"RGN-CDE-PLEREP")</f>
        <v>RGN-CDE-PLEREP</v>
      </c>
      <c r="D35" s="286" t="str">
        <f>IFERROR(__xludf.DUMMYFUNCTION("""COMPUTED_VALUE"""),"MORTS-FRM-GOVT-OWND-CNT")</f>
        <v>MORTS-FRM-GOVT-OWND-CNT</v>
      </c>
      <c r="E35" s="286" t="str">
        <f>IFERROR(__xludf.DUMMYFUNCTION("""COMPUTED_VALUE"""),"MORTS-FRM-OWND-GOVT-AMT")</f>
        <v>MORTS-FRM-OWND-GOVT-AMT</v>
      </c>
      <c r="F35" s="286" t="str">
        <f>IFERROR(__xludf.DUMMYFUNCTION("""COMPUTED_VALUE"""),"MORT-FRM-ACQD-CUR-QTR-CNT")</f>
        <v>MORT-FRM-ACQD-CUR-QTR-CNT</v>
      </c>
      <c r="G35" s="286" t="str">
        <f>IFERROR(__xludf.DUMMYFUNCTION("""COMPUTED_VALUE"""),"MORTS-ACQD-ON-FRMS-AMT")</f>
        <v>MORTS-ACQD-ON-FRMS-AMT</v>
      </c>
      <c r="H35" s="286" t="str">
        <f>IFERROR(__xludf.DUMMYFUNCTION("""COMPUTED_VALUE"""),"PRIN-INCR-FRM-MORT-OWND")</f>
        <v>PRIN-INCR-FRM-MORT-OWND</v>
      </c>
      <c r="I35" s="286" t="str">
        <f>IFERROR(__xludf.DUMMYFUNCTION("""COMPUTED_VALUE"""),"MORTS-FRM-FULLY-PD-CNT")</f>
        <v>MORTS-FRM-FULLY-PD-CNT</v>
      </c>
      <c r="J35" s="286" t="str">
        <f>IFERROR(__xludf.DUMMYFUNCTION("""COMPUTED_VALUE"""),"PYMT-FNL-FRM-MORT-TTL-AMT")</f>
        <v>PYMT-FNL-FRM-MORT-TTL-AMT</v>
      </c>
      <c r="K35" s="286" t="str">
        <f>IFERROR(__xludf.DUMMYFUNCTION("""COMPUTED_VALUE"""),"PRIN-PYMT-ON-OTH-FRM-MORT")</f>
        <v>PRIN-PYMT-ON-OTH-FRM-MORT</v>
      </c>
      <c r="L35" s="286" t="str">
        <f>IFERROR(__xludf.DUMMYFUNCTION("""COMPUTED_VALUE"""),"MORTS-FRM-ACQD-FRCL-CNT")</f>
        <v>MORTS-FRM-ACQD-FRCL-CNT</v>
      </c>
      <c r="M35" s="286" t="str">
        <f>IFERROR(__xludf.DUMMYFUNCTION("""COMPUTED_VALUE"""),"MORTS-FRM-ACQD-FRCL-AMT")</f>
        <v>MORTS-FRM-ACQD-FRCL-AMT</v>
      </c>
      <c r="N35" s="286" t="str">
        <f>IFERROR(__xludf.DUMMYFUNCTION("""COMPUTED_VALUE"""),"RH-INIT-LNS-1-PCT-CNT")</f>
        <v>RH-INIT-LNS-1-PCT-CNT</v>
      </c>
      <c r="O35" s="286" t="str">
        <f>IFERROR(__xludf.DUMMYFUNCTION("""COMPUTED_VALUE"""),"RH-INIT-LNS-1-PCT-AMT")</f>
        <v>RH-INIT-LNS-1-PCT-AMT</v>
      </c>
      <c r="P35" s="286" t="str">
        <f>IFERROR(__xludf.DUMMYFUNCTION("""COMPUTED_VALUE"""),"RH-INIT-LNS-3-PCT-CNT")</f>
        <v>RH-INIT-LNS-3-PCT-CNT</v>
      </c>
      <c r="Q35" s="286" t="str">
        <f>IFERROR(__xludf.DUMMYFUNCTION("""COMPUTED_VALUE"""),"RH-INIT-LNS-3-PCT-AMT")</f>
        <v>RH-INIT-LNS-3-PCT-AMT</v>
      </c>
      <c r="R35" s="286" t="str">
        <f>IFERROR(__xludf.DUMMYFUNCTION("""COMPUTED_VALUE"""),"RH-INIT-LNS-6-PCT-CNT")</f>
        <v>RH-INIT-LNS-6-PCT-CNT</v>
      </c>
      <c r="S35" s="286" t="str">
        <f>IFERROR(__xludf.DUMMYFUNCTION("""COMPUTED_VALUE"""),"RH-INIT-LNS-6-PCT-AMT")</f>
        <v>RH-INIT-LNS-6-PCT-AMT</v>
      </c>
      <c r="T35" s="286" t="str">
        <f>IFERROR(__xludf.DUMMYFUNCTION("""COMPUTED_VALUE"""),"FO-INIT-LNS-3-PCT-CNT")</f>
        <v>FO-INIT-LNS-3-PCT-CNT</v>
      </c>
      <c r="U35" s="286" t="str">
        <f>IFERROR(__xludf.DUMMYFUNCTION("""COMPUTED_VALUE"""),"FO-INIT-LNS-3-PCT-AMT")</f>
        <v>FO-INIT-LNS-3-PCT-AMT</v>
      </c>
      <c r="V35" s="286" t="str">
        <f>IFERROR(__xludf.DUMMYFUNCTION("""COMPUTED_VALUE"""),"FO-INIT-LNS-5-PCT-CNT")</f>
        <v>FO-INIT-LNS-5-PCT-CNT</v>
      </c>
      <c r="W35" s="286" t="str">
        <f>IFERROR(__xludf.DUMMYFUNCTION("""COMPUTED_VALUE"""),"FO-INIT-LNS-5-PCT-AMT")</f>
        <v>FO-INIT-LNS-5-PCT-AMT</v>
      </c>
      <c r="X35" s="286" t="str">
        <f>IFERROR(__xludf.DUMMYFUNCTION("""COMPUTED_VALUE"""),"PURCH-RE-QTR")</f>
        <v>PURCH-RE-QTR</v>
      </c>
      <c r="Y35" s="286" t="str">
        <f>IFERROR(__xludf.DUMMYFUNCTION("""COMPUTED_VALUE"""),"LN-REFIN-RE-PRTN-FO-RH")</f>
        <v>LN-REFIN-RE-PRTN-FO-RH</v>
      </c>
      <c r="Z35" s="286" t="str">
        <f>IFERROR(__xludf.DUMMYFUNCTION("""COMPUTED_VALUE"""),"LN-REFIN-NON-RE-PRTN-FO-RH")</f>
        <v>LN-REFIN-NON-RE-PRTN-FO-RH</v>
      </c>
      <c r="AA35" s="286" t="str">
        <f>IFERROR(__xludf.DUMMYFUNCTION("""COMPUTED_VALUE"""),"LN-FO-RH-LAND-BLDG-PRTN")</f>
        <v>LN-FO-RH-LAND-BLDG-PRTN</v>
      </c>
      <c r="AB35" s="286" t="str">
        <f>IFERROR(__xludf.DUMMYFUNCTION("""COMPUTED_VALUE"""),"FEES-OTH-KNOWN")</f>
        <v>FEES-OTH-KNOWN</v>
      </c>
      <c r="AC35" s="286" t="str">
        <f>IFERROR(__xludf.DUMMYFUNCTION("""COMPUTED_VALUE"""),"PYMT-DWN-INIT-LNS-TTL-AMT")</f>
        <v>PYMT-DWN-INIT-LNS-TTL-AMT</v>
      </c>
      <c r="AD35" s="286" t="str">
        <f>IFERROR(__xludf.DUMMYFUNCTION("""COMPUTED_VALUE"""),"PLDGD-LN-DATA")</f>
        <v>PLDGD-LN-DATA</v>
      </c>
      <c r="AE35" s="286" t="str">
        <f>IFERROR(__xludf.DUMMYFUNCTION("""COMPUTED_VALUE"""),"FY-PLDGD-GNMA-PLEREP")</f>
        <v>FY-PLDGD-GNMA-PLEREP</v>
      </c>
      <c r="AF35" s="286" t="str">
        <f>IFERROR(__xludf.DUMMYFUNCTION("""COMPUTED_VALUE"""),"LN-ACCT-CDE")</f>
        <v>LN-ACCT-CDE</v>
      </c>
      <c r="AG35" s="286" t="str">
        <f>IFERROR(__xludf.DUMMYFUNCTION("""COMPUTED_VALUE"""),"PLDG-ORIG-AMT")</f>
        <v>PLDG-ORIG-AMT</v>
      </c>
      <c r="AH35" s="286" t="str">
        <f>IFERROR(__xludf.DUMMYFUNCTION("""COMPUTED_VALUE"""),"LNS-IN-ORIG-PLDG-CNT")</f>
        <v>LNS-IN-ORIG-PLDG-CNT</v>
      </c>
      <c r="AI35" s="286" t="str">
        <f>IFERROR(__xludf.DUMMYFUNCTION("""COMPUTED_VALUE"""),"LN-AMT-ADDD-CUM")</f>
        <v>LN-AMT-ADDD-CUM</v>
      </c>
      <c r="AJ35" s="286" t="str">
        <f>IFERROR(__xludf.DUMMYFUNCTION("""COMPUTED_VALUE"""),"LNS-ADDD-CUM-CNT")</f>
        <v>LNS-ADDD-CUM-CNT</v>
      </c>
      <c r="AK35" s="286" t="str">
        <f>IFERROR(__xludf.DUMMYFUNCTION("""COMPUTED_VALUE"""),"ADVNC-ADDTNL-CUM-AMT")</f>
        <v>ADVNC-ADDTNL-CUM-AMT</v>
      </c>
      <c r="AL35" s="286" t="str">
        <f>IFERROR(__xludf.DUMMYFUNCTION("""COMPUTED_VALUE"""),"LNS-CNCLD-CUM-AMT")</f>
        <v>LNS-CNCLD-CUM-AMT</v>
      </c>
      <c r="AM35" s="286" t="str">
        <f>IFERROR(__xludf.DUMMYFUNCTION("""COMPUTED_VALUE"""),"LNS-CNCLD-CUM-CNT")</f>
        <v>LNS-CNCLD-CUM-CNT</v>
      </c>
      <c r="AN35" s="286" t="str">
        <f>IFERROR(__xludf.DUMMYFUNCTION("""COMPUTED_VALUE"""),"PRIN-NOT-FULLY-PD-CUM")</f>
        <v>PRIN-NOT-FULLY-PD-CUM</v>
      </c>
      <c r="AO35" s="286" t="str">
        <f>IFERROR(__xludf.DUMMYFUNCTION("""COMPUTED_VALUE"""),"INT-NOT-FULLY-PD-CUM")</f>
        <v>INT-NOT-FULLY-PD-CUM</v>
      </c>
      <c r="AP35" s="286" t="str">
        <f>IFERROR(__xludf.DUMMYFUNCTION("""COMPUTED_VALUE"""),"PRIN-FULLY-PD-CUM")</f>
        <v>PRIN-FULLY-PD-CUM</v>
      </c>
      <c r="AQ35" s="286" t="str">
        <f>IFERROR(__xludf.DUMMYFUNCTION("""COMPUTED_VALUE"""),"INT-FULLY-PD-CUM-AMT")</f>
        <v>INT-FULLY-PD-CUM-AMT</v>
      </c>
      <c r="AR35" s="286" t="str">
        <f>IFERROR(__xludf.DUMMYFUNCTION("""COMPUTED_VALUE"""),"LNS-FULLY-PD-CUM-CNT")</f>
        <v>LNS-FULLY-PD-CUM-CNT</v>
      </c>
      <c r="AS35" s="286" t="str">
        <f>IFERROR(__xludf.DUMMYFUNCTION("""COMPUTED_VALUE"""),"FRCL-JDGMT-CUM-AMT")</f>
        <v>FRCL-JDGMT-CUM-AMT</v>
      </c>
      <c r="AT35" s="286" t="str">
        <f>IFERROR(__xludf.DUMMYFUNCTION("""COMPUTED_VALUE"""),"FRCL-JDGMT-CUM-CNT")</f>
        <v>FRCL-JDGMT-CUM-CNT</v>
      </c>
      <c r="AU35" s="286" t="str">
        <f>IFERROR(__xludf.DUMMYFUNCTION("""COMPUTED_VALUE"""),"WRTF-CUM-AMT")</f>
        <v>WRTF-CUM-AMT</v>
      </c>
      <c r="AV35" s="286" t="str">
        <f>IFERROR(__xludf.DUMMYFUNCTION("""COMPUTED_VALUE"""),"WRTF-CUM")</f>
        <v>WRTF-CUM</v>
      </c>
      <c r="AW35" s="286" t="str">
        <f>IFERROR(__xludf.DUMMYFUNCTION("""COMPUTED_VALUE"""),"LN-AMT-ADDD-MTD")</f>
        <v>LN-AMT-ADDD-MTD</v>
      </c>
      <c r="AX35" s="286" t="str">
        <f>IFERROR(__xludf.DUMMYFUNCTION("""COMPUTED_VALUE"""),"LNS-ADDD-MTD-CNT")</f>
        <v>LNS-ADDD-MTD-CNT</v>
      </c>
      <c r="AY35" s="286" t="str">
        <f>IFERROR(__xludf.DUMMYFUNCTION("""COMPUTED_VALUE"""),"ADVNC-ADDTNL-AMT-MTD")</f>
        <v>ADVNC-ADDTNL-AMT-MTD</v>
      </c>
      <c r="AZ35" s="286" t="str">
        <f>IFERROR(__xludf.DUMMYFUNCTION("""COMPUTED_VALUE"""),"LNS-CNCLD-MTD-AMT")</f>
        <v>LNS-CNCLD-MTD-AMT</v>
      </c>
      <c r="BA35" s="286" t="str">
        <f>IFERROR(__xludf.DUMMYFUNCTION("""COMPUTED_VALUE"""),"LNS-CNCLD-MTD-CNT")</f>
        <v>LNS-CNCLD-MTD-CNT</v>
      </c>
      <c r="BB35" s="286" t="str">
        <f>IFERROR(__xludf.DUMMYFUNCTION("""COMPUTED_VALUE"""),"PRIN-NOT-FULLY-PD-MTD")</f>
        <v>PRIN-NOT-FULLY-PD-MTD</v>
      </c>
      <c r="BC35" s="286" t="str">
        <f>IFERROR(__xludf.DUMMYFUNCTION("""COMPUTED_VALUE"""),"INT-NOT-FULLY-PD-MTD")</f>
        <v>INT-NOT-FULLY-PD-MTD</v>
      </c>
      <c r="BD35" s="286" t="str">
        <f>IFERROR(__xludf.DUMMYFUNCTION("""COMPUTED_VALUE"""),"PRIN-FULLY-PD-MTD")</f>
        <v>PRIN-FULLY-PD-MTD</v>
      </c>
      <c r="BE35" s="286" t="str">
        <f>IFERROR(__xludf.DUMMYFUNCTION("""COMPUTED_VALUE"""),"INT-FULLY-PD-MTD")</f>
        <v>INT-FULLY-PD-MTD</v>
      </c>
      <c r="BF35" s="286" t="str">
        <f>IFERROR(__xludf.DUMMYFUNCTION("""COMPUTED_VALUE"""),"LNS-FULLY-PD-MTD-CNT")</f>
        <v>LNS-FULLY-PD-MTD-CNT</v>
      </c>
      <c r="BG35" s="286" t="str">
        <f>IFERROR(__xludf.DUMMYFUNCTION("""COMPUTED_VALUE"""),"PRIN-FRCL-JDGMT-MTD")</f>
        <v>PRIN-FRCL-JDGMT-MTD</v>
      </c>
      <c r="BH35" s="286" t="str">
        <f>IFERROR(__xludf.DUMMYFUNCTION("""COMPUTED_VALUE"""),"LNS-FRCL-JDGMT-MTD")</f>
        <v>LNS-FRCL-JDGMT-MTD</v>
      </c>
      <c r="BI35" s="286" t="str">
        <f>IFERROR(__xludf.DUMMYFUNCTION("""COMPUTED_VALUE"""),"WRTF-UNPD-PRIN-MTD")</f>
        <v>WRTF-UNPD-PRIN-MTD</v>
      </c>
      <c r="BJ35" s="286" t="str">
        <f>IFERROR(__xludf.DUMMYFUNCTION("""COMPUTED_VALUE"""),"LNS-WRTF-MTD-CNT")</f>
        <v>LNS-WRTF-MTD-CNT</v>
      </c>
      <c r="BK35" s="286" t="str">
        <f>IFERROR(__xludf.DUMMYFUNCTION("""COMPUTED_VALUE"""),"PRIN-UNPD-PLDGD-LNS")</f>
        <v>PRIN-UNPD-PLDGD-LNS</v>
      </c>
      <c r="BL35" s="286" t="str">
        <f>IFERROR(__xludf.DUMMYFUNCTION("""COMPUTED_VALUE"""),"LNS-OUTSTG-CNT")</f>
        <v>LNS-OUTSTG-CNT</v>
      </c>
      <c r="BM35" s="286"/>
      <c r="BN35" s="286"/>
      <c r="BO35" s="286"/>
      <c r="BP35" s="286"/>
      <c r="BQ35" s="286"/>
      <c r="BR35" s="286"/>
      <c r="BS35" s="286"/>
      <c r="BT35" s="286"/>
      <c r="BU35" s="286"/>
      <c r="BV35" s="286"/>
      <c r="BW35" s="286"/>
      <c r="BX35" s="286"/>
      <c r="BY35" s="286"/>
      <c r="BZ35" s="286"/>
      <c r="CA35" s="286"/>
      <c r="CB35" s="286"/>
      <c r="CC35" s="286"/>
      <c r="CD35" s="286"/>
      <c r="CE35" s="286"/>
      <c r="CF35" s="286"/>
      <c r="CG35" s="286"/>
      <c r="CH35" s="286"/>
      <c r="CI35" s="286"/>
      <c r="CJ35" s="286"/>
      <c r="CK35" s="286"/>
      <c r="CL35" s="286"/>
      <c r="CM35" s="286"/>
      <c r="CN35" s="286"/>
      <c r="CO35" s="286"/>
      <c r="CP35" s="286"/>
      <c r="CQ35" s="286"/>
      <c r="CR35" s="286"/>
      <c r="CS35" s="286"/>
      <c r="CT35" s="286"/>
      <c r="CU35" s="286"/>
      <c r="CV35" s="286"/>
      <c r="CW35" s="286"/>
      <c r="CX35" s="286"/>
      <c r="CY35" s="286"/>
      <c r="CZ35" s="286"/>
      <c r="DA35" s="286"/>
      <c r="DB35" s="286"/>
      <c r="DC35" s="286"/>
      <c r="DD35" s="286"/>
      <c r="DE35" s="286"/>
      <c r="DF35" s="286"/>
      <c r="DG35" s="286"/>
      <c r="DH35" s="286"/>
      <c r="DI35" s="286"/>
      <c r="DJ35" s="286"/>
      <c r="DK35" s="286"/>
      <c r="DL35" s="286"/>
      <c r="DM35" s="286"/>
      <c r="DN35" s="286"/>
      <c r="DO35" s="286"/>
      <c r="DP35" s="286"/>
      <c r="DQ35" s="286"/>
      <c r="DR35" s="286"/>
      <c r="DS35" s="286"/>
      <c r="DT35" s="286"/>
      <c r="DU35" s="286"/>
      <c r="DV35" s="286"/>
      <c r="DW35" s="286"/>
      <c r="DX35" s="286"/>
      <c r="DY35" s="286"/>
      <c r="DZ35" s="286"/>
      <c r="EA35" s="286"/>
      <c r="EB35" s="286"/>
      <c r="EC35" s="286"/>
      <c r="ED35" s="286"/>
      <c r="EE35" s="286"/>
      <c r="EF35" s="286"/>
      <c r="EG35" s="286"/>
      <c r="EH35" s="286"/>
      <c r="EI35" s="286"/>
      <c r="EJ35" s="286"/>
      <c r="EK35" s="286"/>
    </row>
    <row r="36">
      <c r="A36" s="286" t="str">
        <f>IFERROR(__xludf.DUMMYFUNCTION("""COMPUTED_VALUE"""),"GL-MSTACCT")</f>
        <v>GL-MSTACCT</v>
      </c>
      <c r="B36" s="286" t="str">
        <f>IFERROR(__xludf.DUMMYFUNCTION("""COMPUTED_VALUE"""),"RD-TAX-ID")</f>
        <v>RD-TAX-ID</v>
      </c>
      <c r="C36" s="286" t="str">
        <f>IFERROR(__xludf.DUMMYFUNCTION("""COMPUTED_VALUE"""),"RD-ACCT-NBR")</f>
        <v>RD-ACCT-NBR</v>
      </c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286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286"/>
      <c r="BV36" s="286"/>
      <c r="BW36" s="286"/>
      <c r="BX36" s="286"/>
      <c r="BY36" s="286"/>
      <c r="BZ36" s="286"/>
      <c r="CA36" s="286"/>
      <c r="CB36" s="286"/>
      <c r="CC36" s="286"/>
      <c r="CD36" s="286"/>
      <c r="CE36" s="286"/>
      <c r="CF36" s="286"/>
      <c r="CG36" s="286"/>
      <c r="CH36" s="286"/>
      <c r="CI36" s="286"/>
      <c r="CJ36" s="286"/>
      <c r="CK36" s="286"/>
      <c r="CL36" s="286"/>
      <c r="CM36" s="286"/>
      <c r="CN36" s="286"/>
      <c r="CO36" s="286"/>
      <c r="CP36" s="286"/>
      <c r="CQ36" s="286"/>
      <c r="CR36" s="286"/>
      <c r="CS36" s="286"/>
      <c r="CT36" s="286"/>
      <c r="CU36" s="286"/>
      <c r="CV36" s="286"/>
      <c r="CW36" s="286"/>
      <c r="CX36" s="286"/>
      <c r="CY36" s="286"/>
      <c r="CZ36" s="286"/>
      <c r="DA36" s="286"/>
      <c r="DB36" s="286"/>
      <c r="DC36" s="286"/>
      <c r="DD36" s="286"/>
      <c r="DE36" s="286"/>
      <c r="DF36" s="286"/>
      <c r="DG36" s="286"/>
      <c r="DH36" s="286"/>
      <c r="DI36" s="286"/>
      <c r="DJ36" s="286"/>
      <c r="DK36" s="286"/>
      <c r="DL36" s="286"/>
      <c r="DM36" s="286"/>
      <c r="DN36" s="286"/>
      <c r="DO36" s="286"/>
      <c r="DP36" s="286"/>
      <c r="DQ36" s="286"/>
      <c r="DR36" s="286"/>
      <c r="DS36" s="286"/>
      <c r="DT36" s="286"/>
      <c r="DU36" s="286"/>
      <c r="DV36" s="286"/>
      <c r="DW36" s="286"/>
      <c r="DX36" s="286"/>
      <c r="DY36" s="286"/>
      <c r="DZ36" s="286"/>
      <c r="EA36" s="286"/>
      <c r="EB36" s="286"/>
      <c r="EC36" s="286"/>
      <c r="ED36" s="286"/>
      <c r="EE36" s="286"/>
      <c r="EF36" s="286"/>
      <c r="EG36" s="286"/>
      <c r="EH36" s="286"/>
      <c r="EI36" s="286"/>
      <c r="EJ36" s="286"/>
      <c r="EK36" s="286"/>
    </row>
    <row r="37">
      <c r="A37" s="286" t="str">
        <f>IFERROR(__xludf.DUMMYFUNCTION("""COMPUTED_VALUE"""),"GLACCT")</f>
        <v>GLACCT</v>
      </c>
      <c r="B37" s="286" t="str">
        <f>IFERROR(__xludf.DUMMYFUNCTION("""COMPUTED_VALUE"""),"ACCT-NBR")</f>
        <v>ACCT-NBR</v>
      </c>
      <c r="C37" s="286" t="str">
        <f>IFERROR(__xludf.DUMMYFUNCTION("""COMPUTED_VALUE"""),"LINE-NBR-CDE")</f>
        <v>LINE-NBR-CDE</v>
      </c>
      <c r="D37" s="286" t="str">
        <f>IFERROR(__xludf.DUMMYFUNCTION("""COMPUTED_VALUE"""),"PRFX-LINE-NBR")</f>
        <v>PRFX-LINE-NBR</v>
      </c>
      <c r="E37" s="286" t="str">
        <f>IFERROR(__xludf.DUMMYFUNCTION("""COMPUTED_VALUE"""),"SFX-LINE-NBR")</f>
        <v>SFX-LINE-NBR</v>
      </c>
      <c r="F37" s="286" t="str">
        <f>IFERROR(__xludf.DUMMYFUNCTION("""COMPUTED_VALUE"""),"SUB-SFX-LINE-NBR")</f>
        <v>SUB-SFX-LINE-NBR</v>
      </c>
      <c r="G37" s="286" t="str">
        <f>IFERROR(__xludf.DUMMYFUNCTION("""COMPUTED_VALUE"""),"MINOR-CDE-FLAG")</f>
        <v>MINOR-CDE-FLAG</v>
      </c>
      <c r="H37" s="286" t="str">
        <f>IFERROR(__xludf.DUMMYFUNCTION("""COMPUTED_VALUE"""),"ACCT-TITLE")</f>
        <v>ACCT-TITLE</v>
      </c>
      <c r="I37" s="286" t="str">
        <f>IFERROR(__xludf.DUMMYFUNCTION("""COMPUTED_VALUE"""),"BAL-CDE")</f>
        <v>BAL-CDE</v>
      </c>
      <c r="J37" s="286" t="str">
        <f>IFERROR(__xludf.DUMMYFUNCTION("""COMPUTED_VALUE"""),"ENTY")</f>
        <v>ENTY</v>
      </c>
      <c r="K37" s="286" t="str">
        <f>IFERROR(__xludf.DUMMYFUNCTION("""COMPUTED_VALUE"""),"DTE-LST-RGSTR-ACCT")</f>
        <v>DTE-LST-RGSTR-ACCT</v>
      </c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286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286"/>
      <c r="BV37" s="286"/>
      <c r="BW37" s="286"/>
      <c r="BX37" s="286"/>
      <c r="BY37" s="286"/>
      <c r="BZ37" s="286"/>
      <c r="CA37" s="286"/>
      <c r="CB37" s="286"/>
      <c r="CC37" s="286"/>
      <c r="CD37" s="286"/>
      <c r="CE37" s="286"/>
      <c r="CF37" s="286"/>
      <c r="CG37" s="286"/>
      <c r="CH37" s="286"/>
      <c r="CI37" s="286"/>
      <c r="CJ37" s="286"/>
      <c r="CK37" s="286"/>
      <c r="CL37" s="286"/>
      <c r="CM37" s="286"/>
      <c r="CN37" s="286"/>
      <c r="CO37" s="286"/>
      <c r="CP37" s="286"/>
      <c r="CQ37" s="286"/>
      <c r="CR37" s="286"/>
      <c r="CS37" s="286"/>
      <c r="CT37" s="286"/>
      <c r="CU37" s="286"/>
      <c r="CV37" s="286"/>
      <c r="CW37" s="286"/>
      <c r="CX37" s="286"/>
      <c r="CY37" s="286"/>
      <c r="CZ37" s="286"/>
      <c r="DA37" s="286"/>
      <c r="DB37" s="286"/>
      <c r="DC37" s="286"/>
      <c r="DD37" s="286"/>
      <c r="DE37" s="286"/>
      <c r="DF37" s="286"/>
      <c r="DG37" s="286"/>
      <c r="DH37" s="286"/>
      <c r="DI37" s="286"/>
      <c r="DJ37" s="286"/>
      <c r="DK37" s="286"/>
      <c r="DL37" s="286"/>
      <c r="DM37" s="286"/>
      <c r="DN37" s="286"/>
      <c r="DO37" s="286"/>
      <c r="DP37" s="286"/>
      <c r="DQ37" s="286"/>
      <c r="DR37" s="286"/>
      <c r="DS37" s="286"/>
      <c r="DT37" s="286"/>
      <c r="DU37" s="286"/>
      <c r="DV37" s="286"/>
      <c r="DW37" s="286"/>
      <c r="DX37" s="286"/>
      <c r="DY37" s="286"/>
      <c r="DZ37" s="286"/>
      <c r="EA37" s="286"/>
      <c r="EB37" s="286"/>
      <c r="EC37" s="286"/>
      <c r="ED37" s="286"/>
      <c r="EE37" s="286"/>
      <c r="EF37" s="286"/>
      <c r="EG37" s="286"/>
      <c r="EH37" s="286"/>
      <c r="EI37" s="286"/>
      <c r="EJ37" s="286"/>
      <c r="EK37" s="286"/>
    </row>
    <row r="38">
      <c r="A38" s="286" t="str">
        <f>IFERROR(__xludf.DUMMYFUNCTION("""COMPUTED_VALUE"""),"GLMSTR")</f>
        <v>GLMSTR</v>
      </c>
      <c r="B38" s="286" t="str">
        <f>IFERROR(__xludf.DUMMYFUNCTION("""COMPUTED_VALUE"""),"ENTY-ACCT-MINOR-CDE")</f>
        <v>ENTY-ACCT-MINOR-CDE</v>
      </c>
      <c r="C38" s="286" t="str">
        <f>IFERROR(__xludf.DUMMYFUNCTION("""COMPUTED_VALUE"""),"FY")</f>
        <v>FY</v>
      </c>
      <c r="D38" s="286" t="str">
        <f>IFERROR(__xludf.DUMMYFUNCTION("""COMPUTED_VALUE"""),"ENTY-CDE")</f>
        <v>ENTY-CDE</v>
      </c>
      <c r="E38" s="286" t="str">
        <f>IFERROR(__xludf.DUMMYFUNCTION("""COMPUTED_VALUE"""),"ACCT-NBR")</f>
        <v>ACCT-NBR</v>
      </c>
      <c r="F38" s="286" t="str">
        <f>IFERROR(__xludf.DUMMYFUNCTION("""COMPUTED_VALUE"""),"MINOR-CDE")</f>
        <v>MINOR-CDE</v>
      </c>
      <c r="G38" s="286" t="str">
        <f>IFERROR(__xludf.DUMMYFUNCTION("""COMPUTED_VALUE"""),"CUR-MO-CDE")</f>
        <v>CUR-MO-CDE</v>
      </c>
      <c r="H38" s="286" t="str">
        <f>IFERROR(__xludf.DUMMYFUNCTION("""COMPUTED_VALUE"""),"CUR-ACCT-BAL")</f>
        <v>CUR-ACCT-BAL</v>
      </c>
      <c r="I38" s="286" t="str">
        <f>IFERROR(__xludf.DUMMYFUNCTION("""COMPUTED_VALUE"""),"PR-YR-ENDG-BAL")</f>
        <v>PR-YR-ENDG-BAL</v>
      </c>
      <c r="J38" s="286" t="str">
        <f>IFERROR(__xludf.DUMMYFUNCTION("""COMPUTED_VALUE"""),"GL-MO-ACTV")</f>
        <v>GL-MO-ACTV</v>
      </c>
      <c r="K38" s="286" t="str">
        <f>IFERROR(__xludf.DUMMYFUNCTION("""COMPUTED_VALUE"""),"CLSG-ENTRIES")</f>
        <v>CLSG-ENTRIES</v>
      </c>
      <c r="L38" s="286" t="str">
        <f>IFERROR(__xludf.DUMMYFUNCTION("""COMPUTED_VALUE"""),"CUR-MO-PR-YR-ACTV")</f>
        <v>CUR-MO-PR-YR-ACTV</v>
      </c>
      <c r="M38" s="286" t="str">
        <f>IFERROR(__xludf.DUMMYFUNCTION("""COMPUTED_VALUE"""),"SUBQ-MO-PR-YR-ACTV")</f>
        <v>SUBQ-MO-PR-YR-ACTV</v>
      </c>
      <c r="N38" s="286" t="str">
        <f>IFERROR(__xludf.DUMMYFUNCTION("""COMPUTED_VALUE"""),"MEMO-ACCT-BAL")</f>
        <v>MEMO-ACCT-BAL</v>
      </c>
      <c r="O38" s="286" t="str">
        <f>IFERROR(__xludf.DUMMYFUNCTION("""COMPUTED_VALUE"""),"PREV-BAL-CNTR")</f>
        <v>PREV-BAL-CNTR</v>
      </c>
      <c r="P38" s="286" t="str">
        <f>IFERROR(__xludf.DUMMYFUNCTION("""COMPUTED_VALUE"""),"DTE-LST-RGSTR-ACCT")</f>
        <v>DTE-LST-RGSTR-ACCT</v>
      </c>
      <c r="Q38" s="286" t="str">
        <f>IFERROR(__xludf.DUMMYFUNCTION("""COMPUTED_VALUE"""),"RGSTR-TYP-CDE")</f>
        <v>RGSTR-TYP-CDE</v>
      </c>
      <c r="R38" s="286" t="str">
        <f>IFERROR(__xludf.DUMMYFUNCTION("""COMPUTED_VALUE"""),"CTRY-DIGIT")</f>
        <v>CTRY-DIGIT</v>
      </c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  <c r="BM38" s="286"/>
      <c r="BN38" s="286"/>
      <c r="BO38" s="286"/>
      <c r="BP38" s="286"/>
      <c r="BQ38" s="286"/>
      <c r="BR38" s="286"/>
      <c r="BS38" s="286"/>
      <c r="BT38" s="286"/>
      <c r="BU38" s="286"/>
      <c r="BV38" s="286"/>
      <c r="BW38" s="286"/>
      <c r="BX38" s="286"/>
      <c r="BY38" s="286"/>
      <c r="BZ38" s="286"/>
      <c r="CA38" s="286"/>
      <c r="CB38" s="286"/>
      <c r="CC38" s="286"/>
      <c r="CD38" s="286"/>
      <c r="CE38" s="286"/>
      <c r="CF38" s="286"/>
      <c r="CG38" s="286"/>
      <c r="CH38" s="286"/>
      <c r="CI38" s="286"/>
      <c r="CJ38" s="286"/>
      <c r="CK38" s="286"/>
      <c r="CL38" s="286"/>
      <c r="CM38" s="286"/>
      <c r="CN38" s="286"/>
      <c r="CO38" s="286"/>
      <c r="CP38" s="286"/>
      <c r="CQ38" s="286"/>
      <c r="CR38" s="286"/>
      <c r="CS38" s="286"/>
      <c r="CT38" s="286"/>
      <c r="CU38" s="286"/>
      <c r="CV38" s="286"/>
      <c r="CW38" s="286"/>
      <c r="CX38" s="286"/>
      <c r="CY38" s="286"/>
      <c r="CZ38" s="286"/>
      <c r="DA38" s="286"/>
      <c r="DB38" s="286"/>
      <c r="DC38" s="286"/>
      <c r="DD38" s="286"/>
      <c r="DE38" s="286"/>
      <c r="DF38" s="286"/>
      <c r="DG38" s="286"/>
      <c r="DH38" s="286"/>
      <c r="DI38" s="286"/>
      <c r="DJ38" s="286"/>
      <c r="DK38" s="286"/>
      <c r="DL38" s="286"/>
      <c r="DM38" s="286"/>
      <c r="DN38" s="286"/>
      <c r="DO38" s="286"/>
      <c r="DP38" s="286"/>
      <c r="DQ38" s="286"/>
      <c r="DR38" s="286"/>
      <c r="DS38" s="286"/>
      <c r="DT38" s="286"/>
      <c r="DU38" s="286"/>
      <c r="DV38" s="286"/>
      <c r="DW38" s="286"/>
      <c r="DX38" s="286"/>
      <c r="DY38" s="286"/>
      <c r="DZ38" s="286"/>
      <c r="EA38" s="286"/>
      <c r="EB38" s="286"/>
      <c r="EC38" s="286"/>
      <c r="ED38" s="286"/>
      <c r="EE38" s="286"/>
      <c r="EF38" s="286"/>
      <c r="EG38" s="286"/>
      <c r="EH38" s="286"/>
      <c r="EI38" s="286"/>
      <c r="EJ38" s="286"/>
      <c r="EK38" s="286"/>
    </row>
    <row r="39">
      <c r="A39" s="286" t="str">
        <f>IFERROR(__xludf.DUMMYFUNCTION("""COMPUTED_VALUE"""),"GLACCTC")</f>
        <v>GLACCTC</v>
      </c>
      <c r="B39" s="286" t="str">
        <f>IFERROR(__xludf.DUMMYFUNCTION("""COMPUTED_VALUE"""),"GL-CNTRL-KEY")</f>
        <v>GL-CNTRL-KEY</v>
      </c>
      <c r="C39" s="286" t="str">
        <f>IFERROR(__xludf.DUMMYFUNCTION("""COMPUTED_VALUE"""),"RCRD-CNT")</f>
        <v>RCRD-CNT</v>
      </c>
      <c r="D39" s="286" t="str">
        <f>IFERROR(__xludf.DUMMYFUNCTION("""COMPUTED_VALUE"""),"DTE-LST-RGSTRCT")</f>
        <v>DTE-LST-RGSTRCT</v>
      </c>
      <c r="E39" s="286"/>
      <c r="F39" s="286"/>
      <c r="G39" s="2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286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286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286"/>
      <c r="BV39" s="286"/>
      <c r="BW39" s="286"/>
      <c r="BX39" s="286"/>
      <c r="BY39" s="286"/>
      <c r="BZ39" s="286"/>
      <c r="CA39" s="286"/>
      <c r="CB39" s="286"/>
      <c r="CC39" s="286"/>
      <c r="CD39" s="286"/>
      <c r="CE39" s="286"/>
      <c r="CF39" s="286"/>
      <c r="CG39" s="286"/>
      <c r="CH39" s="286"/>
      <c r="CI39" s="286"/>
      <c r="CJ39" s="286"/>
      <c r="CK39" s="286"/>
      <c r="CL39" s="286"/>
      <c r="CM39" s="286"/>
      <c r="CN39" s="286"/>
      <c r="CO39" s="286"/>
      <c r="CP39" s="286"/>
      <c r="CQ39" s="286"/>
      <c r="CR39" s="286"/>
      <c r="CS39" s="286"/>
      <c r="CT39" s="286"/>
      <c r="CU39" s="286"/>
      <c r="CV39" s="286"/>
      <c r="CW39" s="286"/>
      <c r="CX39" s="286"/>
      <c r="CY39" s="286"/>
      <c r="CZ39" s="286"/>
      <c r="DA39" s="286"/>
      <c r="DB39" s="286"/>
      <c r="DC39" s="286"/>
      <c r="DD39" s="286"/>
      <c r="DE39" s="286"/>
      <c r="DF39" s="286"/>
      <c r="DG39" s="286"/>
      <c r="DH39" s="286"/>
      <c r="DI39" s="286"/>
      <c r="DJ39" s="286"/>
      <c r="DK39" s="286"/>
      <c r="DL39" s="286"/>
      <c r="DM39" s="286"/>
      <c r="DN39" s="286"/>
      <c r="DO39" s="286"/>
      <c r="DP39" s="286"/>
      <c r="DQ39" s="286"/>
      <c r="DR39" s="286"/>
      <c r="DS39" s="286"/>
      <c r="DT39" s="286"/>
      <c r="DU39" s="286"/>
      <c r="DV39" s="286"/>
      <c r="DW39" s="286"/>
      <c r="DX39" s="286"/>
      <c r="DY39" s="286"/>
      <c r="DZ39" s="286"/>
      <c r="EA39" s="286"/>
      <c r="EB39" s="286"/>
      <c r="EC39" s="286"/>
      <c r="ED39" s="286"/>
      <c r="EE39" s="286"/>
      <c r="EF39" s="286"/>
      <c r="EG39" s="286"/>
      <c r="EH39" s="286"/>
      <c r="EI39" s="286"/>
      <c r="EJ39" s="286"/>
      <c r="EK39" s="286"/>
    </row>
    <row r="40">
      <c r="A40" s="286" t="str">
        <f>IFERROR(__xludf.DUMMYFUNCTION("""COMPUTED_VALUE"""),"GLBLKC")</f>
        <v>GLBLKC</v>
      </c>
      <c r="B40" s="286" t="str">
        <f>IFERROR(__xludf.DUMMYFUNCTION("""COMPUTED_VALUE"""),"ENTY-BLK-NBR")</f>
        <v>ENTY-BLK-NBR</v>
      </c>
      <c r="C40" s="286" t="str">
        <f>IFERROR(__xludf.DUMMYFUNCTION("""COMPUTED_VALUE"""),"FY")</f>
        <v>FY</v>
      </c>
      <c r="D40" s="286" t="str">
        <f>IFERROR(__xludf.DUMMYFUNCTION("""COMPUTED_VALUE"""),"ENTY-CDE")</f>
        <v>ENTY-CDE</v>
      </c>
      <c r="E40" s="286" t="str">
        <f>IFERROR(__xludf.DUMMYFUNCTION("""COMPUTED_VALUE"""),"BLK-NBR-5")</f>
        <v>BLK-NBR-5</v>
      </c>
      <c r="F40" s="286" t="str">
        <f>IFERROR(__xludf.DUMMYFUNCTION("""COMPUTED_VALUE"""),"SBSDRY-ACCT-HASH-TTL")</f>
        <v>SBSDRY-ACCT-HASH-TTL</v>
      </c>
      <c r="G40" s="286" t="str">
        <f>IFERROR(__xludf.DUMMYFUNCTION("""COMPUTED_VALUE"""),"ACCT-NBRS-HASH-TTL")</f>
        <v>ACCT-NBRS-HASH-TTL</v>
      </c>
      <c r="H40" s="286" t="str">
        <f>IFERROR(__xludf.DUMMYFUNCTION("""COMPUTED_VALUE"""),"MINOR-CDE-HASH-TTL")</f>
        <v>MINOR-CDE-HASH-TTL</v>
      </c>
      <c r="I40" s="286" t="str">
        <f>IFERROR(__xludf.DUMMYFUNCTION("""COMPUTED_VALUE"""),"DR-AMT-INDIV-GL-ACCTS")</f>
        <v>DR-AMT-INDIV-GL-ACCTS</v>
      </c>
      <c r="J40" s="286" t="str">
        <f>IFERROR(__xludf.DUMMYFUNCTION("""COMPUTED_VALUE"""),"CR-AMT-INDIV-GL-ACCTS")</f>
        <v>CR-AMT-INDIV-GL-ACCTS</v>
      </c>
      <c r="K40" s="286" t="str">
        <f>IFERROR(__xludf.DUMMYFUNCTION("""COMPUTED_VALUE"""),"USER-INITS")</f>
        <v>USER-INITS</v>
      </c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6"/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6"/>
      <c r="BF40" s="286"/>
      <c r="BG40" s="286"/>
      <c r="BH40" s="286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6"/>
      <c r="BU40" s="286"/>
      <c r="BV40" s="286"/>
      <c r="BW40" s="286"/>
      <c r="BX40" s="286"/>
      <c r="BY40" s="286"/>
      <c r="BZ40" s="286"/>
      <c r="CA40" s="286"/>
      <c r="CB40" s="286"/>
      <c r="CC40" s="286"/>
      <c r="CD40" s="286"/>
      <c r="CE40" s="286"/>
      <c r="CF40" s="286"/>
      <c r="CG40" s="286"/>
      <c r="CH40" s="286"/>
      <c r="CI40" s="286"/>
      <c r="CJ40" s="286"/>
      <c r="CK40" s="286"/>
      <c r="CL40" s="286"/>
      <c r="CM40" s="286"/>
      <c r="CN40" s="286"/>
      <c r="CO40" s="286"/>
      <c r="CP40" s="286"/>
      <c r="CQ40" s="286"/>
      <c r="CR40" s="286"/>
      <c r="CS40" s="286"/>
      <c r="CT40" s="286"/>
      <c r="CU40" s="286"/>
      <c r="CV40" s="286"/>
      <c r="CW40" s="286"/>
      <c r="CX40" s="286"/>
      <c r="CY40" s="286"/>
      <c r="CZ40" s="286"/>
      <c r="DA40" s="286"/>
      <c r="DB40" s="286"/>
      <c r="DC40" s="286"/>
      <c r="DD40" s="286"/>
      <c r="DE40" s="286"/>
      <c r="DF40" s="286"/>
      <c r="DG40" s="286"/>
      <c r="DH40" s="286"/>
      <c r="DI40" s="286"/>
      <c r="DJ40" s="286"/>
      <c r="DK40" s="286"/>
      <c r="DL40" s="286"/>
      <c r="DM40" s="286"/>
      <c r="DN40" s="286"/>
      <c r="DO40" s="286"/>
      <c r="DP40" s="286"/>
      <c r="DQ40" s="286"/>
      <c r="DR40" s="286"/>
      <c r="DS40" s="286"/>
      <c r="DT40" s="286"/>
      <c r="DU40" s="286"/>
      <c r="DV40" s="286"/>
      <c r="DW40" s="286"/>
      <c r="DX40" s="286"/>
      <c r="DY40" s="286"/>
      <c r="DZ40" s="286"/>
      <c r="EA40" s="286"/>
      <c r="EB40" s="286"/>
      <c r="EC40" s="286"/>
      <c r="ED40" s="286"/>
      <c r="EE40" s="286"/>
      <c r="EF40" s="286"/>
      <c r="EG40" s="286"/>
      <c r="EH40" s="286"/>
      <c r="EI40" s="286"/>
      <c r="EJ40" s="286"/>
      <c r="EK40" s="286"/>
    </row>
    <row r="41">
      <c r="A41" s="286" t="str">
        <f>IFERROR(__xludf.DUMMYFUNCTION("""COMPUTED_VALUE"""),"GLBLKD")</f>
        <v>GLBLKD</v>
      </c>
      <c r="B41" s="286" t="str">
        <f>IFERROR(__xludf.DUMMYFUNCTION("""COMPUTED_VALUE"""),"ACCT-NBR")</f>
        <v>ACCT-NBR</v>
      </c>
      <c r="C41" s="286" t="str">
        <f>IFERROR(__xludf.DUMMYFUNCTION("""COMPUTED_VALUE"""),"MINOR-CDE")</f>
        <v>MINOR-CDE</v>
      </c>
      <c r="D41" s="286" t="str">
        <f>IFERROR(__xludf.DUMMYFUNCTION("""COMPUTED_VALUE"""),"FD-CDE")</f>
        <v>FD-CDE</v>
      </c>
      <c r="E41" s="286" t="str">
        <f>IFERROR(__xludf.DUMMYFUNCTION("""COMPUTED_VALUE"""),"FD-CDE-3")</f>
        <v>FD-CDE-3</v>
      </c>
      <c r="F41" s="286" t="str">
        <f>IFERROR(__xludf.DUMMYFUNCTION("""COMPUTED_VALUE"""),"FD-CDE-2")</f>
        <v>FD-CDE-2</v>
      </c>
      <c r="G41" s="286" t="str">
        <f>IFERROR(__xludf.DUMMYFUNCTION("""COMPUTED_VALUE"""),"FD-CDE-3RD")</f>
        <v>FD-CDE-3RD</v>
      </c>
      <c r="H41" s="286" t="str">
        <f>IFERROR(__xludf.DUMMYFUNCTION("""COMPUTED_VALUE"""),"FD-CDE-4TH")</f>
        <v>FD-CDE-4TH</v>
      </c>
      <c r="I41" s="286" t="str">
        <f>IFERROR(__xludf.DUMMYFUNCTION("""COMPUTED_VALUE"""),"TRNSCTN-CDE")</f>
        <v>TRNSCTN-CDE</v>
      </c>
      <c r="J41" s="286" t="str">
        <f>IFERROR(__xludf.DUMMYFUNCTION("""COMPUTED_VALUE"""),"DTE-END-OF-MO")</f>
        <v>DTE-END-OF-MO</v>
      </c>
      <c r="K41" s="286" t="str">
        <f>IFERROR(__xludf.DUMMYFUNCTION("""COMPUTED_VALUE"""),"PURP-CDE-1")</f>
        <v>PURP-CDE-1</v>
      </c>
      <c r="L41" s="286" t="str">
        <f>IFERROR(__xludf.DUMMYFUNCTION("""COMPUTED_VALUE"""),"DR-AMT-INDIV-GL-ACCTS")</f>
        <v>DR-AMT-INDIV-GL-ACCTS</v>
      </c>
      <c r="M41" s="286" t="str">
        <f>IFERROR(__xludf.DUMMYFUNCTION("""COMPUTED_VALUE"""),"CR-AMT-INDIV-GL-ACCTS")</f>
        <v>CR-AMT-INDIV-GL-ACCTS</v>
      </c>
      <c r="N41" s="286" t="str">
        <f>IFERROR(__xludf.DUMMYFUNCTION("""COMPUTED_VALUE"""),"MO-ACTV")</f>
        <v>MO-ACTV</v>
      </c>
      <c r="O41" s="286" t="str">
        <f>IFERROR(__xludf.DUMMYFUNCTION("""COMPUTED_VALUE"""),"RGSTR-TYP-CDE")</f>
        <v>RGSTR-TYP-CDE</v>
      </c>
      <c r="P41" s="286" t="str">
        <f>IFERROR(__xludf.DUMMYFUNCTION("""COMPUTED_VALUE"""),"TIME-STNDS-DATA")</f>
        <v>TIME-STNDS-DATA</v>
      </c>
      <c r="Q41" s="286" t="str">
        <f>IFERROR(__xludf.DUMMYFUNCTION("""COMPUTED_VALUE"""),"USER-INITS")</f>
        <v>USER-INITS</v>
      </c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286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286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286"/>
      <c r="BV41" s="286"/>
      <c r="BW41" s="286"/>
      <c r="BX41" s="286"/>
      <c r="BY41" s="286"/>
      <c r="BZ41" s="286"/>
      <c r="CA41" s="286"/>
      <c r="CB41" s="286"/>
      <c r="CC41" s="286"/>
      <c r="CD41" s="286"/>
      <c r="CE41" s="286"/>
      <c r="CF41" s="286"/>
      <c r="CG41" s="286"/>
      <c r="CH41" s="286"/>
      <c r="CI41" s="286"/>
      <c r="CJ41" s="286"/>
      <c r="CK41" s="286"/>
      <c r="CL41" s="286"/>
      <c r="CM41" s="286"/>
      <c r="CN41" s="286"/>
      <c r="CO41" s="286"/>
      <c r="CP41" s="286"/>
      <c r="CQ41" s="286"/>
      <c r="CR41" s="286"/>
      <c r="CS41" s="286"/>
      <c r="CT41" s="286"/>
      <c r="CU41" s="286"/>
      <c r="CV41" s="286"/>
      <c r="CW41" s="286"/>
      <c r="CX41" s="286"/>
      <c r="CY41" s="286"/>
      <c r="CZ41" s="286"/>
      <c r="DA41" s="286"/>
      <c r="DB41" s="286"/>
      <c r="DC41" s="286"/>
      <c r="DD41" s="286"/>
      <c r="DE41" s="286"/>
      <c r="DF41" s="286"/>
      <c r="DG41" s="286"/>
      <c r="DH41" s="286"/>
      <c r="DI41" s="286"/>
      <c r="DJ41" s="286"/>
      <c r="DK41" s="286"/>
      <c r="DL41" s="286"/>
      <c r="DM41" s="286"/>
      <c r="DN41" s="286"/>
      <c r="DO41" s="286"/>
      <c r="DP41" s="286"/>
      <c r="DQ41" s="286"/>
      <c r="DR41" s="286"/>
      <c r="DS41" s="286"/>
      <c r="DT41" s="286"/>
      <c r="DU41" s="286"/>
      <c r="DV41" s="286"/>
      <c r="DW41" s="286"/>
      <c r="DX41" s="286"/>
      <c r="DY41" s="286"/>
      <c r="DZ41" s="286"/>
      <c r="EA41" s="286"/>
      <c r="EB41" s="286"/>
      <c r="EC41" s="286"/>
      <c r="ED41" s="286"/>
      <c r="EE41" s="286"/>
      <c r="EF41" s="286"/>
      <c r="EG41" s="286"/>
      <c r="EH41" s="286"/>
      <c r="EI41" s="286"/>
      <c r="EJ41" s="286"/>
      <c r="EK41" s="286"/>
    </row>
    <row r="42">
      <c r="A42" s="286" t="str">
        <f>IFERROR(__xludf.DUMMYFUNCTION("""COMPUTED_VALUE"""),"GLOVA")</f>
        <v>GLOVA</v>
      </c>
      <c r="B42" s="286" t="str">
        <f>IFERROR(__xludf.DUMMYFUNCTION("""COMPUTED_VALUE"""),"GL-ACCTS-ENTRY-KEY-EXPND")</f>
        <v>GL-ACCTS-ENTRY-KEY-EXPND</v>
      </c>
      <c r="C42" s="286" t="str">
        <f>IFERROR(__xludf.DUMMYFUNCTION("""COMPUTED_VALUE"""),"FY")</f>
        <v>FY</v>
      </c>
      <c r="D42" s="286" t="str">
        <f>IFERROR(__xludf.DUMMYFUNCTION("""COMPUTED_VALUE"""),"APROPTN-CDE-EXPND")</f>
        <v>APROPTN-CDE-EXPND</v>
      </c>
      <c r="E42" s="286" t="str">
        <f>IFERROR(__xludf.DUMMYFUNCTION("""COMPUTED_VALUE"""),"PROG-PLANG-BDGTG-CDE")</f>
        <v>PROG-PLANG-BDGTG-CDE</v>
      </c>
      <c r="F42" s="286" t="str">
        <f>IFERROR(__xludf.DUMMYFUNCTION("""COMPUTED_VALUE"""),"PPB-CDE-1ST")</f>
        <v>PPB-CDE-1ST</v>
      </c>
      <c r="G42" s="286" t="str">
        <f>IFERROR(__xludf.DUMMYFUNCTION("""COMPUTED_VALUE"""),"PPB-CDE-2-3")</f>
        <v>PPB-CDE-2-3</v>
      </c>
      <c r="H42" s="286" t="str">
        <f>IFERROR(__xludf.DUMMYFUNCTION("""COMPUTED_VALUE"""),"MAJ-CLS-EXPND")</f>
        <v>MAJ-CLS-EXPND</v>
      </c>
      <c r="I42" s="286" t="str">
        <f>IFERROR(__xludf.DUMMYFUNCTION("""COMPUTED_VALUE"""),"OBLGN-EXPNTR-CDE")</f>
        <v>OBLGN-EXPNTR-CDE</v>
      </c>
      <c r="J42" s="286" t="str">
        <f>IFERROR(__xludf.DUMMYFUNCTION("""COMPUTED_VALUE"""),"SBMSN-CDE")</f>
        <v>SBMSN-CDE</v>
      </c>
      <c r="K42" s="286" t="str">
        <f>IFERROR(__xludf.DUMMYFUNCTION("""COMPUTED_VALUE"""),"PURP-CDE")</f>
        <v>PURP-CDE</v>
      </c>
      <c r="L42" s="286" t="str">
        <f>IFERROR(__xludf.DUMMYFUNCTION("""COMPUTED_VALUE"""),"TRNSCTN-CDE-UPDTE")</f>
        <v>TRNSCTN-CDE-UPDTE</v>
      </c>
      <c r="M42" s="286" t="str">
        <f>IFERROR(__xludf.DUMMYFUNCTION("""COMPUTED_VALUE"""),"GRP-OF-ALTMT-CDE")</f>
        <v>GRP-OF-ALTMT-CDE</v>
      </c>
      <c r="N42" s="286" t="str">
        <f>IFERROR(__xludf.DUMMYFUNCTION("""COMPUTED_VALUE"""),"ENTY-CDE")</f>
        <v>ENTY-CDE</v>
      </c>
      <c r="O42" s="286" t="str">
        <f>IFERROR(__xludf.DUMMYFUNCTION("""COMPUTED_VALUE"""),"OBLGN-ACCTS-DR-ODR")</f>
        <v>OBLGN-ACCTS-DR-ODR</v>
      </c>
      <c r="P42" s="286" t="str">
        <f>IFERROR(__xludf.DUMMYFUNCTION("""COMPUTED_VALUE"""),"ACCT-NBR-ODR")</f>
        <v>ACCT-NBR-ODR</v>
      </c>
      <c r="Q42" s="286" t="str">
        <f>IFERROR(__xludf.DUMMYFUNCTION("""COMPUTED_VALUE"""),"MINOR-CDE-ODR")</f>
        <v>MINOR-CDE-ODR</v>
      </c>
      <c r="R42" s="286" t="str">
        <f>IFERROR(__xludf.DUMMYFUNCTION("""COMPUTED_VALUE"""),"OBLGN-ACCTS-CR-OCR")</f>
        <v>OBLGN-ACCTS-CR-OCR</v>
      </c>
      <c r="S42" s="286" t="str">
        <f>IFERROR(__xludf.DUMMYFUNCTION("""COMPUTED_VALUE"""),"ACCT-NBR-OCR")</f>
        <v>ACCT-NBR-OCR</v>
      </c>
      <c r="T42" s="286" t="str">
        <f>IFERROR(__xludf.DUMMYFUNCTION("""COMPUTED_VALUE"""),"MINOR-CDE-OCR")</f>
        <v>MINOR-CDE-OCR</v>
      </c>
      <c r="U42" s="286" t="str">
        <f>IFERROR(__xludf.DUMMYFUNCTION("""COMPUTED_VALUE"""),"VOU-ACCTS-DR-VDR")</f>
        <v>VOU-ACCTS-DR-VDR</v>
      </c>
      <c r="V42" s="286" t="str">
        <f>IFERROR(__xludf.DUMMYFUNCTION("""COMPUTED_VALUE"""),"ACCT-NBR-VDR")</f>
        <v>ACCT-NBR-VDR</v>
      </c>
      <c r="W42" s="286" t="str">
        <f>IFERROR(__xludf.DUMMYFUNCTION("""COMPUTED_VALUE"""),"MINOR-CDE-VDR")</f>
        <v>MINOR-CDE-VDR</v>
      </c>
      <c r="X42" s="286" t="str">
        <f>IFERROR(__xludf.DUMMYFUNCTION("""COMPUTED_VALUE"""),"VOU-ACCTS-CR-VCR")</f>
        <v>VOU-ACCTS-CR-VCR</v>
      </c>
      <c r="Y42" s="286" t="str">
        <f>IFERROR(__xludf.DUMMYFUNCTION("""COMPUTED_VALUE"""),"ACCT-NBR-VCR")</f>
        <v>ACCT-NBR-VCR</v>
      </c>
      <c r="Z42" s="286" t="str">
        <f>IFERROR(__xludf.DUMMYFUNCTION("""COMPUTED_VALUE"""),"MINOR-CDE-VCR")</f>
        <v>MINOR-CDE-VCR</v>
      </c>
      <c r="AA42" s="286" t="str">
        <f>IFERROR(__xludf.DUMMYFUNCTION("""COMPUTED_VALUE"""),"ALTMT-ACCTS-DR-ADR")</f>
        <v>ALTMT-ACCTS-DR-ADR</v>
      </c>
      <c r="AB42" s="286" t="str">
        <f>IFERROR(__xludf.DUMMYFUNCTION("""COMPUTED_VALUE"""),"ACCT-NBR-ADR")</f>
        <v>ACCT-NBR-ADR</v>
      </c>
      <c r="AC42" s="286" t="str">
        <f>IFERROR(__xludf.DUMMYFUNCTION("""COMPUTED_VALUE"""),"MINOR-CDE-ADR")</f>
        <v>MINOR-CDE-ADR</v>
      </c>
      <c r="AD42" s="286" t="str">
        <f>IFERROR(__xludf.DUMMYFUNCTION("""COMPUTED_VALUE"""),"ALTMT-ACCTS-CR-ACR")</f>
        <v>ALTMT-ACCTS-CR-ACR</v>
      </c>
      <c r="AE42" s="286" t="str">
        <f>IFERROR(__xludf.DUMMYFUNCTION("""COMPUTED_VALUE"""),"ACCT-NBR-ACR")</f>
        <v>ACCT-NBR-ACR</v>
      </c>
      <c r="AF42" s="286" t="str">
        <f>IFERROR(__xludf.DUMMYFUNCTION("""COMPUTED_VALUE"""),"MINOR-CDE-ACR")</f>
        <v>MINOR-CDE-ACR</v>
      </c>
      <c r="AG42" s="286" t="str">
        <f>IFERROR(__xludf.DUMMYFUNCTION("""COMPUTED_VALUE"""),"DTE-LST-UPDTE")</f>
        <v>DTE-LST-UPDTE</v>
      </c>
      <c r="AH42" s="286" t="str">
        <f>IFERROR(__xludf.DUMMYFUNCTION("""COMPUTED_VALUE"""),"USER-ID")</f>
        <v>USER-ID</v>
      </c>
      <c r="AI42" s="286" t="str">
        <f>IFERROR(__xludf.DUMMYFUNCTION("""COMPUTED_VALUE"""),"AUTHY-CDE-TRML-OPRTR")</f>
        <v>AUTHY-CDE-TRML-OPRTR</v>
      </c>
      <c r="AJ42" s="286" t="str">
        <f>IFERROR(__xludf.DUMMYFUNCTION("""COMPUTED_VALUE"""),"PRFCY-LVL-TRML-OPRTR")</f>
        <v>PRFCY-LVL-TRML-OPRTR</v>
      </c>
      <c r="AK42" s="286" t="str">
        <f>IFERROR(__xludf.DUMMYFUNCTION("""COMPUTED_VALUE"""),"NO-UP-AUTHTY-CDE")</f>
        <v>NO-UP-AUTHTY-CDE</v>
      </c>
      <c r="AL42" s="286" t="str">
        <f>IFERROR(__xludf.DUMMYFUNCTION("""COMPUTED_VALUE"""),"UP-AUTHTY-CDE")</f>
        <v>UP-AUTHTY-CDE</v>
      </c>
      <c r="AM42" s="286"/>
      <c r="AN42" s="286" t="str">
        <f>IFERROR(__xludf.DUMMYFUNCTION("""COMPUTED_VALUE"""),"ID-TRML-OPRTR")</f>
        <v>ID-TRML-OPRTR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286"/>
      <c r="BV42" s="286"/>
      <c r="BW42" s="286"/>
      <c r="BX42" s="286"/>
      <c r="BY42" s="286"/>
      <c r="BZ42" s="286"/>
      <c r="CA42" s="286"/>
      <c r="CB42" s="286"/>
      <c r="CC42" s="286"/>
      <c r="CD42" s="286"/>
      <c r="CE42" s="286"/>
      <c r="CF42" s="286"/>
      <c r="CG42" s="286"/>
      <c r="CH42" s="286"/>
      <c r="CI42" s="286"/>
      <c r="CJ42" s="286"/>
      <c r="CK42" s="286"/>
      <c r="CL42" s="286"/>
      <c r="CM42" s="286"/>
      <c r="CN42" s="286"/>
      <c r="CO42" s="286"/>
      <c r="CP42" s="286"/>
      <c r="CQ42" s="286"/>
      <c r="CR42" s="286"/>
      <c r="CS42" s="286"/>
      <c r="CT42" s="286"/>
      <c r="CU42" s="286"/>
      <c r="CV42" s="286"/>
      <c r="CW42" s="286"/>
      <c r="CX42" s="286"/>
      <c r="CY42" s="286"/>
      <c r="CZ42" s="286"/>
      <c r="DA42" s="286"/>
      <c r="DB42" s="286"/>
      <c r="DC42" s="286"/>
      <c r="DD42" s="286"/>
      <c r="DE42" s="286"/>
      <c r="DF42" s="286"/>
      <c r="DG42" s="286"/>
      <c r="DH42" s="286"/>
      <c r="DI42" s="286"/>
      <c r="DJ42" s="286"/>
      <c r="DK42" s="286"/>
      <c r="DL42" s="286"/>
      <c r="DM42" s="286"/>
      <c r="DN42" s="286"/>
      <c r="DO42" s="286"/>
      <c r="DP42" s="286"/>
      <c r="DQ42" s="286"/>
      <c r="DR42" s="286"/>
      <c r="DS42" s="286"/>
      <c r="DT42" s="286"/>
      <c r="DU42" s="286"/>
      <c r="DV42" s="286"/>
      <c r="DW42" s="286"/>
      <c r="DX42" s="286"/>
      <c r="DY42" s="286"/>
      <c r="DZ42" s="286"/>
      <c r="EA42" s="286"/>
      <c r="EB42" s="286"/>
      <c r="EC42" s="286"/>
      <c r="ED42" s="286"/>
      <c r="EE42" s="286"/>
      <c r="EF42" s="286"/>
      <c r="EG42" s="286"/>
      <c r="EH42" s="286"/>
      <c r="EI42" s="286"/>
      <c r="EJ42" s="286"/>
      <c r="EK42" s="286"/>
    </row>
    <row r="43">
      <c r="A43" s="286" t="str">
        <f>IFERROR(__xludf.DUMMYFUNCTION("""COMPUTED_VALUE"""),"SYMBOL")</f>
        <v>SYMBOL</v>
      </c>
      <c r="B43" s="286" t="str">
        <f>IFERROR(__xludf.DUMMYFUNCTION("""COMPUTED_VALUE"""),"TRSRY-SYM")</f>
        <v>TRSRY-SYM</v>
      </c>
      <c r="C43" s="286" t="str">
        <f>IFERROR(__xludf.DUMMYFUNCTION("""COMPUTED_VALUE"""),"ACCT-MO")</f>
        <v>ACCT-MO</v>
      </c>
      <c r="D43" s="286" t="str">
        <f>IFERROR(__xludf.DUMMYFUNCTION("""COMPUTED_VALUE"""),"DEPT-NBR")</f>
        <v>DEPT-NBR</v>
      </c>
      <c r="E43" s="286" t="str">
        <f>IFERROR(__xludf.DUMMYFUNCTION("""COMPUTED_VALUE"""),"SRVC-AGCY")</f>
        <v>SRVC-AGCY</v>
      </c>
      <c r="F43" s="286" t="str">
        <f>IFERROR(__xludf.DUMMYFUNCTION("""COMPUTED_VALUE"""),"AGCY")</f>
        <v>AGCY</v>
      </c>
      <c r="G43" s="286" t="str">
        <f>IFERROR(__xludf.DUMMYFUNCTION("""COMPUTED_VALUE"""),"ACCT-STATN")</f>
        <v>ACCT-STATN</v>
      </c>
      <c r="H43" s="286" t="str">
        <f>IFERROR(__xludf.DUMMYFUNCTION("""COMPUTED_VALUE"""),"FD-CDE")</f>
        <v>FD-CDE</v>
      </c>
      <c r="I43" s="286" t="str">
        <f>IFERROR(__xludf.DUMMYFUNCTION("""COMPUTED_VALUE"""),"FD-CDE-3")</f>
        <v>FD-CDE-3</v>
      </c>
      <c r="J43" s="286" t="str">
        <f>IFERROR(__xludf.DUMMYFUNCTION("""COMPUTED_VALUE"""),"FD-CDE-2")</f>
        <v>FD-CDE-2</v>
      </c>
      <c r="K43" s="286" t="str">
        <f>IFERROR(__xludf.DUMMYFUNCTION("""COMPUTED_VALUE"""),"FD-CDE-3RD")</f>
        <v>FD-CDE-3RD</v>
      </c>
      <c r="L43" s="286" t="str">
        <f>IFERROR(__xludf.DUMMYFUNCTION("""COMPUTED_VALUE"""),"FD-CDE-4TH")</f>
        <v>FD-CDE-4TH</v>
      </c>
      <c r="M43" s="286" t="str">
        <f>IFERROR(__xludf.DUMMYFUNCTION("""COMPUTED_VALUE"""),"TRNSMT")</f>
        <v>TRNSMT</v>
      </c>
      <c r="N43" s="286" t="str">
        <f>IFERROR(__xludf.DUMMYFUNCTION("""COMPUTED_VALUE"""),"TRNSMT-DTE")</f>
        <v>TRNSMT-DTE</v>
      </c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286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286"/>
      <c r="BV43" s="286"/>
      <c r="BW43" s="286"/>
      <c r="BX43" s="286"/>
      <c r="BY43" s="286"/>
      <c r="BZ43" s="286"/>
      <c r="CA43" s="286"/>
      <c r="CB43" s="286"/>
      <c r="CC43" s="286"/>
      <c r="CD43" s="286"/>
      <c r="CE43" s="286"/>
      <c r="CF43" s="286"/>
      <c r="CG43" s="286"/>
      <c r="CH43" s="286"/>
      <c r="CI43" s="286"/>
      <c r="CJ43" s="286"/>
      <c r="CK43" s="286"/>
      <c r="CL43" s="286"/>
      <c r="CM43" s="286"/>
      <c r="CN43" s="286"/>
      <c r="CO43" s="286"/>
      <c r="CP43" s="286"/>
      <c r="CQ43" s="286"/>
      <c r="CR43" s="286"/>
      <c r="CS43" s="286"/>
      <c r="CT43" s="286"/>
      <c r="CU43" s="286"/>
      <c r="CV43" s="286"/>
      <c r="CW43" s="286"/>
      <c r="CX43" s="286"/>
      <c r="CY43" s="286"/>
      <c r="CZ43" s="286"/>
      <c r="DA43" s="286"/>
      <c r="DB43" s="286"/>
      <c r="DC43" s="286"/>
      <c r="DD43" s="286"/>
      <c r="DE43" s="286"/>
      <c r="DF43" s="286"/>
      <c r="DG43" s="286"/>
      <c r="DH43" s="286"/>
      <c r="DI43" s="286"/>
      <c r="DJ43" s="286"/>
      <c r="DK43" s="286"/>
      <c r="DL43" s="286"/>
      <c r="DM43" s="286"/>
      <c r="DN43" s="286"/>
      <c r="DO43" s="286"/>
      <c r="DP43" s="286"/>
      <c r="DQ43" s="286"/>
      <c r="DR43" s="286"/>
      <c r="DS43" s="286"/>
      <c r="DT43" s="286"/>
      <c r="DU43" s="286"/>
      <c r="DV43" s="286"/>
      <c r="DW43" s="286"/>
      <c r="DX43" s="286"/>
      <c r="DY43" s="286"/>
      <c r="DZ43" s="286"/>
      <c r="EA43" s="286"/>
      <c r="EB43" s="286"/>
      <c r="EC43" s="286"/>
      <c r="ED43" s="286"/>
      <c r="EE43" s="286"/>
      <c r="EF43" s="286"/>
      <c r="EG43" s="286"/>
      <c r="EH43" s="286"/>
      <c r="EI43" s="286"/>
      <c r="EJ43" s="286"/>
      <c r="EK43" s="286"/>
    </row>
    <row r="44">
      <c r="A44" s="286" t="str">
        <f>IFERROR(__xludf.DUMMYFUNCTION("""COMPUTED_VALUE"""),"USGLACT")</f>
        <v>USGLACT</v>
      </c>
      <c r="B44" s="286" t="str">
        <f>IFERROR(__xludf.DUMMYFUNCTION("""COMPUTED_VALUE"""),"USGL-ACCTS-ENTRY-KEY")</f>
        <v>USGL-ACCTS-ENTRY-KEY</v>
      </c>
      <c r="C44" s="286" t="str">
        <f>IFERROR(__xludf.DUMMYFUNCTION("""COMPUTED_VALUE"""),"ACCT-NBRGL")</f>
        <v>ACCT-NBRGL</v>
      </c>
      <c r="D44" s="286" t="str">
        <f>IFERROR(__xludf.DUMMYFUNCTION("""COMPUTED_VALUE"""),"ACCT-NBR-SUB")</f>
        <v>ACCT-NBR-SUB</v>
      </c>
      <c r="E44" s="286" t="str">
        <f>IFERROR(__xludf.DUMMYFUNCTION("""COMPUTED_VALUE"""),"ACCT-NBRDA")</f>
        <v>ACCT-NBRDA</v>
      </c>
      <c r="F44" s="286" t="str">
        <f>IFERROR(__xludf.DUMMYFUNCTION("""COMPUTED_VALUE"""),"ACCT-TITLE")</f>
        <v>ACCT-TITLE</v>
      </c>
      <c r="G44" s="286" t="str">
        <f>IFERROR(__xludf.DUMMYFUNCTION("""COMPUTED_VALUE"""),"BAL-CDE")</f>
        <v>BAL-CDE</v>
      </c>
      <c r="H44" s="286" t="str">
        <f>IFERROR(__xludf.DUMMYFUNCTION("""COMPUTED_VALUE"""),"LINE-NBR-CDE")</f>
        <v>LINE-NBR-CDE</v>
      </c>
      <c r="I44" s="286" t="str">
        <f>IFERROR(__xludf.DUMMYFUNCTION("""COMPUTED_VALUE"""),"PRFX-LINE-NBR")</f>
        <v>PRFX-LINE-NBR</v>
      </c>
      <c r="J44" s="286" t="str">
        <f>IFERROR(__xludf.DUMMYFUNCTION("""COMPUTED_VALUE"""),"SFX-LINE-NBR")</f>
        <v>SFX-LINE-NBR</v>
      </c>
      <c r="K44" s="286" t="str">
        <f>IFERROR(__xludf.DUMMYFUNCTION("""COMPUTED_VALUE"""),"SUB-SFX-LINE-NBR")</f>
        <v>SUB-SFX-LINE-NBR</v>
      </c>
      <c r="L44" s="286" t="str">
        <f>IFERROR(__xludf.DUMMYFUNCTION("""COMPUTED_VALUE"""),"DTE-LST-RGSTR-ACCT")</f>
        <v>DTE-LST-RGSTR-ACCT</v>
      </c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286"/>
      <c r="AI44" s="286"/>
      <c r="AJ44" s="286"/>
      <c r="AK44" s="286"/>
      <c r="AL44" s="286"/>
      <c r="AM44" s="286"/>
      <c r="AN44" s="286"/>
      <c r="AO44" s="286"/>
      <c r="AP44" s="286"/>
      <c r="AQ44" s="286"/>
      <c r="AR44" s="286"/>
      <c r="AS44" s="286"/>
      <c r="AT44" s="286"/>
      <c r="AU44" s="286"/>
      <c r="AV44" s="286"/>
      <c r="AW44" s="286"/>
      <c r="AX44" s="286"/>
      <c r="AY44" s="286"/>
      <c r="AZ44" s="286"/>
      <c r="BA44" s="286"/>
      <c r="BB44" s="286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6"/>
      <c r="BS44" s="286"/>
      <c r="BT44" s="286"/>
      <c r="BU44" s="286"/>
      <c r="BV44" s="286"/>
      <c r="BW44" s="286"/>
      <c r="BX44" s="286"/>
      <c r="BY44" s="286"/>
      <c r="BZ44" s="286"/>
      <c r="CA44" s="286"/>
      <c r="CB44" s="286"/>
      <c r="CC44" s="286"/>
      <c r="CD44" s="286"/>
      <c r="CE44" s="286"/>
      <c r="CF44" s="286"/>
      <c r="CG44" s="286"/>
      <c r="CH44" s="286"/>
      <c r="CI44" s="286"/>
      <c r="CJ44" s="286"/>
      <c r="CK44" s="286"/>
      <c r="CL44" s="286"/>
      <c r="CM44" s="286"/>
      <c r="CN44" s="286"/>
      <c r="CO44" s="286"/>
      <c r="CP44" s="286"/>
      <c r="CQ44" s="286"/>
      <c r="CR44" s="286"/>
      <c r="CS44" s="286"/>
      <c r="CT44" s="286"/>
      <c r="CU44" s="286"/>
      <c r="CV44" s="286"/>
      <c r="CW44" s="286"/>
      <c r="CX44" s="286"/>
      <c r="CY44" s="286"/>
      <c r="CZ44" s="286"/>
      <c r="DA44" s="286"/>
      <c r="DB44" s="286"/>
      <c r="DC44" s="286"/>
      <c r="DD44" s="286"/>
      <c r="DE44" s="286"/>
      <c r="DF44" s="286"/>
      <c r="DG44" s="286"/>
      <c r="DH44" s="286"/>
      <c r="DI44" s="286"/>
      <c r="DJ44" s="286"/>
      <c r="DK44" s="286"/>
      <c r="DL44" s="286"/>
      <c r="DM44" s="286"/>
      <c r="DN44" s="286"/>
      <c r="DO44" s="286"/>
      <c r="DP44" s="286"/>
      <c r="DQ44" s="286"/>
      <c r="DR44" s="286"/>
      <c r="DS44" s="286"/>
      <c r="DT44" s="286"/>
      <c r="DU44" s="286"/>
      <c r="DV44" s="286"/>
      <c r="DW44" s="286"/>
      <c r="DX44" s="286"/>
      <c r="DY44" s="286"/>
      <c r="DZ44" s="286"/>
      <c r="EA44" s="286"/>
      <c r="EB44" s="286"/>
      <c r="EC44" s="286"/>
      <c r="ED44" s="286"/>
      <c r="EE44" s="286"/>
      <c r="EF44" s="286"/>
      <c r="EG44" s="286"/>
      <c r="EH44" s="286"/>
      <c r="EI44" s="286"/>
      <c r="EJ44" s="286"/>
      <c r="EK44" s="286"/>
    </row>
    <row r="45">
      <c r="A45" s="54" t="str">
        <f>IFERROR(__xludf.DUMMYFUNCTION("""COMPUTED_VALUE"""),"LN-NBR")</f>
        <v>LN-NBR</v>
      </c>
      <c r="B45" s="54" t="str">
        <f>IFERROR(__xludf.DUMMYFUNCTION("""COMPUTED_VALUE"""),"FD-CDE-2")</f>
        <v>FD-CDE-2</v>
      </c>
      <c r="C45" s="286" t="str">
        <f>IFERROR(__xludf.DUMMYFUNCTION("""COMPUTED_VALUE"""),"FD-CDE-3RD")</f>
        <v>FD-CDE-3RD</v>
      </c>
      <c r="D45" s="286" t="str">
        <f>IFERROR(__xludf.DUMMYFUNCTION("""COMPUTED_VALUE"""),"FD-CDE-4TH")</f>
        <v>FD-CDE-4TH</v>
      </c>
      <c r="E45" s="286" t="str">
        <f>IFERROR(__xludf.DUMMYFUNCTION("""COMPUTED_VALUE"""),"KIND-CDE-LN")</f>
        <v>KIND-CDE-LN</v>
      </c>
      <c r="F45" s="286" t="str">
        <f>IFERROR(__xludf.DUMMYFUNCTION("""COMPUTED_VALUE"""),"INT-RATE-NOTE")</f>
        <v>INT-RATE-NOTE</v>
      </c>
      <c r="G45" s="55" t="str">
        <f>IFERROR(__xludf.DUMMYFUNCTION("""COMPUTED_VALUE"""),"INT-RATE-NOTE-1ST")</f>
        <v>INT-RATE-NOTE-1ST</v>
      </c>
      <c r="H45" s="286" t="str">
        <f>IFERROR(__xludf.DUMMYFUNCTION("""COMPUTED_VALUE"""),"PYMT-TYP-CDE")</f>
        <v>PYMT-TYP-CDE</v>
      </c>
      <c r="I45" s="286" t="str">
        <f>IFERROR(__xludf.DUMMYFUNCTION("""COMPUTED_VALUE"""),"DIR-PYMT-CDE")</f>
        <v>DIR-PYMT-CDE</v>
      </c>
      <c r="J45" s="286" t="str">
        <f>IFERROR(__xludf.DUMMYFUNCTION("""COMPUTED_VALUE"""),"DTE-AMORTN-EFCTV")</f>
        <v>DTE-AMORTN-EFCTV</v>
      </c>
      <c r="K45" s="286" t="str">
        <f>IFERROR(__xludf.DUMMYFUNCTION("""COMPUTED_VALUE"""),"DSTR-TYP-CDE")</f>
        <v>DSTR-TYP-CDE</v>
      </c>
      <c r="L45" s="286" t="str">
        <f>IFERROR(__xludf.DUMMYFUNCTION("""COMPUTED_VALUE"""),"FY-DSTR-DCLRD")</f>
        <v>FY-DSTR-DCLRD</v>
      </c>
      <c r="M45" s="286" t="str">
        <f>IFERROR(__xludf.DUMMYFUNCTION("""COMPUTED_VALUE"""),"DSTR-DCLRD-NBR")</f>
        <v>DSTR-DCLRD-NBR</v>
      </c>
      <c r="N45" s="286" t="str">
        <f>IFERROR(__xludf.DUMMYFUNCTION("""COMPUTED_VALUE"""),"MRG-CNTRL")</f>
        <v>MRG-CNTRL</v>
      </c>
      <c r="O45" s="286" t="str">
        <f>IFERROR(__xludf.DUMMYFUNCTION("""COMPUTED_VALUE"""),"DOCMT-TYP-CDE")</f>
        <v>DOCMT-TYP-CDE</v>
      </c>
      <c r="P45" s="286" t="str">
        <f>IFERROR(__xludf.DUMMYFUNCTION("""COMPUTED_VALUE"""),"DTE-OBLGN-LN")</f>
        <v>DTE-OBLGN-LN</v>
      </c>
      <c r="Q45" s="286" t="str">
        <f>IFERROR(__xludf.DUMMYFUNCTION("""COMPUTED_VALUE"""),"ASSTNC-TYP-CDE")</f>
        <v>ASSTNC-TYP-CDE</v>
      </c>
      <c r="R45" s="286" t="str">
        <f>IFERROR(__xludf.DUMMYFUNCTION("""COMPUTED_VALUE"""),"LN-AMT-OBLGN")</f>
        <v>LN-AMT-OBLGN</v>
      </c>
      <c r="S45" s="286" t="str">
        <f>IFERROR(__xludf.DUMMYFUNCTION("""COMPUTED_VALUE"""),"BEGNG-FRMR-RNCHR-CDE")</f>
        <v>BEGNG-FRMR-RNCHR-CDE</v>
      </c>
      <c r="T45" s="286" t="str">
        <f>IFERROR(__xludf.DUMMYFUNCTION("""COMPUTED_VALUE"""),"COLLTL-CDE")</f>
        <v>COLLTL-CDE</v>
      </c>
      <c r="U45" s="56" t="str">
        <f>IFERROR(__xludf.DUMMYFUNCTION("""COMPUTED_VALUE"""),"CPN-PROCG-DTE")</f>
        <v>CPN-PROCG-DTE</v>
      </c>
      <c r="V45" s="286" t="str">
        <f>IFERROR(__xludf.DUMMYFUNCTION("""COMPUTED_VALUE"""),"CASE-NBR-CHNG-CDE")</f>
        <v>CASE-NBR-CHNG-CDE</v>
      </c>
      <c r="W45" s="286" t="str">
        <f>IFERROR(__xludf.DUMMYFUNCTION("""COMPUTED_VALUE"""),"PYMT-ASSTNC-METH-CDE")</f>
        <v>PYMT-ASSTNC-METH-CDE</v>
      </c>
      <c r="X45" s="286" t="str">
        <f>IFERROR(__xludf.DUMMYFUNCTION("""COMPUTED_VALUE"""),"INT-RATE-PREV")</f>
        <v>INT-RATE-PREV</v>
      </c>
      <c r="Y45" s="286" t="str">
        <f>IFERROR(__xludf.DUMMYFUNCTION("""COMPUTED_VALUE"""),"INT-RATE-PREV-REDFND")</f>
        <v>INT-RATE-PREV-REDFND</v>
      </c>
      <c r="Z45" s="286"/>
      <c r="AA45" s="286"/>
      <c r="AB45" s="286"/>
      <c r="AC45" s="286"/>
      <c r="AD45" s="286"/>
      <c r="AE45" s="286"/>
      <c r="AF45" s="286"/>
      <c r="AG45" s="286"/>
      <c r="AH45" s="286"/>
      <c r="AI45" s="286"/>
      <c r="AJ45" s="286"/>
      <c r="AK45" s="286"/>
      <c r="AL45" s="286"/>
      <c r="AM45" s="286"/>
      <c r="AN45" s="286"/>
      <c r="AO45" s="286"/>
      <c r="AP45" s="286"/>
      <c r="AQ45" s="286"/>
      <c r="AR45" s="286"/>
      <c r="AS45" s="286"/>
      <c r="AT45" s="286"/>
      <c r="AU45" s="286"/>
      <c r="AV45" s="286"/>
      <c r="AW45" s="286"/>
      <c r="AX45" s="286"/>
      <c r="AY45" s="286"/>
      <c r="AZ45" s="286"/>
      <c r="BA45" s="286"/>
      <c r="BB45" s="286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6"/>
      <c r="BS45" s="286"/>
      <c r="BT45" s="286"/>
      <c r="BU45" s="286"/>
      <c r="BV45" s="286"/>
      <c r="BW45" s="286"/>
      <c r="BX45" s="286"/>
      <c r="BY45" s="286"/>
      <c r="BZ45" s="286"/>
      <c r="CA45" s="286"/>
      <c r="CB45" s="286"/>
      <c r="CC45" s="286"/>
      <c r="CD45" s="286"/>
      <c r="CE45" s="286"/>
      <c r="CF45" s="286"/>
      <c r="CG45" s="286"/>
      <c r="CH45" s="286"/>
      <c r="CI45" s="286"/>
      <c r="CJ45" s="286"/>
      <c r="CK45" s="286"/>
      <c r="CL45" s="286"/>
      <c r="CM45" s="286"/>
      <c r="CN45" s="286"/>
      <c r="CO45" s="286"/>
      <c r="CP45" s="286"/>
      <c r="CQ45" s="286"/>
      <c r="CR45" s="286"/>
      <c r="CS45" s="286"/>
      <c r="CT45" s="286"/>
      <c r="CU45" s="286"/>
      <c r="CV45" s="286"/>
      <c r="CW45" s="286"/>
      <c r="CX45" s="286"/>
      <c r="CY45" s="286"/>
      <c r="CZ45" s="286"/>
      <c r="DA45" s="286"/>
      <c r="DB45" s="286"/>
      <c r="DC45" s="286"/>
      <c r="DD45" s="286"/>
      <c r="DE45" s="286"/>
      <c r="DF45" s="286"/>
      <c r="DG45" s="286"/>
      <c r="DH45" s="286"/>
      <c r="DI45" s="286"/>
      <c r="DJ45" s="286"/>
      <c r="DK45" s="286"/>
      <c r="DL45" s="286"/>
      <c r="DM45" s="286"/>
      <c r="DN45" s="286"/>
      <c r="DO45" s="286"/>
      <c r="DP45" s="286"/>
      <c r="DQ45" s="286"/>
      <c r="DR45" s="286"/>
      <c r="DS45" s="286"/>
      <c r="DT45" s="286"/>
      <c r="DU45" s="286"/>
      <c r="DV45" s="286"/>
      <c r="DW45" s="286"/>
      <c r="DX45" s="286"/>
      <c r="DY45" s="286"/>
      <c r="DZ45" s="286"/>
      <c r="EA45" s="286"/>
      <c r="EB45" s="286"/>
      <c r="EC45" s="286"/>
      <c r="ED45" s="286"/>
      <c r="EE45" s="286"/>
      <c r="EF45" s="286"/>
      <c r="EG45" s="286"/>
      <c r="EH45" s="286"/>
      <c r="EI45" s="286"/>
      <c r="EJ45" s="286"/>
      <c r="EK45" s="286"/>
    </row>
    <row r="46">
      <c r="A46" s="286" t="str">
        <f>IFERROR(__xludf.DUMMYFUNCTION("""COMPUTED_VALUE"""),"ACCT")</f>
        <v>ACCT</v>
      </c>
      <c r="B46" s="286" t="str">
        <f>IFERROR(__xludf.DUMMYFUNCTION("""COMPUTED_VALUE"""),"SUB-ACCT")</f>
        <v>SUB-ACCT</v>
      </c>
      <c r="C46" s="54" t="str">
        <f>IFERROR(__xludf.DUMMYFUNCTION("""COMPUTED_VALUE"""),"OBJ-CLS")</f>
        <v>OBJ-CLS</v>
      </c>
      <c r="D46" s="286" t="str">
        <f>IFERROR(__xludf.DUMMYFUNCTION("""COMPUTED_VALUE"""),"AMT")</f>
        <v>AMT</v>
      </c>
      <c r="E46" s="286" t="str">
        <f>IFERROR(__xludf.DUMMYFUNCTION("""COMPUTED_VALUE"""),"DR-CR")</f>
        <v>DR-CR</v>
      </c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286"/>
      <c r="AI46" s="286"/>
      <c r="AJ46" s="286"/>
      <c r="AK46" s="286"/>
      <c r="AL46" s="286"/>
      <c r="AM46" s="286"/>
      <c r="AN46" s="286"/>
      <c r="AO46" s="286"/>
      <c r="AP46" s="286"/>
      <c r="AQ46" s="286"/>
      <c r="AR46" s="286"/>
      <c r="AS46" s="286"/>
      <c r="AT46" s="286"/>
      <c r="AU46" s="286"/>
      <c r="AV46" s="286"/>
      <c r="AW46" s="286"/>
      <c r="AX46" s="286"/>
      <c r="AY46" s="286"/>
      <c r="AZ46" s="286"/>
      <c r="BA46" s="286"/>
      <c r="BB46" s="286"/>
      <c r="BC46" s="286"/>
      <c r="BD46" s="286"/>
      <c r="BE46" s="286"/>
      <c r="BF46" s="286"/>
      <c r="BG46" s="286"/>
      <c r="BH46" s="286"/>
      <c r="BI46" s="286"/>
      <c r="BJ46" s="286"/>
      <c r="BK46" s="286"/>
      <c r="BL46" s="286"/>
      <c r="BM46" s="286"/>
      <c r="BN46" s="286"/>
      <c r="BO46" s="286"/>
      <c r="BP46" s="286"/>
      <c r="BQ46" s="286"/>
      <c r="BR46" s="286"/>
      <c r="BS46" s="286"/>
      <c r="BT46" s="286"/>
      <c r="BU46" s="286"/>
      <c r="BV46" s="286"/>
      <c r="BW46" s="286"/>
      <c r="BX46" s="286"/>
      <c r="BY46" s="286"/>
      <c r="BZ46" s="286"/>
      <c r="CA46" s="286"/>
      <c r="CB46" s="286"/>
      <c r="CC46" s="286"/>
      <c r="CD46" s="286"/>
      <c r="CE46" s="286"/>
      <c r="CF46" s="286"/>
      <c r="CG46" s="286"/>
      <c r="CH46" s="286"/>
      <c r="CI46" s="286"/>
      <c r="CJ46" s="286"/>
      <c r="CK46" s="286"/>
      <c r="CL46" s="286"/>
      <c r="CM46" s="286"/>
      <c r="CN46" s="286"/>
      <c r="CO46" s="286"/>
      <c r="CP46" s="286"/>
      <c r="CQ46" s="286"/>
      <c r="CR46" s="286"/>
      <c r="CS46" s="286"/>
      <c r="CT46" s="286"/>
      <c r="CU46" s="286"/>
      <c r="CV46" s="286"/>
      <c r="CW46" s="286"/>
      <c r="CX46" s="286"/>
      <c r="CY46" s="286"/>
      <c r="CZ46" s="286"/>
      <c r="DA46" s="286"/>
      <c r="DB46" s="286"/>
      <c r="DC46" s="286"/>
      <c r="DD46" s="286"/>
      <c r="DE46" s="286"/>
      <c r="DF46" s="286"/>
      <c r="DG46" s="286"/>
      <c r="DH46" s="286"/>
      <c r="DI46" s="286"/>
      <c r="DJ46" s="286"/>
      <c r="DK46" s="286"/>
      <c r="DL46" s="286"/>
      <c r="DM46" s="286"/>
      <c r="DN46" s="286"/>
      <c r="DO46" s="286"/>
      <c r="DP46" s="286"/>
      <c r="DQ46" s="286"/>
      <c r="DR46" s="286"/>
      <c r="DS46" s="286"/>
      <c r="DT46" s="286"/>
      <c r="DU46" s="286"/>
      <c r="DV46" s="286"/>
      <c r="DW46" s="286"/>
      <c r="DX46" s="286"/>
      <c r="DY46" s="286"/>
      <c r="DZ46" s="286"/>
      <c r="EA46" s="286"/>
      <c r="EB46" s="286"/>
      <c r="EC46" s="286"/>
      <c r="ED46" s="286"/>
      <c r="EE46" s="286"/>
      <c r="EF46" s="286"/>
      <c r="EG46" s="286"/>
      <c r="EH46" s="286"/>
      <c r="EI46" s="286"/>
      <c r="EJ46" s="286"/>
      <c r="EK46" s="286"/>
    </row>
    <row r="48">
      <c r="A48" s="289" t="str">
        <f t="shared" ref="A48:M48" si="1">COUNTIF_CUSTOM(A1:EK23, A26)</f>
        <v>#NAME?</v>
      </c>
      <c r="B48" s="289" t="str">
        <f t="shared" si="1"/>
        <v>#NAME?</v>
      </c>
      <c r="C48" s="289" t="str">
        <f t="shared" si="1"/>
        <v>#NAME?</v>
      </c>
      <c r="D48" s="289" t="str">
        <f t="shared" si="1"/>
        <v>#NAME?</v>
      </c>
      <c r="E48" s="289" t="str">
        <f t="shared" si="1"/>
        <v>#NAME?</v>
      </c>
      <c r="F48" s="289" t="str">
        <f t="shared" si="1"/>
        <v>#NAME?</v>
      </c>
      <c r="G48" s="289" t="str">
        <f t="shared" si="1"/>
        <v>#NAME?</v>
      </c>
      <c r="H48" s="289" t="str">
        <f t="shared" si="1"/>
        <v>#NAME?</v>
      </c>
      <c r="I48" s="289" t="str">
        <f t="shared" si="1"/>
        <v>#NAME?</v>
      </c>
      <c r="J48" s="289" t="str">
        <f t="shared" si="1"/>
        <v>#NAME?</v>
      </c>
      <c r="K48" s="289" t="str">
        <f t="shared" si="1"/>
        <v>#NAME?</v>
      </c>
      <c r="L48" s="289" t="str">
        <f t="shared" si="1"/>
        <v>#NAME?</v>
      </c>
      <c r="M48" s="289" t="str">
        <f t="shared" si="1"/>
        <v>#NAME?</v>
      </c>
      <c r="N48" s="285" t="str">
        <f>textjoin(": ", 1, N26,COUNTIF($A$1:$EK$23, N26))</f>
        <v>ENTY-CNTCT-LST-NME: 1</v>
      </c>
    </row>
    <row r="49">
      <c r="A49" s="289" t="str">
        <f t="shared" ref="A49:J49" si="2">COUNTIF_CUSTOM(A2:EK24, A27)</f>
        <v>#NAME?</v>
      </c>
      <c r="B49" s="289" t="str">
        <f t="shared" si="2"/>
        <v>#NAME?</v>
      </c>
      <c r="C49" s="289" t="str">
        <f t="shared" si="2"/>
        <v>#NAME?</v>
      </c>
      <c r="D49" s="289" t="str">
        <f t="shared" si="2"/>
        <v>#NAME?</v>
      </c>
      <c r="E49" s="289" t="str">
        <f t="shared" si="2"/>
        <v>#NAME?</v>
      </c>
      <c r="F49" s="289" t="str">
        <f t="shared" si="2"/>
        <v>#NAME?</v>
      </c>
      <c r="G49" s="289" t="str">
        <f t="shared" si="2"/>
        <v>#NAME?</v>
      </c>
      <c r="H49" s="289" t="str">
        <f t="shared" si="2"/>
        <v>#NAME?</v>
      </c>
      <c r="I49" s="289" t="str">
        <f t="shared" si="2"/>
        <v>#NAME?</v>
      </c>
      <c r="J49" s="289" t="str">
        <f t="shared" si="2"/>
        <v>#NAME?</v>
      </c>
      <c r="K49" s="285" t="str">
        <f t="shared" ref="K49:L49" si="3">textjoin(": ", 1, COUNTIF($A$1:$EK$23, K27), K27)</f>
        <v>0</v>
      </c>
      <c r="L49" s="285" t="str">
        <f t="shared" si="3"/>
        <v>0</v>
      </c>
    </row>
    <row r="50">
      <c r="A50" s="289" t="str">
        <f t="shared" ref="A50:J50" si="4">COUNTIF_CUSTOM(A3:EK25, A28)</f>
        <v>#NAME?</v>
      </c>
      <c r="B50" s="289" t="str">
        <f t="shared" si="4"/>
        <v>#NAME?</v>
      </c>
      <c r="C50" s="289" t="str">
        <f t="shared" si="4"/>
        <v>#NAME?</v>
      </c>
      <c r="D50" s="289" t="str">
        <f t="shared" si="4"/>
        <v>#NAME?</v>
      </c>
      <c r="E50" s="289" t="str">
        <f t="shared" si="4"/>
        <v>#NAME?</v>
      </c>
      <c r="F50" s="289" t="str">
        <f t="shared" si="4"/>
        <v>#NAME?</v>
      </c>
      <c r="G50" s="289" t="str">
        <f t="shared" si="4"/>
        <v>#NAME?</v>
      </c>
      <c r="H50" s="289" t="str">
        <f t="shared" si="4"/>
        <v>#NAME?</v>
      </c>
      <c r="I50" s="289" t="str">
        <f t="shared" si="4"/>
        <v>#NAME?</v>
      </c>
      <c r="J50" s="289" t="str">
        <f t="shared" si="4"/>
        <v>#NAME?</v>
      </c>
      <c r="K50" s="285" t="str">
        <f t="shared" ref="K50:L50" si="5">textjoin(": ", 1, COUNTIF($A$1:$EK$23, K28), K28)</f>
        <v>0</v>
      </c>
      <c r="L50" s="285" t="str">
        <f t="shared" si="5"/>
        <v>0</v>
      </c>
    </row>
    <row r="51">
      <c r="A51" s="289" t="str">
        <f t="shared" ref="A51:J51" si="6">COUNTIF_CUSTOM(A4:EK26, A29)</f>
        <v>#NAME?</v>
      </c>
      <c r="B51" s="289" t="str">
        <f t="shared" si="6"/>
        <v>#NAME?</v>
      </c>
      <c r="C51" s="289" t="str">
        <f t="shared" si="6"/>
        <v>#NAME?</v>
      </c>
      <c r="D51" s="289" t="str">
        <f t="shared" si="6"/>
        <v>#NAME?</v>
      </c>
      <c r="E51" s="289" t="str">
        <f t="shared" si="6"/>
        <v>#NAME?</v>
      </c>
      <c r="F51" s="289" t="str">
        <f t="shared" si="6"/>
        <v>#NAME?</v>
      </c>
      <c r="G51" s="289" t="str">
        <f t="shared" si="6"/>
        <v>#NAME?</v>
      </c>
      <c r="H51" s="289" t="str">
        <f t="shared" si="6"/>
        <v>#NAME?</v>
      </c>
      <c r="I51" s="289" t="str">
        <f t="shared" si="6"/>
        <v>#NAME?</v>
      </c>
      <c r="J51" s="289" t="str">
        <f t="shared" si="6"/>
        <v>#NAME?</v>
      </c>
      <c r="K51" s="285" t="str">
        <f t="shared" ref="K51:L51" si="7">textjoin(": ", 1, COUNTIF($A$1:$EK$23, K29), K29)</f>
        <v>1: DST-SPECL-LVL</v>
      </c>
      <c r="L51" s="285" t="str">
        <f t="shared" si="7"/>
        <v>1: ST-SPECL-LVL</v>
      </c>
    </row>
    <row r="52">
      <c r="A52" s="289" t="str">
        <f t="shared" ref="A52:J52" si="8">COUNTIF_CUSTOM(A5:EK27, A30)</f>
        <v>#NAME?</v>
      </c>
      <c r="B52" s="289" t="str">
        <f t="shared" si="8"/>
        <v>#NAME?</v>
      </c>
      <c r="C52" s="289" t="str">
        <f t="shared" si="8"/>
        <v>#NAME?</v>
      </c>
      <c r="D52" s="289" t="str">
        <f t="shared" si="8"/>
        <v>#NAME?</v>
      </c>
      <c r="E52" s="289" t="str">
        <f t="shared" si="8"/>
        <v>#NAME?</v>
      </c>
      <c r="F52" s="289" t="str">
        <f t="shared" si="8"/>
        <v>#NAME?</v>
      </c>
      <c r="G52" s="289" t="str">
        <f t="shared" si="8"/>
        <v>#NAME?</v>
      </c>
      <c r="H52" s="289" t="str">
        <f t="shared" si="8"/>
        <v>#NAME?</v>
      </c>
      <c r="I52" s="289" t="str">
        <f t="shared" si="8"/>
        <v>#NAME?</v>
      </c>
      <c r="J52" s="289" t="str">
        <f t="shared" si="8"/>
        <v>#NAME?</v>
      </c>
      <c r="K52" s="285" t="str">
        <f t="shared" ref="K52:L52" si="9">textjoin(": ", 1, COUNTIF($A$1:$EK$23, K30), K30)</f>
        <v>4: ID-NBR-OBLR</v>
      </c>
      <c r="L52" s="285" t="str">
        <f t="shared" si="9"/>
        <v>3: LN-NBR</v>
      </c>
    </row>
    <row r="53">
      <c r="A53" s="289" t="str">
        <f t="shared" ref="A53:J53" si="10">COUNTIF_CUSTOM(A6:EK28, A31)</f>
        <v>#NAME?</v>
      </c>
      <c r="B53" s="289" t="str">
        <f t="shared" si="10"/>
        <v>#NAME?</v>
      </c>
      <c r="C53" s="289" t="str">
        <f t="shared" si="10"/>
        <v>#NAME?</v>
      </c>
      <c r="D53" s="289" t="str">
        <f t="shared" si="10"/>
        <v>#NAME?</v>
      </c>
      <c r="E53" s="289" t="str">
        <f t="shared" si="10"/>
        <v>#NAME?</v>
      </c>
      <c r="F53" s="289" t="str">
        <f t="shared" si="10"/>
        <v>#NAME?</v>
      </c>
      <c r="G53" s="289" t="str">
        <f t="shared" si="10"/>
        <v>#NAME?</v>
      </c>
      <c r="H53" s="289" t="str">
        <f t="shared" si="10"/>
        <v>#NAME?</v>
      </c>
      <c r="I53" s="289" t="str">
        <f t="shared" si="10"/>
        <v>#NAME?</v>
      </c>
      <c r="J53" s="289" t="str">
        <f t="shared" si="10"/>
        <v>#NAME?</v>
      </c>
      <c r="K53" s="285" t="str">
        <f t="shared" ref="K53:L53" si="11">textjoin(": ", 1, COUNTIF($A$1:$EK$23, K31), K31)</f>
        <v>1: ST-MAILG-LVL-CLIENT</v>
      </c>
      <c r="L53" s="285" t="str">
        <f t="shared" si="11"/>
        <v>1: DST-MAILG-LVL-CLIENT</v>
      </c>
    </row>
    <row r="54">
      <c r="A54" s="289" t="str">
        <f t="shared" ref="A54:J54" si="12">COUNTIF_CUSTOM(A7:EK29, A32)</f>
        <v>#NAME?</v>
      </c>
      <c r="B54" s="289" t="str">
        <f t="shared" si="12"/>
        <v>#NAME?</v>
      </c>
      <c r="C54" s="289" t="str">
        <f t="shared" si="12"/>
        <v>#NAME?</v>
      </c>
      <c r="D54" s="289" t="str">
        <f t="shared" si="12"/>
        <v>#NAME?</v>
      </c>
      <c r="E54" s="289" t="str">
        <f t="shared" si="12"/>
        <v>#NAME?</v>
      </c>
      <c r="F54" s="289" t="str">
        <f t="shared" si="12"/>
        <v>#NAME?</v>
      </c>
      <c r="G54" s="289" t="str">
        <f t="shared" si="12"/>
        <v>#NAME?</v>
      </c>
      <c r="H54" s="289" t="str">
        <f t="shared" si="12"/>
        <v>#NAME?</v>
      </c>
      <c r="I54" s="289" t="str">
        <f t="shared" si="12"/>
        <v>#NAME?</v>
      </c>
      <c r="J54" s="289" t="str">
        <f t="shared" si="12"/>
        <v>#NAME?</v>
      </c>
      <c r="K54" s="285" t="str">
        <f t="shared" ref="K54:L54" si="13">textjoin(": ", 1, COUNTIF($A$1:$EK$23, K32), K32)</f>
        <v>0</v>
      </c>
      <c r="L54" s="285" t="str">
        <f t="shared" si="13"/>
        <v>0</v>
      </c>
    </row>
    <row r="55">
      <c r="A55" s="289" t="str">
        <f t="shared" ref="A55:J55" si="14">COUNTIF_CUSTOM(A8:EK30, A33)</f>
        <v>#NAME?</v>
      </c>
      <c r="B55" s="289" t="str">
        <f t="shared" si="14"/>
        <v>#NAME?</v>
      </c>
      <c r="C55" s="289" t="str">
        <f t="shared" si="14"/>
        <v>#NAME?</v>
      </c>
      <c r="D55" s="289" t="str">
        <f t="shared" si="14"/>
        <v>#NAME?</v>
      </c>
      <c r="E55" s="289" t="str">
        <f t="shared" si="14"/>
        <v>#NAME?</v>
      </c>
      <c r="F55" s="289" t="str">
        <f t="shared" si="14"/>
        <v>#NAME?</v>
      </c>
      <c r="G55" s="289" t="str">
        <f t="shared" si="14"/>
        <v>#NAME?</v>
      </c>
      <c r="H55" s="289" t="str">
        <f t="shared" si="14"/>
        <v>#NAME?</v>
      </c>
      <c r="I55" s="289" t="str">
        <f t="shared" si="14"/>
        <v>#NAME?</v>
      </c>
      <c r="J55" s="289" t="str">
        <f t="shared" si="14"/>
        <v>#NAME?</v>
      </c>
      <c r="K55" s="285" t="str">
        <f t="shared" ref="K55:L55" si="15">textjoin(": ", 1, COUNTIF($A$1:$EK$23, K33), K33)</f>
        <v>0</v>
      </c>
      <c r="L55" s="285" t="str">
        <f t="shared" si="15"/>
        <v>0</v>
      </c>
    </row>
    <row r="56">
      <c r="A56" s="289" t="str">
        <f t="shared" ref="A56:J56" si="16">COUNTIF_CUSTOM(A9:EK31, A34)</f>
        <v>#NAME?</v>
      </c>
      <c r="B56" s="289" t="str">
        <f t="shared" si="16"/>
        <v>#NAME?</v>
      </c>
      <c r="C56" s="289" t="str">
        <f t="shared" si="16"/>
        <v>#NAME?</v>
      </c>
      <c r="D56" s="289" t="str">
        <f t="shared" si="16"/>
        <v>#NAME?</v>
      </c>
      <c r="E56" s="289" t="str">
        <f t="shared" si="16"/>
        <v>#NAME?</v>
      </c>
      <c r="F56" s="289" t="str">
        <f t="shared" si="16"/>
        <v>#NAME?</v>
      </c>
      <c r="G56" s="289" t="str">
        <f t="shared" si="16"/>
        <v>#NAME?</v>
      </c>
      <c r="H56" s="289" t="str">
        <f t="shared" si="16"/>
        <v>#NAME?</v>
      </c>
      <c r="I56" s="289" t="str">
        <f t="shared" si="16"/>
        <v>#NAME?</v>
      </c>
      <c r="J56" s="289" t="str">
        <f t="shared" si="16"/>
        <v>#NAME?</v>
      </c>
      <c r="K56" s="285" t="str">
        <f t="shared" ref="K56:L56" si="17">textjoin(": ", 1, COUNTIF($A$1:$EK$23, K34), K34)</f>
        <v>1: APRTNMT-TYP</v>
      </c>
      <c r="L56" s="285" t="str">
        <f t="shared" si="17"/>
        <v>1: ALTMT-TYP</v>
      </c>
    </row>
    <row r="57">
      <c r="A57" s="289" t="str">
        <f t="shared" ref="A57:J57" si="18">COUNTIF_CUSTOM(A10:EK32, A35)</f>
        <v>#NAME?</v>
      </c>
      <c r="B57" s="289" t="str">
        <f t="shared" si="18"/>
        <v>#NAME?</v>
      </c>
      <c r="C57" s="289" t="str">
        <f t="shared" si="18"/>
        <v>#NAME?</v>
      </c>
      <c r="D57" s="289" t="str">
        <f t="shared" si="18"/>
        <v>#NAME?</v>
      </c>
      <c r="E57" s="289" t="str">
        <f t="shared" si="18"/>
        <v>#NAME?</v>
      </c>
      <c r="F57" s="289" t="str">
        <f t="shared" si="18"/>
        <v>#NAME?</v>
      </c>
      <c r="G57" s="289" t="str">
        <f t="shared" si="18"/>
        <v>#NAME?</v>
      </c>
      <c r="H57" s="289" t="str">
        <f t="shared" si="18"/>
        <v>#NAME?</v>
      </c>
      <c r="I57" s="289" t="str">
        <f t="shared" si="18"/>
        <v>#NAME?</v>
      </c>
      <c r="J57" s="289" t="str">
        <f t="shared" si="18"/>
        <v>#NAME?</v>
      </c>
      <c r="K57" s="285" t="str">
        <f t="shared" ref="K57:L57" si="19">textjoin(": ", 1, COUNTIF($A$1:$EK$23, K35), K35)</f>
        <v>1: PRIN-PYMT-ON-OTH-FRM-MORT</v>
      </c>
      <c r="L57" s="285" t="str">
        <f t="shared" si="19"/>
        <v>1: MORTS-FRM-ACQD-FRCL-CNT</v>
      </c>
    </row>
    <row r="58">
      <c r="A58" s="289" t="str">
        <f t="shared" ref="A58:J58" si="20">COUNTIF_CUSTOM(A11:EK33, A36)</f>
        <v>#NAME?</v>
      </c>
      <c r="B58" s="289" t="str">
        <f t="shared" si="20"/>
        <v>#NAME?</v>
      </c>
      <c r="C58" s="289" t="str">
        <f t="shared" si="20"/>
        <v>#NAME?</v>
      </c>
      <c r="D58" s="289" t="str">
        <f t="shared" si="20"/>
        <v>#NAME?</v>
      </c>
      <c r="E58" s="289" t="str">
        <f t="shared" si="20"/>
        <v>#NAME?</v>
      </c>
      <c r="F58" s="289" t="str">
        <f t="shared" si="20"/>
        <v>#NAME?</v>
      </c>
      <c r="G58" s="289" t="str">
        <f t="shared" si="20"/>
        <v>#NAME?</v>
      </c>
      <c r="H58" s="289" t="str">
        <f t="shared" si="20"/>
        <v>#NAME?</v>
      </c>
      <c r="I58" s="289" t="str">
        <f t="shared" si="20"/>
        <v>#NAME?</v>
      </c>
      <c r="J58" s="289" t="str">
        <f t="shared" si="20"/>
        <v>#NAME?</v>
      </c>
      <c r="K58" s="285" t="str">
        <f t="shared" ref="K58:L58" si="21">textjoin(": ", 1, COUNTIF($A$1:$EK$23, K36), K36)</f>
        <v>0</v>
      </c>
      <c r="L58" s="285" t="str">
        <f t="shared" si="21"/>
        <v>0</v>
      </c>
    </row>
    <row r="59">
      <c r="A59" s="289" t="str">
        <f t="shared" ref="A59:J59" si="22">COUNTIF_CUSTOM(A12:EK34, A37)</f>
        <v>#NAME?</v>
      </c>
      <c r="B59" s="289" t="str">
        <f t="shared" si="22"/>
        <v>#NAME?</v>
      </c>
      <c r="C59" s="289" t="str">
        <f t="shared" si="22"/>
        <v>#NAME?</v>
      </c>
      <c r="D59" s="289" t="str">
        <f t="shared" si="22"/>
        <v>#NAME?</v>
      </c>
      <c r="E59" s="289" t="str">
        <f t="shared" si="22"/>
        <v>#NAME?</v>
      </c>
      <c r="F59" s="289" t="str">
        <f t="shared" si="22"/>
        <v>#NAME?</v>
      </c>
      <c r="G59" s="289" t="str">
        <f t="shared" si="22"/>
        <v>#NAME?</v>
      </c>
      <c r="H59" s="289" t="str">
        <f t="shared" si="22"/>
        <v>#NAME?</v>
      </c>
      <c r="I59" s="289" t="str">
        <f t="shared" si="22"/>
        <v>#NAME?</v>
      </c>
      <c r="J59" s="289" t="str">
        <f t="shared" si="22"/>
        <v>#NAME?</v>
      </c>
      <c r="K59" s="285" t="str">
        <f t="shared" ref="K59:L59" si="23">textjoin(": ", 1, COUNTIF($A$1:$EK$23, K37), K37)</f>
        <v>5: DTE-LST-RGSTR-ACCT</v>
      </c>
      <c r="L59" s="285" t="str">
        <f t="shared" si="23"/>
        <v>0</v>
      </c>
    </row>
    <row r="60">
      <c r="A60" s="289" t="str">
        <f t="shared" ref="A60:J60" si="24">COUNTIF_CUSTOM(A13:EK35, A38)</f>
        <v>#NAME?</v>
      </c>
      <c r="B60" s="289" t="str">
        <f t="shared" si="24"/>
        <v>#NAME?</v>
      </c>
      <c r="C60" s="289" t="str">
        <f t="shared" si="24"/>
        <v>#NAME?</v>
      </c>
      <c r="D60" s="289" t="str">
        <f t="shared" si="24"/>
        <v>#NAME?</v>
      </c>
      <c r="E60" s="289" t="str">
        <f t="shared" si="24"/>
        <v>#NAME?</v>
      </c>
      <c r="F60" s="289" t="str">
        <f t="shared" si="24"/>
        <v>#NAME?</v>
      </c>
      <c r="G60" s="289" t="str">
        <f t="shared" si="24"/>
        <v>#NAME?</v>
      </c>
      <c r="H60" s="289" t="str">
        <f t="shared" si="24"/>
        <v>#NAME?</v>
      </c>
      <c r="I60" s="289" t="str">
        <f t="shared" si="24"/>
        <v>#NAME?</v>
      </c>
      <c r="J60" s="289" t="str">
        <f t="shared" si="24"/>
        <v>#NAME?</v>
      </c>
      <c r="K60" s="285" t="str">
        <f t="shared" ref="K60:L60" si="25">textjoin(": ", 1, COUNTIF($A$1:$EK$23, K38), K38)</f>
        <v>2: CLSG-ENTRIES</v>
      </c>
      <c r="L60" s="285" t="str">
        <f t="shared" si="25"/>
        <v>2: CUR-MO-PR-YR-ACTV</v>
      </c>
    </row>
    <row r="61">
      <c r="A61" s="289" t="str">
        <f t="shared" ref="A61:J61" si="26">COUNTIF_CUSTOM(A14:EK36, A39)</f>
        <v>#NAME?</v>
      </c>
      <c r="B61" s="289" t="str">
        <f t="shared" si="26"/>
        <v>#NAME?</v>
      </c>
      <c r="C61" s="289" t="str">
        <f t="shared" si="26"/>
        <v>#NAME?</v>
      </c>
      <c r="D61" s="289" t="str">
        <f t="shared" si="26"/>
        <v>#NAME?</v>
      </c>
      <c r="E61" s="289" t="str">
        <f t="shared" si="26"/>
        <v>#NAME?</v>
      </c>
      <c r="F61" s="289" t="str">
        <f t="shared" si="26"/>
        <v>#NAME?</v>
      </c>
      <c r="G61" s="289" t="str">
        <f t="shared" si="26"/>
        <v>#NAME?</v>
      </c>
      <c r="H61" s="289" t="str">
        <f t="shared" si="26"/>
        <v>#NAME?</v>
      </c>
      <c r="I61" s="289" t="str">
        <f t="shared" si="26"/>
        <v>#NAME?</v>
      </c>
      <c r="J61" s="289" t="str">
        <f t="shared" si="26"/>
        <v>#NAME?</v>
      </c>
      <c r="K61" s="285" t="str">
        <f t="shared" ref="K61:L61" si="27">textjoin(": ", 1, COUNTIF($A$1:$EK$23, K39), K39)</f>
        <v>0</v>
      </c>
      <c r="L61" s="285" t="str">
        <f t="shared" si="27"/>
        <v>0</v>
      </c>
    </row>
    <row r="62">
      <c r="A62" s="289" t="str">
        <f t="shared" ref="A62:J62" si="28">COUNTIF_CUSTOM(A15:EK37, A40)</f>
        <v>#NAME?</v>
      </c>
      <c r="B62" s="289" t="str">
        <f t="shared" si="28"/>
        <v>#NAME?</v>
      </c>
      <c r="C62" s="289" t="str">
        <f t="shared" si="28"/>
        <v>#NAME?</v>
      </c>
      <c r="D62" s="289" t="str">
        <f t="shared" si="28"/>
        <v>#NAME?</v>
      </c>
      <c r="E62" s="289" t="str">
        <f t="shared" si="28"/>
        <v>#NAME?</v>
      </c>
      <c r="F62" s="289" t="str">
        <f t="shared" si="28"/>
        <v>#NAME?</v>
      </c>
      <c r="G62" s="289" t="str">
        <f t="shared" si="28"/>
        <v>#NAME?</v>
      </c>
      <c r="H62" s="289" t="str">
        <f t="shared" si="28"/>
        <v>#NAME?</v>
      </c>
      <c r="I62" s="289" t="str">
        <f t="shared" si="28"/>
        <v>#NAME?</v>
      </c>
      <c r="J62" s="289" t="str">
        <f t="shared" si="28"/>
        <v>#NAME?</v>
      </c>
      <c r="K62" s="285" t="str">
        <f t="shared" ref="K62:L62" si="29">textjoin(": ", 1, COUNTIF($A$1:$EK$23, K40), K40)</f>
        <v>2: USER-INITS</v>
      </c>
      <c r="L62" s="285" t="str">
        <f t="shared" si="29"/>
        <v>0</v>
      </c>
    </row>
    <row r="63">
      <c r="A63" s="289" t="str">
        <f t="shared" ref="A63:J63" si="30">COUNTIF_CUSTOM(A16:EK38, A41)</f>
        <v>#NAME?</v>
      </c>
      <c r="B63" s="289" t="str">
        <f t="shared" si="30"/>
        <v>#NAME?</v>
      </c>
      <c r="C63" s="289" t="str">
        <f t="shared" si="30"/>
        <v>#NAME?</v>
      </c>
      <c r="D63" s="289" t="str">
        <f t="shared" si="30"/>
        <v>#NAME?</v>
      </c>
      <c r="E63" s="289" t="str">
        <f t="shared" si="30"/>
        <v>#NAME?</v>
      </c>
      <c r="F63" s="289" t="str">
        <f t="shared" si="30"/>
        <v>#NAME?</v>
      </c>
      <c r="G63" s="289" t="str">
        <f t="shared" si="30"/>
        <v>#NAME?</v>
      </c>
      <c r="H63" s="289" t="str">
        <f t="shared" si="30"/>
        <v>#NAME?</v>
      </c>
      <c r="I63" s="289" t="str">
        <f t="shared" si="30"/>
        <v>#NAME?</v>
      </c>
      <c r="J63" s="289" t="str">
        <f t="shared" si="30"/>
        <v>#NAME?</v>
      </c>
      <c r="K63" s="285" t="str">
        <f t="shared" ref="K63:L63" si="31">textjoin(": ", 1, COUNTIF($A$1:$EK$23, K41), K41)</f>
        <v>1: PURP-CDE-1</v>
      </c>
      <c r="L63" s="285" t="str">
        <f t="shared" si="31"/>
        <v>2: DR-AMT-INDIV-GL-ACCTS</v>
      </c>
    </row>
    <row r="64">
      <c r="A64" s="289" t="str">
        <f t="shared" ref="A64:J64" si="32">COUNTIF_CUSTOM(A17:EK39, A42)</f>
        <v>#NAME?</v>
      </c>
      <c r="B64" s="289" t="str">
        <f t="shared" si="32"/>
        <v>#NAME?</v>
      </c>
      <c r="C64" s="289" t="str">
        <f t="shared" si="32"/>
        <v>#NAME?</v>
      </c>
      <c r="D64" s="289" t="str">
        <f t="shared" si="32"/>
        <v>#NAME?</v>
      </c>
      <c r="E64" s="289" t="str">
        <f t="shared" si="32"/>
        <v>#NAME?</v>
      </c>
      <c r="F64" s="289" t="str">
        <f t="shared" si="32"/>
        <v>#NAME?</v>
      </c>
      <c r="G64" s="289" t="str">
        <f t="shared" si="32"/>
        <v>#NAME?</v>
      </c>
      <c r="H64" s="289" t="str">
        <f t="shared" si="32"/>
        <v>#NAME?</v>
      </c>
      <c r="I64" s="289" t="str">
        <f t="shared" si="32"/>
        <v>#NAME?</v>
      </c>
      <c r="J64" s="289" t="str">
        <f t="shared" si="32"/>
        <v>#NAME?</v>
      </c>
      <c r="K64" s="285" t="str">
        <f t="shared" ref="K64:L64" si="33">textjoin(": ", 1, COUNTIF($A$1:$EK$23, K42), K42)</f>
        <v>1: PURP-CDE</v>
      </c>
      <c r="L64" s="285" t="str">
        <f t="shared" si="33"/>
        <v>1: TRNSCTN-CDE-UPDTE</v>
      </c>
    </row>
    <row r="65">
      <c r="A65" s="289" t="str">
        <f t="shared" ref="A65:J65" si="34">COUNTIF_CUSTOM(A18:EK40, A43)</f>
        <v>#NAME?</v>
      </c>
      <c r="B65" s="289" t="str">
        <f t="shared" si="34"/>
        <v>#NAME?</v>
      </c>
      <c r="C65" s="289" t="str">
        <f t="shared" si="34"/>
        <v>#NAME?</v>
      </c>
      <c r="D65" s="289" t="str">
        <f t="shared" si="34"/>
        <v>#NAME?</v>
      </c>
      <c r="E65" s="289" t="str">
        <f t="shared" si="34"/>
        <v>#NAME?</v>
      </c>
      <c r="F65" s="289" t="str">
        <f t="shared" si="34"/>
        <v>#NAME?</v>
      </c>
      <c r="G65" s="289" t="str">
        <f t="shared" si="34"/>
        <v>#NAME?</v>
      </c>
      <c r="H65" s="289" t="str">
        <f t="shared" si="34"/>
        <v>#NAME?</v>
      </c>
      <c r="I65" s="289" t="str">
        <f t="shared" si="34"/>
        <v>#NAME?</v>
      </c>
      <c r="J65" s="289" t="str">
        <f t="shared" si="34"/>
        <v>#NAME?</v>
      </c>
      <c r="K65" s="285" t="str">
        <f t="shared" ref="K65:L65" si="35">textjoin(": ", 1, COUNTIF($A$1:$EK$23, K43), K43)</f>
        <v>3: FD-CDE-3RD</v>
      </c>
      <c r="L65" s="285" t="str">
        <f t="shared" si="35"/>
        <v>3: FD-CDE-4TH</v>
      </c>
    </row>
    <row r="66">
      <c r="A66" s="289" t="str">
        <f t="shared" ref="A66:J66" si="36">COUNTIF_CUSTOM(A19:EK41, A44)</f>
        <v>#NAME?</v>
      </c>
      <c r="B66" s="289" t="str">
        <f t="shared" si="36"/>
        <v>#NAME?</v>
      </c>
      <c r="C66" s="289" t="str">
        <f t="shared" si="36"/>
        <v>#NAME?</v>
      </c>
      <c r="D66" s="289" t="str">
        <f t="shared" si="36"/>
        <v>#NAME?</v>
      </c>
      <c r="E66" s="289" t="str">
        <f t="shared" si="36"/>
        <v>#NAME?</v>
      </c>
      <c r="F66" s="289" t="str">
        <f t="shared" si="36"/>
        <v>#NAME?</v>
      </c>
      <c r="G66" s="289" t="str">
        <f t="shared" si="36"/>
        <v>#NAME?</v>
      </c>
      <c r="H66" s="289" t="str">
        <f t="shared" si="36"/>
        <v>#NAME?</v>
      </c>
      <c r="I66" s="289" t="str">
        <f t="shared" si="36"/>
        <v>#NAME?</v>
      </c>
      <c r="J66" s="289" t="str">
        <f t="shared" si="36"/>
        <v>#NAME?</v>
      </c>
      <c r="K66" s="285" t="str">
        <f t="shared" ref="K66:L66" si="37">textjoin(": ", 1, COUNTIF($A$1:$EK$23, K44), K44)</f>
        <v>2: SUB-SFX-LINE-NBR</v>
      </c>
      <c r="L66" s="285" t="str">
        <f t="shared" si="37"/>
        <v>5: DTE-LST-RGSTR-ACCT</v>
      </c>
    </row>
    <row r="67">
      <c r="A67" s="289" t="str">
        <f t="shared" ref="A67:J67" si="38">COUNTIF_CUSTOM(A20:EK42, A45)</f>
        <v>#NAME?</v>
      </c>
      <c r="B67" s="289" t="str">
        <f t="shared" si="38"/>
        <v>#NAME?</v>
      </c>
      <c r="C67" s="289" t="str">
        <f t="shared" si="38"/>
        <v>#NAME?</v>
      </c>
      <c r="D67" s="289" t="str">
        <f t="shared" si="38"/>
        <v>#NAME?</v>
      </c>
      <c r="E67" s="289" t="str">
        <f t="shared" si="38"/>
        <v>#NAME?</v>
      </c>
      <c r="F67" s="289" t="str">
        <f t="shared" si="38"/>
        <v>#NAME?</v>
      </c>
      <c r="G67" s="289" t="str">
        <f t="shared" si="38"/>
        <v>#NAME?</v>
      </c>
      <c r="H67" s="289" t="str">
        <f t="shared" si="38"/>
        <v>#NAME?</v>
      </c>
      <c r="I67" s="289" t="str">
        <f t="shared" si="38"/>
        <v>#NAME?</v>
      </c>
      <c r="J67" s="289" t="str">
        <f t="shared" si="38"/>
        <v>#NAME?</v>
      </c>
      <c r="K67" s="285" t="str">
        <f t="shared" ref="K67:L67" si="39">textjoin(": ", 1, COUNTIF($A$1:$EK$23, K45), K45)</f>
        <v>1: DSTR-TYP-CDE</v>
      </c>
      <c r="L67" s="285" t="str">
        <f t="shared" si="39"/>
        <v>1: FY-DSTR-DCLRD</v>
      </c>
    </row>
    <row r="68">
      <c r="A68" s="289" t="str">
        <f t="shared" ref="A68:J68" si="40">COUNTIF_CUSTOM(A21:EK43, A46)</f>
        <v>#NAME?</v>
      </c>
      <c r="B68" s="289" t="str">
        <f t="shared" si="40"/>
        <v>#NAME?</v>
      </c>
      <c r="C68" s="289" t="str">
        <f t="shared" si="40"/>
        <v>#NAME?</v>
      </c>
      <c r="D68" s="289" t="str">
        <f t="shared" si="40"/>
        <v>#NAME?</v>
      </c>
      <c r="E68" s="289" t="str">
        <f t="shared" si="40"/>
        <v>#NAME?</v>
      </c>
      <c r="F68" s="289" t="str">
        <f t="shared" si="40"/>
        <v>#NAME?</v>
      </c>
      <c r="G68" s="289" t="str">
        <f t="shared" si="40"/>
        <v>#NAME?</v>
      </c>
      <c r="H68" s="289" t="str">
        <f t="shared" si="40"/>
        <v>#NAME?</v>
      </c>
      <c r="I68" s="289" t="str">
        <f t="shared" si="40"/>
        <v>#NAME?</v>
      </c>
      <c r="J68" s="289" t="str">
        <f t="shared" si="40"/>
        <v>#NAME?</v>
      </c>
      <c r="K68" s="285" t="str">
        <f t="shared" ref="K68:L68" si="41">textjoin(": ", 1, COUNTIF($A$1:$EK$23, K46), K46)</f>
        <v>0</v>
      </c>
      <c r="L68" s="285" t="str">
        <f t="shared" si="41"/>
        <v>0</v>
      </c>
    </row>
    <row r="69">
      <c r="A69" s="285"/>
      <c r="J69" s="289" t="str">
        <f>COUNTIF_CUSTOM(J22:ET44, J47)</f>
        <v>#NAME?</v>
      </c>
    </row>
    <row r="70">
      <c r="A70" s="285"/>
    </row>
    <row r="71">
      <c r="A71" s="285"/>
    </row>
    <row r="72">
      <c r="A72" s="285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11798</v>
      </c>
    </row>
    <row r="2">
      <c r="A2" s="1" t="s">
        <v>11799</v>
      </c>
    </row>
    <row r="3">
      <c r="A3" s="1" t="s">
        <v>11800</v>
      </c>
    </row>
    <row r="4">
      <c r="A4" s="1" t="s">
        <v>11801</v>
      </c>
    </row>
    <row r="5">
      <c r="A5" s="1" t="s">
        <v>11802</v>
      </c>
    </row>
    <row r="6">
      <c r="A6" s="1" t="s">
        <v>11803</v>
      </c>
    </row>
    <row r="7">
      <c r="A7" s="1" t="s">
        <v>11804</v>
      </c>
    </row>
    <row r="8">
      <c r="A8" s="1" t="s">
        <v>11805</v>
      </c>
    </row>
    <row r="9">
      <c r="A9" s="1" t="s">
        <v>11806</v>
      </c>
    </row>
    <row r="10">
      <c r="A10" s="1" t="s">
        <v>11807</v>
      </c>
    </row>
    <row r="11">
      <c r="A11" s="1" t="s">
        <v>11808</v>
      </c>
    </row>
    <row r="12">
      <c r="A12" s="1" t="s">
        <v>11809</v>
      </c>
    </row>
    <row r="13">
      <c r="A13" s="1" t="s">
        <v>11810</v>
      </c>
    </row>
    <row r="14">
      <c r="A14" s="1" t="s">
        <v>11811</v>
      </c>
    </row>
    <row r="15">
      <c r="A15" s="1" t="s">
        <v>11812</v>
      </c>
    </row>
    <row r="16">
      <c r="A16" s="1" t="s">
        <v>11813</v>
      </c>
    </row>
    <row r="17">
      <c r="A17" s="1" t="s">
        <v>11814</v>
      </c>
    </row>
    <row r="18">
      <c r="A18" s="1" t="s">
        <v>11815</v>
      </c>
    </row>
    <row r="19">
      <c r="A19" s="1" t="s">
        <v>11816</v>
      </c>
    </row>
    <row r="20">
      <c r="A20" s="1" t="s">
        <v>11817</v>
      </c>
    </row>
    <row r="21">
      <c r="A21" s="1" t="s">
        <v>11818</v>
      </c>
    </row>
    <row r="22">
      <c r="A22" s="1" t="s">
        <v>11819</v>
      </c>
    </row>
    <row r="23">
      <c r="A23" s="1" t="s">
        <v>11820</v>
      </c>
    </row>
    <row r="24">
      <c r="A24" s="1" t="s">
        <v>11821</v>
      </c>
    </row>
    <row r="25">
      <c r="A25" s="1" t="s">
        <v>11822</v>
      </c>
    </row>
    <row r="26">
      <c r="A26" s="1" t="s">
        <v>11823</v>
      </c>
    </row>
    <row r="27">
      <c r="A27" s="1" t="s">
        <v>11824</v>
      </c>
    </row>
    <row r="28">
      <c r="A28" s="1" t="s">
        <v>11825</v>
      </c>
    </row>
    <row r="29">
      <c r="A29" s="1" t="s">
        <v>11826</v>
      </c>
    </row>
    <row r="30">
      <c r="A30" s="1" t="s">
        <v>11827</v>
      </c>
    </row>
    <row r="31">
      <c r="A31" s="1" t="s">
        <v>11828</v>
      </c>
    </row>
    <row r="32">
      <c r="A32" s="1" t="s">
        <v>11829</v>
      </c>
    </row>
    <row r="33">
      <c r="A33" s="1" t="s">
        <v>11830</v>
      </c>
    </row>
    <row r="34">
      <c r="A34" s="1" t="s">
        <v>11831</v>
      </c>
    </row>
    <row r="35">
      <c r="A35" s="1" t="s">
        <v>11832</v>
      </c>
    </row>
    <row r="36">
      <c r="A36" s="1" t="s">
        <v>11833</v>
      </c>
    </row>
    <row r="37">
      <c r="A37" s="1" t="s">
        <v>11834</v>
      </c>
    </row>
    <row r="38">
      <c r="A38" s="1" t="s">
        <v>11835</v>
      </c>
    </row>
    <row r="39">
      <c r="A39" s="1" t="s">
        <v>11836</v>
      </c>
    </row>
    <row r="40">
      <c r="A40" s="1" t="s">
        <v>11837</v>
      </c>
    </row>
    <row r="41">
      <c r="A41" s="1" t="s">
        <v>11838</v>
      </c>
    </row>
    <row r="42">
      <c r="A42" s="1" t="s">
        <v>11839</v>
      </c>
    </row>
    <row r="43">
      <c r="A43" s="1" t="s">
        <v>11840</v>
      </c>
    </row>
    <row r="44">
      <c r="A44" s="1" t="s">
        <v>11841</v>
      </c>
    </row>
    <row r="45">
      <c r="A45" s="1" t="s">
        <v>11842</v>
      </c>
    </row>
    <row r="46">
      <c r="A46" s="1" t="s">
        <v>11843</v>
      </c>
    </row>
    <row r="47">
      <c r="A47" s="1" t="s">
        <v>11844</v>
      </c>
    </row>
    <row r="48">
      <c r="A48" s="1" t="s">
        <v>11845</v>
      </c>
    </row>
    <row r="49">
      <c r="A49" s="1" t="s">
        <v>11846</v>
      </c>
    </row>
    <row r="50">
      <c r="A50" s="1" t="s">
        <v>11847</v>
      </c>
    </row>
    <row r="51">
      <c r="A51" s="1" t="s">
        <v>11848</v>
      </c>
    </row>
    <row r="52">
      <c r="A52" s="1" t="s">
        <v>11849</v>
      </c>
    </row>
    <row r="53">
      <c r="A53" s="1" t="s">
        <v>11850</v>
      </c>
    </row>
    <row r="54">
      <c r="A54" s="1" t="s">
        <v>11851</v>
      </c>
    </row>
    <row r="55">
      <c r="A55" s="1" t="s">
        <v>11852</v>
      </c>
    </row>
    <row r="56">
      <c r="A56" s="1" t="s">
        <v>11853</v>
      </c>
    </row>
    <row r="57">
      <c r="A57" s="1" t="s">
        <v>11854</v>
      </c>
    </row>
    <row r="58">
      <c r="A58" s="1" t="s">
        <v>11855</v>
      </c>
    </row>
    <row r="59">
      <c r="A59" s="1" t="s">
        <v>11856</v>
      </c>
    </row>
    <row r="60">
      <c r="A60" s="1" t="s">
        <v>11857</v>
      </c>
    </row>
    <row r="61">
      <c r="A61" s="1" t="s">
        <v>11858</v>
      </c>
    </row>
    <row r="62">
      <c r="A62" s="1" t="s">
        <v>11859</v>
      </c>
    </row>
    <row r="63">
      <c r="A63" s="1" t="s">
        <v>11860</v>
      </c>
    </row>
    <row r="64">
      <c r="A64" s="1" t="s">
        <v>11861</v>
      </c>
    </row>
    <row r="65">
      <c r="A65" s="1" t="s">
        <v>11862</v>
      </c>
    </row>
    <row r="66">
      <c r="A66" s="1" t="s">
        <v>11863</v>
      </c>
    </row>
    <row r="67">
      <c r="A67" s="1" t="s">
        <v>11864</v>
      </c>
    </row>
    <row r="68">
      <c r="A68" s="1" t="s">
        <v>11865</v>
      </c>
    </row>
    <row r="69">
      <c r="A69" s="1" t="s">
        <v>11866</v>
      </c>
    </row>
    <row r="70">
      <c r="A70" s="1" t="s">
        <v>11867</v>
      </c>
    </row>
    <row r="71">
      <c r="A71" s="1" t="s">
        <v>11868</v>
      </c>
    </row>
    <row r="72">
      <c r="A72" s="1" t="s">
        <v>11869</v>
      </c>
    </row>
    <row r="73">
      <c r="A73" s="1" t="s">
        <v>11870</v>
      </c>
    </row>
    <row r="74">
      <c r="A74" s="1" t="s">
        <v>11871</v>
      </c>
    </row>
    <row r="75">
      <c r="A75" s="1" t="s">
        <v>11872</v>
      </c>
    </row>
    <row r="76">
      <c r="A76" s="1" t="s">
        <v>11873</v>
      </c>
    </row>
    <row r="77">
      <c r="A77" s="1" t="s">
        <v>11874</v>
      </c>
    </row>
    <row r="78">
      <c r="A78" s="1" t="s">
        <v>11875</v>
      </c>
    </row>
    <row r="79">
      <c r="A79" s="1" t="s">
        <v>11876</v>
      </c>
    </row>
    <row r="80">
      <c r="A80" s="1" t="s">
        <v>11877</v>
      </c>
    </row>
    <row r="81">
      <c r="A81" s="1" t="s">
        <v>11878</v>
      </c>
    </row>
    <row r="82">
      <c r="A82" s="1" t="s">
        <v>11879</v>
      </c>
    </row>
    <row r="83">
      <c r="A83" s="1" t="s">
        <v>11880</v>
      </c>
    </row>
    <row r="84">
      <c r="A84" s="1" t="s">
        <v>11881</v>
      </c>
    </row>
    <row r="85">
      <c r="A85" s="1" t="s">
        <v>11882</v>
      </c>
    </row>
    <row r="86">
      <c r="A86" s="1" t="s">
        <v>11883</v>
      </c>
    </row>
    <row r="87">
      <c r="A87" s="1" t="s">
        <v>11884</v>
      </c>
    </row>
    <row r="88">
      <c r="A88" s="1" t="s">
        <v>11885</v>
      </c>
    </row>
    <row r="89">
      <c r="A89" s="1" t="s">
        <v>11886</v>
      </c>
    </row>
    <row r="90">
      <c r="A90" s="1" t="s">
        <v>11887</v>
      </c>
    </row>
    <row r="91">
      <c r="A91" s="1" t="s">
        <v>11888</v>
      </c>
    </row>
    <row r="92">
      <c r="A92" s="1" t="s">
        <v>11889</v>
      </c>
    </row>
    <row r="93">
      <c r="A93" s="1" t="s">
        <v>11890</v>
      </c>
    </row>
    <row r="94">
      <c r="A94" s="1" t="s">
        <v>11891</v>
      </c>
    </row>
    <row r="95">
      <c r="A95" s="1" t="s">
        <v>11892</v>
      </c>
    </row>
    <row r="96">
      <c r="A96" s="1" t="s">
        <v>11893</v>
      </c>
    </row>
    <row r="97">
      <c r="A97" s="1" t="s">
        <v>11894</v>
      </c>
    </row>
    <row r="98">
      <c r="A98" s="1" t="s">
        <v>11895</v>
      </c>
    </row>
    <row r="99">
      <c r="A99" s="1" t="s">
        <v>11896</v>
      </c>
    </row>
    <row r="100">
      <c r="A100" s="1" t="s">
        <v>11897</v>
      </c>
    </row>
    <row r="101">
      <c r="A101" s="1" t="s">
        <v>11898</v>
      </c>
    </row>
    <row r="102">
      <c r="A102" s="1" t="s">
        <v>11899</v>
      </c>
    </row>
    <row r="103">
      <c r="A103" s="1" t="s">
        <v>11900</v>
      </c>
    </row>
    <row r="104">
      <c r="A104" s="1" t="s">
        <v>11901</v>
      </c>
    </row>
    <row r="105">
      <c r="A105" s="1" t="s">
        <v>11902</v>
      </c>
    </row>
    <row r="106">
      <c r="A106" s="1" t="s">
        <v>11903</v>
      </c>
    </row>
    <row r="107">
      <c r="A107" s="1" t="s">
        <v>11904</v>
      </c>
    </row>
    <row r="108">
      <c r="A108" s="1" t="s">
        <v>11905</v>
      </c>
    </row>
    <row r="109">
      <c r="A109" s="1" t="s">
        <v>11906</v>
      </c>
    </row>
    <row r="110">
      <c r="A110" s="1" t="s">
        <v>11907</v>
      </c>
    </row>
    <row r="111">
      <c r="A111" s="1" t="s">
        <v>11908</v>
      </c>
    </row>
    <row r="112">
      <c r="A112" s="1" t="s">
        <v>11909</v>
      </c>
    </row>
    <row r="113">
      <c r="A113" s="1" t="s">
        <v>11910</v>
      </c>
    </row>
    <row r="114">
      <c r="A114" s="1" t="s">
        <v>11911</v>
      </c>
    </row>
    <row r="115">
      <c r="A115" s="1" t="s">
        <v>11912</v>
      </c>
    </row>
    <row r="116">
      <c r="A116" s="1" t="s">
        <v>11913</v>
      </c>
    </row>
    <row r="117">
      <c r="A117" s="1" t="s">
        <v>11914</v>
      </c>
    </row>
    <row r="118">
      <c r="A118" s="1" t="s">
        <v>11915</v>
      </c>
    </row>
    <row r="119">
      <c r="A119" s="1" t="s">
        <v>11916</v>
      </c>
    </row>
    <row r="120">
      <c r="A120" s="1" t="s">
        <v>11917</v>
      </c>
    </row>
    <row r="121">
      <c r="A121" s="1" t="s">
        <v>11918</v>
      </c>
    </row>
    <row r="122">
      <c r="A122" s="1" t="s">
        <v>11919</v>
      </c>
    </row>
    <row r="123">
      <c r="A123" s="1" t="s">
        <v>11920</v>
      </c>
    </row>
    <row r="124">
      <c r="A124" s="1" t="s">
        <v>11921</v>
      </c>
    </row>
    <row r="125">
      <c r="A125" s="1" t="s">
        <v>11922</v>
      </c>
    </row>
    <row r="126">
      <c r="A126" s="1" t="s">
        <v>11923</v>
      </c>
    </row>
    <row r="127">
      <c r="A127" s="1" t="s">
        <v>11924</v>
      </c>
    </row>
    <row r="128">
      <c r="A128" s="1" t="s">
        <v>11925</v>
      </c>
    </row>
    <row r="129">
      <c r="A129" s="1" t="s">
        <v>11926</v>
      </c>
    </row>
    <row r="130">
      <c r="A130" s="1" t="s">
        <v>11927</v>
      </c>
    </row>
    <row r="131">
      <c r="A131" s="1" t="s">
        <v>11928</v>
      </c>
    </row>
    <row r="132">
      <c r="A132" s="1" t="s">
        <v>11929</v>
      </c>
    </row>
    <row r="133">
      <c r="A133" s="1" t="s">
        <v>11930</v>
      </c>
    </row>
    <row r="134">
      <c r="A134" s="1" t="s">
        <v>11931</v>
      </c>
    </row>
    <row r="135">
      <c r="A135" s="1" t="s">
        <v>11932</v>
      </c>
    </row>
    <row r="136">
      <c r="A136" s="1" t="s">
        <v>11933</v>
      </c>
    </row>
    <row r="137">
      <c r="A137" s="1" t="s">
        <v>11934</v>
      </c>
    </row>
    <row r="138">
      <c r="A138" s="1" t="s">
        <v>11935</v>
      </c>
    </row>
    <row r="139">
      <c r="A139" s="1" t="s">
        <v>11936</v>
      </c>
    </row>
    <row r="140">
      <c r="A140" s="1" t="s">
        <v>11937</v>
      </c>
    </row>
    <row r="141">
      <c r="A141" s="1" t="s">
        <v>11938</v>
      </c>
    </row>
    <row r="142">
      <c r="A142" s="1" t="s">
        <v>11939</v>
      </c>
    </row>
    <row r="143">
      <c r="A143" s="1" t="s">
        <v>11940</v>
      </c>
    </row>
    <row r="144">
      <c r="A144" s="1" t="s">
        <v>11941</v>
      </c>
    </row>
    <row r="145">
      <c r="A145" s="1" t="s">
        <v>11942</v>
      </c>
    </row>
    <row r="146">
      <c r="A146" s="1" t="s">
        <v>11943</v>
      </c>
    </row>
    <row r="147">
      <c r="A147" s="1" t="s">
        <v>11944</v>
      </c>
    </row>
    <row r="148">
      <c r="A148" s="1" t="s">
        <v>11945</v>
      </c>
    </row>
    <row r="149">
      <c r="A149" s="1" t="s">
        <v>11946</v>
      </c>
    </row>
    <row r="150">
      <c r="A150" s="1" t="s">
        <v>11947</v>
      </c>
    </row>
    <row r="151">
      <c r="A151" s="1" t="s">
        <v>11948</v>
      </c>
    </row>
    <row r="152">
      <c r="A152" s="1" t="s">
        <v>11949</v>
      </c>
    </row>
    <row r="153">
      <c r="A153" s="1" t="s">
        <v>11950</v>
      </c>
    </row>
    <row r="154">
      <c r="A154" s="1" t="s">
        <v>11951</v>
      </c>
    </row>
    <row r="155">
      <c r="A155" s="1" t="s">
        <v>11952</v>
      </c>
    </row>
    <row r="156">
      <c r="A156" s="1" t="s">
        <v>11953</v>
      </c>
    </row>
    <row r="157">
      <c r="A157" s="1" t="s">
        <v>11954</v>
      </c>
    </row>
    <row r="158">
      <c r="A158" s="1" t="s">
        <v>11955</v>
      </c>
    </row>
    <row r="159">
      <c r="A159" s="1" t="s">
        <v>11956</v>
      </c>
    </row>
    <row r="160">
      <c r="A160" s="1" t="s">
        <v>11957</v>
      </c>
    </row>
    <row r="161">
      <c r="A161" s="1" t="s">
        <v>11958</v>
      </c>
    </row>
    <row r="162">
      <c r="A162" s="1" t="s">
        <v>11959</v>
      </c>
    </row>
    <row r="163">
      <c r="A163" s="1" t="s">
        <v>11960</v>
      </c>
    </row>
    <row r="164">
      <c r="A164" s="1" t="s">
        <v>11961</v>
      </c>
    </row>
    <row r="165">
      <c r="A165" s="1" t="s">
        <v>11962</v>
      </c>
    </row>
    <row r="166">
      <c r="A166" s="1" t="s">
        <v>11963</v>
      </c>
    </row>
    <row r="167">
      <c r="A167" s="1" t="s">
        <v>11964</v>
      </c>
    </row>
    <row r="168">
      <c r="A168" s="1" t="s">
        <v>11965</v>
      </c>
    </row>
    <row r="169">
      <c r="A169" s="1" t="s">
        <v>11966</v>
      </c>
    </row>
    <row r="170">
      <c r="A170" s="1" t="s">
        <v>11967</v>
      </c>
    </row>
    <row r="171">
      <c r="A171" s="1" t="s">
        <v>11968</v>
      </c>
    </row>
    <row r="172">
      <c r="A172" s="1" t="s">
        <v>11969</v>
      </c>
    </row>
    <row r="173">
      <c r="A173" s="1" t="s">
        <v>11970</v>
      </c>
    </row>
    <row r="174">
      <c r="A174" s="1" t="s">
        <v>11971</v>
      </c>
    </row>
    <row r="175">
      <c r="A175" s="1" t="s">
        <v>11972</v>
      </c>
    </row>
    <row r="176">
      <c r="A176" s="1" t="s">
        <v>11973</v>
      </c>
    </row>
    <row r="177">
      <c r="A177" s="1" t="s">
        <v>11974</v>
      </c>
    </row>
    <row r="178">
      <c r="A178" s="1" t="s">
        <v>11975</v>
      </c>
    </row>
    <row r="179">
      <c r="A179" s="1" t="s">
        <v>11976</v>
      </c>
    </row>
    <row r="180">
      <c r="A180" s="1" t="s">
        <v>11977</v>
      </c>
    </row>
    <row r="181">
      <c r="A181" s="1" t="s">
        <v>11978</v>
      </c>
    </row>
    <row r="182">
      <c r="A182" s="1" t="s">
        <v>11979</v>
      </c>
    </row>
    <row r="183">
      <c r="A183" s="1" t="s">
        <v>11980</v>
      </c>
    </row>
    <row r="184">
      <c r="A184" s="1" t="s">
        <v>11981</v>
      </c>
    </row>
    <row r="185">
      <c r="A185" s="1" t="s">
        <v>11982</v>
      </c>
    </row>
    <row r="186">
      <c r="A186" s="1" t="s">
        <v>11983</v>
      </c>
    </row>
    <row r="187">
      <c r="A187" s="1" t="s">
        <v>11984</v>
      </c>
    </row>
    <row r="188">
      <c r="A188" s="1" t="s">
        <v>11985</v>
      </c>
    </row>
    <row r="189">
      <c r="A189" s="1" t="s">
        <v>11986</v>
      </c>
    </row>
    <row r="190">
      <c r="A190" s="1" t="s">
        <v>11987</v>
      </c>
    </row>
    <row r="191">
      <c r="A191" s="1" t="s">
        <v>11988</v>
      </c>
    </row>
    <row r="192">
      <c r="A192" s="1" t="s">
        <v>11989</v>
      </c>
    </row>
    <row r="193">
      <c r="A193" s="1" t="s">
        <v>11990</v>
      </c>
    </row>
    <row r="194">
      <c r="A194" s="1" t="s">
        <v>11991</v>
      </c>
    </row>
    <row r="195">
      <c r="A195" s="1" t="s">
        <v>11992</v>
      </c>
    </row>
    <row r="196">
      <c r="A196" s="1" t="s">
        <v>11993</v>
      </c>
    </row>
    <row r="197">
      <c r="A197" s="1" t="s">
        <v>11994</v>
      </c>
    </row>
    <row r="198">
      <c r="A198" s="1" t="s">
        <v>11995</v>
      </c>
    </row>
    <row r="199">
      <c r="A199" s="1" t="s">
        <v>11996</v>
      </c>
    </row>
    <row r="200">
      <c r="A200" s="1" t="s">
        <v>11997</v>
      </c>
    </row>
    <row r="201">
      <c r="A201" s="1" t="s">
        <v>11998</v>
      </c>
    </row>
    <row r="202">
      <c r="A202" s="1" t="s">
        <v>11999</v>
      </c>
    </row>
    <row r="203">
      <c r="A203" s="1" t="s">
        <v>12000</v>
      </c>
    </row>
    <row r="204">
      <c r="A204" s="1" t="s">
        <v>12001</v>
      </c>
    </row>
    <row r="205">
      <c r="A205" s="1" t="s">
        <v>12002</v>
      </c>
    </row>
    <row r="206">
      <c r="A206" s="1" t="s">
        <v>12003</v>
      </c>
    </row>
    <row r="207">
      <c r="A207" s="1" t="s">
        <v>12004</v>
      </c>
    </row>
    <row r="208">
      <c r="A208" s="1" t="s">
        <v>12005</v>
      </c>
    </row>
    <row r="209">
      <c r="A209" s="1" t="s">
        <v>12006</v>
      </c>
    </row>
    <row r="210">
      <c r="A210" s="1" t="s">
        <v>12007</v>
      </c>
    </row>
    <row r="211">
      <c r="A211" s="1" t="s">
        <v>12008</v>
      </c>
    </row>
    <row r="212">
      <c r="A212" s="1" t="s">
        <v>12009</v>
      </c>
    </row>
    <row r="213">
      <c r="A213" s="1" t="s">
        <v>12010</v>
      </c>
    </row>
    <row r="214">
      <c r="A214" s="1" t="s">
        <v>12011</v>
      </c>
    </row>
    <row r="215">
      <c r="A215" s="1" t="s">
        <v>12012</v>
      </c>
    </row>
    <row r="216">
      <c r="A216" s="1" t="s">
        <v>12013</v>
      </c>
    </row>
    <row r="217">
      <c r="A217" s="1" t="s">
        <v>12014</v>
      </c>
    </row>
    <row r="218">
      <c r="A218" s="1" t="s">
        <v>12015</v>
      </c>
    </row>
    <row r="219">
      <c r="A219" s="1" t="s">
        <v>12016</v>
      </c>
    </row>
    <row r="220">
      <c r="A220" s="1" t="s">
        <v>12017</v>
      </c>
    </row>
    <row r="221">
      <c r="A221" s="1" t="s">
        <v>12018</v>
      </c>
    </row>
    <row r="222">
      <c r="A222" s="1" t="s">
        <v>12019</v>
      </c>
    </row>
    <row r="223">
      <c r="A223" s="1" t="s">
        <v>12020</v>
      </c>
    </row>
    <row r="224">
      <c r="A224" s="1" t="s">
        <v>12021</v>
      </c>
    </row>
    <row r="225">
      <c r="A225" s="1" t="s">
        <v>12022</v>
      </c>
    </row>
    <row r="226">
      <c r="A226" s="1" t="s">
        <v>12023</v>
      </c>
    </row>
    <row r="227">
      <c r="A227" s="1" t="s">
        <v>11981</v>
      </c>
    </row>
    <row r="228">
      <c r="A228" s="1" t="s">
        <v>12024</v>
      </c>
    </row>
    <row r="229">
      <c r="A229" s="1" t="s">
        <v>12025</v>
      </c>
    </row>
    <row r="230">
      <c r="A230" s="1" t="s">
        <v>12026</v>
      </c>
    </row>
    <row r="231">
      <c r="A231" s="1" t="s">
        <v>12027</v>
      </c>
    </row>
    <row r="232">
      <c r="A232" s="1" t="s">
        <v>12028</v>
      </c>
    </row>
    <row r="233">
      <c r="A233" s="1" t="s">
        <v>12029</v>
      </c>
    </row>
    <row r="234">
      <c r="A234" s="1" t="s">
        <v>12030</v>
      </c>
    </row>
    <row r="235">
      <c r="A235" s="1" t="s">
        <v>12031</v>
      </c>
    </row>
    <row r="236">
      <c r="A236" s="1" t="s">
        <v>12032</v>
      </c>
    </row>
    <row r="237">
      <c r="A237" s="1" t="s">
        <v>12033</v>
      </c>
    </row>
    <row r="238">
      <c r="A238" s="1" t="s">
        <v>12034</v>
      </c>
    </row>
    <row r="239">
      <c r="A239" s="1" t="s">
        <v>12035</v>
      </c>
    </row>
    <row r="240">
      <c r="A240" s="1" t="s">
        <v>12036</v>
      </c>
    </row>
    <row r="241">
      <c r="A241" s="1" t="s">
        <v>12037</v>
      </c>
    </row>
    <row r="242">
      <c r="A242" s="1" t="s">
        <v>12038</v>
      </c>
    </row>
    <row r="243">
      <c r="A243" s="1" t="s">
        <v>12039</v>
      </c>
    </row>
    <row r="244">
      <c r="A244" s="1" t="s">
        <v>12040</v>
      </c>
    </row>
    <row r="245">
      <c r="A245" s="1" t="s">
        <v>12041</v>
      </c>
    </row>
    <row r="246">
      <c r="A246" s="1" t="s">
        <v>12042</v>
      </c>
    </row>
    <row r="247">
      <c r="A247" s="1" t="s">
        <v>12043</v>
      </c>
    </row>
    <row r="248">
      <c r="A248" s="1" t="s">
        <v>12044</v>
      </c>
    </row>
    <row r="249">
      <c r="A249" s="1" t="s">
        <v>12045</v>
      </c>
    </row>
    <row r="250">
      <c r="A250" s="1" t="s">
        <v>12046</v>
      </c>
    </row>
    <row r="251">
      <c r="A251" s="1" t="s">
        <v>12047</v>
      </c>
    </row>
    <row r="252">
      <c r="A252" s="1" t="s">
        <v>12048</v>
      </c>
    </row>
    <row r="253">
      <c r="A253" s="1" t="s">
        <v>12049</v>
      </c>
    </row>
    <row r="254">
      <c r="A254" s="1" t="s">
        <v>12050</v>
      </c>
    </row>
    <row r="255">
      <c r="A255" s="1" t="s">
        <v>12051</v>
      </c>
    </row>
    <row r="256">
      <c r="A256" s="1" t="s">
        <v>12052</v>
      </c>
    </row>
    <row r="257">
      <c r="A257" s="1" t="s">
        <v>12053</v>
      </c>
    </row>
    <row r="258">
      <c r="A258" s="1" t="s">
        <v>12054</v>
      </c>
    </row>
    <row r="259">
      <c r="A259" s="1" t="s">
        <v>12055</v>
      </c>
    </row>
    <row r="260">
      <c r="A260" s="1" t="s">
        <v>12056</v>
      </c>
    </row>
    <row r="261">
      <c r="A261" s="1" t="s">
        <v>12057</v>
      </c>
    </row>
    <row r="262">
      <c r="A262" s="1" t="s">
        <v>12058</v>
      </c>
    </row>
    <row r="263">
      <c r="A263" s="1" t="s">
        <v>12059</v>
      </c>
    </row>
    <row r="264">
      <c r="A264" s="1" t="s">
        <v>12060</v>
      </c>
    </row>
    <row r="265">
      <c r="A265" s="1" t="s">
        <v>12061</v>
      </c>
    </row>
    <row r="266">
      <c r="A266" s="1" t="s">
        <v>12062</v>
      </c>
    </row>
    <row r="267">
      <c r="A267" s="1" t="s">
        <v>12063</v>
      </c>
    </row>
    <row r="268">
      <c r="A268" s="1" t="s">
        <v>12064</v>
      </c>
    </row>
    <row r="269">
      <c r="A269" s="1" t="s">
        <v>12065</v>
      </c>
    </row>
    <row r="270">
      <c r="A270" s="1" t="s">
        <v>12066</v>
      </c>
    </row>
    <row r="271">
      <c r="A271" s="1" t="s">
        <v>12067</v>
      </c>
    </row>
    <row r="272">
      <c r="A272" s="1" t="s">
        <v>12068</v>
      </c>
    </row>
    <row r="273">
      <c r="A273" s="1" t="s">
        <v>12069</v>
      </c>
    </row>
    <row r="274">
      <c r="A274" s="1" t="s">
        <v>12070</v>
      </c>
    </row>
    <row r="275">
      <c r="A275" s="1" t="s">
        <v>12071</v>
      </c>
    </row>
    <row r="276">
      <c r="A276" s="1" t="s">
        <v>12072</v>
      </c>
    </row>
    <row r="277">
      <c r="A277" s="1" t="s">
        <v>12073</v>
      </c>
    </row>
    <row r="278">
      <c r="A278" s="1" t="s">
        <v>12074</v>
      </c>
    </row>
    <row r="279">
      <c r="A279" s="1" t="s">
        <v>12075</v>
      </c>
    </row>
    <row r="280">
      <c r="A280" s="1" t="s">
        <v>12076</v>
      </c>
    </row>
    <row r="281">
      <c r="A281" s="1" t="s">
        <v>12077</v>
      </c>
    </row>
    <row r="282">
      <c r="A282" s="1" t="s">
        <v>12078</v>
      </c>
    </row>
    <row r="283">
      <c r="A283" s="1" t="s">
        <v>12079</v>
      </c>
    </row>
    <row r="284">
      <c r="A284" s="1" t="s">
        <v>12080</v>
      </c>
    </row>
    <row r="285">
      <c r="A285" s="1" t="s">
        <v>12081</v>
      </c>
    </row>
    <row r="286">
      <c r="A286" s="1" t="s">
        <v>12082</v>
      </c>
    </row>
    <row r="287">
      <c r="A287" s="1" t="s">
        <v>12083</v>
      </c>
    </row>
    <row r="288">
      <c r="A288" s="1" t="s">
        <v>12084</v>
      </c>
    </row>
    <row r="289">
      <c r="A289" s="1" t="s">
        <v>12085</v>
      </c>
    </row>
    <row r="290">
      <c r="A290" s="1" t="s">
        <v>12086</v>
      </c>
    </row>
    <row r="291">
      <c r="A291" s="1" t="s">
        <v>12087</v>
      </c>
    </row>
    <row r="292">
      <c r="A292" s="1" t="s">
        <v>12088</v>
      </c>
    </row>
    <row r="293">
      <c r="A293" s="1" t="s">
        <v>12089</v>
      </c>
    </row>
    <row r="294">
      <c r="A294" s="1" t="s">
        <v>12090</v>
      </c>
    </row>
    <row r="295">
      <c r="A295" s="1" t="s">
        <v>12091</v>
      </c>
    </row>
    <row r="296">
      <c r="A296" s="1" t="s">
        <v>12092</v>
      </c>
    </row>
    <row r="297">
      <c r="A297" s="1" t="s">
        <v>12093</v>
      </c>
    </row>
    <row r="298">
      <c r="A298" s="1" t="s">
        <v>12094</v>
      </c>
    </row>
    <row r="299">
      <c r="A299" s="1" t="s">
        <v>12095</v>
      </c>
    </row>
    <row r="300">
      <c r="A300" s="1" t="s">
        <v>12096</v>
      </c>
    </row>
    <row r="301">
      <c r="A301" s="1" t="s">
        <v>12097</v>
      </c>
    </row>
    <row r="302">
      <c r="A302" s="1" t="s">
        <v>12098</v>
      </c>
    </row>
    <row r="303">
      <c r="A303" s="1" t="s">
        <v>12099</v>
      </c>
    </row>
    <row r="304">
      <c r="A304" s="1" t="s">
        <v>12100</v>
      </c>
    </row>
    <row r="305">
      <c r="A305" s="1" t="s">
        <v>12101</v>
      </c>
    </row>
    <row r="306">
      <c r="A306" s="1" t="s">
        <v>12102</v>
      </c>
    </row>
    <row r="307">
      <c r="A307" s="1" t="s">
        <v>12103</v>
      </c>
    </row>
    <row r="308">
      <c r="A308" s="1" t="s">
        <v>12104</v>
      </c>
    </row>
    <row r="309">
      <c r="A309" s="1" t="s">
        <v>12105</v>
      </c>
    </row>
    <row r="310">
      <c r="A310" s="1" t="s">
        <v>12106</v>
      </c>
    </row>
    <row r="311">
      <c r="A311" s="1" t="s">
        <v>12107</v>
      </c>
    </row>
    <row r="312">
      <c r="A312" s="1" t="s">
        <v>12108</v>
      </c>
    </row>
    <row r="313">
      <c r="A313" s="1" t="s">
        <v>12109</v>
      </c>
    </row>
    <row r="314">
      <c r="A314" s="1" t="s">
        <v>12110</v>
      </c>
    </row>
    <row r="315">
      <c r="A315" s="1" t="s">
        <v>12111</v>
      </c>
    </row>
    <row r="316">
      <c r="A316" s="1" t="s">
        <v>12112</v>
      </c>
    </row>
    <row r="317">
      <c r="A317" s="1" t="s">
        <v>12113</v>
      </c>
    </row>
    <row r="318">
      <c r="A318" s="1" t="s">
        <v>12114</v>
      </c>
    </row>
    <row r="319">
      <c r="A319" s="1" t="s">
        <v>12115</v>
      </c>
    </row>
    <row r="320">
      <c r="A320" s="1" t="s">
        <v>12116</v>
      </c>
    </row>
    <row r="321">
      <c r="A321" s="1" t="s">
        <v>12117</v>
      </c>
    </row>
    <row r="322">
      <c r="A322" s="1" t="s">
        <v>12118</v>
      </c>
    </row>
    <row r="323">
      <c r="A323" s="1" t="s">
        <v>12119</v>
      </c>
    </row>
    <row r="324">
      <c r="A324" s="1" t="s">
        <v>12120</v>
      </c>
    </row>
    <row r="325">
      <c r="A325" s="1" t="s">
        <v>12121</v>
      </c>
    </row>
    <row r="326">
      <c r="A326" s="1" t="s">
        <v>12122</v>
      </c>
    </row>
    <row r="327">
      <c r="A327" s="1" t="s">
        <v>12123</v>
      </c>
    </row>
    <row r="328">
      <c r="A328" s="1" t="s">
        <v>12124</v>
      </c>
    </row>
    <row r="329">
      <c r="A329" s="1" t="s">
        <v>12125</v>
      </c>
    </row>
    <row r="330">
      <c r="A330" s="1" t="s">
        <v>12126</v>
      </c>
    </row>
    <row r="331">
      <c r="A331" s="1" t="s">
        <v>12127</v>
      </c>
    </row>
    <row r="332">
      <c r="A332" s="1" t="s">
        <v>12128</v>
      </c>
    </row>
    <row r="333">
      <c r="A333" s="1" t="s">
        <v>12129</v>
      </c>
    </row>
    <row r="334">
      <c r="A334" s="1" t="s">
        <v>12130</v>
      </c>
    </row>
    <row r="335">
      <c r="A335" s="1" t="s">
        <v>12131</v>
      </c>
    </row>
    <row r="336">
      <c r="A336" s="1" t="s">
        <v>12132</v>
      </c>
    </row>
    <row r="337">
      <c r="A337" s="1" t="s">
        <v>12133</v>
      </c>
    </row>
    <row r="338">
      <c r="A338" s="1" t="s">
        <v>12134</v>
      </c>
    </row>
    <row r="339">
      <c r="A339" s="1" t="s">
        <v>12135</v>
      </c>
    </row>
    <row r="340">
      <c r="A340" s="1" t="s">
        <v>12136</v>
      </c>
    </row>
    <row r="341">
      <c r="A341" s="1" t="s">
        <v>12137</v>
      </c>
    </row>
    <row r="342">
      <c r="A342" s="1" t="s">
        <v>12138</v>
      </c>
    </row>
    <row r="343">
      <c r="A343" s="1" t="s">
        <v>12139</v>
      </c>
    </row>
    <row r="344">
      <c r="A344" s="1" t="s">
        <v>12140</v>
      </c>
    </row>
    <row r="345">
      <c r="A345" s="1" t="s">
        <v>12141</v>
      </c>
    </row>
    <row r="346">
      <c r="A346" s="1" t="s">
        <v>12142</v>
      </c>
    </row>
    <row r="347">
      <c r="A347" s="1" t="s">
        <v>12143</v>
      </c>
    </row>
    <row r="348">
      <c r="A348" s="1" t="s">
        <v>12144</v>
      </c>
    </row>
    <row r="349">
      <c r="A349" s="1" t="s">
        <v>12145</v>
      </c>
    </row>
    <row r="350">
      <c r="A350" s="1" t="s">
        <v>12146</v>
      </c>
    </row>
    <row r="351">
      <c r="A351" s="1" t="s">
        <v>12147</v>
      </c>
    </row>
    <row r="352">
      <c r="A352" s="1" t="s">
        <v>12148</v>
      </c>
    </row>
    <row r="353">
      <c r="A353" s="1" t="s">
        <v>12149</v>
      </c>
    </row>
    <row r="354">
      <c r="A354" s="1" t="s">
        <v>12150</v>
      </c>
    </row>
    <row r="355">
      <c r="A355" s="1" t="s">
        <v>12151</v>
      </c>
    </row>
    <row r="356">
      <c r="A356" s="1" t="s">
        <v>12152</v>
      </c>
    </row>
    <row r="357">
      <c r="A357" s="1" t="s">
        <v>12153</v>
      </c>
    </row>
    <row r="358">
      <c r="A358" s="1" t="s">
        <v>12154</v>
      </c>
    </row>
    <row r="359">
      <c r="A359" s="1" t="s">
        <v>12155</v>
      </c>
    </row>
    <row r="360">
      <c r="A360" s="1" t="s">
        <v>12156</v>
      </c>
    </row>
    <row r="361">
      <c r="A361" s="1" t="s">
        <v>12157</v>
      </c>
    </row>
    <row r="362">
      <c r="A362" s="1" t="s">
        <v>12158</v>
      </c>
    </row>
    <row r="363">
      <c r="A363" s="1" t="s">
        <v>12159</v>
      </c>
    </row>
    <row r="364">
      <c r="A364" s="1" t="s">
        <v>12160</v>
      </c>
    </row>
    <row r="365">
      <c r="A365" s="1" t="s">
        <v>12161</v>
      </c>
    </row>
    <row r="366">
      <c r="A366" s="1" t="s">
        <v>12162</v>
      </c>
    </row>
    <row r="367">
      <c r="A367" s="1" t="s">
        <v>12163</v>
      </c>
    </row>
    <row r="368">
      <c r="A368" s="1" t="s">
        <v>12164</v>
      </c>
    </row>
    <row r="369">
      <c r="A369" s="1" t="s">
        <v>12165</v>
      </c>
    </row>
    <row r="370">
      <c r="A370" s="1" t="s">
        <v>12166</v>
      </c>
    </row>
    <row r="371">
      <c r="A371" s="1" t="s">
        <v>12167</v>
      </c>
    </row>
    <row r="372">
      <c r="A372" s="1" t="s">
        <v>12168</v>
      </c>
    </row>
    <row r="373">
      <c r="A373" s="1" t="s">
        <v>12169</v>
      </c>
    </row>
    <row r="374">
      <c r="A374" s="1" t="s">
        <v>12170</v>
      </c>
    </row>
    <row r="375">
      <c r="A375" s="1" t="s">
        <v>12171</v>
      </c>
    </row>
    <row r="376">
      <c r="A376" s="1" t="s">
        <v>12172</v>
      </c>
    </row>
    <row r="377">
      <c r="A377" s="1" t="s">
        <v>12173</v>
      </c>
    </row>
    <row r="378">
      <c r="A378" s="1" t="s">
        <v>12174</v>
      </c>
    </row>
    <row r="379">
      <c r="A379" s="1" t="s">
        <v>12175</v>
      </c>
    </row>
    <row r="380">
      <c r="A380" s="1" t="s">
        <v>12176</v>
      </c>
    </row>
    <row r="381">
      <c r="A381" s="1" t="s">
        <v>12177</v>
      </c>
    </row>
    <row r="382">
      <c r="A382" s="1" t="s">
        <v>12178</v>
      </c>
    </row>
    <row r="383">
      <c r="A383" s="1" t="s">
        <v>12179</v>
      </c>
    </row>
    <row r="384">
      <c r="A384" s="1" t="s">
        <v>12180</v>
      </c>
    </row>
    <row r="385">
      <c r="A385" s="1" t="s">
        <v>12181</v>
      </c>
    </row>
    <row r="386">
      <c r="A386" s="1" t="s">
        <v>12182</v>
      </c>
    </row>
    <row r="387">
      <c r="A387" s="1" t="s">
        <v>12183</v>
      </c>
    </row>
    <row r="388">
      <c r="A388" s="1" t="s">
        <v>12184</v>
      </c>
    </row>
    <row r="389">
      <c r="A389" s="1" t="s">
        <v>12185</v>
      </c>
    </row>
    <row r="390">
      <c r="A390" s="1" t="s">
        <v>12186</v>
      </c>
    </row>
    <row r="391">
      <c r="A391" s="1" t="s">
        <v>12187</v>
      </c>
    </row>
    <row r="392">
      <c r="A392" s="1" t="s">
        <v>12188</v>
      </c>
    </row>
    <row r="393">
      <c r="A393" s="1" t="s">
        <v>12189</v>
      </c>
    </row>
    <row r="394">
      <c r="A394" s="1" t="s">
        <v>12190</v>
      </c>
    </row>
    <row r="395">
      <c r="A395" s="1" t="s">
        <v>12191</v>
      </c>
    </row>
    <row r="396">
      <c r="A396" s="1" t="s">
        <v>12192</v>
      </c>
    </row>
    <row r="397">
      <c r="A397" s="1" t="s">
        <v>12193</v>
      </c>
    </row>
    <row r="398">
      <c r="A398" s="1" t="s">
        <v>12194</v>
      </c>
    </row>
    <row r="399">
      <c r="A399" s="1" t="s">
        <v>12195</v>
      </c>
    </row>
    <row r="400">
      <c r="A400" s="1" t="s">
        <v>12196</v>
      </c>
    </row>
    <row r="401">
      <c r="A401" s="1" t="s">
        <v>12197</v>
      </c>
    </row>
    <row r="402">
      <c r="A402" s="1" t="s">
        <v>12198</v>
      </c>
    </row>
    <row r="403">
      <c r="A403" s="1" t="s">
        <v>12199</v>
      </c>
    </row>
    <row r="404">
      <c r="A404" s="1" t="s">
        <v>12200</v>
      </c>
    </row>
    <row r="405">
      <c r="A405" s="1" t="s">
        <v>12201</v>
      </c>
    </row>
    <row r="406">
      <c r="A406" s="1" t="s">
        <v>12202</v>
      </c>
    </row>
    <row r="407">
      <c r="A407" s="1" t="s">
        <v>12203</v>
      </c>
    </row>
    <row r="408">
      <c r="A408" s="1" t="s">
        <v>12204</v>
      </c>
    </row>
    <row r="409">
      <c r="A409" s="1" t="s">
        <v>12205</v>
      </c>
    </row>
    <row r="410">
      <c r="A410" s="1" t="s">
        <v>12206</v>
      </c>
    </row>
    <row r="411">
      <c r="A411" s="1" t="s">
        <v>12207</v>
      </c>
    </row>
    <row r="412">
      <c r="A412" s="1" t="s">
        <v>12208</v>
      </c>
    </row>
    <row r="413">
      <c r="A413" s="1" t="s">
        <v>12209</v>
      </c>
    </row>
    <row r="414">
      <c r="A414" s="1" t="s">
        <v>12210</v>
      </c>
    </row>
    <row r="415">
      <c r="A415" s="1" t="s">
        <v>12211</v>
      </c>
    </row>
    <row r="416">
      <c r="A416" s="1" t="s">
        <v>12212</v>
      </c>
    </row>
    <row r="417">
      <c r="A417" s="1" t="s">
        <v>12213</v>
      </c>
    </row>
    <row r="418">
      <c r="A418" s="1" t="s">
        <v>12214</v>
      </c>
    </row>
    <row r="419">
      <c r="A419" s="1" t="s">
        <v>12215</v>
      </c>
    </row>
    <row r="420">
      <c r="A420" s="1" t="s">
        <v>12216</v>
      </c>
    </row>
    <row r="421">
      <c r="A421" s="1" t="s">
        <v>12217</v>
      </c>
    </row>
    <row r="422">
      <c r="A422" s="1" t="s">
        <v>12218</v>
      </c>
    </row>
    <row r="423">
      <c r="A423" s="1" t="s">
        <v>12219</v>
      </c>
    </row>
    <row r="424">
      <c r="A424" s="1" t="s">
        <v>12220</v>
      </c>
    </row>
    <row r="425">
      <c r="A425" s="1" t="s">
        <v>12221</v>
      </c>
    </row>
    <row r="426">
      <c r="A426" s="1" t="s">
        <v>12222</v>
      </c>
    </row>
    <row r="427">
      <c r="A427" s="1" t="s">
        <v>12223</v>
      </c>
    </row>
    <row r="428">
      <c r="A428" s="1" t="s">
        <v>12224</v>
      </c>
    </row>
    <row r="429">
      <c r="A429" s="1" t="s">
        <v>12225</v>
      </c>
    </row>
    <row r="430">
      <c r="A430" s="1" t="s">
        <v>12226</v>
      </c>
    </row>
    <row r="431">
      <c r="A431" s="1" t="s">
        <v>12227</v>
      </c>
    </row>
    <row r="432">
      <c r="A432" s="1" t="s">
        <v>12228</v>
      </c>
    </row>
    <row r="433">
      <c r="A433" s="1" t="s">
        <v>12229</v>
      </c>
    </row>
    <row r="434">
      <c r="A434" s="1" t="s">
        <v>12230</v>
      </c>
    </row>
    <row r="435">
      <c r="A435" s="1" t="s">
        <v>12231</v>
      </c>
    </row>
    <row r="436">
      <c r="A436" s="1" t="s">
        <v>12232</v>
      </c>
    </row>
    <row r="437">
      <c r="A437" s="1" t="s">
        <v>12233</v>
      </c>
    </row>
    <row r="438">
      <c r="A438" s="1" t="s">
        <v>12234</v>
      </c>
    </row>
    <row r="439">
      <c r="A439" s="1" t="s">
        <v>12235</v>
      </c>
    </row>
    <row r="440">
      <c r="A440" s="1" t="s">
        <v>12236</v>
      </c>
    </row>
    <row r="441">
      <c r="A441" s="1" t="s">
        <v>12237</v>
      </c>
    </row>
    <row r="442">
      <c r="A442" s="1" t="s">
        <v>12238</v>
      </c>
    </row>
    <row r="443">
      <c r="A443" s="1" t="s">
        <v>12239</v>
      </c>
    </row>
    <row r="444">
      <c r="A444" s="1" t="s">
        <v>12240</v>
      </c>
    </row>
    <row r="445">
      <c r="A445" s="1" t="s">
        <v>12241</v>
      </c>
    </row>
    <row r="446">
      <c r="A446" s="1" t="s">
        <v>12242</v>
      </c>
    </row>
    <row r="447">
      <c r="A447" s="1" t="s">
        <v>12243</v>
      </c>
    </row>
    <row r="448">
      <c r="A448" s="1" t="s">
        <v>12244</v>
      </c>
    </row>
    <row r="449">
      <c r="A449" s="1" t="s">
        <v>12245</v>
      </c>
    </row>
    <row r="450">
      <c r="A450" s="1" t="s">
        <v>12246</v>
      </c>
    </row>
    <row r="451">
      <c r="A451" s="1" t="s">
        <v>12247</v>
      </c>
    </row>
    <row r="452">
      <c r="A452" s="1" t="s">
        <v>12248</v>
      </c>
    </row>
    <row r="453">
      <c r="A453" s="1" t="s">
        <v>12249</v>
      </c>
    </row>
    <row r="454">
      <c r="A454" s="1" t="s">
        <v>12250</v>
      </c>
    </row>
    <row r="455">
      <c r="A455" s="1" t="s">
        <v>12251</v>
      </c>
    </row>
    <row r="456">
      <c r="A456" s="1" t="s">
        <v>12252</v>
      </c>
    </row>
    <row r="457">
      <c r="A457" s="1" t="s">
        <v>12253</v>
      </c>
    </row>
    <row r="458">
      <c r="A458" s="1" t="s">
        <v>12254</v>
      </c>
    </row>
    <row r="459">
      <c r="A459" s="1" t="s">
        <v>12255</v>
      </c>
    </row>
    <row r="460">
      <c r="A460" s="1" t="s">
        <v>12256</v>
      </c>
    </row>
    <row r="461">
      <c r="A461" s="1" t="s">
        <v>12257</v>
      </c>
    </row>
    <row r="462">
      <c r="A462" s="1" t="s">
        <v>12258</v>
      </c>
    </row>
    <row r="463">
      <c r="A463" s="1" t="s">
        <v>12259</v>
      </c>
    </row>
    <row r="464">
      <c r="A464" s="1" t="s">
        <v>12260</v>
      </c>
    </row>
    <row r="465">
      <c r="A465" s="1" t="s">
        <v>12261</v>
      </c>
    </row>
    <row r="466">
      <c r="A466" s="1" t="s">
        <v>12262</v>
      </c>
    </row>
    <row r="467">
      <c r="A467" s="1" t="s">
        <v>12263</v>
      </c>
    </row>
    <row r="468">
      <c r="A468" s="1" t="s">
        <v>12264</v>
      </c>
    </row>
    <row r="469">
      <c r="A469" s="1" t="s">
        <v>12265</v>
      </c>
    </row>
    <row r="470">
      <c r="A470" s="1" t="s">
        <v>12266</v>
      </c>
    </row>
    <row r="471">
      <c r="A471" s="1" t="s">
        <v>12267</v>
      </c>
    </row>
    <row r="472">
      <c r="A472" s="1" t="s">
        <v>12268</v>
      </c>
    </row>
    <row r="473">
      <c r="A473" s="1" t="s">
        <v>12269</v>
      </c>
    </row>
    <row r="474">
      <c r="A474" s="1" t="s">
        <v>12270</v>
      </c>
    </row>
    <row r="475">
      <c r="A475" s="1" t="s">
        <v>12271</v>
      </c>
    </row>
    <row r="476">
      <c r="A476" s="1" t="s">
        <v>12272</v>
      </c>
    </row>
    <row r="477">
      <c r="A477" s="1" t="s">
        <v>12273</v>
      </c>
    </row>
    <row r="478">
      <c r="A478" s="1" t="s">
        <v>12274</v>
      </c>
    </row>
    <row r="479">
      <c r="A479" s="1" t="s">
        <v>12275</v>
      </c>
    </row>
    <row r="480">
      <c r="A480" s="1" t="s">
        <v>12276</v>
      </c>
    </row>
    <row r="481">
      <c r="A481" s="1" t="s">
        <v>12277</v>
      </c>
    </row>
    <row r="482">
      <c r="A482" s="1" t="s">
        <v>12278</v>
      </c>
    </row>
    <row r="483">
      <c r="A483" s="1" t="s">
        <v>12279</v>
      </c>
    </row>
    <row r="484">
      <c r="A484" s="1" t="s">
        <v>12280</v>
      </c>
    </row>
    <row r="485">
      <c r="A485" s="1" t="s">
        <v>12281</v>
      </c>
    </row>
    <row r="486">
      <c r="A486" s="1" t="s">
        <v>12282</v>
      </c>
    </row>
    <row r="487">
      <c r="A487" s="1" t="s">
        <v>12283</v>
      </c>
    </row>
    <row r="488">
      <c r="A488" s="1" t="s">
        <v>12284</v>
      </c>
    </row>
    <row r="489">
      <c r="A489" s="1" t="s">
        <v>12285</v>
      </c>
    </row>
    <row r="490">
      <c r="A490" s="1" t="s">
        <v>12286</v>
      </c>
    </row>
    <row r="491">
      <c r="A491" s="1" t="s">
        <v>12287</v>
      </c>
    </row>
    <row r="492">
      <c r="A492" s="1" t="s">
        <v>12288</v>
      </c>
    </row>
    <row r="493">
      <c r="A493" s="1" t="s">
        <v>12289</v>
      </c>
    </row>
    <row r="494">
      <c r="A494" s="1" t="s">
        <v>12290</v>
      </c>
    </row>
    <row r="495">
      <c r="A495" s="1" t="s">
        <v>12291</v>
      </c>
    </row>
    <row r="496">
      <c r="A496" s="1" t="s">
        <v>12292</v>
      </c>
    </row>
    <row r="497">
      <c r="A497" s="1" t="s">
        <v>12293</v>
      </c>
    </row>
    <row r="498">
      <c r="A498" s="1" t="s">
        <v>12294</v>
      </c>
    </row>
    <row r="499">
      <c r="A499" s="1" t="s">
        <v>12295</v>
      </c>
    </row>
    <row r="500">
      <c r="A500" s="1" t="s">
        <v>12296</v>
      </c>
    </row>
    <row r="501">
      <c r="A501" s="1" t="s">
        <v>12297</v>
      </c>
    </row>
    <row r="502">
      <c r="A502" s="1" t="s">
        <v>12298</v>
      </c>
    </row>
    <row r="503">
      <c r="A503" s="1" t="s">
        <v>12299</v>
      </c>
    </row>
    <row r="504">
      <c r="A504" s="1" t="s">
        <v>12300</v>
      </c>
    </row>
    <row r="505">
      <c r="A505" s="1" t="s">
        <v>12301</v>
      </c>
    </row>
    <row r="506">
      <c r="A506" s="1" t="s">
        <v>12302</v>
      </c>
    </row>
    <row r="507">
      <c r="A507" s="1" t="s">
        <v>12303</v>
      </c>
    </row>
    <row r="508">
      <c r="A508" s="1" t="s">
        <v>12304</v>
      </c>
    </row>
    <row r="509">
      <c r="A509" s="1" t="s">
        <v>12305</v>
      </c>
    </row>
    <row r="510">
      <c r="A510" s="1" t="s">
        <v>12306</v>
      </c>
    </row>
    <row r="511">
      <c r="A511" s="1" t="s">
        <v>12307</v>
      </c>
    </row>
    <row r="512">
      <c r="A512" s="1" t="s">
        <v>12308</v>
      </c>
    </row>
    <row r="513">
      <c r="A513" s="1" t="s">
        <v>12309</v>
      </c>
    </row>
    <row r="514">
      <c r="A514" s="1" t="s">
        <v>12310</v>
      </c>
    </row>
    <row r="515">
      <c r="A515" s="1" t="s">
        <v>12311</v>
      </c>
    </row>
    <row r="516">
      <c r="A516" s="1" t="s">
        <v>12312</v>
      </c>
    </row>
    <row r="517">
      <c r="A517" s="1" t="s">
        <v>12313</v>
      </c>
    </row>
    <row r="518">
      <c r="A518" s="1" t="s">
        <v>12314</v>
      </c>
    </row>
    <row r="519">
      <c r="A519" s="1" t="s">
        <v>12315</v>
      </c>
    </row>
    <row r="520">
      <c r="A520" s="1" t="s">
        <v>12316</v>
      </c>
    </row>
    <row r="521">
      <c r="A521" s="1" t="s">
        <v>12317</v>
      </c>
    </row>
    <row r="522">
      <c r="A522" s="1" t="s">
        <v>12281</v>
      </c>
    </row>
    <row r="523">
      <c r="A523" s="1" t="s">
        <v>12282</v>
      </c>
    </row>
    <row r="524">
      <c r="A524" s="1" t="s">
        <v>12283</v>
      </c>
    </row>
    <row r="525">
      <c r="A525" s="1" t="s">
        <v>12318</v>
      </c>
    </row>
    <row r="526">
      <c r="A526" s="1" t="s">
        <v>12285</v>
      </c>
    </row>
    <row r="527">
      <c r="A527" s="1" t="s">
        <v>12319</v>
      </c>
    </row>
    <row r="528">
      <c r="A528" s="1" t="s">
        <v>12320</v>
      </c>
    </row>
    <row r="529">
      <c r="A529" s="1" t="s">
        <v>12287</v>
      </c>
    </row>
    <row r="530">
      <c r="A530" s="1" t="s">
        <v>12288</v>
      </c>
    </row>
    <row r="531">
      <c r="A531" s="1" t="s">
        <v>12321</v>
      </c>
    </row>
    <row r="532">
      <c r="A532" s="1" t="s">
        <v>12322</v>
      </c>
    </row>
    <row r="533">
      <c r="A533" s="1" t="s">
        <v>12323</v>
      </c>
    </row>
    <row r="534">
      <c r="A534" s="1" t="s">
        <v>12324</v>
      </c>
    </row>
    <row r="535">
      <c r="A535" s="1" t="s">
        <v>12325</v>
      </c>
    </row>
    <row r="536">
      <c r="A536" s="1" t="s">
        <v>12326</v>
      </c>
    </row>
    <row r="537">
      <c r="A537" s="1" t="s">
        <v>12327</v>
      </c>
    </row>
    <row r="538">
      <c r="A538" s="1" t="s">
        <v>12328</v>
      </c>
    </row>
    <row r="539">
      <c r="A539" s="1" t="s">
        <v>12329</v>
      </c>
    </row>
    <row r="540">
      <c r="A540" s="1" t="s">
        <v>12330</v>
      </c>
    </row>
    <row r="541">
      <c r="A541" s="1" t="s">
        <v>12331</v>
      </c>
    </row>
    <row r="542">
      <c r="A542" s="1" t="s">
        <v>12332</v>
      </c>
    </row>
    <row r="543">
      <c r="A543" s="1" t="s">
        <v>12333</v>
      </c>
    </row>
    <row r="544">
      <c r="A544" s="1" t="s">
        <v>12334</v>
      </c>
    </row>
    <row r="545">
      <c r="A545" s="1" t="s">
        <v>12335</v>
      </c>
    </row>
    <row r="546">
      <c r="A546" s="1" t="s">
        <v>12336</v>
      </c>
    </row>
    <row r="547">
      <c r="A547" s="1" t="s">
        <v>12337</v>
      </c>
    </row>
    <row r="548">
      <c r="A548" s="1" t="s">
        <v>12338</v>
      </c>
    </row>
    <row r="549">
      <c r="A549" s="1" t="s">
        <v>12339</v>
      </c>
    </row>
    <row r="550">
      <c r="A550" s="1" t="s">
        <v>12340</v>
      </c>
    </row>
    <row r="551">
      <c r="A551" s="1" t="s">
        <v>12341</v>
      </c>
    </row>
    <row r="552">
      <c r="A552" s="1" t="s">
        <v>12342</v>
      </c>
    </row>
    <row r="553">
      <c r="A553" s="1" t="s">
        <v>12343</v>
      </c>
    </row>
    <row r="554">
      <c r="A554" s="1" t="s">
        <v>12244</v>
      </c>
    </row>
    <row r="555">
      <c r="A555" s="1" t="s">
        <v>12344</v>
      </c>
    </row>
    <row r="556">
      <c r="A556" s="1" t="s">
        <v>12345</v>
      </c>
    </row>
    <row r="557">
      <c r="A557" s="1" t="s">
        <v>12346</v>
      </c>
    </row>
    <row r="558">
      <c r="A558" s="1" t="s">
        <v>12347</v>
      </c>
    </row>
    <row r="559">
      <c r="A559" s="1" t="s">
        <v>12348</v>
      </c>
    </row>
    <row r="560">
      <c r="A560" s="1" t="s">
        <v>12349</v>
      </c>
    </row>
    <row r="561">
      <c r="A561" s="1" t="s">
        <v>12350</v>
      </c>
    </row>
    <row r="562">
      <c r="A562" s="1" t="s">
        <v>12351</v>
      </c>
    </row>
    <row r="563">
      <c r="A563" s="1" t="s">
        <v>12352</v>
      </c>
    </row>
    <row r="564">
      <c r="A564" s="1" t="s">
        <v>12353</v>
      </c>
    </row>
    <row r="565">
      <c r="A565" s="1" t="s">
        <v>12354</v>
      </c>
    </row>
    <row r="566">
      <c r="A566" s="1" t="s">
        <v>12355</v>
      </c>
    </row>
    <row r="567">
      <c r="A567" s="1" t="s">
        <v>12356</v>
      </c>
    </row>
    <row r="568">
      <c r="A568" s="1" t="s">
        <v>12357</v>
      </c>
    </row>
    <row r="569">
      <c r="A569" s="1" t="s">
        <v>12358</v>
      </c>
    </row>
    <row r="570">
      <c r="A570" s="1" t="s">
        <v>12359</v>
      </c>
    </row>
    <row r="571">
      <c r="A571" s="1" t="s">
        <v>12360</v>
      </c>
    </row>
    <row r="572">
      <c r="A572" s="1" t="s">
        <v>12361</v>
      </c>
    </row>
    <row r="573">
      <c r="A573" s="1" t="s">
        <v>12362</v>
      </c>
    </row>
    <row r="574">
      <c r="A574" s="1" t="s">
        <v>12363</v>
      </c>
    </row>
    <row r="575">
      <c r="A575" s="1" t="s">
        <v>12364</v>
      </c>
    </row>
    <row r="576">
      <c r="A576" s="1" t="s">
        <v>12365</v>
      </c>
    </row>
    <row r="577">
      <c r="A577" s="1" t="s">
        <v>12366</v>
      </c>
    </row>
    <row r="578">
      <c r="A578" s="1" t="s">
        <v>12010</v>
      </c>
    </row>
    <row r="579">
      <c r="A579" s="1" t="s">
        <v>12367</v>
      </c>
    </row>
    <row r="580">
      <c r="A580" s="1" t="s">
        <v>12368</v>
      </c>
    </row>
    <row r="581">
      <c r="A581" s="1" t="s">
        <v>12369</v>
      </c>
    </row>
    <row r="582">
      <c r="A582" s="1" t="s">
        <v>12370</v>
      </c>
    </row>
    <row r="583">
      <c r="A583" s="1" t="s">
        <v>12371</v>
      </c>
    </row>
    <row r="584">
      <c r="A584" s="1" t="s">
        <v>12372</v>
      </c>
    </row>
    <row r="585">
      <c r="A585" s="1" t="s">
        <v>12373</v>
      </c>
    </row>
    <row r="586">
      <c r="A586" s="1" t="s">
        <v>12374</v>
      </c>
    </row>
    <row r="587">
      <c r="A587" s="1" t="s">
        <v>12375</v>
      </c>
    </row>
    <row r="588">
      <c r="A588" s="1" t="s">
        <v>12376</v>
      </c>
    </row>
    <row r="589">
      <c r="A589" s="1" t="s">
        <v>12377</v>
      </c>
    </row>
    <row r="590">
      <c r="A590" s="1" t="s">
        <v>12378</v>
      </c>
    </row>
    <row r="591">
      <c r="A591" s="1" t="s">
        <v>12379</v>
      </c>
    </row>
    <row r="592">
      <c r="A592" s="1" t="s">
        <v>12380</v>
      </c>
    </row>
    <row r="593">
      <c r="A593" s="1" t="s">
        <v>12381</v>
      </c>
    </row>
    <row r="594">
      <c r="A594" s="1" t="s">
        <v>12351</v>
      </c>
    </row>
    <row r="595">
      <c r="A595" s="1" t="s">
        <v>12382</v>
      </c>
    </row>
    <row r="596">
      <c r="A596" s="1" t="s">
        <v>12383</v>
      </c>
    </row>
    <row r="597">
      <c r="A597" s="1" t="s">
        <v>12384</v>
      </c>
    </row>
    <row r="598">
      <c r="A598" s="1" t="s">
        <v>12385</v>
      </c>
    </row>
    <row r="599">
      <c r="A599" s="1" t="s">
        <v>12386</v>
      </c>
    </row>
    <row r="600">
      <c r="A600" s="1" t="s">
        <v>12387</v>
      </c>
    </row>
    <row r="601">
      <c r="A601" s="1" t="s">
        <v>12388</v>
      </c>
    </row>
    <row r="602">
      <c r="A602" s="1" t="s">
        <v>12389</v>
      </c>
    </row>
    <row r="603">
      <c r="A603" s="1" t="s">
        <v>12390</v>
      </c>
    </row>
    <row r="604">
      <c r="A604" s="1" t="s">
        <v>12391</v>
      </c>
    </row>
    <row r="605">
      <c r="A605" s="1" t="s">
        <v>12392</v>
      </c>
    </row>
    <row r="606">
      <c r="A606" s="1" t="s">
        <v>12393</v>
      </c>
    </row>
    <row r="607">
      <c r="A607" s="1" t="s">
        <v>12394</v>
      </c>
    </row>
    <row r="608">
      <c r="A608" s="1" t="s">
        <v>12395</v>
      </c>
    </row>
    <row r="609">
      <c r="A609" s="1" t="s">
        <v>12396</v>
      </c>
    </row>
    <row r="610">
      <c r="A610" s="1" t="s">
        <v>12397</v>
      </c>
    </row>
    <row r="611">
      <c r="A611" s="1" t="s">
        <v>12398</v>
      </c>
    </row>
    <row r="612">
      <c r="A612" s="1" t="s">
        <v>12399</v>
      </c>
    </row>
    <row r="613">
      <c r="A613" s="1" t="s">
        <v>12400</v>
      </c>
    </row>
    <row r="614">
      <c r="A614" s="1" t="s">
        <v>12401</v>
      </c>
    </row>
    <row r="615">
      <c r="A615" s="1" t="s">
        <v>12402</v>
      </c>
    </row>
    <row r="616">
      <c r="A616" s="1" t="s">
        <v>12403</v>
      </c>
    </row>
    <row r="617">
      <c r="A617" s="1" t="s">
        <v>12404</v>
      </c>
    </row>
    <row r="618">
      <c r="A618" s="1" t="s">
        <v>12405</v>
      </c>
    </row>
    <row r="619">
      <c r="A619" s="1" t="s">
        <v>12406</v>
      </c>
    </row>
    <row r="620">
      <c r="A620" s="1" t="s">
        <v>12407</v>
      </c>
    </row>
    <row r="621">
      <c r="A621" s="1" t="s">
        <v>12408</v>
      </c>
    </row>
    <row r="622">
      <c r="A622" s="1" t="s">
        <v>12409</v>
      </c>
    </row>
    <row r="623">
      <c r="A623" s="1" t="s">
        <v>12410</v>
      </c>
    </row>
    <row r="624">
      <c r="A624" s="1" t="s">
        <v>12411</v>
      </c>
    </row>
    <row r="625">
      <c r="A625" s="1" t="s">
        <v>12412</v>
      </c>
    </row>
    <row r="626">
      <c r="A626" s="1" t="s">
        <v>12413</v>
      </c>
    </row>
    <row r="627">
      <c r="A627" s="1" t="s">
        <v>12414</v>
      </c>
    </row>
    <row r="628">
      <c r="A628" s="1" t="s">
        <v>12415</v>
      </c>
    </row>
    <row r="629">
      <c r="A629" s="1" t="s">
        <v>12416</v>
      </c>
    </row>
    <row r="630">
      <c r="A630" s="1" t="s">
        <v>12417</v>
      </c>
    </row>
    <row r="631">
      <c r="A631" s="1" t="s">
        <v>12418</v>
      </c>
    </row>
    <row r="632">
      <c r="A632" s="1" t="s">
        <v>12419</v>
      </c>
    </row>
    <row r="633">
      <c r="A633" s="1" t="s">
        <v>12420</v>
      </c>
    </row>
    <row r="634">
      <c r="A634" s="1" t="s">
        <v>12421</v>
      </c>
    </row>
    <row r="635">
      <c r="A635" s="1" t="s">
        <v>12422</v>
      </c>
    </row>
    <row r="636">
      <c r="A636" s="1" t="s">
        <v>12423</v>
      </c>
    </row>
    <row r="637">
      <c r="A637" s="1" t="s">
        <v>12424</v>
      </c>
    </row>
    <row r="638">
      <c r="A638" s="1" t="s">
        <v>12425</v>
      </c>
    </row>
    <row r="639">
      <c r="A639" s="1" t="s">
        <v>12426</v>
      </c>
    </row>
    <row r="640">
      <c r="A640" s="1" t="s">
        <v>12427</v>
      </c>
    </row>
    <row r="641">
      <c r="A641" s="1" t="s">
        <v>12428</v>
      </c>
    </row>
    <row r="642">
      <c r="A642" s="1" t="s">
        <v>12429</v>
      </c>
    </row>
    <row r="643">
      <c r="A643" s="1" t="s">
        <v>12430</v>
      </c>
    </row>
    <row r="644">
      <c r="A644" s="1" t="s">
        <v>12431</v>
      </c>
    </row>
    <row r="645">
      <c r="A645" s="1" t="s">
        <v>12432</v>
      </c>
    </row>
    <row r="646">
      <c r="A646" s="1" t="s">
        <v>12433</v>
      </c>
    </row>
    <row r="647">
      <c r="A647" s="1" t="s">
        <v>12434</v>
      </c>
    </row>
    <row r="648">
      <c r="A648" s="1" t="s">
        <v>12435</v>
      </c>
    </row>
    <row r="649">
      <c r="A649" s="1" t="s">
        <v>12436</v>
      </c>
    </row>
    <row r="650">
      <c r="A650" s="1" t="s">
        <v>12437</v>
      </c>
    </row>
    <row r="651">
      <c r="A651" s="1" t="s">
        <v>12438</v>
      </c>
    </row>
    <row r="652">
      <c r="A652" s="1" t="s">
        <v>12430</v>
      </c>
    </row>
    <row r="653">
      <c r="A653" s="1" t="s">
        <v>12439</v>
      </c>
    </row>
    <row r="654">
      <c r="A654" s="1" t="s">
        <v>12440</v>
      </c>
    </row>
    <row r="655">
      <c r="A655" s="1" t="s">
        <v>12441</v>
      </c>
    </row>
    <row r="656">
      <c r="A656" s="1" t="s">
        <v>12442</v>
      </c>
    </row>
    <row r="657">
      <c r="A657" s="1" t="s">
        <v>12443</v>
      </c>
    </row>
    <row r="658">
      <c r="A658" s="1" t="s">
        <v>12444</v>
      </c>
    </row>
    <row r="659">
      <c r="A659" s="1" t="s">
        <v>12445</v>
      </c>
    </row>
    <row r="660">
      <c r="A660" s="1" t="s">
        <v>12446</v>
      </c>
    </row>
    <row r="661">
      <c r="A661" s="1" t="s">
        <v>12447</v>
      </c>
    </row>
    <row r="662">
      <c r="A662" s="1" t="s">
        <v>12448</v>
      </c>
    </row>
    <row r="663">
      <c r="A663" s="1" t="s">
        <v>12449</v>
      </c>
    </row>
    <row r="664">
      <c r="A664" s="1" t="s">
        <v>12450</v>
      </c>
    </row>
    <row r="665">
      <c r="A665" s="1" t="s">
        <v>12451</v>
      </c>
    </row>
    <row r="666">
      <c r="A666" s="1" t="s">
        <v>12452</v>
      </c>
    </row>
    <row r="667">
      <c r="A667" s="1" t="s">
        <v>12453</v>
      </c>
    </row>
    <row r="668">
      <c r="A668" s="1" t="s">
        <v>12454</v>
      </c>
    </row>
    <row r="669">
      <c r="A669" s="1" t="s">
        <v>12455</v>
      </c>
    </row>
    <row r="670">
      <c r="A670" s="1" t="s">
        <v>12456</v>
      </c>
    </row>
    <row r="671">
      <c r="A671" s="1" t="s">
        <v>12457</v>
      </c>
    </row>
    <row r="672">
      <c r="A672" s="1" t="s">
        <v>12458</v>
      </c>
    </row>
    <row r="673">
      <c r="A673" s="1" t="s">
        <v>12459</v>
      </c>
    </row>
    <row r="674">
      <c r="A674" s="1" t="s">
        <v>12460</v>
      </c>
    </row>
    <row r="675">
      <c r="A675" s="1" t="s">
        <v>12461</v>
      </c>
    </row>
    <row r="676">
      <c r="A676" s="1" t="s">
        <v>12462</v>
      </c>
    </row>
    <row r="677">
      <c r="A677" s="1" t="s">
        <v>12463</v>
      </c>
    </row>
    <row r="678">
      <c r="A678" s="1" t="s">
        <v>12464</v>
      </c>
    </row>
    <row r="679">
      <c r="A679" s="1" t="s">
        <v>12465</v>
      </c>
    </row>
    <row r="680">
      <c r="A680" s="1" t="s">
        <v>12466</v>
      </c>
    </row>
    <row r="681">
      <c r="A681" s="1" t="s">
        <v>12430</v>
      </c>
    </row>
    <row r="682">
      <c r="A682" s="1" t="s">
        <v>12439</v>
      </c>
    </row>
    <row r="683">
      <c r="A683" s="1" t="s">
        <v>12467</v>
      </c>
    </row>
    <row r="684">
      <c r="A684" s="1" t="s">
        <v>12468</v>
      </c>
    </row>
    <row r="685">
      <c r="A685" s="1" t="s">
        <v>12469</v>
      </c>
    </row>
    <row r="686">
      <c r="A686" s="1" t="s">
        <v>12470</v>
      </c>
    </row>
    <row r="687">
      <c r="A687" s="1" t="s">
        <v>12471</v>
      </c>
    </row>
    <row r="688">
      <c r="A688" s="1" t="s">
        <v>12472</v>
      </c>
    </row>
    <row r="689">
      <c r="A689" s="1" t="s">
        <v>12473</v>
      </c>
    </row>
    <row r="690">
      <c r="A690" s="1" t="s">
        <v>12474</v>
      </c>
    </row>
    <row r="691">
      <c r="A691" s="1" t="s">
        <v>12475</v>
      </c>
    </row>
    <row r="692">
      <c r="A692" s="1" t="s">
        <v>12476</v>
      </c>
    </row>
    <row r="693">
      <c r="A693" s="1" t="s">
        <v>12477</v>
      </c>
    </row>
    <row r="694">
      <c r="A694" s="1" t="s">
        <v>12478</v>
      </c>
    </row>
    <row r="695">
      <c r="A695" s="1" t="s">
        <v>12479</v>
      </c>
    </row>
    <row r="696">
      <c r="A696" s="1" t="s">
        <v>12480</v>
      </c>
    </row>
    <row r="697">
      <c r="A697" s="1" t="s">
        <v>12481</v>
      </c>
    </row>
    <row r="698">
      <c r="A698" s="1" t="s">
        <v>12482</v>
      </c>
    </row>
    <row r="699">
      <c r="A699" s="1" t="s">
        <v>12483</v>
      </c>
    </row>
    <row r="700">
      <c r="A700" s="1" t="s">
        <v>12484</v>
      </c>
    </row>
    <row r="701">
      <c r="A701" s="1" t="s">
        <v>12485</v>
      </c>
    </row>
    <row r="702">
      <c r="A702" s="1" t="s">
        <v>12486</v>
      </c>
    </row>
    <row r="703">
      <c r="A703" s="1" t="s">
        <v>12487</v>
      </c>
    </row>
    <row r="704">
      <c r="A704" s="1" t="s">
        <v>12488</v>
      </c>
    </row>
    <row r="705">
      <c r="A705" s="1" t="s">
        <v>12489</v>
      </c>
    </row>
    <row r="706">
      <c r="A706" s="1" t="s">
        <v>12490</v>
      </c>
    </row>
    <row r="707">
      <c r="A707" s="1" t="s">
        <v>12491</v>
      </c>
    </row>
    <row r="708">
      <c r="A708" s="1" t="s">
        <v>12492</v>
      </c>
    </row>
    <row r="709">
      <c r="A709" s="1" t="s">
        <v>12493</v>
      </c>
    </row>
    <row r="710">
      <c r="A710" s="1" t="s">
        <v>12494</v>
      </c>
    </row>
    <row r="711">
      <c r="A711" s="1" t="s">
        <v>12495</v>
      </c>
    </row>
    <row r="712">
      <c r="A712" s="1" t="s">
        <v>12496</v>
      </c>
    </row>
    <row r="713">
      <c r="A713" s="1" t="s">
        <v>12497</v>
      </c>
    </row>
    <row r="714">
      <c r="A714" s="1" t="s">
        <v>12498</v>
      </c>
    </row>
    <row r="715">
      <c r="A715" s="1" t="s">
        <v>12499</v>
      </c>
    </row>
    <row r="716">
      <c r="A716" s="1" t="s">
        <v>12500</v>
      </c>
    </row>
    <row r="717">
      <c r="A717" s="1" t="s">
        <v>12501</v>
      </c>
    </row>
    <row r="718">
      <c r="A718" s="1" t="s">
        <v>12502</v>
      </c>
    </row>
    <row r="719">
      <c r="A719" s="1" t="s">
        <v>12503</v>
      </c>
    </row>
    <row r="720">
      <c r="A720" s="1" t="s">
        <v>12504</v>
      </c>
    </row>
    <row r="721">
      <c r="A721" s="1" t="s">
        <v>12505</v>
      </c>
    </row>
    <row r="722">
      <c r="A722" s="1" t="s">
        <v>12506</v>
      </c>
    </row>
    <row r="723">
      <c r="A723" s="1" t="s">
        <v>12507</v>
      </c>
    </row>
    <row r="724">
      <c r="A724" s="1" t="s">
        <v>12508</v>
      </c>
    </row>
    <row r="725">
      <c r="A725" s="1" t="s">
        <v>12509</v>
      </c>
    </row>
    <row r="726">
      <c r="A726" s="1" t="s">
        <v>12510</v>
      </c>
    </row>
    <row r="727">
      <c r="A727" s="1" t="s">
        <v>12511</v>
      </c>
    </row>
    <row r="728">
      <c r="A728" s="1" t="s">
        <v>12512</v>
      </c>
    </row>
    <row r="729">
      <c r="A729" s="1" t="s">
        <v>12513</v>
      </c>
    </row>
    <row r="730">
      <c r="A730" s="1" t="s">
        <v>12514</v>
      </c>
    </row>
    <row r="731">
      <c r="A731" s="1" t="s">
        <v>12515</v>
      </c>
    </row>
    <row r="732">
      <c r="A732" s="1" t="s">
        <v>12516</v>
      </c>
    </row>
    <row r="733">
      <c r="A733" s="1" t="s">
        <v>12517</v>
      </c>
    </row>
    <row r="734">
      <c r="A734" s="1" t="s">
        <v>12518</v>
      </c>
    </row>
    <row r="735">
      <c r="A735" s="1" t="s">
        <v>12519</v>
      </c>
    </row>
    <row r="736">
      <c r="A736" s="1" t="s">
        <v>12520</v>
      </c>
    </row>
    <row r="737">
      <c r="A737" s="1" t="s">
        <v>12521</v>
      </c>
    </row>
    <row r="738">
      <c r="A738" s="1" t="s">
        <v>12522</v>
      </c>
    </row>
    <row r="739">
      <c r="A739" s="1" t="s">
        <v>12523</v>
      </c>
    </row>
    <row r="740">
      <c r="A740" s="1" t="s">
        <v>12524</v>
      </c>
    </row>
    <row r="741">
      <c r="A741" s="1" t="s">
        <v>12525</v>
      </c>
    </row>
    <row r="742">
      <c r="A742" s="1" t="s">
        <v>12526</v>
      </c>
    </row>
    <row r="743">
      <c r="A743" s="1" t="s">
        <v>12527</v>
      </c>
    </row>
    <row r="744">
      <c r="A744" s="1" t="s">
        <v>12528</v>
      </c>
    </row>
    <row r="745">
      <c r="A745" s="1" t="s">
        <v>12529</v>
      </c>
    </row>
    <row r="746">
      <c r="A746" s="1" t="s">
        <v>12530</v>
      </c>
    </row>
    <row r="747">
      <c r="A747" s="1" t="s">
        <v>12531</v>
      </c>
    </row>
    <row r="748">
      <c r="A748" s="1" t="s">
        <v>12532</v>
      </c>
    </row>
    <row r="749">
      <c r="A749" s="1" t="s">
        <v>12533</v>
      </c>
    </row>
    <row r="750">
      <c r="A750" s="1" t="s">
        <v>12534</v>
      </c>
    </row>
    <row r="751">
      <c r="A751" s="1" t="s">
        <v>12535</v>
      </c>
    </row>
    <row r="752">
      <c r="A752" s="1" t="s">
        <v>12536</v>
      </c>
    </row>
    <row r="753">
      <c r="A753" s="1" t="s">
        <v>12537</v>
      </c>
    </row>
    <row r="754">
      <c r="A754" s="1" t="s">
        <v>12538</v>
      </c>
    </row>
    <row r="755">
      <c r="A755" s="1" t="s">
        <v>12539</v>
      </c>
    </row>
    <row r="756">
      <c r="A756" s="1" t="s">
        <v>12540</v>
      </c>
    </row>
    <row r="757">
      <c r="A757" s="1" t="s">
        <v>12541</v>
      </c>
    </row>
    <row r="758">
      <c r="A758" s="1" t="s">
        <v>12542</v>
      </c>
    </row>
    <row r="759">
      <c r="A759" s="1" t="s">
        <v>12543</v>
      </c>
    </row>
    <row r="760">
      <c r="A760" s="1" t="s">
        <v>12544</v>
      </c>
    </row>
    <row r="761">
      <c r="A761" s="1" t="s">
        <v>12545</v>
      </c>
    </row>
    <row r="762">
      <c r="A762" s="1" t="s">
        <v>12546</v>
      </c>
    </row>
    <row r="763">
      <c r="A763" s="1" t="s">
        <v>12547</v>
      </c>
    </row>
    <row r="764">
      <c r="A764" s="1" t="s">
        <v>12548</v>
      </c>
    </row>
    <row r="765">
      <c r="A765" s="1" t="s">
        <v>12549</v>
      </c>
    </row>
    <row r="766">
      <c r="A766" s="1" t="s">
        <v>12550</v>
      </c>
    </row>
    <row r="767">
      <c r="A767" s="1" t="s">
        <v>12551</v>
      </c>
    </row>
    <row r="768">
      <c r="A768" s="1" t="s">
        <v>12552</v>
      </c>
    </row>
    <row r="769">
      <c r="A769" s="1" t="s">
        <v>12553</v>
      </c>
    </row>
    <row r="770">
      <c r="A770" s="1" t="s">
        <v>12554</v>
      </c>
    </row>
    <row r="771">
      <c r="A771" s="1" t="s">
        <v>12555</v>
      </c>
    </row>
    <row r="772">
      <c r="A772" s="1" t="s">
        <v>12556</v>
      </c>
    </row>
    <row r="773">
      <c r="A773" s="1" t="s">
        <v>12557</v>
      </c>
    </row>
    <row r="774">
      <c r="A774" s="1" t="s">
        <v>12558</v>
      </c>
    </row>
    <row r="775">
      <c r="A775" s="1" t="s">
        <v>12559</v>
      </c>
    </row>
    <row r="776">
      <c r="A776" s="1" t="s">
        <v>12560</v>
      </c>
    </row>
    <row r="777">
      <c r="A777" s="1" t="s">
        <v>12561</v>
      </c>
    </row>
    <row r="778">
      <c r="A778" s="1" t="s">
        <v>12562</v>
      </c>
    </row>
    <row r="779">
      <c r="A779" s="1" t="s">
        <v>12563</v>
      </c>
    </row>
    <row r="780">
      <c r="A780" s="1" t="s">
        <v>12564</v>
      </c>
    </row>
    <row r="781">
      <c r="A781" s="1" t="s">
        <v>12565</v>
      </c>
    </row>
    <row r="782">
      <c r="A782" s="1" t="s">
        <v>12566</v>
      </c>
    </row>
    <row r="783">
      <c r="A783" s="1" t="s">
        <v>12567</v>
      </c>
    </row>
    <row r="784">
      <c r="A784" s="1" t="s">
        <v>12568</v>
      </c>
    </row>
    <row r="785">
      <c r="A785" s="1" t="s">
        <v>12569</v>
      </c>
    </row>
    <row r="786">
      <c r="A786" s="1" t="s">
        <v>12570</v>
      </c>
    </row>
    <row r="787">
      <c r="A787" s="1" t="s">
        <v>12571</v>
      </c>
    </row>
    <row r="788">
      <c r="A788" s="1" t="s">
        <v>12572</v>
      </c>
    </row>
    <row r="789">
      <c r="A789" s="1" t="s">
        <v>12573</v>
      </c>
    </row>
    <row r="790">
      <c r="A790" s="1" t="s">
        <v>12574</v>
      </c>
    </row>
    <row r="791">
      <c r="A791" s="1" t="s">
        <v>12575</v>
      </c>
    </row>
    <row r="792">
      <c r="A792" s="1" t="s">
        <v>12576</v>
      </c>
    </row>
    <row r="793">
      <c r="A793" s="1" t="s">
        <v>12577</v>
      </c>
    </row>
    <row r="794">
      <c r="A794" s="1" t="s">
        <v>12578</v>
      </c>
    </row>
    <row r="795">
      <c r="A795" s="1" t="s">
        <v>12579</v>
      </c>
    </row>
    <row r="796">
      <c r="A796" s="1" t="s">
        <v>12580</v>
      </c>
    </row>
    <row r="797">
      <c r="A797" s="1" t="s">
        <v>12581</v>
      </c>
    </row>
    <row r="798">
      <c r="A798" s="1" t="s">
        <v>12582</v>
      </c>
    </row>
    <row r="799">
      <c r="A799" s="1" t="s">
        <v>12583</v>
      </c>
    </row>
    <row r="800">
      <c r="A800" s="1" t="s">
        <v>12584</v>
      </c>
    </row>
    <row r="801">
      <c r="A801" s="1" t="s">
        <v>12585</v>
      </c>
    </row>
    <row r="802">
      <c r="A802" s="1" t="s">
        <v>12586</v>
      </c>
    </row>
    <row r="803">
      <c r="A803" s="1" t="s">
        <v>12587</v>
      </c>
    </row>
    <row r="804">
      <c r="A804" s="1" t="s">
        <v>12588</v>
      </c>
    </row>
    <row r="805">
      <c r="A805" s="1" t="s">
        <v>12589</v>
      </c>
    </row>
    <row r="806">
      <c r="A806" s="1" t="s">
        <v>12590</v>
      </c>
    </row>
    <row r="807">
      <c r="A807" s="1" t="s">
        <v>12591</v>
      </c>
    </row>
    <row r="808">
      <c r="A808" s="1" t="s">
        <v>12592</v>
      </c>
    </row>
    <row r="809">
      <c r="A809" s="1" t="s">
        <v>12593</v>
      </c>
    </row>
    <row r="810">
      <c r="A810" s="1" t="s">
        <v>12594</v>
      </c>
    </row>
    <row r="811">
      <c r="A811" s="1" t="s">
        <v>12595</v>
      </c>
    </row>
    <row r="812">
      <c r="A812" s="1" t="s">
        <v>12596</v>
      </c>
    </row>
    <row r="813">
      <c r="A813" s="1" t="s">
        <v>12597</v>
      </c>
    </row>
    <row r="814">
      <c r="A814" s="1" t="s">
        <v>12598</v>
      </c>
    </row>
    <row r="815">
      <c r="A815" s="1" t="s">
        <v>12599</v>
      </c>
    </row>
    <row r="816">
      <c r="A816" s="1" t="s">
        <v>12600</v>
      </c>
    </row>
    <row r="817">
      <c r="A817" s="1" t="s">
        <v>12601</v>
      </c>
    </row>
    <row r="818">
      <c r="A818" s="1" t="s">
        <v>12602</v>
      </c>
    </row>
    <row r="819">
      <c r="A819" s="1" t="s">
        <v>12603</v>
      </c>
    </row>
    <row r="820">
      <c r="A820" s="1" t="s">
        <v>12604</v>
      </c>
    </row>
    <row r="821">
      <c r="A821" s="1" t="s">
        <v>12605</v>
      </c>
    </row>
    <row r="822">
      <c r="A822" s="1" t="s">
        <v>12606</v>
      </c>
    </row>
    <row r="823">
      <c r="A823" s="1" t="s">
        <v>12607</v>
      </c>
    </row>
    <row r="824">
      <c r="A824" s="1" t="s">
        <v>12608</v>
      </c>
    </row>
    <row r="825">
      <c r="A825" s="1" t="s">
        <v>12609</v>
      </c>
    </row>
    <row r="826">
      <c r="A826" s="1" t="s">
        <v>12610</v>
      </c>
    </row>
    <row r="827">
      <c r="A827" s="1" t="s">
        <v>12611</v>
      </c>
    </row>
    <row r="828">
      <c r="A828" s="1" t="s">
        <v>12612</v>
      </c>
    </row>
    <row r="829">
      <c r="A829" s="1" t="s">
        <v>12613</v>
      </c>
    </row>
    <row r="830">
      <c r="A830" s="1" t="s">
        <v>12614</v>
      </c>
    </row>
    <row r="831">
      <c r="A831" s="1" t="s">
        <v>12615</v>
      </c>
    </row>
    <row r="832">
      <c r="A832" s="1" t="s">
        <v>12616</v>
      </c>
    </row>
    <row r="833">
      <c r="A833" s="1" t="s">
        <v>12617</v>
      </c>
    </row>
    <row r="834">
      <c r="A834" s="1" t="s">
        <v>12618</v>
      </c>
    </row>
    <row r="835">
      <c r="A835" s="1" t="s">
        <v>12619</v>
      </c>
    </row>
    <row r="836">
      <c r="A836" s="1" t="s">
        <v>12620</v>
      </c>
    </row>
    <row r="837">
      <c r="A837" s="1" t="s">
        <v>12621</v>
      </c>
    </row>
    <row r="838">
      <c r="A838" s="1" t="s">
        <v>12622</v>
      </c>
    </row>
    <row r="839">
      <c r="A839" s="1" t="s">
        <v>12623</v>
      </c>
    </row>
    <row r="840">
      <c r="A840" s="1" t="s">
        <v>12624</v>
      </c>
    </row>
    <row r="841">
      <c r="A841" s="1" t="s">
        <v>12625</v>
      </c>
    </row>
    <row r="842">
      <c r="A842" s="1" t="s">
        <v>12626</v>
      </c>
    </row>
    <row r="843">
      <c r="A843" s="1" t="s">
        <v>12627</v>
      </c>
    </row>
    <row r="844">
      <c r="A844" s="1" t="s">
        <v>12628</v>
      </c>
    </row>
    <row r="845">
      <c r="A845" s="1" t="s">
        <v>12629</v>
      </c>
    </row>
    <row r="846">
      <c r="A846" s="1" t="s">
        <v>12630</v>
      </c>
    </row>
    <row r="847">
      <c r="A847" s="1" t="s">
        <v>12631</v>
      </c>
    </row>
    <row r="848">
      <c r="A848" s="1" t="s">
        <v>12632</v>
      </c>
    </row>
    <row r="849">
      <c r="A849" s="1" t="s">
        <v>12633</v>
      </c>
    </row>
    <row r="850">
      <c r="A850" s="1" t="s">
        <v>12634</v>
      </c>
    </row>
    <row r="851">
      <c r="A851" s="1" t="s">
        <v>12635</v>
      </c>
    </row>
    <row r="852">
      <c r="A852" s="1" t="s">
        <v>12636</v>
      </c>
    </row>
    <row r="853">
      <c r="A853" s="1" t="s">
        <v>12637</v>
      </c>
    </row>
    <row r="854">
      <c r="A854" s="1" t="s">
        <v>12638</v>
      </c>
    </row>
    <row r="855">
      <c r="A855" s="1" t="s">
        <v>12639</v>
      </c>
    </row>
    <row r="856">
      <c r="A856" s="1" t="s">
        <v>12640</v>
      </c>
    </row>
    <row r="857">
      <c r="A857" s="1" t="s">
        <v>12641</v>
      </c>
    </row>
    <row r="858">
      <c r="A858" s="1" t="s">
        <v>12642</v>
      </c>
    </row>
    <row r="859">
      <c r="A859" s="1" t="s">
        <v>12643</v>
      </c>
    </row>
    <row r="860">
      <c r="A860" s="1" t="s">
        <v>12644</v>
      </c>
    </row>
    <row r="861">
      <c r="A861" s="1" t="s">
        <v>12645</v>
      </c>
    </row>
    <row r="862">
      <c r="A862" s="1" t="s">
        <v>12646</v>
      </c>
    </row>
    <row r="863">
      <c r="A863" s="1" t="s">
        <v>12647</v>
      </c>
    </row>
    <row r="864">
      <c r="A864" s="1" t="s">
        <v>12648</v>
      </c>
    </row>
    <row r="865">
      <c r="A865" s="1" t="s">
        <v>12649</v>
      </c>
    </row>
    <row r="866">
      <c r="A866" s="1" t="s">
        <v>12650</v>
      </c>
    </row>
    <row r="867">
      <c r="A867" s="1" t="s">
        <v>12651</v>
      </c>
    </row>
    <row r="868">
      <c r="A868" s="1" t="s">
        <v>12652</v>
      </c>
    </row>
    <row r="869">
      <c r="A869" s="1" t="s">
        <v>12653</v>
      </c>
    </row>
    <row r="870">
      <c r="A870" s="1" t="s">
        <v>12654</v>
      </c>
    </row>
    <row r="871">
      <c r="A871" s="1" t="s">
        <v>12655</v>
      </c>
    </row>
    <row r="872">
      <c r="A872" s="1" t="s">
        <v>12656</v>
      </c>
    </row>
    <row r="873">
      <c r="A873" s="1" t="s">
        <v>12657</v>
      </c>
    </row>
    <row r="874">
      <c r="A874" s="1" t="s">
        <v>12658</v>
      </c>
    </row>
    <row r="875">
      <c r="A875" s="1" t="s">
        <v>12659</v>
      </c>
    </row>
    <row r="876">
      <c r="A876" s="1" t="s">
        <v>12660</v>
      </c>
    </row>
    <row r="877">
      <c r="A877" s="1" t="s">
        <v>12661</v>
      </c>
    </row>
    <row r="878">
      <c r="A878" s="1" t="s">
        <v>12662</v>
      </c>
    </row>
    <row r="879">
      <c r="A879" s="1" t="s">
        <v>12663</v>
      </c>
    </row>
    <row r="880">
      <c r="A880" s="1" t="s">
        <v>12664</v>
      </c>
    </row>
    <row r="881">
      <c r="A881" s="1" t="s">
        <v>12665</v>
      </c>
    </row>
    <row r="882">
      <c r="A882" s="1" t="s">
        <v>12666</v>
      </c>
    </row>
    <row r="883">
      <c r="A883" s="1" t="s">
        <v>12667</v>
      </c>
    </row>
    <row r="884">
      <c r="A884" s="1" t="s">
        <v>12668</v>
      </c>
    </row>
    <row r="885">
      <c r="A885" s="1" t="s">
        <v>12669</v>
      </c>
    </row>
    <row r="886">
      <c r="A886" s="1" t="s">
        <v>12670</v>
      </c>
    </row>
    <row r="887">
      <c r="A887" s="1" t="s">
        <v>12671</v>
      </c>
    </row>
    <row r="888">
      <c r="A888" s="1" t="s">
        <v>12672</v>
      </c>
    </row>
    <row r="889">
      <c r="A889" s="1" t="s">
        <v>12673</v>
      </c>
    </row>
    <row r="890">
      <c r="A890" s="1" t="s">
        <v>12674</v>
      </c>
    </row>
    <row r="891">
      <c r="A891" s="1" t="s">
        <v>12675</v>
      </c>
    </row>
    <row r="892">
      <c r="A892" s="1" t="s">
        <v>12676</v>
      </c>
    </row>
    <row r="893">
      <c r="A893" s="1" t="s">
        <v>12677</v>
      </c>
    </row>
    <row r="894">
      <c r="A894" s="1" t="s">
        <v>12678</v>
      </c>
    </row>
    <row r="895">
      <c r="A895" s="1" t="s">
        <v>12679</v>
      </c>
    </row>
    <row r="896">
      <c r="A896" s="1" t="s">
        <v>12680</v>
      </c>
    </row>
    <row r="897">
      <c r="A897" s="1" t="s">
        <v>12681</v>
      </c>
    </row>
    <row r="898">
      <c r="A898" s="1" t="s">
        <v>12682</v>
      </c>
    </row>
    <row r="899">
      <c r="A899" s="1" t="s">
        <v>12683</v>
      </c>
    </row>
    <row r="900">
      <c r="A900" s="1" t="s">
        <v>12684</v>
      </c>
    </row>
    <row r="901">
      <c r="A901" s="1" t="s">
        <v>12685</v>
      </c>
    </row>
    <row r="902">
      <c r="A902" s="1" t="s">
        <v>12686</v>
      </c>
    </row>
    <row r="903">
      <c r="A903" s="1" t="s">
        <v>12687</v>
      </c>
    </row>
    <row r="904">
      <c r="A904" s="1" t="s">
        <v>12688</v>
      </c>
    </row>
    <row r="905">
      <c r="A905" s="1" t="s">
        <v>12689</v>
      </c>
    </row>
    <row r="906">
      <c r="A906" s="1" t="s">
        <v>12690</v>
      </c>
    </row>
    <row r="907">
      <c r="A907" s="1" t="s">
        <v>12691</v>
      </c>
    </row>
    <row r="908">
      <c r="A908" s="1" t="s">
        <v>12426</v>
      </c>
    </row>
    <row r="909">
      <c r="A909" s="1" t="s">
        <v>12692</v>
      </c>
    </row>
    <row r="910">
      <c r="A910" s="1" t="s">
        <v>12693</v>
      </c>
    </row>
    <row r="911">
      <c r="A911" s="1" t="s">
        <v>12694</v>
      </c>
    </row>
    <row r="912">
      <c r="A912" s="1" t="s">
        <v>12695</v>
      </c>
    </row>
    <row r="913">
      <c r="A913" s="1" t="s">
        <v>12696</v>
      </c>
    </row>
    <row r="914">
      <c r="A914" s="1" t="s">
        <v>12697</v>
      </c>
    </row>
    <row r="915">
      <c r="A915" s="1" t="s">
        <v>12698</v>
      </c>
    </row>
    <row r="916">
      <c r="A916" s="1" t="s">
        <v>12699</v>
      </c>
    </row>
    <row r="917">
      <c r="A917" s="1" t="s">
        <v>12700</v>
      </c>
    </row>
    <row r="918">
      <c r="A918" s="1" t="s">
        <v>12701</v>
      </c>
    </row>
    <row r="919">
      <c r="A919" s="1" t="s">
        <v>12702</v>
      </c>
    </row>
    <row r="920">
      <c r="A920" s="1" t="s">
        <v>12703</v>
      </c>
    </row>
    <row r="921">
      <c r="A921" s="1" t="s">
        <v>12704</v>
      </c>
    </row>
    <row r="922">
      <c r="A922" s="1" t="s">
        <v>12705</v>
      </c>
    </row>
    <row r="923">
      <c r="A923" s="1" t="s">
        <v>12706</v>
      </c>
    </row>
    <row r="924">
      <c r="A924" s="1" t="s">
        <v>12707</v>
      </c>
    </row>
    <row r="925">
      <c r="A925" s="1" t="s">
        <v>12708</v>
      </c>
    </row>
    <row r="926">
      <c r="A926" s="1" t="s">
        <v>12709</v>
      </c>
    </row>
    <row r="927">
      <c r="A927" s="1" t="s">
        <v>12710</v>
      </c>
    </row>
    <row r="928">
      <c r="A928" s="1" t="s">
        <v>12711</v>
      </c>
    </row>
    <row r="929">
      <c r="A929" s="1" t="s">
        <v>12712</v>
      </c>
    </row>
    <row r="930">
      <c r="A930" s="1" t="s">
        <v>12713</v>
      </c>
    </row>
    <row r="931">
      <c r="A931" s="1" t="s">
        <v>12714</v>
      </c>
    </row>
    <row r="932">
      <c r="A932" s="1" t="s">
        <v>12715</v>
      </c>
    </row>
    <row r="933">
      <c r="A933" s="1" t="s">
        <v>12716</v>
      </c>
    </row>
    <row r="934">
      <c r="A934" s="1" t="s">
        <v>12717</v>
      </c>
    </row>
    <row r="935">
      <c r="A935" s="1" t="s">
        <v>12718</v>
      </c>
    </row>
    <row r="936">
      <c r="A936" s="1" t="s">
        <v>12719</v>
      </c>
    </row>
    <row r="937">
      <c r="A937" s="1" t="s">
        <v>12720</v>
      </c>
    </row>
    <row r="938">
      <c r="A938" s="1" t="s">
        <v>12341</v>
      </c>
    </row>
    <row r="939">
      <c r="A939" s="1" t="s">
        <v>12342</v>
      </c>
    </row>
    <row r="940">
      <c r="A940" s="1" t="s">
        <v>12343</v>
      </c>
    </row>
    <row r="941">
      <c r="A941" s="1" t="s">
        <v>12721</v>
      </c>
    </row>
    <row r="942">
      <c r="A942" s="1" t="s">
        <v>12722</v>
      </c>
    </row>
    <row r="943">
      <c r="A943" s="1" t="s">
        <v>12723</v>
      </c>
    </row>
    <row r="944">
      <c r="A944" s="1" t="s">
        <v>12724</v>
      </c>
    </row>
    <row r="945">
      <c r="A945" s="1" t="s">
        <v>12725</v>
      </c>
    </row>
    <row r="946">
      <c r="A946" s="1" t="s">
        <v>12726</v>
      </c>
    </row>
    <row r="947">
      <c r="A947" s="1" t="s">
        <v>12727</v>
      </c>
    </row>
    <row r="948">
      <c r="A948" s="1" t="s">
        <v>12728</v>
      </c>
    </row>
    <row r="949">
      <c r="A949" s="1" t="s">
        <v>12729</v>
      </c>
    </row>
    <row r="950">
      <c r="A950" s="1" t="s">
        <v>12730</v>
      </c>
    </row>
    <row r="951">
      <c r="A951" s="1" t="s">
        <v>12731</v>
      </c>
    </row>
    <row r="952">
      <c r="A952" s="1" t="s">
        <v>12732</v>
      </c>
    </row>
    <row r="953">
      <c r="A953" s="1" t="s">
        <v>12733</v>
      </c>
    </row>
    <row r="954">
      <c r="A954" s="1" t="s">
        <v>12734</v>
      </c>
    </row>
    <row r="955">
      <c r="A955" s="1" t="s">
        <v>12735</v>
      </c>
    </row>
    <row r="956">
      <c r="A956" s="1" t="s">
        <v>12736</v>
      </c>
    </row>
    <row r="957">
      <c r="A957" s="1" t="s">
        <v>12737</v>
      </c>
    </row>
    <row r="958">
      <c r="A958" s="1" t="s">
        <v>12738</v>
      </c>
    </row>
    <row r="959">
      <c r="A959" s="1" t="s">
        <v>12739</v>
      </c>
    </row>
    <row r="960">
      <c r="A960" s="1" t="s">
        <v>12740</v>
      </c>
    </row>
    <row r="961">
      <c r="A961" s="1" t="s">
        <v>12741</v>
      </c>
    </row>
    <row r="962">
      <c r="A962" s="1" t="s">
        <v>12742</v>
      </c>
    </row>
    <row r="963">
      <c r="A963" s="1" t="s">
        <v>12743</v>
      </c>
    </row>
    <row r="964">
      <c r="A964" s="1" t="s">
        <v>12744</v>
      </c>
    </row>
    <row r="965">
      <c r="A965" s="1" t="s">
        <v>12745</v>
      </c>
    </row>
    <row r="966">
      <c r="A966" s="1" t="s">
        <v>12746</v>
      </c>
    </row>
    <row r="967">
      <c r="A967" s="1" t="s">
        <v>12747</v>
      </c>
    </row>
    <row r="968">
      <c r="A968" s="1" t="s">
        <v>12748</v>
      </c>
    </row>
    <row r="969">
      <c r="A969" s="1" t="s">
        <v>12749</v>
      </c>
    </row>
    <row r="970">
      <c r="A970" s="1" t="s">
        <v>12750</v>
      </c>
    </row>
    <row r="971">
      <c r="A971" s="1" t="s">
        <v>12751</v>
      </c>
    </row>
    <row r="972">
      <c r="A972" s="1" t="s">
        <v>12752</v>
      </c>
    </row>
    <row r="973">
      <c r="A973" s="1" t="s">
        <v>12753</v>
      </c>
    </row>
    <row r="974">
      <c r="A974" s="1" t="s">
        <v>12754</v>
      </c>
    </row>
    <row r="975">
      <c r="A975" s="1" t="s">
        <v>12755</v>
      </c>
    </row>
    <row r="976">
      <c r="A976" s="1" t="s">
        <v>12756</v>
      </c>
    </row>
    <row r="977">
      <c r="A977" s="1" t="s">
        <v>12757</v>
      </c>
    </row>
    <row r="978">
      <c r="A978" s="1" t="s">
        <v>12430</v>
      </c>
    </row>
    <row r="979">
      <c r="A979" s="1" t="s">
        <v>12758</v>
      </c>
    </row>
    <row r="980">
      <c r="A980" s="1" t="s">
        <v>12759</v>
      </c>
    </row>
    <row r="981">
      <c r="A981" s="1" t="s">
        <v>12760</v>
      </c>
    </row>
    <row r="982">
      <c r="A982" s="1" t="s">
        <v>12761</v>
      </c>
    </row>
    <row r="983">
      <c r="A983" s="1" t="s">
        <v>12762</v>
      </c>
    </row>
    <row r="984">
      <c r="A984" s="1" t="s">
        <v>12385</v>
      </c>
    </row>
    <row r="985">
      <c r="A985" s="1" t="s">
        <v>12386</v>
      </c>
    </row>
    <row r="986">
      <c r="A986" s="1" t="s">
        <v>12387</v>
      </c>
    </row>
    <row r="987">
      <c r="A987" s="1" t="s">
        <v>12763</v>
      </c>
    </row>
    <row r="988">
      <c r="A988" s="1" t="s">
        <v>12764</v>
      </c>
    </row>
    <row r="989">
      <c r="A989" s="1" t="s">
        <v>12765</v>
      </c>
    </row>
    <row r="990">
      <c r="A990" s="1" t="s">
        <v>12766</v>
      </c>
    </row>
    <row r="991">
      <c r="A991" s="1" t="s">
        <v>12767</v>
      </c>
    </row>
    <row r="992">
      <c r="A992" s="1" t="s">
        <v>12768</v>
      </c>
    </row>
    <row r="993">
      <c r="A993" s="1" t="s">
        <v>12769</v>
      </c>
    </row>
    <row r="994">
      <c r="A994" s="1" t="s">
        <v>12770</v>
      </c>
    </row>
    <row r="995">
      <c r="A995" s="1" t="s">
        <v>12771</v>
      </c>
    </row>
    <row r="996">
      <c r="A996" s="1" t="s">
        <v>12772</v>
      </c>
    </row>
    <row r="997">
      <c r="A997" s="1" t="s">
        <v>12773</v>
      </c>
    </row>
    <row r="998">
      <c r="A998" s="1" t="s">
        <v>12774</v>
      </c>
    </row>
    <row r="999">
      <c r="A999" s="1" t="s">
        <v>12775</v>
      </c>
    </row>
    <row r="1000">
      <c r="A1000" s="1" t="s">
        <v>12776</v>
      </c>
    </row>
    <row r="1001">
      <c r="A1001" s="1" t="s">
        <v>12777</v>
      </c>
    </row>
    <row r="1002">
      <c r="A1002" s="1" t="s">
        <v>12778</v>
      </c>
    </row>
    <row r="1003">
      <c r="A1003" s="1" t="s">
        <v>12779</v>
      </c>
    </row>
    <row r="1004">
      <c r="A1004" s="1" t="s">
        <v>12780</v>
      </c>
    </row>
    <row r="1005">
      <c r="A1005" s="1" t="s">
        <v>12781</v>
      </c>
    </row>
    <row r="1006">
      <c r="A1006" s="1" t="s">
        <v>12782</v>
      </c>
    </row>
    <row r="1007">
      <c r="A1007" s="1" t="s">
        <v>12783</v>
      </c>
    </row>
    <row r="1008">
      <c r="A1008" s="1" t="s">
        <v>12784</v>
      </c>
    </row>
    <row r="1009">
      <c r="A1009" s="1" t="s">
        <v>12785</v>
      </c>
    </row>
    <row r="1010">
      <c r="A1010" s="1" t="s">
        <v>12786</v>
      </c>
    </row>
    <row r="1011">
      <c r="A1011" s="1" t="s">
        <v>12787</v>
      </c>
    </row>
    <row r="1012">
      <c r="A1012" s="1" t="s">
        <v>12788</v>
      </c>
    </row>
    <row r="1013">
      <c r="A1013" s="1" t="s">
        <v>12789</v>
      </c>
    </row>
    <row r="1014">
      <c r="A1014" s="1" t="s">
        <v>12790</v>
      </c>
    </row>
    <row r="1015">
      <c r="A1015" s="1" t="s">
        <v>12791</v>
      </c>
    </row>
    <row r="1016">
      <c r="A1016" s="1" t="s">
        <v>12792</v>
      </c>
    </row>
    <row r="1017">
      <c r="A1017" s="1" t="s">
        <v>12793</v>
      </c>
    </row>
    <row r="1018">
      <c r="A1018" s="1" t="s">
        <v>12794</v>
      </c>
    </row>
    <row r="1019">
      <c r="A1019" s="1" t="s">
        <v>12795</v>
      </c>
    </row>
    <row r="1020">
      <c r="A1020" s="1" t="s">
        <v>12796</v>
      </c>
    </row>
    <row r="1021">
      <c r="A1021" s="1" t="s">
        <v>12797</v>
      </c>
    </row>
    <row r="1022">
      <c r="A1022" s="1" t="s">
        <v>12798</v>
      </c>
    </row>
    <row r="1023">
      <c r="A1023" s="1" t="s">
        <v>12799</v>
      </c>
    </row>
    <row r="1024">
      <c r="A1024" s="1" t="s">
        <v>12800</v>
      </c>
    </row>
    <row r="1025">
      <c r="A1025" s="1" t="s">
        <v>12801</v>
      </c>
    </row>
    <row r="1026">
      <c r="A1026" s="1" t="s">
        <v>12802</v>
      </c>
    </row>
    <row r="1027">
      <c r="A1027" s="1" t="s">
        <v>12803</v>
      </c>
    </row>
    <row r="1028">
      <c r="A1028" s="1" t="s">
        <v>12804</v>
      </c>
    </row>
    <row r="1029">
      <c r="A1029" s="1" t="s">
        <v>12805</v>
      </c>
    </row>
    <row r="1030">
      <c r="A1030" s="1" t="s">
        <v>12806</v>
      </c>
    </row>
    <row r="1031">
      <c r="A1031" s="1" t="s">
        <v>12807</v>
      </c>
    </row>
    <row r="1032">
      <c r="A1032" s="1" t="s">
        <v>12808</v>
      </c>
    </row>
    <row r="1033">
      <c r="A1033" s="1" t="s">
        <v>12809</v>
      </c>
    </row>
    <row r="1034">
      <c r="A1034" s="1" t="s">
        <v>12810</v>
      </c>
    </row>
    <row r="1035">
      <c r="A1035" s="1" t="s">
        <v>12811</v>
      </c>
    </row>
    <row r="1036">
      <c r="A1036" s="1" t="s">
        <v>12812</v>
      </c>
    </row>
    <row r="1037">
      <c r="A1037" s="1" t="s">
        <v>12813</v>
      </c>
    </row>
    <row r="1038">
      <c r="A1038" s="1" t="s">
        <v>12814</v>
      </c>
    </row>
    <row r="1039">
      <c r="A1039" s="1" t="s">
        <v>12815</v>
      </c>
    </row>
    <row r="1040">
      <c r="A1040" s="1" t="s">
        <v>12816</v>
      </c>
    </row>
    <row r="1041">
      <c r="A1041" s="1" t="s">
        <v>12817</v>
      </c>
    </row>
    <row r="1042">
      <c r="A1042" s="1" t="s">
        <v>12818</v>
      </c>
    </row>
    <row r="1043">
      <c r="A1043" s="1" t="s">
        <v>12819</v>
      </c>
    </row>
    <row r="1044">
      <c r="A1044" s="1" t="s">
        <v>12820</v>
      </c>
    </row>
    <row r="1045">
      <c r="A1045" s="1" t="s">
        <v>12821</v>
      </c>
    </row>
    <row r="1046">
      <c r="A1046" s="1" t="s">
        <v>12822</v>
      </c>
    </row>
    <row r="1047">
      <c r="A1047" s="1" t="s">
        <v>12823</v>
      </c>
    </row>
    <row r="1048">
      <c r="A1048" s="1" t="s">
        <v>12824</v>
      </c>
    </row>
    <row r="1049">
      <c r="A1049" s="1" t="s">
        <v>12825</v>
      </c>
    </row>
    <row r="1050">
      <c r="A1050" s="1" t="s">
        <v>12826</v>
      </c>
    </row>
    <row r="1051">
      <c r="A1051" s="1" t="s">
        <v>12827</v>
      </c>
    </row>
    <row r="1052">
      <c r="A1052" s="1" t="s">
        <v>12828</v>
      </c>
    </row>
    <row r="1053">
      <c r="A1053" s="1" t="s">
        <v>12829</v>
      </c>
    </row>
    <row r="1054">
      <c r="A1054" s="1" t="s">
        <v>12830</v>
      </c>
    </row>
    <row r="1055">
      <c r="A1055" s="1" t="s">
        <v>12831</v>
      </c>
    </row>
    <row r="1056">
      <c r="A1056" s="1" t="s">
        <v>12832</v>
      </c>
    </row>
    <row r="1057">
      <c r="A1057" s="1" t="s">
        <v>12833</v>
      </c>
    </row>
    <row r="1058">
      <c r="A1058" s="1" t="s">
        <v>12834</v>
      </c>
    </row>
    <row r="1059">
      <c r="A1059" s="1" t="s">
        <v>12835</v>
      </c>
    </row>
    <row r="1060">
      <c r="A1060" s="1" t="s">
        <v>12836</v>
      </c>
    </row>
    <row r="1061">
      <c r="A1061" s="1" t="s">
        <v>12837</v>
      </c>
    </row>
    <row r="1062">
      <c r="A1062" s="1" t="s">
        <v>12838</v>
      </c>
    </row>
    <row r="1063">
      <c r="A1063" s="1" t="s">
        <v>12839</v>
      </c>
    </row>
    <row r="1064">
      <c r="A1064" s="1" t="s">
        <v>12840</v>
      </c>
    </row>
    <row r="1065">
      <c r="A1065" s="1" t="s">
        <v>12841</v>
      </c>
    </row>
    <row r="1066">
      <c r="A1066" s="1" t="s">
        <v>12842</v>
      </c>
    </row>
    <row r="1067">
      <c r="A1067" s="1" t="s">
        <v>12843</v>
      </c>
    </row>
    <row r="1068">
      <c r="A1068" s="1" t="s">
        <v>12844</v>
      </c>
    </row>
    <row r="1069">
      <c r="A1069" s="1" t="s">
        <v>12845</v>
      </c>
    </row>
    <row r="1070">
      <c r="A1070" s="1" t="s">
        <v>12846</v>
      </c>
    </row>
    <row r="1071">
      <c r="A1071" s="1" t="s">
        <v>12847</v>
      </c>
    </row>
    <row r="1072">
      <c r="A1072" s="1" t="s">
        <v>12848</v>
      </c>
    </row>
    <row r="1073">
      <c r="A1073" s="1" t="s">
        <v>12849</v>
      </c>
    </row>
    <row r="1074">
      <c r="A1074" s="1" t="s">
        <v>12850</v>
      </c>
    </row>
    <row r="1075">
      <c r="A1075" s="1" t="s">
        <v>12851</v>
      </c>
    </row>
    <row r="1076">
      <c r="A1076" s="1" t="s">
        <v>12852</v>
      </c>
    </row>
    <row r="1077">
      <c r="A1077" s="1" t="s">
        <v>12853</v>
      </c>
    </row>
    <row r="1078">
      <c r="A1078" s="1" t="s">
        <v>12854</v>
      </c>
    </row>
    <row r="1079">
      <c r="A1079" s="1" t="s">
        <v>12855</v>
      </c>
    </row>
    <row r="1080">
      <c r="A1080" s="1" t="s">
        <v>12856</v>
      </c>
    </row>
    <row r="1081">
      <c r="A1081" s="1" t="s">
        <v>12857</v>
      </c>
    </row>
    <row r="1082">
      <c r="A1082" s="1" t="s">
        <v>12858</v>
      </c>
    </row>
    <row r="1083">
      <c r="A1083" s="1" t="s">
        <v>12859</v>
      </c>
    </row>
    <row r="1084">
      <c r="A1084" s="1" t="s">
        <v>12860</v>
      </c>
    </row>
    <row r="1085">
      <c r="A1085" s="1" t="s">
        <v>12861</v>
      </c>
    </row>
    <row r="1086">
      <c r="A1086" s="1" t="s">
        <v>12862</v>
      </c>
    </row>
    <row r="1087">
      <c r="A1087" s="1" t="s">
        <v>12863</v>
      </c>
    </row>
    <row r="1088">
      <c r="A1088" s="1" t="s">
        <v>12864</v>
      </c>
    </row>
    <row r="1089">
      <c r="A1089" s="1" t="s">
        <v>12865</v>
      </c>
    </row>
    <row r="1090">
      <c r="A1090" s="1" t="s">
        <v>12399</v>
      </c>
    </row>
    <row r="1091">
      <c r="A1091" s="1" t="s">
        <v>12400</v>
      </c>
    </row>
    <row r="1092">
      <c r="A1092" s="1" t="s">
        <v>12866</v>
      </c>
    </row>
    <row r="1093">
      <c r="A1093" s="1" t="s">
        <v>12867</v>
      </c>
    </row>
    <row r="1094">
      <c r="A1094" s="1" t="s">
        <v>12868</v>
      </c>
    </row>
    <row r="1095">
      <c r="A1095" s="1" t="s">
        <v>12869</v>
      </c>
    </row>
    <row r="1096">
      <c r="A1096" s="1" t="s">
        <v>12870</v>
      </c>
    </row>
    <row r="1097">
      <c r="A1097" s="1" t="s">
        <v>12871</v>
      </c>
    </row>
    <row r="1098">
      <c r="A1098" s="1" t="s">
        <v>12872</v>
      </c>
    </row>
    <row r="1099">
      <c r="A1099" s="1" t="s">
        <v>12873</v>
      </c>
    </row>
    <row r="1100">
      <c r="A1100" s="1" t="s">
        <v>12874</v>
      </c>
    </row>
    <row r="1101">
      <c r="A1101" s="1" t="s">
        <v>12875</v>
      </c>
    </row>
    <row r="1102">
      <c r="A1102" s="1" t="s">
        <v>12876</v>
      </c>
    </row>
    <row r="1103">
      <c r="A1103" s="1" t="s">
        <v>12877</v>
      </c>
    </row>
    <row r="1104">
      <c r="A1104" s="1" t="s">
        <v>12878</v>
      </c>
    </row>
    <row r="1105">
      <c r="A1105" s="1" t="s">
        <v>12879</v>
      </c>
    </row>
    <row r="1106">
      <c r="A1106" s="1" t="s">
        <v>12880</v>
      </c>
    </row>
    <row r="1107">
      <c r="A1107" s="1" t="s">
        <v>12881</v>
      </c>
    </row>
    <row r="1108">
      <c r="A1108" s="1" t="s">
        <v>12882</v>
      </c>
    </row>
    <row r="1109">
      <c r="A1109" s="1" t="s">
        <v>12883</v>
      </c>
    </row>
    <row r="1110">
      <c r="A1110" s="1" t="s">
        <v>12884</v>
      </c>
    </row>
    <row r="1111">
      <c r="A1111" s="1" t="s">
        <v>12885</v>
      </c>
    </row>
    <row r="1112">
      <c r="A1112" s="1" t="s">
        <v>12886</v>
      </c>
    </row>
    <row r="1113">
      <c r="A1113" s="1" t="s">
        <v>12887</v>
      </c>
    </row>
    <row r="1114">
      <c r="A1114" s="1" t="s">
        <v>12888</v>
      </c>
    </row>
    <row r="1115">
      <c r="A1115" s="1" t="s">
        <v>12889</v>
      </c>
    </row>
    <row r="1116">
      <c r="A1116" s="1" t="s">
        <v>12890</v>
      </c>
    </row>
    <row r="1117">
      <c r="A1117" s="1" t="s">
        <v>12891</v>
      </c>
    </row>
    <row r="1118">
      <c r="A1118" s="1" t="s">
        <v>12892</v>
      </c>
    </row>
    <row r="1119">
      <c r="A1119" s="1" t="s">
        <v>12893</v>
      </c>
    </row>
    <row r="1120">
      <c r="A1120" s="1" t="s">
        <v>12894</v>
      </c>
    </row>
    <row r="1121">
      <c r="A1121" s="1" t="s">
        <v>12895</v>
      </c>
    </row>
    <row r="1122">
      <c r="A1122" s="1" t="s">
        <v>12896</v>
      </c>
    </row>
    <row r="1123">
      <c r="A1123" s="1" t="s">
        <v>12897</v>
      </c>
    </row>
    <row r="1124">
      <c r="A1124" s="1" t="s">
        <v>12898</v>
      </c>
    </row>
    <row r="1125">
      <c r="A1125" s="1" t="s">
        <v>12899</v>
      </c>
    </row>
    <row r="1126">
      <c r="A1126" s="1" t="s">
        <v>12900</v>
      </c>
    </row>
    <row r="1127">
      <c r="A1127" s="1" t="s">
        <v>12901</v>
      </c>
    </row>
    <row r="1128">
      <c r="A1128" s="1" t="s">
        <v>12902</v>
      </c>
    </row>
    <row r="1129">
      <c r="A1129" s="1" t="s">
        <v>12903</v>
      </c>
    </row>
    <row r="1130">
      <c r="A1130" s="1" t="s">
        <v>12904</v>
      </c>
    </row>
    <row r="1131">
      <c r="A1131" s="1" t="s">
        <v>12905</v>
      </c>
    </row>
    <row r="1132">
      <c r="A1132" s="1" t="s">
        <v>12906</v>
      </c>
    </row>
    <row r="1133">
      <c r="A1133" s="1" t="s">
        <v>12907</v>
      </c>
    </row>
    <row r="1134">
      <c r="A1134" s="1" t="s">
        <v>12908</v>
      </c>
    </row>
    <row r="1135">
      <c r="A1135" s="1" t="s">
        <v>12909</v>
      </c>
    </row>
    <row r="1136">
      <c r="A1136" s="1" t="s">
        <v>12910</v>
      </c>
    </row>
    <row r="1137">
      <c r="A1137" s="1" t="s">
        <v>12911</v>
      </c>
    </row>
    <row r="1138">
      <c r="A1138" s="1" t="s">
        <v>12912</v>
      </c>
    </row>
    <row r="1139">
      <c r="A1139" s="1" t="s">
        <v>12913</v>
      </c>
    </row>
    <row r="1140">
      <c r="A1140" s="1" t="s">
        <v>12914</v>
      </c>
    </row>
    <row r="1141">
      <c r="A1141" s="1" t="s">
        <v>12915</v>
      </c>
    </row>
    <row r="1142">
      <c r="A1142" s="1" t="s">
        <v>12916</v>
      </c>
    </row>
    <row r="1143">
      <c r="A1143" s="1" t="s">
        <v>12917</v>
      </c>
    </row>
    <row r="1144">
      <c r="A1144" s="1" t="s">
        <v>12918</v>
      </c>
    </row>
    <row r="1145">
      <c r="A1145" s="1" t="s">
        <v>12919</v>
      </c>
    </row>
    <row r="1146">
      <c r="A1146" s="1" t="s">
        <v>12920</v>
      </c>
    </row>
    <row r="1147">
      <c r="A1147" s="1" t="s">
        <v>12921</v>
      </c>
    </row>
    <row r="1148">
      <c r="A1148" s="1" t="s">
        <v>12922</v>
      </c>
    </row>
    <row r="1149">
      <c r="A1149" s="1" t="s">
        <v>12923</v>
      </c>
    </row>
    <row r="1150">
      <c r="A1150" s="1" t="s">
        <v>12924</v>
      </c>
    </row>
    <row r="1151">
      <c r="A1151" s="1" t="s">
        <v>12925</v>
      </c>
    </row>
    <row r="1152">
      <c r="A1152" s="1" t="s">
        <v>12926</v>
      </c>
    </row>
    <row r="1153">
      <c r="A1153" s="1" t="s">
        <v>12927</v>
      </c>
    </row>
    <row r="1154">
      <c r="A1154" s="1" t="s">
        <v>12928</v>
      </c>
    </row>
    <row r="1155">
      <c r="A1155" s="1" t="s">
        <v>12929</v>
      </c>
    </row>
    <row r="1156">
      <c r="A1156" s="1" t="s">
        <v>12930</v>
      </c>
    </row>
    <row r="1157">
      <c r="A1157" s="1" t="s">
        <v>12931</v>
      </c>
    </row>
    <row r="1158">
      <c r="A1158" s="1" t="s">
        <v>12932</v>
      </c>
    </row>
    <row r="1159">
      <c r="A1159" s="1" t="s">
        <v>12933</v>
      </c>
    </row>
    <row r="1160">
      <c r="A1160" s="1" t="s">
        <v>12934</v>
      </c>
    </row>
    <row r="1161">
      <c r="A1161" s="1" t="s">
        <v>12935</v>
      </c>
    </row>
    <row r="1162">
      <c r="A1162" s="1" t="s">
        <v>12936</v>
      </c>
    </row>
    <row r="1163">
      <c r="A1163" s="1" t="s">
        <v>12937</v>
      </c>
    </row>
    <row r="1164">
      <c r="A1164" s="1" t="s">
        <v>12938</v>
      </c>
    </row>
    <row r="1165">
      <c r="A1165" s="1" t="s">
        <v>12939</v>
      </c>
    </row>
    <row r="1166">
      <c r="A1166" s="1" t="s">
        <v>12940</v>
      </c>
    </row>
    <row r="1167">
      <c r="A1167" s="1" t="s">
        <v>12941</v>
      </c>
    </row>
    <row r="1168">
      <c r="A1168" s="1" t="s">
        <v>12942</v>
      </c>
    </row>
    <row r="1169">
      <c r="A1169" s="1" t="s">
        <v>12943</v>
      </c>
    </row>
    <row r="1170">
      <c r="A1170" s="1" t="s">
        <v>12944</v>
      </c>
    </row>
    <row r="1171">
      <c r="A1171" s="1" t="s">
        <v>12945</v>
      </c>
    </row>
    <row r="1172">
      <c r="A1172" s="1" t="s">
        <v>12946</v>
      </c>
    </row>
    <row r="1173">
      <c r="A1173" s="1" t="s">
        <v>12947</v>
      </c>
    </row>
    <row r="1174">
      <c r="A1174" s="1" t="s">
        <v>12948</v>
      </c>
    </row>
    <row r="1175">
      <c r="A1175" s="1" t="s">
        <v>12949</v>
      </c>
    </row>
    <row r="1176">
      <c r="A1176" s="1" t="s">
        <v>12390</v>
      </c>
    </row>
    <row r="1177">
      <c r="A1177" s="1" t="s">
        <v>12391</v>
      </c>
    </row>
    <row r="1178">
      <c r="A1178" s="1" t="s">
        <v>12392</v>
      </c>
    </row>
    <row r="1179">
      <c r="A1179" s="1" t="s">
        <v>12950</v>
      </c>
    </row>
    <row r="1180">
      <c r="A1180" s="1" t="s">
        <v>12951</v>
      </c>
    </row>
    <row r="1181">
      <c r="A1181" s="1" t="s">
        <v>12952</v>
      </c>
    </row>
    <row r="1182">
      <c r="A1182" s="1" t="s">
        <v>12953</v>
      </c>
    </row>
    <row r="1183">
      <c r="A1183" s="1" t="s">
        <v>12954</v>
      </c>
    </row>
    <row r="1184">
      <c r="A1184" s="1" t="s">
        <v>12955</v>
      </c>
    </row>
    <row r="1185">
      <c r="A1185" s="1" t="s">
        <v>12956</v>
      </c>
    </row>
    <row r="1186">
      <c r="A1186" s="1" t="s">
        <v>12957</v>
      </c>
    </row>
    <row r="1187">
      <c r="A1187" s="1" t="s">
        <v>12958</v>
      </c>
    </row>
    <row r="1188">
      <c r="A1188" s="1" t="s">
        <v>12959</v>
      </c>
    </row>
    <row r="1189">
      <c r="A1189" s="1" t="s">
        <v>12960</v>
      </c>
    </row>
    <row r="1190">
      <c r="A1190" s="1" t="s">
        <v>12961</v>
      </c>
    </row>
    <row r="1191">
      <c r="A1191" s="1" t="s">
        <v>12962</v>
      </c>
    </row>
    <row r="1192">
      <c r="A1192" s="1" t="s">
        <v>12963</v>
      </c>
    </row>
    <row r="1193">
      <c r="A1193" s="1" t="s">
        <v>12964</v>
      </c>
    </row>
    <row r="1194">
      <c r="A1194" s="1" t="s">
        <v>12965</v>
      </c>
    </row>
    <row r="1195">
      <c r="A1195" s="1" t="s">
        <v>12966</v>
      </c>
    </row>
    <row r="1196">
      <c r="A1196" s="1" t="s">
        <v>12967</v>
      </c>
    </row>
    <row r="1197">
      <c r="A1197" s="1" t="s">
        <v>12968</v>
      </c>
    </row>
    <row r="1198">
      <c r="A1198" s="1" t="s">
        <v>12969</v>
      </c>
    </row>
    <row r="1199">
      <c r="A1199" s="1" t="s">
        <v>12970</v>
      </c>
    </row>
    <row r="1200">
      <c r="A1200" s="1" t="s">
        <v>12971</v>
      </c>
    </row>
    <row r="1201">
      <c r="A1201" s="1" t="s">
        <v>12972</v>
      </c>
    </row>
    <row r="1202">
      <c r="A1202" s="1" t="s">
        <v>12973</v>
      </c>
    </row>
    <row r="1203">
      <c r="A1203" s="1" t="s">
        <v>12974</v>
      </c>
    </row>
    <row r="1204">
      <c r="A1204" s="1" t="s">
        <v>12975</v>
      </c>
    </row>
    <row r="1205">
      <c r="A1205" s="1" t="s">
        <v>12976</v>
      </c>
    </row>
    <row r="1206">
      <c r="A1206" s="1" t="s">
        <v>12977</v>
      </c>
    </row>
    <row r="1207">
      <c r="A1207" s="1" t="s">
        <v>12978</v>
      </c>
    </row>
    <row r="1208">
      <c r="A1208" s="1" t="s">
        <v>12979</v>
      </c>
    </row>
    <row r="1209">
      <c r="A1209" s="1" t="s">
        <v>12980</v>
      </c>
    </row>
    <row r="1210">
      <c r="A1210" s="1" t="s">
        <v>12981</v>
      </c>
    </row>
    <row r="1211">
      <c r="A1211" s="1" t="s">
        <v>12982</v>
      </c>
    </row>
    <row r="1212">
      <c r="A1212" s="1" t="s">
        <v>12983</v>
      </c>
    </row>
    <row r="1213">
      <c r="A1213" s="1" t="s">
        <v>12984</v>
      </c>
    </row>
    <row r="1214">
      <c r="A1214" s="1" t="s">
        <v>12985</v>
      </c>
    </row>
    <row r="1215">
      <c r="A1215" s="1" t="s">
        <v>12986</v>
      </c>
    </row>
    <row r="1216">
      <c r="A1216" s="1" t="s">
        <v>12987</v>
      </c>
    </row>
    <row r="1217">
      <c r="A1217" s="1" t="s">
        <v>12988</v>
      </c>
    </row>
    <row r="1218">
      <c r="A1218" s="1" t="s">
        <v>12989</v>
      </c>
    </row>
    <row r="1219">
      <c r="A1219" s="1" t="s">
        <v>12990</v>
      </c>
    </row>
    <row r="1220">
      <c r="A1220" s="1" t="s">
        <v>12991</v>
      </c>
    </row>
    <row r="1221">
      <c r="A1221" s="1" t="s">
        <v>12992</v>
      </c>
    </row>
    <row r="1222">
      <c r="A1222" s="1" t="s">
        <v>12993</v>
      </c>
    </row>
    <row r="1223">
      <c r="A1223" s="1" t="s">
        <v>12994</v>
      </c>
    </row>
    <row r="1224">
      <c r="A1224" s="1" t="s">
        <v>12995</v>
      </c>
    </row>
    <row r="1225">
      <c r="A1225" s="1" t="s">
        <v>12996</v>
      </c>
    </row>
    <row r="1226">
      <c r="A1226" s="1" t="s">
        <v>12997</v>
      </c>
    </row>
    <row r="1227">
      <c r="A1227" s="1" t="s">
        <v>12998</v>
      </c>
    </row>
    <row r="1228">
      <c r="A1228" s="1" t="s">
        <v>12999</v>
      </c>
    </row>
    <row r="1229">
      <c r="A1229" s="1" t="s">
        <v>13000</v>
      </c>
    </row>
    <row r="1230">
      <c r="A1230" s="1" t="s">
        <v>13001</v>
      </c>
    </row>
    <row r="1231">
      <c r="A1231" s="1" t="s">
        <v>13002</v>
      </c>
    </row>
    <row r="1232">
      <c r="A1232" s="1" t="s">
        <v>13003</v>
      </c>
    </row>
    <row r="1233">
      <c r="A1233" s="1" t="s">
        <v>13004</v>
      </c>
    </row>
    <row r="1234">
      <c r="A1234" s="1" t="s">
        <v>13005</v>
      </c>
    </row>
    <row r="1235">
      <c r="A1235" s="1" t="s">
        <v>13006</v>
      </c>
    </row>
    <row r="1236">
      <c r="A1236" s="1" t="s">
        <v>13007</v>
      </c>
    </row>
    <row r="1237">
      <c r="A1237" s="1" t="s">
        <v>13008</v>
      </c>
    </row>
    <row r="1238">
      <c r="A1238" s="1" t="s">
        <v>13009</v>
      </c>
    </row>
    <row r="1239">
      <c r="A1239" s="1" t="s">
        <v>13010</v>
      </c>
    </row>
    <row r="1240">
      <c r="A1240" s="1" t="s">
        <v>13011</v>
      </c>
    </row>
    <row r="1241">
      <c r="A1241" s="1" t="s">
        <v>13012</v>
      </c>
    </row>
    <row r="1242">
      <c r="A1242" s="1" t="s">
        <v>13013</v>
      </c>
    </row>
    <row r="1243">
      <c r="A1243" s="1" t="s">
        <v>13014</v>
      </c>
    </row>
    <row r="1244">
      <c r="A1244" s="1" t="s">
        <v>13015</v>
      </c>
    </row>
    <row r="1245">
      <c r="A1245" s="1" t="s">
        <v>13016</v>
      </c>
    </row>
    <row r="1246">
      <c r="A1246" s="1" t="s">
        <v>13017</v>
      </c>
    </row>
    <row r="1247">
      <c r="A1247" s="1" t="s">
        <v>13018</v>
      </c>
    </row>
    <row r="1248">
      <c r="A1248" s="1" t="s">
        <v>13019</v>
      </c>
    </row>
    <row r="1249">
      <c r="A1249" s="1" t="s">
        <v>13020</v>
      </c>
    </row>
    <row r="1250">
      <c r="A1250" s="1" t="s">
        <v>13021</v>
      </c>
    </row>
    <row r="1251">
      <c r="A1251" s="1" t="s">
        <v>13022</v>
      </c>
    </row>
    <row r="1252">
      <c r="A1252" s="1" t="s">
        <v>13023</v>
      </c>
    </row>
    <row r="1253">
      <c r="A1253" s="1" t="s">
        <v>13024</v>
      </c>
    </row>
    <row r="1254">
      <c r="A1254" s="1" t="s">
        <v>13025</v>
      </c>
    </row>
    <row r="1255">
      <c r="A1255" s="1" t="s">
        <v>13026</v>
      </c>
    </row>
    <row r="1256">
      <c r="A1256" s="1" t="s">
        <v>13027</v>
      </c>
    </row>
    <row r="1257">
      <c r="A1257" s="1" t="s">
        <v>13028</v>
      </c>
    </row>
    <row r="1258">
      <c r="A1258" s="1" t="s">
        <v>13029</v>
      </c>
    </row>
    <row r="1259">
      <c r="A1259" s="1" t="s">
        <v>13030</v>
      </c>
    </row>
    <row r="1260">
      <c r="A1260" s="1" t="s">
        <v>13031</v>
      </c>
    </row>
    <row r="1261">
      <c r="A1261" s="1" t="s">
        <v>13032</v>
      </c>
    </row>
    <row r="1262">
      <c r="A1262" s="1" t="s">
        <v>13033</v>
      </c>
    </row>
    <row r="1263">
      <c r="A1263" s="1" t="s">
        <v>13034</v>
      </c>
    </row>
    <row r="1264">
      <c r="A1264" s="1" t="s">
        <v>13035</v>
      </c>
    </row>
    <row r="1265">
      <c r="A1265" s="1" t="s">
        <v>13036</v>
      </c>
    </row>
    <row r="1266">
      <c r="A1266" s="1" t="s">
        <v>13037</v>
      </c>
    </row>
    <row r="1267">
      <c r="A1267" s="1" t="s">
        <v>13038</v>
      </c>
    </row>
    <row r="1268">
      <c r="A1268" s="1" t="s">
        <v>13039</v>
      </c>
    </row>
    <row r="1269">
      <c r="A1269" s="1" t="s">
        <v>13040</v>
      </c>
    </row>
    <row r="1270">
      <c r="A1270" s="1" t="s">
        <v>13041</v>
      </c>
    </row>
    <row r="1271">
      <c r="A1271" s="1" t="s">
        <v>13042</v>
      </c>
    </row>
    <row r="1272">
      <c r="A1272" s="1" t="s">
        <v>13043</v>
      </c>
    </row>
    <row r="1273">
      <c r="A1273" s="1" t="s">
        <v>13044</v>
      </c>
    </row>
    <row r="1274">
      <c r="A1274" s="1" t="s">
        <v>13045</v>
      </c>
    </row>
    <row r="1275">
      <c r="A1275" s="1" t="s">
        <v>13046</v>
      </c>
    </row>
    <row r="1276">
      <c r="A1276" s="1" t="s">
        <v>13047</v>
      </c>
    </row>
    <row r="1277">
      <c r="A1277" s="1" t="s">
        <v>13048</v>
      </c>
    </row>
    <row r="1278">
      <c r="A1278" s="1" t="s">
        <v>13049</v>
      </c>
    </row>
    <row r="1279">
      <c r="A1279" s="1" t="s">
        <v>13050</v>
      </c>
    </row>
    <row r="1280">
      <c r="A1280" s="1" t="s">
        <v>13051</v>
      </c>
    </row>
    <row r="1281">
      <c r="A1281" s="1" t="s">
        <v>13052</v>
      </c>
    </row>
    <row r="1282">
      <c r="A1282" s="1" t="s">
        <v>13053</v>
      </c>
    </row>
    <row r="1283">
      <c r="A1283" s="1" t="s">
        <v>13054</v>
      </c>
    </row>
    <row r="1284">
      <c r="A1284" s="1" t="s">
        <v>13055</v>
      </c>
    </row>
    <row r="1285">
      <c r="A1285" s="1" t="s">
        <v>13056</v>
      </c>
    </row>
    <row r="1286">
      <c r="A1286" s="1" t="s">
        <v>13057</v>
      </c>
    </row>
    <row r="1287">
      <c r="A1287" s="1" t="s">
        <v>13058</v>
      </c>
    </row>
    <row r="1288">
      <c r="A1288" s="1" t="s">
        <v>13059</v>
      </c>
    </row>
    <row r="1289">
      <c r="A1289" s="1" t="s">
        <v>13060</v>
      </c>
    </row>
    <row r="1290">
      <c r="A1290" s="1" t="s">
        <v>13061</v>
      </c>
    </row>
    <row r="1291">
      <c r="A1291" s="1" t="s">
        <v>13062</v>
      </c>
    </row>
    <row r="1292">
      <c r="A1292" s="1" t="s">
        <v>13063</v>
      </c>
    </row>
    <row r="1293">
      <c r="A1293" s="1" t="s">
        <v>13064</v>
      </c>
    </row>
    <row r="1294">
      <c r="A1294" s="1" t="s">
        <v>13065</v>
      </c>
    </row>
    <row r="1295">
      <c r="A1295" s="1" t="s">
        <v>13066</v>
      </c>
    </row>
    <row r="1296">
      <c r="A1296" s="1" t="s">
        <v>13067</v>
      </c>
    </row>
    <row r="1297">
      <c r="A1297" s="1" t="s">
        <v>13068</v>
      </c>
    </row>
    <row r="1298">
      <c r="A1298" s="1" t="s">
        <v>13069</v>
      </c>
    </row>
    <row r="1299">
      <c r="A1299" s="1" t="s">
        <v>13070</v>
      </c>
    </row>
    <row r="1300">
      <c r="A1300" s="1" t="s">
        <v>13071</v>
      </c>
    </row>
    <row r="1301">
      <c r="A1301" s="1" t="s">
        <v>13072</v>
      </c>
    </row>
    <row r="1302">
      <c r="A1302" s="1" t="s">
        <v>13073</v>
      </c>
    </row>
    <row r="1303">
      <c r="A1303" s="1" t="s">
        <v>13074</v>
      </c>
    </row>
    <row r="1304">
      <c r="A1304" s="1" t="s">
        <v>13075</v>
      </c>
    </row>
    <row r="1305">
      <c r="A1305" s="1" t="s">
        <v>13076</v>
      </c>
    </row>
    <row r="1306">
      <c r="A1306" s="1" t="s">
        <v>13077</v>
      </c>
    </row>
    <row r="1307">
      <c r="A1307" s="1" t="s">
        <v>13078</v>
      </c>
    </row>
    <row r="1308">
      <c r="A1308" s="1" t="s">
        <v>13079</v>
      </c>
    </row>
    <row r="1309">
      <c r="A1309" s="1" t="s">
        <v>13080</v>
      </c>
    </row>
    <row r="1310">
      <c r="A1310" s="1" t="s">
        <v>13081</v>
      </c>
    </row>
    <row r="1311">
      <c r="A1311" s="1" t="s">
        <v>13082</v>
      </c>
    </row>
    <row r="1312">
      <c r="A1312" s="1" t="s">
        <v>13083</v>
      </c>
    </row>
    <row r="1313">
      <c r="A1313" s="1" t="s">
        <v>13084</v>
      </c>
    </row>
    <row r="1314">
      <c r="A1314" s="1" t="s">
        <v>13085</v>
      </c>
    </row>
    <row r="1315">
      <c r="A1315" s="1" t="s">
        <v>13086</v>
      </c>
    </row>
    <row r="1316">
      <c r="A1316" s="1" t="s">
        <v>13087</v>
      </c>
    </row>
    <row r="1317">
      <c r="A1317" s="1" t="s">
        <v>13088</v>
      </c>
    </row>
    <row r="1318">
      <c r="A1318" s="1" t="s">
        <v>13089</v>
      </c>
    </row>
    <row r="1319">
      <c r="A1319" s="1" t="s">
        <v>13090</v>
      </c>
    </row>
    <row r="1320">
      <c r="A1320" s="1" t="s">
        <v>13091</v>
      </c>
    </row>
    <row r="1321">
      <c r="A1321" s="1" t="s">
        <v>13092</v>
      </c>
    </row>
    <row r="1322">
      <c r="A1322" s="1" t="s">
        <v>13093</v>
      </c>
    </row>
    <row r="1323">
      <c r="A1323" s="1" t="s">
        <v>13094</v>
      </c>
    </row>
    <row r="1324">
      <c r="A1324" s="1" t="s">
        <v>13095</v>
      </c>
    </row>
    <row r="1325">
      <c r="A1325" s="1" t="s">
        <v>13096</v>
      </c>
    </row>
    <row r="1326">
      <c r="A1326" s="1" t="s">
        <v>13097</v>
      </c>
    </row>
    <row r="1327">
      <c r="A1327" s="1" t="s">
        <v>13098</v>
      </c>
    </row>
    <row r="1328">
      <c r="A1328" s="1" t="s">
        <v>13099</v>
      </c>
    </row>
    <row r="1329">
      <c r="A1329" s="1" t="s">
        <v>13100</v>
      </c>
    </row>
    <row r="1330">
      <c r="A1330" s="1" t="s">
        <v>13101</v>
      </c>
    </row>
    <row r="1331">
      <c r="A1331" s="1" t="s">
        <v>13102</v>
      </c>
    </row>
    <row r="1332">
      <c r="A1332" s="1" t="s">
        <v>13103</v>
      </c>
    </row>
    <row r="1333">
      <c r="A1333" s="1" t="s">
        <v>13104</v>
      </c>
    </row>
    <row r="1334">
      <c r="A1334" s="1" t="s">
        <v>13105</v>
      </c>
    </row>
    <row r="1335">
      <c r="A1335" s="1" t="s">
        <v>13106</v>
      </c>
    </row>
    <row r="1336">
      <c r="A1336" s="1" t="s">
        <v>13107</v>
      </c>
    </row>
    <row r="1337">
      <c r="A1337" s="1" t="s">
        <v>13108</v>
      </c>
    </row>
    <row r="1338">
      <c r="A1338" s="1" t="s">
        <v>13109</v>
      </c>
    </row>
    <row r="1339">
      <c r="A1339" s="1" t="s">
        <v>13110</v>
      </c>
    </row>
    <row r="1340">
      <c r="A1340" s="1" t="s">
        <v>13111</v>
      </c>
    </row>
    <row r="1341">
      <c r="A1341" s="1" t="s">
        <v>13112</v>
      </c>
    </row>
    <row r="1342">
      <c r="A1342" s="1" t="s">
        <v>13113</v>
      </c>
    </row>
    <row r="1343">
      <c r="A1343" s="1" t="s">
        <v>13114</v>
      </c>
    </row>
    <row r="1344">
      <c r="A1344" s="1" t="s">
        <v>13115</v>
      </c>
    </row>
    <row r="1345">
      <c r="A1345" s="1" t="s">
        <v>13116</v>
      </c>
    </row>
    <row r="1346">
      <c r="A1346" s="1" t="s">
        <v>13117</v>
      </c>
    </row>
    <row r="1347">
      <c r="A1347" s="1" t="s">
        <v>13118</v>
      </c>
    </row>
    <row r="1348">
      <c r="A1348" s="1" t="s">
        <v>13119</v>
      </c>
    </row>
    <row r="1349">
      <c r="A1349" s="1" t="s">
        <v>13120</v>
      </c>
    </row>
    <row r="1350">
      <c r="A1350" s="1" t="s">
        <v>13121</v>
      </c>
    </row>
    <row r="1351">
      <c r="A1351" s="1" t="s">
        <v>13122</v>
      </c>
    </row>
    <row r="1352">
      <c r="A1352" s="1" t="s">
        <v>13123</v>
      </c>
    </row>
    <row r="1353">
      <c r="A1353" s="1" t="s">
        <v>13124</v>
      </c>
    </row>
    <row r="1354">
      <c r="A1354" s="1" t="s">
        <v>13125</v>
      </c>
    </row>
    <row r="1355">
      <c r="A1355" s="1" t="s">
        <v>13126</v>
      </c>
    </row>
    <row r="1356">
      <c r="A1356" s="1" t="s">
        <v>13127</v>
      </c>
    </row>
    <row r="1357">
      <c r="A1357" s="1" t="s">
        <v>13128</v>
      </c>
    </row>
    <row r="1358">
      <c r="A1358" s="1" t="s">
        <v>13129</v>
      </c>
    </row>
    <row r="1359">
      <c r="A1359" s="1" t="s">
        <v>13130</v>
      </c>
    </row>
    <row r="1360">
      <c r="A1360" s="1" t="s">
        <v>13131</v>
      </c>
    </row>
    <row r="1361">
      <c r="A1361" s="1" t="s">
        <v>13132</v>
      </c>
    </row>
    <row r="1362">
      <c r="A1362" s="1" t="s">
        <v>13133</v>
      </c>
    </row>
    <row r="1363">
      <c r="A1363" s="1" t="s">
        <v>13134</v>
      </c>
    </row>
    <row r="1364">
      <c r="A1364" s="1" t="s">
        <v>13135</v>
      </c>
    </row>
    <row r="1365">
      <c r="A1365" s="1" t="s">
        <v>13136</v>
      </c>
    </row>
    <row r="1366">
      <c r="A1366" s="1" t="s">
        <v>13137</v>
      </c>
    </row>
    <row r="1367">
      <c r="A1367" s="1" t="s">
        <v>13138</v>
      </c>
    </row>
    <row r="1368">
      <c r="A1368" s="1" t="s">
        <v>13139</v>
      </c>
    </row>
    <row r="1369">
      <c r="A1369" s="1" t="s">
        <v>13140</v>
      </c>
    </row>
    <row r="1370">
      <c r="A1370" s="1" t="s">
        <v>13141</v>
      </c>
    </row>
    <row r="1371">
      <c r="A1371" s="1" t="s">
        <v>13142</v>
      </c>
    </row>
    <row r="1372">
      <c r="A1372" s="1" t="s">
        <v>13143</v>
      </c>
    </row>
    <row r="1373">
      <c r="A1373" s="1" t="s">
        <v>13144</v>
      </c>
    </row>
    <row r="1374">
      <c r="A1374" s="1" t="s">
        <v>13145</v>
      </c>
    </row>
    <row r="1375">
      <c r="A1375" s="1" t="s">
        <v>13146</v>
      </c>
    </row>
    <row r="1376">
      <c r="A1376" s="1" t="s">
        <v>13147</v>
      </c>
    </row>
    <row r="1377">
      <c r="A1377" s="1" t="s">
        <v>13148</v>
      </c>
    </row>
    <row r="1378">
      <c r="A1378" s="1" t="s">
        <v>13149</v>
      </c>
    </row>
    <row r="1379">
      <c r="A1379" s="1" t="s">
        <v>13150</v>
      </c>
    </row>
    <row r="1380">
      <c r="A1380" s="1" t="s">
        <v>13151</v>
      </c>
    </row>
    <row r="1381">
      <c r="A1381" s="1" t="s">
        <v>13152</v>
      </c>
    </row>
    <row r="1382">
      <c r="A1382" s="1" t="s">
        <v>13153</v>
      </c>
    </row>
    <row r="1383">
      <c r="A1383" s="1" t="s">
        <v>13154</v>
      </c>
    </row>
    <row r="1384">
      <c r="A1384" s="1" t="s">
        <v>13155</v>
      </c>
    </row>
    <row r="1385">
      <c r="A1385" s="1" t="s">
        <v>13156</v>
      </c>
    </row>
    <row r="1386">
      <c r="A1386" s="1" t="s">
        <v>13157</v>
      </c>
    </row>
    <row r="1387">
      <c r="A1387" s="1" t="s">
        <v>13158</v>
      </c>
    </row>
    <row r="1388">
      <c r="A1388" s="1" t="s">
        <v>13159</v>
      </c>
    </row>
    <row r="1389">
      <c r="A1389" s="1" t="s">
        <v>13160</v>
      </c>
    </row>
    <row r="1390">
      <c r="A1390" s="1" t="s">
        <v>13161</v>
      </c>
    </row>
    <row r="1391">
      <c r="A1391" s="1" t="s">
        <v>13162</v>
      </c>
    </row>
    <row r="1392">
      <c r="A1392" s="1" t="s">
        <v>13163</v>
      </c>
    </row>
    <row r="1393">
      <c r="A1393" s="1" t="s">
        <v>13164</v>
      </c>
    </row>
    <row r="1394">
      <c r="A1394" s="1" t="s">
        <v>13165</v>
      </c>
    </row>
    <row r="1395">
      <c r="A1395" s="1" t="s">
        <v>13166</v>
      </c>
    </row>
    <row r="1396">
      <c r="A1396" s="1" t="s">
        <v>13167</v>
      </c>
    </row>
    <row r="1397">
      <c r="A1397" s="1" t="s">
        <v>13168</v>
      </c>
    </row>
    <row r="1398">
      <c r="A1398" s="1" t="s">
        <v>13169</v>
      </c>
    </row>
    <row r="1399">
      <c r="A1399" s="1" t="s">
        <v>13170</v>
      </c>
    </row>
    <row r="1400">
      <c r="A1400" s="1" t="s">
        <v>13171</v>
      </c>
    </row>
    <row r="1401">
      <c r="A1401" s="1" t="s">
        <v>13172</v>
      </c>
    </row>
    <row r="1402">
      <c r="A1402" s="1" t="s">
        <v>13173</v>
      </c>
    </row>
    <row r="1403">
      <c r="A1403" s="1" t="s">
        <v>13174</v>
      </c>
    </row>
    <row r="1404">
      <c r="A1404" s="1" t="s">
        <v>13175</v>
      </c>
    </row>
    <row r="1405">
      <c r="A1405" s="1" t="s">
        <v>13176</v>
      </c>
    </row>
    <row r="1406">
      <c r="A1406" s="1" t="s">
        <v>13177</v>
      </c>
    </row>
    <row r="1407">
      <c r="A1407" s="1" t="s">
        <v>13178</v>
      </c>
    </row>
    <row r="1408">
      <c r="A1408" s="1" t="s">
        <v>13179</v>
      </c>
    </row>
    <row r="1409">
      <c r="A1409" s="1" t="s">
        <v>13180</v>
      </c>
    </row>
    <row r="1410">
      <c r="A1410" s="1" t="s">
        <v>13181</v>
      </c>
    </row>
    <row r="1411">
      <c r="A1411" s="1" t="s">
        <v>13182</v>
      </c>
    </row>
    <row r="1412">
      <c r="A1412" s="1" t="s">
        <v>13183</v>
      </c>
    </row>
    <row r="1413">
      <c r="A1413" s="1" t="s">
        <v>13184</v>
      </c>
    </row>
    <row r="1414">
      <c r="A1414" s="1" t="s">
        <v>13185</v>
      </c>
    </row>
    <row r="1415">
      <c r="A1415" s="1" t="s">
        <v>13186</v>
      </c>
    </row>
    <row r="1416">
      <c r="A1416" s="1" t="s">
        <v>13187</v>
      </c>
    </row>
    <row r="1417">
      <c r="A1417" s="1" t="s">
        <v>13188</v>
      </c>
    </row>
    <row r="1418">
      <c r="A1418" s="1" t="s">
        <v>13189</v>
      </c>
    </row>
    <row r="1419">
      <c r="A1419" s="1" t="s">
        <v>13190</v>
      </c>
    </row>
    <row r="1420">
      <c r="A1420" s="1" t="s">
        <v>13191</v>
      </c>
    </row>
    <row r="1421">
      <c r="A1421" s="1" t="s">
        <v>13192</v>
      </c>
    </row>
    <row r="1422">
      <c r="A1422" s="1" t="s">
        <v>13193</v>
      </c>
    </row>
    <row r="1423">
      <c r="A1423" s="1" t="s">
        <v>13194</v>
      </c>
    </row>
    <row r="1424">
      <c r="A1424" s="1" t="s">
        <v>13195</v>
      </c>
    </row>
    <row r="1425">
      <c r="A1425" s="1" t="s">
        <v>12636</v>
      </c>
    </row>
    <row r="1426">
      <c r="A1426" s="1" t="s">
        <v>13196</v>
      </c>
    </row>
    <row r="1427">
      <c r="A1427" s="1" t="s">
        <v>13197</v>
      </c>
    </row>
    <row r="1428">
      <c r="A1428" s="1" t="s">
        <v>13198</v>
      </c>
    </row>
    <row r="1429">
      <c r="A1429" s="1" t="s">
        <v>13199</v>
      </c>
    </row>
    <row r="1430">
      <c r="A1430" s="1" t="s">
        <v>13200</v>
      </c>
    </row>
    <row r="1431">
      <c r="A1431" s="1" t="s">
        <v>13201</v>
      </c>
    </row>
    <row r="1432">
      <c r="A1432" s="1" t="s">
        <v>13202</v>
      </c>
    </row>
    <row r="1433">
      <c r="A1433" s="1" t="s">
        <v>13203</v>
      </c>
    </row>
    <row r="1434">
      <c r="A1434" s="1" t="s">
        <v>13204</v>
      </c>
    </row>
    <row r="1435">
      <c r="A1435" s="1" t="s">
        <v>13205</v>
      </c>
    </row>
    <row r="1436">
      <c r="A1436" s="1" t="s">
        <v>13206</v>
      </c>
    </row>
    <row r="1437">
      <c r="A1437" s="1" t="s">
        <v>13207</v>
      </c>
    </row>
    <row r="1438">
      <c r="A1438" s="1" t="s">
        <v>13208</v>
      </c>
    </row>
    <row r="1439">
      <c r="A1439" s="1" t="s">
        <v>13209</v>
      </c>
    </row>
    <row r="1440">
      <c r="A1440" s="1" t="s">
        <v>13210</v>
      </c>
    </row>
    <row r="1441">
      <c r="A1441" s="1" t="s">
        <v>13211</v>
      </c>
    </row>
    <row r="1442">
      <c r="A1442" s="1" t="s">
        <v>13212</v>
      </c>
    </row>
    <row r="1443">
      <c r="A1443" s="1" t="s">
        <v>13213</v>
      </c>
    </row>
    <row r="1444">
      <c r="A1444" s="1" t="s">
        <v>13214</v>
      </c>
    </row>
    <row r="1445">
      <c r="A1445" s="1" t="s">
        <v>13215</v>
      </c>
    </row>
    <row r="1446">
      <c r="A1446" s="1" t="s">
        <v>13216</v>
      </c>
    </row>
    <row r="1447">
      <c r="A1447" s="1" t="s">
        <v>13217</v>
      </c>
    </row>
    <row r="1448">
      <c r="A1448" s="1" t="s">
        <v>13218</v>
      </c>
    </row>
    <row r="1449">
      <c r="A1449" s="1" t="s">
        <v>13219</v>
      </c>
    </row>
    <row r="1450">
      <c r="A1450" s="1" t="s">
        <v>13220</v>
      </c>
    </row>
    <row r="1451">
      <c r="A1451" s="1" t="s">
        <v>13221</v>
      </c>
    </row>
    <row r="1452">
      <c r="A1452" s="1" t="s">
        <v>13222</v>
      </c>
    </row>
    <row r="1453">
      <c r="A1453" s="1" t="s">
        <v>13223</v>
      </c>
    </row>
    <row r="1454">
      <c r="A1454" s="1" t="s">
        <v>13224</v>
      </c>
    </row>
    <row r="1455">
      <c r="A1455" s="1" t="s">
        <v>13225</v>
      </c>
    </row>
    <row r="1456">
      <c r="A1456" s="1" t="s">
        <v>13226</v>
      </c>
    </row>
    <row r="1457">
      <c r="A1457" s="1" t="s">
        <v>13227</v>
      </c>
    </row>
    <row r="1458">
      <c r="A1458" s="1" t="s">
        <v>13228</v>
      </c>
    </row>
    <row r="1459">
      <c r="A1459" s="1" t="s">
        <v>13229</v>
      </c>
    </row>
    <row r="1460">
      <c r="A1460" s="1" t="s">
        <v>13230</v>
      </c>
    </row>
    <row r="1461">
      <c r="A1461" s="1" t="s">
        <v>13231</v>
      </c>
    </row>
    <row r="1462">
      <c r="A1462" s="1" t="s">
        <v>13232</v>
      </c>
    </row>
    <row r="1463">
      <c r="A1463" s="1" t="s">
        <v>13233</v>
      </c>
    </row>
    <row r="1464">
      <c r="A1464" s="1" t="s">
        <v>13234</v>
      </c>
    </row>
    <row r="1465">
      <c r="A1465" s="1" t="s">
        <v>13235</v>
      </c>
    </row>
    <row r="1466">
      <c r="A1466" s="1" t="s">
        <v>13236</v>
      </c>
    </row>
    <row r="1467">
      <c r="A1467" s="1" t="s">
        <v>13237</v>
      </c>
    </row>
    <row r="1468">
      <c r="A1468" s="1" t="s">
        <v>13238</v>
      </c>
    </row>
    <row r="1469">
      <c r="A1469" s="1" t="s">
        <v>13239</v>
      </c>
    </row>
    <row r="1470">
      <c r="A1470" s="1" t="s">
        <v>13240</v>
      </c>
    </row>
    <row r="1471">
      <c r="A1471" s="1" t="s">
        <v>13241</v>
      </c>
    </row>
    <row r="1472">
      <c r="A1472" s="1" t="s">
        <v>13242</v>
      </c>
    </row>
    <row r="1473">
      <c r="A1473" s="1" t="s">
        <v>13243</v>
      </c>
    </row>
    <row r="1474">
      <c r="A1474" s="1" t="s">
        <v>13244</v>
      </c>
    </row>
    <row r="1475">
      <c r="A1475" s="1" t="s">
        <v>13245</v>
      </c>
    </row>
    <row r="1476">
      <c r="A1476" s="1" t="s">
        <v>13246</v>
      </c>
    </row>
    <row r="1477">
      <c r="A1477" s="1" t="s">
        <v>13247</v>
      </c>
    </row>
    <row r="1478">
      <c r="A1478" s="1" t="s">
        <v>13248</v>
      </c>
    </row>
    <row r="1479">
      <c r="A1479" s="1" t="s">
        <v>13249</v>
      </c>
    </row>
    <row r="1480">
      <c r="A1480" s="1" t="s">
        <v>13250</v>
      </c>
    </row>
    <row r="1481">
      <c r="A1481" s="1" t="s">
        <v>13251</v>
      </c>
    </row>
    <row r="1482">
      <c r="A1482" s="1" t="s">
        <v>13252</v>
      </c>
    </row>
    <row r="1483">
      <c r="A1483" s="1" t="s">
        <v>13253</v>
      </c>
    </row>
    <row r="1484">
      <c r="A1484" s="1" t="s">
        <v>13254</v>
      </c>
    </row>
    <row r="1485">
      <c r="A1485" s="1" t="s">
        <v>13255</v>
      </c>
    </row>
    <row r="1486">
      <c r="A1486" s="1" t="s">
        <v>13256</v>
      </c>
    </row>
    <row r="1487">
      <c r="A1487" s="1" t="s">
        <v>13257</v>
      </c>
    </row>
    <row r="1488">
      <c r="A1488" s="1" t="s">
        <v>13258</v>
      </c>
    </row>
    <row r="1489">
      <c r="A1489" s="1" t="s">
        <v>13259</v>
      </c>
    </row>
    <row r="1490">
      <c r="A1490" s="1" t="s">
        <v>13260</v>
      </c>
    </row>
    <row r="1491">
      <c r="A1491" s="1" t="s">
        <v>13261</v>
      </c>
    </row>
    <row r="1492">
      <c r="A1492" s="1" t="s">
        <v>13262</v>
      </c>
    </row>
    <row r="1493">
      <c r="A1493" s="1" t="s">
        <v>13263</v>
      </c>
    </row>
    <row r="1494">
      <c r="A1494" s="1" t="s">
        <v>13264</v>
      </c>
    </row>
    <row r="1495">
      <c r="A1495" s="1" t="s">
        <v>13265</v>
      </c>
    </row>
    <row r="1496">
      <c r="A1496" s="1" t="s">
        <v>13266</v>
      </c>
    </row>
    <row r="1497">
      <c r="A1497" s="1" t="s">
        <v>13267</v>
      </c>
    </row>
    <row r="1498">
      <c r="A1498" s="1" t="s">
        <v>13268</v>
      </c>
    </row>
    <row r="1499">
      <c r="A1499" s="1" t="s">
        <v>13269</v>
      </c>
    </row>
    <row r="1500">
      <c r="A1500" s="1" t="s">
        <v>13270</v>
      </c>
    </row>
    <row r="1501">
      <c r="A1501" s="1" t="s">
        <v>13271</v>
      </c>
    </row>
    <row r="1502">
      <c r="A1502" s="1" t="s">
        <v>13272</v>
      </c>
    </row>
    <row r="1503">
      <c r="A1503" s="1" t="s">
        <v>13273</v>
      </c>
    </row>
    <row r="1504">
      <c r="A1504" s="1" t="s">
        <v>13274</v>
      </c>
    </row>
    <row r="1505">
      <c r="A1505" s="1" t="s">
        <v>13275</v>
      </c>
    </row>
    <row r="1506">
      <c r="A1506" s="1" t="s">
        <v>13276</v>
      </c>
    </row>
    <row r="1507">
      <c r="A1507" s="1" t="s">
        <v>13277</v>
      </c>
    </row>
    <row r="1508">
      <c r="A1508" s="1" t="s">
        <v>13278</v>
      </c>
    </row>
    <row r="1509">
      <c r="A1509" s="1" t="s">
        <v>13279</v>
      </c>
    </row>
    <row r="1510">
      <c r="A1510" s="1" t="s">
        <v>13280</v>
      </c>
    </row>
    <row r="1511">
      <c r="A1511" s="1" t="s">
        <v>13281</v>
      </c>
    </row>
    <row r="1512">
      <c r="A1512" s="1" t="s">
        <v>13282</v>
      </c>
    </row>
    <row r="1513">
      <c r="A1513" s="1" t="s">
        <v>13283</v>
      </c>
    </row>
    <row r="1514">
      <c r="A1514" s="1" t="s">
        <v>13284</v>
      </c>
    </row>
    <row r="1515">
      <c r="A1515" s="1" t="s">
        <v>13285</v>
      </c>
    </row>
    <row r="1516">
      <c r="A1516" s="1" t="s">
        <v>13286</v>
      </c>
    </row>
    <row r="1517">
      <c r="A1517" s="1" t="s">
        <v>13287</v>
      </c>
    </row>
    <row r="1518">
      <c r="A1518" s="1" t="s">
        <v>13288</v>
      </c>
    </row>
    <row r="1519">
      <c r="A1519" s="1" t="s">
        <v>13289</v>
      </c>
    </row>
    <row r="1520">
      <c r="A1520" s="1" t="s">
        <v>13290</v>
      </c>
    </row>
    <row r="1521">
      <c r="A1521" s="1" t="s">
        <v>13291</v>
      </c>
    </row>
    <row r="1522">
      <c r="A1522" s="1" t="s">
        <v>13292</v>
      </c>
    </row>
    <row r="1523">
      <c r="A1523" s="1" t="s">
        <v>13293</v>
      </c>
    </row>
    <row r="1524">
      <c r="A1524" s="1" t="s">
        <v>13294</v>
      </c>
    </row>
    <row r="1525">
      <c r="A1525" s="1" t="s">
        <v>13295</v>
      </c>
    </row>
    <row r="1526">
      <c r="A1526" s="1" t="s">
        <v>13296</v>
      </c>
    </row>
    <row r="1527">
      <c r="A1527" s="1" t="s">
        <v>13297</v>
      </c>
    </row>
    <row r="1528">
      <c r="A1528" s="1" t="s">
        <v>13298</v>
      </c>
    </row>
    <row r="1529">
      <c r="A1529" s="1" t="s">
        <v>13299</v>
      </c>
    </row>
    <row r="1530">
      <c r="A1530" s="1" t="s">
        <v>13300</v>
      </c>
    </row>
    <row r="1531">
      <c r="A1531" s="1" t="s">
        <v>13301</v>
      </c>
    </row>
    <row r="1532">
      <c r="A1532" s="1" t="s">
        <v>13302</v>
      </c>
    </row>
    <row r="1533">
      <c r="A1533" s="1" t="s">
        <v>13303</v>
      </c>
    </row>
    <row r="1534">
      <c r="A1534" s="1" t="s">
        <v>13304</v>
      </c>
    </row>
    <row r="1535">
      <c r="A1535" s="1" t="s">
        <v>13305</v>
      </c>
    </row>
    <row r="1536">
      <c r="A1536" s="1" t="s">
        <v>13306</v>
      </c>
    </row>
    <row r="1537">
      <c r="A1537" s="1" t="s">
        <v>12383</v>
      </c>
    </row>
    <row r="1538">
      <c r="A1538" s="1" t="s">
        <v>12384</v>
      </c>
    </row>
    <row r="1539">
      <c r="A1539" s="1" t="s">
        <v>13307</v>
      </c>
    </row>
    <row r="1540">
      <c r="A1540" s="1" t="s">
        <v>13308</v>
      </c>
    </row>
    <row r="1541">
      <c r="A1541" s="1" t="s">
        <v>13309</v>
      </c>
    </row>
    <row r="1542">
      <c r="A1542" s="1" t="s">
        <v>13310</v>
      </c>
    </row>
    <row r="1543">
      <c r="A1543" s="1" t="s">
        <v>13311</v>
      </c>
    </row>
    <row r="1544">
      <c r="A1544" s="1" t="s">
        <v>13312</v>
      </c>
    </row>
    <row r="1545">
      <c r="A1545" s="1" t="s">
        <v>13313</v>
      </c>
    </row>
    <row r="1546">
      <c r="A1546" s="1" t="s">
        <v>13314</v>
      </c>
    </row>
    <row r="1547">
      <c r="A1547" s="1" t="s">
        <v>13315</v>
      </c>
    </row>
    <row r="1548">
      <c r="A1548" s="1" t="s">
        <v>13316</v>
      </c>
    </row>
    <row r="1549">
      <c r="A1549" s="1" t="s">
        <v>13317</v>
      </c>
    </row>
    <row r="1550">
      <c r="A1550" s="1" t="s">
        <v>13318</v>
      </c>
    </row>
    <row r="1551">
      <c r="A1551" s="1" t="s">
        <v>13319</v>
      </c>
    </row>
    <row r="1552">
      <c r="A1552" s="1" t="s">
        <v>13320</v>
      </c>
    </row>
    <row r="1553">
      <c r="A1553" s="1" t="s">
        <v>13321</v>
      </c>
    </row>
    <row r="1554">
      <c r="A1554" s="1" t="s">
        <v>13322</v>
      </c>
    </row>
    <row r="1555">
      <c r="A1555" s="1" t="s">
        <v>13323</v>
      </c>
    </row>
    <row r="1556">
      <c r="A1556" s="1" t="s">
        <v>13324</v>
      </c>
    </row>
    <row r="1557">
      <c r="A1557" s="1" t="s">
        <v>13325</v>
      </c>
    </row>
    <row r="1558">
      <c r="A1558" s="1" t="s">
        <v>13326</v>
      </c>
    </row>
    <row r="1559">
      <c r="A1559" s="1" t="s">
        <v>13327</v>
      </c>
    </row>
    <row r="1560">
      <c r="A1560" s="1" t="s">
        <v>13328</v>
      </c>
    </row>
    <row r="1561">
      <c r="A1561" s="1" t="s">
        <v>13329</v>
      </c>
    </row>
    <row r="1562">
      <c r="A1562" s="1" t="s">
        <v>13330</v>
      </c>
    </row>
    <row r="1563">
      <c r="A1563" s="1" t="s">
        <v>13331</v>
      </c>
    </row>
    <row r="1564">
      <c r="A1564" s="1" t="s">
        <v>13332</v>
      </c>
    </row>
    <row r="1565">
      <c r="A1565" s="1" t="s">
        <v>13333</v>
      </c>
    </row>
    <row r="1566">
      <c r="A1566" s="1" t="s">
        <v>13334</v>
      </c>
    </row>
    <row r="1567">
      <c r="A1567" s="1" t="s">
        <v>13335</v>
      </c>
    </row>
    <row r="1568">
      <c r="A1568" s="1" t="s">
        <v>13336</v>
      </c>
    </row>
    <row r="1569">
      <c r="A1569" s="1" t="s">
        <v>13337</v>
      </c>
    </row>
    <row r="1570">
      <c r="A1570" s="1" t="s">
        <v>13338</v>
      </c>
    </row>
    <row r="1571">
      <c r="A1571" s="1" t="s">
        <v>13339</v>
      </c>
    </row>
    <row r="1572">
      <c r="A1572" s="1" t="s">
        <v>13340</v>
      </c>
    </row>
    <row r="1573">
      <c r="A1573" s="1" t="s">
        <v>13341</v>
      </c>
    </row>
    <row r="1574">
      <c r="A1574" s="1" t="s">
        <v>13342</v>
      </c>
    </row>
    <row r="1575">
      <c r="A1575" s="1" t="s">
        <v>13343</v>
      </c>
    </row>
    <row r="1576">
      <c r="A1576" s="1" t="s">
        <v>13344</v>
      </c>
    </row>
    <row r="1577">
      <c r="A1577" s="1" t="s">
        <v>13345</v>
      </c>
    </row>
    <row r="1578">
      <c r="A1578" s="1" t="s">
        <v>13346</v>
      </c>
    </row>
    <row r="1579">
      <c r="A1579" s="1" t="s">
        <v>13347</v>
      </c>
    </row>
    <row r="1580">
      <c r="A1580" s="1" t="s">
        <v>13348</v>
      </c>
    </row>
    <row r="1581">
      <c r="A1581" s="1" t="s">
        <v>13349</v>
      </c>
    </row>
    <row r="1582">
      <c r="A1582" s="1" t="s">
        <v>13350</v>
      </c>
    </row>
    <row r="1583">
      <c r="A1583" s="1" t="s">
        <v>13351</v>
      </c>
    </row>
    <row r="1584">
      <c r="A1584" s="1" t="s">
        <v>13352</v>
      </c>
    </row>
    <row r="1585">
      <c r="A1585" s="1" t="s">
        <v>12746</v>
      </c>
    </row>
    <row r="1586">
      <c r="A1586" s="1" t="s">
        <v>12747</v>
      </c>
    </row>
    <row r="1587">
      <c r="A1587" s="1" t="s">
        <v>12748</v>
      </c>
    </row>
    <row r="1588">
      <c r="A1588" s="1" t="s">
        <v>12749</v>
      </c>
    </row>
    <row r="1589">
      <c r="A1589" s="1" t="s">
        <v>12750</v>
      </c>
    </row>
    <row r="1590">
      <c r="A1590" s="1" t="s">
        <v>12751</v>
      </c>
    </row>
    <row r="1591">
      <c r="A1591" s="1" t="s">
        <v>13353</v>
      </c>
    </row>
    <row r="1592">
      <c r="A1592" s="1" t="s">
        <v>13354</v>
      </c>
    </row>
    <row r="1593">
      <c r="A1593" s="1" t="s">
        <v>13355</v>
      </c>
    </row>
    <row r="1594">
      <c r="A1594" s="1" t="s">
        <v>13356</v>
      </c>
    </row>
    <row r="1595">
      <c r="A1595" s="1" t="s">
        <v>13357</v>
      </c>
    </row>
    <row r="1596">
      <c r="A1596" s="1" t="s">
        <v>13358</v>
      </c>
    </row>
    <row r="1597">
      <c r="A1597" s="1" t="s">
        <v>13359</v>
      </c>
    </row>
    <row r="1598">
      <c r="A1598" s="1" t="s">
        <v>13360</v>
      </c>
    </row>
    <row r="1599">
      <c r="A1599" s="1" t="s">
        <v>13361</v>
      </c>
    </row>
    <row r="1600">
      <c r="A1600" s="1" t="s">
        <v>13362</v>
      </c>
    </row>
    <row r="1601">
      <c r="A1601" s="1" t="s">
        <v>13363</v>
      </c>
    </row>
    <row r="1602">
      <c r="A1602" s="1" t="s">
        <v>13364</v>
      </c>
    </row>
    <row r="1603">
      <c r="A1603" s="1" t="s">
        <v>13365</v>
      </c>
    </row>
    <row r="1604">
      <c r="A1604" s="1" t="s">
        <v>13366</v>
      </c>
    </row>
    <row r="1605">
      <c r="A1605" s="1" t="s">
        <v>13367</v>
      </c>
    </row>
    <row r="1606">
      <c r="A1606" s="1" t="s">
        <v>12251</v>
      </c>
    </row>
    <row r="1607">
      <c r="A1607" s="1" t="s">
        <v>13368</v>
      </c>
    </row>
    <row r="1608">
      <c r="A1608" s="1" t="s">
        <v>13369</v>
      </c>
    </row>
    <row r="1609">
      <c r="A1609" s="1" t="s">
        <v>13370</v>
      </c>
    </row>
    <row r="1610">
      <c r="A1610" s="1" t="s">
        <v>13371</v>
      </c>
    </row>
    <row r="1611">
      <c r="A1611" s="1" t="s">
        <v>13372</v>
      </c>
    </row>
    <row r="1612">
      <c r="A1612" s="1" t="s">
        <v>13373</v>
      </c>
    </row>
    <row r="1613">
      <c r="A1613" s="1" t="s">
        <v>13374</v>
      </c>
    </row>
    <row r="1614">
      <c r="A1614" s="1" t="s">
        <v>13375</v>
      </c>
    </row>
    <row r="1615">
      <c r="A1615" s="1" t="s">
        <v>13376</v>
      </c>
    </row>
    <row r="1616">
      <c r="A1616" s="1" t="s">
        <v>13377</v>
      </c>
    </row>
    <row r="1617">
      <c r="A1617" s="1" t="s">
        <v>13378</v>
      </c>
    </row>
    <row r="1618">
      <c r="A1618" s="1" t="s">
        <v>13379</v>
      </c>
    </row>
    <row r="1619">
      <c r="A1619" s="1" t="s">
        <v>13380</v>
      </c>
    </row>
    <row r="1620">
      <c r="A1620" s="1" t="s">
        <v>12351</v>
      </c>
    </row>
    <row r="1621">
      <c r="A1621" s="1" t="s">
        <v>13381</v>
      </c>
    </row>
    <row r="1622">
      <c r="A1622" s="1" t="s">
        <v>13382</v>
      </c>
    </row>
    <row r="1623">
      <c r="A1623" s="1" t="s">
        <v>13383</v>
      </c>
    </row>
    <row r="1624">
      <c r="A1624" s="1" t="s">
        <v>13384</v>
      </c>
    </row>
    <row r="1625">
      <c r="A1625" s="1" t="s">
        <v>13385</v>
      </c>
    </row>
    <row r="1626">
      <c r="A1626" s="1" t="s">
        <v>13386</v>
      </c>
    </row>
    <row r="1627">
      <c r="A1627" s="1" t="s">
        <v>13387</v>
      </c>
    </row>
    <row r="1628">
      <c r="A1628" s="1" t="s">
        <v>13388</v>
      </c>
    </row>
    <row r="1629">
      <c r="A1629" s="1" t="s">
        <v>13389</v>
      </c>
    </row>
    <row r="1630">
      <c r="A1630" s="1" t="s">
        <v>13390</v>
      </c>
    </row>
    <row r="1631">
      <c r="A1631" s="1" t="s">
        <v>13391</v>
      </c>
    </row>
    <row r="1632">
      <c r="A1632" s="1" t="s">
        <v>13392</v>
      </c>
    </row>
    <row r="1633">
      <c r="A1633" s="1" t="s">
        <v>13393</v>
      </c>
    </row>
    <row r="1634">
      <c r="A1634" s="1" t="s">
        <v>13394</v>
      </c>
    </row>
    <row r="1635">
      <c r="A1635" s="1" t="s">
        <v>13395</v>
      </c>
    </row>
    <row r="1636">
      <c r="A1636" s="1" t="s">
        <v>13396</v>
      </c>
    </row>
    <row r="1637">
      <c r="A1637" s="1" t="s">
        <v>13397</v>
      </c>
    </row>
    <row r="1638">
      <c r="A1638" s="1" t="s">
        <v>13398</v>
      </c>
    </row>
    <row r="1639">
      <c r="A1639" s="1" t="s">
        <v>13399</v>
      </c>
    </row>
    <row r="1640">
      <c r="A1640" s="1" t="s">
        <v>13400</v>
      </c>
    </row>
    <row r="1641">
      <c r="A1641" s="1" t="s">
        <v>13401</v>
      </c>
    </row>
    <row r="1642">
      <c r="A1642" s="1" t="s">
        <v>13402</v>
      </c>
    </row>
    <row r="1643">
      <c r="A1643" s="1" t="s">
        <v>13403</v>
      </c>
    </row>
    <row r="1644">
      <c r="A1644" s="1" t="s">
        <v>13404</v>
      </c>
    </row>
    <row r="1645">
      <c r="A1645" s="1" t="s">
        <v>13405</v>
      </c>
    </row>
    <row r="1646">
      <c r="A1646" s="1" t="s">
        <v>13406</v>
      </c>
    </row>
    <row r="1647">
      <c r="A1647" s="1" t="s">
        <v>13407</v>
      </c>
    </row>
    <row r="1648">
      <c r="A1648" s="1" t="s">
        <v>13408</v>
      </c>
    </row>
    <row r="1649">
      <c r="A1649" s="1" t="s">
        <v>13409</v>
      </c>
    </row>
    <row r="1650">
      <c r="A1650" s="1" t="s">
        <v>13410</v>
      </c>
    </row>
    <row r="1651">
      <c r="A1651" s="1" t="s">
        <v>13411</v>
      </c>
    </row>
    <row r="1652">
      <c r="A1652" s="1" t="s">
        <v>13412</v>
      </c>
    </row>
    <row r="1653">
      <c r="A1653" s="1" t="s">
        <v>13413</v>
      </c>
    </row>
    <row r="1654">
      <c r="A1654" s="1" t="s">
        <v>13414</v>
      </c>
    </row>
    <row r="1655">
      <c r="A1655" s="1" t="s">
        <v>13415</v>
      </c>
    </row>
    <row r="1656">
      <c r="A1656" s="1" t="s">
        <v>13416</v>
      </c>
    </row>
    <row r="1657">
      <c r="A1657" s="1" t="s">
        <v>13417</v>
      </c>
    </row>
    <row r="1658">
      <c r="A1658" s="1" t="s">
        <v>13418</v>
      </c>
    </row>
    <row r="1659">
      <c r="A1659" s="1" t="s">
        <v>13419</v>
      </c>
    </row>
    <row r="1660">
      <c r="A1660" s="1" t="s">
        <v>13420</v>
      </c>
    </row>
    <row r="1661">
      <c r="A1661" s="1" t="s">
        <v>13421</v>
      </c>
    </row>
    <row r="1662">
      <c r="A1662" s="1" t="s">
        <v>13422</v>
      </c>
    </row>
    <row r="1663">
      <c r="A1663" s="1" t="s">
        <v>13423</v>
      </c>
    </row>
    <row r="1664">
      <c r="A1664" s="1" t="s">
        <v>13424</v>
      </c>
    </row>
    <row r="1665">
      <c r="A1665" s="1" t="s">
        <v>13425</v>
      </c>
    </row>
    <row r="1666">
      <c r="A1666" s="1" t="s">
        <v>13426</v>
      </c>
    </row>
    <row r="1667">
      <c r="A1667" s="1" t="s">
        <v>13427</v>
      </c>
    </row>
    <row r="1668">
      <c r="A1668" s="1" t="s">
        <v>13428</v>
      </c>
    </row>
    <row r="1669">
      <c r="A1669" s="1" t="s">
        <v>13429</v>
      </c>
    </row>
    <row r="1670">
      <c r="A1670" s="1" t="s">
        <v>13430</v>
      </c>
    </row>
    <row r="1671">
      <c r="A1671" s="1" t="s">
        <v>13431</v>
      </c>
    </row>
    <row r="1672">
      <c r="A1672" s="1" t="s">
        <v>13432</v>
      </c>
    </row>
    <row r="1673">
      <c r="A1673" s="1" t="s">
        <v>13433</v>
      </c>
    </row>
    <row r="1674">
      <c r="A1674" s="1" t="s">
        <v>13434</v>
      </c>
    </row>
    <row r="1675">
      <c r="A1675" s="1" t="s">
        <v>13435</v>
      </c>
    </row>
    <row r="1676">
      <c r="A1676" s="1" t="s">
        <v>13436</v>
      </c>
    </row>
    <row r="1677">
      <c r="A1677" s="1" t="s">
        <v>13437</v>
      </c>
    </row>
    <row r="1678">
      <c r="A1678" s="1" t="s">
        <v>13438</v>
      </c>
    </row>
    <row r="1679">
      <c r="A1679" s="1" t="s">
        <v>13439</v>
      </c>
    </row>
    <row r="1680">
      <c r="A1680" s="1" t="s">
        <v>13440</v>
      </c>
    </row>
    <row r="1681">
      <c r="A1681" s="1" t="s">
        <v>13441</v>
      </c>
    </row>
    <row r="1682">
      <c r="A1682" s="1" t="s">
        <v>13442</v>
      </c>
    </row>
    <row r="1683">
      <c r="A1683" s="1" t="s">
        <v>13443</v>
      </c>
    </row>
    <row r="1684">
      <c r="A1684" s="1" t="s">
        <v>13444</v>
      </c>
    </row>
    <row r="1685">
      <c r="A1685" s="1" t="s">
        <v>13445</v>
      </c>
    </row>
    <row r="1686">
      <c r="A1686" s="1" t="s">
        <v>13446</v>
      </c>
    </row>
    <row r="1687">
      <c r="A1687" s="1" t="s">
        <v>13447</v>
      </c>
    </row>
    <row r="1688">
      <c r="A1688" s="1" t="s">
        <v>13448</v>
      </c>
    </row>
    <row r="1689">
      <c r="A1689" s="1" t="s">
        <v>13449</v>
      </c>
    </row>
    <row r="1690">
      <c r="A1690" s="1" t="s">
        <v>13450</v>
      </c>
    </row>
    <row r="1691">
      <c r="A1691" s="1" t="s">
        <v>13451</v>
      </c>
    </row>
    <row r="1692">
      <c r="A1692" s="1" t="s">
        <v>13452</v>
      </c>
    </row>
    <row r="1693">
      <c r="A1693" s="1" t="s">
        <v>13453</v>
      </c>
    </row>
    <row r="1694">
      <c r="A1694" s="1" t="s">
        <v>13454</v>
      </c>
    </row>
    <row r="1695">
      <c r="A1695" s="1" t="s">
        <v>13455</v>
      </c>
    </row>
    <row r="1696">
      <c r="A1696" s="1" t="s">
        <v>13456</v>
      </c>
    </row>
    <row r="1697">
      <c r="A1697" s="1" t="s">
        <v>13457</v>
      </c>
    </row>
    <row r="1698">
      <c r="A1698" s="1" t="s">
        <v>13458</v>
      </c>
    </row>
    <row r="1699">
      <c r="A1699" s="1" t="s">
        <v>13459</v>
      </c>
    </row>
    <row r="1700">
      <c r="A1700" s="1" t="s">
        <v>13460</v>
      </c>
    </row>
    <row r="1701">
      <c r="A1701" s="1" t="s">
        <v>13461</v>
      </c>
    </row>
    <row r="1702">
      <c r="A1702" s="1" t="s">
        <v>13462</v>
      </c>
    </row>
    <row r="1703">
      <c r="A1703" s="1" t="s">
        <v>13463</v>
      </c>
    </row>
    <row r="1704">
      <c r="A1704" s="1" t="s">
        <v>13464</v>
      </c>
    </row>
    <row r="1705">
      <c r="A1705" s="1" t="s">
        <v>13465</v>
      </c>
    </row>
    <row r="1706">
      <c r="A1706" s="1" t="s">
        <v>13466</v>
      </c>
    </row>
    <row r="1707">
      <c r="A1707" s="1" t="s">
        <v>13467</v>
      </c>
    </row>
    <row r="1708">
      <c r="A1708" s="1" t="s">
        <v>13468</v>
      </c>
    </row>
    <row r="1709">
      <c r="A1709" s="1" t="s">
        <v>13469</v>
      </c>
    </row>
    <row r="1710">
      <c r="A1710" s="1" t="s">
        <v>13470</v>
      </c>
    </row>
    <row r="1711">
      <c r="A1711" s="1" t="s">
        <v>13471</v>
      </c>
    </row>
    <row r="1712">
      <c r="A1712" s="1" t="s">
        <v>13472</v>
      </c>
    </row>
    <row r="1713">
      <c r="A1713" s="1" t="s">
        <v>13312</v>
      </c>
    </row>
    <row r="1714">
      <c r="A1714" s="1" t="s">
        <v>13313</v>
      </c>
    </row>
    <row r="1715">
      <c r="A1715" s="1" t="s">
        <v>13314</v>
      </c>
    </row>
    <row r="1716">
      <c r="A1716" s="1" t="s">
        <v>13473</v>
      </c>
    </row>
    <row r="1717">
      <c r="A1717" s="1" t="s">
        <v>13474</v>
      </c>
    </row>
    <row r="1718">
      <c r="A1718" s="1" t="s">
        <v>13475</v>
      </c>
    </row>
    <row r="1719">
      <c r="A1719" s="1" t="s">
        <v>13476</v>
      </c>
    </row>
    <row r="1720">
      <c r="A1720" s="1" t="s">
        <v>13477</v>
      </c>
    </row>
    <row r="1721">
      <c r="A1721" s="1" t="s">
        <v>13478</v>
      </c>
    </row>
    <row r="1722">
      <c r="A1722" s="1" t="s">
        <v>13479</v>
      </c>
    </row>
    <row r="1723">
      <c r="A1723" s="1" t="s">
        <v>13480</v>
      </c>
    </row>
    <row r="1724">
      <c r="A1724" s="1" t="s">
        <v>13481</v>
      </c>
    </row>
    <row r="1725">
      <c r="A1725" s="1" t="s">
        <v>13482</v>
      </c>
    </row>
    <row r="1726">
      <c r="A1726" s="1" t="s">
        <v>13483</v>
      </c>
    </row>
    <row r="1727">
      <c r="A1727" s="1" t="s">
        <v>13484</v>
      </c>
    </row>
    <row r="1728">
      <c r="A1728" s="1" t="s">
        <v>13485</v>
      </c>
    </row>
    <row r="1729">
      <c r="A1729" s="1" t="s">
        <v>13486</v>
      </c>
    </row>
    <row r="1730">
      <c r="A1730" s="1" t="s">
        <v>13487</v>
      </c>
    </row>
    <row r="1731">
      <c r="A1731" s="1" t="s">
        <v>13488</v>
      </c>
    </row>
    <row r="1732">
      <c r="A1732" s="1" t="s">
        <v>13489</v>
      </c>
    </row>
    <row r="1733">
      <c r="A1733" s="1" t="s">
        <v>13490</v>
      </c>
    </row>
    <row r="1734">
      <c r="A1734" s="1" t="s">
        <v>13491</v>
      </c>
    </row>
    <row r="1735">
      <c r="A1735" s="1" t="s">
        <v>13492</v>
      </c>
    </row>
    <row r="1736">
      <c r="A1736" s="1" t="s">
        <v>13493</v>
      </c>
    </row>
    <row r="1737">
      <c r="A1737" s="1" t="s">
        <v>13494</v>
      </c>
    </row>
    <row r="1738">
      <c r="A1738" s="1" t="s">
        <v>13495</v>
      </c>
    </row>
    <row r="1739">
      <c r="A1739" s="1" t="s">
        <v>13496</v>
      </c>
    </row>
    <row r="1740">
      <c r="A1740" s="1" t="s">
        <v>13497</v>
      </c>
    </row>
    <row r="1741">
      <c r="A1741" s="1" t="s">
        <v>13498</v>
      </c>
    </row>
    <row r="1742">
      <c r="A1742" s="1" t="s">
        <v>13499</v>
      </c>
    </row>
    <row r="1743">
      <c r="A1743" s="1" t="s">
        <v>13500</v>
      </c>
    </row>
    <row r="1744">
      <c r="A1744" s="1" t="s">
        <v>13501</v>
      </c>
    </row>
    <row r="1745">
      <c r="A1745" s="1" t="s">
        <v>13502</v>
      </c>
    </row>
    <row r="1746">
      <c r="A1746" s="1" t="s">
        <v>13503</v>
      </c>
    </row>
    <row r="1747">
      <c r="A1747" s="1" t="s">
        <v>13504</v>
      </c>
    </row>
    <row r="1748">
      <c r="A1748" s="1" t="s">
        <v>13505</v>
      </c>
    </row>
    <row r="1749">
      <c r="A1749" s="1" t="s">
        <v>13506</v>
      </c>
    </row>
    <row r="1750">
      <c r="A1750" s="1" t="s">
        <v>13507</v>
      </c>
    </row>
    <row r="1751">
      <c r="A1751" s="1" t="s">
        <v>13508</v>
      </c>
    </row>
    <row r="1752">
      <c r="A1752" s="1" t="s">
        <v>13509</v>
      </c>
    </row>
    <row r="1753">
      <c r="A1753" s="1" t="s">
        <v>13510</v>
      </c>
    </row>
    <row r="1754">
      <c r="A1754" s="1" t="s">
        <v>13511</v>
      </c>
    </row>
    <row r="1755">
      <c r="A1755" s="1" t="s">
        <v>13512</v>
      </c>
    </row>
    <row r="1756">
      <c r="A1756" s="1" t="s">
        <v>13513</v>
      </c>
    </row>
    <row r="1757">
      <c r="A1757" s="1" t="s">
        <v>13514</v>
      </c>
    </row>
    <row r="1758">
      <c r="A1758" s="1" t="s">
        <v>13515</v>
      </c>
    </row>
    <row r="1759">
      <c r="A1759" s="1" t="s">
        <v>13516</v>
      </c>
    </row>
    <row r="1760">
      <c r="A1760" s="1" t="s">
        <v>13517</v>
      </c>
    </row>
    <row r="1761">
      <c r="A1761" s="1" t="s">
        <v>13518</v>
      </c>
    </row>
    <row r="1762">
      <c r="A1762" s="1" t="s">
        <v>13519</v>
      </c>
    </row>
    <row r="1763">
      <c r="A1763" s="1" t="s">
        <v>13520</v>
      </c>
    </row>
    <row r="1764">
      <c r="A1764" s="1" t="s">
        <v>13521</v>
      </c>
    </row>
    <row r="1765">
      <c r="A1765" s="1" t="s">
        <v>13522</v>
      </c>
    </row>
    <row r="1766">
      <c r="A1766" s="1" t="s">
        <v>13523</v>
      </c>
    </row>
    <row r="1767">
      <c r="A1767" s="1" t="s">
        <v>13524</v>
      </c>
    </row>
    <row r="1768">
      <c r="A1768" s="1" t="s">
        <v>13525</v>
      </c>
    </row>
    <row r="1769">
      <c r="A1769" s="1" t="s">
        <v>13526</v>
      </c>
    </row>
    <row r="1770">
      <c r="A1770" s="1" t="s">
        <v>13527</v>
      </c>
    </row>
    <row r="1771">
      <c r="A1771" s="1" t="s">
        <v>13528</v>
      </c>
    </row>
    <row r="1772">
      <c r="A1772" s="1" t="s">
        <v>13529</v>
      </c>
    </row>
    <row r="1773">
      <c r="A1773" s="1" t="s">
        <v>13530</v>
      </c>
    </row>
    <row r="1774">
      <c r="A1774" s="1" t="s">
        <v>13531</v>
      </c>
    </row>
    <row r="1775">
      <c r="A1775" s="1" t="s">
        <v>13532</v>
      </c>
    </row>
    <row r="1776">
      <c r="A1776" s="1" t="s">
        <v>13533</v>
      </c>
    </row>
    <row r="1777">
      <c r="A1777" s="1" t="s">
        <v>13534</v>
      </c>
    </row>
    <row r="1778">
      <c r="A1778" s="1" t="s">
        <v>13535</v>
      </c>
    </row>
    <row r="1779">
      <c r="A1779" s="1" t="s">
        <v>13536</v>
      </c>
    </row>
    <row r="1780">
      <c r="A1780" s="1" t="s">
        <v>13537</v>
      </c>
    </row>
    <row r="1781">
      <c r="A1781" s="1" t="s">
        <v>13538</v>
      </c>
    </row>
    <row r="1782">
      <c r="A1782" s="1" t="s">
        <v>13539</v>
      </c>
    </row>
    <row r="1783">
      <c r="A1783" s="1" t="s">
        <v>13540</v>
      </c>
    </row>
    <row r="1784">
      <c r="A1784" s="1" t="s">
        <v>13541</v>
      </c>
    </row>
    <row r="1785">
      <c r="A1785" s="1" t="s">
        <v>13542</v>
      </c>
    </row>
    <row r="1786">
      <c r="A1786" s="1" t="s">
        <v>13543</v>
      </c>
    </row>
    <row r="1787">
      <c r="A1787" s="1" t="s">
        <v>13544</v>
      </c>
    </row>
    <row r="1788">
      <c r="A1788" s="1" t="s">
        <v>13545</v>
      </c>
    </row>
    <row r="1789">
      <c r="A1789" s="1" t="s">
        <v>13546</v>
      </c>
    </row>
    <row r="1790">
      <c r="A1790" s="1" t="s">
        <v>13547</v>
      </c>
    </row>
    <row r="1791">
      <c r="A1791" s="1" t="s">
        <v>13548</v>
      </c>
    </row>
    <row r="1792">
      <c r="A1792" s="1" t="s">
        <v>13549</v>
      </c>
    </row>
    <row r="1793">
      <c r="A1793" s="1" t="s">
        <v>13550</v>
      </c>
    </row>
    <row r="1794">
      <c r="A1794" s="1" t="s">
        <v>13551</v>
      </c>
    </row>
    <row r="1795">
      <c r="A1795" s="1" t="s">
        <v>13552</v>
      </c>
    </row>
    <row r="1796">
      <c r="A1796" s="1" t="s">
        <v>13553</v>
      </c>
    </row>
    <row r="1797">
      <c r="A1797" s="1" t="s">
        <v>13554</v>
      </c>
    </row>
    <row r="1798">
      <c r="A1798" s="1" t="s">
        <v>13555</v>
      </c>
    </row>
    <row r="1799">
      <c r="A1799" s="1" t="s">
        <v>13556</v>
      </c>
    </row>
    <row r="1800">
      <c r="A1800" s="1" t="s">
        <v>13557</v>
      </c>
    </row>
    <row r="1801">
      <c r="A1801" s="1" t="s">
        <v>13558</v>
      </c>
    </row>
    <row r="1802">
      <c r="A1802" s="1" t="s">
        <v>13559</v>
      </c>
    </row>
    <row r="1803">
      <c r="A1803" s="1" t="s">
        <v>13560</v>
      </c>
    </row>
    <row r="1804">
      <c r="A1804" s="1" t="s">
        <v>13561</v>
      </c>
    </row>
    <row r="1805">
      <c r="A1805" s="1" t="s">
        <v>13562</v>
      </c>
    </row>
    <row r="1806">
      <c r="A1806" s="1" t="s">
        <v>13563</v>
      </c>
    </row>
    <row r="1807">
      <c r="A1807" s="1" t="s">
        <v>13564</v>
      </c>
    </row>
    <row r="1808">
      <c r="A1808" s="1" t="s">
        <v>13565</v>
      </c>
    </row>
    <row r="1809">
      <c r="A1809" s="1" t="s">
        <v>13566</v>
      </c>
    </row>
    <row r="1810">
      <c r="A1810" s="1" t="s">
        <v>13567</v>
      </c>
    </row>
    <row r="1811">
      <c r="A1811" s="1" t="s">
        <v>13568</v>
      </c>
    </row>
    <row r="1812">
      <c r="A1812" s="1" t="s">
        <v>13569</v>
      </c>
    </row>
    <row r="1813">
      <c r="A1813" s="1" t="s">
        <v>13570</v>
      </c>
    </row>
    <row r="1814">
      <c r="A1814" s="1" t="s">
        <v>13571</v>
      </c>
    </row>
    <row r="1815">
      <c r="A1815" s="1" t="s">
        <v>13572</v>
      </c>
    </row>
    <row r="1816">
      <c r="A1816" s="1" t="s">
        <v>13573</v>
      </c>
    </row>
    <row r="1817">
      <c r="A1817" s="1" t="s">
        <v>13574</v>
      </c>
    </row>
    <row r="1818">
      <c r="A1818" s="1" t="s">
        <v>13575</v>
      </c>
    </row>
    <row r="1819">
      <c r="A1819" s="1" t="s">
        <v>13576</v>
      </c>
    </row>
    <row r="1820">
      <c r="A1820" s="1" t="s">
        <v>13577</v>
      </c>
    </row>
    <row r="1821">
      <c r="A1821" s="1" t="s">
        <v>13578</v>
      </c>
    </row>
    <row r="1822">
      <c r="A1822" s="1" t="s">
        <v>12374</v>
      </c>
    </row>
    <row r="1823">
      <c r="A1823" s="1" t="s">
        <v>13579</v>
      </c>
    </row>
    <row r="1824">
      <c r="A1824" s="1" t="s">
        <v>13580</v>
      </c>
    </row>
    <row r="1825">
      <c r="A1825" s="1" t="s">
        <v>13581</v>
      </c>
    </row>
    <row r="1826">
      <c r="A1826" s="1" t="s">
        <v>13582</v>
      </c>
    </row>
    <row r="1827">
      <c r="A1827" s="1" t="s">
        <v>13583</v>
      </c>
    </row>
    <row r="1828">
      <c r="A1828" s="1" t="s">
        <v>13584</v>
      </c>
    </row>
    <row r="1829">
      <c r="A1829" s="1" t="s">
        <v>13585</v>
      </c>
    </row>
    <row r="1830">
      <c r="A1830" s="1" t="s">
        <v>13586</v>
      </c>
    </row>
    <row r="1831">
      <c r="A1831" s="1" t="s">
        <v>13587</v>
      </c>
    </row>
    <row r="1832">
      <c r="A1832" s="1" t="s">
        <v>13588</v>
      </c>
    </row>
    <row r="1833">
      <c r="A1833" s="1" t="s">
        <v>13589</v>
      </c>
    </row>
    <row r="1834">
      <c r="A1834" s="1" t="s">
        <v>13590</v>
      </c>
    </row>
    <row r="1835">
      <c r="A1835" s="1" t="s">
        <v>13591</v>
      </c>
    </row>
    <row r="1836">
      <c r="A1836" s="1" t="s">
        <v>13592</v>
      </c>
    </row>
    <row r="1837">
      <c r="A1837" s="1" t="s">
        <v>13593</v>
      </c>
    </row>
    <row r="1838">
      <c r="A1838" s="1" t="s">
        <v>13594</v>
      </c>
    </row>
    <row r="1839">
      <c r="A1839" s="1" t="s">
        <v>13595</v>
      </c>
    </row>
    <row r="1840">
      <c r="A1840" s="1" t="s">
        <v>13596</v>
      </c>
    </row>
    <row r="1841">
      <c r="A1841" s="1" t="s">
        <v>13597</v>
      </c>
    </row>
    <row r="1842">
      <c r="A1842" s="1" t="s">
        <v>13598</v>
      </c>
    </row>
    <row r="1843">
      <c r="A1843" s="1" t="s">
        <v>13599</v>
      </c>
    </row>
    <row r="1844">
      <c r="A1844" s="1" t="s">
        <v>13600</v>
      </c>
    </row>
    <row r="1845">
      <c r="A1845" s="1" t="s">
        <v>13601</v>
      </c>
    </row>
    <row r="1846">
      <c r="A1846" s="1" t="s">
        <v>13602</v>
      </c>
    </row>
    <row r="1847">
      <c r="A1847" s="1" t="s">
        <v>13603</v>
      </c>
    </row>
    <row r="1848">
      <c r="A1848" s="1" t="s">
        <v>13604</v>
      </c>
    </row>
    <row r="1849">
      <c r="A1849" s="1" t="s">
        <v>13605</v>
      </c>
    </row>
    <row r="1850">
      <c r="A1850" s="1" t="s">
        <v>13606</v>
      </c>
    </row>
    <row r="1851">
      <c r="A1851" s="1" t="s">
        <v>13607</v>
      </c>
    </row>
    <row r="1852">
      <c r="A1852" s="1" t="s">
        <v>13608</v>
      </c>
    </row>
    <row r="1853">
      <c r="A1853" s="1" t="s">
        <v>13609</v>
      </c>
    </row>
    <row r="1854">
      <c r="A1854" s="1" t="s">
        <v>13610</v>
      </c>
    </row>
    <row r="1855">
      <c r="A1855" s="1" t="s">
        <v>13611</v>
      </c>
    </row>
    <row r="1856">
      <c r="A1856" s="1" t="s">
        <v>13612</v>
      </c>
    </row>
    <row r="1857">
      <c r="A1857" s="1" t="s">
        <v>13613</v>
      </c>
    </row>
    <row r="1858">
      <c r="A1858" s="1" t="s">
        <v>13614</v>
      </c>
    </row>
    <row r="1859">
      <c r="A1859" s="1" t="s">
        <v>13615</v>
      </c>
    </row>
    <row r="1860">
      <c r="A1860" s="1" t="s">
        <v>13616</v>
      </c>
    </row>
    <row r="1861">
      <c r="A1861" s="1" t="s">
        <v>13617</v>
      </c>
    </row>
    <row r="1862">
      <c r="A1862" s="1" t="s">
        <v>13618</v>
      </c>
    </row>
    <row r="1863">
      <c r="A1863" s="1" t="s">
        <v>13619</v>
      </c>
    </row>
    <row r="1864">
      <c r="A1864" s="1" t="s">
        <v>13620</v>
      </c>
    </row>
    <row r="1865">
      <c r="A1865" s="1" t="s">
        <v>13621</v>
      </c>
    </row>
    <row r="1866">
      <c r="A1866" s="1" t="s">
        <v>13622</v>
      </c>
    </row>
    <row r="1867">
      <c r="A1867" s="1" t="s">
        <v>13623</v>
      </c>
    </row>
    <row r="1868">
      <c r="A1868" s="1" t="s">
        <v>13624</v>
      </c>
    </row>
    <row r="1869">
      <c r="A1869" s="1" t="s">
        <v>13625</v>
      </c>
    </row>
    <row r="1870">
      <c r="A1870" s="1" t="s">
        <v>13626</v>
      </c>
    </row>
    <row r="1871">
      <c r="A1871" s="1" t="s">
        <v>13627</v>
      </c>
    </row>
    <row r="1872">
      <c r="A1872" s="1" t="s">
        <v>13628</v>
      </c>
    </row>
    <row r="1873">
      <c r="A1873" s="1" t="s">
        <v>13629</v>
      </c>
    </row>
    <row r="1874">
      <c r="A1874" s="1" t="s">
        <v>13630</v>
      </c>
    </row>
    <row r="1875">
      <c r="A1875" s="1" t="s">
        <v>13631</v>
      </c>
    </row>
    <row r="1876">
      <c r="A1876" s="1" t="s">
        <v>13632</v>
      </c>
    </row>
    <row r="1877">
      <c r="A1877" s="1" t="s">
        <v>12728</v>
      </c>
    </row>
    <row r="1878">
      <c r="A1878" s="1" t="s">
        <v>13633</v>
      </c>
    </row>
    <row r="1879">
      <c r="A1879" s="1" t="s">
        <v>13634</v>
      </c>
    </row>
    <row r="1880">
      <c r="A1880" s="1" t="s">
        <v>13635</v>
      </c>
    </row>
    <row r="1881">
      <c r="A1881" s="1" t="s">
        <v>13636</v>
      </c>
    </row>
    <row r="1882">
      <c r="A1882" s="1" t="s">
        <v>13637</v>
      </c>
    </row>
    <row r="1883">
      <c r="A1883" s="1" t="s">
        <v>13638</v>
      </c>
    </row>
    <row r="1884">
      <c r="A1884" s="1" t="s">
        <v>13639</v>
      </c>
    </row>
    <row r="1885">
      <c r="A1885" s="1" t="s">
        <v>13640</v>
      </c>
    </row>
    <row r="1886">
      <c r="A1886" s="1" t="s">
        <v>13641</v>
      </c>
    </row>
    <row r="1887">
      <c r="A1887" s="1" t="s">
        <v>13642</v>
      </c>
    </row>
    <row r="1888">
      <c r="A1888" s="1" t="s">
        <v>13643</v>
      </c>
    </row>
    <row r="1889">
      <c r="A1889" s="1" t="s">
        <v>13644</v>
      </c>
    </row>
    <row r="1890">
      <c r="A1890" s="1" t="s">
        <v>13645</v>
      </c>
    </row>
    <row r="1891">
      <c r="A1891" s="1" t="s">
        <v>13646</v>
      </c>
    </row>
    <row r="1892">
      <c r="A1892" s="1" t="s">
        <v>13647</v>
      </c>
    </row>
    <row r="1893">
      <c r="A1893" s="1" t="s">
        <v>12756</v>
      </c>
    </row>
    <row r="1894">
      <c r="A1894" s="1" t="s">
        <v>13648</v>
      </c>
    </row>
    <row r="1895">
      <c r="A1895" s="1" t="s">
        <v>13649</v>
      </c>
    </row>
    <row r="1896">
      <c r="A1896" s="1" t="s">
        <v>12863</v>
      </c>
    </row>
    <row r="1897">
      <c r="A1897" s="1" t="s">
        <v>12864</v>
      </c>
    </row>
    <row r="1898">
      <c r="A1898" s="1" t="s">
        <v>12865</v>
      </c>
    </row>
    <row r="1899">
      <c r="A1899" s="1" t="s">
        <v>12399</v>
      </c>
    </row>
    <row r="1900">
      <c r="A1900" s="1" t="s">
        <v>12400</v>
      </c>
    </row>
    <row r="1901">
      <c r="A1901" s="1" t="s">
        <v>13650</v>
      </c>
    </row>
    <row r="1902">
      <c r="A1902" s="1" t="s">
        <v>13651</v>
      </c>
    </row>
    <row r="1903">
      <c r="A1903" s="1" t="s">
        <v>13652</v>
      </c>
    </row>
    <row r="1904">
      <c r="A1904" s="1" t="s">
        <v>13653</v>
      </c>
    </row>
    <row r="1905">
      <c r="A1905" s="1" t="s">
        <v>13654</v>
      </c>
    </row>
    <row r="1906">
      <c r="A1906" s="1" t="s">
        <v>13655</v>
      </c>
    </row>
    <row r="1907">
      <c r="A1907" s="1" t="s">
        <v>12430</v>
      </c>
    </row>
    <row r="1908">
      <c r="A1908" s="1" t="s">
        <v>13430</v>
      </c>
    </row>
    <row r="1909">
      <c r="A1909" s="1" t="s">
        <v>13656</v>
      </c>
    </row>
    <row r="1910">
      <c r="A1910" s="1" t="s">
        <v>13657</v>
      </c>
    </row>
    <row r="1911">
      <c r="A1911" s="1" t="s">
        <v>13658</v>
      </c>
    </row>
    <row r="1912">
      <c r="A1912" s="1" t="s">
        <v>13659</v>
      </c>
    </row>
    <row r="1913">
      <c r="A1913" s="1" t="s">
        <v>13660</v>
      </c>
    </row>
    <row r="1914">
      <c r="A1914" s="1" t="s">
        <v>13661</v>
      </c>
    </row>
    <row r="1915">
      <c r="A1915" s="1" t="s">
        <v>13662</v>
      </c>
    </row>
    <row r="1916">
      <c r="A1916" s="1" t="s">
        <v>13663</v>
      </c>
    </row>
    <row r="1917">
      <c r="A1917" s="1" t="s">
        <v>13664</v>
      </c>
    </row>
    <row r="1918">
      <c r="A1918" s="1" t="s">
        <v>13665</v>
      </c>
    </row>
    <row r="1919">
      <c r="A1919" s="1" t="s">
        <v>13666</v>
      </c>
    </row>
    <row r="1920">
      <c r="A1920" s="1" t="s">
        <v>13667</v>
      </c>
    </row>
    <row r="1921">
      <c r="A1921" s="1" t="s">
        <v>13668</v>
      </c>
    </row>
    <row r="1922">
      <c r="A1922" s="1" t="s">
        <v>13669</v>
      </c>
    </row>
    <row r="1923">
      <c r="A1923" s="1" t="s">
        <v>13670</v>
      </c>
    </row>
    <row r="1924">
      <c r="A1924" s="1" t="s">
        <v>13671</v>
      </c>
    </row>
    <row r="1925">
      <c r="A1925" s="1" t="s">
        <v>13672</v>
      </c>
    </row>
    <row r="1926">
      <c r="A1926" s="1" t="s">
        <v>13673</v>
      </c>
    </row>
    <row r="1927">
      <c r="A1927" s="1" t="s">
        <v>13674</v>
      </c>
    </row>
    <row r="1928">
      <c r="A1928" s="1" t="s">
        <v>13675</v>
      </c>
    </row>
    <row r="1929">
      <c r="A1929" s="1" t="s">
        <v>13676</v>
      </c>
    </row>
    <row r="1930">
      <c r="A1930" s="1" t="s">
        <v>13677</v>
      </c>
    </row>
    <row r="1931">
      <c r="A1931" s="1" t="s">
        <v>13678</v>
      </c>
    </row>
    <row r="1932">
      <c r="A1932" s="1" t="s">
        <v>13679</v>
      </c>
    </row>
    <row r="1933">
      <c r="A1933" s="1" t="s">
        <v>13680</v>
      </c>
    </row>
    <row r="1934">
      <c r="A1934" s="1" t="s">
        <v>13681</v>
      </c>
    </row>
    <row r="1935">
      <c r="A1935" s="1" t="s">
        <v>13682</v>
      </c>
    </row>
    <row r="1936">
      <c r="A1936" s="1" t="s">
        <v>13683</v>
      </c>
    </row>
    <row r="1937">
      <c r="A1937" s="1" t="s">
        <v>13684</v>
      </c>
    </row>
    <row r="1938">
      <c r="A1938" s="1" t="s">
        <v>13685</v>
      </c>
    </row>
    <row r="1939">
      <c r="A1939" s="1" t="s">
        <v>13686</v>
      </c>
    </row>
    <row r="1940">
      <c r="A1940" s="1" t="s">
        <v>13687</v>
      </c>
    </row>
    <row r="1941">
      <c r="A1941" s="1" t="s">
        <v>12430</v>
      </c>
    </row>
    <row r="1942">
      <c r="A1942" s="1" t="s">
        <v>13688</v>
      </c>
    </row>
    <row r="1943">
      <c r="A1943" s="1" t="s">
        <v>13689</v>
      </c>
    </row>
    <row r="1944">
      <c r="A1944" s="1" t="s">
        <v>13690</v>
      </c>
    </row>
    <row r="1945">
      <c r="A1945" s="1" t="s">
        <v>12430</v>
      </c>
    </row>
    <row r="1946">
      <c r="A1946" s="1" t="s">
        <v>13691</v>
      </c>
    </row>
    <row r="1947">
      <c r="A1947" s="1" t="s">
        <v>13692</v>
      </c>
    </row>
    <row r="1948">
      <c r="A1948" s="1" t="s">
        <v>13693</v>
      </c>
    </row>
    <row r="1949">
      <c r="A1949" s="1" t="s">
        <v>13694</v>
      </c>
    </row>
    <row r="1950">
      <c r="A1950" s="1" t="s">
        <v>13695</v>
      </c>
    </row>
    <row r="1951">
      <c r="A1951" s="1" t="s">
        <v>13696</v>
      </c>
    </row>
    <row r="1952">
      <c r="A1952" s="1" t="s">
        <v>13697</v>
      </c>
    </row>
    <row r="1953">
      <c r="A1953" s="1" t="s">
        <v>13698</v>
      </c>
    </row>
    <row r="1954">
      <c r="A1954" s="1" t="s">
        <v>13699</v>
      </c>
    </row>
    <row r="1955">
      <c r="A1955" s="1" t="s">
        <v>13700</v>
      </c>
    </row>
    <row r="1956">
      <c r="A1956" s="1" t="s">
        <v>13701</v>
      </c>
    </row>
    <row r="1957">
      <c r="A1957" s="1" t="s">
        <v>13702</v>
      </c>
    </row>
    <row r="1958">
      <c r="A1958" s="1" t="s">
        <v>13703</v>
      </c>
    </row>
    <row r="1959">
      <c r="A1959" s="1" t="s">
        <v>13704</v>
      </c>
    </row>
    <row r="1960">
      <c r="A1960" s="1" t="s">
        <v>13705</v>
      </c>
    </row>
    <row r="1961">
      <c r="A1961" s="1" t="s">
        <v>13706</v>
      </c>
    </row>
    <row r="1962">
      <c r="A1962" s="1" t="s">
        <v>13707</v>
      </c>
    </row>
    <row r="1963">
      <c r="A1963" s="1" t="s">
        <v>13708</v>
      </c>
    </row>
    <row r="1964">
      <c r="A1964" s="1" t="s">
        <v>13709</v>
      </c>
    </row>
    <row r="1965">
      <c r="A1965" s="1" t="s">
        <v>13710</v>
      </c>
    </row>
    <row r="1966">
      <c r="A1966" s="1" t="s">
        <v>13711</v>
      </c>
    </row>
    <row r="1967">
      <c r="A1967" s="1" t="s">
        <v>13712</v>
      </c>
    </row>
    <row r="1968">
      <c r="A1968" s="1" t="s">
        <v>13713</v>
      </c>
    </row>
    <row r="1969">
      <c r="A1969" s="1" t="s">
        <v>13714</v>
      </c>
    </row>
    <row r="1970">
      <c r="A1970" s="1" t="s">
        <v>13715</v>
      </c>
    </row>
    <row r="1971">
      <c r="A1971" s="1" t="s">
        <v>13716</v>
      </c>
    </row>
    <row r="1972">
      <c r="A1972" s="1" t="s">
        <v>13717</v>
      </c>
    </row>
    <row r="1973">
      <c r="A1973" s="1" t="s">
        <v>13718</v>
      </c>
    </row>
    <row r="1974">
      <c r="A1974" s="1" t="s">
        <v>13719</v>
      </c>
    </row>
    <row r="1975">
      <c r="A1975" s="1" t="s">
        <v>13720</v>
      </c>
    </row>
    <row r="1976">
      <c r="A1976" s="1" t="s">
        <v>13721</v>
      </c>
    </row>
    <row r="1977">
      <c r="A1977" s="1" t="s">
        <v>13722</v>
      </c>
    </row>
    <row r="1978">
      <c r="A1978" s="1" t="s">
        <v>13723</v>
      </c>
    </row>
    <row r="1979">
      <c r="A1979" s="1" t="s">
        <v>13724</v>
      </c>
    </row>
    <row r="1980">
      <c r="A1980" s="1" t="s">
        <v>13725</v>
      </c>
    </row>
    <row r="1981">
      <c r="A1981" s="1" t="s">
        <v>13726</v>
      </c>
    </row>
    <row r="1982">
      <c r="A1982" s="1" t="s">
        <v>13727</v>
      </c>
    </row>
    <row r="1983">
      <c r="A1983" s="1" t="s">
        <v>13728</v>
      </c>
    </row>
    <row r="1984">
      <c r="A1984" s="1" t="s">
        <v>13729</v>
      </c>
    </row>
    <row r="1985">
      <c r="A1985" s="1" t="s">
        <v>13730</v>
      </c>
    </row>
    <row r="1986">
      <c r="A1986" s="1" t="s">
        <v>13731</v>
      </c>
    </row>
    <row r="1987">
      <c r="A1987" s="1" t="s">
        <v>13732</v>
      </c>
    </row>
    <row r="1988">
      <c r="A1988" s="1" t="s">
        <v>13733</v>
      </c>
    </row>
    <row r="1989">
      <c r="A1989" s="1" t="s">
        <v>13734</v>
      </c>
    </row>
    <row r="1990">
      <c r="A1990" s="1" t="s">
        <v>13735</v>
      </c>
    </row>
    <row r="1991">
      <c r="A1991" s="1" t="s">
        <v>13736</v>
      </c>
    </row>
    <row r="1992">
      <c r="A1992" s="1" t="s">
        <v>13737</v>
      </c>
    </row>
    <row r="1993">
      <c r="A1993" s="1" t="s">
        <v>13738</v>
      </c>
    </row>
    <row r="1994">
      <c r="A1994" s="1" t="s">
        <v>12383</v>
      </c>
    </row>
    <row r="1995">
      <c r="A1995" s="1" t="s">
        <v>12384</v>
      </c>
    </row>
    <row r="1996">
      <c r="A1996" s="1" t="s">
        <v>12385</v>
      </c>
    </row>
    <row r="1997">
      <c r="A1997" s="1" t="s">
        <v>12386</v>
      </c>
    </row>
    <row r="1998">
      <c r="A1998" s="1" t="s">
        <v>12387</v>
      </c>
    </row>
    <row r="1999">
      <c r="A1999" s="1" t="s">
        <v>13739</v>
      </c>
    </row>
    <row r="2000">
      <c r="A2000" s="1" t="s">
        <v>13740</v>
      </c>
    </row>
    <row r="2001">
      <c r="A2001" s="1" t="s">
        <v>13741</v>
      </c>
    </row>
    <row r="2002">
      <c r="A2002" s="1" t="s">
        <v>13742</v>
      </c>
    </row>
    <row r="2003">
      <c r="A2003" s="1" t="s">
        <v>13743</v>
      </c>
    </row>
    <row r="2004">
      <c r="A2004" s="1" t="s">
        <v>13744</v>
      </c>
    </row>
    <row r="2005">
      <c r="A2005" s="1" t="s">
        <v>13745</v>
      </c>
    </row>
    <row r="2006">
      <c r="A2006" s="1" t="s">
        <v>13746</v>
      </c>
    </row>
    <row r="2007">
      <c r="A2007" s="1" t="s">
        <v>13747</v>
      </c>
    </row>
    <row r="2008">
      <c r="A2008" s="1" t="s">
        <v>13748</v>
      </c>
    </row>
    <row r="2009">
      <c r="A2009" s="1" t="s">
        <v>13749</v>
      </c>
    </row>
    <row r="2010">
      <c r="A2010" s="1" t="s">
        <v>13750</v>
      </c>
    </row>
    <row r="2011">
      <c r="A2011" s="1" t="s">
        <v>13751</v>
      </c>
    </row>
    <row r="2012">
      <c r="A2012" s="1" t="s">
        <v>13752</v>
      </c>
    </row>
    <row r="2013">
      <c r="A2013" s="1" t="s">
        <v>13753</v>
      </c>
    </row>
    <row r="2014">
      <c r="A2014" s="1" t="s">
        <v>13754</v>
      </c>
    </row>
    <row r="2015">
      <c r="A2015" s="1" t="s">
        <v>13755</v>
      </c>
    </row>
    <row r="2016">
      <c r="A2016" s="1" t="s">
        <v>13756</v>
      </c>
    </row>
    <row r="2017">
      <c r="A2017" s="1" t="s">
        <v>13757</v>
      </c>
    </row>
    <row r="2018">
      <c r="A2018" s="1" t="s">
        <v>13758</v>
      </c>
    </row>
    <row r="2019">
      <c r="A2019" s="1" t="s">
        <v>13759</v>
      </c>
    </row>
    <row r="2020">
      <c r="A2020" s="1" t="s">
        <v>13760</v>
      </c>
    </row>
    <row r="2021">
      <c r="A2021" s="1" t="s">
        <v>13761</v>
      </c>
    </row>
    <row r="2022">
      <c r="A2022" s="1" t="s">
        <v>13762</v>
      </c>
    </row>
    <row r="2023">
      <c r="A2023" s="1" t="s">
        <v>12761</v>
      </c>
    </row>
    <row r="2024">
      <c r="A2024" s="1" t="s">
        <v>12762</v>
      </c>
    </row>
    <row r="2025">
      <c r="A2025" s="1" t="s">
        <v>12385</v>
      </c>
    </row>
    <row r="2026">
      <c r="A2026" s="1" t="s">
        <v>12386</v>
      </c>
    </row>
    <row r="2027">
      <c r="A2027" s="1" t="s">
        <v>12387</v>
      </c>
    </row>
    <row r="2028">
      <c r="A2028" s="1" t="s">
        <v>12763</v>
      </c>
    </row>
    <row r="2029">
      <c r="A2029" s="1" t="s">
        <v>12764</v>
      </c>
    </row>
    <row r="2030">
      <c r="A2030" s="1" t="s">
        <v>12765</v>
      </c>
    </row>
    <row r="2031">
      <c r="A2031" s="1" t="s">
        <v>12766</v>
      </c>
    </row>
    <row r="2032">
      <c r="A2032" s="1" t="s">
        <v>13763</v>
      </c>
    </row>
    <row r="2033">
      <c r="A2033" s="1" t="s">
        <v>12761</v>
      </c>
    </row>
    <row r="2034">
      <c r="A2034" s="1" t="s">
        <v>12095</v>
      </c>
    </row>
    <row r="2035">
      <c r="A2035" s="1" t="s">
        <v>12096</v>
      </c>
    </row>
    <row r="2036">
      <c r="A2036" s="1" t="s">
        <v>12097</v>
      </c>
    </row>
    <row r="2037">
      <c r="A2037" s="1" t="s">
        <v>12098</v>
      </c>
    </row>
    <row r="2038">
      <c r="A2038" s="1" t="s">
        <v>12099</v>
      </c>
    </row>
    <row r="2039">
      <c r="A2039" s="1" t="s">
        <v>12100</v>
      </c>
    </row>
    <row r="2040">
      <c r="A2040" s="1" t="s">
        <v>13764</v>
      </c>
    </row>
    <row r="2041">
      <c r="A2041" s="1" t="s">
        <v>13524</v>
      </c>
    </row>
    <row r="2042">
      <c r="A2042" s="1" t="s">
        <v>13765</v>
      </c>
    </row>
    <row r="2043">
      <c r="A2043" s="1" t="s">
        <v>13766</v>
      </c>
    </row>
    <row r="2044">
      <c r="A2044" s="1" t="s">
        <v>13767</v>
      </c>
    </row>
    <row r="2045">
      <c r="A2045" s="1" t="s">
        <v>13768</v>
      </c>
    </row>
    <row r="2046">
      <c r="A2046" s="1" t="s">
        <v>13769</v>
      </c>
    </row>
    <row r="2047">
      <c r="A2047" s="1" t="s">
        <v>13770</v>
      </c>
    </row>
    <row r="2048">
      <c r="A2048" s="1" t="s">
        <v>13771</v>
      </c>
    </row>
    <row r="2049">
      <c r="A2049" s="1" t="s">
        <v>13772</v>
      </c>
    </row>
    <row r="2050">
      <c r="A2050" s="1" t="s">
        <v>13773</v>
      </c>
    </row>
    <row r="2051">
      <c r="A2051" s="1" t="s">
        <v>13774</v>
      </c>
    </row>
    <row r="2052">
      <c r="A2052" s="1" t="s">
        <v>13775</v>
      </c>
    </row>
    <row r="2053">
      <c r="A2053" s="1" t="s">
        <v>13776</v>
      </c>
    </row>
    <row r="2054">
      <c r="A2054" s="1" t="s">
        <v>13777</v>
      </c>
    </row>
    <row r="2055">
      <c r="A2055" s="1" t="s">
        <v>13778</v>
      </c>
    </row>
    <row r="2056">
      <c r="A2056" s="1" t="s">
        <v>13779</v>
      </c>
    </row>
    <row r="2057">
      <c r="A2057" s="1" t="s">
        <v>13780</v>
      </c>
    </row>
    <row r="2058">
      <c r="A2058" s="1" t="s">
        <v>13781</v>
      </c>
    </row>
    <row r="2059">
      <c r="A2059" s="1" t="s">
        <v>13782</v>
      </c>
    </row>
    <row r="2060">
      <c r="A2060" s="1" t="s">
        <v>13783</v>
      </c>
    </row>
    <row r="2061">
      <c r="A2061" s="1" t="s">
        <v>13784</v>
      </c>
    </row>
    <row r="2062">
      <c r="A2062" s="1" t="s">
        <v>13785</v>
      </c>
    </row>
    <row r="2063">
      <c r="A2063" s="1" t="s">
        <v>13786</v>
      </c>
    </row>
    <row r="2064">
      <c r="A2064" s="1" t="s">
        <v>13787</v>
      </c>
    </row>
    <row r="2065">
      <c r="A2065" s="1" t="s">
        <v>13788</v>
      </c>
    </row>
    <row r="2066">
      <c r="A2066" s="1" t="s">
        <v>13789</v>
      </c>
    </row>
    <row r="2067">
      <c r="A2067" s="1" t="s">
        <v>13790</v>
      </c>
    </row>
    <row r="2068">
      <c r="A2068" s="1" t="s">
        <v>13791</v>
      </c>
    </row>
    <row r="2069">
      <c r="A2069" s="1" t="s">
        <v>13792</v>
      </c>
    </row>
    <row r="2070">
      <c r="A2070" s="1" t="s">
        <v>13793</v>
      </c>
    </row>
    <row r="2071">
      <c r="A2071" s="1" t="s">
        <v>13794</v>
      </c>
    </row>
    <row r="2072">
      <c r="A2072" s="1" t="s">
        <v>13795</v>
      </c>
    </row>
    <row r="2073">
      <c r="A2073" s="1" t="s">
        <v>13796</v>
      </c>
    </row>
    <row r="2074">
      <c r="A2074" s="1" t="s">
        <v>13797</v>
      </c>
    </row>
    <row r="2075">
      <c r="A2075" s="1" t="s">
        <v>13798</v>
      </c>
    </row>
    <row r="2076">
      <c r="A2076" s="1" t="s">
        <v>13799</v>
      </c>
    </row>
    <row r="2077">
      <c r="A2077" s="1" t="s">
        <v>13800</v>
      </c>
    </row>
    <row r="2078">
      <c r="A2078" s="1" t="s">
        <v>13801</v>
      </c>
    </row>
    <row r="2079">
      <c r="A2079" s="1" t="s">
        <v>13802</v>
      </c>
    </row>
    <row r="2080">
      <c r="A2080" s="1" t="s">
        <v>13803</v>
      </c>
    </row>
    <row r="2081">
      <c r="A2081" s="1" t="s">
        <v>13804</v>
      </c>
    </row>
    <row r="2082">
      <c r="A2082" s="1" t="s">
        <v>13805</v>
      </c>
    </row>
    <row r="2083">
      <c r="A2083" s="1" t="s">
        <v>13806</v>
      </c>
    </row>
    <row r="2084">
      <c r="A2084" s="1" t="s">
        <v>13807</v>
      </c>
    </row>
    <row r="2085">
      <c r="A2085" s="1" t="s">
        <v>13808</v>
      </c>
    </row>
    <row r="2086">
      <c r="A2086" s="1" t="s">
        <v>13809</v>
      </c>
    </row>
    <row r="2087">
      <c r="A2087" s="1" t="s">
        <v>13810</v>
      </c>
    </row>
    <row r="2088">
      <c r="A2088" s="1" t="s">
        <v>13811</v>
      </c>
    </row>
    <row r="2089">
      <c r="A2089" s="1" t="s">
        <v>13812</v>
      </c>
    </row>
    <row r="2090">
      <c r="A2090" s="1" t="s">
        <v>13813</v>
      </c>
    </row>
    <row r="2091">
      <c r="A2091" s="1" t="s">
        <v>13814</v>
      </c>
    </row>
    <row r="2092">
      <c r="A2092" s="1" t="s">
        <v>13815</v>
      </c>
    </row>
    <row r="2093">
      <c r="A2093" s="1" t="s">
        <v>13816</v>
      </c>
    </row>
    <row r="2094">
      <c r="A2094" s="1" t="s">
        <v>13817</v>
      </c>
    </row>
    <row r="2095">
      <c r="A2095" s="1" t="s">
        <v>13818</v>
      </c>
    </row>
    <row r="2096">
      <c r="A2096" s="1" t="s">
        <v>13819</v>
      </c>
    </row>
    <row r="2097">
      <c r="A2097" s="1" t="s">
        <v>13820</v>
      </c>
    </row>
    <row r="2098">
      <c r="A2098" s="1" t="s">
        <v>13821</v>
      </c>
    </row>
    <row r="2099">
      <c r="A2099" s="1" t="s">
        <v>13822</v>
      </c>
    </row>
    <row r="2100">
      <c r="A2100" s="1" t="s">
        <v>13823</v>
      </c>
    </row>
    <row r="2101">
      <c r="A2101" s="1" t="s">
        <v>13824</v>
      </c>
    </row>
    <row r="2102">
      <c r="A2102" s="1" t="s">
        <v>13825</v>
      </c>
    </row>
    <row r="2103">
      <c r="A2103" s="1" t="s">
        <v>13826</v>
      </c>
    </row>
    <row r="2104">
      <c r="A2104" s="1" t="s">
        <v>13827</v>
      </c>
    </row>
    <row r="2105">
      <c r="A2105" s="1" t="s">
        <v>13828</v>
      </c>
    </row>
    <row r="2106">
      <c r="A2106" s="1" t="s">
        <v>13829</v>
      </c>
    </row>
    <row r="2107">
      <c r="A2107" s="1" t="s">
        <v>13830</v>
      </c>
    </row>
    <row r="2108">
      <c r="A2108" s="1" t="s">
        <v>13831</v>
      </c>
    </row>
    <row r="2109">
      <c r="A2109" s="1" t="s">
        <v>13832</v>
      </c>
    </row>
    <row r="2110">
      <c r="A2110" s="1" t="s">
        <v>13833</v>
      </c>
    </row>
    <row r="2111">
      <c r="A2111" s="1" t="s">
        <v>13834</v>
      </c>
    </row>
    <row r="2112">
      <c r="A2112" s="1" t="s">
        <v>13835</v>
      </c>
    </row>
    <row r="2113">
      <c r="A2113" s="1" t="s">
        <v>13836</v>
      </c>
    </row>
    <row r="2114">
      <c r="A2114" s="1" t="s">
        <v>13837</v>
      </c>
    </row>
    <row r="2115">
      <c r="A2115" s="1" t="s">
        <v>13838</v>
      </c>
    </row>
    <row r="2116">
      <c r="A2116" s="1" t="s">
        <v>13839</v>
      </c>
    </row>
    <row r="2117">
      <c r="A2117" s="1" t="s">
        <v>13840</v>
      </c>
    </row>
    <row r="2118">
      <c r="A2118" s="1" t="s">
        <v>13841</v>
      </c>
    </row>
    <row r="2119">
      <c r="A2119" s="1" t="s">
        <v>13842</v>
      </c>
    </row>
    <row r="2120">
      <c r="A2120" s="1" t="s">
        <v>13843</v>
      </c>
    </row>
    <row r="2121">
      <c r="A2121" s="1" t="s">
        <v>13844</v>
      </c>
    </row>
    <row r="2122">
      <c r="A2122" s="1" t="s">
        <v>13845</v>
      </c>
    </row>
    <row r="2123">
      <c r="A2123" s="1" t="s">
        <v>13846</v>
      </c>
    </row>
    <row r="2124">
      <c r="A2124" s="1" t="s">
        <v>13847</v>
      </c>
    </row>
    <row r="2125">
      <c r="A2125" s="1" t="s">
        <v>13848</v>
      </c>
    </row>
    <row r="2126">
      <c r="A2126" s="1" t="s">
        <v>13849</v>
      </c>
    </row>
    <row r="2127">
      <c r="A2127" s="1" t="s">
        <v>13850</v>
      </c>
    </row>
    <row r="2128">
      <c r="A2128" s="1" t="s">
        <v>13851</v>
      </c>
    </row>
    <row r="2129">
      <c r="A2129" s="1" t="s">
        <v>13852</v>
      </c>
    </row>
    <row r="2130">
      <c r="A2130" s="1" t="s">
        <v>13853</v>
      </c>
    </row>
    <row r="2131">
      <c r="A2131" s="1" t="s">
        <v>13854</v>
      </c>
    </row>
    <row r="2132">
      <c r="A2132" s="1" t="s">
        <v>13855</v>
      </c>
    </row>
    <row r="2133">
      <c r="A2133" s="1" t="s">
        <v>13856</v>
      </c>
    </row>
    <row r="2134">
      <c r="A2134" s="1" t="s">
        <v>13857</v>
      </c>
    </row>
    <row r="2135">
      <c r="A2135" s="1" t="s">
        <v>13858</v>
      </c>
    </row>
    <row r="2136">
      <c r="A2136" s="1" t="s">
        <v>13859</v>
      </c>
    </row>
    <row r="2137">
      <c r="A2137" s="1" t="s">
        <v>13860</v>
      </c>
    </row>
    <row r="2138">
      <c r="A2138" s="1" t="s">
        <v>13861</v>
      </c>
    </row>
    <row r="2139">
      <c r="A2139" s="1" t="s">
        <v>13862</v>
      </c>
    </row>
    <row r="2140">
      <c r="A2140" s="1" t="s">
        <v>13863</v>
      </c>
    </row>
    <row r="2141">
      <c r="A2141" s="1" t="s">
        <v>13864</v>
      </c>
    </row>
    <row r="2142">
      <c r="A2142" s="1" t="s">
        <v>13865</v>
      </c>
    </row>
    <row r="2143">
      <c r="A2143" s="1" t="s">
        <v>13866</v>
      </c>
    </row>
    <row r="2144">
      <c r="A2144" s="1" t="s">
        <v>13867</v>
      </c>
    </row>
    <row r="2145">
      <c r="A2145" s="1" t="s">
        <v>13868</v>
      </c>
    </row>
    <row r="2146">
      <c r="A2146" s="1" t="s">
        <v>13869</v>
      </c>
    </row>
    <row r="2147">
      <c r="A2147" s="1" t="s">
        <v>13870</v>
      </c>
    </row>
    <row r="2148">
      <c r="A2148" s="1" t="s">
        <v>13871</v>
      </c>
    </row>
    <row r="2149">
      <c r="A2149" s="1" t="s">
        <v>13872</v>
      </c>
    </row>
    <row r="2150">
      <c r="A2150" s="1" t="s">
        <v>13873</v>
      </c>
    </row>
    <row r="2151">
      <c r="A2151" s="1" t="s">
        <v>13874</v>
      </c>
    </row>
    <row r="2152">
      <c r="A2152" s="1" t="s">
        <v>13875</v>
      </c>
    </row>
    <row r="2153">
      <c r="A2153" s="1" t="s">
        <v>13876</v>
      </c>
    </row>
    <row r="2154">
      <c r="A2154" s="1" t="s">
        <v>13877</v>
      </c>
    </row>
    <row r="2155">
      <c r="A2155" s="1" t="s">
        <v>13878</v>
      </c>
    </row>
    <row r="2156">
      <c r="A2156" s="1" t="s">
        <v>12340</v>
      </c>
    </row>
    <row r="2157">
      <c r="A2157" s="1" t="s">
        <v>12341</v>
      </c>
    </row>
    <row r="2158">
      <c r="A2158" s="1" t="s">
        <v>12342</v>
      </c>
    </row>
    <row r="2159">
      <c r="A2159" s="1" t="s">
        <v>12343</v>
      </c>
    </row>
    <row r="2160">
      <c r="A2160" s="1" t="s">
        <v>13879</v>
      </c>
    </row>
    <row r="2161">
      <c r="A2161" s="1" t="s">
        <v>13880</v>
      </c>
    </row>
    <row r="2162">
      <c r="A2162" s="1" t="s">
        <v>13881</v>
      </c>
    </row>
    <row r="2163">
      <c r="A2163" s="1" t="s">
        <v>12056</v>
      </c>
    </row>
    <row r="2164">
      <c r="A2164" s="1" t="s">
        <v>13882</v>
      </c>
    </row>
    <row r="2165">
      <c r="A2165" s="1" t="s">
        <v>13883</v>
      </c>
    </row>
    <row r="2166">
      <c r="A2166" s="1" t="s">
        <v>13884</v>
      </c>
    </row>
    <row r="2167">
      <c r="A2167" s="1" t="s">
        <v>13885</v>
      </c>
    </row>
    <row r="2168">
      <c r="A2168" s="1" t="s">
        <v>13886</v>
      </c>
    </row>
    <row r="2169">
      <c r="A2169" s="1" t="s">
        <v>13887</v>
      </c>
    </row>
    <row r="2170">
      <c r="A2170" s="1" t="s">
        <v>13888</v>
      </c>
    </row>
    <row r="2171">
      <c r="A2171" s="1" t="s">
        <v>13889</v>
      </c>
    </row>
    <row r="2172">
      <c r="A2172" s="1" t="s">
        <v>13890</v>
      </c>
    </row>
    <row r="2173">
      <c r="A2173" s="1" t="s">
        <v>13891</v>
      </c>
    </row>
    <row r="2174">
      <c r="A2174" s="1" t="s">
        <v>13892</v>
      </c>
    </row>
    <row r="2175">
      <c r="A2175" s="1" t="s">
        <v>13893</v>
      </c>
    </row>
    <row r="2176">
      <c r="A2176" s="1" t="s">
        <v>13894</v>
      </c>
    </row>
    <row r="2177">
      <c r="A2177" s="1" t="s">
        <v>13895</v>
      </c>
    </row>
    <row r="2178">
      <c r="A2178" s="1" t="s">
        <v>13896</v>
      </c>
    </row>
    <row r="2179">
      <c r="A2179" s="1" t="s">
        <v>13897</v>
      </c>
    </row>
    <row r="2180">
      <c r="A2180" s="1" t="s">
        <v>13898</v>
      </c>
    </row>
    <row r="2181">
      <c r="A2181" s="1" t="s">
        <v>13899</v>
      </c>
    </row>
    <row r="2182">
      <c r="A2182" s="1" t="s">
        <v>13900</v>
      </c>
    </row>
    <row r="2183">
      <c r="A2183" s="1" t="s">
        <v>13901</v>
      </c>
    </row>
    <row r="2184">
      <c r="A2184" s="1" t="s">
        <v>13902</v>
      </c>
    </row>
    <row r="2185">
      <c r="A2185" s="1" t="s">
        <v>13903</v>
      </c>
    </row>
    <row r="2186">
      <c r="A2186" s="1" t="s">
        <v>13904</v>
      </c>
    </row>
    <row r="2187">
      <c r="A2187" s="1" t="s">
        <v>13905</v>
      </c>
    </row>
    <row r="2188">
      <c r="A2188" s="1" t="s">
        <v>13906</v>
      </c>
    </row>
    <row r="2189">
      <c r="A2189" s="1" t="s">
        <v>13907</v>
      </c>
    </row>
    <row r="2190">
      <c r="A2190" s="1" t="s">
        <v>13908</v>
      </c>
    </row>
    <row r="2191">
      <c r="A2191" s="1" t="s">
        <v>13909</v>
      </c>
    </row>
    <row r="2192">
      <c r="A2192" s="1" t="s">
        <v>13910</v>
      </c>
    </row>
    <row r="2193">
      <c r="A2193" s="1" t="s">
        <v>13911</v>
      </c>
    </row>
    <row r="2194">
      <c r="A2194" s="1" t="s">
        <v>13354</v>
      </c>
    </row>
    <row r="2195">
      <c r="A2195" s="1" t="s">
        <v>13355</v>
      </c>
    </row>
    <row r="2196">
      <c r="A2196" s="1" t="s">
        <v>13356</v>
      </c>
    </row>
    <row r="2197">
      <c r="A2197" s="1" t="s">
        <v>13912</v>
      </c>
    </row>
    <row r="2198">
      <c r="A2198" s="1" t="s">
        <v>13913</v>
      </c>
    </row>
    <row r="2199">
      <c r="A2199" s="1" t="s">
        <v>12056</v>
      </c>
    </row>
    <row r="2200">
      <c r="A2200" s="1" t="s">
        <v>13914</v>
      </c>
    </row>
    <row r="2201">
      <c r="A2201" s="1" t="s">
        <v>13915</v>
      </c>
    </row>
    <row r="2202">
      <c r="A2202" s="1" t="s">
        <v>13916</v>
      </c>
    </row>
    <row r="2203">
      <c r="A2203" s="1" t="s">
        <v>13885</v>
      </c>
    </row>
    <row r="2204">
      <c r="A2204" s="1" t="s">
        <v>13886</v>
      </c>
    </row>
    <row r="2205">
      <c r="A2205" s="1" t="s">
        <v>13887</v>
      </c>
    </row>
    <row r="2206">
      <c r="A2206" s="1" t="s">
        <v>13888</v>
      </c>
    </row>
    <row r="2207">
      <c r="A2207" s="1" t="s">
        <v>13889</v>
      </c>
    </row>
    <row r="2208">
      <c r="A2208" s="1" t="s">
        <v>13890</v>
      </c>
    </row>
    <row r="2209">
      <c r="A2209" s="1" t="s">
        <v>13891</v>
      </c>
    </row>
    <row r="2210">
      <c r="A2210" s="1" t="s">
        <v>13892</v>
      </c>
    </row>
    <row r="2211">
      <c r="A2211" s="1" t="s">
        <v>13893</v>
      </c>
    </row>
    <row r="2212">
      <c r="A2212" s="1" t="s">
        <v>13894</v>
      </c>
    </row>
    <row r="2213">
      <c r="A2213" s="1" t="s">
        <v>13895</v>
      </c>
    </row>
    <row r="2214">
      <c r="A2214" s="1" t="s">
        <v>13896</v>
      </c>
    </row>
    <row r="2215">
      <c r="A2215" s="1" t="s">
        <v>13897</v>
      </c>
    </row>
    <row r="2216">
      <c r="A2216" s="1" t="s">
        <v>13898</v>
      </c>
    </row>
    <row r="2217">
      <c r="A2217" s="1" t="s">
        <v>13899</v>
      </c>
    </row>
    <row r="2218">
      <c r="A2218" s="1" t="s">
        <v>13900</v>
      </c>
    </row>
    <row r="2219">
      <c r="A2219" s="1" t="s">
        <v>13901</v>
      </c>
    </row>
    <row r="2220">
      <c r="A2220" s="1" t="s">
        <v>13902</v>
      </c>
    </row>
    <row r="2221">
      <c r="A2221" s="1" t="s">
        <v>13917</v>
      </c>
    </row>
    <row r="2222">
      <c r="A2222" s="1" t="s">
        <v>13918</v>
      </c>
    </row>
    <row r="2223">
      <c r="A2223" s="1" t="s">
        <v>13905</v>
      </c>
    </row>
    <row r="2224">
      <c r="A2224" s="1" t="s">
        <v>13906</v>
      </c>
    </row>
    <row r="2225">
      <c r="A2225" s="1" t="s">
        <v>13907</v>
      </c>
    </row>
    <row r="2226">
      <c r="A2226" s="1" t="s">
        <v>13908</v>
      </c>
    </row>
    <row r="2227">
      <c r="A2227" s="1" t="s">
        <v>13909</v>
      </c>
    </row>
    <row r="2228">
      <c r="A2228" s="1" t="s">
        <v>13910</v>
      </c>
    </row>
    <row r="2229">
      <c r="A2229" s="1" t="s">
        <v>13911</v>
      </c>
    </row>
    <row r="2230">
      <c r="A2230" s="1" t="s">
        <v>13354</v>
      </c>
    </row>
    <row r="2231">
      <c r="A2231" s="1" t="s">
        <v>13355</v>
      </c>
    </row>
    <row r="2232">
      <c r="A2232" s="1" t="s">
        <v>13356</v>
      </c>
    </row>
    <row r="2233">
      <c r="A2233" s="1" t="s">
        <v>13919</v>
      </c>
    </row>
    <row r="2234">
      <c r="A2234" s="1" t="s">
        <v>12943</v>
      </c>
    </row>
    <row r="2235">
      <c r="A2235" s="1" t="s">
        <v>12944</v>
      </c>
    </row>
    <row r="2236">
      <c r="A2236" s="1" t="s">
        <v>12945</v>
      </c>
    </row>
    <row r="2237">
      <c r="A2237" s="1" t="s">
        <v>12946</v>
      </c>
    </row>
    <row r="2238">
      <c r="A2238" s="1" t="s">
        <v>12947</v>
      </c>
    </row>
    <row r="2239">
      <c r="A2239" s="1" t="s">
        <v>13920</v>
      </c>
    </row>
    <row r="2240">
      <c r="A2240" s="1" t="s">
        <v>13921</v>
      </c>
    </row>
    <row r="2241">
      <c r="A2241" s="1" t="s">
        <v>13905</v>
      </c>
    </row>
    <row r="2242">
      <c r="A2242" s="1" t="s">
        <v>13906</v>
      </c>
    </row>
    <row r="2243">
      <c r="A2243" s="1" t="s">
        <v>13907</v>
      </c>
    </row>
    <row r="2244">
      <c r="A2244" s="1" t="s">
        <v>13908</v>
      </c>
    </row>
    <row r="2245">
      <c r="A2245" s="1" t="s">
        <v>13909</v>
      </c>
    </row>
    <row r="2246">
      <c r="A2246" s="1" t="s">
        <v>13910</v>
      </c>
    </row>
    <row r="2247">
      <c r="A2247" s="1" t="s">
        <v>13911</v>
      </c>
    </row>
    <row r="2248">
      <c r="A2248" s="1" t="s">
        <v>13922</v>
      </c>
    </row>
    <row r="2249">
      <c r="A2249" s="1" t="s">
        <v>13923</v>
      </c>
    </row>
    <row r="2250">
      <c r="A2250" s="1" t="s">
        <v>13924</v>
      </c>
    </row>
    <row r="2251">
      <c r="A2251" s="1" t="s">
        <v>13925</v>
      </c>
    </row>
    <row r="2252">
      <c r="A2252" s="1" t="s">
        <v>13926</v>
      </c>
    </row>
    <row r="2253">
      <c r="A2253" s="1" t="s">
        <v>13927</v>
      </c>
    </row>
    <row r="2254">
      <c r="A2254" s="1" t="s">
        <v>13928</v>
      </c>
    </row>
    <row r="2255">
      <c r="A2255" s="1" t="s">
        <v>13929</v>
      </c>
    </row>
    <row r="2256">
      <c r="A2256" s="1" t="s">
        <v>13930</v>
      </c>
    </row>
    <row r="2257">
      <c r="A2257" s="1" t="s">
        <v>13931</v>
      </c>
    </row>
    <row r="2258">
      <c r="A2258" s="1" t="s">
        <v>13932</v>
      </c>
    </row>
    <row r="2259">
      <c r="A2259" s="1" t="s">
        <v>12056</v>
      </c>
    </row>
    <row r="2260">
      <c r="A2260" s="1" t="s">
        <v>13933</v>
      </c>
    </row>
    <row r="2261">
      <c r="A2261" s="1" t="s">
        <v>13934</v>
      </c>
    </row>
    <row r="2262">
      <c r="A2262" s="1" t="s">
        <v>13935</v>
      </c>
    </row>
    <row r="2263">
      <c r="A2263" s="1" t="s">
        <v>13936</v>
      </c>
    </row>
    <row r="2264">
      <c r="A2264" s="1" t="s">
        <v>13937</v>
      </c>
    </row>
    <row r="2265">
      <c r="A2265" s="1" t="s">
        <v>12724</v>
      </c>
    </row>
    <row r="2266">
      <c r="A2266" s="1" t="s">
        <v>12725</v>
      </c>
    </row>
    <row r="2267">
      <c r="A2267" s="1" t="s">
        <v>13938</v>
      </c>
    </row>
    <row r="2268">
      <c r="A2268" s="1" t="s">
        <v>13939</v>
      </c>
    </row>
    <row r="2269">
      <c r="A2269" s="1" t="s">
        <v>13940</v>
      </c>
    </row>
    <row r="2270">
      <c r="A2270" s="1" t="s">
        <v>13941</v>
      </c>
    </row>
    <row r="2271">
      <c r="A2271" s="1" t="s">
        <v>13893</v>
      </c>
    </row>
    <row r="2272">
      <c r="A2272" s="1" t="s">
        <v>13942</v>
      </c>
    </row>
    <row r="2273">
      <c r="A2273" s="1" t="s">
        <v>13943</v>
      </c>
    </row>
    <row r="2274">
      <c r="A2274" s="1" t="s">
        <v>13944</v>
      </c>
    </row>
    <row r="2275">
      <c r="A2275" s="1" t="s">
        <v>13945</v>
      </c>
    </row>
    <row r="2276">
      <c r="A2276" s="1" t="s">
        <v>13946</v>
      </c>
    </row>
    <row r="2277">
      <c r="A2277" s="1" t="s">
        <v>13947</v>
      </c>
    </row>
    <row r="2278">
      <c r="A2278" s="1" t="s">
        <v>13905</v>
      </c>
    </row>
    <row r="2279">
      <c r="A2279" s="1" t="s">
        <v>13906</v>
      </c>
    </row>
    <row r="2280">
      <c r="A2280" s="1" t="s">
        <v>13907</v>
      </c>
    </row>
    <row r="2281">
      <c r="A2281" s="1" t="s">
        <v>13908</v>
      </c>
    </row>
    <row r="2282">
      <c r="A2282" s="1" t="s">
        <v>13909</v>
      </c>
    </row>
    <row r="2283">
      <c r="A2283" s="1" t="s">
        <v>13910</v>
      </c>
    </row>
    <row r="2284">
      <c r="A2284" s="1" t="s">
        <v>13911</v>
      </c>
    </row>
    <row r="2285">
      <c r="A2285" s="1" t="s">
        <v>13354</v>
      </c>
    </row>
    <row r="2286">
      <c r="A2286" s="1" t="s">
        <v>13355</v>
      </c>
    </row>
    <row r="2287">
      <c r="A2287" s="1" t="s">
        <v>13356</v>
      </c>
    </row>
    <row r="2288">
      <c r="A2288" s="1" t="s">
        <v>13948</v>
      </c>
    </row>
    <row r="2289">
      <c r="A2289" s="1" t="s">
        <v>13949</v>
      </c>
    </row>
    <row r="2290">
      <c r="A2290" s="1" t="s">
        <v>12056</v>
      </c>
    </row>
    <row r="2291">
      <c r="A2291" s="1" t="s">
        <v>13882</v>
      </c>
    </row>
    <row r="2292">
      <c r="A2292" s="1" t="s">
        <v>13950</v>
      </c>
    </row>
    <row r="2293">
      <c r="A2293" s="1" t="s">
        <v>13951</v>
      </c>
    </row>
    <row r="2294">
      <c r="A2294" s="1" t="s">
        <v>13952</v>
      </c>
    </row>
    <row r="2295">
      <c r="A2295" s="1" t="s">
        <v>13953</v>
      </c>
    </row>
    <row r="2296">
      <c r="A2296" s="1" t="s">
        <v>13954</v>
      </c>
    </row>
    <row r="2297">
      <c r="A2297" s="1" t="s">
        <v>13955</v>
      </c>
    </row>
    <row r="2298">
      <c r="A2298" s="1" t="s">
        <v>13956</v>
      </c>
    </row>
    <row r="2299">
      <c r="A2299" s="1" t="s">
        <v>13957</v>
      </c>
    </row>
    <row r="2300">
      <c r="A2300" s="1" t="s">
        <v>13958</v>
      </c>
    </row>
    <row r="2301">
      <c r="A2301" s="1" t="s">
        <v>13959</v>
      </c>
    </row>
    <row r="2302">
      <c r="A2302" s="1" t="s">
        <v>13960</v>
      </c>
    </row>
    <row r="2303">
      <c r="A2303" s="1" t="s">
        <v>13961</v>
      </c>
    </row>
    <row r="2304">
      <c r="A2304" s="1" t="s">
        <v>13905</v>
      </c>
    </row>
    <row r="2305">
      <c r="A2305" s="1" t="s">
        <v>13906</v>
      </c>
    </row>
    <row r="2306">
      <c r="A2306" s="1" t="s">
        <v>13907</v>
      </c>
    </row>
    <row r="2307">
      <c r="A2307" s="1" t="s">
        <v>13908</v>
      </c>
    </row>
    <row r="2308">
      <c r="A2308" s="1" t="s">
        <v>13909</v>
      </c>
    </row>
    <row r="2309">
      <c r="A2309" s="1" t="s">
        <v>13910</v>
      </c>
    </row>
    <row r="2310">
      <c r="A2310" s="1" t="s">
        <v>13911</v>
      </c>
    </row>
    <row r="2311">
      <c r="A2311" s="1" t="s">
        <v>13962</v>
      </c>
    </row>
    <row r="2312">
      <c r="A2312" s="1" t="s">
        <v>13923</v>
      </c>
    </row>
    <row r="2313">
      <c r="A2313" s="1" t="s">
        <v>13924</v>
      </c>
    </row>
    <row r="2314">
      <c r="A2314" s="1" t="s">
        <v>13925</v>
      </c>
    </row>
    <row r="2315">
      <c r="A2315" s="1" t="s">
        <v>13963</v>
      </c>
    </row>
    <row r="2316">
      <c r="A2316" s="1" t="s">
        <v>13964</v>
      </c>
    </row>
    <row r="2317">
      <c r="A2317" s="1" t="s">
        <v>13965</v>
      </c>
    </row>
    <row r="2318">
      <c r="A2318" s="1" t="s">
        <v>13966</v>
      </c>
    </row>
    <row r="2319">
      <c r="A2319" s="1" t="s">
        <v>13930</v>
      </c>
    </row>
    <row r="2320">
      <c r="A2320" s="1" t="s">
        <v>13967</v>
      </c>
    </row>
    <row r="2321">
      <c r="A2321" s="1" t="s">
        <v>13968</v>
      </c>
    </row>
    <row r="2322">
      <c r="A2322" s="1" t="s">
        <v>13969</v>
      </c>
    </row>
    <row r="2323">
      <c r="A2323" s="1" t="s">
        <v>13970</v>
      </c>
    </row>
    <row r="2324">
      <c r="A2324" s="1" t="s">
        <v>13971</v>
      </c>
    </row>
    <row r="2325">
      <c r="A2325" s="1" t="s">
        <v>13972</v>
      </c>
    </row>
    <row r="2326">
      <c r="A2326" s="1" t="s">
        <v>13973</v>
      </c>
    </row>
    <row r="2327">
      <c r="A2327" s="1" t="s">
        <v>13974</v>
      </c>
    </row>
    <row r="2328">
      <c r="A2328" s="1" t="s">
        <v>13975</v>
      </c>
    </row>
    <row r="2329">
      <c r="A2329" s="1" t="s">
        <v>13976</v>
      </c>
    </row>
    <row r="2330">
      <c r="A2330" s="1" t="s">
        <v>13977</v>
      </c>
    </row>
    <row r="2331">
      <c r="A2331" s="1" t="s">
        <v>13978</v>
      </c>
    </row>
    <row r="2332">
      <c r="A2332" s="1" t="s">
        <v>13979</v>
      </c>
    </row>
    <row r="2333">
      <c r="A2333" s="1" t="s">
        <v>13980</v>
      </c>
    </row>
    <row r="2334">
      <c r="A2334" s="1" t="s">
        <v>13981</v>
      </c>
    </row>
    <row r="2335">
      <c r="A2335" s="1" t="s">
        <v>13982</v>
      </c>
    </row>
    <row r="2336">
      <c r="A2336" s="1" t="s">
        <v>13983</v>
      </c>
    </row>
    <row r="2337">
      <c r="A2337" s="1" t="s">
        <v>13984</v>
      </c>
    </row>
    <row r="2338">
      <c r="A2338" s="1" t="s">
        <v>13985</v>
      </c>
    </row>
    <row r="2339">
      <c r="A2339" s="1" t="s">
        <v>13986</v>
      </c>
    </row>
    <row r="2340">
      <c r="A2340" s="1" t="s">
        <v>13987</v>
      </c>
    </row>
    <row r="2341">
      <c r="A2341" s="1" t="s">
        <v>13988</v>
      </c>
    </row>
    <row r="2342">
      <c r="A2342" s="1" t="s">
        <v>13989</v>
      </c>
    </row>
    <row r="2343">
      <c r="A2343" s="1" t="s">
        <v>13990</v>
      </c>
    </row>
    <row r="2344">
      <c r="A2344" s="1" t="s">
        <v>13991</v>
      </c>
    </row>
    <row r="2345">
      <c r="A2345" s="1" t="s">
        <v>13992</v>
      </c>
    </row>
    <row r="2346">
      <c r="A2346" s="1" t="s">
        <v>13993</v>
      </c>
    </row>
    <row r="2347">
      <c r="A2347" s="1" t="s">
        <v>13994</v>
      </c>
    </row>
    <row r="2348">
      <c r="A2348" s="1" t="s">
        <v>13995</v>
      </c>
    </row>
    <row r="2349">
      <c r="A2349" s="1" t="s">
        <v>13996</v>
      </c>
    </row>
    <row r="2350">
      <c r="A2350" s="1" t="s">
        <v>13997</v>
      </c>
    </row>
    <row r="2351">
      <c r="A2351" s="1" t="s">
        <v>13998</v>
      </c>
    </row>
    <row r="2352">
      <c r="A2352" s="1" t="s">
        <v>13999</v>
      </c>
    </row>
    <row r="2353">
      <c r="A2353" s="1" t="s">
        <v>14000</v>
      </c>
    </row>
    <row r="2354">
      <c r="A2354" s="1" t="s">
        <v>14001</v>
      </c>
    </row>
    <row r="2355">
      <c r="A2355" s="1" t="s">
        <v>14002</v>
      </c>
    </row>
    <row r="2356">
      <c r="A2356" s="1" t="s">
        <v>14003</v>
      </c>
    </row>
    <row r="2357">
      <c r="A2357" s="1" t="s">
        <v>14004</v>
      </c>
    </row>
    <row r="2358">
      <c r="A2358" s="1" t="s">
        <v>14005</v>
      </c>
    </row>
    <row r="2359">
      <c r="A2359" s="1" t="s">
        <v>14006</v>
      </c>
    </row>
    <row r="2360">
      <c r="A2360" s="1" t="s">
        <v>14007</v>
      </c>
    </row>
    <row r="2361">
      <c r="A2361" s="1" t="s">
        <v>14008</v>
      </c>
    </row>
    <row r="2362">
      <c r="A2362" s="1" t="s">
        <v>14009</v>
      </c>
    </row>
    <row r="2363">
      <c r="A2363" s="1" t="s">
        <v>14010</v>
      </c>
    </row>
    <row r="2364">
      <c r="A2364" s="1" t="s">
        <v>14011</v>
      </c>
    </row>
    <row r="2365">
      <c r="A2365" s="1" t="s">
        <v>14012</v>
      </c>
    </row>
    <row r="2366">
      <c r="A2366" s="1" t="s">
        <v>14013</v>
      </c>
    </row>
    <row r="2367">
      <c r="A2367" s="1" t="s">
        <v>14014</v>
      </c>
    </row>
    <row r="2368">
      <c r="A2368" s="1" t="s">
        <v>14015</v>
      </c>
    </row>
    <row r="2369">
      <c r="A2369" s="1" t="s">
        <v>14016</v>
      </c>
    </row>
    <row r="2370">
      <c r="A2370" s="1" t="s">
        <v>14017</v>
      </c>
    </row>
    <row r="2371">
      <c r="A2371" s="1" t="s">
        <v>14018</v>
      </c>
    </row>
    <row r="2372">
      <c r="A2372" s="1" t="s">
        <v>14019</v>
      </c>
    </row>
    <row r="2373">
      <c r="A2373" s="1" t="s">
        <v>14020</v>
      </c>
    </row>
    <row r="2374">
      <c r="A2374" s="1" t="s">
        <v>14021</v>
      </c>
    </row>
    <row r="2375">
      <c r="A2375" s="1" t="s">
        <v>14022</v>
      </c>
    </row>
    <row r="2376">
      <c r="A2376" s="1" t="s">
        <v>14023</v>
      </c>
    </row>
    <row r="2377">
      <c r="A2377" s="1" t="s">
        <v>14024</v>
      </c>
    </row>
    <row r="2378">
      <c r="A2378" s="1" t="s">
        <v>14025</v>
      </c>
    </row>
    <row r="2379">
      <c r="A2379" s="1" t="s">
        <v>14026</v>
      </c>
    </row>
    <row r="2380">
      <c r="A2380" s="1" t="s">
        <v>14027</v>
      </c>
    </row>
    <row r="2381">
      <c r="A2381" s="1" t="s">
        <v>14028</v>
      </c>
    </row>
    <row r="2382">
      <c r="A2382" s="1" t="s">
        <v>14029</v>
      </c>
    </row>
    <row r="2383">
      <c r="A2383" s="1" t="s">
        <v>14030</v>
      </c>
    </row>
    <row r="2384">
      <c r="A2384" s="1" t="s">
        <v>12010</v>
      </c>
    </row>
    <row r="2385">
      <c r="A2385" s="1" t="s">
        <v>14031</v>
      </c>
    </row>
    <row r="2386">
      <c r="A2386" s="1" t="s">
        <v>14032</v>
      </c>
    </row>
    <row r="2387">
      <c r="A2387" s="1" t="s">
        <v>14033</v>
      </c>
    </row>
    <row r="2388">
      <c r="A2388" s="1" t="s">
        <v>14034</v>
      </c>
    </row>
    <row r="2389">
      <c r="A2389" s="1" t="s">
        <v>14035</v>
      </c>
    </row>
    <row r="2390">
      <c r="A2390" s="1" t="s">
        <v>14036</v>
      </c>
    </row>
    <row r="2391">
      <c r="A2391" s="1" t="s">
        <v>14037</v>
      </c>
    </row>
    <row r="2392">
      <c r="A2392" s="1" t="s">
        <v>14038</v>
      </c>
    </row>
    <row r="2393">
      <c r="A2393" s="1" t="s">
        <v>14039</v>
      </c>
    </row>
    <row r="2394">
      <c r="A2394" s="1" t="s">
        <v>14040</v>
      </c>
    </row>
    <row r="2395">
      <c r="A2395" s="1" t="s">
        <v>14041</v>
      </c>
    </row>
    <row r="2396">
      <c r="A2396" s="1" t="s">
        <v>14042</v>
      </c>
    </row>
    <row r="2397">
      <c r="A2397" s="1" t="s">
        <v>14043</v>
      </c>
    </row>
    <row r="2398">
      <c r="A2398" s="1" t="s">
        <v>14044</v>
      </c>
    </row>
    <row r="2399">
      <c r="A2399" s="1" t="s">
        <v>14045</v>
      </c>
    </row>
    <row r="2400">
      <c r="A2400" s="1" t="s">
        <v>14046</v>
      </c>
    </row>
    <row r="2401">
      <c r="A2401" s="1" t="s">
        <v>14047</v>
      </c>
    </row>
    <row r="2402">
      <c r="A2402" s="1" t="s">
        <v>14048</v>
      </c>
    </row>
    <row r="2403">
      <c r="A2403" s="1" t="s">
        <v>14049</v>
      </c>
    </row>
    <row r="2404">
      <c r="A2404" s="1" t="s">
        <v>14050</v>
      </c>
    </row>
    <row r="2405">
      <c r="A2405" s="1" t="s">
        <v>14051</v>
      </c>
    </row>
    <row r="2406">
      <c r="A2406" s="1" t="s">
        <v>14052</v>
      </c>
    </row>
    <row r="2407">
      <c r="A2407" s="1" t="s">
        <v>14053</v>
      </c>
    </row>
    <row r="2408">
      <c r="A2408" s="1" t="s">
        <v>14054</v>
      </c>
    </row>
    <row r="2409">
      <c r="A2409" s="1" t="s">
        <v>14055</v>
      </c>
    </row>
    <row r="2410">
      <c r="A2410" s="1" t="s">
        <v>14056</v>
      </c>
    </row>
    <row r="2411">
      <c r="A2411" s="1" t="s">
        <v>14057</v>
      </c>
    </row>
    <row r="2412">
      <c r="A2412" s="1" t="s">
        <v>12694</v>
      </c>
    </row>
    <row r="2413">
      <c r="A2413" s="1" t="s">
        <v>14058</v>
      </c>
    </row>
    <row r="2414">
      <c r="A2414" s="1" t="s">
        <v>14059</v>
      </c>
    </row>
    <row r="2415">
      <c r="A2415" s="1" t="s">
        <v>14060</v>
      </c>
    </row>
    <row r="2416">
      <c r="A2416" s="1" t="s">
        <v>14061</v>
      </c>
    </row>
    <row r="2417">
      <c r="A2417" s="1" t="s">
        <v>14062</v>
      </c>
    </row>
    <row r="2418">
      <c r="A2418" s="1" t="s">
        <v>14063</v>
      </c>
    </row>
    <row r="2419">
      <c r="A2419" s="1" t="s">
        <v>14064</v>
      </c>
    </row>
    <row r="2420">
      <c r="A2420" s="1" t="s">
        <v>14065</v>
      </c>
    </row>
    <row r="2421">
      <c r="A2421" s="1" t="s">
        <v>14066</v>
      </c>
    </row>
    <row r="2422">
      <c r="A2422" s="1" t="s">
        <v>14067</v>
      </c>
    </row>
    <row r="2423">
      <c r="A2423" s="1" t="s">
        <v>14068</v>
      </c>
    </row>
    <row r="2424">
      <c r="A2424" s="1" t="s">
        <v>14069</v>
      </c>
    </row>
    <row r="2425">
      <c r="A2425" s="1" t="s">
        <v>14070</v>
      </c>
    </row>
    <row r="2426">
      <c r="A2426" s="1" t="s">
        <v>14071</v>
      </c>
    </row>
    <row r="2427">
      <c r="A2427" s="1" t="s">
        <v>14072</v>
      </c>
    </row>
    <row r="2428">
      <c r="A2428" s="1" t="s">
        <v>14073</v>
      </c>
    </row>
    <row r="2429">
      <c r="A2429" s="1" t="s">
        <v>14074</v>
      </c>
    </row>
    <row r="2430">
      <c r="A2430" s="1" t="s">
        <v>14075</v>
      </c>
    </row>
    <row r="2431">
      <c r="A2431" s="1" t="s">
        <v>14076</v>
      </c>
    </row>
    <row r="2432">
      <c r="A2432" s="1" t="s">
        <v>14077</v>
      </c>
    </row>
    <row r="2433">
      <c r="A2433" s="1" t="s">
        <v>14078</v>
      </c>
    </row>
    <row r="2434">
      <c r="A2434" s="1" t="s">
        <v>14079</v>
      </c>
    </row>
    <row r="2435">
      <c r="A2435" s="1" t="s">
        <v>14080</v>
      </c>
    </row>
    <row r="2436">
      <c r="A2436" s="1" t="s">
        <v>14081</v>
      </c>
    </row>
    <row r="2437">
      <c r="A2437" s="1" t="s">
        <v>14082</v>
      </c>
    </row>
    <row r="2438">
      <c r="A2438" s="1" t="s">
        <v>14083</v>
      </c>
    </row>
    <row r="2439">
      <c r="A2439" s="1" t="s">
        <v>14084</v>
      </c>
    </row>
    <row r="2440">
      <c r="A2440" s="1" t="s">
        <v>14085</v>
      </c>
    </row>
    <row r="2441">
      <c r="A2441" s="1" t="s">
        <v>14086</v>
      </c>
    </row>
    <row r="2442">
      <c r="A2442" s="1" t="s">
        <v>14087</v>
      </c>
    </row>
    <row r="2443">
      <c r="A2443" s="1" t="s">
        <v>14088</v>
      </c>
    </row>
    <row r="2444">
      <c r="A2444" s="1" t="s">
        <v>14089</v>
      </c>
    </row>
    <row r="2445">
      <c r="A2445" s="1" t="s">
        <v>14090</v>
      </c>
    </row>
    <row r="2446">
      <c r="A2446" s="1" t="s">
        <v>14091</v>
      </c>
    </row>
    <row r="2447">
      <c r="A2447" s="1" t="s">
        <v>14092</v>
      </c>
    </row>
    <row r="2448">
      <c r="A2448" s="1" t="s">
        <v>14093</v>
      </c>
    </row>
    <row r="2449">
      <c r="A2449" s="1" t="s">
        <v>14094</v>
      </c>
    </row>
    <row r="2450">
      <c r="A2450" s="1" t="s">
        <v>14095</v>
      </c>
    </row>
    <row r="2451">
      <c r="A2451" s="1" t="s">
        <v>14096</v>
      </c>
    </row>
    <row r="2452">
      <c r="A2452" s="1" t="s">
        <v>14097</v>
      </c>
    </row>
    <row r="2453">
      <c r="A2453" s="1" t="s">
        <v>14098</v>
      </c>
    </row>
    <row r="2454">
      <c r="A2454" s="1" t="s">
        <v>14099</v>
      </c>
    </row>
    <row r="2455">
      <c r="A2455" s="1" t="s">
        <v>12590</v>
      </c>
    </row>
    <row r="2456">
      <c r="A2456" s="1" t="s">
        <v>14100</v>
      </c>
    </row>
    <row r="2457">
      <c r="A2457" s="1" t="s">
        <v>14101</v>
      </c>
    </row>
    <row r="2458">
      <c r="A2458" s="1" t="s">
        <v>14102</v>
      </c>
    </row>
    <row r="2459">
      <c r="A2459" s="1" t="s">
        <v>14103</v>
      </c>
    </row>
    <row r="2460">
      <c r="A2460" s="1" t="s">
        <v>14104</v>
      </c>
    </row>
    <row r="2461">
      <c r="A2461" s="1" t="s">
        <v>14105</v>
      </c>
    </row>
    <row r="2462">
      <c r="A2462" s="1" t="s">
        <v>12761</v>
      </c>
    </row>
    <row r="2463">
      <c r="A2463" s="1" t="s">
        <v>14106</v>
      </c>
    </row>
    <row r="2464">
      <c r="A2464" s="1" t="s">
        <v>14107</v>
      </c>
    </row>
    <row r="2465">
      <c r="A2465" s="1" t="s">
        <v>14108</v>
      </c>
    </row>
    <row r="2466">
      <c r="A2466" s="1" t="s">
        <v>14109</v>
      </c>
    </row>
    <row r="2467">
      <c r="A2467" s="1" t="s">
        <v>14110</v>
      </c>
    </row>
    <row r="2468">
      <c r="A2468" s="1" t="s">
        <v>14111</v>
      </c>
    </row>
    <row r="2469">
      <c r="A2469" s="1" t="s">
        <v>14112</v>
      </c>
    </row>
    <row r="2470">
      <c r="A2470" s="1" t="s">
        <v>14113</v>
      </c>
    </row>
    <row r="2471">
      <c r="A2471" s="1" t="s">
        <v>14114</v>
      </c>
    </row>
    <row r="2472">
      <c r="A2472" s="1" t="s">
        <v>14115</v>
      </c>
    </row>
    <row r="2473">
      <c r="A2473" s="1" t="s">
        <v>14116</v>
      </c>
    </row>
    <row r="2474">
      <c r="A2474" s="1" t="s">
        <v>14117</v>
      </c>
    </row>
    <row r="2475">
      <c r="A2475" s="1" t="s">
        <v>14118</v>
      </c>
    </row>
    <row r="2476">
      <c r="A2476" s="1" t="s">
        <v>14119</v>
      </c>
    </row>
    <row r="2477">
      <c r="A2477" s="1" t="s">
        <v>14120</v>
      </c>
    </row>
    <row r="2478">
      <c r="A2478" s="1" t="s">
        <v>14121</v>
      </c>
    </row>
    <row r="2479">
      <c r="A2479" s="1" t="s">
        <v>14122</v>
      </c>
    </row>
    <row r="2480">
      <c r="A2480" s="1" t="s">
        <v>14123</v>
      </c>
    </row>
    <row r="2481">
      <c r="A2481" s="1" t="s">
        <v>14124</v>
      </c>
    </row>
    <row r="2482">
      <c r="A2482" s="1" t="s">
        <v>14125</v>
      </c>
    </row>
    <row r="2483">
      <c r="A2483" s="1" t="s">
        <v>14126</v>
      </c>
    </row>
    <row r="2484">
      <c r="A2484" s="1" t="s">
        <v>14127</v>
      </c>
    </row>
    <row r="2485">
      <c r="A2485" s="1" t="s">
        <v>14128</v>
      </c>
    </row>
    <row r="2486">
      <c r="A2486" s="1" t="s">
        <v>14129</v>
      </c>
    </row>
    <row r="2487">
      <c r="A2487" s="1" t="s">
        <v>14130</v>
      </c>
    </row>
    <row r="2488">
      <c r="A2488" s="1" t="s">
        <v>14131</v>
      </c>
    </row>
    <row r="2489">
      <c r="A2489" s="1" t="s">
        <v>14132</v>
      </c>
    </row>
    <row r="2490">
      <c r="A2490" s="1" t="s">
        <v>14133</v>
      </c>
    </row>
    <row r="2491">
      <c r="A2491" s="1" t="s">
        <v>14134</v>
      </c>
    </row>
    <row r="2492">
      <c r="A2492" s="1" t="s">
        <v>14135</v>
      </c>
    </row>
    <row r="2493">
      <c r="A2493" s="1" t="s">
        <v>14136</v>
      </c>
    </row>
    <row r="2494">
      <c r="A2494" s="1" t="s">
        <v>14137</v>
      </c>
    </row>
    <row r="2495">
      <c r="A2495" s="1" t="s">
        <v>14138</v>
      </c>
    </row>
    <row r="2496">
      <c r="A2496" s="1" t="s">
        <v>14139</v>
      </c>
    </row>
    <row r="2497">
      <c r="A2497" s="1" t="s">
        <v>14140</v>
      </c>
    </row>
    <row r="2498">
      <c r="A2498" s="1" t="s">
        <v>14135</v>
      </c>
    </row>
    <row r="2499">
      <c r="A2499" s="1" t="s">
        <v>14136</v>
      </c>
    </row>
    <row r="2500">
      <c r="A2500" s="1" t="s">
        <v>14141</v>
      </c>
    </row>
    <row r="2501">
      <c r="A2501" s="1" t="s">
        <v>14142</v>
      </c>
    </row>
    <row r="2502">
      <c r="A2502" s="1" t="s">
        <v>14143</v>
      </c>
    </row>
    <row r="2503">
      <c r="A2503" s="1" t="s">
        <v>14144</v>
      </c>
    </row>
    <row r="2504">
      <c r="A2504" s="1" t="s">
        <v>14145</v>
      </c>
    </row>
    <row r="2505">
      <c r="A2505" s="1" t="s">
        <v>14146</v>
      </c>
    </row>
    <row r="2506">
      <c r="A2506" s="1" t="s">
        <v>14147</v>
      </c>
    </row>
    <row r="2507">
      <c r="A2507" s="1" t="s">
        <v>14148</v>
      </c>
    </row>
    <row r="2508">
      <c r="A2508" s="1" t="s">
        <v>14149</v>
      </c>
    </row>
    <row r="2509">
      <c r="A2509" s="1" t="s">
        <v>14150</v>
      </c>
    </row>
    <row r="2510">
      <c r="A2510" s="1" t="s">
        <v>14151</v>
      </c>
    </row>
    <row r="2511">
      <c r="A2511" s="1" t="s">
        <v>14152</v>
      </c>
    </row>
    <row r="2512">
      <c r="A2512" s="1" t="s">
        <v>14153</v>
      </c>
    </row>
    <row r="2513">
      <c r="A2513" s="1" t="s">
        <v>14154</v>
      </c>
    </row>
    <row r="2514">
      <c r="A2514" s="1" t="s">
        <v>12948</v>
      </c>
    </row>
    <row r="2515">
      <c r="A2515" s="1" t="s">
        <v>14155</v>
      </c>
    </row>
    <row r="2516">
      <c r="A2516" s="1" t="s">
        <v>14156</v>
      </c>
    </row>
    <row r="2517">
      <c r="A2517" s="1" t="s">
        <v>14157</v>
      </c>
    </row>
    <row r="2518">
      <c r="A2518" s="1" t="s">
        <v>14158</v>
      </c>
    </row>
    <row r="2519">
      <c r="A2519" s="1" t="s">
        <v>14159</v>
      </c>
    </row>
    <row r="2520">
      <c r="A2520" s="1" t="s">
        <v>14160</v>
      </c>
    </row>
    <row r="2521">
      <c r="A2521" s="1" t="s">
        <v>14161</v>
      </c>
    </row>
    <row r="2522">
      <c r="A2522" s="1" t="s">
        <v>14162</v>
      </c>
    </row>
    <row r="2523">
      <c r="A2523" s="1" t="s">
        <v>14163</v>
      </c>
    </row>
    <row r="2524">
      <c r="A2524" s="1" t="s">
        <v>14164</v>
      </c>
    </row>
    <row r="2525">
      <c r="A2525" s="1" t="s">
        <v>14165</v>
      </c>
    </row>
    <row r="2526">
      <c r="A2526" s="1" t="s">
        <v>14166</v>
      </c>
    </row>
    <row r="2527">
      <c r="A2527" s="1" t="s">
        <v>14167</v>
      </c>
    </row>
    <row r="2528">
      <c r="A2528" s="1" t="s">
        <v>14168</v>
      </c>
    </row>
    <row r="2529">
      <c r="A2529" s="1" t="s">
        <v>14169</v>
      </c>
    </row>
    <row r="2530">
      <c r="A2530" s="1" t="s">
        <v>14170</v>
      </c>
    </row>
    <row r="2531">
      <c r="A2531" s="1" t="s">
        <v>14171</v>
      </c>
    </row>
    <row r="2532">
      <c r="A2532" s="1" t="s">
        <v>14172</v>
      </c>
    </row>
    <row r="2533">
      <c r="A2533" s="1" t="s">
        <v>14173</v>
      </c>
    </row>
    <row r="2534">
      <c r="A2534" s="1" t="s">
        <v>14174</v>
      </c>
    </row>
    <row r="2535">
      <c r="A2535" s="1" t="s">
        <v>14175</v>
      </c>
    </row>
    <row r="2536">
      <c r="A2536" s="1" t="s">
        <v>14176</v>
      </c>
    </row>
    <row r="2537">
      <c r="A2537" s="1" t="s">
        <v>14177</v>
      </c>
    </row>
    <row r="2538">
      <c r="A2538" s="1" t="s">
        <v>14178</v>
      </c>
    </row>
    <row r="2539">
      <c r="A2539" s="1" t="s">
        <v>14179</v>
      </c>
    </row>
    <row r="2540">
      <c r="A2540" s="1" t="s">
        <v>14180</v>
      </c>
    </row>
    <row r="2541">
      <c r="A2541" s="1" t="s">
        <v>14181</v>
      </c>
    </row>
    <row r="2542">
      <c r="A2542" s="1" t="s">
        <v>14182</v>
      </c>
    </row>
    <row r="2543">
      <c r="A2543" s="1" t="s">
        <v>14183</v>
      </c>
    </row>
    <row r="2544">
      <c r="A2544" s="1" t="s">
        <v>14184</v>
      </c>
    </row>
    <row r="2545">
      <c r="A2545" s="1" t="s">
        <v>14185</v>
      </c>
    </row>
    <row r="2546">
      <c r="A2546" s="1" t="s">
        <v>12056</v>
      </c>
    </row>
    <row r="2547">
      <c r="A2547" s="1" t="s">
        <v>14186</v>
      </c>
    </row>
    <row r="2548">
      <c r="A2548" s="1" t="s">
        <v>12950</v>
      </c>
    </row>
    <row r="2549">
      <c r="A2549" s="1" t="s">
        <v>14187</v>
      </c>
    </row>
    <row r="2550">
      <c r="A2550" s="1" t="s">
        <v>14188</v>
      </c>
    </row>
    <row r="2551">
      <c r="A2551" s="1" t="s">
        <v>14189</v>
      </c>
    </row>
    <row r="2552">
      <c r="A2552" s="1" t="s">
        <v>14190</v>
      </c>
    </row>
    <row r="2553">
      <c r="A2553" s="1" t="s">
        <v>14191</v>
      </c>
    </row>
    <row r="2554">
      <c r="A2554" s="1" t="s">
        <v>14192</v>
      </c>
    </row>
    <row r="2555">
      <c r="A2555" s="1" t="s">
        <v>14193</v>
      </c>
    </row>
    <row r="2556">
      <c r="A2556" s="1" t="s">
        <v>14194</v>
      </c>
    </row>
    <row r="2557">
      <c r="A2557" s="1" t="s">
        <v>14195</v>
      </c>
    </row>
    <row r="2558">
      <c r="A2558" s="1" t="s">
        <v>14196</v>
      </c>
    </row>
    <row r="2559">
      <c r="A2559" s="1" t="s">
        <v>14197</v>
      </c>
    </row>
    <row r="2560">
      <c r="A2560" s="1" t="s">
        <v>14198</v>
      </c>
    </row>
    <row r="2561">
      <c r="A2561" s="1" t="s">
        <v>14199</v>
      </c>
    </row>
    <row r="2562">
      <c r="A2562" s="1" t="s">
        <v>14200</v>
      </c>
    </row>
    <row r="2563">
      <c r="A2563" s="1" t="s">
        <v>14201</v>
      </c>
    </row>
    <row r="2564">
      <c r="A2564" s="1" t="s">
        <v>14202</v>
      </c>
    </row>
    <row r="2565">
      <c r="A2565" s="1" t="s">
        <v>14203</v>
      </c>
    </row>
    <row r="2566">
      <c r="A2566" s="1" t="s">
        <v>14204</v>
      </c>
    </row>
    <row r="2567">
      <c r="A2567" s="1" t="s">
        <v>14205</v>
      </c>
    </row>
    <row r="2568">
      <c r="A2568" s="1" t="s">
        <v>14206</v>
      </c>
    </row>
    <row r="2569">
      <c r="A2569" s="1" t="s">
        <v>14207</v>
      </c>
    </row>
    <row r="2570">
      <c r="A2570" s="1" t="s">
        <v>14208</v>
      </c>
    </row>
    <row r="2571">
      <c r="A2571" s="1" t="s">
        <v>14209</v>
      </c>
    </row>
    <row r="2572">
      <c r="A2572" s="1" t="s">
        <v>14210</v>
      </c>
    </row>
    <row r="2573">
      <c r="A2573" s="1" t="s">
        <v>14211</v>
      </c>
    </row>
    <row r="2574">
      <c r="A2574" s="1" t="s">
        <v>14212</v>
      </c>
    </row>
    <row r="2575">
      <c r="A2575" s="1" t="s">
        <v>14213</v>
      </c>
    </row>
    <row r="2576">
      <c r="A2576" s="1" t="s">
        <v>14214</v>
      </c>
    </row>
    <row r="2577">
      <c r="A2577" s="1" t="s">
        <v>14215</v>
      </c>
    </row>
    <row r="2578">
      <c r="A2578" s="1" t="s">
        <v>14216</v>
      </c>
    </row>
    <row r="2579">
      <c r="A2579" s="1" t="s">
        <v>14217</v>
      </c>
    </row>
    <row r="2580">
      <c r="A2580" s="1" t="s">
        <v>14218</v>
      </c>
    </row>
    <row r="2581">
      <c r="A2581" s="1" t="s">
        <v>14219</v>
      </c>
    </row>
    <row r="2582">
      <c r="A2582" s="1" t="s">
        <v>14220</v>
      </c>
    </row>
    <row r="2583">
      <c r="A2583" s="1" t="s">
        <v>14221</v>
      </c>
    </row>
    <row r="2584">
      <c r="A2584" s="1" t="s">
        <v>14222</v>
      </c>
    </row>
    <row r="2585">
      <c r="A2585" s="1" t="s">
        <v>14223</v>
      </c>
    </row>
    <row r="2586">
      <c r="A2586" s="1" t="s">
        <v>14224</v>
      </c>
    </row>
    <row r="2587">
      <c r="A2587" s="1" t="s">
        <v>14225</v>
      </c>
    </row>
    <row r="2588">
      <c r="A2588" s="1" t="s">
        <v>14226</v>
      </c>
    </row>
    <row r="2589">
      <c r="A2589" s="1" t="s">
        <v>14227</v>
      </c>
    </row>
    <row r="2590">
      <c r="A2590" s="1" t="s">
        <v>14228</v>
      </c>
    </row>
    <row r="2591">
      <c r="A2591" s="1" t="s">
        <v>14229</v>
      </c>
    </row>
    <row r="2592">
      <c r="A2592" s="1" t="s">
        <v>14230</v>
      </c>
    </row>
    <row r="2593">
      <c r="A2593" s="1" t="s">
        <v>14231</v>
      </c>
    </row>
    <row r="2594">
      <c r="A2594" s="1" t="s">
        <v>14232</v>
      </c>
    </row>
    <row r="2595">
      <c r="A2595" s="1" t="s">
        <v>12056</v>
      </c>
    </row>
    <row r="2596">
      <c r="A2596" s="1" t="s">
        <v>14233</v>
      </c>
    </row>
    <row r="2597">
      <c r="A2597" s="1" t="s">
        <v>14234</v>
      </c>
    </row>
    <row r="2598">
      <c r="A2598" s="1" t="s">
        <v>14235</v>
      </c>
    </row>
    <row r="2599">
      <c r="A2599" s="1" t="s">
        <v>14236</v>
      </c>
    </row>
    <row r="2600">
      <c r="A2600" s="1" t="s">
        <v>14237</v>
      </c>
    </row>
    <row r="2601">
      <c r="A2601" s="1" t="s">
        <v>14238</v>
      </c>
    </row>
    <row r="2602">
      <c r="A2602" s="1" t="s">
        <v>14239</v>
      </c>
    </row>
    <row r="2603">
      <c r="A2603" s="1" t="s">
        <v>14240</v>
      </c>
    </row>
    <row r="2604">
      <c r="A2604" s="1" t="s">
        <v>14241</v>
      </c>
    </row>
    <row r="2605">
      <c r="A2605" s="1" t="s">
        <v>14242</v>
      </c>
    </row>
    <row r="2606">
      <c r="A2606" s="1" t="s">
        <v>14215</v>
      </c>
    </row>
    <row r="2607">
      <c r="A2607" s="1" t="s">
        <v>14243</v>
      </c>
    </row>
    <row r="2608">
      <c r="A2608" s="1" t="s">
        <v>14244</v>
      </c>
    </row>
    <row r="2609">
      <c r="A2609" s="1" t="s">
        <v>14245</v>
      </c>
    </row>
    <row r="2610">
      <c r="A2610" s="1" t="s">
        <v>14246</v>
      </c>
    </row>
    <row r="2611">
      <c r="A2611" s="1" t="s">
        <v>14247</v>
      </c>
    </row>
    <row r="2612">
      <c r="A2612" s="1" t="s">
        <v>14248</v>
      </c>
    </row>
    <row r="2613">
      <c r="A2613" s="1" t="s">
        <v>14249</v>
      </c>
    </row>
    <row r="2614">
      <c r="A2614" s="1" t="s">
        <v>14250</v>
      </c>
    </row>
    <row r="2615">
      <c r="A2615" s="1" t="s">
        <v>14251</v>
      </c>
    </row>
    <row r="2616">
      <c r="A2616" s="1" t="s">
        <v>14252</v>
      </c>
    </row>
    <row r="2617">
      <c r="A2617" s="1" t="s">
        <v>14253</v>
      </c>
    </row>
    <row r="2618">
      <c r="A2618" s="1" t="s">
        <v>14254</v>
      </c>
    </row>
    <row r="2619">
      <c r="A2619" s="1" t="s">
        <v>14255</v>
      </c>
    </row>
    <row r="2620">
      <c r="A2620" s="1" t="s">
        <v>14256</v>
      </c>
    </row>
    <row r="2621">
      <c r="A2621" s="1" t="s">
        <v>14257</v>
      </c>
    </row>
    <row r="2622">
      <c r="A2622" s="1" t="s">
        <v>14258</v>
      </c>
    </row>
    <row r="2623">
      <c r="A2623" s="1" t="s">
        <v>14259</v>
      </c>
    </row>
    <row r="2624">
      <c r="A2624" s="1" t="s">
        <v>14227</v>
      </c>
    </row>
    <row r="2625">
      <c r="A2625" s="1" t="s">
        <v>14260</v>
      </c>
    </row>
    <row r="2626">
      <c r="A2626" s="1" t="s">
        <v>14261</v>
      </c>
    </row>
    <row r="2627">
      <c r="A2627" s="1" t="s">
        <v>14262</v>
      </c>
    </row>
    <row r="2628">
      <c r="A2628" s="1" t="s">
        <v>14263</v>
      </c>
    </row>
    <row r="2629">
      <c r="A2629" s="1" t="s">
        <v>14264</v>
      </c>
    </row>
    <row r="2630">
      <c r="A2630" s="1" t="s">
        <v>14265</v>
      </c>
    </row>
    <row r="2631">
      <c r="A2631" s="1" t="s">
        <v>14266</v>
      </c>
    </row>
    <row r="2632">
      <c r="A2632" s="1" t="s">
        <v>14267</v>
      </c>
    </row>
    <row r="2633">
      <c r="A2633" s="1" t="s">
        <v>14268</v>
      </c>
    </row>
    <row r="2634">
      <c r="A2634" s="1" t="s">
        <v>14269</v>
      </c>
    </row>
    <row r="2635">
      <c r="A2635" s="1" t="s">
        <v>14270</v>
      </c>
    </row>
    <row r="2636">
      <c r="A2636" s="1" t="s">
        <v>14271</v>
      </c>
    </row>
    <row r="2637">
      <c r="A2637" s="1" t="s">
        <v>14272</v>
      </c>
    </row>
    <row r="2638">
      <c r="A2638" s="1" t="s">
        <v>14273</v>
      </c>
    </row>
    <row r="2639">
      <c r="A2639" s="1" t="s">
        <v>14274</v>
      </c>
    </row>
    <row r="2640">
      <c r="A2640" s="1" t="s">
        <v>14275</v>
      </c>
    </row>
    <row r="2641">
      <c r="A2641" s="1" t="s">
        <v>14276</v>
      </c>
    </row>
    <row r="2642">
      <c r="A2642" s="1" t="s">
        <v>14277</v>
      </c>
    </row>
    <row r="2643">
      <c r="A2643" s="1" t="s">
        <v>14278</v>
      </c>
    </row>
    <row r="2644">
      <c r="A2644" s="1" t="s">
        <v>14279</v>
      </c>
    </row>
    <row r="2645">
      <c r="A2645" s="1" t="s">
        <v>14280</v>
      </c>
    </row>
    <row r="2646">
      <c r="A2646" s="1" t="s">
        <v>14281</v>
      </c>
    </row>
    <row r="2647">
      <c r="A2647" s="1" t="s">
        <v>14282</v>
      </c>
    </row>
    <row r="2648">
      <c r="A2648" s="1" t="s">
        <v>12056</v>
      </c>
    </row>
    <row r="2649">
      <c r="A2649" s="1" t="s">
        <v>14233</v>
      </c>
    </row>
    <row r="2650">
      <c r="A2650" s="1" t="s">
        <v>14283</v>
      </c>
    </row>
    <row r="2651">
      <c r="A2651" s="1" t="s">
        <v>14284</v>
      </c>
    </row>
    <row r="2652">
      <c r="A2652" s="1" t="s">
        <v>14285</v>
      </c>
    </row>
    <row r="2653">
      <c r="A2653" s="1" t="s">
        <v>14286</v>
      </c>
    </row>
    <row r="2654">
      <c r="A2654" s="1" t="s">
        <v>14287</v>
      </c>
    </row>
    <row r="2655">
      <c r="A2655" s="1" t="s">
        <v>14288</v>
      </c>
    </row>
    <row r="2656">
      <c r="A2656" s="1" t="s">
        <v>14224</v>
      </c>
    </row>
    <row r="2657">
      <c r="A2657" s="1" t="s">
        <v>14289</v>
      </c>
    </row>
    <row r="2658">
      <c r="A2658" s="1" t="s">
        <v>14290</v>
      </c>
    </row>
    <row r="2659">
      <c r="A2659" s="1" t="s">
        <v>14291</v>
      </c>
    </row>
    <row r="2660">
      <c r="A2660" s="1" t="s">
        <v>14292</v>
      </c>
    </row>
    <row r="2661">
      <c r="A2661" s="1" t="s">
        <v>14293</v>
      </c>
    </row>
    <row r="2662">
      <c r="A2662" s="1" t="s">
        <v>14294</v>
      </c>
    </row>
    <row r="2663">
      <c r="A2663" s="1" t="s">
        <v>14295</v>
      </c>
    </row>
    <row r="2664">
      <c r="A2664" s="1" t="s">
        <v>14296</v>
      </c>
    </row>
    <row r="2665">
      <c r="A2665" s="1" t="s">
        <v>14297</v>
      </c>
    </row>
    <row r="2666">
      <c r="A2666" s="1" t="s">
        <v>14298</v>
      </c>
    </row>
    <row r="2667">
      <c r="A2667" s="1" t="s">
        <v>14299</v>
      </c>
    </row>
    <row r="2668">
      <c r="A2668" s="1" t="s">
        <v>14227</v>
      </c>
    </row>
    <row r="2669">
      <c r="A2669" s="1" t="s">
        <v>14228</v>
      </c>
    </row>
    <row r="2670">
      <c r="A2670" s="1" t="s">
        <v>14300</v>
      </c>
    </row>
    <row r="2671">
      <c r="A2671" s="1" t="s">
        <v>14230</v>
      </c>
    </row>
    <row r="2672">
      <c r="A2672" s="1" t="s">
        <v>14301</v>
      </c>
    </row>
    <row r="2673">
      <c r="A2673" s="1" t="s">
        <v>14302</v>
      </c>
    </row>
    <row r="2674">
      <c r="A2674" s="1" t="s">
        <v>12056</v>
      </c>
    </row>
    <row r="2675">
      <c r="A2675" s="1" t="s">
        <v>14233</v>
      </c>
    </row>
    <row r="2676">
      <c r="A2676" s="1" t="s">
        <v>14303</v>
      </c>
    </row>
    <row r="2677">
      <c r="A2677" s="1" t="s">
        <v>14304</v>
      </c>
    </row>
    <row r="2678">
      <c r="A2678" s="1" t="s">
        <v>14305</v>
      </c>
    </row>
    <row r="2679">
      <c r="A2679" s="1" t="s">
        <v>14306</v>
      </c>
    </row>
    <row r="2680">
      <c r="A2680" s="1" t="s">
        <v>14307</v>
      </c>
    </row>
    <row r="2681">
      <c r="A2681" s="1" t="s">
        <v>14308</v>
      </c>
    </row>
    <row r="2682">
      <c r="A2682" s="1" t="s">
        <v>14309</v>
      </c>
    </row>
    <row r="2683">
      <c r="A2683" s="1" t="s">
        <v>14310</v>
      </c>
    </row>
    <row r="2684">
      <c r="A2684" s="1" t="s">
        <v>14311</v>
      </c>
    </row>
    <row r="2685">
      <c r="A2685" s="1" t="s">
        <v>14312</v>
      </c>
    </row>
    <row r="2686">
      <c r="A2686" s="1" t="s">
        <v>14313</v>
      </c>
    </row>
    <row r="2687">
      <c r="A2687" s="1" t="s">
        <v>14314</v>
      </c>
    </row>
    <row r="2688">
      <c r="A2688" s="1" t="s">
        <v>14315</v>
      </c>
    </row>
    <row r="2689">
      <c r="A2689" s="1" t="s">
        <v>14316</v>
      </c>
    </row>
    <row r="2690">
      <c r="A2690" s="1" t="s">
        <v>14317</v>
      </c>
    </row>
    <row r="2691">
      <c r="A2691" s="1" t="s">
        <v>14318</v>
      </c>
    </row>
    <row r="2692">
      <c r="A2692" s="1" t="s">
        <v>14319</v>
      </c>
    </row>
    <row r="2693">
      <c r="A2693" s="1" t="s">
        <v>14320</v>
      </c>
    </row>
    <row r="2694">
      <c r="A2694" s="1" t="s">
        <v>14321</v>
      </c>
    </row>
    <row r="2695">
      <c r="A2695" s="1" t="s">
        <v>14322</v>
      </c>
    </row>
    <row r="2696">
      <c r="A2696" s="1" t="s">
        <v>14323</v>
      </c>
    </row>
    <row r="2697">
      <c r="A2697" s="1" t="s">
        <v>14324</v>
      </c>
    </row>
    <row r="2698">
      <c r="A2698" s="1" t="s">
        <v>14325</v>
      </c>
    </row>
    <row r="2699">
      <c r="A2699" s="1" t="s">
        <v>14326</v>
      </c>
    </row>
    <row r="2700">
      <c r="A2700" s="1" t="s">
        <v>14327</v>
      </c>
    </row>
    <row r="2701">
      <c r="A2701" s="1" t="s">
        <v>14328</v>
      </c>
    </row>
    <row r="2702">
      <c r="A2702" s="1" t="s">
        <v>14329</v>
      </c>
    </row>
    <row r="2703">
      <c r="A2703" s="1" t="s">
        <v>14330</v>
      </c>
    </row>
    <row r="2704">
      <c r="A2704" s="1" t="s">
        <v>14331</v>
      </c>
    </row>
    <row r="2705">
      <c r="A2705" s="1" t="s">
        <v>14332</v>
      </c>
    </row>
    <row r="2706">
      <c r="A2706" s="1" t="s">
        <v>14333</v>
      </c>
    </row>
    <row r="2707">
      <c r="A2707" s="1" t="s">
        <v>14334</v>
      </c>
    </row>
    <row r="2708">
      <c r="A2708" s="1" t="s">
        <v>14335</v>
      </c>
    </row>
    <row r="2709">
      <c r="A2709" s="1" t="s">
        <v>14336</v>
      </c>
    </row>
    <row r="2710">
      <c r="A2710" s="1" t="s">
        <v>14337</v>
      </c>
    </row>
    <row r="2711">
      <c r="A2711" s="1" t="s">
        <v>14338</v>
      </c>
    </row>
    <row r="2712">
      <c r="A2712" s="1" t="s">
        <v>14339</v>
      </c>
    </row>
    <row r="2713">
      <c r="A2713" s="1" t="s">
        <v>12056</v>
      </c>
    </row>
    <row r="2714">
      <c r="A2714" s="1" t="s">
        <v>14340</v>
      </c>
    </row>
    <row r="2715">
      <c r="A2715" s="1" t="s">
        <v>14341</v>
      </c>
    </row>
    <row r="2716">
      <c r="A2716" s="1" t="s">
        <v>14342</v>
      </c>
    </row>
    <row r="2717">
      <c r="A2717" s="1" t="s">
        <v>14343</v>
      </c>
    </row>
    <row r="2718">
      <c r="A2718" s="1" t="s">
        <v>14344</v>
      </c>
    </row>
    <row r="2719">
      <c r="A2719" s="1" t="s">
        <v>14345</v>
      </c>
    </row>
    <row r="2720">
      <c r="A2720" s="1" t="s">
        <v>14346</v>
      </c>
    </row>
    <row r="2721">
      <c r="A2721" s="1" t="s">
        <v>14347</v>
      </c>
    </row>
    <row r="2722">
      <c r="A2722" s="1" t="s">
        <v>14348</v>
      </c>
    </row>
    <row r="2723">
      <c r="A2723" s="1" t="s">
        <v>14349</v>
      </c>
    </row>
    <row r="2724">
      <c r="A2724" s="1" t="s">
        <v>14350</v>
      </c>
    </row>
    <row r="2725">
      <c r="A2725" s="1" t="s">
        <v>14351</v>
      </c>
    </row>
    <row r="2726">
      <c r="A2726" s="1" t="s">
        <v>14352</v>
      </c>
    </row>
    <row r="2727">
      <c r="A2727" s="1" t="s">
        <v>14353</v>
      </c>
    </row>
    <row r="2728">
      <c r="A2728" s="1" t="s">
        <v>14354</v>
      </c>
    </row>
    <row r="2729">
      <c r="A2729" s="1" t="s">
        <v>14355</v>
      </c>
    </row>
    <row r="2730">
      <c r="A2730" s="1" t="s">
        <v>14356</v>
      </c>
    </row>
    <row r="2731">
      <c r="A2731" s="1" t="s">
        <v>14357</v>
      </c>
    </row>
    <row r="2732">
      <c r="A2732" s="1" t="s">
        <v>14358</v>
      </c>
    </row>
    <row r="2733">
      <c r="A2733" s="1" t="s">
        <v>14359</v>
      </c>
    </row>
    <row r="2734">
      <c r="A2734" s="1" t="s">
        <v>14360</v>
      </c>
    </row>
    <row r="2735">
      <c r="A2735" s="1" t="s">
        <v>14361</v>
      </c>
    </row>
    <row r="2736">
      <c r="A2736" s="1" t="s">
        <v>14362</v>
      </c>
    </row>
    <row r="2737">
      <c r="A2737" s="1" t="s">
        <v>14363</v>
      </c>
    </row>
    <row r="2738">
      <c r="A2738" s="1" t="s">
        <v>14364</v>
      </c>
    </row>
    <row r="2739">
      <c r="A2739" s="1" t="s">
        <v>14365</v>
      </c>
    </row>
    <row r="2740">
      <c r="A2740" s="1" t="s">
        <v>14366</v>
      </c>
    </row>
    <row r="2741">
      <c r="A2741" s="1" t="s">
        <v>14367</v>
      </c>
    </row>
    <row r="2742">
      <c r="A2742" s="1" t="s">
        <v>14368</v>
      </c>
    </row>
    <row r="2743">
      <c r="A2743" s="1" t="s">
        <v>14369</v>
      </c>
    </row>
    <row r="2744">
      <c r="A2744" s="1" t="s">
        <v>14370</v>
      </c>
    </row>
    <row r="2745">
      <c r="A2745" s="1" t="s">
        <v>14371</v>
      </c>
    </row>
    <row r="2746">
      <c r="A2746" s="1" t="s">
        <v>14372</v>
      </c>
    </row>
    <row r="2747">
      <c r="A2747" s="1" t="s">
        <v>14373</v>
      </c>
    </row>
    <row r="2748">
      <c r="A2748" s="1" t="s">
        <v>14374</v>
      </c>
    </row>
    <row r="2749">
      <c r="A2749" s="1" t="s">
        <v>14375</v>
      </c>
    </row>
    <row r="2750">
      <c r="A2750" s="1" t="s">
        <v>14376</v>
      </c>
    </row>
    <row r="2751">
      <c r="A2751" s="1" t="s">
        <v>14377</v>
      </c>
    </row>
    <row r="2752">
      <c r="A2752" s="1" t="s">
        <v>14378</v>
      </c>
    </row>
    <row r="2753">
      <c r="A2753" s="1" t="s">
        <v>14379</v>
      </c>
    </row>
    <row r="2754">
      <c r="A2754" s="1" t="s">
        <v>14380</v>
      </c>
    </row>
    <row r="2755">
      <c r="A2755" s="1" t="s">
        <v>14381</v>
      </c>
    </row>
    <row r="2756">
      <c r="A2756" s="1" t="s">
        <v>14382</v>
      </c>
    </row>
    <row r="2757">
      <c r="A2757" s="1" t="s">
        <v>14383</v>
      </c>
    </row>
    <row r="2758">
      <c r="A2758" s="1" t="s">
        <v>14384</v>
      </c>
    </row>
    <row r="2759">
      <c r="A2759" s="1" t="s">
        <v>14385</v>
      </c>
    </row>
    <row r="2760">
      <c r="A2760" s="1" t="s">
        <v>14386</v>
      </c>
    </row>
    <row r="2761">
      <c r="A2761" s="1" t="s">
        <v>14387</v>
      </c>
    </row>
    <row r="2762">
      <c r="A2762" s="1" t="s">
        <v>14388</v>
      </c>
    </row>
    <row r="2763">
      <c r="A2763" s="1" t="s">
        <v>14389</v>
      </c>
    </row>
    <row r="2764">
      <c r="A2764" s="1" t="s">
        <v>14390</v>
      </c>
    </row>
    <row r="2765">
      <c r="A2765" s="1" t="s">
        <v>14391</v>
      </c>
    </row>
    <row r="2766">
      <c r="A2766" s="1" t="s">
        <v>14392</v>
      </c>
    </row>
    <row r="2767">
      <c r="A2767" s="1" t="s">
        <v>14189</v>
      </c>
    </row>
    <row r="2768">
      <c r="A2768" s="1" t="s">
        <v>14190</v>
      </c>
    </row>
    <row r="2769">
      <c r="A2769" s="1" t="s">
        <v>14191</v>
      </c>
    </row>
    <row r="2770">
      <c r="A2770" s="1" t="s">
        <v>14192</v>
      </c>
    </row>
    <row r="2771">
      <c r="A2771" s="1" t="s">
        <v>14193</v>
      </c>
    </row>
    <row r="2772">
      <c r="A2772" s="1" t="s">
        <v>14194</v>
      </c>
    </row>
    <row r="2773">
      <c r="A2773" s="1" t="s">
        <v>14393</v>
      </c>
    </row>
    <row r="2774">
      <c r="A2774" s="1" t="s">
        <v>14394</v>
      </c>
    </row>
    <row r="2775">
      <c r="A2775" s="1" t="s">
        <v>14395</v>
      </c>
    </row>
    <row r="2776">
      <c r="A2776" s="1" t="s">
        <v>14396</v>
      </c>
    </row>
    <row r="2777">
      <c r="A2777" s="1" t="s">
        <v>14397</v>
      </c>
    </row>
    <row r="2778">
      <c r="A2778" s="1" t="s">
        <v>14398</v>
      </c>
    </row>
    <row r="2779">
      <c r="A2779" s="1" t="s">
        <v>14399</v>
      </c>
    </row>
    <row r="2780">
      <c r="A2780" s="1" t="s">
        <v>14400</v>
      </c>
    </row>
    <row r="2781">
      <c r="A2781" s="1" t="s">
        <v>14401</v>
      </c>
    </row>
    <row r="2782">
      <c r="A2782" s="1" t="s">
        <v>14402</v>
      </c>
    </row>
    <row r="2783">
      <c r="A2783" s="1" t="s">
        <v>14403</v>
      </c>
    </row>
    <row r="2784">
      <c r="A2784" s="1" t="s">
        <v>14404</v>
      </c>
    </row>
    <row r="2785">
      <c r="A2785" s="1" t="s">
        <v>14405</v>
      </c>
    </row>
    <row r="2786">
      <c r="A2786" s="1" t="s">
        <v>14406</v>
      </c>
    </row>
    <row r="2787">
      <c r="A2787" s="1" t="s">
        <v>14407</v>
      </c>
    </row>
    <row r="2788">
      <c r="A2788" s="1" t="s">
        <v>14408</v>
      </c>
    </row>
    <row r="2789">
      <c r="A2789" s="1" t="s">
        <v>14409</v>
      </c>
    </row>
    <row r="2790">
      <c r="A2790" s="1" t="s">
        <v>14410</v>
      </c>
    </row>
    <row r="2791">
      <c r="A2791" s="1" t="s">
        <v>14411</v>
      </c>
    </row>
    <row r="2792">
      <c r="A2792" s="1" t="s">
        <v>14412</v>
      </c>
    </row>
    <row r="2793">
      <c r="A2793" s="1" t="s">
        <v>14413</v>
      </c>
    </row>
    <row r="2794">
      <c r="A2794" s="1" t="s">
        <v>14414</v>
      </c>
    </row>
    <row r="2795">
      <c r="A2795" s="1" t="s">
        <v>14415</v>
      </c>
    </row>
    <row r="2796">
      <c r="A2796" s="1" t="s">
        <v>14416</v>
      </c>
    </row>
    <row r="2797">
      <c r="A2797" s="1" t="s">
        <v>14417</v>
      </c>
    </row>
    <row r="2798">
      <c r="A2798" s="1" t="s">
        <v>14418</v>
      </c>
    </row>
    <row r="2799">
      <c r="A2799" s="1" t="s">
        <v>14419</v>
      </c>
    </row>
    <row r="2800">
      <c r="A2800" s="1" t="s">
        <v>14420</v>
      </c>
    </row>
    <row r="2801">
      <c r="A2801" s="1" t="s">
        <v>14421</v>
      </c>
    </row>
    <row r="2802">
      <c r="A2802" s="1" t="s">
        <v>14422</v>
      </c>
    </row>
    <row r="2803">
      <c r="A2803" s="1" t="s">
        <v>14423</v>
      </c>
    </row>
    <row r="2804">
      <c r="A2804" s="1" t="s">
        <v>14424</v>
      </c>
    </row>
    <row r="2805">
      <c r="A2805" s="1" t="s">
        <v>14425</v>
      </c>
    </row>
    <row r="2806">
      <c r="A2806" s="1" t="s">
        <v>14426</v>
      </c>
    </row>
    <row r="2807">
      <c r="A2807" s="1" t="s">
        <v>14427</v>
      </c>
    </row>
    <row r="2808">
      <c r="A2808" s="1" t="s">
        <v>14428</v>
      </c>
    </row>
    <row r="2809">
      <c r="A2809" s="1" t="s">
        <v>14429</v>
      </c>
    </row>
    <row r="2810">
      <c r="A2810" s="1" t="s">
        <v>14430</v>
      </c>
    </row>
    <row r="2811">
      <c r="A2811" s="1" t="s">
        <v>14431</v>
      </c>
    </row>
    <row r="2812">
      <c r="A2812" s="1" t="s">
        <v>14432</v>
      </c>
    </row>
    <row r="2813">
      <c r="A2813" s="1" t="s">
        <v>14433</v>
      </c>
    </row>
    <row r="2814">
      <c r="A2814" s="1" t="s">
        <v>14434</v>
      </c>
    </row>
    <row r="2815">
      <c r="A2815" s="1" t="s">
        <v>14435</v>
      </c>
    </row>
    <row r="2816">
      <c r="A2816" s="1" t="s">
        <v>14436</v>
      </c>
    </row>
    <row r="2817">
      <c r="A2817" s="1" t="s">
        <v>14437</v>
      </c>
    </row>
    <row r="2818">
      <c r="A2818" s="1" t="s">
        <v>14438</v>
      </c>
    </row>
    <row r="2819">
      <c r="A2819" s="1" t="s">
        <v>14439</v>
      </c>
    </row>
    <row r="2820">
      <c r="A2820" s="1" t="s">
        <v>14440</v>
      </c>
    </row>
    <row r="2821">
      <c r="A2821" s="1" t="s">
        <v>14441</v>
      </c>
    </row>
    <row r="2822">
      <c r="A2822" s="1" t="s">
        <v>14442</v>
      </c>
    </row>
    <row r="2823">
      <c r="A2823" s="1" t="s">
        <v>14443</v>
      </c>
    </row>
    <row r="2824">
      <c r="A2824" s="1" t="s">
        <v>14444</v>
      </c>
    </row>
    <row r="2825">
      <c r="A2825" s="1" t="s">
        <v>14445</v>
      </c>
    </row>
    <row r="2826">
      <c r="A2826" s="1" t="s">
        <v>14446</v>
      </c>
    </row>
    <row r="2827">
      <c r="A2827" s="1" t="s">
        <v>14447</v>
      </c>
    </row>
    <row r="2828">
      <c r="A2828" s="1" t="s">
        <v>14448</v>
      </c>
    </row>
    <row r="2829">
      <c r="A2829" s="1" t="s">
        <v>14449</v>
      </c>
    </row>
    <row r="2830">
      <c r="A2830" s="1" t="s">
        <v>14450</v>
      </c>
    </row>
    <row r="2831">
      <c r="A2831" s="1" t="s">
        <v>14451</v>
      </c>
    </row>
    <row r="2832">
      <c r="A2832" s="1" t="s">
        <v>14452</v>
      </c>
    </row>
    <row r="2833">
      <c r="A2833" s="1" t="s">
        <v>14453</v>
      </c>
    </row>
    <row r="2834">
      <c r="A2834" s="1" t="s">
        <v>14454</v>
      </c>
    </row>
    <row r="2835">
      <c r="A2835" s="1" t="s">
        <v>11955</v>
      </c>
    </row>
    <row r="2836">
      <c r="A2836" s="1" t="s">
        <v>11956</v>
      </c>
    </row>
    <row r="2837">
      <c r="A2837" s="1" t="s">
        <v>11957</v>
      </c>
    </row>
    <row r="2838">
      <c r="A2838" s="1" t="s">
        <v>11958</v>
      </c>
    </row>
    <row r="2839">
      <c r="A2839" s="1" t="s">
        <v>11959</v>
      </c>
    </row>
    <row r="2840">
      <c r="A2840" s="1" t="s">
        <v>11960</v>
      </c>
    </row>
    <row r="2841">
      <c r="A2841" s="1" t="s">
        <v>11961</v>
      </c>
    </row>
    <row r="2842">
      <c r="A2842" s="1" t="s">
        <v>11962</v>
      </c>
    </row>
    <row r="2843">
      <c r="A2843" s="1" t="s">
        <v>14455</v>
      </c>
    </row>
    <row r="2844">
      <c r="A2844" s="1" t="s">
        <v>14456</v>
      </c>
    </row>
    <row r="2845">
      <c r="A2845" s="1" t="s">
        <v>14457</v>
      </c>
    </row>
    <row r="2846">
      <c r="A2846" s="1" t="s">
        <v>14458</v>
      </c>
    </row>
    <row r="2847">
      <c r="A2847" s="1" t="s">
        <v>14459</v>
      </c>
    </row>
    <row r="2848">
      <c r="A2848" s="1" t="s">
        <v>14460</v>
      </c>
    </row>
    <row r="2849">
      <c r="A2849" s="1" t="s">
        <v>14461</v>
      </c>
    </row>
    <row r="2850">
      <c r="A2850" s="1" t="s">
        <v>11955</v>
      </c>
    </row>
    <row r="2851">
      <c r="A2851" s="1" t="s">
        <v>11956</v>
      </c>
    </row>
    <row r="2852">
      <c r="A2852" s="1" t="s">
        <v>11957</v>
      </c>
    </row>
    <row r="2853">
      <c r="A2853" s="1" t="s">
        <v>11958</v>
      </c>
    </row>
    <row r="2854">
      <c r="A2854" s="1" t="s">
        <v>11959</v>
      </c>
    </row>
    <row r="2855">
      <c r="A2855" s="1" t="s">
        <v>11960</v>
      </c>
    </row>
    <row r="2856">
      <c r="A2856" s="1" t="s">
        <v>11961</v>
      </c>
    </row>
    <row r="2857">
      <c r="A2857" s="1" t="s">
        <v>11962</v>
      </c>
    </row>
    <row r="2858">
      <c r="A2858" s="1" t="s">
        <v>14462</v>
      </c>
    </row>
    <row r="2859">
      <c r="A2859" s="1" t="s">
        <v>14463</v>
      </c>
    </row>
    <row r="2860">
      <c r="A2860" s="1" t="s">
        <v>14464</v>
      </c>
    </row>
    <row r="2861">
      <c r="A2861" s="1" t="s">
        <v>14465</v>
      </c>
    </row>
    <row r="2862">
      <c r="A2862" s="1" t="s">
        <v>11981</v>
      </c>
    </row>
    <row r="2863">
      <c r="A2863" s="1" t="s">
        <v>14466</v>
      </c>
    </row>
    <row r="2864">
      <c r="A2864" s="1" t="s">
        <v>14467</v>
      </c>
    </row>
    <row r="2865">
      <c r="A2865" s="1" t="s">
        <v>14468</v>
      </c>
    </row>
    <row r="2866">
      <c r="A2866" s="1" t="s">
        <v>14469</v>
      </c>
    </row>
    <row r="2867">
      <c r="A2867" s="1" t="s">
        <v>14470</v>
      </c>
    </row>
    <row r="2868">
      <c r="A2868" s="1" t="s">
        <v>14471</v>
      </c>
    </row>
    <row r="2869">
      <c r="A2869" s="1" t="s">
        <v>14472</v>
      </c>
    </row>
    <row r="2870">
      <c r="A2870" s="1" t="s">
        <v>14473</v>
      </c>
    </row>
    <row r="2871">
      <c r="A2871" s="1" t="s">
        <v>14474</v>
      </c>
    </row>
    <row r="2872">
      <c r="A2872" s="1" t="s">
        <v>14475</v>
      </c>
    </row>
    <row r="2873">
      <c r="A2873" s="1" t="s">
        <v>14476</v>
      </c>
    </row>
    <row r="2874">
      <c r="A2874" s="1" t="s">
        <v>14477</v>
      </c>
    </row>
    <row r="2875">
      <c r="A2875" s="1" t="s">
        <v>14478</v>
      </c>
    </row>
    <row r="2876">
      <c r="A2876" s="1" t="s">
        <v>14479</v>
      </c>
    </row>
    <row r="2877">
      <c r="A2877" s="1" t="s">
        <v>14480</v>
      </c>
    </row>
    <row r="2878">
      <c r="A2878" s="1" t="s">
        <v>14481</v>
      </c>
    </row>
    <row r="2879">
      <c r="A2879" s="1" t="s">
        <v>14482</v>
      </c>
    </row>
    <row r="2880">
      <c r="A2880" s="1" t="s">
        <v>14483</v>
      </c>
    </row>
    <row r="2881">
      <c r="A2881" s="1" t="s">
        <v>14484</v>
      </c>
    </row>
    <row r="2882">
      <c r="A2882" s="1" t="s">
        <v>14485</v>
      </c>
    </row>
    <row r="2883">
      <c r="A2883" s="1" t="s">
        <v>14486</v>
      </c>
    </row>
    <row r="2884">
      <c r="A2884" s="1" t="s">
        <v>14487</v>
      </c>
    </row>
    <row r="2885">
      <c r="A2885" s="1" t="s">
        <v>14488</v>
      </c>
    </row>
    <row r="2886">
      <c r="A2886" s="1" t="s">
        <v>14489</v>
      </c>
    </row>
    <row r="2887">
      <c r="A2887" s="1" t="s">
        <v>14490</v>
      </c>
    </row>
    <row r="2888">
      <c r="A2888" s="1" t="s">
        <v>14491</v>
      </c>
    </row>
    <row r="2889">
      <c r="A2889" s="1" t="s">
        <v>14492</v>
      </c>
    </row>
    <row r="2890">
      <c r="A2890" s="1" t="s">
        <v>14493</v>
      </c>
    </row>
    <row r="2891">
      <c r="A2891" s="1" t="s">
        <v>14494</v>
      </c>
    </row>
    <row r="2892">
      <c r="A2892" s="1" t="s">
        <v>14495</v>
      </c>
    </row>
    <row r="2893">
      <c r="A2893" s="1" t="s">
        <v>14496</v>
      </c>
    </row>
    <row r="2894">
      <c r="A2894" s="1" t="s">
        <v>14497</v>
      </c>
    </row>
    <row r="2895">
      <c r="A2895" s="1" t="s">
        <v>14498</v>
      </c>
    </row>
    <row r="2896">
      <c r="A2896" s="1" t="s">
        <v>14499</v>
      </c>
    </row>
    <row r="2897">
      <c r="A2897" s="1" t="s">
        <v>14500</v>
      </c>
    </row>
    <row r="2898">
      <c r="A2898" s="1" t="s">
        <v>14501</v>
      </c>
    </row>
    <row r="2899">
      <c r="A2899" s="1" t="s">
        <v>12056</v>
      </c>
    </row>
    <row r="2900">
      <c r="A2900" s="1" t="s">
        <v>14502</v>
      </c>
    </row>
    <row r="2901">
      <c r="A2901" s="1" t="s">
        <v>14503</v>
      </c>
    </row>
    <row r="2902">
      <c r="A2902" s="1" t="s">
        <v>14504</v>
      </c>
    </row>
    <row r="2903">
      <c r="A2903" s="1" t="s">
        <v>14505</v>
      </c>
    </row>
    <row r="2904">
      <c r="A2904" s="1" t="s">
        <v>14506</v>
      </c>
    </row>
    <row r="2905">
      <c r="A2905" s="1" t="s">
        <v>14507</v>
      </c>
    </row>
    <row r="2906">
      <c r="A2906" s="1" t="s">
        <v>14508</v>
      </c>
    </row>
    <row r="2907">
      <c r="A2907" s="1" t="s">
        <v>14509</v>
      </c>
    </row>
    <row r="2908">
      <c r="A2908" s="1" t="s">
        <v>14510</v>
      </c>
    </row>
    <row r="2909">
      <c r="A2909" s="1" t="s">
        <v>14511</v>
      </c>
    </row>
    <row r="2910">
      <c r="A2910" s="1" t="s">
        <v>14512</v>
      </c>
    </row>
    <row r="2911">
      <c r="A2911" s="1" t="s">
        <v>14513</v>
      </c>
    </row>
    <row r="2912">
      <c r="A2912" s="1" t="s">
        <v>14514</v>
      </c>
    </row>
    <row r="2913">
      <c r="A2913" s="1" t="s">
        <v>14515</v>
      </c>
    </row>
    <row r="2914">
      <c r="A2914" s="1" t="s">
        <v>14516</v>
      </c>
    </row>
    <row r="2915">
      <c r="A2915" s="1" t="s">
        <v>14517</v>
      </c>
    </row>
    <row r="2916">
      <c r="A2916" s="1" t="s">
        <v>14518</v>
      </c>
    </row>
    <row r="2917">
      <c r="A2917" s="1" t="s">
        <v>14519</v>
      </c>
    </row>
    <row r="2918">
      <c r="A2918" s="1" t="s">
        <v>14520</v>
      </c>
    </row>
    <row r="2919">
      <c r="A2919" s="1" t="s">
        <v>14521</v>
      </c>
    </row>
    <row r="2920">
      <c r="A2920" s="1" t="s">
        <v>14522</v>
      </c>
    </row>
    <row r="2921">
      <c r="A2921" s="1" t="s">
        <v>14523</v>
      </c>
    </row>
    <row r="2922">
      <c r="A2922" s="1" t="s">
        <v>14524</v>
      </c>
    </row>
    <row r="2923">
      <c r="A2923" s="1" t="s">
        <v>14525</v>
      </c>
    </row>
    <row r="2924">
      <c r="A2924" s="1" t="s">
        <v>14526</v>
      </c>
    </row>
    <row r="2925">
      <c r="A2925" s="1" t="s">
        <v>14527</v>
      </c>
    </row>
    <row r="2926">
      <c r="A2926" s="1" t="s">
        <v>14528</v>
      </c>
    </row>
    <row r="2927">
      <c r="A2927" s="1" t="s">
        <v>14529</v>
      </c>
    </row>
    <row r="2928">
      <c r="A2928" s="1" t="s">
        <v>14530</v>
      </c>
    </row>
    <row r="2929">
      <c r="A2929" s="1" t="s">
        <v>14531</v>
      </c>
    </row>
    <row r="2930">
      <c r="A2930" s="1" t="s">
        <v>14532</v>
      </c>
    </row>
    <row r="2931">
      <c r="A2931" s="1" t="s">
        <v>14533</v>
      </c>
    </row>
    <row r="2932">
      <c r="A2932" s="1" t="s">
        <v>14534</v>
      </c>
    </row>
    <row r="2933">
      <c r="A2933" s="1" t="s">
        <v>14535</v>
      </c>
    </row>
    <row r="2934">
      <c r="A2934" s="1" t="s">
        <v>14536</v>
      </c>
    </row>
    <row r="2935">
      <c r="A2935" s="1" t="s">
        <v>14537</v>
      </c>
    </row>
    <row r="2936">
      <c r="A2936" s="1" t="s">
        <v>14538</v>
      </c>
    </row>
    <row r="2937">
      <c r="A2937" s="1" t="s">
        <v>14539</v>
      </c>
    </row>
    <row r="2938">
      <c r="A2938" s="1" t="s">
        <v>14540</v>
      </c>
    </row>
    <row r="2939">
      <c r="A2939" s="1" t="s">
        <v>14541</v>
      </c>
    </row>
    <row r="2940">
      <c r="A2940" s="1" t="s">
        <v>14542</v>
      </c>
    </row>
    <row r="2941">
      <c r="A2941" s="1" t="s">
        <v>14543</v>
      </c>
    </row>
    <row r="2942">
      <c r="A2942" s="1" t="s">
        <v>14544</v>
      </c>
    </row>
    <row r="2943">
      <c r="A2943" s="1" t="s">
        <v>14545</v>
      </c>
    </row>
    <row r="2944">
      <c r="A2944" s="1" t="s">
        <v>14546</v>
      </c>
    </row>
    <row r="2945">
      <c r="A2945" s="1" t="s">
        <v>14547</v>
      </c>
    </row>
    <row r="2946">
      <c r="A2946" s="1" t="s">
        <v>14548</v>
      </c>
    </row>
    <row r="2947">
      <c r="A2947" s="1" t="s">
        <v>14549</v>
      </c>
    </row>
    <row r="2948">
      <c r="A2948" s="1" t="s">
        <v>14550</v>
      </c>
    </row>
    <row r="2949">
      <c r="A2949" s="1" t="s">
        <v>14551</v>
      </c>
    </row>
    <row r="2950">
      <c r="A2950" s="1" t="s">
        <v>14552</v>
      </c>
    </row>
    <row r="2951">
      <c r="A2951" s="1" t="s">
        <v>14553</v>
      </c>
    </row>
    <row r="2952">
      <c r="A2952" s="1" t="s">
        <v>14554</v>
      </c>
    </row>
    <row r="2953">
      <c r="A2953" s="1" t="s">
        <v>14555</v>
      </c>
    </row>
    <row r="2954">
      <c r="A2954" s="1" t="s">
        <v>14556</v>
      </c>
    </row>
    <row r="2955">
      <c r="A2955" s="1" t="s">
        <v>14557</v>
      </c>
    </row>
    <row r="2956">
      <c r="A2956" s="1" t="s">
        <v>14558</v>
      </c>
    </row>
    <row r="2957">
      <c r="A2957" s="1" t="s">
        <v>14559</v>
      </c>
    </row>
    <row r="2958">
      <c r="A2958" s="1" t="s">
        <v>14560</v>
      </c>
    </row>
    <row r="2959">
      <c r="A2959" s="1" t="s">
        <v>14561</v>
      </c>
    </row>
    <row r="2960">
      <c r="A2960" s="1" t="s">
        <v>14562</v>
      </c>
    </row>
    <row r="2961">
      <c r="A2961" s="1" t="s">
        <v>14563</v>
      </c>
    </row>
    <row r="2962">
      <c r="A2962" s="1" t="s">
        <v>14564</v>
      </c>
    </row>
    <row r="2963">
      <c r="A2963" s="1" t="s">
        <v>14565</v>
      </c>
    </row>
    <row r="2964">
      <c r="A2964" s="1" t="s">
        <v>14566</v>
      </c>
    </row>
    <row r="2965">
      <c r="A2965" s="1" t="s">
        <v>14567</v>
      </c>
    </row>
    <row r="2966">
      <c r="A2966" s="1" t="s">
        <v>14568</v>
      </c>
    </row>
    <row r="2967">
      <c r="A2967" s="1" t="s">
        <v>14569</v>
      </c>
    </row>
    <row r="2968">
      <c r="A2968" s="1" t="s">
        <v>14570</v>
      </c>
    </row>
    <row r="2969">
      <c r="A2969" s="1" t="s">
        <v>14571</v>
      </c>
    </row>
    <row r="2970">
      <c r="A2970" s="1" t="s">
        <v>14572</v>
      </c>
    </row>
    <row r="2971">
      <c r="A2971" s="1" t="s">
        <v>14573</v>
      </c>
    </row>
    <row r="2972">
      <c r="A2972" s="1" t="s">
        <v>14574</v>
      </c>
    </row>
    <row r="2973">
      <c r="A2973" s="1" t="s">
        <v>14575</v>
      </c>
    </row>
    <row r="2974">
      <c r="A2974" s="1" t="s">
        <v>14576</v>
      </c>
    </row>
    <row r="2975">
      <c r="A2975" s="1" t="s">
        <v>14577</v>
      </c>
    </row>
    <row r="2976">
      <c r="A2976" s="1" t="s">
        <v>14578</v>
      </c>
    </row>
    <row r="2977">
      <c r="A2977" s="1" t="s">
        <v>14579</v>
      </c>
    </row>
    <row r="2978">
      <c r="A2978" s="1" t="s">
        <v>14580</v>
      </c>
    </row>
    <row r="2979">
      <c r="A2979" s="1" t="s">
        <v>14581</v>
      </c>
    </row>
    <row r="2980">
      <c r="A2980" s="1" t="s">
        <v>14582</v>
      </c>
    </row>
    <row r="2981">
      <c r="A2981" s="1" t="s">
        <v>14583</v>
      </c>
    </row>
    <row r="2982">
      <c r="A2982" s="1" t="s">
        <v>14584</v>
      </c>
    </row>
    <row r="2983">
      <c r="A2983" s="1" t="s">
        <v>14585</v>
      </c>
    </row>
    <row r="2984">
      <c r="A2984" s="1" t="s">
        <v>14586</v>
      </c>
    </row>
    <row r="2985">
      <c r="A2985" s="1" t="s">
        <v>14587</v>
      </c>
    </row>
    <row r="2986">
      <c r="A2986" s="1" t="s">
        <v>14588</v>
      </c>
    </row>
    <row r="2987">
      <c r="A2987" s="1" t="s">
        <v>14589</v>
      </c>
    </row>
    <row r="2988">
      <c r="A2988" s="1" t="s">
        <v>14590</v>
      </c>
    </row>
    <row r="2989">
      <c r="A2989" s="1" t="s">
        <v>14591</v>
      </c>
    </row>
    <row r="2990">
      <c r="A2990" s="1" t="s">
        <v>14592</v>
      </c>
    </row>
    <row r="2991">
      <c r="A2991" s="1" t="s">
        <v>14593</v>
      </c>
    </row>
    <row r="2992">
      <c r="A2992" s="1" t="s">
        <v>14594</v>
      </c>
    </row>
    <row r="2993">
      <c r="A2993" s="1" t="s">
        <v>14595</v>
      </c>
    </row>
    <row r="2994">
      <c r="A2994" s="1" t="s">
        <v>14596</v>
      </c>
    </row>
    <row r="2995">
      <c r="A2995" s="1" t="s">
        <v>14597</v>
      </c>
    </row>
    <row r="2996">
      <c r="A2996" s="1" t="s">
        <v>14598</v>
      </c>
    </row>
    <row r="2997">
      <c r="A2997" s="1" t="s">
        <v>14599</v>
      </c>
    </row>
    <row r="2998">
      <c r="A2998" s="1" t="s">
        <v>14600</v>
      </c>
    </row>
    <row r="2999">
      <c r="A2999" s="1" t="s">
        <v>14601</v>
      </c>
    </row>
    <row r="3000">
      <c r="A3000" s="1" t="s">
        <v>14602</v>
      </c>
    </row>
    <row r="3001">
      <c r="A3001" s="1" t="s">
        <v>14603</v>
      </c>
    </row>
    <row r="3002">
      <c r="A3002" s="1" t="s">
        <v>14604</v>
      </c>
    </row>
    <row r="3003">
      <c r="A3003" s="1" t="s">
        <v>14605</v>
      </c>
    </row>
    <row r="3004">
      <c r="A3004" s="1" t="s">
        <v>14606</v>
      </c>
    </row>
    <row r="3005">
      <c r="A3005" s="1" t="s">
        <v>14607</v>
      </c>
    </row>
    <row r="3006">
      <c r="A3006" s="1" t="s">
        <v>14608</v>
      </c>
    </row>
    <row r="3007">
      <c r="A3007" s="1" t="s">
        <v>14609</v>
      </c>
    </row>
    <row r="3008">
      <c r="A3008" s="1" t="s">
        <v>14610</v>
      </c>
    </row>
    <row r="3009">
      <c r="A3009" s="1" t="s">
        <v>14611</v>
      </c>
    </row>
    <row r="3010">
      <c r="A3010" s="1" t="s">
        <v>14612</v>
      </c>
    </row>
    <row r="3011">
      <c r="A3011" s="1" t="s">
        <v>14613</v>
      </c>
    </row>
    <row r="3012">
      <c r="A3012" s="1" t="s">
        <v>14614</v>
      </c>
    </row>
    <row r="3013">
      <c r="A3013" s="1" t="s">
        <v>14615</v>
      </c>
    </row>
    <row r="3014">
      <c r="A3014" s="1" t="s">
        <v>14616</v>
      </c>
    </row>
    <row r="3015">
      <c r="A3015" s="1" t="s">
        <v>14617</v>
      </c>
    </row>
    <row r="3016">
      <c r="A3016" s="1" t="s">
        <v>14618</v>
      </c>
    </row>
    <row r="3017">
      <c r="A3017" s="1" t="s">
        <v>14619</v>
      </c>
    </row>
    <row r="3018">
      <c r="A3018" s="1" t="s">
        <v>14620</v>
      </c>
    </row>
    <row r="3019">
      <c r="A3019" s="1" t="s">
        <v>14621</v>
      </c>
    </row>
    <row r="3020">
      <c r="A3020" s="1" t="s">
        <v>14622</v>
      </c>
    </row>
    <row r="3021">
      <c r="A3021" s="1" t="s">
        <v>14623</v>
      </c>
    </row>
    <row r="3022">
      <c r="A3022" s="1" t="s">
        <v>14624</v>
      </c>
    </row>
    <row r="3023">
      <c r="A3023" s="1" t="s">
        <v>14625</v>
      </c>
    </row>
    <row r="3024">
      <c r="A3024" s="1" t="s">
        <v>14626</v>
      </c>
    </row>
    <row r="3025">
      <c r="A3025" s="1" t="s">
        <v>14627</v>
      </c>
    </row>
    <row r="3026">
      <c r="A3026" s="1" t="s">
        <v>14628</v>
      </c>
    </row>
    <row r="3027">
      <c r="A3027" s="1" t="s">
        <v>14629</v>
      </c>
    </row>
    <row r="3028">
      <c r="A3028" s="1" t="s">
        <v>14630</v>
      </c>
    </row>
    <row r="3029">
      <c r="A3029" s="1" t="s">
        <v>14631</v>
      </c>
    </row>
    <row r="3030">
      <c r="A3030" s="1" t="s">
        <v>14632</v>
      </c>
    </row>
    <row r="3031">
      <c r="A3031" s="1" t="s">
        <v>14633</v>
      </c>
    </row>
    <row r="3032">
      <c r="A3032" s="1" t="s">
        <v>14634</v>
      </c>
    </row>
    <row r="3033">
      <c r="A3033" s="1" t="s">
        <v>14635</v>
      </c>
    </row>
    <row r="3034">
      <c r="A3034" s="1" t="s">
        <v>14636</v>
      </c>
    </row>
    <row r="3035">
      <c r="A3035" s="1" t="s">
        <v>14637</v>
      </c>
    </row>
    <row r="3036">
      <c r="A3036" s="1" t="s">
        <v>14638</v>
      </c>
    </row>
    <row r="3037">
      <c r="A3037" s="1" t="s">
        <v>14639</v>
      </c>
    </row>
    <row r="3038">
      <c r="A3038" s="1" t="s">
        <v>14640</v>
      </c>
    </row>
    <row r="3039">
      <c r="A3039" s="1" t="s">
        <v>14641</v>
      </c>
    </row>
    <row r="3040">
      <c r="A3040" s="1" t="s">
        <v>14642</v>
      </c>
    </row>
    <row r="3041">
      <c r="A3041" s="1" t="s">
        <v>14643</v>
      </c>
    </row>
    <row r="3042">
      <c r="A3042" s="1" t="s">
        <v>14644</v>
      </c>
    </row>
    <row r="3043">
      <c r="A3043" s="1" t="s">
        <v>14645</v>
      </c>
    </row>
    <row r="3044">
      <c r="A3044" s="1" t="s">
        <v>14646</v>
      </c>
    </row>
    <row r="3045">
      <c r="A3045" s="1" t="s">
        <v>14647</v>
      </c>
    </row>
    <row r="3046">
      <c r="A3046" s="1" t="s">
        <v>14648</v>
      </c>
    </row>
    <row r="3047">
      <c r="A3047" s="1" t="s">
        <v>14649</v>
      </c>
    </row>
    <row r="3048">
      <c r="A3048" s="1" t="s">
        <v>14650</v>
      </c>
    </row>
    <row r="3049">
      <c r="A3049" s="1" t="s">
        <v>14651</v>
      </c>
    </row>
    <row r="3050">
      <c r="A3050" s="1" t="s">
        <v>14652</v>
      </c>
    </row>
    <row r="3051">
      <c r="A3051" s="1" t="s">
        <v>14653</v>
      </c>
    </row>
    <row r="3052">
      <c r="A3052" s="1" t="s">
        <v>14654</v>
      </c>
    </row>
    <row r="3053">
      <c r="A3053" s="1" t="s">
        <v>14655</v>
      </c>
    </row>
    <row r="3054">
      <c r="A3054" s="1" t="s">
        <v>14656</v>
      </c>
    </row>
    <row r="3055">
      <c r="A3055" s="1" t="s">
        <v>14657</v>
      </c>
    </row>
    <row r="3056">
      <c r="A3056" s="1" t="s">
        <v>14658</v>
      </c>
    </row>
    <row r="3057">
      <c r="A3057" s="1" t="s">
        <v>14659</v>
      </c>
    </row>
    <row r="3058">
      <c r="A3058" s="1" t="s">
        <v>14660</v>
      </c>
    </row>
    <row r="3059">
      <c r="A3059" s="1" t="s">
        <v>14661</v>
      </c>
    </row>
    <row r="3060">
      <c r="A3060" s="1" t="s">
        <v>14662</v>
      </c>
    </row>
    <row r="3061">
      <c r="A3061" s="1" t="s">
        <v>14663</v>
      </c>
    </row>
    <row r="3062">
      <c r="A3062" s="1" t="s">
        <v>14664</v>
      </c>
    </row>
    <row r="3063">
      <c r="A3063" s="1" t="s">
        <v>14665</v>
      </c>
    </row>
    <row r="3064">
      <c r="A3064" s="1" t="s">
        <v>14666</v>
      </c>
    </row>
    <row r="3065">
      <c r="A3065" s="1" t="s">
        <v>14667</v>
      </c>
    </row>
    <row r="3066">
      <c r="A3066" s="1" t="s">
        <v>14668</v>
      </c>
    </row>
    <row r="3067">
      <c r="A3067" s="1" t="s">
        <v>14669</v>
      </c>
    </row>
    <row r="3068">
      <c r="A3068" s="1" t="s">
        <v>14670</v>
      </c>
    </row>
    <row r="3069">
      <c r="A3069" s="1" t="s">
        <v>14671</v>
      </c>
    </row>
    <row r="3070">
      <c r="A3070" s="1" t="s">
        <v>14672</v>
      </c>
    </row>
    <row r="3071">
      <c r="A3071" s="1" t="s">
        <v>14673</v>
      </c>
    </row>
    <row r="3072">
      <c r="A3072" s="1" t="s">
        <v>14674</v>
      </c>
    </row>
    <row r="3073">
      <c r="A3073" s="1" t="s">
        <v>14675</v>
      </c>
    </row>
    <row r="3074">
      <c r="A3074" s="1" t="s">
        <v>14676</v>
      </c>
    </row>
    <row r="3075">
      <c r="A3075" s="1" t="s">
        <v>14677</v>
      </c>
    </row>
    <row r="3076">
      <c r="A3076" s="1" t="s">
        <v>14678</v>
      </c>
    </row>
    <row r="3077">
      <c r="A3077" s="1" t="s">
        <v>14679</v>
      </c>
    </row>
    <row r="3078">
      <c r="A3078" s="1" t="s">
        <v>14680</v>
      </c>
    </row>
    <row r="3079">
      <c r="A3079" s="1" t="s">
        <v>14681</v>
      </c>
    </row>
    <row r="3080">
      <c r="A3080" s="1" t="s">
        <v>14682</v>
      </c>
    </row>
    <row r="3081">
      <c r="A3081" s="1" t="s">
        <v>14683</v>
      </c>
    </row>
    <row r="3082">
      <c r="A3082" s="1" t="s">
        <v>14684</v>
      </c>
    </row>
    <row r="3083">
      <c r="A3083" s="1" t="s">
        <v>14685</v>
      </c>
    </row>
    <row r="3084">
      <c r="A3084" s="1" t="s">
        <v>14686</v>
      </c>
    </row>
    <row r="3085">
      <c r="A3085" s="1" t="s">
        <v>14687</v>
      </c>
    </row>
    <row r="3086">
      <c r="A3086" s="1" t="s">
        <v>14688</v>
      </c>
    </row>
    <row r="3087">
      <c r="A3087" s="1" t="s">
        <v>14689</v>
      </c>
    </row>
    <row r="3088">
      <c r="A3088" s="1" t="s">
        <v>14690</v>
      </c>
    </row>
    <row r="3089">
      <c r="A3089" s="1" t="s">
        <v>14691</v>
      </c>
    </row>
    <row r="3090">
      <c r="A3090" s="1" t="s">
        <v>14692</v>
      </c>
    </row>
    <row r="3091">
      <c r="A3091" s="1" t="s">
        <v>14693</v>
      </c>
    </row>
    <row r="3092">
      <c r="A3092" s="1" t="s">
        <v>14694</v>
      </c>
    </row>
    <row r="3093">
      <c r="A3093" s="1" t="s">
        <v>14695</v>
      </c>
    </row>
    <row r="3094">
      <c r="A3094" s="1" t="s">
        <v>14696</v>
      </c>
    </row>
    <row r="3095">
      <c r="A3095" s="1" t="s">
        <v>14697</v>
      </c>
    </row>
    <row r="3096">
      <c r="A3096" s="1" t="s">
        <v>14698</v>
      </c>
    </row>
    <row r="3097">
      <c r="A3097" s="1" t="s">
        <v>14699</v>
      </c>
    </row>
    <row r="3098">
      <c r="A3098" s="1" t="s">
        <v>14700</v>
      </c>
    </row>
    <row r="3099">
      <c r="A3099" s="1" t="s">
        <v>14701</v>
      </c>
    </row>
    <row r="3100">
      <c r="A3100" s="1" t="s">
        <v>14702</v>
      </c>
    </row>
    <row r="3101">
      <c r="A3101" s="1" t="s">
        <v>14703</v>
      </c>
    </row>
    <row r="3102">
      <c r="A3102" s="1" t="s">
        <v>14704</v>
      </c>
    </row>
    <row r="3103">
      <c r="A3103" s="1" t="s">
        <v>14705</v>
      </c>
    </row>
    <row r="3104">
      <c r="A3104" s="1" t="s">
        <v>14706</v>
      </c>
    </row>
    <row r="3105">
      <c r="A3105" s="1" t="s">
        <v>14707</v>
      </c>
    </row>
    <row r="3106">
      <c r="A3106" s="1" t="s">
        <v>14708</v>
      </c>
    </row>
    <row r="3107">
      <c r="A3107" s="1" t="s">
        <v>14709</v>
      </c>
    </row>
    <row r="3108">
      <c r="A3108" s="1" t="s">
        <v>14710</v>
      </c>
    </row>
    <row r="3109">
      <c r="A3109" s="1" t="s">
        <v>14711</v>
      </c>
    </row>
    <row r="3110">
      <c r="A3110" s="1" t="s">
        <v>14712</v>
      </c>
    </row>
    <row r="3111">
      <c r="A3111" s="1" t="s">
        <v>14713</v>
      </c>
    </row>
    <row r="3112">
      <c r="A3112" s="1" t="s">
        <v>14714</v>
      </c>
    </row>
    <row r="3113">
      <c r="A3113" s="1" t="s">
        <v>14715</v>
      </c>
    </row>
    <row r="3114">
      <c r="A3114" s="1" t="s">
        <v>14716</v>
      </c>
    </row>
    <row r="3115">
      <c r="A3115" s="1" t="s">
        <v>14717</v>
      </c>
    </row>
    <row r="3116">
      <c r="A3116" s="1" t="s">
        <v>14718</v>
      </c>
    </row>
    <row r="3117">
      <c r="A3117" s="1" t="s">
        <v>14719</v>
      </c>
    </row>
    <row r="3118">
      <c r="A3118" s="1" t="s">
        <v>14720</v>
      </c>
    </row>
    <row r="3119">
      <c r="A3119" s="1" t="s">
        <v>14721</v>
      </c>
    </row>
    <row r="3120">
      <c r="A3120" s="1" t="s">
        <v>14722</v>
      </c>
    </row>
    <row r="3121">
      <c r="A3121" s="1" t="s">
        <v>14723</v>
      </c>
    </row>
    <row r="3122">
      <c r="A3122" s="1" t="s">
        <v>14724</v>
      </c>
    </row>
    <row r="3123">
      <c r="A3123" s="1" t="s">
        <v>14725</v>
      </c>
    </row>
    <row r="3124">
      <c r="A3124" s="1" t="s">
        <v>14726</v>
      </c>
    </row>
    <row r="3125">
      <c r="A3125" s="1" t="s">
        <v>14727</v>
      </c>
    </row>
    <row r="3126">
      <c r="A3126" s="1" t="s">
        <v>14728</v>
      </c>
    </row>
    <row r="3127">
      <c r="A3127" s="1" t="s">
        <v>14729</v>
      </c>
    </row>
    <row r="3128">
      <c r="A3128" s="1" t="s">
        <v>14730</v>
      </c>
    </row>
    <row r="3129">
      <c r="A3129" s="1" t="s">
        <v>14731</v>
      </c>
    </row>
    <row r="3130">
      <c r="A3130" s="1" t="s">
        <v>14732</v>
      </c>
    </row>
    <row r="3131">
      <c r="A3131" s="1" t="s">
        <v>14733</v>
      </c>
    </row>
    <row r="3132">
      <c r="A3132" s="1" t="s">
        <v>14734</v>
      </c>
    </row>
    <row r="3133">
      <c r="A3133" s="1" t="s">
        <v>14735</v>
      </c>
    </row>
    <row r="3134">
      <c r="A3134" s="1" t="s">
        <v>14736</v>
      </c>
    </row>
    <row r="3135">
      <c r="A3135" s="1" t="s">
        <v>14737</v>
      </c>
    </row>
    <row r="3136">
      <c r="A3136" s="1" t="s">
        <v>14738</v>
      </c>
    </row>
    <row r="3137">
      <c r="A3137" s="1" t="s">
        <v>13508</v>
      </c>
    </row>
    <row r="3138">
      <c r="A3138" s="1" t="s">
        <v>14739</v>
      </c>
    </row>
    <row r="3139">
      <c r="A3139" s="1" t="s">
        <v>14740</v>
      </c>
    </row>
    <row r="3140">
      <c r="A3140" s="1" t="s">
        <v>14741</v>
      </c>
    </row>
    <row r="3141">
      <c r="A3141" s="1" t="s">
        <v>14742</v>
      </c>
    </row>
    <row r="3142">
      <c r="A3142" s="1" t="s">
        <v>14743</v>
      </c>
    </row>
    <row r="3143">
      <c r="A3143" s="1" t="s">
        <v>14744</v>
      </c>
    </row>
    <row r="3144">
      <c r="A3144" s="1" t="s">
        <v>14745</v>
      </c>
    </row>
    <row r="3145">
      <c r="A3145" s="1" t="s">
        <v>14746</v>
      </c>
    </row>
    <row r="3146">
      <c r="A3146" s="1" t="s">
        <v>12632</v>
      </c>
    </row>
    <row r="3147">
      <c r="A3147" s="1" t="s">
        <v>12633</v>
      </c>
    </row>
    <row r="3148">
      <c r="A3148" s="1" t="s">
        <v>12634</v>
      </c>
    </row>
    <row r="3149">
      <c r="A3149" s="1" t="s">
        <v>12635</v>
      </c>
    </row>
    <row r="3150">
      <c r="A3150" s="1" t="s">
        <v>12636</v>
      </c>
    </row>
    <row r="3151">
      <c r="A3151" s="1" t="s">
        <v>12637</v>
      </c>
    </row>
    <row r="3152">
      <c r="A3152" s="1" t="s">
        <v>14747</v>
      </c>
    </row>
    <row r="3153">
      <c r="A3153" s="1" t="s">
        <v>14748</v>
      </c>
    </row>
    <row r="3154">
      <c r="A3154" s="1" t="s">
        <v>14749</v>
      </c>
    </row>
    <row r="3155">
      <c r="A3155" s="1" t="s">
        <v>14750</v>
      </c>
    </row>
    <row r="3156">
      <c r="A3156" s="1" t="s">
        <v>14751</v>
      </c>
    </row>
    <row r="3157">
      <c r="A3157" s="1" t="s">
        <v>14752</v>
      </c>
    </row>
    <row r="3158">
      <c r="A3158" s="1" t="s">
        <v>14753</v>
      </c>
    </row>
    <row r="3159">
      <c r="A3159" s="1" t="s">
        <v>14754</v>
      </c>
    </row>
    <row r="3160">
      <c r="A3160" s="1" t="s">
        <v>14755</v>
      </c>
    </row>
    <row r="3161">
      <c r="A3161" s="1" t="s">
        <v>14756</v>
      </c>
    </row>
    <row r="3162">
      <c r="A3162" s="1" t="s">
        <v>14469</v>
      </c>
    </row>
    <row r="3163">
      <c r="A3163" s="1" t="s">
        <v>14470</v>
      </c>
    </row>
    <row r="3164">
      <c r="A3164" s="1" t="s">
        <v>14471</v>
      </c>
    </row>
    <row r="3165">
      <c r="A3165" s="1" t="s">
        <v>14757</v>
      </c>
    </row>
    <row r="3166">
      <c r="A3166" s="1" t="s">
        <v>14758</v>
      </c>
    </row>
    <row r="3167">
      <c r="A3167" s="1" t="s">
        <v>14759</v>
      </c>
    </row>
    <row r="3168">
      <c r="A3168" s="1" t="s">
        <v>14760</v>
      </c>
    </row>
    <row r="3169">
      <c r="A3169" s="1" t="s">
        <v>14761</v>
      </c>
    </row>
    <row r="3170">
      <c r="A3170" s="1" t="s">
        <v>14762</v>
      </c>
    </row>
    <row r="3171">
      <c r="A3171" s="1" t="s">
        <v>14763</v>
      </c>
    </row>
    <row r="3172">
      <c r="A3172" s="1" t="s">
        <v>14764</v>
      </c>
    </row>
    <row r="3173">
      <c r="A3173" s="1" t="s">
        <v>14765</v>
      </c>
    </row>
    <row r="3174">
      <c r="A3174" s="1" t="s">
        <v>14766</v>
      </c>
    </row>
    <row r="3175">
      <c r="A3175" s="1" t="s">
        <v>14767</v>
      </c>
    </row>
    <row r="3176">
      <c r="A3176" s="1" t="s">
        <v>14768</v>
      </c>
    </row>
    <row r="3177">
      <c r="A3177" s="1" t="s">
        <v>12007</v>
      </c>
    </row>
    <row r="3178">
      <c r="A3178" s="1" t="s">
        <v>14769</v>
      </c>
    </row>
    <row r="3179">
      <c r="A3179" s="1" t="s">
        <v>12009</v>
      </c>
    </row>
    <row r="3180">
      <c r="A3180" s="1" t="s">
        <v>14230</v>
      </c>
    </row>
    <row r="3181">
      <c r="A3181" s="1" t="s">
        <v>14770</v>
      </c>
    </row>
    <row r="3182">
      <c r="A3182" s="1" t="s">
        <v>14771</v>
      </c>
    </row>
    <row r="3183">
      <c r="A3183" s="1" t="s">
        <v>14772</v>
      </c>
    </row>
    <row r="3184">
      <c r="A3184" s="1" t="s">
        <v>14773</v>
      </c>
    </row>
    <row r="3185">
      <c r="A3185" s="1" t="s">
        <v>14774</v>
      </c>
    </row>
    <row r="3186">
      <c r="A3186" s="1" t="s">
        <v>14775</v>
      </c>
    </row>
    <row r="3187">
      <c r="A3187" s="1" t="s">
        <v>14776</v>
      </c>
    </row>
    <row r="3188">
      <c r="A3188" s="1" t="s">
        <v>14777</v>
      </c>
    </row>
    <row r="3189">
      <c r="A3189" s="1" t="s">
        <v>14495</v>
      </c>
    </row>
    <row r="3190">
      <c r="A3190" s="1" t="s">
        <v>14778</v>
      </c>
    </row>
    <row r="3191">
      <c r="A3191" s="1" t="s">
        <v>14779</v>
      </c>
    </row>
    <row r="3192">
      <c r="A3192" s="1" t="s">
        <v>12356</v>
      </c>
    </row>
    <row r="3193">
      <c r="A3193" s="1" t="s">
        <v>14780</v>
      </c>
    </row>
    <row r="3194">
      <c r="A3194" s="1" t="s">
        <v>14781</v>
      </c>
    </row>
    <row r="3195">
      <c r="A3195" s="1" t="s">
        <v>14782</v>
      </c>
    </row>
    <row r="3196">
      <c r="A3196" s="1" t="s">
        <v>14783</v>
      </c>
    </row>
    <row r="3197">
      <c r="A3197" s="1" t="s">
        <v>12072</v>
      </c>
    </row>
    <row r="3198">
      <c r="A3198" s="1" t="s">
        <v>14784</v>
      </c>
    </row>
    <row r="3199">
      <c r="A3199" s="1" t="s">
        <v>14785</v>
      </c>
    </row>
    <row r="3200">
      <c r="A3200" s="1" t="s">
        <v>14786</v>
      </c>
    </row>
    <row r="3201">
      <c r="A3201" s="1" t="s">
        <v>14787</v>
      </c>
    </row>
    <row r="3202">
      <c r="A3202" s="1" t="s">
        <v>14788</v>
      </c>
    </row>
    <row r="3203">
      <c r="A3203" s="1" t="s">
        <v>14789</v>
      </c>
    </row>
    <row r="3204">
      <c r="A3204" s="1" t="s">
        <v>14790</v>
      </c>
    </row>
    <row r="3205">
      <c r="A3205" s="1" t="s">
        <v>14791</v>
      </c>
    </row>
    <row r="3206">
      <c r="A3206" s="1" t="s">
        <v>14792</v>
      </c>
    </row>
    <row r="3207">
      <c r="A3207" s="1" t="s">
        <v>14793</v>
      </c>
    </row>
    <row r="3208">
      <c r="A3208" s="1" t="s">
        <v>14794</v>
      </c>
    </row>
    <row r="3209">
      <c r="A3209" s="1" t="s">
        <v>14795</v>
      </c>
    </row>
    <row r="3210">
      <c r="A3210" s="1" t="s">
        <v>14796</v>
      </c>
    </row>
    <row r="3211">
      <c r="A3211" s="1" t="s">
        <v>14797</v>
      </c>
    </row>
    <row r="3212">
      <c r="A3212" s="1" t="s">
        <v>14798</v>
      </c>
    </row>
    <row r="3213">
      <c r="A3213" s="1" t="s">
        <v>14799</v>
      </c>
    </row>
    <row r="3214">
      <c r="A3214" s="1" t="s">
        <v>14800</v>
      </c>
    </row>
    <row r="3215">
      <c r="A3215" s="1" t="s">
        <v>14801</v>
      </c>
    </row>
    <row r="3216">
      <c r="A3216" s="1" t="s">
        <v>14802</v>
      </c>
    </row>
    <row r="3217">
      <c r="A3217" s="1" t="s">
        <v>14803</v>
      </c>
    </row>
    <row r="3218">
      <c r="A3218" s="1" t="s">
        <v>14804</v>
      </c>
    </row>
    <row r="3219">
      <c r="A3219" s="1" t="s">
        <v>14805</v>
      </c>
    </row>
    <row r="3220">
      <c r="A3220" s="1" t="s">
        <v>14806</v>
      </c>
    </row>
    <row r="3221">
      <c r="A3221" s="1" t="s">
        <v>14807</v>
      </c>
    </row>
    <row r="3222">
      <c r="A3222" s="1" t="s">
        <v>14808</v>
      </c>
    </row>
    <row r="3223">
      <c r="A3223" s="1" t="s">
        <v>14809</v>
      </c>
    </row>
    <row r="3224">
      <c r="A3224" s="1" t="s">
        <v>14810</v>
      </c>
    </row>
    <row r="3225">
      <c r="A3225" s="1" t="s">
        <v>14811</v>
      </c>
    </row>
    <row r="3226">
      <c r="A3226" s="1" t="s">
        <v>14812</v>
      </c>
    </row>
    <row r="3227">
      <c r="A3227" s="1" t="s">
        <v>14813</v>
      </c>
    </row>
    <row r="3228">
      <c r="A3228" s="1" t="s">
        <v>14814</v>
      </c>
    </row>
    <row r="3229">
      <c r="A3229" s="1" t="s">
        <v>14815</v>
      </c>
    </row>
    <row r="3230">
      <c r="A3230" s="1" t="s">
        <v>14816</v>
      </c>
    </row>
    <row r="3231">
      <c r="A3231" s="1" t="s">
        <v>14817</v>
      </c>
    </row>
    <row r="3232">
      <c r="A3232" s="1" t="s">
        <v>14818</v>
      </c>
    </row>
    <row r="3233">
      <c r="A3233" s="1" t="s">
        <v>14819</v>
      </c>
    </row>
    <row r="3234">
      <c r="A3234" s="1" t="s">
        <v>14820</v>
      </c>
    </row>
    <row r="3235">
      <c r="A3235" s="1" t="s">
        <v>14821</v>
      </c>
    </row>
    <row r="3236">
      <c r="A3236" s="1" t="s">
        <v>14822</v>
      </c>
    </row>
    <row r="3237">
      <c r="A3237" s="1" t="s">
        <v>14823</v>
      </c>
    </row>
    <row r="3238">
      <c r="A3238" s="1" t="s">
        <v>14824</v>
      </c>
    </row>
    <row r="3239">
      <c r="A3239" s="1" t="s">
        <v>14825</v>
      </c>
    </row>
    <row r="3240">
      <c r="A3240" s="1" t="s">
        <v>14826</v>
      </c>
    </row>
    <row r="3241">
      <c r="A3241" s="1" t="s">
        <v>14827</v>
      </c>
    </row>
    <row r="3242">
      <c r="A3242" s="1" t="s">
        <v>14828</v>
      </c>
    </row>
    <row r="3243">
      <c r="A3243" s="1" t="s">
        <v>14829</v>
      </c>
    </row>
    <row r="3244">
      <c r="A3244" s="1" t="s">
        <v>14830</v>
      </c>
    </row>
    <row r="3245">
      <c r="A3245" s="1" t="s">
        <v>14831</v>
      </c>
    </row>
    <row r="3246">
      <c r="A3246" s="1" t="s">
        <v>14832</v>
      </c>
    </row>
    <row r="3247">
      <c r="A3247" s="1" t="s">
        <v>14833</v>
      </c>
    </row>
    <row r="3248">
      <c r="A3248" s="1" t="s">
        <v>14834</v>
      </c>
    </row>
    <row r="3249">
      <c r="A3249" s="1" t="s">
        <v>14835</v>
      </c>
    </row>
    <row r="3250">
      <c r="A3250" s="1" t="s">
        <v>14836</v>
      </c>
    </row>
    <row r="3251">
      <c r="A3251" s="1" t="s">
        <v>14837</v>
      </c>
    </row>
    <row r="3252">
      <c r="A3252" s="1" t="s">
        <v>14838</v>
      </c>
    </row>
    <row r="3253">
      <c r="A3253" s="1" t="s">
        <v>14839</v>
      </c>
    </row>
    <row r="3254">
      <c r="A3254" s="1" t="s">
        <v>14840</v>
      </c>
    </row>
    <row r="3255">
      <c r="A3255" s="1" t="s">
        <v>14841</v>
      </c>
    </row>
    <row r="3256">
      <c r="A3256" s="1" t="s">
        <v>14842</v>
      </c>
    </row>
    <row r="3257">
      <c r="A3257" s="1" t="s">
        <v>14843</v>
      </c>
    </row>
    <row r="3258">
      <c r="A3258" s="1" t="s">
        <v>14844</v>
      </c>
    </row>
    <row r="3259">
      <c r="A3259" s="1" t="s">
        <v>14845</v>
      </c>
    </row>
    <row r="3260">
      <c r="A3260" s="1" t="s">
        <v>14846</v>
      </c>
    </row>
    <row r="3261">
      <c r="A3261" s="1" t="s">
        <v>14847</v>
      </c>
    </row>
    <row r="3262">
      <c r="A3262" s="1" t="s">
        <v>14848</v>
      </c>
    </row>
    <row r="3263">
      <c r="A3263" s="1" t="s">
        <v>14849</v>
      </c>
    </row>
    <row r="3264">
      <c r="A3264" s="1" t="s">
        <v>14850</v>
      </c>
    </row>
    <row r="3265">
      <c r="A3265" s="1" t="s">
        <v>14851</v>
      </c>
    </row>
    <row r="3266">
      <c r="A3266" s="1" t="s">
        <v>14852</v>
      </c>
    </row>
    <row r="3267">
      <c r="A3267" s="1" t="s">
        <v>14853</v>
      </c>
    </row>
    <row r="3268">
      <c r="A3268" s="1" t="s">
        <v>14854</v>
      </c>
    </row>
    <row r="3269">
      <c r="A3269" s="1" t="s">
        <v>14855</v>
      </c>
    </row>
    <row r="3270">
      <c r="A3270" s="1" t="s">
        <v>14856</v>
      </c>
    </row>
    <row r="3271">
      <c r="A3271" s="1" t="s">
        <v>14857</v>
      </c>
    </row>
    <row r="3272">
      <c r="A3272" s="1" t="s">
        <v>14858</v>
      </c>
    </row>
    <row r="3273">
      <c r="A3273" s="1" t="s">
        <v>14859</v>
      </c>
    </row>
    <row r="3274">
      <c r="A3274" s="1" t="s">
        <v>14860</v>
      </c>
    </row>
    <row r="3275">
      <c r="A3275" s="1" t="s">
        <v>14861</v>
      </c>
    </row>
    <row r="3276">
      <c r="A3276" s="1" t="s">
        <v>14862</v>
      </c>
    </row>
    <row r="3277">
      <c r="A3277" s="1" t="s">
        <v>14863</v>
      </c>
    </row>
    <row r="3278">
      <c r="A3278" s="1" t="s">
        <v>14864</v>
      </c>
    </row>
    <row r="3279">
      <c r="A3279" s="1" t="s">
        <v>14865</v>
      </c>
    </row>
    <row r="3280">
      <c r="A3280" s="1" t="s">
        <v>14866</v>
      </c>
    </row>
    <row r="3281">
      <c r="A3281" s="1" t="s">
        <v>14867</v>
      </c>
    </row>
    <row r="3282">
      <c r="A3282" s="1" t="s">
        <v>14868</v>
      </c>
    </row>
    <row r="3283">
      <c r="A3283" s="1" t="s">
        <v>14869</v>
      </c>
    </row>
    <row r="3284">
      <c r="A3284" s="1" t="s">
        <v>14870</v>
      </c>
    </row>
    <row r="3285">
      <c r="A3285" s="1" t="s">
        <v>14871</v>
      </c>
    </row>
    <row r="3286">
      <c r="A3286" s="1" t="s">
        <v>14872</v>
      </c>
    </row>
    <row r="3287">
      <c r="A3287" s="1" t="s">
        <v>14873</v>
      </c>
    </row>
    <row r="3288">
      <c r="A3288" s="1" t="s">
        <v>14874</v>
      </c>
    </row>
    <row r="3289">
      <c r="A3289" s="1" t="s">
        <v>14875</v>
      </c>
    </row>
    <row r="3290">
      <c r="A3290" s="1" t="s">
        <v>14876</v>
      </c>
    </row>
    <row r="3291">
      <c r="A3291" s="1" t="s">
        <v>14877</v>
      </c>
    </row>
    <row r="3292">
      <c r="A3292" s="1" t="s">
        <v>14878</v>
      </c>
    </row>
    <row r="3293">
      <c r="A3293" s="1" t="s">
        <v>14879</v>
      </c>
    </row>
    <row r="3294">
      <c r="A3294" s="1" t="s">
        <v>14880</v>
      </c>
    </row>
    <row r="3295">
      <c r="A3295" s="1" t="s">
        <v>14881</v>
      </c>
    </row>
    <row r="3296">
      <c r="A3296" s="1" t="s">
        <v>14882</v>
      </c>
    </row>
    <row r="3297">
      <c r="A3297" s="1" t="s">
        <v>14883</v>
      </c>
    </row>
    <row r="3298">
      <c r="A3298" s="1" t="s">
        <v>14884</v>
      </c>
    </row>
    <row r="3299">
      <c r="A3299" s="270"/>
    </row>
  </sheetData>
  <drawing r:id="rId1"/>
</worksheet>
</file>